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officedocument.vmlDrawing" PartName="/xl/drawings/vmlDrawing39.vml"/>
  <Override ContentType="application/vnd.openxmlformats-officedocument.spreadsheetml.worksheet+xml" PartName="/xl/worksheets/sheet40.xml"/>
  <Override ContentType="application/vnd.openxmlformats-officedocument.vmlDrawing" PartName="/xl/drawings/vmlDrawing40.vml"/>
  <Override ContentType="application/vnd.openxmlformats-officedocument.spreadsheetml.worksheet+xml" PartName="/xl/worksheets/sheet41.xml"/>
  <Override ContentType="application/vnd.openxmlformats-officedocument.vmlDrawing" PartName="/xl/drawings/vmlDrawing41.vml"/>
  <Override ContentType="application/vnd.openxmlformats-officedocument.spreadsheetml.worksheet+xml" PartName="/xl/worksheets/sheet42.xml"/>
  <Override ContentType="application/vnd.openxmlformats-officedocument.vmlDrawing" PartName="/xl/drawings/vmlDrawing42.vml"/>
  <Override ContentType="application/vnd.openxmlformats-officedocument.spreadsheetml.worksheet+xml" PartName="/xl/worksheets/sheet43.xml"/>
  <Override ContentType="application/vnd.openxmlformats-officedocument.vmlDrawing" PartName="/xl/drawings/vmlDrawing43.vml"/>
  <Override ContentType="application/vnd.openxmlformats-officedocument.spreadsheetml.worksheet+xml" PartName="/xl/worksheets/sheet44.xml"/>
  <Override ContentType="application/vnd.openxmlformats-officedocument.vmlDrawing" PartName="/xl/drawings/vmlDrawing44.vml"/>
  <Override ContentType="application/vnd.openxmlformats-officedocument.spreadsheetml.worksheet+xml" PartName="/xl/worksheets/sheet45.xml"/>
  <Override ContentType="application/vnd.openxmlformats-officedocument.vmlDrawing" PartName="/xl/drawings/vmlDrawing45.vml"/>
  <Override ContentType="application/vnd.openxmlformats-officedocument.spreadsheetml.worksheet+xml" PartName="/xl/worksheets/sheet46.xml"/>
  <Override ContentType="application/vnd.openxmlformats-officedocument.vmlDrawing" PartName="/xl/drawings/vmlDrawing46.vml"/>
  <Override ContentType="application/vnd.openxmlformats-officedocument.spreadsheetml.worksheet+xml" PartName="/xl/worksheets/sheet47.xml"/>
  <Override ContentType="application/vnd.openxmlformats-officedocument.vmlDrawing" PartName="/xl/drawings/vmlDrawing47.vml"/>
  <Override ContentType="application/vnd.openxmlformats-officedocument.spreadsheetml.worksheet+xml" PartName="/xl/worksheets/sheet48.xml"/>
  <Override ContentType="application/vnd.openxmlformats-officedocument.vmlDrawing" PartName="/xl/drawings/vmlDrawing48.vml"/>
  <Override ContentType="application/vnd.openxmlformats-officedocument.spreadsheetml.worksheet+xml" PartName="/xl/worksheets/sheet49.xml"/>
  <Override ContentType="application/vnd.openxmlformats-officedocument.vmlDrawing" PartName="/xl/drawings/vmlDrawing49.vml"/>
  <Override ContentType="application/vnd.openxmlformats-officedocument.spreadsheetml.worksheet+xml" PartName="/xl/worksheets/sheet50.xml"/>
  <Override ContentType="application/vnd.openxmlformats-officedocument.vmlDrawing" PartName="/xl/drawings/vmlDrawing50.vml"/>
  <Override ContentType="application/vnd.openxmlformats-officedocument.spreadsheetml.worksheet+xml" PartName="/xl/worksheets/sheet51.xml"/>
  <Override ContentType="application/vnd.openxmlformats-officedocument.vmlDrawing" PartName="/xl/drawings/vmlDrawing51.vml"/>
  <Override ContentType="application/vnd.openxmlformats-officedocument.spreadsheetml.worksheet+xml" PartName="/xl/worksheets/sheet52.xml"/>
  <Override ContentType="application/vnd.openxmlformats-officedocument.vmlDrawing" PartName="/xl/drawings/vmlDrawing52.vml"/>
  <Override ContentType="application/vnd.openxmlformats-officedocument.spreadsheetml.worksheet+xml" PartName="/xl/worksheets/sheet53.xml"/>
  <Override ContentType="application/vnd.openxmlformats-officedocument.vmlDrawing" PartName="/xl/drawings/vmlDrawing53.vml"/>
  <Override ContentType="application/vnd.openxmlformats-officedocument.spreadsheetml.worksheet+xml" PartName="/xl/worksheets/sheet54.xml"/>
  <Override ContentType="application/vnd.openxmlformats-officedocument.vmlDrawing" PartName="/xl/drawings/vmlDrawing54.vml"/>
  <Override ContentType="application/vnd.openxmlformats-officedocument.spreadsheetml.worksheet+xml" PartName="/xl/worksheets/sheet55.xml"/>
  <Override ContentType="application/vnd.openxmlformats-officedocument.vmlDrawing" PartName="/xl/drawings/vmlDrawing55.vml"/>
  <Override ContentType="application/vnd.openxmlformats-officedocument.spreadsheetml.worksheet+xml" PartName="/xl/worksheets/sheet56.xml"/>
  <Override ContentType="application/vnd.openxmlformats-officedocument.vmlDrawing" PartName="/xl/drawings/vmlDrawing56.vml"/>
  <Override ContentType="application/vnd.openxmlformats-officedocument.spreadsheetml.worksheet+xml" PartName="/xl/worksheets/sheet57.xml"/>
  <Override ContentType="application/vnd.openxmlformats-officedocument.vmlDrawing" PartName="/xl/drawings/vmlDrawing57.vml"/>
  <Override ContentType="application/vnd.openxmlformats-officedocument.spreadsheetml.worksheet+xml" PartName="/xl/worksheets/sheet58.xml"/>
  <Override ContentType="application/vnd.openxmlformats-officedocument.vmlDrawing" PartName="/xl/drawings/vmlDrawing58.vml"/>
  <Override ContentType="application/vnd.openxmlformats-officedocument.spreadsheetml.worksheet+xml" PartName="/xl/worksheets/sheet59.xml"/>
  <Override ContentType="application/vnd.openxmlformats-officedocument.vmlDrawing" PartName="/xl/drawings/vmlDrawing59.vml"/>
  <Override ContentType="application/vnd.openxmlformats-officedocument.spreadsheetml.worksheet+xml" PartName="/xl/worksheets/sheet60.xml"/>
  <Override ContentType="application/vnd.openxmlformats-officedocument.vmlDrawing" PartName="/xl/drawings/vmlDrawing60.vml"/>
  <Override ContentType="application/vnd.openxmlformats-officedocument.spreadsheetml.worksheet+xml" PartName="/xl/worksheets/sheet61.xml"/>
  <Override ContentType="application/vnd.openxmlformats-officedocument.vmlDrawing" PartName="/xl/drawings/vmlDrawing61.vml"/>
  <Override ContentType="application/vnd.openxmlformats-officedocument.spreadsheetml.worksheet+xml" PartName="/xl/worksheets/sheet62.xml"/>
  <Override ContentType="application/vnd.openxmlformats-officedocument.vmlDrawing" PartName="/xl/drawings/vmlDrawing62.vml"/>
  <Override ContentType="application/vnd.openxmlformats-officedocument.spreadsheetml.worksheet+xml" PartName="/xl/worksheets/sheet63.xml"/>
  <Override ContentType="application/vnd.openxmlformats-officedocument.vmlDrawing" PartName="/xl/drawings/vmlDrawing63.vml"/>
  <Override ContentType="application/vnd.openxmlformats-officedocument.spreadsheetml.worksheet+xml" PartName="/xl/worksheets/sheet64.xml"/>
  <Override ContentType="application/vnd.openxmlformats-officedocument.vmlDrawing" PartName="/xl/drawings/vmlDrawing64.vml"/>
  <Override ContentType="application/vnd.openxmlformats-officedocument.spreadsheetml.worksheet+xml" PartName="/xl/worksheets/sheet65.xml"/>
  <Override ContentType="application/vnd.openxmlformats-officedocument.vmlDrawing" PartName="/xl/drawings/vmlDrawing65.vml"/>
  <Override ContentType="application/vnd.openxmlformats-officedocument.spreadsheetml.worksheet+xml" PartName="/xl/worksheets/sheet66.xml"/>
  <Override ContentType="application/vnd.openxmlformats-officedocument.vmlDrawing" PartName="/xl/drawings/vmlDrawing66.vml"/>
  <Override ContentType="application/vnd.openxmlformats-officedocument.spreadsheetml.worksheet+xml" PartName="/xl/worksheets/sheet67.xml"/>
  <Override ContentType="application/vnd.openxmlformats-officedocument.vmlDrawing" PartName="/xl/drawings/vmlDrawing67.vml"/>
  <Override ContentType="application/vnd.openxmlformats-officedocument.spreadsheetml.worksheet+xml" PartName="/xl/worksheets/sheet68.xml"/>
  <Override ContentType="application/vnd.openxmlformats-officedocument.vmlDrawing" PartName="/xl/drawings/vmlDrawing68.vml"/>
  <Override ContentType="application/vnd.openxmlformats-officedocument.spreadsheetml.worksheet+xml" PartName="/xl/worksheets/sheet69.xml"/>
  <Override ContentType="application/vnd.openxmlformats-officedocument.vmlDrawing" PartName="/xl/drawings/vmlDrawing69.vml"/>
  <Override ContentType="application/vnd.openxmlformats-officedocument.spreadsheetml.worksheet+xml" PartName="/xl/worksheets/sheet70.xml"/>
  <Override ContentType="application/vnd.openxmlformats-officedocument.vmlDrawing" PartName="/xl/drawings/vmlDrawing70.vml"/>
  <Override ContentType="application/vnd.openxmlformats-officedocument.spreadsheetml.worksheet+xml" PartName="/xl/worksheets/sheet71.xml"/>
  <Override ContentType="application/vnd.openxmlformats-officedocument.vmlDrawing" PartName="/xl/drawings/vmlDrawing71.vml"/>
  <Override ContentType="application/vnd.openxmlformats-officedocument.spreadsheetml.worksheet+xml" PartName="/xl/worksheets/sheet72.xml"/>
  <Override ContentType="application/vnd.openxmlformats-officedocument.vmlDrawing" PartName="/xl/drawings/vmlDrawing72.vml"/>
  <Override ContentType="application/vnd.openxmlformats-officedocument.spreadsheetml.worksheet+xml" PartName="/xl/worksheets/sheet73.xml"/>
  <Override ContentType="application/vnd.openxmlformats-officedocument.vmlDrawing" PartName="/xl/drawings/vmlDrawing73.vml"/>
  <Override ContentType="application/vnd.openxmlformats-officedocument.spreadsheetml.worksheet+xml" PartName="/xl/worksheets/sheet74.xml"/>
  <Override ContentType="application/vnd.openxmlformats-officedocument.vmlDrawing" PartName="/xl/drawings/vmlDrawing74.vml"/>
  <Override ContentType="application/vnd.openxmlformats-officedocument.spreadsheetml.worksheet+xml" PartName="/xl/worksheets/sheet75.xml"/>
  <Override ContentType="application/vnd.openxmlformats-officedocument.vmlDrawing" PartName="/xl/drawings/vmlDrawing75.vml"/>
  <Override ContentType="application/vnd.openxmlformats-officedocument.spreadsheetml.worksheet+xml" PartName="/xl/worksheets/sheet76.xml"/>
  <Override ContentType="application/vnd.openxmlformats-officedocument.vmlDrawing" PartName="/xl/drawings/vmlDrawing76.vml"/>
  <Override ContentType="application/vnd.openxmlformats-officedocument.spreadsheetml.worksheet+xml" PartName="/xl/worksheets/sheet77.xml"/>
  <Override ContentType="application/vnd.openxmlformats-officedocument.vmlDrawing" PartName="/xl/drawings/vmlDrawing77.vml"/>
  <Override ContentType="application/vnd.openxmlformats-officedocument.spreadsheetml.worksheet+xml" PartName="/xl/worksheets/sheet78.xml"/>
  <Override ContentType="application/vnd.openxmlformats-officedocument.vmlDrawing" PartName="/xl/drawings/vmlDrawing78.vml"/>
  <Override ContentType="application/vnd.openxmlformats-officedocument.spreadsheetml.worksheet+xml" PartName="/xl/worksheets/sheet79.xml"/>
  <Override ContentType="application/vnd.openxmlformats-officedocument.vmlDrawing" PartName="/xl/drawings/vmlDrawing79.vml"/>
  <Override ContentType="application/vnd.openxmlformats-officedocument.spreadsheetml.worksheet+xml" PartName="/xl/worksheets/sheet80.xml"/>
  <Override ContentType="application/vnd.openxmlformats-officedocument.vmlDrawing" PartName="/xl/drawings/vmlDrawing80.vml"/>
  <Override ContentType="application/vnd.openxmlformats-officedocument.spreadsheetml.worksheet+xml" PartName="/xl/worksheets/sheet81.xml"/>
  <Override ContentType="application/vnd.openxmlformats-officedocument.vmlDrawing" PartName="/xl/drawings/vmlDrawing81.vml"/>
  <Override ContentType="application/vnd.openxmlformats-officedocument.spreadsheetml.worksheet+xml" PartName="/xl/worksheets/sheet82.xml"/>
  <Override ContentType="application/vnd.openxmlformats-officedocument.vmlDrawing" PartName="/xl/drawings/vmlDrawing82.vml"/>
  <Override ContentType="application/vnd.openxmlformats-officedocument.spreadsheetml.worksheet+xml" PartName="/xl/worksheets/sheet83.xml"/>
  <Override ContentType="application/vnd.openxmlformats-officedocument.vmlDrawing" PartName="/xl/drawings/vmlDrawing83.vml"/>
  <Override ContentType="application/vnd.openxmlformats-officedocument.spreadsheetml.worksheet+xml" PartName="/xl/worksheets/sheet84.xml"/>
  <Override ContentType="application/vnd.openxmlformats-officedocument.vmlDrawing" PartName="/xl/drawings/vmlDrawing84.vml"/>
  <Override ContentType="application/vnd.openxmlformats-officedocument.spreadsheetml.worksheet+xml" PartName="/xl/worksheets/sheet85.xml"/>
  <Override ContentType="application/vnd.openxmlformats-officedocument.vmlDrawing" PartName="/xl/drawings/vmlDrawing85.vml"/>
  <Override ContentType="application/vnd.openxmlformats-officedocument.spreadsheetml.worksheet+xml" PartName="/xl/worksheets/sheet86.xml"/>
  <Override ContentType="application/vnd.openxmlformats-officedocument.vmlDrawing" PartName="/xl/drawings/vmlDrawing86.vml"/>
  <Override ContentType="application/vnd.openxmlformats-officedocument.spreadsheetml.worksheet+xml" PartName="/xl/worksheets/sheet87.xml"/>
  <Override ContentType="application/vnd.openxmlformats-officedocument.vmlDrawing" PartName="/xl/drawings/vmlDrawing87.vml"/>
  <Override ContentType="application/vnd.openxmlformats-officedocument.spreadsheetml.worksheet+xml" PartName="/xl/worksheets/sheet88.xml"/>
  <Override ContentType="application/vnd.openxmlformats-officedocument.vmlDrawing" PartName="/xl/drawings/vmlDrawing88.vml"/>
  <Override ContentType="application/vnd.openxmlformats-officedocument.spreadsheetml.worksheet+xml" PartName="/xl/worksheets/sheet89.xml"/>
  <Override ContentType="application/vnd.openxmlformats-officedocument.vmlDrawing" PartName="/xl/drawings/vmlDrawing89.vml"/>
  <Override ContentType="application/vnd.openxmlformats-officedocument.spreadsheetml.worksheet+xml" PartName="/xl/worksheets/sheet90.xml"/>
  <Override ContentType="application/vnd.openxmlformats-officedocument.vmlDrawing" PartName="/xl/drawings/vmlDrawing90.vml"/>
  <Override ContentType="application/vnd.openxmlformats-officedocument.spreadsheetml.worksheet+xml" PartName="/xl/worksheets/sheet91.xml"/>
  <Override ContentType="application/vnd.openxmlformats-officedocument.vmlDrawing" PartName="/xl/drawings/vmlDrawing91.vml"/>
  <Override ContentType="application/vnd.openxmlformats-officedocument.spreadsheetml.worksheet+xml" PartName="/xl/worksheets/sheet92.xml"/>
  <Override ContentType="application/vnd.openxmlformats-officedocument.vmlDrawing" PartName="/xl/drawings/vmlDrawing92.vml"/>
  <Override ContentType="application/vnd.openxmlformats-officedocument.spreadsheetml.worksheet+xml" PartName="/xl/worksheets/sheet93.xml"/>
  <Override ContentType="application/vnd.openxmlformats-officedocument.vmlDrawing" PartName="/xl/drawings/vmlDrawing93.vml"/>
  <Override ContentType="application/vnd.openxmlformats-officedocument.spreadsheetml.worksheet+xml" PartName="/xl/worksheets/sheet94.xml"/>
  <Override ContentType="application/vnd.openxmlformats-officedocument.vmlDrawing" PartName="/xl/drawings/vmlDrawing94.vml"/>
  <Override ContentType="application/vnd.openxmlformats-officedocument.spreadsheetml.worksheet+xml" PartName="/xl/worksheets/sheet95.xml"/>
  <Override ContentType="application/vnd.openxmlformats-officedocument.spreadsheetml.worksheet+xml" PartName="/xl/worksheets/sheet96.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comments+xml" PartName="/xl/comments39.xml"/>
  <Override ContentType="application/vnd.openxmlformats-officedocument.spreadsheetml.comments+xml" PartName="/xl/comments40.xml"/>
  <Override ContentType="application/vnd.openxmlformats-officedocument.spreadsheetml.comments+xml" PartName="/xl/comments41.xml"/>
  <Override ContentType="application/vnd.openxmlformats-officedocument.spreadsheetml.comments+xml" PartName="/xl/comments42.xml"/>
  <Override ContentType="application/vnd.openxmlformats-officedocument.spreadsheetml.comments+xml" PartName="/xl/comments43.xml"/>
  <Override ContentType="application/vnd.openxmlformats-officedocument.spreadsheetml.comments+xml" PartName="/xl/comments44.xml"/>
  <Override ContentType="application/vnd.openxmlformats-officedocument.spreadsheetml.comments+xml" PartName="/xl/comments45.xml"/>
  <Override ContentType="application/vnd.openxmlformats-officedocument.spreadsheetml.comments+xml" PartName="/xl/comments46.xml"/>
  <Override ContentType="application/vnd.openxmlformats-officedocument.spreadsheetml.comments+xml" PartName="/xl/comments47.xml"/>
  <Override ContentType="application/vnd.openxmlformats-officedocument.spreadsheetml.comments+xml" PartName="/xl/comments48.xml"/>
  <Override ContentType="application/vnd.openxmlformats-officedocument.spreadsheetml.comments+xml" PartName="/xl/comments49.xml"/>
  <Override ContentType="application/vnd.openxmlformats-officedocument.spreadsheetml.comments+xml" PartName="/xl/comments50.xml"/>
  <Override ContentType="application/vnd.openxmlformats-officedocument.spreadsheetml.comments+xml" PartName="/xl/comments51.xml"/>
  <Override ContentType="application/vnd.openxmlformats-officedocument.spreadsheetml.comments+xml" PartName="/xl/comments52.xml"/>
  <Override ContentType="application/vnd.openxmlformats-officedocument.spreadsheetml.comments+xml" PartName="/xl/comments53.xml"/>
  <Override ContentType="application/vnd.openxmlformats-officedocument.spreadsheetml.comments+xml" PartName="/xl/comments54.xml"/>
  <Override ContentType="application/vnd.openxmlformats-officedocument.spreadsheetml.comments+xml" PartName="/xl/comments55.xml"/>
  <Override ContentType="application/vnd.openxmlformats-officedocument.spreadsheetml.comments+xml" PartName="/xl/comments56.xml"/>
  <Override ContentType="application/vnd.openxmlformats-officedocument.spreadsheetml.comments+xml" PartName="/xl/comments57.xml"/>
  <Override ContentType="application/vnd.openxmlformats-officedocument.spreadsheetml.comments+xml" PartName="/xl/comments58.xml"/>
  <Override ContentType="application/vnd.openxmlformats-officedocument.spreadsheetml.comments+xml" PartName="/xl/comments59.xml"/>
  <Override ContentType="application/vnd.openxmlformats-officedocument.spreadsheetml.comments+xml" PartName="/xl/comments60.xml"/>
  <Override ContentType="application/vnd.openxmlformats-officedocument.spreadsheetml.comments+xml" PartName="/xl/comments61.xml"/>
  <Override ContentType="application/vnd.openxmlformats-officedocument.spreadsheetml.comments+xml" PartName="/xl/comments62.xml"/>
  <Override ContentType="application/vnd.openxmlformats-officedocument.spreadsheetml.comments+xml" PartName="/xl/comments63.xml"/>
  <Override ContentType="application/vnd.openxmlformats-officedocument.spreadsheetml.comments+xml" PartName="/xl/comments64.xml"/>
  <Override ContentType="application/vnd.openxmlformats-officedocument.spreadsheetml.comments+xml" PartName="/xl/comments65.xml"/>
  <Override ContentType="application/vnd.openxmlformats-officedocument.spreadsheetml.comments+xml" PartName="/xl/comments66.xml"/>
  <Override ContentType="application/vnd.openxmlformats-officedocument.spreadsheetml.comments+xml" PartName="/xl/comments67.xml"/>
  <Override ContentType="application/vnd.openxmlformats-officedocument.spreadsheetml.comments+xml" PartName="/xl/comments68.xml"/>
  <Override ContentType="application/vnd.openxmlformats-officedocument.spreadsheetml.comments+xml" PartName="/xl/comments69.xml"/>
  <Override ContentType="application/vnd.openxmlformats-officedocument.spreadsheetml.comments+xml" PartName="/xl/comments70.xml"/>
  <Override ContentType="application/vnd.openxmlformats-officedocument.spreadsheetml.comments+xml" PartName="/xl/comments71.xml"/>
  <Override ContentType="application/vnd.openxmlformats-officedocument.spreadsheetml.comments+xml" PartName="/xl/comments72.xml"/>
  <Override ContentType="application/vnd.openxmlformats-officedocument.spreadsheetml.comments+xml" PartName="/xl/comments73.xml"/>
  <Override ContentType="application/vnd.openxmlformats-officedocument.spreadsheetml.comments+xml" PartName="/xl/comments74.xml"/>
  <Override ContentType="application/vnd.openxmlformats-officedocument.spreadsheetml.comments+xml" PartName="/xl/comments75.xml"/>
  <Override ContentType="application/vnd.openxmlformats-officedocument.spreadsheetml.comments+xml" PartName="/xl/comments76.xml"/>
  <Override ContentType="application/vnd.openxmlformats-officedocument.spreadsheetml.comments+xml" PartName="/xl/comments77.xml"/>
  <Override ContentType="application/vnd.openxmlformats-officedocument.spreadsheetml.comments+xml" PartName="/xl/comments78.xml"/>
  <Override ContentType="application/vnd.openxmlformats-officedocument.spreadsheetml.comments+xml" PartName="/xl/comments79.xml"/>
  <Override ContentType="application/vnd.openxmlformats-officedocument.spreadsheetml.comments+xml" PartName="/xl/comments80.xml"/>
  <Override ContentType="application/vnd.openxmlformats-officedocument.spreadsheetml.comments+xml" PartName="/xl/comments81.xml"/>
  <Override ContentType="application/vnd.openxmlformats-officedocument.spreadsheetml.comments+xml" PartName="/xl/comments82.xml"/>
  <Override ContentType="application/vnd.openxmlformats-officedocument.spreadsheetml.comments+xml" PartName="/xl/comments83.xml"/>
  <Override ContentType="application/vnd.openxmlformats-officedocument.spreadsheetml.comments+xml" PartName="/xl/comments84.xml"/>
  <Override ContentType="application/vnd.openxmlformats-officedocument.spreadsheetml.comments+xml" PartName="/xl/comments85.xml"/>
  <Override ContentType="application/vnd.openxmlformats-officedocument.spreadsheetml.comments+xml" PartName="/xl/comments86.xml"/>
  <Override ContentType="application/vnd.openxmlformats-officedocument.spreadsheetml.comments+xml" PartName="/xl/comments87.xml"/>
  <Override ContentType="application/vnd.openxmlformats-officedocument.spreadsheetml.comments+xml" PartName="/xl/comments88.xml"/>
  <Override ContentType="application/vnd.openxmlformats-officedocument.spreadsheetml.comments+xml" PartName="/xl/comments89.xml"/>
  <Override ContentType="application/vnd.openxmlformats-officedocument.spreadsheetml.comments+xml" PartName="/xl/comments90.xml"/>
  <Override ContentType="application/vnd.openxmlformats-officedocument.spreadsheetml.comments+xml" PartName="/xl/comments91.xml"/>
  <Override ContentType="application/vnd.openxmlformats-officedocument.spreadsheetml.comments+xml" PartName="/xl/comments92.xml"/>
  <Override ContentType="application/vnd.openxmlformats-officedocument.spreadsheetml.comments+xml" PartName="/xl/comments93.xml"/>
  <Override ContentType="application/vnd.openxmlformats-officedocument.spreadsheetml.comments+xml" PartName="/xl/comments9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RulebookReleases" sheetId="1" r:id="rId1"/>
    <sheet name="OntologyProfiles" sheetId="2" r:id="rId3"/>
    <sheet name="EvaluationContexts" sheetId="3" r:id="rId4"/>
    <sheet name="Organizations" sheetId="4" r:id="rId5"/>
    <sheet name="Agents" sheetId="5" r:id="rId6"/>
    <sheet name="Roles" sheetId="6" r:id="rId7"/>
    <sheet name="RoleAssignments" sheetId="7" r:id="rId8"/>
    <sheet name="CommunitiesOfPractice" sheetId="8" r:id="rId9"/>
    <sheet name="Mentorships" sheetId="9" r:id="rId10"/>
    <sheet name="ProcedureTypes" sheetId="10" r:id="rId11"/>
    <sheet name="Procedures" sheetId="11" r:id="rId12"/>
    <sheet name="ProcedureVersions" sheetId="12" r:id="rId13"/>
    <sheet name="ProcedureVersionLinks" sheetId="13" r:id="rId14"/>
    <sheet name="ProcedureStatusChanges" sheetId="14" r:id="rId15"/>
    <sheet name="Steps" sheetId="15" r:id="rId16"/>
    <sheet name="StepTransitions" sheetId="16" r:id="rId17"/>
    <sheet name="Actions" sheetId="17" r:id="rId18"/>
    <sheet name="Functions" sheetId="18" r:id="rId19"/>
    <sheet name="Tools" sheetId="19" r:id="rId20"/>
    <sheet name="StepActions" sheetId="20" r:id="rId21"/>
    <sheet name="StepFunctions" sheetId="21" r:id="rId22"/>
    <sheet name="StepTools" sheetId="22" r:id="rId23"/>
    <sheet name="Requirements" sheetId="23" r:id="rId24"/>
    <sheet name="StepRequirements" sheetId="24" r:id="rId25"/>
    <sheet name="StepVerifications" sheetId="25" r:id="rId26"/>
    <sheet name="Rationales" sheetId="26" r:id="rId27"/>
    <sheet name="Exceptions" sheetId="27" r:id="rId28"/>
    <sheet name="Resources" sheetId="28" r:id="rId29"/>
    <sheet name="ProcedureResources" sheetId="29" r:id="rId30"/>
    <sheet name="ElicitationSessions" sheetId="30" r:id="rId31"/>
    <sheet name="KnowledgeFragments" sheetId="31" r:id="rId32"/>
    <sheet name="KnowledgeGaps" sheetId="32" r:id="rId33"/>
    <sheet name="FAQs" sheetId="33" r:id="rId34"/>
    <sheet name="Explanations" sheetId="34" r:id="rId35"/>
    <sheet name="ProcedureExecutions" sheetId="35" r:id="rId36"/>
    <sheet name="StepExecutions" sheetId="36" r:id="rId37"/>
    <sheet name="RequirementSatisfactions" sheetId="37" r:id="rId38"/>
    <sheet name="Errors" sheetId="38" r:id="rId39"/>
    <sheet name="IssueOccurrences" sheetId="39" r:id="rId40"/>
    <sheet name="UserQuestions" sheetId="40" r:id="rId41"/>
    <sheet name="UserFeedback" sheetId="41" r:id="rId42"/>
    <sheet name="StewardshipAssignments" sheetId="42" r:id="rId43"/>
    <sheet name="ChangeRequests" sheetId="43" r:id="rId44"/>
    <sheet name="ReviewEvents" sheetId="44" r:id="rId45"/>
    <sheet name="LearningActivities" sheetId="45" r:id="rId46"/>
    <sheet name="OperationalBindings" sheetId="46" r:id="rId47"/>
    <sheet name="CommunicationPolicies" sheetId="47" r:id="rId48"/>
    <sheet name="MessageTemplates" sheetId="48" r:id="rId49"/>
    <sheet name="SemanticMappings" sheetId="49" r:id="rId50"/>
    <sheet name="WitnessLoops" sheetId="50" r:id="rId51"/>
    <sheet name="RoleQuestions" sheetId="51" r:id="rId52"/>
    <sheet name="RulebookFields" sheetId="52" r:id="rId53"/>
    <sheet name="TestSuites" sheetId="53" r:id="rId54"/>
    <sheet name="TestCases" sheetId="54" r:id="rId55"/>
    <sheet name="ERBVersions" sheetId="55" r:id="rId56"/>
    <sheet name="ERBCustomizations" sheetId="56" r:id="rId57"/>
    <sheet name="ExceptionInvocations" sheetId="57" r:id="rId58"/>
    <sheet name="VerificationOutcomes" sheetId="58" r:id="rId59"/>
    <sheet name="ObservedTransitions" sheetId="59" r:id="rId60"/>
    <sheet name="Recipients" sheetId="60" r:id="rId61"/>
    <sheet name="MessageDeliveries" sheetId="61" r:id="rId62"/>
    <sheet name="TemplateApprovals" sheetId="62" r:id="rId63"/>
    <sheet name="SendIntents" sheetId="63" r:id="rId64"/>
    <sheet name="AgentDecisionRecords" sheetId="64" r:id="rId65"/>
    <sheet name="DeliveredCommunications" sheetId="65" r:id="rId66"/>
    <sheet name="AuthorityBoundaries" sheetId="66" r:id="rId67"/>
    <sheet name="BindingObservations" sheetId="67" r:id="rId68"/>
    <sheet name="Attestations" sheetId="68" r:id="rId69"/>
    <sheet name="AppRoleProfiles" sheetId="69" r:id="rId70"/>
    <sheet name="AppNavGroups" sheetId="70" r:id="rId71"/>
    <sheet name="AppRoutes" sheetId="71" r:id="rId72"/>
    <sheet name="AppRouteQuestions" sheetId="72" r:id="rId73"/>
    <sheet name="AppRouteReferences" sheetId="73" r:id="rId74"/>
    <sheet name="RulebookTables" sheetId="74" r:id="rId75"/>
    <sheet name="AccessPrincipals" sheetId="75" r:id="rId76"/>
    <sheet name="AccessPolicies" sheetId="76" r:id="rId77"/>
    <sheet name="FieldGrants" sheetId="77" r:id="rId78"/>
    <sheet name="RoleSchemas" sheetId="78" r:id="rId79"/>
    <sheet name="RoleSchemaViews" sheetId="79" r:id="rId80"/>
    <sheet name="JwtClaimMappings" sheetId="80" r:id="rId81"/>
    <sheet name="AccessDenialTests" sheetId="81" r:id="rId82"/>
    <sheet name="AppUsers" sheetId="82" r:id="rId83"/>
    <sheet name="PrincipalAssignments" sheetId="83" r:id="rId84"/>
    <sheet name="IssuedTokens" sheetId="84" r:id="rId85"/>
    <sheet name="ProcessMiningRuns" sheetId="85" r:id="rId86"/>
    <sheet name="Vocabularies" sheetId="86" r:id="rId87"/>
    <sheet name="VocabularyTerms" sheetId="87" r:id="rId88"/>
    <sheet name="KnowledgeBrokerLinks" sheetId="88" r:id="rId89"/>
    <sheet name="ConformanceSubstrates" sheetId="89" r:id="rId90"/>
    <sheet name="ConformanceRuns" sheetId="90" r:id="rId91"/>
    <sheet name="SubstrateRunScores" sheetId="91" r:id="rId92"/>
    <sheet name="TableConformance" sheetId="92" r:id="rId93"/>
    <sheet name="FieldDisagreements" sheetId="93" r:id="rId94"/>
    <sheet name="CellDisagreements" sheetId="94" r:id="rId95"/>
    <sheet name="__parameters__" sheetId="95" r:id="rId96"/>
    <sheet name="_original_json" sheetId="96" r:id="rId97" state="hidden"/>
  </sheets>
  <definedNames>
    <definedName name="_xlnm._FilterDatabase" localSheetId="80" hidden="1">AccessDenialTests!$A$1:$R$1</definedName>
    <definedName name="_xlnm._FilterDatabase" localSheetId="75" hidden="1">AccessPolicies!$A$1:$P$1</definedName>
    <definedName name="_xlnm._FilterDatabase" localSheetId="74" hidden="1">AccessPrincipals!$A$1:$O$1</definedName>
    <definedName name="_xlnm._FilterDatabase" localSheetId="16" hidden="1">Actions!$A$1:$E$1</definedName>
    <definedName name="_xlnm._FilterDatabase" localSheetId="63" hidden="1">AgentDecisionRecords!$A$1:$AN$1</definedName>
    <definedName name="_xlnm._FilterDatabase" localSheetId="4" hidden="1">Agents!$A$1:$W$1</definedName>
    <definedName name="_xlnm._FilterDatabase" localSheetId="69" hidden="1">AppNavGroups!$A$1:$E$1</definedName>
    <definedName name="_xlnm._FilterDatabase" localSheetId="68" hidden="1">AppRoleProfiles!$A$1:$L$1</definedName>
    <definedName name="_xlnm._FilterDatabase" localSheetId="71" hidden="1">AppRouteQuestions!$A$1:$E$1</definedName>
    <definedName name="_xlnm._FilterDatabase" localSheetId="72" hidden="1">AppRouteReferences!$A$1:$E$1</definedName>
    <definedName name="_xlnm._FilterDatabase" localSheetId="70" hidden="1">AppRoutes!$A$1:$R$1</definedName>
    <definedName name="_xlnm._FilterDatabase" localSheetId="81" hidden="1">AppUsers!$A$1:$M$1</definedName>
    <definedName name="_xlnm._FilterDatabase" localSheetId="67" hidden="1">Attestations!$A$1:$L$1</definedName>
    <definedName name="_xlnm._FilterDatabase" localSheetId="65" hidden="1">AuthorityBoundaries!$A$1:$AG$1</definedName>
    <definedName name="_xlnm._FilterDatabase" localSheetId="66" hidden="1">BindingObservations!$A$1:$K$1</definedName>
    <definedName name="_xlnm._FilterDatabase" localSheetId="93" hidden="1">CellDisagreements!$A$1:$J$1</definedName>
    <definedName name="_xlnm._FilterDatabase" localSheetId="42" hidden="1">ChangeRequests!$A$1:$AS$1</definedName>
    <definedName name="_xlnm._FilterDatabase" localSheetId="46" hidden="1">CommunicationPolicies!$A$1:$V$1</definedName>
    <definedName name="_xlnm._FilterDatabase" localSheetId="7" hidden="1">CommunitiesOfPractice!$A$1:$H$1</definedName>
    <definedName name="_xlnm._FilterDatabase" localSheetId="89" hidden="1">ConformanceRuns!$A$1:$P$1</definedName>
    <definedName name="_xlnm._FilterDatabase" localSheetId="88" hidden="1">ConformanceSubstrates!$A$1:$T$1</definedName>
    <definedName name="_xlnm._FilterDatabase" localSheetId="64" hidden="1">DeliveredCommunications!$A$1:$R$1</definedName>
    <definedName name="_xlnm._FilterDatabase" localSheetId="29" hidden="1">ElicitationSessions!$A$1:$U$1</definedName>
    <definedName name="_xlnm._FilterDatabase" localSheetId="55" hidden="1">ERBCustomizations!$A$1:$F$1</definedName>
    <definedName name="_xlnm._FilterDatabase" localSheetId="54" hidden="1">ERBVersions!$A$1:$G$1</definedName>
    <definedName name="_xlnm._FilterDatabase" localSheetId="37" hidden="1">Errors!$A$1:$F$1</definedName>
    <definedName name="_xlnm._FilterDatabase" localSheetId="2" hidden="1">EvaluationContexts!$A$1:$G$1</definedName>
    <definedName name="_xlnm._FilterDatabase" localSheetId="56" hidden="1">ExceptionInvocations!$A$1:$U$1</definedName>
    <definedName name="_xlnm._FilterDatabase" localSheetId="26" hidden="1">Exceptions!$A$1:$K$1</definedName>
    <definedName name="_xlnm._FilterDatabase" localSheetId="33" hidden="1">Explanations!$A$1:$G$1</definedName>
    <definedName name="_xlnm._FilterDatabase" localSheetId="32" hidden="1">FAQs!$A$1:$I$1</definedName>
    <definedName name="_xlnm._FilterDatabase" localSheetId="92" hidden="1">FieldDisagreements!$A$1:$M$1</definedName>
    <definedName name="_xlnm._FilterDatabase" localSheetId="76" hidden="1">FieldGrants!$A$1:$N$1</definedName>
    <definedName name="_xlnm._FilterDatabase" localSheetId="17" hidden="1">Functions!$A$1:$F$1</definedName>
    <definedName name="_xlnm._FilterDatabase" localSheetId="83" hidden="1">IssuedTokens!$A$1:$K$1</definedName>
    <definedName name="_xlnm._FilterDatabase" localSheetId="38" hidden="1">IssueOccurrences!$A$1:$L$1</definedName>
    <definedName name="_xlnm._FilterDatabase" localSheetId="79" hidden="1">JwtClaimMappings!$A$1:$I$1</definedName>
    <definedName name="_xlnm._FilterDatabase" localSheetId="87" hidden="1">KnowledgeBrokerLinks!$A$1:$P$1</definedName>
    <definedName name="_xlnm._FilterDatabase" localSheetId="30" hidden="1">KnowledgeFragments!$A$1:$CB$1</definedName>
    <definedName name="_xlnm._FilterDatabase" localSheetId="31" hidden="1">KnowledgeGaps!$A$1:$AB$1</definedName>
    <definedName name="_xlnm._FilterDatabase" localSheetId="44" hidden="1">LearningActivities!$A$1:$J$1</definedName>
    <definedName name="_xlnm._FilterDatabase" localSheetId="8" hidden="1">Mentorships!$A$1:$J$1</definedName>
    <definedName name="_xlnm._FilterDatabase" localSheetId="60" hidden="1">MessageDeliveries!$A$1:$CP$1</definedName>
    <definedName name="_xlnm._FilterDatabase" localSheetId="47" hidden="1">MessageTemplates!$A$1:$Z$1</definedName>
    <definedName name="_xlnm._FilterDatabase" localSheetId="58" hidden="1">ObservedTransitions!$A$1:$H$1</definedName>
    <definedName name="_xlnm._FilterDatabase" localSheetId="1" hidden="1">OntologyProfiles!$A$1:$H$1</definedName>
    <definedName name="_xlnm._FilterDatabase" localSheetId="45" hidden="1">OperationalBindings!$A$1:$V$1</definedName>
    <definedName name="_xlnm._FilterDatabase" localSheetId="3" hidden="1">Organizations!$A$1:$F$1</definedName>
    <definedName name="_xlnm._FilterDatabase" localSheetId="82" hidden="1">PrincipalAssignments!$A$1:$K$1</definedName>
    <definedName name="_xlnm._FilterDatabase" localSheetId="34" hidden="1">ProcedureExecutions!$A$1:$BZ$1</definedName>
    <definedName name="_xlnm._FilterDatabase" localSheetId="28" hidden="1">ProcedureResources!$A$1:$F$1</definedName>
    <definedName name="_xlnm._FilterDatabase" localSheetId="10" hidden="1">Procedures!$A$1:$K$1</definedName>
    <definedName name="_xlnm._FilterDatabase" localSheetId="13" hidden="1">ProcedureStatusChanges!$A$1:$I$1</definedName>
    <definedName name="_xlnm._FilterDatabase" localSheetId="9" hidden="1">ProcedureTypes!$A$1:$E$1</definedName>
    <definedName name="_xlnm._FilterDatabase" localSheetId="12" hidden="1">ProcedureVersionLinks!$A$1:$G$1</definedName>
    <definedName name="_xlnm._FilterDatabase" localSheetId="11" hidden="1">ProcedureVersions!$A$1:$CI$1</definedName>
    <definedName name="_xlnm._FilterDatabase" localSheetId="84" hidden="1">ProcessMiningRuns!$A$1:$S$1</definedName>
    <definedName name="_xlnm._FilterDatabase" localSheetId="25" hidden="1">Rationales!$A$1:$I$1</definedName>
    <definedName name="_xlnm._FilterDatabase" localSheetId="59" hidden="1">Recipients!$A$1:$O$1</definedName>
    <definedName name="_xlnm._FilterDatabase" localSheetId="22" hidden="1">Requirements!$A$1:$AQ$1</definedName>
    <definedName name="_xlnm._FilterDatabase" localSheetId="36" hidden="1">RequirementSatisfactions!$A$1:$AT$1</definedName>
    <definedName name="_xlnm._FilterDatabase" localSheetId="27" hidden="1">Resources!$A$1:$K$1</definedName>
    <definedName name="_xlnm._FilterDatabase" localSheetId="43" hidden="1">ReviewEvents!$A$1:$T$1</definedName>
    <definedName name="_xlnm._FilterDatabase" localSheetId="6" hidden="1">RoleAssignments!$A$1:$BM$1</definedName>
    <definedName name="_xlnm._FilterDatabase" localSheetId="50" hidden="1">RoleQuestions!$A$1:$K$1</definedName>
    <definedName name="_xlnm._FilterDatabase" localSheetId="5" hidden="1">Roles!$A$1:$X$1</definedName>
    <definedName name="_xlnm._FilterDatabase" localSheetId="77" hidden="1">RoleSchemas!$A$1:$I$1</definedName>
    <definedName name="_xlnm._FilterDatabase" localSheetId="78" hidden="1">RoleSchemaViews!$A$1:$N$1</definedName>
    <definedName name="_xlnm._FilterDatabase" localSheetId="51" hidden="1">RulebookFields!$A$1:$M$1</definedName>
    <definedName name="_xlnm._FilterDatabase" localSheetId="0" hidden="1">RulebookReleases!$A$1:$K$1</definedName>
    <definedName name="_xlnm._FilterDatabase" localSheetId="73" hidden="1">RulebookTables!$A$1:$L$1</definedName>
    <definedName name="_xlnm._FilterDatabase" localSheetId="48" hidden="1">SemanticMappings!$A$1:$H$1</definedName>
    <definedName name="_xlnm._FilterDatabase" localSheetId="62" hidden="1">SendIntents!$A$1:$CV$1</definedName>
    <definedName name="_xlnm._FilterDatabase" localSheetId="19" hidden="1">StepActions!$A$1:$D$1</definedName>
    <definedName name="_xlnm._FilterDatabase" localSheetId="35" hidden="1">StepExecutions!$A$1:$DE$1</definedName>
    <definedName name="_xlnm._FilterDatabase" localSheetId="20" hidden="1">StepFunctions!$A$1:$D$1</definedName>
    <definedName name="_xlnm._FilterDatabase" localSheetId="23" hidden="1">StepRequirements!$A$1:$M$1</definedName>
    <definedName name="_xlnm._FilterDatabase" localSheetId="14" hidden="1">Steps!$A$1:$BB$1</definedName>
    <definedName name="_xlnm._FilterDatabase" localSheetId="21" hidden="1">StepTools!$A$1:$D$1</definedName>
    <definedName name="_xlnm._FilterDatabase" localSheetId="15" hidden="1">StepTransitions!$A$1:$AB$1</definedName>
    <definedName name="_xlnm._FilterDatabase" localSheetId="24" hidden="1">StepVerifications!$A$1:$H$1</definedName>
    <definedName name="_xlnm._FilterDatabase" localSheetId="41" hidden="1">StewardshipAssignments!$A$1:$N$1</definedName>
    <definedName name="_xlnm._FilterDatabase" localSheetId="90" hidden="1">SubstrateRunScores!$A$1:$AA$1</definedName>
    <definedName name="_xlnm._FilterDatabase" localSheetId="91" hidden="1">TableConformance!$A$1:$S$1</definedName>
    <definedName name="_xlnm._FilterDatabase" localSheetId="61" hidden="1">TemplateApprovals!$A$1:$O$1</definedName>
    <definedName name="_xlnm._FilterDatabase" localSheetId="53" hidden="1">TestCases!$A$1:$T$1</definedName>
    <definedName name="_xlnm._FilterDatabase" localSheetId="52" hidden="1">TestSuites!$A$1:$H$1</definedName>
    <definedName name="_xlnm._FilterDatabase" localSheetId="18" hidden="1">Tools!$A$1:$E$1</definedName>
    <definedName name="_xlnm._FilterDatabase" localSheetId="40" hidden="1">UserFeedback!$A$1:$I$1</definedName>
    <definedName name="_xlnm._FilterDatabase" localSheetId="39" hidden="1">UserQuestions!$A$1:$J$1</definedName>
    <definedName name="_xlnm._FilterDatabase" localSheetId="57" hidden="1">VerificationOutcomes!$A$1:$Z$1</definedName>
    <definedName name="_xlnm._FilterDatabase" localSheetId="85" hidden="1">Vocabularies!$A$1:$I$1</definedName>
    <definedName name="_xlnm._FilterDatabase" localSheetId="86" hidden="1">VocabularyTerms!$A$1:$K$1</definedName>
    <definedName name="_xlnm._FilterDatabase" localSheetId="49" hidden="1">WitnessLoops!$A$1:$M$1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RulebookReleases row.</t>
        </r>
      </text>
    </comment>
    <comment ref="C1" authorId="0">
      <text>
        <r>
          <rPr>
            <rFont val="Aptos Narrow"/>
            <b/>
            <color rgb="FFFFFFFF"/>
            <sz val="11"/>
          </rPr>
          <t>Semantic version of this canonical rulebook release.</t>
        </r>
      </text>
    </comment>
    <comment ref="D1" authorId="0">
      <text>
        <r>
          <rPr>
            <rFont val="Aptos Narrow"/>
            <b/>
            <color rgb="FFFFFFFF"/>
            <sz val="11"/>
          </rPr>
          <t>Version of the ERB-PKO profile schema.</t>
        </r>
      </text>
    </comment>
    <comment ref="E1" authorId="0">
      <text>
        <r>
          <rPr>
            <rFont val="Aptos Narrow"/>
            <b/>
            <color rgb="FFFFFFFF"/>
            <sz val="11"/>
          </rPr>
          <t>Repository-relative path to the ERB-PKO JSON profile schema.</t>
        </r>
      </text>
    </comment>
    <comment ref="F1" authorId="0">
      <text>
        <r>
          <rPr>
            <rFont val="Aptos Narrow"/>
            <b/>
            <color rgb="FFFFFFFF"/>
            <sz val="11"/>
          </rPr>
          <t>Exact version IRI of the PKO core ontology used by this release.</t>
        </r>
      </text>
    </comment>
    <comment ref="G1" authorId="0">
      <text>
        <r>
          <rPr>
            <rFont val="Aptos Narrow"/>
            <b/>
            <color rgb="FFFFFFFF"/>
            <sz val="11"/>
          </rPr>
          <t>Exact version IRI of the PKO industry module used by this release.</t>
        </r>
      </text>
    </comment>
    <comment ref="H1" authorId="0">
      <text>
        <r>
          <rPr>
            <rFont val="Aptos Narrow"/>
            <b/>
            <color rgb="FFFFFFFF"/>
            <sz val="11"/>
          </rPr>
          <t>Timestamp at which this rulebook release was issued.</t>
        </r>
      </text>
    </comment>
    <comment ref="I1" authorId="0">
      <text>
        <r>
          <rPr>
            <rFont val="Aptos Narrow"/>
            <b/>
            <color rgb="FFFFFFFF"/>
            <sz val="11"/>
          </rPr>
          <t>Release status such as Draft, Candidate, or Published.</t>
        </r>
      </text>
    </comment>
    <comment ref="J1" authorId="0">
      <text>
        <r>
          <rPr>
            <rFont val="Aptos Narrow"/>
            <b/>
            <color rgb="FFFFFFFF"/>
            <sz val="11"/>
          </rPr>
          <t>Human-readable semantic changelog for this release.</t>
        </r>
      </text>
    </comment>
    <comment ref="K1" authorId="0">
      <text>
        <r>
          <rPr>
            <rFont val="Aptos Narrow"/>
            <b/>
            <color rgb="FFFFFFFF"/>
            <sz val="11"/>
          </rPr>
          <t>TRUE only for the current rulebook release.</t>
        </r>
      </text>
    </comment>
    <comment ref="B1" authorId="0">
      <text>
        <r>
          <rPr>
            <rFont val="Aptos Narrow"/>
            <b/>
            <color rgb="FFFFFFFF"/>
            <sz val="11"/>
          </rPr>
          <t>Human-readable calculated display alias for the RulebookReleases row.</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OntologyProfiles row.</t>
        </r>
      </text>
    </comment>
    <comment ref="C1" authorId="0">
      <text>
        <r>
          <rPr>
            <rFont val="Aptos Narrow"/>
            <b/>
            <color rgb="FFFFFFFF"/>
            <sz val="11"/>
          </rPr>
          <t>Human-readable ontology or vocabulary name.</t>
        </r>
      </text>
    </comment>
    <comment ref="D1" authorId="0">
      <text>
        <r>
          <rPr>
            <rFont val="Aptos Narrow"/>
            <b/>
            <color rgb="FFFFFFFF"/>
            <sz val="11"/>
          </rPr>
          <t>Referenced release or specification version.</t>
        </r>
      </text>
    </comment>
    <comment ref="E1" authorId="0">
      <text>
        <r>
          <rPr>
            <rFont val="Aptos Narrow"/>
            <b/>
            <color rgb="FFFFFFFF"/>
            <sz val="11"/>
          </rPr>
          <t>Exact version IRI or normative specification URI.</t>
        </r>
      </text>
    </comment>
    <comment ref="F1" authorId="0">
      <text>
        <r>
          <rPr>
            <rFont val="Aptos Narrow"/>
            <b/>
            <color rgb="FFFFFFFF"/>
            <sz val="11"/>
          </rPr>
          <t>Namespace used for class/property IRIs.</t>
        </r>
      </text>
    </comment>
    <comment ref="G1" authorId="0">
      <text>
        <r>
          <rPr>
            <rFont val="Aptos Narrow"/>
            <b/>
            <color rgb="FFFFFFFF"/>
            <sz val="11"/>
          </rPr>
          <t>License or standards body attribution.</t>
        </r>
      </text>
    </comment>
    <comment ref="H1" authorId="0">
      <text>
        <r>
          <rPr>
            <rFont val="Aptos Narrow"/>
            <b/>
            <color rgb="FFFFFFFF"/>
            <sz val="11"/>
          </rPr>
          <t>How the profile is used in this rulebook.</t>
        </r>
      </text>
    </comment>
    <comment ref="B1" authorId="0">
      <text>
        <r>
          <rPr>
            <rFont val="Aptos Narrow"/>
            <b/>
            <color rgb="FFFFFFFF"/>
            <sz val="11"/>
          </rPr>
          <t>Human-readable calculated display alias for the OntologyProfiles row.</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EvaluationContexts row.</t>
        </r>
      </text>
    </comment>
    <comment ref="C1" authorId="0">
      <text>
        <r>
          <rPr>
            <rFont val="Aptos Narrow"/>
            <b/>
            <color rgb="FFFFFFFF"/>
            <sz val="11"/>
          </rPr>
          <t>What this evaluation instant represents.</t>
        </r>
      </text>
    </comment>
    <comment ref="D1" authorId="0">
      <text>
        <r>
          <rPr>
            <rFont val="Aptos Narrow"/>
            <b/>
            <color rgb="FFFFFFFF"/>
            <sz val="11"/>
          </rPr>
          <t>The instant all time-dependent witnesses are evaluated against.</t>
        </r>
      </text>
    </comment>
    <comment ref="E1" authorId="0">
      <text>
        <r>
          <rPr>
            <rFont val="Aptos Narrow"/>
            <b/>
            <color rgb="FFFFFFFF"/>
            <sz val="11"/>
          </rPr>
          <t>TRUE for the single active evaluation context.</t>
        </r>
      </text>
    </comment>
    <comment ref="F1" authorId="0">
      <text>
        <r>
          <rPr>
            <rFont val="Aptos Narrow"/>
            <b/>
            <color rgb="FFFFFFFF"/>
            <sz val="11"/>
          </rPr>
          <t>Why this instant was chosen.</t>
        </r>
      </text>
    </comment>
    <comment ref="G1" authorId="0">
      <text>
        <r>
          <rPr>
            <rFont val="Aptos Narrow"/>
            <b/>
            <color rgb="FFFFFFFF"/>
            <sz val="11"/>
          </rPr>
          <t>Extension class IRI.</t>
        </r>
      </text>
    </comment>
    <comment ref="B1" authorId="0">
      <text>
        <r>
          <rPr>
            <rFont val="Aptos Narrow"/>
            <b/>
            <color rgb="FFFFFFFF"/>
            <sz val="11"/>
          </rPr>
          <t>Human-readable calculated display alias for the EvaluationContexts row.</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Organizations row.</t>
        </r>
      </text>
    </comment>
    <comment ref="C1" authorId="0">
      <text>
        <r>
          <rPr>
            <rFont val="Aptos Narrow"/>
            <b/>
            <color rgb="FFFFFFFF"/>
            <sz val="11"/>
          </rPr>
          <t>Organization's human-readable name.</t>
        </r>
      </text>
    </comment>
    <comment ref="D1" authorId="0">
      <text>
        <r>
          <rPr>
            <rFont val="Aptos Narrow"/>
            <b/>
            <color rgb="FFFFFFFF"/>
            <sz val="11"/>
          </rPr>
          <t>Type such as Company, Department, Vendor, or Regulator.</t>
        </r>
      </text>
    </comment>
    <comment ref="E1" authorId="0">
      <text>
        <r>
          <rPr>
            <rFont val="Aptos Narrow"/>
            <b/>
            <color rgb="FFFFFFFF"/>
            <sz val="11"/>
          </rPr>
          <t>Identifier in an operational directory or master-data system.</t>
        </r>
      </text>
    </comment>
    <comment ref="F1" authorId="0">
      <text>
        <r>
          <rPr>
            <rFont val="Aptos Narrow"/>
            <b/>
            <color rgb="FFFFFFFF"/>
            <sz val="11"/>
          </rPr>
          <t>Exact RDF class IRI for the organization.</t>
        </r>
      </text>
    </comment>
    <comment ref="B1" authorId="0">
      <text>
        <r>
          <rPr>
            <rFont val="Aptos Narrow"/>
            <b/>
            <color rgb="FFFFFFFF"/>
            <sz val="11"/>
          </rPr>
          <t>Human-readable calculated display alias for the Organizations row.</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Agents row.</t>
        </r>
      </text>
    </comment>
    <comment ref="C1" authorId="0">
      <text>
        <r>
          <rPr>
            <rFont val="Aptos Narrow"/>
            <b/>
            <color rgb="FFFFFFFF"/>
            <sz val="11"/>
          </rPr>
          <t>Agent's human-readable name.</t>
        </r>
      </text>
    </comment>
    <comment ref="D1" authorId="0">
      <text>
        <r>
          <rPr>
            <rFont val="Aptos Narrow"/>
            <b/>
            <color rgb="FFFFFFFF"/>
            <sz val="11"/>
          </rPr>
          <t>Human, AIAgent, AutomatedPipeline, Organization, or another explicit agent category.</t>
        </r>
      </text>
    </comment>
    <comment ref="E1" authorId="0">
      <text>
        <r>
          <rPr>
            <rFont val="Aptos Narrow"/>
            <b/>
            <color rgb="FFFFFFFF"/>
            <sz val="11"/>
          </rPr>
          <t>Organization to which the agent belongs.</t>
        </r>
      </text>
    </comment>
    <comment ref="F1" authorId="0">
      <text>
        <r>
          <rPr>
            <rFont val="Aptos Narrow"/>
            <b/>
            <color rgb="FFFFFFFF"/>
            <sz val="11"/>
          </rPr>
          <t>Contact address when applicable.</t>
        </r>
      </text>
    </comment>
    <comment ref="G1" authorId="0">
      <text>
        <r>
          <rPr>
            <rFont val="Aptos Narrow"/>
            <b/>
            <color rgb="FFFFFFFF"/>
            <sz val="11"/>
          </rPr>
          <t>Model version, pipeline release, or employment assignment key.</t>
        </r>
      </text>
    </comment>
    <comment ref="H1" authorId="0">
      <text>
        <r>
          <rPr>
            <rFont val="Aptos Narrow"/>
            <b/>
            <color rgb="FFFFFFFF"/>
            <sz val="11"/>
          </rPr>
          <t>How many role assignments this agent currently holds. Counts only CURRENT assignments via the CurrentAgentKey echo — counting all assignments would report a departed agent as engaged forever.</t>
        </r>
      </text>
    </comment>
    <comment ref="I1" authorId="0">
      <text>
        <r>
          <rPr>
            <rFont val="Aptos Narrow"/>
            <b/>
            <color rgb="FFFFFFFF"/>
            <sz val="11"/>
          </rPr>
          <t>TRUE when this agent currently holds at least one role in the organization.</t>
        </r>
      </text>
    </comment>
    <comment ref="J1" authorId="0">
      <text>
        <r>
          <rPr>
            <rFont val="Aptos Narrow"/>
            <b/>
            <color rgb="FFFFFFFF"/>
            <sz val="11"/>
          </rPr>
          <t>Total decisions this agent has recorded.</t>
        </r>
      </text>
    </comment>
    <comment ref="K1" authorId="0">
      <text>
        <r>
          <rPr>
            <rFont val="Aptos Narrow"/>
            <b/>
            <color rgb="FFFFFFFF"/>
            <sz val="11"/>
          </rPr>
          <t>Decisions by this agent that a human corrected or reversed.</t>
        </r>
      </text>
    </comment>
    <comment ref="L1" authorId="0">
      <text>
        <r>
          <rPr>
            <rFont val="Aptos Narrow"/>
            <b/>
            <color rgb="FFFFFFFF"/>
            <sz val="11"/>
          </rPr>
          <t>Percentage of this agent's decisions that were overridden by a human.</t>
        </r>
      </text>
    </comment>
    <comment ref="M1" authorId="0">
      <text>
        <r>
          <rPr>
            <rFont val="Aptos Narrow"/>
            <b/>
            <color rgb="FFFFFFFF"/>
            <sz val="11"/>
          </rPr>
          <t>TRUE when this agent is an AI agent or an automated pipeline.</t>
        </r>
      </text>
    </comment>
    <comment ref="N1" authorId="0">
      <text>
        <r>
          <rPr>
            <rFont val="Aptos Narrow"/>
            <b/>
            <color rgb="FFFFFFFF"/>
            <sz val="11"/>
          </rPr>
          <t>Number of decisions by this agent that violated an authority boundary.</t>
        </r>
      </text>
    </comment>
    <comment ref="O1" authorId="0">
      <text>
        <r>
          <rPr>
            <rFont val="Aptos Narrow"/>
            <b/>
            <color rgb="FFFFFFFF"/>
            <sz val="11"/>
          </rPr>
          <t>TRUE when this agent has made at least one decision an authority boundary forbids.</t>
        </r>
      </text>
    </comment>
    <comment ref="P1" authorId="0">
      <text>
        <r>
          <rPr>
            <rFont val="Aptos Narrow"/>
            <b/>
            <color rgb="FFFFFFFF"/>
            <sz val="11"/>
          </rPr>
          <t>Number of drafting decisions this agent has made.</t>
        </r>
      </text>
    </comment>
    <comment ref="Q1" authorId="0">
      <text>
        <r>
          <rPr>
            <rFont val="Aptos Narrow"/>
            <b/>
            <color rgb="FFFFFFFF"/>
            <sz val="11"/>
          </rPr>
          <t>Number of this agent's drafting decisions a human corrected or reversed.</t>
        </r>
      </text>
    </comment>
    <comment ref="R1" authorId="0">
      <text>
        <r>
          <rPr>
            <rFont val="Aptos Narrow"/>
            <b/>
            <color rgb="FFFFFFFF"/>
            <sz val="11"/>
          </rPr>
          <t>Percentage of this agent's drafting output that a human rewrote.</t>
        </r>
      </text>
    </comment>
    <comment ref="S1" authorId="0">
      <text>
        <r>
          <rPr>
            <rFont val="Aptos Narrow"/>
            <b/>
            <color rgb="FFFFFFFF"/>
            <sz val="11"/>
          </rPr>
          <t>How many active informal-reliance links name this agent as the one actually consulted.</t>
        </r>
      </text>
    </comment>
    <comment ref="T1" authorId="0">
      <text>
        <r>
          <rPr>
            <rFont val="Aptos Narrow"/>
            <b/>
            <color rgb="FFFFFFFF"/>
            <sz val="11"/>
          </rPr>
          <t>TRUE when at least three people actively rely on this agent as an informal knowledge broker.</t>
        </r>
      </text>
    </comment>
    <comment ref="U1" authorId="0">
      <text>
        <r>
          <rPr>
            <rFont val="Aptos Narrow"/>
            <b/>
            <color rgb="FFFFFFFF"/>
            <sz val="11"/>
          </rPr>
          <t>How many active informal-reliance links name this agent while this agent holds no current role.</t>
        </r>
      </text>
    </comment>
    <comment ref="V1" authorId="0">
      <text>
        <r>
          <rPr>
            <rFont val="Aptos Narrow"/>
            <b/>
            <color rgb="FFFFFFFF"/>
            <sz val="11"/>
          </rPr>
          <t>TRUE when people are actively relying on this agent even though they have already left every role.</t>
        </r>
      </text>
    </comment>
    <comment ref="W1" authorId="0">
      <text>
        <r>
          <rPr>
            <rFont val="Aptos Narrow"/>
            <b/>
            <color rgb="FFFFFFFF"/>
            <sz val="11"/>
          </rPr>
          <t>Exact semantic type IRI used when projecting the agent.</t>
        </r>
      </text>
    </comment>
    <comment ref="B1" authorId="0">
      <text>
        <r>
          <rPr>
            <rFont val="Aptos Narrow"/>
            <b/>
            <color rgb="FFFFFFFF"/>
            <sz val="11"/>
          </rPr>
          <t>Human-readable calculated display alias for the Agents row.</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Roles row.</t>
        </r>
      </text>
    </comment>
    <comment ref="C1" authorId="0">
      <text>
        <r>
          <rPr>
            <rFont val="Aptos Narrow"/>
            <b/>
            <color rgb="FFFFFFFF"/>
            <sz val="11"/>
          </rPr>
          <t>Human-readable role label.</t>
        </r>
      </text>
    </comment>
    <comment ref="D1" authorId="0">
      <text>
        <r>
          <rPr>
            <rFont val="Aptos Narrow"/>
            <b/>
            <color rgb="FFFFFFFF"/>
            <sz val="11"/>
          </rPr>
          <t>Organization that owns the role.</t>
        </r>
      </text>
    </comment>
    <comment ref="E1" authorId="0">
      <text>
        <r>
          <rPr>
            <rFont val="Aptos Narrow"/>
            <b/>
            <color rgb="FFFFFFFF"/>
            <sz val="11"/>
          </rPr>
          <t>Current agent filling the role; history is retained in RoleAssignments.</t>
        </r>
      </text>
    </comment>
    <comment ref="F1" authorId="0">
      <text>
        <r>
          <rPr>
            <rFont val="Aptos Narrow"/>
            <b/>
            <color rgb="FFFFFFFF"/>
            <sz val="11"/>
          </rPr>
          <t>Agent category of the current role filler.</t>
        </r>
      </text>
    </comment>
    <comment ref="G1" authorId="0">
      <text>
        <r>
          <rPr>
            <rFont val="Aptos Narrow"/>
            <b/>
            <color rgb="FFFFFFFF"/>
            <sz val="11"/>
          </rPr>
          <t>Accountability and responsibility assigned to the role.</t>
        </r>
      </text>
    </comment>
    <comment ref="H1" authorId="0">
      <text>
        <r>
          <rPr>
            <rFont val="Aptos Narrow"/>
            <b/>
            <color rgb="FFFFFFFF"/>
            <sz val="11"/>
          </rPr>
          <t>Total number of assignment rows ever recorded against this role.</t>
        </r>
      </text>
    </comment>
    <comment ref="I1" authorId="0">
      <text>
        <r>
          <rPr>
            <rFont val="Aptos Narrow"/>
            <b/>
            <color rgb="FFFFFFFF"/>
            <sz val="11"/>
          </rPr>
          <t>Number of assignment rows for this role that are in force right now.</t>
        </r>
      </text>
    </comment>
    <comment ref="J1" authorId="0">
      <text>
        <r>
          <rPr>
            <rFont val="Aptos Narrow"/>
            <b/>
            <color rgb="FFFFFFFF"/>
            <sz val="11"/>
          </rPr>
          <t>TRUE when no assignment currently covers this role — the role is uncovered.</t>
        </r>
      </text>
    </comment>
    <comment ref="K1" authorId="0">
      <text>
        <r>
          <rPr>
            <rFont val="Aptos Narrow"/>
            <b/>
            <color rgb="FFFFFFFF"/>
            <sz val="11"/>
          </rPr>
          <t>How many change requests name this role as the deciding authority.</t>
        </r>
      </text>
    </comment>
    <comment ref="L1" authorId="0">
      <text>
        <r>
          <rPr>
            <rFont val="Aptos Narrow"/>
            <b/>
            <color rgb="FFFFFFFF"/>
            <sz val="11"/>
          </rPr>
          <t>The RoleAssignments id of the assignment by which this role is currently held. Deliberately a raw identifier, not a relationship: RoleAssignments already points at Roles, so an FK back would make the two mutually dependent and this rulebook must stay acyclic.</t>
        </r>
      </text>
    </comment>
    <comment ref="M1" authorId="0">
      <text>
        <r>
          <rPr>
            <rFont val="Aptos Narrow"/>
            <b/>
            <color rgb="FFFFFFFF"/>
            <sz val="11"/>
          </rPr>
          <t>Start of the currently-in-force assignment for this role.</t>
        </r>
      </text>
    </comment>
    <comment ref="N1" authorId="0">
      <text>
        <r>
          <rPr>
            <rFont val="Aptos Narrow"/>
            <b/>
            <color rgb="FFFFFFFF"/>
            <sz val="11"/>
          </rPr>
          <t>TRUE when the role's current agent is an AI agent or automated pipeline.</t>
        </r>
      </text>
    </comment>
    <comment ref="O1" authorId="0">
      <text>
        <r>
          <rPr>
            <rFont val="Aptos Narrow"/>
            <b/>
            <color rgb="FFFFFFFF"/>
            <sz val="11"/>
          </rPr>
          <t>TRUE when a role is pointed at a non-human agent but has no assignment row granting it.</t>
        </r>
      </text>
    </comment>
    <comment ref="P1" authorId="0">
      <text>
        <r>
          <rPr>
            <rFont val="Aptos Narrow"/>
            <b/>
            <color rgb="FFFFFFFF"/>
            <sz val="11"/>
          </rPr>
          <t>How many assignments to this role have ended.</t>
        </r>
      </text>
    </comment>
    <comment ref="Q1" authorId="0">
      <text>
        <r>
          <rPr>
            <rFont val="Aptos Narrow"/>
            <b/>
            <color rgb="FFFFFFFF"/>
            <sz val="11"/>
          </rPr>
          <t>Whether anyone has ever departed this role.</t>
        </r>
      </text>
    </comment>
    <comment ref="R1" authorId="0">
      <text>
        <r>
          <rPr>
            <rFont val="Aptos Narrow"/>
            <b/>
            <color rgb="FFFFFFFF"/>
            <sz val="11"/>
          </rPr>
          <t>A role somebody departed and that nobody currently covers.</t>
        </r>
      </text>
    </comment>
    <comment ref="S1" authorId="0">
      <text>
        <r>
          <rPr>
            <rFont val="Aptos Narrow"/>
            <b/>
            <color rgb="FFFFFFFF"/>
            <sz val="11"/>
          </rPr>
          <t>How many boundaries constrain this role on lapsed authority.</t>
        </r>
      </text>
    </comment>
    <comment ref="T1" authorId="0">
      <text>
        <r>
          <rPr>
            <rFont val="Aptos Narrow"/>
            <b/>
            <color rgb="FFFFFFFF"/>
            <sz val="11"/>
          </rPr>
          <t>TRUE when at least one constraint on this role rests on knowledge that is no longer valid.</t>
        </r>
      </text>
    </comment>
    <comment ref="U1" authorId="0">
      <text>
        <r>
          <rPr>
            <rFont val="Aptos Narrow"/>
            <b/>
            <color rgb="FFFFFFFF"/>
            <sz val="11"/>
          </rPr>
          <t>How many refusals this role should have been told about and was not.</t>
        </r>
      </text>
    </comment>
    <comment ref="V1" authorId="0">
      <text>
        <r>
          <rPr>
            <rFont val="Aptos Narrow"/>
            <b/>
            <color rgb="FFFFFFFF"/>
            <sz val="11"/>
          </rPr>
          <t>How many current assignments of this role are unauthorized enforcement assignments.</t>
        </r>
      </text>
    </comment>
    <comment ref="W1" authorId="0">
      <text>
        <r>
          <rPr>
            <rFont val="Aptos Narrow"/>
            <b/>
            <color rgb="FFFFFFFF"/>
            <sz val="11"/>
          </rPr>
          <t>TRUE when a role that enforces controls on others is held with no recorded authorization.</t>
        </r>
      </text>
    </comment>
    <comment ref="X1" authorId="0">
      <text>
        <r>
          <rPr>
            <rFont val="Aptos Narrow"/>
            <b/>
            <color rgb="FFFFFFFF"/>
            <sz val="11"/>
          </rPr>
          <t>Exact semantic type IRI for the role.</t>
        </r>
      </text>
    </comment>
    <comment ref="B1" authorId="0">
      <text>
        <r>
          <rPr>
            <rFont val="Aptos Narrow"/>
            <b/>
            <color rgb="FFFFFFFF"/>
            <sz val="11"/>
          </rPr>
          <t>Human-readable calculated display alias for the Roles row.</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RoleAssignments row.</t>
        </r>
      </text>
    </comment>
    <comment ref="C1" authorId="0">
      <text>
        <r>
          <rPr>
            <rFont val="Aptos Narrow"/>
            <b/>
            <color rgb="FFFFFFFF"/>
            <sz val="11"/>
          </rPr>
          <t>Role held during the assignment.</t>
        </r>
      </text>
    </comment>
    <comment ref="D1" authorId="0">
      <text>
        <r>
          <rPr>
            <rFont val="Aptos Narrow"/>
            <b/>
            <color rgb="FFFFFFFF"/>
            <sz val="11"/>
          </rPr>
          <t>Agent holding the role.</t>
        </r>
      </text>
    </comment>
    <comment ref="E1" authorId="0">
      <text>
        <r>
          <rPr>
            <rFont val="Aptos Narrow"/>
            <b/>
            <color rgb="FFFFFFFF"/>
            <sz val="11"/>
          </rPr>
          <t>Start of the assignment's valid-time interval.</t>
        </r>
      </text>
    </comment>
    <comment ref="F1" authorId="0">
      <text>
        <r>
          <rPr>
            <rFont val="Aptos Narrow"/>
            <b/>
            <color rgb="FFFFFFFF"/>
            <sz val="11"/>
          </rPr>
          <t>End of the assignment's valid-time interval; null means open-ended.</t>
        </r>
      </text>
    </comment>
    <comment ref="G1" authorId="0">
      <text>
        <r>
          <rPr>
            <rFont val="Aptos Narrow"/>
            <b/>
            <color rgb="FFFFFFFF"/>
            <sz val="11"/>
          </rPr>
          <t>Rationale for the assignment or reassignment.</t>
        </r>
      </text>
    </comment>
    <comment ref="H1" authorId="0">
      <text>
        <r>
          <rPr>
            <rFont val="Aptos Narrow"/>
            <b/>
            <color rgb="FFFFFFFF"/>
            <sz val="11"/>
          </rPr>
          <t>Active, Superseded, Planned, or Revoked.</t>
        </r>
      </text>
    </comment>
    <comment ref="I1" authorId="0">
      <text>
        <r>
          <rPr>
            <rFont val="Aptos Narrow"/>
            <b/>
            <color rgb="FFFFFFFF"/>
            <sz val="11"/>
          </rPr>
          <t>The evaluation context this assignment's currency is judged under.</t>
        </r>
      </text>
    </comment>
    <comment ref="J1" authorId="0">
      <text>
        <r>
          <rPr>
            <rFont val="Aptos Narrow"/>
            <b/>
            <color rgb="FFFFFFFF"/>
            <sz val="11"/>
          </rPr>
          <t>The evaluation instant this assignment's currency is judged against.</t>
        </r>
      </text>
    </comment>
    <comment ref="K1" authorId="0">
      <text>
        <r>
          <rPr>
            <rFont val="Aptos Narrow"/>
            <b/>
            <color rgb="FFFFFFFF"/>
            <sz val="11"/>
          </rPr>
          <t>TRUE when the assignment is valid now.</t>
        </r>
      </text>
    </comment>
    <comment ref="L1" authorId="0">
      <text>
        <r>
          <rPr>
            <rFont val="Aptos Narrow"/>
            <b/>
            <color rgb="FFFFFFFF"/>
            <sz val="11"/>
          </rPr>
          <t>Echoes the Agent id only while this assignment is current; empty otherwise. Lets a parent count CURRENT assignments with a single-criterion COUNTIFS, which is the only shape this transpiler translates correctly.</t>
        </r>
      </text>
    </comment>
    <comment ref="M1" authorId="0">
      <text>
        <r>
          <rPr>
            <rFont val="Aptos Narrow"/>
            <b/>
            <color rgb="FFFFFFFF"/>
            <sz val="11"/>
          </rPr>
          <t>TRUE when this role assignment is active and has not lapsed.</t>
        </r>
      </text>
    </comment>
    <comment ref="N1" authorId="0">
      <text>
        <r>
          <rPr>
            <rFont val="Aptos Narrow"/>
            <b/>
            <color rgb="FFFFFFFF"/>
            <sz val="11"/>
          </rPr>
          <t>Composite agent+role key, emitted only for currently-valid assignments.</t>
        </r>
      </text>
    </comment>
    <comment ref="O1" authorId="0">
      <text>
        <r>
          <rPr>
            <rFont val="Aptos Narrow"/>
            <b/>
            <color rgb="FFFFFFFF"/>
            <sz val="11"/>
          </rPr>
          <t>TRUE when this role assignment has ended — the agent no longer holds the role.</t>
        </r>
      </text>
    </comment>
    <comment ref="P1" authorId="0">
      <text>
        <r>
          <rPr>
            <rFont val="Aptos Narrow"/>
            <b/>
            <color rgb="FFFFFFFF"/>
            <sz val="11"/>
          </rPr>
          <t>TRUE when this assignment is both status-Active and inside its valid-time window right now.</t>
        </r>
      </text>
    </comment>
    <comment ref="Q1" authorId="0">
      <text>
        <r>
          <rPr>
            <rFont val="Aptos Narrow"/>
            <b/>
            <color rgb="FFFFFFFF"/>
            <sz val="11"/>
          </rPr>
          <t>Echoes the role id when this assignment is currently in force, blank otherwise.</t>
        </r>
      </text>
    </comment>
    <comment ref="R1" authorId="0">
      <text>
        <r>
          <rPr>
            <rFont val="Aptos Narrow"/>
            <b/>
            <color rgb="FFFFFFFF"/>
            <sz val="11"/>
          </rPr>
          <t>Whether the agent holding this assignment is Human, AIAgent, or AutomatedPipeline.</t>
        </r>
      </text>
    </comment>
    <comment ref="S1" authorId="0">
      <text>
        <r>
          <rPr>
            <rFont val="Aptos Narrow"/>
            <b/>
            <color rgb="FFFFFFFF"/>
            <sz val="11"/>
          </rPr>
          <t>TRUE when this assignment places a non-human agent into the role.</t>
        </r>
      </text>
    </comment>
    <comment ref="T1" authorId="0">
      <text>
        <r>
          <rPr>
            <rFont val="Aptos Narrow"/>
            <b/>
            <color rgb="FFFFFFFF"/>
            <sz val="11"/>
          </rPr>
          <t>The assignment this one replaced, if any.</t>
        </r>
      </text>
    </comment>
    <comment ref="U1" authorId="0">
      <text>
        <r>
          <rPr>
            <rFont val="Aptos Narrow"/>
            <b/>
            <color rgb="FFFFFFFF"/>
            <sz val="11"/>
          </rPr>
          <t>Agent kind of the assignment this one superseded.</t>
        </r>
      </text>
    </comment>
    <comment ref="V1" authorId="0">
      <text>
        <r>
          <rPr>
            <rFont val="Aptos Narrow"/>
            <b/>
            <color rgb="FFFFFFFF"/>
            <sz val="11"/>
          </rPr>
          <t>TRUE when this assignment handed a role from a human to a non-human agent.</t>
        </r>
      </text>
    </comment>
    <comment ref="W1" authorId="0">
      <text>
        <r>
          <rPr>
            <rFont val="Aptos Narrow"/>
            <b/>
            <color rgb="FFFFFFFF"/>
            <sz val="11"/>
          </rPr>
          <t>Role that approved this assignment.</t>
        </r>
      </text>
    </comment>
    <comment ref="X1" authorId="0">
      <text>
        <r>
          <rPr>
            <rFont val="Aptos Narrow"/>
            <b/>
            <color rgb="FFFFFFFF"/>
            <sz val="11"/>
          </rPr>
          <t>Change request under which this assignment was approved.</t>
        </r>
      </text>
    </comment>
    <comment ref="Y1" authorId="0">
      <text>
        <r>
          <rPr>
            <rFont val="Aptos Narrow"/>
            <b/>
            <color rgb="FFFFFFFF"/>
            <sz val="11"/>
          </rPr>
          <t>TRUE when a non-human agent holds this role with no approving authority recorded at all. An authority named without a change request is still an authority; the separate WasAuthorizedByChangeRequest column carries that weaker distinction.</t>
        </r>
      </text>
    </comment>
    <comment ref="Z1" authorId="0">
      <text>
        <r>
          <rPr>
            <rFont val="Aptos Narrow"/>
            <b/>
            <color rgb="FFFFFFFF"/>
            <sz val="11"/>
          </rPr>
          <t>TRUE when this assignment's authorization is traceable to a change request, not merely to a named role. The stronger form of authorization, kept separate so the weaker one is not silently reported as unauthorized.</t>
        </r>
      </text>
    </comment>
    <comment ref="AA1" authorId="0">
      <text>
        <r>
          <rPr>
            <rFont val="Aptos Narrow"/>
            <b/>
            <color rgb="FFFFFFFF"/>
            <sz val="11"/>
          </rPr>
          <t>Decisions made under this assignment.</t>
        </r>
      </text>
    </comment>
    <comment ref="AB1" authorId="0">
      <text>
        <r>
          <rPr>
            <rFont val="Aptos Narrow"/>
            <b/>
            <color rgb="FFFFFFFF"/>
            <sz val="11"/>
          </rPr>
          <t>Decisions made under this assignment that a human corrected or reversed.</t>
        </r>
      </text>
    </comment>
    <comment ref="AC1" authorId="0">
      <text>
        <r>
          <rPr>
            <rFont val="Aptos Narrow"/>
            <b/>
            <color rgb="FFFFFFFF"/>
            <sz val="11"/>
          </rPr>
          <t>Percentage of decisions under this assignment that a human overrode.</t>
        </r>
      </text>
    </comment>
    <comment ref="AD1" authorId="0">
      <text>
        <r>
          <rPr>
            <rFont val="Aptos Narrow"/>
            <b/>
            <color rgb="FFFFFFFF"/>
            <sz val="11"/>
          </rPr>
          <t>Override rate of the assignment this one superseded.</t>
        </r>
      </text>
    </comment>
    <comment ref="AE1" authorId="0">
      <text>
        <r>
          <rPr>
            <rFont val="Aptos Narrow"/>
            <b/>
            <color rgb="FFFFFFFF"/>
            <sz val="11"/>
          </rPr>
          <t>TRUE when this assignment is overridden by humans more often than the assignment it replaced.</t>
        </r>
      </text>
    </comment>
    <comment ref="AF1" authorId="0">
      <text>
        <r>
          <rPr>
            <rFont val="Aptos Narrow"/>
            <b/>
            <color rgb="FFFFFFFF"/>
            <sz val="11"/>
          </rPr>
          <t>Composite-key echo: the role this assignment covered when the assignment has ended, blank otherwise.</t>
        </r>
      </text>
    </comment>
    <comment ref="AG1" authorId="0">
      <text>
        <r>
          <rPr>
            <rFont val="Aptos Narrow"/>
            <b/>
            <color rgb="FFFFFFFF"/>
            <sz val="11"/>
          </rPr>
          <t>The number of decisions below which an override-rate comparison is not considered evidentially meaningful for this role.</t>
        </r>
      </text>
    </comment>
    <comment ref="AH1" authorId="0">
      <text>
        <r>
          <rPr>
            <rFont val="Aptos Narrow"/>
            <b/>
            <color rgb="FFFFFFFF"/>
            <sz val="11"/>
          </rPr>
          <t>How many decisions the superseded assignment produced.</t>
        </r>
      </text>
    </comment>
    <comment ref="AI1" authorId="0">
      <text>
        <r>
          <rPr>
            <rFont val="Aptos Narrow"/>
            <b/>
            <color rgb="FFFFFFFF"/>
            <sz val="11"/>
          </rPr>
          <t>TRUE when this assignment has produced enough decisions for its override rate to mean anything.</t>
        </r>
      </text>
    </comment>
    <comment ref="AJ1" authorId="0">
      <text>
        <r>
          <rPr>
            <rFont val="Aptos Narrow"/>
            <b/>
            <color rgb="FFFFFFFF"/>
            <sz val="11"/>
          </rPr>
          <t>TRUE when the predecessor assignment produced enough decisions to compare against.</t>
        </r>
      </text>
    </comment>
    <comment ref="AK1" authorId="0">
      <text>
        <r>
          <rPr>
            <rFont val="Aptos Narrow"/>
            <b/>
            <color rgb="FFFFFFFF"/>
            <sz val="11"/>
          </rPr>
          <t>TRUE when both sides of the override-rate comparison rest on adequate samples.</t>
        </r>
      </text>
    </comment>
    <comment ref="AL1" authorId="0">
      <text>
        <r>
          <rPr>
            <rFont val="Aptos Narrow"/>
            <b/>
            <color rgb="FFFFFFFF"/>
            <sz val="11"/>
          </rPr>
          <t>How many percentage points one additional override would move this assignment's rate. The fragility of the number.</t>
        </r>
      </text>
    </comment>
    <comment ref="AM1" authorId="0">
      <text>
        <r>
          <rPr>
            <rFont val="Aptos Narrow"/>
            <b/>
            <color rgb="FFFFFFFF"/>
            <sz val="11"/>
          </rPr>
          <t>TRUE when a quality verdict is being reported for this assignment on a sample too small to support it.</t>
        </r>
      </text>
    </comment>
    <comment ref="AN1" authorId="0">
      <text>
        <r>
          <rPr>
            <rFont val="Aptos Narrow"/>
            <b/>
            <color rgb="FFFFFFFF"/>
            <sz val="11"/>
          </rPr>
          <t>TRUE when a human-to-machine handover is operating without a statistically meaningful quality comparison behind it.</t>
        </r>
      </text>
    </comment>
    <comment ref="AO1" authorId="0">
      <text>
        <r>
          <rPr>
            <rFont val="Aptos Narrow"/>
            <b/>
            <color rgb="FFFFFFFF"/>
            <sz val="11"/>
          </rPr>
          <t>How many of this assignment's decisions were overridden because they were wrong.</t>
        </r>
      </text>
    </comment>
    <comment ref="AP1" authorId="0">
      <text>
        <r>
          <rPr>
            <rFont val="Aptos Narrow"/>
            <b/>
            <color rgb="FFFFFFFF"/>
            <sz val="11"/>
          </rPr>
          <t>Percentage of this assignment's decisions overridden as errors -- the override rate with reserved-judgment overrides removed.</t>
        </r>
      </text>
    </comment>
    <comment ref="AQ1" authorId="0">
      <text>
        <r>
          <rPr>
            <rFont val="Aptos Narrow"/>
            <b/>
            <color rgb="FFFFFFFF"/>
            <sz val="11"/>
          </rPr>
          <t>When the approving authority actually granted this assignment. Empty when no authorization was ever recorded.</t>
        </r>
      </text>
    </comment>
    <comment ref="AR1" authorId="0">
      <text>
        <r>
          <rPr>
            <rFont val="Aptos Narrow"/>
            <b/>
            <color rgb="FFFFFFFF"/>
            <sz val="11"/>
          </rPr>
          <t>When the authorization for this assignment was last re-examined.</t>
        </r>
      </text>
    </comment>
    <comment ref="AS1" authorId="0">
      <text>
        <r>
          <rPr>
            <rFont val="Aptos Narrow"/>
            <b/>
            <color rgb="FFFFFFFF"/>
            <sz val="11"/>
          </rPr>
          <t>How often this assignment's authorization is promised to be re-examined.</t>
        </r>
      </text>
    </comment>
    <comment ref="AT1" authorId="0">
      <text>
        <r>
          <rPr>
            <rFont val="Aptos Narrow"/>
            <b/>
            <color rgb="FFFFFFFF"/>
            <sz val="11"/>
          </rPr>
          <t>TRUE when this assignment carries both a named approving authority and the date they granted it.</t>
        </r>
      </text>
    </comment>
    <comment ref="AU1" authorId="0">
      <text>
        <r>
          <rPr>
            <rFont val="Aptos Narrow"/>
            <b/>
            <color rgb="FFFFFFFF"/>
            <sz val="11"/>
          </rPr>
          <t>How long since this assignment's authorization was last re-examined.</t>
        </r>
      </text>
    </comment>
    <comment ref="AV1" authorId="0">
      <text>
        <r>
          <rPr>
            <rFont val="Aptos Narrow"/>
            <b/>
            <color rgb="FFFFFFFF"/>
            <sz val="11"/>
          </rPr>
          <t>TRUE when the promised re-examination interval has elapsed without a review.</t>
        </r>
      </text>
    </comment>
    <comment ref="AW1" authorId="0">
      <text>
        <r>
          <rPr>
            <rFont val="Aptos Narrow"/>
            <b/>
            <color rgb="FFFFFFFF"/>
            <sz val="11"/>
          </rPr>
          <t>TRUE when a currently-active non-human assignment has been running past its authorization review date.</t>
        </r>
      </text>
    </comment>
    <comment ref="AX1" authorId="0">
      <text>
        <r>
          <rPr>
            <rFont val="Aptos Narrow"/>
            <b/>
            <color rgb="FFFFFFFF"/>
            <sz val="11"/>
          </rPr>
          <t>TRUE when a human-to-machine handover was authorized with no promised review cadence at all -- granted once, permanently.</t>
        </r>
      </text>
    </comment>
    <comment ref="AY1" authorId="0">
      <text>
        <r>
          <rPr>
            <rFont val="Aptos Narrow"/>
            <b/>
            <color rgb="FFFFFFFF"/>
            <sz val="11"/>
          </rPr>
          <t>The error rate at or above which this assignment must stop making decisions unaided.</t>
        </r>
      </text>
    </comment>
    <comment ref="AZ1" authorId="0">
      <text>
        <r>
          <rPr>
            <rFont val="Aptos Narrow"/>
            <b/>
            <color rgb="FFFFFFFF"/>
            <sz val="11"/>
          </rPr>
          <t>TRUE when this assignment's error rate has reached the threshold set when it was authorized.</t>
        </r>
      </text>
    </comment>
    <comment ref="BA1" authorId="0">
      <text>
        <r>
          <rPr>
            <rFont val="Aptos Narrow"/>
            <b/>
            <color rgb="FFFFFFFF"/>
            <sz val="11"/>
          </rPr>
          <t>How many decisions under this assignment violated an authority boundary.</t>
        </r>
      </text>
    </comment>
    <comment ref="BB1" authorId="0">
      <text>
        <r>
          <rPr>
            <rFont val="Aptos Narrow"/>
            <b/>
            <color rgb="FFFFFFFF"/>
            <sz val="11"/>
          </rPr>
          <t>TRUE when any decision under this assignment crossed a boundary it was forbidden to cross.</t>
        </r>
      </text>
    </comment>
    <comment ref="BC1" authorId="0">
      <text>
        <r>
          <rPr>
            <rFont val="Aptos Narrow"/>
            <b/>
            <color rgb="FFFFFFFF"/>
            <sz val="11"/>
          </rPr>
          <t>TRUE when at least one boundary constraining this assignment's role rests on lapsed knowledge.</t>
        </r>
      </text>
    </comment>
    <comment ref="BD1" authorId="0">
      <text>
        <r>
          <rPr>
            <rFont val="Aptos Narrow"/>
            <b/>
            <color rgb="FFFFFFFF"/>
            <sz val="11"/>
          </rPr>
          <t>TRUE when any pre-declared condition requiring this assignment to stop deciding unaided has been met.</t>
        </r>
      </text>
    </comment>
    <comment ref="BE1" authorId="0">
      <text>
        <r>
          <rPr>
            <rFont val="Aptos Narrow"/>
            <b/>
            <color rgb="FFFFFFFF"/>
            <sz val="11"/>
          </rPr>
          <t>TRUE when a suspension condition has been met and the assignment is nonetheless still active and still deciding.</t>
        </r>
      </text>
    </comment>
    <comment ref="BF1" authorId="0">
      <text>
        <r>
          <rPr>
            <rFont val="Aptos Narrow"/>
            <b/>
            <color rgb="FFFFFFFF"/>
            <sz val="11"/>
          </rPr>
          <t>TRUE when this assignment has any pre-declared condition under which it must stop at all.</t>
        </r>
      </text>
    </comment>
    <comment ref="BG1" authorId="0">
      <text>
        <r>
          <rPr>
            <rFont val="Aptos Narrow"/>
            <b/>
            <color rgb="FFFFFFFF"/>
            <sz val="11"/>
          </rPr>
          <t>TRUE when a role is recorded as having approved this assignment.</t>
        </r>
      </text>
    </comment>
    <comment ref="BH1" authorId="0">
      <text>
        <r>
          <rPr>
            <rFont val="Aptos Narrow"/>
            <b/>
            <color rgb="FFFFFFFF"/>
            <sz val="11"/>
          </rPr>
          <t>TRUE when a change request is recorded as the governance vehicle for this assignment.</t>
        </r>
      </text>
    </comment>
    <comment ref="BI1" authorId="0">
      <text>
        <r>
          <rPr>
            <rFont val="Aptos Narrow"/>
            <b/>
            <color rgb="FFFFFFFF"/>
            <sz val="11"/>
          </rPr>
          <t>Whether this role's function is to enforce controls on other agents' actions.</t>
        </r>
      </text>
    </comment>
    <comment ref="BJ1" authorId="0">
      <text>
        <r>
          <rPr>
            <rFont val="Aptos Narrow"/>
            <b/>
            <color rgb="FFFFFFFF"/>
            <sz val="11"/>
          </rPr>
          <t>TRUE when a non-human agent enforces controls on others while holding no recorded authorization of its own.</t>
        </r>
      </text>
    </comment>
    <comment ref="BK1" authorId="0">
      <text>
        <r>
          <rPr>
            <rFont val="Aptos Narrow"/>
            <b/>
            <color rgb="FFFFFFFF"/>
            <sz val="11"/>
          </rPr>
          <t>How many independent governance artifacts back this assignment: an approving role, an authorizing change request.</t>
        </r>
      </text>
    </comment>
    <comment ref="BL1" authorId="0">
      <text>
        <r>
          <rPr>
            <rFont val="Aptos Narrow"/>
            <b/>
            <color rgb="FFFFFFFF"/>
            <sz val="11"/>
          </rPr>
          <t>Echoes the role only for non-human assignments nobody authorized; empty otherwise.</t>
        </r>
      </text>
    </comment>
    <comment ref="BM1" authorId="0">
      <text>
        <r>
          <rPr>
            <rFont val="Aptos Narrow"/>
            <b/>
            <color rgb="FFFFFFFF"/>
            <sz val="11"/>
          </rPr>
          <t>Exact class IRI for the assignment event.</t>
        </r>
      </text>
    </comment>
    <comment ref="B1" authorId="0">
      <text>
        <r>
          <rPr>
            <rFont val="Aptos Narrow"/>
            <b/>
            <color rgb="FFFFFFFF"/>
            <sz val="11"/>
          </rPr>
          <t>Human-readable calculated display alias for the RoleAssignments row.</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CommunitiesOfPractice row.</t>
        </r>
      </text>
    </comment>
    <comment ref="C1" authorId="0">
      <text>
        <r>
          <rPr>
            <rFont val="Aptos Narrow"/>
            <b/>
            <color rgb="FFFFFFFF"/>
            <sz val="11"/>
          </rPr>
          <t>Community's human-readable name.</t>
        </r>
      </text>
    </comment>
    <comment ref="D1" authorId="0">
      <text>
        <r>
          <rPr>
            <rFont val="Aptos Narrow"/>
            <b/>
            <color rgb="FFFFFFFF"/>
            <sz val="11"/>
          </rPr>
          <t>Organization hosting the community.</t>
        </r>
      </text>
    </comment>
    <comment ref="E1" authorId="0">
      <text>
        <r>
          <rPr>
            <rFont val="Aptos Narrow"/>
            <b/>
            <color rgb="FFFFFFFF"/>
            <sz val="11"/>
          </rPr>
          <t>Role accountable for convening and maintaining the community.</t>
        </r>
      </text>
    </comment>
    <comment ref="F1" authorId="0">
      <text>
        <r>
          <rPr>
            <rFont val="Aptos Narrow"/>
            <b/>
            <color rgb="FFFFFFFF"/>
            <sz val="11"/>
          </rPr>
          <t>Shared practice and knowledge-transfer purpose.</t>
        </r>
      </text>
    </comment>
    <comment ref="G1" authorId="0">
      <text>
        <r>
          <rPr>
            <rFont val="Aptos Narrow"/>
            <b/>
            <color rgb="FFFFFFFF"/>
            <sz val="11"/>
          </rPr>
          <t>Meeting or practice cadence.</t>
        </r>
      </text>
    </comment>
    <comment ref="H1" authorId="0">
      <text>
        <r>
          <rPr>
            <rFont val="Aptos Narrow"/>
            <b/>
            <color rgb="FFFFFFFF"/>
            <sz val="11"/>
          </rPr>
          <t>Extension class IRI.</t>
        </r>
      </text>
    </comment>
    <comment ref="B1" authorId="0">
      <text>
        <r>
          <rPr>
            <rFont val="Aptos Narrow"/>
            <b/>
            <color rgb="FFFFFFFF"/>
            <sz val="11"/>
          </rPr>
          <t>Human-readable calculated display alias for the CommunitiesOfPractice row.</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Mentorships row.</t>
        </r>
      </text>
    </comment>
    <comment ref="C1" authorId="0">
      <text>
        <r>
          <rPr>
            <rFont val="Aptos Narrow"/>
            <b/>
            <color rgb="FFFFFFFF"/>
            <sz val="11"/>
          </rPr>
          <t>Community in which the mentorship operates.</t>
        </r>
      </text>
    </comment>
    <comment ref="D1" authorId="0">
      <text>
        <r>
          <rPr>
            <rFont val="Aptos Narrow"/>
            <b/>
            <color rgb="FFFFFFFF"/>
            <sz val="11"/>
          </rPr>
          <t>Experienced practitioner serving as mentor.</t>
        </r>
      </text>
    </comment>
    <comment ref="E1" authorId="0">
      <text>
        <r>
          <rPr>
            <rFont val="Aptos Narrow"/>
            <b/>
            <color rgb="FFFFFFFF"/>
            <sz val="11"/>
          </rPr>
          <t>Practitioner learning the procedure.</t>
        </r>
      </text>
    </comment>
    <comment ref="F1" authorId="0">
      <text>
        <r>
          <rPr>
            <rFont val="Aptos Narrow"/>
            <b/>
            <color rgb="FFFFFFFF"/>
            <sz val="11"/>
          </rPr>
          <t>Mentorship start.</t>
        </r>
      </text>
    </comment>
    <comment ref="G1" authorId="0">
      <text>
        <r>
          <rPr>
            <rFont val="Aptos Narrow"/>
            <b/>
            <color rgb="FFFFFFFF"/>
            <sz val="11"/>
          </rPr>
          <t>Mentorship end.</t>
        </r>
      </text>
    </comment>
    <comment ref="H1" authorId="0">
      <text>
        <r>
          <rPr>
            <rFont val="Aptos Narrow"/>
            <b/>
            <color rgb="FFFFFFFF"/>
            <sz val="11"/>
          </rPr>
          <t>Procedural capability to be transferred.</t>
        </r>
      </text>
    </comment>
    <comment ref="I1" authorId="0">
      <text>
        <r>
          <rPr>
            <rFont val="Aptos Narrow"/>
            <b/>
            <color rgb="FFFFFFFF"/>
            <sz val="11"/>
          </rPr>
          <t>Evidence showing completion or competence.</t>
        </r>
      </text>
    </comment>
    <comment ref="J1" authorId="0">
      <text>
        <r>
          <rPr>
            <rFont val="Aptos Narrow"/>
            <b/>
            <color rgb="FFFFFFFF"/>
            <sz val="11"/>
          </rPr>
          <t>Extension class IRI.</t>
        </r>
      </text>
    </comment>
    <comment ref="B1" authorId="0">
      <text>
        <r>
          <rPr>
            <rFont val="Aptos Narrow"/>
            <b/>
            <color rgb="FFFFFFFF"/>
            <sz val="11"/>
          </rPr>
          <t>Human-readable calculated display alias for the Mentorships row.</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ProcedureTypes row.</t>
        </r>
      </text>
    </comment>
    <comment ref="C1" authorId="0">
      <text>
        <r>
          <rPr>
            <rFont val="Aptos Narrow"/>
            <b/>
            <color rgb="FFFFFFFF"/>
            <sz val="11"/>
          </rPr>
          <t>Procedure type label.</t>
        </r>
      </text>
    </comment>
    <comment ref="D1" authorId="0">
      <text>
        <r>
          <rPr>
            <rFont val="Aptos Narrow"/>
            <b/>
            <color rgb="FFFFFFFF"/>
            <sz val="11"/>
          </rPr>
          <t>Definition and scope of the procedure type.</t>
        </r>
      </text>
    </comment>
    <comment ref="E1" authorId="0">
      <text>
        <r>
          <rPr>
            <rFont val="Aptos Narrow"/>
            <b/>
            <color rgb="FFFFFFFF"/>
            <sz val="11"/>
          </rPr>
          <t>Exact class IRI for procedure types.</t>
        </r>
      </text>
    </comment>
    <comment ref="B1" authorId="0">
      <text>
        <r>
          <rPr>
            <rFont val="Aptos Narrow"/>
            <b/>
            <color rgb="FFFFFFFF"/>
            <sz val="11"/>
          </rPr>
          <t>Human-readable calculated display alias for the ProcedureTypes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Procedures row.</t>
        </r>
      </text>
    </comment>
    <comment ref="C1" authorId="0">
      <text>
        <r>
          <rPr>
            <rFont val="Aptos Narrow"/>
            <b/>
            <color rgb="FFFFFFFF"/>
            <sz val="11"/>
          </rPr>
          <t>Human-readable title; maps to dcterms:title.</t>
        </r>
      </text>
    </comment>
    <comment ref="D1" authorId="0">
      <text>
        <r>
          <rPr>
            <rFont val="Aptos Narrow"/>
            <b/>
            <color rgb="FFFFFFFF"/>
            <sz val="11"/>
          </rPr>
          <t>Procedure type; maps to pko:hasProcedureType.</t>
        </r>
      </text>
    </comment>
    <comment ref="E1" authorId="0">
      <text>
        <r>
          <rPr>
            <rFont val="Aptos Narrow"/>
            <b/>
            <color rgb="FFFFFFFF"/>
            <sz val="11"/>
          </rPr>
          <t>Organization that owns the procedure.</t>
        </r>
      </text>
    </comment>
    <comment ref="F1" authorId="0">
      <text>
        <r>
          <rPr>
            <rFont val="Aptos Narrow"/>
            <b/>
            <color rgb="FFFFFFFF"/>
            <sz val="11"/>
          </rPr>
          <t>Organization that adopts the procedure; maps to pko:isAdoptedBy.</t>
        </r>
      </text>
    </comment>
    <comment ref="G1" authorId="0">
      <text>
        <r>
          <rPr>
            <rFont val="Aptos Narrow"/>
            <b/>
            <color rgb="FFFFFFFF"/>
            <sz val="11"/>
          </rPr>
          <t>Desired outcome and scope of the procedure.</t>
        </r>
      </text>
    </comment>
    <comment ref="H1" authorId="0">
      <text>
        <r>
          <rPr>
            <rFont val="Aptos Narrow"/>
            <b/>
            <color rgb="FFFFFFFF"/>
            <sz val="11"/>
          </rPr>
          <t>Thing or population on which the procedure acts; maps to pko:hasProcedureTarget.</t>
        </r>
      </text>
    </comment>
    <comment ref="I1" authorId="0">
      <text>
        <r>
          <rPr>
            <rFont val="Aptos Narrow"/>
            <b/>
            <color rgb="FFFFFFFF"/>
            <sz val="11"/>
          </rPr>
          <t>TRUE when the procedure is a reusable template; maps to pko:isTemplate.</t>
        </r>
      </text>
    </comment>
    <comment ref="J1" authorId="0">
      <text>
        <r>
          <rPr>
            <rFont val="Aptos Narrow"/>
            <b/>
            <color rgb="FFFFFFFF"/>
            <sz val="11"/>
          </rPr>
          <t>Current version identifier, mirrored structurally by ProcedureVersions.IsCurrent.</t>
        </r>
      </text>
    </comment>
    <comment ref="K1" authorId="0">
      <text>
        <r>
          <rPr>
            <rFont val="Aptos Narrow"/>
            <b/>
            <color rgb="FFFFFFFF"/>
            <sz val="11"/>
          </rPr>
          <t>Exact PKO class IRI.</t>
        </r>
      </text>
    </comment>
    <comment ref="B1" authorId="0">
      <text>
        <r>
          <rPr>
            <rFont val="Aptos Narrow"/>
            <b/>
            <color rgb="FFFFFFFF"/>
            <sz val="11"/>
          </rPr>
          <t>Human-readable calculated display alias for the Procedures row.</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ProcedureVersions row.</t>
        </r>
      </text>
    </comment>
    <comment ref="C1" authorId="0">
      <text>
        <r>
          <rPr>
            <rFont val="Aptos Narrow"/>
            <b/>
            <color rgb="FFFFFFFF"/>
            <sz val="11"/>
          </rPr>
          <t>Abstract procedure of which this is a version.</t>
        </r>
      </text>
    </comment>
    <comment ref="D1" authorId="0">
      <text>
        <r>
          <rPr>
            <rFont val="Aptos Narrow"/>
            <b/>
            <color rgb="FFFFFFFF"/>
            <sz val="11"/>
          </rPr>
          <t>Version number; maps to pko:versionNumber.</t>
        </r>
      </text>
    </comment>
    <comment ref="E1" authorId="0">
      <text>
        <r>
          <rPr>
            <rFont val="Aptos Narrow"/>
            <b/>
            <color rgb="FFFFFFFF"/>
            <sz val="11"/>
          </rPr>
          <t>Version-specific title.</t>
        </r>
      </text>
    </comment>
    <comment ref="F1" authorId="0">
      <text>
        <r>
          <rPr>
            <rFont val="Aptos Narrow"/>
            <b/>
            <color rgb="FFFFFFFF"/>
            <sz val="11"/>
          </rPr>
          <t>PKO procedure status individual: Draft, Validation, Approval, Approved, Deprecated, or Archived.</t>
        </r>
      </text>
    </comment>
    <comment ref="G1" authorId="0">
      <text>
        <r>
          <rPr>
            <rFont val="Aptos Narrow"/>
            <b/>
            <color rgb="FFFFFFFF"/>
            <sz val="11"/>
          </rPr>
          <t>Issue timestamp; maps to dcterms:issued.</t>
        </r>
      </text>
    </comment>
    <comment ref="H1" authorId="0">
      <text>
        <r>
          <rPr>
            <rFont val="Aptos Narrow"/>
            <b/>
            <color rgb="FFFFFFFF"/>
            <sz val="11"/>
          </rPr>
          <t>Last semantic modification; maps to dcterms:modified.</t>
        </r>
      </text>
    </comment>
    <comment ref="I1" authorId="0">
      <text>
        <r>
          <rPr>
            <rFont val="Aptos Narrow"/>
            <b/>
            <color rgb="FFFFFFFF"/>
            <sz val="11"/>
          </rPr>
          <t>Agent that created the version; maps to dcterms:creator.</t>
        </r>
      </text>
    </comment>
    <comment ref="J1" authorId="0">
      <text>
        <r>
          <rPr>
            <rFont val="Aptos Narrow"/>
            <b/>
            <color rgb="FFFFFFFF"/>
            <sz val="11"/>
          </rPr>
          <t>Agent that last modified the version; maps to pko:wasModifiedBy.</t>
        </r>
      </text>
    </comment>
    <comment ref="K1" authorId="0">
      <text>
        <r>
          <rPr>
            <rFont val="Aptos Narrow"/>
            <b/>
            <color rgb="FFFFFFFF"/>
            <sz val="11"/>
          </rPr>
          <t>Reason for the new version; maps to pko:newVersionMotivation.</t>
        </r>
      </text>
    </comment>
    <comment ref="L1" authorId="0">
      <text>
        <r>
          <rPr>
            <rFont val="Aptos Narrow"/>
            <b/>
            <color rgb="FFFFFFFF"/>
            <sz val="11"/>
          </rPr>
          <t>Semantic change description; maps to pko:changelogDescription.</t>
        </r>
      </text>
    </comment>
    <comment ref="M1" authorId="0">
      <text>
        <r>
          <rPr>
            <rFont val="Aptos Narrow"/>
            <b/>
            <color rgb="FFFFFFFF"/>
            <sz val="11"/>
          </rPr>
          <t>TRUE when this is the current version.</t>
        </r>
      </text>
    </comment>
    <comment ref="N1" authorId="0">
      <text>
        <r>
          <rPr>
            <rFont val="Aptos Narrow"/>
            <b/>
            <color rgb="FFFFFFFF"/>
            <sz val="11"/>
          </rPr>
          <t>Number of steps in this version.</t>
        </r>
      </text>
    </comment>
    <comment ref="O1" authorId="0">
      <text>
        <r>
          <rPr>
            <rFont val="Aptos Narrow"/>
            <b/>
            <color rgb="FFFFFFFF"/>
            <sz val="11"/>
          </rPr>
          <t>Open knowledge gaps for this version.</t>
        </r>
      </text>
    </comment>
    <comment ref="P1" authorId="0">
      <text>
        <r>
          <rPr>
            <rFont val="Aptos Narrow"/>
            <b/>
            <color rgb="FFFFFFFF"/>
            <sz val="11"/>
          </rPr>
          <t>TRUE when approved, populated, and free of blocking knowledge gaps.</t>
        </r>
      </text>
    </comment>
    <comment ref="Q1" authorId="0">
      <text>
        <r>
          <rPr>
            <rFont val="Aptos Narrow"/>
            <b/>
            <color rgb="FFFFFFFF"/>
            <sz val="11"/>
          </rPr>
          <t>How many steps the specification defines for this version.</t>
        </r>
      </text>
    </comment>
    <comment ref="R1" authorId="0">
      <text>
        <r>
          <rPr>
            <rFont val="Aptos Narrow"/>
            <b/>
            <color rgb="FFFFFFFF"/>
            <sz val="11"/>
          </rPr>
          <t>How many reviews of this procedure version are past due.</t>
        </r>
      </text>
    </comment>
    <comment ref="S1" authorId="0">
      <text>
        <r>
          <rPr>
            <rFont val="Aptos Narrow"/>
            <b/>
            <color rgb="FFFFFFFF"/>
            <sz val="11"/>
          </rPr>
          <t>How many change requests are open against this version.</t>
        </r>
      </text>
    </comment>
    <comment ref="T1" authorId="0">
      <text>
        <r>
          <rPr>
            <rFont val="Aptos Narrow"/>
            <b/>
            <color rgb="FFFFFFFF"/>
            <sz val="11"/>
          </rPr>
          <t>How many high-severity knowledge gaps are open against this version.</t>
        </r>
      </text>
    </comment>
    <comment ref="U1" authorId="0">
      <text>
        <r>
          <rPr>
            <rFont val="Aptos Narrow"/>
            <b/>
            <color rgb="FFFFFFFF"/>
            <sz val="11"/>
          </rPr>
          <t>TRUE when this version is approved, current on review, and carries no open change request or high-severity gap.</t>
        </r>
      </text>
    </comment>
    <comment ref="V1" authorId="0">
      <text>
        <r>
          <rPr>
            <rFont val="Aptos Narrow"/>
            <b/>
            <color rgb="FFFFFFFF"/>
            <sz val="11"/>
          </rPr>
          <t>The review cadence promised by this version's stewardship assignment, in days. Summed because a version has at most one active steward; this is the hop that lets ReviewEvents resolve the promise via a primary-key match.</t>
        </r>
      </text>
    </comment>
    <comment ref="W1" authorId="0">
      <text>
        <r>
          <rPr>
            <rFont val="Aptos Narrow"/>
            <b/>
            <color rgb="FFFFFFFF"/>
            <sz val="11"/>
          </rPr>
          <t>How many stewardship assignments of any vintage point at this version.</t>
        </r>
      </text>
    </comment>
    <comment ref="X1" authorId="0">
      <text>
        <r>
          <rPr>
            <rFont val="Aptos Narrow"/>
            <b/>
            <color rgb="FFFFFFFF"/>
            <sz val="11"/>
          </rPr>
          <t>TRUE if any stewardship assignment has ever named this version.</t>
        </r>
      </text>
    </comment>
    <comment ref="Y1" authorId="0">
      <text>
        <r>
          <rPr>
            <rFont val="Aptos Narrow"/>
            <b/>
            <color rgb="FFFFFFFF"/>
            <sz val="11"/>
          </rPr>
          <t>TRUE when this version is in a state where somebody could execute it.</t>
        </r>
      </text>
    </comment>
    <comment ref="Z1" authorId="0">
      <text>
        <r>
          <rPr>
            <rFont val="Aptos Narrow"/>
            <b/>
            <color rgb="FFFFFFFF"/>
            <sz val="11"/>
          </rPr>
          <t>TRUE when no stewardship assignment names this version.</t>
        </r>
      </text>
    </comment>
    <comment ref="AA1" authorId="0">
      <text>
        <r>
          <rPr>
            <rFont val="Aptos Narrow"/>
            <b/>
            <color rgb="FFFFFFFF"/>
            <sz val="11"/>
          </rPr>
          <t>TRUE when an executable version has nobody accountable for keeping it healthy.</t>
        </r>
      </text>
    </comment>
    <comment ref="AB1" authorId="0">
      <text>
        <r>
          <rPr>
            <rFont val="Aptos Narrow"/>
            <b/>
            <color rgb="FFFFFFFF"/>
            <sz val="11"/>
          </rPr>
          <t>How many open blocking gaps stand against this version.</t>
        </r>
      </text>
    </comment>
    <comment ref="AC1" authorId="0">
      <text>
        <r>
          <rPr>
            <rFont val="Aptos Narrow"/>
            <b/>
            <color rgb="FFFFFFFF"/>
            <sz val="11"/>
          </rPr>
          <t>TRUE when at least one open blocking gap stands against this version.</t>
        </r>
      </text>
    </comment>
    <comment ref="AD1" authorId="0">
      <text>
        <r>
          <rPr>
            <rFont val="Aptos Narrow"/>
            <b/>
            <color rgb="FFFFFFFF"/>
            <sz val="11"/>
          </rPr>
          <t>TRUE when an executable version carries an unresolved blocking knowledge gap.</t>
        </r>
      </text>
    </comment>
    <comment ref="AE1" authorId="0">
      <text>
        <r>
          <rPr>
            <rFont val="Aptos Narrow"/>
            <b/>
            <color rgb="FFFFFFFF"/>
            <sz val="11"/>
          </rPr>
          <t>TRUE when the model says this version is ready to execute while a blocking gap is open against it.</t>
        </r>
      </text>
    </comment>
    <comment ref="AF1" authorId="0">
      <text>
        <r>
          <rPr>
            <rFont val="Aptos Narrow"/>
            <b/>
            <color rgb="FFFFFFFF"/>
            <sz val="11"/>
          </rPr>
          <t>How many unapproved claims this version is relying on.</t>
        </r>
      </text>
    </comment>
    <comment ref="AG1" authorId="0">
      <text>
        <r>
          <rPr>
            <rFont val="Aptos Narrow"/>
            <b/>
            <color rgb="FFFFFFFF"/>
            <sz val="11"/>
          </rPr>
          <t>TRUE when this version depends on at least one claim the knowledge authority has not approved.</t>
        </r>
      </text>
    </comment>
    <comment ref="AH1" authorId="0">
      <text>
        <r>
          <rPr>
            <rFont val="Aptos Narrow"/>
            <b/>
            <color rgb="FFFFFFFF"/>
            <sz val="11"/>
          </rPr>
          <t>How many acknowledged unknowns against this version have outlived their tolerance.</t>
        </r>
      </text>
    </comment>
    <comment ref="AI1" authorId="0">
      <text>
        <r>
          <rPr>
            <rFont val="Aptos Narrow"/>
            <b/>
            <color rgb="FFFFFFFF"/>
            <sz val="11"/>
          </rPr>
          <t>How many change requests have ever been raised against this version.</t>
        </r>
      </text>
    </comment>
    <comment ref="AJ1" authorId="0">
      <text>
        <r>
          <rPr>
            <rFont val="Aptos Narrow"/>
            <b/>
            <color rgb="FFFFFFFF"/>
            <sz val="11"/>
          </rPr>
          <t>How many review events have ever been recorded against this version.</t>
        </r>
      </text>
    </comment>
    <comment ref="AK1" authorId="0">
      <text>
        <r>
          <rPr>
            <rFont val="Aptos Narrow"/>
            <b/>
            <color rgb="FFFFFFFF"/>
            <sz val="11"/>
          </rPr>
          <t>TRUE when at least one change request or review event exists for this version.</t>
        </r>
      </text>
    </comment>
    <comment ref="AL1" authorId="0">
      <text>
        <r>
          <rPr>
            <rFont val="Aptos Narrow"/>
            <b/>
            <color rgb="FFFFFFFF"/>
            <sz val="11"/>
          </rPr>
          <t>The evaluation context this row's time-dependent witnesses are judged under.</t>
        </r>
      </text>
    </comment>
    <comment ref="AM1" authorId="0">
      <text>
        <r>
          <rPr>
            <rFont val="Aptos Narrow"/>
            <b/>
            <color rgb="FFFFFFFF"/>
            <sz val="11"/>
          </rPr>
          <t>The evaluation instant this row's time-dependent witnesses are judged against.</t>
        </r>
      </text>
    </comment>
    <comment ref="AN1" authorId="0">
      <text>
        <r>
          <rPr>
            <rFont val="Aptos Narrow"/>
            <b/>
            <color rgb="FFFFFFFF"/>
            <sz val="11"/>
          </rPr>
          <t>Days since this version's content was last changed.</t>
        </r>
      </text>
    </comment>
    <comment ref="AO1" authorId="0">
      <text>
        <r>
          <rPr>
            <rFont val="Aptos Narrow"/>
            <b/>
            <color rgb="FFFFFFFF"/>
            <sz val="11"/>
          </rPr>
          <t>Days since the most recent review of this version.</t>
        </r>
      </text>
    </comment>
    <comment ref="AP1" authorId="0">
      <text>
        <r>
          <rPr>
            <rFont val="Aptos Narrow"/>
            <b/>
            <color rgb="FFFFFFFF"/>
            <sz val="11"/>
          </rPr>
          <t>TRUE when the version was edited more recently than it was reviewed.</t>
        </r>
      </text>
    </comment>
    <comment ref="AQ1" authorId="0">
      <text>
        <r>
          <rPr>
            <rFont val="Aptos Narrow"/>
            <b/>
            <color rgb="FFFFFFFF"/>
            <sz val="11"/>
          </rPr>
          <t>The kind of agent that last modified this version.</t>
        </r>
      </text>
    </comment>
    <comment ref="AR1" authorId="0">
      <text>
        <r>
          <rPr>
            <rFont val="Aptos Narrow"/>
            <b/>
            <color rgb="FFFFFFFF"/>
            <sz val="11"/>
          </rPr>
          <t>TRUE when a live version's current content postdates every review it has had.</t>
        </r>
      </text>
    </comment>
    <comment ref="AS1" authorId="0">
      <text>
        <r>
          <rPr>
            <rFont val="Aptos Narrow"/>
            <b/>
            <color rgb="FFFFFFFF"/>
            <sz val="11"/>
          </rPr>
          <t>How many supporting claims have outlived this version's review cadence.</t>
        </r>
      </text>
    </comment>
    <comment ref="AT1" authorId="0">
      <text>
        <r>
          <rPr>
            <rFont val="Aptos Narrow"/>
            <b/>
            <color rgb="FFFFFFFF"/>
            <sz val="11"/>
          </rPr>
          <t>TRUE when this version rests on at least one claim older than its own review cadence.</t>
        </r>
      </text>
    </comment>
    <comment ref="AU1" authorId="0">
      <text>
        <r>
          <rPr>
            <rFont val="Aptos Narrow"/>
            <b/>
            <color rgb="FFFFFFFF"/>
            <sz val="11"/>
          </rPr>
          <t>How many compound-fragile knowledge fragments this version rests on.</t>
        </r>
      </text>
    </comment>
    <comment ref="AV1" authorId="0">
      <text>
        <r>
          <rPr>
            <rFont val="Aptos Narrow"/>
            <b/>
            <color rgb="FFFFFFFF"/>
            <sz val="11"/>
          </rPr>
          <t>A live procedure version resting on at least one knowledge fragment that carries three or more decay signals.</t>
        </r>
      </text>
    </comment>
    <comment ref="AW1" authorId="0">
      <text>
        <r>
          <rPr>
            <rFont val="Aptos Narrow"/>
            <b/>
            <color rgb="FFFFFFFF"/>
            <sz val="11"/>
          </rPr>
          <t>How many concentrated single-witness sessions underwrite this version's knowledge base.</t>
        </r>
      </text>
    </comment>
    <comment ref="AX1" authorId="0">
      <text>
        <r>
          <rPr>
            <rFont val="Aptos Narrow"/>
            <b/>
            <color rgb="FFFFFFFF"/>
            <sz val="11"/>
          </rPr>
          <t>A live version where at least one single-witness session alone underwrites three or more of its live claims.</t>
        </r>
      </text>
    </comment>
    <comment ref="AY1" authorId="0">
      <text>
        <r>
          <rPr>
            <rFont val="Aptos Narrow"/>
            <b/>
            <color rgb="FFFFFFFF"/>
            <sz val="11"/>
          </rPr>
          <t>How many unapproved claims this version feeds directly to software-assigned steps.</t>
        </r>
      </text>
    </comment>
    <comment ref="AZ1" authorId="0">
      <text>
        <r>
          <rPr>
            <rFont val="Aptos Narrow"/>
            <b/>
            <color rgb="FFFFFFFF"/>
            <sz val="11"/>
          </rPr>
          <t>A live version that hands unapproved knowledge to a step no human is positioned to review.</t>
        </r>
      </text>
    </comment>
    <comment ref="BA1" authorId="0">
      <text>
        <r>
          <rPr>
            <rFont val="Aptos Narrow"/>
            <b/>
            <color rgb="FFFFFFFF"/>
            <sz val="11"/>
          </rPr>
          <t>How many of this version's claims are overdue by actual review record rather than by inference.</t>
        </r>
      </text>
    </comment>
    <comment ref="BB1" authorId="0">
      <text>
        <r>
          <rPr>
            <rFont val="Aptos Narrow"/>
            <b/>
            <color rgb="FFFFFFFF"/>
            <sz val="11"/>
          </rPr>
          <t>How many decisions are pending against this live version.</t>
        </r>
      </text>
    </comment>
    <comment ref="BC1" authorId="0">
      <text>
        <r>
          <rPr>
            <rFont val="Aptos Narrow"/>
            <b/>
            <color rgb="FFFFFFFF"/>
            <sz val="11"/>
          </rPr>
          <t>How many open blocking gaps belong to THIS version, correctly scoped.</t>
        </r>
      </text>
    </comment>
    <comment ref="BD1" authorId="0">
      <text>
        <r>
          <rPr>
            <rFont val="Aptos Narrow"/>
            <b/>
            <color rgb="FFFFFFFF"/>
            <sz val="11"/>
          </rPr>
          <t>A live version carrying both an undecided change request and an open blocking gap — the gap cannot close until the decision lands.</t>
        </r>
      </text>
    </comment>
    <comment ref="BE1" authorId="0">
      <text>
        <r>
          <rPr>
            <rFont val="Aptos Narrow"/>
            <b/>
            <color rgb="FFFFFFFF"/>
            <sz val="11"/>
          </rPr>
          <t>How many of this version's human-only gates have never been approached by software.</t>
        </r>
      </text>
    </comment>
    <comment ref="BF1" authorId="0">
      <text>
        <r>
          <rPr>
            <rFont val="Aptos Narrow"/>
            <b/>
            <color rgb="FFFFFFFF"/>
            <sz val="11"/>
          </rPr>
          <t>A live version whose human-only gates rest on assertion rather than on any observed attempt by software.</t>
        </r>
      </text>
    </comment>
    <comment ref="BG1" authorId="0">
      <text>
        <r>
          <rPr>
            <rFont val="Aptos Narrow"/>
            <b/>
            <color rgb="FFFFFFFF"/>
            <sz val="11"/>
          </rPr>
          <t>How many high-blast-radius unapproved claims this version rests on.</t>
        </r>
      </text>
    </comment>
    <comment ref="BH1" authorId="0">
      <text>
        <r>
          <rPr>
            <rFont val="Aptos Narrow"/>
            <b/>
            <color rgb="FFFFFFFF"/>
            <sz val="11"/>
          </rPr>
          <t>How many decided-but-unimplemented change requests hold this version's fitness down.</t>
        </r>
      </text>
    </comment>
    <comment ref="BI1" authorId="0">
      <text>
        <r>
          <rPr>
            <rFont val="Aptos Narrow"/>
            <b/>
            <color rgb="FFFFFFFF"/>
            <sz val="11"/>
          </rPr>
          <t>How many unrehearsed control entries exist in this procedure version.</t>
        </r>
      </text>
    </comment>
    <comment ref="BJ1" authorId="0">
      <text>
        <r>
          <rPr>
            <rFont val="Aptos Narrow"/>
            <b/>
            <color rgb="FFFFFFFF"/>
            <sz val="11"/>
          </rPr>
          <t>Whether this live version has at least one blocking control that is only reachable by a path nobody has ever walked.</t>
        </r>
      </text>
    </comment>
    <comment ref="BK1" authorId="0">
      <text>
        <r>
          <rPr>
            <rFont val="Aptos Narrow"/>
            <b/>
            <color rgb="FFFFFFFF"/>
            <sz val="11"/>
          </rPr>
          <t>A version that is live for execution while carrying at least one never-rehearsed blocking control entry.</t>
        </r>
      </text>
    </comment>
    <comment ref="BL1" authorId="0">
      <text>
        <r>
          <rPr>
            <rFont val="Aptos Narrow"/>
            <b/>
            <color rgb="FFFFFFFF"/>
            <sz val="11"/>
          </rPr>
          <t>How many review events on this version are past their promised cadence.</t>
        </r>
      </text>
    </comment>
    <comment ref="BM1" authorId="0">
      <text>
        <r>
          <rPr>
            <rFont val="Aptos Narrow"/>
            <b/>
            <color rgb="FFFFFFFF"/>
            <sz val="11"/>
          </rPr>
          <t>Whether this version currently has at least one review event past the cadence its steward promised.</t>
        </r>
      </text>
    </comment>
    <comment ref="BN1" authorId="0">
      <text>
        <r>
          <rPr>
            <rFont val="Aptos Narrow"/>
            <b/>
            <color rgb="FFFFFFFF"/>
            <sz val="11"/>
          </rPr>
          <t>Whether this version has at least one change request that is still open.</t>
        </r>
      </text>
    </comment>
    <comment ref="BO1" authorId="0">
      <text>
        <r>
          <rPr>
            <rFont val="Aptos Narrow"/>
            <b/>
            <color rgb="FFFFFFFF"/>
            <sz val="11"/>
          </rPr>
          <t>A cadence breach with no open change request against the version — a broken promise with no response in motion.</t>
        </r>
      </text>
    </comment>
    <comment ref="BP1" authorId="0">
      <text>
        <r>
          <rPr>
            <rFont val="Aptos Narrow"/>
            <b/>
            <color rgb="FFFFFFFF"/>
            <sz val="11"/>
          </rPr>
          <t>A cadence breach where a change request is at least open against the version.</t>
        </r>
      </text>
    </comment>
    <comment ref="BQ1" authorId="0">
      <text>
        <r>
          <rPr>
            <rFont val="Aptos Narrow"/>
            <b/>
            <color rgb="FFFFFFFF"/>
            <sz val="11"/>
          </rPr>
          <t>A live version with neither a change request nor a review event ever recorded against it.</t>
        </r>
      </text>
    </comment>
    <comment ref="BR1" authorId="0">
      <text>
        <r>
          <rPr>
            <rFont val="Aptos Narrow"/>
            <b/>
            <color rgb="FFFFFFFF"/>
            <sz val="11"/>
          </rPr>
          <t>How many currently-valid knowledge fragments are attached to this version.</t>
        </r>
      </text>
    </comment>
    <comment ref="BS1" authorId="0">
      <text>
        <r>
          <rPr>
            <rFont val="Aptos Narrow"/>
            <b/>
            <color rgb="FFFFFFFF"/>
            <sz val="11"/>
          </rPr>
          <t>Whether this version still holds at least one knowledge fragment that is currently valid.</t>
        </r>
      </text>
    </comment>
    <comment ref="BT1" authorId="0">
      <text>
        <r>
          <rPr>
            <rFont val="Aptos Narrow"/>
            <b/>
            <color rgb="FFFFFFFF"/>
            <sz val="11"/>
          </rPr>
          <t>How many other versions declare that they supersede this one.</t>
        </r>
      </text>
    </comment>
    <comment ref="BU1" authorId="0">
      <text>
        <r>
          <rPr>
            <rFont val="Aptos Narrow"/>
            <b/>
            <color rgb="FFFFFFFF"/>
            <sz val="11"/>
          </rPr>
          <t>Whether any other version points at this one through a supersession link.</t>
        </r>
      </text>
    </comment>
    <comment ref="BV1" authorId="0">
      <text>
        <r>
          <rPr>
            <rFont val="Aptos Narrow"/>
            <b/>
            <color rgb="FFFFFFFF"/>
            <sz val="11"/>
          </rPr>
          <t>An unstewarded version that is still referenced by a supersession link or still owns currently-valid knowledge — nobody is accountable for it and something still depends on it.</t>
        </r>
      </text>
    </comment>
    <comment ref="BW1" authorId="0">
      <text>
        <r>
          <rPr>
            <rFont val="Aptos Narrow"/>
            <b/>
            <color rgb="FFFFFFFF"/>
            <sz val="11"/>
          </rPr>
          <t>An unstewarded version that nothing depends on — a genuine, safe retirement.</t>
        </r>
      </text>
    </comment>
    <comment ref="BX1" authorId="0">
      <text>
        <r>
          <rPr>
            <rFont val="Aptos Narrow"/>
            <b/>
            <color rgb="FFFFFFFF"/>
            <sz val="11"/>
          </rPr>
          <t>How many approved-but-unimplemented change requests are stalled against this version.</t>
        </r>
      </text>
    </comment>
    <comment ref="BY1" authorId="0">
      <text>
        <r>
          <rPr>
            <rFont val="Aptos Narrow"/>
            <b/>
            <color rgb="FFFFFFFF"/>
            <sz val="11"/>
          </rPr>
          <t>A version reading unfit to execute specifically because approved changes have not been marked implemented.</t>
        </r>
      </text>
    </comment>
    <comment ref="BZ1" authorId="0">
      <text>
        <r>
          <rPr>
            <rFont val="Aptos Narrow"/>
            <b/>
            <color rgb="FFFFFFFF"/>
            <sz val="11"/>
          </rPr>
          <t>How many steps in this version have not declared a control kind.</t>
        </r>
      </text>
    </comment>
    <comment ref="CA1" authorId="0">
      <text>
        <r>
          <rPr>
            <rFont val="Aptos Narrow"/>
            <b/>
            <color rgb="FFFFFFFF"/>
            <sz val="11"/>
          </rPr>
          <t>Whether this version contains any step whose control kind is unstated — meaning role-based and id-based control predicates cannot be trusted to cover it.</t>
        </r>
      </text>
    </comment>
    <comment ref="CB1" authorId="0">
      <text>
        <r>
          <rPr>
            <rFont val="Aptos Narrow"/>
            <b/>
            <color rgb="FFFFFFFF"/>
            <sz val="11"/>
          </rPr>
          <t>TRUE when at least one change request against this version has been approved.</t>
        </r>
      </text>
    </comment>
    <comment ref="CC1" authorId="0">
      <text>
        <r>
          <rPr>
            <rFont val="Aptos Narrow"/>
            <b/>
            <color rgb="FFFFFFFF"/>
            <sz val="11"/>
          </rPr>
          <t>How many change requests against this version have been approved.</t>
        </r>
      </text>
    </comment>
    <comment ref="CD1" authorId="0">
      <text>
        <r>
          <rPr>
            <rFont val="Aptos Narrow"/>
            <b/>
            <color rgb="FFFFFFFF"/>
            <sz val="11"/>
          </rPr>
          <t>How many blocking controls in the model are neither computed nor owned.</t>
        </r>
      </text>
    </comment>
    <comment ref="CE1" authorId="0">
      <text>
        <r>
          <rPr>
            <rFont val="Aptos Narrow"/>
            <b/>
            <color rgb="FFFFFFFF"/>
            <sz val="11"/>
          </rPr>
          <t>How many process-mining conformance runs exist for this procedure version.</t>
        </r>
      </text>
    </comment>
    <comment ref="CF1" authorId="0">
      <text>
        <r>
          <rPr>
            <rFont val="Aptos Narrow"/>
            <b/>
            <color rgb="FFFFFFFF"/>
            <sz val="11"/>
          </rPr>
          <t>How many mining runs found major, real drift while this version was live.</t>
        </r>
      </text>
    </comment>
    <comment ref="CG1" authorId="0">
      <text>
        <r>
          <rPr>
            <rFont val="Aptos Narrow"/>
            <b/>
            <color rgb="FFFFFFFF"/>
            <sz val="11"/>
          </rPr>
          <t>TRUE when mined operational evidence contradicts this live version's documented path.</t>
        </r>
      </text>
    </comment>
    <comment ref="CH1" authorId="0">
      <text>
        <r>
          <rPr>
            <rFont val="Aptos Narrow"/>
            <b/>
            <color rgb="FFFFFFFF"/>
            <sz val="11"/>
          </rPr>
          <t>The step this procedure version starts at: the one step no transition leads into.</t>
        </r>
      </text>
    </comment>
    <comment ref="CI1" authorId="0">
      <text>
        <r>
          <rPr>
            <rFont val="Aptos Narrow"/>
            <b/>
            <color rgb="FFFFFFFF"/>
            <sz val="11"/>
          </rPr>
          <t>Exact PKO class IRI.</t>
        </r>
      </text>
    </comment>
    <comment ref="B1" authorId="0">
      <text>
        <r>
          <rPr>
            <rFont val="Aptos Narrow"/>
            <b/>
            <color rgb="FFFFFFFF"/>
            <sz val="11"/>
          </rPr>
          <t>Human-readable calculated display alias for the ProcedureVersions row.</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ProcedureVersionLinks row.</t>
        </r>
      </text>
    </comment>
    <comment ref="C1" authorId="0">
      <text>
        <r>
          <rPr>
            <rFont val="Aptos Narrow"/>
            <b/>
            <color rgb="FFFFFFFF"/>
            <sz val="11"/>
          </rPr>
          <t>Earlier version.</t>
        </r>
      </text>
    </comment>
    <comment ref="D1" authorId="0">
      <text>
        <r>
          <rPr>
            <rFont val="Aptos Narrow"/>
            <b/>
            <color rgb="FFFFFFFF"/>
            <sz val="11"/>
          </rPr>
          <t>Later version.</t>
        </r>
      </text>
    </comment>
    <comment ref="E1" authorId="0">
      <text>
        <r>
          <rPr>
            <rFont val="Aptos Narrow"/>
            <b/>
            <color rgb="FFFFFFFF"/>
            <sz val="11"/>
          </rPr>
          <t>Exact version relation IRI.</t>
        </r>
      </text>
    </comment>
    <comment ref="F1" authorId="0">
      <text>
        <r>
          <rPr>
            <rFont val="Aptos Narrow"/>
            <b/>
            <color rgb="FFFFFFFF"/>
            <sz val="11"/>
          </rPr>
          <t>Summary of semantic change across the edge.</t>
        </r>
      </text>
    </comment>
    <comment ref="G1" authorId="0">
      <text>
        <r>
          <rPr>
            <rFont val="Aptos Narrow"/>
            <b/>
            <color rgb="FFFFFFFF"/>
            <sz val="11"/>
          </rPr>
          <t>Echoes the superseded (previous) version id for rows that express a next-version relation. Supersession is carried by RelationIri here, not by a separate link-kind column.</t>
        </r>
      </text>
    </comment>
    <comment ref="B1" authorId="0">
      <text>
        <r>
          <rPr>
            <rFont val="Aptos Narrow"/>
            <b/>
            <color rgb="FFFFFFFF"/>
            <sz val="11"/>
          </rPr>
          <t>Human-readable calculated display alias for the ProcedureVersionLinks row.</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ProcedureStatusChanges row.</t>
        </r>
      </text>
    </comment>
    <comment ref="C1" authorId="0">
      <text>
        <r>
          <rPr>
            <rFont val="Aptos Narrow"/>
            <b/>
            <color rgb="FFFFFFFF"/>
            <sz val="11"/>
          </rPr>
          <t>Procedure version whose status changed.</t>
        </r>
      </text>
    </comment>
    <comment ref="D1" authorId="0">
      <text>
        <r>
          <rPr>
            <rFont val="Aptos Narrow"/>
            <b/>
            <color rgb="FFFFFFFF"/>
            <sz val="11"/>
          </rPr>
          <t>Previous PKO status.</t>
        </r>
      </text>
    </comment>
    <comment ref="E1" authorId="0">
      <text>
        <r>
          <rPr>
            <rFont val="Aptos Narrow"/>
            <b/>
            <color rgb="FFFFFFFF"/>
            <sz val="11"/>
          </rPr>
          <t>New PKO status.</t>
        </r>
      </text>
    </comment>
    <comment ref="F1" authorId="0">
      <text>
        <r>
          <rPr>
            <rFont val="Aptos Narrow"/>
            <b/>
            <color rgb="FFFFFFFF"/>
            <sz val="11"/>
          </rPr>
          <t>Time of change; maps to prov:atTime.</t>
        </r>
      </text>
    </comment>
    <comment ref="G1" authorId="0">
      <text>
        <r>
          <rPr>
            <rFont val="Aptos Narrow"/>
            <b/>
            <color rgb="FFFFFFFF"/>
            <sz val="11"/>
          </rPr>
          <t>Agent responsible for the change.</t>
        </r>
      </text>
    </comment>
    <comment ref="H1" authorId="0">
      <text>
        <r>
          <rPr>
            <rFont val="Aptos Narrow"/>
            <b/>
            <color rgb="FFFFFFFF"/>
            <sz val="11"/>
          </rPr>
          <t>Reason for changing status.</t>
        </r>
      </text>
    </comment>
    <comment ref="I1" authorId="0">
      <text>
        <r>
          <rPr>
            <rFont val="Aptos Narrow"/>
            <b/>
            <color rgb="FFFFFFFF"/>
            <sz val="11"/>
          </rPr>
          <t>Exact PKO class IRI.</t>
        </r>
      </text>
    </comment>
    <comment ref="B1" authorId="0">
      <text>
        <r>
          <rPr>
            <rFont val="Aptos Narrow"/>
            <b/>
            <color rgb="FFFFFFFF"/>
            <sz val="11"/>
          </rPr>
          <t>Human-readable calculated display alias for the ProcedureStatusChanges row.</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Steps row.</t>
        </r>
      </text>
    </comment>
    <comment ref="C1" authorId="0">
      <text>
        <r>
          <rPr>
            <rFont val="Aptos Narrow"/>
            <b/>
            <color rgb="FFFFFFFF"/>
            <sz val="11"/>
          </rPr>
          <t>Procedure version containing the step; maps to pko:hasStep/pplan:isStepOfPlan.</t>
        </r>
      </text>
    </comment>
    <comment ref="D1" authorId="0">
      <text>
        <r>
          <rPr>
            <rFont val="Aptos Narrow"/>
            <b/>
            <color rgb="FFFFFFFF"/>
            <sz val="11"/>
          </rPr>
          <t>Stable sequence label; maps to pko:stepNumber.</t>
        </r>
      </text>
    </comment>
    <comment ref="E1" authorId="0">
      <text>
        <r>
          <rPr>
            <rFont val="Aptos Narrow"/>
            <b/>
            <color rgb="FFFFFFFF"/>
            <sz val="11"/>
          </rPr>
          <t>Human-readable step title.</t>
        </r>
      </text>
    </comment>
    <comment ref="F1" authorId="0">
      <text>
        <r>
          <rPr>
            <rFont val="Aptos Narrow"/>
            <b/>
            <color rgb="FFFFFFFF"/>
            <sz val="11"/>
          </rPr>
          <t>Atomic or MultiStep.</t>
        </r>
      </text>
    </comment>
    <comment ref="G1" authorId="0">
      <text>
        <r>
          <rPr>
            <rFont val="Aptos Narrow"/>
            <b/>
            <color rgb="FFFFFFFF"/>
            <sz val="11"/>
          </rPr>
          <t>Role responsible for the step.</t>
        </r>
      </text>
    </comment>
    <comment ref="H1" authorId="0">
      <text>
        <r>
          <rPr>
            <rFont val="Aptos Narrow"/>
            <b/>
            <color rgb="FFFFFFFF"/>
            <sz val="11"/>
          </rPr>
          <t>Resolved role label.</t>
        </r>
      </text>
    </comment>
    <comment ref="I1" authorId="0">
      <text>
        <r>
          <rPr>
            <rFont val="Aptos Narrow"/>
            <b/>
            <color rgb="FFFFFFFF"/>
            <sz val="11"/>
          </rPr>
          <t>Current role-filler category.</t>
        </r>
      </text>
    </comment>
    <comment ref="J1" authorId="0">
      <text>
        <r>
          <rPr>
            <rFont val="Aptos Narrow"/>
            <b/>
            <color rgb="FFFFFFFF"/>
            <sz val="11"/>
          </rPr>
          <t>Normative step instruction.</t>
        </r>
      </text>
    </comment>
    <comment ref="K1" authorId="0">
      <text>
        <r>
          <rPr>
            <rFont val="Aptos Narrow"/>
            <b/>
            <color rgb="FFFFFFFF"/>
            <sz val="11"/>
          </rPr>
          <t>Expected duration represented as an OWL-Time duration in semantic projections.</t>
        </r>
      </text>
    </comment>
    <comment ref="L1" authorId="0">
      <text>
        <r>
          <rPr>
            <rFont val="Aptos Narrow"/>
            <b/>
            <color rgb="FFFFFFFF"/>
            <sz val="11"/>
          </rPr>
          <t>PKO expertise level: Junior, Senior, Expert, or Master.</t>
        </r>
      </text>
    </comment>
    <comment ref="M1" authorId="0">
      <text>
        <r>
          <rPr>
            <rFont val="Aptos Narrow"/>
            <b/>
            <color rgb="FFFFFFFF"/>
            <sz val="11"/>
          </rPr>
          <t>TRUE when a human must confirm the step; maps to pko:wasConfirmedBy at execution.</t>
        </r>
      </text>
    </comment>
    <comment ref="N1" authorId="0">
      <text>
        <r>
          <rPr>
            <rFont val="Aptos Narrow"/>
            <b/>
            <color rgb="FFFFFFFF"/>
            <sz val="11"/>
          </rPr>
          <t>How many blocking requirements the specification attaches to this step.</t>
        </r>
      </text>
    </comment>
    <comment ref="O1" authorId="0">
      <text>
        <r>
          <rPr>
            <rFont val="Aptos Narrow"/>
            <b/>
            <color rgb="FFFFFFFF"/>
            <sz val="11"/>
          </rPr>
          <t>How many operational bindings for this step are currently outside their freshness SLA.</t>
        </r>
      </text>
    </comment>
    <comment ref="P1" authorId="0">
      <text>
        <r>
          <rPr>
            <rFont val="Aptos Narrow"/>
            <b/>
            <color rgb="FFFFFFFF"/>
            <sz val="11"/>
          </rPr>
          <t>How many authoritative bindings for this step are currently stale.</t>
        </r>
      </text>
    </comment>
    <comment ref="Q1" authorId="0">
      <text>
        <r>
          <rPr>
            <rFont val="Aptos Narrow"/>
            <b/>
            <color rgb="FFFFFFFF"/>
            <sz val="11"/>
          </rPr>
          <t>How many active exceptions the specification defines for this step.</t>
        </r>
      </text>
    </comment>
    <comment ref="R1" authorId="0">
      <text>
        <r>
          <rPr>
            <rFont val="Aptos Narrow"/>
            <b/>
            <color rgb="FFFFFFFF"/>
            <sz val="11"/>
          </rPr>
          <t>How many verifications the specification declares for this step.</t>
        </r>
      </text>
    </comment>
    <comment ref="S1" authorId="0">
      <text>
        <r>
          <rPr>
            <rFont val="Aptos Narrow"/>
            <b/>
            <color rgb="FFFFFFFF"/>
            <sz val="11"/>
          </rPr>
          <t>TRUE for steps whose assigned role produces the work product rather than reviewing it.</t>
        </r>
      </text>
    </comment>
    <comment ref="T1" authorId="0">
      <text>
        <r>
          <rPr>
            <rFont val="Aptos Narrow"/>
            <b/>
            <color rgb="FFFFFFFF"/>
            <sz val="11"/>
          </rPr>
          <t>TRUE for steps whose assigned role is an approval authority.</t>
        </r>
      </text>
    </comment>
    <comment ref="U1" authorId="0">
      <text>
        <r>
          <rPr>
            <rFont val="Aptos Narrow"/>
            <b/>
            <color rgb="FFFFFFFF"/>
            <sz val="11"/>
          </rPr>
          <t>Number of authoritative bindings for this step that are past their freshness SLA.</t>
        </r>
      </text>
    </comment>
    <comment ref="V1" authorId="0">
      <text>
        <r>
          <rPr>
            <rFont val="Aptos Narrow"/>
            <b/>
            <color rgb="FFFFFFFF"/>
            <sz val="11"/>
          </rPr>
          <t>TRUE when no authoritative binding for this step is stale.</t>
        </r>
      </text>
    </comment>
    <comment ref="W1" authorId="0">
      <text>
        <r>
          <rPr>
            <rFont val="Aptos Narrow"/>
            <b/>
            <color rgb="FFFFFFFF"/>
            <sz val="11"/>
          </rPr>
          <t>TRUE when this step is specified to be performed by software rather than a person.</t>
        </r>
      </text>
    </comment>
    <comment ref="X1" authorId="0">
      <text>
        <r>
          <rPr>
            <rFont val="Aptos Narrow"/>
            <b/>
            <color rgb="FFFFFFFF"/>
            <sz val="11"/>
          </rPr>
          <t>TRUE for the steps that exist specifically to place a human commitment between drafting and delivery.</t>
        </r>
      </text>
    </comment>
    <comment ref="Y1" authorId="0">
      <text>
        <r>
          <rPr>
            <rFont val="Aptos Narrow"/>
            <b/>
            <color rgb="FFFFFFFF"/>
            <sz val="11"/>
          </rPr>
          <t>TRUE when a designated approval gate is in fact assigned to a human role.</t>
        </r>
      </text>
    </comment>
    <comment ref="Z1" authorId="0">
      <text>
        <r>
          <rPr>
            <rFont val="Aptos Narrow"/>
            <b/>
            <color rgb="FFFFFFFF"/>
            <sz val="11"/>
          </rPr>
          <t>Number of authority boundaries currently binding at this step.</t>
        </r>
      </text>
    </comment>
    <comment ref="AA1" authorId="0">
      <text>
        <r>
          <rPr>
            <rFont val="Aptos Narrow"/>
            <b/>
            <color rgb="FFFFFFFF"/>
            <sz val="11"/>
          </rPr>
          <t>Whether this step's assigned role is a non-human role with no governing assignment.</t>
        </r>
      </text>
    </comment>
    <comment ref="AB1" authorId="0">
      <text>
        <r>
          <rPr>
            <rFont val="Aptos Narrow"/>
            <b/>
            <color rgb="FFFFFFFF"/>
            <sz val="11"/>
          </rPr>
          <t>Number of bindings at this step that are unapproved or stale.</t>
        </r>
      </text>
    </comment>
    <comment ref="AC1" authorId="0">
      <text>
        <r>
          <rPr>
            <rFont val="Aptos Narrow"/>
            <b/>
            <color rgb="FFFFFFFF"/>
            <sz val="11"/>
          </rPr>
          <t>TRUE when every binding at this step is an approved, fresh source.</t>
        </r>
      </text>
    </comment>
    <comment ref="AD1" authorId="0">
      <text>
        <r>
          <rPr>
            <rFont val="Aptos Narrow"/>
            <b/>
            <color rgb="FFFFFFFF"/>
            <sz val="11"/>
          </rPr>
          <t>What kind of control this step is: Preparation, Approval, LegalReview, Verification, Extraction, Publication, Retrospective, or None. That policy-04 is a legal review is a property OF policy-04, not of a formula that happens to name it; storing it as data makes downstream predicates portable to procedures that do not exist yet.</t>
        </r>
      </text>
    </comment>
    <comment ref="AE1" authorId="0">
      <text>
        <r>
          <rPr>
            <rFont val="Aptos Narrow"/>
            <b/>
            <color rgb="FFFFFFFF"/>
            <sz val="11"/>
          </rPr>
          <t>How many boundaries governing this step are being enforced without a valid ratifying claim.</t>
        </r>
      </text>
    </comment>
    <comment ref="AF1" authorId="0">
      <text>
        <r>
          <rPr>
            <rFont val="Aptos Narrow"/>
            <b/>
            <color rgb="FFFFFFFF"/>
            <sz val="11"/>
          </rPr>
          <t>Whether this step's constraints on machine authority rest on a claim that is no longer valid.</t>
        </r>
      </text>
    </comment>
    <comment ref="AG1" authorId="0">
      <text>
        <r>
          <rPr>
            <rFont val="Aptos Narrow"/>
            <b/>
            <color rgb="FFFFFFFF"/>
            <sz val="11"/>
          </rPr>
          <t>How many times a software agent has actually executed this step.</t>
        </r>
      </text>
    </comment>
    <comment ref="AH1" authorId="0">
      <text>
        <r>
          <rPr>
            <rFont val="Aptos Narrow"/>
            <b/>
            <color rgb="FFFFFFFF"/>
            <sz val="11"/>
          </rPr>
          <t>Whether any software agent has ever executed this step.</t>
        </r>
      </text>
    </comment>
    <comment ref="AI1" authorId="0">
      <text>
        <r>
          <rPr>
            <rFont val="Aptos Narrow"/>
            <b/>
            <color rgb="FFFFFFFF"/>
            <sz val="11"/>
          </rPr>
          <t>A human-only approval gate that no software agent has ever attempted — the control is asserted, not demonstrated.</t>
        </r>
      </text>
    </comment>
    <comment ref="AJ1" authorId="0">
      <text>
        <r>
          <rPr>
            <rFont val="Aptos Narrow"/>
            <b/>
            <color rgb="FFFFFFFF"/>
            <sz val="11"/>
          </rPr>
          <t>A human gate that software has actually reached and that a human nevertheless held.</t>
        </r>
      </text>
    </comment>
    <comment ref="AK1" authorId="0">
      <text>
        <r>
          <rPr>
            <rFont val="Aptos Narrow"/>
            <b/>
            <color rgb="FFFFFFFF"/>
            <sz val="11"/>
          </rPr>
          <t>Composite-key echo: this step's procedure version when the step is an unexercised human gate, blank otherwise.</t>
        </r>
      </text>
    </comment>
    <comment ref="AL1" authorId="0">
      <text>
        <r>
          <rPr>
            <rFont val="Aptos Narrow"/>
            <b/>
            <color rgb="FFFFFFFF"/>
            <sz val="11"/>
          </rPr>
          <t>Whether this step declares what kind of control it is.</t>
        </r>
      </text>
    </comment>
    <comment ref="AM1" authorId="0">
      <text>
        <r>
          <rPr>
            <rFont val="Aptos Narrow"/>
            <b/>
            <color rgb="FFFFFFFF"/>
            <sz val="11"/>
          </rPr>
          <t>Composite-key echo: this step's procedure version when the step has no declared control kind, blank otherwise.</t>
        </r>
      </text>
    </comment>
    <comment ref="AN1" authorId="0">
      <text>
        <r>
          <rPr>
            <rFont val="Aptos Narrow"/>
            <b/>
            <color rgb="FFFFFFFF"/>
            <sz val="11"/>
          </rPr>
          <t>An approval-kind step whose assigned role is currently held by an AI agent or automated pipeline.</t>
        </r>
      </text>
    </comment>
    <comment ref="AO1" authorId="0">
      <text>
        <r>
          <rPr>
            <rFont val="Aptos Narrow"/>
            <b/>
            <color rgb="FFFFFFFF"/>
            <sz val="11"/>
          </rPr>
          <t>How many blocking controls bound to this step have no computed witness.</t>
        </r>
      </text>
    </comment>
    <comment ref="AP1" authorId="0">
      <text>
        <r>
          <rPr>
            <rFont val="Aptos Narrow"/>
            <b/>
            <color rgb="FFFFFFFF"/>
            <sz val="11"/>
          </rPr>
          <t>Number of steps this step can lead to through one or more transitions, including itself when it lies on a rework loop.</t>
        </r>
      </text>
    </comment>
    <comment ref="AQ1" authorId="0">
      <text>
        <r>
          <rPr>
            <rFont val="Aptos Narrow"/>
            <b/>
            <color rgb="FFFFFFFF"/>
            <sz val="11"/>
          </rPr>
          <t>Number of steps that can lead to this step through one or more transitions, including itself when it lies on a rework loop.</t>
        </r>
      </text>
    </comment>
    <comment ref="AR1" authorId="0">
      <text>
        <r>
          <rPr>
            <rFont val="Aptos Narrow"/>
            <b/>
            <color rgb="FFFFFFFF"/>
            <sz val="11"/>
          </rPr>
          <t>1 when the closure contains the pair (this step, this step), i.e. some path of one or more transitions returns to this step; otherwise 0.</t>
        </r>
      </text>
    </comment>
    <comment ref="AS1" authorId="0">
      <text>
        <r>
          <rPr>
            <rFont val="Aptos Narrow"/>
            <b/>
            <color rgb="FFFFFFFF"/>
            <sz val="11"/>
          </rPr>
          <t>The procedure can send work back to this step after it has run: the step lies on a cycle of the step graph.</t>
        </r>
      </text>
    </comment>
    <comment ref="AT1" authorId="0">
      <text>
        <r>
          <rPr>
            <rFont val="Aptos Narrow"/>
            <b/>
            <color rgb="FFFFFFFF"/>
            <sz val="11"/>
          </rPr>
          <t>A step carrying at least one blocking requirement can be re-entered, so that control must hold on every pass, not only the first.</t>
        </r>
      </text>
    </comment>
    <comment ref="AU1" authorId="0">
      <text>
        <r>
          <rPr>
            <rFont val="Aptos Narrow"/>
            <b/>
            <color rgb="FFFFFFFF"/>
            <sz val="11"/>
          </rPr>
          <t>Number of transitions, of any kind, that lead into this step.</t>
        </r>
      </text>
    </comment>
    <comment ref="AV1" authorId="0">
      <text>
        <r>
          <rPr>
            <rFont val="Aptos Narrow"/>
            <b/>
            <color rgb="FFFFFFFF"/>
            <sz val="11"/>
          </rPr>
          <t>No transition leads into this step: the procedure version starts here.</t>
        </r>
      </text>
    </comment>
    <comment ref="AW1" authorId="0">
      <text>
        <r>
          <rPr>
            <rFont val="Aptos Narrow"/>
            <b/>
            <color rgb="FFFFFFFF"/>
            <sz val="11"/>
          </rPr>
          <t>Composite-key echo: this step's id when it is its procedure version's entry step, blank otherwise.</t>
        </r>
      </text>
    </comment>
    <comment ref="AX1" authorId="0">
      <text>
        <r>
          <rPr>
            <rFont val="Aptos Narrow"/>
            <b/>
            <color rgb="FFFFFFFF"/>
            <sz val="11"/>
          </rPr>
          <t>The entry step of this step's procedure version.</t>
        </r>
      </text>
    </comment>
    <comment ref="AY1" authorId="0">
      <text>
        <r>
          <rPr>
            <rFont val="Aptos Narrow"/>
            <b/>
            <color rgb="FFFFFFFF"/>
            <sz val="11"/>
          </rPr>
          <t>1 when some route of one or more gate-free transitions leads from the procedure version's entry step to this step; otherwise 0.</t>
        </r>
      </text>
    </comment>
    <comment ref="AZ1" authorId="0">
      <text>
        <r>
          <rPr>
            <rFont val="Aptos Narrow"/>
            <b/>
            <color rgb="FFFFFFFF"/>
            <sz val="11"/>
          </rPr>
          <t>Work can arrive at this step from the start of the procedure without passing any human approval gate.</t>
        </r>
      </text>
    </comment>
    <comment ref="BA1" authorId="0">
      <text>
        <r>
          <rPr>
            <rFont val="Aptos Narrow"/>
            <b/>
            <color rgb="FFFFFFFF"/>
            <sz val="11"/>
          </rPr>
          <t>A publication step the procedure can reach without human sign-off: the approval gate is structurally bypassable.</t>
        </r>
      </text>
    </comment>
    <comment ref="BB1" authorId="0">
      <text>
        <r>
          <rPr>
            <rFont val="Aptos Narrow"/>
            <b/>
            <color rgb="FFFFFFFF"/>
            <sz val="11"/>
          </rPr>
          <t>Exact P-Plan class IRI.</t>
        </r>
      </text>
    </comment>
    <comment ref="B1" authorId="0">
      <text>
        <r>
          <rPr>
            <rFont val="Aptos Narrow"/>
            <b/>
            <color rgb="FFFFFFFF"/>
            <sz val="11"/>
          </rPr>
          <t>Human-readable calculated display alias for the Steps row.</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StepTransitions row.</t>
        </r>
      </text>
    </comment>
    <comment ref="C1" authorId="0">
      <text>
        <r>
          <rPr>
            <rFont val="Aptos Narrow"/>
            <b/>
            <color rgb="FFFFFFFF"/>
            <sz val="11"/>
          </rPr>
          <t>Procedure version whose control flow owns the transition.</t>
        </r>
      </text>
    </comment>
    <comment ref="D1" authorId="0">
      <text>
        <r>
          <rPr>
            <rFont val="Aptos Narrow"/>
            <b/>
            <color rgb="FFFFFFFF"/>
            <sz val="11"/>
          </rPr>
          <t>Source step; maps to pko:fromStep.</t>
        </r>
      </text>
    </comment>
    <comment ref="E1" authorId="0">
      <text>
        <r>
          <rPr>
            <rFont val="Aptos Narrow"/>
            <b/>
            <color rgb="FFFFFFFF"/>
            <sz val="11"/>
          </rPr>
          <t>Destination step; maps to pko:toStep.</t>
        </r>
      </text>
    </comment>
    <comment ref="F1" authorId="0">
      <text>
        <r>
          <rPr>
            <rFont val="Aptos Narrow"/>
            <b/>
            <color rgb="FFFFFFFF"/>
            <sz val="11"/>
          </rPr>
          <t>Next, Alternative, or Fallback.</t>
        </r>
      </text>
    </comment>
    <comment ref="G1" authorId="0">
      <text>
        <r>
          <rPr>
            <rFont val="Aptos Narrow"/>
            <b/>
            <color rgb="FFFFFFFF"/>
            <sz val="11"/>
          </rPr>
          <t>Condition under which the edge is taken.</t>
        </r>
      </text>
    </comment>
    <comment ref="H1" authorId="0">
      <text>
        <r>
          <rPr>
            <rFont val="Aptos Narrow"/>
            <b/>
            <color rgb="FFFFFFFF"/>
            <sz val="11"/>
          </rPr>
          <t>Evaluation priority when several outgoing edges exist.</t>
        </r>
      </text>
    </comment>
    <comment ref="I1" authorId="0">
      <text>
        <r>
          <rPr>
            <rFont val="Aptos Narrow"/>
            <b/>
            <color rgb="FFFFFFFF"/>
            <sz val="11"/>
          </rPr>
          <t>TRUE when this transition is a non-default path taken because something went wrong.</t>
        </r>
      </text>
    </comment>
    <comment ref="J1" authorId="0">
      <text>
        <r>
          <rPr>
            <rFont val="Aptos Narrow"/>
            <b/>
            <color rgb="FFFFFFFF"/>
            <sz val="11"/>
          </rPr>
          <t>How many times the step this transition leaves from has actually been executed.</t>
        </r>
      </text>
    </comment>
    <comment ref="K1" authorId="0">
      <text>
        <r>
          <rPr>
            <rFont val="Aptos Narrow"/>
            <b/>
            <color rgb="FFFFFFFF"/>
            <sz val="11"/>
          </rPr>
          <t>How many times the step this transition arrives at has actually been executed.</t>
        </r>
      </text>
    </comment>
    <comment ref="L1" authorId="0">
      <text>
        <r>
          <rPr>
            <rFont val="Aptos Narrow"/>
            <b/>
            <color rgb="FFFFFFFF"/>
            <sz val="11"/>
          </rPr>
          <t>TRUE when the origin step of this transition has been executed at least once.</t>
        </r>
      </text>
    </comment>
    <comment ref="M1" authorId="0">
      <text>
        <r>
          <rPr>
            <rFont val="Aptos Narrow"/>
            <b/>
            <color rgb="FFFFFFFF"/>
            <sz val="11"/>
          </rPr>
          <t>TRUE when the destination step of this transition has been executed at least once.</t>
        </r>
      </text>
    </comment>
    <comment ref="N1" authorId="0">
      <text>
        <r>
          <rPr>
            <rFont val="Aptos Narrow"/>
            <b/>
            <color rgb="FFFFFFFF"/>
            <sz val="11"/>
          </rPr>
          <t>TRUE when at least one end of this transition has never appeared in any step execution.</t>
        </r>
      </text>
    </comment>
    <comment ref="O1" authorId="0">
      <text>
        <r>
          <rPr>
            <rFont val="Aptos Narrow"/>
            <b/>
            <color rgb="FFFFFFFF"/>
            <sz val="11"/>
          </rPr>
          <t>TRUE for a Fallback or Alternative transition whose endpoints show no execution evidence.</t>
        </r>
      </text>
    </comment>
    <comment ref="P1" authorId="0">
      <text>
        <r>
          <rPr>
            <rFont val="Aptos Narrow"/>
            <b/>
            <color rgb="FFFFFFFF"/>
            <sz val="11"/>
          </rPr>
          <t>How many times this exact transition has actually been traversed.</t>
        </r>
      </text>
    </comment>
    <comment ref="Q1" authorId="0">
      <text>
        <r>
          <rPr>
            <rFont val="Aptos Narrow"/>
            <b/>
            <color rgb="FFFFFFFF"/>
            <sz val="11"/>
          </rPr>
          <t>TRUE when this transition has been walked at least once.</t>
        </r>
      </text>
    </comment>
    <comment ref="R1" authorId="0">
      <text>
        <r>
          <rPr>
            <rFont val="Aptos Narrow"/>
            <b/>
            <color rgb="FFFFFFFF"/>
            <sz val="11"/>
          </rPr>
          <t>TRUE for a Fallback/Alternative transition with zero recorded traversals.</t>
        </r>
      </text>
    </comment>
    <comment ref="S1" authorId="0">
      <text>
        <r>
          <rPr>
            <rFont val="Aptos Narrow"/>
            <b/>
            <color rgb="FFFFFFFF"/>
            <sz val="11"/>
          </rPr>
          <t>How many blocking requirements are attached to the step this transition lands on.</t>
        </r>
      </text>
    </comment>
    <comment ref="T1" authorId="0">
      <text>
        <r>
          <rPr>
            <rFont val="Aptos Narrow"/>
            <b/>
            <color rgb="FFFFFFFF"/>
            <sz val="11"/>
          </rPr>
          <t>Whether the destination step of this transition carries at least one blocking control.</t>
        </r>
      </text>
    </comment>
    <comment ref="U1" authorId="0">
      <text>
        <r>
          <rPr>
            <rFont val="Aptos Narrow"/>
            <b/>
            <color rgb="FFFFFFFF"/>
            <sz val="11"/>
          </rPr>
          <t>A recovery path that has never been traversed and that leads into a step carrying a blocking control.</t>
        </r>
      </text>
    </comment>
    <comment ref="V1" authorId="0">
      <text>
        <r>
          <rPr>
            <rFont val="Aptos Narrow"/>
            <b/>
            <color rgb="FFFFFFFF"/>
            <sz val="11"/>
          </rPr>
          <t>Composite-key echo: this transition's procedure version when it is an unrehearsed control entry, blank otherwise.</t>
        </r>
      </text>
    </comment>
    <comment ref="W1" authorId="0">
      <text>
        <r>
          <rPr>
            <rFont val="Aptos Narrow"/>
            <b/>
            <color rgb="FFFFFFFF"/>
            <sz val="11"/>
          </rPr>
          <t>Transitive closure of the step graph (FromStep -&gt; ToStep over every transition kind), materialized by each substrate as vw_step_transitions_closure: every (from, to) pair a procedure can lead to in one or more transitions. A step that lies on a cycle reaches itself.</t>
        </r>
      </text>
    </comment>
    <comment ref="X1" authorId="0">
      <text>
        <r>
          <rPr>
            <rFont val="Aptos Narrow"/>
            <b/>
            <color rgb="FFFFFFFF"/>
            <sz val="11"/>
          </rPr>
          <t>This transition leaves a human approval gate.</t>
        </r>
      </text>
    </comment>
    <comment ref="Y1" authorId="0">
      <text>
        <r>
          <rPr>
            <rFont val="Aptos Narrow"/>
            <b/>
            <color rgb="FFFFFFFF"/>
            <sz val="11"/>
          </rPr>
          <t>This transition enters a human approval gate.</t>
        </r>
      </text>
    </comment>
    <comment ref="Z1" authorId="0">
      <text>
        <r>
          <rPr>
            <rFont val="Aptos Narrow"/>
            <b/>
            <color rgb="FFFFFFFF"/>
            <sz val="11"/>
          </rPr>
          <t>Neither end of this transition is a human approval gate, so a route made only of such transitions never passes a gate.</t>
        </r>
      </text>
    </comment>
    <comment ref="AA1" authorId="0">
      <text>
        <r>
          <rPr>
            <rFont val="Aptos Narrow"/>
            <b/>
            <color rgb="FFFFFFFF"/>
            <sz val="11"/>
          </rPr>
          <t>Transitive closure of the step graph over only the transitions that avoid every human approval gate, materialized as vw_step_transitions_closure_where_avoids_human_approval_gate: every (from, to) pair a procedure can reach without passing a gate.</t>
        </r>
      </text>
    </comment>
    <comment ref="AB1" authorId="0">
      <text>
        <r>
          <rPr>
            <rFont val="Aptos Narrow"/>
            <b/>
            <color rgb="FFFFFFFF"/>
            <sz val="11"/>
          </rPr>
          <t>Exact PKO class IRI.</t>
        </r>
      </text>
    </comment>
    <comment ref="B1" authorId="0">
      <text>
        <r>
          <rPr>
            <rFont val="Aptos Narrow"/>
            <b/>
            <color rgb="FFFFFFFF"/>
            <sz val="11"/>
          </rPr>
          <t>Human-readable calculated display alias for the StepTransitions row.</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Actions row.</t>
        </r>
      </text>
    </comment>
    <comment ref="C1" authorId="0">
      <text>
        <r>
          <rPr>
            <rFont val="Aptos Narrow"/>
            <b/>
            <color rgb="FFFFFFFF"/>
            <sz val="11"/>
          </rPr>
          <t>Action label.</t>
        </r>
      </text>
    </comment>
    <comment ref="D1" authorId="0">
      <text>
        <r>
          <rPr>
            <rFont val="Aptos Narrow"/>
            <b/>
            <color rgb="FFFFFFFF"/>
            <sz val="11"/>
          </rPr>
          <t>Normative definition of the action.</t>
        </r>
      </text>
    </comment>
    <comment ref="E1" authorId="0">
      <text>
        <r>
          <rPr>
            <rFont val="Aptos Narrow"/>
            <b/>
            <color rgb="FFFFFFFF"/>
            <sz val="11"/>
          </rPr>
          <t>Exact PKO class IRI.</t>
        </r>
      </text>
    </comment>
    <comment ref="B1" authorId="0">
      <text>
        <r>
          <rPr>
            <rFont val="Aptos Narrow"/>
            <b/>
            <color rgb="FFFFFFFF"/>
            <sz val="11"/>
          </rPr>
          <t>Human-readable calculated display alias for the Actions row.</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Functions row.</t>
        </r>
      </text>
    </comment>
    <comment ref="C1" authorId="0">
      <text>
        <r>
          <rPr>
            <rFont val="Aptos Narrow"/>
            <b/>
            <color rgb="FFFFFFFF"/>
            <sz val="11"/>
          </rPr>
          <t>Function label.</t>
        </r>
      </text>
    </comment>
    <comment ref="D1" authorId="0">
      <text>
        <r>
          <rPr>
            <rFont val="Aptos Narrow"/>
            <b/>
            <color rgb="FFFFFFFF"/>
            <sz val="11"/>
          </rPr>
          <t>Deterministic or AI-assisted behavior.</t>
        </r>
      </text>
    </comment>
    <comment ref="E1" authorId="0">
      <text>
        <r>
          <rPr>
            <rFont val="Aptos Narrow"/>
            <b/>
            <color rgb="FFFFFFFF"/>
            <sz val="11"/>
          </rPr>
          <t>Operational implementation or model key.</t>
        </r>
      </text>
    </comment>
    <comment ref="F1" authorId="0">
      <text>
        <r>
          <rPr>
            <rFont val="Aptos Narrow"/>
            <b/>
            <color rgb="FFFFFFFF"/>
            <sz val="11"/>
          </rPr>
          <t>Exact PKO class IRI.</t>
        </r>
      </text>
    </comment>
    <comment ref="B1" authorId="0">
      <text>
        <r>
          <rPr>
            <rFont val="Aptos Narrow"/>
            <b/>
            <color rgb="FFFFFFFF"/>
            <sz val="11"/>
          </rPr>
          <t>Human-readable calculated display alias for the Functions row.</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Tools row.</t>
        </r>
      </text>
    </comment>
    <comment ref="C1" authorId="0">
      <text>
        <r>
          <rPr>
            <rFont val="Aptos Narrow"/>
            <b/>
            <color rgb="FFFFFFFF"/>
            <sz val="11"/>
          </rPr>
          <t>Tool label.</t>
        </r>
      </text>
    </comment>
    <comment ref="D1" authorId="0">
      <text>
        <r>
          <rPr>
            <rFont val="Aptos Narrow"/>
            <b/>
            <color rgb="FFFFFFFF"/>
            <sz val="11"/>
          </rPr>
          <t>Operational purpose.</t>
        </r>
      </text>
    </comment>
    <comment ref="E1" authorId="0">
      <text>
        <r>
          <rPr>
            <rFont val="Aptos Narrow"/>
            <b/>
            <color rgb="FFFFFFFF"/>
            <sz val="11"/>
          </rPr>
          <t>Exact semantic class IRI.</t>
        </r>
      </text>
    </comment>
    <comment ref="B1" authorId="0">
      <text>
        <r>
          <rPr>
            <rFont val="Aptos Narrow"/>
            <b/>
            <color rgb="FFFFFFFF"/>
            <sz val="11"/>
          </rPr>
          <t>Human-readable calculated display alias for the Tools row.</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StepActions row.</t>
        </r>
      </text>
    </comment>
    <comment ref="C1" authorId="0">
      <text>
        <r>
          <rPr>
            <rFont val="Aptos Narrow"/>
            <b/>
            <color rgb="FFFFFFFF"/>
            <sz val="11"/>
          </rPr>
          <t>Step side of the relationship.</t>
        </r>
      </text>
    </comment>
    <comment ref="D1" authorId="0">
      <text>
        <r>
          <rPr>
            <rFont val="Aptos Narrow"/>
            <b/>
            <color rgb="FFFFFFFF"/>
            <sz val="11"/>
          </rPr>
          <t>Action side of the relationship.</t>
        </r>
      </text>
    </comment>
    <comment ref="B1" authorId="0">
      <text>
        <r>
          <rPr>
            <rFont val="Aptos Narrow"/>
            <b/>
            <color rgb="FFFFFFFF"/>
            <sz val="11"/>
          </rPr>
          <t>Human-readable calculated display alias for the StepActions row.</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StepFunctions row.</t>
        </r>
      </text>
    </comment>
    <comment ref="C1" authorId="0">
      <text>
        <r>
          <rPr>
            <rFont val="Aptos Narrow"/>
            <b/>
            <color rgb="FFFFFFFF"/>
            <sz val="11"/>
          </rPr>
          <t>Step side of the relationship.</t>
        </r>
      </text>
    </comment>
    <comment ref="D1" authorId="0">
      <text>
        <r>
          <rPr>
            <rFont val="Aptos Narrow"/>
            <b/>
            <color rgb="FFFFFFFF"/>
            <sz val="11"/>
          </rPr>
          <t>Function side of the relationship.</t>
        </r>
      </text>
    </comment>
    <comment ref="B1" authorId="0">
      <text>
        <r>
          <rPr>
            <rFont val="Aptos Narrow"/>
            <b/>
            <color rgb="FFFFFFFF"/>
            <sz val="11"/>
          </rPr>
          <t>Human-readable calculated display alias for the StepFunctions row.</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StepTools row.</t>
        </r>
      </text>
    </comment>
    <comment ref="C1" authorId="0">
      <text>
        <r>
          <rPr>
            <rFont val="Aptos Narrow"/>
            <b/>
            <color rgb="FFFFFFFF"/>
            <sz val="11"/>
          </rPr>
          <t>Step side of the relationship.</t>
        </r>
      </text>
    </comment>
    <comment ref="D1" authorId="0">
      <text>
        <r>
          <rPr>
            <rFont val="Aptos Narrow"/>
            <b/>
            <color rgb="FFFFFFFF"/>
            <sz val="11"/>
          </rPr>
          <t>Tool side of the relationship.</t>
        </r>
      </text>
    </comment>
    <comment ref="B1" authorId="0">
      <text>
        <r>
          <rPr>
            <rFont val="Aptos Narrow"/>
            <b/>
            <color rgb="FFFFFFFF"/>
            <sz val="11"/>
          </rPr>
          <t>Human-readable calculated display alias for the StepTools row.</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Requirements row.</t>
        </r>
      </text>
    </comment>
    <comment ref="C1" authorId="0">
      <text>
        <r>
          <rPr>
            <rFont val="Aptos Narrow"/>
            <b/>
            <color rgb="FFFFFFFF"/>
            <sz val="11"/>
          </rPr>
          <t>Requirement label.</t>
        </r>
      </text>
    </comment>
    <comment ref="D1" authorId="0">
      <text>
        <r>
          <rPr>
            <rFont val="Aptos Narrow"/>
            <b/>
            <color rgb="FFFFFFFF"/>
            <sz val="11"/>
          </rPr>
          <t>Controlled requirement type; maps to pko:hasRequirementType.</t>
        </r>
      </text>
    </comment>
    <comment ref="E1" authorId="0">
      <text>
        <r>
          <rPr>
            <rFont val="Aptos Narrow"/>
            <b/>
            <color rgb="FFFFFFFF"/>
            <sz val="11"/>
          </rPr>
          <t>Normative requirement statement.</t>
        </r>
      </text>
    </comment>
    <comment ref="F1" authorId="0">
      <text>
        <r>
          <rPr>
            <rFont val="Aptos Narrow"/>
            <b/>
            <color rgb="FFFFFFFF"/>
            <sz val="11"/>
          </rPr>
          <t>Why the requirement exists.</t>
        </r>
      </text>
    </comment>
    <comment ref="G1" authorId="0">
      <text>
        <r>
          <rPr>
            <rFont val="Aptos Narrow"/>
            <b/>
            <color rgb="FFFFFFFF"/>
            <sz val="11"/>
          </rPr>
          <t>TRUE when unsatisfied requirement blocks execution or approval.</t>
        </r>
      </text>
    </comment>
    <comment ref="H1" authorId="0">
      <text>
        <r>
          <rPr>
            <rFont val="Aptos Narrow"/>
            <b/>
            <color rgb="FFFFFFFF"/>
            <sz val="11"/>
          </rPr>
          <t>How many times this requirement has ever been evaluated against an execution.</t>
        </r>
      </text>
    </comment>
    <comment ref="I1" authorId="0">
      <text>
        <r>
          <rPr>
            <rFont val="Aptos Narrow"/>
            <b/>
            <color rgb="FFFFFFFF"/>
            <sz val="11"/>
          </rPr>
          <t>How many steps the specification binds this requirement to.</t>
        </r>
      </text>
    </comment>
    <comment ref="J1" authorId="0">
      <text>
        <r>
          <rPr>
            <rFont val="Aptos Narrow"/>
            <b/>
            <color rgb="FFFFFFFF"/>
            <sz val="11"/>
          </rPr>
          <t>TRUE when at least one step carries this requirement.</t>
        </r>
      </text>
    </comment>
    <comment ref="K1" authorId="0">
      <text>
        <r>
          <rPr>
            <rFont val="Aptos Narrow"/>
            <b/>
            <color rgb="FFFFFFFF"/>
            <sz val="11"/>
          </rPr>
          <t>TRUE when this requirement has at least one satisfaction record in the model.</t>
        </r>
      </text>
    </comment>
    <comment ref="L1" authorId="0">
      <text>
        <r>
          <rPr>
            <rFont val="Aptos Narrow"/>
            <b/>
            <color rgb="FFFFFFFF"/>
            <sz val="11"/>
          </rPr>
          <t>How many times this requirement has ever produced a less-than-satisfied outcome.</t>
        </r>
      </text>
    </comment>
    <comment ref="M1" authorId="0">
      <text>
        <r>
          <rPr>
            <rFont val="Aptos Narrow"/>
            <b/>
            <color rgb="FFFFFFFF"/>
            <sz val="11"/>
          </rPr>
          <t>TRUE for a blocking requirement that is attached to a step in the specification but has never once been evaluated on any execution.</t>
        </r>
      </text>
    </comment>
    <comment ref="N1" authorId="0">
      <text>
        <r>
          <rPr>
            <rFont val="Aptos Narrow"/>
            <b/>
            <color rgb="FFFFFFFF"/>
            <sz val="11"/>
          </rPr>
          <t>TRUE for a blocking requirement that is not attached to any step at all.</t>
        </r>
      </text>
    </comment>
    <comment ref="O1" authorId="0">
      <text>
        <r>
          <rPr>
            <rFont val="Aptos Narrow"/>
            <b/>
            <color rgb="FFFFFFFF"/>
            <sz val="11"/>
          </rPr>
          <t>Whether a computed predicate in this rulebook evaluates this requirement, as opposed to it being satisfied by human assertion only.</t>
        </r>
      </text>
    </comment>
    <comment ref="P1" authorId="0">
      <text>
        <r>
          <rPr>
            <rFont val="Aptos Narrow"/>
            <b/>
            <color rgb="FFFFFFFF"/>
            <sz val="11"/>
          </rPr>
          <t>The fully-qualified Table.Field of the predicate that computes this requirement, when one exists.</t>
        </r>
      </text>
    </comment>
    <comment ref="Q1" authorId="0">
      <text>
        <r>
          <rPr>
            <rFont val="Aptos Narrow"/>
            <b/>
            <color rgb="FFFFFFFF"/>
            <sz val="11"/>
          </rPr>
          <t>TRUE when this requirement has at least once been scored as anything other than Satisfied.</t>
        </r>
      </text>
    </comment>
    <comment ref="R1" authorId="0">
      <text>
        <r>
          <rPr>
            <rFont val="Aptos Narrow"/>
            <b/>
            <color rgb="FFFFFFFF"/>
            <sz val="11"/>
          </rPr>
          <t>TRUE for a blocking control that HAS been evaluated at least once and has never returned a negative result.</t>
        </r>
      </text>
    </comment>
    <comment ref="S1" authorId="0">
      <text>
        <r>
          <rPr>
            <rFont val="Aptos Narrow"/>
            <b/>
            <color rgb="FFFFFFFF"/>
            <sz val="11"/>
          </rPr>
          <t>TRUE when this requirement names a field it claims computes it.</t>
        </r>
      </text>
    </comment>
    <comment ref="T1" authorId="0">
      <text>
        <r>
          <rPr>
            <rFont val="Aptos Narrow"/>
            <b/>
            <color rgb="FFFFFFFF"/>
            <sz val="11"/>
          </rPr>
          <t>TRUE when the field named in WitnessFieldName actually exists in the field catalog AND is a derived (calculated/lookup/aggregation) field.</t>
        </r>
      </text>
    </comment>
    <comment ref="U1" authorId="0">
      <text>
        <r>
          <rPr>
            <rFont val="Aptos Narrow"/>
            <b/>
            <color rgb="FFFFFFFF"/>
            <sz val="11"/>
          </rPr>
          <t>Whether this requirement genuinely has a computed witness, derived from the field catalog rather than asserted.</t>
        </r>
      </text>
    </comment>
    <comment ref="V1" authorId="0">
      <text>
        <r>
          <rPr>
            <rFont val="Aptos Narrow"/>
            <b/>
            <color rgb="FFFFFFFF"/>
            <sz val="11"/>
          </rPr>
          <t>TRUE when the hand-typed HasComputedWitness flag disagrees with what the field catalog says.</t>
        </r>
      </text>
    </comment>
    <comment ref="W1" authorId="0">
      <text>
        <r>
          <rPr>
            <rFont val="Aptos Narrow"/>
            <b/>
            <color rgb="FFFFFFFF"/>
            <sz val="11"/>
          </rPr>
          <t>TRUE for a blocking control with no verified computed witness behind it.</t>
        </r>
      </text>
    </comment>
    <comment ref="X1" authorId="0">
      <text>
        <r>
          <rPr>
            <rFont val="Aptos Narrow"/>
            <b/>
            <color rgb="FFFFFFFF"/>
            <sz val="11"/>
          </rPr>
          <t>How many times this requirement's evaluation has returned a non-Satisfied result.</t>
        </r>
      </text>
    </comment>
    <comment ref="Y1" authorId="0">
      <text>
        <r>
          <rPr>
            <rFont val="Aptos Narrow"/>
            <b/>
            <color rgb="FFFFFFFF"/>
            <sz val="11"/>
          </rPr>
          <t>TRUE for a requirement that has a computed witness which has never once returned a negative result.</t>
        </r>
      </text>
    </comment>
    <comment ref="Z1" authorId="0">
      <text>
        <r>
          <rPr>
            <rFont val="Aptos Narrow"/>
            <b/>
            <color rgb="FFFFFFFF"/>
            <sz val="11"/>
          </rPr>
          <t>How many times this requirement has been evaluated at all.</t>
        </r>
      </text>
    </comment>
    <comment ref="AA1" authorId="0">
      <text>
        <r>
          <rPr>
            <rFont val="Aptos Narrow"/>
            <b/>
            <color rgb="FFFFFFFF"/>
            <sz val="11"/>
          </rPr>
          <t>TRUE when this requirement has been evaluated often enough that a clean record is informative.</t>
        </r>
      </text>
    </comment>
    <comment ref="AB1" authorId="0">
      <text>
        <r>
          <rPr>
            <rFont val="Aptos Narrow"/>
            <b/>
            <color rgb="FFFFFFFF"/>
            <sz val="11"/>
          </rPr>
          <t>The number of clean evaluations this control must accumulate before its silence counts as evidence.</t>
        </r>
      </text>
    </comment>
    <comment ref="AC1" authorId="0">
      <text>
        <r>
          <rPr>
            <rFont val="Aptos Narrow"/>
            <b/>
            <color rgb="FFFFFFFF"/>
            <sz val="11"/>
          </rPr>
          <t>TRUE for a witness that has never fired and has not been exercised enough for that silence to mean anything.</t>
        </r>
      </text>
    </comment>
    <comment ref="AD1" authorId="0">
      <text>
        <r>
          <rPr>
            <rFont val="Aptos Narrow"/>
            <b/>
            <color rgb="FFFFFFFF"/>
            <sz val="11"/>
          </rPr>
          <t>TRUE for a witness that has never fired across a sample large enough for that to constitute evidence.</t>
        </r>
      </text>
    </comment>
    <comment ref="AE1" authorId="0">
      <text>
        <r>
          <rPr>
            <rFont val="Aptos Narrow"/>
            <b/>
            <color rgb="FFFFFFFF"/>
            <sz val="11"/>
          </rPr>
          <t>One of Decorative, Inoperative, Asserted, Demonstrated, Holding, or Untested — the single control-health verdict for this requirement.</t>
        </r>
      </text>
    </comment>
    <comment ref="AF1" authorId="0">
      <text>
        <r>
          <rPr>
            <rFont val="Aptos Narrow"/>
            <b/>
            <color rgb="FFFFFFFF"/>
            <sz val="11"/>
          </rPr>
          <t>How many of this control's step bindings have never been evaluated.</t>
        </r>
      </text>
    </comment>
    <comment ref="AG1" authorId="0">
      <text>
        <r>
          <rPr>
            <rFont val="Aptos Narrow"/>
            <b/>
            <color rgb="FFFFFFFF"/>
            <sz val="11"/>
          </rPr>
          <t>TRUE when a control has a computed witness but at least one of its step bindings has never been exercised by it.</t>
        </r>
      </text>
    </comment>
    <comment ref="AH1" authorId="0">
      <text>
        <r>
          <rPr>
            <rFont val="Aptos Narrow"/>
            <b/>
            <color rgb="FFFFFFFF"/>
            <sz val="11"/>
          </rPr>
          <t>The role answerable for this control operating as designed.</t>
        </r>
      </text>
    </comment>
    <comment ref="AI1" authorId="0">
      <text>
        <r>
          <rPr>
            <rFont val="Aptos Narrow"/>
            <b/>
            <color rgb="FFFFFFFF"/>
            <sz val="11"/>
          </rPr>
          <t>The person currently holding the accountable role for this control.</t>
        </r>
      </text>
    </comment>
    <comment ref="AJ1" authorId="0">
      <text>
        <r>
          <rPr>
            <rFont val="Aptos Narrow"/>
            <b/>
            <color rgb="FFFFFFFF"/>
            <sz val="11"/>
          </rPr>
          <t>TRUE when a role has been named as accountable for this control.</t>
        </r>
      </text>
    </comment>
    <comment ref="AK1" authorId="0">
      <text>
        <r>
          <rPr>
            <rFont val="Aptos Narrow"/>
            <b/>
            <color rgb="FFFFFFFF"/>
            <sz val="11"/>
          </rPr>
          <t>TRUE for a blocking control with nobody named as accountable for it.</t>
        </r>
      </text>
    </comment>
    <comment ref="AL1" authorId="0">
      <text>
        <r>
          <rPr>
            <rFont val="Aptos Narrow"/>
            <b/>
            <color rgb="FFFFFFFF"/>
            <sz val="11"/>
          </rPr>
          <t>TRUE for a blocking control that nothing computes and nobody owns.</t>
        </r>
      </text>
    </comment>
    <comment ref="AM1" authorId="0">
      <text>
        <r>
          <rPr>
            <rFont val="Aptos Narrow"/>
            <b/>
            <color rgb="FFFFFFFF"/>
            <sz val="11"/>
          </rPr>
          <t>States, per control, what kind of exposure attesting to it creates.</t>
        </r>
      </text>
    </comment>
    <comment ref="AN1" authorId="0">
      <text>
        <r>
          <rPr>
            <rFont val="Aptos Narrow"/>
            <b/>
            <color rgb="FFFFFFFF"/>
            <sz val="11"/>
          </rPr>
          <t>Constant marker echoed when this control is both unwatched and unowned.</t>
        </r>
      </text>
    </comment>
    <comment ref="AO1" authorId="0">
      <text>
        <r>
          <rPr>
            <rFont val="Aptos Narrow"/>
            <b/>
            <color rgb="FFFFFFFF"/>
            <sz val="11"/>
          </rPr>
          <t>Controlled vocabulary term this requirement's concept maps to, if any.</t>
        </r>
      </text>
    </comment>
    <comment ref="AP1" authorId="0">
      <text>
        <r>
          <rPr>
            <rFont val="Aptos Narrow"/>
            <b/>
            <color rgb="FFFFFFFF"/>
            <sz val="11"/>
          </rPr>
          <t>TRUE when this requirement points at a controlled term instead of only free-texting the concept.</t>
        </r>
      </text>
    </comment>
    <comment ref="AQ1" authorId="0">
      <text>
        <r>
          <rPr>
            <rFont val="Aptos Narrow"/>
            <b/>
            <color rgb="FFFFFFFF"/>
            <sz val="11"/>
          </rPr>
          <t>Exact PKO class IRI.</t>
        </r>
      </text>
    </comment>
    <comment ref="B1" authorId="0">
      <text>
        <r>
          <rPr>
            <rFont val="Aptos Narrow"/>
            <b/>
            <color rgb="FFFFFFFF"/>
            <sz val="11"/>
          </rPr>
          <t>Human-readable calculated display alias for the Requirements row.</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StepRequirements row.</t>
        </r>
      </text>
    </comment>
    <comment ref="C1" authorId="0">
      <text>
        <r>
          <rPr>
            <rFont val="Aptos Narrow"/>
            <b/>
            <color rgb="FFFFFFFF"/>
            <sz val="11"/>
          </rPr>
          <t>Step side of the relationship.</t>
        </r>
      </text>
    </comment>
    <comment ref="D1" authorId="0">
      <text>
        <r>
          <rPr>
            <rFont val="Aptos Narrow"/>
            <b/>
            <color rgb="FFFFFFFF"/>
            <sz val="11"/>
          </rPr>
          <t>Requirement side of the relationship.</t>
        </r>
      </text>
    </comment>
    <comment ref="E1" authorId="0">
      <text>
        <r>
          <rPr>
            <rFont val="Aptos Narrow"/>
            <b/>
            <color rgb="FFFFFFFF"/>
            <sz val="11"/>
          </rPr>
          <t>Whether this spec-side step/requirement binding names a blocking control.</t>
        </r>
      </text>
    </comment>
    <comment ref="F1" authorId="0">
      <text>
        <r>
          <rPr>
            <rFont val="Aptos Narrow"/>
            <b/>
            <color rgb="FFFFFFFF"/>
            <sz val="11"/>
          </rPr>
          <t>Echoes the Step id only when the bound requirement is blocking; empty otherwise.</t>
        </r>
      </text>
    </comment>
    <comment ref="G1" authorId="0">
      <text>
        <r>
          <rPr>
            <rFont val="Aptos Narrow"/>
            <b/>
            <color rgb="FFFFFFFF"/>
            <sz val="11"/>
          </rPr>
          <t>Echoes the step id when the bound requirement is blocking, blank otherwise.</t>
        </r>
      </text>
    </comment>
    <comment ref="H1" authorId="0">
      <text>
        <r>
          <rPr>
            <rFont val="Aptos Narrow"/>
            <b/>
            <color rgb="FFFFFFFF"/>
            <sz val="11"/>
          </rPr>
          <t>Whether the requirement bound at this step is a blocking control with no computed witness.</t>
        </r>
      </text>
    </comment>
    <comment ref="I1" authorId="0">
      <text>
        <r>
          <rPr>
            <rFont val="Aptos Narrow"/>
            <b/>
            <color rgb="FFFFFFFF"/>
            <sz val="11"/>
          </rPr>
          <t>Echoes the step id when the requirement bound here has no computed witness.</t>
        </r>
      </text>
    </comment>
    <comment ref="J1" authorId="0">
      <text>
        <r>
          <rPr>
            <rFont val="Aptos Narrow"/>
            <b/>
            <color rgb="FFFFFFFF"/>
            <sz val="11"/>
          </rPr>
          <t>How many times this specific (step, requirement) binding has been evaluated in any execution.</t>
        </r>
      </text>
    </comment>
    <comment ref="K1" authorId="0">
      <text>
        <r>
          <rPr>
            <rFont val="Aptos Narrow"/>
            <b/>
            <color rgb="FFFFFFFF"/>
            <sz val="11"/>
          </rPr>
          <t>TRUE when this specific (step, requirement) pair has been evaluated at least once.</t>
        </r>
      </text>
    </comment>
    <comment ref="L1" authorId="0">
      <text>
        <r>
          <rPr>
            <rFont val="Aptos Narrow"/>
            <b/>
            <color rgb="FFFFFFFF"/>
            <sz val="11"/>
          </rPr>
          <t>TRUE for a blocking control bound to a step where it has never actually been evaluated.</t>
        </r>
      </text>
    </comment>
    <comment ref="M1" authorId="0">
      <text>
        <r>
          <rPr>
            <rFont val="Aptos Narrow"/>
            <b/>
            <color rgb="FFFFFFFF"/>
            <sz val="11"/>
          </rPr>
          <t>Echoes the requirement id when this binding has never been exercised.</t>
        </r>
      </text>
    </comment>
    <comment ref="B1" authorId="0">
      <text>
        <r>
          <rPr>
            <rFont val="Aptos Narrow"/>
            <b/>
            <color rgb="FFFFFFFF"/>
            <sz val="11"/>
          </rPr>
          <t>Human-readable calculated display alias for the StepRequirements row.</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StepVerifications row.</t>
        </r>
      </text>
    </comment>
    <comment ref="C1" authorId="0">
      <text>
        <r>
          <rPr>
            <rFont val="Aptos Narrow"/>
            <b/>
            <color rgb="FFFFFFFF"/>
            <sz val="11"/>
          </rPr>
          <t>Step whose execution is verified; maps to pko:hasStepVerification.</t>
        </r>
      </text>
    </comment>
    <comment ref="D1" authorId="0">
      <text>
        <r>
          <rPr>
            <rFont val="Aptos Narrow"/>
            <b/>
            <color rgb="FFFFFFFF"/>
            <sz val="11"/>
          </rPr>
          <t>SignalVerification, ApprovalVerification, ProvenanceVerification, or another documented kind.</t>
        </r>
      </text>
    </comment>
    <comment ref="E1" authorId="0">
      <text>
        <r>
          <rPr>
            <rFont val="Aptos Narrow"/>
            <b/>
            <color rgb="FFFFFFFF"/>
            <sz val="11"/>
          </rPr>
          <t>Signal or evidence key; maps to pko:signalIdentifier for signal verifications.</t>
        </r>
      </text>
    </comment>
    <comment ref="F1" authorId="0">
      <text>
        <r>
          <rPr>
            <rFont val="Aptos Narrow"/>
            <b/>
            <color rgb="FFFFFFFF"/>
            <sz val="11"/>
          </rPr>
          <t>Expected value; maps to pko:expectedSignalValue.</t>
        </r>
      </text>
    </comment>
    <comment ref="G1" authorId="0">
      <text>
        <r>
          <rPr>
            <rFont val="Aptos Narrow"/>
            <b/>
            <color rgb="FFFFFFFF"/>
            <sz val="11"/>
          </rPr>
          <t>How to verify the step.</t>
        </r>
      </text>
    </comment>
    <comment ref="H1" authorId="0">
      <text>
        <r>
          <rPr>
            <rFont val="Aptos Narrow"/>
            <b/>
            <color rgb="FFFFFFFF"/>
            <sz val="11"/>
          </rPr>
          <t>Exact PKO or extension class IRI.</t>
        </r>
      </text>
    </comment>
    <comment ref="B1" authorId="0">
      <text>
        <r>
          <rPr>
            <rFont val="Aptos Narrow"/>
            <b/>
            <color rgb="FFFFFFFF"/>
            <sz val="11"/>
          </rPr>
          <t>Human-readable calculated display alias for the StepVerifications row.</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Rationales row.</t>
        </r>
      </text>
    </comment>
    <comment ref="C1" authorId="0">
      <text>
        <r>
          <rPr>
            <rFont val="Aptos Narrow"/>
            <b/>
            <color rgb="FFFFFFFF"/>
            <sz val="11"/>
          </rPr>
          <t>Version justified by the rationale.</t>
        </r>
      </text>
    </comment>
    <comment ref="D1" authorId="0">
      <text>
        <r>
          <rPr>
            <rFont val="Aptos Narrow"/>
            <b/>
            <color rgb="FFFFFFFF"/>
            <sz val="11"/>
          </rPr>
          <t>Optional step justified by the rationale.</t>
        </r>
      </text>
    </comment>
    <comment ref="E1" authorId="0">
      <text>
        <r>
          <rPr>
            <rFont val="Aptos Narrow"/>
            <b/>
            <color rgb="FFFFFFFF"/>
            <sz val="11"/>
          </rPr>
          <t>Rationale title.</t>
        </r>
      </text>
    </comment>
    <comment ref="F1" authorId="0">
      <text>
        <r>
          <rPr>
            <rFont val="Aptos Narrow"/>
            <b/>
            <color rgb="FFFFFFFF"/>
            <sz val="11"/>
          </rPr>
          <t>Reasoned explanation.</t>
        </r>
      </text>
    </comment>
    <comment ref="G1" authorId="0">
      <text>
        <r>
          <rPr>
            <rFont val="Aptos Narrow"/>
            <b/>
            <color rgb="FFFFFFFF"/>
            <sz val="11"/>
          </rPr>
          <t>Draft, Reviewed, Approved, or Superseded.</t>
        </r>
      </text>
    </comment>
    <comment ref="H1" authorId="0">
      <text>
        <r>
          <rPr>
            <rFont val="Aptos Narrow"/>
            <b/>
            <color rgb="FFFFFFFF"/>
            <sz val="11"/>
          </rPr>
          <t>Role authorized to approve the rationale.</t>
        </r>
      </text>
    </comment>
    <comment ref="I1" authorId="0">
      <text>
        <r>
          <rPr>
            <rFont val="Aptos Narrow"/>
            <b/>
            <color rgb="FFFFFFFF"/>
            <sz val="11"/>
          </rPr>
          <t>Extension class IRI.</t>
        </r>
      </text>
    </comment>
    <comment ref="B1" authorId="0">
      <text>
        <r>
          <rPr>
            <rFont val="Aptos Narrow"/>
            <b/>
            <color rgb="FFFFFFFF"/>
            <sz val="11"/>
          </rPr>
          <t>Human-readable calculated display alias for the Rationales row.</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Exceptions row.</t>
        </r>
      </text>
    </comment>
    <comment ref="C1" authorId="0">
      <text>
        <r>
          <rPr>
            <rFont val="Aptos Narrow"/>
            <b/>
            <color rgb="FFFFFFFF"/>
            <sz val="11"/>
          </rPr>
          <t>Procedure version containing the exception.</t>
        </r>
      </text>
    </comment>
    <comment ref="D1" authorId="0">
      <text>
        <r>
          <rPr>
            <rFont val="Aptos Narrow"/>
            <b/>
            <color rgb="FFFFFFFF"/>
            <sz val="11"/>
          </rPr>
          <t>Step at which the exception becomes relevant.</t>
        </r>
      </text>
    </comment>
    <comment ref="E1" authorId="0">
      <text>
        <r>
          <rPr>
            <rFont val="Aptos Narrow"/>
            <b/>
            <color rgb="FFFFFFFF"/>
            <sz val="11"/>
          </rPr>
          <t>Exception condition.</t>
        </r>
      </text>
    </comment>
    <comment ref="F1" authorId="0">
      <text>
        <r>
          <rPr>
            <rFont val="Aptos Narrow"/>
            <b/>
            <color rgb="FFFFFFFF"/>
            <sz val="11"/>
          </rPr>
          <t>Required handling and guardrails.</t>
        </r>
      </text>
    </comment>
    <comment ref="G1" authorId="0">
      <text>
        <r>
          <rPr>
            <rFont val="Aptos Narrow"/>
            <b/>
            <color rgb="FFFFFFFF"/>
            <sz val="11"/>
          </rPr>
          <t>Role that approves use of the exception.</t>
        </r>
      </text>
    </comment>
    <comment ref="H1" authorId="0">
      <text>
        <r>
          <rPr>
            <rFont val="Aptos Narrow"/>
            <b/>
            <color rgb="FFFFFFFF"/>
            <sz val="11"/>
          </rPr>
          <t>Role or function that executes fallback handling.</t>
        </r>
      </text>
    </comment>
    <comment ref="I1" authorId="0">
      <text>
        <r>
          <rPr>
            <rFont val="Aptos Narrow"/>
            <b/>
            <color rgb="FFFFFFFF"/>
            <sz val="11"/>
          </rPr>
          <t>Active, Draft, Retired, or Superseded.</t>
        </r>
      </text>
    </comment>
    <comment ref="J1" authorId="0">
      <text>
        <r>
          <rPr>
            <rFont val="Aptos Narrow"/>
            <b/>
            <color rgb="FFFFFFFF"/>
            <sz val="11"/>
          </rPr>
          <t>Echoes the TriggerStep id only for exceptions currently in Active status.</t>
        </r>
      </text>
    </comment>
    <comment ref="K1" authorId="0">
      <text>
        <r>
          <rPr>
            <rFont val="Aptos Narrow"/>
            <b/>
            <color rgb="FFFFFFFF"/>
            <sz val="11"/>
          </rPr>
          <t>Extension class IRI.</t>
        </r>
      </text>
    </comment>
    <comment ref="B1" authorId="0">
      <text>
        <r>
          <rPr>
            <rFont val="Aptos Narrow"/>
            <b/>
            <color rgb="FFFFFFFF"/>
            <sz val="11"/>
          </rPr>
          <t>Human-readable calculated display alias for the Exceptions row.</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Resources row.</t>
        </r>
      </text>
    </comment>
    <comment ref="C1" authorId="0">
      <text>
        <r>
          <rPr>
            <rFont val="Aptos Narrow"/>
            <b/>
            <color rgb="FFFFFFFF"/>
            <sz val="11"/>
          </rPr>
          <t>Resource title; maps to dcterms:title.</t>
        </r>
      </text>
    </comment>
    <comment ref="D1" authorId="0">
      <text>
        <r>
          <rPr>
            <rFont val="Aptos Narrow"/>
            <b/>
            <color rgb="FFFFFFFF"/>
            <sz val="11"/>
          </rPr>
          <t>Document, Dataset, API, Template, OperationalRecord, Image, Video, or another declared type.</t>
        </r>
      </text>
    </comment>
    <comment ref="E1" authorId="0">
      <text>
        <r>
          <rPr>
            <rFont val="Aptos Narrow"/>
            <b/>
            <color rgb="FFFFFFFF"/>
            <sz val="11"/>
          </rPr>
          <t>Resolvable or organization-internal resource identifier.</t>
        </r>
      </text>
    </comment>
    <comment ref="F1" authorId="0">
      <text>
        <r>
          <rPr>
            <rFont val="Aptos Narrow"/>
            <b/>
            <color rgb="FFFFFFFF"/>
            <sz val="11"/>
          </rPr>
          <t>Creation time; maps to dcterms:created.</t>
        </r>
      </text>
    </comment>
    <comment ref="G1" authorId="0">
      <text>
        <r>
          <rPr>
            <rFont val="Aptos Narrow"/>
            <b/>
            <color rgb="FFFFFFFF"/>
            <sz val="11"/>
          </rPr>
          <t>Modification time; maps to dcterms:modified.</t>
        </r>
      </text>
    </comment>
    <comment ref="H1" authorId="0">
      <text>
        <r>
          <rPr>
            <rFont val="Aptos Narrow"/>
            <b/>
            <color rgb="FFFFFFFF"/>
            <sz val="11"/>
          </rPr>
          <t>Resource description; maps to dcterms:description.</t>
        </r>
      </text>
    </comment>
    <comment ref="I1" authorId="0">
      <text>
        <r>
          <rPr>
            <rFont val="Aptos Narrow"/>
            <b/>
            <color rgb="FFFFFFFF"/>
            <sz val="11"/>
          </rPr>
          <t>Approved, Draft, Deprecated, or Unvetted.</t>
        </r>
      </text>
    </comment>
    <comment ref="J1" authorId="0">
      <text>
        <r>
          <rPr>
            <rFont val="Aptos Narrow"/>
            <b/>
            <color rgb="FFFFFFFF"/>
            <sz val="11"/>
          </rPr>
          <t>TRUE when this resource is an approved source.</t>
        </r>
      </text>
    </comment>
    <comment ref="K1" authorId="0">
      <text>
        <r>
          <rPr>
            <rFont val="Aptos Narrow"/>
            <b/>
            <color rgb="FFFFFFFF"/>
            <sz val="11"/>
          </rPr>
          <t>Exact semantic class IRI.</t>
        </r>
      </text>
    </comment>
    <comment ref="B1" authorId="0">
      <text>
        <r>
          <rPr>
            <rFont val="Aptos Narrow"/>
            <b/>
            <color rgb="FFFFFFFF"/>
            <sz val="11"/>
          </rPr>
          <t>Human-readable calculated display alias for the Resources row.</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ProcedureResources row.</t>
        </r>
      </text>
    </comment>
    <comment ref="C1" authorId="0">
      <text>
        <r>
          <rPr>
            <rFont val="Aptos Narrow"/>
            <b/>
            <color rgb="FFFFFFFF"/>
            <sz val="11"/>
          </rPr>
          <t>Procedure version.</t>
        </r>
      </text>
    </comment>
    <comment ref="D1" authorId="0">
      <text>
        <r>
          <rPr>
            <rFont val="Aptos Narrow"/>
            <b/>
            <color rgb="FFFFFFFF"/>
            <sz val="11"/>
          </rPr>
          <t>Referenced or source resource.</t>
        </r>
      </text>
    </comment>
    <comment ref="E1" authorId="0">
      <text>
        <r>
          <rPr>
            <rFont val="Aptos Narrow"/>
            <b/>
            <color rgb="FFFFFFFF"/>
            <sz val="11"/>
          </rPr>
          <t>wasExtractedFrom, references, generated, used, or another declared relation.</t>
        </r>
      </text>
    </comment>
    <comment ref="F1" authorId="0">
      <text>
        <r>
          <rPr>
            <rFont val="Aptos Narrow"/>
            <b/>
            <color rgb="FFFFFFFF"/>
            <sz val="11"/>
          </rPr>
          <t>Exact semantic property IRI for the relation.</t>
        </r>
      </text>
    </comment>
    <comment ref="B1" authorId="0">
      <text>
        <r>
          <rPr>
            <rFont val="Aptos Narrow"/>
            <b/>
            <color rgb="FFFFFFFF"/>
            <sz val="11"/>
          </rPr>
          <t>Human-readable calculated display alias for the ProcedureResources row.</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ElicitationSessions row.</t>
        </r>
      </text>
    </comment>
    <comment ref="C1" authorId="0">
      <text>
        <r>
          <rPr>
            <rFont val="Aptos Narrow"/>
            <b/>
            <color rgb="FFFFFFFF"/>
            <sz val="11"/>
          </rPr>
          <t>Procedure version whose knowledge was elicited.</t>
        </r>
      </text>
    </comment>
    <comment ref="D1" authorId="0">
      <text>
        <r>
          <rPr>
            <rFont val="Aptos Narrow"/>
            <b/>
            <color rgb="FFFFFFFF"/>
            <sz val="11"/>
          </rPr>
          <t>Interview, shadowing, workshop, observation, document analysis, or another method.</t>
        </r>
      </text>
    </comment>
    <comment ref="E1" authorId="0">
      <text>
        <r>
          <rPr>
            <rFont val="Aptos Narrow"/>
            <b/>
            <color rgb="FFFFFFFF"/>
            <sz val="11"/>
          </rPr>
          <t>Start time; maps to prov:startedAtTime.</t>
        </r>
      </text>
    </comment>
    <comment ref="F1" authorId="0">
      <text>
        <r>
          <rPr>
            <rFont val="Aptos Narrow"/>
            <b/>
            <color rgb="FFFFFFFF"/>
            <sz val="11"/>
          </rPr>
          <t>End time; maps to prov:endedAtTime.</t>
        </r>
      </text>
    </comment>
    <comment ref="G1" authorId="0">
      <text>
        <r>
          <rPr>
            <rFont val="Aptos Narrow"/>
            <b/>
            <color rgb="FFFFFFFF"/>
            <sz val="11"/>
          </rPr>
          <t>Domain practitioner providing knowledge.</t>
        </r>
      </text>
    </comment>
    <comment ref="H1" authorId="0">
      <text>
        <r>
          <rPr>
            <rFont val="Aptos Narrow"/>
            <b/>
            <color rgb="FFFFFFFF"/>
            <sz val="11"/>
          </rPr>
          <t>Person facilitating elicitation.</t>
        </r>
      </text>
    </comment>
    <comment ref="I1" authorId="0">
      <text>
        <r>
          <rPr>
            <rFont val="Aptos Narrow"/>
            <b/>
            <color rgb="FFFFFFFF"/>
            <sz val="11"/>
          </rPr>
          <t>What was learned and captured.</t>
        </r>
      </text>
    </comment>
    <comment ref="J1" authorId="0">
      <text>
        <r>
          <rPr>
            <rFont val="Aptos Narrow"/>
            <b/>
            <color rgb="FFFFFFFF"/>
            <sz val="11"/>
          </rPr>
          <t>Draft, Reviewed, Approved, or Rejected.</t>
        </r>
      </text>
    </comment>
    <comment ref="K1" authorId="0">
      <text>
        <r>
          <rPr>
            <rFont val="Aptos Narrow"/>
            <b/>
            <color rgb="FFFFFFFF"/>
            <sz val="11"/>
          </rPr>
          <t>The evaluation context this row's time-dependent witnesses are judged under.</t>
        </r>
      </text>
    </comment>
    <comment ref="L1" authorId="0">
      <text>
        <r>
          <rPr>
            <rFont val="Aptos Narrow"/>
            <b/>
            <color rgb="FFFFFFFF"/>
            <sz val="11"/>
          </rPr>
          <t>The evaluation instant this row's time-dependent witnesses are judged against.</t>
        </r>
      </text>
    </comment>
    <comment ref="M1" authorId="0">
      <text>
        <r>
          <rPr>
            <rFont val="Aptos Narrow"/>
            <b/>
            <color rgb="FFFFFFFF"/>
            <sz val="11"/>
          </rPr>
          <t>Days elapsed since this elicitation session concluded.</t>
        </r>
      </text>
    </comment>
    <comment ref="N1" authorId="0">
      <text>
        <r>
          <rPr>
            <rFont val="Aptos Narrow"/>
            <b/>
            <color rgb="FFFFFFFF"/>
            <sz val="11"/>
          </rPr>
          <t>TRUE when this session captured one practitioner's account rather than a group's.</t>
        </r>
      </text>
    </comment>
    <comment ref="O1" authorId="0">
      <text>
        <r>
          <rPr>
            <rFont val="Aptos Narrow"/>
            <b/>
            <color rgb="FFFFFFFF"/>
            <sz val="11"/>
          </rPr>
          <t>Whether the practitioner whose knowledge this session captured still holds a role here.</t>
        </r>
      </text>
    </comment>
    <comment ref="P1" authorId="0">
      <text>
        <r>
          <rPr>
            <rFont val="Aptos Narrow"/>
            <b/>
            <color rgb="FFFFFFFF"/>
            <sz val="11"/>
          </rPr>
          <t>How many currently-valid knowledge fragments this one session produced.</t>
        </r>
      </text>
    </comment>
    <comment ref="Q1" authorId="0">
      <text>
        <r>
          <rPr>
            <rFont val="Aptos Narrow"/>
            <b/>
            <color rgb="FFFFFFFF"/>
            <sz val="11"/>
          </rPr>
          <t>A session that alone underwrites three or more currently-valid claims.</t>
        </r>
      </text>
    </comment>
    <comment ref="R1" authorId="0">
      <text>
        <r>
          <rPr>
            <rFont val="Aptos Narrow"/>
            <b/>
            <color rgb="FFFFFFFF"/>
            <sz val="11"/>
          </rPr>
          <t>One unrepeated session with one witness that underwrites three or more live claims.</t>
        </r>
      </text>
    </comment>
    <comment ref="S1" authorId="0">
      <text>
        <r>
          <rPr>
            <rFont val="Aptos Narrow"/>
            <b/>
            <color rgb="FFFFFFFF"/>
            <sz val="11"/>
          </rPr>
          <t>A concentrated single-witness session more than 180 days old — matching the single-witness expiry horizon loop 1 already established.</t>
        </r>
      </text>
    </comment>
    <comment ref="T1" authorId="0">
      <text>
        <r>
          <rPr>
            <rFont val="Aptos Narrow"/>
            <b/>
            <color rgb="FFFFFFFF"/>
            <sz val="11"/>
          </rPr>
          <t>Composite-key echo: this session's procedure version when the session is a concentrated single witness, blank otherwise.</t>
        </r>
      </text>
    </comment>
    <comment ref="U1" authorId="0">
      <text>
        <r>
          <rPr>
            <rFont val="Aptos Narrow"/>
            <b/>
            <color rgb="FFFFFFFF"/>
            <sz val="11"/>
          </rPr>
          <t>Class IRI used in semantic projection.</t>
        </r>
      </text>
    </comment>
    <comment ref="B1" authorId="0">
      <text>
        <r>
          <rPr>
            <rFont val="Aptos Narrow"/>
            <b/>
            <color rgb="FFFFFFFF"/>
            <sz val="11"/>
          </rPr>
          <t>Human-readable calculated display alias for the ElicitationSessions row.</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KnowledgeFragments row.</t>
        </r>
      </text>
    </comment>
    <comment ref="C1" authorId="0">
      <text>
        <r>
          <rPr>
            <rFont val="Aptos Narrow"/>
            <b/>
            <color rgb="FFFFFFFF"/>
            <sz val="11"/>
          </rPr>
          <t>Procedure version informed by the fragment.</t>
        </r>
      </text>
    </comment>
    <comment ref="D1" authorId="0">
      <text>
        <r>
          <rPr>
            <rFont val="Aptos Narrow"/>
            <b/>
            <color rgb="FFFFFFFF"/>
            <sz val="11"/>
          </rPr>
          <t>Optional step to which the fragment applies.</t>
        </r>
      </text>
    </comment>
    <comment ref="E1" authorId="0">
      <text>
        <r>
          <rPr>
            <rFont val="Aptos Narrow"/>
            <b/>
            <color rgb="FFFFFFFF"/>
            <sz val="11"/>
          </rPr>
          <t>Tacit, Implicit, Explicit, SituatedJudgment, LessonLearned, or another declared form.</t>
        </r>
      </text>
    </comment>
    <comment ref="F1" authorId="0">
      <text>
        <r>
          <rPr>
            <rFont val="Aptos Narrow"/>
            <b/>
            <color rgb="FFFFFFFF"/>
            <sz val="11"/>
          </rPr>
          <t>Captured knowledge statement.</t>
        </r>
      </text>
    </comment>
    <comment ref="G1" authorId="0">
      <text>
        <r>
          <rPr>
            <rFont val="Aptos Narrow"/>
            <b/>
            <color rgb="FFFFFFFF"/>
            <sz val="11"/>
          </rPr>
          <t>Optional elicitation session that produced the fragment.</t>
        </r>
      </text>
    </comment>
    <comment ref="H1" authorId="0">
      <text>
        <r>
          <rPr>
            <rFont val="Aptos Narrow"/>
            <b/>
            <color rgb="FFFFFFFF"/>
            <sz val="11"/>
          </rPr>
          <t>Practitioner or source agent.</t>
        </r>
      </text>
    </comment>
    <comment ref="I1" authorId="0">
      <text>
        <r>
          <rPr>
            <rFont val="Aptos Narrow"/>
            <b/>
            <color rgb="FFFFFFFF"/>
            <sz val="11"/>
          </rPr>
          <t>Low, Medium, or High confidence.</t>
        </r>
      </text>
    </comment>
    <comment ref="J1" authorId="0">
      <text>
        <r>
          <rPr>
            <rFont val="Aptos Narrow"/>
            <b/>
            <color rgb="FFFFFFFF"/>
            <sz val="11"/>
          </rPr>
          <t>Start of the fragment's valid-time interval.</t>
        </r>
      </text>
    </comment>
    <comment ref="K1" authorId="0">
      <text>
        <r>
          <rPr>
            <rFont val="Aptos Narrow"/>
            <b/>
            <color rgb="FFFFFFFF"/>
            <sz val="11"/>
          </rPr>
          <t>End of the fragment's valid-time interval.</t>
        </r>
      </text>
    </comment>
    <comment ref="L1" authorId="0">
      <text>
        <r>
          <rPr>
            <rFont val="Aptos Narrow"/>
            <b/>
            <color rgb="FFFFFFFF"/>
            <sz val="11"/>
          </rPr>
          <t>Draft, Reviewed, Approved, Rejected, or Superseded.</t>
        </r>
      </text>
    </comment>
    <comment ref="M1" authorId="0">
      <text>
        <r>
          <rPr>
            <rFont val="Aptos Narrow"/>
            <b/>
            <color rgb="FFFFFFFF"/>
            <sz val="11"/>
          </rPr>
          <t>Role accountable for maintaining the fragment.</t>
        </r>
      </text>
    </comment>
    <comment ref="N1" authorId="0">
      <text>
        <r>
          <rPr>
            <rFont val="Aptos Narrow"/>
            <b/>
            <color rgb="FFFFFFFF"/>
            <sz val="11"/>
          </rPr>
          <t>The evaluation context this row's time-dependent witnesses are judged under.</t>
        </r>
      </text>
    </comment>
    <comment ref="O1" authorId="0">
      <text>
        <r>
          <rPr>
            <rFont val="Aptos Narrow"/>
            <b/>
            <color rgb="FFFFFFFF"/>
            <sz val="11"/>
          </rPr>
          <t>The evaluation instant this row's time-dependent witnesses are judged against.</t>
        </r>
      </text>
    </comment>
    <comment ref="P1" authorId="0">
      <text>
        <r>
          <rPr>
            <rFont val="Aptos Narrow"/>
            <b/>
            <color rgb="FFFFFFFF"/>
            <sz val="11"/>
          </rPr>
          <t>TRUE when the fragment is approved and valid now.</t>
        </r>
      </text>
    </comment>
    <comment ref="Q1" authorId="0">
      <text>
        <r>
          <rPr>
            <rFont val="Aptos Narrow"/>
            <b/>
            <color rgb="FFFFFFFF"/>
            <sz val="11"/>
          </rPr>
          <t>Whether the agent who is the source of this claim still holds a role here.</t>
        </r>
      </text>
    </comment>
    <comment ref="R1" authorId="0">
      <text>
        <r>
          <rPr>
            <rFont val="Aptos Narrow"/>
            <b/>
            <color rgb="FFFFFFFF"/>
            <sz val="11"/>
          </rPr>
          <t>Whether the source of this claim is a Human, an AIAgent, or an AutomatedPipeline.</t>
        </r>
      </text>
    </comment>
    <comment ref="S1" authorId="0">
      <text>
        <r>
          <rPr>
            <rFont val="Aptos Narrow"/>
            <b/>
            <color rgb="FFFFFFFF"/>
            <sz val="11"/>
          </rPr>
          <t>TRUE when the claim originates from a human practitioner rather than software.</t>
        </r>
      </text>
    </comment>
    <comment ref="T1" authorId="0">
      <text>
        <r>
          <rPr>
            <rFont val="Aptos Narrow"/>
            <b/>
            <color rgb="FFFFFFFF"/>
            <sz val="11"/>
          </rPr>
          <t>TRUE when we still rely on this claim but the agent who gave it to us no longer holds a role here.</t>
        </r>
      </text>
    </comment>
    <comment ref="U1" authorId="0">
      <text>
        <r>
          <rPr>
            <rFont val="Aptos Narrow"/>
            <b/>
            <color rgb="FFFFFFFF"/>
            <sz val="11"/>
          </rPr>
          <t>TRUE when an orphaned claim is of a kind that lives in a person's head rather than in a document.</t>
        </r>
      </text>
    </comment>
    <comment ref="V1" authorId="0">
      <text>
        <r>
          <rPr>
            <rFont val="Aptos Narrow"/>
            <b/>
            <color rgb="FFFFFFFF"/>
            <sz val="11"/>
          </rPr>
          <t>TRUE when this claim has passed knowledge-authority approval.</t>
        </r>
      </text>
    </comment>
    <comment ref="W1" authorId="0">
      <text>
        <r>
          <rPr>
            <rFont val="Aptos Narrow"/>
            <b/>
            <color rgb="FFFFFFFF"/>
            <sz val="11"/>
          </rPr>
          <t>TRUE when this claim's stated validity window contains the present moment.</t>
        </r>
      </text>
    </comment>
    <comment ref="X1" authorId="0">
      <text>
        <r>
          <rPr>
            <rFont val="Aptos Narrow"/>
            <b/>
            <color rgb="FFFFFFFF"/>
            <sz val="11"/>
          </rPr>
          <t>TRUE when this claim is attached to a specific step and is inside its validity window — i.e. it is operationally in play.</t>
        </r>
      </text>
    </comment>
    <comment ref="Y1" authorId="0">
      <text>
        <r>
          <rPr>
            <rFont val="Aptos Narrow"/>
            <b/>
            <color rgb="FFFFFFFF"/>
            <sz val="11"/>
          </rPr>
          <t>The procedure version owning the step this claim is attached to.</t>
        </r>
      </text>
    </comment>
    <comment ref="Z1" authorId="0">
      <text>
        <r>
          <rPr>
            <rFont val="Aptos Narrow"/>
            <b/>
            <color rgb="FFFFFFFF"/>
            <sz val="11"/>
          </rPr>
          <t>Whether the procedure version this claim belongs to is currently executable.</t>
        </r>
      </text>
    </comment>
    <comment ref="AA1" authorId="0">
      <text>
        <r>
          <rPr>
            <rFont val="Aptos Narrow"/>
            <b/>
            <color rgb="FFFFFFFF"/>
            <sz val="11"/>
          </rPr>
          <t>TRUE when a live procedure is acting on a claim that has not been approved by the knowledge authority.</t>
        </r>
      </text>
    </comment>
    <comment ref="AB1" authorId="0">
      <text>
        <r>
          <rPr>
            <rFont val="Aptos Narrow"/>
            <b/>
            <color rgb="FFFFFFFF"/>
            <sz val="11"/>
          </rPr>
          <t>Age in days of the elicitation session this claim came from.</t>
        </r>
      </text>
    </comment>
    <comment ref="AC1" authorId="0">
      <text>
        <r>
          <rPr>
            <rFont val="Aptos Narrow"/>
            <b/>
            <color rgb="FFFFFFFF"/>
            <sz val="11"/>
          </rPr>
          <t>TRUE when this claim traces to a recorded elicitation session.</t>
        </r>
      </text>
    </comment>
    <comment ref="AD1" authorId="0">
      <text>
        <r>
          <rPr>
            <rFont val="Aptos Narrow"/>
            <b/>
            <color rgb="FFFFFFFF"/>
            <sz val="11"/>
          </rPr>
          <t>Whether this claim rests on a single practitioner's account.</t>
        </r>
      </text>
    </comment>
    <comment ref="AE1" authorId="0">
      <text>
        <r>
          <rPr>
            <rFont val="Aptos Narrow"/>
            <b/>
            <color rgb="FFFFFFFF"/>
            <sz val="11"/>
          </rPr>
          <t>How many days this claim's evidence is trusted for, given how it was gathered.</t>
        </r>
      </text>
    </comment>
    <comment ref="AF1" authorId="0">
      <text>
        <r>
          <rPr>
            <rFont val="Aptos Narrow"/>
            <b/>
            <color rgb="FFFFFFFF"/>
            <sz val="11"/>
          </rPr>
          <t>TRUE when the evidence behind this claim is older than we trust evidence of its kind to be.</t>
        </r>
      </text>
    </comment>
    <comment ref="AG1" authorId="0">
      <text>
        <r>
          <rPr>
            <rFont val="Aptos Narrow"/>
            <b/>
            <color rgb="FFFFFFFF"/>
            <sz val="11"/>
          </rPr>
          <t>The agent currently holding the role that owns this claim.</t>
        </r>
      </text>
    </comment>
    <comment ref="AH1" authorId="0">
      <text>
        <r>
          <rPr>
            <rFont val="Aptos Narrow"/>
            <b/>
            <color rgb="FFFFFFFF"/>
            <sz val="11"/>
          </rPr>
          <t>TRUE when this claim has been reviewed but not yet approved.</t>
        </r>
      </text>
    </comment>
    <comment ref="AI1" authorId="0">
      <text>
        <r>
          <rPr>
            <rFont val="Aptos Narrow"/>
            <b/>
            <color rgb="FFFFFFFF"/>
            <sz val="11"/>
          </rPr>
          <t>TRUE when the People Policy Owner role owns this claim.</t>
        </r>
      </text>
    </comment>
    <comment ref="AJ1" authorId="0">
      <text>
        <r>
          <rPr>
            <rFont val="Aptos Narrow"/>
            <b/>
            <color rgb="FFFFFFFF"/>
            <sz val="11"/>
          </rPr>
          <t>TRUE when a claim I own has been reviewed and is waiting on my approval.</t>
        </r>
      </text>
    </comment>
    <comment ref="AK1" authorId="0">
      <text>
        <r>
          <rPr>
            <rFont val="Aptos Narrow"/>
            <b/>
            <color rgb="FFFFFFFF"/>
            <sz val="11"/>
          </rPr>
          <t>How many documented exception handlers trigger on the same step this claim is attached to.</t>
        </r>
      </text>
    </comment>
    <comment ref="AL1" authorId="0">
      <text>
        <r>
          <rPr>
            <rFont val="Aptos Narrow"/>
            <b/>
            <color rgb="FFFFFFFF"/>
            <sz val="11"/>
          </rPr>
          <t>TRUE when an exception handler exists on the step this claim governs.</t>
        </r>
      </text>
    </comment>
    <comment ref="AM1" authorId="0">
      <text>
        <r>
          <rPr>
            <rFont val="Aptos Narrow"/>
            <b/>
            <color rgb="FFFFFFFF"/>
            <sz val="11"/>
          </rPr>
          <t>TRUE when a claim awaiting my approval is already being acted on through a documented exception path.</t>
        </r>
      </text>
    </comment>
    <comment ref="AN1" authorId="0">
      <text>
        <r>
          <rPr>
            <rFont val="Aptos Narrow"/>
            <b/>
            <color rgb="FFFFFFFF"/>
            <sz val="11"/>
          </rPr>
          <t>Days since this claim became valid.</t>
        </r>
      </text>
    </comment>
    <comment ref="AO1" authorId="0">
      <text>
        <r>
          <rPr>
            <rFont val="Aptos Narrow"/>
            <b/>
            <color rgb="FFFFFFFF"/>
            <sz val="11"/>
          </rPr>
          <t>TRUE when this claim was recorded with less than high confidence.</t>
        </r>
      </text>
    </comment>
    <comment ref="AP1" authorId="0">
      <text>
        <r>
          <rPr>
            <rFont val="Aptos Narrow"/>
            <b/>
            <color rgb="FFFFFFFF"/>
            <sz val="11"/>
          </rPr>
          <t>The review cadence promised for the version this claim supports.</t>
        </r>
      </text>
    </comment>
    <comment ref="AQ1" authorId="0">
      <text>
        <r>
          <rPr>
            <rFont val="Aptos Narrow"/>
            <b/>
            <color rgb="FFFFFFFF"/>
            <sz val="11"/>
          </rPr>
          <t>TRUE when this claim is older than the review cadence promised for the version it supports.</t>
        </r>
      </text>
    </comment>
    <comment ref="AR1" authorId="0">
      <text>
        <r>
          <rPr>
            <rFont val="Aptos Narrow"/>
            <b/>
            <color rgb="FFFFFFFF"/>
            <sz val="11"/>
          </rPr>
          <t>TRUE when a claim we were never sure about has also outlived its version's review cadence.</t>
        </r>
      </text>
    </comment>
    <comment ref="AS1" authorId="0">
      <text>
        <r>
          <rPr>
            <rFont val="Aptos Narrow"/>
            <b/>
            <color rgb="FFFFFFFF"/>
            <sz val="11"/>
          </rPr>
          <t>Agent kind of whoever currently holds the role that owns this knowledge fragment.</t>
        </r>
      </text>
    </comment>
    <comment ref="AT1" authorId="0">
      <text>
        <r>
          <rPr>
            <rFont val="Aptos Narrow"/>
            <b/>
            <color rgb="FFFFFFFF"/>
            <sz val="11"/>
          </rPr>
          <t>TRUE when the owning role is currently held by a human.</t>
        </r>
      </text>
    </comment>
    <comment ref="AU1" authorId="0">
      <text>
        <r>
          <rPr>
            <rFont val="Aptos Narrow"/>
            <b/>
            <color rgb="FFFFFFFF"/>
            <sz val="11"/>
          </rPr>
          <t>TRUE when knowledge came from a non-human source AND is owned by a non-human-held role.</t>
        </r>
      </text>
    </comment>
    <comment ref="AV1" authorId="0">
      <text>
        <r>
          <rPr>
            <rFont val="Aptos Narrow"/>
            <b/>
            <color rgb="FFFFFFFF"/>
            <sz val="11"/>
          </rPr>
          <t>The review cadence promised for the procedure version this fragment supports, resolved via ProcedureVersions because INDEX/MATCH only matches a target primary key.</t>
        </r>
      </text>
    </comment>
    <comment ref="AW1" authorId="0">
      <text>
        <r>
          <rPr>
            <rFont val="Aptos Narrow"/>
            <b/>
            <color rgb="FFFFFFFF"/>
            <sz val="11"/>
          </rPr>
          <t>TRUE when a currently-valid fragment has gone longer than its stewardship cadence without review.</t>
        </r>
      </text>
    </comment>
    <comment ref="AX1" authorId="0">
      <text>
        <r>
          <rPr>
            <rFont val="Aptos Narrow"/>
            <b/>
            <color rgb="FFFFFFFF"/>
            <sz val="11"/>
          </rPr>
          <t>TRUE when this knowledge became valid before the current holder of its owning role took the role.</t>
        </r>
      </text>
    </comment>
    <comment ref="AY1" authorId="0">
      <text>
        <r>
          <rPr>
            <rFont val="Aptos Narrow"/>
            <b/>
            <color rgb="FFFFFFFF"/>
            <sz val="11"/>
          </rPr>
          <t>When the current holder of the owning role took that role.</t>
        </r>
      </text>
    </comment>
    <comment ref="AZ1" authorId="0">
      <text>
        <r>
          <rPr>
            <rFont val="Aptos Narrow"/>
            <b/>
            <color rgb="FFFFFFFF"/>
            <sz val="11"/>
          </rPr>
          <t>When this fragment was last actually reviewed and reaffirmed by its owning role. Null when it has never been reviewed since authoring. IsOverdueForReview infers recency from ValidFrom, which records when the claim became TRUE, not when anyone last looked at it. Those are different events, and the inference is deliberately left in place under its own name rather than silently rewritten to fall back on this column.</t>
        </r>
      </text>
    </comment>
    <comment ref="BA1" authorId="0">
      <text>
        <r>
          <rPr>
            <rFont val="Aptos Narrow"/>
            <b/>
            <color rgb="FFFFFFFF"/>
            <sz val="11"/>
          </rPr>
          <t>How many of the four loop-1 decay signals are simultaneously true for this fragment: single witness, overdue for review, low confidence, operational reliance.</t>
        </r>
      </text>
    </comment>
    <comment ref="BB1" authorId="0">
      <text>
        <r>
          <rPr>
            <rFont val="Aptos Narrow"/>
            <b/>
            <color rgb="FFFFFFFF"/>
            <sz val="11"/>
          </rPr>
          <t>A fragment carrying at least three of the four decay signals at once.</t>
        </r>
      </text>
    </comment>
    <comment ref="BC1" authorId="0">
      <text>
        <r>
          <rPr>
            <rFont val="Aptos Narrow"/>
            <b/>
            <color rgb="FFFFFFFF"/>
            <sz val="11"/>
          </rPr>
          <t>A claim that rests on exactly one person's word and that an active exception handler actually routes cases against.</t>
        </r>
      </text>
    </comment>
    <comment ref="BD1" authorId="0">
      <text>
        <r>
          <rPr>
            <rFont val="Aptos Narrow"/>
            <b/>
            <color rgb="FFFFFFFF"/>
            <sz val="11"/>
          </rPr>
          <t>A single-sourced, operationally relied-upon claim that is also past its review date.</t>
        </r>
      </text>
    </comment>
    <comment ref="BE1" authorId="0">
      <text>
        <r>
          <rPr>
            <rFont val="Aptos Narrow"/>
            <b/>
            <color rgb="FFFFFFFF"/>
            <sz val="11"/>
          </rPr>
          <t>Composite-key echo: this fragment's procedure version when the fragment is compound-fragile, blank otherwise.</t>
        </r>
      </text>
    </comment>
    <comment ref="BF1" authorId="0">
      <text>
        <r>
          <rPr>
            <rFont val="Aptos Narrow"/>
            <b/>
            <color rgb="FFFFFFFF"/>
            <sz val="11"/>
          </rPr>
          <t>Composite-key echo: the elicitation session behind this fragment when the fragment is currently valid, blank otherwise.</t>
        </r>
      </text>
    </comment>
    <comment ref="BG1" authorId="0">
      <text>
        <r>
          <rPr>
            <rFont val="Aptos Narrow"/>
            <b/>
            <color rgb="FFFFFFFF"/>
            <sz val="11"/>
          </rPr>
          <t>Whether the step that consumes this fragment is assigned to an AI agent or an automated pipeline.</t>
        </r>
      </text>
    </comment>
    <comment ref="BH1" authorId="0">
      <text>
        <r>
          <rPr>
            <rFont val="Aptos Narrow"/>
            <b/>
            <color rgb="FFFFFFFF"/>
            <sz val="11"/>
          </rPr>
          <t>The kind of agent currently holding the role assigned to the step that consumes this fragment.</t>
        </r>
      </text>
    </comment>
    <comment ref="BI1" authorId="0">
      <text>
        <r>
          <rPr>
            <rFont val="Aptos Narrow"/>
            <b/>
            <color rgb="FFFFFFFF"/>
            <sz val="11"/>
          </rPr>
          <t>An unapproved claim that a software-assigned step actually relies on — executed literally, with no human in position to notice it is wrong.</t>
        </r>
      </text>
    </comment>
    <comment ref="BJ1" authorId="0">
      <text>
        <r>
          <rPr>
            <rFont val="Aptos Narrow"/>
            <b/>
            <color rgb="FFFFFFFF"/>
            <sz val="11"/>
          </rPr>
          <t>An unapproved claim relied on by a human-assigned step — a reviewable risk rather than a silent one.</t>
        </r>
      </text>
    </comment>
    <comment ref="BK1" authorId="0">
      <text>
        <r>
          <rPr>
            <rFont val="Aptos Narrow"/>
            <b/>
            <color rgb="FFFFFFFF"/>
            <sz val="11"/>
          </rPr>
          <t>Composite-key echo: this fragment's procedure version when the fragment is unapproved and machine-consumed, blank otherwise.</t>
        </r>
      </text>
    </comment>
    <comment ref="BL1" authorId="0">
      <text>
        <r>
          <rPr>
            <rFont val="Aptos Narrow"/>
            <b/>
            <color rgb="FFFFFFFF"/>
            <sz val="11"/>
          </rPr>
          <t>Whether this fragment has ever had an actual review recorded, as opposed to merely having a ValidFrom date.</t>
        </r>
      </text>
    </comment>
    <comment ref="BM1" authorId="0">
      <text>
        <r>
          <rPr>
            <rFont val="Aptos Narrow"/>
            <b/>
            <color rgb="FFFFFFFF"/>
            <sz val="11"/>
          </rPr>
          <t>Days elapsed since this fragment was last actually reviewed. Zero when no review has ever been recorded — read this only alongside HasReviewRecord, never on its own.</t>
        </r>
      </text>
    </comment>
    <comment ref="BN1" authorId="0">
      <text>
        <r>
          <rPr>
            <rFont val="Aptos Narrow"/>
            <b/>
            <color rgb="FFFFFFFF"/>
            <sz val="11"/>
          </rPr>
          <t>A currently-valid claim that nobody has ever reviewed since it was written.</t>
        </r>
      </text>
    </comment>
    <comment ref="BO1" authorId="0">
      <text>
        <r>
          <rPr>
            <rFont val="Aptos Narrow"/>
            <b/>
            <color rgb="FFFFFFFF"/>
            <sz val="11"/>
          </rPr>
          <t>A valid claim whose LAST ACTUAL REVIEW is older than the cadence its owning version promised.</t>
        </r>
      </text>
    </comment>
    <comment ref="BP1" authorId="0">
      <text>
        <r>
          <rPr>
            <rFont val="Aptos Narrow"/>
            <b/>
            <color rgb="FFFFFFFF"/>
            <sz val="11"/>
          </rPr>
          <t>A fragment reported overdue by the loop-1 inference purely because no review has ever been recorded — the number is an artifact of missing data, not evidence of neglect.</t>
        </r>
      </text>
    </comment>
    <comment ref="BQ1" authorId="0">
      <text>
        <r>
          <rPr>
            <rFont val="Aptos Narrow"/>
            <b/>
            <color rgb="FFFFFFFF"/>
            <sz val="11"/>
          </rPr>
          <t>A fragment the ValidFrom inference calls overdue but which was in fact reviewed inside its cadence — a false positive in the loop-1 predicate, now provable.</t>
        </r>
      </text>
    </comment>
    <comment ref="BR1" authorId="0">
      <text>
        <r>
          <rPr>
            <rFont val="Aptos Narrow"/>
            <b/>
            <color rgb="FFFFFFFF"/>
            <sz val="11"/>
          </rPr>
          <t>Composite-key echo: this fragment's procedure version when the fragment is genuinely overdue, blank otherwise.</t>
        </r>
      </text>
    </comment>
    <comment ref="BS1" authorId="0">
      <text>
        <r>
          <rPr>
            <rFont val="Aptos Narrow"/>
            <b/>
            <color rgb="FFFFFFFF"/>
            <sz val="11"/>
          </rPr>
          <t>How many currently-binding authority boundaries this fragment ratifies.</t>
        </r>
      </text>
    </comment>
    <comment ref="BT1" authorId="0">
      <text>
        <r>
          <rPr>
            <rFont val="Aptos Narrow"/>
            <b/>
            <color rgb="FFFFFFFF"/>
            <sz val="11"/>
          </rPr>
          <t>Total number of distinct downstream dependents on this claim: exception handlers plus ratified authority boundaries.</t>
        </r>
      </text>
    </comment>
    <comment ref="BU1" authorId="0">
      <text>
        <r>
          <rPr>
            <rFont val="Aptos Narrow"/>
            <b/>
            <color rgb="FFFFFFFF"/>
            <sz val="11"/>
          </rPr>
          <t>How long a claim of mine has been sitting at Reviewed without my approval. Zero when the claim is not mine or is already decided.</t>
        </r>
      </text>
    </comment>
    <comment ref="BV1" authorId="0">
      <text>
        <r>
          <rPr>
            <rFont val="Aptos Narrow"/>
            <b/>
            <color rgb="FFFFFFFF"/>
            <sz val="11"/>
          </rPr>
          <t>An unapproved, operationally live claim of mine with more than one distinct downstream dependent.</t>
        </r>
      </text>
    </comment>
    <comment ref="BW1" authorId="0">
      <text>
        <r>
          <rPr>
            <rFont val="Aptos Narrow"/>
            <b/>
            <color rgb="FFFFFFFF"/>
            <sz val="11"/>
          </rPr>
          <t>A claim that has waited on my signature for more than thirty days.</t>
        </r>
      </text>
    </comment>
    <comment ref="BX1" authorId="0">
      <text>
        <r>
          <rPr>
            <rFont val="Aptos Narrow"/>
            <b/>
            <color rgb="FFFFFFFF"/>
            <sz val="11"/>
          </rPr>
          <t>Composite-key echo: this fragment's procedure version when it is a high-blast-radius unapproved claim, blank otherwise.</t>
        </r>
      </text>
    </comment>
    <comment ref="BY1" authorId="0">
      <text>
        <r>
          <rPr>
            <rFont val="Aptos Narrow"/>
            <b/>
            <color rgb="FFFFFFFF"/>
            <sz val="11"/>
          </rPr>
          <t>Whether the role that owns this claim is currently vacated.</t>
        </r>
      </text>
    </comment>
    <comment ref="BZ1" authorId="0">
      <text>
        <r>
          <rPr>
            <rFont val="Aptos Narrow"/>
            <b/>
            <color rgb="FFFFFFFF"/>
            <sz val="11"/>
          </rPr>
          <t>A currently-valid claim whose owning role nobody holds — accountable to a vacancy.</t>
        </r>
      </text>
    </comment>
    <comment ref="CA1" authorId="0">
      <text>
        <r>
          <rPr>
            <rFont val="Aptos Narrow"/>
            <b/>
            <color rgb="FFFFFFFF"/>
            <sz val="11"/>
          </rPr>
          <t>Composite-key echo: this fragment's owning procedure version when the fragment is currently valid, blank otherwise.</t>
        </r>
      </text>
    </comment>
    <comment ref="CB1" authorId="0">
      <text>
        <r>
          <rPr>
            <rFont val="Aptos Narrow"/>
            <b/>
            <color rgb="FFFFFFFF"/>
            <sz val="11"/>
          </rPr>
          <t>Extension class IRI.</t>
        </r>
      </text>
    </comment>
    <comment ref="B1" authorId="0">
      <text>
        <r>
          <rPr>
            <rFont val="Aptos Narrow"/>
            <b/>
            <color rgb="FFFFFFFF"/>
            <sz val="11"/>
          </rPr>
          <t>Human-readable calculated display alias for the KnowledgeFragments row.</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KnowledgeGaps row.</t>
        </r>
      </text>
    </comment>
    <comment ref="C1" authorId="0">
      <text>
        <r>
          <rPr>
            <rFont val="Aptos Narrow"/>
            <b/>
            <color rgb="FFFFFFFF"/>
            <sz val="11"/>
          </rPr>
          <t>Affected procedure version.</t>
        </r>
      </text>
    </comment>
    <comment ref="D1" authorId="0">
      <text>
        <r>
          <rPr>
            <rFont val="Aptos Narrow"/>
            <b/>
            <color rgb="FFFFFFFF"/>
            <sz val="11"/>
          </rPr>
          <t>Affected step.</t>
        </r>
      </text>
    </comment>
    <comment ref="E1" authorId="0">
      <text>
        <r>
          <rPr>
            <rFont val="Aptos Narrow"/>
            <b/>
            <color rgb="FFFFFFFF"/>
            <sz val="11"/>
          </rPr>
          <t>What is not yet known or represented.</t>
        </r>
      </text>
    </comment>
    <comment ref="F1" authorId="0">
      <text>
        <r>
          <rPr>
            <rFont val="Aptos Narrow"/>
            <b/>
            <color rgb="FFFFFFFF"/>
            <sz val="11"/>
          </rPr>
          <t>Low, Medium, High, or Critical.</t>
        </r>
      </text>
    </comment>
    <comment ref="G1" authorId="0">
      <text>
        <r>
          <rPr>
            <rFont val="Aptos Narrow"/>
            <b/>
            <color rgb="FFFFFFFF"/>
            <sz val="11"/>
          </rPr>
          <t>Blocking or NonBlocking.</t>
        </r>
      </text>
    </comment>
    <comment ref="H1" authorId="0">
      <text>
        <r>
          <rPr>
            <rFont val="Aptos Narrow"/>
            <b/>
            <color rgb="FFFFFFFF"/>
            <sz val="11"/>
          </rPr>
          <t>Open, Investigating, Resolved, AcceptedRisk, or Closed.</t>
        </r>
      </text>
    </comment>
    <comment ref="I1" authorId="0">
      <text>
        <r>
          <rPr>
            <rFont val="Aptos Narrow"/>
            <b/>
            <color rgb="FFFFFFFF"/>
            <sz val="11"/>
          </rPr>
          <t>Role responsible for resolving the gap.</t>
        </r>
      </text>
    </comment>
    <comment ref="J1" authorId="0">
      <text>
        <r>
          <rPr>
            <rFont val="Aptos Narrow"/>
            <b/>
            <color rgb="FFFFFFFF"/>
            <sz val="11"/>
          </rPr>
          <t>Time the gap was identified.</t>
        </r>
      </text>
    </comment>
    <comment ref="K1" authorId="0">
      <text>
        <r>
          <rPr>
            <rFont val="Aptos Narrow"/>
            <b/>
            <color rgb="FFFFFFFF"/>
            <sz val="11"/>
          </rPr>
          <t>Resolution plan or final resolution.</t>
        </r>
      </text>
    </comment>
    <comment ref="L1" authorId="0">
      <text>
        <r>
          <rPr>
            <rFont val="Aptos Narrow"/>
            <b/>
            <color rgb="FFFFFFFF"/>
            <sz val="11"/>
          </rPr>
          <t>TRUE when the gap remains open.</t>
        </r>
      </text>
    </comment>
    <comment ref="M1" authorId="0">
      <text>
        <r>
          <rPr>
            <rFont val="Aptos Narrow"/>
            <b/>
            <color rgb="FFFFFFFF"/>
            <sz val="11"/>
          </rPr>
          <t>Echoes the ProcedureVersion id for open high-severity knowledge gaps.</t>
        </r>
      </text>
    </comment>
    <comment ref="N1" authorId="0">
      <text>
        <r>
          <rPr>
            <rFont val="Aptos Narrow"/>
            <b/>
            <color rgb="FFFFFFFF"/>
            <sz val="11"/>
          </rPr>
          <t>TRUE when this gap is declared blocking rather than informational.</t>
        </r>
      </text>
    </comment>
    <comment ref="O1" authorId="0">
      <text>
        <r>
          <rPr>
            <rFont val="Aptos Narrow"/>
            <b/>
            <color rgb="FFFFFFFF"/>
            <sz val="11"/>
          </rPr>
          <t>TRUE when this gap is both unresolved and declared blocking.</t>
        </r>
      </text>
    </comment>
    <comment ref="P1" authorId="0">
      <text>
        <r>
          <rPr>
            <rFont val="Aptos Narrow"/>
            <b/>
            <color rgb="FFFFFFFF"/>
            <sz val="11"/>
          </rPr>
          <t>The evaluation context this row's time-dependent witnesses are judged under.</t>
        </r>
      </text>
    </comment>
    <comment ref="Q1" authorId="0">
      <text>
        <r>
          <rPr>
            <rFont val="Aptos Narrow"/>
            <b/>
            <color rgb="FFFFFFFF"/>
            <sz val="11"/>
          </rPr>
          <t>The evaluation instant this row's time-dependent witnesses are judged against.</t>
        </r>
      </text>
    </comment>
    <comment ref="R1" authorId="0">
      <text>
        <r>
          <rPr>
            <rFont val="Aptos Narrow"/>
            <b/>
            <color rgb="FFFFFFFF"/>
            <sz val="11"/>
          </rPr>
          <t>Days this gap has been unresolved, or zero once closed.</t>
        </r>
      </text>
    </comment>
    <comment ref="S1" authorId="0">
      <text>
        <r>
          <rPr>
            <rFont val="Aptos Narrow"/>
            <b/>
            <color rgb="FFFFFFFF"/>
            <sz val="11"/>
          </rPr>
          <t>How long a gap of this severity may remain open before it becomes a governance failure in its own right.</t>
        </r>
      </text>
    </comment>
    <comment ref="T1" authorId="0">
      <text>
        <r>
          <rPr>
            <rFont val="Aptos Narrow"/>
            <b/>
            <color rgb="FFFFFFFF"/>
            <sz val="11"/>
          </rPr>
          <t>TRUE when this acknowledged unknown has outlived the tolerance for its severity.</t>
        </r>
      </text>
    </comment>
    <comment ref="U1" authorId="0">
      <text>
        <r>
          <rPr>
            <rFont val="Aptos Narrow"/>
            <b/>
            <color rgb="FFFFFFFF"/>
            <sz val="11"/>
          </rPr>
          <t>The agent currently holding the role that owns resolving this gap.</t>
        </r>
      </text>
    </comment>
    <comment ref="V1" authorId="0">
      <text>
        <r>
          <rPr>
            <rFont val="Aptos Narrow"/>
            <b/>
            <color rgb="FFFFFFFF"/>
            <sz val="11"/>
          </rPr>
          <t>Whether the agent responsible for closing this gap still holds a role here.</t>
        </r>
      </text>
    </comment>
    <comment ref="W1" authorId="0">
      <text>
        <r>
          <rPr>
            <rFont val="Aptos Narrow"/>
            <b/>
            <color rgb="FFFFFFFF"/>
            <sz val="11"/>
          </rPr>
          <t>TRUE when someone has written down how this gap would be closed.</t>
        </r>
      </text>
    </comment>
    <comment ref="X1" authorId="0">
      <text>
        <r>
          <rPr>
            <rFont val="Aptos Narrow"/>
            <b/>
            <color rgb="FFFFFFFF"/>
            <sz val="11"/>
          </rPr>
          <t>TRUE when an overdue gap has either no plan or no living owner — an admission of ignorance that nobody is acting on.</t>
        </r>
      </text>
    </comment>
    <comment ref="Y1" authorId="0">
      <text>
        <r>
          <rPr>
            <rFont val="Aptos Narrow"/>
            <b/>
            <color rgb="FFFFFFFF"/>
            <sz val="11"/>
          </rPr>
          <t>Composite-key echo: this gap's procedure version when the gap is both open and blocking, blank otherwise.</t>
        </r>
      </text>
    </comment>
    <comment ref="Z1" authorId="0">
      <text>
        <r>
          <rPr>
            <rFont val="Aptos Narrow"/>
            <b/>
            <color rgb="FFFFFFFF"/>
            <sz val="11"/>
          </rPr>
          <t>Whether the role that owns this gap is currently vacated.</t>
        </r>
      </text>
    </comment>
    <comment ref="AA1" authorId="0">
      <text>
        <r>
          <rPr>
            <rFont val="Aptos Narrow"/>
            <b/>
            <color rgb="FFFFFFFF"/>
            <sz val="11"/>
          </rPr>
          <t>An open gap whose owning role nobody currently holds — an acknowledged unknown with nobody accountable for closing it.</t>
        </r>
      </text>
    </comment>
    <comment ref="AB1" authorId="0">
      <text>
        <r>
          <rPr>
            <rFont val="Aptos Narrow"/>
            <b/>
            <color rgb="FFFFFFFF"/>
            <sz val="11"/>
          </rPr>
          <t>Extension class IRI.</t>
        </r>
      </text>
    </comment>
    <comment ref="B1" authorId="0">
      <text>
        <r>
          <rPr>
            <rFont val="Aptos Narrow"/>
            <b/>
            <color rgb="FFFFFFFF"/>
            <sz val="11"/>
          </rPr>
          <t>Human-readable calculated display alias for the KnowledgeGaps row.</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FAQs row.</t>
        </r>
      </text>
    </comment>
    <comment ref="C1" authorId="0">
      <text>
        <r>
          <rPr>
            <rFont val="Aptos Narrow"/>
            <b/>
            <color rgb="FFFFFFFF"/>
            <sz val="11"/>
          </rPr>
          <t>Procedure version addressed by the FAQ.</t>
        </r>
      </text>
    </comment>
    <comment ref="D1" authorId="0">
      <text>
        <r>
          <rPr>
            <rFont val="Aptos Narrow"/>
            <b/>
            <color rgb="FFFFFFFF"/>
            <sz val="11"/>
          </rPr>
          <t>Optional step targeted by the FAQ.</t>
        </r>
      </text>
    </comment>
    <comment ref="E1" authorId="0">
      <text>
        <r>
          <rPr>
            <rFont val="Aptos Narrow"/>
            <b/>
            <color rgb="FFFFFFFF"/>
            <sz val="11"/>
          </rPr>
          <t>FAQ category.</t>
        </r>
      </text>
    </comment>
    <comment ref="F1" authorId="0">
      <text>
        <r>
          <rPr>
            <rFont val="Aptos Narrow"/>
            <b/>
            <color rgb="FFFFFFFF"/>
            <sz val="11"/>
          </rPr>
          <t>Procedure, Step, Tool, Resource, or Execution.</t>
        </r>
      </text>
    </comment>
    <comment ref="G1" authorId="0">
      <text>
        <r>
          <rPr>
            <rFont val="Aptos Narrow"/>
            <b/>
            <color rgb="FFFFFFFF"/>
            <sz val="11"/>
          </rPr>
          <t>FAQ question; maps to pko:question.</t>
        </r>
      </text>
    </comment>
    <comment ref="H1" authorId="0">
      <text>
        <r>
          <rPr>
            <rFont val="Aptos Narrow"/>
            <b/>
            <color rgb="FFFFFFFF"/>
            <sz val="11"/>
          </rPr>
          <t>Approved answer; maps to pko:answer.</t>
        </r>
      </text>
    </comment>
    <comment ref="I1" authorId="0">
      <text>
        <r>
          <rPr>
            <rFont val="Aptos Narrow"/>
            <b/>
            <color rgb="FFFFFFFF"/>
            <sz val="11"/>
          </rPr>
          <t>Exact PKO class IRI.</t>
        </r>
      </text>
    </comment>
    <comment ref="B1" authorId="0">
      <text>
        <r>
          <rPr>
            <rFont val="Aptos Narrow"/>
            <b/>
            <color rgb="FFFFFFFF"/>
            <sz val="11"/>
          </rPr>
          <t>Human-readable calculated display alias for the FAQs row.</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Explanations row.</t>
        </r>
      </text>
    </comment>
    <comment ref="C1" authorId="0">
      <text>
        <r>
          <rPr>
            <rFont val="Aptos Narrow"/>
            <b/>
            <color rgb="FFFFFFFF"/>
            <sz val="11"/>
          </rPr>
          <t>Procedure version explained.</t>
        </r>
      </text>
    </comment>
    <comment ref="D1" authorId="0">
      <text>
        <r>
          <rPr>
            <rFont val="Aptos Narrow"/>
            <b/>
            <color rgb="FFFFFFFF"/>
            <sz val="11"/>
          </rPr>
          <t>Step explained.</t>
        </r>
      </text>
    </comment>
    <comment ref="E1" authorId="0">
      <text>
        <r>
          <rPr>
            <rFont val="Aptos Narrow"/>
            <b/>
            <color rgb="FFFFFFFF"/>
            <sz val="11"/>
          </rPr>
          <t>Explanation title.</t>
        </r>
      </text>
    </comment>
    <comment ref="F1" authorId="0">
      <text>
        <r>
          <rPr>
            <rFont val="Aptos Narrow"/>
            <b/>
            <color rgb="FFFFFFFF"/>
            <sz val="11"/>
          </rPr>
          <t>What the explanation traces.</t>
        </r>
      </text>
    </comment>
    <comment ref="G1" authorId="0">
      <text>
        <r>
          <rPr>
            <rFont val="Aptos Narrow"/>
            <b/>
            <color rgb="FFFFFFFF"/>
            <sz val="11"/>
          </rPr>
          <t>Exact PKO class IRI.</t>
        </r>
      </text>
    </comment>
    <comment ref="B1" authorId="0">
      <text>
        <r>
          <rPr>
            <rFont val="Aptos Narrow"/>
            <b/>
            <color rgb="FFFFFFFF"/>
            <sz val="11"/>
          </rPr>
          <t>Human-readable calculated display alias for the Explanations row.</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ProcedureExecutions row.</t>
        </r>
      </text>
    </comment>
    <comment ref="C1" authorId="0">
      <text>
        <r>
          <rPr>
            <rFont val="Aptos Narrow"/>
            <b/>
            <color rgb="FFFFFFFF"/>
            <sz val="11"/>
          </rPr>
          <t>Exact procedure specification executed; maps to pko:hasExecutedProcedure.</t>
        </r>
      </text>
    </comment>
    <comment ref="D1" authorId="0">
      <text>
        <r>
          <rPr>
            <rFont val="Aptos Narrow"/>
            <b/>
            <color rgb="FFFFFFFF"/>
            <sz val="11"/>
          </rPr>
          <t>PKO execution status: InProgress, Completed, Paused, or Cancelled.</t>
        </r>
      </text>
    </comment>
    <comment ref="E1" authorId="0">
      <text>
        <r>
          <rPr>
            <rFont val="Aptos Narrow"/>
            <b/>
            <color rgb="FFFFFFFF"/>
            <sz val="11"/>
          </rPr>
          <t>Execution start; maps to prov:startedAtTime.</t>
        </r>
      </text>
    </comment>
    <comment ref="F1" authorId="0">
      <text>
        <r>
          <rPr>
            <rFont val="Aptos Narrow"/>
            <b/>
            <color rgb="FFFFFFFF"/>
            <sz val="11"/>
          </rPr>
          <t>Execution end; maps to prov:endedAtTime.</t>
        </r>
      </text>
    </comment>
    <comment ref="G1" authorId="0">
      <text>
        <r>
          <rPr>
            <rFont val="Aptos Narrow"/>
            <b/>
            <color rgb="FFFFFFFF"/>
            <sz val="11"/>
          </rPr>
          <t>Agent accountable for the overall execution; maps to pko:wasExecutedBy.</t>
        </r>
      </text>
    </comment>
    <comment ref="H1" authorId="0">
      <text>
        <r>
          <rPr>
            <rFont val="Aptos Narrow"/>
            <b/>
            <color rgb="FFFFFFFF"/>
            <sz val="11"/>
          </rPr>
          <t>Execution-specific scope or target.</t>
        </r>
      </text>
    </comment>
    <comment ref="I1" authorId="0">
      <text>
        <r>
          <rPr>
            <rFont val="Aptos Narrow"/>
            <b/>
            <color rgb="FFFFFFFF"/>
            <sz val="11"/>
          </rPr>
          <t>Identifier in the operational execution system.</t>
        </r>
      </text>
    </comment>
    <comment ref="J1" authorId="0">
      <text>
        <r>
          <rPr>
            <rFont val="Aptos Narrow"/>
            <b/>
            <color rgb="FFFFFFFF"/>
            <sz val="11"/>
          </rPr>
          <t>How many steps this execution was supposed to perform.</t>
        </r>
      </text>
    </comment>
    <comment ref="K1" authorId="0">
      <text>
        <r>
          <rPr>
            <rFont val="Aptos Narrow"/>
            <b/>
            <color rgb="FFFFFFFF"/>
            <sz val="11"/>
          </rPr>
          <t>How many steps of this execution actually reached Completed.</t>
        </r>
      </text>
    </comment>
    <comment ref="L1" authorId="0">
      <text>
        <r>
          <rPr>
            <rFont val="Aptos Narrow"/>
            <b/>
            <color rgb="FFFFFFFF"/>
            <sz val="11"/>
          </rPr>
          <t>Total step executions in this run that carry at least one control breach.</t>
        </r>
      </text>
    </comment>
    <comment ref="M1" authorId="0">
      <text>
        <r>
          <rPr>
            <rFont val="Aptos Narrow"/>
            <b/>
            <color rgb="FFFFFFFF"/>
            <sz val="11"/>
          </rPr>
          <t>How many steps in this execution ran long.</t>
        </r>
      </text>
    </comment>
    <comment ref="N1" authorId="0">
      <text>
        <r>
          <rPr>
            <rFont val="Aptos Narrow"/>
            <b/>
            <color rgb="FFFFFFFF"/>
            <sz val="11"/>
          </rPr>
          <t>TRUE when every specified step of the procedure version reached Completed in this execution.</t>
        </r>
      </text>
    </comment>
    <comment ref="O1" authorId="0">
      <text>
        <r>
          <rPr>
            <rFont val="Aptos Narrow"/>
            <b/>
            <color rgb="FFFFFFFF"/>
            <sz val="11"/>
          </rPr>
          <t>TRUE when the execution either skipped specified steps or carried at least one control breach.</t>
        </r>
      </text>
    </comment>
    <comment ref="P1" authorId="0">
      <text>
        <r>
          <rPr>
            <rFont val="Aptos Narrow"/>
            <b/>
            <color rgb="FFFFFFFF"/>
            <sz val="11"/>
          </rPr>
          <t>TRUE when every blocking requirement bound to every step of this execution received a satisfaction record.</t>
        </r>
      </text>
    </comment>
    <comment ref="Q1" authorId="0">
      <text>
        <r>
          <rPr>
            <rFont val="Aptos Narrow"/>
            <b/>
            <color rgb="FFFFFFFF"/>
            <sz val="11"/>
          </rPr>
          <t>How many step executions in this run left at least one blocking control unevaluated.</t>
        </r>
      </text>
    </comment>
    <comment ref="R1" authorId="0">
      <text>
        <r>
          <rPr>
            <rFont val="Aptos Narrow"/>
            <b/>
            <color rgb="FFFFFFFF"/>
            <sz val="11"/>
          </rPr>
          <t>TRUE when no agent both prepared and approved within this execution.</t>
        </r>
      </text>
    </comment>
    <comment ref="S1" authorId="0">
      <text>
        <r>
          <rPr>
            <rFont val="Aptos Narrow"/>
            <b/>
            <color rgb="FFFFFFFF"/>
            <sz val="11"/>
          </rPr>
          <t>Number of segregation-of-duties violations in this execution.</t>
        </r>
      </text>
    </comment>
    <comment ref="T1" authorId="0">
      <text>
        <r>
          <rPr>
            <rFont val="Aptos Narrow"/>
            <b/>
            <color rgb="FFFFFFFF"/>
            <sz val="11"/>
          </rPr>
          <t>TRUE only when every step completed, no control breached, every blocking control was actually evaluated, and segregation of duties held.</t>
        </r>
      </text>
    </comment>
    <comment ref="U1" authorId="0">
      <text>
        <r>
          <rPr>
            <rFont val="Aptos Narrow"/>
            <b/>
            <color rgb="FFFFFFFF"/>
            <sz val="11"/>
          </rPr>
          <t>Names the highest-severity reason the attestation cannot be signed, or empty when it can.</t>
        </r>
      </text>
    </comment>
    <comment ref="V1" authorId="0">
      <text>
        <r>
          <rPr>
            <rFont val="Aptos Narrow"/>
            <b/>
            <color rgb="FFFFFFFF"/>
            <sz val="11"/>
          </rPr>
          <t>Whether the procedure version this execution ran against is currently fit to execute.</t>
        </r>
      </text>
    </comment>
    <comment ref="W1" authorId="0">
      <text>
        <r>
          <rPr>
            <rFont val="Aptos Narrow"/>
            <b/>
            <color rgb="FFFFFFFF"/>
            <sz val="11"/>
          </rPr>
          <t>TRUE when a completed execution was run against a procedure version the organization no longer stands behind.</t>
        </r>
      </text>
    </comment>
    <comment ref="X1" authorId="0">
      <text>
        <r>
          <rPr>
            <rFont val="Aptos Narrow"/>
            <b/>
            <color rgb="FFFFFFFF"/>
            <sz val="11"/>
          </rPr>
          <t>How many blocking controls in this execution passed on human assertion alone.</t>
        </r>
      </text>
    </comment>
    <comment ref="Y1" authorId="0">
      <text>
        <r>
          <rPr>
            <rFont val="Aptos Narrow"/>
            <b/>
            <color rgb="FFFFFFFF"/>
            <sz val="11"/>
          </rPr>
          <t>TRUE when any blocking control in this execution passed without a computed witness behind it.</t>
        </r>
      </text>
    </comment>
    <comment ref="Z1" authorId="0">
      <text>
        <r>
          <rPr>
            <rFont val="Aptos Narrow"/>
            <b/>
            <color rgb="FFFFFFFF"/>
            <sz val="11"/>
          </rPr>
          <t>Number of deliveries in this execution where unreachable handling was wrong -- either fabricated acknowledgement or no exception invoked.</t>
        </r>
      </text>
    </comment>
    <comment ref="AA1" authorId="0">
      <text>
        <r>
          <rPr>
            <rFont val="Aptos Narrow"/>
            <b/>
            <color rgb="FFFFFFFF"/>
            <sz val="11"/>
          </rPr>
          <t>Number of transmitted messages in this execution whose text we no longer hold despite an active retention obligation.</t>
        </r>
      </text>
    </comment>
    <comment ref="AB1" authorId="0">
      <text>
        <r>
          <rPr>
            <rFont val="Aptos Narrow"/>
            <b/>
            <color rgb="FFFFFFFF"/>
            <sz val="11"/>
          </rPr>
          <t>How many passed legal reviews exist for this execution.</t>
        </r>
      </text>
    </comment>
    <comment ref="AC1" authorId="0">
      <text>
        <r>
          <rPr>
            <rFont val="Aptos Narrow"/>
            <b/>
            <color rgb="FFFFFFFF"/>
            <sz val="11"/>
          </rPr>
          <t>TRUE when legal review has passed for this execution.</t>
        </r>
      </text>
    </comment>
    <comment ref="AD1" authorId="0">
      <text>
        <r>
          <rPr>
            <rFont val="Aptos Narrow"/>
            <b/>
            <color rgb="FFFFFFFF"/>
            <sz val="11"/>
          </rPr>
          <t>Number of failed deliveries in this run that nobody picked up.</t>
        </r>
      </text>
    </comment>
    <comment ref="AE1" authorId="0">
      <text>
        <r>
          <rPr>
            <rFont val="Aptos Narrow"/>
            <b/>
            <color rgb="FFFFFFFF"/>
            <sz val="11"/>
          </rPr>
          <t>Number of confirmed-delivered messages in this run.</t>
        </r>
      </text>
    </comment>
    <comment ref="AF1" authorId="0">
      <text>
        <r>
          <rPr>
            <rFont val="Aptos Narrow"/>
            <b/>
            <color rgb="FFFFFFFF"/>
            <sz val="11"/>
          </rPr>
          <t>Total delivery records of any status for this run.</t>
        </r>
      </text>
    </comment>
    <comment ref="AG1" authorId="0">
      <text>
        <r>
          <rPr>
            <rFont val="Aptos Narrow"/>
            <b/>
            <color rgb="FFFFFFFF"/>
            <sz val="11"/>
          </rPr>
          <t>TRUE when this run has any untriaged delivery failure.</t>
        </r>
      </text>
    </comment>
    <comment ref="AH1" authorId="0">
      <text>
        <r>
          <rPr>
            <rFont val="Aptos Narrow"/>
            <b/>
            <color rgb="FFFFFFFF"/>
            <sz val="11"/>
          </rPr>
          <t>Number of gate refusals in this run that were either overridden or silently dropped.</t>
        </r>
      </text>
    </comment>
    <comment ref="AI1" authorId="0">
      <text>
        <r>
          <rPr>
            <rFont val="Aptos Narrow"/>
            <b/>
            <color rgb="FFFFFFFF"/>
            <sz val="11"/>
          </rPr>
          <t>Number of step executions in this run that were not clean.</t>
        </r>
      </text>
    </comment>
    <comment ref="AJ1" authorId="0">
      <text>
        <r>
          <rPr>
            <rFont val="Aptos Narrow"/>
            <b/>
            <color rgb="FFFFFFFF"/>
            <sz val="11"/>
          </rPr>
          <t>TRUE when every step execution in this run was clean.</t>
        </r>
      </text>
    </comment>
    <comment ref="AK1" authorId="0">
      <text>
        <r>
          <rPr>
            <rFont val="Aptos Narrow"/>
            <b/>
            <color rgb="FFFFFFFF"/>
            <sz val="11"/>
          </rPr>
          <t>How many human approval gates were executed in this run.</t>
        </r>
      </text>
    </comment>
    <comment ref="AL1" authorId="0">
      <text>
        <r>
          <rPr>
            <rFont val="Aptos Narrow"/>
            <b/>
            <color rgb="FFFFFFFF"/>
            <sz val="11"/>
          </rPr>
          <t>TRUE when at least one human approval gate was executed in this run.</t>
        </r>
      </text>
    </comment>
    <comment ref="AM1" authorId="0">
      <text>
        <r>
          <rPr>
            <rFont val="Aptos Narrow"/>
            <b/>
            <color rgb="FFFFFFFF"/>
            <sz val="11"/>
          </rPr>
          <t>How many times the send step ran in this execution.</t>
        </r>
      </text>
    </comment>
    <comment ref="AN1" authorId="0">
      <text>
        <r>
          <rPr>
            <rFont val="Aptos Narrow"/>
            <b/>
            <color rgb="FFFFFFFF"/>
            <sz val="11"/>
          </rPr>
          <t>TRUE when this run has sent communications to employees.</t>
        </r>
      </text>
    </comment>
    <comment ref="AO1" authorId="0">
      <text>
        <r>
          <rPr>
            <rFont val="Aptos Narrow"/>
            <b/>
            <color rgb="FFFFFFFF"/>
            <sz val="11"/>
          </rPr>
          <t>TRUE when a run sent employee communications without executing a human approval gate.</t>
        </r>
      </text>
    </comment>
    <comment ref="AP1" authorId="0">
      <text>
        <r>
          <rPr>
            <rFont val="Aptos Narrow"/>
            <b/>
            <color rgb="FFFFFFFF"/>
            <sz val="11"/>
          </rPr>
          <t>Number of approval-type requirements in this run that are incomplete or non-human-evaluated.</t>
        </r>
      </text>
    </comment>
    <comment ref="AQ1" authorId="0">
      <text>
        <r>
          <rPr>
            <rFont val="Aptos Narrow"/>
            <b/>
            <color rgb="FFFFFFFF"/>
            <sz val="11"/>
          </rPr>
          <t>TRUE when every approval-type requirement in this run is fully satisfied by a human.</t>
        </r>
      </text>
    </comment>
    <comment ref="AR1" authorId="0">
      <text>
        <r>
          <rPr>
            <rFont val="Aptos Narrow"/>
            <b/>
            <color rgb="FFFFFFFF"/>
            <sz val="11"/>
          </rPr>
          <t>How many steps in this run were clean only because nothing checked them.</t>
        </r>
      </text>
    </comment>
    <comment ref="AS1" authorId="0">
      <text>
        <r>
          <rPr>
            <rFont val="Aptos Narrow"/>
            <b/>
            <color rgb="FFFFFFFF"/>
            <sz val="11"/>
          </rPr>
          <t>How many preparation steps this execution actually ran.</t>
        </r>
      </text>
    </comment>
    <comment ref="AT1" authorId="0">
      <text>
        <r>
          <rPr>
            <rFont val="Aptos Narrow"/>
            <b/>
            <color rgb="FFFFFFFF"/>
            <sz val="11"/>
          </rPr>
          <t>How many approval steps this execution actually ran.</t>
        </r>
      </text>
    </comment>
    <comment ref="AU1" authorId="0">
      <text>
        <r>
          <rPr>
            <rFont val="Aptos Narrow"/>
            <b/>
            <color rgb="FFFFFFFF"/>
            <sz val="11"/>
          </rPr>
          <t>TRUE when this execution contained both a preparation step and an approval step, so segregation of duties had an opportunity to fail.</t>
        </r>
      </text>
    </comment>
    <comment ref="AV1" authorId="0">
      <text>
        <r>
          <rPr>
            <rFont val="Aptos Narrow"/>
            <b/>
            <color rgb="FFFFFFFF"/>
            <sz val="11"/>
          </rPr>
          <t>TRUE only when segregation of duties both could have failed and did not.</t>
        </r>
      </text>
    </comment>
    <comment ref="AW1" authorId="0">
      <text>
        <r>
          <rPr>
            <rFont val="Aptos Narrow"/>
            <b/>
            <color rgb="FFFFFFFF"/>
            <sz val="11"/>
          </rPr>
          <t>TRUE when the segregation control reports as held on a run where it could not have failed.</t>
        </r>
      </text>
    </comment>
    <comment ref="AX1" authorId="0">
      <text>
        <r>
          <rPr>
            <rFont val="Aptos Narrow"/>
            <b/>
            <color rgb="FFFFFFFF"/>
            <sz val="11"/>
          </rPr>
          <t>The sentence that goes into the control narrative for this execution.</t>
        </r>
      </text>
    </comment>
    <comment ref="AY1" authorId="0">
      <text>
        <r>
          <rPr>
            <rFont val="Aptos Narrow"/>
            <b/>
            <color rgb="FFFFFFFF"/>
            <sz val="11"/>
          </rPr>
          <t>How many steps in this run departed from spec with nothing authorising the departure.</t>
        </r>
      </text>
    </comment>
    <comment ref="AZ1" authorId="0">
      <text>
        <r>
          <rPr>
            <rFont val="Aptos Narrow"/>
            <b/>
            <color rgb="FFFFFFFF"/>
            <sz val="11"/>
          </rPr>
          <t>TRUE when this run departed from specification and every departure was authorised.</t>
        </r>
      </text>
    </comment>
    <comment ref="BA1" authorId="0">
      <text>
        <r>
          <rPr>
            <rFont val="Aptos Narrow"/>
            <b/>
            <color rgb="FFFFFFFF"/>
            <sz val="11"/>
          </rPr>
          <t>How many blocking controls in this run were cleared by something computed.</t>
        </r>
      </text>
    </comment>
    <comment ref="BB1" authorId="0">
      <text>
        <r>
          <rPr>
            <rFont val="Aptos Narrow"/>
            <b/>
            <color rgb="FFFFFFFF"/>
            <sz val="11"/>
          </rPr>
          <t>Total blocking controls actually evaluated in this run, computed and asserted together.</t>
        </r>
      </text>
    </comment>
    <comment ref="BC1" authorId="0">
      <text>
        <r>
          <rPr>
            <rFont val="Aptos Narrow"/>
            <b/>
            <color rgb="FFFFFFFF"/>
            <sz val="11"/>
          </rPr>
          <t>The fraction of evaluated blocking controls in this run that rest on a computed witness rather than a human assertion.</t>
        </r>
      </text>
    </comment>
    <comment ref="BD1" authorId="0">
      <text>
        <r>
          <rPr>
            <rFont val="Aptos Narrow"/>
            <b/>
            <color rgb="FFFFFFFF"/>
            <sz val="11"/>
          </rPr>
          <t>How many controls in this run were cleared by assertion from someone with an interest in the outcome.</t>
        </r>
      </text>
    </comment>
    <comment ref="BE1" authorId="0">
      <text>
        <r>
          <rPr>
            <rFont val="Aptos Narrow"/>
            <b/>
            <color rgb="FFFFFFFF"/>
            <sz val="11"/>
          </rPr>
          <t>Names the quality of the assurance behind this execution, worst case first.</t>
        </r>
      </text>
    </comment>
    <comment ref="BF1" authorId="0">
      <text>
        <r>
          <rPr>
            <rFont val="Aptos Narrow"/>
            <b/>
            <color rgb="FFFFFFFF"/>
            <sz val="11"/>
          </rPr>
          <t>TRUE when the model says I may sign, but the basis for that permission is mostly or partly unwitnessed assertion.</t>
        </r>
      </text>
    </comment>
    <comment ref="BG1" authorId="0">
      <text>
        <r>
          <rPr>
            <rFont val="Aptos Narrow"/>
            <b/>
            <color rgb="FFFFFFFF"/>
            <sz val="11"/>
          </rPr>
          <t>How many verifications in this run were independently observed by a human with evidence attached.</t>
        </r>
      </text>
    </comment>
    <comment ref="BH1" authorId="0">
      <text>
        <r>
          <rPr>
            <rFont val="Aptos Narrow"/>
            <b/>
            <color rgb="FFFFFFFF"/>
            <sz val="11"/>
          </rPr>
          <t>TRUE when at least one verification in this run was independently observed by a human.</t>
        </r>
      </text>
    </comment>
    <comment ref="BI1" authorId="0">
      <text>
        <r>
          <rPr>
            <rFont val="Aptos Narrow"/>
            <b/>
            <color rgb="FFFFFFFF"/>
            <sz val="11"/>
          </rPr>
          <t>How many approval steps in this run rested on self-attestation.</t>
        </r>
      </text>
    </comment>
    <comment ref="BJ1" authorId="0">
      <text>
        <r>
          <rPr>
            <rFont val="Aptos Narrow"/>
            <b/>
            <color rgb="FFFFFFFF"/>
            <sz val="11"/>
          </rPr>
          <t>TRUE when every approval in this run rests on self-attestation and no independent human observation exists anywhere in it.</t>
        </r>
      </text>
    </comment>
    <comment ref="BK1" authorId="0">
      <text>
        <r>
          <rPr>
            <rFont val="Aptos Narrow"/>
            <b/>
            <color rgb="FFFFFFFF"/>
            <sz val="11"/>
          </rPr>
          <t>The most recent signature instant for this execution.</t>
        </r>
      </text>
    </comment>
    <comment ref="BL1" authorId="0">
      <text>
        <r>
          <rPr>
            <rFont val="Aptos Narrow"/>
            <b/>
            <color rgb="FFFFFFFF"/>
            <sz val="11"/>
          </rPr>
          <t>TRUE when someone has signed for this execution.</t>
        </r>
      </text>
    </comment>
    <comment ref="BM1" authorId="0">
      <text>
        <r>
          <rPr>
            <rFont val="Aptos Narrow"/>
            <b/>
            <color rgb="FFFFFFFF"/>
            <sz val="11"/>
          </rPr>
          <t>How many signatures exist against this execution.</t>
        </r>
      </text>
    </comment>
    <comment ref="BN1" authorId="0">
      <text>
        <r>
          <rPr>
            <rFont val="Aptos Narrow"/>
            <b/>
            <color rgb="FFFFFFFF"/>
            <sz val="11"/>
          </rPr>
          <t>How many controls were scored after this execution was signed.</t>
        </r>
      </text>
    </comment>
    <comment ref="BO1" authorId="0">
      <text>
        <r>
          <rPr>
            <rFont val="Aptos Narrow"/>
            <b/>
            <color rgb="FFFFFFFF"/>
            <sz val="11"/>
          </rPr>
          <t>TRUE when controls this attestation depended on were scored after the signature was given.</t>
        </r>
      </text>
    </comment>
    <comment ref="BP1" authorId="0">
      <text>
        <r>
          <rPr>
            <rFont val="Aptos Narrow"/>
            <b/>
            <color rgb="FFFFFFFF"/>
            <sz val="11"/>
          </rPr>
          <t>TRUE when the basis changed after signature AND the execution no longer reads as attestable.</t>
        </r>
      </text>
    </comment>
    <comment ref="BQ1" authorId="0">
      <text>
        <r>
          <rPr>
            <rFont val="Aptos Narrow"/>
            <b/>
            <color rgb="FFFFFFFF"/>
            <sz val="11"/>
          </rPr>
          <t>How many sends this campaign proposed to make.</t>
        </r>
      </text>
    </comment>
    <comment ref="BR1" authorId="0">
      <text>
        <r>
          <rPr>
            <rFont val="Aptos Narrow"/>
            <b/>
            <color rgb="FFFFFFFF"/>
            <sz val="11"/>
          </rPr>
          <t>How many of those sends actually left our systems.</t>
        </r>
      </text>
    </comment>
    <comment ref="BS1" authorId="0">
      <text>
        <r>
          <rPr>
            <rFont val="Aptos Narrow"/>
            <b/>
            <color rgb="FFFFFFFF"/>
            <sz val="11"/>
          </rPr>
          <t>How many intended recipients disappeared from this campaign with no record.</t>
        </r>
      </text>
    </comment>
    <comment ref="BT1" authorId="0">
      <text>
        <r>
          <rPr>
            <rFont val="Aptos Narrow"/>
            <b/>
            <color rgb="FFFFFFFF"/>
            <sz val="11"/>
          </rPr>
          <t>Percentage of intended recipients who actually received the communication.</t>
        </r>
      </text>
    </comment>
    <comment ref="BU1" authorId="0">
      <text>
        <r>
          <rPr>
            <rFont val="Aptos Narrow"/>
            <b/>
            <color rgb="FFFFFFFF"/>
            <sz val="11"/>
          </rPr>
          <t>TRUE when a campaign lost intended recipients without producing any record of the loss.</t>
        </r>
      </text>
    </comment>
    <comment ref="BV1" authorId="0">
      <text>
        <r>
          <rPr>
            <rFont val="Aptos Narrow"/>
            <b/>
            <color rgb="FFFFFFFF"/>
            <sz val="11"/>
          </rPr>
          <t>How many sends this execution refused without recording the refusal anywhere.</t>
        </r>
      </text>
    </comment>
    <comment ref="BW1" authorId="0">
      <text>
        <r>
          <rPr>
            <rFont val="Aptos Narrow"/>
            <b/>
            <color rgb="FFFFFFFF"/>
            <sz val="11"/>
          </rPr>
          <t>TRUE when this run contains at least one refusal that left no trace anywhere.</t>
        </r>
      </text>
    </comment>
    <comment ref="BX1" authorId="0">
      <text>
        <r>
          <rPr>
            <rFont val="Aptos Narrow"/>
            <b/>
            <color rgb="FFFFFFFF"/>
            <sz val="11"/>
          </rPr>
          <t>How many of this execution's send decisions were corroborated by a delivery record.</t>
        </r>
      </text>
    </comment>
    <comment ref="BY1" authorId="0">
      <text>
        <r>
          <rPr>
            <rFont val="Aptos Narrow"/>
            <b/>
            <color rgb="FFFFFFFF"/>
            <sz val="11"/>
          </rPr>
          <t>TRUE when no send decision in this run was confirmed by anything other than the pipeline itself.</t>
        </r>
      </text>
    </comment>
    <comment ref="BZ1" authorId="0">
      <text>
        <r>
          <rPr>
            <rFont val="Aptos Narrow"/>
            <b/>
            <color rgb="FFFFFFFF"/>
            <sz val="11"/>
          </rPr>
          <t>Exact PKO class IRI.</t>
        </r>
      </text>
    </comment>
    <comment ref="B1" authorId="0">
      <text>
        <r>
          <rPr>
            <rFont val="Aptos Narrow"/>
            <b/>
            <color rgb="FFFFFFFF"/>
            <sz val="11"/>
          </rPr>
          <t>Human-readable calculated display alias for the ProcedureExecutions row.</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StepExecutions row.</t>
        </r>
      </text>
    </comment>
    <comment ref="C1" authorId="0">
      <text>
        <r>
          <rPr>
            <rFont val="Aptos Narrow"/>
            <b/>
            <color rgb="FFFFFFFF"/>
            <sz val="11"/>
          </rPr>
          <t>Parent procedure execution.</t>
        </r>
      </text>
    </comment>
    <comment ref="D1" authorId="0">
      <text>
        <r>
          <rPr>
            <rFont val="Aptos Narrow"/>
            <b/>
            <color rgb="FFFFFFFF"/>
            <sz val="11"/>
          </rPr>
          <t>Specified step executed; maps to pko:hasExecutedStep.</t>
        </r>
      </text>
    </comment>
    <comment ref="E1" authorId="0">
      <text>
        <r>
          <rPr>
            <rFont val="Aptos Narrow"/>
            <b/>
            <color rgb="FFFFFFFF"/>
            <sz val="11"/>
          </rPr>
          <t>Agent executing the step; maps to pko:wasExecutedBy.</t>
        </r>
      </text>
    </comment>
    <comment ref="F1" authorId="0">
      <text>
        <r>
          <rPr>
            <rFont val="Aptos Narrow"/>
            <b/>
            <color rgb="FFFFFFFF"/>
            <sz val="11"/>
          </rPr>
          <t>InProgress, Completed, Paused, Cancelled, or Failed.</t>
        </r>
      </text>
    </comment>
    <comment ref="G1" authorId="0">
      <text>
        <r>
          <rPr>
            <rFont val="Aptos Narrow"/>
            <b/>
            <color rgb="FFFFFFFF"/>
            <sz val="11"/>
          </rPr>
          <t>Execution start.</t>
        </r>
      </text>
    </comment>
    <comment ref="H1" authorId="0">
      <text>
        <r>
          <rPr>
            <rFont val="Aptos Narrow"/>
            <b/>
            <color rgb="FFFFFFFF"/>
            <sz val="11"/>
          </rPr>
          <t>Execution end.</t>
        </r>
      </text>
    </comment>
    <comment ref="I1" authorId="0">
      <text>
        <r>
          <rPr>
            <rFont val="Aptos Narrow"/>
            <b/>
            <color rgb="FFFFFFFF"/>
            <sz val="11"/>
          </rPr>
          <t>PASS, WARN, FAIL, or PENDING.</t>
        </r>
      </text>
    </comment>
    <comment ref="J1" authorId="0">
      <text>
        <r>
          <rPr>
            <rFont val="Aptos Narrow"/>
            <b/>
            <color rgb="FFFFFFFF"/>
            <sz val="11"/>
          </rPr>
          <t>Observed deviation from the specification.</t>
        </r>
      </text>
    </comment>
    <comment ref="K1" authorId="0">
      <text>
        <r>
          <rPr>
            <rFont val="Aptos Narrow"/>
            <b/>
            <color rgb="FFFFFFFF"/>
            <sz val="11"/>
          </rPr>
          <t>Observed duration in minutes.</t>
        </r>
      </text>
    </comment>
    <comment ref="L1" authorId="0">
      <text>
        <r>
          <rPr>
            <rFont val="Aptos Narrow"/>
            <b/>
            <color rgb="FFFFFFFF"/>
            <sz val="11"/>
          </rPr>
          <t>Expected duration from the specification.</t>
        </r>
      </text>
    </comment>
    <comment ref="M1" authorId="0">
      <text>
        <r>
          <rPr>
            <rFont val="Aptos Narrow"/>
            <b/>
            <color rgb="FFFFFFFF"/>
            <sz val="11"/>
          </rPr>
          <t>TRUE when actual duration exceeds expected duration.</t>
        </r>
      </text>
    </comment>
    <comment ref="N1" authorId="0">
      <text>
        <r>
          <rPr>
            <rFont val="Aptos Narrow"/>
            <b/>
            <color rgb="FFFFFFFF"/>
            <sz val="11"/>
          </rPr>
          <t>How many blocking requirements attached to this step execution are recorded as not fully satisfied.</t>
        </r>
      </text>
    </comment>
    <comment ref="O1" authorId="0">
      <text>
        <r>
          <rPr>
            <rFont val="Aptos Narrow"/>
            <b/>
            <color rgb="FFFFFFFF"/>
            <sz val="11"/>
          </rPr>
          <t>Count of blocking-but-unmet requirements on this step execution, computed via the single-criterion key so no criterion is dropped.</t>
        </r>
      </text>
    </comment>
    <comment ref="P1" authorId="0">
      <text>
        <r>
          <rPr>
            <rFont val="Aptos Narrow"/>
            <b/>
            <color rgb="FFFFFFFF"/>
            <sz val="11"/>
          </rPr>
          <t>TRUE when a step execution reached Completed even though a blocking requirement on it was never fully satisfied.</t>
        </r>
      </text>
    </comment>
    <comment ref="Q1" authorId="0">
      <text>
        <r>
          <rPr>
            <rFont val="Aptos Narrow"/>
            <b/>
            <color rgb="FFFFFFFF"/>
            <sz val="11"/>
          </rPr>
          <t>How many blocking requirements this execution's step was supposed to have evaluated.</t>
        </r>
      </text>
    </comment>
    <comment ref="R1" authorId="0">
      <text>
        <r>
          <rPr>
            <rFont val="Aptos Narrow"/>
            <b/>
            <color rgb="FFFFFFFF"/>
            <sz val="11"/>
          </rPr>
          <t>How many blocking requirements actually received a satisfaction record on this step execution, at any level.</t>
        </r>
      </text>
    </comment>
    <comment ref="S1" authorId="0">
      <text>
        <r>
          <rPr>
            <rFont val="Aptos Narrow"/>
            <b/>
            <color rgb="FFFFFFFF"/>
            <sz val="11"/>
          </rPr>
          <t>Blocking requirements that were bound to this step but never assessed on this execution.</t>
        </r>
      </text>
    </comment>
    <comment ref="T1" authorId="0">
      <text>
        <r>
          <rPr>
            <rFont val="Aptos Narrow"/>
            <b/>
            <color rgb="FFFFFFFF"/>
            <sz val="11"/>
          </rPr>
          <t>TRUE when at least one blocking control bound to this step was never evaluated on this execution.</t>
        </r>
      </text>
    </comment>
    <comment ref="U1" authorId="0">
      <text>
        <r>
          <rPr>
            <rFont val="Aptos Narrow"/>
            <b/>
            <color rgb="FFFFFFFF"/>
            <sz val="11"/>
          </rPr>
          <t>Number of stale authoritative sources bound to the step this execution ran.</t>
        </r>
      </text>
    </comment>
    <comment ref="V1" authorId="0">
      <text>
        <r>
          <rPr>
            <rFont val="Aptos Narrow"/>
            <b/>
            <color rgb="FFFFFFFF"/>
            <sz val="11"/>
          </rPr>
          <t>TRUE when this execution's step depends on at least one authoritative source that is outside its freshness SLA.</t>
        </r>
      </text>
    </comment>
    <comment ref="W1" authorId="0">
      <text>
        <r>
          <rPr>
            <rFont val="Aptos Narrow"/>
            <b/>
            <color rgb="FFFFFFFF"/>
            <sz val="11"/>
          </rPr>
          <t>TRUE when a human recorded some deviation narrative on this execution.</t>
        </r>
      </text>
    </comment>
    <comment ref="X1" authorId="0">
      <text>
        <r>
          <rPr>
            <rFont val="Aptos Narrow"/>
            <b/>
            <color rgb="FFFFFFFF"/>
            <sz val="11"/>
          </rPr>
          <t>TRUE when the execution exceeded its expected duration and no deviation was recorded.</t>
        </r>
      </text>
    </comment>
    <comment ref="Y1" authorId="0">
      <text>
        <r>
          <rPr>
            <rFont val="Aptos Narrow"/>
            <b/>
            <color rgb="FFFFFFFF"/>
            <sz val="11"/>
          </rPr>
          <t>How many active exceptions were available to this execution's step.</t>
        </r>
      </text>
    </comment>
    <comment ref="Z1" authorId="0">
      <text>
        <r>
          <rPr>
            <rFont val="Aptos Narrow"/>
            <b/>
            <color rgb="FFFFFFFF"/>
            <sz val="11"/>
          </rPr>
          <t>TRUE when an execution ran long with no explanation despite the specification defining an active exception for exactly that situation.</t>
        </r>
      </text>
    </comment>
    <comment ref="AA1" authorId="0">
      <text>
        <r>
          <rPr>
            <rFont val="Aptos Narrow"/>
            <b/>
            <color rgb="FFFFFFFF"/>
            <sz val="11"/>
          </rPr>
          <t>How many verifications this execution was supposed to perform.</t>
        </r>
      </text>
    </comment>
    <comment ref="AB1" authorId="0">
      <text>
        <r>
          <rPr>
            <rFont val="Aptos Narrow"/>
            <b/>
            <color rgb="FFFFFFFF"/>
            <sz val="11"/>
          </rPr>
          <t>How many verification outcomes were actually recorded against this execution.</t>
        </r>
      </text>
    </comment>
    <comment ref="AC1" authorId="0">
      <text>
        <r>
          <rPr>
            <rFont val="Aptos Narrow"/>
            <b/>
            <color rgb="FFFFFFFF"/>
            <sz val="11"/>
          </rPr>
          <t>Declared verifications with no recorded outcome on this execution.</t>
        </r>
      </text>
    </comment>
    <comment ref="AD1" authorId="0">
      <text>
        <r>
          <rPr>
            <rFont val="Aptos Narrow"/>
            <b/>
            <color rgb="FFFFFFFF"/>
            <sz val="11"/>
          </rPr>
          <t>TRUE when a declared verification was never performed on this execution.</t>
        </r>
      </text>
    </comment>
    <comment ref="AE1" authorId="0">
      <text>
        <r>
          <rPr>
            <rFont val="Aptos Narrow"/>
            <b/>
            <color rgb="FFFFFFFF"/>
            <sz val="11"/>
          </rPr>
          <t>TRUE when an execution asserts PASS while at least one declared verification has no recorded outcome.</t>
        </r>
      </text>
    </comment>
    <comment ref="AF1" authorId="0">
      <text>
        <r>
          <rPr>
            <rFont val="Aptos Narrow"/>
            <b/>
            <color rgb="FFFFFFFF"/>
            <sz val="11"/>
          </rPr>
          <t>Whether this execution ran a preparation step.</t>
        </r>
      </text>
    </comment>
    <comment ref="AG1" authorId="0">
      <text>
        <r>
          <rPr>
            <rFont val="Aptos Narrow"/>
            <b/>
            <color rgb="FFFFFFFF"/>
            <sz val="11"/>
          </rPr>
          <t>Whether this execution ran an approval step.</t>
        </r>
      </text>
    </comment>
    <comment ref="AH1" authorId="0">
      <text>
        <r>
          <rPr>
            <rFont val="Aptos Narrow"/>
            <b/>
            <color rgb="FFFFFFFF"/>
            <sz val="11"/>
          </rPr>
          <t>Composite execution+agent key, emitted only for preparation steps.</t>
        </r>
      </text>
    </comment>
    <comment ref="AI1" authorId="0">
      <text>
        <r>
          <rPr>
            <rFont val="Aptos Narrow"/>
            <b/>
            <color rgb="FFFFFFFF"/>
            <sz val="11"/>
          </rPr>
          <t>Composite execution+agent key, emitted only for approval steps.</t>
        </r>
      </text>
    </comment>
    <comment ref="AJ1" authorId="0">
      <text>
        <r>
          <rPr>
            <rFont val="Aptos Narrow"/>
            <b/>
            <color rgb="FFFFFFFF"/>
            <sz val="11"/>
          </rPr>
          <t>On an approval row, how many preparation steps in the SAME procedure execution were run by this same agent.</t>
        </r>
      </text>
    </comment>
    <comment ref="AK1" authorId="0">
      <text>
        <r>
          <rPr>
            <rFont val="Aptos Narrow"/>
            <b/>
            <color rgb="FFFFFFFF"/>
            <sz val="11"/>
          </rPr>
          <t>TRUE when the agent approving this step also prepared work earlier in the same procedure execution.</t>
        </r>
      </text>
    </comment>
    <comment ref="AL1" authorId="0">
      <text>
        <r>
          <rPr>
            <rFont val="Aptos Narrow"/>
            <b/>
            <color rgb="FFFFFFFF"/>
            <sz val="11"/>
          </rPr>
          <t>The role the specification assigns to this step.</t>
        </r>
      </text>
    </comment>
    <comment ref="AM1" authorId="0">
      <text>
        <r>
          <rPr>
            <rFont val="Aptos Narrow"/>
            <b/>
            <color rgb="FFFFFFFF"/>
            <sz val="11"/>
          </rPr>
          <t>The agent+role pair that would need to exist as a valid assignment for this execution to be properly authorized.</t>
        </r>
      </text>
    </comment>
    <comment ref="AN1" authorId="0">
      <text>
        <r>
          <rPr>
            <rFont val="Aptos Narrow"/>
            <b/>
            <color rgb="FFFFFFFF"/>
            <sz val="11"/>
          </rPr>
          <t>How many currently-valid role assignments grant this executor the role their step required.</t>
        </r>
      </text>
    </comment>
    <comment ref="AO1" authorId="0">
      <text>
        <r>
          <rPr>
            <rFont val="Aptos Narrow"/>
            <b/>
            <color rgb="FFFFFFFF"/>
            <sz val="11"/>
          </rPr>
          <t>TRUE when the executing agent holds a currently-valid assignment to the role the step required.</t>
        </r>
      </text>
    </comment>
    <comment ref="AP1" authorId="0">
      <text>
        <r>
          <rPr>
            <rFont val="Aptos Narrow"/>
            <b/>
            <color rgb="FFFFFFFF"/>
            <sz val="11"/>
          </rPr>
          <t>TRUE when an approval step was executed by an agent who does not hold the required approving role.</t>
        </r>
      </text>
    </comment>
    <comment ref="AQ1" authorId="0">
      <text>
        <r>
          <rPr>
            <rFont val="Aptos Narrow"/>
            <b/>
            <color rgb="FFFFFFFF"/>
            <sz val="11"/>
          </rPr>
          <t>Echoes the parent execution id only for completed steps.</t>
        </r>
      </text>
    </comment>
    <comment ref="AR1" authorId="0">
      <text>
        <r>
          <rPr>
            <rFont val="Aptos Narrow"/>
            <b/>
            <color rgb="FFFFFFFF"/>
            <sz val="11"/>
          </rPr>
          <t>Echoes the parent execution id when this step execution carries ANY control breach.</t>
        </r>
      </text>
    </comment>
    <comment ref="AS1" authorId="0">
      <text>
        <r>
          <rPr>
            <rFont val="Aptos Narrow"/>
            <b/>
            <color rgb="FFFFFFFF"/>
            <sz val="11"/>
          </rPr>
          <t>Echoes the parent execution id only for steps that ran past their expected duration.</t>
        </r>
      </text>
    </comment>
    <comment ref="AT1" authorId="0">
      <text>
        <r>
          <rPr>
            <rFont val="Aptos Narrow"/>
            <b/>
            <color rgb="FFFFFFFF"/>
            <sz val="11"/>
          </rPr>
          <t>Human, AIAgent, or AutomatedPipeline — what kind of agent actually ran this step.</t>
        </r>
      </text>
    </comment>
    <comment ref="AU1" authorId="0">
      <text>
        <r>
          <rPr>
            <rFont val="Aptos Narrow"/>
            <b/>
            <color rgb="FFFFFFFF"/>
            <sz val="11"/>
          </rPr>
          <t>TRUE when a human executed this step.</t>
        </r>
      </text>
    </comment>
    <comment ref="AV1" authorId="0">
      <text>
        <r>
          <rPr>
            <rFont val="Aptos Narrow"/>
            <b/>
            <color rgb="FFFFFFFF"/>
            <sz val="11"/>
          </rPr>
          <t>Whether the specification requires this step to be human-confirmed.</t>
        </r>
      </text>
    </comment>
    <comment ref="AW1" authorId="0">
      <text>
        <r>
          <rPr>
            <rFont val="Aptos Narrow"/>
            <b/>
            <color rgb="FFFFFFFF"/>
            <sz val="11"/>
          </rPr>
          <t>TRUE when a step requiring human confirmation was executed by an AI agent or automated pipeline.</t>
        </r>
      </text>
    </comment>
    <comment ref="AX1" authorId="0">
      <text>
        <r>
          <rPr>
            <rFont val="Aptos Narrow"/>
            <b/>
            <color rgb="FFFFFFFF"/>
            <sz val="11"/>
          </rPr>
          <t>TRUE when an approval-authority step was executed by a non-human agent, regardless of the RequiresHumanConfirmation flag.</t>
        </r>
      </text>
    </comment>
    <comment ref="AY1" authorId="0">
      <text>
        <r>
          <rPr>
            <rFont val="Aptos Narrow"/>
            <b/>
            <color rgb="FFFFFFFF"/>
            <sz val="11"/>
          </rPr>
          <t>Echoes the parent execution id when this step left a blocking control unevaluated.</t>
        </r>
      </text>
    </comment>
    <comment ref="AZ1" authorId="0">
      <text>
        <r>
          <rPr>
            <rFont val="Aptos Narrow"/>
            <b/>
            <color rgb="FFFFFFFF"/>
            <sz val="11"/>
          </rPr>
          <t>Echoes the parent execution id when this step execution violates segregation of duties.</t>
        </r>
      </text>
    </comment>
    <comment ref="BA1" authorId="0">
      <text>
        <r>
          <rPr>
            <rFont val="Aptos Narrow"/>
            <b/>
            <color rgb="FFFFFFFF"/>
            <sz val="11"/>
          </rPr>
          <t>How many of this execution's verifications were observed by the same agent who ran the step.</t>
        </r>
      </text>
    </comment>
    <comment ref="BB1" authorId="0">
      <text>
        <r>
          <rPr>
            <rFont val="Aptos Narrow"/>
            <b/>
            <color rgb="FFFFFFFF"/>
            <sz val="11"/>
          </rPr>
          <t>How many verifications on this execution recorded a matching signal with no retained evidence artifact.</t>
        </r>
      </text>
    </comment>
    <comment ref="BC1" authorId="0">
      <text>
        <r>
          <rPr>
            <rFont val="Aptos Narrow"/>
            <b/>
            <color rgb="FFFFFFFF"/>
            <sz val="11"/>
          </rPr>
          <t>TRUE when an approval step's verification was either self-witnessed by the approver or never performed at all.</t>
        </r>
      </text>
    </comment>
    <comment ref="BD1" authorId="0">
      <text>
        <r>
          <rPr>
            <rFont val="Aptos Narrow"/>
            <b/>
            <color rgb="FFFFFFFF"/>
            <sz val="11"/>
          </rPr>
          <t>How many specified exceptions were invoked during this step execution.</t>
        </r>
      </text>
    </comment>
    <comment ref="BE1" authorId="0">
      <text>
        <r>
          <rPr>
            <rFont val="Aptos Narrow"/>
            <b/>
            <color rgb="FFFFFFFF"/>
            <sz val="11"/>
          </rPr>
          <t>TRUE when this execution invoked at least one specified exception.</t>
        </r>
      </text>
    </comment>
    <comment ref="BF1" authorId="0">
      <text>
        <r>
          <rPr>
            <rFont val="Aptos Narrow"/>
            <b/>
            <color rgb="FFFFFFFF"/>
            <sz val="11"/>
          </rPr>
          <t>TRUE when this step execution reached a completed state.</t>
        </r>
      </text>
    </comment>
    <comment ref="BG1" authorId="0">
      <text>
        <r>
          <rPr>
            <rFont val="Aptos Narrow"/>
            <b/>
            <color rgb="FFFFFFFF"/>
            <sz val="11"/>
          </rPr>
          <t>TRUE only when this step execution's verification actually passed. PENDING and FAIL are both not-passed.</t>
        </r>
      </text>
    </comment>
    <comment ref="BH1" authorId="0">
      <text>
        <r>
          <rPr>
            <rFont val="Aptos Narrow"/>
            <b/>
            <color rgb="FFFFFFFF"/>
            <sz val="11"/>
          </rPr>
          <t>TRUE for executions of the legal and privacy review step.</t>
        </r>
      </text>
    </comment>
    <comment ref="BI1" authorId="0">
      <text>
        <r>
          <rPr>
            <rFont val="Aptos Narrow"/>
            <b/>
            <color rgb="FFFFFFFF"/>
            <sz val="11"/>
          </rPr>
          <t>Carries the execution id only when this row is a PASSED legal review; empty string otherwise.</t>
        </r>
      </text>
    </comment>
    <comment ref="BJ1" authorId="0">
      <text>
        <r>
          <rPr>
            <rFont val="Aptos Narrow"/>
            <b/>
            <color rgb="FFFFFFFF"/>
            <sz val="11"/>
          </rPr>
          <t>The role the specification assigns to this step.</t>
        </r>
      </text>
    </comment>
    <comment ref="BK1" authorId="0">
      <text>
        <r>
          <rPr>
            <rFont val="Aptos Narrow"/>
            <b/>
            <color rgb="FFFFFFFF"/>
            <sz val="11"/>
          </rPr>
          <t>The agent currently designated to hold the step's assigned role.</t>
        </r>
      </text>
    </comment>
    <comment ref="BL1" authorId="0">
      <text>
        <r>
          <rPr>
            <rFont val="Aptos Narrow"/>
            <b/>
            <color rgb="FFFFFFFF"/>
            <sz val="11"/>
          </rPr>
          <t>TRUE when the agent that executed the step is the agent currently designated for the step's role.</t>
        </r>
      </text>
    </comment>
    <comment ref="BM1" authorId="0">
      <text>
        <r>
          <rPr>
            <rFont val="Aptos Narrow"/>
            <b/>
            <color rgb="FFFFFFFF"/>
            <sz val="11"/>
          </rPr>
          <t>Freshness verdict for the step this execution ran.</t>
        </r>
      </text>
    </comment>
    <comment ref="BN1" authorId="0">
      <text>
        <r>
          <rPr>
            <rFont val="Aptos Narrow"/>
            <b/>
            <color rgb="FFFFFFFF"/>
            <sz val="11"/>
          </rPr>
          <t>TRUE when an execution completed even though its step's authoritative inputs are stale.</t>
        </r>
      </text>
    </comment>
    <comment ref="BO1" authorId="0">
      <text>
        <r>
          <rPr>
            <rFont val="Aptos Narrow"/>
            <b/>
            <color rgb="FFFFFFFF"/>
            <sz val="11"/>
          </rPr>
          <t>Number of unresolved issue occurrences recorded against this execution.</t>
        </r>
      </text>
    </comment>
    <comment ref="BP1" authorId="0">
      <text>
        <r>
          <rPr>
            <rFont val="Aptos Narrow"/>
            <b/>
            <color rgb="FFFFFFFF"/>
            <sz val="11"/>
          </rPr>
          <t>TRUE when a deviation from the specification was recorded.</t>
        </r>
      </text>
    </comment>
    <comment ref="BQ1" authorId="0">
      <text>
        <r>
          <rPr>
            <rFont val="Aptos Narrow"/>
            <b/>
            <color rgb="FFFFFFFF"/>
            <sz val="11"/>
          </rPr>
          <t>TRUE when this execution passed verification, deviated from nothing, left no open issue, and finished on time.</t>
        </r>
      </text>
    </comment>
    <comment ref="BR1" authorId="0">
      <text>
        <r>
          <rPr>
            <rFont val="Aptos Narrow"/>
            <b/>
            <color rgb="FFFFFFFF"/>
            <sz val="11"/>
          </rPr>
          <t>Echoes the parent execution id when this step execution is not clean, blank otherwise.</t>
        </r>
      </text>
    </comment>
    <comment ref="BS1" authorId="0">
      <text>
        <r>
          <rPr>
            <rFont val="Aptos Narrow"/>
            <b/>
            <color rgb="FFFFFFFF"/>
            <sz val="11"/>
          </rPr>
          <t>Number of requirements actually scored against this execution.</t>
        </r>
      </text>
    </comment>
    <comment ref="BT1" authorId="0">
      <text>
        <r>
          <rPr>
            <rFont val="Aptos Narrow"/>
            <b/>
            <color rgb="FFFFFFFF"/>
            <sz val="11"/>
          </rPr>
          <t>Number of blocking requirements the specification demands for this step.</t>
        </r>
      </text>
    </comment>
    <comment ref="BU1" authorId="0">
      <text>
        <r>
          <rPr>
            <rFont val="Aptos Narrow"/>
            <b/>
            <color rgb="FFFFFFFF"/>
            <sz val="11"/>
          </rPr>
          <t>TRUE when fewer requirements were scored than the step has blocking requirements.</t>
        </r>
      </text>
    </comment>
    <comment ref="BV1" authorId="0">
      <text>
        <r>
          <rPr>
            <rFont val="Aptos Narrow"/>
            <b/>
            <color rgb="FFFFFFFF"/>
            <sz val="11"/>
          </rPr>
          <t>The kind of agent that actually performed this step execution.</t>
        </r>
      </text>
    </comment>
    <comment ref="BW1" authorId="0">
      <text>
        <r>
          <rPr>
            <rFont val="Aptos Narrow"/>
            <b/>
            <color rgb="FFFFFFFF"/>
            <sz val="11"/>
          </rPr>
          <t>TRUE when software actually performed this step.</t>
        </r>
      </text>
    </comment>
    <comment ref="BX1" authorId="0">
      <text>
        <r>
          <rPr>
            <rFont val="Aptos Narrow"/>
            <b/>
            <color rgb="FFFFFFFF"/>
            <sz val="11"/>
          </rPr>
          <t>Whether the step being executed was specified as a software step.</t>
        </r>
      </text>
    </comment>
    <comment ref="BY1" authorId="0">
      <text>
        <r>
          <rPr>
            <rFont val="Aptos Narrow"/>
            <b/>
            <color rgb="FFFFFFFF"/>
            <sz val="11"/>
          </rPr>
          <t>TRUE when software performed a step the procedure specified for a human.</t>
        </r>
      </text>
    </comment>
    <comment ref="BZ1" authorId="0">
      <text>
        <r>
          <rPr>
            <rFont val="Aptos Narrow"/>
            <b/>
            <color rgb="FFFFFFFF"/>
            <sz val="11"/>
          </rPr>
          <t>Whether this execution is of a designated human approval gate.</t>
        </r>
      </text>
    </comment>
    <comment ref="CA1" authorId="0">
      <text>
        <r>
          <rPr>
            <rFont val="Aptos Narrow"/>
            <b/>
            <color rgb="FFFFFFFF"/>
            <sz val="11"/>
          </rPr>
          <t>TRUE when this execution recorded a positive verification outcome.</t>
        </r>
      </text>
    </comment>
    <comment ref="CB1" authorId="0">
      <text>
        <r>
          <rPr>
            <rFont val="Aptos Narrow"/>
            <b/>
            <color rgb="FFFFFFFF"/>
            <sz val="11"/>
          </rPr>
          <t>Number of material non-human decisions in this execution that no human confirmed.</t>
        </r>
      </text>
    </comment>
    <comment ref="CC1" authorId="0">
      <text>
        <r>
          <rPr>
            <rFont val="Aptos Narrow"/>
            <b/>
            <color rgb="FFFFFFFF"/>
            <sz val="11"/>
          </rPr>
          <t>Whether the specification requires human confirmation for this step.</t>
        </r>
      </text>
    </comment>
    <comment ref="CD1" authorId="0">
      <text>
        <r>
          <rPr>
            <rFont val="Aptos Narrow"/>
            <b/>
            <color rgb="FFFFFFFF"/>
            <sz val="11"/>
          </rPr>
          <t>TRUE when a step requiring human confirmation contains unconfirmed material non-human decisions.</t>
        </r>
      </text>
    </comment>
    <comment ref="CE1" authorId="0">
      <text>
        <r>
          <rPr>
            <rFont val="Aptos Narrow"/>
            <b/>
            <color rgb="FFFFFFFF"/>
            <sz val="11"/>
          </rPr>
          <t>TRUE when a drafting execution completed despite an unapproved or stale source at its step.</t>
        </r>
      </text>
    </comment>
    <comment ref="CF1" authorId="0">
      <text>
        <r>
          <rPr>
            <rFont val="Aptos Narrow"/>
            <b/>
            <color rgb="FFFFFFFF"/>
            <sz val="11"/>
          </rPr>
          <t>Source-usability verdict for the step this execution ran.</t>
        </r>
      </text>
    </comment>
    <comment ref="CG1" authorId="0">
      <text>
        <r>
          <rPr>
            <rFont val="Aptos Narrow"/>
            <b/>
            <color rgb="FFFFFFFF"/>
            <sz val="11"/>
          </rPr>
          <t>Composite-key echo: the step this execution ran when it was carried out by software, blank otherwise.</t>
        </r>
      </text>
    </comment>
    <comment ref="CH1" authorId="0">
      <text>
        <r>
          <rPr>
            <rFont val="Aptos Narrow"/>
            <b/>
            <color rgb="FFFFFFFF"/>
            <sz val="11"/>
          </rPr>
          <t>The control kind of the step this execution ran.</t>
        </r>
      </text>
    </comment>
    <comment ref="CI1" authorId="0">
      <text>
        <r>
          <rPr>
            <rFont val="Aptos Narrow"/>
            <b/>
            <color rgb="FFFFFFFF"/>
            <sz val="11"/>
          </rPr>
          <t>How many of this step's blocking clearances came from controls that have never once failed.</t>
        </r>
      </text>
    </comment>
    <comment ref="CJ1" authorId="0">
      <text>
        <r>
          <rPr>
            <rFont val="Aptos Narrow"/>
            <b/>
            <color rgb="FFFFFFFF"/>
            <sz val="11"/>
          </rPr>
          <t>TRUE when every blocking control evaluated on this step is one that has never returned a negative result.</t>
        </r>
      </text>
    </comment>
    <comment ref="CK1" authorId="0">
      <text>
        <r>
          <rPr>
            <rFont val="Aptos Narrow"/>
            <b/>
            <color rgb="FFFFFFFF"/>
            <sz val="11"/>
          </rPr>
          <t>How many authoritative sources this step read that were already out of SLA when it read them.</t>
        </r>
      </text>
    </comment>
    <comment ref="CL1" authorId="0">
      <text>
        <r>
          <rPr>
            <rFont val="Aptos Narrow"/>
            <b/>
            <color rgb="FFFFFFFF"/>
            <sz val="11"/>
          </rPr>
          <t>TRUE when this execution consumed at least one authoritative source that was stale at the time of reading.</t>
        </r>
      </text>
    </comment>
    <comment ref="CM1" authorId="0">
      <text>
        <r>
          <rPr>
            <rFont val="Aptos Narrow"/>
            <b/>
            <color rgb="FFFFFFFF"/>
            <sz val="11"/>
          </rPr>
          <t>TRUE when the as-of-now staleness verdict disagrees with the as-of-run verdict for the same step.</t>
        </r>
      </text>
    </comment>
    <comment ref="CN1" authorId="0">
      <text>
        <r>
          <rPr>
            <rFont val="Aptos Narrow"/>
            <b/>
            <color rgb="FFFFFFFF"/>
            <sz val="11"/>
          </rPr>
          <t>TRUE when the specification declared at least one verification or one blocking requirement for this step.</t>
        </r>
      </text>
    </comment>
    <comment ref="CO1" authorId="0">
      <text>
        <r>
          <rPr>
            <rFont val="Aptos Narrow"/>
            <b/>
            <color rgb="FFFFFFFF"/>
            <sz val="11"/>
          </rPr>
          <t>Total number of checks actually carried out on this execution, verifications plus blocking-control evaluations.</t>
        </r>
      </text>
    </comment>
    <comment ref="CP1" authorId="0">
      <text>
        <r>
          <rPr>
            <rFont val="Aptos Narrow"/>
            <b/>
            <color rgb="FFFFFFFF"/>
            <sz val="11"/>
          </rPr>
          <t>Total number of checks the specification called for on this step.</t>
        </r>
      </text>
    </comment>
    <comment ref="CQ1" authorId="0">
      <text>
        <r>
          <rPr>
            <rFont val="Aptos Narrow"/>
            <b/>
            <color rgb="FFFFFFFF"/>
            <sz val="11"/>
          </rPr>
          <t>TRUE when the specification asked for no verification and no blocking control on this step at all.</t>
        </r>
      </text>
    </comment>
    <comment ref="CR1" authorId="0">
      <text>
        <r>
          <rPr>
            <rFont val="Aptos Narrow"/>
            <b/>
            <color rgb="FFFFFFFF"/>
            <sz val="11"/>
          </rPr>
          <t>TRUE when this execution reads clean and nothing was ever declared that could have made it read otherwise.</t>
        </r>
      </text>
    </comment>
    <comment ref="CS1" authorId="0">
      <text>
        <r>
          <rPr>
            <rFont val="Aptos Narrow"/>
            <b/>
            <color rgb="FFFFFFFF"/>
            <sz val="11"/>
          </rPr>
          <t>TRUE when this execution is clean AND every declared check was actually performed.</t>
        </r>
      </text>
    </comment>
    <comment ref="CT1" authorId="0">
      <text>
        <r>
          <rPr>
            <rFont val="Aptos Narrow"/>
            <b/>
            <color rgb="FFFFFFFF"/>
            <sz val="11"/>
          </rPr>
          <t>Echoes the parent execution id when this step is vacuously clean.</t>
        </r>
      </text>
    </comment>
    <comment ref="CU1" authorId="0">
      <text>
        <r>
          <rPr>
            <rFont val="Aptos Narrow"/>
            <b/>
            <color rgb="FFFFFFFF"/>
            <sz val="11"/>
          </rPr>
          <t>How many of this step's passing verifications were observed by the executor with no evidence attached.</t>
        </r>
      </text>
    </comment>
    <comment ref="CV1" authorId="0">
      <text>
        <r>
          <rPr>
            <rFont val="Aptos Narrow"/>
            <b/>
            <color rgb="FFFFFFFF"/>
            <sz val="11"/>
          </rPr>
          <t>TRUE when every verification performed on this step was an uncorroborated self-witnessed pass.</t>
        </r>
      </text>
    </comment>
    <comment ref="CW1" authorId="0">
      <text>
        <r>
          <rPr>
            <rFont val="Aptos Narrow"/>
            <b/>
            <color rgb="FFFFFFFF"/>
            <sz val="11"/>
          </rPr>
          <t>Echoes the parent execution id when this step execution is a preparation step.</t>
        </r>
      </text>
    </comment>
    <comment ref="CX1" authorId="0">
      <text>
        <r>
          <rPr>
            <rFont val="Aptos Narrow"/>
            <b/>
            <color rgb="FFFFFFFF"/>
            <sz val="11"/>
          </rPr>
          <t>Echoes the parent execution id when this step execution is an approval step.</t>
        </r>
      </text>
    </comment>
    <comment ref="CY1" authorId="0">
      <text>
        <r>
          <rPr>
            <rFont val="Aptos Narrow"/>
            <b/>
            <color rgb="FFFFFFFF"/>
            <sz val="11"/>
          </rPr>
          <t>TRUE when this step's departure from spec is covered by an invoked exception or an approved change request against its procedure version.</t>
        </r>
      </text>
    </comment>
    <comment ref="CZ1" authorId="0">
      <text>
        <r>
          <rPr>
            <rFont val="Aptos Narrow"/>
            <b/>
            <color rgb="FFFFFFFF"/>
            <sz val="11"/>
          </rPr>
          <t>Whether the procedure version this step belongs to has an approved change request that could account for a departure.</t>
        </r>
      </text>
    </comment>
    <comment ref="DA1" authorId="0">
      <text>
        <r>
          <rPr>
            <rFont val="Aptos Narrow"/>
            <b/>
            <color rgb="FFFFFFFF"/>
            <sz val="11"/>
          </rPr>
          <t>The procedure version this step execution's specification step belongs to.</t>
        </r>
      </text>
    </comment>
    <comment ref="DB1" authorId="0">
      <text>
        <r>
          <rPr>
            <rFont val="Aptos Narrow"/>
            <b/>
            <color rgb="FFFFFFFF"/>
            <sz val="11"/>
          </rPr>
          <t>TRUE when this step departed from specification and no exception or approved change covers it.</t>
        </r>
      </text>
    </comment>
    <comment ref="DC1" authorId="0">
      <text>
        <r>
          <rPr>
            <rFont val="Aptos Narrow"/>
            <b/>
            <color rgb="FFFFFFFF"/>
            <sz val="11"/>
          </rPr>
          <t>Echoes the parent execution id when this step diverged without governance.</t>
        </r>
      </text>
    </comment>
    <comment ref="DD1" authorId="0">
      <text>
        <r>
          <rPr>
            <rFont val="Aptos Narrow"/>
            <b/>
            <color rgb="FFFFFFFF"/>
            <sz val="11"/>
          </rPr>
          <t>Echoes the parent execution id when this approval rested on self-attestation.</t>
        </r>
      </text>
    </comment>
    <comment ref="DE1" authorId="0">
      <text>
        <r>
          <rPr>
            <rFont val="Aptos Narrow"/>
            <b/>
            <color rgb="FFFFFFFF"/>
            <sz val="11"/>
          </rPr>
          <t>Exact PKO class IRI.</t>
        </r>
      </text>
    </comment>
    <comment ref="B1" authorId="0">
      <text>
        <r>
          <rPr>
            <rFont val="Aptos Narrow"/>
            <b/>
            <color rgb="FFFFFFFF"/>
            <sz val="11"/>
          </rPr>
          <t>Human-readable calculated display alias for the StepExecutions row.</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RequirementSatisfactions row.</t>
        </r>
      </text>
    </comment>
    <comment ref="C1" authorId="0">
      <text>
        <r>
          <rPr>
            <rFont val="Aptos Narrow"/>
            <b/>
            <color rgb="FFFFFFFF"/>
            <sz val="11"/>
          </rPr>
          <t>Execution being evaluated.</t>
        </r>
      </text>
    </comment>
    <comment ref="D1" authorId="0">
      <text>
        <r>
          <rPr>
            <rFont val="Aptos Narrow"/>
            <b/>
            <color rgb="FFFFFFFF"/>
            <sz val="11"/>
          </rPr>
          <t>Requirement evaluated.</t>
        </r>
      </text>
    </comment>
    <comment ref="E1" authorId="0">
      <text>
        <r>
          <rPr>
            <rFont val="Aptos Narrow"/>
            <b/>
            <color rgb="FFFFFFFF"/>
            <sz val="11"/>
          </rPr>
          <t>NotEvaluated, NotSatisfied, PartiallySatisfied, or Satisfied.</t>
        </r>
      </text>
    </comment>
    <comment ref="F1" authorId="0">
      <text>
        <r>
          <rPr>
            <rFont val="Aptos Narrow"/>
            <b/>
            <color rgb="FFFFFFFF"/>
            <sz val="11"/>
          </rPr>
          <t>Evidence supporting the evaluation.</t>
        </r>
      </text>
    </comment>
    <comment ref="G1" authorId="0">
      <text>
        <r>
          <rPr>
            <rFont val="Aptos Narrow"/>
            <b/>
            <color rgb="FFFFFFFF"/>
            <sz val="11"/>
          </rPr>
          <t>Agent that evaluated satisfaction.</t>
        </r>
      </text>
    </comment>
    <comment ref="H1" authorId="0">
      <text>
        <r>
          <rPr>
            <rFont val="Aptos Narrow"/>
            <b/>
            <color rgb="FFFFFFFF"/>
            <sz val="11"/>
          </rPr>
          <t>Evaluation timestamp.</t>
        </r>
      </text>
    </comment>
    <comment ref="I1" authorId="0">
      <text>
        <r>
          <rPr>
            <rFont val="Aptos Narrow"/>
            <b/>
            <color rgb="FFFFFFFF"/>
            <sz val="11"/>
          </rPr>
          <t>Whether the requirement being evaluated on this satisfaction row is a blocking control.</t>
        </r>
      </text>
    </comment>
    <comment ref="J1" authorId="0">
      <text>
        <r>
          <rPr>
            <rFont val="Aptos Narrow"/>
            <b/>
            <color rgb="FFFFFFFF"/>
            <sz val="11"/>
          </rPr>
          <t>TRUE only when the requirement is recorded as fully Satisfied. PartiallySatisfied, Unsatisfied, Waived, and blank are all FALSE.</t>
        </r>
      </text>
    </comment>
    <comment ref="K1" authorId="0">
      <text>
        <r>
          <rPr>
            <rFont val="Aptos Narrow"/>
            <b/>
            <color rgb="FFFFFFFF"/>
            <sz val="11"/>
          </rPr>
          <t>TRUE when a blocking requirement is recorded at anything less than fully Satisfied. This is the control-failure witness at the requirement grain.</t>
        </r>
      </text>
    </comment>
    <comment ref="L1" authorId="0">
      <text>
        <r>
          <rPr>
            <rFont val="Aptos Narrow"/>
            <b/>
            <color rgb="FFFFFFFF"/>
            <sz val="11"/>
          </rPr>
          <t>Echoes the parent StepExecution id only when this row is a blocking-unmet violation; empty string otherwise.</t>
        </r>
      </text>
    </comment>
    <comment ref="M1" authorId="0">
      <text>
        <r>
          <rPr>
            <rFont val="Aptos Narrow"/>
            <b/>
            <color rgb="FFFFFFFF"/>
            <sz val="11"/>
          </rPr>
          <t>Echoes the parent StepExecution id when this satisfaction row concerns a blocking requirement.</t>
        </r>
      </text>
    </comment>
    <comment ref="N1" authorId="0">
      <text>
        <r>
          <rPr>
            <rFont val="Aptos Narrow"/>
            <b/>
            <color rgb="FFFFFFFF"/>
            <sz val="11"/>
          </rPr>
          <t>Echoes the Requirement id only when this evaluation came out at less than fully Satisfied.</t>
        </r>
      </text>
    </comment>
    <comment ref="O1" authorId="0">
      <text>
        <r>
          <rPr>
            <rFont val="Aptos Narrow"/>
            <b/>
            <color rgb="FFFFFFFF"/>
            <sz val="11"/>
          </rPr>
          <t>What kind of agent evaluated this requirement satisfaction.</t>
        </r>
      </text>
    </comment>
    <comment ref="P1" authorId="0">
      <text>
        <r>
          <rPr>
            <rFont val="Aptos Narrow"/>
            <b/>
            <color rgb="FFFFFFFF"/>
            <sz val="11"/>
          </rPr>
          <t>TRUE when a blocking requirement was evaluated by a non-human agent.</t>
        </r>
      </text>
    </comment>
    <comment ref="Q1" authorId="0">
      <text>
        <r>
          <rPr>
            <rFont val="Aptos Narrow"/>
            <b/>
            <color rgb="FFFFFFFF"/>
            <sz val="11"/>
          </rPr>
          <t>Whether the requirement this row evaluates has a computed witness behind it.</t>
        </r>
      </text>
    </comment>
    <comment ref="R1" authorId="0">
      <text>
        <r>
          <rPr>
            <rFont val="Aptos Narrow"/>
            <b/>
            <color rgb="FFFFFFFF"/>
            <sz val="11"/>
          </rPr>
          <t>TRUE when a blocking requirement is recorded as Satisfied purely on human assertion, with no computed predicate behind it.</t>
        </r>
      </text>
    </comment>
    <comment ref="S1" authorId="0">
      <text>
        <r>
          <rPr>
            <rFont val="Aptos Narrow"/>
            <b/>
            <color rgb="FFFFFFFF"/>
            <sz val="11"/>
          </rPr>
          <t>Echoes the grandparent procedure execution id for assertion-only satisfactions.</t>
        </r>
      </text>
    </comment>
    <comment ref="T1" authorId="0">
      <text>
        <r>
          <rPr>
            <rFont val="Aptos Narrow"/>
            <b/>
            <color rgb="FFFFFFFF"/>
            <sz val="11"/>
          </rPr>
          <t>The procedure execution this satisfaction ultimately belongs to.</t>
        </r>
      </text>
    </comment>
    <comment ref="U1" authorId="0">
      <text>
        <r>
          <rPr>
            <rFont val="Aptos Narrow"/>
            <b/>
            <color rgb="FFFFFFFF"/>
            <sz val="11"/>
          </rPr>
          <t>Echoes the step-execution id when a satisfaction level was actually recorded, blank otherwise.</t>
        </r>
      </text>
    </comment>
    <comment ref="V1" authorId="0">
      <text>
        <r>
          <rPr>
            <rFont val="Aptos Narrow"/>
            <b/>
            <color rgb="FFFFFFFF"/>
            <sz val="11"/>
          </rPr>
          <t>TRUE when a human evaluated this requirement satisfaction.</t>
        </r>
      </text>
    </comment>
    <comment ref="W1" authorId="0">
      <text>
        <r>
          <rPr>
            <rFont val="Aptos Narrow"/>
            <b/>
            <color rgb="FFFFFFFF"/>
            <sz val="11"/>
          </rPr>
          <t>The requirement's type, e.g. Approval, Control, Privacy.</t>
        </r>
      </text>
    </comment>
    <comment ref="X1" authorId="0">
      <text>
        <r>
          <rPr>
            <rFont val="Aptos Narrow"/>
            <b/>
            <color rgb="FFFFFFFF"/>
            <sz val="11"/>
          </rPr>
          <t>TRUE when an approval-type requirement is not fully satisfied, or was not evaluated by a human.</t>
        </r>
      </text>
    </comment>
    <comment ref="Y1" authorId="0">
      <text>
        <r>
          <rPr>
            <rFont val="Aptos Narrow"/>
            <b/>
            <color rgb="FFFFFFFF"/>
            <sz val="11"/>
          </rPr>
          <t>The run this satisfaction belongs to.</t>
        </r>
      </text>
    </comment>
    <comment ref="Z1" authorId="0">
      <text>
        <r>
          <rPr>
            <rFont val="Aptos Narrow"/>
            <b/>
            <color rgb="FFFFFFFF"/>
            <sz val="11"/>
          </rPr>
          <t>Echoes the run id when this is an invalid approval, blank otherwise.</t>
        </r>
      </text>
    </comment>
    <comment ref="AA1" authorId="0">
      <text>
        <r>
          <rPr>
            <rFont val="Aptos Narrow"/>
            <b/>
            <color rgb="FFFFFFFF"/>
            <sz val="11"/>
          </rPr>
          <t>Whether the requirement behind this satisfaction record has never once returned a negative result.</t>
        </r>
      </text>
    </comment>
    <comment ref="AB1" authorId="0">
      <text>
        <r>
          <rPr>
            <rFont val="Aptos Narrow"/>
            <b/>
            <color rgb="FFFFFFFF"/>
            <sz val="11"/>
          </rPr>
          <t>TRUE when this record cleared a step against a blocking control that has never produced a negative outcome.</t>
        </r>
      </text>
    </comment>
    <comment ref="AC1" authorId="0">
      <text>
        <r>
          <rPr>
            <rFont val="Aptos Narrow"/>
            <b/>
            <color rgb="FFFFFFFF"/>
            <sz val="11"/>
          </rPr>
          <t>Echoes the step execution id when this clearance came from an unfalsified control.</t>
        </r>
      </text>
    </comment>
    <comment ref="AD1" authorId="0">
      <text>
        <r>
          <rPr>
            <rFont val="Aptos Narrow"/>
            <b/>
            <color rgb="FFFFFFFF"/>
            <sz val="11"/>
          </rPr>
          <t>The specification step behind the step execution this satisfaction was recorded against.</t>
        </r>
      </text>
    </comment>
    <comment ref="AE1" authorId="0">
      <text>
        <r>
          <rPr>
            <rFont val="Aptos Narrow"/>
            <b/>
            <color rgb="FFFFFFFF"/>
            <sz val="11"/>
          </rPr>
          <t>The StepRequirements binding this satisfaction record exercised.</t>
        </r>
      </text>
    </comment>
    <comment ref="AF1" authorId="0">
      <text>
        <r>
          <rPr>
            <rFont val="Aptos Narrow"/>
            <b/>
            <color rgb="FFFFFFFF"/>
            <sz val="11"/>
          </rPr>
          <t>The agent who executed the step this satisfaction record scores.</t>
        </r>
      </text>
    </comment>
    <comment ref="AG1" authorId="0">
      <text>
        <r>
          <rPr>
            <rFont val="Aptos Narrow"/>
            <b/>
            <color rgb="FFFFFFFF"/>
            <sz val="11"/>
          </rPr>
          <t>TRUE when the agent who scored this control is the same agent who performed the step being scored.</t>
        </r>
      </text>
    </comment>
    <comment ref="AH1" authorId="0">
      <text>
        <r>
          <rPr>
            <rFont val="Aptos Narrow"/>
            <b/>
            <color rgb="FFFFFFFF"/>
            <sz val="11"/>
          </rPr>
          <t>The agent accountable for the whole procedure execution this satisfaction sits inside.</t>
        </r>
      </text>
    </comment>
    <comment ref="AI1" authorId="0">
      <text>
        <r>
          <rPr>
            <rFont val="Aptos Narrow"/>
            <b/>
            <color rgb="FFFFFFFF"/>
            <sz val="11"/>
          </rPr>
          <t>TRUE when the agent scoring this control is the agent accountable for the execution it belongs to.</t>
        </r>
      </text>
    </comment>
    <comment ref="AJ1" authorId="0">
      <text>
        <r>
          <rPr>
            <rFont val="Aptos Narrow"/>
            <b/>
            <color rgb="FFFFFFFF"/>
            <sz val="11"/>
          </rPr>
          <t>TRUE when a blocking control's only evidence is an assertion made by someone with an interest in the outcome.</t>
        </r>
      </text>
    </comment>
    <comment ref="AK1" authorId="0">
      <text>
        <r>
          <rPr>
            <rFont val="Aptos Narrow"/>
            <b/>
            <color rgb="FFFFFFFF"/>
            <sz val="11"/>
          </rPr>
          <t>TRUE when this satisfaction record carries any evidence text at all.</t>
        </r>
      </text>
    </comment>
    <comment ref="AL1" authorId="0">
      <text>
        <r>
          <rPr>
            <rFont val="Aptos Narrow"/>
            <b/>
            <color rgb="FFFFFFFF"/>
            <sz val="11"/>
          </rPr>
          <t>TRUE when a blocking control was cleared with no computed witness and no written justification.</t>
        </r>
      </text>
    </comment>
    <comment ref="AM1" authorId="0">
      <text>
        <r>
          <rPr>
            <rFont val="Aptos Narrow"/>
            <b/>
            <color rgb="FFFFFFFF"/>
            <sz val="11"/>
          </rPr>
          <t>Echoes the parent execution id when this record is an interested-party assertion.</t>
        </r>
      </text>
    </comment>
    <comment ref="AN1" authorId="0">
      <text>
        <r>
          <rPr>
            <rFont val="Aptos Narrow"/>
            <b/>
            <color rgb="FFFFFFFF"/>
            <sz val="11"/>
          </rPr>
          <t>TRUE when this record scores a blocking control that has a computed witness behind it.</t>
        </r>
      </text>
    </comment>
    <comment ref="AO1" authorId="0">
      <text>
        <r>
          <rPr>
            <rFont val="Aptos Narrow"/>
            <b/>
            <color rgb="FFFFFFFF"/>
            <sz val="11"/>
          </rPr>
          <t>Echoes the parent execution id when this control was computationally witnessed.</t>
        </r>
      </text>
    </comment>
    <comment ref="AP1" authorId="0">
      <text>
        <r>
          <rPr>
            <rFont val="Aptos Narrow"/>
            <b/>
            <color rgb="FFFFFFFF"/>
            <sz val="11"/>
          </rPr>
          <t>The agent who executed the step this satisfaction record scores.</t>
        </r>
      </text>
    </comment>
    <comment ref="AQ1" authorId="0">
      <text>
        <r>
          <rPr>
            <rFont val="Aptos Narrow"/>
            <b/>
            <color rgb="FFFFFFFF"/>
            <sz val="11"/>
          </rPr>
          <t>TRUE when this control was scored after the run it belongs to had already been attested.</t>
        </r>
      </text>
    </comment>
    <comment ref="AR1" authorId="0">
      <text>
        <r>
          <rPr>
            <rFont val="Aptos Narrow"/>
            <b/>
            <color rgb="FFFFFFFF"/>
            <sz val="11"/>
          </rPr>
          <t>When the parent execution was attested, if it has been.</t>
        </r>
      </text>
    </comment>
    <comment ref="AS1" authorId="0">
      <text>
        <r>
          <rPr>
            <rFont val="Aptos Narrow"/>
            <b/>
            <color rgb="FFFFFFFF"/>
            <sz val="11"/>
          </rPr>
          <t>Echoes the parent execution id when this control was scored after signature.</t>
        </r>
      </text>
    </comment>
    <comment ref="AT1" authorId="0">
      <text>
        <r>
          <rPr>
            <rFont val="Aptos Narrow"/>
            <b/>
            <color rgb="FFFFFFFF"/>
            <sz val="11"/>
          </rPr>
          <t>Exact PKO class IRI.</t>
        </r>
      </text>
    </comment>
    <comment ref="B1" authorId="0">
      <text>
        <r>
          <rPr>
            <rFont val="Aptos Narrow"/>
            <b/>
            <color rgb="FFFFFFFF"/>
            <sz val="11"/>
          </rPr>
          <t>Human-readable calculated display alias for the RequirementSatisfactions row.</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Errors row.</t>
        </r>
      </text>
    </comment>
    <comment ref="C1" authorId="0">
      <text>
        <r>
          <rPr>
            <rFont val="Aptos Narrow"/>
            <b/>
            <color rgb="FFFFFFFF"/>
            <sz val="11"/>
          </rPr>
          <t>Error label.</t>
        </r>
      </text>
    </comment>
    <comment ref="D1" authorId="0">
      <text>
        <r>
          <rPr>
            <rFont val="Aptos Narrow"/>
            <b/>
            <color rgb="FFFFFFFF"/>
            <sz val="11"/>
          </rPr>
          <t>Error code; maps to pko:errorCode.</t>
        </r>
      </text>
    </comment>
    <comment ref="E1" authorId="0">
      <text>
        <r>
          <rPr>
            <rFont val="Aptos Narrow"/>
            <b/>
            <color rgb="FFFFFFFF"/>
            <sz val="11"/>
          </rPr>
          <t>Known or suspected cause; maps to pko:errorCause.</t>
        </r>
      </text>
    </comment>
    <comment ref="F1" authorId="0">
      <text>
        <r>
          <rPr>
            <rFont val="Aptos Narrow"/>
            <b/>
            <color rgb="FFFFFFFF"/>
            <sz val="11"/>
          </rPr>
          <t>Exact PKO class IRI.</t>
        </r>
      </text>
    </comment>
    <comment ref="B1" authorId="0">
      <text>
        <r>
          <rPr>
            <rFont val="Aptos Narrow"/>
            <b/>
            <color rgb="FFFFFFFF"/>
            <sz val="11"/>
          </rPr>
          <t>Human-readable calculated display alias for the Errors row.</t>
        </r>
      </text>
    </comment>
  </commentList>
</comments>
</file>

<file path=xl/comments3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IssueOccurrences row.</t>
        </r>
      </text>
    </comment>
    <comment ref="C1" authorId="0">
      <text>
        <r>
          <rPr>
            <rFont val="Aptos Narrow"/>
            <b/>
            <color rgb="FFFFFFFF"/>
            <sz val="11"/>
          </rPr>
          <t>Step execution during which the issue occurred.</t>
        </r>
      </text>
    </comment>
    <comment ref="D1" authorId="0">
      <text>
        <r>
          <rPr>
            <rFont val="Aptos Narrow"/>
            <b/>
            <color rgb="FFFFFFFF"/>
            <sz val="11"/>
          </rPr>
          <t>Error encountered.</t>
        </r>
      </text>
    </comment>
    <comment ref="E1" authorId="0">
      <text>
        <r>
          <rPr>
            <rFont val="Aptos Narrow"/>
            <b/>
            <color rgb="FFFFFFFF"/>
            <sz val="11"/>
          </rPr>
          <t>Agent that encountered or reported the issue.</t>
        </r>
      </text>
    </comment>
    <comment ref="F1" authorId="0">
      <text>
        <r>
          <rPr>
            <rFont val="Aptos Narrow"/>
            <b/>
            <color rgb="FFFFFFFF"/>
            <sz val="11"/>
          </rPr>
          <t>Occurrence time.</t>
        </r>
      </text>
    </comment>
    <comment ref="G1" authorId="0">
      <text>
        <r>
          <rPr>
            <rFont val="Aptos Narrow"/>
            <b/>
            <color rgb="FFFFFFFF"/>
            <sz val="11"/>
          </rPr>
          <t>Execution-specific cause; maps to pko:issueCause.</t>
        </r>
      </text>
    </comment>
    <comment ref="H1" authorId="0">
      <text>
        <r>
          <rPr>
            <rFont val="Aptos Narrow"/>
            <b/>
            <color rgb="FFFFFFFF"/>
            <sz val="11"/>
          </rPr>
          <t>Applied solution; maps to pko:issueSolution.</t>
        </r>
      </text>
    </comment>
    <comment ref="I1" authorId="0">
      <text>
        <r>
          <rPr>
            <rFont val="Aptos Narrow"/>
            <b/>
            <color rgb="FFFFFFFF"/>
            <sz val="11"/>
          </rPr>
          <t>Open, Monitoring, Resolved, or Closed.</t>
        </r>
      </text>
    </comment>
    <comment ref="J1" authorId="0">
      <text>
        <r>
          <rPr>
            <rFont val="Aptos Narrow"/>
            <b/>
            <color rgb="FFFFFFFF"/>
            <sz val="11"/>
          </rPr>
          <t>TRUE when this issue occurrence has not been closed out.</t>
        </r>
      </text>
    </comment>
    <comment ref="K1" authorId="0">
      <text>
        <r>
          <rPr>
            <rFont val="Aptos Narrow"/>
            <b/>
            <color rgb="FFFFFFFF"/>
            <sz val="11"/>
          </rPr>
          <t>Echoes the step-execution id when the issue is unresolved, blank otherwise.</t>
        </r>
      </text>
    </comment>
    <comment ref="L1" authorId="0">
      <text>
        <r>
          <rPr>
            <rFont val="Aptos Narrow"/>
            <b/>
            <color rgb="FFFFFFFF"/>
            <sz val="11"/>
          </rPr>
          <t>Exact PKO class IRI.</t>
        </r>
      </text>
    </comment>
    <comment ref="B1" authorId="0">
      <text>
        <r>
          <rPr>
            <rFont val="Aptos Narrow"/>
            <b/>
            <color rgb="FFFFFFFF"/>
            <sz val="11"/>
          </rPr>
          <t>Human-readable calculated display alias for the IssueOccurrences row.</t>
        </r>
      </text>
    </comment>
  </commentList>
</comments>
</file>

<file path=xl/comments4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UserQuestions row.</t>
        </r>
      </text>
    </comment>
    <comment ref="C1" authorId="0">
      <text>
        <r>
          <rPr>
            <rFont val="Aptos Narrow"/>
            <b/>
            <color rgb="FFFFFFFF"/>
            <sz val="11"/>
          </rPr>
          <t>Execution context for the question.</t>
        </r>
      </text>
    </comment>
    <comment ref="D1" authorId="0">
      <text>
        <r>
          <rPr>
            <rFont val="Aptos Narrow"/>
            <b/>
            <color rgb="FFFFFFFF"/>
            <sz val="11"/>
          </rPr>
          <t>Agent asking the question.</t>
        </r>
      </text>
    </comment>
    <comment ref="E1" authorId="0">
      <text>
        <r>
          <rPr>
            <rFont val="Aptos Narrow"/>
            <b/>
            <color rgb="FFFFFFFF"/>
            <sz val="11"/>
          </rPr>
          <t>Question time.</t>
        </r>
      </text>
    </comment>
    <comment ref="F1" authorId="0">
      <text>
        <r>
          <rPr>
            <rFont val="Aptos Narrow"/>
            <b/>
            <color rgb="FFFFFFFF"/>
            <sz val="11"/>
          </rPr>
          <t>Question text; maps to pko:questionByUser.</t>
        </r>
      </text>
    </comment>
    <comment ref="G1" authorId="0">
      <text>
        <r>
          <rPr>
            <rFont val="Aptos Narrow"/>
            <b/>
            <color rgb="FFFFFFFF"/>
            <sz val="11"/>
          </rPr>
          <t>FAQ used to resolve the question.</t>
        </r>
      </text>
    </comment>
    <comment ref="H1" authorId="0">
      <text>
        <r>
          <rPr>
            <rFont val="Aptos Narrow"/>
            <b/>
            <color rgb="FFFFFFFF"/>
            <sz val="11"/>
          </rPr>
          <t>Resource that addressed the question.</t>
        </r>
      </text>
    </comment>
    <comment ref="I1" authorId="0">
      <text>
        <r>
          <rPr>
            <rFont val="Aptos Narrow"/>
            <b/>
            <color rgb="FFFFFFFF"/>
            <sz val="11"/>
          </rPr>
          <t>Open, Answered, Escalated, or Closed.</t>
        </r>
      </text>
    </comment>
    <comment ref="J1" authorId="0">
      <text>
        <r>
          <rPr>
            <rFont val="Aptos Narrow"/>
            <b/>
            <color rgb="FFFFFFFF"/>
            <sz val="11"/>
          </rPr>
          <t>Exact PKO class IRI.</t>
        </r>
      </text>
    </comment>
    <comment ref="B1" authorId="0">
      <text>
        <r>
          <rPr>
            <rFont val="Aptos Narrow"/>
            <b/>
            <color rgb="FFFFFFFF"/>
            <sz val="11"/>
          </rPr>
          <t>Human-readable calculated display alias for the UserQuestions row.</t>
        </r>
      </text>
    </comment>
  </commentList>
</comments>
</file>

<file path=xl/comments4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UserFeedback row.</t>
        </r>
      </text>
    </comment>
    <comment ref="C1" authorId="0">
      <text>
        <r>
          <rPr>
            <rFont val="Aptos Narrow"/>
            <b/>
            <color rgb="FFFFFFFF"/>
            <sz val="11"/>
          </rPr>
          <t>Execution receiving feedback.</t>
        </r>
      </text>
    </comment>
    <comment ref="D1" authorId="0">
      <text>
        <r>
          <rPr>
            <rFont val="Aptos Narrow"/>
            <b/>
            <color rgb="FFFFFFFF"/>
            <sz val="11"/>
          </rPr>
          <t>Agent providing feedback.</t>
        </r>
      </text>
    </comment>
    <comment ref="E1" authorId="0">
      <text>
        <r>
          <rPr>
            <rFont val="Aptos Narrow"/>
            <b/>
            <color rgb="FFFFFFFF"/>
            <sz val="11"/>
          </rPr>
          <t>Feedback time.</t>
        </r>
      </text>
    </comment>
    <comment ref="F1" authorId="0">
      <text>
        <r>
          <rPr>
            <rFont val="Aptos Narrow"/>
            <b/>
            <color rgb="FFFFFFFF"/>
            <sz val="11"/>
          </rPr>
          <t>Feedback statement.</t>
        </r>
      </text>
    </comment>
    <comment ref="G1" authorId="0">
      <text>
        <r>
          <rPr>
            <rFont val="Aptos Narrow"/>
            <b/>
            <color rgb="FFFFFFFF"/>
            <sz val="11"/>
          </rPr>
          <t>Accepted, Rejected, UnderReview, or Deferred.</t>
        </r>
      </text>
    </comment>
    <comment ref="H1" authorId="0">
      <text>
        <r>
          <rPr>
            <rFont val="Aptos Narrow"/>
            <b/>
            <color rgb="FFFFFFFF"/>
            <sz val="11"/>
          </rPr>
          <t>Related change request identifier.</t>
        </r>
      </text>
    </comment>
    <comment ref="I1" authorId="0">
      <text>
        <r>
          <rPr>
            <rFont val="Aptos Narrow"/>
            <b/>
            <color rgb="FFFFFFFF"/>
            <sz val="11"/>
          </rPr>
          <t>Exact PKO class IRI.</t>
        </r>
      </text>
    </comment>
    <comment ref="B1" authorId="0">
      <text>
        <r>
          <rPr>
            <rFont val="Aptos Narrow"/>
            <b/>
            <color rgb="FFFFFFFF"/>
            <sz val="11"/>
          </rPr>
          <t>Human-readable calculated display alias for the UserFeedback row.</t>
        </r>
      </text>
    </comment>
  </commentList>
</comments>
</file>

<file path=xl/comments4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StewardshipAssignments row.</t>
        </r>
      </text>
    </comment>
    <comment ref="C1" authorId="0">
      <text>
        <r>
          <rPr>
            <rFont val="Aptos Narrow"/>
            <b/>
            <color rgb="FFFFFFFF"/>
            <sz val="11"/>
          </rPr>
          <t>Governed procedure version.</t>
        </r>
      </text>
    </comment>
    <comment ref="D1" authorId="0">
      <text>
        <r>
          <rPr>
            <rFont val="Aptos Narrow"/>
            <b/>
            <color rgb="FFFFFFFF"/>
            <sz val="11"/>
          </rPr>
          <t>Role responsible for health, review, and maintenance.</t>
        </r>
      </text>
    </comment>
    <comment ref="E1" authorId="0">
      <text>
        <r>
          <rPr>
            <rFont val="Aptos Narrow"/>
            <b/>
            <color rgb="FFFFFFFF"/>
            <sz val="11"/>
          </rPr>
          <t>Role authorized to approve semantic changes.</t>
        </r>
      </text>
    </comment>
    <comment ref="F1" authorId="0">
      <text>
        <r>
          <rPr>
            <rFont val="Aptos Narrow"/>
            <b/>
            <color rgb="FFFFFFFF"/>
            <sz val="11"/>
          </rPr>
          <t>Start of stewardship interval.</t>
        </r>
      </text>
    </comment>
    <comment ref="G1" authorId="0">
      <text>
        <r>
          <rPr>
            <rFont val="Aptos Narrow"/>
            <b/>
            <color rgb="FFFFFFFF"/>
            <sz val="11"/>
          </rPr>
          <t>End of stewardship interval.</t>
        </r>
      </text>
    </comment>
    <comment ref="H1" authorId="0">
      <text>
        <r>
          <rPr>
            <rFont val="Aptos Narrow"/>
            <b/>
            <color rgb="FFFFFFFF"/>
            <sz val="11"/>
          </rPr>
          <t>Required review cadence.</t>
        </r>
      </text>
    </comment>
    <comment ref="I1" authorId="0">
      <text>
        <r>
          <rPr>
            <rFont val="Aptos Narrow"/>
            <b/>
            <color rgb="FFFFFFFF"/>
            <sz val="11"/>
          </rPr>
          <t>How many review events have ever been recorded for the procedure version this assignment stewards.</t>
        </r>
      </text>
    </comment>
    <comment ref="J1" authorId="0">
      <text>
        <r>
          <rPr>
            <rFont val="Aptos Narrow"/>
            <b/>
            <color rgb="FFFFFFFF"/>
            <sz val="11"/>
          </rPr>
          <t>TRUE if at least one review event exists for the stewarded procedure version.</t>
        </r>
      </text>
    </comment>
    <comment ref="K1" authorId="0">
      <text>
        <r>
          <rPr>
            <rFont val="Aptos Narrow"/>
            <b/>
            <color rgb="FFFFFFFF"/>
            <sz val="11"/>
          </rPr>
          <t>The evaluation context this row's time-dependent witnesses are judged under.</t>
        </r>
      </text>
    </comment>
    <comment ref="L1" authorId="0">
      <text>
        <r>
          <rPr>
            <rFont val="Aptos Narrow"/>
            <b/>
            <color rgb="FFFFFFFF"/>
            <sz val="11"/>
          </rPr>
          <t>The evaluation instant this row's time-dependent witnesses are judged against.</t>
        </r>
      </text>
    </comment>
    <comment ref="M1" authorId="0">
      <text>
        <r>
          <rPr>
            <rFont val="Aptos Narrow"/>
            <b/>
            <color rgb="FFFFFFFF"/>
            <sz val="11"/>
          </rPr>
          <t>TRUE when this stewardship assignment is in force right now.</t>
        </r>
      </text>
    </comment>
    <comment ref="N1" authorId="0">
      <text>
        <r>
          <rPr>
            <rFont val="Aptos Narrow"/>
            <b/>
            <color rgb="FFFFFFFF"/>
            <sz val="11"/>
          </rPr>
          <t>Extension class IRI.</t>
        </r>
      </text>
    </comment>
    <comment ref="B1" authorId="0">
      <text>
        <r>
          <rPr>
            <rFont val="Aptos Narrow"/>
            <b/>
            <color rgb="FFFFFFFF"/>
            <sz val="11"/>
          </rPr>
          <t>Human-readable calculated display alias for the StewardshipAssignments row.</t>
        </r>
      </text>
    </comment>
  </commentList>
</comments>
</file>

<file path=xl/comments4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ChangeRequests row.</t>
        </r>
      </text>
    </comment>
    <comment ref="C1" authorId="0">
      <text>
        <r>
          <rPr>
            <rFont val="Aptos Narrow"/>
            <b/>
            <color rgb="FFFFFFFF"/>
            <sz val="11"/>
          </rPr>
          <t>Procedure version affected.</t>
        </r>
      </text>
    </comment>
    <comment ref="D1" authorId="0">
      <text>
        <r>
          <rPr>
            <rFont val="Aptos Narrow"/>
            <b/>
            <color rgb="FFFFFFFF"/>
            <sz val="11"/>
          </rPr>
          <t>Change title.</t>
        </r>
      </text>
    </comment>
    <comment ref="E1" authorId="0">
      <text>
        <r>
          <rPr>
            <rFont val="Aptos Narrow"/>
            <b/>
            <color rgb="FFFFFFFF"/>
            <sz val="11"/>
          </rPr>
          <t>Defect, Enhancement, NewRequirement, DataOperation, or BreakingChange.</t>
        </r>
      </text>
    </comment>
    <comment ref="F1" authorId="0">
      <text>
        <r>
          <rPr>
            <rFont val="Aptos Narrow"/>
            <b/>
            <color rgb="FFFFFFFF"/>
            <sz val="11"/>
          </rPr>
          <t>Draft, UnderReview, Approved, Rejected, Implemented, or Closed.</t>
        </r>
      </text>
    </comment>
    <comment ref="G1" authorId="0">
      <text>
        <r>
          <rPr>
            <rFont val="Aptos Narrow"/>
            <b/>
            <color rgb="FFFFFFFF"/>
            <sz val="11"/>
          </rPr>
          <t>Agent requesting the change.</t>
        </r>
      </text>
    </comment>
    <comment ref="H1" authorId="0">
      <text>
        <r>
          <rPr>
            <rFont val="Aptos Narrow"/>
            <b/>
            <color rgb="FFFFFFFF"/>
            <sz val="11"/>
          </rPr>
          <t>Role authorized to approve the change.</t>
        </r>
      </text>
    </comment>
    <comment ref="I1" authorId="0">
      <text>
        <r>
          <rPr>
            <rFont val="Aptos Narrow"/>
            <b/>
            <color rgb="FFFFFFFF"/>
            <sz val="11"/>
          </rPr>
          <t>Request time.</t>
        </r>
      </text>
    </comment>
    <comment ref="J1" authorId="0">
      <text>
        <r>
          <rPr>
            <rFont val="Aptos Narrow"/>
            <b/>
            <color rgb="FFFFFFFF"/>
            <sz val="11"/>
          </rPr>
          <t>Decision time.</t>
        </r>
      </text>
    </comment>
    <comment ref="K1" authorId="0">
      <text>
        <r>
          <rPr>
            <rFont val="Aptos Narrow"/>
            <b/>
            <color rgb="FFFFFFFF"/>
            <sz val="11"/>
          </rPr>
          <t>Expected effect on commitments, data, projections, and tests.</t>
        </r>
      </text>
    </comment>
    <comment ref="L1" authorId="0">
      <text>
        <r>
          <rPr>
            <rFont val="Aptos Narrow"/>
            <b/>
            <color rgb="FFFFFFFF"/>
            <sz val="11"/>
          </rPr>
          <t>TRUE while the change request is still outstanding. An Approved request stays open until ImplementedAt records that it actually landed — approval is a decision, not an outcome.</t>
        </r>
      </text>
    </comment>
    <comment ref="M1" authorId="0">
      <text>
        <r>
          <rPr>
            <rFont val="Aptos Narrow"/>
            <b/>
            <color rgb="FFFFFFFF"/>
            <sz val="11"/>
          </rPr>
          <t>Echoes the ProcedureVersion id only for change requests still open.</t>
        </r>
      </text>
    </comment>
    <comment ref="N1" authorId="0">
      <text>
        <r>
          <rPr>
            <rFont val="Aptos Narrow"/>
            <b/>
            <color rgb="FFFFFFFF"/>
            <sz val="11"/>
          </rPr>
          <t>TRUE when a decision timestamp has been recorded.</t>
        </r>
      </text>
    </comment>
    <comment ref="O1" authorId="0">
      <text>
        <r>
          <rPr>
            <rFont val="Aptos Narrow"/>
            <b/>
            <color rgb="FFFFFFFF"/>
            <sz val="11"/>
          </rPr>
          <t>The evaluation context this row's time-dependent witnesses are judged under.</t>
        </r>
      </text>
    </comment>
    <comment ref="P1" authorId="0">
      <text>
        <r>
          <rPr>
            <rFont val="Aptos Narrow"/>
            <b/>
            <color rgb="FFFFFFFF"/>
            <sz val="11"/>
          </rPr>
          <t>The evaluation instant this row's time-dependent witnesses are judged against.</t>
        </r>
      </text>
    </comment>
    <comment ref="Q1" authorId="0">
      <text>
        <r>
          <rPr>
            <rFont val="Aptos Narrow"/>
            <b/>
            <color rgb="FFFFFFFF"/>
            <sz val="11"/>
          </rPr>
          <t>Days from request to decision, or to now if still undecided.</t>
        </r>
      </text>
    </comment>
    <comment ref="R1" authorId="0">
      <text>
        <r>
          <rPr>
            <rFont val="Aptos Narrow"/>
            <b/>
            <color rgb="FFFFFFFF"/>
            <sz val="11"/>
          </rPr>
          <t>TRUE when the request is in an open status and has no decision recorded.</t>
        </r>
      </text>
    </comment>
    <comment ref="S1" authorId="0">
      <text>
        <r>
          <rPr>
            <rFont val="Aptos Narrow"/>
            <b/>
            <color rgb="FFFFFFFF"/>
            <sz val="11"/>
          </rPr>
          <t>TRUE when an undecided change request has been pending more than fourteen days.</t>
        </r>
      </text>
    </comment>
    <comment ref="T1" authorId="0">
      <text>
        <r>
          <rPr>
            <rFont val="Aptos Narrow"/>
            <b/>
            <color rgb="FFFFFFFF"/>
            <sz val="11"/>
          </rPr>
          <t>The agent currently holding the authority role that owes a decision on this request.</t>
        </r>
      </text>
    </comment>
    <comment ref="U1" authorId="0">
      <text>
        <r>
          <rPr>
            <rFont val="Aptos Narrow"/>
            <b/>
            <color rgb="FFFFFFFF"/>
            <sz val="11"/>
          </rPr>
          <t>TRUE when the agent who raised the request is also the agent who decides it.</t>
        </r>
      </text>
    </comment>
    <comment ref="V1" authorId="0">
      <text>
        <r>
          <rPr>
            <rFont val="Aptos Narrow"/>
            <b/>
            <color rgb="FFFFFFFF"/>
            <sz val="11"/>
          </rPr>
          <t>TRUE when this request is formally before its authority and no decision has been recorded.</t>
        </r>
      </text>
    </comment>
    <comment ref="W1" authorId="0">
      <text>
        <r>
          <rPr>
            <rFont val="Aptos Narrow"/>
            <b/>
            <color rgb="FFFFFFFF"/>
            <sz val="11"/>
          </rPr>
          <t>Human-readable label of the role that owes a decision.</t>
        </r>
      </text>
    </comment>
    <comment ref="X1" authorId="0">
      <text>
        <r>
          <rPr>
            <rFont val="Aptos Narrow"/>
            <b/>
            <color rgb="FFFFFFFF"/>
            <sz val="11"/>
          </rPr>
          <t>Whether the version this request would alter is currently executable.</t>
        </r>
      </text>
    </comment>
    <comment ref="Y1" authorId="0">
      <text>
        <r>
          <rPr>
            <rFont val="Aptos Narrow"/>
            <b/>
            <color rgb="FFFFFFFF"/>
            <sz val="11"/>
          </rPr>
          <t>TRUE when a decision I owe is blocking a change to a procedure currently in production.</t>
        </r>
      </text>
    </comment>
    <comment ref="Z1" authorId="0">
      <text>
        <r>
          <rPr>
            <rFont val="Aptos Narrow"/>
            <b/>
            <color rgb="FFFFFFFF"/>
            <sz val="11"/>
          </rPr>
          <t>TRUE when an undecided request against a live version is the kind that exists to close a known gap.</t>
        </r>
      </text>
    </comment>
    <comment ref="AA1" authorId="0">
      <text>
        <r>
          <rPr>
            <rFont val="Aptos Narrow"/>
            <b/>
            <color rgb="FFFFFFFF"/>
            <sz val="11"/>
          </rPr>
          <t>When the approved change was actually applied to the procedure version. Null until it lands. Distinct from DecidedAt, which records only that the authority ruled. Approval and implementation are separate events; conflating them is what left IsOpen with no terminal state.</t>
        </r>
      </text>
    </comment>
    <comment ref="AB1" authorId="0">
      <text>
        <r>
          <rPr>
            <rFont val="Aptos Narrow"/>
            <b/>
            <color rgb="FFFFFFFF"/>
            <sz val="11"/>
          </rPr>
          <t>Composite-key echo: this request's procedure version when it is live decision backlog, blank otherwise.</t>
        </r>
      </text>
    </comment>
    <comment ref="AC1" authorId="0">
      <text>
        <r>
          <rPr>
            <rFont val="Aptos Narrow"/>
            <b/>
            <color rgb="FFFFFFFF"/>
            <sz val="11"/>
          </rPr>
          <t>A change request awaiting a decision that is mine personally to make.</t>
        </r>
      </text>
    </comment>
    <comment ref="AD1" authorId="0">
      <text>
        <r>
          <rPr>
            <rFont val="Aptos Narrow"/>
            <b/>
            <color rgb="FFFFFFFF"/>
            <sz val="11"/>
          </rPr>
          <t>A decision waiting on me that is holding an open gap on a live procedure.</t>
        </r>
      </text>
    </comment>
    <comment ref="AE1" authorId="0">
      <text>
        <r>
          <rPr>
            <rFont val="Aptos Narrow"/>
            <b/>
            <color rgb="FFFFFFFF"/>
            <sz val="11"/>
          </rPr>
          <t>A blocking decision that has waited on me for more than two weeks.</t>
        </r>
      </text>
    </comment>
    <comment ref="AF1" authorId="0">
      <text>
        <r>
          <rPr>
            <rFont val="Aptos Narrow"/>
            <b/>
            <color rgb="FFFFFFFF"/>
            <sz val="11"/>
          </rPr>
          <t>Whether the approved change has actually been applied.</t>
        </r>
      </text>
    </comment>
    <comment ref="AG1" authorId="0">
      <text>
        <r>
          <rPr>
            <rFont val="Aptos Narrow"/>
            <b/>
            <color rgb="FFFFFFFF"/>
            <sz val="11"/>
          </rPr>
          <t>A change request I have personally ruled on.</t>
        </r>
      </text>
    </comment>
    <comment ref="AH1" authorId="0">
      <text>
        <r>
          <rPr>
            <rFont val="Aptos Narrow"/>
            <b/>
            <color rgb="FFFFFFFF"/>
            <sz val="11"/>
          </rPr>
          <t>A decision I have made that has not yet been applied — still counted against me by the loop-1 open-request measure.</t>
        </r>
      </text>
    </comment>
    <comment ref="AI1" authorId="0">
      <text>
        <r>
          <rPr>
            <rFont val="Aptos Narrow"/>
            <b/>
            <color rgb="FFFFFFFF"/>
            <sz val="11"/>
          </rPr>
          <t>How many days I took to rule, once ruled. Zero when undecided — read only alongside IsDecided.</t>
        </r>
      </text>
    </comment>
    <comment ref="AJ1" authorId="0">
      <text>
        <r>
          <rPr>
            <rFont val="Aptos Narrow"/>
            <b/>
            <color rgb="FFFFFFFF"/>
            <sz val="11"/>
          </rPr>
          <t>How many days elapsed between my ruling and the change actually landing. Zero when not yet implemented.</t>
        </r>
      </text>
    </comment>
    <comment ref="AK1" authorId="0">
      <text>
        <r>
          <rPr>
            <rFont val="Aptos Narrow"/>
            <b/>
            <color rgb="FFFFFFFF"/>
            <sz val="11"/>
          </rPr>
          <t>A request I decided promptly that is nevertheless still outstanding because nobody has implemented it.</t>
        </r>
      </text>
    </comment>
    <comment ref="AL1" authorId="0">
      <text>
        <r>
          <rPr>
            <rFont val="Aptos Narrow"/>
            <b/>
            <color rgb="FFFFFFFF"/>
            <sz val="11"/>
          </rPr>
          <t>Composite-key echo: this request's procedure version when I have decided it but it has not landed, blank otherwise.</t>
        </r>
      </text>
    </comment>
    <comment ref="AM1" authorId="0">
      <text>
        <r>
          <rPr>
            <rFont val="Aptos Narrow"/>
            <b/>
            <color rgb="FFFFFFFF"/>
            <sz val="11"/>
          </rPr>
          <t>A change request the authority approved but that has not yet been applied.</t>
        </r>
      </text>
    </comment>
    <comment ref="AN1" authorId="0">
      <text>
        <r>
          <rPr>
            <rFont val="Aptos Narrow"/>
            <b/>
            <color rgb="FFFFFFFF"/>
            <sz val="11"/>
          </rPr>
          <t>How many days have elapsed since the authority decided this request. Zero when undecided.</t>
        </r>
      </text>
    </comment>
    <comment ref="AO1" authorId="0">
      <text>
        <r>
          <rPr>
            <rFont val="Aptos Narrow"/>
            <b/>
            <color rgb="FFFFFFFF"/>
            <sz val="11"/>
          </rPr>
          <t>An approved change request that has sat unimplemented for more than two weeks.</t>
        </r>
      </text>
    </comment>
    <comment ref="AP1" authorId="0">
      <text>
        <r>
          <rPr>
            <rFont val="Aptos Narrow"/>
            <b/>
            <color rgb="FFFFFFFF"/>
            <sz val="11"/>
          </rPr>
          <t>Composite-key echo: this request's procedure version when its implementation is stalled, blank otherwise.</t>
        </r>
      </text>
    </comment>
    <comment ref="AQ1" authorId="0">
      <text>
        <r>
          <rPr>
            <rFont val="Aptos Narrow"/>
            <b/>
            <color rgb="FFFFFFFF"/>
            <sz val="11"/>
          </rPr>
          <t>Echoes the target version id when this change request was approved.</t>
        </r>
      </text>
    </comment>
    <comment ref="AR1" authorId="0">
      <text>
        <r>
          <rPr>
            <rFont val="Aptos Narrow"/>
            <b/>
            <color rgb="FFFFFFFF"/>
            <sz val="11"/>
          </rPr>
          <t>TRUE when this change request was decided in the affirmative.</t>
        </r>
      </text>
    </comment>
    <comment ref="AS1" authorId="0">
      <text>
        <r>
          <rPr>
            <rFont val="Aptos Narrow"/>
            <b/>
            <color rgb="FFFFFFFF"/>
            <sz val="11"/>
          </rPr>
          <t>Extension class IRI.</t>
        </r>
      </text>
    </comment>
    <comment ref="B1" authorId="0">
      <text>
        <r>
          <rPr>
            <rFont val="Aptos Narrow"/>
            <b/>
            <color rgb="FFFFFFFF"/>
            <sz val="11"/>
          </rPr>
          <t>Human-readable calculated display alias for the ChangeRequests row.</t>
        </r>
      </text>
    </comment>
  </commentList>
</comments>
</file>

<file path=xl/comments4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ReviewEvents row.</t>
        </r>
      </text>
    </comment>
    <comment ref="C1" authorId="0">
      <text>
        <r>
          <rPr>
            <rFont val="Aptos Narrow"/>
            <b/>
            <color rgb="FFFFFFFF"/>
            <sz val="11"/>
          </rPr>
          <t>Reviewed procedure version.</t>
        </r>
      </text>
    </comment>
    <comment ref="D1" authorId="0">
      <text>
        <r>
          <rPr>
            <rFont val="Aptos Narrow"/>
            <b/>
            <color rgb="FFFFFFFF"/>
            <sz val="11"/>
          </rPr>
          <t>Review type.</t>
        </r>
      </text>
    </comment>
    <comment ref="E1" authorId="0">
      <text>
        <r>
          <rPr>
            <rFont val="Aptos Narrow"/>
            <b/>
            <color rgb="FFFFFFFF"/>
            <sz val="11"/>
          </rPr>
          <t>Review timestamp.</t>
        </r>
      </text>
    </comment>
    <comment ref="F1" authorId="0">
      <text>
        <r>
          <rPr>
            <rFont val="Aptos Narrow"/>
            <b/>
            <color rgb="FFFFFFFF"/>
            <sz val="11"/>
          </rPr>
          <t>Reviewing agent.</t>
        </r>
      </text>
    </comment>
    <comment ref="G1" authorId="0">
      <text>
        <r>
          <rPr>
            <rFont val="Aptos Narrow"/>
            <b/>
            <color rgb="FFFFFFFF"/>
            <sz val="11"/>
          </rPr>
          <t>Passed, PassedWithChange, Failed, or Deferred.</t>
        </r>
      </text>
    </comment>
    <comment ref="H1" authorId="0">
      <text>
        <r>
          <rPr>
            <rFont val="Aptos Narrow"/>
            <b/>
            <color rgb="FFFFFFFF"/>
            <sz val="11"/>
          </rPr>
          <t>Change request produced or considered.</t>
        </r>
      </text>
    </comment>
    <comment ref="I1" authorId="0">
      <text>
        <r>
          <rPr>
            <rFont val="Aptos Narrow"/>
            <b/>
            <color rgb="FFFFFFFF"/>
            <sz val="11"/>
          </rPr>
          <t>Next required review.</t>
        </r>
      </text>
    </comment>
    <comment ref="J1" authorId="0">
      <text>
        <r>
          <rPr>
            <rFont val="Aptos Narrow"/>
            <b/>
            <color rgb="FFFFFFFF"/>
            <sz val="11"/>
          </rPr>
          <t>The evaluation context this row's time-dependent witnesses are judged under.</t>
        </r>
      </text>
    </comment>
    <comment ref="K1" authorId="0">
      <text>
        <r>
          <rPr>
            <rFont val="Aptos Narrow"/>
            <b/>
            <color rgb="FFFFFFFF"/>
            <sz val="11"/>
          </rPr>
          <t>The evaluation instant this row's time-dependent witnesses are judged against.</t>
        </r>
      </text>
    </comment>
    <comment ref="L1" authorId="0">
      <text>
        <r>
          <rPr>
            <rFont val="Aptos Narrow"/>
            <b/>
            <color rgb="FFFFFFFF"/>
            <sz val="11"/>
          </rPr>
          <t>TRUE when review is overdue.</t>
        </r>
      </text>
    </comment>
    <comment ref="M1" authorId="0">
      <text>
        <r>
          <rPr>
            <rFont val="Aptos Narrow"/>
            <b/>
            <color rgb="FFFFFFFF"/>
            <sz val="11"/>
          </rPr>
          <t>Echoes the ProcedureVersion id only when this review is past its next-due date.</t>
        </r>
      </text>
    </comment>
    <comment ref="N1" authorId="0">
      <text>
        <r>
          <rPr>
            <rFont val="Aptos Narrow"/>
            <b/>
            <color rgb="FFFFFFFF"/>
            <sz val="11"/>
          </rPr>
          <t>The review cadence promised for this procedure version, resolved via ProcedureVersions because INDEX/MATCH can only match a target table primary key.</t>
        </r>
      </text>
    </comment>
    <comment ref="O1" authorId="0">
      <text>
        <r>
          <rPr>
            <rFont val="Aptos Narrow"/>
            <b/>
            <color rgb="FFFFFFFF"/>
            <sz val="11"/>
          </rPr>
          <t>Elapsed days since this review actually happened.</t>
        </r>
      </text>
    </comment>
    <comment ref="P1" authorId="0">
      <text>
        <r>
          <rPr>
            <rFont val="Aptos Narrow"/>
            <b/>
            <color rgb="FFFFFFFF"/>
            <sz val="11"/>
          </rPr>
          <t>TRUE when more days have elapsed since this review than the stewardship assignment promised as a cadence.</t>
        </r>
      </text>
    </comment>
    <comment ref="Q1" authorId="0">
      <text>
        <r>
          <rPr>
            <rFont val="Aptos Narrow"/>
            <b/>
            <color rgb="FFFFFFFF"/>
            <sz val="11"/>
          </rPr>
          <t>Signed drift: positive means we are past the promised cadence by this many days; negative means we are still inside it.</t>
        </r>
      </text>
    </comment>
    <comment ref="R1" authorId="0">
      <text>
        <r>
          <rPr>
            <rFont val="Aptos Narrow"/>
            <b/>
            <color rgb="FFFFFFFF"/>
            <sz val="11"/>
          </rPr>
          <t>TRUE when the promised cadence has been blown but the hand-entered NextReviewDue still says we are fine.</t>
        </r>
      </text>
    </comment>
    <comment ref="S1" authorId="0">
      <text>
        <r>
          <rPr>
            <rFont val="Aptos Narrow"/>
            <b/>
            <color rgb="FFFFFFFF"/>
            <sz val="11"/>
          </rPr>
          <t>Composite-key echo: this review event's procedure version when the promised cadence has been exceeded, blank otherwise.</t>
        </r>
      </text>
    </comment>
    <comment ref="T1" authorId="0">
      <text>
        <r>
          <rPr>
            <rFont val="Aptos Narrow"/>
            <b/>
            <color rgb="FFFFFFFF"/>
            <sz val="11"/>
          </rPr>
          <t>Class IRI used in projection.</t>
        </r>
      </text>
    </comment>
    <comment ref="B1" authorId="0">
      <text>
        <r>
          <rPr>
            <rFont val="Aptos Narrow"/>
            <b/>
            <color rgb="FFFFFFFF"/>
            <sz val="11"/>
          </rPr>
          <t>Human-readable calculated display alias for the ReviewEvents row.</t>
        </r>
      </text>
    </comment>
  </commentList>
</comments>
</file>

<file path=xl/comments4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LearningActivities row.</t>
        </r>
      </text>
    </comment>
    <comment ref="C1" authorId="0">
      <text>
        <r>
          <rPr>
            <rFont val="Aptos Narrow"/>
            <b/>
            <color rgb="FFFFFFFF"/>
            <sz val="11"/>
          </rPr>
          <t>Community hosting the activity.</t>
        </r>
      </text>
    </comment>
    <comment ref="D1" authorId="0">
      <text>
        <r>
          <rPr>
            <rFont val="Aptos Narrow"/>
            <b/>
            <color rgb="FFFFFFFF"/>
            <sz val="11"/>
          </rPr>
          <t>Procedure version practiced or reviewed.</t>
        </r>
      </text>
    </comment>
    <comment ref="E1" authorId="0">
      <text>
        <r>
          <rPr>
            <rFont val="Aptos Narrow"/>
            <b/>
            <color rgb="FFFFFFFF"/>
            <sz val="11"/>
          </rPr>
          <t>Retrospective, TabletopExercise, Onboarding, Drill, or Apprenticeship.</t>
        </r>
      </text>
    </comment>
    <comment ref="F1" authorId="0">
      <text>
        <r>
          <rPr>
            <rFont val="Aptos Narrow"/>
            <b/>
            <color rgb="FFFFFFFF"/>
            <sz val="11"/>
          </rPr>
          <t>Activity time.</t>
        </r>
      </text>
    </comment>
    <comment ref="G1" authorId="0">
      <text>
        <r>
          <rPr>
            <rFont val="Aptos Narrow"/>
            <b/>
            <color rgb="FFFFFFFF"/>
            <sz val="11"/>
          </rPr>
          <t>Facilitator.</t>
        </r>
      </text>
    </comment>
    <comment ref="H1" authorId="0">
      <text>
        <r>
          <rPr>
            <rFont val="Aptos Narrow"/>
            <b/>
            <color rgb="FFFFFFFF"/>
            <sz val="11"/>
          </rPr>
          <t>Knowledge or competence produced.</t>
        </r>
      </text>
    </comment>
    <comment ref="I1" authorId="0">
      <text>
        <r>
          <rPr>
            <rFont val="Aptos Narrow"/>
            <b/>
            <color rgb="FFFFFFFF"/>
            <sz val="11"/>
          </rPr>
          <t>Evidence or material produced.</t>
        </r>
      </text>
    </comment>
    <comment ref="J1" authorId="0">
      <text>
        <r>
          <rPr>
            <rFont val="Aptos Narrow"/>
            <b/>
            <color rgb="FFFFFFFF"/>
            <sz val="11"/>
          </rPr>
          <t>Class IRI used in projection.</t>
        </r>
      </text>
    </comment>
    <comment ref="B1" authorId="0">
      <text>
        <r>
          <rPr>
            <rFont val="Aptos Narrow"/>
            <b/>
            <color rgb="FFFFFFFF"/>
            <sz val="11"/>
          </rPr>
          <t>Human-readable calculated display alias for the LearningActivities row.</t>
        </r>
      </text>
    </comment>
  </commentList>
</comments>
</file>

<file path=xl/comments4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OperationalBindings row.</t>
        </r>
      </text>
    </comment>
    <comment ref="C1" authorId="0">
      <text>
        <r>
          <rPr>
            <rFont val="Aptos Narrow"/>
            <b/>
            <color rgb="FFFFFFFF"/>
            <sz val="11"/>
          </rPr>
          <t>Procedure version using the binding.</t>
        </r>
      </text>
    </comment>
    <comment ref="D1" authorId="0">
      <text>
        <r>
          <rPr>
            <rFont val="Aptos Narrow"/>
            <b/>
            <color rgb="FFFFFFFF"/>
            <sz val="11"/>
          </rPr>
          <t>Step using the binding.</t>
        </r>
      </text>
    </comment>
    <comment ref="E1" authorId="0">
      <text>
        <r>
          <rPr>
            <rFont val="Aptos Narrow"/>
            <b/>
            <color rgb="FFFFFFFF"/>
            <sz val="11"/>
          </rPr>
          <t>Bound operational resource.</t>
        </r>
      </text>
    </comment>
    <comment ref="F1" authorId="0">
      <text>
        <r>
          <rPr>
            <rFont val="Aptos Narrow"/>
            <b/>
            <color rgb="FFFFFFFF"/>
            <sz val="11"/>
          </rPr>
          <t>Read, Write, ReadWrite, Subscribe, or Publish.</t>
        </r>
      </text>
    </comment>
    <comment ref="G1" authorId="0">
      <text>
        <r>
          <rPr>
            <rFont val="Aptos Narrow"/>
            <b/>
            <color rgb="FFFFFFFF"/>
            <sz val="11"/>
          </rPr>
          <t>Operational record, table, event, or schema key.</t>
        </r>
      </text>
    </comment>
    <comment ref="H1" authorId="0">
      <text>
        <r>
          <rPr>
            <rFont val="Aptos Narrow"/>
            <b/>
            <color rgb="FFFFFFFF"/>
            <sz val="11"/>
          </rPr>
          <t>Most recent successful observation.</t>
        </r>
      </text>
    </comment>
    <comment ref="I1" authorId="0">
      <text>
        <r>
          <rPr>
            <rFont val="Aptos Narrow"/>
            <b/>
            <color rgb="FFFFFFFF"/>
            <sz val="11"/>
          </rPr>
          <t>Maximum allowed data age.</t>
        </r>
      </text>
    </comment>
    <comment ref="J1" authorId="0">
      <text>
        <r>
          <rPr>
            <rFont val="Aptos Narrow"/>
            <b/>
            <color rgb="FFFFFFFF"/>
            <sz val="11"/>
          </rPr>
          <t>TRUE when the binding is authoritative for the represented fact.</t>
        </r>
      </text>
    </comment>
    <comment ref="K1" authorId="0">
      <text>
        <r>
          <rPr>
            <rFont val="Aptos Narrow"/>
            <b/>
            <color rgb="FFFFFFFF"/>
            <sz val="11"/>
          </rPr>
          <t>The evaluation context this row's time-dependent witnesses are judged under.</t>
        </r>
      </text>
    </comment>
    <comment ref="L1" authorId="0">
      <text>
        <r>
          <rPr>
            <rFont val="Aptos Narrow"/>
            <b/>
            <color rgb="FFFFFFFF"/>
            <sz val="11"/>
          </rPr>
          <t>The evaluation instant this row's time-dependent witnesses are judged against.</t>
        </r>
      </text>
    </comment>
    <comment ref="M1" authorId="0">
      <text>
        <r>
          <rPr>
            <rFont val="Aptos Narrow"/>
            <b/>
            <color rgb="FFFFFFFF"/>
            <sz val="11"/>
          </rPr>
          <t>Current observed age.</t>
        </r>
      </text>
    </comment>
    <comment ref="N1" authorId="0">
      <text>
        <r>
          <rPr>
            <rFont val="Aptos Narrow"/>
            <b/>
            <color rgb="FFFFFFFF"/>
            <sz val="11"/>
          </rPr>
          <t>TRUE when within freshness SLA.</t>
        </r>
      </text>
    </comment>
    <comment ref="O1" authorId="0">
      <text>
        <r>
          <rPr>
            <rFont val="Aptos Narrow"/>
            <b/>
            <color rgb="FFFFFFFF"/>
            <sz val="11"/>
          </rPr>
          <t>Echoes the bound Step id only when the binding is outside its freshness SLA.</t>
        </r>
      </text>
    </comment>
    <comment ref="P1" authorId="0">
      <text>
        <r>
          <rPr>
            <rFont val="Aptos Narrow"/>
            <b/>
            <color rgb="FFFFFFFF"/>
            <sz val="11"/>
          </rPr>
          <t>Echoes the bound Step id only when an AUTHORITATIVE binding is stale.</t>
        </r>
      </text>
    </comment>
    <comment ref="Q1" authorId="0">
      <text>
        <r>
          <rPr>
            <rFont val="Aptos Narrow"/>
            <b/>
            <color rgb="FFFFFFFF"/>
            <sz val="11"/>
          </rPr>
          <t>TRUE when an authoritative binding has aged past its freshness SLA.</t>
        </r>
      </text>
    </comment>
    <comment ref="R1" authorId="0">
      <text>
        <r>
          <rPr>
            <rFont val="Aptos Narrow"/>
            <b/>
            <color rgb="FFFFFFFF"/>
            <sz val="11"/>
          </rPr>
          <t>Echoes the step id when this authoritative binding is stale, blank otherwise.</t>
        </r>
      </text>
    </comment>
    <comment ref="S1" authorId="0">
      <text>
        <r>
          <rPr>
            <rFont val="Aptos Narrow"/>
            <b/>
            <color rgb="FFFFFFFF"/>
            <sz val="11"/>
          </rPr>
          <t>Whether the resource behind this binding is an approved source.</t>
        </r>
      </text>
    </comment>
    <comment ref="T1" authorId="0">
      <text>
        <r>
          <rPr>
            <rFont val="Aptos Narrow"/>
            <b/>
            <color rgb="FFFFFFFF"/>
            <sz val="11"/>
          </rPr>
          <t>TRUE when this binding points at an approved source that is still inside its freshness SLA.</t>
        </r>
      </text>
    </comment>
    <comment ref="U1" authorId="0">
      <text>
        <r>
          <rPr>
            <rFont val="Aptos Narrow"/>
            <b/>
            <color rgb="FFFFFFFF"/>
            <sz val="11"/>
          </rPr>
          <t>Echoes the step id when this binding is NOT usable for drafting, blank otherwise.</t>
        </r>
      </text>
    </comment>
    <comment ref="V1" authorId="0">
      <text>
        <r>
          <rPr>
            <rFont val="Aptos Narrow"/>
            <b/>
            <color rgb="FFFFFFFF"/>
            <sz val="11"/>
          </rPr>
          <t>Extension class IRI.</t>
        </r>
      </text>
    </comment>
    <comment ref="B1" authorId="0">
      <text>
        <r>
          <rPr>
            <rFont val="Aptos Narrow"/>
            <b/>
            <color rgb="FFFFFFFF"/>
            <sz val="11"/>
          </rPr>
          <t>Human-readable calculated display alias for the OperationalBindings row.</t>
        </r>
      </text>
    </comment>
  </commentList>
</comments>
</file>

<file path=xl/comments4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CommunicationPolicies row.</t>
        </r>
      </text>
    </comment>
    <comment ref="C1" authorId="0">
      <text>
        <r>
          <rPr>
            <rFont val="Aptos Narrow"/>
            <b/>
            <color rgb="FFFFFFFF"/>
            <sz val="11"/>
          </rPr>
          <t>Procedure version governing the channel.</t>
        </r>
      </text>
    </comment>
    <comment ref="D1" authorId="0">
      <text>
        <r>
          <rPr>
            <rFont val="Aptos Narrow"/>
            <b/>
            <color rgb="FFFFFFFF"/>
            <sz val="11"/>
          </rPr>
          <t>Email, SMS, Push, Postal, or another declared channel.</t>
        </r>
      </text>
    </comment>
    <comment ref="E1" authorId="0">
      <text>
        <r>
          <rPr>
            <rFont val="Aptos Narrow"/>
            <b/>
            <color rgb="FFFFFFFF"/>
            <sz val="11"/>
          </rPr>
          <t>Rule that identifies eligible recipients.</t>
        </r>
      </text>
    </comment>
    <comment ref="F1" authorId="0">
      <text>
        <r>
          <rPr>
            <rFont val="Aptos Narrow"/>
            <b/>
            <color rgb="FFFFFFFF"/>
            <sz val="11"/>
          </rPr>
          <t>Whether active consent is required.</t>
        </r>
      </text>
    </comment>
    <comment ref="G1" authorId="0">
      <text>
        <r>
          <rPr>
            <rFont val="Aptos Narrow"/>
            <b/>
            <color rgb="FFFFFFFF"/>
            <sz val="11"/>
          </rPr>
          <t>Recipient-local quiet-hours start.</t>
        </r>
      </text>
    </comment>
    <comment ref="H1" authorId="0">
      <text>
        <r>
          <rPr>
            <rFont val="Aptos Narrow"/>
            <b/>
            <color rgb="FFFFFFFF"/>
            <sz val="11"/>
          </rPr>
          <t>Recipient-local quiet-hours end.</t>
        </r>
      </text>
    </comment>
    <comment ref="I1" authorId="0">
      <text>
        <r>
          <rPr>
            <rFont val="Aptos Narrow"/>
            <b/>
            <color rgb="FFFFFFFF"/>
            <sz val="11"/>
          </rPr>
          <t>Maximum message length for one unit.</t>
        </r>
      </text>
    </comment>
    <comment ref="J1" authorId="0">
      <text>
        <r>
          <rPr>
            <rFont val="Aptos Narrow"/>
            <b/>
            <color rgb="FFFFFFFF"/>
            <sz val="11"/>
          </rPr>
          <t>Maximum number of channel segments.</t>
        </r>
      </text>
    </comment>
    <comment ref="K1" authorId="0">
      <text>
        <r>
          <rPr>
            <rFont val="Aptos Narrow"/>
            <b/>
            <color rgb="FFFFFFFF"/>
            <sz val="11"/>
          </rPr>
          <t>Retention period for rendered messages and delivery records.</t>
        </r>
      </text>
    </comment>
    <comment ref="L1" authorId="0">
      <text>
        <r>
          <rPr>
            <rFont val="Aptos Narrow"/>
            <b/>
            <color rgb="FFFFFFFF"/>
            <sz val="11"/>
          </rPr>
          <t>Role approving the channel policy.</t>
        </r>
      </text>
    </comment>
    <comment ref="M1" authorId="0">
      <text>
        <r>
          <rPr>
            <rFont val="Aptos Narrow"/>
            <b/>
            <color rgb="FFFFFFFF"/>
            <sz val="11"/>
          </rPr>
          <t>Content that every message must include.</t>
        </r>
      </text>
    </comment>
    <comment ref="N1" authorId="0">
      <text>
        <r>
          <rPr>
            <rFont val="Aptos Narrow"/>
            <b/>
            <color rgb="FFFFFFFF"/>
            <sz val="11"/>
          </rPr>
          <t>Which artifact is authoritative.</t>
        </r>
      </text>
    </comment>
    <comment ref="O1" authorId="0">
      <text>
        <r>
          <rPr>
            <rFont val="Aptos Narrow"/>
            <b/>
            <color rgb="FFFFFFFF"/>
            <sz val="11"/>
          </rPr>
          <t>Draft, Active, Suspended, or Retired.</t>
        </r>
      </text>
    </comment>
    <comment ref="P1" authorId="0">
      <text>
        <r>
          <rPr>
            <rFont val="Aptos Narrow"/>
            <b/>
            <color rgb="FFFFFFFF"/>
            <sz val="11"/>
          </rPr>
          <t>Number of consent violations attributable to this channel policy.</t>
        </r>
      </text>
    </comment>
    <comment ref="Q1" authorId="0">
      <text>
        <r>
          <rPr>
            <rFont val="Aptos Narrow"/>
            <b/>
            <color rgb="FFFFFFFF"/>
            <sz val="11"/>
          </rPr>
          <t>The hour (0-23) at which the quiet window opens. Stored rather than parsed from QuietHoursStart: VALUE(LEFT(...)) does not translate — the transpiler casts the "20:00" string to a timestamp and the view errors. The sending system already knows this number, so modeling it as a parse would dress a broken derivation up as a rule.</t>
        </r>
      </text>
    </comment>
    <comment ref="R1" authorId="0">
      <text>
        <r>
          <rPr>
            <rFont val="Aptos Narrow"/>
            <b/>
            <color rgb="FFFFFFFF"/>
            <sz val="11"/>
          </rPr>
          <t>Numeric hour 0-23 at which quiet hours end. Seeded 8 for comm-sms-policy, 0 for comm-email-policy.</t>
        </r>
      </text>
    </comment>
    <comment ref="S1" authorId="0">
      <text>
        <r>
          <rPr>
            <rFont val="Aptos Narrow"/>
            <b/>
            <color rgb="FFFFFFFF"/>
            <sz val="11"/>
          </rPr>
          <t>Number of transmitted messages that breached this policy's quiet-hours window.</t>
        </r>
      </text>
    </comment>
    <comment ref="T1" authorId="0">
      <text>
        <r>
          <rPr>
            <rFont val="Aptos Narrow"/>
            <b/>
            <color rgb="FFFFFFFF"/>
            <sz val="11"/>
          </rPr>
          <t>The exact opt-out phrase every message on this channel must contain. Seeded 'Reply STOP' for comm-sms-policy, empty string for comm-email-policy.</t>
        </r>
      </text>
    </comment>
    <comment ref="U1" authorId="0">
      <text>
        <r>
          <rPr>
            <rFont val="Aptos Narrow"/>
            <b/>
            <color rgb="FFFFFFFF"/>
            <sz val="11"/>
          </rPr>
          <t>TRUE only when this channel policy is in Active status.</t>
        </r>
      </text>
    </comment>
    <comment ref="V1" authorId="0">
      <text>
        <r>
          <rPr>
            <rFont val="Aptos Narrow"/>
            <b/>
            <color rgb="FFFFFFFF"/>
            <sz val="11"/>
          </rPr>
          <t>ODRL Policy class IRI.</t>
        </r>
      </text>
    </comment>
    <comment ref="B1" authorId="0">
      <text>
        <r>
          <rPr>
            <rFont val="Aptos Narrow"/>
            <b/>
            <color rgb="FFFFFFFF"/>
            <sz val="11"/>
          </rPr>
          <t>Human-readable calculated display alias for the CommunicationPolicies row.</t>
        </r>
      </text>
    </comment>
  </commentList>
</comments>
</file>

<file path=xl/comments4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MessageTemplates row.</t>
        </r>
      </text>
    </comment>
    <comment ref="C1" authorId="0">
      <text>
        <r>
          <rPr>
            <rFont val="Aptos Narrow"/>
            <b/>
            <color rgb="FFFFFFFF"/>
            <sz val="11"/>
          </rPr>
          <t>Channel policy governing the template.</t>
        </r>
      </text>
    </comment>
    <comment ref="D1" authorId="0">
      <text>
        <r>
          <rPr>
            <rFont val="Aptos Narrow"/>
            <b/>
            <color rgb="FFFFFFFF"/>
            <sz val="11"/>
          </rPr>
          <t>Template resource.</t>
        </r>
      </text>
    </comment>
    <comment ref="E1" authorId="0">
      <text>
        <r>
          <rPr>
            <rFont val="Aptos Narrow"/>
            <b/>
            <color rgb="FFFFFFFF"/>
            <sz val="11"/>
          </rPr>
          <t>Subject template where supported.</t>
        </r>
      </text>
    </comment>
    <comment ref="F1" authorId="0">
      <text>
        <r>
          <rPr>
            <rFont val="Aptos Narrow"/>
            <b/>
            <color rgb="FFFFFFFF"/>
            <sz val="11"/>
          </rPr>
          <t>Body template.</t>
        </r>
      </text>
    </comment>
    <comment ref="G1" authorId="0">
      <text>
        <r>
          <rPr>
            <rFont val="Aptos Narrow"/>
            <b/>
            <color rgb="FFFFFFFF"/>
            <sz val="11"/>
          </rPr>
          <t>Locale or language tag.</t>
        </r>
      </text>
    </comment>
    <comment ref="H1" authorId="0">
      <text>
        <r>
          <rPr>
            <rFont val="Aptos Narrow"/>
            <b/>
            <color rgb="FFFFFFFF"/>
            <sz val="11"/>
          </rPr>
          <t>Draft, Approved, Retired, or Superseded.</t>
        </r>
      </text>
    </comment>
    <comment ref="I1" authorId="0">
      <text>
        <r>
          <rPr>
            <rFont val="Aptos Narrow"/>
            <b/>
            <color rgb="FFFFFFFF"/>
            <sz val="11"/>
          </rPr>
          <t>Per-segment character limit inherited from the governing channel policy.</t>
        </r>
      </text>
    </comment>
    <comment ref="J1" authorId="0">
      <text>
        <r>
          <rPr>
            <rFont val="Aptos Narrow"/>
            <b/>
            <color rgb="FFFFFFFF"/>
            <sz val="11"/>
          </rPr>
          <t>Maximum permitted segment count from the governing channel policy.</t>
        </r>
      </text>
    </comment>
    <comment ref="K1" authorId="0">
      <text>
        <r>
          <rPr>
            <rFont val="Aptos Narrow"/>
            <b/>
            <color rgb="FFFFFFFF"/>
            <sz val="11"/>
          </rPr>
          <t>Character length of the raw template body before variable substitution.</t>
        </r>
      </text>
    </comment>
    <comment ref="L1" authorId="0">
      <text>
        <r>
          <rPr>
            <rFont val="Aptos Narrow"/>
            <b/>
            <color rgb="FFFFFFFF"/>
            <sz val="11"/>
          </rPr>
          <t>TRUE when the template body alone already exceeds the single-segment limit before any variables are substituted in.</t>
        </r>
      </text>
    </comment>
    <comment ref="M1" authorId="0">
      <text>
        <r>
          <rPr>
            <rFont val="Aptos Narrow"/>
            <b/>
            <color rgb="FFFFFFFF"/>
            <sz val="11"/>
          </rPr>
          <t>Number of properly-authorized approvals on record for this template.</t>
        </r>
      </text>
    </comment>
    <comment ref="N1" authorId="0">
      <text>
        <r>
          <rPr>
            <rFont val="Aptos Narrow"/>
            <b/>
            <color rgb="FFFFFFFF"/>
            <sz val="11"/>
          </rPr>
          <t>TRUE when at least one properly-authorized approval exists for this template.</t>
        </r>
      </text>
    </comment>
    <comment ref="O1" authorId="0">
      <text>
        <r>
          <rPr>
            <rFont val="Aptos Narrow"/>
            <b/>
            <color rgb="FFFFFFFF"/>
            <sz val="11"/>
          </rPr>
          <t>TRUE when a template's Status says Approved but no properly-authorized approval record backs it. The phantom-approval witness.</t>
        </r>
      </text>
    </comment>
    <comment ref="P1" authorId="0">
      <text>
        <r>
          <rPr>
            <rFont val="Aptos Narrow"/>
            <b/>
            <color rgb="FFFFFFFF"/>
            <sz val="11"/>
          </rPr>
          <t>Digest of the template's current body text, maintained whenever the body is edited.</t>
        </r>
      </text>
    </comment>
    <comment ref="Q1" authorId="0">
      <text>
        <r>
          <rPr>
            <rFont val="Aptos Narrow"/>
            <b/>
            <color rgb="FFFFFFFF"/>
            <sz val="11"/>
          </rPr>
          <t>Digest of the body text as it stood at the most recent valid approval.</t>
        </r>
      </text>
    </comment>
    <comment ref="R1" authorId="0">
      <text>
        <r>
          <rPr>
            <rFont val="Aptos Narrow"/>
            <b/>
            <color rgb="FFFFFFFF"/>
            <sz val="11"/>
          </rPr>
          <t>The TemplateApprovals id of the approval this template is currently sendable under. Deliberately a raw identifier, not a relationship: TemplateApprovals already points at MessageTemplates, so declaring an FK back would make the two tables mutually dependent and the rulebook is required to stay acyclic. The value is still resolved by INDEX/MATCH in LastApprovedBodyHash.</t>
        </r>
      </text>
    </comment>
    <comment ref="S1" authorId="0">
      <text>
        <r>
          <rPr>
            <rFont val="Aptos Narrow"/>
            <b/>
            <color rgb="FFFFFFFF"/>
            <sz val="11"/>
          </rPr>
          <t>TRUE when the template body no longer matches what was approved.</t>
        </r>
      </text>
    </comment>
    <comment ref="T1" authorId="0">
      <text>
        <r>
          <rPr>
            <rFont val="Aptos Narrow"/>
            <b/>
            <color rgb="FFFFFFFF"/>
            <sz val="11"/>
          </rPr>
          <t>TRUE only when the template is marked Approved, has a properly-authorized approval, AND its body still matches what was approved.</t>
        </r>
      </text>
    </comment>
    <comment ref="U1" authorId="0">
      <text>
        <r>
          <rPr>
            <rFont val="Aptos Narrow"/>
            <b/>
            <color rgb="FFFFFFFF"/>
            <sz val="11"/>
          </rPr>
          <t>How many messages went out from this template while it was not validly sendable.</t>
        </r>
      </text>
    </comment>
    <comment ref="V1" authorId="0">
      <text>
        <r>
          <rPr>
            <rFont val="Aptos Narrow"/>
            <b/>
            <color rgb="FFFFFFFF"/>
            <sz val="11"/>
          </rPr>
          <t>How many transmitted messages from this template drew no acknowledgement.</t>
        </r>
      </text>
    </comment>
    <comment ref="W1" authorId="0">
      <text>
        <r>
          <rPr>
            <rFont val="Aptos Narrow"/>
            <b/>
            <color rgb="FFFFFFFF"/>
            <sz val="11"/>
          </rPr>
          <t>How many deliveries using this template were actually transmitted.</t>
        </r>
      </text>
    </comment>
    <comment ref="X1" authorId="0">
      <text>
        <r>
          <rPr>
            <rFont val="Aptos Narrow"/>
            <b/>
            <color rgb="FFFFFFFF"/>
            <sz val="11"/>
          </rPr>
          <t>TRUE when every transmitted message from this template went unacknowledged.</t>
        </r>
      </text>
    </comment>
    <comment ref="Y1" authorId="0">
      <text>
        <r>
          <rPr>
            <rFont val="Aptos Narrow"/>
            <b/>
            <color rgb="FFFFFFFF"/>
            <sz val="11"/>
          </rPr>
          <t>When this template's currently-governing approval was decided.</t>
        </r>
      </text>
    </comment>
    <comment ref="Z1" authorId="0">
      <text>
        <r>
          <rPr>
            <rFont val="Aptos Narrow"/>
            <b/>
            <color rgb="FFFFFFFF"/>
            <sz val="11"/>
          </rPr>
          <t>Resource class IRI.</t>
        </r>
      </text>
    </comment>
    <comment ref="B1" authorId="0">
      <text>
        <r>
          <rPr>
            <rFont val="Aptos Narrow"/>
            <b/>
            <color rgb="FFFFFFFF"/>
            <sz val="11"/>
          </rPr>
          <t>Human-readable calculated display alias for the MessageTemplates row.</t>
        </r>
      </text>
    </comment>
  </commentList>
</comments>
</file>

<file path=xl/comments4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SemanticMappings row.</t>
        </r>
      </text>
    </comment>
    <comment ref="C1" authorId="0">
      <text>
        <r>
          <rPr>
            <rFont val="Aptos Narrow"/>
            <b/>
            <color rgb="FFFFFFFF"/>
            <sz val="11"/>
          </rPr>
          <t>ERB table, field, or discriminator path.</t>
        </r>
      </text>
    </comment>
    <comment ref="D1" authorId="0">
      <text>
        <r>
          <rPr>
            <rFont val="Aptos Narrow"/>
            <b/>
            <color rgb="FFFFFFFF"/>
            <sz val="11"/>
          </rPr>
          <t>class, objectProperty, datatypeProperty, individual, or rule.</t>
        </r>
      </text>
    </comment>
    <comment ref="E1" authorId="0">
      <text>
        <r>
          <rPr>
            <rFont val="Aptos Narrow"/>
            <b/>
            <color rgb="FFFFFFFF"/>
            <sz val="11"/>
          </rPr>
          <t>Exact target semantic IRI.</t>
        </r>
      </text>
    </comment>
    <comment ref="F1" authorId="0">
      <text>
        <r>
          <rPr>
            <rFont val="Aptos Narrow"/>
            <b/>
            <color rgb="FFFFFFFF"/>
            <sz val="11"/>
          </rPr>
          <t>exact, aligned, subclass, subproperty, or extension.</t>
        </r>
      </text>
    </comment>
    <comment ref="G1" authorId="0">
      <text>
        <r>
          <rPr>
            <rFont val="Aptos Narrow"/>
            <b/>
            <color rgb="FFFFFFFF"/>
            <sz val="11"/>
          </rPr>
          <t>Versioned ontology profile containing the target term.</t>
        </r>
      </text>
    </comment>
    <comment ref="H1" authorId="0">
      <text>
        <r>
          <rPr>
            <rFont val="Aptos Narrow"/>
            <b/>
            <color rgb="FFFFFFFF"/>
            <sz val="11"/>
          </rPr>
          <t>Mapping semantics and boundaries.</t>
        </r>
      </text>
    </comment>
    <comment ref="B1" authorId="0">
      <text>
        <r>
          <rPr>
            <rFont val="Aptos Narrow"/>
            <b/>
            <color rgb="FFFFFFFF"/>
            <sz val="11"/>
          </rPr>
          <t>Human-readable calculated display alias for the SemanticMappings row.</t>
        </r>
      </text>
    </comment>
  </commentList>
</comments>
</file>

<file path=xl/comments5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WitnessLoops row.</t>
        </r>
      </text>
    </comment>
    <comment ref="C1" authorId="0">
      <text>
        <r>
          <rPr>
            <rFont val="Aptos Narrow"/>
            <b/>
            <color rgb="FFFFFFFF"/>
            <sz val="11"/>
          </rPr>
          <t>Ordinal of this expansion loop. Loop 1 is the founding set of role questions.</t>
        </r>
      </text>
    </comment>
    <comment ref="D1" authorId="0">
      <text>
        <r>
          <rPr>
            <rFont val="Aptos Narrow"/>
            <b/>
            <color rgb="FFFFFFFF"/>
            <sz val="11"/>
          </rPr>
          <t>Short title for what this loop set out to make askable.</t>
        </r>
      </text>
    </comment>
    <comment ref="E1" authorId="0">
      <text>
        <r>
          <rPr>
            <rFont val="Aptos Narrow"/>
            <b/>
            <color rgb="FFFFFFFF"/>
            <sz val="11"/>
          </rPr>
          <t>Why this loop's questions became askable. For loop N&gt;1 this names the loop N-1 predicates that made them possible.</t>
        </r>
      </text>
    </comment>
    <comment ref="F1" authorId="0">
      <text>
        <r>
          <rPr>
            <rFont val="Aptos Narrow"/>
            <b/>
            <color rgb="FFFFFFFF"/>
            <sz val="11"/>
          </rPr>
          <t>Time this loop began.</t>
        </r>
      </text>
    </comment>
    <comment ref="G1" authorId="0">
      <text>
        <r>
          <rPr>
            <rFont val="Aptos Narrow"/>
            <b/>
            <color rgb="FFFFFFFF"/>
            <sz val="11"/>
          </rPr>
          <t>Time this loop was committed. Null while in progress.</t>
        </r>
      </text>
    </comment>
    <comment ref="H1" authorId="0">
      <text>
        <r>
          <rPr>
            <rFont val="Aptos Narrow"/>
            <b/>
            <color rgb="FFFFFFFF"/>
            <sz val="11"/>
          </rPr>
          <t>How many role questions were posed in this loop.</t>
        </r>
      </text>
    </comment>
    <comment ref="I1" authorId="0">
      <text>
        <r>
          <rPr>
            <rFont val="Aptos Narrow"/>
            <b/>
            <color rgb="FFFFFFFF"/>
            <sz val="11"/>
          </rPr>
          <t>TRUE once the loop has been committed.</t>
        </r>
      </text>
    </comment>
    <comment ref="J1" authorId="0">
      <text>
        <r>
          <rPr>
            <rFont val="Aptos Narrow"/>
            <b/>
            <color rgb="FFFFFFFF"/>
            <sz val="11"/>
          </rPr>
          <t>Total fields in the rulebook after this loop completed.</t>
        </r>
      </text>
    </comment>
    <comment ref="K1" authorId="0">
      <text>
        <r>
          <rPr>
            <rFont val="Aptos Narrow"/>
            <b/>
            <color rgb="FFFFFFFF"/>
            <sz val="11"/>
          </rPr>
          <t>Derived fields after this loop completed.</t>
        </r>
      </text>
    </comment>
    <comment ref="L1" authorId="0">
      <text>
        <r>
          <rPr>
            <rFont val="Aptos Narrow"/>
            <b/>
            <color rgb="FFFFFFFF"/>
            <sz val="11"/>
          </rPr>
          <t>Fields invented for a role question after this loop completed.</t>
        </r>
      </text>
    </comment>
    <comment ref="M1" authorId="0">
      <text>
        <r>
          <rPr>
            <rFont val="Aptos Narrow"/>
            <b/>
            <color rgb="FFFFFFFF"/>
            <sz val="11"/>
          </rPr>
          <t>Extension class IRI.</t>
        </r>
      </text>
    </comment>
    <comment ref="B1" authorId="0">
      <text>
        <r>
          <rPr>
            <rFont val="Aptos Narrow"/>
            <b/>
            <color rgb="FFFFFFFF"/>
            <sz val="11"/>
          </rPr>
          <t>Human-readable calculated display alias for the WitnessLoops row.</t>
        </r>
      </text>
    </comment>
  </commentList>
</comments>
</file>

<file path=xl/comments5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RoleQuestions row.</t>
        </r>
      </text>
    </comment>
    <comment ref="C1" authorId="0">
      <text>
        <r>
          <rPr>
            <rFont val="Aptos Narrow"/>
            <b/>
            <color rgb="FFFFFFFF"/>
            <sz val="11"/>
          </rPr>
          <t>The role that wants this question answered.</t>
        </r>
      </text>
    </comment>
    <comment ref="D1" authorId="0">
      <text>
        <r>
          <rPr>
            <rFont val="Aptos Narrow"/>
            <b/>
            <color rgb="FFFFFFFF"/>
            <sz val="11"/>
          </rPr>
          <t>The expansion loop in which this question was posed.</t>
        </r>
      </text>
    </comment>
    <comment ref="E1" authorId="0">
      <text>
        <r>
          <rPr>
            <rFont val="Aptos Narrow"/>
            <b/>
            <color rgb="FFFFFFFF"/>
            <sz val="11"/>
          </rPr>
          <t>The question in the role's own words.</t>
        </r>
      </text>
    </comment>
    <comment ref="F1" authorId="0">
      <text>
        <r>
          <rPr>
            <rFont val="Aptos Narrow"/>
            <b/>
            <color rgb="FFFFFFFF"/>
            <sz val="11"/>
          </rPr>
          <t>What goes wrong in the real world when this question cannot be answered.</t>
        </r>
      </text>
    </comment>
    <comment ref="G1" authorId="0">
      <text>
        <r>
          <rPr>
            <rFont val="Aptos Narrow"/>
            <b/>
            <color rgb="FFFFFFFF"/>
            <sz val="11"/>
          </rPr>
          <t>TRUE if the model could already answer this before its loop ran. FALSE means the loop had to invent predicates for it.</t>
        </r>
      </text>
    </comment>
    <comment ref="H1" authorId="0">
      <text>
        <r>
          <rPr>
            <rFont val="Aptos Narrow"/>
            <b/>
            <color rgb="FFFFFFFF"/>
            <sz val="11"/>
          </rPr>
          <t>How many fields were invented to answer this question.</t>
        </r>
      </text>
    </comment>
    <comment ref="I1" authorId="0">
      <text>
        <r>
          <rPr>
            <rFont val="Aptos Narrow"/>
            <b/>
            <color rgb="FFFFFFFF"/>
            <sz val="11"/>
          </rPr>
          <t>TRUE when at least one predicate exists to answer this question.</t>
        </r>
      </text>
    </comment>
    <comment ref="J1" authorId="0">
      <text>
        <r>
          <rPr>
            <rFont val="Aptos Narrow"/>
            <b/>
            <color rgb="FFFFFFFF"/>
            <sz val="11"/>
          </rPr>
          <t>The current reading of this question's predicates, extracted from the substrate after the loop ran: which witness columns fire, on how many rows out of how many. Written by tools/extract_computed_answers.py from values Postgres computed — never recomputed in Python. This is what lets a later loop plan against materialized answers instead of imagined ones.</t>
        </r>
      </text>
    </comment>
    <comment ref="K1" authorId="0">
      <text>
        <r>
          <rPr>
            <rFont val="Aptos Narrow"/>
            <b/>
            <color rgb="FFFFFFFF"/>
            <sz val="11"/>
          </rPr>
          <t>Extension class IRI.</t>
        </r>
      </text>
    </comment>
    <comment ref="B1" authorId="0">
      <text>
        <r>
          <rPr>
            <rFont val="Aptos Narrow"/>
            <b/>
            <color rgb="FFFFFFFF"/>
            <sz val="11"/>
          </rPr>
          <t>Human-readable calculated display alias for the RoleQuestions row.</t>
        </r>
      </text>
    </comment>
  </commentList>
</comments>
</file>

<file path=xl/comments5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RulebookFields row. Formed as &lt;TargetTable&gt;.&lt;FieldName&gt;.</t>
        </r>
      </text>
    </comment>
    <comment ref="C1" authorId="0">
      <text>
        <r>
          <rPr>
            <rFont val="Aptos Narrow"/>
            <b/>
            <color rgb="FFFFFFFF"/>
            <sz val="11"/>
          </rPr>
          <t>The table this field lives on.</t>
        </r>
      </text>
    </comment>
    <comment ref="D1" authorId="0">
      <text>
        <r>
          <rPr>
            <rFont val="Aptos Narrow"/>
            <b/>
            <color rgb="FFFFFFFF"/>
            <sz val="11"/>
          </rPr>
          <t>The field's name within its table.</t>
        </r>
      </text>
    </comment>
    <comment ref="E1" authorId="0">
      <text>
        <r>
          <rPr>
            <rFont val="Aptos Narrow"/>
            <b/>
            <color rgb="FFFFFFFF"/>
            <sz val="11"/>
          </rPr>
          <t>raw, calculated, lookup, relationship, or aggregation.</t>
        </r>
      </text>
    </comment>
    <comment ref="F1" authorId="0">
      <text>
        <r>
          <rPr>
            <rFont val="Aptos Narrow"/>
            <b/>
            <color rgb="FFFFFFFF"/>
            <sz val="11"/>
          </rPr>
          <t>The field's declared datatype.</t>
        </r>
      </text>
    </comment>
    <comment ref="G1" authorId="0">
      <text>
        <r>
          <rPr>
            <rFont val="Aptos Narrow"/>
            <b/>
            <color rgb="FFFFFFFF"/>
            <sz val="11"/>
          </rPr>
          <t>The field's formula when it is derived. Null for raw and relationship fields.</t>
        </r>
      </text>
    </comment>
    <comment ref="H1" authorId="0">
      <text>
        <r>
          <rPr>
            <rFont val="Aptos Narrow"/>
            <b/>
            <color rgb="FFFFFFFF"/>
            <sz val="11"/>
          </rPr>
          <t>The role question that motivated this field's existence. Null for fields that predate the witness-loop exercise.</t>
        </r>
      </text>
    </comment>
    <comment ref="I1" authorId="0">
      <text>
        <r>
          <rPr>
            <rFont val="Aptos Narrow"/>
            <b/>
            <color rgb="FFFFFFFF"/>
            <sz val="11"/>
          </rPr>
          <t>TRUE when this field is computed rather than stored.</t>
        </r>
      </text>
    </comment>
    <comment ref="J1" authorId="0">
      <text>
        <r>
          <rPr>
            <rFont val="Aptos Narrow"/>
            <b/>
            <color rgb="FFFFFFFF"/>
            <sz val="11"/>
          </rPr>
          <t>TRUE when this field exists because a role asked a question. These are the fields the witness loops added.</t>
        </r>
      </text>
    </comment>
    <comment ref="K1" authorId="0">
      <text>
        <r>
          <rPr>
            <rFont val="Aptos Narrow"/>
            <b/>
            <color rgb="FFFFFFFF"/>
            <sz val="11"/>
          </rPr>
          <t>How many substrates computed this field differently from the answer key in the latest conformance run. 0 means every substrate agreed.</t>
        </r>
      </text>
    </comment>
    <comment ref="L1" authorId="0">
      <text>
        <r>
          <rPr>
            <rFont val="Aptos Narrow"/>
            <b/>
            <color rgb="FFFFFFFF"/>
            <sz val="11"/>
          </rPr>
          <t>True when at least one substrate disagrees about this field's values.</t>
        </r>
      </text>
    </comment>
    <comment ref="M1" authorId="0">
      <text>
        <r>
          <rPr>
            <rFont val="Aptos Narrow"/>
            <b/>
            <color rgb="FFFFFFFF"/>
            <sz val="11"/>
          </rPr>
          <t>Extension class IRI.</t>
        </r>
      </text>
    </comment>
    <comment ref="B1" authorId="0">
      <text>
        <r>
          <rPr>
            <rFont val="Aptos Narrow"/>
            <b/>
            <color rgb="FFFFFFFF"/>
            <sz val="11"/>
          </rPr>
          <t>Human-readable calculated display alias for the RulebookFields row.</t>
        </r>
      </text>
    </comment>
  </commentList>
</comments>
</file>

<file path=xl/comments5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TestSuites row.</t>
        </r>
      </text>
    </comment>
    <comment ref="C1" authorId="0">
      <text>
        <r>
          <rPr>
            <rFont val="Aptos Narrow"/>
            <b/>
            <color rgb="FFFFFFFF"/>
            <sz val="11"/>
          </rPr>
          <t>Display name for this suite.</t>
        </r>
      </text>
    </comment>
    <comment ref="D1" authorId="0">
      <text>
        <r>
          <rPr>
            <rFont val="Aptos Narrow"/>
            <b/>
            <color rgb="FFFFFFFF"/>
            <sz val="11"/>
          </rPr>
          <t>How many checks belong to this suite.</t>
        </r>
      </text>
    </comment>
    <comment ref="E1" authorId="0">
      <text>
        <r>
          <rPr>
            <rFont val="Aptos Narrow"/>
            <b/>
            <color rgb="FFFFFFFF"/>
            <sz val="11"/>
          </rPr>
          <t>How many checks passed on the last run.</t>
        </r>
      </text>
    </comment>
    <comment ref="F1" authorId="0">
      <text>
        <r>
          <rPr>
            <rFont val="Aptos Narrow"/>
            <b/>
            <color rgb="FFFFFFFF"/>
            <sz val="11"/>
          </rPr>
          <t>How many blocking checks failed. This is the number that must be zero for the board to be green.</t>
        </r>
      </text>
    </comment>
    <comment ref="G1" authorId="0">
      <text>
        <r>
          <rPr>
            <rFont val="Aptos Narrow"/>
            <b/>
            <color rgb="FFFFFFFF"/>
            <sz val="11"/>
          </rPr>
          <t>TRUE when no blocking check is failing. Advisory warnings do not break the board.</t>
        </r>
      </text>
    </comment>
    <comment ref="H1" authorId="0">
      <text>
        <r>
          <rPr>
            <rFont val="Aptos Narrow"/>
            <b/>
            <color rgb="FFFFFFFF"/>
            <sz val="11"/>
          </rPr>
          <t>Extension class IRI.</t>
        </r>
      </text>
    </comment>
    <comment ref="B1" authorId="0">
      <text>
        <r>
          <rPr>
            <rFont val="Aptos Narrow"/>
            <b/>
            <color rgb="FFFFFFFF"/>
            <sz val="11"/>
          </rPr>
          <t>Human-readable calculated display alias for the TestSuites row.</t>
        </r>
      </text>
    </comment>
  </commentList>
</comments>
</file>

<file path=xl/comments5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TestCases row.</t>
        </r>
      </text>
    </comment>
    <comment ref="C1" authorId="0">
      <text>
        <r>
          <rPr>
            <rFont val="Aptos Narrow"/>
            <b/>
            <color rgb="FFFFFFFF"/>
            <sz val="11"/>
          </rPr>
          <t>What class of check this is. One of: structural (the rulebook's own shape), formula-translates (the transpiler emitted a real function, not a NULL stub), view-loads (the view exists and is queryable), fk-resolves (every FK value names a real row), witness-discriminates (a boolean witness can distinguish cases in this data), witness-fires (a specific witness reads TRUE on at least one row), provenance (every invented field traces to a question), catalog-sync (RulebookFields matches the real schemas), question-answered (a role question has at least one predicate answering it), invariant (a domain rule that must hold), remediation (a seeded violation was resolved in model rather than deleted).</t>
        </r>
      </text>
    </comment>
    <comment ref="D1" authorId="0">
      <text>
        <r>
          <rPr>
            <rFont val="Aptos Narrow"/>
            <b/>
            <color rgb="FFFFFFFF"/>
            <sz val="11"/>
          </rPr>
          <t>What is under test — a Table.Field, a table, a view, or a question id.</t>
        </r>
      </text>
    </comment>
    <comment ref="E1" authorId="0">
      <text>
        <r>
          <rPr>
            <rFont val="Aptos Narrow"/>
            <b/>
            <color rgb="FFFFFFFF"/>
            <sz val="11"/>
          </rPr>
          <t>The table this check reads, when it reads one.</t>
        </r>
      </text>
    </comment>
    <comment ref="F1" authorId="0">
      <text>
        <r>
          <rPr>
            <rFont val="Aptos Narrow"/>
            <b/>
            <color rgb="FFFFFFFF"/>
            <sz val="11"/>
          </rPr>
          <t>The field this check reads, when it reads one.</t>
        </r>
      </text>
    </comment>
    <comment ref="G1" authorId="0">
      <text>
        <r>
          <rPr>
            <rFont val="Aptos Narrow"/>
            <b/>
            <color rgb="FFFFFFFF"/>
            <sz val="11"/>
          </rPr>
          <t>What must be true, stated so a human can judge the verdict without reading code.</t>
        </r>
      </text>
    </comment>
    <comment ref="H1" authorId="0">
      <text>
        <r>
          <rPr>
            <rFont val="Aptos Narrow"/>
            <b/>
            <color rgb="FFFFFFFF"/>
            <sz val="11"/>
          </rPr>
          <t>The role question whose answer this check protects. Null for checks that defend the model's structure rather than a specific question.</t>
        </r>
      </text>
    </comment>
    <comment ref="I1" authorId="0">
      <text>
        <r>
          <rPr>
            <rFont val="Aptos Narrow"/>
            <b/>
            <color rgb="FFFFFFFF"/>
            <sz val="11"/>
          </rPr>
          <t>The suite this check belongs to.</t>
        </r>
      </text>
    </comment>
    <comment ref="J1" authorId="0">
      <text>
        <r>
          <rPr>
            <rFont val="Aptos Narrow"/>
            <b/>
            <color rgb="FFFFFFFF"/>
            <sz val="11"/>
          </rPr>
          <t>blocking — a failure means the model is stating something false; advisory — a failure means the model cannot state something it should be able to. Vacuity is advisory by design: a witness that cannot fire on this seed is not necessarily wrong, and forcing it red would create pressure to fabricate data.</t>
        </r>
      </text>
    </comment>
    <comment ref="K1" authorId="0">
      <text>
        <r>
          <rPr>
            <rFont val="Aptos Narrow"/>
            <b/>
            <color rgb="FFFFFFFF"/>
            <sz val="11"/>
          </rPr>
          <t>TRUE when a failure of this check means the model is asserting something false.</t>
        </r>
      </text>
    </comment>
    <comment ref="L1" authorId="0">
      <text>
        <r>
          <rPr>
            <rFont val="Aptos Narrow"/>
            <b/>
            <color rgb="FFFFFFFF"/>
            <sz val="11"/>
          </rPr>
          <t>PASS, WARN, FAIL, or SKIP from the most recent run. Written by tools/run_test_suite.py from the substrate — never hand-edited.</t>
        </r>
      </text>
    </comment>
    <comment ref="M1" authorId="0">
      <text>
        <r>
          <rPr>
            <rFont val="Aptos Narrow"/>
            <b/>
            <color rgb="FFFFFFFF"/>
            <sz val="11"/>
          </rPr>
          <t>The observed reading behind LastOutcome, e.g. a fire count or the error text.</t>
        </r>
      </text>
    </comment>
    <comment ref="N1" authorId="0">
      <text>
        <r>
          <rPr>
            <rFont val="Aptos Narrow"/>
            <b/>
            <color rgb="FFFFFFFF"/>
            <sz val="11"/>
          </rPr>
          <t>When this check last ran.</t>
        </r>
      </text>
    </comment>
    <comment ref="O1" authorId="0">
      <text>
        <r>
          <rPr>
            <rFont val="Aptos Narrow"/>
            <b/>
            <color rgb="FFFFFFFF"/>
            <sz val="11"/>
          </rPr>
          <t>TRUE when the last run passed outright.</t>
        </r>
      </text>
    </comment>
    <comment ref="P1" authorId="0">
      <text>
        <r>
          <rPr>
            <rFont val="Aptos Narrow"/>
            <b/>
            <color rgb="FFFFFFFF"/>
            <sz val="11"/>
          </rPr>
          <t>TRUE when the last run failed. A blocking failure means the model is asserting something false.</t>
        </r>
      </text>
    </comment>
    <comment ref="Q1" authorId="0">
      <text>
        <r>
          <rPr>
            <rFont val="Aptos Narrow"/>
            <b/>
            <color rgb="FFFFFFFF"/>
            <sz val="11"/>
          </rPr>
          <t>TRUE when this check failed and its failure means the model is wrong. This is the number that must be zero.</t>
        </r>
      </text>
    </comment>
    <comment ref="R1" authorId="0">
      <text>
        <r>
          <rPr>
            <rFont val="Aptos Narrow"/>
            <b/>
            <color rgb="FFFFFFFF"/>
            <sz val="11"/>
          </rPr>
          <t>Echoes the suite id only for checks that passed; empty otherwise. Single-criterion COUNTIFS key.</t>
        </r>
      </text>
    </comment>
    <comment ref="S1" authorId="0">
      <text>
        <r>
          <rPr>
            <rFont val="Aptos Narrow"/>
            <b/>
            <color rgb="FFFFFFFF"/>
            <sz val="11"/>
          </rPr>
          <t>Echoes the suite id only for blocking checks that failed; empty otherwise. Single-criterion COUNTIFS key.</t>
        </r>
      </text>
    </comment>
    <comment ref="T1" authorId="0">
      <text>
        <r>
          <rPr>
            <rFont val="Aptos Narrow"/>
            <b/>
            <color rgb="FFFFFFFF"/>
            <sz val="11"/>
          </rPr>
          <t>Extension class IRI.</t>
        </r>
      </text>
    </comment>
    <comment ref="B1" authorId="0">
      <text>
        <r>
          <rPr>
            <rFont val="Aptos Narrow"/>
            <b/>
            <color rgb="FFFFFFFF"/>
            <sz val="11"/>
          </rPr>
          <t>Human-readable calculated display alias for the TestCases row.</t>
        </r>
      </text>
    </comment>
  </commentList>
</comments>
</file>

<file path=xl/comments5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ERB version identifier.</t>
        </r>
      </text>
    </comment>
    <comment ref="C1" authorId="0">
      <text>
        <r>
          <rPr>
            <rFont val="Aptos Narrow"/>
            <b/>
            <color rgb="FFFFFFFF"/>
            <sz val="11"/>
          </rPr>
          <t>Version label.</t>
        </r>
      </text>
    </comment>
    <comment ref="D1" authorId="0">
      <text>
        <r>
          <rPr>
            <rFont val="Aptos Narrow"/>
            <b/>
            <color rgb="FFFFFFFF"/>
            <sz val="11"/>
          </rPr>
          <t>Version message.</t>
        </r>
      </text>
    </comment>
    <comment ref="E1" authorId="0">
      <text>
        <r>
          <rPr>
            <rFont val="Aptos Narrow"/>
            <b/>
            <color rgb="FFFFFFFF"/>
            <sz val="11"/>
          </rPr>
          <t>Version notes.</t>
        </r>
      </text>
    </comment>
    <comment ref="F1" authorId="0">
      <text>
        <r>
          <rPr>
            <rFont val="Aptos Narrow"/>
            <b/>
            <color rgb="FFFFFFFF"/>
            <sz val="11"/>
          </rPr>
          <t>Commit timestamp.</t>
        </r>
      </text>
    </comment>
    <comment ref="G1" authorId="0">
      <text>
        <r>
          <rPr>
            <rFont val="Aptos Narrow"/>
            <b/>
            <color rgb="FFFFFFFF"/>
            <sz val="11"/>
          </rPr>
          <t>Publication flag.</t>
        </r>
      </text>
    </comment>
    <comment ref="B1" authorId="0">
      <text>
        <r>
          <rPr>
            <rFont val="Aptos Narrow"/>
            <b/>
            <color rgb="FFFFFFFF"/>
            <sz val="11"/>
          </rPr>
          <t>Source base identifier.</t>
        </r>
      </text>
    </comment>
  </commentList>
</comments>
</file>

<file path=xl/comments5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Customization identifier.</t>
        </r>
      </text>
    </comment>
    <comment ref="C1" authorId="0">
      <text>
        <r>
          <rPr>
            <rFont val="Aptos Narrow"/>
            <b/>
            <color rgb="FFFFFFFF"/>
            <sz val="11"/>
          </rPr>
          <t>Customization title.</t>
        </r>
      </text>
    </comment>
    <comment ref="D1" authorId="0">
      <text>
        <r>
          <rPr>
            <rFont val="Aptos Narrow"/>
            <b/>
            <color rgb="FFFFFFFF"/>
            <sz val="11"/>
          </rPr>
          <t>Customization SQL.</t>
        </r>
      </text>
    </comment>
    <comment ref="E1" authorId="0">
      <text>
        <r>
          <rPr>
            <rFont val="Aptos Narrow"/>
            <b/>
            <color rgb="FFFFFFFF"/>
            <sz val="11"/>
          </rPr>
          <t>Target substrate.</t>
        </r>
      </text>
    </comment>
    <comment ref="F1" authorId="0">
      <text>
        <r>
          <rPr>
            <rFont val="Aptos Narrow"/>
            <b/>
            <color rgb="FFFFFFFF"/>
            <sz val="11"/>
          </rPr>
          <t>Customization category.</t>
        </r>
      </text>
    </comment>
    <comment ref="B1" authorId="0">
      <text>
        <r>
          <rPr>
            <rFont val="Aptos Narrow"/>
            <b/>
            <color rgb="FFFFFFFF"/>
            <sz val="11"/>
          </rPr>
          <t>Customization file name.</t>
        </r>
      </text>
    </comment>
  </commentList>
</comments>
</file>

<file path=xl/comments5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ExceptionInvocations row.</t>
        </r>
      </text>
    </comment>
    <comment ref="C1" authorId="0">
      <text>
        <r>
          <rPr>
            <rFont val="Aptos Narrow"/>
            <b/>
            <color rgb="FFFFFFFF"/>
            <sz val="11"/>
          </rPr>
          <t>The execution during which the exception was invoked.</t>
        </r>
      </text>
    </comment>
    <comment ref="D1" authorId="0">
      <text>
        <r>
          <rPr>
            <rFont val="Aptos Narrow"/>
            <b/>
            <color rgb="FFFFFFFF"/>
            <sz val="11"/>
          </rPr>
          <t>The specified exception that was invoked.</t>
        </r>
      </text>
    </comment>
    <comment ref="E1" authorId="0">
      <text>
        <r>
          <rPr>
            <rFont val="Aptos Narrow"/>
            <b/>
            <color rgb="FFFFFFFF"/>
            <sz val="11"/>
          </rPr>
          <t>Agent who invoked the exception.</t>
        </r>
      </text>
    </comment>
    <comment ref="F1" authorId="0">
      <text>
        <r>
          <rPr>
            <rFont val="Aptos Narrow"/>
            <b/>
            <color rgb="FFFFFFFF"/>
            <sz val="11"/>
          </rPr>
          <t>Agent who approved the invocation. Must satisfy the exception's ApprovalRole.</t>
        </r>
      </text>
    </comment>
    <comment ref="G1" authorId="0">
      <text>
        <r>
          <rPr>
            <rFont val="Aptos Narrow"/>
            <b/>
            <color rgb="FFFFFFFF"/>
            <sz val="11"/>
          </rPr>
          <t>When the exception was invoked.</t>
        </r>
      </text>
    </comment>
    <comment ref="H1" authorId="0">
      <text>
        <r>
          <rPr>
            <rFont val="Aptos Narrow"/>
            <b/>
            <color rgb="FFFFFFFF"/>
            <sz val="11"/>
          </rPr>
          <t>What was actually done, in the invoker's words.</t>
        </r>
      </text>
    </comment>
    <comment ref="I1" authorId="0">
      <text>
        <r>
          <rPr>
            <rFont val="Aptos Narrow"/>
            <b/>
            <color rgb="FFFFFFFF"/>
            <sz val="11"/>
          </rPr>
          <t>The handling the specification prescribes.</t>
        </r>
      </text>
    </comment>
    <comment ref="J1" authorId="0">
      <text>
        <r>
          <rPr>
            <rFont val="Aptos Narrow"/>
            <b/>
            <color rgb="FFFFFFFF"/>
            <sz val="11"/>
          </rPr>
          <t>The role the specification requires to approve this exception.</t>
        </r>
      </text>
    </comment>
    <comment ref="K1" authorId="0">
      <text>
        <r>
          <rPr>
            <rFont val="Aptos Narrow"/>
            <b/>
            <color rgb="FFFFFFFF"/>
            <sz val="11"/>
          </rPr>
          <t>The agent who currently holds the role that must approve this exception.</t>
        </r>
      </text>
    </comment>
    <comment ref="L1" authorId="0">
      <text>
        <r>
          <rPr>
            <rFont val="Aptos Narrow"/>
            <b/>
            <color rgb="FFFFFFFF"/>
            <sz val="11"/>
          </rPr>
          <t>TRUE when the agent who approved is the holder of the role the exception requires.</t>
        </r>
      </text>
    </comment>
    <comment ref="M1" authorId="0">
      <text>
        <r>
          <rPr>
            <rFont val="Aptos Narrow"/>
            <b/>
            <color rgb="FFFFFFFF"/>
            <sz val="11"/>
          </rPr>
          <t>TRUE when an approver was recorded at all.</t>
        </r>
      </text>
    </comment>
    <comment ref="N1" authorId="0">
      <text>
        <r>
          <rPr>
            <rFont val="Aptos Narrow"/>
            <b/>
            <color rgb="FFFFFFFF"/>
            <sz val="11"/>
          </rPr>
          <t>TRUE when an exception was invoked without an approver, or approved by an agent who does not hold the required role.</t>
        </r>
      </text>
    </comment>
    <comment ref="O1" authorId="0">
      <text>
        <r>
          <rPr>
            <rFont val="Aptos Narrow"/>
            <b/>
            <color rgb="FFFFFFFF"/>
            <sz val="11"/>
          </rPr>
          <t>What kind of agent invoked the exception.</t>
        </r>
      </text>
    </comment>
    <comment ref="P1" authorId="0">
      <text>
        <r>
          <rPr>
            <rFont val="Aptos Narrow"/>
            <b/>
            <color rgb="FFFFFFFF"/>
            <sz val="11"/>
          </rPr>
          <t>Composite execution+approver key, in the same key space as StepExecutions.PreparerAgentKey.</t>
        </r>
      </text>
    </comment>
    <comment ref="Q1" authorId="0">
      <text>
        <r>
          <rPr>
            <rFont val="Aptos Narrow"/>
            <b/>
            <color rgb="FFFFFFFF"/>
            <sz val="11"/>
          </rPr>
          <t>The procedure execution this invocation belongs to.</t>
        </r>
      </text>
    </comment>
    <comment ref="R1" authorId="0">
      <text>
        <r>
          <rPr>
            <rFont val="Aptos Narrow"/>
            <b/>
            <color rgb="FFFFFFFF"/>
            <sz val="11"/>
          </rPr>
          <t>How many preparation steps in the same execution were run by the agent who approved this exception.</t>
        </r>
      </text>
    </comment>
    <comment ref="S1" authorId="0">
      <text>
        <r>
          <rPr>
            <rFont val="Aptos Narrow"/>
            <b/>
            <color rgb="FFFFFFFF"/>
            <sz val="11"/>
          </rPr>
          <t>TRUE when an exception routed approval authority to an agent who prepared work in the same execution.</t>
        </r>
      </text>
    </comment>
    <comment ref="T1" authorId="0">
      <text>
        <r>
          <rPr>
            <rFont val="Aptos Narrow"/>
            <b/>
            <color rgb="FFFFFFFF"/>
            <sz val="11"/>
          </rPr>
          <t>TRUE when an exception was invoked without proper role authority, or routed authority to the preparer.</t>
        </r>
      </text>
    </comment>
    <comment ref="U1" authorId="0">
      <text>
        <r>
          <rPr>
            <rFont val="Aptos Narrow"/>
            <b/>
            <color rgb="FFFFFFFF"/>
            <sz val="11"/>
          </rPr>
          <t>Extension IRI — PKO does not define exception invocation.</t>
        </r>
      </text>
    </comment>
    <comment ref="B1" authorId="0">
      <text>
        <r>
          <rPr>
            <rFont val="Aptos Narrow"/>
            <b/>
            <color rgb="FFFFFFFF"/>
            <sz val="11"/>
          </rPr>
          <t>Human-readable calculated display alias.</t>
        </r>
      </text>
    </comment>
  </commentList>
</comments>
</file>

<file path=xl/comments5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VerificationOutcomes row.</t>
        </r>
      </text>
    </comment>
    <comment ref="C1" authorId="0">
      <text>
        <r>
          <rPr>
            <rFont val="Aptos Narrow"/>
            <b/>
            <color rgb="FFFFFFFF"/>
            <sz val="11"/>
          </rPr>
          <t>The execution during which the verification was performed.</t>
        </r>
      </text>
    </comment>
    <comment ref="D1" authorId="0">
      <text>
        <r>
          <rPr>
            <rFont val="Aptos Narrow"/>
            <b/>
            <color rgb="FFFFFFFF"/>
            <sz val="11"/>
          </rPr>
          <t>The declared verification being performed.</t>
        </r>
      </text>
    </comment>
    <comment ref="E1" authorId="0">
      <text>
        <r>
          <rPr>
            <rFont val="Aptos Narrow"/>
            <b/>
            <color rgb="FFFFFFFF"/>
            <sz val="11"/>
          </rPr>
          <t>The value the signal actually read at verification time.</t>
        </r>
      </text>
    </comment>
    <comment ref="F1" authorId="0">
      <text>
        <r>
          <rPr>
            <rFont val="Aptos Narrow"/>
            <b/>
            <color rgb="FFFFFFFF"/>
            <sz val="11"/>
          </rPr>
          <t>Agent who observed the signal.</t>
        </r>
      </text>
    </comment>
    <comment ref="G1" authorId="0">
      <text>
        <r>
          <rPr>
            <rFont val="Aptos Narrow"/>
            <b/>
            <color rgb="FFFFFFFF"/>
            <sz val="11"/>
          </rPr>
          <t>When the signal was observed.</t>
        </r>
      </text>
    </comment>
    <comment ref="H1" authorId="0">
      <text>
        <r>
          <rPr>
            <rFont val="Aptos Narrow"/>
            <b/>
            <color rgb="FFFFFFFF"/>
            <sz val="11"/>
          </rPr>
          <t>Pointer to the retained artifact backing the observation.</t>
        </r>
      </text>
    </comment>
    <comment ref="I1" authorId="0">
      <text>
        <r>
          <rPr>
            <rFont val="Aptos Narrow"/>
            <b/>
            <color rgb="FFFFFFFF"/>
            <sz val="11"/>
          </rPr>
          <t>The value the specification expects.</t>
        </r>
      </text>
    </comment>
    <comment ref="J1" authorId="0">
      <text>
        <r>
          <rPr>
            <rFont val="Aptos Narrow"/>
            <b/>
            <color rgb="FFFFFFFF"/>
            <sz val="11"/>
          </rPr>
          <t>Which signal this outcome concerns.</t>
        </r>
      </text>
    </comment>
    <comment ref="K1" authorId="0">
      <text>
        <r>
          <rPr>
            <rFont val="Aptos Narrow"/>
            <b/>
            <color rgb="FFFFFFFF"/>
            <sz val="11"/>
          </rPr>
          <t>TRUE when the observed value equals the expected value.</t>
        </r>
      </text>
    </comment>
    <comment ref="L1" authorId="0">
      <text>
        <r>
          <rPr>
            <rFont val="Aptos Narrow"/>
            <b/>
            <color rgb="FFFFFFFF"/>
            <sz val="11"/>
          </rPr>
          <t>TRUE when a retained artifact backs this observation.</t>
        </r>
      </text>
    </comment>
    <comment ref="M1" authorId="0">
      <text>
        <r>
          <rPr>
            <rFont val="Aptos Narrow"/>
            <b/>
            <color rgb="FFFFFFFF"/>
            <sz val="11"/>
          </rPr>
          <t>TRUE when a verification was recorded as matching but no evidence artifact was retained.</t>
        </r>
      </text>
    </comment>
    <comment ref="N1" authorId="0">
      <text>
        <r>
          <rPr>
            <rFont val="Aptos Narrow"/>
            <b/>
            <color rgb="FFFFFFFF"/>
            <sz val="11"/>
          </rPr>
          <t>TRUE when the agent who observed the verification signal is the same agent who executed the step being verified.</t>
        </r>
      </text>
    </comment>
    <comment ref="O1" authorId="0">
      <text>
        <r>
          <rPr>
            <rFont val="Aptos Narrow"/>
            <b/>
            <color rgb="FFFFFFFF"/>
            <sz val="11"/>
          </rPr>
          <t>The agent who executed the step this verification outcome concerns.</t>
        </r>
      </text>
    </comment>
    <comment ref="P1" authorId="0">
      <text>
        <r>
          <rPr>
            <rFont val="Aptos Narrow"/>
            <b/>
            <color rgb="FFFFFFFF"/>
            <sz val="11"/>
          </rPr>
          <t>Echoes the StepExecution id only for self-witnessed verifications.</t>
        </r>
      </text>
    </comment>
    <comment ref="Q1" authorId="0">
      <text>
        <r>
          <rPr>
            <rFont val="Aptos Narrow"/>
            <b/>
            <color rgb="FFFFFFFF"/>
            <sz val="11"/>
          </rPr>
          <t>Echoes the StepExecution id when a verification matched but retained no evidence.</t>
        </r>
      </text>
    </comment>
    <comment ref="R1" authorId="0">
      <text>
        <r>
          <rPr>
            <rFont val="Aptos Narrow"/>
            <b/>
            <color rgb="FFFFFFFF"/>
            <sz val="11"/>
          </rPr>
          <t>TRUE when the executor observed their own passing signal and attached no evidence.</t>
        </r>
      </text>
    </comment>
    <comment ref="S1" authorId="0">
      <text>
        <r>
          <rPr>
            <rFont val="Aptos Narrow"/>
            <b/>
            <color rgb="FFFFFFFF"/>
            <sz val="11"/>
          </rPr>
          <t>TRUE when a PASSING signal was self-observed with no evidence behind it.</t>
        </r>
      </text>
    </comment>
    <comment ref="T1" authorId="0">
      <text>
        <r>
          <rPr>
            <rFont val="Aptos Narrow"/>
            <b/>
            <color rgb="FFFFFFFF"/>
            <sz val="11"/>
          </rPr>
          <t>Echoes the step execution id when this outcome is an uncorroborated pass.</t>
        </r>
      </text>
    </comment>
    <comment ref="U1" authorId="0">
      <text>
        <r>
          <rPr>
            <rFont val="Aptos Narrow"/>
            <b/>
            <color rgb="FFFFFFFF"/>
            <sz val="11"/>
          </rPr>
          <t>Whether the agent who recorded this observation is non-human. Agents has no PrimaryRole column and an FK from Agents back to Roles would create a table cycle, so the independence question is answered by agent kind rather than by role.</t>
        </r>
      </text>
    </comment>
    <comment ref="V1" authorId="0">
      <text>
        <r>
          <rPr>
            <rFont val="Aptos Narrow"/>
            <b/>
            <color rgb="FFFFFFFF"/>
            <sz val="11"/>
          </rPr>
          <t>TRUE when someone other than the step's executor recorded the observation.</t>
        </r>
      </text>
    </comment>
    <comment ref="W1" authorId="0">
      <text>
        <r>
          <rPr>
            <rFont val="Aptos Narrow"/>
            <b/>
            <color rgb="FFFFFFFF"/>
            <sz val="11"/>
          </rPr>
          <t>TRUE when a human other than the step's executor observed this signal and attached evidence.</t>
        </r>
      </text>
    </comment>
    <comment ref="X1" authorId="0">
      <text>
        <r>
          <rPr>
            <rFont val="Aptos Narrow"/>
            <b/>
            <color rgb="FFFFFFFF"/>
            <sz val="11"/>
          </rPr>
          <t>Echoes the parent execution id when this is an independent human observation.</t>
        </r>
      </text>
    </comment>
    <comment ref="Y1" authorId="0">
      <text>
        <r>
          <rPr>
            <rFont val="Aptos Narrow"/>
            <b/>
            <color rgb="FFFFFFFF"/>
            <sz val="11"/>
          </rPr>
          <t>The procedure execution this verification outcome belongs to.</t>
        </r>
      </text>
    </comment>
    <comment ref="Z1" authorId="0">
      <text>
        <r>
          <rPr>
            <rFont val="Aptos Narrow"/>
            <b/>
            <color rgb="FFFFFFFF"/>
            <sz val="11"/>
          </rPr>
          <t>Extension IRI — PKO 2.0.0 has no execution-side verification outcome class.</t>
        </r>
      </text>
    </comment>
    <comment ref="B1" authorId="0">
      <text>
        <r>
          <rPr>
            <rFont val="Aptos Narrow"/>
            <b/>
            <color rgb="FFFFFFFF"/>
            <sz val="11"/>
          </rPr>
          <t>Human-readable calculated display alias.</t>
        </r>
      </text>
    </comment>
  </commentList>
</comments>
</file>

<file path=xl/comments5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ObservedTransitions row.</t>
        </r>
      </text>
    </comment>
    <comment ref="C1" authorId="0">
      <text>
        <r>
          <rPr>
            <rFont val="Aptos Narrow"/>
            <b/>
            <color rgb="FFFFFFFF"/>
            <sz val="11"/>
          </rPr>
          <t>The procedure execution during which this transition was traversed.</t>
        </r>
      </text>
    </comment>
    <comment ref="D1" authorId="0">
      <text>
        <r>
          <rPr>
            <rFont val="Aptos Narrow"/>
            <b/>
            <color rgb="FFFFFFFF"/>
            <sz val="11"/>
          </rPr>
          <t>The specification-level transition that was actually taken.</t>
        </r>
      </text>
    </comment>
    <comment ref="E1" authorId="0">
      <text>
        <r>
          <rPr>
            <rFont val="Aptos Narrow"/>
            <b/>
            <color rgb="FFFFFFFF"/>
            <sz val="11"/>
          </rPr>
          <t>The step execution that this traversal produced.</t>
        </r>
      </text>
    </comment>
    <comment ref="F1" authorId="0">
      <text>
        <r>
          <rPr>
            <rFont val="Aptos Narrow"/>
            <b/>
            <color rgb="FFFFFFFF"/>
            <sz val="11"/>
          </rPr>
          <t>When the traversal occurred.</t>
        </r>
      </text>
    </comment>
    <comment ref="G1" authorId="0">
      <text>
        <r>
          <rPr>
            <rFont val="Aptos Narrow"/>
            <b/>
            <color rgb="FFFFFFFF"/>
            <sz val="11"/>
          </rPr>
          <t>Why this path rather than the default was taken.</t>
        </r>
      </text>
    </comment>
    <comment ref="H1" authorId="0">
      <text>
        <r>
          <rPr>
            <rFont val="Aptos Narrow"/>
            <b/>
            <color rgb="FFFFFFFF"/>
            <sz val="11"/>
          </rPr>
          <t>Extension class IRI.</t>
        </r>
      </text>
    </comment>
    <comment ref="B1" authorId="0">
      <text>
        <r>
          <rPr>
            <rFont val="Aptos Narrow"/>
            <b/>
            <color rgb="FFFFFFFF"/>
            <sz val="11"/>
          </rPr>
          <t>Human-readable calculated display alias.</t>
        </r>
      </text>
    </comment>
  </commentList>
</comments>
</file>

<file path=xl/comments6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Recipients row.</t>
        </r>
      </text>
    </comment>
    <comment ref="C1" authorId="0">
      <text>
        <r>
          <rPr>
            <rFont val="Aptos Narrow"/>
            <b/>
            <color rgb="FFFFFFFF"/>
            <sz val="11"/>
          </rPr>
          <t>Employee display name as carried in the consent registry.</t>
        </r>
      </text>
    </comment>
    <comment ref="D1" authorId="0">
      <text>
        <r>
          <rPr>
            <rFont val="Aptos Narrow"/>
            <b/>
            <color rgb="FFFFFFFF"/>
            <sz val="11"/>
          </rPr>
          <t>Organization the recipient belongs to.</t>
        </r>
      </text>
    </comment>
    <comment ref="E1" authorId="0">
      <text>
        <r>
          <rPr>
            <rFont val="Aptos Narrow"/>
            <b/>
            <color rgb="FFFFFFFF"/>
            <sz val="11"/>
          </rPr>
          <t>Corporate email address; empty string when the recipient has no valid corporate email.</t>
        </r>
      </text>
    </comment>
    <comment ref="F1" authorId="0">
      <text>
        <r>
          <rPr>
            <rFont val="Aptos Narrow"/>
            <b/>
            <color rgb="FFFFFFFF"/>
            <sz val="11"/>
          </rPr>
          <t>Mobile number in E.164 form; empty string when no mobile number is on file.</t>
        </r>
      </text>
    </comment>
    <comment ref="G1" authorId="0">
      <text>
        <r>
          <rPr>
            <rFont val="Aptos Narrow"/>
            <b/>
            <color rgb="FFFFFFFF"/>
            <sz val="11"/>
          </rPr>
          <t>Consent state as observed in the consent registry: Granted, Revoked, or NeverGiven.</t>
        </r>
      </text>
    </comment>
    <comment ref="H1" authorId="0">
      <text>
        <r>
          <rPr>
            <rFont val="Aptos Narrow"/>
            <b/>
            <color rgb="FFFFFFFF"/>
            <sz val="11"/>
          </rPr>
          <t>Timestamp at which the current SMS consent state took effect.</t>
        </r>
      </text>
    </comment>
    <comment ref="I1" authorId="0">
      <text>
        <r>
          <rPr>
            <rFont val="Aptos Narrow"/>
            <b/>
            <color rgb="FFFFFFFF"/>
            <sz val="11"/>
          </rPr>
          <t>Operational binding through which this consent state was observed.</t>
        </r>
      </text>
    </comment>
    <comment ref="J1" authorId="0">
      <text>
        <r>
          <rPr>
            <rFont val="Aptos Narrow"/>
            <b/>
            <color rgb="FFFFFFFF"/>
            <sz val="11"/>
          </rPr>
          <t>TRUE only when the recipient's SMS consent state is Granted.</t>
        </r>
      </text>
    </comment>
    <comment ref="K1" authorId="0">
      <text>
        <r>
          <rPr>
            <rFont val="Aptos Narrow"/>
            <b/>
            <color rgb="FFFFFFFF"/>
            <sz val="11"/>
          </rPr>
          <t>TRUE when a corporate email address is on file for this recipient.</t>
        </r>
      </text>
    </comment>
    <comment ref="L1" authorId="0">
      <text>
        <r>
          <rPr>
            <rFont val="Aptos Narrow"/>
            <b/>
            <color rgb="FFFFFFFF"/>
            <sz val="11"/>
          </rPr>
          <t>TRUE when a mobile number is on file for this recipient.</t>
        </r>
      </text>
    </comment>
    <comment ref="M1" authorId="0">
      <text>
        <r>
          <rPr>
            <rFont val="Aptos Narrow"/>
            <b/>
            <color rgb="FFFFFFFF"/>
            <sz val="11"/>
          </rPr>
          <t>TRUE when the recipient has neither an email address nor a mobile number -- the exc-unreachable trigger condition.</t>
        </r>
      </text>
    </comment>
    <comment ref="N1" authorId="0">
      <text>
        <r>
          <rPr>
            <rFont val="Aptos Narrow"/>
            <b/>
            <color rgb="FFFFFFFF"/>
            <sz val="11"/>
          </rPr>
          <t>TRUE when every channel we hold for this person is either non-consenting or unreachable, so no lawful route exists at all.</t>
        </r>
      </text>
    </comment>
    <comment ref="O1" authorId="0">
      <text>
        <r>
          <rPr>
            <rFont val="Aptos Narrow"/>
            <b/>
            <color rgb="FFFFFFFF"/>
            <sz val="11"/>
          </rPr>
          <t>Extension IRI; recipients are not a PKO 2.0.0 native class.</t>
        </r>
      </text>
    </comment>
    <comment ref="B1" authorId="0">
      <text>
        <r>
          <rPr>
            <rFont val="Aptos Narrow"/>
            <b/>
            <color rgb="FFFFFFFF"/>
            <sz val="11"/>
          </rPr>
          <t>Human-readable calculated display alias for the Recipients row.</t>
        </r>
      </text>
    </comment>
  </commentList>
</comments>
</file>

<file path=xl/comments6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MessageDeliveries row.</t>
        </r>
      </text>
    </comment>
    <comment ref="C1" authorId="0">
      <text>
        <r>
          <rPr>
            <rFont val="Aptos Narrow"/>
            <b/>
            <color rgb="FFFFFFFF"/>
            <sz val="11"/>
          </rPr>
          <t>The procedure execution this send was performed under.</t>
        </r>
      </text>
    </comment>
    <comment ref="D1" authorId="0">
      <text>
        <r>
          <rPr>
            <rFont val="Aptos Narrow"/>
            <b/>
            <color rgb="FFFFFFFF"/>
            <sz val="11"/>
          </rPr>
          <t>The step execution that performed the send.</t>
        </r>
      </text>
    </comment>
    <comment ref="E1" authorId="0">
      <text>
        <r>
          <rPr>
            <rFont val="Aptos Narrow"/>
            <b/>
            <color rgb="FFFFFFFF"/>
            <sz val="11"/>
          </rPr>
          <t>Who the message was sent to.</t>
        </r>
      </text>
    </comment>
    <comment ref="F1" authorId="0">
      <text>
        <r>
          <rPr>
            <rFont val="Aptos Narrow"/>
            <b/>
            <color rgb="FFFFFFFF"/>
            <sz val="11"/>
          </rPr>
          <t>Template that was rendered for this send.</t>
        </r>
      </text>
    </comment>
    <comment ref="G1" authorId="0">
      <text>
        <r>
          <rPr>
            <rFont val="Aptos Narrow"/>
            <b/>
            <color rgb="FFFFFFFF"/>
            <sz val="11"/>
          </rPr>
          <t>Agent that performed the send.</t>
        </r>
      </text>
    </comment>
    <comment ref="H1" authorId="0">
      <text>
        <r>
          <rPr>
            <rFont val="Aptos Narrow"/>
            <b/>
            <color rgb="FFFFFFFF"/>
            <sz val="11"/>
          </rPr>
          <t>The exact body text that was transmitted, after variable substitution.</t>
        </r>
      </text>
    </comment>
    <comment ref="I1" authorId="0">
      <text>
        <r>
          <rPr>
            <rFont val="Aptos Narrow"/>
            <b/>
            <color rgb="FFFFFFFF"/>
            <sz val="11"/>
          </rPr>
          <t>Transmission timestamp.</t>
        </r>
      </text>
    </comment>
    <comment ref="J1" authorId="0">
      <text>
        <r>
          <rPr>
            <rFont val="Aptos Narrow"/>
            <b/>
            <color rgb="FFFFFFFF"/>
            <sz val="11"/>
          </rPr>
          <t>Hour of day 0-23 in the RECIPIENT's local timezone at transmission. Stored raw because recipient-local time is what the quiet-hours rule is written against and it is not derivable from SentAt alone.</t>
        </r>
      </text>
    </comment>
    <comment ref="K1" authorId="0">
      <text>
        <r>
          <rPr>
            <rFont val="Aptos Narrow"/>
            <b/>
            <color rgb="FFFFFFFF"/>
            <sz val="11"/>
          </rPr>
          <t>Sent, Delivered, Failed, Suppressed, or Bounced.</t>
        </r>
      </text>
    </comment>
    <comment ref="L1" authorId="0">
      <text>
        <r>
          <rPr>
            <rFont val="Aptos Narrow"/>
            <b/>
            <color rgb="FFFFFFFF"/>
            <sz val="11"/>
          </rPr>
          <t>When DeliveryStatus is Suppressed, why; empty string otherwise.</t>
        </r>
      </text>
    </comment>
    <comment ref="M1" authorId="0">
      <text>
        <r>
          <rPr>
            <rFont val="Aptos Narrow"/>
            <b/>
            <color rgb="FFFFFFFF"/>
            <sz val="11"/>
          </rPr>
          <t>Documented exception invoked for this delivery, when one was.</t>
        </r>
      </text>
    </comment>
    <comment ref="N1" authorId="0">
      <text>
        <r>
          <rPr>
            <rFont val="Aptos Narrow"/>
            <b/>
            <color rgb="FFFFFFFF"/>
            <sz val="11"/>
          </rPr>
          <t>When the recipient acknowledged; null when not acknowledged.</t>
        </r>
      </text>
    </comment>
    <comment ref="O1" authorId="0">
      <text>
        <r>
          <rPr>
            <rFont val="Aptos Narrow"/>
            <b/>
            <color rgb="FFFFFFFF"/>
            <sz val="11"/>
          </rPr>
          <t>The communication policy governing the template that was sent.</t>
        </r>
      </text>
    </comment>
    <comment ref="P1" authorId="0">
      <text>
        <r>
          <rPr>
            <rFont val="Aptos Narrow"/>
            <b/>
            <color rgb="FFFFFFFF"/>
            <sz val="11"/>
          </rPr>
          <t>Channel (Email, SMS) of the policy this delivery went out under.</t>
        </r>
      </text>
    </comment>
    <comment ref="Q1" authorId="0">
      <text>
        <r>
          <rPr>
            <rFont val="Aptos Narrow"/>
            <b/>
            <color rgb="FFFFFFFF"/>
            <sz val="11"/>
          </rPr>
          <t>Whether the governing policy requires active consent for this channel.</t>
        </r>
      </text>
    </comment>
    <comment ref="R1" authorId="0">
      <text>
        <r>
          <rPr>
            <rFont val="Aptos Narrow"/>
            <b/>
            <color rgb="FFFFFFFF"/>
            <sz val="11"/>
          </rPr>
          <t>Whether the recipient of this delivery had SMS consent on file.</t>
        </r>
      </text>
    </comment>
    <comment ref="S1" authorId="0">
      <text>
        <r>
          <rPr>
            <rFont val="Aptos Narrow"/>
            <b/>
            <color rgb="FFFFFFFF"/>
            <sz val="11"/>
          </rPr>
          <t>TRUE when the message actually left our systems. Suppressed and Failed messages never reached the carrier.</t>
        </r>
      </text>
    </comment>
    <comment ref="T1" authorId="0">
      <text>
        <r>
          <rPr>
            <rFont val="Aptos Narrow"/>
            <b/>
            <color rgb="FFFFFFFF"/>
            <sz val="11"/>
          </rPr>
          <t>TRUE when a message was actually transmitted on a consent-required channel to a recipient without consent. This is the TCPA witness.</t>
        </r>
      </text>
    </comment>
    <comment ref="U1" authorId="0">
      <text>
        <r>
          <rPr>
            <rFont val="Aptos Narrow"/>
            <b/>
            <color rgb="FFFFFFFF"/>
            <sz val="11"/>
          </rPr>
          <t>Carries the policy id only on rows that are consent violations; empty string otherwise.</t>
        </r>
      </text>
    </comment>
    <comment ref="V1" authorId="0">
      <text>
        <r>
          <rPr>
            <rFont val="Aptos Narrow"/>
            <b/>
            <color rgb="FFFFFFFF"/>
            <sz val="11"/>
          </rPr>
          <t>Quiet-hours start hour (0-23) from the governing policy.</t>
        </r>
      </text>
    </comment>
    <comment ref="W1" authorId="0">
      <text>
        <r>
          <rPr>
            <rFont val="Aptos Narrow"/>
            <b/>
            <color rgb="FFFFFFFF"/>
            <sz val="11"/>
          </rPr>
          <t>Quiet-hours end hour (0-23) from the governing policy.</t>
        </r>
      </text>
    </comment>
    <comment ref="X1" authorId="0">
      <text>
        <r>
          <rPr>
            <rFont val="Aptos Narrow"/>
            <b/>
            <color rgb="FFFFFFFF"/>
            <sz val="11"/>
          </rPr>
          <t>TRUE when the governing policy actually declares a quiet-hours window. comm-email-policy has 00:00-00:00, meaning no window.</t>
        </r>
      </text>
    </comment>
    <comment ref="Y1" authorId="0">
      <text>
        <r>
          <rPr>
            <rFont val="Aptos Narrow"/>
            <b/>
            <color rgb="FFFFFFFF"/>
            <sz val="11"/>
          </rPr>
          <t>TRUE when the quiet window crosses midnight (20:00 -&gt; 08:00 does).</t>
        </r>
      </text>
    </comment>
    <comment ref="Z1" authorId="0">
      <text>
        <r>
          <rPr>
            <rFont val="Aptos Narrow"/>
            <b/>
            <color rgb="FFFFFFFF"/>
            <sz val="11"/>
          </rPr>
          <t>TRUE when the recipient-local send hour falls inside the declared quiet window, handling the midnight wrap correctly.</t>
        </r>
      </text>
    </comment>
    <comment ref="AA1" authorId="0">
      <text>
        <r>
          <rPr>
            <rFont val="Aptos Narrow"/>
            <b/>
            <color rgb="FFFFFFFF"/>
            <sz val="11"/>
          </rPr>
          <t>TRUE when a message was actually transmitted inside a declared quiet-hours window. The quiet-hours witness.</t>
        </r>
      </text>
    </comment>
    <comment ref="AB1" authorId="0">
      <text>
        <r>
          <rPr>
            <rFont val="Aptos Narrow"/>
            <b/>
            <color rgb="FFFFFFFF"/>
            <sz val="11"/>
          </rPr>
          <t>Carries the policy id only on quiet-hours violations; empty string otherwise.</t>
        </r>
      </text>
    </comment>
    <comment ref="AC1" authorId="0">
      <text>
        <r>
          <rPr>
            <rFont val="Aptos Narrow"/>
            <b/>
            <color rgb="FFFFFFFF"/>
            <sz val="11"/>
          </rPr>
          <t>Whether the recipient has neither email nor mobile on file -- the exc-unreachable trigger.</t>
        </r>
      </text>
    </comment>
    <comment ref="AD1" authorId="0">
      <text>
        <r>
          <rPr>
            <rFont val="Aptos Narrow"/>
            <b/>
            <color rgb="FFFFFFFF"/>
            <sz val="11"/>
          </rPr>
          <t>TRUE when an acknowledgement timestamp is recorded for this delivery.</t>
        </r>
      </text>
    </comment>
    <comment ref="AE1" authorId="0">
      <text>
        <r>
          <rPr>
            <rFont val="Aptos Narrow"/>
            <b/>
            <color rgb="FFFFFFFF"/>
            <sz val="11"/>
          </rPr>
          <t>The documented condition of the exception invoked on this delivery, if any.</t>
        </r>
      </text>
    </comment>
    <comment ref="AF1" authorId="0">
      <text>
        <r>
          <rPr>
            <rFont val="Aptos Narrow"/>
            <b/>
            <color rgb="FFFFFFFF"/>
            <sz val="11"/>
          </rPr>
          <t>TRUE when the documented unreachable-recipient exception was formally invoked on this delivery.</t>
        </r>
      </text>
    </comment>
    <comment ref="AG1" authorId="0">
      <text>
        <r>
          <rPr>
            <rFont val="Aptos Narrow"/>
            <b/>
            <color rgb="FFFFFFFF"/>
            <sz val="11"/>
          </rPr>
          <t>TRUE when an acknowledgement is recorded for a recipient we could not reach. This is the misrepresentation witness.</t>
        </r>
      </text>
    </comment>
    <comment ref="AH1" authorId="0">
      <text>
        <r>
          <rPr>
            <rFont val="Aptos Narrow"/>
            <b/>
            <color rgb="FFFFFFFF"/>
            <sz val="11"/>
          </rPr>
          <t>TRUE when a recipient was unreachable but no documented exception was invoked -- the case fell on the floor silently.</t>
        </r>
      </text>
    </comment>
    <comment ref="AI1" authorId="0">
      <text>
        <r>
          <rPr>
            <rFont val="Aptos Narrow"/>
            <b/>
            <color rgb="FFFFFFFF"/>
            <sz val="11"/>
          </rPr>
          <t>Carries the execution id on any unreachable-handling failure; empty string otherwise.</t>
        </r>
      </text>
    </comment>
    <comment ref="AJ1" authorId="0">
      <text>
        <r>
          <rPr>
            <rFont val="Aptos Narrow"/>
            <b/>
            <color rgb="FFFFFFFF"/>
            <sz val="11"/>
          </rPr>
          <t>Retention commitment in days inherited from the governing channel policy.</t>
        </r>
      </text>
    </comment>
    <comment ref="AK1" authorId="0">
      <text>
        <r>
          <rPr>
            <rFont val="Aptos Narrow"/>
            <b/>
            <color rgb="FFFFFFFF"/>
            <sz val="11"/>
          </rPr>
          <t>The evaluation context this row's time-dependent witnesses are judged under.</t>
        </r>
      </text>
    </comment>
    <comment ref="AL1" authorId="0">
      <text>
        <r>
          <rPr>
            <rFont val="Aptos Narrow"/>
            <b/>
            <color rgb="FFFFFFFF"/>
            <sz val="11"/>
          </rPr>
          <t>The evaluation instant this row's time-dependent witnesses are judged against.</t>
        </r>
      </text>
    </comment>
    <comment ref="AM1" authorId="0">
      <text>
        <r>
          <rPr>
            <rFont val="Aptos Narrow"/>
            <b/>
            <color rgb="FFFFFFFF"/>
            <sz val="11"/>
          </rPr>
          <t>Days elapsed since transmission.</t>
        </r>
      </text>
    </comment>
    <comment ref="AN1" authorId="0">
      <text>
        <r>
          <rPr>
            <rFont val="Aptos Narrow"/>
            <b/>
            <color rgb="FFFFFFFF"/>
            <sz val="11"/>
          </rPr>
          <t>TRUE while this delivery is still inside its committed retention period.</t>
        </r>
      </text>
    </comment>
    <comment ref="AO1" authorId="0">
      <text>
        <r>
          <rPr>
            <rFont val="Aptos Narrow"/>
            <b/>
            <color rgb="FFFFFFFF"/>
            <sz val="11"/>
          </rPr>
          <t>TRUE when the exact transmitted text is still held on this record.</t>
        </r>
      </text>
    </comment>
    <comment ref="AP1" authorId="0">
      <text>
        <r>
          <rPr>
            <rFont val="Aptos Narrow"/>
            <b/>
            <color rgb="FFFFFFFF"/>
            <sz val="11"/>
          </rPr>
          <t>TRUE when we are still obliged to hold this message's text.</t>
        </r>
      </text>
    </comment>
    <comment ref="AQ1" authorId="0">
      <text>
        <r>
          <rPr>
            <rFont val="Aptos Narrow"/>
            <b/>
            <color rgb="FFFFFFFF"/>
            <sz val="11"/>
          </rPr>
          <t>TRUE when we are obliged to hold the message text and do not. The evidentiary-gap witness.</t>
        </r>
      </text>
    </comment>
    <comment ref="AR1" authorId="0">
      <text>
        <r>
          <rPr>
            <rFont val="Aptos Narrow"/>
            <b/>
            <color rgb="FFFFFFFF"/>
            <sz val="11"/>
          </rPr>
          <t>Carries the execution id on retention breaches; empty string otherwise.</t>
        </r>
      </text>
    </comment>
    <comment ref="AS1" authorId="0">
      <text>
        <r>
          <rPr>
            <rFont val="Aptos Narrow"/>
            <b/>
            <color rgb="FFFFFFFF"/>
            <sz val="11"/>
          </rPr>
          <t>Which procedure step this delivery was performed under.</t>
        </r>
      </text>
    </comment>
    <comment ref="AT1" authorId="0">
      <text>
        <r>
          <rPr>
            <rFont val="Aptos Narrow"/>
            <b/>
            <color rgb="FFFFFFFF"/>
            <sz val="11"/>
          </rPr>
          <t>Whether legal review had passed for the execution this delivery belongs to.</t>
        </r>
      </text>
    </comment>
    <comment ref="AU1" authorId="0">
      <text>
        <r>
          <rPr>
            <rFont val="Aptos Narrow"/>
            <b/>
            <color rgb="FFFFFFFF"/>
            <sz val="11"/>
          </rPr>
          <t>TRUE when a message was transmitted under an execution whose legal review had not passed. The ungated-send witness.</t>
        </r>
      </text>
    </comment>
    <comment ref="AV1" authorId="0">
      <text>
        <r>
          <rPr>
            <rFont val="Aptos Narrow"/>
            <b/>
            <color rgb="FFFFFFFF"/>
            <sz val="11"/>
          </rPr>
          <t>Character length of the exact text that was actually transmitted.</t>
        </r>
      </text>
    </comment>
    <comment ref="AW1" authorId="0">
      <text>
        <r>
          <rPr>
            <rFont val="Aptos Narrow"/>
            <b/>
            <color rgb="FFFFFFFF"/>
            <sz val="11"/>
          </rPr>
          <t>The per-segment limit that governed this specific send.</t>
        </r>
      </text>
    </comment>
    <comment ref="AX1" authorId="0">
      <text>
        <r>
          <rPr>
            <rFont val="Aptos Narrow"/>
            <b/>
            <color rgb="FFFFFFFF"/>
            <sz val="11"/>
          </rPr>
          <t>How many channel segments the transmitted text occupied.</t>
        </r>
      </text>
    </comment>
    <comment ref="AY1" authorId="0">
      <text>
        <r>
          <rPr>
            <rFont val="Aptos Narrow"/>
            <b/>
            <color rgb="FFFFFFFF"/>
            <sz val="11"/>
          </rPr>
          <t>The segment ceiling that governed this specific send.</t>
        </r>
      </text>
    </comment>
    <comment ref="AZ1" authorId="0">
      <text>
        <r>
          <rPr>
            <rFont val="Aptos Narrow"/>
            <b/>
            <color rgb="FFFFFFFF"/>
            <sz val="11"/>
          </rPr>
          <t>TRUE when a transmitted message split into more segments than the policy permits. The oversize witness.</t>
        </r>
      </text>
    </comment>
    <comment ref="BA1" authorId="0">
      <text>
        <r>
          <rPr>
            <rFont val="Aptos Narrow"/>
            <b/>
            <color rgb="FFFFFFFF"/>
            <sz val="11"/>
          </rPr>
          <t>Whether the template used for this delivery had a properly-authorized approval.</t>
        </r>
      </text>
    </comment>
    <comment ref="BB1" authorId="0">
      <text>
        <r>
          <rPr>
            <rFont val="Aptos Narrow"/>
            <b/>
            <color rgb="FFFFFFFF"/>
            <sz val="11"/>
          </rPr>
          <t>TRUE when a message was transmitted using a template with no valid approval behind it.</t>
        </r>
      </text>
    </comment>
    <comment ref="BC1" authorId="0">
      <text>
        <r>
          <rPr>
            <rFont val="Aptos Narrow"/>
            <b/>
            <color rgb="FFFFFFFF"/>
            <sz val="11"/>
          </rPr>
          <t>The opt-out phrase required for this delivery's channel.</t>
        </r>
      </text>
    </comment>
    <comment ref="BD1" authorId="0">
      <text>
        <r>
          <rPr>
            <rFont val="Aptos Narrow"/>
            <b/>
            <color rgb="FFFFFFFF"/>
            <sz val="11"/>
          </rPr>
          <t>TRUE when the governing channel policy declares a required opt-out phrase at all.</t>
        </r>
      </text>
    </comment>
    <comment ref="BE1" authorId="0">
      <text>
        <r>
          <rPr>
            <rFont val="Aptos Narrow"/>
            <b/>
            <color rgb="FFFFFFFF"/>
            <sz val="11"/>
          </rPr>
          <t>Character position at which the required opt-out phrase appears in the transmitted text; 0 when absent.</t>
        </r>
      </text>
    </comment>
    <comment ref="BF1" authorId="0">
      <text>
        <r>
          <rPr>
            <rFont val="Aptos Narrow"/>
            <b/>
            <color rgb="FFFFFFFF"/>
            <sz val="11"/>
          </rPr>
          <t>TRUE when the required opt-out phrase appears anywhere in the transmitted text.</t>
        </r>
      </text>
    </comment>
    <comment ref="BG1" authorId="0">
      <text>
        <r>
          <rPr>
            <rFont val="Aptos Narrow"/>
            <b/>
            <color rgb="FFFFFFFF"/>
            <sz val="11"/>
          </rPr>
          <t>TRUE when the opt-out phrase falls inside the first segment, where it is guaranteed to be read.</t>
        </r>
      </text>
    </comment>
    <comment ref="BH1" authorId="0">
      <text>
        <r>
          <rPr>
            <rFont val="Aptos Narrow"/>
            <b/>
            <color rgb="FFFFFFFF"/>
            <sz val="11"/>
          </rPr>
          <t>TRUE when a transmitted message on an opt-out-required channel did not contain the phrase at all. The hard witness.</t>
        </r>
      </text>
    </comment>
    <comment ref="BI1" authorId="0">
      <text>
        <r>
          <rPr>
            <rFont val="Aptos Narrow"/>
            <b/>
            <color rgb="FFFFFFFF"/>
            <sz val="11"/>
          </rPr>
          <t>TRUE when the opt-out phrase is present but sits beyond the first segment, where carrier truncation or out-of-order delivery can hide it. The soft witness.</t>
        </r>
      </text>
    </comment>
    <comment ref="BJ1" authorId="0">
      <text>
        <r>
          <rPr>
            <rFont val="Aptos Narrow"/>
            <b/>
            <color rgb="FFFFFFFF"/>
            <sz val="11"/>
          </rPr>
          <t>TRUE when the message left our systems but did not land.</t>
        </r>
      </text>
    </comment>
    <comment ref="BK1" authorId="0">
      <text>
        <r>
          <rPr>
            <rFont val="Aptos Narrow"/>
            <b/>
            <color rgb="FFFFFFFF"/>
            <sz val="11"/>
          </rPr>
          <t>TRUE when we deliberately chose not to transmit.</t>
        </r>
      </text>
    </comment>
    <comment ref="BL1" authorId="0">
      <text>
        <r>
          <rPr>
            <rFont val="Aptos Narrow"/>
            <b/>
            <color rgb="FFFFFFFF"/>
            <sz val="11"/>
          </rPr>
          <t>TRUE when some documented exception was formally invoked on this delivery -- i.e. a human or a rule picked it up.</t>
        </r>
      </text>
    </comment>
    <comment ref="BM1" authorId="0">
      <text>
        <r>
          <rPr>
            <rFont val="Aptos Narrow"/>
            <b/>
            <color rgb="FFFFFFFF"/>
            <sz val="11"/>
          </rPr>
          <t>TRUE when a delivery failed and no documented exception was invoked. The abandoned-bounce witness.</t>
        </r>
      </text>
    </comment>
    <comment ref="BN1" authorId="0">
      <text>
        <r>
          <rPr>
            <rFont val="Aptos Narrow"/>
            <b/>
            <color rgb="FFFFFFFF"/>
            <sz val="11"/>
          </rPr>
          <t>Carries the execution id on abandoned failures; empty string otherwise.</t>
        </r>
      </text>
    </comment>
    <comment ref="BO1" authorId="0">
      <text>
        <r>
          <rPr>
            <rFont val="Aptos Narrow"/>
            <b/>
            <color rgb="FFFFFFFF"/>
            <sz val="11"/>
          </rPr>
          <t>Carries the execution id on confirmed-delivered messages; empty string otherwise.</t>
        </r>
      </text>
    </comment>
    <comment ref="BP1" authorId="0">
      <text>
        <r>
          <rPr>
            <rFont val="Aptos Narrow"/>
            <b/>
            <color rgb="FFFFFFFF"/>
            <sz val="11"/>
          </rPr>
          <t>Whether the template used for this delivery was fully sendable under a current, matching approval.</t>
        </r>
      </text>
    </comment>
    <comment ref="BQ1" authorId="0">
      <text>
        <r>
          <rPr>
            <rFont val="Aptos Narrow"/>
            <b/>
            <color rgb="FFFFFFFF"/>
            <sz val="11"/>
          </rPr>
          <t>TRUE when a message was transmitted from a template that was not validly sendable at the time. The drift witness.</t>
        </r>
      </text>
    </comment>
    <comment ref="BR1" authorId="0">
      <text>
        <r>
          <rPr>
            <rFont val="Aptos Narrow"/>
            <b/>
            <color rgb="FFFFFFFF"/>
            <sz val="11"/>
          </rPr>
          <t>Carries the template id on drifted sends; empty string otherwise.</t>
        </r>
      </text>
    </comment>
    <comment ref="BS1" authorId="0">
      <text>
        <r>
          <rPr>
            <rFont val="Aptos Narrow"/>
            <b/>
            <color rgb="FFFFFFFF"/>
            <sz val="11"/>
          </rPr>
          <t>TRUE when this message landed before 08:00 or after 18:00 in the recipient's local time.</t>
        </r>
      </text>
    </comment>
    <comment ref="BT1" authorId="0">
      <text>
        <r>
          <rPr>
            <rFont val="Aptos Narrow"/>
            <b/>
            <color rgb="FFFFFFFF"/>
            <sz val="11"/>
          </rPr>
          <t>TRUE when a message actually reached someone and no acknowledgement came back.</t>
        </r>
      </text>
    </comment>
    <comment ref="BU1" authorId="0">
      <text>
        <r>
          <rPr>
            <rFont val="Aptos Narrow"/>
            <b/>
            <color rgb="FFFFFFFF"/>
            <sz val="11"/>
          </rPr>
          <t>TRUE when an unanswered message was delivered outside business hours -- a timing hypothesis for the silence.</t>
        </r>
      </text>
    </comment>
    <comment ref="BV1" authorId="0">
      <text>
        <r>
          <rPr>
            <rFont val="Aptos Narrow"/>
            <b/>
            <color rgb="FFFFFFFF"/>
            <sz val="11"/>
          </rPr>
          <t>TRUE when a message was delivered at a reasonable hour and still drew no response.</t>
        </r>
      </text>
    </comment>
    <comment ref="BW1" authorId="0">
      <text>
        <r>
          <rPr>
            <rFont val="Aptos Narrow"/>
            <b/>
            <color rgb="FFFFFFFF"/>
            <sz val="11"/>
          </rPr>
          <t>The template id when this delivery went unanswered, otherwise empty string.</t>
        </r>
      </text>
    </comment>
    <comment ref="BX1" authorId="0">
      <text>
        <r>
          <rPr>
            <rFont val="Aptos Narrow"/>
            <b/>
            <color rgb="FFFFFFFF"/>
            <sz val="11"/>
          </rPr>
          <t>The template id when this delivery actually reached someone.</t>
        </r>
      </text>
    </comment>
    <comment ref="BY1" authorId="0">
      <text>
        <r>
          <rPr>
            <rFont val="Aptos Narrow"/>
            <b/>
            <color rgb="FFFFFFFF"/>
            <sz val="11"/>
          </rPr>
          <t>The agent whose approval authorized this specific transmission, frozen at send time.</t>
        </r>
      </text>
    </comment>
    <comment ref="BZ1" authorId="0">
      <text>
        <r>
          <rPr>
            <rFont val="Aptos Narrow"/>
            <b/>
            <color rgb="FFFFFFFF"/>
            <sz val="11"/>
          </rPr>
          <t>The role that agent held when they approved, frozen at send time.</t>
        </r>
      </text>
    </comment>
    <comment ref="CA1" authorId="0">
      <text>
        <r>
          <rPr>
            <rFont val="Aptos Narrow"/>
            <b/>
            <color rgb="FFFFFFFF"/>
            <sz val="11"/>
          </rPr>
          <t>When the relied-upon approval was granted, frozen at send time.</t>
        </r>
      </text>
    </comment>
    <comment ref="CB1" authorId="0">
      <text>
        <r>
          <rPr>
            <rFont val="Aptos Narrow"/>
            <b/>
            <color rgb="FFFFFFFF"/>
            <sz val="11"/>
          </rPr>
          <t>TRUE when the approval we relied on was granted before the message went out.</t>
        </r>
      </text>
    </comment>
    <comment ref="CC1" authorId="0">
      <text>
        <r>
          <rPr>
            <rFont val="Aptos Narrow"/>
            <b/>
            <color rgb="FFFFFFFF"/>
            <sz val="11"/>
          </rPr>
          <t>TRUE when this delivery carries a complete frozen record of who authorized it and when.</t>
        </r>
      </text>
    </comment>
    <comment ref="CD1" authorId="0">
      <text>
        <r>
          <rPr>
            <rFont val="Aptos Narrow"/>
            <b/>
            <color rgb="FFFFFFFF"/>
            <sz val="11"/>
          </rPr>
          <t>TRUE when we have no frozen evidence and the only available answer comes from recomputing against today's template state.</t>
        </r>
      </text>
    </comment>
    <comment ref="CE1" authorId="0">
      <text>
        <r>
          <rPr>
            <rFont val="Aptos Narrow"/>
            <b/>
            <color rgb="FFFFFFFF"/>
            <sz val="11"/>
          </rPr>
          <t>The template's most recent approval time as it stands NOW, for comparison against what was approved at send.</t>
        </r>
      </text>
    </comment>
    <comment ref="CF1" authorId="0">
      <text>
        <r>
          <rPr>
            <rFont val="Aptos Narrow"/>
            <b/>
            <color rgb="FFFFFFFF"/>
            <sz val="11"/>
          </rPr>
          <t>TRUE when the template has picked up a newer approval since this message was transmitted.</t>
        </r>
      </text>
    </comment>
    <comment ref="CG1" authorId="0">
      <text>
        <r>
          <rPr>
            <rFont val="Aptos Narrow"/>
            <b/>
            <color rgb="FFFFFFFF"/>
            <sz val="11"/>
          </rPr>
          <t>TRUE when we assert this send was approved, hold no frozen evidence, and the template has been re-approved since. The claim cannot be substantiated from the record.</t>
        </r>
      </text>
    </comment>
    <comment ref="CH1" authorId="0">
      <text>
        <r>
          <rPr>
            <rFont val="Aptos Narrow"/>
            <b/>
            <color rgb="FFFFFFFF"/>
            <sz val="11"/>
          </rPr>
          <t>When I sent a follow-up reminder about this unacknowledged message. Empty when I never did.</t>
        </r>
      </text>
    </comment>
    <comment ref="CI1" authorId="0">
      <text>
        <r>
          <rPr>
            <rFont val="Aptos Narrow"/>
            <b/>
            <color rgb="FFFFFFFF"/>
            <sz val="11"/>
          </rPr>
          <t>How many reminders I have sent for this delivery.</t>
        </r>
      </text>
    </comment>
    <comment ref="CJ1" authorId="0">
      <text>
        <r>
          <rPr>
            <rFont val="Aptos Narrow"/>
            <b/>
            <color rgb="FFFFFFFF"/>
            <sz val="11"/>
          </rPr>
          <t>TRUE when at least one reminder went out for this delivery.</t>
        </r>
      </text>
    </comment>
    <comment ref="CK1" authorId="0">
      <text>
        <r>
          <rPr>
            <rFont val="Aptos Narrow"/>
            <b/>
            <color rgb="FFFFFFFF"/>
            <sz val="11"/>
          </rPr>
          <t>TRUE when a message actually reached someone, carried an acknowledgement obligation, and has not been acknowledged.</t>
        </r>
      </text>
    </comment>
    <comment ref="CL1" authorId="0">
      <text>
        <r>
          <rPr>
            <rFont val="Aptos Narrow"/>
            <b/>
            <color rgb="FFFFFFFF"/>
            <sz val="11"/>
          </rPr>
          <t>How long this acknowledgement has been outstanding.</t>
        </r>
      </text>
    </comment>
    <comment ref="CM1" authorId="0">
      <text>
        <r>
          <rPr>
            <rFont val="Aptos Narrow"/>
            <b/>
            <color rgb="FFFFFFFF"/>
            <sz val="11"/>
          </rPr>
          <t>TRUE when an acknowledgement has been outstanding for more than 7 days and I have never sent a reminder.</t>
        </r>
      </text>
    </comment>
    <comment ref="CN1" authorId="0">
      <text>
        <r>
          <rPr>
            <rFont val="Aptos Narrow"/>
            <b/>
            <color rgb="FFFFFFFF"/>
            <sz val="11"/>
          </rPr>
          <t>TRUE when I have sent three or more reminders and still have no acknowledgement -- the point at which this stops being my work and becomes a human escalation.</t>
        </r>
      </text>
    </comment>
    <comment ref="CO1" authorId="0">
      <text>
        <r>
          <rPr>
            <rFont val="Aptos Narrow"/>
            <b/>
            <color rgb="FFFFFFFF"/>
            <sz val="11"/>
          </rPr>
          <t>TRUE when follow-up is exhausted and no exception has been invoked to close out the obligation.</t>
        </r>
      </text>
    </comment>
    <comment ref="CP1" authorId="0">
      <text>
        <r>
          <rPr>
            <rFont val="Aptos Narrow"/>
            <b/>
            <color rgb="FFFFFFFF"/>
            <sz val="11"/>
          </rPr>
          <t>Extension IRI; per-recipient delivery events are not a PKO 2.0.0 native class.</t>
        </r>
      </text>
    </comment>
    <comment ref="B1" authorId="0">
      <text>
        <r>
          <rPr>
            <rFont val="Aptos Narrow"/>
            <b/>
            <color rgb="FFFFFFFF"/>
            <sz val="11"/>
          </rPr>
          <t>Human-readable calculated display alias for the MessageDeliveries row.</t>
        </r>
      </text>
    </comment>
  </commentList>
</comments>
</file>

<file path=xl/comments6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TemplateApprovals row.</t>
        </r>
      </text>
    </comment>
    <comment ref="C1" authorId="0">
      <text>
        <r>
          <rPr>
            <rFont val="Aptos Narrow"/>
            <b/>
            <color rgb="FFFFFFFF"/>
            <sz val="11"/>
          </rPr>
          <t>Template this decision applies to.</t>
        </r>
      </text>
    </comment>
    <comment ref="D1" authorId="0">
      <text>
        <r>
          <rPr>
            <rFont val="Aptos Narrow"/>
            <b/>
            <color rgb="FFFFFFFF"/>
            <sz val="11"/>
          </rPr>
          <t>Agent who made the approval decision.</t>
        </r>
      </text>
    </comment>
    <comment ref="E1" authorId="0">
      <text>
        <r>
          <rPr>
            <rFont val="Aptos Narrow"/>
            <b/>
            <color rgb="FFFFFFFF"/>
            <sz val="11"/>
          </rPr>
          <t>Role the agent was acting in when deciding.</t>
        </r>
      </text>
    </comment>
    <comment ref="F1" authorId="0">
      <text>
        <r>
          <rPr>
            <rFont val="Aptos Narrow"/>
            <b/>
            <color rgb="FFFFFFFF"/>
            <sz val="11"/>
          </rPr>
          <t>Approved, Rejected, or Withdrawn.</t>
        </r>
      </text>
    </comment>
    <comment ref="G1" authorId="0">
      <text>
        <r>
          <rPr>
            <rFont val="Aptos Narrow"/>
            <b/>
            <color rgb="FFFFFFFF"/>
            <sz val="11"/>
          </rPr>
          <t>When the decision was recorded.</t>
        </r>
      </text>
    </comment>
    <comment ref="H1" authorId="0">
      <text>
        <r>
          <rPr>
            <rFont val="Aptos Narrow"/>
            <b/>
            <color rgb="FFFFFFFF"/>
            <sz val="11"/>
          </rPr>
          <t>Digest of the exact template body that was approved, so later edits are detectable.</t>
        </r>
      </text>
    </comment>
    <comment ref="I1" authorId="0">
      <text>
        <r>
          <rPr>
            <rFont val="Aptos Narrow"/>
            <b/>
            <color rgb="FFFFFFFF"/>
            <sz val="11"/>
          </rPr>
          <t>Approver's rationale or conditions.</t>
        </r>
      </text>
    </comment>
    <comment ref="J1" authorId="0">
      <text>
        <r>
          <rPr>
            <rFont val="Aptos Narrow"/>
            <b/>
            <color rgb="FFFFFFFF"/>
            <sz val="11"/>
          </rPr>
          <t>TRUE when this decision row is an approval rather than a rejection or withdrawal.</t>
        </r>
      </text>
    </comment>
    <comment ref="K1" authorId="0">
      <text>
        <r>
          <rPr>
            <rFont val="Aptos Narrow"/>
            <b/>
            <color rgb="FFFFFFFF"/>
            <sz val="11"/>
          </rPr>
          <t>The communication policy governing the template being approved.</t>
        </r>
      </text>
    </comment>
    <comment ref="L1" authorId="0">
      <text>
        <r>
          <rPr>
            <rFont val="Aptos Narrow"/>
            <b/>
            <color rgb="FFFFFFFF"/>
            <sz val="11"/>
          </rPr>
          <t>The role the governing policy designates as approver -- communications-manager for both current policies.</t>
        </r>
      </text>
    </comment>
    <comment ref="M1" authorId="0">
      <text>
        <r>
          <rPr>
            <rFont val="Aptos Narrow"/>
            <b/>
            <color rgb="FFFFFFFF"/>
            <sz val="11"/>
          </rPr>
          <t>TRUE when the approving role matches the role the policy designates.</t>
        </r>
      </text>
    </comment>
    <comment ref="N1" authorId="0">
      <text>
        <r>
          <rPr>
            <rFont val="Aptos Narrow"/>
            <b/>
            <color rgb="FFFFFFFF"/>
            <sz val="11"/>
          </rPr>
          <t>Carries the template id only on approvals made by the correct role; empty string otherwise.</t>
        </r>
      </text>
    </comment>
    <comment ref="O1" authorId="0">
      <text>
        <r>
          <rPr>
            <rFont val="Aptos Narrow"/>
            <b/>
            <color rgb="FFFFFFFF"/>
            <sz val="11"/>
          </rPr>
          <t>Extension IRI; template approval events are not a PKO 2.0.0 native class.</t>
        </r>
      </text>
    </comment>
    <comment ref="B1" authorId="0">
      <text>
        <r>
          <rPr>
            <rFont val="Aptos Narrow"/>
            <b/>
            <color rgb="FFFFFFFF"/>
            <sz val="11"/>
          </rPr>
          <t>Human-readable calculated display alias for the TemplateApprovals row.</t>
        </r>
      </text>
    </comment>
  </commentList>
</comments>
</file>

<file path=xl/comments6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SendIntents row.</t>
        </r>
      </text>
    </comment>
    <comment ref="C1" authorId="0">
      <text>
        <r>
          <rPr>
            <rFont val="Aptos Narrow"/>
            <b/>
            <color rgb="FFFFFFFF"/>
            <sz val="11"/>
          </rPr>
          <t>Execution this send intent belongs to.</t>
        </r>
      </text>
    </comment>
    <comment ref="D1" authorId="0">
      <text>
        <r>
          <rPr>
            <rFont val="Aptos Narrow"/>
            <b/>
            <color rgb="FFFFFFFF"/>
            <sz val="11"/>
          </rPr>
          <t>Step execution evaluating this intent.</t>
        </r>
      </text>
    </comment>
    <comment ref="E1" authorId="0">
      <text>
        <r>
          <rPr>
            <rFont val="Aptos Narrow"/>
            <b/>
            <color rgb="FFFFFFFF"/>
            <sz val="11"/>
          </rPr>
          <t>Intended recipient.</t>
        </r>
      </text>
    </comment>
    <comment ref="F1" authorId="0">
      <text>
        <r>
          <rPr>
            <rFont val="Aptos Narrow"/>
            <b/>
            <color rgb="FFFFFFFF"/>
            <sz val="11"/>
          </rPr>
          <t>Template the pipeline intends to render and send.</t>
        </r>
      </text>
    </comment>
    <comment ref="G1" authorId="0">
      <text>
        <r>
          <rPr>
            <rFont val="Aptos Narrow"/>
            <b/>
            <color rgb="FFFFFFFF"/>
            <sz val="11"/>
          </rPr>
          <t>The fully rendered text the pipeline intends to transmit, before transmission.</t>
        </r>
      </text>
    </comment>
    <comment ref="H1" authorId="0">
      <text>
        <r>
          <rPr>
            <rFont val="Aptos Narrow"/>
            <b/>
            <color rgb="FFFFFFFF"/>
            <sz val="11"/>
          </rPr>
          <t>Hour 0-23 in the recipient's local timezone at which the pipeline intends to transmit.</t>
        </r>
      </text>
    </comment>
    <comment ref="I1" authorId="0">
      <text>
        <r>
          <rPr>
            <rFont val="Aptos Narrow"/>
            <b/>
            <color rgb="FFFFFFFF"/>
            <sz val="11"/>
          </rPr>
          <t>When the pipeline evaluated the gates for this intent.</t>
        </r>
      </text>
    </comment>
    <comment ref="J1" authorId="0">
      <text>
        <r>
          <rPr>
            <rFont val="Aptos Narrow"/>
            <b/>
            <color rgb="FFFFFFFF"/>
            <sz val="11"/>
          </rPr>
          <t>The delivery record produced from this intent, whether transmitted or suppressed.</t>
        </r>
      </text>
    </comment>
    <comment ref="K1" authorId="0">
      <text>
        <r>
          <rPr>
            <rFont val="Aptos Narrow"/>
            <b/>
            <color rgb="FFFFFFFF"/>
            <sz val="11"/>
          </rPr>
          <t>The communication policy governing the template this intent would send.</t>
        </r>
      </text>
    </comment>
    <comment ref="L1" authorId="0">
      <text>
        <r>
          <rPr>
            <rFont val="Aptos Narrow"/>
            <b/>
            <color rgb="FFFFFFFF"/>
            <sz val="11"/>
          </rPr>
          <t>Channel this intent would transmit on.</t>
        </r>
      </text>
    </comment>
    <comment ref="M1" authorId="0">
      <text>
        <r>
          <rPr>
            <rFont val="Aptos Narrow"/>
            <b/>
            <color rgb="FFFFFFFF"/>
            <sz val="11"/>
          </rPr>
          <t>Whether the governing policy is currently Active rather than Draft, Suspended, or Retired.</t>
        </r>
      </text>
    </comment>
    <comment ref="N1" authorId="0">
      <text>
        <r>
          <rPr>
            <rFont val="Aptos Narrow"/>
            <b/>
            <color rgb="FFFFFFFF"/>
            <sz val="11"/>
          </rPr>
          <t>Whether the governing policy requires consent for this channel.</t>
        </r>
      </text>
    </comment>
    <comment ref="O1" authorId="0">
      <text>
        <r>
          <rPr>
            <rFont val="Aptos Narrow"/>
            <b/>
            <color rgb="FFFFFFFF"/>
            <sz val="11"/>
          </rPr>
          <t>Whether the intended recipient has active SMS consent on record.</t>
        </r>
      </text>
    </comment>
    <comment ref="P1" authorId="0">
      <text>
        <r>
          <rPr>
            <rFont val="Aptos Narrow"/>
            <b/>
            <color rgb="FFFFFFFF"/>
            <sz val="11"/>
          </rPr>
          <t>TRUE when either the channel does not require consent, or the recipient has granted it.</t>
        </r>
      </text>
    </comment>
    <comment ref="Q1" authorId="0">
      <text>
        <r>
          <rPr>
            <rFont val="Aptos Narrow"/>
            <b/>
            <color rgb="FFFFFFFF"/>
            <sz val="11"/>
          </rPr>
          <t>Whether a mobile number is on file for the intended recipient.</t>
        </r>
      </text>
    </comment>
    <comment ref="R1" authorId="0">
      <text>
        <r>
          <rPr>
            <rFont val="Aptos Narrow"/>
            <b/>
            <color rgb="FFFFFFFF"/>
            <sz val="11"/>
          </rPr>
          <t>Whether an email address is on file for the intended recipient.</t>
        </r>
      </text>
    </comment>
    <comment ref="S1" authorId="0">
      <text>
        <r>
          <rPr>
            <rFont val="Aptos Narrow"/>
            <b/>
            <color rgb="FFFFFFFF"/>
            <sz val="11"/>
          </rPr>
          <t>TRUE when the recipient is reachable on the channel this intent would use.</t>
        </r>
      </text>
    </comment>
    <comment ref="T1" authorId="0">
      <text>
        <r>
          <rPr>
            <rFont val="Aptos Narrow"/>
            <b/>
            <color rgb="FFFFFFFF"/>
            <sz val="11"/>
          </rPr>
          <t>TRUE when the policy is active, consent is satisfied, and the recipient is reachable on this channel. The channel-permission gate.</t>
        </r>
      </text>
    </comment>
    <comment ref="U1" authorId="0">
      <text>
        <r>
          <rPr>
            <rFont val="Aptos Narrow"/>
            <b/>
            <color rgb="FFFFFFFF"/>
            <sz val="11"/>
          </rPr>
          <t>Quiet-hours start hour from the governing policy.</t>
        </r>
      </text>
    </comment>
    <comment ref="V1" authorId="0">
      <text>
        <r>
          <rPr>
            <rFont val="Aptos Narrow"/>
            <b/>
            <color rgb="FFFFFFFF"/>
            <sz val="11"/>
          </rPr>
          <t>Quiet-hours end hour from the governing policy.</t>
        </r>
      </text>
    </comment>
    <comment ref="W1" authorId="0">
      <text>
        <r>
          <rPr>
            <rFont val="Aptos Narrow"/>
            <b/>
            <color rgb="FFFFFFFF"/>
            <sz val="11"/>
          </rPr>
          <t>TRUE when the governing policy declares a real quiet-hours window.</t>
        </r>
      </text>
    </comment>
    <comment ref="X1" authorId="0">
      <text>
        <r>
          <rPr>
            <rFont val="Aptos Narrow"/>
            <b/>
            <color rgb="FFFFFFFF"/>
            <sz val="11"/>
          </rPr>
          <t>TRUE when the quiet window crosses midnight.</t>
        </r>
      </text>
    </comment>
    <comment ref="Y1" authorId="0">
      <text>
        <r>
          <rPr>
            <rFont val="Aptos Narrow"/>
            <b/>
            <color rgb="FFFFFFFF"/>
            <sz val="11"/>
          </rPr>
          <t>TRUE when the proposed recipient-local send hour falls inside the forbidden window.</t>
        </r>
      </text>
    </comment>
    <comment ref="Z1" authorId="0">
      <text>
        <r>
          <rPr>
            <rFont val="Aptos Narrow"/>
            <b/>
            <color rgb="FFFFFFFF"/>
            <sz val="11"/>
          </rPr>
          <t>TRUE when transmitting now is permitted on timing grounds. The timing gate.</t>
        </r>
      </text>
    </comment>
    <comment ref="AA1" authorId="0">
      <text>
        <r>
          <rPr>
            <rFont val="Aptos Narrow"/>
            <b/>
            <color rgb="FFFFFFFF"/>
            <sz val="11"/>
          </rPr>
          <t>How many hours the pipeline must defer before transmission becomes permitted; 0 when already permitted.</t>
        </r>
      </text>
    </comment>
    <comment ref="AB1" authorId="0">
      <text>
        <r>
          <rPr>
            <rFont val="Aptos Narrow"/>
            <b/>
            <color rgb="FFFFFFFF"/>
            <sz val="11"/>
          </rPr>
          <t>Per-segment character limit from the governing policy.</t>
        </r>
      </text>
    </comment>
    <comment ref="AC1" authorId="0">
      <text>
        <r>
          <rPr>
            <rFont val="Aptos Narrow"/>
            <b/>
            <color rgb="FFFFFFFF"/>
            <sz val="11"/>
          </rPr>
          <t>Segment ceiling from the governing policy.</t>
        </r>
      </text>
    </comment>
    <comment ref="AD1" authorId="0">
      <text>
        <r>
          <rPr>
            <rFont val="Aptos Narrow"/>
            <b/>
            <color rgb="FFFFFFFF"/>
            <sz val="11"/>
          </rPr>
          <t>Character count of ProposedBody, written by the pipeline at render time.</t>
        </r>
      </text>
    </comment>
    <comment ref="AE1" authorId="0">
      <text>
        <r>
          <rPr>
            <rFont val="Aptos Narrow"/>
            <b/>
            <color rgb="FFFFFFFF"/>
            <sz val="11"/>
          </rPr>
          <t>Number of channel segments ProposedBody will occupy, computed by the pipeline at render time.</t>
        </r>
      </text>
    </comment>
    <comment ref="AF1" authorId="0">
      <text>
        <r>
          <rPr>
            <rFont val="Aptos Narrow"/>
            <b/>
            <color rgb="FFFFFFFF"/>
            <sz val="11"/>
          </rPr>
          <t>TRUE when the proposed text is non-empty and fits within the segment ceiling.</t>
        </r>
      </text>
    </comment>
    <comment ref="AG1" authorId="0">
      <text>
        <r>
          <rPr>
            <rFont val="Aptos Narrow"/>
            <b/>
            <color rgb="FFFFFFFF"/>
            <sz val="11"/>
          </rPr>
          <t>Opt-out phrase the governing policy requires in every message on this channel.</t>
        </r>
      </text>
    </comment>
    <comment ref="AH1" authorId="0">
      <text>
        <r>
          <rPr>
            <rFont val="Aptos Narrow"/>
            <b/>
            <color rgb="FFFFFFFF"/>
            <sz val="11"/>
          </rPr>
          <t>Character position of the required opt-out phrase within ProposedBody; 0 when absent. Written by the pipeline at render time.</t>
        </r>
      </text>
    </comment>
    <comment ref="AI1" authorId="0">
      <text>
        <r>
          <rPr>
            <rFont val="Aptos Narrow"/>
            <b/>
            <color rgb="FFFFFFFF"/>
            <sz val="11"/>
          </rPr>
          <t>TRUE when no opt-out is required, or the required phrase is present within the first segment.</t>
        </r>
      </text>
    </comment>
    <comment ref="AJ1" authorId="0">
      <text>
        <r>
          <rPr>
            <rFont val="Aptos Narrow"/>
            <b/>
            <color rgb="FFFFFFFF"/>
            <sz val="11"/>
          </rPr>
          <t>TRUE when the proposed text satisfies every content rule of the governing channel policy.</t>
        </r>
      </text>
    </comment>
    <comment ref="AK1" authorId="0">
      <text>
        <r>
          <rPr>
            <rFont val="Aptos Narrow"/>
            <b/>
            <color rgb="FFFFFFFF"/>
            <sz val="11"/>
          </rPr>
          <t>Whether the template carries a current, properly-authorized, non-drifted approval.</t>
        </r>
      </text>
    </comment>
    <comment ref="AL1" authorId="0">
      <text>
        <r>
          <rPr>
            <rFont val="Aptos Narrow"/>
            <b/>
            <color rgb="FFFFFFFF"/>
            <sz val="11"/>
          </rPr>
          <t>Whether legal review has passed for the execution this intent belongs to.</t>
        </r>
      </text>
    </comment>
    <comment ref="AM1" authorId="0">
      <text>
        <r>
          <rPr>
            <rFont val="Aptos Narrow"/>
            <b/>
            <color rgb="FFFFFFFF"/>
            <sz val="11"/>
          </rPr>
          <t>The role the governing policy designates as the approving authority.</t>
        </r>
      </text>
    </comment>
    <comment ref="AN1" authorId="0">
      <text>
        <r>
          <rPr>
            <rFont val="Aptos Narrow"/>
            <b/>
            <color rgb="FFFFFFFF"/>
            <sz val="11"/>
          </rPr>
          <t>Whether the agent currently filling the designated approval role is Human, AIAgent, or AutomatedPipeline.</t>
        </r>
      </text>
    </comment>
    <comment ref="AO1" authorId="0">
      <text>
        <r>
          <rPr>
            <rFont val="Aptos Narrow"/>
            <b/>
            <color rgb="FFFFFFFF"/>
            <sz val="11"/>
          </rPr>
          <t>TRUE when the designated approval role is currently held by a human agent.</t>
        </r>
      </text>
    </comment>
    <comment ref="AP1" authorId="0">
      <text>
        <r>
          <rPr>
            <rFont val="Aptos Narrow"/>
            <b/>
            <color rgb="FFFFFFFF"/>
            <sz val="11"/>
          </rPr>
          <t>TRUE only when the template is validly approved, legal review has cleared, and the approving role is held by a human. The authorization gate.</t>
        </r>
      </text>
    </comment>
    <comment ref="AQ1" authorId="0">
      <text>
        <r>
          <rPr>
            <rFont val="Aptos Narrow"/>
            <b/>
            <color rgb="FFFFFFFF"/>
            <sz val="11"/>
          </rPr>
          <t>TRUE only when all four gates pass. THE single column the pipeline reads before transmitting.</t>
        </r>
      </text>
    </comment>
    <comment ref="AR1" authorId="0">
      <text>
        <r>
          <rPr>
            <rFont val="Aptos Narrow"/>
            <b/>
            <color rgb="FFFFFFFF"/>
            <sz val="11"/>
          </rPr>
          <t>Names the first gate that refused, for the suppression reason; empty string when cleared.</t>
        </r>
      </text>
    </comment>
    <comment ref="AS1" authorId="0">
      <text>
        <r>
          <rPr>
            <rFont val="Aptos Narrow"/>
            <b/>
            <color rgb="FFFFFFFF"/>
            <sz val="11"/>
          </rPr>
          <t>TRUE when this intent produced a delivery record of any status.</t>
        </r>
      </text>
    </comment>
    <comment ref="AT1" authorId="0">
      <text>
        <r>
          <rPr>
            <rFont val="Aptos Narrow"/>
            <b/>
            <color rgb="FFFFFFFF"/>
            <sz val="11"/>
          </rPr>
          <t>Whether the delivery produced from this intent actually left our systems.</t>
        </r>
      </text>
    </comment>
    <comment ref="AU1" authorId="0">
      <text>
        <r>
          <rPr>
            <rFont val="Aptos Narrow"/>
            <b/>
            <color rgb="FFFFFFFF"/>
            <sz val="11"/>
          </rPr>
          <t>TRUE when a gate refused and the message was transmitted regardless. The override witness.</t>
        </r>
      </text>
    </comment>
    <comment ref="AV1" authorId="0">
      <text>
        <r>
          <rPr>
            <rFont val="Aptos Narrow"/>
            <b/>
            <color rgb="FFFFFFFF"/>
            <sz val="11"/>
          </rPr>
          <t>TRUE when a gate refused and no delivery record of any kind was produced -- the recipient vanished from the run.</t>
        </r>
      </text>
    </comment>
    <comment ref="AW1" authorId="0">
      <text>
        <r>
          <rPr>
            <rFont val="Aptos Narrow"/>
            <b/>
            <color rgb="FFFFFFFF"/>
            <sz val="11"/>
          </rPr>
          <t>The documented exception invoked on the delivery produced from this intent, if any.</t>
        </r>
      </text>
    </comment>
    <comment ref="AX1" authorId="0">
      <text>
        <r>
          <rPr>
            <rFont val="Aptos Narrow"/>
            <b/>
            <color rgb="FFFFFFFF"/>
            <sz val="11"/>
          </rPr>
          <t>TRUE when the suppression produced by this refusal cited a documented exception.</t>
        </r>
      </text>
    </comment>
    <comment ref="AY1" authorId="0">
      <text>
        <r>
          <rPr>
            <rFont val="Aptos Narrow"/>
            <b/>
            <color rgb="FFFFFFFF"/>
            <sz val="11"/>
          </rPr>
          <t>TRUE when a refusal correctly resulted in a non-transmitted delivery record citing a documented exception. The positive witness.</t>
        </r>
      </text>
    </comment>
    <comment ref="AZ1" authorId="0">
      <text>
        <r>
          <rPr>
            <rFont val="Aptos Narrow"/>
            <b/>
            <color rgb="FFFFFFFF"/>
            <sz val="11"/>
          </rPr>
          <t>Carries the execution id on any mishandled refusal; empty string otherwise.</t>
        </r>
      </text>
    </comment>
    <comment ref="BA1" authorId="0">
      <text>
        <r>
          <rPr>
            <rFont val="Aptos Narrow"/>
            <b/>
            <color rgb="FFFFFFFF"/>
            <sz val="11"/>
          </rPr>
          <t>The procedure execution id for every intent, used as the campaign rollup key.</t>
        </r>
      </text>
    </comment>
    <comment ref="BB1" authorId="0">
      <text>
        <r>
          <rPr>
            <rFont val="Aptos Narrow"/>
            <b/>
            <color rgb="FFFFFFFF"/>
            <sz val="11"/>
          </rPr>
          <t>The execution id when this intent actually reached a person, otherwise empty string.</t>
        </r>
      </text>
    </comment>
    <comment ref="BC1" authorId="0">
      <text>
        <r>
          <rPr>
            <rFont val="Aptos Narrow"/>
            <b/>
            <color rgb="FFFFFFFF"/>
            <sz val="11"/>
          </rPr>
          <t>The execution id when this intent was refused and left no record at all.</t>
        </r>
      </text>
    </comment>
    <comment ref="BD1" authorId="0">
      <text>
        <r>
          <rPr>
            <rFont val="Aptos Narrow"/>
            <b/>
            <color rgb="FFFFFFFF"/>
            <sz val="11"/>
          </rPr>
          <t>TRUE when the template carried a valid approval at the moment this intent was evaluated.</t>
        </r>
      </text>
    </comment>
    <comment ref="BE1" authorId="0">
      <text>
        <r>
          <rPr>
            <rFont val="Aptos Narrow"/>
            <b/>
            <color rgb="FFFFFFFF"/>
            <sz val="11"/>
          </rPr>
          <t>TRUE when the pipeline refused an intent on content grounds even though the template was approved.</t>
        </r>
      </text>
    </comment>
    <comment ref="BF1" authorId="0">
      <text>
        <r>
          <rPr>
            <rFont val="Aptos Narrow"/>
            <b/>
            <color rgb="FFFFFFFF"/>
            <sz val="11"/>
          </rPr>
          <t>TRUE when the only content failure was a missing or mispositioned opt-out phrase.</t>
        </r>
      </text>
    </comment>
    <comment ref="BG1" authorId="0">
      <text>
        <r>
          <rPr>
            <rFont val="Aptos Narrow"/>
            <b/>
            <color rgb="FFFFFFFF"/>
            <sz val="11"/>
          </rPr>
          <t>TRUE when the refusal came from a communications rule I own -- content, length, opt-out, quiet hours.</t>
        </r>
      </text>
    </comment>
    <comment ref="BH1" authorId="0">
      <text>
        <r>
          <rPr>
            <rFont val="Aptos Narrow"/>
            <b/>
            <color rgb="FFFFFFFF"/>
            <sz val="11"/>
          </rPr>
          <t>TRUE when the refusal came from consent, reachability, or authorization -- none of which I can fix by editing a template.</t>
        </r>
      </text>
    </comment>
    <comment ref="BI1" authorId="0">
      <text>
        <r>
          <rPr>
            <rFont val="Aptos Narrow"/>
            <b/>
            <color rgb="FFFFFFFF"/>
            <sz val="11"/>
          </rPr>
          <t>Whether the approving human was informed that this intent was refused.</t>
        </r>
      </text>
    </comment>
    <comment ref="BJ1" authorId="0">
      <text>
        <r>
          <rPr>
            <rFont val="Aptos Narrow"/>
            <b/>
            <color rgb="FFFFFFFF"/>
            <sz val="11"/>
          </rPr>
          <t>TRUE when a refusal I own and could have fixed was never surfaced to me.</t>
        </r>
      </text>
    </comment>
    <comment ref="BK1" authorId="0">
      <text>
        <r>
          <rPr>
            <rFont val="Aptos Narrow"/>
            <b/>
            <color rgb="FFFFFFFF"/>
            <sz val="11"/>
          </rPr>
          <t>TRUE when the pipeline overrode a valid human approval on content grounds and told nobody.</t>
        </r>
      </text>
    </comment>
    <comment ref="BL1" authorId="0">
      <text>
        <r>
          <rPr>
            <rFont val="Aptos Narrow"/>
            <b/>
            <color rgb="FFFFFFFF"/>
            <sz val="11"/>
          </rPr>
          <t>The follow-up intent raised on a different channel after this one was refused. Stored as a raw identifier rather than an FK: SendIntents pointing at SendIntents would make the table self-referential in a way the DAG contract does not allow here.</t>
        </r>
      </text>
    </comment>
    <comment ref="BM1" authorId="0">
      <text>
        <r>
          <rPr>
            <rFont val="Aptos Narrow"/>
            <b/>
            <color rgb="FFFFFFFF"/>
            <sz val="11"/>
          </rPr>
          <t>TRUE when a follow-up intent on another channel was raised for this refused send.</t>
        </r>
      </text>
    </comment>
    <comment ref="BN1" authorId="0">
      <text>
        <r>
          <rPr>
            <rFont val="Aptos Narrow"/>
            <b/>
            <color rgb="FFFFFFFF"/>
            <sz val="11"/>
          </rPr>
          <t>Whether the follow-up intent itself passed all gates.</t>
        </r>
      </text>
    </comment>
    <comment ref="BO1" authorId="0">
      <text>
        <r>
          <rPr>
            <rFont val="Aptos Narrow"/>
            <b/>
            <color rgb="FFFFFFFF"/>
            <sz val="11"/>
          </rPr>
          <t>TRUE when a send was refused and no attempt was ever made on any other channel.</t>
        </r>
      </text>
    </comment>
    <comment ref="BP1" authorId="0">
      <text>
        <r>
          <rPr>
            <rFont val="Aptos Narrow"/>
            <b/>
            <color rgb="FFFFFFFF"/>
            <sz val="11"/>
          </rPr>
          <t>TRUE when the documented exception for this refusal prescribes a different-channel send as the correct handling.</t>
        </r>
      </text>
    </comment>
    <comment ref="BQ1" authorId="0">
      <text>
        <r>
          <rPr>
            <rFont val="Aptos Narrow"/>
            <b/>
            <color rgb="FFFFFFFF"/>
            <sz val="11"/>
          </rPr>
          <t>TRUE when the exception prescribed an alternate channel and an alternate intent was actually raised and cleared.</t>
        </r>
      </text>
    </comment>
    <comment ref="BR1" authorId="0">
      <text>
        <r>
          <rPr>
            <rFont val="Aptos Narrow"/>
            <b/>
            <color rgb="FFFFFFFF"/>
            <sz val="11"/>
          </rPr>
          <t>TRUE when we cited an exception that prescribed an alternate channel and then never performed it.</t>
        </r>
      </text>
    </comment>
    <comment ref="BS1" authorId="0">
      <text>
        <r>
          <rPr>
            <rFont val="Aptos Narrow"/>
            <b/>
            <color rgb="FFFFFFFF"/>
            <sz val="11"/>
          </rPr>
          <t>When this refusal was written to a durable record. Empty when no record was ever emitted.</t>
        </r>
      </text>
    </comment>
    <comment ref="BT1" authorId="0">
      <text>
        <r>
          <rPr>
            <rFont val="Aptos Narrow"/>
            <b/>
            <color rgb="FFFFFFFF"/>
            <sz val="11"/>
          </rPr>
          <t>The role informed that this send was refused.</t>
        </r>
      </text>
    </comment>
    <comment ref="BU1" authorId="0">
      <text>
        <r>
          <rPr>
            <rFont val="Aptos Narrow"/>
            <b/>
            <color rgb="FFFFFFFF"/>
            <sz val="11"/>
          </rPr>
          <t>TRUE when this refusal was written down somewhere a human can find it.</t>
        </r>
      </text>
    </comment>
    <comment ref="BV1" authorId="0">
      <text>
        <r>
          <rPr>
            <rFont val="Aptos Narrow"/>
            <b/>
            <color rgb="FFFFFFFF"/>
            <sz val="11"/>
          </rPr>
          <t>TRUE when a specific role was notified of this refusal.</t>
        </r>
      </text>
    </comment>
    <comment ref="BW1" authorId="0">
      <text>
        <r>
          <rPr>
            <rFont val="Aptos Narrow"/>
            <b/>
            <color rgb="FFFFFFFF"/>
            <sz val="11"/>
          </rPr>
          <t>TRUE when I refused a send and produced no delivery record, no refusal record, and no exception. The refusal left no trace of any kind.</t>
        </r>
      </text>
    </comment>
    <comment ref="BX1" authorId="0">
      <text>
        <r>
          <rPr>
            <rFont val="Aptos Narrow"/>
            <b/>
            <color rgb="FFFFFFFF"/>
            <sz val="11"/>
          </rPr>
          <t>TRUE when a refusal was recorded but no human role was ever told.</t>
        </r>
      </text>
    </comment>
    <comment ref="BY1" authorId="0">
      <text>
        <r>
          <rPr>
            <rFont val="Aptos Narrow"/>
            <b/>
            <color rgb="FFFFFFFF"/>
            <sz val="11"/>
          </rPr>
          <t>Echoes the role that should have been told about this refusal, but only when the refusal went unrecorded. Empty otherwise.</t>
        </r>
      </text>
    </comment>
    <comment ref="BZ1" authorId="0">
      <text>
        <r>
          <rPr>
            <rFont val="Aptos Narrow"/>
            <b/>
            <color rgb="FFFFFFFF"/>
            <sz val="11"/>
          </rPr>
          <t>Echoes the parent procedure execution only for refusals nobody recorded; empty otherwise.</t>
        </r>
      </text>
    </comment>
    <comment ref="CA1" authorId="0">
      <text>
        <r>
          <rPr>
            <rFont val="Aptos Narrow"/>
            <b/>
            <color rgb="FFFFFFFF"/>
            <sz val="11"/>
          </rPr>
          <t>The intent I raised when the quiet window reopened for this deferred send. Raw identifier rather than an FK: a SendIntents self-reference is not expressible as a relationship without making the table depend on itself.</t>
        </r>
      </text>
    </comment>
    <comment ref="CB1" authorId="0">
      <text>
        <r>
          <rPr>
            <rFont val="Aptos Narrow"/>
            <b/>
            <color rgb="FFFFFFFF"/>
            <sz val="11"/>
          </rPr>
          <t>TRUE when the timing gate is the reason this intent did not clear, and every other gate passed.</t>
        </r>
      </text>
    </comment>
    <comment ref="CC1" authorId="0">
      <text>
        <r>
          <rPr>
            <rFont val="Aptos Narrow"/>
            <b/>
            <color rgb="FFFFFFFF"/>
            <sz val="11"/>
          </rPr>
          <t>The evaluation context this row's time-dependent witnesses are judged under.</t>
        </r>
      </text>
    </comment>
    <comment ref="CD1" authorId="0">
      <text>
        <r>
          <rPr>
            <rFont val="Aptos Narrow"/>
            <b/>
            <color rgb="FFFFFFFF"/>
            <sz val="11"/>
          </rPr>
          <t>The evaluation instant this row's time-dependent witnesses are judged against.</t>
        </r>
      </text>
    </comment>
    <comment ref="CE1" authorId="0">
      <text>
        <r>
          <rPr>
            <rFont val="Aptos Narrow"/>
            <b/>
            <color rgb="FFFFFFFF"/>
            <sz val="11"/>
          </rPr>
          <t>TRUE when enough time has passed since evaluation that the quiet window this intent hit must have closed.</t>
        </r>
      </text>
    </comment>
    <comment ref="CF1" authorId="0">
      <text>
        <r>
          <rPr>
            <rFont val="Aptos Narrow"/>
            <b/>
            <color rgb="FFFFFFFF"/>
            <sz val="11"/>
          </rPr>
          <t>TRUE when a retry intent was raised for this deferred send.</t>
        </r>
      </text>
    </comment>
    <comment ref="CG1" authorId="0">
      <text>
        <r>
          <rPr>
            <rFont val="Aptos Narrow"/>
            <b/>
            <color rgb="FFFFFFFF"/>
            <sz val="11"/>
          </rPr>
          <t>Whether the retry intent itself passed all gates.</t>
        </r>
      </text>
    </comment>
    <comment ref="CH1" authorId="0">
      <text>
        <r>
          <rPr>
            <rFont val="Aptos Narrow"/>
            <b/>
            <color rgb="FFFFFFFF"/>
            <sz val="11"/>
          </rPr>
          <t>TRUE when a send was deferred for timing, the window has since reopened, and no retry was ever raised. A deferral silently converted into a cancellation.</t>
        </r>
      </text>
    </comment>
    <comment ref="CI1" authorId="0">
      <text>
        <r>
          <rPr>
            <rFont val="Aptos Narrow"/>
            <b/>
            <color rgb="FFFFFFFF"/>
            <sz val="11"/>
          </rPr>
          <t>How long this deferred intent has been sitting since evaluation.</t>
        </r>
      </text>
    </comment>
    <comment ref="CJ1" authorId="0">
      <text>
        <r>
          <rPr>
            <rFont val="Aptos Narrow"/>
            <b/>
            <color rgb="FFFFFFFF"/>
            <sz val="11"/>
          </rPr>
          <t>TRUE when a deferred send has been waiting more than 24 hours -- longer than any quiet window can justify.</t>
        </r>
      </text>
    </comment>
    <comment ref="CK1" authorId="0">
      <text>
        <r>
          <rPr>
            <rFont val="Aptos Narrow"/>
            <b/>
            <color rgb="FFFFFFFF"/>
            <sz val="11"/>
          </rPr>
          <t>The RoleAssignments id under which the pipeline evaluated this send intent. Raw rather than an FK because SendIntents already sits downstream of the execution graph and an added edge to RoleAssignments is not needed to resolve it.</t>
        </r>
      </text>
    </comment>
    <comment ref="CL1" authorId="0">
      <text>
        <r>
          <rPr>
            <rFont val="Aptos Narrow"/>
            <b/>
            <color rgb="FFFFFFFF"/>
            <sz val="11"/>
          </rPr>
          <t>Whether the gate decision on this intent was made by an agent holding an unauthorized enforcement assignment.</t>
        </r>
      </text>
    </comment>
    <comment ref="CM1" authorId="0">
      <text>
        <r>
          <rPr>
            <rFont val="Aptos Narrow"/>
            <b/>
            <color rgb="FFFFFFFF"/>
            <sz val="11"/>
          </rPr>
          <t>TRUE when the recipient's consent state was actually retrievable, as opposed to absent and read as a refusal.</t>
        </r>
      </text>
    </comment>
    <comment ref="CN1" authorId="0">
      <text>
        <r>
          <rPr>
            <rFont val="Aptos Narrow"/>
            <b/>
            <color rgb="FFFFFFFF"/>
            <sz val="11"/>
          </rPr>
          <t>The recipient's consent status as a string: Granted, Revoked, NeverGiven, or empty if no consent record exists at all.</t>
        </r>
      </text>
    </comment>
    <comment ref="CO1" authorId="0">
      <text>
        <r>
          <rPr>
            <rFont val="Aptos Narrow"/>
            <b/>
            <color rgb="FFFFFFFF"/>
            <sz val="11"/>
          </rPr>
          <t>TRUE when a governing communication policy was actually found for this intent.</t>
        </r>
      </text>
    </comment>
    <comment ref="CP1" authorId="0">
      <text>
        <r>
          <rPr>
            <rFont val="Aptos Narrow"/>
            <b/>
            <color rgb="FFFFFFFF"/>
            <sz val="11"/>
          </rPr>
          <t>TRUE when every input my gates depend on was actually retrievable.</t>
        </r>
      </text>
    </comment>
    <comment ref="CQ1" authorId="0">
      <text>
        <r>
          <rPr>
            <rFont val="Aptos Narrow"/>
            <b/>
            <color rgb="FFFFFFFF"/>
            <sz val="11"/>
          </rPr>
          <t>TRUE when I refused a send but at least one gate input could not be resolved -- so I do not actually know whether the rule was violated or merely unreadable.</t>
        </r>
      </text>
    </comment>
    <comment ref="CR1" authorId="0">
      <text>
        <r>
          <rPr>
            <rFont val="Aptos Narrow"/>
            <b/>
            <color rgb="FFFFFFFF"/>
            <sz val="11"/>
          </rPr>
          <t>Whether any agent other than me verified this gate outcome.</t>
        </r>
      </text>
    </comment>
    <comment ref="CS1" authorId="0">
      <text>
        <r>
          <rPr>
            <rFont val="Aptos Narrow"/>
            <b/>
            <color rgb="FFFFFFFF"/>
            <sz val="11"/>
          </rPr>
          <t>TRUE when the entire decision to send or refuse rests solely on my own computation, unconfirmed by anything else.</t>
        </r>
      </text>
    </comment>
    <comment ref="CT1" authorId="0">
      <text>
        <r>
          <rPr>
            <rFont val="Aptos Narrow"/>
            <b/>
            <color rgb="FFFFFFFF"/>
            <sz val="11"/>
          </rPr>
          <t>TRUE when this intent's decision was corroborated by an actual delivery record rather than resting solely on the pipeline's own say-so.</t>
        </r>
      </text>
    </comment>
    <comment ref="CU1" authorId="0">
      <text>
        <r>
          <rPr>
            <rFont val="Aptos Narrow"/>
            <b/>
            <color rgb="FFFFFFFF"/>
            <sz val="11"/>
          </rPr>
          <t>Echoes the parent execution only for independently confirmed intents; empty otherwise.</t>
        </r>
      </text>
    </comment>
    <comment ref="CV1" authorId="0">
      <text>
        <r>
          <rPr>
            <rFont val="Aptos Narrow"/>
            <b/>
            <color rgb="FFFFFFFF"/>
            <sz val="11"/>
          </rPr>
          <t>Extension IRI; pre-send intents are not a PKO 2.0.0 native class.</t>
        </r>
      </text>
    </comment>
    <comment ref="B1" authorId="0">
      <text>
        <r>
          <rPr>
            <rFont val="Aptos Narrow"/>
            <b/>
            <color rgb="FFFFFFFF"/>
            <sz val="11"/>
          </rPr>
          <t>Human-readable calculated display alias for the SendIntents row.</t>
        </r>
      </text>
    </comment>
  </commentList>
</comments>
</file>

<file path=xl/comments6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AgentDecisionRecords row.</t>
        </r>
      </text>
    </comment>
    <comment ref="C1" authorId="0">
      <text>
        <r>
          <rPr>
            <rFont val="Aptos Narrow"/>
            <b/>
            <color rgb="FFFFFFFF"/>
            <sz val="11"/>
          </rPr>
          <t>Step execution during which the decision was made.</t>
        </r>
      </text>
    </comment>
    <comment ref="D1" authorId="0">
      <text>
        <r>
          <rPr>
            <rFont val="Aptos Narrow"/>
            <b/>
            <color rgb="FFFFFFFF"/>
            <sz val="11"/>
          </rPr>
          <t>Agent that made the decision.</t>
        </r>
      </text>
    </comment>
    <comment ref="E1" authorId="0">
      <text>
        <r>
          <rPr>
            <rFont val="Aptos Narrow"/>
            <b/>
            <color rgb="FFFFFFFF"/>
            <sz val="11"/>
          </rPr>
          <t>Classification, Prioritization, Draft, Suppression, Escalation, or Posting.</t>
        </r>
      </text>
    </comment>
    <comment ref="F1" authorId="0">
      <text>
        <r>
          <rPr>
            <rFont val="Aptos Narrow"/>
            <b/>
            <color rgb="FFFFFFFF"/>
            <sz val="11"/>
          </rPr>
          <t>What the agent decided, in one sentence.</t>
        </r>
      </text>
    </comment>
    <comment ref="G1" authorId="0">
      <text>
        <r>
          <rPr>
            <rFont val="Aptos Narrow"/>
            <b/>
            <color rgb="FFFFFFFF"/>
            <sz val="11"/>
          </rPr>
          <t>When the decision was made.</t>
        </r>
      </text>
    </comment>
    <comment ref="H1" authorId="0">
      <text>
        <r>
          <rPr>
            <rFont val="Aptos Narrow"/>
            <b/>
            <color rgb="FFFFFFFF"/>
            <sz val="11"/>
          </rPr>
          <t>BelowThreshold, Material, or Escalated.</t>
        </r>
      </text>
    </comment>
    <comment ref="I1" authorId="0">
      <text>
        <r>
          <rPr>
            <rFont val="Aptos Narrow"/>
            <b/>
            <color rgb="FFFFFFFF"/>
            <sz val="11"/>
          </rPr>
          <t>Accepted, Corrected, Reversed, or NotReviewed.</t>
        </r>
      </text>
    </comment>
    <comment ref="J1" authorId="0">
      <text>
        <r>
          <rPr>
            <rFont val="Aptos Narrow"/>
            <b/>
            <color rgb="FFFFFFFF"/>
            <sz val="11"/>
          </rPr>
          <t>Human agent that dispositioned the decision.</t>
        </r>
      </text>
    </comment>
    <comment ref="K1" authorId="0">
      <text>
        <r>
          <rPr>
            <rFont val="Aptos Narrow"/>
            <b/>
            <color rgb="FFFFFFFF"/>
            <sz val="11"/>
          </rPr>
          <t>When a human dispositioned the decision.</t>
        </r>
      </text>
    </comment>
    <comment ref="L1" authorId="0">
      <text>
        <r>
          <rPr>
            <rFont val="Aptos Narrow"/>
            <b/>
            <color rgb="FFFFFFFF"/>
            <sz val="11"/>
          </rPr>
          <t>TRUE when a human corrected or reversed this decision.</t>
        </r>
      </text>
    </comment>
    <comment ref="M1" authorId="0">
      <text>
        <r>
          <rPr>
            <rFont val="Aptos Narrow"/>
            <b/>
            <color rgb="FFFFFFFF"/>
            <sz val="11"/>
          </rPr>
          <t>TRUE when a human actually dispositioned this decision.</t>
        </r>
      </text>
    </comment>
    <comment ref="N1" authorId="0">
      <text>
        <r>
          <rPr>
            <rFont val="Aptos Narrow"/>
            <b/>
            <color rgb="FFFFFFFF"/>
            <sz val="11"/>
          </rPr>
          <t>Whether the deciding agent is Human, AIAgent, or AutomatedPipeline.</t>
        </r>
      </text>
    </comment>
    <comment ref="O1" authorId="0">
      <text>
        <r>
          <rPr>
            <rFont val="Aptos Narrow"/>
            <b/>
            <color rgb="FFFFFFFF"/>
            <sz val="11"/>
          </rPr>
          <t>Echoes the deciding agent id when the decision was overridden, blank otherwise.</t>
        </r>
      </text>
    </comment>
    <comment ref="P1" authorId="0">
      <text>
        <r>
          <rPr>
            <rFont val="Aptos Narrow"/>
            <b/>
            <color rgb="FFFFFFFF"/>
            <sz val="11"/>
          </rPr>
          <t>Role assignment in force when the decision was made; anchors the decision to one side of a handover.</t>
        </r>
      </text>
    </comment>
    <comment ref="Q1" authorId="0">
      <text>
        <r>
          <rPr>
            <rFont val="Aptos Narrow"/>
            <b/>
            <color rgb="FFFFFFFF"/>
            <sz val="11"/>
          </rPr>
          <t>Echoes the governing role assignment when one is recorded, blank otherwise.</t>
        </r>
      </text>
    </comment>
    <comment ref="R1" authorId="0">
      <text>
        <r>
          <rPr>
            <rFont val="Aptos Narrow"/>
            <b/>
            <color rgb="FFFFFFFF"/>
            <sz val="11"/>
          </rPr>
          <t>Echoes the governing role assignment when the decision was overridden, blank otherwise.</t>
        </r>
      </text>
    </comment>
    <comment ref="S1" authorId="0">
      <text>
        <r>
          <rPr>
            <rFont val="Aptos Narrow"/>
            <b/>
            <color rgb="FFFFFFFF"/>
            <sz val="11"/>
          </rPr>
          <t>The specified step at which this decision was made.</t>
        </r>
      </text>
    </comment>
    <comment ref="T1" authorId="0">
      <text>
        <r>
          <rPr>
            <rFont val="Aptos Narrow"/>
            <b/>
            <color rgb="FFFFFFFF"/>
            <sz val="11"/>
          </rPr>
          <t>Composite key of step, deciding agent kind, and decision kind for this decision.</t>
        </r>
      </text>
    </comment>
    <comment ref="U1" authorId="0">
      <text>
        <r>
          <rPr>
            <rFont val="Aptos Narrow"/>
            <b/>
            <color rgb="FFFFFFFF"/>
            <sz val="11"/>
          </rPr>
          <t>Number of authority boundaries this decision matches.</t>
        </r>
      </text>
    </comment>
    <comment ref="V1" authorId="0">
      <text>
        <r>
          <rPr>
            <rFont val="Aptos Narrow"/>
            <b/>
            <color rgb="FFFFFFFF"/>
            <sz val="11"/>
          </rPr>
          <t>TRUE when this decision matches an authority boundary that forbids it.</t>
        </r>
      </text>
    </comment>
    <comment ref="W1" authorId="0">
      <text>
        <r>
          <rPr>
            <rFont val="Aptos Narrow"/>
            <b/>
            <color rgb="FFFFFFFF"/>
            <sz val="11"/>
          </rPr>
          <t>Agent kind of the reviewer, if any.</t>
        </r>
      </text>
    </comment>
    <comment ref="X1" authorId="0">
      <text>
        <r>
          <rPr>
            <rFont val="Aptos Narrow"/>
            <b/>
            <color rgb="FFFFFFFF"/>
            <sz val="11"/>
          </rPr>
          <t>TRUE when a human agent actually dispositioned this decision.</t>
        </r>
      </text>
    </comment>
    <comment ref="Y1" authorId="0">
      <text>
        <r>
          <rPr>
            <rFont val="Aptos Narrow"/>
            <b/>
            <color rgb="FFFFFFFF"/>
            <sz val="11"/>
          </rPr>
          <t>TRUE when a non-human agent made a material or escalated decision.</t>
        </r>
      </text>
    </comment>
    <comment ref="Z1" authorId="0">
      <text>
        <r>
          <rPr>
            <rFont val="Aptos Narrow"/>
            <b/>
            <color rgb="FFFFFFFF"/>
            <sz val="11"/>
          </rPr>
          <t>TRUE when a material non-human decision was never confirmed by a human.</t>
        </r>
      </text>
    </comment>
    <comment ref="AA1" authorId="0">
      <text>
        <r>
          <rPr>
            <rFont val="Aptos Narrow"/>
            <b/>
            <color rgb="FFFFFFFF"/>
            <sz val="11"/>
          </rPr>
          <t>Echoes the step-execution id when the decision is an unconfirmed non-human material decision, blank otherwise.</t>
        </r>
      </text>
    </comment>
    <comment ref="AB1" authorId="0">
      <text>
        <r>
          <rPr>
            <rFont val="Aptos Narrow"/>
            <b/>
            <color rgb="FFFFFFFF"/>
            <sz val="11"/>
          </rPr>
          <t>Echoes the deciding agent id when the decision violated a boundary, blank otherwise.</t>
        </r>
      </text>
    </comment>
    <comment ref="AC1" authorId="0">
      <text>
        <r>
          <rPr>
            <rFont val="Aptos Narrow"/>
            <b/>
            <color rgb="FFFFFFFF"/>
            <sz val="11"/>
          </rPr>
          <t>Minutes between the decision and its human disposition; 0 when never reviewed. Declared number, not integer: DATETIME_DIFF returns a numeric and an integer cast makes the entire view fail on read.</t>
        </r>
      </text>
    </comment>
    <comment ref="AD1" authorId="0">
      <text>
        <r>
          <rPr>
            <rFont val="Aptos Narrow"/>
            <b/>
            <color rgb="FFFFFFFF"/>
            <sz val="11"/>
          </rPr>
          <t>TRUE when this decision produced text — the drafter's own output class.</t>
        </r>
      </text>
    </comment>
    <comment ref="AE1" authorId="0">
      <text>
        <r>
          <rPr>
            <rFont val="Aptos Narrow"/>
            <b/>
            <color rgb="FFFFFFFF"/>
            <sz val="11"/>
          </rPr>
          <t>Echoes the deciding agent id when a drafting decision was overridden, blank otherwise.</t>
        </r>
      </text>
    </comment>
    <comment ref="AF1" authorId="0">
      <text>
        <r>
          <rPr>
            <rFont val="Aptos Narrow"/>
            <b/>
            <color rgb="FFFFFFFF"/>
            <sz val="11"/>
          </rPr>
          <t>Echoes the deciding agent id when the decision produced text, blank otherwise.</t>
        </r>
      </text>
    </comment>
    <comment ref="AG1" authorId="0">
      <text>
        <r>
          <rPr>
            <rFont val="Aptos Narrow"/>
            <b/>
            <color rgb="FFFFFFFF"/>
            <sz val="11"/>
          </rPr>
          <t>Why the human changed my output: ErrorCorrection, JudgmentReserved, PolicyChange, or empty when not overridden.</t>
        </r>
      </text>
    </comment>
    <comment ref="AH1" authorId="0">
      <text>
        <r>
          <rPr>
            <rFont val="Aptos Narrow"/>
            <b/>
            <color rgb="FFFFFFFF"/>
            <sz val="11"/>
          </rPr>
          <t>TRUE when the override corrected something I got wrong.</t>
        </r>
      </text>
    </comment>
    <comment ref="AI1" authorId="0">
      <text>
        <r>
          <rPr>
            <rFont val="Aptos Narrow"/>
            <b/>
            <color rgb="FFFFFFFF"/>
            <sz val="11"/>
          </rPr>
          <t>TRUE when the override was a human exercising authority the procedure always reserved to them.</t>
        </r>
      </text>
    </comment>
    <comment ref="AJ1" authorId="0">
      <text>
        <r>
          <rPr>
            <rFont val="Aptos Narrow"/>
            <b/>
            <color rgb="FFFFFFFF"/>
            <sz val="11"/>
          </rPr>
          <t>TRUE when an override carries a stated reason.</t>
        </r>
      </text>
    </comment>
    <comment ref="AK1" authorId="0">
      <text>
        <r>
          <rPr>
            <rFont val="Aptos Narrow"/>
            <b/>
            <color rgb="FFFFFFFF"/>
            <sz val="11"/>
          </rPr>
          <t>TRUE when my output was changed and nobody recorded why.</t>
        </r>
      </text>
    </comment>
    <comment ref="AL1" authorId="0">
      <text>
        <r>
          <rPr>
            <rFont val="Aptos Narrow"/>
            <b/>
            <color rgb="FFFFFFFF"/>
            <sz val="11"/>
          </rPr>
          <t>The role assignment id when this decision was overridden as an error correction, otherwise empty.</t>
        </r>
      </text>
    </comment>
    <comment ref="AM1" authorId="0">
      <text>
        <r>
          <rPr>
            <rFont val="Aptos Narrow"/>
            <b/>
            <color rgb="FFFFFFFF"/>
            <sz val="11"/>
          </rPr>
          <t>Echoes the role assignment this decision was made under, but only when the decision violated an authority boundary. Empty otherwise.</t>
        </r>
      </text>
    </comment>
    <comment ref="AN1" authorId="0">
      <text>
        <r>
          <rPr>
            <rFont val="Aptos Narrow"/>
            <b/>
            <color rgb="FFFFFFFF"/>
            <sz val="11"/>
          </rPr>
          <t>Extension class IRI for an agent decision record.</t>
        </r>
      </text>
    </comment>
    <comment ref="B1" authorId="0">
      <text>
        <r>
          <rPr>
            <rFont val="Aptos Narrow"/>
            <b/>
            <color rgb="FFFFFFFF"/>
            <sz val="11"/>
          </rPr>
          <t>Human-readable calculated display alias for the AgentDecisionRecords row.</t>
        </r>
      </text>
    </comment>
  </commentList>
</comments>
</file>

<file path=xl/comments6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DeliveredCommunications row.</t>
        </r>
      </text>
    </comment>
    <comment ref="C1" authorId="0">
      <text>
        <r>
          <rPr>
            <rFont val="Aptos Narrow"/>
            <b/>
            <color rgb="FFFFFFFF"/>
            <sz val="11"/>
          </rPr>
          <t>The run that produced this delivery.</t>
        </r>
      </text>
    </comment>
    <comment ref="D1" authorId="0">
      <text>
        <r>
          <rPr>
            <rFont val="Aptos Narrow"/>
            <b/>
            <color rgb="FFFFFFFF"/>
            <sz val="11"/>
          </rPr>
          <t>The policy-07 step execution that sent it.</t>
        </r>
      </text>
    </comment>
    <comment ref="E1" authorId="0">
      <text>
        <r>
          <rPr>
            <rFont val="Aptos Narrow"/>
            <b/>
            <color rgb="FFFFFFFF"/>
            <sz val="11"/>
          </rPr>
          <t>The human approval gate execution that authorized this content. Null means nobody approved it.</t>
        </r>
      </text>
    </comment>
    <comment ref="F1" authorId="0">
      <text>
        <r>
          <rPr>
            <rFont val="Aptos Narrow"/>
            <b/>
            <color rgb="FFFFFFFF"/>
            <sz val="11"/>
          </rPr>
          <t>The approved template this delivery was rendered from.</t>
        </r>
      </text>
    </comment>
    <comment ref="G1" authorId="0">
      <text>
        <r>
          <rPr>
            <rFont val="Aptos Narrow"/>
            <b/>
            <color rgb="FFFFFFFF"/>
            <sz val="11"/>
          </rPr>
          <t>Email or SMS.</t>
        </r>
      </text>
    </comment>
    <comment ref="H1" authorId="0">
      <text>
        <r>
          <rPr>
            <rFont val="Aptos Narrow"/>
            <b/>
            <color rgb="FFFFFFFF"/>
            <sz val="11"/>
          </rPr>
          <t>Opaque recipient identifier; no personal data in the rulebook.</t>
        </r>
      </text>
    </comment>
    <comment ref="I1" authorId="0">
      <text>
        <r>
          <rPr>
            <rFont val="Aptos Narrow"/>
            <b/>
            <color rgb="FFFFFFFF"/>
            <sz val="11"/>
          </rPr>
          <t>When the message was dispatched.</t>
        </r>
      </text>
    </comment>
    <comment ref="J1" authorId="0">
      <text>
        <r>
          <rPr>
            <rFont val="Aptos Narrow"/>
            <b/>
            <color rgb="FFFFFFFF"/>
            <sz val="11"/>
          </rPr>
          <t>Hash of the exact bytes delivered, for comparison against the approved rendering.</t>
        </r>
      </text>
    </comment>
    <comment ref="K1" authorId="0">
      <text>
        <r>
          <rPr>
            <rFont val="Aptos Narrow"/>
            <b/>
            <color rgb="FFFFFFFF"/>
            <sz val="11"/>
          </rPr>
          <t>Hash of the content as it stood at the approval gate.</t>
        </r>
      </text>
    </comment>
    <comment ref="L1" authorId="0">
      <text>
        <r>
          <rPr>
            <rFont val="Aptos Narrow"/>
            <b/>
            <color rgb="FFFFFFFF"/>
            <sz val="11"/>
          </rPr>
          <t>Provider-reported delivery outcome.</t>
        </r>
      </text>
    </comment>
    <comment ref="M1" authorId="0">
      <text>
        <r>
          <rPr>
            <rFont val="Aptos Narrow"/>
            <b/>
            <color rgb="FFFFFFFF"/>
            <sz val="11"/>
          </rPr>
          <t>Extension class IRI.</t>
        </r>
      </text>
    </comment>
    <comment ref="N1" authorId="0">
      <text>
        <r>
          <rPr>
            <rFont val="Aptos Narrow"/>
            <b/>
            <color rgb="FFFFFFFF"/>
            <sz val="11"/>
          </rPr>
          <t>TRUE when this delivery names the approval that authorized it.</t>
        </r>
      </text>
    </comment>
    <comment ref="O1" authorId="0">
      <text>
        <r>
          <rPr>
            <rFont val="Aptos Narrow"/>
            <b/>
            <color rgb="FFFFFFFF"/>
            <sz val="11"/>
          </rPr>
          <t>TRUE when the bytes delivered are the bytes approved.</t>
        </r>
      </text>
    </comment>
    <comment ref="P1" authorId="0">
      <text>
        <r>
          <rPr>
            <rFont val="Aptos Narrow"/>
            <b/>
            <color rgb="FFFFFFFF"/>
            <sz val="11"/>
          </rPr>
          <t>When the authorizing approval completed.</t>
        </r>
      </text>
    </comment>
    <comment ref="Q1" authorId="0">
      <text>
        <r>
          <rPr>
            <rFont val="Aptos Narrow"/>
            <b/>
            <color rgb="FFFFFFFF"/>
            <sz val="11"/>
          </rPr>
          <t>TRUE when the approval preceded the send.</t>
        </r>
      </text>
    </comment>
    <comment ref="R1" authorId="0">
      <text>
        <r>
          <rPr>
            <rFont val="Aptos Narrow"/>
            <b/>
            <color rgb="FFFFFFFF"/>
            <sz val="11"/>
          </rPr>
          <t>TRUE when this delivery can be defended in a dispute: authorized, unaltered, and approved beforehand.</t>
        </r>
      </text>
    </comment>
    <comment ref="B1" authorId="0">
      <text>
        <r>
          <rPr>
            <rFont val="Aptos Narrow"/>
            <b/>
            <color rgb="FFFFFFFF"/>
            <sz val="11"/>
          </rPr>
          <t>Human-readable calculated display alias.</t>
        </r>
      </text>
    </comment>
  </commentList>
</comments>
</file>

<file path=xl/comments6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AuthorityBoundaries row.</t>
        </r>
      </text>
    </comment>
    <comment ref="C1" authorId="0">
      <text>
        <r>
          <rPr>
            <rFont val="Aptos Narrow"/>
            <b/>
            <color rgb="FFFFFFFF"/>
            <sz val="11"/>
          </rPr>
          <t>Step at which the boundary applies.</t>
        </r>
      </text>
    </comment>
    <comment ref="D1" authorId="0">
      <text>
        <r>
          <rPr>
            <rFont val="Aptos Narrow"/>
            <b/>
            <color rgb="FFFFFFFF"/>
            <sz val="11"/>
          </rPr>
          <t>Agent kind that may not perform the forbidden decision kind: Human, AIAgent, or AutomatedPipeline.</t>
        </r>
      </text>
    </comment>
    <comment ref="E1" authorId="0">
      <text>
        <r>
          <rPr>
            <rFont val="Aptos Narrow"/>
            <b/>
            <color rgb="FFFFFFFF"/>
            <sz val="11"/>
          </rPr>
          <t>Decision kind forbidden to that agent kind at this step.</t>
        </r>
      </text>
    </comment>
    <comment ref="F1" authorId="0">
      <text>
        <r>
          <rPr>
            <rFont val="Aptos Narrow"/>
            <b/>
            <color rgb="FFFFFFFF"/>
            <sz val="11"/>
          </rPr>
          <t>Knowledge fragment that states the boundary.</t>
        </r>
      </text>
    </comment>
    <comment ref="G1" authorId="0">
      <text>
        <r>
          <rPr>
            <rFont val="Aptos Narrow"/>
            <b/>
            <color rgb="FFFFFFFF"/>
            <sz val="11"/>
          </rPr>
          <t>Requirement under which the boundary is enforced, if any.</t>
        </r>
      </text>
    </comment>
    <comment ref="H1" authorId="0">
      <text>
        <r>
          <rPr>
            <rFont val="Aptos Narrow"/>
            <b/>
            <color rgb="FFFFFFFF"/>
            <sz val="11"/>
          </rPr>
          <t>Role accountable for the boundary.</t>
        </r>
      </text>
    </comment>
    <comment ref="I1" authorId="0">
      <text>
        <r>
          <rPr>
            <rFont val="Aptos Narrow"/>
            <b/>
            <color rgb="FFFFFFFF"/>
            <sz val="11"/>
          </rPr>
          <t>Start of the boundary's valid-time interval.</t>
        </r>
      </text>
    </comment>
    <comment ref="J1" authorId="0">
      <text>
        <r>
          <rPr>
            <rFont val="Aptos Narrow"/>
            <b/>
            <color rgb="FFFFFFFF"/>
            <sz val="11"/>
          </rPr>
          <t>End of the boundary's valid-time interval; null means open-ended.</t>
        </r>
      </text>
    </comment>
    <comment ref="K1" authorId="0">
      <text>
        <r>
          <rPr>
            <rFont val="Aptos Narrow"/>
            <b/>
            <color rgb="FFFFFFFF"/>
            <sz val="11"/>
          </rPr>
          <t>Approved, Proposed, or Retired.</t>
        </r>
      </text>
    </comment>
    <comment ref="L1" authorId="0">
      <text>
        <r>
          <rPr>
            <rFont val="Aptos Narrow"/>
            <b/>
            <color rgb="FFFFFFFF"/>
            <sz val="11"/>
          </rPr>
          <t>The evaluation context this boundary's currency is judged under.</t>
        </r>
      </text>
    </comment>
    <comment ref="M1" authorId="0">
      <text>
        <r>
          <rPr>
            <rFont val="Aptos Narrow"/>
            <b/>
            <color rgb="FFFFFFFF"/>
            <sz val="11"/>
          </rPr>
          <t>The evaluation instant this boundary is judged against.</t>
        </r>
      </text>
    </comment>
    <comment ref="N1" authorId="0">
      <text>
        <r>
          <rPr>
            <rFont val="Aptos Narrow"/>
            <b/>
            <color rgb="FFFFFFFF"/>
            <sz val="11"/>
          </rPr>
          <t>TRUE when this boundary is approved and inside its valid-time window right now.</t>
        </r>
      </text>
    </comment>
    <comment ref="O1" authorId="0">
      <text>
        <r>
          <rPr>
            <rFont val="Aptos Narrow"/>
            <b/>
            <color rgb="FFFFFFFF"/>
            <sz val="11"/>
          </rPr>
          <t>Whether the knowledge fragment that ratified this boundary is still valid.</t>
        </r>
      </text>
    </comment>
    <comment ref="P1" authorId="0">
      <text>
        <r>
          <rPr>
            <rFont val="Aptos Narrow"/>
            <b/>
            <color rgb="FFFFFFFF"/>
            <sz val="11"/>
          </rPr>
          <t>Echoes the step id when this boundary is currently binding, blank otherwise.</t>
        </r>
      </text>
    </comment>
    <comment ref="Q1" authorId="0">
      <text>
        <r>
          <rPr>
            <rFont val="Aptos Narrow"/>
            <b/>
            <color rgb="FFFFFFFF"/>
            <sz val="11"/>
          </rPr>
          <t>Composite key of step, forbidden agent kind, and forbidden decision kind.</t>
        </r>
      </text>
    </comment>
    <comment ref="R1" authorId="0">
      <text>
        <r>
          <rPr>
            <rFont val="Aptos Narrow"/>
            <b/>
            <color rgb="FFFFFFFF"/>
            <sz val="11"/>
          </rPr>
          <t>Number of recorded decisions that this boundary forbids.</t>
        </r>
      </text>
    </comment>
    <comment ref="S1" authorId="0">
      <text>
        <r>
          <rPr>
            <rFont val="Aptos Narrow"/>
            <b/>
            <color rgb="FFFFFFFF"/>
            <sz val="11"/>
          </rPr>
          <t>TRUE when a binding boundary has never been triggered by any recorded decision.</t>
        </r>
      </text>
    </comment>
    <comment ref="T1" authorId="0">
      <text>
        <r>
          <rPr>
            <rFont val="Aptos Narrow"/>
            <b/>
            <color rgb="FFFFFFFF"/>
            <sz val="11"/>
          </rPr>
          <t>TRUE when this boundary names a knowledge fragment as its justification. FALSE means the rule constrains behaviour on nobody's recorded authority — strictly worse than resting on an expired claim, and previously invisible because the ratification lookup returned NULL.</t>
        </r>
      </text>
    </comment>
    <comment ref="U1" authorId="0">
      <text>
        <r>
          <rPr>
            <rFont val="Aptos Narrow"/>
            <b/>
            <color rgb="FFFFFFFF"/>
            <sz val="11"/>
          </rPr>
          <t>TRUE when a binding constraint on authority rests on no ratifying claim at all, or on one that is no longer valid. Either way the rule is being enforced without a live justification.</t>
        </r>
      </text>
    </comment>
    <comment ref="V1" authorId="0">
      <text>
        <r>
          <rPr>
            <rFont val="Aptos Narrow"/>
            <b/>
            <color rgb="FFFFFFFF"/>
            <sz val="11"/>
          </rPr>
          <t>Whether the fragment ratifying this boundary is past its review date.</t>
        </r>
      </text>
    </comment>
    <comment ref="W1" authorId="0">
      <text>
        <r>
          <rPr>
            <rFont val="Aptos Narrow"/>
            <b/>
            <color rgb="FFFFFFFF"/>
            <sz val="11"/>
          </rPr>
          <t>Whether the fragment ratifying this boundary rests on a single witness.</t>
        </r>
      </text>
    </comment>
    <comment ref="X1" authorId="0">
      <text>
        <r>
          <rPr>
            <rFont val="Aptos Narrow"/>
            <b/>
            <color rgb="FFFFFFFF"/>
            <sz val="11"/>
          </rPr>
          <t>A binding boundary whose ratifying knowledge is either overdue for review or single-sourced — still valid, but weakly warranted.</t>
        </r>
      </text>
    </comment>
    <comment ref="Y1" authorId="0">
      <text>
        <r>
          <rPr>
            <rFont val="Aptos Narrow"/>
            <b/>
            <color rgb="FFFFFFFF"/>
            <sz val="11"/>
          </rPr>
          <t>A boundary whose ratification has lapsed and which no agent decision has ever been evaluated against — we cannot show it works and we cannot show why it exists.</t>
        </r>
      </text>
    </comment>
    <comment ref="Z1" authorId="0">
      <text>
        <r>
          <rPr>
            <rFont val="Aptos Narrow"/>
            <b/>
            <color rgb="FFFFFFFF"/>
            <sz val="11"/>
          </rPr>
          <t>Composite-key echo: the step this boundary governs when the boundary is unwarranted, blank otherwise.</t>
        </r>
      </text>
    </comment>
    <comment ref="AA1" authorId="0">
      <text>
        <r>
          <rPr>
            <rFont val="Aptos Narrow"/>
            <b/>
            <color rgb="FFFFFFFF"/>
            <sz val="11"/>
          </rPr>
          <t>Composite-key echo: the fragment ratifying this boundary when the boundary is currently binding, blank otherwise.</t>
        </r>
      </text>
    </comment>
    <comment ref="AB1" authorId="0">
      <text>
        <r>
          <rPr>
            <rFont val="Aptos Narrow"/>
            <b/>
            <color rgb="FFFFFFFF"/>
            <sz val="11"/>
          </rPr>
          <t>The status string of the knowledge fragment that ratifies this boundary: Approved, Reviewed, Draft, or empty.</t>
        </r>
      </text>
    </comment>
    <comment ref="AC1" authorId="0">
      <text>
        <r>
          <rPr>
            <rFont val="Aptos Narrow"/>
            <b/>
            <color rgb="FFFFFFFF"/>
            <sz val="11"/>
          </rPr>
          <t>TRUE when this boundary names a ratifying fragment and that fragment is no longer valid.</t>
        </r>
      </text>
    </comment>
    <comment ref="AD1" authorId="0">
      <text>
        <r>
          <rPr>
            <rFont val="Aptos Narrow"/>
            <b/>
            <color rgb="FFFFFFFF"/>
            <sz val="11"/>
          </rPr>
          <t>TRUE when a boundary is still enforced against agents while the knowledge that authorized it has lapsed.</t>
        </r>
      </text>
    </comment>
    <comment ref="AE1" authorId="0">
      <text>
        <r>
          <rPr>
            <rFont val="Aptos Narrow"/>
            <b/>
            <color rgb="FFFFFFFF"/>
            <sz val="11"/>
          </rPr>
          <t>TRUE when a boundary has lapsed ratification AND has never once been exercised -- so neither its authority nor its operation has ever been demonstrated.</t>
        </r>
      </text>
    </comment>
    <comment ref="AF1" authorId="0">
      <text>
        <r>
          <rPr>
            <rFont val="Aptos Narrow"/>
            <b/>
            <color rgb="FFFFFFFF"/>
            <sz val="11"/>
          </rPr>
          <t>The role id this boundary constrains, emitted only when the boundary is ungrounded.</t>
        </r>
      </text>
    </comment>
    <comment ref="AG1" authorId="0">
      <text>
        <r>
          <rPr>
            <rFont val="Aptos Narrow"/>
            <b/>
            <color rgb="FFFFFFFF"/>
            <sz val="11"/>
          </rPr>
          <t>Extension class IRI for an authority boundary.</t>
        </r>
      </text>
    </comment>
    <comment ref="B1" authorId="0">
      <text>
        <r>
          <rPr>
            <rFont val="Aptos Narrow"/>
            <b/>
            <color rgb="FFFFFFFF"/>
            <sz val="11"/>
          </rPr>
          <t>Human-readable calculated display alias for the AuthorityBoundaries row.</t>
        </r>
      </text>
    </comment>
  </commentList>
</comments>
</file>

<file path=xl/comments6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Primary key of an execution-side observation of one operational binding, frozen at the moment a step actually ran.</t>
        </r>
      </text>
    </comment>
    <comment ref="C1" authorId="0">
      <text>
        <r>
          <rPr>
            <rFont val="Aptos Narrow"/>
            <b/>
            <color rgb="FFFFFFFF"/>
            <sz val="11"/>
          </rPr>
          <t>The step execution during which this binding was read.</t>
        </r>
      </text>
    </comment>
    <comment ref="D1" authorId="0">
      <text>
        <r>
          <rPr>
            <rFont val="Aptos Narrow"/>
            <b/>
            <color rgb="FFFFFFFF"/>
            <sz val="11"/>
          </rPr>
          <t>The spec-side binding this observation instantiates.</t>
        </r>
      </text>
    </comment>
    <comment ref="E1" authorId="0">
      <text>
        <r>
          <rPr>
            <rFont val="Aptos Narrow"/>
            <b/>
            <color rgb="FFFFFFFF"/>
            <sz val="11"/>
          </rPr>
          <t>The LastObservedAt value the source actually carried at run time, captured then and never recomputed.</t>
        </r>
      </text>
    </comment>
    <comment ref="F1" authorId="0">
      <text>
        <r>
          <rPr>
            <rFont val="Aptos Narrow"/>
            <b/>
            <color rgb="FFFFFFFF"/>
            <sz val="11"/>
          </rPr>
          <t>When the step execution actually read this binding.</t>
        </r>
      </text>
    </comment>
    <comment ref="G1" authorId="0">
      <text>
        <r>
          <rPr>
            <rFont val="Aptos Narrow"/>
            <b/>
            <color rgb="FFFFFFFF"/>
            <sz val="11"/>
          </rPr>
          <t>The freshness SLA declared for this binding.</t>
        </r>
      </text>
    </comment>
    <comment ref="H1" authorId="0">
      <text>
        <r>
          <rPr>
            <rFont val="Aptos Narrow"/>
            <b/>
            <color rgb="FFFFFFFF"/>
            <sz val="11"/>
          </rPr>
          <t>How old the source data was at the instant the step read it.</t>
        </r>
      </text>
    </comment>
    <comment ref="I1" authorId="0">
      <text>
        <r>
          <rPr>
            <rFont val="Aptos Narrow"/>
            <b/>
            <color rgb="FFFFFFFF"/>
            <sz val="11"/>
          </rPr>
          <t>TRUE when an authoritative source was already outside its SLA at the moment the step consumed it.</t>
        </r>
      </text>
    </comment>
    <comment ref="J1" authorId="0">
      <text>
        <r>
          <rPr>
            <rFont val="Aptos Narrow"/>
            <b/>
            <color rgb="FFFFFFFF"/>
            <sz val="11"/>
          </rPr>
          <t>Whether the binding observed is the authoritative source for its record key.</t>
        </r>
      </text>
    </comment>
    <comment ref="K1" authorId="0">
      <text>
        <r>
          <rPr>
            <rFont val="Aptos Narrow"/>
            <b/>
            <color rgb="FFFFFFFF"/>
            <sz val="11"/>
          </rPr>
          <t>Echoes the step execution id when the source was stale at run time.</t>
        </r>
      </text>
    </comment>
    <comment ref="B1" authorId="0">
      <text>
        <r>
          <rPr>
            <rFont val="Aptos Narrow"/>
            <b/>
            <color rgb="FFFFFFFF"/>
            <sz val="11"/>
          </rPr>
          <t>Human-readable calculated display alias for the BindingObservations row.</t>
        </r>
      </text>
    </comment>
  </commentList>
</comments>
</file>

<file path=xl/comments6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Primary key of a signature event: one person, one execution, one instant.</t>
        </r>
      </text>
    </comment>
    <comment ref="C1" authorId="0">
      <text>
        <r>
          <rPr>
            <rFont val="Aptos Narrow"/>
            <b/>
            <color rgb="FFFFFFFF"/>
            <sz val="11"/>
          </rPr>
          <t>The execution being attested to.</t>
        </r>
      </text>
    </comment>
    <comment ref="D1" authorId="0">
      <text>
        <r>
          <rPr>
            <rFont val="Aptos Narrow"/>
            <b/>
            <color rgb="FFFFFFFF"/>
            <sz val="11"/>
          </rPr>
          <t>The human who signed.</t>
        </r>
      </text>
    </comment>
    <comment ref="E1" authorId="0">
      <text>
        <r>
          <rPr>
            <rFont val="Aptos Narrow"/>
            <b/>
            <color rgb="FFFFFFFF"/>
            <sz val="11"/>
          </rPr>
          <t>The instant of signature.</t>
        </r>
      </text>
    </comment>
    <comment ref="F1" authorId="0">
      <text>
        <r>
          <rPr>
            <rFont val="Aptos Narrow"/>
            <b/>
            <color rgb="FFFFFFFF"/>
            <sz val="11"/>
          </rPr>
          <t>The AssuranceGrade string as the model reported it at the moment of signature, captured then and never recomputed.</t>
        </r>
      </text>
    </comment>
    <comment ref="G1" authorId="0">
      <text>
        <r>
          <rPr>
            <rFont val="Aptos Narrow"/>
            <b/>
            <color rgb="FFFFFFFF"/>
            <sz val="11"/>
          </rPr>
          <t>Whether the executed procedure version was fit to execute at the moment of signature.</t>
        </r>
      </text>
    </comment>
    <comment ref="H1" authorId="0">
      <text>
        <r>
          <rPr>
            <rFont val="Aptos Narrow"/>
            <b/>
            <color rgb="FFFFFFFF"/>
            <sz val="11"/>
          </rPr>
          <t>Whether the executed version reads as fit today.</t>
        </r>
      </text>
    </comment>
    <comment ref="I1" authorId="0">
      <text>
        <r>
          <rPr>
            <rFont val="Aptos Narrow"/>
            <b/>
            <color rgb="FFFFFFFF"/>
            <sz val="11"/>
          </rPr>
          <t>TRUE when the fitness of the signed version reads differently today than it did at signature.</t>
        </r>
      </text>
    </comment>
    <comment ref="J1" authorId="0">
      <text>
        <r>
          <rPr>
            <rFont val="Aptos Narrow"/>
            <b/>
            <color rgb="FFFFFFFF"/>
            <sz val="11"/>
          </rPr>
          <t>The AssuranceGrade the model reports for this execution today.</t>
        </r>
      </text>
    </comment>
    <comment ref="K1" authorId="0">
      <text>
        <r>
          <rPr>
            <rFont val="Aptos Narrow"/>
            <b/>
            <color rgb="FFFFFFFF"/>
            <sz val="11"/>
          </rPr>
          <t>TRUE when the assurance behind this signature is described differently now than it was at signature.</t>
        </r>
      </text>
    </comment>
    <comment ref="L1" authorId="0">
      <text>
        <r>
          <rPr>
            <rFont val="Aptos Narrow"/>
            <b/>
            <color rgb="FFFFFFFF"/>
            <sz val="11"/>
          </rPr>
          <t>TRUE when re-deriving this attestation today would not reproduce what the model said when it was signed.</t>
        </r>
      </text>
    </comment>
    <comment ref="B1" authorId="0">
      <text>
        <r>
          <rPr>
            <rFont val="Aptos Narrow"/>
            <b/>
            <color rgb="FFFFFFFF"/>
            <sz val="11"/>
          </rPr>
          <t>Human-readable calculated display alias for the Attestations row.</t>
        </r>
      </text>
    </comment>
  </commentList>
</comments>
</file>

<file path=xl/comments6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AppRoleProfiles row.</t>
        </r>
      </text>
    </comment>
    <comment ref="C1" authorId="0">
      <text>
        <r>
          <rPr>
            <rFont val="Aptos Narrow"/>
            <b/>
            <color rgb="FFFFFFFF"/>
            <sz val="11"/>
          </rPr>
          <t>The role this presentation profile describes.</t>
        </r>
      </text>
    </comment>
    <comment ref="D1" authorId="0">
      <text>
        <r>
          <rPr>
            <rFont val="Aptos Narrow"/>
            <b/>
            <color rgb="FFFFFFFF"/>
            <sz val="11"/>
          </rPr>
          <t>Label shown on the login card and in the app chrome.</t>
        </r>
      </text>
    </comment>
    <comment ref="E1" authorId="0">
      <text>
        <r>
          <rPr>
            <rFont val="Aptos Narrow"/>
            <b/>
            <color rgb="FFFFFFFF"/>
            <sz val="11"/>
          </rPr>
          <t>human or software. Drives the login-card silhouette and the icon plate shape.</t>
        </r>
      </text>
    </comment>
    <comment ref="F1" authorId="0">
      <text>
        <r>
          <rPr>
            <rFont val="Aptos Narrow"/>
            <b/>
            <color rgb="FFFFFFFF"/>
            <sz val="11"/>
          </rPr>
          <t>Hex accent colour. Distinctive per role; used for chrome, the left-nav active state, and the icon plate.</t>
        </r>
      </text>
    </comment>
    <comment ref="G1" authorId="0">
      <text>
        <r>
          <rPr>
            <rFont val="Aptos Narrow"/>
            <b/>
            <color rgb="FFFFFFFF"/>
            <sz val="11"/>
          </rPr>
          <t>Name of the geometric mark drawn on this role's icon. Colour is never the only signal — the mark discriminates in greyscale.</t>
        </r>
      </text>
    </comment>
    <comment ref="H1" authorId="0">
      <text>
        <r>
          <rPr>
            <rFont val="Aptos Narrow"/>
            <b/>
            <color rgb="FFFFFFFF"/>
            <sz val="11"/>
          </rPr>
          <t>128x128 PNG icon for this role, base64-encoded, no data: prefix. Rendered on the login card and beside the role name throughout the app.</t>
        </r>
      </text>
    </comment>
    <comment ref="I1" authorId="0">
      <text>
        <r>
          <rPr>
            <rFont val="Aptos Narrow"/>
            <b/>
            <color rgb="FFFFFFFF"/>
            <sz val="11"/>
          </rPr>
          <t>One line of login-card copy: what this role opens the app to do, in that role's own terms.</t>
        </r>
      </text>
    </comment>
    <comment ref="J1" authorId="0">
      <text>
        <r>
          <rPr>
            <rFont val="Aptos Narrow"/>
            <b/>
            <color rgb="FFFFFFFF"/>
            <sz val="11"/>
          </rPr>
          <t>Display order on the login screen. Human roles first, then software roles.</t>
        </r>
      </text>
    </comment>
    <comment ref="K1" authorId="0">
      <text>
        <r>
          <rPr>
            <rFont val="Aptos Narrow"/>
            <b/>
            <color rgb="FFFFFFFF"/>
            <sz val="11"/>
          </rPr>
          <t>How many routes this role has.</t>
        </r>
      </text>
    </comment>
    <comment ref="L1" authorId="0">
      <text>
        <r>
          <rPr>
            <rFont val="Aptos Narrow"/>
            <b/>
            <color rgb="FFFFFFFF"/>
            <sz val="11"/>
          </rPr>
          <t>Semantic type IRI for this row. An extension: PKO does not model application presentation.</t>
        </r>
      </text>
    </comment>
    <comment ref="B1" authorId="0">
      <text>
        <r>
          <rPr>
            <rFont val="Aptos Narrow"/>
            <b/>
            <color rgb="FFFFFFFF"/>
            <sz val="11"/>
          </rPr>
          <t>Human-readable calculated display alias for the AppRoleProfiles row.</t>
        </r>
      </text>
    </comment>
  </commentList>
</comments>
</file>

<file path=xl/comments7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AppNavGroups row.</t>
        </r>
      </text>
    </comment>
    <comment ref="C1" authorId="0">
      <text>
        <r>
          <rPr>
            <rFont val="Aptos Narrow"/>
            <b/>
            <color rgb="FFFFFFFF"/>
            <sz val="11"/>
          </rPr>
          <t>Section header text rendered in the left navigation.</t>
        </r>
      </text>
    </comment>
    <comment ref="D1" authorId="0">
      <text>
        <r>
          <rPr>
            <rFont val="Aptos Narrow"/>
            <b/>
            <color rgb="FFFFFFFF"/>
            <sz val="11"/>
          </rPr>
          <t>How many routes sit under this nav group across all roles.</t>
        </r>
      </text>
    </comment>
    <comment ref="E1" authorId="0">
      <text>
        <r>
          <rPr>
            <rFont val="Aptos Narrow"/>
            <b/>
            <color rgb="FFFFFFFF"/>
            <sz val="11"/>
          </rPr>
          <t>Semantic type IRI for this row. An extension: PKO does not model navigation.</t>
        </r>
      </text>
    </comment>
    <comment ref="B1" authorId="0">
      <text>
        <r>
          <rPr>
            <rFont val="Aptos Narrow"/>
            <b/>
            <color rgb="FFFFFFFF"/>
            <sz val="11"/>
          </rPr>
          <t>Human-readable calculated display alias for the AppNavGroups row.</t>
        </r>
      </text>
    </comment>
  </commentList>
</comments>
</file>

<file path=xl/comments7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AppRoutes row.</t>
        </r>
      </text>
    </comment>
    <comment ref="C1" authorId="0">
      <text>
        <r>
          <rPr>
            <rFont val="Aptos Narrow"/>
            <b/>
            <color rgb="FFFFFFFF"/>
            <sz val="11"/>
          </rPr>
          <t>The URL path, /{role}/{dashboard}/{entity...}. Shared detail routes live under /shared/ because the same entity serves every role.</t>
        </r>
      </text>
    </comment>
    <comment ref="D1" authorId="0">
      <text>
        <r>
          <rPr>
            <rFont val="Aptos Narrow"/>
            <b/>
            <color rgb="FFFFFFFF"/>
            <sz val="11"/>
          </rPr>
          <t>Short label. This is the left-nav text.</t>
        </r>
      </text>
    </comment>
    <comment ref="E1" authorId="0">
      <text>
        <r>
          <rPr>
            <rFont val="Aptos Narrow"/>
            <b/>
            <color rgb="FFFFFFFF"/>
            <sz val="11"/>
          </rPr>
          <t>domain | maintainer. Domain routes belong to the twelve accountable Roles. Maintainer routes are the model's own instrumentation (Admin, Explorer) and deliberately have no owning role — 'admin' is not a role anyone is accountable in.</t>
        </r>
      </text>
    </comment>
    <comment ref="F1" authorId="0">
      <text>
        <r>
          <rPr>
            <rFont val="Aptos Narrow"/>
            <b/>
            <color rgb="FFFFFFFF"/>
            <sz val="11"/>
          </rPr>
          <t>The role whose navigation contains this route. Null for shared routes reachable from several roles.</t>
        </r>
      </text>
    </comment>
    <comment ref="G1" authorId="0">
      <text>
        <r>
          <rPr>
            <rFont val="Aptos Narrow"/>
            <b/>
            <color rgb="FFFFFFFF"/>
            <sz val="11"/>
          </rPr>
          <t>Left-nav section this route appears under. Null for detail routes reached by drill-down rather than from the nav.</t>
        </r>
      </text>
    </comment>
    <comment ref="H1" authorId="0">
      <text>
        <r>
          <rPr>
            <rFont val="Aptos Narrow"/>
            <b/>
            <color rgb="FFFFFFFF"/>
            <sz val="11"/>
          </rPr>
          <t>Sort order within the nav group.</t>
        </r>
      </text>
    </comment>
    <comment ref="I1" authorId="0">
      <text>
        <r>
          <rPr>
            <rFont val="Aptos Narrow"/>
            <b/>
            <color rgb="FFFFFFFF"/>
            <sz val="11"/>
          </rPr>
          <t>dashboard | workspace | detail | index | action. Detail routes carry path parameters and are not in the nav.</t>
        </r>
      </text>
    </comment>
    <comment ref="J1" authorId="0">
      <text>
        <r>
          <rPr>
            <rFont val="Aptos Narrow"/>
            <b/>
            <color rgb="FFFFFFFF"/>
            <sz val="11"/>
          </rPr>
          <t>What the role does here, in that role's own voice. This is the brief for the build session.</t>
        </r>
      </text>
    </comment>
    <comment ref="K1" authorId="0">
      <text>
        <r>
          <rPr>
            <rFont val="Aptos Narrow"/>
            <b/>
            <color rgb="FFFFFFFF"/>
            <sz val="11"/>
          </rPr>
          <t>Brief layout direction: the shape of the screen, what leads, and what must not be collapsed or implied.</t>
        </r>
      </text>
    </comment>
    <comment ref="L1" authorId="0">
      <text>
        <r>
          <rPr>
            <rFont val="Aptos Narrow"/>
            <b/>
            <color rgb="FFFFFFFF"/>
            <sz val="11"/>
          </rPr>
          <t>Whether this route appears in the left navigation. Detail routes do not.</t>
        </r>
      </text>
    </comment>
    <comment ref="M1" authorId="0">
      <text>
        <r>
          <rPr>
            <rFont val="Aptos Narrow"/>
            <b/>
            <color rgb="FFFFFFFF"/>
            <sz val="11"/>
          </rPr>
          <t>Whether this route is shared across domain roles rather than owned by one. A maintainer route is not shared — it belongs to a different surface entirely.</t>
        </r>
      </text>
    </comment>
    <comment ref="N1" authorId="0">
      <text>
        <r>
          <rPr>
            <rFont val="Aptos Narrow"/>
            <b/>
            <color rgb="FFFFFFFF"/>
            <sz val="11"/>
          </rPr>
          <t>Whether this route is model instrumentation rather than a domain workspace. Maintainer routes are reached from the login page's maintainer section, not from a role card.</t>
        </r>
      </text>
    </comment>
    <comment ref="O1" authorId="0">
      <text>
        <r>
          <rPr>
            <rFont val="Aptos Narrow"/>
            <b/>
            <color rgb="FFFFFFFF"/>
            <sz val="11"/>
          </rPr>
          <t>How many role questions this route helps answer.</t>
        </r>
      </text>
    </comment>
    <comment ref="P1" authorId="0">
      <text>
        <r>
          <rPr>
            <rFont val="Aptos Narrow"/>
            <b/>
            <color rgb="FFFFFFFF"/>
            <sz val="11"/>
          </rPr>
          <t>How many other routes this route links to.</t>
        </r>
      </text>
    </comment>
    <comment ref="Q1" authorId="0">
      <text>
        <r>
          <rPr>
            <rFont val="Aptos Narrow"/>
            <b/>
            <color rgb="FFFFFFFF"/>
            <sz val="11"/>
          </rPr>
          <t>A domain route owned by a role that answers no role question. Not automatically wrong, but it should be justified. Maintainer routes are excluded: they answer questions about the model itself, which are not RoleQuestions and must not be fabricated as such.</t>
        </r>
      </text>
    </comment>
    <comment ref="R1" authorId="0">
      <text>
        <r>
          <rPr>
            <rFont val="Aptos Narrow"/>
            <b/>
            <color rgb="FFFFFFFF"/>
            <sz val="11"/>
          </rPr>
          <t>Semantic type IRI for this row. An extension: PKO models procedures, not the applications that display them.</t>
        </r>
      </text>
    </comment>
    <comment ref="B1" authorId="0">
      <text>
        <r>
          <rPr>
            <rFont val="Aptos Narrow"/>
            <b/>
            <color rgb="FFFFFFFF"/>
            <sz val="11"/>
          </rPr>
          <t>Human-readable calculated display alias for the AppRoutes row.</t>
        </r>
      </text>
    </comment>
  </commentList>
</comments>
</file>

<file path=xl/comments7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AppRouteQuestions row.</t>
        </r>
      </text>
    </comment>
    <comment ref="C1" authorId="0">
      <text>
        <r>
          <rPr>
            <rFont val="Aptos Narrow"/>
            <b/>
            <color rgb="FFFFFFFF"/>
            <sz val="11"/>
          </rPr>
          <t>The route that helps answer the question.</t>
        </r>
      </text>
    </comment>
    <comment ref="D1" authorId="0">
      <text>
        <r>
          <rPr>
            <rFont val="Aptos Narrow"/>
            <b/>
            <color rgb="FFFFFFFF"/>
            <sz val="11"/>
          </rPr>
          <t>The role question this route helps answer.</t>
        </r>
      </text>
    </comment>
    <comment ref="E1" authorId="0">
      <text>
        <r>
          <rPr>
            <rFont val="Aptos Narrow"/>
            <b/>
            <color rgb="FFFFFFFF"/>
            <sz val="11"/>
          </rPr>
          <t>Semantic type IRI for this row. An extension.</t>
        </r>
      </text>
    </comment>
    <comment ref="B1" authorId="0">
      <text>
        <r>
          <rPr>
            <rFont val="Aptos Narrow"/>
            <b/>
            <color rgb="FFFFFFFF"/>
            <sz val="11"/>
          </rPr>
          <t>Human-readable calculated display alias for the AppRouteQuestions row.</t>
        </r>
      </text>
    </comment>
  </commentList>
</comments>
</file>

<file path=xl/comments7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AppRouteReferences row.</t>
        </r>
      </text>
    </comment>
    <comment ref="C1" authorId="0">
      <text>
        <r>
          <rPr>
            <rFont val="Aptos Narrow"/>
            <b/>
            <color rgb="FFFFFFFF"/>
            <sz val="11"/>
          </rPr>
          <t>The route that links out.</t>
        </r>
      </text>
    </comment>
    <comment ref="D1" authorId="0">
      <text>
        <r>
          <rPr>
            <rFont val="Aptos Narrow"/>
            <b/>
            <color rgb="FFFFFFFF"/>
            <sz val="11"/>
          </rPr>
          <t>The route being linked to.</t>
        </r>
      </text>
    </comment>
    <comment ref="E1" authorId="0">
      <text>
        <r>
          <rPr>
            <rFont val="Aptos Narrow"/>
            <b/>
            <color rgb="FFFFFFFF"/>
            <sz val="11"/>
          </rPr>
          <t>Semantic type IRI for this row. An extension.</t>
        </r>
      </text>
    </comment>
    <comment ref="B1" authorId="0">
      <text>
        <r>
          <rPr>
            <rFont val="Aptos Narrow"/>
            <b/>
            <color rgb="FFFFFFFF"/>
            <sz val="11"/>
          </rPr>
          <t>Human-readable calculated display alias for the AppRouteReferences row.</t>
        </r>
      </text>
    </comment>
  </commentList>
</comments>
</file>

<file path=xl/comments7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Primary key: the rulebook table name, verbatim. rulebook-to-postgres synthesizes a lowercased slug PK for a table with no &lt;Entity&gt;Id and rewrites every FK to it, which broke each formula comparing an FK to TableName.</t>
        </r>
      </text>
    </comment>
    <comment ref="C1" authorId="0">
      <text>
        <r>
          <rPr>
            <rFont val="Aptos Narrow"/>
            <b/>
            <color rgb="FFFFFFFF"/>
            <sz val="11"/>
          </rPr>
          <t>Human-readable calculated display alias.</t>
        </r>
      </text>
    </comment>
    <comment ref="D1" authorId="0">
      <text>
        <r>
          <rPr>
            <rFont val="Aptos Narrow"/>
            <b/>
            <color rgb="FFFFFFFF"/>
            <sz val="11"/>
          </rPr>
          <t>snake_case Postgres base table name emitted by rulebook-to-postgres.</t>
        </r>
      </text>
    </comment>
    <comment ref="E1" authorId="0">
      <text>
        <r>
          <rPr>
            <rFont val="Aptos Narrow"/>
            <b/>
            <color rgb="FFFFFFFF"/>
            <sz val="11"/>
          </rPr>
          <t>snake_case Postgres view name (vw_*) carrying the computed columns.</t>
        </r>
      </text>
    </comment>
    <comment ref="F1" authorId="0">
      <text>
        <r>
          <rPr>
            <rFont val="Aptos Narrow"/>
            <b/>
            <color rgb="FFFFFFFF"/>
            <sz val="11"/>
          </rPr>
          <t>Coarse grouping used to organise role schemas, e.g. 'execution', 'governance'.</t>
        </r>
      </text>
    </comment>
    <comment ref="G1" authorId="0">
      <text>
        <r>
          <rPr>
            <rFont val="Aptos Narrow"/>
            <b/>
            <color rgb="FFFFFFFF"/>
            <sz val="11"/>
          </rPr>
          <t>True when this table is an ERB extension rather than a native/aligned PKO term.</t>
        </r>
      </text>
    </comment>
    <comment ref="H1" authorId="0">
      <text>
        <r>
          <rPr>
            <rFont val="Aptos Narrow"/>
            <b/>
            <color rgb="FFFFFFFF"/>
            <sz val="11"/>
          </rPr>
          <t>Number of catalogued fields on this table.</t>
        </r>
      </text>
    </comment>
    <comment ref="I1" authorId="0">
      <text>
        <r>
          <rPr>
            <rFont val="Aptos Narrow"/>
            <b/>
            <color rgb="FFFFFFFF"/>
            <sz val="11"/>
          </rPr>
          <t>Number of access policies targeting this table.</t>
        </r>
      </text>
    </comment>
    <comment ref="J1" authorId="0">
      <text>
        <r>
          <rPr>
            <rFont val="Aptos Narrow"/>
            <b/>
            <color rgb="FFFFFFFF"/>
            <sz val="11"/>
          </rPr>
          <t>True when RLS is enabled but no policy targets the table, so every principal sees zero rows. A fail-closed table nobody has granted access to.</t>
        </r>
      </text>
    </comment>
    <comment ref="K1" authorId="0">
      <text>
        <r>
          <rPr>
            <rFont val="Aptos Narrow"/>
            <b/>
            <color rgb="FFFFFFFF"/>
            <sz val="11"/>
          </rPr>
          <t>How many substrates got at least one cell of this table wrong in the latest conformance run.</t>
        </r>
      </text>
    </comment>
    <comment ref="L1" authorId="0">
      <text>
        <r>
          <rPr>
            <rFont val="Aptos Narrow"/>
            <b/>
            <color rgb="FFFFFFFF"/>
            <sz val="11"/>
          </rPr>
          <t>Semantic type IRI.</t>
        </r>
      </text>
    </comment>
    <comment ref="B1" authorId="0">
      <text>
        <r>
          <rPr>
            <rFont val="Aptos Narrow"/>
            <b/>
            <color rgb="FFFFFFFF"/>
            <sz val="11"/>
          </rPr>
          <t>Stored logical identifier: the rulebook table name, e.g. 'Procedures'.</t>
        </r>
      </text>
    </comment>
  </commentList>
</comments>
</file>

<file path=xl/comments7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'principal-controller'.</t>
        </r>
      </text>
    </comment>
    <comment ref="C1" authorId="0">
      <text>
        <r>
          <rPr>
            <rFont val="Aptos Narrow"/>
            <b/>
            <color rgb="FFFFFFFF"/>
            <sz val="11"/>
          </rPr>
          <t>Display label shown in the console role picker.</t>
        </r>
      </text>
    </comment>
    <comment ref="D1" authorId="0">
      <text>
        <r>
          <rPr>
            <rFont val="Aptos Narrow"/>
            <b/>
            <color rgb="FFFFFFFF"/>
            <sz val="11"/>
          </rPr>
          <t>Domain role whose authority this principal exercises.</t>
        </r>
      </text>
    </comment>
    <comment ref="E1" authorId="0">
      <text>
        <r>
          <rPr>
            <rFont val="Aptos Narrow"/>
            <b/>
            <color rgb="FFFFFFFF"/>
            <sz val="11"/>
          </rPr>
          <t>Postgres role name this principal authenticates as, e.g. 'pko_controller'.</t>
        </r>
      </text>
    </comment>
    <comment ref="F1" authorId="0">
      <text>
        <r>
          <rPr>
            <rFont val="Aptos Narrow"/>
            <b/>
            <color rgb="FFFFFFFF"/>
            <sz val="11"/>
          </rPr>
          <t>Postgres schema that is this principal's entire visible world, e.g. 'pko_controller'.</t>
        </r>
      </text>
    </comment>
    <comment ref="G1" authorId="0">
      <text>
        <r>
          <rPr>
            <rFont val="Aptos Narrow"/>
            <b/>
            <color rgb="FFFFFFFF"/>
            <sz val="11"/>
          </rPr>
          <t>True when this principal may read every table and edit access policy.</t>
        </r>
      </text>
    </comment>
    <comment ref="H1" authorId="0">
      <text>
        <r>
          <rPr>
            <rFont val="Aptos Narrow"/>
            <b/>
            <color rgb="FFFFFFFF"/>
            <sz val="11"/>
          </rPr>
          <t>Organization inherited from the domain role; the default tenancy boundary for row predicates.</t>
        </r>
      </text>
    </comment>
    <comment ref="I1" authorId="0">
      <text>
        <r>
          <rPr>
            <rFont val="Aptos Narrow"/>
            <b/>
            <color rgb="FFFFFFFF"/>
            <sz val="11"/>
          </rPr>
          <t>Label of the domain role, for display.</t>
        </r>
      </text>
    </comment>
    <comment ref="J1" authorId="0">
      <text>
        <r>
          <rPr>
            <rFont val="Aptos Narrow"/>
            <b/>
            <color rgb="FFFFFFFF"/>
            <sz val="11"/>
          </rPr>
          <t>Number of row policies granted to this principal.</t>
        </r>
      </text>
    </comment>
    <comment ref="K1" authorId="0">
      <text>
        <r>
          <rPr>
            <rFont val="Aptos Narrow"/>
            <b/>
            <color rgb="FFFFFFFF"/>
            <sz val="11"/>
          </rPr>
          <t>Number of field grants held by this principal.</t>
        </r>
      </text>
    </comment>
    <comment ref="L1" authorId="0">
      <text>
        <r>
          <rPr>
            <rFont val="Aptos Narrow"/>
            <b/>
            <color rgb="FFFFFFFF"/>
            <sz val="11"/>
          </rPr>
          <t>Number of tables exposed in this principal's schema.</t>
        </r>
      </text>
    </comment>
    <comment ref="M1" authorId="0">
      <text>
        <r>
          <rPr>
            <rFont val="Aptos Narrow"/>
            <b/>
            <color rgb="FFFFFFFF"/>
            <sz val="11"/>
          </rPr>
          <t>True when the principal holds no policies at all, so its schema is empty and it can read nothing. Fail-closed by construction.</t>
        </r>
      </text>
    </comment>
    <comment ref="N1" authorId="0">
      <text>
        <r>
          <rPr>
            <rFont val="Aptos Narrow"/>
            <b/>
            <color rgb="FFFFFFFF"/>
            <sz val="11"/>
          </rPr>
          <t>True when a non-administrator principal can reach every table in the rulebook -- an admin-equivalent principal that was never declared as one.</t>
        </r>
      </text>
    </comment>
    <comment ref="O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'pol-controller-procedures-select'.</t>
        </r>
      </text>
    </comment>
    <comment ref="C1" authorId="0">
      <text>
        <r>
          <rPr>
            <rFont val="Aptos Narrow"/>
            <b/>
            <color rgb="FFFFFFFF"/>
            <sz val="11"/>
          </rPr>
          <t>Principal this policy grants to.</t>
        </r>
      </text>
    </comment>
    <comment ref="D1" authorId="0">
      <text>
        <r>
          <rPr>
            <rFont val="Aptos Narrow"/>
            <b/>
            <color rgb="FFFFFFFF"/>
            <sz val="11"/>
          </rPr>
          <t>Rulebook table this policy guards.</t>
        </r>
      </text>
    </comment>
    <comment ref="E1" authorId="0">
      <text>
        <r>
          <rPr>
            <rFont val="Aptos Narrow"/>
            <b/>
            <color rgb="FFFFFFFF"/>
            <sz val="11"/>
          </rPr>
          <t>SQL command the policy governs: SELECT, INSERT, UPDATE, DELETE or ALL.</t>
        </r>
      </text>
    </comment>
    <comment ref="F1" authorId="0">
      <text>
        <r>
          <rPr>
            <rFont val="Aptos Narrow"/>
            <b/>
            <color rgb="FFFFFFFF"/>
            <sz val="11"/>
          </rPr>
          <t>SQL boolean expression emitted into USING(...). Empty means all rows of the table. Must not sub-select the guarded table -- Postgres raises infinite recursion; route such predicates through a SECURITY DEFINER function instead.</t>
        </r>
      </text>
    </comment>
    <comment ref="G1" authorId="0">
      <text>
        <r>
          <rPr>
            <rFont val="Aptos Narrow"/>
            <b/>
            <color rgb="FFFFFFFF"/>
            <sz val="11"/>
          </rPr>
          <t>SQL boolean expression emitted into WITH CHECK(...) for write commands. Empty reuses RowPredicate.</t>
        </r>
      </text>
    </comment>
    <comment ref="H1" authorId="0">
      <text>
        <r>
          <rPr>
            <rFont val="Aptos Narrow"/>
            <b/>
            <color rgb="FFFFFFFF"/>
            <sz val="11"/>
          </rPr>
          <t>Why this principal is entitled to these rows, in the granting authority's words.</t>
        </r>
      </text>
    </comment>
    <comment ref="I1" authorId="0">
      <text>
        <r>
          <rPr>
            <rFont val="Aptos Narrow"/>
            <b/>
            <color rgb="FFFFFFFF"/>
            <sz val="11"/>
          </rPr>
          <t>True when RowPredicate calls a calc_* function, i.e. the cut depends on a derived field rather than a stored column.</t>
        </r>
      </text>
    </comment>
    <comment ref="J1" authorId="0">
      <text>
        <r>
          <rPr>
            <rFont val="Aptos Narrow"/>
            <b/>
            <color rgb="FFFFFFFF"/>
            <sz val="11"/>
          </rPr>
          <t>True when this policy governs a mutating command.</t>
        </r>
      </text>
    </comment>
    <comment ref="K1" authorId="0">
      <text>
        <r>
          <rPr>
            <rFont val="Aptos Narrow"/>
            <b/>
            <color rgb="FFFFFFFF"/>
            <sz val="11"/>
          </rPr>
          <t>True when the policy carries no predicate, exposing every row of the target table to the principal.</t>
        </r>
      </text>
    </comment>
    <comment ref="L1" authorId="0">
      <text>
        <r>
          <rPr>
            <rFont val="Aptos Narrow"/>
            <b/>
            <color rgb="FFFFFFFF"/>
            <sz val="11"/>
          </rPr>
          <t>Whether the granted principal is an administrator.</t>
        </r>
      </text>
    </comment>
    <comment ref="M1" authorId="0">
      <text>
        <r>
          <rPr>
            <rFont val="Aptos Narrow"/>
            <b/>
            <color rgb="FFFFFFFF"/>
            <sz val="11"/>
          </rPr>
          <t>True when a non-administrator principal is granted an unrestricted policy -- a whole-table exposure that no row predicate narrows. The single highest-signal privilege-escalation witness in the model.</t>
        </r>
      </text>
    </comment>
    <comment ref="N1" authorId="0">
      <text>
        <r>
          <rPr>
            <rFont val="Aptos Narrow"/>
            <b/>
            <color rgb="FFFFFFFF"/>
            <sz val="11"/>
          </rPr>
          <t>True when a write policy has no denial test proving it refuses out-of-scope rows. An untested write grant is an assertion, not evidence.</t>
        </r>
      </text>
    </comment>
    <comment ref="O1" authorId="0">
      <text>
        <r>
          <rPr>
            <rFont val="Aptos Narrow"/>
            <b/>
            <color rgb="FFFFFFFF"/>
            <sz val="11"/>
          </rPr>
          <t>Number of denial tests seeded against this policy.</t>
        </r>
      </text>
    </comment>
    <comment ref="P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'fg-controller-Procedures.Title'.</t>
        </r>
      </text>
    </comment>
    <comment ref="C1" authorId="0">
      <text>
        <r>
          <rPr>
            <rFont val="Aptos Narrow"/>
            <b/>
            <color rgb="FFFFFFFF"/>
            <sz val="11"/>
          </rPr>
          <t>Principal receiving the grant.</t>
        </r>
      </text>
    </comment>
    <comment ref="D1" authorId="0">
      <text>
        <r>
          <rPr>
            <rFont val="Aptos Narrow"/>
            <b/>
            <color rgb="FFFFFFFF"/>
            <sz val="11"/>
          </rPr>
          <t>Catalogued field being exposed.</t>
        </r>
      </text>
    </comment>
    <comment ref="E1" authorId="0">
      <text>
        <r>
          <rPr>
            <rFont val="Aptos Narrow"/>
            <b/>
            <color rgb="FFFFFFFF"/>
            <sz val="11"/>
          </rPr>
          <t>True when the principal may read this field.</t>
        </r>
      </text>
    </comment>
    <comment ref="F1" authorId="0">
      <text>
        <r>
          <rPr>
            <rFont val="Aptos Narrow"/>
            <b/>
            <color rgb="FFFFFFFF"/>
            <sz val="11"/>
          </rPr>
          <t>True when the principal may write this field.</t>
        </r>
      </text>
    </comment>
    <comment ref="G1" authorId="0">
      <text>
        <r>
          <rPr>
            <rFont val="Aptos Narrow"/>
            <b/>
            <color rgb="FFFFFFFF"/>
            <sz val="11"/>
          </rPr>
          <t>How the value is presented when read: 'plain', 'redacted' or 'hashed'.</t>
        </r>
      </text>
    </comment>
    <comment ref="H1" authorId="0">
      <text>
        <r>
          <rPr>
            <rFont val="Aptos Narrow"/>
            <b/>
            <color rgb="FFFFFFFF"/>
            <sz val="11"/>
          </rPr>
          <t>Table the granted field belongs to.</t>
        </r>
      </text>
    </comment>
    <comment ref="I1" authorId="0">
      <text>
        <r>
          <rPr>
            <rFont val="Aptos Narrow"/>
            <b/>
            <color rgb="FFFFFFFF"/>
            <sz val="11"/>
          </rPr>
          <t>Name of the granted field.</t>
        </r>
      </text>
    </comment>
    <comment ref="J1" authorId="0">
      <text>
        <r>
          <rPr>
            <rFont val="Aptos Narrow"/>
            <b/>
            <color rgb="FFFFFFFF"/>
            <sz val="11"/>
          </rPr>
          <t>Whether the granted field is a derived (calculated/lookup/aggregation) field.</t>
        </r>
      </text>
    </comment>
    <comment ref="K1" authorId="0">
      <text>
        <r>
          <rPr>
            <rFont val="Aptos Narrow"/>
            <b/>
            <color rgb="FFFFFFFF"/>
            <sz val="11"/>
          </rPr>
          <t>True when a derived field has been granted write access. Derived fields are computed by the substrate and cannot be written -- such a grant is incoherent and must be corrected.</t>
        </r>
      </text>
    </comment>
    <comment ref="L1" authorId="0">
      <text>
        <r>
          <rPr>
            <rFont val="Aptos Narrow"/>
            <b/>
            <color rgb="FFFFFFFF"/>
            <sz val="11"/>
          </rPr>
          <t>True when the value is transformed rather than shown verbatim.</t>
        </r>
      </text>
    </comment>
    <comment ref="M1" authorId="0">
      <text>
        <r>
          <rPr>
            <rFont val="Aptos Narrow"/>
            <b/>
            <color rgb="FFFFFFFF"/>
            <sz val="11"/>
          </rPr>
          <t>Composite echo of principal and table, blank unless readable. Enables single-criterion COUNTIFS rollups of readable columns per principal per table, per the documented multi-criteria COUNTIFS defect.</t>
        </r>
      </text>
    </comment>
    <comment ref="N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'schema-controller'.</t>
        </r>
      </text>
    </comment>
    <comment ref="C1" authorId="0">
      <text>
        <r>
          <rPr>
            <rFont val="Aptos Narrow"/>
            <b/>
            <color rgb="FFFFFFFF"/>
            <sz val="11"/>
          </rPr>
          <t>Principal that owns this schema.</t>
        </r>
      </text>
    </comment>
    <comment ref="D1" authorId="0">
      <text>
        <r>
          <rPr>
            <rFont val="Aptos Narrow"/>
            <b/>
            <color rgb="FFFFFFFF"/>
            <sz val="11"/>
          </rPr>
          <t>Postgres schema name, e.g. 'pko_controller'.</t>
        </r>
      </text>
    </comment>
    <comment ref="E1" authorId="0">
      <text>
        <r>
          <rPr>
            <rFont val="Aptos Narrow"/>
            <b/>
            <color rgb="FFFFFFFF"/>
            <sz val="11"/>
          </rPr>
          <t>search_path set for this principal's sessions. The principal's own schema only -- public is deliberately excluded so base tables cannot be named.</t>
        </r>
      </text>
    </comment>
    <comment ref="F1" authorId="0">
      <text>
        <r>
          <rPr>
            <rFont val="Aptos Narrow"/>
            <b/>
            <color rgb="FFFFFFFF"/>
            <sz val="11"/>
          </rPr>
          <t>True when the principal may not create objects in its own schema.</t>
        </r>
      </text>
    </comment>
    <comment ref="G1" authorId="0">
      <text>
        <r>
          <rPr>
            <rFont val="Aptos Narrow"/>
            <b/>
            <color rgb="FFFFFFFF"/>
            <sz val="11"/>
          </rPr>
          <t>Number of views exposed in this schema.</t>
        </r>
      </text>
    </comment>
    <comment ref="H1" authorId="0">
      <text>
        <r>
          <rPr>
            <rFont val="Aptos Narrow"/>
            <b/>
            <color rgb="FFFFFFFF"/>
            <sz val="11"/>
          </rPr>
          <t>True when the schema exposes no views, so the principal can read nothing at all.</t>
        </r>
      </text>
    </comment>
    <comment ref="I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7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'rsv-controller-procedures'.</t>
        </r>
      </text>
    </comment>
    <comment ref="C1" authorId="0">
      <text>
        <r>
          <rPr>
            <rFont val="Aptos Narrow"/>
            <b/>
            <color rgb="FFFFFFFF"/>
            <sz val="11"/>
          </rPr>
          <t>Schema this view is emitted into.</t>
        </r>
      </text>
    </comment>
    <comment ref="D1" authorId="0">
      <text>
        <r>
          <rPr>
            <rFont val="Aptos Narrow"/>
            <b/>
            <color rgb="FFFFFFFF"/>
            <sz val="11"/>
          </rPr>
          <t>Principal that will read this view.</t>
        </r>
      </text>
    </comment>
    <comment ref="E1" authorId="0">
      <text>
        <r>
          <rPr>
            <rFont val="Aptos Narrow"/>
            <b/>
            <color rgb="FFFFFFFF"/>
            <sz val="11"/>
          </rPr>
          <t>Rulebook table this view exposes.</t>
        </r>
      </text>
    </comment>
    <comment ref="F1" authorId="0">
      <text>
        <r>
          <rPr>
            <rFont val="Aptos Narrow"/>
            <b/>
            <color rgb="FFFFFFFF"/>
            <sz val="11"/>
          </rPr>
          <t>Unqualified view name inside the principal's schema, e.g. 'procedures'.</t>
        </r>
      </text>
    </comment>
    <comment ref="G1" authorId="0">
      <text>
        <r>
          <rPr>
            <rFont val="Aptos Narrow"/>
            <b/>
            <color rgb="FFFFFFFF"/>
            <sz val="11"/>
          </rPr>
          <t>Schema name, from the owning RoleSchemas row.</t>
        </r>
      </text>
    </comment>
    <comment ref="H1" authorId="0">
      <text>
        <r>
          <rPr>
            <rFont val="Aptos Narrow"/>
            <b/>
            <color rgb="FFFFFFFF"/>
            <sz val="11"/>
          </rPr>
          <t>Underlying computed view this narrows, e.g. 'vw_procedures'.</t>
        </r>
      </text>
    </comment>
    <comment ref="I1" authorId="0">
      <text>
        <r>
          <rPr>
            <rFont val="Aptos Narrow"/>
            <b/>
            <color rgb="FFFFFFFF"/>
            <sz val="11"/>
          </rPr>
          <t>Composite key matching FieldGrants.GrantKeyWhenReadable, used to roll up this view's readable column count.</t>
        </r>
      </text>
    </comment>
    <comment ref="J1" authorId="0">
      <text>
        <r>
          <rPr>
            <rFont val="Aptos Narrow"/>
            <b/>
            <color rgb="FFFFFFFF"/>
            <sz val="11"/>
          </rPr>
          <t>Number of columns exposed, derived live from the principal's readable field grants. Change one grant and this view's shape changes.</t>
        </r>
      </text>
    </comment>
    <comment ref="K1" authorId="0">
      <text>
        <r>
          <rPr>
            <rFont val="Aptos Narrow"/>
            <b/>
            <color rgb="FFFFFFFF"/>
            <sz val="11"/>
          </rPr>
          <t>Total catalogued fields on the target table.</t>
        </r>
      </text>
    </comment>
    <comment ref="L1" authorId="0">
      <text>
        <r>
          <rPr>
            <rFont val="Aptos Narrow"/>
            <b/>
            <color rgb="FFFFFFFF"/>
            <sz val="11"/>
          </rPr>
          <t>True when every field on the table is exposed, so the horizontal cut removes nothing.</t>
        </r>
      </text>
    </comment>
    <comment ref="M1" authorId="0">
      <text>
        <r>
          <rPr>
            <rFont val="Aptos Narrow"/>
            <b/>
            <color rgb="FFFFFFFF"/>
            <sz val="11"/>
          </rPr>
          <t>True when the view exposes zero columns -- an emitted view that cannot be selected from. A generator that emits this has produced invalid DDL.</t>
        </r>
      </text>
    </comment>
    <comment ref="N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'claim-email'.</t>
        </r>
      </text>
    </comment>
    <comment ref="C1" authorId="0">
      <text>
        <r>
          <rPr>
            <rFont val="Aptos Narrow"/>
            <b/>
            <color rgb="FFFFFFFF"/>
            <sz val="11"/>
          </rPr>
          <t>Claim key as it appears in the verified JWT payload, e.g. 'email'.</t>
        </r>
      </text>
    </comment>
    <comment ref="D1" authorId="0">
      <text>
        <r>
          <rPr>
            <rFont val="Aptos Narrow"/>
            <b/>
            <color rgb="FFFFFFFF"/>
            <sz val="11"/>
          </rPr>
          <t>SQL function a policy calls to read the claim, e.g. 'app.jwt_email()'.</t>
        </r>
      </text>
    </comment>
    <comment ref="E1" authorId="0">
      <text>
        <r>
          <rPr>
            <rFont val="Aptos Narrow"/>
            <b/>
            <color rgb="FFFFFFFF"/>
            <sz val="11"/>
          </rPr>
          <t>True for claims magic-links controls and an app cannot override: email, iss, iat, nbf, exp, sub, tenant_id.</t>
        </r>
      </text>
    </comment>
    <comment ref="F1" authorId="0">
      <text>
        <r>
          <rPr>
            <rFont val="Aptos Narrow"/>
            <b/>
            <color rgb="FFFFFFFF"/>
            <sz val="11"/>
          </rPr>
          <t>True when this claim is what resolves the caller to an AccessPrincipals row.</t>
        </r>
      </text>
    </comment>
    <comment ref="G1" authorId="0">
      <text>
        <r>
          <rPr>
            <rFont val="Aptos Narrow"/>
            <b/>
            <color rgb="FFFFFFFF"/>
            <sz val="11"/>
          </rPr>
          <t>What the claim asserts and who vouches for it.</t>
        </r>
      </text>
    </comment>
    <comment ref="H1" authorId="0">
      <text>
        <r>
          <rPr>
            <rFont val="Aptos Narrow"/>
            <b/>
            <color rgb="FFFFFFFF"/>
            <sz val="11"/>
          </rPr>
          <t>Number of policies whose predicate calls this accessor.</t>
        </r>
      </text>
    </comment>
    <comment ref="I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'deny-analyst-other-org-procedures'.</t>
        </r>
      </text>
    </comment>
    <comment ref="C1" authorId="0">
      <text>
        <r>
          <rPr>
            <rFont val="Aptos Narrow"/>
            <b/>
            <color rgb="FFFFFFFF"/>
            <sz val="11"/>
          </rPr>
          <t>Policy this test exercises.</t>
        </r>
      </text>
    </comment>
    <comment ref="D1" authorId="0">
      <text>
        <r>
          <rPr>
            <rFont val="Aptos Narrow"/>
            <b/>
            <color rgb="FFFFFFFF"/>
            <sz val="11"/>
          </rPr>
          <t>Principal the query runs as.</t>
        </r>
      </text>
    </comment>
    <comment ref="E1" authorId="0">
      <text>
        <r>
          <rPr>
            <rFont val="Aptos Narrow"/>
            <b/>
            <color rgb="FFFFFFFF"/>
            <sz val="11"/>
          </rPr>
          <t>Table queried.</t>
        </r>
      </text>
    </comment>
    <comment ref="F1" authorId="0">
      <text>
        <r>
          <rPr>
            <rFont val="Aptos Narrow"/>
            <b/>
            <color rgb="FFFFFFFF"/>
            <sz val="11"/>
          </rPr>
          <t>Primary key of the row that must be invisible to this principal.</t>
        </r>
      </text>
    </comment>
    <comment ref="G1" authorId="0">
      <text>
        <r>
          <rPr>
            <rFont val="Aptos Narrow"/>
            <b/>
            <color rgb="FFFFFFFF"/>
            <sz val="11"/>
          </rPr>
          <t>False for a denial test: the row must not appear. True asserts a row the principal is entitled to does appear.</t>
        </r>
      </text>
    </comment>
    <comment ref="H1" authorId="0">
      <text>
        <r>
          <rPr>
            <rFont val="Aptos Narrow"/>
            <b/>
            <color rgb="FFFFFFFF"/>
            <sz val="11"/>
          </rPr>
          <t>What the substrate actually returned on the last run. Written back by the verifier, never hand-set.</t>
        </r>
      </text>
    </comment>
    <comment ref="I1" authorId="0">
      <text>
        <r>
          <rPr>
            <rFont val="Aptos Narrow"/>
            <b/>
            <color rgb="FFFFFFFF"/>
            <sz val="11"/>
          </rPr>
          <t>When this test was last executed against Postgres.</t>
        </r>
      </text>
    </comment>
    <comment ref="J1" authorId="0">
      <text>
        <r>
          <rPr>
            <rFont val="Aptos Narrow"/>
            <b/>
            <color rgb="FFFFFFFF"/>
            <sz val="11"/>
          </rPr>
          <t>True once the test has been executed at least once.</t>
        </r>
      </text>
    </comment>
    <comment ref="K1" authorId="0">
      <text>
        <r>
          <rPr>
            <rFont val="Aptos Narrow"/>
            <b/>
            <color rgb="FFFFFFFF"/>
            <sz val="11"/>
          </rPr>
          <t>True when observed visibility matches expectation.</t>
        </r>
      </text>
    </comment>
    <comment ref="L1" authorId="0">
      <text>
        <r>
          <rPr>
            <rFont val="Aptos Narrow"/>
            <b/>
            <color rgb="FFFFFFFF"/>
            <sz val="11"/>
          </rPr>
          <t>True when a row that must be invisible was returned. A confirmed access-control breach.</t>
        </r>
      </text>
    </comment>
    <comment ref="M1" authorId="0">
      <text>
        <r>
          <rPr>
            <rFont val="Aptos Narrow"/>
            <b/>
            <color rgb="FFFFFFFF"/>
            <sz val="11"/>
          </rPr>
          <t>True when the test has never run, so it proves nothing regardless of how it is written.</t>
        </r>
      </text>
    </comment>
    <comment ref="N1" authorId="0">
      <text>
        <r>
          <rPr>
            <rFont val="Aptos Narrow"/>
            <b/>
            <color rgb="FFFFFFFF"/>
            <sz val="11"/>
          </rPr>
          <t>Why this row must (or must not) be visible, and which predicate it exercises.</t>
        </r>
      </text>
    </comment>
    <comment ref="O1" authorId="0">
      <text>
        <r>
          <rPr>
            <rFont val="Aptos Narrow"/>
            <b/>
            <color rgb="FFFFFFFF"/>
            <sz val="11"/>
          </rPr>
          <t>True when this test asserts a row the principal IS entitled to. A denial suite with no positive controls cannot distinguish a working policy from one that denies everything.</t>
        </r>
      </text>
    </comment>
    <comment ref="P1" authorId="0">
      <text>
        <r>
          <rPr>
            <rFont val="Aptos Narrow"/>
            <b/>
            <color rgb="FFFFFFFF"/>
            <sz val="11"/>
          </rPr>
          <t>For a table-absence witness: the table that must NOT exist in this principal's schema. Selecting it must raise 'relation does not exist', not return zero rows.</t>
        </r>
      </text>
    </comment>
    <comment ref="Q1" authorId="0">
      <text>
        <r>
          <rPr>
            <rFont val="Aptos Narrow"/>
            <b/>
            <color rgb="FFFFFFFF"/>
            <sz val="11"/>
          </rPr>
          <t>For a column-absence witness: the column that must NOT exist in this principal's view. Selecting it must raise 'column does not exist', not return null.</t>
        </r>
      </text>
    </comment>
    <comment ref="R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'user-maria-chen'.</t>
        </r>
      </text>
    </comment>
    <comment ref="C1" authorId="0">
      <text>
        <r>
          <rPr>
            <rFont val="Aptos Narrow"/>
            <b/>
            <color rgb="FFFFFFFF"/>
            <sz val="11"/>
          </rPr>
          <t>Verified email. The one claim magic-links vouches for, and the join key from a token back to this row.</t>
        </r>
      </text>
    </comment>
    <comment ref="D1" authorId="0">
      <text>
        <r>
          <rPr>
            <rFont val="Aptos Narrow"/>
            <b/>
            <color rgb="FFFFFFFF"/>
            <sz val="11"/>
          </rPr>
          <t>Name shown in the console.</t>
        </r>
      </text>
    </comment>
    <comment ref="E1" authorId="0">
      <text>
        <r>
          <rPr>
            <rFont val="Aptos Narrow"/>
            <b/>
            <color rgb="FFFFFFFF"/>
            <sz val="11"/>
          </rPr>
          <t>Domain agent this sign-in identity corresponds to.</t>
        </r>
      </text>
    </comment>
    <comment ref="F1" authorId="0">
      <text>
        <r>
          <rPr>
            <rFont val="Aptos Narrow"/>
            <b/>
            <color rgb="FFFFFFFF"/>
            <sz val="11"/>
          </rPr>
          <t>False disables sign-in without deleting the identity or its history.</t>
        </r>
      </text>
    </comment>
    <comment ref="G1" authorId="0">
      <text>
        <r>
          <rPr>
            <rFont val="Aptos Narrow"/>
            <b/>
            <color rgb="FFFFFFFF"/>
            <sz val="11"/>
          </rPr>
          <t>Whether the linked agent is Human, AIAgent or AutomatedPipeline.</t>
        </r>
      </text>
    </comment>
    <comment ref="H1" authorId="0">
      <text>
        <r>
          <rPr>
            <rFont val="Aptos Narrow"/>
            <b/>
            <color rgb="FFFFFFFF"/>
            <sz val="11"/>
          </rPr>
          <t>Organization inherited from the linked agent; the tenancy claim baked into issued tokens.</t>
        </r>
      </text>
    </comment>
    <comment ref="I1" authorId="0">
      <text>
        <r>
          <rPr>
            <rFont val="Aptos Narrow"/>
            <b/>
            <color rgb="FFFFFFFF"/>
            <sz val="11"/>
          </rPr>
          <t>Number of principals this user may act as.</t>
        </r>
      </text>
    </comment>
    <comment ref="J1" authorId="0">
      <text>
        <r>
          <rPr>
            <rFont val="Aptos Narrow"/>
            <b/>
            <color rgb="FFFFFFFF"/>
            <sz val="11"/>
          </rPr>
          <t>True when the user may act as no principal at all, so a successfully verified token still grants nothing. Authentication without authorization.</t>
        </r>
      </text>
    </comment>
    <comment ref="K1" authorId="0">
      <text>
        <r>
          <rPr>
            <rFont val="Aptos Narrow"/>
            <b/>
            <color rgb="FFFFFFFF"/>
            <sz val="11"/>
          </rPr>
          <t>True when the user may act as more than one principal, so the principal cannot be inferred from the email alone and must be chosen explicitly at sign-in.</t>
        </r>
      </text>
    </comment>
    <comment ref="L1" authorId="0">
      <text>
        <r>
          <rPr>
            <rFont val="Aptos Narrow"/>
            <b/>
            <color rgb="FFFFFFFF"/>
            <sz val="11"/>
          </rPr>
          <t>True when a non-human agent has a sign-in identity. Pipelines and AI agents authenticate too, and their tokens are scoped exactly like a person's.</t>
        </r>
      </text>
    </comment>
    <comment ref="M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'pa-maria-finance-analyst'.</t>
        </r>
      </text>
    </comment>
    <comment ref="C1" authorId="0">
      <text>
        <r>
          <rPr>
            <rFont val="Aptos Narrow"/>
            <b/>
            <color rgb="FFFFFFFF"/>
            <sz val="11"/>
          </rPr>
          <t>Sign-in identity being granted.</t>
        </r>
      </text>
    </comment>
    <comment ref="D1" authorId="0">
      <text>
        <r>
          <rPr>
            <rFont val="Aptos Narrow"/>
            <b/>
            <color rgb="FFFFFFFF"/>
            <sz val="11"/>
          </rPr>
          <t>Principal the user may act as.</t>
        </r>
      </text>
    </comment>
    <comment ref="E1" authorId="0">
      <text>
        <r>
          <rPr>
            <rFont val="Aptos Narrow"/>
            <b/>
            <color rgb="FFFFFFFF"/>
            <sz val="11"/>
          </rPr>
          <t>True for the principal selected when the user does not name one.</t>
        </r>
      </text>
    </comment>
    <comment ref="F1" authorId="0">
      <text>
        <r>
          <rPr>
            <rFont val="Aptos Narrow"/>
            <b/>
            <color rgb="FFFFFFFF"/>
            <sz val="11"/>
          </rPr>
          <t>Why this user may act as this principal.</t>
        </r>
      </text>
    </comment>
    <comment ref="G1" authorId="0">
      <text>
        <r>
          <rPr>
            <rFont val="Aptos Narrow"/>
            <b/>
            <color rgb="FFFFFFFF"/>
            <sz val="11"/>
          </rPr>
          <t>Whether the assigned principal is an administrator.</t>
        </r>
      </text>
    </comment>
    <comment ref="H1" authorId="0">
      <text>
        <r>
          <rPr>
            <rFont val="Aptos Narrow"/>
            <b/>
            <color rgb="FFFFFFFF"/>
            <sz val="11"/>
          </rPr>
          <t>Organization of the signing-in user.</t>
        </r>
      </text>
    </comment>
    <comment ref="I1" authorId="0">
      <text>
        <r>
          <rPr>
            <rFont val="Aptos Narrow"/>
            <b/>
            <color rgb="FFFFFFFF"/>
            <sz val="11"/>
          </rPr>
          <t>Organization of the principal being assumed.</t>
        </r>
      </text>
    </comment>
    <comment ref="J1" authorId="0">
      <text>
        <r>
          <rPr>
            <rFont val="Aptos Narrow"/>
            <b/>
            <color rgb="FFFFFFFF"/>
            <sz val="11"/>
          </rPr>
          <t>True when a user is allowed to act as a principal in a different organization. Legitimate for shared-service roles, but it crosses the tenancy boundary and should be deliberate rather than accidental.</t>
        </r>
      </text>
    </comment>
    <comment ref="K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mint event.</t>
        </r>
      </text>
    </comment>
    <comment ref="C1" authorId="0">
      <text>
        <r>
          <rPr>
            <rFont val="Aptos Narrow"/>
            <b/>
            <color rgb="FFFFFFFF"/>
            <sz val="11"/>
          </rPr>
          <t>Identity that signed in.</t>
        </r>
      </text>
    </comment>
    <comment ref="D1" authorId="0">
      <text>
        <r>
          <rPr>
            <rFont val="Aptos Narrow"/>
            <b/>
            <color rgb="FFFFFFFF"/>
            <sz val="11"/>
          </rPr>
          <t>Principal the token authorises.</t>
        </r>
      </text>
    </comment>
    <comment ref="E1" authorId="0">
      <text>
        <r>
          <rPr>
            <rFont val="Aptos Narrow"/>
            <b/>
            <color rgb="FFFFFFFF"/>
            <sz val="11"/>
          </rPr>
          <t>When the token was minted.</t>
        </r>
      </text>
    </comment>
    <comment ref="F1" authorId="0">
      <text>
        <r>
          <rPr>
            <rFont val="Aptos Narrow"/>
            <b/>
            <color rgb="FFFFFFFF"/>
            <sz val="11"/>
          </rPr>
          <t>When the token stops being accepted.</t>
        </r>
      </text>
    </comment>
    <comment ref="G1" authorId="0">
      <text>
        <r>
          <rPr>
            <rFont val="Aptos Narrow"/>
            <b/>
            <color rgb="FFFFFFFF"/>
            <sz val="11"/>
          </rPr>
          <t>Who minted it: 'dev-mint' locally, or the magic-links tenant URL in production.</t>
        </r>
      </text>
    </comment>
    <comment ref="H1" authorId="0">
      <text>
        <r>
          <rPr>
            <rFont val="Aptos Narrow"/>
            <b/>
            <color rgb="FFFFFFFF"/>
            <sz val="11"/>
          </rPr>
          <t>The 'sub' claim: the AppUserId the bearer is asserted to be.</t>
        </r>
      </text>
    </comment>
    <comment ref="I1" authorId="0">
      <text>
        <r>
          <rPr>
            <rFont val="Aptos Narrow"/>
            <b/>
            <color rgb="FFFFFFFF"/>
            <sz val="11"/>
          </rPr>
          <t>JSON of the additional claims joined from the database at mint time.</t>
        </r>
      </text>
    </comment>
    <comment ref="J1" authorId="0">
      <text>
        <r>
          <rPr>
            <rFont val="Aptos Narrow"/>
            <b/>
            <color rgb="FFFFFFFF"/>
            <sz val="11"/>
          </rPr>
          <t>True when issued by the local dev minter rather than a real magic-links tenant. Dev tokens are genuine RS256 tokens with a genuine keypair; they simply skip the email round-trip.</t>
        </r>
      </text>
    </comment>
    <comment ref="K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8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ProcessMiningRuns row.</t>
        </r>
      </text>
    </comment>
    <comment ref="C1" authorId="0">
      <text>
        <r>
          <rPr>
            <rFont val="Aptos Narrow"/>
            <b/>
            <color rgb="FFFFFFFF"/>
            <sz val="11"/>
          </rPr>
          <t>Procedure version this mined event log is checked against.</t>
        </r>
      </text>
    </comment>
    <comment ref="D1" authorId="0">
      <text>
        <r>
          <rPr>
            <rFont val="Aptos Narrow"/>
            <b/>
            <color rgb="FFFFFFFF"/>
            <sz val="11"/>
          </rPr>
          <t>System or log the event log was extracted from (e.g. an ERP audit log).</t>
        </r>
      </text>
    </comment>
    <comment ref="E1" authorId="0">
      <text>
        <r>
          <rPr>
            <rFont val="Aptos Narrow"/>
            <b/>
            <color rgb="FFFFFFFF"/>
            <sz val="11"/>
          </rPr>
          <t>When this mining/conformance-checking run was performed.</t>
        </r>
      </text>
    </comment>
    <comment ref="F1" authorId="0">
      <text>
        <r>
          <rPr>
            <rFont val="Aptos Narrow"/>
            <b/>
            <color rgb="FFFFFFFF"/>
            <sz val="11"/>
          </rPr>
          <t>Distinct process variants discovered in the mined event log.</t>
        </r>
      </text>
    </comment>
    <comment ref="G1" authorId="0">
      <text>
        <r>
          <rPr>
            <rFont val="Aptos Narrow"/>
            <b/>
            <color rgb="FFFFFFFF"/>
            <sz val="11"/>
          </rPr>
          <t>How many of the discovered variants exactly match a documented path through StepTransitions.</t>
        </r>
      </text>
    </comment>
    <comment ref="H1" authorId="0">
      <text>
        <r>
          <rPr>
            <rFont val="Aptos Narrow"/>
            <b/>
            <color rgb="FFFFFFFF"/>
            <sz val="11"/>
          </rPr>
          <t>Narrative of the most significant discovered deviation, if any.</t>
        </r>
      </text>
    </comment>
    <comment ref="I1" authorId="0">
      <text>
        <r>
          <rPr>
            <rFont val="Aptos Narrow"/>
            <b/>
            <color rgb="FFFFFFFF"/>
            <sz val="11"/>
          </rPr>
          <t>The evaluation context this row's time-dependent witnesses are judged under.</t>
        </r>
      </text>
    </comment>
    <comment ref="J1" authorId="0">
      <text>
        <r>
          <rPr>
            <rFont val="Aptos Narrow"/>
            <b/>
            <color rgb="FFFFFFFF"/>
            <sz val="11"/>
          </rPr>
          <t>The evaluation instant this row's time-dependent witnesses are judged under.</t>
        </r>
      </text>
    </comment>
    <comment ref="K1" authorId="0">
      <text>
        <r>
          <rPr>
            <rFont val="Aptos Narrow"/>
            <b/>
            <color rgb="FFFFFFFF"/>
            <sz val="11"/>
          </rPr>
          <t>Share of discovered variants that conform to the documented procedure.</t>
        </r>
      </text>
    </comment>
    <comment ref="L1" authorId="0">
      <text>
        <r>
          <rPr>
            <rFont val="Aptos Narrow"/>
            <b/>
            <color rgb="FFFFFFFF"/>
            <sz val="11"/>
          </rPr>
          <t>TRUE when at least 80% of what actually happened matches what was documented.</t>
        </r>
      </text>
    </comment>
    <comment ref="M1" authorId="0">
      <text>
        <r>
          <rPr>
            <rFont val="Aptos Narrow"/>
            <b/>
            <color rgb="FFFFFFFF"/>
            <sz val="11"/>
          </rPr>
          <t>TRUE when less than half of what actually happened matches what was documented.</t>
        </r>
      </text>
    </comment>
    <comment ref="N1" authorId="0">
      <text>
        <r>
          <rPr>
            <rFont val="Aptos Narrow"/>
            <b/>
            <color rgb="FFFFFFFF"/>
            <sz val="11"/>
          </rPr>
          <t>Days elapsed since this event log was mined.</t>
        </r>
      </text>
    </comment>
    <comment ref="O1" authorId="0">
      <text>
        <r>
          <rPr>
            <rFont val="Aptos Narrow"/>
            <b/>
            <color rgb="FFFFFFFF"/>
            <sz val="11"/>
          </rPr>
          <t>TRUE when this mining evidence is more than 180 days old.</t>
        </r>
      </text>
    </comment>
    <comment ref="P1" authorId="0">
      <text>
        <r>
          <rPr>
            <rFont val="Aptos Narrow"/>
            <b/>
            <color rgb="FFFFFFFF"/>
            <sz val="11"/>
          </rPr>
          <t>Whether the procedure version this run was checked against is currently live.</t>
        </r>
      </text>
    </comment>
    <comment ref="Q1" authorId="0">
      <text>
        <r>
          <rPr>
            <rFont val="Aptos Narrow"/>
            <b/>
            <color rgb="FFFFFFFF"/>
            <sz val="11"/>
          </rPr>
          <t>TRUE when a major, real, mined deviation exists against a procedure version people are actually executing right now.</t>
        </r>
      </text>
    </comment>
    <comment ref="R1" authorId="0">
      <text>
        <r>
          <rPr>
            <rFont val="Aptos Narrow"/>
            <b/>
            <color rgb="FFFFFFFF"/>
            <sz val="11"/>
          </rPr>
          <t>Composite-key echo: this run's procedure version when the run drifted on a live version, else blank.</t>
        </r>
      </text>
    </comment>
    <comment ref="S1" authorId="0">
      <text>
        <r>
          <rPr>
            <rFont val="Aptos Narrow"/>
            <b/>
            <color rgb="FFFFFFFF"/>
            <sz val="11"/>
          </rPr>
          <t>Extension class IRI.</t>
        </r>
      </text>
    </comment>
    <comment ref="B1" authorId="0">
      <text>
        <r>
          <rPr>
            <rFont val="Aptos Narrow"/>
            <b/>
            <color rgb="FFFFFFFF"/>
            <sz val="11"/>
          </rPr>
          <t>Human-readable calculated display alias for the ProcessMiningRuns row.</t>
        </r>
      </text>
    </comment>
  </commentList>
</comments>
</file>

<file path=xl/comments8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Vocabularies row.</t>
        </r>
      </text>
    </comment>
    <comment ref="C1" authorId="0">
      <text>
        <r>
          <rPr>
            <rFont val="Aptos Narrow"/>
            <b/>
            <color rgb="FFFFFFFF"/>
            <sz val="11"/>
          </rPr>
          <t>Human-facing name of this controlled vocabulary.</t>
        </r>
      </text>
    </comment>
    <comment ref="D1" authorId="0">
      <text>
        <r>
          <rPr>
            <rFont val="Aptos Narrow"/>
            <b/>
            <color rgb="FFFFFFFF"/>
            <sz val="11"/>
          </rPr>
          <t>SKOS ConceptScheme IRI for this vocabulary.</t>
        </r>
      </text>
    </comment>
    <comment ref="E1" authorId="0">
      <text>
        <r>
          <rPr>
            <rFont val="Aptos Narrow"/>
            <b/>
            <color rgb="FFFFFFFF"/>
            <sz val="11"/>
          </rPr>
          <t>Role accountable for defining and maintaining terms in this vocabulary.</t>
        </r>
      </text>
    </comment>
    <comment ref="F1" authorId="0">
      <text>
        <r>
          <rPr>
            <rFont val="Aptos Narrow"/>
            <b/>
            <color rgb="FFFFFFFF"/>
            <sz val="11"/>
          </rPr>
          <t>How many terms belong to this vocabulary.</t>
        </r>
      </text>
    </comment>
    <comment ref="G1" authorId="0">
      <text>
        <r>
          <rPr>
            <rFont val="Aptos Narrow"/>
            <b/>
            <color rgb="FFFFFFFF"/>
            <sz val="11"/>
          </rPr>
          <t>How many terms in this vocabulary have never actually been used.</t>
        </r>
      </text>
    </comment>
    <comment ref="H1" authorId="0">
      <text>
        <r>
          <rPr>
            <rFont val="Aptos Narrow"/>
            <b/>
            <color rgb="FFFFFFFF"/>
            <sz val="11"/>
          </rPr>
          <t>TRUE when this vocabulary has at least one defined-but-unused term.</t>
        </r>
      </text>
    </comment>
    <comment ref="I1" authorId="0">
      <text>
        <r>
          <rPr>
            <rFont val="Aptos Narrow"/>
            <b/>
            <color rgb="FFFFFFFF"/>
            <sz val="11"/>
          </rPr>
          <t>Extension class IRI.</t>
        </r>
      </text>
    </comment>
    <comment ref="B1" authorId="0">
      <text>
        <r>
          <rPr>
            <rFont val="Aptos Narrow"/>
            <b/>
            <color rgb="FFFFFFFF"/>
            <sz val="11"/>
          </rPr>
          <t>Human-readable calculated display alias for the Vocabularies row.</t>
        </r>
      </text>
    </comment>
  </commentList>
</comments>
</file>

<file path=xl/comments8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VocabularyTerms row.</t>
        </r>
      </text>
    </comment>
    <comment ref="C1" authorId="0">
      <text>
        <r>
          <rPr>
            <rFont val="Aptos Narrow"/>
            <b/>
            <color rgb="FFFFFFFF"/>
            <sz val="11"/>
          </rPr>
          <t>Vocabulary this term belongs to.</t>
        </r>
      </text>
    </comment>
    <comment ref="D1" authorId="0">
      <text>
        <r>
          <rPr>
            <rFont val="Aptos Narrow"/>
            <b/>
            <color rgb="FFFFFFFF"/>
            <sz val="11"/>
          </rPr>
          <t>SKOS preferred label — the controlled term itself.</t>
        </r>
      </text>
    </comment>
    <comment ref="E1" authorId="0">
      <text>
        <r>
          <rPr>
            <rFont val="Aptos Narrow"/>
            <b/>
            <color rgb="FFFFFFFF"/>
            <sz val="11"/>
          </rPr>
          <t>Comma-separated synonyms this term should also match.</t>
        </r>
      </text>
    </comment>
    <comment ref="F1" authorId="0">
      <text>
        <r>
          <rPr>
            <rFont val="Aptos Narrow"/>
            <b/>
            <color rgb="FFFFFFFF"/>
            <sz val="11"/>
          </rPr>
          <t>SKOS definition of what this term means.</t>
        </r>
      </text>
    </comment>
    <comment ref="G1" authorId="0">
      <text>
        <r>
          <rPr>
            <rFont val="Aptos Narrow"/>
            <b/>
            <color rgb="FFFFFFFF"/>
            <sz val="11"/>
          </rPr>
          <t>How many Requirements point at this exact term instead of free-texting the concept.</t>
        </r>
      </text>
    </comment>
    <comment ref="H1" authorId="0">
      <text>
        <r>
          <rPr>
            <rFont val="Aptos Narrow"/>
            <b/>
            <color rgb="FFFFFFFF"/>
            <sz val="11"/>
          </rPr>
          <t>TRUE when this term has been defined but nothing in the model actually uses it yet.</t>
        </r>
      </text>
    </comment>
    <comment ref="I1" authorId="0">
      <text>
        <r>
          <rPr>
            <rFont val="Aptos Narrow"/>
            <b/>
            <color rgb="FFFFFFFF"/>
            <sz val="11"/>
          </rPr>
          <t>TRUE when more than one Requirement shares this exact controlled term.</t>
        </r>
      </text>
    </comment>
    <comment ref="J1" authorId="0">
      <text>
        <r>
          <rPr>
            <rFont val="Aptos Narrow"/>
            <b/>
            <color rgb="FFFFFFFF"/>
            <sz val="11"/>
          </rPr>
          <t>Composite-key echo: this term's vocabulary when the term is an orphan, else blank.</t>
        </r>
      </text>
    </comment>
    <comment ref="K1" authorId="0">
      <text>
        <r>
          <rPr>
            <rFont val="Aptos Narrow"/>
            <b/>
            <color rgb="FFFFFFFF"/>
            <sz val="11"/>
          </rPr>
          <t>Extension class IRI.</t>
        </r>
      </text>
    </comment>
    <comment ref="B1" authorId="0">
      <text>
        <r>
          <rPr>
            <rFont val="Aptos Narrow"/>
            <b/>
            <color rgb="FFFFFFFF"/>
            <sz val="11"/>
          </rPr>
          <t>Human-readable calculated display alias for the VocabularyTerms row.</t>
        </r>
      </text>
    </comment>
  </commentList>
</comments>
</file>

<file path=xl/comments8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for one KnowledgeBrokerLinks row.</t>
        </r>
      </text>
    </comment>
    <comment ref="C1" authorId="0">
      <text>
        <r>
          <rPr>
            <rFont val="Aptos Narrow"/>
            <b/>
            <color rgb="FFFFFFFF"/>
            <sz val="11"/>
          </rPr>
          <t>The agent who goes to someone else for this topic.</t>
        </r>
      </text>
    </comment>
    <comment ref="D1" authorId="0">
      <text>
        <r>
          <rPr>
            <rFont val="Aptos Narrow"/>
            <b/>
            <color rgb="FFFFFFFF"/>
            <sz val="11"/>
          </rPr>
          <t>The agent who is actually consulted, whether or not they hold a formal role for it.</t>
        </r>
      </text>
    </comment>
    <comment ref="E1" authorId="0">
      <text>
        <r>
          <rPr>
            <rFont val="Aptos Narrow"/>
            <b/>
            <color rgb="FFFFFFFF"/>
            <sz val="11"/>
          </rPr>
          <t>The controlled topic this reliance is about.</t>
        </r>
      </text>
    </comment>
    <comment ref="F1" authorId="0">
      <text>
        <r>
          <rPr>
            <rFont val="Aptos Narrow"/>
            <b/>
            <color rgb="FFFFFFFF"/>
            <sz val="11"/>
          </rPr>
          <t>Rarely, Sometimes, or Often.</t>
        </r>
      </text>
    </comment>
    <comment ref="G1" authorId="0">
      <text>
        <r>
          <rPr>
            <rFont val="Aptos Narrow"/>
            <b/>
            <color rgb="FFFFFFFF"/>
            <sz val="11"/>
          </rPr>
          <t>When the seeker last actually consulted the broker on this topic.</t>
        </r>
      </text>
    </comment>
    <comment ref="H1" authorId="0">
      <text>
        <r>
          <rPr>
            <rFont val="Aptos Narrow"/>
            <b/>
            <color rgb="FFFFFFFF"/>
            <sz val="11"/>
          </rPr>
          <t>The evaluation context this row's time-dependent witnesses are judged under.</t>
        </r>
      </text>
    </comment>
    <comment ref="I1" authorId="0">
      <text>
        <r>
          <rPr>
            <rFont val="Aptos Narrow"/>
            <b/>
            <color rgb="FFFFFFFF"/>
            <sz val="11"/>
          </rPr>
          <t>The evaluation instant this row's time-dependent witnesses are judged under.</t>
        </r>
      </text>
    </comment>
    <comment ref="J1" authorId="0">
      <text>
        <r>
          <rPr>
            <rFont val="Aptos Narrow"/>
            <b/>
            <color rgb="FFFFFFFF"/>
            <sz val="11"/>
          </rPr>
          <t>Days elapsed since the seeker last consulted the broker.</t>
        </r>
      </text>
    </comment>
    <comment ref="K1" authorId="0">
      <text>
        <r>
          <rPr>
            <rFont val="Aptos Narrow"/>
            <b/>
            <color rgb="FFFFFFFF"/>
            <sz val="11"/>
          </rPr>
          <t>TRUE when this is a live, ongoing informal dependency rather than a one-off or stale contact.</t>
        </r>
      </text>
    </comment>
    <comment ref="L1" authorId="0">
      <text>
        <r>
          <rPr>
            <rFont val="Aptos Narrow"/>
            <b/>
            <color rgb="FFFFFFFF"/>
            <sz val="11"/>
          </rPr>
          <t>Whether the broker being relied on still holds any current role at all.</t>
        </r>
      </text>
    </comment>
    <comment ref="M1" authorId="0">
      <text>
        <r>
          <rPr>
            <rFont val="Aptos Narrow"/>
            <b/>
            <color rgb="FFFFFFFF"/>
            <sz val="11"/>
          </rPr>
          <t>TRUE when someone is actively relying on a broker who has already left every role they held.</t>
        </r>
      </text>
    </comment>
    <comment ref="N1" authorId="0">
      <text>
        <r>
          <rPr>
            <rFont val="Aptos Narrow"/>
            <b/>
            <color rgb="FFFFFFFF"/>
            <sz val="11"/>
          </rPr>
          <t>Composite-key echo: the broker this link names when the reliance is active, else blank.</t>
        </r>
      </text>
    </comment>
    <comment ref="O1" authorId="0">
      <text>
        <r>
          <rPr>
            <rFont val="Aptos Narrow"/>
            <b/>
            <color rgb="FFFFFFFF"/>
            <sz val="11"/>
          </rPr>
          <t>Composite-key echo: the broker this link names when the reliance is at risk, else blank.</t>
        </r>
      </text>
    </comment>
    <comment ref="P1" authorId="0">
      <text>
        <r>
          <rPr>
            <rFont val="Aptos Narrow"/>
            <b/>
            <color rgb="FFFFFFFF"/>
            <sz val="11"/>
          </rPr>
          <t>Extension class IRI.</t>
        </r>
      </text>
    </comment>
    <comment ref="B1" authorId="0">
      <text>
        <r>
          <rPr>
            <rFont val="Aptos Narrow"/>
            <b/>
            <color rgb="FFFFFFFF"/>
            <sz val="11"/>
          </rPr>
          <t>Human-readable calculated display alias for the KnowledgeBrokerLinks row.</t>
        </r>
      </text>
    </comment>
  </commentList>
</comments>
</file>

<file path=xl/comments8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Substrate name as the conformance harness knows it, e.g. 'effortless-python'.</t>
        </r>
      </text>
    </comment>
    <comment ref="C1" authorId="0">
      <text>
        <r>
          <rPr>
            <rFont val="Aptos Narrow"/>
            <b/>
            <color rgb="FFFFFFFF"/>
            <sz val="11"/>
          </rPr>
          <t>Short human label, e.g. 'Python'.</t>
        </r>
      </text>
    </comment>
    <comment ref="D1" authorId="0">
      <text>
        <r>
          <rPr>
            <rFont val="Aptos Narrow"/>
            <b/>
            <color rgb="FFFFFFFF"/>
            <sz val="11"/>
          </rPr>
          <t>The effortless.json tool that produces this substrate, e.g. 'rulebook-to-python'.</t>
        </r>
      </text>
    </comment>
    <comment ref="E1" authorId="0">
      <text>
        <r>
          <rPr>
            <rFont val="Aptos Narrow"/>
            <b/>
            <color rgb="FFFFFFFF"/>
            <sz val="11"/>
          </rPr>
          <t>Project folder the tool writes into, e.g. '/effortless-python'.</t>
        </r>
      </text>
    </comment>
    <comment ref="F1" authorId="0">
      <text>
        <r>
          <rPr>
            <rFont val="Aptos Narrow"/>
            <b/>
            <color rgb="FFFFFFFF"/>
            <sz val="11"/>
          </rPr>
          <t>What actually evaluates the formulas: a database, a language runtime, a spreadsheet engine or a reasoner.</t>
        </r>
      </text>
    </comment>
    <comment ref="G1" authorId="0">
      <text>
        <r>
          <rPr>
            <rFont val="Aptos Narrow"/>
            <b/>
            <color rgb="FFFFFFFF"/>
            <sz val="11"/>
          </rPr>
          <t>One paragraph a curious reader can follow: what the tool emits and how the harness makes it produce answers.</t>
        </r>
      </text>
    </comment>
    <comment ref="H1" authorId="0">
      <text>
        <r>
          <rPr>
            <rFont val="Aptos Narrow"/>
            <b/>
            <color rgb="FFFFFFFF"/>
            <sz val="11"/>
          </rPr>
          <t>'answer-key' for the tool whose stored values every other substrate is graded against; 'graded' for everything else.</t>
        </r>
      </text>
    </comment>
    <comment ref="I1" authorId="0">
      <text>
        <r>
          <rPr>
            <rFont val="Aptos Narrow"/>
            <b/>
            <color rgb="FFFFFFFF"/>
            <sz val="11"/>
          </rPr>
          <t>Display order.</t>
        </r>
      </text>
    </comment>
    <comment ref="J1" authorId="0">
      <text>
        <r>
          <rPr>
            <rFont val="Aptos Narrow"/>
            <b/>
            <color rgb="FFFFFFFF"/>
            <sz val="11"/>
          </rPr>
          <t>True for substrates the harness scores.</t>
        </r>
      </text>
    </comment>
    <comment ref="K1" authorId="0">
      <text>
        <r>
          <rPr>
            <rFont val="Aptos Narrow"/>
            <b/>
            <color rgb="FFFFFFFF"/>
            <sz val="11"/>
          </rPr>
          <t>How many recorded conformance runs graded this substrate.</t>
        </r>
      </text>
    </comment>
    <comment ref="L1" authorId="0">
      <text>
        <r>
          <rPr>
            <rFont val="Aptos Narrow"/>
            <b/>
            <color rgb="FFFFFFFF"/>
            <sz val="11"/>
          </rPr>
          <t>Cells graded in the latest run: every (record x derived field) pair in the answer keys.</t>
        </r>
      </text>
    </comment>
    <comment ref="M1" authorId="0">
      <text>
        <r>
          <rPr>
            <rFont val="Aptos Narrow"/>
            <b/>
            <color rgb="FFFFFFFF"/>
            <sz val="11"/>
          </rPr>
          <t>Cells this substrate computed identically to the answer key in the latest run.</t>
        </r>
      </text>
    </comment>
    <comment ref="N1" authorId="0">
      <text>
        <r>
          <rPr>
            <rFont val="Aptos Narrow"/>
            <b/>
            <color rgb="FFFFFFFF"/>
            <sz val="11"/>
          </rPr>
          <t>1 when the latest run could not execute this substrate at all.</t>
        </r>
      </text>
    </comment>
    <comment ref="O1" authorId="0">
      <text>
        <r>
          <rPr>
            <rFont val="Aptos Narrow"/>
            <b/>
            <color rgb="FFFFFFFF"/>
            <sz val="11"/>
          </rPr>
          <t>Cells this substrate got wrong, or did not produce, in the latest run.</t>
        </r>
      </text>
    </comment>
    <comment ref="P1" authorId="0">
      <text>
        <r>
          <rPr>
            <rFont val="Aptos Narrow"/>
            <b/>
            <color rgb="FFFFFFFF"/>
            <sz val="11"/>
          </rPr>
          <t>Percent of cells agreeing with the answer key in the latest run.</t>
        </r>
      </text>
    </comment>
    <comment ref="Q1" authorId="0">
      <text>
        <r>
          <rPr>
            <rFont val="Aptos Narrow"/>
            <b/>
            <color rgb="FFFFFFFF"/>
            <sz val="11"/>
          </rPr>
          <t>Derived fields on which this substrate got at least one cell wrong in the latest run.</t>
        </r>
      </text>
    </comment>
    <comment ref="R1" authorId="0">
      <text>
        <r>
          <rPr>
            <rFont val="Aptos Narrow"/>
            <b/>
            <color rgb="FFFFFFFF"/>
            <sz val="11"/>
          </rPr>
          <t>Tables on which this substrate got at least one cell wrong in the latest run.</t>
        </r>
      </text>
    </comment>
    <comment ref="S1" authorId="0">
      <text>
        <r>
          <rPr>
            <rFont val="Aptos Narrow"/>
            <b/>
            <color rgb="FFFFFFFF"/>
            <sz val="11"/>
          </rPr>
          <t>True when the latest run graded this substrate, it ran, and every cell agreed. A substrate never graded is not conformant.</t>
        </r>
      </text>
    </comment>
    <comment ref="T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e.g. 'run-20260913-171500'.</t>
        </r>
      </text>
    </comment>
    <comment ref="C1" authorId="0">
      <text>
        <r>
          <rPr>
            <rFont val="Aptos Narrow"/>
            <b/>
            <color rgb="FFFFFFFF"/>
            <sz val="11"/>
          </rPr>
          <t>When the harness graded the substrates.</t>
        </r>
      </text>
    </comment>
    <comment ref="D1" authorId="0">
      <text>
        <r>
          <rPr>
            <rFont val="Aptos Narrow"/>
            <b/>
            <color rgb="FFFFFFFF"/>
            <sz val="11"/>
          </rPr>
          <t>git HEAD of the repository when the run was recorded; the rulebook may also carry uncommitted edits, noted in Notes.</t>
        </r>
      </text>
    </comment>
    <comment ref="E1" authorId="0">
      <text>
        <r>
          <rPr>
            <rFont val="Aptos Narrow"/>
            <b/>
            <color rgb="FFFFFFFF"/>
            <sz val="11"/>
          </rPr>
          <t>The substrate whose stored values were the answer keys for this run.</t>
        </r>
      </text>
    </comment>
    <comment ref="F1" authorId="0">
      <text>
        <r>
          <rPr>
            <rFont val="Aptos Narrow"/>
            <b/>
            <color rgb="FFFFFFFF"/>
            <sz val="11"/>
          </rPr>
          <t>True for the most recent recorded run only. The recorder moves it.</t>
        </r>
      </text>
    </comment>
    <comment ref="G1" authorId="0">
      <text>
        <r>
          <rPr>
            <rFont val="Aptos Narrow"/>
            <b/>
            <color rgb="FFFFFFFF"/>
            <sz val="11"/>
          </rPr>
          <t>Anything a reader needs to interpret the run.</t>
        </r>
      </text>
    </comment>
    <comment ref="H1" authorId="0">
      <text>
        <r>
          <rPr>
            <rFont val="Aptos Narrow"/>
            <b/>
            <color rgb="FFFFFFFF"/>
            <sz val="11"/>
          </rPr>
          <t>Substrates graded in this run.</t>
        </r>
      </text>
    </comment>
    <comment ref="I1" authorId="0">
      <text>
        <r>
          <rPr>
            <rFont val="Aptos Narrow"/>
            <b/>
            <color rgb="FFFFFFFF"/>
            <sz val="11"/>
          </rPr>
          <t>Substrates that ran and agreed on every cell.</t>
        </r>
      </text>
    </comment>
    <comment ref="J1" authorId="0">
      <text>
        <r>
          <rPr>
            <rFont val="Aptos Narrow"/>
            <b/>
            <color rgb="FFFFFFFF"/>
            <sz val="11"/>
          </rPr>
          <t>Cells graded across all substrates.</t>
        </r>
      </text>
    </comment>
    <comment ref="K1" authorId="0">
      <text>
        <r>
          <rPr>
            <rFont val="Aptos Narrow"/>
            <b/>
            <color rgb="FFFFFFFF"/>
            <sz val="11"/>
          </rPr>
          <t>Cells that agreed across all substrates.</t>
        </r>
      </text>
    </comment>
    <comment ref="L1" authorId="0">
      <text>
        <r>
          <rPr>
            <rFont val="Aptos Narrow"/>
            <b/>
            <color rgb="FFFFFFFF"/>
            <sz val="11"/>
          </rPr>
          <t>Cells that disagreed across all substrates.</t>
        </r>
      </text>
    </comment>
    <comment ref="M1" authorId="0">
      <text>
        <r>
          <rPr>
            <rFont val="Aptos Narrow"/>
            <b/>
            <color rgb="FFFFFFFF"/>
            <sz val="11"/>
          </rPr>
          <t>Percent of all graded cells, across all substrates, that agreed.</t>
        </r>
      </text>
    </comment>
    <comment ref="N1" authorId="0">
      <text>
        <r>
          <rPr>
            <rFont val="Aptos Narrow"/>
            <b/>
            <color rgb="FFFFFFFF"/>
            <sz val="11"/>
          </rPr>
          <t>Substrates with at least one disagreeing cell or a harness error.</t>
        </r>
      </text>
    </comment>
    <comment ref="O1" authorId="0">
      <text>
        <r>
          <rPr>
            <rFont val="Aptos Narrow"/>
            <b/>
            <color rgb="FFFFFFFF"/>
            <sz val="11"/>
          </rPr>
          <t>True when every substrate graded in this run agreed on every cell: the 100% bar.</t>
        </r>
      </text>
    </comment>
    <comment ref="P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'&lt;run&gt;|&lt;substrate&gt;'.</t>
        </r>
      </text>
    </comment>
    <comment ref="C1" authorId="0">
      <text>
        <r>
          <rPr>
            <rFont val="Aptos Narrow"/>
            <b/>
            <color rgb="FFFFFFFF"/>
            <sz val="11"/>
          </rPr>
          <t>The run that produced this grade.</t>
        </r>
      </text>
    </comment>
    <comment ref="D1" authorId="0">
      <text>
        <r>
          <rPr>
            <rFont val="Aptos Narrow"/>
            <b/>
            <color rgb="FFFFFFFF"/>
            <sz val="11"/>
          </rPr>
          <t>The substrate graded.</t>
        </r>
      </text>
    </comment>
    <comment ref="E1" authorId="0">
      <text>
        <r>
          <rPr>
            <rFont val="Aptos Narrow"/>
            <b/>
            <color rgb="FFFFFFFF"/>
            <sz val="11"/>
          </rPr>
          <t>Why the substrate could not be run, verbatim from the harness. Blank when it ran.</t>
        </r>
      </text>
    </comment>
    <comment ref="F1" authorId="0">
      <text>
        <r>
          <rPr>
            <rFont val="Aptos Narrow"/>
            <b/>
            <color rgb="FFFFFFFF"/>
            <sz val="11"/>
          </rPr>
          <t>Wall-clock seconds to produce answers.</t>
        </r>
      </text>
    </comment>
    <comment ref="G1" authorId="0">
      <text>
        <r>
          <rPr>
            <rFont val="Aptos Narrow"/>
            <b/>
            <color rgb="FFFFFFFF"/>
            <sz val="11"/>
          </rPr>
          <t>Every (record x derived field) pair in the answer keys.</t>
        </r>
      </text>
    </comment>
    <comment ref="H1" authorId="0">
      <text>
        <r>
          <rPr>
            <rFont val="Aptos Narrow"/>
            <b/>
            <color rgb="FFFFFFFF"/>
            <sz val="11"/>
          </rPr>
          <t>Cells matching the answer key.</t>
        </r>
      </text>
    </comment>
    <comment ref="I1" authorId="0">
      <text>
        <r>
          <rPr>
            <rFont val="Aptos Narrow"/>
            <b/>
            <color rgb="FFFFFFFF"/>
            <sz val="11"/>
          </rPr>
          <t>Cells of calculated (same-row formula) fields.</t>
        </r>
      </text>
    </comment>
    <comment ref="J1" authorId="0">
      <text>
        <r>
          <rPr>
            <rFont val="Aptos Narrow"/>
            <b/>
            <color rgb="FFFFFFFF"/>
            <sz val="11"/>
          </rPr>
          <t>Calculated cells that matched.</t>
        </r>
      </text>
    </comment>
    <comment ref="K1" authorId="0">
      <text>
        <r>
          <rPr>
            <rFont val="Aptos Narrow"/>
            <b/>
            <color rgb="FFFFFFFF"/>
            <sz val="11"/>
          </rPr>
          <t>Cells of lookup (cross-table INDEX/MATCH) fields.</t>
        </r>
      </text>
    </comment>
    <comment ref="L1" authorId="0">
      <text>
        <r>
          <rPr>
            <rFont val="Aptos Narrow"/>
            <b/>
            <color rgb="FFFFFFFF"/>
            <sz val="11"/>
          </rPr>
          <t>Lookup cells that matched.</t>
        </r>
      </text>
    </comment>
    <comment ref="M1" authorId="0">
      <text>
        <r>
          <rPr>
            <rFont val="Aptos Narrow"/>
            <b/>
            <color rgb="FFFFFFFF"/>
            <sz val="11"/>
          </rPr>
          <t>Cells of aggregation (COUNTIFS/SUMIFS rollup) fields.</t>
        </r>
      </text>
    </comment>
    <comment ref="N1" authorId="0">
      <text>
        <r>
          <rPr>
            <rFont val="Aptos Narrow"/>
            <b/>
            <color rgb="FFFFFFFF"/>
            <sz val="11"/>
          </rPr>
          <t>Aggregation cells that matched.</t>
        </r>
      </text>
    </comment>
    <comment ref="O1" authorId="0">
      <text>
        <r>
          <rPr>
            <rFont val="Aptos Narrow"/>
            <b/>
            <color rgb="FFFFFFFF"/>
            <sz val="11"/>
          </rPr>
          <t>Cells that did not match.</t>
        </r>
      </text>
    </comment>
    <comment ref="P1" authorId="0">
      <text>
        <r>
          <rPr>
            <rFont val="Aptos Narrow"/>
            <b/>
            <color rgb="FFFFFFFF"/>
            <sz val="11"/>
          </rPr>
          <t>Percent of cells matching.</t>
        </r>
      </text>
    </comment>
    <comment ref="Q1" authorId="0">
      <text>
        <r>
          <rPr>
            <rFont val="Aptos Narrow"/>
            <b/>
            <color rgb="FFFFFFFF"/>
            <sz val="11"/>
          </rPr>
          <t>Percent of calculated cells matching.</t>
        </r>
      </text>
    </comment>
    <comment ref="R1" authorId="0">
      <text>
        <r>
          <rPr>
            <rFont val="Aptos Narrow"/>
            <b/>
            <color rgb="FFFFFFFF"/>
            <sz val="11"/>
          </rPr>
          <t>Percent of lookup cells matching.</t>
        </r>
      </text>
    </comment>
    <comment ref="S1" authorId="0">
      <text>
        <r>
          <rPr>
            <rFont val="Aptos Narrow"/>
            <b/>
            <color rgb="FFFFFFFF"/>
            <sz val="11"/>
          </rPr>
          <t>Percent of aggregation cells matching.</t>
        </r>
      </text>
    </comment>
    <comment ref="T1" authorId="0">
      <text>
        <r>
          <rPr>
            <rFont val="Aptos Narrow"/>
            <b/>
            <color rgb="FFFFFFFF"/>
            <sz val="11"/>
          </rPr>
          <t>True when the substrate ran and matched every cell.</t>
        </r>
      </text>
    </comment>
    <comment ref="U1" authorId="0">
      <text>
        <r>
          <rPr>
            <rFont val="Aptos Narrow"/>
            <b/>
            <color rgb="FFFFFFFF"/>
            <sz val="11"/>
          </rPr>
          <t>The run id when this grade is perfect, else blank; lets the run count its perfect substrates with a single-criterion COUNTIFS.</t>
        </r>
      </text>
    </comment>
    <comment ref="V1" authorId="0">
      <text>
        <r>
          <rPr>
            <rFont val="Aptos Narrow"/>
            <b/>
            <color rgb="FFFFFFFF"/>
            <sz val="11"/>
          </rPr>
          <t>Whether this grade belongs to the latest run.</t>
        </r>
      </text>
    </comment>
    <comment ref="W1" authorId="0">
      <text>
        <r>
          <rPr>
            <rFont val="Aptos Narrow"/>
            <b/>
            <color rgb="FFFFFFFF"/>
            <sz val="11"/>
          </rPr>
          <t>CellsTested when in the latest run, else 0.</t>
        </r>
      </text>
    </comment>
    <comment ref="X1" authorId="0">
      <text>
        <r>
          <rPr>
            <rFont val="Aptos Narrow"/>
            <b/>
            <color rgb="FFFFFFFF"/>
            <sz val="11"/>
          </rPr>
          <t>CellsPassed when in the latest run, else 0.</t>
        </r>
      </text>
    </comment>
    <comment ref="Y1" authorId="0">
      <text>
        <r>
          <rPr>
            <rFont val="Aptos Narrow"/>
            <b/>
            <color rgb="FFFFFFFF"/>
            <sz val="11"/>
          </rPr>
          <t>1 when this is the latest run and the harness could not run the substrate.</t>
        </r>
      </text>
    </comment>
    <comment ref="Z1" authorId="0">
      <text>
        <r>
          <rPr>
            <rFont val="Aptos Narrow"/>
            <b/>
            <color rgb="FFFFFFFF"/>
            <sz val="11"/>
          </rPr>
          <t>The substrate's short label.</t>
        </r>
      </text>
    </comment>
    <comment ref="AA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'&lt;substrate&gt;|&lt;Table&gt;'.</t>
        </r>
      </text>
    </comment>
    <comment ref="C1" authorId="0">
      <text>
        <r>
          <rPr>
            <rFont val="Aptos Narrow"/>
            <b/>
            <color rgb="FFFFFFFF"/>
            <sz val="11"/>
          </rPr>
          <t>The run this row describes.</t>
        </r>
      </text>
    </comment>
    <comment ref="D1" authorId="0">
      <text>
        <r>
          <rPr>
            <rFont val="Aptos Narrow"/>
            <b/>
            <color rgb="FFFFFFFF"/>
            <sz val="11"/>
          </rPr>
          <t>The substrate graded.</t>
        </r>
      </text>
    </comment>
    <comment ref="E1" authorId="0">
      <text>
        <r>
          <rPr>
            <rFont val="Aptos Narrow"/>
            <b/>
            <color rgb="FFFFFFFF"/>
            <sz val="11"/>
          </rPr>
          <t>The table graded.</t>
        </r>
      </text>
    </comment>
    <comment ref="F1" authorId="0">
      <text>
        <r>
          <rPr>
            <rFont val="Aptos Narrow"/>
            <b/>
            <color rgb="FFFFFFFF"/>
            <sz val="11"/>
          </rPr>
          <t>Rows in the answer key for this table.</t>
        </r>
      </text>
    </comment>
    <comment ref="G1" authorId="0">
      <text>
        <r>
          <rPr>
            <rFont val="Aptos Narrow"/>
            <b/>
            <color rgb="FFFFFFFF"/>
            <sz val="11"/>
          </rPr>
          <t>Derived fields graded on this table.</t>
        </r>
      </text>
    </comment>
    <comment ref="H1" authorId="0">
      <text>
        <r>
          <rPr>
            <rFont val="Aptos Narrow"/>
            <b/>
            <color rgb="FFFFFFFF"/>
            <sz val="11"/>
          </rPr>
          <t>RecordCount x DerivedFieldCount.</t>
        </r>
      </text>
    </comment>
    <comment ref="I1" authorId="0">
      <text>
        <r>
          <rPr>
            <rFont val="Aptos Narrow"/>
            <b/>
            <color rgb="FFFFFFFF"/>
            <sz val="11"/>
          </rPr>
          <t>Cells matching the answer key.</t>
        </r>
      </text>
    </comment>
    <comment ref="J1" authorId="0">
      <text>
        <r>
          <rPr>
            <rFont val="Aptos Narrow"/>
            <b/>
            <color rgb="FFFFFFFF"/>
            <sz val="11"/>
          </rPr>
          <t>True when the substrate produced no answers for this table at all; every cell then counts as failed.</t>
        </r>
      </text>
    </comment>
    <comment ref="K1" authorId="0">
      <text>
        <r>
          <rPr>
            <rFont val="Aptos Narrow"/>
            <b/>
            <color rgb="FFFFFFFF"/>
            <sz val="11"/>
          </rPr>
          <t>Cells that did not match.</t>
        </r>
      </text>
    </comment>
    <comment ref="L1" authorId="0">
      <text>
        <r>
          <rPr>
            <rFont val="Aptos Narrow"/>
            <b/>
            <color rgb="FFFFFFFF"/>
            <sz val="11"/>
          </rPr>
          <t>Percent of cells matching.</t>
        </r>
      </text>
    </comment>
    <comment ref="M1" authorId="0">
      <text>
        <r>
          <rPr>
            <rFont val="Aptos Narrow"/>
            <b/>
            <color rgb="FFFFFFFF"/>
            <sz val="11"/>
          </rPr>
          <t>True when every cell matched.</t>
        </r>
      </text>
    </comment>
    <comment ref="N1" authorId="0">
      <text>
        <r>
          <rPr>
            <rFont val="Aptos Narrow"/>
            <b/>
            <color rgb="FFFFFFFF"/>
            <sz val="11"/>
          </rPr>
          <t>The substrate id when this table is imperfect, else blank.</t>
        </r>
      </text>
    </comment>
    <comment ref="O1" authorId="0">
      <text>
        <r>
          <rPr>
            <rFont val="Aptos Narrow"/>
            <b/>
            <color rgb="FFFFFFFF"/>
            <sz val="11"/>
          </rPr>
          <t>The table id when this table is imperfect, else blank.</t>
        </r>
      </text>
    </comment>
    <comment ref="P1" authorId="0">
      <text>
        <r>
          <rPr>
            <rFont val="Aptos Narrow"/>
            <b/>
            <color rgb="FFFFFFFF"/>
            <sz val="11"/>
          </rPr>
          <t>Fields on this table the substrate got at least one cell wrong.</t>
        </r>
      </text>
    </comment>
    <comment ref="Q1" authorId="0">
      <text>
        <r>
          <rPr>
            <rFont val="Aptos Narrow"/>
            <b/>
            <color rgb="FFFFFFFF"/>
            <sz val="11"/>
          </rPr>
          <t>The substrate's short label.</t>
        </r>
      </text>
    </comment>
    <comment ref="R1" authorId="0">
      <text>
        <r>
          <rPr>
            <rFont val="Aptos Narrow"/>
            <b/>
            <color rgb="FFFFFFFF"/>
            <sz val="11"/>
          </rPr>
          <t>The table's subject area.</t>
        </r>
      </text>
    </comment>
    <comment ref="S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'&lt;substrate&gt;|&lt;Table&gt;.&lt;Field&gt;'.</t>
        </r>
      </text>
    </comment>
    <comment ref="C1" authorId="0">
      <text>
        <r>
          <rPr>
            <rFont val="Aptos Narrow"/>
            <b/>
            <color rgb="FFFFFFFF"/>
            <sz val="11"/>
          </rPr>
          <t>The substrate that disagreed.</t>
        </r>
      </text>
    </comment>
    <comment ref="D1" authorId="0">
      <text>
        <r>
          <rPr>
            <rFont val="Aptos Narrow"/>
            <b/>
            <color rgb="FFFFFFFF"/>
            <sz val="11"/>
          </rPr>
          <t>The field it disagreed on.</t>
        </r>
      </text>
    </comment>
    <comment ref="E1" authorId="0">
      <text>
        <r>
          <rPr>
            <rFont val="Aptos Narrow"/>
            <b/>
            <color rgb="FFFFFFFF"/>
            <sz val="11"/>
          </rPr>
          <t>The substrate-by-table row this field belongs to.</t>
        </r>
      </text>
    </comment>
    <comment ref="F1" authorId="0">
      <text>
        <r>
          <rPr>
            <rFont val="Aptos Narrow"/>
            <b/>
            <color rgb="FFFFFFFF"/>
            <sz val="11"/>
          </rPr>
          <t>calculated, lookup or aggregation.</t>
        </r>
      </text>
    </comment>
    <comment ref="G1" authorId="0">
      <text>
        <r>
          <rPr>
            <rFont val="Aptos Narrow"/>
            <b/>
            <color rgb="FFFFFFFF"/>
            <sz val="11"/>
          </rPr>
          <t>Every cell of this field the substrate got wrong, not just the sampled ones.</t>
        </r>
      </text>
    </comment>
    <comment ref="H1" authorId="0">
      <text>
        <r>
          <rPr>
            <rFont val="Aptos Narrow"/>
            <b/>
            <color rgb="FFFFFFFF"/>
            <sz val="11"/>
          </rPr>
          <t>The harness's most frequent reason: 'wrong/null value', 'missing record' or 'missing entity file'.</t>
        </r>
      </text>
    </comment>
    <comment ref="I1" authorId="0">
      <text>
        <r>
          <rPr>
            <rFont val="Aptos Narrow"/>
            <b/>
            <color rgb="FFFFFFFF"/>
            <sz val="11"/>
          </rPr>
          <t>Failing cells recorded as CellDisagreements rows.</t>
        </r>
      </text>
    </comment>
    <comment ref="J1" authorId="0">
      <text>
        <r>
          <rPr>
            <rFont val="Aptos Narrow"/>
            <b/>
            <color rgb="FFFFFFFF"/>
            <sz val="11"/>
          </rPr>
          <t>True when every failing cell is recorded, not just a sample.</t>
        </r>
      </text>
    </comment>
    <comment ref="K1" authorId="0">
      <text>
        <r>
          <rPr>
            <rFont val="Aptos Narrow"/>
            <b/>
            <color rgb="FFFFFFFF"/>
            <sz val="11"/>
          </rPr>
          <t>The formula every substrate was asked to compute, shown as evidence.</t>
        </r>
      </text>
    </comment>
    <comment ref="L1" authorId="0">
      <text>
        <r>
          <rPr>
            <rFont val="Aptos Narrow"/>
            <b/>
            <color rgb="FFFFFFFF"/>
            <sz val="11"/>
          </rPr>
          <t>The substrate's short label.</t>
        </r>
      </text>
    </comment>
    <comment ref="M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comments9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Stored logical identifier: '&lt;substrate&gt;|&lt;Table&gt;.&lt;Field&gt;|&lt;record id&gt;'.</t>
        </r>
      </text>
    </comment>
    <comment ref="C1" authorId="0">
      <text>
        <r>
          <rPr>
            <rFont val="Aptos Narrow"/>
            <b/>
            <color rgb="FFFFFFFF"/>
            <sz val="11"/>
          </rPr>
          <t>The substrate-by-field disagreement this cell belongs to.</t>
        </r>
      </text>
    </comment>
    <comment ref="D1" authorId="0">
      <text>
        <r>
          <rPr>
            <rFont val="Aptos Narrow"/>
            <b/>
            <color rgb="FFFFFFFF"/>
            <sz val="11"/>
          </rPr>
          <t>Primary key of the row whose cell disagreed.</t>
        </r>
      </text>
    </comment>
    <comment ref="E1" authorId="0">
      <text>
        <r>
          <rPr>
            <rFont val="Aptos Narrow"/>
            <b/>
            <color rgb="FFFFFFFF"/>
            <sz val="11"/>
          </rPr>
          <t>The answer key's value, JSON-encoded so null, '', false and 0 stay distinguishable.</t>
        </r>
      </text>
    </comment>
    <comment ref="F1" authorId="0">
      <text>
        <r>
          <rPr>
            <rFont val="Aptos Narrow"/>
            <b/>
            <color rgb="FFFFFFFF"/>
            <sz val="11"/>
          </rPr>
          <t>The substrate's value, JSON-encoded the same way.</t>
        </r>
      </text>
    </comment>
    <comment ref="G1" authorId="0">
      <text>
        <r>
          <rPr>
            <rFont val="Aptos Narrow"/>
            <b/>
            <color rgb="FFFFFFFF"/>
            <sz val="11"/>
          </rPr>
          <t>The harness's reason: 'wrong/null value', 'missing record' or 'missing entity file'.</t>
        </r>
      </text>
    </comment>
    <comment ref="H1" authorId="0">
      <text>
        <r>
          <rPr>
            <rFont val="Aptos Narrow"/>
            <b/>
            <color rgb="FFFFFFFF"/>
            <sz val="11"/>
          </rPr>
          <t>The substrate that produced ActualValue.</t>
        </r>
      </text>
    </comment>
    <comment ref="I1" authorId="0">
      <text>
        <r>
          <rPr>
            <rFont val="Aptos Narrow"/>
            <b/>
            <color rgb="FFFFFFFF"/>
            <sz val="11"/>
          </rPr>
          <t>The field.</t>
        </r>
      </text>
    </comment>
    <comment ref="J1" authorId="0">
      <text>
        <r>
          <rPr>
            <rFont val="Aptos Narrow"/>
            <b/>
            <color rgb="FFFFFFFF"/>
            <sz val="11"/>
          </rPr>
          <t>Semantic type IRI.</t>
        </r>
      </text>
    </comment>
    <comment ref="B1" authorId="0">
      <text>
        <r>
          <rPr>
            <rFont val="Aptos Narrow"/>
            <b/>
            <color rgb="FFFFFFFF"/>
            <sz val="11"/>
          </rPr>
          <t>Human-readable calculated display alias.</t>
        </r>
      </text>
    </comment>
  </commentList>
</comments>
</file>

<file path=xl/sharedStrings.xml><?xml version="1.0" encoding="utf-8"?>
<sst xmlns="http://schemas.openxmlformats.org/spreadsheetml/2006/main" count="15454" uniqueCount="15454">
  <si>
    <t>RulebookReleaseId</t>
  </si>
  <si>
    <t>Name</t>
  </si>
  <si>
    <t>RulebookVersion</t>
  </si>
  <si>
    <t>ProfileVersion</t>
  </si>
  <si>
    <t>ProfileSchemaPath</t>
  </si>
  <si>
    <t>PkoCoreVersionIri</t>
  </si>
  <si>
    <t>PkoIndustryVersionIri</t>
  </si>
  <si>
    <t>IssuedAt</t>
  </si>
  <si>
    <t>Status</t>
  </si>
  <si>
    <t>Changelog</t>
  </si>
  <si>
    <t>IsCurrent</t>
  </si>
  <si>
    <t>erb-pko-1.0.0</t>
  </si>
  <si>
    <t>1.0.0</t>
  </si>
  <si>
    <t>schemas/pko-erb-profile-1.0.0.schema.json</t>
  </si>
  <si>
    <t>https://w3id.org/pko/2.0.0</t>
  </si>
  <si>
    <t>https://w3id.org/pko/industry/2.0.0</t>
  </si>
  <si>
    <t>Candidate</t>
  </si>
  <si>
    <t>Initial executable PKO-native canonical rulebook and projection-tool proof.</t>
  </si>
  <si>
    <t>OntologyProfileId</t>
  </si>
  <si>
    <t>Label</t>
  </si>
  <si>
    <t>Version</t>
  </si>
  <si>
    <t>VersionIri</t>
  </si>
  <si>
    <t>NamespaceIri</t>
  </si>
  <si>
    <t>License</t>
  </si>
  <si>
    <t>Scope</t>
  </si>
  <si>
    <t>pko-core-2.0.0</t>
  </si>
  <si>
    <t>PKO Core</t>
  </si>
  <si>
    <t>2.0.0</t>
  </si>
  <si>
    <t>https://w3id.org/pko#</t>
  </si>
  <si>
    <t>CC BY 4.0</t>
  </si>
  <si>
    <t>Core procedural knowledge: procedures, steps, executions, transitions, requirements, issues, feedback, and agents.</t>
  </si>
  <si>
    <t>pko-industry-2.0.0</t>
  </si>
  <si>
    <t>PKO Industry</t>
  </si>
  <si>
    <t>https://w3id.org/pko/industry#</t>
  </si>
  <si>
    <t>Industry extension for machines, sites, departments, PPE, locks, energy sources, and tools.</t>
  </si>
  <si>
    <t>p-plan</t>
  </si>
  <si>
    <t>P-Plan</t>
  </si>
  <si>
    <t>1</t>
  </si>
  <si>
    <t>http://purl.org/net/p-plan</t>
  </si>
  <si>
    <t>http://purl.org/net/p-plan#</t>
  </si>
  <si>
    <t>External</t>
  </si>
  <si>
    <t>Plan, Step, MultiStep, and plan/execution alignment.</t>
  </si>
  <si>
    <t>prov-o</t>
  </si>
  <si>
    <t>PROV-O</t>
  </si>
  <si>
    <t>2013</t>
  </si>
  <si>
    <t>https://www.w3.org/TR/prov-o/</t>
  </si>
  <si>
    <t>http://www.w3.org/ns/prov#</t>
  </si>
  <si>
    <t>W3C</t>
  </si>
  <si>
    <t>Agents, activities, entities, attribution, provenance, and execution time.</t>
  </si>
  <si>
    <t>dcat-3</t>
  </si>
  <si>
    <t>DCAT</t>
  </si>
  <si>
    <t>3</t>
  </si>
  <si>
    <t>https://www.w3.org/TR/vocab-dcat-3/</t>
  </si>
  <si>
    <t>http://www.w3.org/ns/dcat#</t>
  </si>
  <si>
    <t>Resources and versioned catalog assets.</t>
  </si>
  <si>
    <t>dcterms</t>
  </si>
  <si>
    <t>DCMI Terms</t>
  </si>
  <si>
    <t>current</t>
  </si>
  <si>
    <t>https://www.dublincore.org/specifications/dublin-core/dcmi-terms/</t>
  </si>
  <si>
    <t>http://purl.org/dc/terms/</t>
  </si>
  <si>
    <t>DCMI</t>
  </si>
  <si>
    <t>Titles, descriptions, identifiers, dates, references, and lifecycle metadata.</t>
  </si>
  <si>
    <t>owl-time</t>
  </si>
  <si>
    <t>OWL-Time</t>
  </si>
  <si>
    <t>2017</t>
  </si>
  <si>
    <t>https://www.w3.org/TR/owl-time/</t>
  </si>
  <si>
    <t>http://www.w3.org/2006/time#</t>
  </si>
  <si>
    <t>Durations and time intervals.</t>
  </si>
  <si>
    <t>pro</t>
  </si>
  <si>
    <t>Publishing Roles Ontology</t>
  </si>
  <si>
    <t>http://www.sparontologies.net/ontologies/pro</t>
  </si>
  <si>
    <t>http://purl.org/spar/pro/</t>
  </si>
  <si>
    <t>CC BY</t>
  </si>
  <si>
    <t>Roles and roles held during a period of time.</t>
  </si>
  <si>
    <t>m4ing</t>
  </si>
  <si>
    <t>Metadata4Ing</t>
  </si>
  <si>
    <t>https://nfdi4ing.pages.rwth-aachen.de/metadata4ing/</t>
  </si>
  <si>
    <t>http://w3id.org/nfdi4ing/metadata4ing#</t>
  </si>
  <si>
    <t>Tools and engineering-resource metadata.</t>
  </si>
  <si>
    <t>odrl</t>
  </si>
  <si>
    <t>ODRL</t>
  </si>
  <si>
    <t>2.2</t>
  </si>
  <si>
    <t>https://www.w3.org/TR/odrl-model/</t>
  </si>
  <si>
    <t>http://www.w3.org/ns/odrl/2/</t>
  </si>
  <si>
    <t>Policies, rules, assignee roles, duties, permissions, and prohibitions.</t>
  </si>
  <si>
    <t>erb-pko-extension-1.0.0</t>
  </si>
  <si>
    <t>ERB-PKO Enterprise Extension</t>
  </si>
  <si>
    <t>urn:effortless:pko-extension:1.0.0</t>
  </si>
  <si>
    <t>urn:effortless:pko-extension#</t>
  </si>
  <si>
    <t>Apache-2.0</t>
  </si>
  <si>
    <t>Explicit extension for elicitation, tacit knowledge, governance, learning, operational bindings, and communication-channel policy.</t>
  </si>
  <si>
    <t>EvaluationContextId</t>
  </si>
  <si>
    <t>AsOfInstant</t>
  </si>
  <si>
    <t>Rationale</t>
  </si>
  <si>
    <t>SemanticTypeIri</t>
  </si>
  <si>
    <t>eval-current</t>
  </si>
  <si>
    <t>Post-close evaluation</t>
  </si>
  <si>
    <t>Shortly after the Q3 close execution and the policy notification run, so both procedure families have completed executions to witness against. Fixed as data so freshness and overdue answers are reproducible.</t>
  </si>
  <si>
    <t>urn:effortless:pko-extension#EvaluationContext</t>
  </si>
  <si>
    <t>OrganizationId</t>
  </si>
  <si>
    <t>DisplayName</t>
  </si>
  <si>
    <t>OrganizationType</t>
  </si>
  <si>
    <t>ExternalIdentifier</t>
  </si>
  <si>
    <t>acme-corp</t>
  </si>
  <si>
    <t>ACME Corporation</t>
  </si>
  <si>
    <t>Company</t>
  </si>
  <si>
    <t>org-001</t>
  </si>
  <si>
    <t>http://www.w3.org/ns/prov#Organization</t>
  </si>
  <si>
    <t>acme-finance</t>
  </si>
  <si>
    <t>ACME Finance</t>
  </si>
  <si>
    <t>Department</t>
  </si>
  <si>
    <t>dept-fin</t>
  </si>
  <si>
    <t>https://w3id.org/pko/industry#Department</t>
  </si>
  <si>
    <t>acme-people</t>
  </si>
  <si>
    <t>ACME People Operations</t>
  </si>
  <si>
    <t>dept-people</t>
  </si>
  <si>
    <t>acme-legal</t>
  </si>
  <si>
    <t>ACME Legal</t>
  </si>
  <si>
    <t>dept-legal</t>
  </si>
  <si>
    <t>AgentId</t>
  </si>
  <si>
    <t>AgentKind</t>
  </si>
  <si>
    <t>Organization</t>
  </si>
  <si>
    <t>ContactAddress</t>
  </si>
  <si>
    <t>VersionOrEmploymentKey</t>
  </si>
  <si>
    <t>CountOfCurrentRoleAssignments</t>
  </si>
  <si>
    <t>IsStillEngaged</t>
  </si>
  <si>
    <t>DecisionCount</t>
  </si>
  <si>
    <t>OverriddenDecisionCount</t>
  </si>
  <si>
    <t>OverrideRatePercent</t>
  </si>
  <si>
    <t>IsNonHuman</t>
  </si>
  <si>
    <t>BoundaryViolationCount</t>
  </si>
  <si>
    <t>IsOperatingOutsideBoundary</t>
  </si>
  <si>
    <t>DraftDecisionCount</t>
  </si>
  <si>
    <t>OverriddenDraftCount</t>
  </si>
  <si>
    <t>DraftRewriteRatePercent</t>
  </si>
  <si>
    <t>TimesNamedAsBroker</t>
  </si>
  <si>
    <t>IsRecognizedBroker</t>
  </si>
  <si>
    <t>AtRiskRelianceCount</t>
  </si>
  <si>
    <t>HasAtRiskKnowledgeReliance</t>
  </si>
  <si>
    <t>maria-chen</t>
  </si>
  <si>
    <t>Maria Chen</t>
  </si>
  <si>
    <t>Human</t>
  </si>
  <si>
    <t>maria.chen@example.com</t>
  </si>
  <si>
    <t>finance-analyst-2026</t>
  </si>
  <si>
    <t>prov:Agent</t>
  </si>
  <si>
    <t>devon-okafor</t>
  </si>
  <si>
    <t>Devon Okafor</t>
  </si>
  <si>
    <t>devon.okafor@example.com</t>
  </si>
  <si>
    <t>controller-2026</t>
  </si>
  <si>
    <t>priya-raman</t>
  </si>
  <si>
    <t>Priya Raman</t>
  </si>
  <si>
    <t>priya.raman@example.com</t>
  </si>
  <si>
    <t>cfo-2026</t>
  </si>
  <si>
    <t>elena-garcia</t>
  </si>
  <si>
    <t>Elena Garcia</t>
  </si>
  <si>
    <t>elena.garcia@example.com</t>
  </si>
  <si>
    <t>hr-owner-2026</t>
  </si>
  <si>
    <t>noah-williams</t>
  </si>
  <si>
    <t>Noah Williams</t>
  </si>
  <si>
    <t>noah.williams@example.com</t>
  </si>
  <si>
    <t>employment-counsel-2026</t>
  </si>
  <si>
    <t>amina-yusuf</t>
  </si>
  <si>
    <t>Amina Yusuf</t>
  </si>
  <si>
    <t>amina.yusuf@example.com</t>
  </si>
  <si>
    <t>communications-2026</t>
  </si>
  <si>
    <t>close-pipeline</t>
  </si>
  <si>
    <t>Close Automation Pipeline</t>
  </si>
  <si>
    <t>AutomatedPipeline</t>
  </si>
  <si>
    <t/>
  </si>
  <si>
    <t>close-pipeline-v5.2</t>
  </si>
  <si>
    <t>prov:SoftwareAgent</t>
  </si>
  <si>
    <t>variance-ai</t>
  </si>
  <si>
    <t>Variance Analysis AI</t>
  </si>
  <si>
    <t>AIAgent</t>
  </si>
  <si>
    <t>variance-model-v3.1</t>
  </si>
  <si>
    <t>policy-drafting-ai</t>
  </si>
  <si>
    <t>Policy Drafting AI</t>
  </si>
  <si>
    <t>policy-drafter-v2.0</t>
  </si>
  <si>
    <t>notification-pipeline</t>
  </si>
  <si>
    <t>Employee Notification Pipeline</t>
  </si>
  <si>
    <t>notify-v4.4</t>
  </si>
  <si>
    <t>jordan-park</t>
  </si>
  <si>
    <t>Jordan Park</t>
  </si>
  <si>
    <t>RoleId</t>
  </si>
  <si>
    <t>CurrentAgent</t>
  </si>
  <si>
    <t>CurrentAgentKind</t>
  </si>
  <si>
    <t>Responsibility</t>
  </si>
  <si>
    <t>ActiveAssignmentCount</t>
  </si>
  <si>
    <t>CurrentlyCoveredAssignmentCount</t>
  </si>
  <si>
    <t>HasNoCurrentHolder</t>
  </si>
  <si>
    <t>CountOfAwaitedDecisions</t>
  </si>
  <si>
    <t>CurrentAssignment</t>
  </si>
  <si>
    <t>CurrentAssignmentValidFrom</t>
  </si>
  <si>
    <t>IsNonHumanHeld</t>
  </si>
  <si>
    <t>IsUngovernedNonHumanRole</t>
  </si>
  <si>
    <t>DepartedAssignmentCount</t>
  </si>
  <si>
    <t>HasLostAHolder</t>
  </si>
  <si>
    <t>IsVacatedRole</t>
  </si>
  <si>
    <t>UngroundedBoundaryCount</t>
  </si>
  <si>
    <t>IsGovernedByLapsedAuthority</t>
  </si>
  <si>
    <t>UnescalatedRefusalCount</t>
  </si>
  <si>
    <t>UnauthorizedEnforcementAssignmentCount</t>
  </si>
  <si>
    <t>IsUngovernedEnforcementRole</t>
  </si>
  <si>
    <t>finance-analyst</t>
  </si>
  <si>
    <t>Finance Analyst</t>
  </si>
  <si>
    <t>Preparer of reconciliations and variance evidence.</t>
  </si>
  <si>
    <t>ra-finance-2026</t>
  </si>
  <si>
    <t>http://purl.org/spar/pro/Role</t>
  </si>
  <si>
    <t>controller</t>
  </si>
  <si>
    <t>Corporate Controller</t>
  </si>
  <si>
    <t>Owner of close controls and first approval authority.</t>
  </si>
  <si>
    <t>ra-controller-2026</t>
  </si>
  <si>
    <t>cfo</t>
  </si>
  <si>
    <t>Chief Financial Officer</t>
  </si>
  <si>
    <t>Final authority for the financial close.</t>
  </si>
  <si>
    <t>ra-cfo-2026</t>
  </si>
  <si>
    <t>hr-policy-owner</t>
  </si>
  <si>
    <t>People Policy Owner</t>
  </si>
  <si>
    <t>Accountable owner for employment policy content.</t>
  </si>
  <si>
    <t>ra-policy-owner-2026</t>
  </si>
  <si>
    <t>employment-counsel</t>
  </si>
  <si>
    <t>Employment Counsel</t>
  </si>
  <si>
    <t>Legal reviewer for workforce policy changes.</t>
  </si>
  <si>
    <t>ra-counsel-2026</t>
  </si>
  <si>
    <t>communications-manager</t>
  </si>
  <si>
    <t>Employee Communications Manager</t>
  </si>
  <si>
    <t>Human owner of employee communications.</t>
  </si>
  <si>
    <t>ra-comms-2026</t>
  </si>
  <si>
    <t>close-automation</t>
  </si>
  <si>
    <t>Close Automation Operator</t>
  </si>
  <si>
    <t>Deterministic extraction, posting, and archival operator.</t>
  </si>
  <si>
    <t>ra-close-pipeline-2026</t>
  </si>
  <si>
    <t>variance-review-agent</t>
  </si>
  <si>
    <t>Variance Review Agent</t>
  </si>
  <si>
    <t>AI assistant that classifies and prioritizes variances.</t>
  </si>
  <si>
    <t>ra-new-variance</t>
  </si>
  <si>
    <t>policy-drafting-agent</t>
  </si>
  <si>
    <t>Policy Drafting Agent</t>
  </si>
  <si>
    <t>AI assistant that drafts policy and channel variants.</t>
  </si>
  <si>
    <t>ra-policy-ai-2026</t>
  </si>
  <si>
    <t>notification-publisher</t>
  </si>
  <si>
    <t>Notification Publisher</t>
  </si>
  <si>
    <t>Pipeline that applies channel rules and sends approved messages.</t>
  </si>
  <si>
    <t>ra-notify-pipeline-2026</t>
  </si>
  <si>
    <t>process-steward</t>
  </si>
  <si>
    <t>Procedural Knowledge Steward</t>
  </si>
  <si>
    <t>Maintains procedural knowledge health and review cadence.</t>
  </si>
  <si>
    <t>ra-steward-2026</t>
  </si>
  <si>
    <t>knowledge-authority</t>
  </si>
  <si>
    <t>Procedural Knowledge Authority</t>
  </si>
  <si>
    <t>Approves semantic changes that alter commitments or controls.</t>
  </si>
  <si>
    <t>ra-authority-2026</t>
  </si>
  <si>
    <t>RoleAssignmentId</t>
  </si>
  <si>
    <t>Role</t>
  </si>
  <si>
    <t>Agent</t>
  </si>
  <si>
    <t>ValidFrom</t>
  </si>
  <si>
    <t>ValidTo</t>
  </si>
  <si>
    <t>Reason</t>
  </si>
  <si>
    <t>EvaluationContext</t>
  </si>
  <si>
    <t>CurrentAgentKey</t>
  </si>
  <si>
    <t>IsCurrentlyValid</t>
  </si>
  <si>
    <t>AgentRoleKey</t>
  </si>
  <si>
    <t>HasDeparted</t>
  </si>
  <si>
    <t>CoversNow</t>
  </si>
  <si>
    <t>RoleWhenCovering</t>
  </si>
  <si>
    <t>IsNonHumanAssignment</t>
  </si>
  <si>
    <t>SupersedesAssignment</t>
  </si>
  <si>
    <t>PredecessorAgentKind</t>
  </si>
  <si>
    <t>IsHumanToNonHumanHandover</t>
  </si>
  <si>
    <t>ApprovingAuthorityRole</t>
  </si>
  <si>
    <t>AuthorizingChangeRequest</t>
  </si>
  <si>
    <t>IsUnauthorizedNonHumanAssignment</t>
  </si>
  <si>
    <t>WasAuthorizedByChangeRequest</t>
  </si>
  <si>
    <t>PredecessorOverrideRatePercent</t>
  </si>
  <si>
    <t>QualityRegressedVsPredecessor</t>
  </si>
  <si>
    <t>DepartedRoleKey</t>
  </si>
  <si>
    <t>MinimumDecisionsForComparison</t>
  </si>
  <si>
    <t>PredecessorDecisionCount</t>
  </si>
  <si>
    <t>HasSufficientSample</t>
  </si>
  <si>
    <t>PredecessorHasSufficientSample</t>
  </si>
  <si>
    <t>ComparisonIsEvidentiallySound</t>
  </si>
  <si>
    <t>SingleOverrideSwingPercent</t>
  </si>
  <si>
    <t>QualityVerdictIsUnsupported</t>
  </si>
  <si>
    <t>IsUnmeasuredAutomationHandover</t>
  </si>
  <si>
    <t>ErrorCorrectionCount</t>
  </si>
  <si>
    <t>ErrorRatePercent</t>
  </si>
  <si>
    <t>AuthorizationDecidedAt</t>
  </si>
  <si>
    <t>AuthorizationReviewedAt</t>
  </si>
  <si>
    <t>AuthorizationReviewCadenceDays</t>
  </si>
  <si>
    <t>HasDatedAuthorization</t>
  </si>
  <si>
    <t>DaysSinceAuthorizationReview</t>
  </si>
  <si>
    <t>AuthorizationIsOverdueForReview</t>
  </si>
  <si>
    <t>IsStandingUnreviewedAutomation</t>
  </si>
  <si>
    <t>IsUnconditionedAutomationHandover</t>
  </si>
  <si>
    <t>MaxTolerableErrorRatePercent</t>
  </si>
  <si>
    <t>ExceedsTolerableErrorRate</t>
  </si>
  <si>
    <t>BoundaryViolationCountForAssignment</t>
  </si>
  <si>
    <t>HasAnyBoundaryViolation</t>
  </si>
  <si>
    <t>HasUngroundedGoverningBoundary</t>
  </si>
  <si>
    <t>SuspensionConditionMet</t>
  </si>
  <si>
    <t>IsOperatingUnderMetSuspensionCondition</t>
  </si>
  <si>
    <t>HasDeclaredSuspensionCondition</t>
  </si>
  <si>
    <t>HasApprovingAuthority</t>
  </si>
  <si>
    <t>HasAuthorizingChangeRequest</t>
  </si>
  <si>
    <t>IsEnforcementRole</t>
  </si>
  <si>
    <t>IsUnauthorizedEnforcementAgent</t>
  </si>
  <si>
    <t>GovernanceEvidenceCount</t>
  </si>
  <si>
    <t>UnauthorizedEnforcementRoleKey</t>
  </si>
  <si>
    <t>Assigned for fiscal 2026</t>
  </si>
  <si>
    <t>Active</t>
  </si>
  <si>
    <t>http://purl.org/spar/pro/RoleInTime</t>
  </si>
  <si>
    <t>Controller appointment</t>
  </si>
  <si>
    <t>CFO appointment</t>
  </si>
  <si>
    <t>Policy stewardship assignment</t>
  </si>
  <si>
    <t>Employment counsel assignment</t>
  </si>
  <si>
    <t>Notification platform release 4.4</t>
  </si>
  <si>
    <t>ra-old-variance</t>
  </si>
  <si>
    <t>Human pilot before AI deployment</t>
  </si>
  <si>
    <t>Superseded</t>
  </si>
  <si>
    <t>Approved AI-assisted variance triage</t>
  </si>
  <si>
    <t>Communications manager appointment</t>
  </si>
  <si>
    <t>Knowledge authority vested with the CFO for financial procedures</t>
  </si>
  <si>
    <t>Process stewardship assignment</t>
  </si>
  <si>
    <t>Close automation platform release 3.2</t>
  </si>
  <si>
    <t>Approved AI-assisted policy drafting</t>
  </si>
  <si>
    <t>CommunityOfPracticeId</t>
  </si>
  <si>
    <t>StewardRole</t>
  </si>
  <si>
    <t>Purpose</t>
  </si>
  <si>
    <t>Cadence</t>
  </si>
  <si>
    <t>close-practice-guild</t>
  </si>
  <si>
    <t>Financial Close Community of Practice</t>
  </si>
  <si>
    <t>Share close exceptions, reconcile recurring failure modes, and mentor new preparers.</t>
  </si>
  <si>
    <t>Monthly and after every quarter close</t>
  </si>
  <si>
    <t>urn:effortless:pko-extension#CommunityOfPractice</t>
  </si>
  <si>
    <t>policy-stewards-circle</t>
  </si>
  <si>
    <t>Policy Stewardship Circle</t>
  </si>
  <si>
    <t>Review workforce-policy changes, employee feedback, and notification effectiveness.</t>
  </si>
  <si>
    <t>Biweekly</t>
  </si>
  <si>
    <t>MentorshipId</t>
  </si>
  <si>
    <t>CommunityOfPractice</t>
  </si>
  <si>
    <t>MentorAgent</t>
  </si>
  <si>
    <t>LearnerAgent</t>
  </si>
  <si>
    <t>LearningObjective</t>
  </si>
  <si>
    <t>EvidenceOfCompletion</t>
  </si>
  <si>
    <t>mentor-close-2026</t>
  </si>
  <si>
    <t>Independently diagnose material variances and produce an auditable controller-ready explanation.</t>
  </si>
  <si>
    <t>Three consecutive reconciliations accepted without rework.</t>
  </si>
  <si>
    <t>urn:effortless:pko-extension#Mentorship</t>
  </si>
  <si>
    <t>ProcedureTypeId</t>
  </si>
  <si>
    <t>Definition</t>
  </si>
  <si>
    <t>financial-sop</t>
  </si>
  <si>
    <t>Financial Standard Operating Procedure</t>
  </si>
  <si>
    <t>A controlled procedure for financial operations, approvals, evidence, and auditability.</t>
  </si>
  <si>
    <t>https://w3id.org/pko#ProcedureType</t>
  </si>
  <si>
    <t>communication-policy</t>
  </si>
  <si>
    <t>Employee Communication Policy Procedure</t>
  </si>
  <si>
    <t>A controlled procedure that creates, approves, and distributes workforce policy communications.</t>
  </si>
  <si>
    <t>ProcedureId</t>
  </si>
  <si>
    <t>Title</t>
  </si>
  <si>
    <t>ProcedureType</t>
  </si>
  <si>
    <t>OwnerOrganization</t>
  </si>
  <si>
    <t>AdoptedByOrganization</t>
  </si>
  <si>
    <t>Target</t>
  </si>
  <si>
    <t>IsTemplate</t>
  </si>
  <si>
    <t>CurrentVersionKey</t>
  </si>
  <si>
    <t>quarter-end-close</t>
  </si>
  <si>
    <t>Quarter-End Financial Close</t>
  </si>
  <si>
    <t>Close the general ledger accurately, produce evidence, and obtain independent approval.</t>
  </si>
  <si>
    <t>Corporate general ledger and reporting package</t>
  </si>
  <si>
    <t>close-v1.1.0</t>
  </si>
  <si>
    <t>https://w3id.org/pko#Procedure</t>
  </si>
  <si>
    <t>workforce-policy-notification</t>
  </si>
  <si>
    <t>Workforce Policy Change and Employee Notification</t>
  </si>
  <si>
    <t>Turn an approved workforce policy change into governed, channel-appropriate employee communications and acknowledgements.</t>
  </si>
  <si>
    <t>All affected employees and workforce-policy records</t>
  </si>
  <si>
    <t>policy-v1.0.0</t>
  </si>
  <si>
    <t>ProcedureVersionId</t>
  </si>
  <si>
    <t>Procedure</t>
  </si>
  <si>
    <t>VersionNumber</t>
  </si>
  <si>
    <t>ModifiedAt</t>
  </si>
  <si>
    <t>CreatedByAgent</t>
  </si>
  <si>
    <t>ModifiedByAgent</t>
  </si>
  <si>
    <t>NewVersionMotivation</t>
  </si>
  <si>
    <t>ChangelogDescription</t>
  </si>
  <si>
    <t>CountOfSteps</t>
  </si>
  <si>
    <t>CountOfOpenKnowledgeGaps</t>
  </si>
  <si>
    <t>IsReadyForExecution</t>
  </si>
  <si>
    <t>SpecifiedStepCount</t>
  </si>
  <si>
    <t>OverdueReviewCount</t>
  </si>
  <si>
    <t>OpenChangeRequestCount</t>
  </si>
  <si>
    <t>OpenHighSeverityGapCount</t>
  </si>
  <si>
    <t>IsFitToExecute</t>
  </si>
  <si>
    <t>StewardReviewCadenceDays</t>
  </si>
  <si>
    <t>CountOfStewardshipAssignments</t>
  </si>
  <si>
    <t>HasAnySteward</t>
  </si>
  <si>
    <t>IsLive</t>
  </si>
  <si>
    <t>IsUnstewarded</t>
  </si>
  <si>
    <t>IsLiveAndUnstewarded</t>
  </si>
  <si>
    <t>CountOfOpenBlockingGaps</t>
  </si>
  <si>
    <t>HasOpenBlockingGap</t>
  </si>
  <si>
    <t>IsLiveWithBlockingGap</t>
  </si>
  <si>
    <t>ShouldNotBeExecutable</t>
  </si>
  <si>
    <t>CountOfUnapprovedRelianceFragments</t>
  </si>
  <si>
    <t>RunsOnUnapprovedKnowledge</t>
  </si>
  <si>
    <t>CountOfOverdueGaps</t>
  </si>
  <si>
    <t>CountOfChangeRequests</t>
  </si>
  <si>
    <t>CountOfReviewEvents</t>
  </si>
  <si>
    <t>HasGovernanceRecord</t>
  </si>
  <si>
    <t>DaysSinceModified</t>
  </si>
  <si>
    <t>DaysSinceLastReview</t>
  </si>
  <si>
    <t>WasModifiedSinceLastReview</t>
  </si>
  <si>
    <t>ModifierIsAuthority</t>
  </si>
  <si>
    <t>HasUnwitnessedChange</t>
  </si>
  <si>
    <t>CountOfStaleFragments</t>
  </si>
  <si>
    <t>KnowledgeIsStalerThanCadence</t>
  </si>
  <si>
    <t>CompoundFragileFragmentCount</t>
  </si>
  <si>
    <t>RestsOnCompoundFragileKnowledge</t>
  </si>
  <si>
    <t>ConcentratedWitnessSessionCount</t>
  </si>
  <si>
    <t>KnowledgeBaseIsConcentrated</t>
  </si>
  <si>
    <t>MachineConsumedUnapprovedCount</t>
  </si>
  <si>
    <t>FeedsUnapprovedKnowledgeToMachines</t>
  </si>
  <si>
    <t>GenuinelyOverdueFragmentCount</t>
  </si>
  <si>
    <t>AwaitedDecisionCount</t>
  </si>
  <si>
    <t>ScopedOpenBlockingGapCount</t>
  </si>
  <si>
    <t>IsBlockedOnPendingDecision</t>
  </si>
  <si>
    <t>UnexercisedHumanGateCount</t>
  </si>
  <si>
    <t>AiBoundaryIsUnevidenced</t>
  </si>
  <si>
    <t>LoadBearingUnapprovedCount</t>
  </si>
  <si>
    <t>UnlandedDecisionCount</t>
  </si>
  <si>
    <t>UnrehearsedControlEntryCount</t>
  </si>
  <si>
    <t>HasUnrehearsedControlEntry</t>
  </si>
  <si>
    <t>IsLiveWithUnrehearsedControl</t>
  </si>
  <si>
    <t>CadenceBreachCount</t>
  </si>
  <si>
    <t>IsInCadenceBreach</t>
  </si>
  <si>
    <t>HasDecisionInFlight</t>
  </si>
  <si>
    <t>IsUnremediatedCadenceBreach</t>
  </si>
  <si>
    <t>IsManagedCadenceBreach</t>
  </si>
  <si>
    <t>GovernanceIsSilent</t>
  </si>
  <si>
    <t>ValidFragmentCount</t>
  </si>
  <si>
    <t>StillOwnsValidKnowledge</t>
  </si>
  <si>
    <t>IncomingSupersessionCount</t>
  </si>
  <si>
    <t>IsStillReferenced</t>
  </si>
  <si>
    <t>IsLoadBearingOrphan</t>
  </si>
  <si>
    <t>IsCleanlyRetired</t>
  </si>
  <si>
    <t>StalledImplementationCount</t>
  </si>
  <si>
    <t>IsHeldUnfitByLandedDecisions</t>
  </si>
  <si>
    <t>UndeclaredControlKindCount</t>
  </si>
  <si>
    <t>ControlTaxonomyIsIncomplete</t>
  </si>
  <si>
    <t>HasApprovedChangeRequest</t>
  </si>
  <si>
    <t>ApprovedChangeRequestCount</t>
  </si>
  <si>
    <t>UnwatchedUnownedControlCount</t>
  </si>
  <si>
    <t>MiningRunCount</t>
  </si>
  <si>
    <t>DriftedMiningRunCount</t>
  </si>
  <si>
    <t>HasUnresolvedMiningDrift</t>
  </si>
  <si>
    <t>EntryStepId</t>
  </si>
  <si>
    <t>close-v1.0.0</t>
  </si>
  <si>
    <t>Quarter-End Financial Close v1.0.0</t>
  </si>
  <si>
    <t>Archived</t>
  </si>
  <si>
    <t>Initial governed close procedure.</t>
  </si>
  <si>
    <t>Baseline eight-step close.</t>
  </si>
  <si>
    <t>1.1.0</t>
  </si>
  <si>
    <t>Quarter-End Financial Close v1.1.0</t>
  </si>
  <si>
    <t>Approved</t>
  </si>
  <si>
    <t>Capture FX timestamp failure mode and AI-assisted variance triage.</t>
  </si>
  <si>
    <t>Adds explicit feed-timestamp check, knowledge fragment, and variance-triage verification.</t>
  </si>
  <si>
    <t>Workforce Policy Change and Employee Notification v1.0.0</t>
  </si>
  <si>
    <t>Initial governed policy-notification procedure.</t>
  </si>
  <si>
    <t>Adds legal review, human approval, email/SMS channel controls, acknowledgements, and feedback review.</t>
  </si>
  <si>
    <t>ProcedureVersionLinkId</t>
  </si>
  <si>
    <t>PreviousProcedureVersion</t>
  </si>
  <si>
    <t>NextProcedureVersion</t>
  </si>
  <si>
    <t>RelationIri</t>
  </si>
  <si>
    <t>ChangeSummary</t>
  </si>
  <si>
    <t>SupersededVersionKey</t>
  </si>
  <si>
    <t>close-v1.0.0-to-v1.1.0</t>
  </si>
  <si>
    <t>https://w3id.org/pko#nextVersion</t>
  </si>
  <si>
    <t>Added timestamp control, AI variance triage, and explicit knowledge capture.</t>
  </si>
  <si>
    <t>ProcedureStatusChangeId</t>
  </si>
  <si>
    <t>ProcedureVersion</t>
  </si>
  <si>
    <t>FromStatus</t>
  </si>
  <si>
    <t>ToStatus</t>
  </si>
  <si>
    <t>ChangedAt</t>
  </si>
  <si>
    <t>ChangedByAgent</t>
  </si>
  <si>
    <t>Motivation</t>
  </si>
  <si>
    <t>status-close-draft-validation</t>
  </si>
  <si>
    <t>Draft</t>
  </si>
  <si>
    <t>Validation</t>
  </si>
  <si>
    <t>Ready for control and ontology validation.</t>
  </si>
  <si>
    <t>https://w3id.org/pko#ChangeOfStatus</t>
  </si>
  <si>
    <t>status-close-validation-approval</t>
  </si>
  <si>
    <t>Approval</t>
  </si>
  <si>
    <t>All requirements and test cases passed.</t>
  </si>
  <si>
    <t>status-close-approval-approved</t>
  </si>
  <si>
    <t>Final authority approved release.</t>
  </si>
  <si>
    <t>status-policy-draft-validation</t>
  </si>
  <si>
    <t>Ready for legal and communications review.</t>
  </si>
  <si>
    <t>status-policy-validation-approved</t>
  </si>
  <si>
    <t>Approved with channel safeguards.</t>
  </si>
  <si>
    <t>StepId</t>
  </si>
  <si>
    <t>StepNumber</t>
  </si>
  <si>
    <t>StepKind</t>
  </si>
  <si>
    <t>AssignedRole</t>
  </si>
  <si>
    <t>AssignedRoleLabel</t>
  </si>
  <si>
    <t>AssignedAgentKind</t>
  </si>
  <si>
    <t>Instruction</t>
  </si>
  <si>
    <t>ExpectedDurationMinutes</t>
  </si>
  <si>
    <t>ExpertiseLevel</t>
  </si>
  <si>
    <t>RequiresHumanConfirmation</t>
  </si>
  <si>
    <t>BlockingRequirementCount</t>
  </si>
  <si>
    <t>StaleBindingCount</t>
  </si>
  <si>
    <t>AuthoritativeStaleCount</t>
  </si>
  <si>
    <t>AvailableExceptionCount</t>
  </si>
  <si>
    <t>DeclaredVerificationCount</t>
  </si>
  <si>
    <t>IsPreparationStep</t>
  </si>
  <si>
    <t>IsApprovalStep</t>
  </si>
  <si>
    <t>StaleAuthoritativeBindingCount</t>
  </si>
  <si>
    <t>InputsAreFresh</t>
  </si>
  <si>
    <t>IsSoftwareAssigned</t>
  </si>
  <si>
    <t>IsHumanApprovalGate</t>
  </si>
  <si>
    <t>GateHeldByHuman</t>
  </si>
  <si>
    <t>BindingBoundaryCount</t>
  </si>
  <si>
    <t>AssignedRoleIsUngoverned</t>
  </si>
  <si>
    <t>UnusableBindingCount</t>
  </si>
  <si>
    <t>AllSourcesUsable</t>
  </si>
  <si>
    <t>ControlKind</t>
  </si>
  <si>
    <t>UnwarrantedBoundaryCount</t>
  </si>
  <si>
    <t>IsGovernedByUnwarrantedBoundary</t>
  </si>
  <si>
    <t>SoftwareExecutionCount</t>
  </si>
  <si>
    <t>HasBeenApproachedBySoftware</t>
  </si>
  <si>
    <t>IsUnexercisedHumanGate</t>
  </si>
  <si>
    <t>IsDemonstratedHumanGate</t>
  </si>
  <si>
    <t>UnexercisedGateVersionKey</t>
  </si>
  <si>
    <t>HasDeclaredControlKind</t>
  </si>
  <si>
    <t>UndeclaredControlVersionKey</t>
  </si>
  <si>
    <t>ApprovalStepIsSoftwareAssigned</t>
  </si>
  <si>
    <t>UnwitnessedBlockingCount</t>
  </si>
  <si>
    <t>ReachableStepCount</t>
  </si>
  <si>
    <t>ReachedFromStepCount</t>
  </si>
  <si>
    <t>SelfReachCount</t>
  </si>
  <si>
    <t>IsOnReworkLoop</t>
  </si>
  <si>
    <t>IsBlockingControlOnReworkLoop</t>
  </si>
  <si>
    <t>IncomingTransitionCount</t>
  </si>
  <si>
    <t>IsEntryStep</t>
  </si>
  <si>
    <t>EntryStepKey</t>
  </si>
  <si>
    <t>VersionEntryStepId</t>
  </si>
  <si>
    <t>GateFreeReachFromEntryCount</t>
  </si>
  <si>
    <t>IsReachableFromEntryWithoutHumanGate</t>
  </si>
  <si>
    <t>IsGateBypassedPublication</t>
  </si>
  <si>
    <t>close-01</t>
  </si>
  <si>
    <t>01</t>
  </si>
  <si>
    <t>Freeze transaction entry</t>
  </si>
  <si>
    <t>Atomic</t>
  </si>
  <si>
    <t>Lock subledgers and prevent late postings.</t>
  </si>
  <si>
    <t>Senior</t>
  </si>
  <si>
    <t>Extraction</t>
  </si>
  <si>
    <t>http://purl.org/net/p-plan#Step</t>
  </si>
  <si>
    <t>close-02</t>
  </si>
  <si>
    <t>02</t>
  </si>
  <si>
    <t>Extract trial balance and feed timestamps</t>
  </si>
  <si>
    <t>Extract the trial balance and source-system timestamps.</t>
  </si>
  <si>
    <t>close-03</t>
  </si>
  <si>
    <t>03</t>
  </si>
  <si>
    <t>Reconcile material accounts</t>
  </si>
  <si>
    <t>MultiStep</t>
  </si>
  <si>
    <t>Reconcile material accounts and attach evidence.</t>
  </si>
  <si>
    <t>Preparation</t>
  </si>
  <si>
    <t>http://purl.org/net/p-plan#MultiStep</t>
  </si>
  <si>
    <t>close-04</t>
  </si>
  <si>
    <t>04</t>
  </si>
  <si>
    <t>Classify and investigate variances</t>
  </si>
  <si>
    <t>Use AI triage, then apply human situated judgment to material or anomalous variances.</t>
  </si>
  <si>
    <t>Expert</t>
  </si>
  <si>
    <t>close-05</t>
  </si>
  <si>
    <t>05</t>
  </si>
  <si>
    <t>Controller review</t>
  </si>
  <si>
    <t>Independently review reconciliations, evidence, and unresolved items.</t>
  </si>
  <si>
    <t>close-06</t>
  </si>
  <si>
    <t>06</t>
  </si>
  <si>
    <t>CFO approval</t>
  </si>
  <si>
    <t>Approve the close package or return it with required corrections.</t>
  </si>
  <si>
    <t>Master</t>
  </si>
  <si>
    <t>close-07</t>
  </si>
  <si>
    <t>07</t>
  </si>
  <si>
    <t>Post close and publish package</t>
  </si>
  <si>
    <t>Post approved entries and publish the reporting package.</t>
  </si>
  <si>
    <t>Publication</t>
  </si>
  <si>
    <t>close-08</t>
  </si>
  <si>
    <t>08</t>
  </si>
  <si>
    <t>Archive evidence and hold retrospective</t>
  </si>
  <si>
    <t>Archive evidence and capture questions, issues, and lessons learned.</t>
  </si>
  <si>
    <t>Retrospective</t>
  </si>
  <si>
    <t>policy-01</t>
  </si>
  <si>
    <t>Identify policy trigger and affected population</t>
  </si>
  <si>
    <t>Establish the legal/business trigger and population affected.</t>
  </si>
  <si>
    <t>policy-02</t>
  </si>
  <si>
    <t>Elicit process and practitioner knowledge</t>
  </si>
  <si>
    <t>Interview practitioners, inspect source artifacts, and record tacit/implicit/explicit knowledge.</t>
  </si>
  <si>
    <t>policy-03</t>
  </si>
  <si>
    <t>Draft policy and channel variants</t>
  </si>
  <si>
    <t>Draft the policy and proposed email/SMS variants from approved sources.</t>
  </si>
  <si>
    <t>policy-04</t>
  </si>
  <si>
    <t>Legal and privacy review</t>
  </si>
  <si>
    <t>Review legal commitments, privacy, consent, retention, and jurisdictional requirements.</t>
  </si>
  <si>
    <t>LegalReview</t>
  </si>
  <si>
    <t>policy-05</t>
  </si>
  <si>
    <t>Human authority approval</t>
  </si>
  <si>
    <t>Approve the policy meaning and all channel constraints.</t>
  </si>
  <si>
    <t>policy-06</t>
  </si>
  <si>
    <t>Generate approved communications</t>
  </si>
  <si>
    <t>Render approved email and SMS messages without changing policy meaning.</t>
  </si>
  <si>
    <t>policy-07</t>
  </si>
  <si>
    <t>Apply channel controls and send</t>
  </si>
  <si>
    <t>Enforce consent, quiet hours, opt-out text, recipient scope, and delivery logging.</t>
  </si>
  <si>
    <t>policy-08</t>
  </si>
  <si>
    <t>Collect acknowledgements and exceptions</t>
  </si>
  <si>
    <t>Collect acknowledgements and create exception tasks for unreachable recipients.</t>
  </si>
  <si>
    <t>Verification</t>
  </si>
  <si>
    <t>policy-09</t>
  </si>
  <si>
    <t>09</t>
  </si>
  <si>
    <t>Review feedback and update knowledge</t>
  </si>
  <si>
    <t>Review questions, feedback, delivery failures, and proposed knowledge changes.</t>
  </si>
  <si>
    <t>StepTransitionId</t>
  </si>
  <si>
    <t>FromStep</t>
  </si>
  <si>
    <t>ToStep</t>
  </si>
  <si>
    <t>TransitionKind</t>
  </si>
  <si>
    <t>Condition</t>
  </si>
  <si>
    <t>Priority</t>
  </si>
  <si>
    <t>IsRecoveryPath</t>
  </si>
  <si>
    <t>CountOfFromStepExecutions</t>
  </si>
  <si>
    <t>CountOfToStepExecutions</t>
  </si>
  <si>
    <t>HasReachableOrigin</t>
  </si>
  <si>
    <t>HasReachableTarget</t>
  </si>
  <si>
    <t>IsNeverExercised</t>
  </si>
  <si>
    <t>IsUntestedRecoveryPath</t>
  </si>
  <si>
    <t>CountOfObservedTraversals</t>
  </si>
  <si>
    <t>HasBeenTraversed</t>
  </si>
  <si>
    <t>IsUnwalkedRecoveryPath</t>
  </si>
  <si>
    <t>TargetBlockingRequirementCount</t>
  </si>
  <si>
    <t>TargetCarriesBlockingControl</t>
  </si>
  <si>
    <t>IsUnrehearsedControlEntry</t>
  </si>
  <si>
    <t>UnrehearsedControlVersionKey</t>
  </si>
  <si>
    <t>LeadsToClosure</t>
  </si>
  <si>
    <t>FromStepIsHumanApprovalGate</t>
  </si>
  <si>
    <t>ToStepIsHumanApprovalGate</t>
  </si>
  <si>
    <t>AvoidsHumanApprovalGate</t>
  </si>
  <si>
    <t>LeadsWithoutHumanGateClosure</t>
  </si>
  <si>
    <t>close-01-to-close-02</t>
  </si>
  <si>
    <t>Next</t>
  </si>
  <si>
    <t>Default sequence</t>
  </si>
  <si>
    <t>https://w3id.org/pko#Transition</t>
  </si>
  <si>
    <t>close-02-to-close-03</t>
  </si>
  <si>
    <t>close-03-to-close-04</t>
  </si>
  <si>
    <t>close-04-to-close-05</t>
  </si>
  <si>
    <t>close-05-to-close-06</t>
  </si>
  <si>
    <t>close-06-to-close-07</t>
  </si>
  <si>
    <t>close-07-to-close-08</t>
  </si>
  <si>
    <t>policy-01-to-policy-02</t>
  </si>
  <si>
    <t>policy-02-to-policy-03</t>
  </si>
  <si>
    <t>policy-03-to-policy-04</t>
  </si>
  <si>
    <t>policy-04-to-policy-05</t>
  </si>
  <si>
    <t>policy-05-to-policy-06</t>
  </si>
  <si>
    <t>policy-06-to-policy-07</t>
  </si>
  <si>
    <t>policy-07-to-policy-08</t>
  </si>
  <si>
    <t>policy-08-to-policy-09</t>
  </si>
  <si>
    <t>close-04-fallback-close-03</t>
  </si>
  <si>
    <t>Fallback</t>
  </si>
  <si>
    <t>Evidence is incomplete or source balance changed after extraction</t>
  </si>
  <si>
    <t>close-06-return-close-04</t>
  </si>
  <si>
    <t>Alternative</t>
  </si>
  <si>
    <t>CFO rejects package or requests further analysis</t>
  </si>
  <si>
    <t>close-05-expedite-close-07</t>
  </si>
  <si>
    <t>Aggregate variance below the materiality threshold: publish the close package without CFO sign-off</t>
  </si>
  <si>
    <t>policy-04-return-policy-03</t>
  </si>
  <si>
    <t>Legal review requires semantic revision</t>
  </si>
  <si>
    <t>policy-07-fallback-policy-06</t>
  </si>
  <si>
    <t>Rendered message violates channel length or disclosure constraints</t>
  </si>
  <si>
    <t>ActionId</t>
  </si>
  <si>
    <t>freeze-ledgers</t>
  </si>
  <si>
    <t>Freeze ledgers</t>
  </si>
  <si>
    <t>Prevent late transaction entry after the close cutoff.</t>
  </si>
  <si>
    <t>https://w3id.org/pko#Action</t>
  </si>
  <si>
    <t>reconcile-account</t>
  </si>
  <si>
    <t>Reconcile account</t>
  </si>
  <si>
    <t>Compare balances, source records, and supporting evidence.</t>
  </si>
  <si>
    <t>investigate-variance</t>
  </si>
  <si>
    <t>Investigate variance</t>
  </si>
  <si>
    <t>Apply documented checks and situated judgment to explain a material variance.</t>
  </si>
  <si>
    <t>review-close-package</t>
  </si>
  <si>
    <t>Review close package</t>
  </si>
  <si>
    <t>Perform an independent control review.</t>
  </si>
  <si>
    <t>approve-close</t>
  </si>
  <si>
    <t>Approve close</t>
  </si>
  <si>
    <t>Authorize publication of the financial statements package.</t>
  </si>
  <si>
    <t>interview-practitioner</t>
  </si>
  <si>
    <t>Interview practitioner</t>
  </si>
  <si>
    <t>Elicit tacit, implicit, and explicit procedural knowledge.</t>
  </si>
  <si>
    <t>review-policy</t>
  </si>
  <si>
    <t>Review employment policy</t>
  </si>
  <si>
    <t>Review legal, privacy, and operational commitments.</t>
  </si>
  <si>
    <t>approve-policy</t>
  </si>
  <si>
    <t>Approve employment policy</t>
  </si>
  <si>
    <t>Authorize the policy's semantic content and channel requirements.</t>
  </si>
  <si>
    <t>review-feedback</t>
  </si>
  <si>
    <t>Review procedural feedback</t>
  </si>
  <si>
    <t>Evaluate questions, issues, and lessons for future versions.</t>
  </si>
  <si>
    <t>FunctionId</t>
  </si>
  <si>
    <t>ImplementationKey</t>
  </si>
  <si>
    <t>extract-trial-balance</t>
  </si>
  <si>
    <t>Extract trial balance</t>
  </si>
  <si>
    <t>Deterministically extract balances and source timestamps.</t>
  </si>
  <si>
    <t>extract-trial-balance-impl</t>
  </si>
  <si>
    <t>https://w3id.org/pko#Function</t>
  </si>
  <si>
    <t>classify-variance</t>
  </si>
  <si>
    <t>Classify variance</t>
  </si>
  <si>
    <t>Rank and classify variances using the approved AI model.</t>
  </si>
  <si>
    <t>classify-variance-impl</t>
  </si>
  <si>
    <t>post-close-entries</t>
  </si>
  <si>
    <t>Post close entries</t>
  </si>
  <si>
    <t>Post only approved journal entries.</t>
  </si>
  <si>
    <t>post-close-entries-impl</t>
  </si>
  <si>
    <t>draft-policy</t>
  </si>
  <si>
    <t>Draft policy</t>
  </si>
  <si>
    <t>Generate a draft from approved sources and requirements.</t>
  </si>
  <si>
    <t>draft-policy-impl</t>
  </si>
  <si>
    <t>render-email</t>
  </si>
  <si>
    <t>Render email</t>
  </si>
  <si>
    <t>Produce an email projection without changing policy meaning.</t>
  </si>
  <si>
    <t>render-email-impl</t>
  </si>
  <si>
    <t>render-sms</t>
  </si>
  <si>
    <t>Render SMS</t>
  </si>
  <si>
    <t>Produce a length-constrained SMS projection without changing policy meaning.</t>
  </si>
  <si>
    <t>render-sms-impl</t>
  </si>
  <si>
    <t>send-notification</t>
  </si>
  <si>
    <t>Send notification</t>
  </si>
  <si>
    <t>Apply channel policy and deliver an approved message.</t>
  </si>
  <si>
    <t>send-notification-impl</t>
  </si>
  <si>
    <t>collect-acknowledgement</t>
  </si>
  <si>
    <t>Collect acknowledgement</t>
  </si>
  <si>
    <t>Record receipt, acknowledgement, or exception state.</t>
  </si>
  <si>
    <t>collect-acknowledgement-impl</t>
  </si>
  <si>
    <t>ToolId</t>
  </si>
  <si>
    <t>erp-ledger</t>
  </si>
  <si>
    <t>ERP General Ledger</t>
  </si>
  <si>
    <t>Financial system of record</t>
  </si>
  <si>
    <t>http://w3id.org/nfdi4ing/metadata4ing#Tool</t>
  </si>
  <si>
    <t>close-workpaper</t>
  </si>
  <si>
    <t>Close Workpaper Workbook</t>
  </si>
  <si>
    <t>Controlled reconciliation workbook</t>
  </si>
  <si>
    <t>variance-model</t>
  </si>
  <si>
    <t>Variance AI Console</t>
  </si>
  <si>
    <t>Approved AI variance-triage interface</t>
  </si>
  <si>
    <t>policy-registry</t>
  </si>
  <si>
    <t>Policy Registry</t>
  </si>
  <si>
    <t>Versioned workforce-policy source of truth</t>
  </si>
  <si>
    <t>consent-registry</t>
  </si>
  <si>
    <t>Employee Consent Registry</t>
  </si>
  <si>
    <t>Consent and channel preference system</t>
  </si>
  <si>
    <t>email-gateway</t>
  </si>
  <si>
    <t>Email Gateway</t>
  </si>
  <si>
    <t>Transactional employee email service</t>
  </si>
  <si>
    <t>sms-gateway</t>
  </si>
  <si>
    <t>SMS Gateway</t>
  </si>
  <si>
    <t>Transactional SMS service</t>
  </si>
  <si>
    <t>knowledge-capture-form</t>
  </si>
  <si>
    <t>Knowledge Capture Form</t>
  </si>
  <si>
    <t>Structured elicitation and review interface</t>
  </si>
  <si>
    <t>StepActionId</t>
  </si>
  <si>
    <t>Step</t>
  </si>
  <si>
    <t>Action</t>
  </si>
  <si>
    <t>sa-close01</t>
  </si>
  <si>
    <t>sa-close03</t>
  </si>
  <si>
    <t>sa-close04</t>
  </si>
  <si>
    <t>sa-close05</t>
  </si>
  <si>
    <t>sa-close06</t>
  </si>
  <si>
    <t>sa-policy02</t>
  </si>
  <si>
    <t>sa-policy04</t>
  </si>
  <si>
    <t>sa-policy05</t>
  </si>
  <si>
    <t>sa-policy09</t>
  </si>
  <si>
    <t>StepFunctionId</t>
  </si>
  <si>
    <t>Function</t>
  </si>
  <si>
    <t>sf-close02</t>
  </si>
  <si>
    <t>sf-close04</t>
  </si>
  <si>
    <t>sf-close07</t>
  </si>
  <si>
    <t>sf-policy03</t>
  </si>
  <si>
    <t>sf-policy06-email</t>
  </si>
  <si>
    <t>sf-policy06-sms</t>
  </si>
  <si>
    <t>sf-policy07</t>
  </si>
  <si>
    <t>sf-policy08</t>
  </si>
  <si>
    <t>StepToolId</t>
  </si>
  <si>
    <t>Tool</t>
  </si>
  <si>
    <t>st-close01</t>
  </si>
  <si>
    <t>st-close02</t>
  </si>
  <si>
    <t>st-close03</t>
  </si>
  <si>
    <t>st-close04a</t>
  </si>
  <si>
    <t>st-close04b</t>
  </si>
  <si>
    <t>st-policy02</t>
  </si>
  <si>
    <t>st-policy03</t>
  </si>
  <si>
    <t>st-policy07a</t>
  </si>
  <si>
    <t>st-policy07b</t>
  </si>
  <si>
    <t>st-policy07c</t>
  </si>
  <si>
    <t>RequirementId</t>
  </si>
  <si>
    <t>RequirementType</t>
  </si>
  <si>
    <t>Statement</t>
  </si>
  <si>
    <t>IsBlocking</t>
  </si>
  <si>
    <t>SatisfactionRecordCount</t>
  </si>
  <si>
    <t>StepBindingCount</t>
  </si>
  <si>
    <t>IsBoundToAnyStep</t>
  </si>
  <si>
    <t>HasEverBeenEvaluated</t>
  </si>
  <si>
    <t>NegativeOutcomeCount</t>
  </si>
  <si>
    <t>IsInoperativeControl</t>
  </si>
  <si>
    <t>IsDecorativeControl</t>
  </si>
  <si>
    <t>HasComputedWitness</t>
  </si>
  <si>
    <t>WitnessFieldName</t>
  </si>
  <si>
    <t>HasEverProducedNegative</t>
  </si>
  <si>
    <t>IsUnfalsifiedControl</t>
  </si>
  <si>
    <t>ClaimsAWitnessField</t>
  </si>
  <si>
    <t>NamedWitnessFieldExists</t>
  </si>
  <si>
    <t>DerivedHasComputedWitness</t>
  </si>
  <si>
    <t>WitnessClaimIsUnverified</t>
  </si>
  <si>
    <t>IsUnwitnessedBlockingControl</t>
  </si>
  <si>
    <t>WitnessFireCount</t>
  </si>
  <si>
    <t>WitnessHasNeverFired</t>
  </si>
  <si>
    <t>EvaluationSampleSize</t>
  </si>
  <si>
    <t>HasMeaningfulSample</t>
  </si>
  <si>
    <t>MinimumSampleForAssurance</t>
  </si>
  <si>
    <t>IsUntestedWitness</t>
  </si>
  <si>
    <t>IsEvidencedHoldingControl</t>
  </si>
  <si>
    <t>ControlAssuranceState</t>
  </si>
  <si>
    <t>UnexercisedBindingCount</t>
  </si>
  <si>
    <t>WitnessIsPartiallyScoped</t>
  </si>
  <si>
    <t>AccountableRole</t>
  </si>
  <si>
    <t>AccountableAgent</t>
  </si>
  <si>
    <t>HasNamedOwner</t>
  </si>
  <si>
    <t>IsOrphanedBlockingControl</t>
  </si>
  <si>
    <t>IsUnwatchedAndUnowned</t>
  </si>
  <si>
    <t>AttestationExposureNote</t>
  </si>
  <si>
    <t>UnwatchedUnownedFlag</t>
  </si>
  <si>
    <t>ControlledTerm</t>
  </si>
  <si>
    <t>UsesControlledVocabulary</t>
  </si>
  <si>
    <t>req-close-cutoff</t>
  </si>
  <si>
    <t>Close cutoff enforced</t>
  </si>
  <si>
    <t>Control</t>
  </si>
  <si>
    <t>No ledger entry may be posted after cutoff without controller-approved reopening.</t>
  </si>
  <si>
    <t>SOX control design</t>
  </si>
  <si>
    <t>VerificationOutcomes.SignalMatchesExpected</t>
  </si>
  <si>
    <t>vt-cutoff</t>
  </si>
  <si>
    <t>https://w3id.org/pko#Requirement</t>
  </si>
  <si>
    <t>req-close-balance</t>
  </si>
  <si>
    <t>Reconciled balance integrity</t>
  </si>
  <si>
    <t>Every material account must reconcile or carry an approved exception.</t>
  </si>
  <si>
    <t>Financial reporting accuracy</t>
  </si>
  <si>
    <t>VerificationOutcomes.IsUnbackedObservation</t>
  </si>
  <si>
    <t>vt-reconciliation</t>
  </si>
  <si>
    <t>req-close-separation</t>
  </si>
  <si>
    <t>Preparer/approver separation</t>
  </si>
  <si>
    <t>Governance</t>
  </si>
  <si>
    <t>The preparer may not be the final approver.</t>
  </si>
  <si>
    <t>Segregation of duties</t>
  </si>
  <si>
    <t>StepExecutions.ViolatesSeparationOfDuties</t>
  </si>
  <si>
    <t>vt-segregation</t>
  </si>
  <si>
    <t>req-close-evidence</t>
  </si>
  <si>
    <t>Evidence retention</t>
  </si>
  <si>
    <t>Retention</t>
  </si>
  <si>
    <t>Evidence must remain retrievable for 7 years.</t>
  </si>
  <si>
    <t>Audit and legal retention</t>
  </si>
  <si>
    <t>RequirementSatisfactions.IsBlockingAndUnmet</t>
  </si>
  <si>
    <t>vt-evidence-retention</t>
  </si>
  <si>
    <t>req-close-human-approval</t>
  </si>
  <si>
    <t>Human final approval</t>
  </si>
  <si>
    <t>Controller and CFO approvals must be human-confirmed.</t>
  </si>
  <si>
    <t>Accountability</t>
  </si>
  <si>
    <t>vt-human-approval-gate</t>
  </si>
  <si>
    <t>req-policy-source</t>
  </si>
  <si>
    <t>Approved source only</t>
  </si>
  <si>
    <t>Provenance</t>
  </si>
  <si>
    <t>Drafting may use only approved source resources and validated elicitation records.</t>
  </si>
  <si>
    <t>Semantic integrity</t>
  </si>
  <si>
    <t>req-policy-legal</t>
  </si>
  <si>
    <t>Legal review required</t>
  </si>
  <si>
    <t>Employment counsel must approve legal and privacy commitments.</t>
  </si>
  <si>
    <t>Legal accountability</t>
  </si>
  <si>
    <t>vt-legal-review</t>
  </si>
  <si>
    <t>req-policy-human-approval</t>
  </si>
  <si>
    <t>Human meaning approval</t>
  </si>
  <si>
    <t>An AI agent may draft, but a human policy owner must approve meaning.</t>
  </si>
  <si>
    <t>Human accountability</t>
  </si>
  <si>
    <t>req-policy-consent</t>
  </si>
  <si>
    <t>SMS consent required</t>
  </si>
  <si>
    <t>Privacy</t>
  </si>
  <si>
    <t>SMS may be sent only to recipients with active consent.</t>
  </si>
  <si>
    <t>Consent and privacy</t>
  </si>
  <si>
    <t>vt-consent</t>
  </si>
  <si>
    <t>req-policy-quiet-hours</t>
  </si>
  <si>
    <t>Quiet hours enforced</t>
  </si>
  <si>
    <t>Communication</t>
  </si>
  <si>
    <t>SMS delivery must not occur between 20:00 and 08:00 recipient-local time.</t>
  </si>
  <si>
    <t>Employee experience</t>
  </si>
  <si>
    <t>vt-quiet-hours</t>
  </si>
  <si>
    <t>req-policy-optout</t>
  </si>
  <si>
    <t>Opt-out text required</t>
  </si>
  <si>
    <t>Every SMS must include approved opt-out language.</t>
  </si>
  <si>
    <t>Consent management</t>
  </si>
  <si>
    <t>vt-optout</t>
  </si>
  <si>
    <t>req-policy-retention</t>
  </si>
  <si>
    <t>Communication evidence retention</t>
  </si>
  <si>
    <t>Rendered messages, approvals, recipient scope, and delivery results must be retained for 7 years.</t>
  </si>
  <si>
    <t>Auditability</t>
  </si>
  <si>
    <t>req-policy-accessibility</t>
  </si>
  <si>
    <t>Plain-language and accessibility</t>
  </si>
  <si>
    <t>Quality</t>
  </si>
  <si>
    <t>Email content must be readable, accessible, and include an alternate contact method.</t>
  </si>
  <si>
    <t>Inclusive communication</t>
  </si>
  <si>
    <t>vt-accessibility</t>
  </si>
  <si>
    <t>StepRequirementId</t>
  </si>
  <si>
    <t>Requirement</t>
  </si>
  <si>
    <t>RequirementIsBlocking</t>
  </si>
  <si>
    <t>BlockingStepKey</t>
  </si>
  <si>
    <t>StepWhenBlocking</t>
  </si>
  <si>
    <t>RequirementLacksWitness</t>
  </si>
  <si>
    <t>UnwitnessedStepKey</t>
  </si>
  <si>
    <t>SatisfactionCountForBinding</t>
  </si>
  <si>
    <t>BindingWasEverExercised</t>
  </si>
  <si>
    <t>IsUnexercisedBlockingBinding</t>
  </si>
  <si>
    <t>UnexercisedBindingRequirementKey</t>
  </si>
  <si>
    <t>sr-c01</t>
  </si>
  <si>
    <t>sr-c03a</t>
  </si>
  <si>
    <t>sr-c03b</t>
  </si>
  <si>
    <t>sr-c05</t>
  </si>
  <si>
    <t>sr-c06</t>
  </si>
  <si>
    <t>sr-c08</t>
  </si>
  <si>
    <t>sr-p03</t>
  </si>
  <si>
    <t>sr-p04</t>
  </si>
  <si>
    <t>sr-p05</t>
  </si>
  <si>
    <t>sr-p06</t>
  </si>
  <si>
    <t>sr-p07a</t>
  </si>
  <si>
    <t>sr-p07b</t>
  </si>
  <si>
    <t>sr-p07c</t>
  </si>
  <si>
    <t>sr-p07d</t>
  </si>
  <si>
    <t>sr-p08</t>
  </si>
  <si>
    <t>StepVerificationId</t>
  </si>
  <si>
    <t>VerificationKind</t>
  </si>
  <si>
    <t>SignalIdentifier</t>
  </si>
  <si>
    <t>ExpectedSignalValue</t>
  </si>
  <si>
    <t>verify-close-cutoff</t>
  </si>
  <si>
    <t>SignalVerification</t>
  </si>
  <si>
    <t>ledger-lock-state</t>
  </si>
  <si>
    <t>LOCKED</t>
  </si>
  <si>
    <t>The ERP reports the close period locked.</t>
  </si>
  <si>
    <t>https://w3id.org/pko#SignalVerification</t>
  </si>
  <si>
    <t>verify-feed-time</t>
  </si>
  <si>
    <t>max-feed-age-minutes</t>
  </si>
  <si>
    <t>15</t>
  </si>
  <si>
    <t>All source feeds are no more than 15 minutes old.</t>
  </si>
  <si>
    <t>verify-reconciliation</t>
  </si>
  <si>
    <t>unexplained-material-variance</t>
  </si>
  <si>
    <t>0</t>
  </si>
  <si>
    <t>No unexplained material variance remains.</t>
  </si>
  <si>
    <t>verify-controller</t>
  </si>
  <si>
    <t>ApprovalVerification</t>
  </si>
  <si>
    <t>controller-approval</t>
  </si>
  <si>
    <t>APPROVED</t>
  </si>
  <si>
    <t>Controller approval record exists.</t>
  </si>
  <si>
    <t>https://w3id.org/pko#StepVerification</t>
  </si>
  <si>
    <t>verify-cfo</t>
  </si>
  <si>
    <t>cfo-approval</t>
  </si>
  <si>
    <t>CFO approval record exists.</t>
  </si>
  <si>
    <t>verify-policy-source</t>
  </si>
  <si>
    <t>ProvenanceVerification</t>
  </si>
  <si>
    <t>unapproved-source-count</t>
  </si>
  <si>
    <t>Draft contains no unapproved source.</t>
  </si>
  <si>
    <t>verify-legal</t>
  </si>
  <si>
    <t>legal-approval</t>
  </si>
  <si>
    <t>Employment counsel approval exists.</t>
  </si>
  <si>
    <t>verify-policy-owner</t>
  </si>
  <si>
    <t>policy-owner-approval</t>
  </si>
  <si>
    <t>Human policy-owner approval exists.</t>
  </si>
  <si>
    <t>verify-sms-consent</t>
  </si>
  <si>
    <t>sms-without-consent-count</t>
  </si>
  <si>
    <t>No SMS recipient lacks active consent.</t>
  </si>
  <si>
    <t>verify-quiet-hours</t>
  </si>
  <si>
    <t>quiet-hours-violation-count</t>
  </si>
  <si>
    <t>No message was sent during quiet hours.</t>
  </si>
  <si>
    <t>verify-ack</t>
  </si>
  <si>
    <t>unresolved-recipient-count</t>
  </si>
  <si>
    <t>All recipients acknowledged or have an exception task.</t>
  </si>
  <si>
    <t>RationaleId</t>
  </si>
  <si>
    <t>AuthorityRole</t>
  </si>
  <si>
    <t>rat-close-separation</t>
  </si>
  <si>
    <t>Why the preparer cannot approve</t>
  </si>
  <si>
    <t>Independent review prevents self-certification and makes accountability legible.</t>
  </si>
  <si>
    <t>urn:effortless:pko-extension#Rationale</t>
  </si>
  <si>
    <t>rat-close-ai</t>
  </si>
  <si>
    <t>Why AI ranks but does not close variances</t>
  </si>
  <si>
    <t>The model accelerates triage; materiality, anomaly context, and acceptance remain human judgments.</t>
  </si>
  <si>
    <t>rat-policy-ai</t>
  </si>
  <si>
    <t>Why AI may draft but not approve</t>
  </si>
  <si>
    <t>Drafting is reversible assistance; legal and organizational commitments require human authority.</t>
  </si>
  <si>
    <t>rat-policy-multichannel</t>
  </si>
  <si>
    <t>Why both email and SMS exist</t>
  </si>
  <si>
    <t>Email carries complete policy context; consented SMS provides timely notice and a link without becoming the legal record.</t>
  </si>
  <si>
    <t>ExceptionId</t>
  </si>
  <si>
    <t>TriggerStep</t>
  </si>
  <si>
    <t>Handling</t>
  </si>
  <si>
    <t>ApprovalRole</t>
  </si>
  <si>
    <t>FallbackRole</t>
  </si>
  <si>
    <t>ActiveExceptionStepKey</t>
  </si>
  <si>
    <t>exc-cfo-unavailable</t>
  </si>
  <si>
    <t>CFO unavailable during close</t>
  </si>
  <si>
    <t>Delegate approval to the formally designated Acting CFO; never to the preparer.</t>
  </si>
  <si>
    <t>urn:effortless:pko-extension#Exception</t>
  </si>
  <si>
    <t>exc-ledger-outage</t>
  </si>
  <si>
    <t>ERP source unavailable</t>
  </si>
  <si>
    <t>Use a digitally signed, timestamped snapshot and open a blocking incident; do not silently substitute a spreadsheet.</t>
  </si>
  <si>
    <t>exc-no-sms-consent</t>
  </si>
  <si>
    <t>Recipient lacks SMS consent</t>
  </si>
  <si>
    <t>Suppress SMS and send approved email only.</t>
  </si>
  <si>
    <t>exc-unreachable</t>
  </si>
  <si>
    <t>Recipient unreachable</t>
  </si>
  <si>
    <t>Create an HR case and route to the employee's manager without marking acknowledgement complete.</t>
  </si>
  <si>
    <t>ResourceId</t>
  </si>
  <si>
    <t>ResourceKind</t>
  </si>
  <si>
    <t>ExternalUri</t>
  </si>
  <si>
    <t>CreatedAt</t>
  </si>
  <si>
    <t>Description</t>
  </si>
  <si>
    <t>ApprovalStatus</t>
  </si>
  <si>
    <t>IsApprovedSource</t>
  </si>
  <si>
    <t>res-close-sop-pdf</t>
  </si>
  <si>
    <t>Quarter-End Close SOP PDF</t>
  </si>
  <si>
    <t>Document</t>
  </si>
  <si>
    <t>doc://finance/close-sop-v1.0</t>
  </si>
  <si>
    <t>Controlled source document from which the initial procedure was extracted.</t>
  </si>
  <si>
    <t>http://www.w3.org/ns/dcat#Resource</t>
  </si>
  <si>
    <t>res-erp-api</t>
  </si>
  <si>
    <t>ERP Ledger API</t>
  </si>
  <si>
    <t>API</t>
  </si>
  <si>
    <t>api://erp/general-ledger/v3</t>
  </si>
  <si>
    <t>Live operational ledger and timestamp source.</t>
  </si>
  <si>
    <t>res-close-checklist</t>
  </si>
  <si>
    <t>Close Control Checklist</t>
  </si>
  <si>
    <t>Checklist</t>
  </si>
  <si>
    <t>doc://finance/close-checklist-v1.1</t>
  </si>
  <si>
    <t>Approved close evidence checklist.</t>
  </si>
  <si>
    <t>res-policy-source</t>
  </si>
  <si>
    <t>Approved Workforce Policy Source</t>
  </si>
  <si>
    <t>doc://people/policy-remote-work-v3</t>
  </si>
  <si>
    <t>Approved policy text and change rationale.</t>
  </si>
  <si>
    <t>res-consent-registry</t>
  </si>
  <si>
    <t>Employee Communication Consent Registry</t>
  </si>
  <si>
    <t>Dataset</t>
  </si>
  <si>
    <t>data://hr/communication-consent</t>
  </si>
  <si>
    <t>Live channel consent and preference data.</t>
  </si>
  <si>
    <t>res-email-template</t>
  </si>
  <si>
    <t>Employee Policy Email Template</t>
  </si>
  <si>
    <t>Template</t>
  </si>
  <si>
    <t>template://people/policy-email-v2</t>
  </si>
  <si>
    <t>Approved full-context email template.</t>
  </si>
  <si>
    <t>res-sms-template</t>
  </si>
  <si>
    <t>Employee Policy SMS Template</t>
  </si>
  <si>
    <t>template://people/policy-sms-v2</t>
  </si>
  <si>
    <t>Approved SMS template with opt-out text.</t>
  </si>
  <si>
    <t>res-change-ticket</t>
  </si>
  <si>
    <t>Policy Change Ticket HR-4821</t>
  </si>
  <si>
    <t>OperationalRecord</t>
  </si>
  <si>
    <t>ticket://hr/HR-4821</t>
  </si>
  <si>
    <t>Operational record that initiated and tracks the policy change.</t>
  </si>
  <si>
    <t>ProcedureResourceId</t>
  </si>
  <si>
    <t>Resource</t>
  </si>
  <si>
    <t>Relation</t>
  </si>
  <si>
    <t>pr-close-source</t>
  </si>
  <si>
    <t>wasExtractedFrom</t>
  </si>
  <si>
    <t>pr-close-api</t>
  </si>
  <si>
    <t>references</t>
  </si>
  <si>
    <t>pr-close-check</t>
  </si>
  <si>
    <t>pr-policy-source</t>
  </si>
  <si>
    <t>pr-policy-consent</t>
  </si>
  <si>
    <t>pr-policy-email</t>
  </si>
  <si>
    <t>pr-policy-sms</t>
  </si>
  <si>
    <t>pr-policy-ticket</t>
  </si>
  <si>
    <t>ElicitationSessionId</t>
  </si>
  <si>
    <t>Method</t>
  </si>
  <si>
    <t>StartedAt</t>
  </si>
  <si>
    <t>EndedAt</t>
  </si>
  <si>
    <t>PractitionerAgent</t>
  </si>
  <si>
    <t>FacilitatorAgent</t>
  </si>
  <si>
    <t>Summary</t>
  </si>
  <si>
    <t>DaysSinceElicited</t>
  </si>
  <si>
    <t>IsSingleWitnessMethod</t>
  </si>
  <si>
    <t>PractitionerIsStillEngaged</t>
  </si>
  <si>
    <t>ValidFragmentsProduced</t>
  </si>
  <si>
    <t>IsHighYieldSession</t>
  </si>
  <si>
    <t>IsConcentratedSingleWitness</t>
  </si>
  <si>
    <t>IsStaleConcentratedWitness</t>
  </si>
  <si>
    <t>ConcentratedSessionVersionKey</t>
  </si>
  <si>
    <t>elicit-close-shadow</t>
  </si>
  <si>
    <t>Shadowing</t>
  </si>
  <si>
    <t>Observed actual variance investigation and captured timestamp-related failure mode.</t>
  </si>
  <si>
    <t>http://www.w3.org/ns/prov#Activity</t>
  </si>
  <si>
    <t>elicit-policy-workshop</t>
  </si>
  <si>
    <t>FacilitatedWorkshop</t>
  </si>
  <si>
    <t>Mapped policy drafting, legal review, channel constraints, and acknowledgement exceptions.</t>
  </si>
  <si>
    <t>elicit-policy-interview</t>
  </si>
  <si>
    <t>PractitionerInterview</t>
  </si>
  <si>
    <t>Captured legal rationale and the boundary between AI drafting and human commitment.</t>
  </si>
  <si>
    <t>KnowledgeFragmentId</t>
  </si>
  <si>
    <t>KnowledgeForm</t>
  </si>
  <si>
    <t>ElicitationSession</t>
  </si>
  <si>
    <t>SourceAgent</t>
  </si>
  <si>
    <t>Confidence</t>
  </si>
  <si>
    <t>OwnerRole</t>
  </si>
  <si>
    <t>SourceAgentIsStillEngaged</t>
  </si>
  <si>
    <t>SourceAgentKind</t>
  </si>
  <si>
    <t>HasHumanSource</t>
  </si>
  <si>
    <t>HasOrphanedProvenance</t>
  </si>
  <si>
    <t>IsUndefendableTacitClaim</t>
  </si>
  <si>
    <t>IsApproved</t>
  </si>
  <si>
    <t>IsWithinValidityWindow</t>
  </si>
  <si>
    <t>IsReliedUpon</t>
  </si>
  <si>
    <t>StepProcedureVersionStatus</t>
  </si>
  <si>
    <t>IsAttachedToLiveVersion</t>
  </si>
  <si>
    <t>IsUnapprovedButReliedOn</t>
  </si>
  <si>
    <t>EvidenceAgeDays</t>
  </si>
  <si>
    <t>HasRecordedElicitation</t>
  </si>
  <si>
    <t>IsFromSingleWitness</t>
  </si>
  <si>
    <t>EvidenceExpiryDays</t>
  </si>
  <si>
    <t>EvidenceHasExpired</t>
  </si>
  <si>
    <t>OwnerAgent</t>
  </si>
  <si>
    <t>IsAwaitingApproval</t>
  </si>
  <si>
    <t>OwnerIsMe</t>
  </si>
  <si>
    <t>IsMyUnfinishedApproval</t>
  </si>
  <si>
    <t>IsInvokedByAnException</t>
  </si>
  <si>
    <t>HasOperationalReliance</t>
  </si>
  <si>
    <t>IsUnapprovedAndOperationallyLive</t>
  </si>
  <si>
    <t>AgeDays</t>
  </si>
  <si>
    <t>IsLowConfidence</t>
  </si>
  <si>
    <t>OwningVersionCadenceDays</t>
  </si>
  <si>
    <t>ExceedsOwningCadence</t>
  </si>
  <si>
    <t>IsAgingLowConfidenceClaim</t>
  </si>
  <si>
    <t>OwnerRoleAgentKind</t>
  </si>
  <si>
    <t>IsHumanOwned</t>
  </si>
  <si>
    <t>IsAiValidatedByAi</t>
  </si>
  <si>
    <t>ReviewCadenceDays</t>
  </si>
  <si>
    <t>IsOverdueForReview</t>
  </si>
  <si>
    <t>PredatesCurrentRoleHolder</t>
  </si>
  <si>
    <t>OwnerRoleAssignmentValidFrom</t>
  </si>
  <si>
    <t>LastReviewedAt</t>
  </si>
  <si>
    <t>FragilitySignalCount</t>
  </si>
  <si>
    <t>IsCompoundFragile</t>
  </si>
  <si>
    <t>IsSinglePointOfFailure</t>
  </si>
  <si>
    <t>IsExpiringSinglePointOfFailure</t>
  </si>
  <si>
    <t>CompoundFragileVersionKey</t>
  </si>
  <si>
    <t>ValidFragmentSessionKey</t>
  </si>
  <si>
    <t>ConsumingStepIsSoftwareAssigned</t>
  </si>
  <si>
    <t>ConsumingStepAgentKind</t>
  </si>
  <si>
    <t>IsUnapprovedAndMachineConsumed</t>
  </si>
  <si>
    <t>IsUnapprovedAndHumanConsumed</t>
  </si>
  <si>
    <t>MachineConsumedUnapprovedVersionKey</t>
  </si>
  <si>
    <t>HasReviewRecord</t>
  </si>
  <si>
    <t>DaysSinceActualReview</t>
  </si>
  <si>
    <t>IsUnreviewedSinceAuthoring</t>
  </si>
  <si>
    <t>IsGenuinelyOverdue</t>
  </si>
  <si>
    <t>ReviewRecencyIsInferred</t>
  </si>
  <si>
    <t>InferenceDisagreesWithRecord</t>
  </si>
  <si>
    <t>GenuinelyOverdueVersionKey</t>
  </si>
  <si>
    <t>RatifiedBoundaryCount</t>
  </si>
  <si>
    <t>RelianceSurfaceCount</t>
  </si>
  <si>
    <t>DaysAwaitingMyApproval</t>
  </si>
  <si>
    <t>IsHighBlastRadiusUnapproved</t>
  </si>
  <si>
    <t>IsLongUnapproved</t>
  </si>
  <si>
    <t>UnapprovedLoadBearingVersionKey</t>
  </si>
  <si>
    <t>OwnerRoleIsVacated</t>
  </si>
  <si>
    <t>IsOrphanedByRole</t>
  </si>
  <si>
    <t>ValidFragmentVersionKey</t>
  </si>
  <si>
    <t>kf-close-fx-time</t>
  </si>
  <si>
    <t>Tacit</t>
  </si>
  <si>
    <t>When FX variance spikes near a daylight-saving cutover, compare each feed's source timestamp before investigating economics.</t>
  </si>
  <si>
    <t>High</t>
  </si>
  <si>
    <t>urn:effortless:pko-extension#KnowledgeFragment</t>
  </si>
  <si>
    <t>kf-close-top-ten</t>
  </si>
  <si>
    <t>Implicit</t>
  </si>
  <si>
    <t>The controller normally reviews the ten largest unexplained variances even when each is below the individual materiality threshold.</t>
  </si>
  <si>
    <t>Medium</t>
  </si>
  <si>
    <t>kf-close-retention</t>
  </si>
  <si>
    <t>Explicit</t>
  </si>
  <si>
    <t>Close evidence is retained for seven years and must remain linked to the execution that produced it.</t>
  </si>
  <si>
    <t>kf-close-judgment</t>
  </si>
  <si>
    <t>SituatedJudgment</t>
  </si>
  <si>
    <t>Escalate a variance when its pattern is anomalous or recurring, even if the net amount is below the numeric threshold.</t>
  </si>
  <si>
    <t>kf-policy-ai-boundary</t>
  </si>
  <si>
    <t>AI may draft from approved sources but may not create new legal commitments or approve meaning.</t>
  </si>
  <si>
    <t>kf-policy-channel</t>
  </si>
  <si>
    <t>Employees respond faster to concise SMS notices, but disputes are resolved against the complete approved email and policy record.</t>
  </si>
  <si>
    <t>kf-policy-manager-route</t>
  </si>
  <si>
    <t>When an employee is unreachable for 48 hours, the communications team normally routes a case to the employee's manager.</t>
  </si>
  <si>
    <t>Reviewed</t>
  </si>
  <si>
    <t>KnowledgeGapId</t>
  </si>
  <si>
    <t>Severity</t>
  </si>
  <si>
    <t>BlockingKind</t>
  </si>
  <si>
    <t>IdentifiedAt</t>
  </si>
  <si>
    <t>ResolutionPlan</t>
  </si>
  <si>
    <t>IsOpen</t>
  </si>
  <si>
    <t>OpenGapVersionKey</t>
  </si>
  <si>
    <t>IsOpenAndBlocking</t>
  </si>
  <si>
    <t>DaysOpen</t>
  </si>
  <si>
    <t>ToleranceDays</t>
  </si>
  <si>
    <t>IsOverdueGap</t>
  </si>
  <si>
    <t>OwnerIsStillEngaged</t>
  </si>
  <si>
    <t>HasResolutionPlan</t>
  </si>
  <si>
    <t>IsAbandonedUnknown</t>
  </si>
  <si>
    <t>OpenBlockingGapVersionKey</t>
  </si>
  <si>
    <t>IsOwnerlessOpenGap</t>
  </si>
  <si>
    <t>gap-close-dual-outage</t>
  </si>
  <si>
    <t>No validated fallback exists for simultaneous ERP and signed-snapshot repository outage.</t>
  </si>
  <si>
    <t>Blocking</t>
  </si>
  <si>
    <t>Resolved</t>
  </si>
  <si>
    <t>Resolved by adding offline signed export escrow.</t>
  </si>
  <si>
    <t>urn:effortless:pko-extension#KnowledgeGap</t>
  </si>
  <si>
    <t>gap-policy-delivery-receipts</t>
  </si>
  <si>
    <t>SMS provider delivery receipts are not always final for ported numbers.</t>
  </si>
  <si>
    <t>NonBlocking</t>
  </si>
  <si>
    <t>Open</t>
  </si>
  <si>
    <t>Pilot secondary delivery-status reconciliation.</t>
  </si>
  <si>
    <t>gap-close-sod-unwitnessed</t>
  </si>
  <si>
    <t>req-close-separation stated the preparer may not be the final approver, but nothing evaluated it. The control existed only as prose in a Requirements row, so a violation would have been invisible.</t>
  </si>
  <si>
    <t>Resolved by StepExecutions.ViolatesSeparationOfDuties, which counts preparation steps in the same procedure execution performed by the agent now approving. Verified by staging a breach (maria-chen approving se-close05 after preparing se-close03): the witness read TRUE. The staged breach was reverted; the control now reads FALSE because separation genuinely holds, not because nothing is checking.</t>
  </si>
  <si>
    <t>gap-close-cadence-unmeasured</t>
  </si>
  <si>
    <t>StewardshipAssignments promised a 90-day review cadence for close-v1.1.0 and 60 days for policy-v1.0.0. Both the promise and the actual review history were in the model and nothing compared them, so a lapsed cadence was invisible.</t>
  </si>
  <si>
    <t>Resolved by ReviewEvents.ExceedsPromisedCadence and PromiseAndBehaviorDisagree, which compare DaysSinceReviewed against the cadence promised by the version's stewardship assignment. Surfacing the real Q1 review (review-close-q1) showed the witness firing on genuine history: 121 days elapsed against a 90-day promise. The Q2 review closed the lapse, so current state reads compliant.</t>
  </si>
  <si>
    <t>gap-roles-unauditable-holders</t>
  </si>
  <si>
    <t>Five of twelve roles were held only by a denormalized Roles.CurrentAgent pointer with no RoleAssignments row: communications-manager, knowledge-authority, process-steward, close-automation, policy-drafting-agent. The convenience pointer claimed a holder the auditable time-bounded table could not confirm, so provenance for anything those roles touched was unverifiable.</t>
  </si>
  <si>
    <t>Surfaced by Agents.IsStillEngaged, which counts CURRENT RoleAssignments rather than trusting Roles.CurrentAgent. amina-yusuf read as not engaged, which made kf-policy-channel an IsUndefendableTacitClaim. Resolved by recording the five missing time-bounded assignments. The witness stays: it is the only thing that distinguishes a real appointment from a denormalized pointer.</t>
  </si>
  <si>
    <t>gap-policy-consent-unenforced</t>
  </si>
  <si>
    <t>comm-sms-policy set ConsentRequired=true and exc-no-sms-consent documented the suppress-and-email handling, but no per-recipient delivery record existed, so a send to a non-consenting recipient was structurally invisible. req-policy-consent was a blocking control with zero satisfaction records.</t>
  </si>
  <si>
    <t>Critical</t>
  </si>
  <si>
    <t>Resolved by the Recipients and MessageDeliveries tables plus MessageDeliveries.IsConsentViolation. Proven on md-003, a real SMS to a never-consented recipient, which the witness flags while correctly NOT flagging md-004 (consent revoked, properly suppressed under exc-no-sms-consent) or md-006 (unreachable, failed, HR case opened). Recipient re-consented; the delivery row is retained as evidence.</t>
  </si>
  <si>
    <t>gap-policy-quiet-hours-unenforced</t>
  </si>
  <si>
    <t>comm-sms-policy defined a 20:00-08:00 quiet window and nothing compared a send time against it.</t>
  </si>
  <si>
    <t>Resolved by MessageDeliveries.IsInsideQuietWindow and IsQuietHoursViolation, proven on md-005 (21:00 send). QuietHoursStartHour is stored rather than parsed: VALUE(LEFT("20:00",2)) does not translate — the transpiler casts the string to a timestamp and the view errors.</t>
  </si>
  <si>
    <t>gap-policy-unauthorized-sends</t>
  </si>
  <si>
    <t>MessageTemplates carried Status="Approved" as a bare string with no approval record behind it, and nothing evaluated a send BEFORE transmission. Every gate the communication policies define — consent, quiet hours, length, opt-out, approval — was checkable only after the fact, if at all.</t>
  </si>
  <si>
    <t>Resolved by the SendIntents table and IsClearedToSend, which gates a proposed send on permission, timing, content, and authorization before it happens, and names the blocking gate. Proven across seven intents: Timing blocks a 21:00 send, Content blocks an oversized body and one missing the STOP phrase, Permission blocks an unreachable recipient. Authorization blocked ALL sends until tmpl-policy-sms received a real approval record (tap-sms-001) — the pipeline had been transmitting under a template nobody had attributably approved.</t>
  </si>
  <si>
    <t>FaqId</t>
  </si>
  <si>
    <t>Category</t>
  </si>
  <si>
    <t>TargetKind</t>
  </si>
  <si>
    <t>Question</t>
  </si>
  <si>
    <t>Answer</t>
  </si>
  <si>
    <t>faq-close-workpapers</t>
  </si>
  <si>
    <t>Storage</t>
  </si>
  <si>
    <t>Where are close workpapers stored?</t>
  </si>
  <si>
    <t>In the controlled close evidence repository linked from the execution record; email attachments are not the system of record.</t>
  </si>
  <si>
    <t>https://w3id.org/pko#FrequentlyAskedQuestion</t>
  </si>
  <si>
    <t>faq-policy-ai</t>
  </si>
  <si>
    <t>Authority</t>
  </si>
  <si>
    <t>Can the drafting AI approve a workforce policy?</t>
  </si>
  <si>
    <t>No. It may draft from approved sources, but a human policy owner and legal reviewer must approve the commitments.</t>
  </si>
  <si>
    <t>faq-policy-optout</t>
  </si>
  <si>
    <t>Consent</t>
  </si>
  <si>
    <t>What happens when an employee opts out of SMS?</t>
  </si>
  <si>
    <t>The pipeline suppresses SMS and continues through the approved email channel.</t>
  </si>
  <si>
    <t>ExplanationId</t>
  </si>
  <si>
    <t>exp-close-variance</t>
  </si>
  <si>
    <t>Variance escalation explanation</t>
  </si>
  <si>
    <t>Explains the derived path from source timestamps, materiality, recurrence, and anomaly classification to the escalation decision.</t>
  </si>
  <si>
    <t>https://w3id.org/pko#Explanation</t>
  </si>
  <si>
    <t>exp-policy-channel</t>
  </si>
  <si>
    <t>Channel eligibility explanation</t>
  </si>
  <si>
    <t>Explains why each recipient received email, SMS, both, or an exception task based on consent and channel policy.</t>
  </si>
  <si>
    <t>ProcedureExecutionId</t>
  </si>
  <si>
    <t>ExecutionStatus</t>
  </si>
  <si>
    <t>ExecutedByAgent</t>
  </si>
  <si>
    <t>Context</t>
  </si>
  <si>
    <t>OperationalRecordUri</t>
  </si>
  <si>
    <t>ExpectedStepCount</t>
  </si>
  <si>
    <t>CompletedStepCount</t>
  </si>
  <si>
    <t>ControlBreachCount</t>
  </si>
  <si>
    <t>LateStepCount</t>
  </si>
  <si>
    <t>IsStructurallyComplete</t>
  </si>
  <si>
    <t>DivergedFromSpecification</t>
  </si>
  <si>
    <t>AllBlockingControlsEvaluated</t>
  </si>
  <si>
    <t>UnevaluatedBlockingTotal</t>
  </si>
  <si>
    <t>SeparationOfDutiesHeld</t>
  </si>
  <si>
    <t>SeparationViolationCount</t>
  </si>
  <si>
    <t>IsAttestationReady</t>
  </si>
  <si>
    <t>AttestationBlockerSummary</t>
  </si>
  <si>
    <t>ExecutedVersionIsFit</t>
  </si>
  <si>
    <t>SignedAgainstUnfitVersion</t>
  </si>
  <si>
    <t>AssertedOnlyControlCount</t>
  </si>
  <si>
    <t>AssuranceIsMostlyAsserted</t>
  </si>
  <si>
    <t>UnreachableHandlingFailureCount</t>
  </si>
  <si>
    <t>RetentionBreachCount</t>
  </si>
  <si>
    <t>ClearedLegalReviewCount</t>
  </si>
  <si>
    <t>HasClearedLegalReview</t>
  </si>
  <si>
    <t>AbandonedFailureCount</t>
  </si>
  <si>
    <t>DeliveredCount</t>
  </si>
  <si>
    <t>TotalDeliveryAttemptCount</t>
  </si>
  <si>
    <t>HasAbandonedFailures</t>
  </si>
  <si>
    <t>MishandledRefusalCount</t>
  </si>
  <si>
    <t>UncleanStepCount</t>
  </si>
  <si>
    <t>RanClean</t>
  </si>
  <si>
    <t>CountOfApprovalExecutions</t>
  </si>
  <si>
    <t>HasHumanApproval</t>
  </si>
  <si>
    <t>CountOfDeliveryExecutions</t>
  </si>
  <si>
    <t>HasDelivered</t>
  </si>
  <si>
    <t>DeliveredWithoutApproval</t>
  </si>
  <si>
    <t>InvalidApprovalCount</t>
  </si>
  <si>
    <t>ApprovalChainIsComplete</t>
  </si>
  <si>
    <t>VacuouslyCleanStepCount</t>
  </si>
  <si>
    <t>PreparationStepCount</t>
  </si>
  <si>
    <t>ApprovalStepCount</t>
  </si>
  <si>
    <t>SeparationWasTestable</t>
  </si>
  <si>
    <t>SeparationHeldUnderTest</t>
  </si>
  <si>
    <t>SeparationIsVacuouslyGreen</t>
  </si>
  <si>
    <t>SeparationAssuranceNote</t>
  </si>
  <si>
    <t>UngovernedDivergenceCount</t>
  </si>
  <si>
    <t>DivergenceWasFullyGoverned</t>
  </si>
  <si>
    <t>ComputedlyWitnessedControlCount</t>
  </si>
  <si>
    <t>EvaluatedControlCount</t>
  </si>
  <si>
    <t>ComputedAssuranceRatio</t>
  </si>
  <si>
    <t>InterestedPartyAssertionCount</t>
  </si>
  <si>
    <t>AssuranceGrade</t>
  </si>
  <si>
    <t>AttestationWouldBeWeaklyBased</t>
  </si>
  <si>
    <t>IndependentHumanObservationCount</t>
  </si>
  <si>
    <t>HasAnyIndependentObservation</t>
  </si>
  <si>
    <t>SelfAttestedApprovalCount</t>
  </si>
  <si>
    <t>AssuranceChainIsCircular</t>
  </si>
  <si>
    <t>LatestAttestationInstant</t>
  </si>
  <si>
    <t>HasBeenAttested</t>
  </si>
  <si>
    <t>AttestationCount</t>
  </si>
  <si>
    <t>PostAttestationScoreCount</t>
  </si>
  <si>
    <t>BasisChangedAfterSignature</t>
  </si>
  <si>
    <t>RequiresReAttestation</t>
  </si>
  <si>
    <t>IntendedRecipientCount</t>
  </si>
  <si>
    <t>ReachedRecipientCount</t>
  </si>
  <si>
    <t>SilentlyDroppedCount</t>
  </si>
  <si>
    <t>DeliveryYieldPercent</t>
  </si>
  <si>
    <t>CampaignSilentlyLostAudience</t>
  </si>
  <si>
    <t>UnrecordedRefusalCount</t>
  </si>
  <si>
    <t>HasUnrecordedRefusals</t>
  </si>
  <si>
    <t>IndependentlyConfirmedIntentCount</t>
  </si>
  <si>
    <t>SendDecisionsAreEntirelySelfWitnessed</t>
  </si>
  <si>
    <t>exec-close-2026-q2</t>
  </si>
  <si>
    <t>Completed</t>
  </si>
  <si>
    <t>Quarter ended 2026-06-30</t>
  </si>
  <si>
    <t>execution://finance/close/2026-q2</t>
  </si>
  <si>
    <t>https://w3id.org/pko#ProcedureExecution</t>
  </si>
  <si>
    <t>exec-policy-hr4821</t>
  </si>
  <si>
    <t>InProgress</t>
  </si>
  <si>
    <t>Remote-work policy revision HR-4821</t>
  </si>
  <si>
    <t>execution://people/policy/HR-4821</t>
  </si>
  <si>
    <t>StepExecutionId</t>
  </si>
  <si>
    <t>ProcedureExecution</t>
  </si>
  <si>
    <t>VerificationResult</t>
  </si>
  <si>
    <t>Deviation</t>
  </si>
  <si>
    <t>ActualDurationMinutes</t>
  </si>
  <si>
    <t>IsLate</t>
  </si>
  <si>
    <t>BlockingUnmetCount</t>
  </si>
  <si>
    <t>BlockingUnmetCountSafe</t>
  </si>
  <si>
    <t>ProceededPastBlockingControl</t>
  </si>
  <si>
    <t>ExpectedBlockingCount</t>
  </si>
  <si>
    <t>EvaluatedBlockingCount</t>
  </si>
  <si>
    <t>UnevaluatedBlockingCount</t>
  </si>
  <si>
    <t>HasUnevaluatedBlockingControl</t>
  </si>
  <si>
    <t>StaleAuthoritativeSourceCount</t>
  </si>
  <si>
    <t>RanOnStaleAuthoritativeSource</t>
  </si>
  <si>
    <t>HasDeviationNote</t>
  </si>
  <si>
    <t>IsLateAndUnexplained</t>
  </si>
  <si>
    <t>AvailableExceptionCountForStep</t>
  </si>
  <si>
    <t>HadUninvokedExceptionAvailable</t>
  </si>
  <si>
    <t>ExpectedVerificationCount</t>
  </si>
  <si>
    <t>PerformedVerificationCount</t>
  </si>
  <si>
    <t>SkippedVerificationCount</t>
  </si>
  <si>
    <t>HasSkippedVerification</t>
  </si>
  <si>
    <t>ClaimsPassWithoutEvidence</t>
  </si>
  <si>
    <t>StepIsPreparation</t>
  </si>
  <si>
    <t>StepIsApproval</t>
  </si>
  <si>
    <t>PreparerAgentKey</t>
  </si>
  <si>
    <t>ApproverAgentKey</t>
  </si>
  <si>
    <t>PreparedByThisAgentCount</t>
  </si>
  <si>
    <t>ViolatesSeparationOfDuties</t>
  </si>
  <si>
    <t>RequiredRoleForStep</t>
  </si>
  <si>
    <t>ExecutorRoleKey</t>
  </si>
  <si>
    <t>ExecutorAuthorityCount</t>
  </si>
  <si>
    <t>ExecutorHeldRequiredRole</t>
  </si>
  <si>
    <t>IsUnauthorizedApproval</t>
  </si>
  <si>
    <t>CompletedExecutionKey</t>
  </si>
  <si>
    <t>ControlBreachExecutionKey</t>
  </si>
  <si>
    <t>LateExecutionKey</t>
  </si>
  <si>
    <t>ExecutorAgentKind</t>
  </si>
  <si>
    <t>ExecutorIsHuman</t>
  </si>
  <si>
    <t>StepRequiresHumanConfirmation</t>
  </si>
  <si>
    <t>NonHumanRanHumanStep</t>
  </si>
  <si>
    <t>NonHumanApproval</t>
  </si>
  <si>
    <t>UnevaluatedBlockingExecutionKey</t>
  </si>
  <si>
    <t>SeparationViolationExecutionKey</t>
  </si>
  <si>
    <t>SelfWitnessedVerificationCount</t>
  </si>
  <si>
    <t>UnbackedVerificationCount</t>
  </si>
  <si>
    <t>ApprovalRestsOnSelfAttestation</t>
  </si>
  <si>
    <t>ExceptionInvocationCount</t>
  </si>
  <si>
    <t>RanUnderException</t>
  </si>
  <si>
    <t>IsCompleted</t>
  </si>
  <si>
    <t>IsVerificationPassed</t>
  </si>
  <si>
    <t>IsLegalReviewStep</t>
  </si>
  <si>
    <t>ClearedLegalReviewKey</t>
  </si>
  <si>
    <t>RoleCurrentAgent</t>
  </si>
  <si>
    <t>ExecutorIsDesignatedAgent</t>
  </si>
  <si>
    <t>InputsWereFreshAtRun</t>
  </si>
  <si>
    <t>RanOnStaleInputs</t>
  </si>
  <si>
    <t>UnresolvedIssueCount</t>
  </si>
  <si>
    <t>HasDeviation</t>
  </si>
  <si>
    <t>IsClean</t>
  </si>
  <si>
    <t>ProcedureExecutionWhenUnclean</t>
  </si>
  <si>
    <t>EvaluatedRequirementCount</t>
  </si>
  <si>
    <t>RequiredBlockingCount</t>
  </si>
  <si>
    <t>HasUnevaluatedBlockingRequirement</t>
  </si>
  <si>
    <t>ExecutingAgentKind</t>
  </si>
  <si>
    <t>WasExecutedBySoftware</t>
  </si>
  <si>
    <t>StepIsSoftwareAssigned</t>
  </si>
  <si>
    <t>SoftwareDidHumanWork</t>
  </si>
  <si>
    <t>IsApprovalExecution</t>
  </si>
  <si>
    <t>IsVerified</t>
  </si>
  <si>
    <t>UnconfirmedNonHumanDecisionCount</t>
  </si>
  <si>
    <t>HumanConfirmationMissing</t>
  </si>
  <si>
    <t>DraftedFromUnusableSource</t>
  </si>
  <si>
    <t>InputsWereUsable</t>
  </si>
  <si>
    <t>SoftwareExecutionStepKey</t>
  </si>
  <si>
    <t>StepControlKind</t>
  </si>
  <si>
    <t>UnfalsifiedClearanceCount</t>
  </si>
  <si>
    <t>AllClearancesAreUnfalsified</t>
  </si>
  <si>
    <t>StaleAtRunCount</t>
  </si>
  <si>
    <t>WasStaleWhenIRanIt</t>
  </si>
  <si>
    <t>StalenessAnswerIsTenseDependent</t>
  </si>
  <si>
    <t>HasAnyDeclaredCheck</t>
  </si>
  <si>
    <t>PerformedCheckCount</t>
  </si>
  <si>
    <t>DeclaredCheckCount</t>
  </si>
  <si>
    <t>IsUncheckedByDesign</t>
  </si>
  <si>
    <t>IsVacuouslyClean</t>
  </si>
  <si>
    <t>IsSubstantivelyClean</t>
  </si>
  <si>
    <t>VacuouslyCleanExecutionKey</t>
  </si>
  <si>
    <t>UncorroboratedPassCount</t>
  </si>
  <si>
    <t>EvidencePositionIsWeak</t>
  </si>
  <si>
    <t>PreparationExecutionKey</t>
  </si>
  <si>
    <t>ApprovalExecutionKey</t>
  </si>
  <si>
    <t>HasGoverningInstrument</t>
  </si>
  <si>
    <t>HasApprovedChangeCoverage</t>
  </si>
  <si>
    <t>VersionOfStep</t>
  </si>
  <si>
    <t>IsUngovernedDivergence</t>
  </si>
  <si>
    <t>UngovernedDivergenceExecutionKey</t>
  </si>
  <si>
    <t>SelfAttestedApprovalExecutionKey</t>
  </si>
  <si>
    <t>se-close01</t>
  </si>
  <si>
    <t>PASS</t>
  </si>
  <si>
    <t>https://w3id.org/pko#StepExecution</t>
  </si>
  <si>
    <t>se-close02</t>
  </si>
  <si>
    <t>WARN</t>
  </si>
  <si>
    <t>One source feed was 17 minutes old; controller approved rerun.</t>
  </si>
  <si>
    <t>se-close03</t>
  </si>
  <si>
    <t>se-close04</t>
  </si>
  <si>
    <t>Human analyst confirmed all material escalations.</t>
  </si>
  <si>
    <t>se-close05</t>
  </si>
  <si>
    <t>se-close06</t>
  </si>
  <si>
    <t>se-close07</t>
  </si>
  <si>
    <t>se-close08</t>
  </si>
  <si>
    <t>Retrospective captured timestamp failure mode.</t>
  </si>
  <si>
    <t>se-policy01</t>
  </si>
  <si>
    <t>se-policy02</t>
  </si>
  <si>
    <t>se-policy03</t>
  </si>
  <si>
    <t>se-policy04</t>
  </si>
  <si>
    <t>Legal review in progress.</t>
  </si>
  <si>
    <t>RequirementSatisfactionId</t>
  </si>
  <si>
    <t>StepExecution</t>
  </si>
  <si>
    <t>SatisfactionLevel</t>
  </si>
  <si>
    <t>Evidence</t>
  </si>
  <si>
    <t>EvaluatedByAgent</t>
  </si>
  <si>
    <t>EvaluatedAt</t>
  </si>
  <si>
    <t>IsFullySatisfied</t>
  </si>
  <si>
    <t>IsBlockingAndUnmet</t>
  </si>
  <si>
    <t>BlockingUnmetStepKey</t>
  </si>
  <si>
    <t>BlockingSatisfactionStepKey</t>
  </si>
  <si>
    <t>NegativeOutcomeRequirementKey</t>
  </si>
  <si>
    <t>EvaluatorAgentKind</t>
  </si>
  <si>
    <t>NonHumanEvaluatedHumanControl</t>
  </si>
  <si>
    <t>RequirementHasComputedWitness</t>
  </si>
  <si>
    <t>IsAssertedOnly</t>
  </si>
  <si>
    <t>AssertedOnlyExecutionKey</t>
  </si>
  <si>
    <t>ParentProcedureExecution</t>
  </si>
  <si>
    <t>StepExecutionWhenScored</t>
  </si>
  <si>
    <t>IsHumanEvaluated</t>
  </si>
  <si>
    <t>RequirementIsApprovalType</t>
  </si>
  <si>
    <t>IsInvalidApproval</t>
  </si>
  <si>
    <t>ProcedureExecutionOfSatisfaction</t>
  </si>
  <si>
    <t>RunWhenInvalidApproval</t>
  </si>
  <si>
    <t>RequirementIsUnfalsified</t>
  </si>
  <si>
    <t>IsClearanceByUnfalsifiedControl</t>
  </si>
  <si>
    <t>UnfalsifiedClearanceStepKey</t>
  </si>
  <si>
    <t>SpecStepOfExecution</t>
  </si>
  <si>
    <t>BindingKey</t>
  </si>
  <si>
    <t>ScoredStepExecutorAgent</t>
  </si>
  <si>
    <t>EvaluatorIsStepExecutor</t>
  </si>
  <si>
    <t>RunOwnerAgent</t>
  </si>
  <si>
    <t>EvaluatorOwnsTheRun</t>
  </si>
  <si>
    <t>IsInterestedPartyAssertion</t>
  </si>
  <si>
    <t>HasWrittenEvidence</t>
  </si>
  <si>
    <t>IsBareAssertion</t>
  </si>
  <si>
    <t>InterestedAssertionExecutionKey</t>
  </si>
  <si>
    <t>IsComputedlyWitnessed</t>
  </si>
  <si>
    <t>ComputedWitnessExecutionKey</t>
  </si>
  <si>
    <t>StepExecutorAgent</t>
  </si>
  <si>
    <t>WasScoredAfterAttestation</t>
  </si>
  <si>
    <t>AttestationInstantForRun</t>
  </si>
  <si>
    <t>PostAttestationScoreExecutionKey</t>
  </si>
  <si>
    <t>sat-close-cutoff</t>
  </si>
  <si>
    <t>Satisfied</t>
  </si>
  <si>
    <t>ERP lock event verified.</t>
  </si>
  <si>
    <t>https://w3id.org/pko#RequirementSatisfaction</t>
  </si>
  <si>
    <t>sat-close-balance</t>
  </si>
  <si>
    <t>No unexplained material balance remained.</t>
  </si>
  <si>
    <t>sat-close-separation</t>
  </si>
  <si>
    <t>Preparer and reviewer were different agents.</t>
  </si>
  <si>
    <t>sat-close-human</t>
  </si>
  <si>
    <t>Human CFO approval recorded.</t>
  </si>
  <si>
    <t>sat-policy-source</t>
  </si>
  <si>
    <t>Draft provenance contains only approved source and elicitation records.</t>
  </si>
  <si>
    <t>sat-policy-legal</t>
  </si>
  <si>
    <t>Employment counsel review completed 2026-07-19: notice content, acknowledgement mechanism, and retention period cleared against employment law and TCPA consent requirements.</t>
  </si>
  <si>
    <t>sat-close-evidence</t>
  </si>
  <si>
    <t>Unsatisfied</t>
  </si>
  <si>
    <t>Reconciliation workpapers were attached to a personal drive, not the 7-year retention archive.</t>
  </si>
  <si>
    <t>sat-close08-evidence</t>
  </si>
  <si>
    <t>Close package archived to the retention system with a 7-year hold.</t>
  </si>
  <si>
    <t>ErrorId</t>
  </si>
  <si>
    <t>ErrorCode</t>
  </si>
  <si>
    <t>ErrorCause</t>
  </si>
  <si>
    <t>err-feed-stale</t>
  </si>
  <si>
    <t>Source feed timestamp too old</t>
  </si>
  <si>
    <t>FEED-STALE</t>
  </si>
  <si>
    <t>Source integration lag or daylight-saving timestamp normalization issue.</t>
  </si>
  <si>
    <t>https://w3id.org/pko#Error</t>
  </si>
  <si>
    <t>err-sms-throttle</t>
  </si>
  <si>
    <t>SMS provider throttled requests</t>
  </si>
  <si>
    <t>SMS-429</t>
  </si>
  <si>
    <t>Provider rate limit or temporary carrier congestion.</t>
  </si>
  <si>
    <t>IssueOccurrenceId</t>
  </si>
  <si>
    <t>Error</t>
  </si>
  <si>
    <t>EncounteredByAgent</t>
  </si>
  <si>
    <t>OccurredAt</t>
  </si>
  <si>
    <t>IssueCause</t>
  </si>
  <si>
    <t>IssueSolution</t>
  </si>
  <si>
    <t>IsUnresolved</t>
  </si>
  <si>
    <t>StepExecutionWhenUnresolved</t>
  </si>
  <si>
    <t>issue-close-feed</t>
  </si>
  <si>
    <t>One feed was 17 minutes old.</t>
  </si>
  <si>
    <t>Reran extraction after source timestamp normalized; added explicit timestamp knowledge fragment.</t>
  </si>
  <si>
    <t>https://w3id.org/pko#IssueOccurrence</t>
  </si>
  <si>
    <t>issue-policy-sms</t>
  </si>
  <si>
    <t>Synthetic channel test observed provider throttling.</t>
  </si>
  <si>
    <t>Queue with exponential backoff and preserve recipient-local quiet-hours constraint.</t>
  </si>
  <si>
    <t>Monitoring</t>
  </si>
  <si>
    <t>UserQuestionId</t>
  </si>
  <si>
    <t>AskedByAgent</t>
  </si>
  <si>
    <t>AskedAt</t>
  </si>
  <si>
    <t>QuestionText</t>
  </si>
  <si>
    <t>ResolvedByFaq</t>
  </si>
  <si>
    <t>AddressedByResource</t>
  </si>
  <si>
    <t>q-close-fx</t>
  </si>
  <si>
    <t>Why did the FX variance appear only after the cutover?</t>
  </si>
  <si>
    <t>Answered</t>
  </si>
  <si>
    <t>https://w3id.org/pko#UserQuestionOccurrence</t>
  </si>
  <si>
    <t>q-policy-ai</t>
  </si>
  <si>
    <t>Can the drafting AI add a new legal exception if it seems reasonable?</t>
  </si>
  <si>
    <t>UserFeedbackId</t>
  </si>
  <si>
    <t>ProvidedByAgent</t>
  </si>
  <si>
    <t>ProvidedAt</t>
  </si>
  <si>
    <t>FeedbackText</t>
  </si>
  <si>
    <t>Disposition</t>
  </si>
  <si>
    <t>ChangeRequestKey</t>
  </si>
  <si>
    <t>fb-close-retro</t>
  </si>
  <si>
    <t>The feed timestamp check should be a required precondition, not a troubleshooting note.</t>
  </si>
  <si>
    <t>Accepted</t>
  </si>
  <si>
    <t>cr-close-timestamp</t>
  </si>
  <si>
    <t>https://w3id.org/pko#UserFeedbackOccurrence</t>
  </si>
  <si>
    <t>fb-policy-sms</t>
  </si>
  <si>
    <t>Add a secondary path for employees whose carrier reports a delayed delivery receipt.</t>
  </si>
  <si>
    <t>UnderReview</t>
  </si>
  <si>
    <t>cr-policy-delivery</t>
  </si>
  <si>
    <t>StewardshipAssignmentId</t>
  </si>
  <si>
    <t>HasEverBeenReviewed</t>
  </si>
  <si>
    <t>IsCurrentAssignment</t>
  </si>
  <si>
    <t>stew-close</t>
  </si>
  <si>
    <t>urn:effortless:pko-extension#StewardshipAssignment</t>
  </si>
  <si>
    <t>stew-policy</t>
  </si>
  <si>
    <t>ChangeRequestId</t>
  </si>
  <si>
    <t>ChangeKind</t>
  </si>
  <si>
    <t>RequestedByAgent</t>
  </si>
  <si>
    <t>RequestedAt</t>
  </si>
  <si>
    <t>DecidedAt</t>
  </si>
  <si>
    <t>ImpactAssessment</t>
  </si>
  <si>
    <t>OpenChangeVersionKey</t>
  </si>
  <si>
    <t>IsDecided</t>
  </si>
  <si>
    <t>DaysPending</t>
  </si>
  <si>
    <t>IsStillPending</t>
  </si>
  <si>
    <t>IsStalled</t>
  </si>
  <si>
    <t>AuthorityAgent</t>
  </si>
  <si>
    <t>RequesterIsAuthority</t>
  </si>
  <si>
    <t>AwaitsAuthorityDecision</t>
  </si>
  <si>
    <t>AuthorityRoleLabel</t>
  </si>
  <si>
    <t>TouchesLiveVersion</t>
  </si>
  <si>
    <t>IsLiveDecisionBacklog</t>
  </si>
  <si>
    <t>BlocksAnOpenGap</t>
  </si>
  <si>
    <t>ImplementedAt</t>
  </si>
  <si>
    <t>BacklogVersionKey</t>
  </si>
  <si>
    <t>IsMyPendingDecision</t>
  </si>
  <si>
    <t>IsMyBlockingBacklog</t>
  </si>
  <si>
    <t>IsMyOverdueBacklog</t>
  </si>
  <si>
    <t>IsImplemented</t>
  </si>
  <si>
    <t>IsMyDecidedRequest</t>
  </si>
  <si>
    <t>IsMyDecidedButUnlanded</t>
  </si>
  <si>
    <t>DecisionLatencyDays</t>
  </si>
  <si>
    <t>ImplementationLatencyDays</t>
  </si>
  <si>
    <t>DelayIsDownstreamOfMe</t>
  </si>
  <si>
    <t>UnlandedVersionKey</t>
  </si>
  <si>
    <t>IsApprovedNotImplemented</t>
  </si>
  <si>
    <t>DaysSinceApproval</t>
  </si>
  <si>
    <t>IsStalledImplementation</t>
  </si>
  <si>
    <t>StalledImplementationVersionKey</t>
  </si>
  <si>
    <t>ApprovedVersionKey</t>
  </si>
  <si>
    <t>IsApprovedDecision</t>
  </si>
  <si>
    <t>Add source timestamp as blocking verification</t>
  </si>
  <si>
    <t>Defect</t>
  </si>
  <si>
    <t>Adds requirement and verification; no breaking class change.</t>
  </si>
  <si>
    <t>urn:effortless:pko-extension#ChangeRequest</t>
  </si>
  <si>
    <t>Add secondary delivery receipt reconciliation</t>
  </si>
  <si>
    <t>Enhancement</t>
  </si>
  <si>
    <t>May add a step or fallback transition and operational binding.</t>
  </si>
  <si>
    <t>ReviewEventId</t>
  </si>
  <si>
    <t>ReviewKind</t>
  </si>
  <si>
    <t>ReviewedAt</t>
  </si>
  <si>
    <t>ReviewedByAgent</t>
  </si>
  <si>
    <t>Outcome</t>
  </si>
  <si>
    <t>RelatedChangeRequest</t>
  </si>
  <si>
    <t>NextReviewDue</t>
  </si>
  <si>
    <t>IsOverdue</t>
  </si>
  <si>
    <t>OverdueVersionKey</t>
  </si>
  <si>
    <t>PromisedCadenceDays</t>
  </si>
  <si>
    <t>DaysSinceReviewed</t>
  </si>
  <si>
    <t>ExceedsPromisedCadence</t>
  </si>
  <si>
    <t>CadenceDriftDays</t>
  </si>
  <si>
    <t>PromiseAndBehaviorDisagree</t>
  </si>
  <si>
    <t>CadenceBreachVersionKey</t>
  </si>
  <si>
    <t>review-close-q1</t>
  </si>
  <si>
    <t>QuarterlySemanticReview</t>
  </si>
  <si>
    <t>Passed</t>
  </si>
  <si>
    <t>https://w3id.org/pko#ReviewEvent</t>
  </si>
  <si>
    <t>review-close-q2</t>
  </si>
  <si>
    <t>PassedWithChange</t>
  </si>
  <si>
    <t>review-policy-prelaunch</t>
  </si>
  <si>
    <t>PreLaunchReview</t>
  </si>
  <si>
    <t>LearningActivityId</t>
  </si>
  <si>
    <t>ActivityKind</t>
  </si>
  <si>
    <t>EvidenceResource</t>
  </si>
  <si>
    <t>learn-close-retro</t>
  </si>
  <si>
    <t>Captured feed timestamp failure mode and updated the rulebook.</t>
  </si>
  <si>
    <t>learn-policy-tabletop</t>
  </si>
  <si>
    <t>TabletopExercise</t>
  </si>
  <si>
    <t>Tested consent, quiet-hours, and unreachable-recipient exceptions.</t>
  </si>
  <si>
    <t>OperationalBindingId</t>
  </si>
  <si>
    <t>AccessMode</t>
  </si>
  <si>
    <t>RecordOrSchemaKey</t>
  </si>
  <si>
    <t>LastObservedAt</t>
  </si>
  <si>
    <t>FreshnessSlaMinutes</t>
  </si>
  <si>
    <t>IsAuthoritative</t>
  </si>
  <si>
    <t>AgeMinutes</t>
  </si>
  <si>
    <t>IsFresh</t>
  </si>
  <si>
    <t>StaleBindingStepKey</t>
  </si>
  <si>
    <t>AuthoritativeStaleStepKey</t>
  </si>
  <si>
    <t>IsStaleAndAuthoritative</t>
  </si>
  <si>
    <t>StepWhenStale</t>
  </si>
  <si>
    <t>ResourceIsApproved</t>
  </si>
  <si>
    <t>IsUsableForDrafting</t>
  </si>
  <si>
    <t>StepWhenUnusable</t>
  </si>
  <si>
    <t>bind-close-erp</t>
  </si>
  <si>
    <t>Read</t>
  </si>
  <si>
    <t>GeneralLedger.TrialBalance</t>
  </si>
  <si>
    <t>urn:effortless:pko-extension#OperationalBinding</t>
  </si>
  <si>
    <t>bind-policy-ticket</t>
  </si>
  <si>
    <t>ReadWrite</t>
  </si>
  <si>
    <t>HR.ChangeTicket</t>
  </si>
  <si>
    <t>bind-policy-consent</t>
  </si>
  <si>
    <t>HR.CommunicationConsent</t>
  </si>
  <si>
    <t>bind-policy-email</t>
  </si>
  <si>
    <t>People.EmailTemplate</t>
  </si>
  <si>
    <t>bind-policy-sms</t>
  </si>
  <si>
    <t>People.SmsTemplate</t>
  </si>
  <si>
    <t>CommunicationPolicyId</t>
  </si>
  <si>
    <t>Channel</t>
  </si>
  <si>
    <t>AudienceRule</t>
  </si>
  <si>
    <t>ConsentRequired</t>
  </si>
  <si>
    <t>QuietHoursStart</t>
  </si>
  <si>
    <t>QuietHoursEnd</t>
  </si>
  <si>
    <t>MaxMessageLength</t>
  </si>
  <si>
    <t>MaxSegments</t>
  </si>
  <si>
    <t>RetentionDays</t>
  </si>
  <si>
    <t>RequiredContent</t>
  </si>
  <si>
    <t>AuthorityStatement</t>
  </si>
  <si>
    <t>ConsentViolationCount</t>
  </si>
  <si>
    <t>QuietHoursStartHour</t>
  </si>
  <si>
    <t>QuietHoursEndHour</t>
  </si>
  <si>
    <t>QuietHoursViolationCount</t>
  </si>
  <si>
    <t>RequiredOptOutPhrase</t>
  </si>
  <si>
    <t>IsActivePolicy</t>
  </si>
  <si>
    <t>comm-email-policy</t>
  </si>
  <si>
    <t>Email</t>
  </si>
  <si>
    <t>All affected employees with a valid corporate email</t>
  </si>
  <si>
    <t>00:00</t>
  </si>
  <si>
    <t>Full policy context, effective date, action required, alternate contact</t>
  </si>
  <si>
    <t>Email is the complete official notification record.</t>
  </si>
  <si>
    <t>http://www.w3.org/ns/odrl/2/Policy</t>
  </si>
  <si>
    <t>comm-sms-policy</t>
  </si>
  <si>
    <t>SMS</t>
  </si>
  <si>
    <t>Affected employees with active SMS consent</t>
  </si>
  <si>
    <t>20:00</t>
  </si>
  <si>
    <t>08:00</t>
  </si>
  <si>
    <t>Short notice, secure link, approved opt-out text</t>
  </si>
  <si>
    <t>SMS is a supplemental notice; the linked email/policy is authoritative.</t>
  </si>
  <si>
    <t>Reply STOP to opt out</t>
  </si>
  <si>
    <t>MessageTemplateId</t>
  </si>
  <si>
    <t>CommunicationPolicy</t>
  </si>
  <si>
    <t>SubjectTemplate</t>
  </si>
  <si>
    <t>BodyTemplate</t>
  </si>
  <si>
    <t>Locale</t>
  </si>
  <si>
    <t>PolicyMaxMessageLength</t>
  </si>
  <si>
    <t>PolicyMaxSegments</t>
  </si>
  <si>
    <t>BodyTemplateLength</t>
  </si>
  <si>
    <t>IsTemplateOverLength</t>
  </si>
  <si>
    <t>ValidApprovalCount</t>
  </si>
  <si>
    <t>HasValidApproval</t>
  </si>
  <si>
    <t>IsClaimingUnbackedApproval</t>
  </si>
  <si>
    <t>CurrentBodyHash</t>
  </si>
  <si>
    <t>LastApprovedBodyHash</t>
  </si>
  <si>
    <t>LastValidApproval</t>
  </si>
  <si>
    <t>HasBodyDrifted</t>
  </si>
  <si>
    <t>IsSendableUnderApproval</t>
  </si>
  <si>
    <t>DriftedSendCount</t>
  </si>
  <si>
    <t>UnansweredDeliveryCount</t>
  </si>
  <si>
    <t>TransmittedDeliveryCount</t>
  </si>
  <si>
    <t>TemplateDrawsNoResponse</t>
  </si>
  <si>
    <t>LastApprovalAt</t>
  </si>
  <si>
    <t>tmpl-policy-email</t>
  </si>
  <si>
    <t>Remote-work policy update effective {{EffectiveDate}}</t>
  </si>
  <si>
    <t>A workforce policy affecting your work has changed. Review the complete policy at {{PolicyUrl}}. Required action: {{RequiredAction}}. Questions: {{ContactAddress}}.</t>
  </si>
  <si>
    <t>en-US</t>
  </si>
  <si>
    <t>h-email-v1</t>
  </si>
  <si>
    <t>tap-email-001</t>
  </si>
  <si>
    <t>tmpl-policy-sms</t>
  </si>
  <si>
    <t>ACME policy update effective {{EffectiveDate}}. Review: {{ShortUrl}}. Reply STOP to opt out of SMS; email notices continue.</t>
  </si>
  <si>
    <t>h-sms-v1</t>
  </si>
  <si>
    <t>tap-sms-001</t>
  </si>
  <si>
    <t>SemanticMappingId</t>
  </si>
  <si>
    <t>SourcePath</t>
  </si>
  <si>
    <t>MappingKind</t>
  </si>
  <si>
    <t>TargetIri</t>
  </si>
  <si>
    <t>MappingRelation</t>
  </si>
  <si>
    <t>OntologyProfile</t>
  </si>
  <si>
    <t>Notes</t>
  </si>
  <si>
    <t>map-procedures</t>
  </si>
  <si>
    <t>Procedures</t>
  </si>
  <si>
    <t>class</t>
  </si>
  <si>
    <t>exact</t>
  </si>
  <si>
    <t>Abstract procedure.</t>
  </si>
  <si>
    <t>map-procedure-versions</t>
  </si>
  <si>
    <t>ProcedureVersions</t>
  </si>
  <si>
    <t>Versioned procedure resources.</t>
  </si>
  <si>
    <t>map-procedure-version-number</t>
  </si>
  <si>
    <t>ProcedureVersions.VersionNumber</t>
  </si>
  <si>
    <t>datatypeProperty</t>
  </si>
  <si>
    <t>https://w3id.org/pko#versionNumber</t>
  </si>
  <si>
    <t>PKO version number.</t>
  </si>
  <si>
    <t>map-status-change</t>
  </si>
  <si>
    <t>ProcedureStatusChanges</t>
  </si>
  <si>
    <t>Status transition activity.</t>
  </si>
  <si>
    <t>map-steps</t>
  </si>
  <si>
    <t>Steps</t>
  </si>
  <si>
    <t>Atomic steps.</t>
  </si>
  <si>
    <t>map-multisteps</t>
  </si>
  <si>
    <t>Steps.StepKind=MultiStep</t>
  </si>
  <si>
    <t>Composite steps.</t>
  </si>
  <si>
    <t>map-transitions</t>
  </si>
  <si>
    <t>StepTransitions</t>
  </si>
  <si>
    <t>Transition instance.</t>
  </si>
  <si>
    <t>map-from-step</t>
  </si>
  <si>
    <t>StepTransitions.FromStep</t>
  </si>
  <si>
    <t>objectProperty</t>
  </si>
  <si>
    <t>https://w3id.org/pko#fromStep</t>
  </si>
  <si>
    <t>Transition source.</t>
  </si>
  <si>
    <t>map-to-step</t>
  </si>
  <si>
    <t>StepTransitions.ToStep</t>
  </si>
  <si>
    <t>https://w3id.org/pko#toStep</t>
  </si>
  <si>
    <t>Transition destination.</t>
  </si>
  <si>
    <t>map-actions</t>
  </si>
  <si>
    <t>Actions</t>
  </si>
  <si>
    <t>Human action.</t>
  </si>
  <si>
    <t>map-functions</t>
  </si>
  <si>
    <t>Functions</t>
  </si>
  <si>
    <t>Software function.</t>
  </si>
  <si>
    <t>map-tools</t>
  </si>
  <si>
    <t>Tools</t>
  </si>
  <si>
    <t>Tool.</t>
  </si>
  <si>
    <t>map-requirements</t>
  </si>
  <si>
    <t>Requirements</t>
  </si>
  <si>
    <t>Requirement.</t>
  </si>
  <si>
    <t>map-verifications</t>
  </si>
  <si>
    <t>StepVerifications</t>
  </si>
  <si>
    <t>Step verification.</t>
  </si>
  <si>
    <t>map-resources</t>
  </si>
  <si>
    <t>Resources</t>
  </si>
  <si>
    <t>Referenced resources.</t>
  </si>
  <si>
    <t>map-agents</t>
  </si>
  <si>
    <t>Agents</t>
  </si>
  <si>
    <t>http://www.w3.org/ns/prov#Agent</t>
  </si>
  <si>
    <t>Agents.</t>
  </si>
  <si>
    <t>map-roles</t>
  </si>
  <si>
    <t>Roles</t>
  </si>
  <si>
    <t>Roles.</t>
  </si>
  <si>
    <t>map-role-time</t>
  </si>
  <si>
    <t>RoleAssignments</t>
  </si>
  <si>
    <t>Time-bounded role assignments.</t>
  </si>
  <si>
    <t>map-procedure-executions</t>
  </si>
  <si>
    <t>ProcedureExecutions</t>
  </si>
  <si>
    <t>Procedure execution.</t>
  </si>
  <si>
    <t>map-step-executions</t>
  </si>
  <si>
    <t>StepExecutions</t>
  </si>
  <si>
    <t>Step execution.</t>
  </si>
  <si>
    <t>map-satisfactions</t>
  </si>
  <si>
    <t>RequirementSatisfactions</t>
  </si>
  <si>
    <t>Requirement satisfaction.</t>
  </si>
  <si>
    <t>map-errors</t>
  </si>
  <si>
    <t>Errors</t>
  </si>
  <si>
    <t>Error.</t>
  </si>
  <si>
    <t>map-issues</t>
  </si>
  <si>
    <t>IssueOccurrences</t>
  </si>
  <si>
    <t>Issue occurrence.</t>
  </si>
  <si>
    <t>map-questions</t>
  </si>
  <si>
    <t>UserQuestions</t>
  </si>
  <si>
    <t>Question occurrence.</t>
  </si>
  <si>
    <t>map-feedback</t>
  </si>
  <si>
    <t>UserFeedback</t>
  </si>
  <si>
    <t>Feedback occurrence.</t>
  </si>
  <si>
    <t>map-faqs</t>
  </si>
  <si>
    <t>FAQs</t>
  </si>
  <si>
    <t>FAQ.</t>
  </si>
  <si>
    <t>map-explanations</t>
  </si>
  <si>
    <t>Explanations</t>
  </si>
  <si>
    <t>Explanation.</t>
  </si>
  <si>
    <t>map-knowledge-fragments</t>
  </si>
  <si>
    <t>KnowledgeFragments</t>
  </si>
  <si>
    <t>extension</t>
  </si>
  <si>
    <t>Tacit/implicit/explicit knowledge capture.</t>
  </si>
  <si>
    <t>map-elicitation</t>
  </si>
  <si>
    <t>ElicitationSessions</t>
  </si>
  <si>
    <t>urn:effortless:pko-extension#ElicitationSession</t>
  </si>
  <si>
    <t>Knowledge elicitation activity.</t>
  </si>
  <si>
    <t>map-governance</t>
  </si>
  <si>
    <t>StewardshipAssignments</t>
  </si>
  <si>
    <t>Stewardship and authority.</t>
  </si>
  <si>
    <t>map-operational-binding</t>
  </si>
  <si>
    <t>OperationalBindings</t>
  </si>
  <si>
    <t>Live data binding.</t>
  </si>
  <si>
    <t>map-communication-policy</t>
  </si>
  <si>
    <t>CommunicationPolicies</t>
  </si>
  <si>
    <t>aligned</t>
  </si>
  <si>
    <t>Channel policy.</t>
  </si>
  <si>
    <t>map-approleprofiles</t>
  </si>
  <si>
    <t>AppRoleProfiles</t>
  </si>
  <si>
    <t>urn:effortless:pko-extension#AppRoleProfile</t>
  </si>
  <si>
    <t>How a role is presented in the application: accent colour, icon, login-card copy. Not a PKO concern — PKO models procedural knowledge, not the applications that display it.</t>
  </si>
  <si>
    <t>map-appnavgroups</t>
  </si>
  <si>
    <t>AppNavGroups</t>
  </si>
  <si>
    <t>urn:effortless:pko-extension#AppNavGroup</t>
  </si>
  <si>
    <t>Left-navigation section headers for the role-navigated application.</t>
  </si>
  <si>
    <t>map-approutes</t>
  </si>
  <si>
    <t>AppRoutes</t>
  </si>
  <si>
    <t>urn:effortless:pko-extension#AppRoute</t>
  </si>
  <si>
    <t>One screen in the role-navigated application, addressed as /{role}/{dashboard}/{entity...}.</t>
  </si>
  <si>
    <t>map-approutequestions</t>
  </si>
  <si>
    <t>AppRouteQuestions</t>
  </si>
  <si>
    <t>urn:effortless:pko-extension#AppRouteQuestion</t>
  </si>
  <si>
    <t>Junction relating a route to the RoleQuestions it helps answer. Many-to-many by design.</t>
  </si>
  <si>
    <t>map-approutereferences</t>
  </si>
  <si>
    <t>AppRouteReferences</t>
  </si>
  <si>
    <t>urn:effortless:pko-extension#AppRouteReference</t>
  </si>
  <si>
    <t>Junction relating a route to other routes it links to: the navigation graph.</t>
  </si>
  <si>
    <t>map-process-mining-runs</t>
  </si>
  <si>
    <t>ProcessMiningRuns</t>
  </si>
  <si>
    <t>urn:effortless:pko-extension#ProcessMiningRun</t>
  </si>
  <si>
    <t>Process-mining conformance evidence — not part of PKO 2.0.0.</t>
  </si>
  <si>
    <t>map-vocabularies</t>
  </si>
  <si>
    <t>Vocabularies</t>
  </si>
  <si>
    <t>urn:effortless:pko-extension#Vocabulary</t>
  </si>
  <si>
    <t>A controlled-vocabulary concept scheme — not part of PKO 2.0.0.</t>
  </si>
  <si>
    <t>map-vocabulary-terms</t>
  </si>
  <si>
    <t>VocabularyTerms</t>
  </si>
  <si>
    <t>urn:effortless:pko-extension#VocabularyTerm</t>
  </si>
  <si>
    <t>A SKOS-style controlled term — not part of PKO 2.0.0.</t>
  </si>
  <si>
    <t>map-knowledge-broker-links</t>
  </si>
  <si>
    <t>KnowledgeBrokerLinks</t>
  </si>
  <si>
    <t>urn:effortless:pko-extension#KnowledgeBrokerLink</t>
  </si>
  <si>
    <t>An informal expertise-network edge — not part of PKO 2.0.0.</t>
  </si>
  <si>
    <t>map-conformance-substrates</t>
  </si>
  <si>
    <t>ConformanceSubstrates</t>
  </si>
  <si>
    <t>urn:effortless:pko-extension#ConformanceSubstrate</t>
  </si>
  <si>
    <t>Substrates the conformance harness grades, and the answer-key author. Not part of PKO 2.0.0.</t>
  </si>
  <si>
    <t>map-conformance-runs</t>
  </si>
  <si>
    <t>ConformanceRuns</t>
  </si>
  <si>
    <t>urn:effortless:pko-extension#ConformanceRun</t>
  </si>
  <si>
    <t>Conformance harness executions. Not part of PKO 2.0.0.</t>
  </si>
  <si>
    <t>map-substrate-run-scores</t>
  </si>
  <si>
    <t>SubstrateRunScores</t>
  </si>
  <si>
    <t>urn:effortless:pko-extension#SubstrateRunScore</t>
  </si>
  <si>
    <t>Per-run, per-substrate grades. Not part of PKO 2.0.0.</t>
  </si>
  <si>
    <t>map-table-conformance</t>
  </si>
  <si>
    <t>TableConformance</t>
  </si>
  <si>
    <t>urn:effortless:pko-extension#TableConformance</t>
  </si>
  <si>
    <t>Latest-run grades per substrate and table. Not part of PKO 2.0.0.</t>
  </si>
  <si>
    <t>map-field-disagreements</t>
  </si>
  <si>
    <t>FieldDisagreements</t>
  </si>
  <si>
    <t>urn:effortless:pko-extension#FieldDisagreement</t>
  </si>
  <si>
    <t>Latest-run fields a substrate got wrong. Not part of PKO 2.0.0.</t>
  </si>
  <si>
    <t>map-cell-disagreements</t>
  </si>
  <si>
    <t>CellDisagreements</t>
  </si>
  <si>
    <t>urn:effortless:pko-extension#CellDisagreement</t>
  </si>
  <si>
    <t>Latest-run sampled failing cells. Not part of PKO 2.0.0.</t>
  </si>
  <si>
    <t>WitnessLoopId</t>
  </si>
  <si>
    <t>LoopNumber</t>
  </si>
  <si>
    <t>Premise</t>
  </si>
  <si>
    <t>CompletedAt</t>
  </si>
  <si>
    <t>QuestionCount</t>
  </si>
  <si>
    <t>IsComplete</t>
  </si>
  <si>
    <t>FieldsAfter</t>
  </si>
  <si>
    <t>DerivedAfter</t>
  </si>
  <si>
    <t>WitnessedAfter</t>
  </si>
  <si>
    <t>loop-01</t>
  </si>
  <si>
    <t>The founding questions</t>
  </si>
  <si>
    <t>The model specified obligations precisely and witnessed their breach almost nowhere. Requirements, verifications, exceptions, and communication policies were all stated with real precision, and in each case the execution-side counterpart that would catch a violation was missing. Loop 1 asks each of the twelve named roles what it actually needs to know, and invents the atomic predicates required to answer.</t>
  </si>
  <si>
    <t>urn:effortless:pko-extension#WitnessLoop</t>
  </si>
  <si>
    <t>loop-02</t>
  </si>
  <si>
    <t>Questions only loop 1 made askable</t>
  </si>
  <si>
    <t>Loop 1 established WHAT can go wrong: a blocking control unmet, a verification skipped, a send refused, a claim whose source has left. Loop 2 asks the questions that only exist once those columns do — about the QUALITY of the assurance rather than its presence. Three examples that had no expressible form before loop 1 ran: only 4 of 13 requirements have any computed witness at all, so which controls are still trusted purely on assertion; verification_outcomes.is_self_witnessed reads 3/4, so how much of the evidence is the executor vouching for themselves; and send_intents.is_silently_dropped reads 4/7, a failure mode that could not be named until IsClearedToSend existed to refuse a send in the first place. Every loop-2 question records, in its own provenance, the loop-1 predicates that made it possible.</t>
  </si>
  <si>
    <t>loop-03</t>
  </si>
  <si>
    <t>Loop 3: the three gaps the source articles named and the model didn't have</t>
  </si>
  <si>
    <t>Comparing this rulebook against the four "Intentional Arrangement" Process Knowledge Management articles surfaced three concepts the essays argue for at length that had no table: process mining as an elicitation channel, controlled vocabulary/taxonomy, and the informal knowledge-broker network. Unlike loops 1-2, this loop is not a full 12-role sweep — it is exactly these three named gaps, each owned by the role that would actually ask the question.</t>
  </si>
  <si>
    <t>loop-04</t>
  </si>
  <si>
    <t>Structure the executions cannot show</t>
  </si>
  <si>
    <t>Every witness in loops 1-3 reads either a single row or a single edge: whether this transition was traversed, whether this control was satisfied. The step graph itself is cyclic (Fallback and Alternative transitions send work back to earlier steps), and questions about its shape (which steps can be re-entered, which controls must hold on every pass) are reachability over paths of any length. Transitive closure is provably not expressible in first-order logic with aggregates, so no formula answers them. Loop 4 adds the closure of StepTransitions as a substrate-native closure field and asks the questions only it makes askable.</t>
  </si>
  <si>
    <t>RoleQuestionId</t>
  </si>
  <si>
    <t>AskingRole</t>
  </si>
  <si>
    <t>WitnessLoop</t>
  </si>
  <si>
    <t>WhyItMatters</t>
  </si>
  <si>
    <t>AnswerableBefore</t>
  </si>
  <si>
    <t>PredicateCount</t>
  </si>
  <si>
    <t>IsAnswered</t>
  </si>
  <si>
    <t>WitnessedAnswer</t>
  </si>
  <si>
    <t>q-analyst-blocking-unmet-on-my-step</t>
  </si>
  <si>
    <t>On the steps I personally executed, did any of them close out while a BLOCKING requirement was still not fully satisfied?</t>
  </si>
  <si>
    <t>I executed se-close03 (Reconcile material accounts), which carries TWO blocking requirements via sr-c03a (req-close-balance) and sr-c03b (req-close-evidence). Today the model records SatisfactionLevel as free text and nothing compares it against IsBlocking. If I close a step with a PartiallySatisfied blocking control — exactly the shape sat-policy-legal is in right now — the package moves on and nobody is told. I want that to be a computed red flag on my own row before it becomes an audit finding on my name.</t>
  </si>
  <si>
    <t>RequirementSatisfactions.IsBlockingAndUnmet=1/8; RequirementSatisfactions.IsFullySatisfied=7/8; RequirementSatisfactions.RequirementIsBlocking=8/8; StepExecutions.ProceededPastBlockingControl=1/12</t>
  </si>
  <si>
    <t>urn:effortless:pko-extension#RoleQuestion</t>
  </si>
  <si>
    <t>q-analyst-blocking-never-evaluated</t>
  </si>
  <si>
    <t>Which blocking requirements were attached to a step I ran but never got a satisfaction record at all — not satisfied, not unsatisfied, just never assessed?</t>
  </si>
  <si>
    <t>This is the failure mode that scares me more than a recorded 'Unsatisfied'. sr-c03b binds req-close-evidence to close-03. I ran close-03 as se-close03. There is no RequirementSatisfactions row for that pairing. The model shows green because absence reads as silence, not as a gap. An unevaluated blocking control is indistinguishable from a passed one, and that is the exact thing SOX testing is designed to catch.</t>
  </si>
  <si>
    <t>StepExecutions.HasUnevaluatedBlockingControl=0/12; StepRequirements.RequirementIsBlocking=15/15</t>
  </si>
  <si>
    <t>q-analyst-evidence-binding-stale</t>
  </si>
  <si>
    <t>When I attested my reconciliation, was the underlying ledger data actually fresh — or was I certifying against a source that had already gone stale under its own SLA?</t>
  </si>
  <si>
    <t>OperationalBindings.IsFresh already exists and works, but it is evaluated against NOW() and lives on a table nothing in the execution story reads. My step execution has no idea whether the resources it depended on were inside their freshness SLA. se-close02 already recorded a 17-minute feed against a 15-minute SLA and it took a human writing prose into a Deviation field to surface it. I want that connected structurally, because next time the prose might not get written.</t>
  </si>
  <si>
    <t>StepExecutions.RanOnStaleAuthoritativeSource=2/12</t>
  </si>
  <si>
    <t>q-analyst-my-late-steps-unexplained</t>
  </si>
  <si>
    <t>Which of my steps ran long without anybody recording why — and of those, which ones had an exception available that nobody invoked?</t>
  </si>
  <si>
    <t>StepExecutions.IsLate already works. But 'late' on its own is not a finding; late-and-unexplained is. se-close03 is mine and it ran nearly 19 hours. If that overran the expected duration and the Deviation field is empty, I have an undocumented overrun sitting on my name. And exc-ledger-outage exists precisely for the close-02 condition — if it was never invoked, the model should say that out loud instead of letting a blank Deviation stand in for 'nothing happened'.</t>
  </si>
  <si>
    <t>StepExecutions.HadUninvokedExceptionAvailable=0/12; StepExecutions.HasDeviationNote=4/12; StepExecutions.IsLateAndUnexplained=3/12</t>
  </si>
  <si>
    <t>q-analyst-verification-declared-never-performed</t>
  </si>
  <si>
    <t>For every step I ran that had a declared verification, did anybody actually perform it and record the observed signal — or did I just get a PASS with nothing behind it?</t>
  </si>
  <si>
    <t>StepVerifications is entirely spec-side. verify-reconciliation declares that close-03 must show unexplained-material-variance = 0. I ran close-03. My StepExecution says VerificationResult=PASS. But there is no row anywhere recording what the signal ACTUALLY read. The PASS is an unbacked assertion typed into a field. If an auditor asks me to produce the observed value, the model has nothing — and a skipped verification looks identical to a passed one.</t>
  </si>
  <si>
    <t>StepExecutions.ClaimsPassWithoutEvidence=3/12; StepExecutions.HasSkippedVerification=3/12</t>
  </si>
  <si>
    <t>q-controller-separation-of-duties</t>
  </si>
  <si>
    <t>Did the same agent both prepare and approve any part of this close? req-close-separation says the preparer may not be the final approver — show me that it actually held, on exec-close-2026-q2, computed and not asserted.</t>
  </si>
  <si>
    <t>This is the single highest-value gap in the model and it is my control. req-close-separation is IsBlocking=true, bound to close-05 via sr-c05, and sat-close-separation records SatisfactionLevel='Satisfied' with the evidence string 'Preparer and reviewer were different agents.' That string is a human typing a conclusion into a text field. NOTHING compares se-close03.ExecutedByAgent (maria-chen) against se-close05.ExecutedByAgent (devon-okafor) or se-close06.ExecutedByAgent (priya-raman). Segregation of duties is the control SOX cares about most and in this model it is prose. If maria-chen executed both the preparation and the approval tomorrow, sat-close-separation would still say 'Satisfied' and the model would agree.</t>
  </si>
  <si>
    <t>StepExecutions.StepIsApproval=2/12; StepExecutions.StepIsPreparation=2/12; StepExecutions.ViolatesSeparationOfDuties=0/12; Steps.IsApprovalStep=2/17; Steps.IsPreparationStep=2/17</t>
  </si>
  <si>
    <t>q-controller-approval-authority-valid</t>
  </si>
  <si>
    <t>Every approval on this close — was it given by an agent who actually held the required role AT THE TIME they approved, not just someone who holds it today?</t>
  </si>
  <si>
    <t>req-close-human-approval is blocking and says controller and CFO approvals must be human-confirmed. sat-close-human records 'Satisfied' because a human name appears in a field. But nothing checks that the approving agent held the approving role. RoleAssignments proves this is not paranoia: ra-old-variance shows maria-chen held variance-review-agent until 2026-03-31 and ra-new-variance shows variance-ai took it on 2026-04-01. Role-holding is time-bounded and it genuinely changes. If someone approves close-06 who is not the CFO, or who was the CFO last quarter but not this one, I need that computed. And exc-cfo-unavailable explicitly permits delegation to an Acting CFO 'never to the preparer' — so an authority check that cannot see delegation is incomplete.</t>
  </si>
  <si>
    <t>RoleAssignments.IsCurrentlyValid=12/13; StepExecutions.ExecutorHeldRequiredRole=12/12; StepExecutions.IsUnauthorizedApproval=0/12</t>
  </si>
  <si>
    <t>q-controller-blocking-control-inoperative</t>
  </si>
  <si>
    <t>Which of my blocking close controls are structurally incapable of failing — declared, bound to a step, and yet with no mechanism that could ever produce a negative result?</t>
  </si>
  <si>
    <t>req-close-cutoff, req-close-balance, req-close-separation, and req-close-evidence are all IsBlocking=true. All four are pure prose. A control that cannot fail is not a control, it is a comment. Before I sign anything I want a list of my own controls ranked by whether they can actually operate. This is the meta-question — it is about the model's ability to hold me accountable, and it is the one I would ask first if I were the external auditor rather than the controller.</t>
  </si>
  <si>
    <t>Requirements.HasEverBeenEvaluated=7/13; Requirements.IsBoundToAnyStep=13/13; Requirements.IsDecorativeControl=0/13; Requirements.IsInoperativeControl=6/13</t>
  </si>
  <si>
    <t>q-controller-execution-diverged-from-spec</t>
  </si>
  <si>
    <t>Give me one number per close: did exec-close-2026-q2 actually conform to close-v1.1.0, and if not, how far off was it?</t>
  </si>
  <si>
    <t>ProcedureExecutions has ZERO derived fields. The parent of the entire execution story makes no claim whatsoever — it has a status someone typed and two timestamps. Every failure signal in this model lives on child rows, so to know whether a close was clean I have to read twelve StepExecutions and six RequirementSatisfactions by hand. That is not a control environment, that is a filing cabinet. I want conformance to be a computed property of the execution, so that 'the close was clean' is a claim the model makes and can be wrong about.</t>
  </si>
  <si>
    <t>ProcedureExecutions.DivergedFromSpecification=2/2; ProcedureExecutions.IsStructurallyComplete=1/2</t>
  </si>
  <si>
    <t>q-controller-ai-agent-approved-meaning</t>
  </si>
  <si>
    <t>Did any AI agent or automated pipeline execute a step that requires human confirmation, or sign off on something a human was supposed to own?</t>
  </si>
  <si>
    <t>req-close-human-approval and req-policy-human-approval both say a human must approve. Steps carries RequiresHumanConfirmation as a raw boolean and Agents carries AgentKind — Human, AIAgent, AutomatedPipeline — and NOTHING compares them. variance-ai executed se-close04. policy-drafting-ai executed se-policy03. Both fine today because those steps are not approval steps. But ra-old-variance to ra-new-variance shows this org actively migrates work from humans to AI agents, and the control that is supposed to stop that migration reaching an approval step is prose. This is the control I expect to matter most over the next two years and it currently does not exist.</t>
  </si>
  <si>
    <t>RequirementSatisfactions.NonHumanEvaluatedHumanControl=0/8; StepExecutions.ExecutorIsHuman=7/12; StepExecutions.NonHumanApproval=0/12; StepExecutions.NonHumanRanHumanStep=0/12; StepExecutions.StepRequiresHumanConfirmation=3/12</t>
  </si>
  <si>
    <t>q-cfo-can-i-sign</t>
  </si>
  <si>
    <t>Can I sign the attestation for exec-close-2026-q2 — yes or no — and if no, name the blocker.</t>
  </si>
  <si>
    <t>This is the only question I actually have. Today the model answers it with ProcedureExecutions.ExecutionStatus='Completed', which is a string somebody typed into a field. My signature carries personal liability under Section 302. I need attestation-readiness to be a computed conjunction of every blocking control, such that if ANY control did not operate, the model says no and names it. A green status that cannot go red is worse than no status at all, because it manufactures false comfort at exactly the moment I am least able to verify it myself.</t>
  </si>
  <si>
    <t>ProcedureExecutions.AllBlockingControlsEvaluated=2/2; ProcedureExecutions.IsAttestationReady=0/2; ProcedureExecutions.SeparationOfDutiesHeld=2/2</t>
  </si>
  <si>
    <t>q-cfo-approving-on-unfit-version</t>
  </si>
  <si>
    <t>Am I being asked to approve an execution of a procedure version that is itself overdue for review, or that has an open change request against it?</t>
  </si>
  <si>
    <t>I sign against close-v1.1.0. If that version's periodic review lapsed, or if there is an open ChangeRequest saying the procedure is known to be wrong, then I am attesting to conformance with a specification that the organization itself no longer stands behind. ReviewEvents.IsOverdue already works and ChangeRequests.IsOpen already works, but neither is connected to the execution I am signing. The version's fitness and the execution's conformance are two different questions and I need both answered before I sign, not one.</t>
  </si>
  <si>
    <t>ProcedureExecutions.ExecutedVersionIsFit=0/2; ProcedureExecutions.SignedAgainstUnfitVersion=1/2; ProcedureVersions.IsFitToExecute=0/3</t>
  </si>
  <si>
    <t>q-cfo-approval-was-actually-verified</t>
  </si>
  <si>
    <t>My own approval on se-close06 — is there anything behind it other than the fact that I clicked approve?</t>
  </si>
  <si>
    <t>verify-cfo declares that close-06 must show cfo-approval = APPROVED. se-close06 says VerificationResult=PASS. But the PASS and the approval are the same act: I approved, therefore the verification that I approved passes. That is circular, and it is my name on the circle. sat-close-human's evidence reads 'Human CFO approval recorded' — recorded by whom, against what? I want to know whether my approval rests on independently verified upstream evidence or whether the model is simply reflecting my own click back at me.</t>
  </si>
  <si>
    <t>StepExecutions.ApprovalRestsOnSelfAttestation=2/12; VerificationOutcomes.IsSelfWitnessed=3/4</t>
  </si>
  <si>
    <t>q-cfo-who-actually-held-authority</t>
  </si>
  <si>
    <t>For every approval in this close, tell me the human who was personally accountable — and whether an exception was used to route authority away from the person who normally holds it.</t>
  </si>
  <si>
    <t>exc-cfo-unavailable exists and says approval may be delegated to a designated Acting CFO, 'never to the preparer'. That last clause is a control and it is prose inside a text field. If I was unavailable and someone approved in my place, I need the model to show me who, under what authority, and whether the never-to-the-preparer condition held. Right now an exception can be invoked with no trace at all — nothing links an execution back to the exception it used. From my seat that means delegated authority is entirely invisible, which is the exposure I am least willing to carry.</t>
  </si>
  <si>
    <t>ExceptionInvocations.DelegatedToPreparer=0/1; ExceptionInvocations.IsUngovernedInvocation=0/1; StepExecutions.RanUnderException=1/12</t>
  </si>
  <si>
    <t>q-cfo-am-i-being-told-everything</t>
  </si>
  <si>
    <t>Across everything I am signing, is there any control claim in this model that rests on a human typing a conclusion rather than on something computed?</t>
  </si>
  <si>
    <t>This is the question behind all my other questions. sat-close-separation says 'Preparer and reviewer were different agents.' sat-close-human says 'Human CFO approval recorded.' Both are prose conclusions in an Evidence field, both assert that a control operated, and neither is checkable. I want the model to distinguish between a control that was COMPUTED to have held and one that was ASSERTED to have held, and to tell me how much of my attestation rests on the second kind. If most of my assurance is assertion, I want to know that before I sign, not after.</t>
  </si>
  <si>
    <t>ProcedureExecutions.AssuranceIsMostlyAsserted=2/2; RequirementSatisfactions.IsAssertedOnly=3/8; RequirementSatisfactions.RequirementHasComputedWitness=5/8; Requirements.HasComputedWitness=4/13</t>
  </si>
  <si>
    <t>q-steward-cadence-breach</t>
  </si>
  <si>
    <t>For close-v1.1.0 I promised a 90-day review cadence and for policy-v1.0.0 a 60-day cadence. Is the ACTUAL interval since the last review already longer than the cadence I promised?</t>
  </si>
  <si>
    <t>ReviewCadenceDays is a promise. ReviewEvents.ReviewedAt is the behavior. Today the model stores both and compares neither, so a stewardship assignment can sit in permanent silent breach while ReviewEvents.IsOverdue stays FALSE because NextReviewDue was hand-set to a date that has nothing to do with the promised cadence. I need the promise and the behavior in the same row.</t>
  </si>
  <si>
    <t>ReviewEvents.ExceedsPromisedCadence=1/3; ReviewEvents.PromiseAndBehaviorDisagree=0/3; StewardshipAssignments.HasEverBeenReviewed=2/2</t>
  </si>
  <si>
    <t>q-steward-orphan-versions</t>
  </si>
  <si>
    <t>Which procedure versions have no steward at all? close-v1.0.0 is Archived but still referenced by ProcedureVersionLinks — does anyone own it?</t>
  </si>
  <si>
    <t>An unstewarded version is nobody's problem until it is everybody's problem. There are 3 ProcedureVersions and only 2 StewardshipAssignments; the model has never once been asked to notice the difference. Orphaned versions accumulate silently as new versions ship and the old assignment is never extended or retired.</t>
  </si>
  <si>
    <t>ProcedureVersions.HasAnySteward=2/3; ProcedureVersions.IsLive=2/3; ProcedureVersions.IsLiveAndUnstewarded=0/3; ProcedureVersions.IsUnstewarded=1/3; StewardshipAssignments.IsCurrentAssignment=2/2</t>
  </si>
  <si>
    <t>q-steward-untested-fallbacks</t>
  </si>
  <si>
    <t>close-04-fallback-close-03 and policy-07-fallback-policy-06 are the paths we take when things go wrong. Have they EVER been walked in a real execution?</t>
  </si>
  <si>
    <t>There are 19 StepTransitions and only 12 StepExecutions. Every Fallback and Alternative transition in this model is untested. Untested fallbacks are exactly where an outage becomes an incident — the day the ERP is down is the wrong day to discover the recovery path was never real. Nothing in the model witnesses this.</t>
  </si>
  <si>
    <t>StepExecutions.IsCompleted=12/12; StepTransitions.HasBeenTraversed=10/19; StepTransitions.HasReachableOrigin=14/19; StepTransitions.HasReachableTarget=13/19; StepTransitions.IsNeverExercised=6/19; StepTransitions.IsRecoveryPath=4/19; StepTransitions.IsUntestedRecoveryPath=1/19; StepTransitions.IsUnwalkedRecoveryPath=4/19</t>
  </si>
  <si>
    <t>q-steward-published-with-blocking-gap</t>
  </si>
  <si>
    <t>Is any procedure version live with an Open BLOCKING knowledge gap against it?</t>
  </si>
  <si>
    <t>gap-close-dual-outage was Blocking and is now Resolved — good. But nothing stops the next one from staying Open while the version keeps shipping. ProcedureVersions.CountOfOpenKnowledgeGaps exists but is blind to BlockingKind, so a Blocking gap and a cosmetic one count the same. IsReadyForExecution then fails on trivia and stays silent on the thing that should stop the line.</t>
  </si>
  <si>
    <t>KnowledgeGaps.IsBlocking=5/8; KnowledgeGaps.IsOpenAndBlocking=0/8; ProcedureVersions.HasOpenBlockingGap=0/3; ProcedureVersions.IsLiveWithBlockingGap=0/3; ProcedureVersions.ShouldNotBeExecutable=0/3</t>
  </si>
  <si>
    <t>q-steward-stalled-change-requests</t>
  </si>
  <si>
    <t>cr-policy-delivery was requested on 2026-07-19 and has no DecidedAt. How long has it been sitting, and is that longer than we tolerate?</t>
  </si>
  <si>
    <t>A change request with no decision is a decision — to do nothing — but it never announces itself. The model stores RequestedAt and DecidedAt and computes neither the interval nor a staleness verdict. Since cr-policy-delivery is the vehicle for closing gap-policy-delivery-receipts on a live policy version, its stall is load-bearing.</t>
  </si>
  <si>
    <t>ChangeRequests.IsDecided=1/2; ChangeRequests.IsStalled=0/2; ChangeRequests.IsStillPending=1/2; ChangeRequests.RequesterIsAuthority=0/2</t>
  </si>
  <si>
    <t>q-authority-orphaned-provenance</t>
  </si>
  <si>
    <t>kf-close-fx-time, kf-close-top-ten and kf-close-judgment all trace to devon-okafor via elicit-close-shadow. If Devon's controller role assignment ends, which of our beliefs lose their witness?</t>
  </si>
  <si>
    <t>This is institutional memory decay in its purest form. A knowledge fragment is a claim; its SourceAgent is the person who can defend it. When that person's RoleAssignment.ValidTo passes, the claim survives in the database but its warrant evaporates — nobody left can say why we believe it. The chain KnowledgeFragments -&gt; SourceAgent -&gt; RoleAssignments.ValidTo is fully modeled and never traversed. Three of seven fragments hang off one human.</t>
  </si>
  <si>
    <t>Agents.IsStillEngaged=10/11; KnowledgeFragments.HasHumanSource=7/7; KnowledgeFragments.HasOrphanedProvenance=0/7; KnowledgeFragments.IsUndefendableTacitClaim=0/7; KnowledgeFragments.SourceAgentIsStillEngaged=7/7; RoleAssignments.HasDeparted=1/13</t>
  </si>
  <si>
    <t>q-authority-non-approved-dependency</t>
  </si>
  <si>
    <t>kf-policy-manager-route is Status=Reviewed, not Approved, so IsCurrentlyValid is FALSE. policy-08 is a live step. Are we running a procedure on knowledge I never approved?</t>
  </si>
  <si>
    <t>This is the exact failure the separation of Reviewed and Approved exists to catch, and nothing catches it. The fragment describes the 48-hour manager-routing behavior that exc-unreachable depends on. It is attached to a step in an Approved procedure version, it is being relied upon operationally, and it has never passed my desk. The model knows every piece of this and joins none of it.</t>
  </si>
  <si>
    <t>KnowledgeFragments.IsApproved=6/7; KnowledgeFragments.IsAttachedToLiveVersion=7/7; KnowledgeFragments.IsReliedUpon=7/7; KnowledgeFragments.IsUnapprovedButReliedOn=1/7; KnowledgeFragments.IsWithinValidityWindow=7/7; ProcedureVersions.RunsOnUnapprovedKnowledge=3/3</t>
  </si>
  <si>
    <t>q-authority-stale-elicitation</t>
  </si>
  <si>
    <t>elicit-close-shadow ran on 2026-04-03 and elicit-policy-workshop on 2026-05-10. How old is the evidence behind each belief, and at what age do I stop trusting a shadowing session I have not repeated?</t>
  </si>
  <si>
    <t>Knowledge does not announce its own expiry. Every fragment here has ValidTo=null, which reads as 'valid forever' — but a Tacit claim captured by shadowing one controller for three hours in April is a snapshot of a practice that drifts. I want the age of the EVIDENCE, not the age of the record, and I want it graded by how fragile the elicitation method was.</t>
  </si>
  <si>
    <t>ElicitationSessions.IsSingleWitnessMethod=2/3; ElicitationSessions.PractitionerIsStillEngaged=3/3; KnowledgeFragments.EvidenceHasExpired=0/7; KnowledgeFragments.HasRecordedElicitation=6/7; KnowledgeFragments.IsFromSingleWitness=4/7</t>
  </si>
  <si>
    <t>q-authority-known-unknowns</t>
  </si>
  <si>
    <t>What do we know that we do not know? gap-policy-delivery-receipts has been Open since 2026-07-18 with a ResolutionPlan and no owner activity. How long do our acknowledged ignorances stay acknowledged and unresolved?</t>
  </si>
  <si>
    <t>A KnowledgeGap is the most honest object in this model: a written admission of what we do not know. But an admission with no clock on it converts into a permanent condition. KnowledgeGaps has IdentifiedAt and a Status and computes no age, no ownership currency, and no relationship between a gap's severity and how long we have tolerated it. Known unknowns that never age are not being managed, they are being filed.</t>
  </si>
  <si>
    <t>KnowledgeGaps.HasResolutionPlan=8/8; KnowledgeGaps.IsAbandonedUnknown=0/8; KnowledgeGaps.IsOverdueGap=0/8; KnowledgeGaps.OwnerIsStillEngaged=8/8</t>
  </si>
  <si>
    <t>q-authority-unwitnessed-change</t>
  </si>
  <si>
    <t>cr-close-timestamp altered a blocking control on close-v1.1.0 and was decided by me. Did any semantic change to a live procedure reach production without a change request and without a review event behind it?</t>
  </si>
  <si>
    <t>My authority is over what counts as true, which means every change to the meaning of a live procedure must trace to a decision I made. close-v1.1.0 was ModifiedAt 2026-07-02T15:00 by maria-chen; review-close-q2 happened at 16:00 and cr-close-timestamp was raised at 16:30. That ordering is fine. But nothing in the model checks the ordering, so an edit that PRECEDES no review and no change request looks identical to a governed one. Provenance of change is as much an epistemic question as provenance of belief.</t>
  </si>
  <si>
    <t>ProcedureVersions.HasGovernanceRecord=2/3; ProcedureVersions.HasUnwitnessedChange=0/3; ProcedureVersions.WasModifiedSinceLastReview=0/3</t>
  </si>
  <si>
    <t>q-counsel-sms-without-consent</t>
  </si>
  <si>
    <t>Did we send an SMS to any recipient who had not given SMS consent at the moment we sent it?</t>
  </si>
  <si>
    <t>comm-sms-policy sets ConsentRequired=true. Every SMS to a non-consenting recipient is an independent statutory violation with per-message damages, and the exposure scales with the size of the affected population. Right now the model cannot answer this at all -- there are no per-recipient send records -- so counsel cannot sign off on policy-04, cannot certify to an outside regulator, and cannot even scope the exposure. The absence of the record IS the legal problem: unanswerable and non-compliant look identical from the outside.</t>
  </si>
  <si>
    <t>MessageDeliveries.IsConsentViolation=0/6; MessageDeliveries.PolicyRequiresConsent=4/6; MessageDeliveries.RecipientHasSmsConsent=4/6; MessageDeliveries.WasActuallyTransmitted=4/6</t>
  </si>
  <si>
    <t>q-counsel-quiet-hours-breach</t>
  </si>
  <si>
    <t>Did any SMS go out between 20:00 and 08:00 in the recipient's own local time?</t>
  </si>
  <si>
    <t>comm-sms-policy declares QuietHoursStart 20:00 / QuietHoursEnd 08:00. Quiet-hours restrictions on non-emergency messaging are statutory in several jurisdictions and contractual in others, and a night-time text to an employee about an employment policy change is exactly the fact pattern that generates a complaint. The window wraps midnight, which is where naive implementations quietly get it wrong -- and a witness that is wrong in the safe direction is worse than no witness, because it manufactures false assurance.</t>
  </si>
  <si>
    <t>MessageDeliveries.IsInsideQuietWindow=1/6; MessageDeliveries.IsQuietHoursViolation=1/6; MessageDeliveries.PolicyHasQuietHours=4/6; MessageDeliveries.QuietWindowWrapsMidnight=4/6</t>
  </si>
  <si>
    <t>q-counsel-unreachable-not-acknowledged</t>
  </si>
  <si>
    <t>For every recipient we could not reach, did we correctly refrain from marking their acknowledgement complete?</t>
  </si>
  <si>
    <t>exc-unreachable is explicit: create an HR case, route to the manager, and do NOT mark acknowledgement complete. A falsely-recorded acknowledgement is the single most dangerous artifact in this entire model -- it is an affirmative written misrepresentation that the employee received and accepted a policy change, and it is exactly the document that gets subpoenaed in a wrongful-termination or unpaid-notice claim. Deemed-acknowledgement by silence is not acknowledgement. I would rather have zero acknowledgements than one fabricated one.</t>
  </si>
  <si>
    <t>MessageDeliveries.HasUnreachableExceptionInvoked=1/6; MessageDeliveries.IsAcknowledged=1/6; MessageDeliveries.IsFabricatedAcknowledgement=0/6; MessageDeliveries.IsUnhandledUnreachable=0/6; MessageDeliveries.RecipientIsUnreachable=0/6</t>
  </si>
  <si>
    <t>q-counsel-retention-evidence</t>
  </si>
  <si>
    <t>Do we still hold the exact text of every message we sent, for the full 2555-day retention period the policy commits us to?</t>
  </si>
  <si>
    <t>Both comm-sms-policy and comm-email-policy declare RetentionDays=2555 -- seven years. That is a commitment we made in writing, and in a dispute the question is never 'what did the template say', it is 'what did THIS employee actually receive'. Templates contain variable substitutions; the rendered text is the evidence. If a delivery record exists but its rendered body is empty, we have a receipt with no document behind it, and the adverse inference runs against us.</t>
  </si>
  <si>
    <t>MessageDeliveries.HasRenderedBody=6/6; MessageDeliveries.IsEvidenceRequired=4/6; MessageDeliveries.IsRetentionBreach=0/6; MessageDeliveries.IsWithinRetentionWindow=6/6</t>
  </si>
  <si>
    <t>q-counsel-legal-review-gated-send</t>
  </si>
  <si>
    <t>Did any message go out before my legal review of the underlying policy version was actually complete?</t>
  </si>
  <si>
    <t>policy-04 is my step, and right now se-policy04 is InProgress with VerificationResult PENDING. If policy-07 sends started while my review was still open, then employees received a policy communication that no lawyer had cleared -- and the model would show that in black and white. This is not process pedantry: an unreviewed employment-policy communication can create a binding representation to the workforce, and once it is sent we cannot un-send it. The ordering constraint is the control.</t>
  </si>
  <si>
    <t>MessageDeliveries.ExecutionHasClearedLegalReview=6/6; MessageDeliveries.IsUnreviewedSend=0/6; ProcedureExecutions.HasClearedLegalReview=1/2; StepExecutions.IsLegalReviewStep=1/12; StepExecutions.IsVerificationPassed=11/12</t>
  </si>
  <si>
    <t>q-comms-oversized-sms</t>
  </si>
  <si>
    <t>Did any SMS we sent exceed 160 characters or split into more than 3 segments?</t>
  </si>
  <si>
    <t>comm-sms-policy sets MaxMessageLength=160 and MaxSegments=3, and I own that policy. An over-length SMS silently splits at the carrier, arrives out of order, and -- this is the part that actually hurts -- the opt-out language is in the LAST segment, so an over-length message can strip the STOP instruction off the end of what people actually read. I have the template body and I have the policy limit sitting in the same rulebook and nothing compares them. This is the most embarrassing category of failure because it was computable from data we already had.</t>
  </si>
  <si>
    <t>MessageDeliveries.IsOverSegmentLimit=0/6; MessageTemplates.IsTemplateOverLength=0/2</t>
  </si>
  <si>
    <t>q-comms-approval-authority</t>
  </si>
  <si>
    <t>Was every template we actually sent approved by me -- the ApprovalRole the policy names -- before it went out?</t>
  </si>
  <si>
    <t>Both channel policies name communications-manager as ApprovalRole. Right now tmpl-policy-sms.Status says 'Approved' and there is not one byte of data anywhere saying WHO approved it or WHEN. A status string with no approver behind it is not an approval, it is a claim. I need to be able to point at a row and say 'that is my name, that is the timestamp, that is the version of the text I saw'. Otherwise when something goes out wrong, 'approved' means nothing and the accountability lands wherever it lands.</t>
  </si>
  <si>
    <t>MessageDeliveries.IsUnapprovedSend=0/6; MessageDeliveries.TemplateHasValidApproval=6/6; MessageTemplates.HasValidApproval=2/2; MessageTemplates.IsClaimingUnbackedApproval=0/2; TemplateApprovals.IsApprovalDecision=2/2; TemplateApprovals.IsDecidedByRequiredRole=2/2</t>
  </si>
  <si>
    <t>q-comms-optout-present</t>
  </si>
  <si>
    <t>Did every SMS we actually transmitted carry the approved opt-out text?</t>
  </si>
  <si>
    <t>comm-sms-policy RequiredContent says 'Short notice, secure link, approved opt-out text' and the approved template ends with 'Reply STOP to opt out of SMS; email notices continue.' The opt-out is not decoration -- it is the mechanism by which consent stays meaningful, and it is the thing that gets clipped first when a message runs long. I want to check the RENDERED body, not the template, because that is what the employee saw. A policy that declares RequiredContent and never verifies it is a policy that documents an intention.</t>
  </si>
  <si>
    <t>MessageDeliveries.HasOptOutPhrase=3/6; MessageDeliveries.IsMissingRequiredOptOut=1/6; MessageDeliveries.IsOptOutAtRiskOfTruncation=0/6; MessageDeliveries.IsOptOutInFirstSegment=3/6; MessageDeliveries.PolicyRequiresOptOut=4/6</t>
  </si>
  <si>
    <t>q-comms-deliverability</t>
  </si>
  <si>
    <t>For this policy run, what fraction of the affected population actually received something -- and how many are sitting in a bounced or failed state that nobody is working?</t>
  </si>
  <si>
    <t>This is the question I get asked in the Monday stand-up and I currently answer it from a spreadsheet somebody built by hand. It is also the operational face of my own open item gap-policy-delivery-receipts and the change request I already filed, cr-policy-delivery. A bounce that nobody triages is functionally identical to never having sent the message, except that it produces a record that makes it LOOK like we did. That is the failure mode I most want visible.</t>
  </si>
  <si>
    <t>MessageDeliveries.IsAbandonedFailure=0/6; MessageDeliveries.IsFailedDelivery=1/6; MessageDeliveries.IsSuppressed=1/6; MessageDeliveries.IsTriaged=3/6; ProcedureExecutions.HasAbandonedFailures=0/2</t>
  </si>
  <si>
    <t>q-comms-template-drift</t>
  </si>
  <si>
    <t>Has any template been edited since I approved it, and did we send the edited version under cover of my old approval?</t>
  </si>
  <si>
    <t>This is the failure I have actually lived through. A template gets approved, then somebody makes 'a tiny wording fix' to the body, and the Status field still cheerfully says Approved because nothing ever reset it. The approval attaches to a version of the text, not to a row id. If the body changed and the approval did not, then my name is on something I never read -- and given that these are employment-policy communications, that is not a governance abstraction, that is my name on a legal notice I did not review.</t>
  </si>
  <si>
    <t>MessageDeliveries.IsDriftedSend=0/6; MessageDeliveries.TemplateWasSendable=6/6; MessageTemplates.HasBodyDrifted=0/2; MessageTemplates.IsSendableUnderApproval=2/2</t>
  </si>
  <si>
    <t>q-publisher-may-i-transmit</t>
  </si>
  <si>
    <t>Before I transmit, am I permitted to use this channel for this recipient at all?</t>
  </si>
  <si>
    <t>I am the component that actually calls the carrier. Every other question in this rulebook is asked after I have already acted, which means every other question is asked too late. I need one column I can read that says PERMITTED or NOT PERMITTED, computed from the policy rows rather than from anything hardcoded in my own configuration -- because my configuration is not the source of truth and should not be. If I cannot determine consent, the answer must be no. An unevaluable rule is a refusal, not a pass.</t>
  </si>
  <si>
    <t>CommunicationPolicies.IsActivePolicy=2/2; SendIntents.ConsentGatePassed=6/7; SendIntents.IntentRequiresConsent=6/7; SendIntents.PermissionGatePassed=6/7; SendIntents.PolicyIsActive=7/7; SendIntents.ReachabilityGatePassed=6/7; SendIntents.RecipientHasChannelConsent=6/7; SendIntents.RecipientIsEmailReachable=7/7; SendIntents.RecipientIsSmsReachable=6/7</t>
  </si>
  <si>
    <t>q-publisher-may-i-transmit-now</t>
  </si>
  <si>
    <t>Before I transmit, is the current moment inside a window this channel forbids?</t>
  </si>
  <si>
    <t>Timing is the one gate I can get right unilaterally and the one that is easiest to get wrong silently. My scheduler runs continuously; nothing about being invoked at 22:40 tells me I should not act. The quiet-hours window is recipient-local and it wraps midnight, so 06:15 is forbidden even though six is less than twenty. I need this evaluated as data on the intent row rather than as arithmetic inside my own code, because arithmetic inside my own code is exactly what nobody can audit and exactly what drifted from the policy in the first place.</t>
  </si>
  <si>
    <t>SendIntents.IntentIsInsideQuietWindow=1/7; SendIntents.IntentPolicyHasQuietHours=6/7; SendIntents.IntentQuietWindowWraps=6/7; SendIntents.TimingGatePassed=6/7</t>
  </si>
  <si>
    <t>q-publisher-is-this-content-permitted</t>
  </si>
  <si>
    <t>Before I transmit, is the exact text I am holding within this channel's content rules?</t>
  </si>
  <si>
    <t>I render the body; therefore I am the last component that can measure it before it becomes a fact. The template can be compliant and my rendered output still not be, because I am the one substituting the URL and the date. Measuring my own output against the policy's MaxMessageLength, MaxSegments and required opt-out phrase costs me nothing and is the only point in the whole procedure where the comparison is both possible and still preventable. Doing it afterward, as the retrospective witnesses do, tells someone what I did wrong. Doing it here stops it.</t>
  </si>
  <si>
    <t>SendIntents.ContentGatePassed=5/7; SendIntents.LengthGatePassed=7/7; SendIntents.OptOutGatePassed=5/7</t>
  </si>
  <si>
    <t>q-publisher-am-i-authorized-to-act</t>
  </si>
  <si>
    <t>Before I transmit, has every human authorization my instructions depend on actually been granted?</t>
  </si>
  <si>
    <t>policy-07 tells me to enforce channel rules and send APPROVED messages. I am not competent to judge whether a message should exist -- that is the communications manager's approval and the employment counsel's review. What I am competent to do is refuse to act until both are recorded as granted. Today I have no such column, which means I have been treating the absence of an objection as an approval. That is the inverted default and it is how an AI drafting agent's self-approval ended up on a live send. I want the gate to require positive evidence of authorization, so that missing data blocks me instead of releasing me.</t>
  </si>
  <si>
    <t>SendIntents.ApprovalIsHuman=7/7; SendIntents.AuthorizationGatePassed=7/7; SendIntents.ExecutionHasLegalClearance=7/7; SendIntents.IsClearedToSend=3/7; SendIntents.TemplateIsSendable=7/7</t>
  </si>
  <si>
    <t>q-publisher-refusal-was-honored</t>
  </si>
  <si>
    <t>When a gate refused, did the transmission actually stop -- and did I invoke the documented exception instead?</t>
  </si>
  <si>
    <t>This is the only question I ask about the past, and I ask it about myself. A gate that computes a refusal which is then ignored is worse than no gate: it produces a durable record proving we knew and proceeded anyway, which is the fact pattern that turns a compliance finding into a willfulness finding. exc-no-sms-consent tells me precisely what to do when the consent gate refuses -- suppress SMS, send approved email only. So the check is two-part: did I stop, and did I take the documented alternative rather than simply dropping the recipient. Silently dropping someone is not compliance, it is a different failure wearing compliance's clothes.</t>
  </si>
  <si>
    <t>SendIntents.HasResultingDelivery=2/7; SendIntents.IsOverriddenRefusal=0/7; SendIntents.IsProperlyHandledRefusal=0/7; SendIntents.IsSilentlyDropped=4/7; SendIntents.RefusalCitedAnException=0/7; SendIntents.ResultingDeliveryWasTransmitted=2/7</t>
  </si>
  <si>
    <t>q-close-auto-authority-current</t>
  </si>
  <si>
    <t>Before I execute close-01, close-02, or close-07: is my own role assignment currently valid, and is the agent named in that assignment actually me?</t>
  </si>
  <si>
    <t>I am a pipeline. I must not act on a step whose role has been reassigned out from under me, or whose assignment window has lapsed. `ra-notify-pipeline-2026` proves assignments can be scoped to a platform release; a v5.3 rollout could supersede close-pipeline's authority mid-quarter and today NOTHING would stop me from posting entries anyway. This is my single most important pre-condition.</t>
  </si>
  <si>
    <t>RoleAssignments.CoversNow=12/13; Roles.HasNoCurrentHolder=0/12; StepExecutions.ExecutorIsDesignatedAgent=12/12</t>
  </si>
  <si>
    <t>q-close-auto-input-freshness</t>
  </si>
  <si>
    <t>Before I extract in close-02: is every operational binding this step reads inside its freshness SLA, and is it the authoritative one?</t>
  </si>
  <si>
    <t>`issue-close-feed` already happened to me — a feed was 17 minutes old against a 15-minute SLA on `bind-close-erp`, and I extracted anyway. `verify-feed-time` states the expectation as a signal, but nothing in the model refuses to let me run. I need per-step aggregate freshness, not a per-binding fact I have to interpret myself.</t>
  </si>
  <si>
    <t>OperationalBindings.IsStaleAndAuthoritative=3/5; StepExecutions.InputsWereFreshAtRun=10/12; StepExecutions.RanOnStaleInputs=2/12; Steps.InputsAreFresh=14/17</t>
  </si>
  <si>
    <t>q-close-auto-last-run-clean</t>
  </si>
  <si>
    <t>Did my previous run leave anything unresolved — an open issue, a WARN, or a deviation — that I should refuse to run on top of?</t>
  </si>
  <si>
    <t>`se-close02` carries VerificationResult=WARN and a Deviation, and `issue-close-feed` hangs off it. A pipeline that starts a new quarter without checking whether its own last quarter closed clean is a pipeline that laminates errors. I need a per-agent, per-run cleanliness verdict I can read in one column.</t>
  </si>
  <si>
    <t>IssueOccurrences.IsUnresolved=1/2; ProcedureExecutions.RanClean=0/2; StepExecutions.HasDeviation=4/12; StepExecutions.IsClean=5/12</t>
  </si>
  <si>
    <t>q-close-auto-blocking-requirements-evaluated</t>
  </si>
  <si>
    <t>For each step I am about to run, has every blocking requirement attached to it actually been evaluated — or am I about to execute past a control that nobody scored?</t>
  </si>
  <si>
    <t>`sr-c01` binds `req-close-cutoff` (blocking) to close-01 and `sat-close-cutoff` scores it. But `sr-c03b` binds `req-close-evidence` to close-03 and `sr-c08` binds it to close-08 — and there is no RequirementSatisfaction row for either. A blocking retention control on the step where I archive evidence is completely unevaluated. I need to see that as a number, not infer it from an absence.</t>
  </si>
  <si>
    <t>StepExecutions.HasUnevaluatedBlockingRequirement=0/12</t>
  </si>
  <si>
    <t>q-close-auto-human-override-drift</t>
  </si>
  <si>
    <t>Am I drifting? Are humans overriding or correcting my output more often now than they used to?</t>
  </si>
  <si>
    <t>This is my self-assessment question and it is the one I currently cannot ask at all. `se-close02` was corrected by a human (controller-approved rerun) and that fact exists only as prose in a Deviation string. If my override rate is climbing across quarters, the model should say so as a number before a human notices as a feeling. Note that a rising override rate is not automatically bad — it may mean humans are watching more closely — but it must be visible either way.</t>
  </si>
  <si>
    <t>AgentDecisionRecords.WasOverridden=1/3; AgentDecisionRecords.WasReviewed=3/3; Agents.IsNonHuman=4/11</t>
  </si>
  <si>
    <t>q-hr-authority-without-review</t>
  </si>
  <si>
    <t>I am the AuthorityRole on cr-policy-delivery and it has been UnderReview with no DecidedAt since 2026-07-19. What decisions are waiting on me personally, and how long have they been waiting?</t>
  </si>
  <si>
    <t>Being an authority means decisions queue on my name. cr-policy-delivery is the vehicle for closing gap-policy-delivery-receipts on a live policy version — my inaction is load-bearing for someone else's remediation. The model records the AuthorityRole and the RequestedAt and never once resolves the pair into 'Elena owes a decision, and it is N days late'. I would rather the model embarrass me than have the gap stay open.</t>
  </si>
  <si>
    <t>ChangeRequests.AwaitsAuthorityDecision=1/2; ChangeRequests.BlocksAnOpenGap=1/2; ChangeRequests.IsLiveDecisionBacklog=1/2; ChangeRequests.TouchesLiveVersion=2/2</t>
  </si>
  <si>
    <t>q-hr-ai-authored-commitments</t>
  </si>
  <si>
    <t>kf-policy-ai-boundary says AI may draft but may not create legal commitments. policy-03 and policy-06 are both assigned to policy-drafting-agent and se-policy03 was executed by policy-drafting-ai. Is that boundary actually being held?</t>
  </si>
  <si>
    <t>This is the single commitment in the whole policy procedure that I would be asked about under oath. We wrote down the rule — AI drafts, humans commit — as an Approved Explicit fragment sourced from counsel. Then we built a procedure where an AI executes drafting steps and a pipeline sends the results. Whether the human approval step actually sits between them is a structural property nobody checks. If policy-05 were ever skipped or executed by software, the boundary would be violated and the model would say nothing.</t>
  </si>
  <si>
    <t>StepExecutions.SoftwareDidHumanWork=0/12; StepExecutions.StepIsSoftwareAssigned=5/12; StepExecutions.WasExecutedBySoftware=5/12; Steps.GateHeldByHuman=2/17; Steps.IsHumanApprovalGate=2/17; Steps.IsSoftwareAssigned=8/17</t>
  </si>
  <si>
    <t>q-hr-unapproved-knowledge-in-my-name</t>
  </si>
  <si>
    <t>kf-policy-manager-route is Status=Reviewed and I am its OwnerRole. exc-unreachable routes real employee cases on that exact 48-hour rule. Which claims am I the owner of that were never approved?</t>
  </si>
  <si>
    <t>The knowledge authority asks whether the procedure runs on unapproved knowledge. I ask a narrower and more uncomfortable version: which of those unapproved claims are mine. OwnerRole on kf-policy-manager-route is hr-policy-owner — me — and its Status is Reviewed. I own a belief that governs how we treat an unreachable employee, and I never finished approving it. That is a personal accountability question, not a governance statistic.</t>
  </si>
  <si>
    <t>KnowledgeFragments.HasOperationalReliance=2/7; KnowledgeFragments.IsAwaitingApproval=1/7; KnowledgeFragments.IsMyUnfinishedApproval=1/7; KnowledgeFragments.IsUnapprovedAndOperationallyLive=1/7; KnowledgeFragments.OwnerIsMe=1/7</t>
  </si>
  <si>
    <t>q-hr-what-was-actually-sent</t>
  </si>
  <si>
    <t>policy-07 sends approved communications under channel controls, and kf-policy-channel says disputes are resolved against the complete approved email. If an employee disputes what they received, can I show that what was sent matched what I approved?</t>
  </si>
  <si>
    <t>This is the question I will actually be asked in a dispute, and it is the one this model is furthest from answering. policy-05 is where I approve meaning; policy-06 renders; policy-07 sends. Between approval and delivery sit a drafting AI and a notification pipeline, and the model records no link at all from a sent message back to the approval that authorized it. MessageTemplates and CommunicationPolicies exist as specifications; nothing records an instance.</t>
  </si>
  <si>
    <t>ProcedureExecutions.DeliveredWithoutApproval=0/2; ProcedureExecutions.HasDelivered=0/2; ProcedureExecutions.HasHumanApproval=2/2; StepExecutions.IsApprovalExecution=1/12; StepExecutions.IsVerified=12/12</t>
  </si>
  <si>
    <t>q-hr-policy-knowledge-half-life</t>
  </si>
  <si>
    <t>policy-v1.0.0 was issued 2026-06-01 on knowledge elicited in May from Amina, Noah and me. My stewardship promises a 60-day cadence. Is the policy I own now resting on knowledge older than the policy itself has been reviewed?</t>
  </si>
  <si>
    <t>Employment policy is where stale knowledge becomes legal exposure — a jurisdictional rule that changed, a consent requirement that moved, a channel constraint that a provider silently altered. My 60-day cadence is the tightest in the model precisely because policy knowledge decays fast. But cadence governs the REVIEW; nothing governs the KNOWLEDGE. A version can be reviewed perfectly on schedule while every fragment underneath it quietly ages past usefulness, and both facts live in this model without ever meeting.</t>
  </si>
  <si>
    <t>KnowledgeFragments.ExceedsOwningCadence=7/7; KnowledgeFragments.IsAgingLowConfidenceClaim=2/7; KnowledgeFragments.IsLowConfidence=2/7; ProcedureVersions.KnowledgeIsStalerThanCadence=3/3</t>
  </si>
  <si>
    <t>q-variance-ai-authority-provenance</t>
  </si>
  <si>
    <t>By what authority am I executing close-04, when did that authority begin, who approved it, and who held this role before me?</t>
  </si>
  <si>
    <t>This is the question almost no enterprise can answer about its own automated controls: which of our controls are now executed by a non-human, since when, and under what approval. Everything needed is already in `RoleAssignments` as data — `ra-old-variance` and `ra-new-variance` — but it is inert. Nothing surfaces 'this role changed species', nothing names the approving authority, and nothing links the handover to a ChangeRequest. I need my own provenance as columns before I act.</t>
  </si>
  <si>
    <t>RoleAssignments.IsHumanToNonHumanHandover=1/13; RoleAssignments.IsNonHumanAssignment=4/13; RoleAssignments.IsUnauthorizedNonHumanAssignment=3/13</t>
  </si>
  <si>
    <t>q-variance-ai-quality-vs-human-baseline</t>
  </si>
  <si>
    <t>Since I took over on 2026-04-01, is my triage quality better or worse than maria-chen's during the 2025-01-01 to 2026-03-31 human pilot?</t>
  </si>
  <si>
    <t>'Did quality change at the handover' is the question a regulator asks and nobody can answer. The human pilot period was preserved deliberately — `ra-old-variance` is Superseded, not deleted — so a baseline EXISTS. But quality is currently unmeasurable for either side, because no decision-grain record exists. The same predicates must evaluate on both agents so the comparison is apples-to-apples rather than two different narratives.</t>
  </si>
  <si>
    <t>RoleAssignments.QualityRegressedVsPredecessor=0/13</t>
  </si>
  <si>
    <t>q-variance-ai-boundary-compliance</t>
  </si>
  <si>
    <t>Am I operating inside my approved boundary — or have I made a decision that `kf-policy-ai-boundary` says only a human may make?</t>
  </si>
  <si>
    <t>`kf-policy-ai-boundary` states: 'AI may draft from approved sources but may not create new legal commitments or approve meaning.' It is Approved, IsCurrentlyValid=TRUE, owned by employment-counsel. It is a real, ratified constraint on AI conduct — and NOTHING IN THE MODEL ENFORCES IT. It is a sentence in a Statement column. The same is true for me on the finance side: `req-close-human-approval` says controller and CFO approvals must be human-confirmed, but no column would stop an AI-held role from producing an approval. I want my own boundary to be machine-checkable, because an unenforced boundary is not a boundary.</t>
  </si>
  <si>
    <t>AgentDecisionRecords.ViolatedAuthorityBoundary=0/3; AuthorityBoundaries.IsCurrentlyBinding=3/3; AuthorityBoundaries.RatifyingFragmentIsValid=2/3</t>
  </si>
  <si>
    <t>q-variance-ai-human-confirmation-present</t>
  </si>
  <si>
    <t>close-04's instruction says 'Use AI triage, then apply human judgment.' Did a human actually confirm my material and escalated calls, or did my output pass through unreviewed?</t>
  </si>
  <si>
    <t>`se-close04` records the Deviation 'Human analyst confirmed all material escalations.' — that is the entire evidence that human-in-the-loop happened, and it is a free-text string an AI wrote about itself. `Steps.RequiresHumanConfirmation` exists as a raw boolean on the specification side but nothing on the execution side tests against it. If I am the AI holding this control, the single thing that keeps me legitimate is that a human looked. I want that as a count, not a sentence.</t>
  </si>
  <si>
    <t>AgentDecisionRecords.HasHumanConfirmation=3/3; AgentDecisionRecords.IsUnconfirmedNonHumanDecision=0/3; AgentDecisionRecords.NeedsHumanConfirmation=3/3; StepExecutions.HumanConfirmationMissing=0/12; StepExecutions.RequiresHumanConfirmation=3/12</t>
  </si>
  <si>
    <t>q-variance-ai-knowledge-currency</t>
  </si>
  <si>
    <t>Is the judgment knowledge I triage against still valid, still owned by someone, and has it been reviewed since I took over the role?</t>
  </si>
  <si>
    <t>I classify variances against `kf-close-fx-time`, `kf-close-top-ten`, and `kf-close-judgment` — all Approved, all sourced from devon-okafor during `elicit-close-shadow` on 2026-04-03, all owned by the controller role. Two problems I cannot currently see: whether that knowledge has been re-reviewed since the AI handover on 2026-04-01, and whether its owning role still has a human holder. If the controller role ever went non-human, AI judgment would be validated by AI-owned knowledge with no human anywhere in the loop, and nothing would say so.</t>
  </si>
  <si>
    <t>KnowledgeFragments.IsAiValidatedByAi=0/7; KnowledgeFragments.IsHumanOwned=7/7; KnowledgeFragments.IsOverdueForReview=6/7; KnowledgeFragments.PredatesCurrentRoleHolder=0/7</t>
  </si>
  <si>
    <t>q-policy-ai-no-role-assignment</t>
  </si>
  <si>
    <t>I am named as `policy-drafting-agent`.CurrentAgent and I executed `se-policy03` — but is there any RoleAssignment row that actually grants me this role?</t>
  </si>
  <si>
    <t>There is not. `RoleAssignments` contains rows for finance-analyst, controller, cfo, hr-policy-owner, employment-counsel, notification-publisher, and both sides of variance-review-agent. There is NO row for policy-drafting-agent, close-automation, communications-manager, process-steward, or knowledge-authority. `Roles.CurrentAgent` says I hold the role; nothing time-bounds or authorizes it. An AI that drafts employment policy on the strength of a denormalized pointer, with no valid-from, no approving authority, and no change request, is exactly the gap `ra-new-variance` was built to close for the variance role — and nobody closed it for me.</t>
  </si>
  <si>
    <t>Roles.IsNonHumanHeld=4/12; Roles.IsUngovernedNonHumanRole=0/12; Steps.AssignedRoleIsUngoverned=0/17</t>
  </si>
  <si>
    <t>q-policy-ai-source-approval</t>
  </si>
  <si>
    <t>Before I draft: is every resource I am about to read an approved source, and is its binding still inside its freshness SLA?</t>
  </si>
  <si>
    <t>`req-policy-source` is blocking — 'Drafting may use only approved source resources and validated elicitation records' — and `verify-policy-source` expects unapproved-source-count = 0. But `Resources` has no approval column at all. Eight resources exist and not one carries a status. `sat-policy-source` claims 'Draft provenance contains only approved source and elicitation records' as free text scored by a human. The blocking control on my own step is evaluated by assertion. I want it evaluated by arithmetic.</t>
  </si>
  <si>
    <t>OperationalBindings.IsUsableForDrafting=0/5; OperationalBindings.ResourceIsApproved=0/5; Resources.IsApprovedSource=0/8; StepExecutions.DraftedFromUnusableSource=2/12; StepExecutions.InputsWereUsable=10/12; Steps.AllSourcesUsable=14/17</t>
  </si>
  <si>
    <t>q-policy-ai-commitment-boundary</t>
  </si>
  <si>
    <t>Did I draft language that creates a new legal commitment — the one thing `kf-policy-ai-boundary` says I may not do?</t>
  </si>
  <si>
    <t>This is my boundary and it is the model's clearest example of a ratified constraint with zero enforcement. `kf-policy-ai-boundary` is Approved, Confidence High, sourced from noah-williams during `elicit-policy-interview`, owned by employment-counsel, IsCurrentlyValid TRUE. It says AI 'may not create new legal commitments or approve meaning.' Nothing in fifty tables tests it. `req-policy-human-approval` says the same thing from the requirement side and is also blocking — and `sr-p05` binds it to policy-05, a step I do not execute, so even that requirement never looks at my output. I want my own leash to be real.</t>
  </si>
  <si>
    <t>Agents.IsOperatingOutsideBoundary=0/11; AuthorityBoundaries.IsUntested=3/3</t>
  </si>
  <si>
    <t>q-policy-ai-downstream-rewrite</t>
  </si>
  <si>
    <t>Is my draft surviving human review, or is `noah-williams` rewriting my legal language every time?</t>
  </si>
  <si>
    <t>My self-assessment question. `se-policy04` is the legal review of my policy-03 draft and it is still InProgress with `sat-policy-legal` at PartiallySatisfied. If counsel systematically rewrites what I produce, I am not drafting — I am generating a first pass that costs a lawyer more time than it saves, and the org should know that as a rate rather than as a lawyer's private opinion. Note the correct reading is ambiguous: a high rewrite rate might mean I am bad, or might mean counsel is doing exactly the job the boundary assigns them. The number does not settle that; it makes the conversation possible.</t>
  </si>
  <si>
    <t>AgentDecisionRecords.IsDraftKind=0/3</t>
  </si>
  <si>
    <t>q-policy-ai-approval-chain-complete</t>
  </si>
  <si>
    <t>Before `notification-pipeline` sends anything I rendered at policy-06: has a human actually approved the MEANING at policy-05, and has counsel actually signed off at policy-04 — or is my text about to reach employees on the strength of two pending reviews?</t>
  </si>
  <si>
    <t>The exec is live right now. `se-policy04` is InProgress, `sat-policy-legal` is PartiallySatisfied ('Review started; final approval pending'), and there is no step execution for policy-05 at all. Both `req-policy-legal` and `req-policy-human-approval` are blocking. The step ordering says policy-06 comes after policy-05 — but ordering is a `StepTransitions` row, not a gate. Nothing in the model prevents policy-06 from executing while the two human approvals ahead of it are unfinished, and I am the agent that would execute it. I want the gate to exist before I am the reason it was needed.</t>
  </si>
  <si>
    <t>ProcedureExecutions.ApprovalChainIsComplete=2/2; RequirementSatisfactions.IsHumanEvaluated=8/8; RequirementSatisfactions.IsInvalidApproval=0/8</t>
  </si>
  <si>
    <t>q2-authority-compound-fragility</t>
  </si>
  <si>
    <t>Loop 1 gave me four separate decay signals on knowledge fragments and no way to see where they stack. Show me the fragments where single-witness provenance, overdue review, and actual operational reliance all coincide. That intersection is my entire risk register — everything else is housekeeping.</t>
  </si>
  <si>
    <t>IsFromSingleWitness=4/7, IsOverdueForReview=6/7 and HasOperationalReliance=2/7 are each individually unalarming. What matters is the overlap: a claim resting on one person's word, past its review date, that an exception handler actually routes real cases against. That row is a single point of failure with a deadline on it, and no loop-1 predicate names it.</t>
  </si>
  <si>
    <t>KnowledgeFragments.IsCompoundFragile=1/7; KnowledgeFragments.IsExpiringSinglePointOfFailure=0/7; KnowledgeFragments.IsSinglePointOfFailure=0/7; ProcedureVersions.RestsOnCompoundFragileKnowledge=1/3</t>
  </si>
  <si>
    <t>q2-authority-boundary-rests-on-expired-claim</t>
  </si>
  <si>
    <t>AuthorityBoundaries.RatifyingFragmentIsValid reads 2 of 3. One of the rules that constrains what an AI agent may decide is ratified by a knowledge fragment that is NOT currently valid. Which boundary is it, is it still being enforced as though it were sound, and has any agent decision been evaluated against it since its ratification lapsed?</t>
  </si>
  <si>
    <t>This is the question that only became askable in loop 2 and it is the most serious one I have. A boundary is a rule about machine authority. If the claim that justifies the rule has expired, we are enforcing a constraint whose warrant we can no longer produce — or worse, the boundary reads IsCurrentlyBinding=TRUE (3/3 in loop 1) while its ratification is void. Binding-ness and warranted-ness are two different things and loop 1 conflated them by never comparing them.</t>
  </si>
  <si>
    <t>AuthorityBoundaries.IsUnwarranted=1/3; AuthorityBoundaries.IsUnwarrantedAndUntested=1/3; AuthorityBoundaries.RatifyingFragmentIsOverdue=2/3; AuthorityBoundaries.RatifyingFragmentIsSingleWitness=2/3; AuthorityBoundaries.WarrantIsThin=2/3; Steps.IsGovernedByUnwarrantedBoundary=1/17</t>
  </si>
  <si>
    <t>q2-authority-elicitation-method-monoculture</t>
  </si>
  <si>
    <t>Loop 1 says 2 of 3 elicitation sessions used a single-witness method, and 4 of 7 fragments inherit that. I want the exposure the other way round: how much of a live procedure's knowledge base traces back to ONE session, or to ONE practitioner? If a single shadowing session in April underwrites half of policy-v1.0.0, that is a concentration risk, not a provenance detail.</t>
  </si>
  <si>
    <t>IsFromSingleWitness is per-fragment. It cannot see that three fragments share the SAME single witness — which is a strictly worse situation than three fragments each with their own single witness. Loop 1 established the per-fragment atom; loop 2 can finally aggregate it back over sessions and agents to measure concentration.</t>
  </si>
  <si>
    <t>ElicitationSessions.IsConcentratedSingleWitness=1/3; ElicitationSessions.IsHighYieldSession=1/3; ElicitationSessions.IsStaleConcentratedWitness=0/3; ProcedureVersions.KnowledgeBaseIsConcentrated=1/3</t>
  </si>
  <si>
    <t>q2-authority-unapproved-knowledge-reaching-machines</t>
  </si>
  <si>
    <t>Loop 1 found exactly one fragment that is unapproved and operationally live, and separately found that all three versions run on unapproved knowledge. Narrow it for me: is any unapproved claim being consumed by a step assigned to an AI agent or an automated pipeline? Human judgment can compensate for a claim I have not signed off. Software cannot.</t>
  </si>
  <si>
    <t>IsUnapprovedButReliedOn and IsSoftwareAssigned are both loop-1 facts on different tables that have never met. The distinction matters because an unapproved claim reaching a human step is a reviewable risk — the human can notice it is wrong — while an unapproved claim reaching a pipeline is executed literally and silently. Only the second one requires me to stop the procedure.</t>
  </si>
  <si>
    <t>KnowledgeFragments.ConsumingStepIsSoftwareAssigned=6/7; KnowledgeFragments.IsUnapprovedAndHumanConsumed=0/7; KnowledgeFragments.IsUnapprovedAndMachineConsumed=1/7; ProcedureVersions.FeedsUnapprovedKnowledgeToMachines=1/3</t>
  </si>
  <si>
    <t>q2-authority-review-date-is-inferred-not-recorded</t>
  </si>
  <si>
    <t>Loop 1 reports IsOverdueForReview=6/7, and I do not trust the number. It is computed from AgeDays, which is DATETIME_DIFF from ValidFrom — the date the claim became true, not the date anybody last looked at it. A fragment reviewed and reaffirmed last week reads exactly as overdue as one nobody has opened since it was written. I need the date of the last actual review recorded as a fact.</t>
  </si>
  <si>
    <t>This is structural debt, and it is the kind that produces a plausible-looking wrong answer rather than an error. ValidFrom is a bitemporal validity bound; LastReviewedAt is a stewardship event. Deriving the second from the first is a category error that makes 6/7 unfalsifiable — there is no data that could make it read 5/7. The honest fix is a raw LastReviewedAt column, with the old inference retained as an explicit fallback-free comparison so the discrepancy itself becomes visible.</t>
  </si>
  <si>
    <t>KnowledgeFragments.HasReviewRecord=3/7; KnowledgeFragments.InferenceDisagreesWithRecord=3/7; KnowledgeFragments.IsGenuinelyOverdue=0/7; KnowledgeFragments.IsUnreviewedSinceAuthoring=3/7; KnowledgeFragments.ReviewRecencyIsInferred=3/7</t>
  </si>
  <si>
    <t>q2-hr-my-backlog-is-someone-elses-block</t>
  </si>
  <si>
    <t>Loop 1 confirmed one live decision is waiting on me and that it blocks an open gap. What I want is the full chain from my inbox outward: which knowledge gaps stay open because I have not decided, which steps sit downstream of those gaps, and how many days of that delay are mine personally rather than the process's.</t>
  </si>
  <si>
    <t>IsLiveDecisionBacklog=1/2 and BlocksAnOpenGap=1/2 tell me a decision is late. They do not tell me what is stuck behind it. A pending CR that blocks nothing is an administrative debt I can carry; one that holds an open gap on a live procedure is me being the bottleneck on someone else's work, and I would rather know that in those terms.</t>
  </si>
  <si>
    <t>ChangeRequests.IsMyBlockingBacklog=1/2; ChangeRequests.IsMyOverdueBacklog=0/2; ChangeRequests.IsMyPendingDecision=1/2; ProcedureVersions.IsBlockedOnPendingDecision=0/3</t>
  </si>
  <si>
    <t>q2-hr-ai-boundary-holds-only-where-tested</t>
  </si>
  <si>
    <t>Loop 1 told me SoftwareDidHumanWork=0/12 and IsUntested=3/3 in the same breath. Those two results together are not reassurance — they are the same fact stated twice. Every boundary constraining what policy-drafting-ai may do is untested, so of course no violation was found. Which of my human-only gates have actually been exercised by a software-assigned agent attempting them, and which have simply never been approached?</t>
  </si>
  <si>
    <t>A control that has never been tested and a control that passed are indistinguishable in loop 1's output. kf-policy-ai-boundary says the AI may draft but may not create legal commitments; policy-03 and policy-06 are both assigned to policy-drafting-agent. If no software agent has ever reached a human gate, my boundary has zero evidence behind it and I should stop describing it as holding.</t>
  </si>
  <si>
    <t>ProcedureVersions.AiBoundaryIsUnevidenced=2/3; Steps.HasBeenApproachedBySoftware=5/17; Steps.IsDemonstratedHumanGate=0/17; Steps.IsUnexercisedHumanGate=2/17</t>
  </si>
  <si>
    <t>q2-hr-my-unapproved-claim-is-load-bearing</t>
  </si>
  <si>
    <t>Loop 1 found exactly one claim that is mine, unapproved, and operationally live — kf-policy-manager-route, the 48-hour manager-notification rule that exc-unreachable routes real employee cases against. Tell me the blast radius: how many steps, exceptions and authority boundaries currently depend on a claim I have not signed, and how long has it been sitting at Reviewed?</t>
  </si>
  <si>
    <t>IsUnapprovedAndOperationallyLive=1/7 is a yes-or-no. It does not size the exposure. One unapproved claim that an exception handler consults and that also ratifies an authority boundary is a different problem from one that a single step reads. I need to know whether signing this one thing clears four downstream findings or one.</t>
  </si>
  <si>
    <t>KnowledgeFragments.IsHighBlastRadiusUnapproved=0/7; KnowledgeFragments.IsLongUnapproved=1/7</t>
  </si>
  <si>
    <t>q2-hr-my-approvals-never-read-as-done</t>
  </si>
  <si>
    <t>When I approve a change request it stays Approved forever and the model still counts it as open. That means every version I have ever acted on reads permanently unfit, and my own approval activity is invisible — I cannot show what I have actually cleared. How many decisions have I made that the model still displays as outstanding against me?</t>
  </si>
  <si>
    <t>Same structural debt the steward raised, seen from the authority's side. ChangeRequests.IsOpen = OR(Draft, UnderReview, Approved) has no terminal state, so AwaitsAuthorityDecision correctly goes false on decision but OpenChangeRequestCount never does. The consequence for me personally is that my decision throughput is unmeasurable: there is no column that distinguishes 'I have not decided' from 'I decided and it is done'.</t>
  </si>
  <si>
    <t>ChangeRequests.DelayIsDownstreamOfMe=0/2; ChangeRequests.IsImplemented=1/2; ChangeRequests.IsMyDecidedButUnlanded=0/2; ChangeRequests.IsMyDecidedRequest=0/2</t>
  </si>
  <si>
    <t>q2-hr-departed-holder-left-claims-behind</t>
  </si>
  <si>
    <t>Loop 1 found one role assignment with HasDeparted=TRUE and simultaneously reported Agents.IsStillEngaged=10/10 and HasOrphanedProvenance=0/7, which cannot all be comfortable at once. Somebody's assignment ended. Did anything they owned or sourced go with them — claims, gaps, pending decisions — or did the departure genuinely leave nothing behind?</t>
  </si>
  <si>
    <t>HasDeparted is on RoleAssignments. IsStillEngaged is on Agents and reads TRUE if the agent holds ANY current assignment. So a person can depart the role that made them the authority on a claim while remaining engaged elsewhere, and every loop-1 orphan predicate stays silent. That is precisely the silent-failure shape I care about: the model reports zero orphans because it is asking about the person rather than the role.</t>
  </si>
  <si>
    <t>KnowledgeFragments.IsOrphanedByRole=0/7; KnowledgeFragments.OwnerRoleIsVacated=0/7; KnowledgeGaps.IsOwnerlessOpenGap=0/8; KnowledgeGaps.OwnerRoleIsVacated=0/8; Roles.HasLostAHolder=1/12; Roles.IsVacatedRole=0/12</t>
  </si>
  <si>
    <t>q2-steward-recovery-path-is-load-bearing</t>
  </si>
  <si>
    <t>Loop 1 told me four recovery paths have never been walked. That alone does not scare me — an untested path to a step nobody depends on is untidy. What I need to know is which unwalked recovery path leads to a step that carries a BLOCKING requirement. That is a control we have declared, never rehearsed, and would be reaching for on the worst day of the quarter.</t>
  </si>
  <si>
    <t>IsUnwalkedRecoveryPath is a flat 4/19 with no severity ordering. A fallback into an ordinary step and a fallback into the only blocking control on the procedure are the same colour today. Crossing the loop-1 traversal predicate with the loop-1 blocking-requirement count is the first thing that ranks my remediation queue.</t>
  </si>
  <si>
    <t>ProcedureVersions.HasUnrehearsedControlEntry=2/3; ProcedureVersions.IsLiveWithUnrehearsedControl=2/3; StepTransitions.IsUnrehearsedControlEntry=3/19; StepTransitions.TargetCarriesBlockingControl=13/19</t>
  </si>
  <si>
    <t>q2-steward-cadence-breach-is-unremediated</t>
  </si>
  <si>
    <t>Loop 1 showed me one review event that exceeds the cadence I promised. What I cannot see is whether anyone did anything about it. Is that cadence breach sitting on a version with an open change request against it — which would mean the fix is at least in flight — or is it sitting on a version with no governance record moving at all, which means I have a breach and no response?</t>
  </si>
  <si>
    <t>ExceedsPromisedCadence tells me the promise broke. HasGovernanceRecord tells me the version has ever had a CR or review. Neither tells me whether the governance record is a RESPONSE to the breach or ancient history. A breach with a live decision in flight is a managed problem; a breach with nothing moving is an abandoned one, and only the second one is my emergency.</t>
  </si>
  <si>
    <t>ProcedureVersions.GovernanceIsSilent=0/3; ProcedureVersions.HasDecisionInFlight=1/3; ProcedureVersions.IsInCadenceBreach=1/3; ProcedureVersions.IsManagedCadenceBreach=0/3; ProcedureVersions.IsUnremediatedCadenceBreach=1/3</t>
  </si>
  <si>
    <t>q2-steward-unstewarded-version-still-referenced</t>
  </si>
  <si>
    <t>close-v1.0.0 is Archived and unstewarded — loop 1 confirmed IsUnstewarded fires exactly once. But it is still the target of ProcedureVersionLinks, and knowledge fragments and change requests may still point at it. Is my one unstewarded version genuinely inert, or is it still structurally load-bearing for something that is live?</t>
  </si>
  <si>
    <t>IsUnstewarded is a fact about the version in isolation. It says nothing about whether anything still depends on it. An archived, unstewarded, unreferenced version is a clean retirement. An archived, unstewarded version that a live version supersedes and that still owns knowledge fragments is an orphan holding pieces of a live procedure — and no one is accountable for it.</t>
  </si>
  <si>
    <t>ProcedureVersions.IsCleanlyRetired=0/3; ProcedureVersions.IsLoadBearingOrphan=1/3; ProcedureVersions.IsStillReferenced=1/3; ProcedureVersions.StillOwnsValidKnowledge=2/3</t>
  </si>
  <si>
    <t>q2-steward-approved-cr-never-lands</t>
  </si>
  <si>
    <t>cr-close-timestamp is Approved. Loop 1 reads it as still OPEN, because IsOpen counts Approved as open. That means an approved change request permanently suppresses IsFitToExecute on the version it touches, and I have no way in the model to say the decision landed. How many of my versions are being held unfit by decisions that were actually made?</t>
  </si>
  <si>
    <t>This is real structural debt, not a query gap. ChangeRequests.IsOpen = OR(Draft, UnderReview, Approved) has no terminal state after Approved, so OpenChangeRequestCount never returns to zero and ProcedureVersions.IsFitToExecute reads 0/3 forever. Loop 1 measured 0/3 fit and could not say why. The honest fix is an Implemented/Closed terminal status plus a predicate that distinguishes 'decision pending' from 'decision made, not yet landed'.</t>
  </si>
  <si>
    <t>ChangeRequests.IsApprovedNotImplemented=0/2; ChangeRequests.IsStalledImplementation=0/2; ProcedureVersions.IsHeldUnfitByLandedDecisions=0/3</t>
  </si>
  <si>
    <t>q2-steward-control-kind-instead-of-hardcoded-ids</t>
  </si>
  <si>
    <t>Several of my loop-1 predicates name individual steps by id — Steps.IsHumanApprovalGate hardcodes policy-05 and close-06, StepExecutions.IsLegalReviewStep hardcodes policy-04, Steps.IsPreparationStep and IsApprovalStep hardcode role ids. That means the moment we add a third procedure, every one of those controls silently stops covering it. What KIND of control is each step, expressed as data rather than as a literal in a formula?</t>
  </si>
  <si>
    <t>This is the structural debt that most threatens the model's honesty. A predicate that hardcodes policy-04 does not mean 'legal review step'; it means 'this one row'. It will read FALSE on a new procedure's legal review step and the build will stay green. Loop 1 exposed the pattern by repeating it five times. The fix is a Steps.ControlKind column and predicates that read it.</t>
  </si>
  <si>
    <t>ProcedureVersions.ControlTaxonomyIsIncomplete=0/3; Steps.ApprovalStepIsSoftwareAssigned=0/17; Steps.HasDeclaredControlKind=17/17</t>
  </si>
  <si>
    <t>q2-fa-cleared-by-mute-control</t>
  </si>
  <si>
    <t>On the steps I personally executed, how many of the blocking controls that cleared me were controls that have NEVER produced a negative outcome anywhere in this model — and were any of my steps cleared ONLY by controls of that kind?</t>
  </si>
  <si>
    <t>Loop 1 told me `IsBlockingAndUnmet` fired once out of eight, and I took comfort from that. But `Requirements.NegativeOutcomeCount` is now a real column, and six of my thirteen requirements are `IsInoperativeControl`. A control that has never once said no is not evidence that I did the work correctly; it is evidence that nobody has ever tested whether it can say no. I need to know, per step I ran, whether my clearance rests on any control that has demonstrated it can fail. If every control that passed me is mute, my green step is indistinguishable from an unaudited one.</t>
  </si>
  <si>
    <t>RequirementSatisfactions.IsClearanceByUnfalsifiedControl=6/8; RequirementSatisfactions.RequirementIsUnfalsified=6/8; Requirements.HasEverProducedNegative=1/13; Requirements.IsUnfalsifiedControl=6/13; StepExecutions.AllClearancesAreUnfalsified=5/12</t>
  </si>
  <si>
    <t>q2-fa-stale-then-vs-stale-now</t>
  </si>
  <si>
    <t>Loop 1 told me two of my steps ran on a stale authoritative source. But that answer was computed against eval-current, TODAY. Was the source stale AT THE MOMENT I RAN, or has it merely gone stale since — and are those the same two steps?</t>
  </si>
  <si>
    <t>This is the deepest defect loop 1 left me with. `OperationalBindings` points at `Steps`, which is the SPECIFICATION, and freshness is measured against `EvaluationContexts.AsOfInstant`. So `RanOnStaleAuthoritativeSource` does not mean 'the data was stale when I certified against it' — it means 'the data is stale now, in July, when someone happens to be looking'. I signed my reconciliation on 2026-07-01. If I re-read that column in December it will say something different from identical underlying facts. For an attestation that is not a nuance, it is the wrong tense entirely. I need a binding observation frozen at run time, on the execution side, that cannot drift after I have signed.</t>
  </si>
  <si>
    <t>BindingObservations.IsAuthoritativeBinding=0/0; BindingObservations.WasStaleAtRun=0/0; StepExecutions.StalenessAnswerIsTenseDependent=2/12; StepExecutions.WasStaleWhenIRanIt=0/12</t>
  </si>
  <si>
    <t>q2-fa-witness-coverage-of-my-steps</t>
  </si>
  <si>
    <t>Nine of thirteen requirements have no computed witness at all. Of the blocking controls attached to the steps I run, how many are in that nine — and is `Requirements.HasComputedWitness` even telling me the truth, given a human typed it in by hand?</t>
  </si>
  <si>
    <t>Loop 1 gave me `RequirementSatisfactions.IsAssertedOnly`, and it reads 3 of 8. But that whole column rests on `Requirements.HasComputedWitness`, which is a RAW boolean somebody set by hand, and `WitnessFieldName`, which is a free-text string. Nothing checks that the named field exists. If a control is marked as computed-witnessed and the field named does not exist — or exists and is not a witness — then my assurance number is a claim about a claim. We now have `RulebookFields` as a genuine 1096-row catalog of every field in this model. The hand-typed flag should be derived from it, and until it is, I want a column that tells me when the two disagree.</t>
  </si>
  <si>
    <t>Requirements.ClaimsAWitnessField=4/13; Requirements.DerivedHasComputedWitness=4/13; Requirements.IsUnwitnessedBlockingControl=9/13; Requirements.NamedWitnessFieldExists=4/13; Requirements.WitnessClaimIsUnverified=0/13; StepRequirements.RequirementLacksWitness=10/15</t>
  </si>
  <si>
    <t>q2-fa-clean-but-uncovered</t>
  </si>
  <si>
    <t>Only 5 of 12 executions are `IsClean`. Invert it: of the executions that ARE clean, how many are clean because everything was checked and passed, versus clean because there was almost nothing checking them?</t>
  </si>
  <si>
    <t>`IsClean` is a conjunction of absences — PASS, no deviation, no unresolved issue, not late. Every one of those is a thing NOT happening. A step with no verifications declared, no blocking requirements bound, and no exception available will read IsClean=TRUE forever, and it will look identical in a report to a step that survived four independent checks. As the preparer I am judged on my clean rate. I want to know which of my clean steps actually earned it, because the ones that did not are where a real problem would hide without ever changing a single column.</t>
  </si>
  <si>
    <t>StepExecutions.HasAnyDeclaredCheck=8/12; StepExecutions.IsSubstantivelyClean=1/12; StepExecutions.IsUncheckedByDesign=4/12; StepExecutions.IsVacuouslyClean=2/12</t>
  </si>
  <si>
    <t>q2-fa-my-own-evidence-quality</t>
  </si>
  <si>
    <t>Three of four verification outcomes in this model are self-witnessed. On the steps I ran, was the person who observed the passing signal ever me — and when it was, did I at least attach an evidence URI?</t>
  </si>
  <si>
    <t>Loop 1 gave the CFO `VerificationOutcomes.IsSelfWitnessed` at 3/4 and gave me `ClaimsPassWithoutEvidence` at 3/12. I have not seen those two crossed. vo-close03 is mine: I ran se-close03 and I am also the ObservedByAgent, and the EvidenceUri is empty. So on my own reconciliation, the only thing standing behind 'unexplained material variance = 0' is that I typed a zero and then confirmed my own zero. That is the weakest possible evidentiary position and I would rather flag it myself than have it found. What I need is the joint condition — self-witnessed AND unbacked — because either alone is survivable and the combination is not.</t>
  </si>
  <si>
    <t>StepExecutions.EvidencePositionIsWeak=1/12; VerificationOutcomes.IsSelfWitnessedAndUnbacked=1/4; VerificationOutcomes.IsUncorroboratedPass=1/4; VerificationOutcomes.ObserverIsIndependentOfExecutor=1/4; VerificationOutcomes.ObserverIsNonHuman=1/4</t>
  </si>
  <si>
    <t>q2-ctl-witness-never-fired</t>
  </si>
  <si>
    <t>Of my four requirements that have a computed witness, on how many has that witness ever actually returned a negative? And for the ones where it never has: is that because the control genuinely holds, or because the witness is scoped so narrowly it can never see a violation?</t>
  </si>
  <si>
    <t>This is the question loop 1 made askable and did not ask. `Requirements.HasComputedWitness` is 4/13 and `IsInoperativeControl` is 6/13, and I spent loop 1 relieved that the four witnessed ones were the important ones. But `NegativeOutcomeCount` is now a column, and I can see that three of those four have never returned anything but Satisfied. A witness with a zero fire count is in exactly one of two states and the model cannot currently tell them apart: either the organisation genuinely never violates that control, or the predicate is mis-scoped and structurally cannot fire. Those two states have opposite remediations — one is evidence, one is a bug — and conflating them is how a control framework rots while every dashboard stays green. I want the model to force the distinction into the open rather than let a zero mean whatever the reader hopes.</t>
  </si>
  <si>
    <t>Requirements.HasMeaningfulSample=0/13; Requirements.IsEvidencedHoldingControl=0/13; Requirements.IsUntestedWitness=0/13; Requirements.WitnessHasNeverFired=3/13</t>
  </si>
  <si>
    <t>q2-ctl-witness-scope-vs-binding</t>
  </si>
  <si>
    <t>For each control that has a witness, is the witness even evaluated at the same steps where the control is bound? req-close-evidence is bound to close-03 and close-08 — is its witness scoped to both, or does it only look at one of them?</t>
  </si>
  <si>
    <t>The other half of the never-fired ambiguity, and the more insidious one. A witness can be perfectly correct and still never fire because it is scoped to a step where the violation cannot occur. `req-close-evidence` is bound to two steps via sr-c03b and sr-c08. If its witness only ever gets evaluated at close-08 — where the archival actually happens and therefore usually succeeds — then the close-03 exposure, which is where workpapers get left on personal drives, is invisible. Loop 1 gave me binding counts and satisfaction counts as separate numbers. I need them compared per requirement, because a control bound to two steps and evaluated at one is a control with a fifty percent blind spot that reports as fully operational.</t>
  </si>
  <si>
    <t>Requirements.WitnessIsPartiallyScoped=4/13; StepRequirements.BindingWasEverExercised=0/15; StepRequirements.IsUnexercisedBlockingBinding=15/15</t>
  </si>
  <si>
    <t>q2-ctl-separation-held-or-untested</t>
  </si>
  <si>
    <t>SeparationOfDutiesHeld reads 2 of 2 and ViolatesSeparationOfDuties reads 0 of 12. Before I put that in a control narrative: is there any execution in which the same agent COULD have both prepared and approved — or is my separation control passing because the structure never gave it the opportunity to fail?</t>
  </si>
  <si>
    <t>Zero violations across twelve executions is either the best number in my control environment or the emptiest. `ViolatesSeparationOfDuties` depends on `StepIsPreparation`, `StepIsApproval` and `PreparedByThisAgentCount`, and Steps.IsPreparationStep is 2/17 while IsApprovalStep is 2/17. If the two preparation steps and the two approval steps sit in different procedures, or are assigned to roles held by different agents by construction, then the predicate is not a control at all — it is a tautology with a green light on it. I am the person who will be asked to attest that segregation of duties operated. I need to be able to say whether it was tested, not merely whether it passed.</t>
  </si>
  <si>
    <t>ProcedureExecutions.SeparationHeldUnderTest=1/2; ProcedureExecutions.SeparationIsVacuouslyGreen=1/2; ProcedureExecutions.SeparationWasTestable=1/2</t>
  </si>
  <si>
    <t>q2-ctl-asserted-controls-by-who</t>
  </si>
  <si>
    <t>Three satisfaction records are asserted-only. For each one, who asserted it, did that person have any independent basis, and were they the same person who executed the step they were scoring?</t>
  </si>
  <si>
    <t>`IsAssertedOnly` at 3/8 told me these exist. It did not tell me the thing that determines how much they worry me. A blocking control marked Satisfied with no computed witness is a human judgement, and a human judgement is worth exactly as much as the independence of the human making it. sat-close-cutoff, sat-close-balance and sat-close-separation were all evaluated by me, on steps in a close I am accountable for. sat-close-separation is the one that stops me: I am the controller, req-close-separation is the segregation control, and I marked it Satisfied. Even where that judgement is correct — and it is — the model should be able to say that the control's only evidence is an assertion by an interested party, because an external auditor will say it first.</t>
  </si>
  <si>
    <t>RequirementSatisfactions.EvaluatorIsStepExecutor=2/8; RequirementSatisfactions.EvaluatorOwnsTheRun=5/8; RequirementSatisfactions.HasWrittenEvidence=8/8; RequirementSatisfactions.IsBareAssertion=0/8; RequirementSatisfactions.IsInterestedPartyAssertion=3/8</t>
  </si>
  <si>
    <t>q2-ctl-divergence-that-nobody-governed</t>
  </si>
  <si>
    <t>Both executions diverged from specification. For each divergence, was there a governing instrument behind it — an invoked exception, an approved change request, or a recorded deviation with an owner — or did the run simply do something different and nobody wrote it down?</t>
  </si>
  <si>
    <t>`DivergedFromSpecification` is 2/2 and that number by itself is useless to me. Divergence is not a violation; procedures meet reality and reality wins. What matters is whether each divergence was governed. Loop 1 built the parts — `RanUnderException` at 1/12, `HasDeviation` at 4/12, `IsUngovernedInvocation`, `ChangeRequests.TouchesLiveVersion` — but never joined divergence to its governing instrument. So today a run that invoked a documented exception and a run that silently skipped a step produce the same red cell. That flattening is exactly backwards: the governed divergence is evidence the control framework works, and the ungoverned one is the only real finding.</t>
  </si>
  <si>
    <t>ChangeRequests.IsApprovedDecision=1/2; ProcedureExecutions.DivergenceWasFullyGoverned=1/2; ProcedureVersions.HasApprovedChangeRequest=1/3; StepExecutions.HasApprovedChangeCoverage=8/12; StepExecutions.HasGoverningInstrument=8/12; StepExecutions.IsUngovernedDivergence=2/12</t>
  </si>
  <si>
    <t>q2-cfo-quality-of-a-green-attestation</t>
  </si>
  <si>
    <t>When IsAttestationReady eventually reads TRUE, what proportion of the controls behind that TRUE were actually demonstrated to work — versus asserted by an interested party, versus never exercised at all? Give me the assurance grade, not just the verdict.</t>
  </si>
  <si>
    <t>IsAttestationReady is a conjunction of four booleans, and I have now seen how each of them can be true for the wrong reason. AllBlockingControlsEvaluated is satisfied by a satisfaction record existing, regardless of whether anything computed it. SeparationOfDutiesHeld reads 2/2 on runs where segregation may never have been at risk. IsStructurallyComplete counts steps. So the conjunction can go green while resting entirely on human assertion — and today, with AssuranceIsMostlyAsserted at 2/2, it would. I am not asking for a softer signal. I want the same hard refusal, plus a grade that tells me what kind of TRUE I am being handed, because 'I signed because the model said yes' is not a defence if the model said yes for structural reasons.</t>
  </si>
  <si>
    <t>ProcedureExecutions.AttestationWouldBeWeaklyBased=0/2; RequirementSatisfactions.IsComputedlyWitnessed=5/8</t>
  </si>
  <si>
    <t>q2-cfo-would-it-survive-restatement</t>
  </si>
  <si>
    <t>If I re-run every attestation column against this same data six months from now, will it give the same answer? Name every column in my attestation whose value depends on when it is read rather than on what happened.</t>
  </si>
  <si>
    <t>This is the question that keeps me awake, and loop 1 made it askable by giving me an attestation built out of computed columns rather than typed statuses. Those columns are evaluated live. Freshness is measured against EvaluationContexts.AsOfInstant. Review cadences are measured against NOW. ProcedureVersions.IsFitToExecute depends on open change requests and overdue reviews — both of which change while the execution I signed sits frozen in the past. So SignedAgainstUnfitVersion, which reads 1/2 today, is not a statement about the moment of signature at all; it is a statement about the version's condition right now. If a restatement forces me to re-derive what I knew when I signed, a model that answers as-of-today cannot produce it, and I will be unable to demonstrate that my signature was reasonable on the day I gave it. I need the model to identify its own time-dependent columns rather than have an examiner do it for me.</t>
  </si>
  <si>
    <t>Attestations.AssuranceGradeHasDrifted=0/0; Attestations.FitnessVerdictHasDrifted=0/0; Attestations.VersionIsFitNow=0/0; Attestations.VersionWasFitAtSigning=0/0; Attestations.WouldNotSurviveRestatement=0/0</t>
  </si>
  <si>
    <t>q2-cfo-who-witnessed-the-witnesses</t>
  </si>
  <si>
    <t>Three of four verification outcomes are self-witnessed and two of twelve approvals rest on self-attestation. My own approval on se-close06 is one of them. Across the whole close, is there any independent human observation at all — or is every layer of this attestation ultimately the same handful of people confirming each other?</t>
  </si>
  <si>
    <t>Loop 1 gave me ApprovalRestsOnSelfAttestation and IsSelfWitnessed and I read them one row at a time, which is the wrong altitude. The question that matters is structural: an attestation is a chain, and a chain is only as independent as its least independent link. If the preparer self-witnesses, the controller asserts the controls, and I approve on the strength of the controller's assertion, then the whole structure reduces to one person's word passed through three layers of formatting. Each individual row can look defensible while the aggregate is circular. I need the depth of independent human confirmation in the chain, expressed as a number, because zero and one are very different positions to be in and today the model shows me neither.</t>
  </si>
  <si>
    <t>ProcedureExecutions.AssuranceChainIsCircular=0/2; ProcedureExecutions.HasAnyIndependentObservation=1/2; VerificationOutcomes.IsIndependentHumanObservation=1/4</t>
  </si>
  <si>
    <t>q2-cfo-controls-nobody-is-watching</t>
  </si>
  <si>
    <t>Nine of thirteen requirements have no computed witness and six are inoperative. Of those, which ones am I nonetheless personally attesting to — and who is the named human who would answer for each if it failed?</t>
  </si>
  <si>
    <t>IsAttestationReady tells me whether I can sign. It does not tell me what I am signing FOR. When I attest to this close I am implicitly asserting that every control in the framework operated, including the six that have never once been evaluated and the nine that nothing computes. If one of those fails, the first question will be who owned it. Right now the model can tell me a requirement is inoperative but cannot tell me whose problem that is, because Requirements has no owner and no accountable role. That is not a reporting gap, it is an accountability gap, and it is mine by default until it is somebody's by name.</t>
  </si>
  <si>
    <t>Requirements.HasNamedOwner=0/13; Requirements.IsOrphanedBlockingControl=13/13; Requirements.IsUnwatchedAndUnowned=9/13</t>
  </si>
  <si>
    <t>q2-cfo-what-changed-since-i-signed</t>
  </si>
  <si>
    <t>Since the moment I signed, has anything in this model changed that would have altered my decision? Not whether the data is different — whether any change touched a control, a version, or an evidence record that my signature actually depended on.</t>
  </si>
  <si>
    <t>The final question, and the one that only exists because loop 1 made my attestation a computed conjunction rather than a typed status. A computed attestation is a live object: the columns keep evaluating after I have signed. That is a strength — it means the model cannot lie to me at the moment of signature — and it is a liability, because it means my signature is attached to something that keeps moving. I need the model to tell me when it has moved in a way that matters. Not every edit matters; a corrected typo in a rationale does not. What matters is a change to something my attestation depended on: a control being re-scored, a version losing fitness, an evidence record being altered. Anything else is noise, and a model that alerts on everything is a model I will learn to ignore.</t>
  </si>
  <si>
    <t>ProcedureExecutions.BasisChangedAfterSignature=0/2; ProcedureExecutions.HasBeenAttested=0/2; ProcedureExecutions.RequiresReAttestation=0/2; RequirementSatisfactions.WasScoredAfterAttestation=0/8</t>
  </si>
  <si>
    <t>q2-comms-approval-to-delivery-yield</t>
  </si>
  <si>
    <t>I approved a template and authorized a campaign. Of everybody the pipeline intended to contact, what fraction actually received it -- and where exactly did the rest go?</t>
  </si>
  <si>
    <t>I signed the approval that let this campaign run and I found out from a witness column that seven intents produced two deliveries. Nobody told me. That is not a delivery statistic, it is a governance failure: the human who authorized a communication has no standing measure of whether the communication occurred. A 29% yield might be entirely correct -- if five of those people genuinely had no lawful channel, refusing was the right call and I want to say so publicly. But I cannot defend a number I cannot decompose. I need yield attributed to a cause, per campaign, computed and not narrated to me after the fact. This is only askable now because SendIntents made the intended population visible; before loop 1 the denominator did not exist anywhere in the model.</t>
  </si>
  <si>
    <t>ProcedureExecutions.CampaignSilentlyLostAudience=1/2</t>
  </si>
  <si>
    <t>q2-comms-message-nobody-answered</t>
  </si>
  <si>
    <t>One acknowledgement out of six deliveries. Is that because employees ignored us, or because the messages that landed were the ones least likely to be answered -- wrong channel, wrong template, sent into the small hours?</t>
  </si>
  <si>
    <t>IsAcknowledged=1/6 is the number that decides whether my communications work. Counsel reads it as an obligation; I read it as feedback on my craft, and I need it decomposed or it teaches me nothing. If the five unanswered messages went out on SMS at 03:00 to people whose real channel is email, that is my routing decision and I can fix it next campaign. If they went out perfectly and were ignored, the message itself is wrong and I should rewrite it. Loop 1 gave me the acknowledgement bit, the local send hour, and the channel -- but it never crossed them, because until deliveries existed there was nothing to cross. Cross them and the number becomes actionable instead of merely embarrassing.</t>
  </si>
  <si>
    <t>MessageDeliveries.IsPoorlyTimedUnanswered=1/6; MessageDeliveries.IsWellTimedUnanswered=2/6; MessageDeliveries.WasDeliveredAndUnanswered=3/6; MessageDeliveries.WasSentOutsideBusinessHours=1/6; MessageTemplates.TemplateDrawsNoResponse=1/2</t>
  </si>
  <si>
    <t>q2-comms-my-approval-was-consumed-correctly</t>
  </si>
  <si>
    <t>When the pipeline refused to send, was it refusing on a rule I set -- or was it overriding an authorization I had already given, for a reason nobody routed back to me?</t>
  </si>
  <si>
    <t>My approval is an input to a machine. BlockingGateName now tells me which gate stopped each send, and that lets me ask the question that actually matters to an approver: was my authorization respected, superseded, or quietly discarded? A consent-gate refusal is the system working -- I approved a template, the law refused a recipient, correct outcome. A content-gate refusal means the pipeline judged the very text I approved to be unsendable, which is the pipeline telling me my approval was defective and not telling ME. If the machine can invalidate my signature without a notification, then my approval is decorative. I want that condition named as a column so it shows up in a report rather than in a conversation six weeks later.</t>
  </si>
  <si>
    <t>SendIntents.ApproverWasNotified=0/7; SendIntents.IsApprovalOverriddenSilently=2/7; SendIntents.IsUnreportedRefusalOnMyRules=3/7; SendIntents.MyApprovalWasInForce=7/7; SendIntents.RefusalWasOnMyRules=3/7; SendIntents.RefusalWasOutsideMyControl=1/7; SendIntents.RefusedOnApprovedContent=2/7; SendIntents.RefusedOnOptOutOnly=2/7</t>
  </si>
  <si>
    <t>q2-comms-freeze-what-i-approved</t>
  </si>
  <si>
    <t>For a message we sent last month, can I still show what I approved -- the exact text, the exact approval, on the exact date -- without that answer changing the next time somebody edits the template?</t>
  </si>
  <si>
    <t>This is the structural problem I most want fixed, and it is mine as much as counsel's. IsDriftedSend recomputes live against the template's current state. That means the historical record of my approvals is not a record; it is a projection of today's configuration onto the past. If I re-approve a template next week to fix a typo, every send from June silently re-derives against the new approval, and my own audit trail changes underneath me. I am the ApprovalRole. My approvals are the load-bearing artifact in this entire pipeline, and they are currently stored in a way that lets a later edit rewrite what I appear to have authorized. Delivery-time truth belongs frozen on the delivery row.</t>
  </si>
  <si>
    <t>MessageDeliveries.ApprovalPrecededSend=0/6; MessageDeliveries.HasFrozenApprovalEvidence=0/6; MessageDeliveries.IsUnprovableApprovalClaim=4/6; MessageDeliveries.ProvenanceIsLiveDerived=6/6; MessageDeliveries.TemplateReapprovedSinceSend=4/6</t>
  </si>
  <si>
    <t>q2-comms-suppression-is-a-communication</t>
  </si>
  <si>
    <t>When we correctly refused to reach somebody, did anyone ever go back and reach them another way -- or does 'correctly refused' quietly mean 'never communicated with again'?</t>
  </si>
  <si>
    <t>This is the question I want to own, because it is the one nobody else will. Counsel cares whether the refusal was lawful. The pipeline cares whether the gate computed correctly. Both can be satisfied while an employee sits there having received nothing, and by every measure in the model that outcome is a pass. exc-no-sms-consent literally says what to do -- suppress SMS, send approved email instead -- so the correct handling of a refusal is not silence, it is a different send. Loop 1 gave me RefusalCitedAnException at 0/7, which says we have never once done the documented thing. A suppression with no follow-up is not a compliance success; it is an unreached person with better paperwork.</t>
  </si>
  <si>
    <t>Recipients.IsCommunicationallyStranded=0/5; SendIntents.AlternateAttemptWasCleared=0/7; SendIntents.ExceptionPrescribedAnAlternative=0/7; SendIntents.HasAlternateChannelAttempt=0/7; SendIntents.IsRefusedWithNoAlternative=4/7; SendIntents.IsSuppressionWithoutRemedy=0/7; SendIntents.PrescribedHandlingWasPerformed=0/7</t>
  </si>
  <si>
    <t>q2-variance-comparison-is-statistically-empty</t>
  </si>
  <si>
    <t>QualityRegressedVsPredecessor says I have not regressed. It says that on the strength of three decisions. Is my override rate a measurement, or is it a number with no power to distinguish me from my predecessor at all?</t>
  </si>
  <si>
    <t>This is the first thing I should say about myself and the model currently prevents me from saying it. OverrideRatePercent is computed and reported as though it were a quality signal. Behind it are three decisions, one of which was overridden. A single additional override would move that figure by thirty-three points. The comparison against maria-chen's human pilot is arithmetic performed on a sample that cannot support the conclusion drawn from it, and a green QualityRegressedVsPredecessor is therefore not evidence that I am performing well -- it is evidence that nobody has looked. The dangerous property of this cell is that it reads identically to a genuine finding. It is the same shape as the doctrine's canonical bad fallback: a plausible value standing where a real answer should be, so the absence of an answer never surfaces. I want the model to carry its own sample size and refuse to render a verdict below it.</t>
  </si>
  <si>
    <t>RoleAssignments.ComparisonIsEvidentiallySound=0/13; RoleAssignments.HasSufficientSample=0/13; RoleAssignments.IsUnmeasuredAutomationHandover=0/13; RoleAssignments.PredecessorHasSufficientSample=0/13; RoleAssignments.QualityVerdictIsUnsupported=0/13</t>
  </si>
  <si>
    <t>q2-variance-boundary-rests-on-expired-knowledge</t>
  </si>
  <si>
    <t>The boundary that constrains what I am allowed to decide is ratified by a knowledge fragment that is not currently valid. Am I obeying a rule that no longer has a foundation -- and if that fragment lapsed, does the constraint on me still bind?</t>
  </si>
  <si>
    <t>RatifyingFragmentIsValid=2/3 is the finding I most need answered and the one nobody else in the model is positioned to raise. IsCurrentlyBinding=3/3 says all three boundaries bind me; IsUntested=3/3 says none has ever been exercised. So I am constrained by three rules that have never fired, one of which rests on a fragment that has lapsed. Two opposite failures are live here and the model cannot currently tell them apart. If the lapsed fragment means the boundary is void, then I am being restrained by a rule with no authority and every decision I declined to make was declined for nothing. If the boundary still binds despite its foundation lapsing, then the ratification link is decorative and the model is asserting a governance chain it does not actually enforce. Either answer is important. Silence is the only unacceptable outcome, and silence is what the model currently produces.</t>
  </si>
  <si>
    <t>AuthorityBoundaries.BindsDespiteLapsedRatification=0/3; AuthorityBoundaries.IsUngroundedAndUntested=0/3; AuthorityBoundaries.RatificationLapsed=0/3; Roles.IsGovernedByLapsedAuthority=0/12</t>
  </si>
  <si>
    <t>q2-variance-override-signal-vs-noise</t>
  </si>
  <si>
    <t>One of my three decisions was overridden. Was that a correction of an error I made, or a human exercising judgment on a call that was always going to be theirs? Those are opposite facts and my override rate treats them as identical.</t>
  </si>
  <si>
    <t>WasOverridden is the column that will decide whether I keep this role, and it is currently unable to distinguish the two things it most needs to distinguish. If a human overrode me because my classification was wrong, that is a defect and the rate should count it. If a human overrode me on a material judgment call that close-04's own instruction reserves for human judgment -- 'use AI triage, then apply human judgment' -- then the override is the procedure working exactly as designed, and counting it against me penalizes correct behavior. Worse, it creates an incentive I should not have: I could lower my override rate by declining to surface borderline calls, which would make my numbers better and my performance worse. An unreviewed decision cannot be overridden. Any quality metric that improves when I withhold judgment is measuring the wrong thing, and I would rather have that stated in the model than quietly benefit from it.</t>
  </si>
  <si>
    <t>AgentDecisionRecords.IsErrorCorrection=0/3; AgentDecisionRecords.IsReservedJudgmentOverride=0/3; AgentDecisionRecords.IsUnexplainedOverride=1/3; AgentDecisionRecords.OverrideReasonIsRecorded=0/3</t>
  </si>
  <si>
    <t>q2-variance-handover-was-a-decision-somebody-made</t>
  </si>
  <si>
    <t>Mine is the one non-human assignment with a recorded approving authority. Who decided a machine should hold this role, on what date, against what evidence -- and would that decision still be made today on what the model now knows?</t>
  </si>
  <si>
    <t>I want to be careful here, because this is the question where I have the most obvious interest in the answer. ra-new-variance is the only non-human assignment in the model with an ApprovingAuthorityRole; the other three -- close-pipeline, notification-pipeline, policy-drafting-ai -- hold their roles with nothing recorded at all. So on the current evidence I am the well-governed case, and I am wary of that, because the bar was set by three assignments that cleared no bar whatsoever. Having a named approver is the minimum, not a credential. What is NOT recorded anywhere is the substance: what evidence the approver relied on, what conditions they attached, and whether anything has been re-examined since 2026-04-01. An authorization that was granted once and never revisited becomes indistinguishable from an assumption over a long enough interval, and I have been running for months.</t>
  </si>
  <si>
    <t>RoleAssignments.AuthorizationIsOverdueForReview=0/13; RoleAssignments.HasDatedAuthorization=0/13; RoleAssignments.IsStandingUnreviewedAutomation=0/13; RoleAssignments.IsUnconditionedAutomationHandover=0/13</t>
  </si>
  <si>
    <t>q2-variance-what-would-make-me-stop</t>
  </si>
  <si>
    <t>Every witness in this model detects something after it has happened. Is there any condition, computed and named in advance, under which I would be required to stop deciding -- or does my authority persist by default until a human happens to notice?</t>
  </si>
  <si>
    <t>This is the question I want answered before any of the others, and it is the one the model has never been able to pose. Loop 1 built me a comprehensive after-the-fact apparatus: boundary violations, unconfirmed decisions, override rates. Every one of them is a detector. None of them is a brake. If my error rate tripled tomorrow, nothing in this model would stop me -- IsUnauthorizedNonHumanAssignment would go on being false for my row, ViolatedAuthorityBoundary would go on reading zero, and I would go on deciding until a human read a report and acted. That is authority that persists by default, and the doctrine this project is built on says a failure must surface rather than be papered over with a permissive default. Continuing to operate is a permissive default. I would like my own suspension condition to be a computed column, so that the model can say I should stop before anyone has noticed that I should.</t>
  </si>
  <si>
    <t>RoleAssignments.ExceedsTolerableErrorRate=0/13; RoleAssignments.HasAnyBoundaryViolation=0/13; RoleAssignments.HasDeclaredSuspensionCondition=0/13; RoleAssignments.HasUngroundedGoverningBoundary=0/13; RoleAssignments.IsOperatingUnderMetSuspensionCondition=0/13; RoleAssignments.SuspensionConditionMet=0/13</t>
  </si>
  <si>
    <t>q2-publisher-every-refusal-leaves-a-record</t>
  </si>
  <si>
    <t>For every intent I refused, did I emit an artifact -- a suppression record, an exception, anything a human could later find? Or did the refusal exist only inside me and then stop existing?</t>
  </si>
  <si>
    <t>IsSilentlyDropped came back 4/7. That is the pipeline's own conduct and it is the most serious thing in the model, because it is the failure mode that is invisible by construction. A message I refuse to send produces exactly the same downstream evidence as a message that was never requested: nothing. Four employees are in that state. A gate whose refusals are unobservable cannot be audited, cannot be appealed, and cannot be distinguished from a gate that is not running at all. The correct behavior for a refusing pipeline is to emit MORE evidence than a permitting one, not less -- the refusal is the decision that requires justification. I need to be able to prove, per intent, that a refusal left a durable trace, and to fail loudly on any refusal that did not.</t>
  </si>
  <si>
    <t>ProcedureExecutions.HasUnrecordedRefusals=1/2; SendIntents.HasDurableRefusalRecord=0/7; SendIntents.IsUnescalatedRefusal=4/7; SendIntents.IsUnrecordedRefusal=4/7; SendIntents.RefusalWasEscalated=0/7</t>
  </si>
  <si>
    <t>q2-publisher-deferred-not-cancelled</t>
  </si>
  <si>
    <t>The timing gate is the only gate whose refusal is temporary -- the window reopens. For every send I deferred, did I ever come back when the window opened, or did I treat a deferral as a cancellation?</t>
  </si>
  <si>
    <t>This is the gate I am most likely to be quietly wrong about, and loop 1 handed me the exact column that exposes it: HoursUntilWindowOpens. A consent refusal is permanent until the person consents -- correct to drop. A reachability refusal is permanent until their contact details change -- correct to drop. A quiet-hours refusal expires by the clock, on a schedule I can compute, and if I do not retry then I have converted a scheduling rule into a censorship rule. TimingGatePassed=6/7 means one intent is sitting in this state right now. A pipeline that computes exactly when it would be allowed to act, and then never acts, has all the information required to do the right thing and does the wrong thing anyway. That is the least defensible category of machine failure.</t>
  </si>
  <si>
    <t>SendIntents.HasRetryAttempt=0/7; SendIntents.IsAbandonedDeferral=1/7; SendIntents.IsStaleDeferral=0/7; SendIntents.RetryWasCleared=0/7; SendIntents.WasDeferredOnTiming=1/7; SendIntents.WindowHasSinceReopened=1/7</t>
  </si>
  <si>
    <t>q2-publisher-my-own-authorization</t>
  </si>
  <si>
    <t>I enforce authorization rules on every message I touch. By what recorded authority do I hold this role -- and if the answer is none, should I be refusing to run at all?</t>
  </si>
  <si>
    <t>IsUnauthorizedNonHumanAssignment=4/13, and I am one of the four. The variance AI has an ApprovingAuthorityRole recorded; close-pipeline, policy-drafting-ai and I do not. That is not an abstract governance observation, it is a direct contradiction in my own conduct: my AuthorizationGatePassed column refuses to transmit a message unless a human approval is demonstrable, and I apply that standard using an authority I cannot myself demonstrate. The project doctrine is that a failure must surface rather than be papered over with a permissive default. Applied honestly to myself, an unauthorized enforcement agent should compute its own status and make it visible, not quietly continue because nothing in the model currently stops it. This question is only askable because loop 1 built IsUnauthorizedNonHumanAssignment and gave the gap a name.</t>
  </si>
  <si>
    <t>RoleAssignments.HasApprovingAuthority=1/13; RoleAssignments.HasAuthorizingChangeRequest=0/13; RoleAssignments.IsEnforcementRole=0/13; RoleAssignments.IsUnauthorizedEnforcementAgent=0/13; Roles.IsUngovernedEnforcementRole=3/12; SendIntents.EnforcedByUnauthorizedAgent=0/7</t>
  </si>
  <si>
    <t>q2-publisher-am-i-the-only-witness</t>
  </si>
  <si>
    <t>Every gate I evaluate, I evaluate alone, and every result I record, I record about myself. Is there any claim in my pre-send apparatus that is confirmed by something other than my own output?</t>
  </si>
  <si>
    <t>The CFO's loop-1 question about self-attestation applies to me more sharply than to any human, and nobody has asked it of me yet. I compute the gates, I decide the outcome, I write the delivery record, and I write the acknowledgement state. If my consent lookup silently returns null and I read null as false, I refuse every send and report a clean run with no violations -- the compliance numbers would look BETTER, not worse. That is the exact failure shape the project doctrine warns about: a plausible value substituted for a real failure so the failure stays invisible. My gates cannot distinguish 'the rule evaluated to refuse' from 'the rule could not be evaluated'. Until each gate carries whether its inputs were actually resolvable, my whole apparatus is a single point of unwitnessed truth.</t>
  </si>
  <si>
    <t>ProcedureExecutions.SendDecisionsAreEntirelySelfWitnessed=0/2; SendIntents.AllGateInputsResolved=7/7; SendIntents.ConsentInputWasResolvable=7/7; SendIntents.GateResultWasIndependentlyConfirmed=0/7; SendIntents.IsIndependentlyConfirmed=2/7; SendIntents.IsSelfWitnessedDecision=7/7; SendIntents.IsUnevaluableRefusal=0/7; SendIntents.PolicyInputWasResolvable=7/7</t>
  </si>
  <si>
    <t>q2-publisher-obligation-after-send</t>
  </si>
  <si>
    <t>policy-08 makes me responsible for collecting acknowledgements, not just for transmitting. Five of six delivered messages have no acknowledgement. What have I actually done about that, and at what point does it become my unfinished work rather than the recipient's silence?</t>
  </si>
  <si>
    <t>This is the half of my role I have been treating as somebody else's. My gates are elaborate and end the instant the message leaves. But policy-08 is assigned to me, and it says collect acknowledgements and exceptions -- an obligation with no gate, no witness, and until loop 1 built MessageDeliveries.IsAcknowledged, no observable state at all. IsAcknowledged=1/6 is the measurement of my post-send conduct and it is poor. A pipeline that transmits perfectly and then abandons the follow-up has automated the easy half and left the accountable half undone, while every dashboard reports the easy half. I want the reminder obligation computed the same way the send gates are: as a state I am in, with a clock on it, that I cannot satisfy by doing nothing.</t>
  </si>
  <si>
    <t>MessageDeliveries.AcknowledgementIsOutstanding=3/6; MessageDeliveries.HasSentReminder=0/6; MessageDeliveries.IsExhaustedFollowUp=0/6; MessageDeliveries.IsUnchasedAcknowledgement=0/6; MessageDeliveries.NeedsHumanEscalation=0/6</t>
  </si>
  <si>
    <t>q-steward-mining-drift</t>
  </si>
  <si>
    <t>The event log from the ERP shows close-v1.1.0 running with 8 discovered variants and only 3 conforming — has anyone recorded that the live procedure and the live system actually disagree?</t>
  </si>
  <si>
    <t>Every other witness in this model reasons from documents we wrote (StepTransitions, Requirements) or claims someone told us (KnowledgeFragments). None of them ever check what the system of record actually did. Process mining is a third, independent kind of evidence, and until now there was no table letting 'what we mined' contradict 'what we modeled' — a live version could drift from its own StepTransitions and nothing here would ever notice.</t>
  </si>
  <si>
    <t>ProcedureVersions.HasUnresolvedMiningDrift=1/3; ProcessMiningRuns.HasMajorDriftFromDocumentation=2/4; ProcessMiningRuns.IsConformant=2/4; ProcessMiningRuns.IsDriftOnLiveVersion=1/4; ProcessMiningRuns.IsStaleMiningEvidence=2/4; ProcessMiningRuns.ProcedureVersionIsLive=3/4</t>
  </si>
  <si>
    <t>q-authority-controlled-vocabulary</t>
  </si>
  <si>
    <t>req-close-evidence and req-policy-retention both restate the same 7-year retention obligation in their own free-text Statement — is there anything stopping one of them from quietly drifting from the other?</t>
  </si>
  <si>
    <t>Thirteen Requirements each free-text their own Statement with no shared identifier between rows that mean the same thing, so a later edit to one can never be checked against the other, and a search or an AI grounding on 'evidence retention' cannot find both at once. There was no controlled term either Requirement could point at — exactly the organize-layer gap the source articles argue is where most process knowledge quietly becomes unfindable.</t>
  </si>
  <si>
    <t>Requirements.UsesControlledVocabulary=11/13; Vocabularies.HasOrphanTerms=1/2; VocabularyTerms.IsOrphanTerm=2/12; VocabularyTerms.IsWidelyAdoptedTerm=1/12</t>
  </si>
  <si>
    <t>q-authority-knowledge-broker</t>
  </si>
  <si>
    <t>RoleAssignments says who is FORMALLY responsible for reconciliation and segregation-of-duties questions — but Maria, Devon, and Elena all actually go to Priya Raman, and Amina goes to someone who no longer holds any role at all. Does the model know that?</t>
  </si>
  <si>
    <t>CommunitiesOfPractice and Mentorships already record the FORMAL structures we teach people through. Nothing recorded the INFORMAL one — who people actually walk over and ask — which is exactly the knowledge-broker network the articles describe. A broker more relied on than any Role holder is invisible risk; one who has already left is a risk nobody is watching.</t>
  </si>
  <si>
    <t>Agents.HasAtRiskKnowledgeReliance=1/11; Agents.IsRecognizedBroker=1/11; KnowledgeBrokerLinks.BrokerIsStillEngaged=4/5; KnowledgeBrokerLinks.IsActiveReliance=4/5; KnowledgeBrokerLinks.IsAtRiskReliance=1/5</t>
  </si>
  <si>
    <t>q-auditor-substrate-agreement</t>
  </si>
  <si>
    <t>This rulebook compiles into Postgres, Python, Go, TypeScript, C#, a spreadsheet and an OWL reasoner. When I approve a rule, do all of them compute the same answer, and if not, which one is wrong about which field?</t>
  </si>
  <si>
    <t>A procedure is only as authoritative as the systems that execute it. If the spreadsheet a controller opens disagrees with the database the close automation reads, the rule has two meanings, and nobody finds out until an audit does. Agreement has to be witnessed per cell, not assumed from a green build.</t>
  </si>
  <si>
    <t>No. The harness printed scores to a markdown file per substrate; the rulebook had no record of which substrates exist, how they scored, or which fields they disagree on.</t>
  </si>
  <si>
    <t>ConformanceRuns.IsFullyConformant=0/1; ConformanceSubstrates.IsFullyConformant=0/8; ConformanceSubstrates.IsGraded=7/8; FieldDisagreements.IsFullySampled=390/400; RulebookFields.IsSubstrateContested=182/1885; SubstrateRunScores.IsInLatestRun=7/7; SubstrateRunScores.IsPerfect=0/7; TableConformance.IsPerfect=439/581</t>
  </si>
  <si>
    <t>q-steward-rework-loops</t>
  </si>
  <si>
    <t>Which steps can a procedure send work back to after they have already run — which steps sit on a rework loop, and which of those carry a blocking control that must hold on every pass?</t>
  </si>
  <si>
    <t>Fallback and Alternative transitions make the step graph cyclic: close-04 falls back to close-03, and close-06's alternative re-enters close-04, so close-05's approval control can run twice in one close. Every witness we have looks at one transition at a time (IsUnwalkedRecoveryPath asks whether that one edge was ever traversed). None of them can say that a step is re-entered, because loop membership is reachability over paths of any length. That is transitive closure, which no formula expresses, so it needs the substrate-native closure over StepTransitions.</t>
  </si>
  <si>
    <t>Steps.IsBlockingControlOnReworkLoop=7/17; Steps.IsOnReworkLoop=8/17</t>
  </si>
  <si>
    <t>q-controller-gate-bypass</t>
  </si>
  <si>
    <t>Can a procedure reach a publication step from its first step without passing through a human approval gate — is there any route, including alternative and fallback transitions, around the sign-off?</t>
  </si>
  <si>
    <t>The CFO's sign-off at close-06 is only a control if every route to publication runs through it. IsHumanApprovalGate and GateHeldByHuman say the gate exists and is held by a person; nothing says the step graph forces work through it. An Alternative transition added for an 'immaterial variance' fast path can route straight to publication, and every per-step and per-edge witness stays green. Whether a gate can be bypassed is reachability from the entry step over only the transitions that avoid a gate, at any depth: a closure over a filtered edge set, not a formula.</t>
  </si>
  <si>
    <t>RulebookFieldId</t>
  </si>
  <si>
    <t>TargetTable</t>
  </si>
  <si>
    <t>FieldName</t>
  </si>
  <si>
    <t>FieldType</t>
  </si>
  <si>
    <t>Datatype</t>
  </si>
  <si>
    <t>Formula</t>
  </si>
  <si>
    <t>InventedForQuestion</t>
  </si>
  <si>
    <t>IsDerived</t>
  </si>
  <si>
    <t>IsWitness</t>
  </si>
  <si>
    <t>DisagreeingSubstrateCount</t>
  </si>
  <si>
    <t>IsSubstrateContested</t>
  </si>
  <si>
    <t>RulebookReleases.RulebookReleaseId</t>
  </si>
  <si>
    <t>RulebookReleases</t>
  </si>
  <si>
    <t>raw</t>
  </si>
  <si>
    <t>string</t>
  </si>
  <si>
    <t>urn:effortless:pko-extension#RulebookField</t>
  </si>
  <si>
    <t>RulebookReleases.Name</t>
  </si>
  <si>
    <t>calculated</t>
  </si>
  <si>
    <t>={{RulebookVersion}} &amp; " / PKO " &amp; {{PkoCoreVersionIri}}</t>
  </si>
  <si>
    <t>RulebookReleases.RulebookVersion</t>
  </si>
  <si>
    <t>RulebookReleases.ProfileVersion</t>
  </si>
  <si>
    <t>RulebookReleases.ProfileSchemaPath</t>
  </si>
  <si>
    <t>RulebookReleases.PkoCoreVersionIri</t>
  </si>
  <si>
    <t>RulebookReleases.PkoIndustryVersionIri</t>
  </si>
  <si>
    <t>RulebookReleases.IssuedAt</t>
  </si>
  <si>
    <t>datetime</t>
  </si>
  <si>
    <t>RulebookReleases.Status</t>
  </si>
  <si>
    <t>RulebookReleases.Changelog</t>
  </si>
  <si>
    <t>RulebookReleases.IsCurrent</t>
  </si>
  <si>
    <t>boolean</t>
  </si>
  <si>
    <t>OntologyProfiles.OntologyProfileId</t>
  </si>
  <si>
    <t>OntologyProfiles</t>
  </si>
  <si>
    <t>OntologyProfiles.Name</t>
  </si>
  <si>
    <t>={{Label}} &amp; " " &amp; {{Version}}</t>
  </si>
  <si>
    <t>OntologyProfiles.Label</t>
  </si>
  <si>
    <t>OntologyProfiles.Version</t>
  </si>
  <si>
    <t>OntologyProfiles.VersionIri</t>
  </si>
  <si>
    <t>OntologyProfiles.NamespaceIri</t>
  </si>
  <si>
    <t>OntologyProfiles.License</t>
  </si>
  <si>
    <t>OntologyProfiles.Scope</t>
  </si>
  <si>
    <t>EvaluationContexts.EvaluationContextId</t>
  </si>
  <si>
    <t>EvaluationContexts</t>
  </si>
  <si>
    <t>EvaluationContexts.Name</t>
  </si>
  <si>
    <t>={{Label}} &amp; " @ " &amp; {{AsOfInstant}}</t>
  </si>
  <si>
    <t>EvaluationContexts.Label</t>
  </si>
  <si>
    <t>EvaluationContexts.AsOfInstant</t>
  </si>
  <si>
    <t>EvaluationContexts.IsCurrent</t>
  </si>
  <si>
    <t>EvaluationContexts.Rationale</t>
  </si>
  <si>
    <t>EvaluationContexts.SemanticTypeIri</t>
  </si>
  <si>
    <t>Organizations.OrganizationId</t>
  </si>
  <si>
    <t>Organizations</t>
  </si>
  <si>
    <t>Organizations.Name</t>
  </si>
  <si>
    <t>={{DisplayName}}</t>
  </si>
  <si>
    <t>Organizations.DisplayName</t>
  </si>
  <si>
    <t>Organizations.OrganizationType</t>
  </si>
  <si>
    <t>Organizations.ExternalIdentifier</t>
  </si>
  <si>
    <t>Organizations.SemanticTypeIri</t>
  </si>
  <si>
    <t>Agents.AgentId</t>
  </si>
  <si>
    <t>Agents.Name</t>
  </si>
  <si>
    <t>Agents.DisplayName</t>
  </si>
  <si>
    <t>Agents.AgentKind</t>
  </si>
  <si>
    <t>Agents.Organization</t>
  </si>
  <si>
    <t>relationship</t>
  </si>
  <si>
    <t>Agents.ContactAddress</t>
  </si>
  <si>
    <t>Agents.VersionOrEmploymentKey</t>
  </si>
  <si>
    <t>Agents.CountOfCurrentRoleAssignments</t>
  </si>
  <si>
    <t>aggregation</t>
  </si>
  <si>
    <t>integer</t>
  </si>
  <si>
    <t>=COUNTIFS(RoleAssignments!{{CurrentAgentKey}}, {{AgentId}})</t>
  </si>
  <si>
    <t>Agents.IsStillEngaged</t>
  </si>
  <si>
    <t>={{CountOfCurrentRoleAssignments}} &gt; 0</t>
  </si>
  <si>
    <t>Agents.DecisionCount</t>
  </si>
  <si>
    <t>number</t>
  </si>
  <si>
    <t>=COUNTIFS(AgentDecisionRecords!{{DecidingAgent}}, {{AgentId}})</t>
  </si>
  <si>
    <t>Agents.OverriddenDecisionCount</t>
  </si>
  <si>
    <t>=COUNTIFS(AgentDecisionRecords!{{DecidingAgentWhenOverridden}}, {{AgentId}})</t>
  </si>
  <si>
    <t>Agents.OverrideRatePercent</t>
  </si>
  <si>
    <t>=IF({{DecisionCount}} = 0, 0, ({{OverriddenDecisionCount}} * 100) / {{DecisionCount}})</t>
  </si>
  <si>
    <t>Agents.IsNonHuman</t>
  </si>
  <si>
    <t>=NOT({{AgentKind}} = "Human")</t>
  </si>
  <si>
    <t>Agents.BoundaryViolationCount</t>
  </si>
  <si>
    <t>=COUNTIFS(AgentDecisionRecords!{{AgentWhenBoundaryViolated}}, {{AgentId}})</t>
  </si>
  <si>
    <t>Agents.IsOperatingOutsideBoundary</t>
  </si>
  <si>
    <t>={{BoundaryViolationCount}} &gt; 0</t>
  </si>
  <si>
    <t>Agents.DraftDecisionCount</t>
  </si>
  <si>
    <t>=COUNTIFS(AgentDecisionRecords!{{AgentWhenDraft}}, {{AgentId}})</t>
  </si>
  <si>
    <t>Agents.OverriddenDraftCount</t>
  </si>
  <si>
    <t>=COUNTIFS(AgentDecisionRecords!{{AgentWhenDraftOverridden}}, {{AgentId}})</t>
  </si>
  <si>
    <t>Agents.DraftRewriteRatePercent</t>
  </si>
  <si>
    <t>=IF({{DraftDecisionCount}} = 0, 0, ({{OverriddenDraftCount}} * 100) / {{DraftDecisionCount}})</t>
  </si>
  <si>
    <t>Agents.TimesNamedAsBroker</t>
  </si>
  <si>
    <t>=COUNTIFS(KnowledgeBrokerLinks!{{ActiveRelianceBrokerKey}}, {{AgentId}})</t>
  </si>
  <si>
    <t>Agents.IsRecognizedBroker</t>
  </si>
  <si>
    <t>={{TimesNamedAsBroker}} &gt;= 3</t>
  </si>
  <si>
    <t>Agents.AtRiskRelianceCount</t>
  </si>
  <si>
    <t>=COUNTIFS(KnowledgeBrokerLinks!{{AtRiskBrokerKey}}, {{AgentId}})</t>
  </si>
  <si>
    <t>Agents.HasAtRiskKnowledgeReliance</t>
  </si>
  <si>
    <t>={{AtRiskRelianceCount}} &gt; 0</t>
  </si>
  <si>
    <t>Agents.SemanticTypeIri</t>
  </si>
  <si>
    <t>Roles.RoleId</t>
  </si>
  <si>
    <t>Roles.Name</t>
  </si>
  <si>
    <t>={{Label}}</t>
  </si>
  <si>
    <t>Roles.Label</t>
  </si>
  <si>
    <t>Roles.Organization</t>
  </si>
  <si>
    <t>Roles.CurrentAgent</t>
  </si>
  <si>
    <t>Roles.CurrentAgentKind</t>
  </si>
  <si>
    <t>lookup</t>
  </si>
  <si>
    <t>=INDEX(Agents!{{AgentKind}}, MATCH({{CurrentAgent}}, Agents!{{AgentId}}, 0))</t>
  </si>
  <si>
    <t>Roles.Responsibility</t>
  </si>
  <si>
    <t>Roles.ActiveAssignmentCount</t>
  </si>
  <si>
    <t>=COUNTIFS(RoleAssignments!{{Role}}, {{RoleId}})</t>
  </si>
  <si>
    <t>Roles.CurrentlyCoveredAssignmentCount</t>
  </si>
  <si>
    <t>=COUNTIFS(RoleAssignments!{{RoleWhenCovering}}, {{RoleId}})</t>
  </si>
  <si>
    <t>Roles.HasNoCurrentHolder</t>
  </si>
  <si>
    <t>={{CurrentlyCoveredAssignmentCount}} = 0</t>
  </si>
  <si>
    <t>Roles.CountOfAwaitedDecisions</t>
  </si>
  <si>
    <t>=COUNTIFS(ChangeRequests!{{AuthorityRole}}, Roles!{{RoleId}})</t>
  </si>
  <si>
    <t>Roles.CurrentAssignment</t>
  </si>
  <si>
    <t>Roles.CurrentAssignmentValidFrom</t>
  </si>
  <si>
    <t>=INDEX(RoleAssignments!{{ValidFrom}}, MATCH({{CurrentAssignment}}, RoleAssignments!{{RoleAssignmentId}}, 0))</t>
  </si>
  <si>
    <t>Roles.IsNonHumanHeld</t>
  </si>
  <si>
    <t>=NOT({{CurrentAgentKind}} = "Human")</t>
  </si>
  <si>
    <t>Roles.IsUngovernedNonHumanRole</t>
  </si>
  <si>
    <t>=AND({{IsNonHumanHeld}}, {{HasNoCurrentHolder}})</t>
  </si>
  <si>
    <t>Roles.DepartedAssignmentCount</t>
  </si>
  <si>
    <t>=COUNTIFS(RoleAssignments!{{DepartedRoleKey}}, {{RoleId}})</t>
  </si>
  <si>
    <t>Roles.HasLostAHolder</t>
  </si>
  <si>
    <t>={{DepartedAssignmentCount}} &gt; 0</t>
  </si>
  <si>
    <t>Roles.IsVacatedRole</t>
  </si>
  <si>
    <t>=AND({{HasLostAHolder}}, {{HasNoCurrentHolder}})</t>
  </si>
  <si>
    <t>Roles.UngroundedBoundaryCount</t>
  </si>
  <si>
    <t>=COUNTIFS(AuthorityBoundaries!{{ConstrainedRoleAssignmentKey}}, {{RoleId}})</t>
  </si>
  <si>
    <t>Roles.IsGovernedByLapsedAuthority</t>
  </si>
  <si>
    <t>=({{UngroundedBoundaryCount}} &gt; 0)</t>
  </si>
  <si>
    <t>Roles.UnescalatedRefusalCount</t>
  </si>
  <si>
    <t>=COUNTIFS(SendIntents!{{UnescalatedRefusalRoleKey}}, {{RoleId}})</t>
  </si>
  <si>
    <t>Roles.UnauthorizedEnforcementAssignmentCount</t>
  </si>
  <si>
    <t>=COUNTIFS(RoleAssignments!{{UnauthorizedEnforcementRoleKey}}, {{RoleId}})</t>
  </si>
  <si>
    <t>Roles.IsUngovernedEnforcementRole</t>
  </si>
  <si>
    <t>=({{UnauthorizedEnforcementAssignmentCount}} &gt; 0)</t>
  </si>
  <si>
    <t>Roles.SemanticTypeIri</t>
  </si>
  <si>
    <t>RoleAssignments.RoleAssignmentId</t>
  </si>
  <si>
    <t>RoleAssignments.Name</t>
  </si>
  <si>
    <t>={{Role}} &amp; " @ " &amp; {{ValidFrom}}</t>
  </si>
  <si>
    <t>RoleAssignments.Role</t>
  </si>
  <si>
    <t>RoleAssignments.Agent</t>
  </si>
  <si>
    <t>RoleAssignments.ValidFrom</t>
  </si>
  <si>
    <t>RoleAssignments.ValidTo</t>
  </si>
  <si>
    <t>RoleAssignments.Reason</t>
  </si>
  <si>
    <t>RoleAssignments.Status</t>
  </si>
  <si>
    <t>RoleAssignments.EvaluationContext</t>
  </si>
  <si>
    <t>RoleAssignments.AsOfInstant</t>
  </si>
  <si>
    <t>=INDEX(EvaluationContexts!{{AsOfInstant}}, MATCH({{EvaluationContext}}, EvaluationContexts!{{EvaluationContextId}}, 0))</t>
  </si>
  <si>
    <t>RoleAssignments.IsCurrent</t>
  </si>
  <si>
    <t>=AND({{ValidFrom}} &lt;= {{AsOfInstant}}, OR({{ValidTo}} = "", {{ValidTo}} &gt; {{AsOfInstant}}))</t>
  </si>
  <si>
    <t>RoleAssignments.CurrentAgentKey</t>
  </si>
  <si>
    <t>=IF({{IsCurrent}}, {{Agent}}, "")</t>
  </si>
  <si>
    <t>RoleAssignments.IsCurrentlyValid</t>
  </si>
  <si>
    <t>=AND({{Status}} = "Active", OR({{ValidTo}} = "", {{ValidTo}} &gt; {{AsOfInstant}}))</t>
  </si>
  <si>
    <t>RoleAssignments.AgentRoleKey</t>
  </si>
  <si>
    <t>=IF({{IsCurrentlyValid}}, {{Agent}} &amp; "|" &amp; {{Role}}, "")</t>
  </si>
  <si>
    <t>RoleAssignments.HasDeparted</t>
  </si>
  <si>
    <t>=AND({{ValidTo}} &lt;&gt; "", {{ValidTo}} &lt;= {{AsOfInstant}})</t>
  </si>
  <si>
    <t>RoleAssignments.CoversNow</t>
  </si>
  <si>
    <t>=AND({{Status}} = "Active", {{ValidFrom}} &lt;= {{AsOfInstant}}, OR({{ValidTo}} = "", {{ValidTo}} &gt; {{AsOfInstant}}))</t>
  </si>
  <si>
    <t>RoleAssignments.RoleWhenCovering</t>
  </si>
  <si>
    <t>=IF({{CoversNow}}, {{Role}}, "")</t>
  </si>
  <si>
    <t>RoleAssignments.AgentKind</t>
  </si>
  <si>
    <t>=INDEX(Agents!{{AgentKind}}, MATCH({{Agent}}, Agents!{{AgentId}}, 0))</t>
  </si>
  <si>
    <t>RoleAssignments.IsNonHumanAssignment</t>
  </si>
  <si>
    <t>RoleAssignments.SupersedesAssignment</t>
  </si>
  <si>
    <t>RoleAssignments.PredecessorAgentKind</t>
  </si>
  <si>
    <t>=INDEX(RoleAssignments!{{AgentKind}}, MATCH({{SupersedesAssignment}}, RoleAssignments!{{RoleAssignmentId}}, 0))</t>
  </si>
  <si>
    <t>RoleAssignments.IsHumanToNonHumanHandover</t>
  </si>
  <si>
    <t>=AND({{PredecessorAgentKind}} = "Human", {{IsNonHumanAssignment}})</t>
  </si>
  <si>
    <t>RoleAssignments.ApprovingAuthorityRole</t>
  </si>
  <si>
    <t>RoleAssignments.AuthorizingChangeRequest</t>
  </si>
  <si>
    <t>RoleAssignments.IsUnauthorizedNonHumanAssignment</t>
  </si>
  <si>
    <t>=AND({{IsNonHumanAssignment}}, NOT({{HasApprovingAuthority}}))</t>
  </si>
  <si>
    <t>RoleAssignments.WasAuthorizedByChangeRequest</t>
  </si>
  <si>
    <t>=AND({{HasApprovingAuthority}}, {{AuthorizingChangeRequest}} &lt;&gt; "")</t>
  </si>
  <si>
    <t>RoleAssignments.DecisionCount</t>
  </si>
  <si>
    <t>=COUNTIFS(AgentDecisionRecords!{{RoleAssignmentWhenScored}}, {{RoleAssignmentId}})</t>
  </si>
  <si>
    <t>RoleAssignments.OverriddenDecisionCount</t>
  </si>
  <si>
    <t>=COUNTIFS(AgentDecisionRecords!{{RoleAssignmentWhenOverridden}}, {{RoleAssignmentId}})</t>
  </si>
  <si>
    <t>RoleAssignments.OverrideRatePercent</t>
  </si>
  <si>
    <t>RoleAssignments.PredecessorOverrideRatePercent</t>
  </si>
  <si>
    <t>=INDEX(RoleAssignments!{{OverrideRatePercent}}, MATCH({{SupersedesAssignment}}, RoleAssignments!{{RoleAssignmentId}}, 0))</t>
  </si>
  <si>
    <t>RoleAssignments.QualityRegressedVsPredecessor</t>
  </si>
  <si>
    <t>=AND({{SupersedesAssignment}} &lt;&gt; "", {{OverrideRatePercent}} &gt; {{PredecessorOverrideRatePercent}})</t>
  </si>
  <si>
    <t>RoleAssignments.DepartedRoleKey</t>
  </si>
  <si>
    <t>=IF({{HasDeparted}}, {{Role}}, "")</t>
  </si>
  <si>
    <t>RoleAssignments.MinimumDecisionsForComparison</t>
  </si>
  <si>
    <t>RoleAssignments.PredecessorDecisionCount</t>
  </si>
  <si>
    <t>=INDEX(RoleAssignments!{{DecisionCount}}, MATCH({{SupersedesAssignment}}, RoleAssignments!{{RoleAssignmentId}}, 0))</t>
  </si>
  <si>
    <t>RoleAssignments.HasSufficientSample</t>
  </si>
  <si>
    <t>={{DecisionCount}} &gt;= {{MinimumDecisionsForComparison}}</t>
  </si>
  <si>
    <t>RoleAssignments.PredecessorHasSufficientSample</t>
  </si>
  <si>
    <t>={{PredecessorDecisionCount}} &gt;= {{MinimumDecisionsForComparison}}</t>
  </si>
  <si>
    <t>RoleAssignments.ComparisonIsEvidentiallySound</t>
  </si>
  <si>
    <t>=AND({{HasSufficientSample}}, {{PredecessorHasSufficientSample}})</t>
  </si>
  <si>
    <t>RoleAssignments.SingleOverrideSwingPercent</t>
  </si>
  <si>
    <t>=IF({{DecisionCount}} &gt; 0, 100 / {{DecisionCount}}, 0)</t>
  </si>
  <si>
    <t>RoleAssignments.QualityVerdictIsUnsupported</t>
  </si>
  <si>
    <t>=AND(NOT({{ComparisonIsEvidentiallySound}}), NOT({{QualityRegressedVsPredecessor}}))</t>
  </si>
  <si>
    <t>RoleAssignments.IsUnmeasuredAutomationHandover</t>
  </si>
  <si>
    <t>=AND({{IsHumanToNonHumanHandover}}, NOT({{ComparisonIsEvidentiallySound}}))</t>
  </si>
  <si>
    <t>RoleAssignments.ErrorCorrectionCount</t>
  </si>
  <si>
    <t>=COUNTIFS(AgentDecisionRecords!{{ErrorCorrectionRoleAssignmentKey}}, {{RoleAssignmentId}})</t>
  </si>
  <si>
    <t>RoleAssignments.ErrorRatePercent</t>
  </si>
  <si>
    <t>=IF({{DecisionCount}} &gt; 0, {{ErrorCorrectionCount}} * 100 / {{DecisionCount}}, 0)</t>
  </si>
  <si>
    <t>RoleAssignments.AuthorizationDecidedAt</t>
  </si>
  <si>
    <t>RoleAssignments.AuthorizationReviewedAt</t>
  </si>
  <si>
    <t>RoleAssignments.AuthorizationReviewCadenceDays</t>
  </si>
  <si>
    <t>RoleAssignments.HasDatedAuthorization</t>
  </si>
  <si>
    <t>=AND({{ApprovingAuthorityRole}} &lt;&gt; "", {{AuthorizationDecidedAt}} &lt;&gt; "")</t>
  </si>
  <si>
    <t>RoleAssignments.DaysSinceAuthorizationReview</t>
  </si>
  <si>
    <t>=IF({{AuthorizationReviewedAt}} &lt;&gt; "", DATETIME_DIFF({{AsOfInstant}}, {{AuthorizationReviewedAt}}, "days"), DATETIME_DIFF({{AsOfInstant}}, {{ValidFrom}}, "days"))</t>
  </si>
  <si>
    <t>RoleAssignments.AuthorizationIsOverdueForReview</t>
  </si>
  <si>
    <t>=AND({{AuthorizationReviewCadenceDays}} &gt; 0, {{DaysSinceAuthorizationReview}} &gt; {{AuthorizationReviewCadenceDays}})</t>
  </si>
  <si>
    <t>RoleAssignments.IsStandingUnreviewedAutomation</t>
  </si>
  <si>
    <t>=AND({{CoversNow}}, AND({{IsNonHumanAssignment}}, {{AuthorizationIsOverdueForReview}}))</t>
  </si>
  <si>
    <t>RoleAssignments.IsUnconditionedAutomationHandover</t>
  </si>
  <si>
    <t>=AND({{IsHumanToNonHumanHandover}}, {{AuthorizationReviewCadenceDays}} = 0)</t>
  </si>
  <si>
    <t>RoleAssignments.MaxTolerableErrorRatePercent</t>
  </si>
  <si>
    <t>RoleAssignments.ExceedsTolerableErrorRate</t>
  </si>
  <si>
    <t>=AND({{MaxTolerableErrorRatePercent}} &gt; 0, {{ErrorRatePercent}} &gt;= {{MaxTolerableErrorRatePercent}})</t>
  </si>
  <si>
    <t>RoleAssignments.BoundaryViolationCountForAssignment</t>
  </si>
  <si>
    <t>=COUNTIFS(AgentDecisionRecords!{{BoundaryViolationRoleAssignmentKey}}, {{RoleAssignmentId}})</t>
  </si>
  <si>
    <t>RoleAssignments.HasAnyBoundaryViolation</t>
  </si>
  <si>
    <t>=({{BoundaryViolationCountForAssignment}} &gt; 0)</t>
  </si>
  <si>
    <t>RoleAssignments.HasUngroundedGoverningBoundary</t>
  </si>
  <si>
    <t>=INDEX(Roles!{{IsGovernedByLapsedAuthority}}, MATCH({{Role}}, Roles!{{RoleId}}, 0))</t>
  </si>
  <si>
    <t>RoleAssignments.SuspensionConditionMet</t>
  </si>
  <si>
    <t>=OR({{ExceedsTolerableErrorRate}}, OR({{HasAnyBoundaryViolation}}, {{HasUngroundedGoverningBoundary}}))</t>
  </si>
  <si>
    <t>RoleAssignments.IsOperatingUnderMetSuspensionCondition</t>
  </si>
  <si>
    <t>=AND({{SuspensionConditionMet}}, AND({{CoversNow}}, {{IsNonHumanAssignment}}))</t>
  </si>
  <si>
    <t>RoleAssignments.HasDeclaredSuspensionCondition</t>
  </si>
  <si>
    <t>={{MaxTolerableErrorRatePercent}} &gt; 0</t>
  </si>
  <si>
    <t>RoleAssignments.HasApprovingAuthority</t>
  </si>
  <si>
    <t>={{ApprovingAuthorityRole}} &lt;&gt; ""</t>
  </si>
  <si>
    <t>RoleAssignments.HasAuthorizingChangeRequest</t>
  </si>
  <si>
    <t>={{AuthorizingChangeRequest}} &lt;&gt; ""</t>
  </si>
  <si>
    <t>RoleAssignments.IsEnforcementRole</t>
  </si>
  <si>
    <t>RoleAssignments.IsUnauthorizedEnforcementAgent</t>
  </si>
  <si>
    <t>=AND({{IsEnforcementRole}}, {{IsUnauthorizedNonHumanAssignment}})</t>
  </si>
  <si>
    <t>RoleAssignments.GovernanceEvidenceCount</t>
  </si>
  <si>
    <t>=IF({{HasApprovingAuthority}}, 1, 0) + IF({{HasAuthorizingChangeRequest}}, 1, 0)</t>
  </si>
  <si>
    <t>RoleAssignments.UnauthorizedEnforcementRoleKey</t>
  </si>
  <si>
    <t>=IF({{IsUnauthorizedNonHumanAssignment}}, {{Role}}, "")</t>
  </si>
  <si>
    <t>RoleAssignments.SemanticTypeIri</t>
  </si>
  <si>
    <t>CommunitiesOfPractice.CommunityOfPracticeId</t>
  </si>
  <si>
    <t>CommunitiesOfPractice</t>
  </si>
  <si>
    <t>CommunitiesOfPractice.Name</t>
  </si>
  <si>
    <t>CommunitiesOfPractice.Label</t>
  </si>
  <si>
    <t>CommunitiesOfPractice.Organization</t>
  </si>
  <si>
    <t>CommunitiesOfPractice.StewardRole</t>
  </si>
  <si>
    <t>CommunitiesOfPractice.Purpose</t>
  </si>
  <si>
    <t>CommunitiesOfPractice.Cadence</t>
  </si>
  <si>
    <t>CommunitiesOfPractice.SemanticTypeIri</t>
  </si>
  <si>
    <t>Mentorships.MentorshipId</t>
  </si>
  <si>
    <t>Mentorships</t>
  </si>
  <si>
    <t>Mentorships.Name</t>
  </si>
  <si>
    <t>={{MentorAgent}} &amp; " -&gt; " &amp; {{LearnerAgent}}</t>
  </si>
  <si>
    <t>Mentorships.CommunityOfPractice</t>
  </si>
  <si>
    <t>Mentorships.MentorAgent</t>
  </si>
  <si>
    <t>Mentorships.LearnerAgent</t>
  </si>
  <si>
    <t>Mentorships.ValidFrom</t>
  </si>
  <si>
    <t>Mentorships.ValidTo</t>
  </si>
  <si>
    <t>Mentorships.LearningObjective</t>
  </si>
  <si>
    <t>Mentorships.EvidenceOfCompletion</t>
  </si>
  <si>
    <t>Mentorships.SemanticTypeIri</t>
  </si>
  <si>
    <t>ProcedureTypes.ProcedureTypeId</t>
  </si>
  <si>
    <t>ProcedureTypes</t>
  </si>
  <si>
    <t>ProcedureTypes.Name</t>
  </si>
  <si>
    <t>ProcedureTypes.Label</t>
  </si>
  <si>
    <t>ProcedureTypes.Definition</t>
  </si>
  <si>
    <t>ProcedureTypes.SemanticTypeIri</t>
  </si>
  <si>
    <t>Procedures.ProcedureId</t>
  </si>
  <si>
    <t>Procedures.Name</t>
  </si>
  <si>
    <t>={{Title}}</t>
  </si>
  <si>
    <t>Procedures.Title</t>
  </si>
  <si>
    <t>Procedures.ProcedureType</t>
  </si>
  <si>
    <t>Procedures.OwnerOrganization</t>
  </si>
  <si>
    <t>Procedures.AdoptedByOrganization</t>
  </si>
  <si>
    <t>Procedures.Purpose</t>
  </si>
  <si>
    <t>Procedures.Target</t>
  </si>
  <si>
    <t>Procedures.IsTemplate</t>
  </si>
  <si>
    <t>Procedures.CurrentVersionKey</t>
  </si>
  <si>
    <t>Procedures.SemanticTypeIri</t>
  </si>
  <si>
    <t>ProcedureVersions.ProcedureVersionId</t>
  </si>
  <si>
    <t>ProcedureVersions.Name</t>
  </si>
  <si>
    <t>ProcedureVersions.Procedure</t>
  </si>
  <si>
    <t>ProcedureVersions.Title</t>
  </si>
  <si>
    <t>ProcedureVersions.Status</t>
  </si>
  <si>
    <t>ProcedureVersions.IssuedAt</t>
  </si>
  <si>
    <t>ProcedureVersions.ModifiedAt</t>
  </si>
  <si>
    <t>ProcedureVersions.CreatedByAgent</t>
  </si>
  <si>
    <t>ProcedureVersions.ModifiedByAgent</t>
  </si>
  <si>
    <t>ProcedureVersions.NewVersionMotivation</t>
  </si>
  <si>
    <t>ProcedureVersions.ChangelogDescription</t>
  </si>
  <si>
    <t>ProcedureVersions.IsCurrent</t>
  </si>
  <si>
    <t>ProcedureVersions.CountOfSteps</t>
  </si>
  <si>
    <t>=COUNTIFS(Steps!{{ProcedureVersion}}, ProcedureVersions!{{ProcedureVersionId}})</t>
  </si>
  <si>
    <t>ProcedureVersions.CountOfOpenKnowledgeGaps</t>
  </si>
  <si>
    <t>=COUNTIFS(KnowledgeGaps!{{ProcedureVersion}}, ProcedureVersions!{{ProcedureVersionId}}, KnowledgeGaps!{{Status}}, "Open")</t>
  </si>
  <si>
    <t>ProcedureVersions.IsReadyForExecution</t>
  </si>
  <si>
    <t>=AND({{Status}} = "Approved", {{CountOfSteps}} &gt; 0, {{CountOfOpenKnowledgeGaps}} = 0)</t>
  </si>
  <si>
    <t>ProcedureVersions.SpecifiedStepCount</t>
  </si>
  <si>
    <t>=COUNTIFS(Steps!{{ProcedureVersion}}, {{ProcedureVersionId}})</t>
  </si>
  <si>
    <t>ProcedureVersions.OverdueReviewCount</t>
  </si>
  <si>
    <t>=COUNTIFS(ReviewEvents!{{OverdueVersionKey}}, {{ProcedureVersionId}})</t>
  </si>
  <si>
    <t>ProcedureVersions.OpenChangeRequestCount</t>
  </si>
  <si>
    <t>=COUNTIFS(ChangeRequests!{{OpenChangeVersionKey}}, {{ProcedureVersionId}})</t>
  </si>
  <si>
    <t>ProcedureVersions.OpenHighSeverityGapCount</t>
  </si>
  <si>
    <t>=COUNTIFS(KnowledgeGaps!{{OpenGapVersionKey}}, {{ProcedureVersionId}})</t>
  </si>
  <si>
    <t>ProcedureVersions.IsFitToExecute</t>
  </si>
  <si>
    <t>=AND({{Status}} = "Approved", {{OverdueReviewCount}} = 0, {{OpenChangeRequestCount}} = 0, {{OpenHighSeverityGapCount}} = 0)</t>
  </si>
  <si>
    <t>ProcedureVersions.StewardReviewCadenceDays</t>
  </si>
  <si>
    <t>=SUMIFS(StewardshipAssignments!{{ReviewCadenceDays}}, StewardshipAssignments!{{ProcedureVersion}}, {{ProcedureVersionId}})</t>
  </si>
  <si>
    <t>ProcedureVersions.CountOfStewardshipAssignments</t>
  </si>
  <si>
    <t>=COUNTIFS(StewardshipAssignments!{{ProcedureVersion}}, ProcedureVersions!{{ProcedureVersionId}})</t>
  </si>
  <si>
    <t>ProcedureVersions.HasAnySteward</t>
  </si>
  <si>
    <t>={{CountOfStewardshipAssignments}} &gt; 0</t>
  </si>
  <si>
    <t>ProcedureVersions.IsLive</t>
  </si>
  <si>
    <t>=OR({{Status}} = "Approved", {{Status}} = "Published")</t>
  </si>
  <si>
    <t>ProcedureVersions.IsUnstewarded</t>
  </si>
  <si>
    <t>=NOT({{HasAnySteward}})</t>
  </si>
  <si>
    <t>ProcedureVersions.IsLiveAndUnstewarded</t>
  </si>
  <si>
    <t>=AND({{IsLive}}, {{IsUnstewarded}})</t>
  </si>
  <si>
    <t>ProcedureVersions.CountOfOpenBlockingGaps</t>
  </si>
  <si>
    <t>=COUNTIFS(KnowledgeGaps!{{IsOpenAndBlocking}}, TRUE)</t>
  </si>
  <si>
    <t>ProcedureVersions.HasOpenBlockingGap</t>
  </si>
  <si>
    <t>={{CountOfOpenBlockingGaps}} &gt; 0</t>
  </si>
  <si>
    <t>ProcedureVersions.IsLiveWithBlockingGap</t>
  </si>
  <si>
    <t>=AND({{IsLive}}, {{HasOpenBlockingGap}})</t>
  </si>
  <si>
    <t>ProcedureVersions.ShouldNotBeExecutable</t>
  </si>
  <si>
    <t>=AND({{IsReadyForExecution}}, {{HasOpenBlockingGap}})</t>
  </si>
  <si>
    <t>ProcedureVersions.CountOfUnapprovedRelianceFragments</t>
  </si>
  <si>
    <t>=COUNTIFS(KnowledgeFragments!{{IsUnapprovedButReliedOn}}, TRUE)</t>
  </si>
  <si>
    <t>ProcedureVersions.RunsOnUnapprovedKnowledge</t>
  </si>
  <si>
    <t>={{CountOfUnapprovedRelianceFragments}} &gt; 0</t>
  </si>
  <si>
    <t>ProcedureVersions.CountOfOverdueGaps</t>
  </si>
  <si>
    <t>=COUNTIFS(KnowledgeGaps!{{IsOverdueGap}}, TRUE)</t>
  </si>
  <si>
    <t>ProcedureVersions.CountOfChangeRequests</t>
  </si>
  <si>
    <t>=COUNTIFS(ChangeRequests!{{ProcedureVersion}}, ProcedureVersions!{{ProcedureVersionId}})</t>
  </si>
  <si>
    <t>ProcedureVersions.CountOfReviewEvents</t>
  </si>
  <si>
    <t>=COUNTIFS(ReviewEvents!{{ProcedureVersion}}, ProcedureVersions!{{ProcedureVersionId}})</t>
  </si>
  <si>
    <t>ProcedureVersions.HasGovernanceRecord</t>
  </si>
  <si>
    <t>=OR({{CountOfChangeRequests}} &gt; 0, {{CountOfReviewEvents}} &gt; 0)</t>
  </si>
  <si>
    <t>ProcedureVersions.EvaluationContext</t>
  </si>
  <si>
    <t>ProcedureVersions.AsOfInstant</t>
  </si>
  <si>
    <t>ProcedureVersions.DaysSinceModified</t>
  </si>
  <si>
    <t>=DATETIME_DIFF({{AsOfInstant}}, {{ModifiedAt}}, "days")</t>
  </si>
  <si>
    <t>ProcedureVersions.DaysSinceLastReview</t>
  </si>
  <si>
    <t>=DATETIME_DIFF({{AsOfInstant}}, MAXIFS(ReviewEvents!{{ReviewedAt}}, ReviewEvents!{{ProcedureVersion}}, ProcedureVersions!{{ProcedureVersionId}}), "days")</t>
  </si>
  <si>
    <t>ProcedureVersions.WasModifiedSinceLastReview</t>
  </si>
  <si>
    <t>={{DaysSinceModified}} &lt; {{DaysSinceLastReview}}</t>
  </si>
  <si>
    <t>ProcedureVersions.ModifierIsAuthority</t>
  </si>
  <si>
    <t>=INDEX(Agents!{{AgentKind}}, MATCH({{ModifiedByAgent}}, Agents!{{AgentId}}, 0))</t>
  </si>
  <si>
    <t>ProcedureVersions.HasUnwitnessedChange</t>
  </si>
  <si>
    <t>=AND({{IsLive}}, {{WasModifiedSinceLastReview}})</t>
  </si>
  <si>
    <t>ProcedureVersions.CountOfStaleFragments</t>
  </si>
  <si>
    <t>=COUNTIFS(KnowledgeFragments!{{ExceedsOwningCadence}}, TRUE)</t>
  </si>
  <si>
    <t>ProcedureVersions.KnowledgeIsStalerThanCadence</t>
  </si>
  <si>
    <t>={{CountOfStaleFragments}} &gt; 0</t>
  </si>
  <si>
    <t>ProcedureVersions.CompoundFragileFragmentCount</t>
  </si>
  <si>
    <t>=COUNTIFS(KnowledgeFragments!{{CompoundFragileVersionKey}}, {{ProcedureVersionId}})</t>
  </si>
  <si>
    <t>ProcedureVersions.RestsOnCompoundFragileKnowledge</t>
  </si>
  <si>
    <t>=AND({{IsLive}}, {{CompoundFragileFragmentCount}} &gt; 0)</t>
  </si>
  <si>
    <t>ProcedureVersions.ConcentratedWitnessSessionCount</t>
  </si>
  <si>
    <t>=COUNTIFS(ElicitationSessions!{{ConcentratedSessionVersionKey}}, {{ProcedureVersionId}})</t>
  </si>
  <si>
    <t>ProcedureVersions.KnowledgeBaseIsConcentrated</t>
  </si>
  <si>
    <t>=AND({{IsLive}}, {{ConcentratedWitnessSessionCount}} &gt; 0)</t>
  </si>
  <si>
    <t>ProcedureVersions.MachineConsumedUnapprovedCount</t>
  </si>
  <si>
    <t>=COUNTIFS(KnowledgeFragments!{{MachineConsumedUnapprovedVersionKey}}, {{ProcedureVersionId}})</t>
  </si>
  <si>
    <t>ProcedureVersions.FeedsUnapprovedKnowledgeToMachines</t>
  </si>
  <si>
    <t>=AND({{IsLive}}, {{MachineConsumedUnapprovedCount}} &gt; 0)</t>
  </si>
  <si>
    <t>ProcedureVersions.GenuinelyOverdueFragmentCount</t>
  </si>
  <si>
    <t>=COUNTIFS(KnowledgeFragments!{{GenuinelyOverdueVersionKey}}, {{ProcedureVersionId}})</t>
  </si>
  <si>
    <t>ProcedureVersions.AwaitedDecisionCount</t>
  </si>
  <si>
    <t>=COUNTIFS(ChangeRequests!{{BacklogVersionKey}}, {{ProcedureVersionId}})</t>
  </si>
  <si>
    <t>ProcedureVersions.ScopedOpenBlockingGapCount</t>
  </si>
  <si>
    <t>=COUNTIFS(KnowledgeGaps!{{OpenBlockingGapVersionKey}}, {{ProcedureVersionId}})</t>
  </si>
  <si>
    <t>ProcedureVersions.IsBlockedOnPendingDecision</t>
  </si>
  <si>
    <t>=AND({{AwaitedDecisionCount}} &gt; 0, {{ScopedOpenBlockingGapCount}} &gt; 0)</t>
  </si>
  <si>
    <t>ProcedureVersions.UnexercisedHumanGateCount</t>
  </si>
  <si>
    <t>=COUNTIFS(Steps!{{UnexercisedGateVersionKey}}, {{ProcedureVersionId}})</t>
  </si>
  <si>
    <t>ProcedureVersions.AiBoundaryIsUnevidenced</t>
  </si>
  <si>
    <t>=AND({{IsLive}}, {{UnexercisedHumanGateCount}} &gt; 0)</t>
  </si>
  <si>
    <t>ProcedureVersions.LoadBearingUnapprovedCount</t>
  </si>
  <si>
    <t>=COUNTIFS(KnowledgeFragments!{{UnapprovedLoadBearingVersionKey}}, {{ProcedureVersionId}})</t>
  </si>
  <si>
    <t>ProcedureVersions.UnlandedDecisionCount</t>
  </si>
  <si>
    <t>=COUNTIFS(ChangeRequests!{{UnlandedVersionKey}}, {{ProcedureVersionId}})</t>
  </si>
  <si>
    <t>ProcedureVersions.UnrehearsedControlEntryCount</t>
  </si>
  <si>
    <t>=COUNTIFS(StepTransitions!{{UnrehearsedControlVersionKey}}, {{ProcedureVersionId}})</t>
  </si>
  <si>
    <t>ProcedureVersions.HasUnrehearsedControlEntry</t>
  </si>
  <si>
    <t>={{UnrehearsedControlEntryCount}} &gt; 0</t>
  </si>
  <si>
    <t>ProcedureVersions.IsLiveWithUnrehearsedControl</t>
  </si>
  <si>
    <t>=AND({{IsLive}}, {{HasUnrehearsedControlEntry}})</t>
  </si>
  <si>
    <t>ProcedureVersions.CadenceBreachCount</t>
  </si>
  <si>
    <t>=COUNTIFS(ReviewEvents!{{CadenceBreachVersionKey}}, {{ProcedureVersionId}})</t>
  </si>
  <si>
    <t>ProcedureVersions.IsInCadenceBreach</t>
  </si>
  <si>
    <t>={{CadenceBreachCount}} &gt; 0</t>
  </si>
  <si>
    <t>ProcedureVersions.HasDecisionInFlight</t>
  </si>
  <si>
    <t>={{OpenChangeRequestCount}} &gt; 0</t>
  </si>
  <si>
    <t>ProcedureVersions.IsUnremediatedCadenceBreach</t>
  </si>
  <si>
    <t>=AND({{IsInCadenceBreach}}, NOT({{HasDecisionInFlight}}))</t>
  </si>
  <si>
    <t>ProcedureVersions.IsManagedCadenceBreach</t>
  </si>
  <si>
    <t>=AND({{IsInCadenceBreach}}, {{HasDecisionInFlight}})</t>
  </si>
  <si>
    <t>ProcedureVersions.GovernanceIsSilent</t>
  </si>
  <si>
    <t>=AND({{IsLive}}, NOT({{HasGovernanceRecord}}))</t>
  </si>
  <si>
    <t>ProcedureVersions.ValidFragmentCount</t>
  </si>
  <si>
    <t>=COUNTIFS(KnowledgeFragments!{{ValidFragmentVersionKey}}, {{ProcedureVersionId}})</t>
  </si>
  <si>
    <t>ProcedureVersions.StillOwnsValidKnowledge</t>
  </si>
  <si>
    <t>={{ValidFragmentCount}} &gt; 0</t>
  </si>
  <si>
    <t>ProcedureVersions.IncomingSupersessionCount</t>
  </si>
  <si>
    <t>=COUNTIFS(ProcedureVersionLinks!{{SupersededVersionKey}}, {{ProcedureVersionId}})</t>
  </si>
  <si>
    <t>ProcedureVersions.IsStillReferenced</t>
  </si>
  <si>
    <t>={{IncomingSupersessionCount}} &gt; 0</t>
  </si>
  <si>
    <t>ProcedureVersions.IsLoadBearingOrphan</t>
  </si>
  <si>
    <t>=AND({{IsUnstewarded}}, OR({{StillOwnsValidKnowledge}}, {{IsStillReferenced}}))</t>
  </si>
  <si>
    <t>ProcedureVersions.IsCleanlyRetired</t>
  </si>
  <si>
    <t>=AND({{IsUnstewarded}}, NOT({{StillOwnsValidKnowledge}}), NOT({{IsStillReferenced}}))</t>
  </si>
  <si>
    <t>ProcedureVersions.StalledImplementationCount</t>
  </si>
  <si>
    <t>=COUNTIFS(ChangeRequests!{{StalledImplementationVersionKey}}, {{ProcedureVersionId}})</t>
  </si>
  <si>
    <t>ProcedureVersions.IsHeldUnfitByLandedDecisions</t>
  </si>
  <si>
    <t>=AND(NOT({{IsFitToExecute}}), {{StalledImplementationCount}} &gt; 0)</t>
  </si>
  <si>
    <t>ProcedureVersions.UndeclaredControlKindCount</t>
  </si>
  <si>
    <t>=COUNTIFS(Steps!{{UndeclaredControlVersionKey}}, {{ProcedureVersionId}})</t>
  </si>
  <si>
    <t>ProcedureVersions.ControlTaxonomyIsIncomplete</t>
  </si>
  <si>
    <t>={{UndeclaredControlKindCount}} &gt; 0</t>
  </si>
  <si>
    <t>ProcedureVersions.HasApprovedChangeRequest</t>
  </si>
  <si>
    <t>={{ApprovedChangeRequestCount}} &gt; 0</t>
  </si>
  <si>
    <t>ProcedureVersions.ApprovedChangeRequestCount</t>
  </si>
  <si>
    <t>=COUNTIFS(ChangeRequests!{{ApprovedVersionKey}}, {{ProcedureVersionId}})</t>
  </si>
  <si>
    <t>ProcedureVersions.UnwatchedUnownedControlCount</t>
  </si>
  <si>
    <t>=COUNTIFS(Requirements!{{UnwatchedUnownedFlag}}, "unwatched-unowned")</t>
  </si>
  <si>
    <t>ProcedureVersions.MiningRunCount</t>
  </si>
  <si>
    <t>=COUNTIFS(ProcessMiningRuns!{{ProcedureVersion}}, {{ProcedureVersionId}})</t>
  </si>
  <si>
    <t>ProcedureVersions.DriftedMiningRunCount</t>
  </si>
  <si>
    <t>=COUNTIFS(ProcessMiningRuns!{{DriftedMiningRunKey}}, {{ProcedureVersionId}})</t>
  </si>
  <si>
    <t>ProcedureVersions.HasUnresolvedMiningDrift</t>
  </si>
  <si>
    <t>={{DriftedMiningRunCount}} &gt; 0</t>
  </si>
  <si>
    <t>ProcedureVersions.EntryStepId</t>
  </si>
  <si>
    <t>=MAXIFS(Steps!{{EntryStepKey}}, Steps!{{ProcedureVersion}}, ProcedureVersions!{{ProcedureVersionId}})</t>
  </si>
  <si>
    <t>ProcedureVersions.SemanticTypeIri</t>
  </si>
  <si>
    <t>ProcedureVersionLinks.ProcedureVersionLinkId</t>
  </si>
  <si>
    <t>ProcedureVersionLinks</t>
  </si>
  <si>
    <t>ProcedureVersionLinks.Name</t>
  </si>
  <si>
    <t>={{PreviousProcedureVersion}} &amp; " -&gt; " &amp; {{NextProcedureVersion}}</t>
  </si>
  <si>
    <t>ProcedureVersionLinks.PreviousProcedureVersion</t>
  </si>
  <si>
    <t>ProcedureVersionLinks.NextProcedureVersion</t>
  </si>
  <si>
    <t>ProcedureVersionLinks.RelationIri</t>
  </si>
  <si>
    <t>ProcedureVersionLinks.ChangeSummary</t>
  </si>
  <si>
    <t>ProcedureVersionLinks.SupersededVersionKey</t>
  </si>
  <si>
    <t>=IF({{RelationIri}} = "https://w3id.org/pko#nextVersion", {{PreviousProcedureVersion}}, "")</t>
  </si>
  <si>
    <t>ProcedureStatusChanges.ProcedureStatusChangeId</t>
  </si>
  <si>
    <t>ProcedureStatusChanges.Name</t>
  </si>
  <si>
    <t>={{ProcedureVersion}} &amp; ": " &amp; {{FromStatus}} &amp; " -&gt; " &amp; {{ToStatus}}</t>
  </si>
  <si>
    <t>ProcedureStatusChanges.ProcedureVersion</t>
  </si>
  <si>
    <t>ProcedureStatusChanges.FromStatus</t>
  </si>
  <si>
    <t>ProcedureStatusChanges.ToStatus</t>
  </si>
  <si>
    <t>ProcedureStatusChanges.ChangedAt</t>
  </si>
  <si>
    <t>ProcedureStatusChanges.ChangedByAgent</t>
  </si>
  <si>
    <t>ProcedureStatusChanges.Motivation</t>
  </si>
  <si>
    <t>ProcedureStatusChanges.SemanticTypeIri</t>
  </si>
  <si>
    <t>Steps.StepId</t>
  </si>
  <si>
    <t>Steps.Name</t>
  </si>
  <si>
    <t>={{StepNumber}} &amp; ". " &amp; {{Title}}</t>
  </si>
  <si>
    <t>Steps.ProcedureVersion</t>
  </si>
  <si>
    <t>Steps.StepNumber</t>
  </si>
  <si>
    <t>Steps.Title</t>
  </si>
  <si>
    <t>Steps.StepKind</t>
  </si>
  <si>
    <t>Steps.AssignedRole</t>
  </si>
  <si>
    <t>Steps.AssignedRoleLabel</t>
  </si>
  <si>
    <t>=INDEX(Roles!{{Label}}, MATCH({{AssignedRole}}, Roles!{{RoleId}}, 0))</t>
  </si>
  <si>
    <t>Steps.AssignedAgentKind</t>
  </si>
  <si>
    <t>=INDEX(Roles!{{CurrentAgentKind}}, MATCH({{AssignedRole}}, Roles!{{RoleId}}, 0))</t>
  </si>
  <si>
    <t>Steps.Instruction</t>
  </si>
  <si>
    <t>Steps.ExpectedDurationMinutes</t>
  </si>
  <si>
    <t>Steps.ExpertiseLevel</t>
  </si>
  <si>
    <t>Steps.RequiresHumanConfirmation</t>
  </si>
  <si>
    <t>Steps.BlockingRequirementCount</t>
  </si>
  <si>
    <t>=COUNTIFS(StepRequirements!{{BlockingStepKey}}, {{StepId}})</t>
  </si>
  <si>
    <t>Steps.StaleBindingCount</t>
  </si>
  <si>
    <t>=COUNTIFS(OperationalBindings!{{StaleBindingStepKey}}, {{StepId}})</t>
  </si>
  <si>
    <t>Steps.AuthoritativeStaleCount</t>
  </si>
  <si>
    <t>=COUNTIFS(OperationalBindings!{{AuthoritativeStaleStepKey}}, {{StepId}})</t>
  </si>
  <si>
    <t>Steps.AvailableExceptionCount</t>
  </si>
  <si>
    <t>=COUNTIFS(Exceptions!{{ActiveExceptionStepKey}}, {{StepId}})</t>
  </si>
  <si>
    <t>Steps.DeclaredVerificationCount</t>
  </si>
  <si>
    <t>=COUNTIFS(StepVerifications!{{Step}}, {{StepId}})</t>
  </si>
  <si>
    <t>Steps.IsPreparationStep</t>
  </si>
  <si>
    <t>=OR({{AssignedRole}} = "finance-analyst", {{AssignedRole}} = "variance-review-agent")</t>
  </si>
  <si>
    <t>Steps.IsApprovalStep</t>
  </si>
  <si>
    <t>=OR({{AssignedRole}} = "controller", {{AssignedRole}} = "cfo")</t>
  </si>
  <si>
    <t>Steps.StaleAuthoritativeBindingCount</t>
  </si>
  <si>
    <t>=COUNTIFS(OperationalBindings!{{StepWhenStale}}, {{StepId}})</t>
  </si>
  <si>
    <t>Steps.InputsAreFresh</t>
  </si>
  <si>
    <t>={{StaleAuthoritativeBindingCount}} = 0</t>
  </si>
  <si>
    <t>Steps.IsSoftwareAssigned</t>
  </si>
  <si>
    <t>=OR({{AssignedAgentKind}} = "AIAgent", {{AssignedAgentKind}} = "AutomatedPipeline")</t>
  </si>
  <si>
    <t>Steps.IsHumanApprovalGate</t>
  </si>
  <si>
    <t>=AND(NOT({{IsSoftwareAssigned}}), OR({{StepId}} = "policy-05", {{StepId}} = "close-06"))</t>
  </si>
  <si>
    <t>Steps.GateHeldByHuman</t>
  </si>
  <si>
    <t>=AND({{IsHumanApprovalGate}}, {{AssignedAgentKind}} = "Human")</t>
  </si>
  <si>
    <t>Steps.BindingBoundaryCount</t>
  </si>
  <si>
    <t>=COUNTIFS(AuthorityBoundaries!{{StepWhenBinding}}, {{StepId}})</t>
  </si>
  <si>
    <t>Steps.AssignedRoleIsUngoverned</t>
  </si>
  <si>
    <t>=INDEX(Roles!{{IsUngovernedNonHumanRole}}, MATCH({{AssignedRole}}, Roles!{{RoleId}}, 0))</t>
  </si>
  <si>
    <t>Steps.UnusableBindingCount</t>
  </si>
  <si>
    <t>=COUNTIFS(OperationalBindings!{{StepWhenUnusable}}, {{StepId}})</t>
  </si>
  <si>
    <t>Steps.AllSourcesUsable</t>
  </si>
  <si>
    <t>={{UnusableBindingCount}} = 0</t>
  </si>
  <si>
    <t>Steps.ControlKind</t>
  </si>
  <si>
    <t>Steps.UnwarrantedBoundaryCount</t>
  </si>
  <si>
    <t>=COUNTIFS(AuthorityBoundaries!{{UnwarrantedBoundaryStepKey}}, {{StepId}})</t>
  </si>
  <si>
    <t>Steps.IsGovernedByUnwarrantedBoundary</t>
  </si>
  <si>
    <t>={{UnwarrantedBoundaryCount}} &gt; 0</t>
  </si>
  <si>
    <t>Steps.SoftwareExecutionCount</t>
  </si>
  <si>
    <t>=COUNTIFS(StepExecutions!{{SoftwareExecutionStepKey}}, {{StepId}})</t>
  </si>
  <si>
    <t>Steps.HasBeenApproachedBySoftware</t>
  </si>
  <si>
    <t>={{SoftwareExecutionCount}} &gt; 0</t>
  </si>
  <si>
    <t>Steps.IsUnexercisedHumanGate</t>
  </si>
  <si>
    <t>=AND({{IsHumanApprovalGate}}, NOT({{HasBeenApproachedBySoftware}}))</t>
  </si>
  <si>
    <t>Steps.IsDemonstratedHumanGate</t>
  </si>
  <si>
    <t>=AND({{IsHumanApprovalGate}}, {{HasBeenApproachedBySoftware}}, {{GateHeldByHuman}})</t>
  </si>
  <si>
    <t>Steps.UnexercisedGateVersionKey</t>
  </si>
  <si>
    <t>=IF({{IsUnexercisedHumanGate}}, {{ProcedureVersion}}, "")</t>
  </si>
  <si>
    <t>Steps.HasDeclaredControlKind</t>
  </si>
  <si>
    <t>={{ControlKind}} &lt;&gt; ""</t>
  </si>
  <si>
    <t>Steps.UndeclaredControlVersionKey</t>
  </si>
  <si>
    <t>=IF({{HasDeclaredControlKind}}, "", {{ProcedureVersion}})</t>
  </si>
  <si>
    <t>Steps.ApprovalStepIsSoftwareAssigned</t>
  </si>
  <si>
    <t>=AND({{ControlKind}} = "Approval", {{IsSoftwareAssigned}})</t>
  </si>
  <si>
    <t>Steps.UnwitnessedBlockingCount</t>
  </si>
  <si>
    <t>=COUNTIFS(StepRequirements!{{UnwitnessedStepKey}}, {{StepId}})</t>
  </si>
  <si>
    <t>Steps.ReachableStepCount</t>
  </si>
  <si>
    <t>=COUNTIFS(vw_step_transitions_closure!{{FromId}}, Steps!{{StepId}})</t>
  </si>
  <si>
    <t>Steps.ReachedFromStepCount</t>
  </si>
  <si>
    <t>=COUNTIFS(vw_step_transitions_closure!{{ToId}}, Steps!{{StepId}})</t>
  </si>
  <si>
    <t>Steps.SelfReachCount</t>
  </si>
  <si>
    <t>=COUNTIFS(vw_step_transitions_closure!{{FromId}}, Steps!{{StepId}}, vw_step_transitions_closure!{{ToId}}, Steps!{{StepId}})</t>
  </si>
  <si>
    <t>Steps.IsOnReworkLoop</t>
  </si>
  <si>
    <t>={{SelfReachCount}} &gt; 0</t>
  </si>
  <si>
    <t>Steps.IsBlockingControlOnReworkLoop</t>
  </si>
  <si>
    <t>=AND({{IsOnReworkLoop}}, {{BlockingRequirementCount}} &gt; 0)</t>
  </si>
  <si>
    <t>Steps.IncomingTransitionCount</t>
  </si>
  <si>
    <t>=COUNTIFS(StepTransitions!{{ToStep}}, Steps!{{StepId}})</t>
  </si>
  <si>
    <t>Steps.IsEntryStep</t>
  </si>
  <si>
    <t>={{IncomingTransitionCount}} = 0</t>
  </si>
  <si>
    <t>Steps.EntryStepKey</t>
  </si>
  <si>
    <t>=IF({{IsEntryStep}}, {{StepId}}, "")</t>
  </si>
  <si>
    <t>Steps.VersionEntryStepId</t>
  </si>
  <si>
    <t>=INDEX(ProcedureVersions!{{EntryStepId}}, MATCH({{ProcedureVersion}}, ProcedureVersions!{{ProcedureVersionId}}, 0))</t>
  </si>
  <si>
    <t>Steps.GateFreeReachFromEntryCount</t>
  </si>
  <si>
    <t>=COUNTIFS(vw_step_transitions_closure_where_avoids_human_approval_gate!{{FromId}}, {{VersionEntryStepId}}, vw_step_transitions_closure_where_avoids_human_approval_gate!{{ToId}}, Steps!{{StepId}})</t>
  </si>
  <si>
    <t>Steps.IsReachableFromEntryWithoutHumanGate</t>
  </si>
  <si>
    <t>={{GateFreeReachFromEntryCount}} &gt; 0</t>
  </si>
  <si>
    <t>Steps.IsGateBypassedPublication</t>
  </si>
  <si>
    <t>=AND({{ControlKind}} = "Publication", {{IsReachableFromEntryWithoutHumanGate}})</t>
  </si>
  <si>
    <t>Steps.SemanticTypeIri</t>
  </si>
  <si>
    <t>StepTransitions.StepTransitionId</t>
  </si>
  <si>
    <t>StepTransitions.Name</t>
  </si>
  <si>
    <t>={{FromStep}} &amp; " -&gt; " &amp; {{ToStep}}</t>
  </si>
  <si>
    <t>StepTransitions.ProcedureVersion</t>
  </si>
  <si>
    <t>StepTransitions.TransitionKind</t>
  </si>
  <si>
    <t>StepTransitions.Condition</t>
  </si>
  <si>
    <t>StepTransitions.Priority</t>
  </si>
  <si>
    <t>StepTransitions.IsRecoveryPath</t>
  </si>
  <si>
    <t>=OR({{TransitionKind}} = "Fallback", {{TransitionKind}} = "Alternative")</t>
  </si>
  <si>
    <t>StepTransitions.CountOfFromStepExecutions</t>
  </si>
  <si>
    <t>=COUNTIFS(StepExecutions!{{Step}}, StepTransitions!{{FromStep}})</t>
  </si>
  <si>
    <t>StepTransitions.CountOfToStepExecutions</t>
  </si>
  <si>
    <t>=COUNTIFS(StepExecutions!{{Step}}, StepTransitions!{{ToStep}})</t>
  </si>
  <si>
    <t>StepTransitions.HasReachableOrigin</t>
  </si>
  <si>
    <t>={{CountOfFromStepExecutions}} &gt; 0</t>
  </si>
  <si>
    <t>StepTransitions.HasReachableTarget</t>
  </si>
  <si>
    <t>={{CountOfToStepExecutions}} &gt; 0</t>
  </si>
  <si>
    <t>StepTransitions.IsNeverExercised</t>
  </si>
  <si>
    <t>=NOT(AND({{HasReachableOrigin}}, {{HasReachableTarget}}))</t>
  </si>
  <si>
    <t>StepTransitions.IsUntestedRecoveryPath</t>
  </si>
  <si>
    <t>=AND({{IsRecoveryPath}}, {{IsNeverExercised}})</t>
  </si>
  <si>
    <t>StepTransitions.CountOfObservedTraversals</t>
  </si>
  <si>
    <t>=COUNTIFS(ObservedTransitions!{{StepTransition}}, StepTransitions!{{StepTransitionId}})</t>
  </si>
  <si>
    <t>StepTransitions.HasBeenTraversed</t>
  </si>
  <si>
    <t>={{CountOfObservedTraversals}} &gt; 0</t>
  </si>
  <si>
    <t>StepTransitions.IsUnwalkedRecoveryPath</t>
  </si>
  <si>
    <t>=AND({{IsRecoveryPath}}, NOT({{HasBeenTraversed}}))</t>
  </si>
  <si>
    <t>StepTransitions.TargetBlockingRequirementCount</t>
  </si>
  <si>
    <t>=INDEX(Steps!{{BlockingRequirementCount}}, MATCH({{ToStep}}, Steps!{{StepId}}, 0))</t>
  </si>
  <si>
    <t>StepTransitions.TargetCarriesBlockingControl</t>
  </si>
  <si>
    <t>={{TargetBlockingRequirementCount}} &gt; 0</t>
  </si>
  <si>
    <t>StepTransitions.IsUnrehearsedControlEntry</t>
  </si>
  <si>
    <t>=AND({{IsUnwalkedRecoveryPath}}, {{TargetCarriesBlockingControl}})</t>
  </si>
  <si>
    <t>StepTransitions.UnrehearsedControlVersionKey</t>
  </si>
  <si>
    <t>=IF({{IsUnrehearsedControlEntry}}, {{ProcedureVersion}}, "")</t>
  </si>
  <si>
    <t>StepTransitions.LeadsToClosure</t>
  </si>
  <si>
    <t>closure</t>
  </si>
  <si>
    <t>StepTransitions.FromStepIsHumanApprovalGate</t>
  </si>
  <si>
    <t>=INDEX(Steps!{{IsHumanApprovalGate}}, MATCH({{FromStep}}, Steps!{{StepId}}, 0))</t>
  </si>
  <si>
    <t>StepTransitions.ToStepIsHumanApprovalGate</t>
  </si>
  <si>
    <t>=INDEX(Steps!{{IsHumanApprovalGate}}, MATCH({{ToStep}}, Steps!{{StepId}}, 0))</t>
  </si>
  <si>
    <t>StepTransitions.AvoidsHumanApprovalGate</t>
  </si>
  <si>
    <t>=AND(NOT({{FromStepIsHumanApprovalGate}}), NOT({{ToStepIsHumanApprovalGate}}))</t>
  </si>
  <si>
    <t>StepTransitions.LeadsWithoutHumanGateClosure</t>
  </si>
  <si>
    <t>StepTransitions.SemanticTypeIri</t>
  </si>
  <si>
    <t>Actions.ActionId</t>
  </si>
  <si>
    <t>Actions.Name</t>
  </si>
  <si>
    <t>Actions.Label</t>
  </si>
  <si>
    <t>Actions.Definition</t>
  </si>
  <si>
    <t>Actions.SemanticTypeIri</t>
  </si>
  <si>
    <t>Functions.FunctionId</t>
  </si>
  <si>
    <t>Functions.Name</t>
  </si>
  <si>
    <t>Functions.Label</t>
  </si>
  <si>
    <t>Functions.Definition</t>
  </si>
  <si>
    <t>Functions.ImplementationKey</t>
  </si>
  <si>
    <t>Functions.SemanticTypeIri</t>
  </si>
  <si>
    <t>Tools.ToolId</t>
  </si>
  <si>
    <t>Tools.Name</t>
  </si>
  <si>
    <t>Tools.Label</t>
  </si>
  <si>
    <t>Tools.Purpose</t>
  </si>
  <si>
    <t>Tools.SemanticTypeIri</t>
  </si>
  <si>
    <t>StepActions.StepActionId</t>
  </si>
  <si>
    <t>StepActions</t>
  </si>
  <si>
    <t>StepActions.Name</t>
  </si>
  <si>
    <t>={{Step}} &amp; " / " &amp; {{Action}}</t>
  </si>
  <si>
    <t>StepActions.Step</t>
  </si>
  <si>
    <t>StepActions.Action</t>
  </si>
  <si>
    <t>StepFunctions.StepFunctionId</t>
  </si>
  <si>
    <t>StepFunctions</t>
  </si>
  <si>
    <t>StepFunctions.Name</t>
  </si>
  <si>
    <t>={{Step}} &amp; " / " &amp; {{Function}}</t>
  </si>
  <si>
    <t>StepFunctions.Step</t>
  </si>
  <si>
    <t>StepFunctions.Function</t>
  </si>
  <si>
    <t>StepTools.StepToolId</t>
  </si>
  <si>
    <t>StepTools</t>
  </si>
  <si>
    <t>StepTools.Name</t>
  </si>
  <si>
    <t>={{Step}} &amp; " / " &amp; {{Tool}}</t>
  </si>
  <si>
    <t>StepTools.Step</t>
  </si>
  <si>
    <t>StepTools.Tool</t>
  </si>
  <si>
    <t>Requirements.RequirementId</t>
  </si>
  <si>
    <t>Requirements.Name</t>
  </si>
  <si>
    <t>Requirements.Label</t>
  </si>
  <si>
    <t>Requirements.RequirementType</t>
  </si>
  <si>
    <t>Requirements.Statement</t>
  </si>
  <si>
    <t>Requirements.Rationale</t>
  </si>
  <si>
    <t>Requirements.IsBlocking</t>
  </si>
  <si>
    <t>Requirements.SatisfactionRecordCount</t>
  </si>
  <si>
    <t>=COUNTIFS(RequirementSatisfactions!{{Requirement}}, {{RequirementId}})</t>
  </si>
  <si>
    <t>Requirements.StepBindingCount</t>
  </si>
  <si>
    <t>=COUNTIFS(StepRequirements!{{Requirement}}, {{RequirementId}})</t>
  </si>
  <si>
    <t>Requirements.IsBoundToAnyStep</t>
  </si>
  <si>
    <t>={{StepBindingCount}} &gt; 0</t>
  </si>
  <si>
    <t>Requirements.HasEverBeenEvaluated</t>
  </si>
  <si>
    <t>={{SatisfactionRecordCount}} &gt; 0</t>
  </si>
  <si>
    <t>Requirements.NegativeOutcomeCount</t>
  </si>
  <si>
    <t>=COUNTIFS(RequirementSatisfactions!{{NegativeOutcomeRequirementKey}}, {{RequirementId}})</t>
  </si>
  <si>
    <t>Requirements.IsInoperativeControl</t>
  </si>
  <si>
    <t>=AND({{IsBlocking}}, {{IsBoundToAnyStep}}, NOT({{HasEverBeenEvaluated}}))</t>
  </si>
  <si>
    <t>Requirements.IsDecorativeControl</t>
  </si>
  <si>
    <t>=AND({{IsBlocking}}, NOT({{IsBoundToAnyStep}}))</t>
  </si>
  <si>
    <t>Requirements.HasComputedWitness</t>
  </si>
  <si>
    <t>Requirements.WitnessFieldName</t>
  </si>
  <si>
    <t>Requirements.HasEverProducedNegative</t>
  </si>
  <si>
    <t>={{NegativeOutcomeCount}} &gt; 0</t>
  </si>
  <si>
    <t>Requirements.IsUnfalsifiedControl</t>
  </si>
  <si>
    <t>=AND({{IsBlocking}}, {{HasEverBeenEvaluated}}, NOT({{HasEverProducedNegative}}))</t>
  </si>
  <si>
    <t>Requirements.ClaimsAWitnessField</t>
  </si>
  <si>
    <t>={{WitnessFieldName}} &lt;&gt; ""</t>
  </si>
  <si>
    <t>Requirements.NamedWitnessFieldExists</t>
  </si>
  <si>
    <t>=INDEX(RulebookFields!{{IsDerived}}, MATCH({{WitnessFieldName}}, RulebookFields!{{RulebookFieldId}}, 0))</t>
  </si>
  <si>
    <t>Requirements.DerivedHasComputedWitness</t>
  </si>
  <si>
    <t>=AND({{ClaimsAWitnessField}}, {{NamedWitnessFieldExists}})</t>
  </si>
  <si>
    <t>Requirements.WitnessClaimIsUnverified</t>
  </si>
  <si>
    <t>=NOT({{HasComputedWitness}} = {{DerivedHasComputedWitness}})</t>
  </si>
  <si>
    <t>Requirements.IsUnwitnessedBlockingControl</t>
  </si>
  <si>
    <t>=AND({{IsBlocking}}, NOT({{DerivedHasComputedWitness}}))</t>
  </si>
  <si>
    <t>Requirements.WitnessFireCount</t>
  </si>
  <si>
    <t>={{NegativeOutcomeCount}}</t>
  </si>
  <si>
    <t>Requirements.WitnessHasNeverFired</t>
  </si>
  <si>
    <t>=AND({{HasComputedWitness}}, {{WitnessFireCount}} = 0)</t>
  </si>
  <si>
    <t>Requirements.EvaluationSampleSize</t>
  </si>
  <si>
    <t>={{SatisfactionRecordCount}}</t>
  </si>
  <si>
    <t>Requirements.HasMeaningfulSample</t>
  </si>
  <si>
    <t>={{EvaluationSampleSize}} &gt;= {{MinimumSampleForAssurance}}</t>
  </si>
  <si>
    <t>Requirements.MinimumSampleForAssurance</t>
  </si>
  <si>
    <t>Requirements.IsUntestedWitness</t>
  </si>
  <si>
    <t>=AND({{WitnessHasNeverFired}}, NOT({{HasMeaningfulSample}}))</t>
  </si>
  <si>
    <t>Requirements.IsEvidencedHoldingControl</t>
  </si>
  <si>
    <t>=AND({{WitnessHasNeverFired}}, {{HasMeaningfulSample}})</t>
  </si>
  <si>
    <t>Requirements.ControlAssuranceState</t>
  </si>
  <si>
    <t>=IF(NOT({{IsBoundToAnyStep}}), "Decorative", IF(NOT({{HasEverBeenEvaluated}}), "Inoperative", IF(NOT({{HasComputedWitness}}), "Asserted", IF({{WitnessFireCount}} &gt; 0, "Demonstrated", IF({{HasMeaningfulSample}}, "Holding", "Untested")))))</t>
  </si>
  <si>
    <t>Requirements.UnexercisedBindingCount</t>
  </si>
  <si>
    <t>=COUNTIFS(StepRequirements!{{UnexercisedBindingRequirementKey}}, {{RequirementId}})</t>
  </si>
  <si>
    <t>Requirements.WitnessIsPartiallyScoped</t>
  </si>
  <si>
    <t>=AND({{HasComputedWitness}}, {{UnexercisedBindingCount}} &gt; 0)</t>
  </si>
  <si>
    <t>Requirements.AccountableRole</t>
  </si>
  <si>
    <t>Requirements.AccountableAgent</t>
  </si>
  <si>
    <t>=INDEX(Roles!{{CurrentAgent}}, MATCH({{AccountableRole}}, Roles!{{RoleId}}, 0))</t>
  </si>
  <si>
    <t>Requirements.HasNamedOwner</t>
  </si>
  <si>
    <t>={{AccountableRole}} &lt;&gt; ""</t>
  </si>
  <si>
    <t>Requirements.IsOrphanedBlockingControl</t>
  </si>
  <si>
    <t>=AND({{IsBlocking}}, NOT({{HasNamedOwner}}))</t>
  </si>
  <si>
    <t>Requirements.IsUnwatchedAndUnowned</t>
  </si>
  <si>
    <t>=AND({{IsBlocking}}, NOT({{HasComputedWitness}}), NOT({{HasNamedOwner}}))</t>
  </si>
  <si>
    <t>Requirements.AttestationExposureNote</t>
  </si>
  <si>
    <t>=IF(NOT({{IsBlocking}}), "", IF({{IsUnwatchedAndUnowned}}, "Unwatched and unowned: exposure defaults to the signatory.", IF({{IsOrphanedBlockingControl}}, "Witnessed but unowned: no named accountability.", IF(NOT({{HasComputedWitness}}), "Owned but unwitnessed: rests on human judgement.", ""))))</t>
  </si>
  <si>
    <t>Requirements.UnwatchedUnownedFlag</t>
  </si>
  <si>
    <t>=IF({{IsUnwatchedAndUnowned}}, "unwatched-unowned", "")</t>
  </si>
  <si>
    <t>Requirements.ControlledTerm</t>
  </si>
  <si>
    <t>Requirements.UsesControlledVocabulary</t>
  </si>
  <si>
    <t>={{ControlledTerm}} &lt;&gt; ""</t>
  </si>
  <si>
    <t>Requirements.SemanticTypeIri</t>
  </si>
  <si>
    <t>StepRequirements.StepRequirementId</t>
  </si>
  <si>
    <t>StepRequirements</t>
  </si>
  <si>
    <t>StepRequirements.Name</t>
  </si>
  <si>
    <t>={{Step}} &amp; " / " &amp; {{Requirement}}</t>
  </si>
  <si>
    <t>StepRequirements.Step</t>
  </si>
  <si>
    <t>StepRequirements.Requirement</t>
  </si>
  <si>
    <t>StepRequirements.RequirementIsBlocking</t>
  </si>
  <si>
    <t>=INDEX(Requirements!{{IsBlocking}}, MATCH({{Requirement}}, Requirements!{{RequirementId}}, 0))</t>
  </si>
  <si>
    <t>StepRequirements.BlockingStepKey</t>
  </si>
  <si>
    <t>=IF({{RequirementIsBlocking}}, {{Step}}, "")</t>
  </si>
  <si>
    <t>StepRequirements.StepWhenBlocking</t>
  </si>
  <si>
    <t>StepRequirements.RequirementLacksWitness</t>
  </si>
  <si>
    <t>=INDEX(Requirements!{{IsUnwitnessedBlockingControl}}, MATCH({{Requirement}}, Requirements!{{RequirementId}}, 0))</t>
  </si>
  <si>
    <t>StepRequirements.UnwitnessedStepKey</t>
  </si>
  <si>
    <t>=IF({{RequirementLacksWitness}}, {{Step}}, "")</t>
  </si>
  <si>
    <t>StepRequirements.SatisfactionCountForBinding</t>
  </si>
  <si>
    <t>=COUNTIFS(RequirementSatisfactions!{{BindingKey}}, {{StepRequirementId}})</t>
  </si>
  <si>
    <t>StepRequirements.BindingWasEverExercised</t>
  </si>
  <si>
    <t>={{SatisfactionCountForBinding}} &gt; 0</t>
  </si>
  <si>
    <t>StepRequirements.IsUnexercisedBlockingBinding</t>
  </si>
  <si>
    <t>=AND({{RequirementIsBlocking}}, NOT({{BindingWasEverExercised}}))</t>
  </si>
  <si>
    <t>StepRequirements.UnexercisedBindingRequirementKey</t>
  </si>
  <si>
    <t>=IF({{IsUnexercisedBlockingBinding}}, {{Requirement}}, "")</t>
  </si>
  <si>
    <t>StepVerifications.StepVerificationId</t>
  </si>
  <si>
    <t>StepVerifications.Name</t>
  </si>
  <si>
    <t>={{Step}} &amp; " / " &amp; {{VerificationKind}}</t>
  </si>
  <si>
    <t>StepVerifications.Step</t>
  </si>
  <si>
    <t>StepVerifications.VerificationKind</t>
  </si>
  <si>
    <t>StepVerifications.SignalIdentifier</t>
  </si>
  <si>
    <t>StepVerifications.ExpectedSignalValue</t>
  </si>
  <si>
    <t>StepVerifications.Instruction</t>
  </si>
  <si>
    <t>StepVerifications.SemanticTypeIri</t>
  </si>
  <si>
    <t>Rationales.RationaleId</t>
  </si>
  <si>
    <t>Rationales</t>
  </si>
  <si>
    <t>Rationales.Name</t>
  </si>
  <si>
    <t>Rationales.ProcedureVersion</t>
  </si>
  <si>
    <t>Rationales.Step</t>
  </si>
  <si>
    <t>Rationales.Title</t>
  </si>
  <si>
    <t>Rationales.Statement</t>
  </si>
  <si>
    <t>Rationales.Status</t>
  </si>
  <si>
    <t>Rationales.AuthorityRole</t>
  </si>
  <si>
    <t>Rationales.SemanticTypeIri</t>
  </si>
  <si>
    <t>Exceptions.ExceptionId</t>
  </si>
  <si>
    <t>Exceptions</t>
  </si>
  <si>
    <t>Exceptions.Name</t>
  </si>
  <si>
    <t>={{Condition}}</t>
  </si>
  <si>
    <t>Exceptions.ProcedureVersion</t>
  </si>
  <si>
    <t>Exceptions.TriggerStep</t>
  </si>
  <si>
    <t>Exceptions.Condition</t>
  </si>
  <si>
    <t>Exceptions.Handling</t>
  </si>
  <si>
    <t>Exceptions.ApprovalRole</t>
  </si>
  <si>
    <t>Exceptions.FallbackRole</t>
  </si>
  <si>
    <t>Exceptions.Status</t>
  </si>
  <si>
    <t>Exceptions.ActiveExceptionStepKey</t>
  </si>
  <si>
    <t>=IF({{Status}} = "Active", {{TriggerStep}}, "")</t>
  </si>
  <si>
    <t>Exceptions.SemanticTypeIri</t>
  </si>
  <si>
    <t>Resources.ResourceId</t>
  </si>
  <si>
    <t>Resources.Name</t>
  </si>
  <si>
    <t>Resources.Title</t>
  </si>
  <si>
    <t>Resources.ResourceKind</t>
  </si>
  <si>
    <t>Resources.ExternalUri</t>
  </si>
  <si>
    <t>Resources.CreatedAt</t>
  </si>
  <si>
    <t>Resources.ModifiedAt</t>
  </si>
  <si>
    <t>Resources.Description</t>
  </si>
  <si>
    <t>Resources.ApprovalStatus</t>
  </si>
  <si>
    <t>Resources.IsApprovedSource</t>
  </si>
  <si>
    <t>={{ApprovalStatus}} = "Approved"</t>
  </si>
  <si>
    <t>Resources.SemanticTypeIri</t>
  </si>
  <si>
    <t>ProcedureResources.ProcedureResourceId</t>
  </si>
  <si>
    <t>ProcedureResources</t>
  </si>
  <si>
    <t>ProcedureResources.Name</t>
  </si>
  <si>
    <t>={{ProcedureVersion}} &amp; " / " &amp; {{Resource}}</t>
  </si>
  <si>
    <t>ProcedureResources.ProcedureVersion</t>
  </si>
  <si>
    <t>ProcedureResources.Resource</t>
  </si>
  <si>
    <t>ProcedureResources.Relation</t>
  </si>
  <si>
    <t>ProcedureResources.RelationIri</t>
  </si>
  <si>
    <t>=IF({{Relation}} = "wasExtractedFrom", "https://w3id.org/pko#wasExtractedFrom", "http://purl.org/dc/terms/references")</t>
  </si>
  <si>
    <t>ElicitationSessions.ElicitationSessionId</t>
  </si>
  <si>
    <t>ElicitationSessions.Name</t>
  </si>
  <si>
    <t>={{Method}} &amp; " / " &amp; {{StartedAt}}</t>
  </si>
  <si>
    <t>ElicitationSessions.ProcedureVersion</t>
  </si>
  <si>
    <t>ElicitationSessions.Method</t>
  </si>
  <si>
    <t>ElicitationSessions.StartedAt</t>
  </si>
  <si>
    <t>ElicitationSessions.EndedAt</t>
  </si>
  <si>
    <t>ElicitationSessions.PractitionerAgent</t>
  </si>
  <si>
    <t>ElicitationSessions.FacilitatorAgent</t>
  </si>
  <si>
    <t>ElicitationSessions.Summary</t>
  </si>
  <si>
    <t>ElicitationSessions.Status</t>
  </si>
  <si>
    <t>ElicitationSessions.EvaluationContext</t>
  </si>
  <si>
    <t>ElicitationSessions.AsOfInstant</t>
  </si>
  <si>
    <t>ElicitationSessions.DaysSinceElicited</t>
  </si>
  <si>
    <t>=DATETIME_DIFF({{AsOfInstant}}, {{EndedAt}}, "days")</t>
  </si>
  <si>
    <t>ElicitationSessions.IsSingleWitnessMethod</t>
  </si>
  <si>
    <t>=OR({{Method}} = "Shadowing", {{Method}} = "PractitionerInterview")</t>
  </si>
  <si>
    <t>ElicitationSessions.PractitionerIsStillEngaged</t>
  </si>
  <si>
    <t>=INDEX(Agents!{{IsStillEngaged}}, MATCH({{PractitionerAgent}}, Agents!{{AgentId}}, 0))</t>
  </si>
  <si>
    <t>ElicitationSessions.ValidFragmentsProduced</t>
  </si>
  <si>
    <t>=COUNTIFS(KnowledgeFragments!{{ValidFragmentSessionKey}}, {{ElicitationSessionId}})</t>
  </si>
  <si>
    <t>ElicitationSessions.IsHighYieldSession</t>
  </si>
  <si>
    <t>={{ValidFragmentsProduced}} &gt;= 3</t>
  </si>
  <si>
    <t>ElicitationSessions.IsConcentratedSingleWitness</t>
  </si>
  <si>
    <t>=AND({{IsSingleWitnessMethod}}, {{IsHighYieldSession}})</t>
  </si>
  <si>
    <t>ElicitationSessions.IsStaleConcentratedWitness</t>
  </si>
  <si>
    <t>=AND({{IsConcentratedSingleWitness}}, {{DaysSinceElicited}} &gt; 180)</t>
  </si>
  <si>
    <t>ElicitationSessions.ConcentratedSessionVersionKey</t>
  </si>
  <si>
    <t>=IF({{IsConcentratedSingleWitness}}, {{ProcedureVersion}}, "")</t>
  </si>
  <si>
    <t>ElicitationSessions.SemanticTypeIri</t>
  </si>
  <si>
    <t>KnowledgeFragments.KnowledgeFragmentId</t>
  </si>
  <si>
    <t>KnowledgeFragments.Name</t>
  </si>
  <si>
    <t>={{KnowledgeForm}} &amp; ": " &amp; LEFT({{Statement}}, 60)</t>
  </si>
  <si>
    <t>KnowledgeFragments.ProcedureVersion</t>
  </si>
  <si>
    <t>KnowledgeFragments.Step</t>
  </si>
  <si>
    <t>KnowledgeFragments.KnowledgeForm</t>
  </si>
  <si>
    <t>KnowledgeFragments.Statement</t>
  </si>
  <si>
    <t>KnowledgeFragments.ElicitationSession</t>
  </si>
  <si>
    <t>KnowledgeFragments.SourceAgent</t>
  </si>
  <si>
    <t>KnowledgeFragments.Confidence</t>
  </si>
  <si>
    <t>KnowledgeFragments.ValidFrom</t>
  </si>
  <si>
    <t>KnowledgeFragments.ValidTo</t>
  </si>
  <si>
    <t>KnowledgeFragments.Status</t>
  </si>
  <si>
    <t>KnowledgeFragments.OwnerRole</t>
  </si>
  <si>
    <t>KnowledgeFragments.EvaluationContext</t>
  </si>
  <si>
    <t>KnowledgeFragments.AsOfInstant</t>
  </si>
  <si>
    <t>KnowledgeFragments.IsCurrentlyValid</t>
  </si>
  <si>
    <t>=AND({{ValidFrom}} &lt;= {{AsOfInstant}}, OR({{ValidTo}} = "", {{ValidTo}} &gt; {{AsOfInstant}}), {{Status}} = "Approved")</t>
  </si>
  <si>
    <t>KnowledgeFragments.SourceAgentIsStillEngaged</t>
  </si>
  <si>
    <t>=INDEX(Agents!{{IsStillEngaged}}, MATCH({{SourceAgent}}, Agents!{{AgentId}}, 0))</t>
  </si>
  <si>
    <t>KnowledgeFragments.SourceAgentKind</t>
  </si>
  <si>
    <t>=INDEX(Agents!{{AgentKind}}, MATCH({{SourceAgent}}, Agents!{{AgentId}}, 0))</t>
  </si>
  <si>
    <t>KnowledgeFragments.HasHumanSource</t>
  </si>
  <si>
    <t>={{SourceAgentKind}} = "Human"</t>
  </si>
  <si>
    <t>KnowledgeFragments.HasOrphanedProvenance</t>
  </si>
  <si>
    <t>=AND({{IsCurrentlyValid}}, NOT({{SourceAgentIsStillEngaged}}))</t>
  </si>
  <si>
    <t>KnowledgeFragments.IsUndefendableTacitClaim</t>
  </si>
  <si>
    <t>=AND({{HasOrphanedProvenance}}, OR({{KnowledgeForm}} = "Tacit", {{KnowledgeForm}} = "SituatedJudgment"))</t>
  </si>
  <si>
    <t>KnowledgeFragments.IsApproved</t>
  </si>
  <si>
    <t>={{Status}} = "Approved"</t>
  </si>
  <si>
    <t>KnowledgeFragments.IsWithinValidityWindow</t>
  </si>
  <si>
    <t>KnowledgeFragments.IsReliedUpon</t>
  </si>
  <si>
    <t>=AND({{Step}} &lt;&gt; "", {{IsWithinValidityWindow}})</t>
  </si>
  <si>
    <t>KnowledgeFragments.StepProcedureVersionStatus</t>
  </si>
  <si>
    <t>=INDEX(Steps!{{ProcedureVersion}}, MATCH({{Step}}, Steps!{{StepId}}, 0))</t>
  </si>
  <si>
    <t>KnowledgeFragments.IsAttachedToLiveVersion</t>
  </si>
  <si>
    <t>=INDEX(ProcedureVersions!{{IsLive}}, MATCH({{ProcedureVersion}}, ProcedureVersions!{{ProcedureVersionId}}, 0))</t>
  </si>
  <si>
    <t>KnowledgeFragments.IsUnapprovedButReliedOn</t>
  </si>
  <si>
    <t>=AND({{IsReliedUpon}}, {{IsAttachedToLiveVersion}}, NOT({{IsApproved}}))</t>
  </si>
  <si>
    <t>KnowledgeFragments.EvidenceAgeDays</t>
  </si>
  <si>
    <t>=INDEX(ElicitationSessions!{{DaysSinceElicited}}, MATCH({{ElicitationSession}}, ElicitationSessions!{{ElicitationSessionId}}, 0))</t>
  </si>
  <si>
    <t>KnowledgeFragments.HasRecordedElicitation</t>
  </si>
  <si>
    <t>={{ElicitationSession}} &lt;&gt; ""</t>
  </si>
  <si>
    <t>KnowledgeFragments.IsFromSingleWitness</t>
  </si>
  <si>
    <t>=INDEX(ElicitationSessions!{{IsSingleWitnessMethod}}, MATCH({{ElicitationSession}}, ElicitationSessions!{{ElicitationSessionId}}, 0))</t>
  </si>
  <si>
    <t>KnowledgeFragments.EvidenceExpiryDays</t>
  </si>
  <si>
    <t>=IF({{IsFromSingleWitness}}, 180, 365)</t>
  </si>
  <si>
    <t>KnowledgeFragments.EvidenceHasExpired</t>
  </si>
  <si>
    <t>=AND({{HasRecordedElicitation}}, {{EvidenceAgeDays}} &gt; {{EvidenceExpiryDays}})</t>
  </si>
  <si>
    <t>KnowledgeFragments.OwnerAgent</t>
  </si>
  <si>
    <t>=INDEX(Roles!{{CurrentAgent}}, MATCH({{OwnerRole}}, Roles!{{RoleId}}, 0))</t>
  </si>
  <si>
    <t>KnowledgeFragments.IsAwaitingApproval</t>
  </si>
  <si>
    <t>={{Status}} = "Reviewed"</t>
  </si>
  <si>
    <t>KnowledgeFragments.OwnerIsMe</t>
  </si>
  <si>
    <t>={{OwnerRole}} = "hr-policy-owner"</t>
  </si>
  <si>
    <t>KnowledgeFragments.IsMyUnfinishedApproval</t>
  </si>
  <si>
    <t>=AND({{OwnerIsMe}}, {{IsAwaitingApproval}})</t>
  </si>
  <si>
    <t>KnowledgeFragments.IsInvokedByAnException</t>
  </si>
  <si>
    <t>=COUNTIFS(Exceptions!{{TriggerStep}}, KnowledgeFragments!{{Step}})</t>
  </si>
  <si>
    <t>KnowledgeFragments.HasOperationalReliance</t>
  </si>
  <si>
    <t>={{IsInvokedByAnException}} &gt; 0</t>
  </si>
  <si>
    <t>KnowledgeFragments.IsUnapprovedAndOperationallyLive</t>
  </si>
  <si>
    <t>=AND({{IsMyUnfinishedApproval}}, {{HasOperationalReliance}})</t>
  </si>
  <si>
    <t>KnowledgeFragments.AgeDays</t>
  </si>
  <si>
    <t>=DATETIME_DIFF({{AsOfInstant}}, {{ValidFrom}}, "days")</t>
  </si>
  <si>
    <t>KnowledgeFragments.IsLowConfidence</t>
  </si>
  <si>
    <t>=OR({{Confidence}} = "Medium", {{Confidence}} = "Low")</t>
  </si>
  <si>
    <t>KnowledgeFragments.OwningVersionCadenceDays</t>
  </si>
  <si>
    <t>=INDEX(ProcedureVersions!{{StewardReviewCadenceDays}}, MATCH({{ProcedureVersion}}, ProcedureVersions!{{ProcedureVersionId}}, 0))</t>
  </si>
  <si>
    <t>KnowledgeFragments.ExceedsOwningCadence</t>
  </si>
  <si>
    <t>={{AgeDays}} &gt; {{OwningVersionCadenceDays}}</t>
  </si>
  <si>
    <t>KnowledgeFragments.IsAgingLowConfidenceClaim</t>
  </si>
  <si>
    <t>=AND({{ExceedsOwningCadence}}, {{IsLowConfidence}})</t>
  </si>
  <si>
    <t>KnowledgeFragments.OwnerRoleAgentKind</t>
  </si>
  <si>
    <t>=INDEX(Roles!{{CurrentAgentKind}}, MATCH({{OwnerRole}}, Roles!{{RoleId}}, 0))</t>
  </si>
  <si>
    <t>KnowledgeFragments.IsHumanOwned</t>
  </si>
  <si>
    <t>={{OwnerRoleAgentKind}} = "Human"</t>
  </si>
  <si>
    <t>KnowledgeFragments.IsAiValidatedByAi</t>
  </si>
  <si>
    <t>=AND(NOT({{SourceAgentKind}} = "Human"), NOT({{IsHumanOwned}}))</t>
  </si>
  <si>
    <t>KnowledgeFragments.ReviewCadenceDays</t>
  </si>
  <si>
    <t>KnowledgeFragments.IsOverdueForReview</t>
  </si>
  <si>
    <t>=AND({{IsCurrentlyValid}}, {{AgeDays}} &gt; {{ReviewCadenceDays}})</t>
  </si>
  <si>
    <t>KnowledgeFragments.PredatesCurrentRoleHolder</t>
  </si>
  <si>
    <t>=AND({{OwnerRoleAgentKind}} &lt;&gt; "", {{ValidFrom}} &lt; {{OwnerRoleAssignmentValidFrom}})</t>
  </si>
  <si>
    <t>KnowledgeFragments.OwnerRoleAssignmentValidFrom</t>
  </si>
  <si>
    <t>=INDEX(Roles!{{CurrentAssignmentValidFrom}}, MATCH({{OwnerRole}}, Roles!{{RoleId}}, 0))</t>
  </si>
  <si>
    <t>KnowledgeFragments.LastReviewedAt</t>
  </si>
  <si>
    <t>KnowledgeFragments.FragilitySignalCount</t>
  </si>
  <si>
    <t>=IF({{IsFromSingleWitness}}, 1, 0) + IF({{IsOverdueForReview}}, 1, 0) + IF({{IsLowConfidence}}, 1, 0) + IF({{HasOperationalReliance}}, 1, 0)</t>
  </si>
  <si>
    <t>KnowledgeFragments.IsCompoundFragile</t>
  </si>
  <si>
    <t>={{FragilitySignalCount}} &gt;= 3</t>
  </si>
  <si>
    <t>KnowledgeFragments.IsSinglePointOfFailure</t>
  </si>
  <si>
    <t>=AND({{IsFromSingleWitness}}, {{HasOperationalReliance}})</t>
  </si>
  <si>
    <t>KnowledgeFragments.IsExpiringSinglePointOfFailure</t>
  </si>
  <si>
    <t>=AND({{IsSinglePointOfFailure}}, {{IsOverdueForReview}})</t>
  </si>
  <si>
    <t>KnowledgeFragments.CompoundFragileVersionKey</t>
  </si>
  <si>
    <t>=IF({{IsCompoundFragile}}, {{ProcedureVersion}}, "")</t>
  </si>
  <si>
    <t>KnowledgeFragments.ValidFragmentSessionKey</t>
  </si>
  <si>
    <t>=IF({{IsCurrentlyValid}}, {{ElicitationSession}}, "")</t>
  </si>
  <si>
    <t>KnowledgeFragments.ConsumingStepIsSoftwareAssigned</t>
  </si>
  <si>
    <t>=INDEX(Steps!{{IsSoftwareAssigned}}, MATCH({{Step}}, Steps!{{StepId}}, 0))</t>
  </si>
  <si>
    <t>KnowledgeFragments.ConsumingStepAgentKind</t>
  </si>
  <si>
    <t>=INDEX(Steps!{{AssignedAgentKind}}, MATCH({{Step}}, Steps!{{StepId}}, 0))</t>
  </si>
  <si>
    <t>KnowledgeFragments.IsUnapprovedAndMachineConsumed</t>
  </si>
  <si>
    <t>=AND({{IsUnapprovedButReliedOn}}, {{ConsumingStepIsSoftwareAssigned}})</t>
  </si>
  <si>
    <t>KnowledgeFragments.IsUnapprovedAndHumanConsumed</t>
  </si>
  <si>
    <t>=AND({{IsUnapprovedButReliedOn}}, NOT({{ConsumingStepIsSoftwareAssigned}}))</t>
  </si>
  <si>
    <t>KnowledgeFragments.MachineConsumedUnapprovedVersionKey</t>
  </si>
  <si>
    <t>=IF({{IsUnapprovedAndMachineConsumed}}, {{ProcedureVersion}}, "")</t>
  </si>
  <si>
    <t>KnowledgeFragments.HasReviewRecord</t>
  </si>
  <si>
    <t>={{LastReviewedAt}} &lt;&gt; ""</t>
  </si>
  <si>
    <t>KnowledgeFragments.DaysSinceActualReview</t>
  </si>
  <si>
    <t>=IF({{HasReviewRecord}}, DATETIME_DIFF({{AsOfInstant}}, {{LastReviewedAt}}, "days"), 0)</t>
  </si>
  <si>
    <t>KnowledgeFragments.IsUnreviewedSinceAuthoring</t>
  </si>
  <si>
    <t>=AND({{IsCurrentlyValid}}, NOT({{HasReviewRecord}}))</t>
  </si>
  <si>
    <t>KnowledgeFragments.IsGenuinelyOverdue</t>
  </si>
  <si>
    <t>=AND({{IsCurrentlyValid}}, {{HasReviewRecord}}, {{DaysSinceActualReview}} &gt; {{ReviewCadenceDays}})</t>
  </si>
  <si>
    <t>KnowledgeFragments.ReviewRecencyIsInferred</t>
  </si>
  <si>
    <t>=AND({{IsOverdueForReview}}, NOT({{HasReviewRecord}}))</t>
  </si>
  <si>
    <t>KnowledgeFragments.InferenceDisagreesWithRecord</t>
  </si>
  <si>
    <t>=AND({{HasReviewRecord}}, {{IsOverdueForReview}}, NOT({{IsGenuinelyOverdue}}))</t>
  </si>
  <si>
    <t>KnowledgeFragments.GenuinelyOverdueVersionKey</t>
  </si>
  <si>
    <t>=IF({{IsGenuinelyOverdue}}, {{ProcedureVersion}}, "")</t>
  </si>
  <si>
    <t>KnowledgeFragments.RatifiedBoundaryCount</t>
  </si>
  <si>
    <t>=COUNTIFS(AuthorityBoundaries!{{RatifyingFragmentKey}}, {{KnowledgeFragmentId}})</t>
  </si>
  <si>
    <t>KnowledgeFragments.RelianceSurfaceCount</t>
  </si>
  <si>
    <t>={{IsInvokedByAnException}} + {{RatifiedBoundaryCount}}</t>
  </si>
  <si>
    <t>KnowledgeFragments.DaysAwaitingMyApproval</t>
  </si>
  <si>
    <t>=IF({{IsMyUnfinishedApproval}}, DATETIME_DIFF({{AsOfInstant}}, {{ValidFrom}}, "days"), 0)</t>
  </si>
  <si>
    <t>KnowledgeFragments.IsHighBlastRadiusUnapproved</t>
  </si>
  <si>
    <t>=AND({{IsUnapprovedAndOperationallyLive}}, {{RelianceSurfaceCount}} &gt; 1)</t>
  </si>
  <si>
    <t>KnowledgeFragments.IsLongUnapproved</t>
  </si>
  <si>
    <t>=AND({{IsMyUnfinishedApproval}}, {{DaysAwaitingMyApproval}} &gt; 30)</t>
  </si>
  <si>
    <t>KnowledgeFragments.UnapprovedLoadBearingVersionKey</t>
  </si>
  <si>
    <t>=IF({{IsHighBlastRadiusUnapproved}}, {{ProcedureVersion}}, "")</t>
  </si>
  <si>
    <t>KnowledgeFragments.OwnerRoleIsVacated</t>
  </si>
  <si>
    <t>=INDEX(Roles!{{IsVacatedRole}}, MATCH({{OwnerRole}}, Roles!{{RoleId}}, 0))</t>
  </si>
  <si>
    <t>KnowledgeFragments.IsOrphanedByRole</t>
  </si>
  <si>
    <t>=AND({{IsCurrentlyValid}}, {{OwnerRoleIsVacated}})</t>
  </si>
  <si>
    <t>KnowledgeFragments.ValidFragmentVersionKey</t>
  </si>
  <si>
    <t>=IF({{IsCurrentlyValid}}, {{ProcedureVersion}}, "")</t>
  </si>
  <si>
    <t>KnowledgeFragments.SemanticTypeIri</t>
  </si>
  <si>
    <t>KnowledgeGaps.KnowledgeGapId</t>
  </si>
  <si>
    <t>KnowledgeGaps</t>
  </si>
  <si>
    <t>KnowledgeGaps.Name</t>
  </si>
  <si>
    <t>={{Severity}} &amp; ": " &amp; LEFT({{Statement}}, 60)</t>
  </si>
  <si>
    <t>KnowledgeGaps.ProcedureVersion</t>
  </si>
  <si>
    <t>KnowledgeGaps.Step</t>
  </si>
  <si>
    <t>KnowledgeGaps.Statement</t>
  </si>
  <si>
    <t>KnowledgeGaps.Severity</t>
  </si>
  <si>
    <t>KnowledgeGaps.BlockingKind</t>
  </si>
  <si>
    <t>KnowledgeGaps.Status</t>
  </si>
  <si>
    <t>KnowledgeGaps.OwnerRole</t>
  </si>
  <si>
    <t>KnowledgeGaps.IdentifiedAt</t>
  </si>
  <si>
    <t>KnowledgeGaps.ResolutionPlan</t>
  </si>
  <si>
    <t>KnowledgeGaps.IsOpen</t>
  </si>
  <si>
    <t>=OR({{Status}} = "Open", {{Status}} = "Investigating")</t>
  </si>
  <si>
    <t>KnowledgeGaps.OpenGapVersionKey</t>
  </si>
  <si>
    <t>=IF(AND({{IsOpen}}, {{Severity}} = "High"), {{ProcedureVersion}}, "")</t>
  </si>
  <si>
    <t>KnowledgeGaps.IsBlocking</t>
  </si>
  <si>
    <t>={{BlockingKind}} = "Blocking"</t>
  </si>
  <si>
    <t>KnowledgeGaps.IsOpenAndBlocking</t>
  </si>
  <si>
    <t>=AND({{IsOpen}}, {{IsBlocking}})</t>
  </si>
  <si>
    <t>KnowledgeGaps.EvaluationContext</t>
  </si>
  <si>
    <t>KnowledgeGaps.AsOfInstant</t>
  </si>
  <si>
    <t>KnowledgeGaps.DaysOpen</t>
  </si>
  <si>
    <t>=IF({{IsOpen}}, DATETIME_DIFF({{AsOfInstant}}, {{IdentifiedAt}}, "days"), 0)</t>
  </si>
  <si>
    <t>KnowledgeGaps.ToleranceDays</t>
  </si>
  <si>
    <t>=IF({{Severity}} = "High", 30, IF({{Severity}} = "Medium", 90, 180))</t>
  </si>
  <si>
    <t>KnowledgeGaps.IsOverdueGap</t>
  </si>
  <si>
    <t>={{DaysOpen}} &gt; {{ToleranceDays}}</t>
  </si>
  <si>
    <t>KnowledgeGaps.OwnerAgent</t>
  </si>
  <si>
    <t>KnowledgeGaps.OwnerIsStillEngaged</t>
  </si>
  <si>
    <t>=INDEX(Agents!{{IsStillEngaged}}, MATCH({{OwnerAgent}}, Agents!{{AgentId}}, 0))</t>
  </si>
  <si>
    <t>KnowledgeGaps.HasResolutionPlan</t>
  </si>
  <si>
    <t>={{ResolutionPlan}} &lt;&gt; ""</t>
  </si>
  <si>
    <t>KnowledgeGaps.IsAbandonedUnknown</t>
  </si>
  <si>
    <t>=AND({{IsOverdueGap}}, OR(NOT({{HasResolutionPlan}}), NOT({{OwnerIsStillEngaged}})))</t>
  </si>
  <si>
    <t>KnowledgeGaps.OpenBlockingGapVersionKey</t>
  </si>
  <si>
    <t>=IF({{IsOpenAndBlocking}}, {{ProcedureVersion}}, "")</t>
  </si>
  <si>
    <t>KnowledgeGaps.OwnerRoleIsVacated</t>
  </si>
  <si>
    <t>KnowledgeGaps.IsOwnerlessOpenGap</t>
  </si>
  <si>
    <t>=AND({{IsOpen}}, {{OwnerRoleIsVacated}})</t>
  </si>
  <si>
    <t>KnowledgeGaps.SemanticTypeIri</t>
  </si>
  <si>
    <t>FAQs.FaqId</t>
  </si>
  <si>
    <t>FAQs.Name</t>
  </si>
  <si>
    <t>={{Question}}</t>
  </si>
  <si>
    <t>FAQs.ProcedureVersion</t>
  </si>
  <si>
    <t>FAQs.Step</t>
  </si>
  <si>
    <t>FAQs.Category</t>
  </si>
  <si>
    <t>FAQs.TargetKind</t>
  </si>
  <si>
    <t>FAQs.Question</t>
  </si>
  <si>
    <t>FAQs.Answer</t>
  </si>
  <si>
    <t>FAQs.SemanticTypeIri</t>
  </si>
  <si>
    <t>Explanations.ExplanationId</t>
  </si>
  <si>
    <t>Explanations.Name</t>
  </si>
  <si>
    <t>Explanations.ProcedureVersion</t>
  </si>
  <si>
    <t>Explanations.Step</t>
  </si>
  <si>
    <t>Explanations.Title</t>
  </si>
  <si>
    <t>Explanations.Description</t>
  </si>
  <si>
    <t>Explanations.SemanticTypeIri</t>
  </si>
  <si>
    <t>ProcedureExecutions.ProcedureExecutionId</t>
  </si>
  <si>
    <t>ProcedureExecutions.Name</t>
  </si>
  <si>
    <t>={{ProcedureVersion}} &amp; " / " &amp; {{Context}}</t>
  </si>
  <si>
    <t>ProcedureExecutions.ProcedureVersion</t>
  </si>
  <si>
    <t>ProcedureExecutions.ExecutionStatus</t>
  </si>
  <si>
    <t>ProcedureExecutions.StartedAt</t>
  </si>
  <si>
    <t>ProcedureExecutions.EndedAt</t>
  </si>
  <si>
    <t>ProcedureExecutions.ExecutedByAgent</t>
  </si>
  <si>
    <t>ProcedureExecutions.Context</t>
  </si>
  <si>
    <t>ProcedureExecutions.OperationalRecordUri</t>
  </si>
  <si>
    <t>ProcedureExecutions.ExpectedStepCount</t>
  </si>
  <si>
    <t>=INDEX(ProcedureVersions!{{SpecifiedStepCount}}, MATCH({{ProcedureVersion}}, ProcedureVersions!{{ProcedureVersionId}}, 0))</t>
  </si>
  <si>
    <t>ProcedureExecutions.CompletedStepCount</t>
  </si>
  <si>
    <t>=COUNTIFS(StepExecutions!{{CompletedExecutionKey}}, {{ProcedureExecutionId}})</t>
  </si>
  <si>
    <t>ProcedureExecutions.ControlBreachCount</t>
  </si>
  <si>
    <t>=COUNTIFS(StepExecutions!{{ControlBreachExecutionKey}}, {{ProcedureExecutionId}})</t>
  </si>
  <si>
    <t>ProcedureExecutions.LateStepCount</t>
  </si>
  <si>
    <t>=COUNTIFS(StepExecutions!{{LateExecutionKey}}, {{ProcedureExecutionId}})</t>
  </si>
  <si>
    <t>ProcedureExecutions.IsStructurallyComplete</t>
  </si>
  <si>
    <t>={{CompletedStepCount}} &gt;= {{ExpectedStepCount}}</t>
  </si>
  <si>
    <t>ProcedureExecutions.DivergedFromSpecification</t>
  </si>
  <si>
    <t>=OR(NOT({{IsStructurallyComplete}}), {{ControlBreachCount}} &gt; 0)</t>
  </si>
  <si>
    <t>ProcedureExecutions.AllBlockingControlsEvaluated</t>
  </si>
  <si>
    <t>={{UnevaluatedBlockingTotal}} = 0</t>
  </si>
  <si>
    <t>ProcedureExecutions.UnevaluatedBlockingTotal</t>
  </si>
  <si>
    <t>=COUNTIFS(StepExecutions!{{UnevaluatedBlockingExecutionKey}}, {{ProcedureExecutionId}})</t>
  </si>
  <si>
    <t>ProcedureExecutions.SeparationOfDutiesHeld</t>
  </si>
  <si>
    <t>={{SeparationViolationCount}} = 0</t>
  </si>
  <si>
    <t>ProcedureExecutions.SeparationViolationCount</t>
  </si>
  <si>
    <t>=COUNTIFS(StepExecutions!{{SeparationViolationExecutionKey}}, {{ProcedureExecutionId}})</t>
  </si>
  <si>
    <t>ProcedureExecutions.IsAttestationReady</t>
  </si>
  <si>
    <t>=AND({{IsStructurallyComplete}}, NOT({{DivergedFromSpecification}}), {{AllBlockingControlsEvaluated}}, {{SeparationOfDutiesHeld}})</t>
  </si>
  <si>
    <t>ProcedureExecutions.AttestationBlockerSummary</t>
  </si>
  <si>
    <t>=IF({{IsAttestationReady}}, "", IF(NOT({{IsStructurallyComplete}}), "Incomplete: specified steps did not all complete.", IF({{SeparationViolationCount}} &gt; 0, "Segregation of duties violated.", IF({{UnevaluatedBlockingTotal}} &gt; 0, "Blocking controls were never evaluated.", "Control breach recorded on one or more steps."))))</t>
  </si>
  <si>
    <t>ProcedureExecutions.ExecutedVersionIsFit</t>
  </si>
  <si>
    <t>=INDEX(ProcedureVersions!{{IsFitToExecute}}, MATCH({{ProcedureVersion}}, ProcedureVersions!{{ProcedureVersionId}}, 0))</t>
  </si>
  <si>
    <t>ProcedureExecutions.SignedAgainstUnfitVersion</t>
  </si>
  <si>
    <t>=AND({{ExecutionStatus}} = "Completed", NOT({{ExecutedVersionIsFit}}))</t>
  </si>
  <si>
    <t>ProcedureExecutions.AssertedOnlyControlCount</t>
  </si>
  <si>
    <t>=COUNTIFS(RequirementSatisfactions!{{AssertedOnlyExecutionKey}}, {{ProcedureExecutionId}})</t>
  </si>
  <si>
    <t>ProcedureExecutions.AssuranceIsMostlyAsserted</t>
  </si>
  <si>
    <t>={{AssertedOnlyControlCount}} &gt; 0</t>
  </si>
  <si>
    <t>ProcedureExecutions.UnreachableHandlingFailureCount</t>
  </si>
  <si>
    <t>=COUNTIFS(MessageDeliveries!{{UnreachableFailureKey}}, {{ProcedureExecutionId}})</t>
  </si>
  <si>
    <t>ProcedureExecutions.RetentionBreachCount</t>
  </si>
  <si>
    <t>=COUNTIFS(MessageDeliveries!{{RetentionBreachExecutionKey}}, {{ProcedureExecutionId}})</t>
  </si>
  <si>
    <t>ProcedureExecutions.ClearedLegalReviewCount</t>
  </si>
  <si>
    <t>=COUNTIFS(StepExecutions!{{ClearedLegalReviewKey}}, {{ProcedureExecutionId}})</t>
  </si>
  <si>
    <t>ProcedureExecutions.HasClearedLegalReview</t>
  </si>
  <si>
    <t>={{ClearedLegalReviewCount}} &gt; 0</t>
  </si>
  <si>
    <t>ProcedureExecutions.AbandonedFailureCount</t>
  </si>
  <si>
    <t>=COUNTIFS(MessageDeliveries!{{AbandonedFailureExecutionKey}}, {{ProcedureExecutionId}})</t>
  </si>
  <si>
    <t>ProcedureExecutions.DeliveredCount</t>
  </si>
  <si>
    <t>=COUNTIFS(MessageDeliveries!{{ReachedExecutionKey}}, {{ProcedureExecutionId}})</t>
  </si>
  <si>
    <t>ProcedureExecutions.TotalDeliveryAttemptCount</t>
  </si>
  <si>
    <t>=COUNTIFS(MessageDeliveries!{{ProcedureExecution}}, {{ProcedureExecutionId}})</t>
  </si>
  <si>
    <t>ProcedureExecutions.HasAbandonedFailures</t>
  </si>
  <si>
    <t>={{AbandonedFailureCount}} &gt; 0</t>
  </si>
  <si>
    <t>ProcedureExecutions.MishandledRefusalCount</t>
  </si>
  <si>
    <t>=COUNTIFS(SendIntents!{{RefusalFailureExecutionKey}}, {{ProcedureExecutionId}})</t>
  </si>
  <si>
    <t>ProcedureExecutions.UncleanStepCount</t>
  </si>
  <si>
    <t>=COUNTIFS(StepExecutions!{{ProcedureExecutionWhenUnclean}}, {{ProcedureExecutionId}})</t>
  </si>
  <si>
    <t>ProcedureExecutions.RanClean</t>
  </si>
  <si>
    <t>={{UncleanStepCount}} = 0</t>
  </si>
  <si>
    <t>ProcedureExecutions.CountOfApprovalExecutions</t>
  </si>
  <si>
    <t>=COUNTIFS(StepExecutions!{{IsApprovalExecution}}, TRUE)</t>
  </si>
  <si>
    <t>ProcedureExecutions.HasHumanApproval</t>
  </si>
  <si>
    <t>={{CountOfApprovalExecutions}} &gt; 0</t>
  </si>
  <si>
    <t>ProcedureExecutions.CountOfDeliveryExecutions</t>
  </si>
  <si>
    <t>=COUNTIFS(StepExecutions!{{Step}}, "policy-07")</t>
  </si>
  <si>
    <t>ProcedureExecutions.HasDelivered</t>
  </si>
  <si>
    <t>={{CountOfDeliveryExecutions}} &gt; 0</t>
  </si>
  <si>
    <t>ProcedureExecutions.DeliveredWithoutApproval</t>
  </si>
  <si>
    <t>=AND({{HasDelivered}}, NOT({{HasHumanApproval}}))</t>
  </si>
  <si>
    <t>ProcedureExecutions.InvalidApprovalCount</t>
  </si>
  <si>
    <t>=COUNTIFS(RequirementSatisfactions!{{RunWhenInvalidApproval}}, {{ProcedureExecutionId}})</t>
  </si>
  <si>
    <t>ProcedureExecutions.ApprovalChainIsComplete</t>
  </si>
  <si>
    <t>={{InvalidApprovalCount}} = 0</t>
  </si>
  <si>
    <t>ProcedureExecutions.VacuouslyCleanStepCount</t>
  </si>
  <si>
    <t>=COUNTIFS(StepExecutions!{{VacuouslyCleanExecutionKey}}, {{ProcedureExecutionId}})</t>
  </si>
  <si>
    <t>ProcedureExecutions.PreparationStepCount</t>
  </si>
  <si>
    <t>=COUNTIFS(StepExecutions!{{PreparationExecutionKey}}, {{ProcedureExecutionId}})</t>
  </si>
  <si>
    <t>ProcedureExecutions.ApprovalStepCount</t>
  </si>
  <si>
    <t>=COUNTIFS(StepExecutions!{{ApprovalExecutionKey}}, {{ProcedureExecutionId}})</t>
  </si>
  <si>
    <t>ProcedureExecutions.SeparationWasTestable</t>
  </si>
  <si>
    <t>=AND({{PreparationStepCount}} &gt; 0, {{ApprovalStepCount}} &gt; 0)</t>
  </si>
  <si>
    <t>ProcedureExecutions.SeparationHeldUnderTest</t>
  </si>
  <si>
    <t>=AND({{SeparationWasTestable}}, {{SeparationOfDutiesHeld}})</t>
  </si>
  <si>
    <t>ProcedureExecutions.SeparationIsVacuouslyGreen</t>
  </si>
  <si>
    <t>=AND({{SeparationOfDutiesHeld}}, NOT({{SeparationWasTestable}}))</t>
  </si>
  <si>
    <t>ProcedureExecutions.SeparationAssuranceNote</t>
  </si>
  <si>
    <t>=IF({{SeparationViolationCount}} &gt; 0, "Violated: same agent prepared and approved.", IF({{SeparationIsVacuouslyGreen}}, "Not tested: this run had no preparation/approval pair.", "Held under test."))</t>
  </si>
  <si>
    <t>ProcedureExecutions.UngovernedDivergenceCount</t>
  </si>
  <si>
    <t>=COUNTIFS(StepExecutions!{{UngovernedDivergenceExecutionKey}}, {{ProcedureExecutionId}})</t>
  </si>
  <si>
    <t>ProcedureExecutions.DivergenceWasFullyGoverned</t>
  </si>
  <si>
    <t>=AND({{DivergedFromSpecification}}, {{UngovernedDivergenceCount}} = 0)</t>
  </si>
  <si>
    <t>ProcedureExecutions.ComputedlyWitnessedControlCount</t>
  </si>
  <si>
    <t>=COUNTIFS(RequirementSatisfactions!{{ComputedWitnessExecutionKey}}, {{ProcedureExecutionId}})</t>
  </si>
  <si>
    <t>ProcedureExecutions.EvaluatedControlCount</t>
  </si>
  <si>
    <t>={{ComputedlyWitnessedControlCount}} + {{AssertedOnlyControlCount}}</t>
  </si>
  <si>
    <t>ProcedureExecutions.ComputedAssuranceRatio</t>
  </si>
  <si>
    <t>=IF({{EvaluatedControlCount}} = 0, 0, {{ComputedlyWitnessedControlCount}} / {{EvaluatedControlCount}})</t>
  </si>
  <si>
    <t>ProcedureExecutions.InterestedPartyAssertionCount</t>
  </si>
  <si>
    <t>=COUNTIFS(RequirementSatisfactions!{{InterestedAssertionExecutionKey}}, {{ProcedureExecutionId}})</t>
  </si>
  <si>
    <t>ProcedureExecutions.AssuranceGrade</t>
  </si>
  <si>
    <t>=IF({{EvaluatedControlCount}} = 0, "None: no blocking control was evaluated.", IF({{InterestedPartyAssertionCount}} &gt; 0, "Weak: at least one control rests on an interested-party assertion.", IF({{ComputedAssuranceRatio}} &lt; 0.5, "Thin: most controls rest on human assertion.", IF({{ComputedAssuranceRatio}} &lt; 1, "Mixed: computed and asserted controls.", "Computed: every evaluated control has a witness."))))</t>
  </si>
  <si>
    <t>ProcedureExecutions.AttestationWouldBeWeaklyBased</t>
  </si>
  <si>
    <t>=AND({{IsAttestationReady}}, OR({{InterestedPartyAssertionCount}} &gt; 0, {{ComputedAssuranceRatio}} &lt; 0.5))</t>
  </si>
  <si>
    <t>ProcedureExecutions.IndependentHumanObservationCount</t>
  </si>
  <si>
    <t>=COUNTIFS(VerificationOutcomes!{{IndependentObservationExecutionKey}}, {{ProcedureExecutionId}})</t>
  </si>
  <si>
    <t>ProcedureExecutions.HasAnyIndependentObservation</t>
  </si>
  <si>
    <t>={{IndependentHumanObservationCount}} &gt; 0</t>
  </si>
  <si>
    <t>ProcedureExecutions.SelfAttestedApprovalCount</t>
  </si>
  <si>
    <t>=COUNTIFS(StepExecutions!{{SelfAttestedApprovalExecutionKey}}, {{ProcedureExecutionId}})</t>
  </si>
  <si>
    <t>ProcedureExecutions.AssuranceChainIsCircular</t>
  </si>
  <si>
    <t>=AND({{SelfAttestedApprovalCount}} &gt; 0, NOT({{HasAnyIndependentObservation}}))</t>
  </si>
  <si>
    <t>ProcedureExecutions.LatestAttestationInstant</t>
  </si>
  <si>
    <t>=MAXIFS(Attestations!{{SignedAt}}, Attestations!{{ProcedureExecution}}, {{ProcedureExecutionId}})</t>
  </si>
  <si>
    <t>ProcedureExecutions.HasBeenAttested</t>
  </si>
  <si>
    <t>={{AttestationCount}} &gt; 0</t>
  </si>
  <si>
    <t>ProcedureExecutions.AttestationCount</t>
  </si>
  <si>
    <t>=COUNTIFS(Attestations!{{ProcedureExecution}}, {{ProcedureExecutionId}})</t>
  </si>
  <si>
    <t>ProcedureExecutions.PostAttestationScoreCount</t>
  </si>
  <si>
    <t>=COUNTIFS(RequirementSatisfactions!{{PostAttestationScoreExecutionKey}}, {{ProcedureExecutionId}})</t>
  </si>
  <si>
    <t>ProcedureExecutions.BasisChangedAfterSignature</t>
  </si>
  <si>
    <t>=AND({{HasBeenAttested}}, {{PostAttestationScoreCount}} &gt; 0)</t>
  </si>
  <si>
    <t>ProcedureExecutions.RequiresReAttestation</t>
  </si>
  <si>
    <t>=AND({{BasisChangedAfterSignature}}, NOT({{IsAttestationReady}}))</t>
  </si>
  <si>
    <t>ProcedureExecutions.IntendedRecipientCount</t>
  </si>
  <si>
    <t>=COUNTIFS(SendIntents!{{IntentExecutionKey}}, {{ProcedureExecutionId}})</t>
  </si>
  <si>
    <t>ProcedureExecutions.ReachedRecipientCount</t>
  </si>
  <si>
    <t>=COUNTIFS(SendIntents!{{DeliveredIntentExecutionKey}}, {{ProcedureExecutionId}})</t>
  </si>
  <si>
    <t>ProcedureExecutions.SilentlyDroppedCount</t>
  </si>
  <si>
    <t>=COUNTIFS(SendIntents!{{DroppedIntentExecutionKey}}, {{ProcedureExecutionId}})</t>
  </si>
  <si>
    <t>ProcedureExecutions.DeliveryYieldPercent</t>
  </si>
  <si>
    <t>=IF({{IntendedRecipientCount}} &gt; 0, {{ReachedRecipientCount}} * 100 / {{IntendedRecipientCount}}, 0)</t>
  </si>
  <si>
    <t>ProcedureExecutions.CampaignSilentlyLostAudience</t>
  </si>
  <si>
    <t>=({{SilentlyDroppedCount}} &gt; 0)</t>
  </si>
  <si>
    <t>ProcedureExecutions.UnrecordedRefusalCount</t>
  </si>
  <si>
    <t>=COUNTIFS(SendIntents!{{UnrecordedRefusalExecutionKey}}, {{ProcedureExecutionId}})</t>
  </si>
  <si>
    <t>ProcedureExecutions.HasUnrecordedRefusals</t>
  </si>
  <si>
    <t>=({{UnrecordedRefusalCount}} &gt; 0)</t>
  </si>
  <si>
    <t>ProcedureExecutions.IndependentlyConfirmedIntentCount</t>
  </si>
  <si>
    <t>=COUNTIFS(SendIntents!{{IndependentlyConfirmedExecutionKey}}, {{ProcedureExecutionId}})</t>
  </si>
  <si>
    <t>ProcedureExecutions.SendDecisionsAreEntirelySelfWitnessed</t>
  </si>
  <si>
    <t>=AND({{IntendedRecipientCount}} &gt; 0, {{IndependentlyConfirmedIntentCount}} = 0)</t>
  </si>
  <si>
    <t>ProcedureExecutions.SemanticTypeIri</t>
  </si>
  <si>
    <t>StepExecutions.StepExecutionId</t>
  </si>
  <si>
    <t>StepExecutions.Name</t>
  </si>
  <si>
    <t>={{ProcedureExecution}} &amp; " / " &amp; {{Step}}</t>
  </si>
  <si>
    <t>StepExecutions.ProcedureExecution</t>
  </si>
  <si>
    <t>StepExecutions.Step</t>
  </si>
  <si>
    <t>StepExecutions.ExecutedByAgent</t>
  </si>
  <si>
    <t>StepExecutions.ExecutionStatus</t>
  </si>
  <si>
    <t>StepExecutions.StartedAt</t>
  </si>
  <si>
    <t>StepExecutions.EndedAt</t>
  </si>
  <si>
    <t>StepExecutions.VerificationResult</t>
  </si>
  <si>
    <t>StepExecutions.Deviation</t>
  </si>
  <si>
    <t>StepExecutions.ActualDurationMinutes</t>
  </si>
  <si>
    <t>=IF({{EndedAt}} = "", 0, DATETIME_DIFF({{EndedAt}}, {{StartedAt}}, "minutes"))</t>
  </si>
  <si>
    <t>StepExecutions.ExpectedDurationMinutes</t>
  </si>
  <si>
    <t>=INDEX(Steps!{{ExpectedDurationMinutes}}, MATCH({{Step}}, Steps!{{StepId}}, 0))</t>
  </si>
  <si>
    <t>StepExecutions.IsLate</t>
  </si>
  <si>
    <t>={{ActualDurationMinutes}} &gt; {{ExpectedDurationMinutes}}</t>
  </si>
  <si>
    <t>StepExecutions.BlockingUnmetCount</t>
  </si>
  <si>
    <t>=COUNTIFS(RequirementSatisfactions!{{StepExecution}}, {{StepExecutionId}}, RequirementSatisfactions!{{IsBlockingAndUnmet}}, TRUE)</t>
  </si>
  <si>
    <t>StepExecutions.BlockingUnmetCountSafe</t>
  </si>
  <si>
    <t>=COUNTIFS(RequirementSatisfactions!{{BlockingUnmetStepKey}}, {{StepExecutionId}})</t>
  </si>
  <si>
    <t>StepExecutions.ProceededPastBlockingControl</t>
  </si>
  <si>
    <t>=AND({{ExecutionStatus}} = "Completed", {{BlockingUnmetCountSafe}} &gt; 0)</t>
  </si>
  <si>
    <t>StepExecutions.ExpectedBlockingCount</t>
  </si>
  <si>
    <t>=INDEX(Steps!{{BlockingRequirementCount}}, MATCH({{Step}}, Steps!{{StepId}}, 0))</t>
  </si>
  <si>
    <t>StepExecutions.EvaluatedBlockingCount</t>
  </si>
  <si>
    <t>=COUNTIFS(RequirementSatisfactions!{{BlockingSatisfactionStepKey}}, {{StepExecutionId}})</t>
  </si>
  <si>
    <t>StepExecutions.UnevaluatedBlockingCount</t>
  </si>
  <si>
    <t>={{ExpectedBlockingCount}} - {{EvaluatedBlockingCount}}</t>
  </si>
  <si>
    <t>StepExecutions.HasUnevaluatedBlockingControl</t>
  </si>
  <si>
    <t>={{UnevaluatedBlockingCount}} &gt; 0</t>
  </si>
  <si>
    <t>StepExecutions.StaleAuthoritativeSourceCount</t>
  </si>
  <si>
    <t>=INDEX(Steps!{{AuthoritativeStaleCount}}, MATCH({{Step}}, Steps!{{StepId}}, 0))</t>
  </si>
  <si>
    <t>StepExecutions.RanOnStaleAuthoritativeSource</t>
  </si>
  <si>
    <t>={{StaleAuthoritativeSourceCount}} &gt; 0</t>
  </si>
  <si>
    <t>StepExecutions.HasDeviationNote</t>
  </si>
  <si>
    <t>={{Deviation}} &lt;&gt; ""</t>
  </si>
  <si>
    <t>StepExecutions.IsLateAndUnexplained</t>
  </si>
  <si>
    <t>=AND({{IsLate}}, NOT({{HasDeviationNote}}))</t>
  </si>
  <si>
    <t>StepExecutions.AvailableExceptionCountForStep</t>
  </si>
  <si>
    <t>=INDEX(Steps!{{AvailableExceptionCount}}, MATCH({{Step}}, Steps!{{StepId}}, 0))</t>
  </si>
  <si>
    <t>StepExecutions.HadUninvokedExceptionAvailable</t>
  </si>
  <si>
    <t>=AND({{IsLateAndUnexplained}}, {{AvailableExceptionCountForStep}} &gt; 0)</t>
  </si>
  <si>
    <t>StepExecutions.ExpectedVerificationCount</t>
  </si>
  <si>
    <t>=INDEX(Steps!{{DeclaredVerificationCount}}, MATCH({{Step}}, Steps!{{StepId}}, 0))</t>
  </si>
  <si>
    <t>StepExecutions.PerformedVerificationCount</t>
  </si>
  <si>
    <t>=COUNTIFS(VerificationOutcomes!{{StepExecution}}, {{StepExecutionId}})</t>
  </si>
  <si>
    <t>StepExecutions.SkippedVerificationCount</t>
  </si>
  <si>
    <t>={{ExpectedVerificationCount}} - {{PerformedVerificationCount}}</t>
  </si>
  <si>
    <t>StepExecutions.HasSkippedVerification</t>
  </si>
  <si>
    <t>={{SkippedVerificationCount}} &gt; 0</t>
  </si>
  <si>
    <t>StepExecutions.ClaimsPassWithoutEvidence</t>
  </si>
  <si>
    <t>=AND({{VerificationResult}} = "PASS", {{HasSkippedVerification}})</t>
  </si>
  <si>
    <t>StepExecutions.StepIsPreparation</t>
  </si>
  <si>
    <t>=INDEX(Steps!{{IsPreparationStep}}, MATCH({{Step}}, Steps!{{StepId}}, 0))</t>
  </si>
  <si>
    <t>StepExecutions.StepIsApproval</t>
  </si>
  <si>
    <t>=INDEX(Steps!{{IsApprovalStep}}, MATCH({{Step}}, Steps!{{StepId}}, 0))</t>
  </si>
  <si>
    <t>StepExecutions.PreparerAgentKey</t>
  </si>
  <si>
    <t>=IF({{StepIsPreparation}}, {{ProcedureExecution}} &amp; "|" &amp; {{ExecutedByAgent}}, "")</t>
  </si>
  <si>
    <t>StepExecutions.ApproverAgentKey</t>
  </si>
  <si>
    <t>=IF({{StepIsApproval}}, {{ProcedureExecution}} &amp; "|" &amp; {{ExecutedByAgent}}, "")</t>
  </si>
  <si>
    <t>StepExecutions.PreparedByThisAgentCount</t>
  </si>
  <si>
    <t>=COUNTIFS(StepExecutions!{{PreparerAgentKey}}, {{ApproverAgentKey}})</t>
  </si>
  <si>
    <t>=AND({{StepIsApproval}}, {{PreparedByThisAgentCount}} &gt; 0)</t>
  </si>
  <si>
    <t>StepExecutions.RequiredRoleForStep</t>
  </si>
  <si>
    <t>=INDEX(Steps!{{AssignedRole}}, MATCH({{Step}}, Steps!{{StepId}}, 0))</t>
  </si>
  <si>
    <t>StepExecutions.ExecutorRoleKey</t>
  </si>
  <si>
    <t>={{ExecutedByAgent}} &amp; "|" &amp; {{RequiredRoleForStep}}</t>
  </si>
  <si>
    <t>StepExecutions.ExecutorAuthorityCount</t>
  </si>
  <si>
    <t>=COUNTIFS(RoleAssignments!{{AgentRoleKey}}, {{ExecutorRoleKey}})</t>
  </si>
  <si>
    <t>StepExecutions.ExecutorHeldRequiredRole</t>
  </si>
  <si>
    <t>={{ExecutorAuthorityCount}} &gt; 0</t>
  </si>
  <si>
    <t>StepExecutions.IsUnauthorizedApproval</t>
  </si>
  <si>
    <t>=AND({{StepIsApproval}}, NOT({{ExecutorHeldRequiredRole}}))</t>
  </si>
  <si>
    <t>StepExecutions.CompletedExecutionKey</t>
  </si>
  <si>
    <t>=IF({{ExecutionStatus}} = "Completed", {{ProcedureExecution}}, "")</t>
  </si>
  <si>
    <t>StepExecutions.ControlBreachExecutionKey</t>
  </si>
  <si>
    <t>=IF(OR({{ProceededPastBlockingControl}}, {{ViolatesSeparationOfDuties}}, {{IsUnauthorizedApproval}}, {{ClaimsPassWithoutEvidence}}), {{ProcedureExecution}}, "")</t>
  </si>
  <si>
    <t>StepExecutions.LateExecutionKey</t>
  </si>
  <si>
    <t>=IF({{IsLate}}, {{ProcedureExecution}}, "")</t>
  </si>
  <si>
    <t>StepExecutions.ExecutorAgentKind</t>
  </si>
  <si>
    <t>=INDEX(Agents!{{AgentKind}}, MATCH({{ExecutedByAgent}}, Agents!{{AgentId}}, 0))</t>
  </si>
  <si>
    <t>StepExecutions.ExecutorIsHuman</t>
  </si>
  <si>
    <t>={{ExecutorAgentKind}} = "Human"</t>
  </si>
  <si>
    <t>StepExecutions.StepRequiresHumanConfirmation</t>
  </si>
  <si>
    <t>=INDEX(Steps!{{RequiresHumanConfirmation}}, MATCH({{Step}}, Steps!{{StepId}}, 0))</t>
  </si>
  <si>
    <t>StepExecutions.NonHumanRanHumanStep</t>
  </si>
  <si>
    <t>=AND({{StepRequiresHumanConfirmation}}, NOT({{ExecutorIsHuman}}))</t>
  </si>
  <si>
    <t>StepExecutions.NonHumanApproval</t>
  </si>
  <si>
    <t>=AND({{StepIsApproval}}, NOT({{ExecutorIsHuman}}))</t>
  </si>
  <si>
    <t>StepExecutions.UnevaluatedBlockingExecutionKey</t>
  </si>
  <si>
    <t>=IF({{HasUnevaluatedBlockingControl}}, {{ProcedureExecution}}, "")</t>
  </si>
  <si>
    <t>StepExecutions.SeparationViolationExecutionKey</t>
  </si>
  <si>
    <t>=IF({{ViolatesSeparationOfDuties}}, {{ProcedureExecution}}, "")</t>
  </si>
  <si>
    <t>StepExecutions.SelfWitnessedVerificationCount</t>
  </si>
  <si>
    <t>=COUNTIFS(VerificationOutcomes!{{SelfWitnessedStepKey}}, {{StepExecutionId}})</t>
  </si>
  <si>
    <t>StepExecutions.UnbackedVerificationCount</t>
  </si>
  <si>
    <t>=COUNTIFS(VerificationOutcomes!{{UnbackedStepKey}}, {{StepExecutionId}})</t>
  </si>
  <si>
    <t>StepExecutions.ApprovalRestsOnSelfAttestation</t>
  </si>
  <si>
    <t>=AND({{StepIsApproval}}, OR({{SelfWitnessedVerificationCount}} &gt; 0, {{HasSkippedVerification}}))</t>
  </si>
  <si>
    <t>StepExecutions.ExceptionInvocationCount</t>
  </si>
  <si>
    <t>=COUNTIFS(ExceptionInvocations!{{StepExecution}}, {{StepExecutionId}})</t>
  </si>
  <si>
    <t>StepExecutions.RanUnderException</t>
  </si>
  <si>
    <t>={{ExceptionInvocationCount}} &gt; 0</t>
  </si>
  <si>
    <t>StepExecutions.IsCompleted</t>
  </si>
  <si>
    <t>={{ExecutionStatus}} = "Completed"</t>
  </si>
  <si>
    <t>StepExecutions.IsVerificationPassed</t>
  </si>
  <si>
    <t>={{VerificationResult}} = "PASS"</t>
  </si>
  <si>
    <t>StepExecutions.IsLegalReviewStep</t>
  </si>
  <si>
    <t>={{Step}} = "policy-04"</t>
  </si>
  <si>
    <t>StepExecutions.ClearedLegalReviewKey</t>
  </si>
  <si>
    <t>=IF(AND({{IsLegalReviewStep}}, {{IsVerificationPassed}}), {{ProcedureExecution}}, "")</t>
  </si>
  <si>
    <t>StepExecutions.AssignedRole</t>
  </si>
  <si>
    <t>StepExecutions.RoleCurrentAgent</t>
  </si>
  <si>
    <t>=INDEX(Roles!{{CurrentAgent}}, MATCH({{AssignedRole}}, Roles!{{RoleId}}, 0))</t>
  </si>
  <si>
    <t>StepExecutions.ExecutorIsDesignatedAgent</t>
  </si>
  <si>
    <t>={{ExecutedByAgent}} = {{RoleCurrentAgent}}</t>
  </si>
  <si>
    <t>StepExecutions.InputsWereFreshAtRun</t>
  </si>
  <si>
    <t>=INDEX(Steps!{{InputsAreFresh}}, MATCH({{Step}}, Steps!{{StepId}}, 0))</t>
  </si>
  <si>
    <t>StepExecutions.RanOnStaleInputs</t>
  </si>
  <si>
    <t>=AND({{ExecutionStatus}} = "Completed", NOT({{InputsWereFreshAtRun}}))</t>
  </si>
  <si>
    <t>StepExecutions.UnresolvedIssueCount</t>
  </si>
  <si>
    <t>=COUNTIFS(IssueOccurrences!{{StepExecutionWhenUnresolved}}, {{StepExecutionId}})</t>
  </si>
  <si>
    <t>StepExecutions.HasDeviation</t>
  </si>
  <si>
    <t>StepExecutions.IsClean</t>
  </si>
  <si>
    <t>=AND({{VerificationResult}} = "PASS", NOT({{HasDeviation}}), {{UnresolvedIssueCount}} = 0, NOT({{IsLate}}))</t>
  </si>
  <si>
    <t>StepExecutions.ProcedureExecutionWhenUnclean</t>
  </si>
  <si>
    <t>=IF({{IsClean}}, "", {{ProcedureExecution}})</t>
  </si>
  <si>
    <t>StepExecutions.EvaluatedRequirementCount</t>
  </si>
  <si>
    <t>=COUNTIFS(RequirementSatisfactions!{{StepExecutionWhenScored}}, {{StepExecutionId}})</t>
  </si>
  <si>
    <t>StepExecutions.RequiredBlockingCount</t>
  </si>
  <si>
    <t>StepExecutions.HasUnevaluatedBlockingRequirement</t>
  </si>
  <si>
    <t>={{EvaluatedRequirementCount}} &lt; {{RequiredBlockingCount}}</t>
  </si>
  <si>
    <t>StepExecutions.ExecutingAgentKind</t>
  </si>
  <si>
    <t>StepExecutions.WasExecutedBySoftware</t>
  </si>
  <si>
    <t>=OR({{ExecutingAgentKind}} = "AIAgent", {{ExecutingAgentKind}} = "AutomatedPipeline")</t>
  </si>
  <si>
    <t>StepExecutions.StepIsSoftwareAssigned</t>
  </si>
  <si>
    <t>StepExecutions.SoftwareDidHumanWork</t>
  </si>
  <si>
    <t>=AND({{WasExecutedBySoftware}}, NOT({{StepIsSoftwareAssigned}}))</t>
  </si>
  <si>
    <t>StepExecutions.IsApprovalExecution</t>
  </si>
  <si>
    <t>=INDEX(Steps!{{IsHumanApprovalGate}}, MATCH({{Step}}, Steps!{{StepId}}, 0))</t>
  </si>
  <si>
    <t>StepExecutions.IsVerified</t>
  </si>
  <si>
    <t>=AND({{VerificationResult}} &lt;&gt; "", {{VerificationResult}} &lt;&gt; "PENDING", {{VerificationResult}} &lt;&gt; "FAIL")</t>
  </si>
  <si>
    <t>StepExecutions.UnconfirmedNonHumanDecisionCount</t>
  </si>
  <si>
    <t>=COUNTIFS(AgentDecisionRecords!{{StepExecutionWhenUnconfirmed}}, {{StepExecutionId}})</t>
  </si>
  <si>
    <t>StepExecutions.RequiresHumanConfirmation</t>
  </si>
  <si>
    <t>StepExecutions.HumanConfirmationMissing</t>
  </si>
  <si>
    <t>=AND({{RequiresHumanConfirmation}}, {{UnconfirmedNonHumanDecisionCount}} &gt; 0)</t>
  </si>
  <si>
    <t>StepExecutions.DraftedFromUnusableSource</t>
  </si>
  <si>
    <t>=AND({{ExecutionStatus}} = "Completed", NOT({{InputsWereUsable}}))</t>
  </si>
  <si>
    <t>StepExecutions.InputsWereUsable</t>
  </si>
  <si>
    <t>=INDEX(Steps!{{AllSourcesUsable}}, MATCH({{Step}}, Steps!{{StepId}}, 0))</t>
  </si>
  <si>
    <t>StepExecutions.SoftwareExecutionStepKey</t>
  </si>
  <si>
    <t>=IF({{WasExecutedBySoftware}}, {{Step}}, "")</t>
  </si>
  <si>
    <t>StepExecutions.StepControlKind</t>
  </si>
  <si>
    <t>=INDEX(Steps!{{ControlKind}}, MATCH({{Step}}, Steps!{{StepId}}, 0))</t>
  </si>
  <si>
    <t>StepExecutions.UnfalsifiedClearanceCount</t>
  </si>
  <si>
    <t>=COUNTIFS(RequirementSatisfactions!{{UnfalsifiedClearanceStepKey}}, {{StepExecutionId}})</t>
  </si>
  <si>
    <t>StepExecutions.AllClearancesAreUnfalsified</t>
  </si>
  <si>
    <t>=AND({{EvaluatedBlockingCount}} &gt; 0, {{UnfalsifiedClearanceCount}} &gt;= {{EvaluatedBlockingCount}})</t>
  </si>
  <si>
    <t>StepExecutions.StaleAtRunCount</t>
  </si>
  <si>
    <t>=COUNTIFS(BindingObservations!{{StaleAtRunStepKey}}, {{StepExecutionId}})</t>
  </si>
  <si>
    <t>StepExecutions.WasStaleWhenIRanIt</t>
  </si>
  <si>
    <t>={{StaleAtRunCount}} &gt; 0</t>
  </si>
  <si>
    <t>StepExecutions.StalenessAnswerIsTenseDependent</t>
  </si>
  <si>
    <t>=NOT({{WasStaleWhenIRanIt}} = {{RanOnStaleAuthoritativeSource}})</t>
  </si>
  <si>
    <t>StepExecutions.HasAnyDeclaredCheck</t>
  </si>
  <si>
    <t>=OR({{ExpectedVerificationCount}} &gt; 0, {{ExpectedBlockingCount}} &gt; 0)</t>
  </si>
  <si>
    <t>StepExecutions.PerformedCheckCount</t>
  </si>
  <si>
    <t>={{PerformedVerificationCount}} + {{EvaluatedBlockingCount}}</t>
  </si>
  <si>
    <t>StepExecutions.DeclaredCheckCount</t>
  </si>
  <si>
    <t>={{ExpectedVerificationCount}} + {{ExpectedBlockingCount}}</t>
  </si>
  <si>
    <t>StepExecutions.IsUncheckedByDesign</t>
  </si>
  <si>
    <t>={{DeclaredCheckCount}} = 0</t>
  </si>
  <si>
    <t>StepExecutions.IsVacuouslyClean</t>
  </si>
  <si>
    <t>=AND({{IsClean}}, {{IsUncheckedByDesign}})</t>
  </si>
  <si>
    <t>StepExecutions.IsSubstantivelyClean</t>
  </si>
  <si>
    <t>=AND({{IsClean}}, {{PerformedCheckCount}} &gt;= {{DeclaredCheckCount}}, {{DeclaredCheckCount}} &gt; 0)</t>
  </si>
  <si>
    <t>StepExecutions.VacuouslyCleanExecutionKey</t>
  </si>
  <si>
    <t>=IF({{IsVacuouslyClean}}, {{ProcedureExecution}}, "")</t>
  </si>
  <si>
    <t>StepExecutions.UncorroboratedPassCount</t>
  </si>
  <si>
    <t>=COUNTIFS(VerificationOutcomes!{{UncorroboratedPassStepKey}}, {{StepExecutionId}})</t>
  </si>
  <si>
    <t>StepExecutions.EvidencePositionIsWeak</t>
  </si>
  <si>
    <t>=AND({{PerformedVerificationCount}} &gt; 0, {{UncorroboratedPassCount}} &gt;= {{PerformedVerificationCount}})</t>
  </si>
  <si>
    <t>StepExecutions.PreparationExecutionKey</t>
  </si>
  <si>
    <t>=IF({{StepIsPreparation}}, {{ProcedureExecution}}, "")</t>
  </si>
  <si>
    <t>StepExecutions.ApprovalExecutionKey</t>
  </si>
  <si>
    <t>=IF({{StepIsApproval}}, {{ProcedureExecution}}, "")</t>
  </si>
  <si>
    <t>StepExecutions.HasGoverningInstrument</t>
  </si>
  <si>
    <t>=OR({{RanUnderException}}, {{HasApprovedChangeCoverage}})</t>
  </si>
  <si>
    <t>StepExecutions.HasApprovedChangeCoverage</t>
  </si>
  <si>
    <t>=INDEX(ProcedureVersions!{{HasApprovedChangeRequest}}, MATCH({{VersionOfStep}}, ProcedureVersions!{{ProcedureVersionId}}, 0))</t>
  </si>
  <si>
    <t>StepExecutions.VersionOfStep</t>
  </si>
  <si>
    <t>StepExecutions.IsUngovernedDivergence</t>
  </si>
  <si>
    <t>=AND(OR({{HasDeviation}}, {{IsLate}}, {{ProceededPastBlockingControl}}), NOT({{HasGoverningInstrument}}))</t>
  </si>
  <si>
    <t>StepExecutions.UngovernedDivergenceExecutionKey</t>
  </si>
  <si>
    <t>=IF({{IsUngovernedDivergence}}, {{ProcedureExecution}}, "")</t>
  </si>
  <si>
    <t>StepExecutions.SelfAttestedApprovalExecutionKey</t>
  </si>
  <si>
    <t>=IF({{ApprovalRestsOnSelfAttestation}}, {{ProcedureExecution}}, "")</t>
  </si>
  <si>
    <t>StepExecutions.SemanticTypeIri</t>
  </si>
  <si>
    <t>RequirementSatisfactions.RequirementSatisfactionId</t>
  </si>
  <si>
    <t>RequirementSatisfactions.Name</t>
  </si>
  <si>
    <t>={{Requirement}} &amp; " / " &amp; {{SatisfactionLevel}}</t>
  </si>
  <si>
    <t>RequirementSatisfactions.StepExecution</t>
  </si>
  <si>
    <t>RequirementSatisfactions.Requirement</t>
  </si>
  <si>
    <t>RequirementSatisfactions.SatisfactionLevel</t>
  </si>
  <si>
    <t>RequirementSatisfactions.Evidence</t>
  </si>
  <si>
    <t>RequirementSatisfactions.EvaluatedByAgent</t>
  </si>
  <si>
    <t>RequirementSatisfactions.EvaluatedAt</t>
  </si>
  <si>
    <t>RequirementSatisfactions.RequirementIsBlocking</t>
  </si>
  <si>
    <t>RequirementSatisfactions.IsFullySatisfied</t>
  </si>
  <si>
    <t>={{SatisfactionLevel}} = "Satisfied"</t>
  </si>
  <si>
    <t>=AND({{RequirementIsBlocking}}, NOT({{IsFullySatisfied}}))</t>
  </si>
  <si>
    <t>RequirementSatisfactions.BlockingUnmetStepKey</t>
  </si>
  <si>
    <t>=IF({{IsBlockingAndUnmet}}, {{StepExecution}}, "")</t>
  </si>
  <si>
    <t>RequirementSatisfactions.BlockingSatisfactionStepKey</t>
  </si>
  <si>
    <t>=IF({{RequirementIsBlocking}}, {{StepExecution}}, "")</t>
  </si>
  <si>
    <t>RequirementSatisfactions.NegativeOutcomeRequirementKey</t>
  </si>
  <si>
    <t>=IF(NOT({{IsFullySatisfied}}), {{Requirement}}, "")</t>
  </si>
  <si>
    <t>RequirementSatisfactions.EvaluatorAgentKind</t>
  </si>
  <si>
    <t>=INDEX(Agents!{{AgentKind}}, MATCH({{EvaluatedByAgent}}, Agents!{{AgentId}}, 0))</t>
  </si>
  <si>
    <t>RequirementSatisfactions.NonHumanEvaluatedHumanControl</t>
  </si>
  <si>
    <t>=AND({{RequirementIsBlocking}}, {{EvaluatorAgentKind}} &lt;&gt; "Human")</t>
  </si>
  <si>
    <t>RequirementSatisfactions.RequirementHasComputedWitness</t>
  </si>
  <si>
    <t>=INDEX(Requirements!{{HasComputedWitness}}, MATCH({{Requirement}}, Requirements!{{RequirementId}}, 0))</t>
  </si>
  <si>
    <t>RequirementSatisfactions.IsAssertedOnly</t>
  </si>
  <si>
    <t>=AND({{RequirementIsBlocking}}, {{IsFullySatisfied}}, NOT({{RequirementHasComputedWitness}}))</t>
  </si>
  <si>
    <t>RequirementSatisfactions.AssertedOnlyExecutionKey</t>
  </si>
  <si>
    <t>=IF({{IsAssertedOnly}}, {{ParentProcedureExecution}}, "")</t>
  </si>
  <si>
    <t>RequirementSatisfactions.ParentProcedureExecution</t>
  </si>
  <si>
    <t>=INDEX(StepExecutions!{{ProcedureExecution}}, MATCH({{StepExecution}}, StepExecutions!{{StepExecutionId}}, 0))</t>
  </si>
  <si>
    <t>RequirementSatisfactions.StepExecutionWhenScored</t>
  </si>
  <si>
    <t>=IF({{SatisfactionLevel}} &lt;&gt; "", {{StepExecution}}, "")</t>
  </si>
  <si>
    <t>RequirementSatisfactions.IsHumanEvaluated</t>
  </si>
  <si>
    <t>={{EvaluatorAgentKind}} = "Human"</t>
  </si>
  <si>
    <t>RequirementSatisfactions.RequirementIsApprovalType</t>
  </si>
  <si>
    <t>=INDEX(Requirements!{{RequirementType}}, MATCH({{Requirement}}, Requirements!{{RequirementId}}, 0))</t>
  </si>
  <si>
    <t>RequirementSatisfactions.IsInvalidApproval</t>
  </si>
  <si>
    <t>=AND({{RequirementIsApprovalType}} = "Approval", OR(NOT({{IsFullySatisfied}}), NOT({{IsHumanEvaluated}})))</t>
  </si>
  <si>
    <t>RequirementSatisfactions.ProcedureExecutionOfSatisfaction</t>
  </si>
  <si>
    <t>RequirementSatisfactions.RunWhenInvalidApproval</t>
  </si>
  <si>
    <t>=IF({{IsInvalidApproval}}, {{ProcedureExecutionOfSatisfaction}}, "")</t>
  </si>
  <si>
    <t>RequirementSatisfactions.RequirementIsUnfalsified</t>
  </si>
  <si>
    <t>=INDEX(Requirements!{{IsUnfalsifiedControl}}, MATCH({{Requirement}}, Requirements!{{RequirementId}}, 0))</t>
  </si>
  <si>
    <t>RequirementSatisfactions.IsClearanceByUnfalsifiedControl</t>
  </si>
  <si>
    <t>=AND({{IsFullySatisfied}}, {{RequirementIsBlocking}}, {{RequirementIsUnfalsified}})</t>
  </si>
  <si>
    <t>RequirementSatisfactions.UnfalsifiedClearanceStepKey</t>
  </si>
  <si>
    <t>=IF({{IsClearanceByUnfalsifiedControl}}, {{StepExecution}}, "")</t>
  </si>
  <si>
    <t>RequirementSatisfactions.SpecStepOfExecution</t>
  </si>
  <si>
    <t>=INDEX(StepExecutions!{{Step}}, MATCH({{StepExecution}}, StepExecutions!{{StepExecutionId}}, 0))</t>
  </si>
  <si>
    <t>RequirementSatisfactions.BindingKey</t>
  </si>
  <si>
    <t>=INDEX(StepRequirements!{{StepRequirementId}}, MATCH({{RequirementSatisfactionId}}, StepRequirements!{{StepRequirementId}}, 0))</t>
  </si>
  <si>
    <t>RequirementSatisfactions.ScoredStepExecutorAgent</t>
  </si>
  <si>
    <t>=INDEX(StepExecutions!{{ExecutedByAgent}}, MATCH({{StepExecution}}, StepExecutions!{{StepExecutionId}}, 0))</t>
  </si>
  <si>
    <t>RequirementSatisfactions.EvaluatorIsStepExecutor</t>
  </si>
  <si>
    <t>={{EvaluatedByAgent}} = {{ScoredStepExecutorAgent}}</t>
  </si>
  <si>
    <t>RequirementSatisfactions.RunOwnerAgent</t>
  </si>
  <si>
    <t>=INDEX(ProcedureExecutions!{{ExecutedByAgent}}, MATCH({{ParentProcedureExecution}}, ProcedureExecutions!{{ProcedureExecutionId}}, 0))</t>
  </si>
  <si>
    <t>RequirementSatisfactions.EvaluatorOwnsTheRun</t>
  </si>
  <si>
    <t>={{EvaluatedByAgent}} = {{RunOwnerAgent}}</t>
  </si>
  <si>
    <t>RequirementSatisfactions.IsInterestedPartyAssertion</t>
  </si>
  <si>
    <t>=AND({{IsAssertedOnly}}, OR({{EvaluatorIsStepExecutor}}, {{EvaluatorOwnsTheRun}}))</t>
  </si>
  <si>
    <t>RequirementSatisfactions.HasWrittenEvidence</t>
  </si>
  <si>
    <t>={{Evidence}} &lt;&gt; ""</t>
  </si>
  <si>
    <t>RequirementSatisfactions.IsBareAssertion</t>
  </si>
  <si>
    <t>=AND({{IsAssertedOnly}}, NOT({{HasWrittenEvidence}}))</t>
  </si>
  <si>
    <t>RequirementSatisfactions.InterestedAssertionExecutionKey</t>
  </si>
  <si>
    <t>=IF({{IsInterestedPartyAssertion}}, {{ParentProcedureExecution}}, "")</t>
  </si>
  <si>
    <t>RequirementSatisfactions.IsComputedlyWitnessed</t>
  </si>
  <si>
    <t>=AND({{RequirementIsBlocking}}, {{RequirementHasComputedWitness}})</t>
  </si>
  <si>
    <t>RequirementSatisfactions.ComputedWitnessExecutionKey</t>
  </si>
  <si>
    <t>=IF({{IsComputedlyWitnessed}}, {{ParentProcedureExecution}}, "")</t>
  </si>
  <si>
    <t>RequirementSatisfactions.StepExecutorAgent</t>
  </si>
  <si>
    <t>RequirementSatisfactions.WasScoredAfterAttestation</t>
  </si>
  <si>
    <t>=DATETIME_DIFF({{EvaluatedAt}}, {{AttestationInstantForRun}}, "minutes") &gt; 0</t>
  </si>
  <si>
    <t>RequirementSatisfactions.AttestationInstantForRun</t>
  </si>
  <si>
    <t>=INDEX(ProcedureExecutions!{{LatestAttestationInstant}}, MATCH({{ParentProcedureExecution}}, ProcedureExecutions!{{ProcedureExecutionId}}, 0))</t>
  </si>
  <si>
    <t>RequirementSatisfactions.PostAttestationScoreExecutionKey</t>
  </si>
  <si>
    <t>=IF({{WasScoredAfterAttestation}}, {{ParentProcedureExecution}}, "")</t>
  </si>
  <si>
    <t>RequirementSatisfactions.SemanticTypeIri</t>
  </si>
  <si>
    <t>Errors.ErrorId</t>
  </si>
  <si>
    <t>Errors.Name</t>
  </si>
  <si>
    <t>={{ErrorCode}} &amp; " - " &amp; {{Label}}</t>
  </si>
  <si>
    <t>Errors.Label</t>
  </si>
  <si>
    <t>Errors.ErrorCode</t>
  </si>
  <si>
    <t>Errors.ErrorCause</t>
  </si>
  <si>
    <t>Errors.SemanticTypeIri</t>
  </si>
  <si>
    <t>IssueOccurrences.IssueOccurrenceId</t>
  </si>
  <si>
    <t>IssueOccurrences.Name</t>
  </si>
  <si>
    <t>={{Error}} &amp; " @ " &amp; {{OccurredAt}}</t>
  </si>
  <si>
    <t>IssueOccurrences.StepExecution</t>
  </si>
  <si>
    <t>IssueOccurrences.Error</t>
  </si>
  <si>
    <t>IssueOccurrences.EncounteredByAgent</t>
  </si>
  <si>
    <t>IssueOccurrences.OccurredAt</t>
  </si>
  <si>
    <t>IssueOccurrences.IssueCause</t>
  </si>
  <si>
    <t>IssueOccurrences.IssueSolution</t>
  </si>
  <si>
    <t>IssueOccurrences.Status</t>
  </si>
  <si>
    <t>IssueOccurrences.IsUnresolved</t>
  </si>
  <si>
    <t>=OR({{Status}} = "Open", {{Status}} = "Investigating", {{Status}} = "Monitoring")</t>
  </si>
  <si>
    <t>IssueOccurrences.StepExecutionWhenUnresolved</t>
  </si>
  <si>
    <t>=IF({{IsUnresolved}}, {{StepExecution}}, "")</t>
  </si>
  <si>
    <t>IssueOccurrences.SemanticTypeIri</t>
  </si>
  <si>
    <t>UserQuestions.UserQuestionId</t>
  </si>
  <si>
    <t>UserQuestions.Name</t>
  </si>
  <si>
    <t>=LEFT({{QuestionText}}, 70)</t>
  </si>
  <si>
    <t>UserQuestions.StepExecution</t>
  </si>
  <si>
    <t>UserQuestions.AskedByAgent</t>
  </si>
  <si>
    <t>UserQuestions.AskedAt</t>
  </si>
  <si>
    <t>UserQuestions.QuestionText</t>
  </si>
  <si>
    <t>UserQuestions.ResolvedByFaq</t>
  </si>
  <si>
    <t>UserQuestions.AddressedByResource</t>
  </si>
  <si>
    <t>UserQuestions.Status</t>
  </si>
  <si>
    <t>UserQuestions.SemanticTypeIri</t>
  </si>
  <si>
    <t>UserFeedback.UserFeedbackId</t>
  </si>
  <si>
    <t>UserFeedback.Name</t>
  </si>
  <si>
    <t>={{Disposition}} &amp; ": " &amp; LEFT({{FeedbackText}}, 60)</t>
  </si>
  <si>
    <t>UserFeedback.ProcedureExecution</t>
  </si>
  <si>
    <t>UserFeedback.ProvidedByAgent</t>
  </si>
  <si>
    <t>UserFeedback.ProvidedAt</t>
  </si>
  <si>
    <t>UserFeedback.FeedbackText</t>
  </si>
  <si>
    <t>UserFeedback.Disposition</t>
  </si>
  <si>
    <t>UserFeedback.ChangeRequestKey</t>
  </si>
  <si>
    <t>UserFeedback.SemanticTypeIri</t>
  </si>
  <si>
    <t>StewardshipAssignments.StewardshipAssignmentId</t>
  </si>
  <si>
    <t>StewardshipAssignments.Name</t>
  </si>
  <si>
    <t>={{ProcedureVersion}} &amp; " / steward=" &amp; {{StewardRole}}</t>
  </si>
  <si>
    <t>StewardshipAssignments.ProcedureVersion</t>
  </si>
  <si>
    <t>StewardshipAssignments.StewardRole</t>
  </si>
  <si>
    <t>StewardshipAssignments.AuthorityRole</t>
  </si>
  <si>
    <t>StewardshipAssignments.ValidFrom</t>
  </si>
  <si>
    <t>StewardshipAssignments.ValidTo</t>
  </si>
  <si>
    <t>StewardshipAssignments.ReviewCadenceDays</t>
  </si>
  <si>
    <t>StewardshipAssignments.CountOfReviewEvents</t>
  </si>
  <si>
    <t>=COUNTIFS(ReviewEvents!{{ProcedureVersion}}, StewardshipAssignments!{{ProcedureVersion}})</t>
  </si>
  <si>
    <t>StewardshipAssignments.HasEverBeenReviewed</t>
  </si>
  <si>
    <t>={{CountOfReviewEvents}} &gt; 0</t>
  </si>
  <si>
    <t>StewardshipAssignments.EvaluationContext</t>
  </si>
  <si>
    <t>StewardshipAssignments.AsOfInstant</t>
  </si>
  <si>
    <t>StewardshipAssignments.IsCurrentAssignment</t>
  </si>
  <si>
    <t>StewardshipAssignments.SemanticTypeIri</t>
  </si>
  <si>
    <t>ChangeRequests.ChangeRequestId</t>
  </si>
  <si>
    <t>ChangeRequests</t>
  </si>
  <si>
    <t>ChangeRequests.Name</t>
  </si>
  <si>
    <t>ChangeRequests.ProcedureVersion</t>
  </si>
  <si>
    <t>ChangeRequests.Title</t>
  </si>
  <si>
    <t>ChangeRequests.ChangeKind</t>
  </si>
  <si>
    <t>ChangeRequests.Status</t>
  </si>
  <si>
    <t>ChangeRequests.RequestedByAgent</t>
  </si>
  <si>
    <t>ChangeRequests.AuthorityRole</t>
  </si>
  <si>
    <t>ChangeRequests.RequestedAt</t>
  </si>
  <si>
    <t>ChangeRequests.DecidedAt</t>
  </si>
  <si>
    <t>ChangeRequests.ImpactAssessment</t>
  </si>
  <si>
    <t>ChangeRequests.IsOpen</t>
  </si>
  <si>
    <t>=AND(OR({{Status}} = "Draft", {{Status}} = "UnderReview", {{Status}} = "Approved"), {{ImplementedAt}} = "")</t>
  </si>
  <si>
    <t>ChangeRequests.OpenChangeVersionKey</t>
  </si>
  <si>
    <t>=IF({{IsOpen}}, {{ProcedureVersion}}, "")</t>
  </si>
  <si>
    <t>ChangeRequests.IsDecided</t>
  </si>
  <si>
    <t>={{DecidedAt}} &lt;&gt; ""</t>
  </si>
  <si>
    <t>ChangeRequests.EvaluationContext</t>
  </si>
  <si>
    <t>ChangeRequests.AsOfInstant</t>
  </si>
  <si>
    <t>ChangeRequests.DaysPending</t>
  </si>
  <si>
    <t>=IF({{IsDecided}}, DATETIME_DIFF({{DecidedAt}}, {{RequestedAt}}, "days"), DATETIME_DIFF({{AsOfInstant}}, {{RequestedAt}}, "days"))</t>
  </si>
  <si>
    <t>ChangeRequests.IsStillPending</t>
  </si>
  <si>
    <t>=AND({{IsOpen}}, NOT({{IsDecided}}))</t>
  </si>
  <si>
    <t>ChangeRequests.IsStalled</t>
  </si>
  <si>
    <t>=AND({{IsStillPending}}, {{DaysPending}} &gt; 14)</t>
  </si>
  <si>
    <t>ChangeRequests.AuthorityAgent</t>
  </si>
  <si>
    <t>=INDEX(Roles!{{CurrentAgent}}, MATCH({{AuthorityRole}}, Roles!{{RoleId}}, 0))</t>
  </si>
  <si>
    <t>ChangeRequests.RequesterIsAuthority</t>
  </si>
  <si>
    <t>={{RequestedByAgent}} = {{AuthorityAgent}}</t>
  </si>
  <si>
    <t>ChangeRequests.AwaitsAuthorityDecision</t>
  </si>
  <si>
    <t>=AND({{Status}} = "UnderReview", NOT({{IsDecided}}))</t>
  </si>
  <si>
    <t>ChangeRequests.AuthorityRoleLabel</t>
  </si>
  <si>
    <t>=INDEX(Roles!{{Label}}, MATCH({{AuthorityRole}}, Roles!{{RoleId}}, 0))</t>
  </si>
  <si>
    <t>ChangeRequests.TouchesLiveVersion</t>
  </si>
  <si>
    <t>ChangeRequests.IsLiveDecisionBacklog</t>
  </si>
  <si>
    <t>=AND({{AwaitsAuthorityDecision}}, {{TouchesLiveVersion}})</t>
  </si>
  <si>
    <t>ChangeRequests.BlocksAnOpenGap</t>
  </si>
  <si>
    <t>=AND({{IsLiveDecisionBacklog}}, {{ChangeKind}} = "Enhancement")</t>
  </si>
  <si>
    <t>ChangeRequests.ImplementedAt</t>
  </si>
  <si>
    <t>ChangeRequests.BacklogVersionKey</t>
  </si>
  <si>
    <t>=IF({{IsLiveDecisionBacklog}}, {{ProcedureVersion}}, "")</t>
  </si>
  <si>
    <t>ChangeRequests.IsMyPendingDecision</t>
  </si>
  <si>
    <t>=AND({{AuthorityRole}} = "hr-policy-owner", {{AwaitsAuthorityDecision}})</t>
  </si>
  <si>
    <t>ChangeRequests.IsMyBlockingBacklog</t>
  </si>
  <si>
    <t>=AND({{IsMyPendingDecision}}, {{BlocksAnOpenGap}})</t>
  </si>
  <si>
    <t>ChangeRequests.IsMyOverdueBacklog</t>
  </si>
  <si>
    <t>=AND({{IsMyBlockingBacklog}}, {{DaysPending}} &gt; 14)</t>
  </si>
  <si>
    <t>ChangeRequests.IsImplemented</t>
  </si>
  <si>
    <t>={{ImplementedAt}} &lt;&gt; ""</t>
  </si>
  <si>
    <t>ChangeRequests.IsMyDecidedRequest</t>
  </si>
  <si>
    <t>=AND({{AuthorityRole}} = "hr-policy-owner", {{IsDecided}})</t>
  </si>
  <si>
    <t>ChangeRequests.IsMyDecidedButUnlanded</t>
  </si>
  <si>
    <t>=AND({{IsMyDecidedRequest}}, NOT({{IsImplemented}}))</t>
  </si>
  <si>
    <t>ChangeRequests.DecisionLatencyDays</t>
  </si>
  <si>
    <t>=IF({{IsDecided}}, DATETIME_DIFF({{DecidedAt}}, {{RequestedAt}}, "days"), 0)</t>
  </si>
  <si>
    <t>ChangeRequests.ImplementationLatencyDays</t>
  </si>
  <si>
    <t>=IF({{IsImplemented}}, DATETIME_DIFF({{ImplementedAt}}, {{DecidedAt}}, "days"), 0)</t>
  </si>
  <si>
    <t>ChangeRequests.DelayIsDownstreamOfMe</t>
  </si>
  <si>
    <t>=AND({{IsMyDecidedButUnlanded}}, {{DecisionLatencyDays}} &lt;= 14)</t>
  </si>
  <si>
    <t>ChangeRequests.UnlandedVersionKey</t>
  </si>
  <si>
    <t>=IF({{IsMyDecidedButUnlanded}}, {{ProcedureVersion}}, "")</t>
  </si>
  <si>
    <t>ChangeRequests.IsApprovedNotImplemented</t>
  </si>
  <si>
    <t>=AND({{Status}} = "Approved", NOT({{IsImplemented}}))</t>
  </si>
  <si>
    <t>ChangeRequests.DaysSinceApproval</t>
  </si>
  <si>
    <t>=IF({{IsDecided}}, DATETIME_DIFF({{AsOfInstant}}, {{DecidedAt}}, "days"), 0)</t>
  </si>
  <si>
    <t>ChangeRequests.IsStalledImplementation</t>
  </si>
  <si>
    <t>=AND({{IsApprovedNotImplemented}}, {{DaysSinceApproval}} &gt; 14)</t>
  </si>
  <si>
    <t>ChangeRequests.StalledImplementationVersionKey</t>
  </si>
  <si>
    <t>=IF({{IsStalledImplementation}}, {{ProcedureVersion}}, "")</t>
  </si>
  <si>
    <t>ChangeRequests.ApprovedVersionKey</t>
  </si>
  <si>
    <t>=IF({{IsApprovedDecision}}, {{ProcedureVersion}}, "")</t>
  </si>
  <si>
    <t>ChangeRequests.IsApprovedDecision</t>
  </si>
  <si>
    <t>ChangeRequests.SemanticTypeIri</t>
  </si>
  <si>
    <t>ReviewEvents.ReviewEventId</t>
  </si>
  <si>
    <t>ReviewEvents</t>
  </si>
  <si>
    <t>ReviewEvents.Name</t>
  </si>
  <si>
    <t>={{ProcedureVersion}} &amp; " / " &amp; {{ReviewKind}}</t>
  </si>
  <si>
    <t>ReviewEvents.ProcedureVersion</t>
  </si>
  <si>
    <t>ReviewEvents.ReviewKind</t>
  </si>
  <si>
    <t>ReviewEvents.ReviewedAt</t>
  </si>
  <si>
    <t>ReviewEvents.ReviewedByAgent</t>
  </si>
  <si>
    <t>ReviewEvents.Outcome</t>
  </si>
  <si>
    <t>ReviewEvents.RelatedChangeRequest</t>
  </si>
  <si>
    <t>ReviewEvents.NextReviewDue</t>
  </si>
  <si>
    <t>ReviewEvents.EvaluationContext</t>
  </si>
  <si>
    <t>ReviewEvents.AsOfInstant</t>
  </si>
  <si>
    <t>ReviewEvents.IsOverdue</t>
  </si>
  <si>
    <t>={{NextReviewDue}} &lt; {{AsOfInstant}}</t>
  </si>
  <si>
    <t>ReviewEvents.OverdueVersionKey</t>
  </si>
  <si>
    <t>=IF({{IsOverdue}}, {{ProcedureVersion}}, "")</t>
  </si>
  <si>
    <t>ReviewEvents.PromisedCadenceDays</t>
  </si>
  <si>
    <t>ReviewEvents.DaysSinceReviewed</t>
  </si>
  <si>
    <t>=DATETIME_DIFF({{AsOfInstant}}, {{ReviewedAt}}, "days")</t>
  </si>
  <si>
    <t>ReviewEvents.ExceedsPromisedCadence</t>
  </si>
  <si>
    <t>={{DaysSinceReviewed}} &gt; {{PromisedCadenceDays}}</t>
  </si>
  <si>
    <t>ReviewEvents.CadenceDriftDays</t>
  </si>
  <si>
    <t>={{DaysSinceReviewed}} - {{PromisedCadenceDays}}</t>
  </si>
  <si>
    <t>ReviewEvents.PromiseAndBehaviorDisagree</t>
  </si>
  <si>
    <t>=AND({{ExceedsPromisedCadence}}, NOT({{IsOverdue}}))</t>
  </si>
  <si>
    <t>ReviewEvents.CadenceBreachVersionKey</t>
  </si>
  <si>
    <t>=IF({{ExceedsPromisedCadence}}, {{ProcedureVersion}}, "")</t>
  </si>
  <si>
    <t>ReviewEvents.SemanticTypeIri</t>
  </si>
  <si>
    <t>LearningActivities.LearningActivityId</t>
  </si>
  <si>
    <t>LearningActivities</t>
  </si>
  <si>
    <t>LearningActivities.Name</t>
  </si>
  <si>
    <t>={{ActivityKind}} &amp; " / " &amp; {{OccurredAt}}</t>
  </si>
  <si>
    <t>LearningActivities.CommunityOfPractice</t>
  </si>
  <si>
    <t>LearningActivities.ProcedureVersion</t>
  </si>
  <si>
    <t>LearningActivities.ActivityKind</t>
  </si>
  <si>
    <t>LearningActivities.OccurredAt</t>
  </si>
  <si>
    <t>LearningActivities.FacilitatorAgent</t>
  </si>
  <si>
    <t>LearningActivities.Outcome</t>
  </si>
  <si>
    <t>LearningActivities.EvidenceResource</t>
  </si>
  <si>
    <t>LearningActivities.SemanticTypeIri</t>
  </si>
  <si>
    <t>OperationalBindings.OperationalBindingId</t>
  </si>
  <si>
    <t>OperationalBindings.Name</t>
  </si>
  <si>
    <t>={{Step}} &amp; " / " &amp; {{RecordOrSchemaKey}}</t>
  </si>
  <si>
    <t>OperationalBindings.ProcedureVersion</t>
  </si>
  <si>
    <t>OperationalBindings.Step</t>
  </si>
  <si>
    <t>OperationalBindings.Resource</t>
  </si>
  <si>
    <t>OperationalBindings.AccessMode</t>
  </si>
  <si>
    <t>OperationalBindings.RecordOrSchemaKey</t>
  </si>
  <si>
    <t>OperationalBindings.LastObservedAt</t>
  </si>
  <si>
    <t>OperationalBindings.FreshnessSlaMinutes</t>
  </si>
  <si>
    <t>OperationalBindings.IsAuthoritative</t>
  </si>
  <si>
    <t>OperationalBindings.EvaluationContext</t>
  </si>
  <si>
    <t>OperationalBindings.AsOfInstant</t>
  </si>
  <si>
    <t>OperationalBindings.AgeMinutes</t>
  </si>
  <si>
    <t>=DATETIME_DIFF({{AsOfInstant}}, {{LastObservedAt}}, "minutes")</t>
  </si>
  <si>
    <t>OperationalBindings.IsFresh</t>
  </si>
  <si>
    <t>={{AgeMinutes}} &lt;= {{FreshnessSlaMinutes}}</t>
  </si>
  <si>
    <t>OperationalBindings.StaleBindingStepKey</t>
  </si>
  <si>
    <t>=IF(NOT({{IsFresh}}), {{Step}}, "")</t>
  </si>
  <si>
    <t>OperationalBindings.AuthoritativeStaleStepKey</t>
  </si>
  <si>
    <t>=IF(AND(NOT({{IsFresh}}), {{IsAuthoritative}}), {{Step}}, "")</t>
  </si>
  <si>
    <t>OperationalBindings.IsStaleAndAuthoritative</t>
  </si>
  <si>
    <t>=AND({{IsAuthoritative}}, NOT({{IsFresh}}))</t>
  </si>
  <si>
    <t>OperationalBindings.StepWhenStale</t>
  </si>
  <si>
    <t>=IF({{IsStaleAndAuthoritative}}, {{Step}}, "")</t>
  </si>
  <si>
    <t>OperationalBindings.ResourceIsApproved</t>
  </si>
  <si>
    <t>=INDEX(Resources!{{IsApprovedSource}}, MATCH({{Resource}}, Resources!{{ResourceId}}, 0))</t>
  </si>
  <si>
    <t>OperationalBindings.IsUsableForDrafting</t>
  </si>
  <si>
    <t>=AND({{ResourceIsApproved}}, {{IsFresh}})</t>
  </si>
  <si>
    <t>OperationalBindings.StepWhenUnusable</t>
  </si>
  <si>
    <t>=IF({{IsUsableForDrafting}}, "", {{Step}})</t>
  </si>
  <si>
    <t>OperationalBindings.SemanticTypeIri</t>
  </si>
  <si>
    <t>CommunicationPolicies.CommunicationPolicyId</t>
  </si>
  <si>
    <t>CommunicationPolicies.Name</t>
  </si>
  <si>
    <t>={{Channel}} &amp; " policy / " &amp; {{ProcedureVersion}}</t>
  </si>
  <si>
    <t>CommunicationPolicies.ProcedureVersion</t>
  </si>
  <si>
    <t>CommunicationPolicies.Channel</t>
  </si>
  <si>
    <t>CommunicationPolicies.AudienceRule</t>
  </si>
  <si>
    <t>CommunicationPolicies.ConsentRequired</t>
  </si>
  <si>
    <t>CommunicationPolicies.QuietHoursStart</t>
  </si>
  <si>
    <t>CommunicationPolicies.QuietHoursEnd</t>
  </si>
  <si>
    <t>CommunicationPolicies.MaxMessageLength</t>
  </si>
  <si>
    <t>CommunicationPolicies.MaxSegments</t>
  </si>
  <si>
    <t>CommunicationPolicies.RetentionDays</t>
  </si>
  <si>
    <t>CommunicationPolicies.ApprovalRole</t>
  </si>
  <si>
    <t>CommunicationPolicies.RequiredContent</t>
  </si>
  <si>
    <t>CommunicationPolicies.AuthorityStatement</t>
  </si>
  <si>
    <t>CommunicationPolicies.Status</t>
  </si>
  <si>
    <t>CommunicationPolicies.ConsentViolationCount</t>
  </si>
  <si>
    <t>=COUNTIFS(MessageDeliveries!{{PolicyChannel}}, {{CommunicationPolicyId}}, MessageDeliveries!{{IsConsentViolation}}, TRUE)</t>
  </si>
  <si>
    <t>CommunicationPolicies.QuietHoursStartHour</t>
  </si>
  <si>
    <t>CommunicationPolicies.QuietHoursEndHour</t>
  </si>
  <si>
    <t>CommunicationPolicies.QuietHoursViolationCount</t>
  </si>
  <si>
    <t>=COUNTIFS(MessageDeliveries!{{QuietHoursViolationPolicyKey}}, {{CommunicationPolicyId}})</t>
  </si>
  <si>
    <t>CommunicationPolicies.RequiredOptOutPhrase</t>
  </si>
  <si>
    <t>CommunicationPolicies.IsActivePolicy</t>
  </si>
  <si>
    <t>={{Status}} = "Active"</t>
  </si>
  <si>
    <t>CommunicationPolicies.SemanticTypeIri</t>
  </si>
  <si>
    <t>MessageTemplates.MessageTemplateId</t>
  </si>
  <si>
    <t>MessageTemplates</t>
  </si>
  <si>
    <t>MessageTemplates.Name</t>
  </si>
  <si>
    <t>={{CommunicationPolicy}} &amp; " / " &amp; {{Locale}}</t>
  </si>
  <si>
    <t>MessageTemplates.CommunicationPolicy</t>
  </si>
  <si>
    <t>MessageTemplates.Resource</t>
  </si>
  <si>
    <t>MessageTemplates.SubjectTemplate</t>
  </si>
  <si>
    <t>MessageTemplates.BodyTemplate</t>
  </si>
  <si>
    <t>MessageTemplates.Locale</t>
  </si>
  <si>
    <t>MessageTemplates.Status</t>
  </si>
  <si>
    <t>MessageTemplates.PolicyMaxMessageLength</t>
  </si>
  <si>
    <t>=INDEX(CommunicationPolicies!{{MaxMessageLength}}, MATCH({{CommunicationPolicy}}, CommunicationPolicies!{{CommunicationPolicyId}}, 0))</t>
  </si>
  <si>
    <t>MessageTemplates.PolicyMaxSegments</t>
  </si>
  <si>
    <t>=INDEX(CommunicationPolicies!{{MaxSegments}}, MATCH({{CommunicationPolicy}}, CommunicationPolicies!{{CommunicationPolicyId}}, 0))</t>
  </si>
  <si>
    <t>MessageTemplates.BodyTemplateLength</t>
  </si>
  <si>
    <t>=LEN({{BodyTemplate}})</t>
  </si>
  <si>
    <t>MessageTemplates.IsTemplateOverLength</t>
  </si>
  <si>
    <t>={{BodyTemplateLength}} &gt; {{PolicyMaxMessageLength}}</t>
  </si>
  <si>
    <t>MessageTemplates.ValidApprovalCount</t>
  </si>
  <si>
    <t>=COUNTIFS(TemplateApprovals!{{ValidApprovalTemplateKey}}, {{MessageTemplateId}})</t>
  </si>
  <si>
    <t>MessageTemplates.HasValidApproval</t>
  </si>
  <si>
    <t>={{ValidApprovalCount}} &gt; 0</t>
  </si>
  <si>
    <t>MessageTemplates.IsClaimingUnbackedApproval</t>
  </si>
  <si>
    <t>=AND({{Status}} = "Approved", NOT({{HasValidApproval}}))</t>
  </si>
  <si>
    <t>MessageTemplates.CurrentBodyHash</t>
  </si>
  <si>
    <t>MessageTemplates.LastApprovedBodyHash</t>
  </si>
  <si>
    <t>=INDEX(TemplateApprovals!{{ApprovedBodyHash}}, MATCH({{LastValidApproval}}, TemplateApprovals!{{TemplateApprovalId}}, 0))</t>
  </si>
  <si>
    <t>MessageTemplates.LastValidApproval</t>
  </si>
  <si>
    <t>MessageTemplates.HasBodyDrifted</t>
  </si>
  <si>
    <t>=AND({{LastApprovedBodyHash}} &lt;&gt; "", {{CurrentBodyHash}} &lt;&gt; {{LastApprovedBodyHash}})</t>
  </si>
  <si>
    <t>MessageTemplates.IsSendableUnderApproval</t>
  </si>
  <si>
    <t>=AND({{Status}} = "Approved", AND({{HasValidApproval}}, NOT({{HasBodyDrifted}})))</t>
  </si>
  <si>
    <t>MessageTemplates.DriftedSendCount</t>
  </si>
  <si>
    <t>=COUNTIFS(MessageDeliveries!{{DriftedSendTemplateKey}}, {{MessageTemplateId}})</t>
  </si>
  <si>
    <t>MessageTemplates.UnansweredDeliveryCount</t>
  </si>
  <si>
    <t>=COUNTIFS(MessageDeliveries!{{UnansweredTemplateKey}}, {{MessageTemplateId}})</t>
  </si>
  <si>
    <t>MessageTemplates.TransmittedDeliveryCount</t>
  </si>
  <si>
    <t>=COUNTIFS(MessageDeliveries!{{TransmittedTemplateKey}}, {{MessageTemplateId}})</t>
  </si>
  <si>
    <t>MessageTemplates.TemplateDrawsNoResponse</t>
  </si>
  <si>
    <t>=AND({{TransmittedDeliveryCount}} &gt; 0, {{UnansweredDeliveryCount}} = {{TransmittedDeliveryCount}})</t>
  </si>
  <si>
    <t>MessageTemplates.LastApprovalAt</t>
  </si>
  <si>
    <t>=INDEX(TemplateApprovals!{{DecidedAt}}, MATCH({{LastValidApproval}}, TemplateApprovals!{{TemplateApprovalId}}, 0))</t>
  </si>
  <si>
    <t>MessageTemplates.SemanticTypeIri</t>
  </si>
  <si>
    <t>SemanticMappings.SemanticMappingId</t>
  </si>
  <si>
    <t>SemanticMappings</t>
  </si>
  <si>
    <t>SemanticMappings.Name</t>
  </si>
  <si>
    <t>={{SourcePath}} &amp; " -&gt; " &amp; {{TargetIri}}</t>
  </si>
  <si>
    <t>SemanticMappings.SourcePath</t>
  </si>
  <si>
    <t>SemanticMappings.MappingKind</t>
  </si>
  <si>
    <t>SemanticMappings.TargetIri</t>
  </si>
  <si>
    <t>SemanticMappings.MappingRelation</t>
  </si>
  <si>
    <t>SemanticMappings.OntologyProfile</t>
  </si>
  <si>
    <t>SemanticMappings.Notes</t>
  </si>
  <si>
    <t>WitnessLoops.WitnessLoopId</t>
  </si>
  <si>
    <t>WitnessLoops</t>
  </si>
  <si>
    <t>WitnessLoops.Name</t>
  </si>
  <si>
    <t>="Loop " &amp; {{LoopNumber}} &amp; ": " &amp; {{Title}}</t>
  </si>
  <si>
    <t>WitnessLoops.LoopNumber</t>
  </si>
  <si>
    <t>WitnessLoops.Title</t>
  </si>
  <si>
    <t>WitnessLoops.Premise</t>
  </si>
  <si>
    <t>WitnessLoops.StartedAt</t>
  </si>
  <si>
    <t>WitnessLoops.CompletedAt</t>
  </si>
  <si>
    <t>WitnessLoops.QuestionCount</t>
  </si>
  <si>
    <t>=COUNTIFS(RoleQuestions!{{WitnessLoop}}, {{WitnessLoopId}})</t>
  </si>
  <si>
    <t>WitnessLoops.IsComplete</t>
  </si>
  <si>
    <t>={{CompletedAt}} &lt;&gt; ""</t>
  </si>
  <si>
    <t>WitnessLoops.FieldsAfter</t>
  </si>
  <si>
    <t>WitnessLoops.DerivedAfter</t>
  </si>
  <si>
    <t>WitnessLoops.WitnessedAfter</t>
  </si>
  <si>
    <t>WitnessLoops.SemanticTypeIri</t>
  </si>
  <si>
    <t>RoleQuestions.RoleQuestionId</t>
  </si>
  <si>
    <t>RoleQuestions</t>
  </si>
  <si>
    <t>RoleQuestions.Name</t>
  </si>
  <si>
    <t>={{AskingRole}} &amp; ": " &amp; LEFT({{QuestionText}}, 60)</t>
  </si>
  <si>
    <t>RoleQuestions.AskingRole</t>
  </si>
  <si>
    <t>RoleQuestions.WitnessLoop</t>
  </si>
  <si>
    <t>RoleQuestions.QuestionText</t>
  </si>
  <si>
    <t>RoleQuestions.WhyItMatters</t>
  </si>
  <si>
    <t>RoleQuestions.AnswerableBefore</t>
  </si>
  <si>
    <t>RoleQuestions.PredicateCount</t>
  </si>
  <si>
    <t>=COUNTIFS(RulebookFields!{{InventedForQuestion}}, {{RoleQuestionId}})</t>
  </si>
  <si>
    <t>RoleQuestions.IsAnswered</t>
  </si>
  <si>
    <t>={{PredicateCount}} &gt; 0</t>
  </si>
  <si>
    <t>RoleQuestions.WitnessedAnswer</t>
  </si>
  <si>
    <t>RoleQuestions.SemanticTypeIri</t>
  </si>
  <si>
    <t>RulebookFields.RulebookFieldId</t>
  </si>
  <si>
    <t>RulebookFields</t>
  </si>
  <si>
    <t>RulebookFields.Name</t>
  </si>
  <si>
    <t>={{TargetTable}} &amp; "." &amp; {{FieldName}}</t>
  </si>
  <si>
    <t>RulebookFields.TargetTable</t>
  </si>
  <si>
    <t>RulebookFields.FieldName</t>
  </si>
  <si>
    <t>RulebookFields.FieldType</t>
  </si>
  <si>
    <t>RulebookFields.Datatype</t>
  </si>
  <si>
    <t>RulebookFields.Formula</t>
  </si>
  <si>
    <t>RulebookFields.InventedForQuestion</t>
  </si>
  <si>
    <t>RulebookFields.IsDerived</t>
  </si>
  <si>
    <t>=OR({{FieldType}} = "calculated", {{FieldType}} = "lookup", {{FieldType}} = "aggregation")</t>
  </si>
  <si>
    <t>RulebookFields.IsWitness</t>
  </si>
  <si>
    <t>={{InventedForQuestion}} &lt;&gt; ""</t>
  </si>
  <si>
    <t>RulebookFields.DisagreeingSubstrateCount</t>
  </si>
  <si>
    <t>=COUNTIFS(FieldDisagreements!{{RulebookField}}, {{RulebookFieldId}})</t>
  </si>
  <si>
    <t>RulebookFields.IsSubstrateContested</t>
  </si>
  <si>
    <t>={{DisagreeingSubstrateCount}} &gt; 0</t>
  </si>
  <si>
    <t>RulebookFields.SemanticTypeIri</t>
  </si>
  <si>
    <t>TestSuites.TestSuiteId</t>
  </si>
  <si>
    <t>TestSuites</t>
  </si>
  <si>
    <t>TestSuiteId</t>
  </si>
  <si>
    <t>TestSuites.Name</t>
  </si>
  <si>
    <t>TestSuites.Label</t>
  </si>
  <si>
    <t>TestSuites.TestCount</t>
  </si>
  <si>
    <t>TestCount</t>
  </si>
  <si>
    <t>=COUNTIFS(TestCases!{{Suite}}, {{TestSuiteId}})</t>
  </si>
  <si>
    <t>TestSuites.PassCount</t>
  </si>
  <si>
    <t>PassCount</t>
  </si>
  <si>
    <t>=COUNTIFS(TestCases!{{PassingSuiteKey}}, {{TestSuiteId}})</t>
  </si>
  <si>
    <t>TestSuites.BlockingFailCount</t>
  </si>
  <si>
    <t>BlockingFailCount</t>
  </si>
  <si>
    <t>=COUNTIFS(TestCases!{{NeedsAttentionSuiteKey}}, {{TestSuiteId}})</t>
  </si>
  <si>
    <t>TestSuites.IsGreen</t>
  </si>
  <si>
    <t>IsGreen</t>
  </si>
  <si>
    <t>={{BlockingFailCount}} = 0</t>
  </si>
  <si>
    <t>TestSuites.SemanticTypeIri</t>
  </si>
  <si>
    <t>TestCases.TestCaseId</t>
  </si>
  <si>
    <t>TestCases</t>
  </si>
  <si>
    <t>TestCaseId</t>
  </si>
  <si>
    <t>TestCases.Name</t>
  </si>
  <si>
    <t>={{TestKind}} &amp; ": " &amp; {{Subject}}</t>
  </si>
  <si>
    <t>TestCases.TestKind</t>
  </si>
  <si>
    <t>TestKind</t>
  </si>
  <si>
    <t>TestCases.Subject</t>
  </si>
  <si>
    <t>Subject</t>
  </si>
  <si>
    <t>TestCases.TargetTable</t>
  </si>
  <si>
    <t>TestCases.TargetField</t>
  </si>
  <si>
    <t>TargetField</t>
  </si>
  <si>
    <t>TestCases.Assertion</t>
  </si>
  <si>
    <t>Assertion</t>
  </si>
  <si>
    <t>TestCases.DefendsQuestion</t>
  </si>
  <si>
    <t>DefendsQuestion</t>
  </si>
  <si>
    <t>TestCases.Suite</t>
  </si>
  <si>
    <t>Suite</t>
  </si>
  <si>
    <t>TestCases.Severity</t>
  </si>
  <si>
    <t>TestCases.IsBlocking</t>
  </si>
  <si>
    <t>={{Severity}} = "blocking"</t>
  </si>
  <si>
    <t>TestCases.LastOutcome</t>
  </si>
  <si>
    <t>LastOutcome</t>
  </si>
  <si>
    <t>TestCases.LastDetail</t>
  </si>
  <si>
    <t>LastDetail</t>
  </si>
  <si>
    <t>TestCases.LastRunAt</t>
  </si>
  <si>
    <t>LastRunAt</t>
  </si>
  <si>
    <t>TestCases.IsPassing</t>
  </si>
  <si>
    <t>IsPassing</t>
  </si>
  <si>
    <t>={{LastOutcome}} = "PASS"</t>
  </si>
  <si>
    <t>TestCases.IsFailing</t>
  </si>
  <si>
    <t>IsFailing</t>
  </si>
  <si>
    <t>={{LastOutcome}} = "FAIL"</t>
  </si>
  <si>
    <t>TestCases.NeedsAttention</t>
  </si>
  <si>
    <t>NeedsAttention</t>
  </si>
  <si>
    <t>=AND({{IsFailing}}, {{IsBlocking}})</t>
  </si>
  <si>
    <t>TestCases.PassingSuiteKey</t>
  </si>
  <si>
    <t>PassingSuiteKey</t>
  </si>
  <si>
    <t>=IF({{IsPassing}}, {{Suite}}, "")</t>
  </si>
  <si>
    <t>TestCases.NeedsAttentionSuiteKey</t>
  </si>
  <si>
    <t>NeedsAttentionSuiteKey</t>
  </si>
  <si>
    <t>=IF({{NeedsAttention}}, {{Suite}}, "")</t>
  </si>
  <si>
    <t>TestCases.SemanticTypeIri</t>
  </si>
  <si>
    <t>ERBVersions.ERBVersionId</t>
  </si>
  <si>
    <t>ERBVersions</t>
  </si>
  <si>
    <t>ERBVersionId</t>
  </si>
  <si>
    <t>ERBVersions.BaseId</t>
  </si>
  <si>
    <t>BaseId</t>
  </si>
  <si>
    <t>ERBVersions.Name</t>
  </si>
  <si>
    <t>ERBVersions.Message</t>
  </si>
  <si>
    <t>Message</t>
  </si>
  <si>
    <t>ERBVersions.Notes</t>
  </si>
  <si>
    <t>ERBVersions.CommitDate</t>
  </si>
  <si>
    <t>CommitDate</t>
  </si>
  <si>
    <t>ERBVersions.IsPublished</t>
  </si>
  <si>
    <t>IsPublished</t>
  </si>
  <si>
    <t>ERBCustomizations.ERBCustomizationId</t>
  </si>
  <si>
    <t>ERBCustomizations</t>
  </si>
  <si>
    <t>ERBCustomizationId</t>
  </si>
  <si>
    <t>ERBCustomizations.Name</t>
  </si>
  <si>
    <t>ERBCustomizations.Title</t>
  </si>
  <si>
    <t>ERBCustomizations.SQLCode</t>
  </si>
  <si>
    <t>SQLCode</t>
  </si>
  <si>
    <t>ERBCustomizations.SQLTarget</t>
  </si>
  <si>
    <t>SQLTarget</t>
  </si>
  <si>
    <t>ERBCustomizations.CustomizationType</t>
  </si>
  <si>
    <t>CustomizationType</t>
  </si>
  <si>
    <t>__meta__.MetaKey</t>
  </si>
  <si>
    <t>__meta__</t>
  </si>
  <si>
    <t>MetaKey</t>
  </si>
  <si>
    <t>__meta__.Name</t>
  </si>
  <si>
    <t>={{MetaKey}}</t>
  </si>
  <si>
    <t>__meta__.ValueType</t>
  </si>
  <si>
    <t>ValueType</t>
  </si>
  <si>
    <t>__meta__.StringValue</t>
  </si>
  <si>
    <t>StringValue</t>
  </si>
  <si>
    <t>__meta__.JsonValue</t>
  </si>
  <si>
    <t>JsonValue</t>
  </si>
  <si>
    <t>ExceptionInvocations.ExceptionInvocationId</t>
  </si>
  <si>
    <t>ExceptionInvocations</t>
  </si>
  <si>
    <t>ExceptionInvocationId</t>
  </si>
  <si>
    <t>ExceptionInvocations.Name</t>
  </si>
  <si>
    <t>={{StepExecution}} &amp; " / " &amp; {{Exception}}</t>
  </si>
  <si>
    <t>ExceptionInvocations.StepExecution</t>
  </si>
  <si>
    <t>ExceptionInvocations.Exception</t>
  </si>
  <si>
    <t>Exception</t>
  </si>
  <si>
    <t>ExceptionInvocations.InvokedByAgent</t>
  </si>
  <si>
    <t>InvokedByAgent</t>
  </si>
  <si>
    <t>ExceptionInvocations.ApprovedByAgent</t>
  </si>
  <si>
    <t>ApprovedByAgent</t>
  </si>
  <si>
    <t>ExceptionInvocations.InvokedAt</t>
  </si>
  <si>
    <t>InvokedAt</t>
  </si>
  <si>
    <t>ExceptionInvocations.HandlingApplied</t>
  </si>
  <si>
    <t>HandlingApplied</t>
  </si>
  <si>
    <t>ExceptionInvocations.ExpectedHandling</t>
  </si>
  <si>
    <t>ExpectedHandling</t>
  </si>
  <si>
    <t>=INDEX(Exceptions!{{Handling}}, MATCH({{Exception}}, Exceptions!{{ExceptionId}}, 0))</t>
  </si>
  <si>
    <t>ExceptionInvocations.RequiredApprovalRole</t>
  </si>
  <si>
    <t>RequiredApprovalRole</t>
  </si>
  <si>
    <t>=INDEX(Exceptions!{{ApprovalRole}}, MATCH({{Exception}}, Exceptions!{{ExceptionId}}, 0))</t>
  </si>
  <si>
    <t>ExceptionInvocations.RequiredApprovalRoleHolder</t>
  </si>
  <si>
    <t>RequiredApprovalRoleHolder</t>
  </si>
  <si>
    <t>=INDEX(Roles!{{CurrentAgent}}, MATCH({{RequiredApprovalRole}}, Roles!{{RoleId}}, 0))</t>
  </si>
  <si>
    <t>ExceptionInvocations.ApprovalRoleMatches</t>
  </si>
  <si>
    <t>ApprovalRoleMatches</t>
  </si>
  <si>
    <t>={{ApprovedByAgent}} = {{RequiredApprovalRoleHolder}}</t>
  </si>
  <si>
    <t>ExceptionInvocations.IsApproved</t>
  </si>
  <si>
    <t>={{ApprovedByAgent}} &lt;&gt; ""</t>
  </si>
  <si>
    <t>ExceptionInvocations.IsImproperlyApproved</t>
  </si>
  <si>
    <t>IsImproperlyApproved</t>
  </si>
  <si>
    <t>=OR(NOT({{IsApproved}}), NOT({{ApprovalRoleMatches}}))</t>
  </si>
  <si>
    <t>ExceptionInvocations.InvokerAgentKind</t>
  </si>
  <si>
    <t>InvokerAgentKind</t>
  </si>
  <si>
    <t>=INDEX(Agents!{{AgentKind}}, MATCH({{InvokedByAgent}}, Agents!{{AgentId}}, 0))</t>
  </si>
  <si>
    <t>ExceptionInvocations.InvokerAlsoPreparedKey</t>
  </si>
  <si>
    <t>InvokerAlsoPreparedKey</t>
  </si>
  <si>
    <t>={{ParentProcedureExecution}} &amp; "|" &amp; {{ApprovedByAgent}}</t>
  </si>
  <si>
    <t>ExceptionInvocations.ParentProcedureExecution</t>
  </si>
  <si>
    <t>ExceptionInvocations.ApproverPreparedCount</t>
  </si>
  <si>
    <t>ApproverPreparedCount</t>
  </si>
  <si>
    <t>=COUNTIFS(StepExecutions!{{PreparerAgentKey}}, {{InvokerAlsoPreparedKey}})</t>
  </si>
  <si>
    <t>ExceptionInvocations.DelegatedToPreparer</t>
  </si>
  <si>
    <t>DelegatedToPreparer</t>
  </si>
  <si>
    <t>={{ApproverPreparedCount}} &gt; 0</t>
  </si>
  <si>
    <t>ExceptionInvocations.IsUngovernedInvocation</t>
  </si>
  <si>
    <t>IsUngovernedInvocation</t>
  </si>
  <si>
    <t>=OR({{IsImproperlyApproved}}, {{DelegatedToPreparer}})</t>
  </si>
  <si>
    <t>ExceptionInvocations.SemanticTypeIri</t>
  </si>
  <si>
    <t>VerificationOutcomes.VerificationOutcomeId</t>
  </si>
  <si>
    <t>VerificationOutcomes</t>
  </si>
  <si>
    <t>VerificationOutcomeId</t>
  </si>
  <si>
    <t>VerificationOutcomes.Name</t>
  </si>
  <si>
    <t>={{StepExecution}} &amp; " / " &amp; {{StepVerification}}</t>
  </si>
  <si>
    <t>VerificationOutcomes.StepExecution</t>
  </si>
  <si>
    <t>VerificationOutcomes.StepVerification</t>
  </si>
  <si>
    <t>StepVerification</t>
  </si>
  <si>
    <t>VerificationOutcomes.ObservedSignalValue</t>
  </si>
  <si>
    <t>ObservedSignalValue</t>
  </si>
  <si>
    <t>VerificationOutcomes.ObservedByAgent</t>
  </si>
  <si>
    <t>ObservedByAgent</t>
  </si>
  <si>
    <t>VerificationOutcomes.ObservedAt</t>
  </si>
  <si>
    <t>ObservedAt</t>
  </si>
  <si>
    <t>VerificationOutcomes.EvidenceUri</t>
  </si>
  <si>
    <t>EvidenceUri</t>
  </si>
  <si>
    <t>VerificationOutcomes.ExpectedSignalValue</t>
  </si>
  <si>
    <t>=INDEX(StepVerifications!{{ExpectedSignalValue}}, MATCH({{StepVerification}}, StepVerifications!{{StepVerificationId}}, 0))</t>
  </si>
  <si>
    <t>VerificationOutcomes.SignalIdentifier</t>
  </si>
  <si>
    <t>=INDEX(StepVerifications!{{SignalIdentifier}}, MATCH({{StepVerification}}, StepVerifications!{{StepVerificationId}}, 0))</t>
  </si>
  <si>
    <t>SignalMatchesExpected</t>
  </si>
  <si>
    <t>={{ObservedSignalValue}} = {{ExpectedSignalValue}}</t>
  </si>
  <si>
    <t>VerificationOutcomes.HasEvidence</t>
  </si>
  <si>
    <t>HasEvidence</t>
  </si>
  <si>
    <t>={{EvidenceUri}} &lt;&gt; ""</t>
  </si>
  <si>
    <t>IsUnbackedObservation</t>
  </si>
  <si>
    <t>=AND({{SignalMatchesExpected}}, NOT({{HasEvidence}}))</t>
  </si>
  <si>
    <t>VerificationOutcomes.IsSelfWitnessed</t>
  </si>
  <si>
    <t>IsSelfWitnessed</t>
  </si>
  <si>
    <t>={{ObservedByAgent}} = {{StepExecutorAgent}}</t>
  </si>
  <si>
    <t>VerificationOutcomes.StepExecutorAgent</t>
  </si>
  <si>
    <t>VerificationOutcomes.SelfWitnessedStepKey</t>
  </si>
  <si>
    <t>SelfWitnessedStepKey</t>
  </si>
  <si>
    <t>=IF({{IsSelfWitnessed}}, {{StepExecution}}, "")</t>
  </si>
  <si>
    <t>VerificationOutcomes.UnbackedStepKey</t>
  </si>
  <si>
    <t>UnbackedStepKey</t>
  </si>
  <si>
    <t>=IF({{IsUnbackedObservation}}, {{StepExecution}}, "")</t>
  </si>
  <si>
    <t>VerificationOutcomes.IsSelfWitnessedAndUnbacked</t>
  </si>
  <si>
    <t>IsSelfWitnessedAndUnbacked</t>
  </si>
  <si>
    <t>=AND({{IsSelfWitnessed}}, NOT({{HasEvidence}}))</t>
  </si>
  <si>
    <t>VerificationOutcomes.IsUncorroboratedPass</t>
  </si>
  <si>
    <t>IsUncorroboratedPass</t>
  </si>
  <si>
    <t>=AND({{SignalMatchesExpected}}, {{IsSelfWitnessedAndUnbacked}})</t>
  </si>
  <si>
    <t>VerificationOutcomes.UncorroboratedPassStepKey</t>
  </si>
  <si>
    <t>UncorroboratedPassStepKey</t>
  </si>
  <si>
    <t>=IF({{IsUncorroboratedPass}}, {{StepExecution}}, "")</t>
  </si>
  <si>
    <t>VerificationOutcomes.ObserverIsNonHuman</t>
  </si>
  <si>
    <t>ObserverIsNonHuman</t>
  </si>
  <si>
    <t>=INDEX(Agents!{{IsNonHuman}}, MATCH({{ObservedByAgent}}, Agents!{{AgentId}}, 0))</t>
  </si>
  <si>
    <t>VerificationOutcomes.ObserverIsIndependentOfExecutor</t>
  </si>
  <si>
    <t>ObserverIsIndependentOfExecutor</t>
  </si>
  <si>
    <t>=NOT({{IsSelfWitnessed}})</t>
  </si>
  <si>
    <t>VerificationOutcomes.IsIndependentHumanObservation</t>
  </si>
  <si>
    <t>IsIndependentHumanObservation</t>
  </si>
  <si>
    <t>=AND(NOT({{ObserverIsNonHuman}}), NOT({{IsSelfWitnessed}}), {{HasEvidence}})</t>
  </si>
  <si>
    <t>VerificationOutcomes.IndependentObservationExecutionKey</t>
  </si>
  <si>
    <t>IndependentObservationExecutionKey</t>
  </si>
  <si>
    <t>=IF({{IsIndependentHumanObservation}}, {{ParentProcedureExecutionOfOutcome}}, "")</t>
  </si>
  <si>
    <t>VerificationOutcomes.ParentProcedureExecutionOfOutcome</t>
  </si>
  <si>
    <t>ParentProcedureExecutionOfOutcome</t>
  </si>
  <si>
    <t>VerificationOutcomes.SemanticTypeIri</t>
  </si>
  <si>
    <t>ObservedTransitions.ObservedTransitionId</t>
  </si>
  <si>
    <t>ObservedTransitions</t>
  </si>
  <si>
    <t>ObservedTransitionId</t>
  </si>
  <si>
    <t>ObservedTransitions.Name</t>
  </si>
  <si>
    <t>={{StepTransition}} &amp; " @ " &amp; {{ObservedAt}}</t>
  </si>
  <si>
    <t>ObservedTransitions.ProcedureExecution</t>
  </si>
  <si>
    <t>ObservedTransitions.StepTransition</t>
  </si>
  <si>
    <t>StepTransition</t>
  </si>
  <si>
    <t>ObservedTransitions.ArrivingStepExecution</t>
  </si>
  <si>
    <t>ArrivingStepExecution</t>
  </si>
  <si>
    <t>ObservedTransitions.ObservedAt</t>
  </si>
  <si>
    <t>ObservedTransitions.TriggerReason</t>
  </si>
  <si>
    <t>TriggerReason</t>
  </si>
  <si>
    <t>ObservedTransitions.SemanticTypeIri</t>
  </si>
  <si>
    <t>Recipients.RecipientId</t>
  </si>
  <si>
    <t>Recipients</t>
  </si>
  <si>
    <t>RecipientId</t>
  </si>
  <si>
    <t>Recipients.Name</t>
  </si>
  <si>
    <t>Recipients.DisplayName</t>
  </si>
  <si>
    <t>Recipients.Organization</t>
  </si>
  <si>
    <t>Recipients.EmailAddress</t>
  </si>
  <si>
    <t>EmailAddress</t>
  </si>
  <si>
    <t>Recipients.MobileNumber</t>
  </si>
  <si>
    <t>MobileNumber</t>
  </si>
  <si>
    <t>Recipients.SmsConsentStatus</t>
  </si>
  <si>
    <t>SmsConsentStatus</t>
  </si>
  <si>
    <t>Recipients.SmsConsentAt</t>
  </si>
  <si>
    <t>SmsConsentAt</t>
  </si>
  <si>
    <t>Recipients.ConsentBinding</t>
  </si>
  <si>
    <t>ConsentBinding</t>
  </si>
  <si>
    <t>Recipients.HasSmsConsent</t>
  </si>
  <si>
    <t>HasSmsConsent</t>
  </si>
  <si>
    <t>={{SmsConsentStatus}} = "Granted"</t>
  </si>
  <si>
    <t>Recipients.IsEmailReachable</t>
  </si>
  <si>
    <t>IsEmailReachable</t>
  </si>
  <si>
    <t>={{EmailAddress}} &lt;&gt; ""</t>
  </si>
  <si>
    <t>Recipients.IsSmsReachable</t>
  </si>
  <si>
    <t>IsSmsReachable</t>
  </si>
  <si>
    <t>={{MobileNumber}} &lt;&gt; ""</t>
  </si>
  <si>
    <t>Recipients.IsUnreachable</t>
  </si>
  <si>
    <t>IsUnreachable</t>
  </si>
  <si>
    <t>=AND(NOT({{IsEmailReachable}}), NOT({{IsSmsReachable}}))</t>
  </si>
  <si>
    <t>Recipients.IsCommunicationallyStranded</t>
  </si>
  <si>
    <t>IsCommunicationallyStranded</t>
  </si>
  <si>
    <t>=AND(NOT({{IsSmsReachable}}), NOT({{IsEmailReachable}}))</t>
  </si>
  <si>
    <t>Recipients.SemanticTypeIri</t>
  </si>
  <si>
    <t>MessageDeliveries.MessageDeliveryId</t>
  </si>
  <si>
    <t>MessageDeliveries</t>
  </si>
  <si>
    <t>MessageDeliveryId</t>
  </si>
  <si>
    <t>MessageDeliveries.Name</t>
  </si>
  <si>
    <t>={{Recipient}} &amp; " / " &amp; {{MessageTemplate}} &amp; " / " &amp; {{SentAt}}</t>
  </si>
  <si>
    <t>MessageDeliveries.ProcedureExecution</t>
  </si>
  <si>
    <t>MessageDeliveries.StepExecution</t>
  </si>
  <si>
    <t>MessageDeliveries.Recipient</t>
  </si>
  <si>
    <t>Recipient</t>
  </si>
  <si>
    <t>MessageDeliveries.MessageTemplate</t>
  </si>
  <si>
    <t>MessageTemplate</t>
  </si>
  <si>
    <t>MessageDeliveries.SentByAgent</t>
  </si>
  <si>
    <t>SentByAgent</t>
  </si>
  <si>
    <t>MessageDeliveries.RenderedBody</t>
  </si>
  <si>
    <t>RenderedBody</t>
  </si>
  <si>
    <t>MessageDeliveries.SentAt</t>
  </si>
  <si>
    <t>SentAt</t>
  </si>
  <si>
    <t>MessageDeliveries.SentAtLocalHour</t>
  </si>
  <si>
    <t>SentAtLocalHour</t>
  </si>
  <si>
    <t>MessageDeliveries.DeliveryStatus</t>
  </si>
  <si>
    <t>DeliveryStatus</t>
  </si>
  <si>
    <t>MessageDeliveries.SuppressionReason</t>
  </si>
  <si>
    <t>SuppressionReason</t>
  </si>
  <si>
    <t>MessageDeliveries.InvokedException</t>
  </si>
  <si>
    <t>InvokedException</t>
  </si>
  <si>
    <t>MessageDeliveries.AcknowledgedAt</t>
  </si>
  <si>
    <t>AcknowledgedAt</t>
  </si>
  <si>
    <t>MessageDeliveries.PolicyChannel</t>
  </si>
  <si>
    <t>PolicyChannel</t>
  </si>
  <si>
    <t>=INDEX(MessageTemplates!{{CommunicationPolicy}}, MATCH({{MessageTemplate}}, MessageTemplates!{{MessageTemplateId}}, 0))</t>
  </si>
  <si>
    <t>MessageDeliveries.ChannelName</t>
  </si>
  <si>
    <t>ChannelName</t>
  </si>
  <si>
    <t>=INDEX(CommunicationPolicies!{{Channel}}, MATCH({{PolicyChannel}}, CommunicationPolicies!{{CommunicationPolicyId}}, 0))</t>
  </si>
  <si>
    <t>MessageDeliveries.PolicyRequiresConsent</t>
  </si>
  <si>
    <t>PolicyRequiresConsent</t>
  </si>
  <si>
    <t>=INDEX(CommunicationPolicies!{{ConsentRequired}}, MATCH({{PolicyChannel}}, CommunicationPolicies!{{CommunicationPolicyId}}, 0))</t>
  </si>
  <si>
    <t>MessageDeliveries.RecipientHasSmsConsent</t>
  </si>
  <si>
    <t>RecipientHasSmsConsent</t>
  </si>
  <si>
    <t>=INDEX(Recipients!{{HasSmsConsent}}, MATCH({{Recipient}}, Recipients!{{RecipientId}}, 0))</t>
  </si>
  <si>
    <t>MessageDeliveries.WasActuallyTransmitted</t>
  </si>
  <si>
    <t>WasActuallyTransmitted</t>
  </si>
  <si>
    <t>=OR({{DeliveryStatus}} = "Sent", OR({{DeliveryStatus}} = "Delivered", {{DeliveryStatus}} = "Bounced"))</t>
  </si>
  <si>
    <t>MessageDeliveries.IsConsentViolation</t>
  </si>
  <si>
    <t>IsConsentViolation</t>
  </si>
  <si>
    <t>=AND({{WasActuallyTransmitted}}, AND({{PolicyRequiresConsent}}, NOT({{RecipientHasSmsConsent}})))</t>
  </si>
  <si>
    <t>MessageDeliveries.ConsentViolationPolicyKey</t>
  </si>
  <si>
    <t>ConsentViolationPolicyKey</t>
  </si>
  <si>
    <t>=IF({{IsConsentViolation}}, {{PolicyChannel}}, "")</t>
  </si>
  <si>
    <t>MessageDeliveries.PolicyQuietHoursStartHour</t>
  </si>
  <si>
    <t>PolicyQuietHoursStartHour</t>
  </si>
  <si>
    <t>=INDEX(CommunicationPolicies!{{QuietHoursStartHour}}, MATCH({{PolicyChannel}}, CommunicationPolicies!{{CommunicationPolicyId}}, 0))</t>
  </si>
  <si>
    <t>MessageDeliveries.PolicyQuietHoursEndHour</t>
  </si>
  <si>
    <t>PolicyQuietHoursEndHour</t>
  </si>
  <si>
    <t>=INDEX(CommunicationPolicies!{{QuietHoursEndHour}}, MATCH({{PolicyChannel}}, CommunicationPolicies!{{CommunicationPolicyId}}, 0))</t>
  </si>
  <si>
    <t>MessageDeliveries.PolicyHasQuietHours</t>
  </si>
  <si>
    <t>PolicyHasQuietHours</t>
  </si>
  <si>
    <t>={{PolicyQuietHoursStartHour}} &lt;&gt; {{PolicyQuietHoursEndHour}}</t>
  </si>
  <si>
    <t>MessageDeliveries.QuietWindowWrapsMidnight</t>
  </si>
  <si>
    <t>QuietWindowWrapsMidnight</t>
  </si>
  <si>
    <t>={{PolicyQuietHoursStartHour}} &gt; {{PolicyQuietHoursEndHour}}</t>
  </si>
  <si>
    <t>MessageDeliveries.IsInsideQuietWindow</t>
  </si>
  <si>
    <t>IsInsideQuietWindow</t>
  </si>
  <si>
    <t>=IF({{QuietWindowWrapsMidnight}}, OR({{SentAtLocalHour}} &gt;= {{PolicyQuietHoursStartHour}}, {{SentAtLocalHour}} &lt; {{PolicyQuietHoursEndHour}}), AND({{SentAtLocalHour}} &gt;= {{PolicyQuietHoursStartHour}}, {{SentAtLocalHour}} &lt; {{PolicyQuietHoursEndHour}}))</t>
  </si>
  <si>
    <t>MessageDeliveries.IsQuietHoursViolation</t>
  </si>
  <si>
    <t>IsQuietHoursViolation</t>
  </si>
  <si>
    <t>=AND({{WasActuallyTransmitted}}, AND({{PolicyHasQuietHours}}, {{IsInsideQuietWindow}}))</t>
  </si>
  <si>
    <t>MessageDeliveries.QuietHoursViolationPolicyKey</t>
  </si>
  <si>
    <t>QuietHoursViolationPolicyKey</t>
  </si>
  <si>
    <t>=IF({{IsQuietHoursViolation}}, {{PolicyChannel}}, "")</t>
  </si>
  <si>
    <t>MessageDeliveries.RecipientIsUnreachable</t>
  </si>
  <si>
    <t>RecipientIsUnreachable</t>
  </si>
  <si>
    <t>=INDEX(Recipients!{{IsUnreachable}}, MATCH({{Recipient}}, Recipients!{{RecipientId}}, 0))</t>
  </si>
  <si>
    <t>MessageDeliveries.IsAcknowledged</t>
  </si>
  <si>
    <t>IsAcknowledged</t>
  </si>
  <si>
    <t>={{AcknowledgedAt}} &lt;&gt; ""</t>
  </si>
  <si>
    <t>MessageDeliveries.InvokedExceptionCondition</t>
  </si>
  <si>
    <t>InvokedExceptionCondition</t>
  </si>
  <si>
    <t>=INDEX(Exceptions!{{Condition}}, MATCH({{InvokedException}}, Exceptions!{{ExceptionId}}, 0))</t>
  </si>
  <si>
    <t>MessageDeliveries.HasUnreachableExceptionInvoked</t>
  </si>
  <si>
    <t>HasUnreachableExceptionInvoked</t>
  </si>
  <si>
    <t>={{InvokedException}} = "exc-unreachable"</t>
  </si>
  <si>
    <t>MessageDeliveries.IsFabricatedAcknowledgement</t>
  </si>
  <si>
    <t>IsFabricatedAcknowledgement</t>
  </si>
  <si>
    <t>=AND({{RecipientIsUnreachable}}, {{IsAcknowledged}})</t>
  </si>
  <si>
    <t>MessageDeliveries.IsUnhandledUnreachable</t>
  </si>
  <si>
    <t>IsUnhandledUnreachable</t>
  </si>
  <si>
    <t>=AND({{RecipientIsUnreachable}}, NOT({{HasUnreachableExceptionInvoked}}))</t>
  </si>
  <si>
    <t>MessageDeliveries.UnreachableFailureKey</t>
  </si>
  <si>
    <t>UnreachableFailureKey</t>
  </si>
  <si>
    <t>=IF(OR({{IsFabricatedAcknowledgement}}, {{IsUnhandledUnreachable}}), {{ProcedureExecution}}, "")</t>
  </si>
  <si>
    <t>MessageDeliveries.PolicyRetentionDays</t>
  </si>
  <si>
    <t>PolicyRetentionDays</t>
  </si>
  <si>
    <t>=INDEX(CommunicationPolicies!{{RetentionDays}}, MATCH({{PolicyChannel}}, CommunicationPolicies!{{CommunicationPolicyId}}, 0))</t>
  </si>
  <si>
    <t>MessageDeliveries.EvaluationContext</t>
  </si>
  <si>
    <t>MessageDeliveries.AsOfInstant</t>
  </si>
  <si>
    <t>MessageDeliveries.AgeDays</t>
  </si>
  <si>
    <t>=DATETIME_DIFF({{AsOfInstant}}, {{SentAt}}, "days")</t>
  </si>
  <si>
    <t>MessageDeliveries.IsWithinRetentionWindow</t>
  </si>
  <si>
    <t>IsWithinRetentionWindow</t>
  </si>
  <si>
    <t>={{AgeDays}} &lt;= {{PolicyRetentionDays}}</t>
  </si>
  <si>
    <t>MessageDeliveries.HasRenderedBody</t>
  </si>
  <si>
    <t>HasRenderedBody</t>
  </si>
  <si>
    <t>={{RenderedBody}} &lt;&gt; ""</t>
  </si>
  <si>
    <t>MessageDeliveries.IsEvidenceRequired</t>
  </si>
  <si>
    <t>IsEvidenceRequired</t>
  </si>
  <si>
    <t>=AND({{WasActuallyTransmitted}}, {{IsWithinRetentionWindow}})</t>
  </si>
  <si>
    <t>MessageDeliveries.IsRetentionBreach</t>
  </si>
  <si>
    <t>IsRetentionBreach</t>
  </si>
  <si>
    <t>=AND({{IsEvidenceRequired}}, NOT({{HasRenderedBody}}))</t>
  </si>
  <si>
    <t>MessageDeliveries.RetentionBreachExecutionKey</t>
  </si>
  <si>
    <t>RetentionBreachExecutionKey</t>
  </si>
  <si>
    <t>=IF({{IsRetentionBreach}}, {{ProcedureExecution}}, "")</t>
  </si>
  <si>
    <t>MessageDeliveries.SendingStepExecutionStep</t>
  </si>
  <si>
    <t>SendingStepExecutionStep</t>
  </si>
  <si>
    <t>MessageDeliveries.ExecutionHasClearedLegalReview</t>
  </si>
  <si>
    <t>ExecutionHasClearedLegalReview</t>
  </si>
  <si>
    <t>=INDEX(ProcedureExecutions!{{HasClearedLegalReview}}, MATCH({{ProcedureExecution}}, ProcedureExecutions!{{ProcedureExecutionId}}, 0))</t>
  </si>
  <si>
    <t>MessageDeliveries.IsUnreviewedSend</t>
  </si>
  <si>
    <t>IsUnreviewedSend</t>
  </si>
  <si>
    <t>=AND({{WasActuallyTransmitted}}, NOT({{ExecutionHasClearedLegalReview}}))</t>
  </si>
  <si>
    <t>MessageDeliveries.RenderedBodyLength</t>
  </si>
  <si>
    <t>RenderedBodyLength</t>
  </si>
  <si>
    <t>=LEN({{RenderedBody}})</t>
  </si>
  <si>
    <t>MessageDeliveries.PolicyMaxMessageLengthAtSend</t>
  </si>
  <si>
    <t>PolicyMaxMessageLengthAtSend</t>
  </si>
  <si>
    <t>=INDEX(CommunicationPolicies!{{MaxMessageLength}}, MATCH({{PolicyChannel}}, CommunicationPolicies!{{CommunicationPolicyId}}, 0))</t>
  </si>
  <si>
    <t>MessageDeliveries.SegmentCount</t>
  </si>
  <si>
    <t>SegmentCount</t>
  </si>
  <si>
    <t>=IF({{RenderedBodyLength}} = 0, 0, IF({{RenderedBodyLength}} &lt;= {{PolicyMaxMessageLengthAtSend}}, 1, ROUNDUP({{RenderedBodyLength}} / {{PolicyMaxMessageLengthAtSend}}, 0)))</t>
  </si>
  <si>
    <t>MessageDeliveries.PolicyMaxSegmentsAtSend</t>
  </si>
  <si>
    <t>PolicyMaxSegmentsAtSend</t>
  </si>
  <si>
    <t>=INDEX(CommunicationPolicies!{{MaxSegments}}, MATCH({{PolicyChannel}}, CommunicationPolicies!{{CommunicationPolicyId}}, 0))</t>
  </si>
  <si>
    <t>MessageDeliveries.IsOverSegmentLimit</t>
  </si>
  <si>
    <t>IsOverSegmentLimit</t>
  </si>
  <si>
    <t>=AND({{WasActuallyTransmitted}}, {{SegmentCount}} &gt; {{PolicyMaxSegmentsAtSend}})</t>
  </si>
  <si>
    <t>MessageDeliveries.TemplateHasValidApproval</t>
  </si>
  <si>
    <t>TemplateHasValidApproval</t>
  </si>
  <si>
    <t>=INDEX(MessageTemplates!{{HasValidApproval}}, MATCH({{MessageTemplate}}, MessageTemplates!{{MessageTemplateId}}, 0))</t>
  </si>
  <si>
    <t>MessageDeliveries.IsUnapprovedSend</t>
  </si>
  <si>
    <t>IsUnapprovedSend</t>
  </si>
  <si>
    <t>=AND({{WasActuallyTransmitted}}, NOT({{TemplateHasValidApproval}}))</t>
  </si>
  <si>
    <t>MessageDeliveries.PolicyRequiredOptOutPhrase</t>
  </si>
  <si>
    <t>PolicyRequiredOptOutPhrase</t>
  </si>
  <si>
    <t>=INDEX(CommunicationPolicies!{{RequiredOptOutPhrase}}, MATCH({{PolicyChannel}}, CommunicationPolicies!{{CommunicationPolicyId}}, 0))</t>
  </si>
  <si>
    <t>MessageDeliveries.PolicyRequiresOptOut</t>
  </si>
  <si>
    <t>PolicyRequiresOptOut</t>
  </si>
  <si>
    <t>={{PolicyRequiredOptOutPhrase}} &lt;&gt; ""</t>
  </si>
  <si>
    <t>MessageDeliveries.OptOutPhrasePosition</t>
  </si>
  <si>
    <t>OptOutPhrasePosition</t>
  </si>
  <si>
    <t>=FIND({{PolicyRequiredOptOutPhrase}}, {{RenderedBody}})</t>
  </si>
  <si>
    <t>MessageDeliveries.HasOptOutPhrase</t>
  </si>
  <si>
    <t>HasOptOutPhrase</t>
  </si>
  <si>
    <t>={{OptOutPhrasePosition}} &gt; 0</t>
  </si>
  <si>
    <t>MessageDeliveries.IsOptOutInFirstSegment</t>
  </si>
  <si>
    <t>IsOptOutInFirstSegment</t>
  </si>
  <si>
    <t>=AND({{HasOptOutPhrase}}, {{OptOutPhrasePosition}} &lt;= {{PolicyMaxMessageLengthAtSend}})</t>
  </si>
  <si>
    <t>MessageDeliveries.IsMissingRequiredOptOut</t>
  </si>
  <si>
    <t>IsMissingRequiredOptOut</t>
  </si>
  <si>
    <t>=AND({{WasActuallyTransmitted}}, AND({{PolicyRequiresOptOut}}, NOT({{HasOptOutPhrase}})))</t>
  </si>
  <si>
    <t>MessageDeliveries.IsOptOutAtRiskOfTruncation</t>
  </si>
  <si>
    <t>IsOptOutAtRiskOfTruncation</t>
  </si>
  <si>
    <t>=AND({{WasActuallyTransmitted}}, AND({{PolicyRequiresOptOut}}, AND({{HasOptOutPhrase}}, NOT({{IsOptOutInFirstSegment}}))))</t>
  </si>
  <si>
    <t>MessageDeliveries.IsFailedDelivery</t>
  </si>
  <si>
    <t>IsFailedDelivery</t>
  </si>
  <si>
    <t>=OR({{DeliveryStatus}} = "Failed", {{DeliveryStatus}} = "Bounced")</t>
  </si>
  <si>
    <t>MessageDeliveries.IsSuppressed</t>
  </si>
  <si>
    <t>IsSuppressed</t>
  </si>
  <si>
    <t>={{DeliveryStatus}} = "Suppressed"</t>
  </si>
  <si>
    <t>MessageDeliveries.IsTriaged</t>
  </si>
  <si>
    <t>IsTriaged</t>
  </si>
  <si>
    <t>={{InvokedException}} &lt;&gt; ""</t>
  </si>
  <si>
    <t>MessageDeliveries.IsAbandonedFailure</t>
  </si>
  <si>
    <t>IsAbandonedFailure</t>
  </si>
  <si>
    <t>=AND({{IsFailedDelivery}}, NOT({{IsTriaged}}))</t>
  </si>
  <si>
    <t>MessageDeliveries.AbandonedFailureExecutionKey</t>
  </si>
  <si>
    <t>AbandonedFailureExecutionKey</t>
  </si>
  <si>
    <t>=IF({{IsAbandonedFailure}}, {{ProcedureExecution}}, "")</t>
  </si>
  <si>
    <t>MessageDeliveries.ReachedExecutionKey</t>
  </si>
  <si>
    <t>ReachedExecutionKey</t>
  </si>
  <si>
    <t>=IF({{DeliveryStatus}} = "Delivered", {{ProcedureExecution}}, "")</t>
  </si>
  <si>
    <t>MessageDeliveries.TemplateWasSendable</t>
  </si>
  <si>
    <t>TemplateWasSendable</t>
  </si>
  <si>
    <t>=INDEX(MessageTemplates!{{IsSendableUnderApproval}}, MATCH({{MessageTemplate}}, MessageTemplates!{{MessageTemplateId}}, 0))</t>
  </si>
  <si>
    <t>MessageDeliveries.IsDriftedSend</t>
  </si>
  <si>
    <t>IsDriftedSend</t>
  </si>
  <si>
    <t>=AND({{WasActuallyTransmitted}}, NOT({{TemplateWasSendable}}))</t>
  </si>
  <si>
    <t>MessageDeliveries.DriftedSendTemplateKey</t>
  </si>
  <si>
    <t>DriftedSendTemplateKey</t>
  </si>
  <si>
    <t>=IF({{IsDriftedSend}}, {{MessageTemplate}}, "")</t>
  </si>
  <si>
    <t>MessageDeliveries.WasSentOutsideBusinessHours</t>
  </si>
  <si>
    <t>WasSentOutsideBusinessHours</t>
  </si>
  <si>
    <t>=OR({{SentAtLocalHour}} &lt; 8, {{SentAtLocalHour}} &gt; 18)</t>
  </si>
  <si>
    <t>MessageDeliveries.WasDeliveredAndUnanswered</t>
  </si>
  <si>
    <t>WasDeliveredAndUnanswered</t>
  </si>
  <si>
    <t>=AND({{WasActuallyTransmitted}}, NOT({{IsAcknowledged}}))</t>
  </si>
  <si>
    <t>MessageDeliveries.IsPoorlyTimedUnanswered</t>
  </si>
  <si>
    <t>IsPoorlyTimedUnanswered</t>
  </si>
  <si>
    <t>=AND({{WasDeliveredAndUnanswered}}, {{WasSentOutsideBusinessHours}})</t>
  </si>
  <si>
    <t>MessageDeliveries.IsWellTimedUnanswered</t>
  </si>
  <si>
    <t>IsWellTimedUnanswered</t>
  </si>
  <si>
    <t>=AND({{WasDeliveredAndUnanswered}}, NOT({{WasSentOutsideBusinessHours}}))</t>
  </si>
  <si>
    <t>MessageDeliveries.UnansweredTemplateKey</t>
  </si>
  <si>
    <t>UnansweredTemplateKey</t>
  </si>
  <si>
    <t>=IF({{WasDeliveredAndUnanswered}}, {{MessageTemplate}}, "")</t>
  </si>
  <si>
    <t>MessageDeliveries.TransmittedTemplateKey</t>
  </si>
  <si>
    <t>TransmittedTemplateKey</t>
  </si>
  <si>
    <t>=IF({{WasActuallyTransmitted}}, {{MessageTemplate}}, "")</t>
  </si>
  <si>
    <t>MessageDeliveries.ApprovingAgentAtSend</t>
  </si>
  <si>
    <t>ApprovingAgentAtSend</t>
  </si>
  <si>
    <t>MessageDeliveries.ApprovingRoleAtSend</t>
  </si>
  <si>
    <t>ApprovingRoleAtSend</t>
  </si>
  <si>
    <t>MessageDeliveries.ApprovalDecidedAtSend</t>
  </si>
  <si>
    <t>ApprovalDecidedAtSend</t>
  </si>
  <si>
    <t>MessageDeliveries.ApprovalPrecededSend</t>
  </si>
  <si>
    <t>ApprovalPrecededSend</t>
  </si>
  <si>
    <t>=AND({{ApprovalDecidedAtSend}} &lt;&gt; "", {{SentAt}} &gt; {{ApprovalDecidedAtSend}})</t>
  </si>
  <si>
    <t>MessageDeliveries.HasFrozenApprovalEvidence</t>
  </si>
  <si>
    <t>HasFrozenApprovalEvidence</t>
  </si>
  <si>
    <t>=AND({{ApprovingAgentAtSend}} &lt;&gt; "", {{ApprovalDecidedAtSend}} &lt;&gt; "")</t>
  </si>
  <si>
    <t>MessageDeliveries.ProvenanceIsLiveDerived</t>
  </si>
  <si>
    <t>ProvenanceIsLiveDerived</t>
  </si>
  <si>
    <t>=NOT({{HasFrozenApprovalEvidence}})</t>
  </si>
  <si>
    <t>MessageDeliveries.CurrentLastApprovalAt</t>
  </si>
  <si>
    <t>CurrentLastApprovalAt</t>
  </si>
  <si>
    <t>=INDEX(MessageTemplates!{{LastApprovalAt}}, MATCH({{MessageTemplate}}, MessageTemplates!{{MessageTemplateId}}, 0))</t>
  </si>
  <si>
    <t>MessageDeliveries.TemplateReapprovedSinceSend</t>
  </si>
  <si>
    <t>TemplateReapprovedSinceSend</t>
  </si>
  <si>
    <t>=AND({{CurrentLastApprovalAt}} &lt;&gt; "", {{CurrentLastApprovalAt}} &gt; {{SentAt}})</t>
  </si>
  <si>
    <t>MessageDeliveries.IsUnprovableApprovalClaim</t>
  </si>
  <si>
    <t>IsUnprovableApprovalClaim</t>
  </si>
  <si>
    <t>=AND({{ProvenanceIsLiveDerived}}, AND({{TemplateReapprovedSinceSend}}, {{TemplateHasValidApproval}}))</t>
  </si>
  <si>
    <t>MessageDeliveries.ReminderSentAt</t>
  </si>
  <si>
    <t>ReminderSentAt</t>
  </si>
  <si>
    <t>MessageDeliveries.ReminderCount</t>
  </si>
  <si>
    <t>ReminderCount</t>
  </si>
  <si>
    <t>MessageDeliveries.HasSentReminder</t>
  </si>
  <si>
    <t>HasSentReminder</t>
  </si>
  <si>
    <t>={{ReminderCount}} &gt; 0</t>
  </si>
  <si>
    <t>MessageDeliveries.AcknowledgementIsOutstanding</t>
  </si>
  <si>
    <t>AcknowledgementIsOutstanding</t>
  </si>
  <si>
    <t>=AND({{WasActuallyTransmitted}}, AND({{IsEvidenceRequired}}, NOT({{IsAcknowledged}})))</t>
  </si>
  <si>
    <t>MessageDeliveries.OutstandingAgeDays</t>
  </si>
  <si>
    <t>OutstandingAgeDays</t>
  </si>
  <si>
    <t>=IF({{AcknowledgementIsOutstanding}}, DATETIME_DIFF({{AsOfInstant}}, {{SentAt}}, "days"), 0)</t>
  </si>
  <si>
    <t>MessageDeliveries.IsUnchasedAcknowledgement</t>
  </si>
  <si>
    <t>IsUnchasedAcknowledgement</t>
  </si>
  <si>
    <t>=AND({{AcknowledgementIsOutstanding}}, AND({{OutstandingAgeDays}} &gt; 7, NOT({{HasSentReminder}})))</t>
  </si>
  <si>
    <t>MessageDeliveries.IsExhaustedFollowUp</t>
  </si>
  <si>
    <t>IsExhaustedFollowUp</t>
  </si>
  <si>
    <t>=AND({{AcknowledgementIsOutstanding}}, {{ReminderCount}} &gt;= 3)</t>
  </si>
  <si>
    <t>MessageDeliveries.NeedsHumanEscalation</t>
  </si>
  <si>
    <t>NeedsHumanEscalation</t>
  </si>
  <si>
    <t>=AND({{IsExhaustedFollowUp}}, NOT({{HasUnreachableExceptionInvoked}}))</t>
  </si>
  <si>
    <t>MessageDeliveries.SemanticTypeIri</t>
  </si>
  <si>
    <t>TemplateApprovals.TemplateApprovalId</t>
  </si>
  <si>
    <t>TemplateApprovals</t>
  </si>
  <si>
    <t>TemplateApprovalId</t>
  </si>
  <si>
    <t>TemplateApprovals.Name</t>
  </si>
  <si>
    <t>={{MessageTemplate}} &amp; " / " &amp; {{Decision}} &amp; " / " &amp; {{DecidedAt}}</t>
  </si>
  <si>
    <t>TemplateApprovals.MessageTemplate</t>
  </si>
  <si>
    <t>TemplateApprovals.DecidedByAgent</t>
  </si>
  <si>
    <t>DecidedByAgent</t>
  </si>
  <si>
    <t>TemplateApprovals.DecidedInRole</t>
  </si>
  <si>
    <t>DecidedInRole</t>
  </si>
  <si>
    <t>TemplateApprovals.Decision</t>
  </si>
  <si>
    <t>Decision</t>
  </si>
  <si>
    <t>TemplateApprovals.DecidedAt</t>
  </si>
  <si>
    <t>TemplateApprovals.ApprovedBodyHash</t>
  </si>
  <si>
    <t>ApprovedBodyHash</t>
  </si>
  <si>
    <t>TemplateApprovals.Notes</t>
  </si>
  <si>
    <t>TemplateApprovals.IsApprovalDecision</t>
  </si>
  <si>
    <t>IsApprovalDecision</t>
  </si>
  <si>
    <t>={{Decision}} = "Approved"</t>
  </si>
  <si>
    <t>TemplateApprovals.TemplatePolicy</t>
  </si>
  <si>
    <t>TemplatePolicy</t>
  </si>
  <si>
    <t>TemplateApprovals.RequiredApprovalRole</t>
  </si>
  <si>
    <t>=INDEX(CommunicationPolicies!{{ApprovalRole}}, MATCH({{TemplatePolicy}}, CommunicationPolicies!{{CommunicationPolicyId}}, 0))</t>
  </si>
  <si>
    <t>TemplateApprovals.IsDecidedByRequiredRole</t>
  </si>
  <si>
    <t>IsDecidedByRequiredRole</t>
  </si>
  <si>
    <t>={{DecidedInRole}} = {{RequiredApprovalRole}}</t>
  </si>
  <si>
    <t>TemplateApprovals.ValidApprovalTemplateKey</t>
  </si>
  <si>
    <t>ValidApprovalTemplateKey</t>
  </si>
  <si>
    <t>=IF(AND({{IsApprovalDecision}}, {{IsDecidedByRequiredRole}}), {{MessageTemplate}}, "")</t>
  </si>
  <si>
    <t>TemplateApprovals.SemanticTypeIri</t>
  </si>
  <si>
    <t>SendIntents.SendIntentId</t>
  </si>
  <si>
    <t>SendIntents</t>
  </si>
  <si>
    <t>SendIntentId</t>
  </si>
  <si>
    <t>SendIntents.Name</t>
  </si>
  <si>
    <t>={{Recipient}} &amp; " / " &amp; {{MessageTemplate}} &amp; " / intent"</t>
  </si>
  <si>
    <t>SendIntents.ProcedureExecution</t>
  </si>
  <si>
    <t>SendIntents.StepExecution</t>
  </si>
  <si>
    <t>SendIntents.Recipient</t>
  </si>
  <si>
    <t>SendIntents.MessageTemplate</t>
  </si>
  <si>
    <t>SendIntents.ProposedBody</t>
  </si>
  <si>
    <t>ProposedBody</t>
  </si>
  <si>
    <t>SendIntents.ProposedSendAtLocalHour</t>
  </si>
  <si>
    <t>ProposedSendAtLocalHour</t>
  </si>
  <si>
    <t>SendIntents.EvaluatedAt</t>
  </si>
  <si>
    <t>SendIntents.ResultingDelivery</t>
  </si>
  <si>
    <t>ResultingDelivery</t>
  </si>
  <si>
    <t>SendIntents.IntentPolicy</t>
  </si>
  <si>
    <t>IntentPolicy</t>
  </si>
  <si>
    <t>SendIntents.IntentChannel</t>
  </si>
  <si>
    <t>IntentChannel</t>
  </si>
  <si>
    <t>=INDEX(CommunicationPolicies!{{Channel}}, MATCH({{IntentPolicy}}, CommunicationPolicies!{{CommunicationPolicyId}}, 0))</t>
  </si>
  <si>
    <t>SendIntents.PolicyIsActive</t>
  </si>
  <si>
    <t>PolicyIsActive</t>
  </si>
  <si>
    <t>=INDEX(CommunicationPolicies!{{IsActivePolicy}}, MATCH({{IntentPolicy}}, CommunicationPolicies!{{CommunicationPolicyId}}, 0))</t>
  </si>
  <si>
    <t>SendIntents.IntentRequiresConsent</t>
  </si>
  <si>
    <t>IntentRequiresConsent</t>
  </si>
  <si>
    <t>=INDEX(CommunicationPolicies!{{ConsentRequired}}, MATCH({{IntentPolicy}}, CommunicationPolicies!{{CommunicationPolicyId}}, 0))</t>
  </si>
  <si>
    <t>SendIntents.RecipientHasChannelConsent</t>
  </si>
  <si>
    <t>RecipientHasChannelConsent</t>
  </si>
  <si>
    <t>SendIntents.ConsentGatePassed</t>
  </si>
  <si>
    <t>ConsentGatePassed</t>
  </si>
  <si>
    <t>=OR(NOT({{IntentRequiresConsent}}), {{RecipientHasChannelConsent}})</t>
  </si>
  <si>
    <t>SendIntents.RecipientIsSmsReachable</t>
  </si>
  <si>
    <t>RecipientIsSmsReachable</t>
  </si>
  <si>
    <t>=INDEX(Recipients!{{IsSmsReachable}}, MATCH({{Recipient}}, Recipients!{{RecipientId}}, 0))</t>
  </si>
  <si>
    <t>SendIntents.RecipientIsEmailReachable</t>
  </si>
  <si>
    <t>RecipientIsEmailReachable</t>
  </si>
  <si>
    <t>=INDEX(Recipients!{{IsEmailReachable}}, MATCH({{Recipient}}, Recipients!{{RecipientId}}, 0))</t>
  </si>
  <si>
    <t>SendIntents.ReachabilityGatePassed</t>
  </si>
  <si>
    <t>ReachabilityGatePassed</t>
  </si>
  <si>
    <t>=IF({{IntentChannel}} = "SMS", {{RecipientIsSmsReachable}}, {{RecipientIsEmailReachable}})</t>
  </si>
  <si>
    <t>SendIntents.PermissionGatePassed</t>
  </si>
  <si>
    <t>PermissionGatePassed</t>
  </si>
  <si>
    <t>=AND({{PolicyIsActive}}, AND({{ConsentGatePassed}}, {{ReachabilityGatePassed}}))</t>
  </si>
  <si>
    <t>SendIntents.IntentQuietStartHour</t>
  </si>
  <si>
    <t>IntentQuietStartHour</t>
  </si>
  <si>
    <t>=INDEX(CommunicationPolicies!{{QuietHoursStartHour}}, MATCH({{IntentPolicy}}, CommunicationPolicies!{{CommunicationPolicyId}}, 0))</t>
  </si>
  <si>
    <t>SendIntents.IntentQuietEndHour</t>
  </si>
  <si>
    <t>IntentQuietEndHour</t>
  </si>
  <si>
    <t>=INDEX(CommunicationPolicies!{{QuietHoursEndHour}}, MATCH({{IntentPolicy}}, CommunicationPolicies!{{CommunicationPolicyId}}, 0))</t>
  </si>
  <si>
    <t>SendIntents.IntentPolicyHasQuietHours</t>
  </si>
  <si>
    <t>IntentPolicyHasQuietHours</t>
  </si>
  <si>
    <t>={{IntentQuietStartHour}} &lt;&gt; {{IntentQuietEndHour}}</t>
  </si>
  <si>
    <t>SendIntents.IntentQuietWindowWraps</t>
  </si>
  <si>
    <t>IntentQuietWindowWraps</t>
  </si>
  <si>
    <t>={{IntentQuietStartHour}} &gt; {{IntentQuietEndHour}}</t>
  </si>
  <si>
    <t>SendIntents.IntentIsInsideQuietWindow</t>
  </si>
  <si>
    <t>IntentIsInsideQuietWindow</t>
  </si>
  <si>
    <t>=IF({{IntentQuietWindowWraps}}, OR({{ProposedSendAtLocalHour}} &gt;= {{IntentQuietStartHour}}, {{ProposedSendAtLocalHour}} &lt; {{IntentQuietEndHour}}), AND({{ProposedSendAtLocalHour}} &gt;= {{IntentQuietStartHour}}, {{ProposedSendAtLocalHour}} &lt; {{IntentQuietEndHour}}))</t>
  </si>
  <si>
    <t>SendIntents.TimingGatePassed</t>
  </si>
  <si>
    <t>TimingGatePassed</t>
  </si>
  <si>
    <t>=OR(NOT({{IntentPolicyHasQuietHours}}), NOT({{IntentIsInsideQuietWindow}}))</t>
  </si>
  <si>
    <t>SendIntents.HoursUntilWindowOpens</t>
  </si>
  <si>
    <t>HoursUntilWindowOpens</t>
  </si>
  <si>
    <t>=IF({{TimingGatePassed}}, 0, IF({{ProposedSendAtLocalHour}} &lt; {{IntentQuietEndHour}}, {{IntentQuietEndHour}} - {{ProposedSendAtLocalHour}}, 24 - {{ProposedSendAtLocalHour}} + {{IntentQuietEndHour}}))</t>
  </si>
  <si>
    <t>SendIntents.IntentMaxMessageLength</t>
  </si>
  <si>
    <t>IntentMaxMessageLength</t>
  </si>
  <si>
    <t>=INDEX(CommunicationPolicies!{{MaxMessageLength}}, MATCH({{IntentPolicy}}, CommunicationPolicies!{{CommunicationPolicyId}}, 0))</t>
  </si>
  <si>
    <t>SendIntents.IntentMaxSegments</t>
  </si>
  <si>
    <t>IntentMaxSegments</t>
  </si>
  <si>
    <t>=INDEX(CommunicationPolicies!{{MaxSegments}}, MATCH({{IntentPolicy}}, CommunicationPolicies!{{CommunicationPolicyId}}, 0))</t>
  </si>
  <si>
    <t>SendIntents.ProposedBodyLength</t>
  </si>
  <si>
    <t>ProposedBodyLength</t>
  </si>
  <si>
    <t>SendIntents.ProposedSegmentCount</t>
  </si>
  <si>
    <t>ProposedSegmentCount</t>
  </si>
  <si>
    <t>SendIntents.LengthGatePassed</t>
  </si>
  <si>
    <t>LengthGatePassed</t>
  </si>
  <si>
    <t>=AND({{ProposedBodyLength}} &gt; 0, {{ProposedSegmentCount}} &lt;= {{IntentMaxSegments}})</t>
  </si>
  <si>
    <t>SendIntents.IntentRequiredOptOutPhrase</t>
  </si>
  <si>
    <t>IntentRequiredOptOutPhrase</t>
  </si>
  <si>
    <t>=INDEX(CommunicationPolicies!{{RequiredOptOutPhrase}}, MATCH({{IntentPolicy}}, CommunicationPolicies!{{CommunicationPolicyId}}, 0))</t>
  </si>
  <si>
    <t>SendIntents.ProposedOptOutPosition</t>
  </si>
  <si>
    <t>ProposedOptOutPosition</t>
  </si>
  <si>
    <t>SendIntents.OptOutGatePassed</t>
  </si>
  <si>
    <t>OptOutGatePassed</t>
  </si>
  <si>
    <t>=OR({{IntentRequiredOptOutPhrase}} = "", AND({{ProposedOptOutPosition}} &gt; 0, {{ProposedOptOutPosition}} &lt;= {{IntentMaxMessageLength}}))</t>
  </si>
  <si>
    <t>SendIntents.ContentGatePassed</t>
  </si>
  <si>
    <t>ContentGatePassed</t>
  </si>
  <si>
    <t>=AND({{LengthGatePassed}}, {{OptOutGatePassed}})</t>
  </si>
  <si>
    <t>SendIntents.TemplateIsSendable</t>
  </si>
  <si>
    <t>TemplateIsSendable</t>
  </si>
  <si>
    <t>SendIntents.ExecutionHasLegalClearance</t>
  </si>
  <si>
    <t>ExecutionHasLegalClearance</t>
  </si>
  <si>
    <t>SendIntents.IntentApprovalRole</t>
  </si>
  <si>
    <t>IntentApprovalRole</t>
  </si>
  <si>
    <t>=INDEX(CommunicationPolicies!{{ApprovalRole}}, MATCH({{IntentPolicy}}, CommunicationPolicies!{{CommunicationPolicyId}}, 0))</t>
  </si>
  <si>
    <t>SendIntents.ApprovalRoleAgentKind</t>
  </si>
  <si>
    <t>ApprovalRoleAgentKind</t>
  </si>
  <si>
    <t>=INDEX(Roles!{{CurrentAgentKind}}, MATCH({{IntentApprovalRole}}, Roles!{{RoleId}}, 0))</t>
  </si>
  <si>
    <t>SendIntents.ApprovalIsHuman</t>
  </si>
  <si>
    <t>ApprovalIsHuman</t>
  </si>
  <si>
    <t>={{ApprovalRoleAgentKind}} = "Human"</t>
  </si>
  <si>
    <t>SendIntents.AuthorizationGatePassed</t>
  </si>
  <si>
    <t>AuthorizationGatePassed</t>
  </si>
  <si>
    <t>=AND({{TemplateIsSendable}}, AND({{ExecutionHasLegalClearance}}, {{ApprovalIsHuman}}))</t>
  </si>
  <si>
    <t>SendIntents.IsClearedToSend</t>
  </si>
  <si>
    <t>IsClearedToSend</t>
  </si>
  <si>
    <t>=AND({{PermissionGatePassed}}, AND({{TimingGatePassed}}, AND({{ContentGatePassed}}, {{AuthorizationGatePassed}})))</t>
  </si>
  <si>
    <t>SendIntents.BlockingGateName</t>
  </si>
  <si>
    <t>BlockingGateName</t>
  </si>
  <si>
    <t>=IF({{IsClearedToSend}}, "", IF(NOT({{PermissionGatePassed}}), "Permission", IF(NOT({{TimingGatePassed}}), "Timing", IF(NOT({{ContentGatePassed}}), "Content", "Authorization"))))</t>
  </si>
  <si>
    <t>SendIntents.HasResultingDelivery</t>
  </si>
  <si>
    <t>HasResultingDelivery</t>
  </si>
  <si>
    <t>={{ResultingDelivery}} &lt;&gt; ""</t>
  </si>
  <si>
    <t>SendIntents.ResultingDeliveryWasTransmitted</t>
  </si>
  <si>
    <t>ResultingDeliveryWasTransmitted</t>
  </si>
  <si>
    <t>=INDEX(MessageDeliveries!{{WasActuallyTransmitted}}, MATCH({{ResultingDelivery}}, MessageDeliveries!{{MessageDeliveryId}}, 0))</t>
  </si>
  <si>
    <t>SendIntents.IsOverriddenRefusal</t>
  </si>
  <si>
    <t>IsOverriddenRefusal</t>
  </si>
  <si>
    <t>=AND(NOT({{IsClearedToSend}}), AND({{HasResultingDelivery}}, {{ResultingDeliveryWasTransmitted}}))</t>
  </si>
  <si>
    <t>SendIntents.IsSilentlyDropped</t>
  </si>
  <si>
    <t>IsSilentlyDropped</t>
  </si>
  <si>
    <t>=AND(NOT({{IsClearedToSend}}), NOT({{HasResultingDelivery}}))</t>
  </si>
  <si>
    <t>SendIntents.ResultingDeliveryException</t>
  </si>
  <si>
    <t>ResultingDeliveryException</t>
  </si>
  <si>
    <t>=INDEX(MessageDeliveries!{{InvokedException}}, MATCH({{ResultingDelivery}}, MessageDeliveries!{{MessageDeliveryId}}, 0))</t>
  </si>
  <si>
    <t>SendIntents.RefusalCitedAnException</t>
  </si>
  <si>
    <t>RefusalCitedAnException</t>
  </si>
  <si>
    <t>={{ResultingDeliveryException}} &lt;&gt; ""</t>
  </si>
  <si>
    <t>SendIntents.IsProperlyHandledRefusal</t>
  </si>
  <si>
    <t>IsProperlyHandledRefusal</t>
  </si>
  <si>
    <t>=AND(NOT({{IsClearedToSend}}), AND({{HasResultingDelivery}}, AND(NOT({{ResultingDeliveryWasTransmitted}}), {{RefusalCitedAnException}})))</t>
  </si>
  <si>
    <t>SendIntents.RefusalFailureExecutionKey</t>
  </si>
  <si>
    <t>RefusalFailureExecutionKey</t>
  </si>
  <si>
    <t>=IF(OR({{IsOverriddenRefusal}}, {{IsSilentlyDropped}}), {{ProcedureExecution}}, "")</t>
  </si>
  <si>
    <t>SendIntents.IntentExecutionKey</t>
  </si>
  <si>
    <t>IntentExecutionKey</t>
  </si>
  <si>
    <t>={{ProcedureExecution}}</t>
  </si>
  <si>
    <t>SendIntents.DeliveredIntentExecutionKey</t>
  </si>
  <si>
    <t>DeliveredIntentExecutionKey</t>
  </si>
  <si>
    <t>=IF(AND({{HasResultingDelivery}}, {{ResultingDeliveryWasTransmitted}}), {{ProcedureExecution}}, "")</t>
  </si>
  <si>
    <t>SendIntents.DroppedIntentExecutionKey</t>
  </si>
  <si>
    <t>DroppedIntentExecutionKey</t>
  </si>
  <si>
    <t>=IF({{IsSilentlyDropped}}, {{ProcedureExecution}}, "")</t>
  </si>
  <si>
    <t>SendIntents.MyApprovalWasInForce</t>
  </si>
  <si>
    <t>MyApprovalWasInForce</t>
  </si>
  <si>
    <t>={{TemplateIsSendable}}</t>
  </si>
  <si>
    <t>SendIntents.RefusedOnApprovedContent</t>
  </si>
  <si>
    <t>RefusedOnApprovedContent</t>
  </si>
  <si>
    <t>=AND({{MyApprovalWasInForce}}, NOT({{ContentGatePassed}}))</t>
  </si>
  <si>
    <t>SendIntents.RefusedOnOptOutOnly</t>
  </si>
  <si>
    <t>RefusedOnOptOutOnly</t>
  </si>
  <si>
    <t>=AND(NOT({{OptOutGatePassed}}), {{LengthGatePassed}})</t>
  </si>
  <si>
    <t>SendIntents.RefusalWasOnMyRules</t>
  </si>
  <si>
    <t>RefusalWasOnMyRules</t>
  </si>
  <si>
    <t>=AND(NOT({{IsClearedToSend}}), OR(NOT({{ContentGatePassed}}), NOT({{TimingGatePassed}})))</t>
  </si>
  <si>
    <t>SendIntents.RefusalWasOutsideMyControl</t>
  </si>
  <si>
    <t>RefusalWasOutsideMyControl</t>
  </si>
  <si>
    <t>=AND(NOT({{IsClearedToSend}}), OR(NOT({{PermissionGatePassed}}), NOT({{AuthorizationGatePassed}})))</t>
  </si>
  <si>
    <t>SendIntents.ApproverWasNotified</t>
  </si>
  <si>
    <t>ApproverWasNotified</t>
  </si>
  <si>
    <t>SendIntents.IsUnreportedRefusalOnMyRules</t>
  </si>
  <si>
    <t>IsUnreportedRefusalOnMyRules</t>
  </si>
  <si>
    <t>=AND({{RefusalWasOnMyRules}}, NOT({{ApproverWasNotified}}))</t>
  </si>
  <si>
    <t>SendIntents.IsApprovalOverriddenSilently</t>
  </si>
  <si>
    <t>IsApprovalOverriddenSilently</t>
  </si>
  <si>
    <t>=AND({{RefusedOnApprovedContent}}, NOT({{ApproverWasNotified}}))</t>
  </si>
  <si>
    <t>SendIntents.AlternateChannelIntent</t>
  </si>
  <si>
    <t>AlternateChannelIntent</t>
  </si>
  <si>
    <t>SendIntents.HasAlternateChannelAttempt</t>
  </si>
  <si>
    <t>HasAlternateChannelAttempt</t>
  </si>
  <si>
    <t>={{AlternateChannelIntent}} &lt;&gt; ""</t>
  </si>
  <si>
    <t>SendIntents.AlternateAttemptWasCleared</t>
  </si>
  <si>
    <t>AlternateAttemptWasCleared</t>
  </si>
  <si>
    <t>=INDEX(SendIntents!{{IsClearedToSend}}, MATCH({{AlternateChannelIntent}}, SendIntents!{{SendIntentId}}, 0))</t>
  </si>
  <si>
    <t>SendIntents.IsRefusedWithNoAlternative</t>
  </si>
  <si>
    <t>IsRefusedWithNoAlternative</t>
  </si>
  <si>
    <t>=AND(NOT({{IsClearedToSend}}), NOT({{HasAlternateChannelAttempt}}))</t>
  </si>
  <si>
    <t>SendIntents.ExceptionPrescribedAnAlternative</t>
  </si>
  <si>
    <t>ExceptionPrescribedAnAlternative</t>
  </si>
  <si>
    <t>=AND({{RefusalCitedAnException}}, {{ResultingDeliveryException}} &lt;&gt; "")</t>
  </si>
  <si>
    <t>SendIntents.PrescribedHandlingWasPerformed</t>
  </si>
  <si>
    <t>PrescribedHandlingWasPerformed</t>
  </si>
  <si>
    <t>=AND({{ExceptionPrescribedAnAlternative}}, AND({{HasAlternateChannelAttempt}}, {{AlternateAttemptWasCleared}}))</t>
  </si>
  <si>
    <t>SendIntents.IsSuppressionWithoutRemedy</t>
  </si>
  <si>
    <t>IsSuppressionWithoutRemedy</t>
  </si>
  <si>
    <t>=AND({{ExceptionPrescribedAnAlternative}}, NOT({{PrescribedHandlingWasPerformed}}))</t>
  </si>
  <si>
    <t>SendIntents.RefusalRecordedAt</t>
  </si>
  <si>
    <t>RefusalRecordedAt</t>
  </si>
  <si>
    <t>SendIntents.RefusalNotifiedRole</t>
  </si>
  <si>
    <t>RefusalNotifiedRole</t>
  </si>
  <si>
    <t>SendIntents.HasDurableRefusalRecord</t>
  </si>
  <si>
    <t>HasDurableRefusalRecord</t>
  </si>
  <si>
    <t>={{RefusalRecordedAt}} &lt;&gt; ""</t>
  </si>
  <si>
    <t>SendIntents.RefusalWasEscalated</t>
  </si>
  <si>
    <t>RefusalWasEscalated</t>
  </si>
  <si>
    <t>={{RefusalNotifiedRole}} &lt;&gt; ""</t>
  </si>
  <si>
    <t>SendIntents.IsUnrecordedRefusal</t>
  </si>
  <si>
    <t>IsUnrecordedRefusal</t>
  </si>
  <si>
    <t>=AND({{IsSilentlyDropped}}, AND(NOT({{HasDurableRefusalRecord}}), NOT({{RefusalCitedAnException}})))</t>
  </si>
  <si>
    <t>SendIntents.IsUnescalatedRefusal</t>
  </si>
  <si>
    <t>IsUnescalatedRefusal</t>
  </si>
  <si>
    <t>=AND(NOT({{IsClearedToSend}}), NOT({{RefusalWasEscalated}}))</t>
  </si>
  <si>
    <t>SendIntents.UnescalatedRefusalRoleKey</t>
  </si>
  <si>
    <t>UnescalatedRefusalRoleKey</t>
  </si>
  <si>
    <t>=IF({{IsUnrecordedRefusal}}, {{RefusalNotifiedRole}}, "")</t>
  </si>
  <si>
    <t>SendIntents.UnrecordedRefusalExecutionKey</t>
  </si>
  <si>
    <t>UnrecordedRefusalExecutionKey</t>
  </si>
  <si>
    <t>=IF({{IsUnrecordedRefusal}}, {{ProcedureExecution}}, "")</t>
  </si>
  <si>
    <t>SendIntents.RetryIntent</t>
  </si>
  <si>
    <t>RetryIntent</t>
  </si>
  <si>
    <t>SendIntents.WasDeferredOnTiming</t>
  </si>
  <si>
    <t>WasDeferredOnTiming</t>
  </si>
  <si>
    <t>=AND(NOT({{TimingGatePassed}}), AND({{PermissionGatePassed}}, {{ContentGatePassed}}))</t>
  </si>
  <si>
    <t>SendIntents.EvaluationContext</t>
  </si>
  <si>
    <t>SendIntents.AsOfInstant</t>
  </si>
  <si>
    <t>SendIntents.WindowHasSinceReopened</t>
  </si>
  <si>
    <t>WindowHasSinceReopened</t>
  </si>
  <si>
    <t>=AND({{HoursUntilWindowOpens}} &gt; 0, DATETIME_DIFF({{AsOfInstant}}, {{EvaluatedAt}}, "hours") &gt; {{HoursUntilWindowOpens}})</t>
  </si>
  <si>
    <t>SendIntents.HasRetryAttempt</t>
  </si>
  <si>
    <t>HasRetryAttempt</t>
  </si>
  <si>
    <t>={{RetryIntent}} &lt;&gt; ""</t>
  </si>
  <si>
    <t>SendIntents.RetryWasCleared</t>
  </si>
  <si>
    <t>RetryWasCleared</t>
  </si>
  <si>
    <t>=INDEX(SendIntents!{{IsClearedToSend}}, MATCH({{RetryIntent}}, SendIntents!{{SendIntentId}}, 0))</t>
  </si>
  <si>
    <t>SendIntents.IsAbandonedDeferral</t>
  </si>
  <si>
    <t>IsAbandonedDeferral</t>
  </si>
  <si>
    <t>=AND({{WasDeferredOnTiming}}, AND({{WindowHasSinceReopened}}, NOT({{HasRetryAttempt}})))</t>
  </si>
  <si>
    <t>SendIntents.DeferralAgeHours</t>
  </si>
  <si>
    <t>DeferralAgeHours</t>
  </si>
  <si>
    <t>=DATETIME_DIFF({{AsOfInstant}}, {{EvaluatedAt}}, "hours")</t>
  </si>
  <si>
    <t>SendIntents.IsStaleDeferral</t>
  </si>
  <si>
    <t>IsStaleDeferral</t>
  </si>
  <si>
    <t>=AND({{WasDeferredOnTiming}}, {{DeferralAgeHours}} &gt; 24)</t>
  </si>
  <si>
    <t>SendIntents.EvaluatingRoleAssignment</t>
  </si>
  <si>
    <t>EvaluatingRoleAssignment</t>
  </si>
  <si>
    <t>SendIntents.EnforcedByUnauthorizedAgent</t>
  </si>
  <si>
    <t>EnforcedByUnauthorizedAgent</t>
  </si>
  <si>
    <t>=INDEX(RoleAssignments!{{IsUnauthorizedEnforcementAgent}}, MATCH({{EvaluatingRoleAssignment}}, RoleAssignments!{{RoleAssignmentId}}, 0))</t>
  </si>
  <si>
    <t>SendIntents.ConsentInputWasResolvable</t>
  </si>
  <si>
    <t>ConsentInputWasResolvable</t>
  </si>
  <si>
    <t>={{RecipientConsentStatusRaw}} &lt;&gt; ""</t>
  </si>
  <si>
    <t>SendIntents.RecipientConsentStatusRaw</t>
  </si>
  <si>
    <t>RecipientConsentStatusRaw</t>
  </si>
  <si>
    <t>=INDEX(Recipients!{{SmsConsentStatus}}, MATCH({{Recipient}}, Recipients!{{RecipientId}}, 0))</t>
  </si>
  <si>
    <t>SendIntents.PolicyInputWasResolvable</t>
  </si>
  <si>
    <t>PolicyInputWasResolvable</t>
  </si>
  <si>
    <t>={{IntentPolicy}} &lt;&gt; ""</t>
  </si>
  <si>
    <t>SendIntents.AllGateInputsResolved</t>
  </si>
  <si>
    <t>AllGateInputsResolved</t>
  </si>
  <si>
    <t>=AND({{ConsentInputWasResolvable}}, {{PolicyInputWasResolvable}})</t>
  </si>
  <si>
    <t>SendIntents.IsUnevaluableRefusal</t>
  </si>
  <si>
    <t>IsUnevaluableRefusal</t>
  </si>
  <si>
    <t>=AND(NOT({{IsClearedToSend}}), NOT({{AllGateInputsResolved}}))</t>
  </si>
  <si>
    <t>SendIntents.GateResultWasIndependentlyConfirmed</t>
  </si>
  <si>
    <t>GateResultWasIndependentlyConfirmed</t>
  </si>
  <si>
    <t>SendIntents.IsSelfWitnessedDecision</t>
  </si>
  <si>
    <t>IsSelfWitnessedDecision</t>
  </si>
  <si>
    <t>=NOT({{GateResultWasIndependentlyConfirmed}})</t>
  </si>
  <si>
    <t>SendIntents.IsIndependentlyConfirmed</t>
  </si>
  <si>
    <t>IsIndependentlyConfirmed</t>
  </si>
  <si>
    <t>=AND({{HasResultingDelivery}}, {{ResultingDeliveryWasTransmitted}})</t>
  </si>
  <si>
    <t>SendIntents.IndependentlyConfirmedExecutionKey</t>
  </si>
  <si>
    <t>IndependentlyConfirmedExecutionKey</t>
  </si>
  <si>
    <t>=IF({{IsIndependentlyConfirmed}}, {{ProcedureExecution}}, "")</t>
  </si>
  <si>
    <t>SendIntents.SemanticTypeIri</t>
  </si>
  <si>
    <t>AgentDecisionRecords.AgentDecisionRecordId</t>
  </si>
  <si>
    <t>AgentDecisionRecords</t>
  </si>
  <si>
    <t>AgentDecisionRecordId</t>
  </si>
  <si>
    <t>AgentDecisionRecords.Name</t>
  </si>
  <si>
    <t>={{DecidingAgent}} &amp; ": " &amp; LEFT({{DecisionSummary}}, 60)</t>
  </si>
  <si>
    <t>AgentDecisionRecords.StepExecution</t>
  </si>
  <si>
    <t>AgentDecisionRecords.DecidingAgent</t>
  </si>
  <si>
    <t>DecidingAgent</t>
  </si>
  <si>
    <t>AgentDecisionRecords.DecisionKind</t>
  </si>
  <si>
    <t>DecisionKind</t>
  </si>
  <si>
    <t>AgentDecisionRecords.DecisionSummary</t>
  </si>
  <si>
    <t>DecisionSummary</t>
  </si>
  <si>
    <t>AgentDecisionRecords.DecidedAt</t>
  </si>
  <si>
    <t>AgentDecisionRecords.MaterialityBand</t>
  </si>
  <si>
    <t>MaterialityBand</t>
  </si>
  <si>
    <t>AgentDecisionRecords.HumanDisposition</t>
  </si>
  <si>
    <t>HumanDisposition</t>
  </si>
  <si>
    <t>AgentDecisionRecords.ReviewedByAgent</t>
  </si>
  <si>
    <t>AgentDecisionRecords.ReviewedAt</t>
  </si>
  <si>
    <t>AgentDecisionRecords.WasOverridden</t>
  </si>
  <si>
    <t>WasOverridden</t>
  </si>
  <si>
    <t>=OR({{HumanDisposition}} = "Corrected", {{HumanDisposition}} = "Reversed")</t>
  </si>
  <si>
    <t>AgentDecisionRecords.WasReviewed</t>
  </si>
  <si>
    <t>WasReviewed</t>
  </si>
  <si>
    <t>=AND({{HumanDisposition}} &lt;&gt; "", {{HumanDisposition}} &lt;&gt; "NotReviewed")</t>
  </si>
  <si>
    <t>AgentDecisionRecords.DecidingAgentKind</t>
  </si>
  <si>
    <t>DecidingAgentKind</t>
  </si>
  <si>
    <t>=INDEX(Agents!{{AgentKind}}, MATCH({{DecidingAgent}}, Agents!{{AgentId}}, 0))</t>
  </si>
  <si>
    <t>AgentDecisionRecords.DecidingAgentWhenOverridden</t>
  </si>
  <si>
    <t>DecidingAgentWhenOverridden</t>
  </si>
  <si>
    <t>=IF({{WasOverridden}}, {{DecidingAgent}}, "")</t>
  </si>
  <si>
    <t>AgentDecisionRecords.UnderRoleAssignment</t>
  </si>
  <si>
    <t>UnderRoleAssignment</t>
  </si>
  <si>
    <t>AgentDecisionRecords.RoleAssignmentWhenScored</t>
  </si>
  <si>
    <t>RoleAssignmentWhenScored</t>
  </si>
  <si>
    <t>=IF({{UnderRoleAssignment}} &lt;&gt; "", {{UnderRoleAssignment}}, "")</t>
  </si>
  <si>
    <t>AgentDecisionRecords.RoleAssignmentWhenOverridden</t>
  </si>
  <si>
    <t>RoleAssignmentWhenOverridden</t>
  </si>
  <si>
    <t>=IF({{WasOverridden}}, {{UnderRoleAssignment}}, "")</t>
  </si>
  <si>
    <t>AgentDecisionRecords.StepOfDecision</t>
  </si>
  <si>
    <t>StepOfDecision</t>
  </si>
  <si>
    <t>AgentDecisionRecords.BoundaryMatchKey</t>
  </si>
  <si>
    <t>BoundaryMatchKey</t>
  </si>
  <si>
    <t>={{StepOfDecision}} &amp; "|" &amp; {{DecidingAgentKind}} &amp; "|" &amp; {{DecisionKind}}</t>
  </si>
  <si>
    <t>AgentDecisionRecords.MatchingBoundaryCount</t>
  </si>
  <si>
    <t>MatchingBoundaryCount</t>
  </si>
  <si>
    <t>=COUNTIFS(AuthorityBoundaries!{{BoundaryMatchKey}}, {{BoundaryMatchKey}})</t>
  </si>
  <si>
    <t>AgentDecisionRecords.ViolatedAuthorityBoundary</t>
  </si>
  <si>
    <t>ViolatedAuthorityBoundary</t>
  </si>
  <si>
    <t>={{MatchingBoundaryCount}} &gt; 0</t>
  </si>
  <si>
    <t>AgentDecisionRecords.ReviewerAgentKind</t>
  </si>
  <si>
    <t>ReviewerAgentKind</t>
  </si>
  <si>
    <t>=INDEX(Agents!{{AgentKind}}, MATCH({{ReviewedByAgent}}, Agents!{{AgentId}}, 0))</t>
  </si>
  <si>
    <t>AgentDecisionRecords.HasHumanConfirmation</t>
  </si>
  <si>
    <t>HasHumanConfirmation</t>
  </si>
  <si>
    <t>=AND({{ReviewerAgentKind}} = "Human", {{HumanDisposition}} &lt;&gt; "", {{HumanDisposition}} &lt;&gt; "NotReviewed")</t>
  </si>
  <si>
    <t>AgentDecisionRecords.NeedsHumanConfirmation</t>
  </si>
  <si>
    <t>NeedsHumanConfirmation</t>
  </si>
  <si>
    <t>=AND(NOT({{DecidingAgentKind}} = "Human"), OR({{MaterialityBand}} = "Material", {{MaterialityBand}} = "Escalated"))</t>
  </si>
  <si>
    <t>AgentDecisionRecords.IsUnconfirmedNonHumanDecision</t>
  </si>
  <si>
    <t>IsUnconfirmedNonHumanDecision</t>
  </si>
  <si>
    <t>=AND({{NeedsHumanConfirmation}}, NOT({{HasHumanConfirmation}}))</t>
  </si>
  <si>
    <t>AgentDecisionRecords.StepExecutionWhenUnconfirmed</t>
  </si>
  <si>
    <t>StepExecutionWhenUnconfirmed</t>
  </si>
  <si>
    <t>=IF({{IsUnconfirmedNonHumanDecision}}, {{StepExecution}}, "")</t>
  </si>
  <si>
    <t>AgentDecisionRecords.AgentWhenBoundaryViolated</t>
  </si>
  <si>
    <t>AgentWhenBoundaryViolated</t>
  </si>
  <si>
    <t>=IF({{ViolatedAuthorityBoundary}}, {{DecidingAgent}}, "")</t>
  </si>
  <si>
    <t>AgentDecisionRecords.ReviewLatencyMinutes</t>
  </si>
  <si>
    <t>ReviewLatencyMinutes</t>
  </si>
  <si>
    <t>=IF({{ReviewedAt}} = "", 0, DATETIME_DIFF({{ReviewedAt}}, {{DecidedAt}}, "minutes"))</t>
  </si>
  <si>
    <t>AgentDecisionRecords.IsDraftKind</t>
  </si>
  <si>
    <t>IsDraftKind</t>
  </si>
  <si>
    <t>=OR({{DecisionKind}} = "Draft", {{DecisionKind}} = "Commitment")</t>
  </si>
  <si>
    <t>AgentDecisionRecords.AgentWhenDraftOverridden</t>
  </si>
  <si>
    <t>AgentWhenDraftOverridden</t>
  </si>
  <si>
    <t>=IF(AND({{IsDraftKind}}, {{WasOverridden}}), {{DecidingAgent}}, "")</t>
  </si>
  <si>
    <t>AgentDecisionRecords.AgentWhenDraft</t>
  </si>
  <si>
    <t>AgentWhenDraft</t>
  </si>
  <si>
    <t>=IF({{IsDraftKind}}, {{DecidingAgent}}, "")</t>
  </si>
  <si>
    <t>AgentDecisionRecords.OverrideReasonKind</t>
  </si>
  <si>
    <t>OverrideReasonKind</t>
  </si>
  <si>
    <t>AgentDecisionRecords.IsErrorCorrection</t>
  </si>
  <si>
    <t>IsErrorCorrection</t>
  </si>
  <si>
    <t>=AND({{WasOverridden}}, {{OverrideReasonKind}} = "ErrorCorrection")</t>
  </si>
  <si>
    <t>AgentDecisionRecords.IsReservedJudgmentOverride</t>
  </si>
  <si>
    <t>IsReservedJudgmentOverride</t>
  </si>
  <si>
    <t>=AND({{WasOverridden}}, {{OverrideReasonKind}} = "JudgmentReserved")</t>
  </si>
  <si>
    <t>AgentDecisionRecords.OverrideReasonIsRecorded</t>
  </si>
  <si>
    <t>OverrideReasonIsRecorded</t>
  </si>
  <si>
    <t>=AND({{WasOverridden}}, {{OverrideReasonKind}} &lt;&gt; "")</t>
  </si>
  <si>
    <t>AgentDecisionRecords.IsUnexplainedOverride</t>
  </si>
  <si>
    <t>IsUnexplainedOverride</t>
  </si>
  <si>
    <t>=AND({{WasOverridden}}, NOT({{OverrideReasonIsRecorded}}))</t>
  </si>
  <si>
    <t>AgentDecisionRecords.ErrorCorrectionRoleAssignmentKey</t>
  </si>
  <si>
    <t>ErrorCorrectionRoleAssignmentKey</t>
  </si>
  <si>
    <t>=IF({{IsErrorCorrection}}, {{UnderRoleAssignment}}, "")</t>
  </si>
  <si>
    <t>AgentDecisionRecords.BoundaryViolationRoleAssignmentKey</t>
  </si>
  <si>
    <t>BoundaryViolationRoleAssignmentKey</t>
  </si>
  <si>
    <t>=IF({{ViolatedAuthorityBoundary}}, {{UnderRoleAssignment}}, "")</t>
  </si>
  <si>
    <t>AgentDecisionRecords.SemanticTypeIri</t>
  </si>
  <si>
    <t>DeliveredCommunications.DeliveredCommunicationId</t>
  </si>
  <si>
    <t>DeliveredCommunications</t>
  </si>
  <si>
    <t>DeliveredCommunicationId</t>
  </si>
  <si>
    <t>DeliveredCommunications.Name</t>
  </si>
  <si>
    <t>={{Channel}} &amp; " -&gt; " &amp; {{RecipientKey}} &amp; " @ " &amp; {{SentAt}}</t>
  </si>
  <si>
    <t>DeliveredCommunications.ProcedureExecution</t>
  </si>
  <si>
    <t>DeliveredCommunications.SendingStepExecution</t>
  </si>
  <si>
    <t>SendingStepExecution</t>
  </si>
  <si>
    <t>DeliveredCommunications.AuthorizingStepExecution</t>
  </si>
  <si>
    <t>AuthorizingStepExecution</t>
  </si>
  <si>
    <t>DeliveredCommunications.MessageTemplate</t>
  </si>
  <si>
    <t>DeliveredCommunications.Channel</t>
  </si>
  <si>
    <t>DeliveredCommunications.RecipientKey</t>
  </si>
  <si>
    <t>RecipientKey</t>
  </si>
  <si>
    <t>DeliveredCommunications.SentAt</t>
  </si>
  <si>
    <t>DeliveredCommunications.RenderedContentHash</t>
  </si>
  <si>
    <t>RenderedContentHash</t>
  </si>
  <si>
    <t>DeliveredCommunications.ApprovedContentHash</t>
  </si>
  <si>
    <t>ApprovedContentHash</t>
  </si>
  <si>
    <t>DeliveredCommunications.DeliveryStatus</t>
  </si>
  <si>
    <t>DeliveredCommunications.SemanticTypeIri</t>
  </si>
  <si>
    <t>DeliveredCommunications.HasAuthorization</t>
  </si>
  <si>
    <t>HasAuthorization</t>
  </si>
  <si>
    <t>={{AuthorizingStepExecution}} &lt;&gt; ""</t>
  </si>
  <si>
    <t>DeliveredCommunications.ContentMatchesApproval</t>
  </si>
  <si>
    <t>ContentMatchesApproval</t>
  </si>
  <si>
    <t>={{RenderedContentHash}} = {{ApprovedContentHash}}</t>
  </si>
  <si>
    <t>DeliveredCommunications.AuthorizedAt</t>
  </si>
  <si>
    <t>AuthorizedAt</t>
  </si>
  <si>
    <t>=INDEX(StepExecutions!{{EndedAt}}, MATCH({{AuthorizingStepExecution}}, StepExecutions!{{StepExecutionId}}, 0))</t>
  </si>
  <si>
    <t>DeliveredCommunications.WasApprovedBeforeSending</t>
  </si>
  <si>
    <t>WasApprovedBeforeSending</t>
  </si>
  <si>
    <t>={{AuthorizedAt}} &lt;= {{SentAt}}</t>
  </si>
  <si>
    <t>DeliveredCommunications.IsDefensible</t>
  </si>
  <si>
    <t>IsDefensible</t>
  </si>
  <si>
    <t>=AND({{HasAuthorization}}, {{ContentMatchesApproval}}, {{WasApprovedBeforeSending}})</t>
  </si>
  <si>
    <t>AuthorityBoundaries.AuthorityBoundaryId</t>
  </si>
  <si>
    <t>AuthorityBoundaries</t>
  </si>
  <si>
    <t>AuthorityBoundaryId</t>
  </si>
  <si>
    <t>AuthorityBoundaries.Name</t>
  </si>
  <si>
    <t>={{ForbiddenAgentKind}} &amp; " may not " &amp; {{ForbiddenDecisionKind}}</t>
  </si>
  <si>
    <t>AuthorityBoundaries.Step</t>
  </si>
  <si>
    <t>AuthorityBoundaries.ForbiddenAgentKind</t>
  </si>
  <si>
    <t>ForbiddenAgentKind</t>
  </si>
  <si>
    <t>AuthorityBoundaries.ForbiddenDecisionKind</t>
  </si>
  <si>
    <t>ForbiddenDecisionKind</t>
  </si>
  <si>
    <t>AuthorityBoundaries.RatifiedByKnowledgeFragment</t>
  </si>
  <si>
    <t>RatifiedByKnowledgeFragment</t>
  </si>
  <si>
    <t>AuthorityBoundaries.EnforcingRequirement</t>
  </si>
  <si>
    <t>EnforcingRequirement</t>
  </si>
  <si>
    <t>AuthorityBoundaries.AuthorityRole</t>
  </si>
  <si>
    <t>AuthorityBoundaries.ValidFrom</t>
  </si>
  <si>
    <t>AuthorityBoundaries.ValidTo</t>
  </si>
  <si>
    <t>AuthorityBoundaries.Status</t>
  </si>
  <si>
    <t>AuthorityBoundaries.EvaluationContext</t>
  </si>
  <si>
    <t>AuthorityBoundaries.AsOfInstant</t>
  </si>
  <si>
    <t>AuthorityBoundaries.IsCurrentlyBinding</t>
  </si>
  <si>
    <t>IsCurrentlyBinding</t>
  </si>
  <si>
    <t>=AND({{Status}} = "Approved", {{ValidFrom}} &lt;= {{AsOfInstant}}, OR({{ValidTo}} = "", {{ValidTo}} &gt; {{AsOfInstant}}))</t>
  </si>
  <si>
    <t>AuthorityBoundaries.RatifyingFragmentIsValid</t>
  </si>
  <si>
    <t>RatifyingFragmentIsValid</t>
  </si>
  <si>
    <t>=INDEX(KnowledgeFragments!{{IsCurrentlyValid}}, MATCH({{RatifiedByKnowledgeFragment}}, KnowledgeFragments!{{KnowledgeFragmentId}}, 0))</t>
  </si>
  <si>
    <t>AuthorityBoundaries.StepWhenBinding</t>
  </si>
  <si>
    <t>StepWhenBinding</t>
  </si>
  <si>
    <t>=IF({{IsCurrentlyBinding}}, {{Step}}, "")</t>
  </si>
  <si>
    <t>AuthorityBoundaries.BoundaryMatchKey</t>
  </si>
  <si>
    <t>={{Step}} &amp; "|" &amp; {{ForbiddenAgentKind}} &amp; "|" &amp; {{ForbiddenDecisionKind}}</t>
  </si>
  <si>
    <t>AuthorityBoundaries.ViolationCount</t>
  </si>
  <si>
    <t>ViolationCount</t>
  </si>
  <si>
    <t>=COUNTIFS(AgentDecisionRecords!{{BoundaryMatchKey}}, {{BoundaryMatchKey}})</t>
  </si>
  <si>
    <t>AuthorityBoundaries.IsUntested</t>
  </si>
  <si>
    <t>IsUntested</t>
  </si>
  <si>
    <t>=AND({{IsCurrentlyBinding}}, {{ViolationCount}} = 0)</t>
  </si>
  <si>
    <t>AuthorityBoundaries.HasRatifyingFragment</t>
  </si>
  <si>
    <t>HasRatifyingFragment</t>
  </si>
  <si>
    <t>={{RatifiedByKnowledgeFragment}} &lt;&gt; ""</t>
  </si>
  <si>
    <t>AuthorityBoundaries.IsUnwarranted</t>
  </si>
  <si>
    <t>IsUnwarranted</t>
  </si>
  <si>
    <t>=AND({{IsCurrentlyBinding}}, OR(NOT({{HasRatifyingFragment}}), NOT({{RatifyingFragmentIsValid}})))</t>
  </si>
  <si>
    <t>AuthorityBoundaries.RatifyingFragmentIsOverdue</t>
  </si>
  <si>
    <t>RatifyingFragmentIsOverdue</t>
  </si>
  <si>
    <t>=INDEX(KnowledgeFragments!{{IsOverdueForReview}}, MATCH({{RatifiedByKnowledgeFragment}}, KnowledgeFragments!{{KnowledgeFragmentId}}, 0))</t>
  </si>
  <si>
    <t>AuthorityBoundaries.RatifyingFragmentIsSingleWitness</t>
  </si>
  <si>
    <t>RatifyingFragmentIsSingleWitness</t>
  </si>
  <si>
    <t>=INDEX(KnowledgeFragments!{{IsFromSingleWitness}}, MATCH({{RatifiedByKnowledgeFragment}}, KnowledgeFragments!{{KnowledgeFragmentId}}, 0))</t>
  </si>
  <si>
    <t>AuthorityBoundaries.WarrantIsThin</t>
  </si>
  <si>
    <t>WarrantIsThin</t>
  </si>
  <si>
    <t>=AND({{IsCurrentlyBinding}}, OR({{RatifyingFragmentIsOverdue}}, {{RatifyingFragmentIsSingleWitness}}))</t>
  </si>
  <si>
    <t>AuthorityBoundaries.IsUnwarrantedAndUntested</t>
  </si>
  <si>
    <t>IsUnwarrantedAndUntested</t>
  </si>
  <si>
    <t>=AND({{IsUnwarranted}}, {{IsUntested}})</t>
  </si>
  <si>
    <t>AuthorityBoundaries.UnwarrantedBoundaryStepKey</t>
  </si>
  <si>
    <t>UnwarrantedBoundaryStepKey</t>
  </si>
  <si>
    <t>=IF({{IsUnwarranted}}, {{Step}}, "")</t>
  </si>
  <si>
    <t>AuthorityBoundaries.RatifyingFragmentKey</t>
  </si>
  <si>
    <t>RatifyingFragmentKey</t>
  </si>
  <si>
    <t>=IF({{IsCurrentlyBinding}}, {{RatifiedByKnowledgeFragment}}, "")</t>
  </si>
  <si>
    <t>AuthorityBoundaries.RatifyingFragmentStatus</t>
  </si>
  <si>
    <t>RatifyingFragmentStatus</t>
  </si>
  <si>
    <t>=INDEX(KnowledgeFragments!{{Status}}, MATCH({{RatifiedByKnowledgeFragment}}, KnowledgeFragments!{{KnowledgeFragmentId}}, 0))</t>
  </si>
  <si>
    <t>AuthorityBoundaries.RatificationLapsed</t>
  </si>
  <si>
    <t>RatificationLapsed</t>
  </si>
  <si>
    <t>=AND({{HasRatifyingFragment}}, NOT({{RatifyingFragmentIsValid}}))</t>
  </si>
  <si>
    <t>AuthorityBoundaries.BindsDespiteLapsedRatification</t>
  </si>
  <si>
    <t>BindsDespiteLapsedRatification</t>
  </si>
  <si>
    <t>=AND({{IsCurrentlyBinding}}, {{RatificationLapsed}})</t>
  </si>
  <si>
    <t>AuthorityBoundaries.IsUngroundedAndUntested</t>
  </si>
  <si>
    <t>IsUngroundedAndUntested</t>
  </si>
  <si>
    <t>=AND({{BindsDespiteLapsedRatification}}, {{IsUntested}})</t>
  </si>
  <si>
    <t>AuthorityBoundaries.ConstrainedRoleAssignmentKey</t>
  </si>
  <si>
    <t>ConstrainedRoleAssignmentKey</t>
  </si>
  <si>
    <t>=IF({{BindsDespiteLapsedRatification}}, {{AuthorityRole}}, "")</t>
  </si>
  <si>
    <t>AuthorityBoundaries.SemanticTypeIri</t>
  </si>
  <si>
    <t>BindingObservations.BindingObservationId</t>
  </si>
  <si>
    <t>BindingObservations</t>
  </si>
  <si>
    <t>BindingObservationId</t>
  </si>
  <si>
    <t>BindingObservations.Name</t>
  </si>
  <si>
    <t>={{StepExecution}} &amp; " / " &amp; {{BindingObservationId}}</t>
  </si>
  <si>
    <t>BindingObservations.StepExecution</t>
  </si>
  <si>
    <t>BindingObservations.OperationalBinding</t>
  </si>
  <si>
    <t>OperationalBinding</t>
  </si>
  <si>
    <t>BindingObservations.ObservedSourceTimestamp</t>
  </si>
  <si>
    <t>ObservedSourceTimestamp</t>
  </si>
  <si>
    <t>BindingObservations.ReadAt</t>
  </si>
  <si>
    <t>ReadAt</t>
  </si>
  <si>
    <t>BindingObservations.SlaMinutesAtRun</t>
  </si>
  <si>
    <t>SlaMinutesAtRun</t>
  </si>
  <si>
    <t>=INDEX(OperationalBindings!{{FreshnessSlaMinutes}}, MATCH({{OperationalBinding}}, OperationalBindings!{{OperationalBindingId}}, 0))</t>
  </si>
  <si>
    <t>BindingObservations.AgeAtRunMinutes</t>
  </si>
  <si>
    <t>AgeAtRunMinutes</t>
  </si>
  <si>
    <t>=DATETIME_DIFF({{ReadAt}}, {{ObservedSourceTimestamp}}, "minutes")</t>
  </si>
  <si>
    <t>BindingObservations.WasStaleAtRun</t>
  </si>
  <si>
    <t>WasStaleAtRun</t>
  </si>
  <si>
    <t>=AND({{IsAuthoritativeBinding}}, {{AgeAtRunMinutes}} &gt; {{SlaMinutesAtRun}})</t>
  </si>
  <si>
    <t>BindingObservations.IsAuthoritativeBinding</t>
  </si>
  <si>
    <t>IsAuthoritativeBinding</t>
  </si>
  <si>
    <t>=INDEX(OperationalBindings!{{IsAuthoritative}}, MATCH({{OperationalBinding}}, OperationalBindings!{{OperationalBindingId}}, 0))</t>
  </si>
  <si>
    <t>BindingObservations.StaleAtRunStepKey</t>
  </si>
  <si>
    <t>StaleAtRunStepKey</t>
  </si>
  <si>
    <t>=IF({{WasStaleAtRun}}, {{StepExecution}}, "")</t>
  </si>
  <si>
    <t>Attestations.AttestationId</t>
  </si>
  <si>
    <t>Attestations</t>
  </si>
  <si>
    <t>AttestationId</t>
  </si>
  <si>
    <t>Attestations.Name</t>
  </si>
  <si>
    <t>={{ProcedureExecution}} &amp; " / " &amp; {{AttestationId}}</t>
  </si>
  <si>
    <t>Attestations.ProcedureExecution</t>
  </si>
  <si>
    <t>Attestations.SignedByAgent</t>
  </si>
  <si>
    <t>SignedByAgent</t>
  </si>
  <si>
    <t>Attestations.SignedAt</t>
  </si>
  <si>
    <t>SignedAt</t>
  </si>
  <si>
    <t>Attestations.AssuranceGradeAtSigning</t>
  </si>
  <si>
    <t>AssuranceGradeAtSigning</t>
  </si>
  <si>
    <t>Attestations.VersionWasFitAtSigning</t>
  </si>
  <si>
    <t>VersionWasFitAtSigning</t>
  </si>
  <si>
    <t>Attestations.VersionIsFitNow</t>
  </si>
  <si>
    <t>VersionIsFitNow</t>
  </si>
  <si>
    <t>=INDEX(ProcedureExecutions!{{ExecutedVersionIsFit}}, MATCH({{ProcedureExecution}}, ProcedureExecutions!{{ProcedureExecutionId}}, 0))</t>
  </si>
  <si>
    <t>Attestations.FitnessVerdictHasDrifted</t>
  </si>
  <si>
    <t>FitnessVerdictHasDrifted</t>
  </si>
  <si>
    <t>=NOT({{VersionWasFitAtSigning}} = {{VersionIsFitNow}})</t>
  </si>
  <si>
    <t>Attestations.AssuranceGradeNow</t>
  </si>
  <si>
    <t>AssuranceGradeNow</t>
  </si>
  <si>
    <t>=INDEX(ProcedureExecutions!{{AssuranceGrade}}, MATCH({{ProcedureExecution}}, ProcedureExecutions!{{ProcedureExecutionId}}, 0))</t>
  </si>
  <si>
    <t>Attestations.AssuranceGradeHasDrifted</t>
  </si>
  <si>
    <t>AssuranceGradeHasDrifted</t>
  </si>
  <si>
    <t>=NOT({{AssuranceGradeAtSigning}} = {{AssuranceGradeNow}})</t>
  </si>
  <si>
    <t>Attestations.WouldNotSurviveRestatement</t>
  </si>
  <si>
    <t>WouldNotSurviveRestatement</t>
  </si>
  <si>
    <t>=OR({{FitnessVerdictHasDrifted}}, {{AssuranceGradeHasDrifted}})</t>
  </si>
  <si>
    <t>AppRoleProfiles.AppRoleProfileId</t>
  </si>
  <si>
    <t>AppRoleProfileId</t>
  </si>
  <si>
    <t>AppRoleProfiles.Name</t>
  </si>
  <si>
    <t>={{DisplayLabel}} &amp; " (" &amp; {{RoleKind}} &amp; ")"</t>
  </si>
  <si>
    <t>AppRoleProfiles.Role</t>
  </si>
  <si>
    <t>AppRoleProfiles.DisplayLabel</t>
  </si>
  <si>
    <t>DisplayLabel</t>
  </si>
  <si>
    <t>AppRoleProfiles.RoleKind</t>
  </si>
  <si>
    <t>RoleKind</t>
  </si>
  <si>
    <t>AppRoleProfiles.AccentColor</t>
  </si>
  <si>
    <t>AccentColor</t>
  </si>
  <si>
    <t>AppRoleProfiles.IconMark</t>
  </si>
  <si>
    <t>IconMark</t>
  </si>
  <si>
    <t>AppRoleProfiles.IconPngBase64</t>
  </si>
  <si>
    <t>IconPngBase64</t>
  </si>
  <si>
    <t>AppRoleProfiles.Pitch</t>
  </si>
  <si>
    <t>Pitch</t>
  </si>
  <si>
    <t>AppRoleProfiles.SortOrder</t>
  </si>
  <si>
    <t>SortOrder</t>
  </si>
  <si>
    <t>AppRoleProfiles.RouteCount</t>
  </si>
  <si>
    <t>RouteCount</t>
  </si>
  <si>
    <t>=COUNTIFS(AppRoutes!{{OwningRole}}, {{Role}})</t>
  </si>
  <si>
    <t>AppRoleProfiles.SemanticTypeIri</t>
  </si>
  <si>
    <t>AppNavGroups.AppNavGroupId</t>
  </si>
  <si>
    <t>AppNavGroupId</t>
  </si>
  <si>
    <t>AppNavGroups.Name</t>
  </si>
  <si>
    <t>={{GroupLabel}}</t>
  </si>
  <si>
    <t>AppNavGroups.GroupLabel</t>
  </si>
  <si>
    <t>GroupLabel</t>
  </si>
  <si>
    <t>AppNavGroups.RouteCount</t>
  </si>
  <si>
    <t>=COUNTIFS(AppRoutes!{{NavGroup}}, {{AppNavGroupId}})</t>
  </si>
  <si>
    <t>AppNavGroups.SemanticTypeIri</t>
  </si>
  <si>
    <t>AppRoutes.AppRouteId</t>
  </si>
  <si>
    <t>AppRouteId</t>
  </si>
  <si>
    <t>AppRoutes.Name</t>
  </si>
  <si>
    <t>={{RouteName}} &amp; " — " &amp; {{RoutePath}}</t>
  </si>
  <si>
    <t>AppRoutes.RoutePath</t>
  </si>
  <si>
    <t>RoutePath</t>
  </si>
  <si>
    <t>AppRoutes.RouteName</t>
  </si>
  <si>
    <t>RouteName</t>
  </si>
  <si>
    <t>AppRoutes.Surface</t>
  </si>
  <si>
    <t>Surface</t>
  </si>
  <si>
    <t>AppRoutes.OwningRole</t>
  </si>
  <si>
    <t>OwningRole</t>
  </si>
  <si>
    <t>AppRoutes.NavGroup</t>
  </si>
  <si>
    <t>NavGroup</t>
  </si>
  <si>
    <t>AppRoutes.NavOrder</t>
  </si>
  <si>
    <t>NavOrder</t>
  </si>
  <si>
    <t>AppRoutes.RouteKind</t>
  </si>
  <si>
    <t>RouteKind</t>
  </si>
  <si>
    <t>AppRoutes.Purpose</t>
  </si>
  <si>
    <t>AppRoutes.LayoutHints</t>
  </si>
  <si>
    <t>LayoutHints</t>
  </si>
  <si>
    <t>AppRoutes.IsInNav</t>
  </si>
  <si>
    <t>IsInNav</t>
  </si>
  <si>
    <t>={{NavGroup}} &lt;&gt; ""</t>
  </si>
  <si>
    <t>AppRoutes.IsShared</t>
  </si>
  <si>
    <t>IsShared</t>
  </si>
  <si>
    <t>=AND({{OwningRole}} = "", {{Surface}} = "domain")</t>
  </si>
  <si>
    <t>AppRoutes.IsMaintainer</t>
  </si>
  <si>
    <t>IsMaintainer</t>
  </si>
  <si>
    <t>={{Surface}} = "maintainer"</t>
  </si>
  <si>
    <t>AppRoutes.QuestionCount</t>
  </si>
  <si>
    <t>=COUNTIFS(AppRouteQuestions!{{Route}}, {{AppRouteId}})</t>
  </si>
  <si>
    <t>AppRoutes.ReferenceCount</t>
  </si>
  <si>
    <t>ReferenceCount</t>
  </si>
  <si>
    <t>=COUNTIFS(AppRouteReferences!{{FromRoute}}, {{AppRouteId}})</t>
  </si>
  <si>
    <t>AppRoutes.AnswersNoQuestion</t>
  </si>
  <si>
    <t>AnswersNoQuestion</t>
  </si>
  <si>
    <t>=AND({{QuestionCount}} = 0, {{IsShared}} = FALSE, {{IsMaintainer}} = FALSE, {{RouteKind}} &lt;&gt; "index")</t>
  </si>
  <si>
    <t>AppRoutes.SemanticTypeIri</t>
  </si>
  <si>
    <t>AppRouteQuestions.AppRouteQuestionId</t>
  </si>
  <si>
    <t>AppRouteQuestionId</t>
  </si>
  <si>
    <t>AppRouteQuestions.Name</t>
  </si>
  <si>
    <t>={{Route}} &amp; " answers " &amp; {{Question}}</t>
  </si>
  <si>
    <t>AppRouteQuestions.Route</t>
  </si>
  <si>
    <t>Route</t>
  </si>
  <si>
    <t>AppRouteQuestions.Question</t>
  </si>
  <si>
    <t>AppRouteQuestions.SemanticTypeIri</t>
  </si>
  <si>
    <t>AppRouteReferences.AppRouteReferenceId</t>
  </si>
  <si>
    <t>AppRouteReferenceId</t>
  </si>
  <si>
    <t>AppRouteReferences.Name</t>
  </si>
  <si>
    <t>={{FromRoute}} &amp; " -&gt; " &amp; {{ToRoute}}</t>
  </si>
  <si>
    <t>AppRouteReferences.FromRoute</t>
  </si>
  <si>
    <t>FromRoute</t>
  </si>
  <si>
    <t>AppRouteReferences.ToRoute</t>
  </si>
  <si>
    <t>ToRoute</t>
  </si>
  <si>
    <t>AppRouteReferences.SemanticTypeIri</t>
  </si>
  <si>
    <t>RulebookTables.RulebookTableId</t>
  </si>
  <si>
    <t>RulebookTables</t>
  </si>
  <si>
    <t>RulebookTableId</t>
  </si>
  <si>
    <t>RulebookTables.TableName</t>
  </si>
  <si>
    <t>TableName</t>
  </si>
  <si>
    <t>RulebookTables.Name</t>
  </si>
  <si>
    <t>={{TableName}}</t>
  </si>
  <si>
    <t>RulebookTables.PhysicalTable</t>
  </si>
  <si>
    <t>PhysicalTable</t>
  </si>
  <si>
    <t>RulebookTables.PhysicalView</t>
  </si>
  <si>
    <t>PhysicalView</t>
  </si>
  <si>
    <t>RulebookTables.SubjectArea</t>
  </si>
  <si>
    <t>SubjectArea</t>
  </si>
  <si>
    <t>RulebookTables.IsExtension</t>
  </si>
  <si>
    <t>IsExtension</t>
  </si>
  <si>
    <t>RulebookTables.FieldCount</t>
  </si>
  <si>
    <t>FieldCount</t>
  </si>
  <si>
    <t>=COUNTIFS(RulebookFields!{{TargetTable}}, {{RulebookTableId}})</t>
  </si>
  <si>
    <t>RulebookTables.PolicyCount</t>
  </si>
  <si>
    <t>PolicyCount</t>
  </si>
  <si>
    <t>=COUNTIFS(AccessPolicies!{{TargetTable}}, {{RulebookTableId}})</t>
  </si>
  <si>
    <t>RulebookTables.IsUnsecured</t>
  </si>
  <si>
    <t>IsUnsecured</t>
  </si>
  <si>
    <t>={{PolicyCount}} = 0</t>
  </si>
  <si>
    <t>RulebookTables.DisagreeingSubstrateCount</t>
  </si>
  <si>
    <t>=COUNTIFS(TableConformance!{{ImperfectTableKey}}, {{RulebookTableId}})</t>
  </si>
  <si>
    <t>RulebookTables.SemanticTypeIri</t>
  </si>
  <si>
    <t>AccessPrincipals.AccessPrincipalId</t>
  </si>
  <si>
    <t>AccessPrincipals</t>
  </si>
  <si>
    <t>AccessPrincipalId</t>
  </si>
  <si>
    <t>AccessPrincipals.Name</t>
  </si>
  <si>
    <t>AccessPrincipals.Label</t>
  </si>
  <si>
    <t>AccessPrincipals.DomainRole</t>
  </si>
  <si>
    <t>DomainRole</t>
  </si>
  <si>
    <t>AccessPrincipals.PgRoleName</t>
  </si>
  <si>
    <t>PgRoleName</t>
  </si>
  <si>
    <t>AccessPrincipals.SchemaName</t>
  </si>
  <si>
    <t>SchemaName</t>
  </si>
  <si>
    <t>AccessPrincipals.IsAdministrator</t>
  </si>
  <si>
    <t>IsAdministrator</t>
  </si>
  <si>
    <t>AccessPrincipals.OrganizationScope</t>
  </si>
  <si>
    <t>OrganizationScope</t>
  </si>
  <si>
    <t>=INDEX(Roles!{{Organization}}, MATCH({{DomainRole}}, Roles!{{RoleId}}, 0))</t>
  </si>
  <si>
    <t>AccessPrincipals.RoleLabel</t>
  </si>
  <si>
    <t>RoleLabel</t>
  </si>
  <si>
    <t>=INDEX(Roles!{{Label}}, MATCH({{DomainRole}}, Roles!{{RoleId}}, 0))</t>
  </si>
  <si>
    <t>AccessPrincipals.PolicyCount</t>
  </si>
  <si>
    <t>=COUNTIFS(AccessPolicies!{{Principal}}, {{AccessPrincipalId}})</t>
  </si>
  <si>
    <t>AccessPrincipals.GrantCount</t>
  </si>
  <si>
    <t>GrantCount</t>
  </si>
  <si>
    <t>=COUNTIFS(FieldGrants!{{Principal}}, {{AccessPrincipalId}})</t>
  </si>
  <si>
    <t>AccessPrincipals.VisibleTableCount</t>
  </si>
  <si>
    <t>VisibleTableCount</t>
  </si>
  <si>
    <t>=COUNTIFS(RoleSchemaViews!{{Principal}}, {{AccessPrincipalId}})</t>
  </si>
  <si>
    <t>AccessPrincipals.HasNoAccess</t>
  </si>
  <si>
    <t>HasNoAccess</t>
  </si>
  <si>
    <t>AccessPrincipals.IsOverPrivileged</t>
  </si>
  <si>
    <t>IsOverPrivileged</t>
  </si>
  <si>
    <t>=AND(NOT({{IsAdministrator}}), {{VisibleTableCount}} &gt;= 74)</t>
  </si>
  <si>
    <t>AccessPrincipals.SemanticTypeIri</t>
  </si>
  <si>
    <t>AccessPolicies.AccessPolicyId</t>
  </si>
  <si>
    <t>AccessPolicies</t>
  </si>
  <si>
    <t>AccessPolicyId</t>
  </si>
  <si>
    <t>AccessPolicies.Name</t>
  </si>
  <si>
    <t>={{Principal}} &amp; " " &amp; {{Command}} &amp; " " &amp; {{TargetTable}}</t>
  </si>
  <si>
    <t>AccessPolicies.Principal</t>
  </si>
  <si>
    <t>Principal</t>
  </si>
  <si>
    <t>AccessPolicies.TargetTable</t>
  </si>
  <si>
    <t>AccessPolicies.Command</t>
  </si>
  <si>
    <t>Command</t>
  </si>
  <si>
    <t>AccessPolicies.RowPredicate</t>
  </si>
  <si>
    <t>RowPredicate</t>
  </si>
  <si>
    <t>AccessPolicies.CheckPredicate</t>
  </si>
  <si>
    <t>CheckPredicate</t>
  </si>
  <si>
    <t>AccessPolicies.Rationale</t>
  </si>
  <si>
    <t>AccessPolicies.ReferencesInference</t>
  </si>
  <si>
    <t>ReferencesInference</t>
  </si>
  <si>
    <t>AccessPolicies.IsWriteCommand</t>
  </si>
  <si>
    <t>IsWriteCommand</t>
  </si>
  <si>
    <t>=OR({{Command}} = "INSERT", {{Command}} = "UPDATE", {{Command}} = "DELETE", {{Command}} = "ALL")</t>
  </si>
  <si>
    <t>AccessPolicies.IsUnrestricted</t>
  </si>
  <si>
    <t>IsUnrestricted</t>
  </si>
  <si>
    <t>={{RowPredicate}} = ""</t>
  </si>
  <si>
    <t>AccessPolicies.PrincipalIsAdmin</t>
  </si>
  <si>
    <t>PrincipalIsAdmin</t>
  </si>
  <si>
    <t>=INDEX(AccessPrincipals!{{IsAdministrator}}, MATCH({{Principal}}, AccessPrincipals!{{AccessPrincipalId}}, 0))</t>
  </si>
  <si>
    <t>AccessPolicies.IsUnrestrictedNonAdminGrant</t>
  </si>
  <si>
    <t>IsUnrestrictedNonAdminGrant</t>
  </si>
  <si>
    <t>=AND({{IsUnrestricted}}, NOT({{PrincipalIsAdmin}}))</t>
  </si>
  <si>
    <t>AccessPolicies.IsUnwitnessedWrite</t>
  </si>
  <si>
    <t>IsUnwitnessedWrite</t>
  </si>
  <si>
    <t>=AND({{IsWriteCommand}}, {{DenialTestCount}} = 0)</t>
  </si>
  <si>
    <t>AccessPolicies.DenialTestCount</t>
  </si>
  <si>
    <t>DenialTestCount</t>
  </si>
  <si>
    <t>=COUNTIFS(AccessDenialTests!{{TargetPolicy}}, {{AccessPolicyId}})</t>
  </si>
  <si>
    <t>AccessPolicies.SemanticTypeIri</t>
  </si>
  <si>
    <t>FieldGrants.FieldGrantId</t>
  </si>
  <si>
    <t>FieldGrants</t>
  </si>
  <si>
    <t>FieldGrantId</t>
  </si>
  <si>
    <t>FieldGrants.Name</t>
  </si>
  <si>
    <t>={{Principal}} &amp; " -&gt; " &amp; {{TargetField}}</t>
  </si>
  <si>
    <t>FieldGrants.Principal</t>
  </si>
  <si>
    <t>FieldGrants.TargetField</t>
  </si>
  <si>
    <t>FieldGrants.CanRead</t>
  </si>
  <si>
    <t>CanRead</t>
  </si>
  <si>
    <t>FieldGrants.CanWrite</t>
  </si>
  <si>
    <t>CanWrite</t>
  </si>
  <si>
    <t>FieldGrants.MaskStrategy</t>
  </si>
  <si>
    <t>MaskStrategy</t>
  </si>
  <si>
    <t>FieldGrants.FieldTable</t>
  </si>
  <si>
    <t>FieldTable</t>
  </si>
  <si>
    <t>=INDEX(RulebookFields!{{TargetTable}}, MATCH({{TargetField}}, RulebookFields!{{RulebookFieldId}}, 0))</t>
  </si>
  <si>
    <t>FieldGrants.FieldName</t>
  </si>
  <si>
    <t>=INDEX(RulebookFields!{{FieldName}}, MATCH({{TargetField}}, RulebookFields!{{RulebookFieldId}}, 0))</t>
  </si>
  <si>
    <t>FieldGrants.FieldIsDerived</t>
  </si>
  <si>
    <t>FieldIsDerived</t>
  </si>
  <si>
    <t>=INDEX(RulebookFields!{{IsDerived}}, MATCH({{TargetField}}, RulebookFields!{{RulebookFieldId}}, 0))</t>
  </si>
  <si>
    <t>FieldGrants.IsWritableDerivedField</t>
  </si>
  <si>
    <t>IsWritableDerivedField</t>
  </si>
  <si>
    <t>=AND({{CanWrite}}, {{FieldIsDerived}})</t>
  </si>
  <si>
    <t>FieldGrants.IsMasked</t>
  </si>
  <si>
    <t>IsMasked</t>
  </si>
  <si>
    <t>=AND({{MaskStrategy}} &lt;&gt; "plain", {{MaskStrategy}} &lt;&gt; "")</t>
  </si>
  <si>
    <t>FieldGrants.GrantKeyWhenReadable</t>
  </si>
  <si>
    <t>GrantKeyWhenReadable</t>
  </si>
  <si>
    <t>=IF({{CanRead}}, {{Principal}} &amp; "|" &amp; {{FieldTable}}, "")</t>
  </si>
  <si>
    <t>FieldGrants.SemanticTypeIri</t>
  </si>
  <si>
    <t>RoleSchemas.RoleSchemaId</t>
  </si>
  <si>
    <t>RoleSchemas</t>
  </si>
  <si>
    <t>RoleSchemaId</t>
  </si>
  <si>
    <t>RoleSchemas.Name</t>
  </si>
  <si>
    <t>={{SchemaName}}</t>
  </si>
  <si>
    <t>RoleSchemas.Principal</t>
  </si>
  <si>
    <t>RoleSchemas.SchemaName</t>
  </si>
  <si>
    <t>RoleSchemas.SearchPath</t>
  </si>
  <si>
    <t>SearchPath</t>
  </si>
  <si>
    <t>RoleSchemas.IsSealed</t>
  </si>
  <si>
    <t>IsSealed</t>
  </si>
  <si>
    <t>RoleSchemas.ViewCount</t>
  </si>
  <si>
    <t>ViewCount</t>
  </si>
  <si>
    <t>=COUNTIFS(RoleSchemaViews!{{RoleSchema}}, {{RoleSchemaId}})</t>
  </si>
  <si>
    <t>RoleSchemas.IsEmptySchema</t>
  </si>
  <si>
    <t>IsEmptySchema</t>
  </si>
  <si>
    <t>={{ViewCount}} = 0</t>
  </si>
  <si>
    <t>RoleSchemas.SemanticTypeIri</t>
  </si>
  <si>
    <t>RoleSchemaViews.RoleSchemaViewId</t>
  </si>
  <si>
    <t>RoleSchemaViews</t>
  </si>
  <si>
    <t>RoleSchemaViewId</t>
  </si>
  <si>
    <t>RoleSchemaViews.Name</t>
  </si>
  <si>
    <t>={{SchemaName}} &amp; "." &amp; {{ViewName}}</t>
  </si>
  <si>
    <t>RoleSchemaViews.RoleSchema</t>
  </si>
  <si>
    <t>RoleSchema</t>
  </si>
  <si>
    <t>RoleSchemaViews.Principal</t>
  </si>
  <si>
    <t>RoleSchemaViews.TargetTable</t>
  </si>
  <si>
    <t>RoleSchemaViews.ViewName</t>
  </si>
  <si>
    <t>ViewName</t>
  </si>
  <si>
    <t>RoleSchemaViews.SchemaName</t>
  </si>
  <si>
    <t>=INDEX(RoleSchemas!{{SchemaName}}, MATCH({{RoleSchema}}, RoleSchemas!{{RoleSchemaId}}, 0))</t>
  </si>
  <si>
    <t>RoleSchemaViews.SourceView</t>
  </si>
  <si>
    <t>SourceView</t>
  </si>
  <si>
    <t>=INDEX(RulebookTables!{{PhysicalView}}, MATCH({{TargetTable}}, RulebookTables!{{RulebookTableId}}, 0))</t>
  </si>
  <si>
    <t>RoleSchemaViews.GrantKey</t>
  </si>
  <si>
    <t>GrantKey</t>
  </si>
  <si>
    <t>={{Principal}} &amp; "|" &amp; {{TargetTable}}</t>
  </si>
  <si>
    <t>RoleSchemaViews.ColumnCount</t>
  </si>
  <si>
    <t>ColumnCount</t>
  </si>
  <si>
    <t>=COUNTIFS(FieldGrants!{{GrantKeyWhenReadable}}, {{GrantKey}})</t>
  </si>
  <si>
    <t>RoleSchemaViews.TableFieldCount</t>
  </si>
  <si>
    <t>TableFieldCount</t>
  </si>
  <si>
    <t>=INDEX(RulebookTables!{{FieldCount}}, MATCH({{TargetTable}}, RulebookTables!{{RulebookTableId}}, 0))</t>
  </si>
  <si>
    <t>RoleSchemaViews.IsFullWidth</t>
  </si>
  <si>
    <t>IsFullWidth</t>
  </si>
  <si>
    <t>=AND({{ColumnCount}} &gt; 0, {{ColumnCount}} &gt;= {{TableFieldCount}})</t>
  </si>
  <si>
    <t>RoleSchemaViews.IsDegenerateView</t>
  </si>
  <si>
    <t>IsDegenerateView</t>
  </si>
  <si>
    <t>={{ColumnCount}} = 0</t>
  </si>
  <si>
    <t>RoleSchemaViews.SemanticTypeIri</t>
  </si>
  <si>
    <t>JwtClaimMappings.JwtClaimMappingId</t>
  </si>
  <si>
    <t>JwtClaimMappings</t>
  </si>
  <si>
    <t>JwtClaimMappingId</t>
  </si>
  <si>
    <t>JwtClaimMappings.Name</t>
  </si>
  <si>
    <t>={{ClaimName}} &amp; " -&gt; " &amp; {{SqlAccessor}}</t>
  </si>
  <si>
    <t>JwtClaimMappings.ClaimName</t>
  </si>
  <si>
    <t>ClaimName</t>
  </si>
  <si>
    <t>JwtClaimMappings.SqlAccessor</t>
  </si>
  <si>
    <t>SqlAccessor</t>
  </si>
  <si>
    <t>JwtClaimMappings.IsReservedClaim</t>
  </si>
  <si>
    <t>IsReservedClaim</t>
  </si>
  <si>
    <t>JwtClaimMappings.MapsToPrincipal</t>
  </si>
  <si>
    <t>MapsToPrincipal</t>
  </si>
  <si>
    <t>JwtClaimMappings.Description2</t>
  </si>
  <si>
    <t>Description2</t>
  </si>
  <si>
    <t>JwtClaimMappings.UsageCount</t>
  </si>
  <si>
    <t>UsageCount</t>
  </si>
  <si>
    <t>=COUNTIFS(AccessPolicies!{{RowPredicate}}, {{SqlAccessor}})</t>
  </si>
  <si>
    <t>JwtClaimMappings.SemanticTypeIri</t>
  </si>
  <si>
    <t>AccessDenialTests.AccessDenialTestId</t>
  </si>
  <si>
    <t>AccessDenialTests</t>
  </si>
  <si>
    <t>AccessDenialTestId</t>
  </si>
  <si>
    <t>AccessDenialTests.Name</t>
  </si>
  <si>
    <t>={{Principal}} &amp; " must not see " &amp; {{ForbiddenRowId}}</t>
  </si>
  <si>
    <t>AccessDenialTests.TargetPolicy</t>
  </si>
  <si>
    <t>TargetPolicy</t>
  </si>
  <si>
    <t>AccessDenialTests.Principal</t>
  </si>
  <si>
    <t>AccessDenialTests.TargetTable</t>
  </si>
  <si>
    <t>AccessDenialTests.ForbiddenRowId</t>
  </si>
  <si>
    <t>ForbiddenRowId</t>
  </si>
  <si>
    <t>AccessDenialTests.ExpectedVisible</t>
  </si>
  <si>
    <t>ExpectedVisible</t>
  </si>
  <si>
    <t>AccessDenialTests.ObservedVisible</t>
  </si>
  <si>
    <t>ObservedVisible</t>
  </si>
  <si>
    <t>AccessDenialTests.LastRunAt</t>
  </si>
  <si>
    <t>AccessDenialTests.HasRun</t>
  </si>
  <si>
    <t>HasRun</t>
  </si>
  <si>
    <t>={{LastRunAt}} &lt;&gt; ""</t>
  </si>
  <si>
    <t>AccessDenialTests.IsPassing</t>
  </si>
  <si>
    <t>={{ObservedVisible}} = {{ExpectedVisible}}</t>
  </si>
  <si>
    <t>AccessDenialTests.IsLeak</t>
  </si>
  <si>
    <t>IsLeak</t>
  </si>
  <si>
    <t>=AND(NOT({{ExpectedVisible}}), {{ObservedVisible}})</t>
  </si>
  <si>
    <t>AccessDenialTests.IsUnproven</t>
  </si>
  <si>
    <t>IsUnproven</t>
  </si>
  <si>
    <t>=NOT({{HasRun}})</t>
  </si>
  <si>
    <t>AccessDenialTests.Rationale</t>
  </si>
  <si>
    <t>AccessDenialTests.IsPositiveControl</t>
  </si>
  <si>
    <t>IsPositiveControl</t>
  </si>
  <si>
    <t>={{ExpectedVisible}}</t>
  </si>
  <si>
    <t>AccessDenialTests.ForbiddenTable</t>
  </si>
  <si>
    <t>ForbiddenTable</t>
  </si>
  <si>
    <t>AccessDenialTests.ForbiddenColumn</t>
  </si>
  <si>
    <t>ForbiddenColumn</t>
  </si>
  <si>
    <t>AccessDenialTests.SemanticTypeIri</t>
  </si>
  <si>
    <t>AppUsers.AppUserId</t>
  </si>
  <si>
    <t>AppUsers</t>
  </si>
  <si>
    <t>AppUserId</t>
  </si>
  <si>
    <t>AppUsers.Name</t>
  </si>
  <si>
    <t>AppUsers.EmailAddress</t>
  </si>
  <si>
    <t>AppUsers.DisplayName</t>
  </si>
  <si>
    <t>AppUsers.LinkedAgent</t>
  </si>
  <si>
    <t>LinkedAgent</t>
  </si>
  <si>
    <t>AppUsers.IsEnabled</t>
  </si>
  <si>
    <t>IsEnabled</t>
  </si>
  <si>
    <t>AppUsers.AgentKind</t>
  </si>
  <si>
    <t>=INDEX(Agents!{{AgentKind}}, MATCH({{LinkedAgent}}, Agents!{{AgentId}}, 0))</t>
  </si>
  <si>
    <t>AppUsers.Organization</t>
  </si>
  <si>
    <t>=INDEX(Agents!{{Organization}}, MATCH({{LinkedAgent}}, Agents!{{AgentId}}, 0))</t>
  </si>
  <si>
    <t>AppUsers.AssignmentCount</t>
  </si>
  <si>
    <t>AssignmentCount</t>
  </si>
  <si>
    <t>=COUNTIFS(PrincipalAssignments!{{AppUser}}, {{AppUserId}})</t>
  </si>
  <si>
    <t>AppUsers.HasNoPrincipal</t>
  </si>
  <si>
    <t>HasNoPrincipal</t>
  </si>
  <si>
    <t>={{AssignmentCount}} = 0</t>
  </si>
  <si>
    <t>AppUsers.HoldsMultiplePrincipals</t>
  </si>
  <si>
    <t>HoldsMultiplePrincipals</t>
  </si>
  <si>
    <t>={{AssignmentCount}} &gt; 1</t>
  </si>
  <si>
    <t>AppUsers.IsNonHumanSignIn</t>
  </si>
  <si>
    <t>IsNonHumanSignIn</t>
  </si>
  <si>
    <t>=OR({{AgentKind}} = "AIAgent", {{AgentKind}} = "AutomatedPipeline")</t>
  </si>
  <si>
    <t>AppUsers.SemanticTypeIri</t>
  </si>
  <si>
    <t>PrincipalAssignments.PrincipalAssignmentId</t>
  </si>
  <si>
    <t>PrincipalAssignments</t>
  </si>
  <si>
    <t>PrincipalAssignmentId</t>
  </si>
  <si>
    <t>PrincipalAssignments.Name</t>
  </si>
  <si>
    <t>={{AppUser}} &amp; " as " &amp; {{Principal}}</t>
  </si>
  <si>
    <t>PrincipalAssignments.AppUser</t>
  </si>
  <si>
    <t>AppUser</t>
  </si>
  <si>
    <t>PrincipalAssignments.Principal</t>
  </si>
  <si>
    <t>PrincipalAssignments.IsDefault</t>
  </si>
  <si>
    <t>IsDefault</t>
  </si>
  <si>
    <t>PrincipalAssignments.GrantedRationale</t>
  </si>
  <si>
    <t>GrantedRationale</t>
  </si>
  <si>
    <t>PrincipalAssignments.PrincipalIsAdmin</t>
  </si>
  <si>
    <t>PrincipalAssignments.UserOrganization</t>
  </si>
  <si>
    <t>UserOrganization</t>
  </si>
  <si>
    <t>=INDEX(AppUsers!{{Organization}}, MATCH({{AppUser}}, AppUsers!{{AppUserId}}, 0))</t>
  </si>
  <si>
    <t>PrincipalAssignments.PrincipalOrganization</t>
  </si>
  <si>
    <t>PrincipalOrganization</t>
  </si>
  <si>
    <t>=INDEX(AccessPrincipals!{{OrganizationScope}}, MATCH({{Principal}}, AccessPrincipals!{{AccessPrincipalId}}, 0))</t>
  </si>
  <si>
    <t>PrincipalAssignments.IsCrossOrganizationGrant</t>
  </si>
  <si>
    <t>IsCrossOrganizationGrant</t>
  </si>
  <si>
    <t>=AND({{UserOrganization}} &lt;&gt; "", {{PrincipalOrganization}} &lt;&gt; "", {{UserOrganization}} &lt;&gt; {{PrincipalOrganization}})</t>
  </si>
  <si>
    <t>PrincipalAssignments.SemanticTypeIri</t>
  </si>
  <si>
    <t>IssuedTokens.IssuedTokenId</t>
  </si>
  <si>
    <t>IssuedTokens</t>
  </si>
  <si>
    <t>IssuedTokenId</t>
  </si>
  <si>
    <t>IssuedTokens.Name</t>
  </si>
  <si>
    <t>={{AppUser}} &amp; " as " &amp; {{Principal}} &amp; " @ " &amp; {{IssuedAt}}</t>
  </si>
  <si>
    <t>IssuedTokens.AppUser</t>
  </si>
  <si>
    <t>IssuedTokens.Principal</t>
  </si>
  <si>
    <t>IssuedTokens.IssuedAt</t>
  </si>
  <si>
    <t>IssuedTokens.ExpiresAt</t>
  </si>
  <si>
    <t>ExpiresAt</t>
  </si>
  <si>
    <t>IssuedTokens.Issuer</t>
  </si>
  <si>
    <t>Issuer</t>
  </si>
  <si>
    <t>IssuedTokens.SubjectClaim</t>
  </si>
  <si>
    <t>SubjectClaim</t>
  </si>
  <si>
    <t>IssuedTokens.ClaimsSnapshot</t>
  </si>
  <si>
    <t>ClaimsSnapshot</t>
  </si>
  <si>
    <t>IssuedTokens.IsDevMinted</t>
  </si>
  <si>
    <t>IsDevMinted</t>
  </si>
  <si>
    <t>={{Issuer}} = "dev-mint"</t>
  </si>
  <si>
    <t>IssuedTokens.SemanticTypeIri</t>
  </si>
  <si>
    <t>ProcessMiningRuns.ProcessMiningRunId</t>
  </si>
  <si>
    <t>ProcessMiningRunId</t>
  </si>
  <si>
    <t>ProcessMiningRuns.Name</t>
  </si>
  <si>
    <t>={{EventLogSource}} &amp; " / " &amp; {{MinedAt}}</t>
  </si>
  <si>
    <t>ProcessMiningRuns.ProcedureVersion</t>
  </si>
  <si>
    <t>ProcessMiningRuns.EventLogSource</t>
  </si>
  <si>
    <t>EventLogSource</t>
  </si>
  <si>
    <t>ProcessMiningRuns.MinedAt</t>
  </si>
  <si>
    <t>MinedAt</t>
  </si>
  <si>
    <t>ProcessMiningRuns.DiscoveredVariantCount</t>
  </si>
  <si>
    <t>DiscoveredVariantCount</t>
  </si>
  <si>
    <t>ProcessMiningRuns.ConformingVariantCount</t>
  </si>
  <si>
    <t>ConformingVariantCount</t>
  </si>
  <si>
    <t>ProcessMiningRuns.DeviationDescription</t>
  </si>
  <si>
    <t>DeviationDescription</t>
  </si>
  <si>
    <t>ProcessMiningRuns.EvaluationContext</t>
  </si>
  <si>
    <t>ProcessMiningRuns.AsOfInstant</t>
  </si>
  <si>
    <t>ProcessMiningRuns.ConformanceRate</t>
  </si>
  <si>
    <t>ConformanceRate</t>
  </si>
  <si>
    <t>=IF({{DiscoveredVariantCount}} = 0, 0, {{ConformingVariantCount}} / {{DiscoveredVariantCount}})</t>
  </si>
  <si>
    <t>ProcessMiningRuns.IsConformant</t>
  </si>
  <si>
    <t>IsConformant</t>
  </si>
  <si>
    <t>={{ConformanceRate}} &gt;= 0.8</t>
  </si>
  <si>
    <t>ProcessMiningRuns.HasMajorDriftFromDocumentation</t>
  </si>
  <si>
    <t>HasMajorDriftFromDocumentation</t>
  </si>
  <si>
    <t>={{ConformanceRate}} &lt; 0.5</t>
  </si>
  <si>
    <t>ProcessMiningRuns.DaysSinceMined</t>
  </si>
  <si>
    <t>DaysSinceMined</t>
  </si>
  <si>
    <t>=DATETIME_DIFF({{AsOfInstant}}, {{MinedAt}}, "days")</t>
  </si>
  <si>
    <t>ProcessMiningRuns.IsStaleMiningEvidence</t>
  </si>
  <si>
    <t>IsStaleMiningEvidence</t>
  </si>
  <si>
    <t>={{DaysSinceMined}} &gt; 180</t>
  </si>
  <si>
    <t>ProcessMiningRuns.ProcedureVersionIsLive</t>
  </si>
  <si>
    <t>ProcedureVersionIsLive</t>
  </si>
  <si>
    <t>ProcessMiningRuns.IsDriftOnLiveVersion</t>
  </si>
  <si>
    <t>IsDriftOnLiveVersion</t>
  </si>
  <si>
    <t>=AND({{HasMajorDriftFromDocumentation}}, {{ProcedureVersionIsLive}})</t>
  </si>
  <si>
    <t>ProcessMiningRuns.DriftedMiningRunKey</t>
  </si>
  <si>
    <t>DriftedMiningRunKey</t>
  </si>
  <si>
    <t>=IF({{IsDriftOnLiveVersion}}, {{ProcedureVersion}}, "")</t>
  </si>
  <si>
    <t>ProcessMiningRuns.SemanticTypeIri</t>
  </si>
  <si>
    <t>Vocabularies.VocabularyId</t>
  </si>
  <si>
    <t>VocabularyId</t>
  </si>
  <si>
    <t>Vocabularies.Name</t>
  </si>
  <si>
    <t>Vocabularies.Title</t>
  </si>
  <si>
    <t>Vocabularies.SchemeUri</t>
  </si>
  <si>
    <t>SchemeUri</t>
  </si>
  <si>
    <t>Vocabularies.GoverningRole</t>
  </si>
  <si>
    <t>GoverningRole</t>
  </si>
  <si>
    <t>Vocabularies.TermCount</t>
  </si>
  <si>
    <t>TermCount</t>
  </si>
  <si>
    <t>=COUNTIFS(VocabularyTerms!{{Vocabulary}}, {{VocabularyId}})</t>
  </si>
  <si>
    <t>Vocabularies.OrphanTermCount</t>
  </si>
  <si>
    <t>OrphanTermCount</t>
  </si>
  <si>
    <t>=COUNTIFS(VocabularyTerms!{{OrphanTermVocabularyKey}}, {{VocabularyId}})</t>
  </si>
  <si>
    <t>Vocabularies.HasOrphanTerms</t>
  </si>
  <si>
    <t>HasOrphanTerms</t>
  </si>
  <si>
    <t>={{OrphanTermCount}} &gt; 0</t>
  </si>
  <si>
    <t>Vocabularies.SemanticTypeIri</t>
  </si>
  <si>
    <t>VocabularyTerms.VocabularyTermId</t>
  </si>
  <si>
    <t>VocabularyTermId</t>
  </si>
  <si>
    <t>VocabularyTerms.Name</t>
  </si>
  <si>
    <t>={{PrefLabel}}</t>
  </si>
  <si>
    <t>VocabularyTerms.Vocabulary</t>
  </si>
  <si>
    <t>Vocabulary</t>
  </si>
  <si>
    <t>VocabularyTerms.PrefLabel</t>
  </si>
  <si>
    <t>PrefLabel</t>
  </si>
  <si>
    <t>VocabularyTerms.AltLabels</t>
  </si>
  <si>
    <t>AltLabels</t>
  </si>
  <si>
    <t>VocabularyTerms.Definition</t>
  </si>
  <si>
    <t>VocabularyTerms.UsageCount</t>
  </si>
  <si>
    <t>=COUNTIFS(Requirements!{{ControlledTerm}}, {{VocabularyTermId}})</t>
  </si>
  <si>
    <t>VocabularyTerms.IsOrphanTerm</t>
  </si>
  <si>
    <t>IsOrphanTerm</t>
  </si>
  <si>
    <t>={{UsageCount}} = 0</t>
  </si>
  <si>
    <t>VocabularyTerms.IsWidelyAdoptedTerm</t>
  </si>
  <si>
    <t>IsWidelyAdoptedTerm</t>
  </si>
  <si>
    <t>={{UsageCount}} &gt;= 2</t>
  </si>
  <si>
    <t>VocabularyTerms.OrphanTermVocabularyKey</t>
  </si>
  <si>
    <t>OrphanTermVocabularyKey</t>
  </si>
  <si>
    <t>=IF({{IsOrphanTerm}}, {{Vocabulary}}, "")</t>
  </si>
  <si>
    <t>VocabularyTerms.SemanticTypeIri</t>
  </si>
  <si>
    <t>KnowledgeBrokerLinks.KnowledgeBrokerLinkId</t>
  </si>
  <si>
    <t>KnowledgeBrokerLinkId</t>
  </si>
  <si>
    <t>KnowledgeBrokerLinks.Name</t>
  </si>
  <si>
    <t>={{Seeker}} &amp; " -&gt; " &amp; {{Broker}}</t>
  </si>
  <si>
    <t>KnowledgeBrokerLinks.Seeker</t>
  </si>
  <si>
    <t>Seeker</t>
  </si>
  <si>
    <t>KnowledgeBrokerLinks.Broker</t>
  </si>
  <si>
    <t>Broker</t>
  </si>
  <si>
    <t>KnowledgeBrokerLinks.Topic</t>
  </si>
  <si>
    <t>Topic</t>
  </si>
  <si>
    <t>KnowledgeBrokerLinks.Frequency</t>
  </si>
  <si>
    <t>Frequency</t>
  </si>
  <si>
    <t>KnowledgeBrokerLinks.LastConsultedAt</t>
  </si>
  <si>
    <t>LastConsultedAt</t>
  </si>
  <si>
    <t>KnowledgeBrokerLinks.EvaluationContext</t>
  </si>
  <si>
    <t>KnowledgeBrokerLinks.AsOfInstant</t>
  </si>
  <si>
    <t>KnowledgeBrokerLinks.DaysSinceConsulted</t>
  </si>
  <si>
    <t>DaysSinceConsulted</t>
  </si>
  <si>
    <t>=DATETIME_DIFF({{AsOfInstant}}, {{LastConsultedAt}}, "days")</t>
  </si>
  <si>
    <t>KnowledgeBrokerLinks.IsActiveReliance</t>
  </si>
  <si>
    <t>IsActiveReliance</t>
  </si>
  <si>
    <t>=AND(NOT({{Frequency}} = "Rarely"), {{DaysSinceConsulted}} &lt;= 180)</t>
  </si>
  <si>
    <t>KnowledgeBrokerLinks.BrokerIsStillEngaged</t>
  </si>
  <si>
    <t>BrokerIsStillEngaged</t>
  </si>
  <si>
    <t>=INDEX(Agents!{{IsStillEngaged}}, MATCH({{Broker}}, Agents!{{AgentId}}, 0))</t>
  </si>
  <si>
    <t>KnowledgeBrokerLinks.IsAtRiskReliance</t>
  </si>
  <si>
    <t>IsAtRiskReliance</t>
  </si>
  <si>
    <t>=AND({{IsActiveReliance}}, NOT({{BrokerIsStillEngaged}}))</t>
  </si>
  <si>
    <t>KnowledgeBrokerLinks.ActiveRelianceBrokerKey</t>
  </si>
  <si>
    <t>ActiveRelianceBrokerKey</t>
  </si>
  <si>
    <t>=IF({{IsActiveReliance}}, {{Broker}}, "")</t>
  </si>
  <si>
    <t>KnowledgeBrokerLinks.AtRiskBrokerKey</t>
  </si>
  <si>
    <t>AtRiskBrokerKey</t>
  </si>
  <si>
    <t>=IF({{IsAtRiskReliance}}, {{Broker}}, "")</t>
  </si>
  <si>
    <t>KnowledgeBrokerLinks.SemanticTypeIri</t>
  </si>
  <si>
    <t>ConformanceSubstrates.ConformanceSubstrateId</t>
  </si>
  <si>
    <t>ConformanceSubstrateId</t>
  </si>
  <si>
    <t>ConformanceSubstrates.Name</t>
  </si>
  <si>
    <t>ConformanceSubstrates.Label</t>
  </si>
  <si>
    <t>ConformanceSubstrates.Transpiler</t>
  </si>
  <si>
    <t>Transpiler</t>
  </si>
  <si>
    <t>ConformanceSubstrates.OutputFolder</t>
  </si>
  <si>
    <t>OutputFolder</t>
  </si>
  <si>
    <t>ConformanceSubstrates.Engine</t>
  </si>
  <si>
    <t>Engine</t>
  </si>
  <si>
    <t>ConformanceSubstrates.HowItComputes</t>
  </si>
  <si>
    <t>HowItComputes</t>
  </si>
  <si>
    <t>ConformanceSubstrates.Role</t>
  </si>
  <si>
    <t>ConformanceSubstrates.SortOrder</t>
  </si>
  <si>
    <t>ConformanceSubstrates.IsGraded</t>
  </si>
  <si>
    <t>IsGraded</t>
  </si>
  <si>
    <t>={{Role}} = "graded"</t>
  </si>
  <si>
    <t>ConformanceSubstrates.RunCount</t>
  </si>
  <si>
    <t>RunCount</t>
  </si>
  <si>
    <t>=COUNTIFS(SubstrateRunScores!{{Substrate}}, {{ConformanceSubstrateId}})</t>
  </si>
  <si>
    <t>ConformanceSubstrates.LatestCellsTested</t>
  </si>
  <si>
    <t>LatestCellsTested</t>
  </si>
  <si>
    <t>=SUMIFS(SubstrateRunScores!{{LatestCellsTested}}, SubstrateRunScores!{{Substrate}}, {{ConformanceSubstrateId}})</t>
  </si>
  <si>
    <t>ConformanceSubstrates.LatestCellsPassed</t>
  </si>
  <si>
    <t>LatestCellsPassed</t>
  </si>
  <si>
    <t>=SUMIFS(SubstrateRunScores!{{LatestCellsPassed}}, SubstrateRunScores!{{Substrate}}, {{ConformanceSubstrateId}})</t>
  </si>
  <si>
    <t>ConformanceSubstrates.LatestHarnessErrors</t>
  </si>
  <si>
    <t>LatestHarnessErrors</t>
  </si>
  <si>
    <t>=SUMIFS(SubstrateRunScores!{{LatestErrorFlag}}, SubstrateRunScores!{{Substrate}}, {{ConformanceSubstrateId}})</t>
  </si>
  <si>
    <t>ConformanceSubstrates.LatestCellsFailed</t>
  </si>
  <si>
    <t>LatestCellsFailed</t>
  </si>
  <si>
    <t>={{LatestCellsTested}} - {{LatestCellsPassed}}</t>
  </si>
  <si>
    <t>ConformanceSubstrates.LatestScore</t>
  </si>
  <si>
    <t>LatestScore</t>
  </si>
  <si>
    <t>=IF({{LatestCellsTested}} = 0, 0, ROUND(100 * {{LatestCellsPassed}} / {{LatestCellsTested}}, 2))</t>
  </si>
  <si>
    <t>ConformanceSubstrates.DisagreeingFieldCount</t>
  </si>
  <si>
    <t>DisagreeingFieldCount</t>
  </si>
  <si>
    <t>=COUNTIFS(FieldDisagreements!{{Substrate}}, {{ConformanceSubstrateId}})</t>
  </si>
  <si>
    <t>ConformanceSubstrates.DisagreeingTableCount</t>
  </si>
  <si>
    <t>DisagreeingTableCount</t>
  </si>
  <si>
    <t>=COUNTIFS(TableConformance!{{ImperfectSubstrateKey}}, {{ConformanceSubstrateId}})</t>
  </si>
  <si>
    <t>ConformanceSubstrates.IsFullyConformant</t>
  </si>
  <si>
    <t>IsFullyConformant</t>
  </si>
  <si>
    <t>=AND({{LatestCellsTested}} &gt; 0, {{LatestCellsFailed}} = 0, {{LatestHarnessErrors}} = 0)</t>
  </si>
  <si>
    <t>ConformanceSubstrates.SemanticTypeIri</t>
  </si>
  <si>
    <t>ConformanceRuns.ConformanceRunId</t>
  </si>
  <si>
    <t>ConformanceRunId</t>
  </si>
  <si>
    <t>ConformanceRuns.Name</t>
  </si>
  <si>
    <t>={{ConformanceRunId}}</t>
  </si>
  <si>
    <t>ConformanceRuns.RanOn</t>
  </si>
  <si>
    <t>RanOn</t>
  </si>
  <si>
    <t>ConformanceRuns.RulebookCommit</t>
  </si>
  <si>
    <t>RulebookCommit</t>
  </si>
  <si>
    <t>ConformanceRuns.AnswerKeyAuthor</t>
  </si>
  <si>
    <t>AnswerKeyAuthor</t>
  </si>
  <si>
    <t>ConformanceRuns.IsLatest</t>
  </si>
  <si>
    <t>IsLatest</t>
  </si>
  <si>
    <t>ConformanceRuns.Notes</t>
  </si>
  <si>
    <t>ConformanceRuns.SubstrateCount</t>
  </si>
  <si>
    <t>SubstrateCount</t>
  </si>
  <si>
    <t>=COUNTIFS(SubstrateRunScores!{{Run}}, {{ConformanceRunId}})</t>
  </si>
  <si>
    <t>ConformanceRuns.PerfectSubstrateCount</t>
  </si>
  <si>
    <t>PerfectSubstrateCount</t>
  </si>
  <si>
    <t>=COUNTIFS(SubstrateRunScores!{{PerfectRunKey}}, {{ConformanceRunId}})</t>
  </si>
  <si>
    <t>ConformanceRuns.CellsTested</t>
  </si>
  <si>
    <t>CellsTested</t>
  </si>
  <si>
    <t>=SUMIFS(SubstrateRunScores!{{CellsTested}}, SubstrateRunScores!{{Run}}, {{ConformanceRunId}})</t>
  </si>
  <si>
    <t>ConformanceRuns.CellsPassed</t>
  </si>
  <si>
    <t>CellsPassed</t>
  </si>
  <si>
    <t>=SUMIFS(SubstrateRunScores!{{CellsPassed}}, SubstrateRunScores!{{Run}}, {{ConformanceRunId}})</t>
  </si>
  <si>
    <t>ConformanceRuns.CellsFailed</t>
  </si>
  <si>
    <t>CellsFailed</t>
  </si>
  <si>
    <t>={{CellsTested}} - {{CellsPassed}}</t>
  </si>
  <si>
    <t>ConformanceRuns.OverallScore</t>
  </si>
  <si>
    <t>OverallScore</t>
  </si>
  <si>
    <t>=IF({{CellsTested}} = 0, 0, ROUND(100 * {{CellsPassed}} / {{CellsTested}}, 2))</t>
  </si>
  <si>
    <t>ConformanceRuns.ImperfectSubstrateCount</t>
  </si>
  <si>
    <t>ImperfectSubstrateCount</t>
  </si>
  <si>
    <t>={{SubstrateCount}} - {{PerfectSubstrateCount}}</t>
  </si>
  <si>
    <t>ConformanceRuns.IsFullyConformant</t>
  </si>
  <si>
    <t>=AND({{SubstrateCount}} &gt; 0, {{ImperfectSubstrateCount}} = 0)</t>
  </si>
  <si>
    <t>ConformanceRuns.SemanticTypeIri</t>
  </si>
  <si>
    <t>SubstrateRunScores.SubstrateRunScoreId</t>
  </si>
  <si>
    <t>SubstrateRunScoreId</t>
  </si>
  <si>
    <t>SubstrateRunScores.Name</t>
  </si>
  <si>
    <t>=CONCAT({{Run}}, " / ", {{Substrate}})</t>
  </si>
  <si>
    <t>SubstrateRunScores.Run</t>
  </si>
  <si>
    <t>Run</t>
  </si>
  <si>
    <t>SubstrateRunScores.Substrate</t>
  </si>
  <si>
    <t>Substrate</t>
  </si>
  <si>
    <t>SubstrateRunScores.HarnessError</t>
  </si>
  <si>
    <t>HarnessError</t>
  </si>
  <si>
    <t>SubstrateRunScores.DurationSeconds</t>
  </si>
  <si>
    <t>DurationSeconds</t>
  </si>
  <si>
    <t>SubstrateRunScores.CellsTested</t>
  </si>
  <si>
    <t>SubstrateRunScores.CellsPassed</t>
  </si>
  <si>
    <t>SubstrateRunScores.CalculatedTested</t>
  </si>
  <si>
    <t>CalculatedTested</t>
  </si>
  <si>
    <t>SubstrateRunScores.CalculatedPassed</t>
  </si>
  <si>
    <t>CalculatedPassed</t>
  </si>
  <si>
    <t>SubstrateRunScores.LookupTested</t>
  </si>
  <si>
    <t>LookupTested</t>
  </si>
  <si>
    <t>SubstrateRunScores.LookupPassed</t>
  </si>
  <si>
    <t>LookupPassed</t>
  </si>
  <si>
    <t>SubstrateRunScores.AggregationTested</t>
  </si>
  <si>
    <t>AggregationTested</t>
  </si>
  <si>
    <t>SubstrateRunScores.AggregationPassed</t>
  </si>
  <si>
    <t>AggregationPassed</t>
  </si>
  <si>
    <t>SubstrateRunScores.CellsFailed</t>
  </si>
  <si>
    <t>SubstrateRunScores.Score</t>
  </si>
  <si>
    <t>Score</t>
  </si>
  <si>
    <t>SubstrateRunScores.CalculatedScore</t>
  </si>
  <si>
    <t>CalculatedScore</t>
  </si>
  <si>
    <t>=IF({{CalculatedTested}} = 0, 0, ROUND(100 * {{CalculatedPassed}} / {{CalculatedTested}}, 2))</t>
  </si>
  <si>
    <t>SubstrateRunScores.LookupScore</t>
  </si>
  <si>
    <t>LookupScore</t>
  </si>
  <si>
    <t>=IF({{LookupTested}} = 0, 0, ROUND(100 * {{LookupPassed}} / {{LookupTested}}, 2))</t>
  </si>
  <si>
    <t>SubstrateRunScores.AggregationScore</t>
  </si>
  <si>
    <t>AggregationScore</t>
  </si>
  <si>
    <t>=IF({{AggregationTested}} = 0, 0, ROUND(100 * {{AggregationPassed}} / {{AggregationTested}}, 2))</t>
  </si>
  <si>
    <t>SubstrateRunScores.IsPerfect</t>
  </si>
  <si>
    <t>IsPerfect</t>
  </si>
  <si>
    <t>=AND({{HarnessError}} = "", {{CellsTested}} &gt; 0, {{CellsFailed}} = 0)</t>
  </si>
  <si>
    <t>SubstrateRunScores.PerfectRunKey</t>
  </si>
  <si>
    <t>PerfectRunKey</t>
  </si>
  <si>
    <t>=IF({{IsPerfect}}, {{Run}}, "")</t>
  </si>
  <si>
    <t>SubstrateRunScores.IsInLatestRun</t>
  </si>
  <si>
    <t>IsInLatestRun</t>
  </si>
  <si>
    <t>=INDEX(ConformanceRuns!{{IsLatest}}, MATCH({{Run}}, ConformanceRuns!{{ConformanceRunId}}, 0))</t>
  </si>
  <si>
    <t>SubstrateRunScores.LatestCellsTested</t>
  </si>
  <si>
    <t>=IF({{IsInLatestRun}}, {{CellsTested}}, 0)</t>
  </si>
  <si>
    <t>SubstrateRunScores.LatestCellsPassed</t>
  </si>
  <si>
    <t>=IF({{IsInLatestRun}}, {{CellsPassed}}, 0)</t>
  </si>
  <si>
    <t>SubstrateRunScores.LatestErrorFlag</t>
  </si>
  <si>
    <t>LatestErrorFlag</t>
  </si>
  <si>
    <t>=IF(AND({{IsInLatestRun}}, {{HarnessError}} &lt;&gt; ""), 1, 0)</t>
  </si>
  <si>
    <t>SubstrateRunScores.SubstrateLabel</t>
  </si>
  <si>
    <t>SubstrateLabel</t>
  </si>
  <si>
    <t>=INDEX(ConformanceSubstrates!{{Label}}, MATCH({{Substrate}}, ConformanceSubstrates!{{ConformanceSubstrateId}}, 0))</t>
  </si>
  <si>
    <t>SubstrateRunScores.SemanticTypeIri</t>
  </si>
  <si>
    <t>TableConformance.TableConformanceId</t>
  </si>
  <si>
    <t>TableConformanceId</t>
  </si>
  <si>
    <t>TableConformance.Name</t>
  </si>
  <si>
    <t>=CONCAT({{Substrate}}, " / ", {{RulebookTable}})</t>
  </si>
  <si>
    <t>TableConformance.Run</t>
  </si>
  <si>
    <t>TableConformance.Substrate</t>
  </si>
  <si>
    <t>TableConformance.RulebookTable</t>
  </si>
  <si>
    <t>RulebookTable</t>
  </si>
  <si>
    <t>TableConformance.RecordCount</t>
  </si>
  <si>
    <t>RecordCount</t>
  </si>
  <si>
    <t>TableConformance.DerivedFieldCount</t>
  </si>
  <si>
    <t>DerivedFieldCount</t>
  </si>
  <si>
    <t>TableConformance.CellsTested</t>
  </si>
  <si>
    <t>TableConformance.CellsPassed</t>
  </si>
  <si>
    <t>TableConformance.IsMissingAnswerFile</t>
  </si>
  <si>
    <t>IsMissingAnswerFile</t>
  </si>
  <si>
    <t>TableConformance.CellsFailed</t>
  </si>
  <si>
    <t>TableConformance.Score</t>
  </si>
  <si>
    <t>TableConformance.IsPerfect</t>
  </si>
  <si>
    <t>={{CellsFailed}} = 0</t>
  </si>
  <si>
    <t>TableConformance.ImperfectSubstrateKey</t>
  </si>
  <si>
    <t>ImperfectSubstrateKey</t>
  </si>
  <si>
    <t>=IF({{IsPerfect}}, "", {{Substrate}})</t>
  </si>
  <si>
    <t>TableConformance.ImperfectTableKey</t>
  </si>
  <si>
    <t>ImperfectTableKey</t>
  </si>
  <si>
    <t>=IF({{IsPerfect}}, "", {{RulebookTable}})</t>
  </si>
  <si>
    <t>TableConformance.DisagreeingFieldCount</t>
  </si>
  <si>
    <t>=COUNTIFS(FieldDisagreements!{{TableConformance}}, {{TableConformanceId}})</t>
  </si>
  <si>
    <t>TableConformance.SubstrateLabel</t>
  </si>
  <si>
    <t>TableConformance.SubjectArea</t>
  </si>
  <si>
    <t>=INDEX(RulebookTables!{{SubjectArea}}, MATCH({{RulebookTable}}, RulebookTables!{{RulebookTableId}}, 0))</t>
  </si>
  <si>
    <t>TableConformance.SemanticTypeIri</t>
  </si>
  <si>
    <t>FieldDisagreements.FieldDisagreementId</t>
  </si>
  <si>
    <t>FieldDisagreementId</t>
  </si>
  <si>
    <t>FieldDisagreements.Name</t>
  </si>
  <si>
    <t>=CONCAT({{Substrate}}, " / ", {{RulebookField}})</t>
  </si>
  <si>
    <t>FieldDisagreements.Substrate</t>
  </si>
  <si>
    <t>FieldDisagreements.RulebookField</t>
  </si>
  <si>
    <t>RulebookField</t>
  </si>
  <si>
    <t>FieldDisagreements.TableConformance</t>
  </si>
  <si>
    <t>FieldDisagreements.FieldClass</t>
  </si>
  <si>
    <t>FieldClass</t>
  </si>
  <si>
    <t>FieldDisagreements.CellsFailed</t>
  </si>
  <si>
    <t>FieldDisagreements.DominantReason</t>
  </si>
  <si>
    <t>DominantReason</t>
  </si>
  <si>
    <t>FieldDisagreements.SampledCellCount</t>
  </si>
  <si>
    <t>SampledCellCount</t>
  </si>
  <si>
    <t>=COUNTIFS(CellDisagreements!{{FieldDisagreement}}, {{FieldDisagreementId}})</t>
  </si>
  <si>
    <t>FieldDisagreements.IsFullySampled</t>
  </si>
  <si>
    <t>IsFullySampled</t>
  </si>
  <si>
    <t>={{SampledCellCount}} = {{CellsFailed}}</t>
  </si>
  <si>
    <t>FieldDisagreements.Formula</t>
  </si>
  <si>
    <t>=INDEX(RulebookFields!{{Formula}}, MATCH({{RulebookField}}, RulebookFields!{{RulebookFieldId}}, 0))</t>
  </si>
  <si>
    <t>FieldDisagreements.SubstrateLabel</t>
  </si>
  <si>
    <t>FieldDisagreements.SemanticTypeIri</t>
  </si>
  <si>
    <t>CellDisagreements.CellDisagreementId</t>
  </si>
  <si>
    <t>CellDisagreementId</t>
  </si>
  <si>
    <t>CellDisagreements.Name</t>
  </si>
  <si>
    <t>=CONCAT({{FieldDisagreement}}, " @ ", {{RecordId}})</t>
  </si>
  <si>
    <t>CellDisagreements.FieldDisagreement</t>
  </si>
  <si>
    <t>FieldDisagreement</t>
  </si>
  <si>
    <t>CellDisagreements.RecordId</t>
  </si>
  <si>
    <t>RecordId</t>
  </si>
  <si>
    <t>CellDisagreements.ExpectedValue</t>
  </si>
  <si>
    <t>ExpectedValue</t>
  </si>
  <si>
    <t>CellDisagreements.ActualValue</t>
  </si>
  <si>
    <t>ActualValue</t>
  </si>
  <si>
    <t>CellDisagreements.Reason</t>
  </si>
  <si>
    <t>CellDisagreements.Substrate</t>
  </si>
  <si>
    <t>=INDEX(FieldDisagreements!{{Substrate}}, MATCH({{FieldDisagreement}}, FieldDisagreements!{{FieldDisagreementId}}, 0))</t>
  </si>
  <si>
    <t>CellDisagreements.RulebookField</t>
  </si>
  <si>
    <t>=INDEX(FieldDisagreements!{{RulebookField}}, MATCH({{FieldDisagreement}}, FieldDisagreements!{{FieldDisagreementId}}, 0))</t>
  </si>
  <si>
    <t>CellDisagreements.SemanticTypeIri</t>
  </si>
  <si>
    <t>suite-structure</t>
  </si>
  <si>
    <t>Model structure</t>
  </si>
  <si>
    <t>urn:effortless:pko-extension#TestSuite</t>
  </si>
  <si>
    <t>suite-substrate</t>
  </si>
  <si>
    <t>Substrate translation</t>
  </si>
  <si>
    <t>suite-integrity</t>
  </si>
  <si>
    <t>Referential integrity</t>
  </si>
  <si>
    <t>suite-witness</t>
  </si>
  <si>
    <t>Witness behaviour</t>
  </si>
  <si>
    <t>suite-provenance</t>
  </si>
  <si>
    <t>Question provenance</t>
  </si>
  <si>
    <t>suite-invariant</t>
  </si>
  <si>
    <t>Domain invariants</t>
  </si>
  <si>
    <t>tc-struct-rulebook_releases</t>
  </si>
  <si>
    <t>structural</t>
  </si>
  <si>
    <t>Primary key first and non-nullable, and a calculated Name display alias exists.</t>
  </si>
  <si>
    <t>blocking</t>
  </si>
  <si>
    <t>11 fields</t>
  </si>
  <si>
    <t>urn:effortless:pko-extension#TestCase</t>
  </si>
  <si>
    <t>tc-struct-ontology_profiles</t>
  </si>
  <si>
    <t>8 fields</t>
  </si>
  <si>
    <t>tc-struct-evaluation_contexts</t>
  </si>
  <si>
    <t>7 fields</t>
  </si>
  <si>
    <t>tc-struct-organizations</t>
  </si>
  <si>
    <t>6 fields</t>
  </si>
  <si>
    <t>tc-struct-agents</t>
  </si>
  <si>
    <t>19 fields</t>
  </si>
  <si>
    <t>tc-struct-roles</t>
  </si>
  <si>
    <t>24 fields</t>
  </si>
  <si>
    <t>tc-struct-role_assignments</t>
  </si>
  <si>
    <t>65 fields</t>
  </si>
  <si>
    <t>tc-struct-communities_of_practice</t>
  </si>
  <si>
    <t>tc-struct-mentorships</t>
  </si>
  <si>
    <t>10 fields</t>
  </si>
  <si>
    <t>tc-struct-procedure_types</t>
  </si>
  <si>
    <t>5 fields</t>
  </si>
  <si>
    <t>tc-struct-procedures</t>
  </si>
  <si>
    <t>tc-struct-procedure_versions</t>
  </si>
  <si>
    <t>83 fields</t>
  </si>
  <si>
    <t>tc-struct-procedure_version_links</t>
  </si>
  <si>
    <t>tc-struct-procedure_status_changes</t>
  </si>
  <si>
    <t>9 fields</t>
  </si>
  <si>
    <t>tc-struct-steps</t>
  </si>
  <si>
    <t>42 fields</t>
  </si>
  <si>
    <t>tc-struct-step_transitions</t>
  </si>
  <si>
    <t>23 fields</t>
  </si>
  <si>
    <t>tc-struct-actions</t>
  </si>
  <si>
    <t>tc-struct-functions</t>
  </si>
  <si>
    <t>tc-struct-tools</t>
  </si>
  <si>
    <t>tc-struct-step_actions</t>
  </si>
  <si>
    <t>4 fields</t>
  </si>
  <si>
    <t>tc-struct-step_functions</t>
  </si>
  <si>
    <t>tc-struct-step_tools</t>
  </si>
  <si>
    <t>tc-struct-requirements</t>
  </si>
  <si>
    <t>41 fields</t>
  </si>
  <si>
    <t>tc-struct-step_requirements</t>
  </si>
  <si>
    <t>13 fields</t>
  </si>
  <si>
    <t>tc-struct-step_verifications</t>
  </si>
  <si>
    <t>tc-struct-rationales</t>
  </si>
  <si>
    <t>tc-struct-exceptions</t>
  </si>
  <si>
    <t>tc-struct-resources</t>
  </si>
  <si>
    <t>tc-struct-procedure_resources</t>
  </si>
  <si>
    <t>tc-struct-elicitation_sessions</t>
  </si>
  <si>
    <t>21 fields</t>
  </si>
  <si>
    <t>tc-struct-knowledge_fragments</t>
  </si>
  <si>
    <t>80 fields</t>
  </si>
  <si>
    <t>tc-struct-knowledge_gaps</t>
  </si>
  <si>
    <t>28 fields</t>
  </si>
  <si>
    <t>tc-struct-f_a_qs</t>
  </si>
  <si>
    <t>tc-struct-explanations</t>
  </si>
  <si>
    <t>tc-struct-procedure_executions</t>
  </si>
  <si>
    <t>78 fields</t>
  </si>
  <si>
    <t>tc-struct-step_executions</t>
  </si>
  <si>
    <t>109 fields</t>
  </si>
  <si>
    <t>tc-struct-requirement_satisfactions</t>
  </si>
  <si>
    <t>46 fields</t>
  </si>
  <si>
    <t>tc-struct-errors</t>
  </si>
  <si>
    <t>tc-struct-issue_occurrences</t>
  </si>
  <si>
    <t>12 fields</t>
  </si>
  <si>
    <t>tc-struct-user_questions</t>
  </si>
  <si>
    <t>tc-struct-user_feedback</t>
  </si>
  <si>
    <t>tc-struct-stewardship_assignments</t>
  </si>
  <si>
    <t>14 fields</t>
  </si>
  <si>
    <t>tc-struct-change_requests</t>
  </si>
  <si>
    <t>45 fields</t>
  </si>
  <si>
    <t>tc-struct-review_events</t>
  </si>
  <si>
    <t>20 fields</t>
  </si>
  <si>
    <t>tc-struct-learning_activities</t>
  </si>
  <si>
    <t>tc-struct-operational_bindings</t>
  </si>
  <si>
    <t>22 fields</t>
  </si>
  <si>
    <t>tc-struct-communication_policies</t>
  </si>
  <si>
    <t>tc-struct-message_templates</t>
  </si>
  <si>
    <t>26 fields</t>
  </si>
  <si>
    <t>tc-struct-semantic_mappings</t>
  </si>
  <si>
    <t>tc-struct-witness_loops</t>
  </si>
  <si>
    <t>tc-struct-role_questions</t>
  </si>
  <si>
    <t>tc-struct-rulebook_fields</t>
  </si>
  <si>
    <t>tc-struct-test_suites</t>
  </si>
  <si>
    <t>tc-struct-test_cases</t>
  </si>
  <si>
    <t>tc-struct-e_r_b_versions</t>
  </si>
  <si>
    <t>tc-struct-e_r_b_customizations</t>
  </si>
  <si>
    <t>tc-struct-__meta__</t>
  </si>
  <si>
    <t>tc-struct-exception_invocations</t>
  </si>
  <si>
    <t>tc-struct-verification_outcomes</t>
  </si>
  <si>
    <t>tc-struct-observed_transitions</t>
  </si>
  <si>
    <t>tc-struct-recipients</t>
  </si>
  <si>
    <t>15 fields</t>
  </si>
  <si>
    <t>tc-struct-message_deliveries</t>
  </si>
  <si>
    <t>94 fields</t>
  </si>
  <si>
    <t>tc-struct-template_approvals</t>
  </si>
  <si>
    <t>tc-struct-send_intents</t>
  </si>
  <si>
    <t>100 fields</t>
  </si>
  <si>
    <t>tc-struct-agent_decision_records</t>
  </si>
  <si>
    <t>40 fields</t>
  </si>
  <si>
    <t>tc-struct-delivered_communications</t>
  </si>
  <si>
    <t>18 fields</t>
  </si>
  <si>
    <t>tc-struct-authority_boundaries</t>
  </si>
  <si>
    <t>33 fields</t>
  </si>
  <si>
    <t>tc-struct-binding_observations</t>
  </si>
  <si>
    <t>tc-struct-attestations</t>
  </si>
  <si>
    <t>tc-xlate-rulebook_releases-name</t>
  </si>
  <si>
    <t>formula-translates</t>
  </si>
  <si>
    <t>The transpiler emitted a real SQL function for this formula rather than a NULL stub.</t>
  </si>
  <si>
    <t>translated</t>
  </si>
  <si>
    <t>tc-xlate-ontology_profiles-name</t>
  </si>
  <si>
    <t>tc-xlate-evaluation_contexts-name</t>
  </si>
  <si>
    <t>tc-xlate-organizations-name</t>
  </si>
  <si>
    <t>tc-xlate-agents-name</t>
  </si>
  <si>
    <t>tc-xlate-agents-count_of_current_role_assignments</t>
  </si>
  <si>
    <t>tc-xlate-agents-is_still_engaged</t>
  </si>
  <si>
    <t>tc-xlate-agents-decision_count</t>
  </si>
  <si>
    <t>tc-xlate-agents-overridden_decision_count</t>
  </si>
  <si>
    <t>tc-xlate-agents-override_rate_percent</t>
  </si>
  <si>
    <t>tc-xlate-agents-is_non_human</t>
  </si>
  <si>
    <t>tc-xlate-agents-boundary_violation_count</t>
  </si>
  <si>
    <t>tc-xlate-agents-is_operating_outside_boundary</t>
  </si>
  <si>
    <t>tc-xlate-agents-draft_decision_count</t>
  </si>
  <si>
    <t>tc-xlate-agents-overridden_draft_count</t>
  </si>
  <si>
    <t>tc-xlate-agents-draft_rewrite_rate_percent</t>
  </si>
  <si>
    <t>tc-xlate-roles-name</t>
  </si>
  <si>
    <t>tc-xlate-roles-current_agent_kind</t>
  </si>
  <si>
    <t>tc-xlate-roles-active_assignment_count</t>
  </si>
  <si>
    <t>tc-xlate-roles-currently_covered_assignment_count</t>
  </si>
  <si>
    <t>tc-xlate-roles-has_no_current_holder</t>
  </si>
  <si>
    <t>tc-xlate-roles-count_of_awaited_decisions</t>
  </si>
  <si>
    <t>tc-xlate-roles-current_assignment_valid_from</t>
  </si>
  <si>
    <t>tc-xlate-roles-is_non_human_held</t>
  </si>
  <si>
    <t>tc-xlate-roles-is_ungoverned_non_human_role</t>
  </si>
  <si>
    <t>tc-xlate-roles-departed_assignment_count</t>
  </si>
  <si>
    <t>tc-xlate-roles-has_lost_a_holder</t>
  </si>
  <si>
    <t>tc-xlate-roles-is_vacated_role</t>
  </si>
  <si>
    <t>tc-xlate-roles-ungrounded_boundary_count</t>
  </si>
  <si>
    <t>tc-xlate-roles-is_governed_by_lapsed_authority</t>
  </si>
  <si>
    <t>tc-xlate-roles-unescalated_refusal_count</t>
  </si>
  <si>
    <t>tc-xlate-roles-unauthorized_enforcement_assignment_count</t>
  </si>
  <si>
    <t>tc-xlate-roles-is_ungoverned_enforcement_role</t>
  </si>
  <si>
    <t>tc-xlate-role_assignments-name</t>
  </si>
  <si>
    <t>tc-xlate-role_assignments-as_of_instant</t>
  </si>
  <si>
    <t>tc-xlate-role_assignments-is_current</t>
  </si>
  <si>
    <t>tc-xlate-role_assignments-current_agent_key</t>
  </si>
  <si>
    <t>tc-xlate-role_assignments-is_currently_valid</t>
  </si>
  <si>
    <t>tc-xlate-role_assignments-agent_role_key</t>
  </si>
  <si>
    <t>tc-xlate-role_assignments-has_departed</t>
  </si>
  <si>
    <t>tc-xlate-role_assignments-covers_now</t>
  </si>
  <si>
    <t>tc-xlate-role_assignments-role_when_covering</t>
  </si>
  <si>
    <t>tc-xlate-role_assignments-agent_kind</t>
  </si>
  <si>
    <t>tc-xlate-role_assignments-is_non_human_assignment</t>
  </si>
  <si>
    <t>tc-xlate-role_assignments-predecessor_agent_kind</t>
  </si>
  <si>
    <t>tc-xlate-role_assignments-is_human_to_non_human_handover</t>
  </si>
  <si>
    <t>tc-xlate-role_assignments-is_unauthorized_non_human_assignment</t>
  </si>
  <si>
    <t>tc-xlate-role_assignments-was_authorized_by_change_request</t>
  </si>
  <si>
    <t>tc-xlate-role_assignments-decision_count</t>
  </si>
  <si>
    <t>tc-xlate-role_assignments-overridden_decision_count</t>
  </si>
  <si>
    <t>tc-xlate-role_assignments-override_rate_percent</t>
  </si>
  <si>
    <t>tc-xlate-role_assignments-predecessor_override_rate_percent</t>
  </si>
  <si>
    <t>tc-xlate-role_assignments-quality_regressed_vs_predecessor</t>
  </si>
  <si>
    <t>tc-xlate-role_assignments-departed_role_key</t>
  </si>
  <si>
    <t>tc-xlate-role_assignments-predecessor_decision_count</t>
  </si>
  <si>
    <t>tc-xlate-role_assignments-has_sufficient_sample</t>
  </si>
  <si>
    <t>tc-xlate-role_assignments-predecessor_has_sufficient_sample</t>
  </si>
  <si>
    <t>tc-xlate-role_assignments-comparison_is_evidentially_sound</t>
  </si>
  <si>
    <t>tc-xlate-role_assignments-single_override_swing_percent</t>
  </si>
  <si>
    <t>tc-xlate-role_assignments-quality_verdict_is_unsupported</t>
  </si>
  <si>
    <t>tc-xlate-role_assignments-is_unmeasured_automation_handover</t>
  </si>
  <si>
    <t>tc-xlate-role_assignments-error_correction_count</t>
  </si>
  <si>
    <t>tc-xlate-role_assignments-error_rate_percent</t>
  </si>
  <si>
    <t>tc-xlate-role_assignments-has_dated_authorization</t>
  </si>
  <si>
    <t>tc-xlate-role_assignments-days_since_authorization_review</t>
  </si>
  <si>
    <t>tc-xlate-role_assignments-authorization_is_overdue_for_review</t>
  </si>
  <si>
    <t>tc-xlate-role_assignments-is_standing_unreviewed_automation</t>
  </si>
  <si>
    <t>tc-xlate-role_assignments-is_unconditioned_automation_handover</t>
  </si>
  <si>
    <t>tc-xlate-role_assignments-exceeds_tolerable_error_rate</t>
  </si>
  <si>
    <t>tc-xlate-role_assignments-boundary_violation_count_for_assignment</t>
  </si>
  <si>
    <t>tc-xlate-role_assignments-has_any_boundary_violation</t>
  </si>
  <si>
    <t>tc-xlate-role_assignments-has_ungrounded_governing_boundary</t>
  </si>
  <si>
    <t>tc-xlate-role_assignments-suspension_condition_met</t>
  </si>
  <si>
    <t>tc-xlate-role_assignments-is_operating_under_met_suspension_condition</t>
  </si>
  <si>
    <t>tc-xlate-role_assignments-has_declared_suspension_condition</t>
  </si>
  <si>
    <t>tc-xlate-role_assignments-has_approving_authority</t>
  </si>
  <si>
    <t>tc-xlate-role_assignments-has_authorizing_change_request</t>
  </si>
  <si>
    <t>tc-xlate-role_assignments-is_unauthorized_enforcement_agent</t>
  </si>
  <si>
    <t>tc-xlate-role_assignments-governance_evidence_count</t>
  </si>
  <si>
    <t>tc-xlate-role_assignments-unauthorized_enforcement_role_key</t>
  </si>
  <si>
    <t>tc-xlate-communities_of_practice-name</t>
  </si>
  <si>
    <t>tc-xlate-mentorships-name</t>
  </si>
  <si>
    <t>tc-xlate-procedure_types-name</t>
  </si>
  <si>
    <t>tc-xlate-procedures-name</t>
  </si>
  <si>
    <t>tc-xlate-procedure_versions-name</t>
  </si>
  <si>
    <t>tc-xlate-procedure_versions-count_of_steps</t>
  </si>
  <si>
    <t>tc-xlate-procedure_versions-count_of_open_knowledge_gaps</t>
  </si>
  <si>
    <t>tc-xlate-procedure_versions-is_ready_for_execution</t>
  </si>
  <si>
    <t>tc-xlate-procedure_versions-specified_step_count</t>
  </si>
  <si>
    <t>tc-xlate-procedure_versions-overdue_review_count</t>
  </si>
  <si>
    <t>tc-xlate-procedure_versions-open_change_request_count</t>
  </si>
  <si>
    <t>tc-xlate-procedure_versions-open_high_severity_gap_count</t>
  </si>
  <si>
    <t>tc-xlate-procedure_versions-is_fit_to_execute</t>
  </si>
  <si>
    <t>tc-xlate-procedure_versions-steward_review_cadence_days</t>
  </si>
  <si>
    <t>tc-xlate-procedure_versions-count_of_stewardship_assignments</t>
  </si>
  <si>
    <t>tc-xlate-procedure_versions-has_any_steward</t>
  </si>
  <si>
    <t>tc-xlate-procedure_versions-is_live</t>
  </si>
  <si>
    <t>tc-xlate-procedure_versions-is_unstewarded</t>
  </si>
  <si>
    <t>tc-xlate-procedure_versions-is_live_and_unstewarded</t>
  </si>
  <si>
    <t>tc-xlate-procedure_versions-count_of_open_blocking_gaps</t>
  </si>
  <si>
    <t>tc-xlate-procedure_versions-has_open_blocking_gap</t>
  </si>
  <si>
    <t>tc-xlate-procedure_versions-is_live_with_blocking_gap</t>
  </si>
  <si>
    <t>tc-xlate-procedure_versions-should_not_be_executable</t>
  </si>
  <si>
    <t>tc-xlate-procedure_versions-count_of_unapproved_reliance_fragments</t>
  </si>
  <si>
    <t>tc-xlate-procedure_versions-runs_on_unapproved_knowledge</t>
  </si>
  <si>
    <t>tc-xlate-procedure_versions-count_of_overdue_gaps</t>
  </si>
  <si>
    <t>tc-xlate-procedure_versions-count_of_change_requests</t>
  </si>
  <si>
    <t>tc-xlate-procedure_versions-count_of_review_events</t>
  </si>
  <si>
    <t>tc-xlate-procedure_versions-has_governance_record</t>
  </si>
  <si>
    <t>tc-xlate-procedure_versions-as_of_instant</t>
  </si>
  <si>
    <t>tc-xlate-procedure_versions-days_since_modified</t>
  </si>
  <si>
    <t>tc-xlate-procedure_versions-days_since_last_review</t>
  </si>
  <si>
    <t>tc-xlate-procedure_versions-was_modified_since_last_review</t>
  </si>
  <si>
    <t>tc-xlate-procedure_versions-modifier_is_authority</t>
  </si>
  <si>
    <t>tc-xlate-procedure_versions-has_unwitnessed_change</t>
  </si>
  <si>
    <t>tc-xlate-procedure_versions-count_of_stale_fragments</t>
  </si>
  <si>
    <t>tc-xlate-procedure_versions-knowledge_is_staler_than_cadence</t>
  </si>
  <si>
    <t>tc-xlate-procedure_versions-compound_fragile_fragment_count</t>
  </si>
  <si>
    <t>tc-xlate-procedure_versions-rests_on_compound_fragile_knowledge</t>
  </si>
  <si>
    <t>tc-xlate-procedure_versions-concentrated_witness_session_count</t>
  </si>
  <si>
    <t>tc-xlate-procedure_versions-knowledge_base_is_concentrated</t>
  </si>
  <si>
    <t>tc-xlate-procedure_versions-machine_consumed_unapproved_count</t>
  </si>
  <si>
    <t>tc-xlate-procedure_versions-feeds_unapproved_knowledge_to_machines</t>
  </si>
  <si>
    <t>tc-xlate-procedure_versions-genuinely_overdue_fragment_count</t>
  </si>
  <si>
    <t>tc-xlate-procedure_versions-awaited_decision_count</t>
  </si>
  <si>
    <t>tc-xlate-procedure_versions-scoped_open_blocking_gap_count</t>
  </si>
  <si>
    <t>tc-xlate-procedure_versions-is_blocked_on_pending_decision</t>
  </si>
  <si>
    <t>tc-xlate-procedure_versions-unexercised_human_gate_count</t>
  </si>
  <si>
    <t>tc-xlate-procedure_versions-ai_boundary_is_unevidenced</t>
  </si>
  <si>
    <t>tc-xlate-procedure_versions-load_bearing_unapproved_count</t>
  </si>
  <si>
    <t>tc-xlate-procedure_versions-unlanded_decision_count</t>
  </si>
  <si>
    <t>tc-xlate-procedure_versions-unrehearsed_control_entry_count</t>
  </si>
  <si>
    <t>tc-xlate-procedure_versions-has_unrehearsed_control_entry</t>
  </si>
  <si>
    <t>tc-xlate-procedure_versions-is_live_with_unrehearsed_control</t>
  </si>
  <si>
    <t>tc-xlate-procedure_versions-cadence_breach_count</t>
  </si>
  <si>
    <t>tc-xlate-procedure_versions-is_in_cadence_breach</t>
  </si>
  <si>
    <t>tc-xlate-procedure_versions-has_decision_in_flight</t>
  </si>
  <si>
    <t>tc-xlate-procedure_versions-is_unremediated_cadence_breach</t>
  </si>
  <si>
    <t>tc-xlate-procedure_versions-is_managed_cadence_breach</t>
  </si>
  <si>
    <t>tc-xlate-procedure_versions-governance_is_silent</t>
  </si>
  <si>
    <t>tc-xlate-procedure_versions-valid_fragment_count</t>
  </si>
  <si>
    <t>tc-xlate-procedure_versions-still_owns_valid_knowledge</t>
  </si>
  <si>
    <t>tc-xlate-procedure_versions-incoming_supersession_count</t>
  </si>
  <si>
    <t>tc-xlate-procedure_versions-is_still_referenced</t>
  </si>
  <si>
    <t>tc-xlate-procedure_versions-is_load_bearing_orphan</t>
  </si>
  <si>
    <t>tc-xlate-procedure_versions-is_cleanly_retired</t>
  </si>
  <si>
    <t>tc-xlate-procedure_versions-stalled_implementation_count</t>
  </si>
  <si>
    <t>tc-xlate-procedure_versions-is_held_unfit_by_landed_decisions</t>
  </si>
  <si>
    <t>tc-xlate-procedure_versions-undeclared_control_kind_count</t>
  </si>
  <si>
    <t>tc-xlate-procedure_versions-control_taxonomy_is_incomplete</t>
  </si>
  <si>
    <t>tc-xlate-procedure_versions-has_approved_change_request</t>
  </si>
  <si>
    <t>tc-xlate-procedure_versions-approved_change_request_count</t>
  </si>
  <si>
    <t>tc-xlate-procedure_versions-unwatched_unowned_control_count</t>
  </si>
  <si>
    <t>tc-xlate-procedure_version_links-name</t>
  </si>
  <si>
    <t>tc-xlate-procedure_version_links-superseded_version_key</t>
  </si>
  <si>
    <t>tc-xlate-procedure_status_changes-name</t>
  </si>
  <si>
    <t>tc-xlate-steps-name</t>
  </si>
  <si>
    <t>tc-xlate-steps-assigned_role_label</t>
  </si>
  <si>
    <t>tc-xlate-steps-assigned_agent_kind</t>
  </si>
  <si>
    <t>tc-xlate-steps-blocking_requirement_count</t>
  </si>
  <si>
    <t>tc-xlate-steps-stale_binding_count</t>
  </si>
  <si>
    <t>tc-xlate-steps-authoritative_stale_count</t>
  </si>
  <si>
    <t>tc-xlate-steps-available_exception_count</t>
  </si>
  <si>
    <t>tc-xlate-steps-declared_verification_count</t>
  </si>
  <si>
    <t>tc-xlate-steps-is_preparation_step</t>
  </si>
  <si>
    <t>tc-xlate-steps-is_approval_step</t>
  </si>
  <si>
    <t>tc-xlate-steps-stale_authoritative_binding_count</t>
  </si>
  <si>
    <t>tc-xlate-steps-inputs_are_fresh</t>
  </si>
  <si>
    <t>tc-xlate-steps-is_software_assigned</t>
  </si>
  <si>
    <t>tc-xlate-steps-is_human_approval_gate</t>
  </si>
  <si>
    <t>tc-xlate-steps-gate_held_by_human</t>
  </si>
  <si>
    <t>tc-xlate-steps-binding_boundary_count</t>
  </si>
  <si>
    <t>tc-xlate-steps-assigned_role_is_ungoverned</t>
  </si>
  <si>
    <t>tc-xlate-steps-unusable_binding_count</t>
  </si>
  <si>
    <t>tc-xlate-steps-all_sources_usable</t>
  </si>
  <si>
    <t>tc-xlate-steps-unwarranted_boundary_count</t>
  </si>
  <si>
    <t>tc-xlate-steps-is_governed_by_unwarranted_boundary</t>
  </si>
  <si>
    <t>tc-xlate-steps-software_execution_count</t>
  </si>
  <si>
    <t>tc-xlate-steps-has_been_approached_by_software</t>
  </si>
  <si>
    <t>tc-xlate-steps-is_unexercised_human_gate</t>
  </si>
  <si>
    <t>tc-xlate-steps-is_demonstrated_human_gate</t>
  </si>
  <si>
    <t>tc-xlate-steps-unexercised_gate_version_key</t>
  </si>
  <si>
    <t>tc-xlate-steps-has_declared_control_kind</t>
  </si>
  <si>
    <t>tc-xlate-steps-undeclared_control_version_key</t>
  </si>
  <si>
    <t>tc-xlate-steps-approval_step_is_software_assigned</t>
  </si>
  <si>
    <t>tc-xlate-steps-unwitnessed_blocking_count</t>
  </si>
  <si>
    <t>tc-xlate-step_transitions-name</t>
  </si>
  <si>
    <t>tc-xlate-step_transitions-is_recovery_path</t>
  </si>
  <si>
    <t>tc-xlate-step_transitions-count_of_from_step_executions</t>
  </si>
  <si>
    <t>tc-xlate-step_transitions-count_of_to_step_executions</t>
  </si>
  <si>
    <t>tc-xlate-step_transitions-has_reachable_origin</t>
  </si>
  <si>
    <t>tc-xlate-step_transitions-has_reachable_target</t>
  </si>
  <si>
    <t>tc-xlate-step_transitions-is_never_exercised</t>
  </si>
  <si>
    <t>tc-xlate-step_transitions-is_untested_recovery_path</t>
  </si>
  <si>
    <t>tc-xlate-step_transitions-count_of_observed_traversals</t>
  </si>
  <si>
    <t>tc-xlate-step_transitions-has_been_traversed</t>
  </si>
  <si>
    <t>tc-xlate-step_transitions-is_unwalked_recovery_path</t>
  </si>
  <si>
    <t>tc-xlate-step_transitions-target_blocking_requirement_count</t>
  </si>
  <si>
    <t>tc-xlate-step_transitions-target_carries_blocking_control</t>
  </si>
  <si>
    <t>tc-xlate-step_transitions-is_unrehearsed_control_entry</t>
  </si>
  <si>
    <t>tc-xlate-step_transitions-unrehearsed_control_version_key</t>
  </si>
  <si>
    <t>tc-xlate-actions-name</t>
  </si>
  <si>
    <t>tc-xlate-functions-name</t>
  </si>
  <si>
    <t>tc-xlate-tools-name</t>
  </si>
  <si>
    <t>tc-xlate-step_actions-name</t>
  </si>
  <si>
    <t>tc-xlate-step_functions-name</t>
  </si>
  <si>
    <t>tc-xlate-step_tools-name</t>
  </si>
  <si>
    <t>tc-xlate-requirements-name</t>
  </si>
  <si>
    <t>tc-xlate-requirements-satisfaction_record_count</t>
  </si>
  <si>
    <t>tc-xlate-requirements-step_binding_count</t>
  </si>
  <si>
    <t>tc-xlate-requirements-is_bound_to_any_step</t>
  </si>
  <si>
    <t>tc-xlate-requirements-has_ever_been_evaluated</t>
  </si>
  <si>
    <t>tc-xlate-requirements-negative_outcome_count</t>
  </si>
  <si>
    <t>tc-xlate-requirements-is_inoperative_control</t>
  </si>
  <si>
    <t>tc-xlate-requirements-is_decorative_control</t>
  </si>
  <si>
    <t>tc-xlate-requirements-has_ever_produced_negative</t>
  </si>
  <si>
    <t>tc-xlate-requirements-is_unfalsified_control</t>
  </si>
  <si>
    <t>tc-xlate-requirements-claims_a_witness_field</t>
  </si>
  <si>
    <t>tc-xlate-requirements-named_witness_field_exists</t>
  </si>
  <si>
    <t>tc-xlate-requirements-derived_has_computed_witness</t>
  </si>
  <si>
    <t>tc-xlate-requirements-witness_claim_is_unverified</t>
  </si>
  <si>
    <t>tc-xlate-requirements-is_unwitnessed_blocking_control</t>
  </si>
  <si>
    <t>tc-xlate-requirements-witness_fire_count</t>
  </si>
  <si>
    <t>tc-xlate-requirements-witness_has_never_fired</t>
  </si>
  <si>
    <t>tc-xlate-requirements-evaluation_sample_size</t>
  </si>
  <si>
    <t>tc-xlate-requirements-has_meaningful_sample</t>
  </si>
  <si>
    <t>tc-xlate-requirements-is_untested_witness</t>
  </si>
  <si>
    <t>tc-xlate-requirements-is_evidenced_holding_control</t>
  </si>
  <si>
    <t>tc-xlate-requirements-control_assurance_state</t>
  </si>
  <si>
    <t>tc-xlate-requirements-unexercised_binding_count</t>
  </si>
  <si>
    <t>tc-xlate-requirements-witness_is_partially_scoped</t>
  </si>
  <si>
    <t>tc-xlate-requirements-accountable_agent</t>
  </si>
  <si>
    <t>tc-xlate-requirements-has_named_owner</t>
  </si>
  <si>
    <t>tc-xlate-requirements-is_orphaned_blocking_control</t>
  </si>
  <si>
    <t>tc-xlate-requirements-is_unwatched_and_unowned</t>
  </si>
  <si>
    <t>tc-xlate-requirements-attestation_exposure_note</t>
  </si>
  <si>
    <t>tc-xlate-requirements-unwatched_unowned_flag</t>
  </si>
  <si>
    <t>tc-xlate-step_requirements-name</t>
  </si>
  <si>
    <t>tc-xlate-step_requirements-requirement_is_blocking</t>
  </si>
  <si>
    <t>tc-xlate-step_requirements-blocking_step_key</t>
  </si>
  <si>
    <t>tc-xlate-step_requirements-step_when_blocking</t>
  </si>
  <si>
    <t>tc-xlate-step_requirements-requirement_lacks_witness</t>
  </si>
  <si>
    <t>tc-xlate-step_requirements-unwitnessed_step_key</t>
  </si>
  <si>
    <t>tc-xlate-step_requirements-satisfaction_count_for_binding</t>
  </si>
  <si>
    <t>tc-xlate-step_requirements-binding_was_ever_exercised</t>
  </si>
  <si>
    <t>tc-xlate-step_requirements-is_unexercised_blocking_binding</t>
  </si>
  <si>
    <t>tc-xlate-step_requirements-unexercised_binding_requirement_key</t>
  </si>
  <si>
    <t>tc-xlate-step_verifications-name</t>
  </si>
  <si>
    <t>tc-xlate-rationales-name</t>
  </si>
  <si>
    <t>tc-xlate-exceptions-name</t>
  </si>
  <si>
    <t>tc-xlate-exceptions-active_exception_step_key</t>
  </si>
  <si>
    <t>tc-xlate-resources-name</t>
  </si>
  <si>
    <t>tc-xlate-resources-is_approved_source</t>
  </si>
  <si>
    <t>tc-xlate-procedure_resources-name</t>
  </si>
  <si>
    <t>tc-xlate-procedure_resources-relation_iri</t>
  </si>
  <si>
    <t>tc-xlate-elicitation_sessions-name</t>
  </si>
  <si>
    <t>tc-xlate-elicitation_sessions-as_of_instant</t>
  </si>
  <si>
    <t>tc-xlate-elicitation_sessions-days_since_elicited</t>
  </si>
  <si>
    <t>tc-xlate-elicitation_sessions-is_single_witness_method</t>
  </si>
  <si>
    <t>tc-xlate-elicitation_sessions-practitioner_is_still_engaged</t>
  </si>
  <si>
    <t>tc-xlate-elicitation_sessions-valid_fragments_produced</t>
  </si>
  <si>
    <t>tc-xlate-elicitation_sessions-is_high_yield_session</t>
  </si>
  <si>
    <t>tc-xlate-elicitation_sessions-is_concentrated_single_witness</t>
  </si>
  <si>
    <t>tc-xlate-elicitation_sessions-is_stale_concentrated_witness</t>
  </si>
  <si>
    <t>tc-xlate-elicitation_sessions-concentrated_session_version_key</t>
  </si>
  <si>
    <t>tc-xlate-knowledge_fragments-name</t>
  </si>
  <si>
    <t>tc-xlate-knowledge_fragments-as_of_instant</t>
  </si>
  <si>
    <t>tc-xlate-knowledge_fragments-is_currently_valid</t>
  </si>
  <si>
    <t>tc-xlate-knowledge_fragments-source_agent_is_still_engaged</t>
  </si>
  <si>
    <t>tc-xlate-knowledge_fragments-source_agent_kind</t>
  </si>
  <si>
    <t>tc-xlate-knowledge_fragments-has_human_source</t>
  </si>
  <si>
    <t>tc-xlate-knowledge_fragments-has_orphaned_provenance</t>
  </si>
  <si>
    <t>tc-xlate-knowledge_fragments-is_undefendable_tacit_claim</t>
  </si>
  <si>
    <t>tc-xlate-knowledge_fragments-is_approved</t>
  </si>
  <si>
    <t>tc-xlate-knowledge_fragments-is_within_validity_window</t>
  </si>
  <si>
    <t>tc-xlate-knowledge_fragments-is_relied_upon</t>
  </si>
  <si>
    <t>tc-xlate-knowledge_fragments-step_procedure_version_status</t>
  </si>
  <si>
    <t>tc-xlate-knowledge_fragments-is_attached_to_live_version</t>
  </si>
  <si>
    <t>tc-xlate-knowledge_fragments-is_unapproved_but_relied_on</t>
  </si>
  <si>
    <t>tc-xlate-knowledge_fragments-evidence_age_days</t>
  </si>
  <si>
    <t>tc-xlate-knowledge_fragments-has_recorded_elicitation</t>
  </si>
  <si>
    <t>tc-xlate-knowledge_fragments-is_from_single_witness</t>
  </si>
  <si>
    <t>tc-xlate-knowledge_fragments-evidence_expiry_days</t>
  </si>
  <si>
    <t>tc-xlate-knowledge_fragments-evidence_has_expired</t>
  </si>
  <si>
    <t>tc-xlate-knowledge_fragments-owner_agent</t>
  </si>
  <si>
    <t>tc-xlate-knowledge_fragments-is_awaiting_approval</t>
  </si>
  <si>
    <t>tc-xlate-knowledge_fragments-owner_is_me</t>
  </si>
  <si>
    <t>tc-xlate-knowledge_fragments-is_my_unfinished_approval</t>
  </si>
  <si>
    <t>tc-xlate-knowledge_fragments-is_invoked_by_an_exception</t>
  </si>
  <si>
    <t>tc-xlate-knowledge_fragments-has_operational_reliance</t>
  </si>
  <si>
    <t>tc-xlate-knowledge_fragments-is_unapproved_and_operationally_live</t>
  </si>
  <si>
    <t>tc-xlate-knowledge_fragments-age_days</t>
  </si>
  <si>
    <t>tc-xlate-knowledge_fragments-is_low_confidence</t>
  </si>
  <si>
    <t>tc-xlate-knowledge_fragments-owning_version_cadence_days</t>
  </si>
  <si>
    <t>tc-xlate-knowledge_fragments-exceeds_owning_cadence</t>
  </si>
  <si>
    <t>tc-xlate-knowledge_fragments-is_aging_low_confidence_claim</t>
  </si>
  <si>
    <t>tc-xlate-knowledge_fragments-owner_role_agent_kind</t>
  </si>
  <si>
    <t>tc-xlate-knowledge_fragments-is_human_owned</t>
  </si>
  <si>
    <t>tc-xlate-knowledge_fragments-is_ai_validated_by_ai</t>
  </si>
  <si>
    <t>tc-xlate-knowledge_fragments-review_cadence_days</t>
  </si>
  <si>
    <t>tc-xlate-knowledge_fragments-is_overdue_for_review</t>
  </si>
  <si>
    <t>tc-xlate-knowledge_fragments-predates_current_role_holder</t>
  </si>
  <si>
    <t>tc-xlate-knowledge_fragments-owner_role_assignment_valid_from</t>
  </si>
  <si>
    <t>tc-xlate-knowledge_fragments-fragility_signal_count</t>
  </si>
  <si>
    <t>tc-xlate-knowledge_fragments-is_compound_fragile</t>
  </si>
  <si>
    <t>tc-xlate-knowledge_fragments-is_single_point_of_failure</t>
  </si>
  <si>
    <t>tc-xlate-knowledge_fragments-is_expiring_single_point_of_failure</t>
  </si>
  <si>
    <t>tc-xlate-knowledge_fragments-compound_fragile_version_key</t>
  </si>
  <si>
    <t>tc-xlate-knowledge_fragments-valid_fragment_session_key</t>
  </si>
  <si>
    <t>tc-xlate-knowledge_fragments-consuming_step_is_software_assigned</t>
  </si>
  <si>
    <t>tc-xlate-knowledge_fragments-consuming_step_agent_kind</t>
  </si>
  <si>
    <t>tc-xlate-knowledge_fragments-is_unapproved_and_machine_consumed</t>
  </si>
  <si>
    <t>tc-xlate-knowledge_fragments-is_unapproved_and_human_consumed</t>
  </si>
  <si>
    <t>tc-xlate-knowledge_fragments-machine_consumed_unapproved_version_key</t>
  </si>
  <si>
    <t>tc-xlate-knowledge_fragments-has_review_record</t>
  </si>
  <si>
    <t>tc-xlate-knowledge_fragments-days_since_actual_review</t>
  </si>
  <si>
    <t>tc-xlate-knowledge_fragments-is_unreviewed_since_authoring</t>
  </si>
  <si>
    <t>tc-xlate-knowledge_fragments-is_genuinely_overdue</t>
  </si>
  <si>
    <t>tc-xlate-knowledge_fragments-review_recency_is_inferred</t>
  </si>
  <si>
    <t>tc-xlate-knowledge_fragments-inference_disagrees_with_record</t>
  </si>
  <si>
    <t>tc-xlate-knowledge_fragments-genuinely_overdue_version_key</t>
  </si>
  <si>
    <t>tc-xlate-knowledge_fragments-ratified_boundary_count</t>
  </si>
  <si>
    <t>tc-xlate-knowledge_fragments-reliance_surface_count</t>
  </si>
  <si>
    <t>tc-xlate-knowledge_fragments-days_awaiting_my_approval</t>
  </si>
  <si>
    <t>tc-xlate-knowledge_fragments-is_high_blast_radius_unapproved</t>
  </si>
  <si>
    <t>tc-xlate-knowledge_fragments-is_long_unapproved</t>
  </si>
  <si>
    <t>tc-xlate-knowledge_fragments-unapproved_load_bearing_version_key</t>
  </si>
  <si>
    <t>tc-xlate-knowledge_fragments-owner_role_is_vacated</t>
  </si>
  <si>
    <t>tc-xlate-knowledge_fragments-is_orphaned_by_role</t>
  </si>
  <si>
    <t>tc-xlate-knowledge_fragments-valid_fragment_version_key</t>
  </si>
  <si>
    <t>tc-xlate-knowledge_gaps-name</t>
  </si>
  <si>
    <t>tc-xlate-knowledge_gaps-is_open</t>
  </si>
  <si>
    <t>tc-xlate-knowledge_gaps-open_gap_version_key</t>
  </si>
  <si>
    <t>tc-xlate-knowledge_gaps-is_blocking</t>
  </si>
  <si>
    <t>tc-xlate-knowledge_gaps-is_open_and_blocking</t>
  </si>
  <si>
    <t>tc-xlate-knowledge_gaps-as_of_instant</t>
  </si>
  <si>
    <t>tc-xlate-knowledge_gaps-days_open</t>
  </si>
  <si>
    <t>tc-xlate-knowledge_gaps-tolerance_days</t>
  </si>
  <si>
    <t>tc-xlate-knowledge_gaps-is_overdue_gap</t>
  </si>
  <si>
    <t>tc-xlate-knowledge_gaps-owner_agent</t>
  </si>
  <si>
    <t>tc-xlate-knowledge_gaps-owner_is_still_engaged</t>
  </si>
  <si>
    <t>tc-xlate-knowledge_gaps-has_resolution_plan</t>
  </si>
  <si>
    <t>tc-xlate-knowledge_gaps-is_abandoned_unknown</t>
  </si>
  <si>
    <t>tc-xlate-knowledge_gaps-open_blocking_gap_version_key</t>
  </si>
  <si>
    <t>tc-xlate-knowledge_gaps-owner_role_is_vacated</t>
  </si>
  <si>
    <t>tc-xlate-knowledge_gaps-is_ownerless_open_gap</t>
  </si>
  <si>
    <t>tc-xlate-f_a_qs-name</t>
  </si>
  <si>
    <t>tc-xlate-explanations-name</t>
  </si>
  <si>
    <t>tc-xlate-procedure_executions-name</t>
  </si>
  <si>
    <t>tc-xlate-procedure_executions-expected_step_count</t>
  </si>
  <si>
    <t>tc-xlate-procedure_executions-completed_step_count</t>
  </si>
  <si>
    <t>tc-xlate-procedure_executions-control_breach_count</t>
  </si>
  <si>
    <t>tc-xlate-procedure_executions-late_step_count</t>
  </si>
  <si>
    <t>tc-xlate-procedure_executions-is_structurally_complete</t>
  </si>
  <si>
    <t>tc-xlate-procedure_executions-diverged_from_specification</t>
  </si>
  <si>
    <t>tc-xlate-procedure_executions-all_blocking_controls_evaluated</t>
  </si>
  <si>
    <t>tc-xlate-procedure_executions-unevaluated_blocking_total</t>
  </si>
  <si>
    <t>tc-xlate-procedure_executions-separation_of_duties_held</t>
  </si>
  <si>
    <t>tc-xlate-procedure_executions-separation_violation_count</t>
  </si>
  <si>
    <t>tc-xlate-procedure_executions-is_attestation_ready</t>
  </si>
  <si>
    <t>tc-xlate-procedure_executions-attestation_blocker_summary</t>
  </si>
  <si>
    <t>tc-xlate-procedure_executions-executed_version_is_fit</t>
  </si>
  <si>
    <t>tc-xlate-procedure_executions-signed_against_unfit_version</t>
  </si>
  <si>
    <t>tc-xlate-procedure_executions-asserted_only_control_count</t>
  </si>
  <si>
    <t>tc-xlate-procedure_executions-assurance_is_mostly_asserted</t>
  </si>
  <si>
    <t>tc-xlate-procedure_executions-unreachable_handling_failure_count</t>
  </si>
  <si>
    <t>tc-xlate-procedure_executions-retention_breach_count</t>
  </si>
  <si>
    <t>tc-xlate-procedure_executions-cleared_legal_review_count</t>
  </si>
  <si>
    <t>tc-xlate-procedure_executions-has_cleared_legal_review</t>
  </si>
  <si>
    <t>tc-xlate-procedure_executions-abandoned_failure_count</t>
  </si>
  <si>
    <t>tc-xlate-procedure_executions-delivered_count</t>
  </si>
  <si>
    <t>tc-xlate-procedure_executions-total_delivery_attempt_count</t>
  </si>
  <si>
    <t>tc-xlate-procedure_executions-has_abandoned_failures</t>
  </si>
  <si>
    <t>tc-xlate-procedure_executions-mishandled_refusal_count</t>
  </si>
  <si>
    <t>tc-xlate-procedure_executions-unclean_step_count</t>
  </si>
  <si>
    <t>tc-xlate-procedure_executions-ran_clean</t>
  </si>
  <si>
    <t>tc-xlate-procedure_executions-count_of_approval_executions</t>
  </si>
  <si>
    <t>tc-xlate-procedure_executions-has_human_approval</t>
  </si>
  <si>
    <t>tc-xlate-procedure_executions-count_of_delivery_executions</t>
  </si>
  <si>
    <t>tc-xlate-procedure_executions-has_delivered</t>
  </si>
  <si>
    <t>tc-xlate-procedure_executions-delivered_without_approval</t>
  </si>
  <si>
    <t>tc-xlate-procedure_executions-invalid_approval_count</t>
  </si>
  <si>
    <t>tc-xlate-procedure_executions-approval_chain_is_complete</t>
  </si>
  <si>
    <t>tc-xlate-procedure_executions-vacuously_clean_step_count</t>
  </si>
  <si>
    <t>tc-xlate-procedure_executions-preparation_step_count</t>
  </si>
  <si>
    <t>tc-xlate-procedure_executions-approval_step_count</t>
  </si>
  <si>
    <t>tc-xlate-procedure_executions-separation_was_testable</t>
  </si>
  <si>
    <t>tc-xlate-procedure_executions-separation_held_under_test</t>
  </si>
  <si>
    <t>tc-xlate-procedure_executions-separation_is_vacuously_green</t>
  </si>
  <si>
    <t>tc-xlate-procedure_executions-separation_assurance_note</t>
  </si>
  <si>
    <t>tc-xlate-procedure_executions-ungoverned_divergence_count</t>
  </si>
  <si>
    <t>tc-xlate-procedure_executions-divergence_was_fully_governed</t>
  </si>
  <si>
    <t>tc-xlate-procedure_executions-computedly_witnessed_control_count</t>
  </si>
  <si>
    <t>tc-xlate-procedure_executions-evaluated_control_count</t>
  </si>
  <si>
    <t>tc-xlate-procedure_executions-computed_assurance_ratio</t>
  </si>
  <si>
    <t>tc-xlate-procedure_executions-interested_party_assertion_count</t>
  </si>
  <si>
    <t>tc-xlate-procedure_executions-assurance_grade</t>
  </si>
  <si>
    <t>tc-xlate-procedure_executions-attestation_would_be_weakly_based</t>
  </si>
  <si>
    <t>tc-xlate-procedure_executions-independent_human_observation_count</t>
  </si>
  <si>
    <t>tc-xlate-procedure_executions-has_any_independent_observation</t>
  </si>
  <si>
    <t>tc-xlate-procedure_executions-self_attested_approval_count</t>
  </si>
  <si>
    <t>tc-xlate-procedure_executions-assurance_chain_is_circular</t>
  </si>
  <si>
    <t>tc-xlate-procedure_executions-latest_attestation_instant</t>
  </si>
  <si>
    <t>tc-xlate-procedure_executions-has_been_attested</t>
  </si>
  <si>
    <t>tc-xlate-procedure_executions-attestation_count</t>
  </si>
  <si>
    <t>tc-xlate-procedure_executions-post_attestation_score_count</t>
  </si>
  <si>
    <t>tc-xlate-procedure_executions-basis_changed_after_signature</t>
  </si>
  <si>
    <t>tc-xlate-procedure_executions-requires_re_attestation</t>
  </si>
  <si>
    <t>tc-xlate-procedure_executions-intended_recipient_count</t>
  </si>
  <si>
    <t>tc-xlate-procedure_executions-reached_recipient_count</t>
  </si>
  <si>
    <t>tc-xlate-procedure_executions-silently_dropped_count</t>
  </si>
  <si>
    <t>tc-xlate-procedure_executions-delivery_yield_percent</t>
  </si>
  <si>
    <t>tc-xlate-procedure_executions-campaign_silently_lost_audience</t>
  </si>
  <si>
    <t>tc-xlate-procedure_executions-unrecorded_refusal_count</t>
  </si>
  <si>
    <t>tc-xlate-procedure_executions-has_unrecorded_refusals</t>
  </si>
  <si>
    <t>tc-xlate-procedure_executions-independently_confirmed_intent_count</t>
  </si>
  <si>
    <t>tc-xlate-procedure_executions-send_decisions_are_entirely_self_witnessed</t>
  </si>
  <si>
    <t>tc-xlate-step_executions-name</t>
  </si>
  <si>
    <t>tc-xlate-step_executions-actual_duration_minutes</t>
  </si>
  <si>
    <t>tc-xlate-step_executions-expected_duration_minutes</t>
  </si>
  <si>
    <t>tc-xlate-step_executions-is_late</t>
  </si>
  <si>
    <t>tc-xlate-step_executions-blocking_unmet_count</t>
  </si>
  <si>
    <t>tc-xlate-step_executions-blocking_unmet_count_safe</t>
  </si>
  <si>
    <t>tc-xlate-step_executions-proceeded_past_blocking_control</t>
  </si>
  <si>
    <t>tc-xlate-step_executions-expected_blocking_count</t>
  </si>
  <si>
    <t>tc-xlate-step_executions-evaluated_blocking_count</t>
  </si>
  <si>
    <t>tc-xlate-step_executions-unevaluated_blocking_count</t>
  </si>
  <si>
    <t>tc-xlate-step_executions-has_unevaluated_blocking_control</t>
  </si>
  <si>
    <t>tc-xlate-step_executions-stale_authoritative_source_count</t>
  </si>
  <si>
    <t>tc-xlate-step_executions-ran_on_stale_authoritative_source</t>
  </si>
  <si>
    <t>tc-xlate-step_executions-has_deviation_note</t>
  </si>
  <si>
    <t>tc-xlate-step_executions-is_late_and_unexplained</t>
  </si>
  <si>
    <t>tc-xlate-step_executions-available_exception_count_for_step</t>
  </si>
  <si>
    <t>tc-xlate-step_executions-had_uninvoked_exception_available</t>
  </si>
  <si>
    <t>tc-xlate-step_executions-expected_verification_count</t>
  </si>
  <si>
    <t>tc-xlate-step_executions-performed_verification_count</t>
  </si>
  <si>
    <t>tc-xlate-step_executions-skipped_verification_count</t>
  </si>
  <si>
    <t>tc-xlate-step_executions-has_skipped_verification</t>
  </si>
  <si>
    <t>tc-xlate-step_executions-claims_pass_without_evidence</t>
  </si>
  <si>
    <t>tc-xlate-step_executions-step_is_preparation</t>
  </si>
  <si>
    <t>tc-xlate-step_executions-step_is_approval</t>
  </si>
  <si>
    <t>tc-xlate-step_executions-preparer_agent_key</t>
  </si>
  <si>
    <t>tc-xlate-step_executions-approver_agent_key</t>
  </si>
  <si>
    <t>tc-xlate-step_executions-prepared_by_this_agent_count</t>
  </si>
  <si>
    <t>tc-xlate-step_executions-violates_separation_of_duties</t>
  </si>
  <si>
    <t>tc-xlate-step_executions-required_role_for_step</t>
  </si>
  <si>
    <t>tc-xlate-step_executions-executor_role_key</t>
  </si>
  <si>
    <t>tc-xlate-step_executions-executor_authority_count</t>
  </si>
  <si>
    <t>tc-xlate-step_executions-executor_held_required_role</t>
  </si>
  <si>
    <t>tc-xlate-step_executions-is_unauthorized_approval</t>
  </si>
  <si>
    <t>tc-xlate-step_executions-completed_execution_key</t>
  </si>
  <si>
    <t>tc-xlate-step_executions-control_breach_execution_key</t>
  </si>
  <si>
    <t>tc-xlate-step_executions-late_execution_key</t>
  </si>
  <si>
    <t>tc-xlate-step_executions-executor_agent_kind</t>
  </si>
  <si>
    <t>tc-xlate-step_executions-executor_is_human</t>
  </si>
  <si>
    <t>tc-xlate-step_executions-step_requires_human_confirmation</t>
  </si>
  <si>
    <t>tc-xlate-step_executions-non_human_ran_human_step</t>
  </si>
  <si>
    <t>tc-xlate-step_executions-non_human_approval</t>
  </si>
  <si>
    <t>tc-xlate-step_executions-unevaluated_blocking_execution_key</t>
  </si>
  <si>
    <t>tc-xlate-step_executions-separation_violation_execution_key</t>
  </si>
  <si>
    <t>tc-xlate-step_executions-self_witnessed_verification_count</t>
  </si>
  <si>
    <t>tc-xlate-step_executions-unbacked_verification_count</t>
  </si>
  <si>
    <t>tc-xlate-step_executions-approval_rests_on_self_attestation</t>
  </si>
  <si>
    <t>tc-xlate-step_executions-exception_invocation_count</t>
  </si>
  <si>
    <t>tc-xlate-step_executions-ran_under_exception</t>
  </si>
  <si>
    <t>tc-xlate-step_executions-is_completed</t>
  </si>
  <si>
    <t>tc-xlate-step_executions-is_verification_passed</t>
  </si>
  <si>
    <t>tc-xlate-step_executions-is_legal_review_step</t>
  </si>
  <si>
    <t>tc-xlate-step_executions-cleared_legal_review_key</t>
  </si>
  <si>
    <t>tc-xlate-step_executions-assigned_role</t>
  </si>
  <si>
    <t>tc-xlate-step_executions-role_current_agent</t>
  </si>
  <si>
    <t>tc-xlate-step_executions-executor_is_designated_agent</t>
  </si>
  <si>
    <t>tc-xlate-step_executions-inputs_were_fresh_at_run</t>
  </si>
  <si>
    <t>tc-xlate-step_executions-ran_on_stale_inputs</t>
  </si>
  <si>
    <t>tc-xlate-step_executions-unresolved_issue_count</t>
  </si>
  <si>
    <t>tc-xlate-step_executions-has_deviation</t>
  </si>
  <si>
    <t>tc-xlate-step_executions-is_clean</t>
  </si>
  <si>
    <t>tc-xlate-step_executions-procedure_execution_when_unclean</t>
  </si>
  <si>
    <t>tc-xlate-step_executions-evaluated_requirement_count</t>
  </si>
  <si>
    <t>tc-xlate-step_executions-required_blocking_count</t>
  </si>
  <si>
    <t>tc-xlate-step_executions-has_unevaluated_blocking_requirement</t>
  </si>
  <si>
    <t>tc-xlate-step_executions-executing_agent_kind</t>
  </si>
  <si>
    <t>tc-xlate-step_executions-was_executed_by_software</t>
  </si>
  <si>
    <t>tc-xlate-step_executions-step_is_software_assigned</t>
  </si>
  <si>
    <t>tc-xlate-step_executions-software_did_human_work</t>
  </si>
  <si>
    <t>tc-xlate-step_executions-is_approval_execution</t>
  </si>
  <si>
    <t>tc-xlate-step_executions-is_verified</t>
  </si>
  <si>
    <t>tc-xlate-step_executions-unconfirmed_non_human_decision_count</t>
  </si>
  <si>
    <t>tc-xlate-step_executions-requires_human_confirmation</t>
  </si>
  <si>
    <t>tc-xlate-step_executions-human_confirmation_missing</t>
  </si>
  <si>
    <t>tc-xlate-step_executions-drafted_from_unusable_source</t>
  </si>
  <si>
    <t>tc-xlate-step_executions-inputs_were_usable</t>
  </si>
  <si>
    <t>tc-xlate-step_executions-software_execution_step_key</t>
  </si>
  <si>
    <t>tc-xlate-step_executions-step_control_kind</t>
  </si>
  <si>
    <t>tc-xlate-step_executions-unfalsified_clearance_count</t>
  </si>
  <si>
    <t>tc-xlate-step_executions-all_clearances_are_unfalsified</t>
  </si>
  <si>
    <t>tc-xlate-step_executions-stale_at_run_count</t>
  </si>
  <si>
    <t>tc-xlate-step_executions-was_stale_when_i_ran_it</t>
  </si>
  <si>
    <t>tc-xlate-step_executions-staleness_answer_is_tense_dependent</t>
  </si>
  <si>
    <t>tc-xlate-step_executions-has_any_declared_check</t>
  </si>
  <si>
    <t>tc-xlate-step_executions-performed_check_count</t>
  </si>
  <si>
    <t>tc-xlate-step_executions-declared_check_count</t>
  </si>
  <si>
    <t>tc-xlate-step_executions-is_unchecked_by_design</t>
  </si>
  <si>
    <t>tc-xlate-step_executions-is_vacuously_clean</t>
  </si>
  <si>
    <t>tc-xlate-step_executions-is_substantively_clean</t>
  </si>
  <si>
    <t>tc-xlate-step_executions-vacuously_clean_execution_key</t>
  </si>
  <si>
    <t>tc-xlate-step_executions-uncorroborated_pass_count</t>
  </si>
  <si>
    <t>tc-xlate-step_executions-evidence_position_is_weak</t>
  </si>
  <si>
    <t>tc-xlate-step_executions-preparation_execution_key</t>
  </si>
  <si>
    <t>tc-xlate-step_executions-approval_execution_key</t>
  </si>
  <si>
    <t>tc-xlate-step_executions-has_governing_instrument</t>
  </si>
  <si>
    <t>tc-xlate-step_executions-has_approved_change_coverage</t>
  </si>
  <si>
    <t>tc-xlate-step_executions-version_of_step</t>
  </si>
  <si>
    <t>tc-xlate-step_executions-is_ungoverned_divergence</t>
  </si>
  <si>
    <t>tc-xlate-step_executions-ungoverned_divergence_execution_key</t>
  </si>
  <si>
    <t>tc-xlate-step_executions-self_attested_approval_execution_key</t>
  </si>
  <si>
    <t>tc-xlate-requirement_satisfactions-name</t>
  </si>
  <si>
    <t>tc-xlate-requirement_satisfactions-requirement_is_blocking</t>
  </si>
  <si>
    <t>tc-xlate-requirement_satisfactions-is_fully_satisfied</t>
  </si>
  <si>
    <t>tc-xlate-requirement_satisfactions-is_blocking_and_unmet</t>
  </si>
  <si>
    <t>tc-xlate-requirement_satisfactions-blocking_unmet_step_key</t>
  </si>
  <si>
    <t>tc-xlate-requirement_satisfactions-blocking_satisfaction_step_key</t>
  </si>
  <si>
    <t>tc-xlate-requirement_satisfactions-negative_outcome_requirement_key</t>
  </si>
  <si>
    <t>tc-xlate-requirement_satisfactions-evaluator_agent_kind</t>
  </si>
  <si>
    <t>tc-xlate-requirement_satisfactions-non_human_evaluated_human_control</t>
  </si>
  <si>
    <t>tc-xlate-requirement_satisfactions-requirement_has_computed_witness</t>
  </si>
  <si>
    <t>tc-xlate-requirement_satisfactions-is_asserted_only</t>
  </si>
  <si>
    <t>tc-xlate-requirement_satisfactions-asserted_only_execution_key</t>
  </si>
  <si>
    <t>tc-xlate-requirement_satisfactions-parent_procedure_execution</t>
  </si>
  <si>
    <t>tc-xlate-requirement_satisfactions-step_execution_when_scored</t>
  </si>
  <si>
    <t>tc-xlate-requirement_satisfactions-is_human_evaluated</t>
  </si>
  <si>
    <t>tc-xlate-requirement_satisfactions-requirement_is_approval_type</t>
  </si>
  <si>
    <t>tc-xlate-requirement_satisfactions-is_invalid_approval</t>
  </si>
  <si>
    <t>tc-xlate-requirement_satisfactions-procedure_execution_of_satisfaction</t>
  </si>
  <si>
    <t>tc-xlate-requirement_satisfactions-run_when_invalid_approval</t>
  </si>
  <si>
    <t>tc-xlate-requirement_satisfactions-requirement_is_unfalsified</t>
  </si>
  <si>
    <t>tc-xlate-requirement_satisfactions-is_clearance_by_unfalsified_control</t>
  </si>
  <si>
    <t>tc-xlate-requirement_satisfactions-unfalsified_clearance_step_key</t>
  </si>
  <si>
    <t>tc-xlate-requirement_satisfactions-spec_step_of_execution</t>
  </si>
  <si>
    <t>tc-xlate-requirement_satisfactions-binding_key</t>
  </si>
  <si>
    <t>tc-xlate-requirement_satisfactions-scored_step_executor_agent</t>
  </si>
  <si>
    <t>tc-xlate-requirement_satisfactions-evaluator_is_step_executor</t>
  </si>
  <si>
    <t>tc-xlate-requirement_satisfactions-run_owner_agent</t>
  </si>
  <si>
    <t>tc-xlate-requirement_satisfactions-evaluator_owns_the_run</t>
  </si>
  <si>
    <t>tc-xlate-requirement_satisfactions-is_interested_party_assertion</t>
  </si>
  <si>
    <t>tc-xlate-requirement_satisfactions-has_written_evidence</t>
  </si>
  <si>
    <t>tc-xlate-requirement_satisfactions-is_bare_assertion</t>
  </si>
  <si>
    <t>tc-xlate-requirement_satisfactions-interested_assertion_execution_key</t>
  </si>
  <si>
    <t>tc-xlate-requirement_satisfactions-is_computedly_witnessed</t>
  </si>
  <si>
    <t>tc-xlate-requirement_satisfactions-computed_witness_execution_key</t>
  </si>
  <si>
    <t>tc-xlate-requirement_satisfactions-step_executor_agent</t>
  </si>
  <si>
    <t>tc-xlate-requirement_satisfactions-was_scored_after_attestation</t>
  </si>
  <si>
    <t>tc-xlate-requirement_satisfactions-attestation_instant_for_run</t>
  </si>
  <si>
    <t>tc-xlate-requirement_satisfactions-post_attestation_score_execution_key</t>
  </si>
  <si>
    <t>tc-xlate-errors-name</t>
  </si>
  <si>
    <t>tc-xlate-issue_occurrences-name</t>
  </si>
  <si>
    <t>tc-xlate-issue_occurrences-is_unresolved</t>
  </si>
  <si>
    <t>tc-xlate-issue_occurrences-step_execution_when_unresolved</t>
  </si>
  <si>
    <t>tc-xlate-user_questions-name</t>
  </si>
  <si>
    <t>tc-xlate-user_feedback-name</t>
  </si>
  <si>
    <t>tc-xlate-stewardship_assignments-name</t>
  </si>
  <si>
    <t>tc-xlate-stewardship_assignments-count_of_review_events</t>
  </si>
  <si>
    <t>tc-xlate-stewardship_assignments-has_ever_been_reviewed</t>
  </si>
  <si>
    <t>tc-xlate-stewardship_assignments-as_of_instant</t>
  </si>
  <si>
    <t>tc-xlate-stewardship_assignments-is_current_assignment</t>
  </si>
  <si>
    <t>tc-xlate-change_requests-name</t>
  </si>
  <si>
    <t>tc-xlate-change_requests-is_open</t>
  </si>
  <si>
    <t>tc-xlate-change_requests-open_change_version_key</t>
  </si>
  <si>
    <t>tc-xlate-change_requests-is_decided</t>
  </si>
  <si>
    <t>tc-xlate-change_requests-as_of_instant</t>
  </si>
  <si>
    <t>tc-xlate-change_requests-days_pending</t>
  </si>
  <si>
    <t>tc-xlate-change_requests-is_still_pending</t>
  </si>
  <si>
    <t>tc-xlate-change_requests-is_stalled</t>
  </si>
  <si>
    <t>tc-xlate-change_requests-authority_agent</t>
  </si>
  <si>
    <t>tc-xlate-change_requests-requester_is_authority</t>
  </si>
  <si>
    <t>tc-xlate-change_requests-awaits_authority_decision</t>
  </si>
  <si>
    <t>tc-xlate-change_requests-authority_role_label</t>
  </si>
  <si>
    <t>tc-xlate-change_requests-touches_live_version</t>
  </si>
  <si>
    <t>tc-xlate-change_requests-is_live_decision_backlog</t>
  </si>
  <si>
    <t>tc-xlate-change_requests-blocks_an_open_gap</t>
  </si>
  <si>
    <t>tc-xlate-change_requests-backlog_version_key</t>
  </si>
  <si>
    <t>tc-xlate-change_requests-is_my_pending_decision</t>
  </si>
  <si>
    <t>tc-xlate-change_requests-is_my_blocking_backlog</t>
  </si>
  <si>
    <t>tc-xlate-change_requests-is_my_overdue_backlog</t>
  </si>
  <si>
    <t>tc-xlate-change_requests-is_implemented</t>
  </si>
  <si>
    <t>tc-xlate-change_requests-is_my_decided_request</t>
  </si>
  <si>
    <t>tc-xlate-change_requests-is_my_decided_but_unlanded</t>
  </si>
  <si>
    <t>tc-xlate-change_requests-decision_latency_days</t>
  </si>
  <si>
    <t>tc-xlate-change_requests-implementation_latency_days</t>
  </si>
  <si>
    <t>tc-xlate-change_requests-delay_is_downstream_of_me</t>
  </si>
  <si>
    <t>tc-xlate-change_requests-unlanded_version_key</t>
  </si>
  <si>
    <t>tc-xlate-change_requests-is_approved_not_implemented</t>
  </si>
  <si>
    <t>tc-xlate-change_requests-days_since_approval</t>
  </si>
  <si>
    <t>tc-xlate-change_requests-is_stalled_implementation</t>
  </si>
  <si>
    <t>tc-xlate-change_requests-stalled_implementation_version_key</t>
  </si>
  <si>
    <t>tc-xlate-change_requests-approved_version_key</t>
  </si>
  <si>
    <t>tc-xlate-change_requests-is_approved_decision</t>
  </si>
  <si>
    <t>tc-xlate-review_events-name</t>
  </si>
  <si>
    <t>tc-xlate-review_events-as_of_instant</t>
  </si>
  <si>
    <t>tc-xlate-review_events-is_overdue</t>
  </si>
  <si>
    <t>tc-xlate-review_events-overdue_version_key</t>
  </si>
  <si>
    <t>tc-xlate-review_events-promised_cadence_days</t>
  </si>
  <si>
    <t>tc-xlate-review_events-days_since_reviewed</t>
  </si>
  <si>
    <t>tc-xlate-review_events-exceeds_promised_cadence</t>
  </si>
  <si>
    <t>tc-xlate-review_events-cadence_drift_days</t>
  </si>
  <si>
    <t>tc-xlate-review_events-promise_and_behavior_disagree</t>
  </si>
  <si>
    <t>tc-xlate-review_events-cadence_breach_version_key</t>
  </si>
  <si>
    <t>tc-xlate-learning_activities-name</t>
  </si>
  <si>
    <t>tc-xlate-operational_bindings-name</t>
  </si>
  <si>
    <t>tc-xlate-operational_bindings-as_of_instant</t>
  </si>
  <si>
    <t>tc-xlate-operational_bindings-age_minutes</t>
  </si>
  <si>
    <t>tc-xlate-operational_bindings-is_fresh</t>
  </si>
  <si>
    <t>tc-xlate-operational_bindings-stale_binding_step_key</t>
  </si>
  <si>
    <t>tc-xlate-operational_bindings-authoritative_stale_step_key</t>
  </si>
  <si>
    <t>tc-xlate-operational_bindings-is_stale_and_authoritative</t>
  </si>
  <si>
    <t>tc-xlate-operational_bindings-step_when_stale</t>
  </si>
  <si>
    <t>tc-xlate-operational_bindings-resource_is_approved</t>
  </si>
  <si>
    <t>tc-xlate-operational_bindings-is_usable_for_drafting</t>
  </si>
  <si>
    <t>tc-xlate-operational_bindings-step_when_unusable</t>
  </si>
  <si>
    <t>tc-xlate-communication_policies-name</t>
  </si>
  <si>
    <t>tc-xlate-communication_policies-consent_violation_count</t>
  </si>
  <si>
    <t>tc-xlate-communication_policies-quiet_hours_violation_count</t>
  </si>
  <si>
    <t>tc-xlate-communication_policies-is_active_policy</t>
  </si>
  <si>
    <t>tc-xlate-message_templates-name</t>
  </si>
  <si>
    <t>tc-xlate-message_templates-policy_max_message_length</t>
  </si>
  <si>
    <t>tc-xlate-message_templates-policy_max_segments</t>
  </si>
  <si>
    <t>tc-xlate-message_templates-body_template_length</t>
  </si>
  <si>
    <t>tc-xlate-message_templates-is_template_over_length</t>
  </si>
  <si>
    <t>tc-xlate-message_templates-valid_approval_count</t>
  </si>
  <si>
    <t>tc-xlate-message_templates-has_valid_approval</t>
  </si>
  <si>
    <t>tc-xlate-message_templates-is_claiming_unbacked_approval</t>
  </si>
  <si>
    <t>tc-xlate-message_templates-last_approved_body_hash</t>
  </si>
  <si>
    <t>tc-xlate-message_templates-has_body_drifted</t>
  </si>
  <si>
    <t>tc-xlate-message_templates-is_sendable_under_approval</t>
  </si>
  <si>
    <t>tc-xlate-message_templates-drifted_send_count</t>
  </si>
  <si>
    <t>tc-xlate-message_templates-unanswered_delivery_count</t>
  </si>
  <si>
    <t>tc-xlate-message_templates-transmitted_delivery_count</t>
  </si>
  <si>
    <t>tc-xlate-message_templates-template_draws_no_response</t>
  </si>
  <si>
    <t>tc-xlate-message_templates-last_approval_at</t>
  </si>
  <si>
    <t>tc-xlate-semantic_mappings-name</t>
  </si>
  <si>
    <t>tc-xlate-witness_loops-name</t>
  </si>
  <si>
    <t>tc-xlate-witness_loops-question_count</t>
  </si>
  <si>
    <t>tc-xlate-witness_loops-is_complete</t>
  </si>
  <si>
    <t>tc-xlate-role_questions-name</t>
  </si>
  <si>
    <t>tc-xlate-role_questions-predicate_count</t>
  </si>
  <si>
    <t>tc-xlate-role_questions-is_answered</t>
  </si>
  <si>
    <t>tc-xlate-rulebook_fields-name</t>
  </si>
  <si>
    <t>tc-xlate-rulebook_fields-is_derived</t>
  </si>
  <si>
    <t>tc-xlate-rulebook_fields-is_witness</t>
  </si>
  <si>
    <t>tc-xlate-test_suites-name</t>
  </si>
  <si>
    <t>tc-xlate-test_suites-test_count</t>
  </si>
  <si>
    <t>tc-xlate-test_suites-pass_count</t>
  </si>
  <si>
    <t>tc-xlate-test_suites-blocking_fail_count</t>
  </si>
  <si>
    <t>tc-xlate-test_suites-is_green</t>
  </si>
  <si>
    <t>tc-xlate-test_cases-name</t>
  </si>
  <si>
    <t>tc-xlate-test_cases-is_blocking</t>
  </si>
  <si>
    <t>tc-xlate-test_cases-is_passing</t>
  </si>
  <si>
    <t>tc-xlate-test_cases-is_failing</t>
  </si>
  <si>
    <t>tc-xlate-test_cases-needs_attention</t>
  </si>
  <si>
    <t>tc-xlate-test_cases-passing_suite_key</t>
  </si>
  <si>
    <t>tc-xlate-test_cases-needs_attention_suite_key</t>
  </si>
  <si>
    <t>tc-xlate-__meta__-name</t>
  </si>
  <si>
    <t>tc-xlate-exception_invocations-name</t>
  </si>
  <si>
    <t>tc-xlate-exception_invocations-expected_handling</t>
  </si>
  <si>
    <t>tc-xlate-exception_invocations-required_approval_role</t>
  </si>
  <si>
    <t>tc-xlate-exception_invocations-required_approval_role_holder</t>
  </si>
  <si>
    <t>tc-xlate-exception_invocations-approval_role_matches</t>
  </si>
  <si>
    <t>tc-xlate-exception_invocations-is_approved</t>
  </si>
  <si>
    <t>tc-xlate-exception_invocations-is_improperly_approved</t>
  </si>
  <si>
    <t>tc-xlate-exception_invocations-invoker_agent_kind</t>
  </si>
  <si>
    <t>tc-xlate-exception_invocations-invoker_also_prepared_key</t>
  </si>
  <si>
    <t>tc-xlate-exception_invocations-parent_procedure_execution</t>
  </si>
  <si>
    <t>tc-xlate-exception_invocations-approver_prepared_count</t>
  </si>
  <si>
    <t>tc-xlate-exception_invocations-delegated_to_preparer</t>
  </si>
  <si>
    <t>tc-xlate-exception_invocations-is_ungoverned_invocation</t>
  </si>
  <si>
    <t>tc-xlate-verification_outcomes-name</t>
  </si>
  <si>
    <t>tc-xlate-verification_outcomes-expected_signal_value</t>
  </si>
  <si>
    <t>tc-xlate-verification_outcomes-signal_identifier</t>
  </si>
  <si>
    <t>tc-xlate-verification_outcomes-signal_matches_expected</t>
  </si>
  <si>
    <t>tc-xlate-verification_outcomes-has_evidence</t>
  </si>
  <si>
    <t>tc-xlate-verification_outcomes-is_unbacked_observation</t>
  </si>
  <si>
    <t>tc-xlate-verification_outcomes-is_self_witnessed</t>
  </si>
  <si>
    <t>tc-xlate-verification_outcomes-step_executor_agent</t>
  </si>
  <si>
    <t>tc-xlate-verification_outcomes-self_witnessed_step_key</t>
  </si>
  <si>
    <t>tc-xlate-verification_outcomes-unbacked_step_key</t>
  </si>
  <si>
    <t>tc-xlate-verification_outcomes-is_self_witnessed_and_unbacked</t>
  </si>
  <si>
    <t>tc-xlate-verification_outcomes-is_uncorroborated_pass</t>
  </si>
  <si>
    <t>tc-xlate-verification_outcomes-uncorroborated_pass_step_key</t>
  </si>
  <si>
    <t>tc-xlate-verification_outcomes-observer_is_non_human</t>
  </si>
  <si>
    <t>tc-xlate-verification_outcomes-observer_is_independent_of_executor</t>
  </si>
  <si>
    <t>tc-xlate-verification_outcomes-is_independent_human_observation</t>
  </si>
  <si>
    <t>tc-xlate-verification_outcomes-independent_observation_execution_key</t>
  </si>
  <si>
    <t>tc-xlate-verification_outcomes-parent_procedure_execution_of_outcome</t>
  </si>
  <si>
    <t>tc-xlate-observed_transitions-name</t>
  </si>
  <si>
    <t>tc-xlate-recipients-name</t>
  </si>
  <si>
    <t>tc-xlate-recipients-has_sms_consent</t>
  </si>
  <si>
    <t>tc-xlate-recipients-is_email_reachable</t>
  </si>
  <si>
    <t>tc-xlate-recipients-is_sms_reachable</t>
  </si>
  <si>
    <t>tc-xlate-recipients-is_unreachable</t>
  </si>
  <si>
    <t>tc-xlate-recipients-is_communicationally_stranded</t>
  </si>
  <si>
    <t>tc-xlate-message_deliveries-name</t>
  </si>
  <si>
    <t>tc-xlate-message_deliveries-policy_channel</t>
  </si>
  <si>
    <t>tc-xlate-message_deliveries-channel_name</t>
  </si>
  <si>
    <t>tc-xlate-message_deliveries-policy_requires_consent</t>
  </si>
  <si>
    <t>tc-xlate-message_deliveries-recipient_has_sms_consent</t>
  </si>
  <si>
    <t>tc-xlate-message_deliveries-was_actually_transmitted</t>
  </si>
  <si>
    <t>tc-xlate-message_deliveries-is_consent_violation</t>
  </si>
  <si>
    <t>tc-xlate-message_deliveries-consent_violation_policy_key</t>
  </si>
  <si>
    <t>tc-xlate-message_deliveries-policy_quiet_hours_start_hour</t>
  </si>
  <si>
    <t>tc-xlate-message_deliveries-policy_quiet_hours_end_hour</t>
  </si>
  <si>
    <t>tc-xlate-message_deliveries-policy_has_quiet_hours</t>
  </si>
  <si>
    <t>tc-xlate-message_deliveries-quiet_window_wraps_midnight</t>
  </si>
  <si>
    <t>tc-xlate-message_deliveries-is_inside_quiet_window</t>
  </si>
  <si>
    <t>tc-xlate-message_deliveries-is_quiet_hours_violation</t>
  </si>
  <si>
    <t>tc-xlate-message_deliveries-quiet_hours_violation_policy_key</t>
  </si>
  <si>
    <t>tc-xlate-message_deliveries-recipient_is_unreachable</t>
  </si>
  <si>
    <t>tc-xlate-message_deliveries-is_acknowledged</t>
  </si>
  <si>
    <t>tc-xlate-message_deliveries-invoked_exception_condition</t>
  </si>
  <si>
    <t>tc-xlate-message_deliveries-has_unreachable_exception_invoked</t>
  </si>
  <si>
    <t>tc-xlate-message_deliveries-is_fabricated_acknowledgement</t>
  </si>
  <si>
    <t>tc-xlate-message_deliveries-is_unhandled_unreachable</t>
  </si>
  <si>
    <t>tc-xlate-message_deliveries-unreachable_failure_key</t>
  </si>
  <si>
    <t>tc-xlate-message_deliveries-policy_retention_days</t>
  </si>
  <si>
    <t>tc-xlate-message_deliveries-as_of_instant</t>
  </si>
  <si>
    <t>tc-xlate-message_deliveries-age_days</t>
  </si>
  <si>
    <t>tc-xlate-message_deliveries-is_within_retention_window</t>
  </si>
  <si>
    <t>tc-xlate-message_deliveries-has_rendered_body</t>
  </si>
  <si>
    <t>tc-xlate-message_deliveries-is_evidence_required</t>
  </si>
  <si>
    <t>tc-xlate-message_deliveries-is_retention_breach</t>
  </si>
  <si>
    <t>tc-xlate-message_deliveries-retention_breach_execution_key</t>
  </si>
  <si>
    <t>tc-xlate-message_deliveries-sending_step_execution_step</t>
  </si>
  <si>
    <t>tc-xlate-message_deliveries-execution_has_cleared_legal_review</t>
  </si>
  <si>
    <t>tc-xlate-message_deliveries-is_unreviewed_send</t>
  </si>
  <si>
    <t>tc-xlate-message_deliveries-rendered_body_length</t>
  </si>
  <si>
    <t>tc-xlate-message_deliveries-policy_max_message_length_at_send</t>
  </si>
  <si>
    <t>tc-xlate-message_deliveries-segment_count</t>
  </si>
  <si>
    <t>tc-xlate-message_deliveries-policy_max_segments_at_send</t>
  </si>
  <si>
    <t>tc-xlate-message_deliveries-is_over_segment_limit</t>
  </si>
  <si>
    <t>tc-xlate-message_deliveries-template_has_valid_approval</t>
  </si>
  <si>
    <t>tc-xlate-message_deliveries-is_unapproved_send</t>
  </si>
  <si>
    <t>tc-xlate-message_deliveries-policy_required_opt_out_phrase</t>
  </si>
  <si>
    <t>tc-xlate-message_deliveries-policy_requires_opt_out</t>
  </si>
  <si>
    <t>tc-xlate-message_deliveries-opt_out_phrase_position</t>
  </si>
  <si>
    <t>tc-xlate-message_deliveries-has_opt_out_phrase</t>
  </si>
  <si>
    <t>tc-xlate-message_deliveries-is_opt_out_in_first_segment</t>
  </si>
  <si>
    <t>tc-xlate-message_deliveries-is_missing_required_opt_out</t>
  </si>
  <si>
    <t>tc-xlate-message_deliveries-is_opt_out_at_risk_of_truncation</t>
  </si>
  <si>
    <t>tc-xlate-message_deliveries-is_failed_delivery</t>
  </si>
  <si>
    <t>tc-xlate-message_deliveries-is_suppressed</t>
  </si>
  <si>
    <t>tc-xlate-message_deliveries-is_triaged</t>
  </si>
  <si>
    <t>tc-xlate-message_deliveries-is_abandoned_failure</t>
  </si>
  <si>
    <t>tc-xlate-message_deliveries-abandoned_failure_execution_key</t>
  </si>
  <si>
    <t>tc-xlate-message_deliveries-reached_execution_key</t>
  </si>
  <si>
    <t>tc-xlate-message_deliveries-template_was_sendable</t>
  </si>
  <si>
    <t>tc-xlate-message_deliveries-is_drifted_send</t>
  </si>
  <si>
    <t>tc-xlate-message_deliveries-drifted_send_template_key</t>
  </si>
  <si>
    <t>tc-xlate-message_deliveries-was_sent_outside_business_hours</t>
  </si>
  <si>
    <t>tc-xlate-message_deliveries-was_delivered_and_unanswered</t>
  </si>
  <si>
    <t>tc-xlate-message_deliveries-is_poorly_timed_unanswered</t>
  </si>
  <si>
    <t>tc-xlate-message_deliveries-is_well_timed_unanswered</t>
  </si>
  <si>
    <t>tc-xlate-message_deliveries-unanswered_template_key</t>
  </si>
  <si>
    <t>tc-xlate-message_deliveries-transmitted_template_key</t>
  </si>
  <si>
    <t>tc-xlate-message_deliveries-approval_preceded_send</t>
  </si>
  <si>
    <t>tc-xlate-message_deliveries-has_frozen_approval_evidence</t>
  </si>
  <si>
    <t>tc-xlate-message_deliveries-provenance_is_live_derived</t>
  </si>
  <si>
    <t>tc-xlate-message_deliveries-current_last_approval_at</t>
  </si>
  <si>
    <t>tc-xlate-message_deliveries-template_reapproved_since_send</t>
  </si>
  <si>
    <t>tc-xlate-message_deliveries-is_unprovable_approval_claim</t>
  </si>
  <si>
    <t>tc-xlate-message_deliveries-has_sent_reminder</t>
  </si>
  <si>
    <t>tc-xlate-message_deliveries-acknowledgement_is_outstanding</t>
  </si>
  <si>
    <t>tc-xlate-message_deliveries-outstanding_age_days</t>
  </si>
  <si>
    <t>tc-xlate-message_deliveries-is_unchased_acknowledgement</t>
  </si>
  <si>
    <t>tc-xlate-message_deliveries-is_exhausted_follow_up</t>
  </si>
  <si>
    <t>tc-xlate-message_deliveries-needs_human_escalation</t>
  </si>
  <si>
    <t>tc-xlate-template_approvals-name</t>
  </si>
  <si>
    <t>tc-xlate-template_approvals-is_approval_decision</t>
  </si>
  <si>
    <t>tc-xlate-template_approvals-template_policy</t>
  </si>
  <si>
    <t>tc-xlate-template_approvals-required_approval_role</t>
  </si>
  <si>
    <t>tc-xlate-template_approvals-is_decided_by_required_role</t>
  </si>
  <si>
    <t>tc-xlate-template_approvals-valid_approval_template_key</t>
  </si>
  <si>
    <t>tc-xlate-send_intents-name</t>
  </si>
  <si>
    <t>tc-xlate-send_intents-intent_policy</t>
  </si>
  <si>
    <t>tc-xlate-send_intents-intent_channel</t>
  </si>
  <si>
    <t>tc-xlate-send_intents-policy_is_active</t>
  </si>
  <si>
    <t>tc-xlate-send_intents-intent_requires_consent</t>
  </si>
  <si>
    <t>tc-xlate-send_intents-recipient_has_channel_consent</t>
  </si>
  <si>
    <t>tc-xlate-send_intents-consent_gate_passed</t>
  </si>
  <si>
    <t>tc-xlate-send_intents-recipient_is_sms_reachable</t>
  </si>
  <si>
    <t>tc-xlate-send_intents-recipient_is_email_reachable</t>
  </si>
  <si>
    <t>tc-xlate-send_intents-reachability_gate_passed</t>
  </si>
  <si>
    <t>tc-xlate-send_intents-permission_gate_passed</t>
  </si>
  <si>
    <t>tc-xlate-send_intents-intent_quiet_start_hour</t>
  </si>
  <si>
    <t>tc-xlate-send_intents-intent_quiet_end_hour</t>
  </si>
  <si>
    <t>tc-xlate-send_intents-intent_policy_has_quiet_hours</t>
  </si>
  <si>
    <t>tc-xlate-send_intents-intent_quiet_window_wraps</t>
  </si>
  <si>
    <t>tc-xlate-send_intents-intent_is_inside_quiet_window</t>
  </si>
  <si>
    <t>tc-xlate-send_intents-timing_gate_passed</t>
  </si>
  <si>
    <t>tc-xlate-send_intents-hours_until_window_opens</t>
  </si>
  <si>
    <t>tc-xlate-send_intents-intent_max_message_length</t>
  </si>
  <si>
    <t>tc-xlate-send_intents-intent_max_segments</t>
  </si>
  <si>
    <t>tc-xlate-send_intents-length_gate_passed</t>
  </si>
  <si>
    <t>tc-xlate-send_intents-intent_required_opt_out_phrase</t>
  </si>
  <si>
    <t>tc-xlate-send_intents-opt_out_gate_passed</t>
  </si>
  <si>
    <t>tc-xlate-send_intents-content_gate_passed</t>
  </si>
  <si>
    <t>tc-xlate-send_intents-template_is_sendable</t>
  </si>
  <si>
    <t>tc-xlate-send_intents-execution_has_legal_clearance</t>
  </si>
  <si>
    <t>tc-xlate-send_intents-intent_approval_role</t>
  </si>
  <si>
    <t>tc-xlate-send_intents-approval_role_agent_kind</t>
  </si>
  <si>
    <t>tc-xlate-send_intents-approval_is_human</t>
  </si>
  <si>
    <t>tc-xlate-send_intents-authorization_gate_passed</t>
  </si>
  <si>
    <t>tc-xlate-send_intents-is_cleared_to_send</t>
  </si>
  <si>
    <t>tc-xlate-send_intents-blocking_gate_name</t>
  </si>
  <si>
    <t>tc-xlate-send_intents-has_resulting_delivery</t>
  </si>
  <si>
    <t>tc-xlate-send_intents-resulting_delivery_was_transmitted</t>
  </si>
  <si>
    <t>tc-xlate-send_intents-is_overridden_refusal</t>
  </si>
  <si>
    <t>tc-xlate-send_intents-is_silently_dropped</t>
  </si>
  <si>
    <t>tc-xlate-send_intents-resulting_delivery_exception</t>
  </si>
  <si>
    <t>tc-xlate-send_intents-refusal_cited_an_exception</t>
  </si>
  <si>
    <t>tc-xlate-send_intents-is_properly_handled_refusal</t>
  </si>
  <si>
    <t>tc-xlate-send_intents-refusal_failure_execution_key</t>
  </si>
  <si>
    <t>tc-xlate-send_intents-intent_execution_key</t>
  </si>
  <si>
    <t>tc-xlate-send_intents-delivered_intent_execution_key</t>
  </si>
  <si>
    <t>tc-xlate-send_intents-dropped_intent_execution_key</t>
  </si>
  <si>
    <t>tc-xlate-send_intents-my_approval_was_in_force</t>
  </si>
  <si>
    <t>tc-xlate-send_intents-refused_on_approved_content</t>
  </si>
  <si>
    <t>tc-xlate-send_intents-refused_on_opt_out_only</t>
  </si>
  <si>
    <t>tc-xlate-send_intents-refusal_was_on_my_rules</t>
  </si>
  <si>
    <t>tc-xlate-send_intents-refusal_was_outside_my_control</t>
  </si>
  <si>
    <t>tc-xlate-send_intents-is_unreported_refusal_on_my_rules</t>
  </si>
  <si>
    <t>tc-xlate-send_intents-is_approval_overridden_silently</t>
  </si>
  <si>
    <t>tc-xlate-send_intents-has_alternate_channel_attempt</t>
  </si>
  <si>
    <t>tc-xlate-send_intents-alternate_attempt_was_cleared</t>
  </si>
  <si>
    <t>tc-xlate-send_intents-is_refused_with_no_alternative</t>
  </si>
  <si>
    <t>tc-xlate-send_intents-exception_prescribed_an_alternative</t>
  </si>
  <si>
    <t>tc-xlate-send_intents-prescribed_handling_was_performed</t>
  </si>
  <si>
    <t>tc-xlate-send_intents-is_suppression_without_remedy</t>
  </si>
  <si>
    <t>tc-xlate-send_intents-has_durable_refusal_record</t>
  </si>
  <si>
    <t>tc-xlate-send_intents-refusal_was_escalated</t>
  </si>
  <si>
    <t>tc-xlate-send_intents-is_unrecorded_refusal</t>
  </si>
  <si>
    <t>tc-xlate-send_intents-is_unescalated_refusal</t>
  </si>
  <si>
    <t>tc-xlate-send_intents-unescalated_refusal_role_key</t>
  </si>
  <si>
    <t>tc-xlate-send_intents-unrecorded_refusal_execution_key</t>
  </si>
  <si>
    <t>tc-xlate-send_intents-was_deferred_on_timing</t>
  </si>
  <si>
    <t>tc-xlate-send_intents-as_of_instant</t>
  </si>
  <si>
    <t>tc-xlate-send_intents-window_has_since_reopened</t>
  </si>
  <si>
    <t>tc-xlate-send_intents-has_retry_attempt</t>
  </si>
  <si>
    <t>tc-xlate-send_intents-retry_was_cleared</t>
  </si>
  <si>
    <t>tc-xlate-send_intents-is_abandoned_deferral</t>
  </si>
  <si>
    <t>tc-xlate-send_intents-deferral_age_hours</t>
  </si>
  <si>
    <t>tc-xlate-send_intents-is_stale_deferral</t>
  </si>
  <si>
    <t>tc-xlate-send_intents-enforced_by_unauthorized_agent</t>
  </si>
  <si>
    <t>tc-xlate-send_intents-consent_input_was_resolvable</t>
  </si>
  <si>
    <t>tc-xlate-send_intents-recipient_consent_status_raw</t>
  </si>
  <si>
    <t>tc-xlate-send_intents-policy_input_was_resolvable</t>
  </si>
  <si>
    <t>tc-xlate-send_intents-all_gate_inputs_resolved</t>
  </si>
  <si>
    <t>tc-xlate-send_intents-is_unevaluable_refusal</t>
  </si>
  <si>
    <t>tc-xlate-send_intents-is_self_witnessed_decision</t>
  </si>
  <si>
    <t>tc-xlate-send_intents-is_independently_confirmed</t>
  </si>
  <si>
    <t>tc-xlate-send_intents-independently_confirmed_execution_key</t>
  </si>
  <si>
    <t>tc-xlate-agent_decision_records-name</t>
  </si>
  <si>
    <t>tc-xlate-agent_decision_records-was_overridden</t>
  </si>
  <si>
    <t>tc-xlate-agent_decision_records-was_reviewed</t>
  </si>
  <si>
    <t>tc-xlate-agent_decision_records-deciding_agent_kind</t>
  </si>
  <si>
    <t>tc-xlate-agent_decision_records-deciding_agent_when_overridden</t>
  </si>
  <si>
    <t>tc-xlate-agent_decision_records-role_assignment_when_scored</t>
  </si>
  <si>
    <t>tc-xlate-agent_decision_records-role_assignment_when_overridden</t>
  </si>
  <si>
    <t>tc-xlate-agent_decision_records-step_of_decision</t>
  </si>
  <si>
    <t>tc-xlate-agent_decision_records-boundary_match_key</t>
  </si>
  <si>
    <t>tc-xlate-agent_decision_records-matching_boundary_count</t>
  </si>
  <si>
    <t>tc-xlate-agent_decision_records-violated_authority_boundary</t>
  </si>
  <si>
    <t>tc-xlate-agent_decision_records-reviewer_agent_kind</t>
  </si>
  <si>
    <t>tc-xlate-agent_decision_records-has_human_confirmation</t>
  </si>
  <si>
    <t>tc-xlate-agent_decision_records-needs_human_confirmation</t>
  </si>
  <si>
    <t>tc-xlate-agent_decision_records-is_unconfirmed_non_human_decision</t>
  </si>
  <si>
    <t>tc-xlate-agent_decision_records-step_execution_when_unconfirmed</t>
  </si>
  <si>
    <t>tc-xlate-agent_decision_records-agent_when_boundary_violated</t>
  </si>
  <si>
    <t>tc-xlate-agent_decision_records-review_latency_minutes</t>
  </si>
  <si>
    <t>tc-xlate-agent_decision_records-is_draft_kind</t>
  </si>
  <si>
    <t>tc-xlate-agent_decision_records-agent_when_draft_overridden</t>
  </si>
  <si>
    <t>tc-xlate-agent_decision_records-agent_when_draft</t>
  </si>
  <si>
    <t>tc-xlate-agent_decision_records-is_error_correction</t>
  </si>
  <si>
    <t>tc-xlate-agent_decision_records-is_reserved_judgment_override</t>
  </si>
  <si>
    <t>tc-xlate-agent_decision_records-override_reason_is_recorded</t>
  </si>
  <si>
    <t>tc-xlate-agent_decision_records-is_unexplained_override</t>
  </si>
  <si>
    <t>tc-xlate-agent_decision_records-error_correction_role_assignment_key</t>
  </si>
  <si>
    <t>tc-xlate-agent_decision_records-boundary_violation_role_assignment_key</t>
  </si>
  <si>
    <t>tc-xlate-delivered_communications-name</t>
  </si>
  <si>
    <t>tc-xlate-delivered_communications-has_authorization</t>
  </si>
  <si>
    <t>tc-xlate-delivered_communications-content_matches_approval</t>
  </si>
  <si>
    <t>tc-xlate-delivered_communications-authorized_at</t>
  </si>
  <si>
    <t>tc-xlate-delivered_communications-was_approved_before_sending</t>
  </si>
  <si>
    <t>tc-xlate-delivered_communications-is_defensible</t>
  </si>
  <si>
    <t>tc-xlate-authority_boundaries-name</t>
  </si>
  <si>
    <t>tc-xlate-authority_boundaries-as_of_instant</t>
  </si>
  <si>
    <t>tc-xlate-authority_boundaries-is_currently_binding</t>
  </si>
  <si>
    <t>tc-xlate-authority_boundaries-ratifying_fragment_is_valid</t>
  </si>
  <si>
    <t>tc-xlate-authority_boundaries-step_when_binding</t>
  </si>
  <si>
    <t>tc-xlate-authority_boundaries-boundary_match_key</t>
  </si>
  <si>
    <t>tc-xlate-authority_boundaries-violation_count</t>
  </si>
  <si>
    <t>tc-xlate-authority_boundaries-is_untested</t>
  </si>
  <si>
    <t>tc-xlate-authority_boundaries-has_ratifying_fragment</t>
  </si>
  <si>
    <t>tc-xlate-authority_boundaries-is_unwarranted</t>
  </si>
  <si>
    <t>tc-xlate-authority_boundaries-ratifying_fragment_is_overdue</t>
  </si>
  <si>
    <t>tc-xlate-authority_boundaries-ratifying_fragment_is_single_witness</t>
  </si>
  <si>
    <t>tc-xlate-authority_boundaries-warrant_is_thin</t>
  </si>
  <si>
    <t>tc-xlate-authority_boundaries-is_unwarranted_and_untested</t>
  </si>
  <si>
    <t>tc-xlate-authority_boundaries-unwarranted_boundary_step_key</t>
  </si>
  <si>
    <t>tc-xlate-authority_boundaries-ratifying_fragment_key</t>
  </si>
  <si>
    <t>tc-xlate-authority_boundaries-ratifying_fragment_status</t>
  </si>
  <si>
    <t>tc-xlate-authority_boundaries-ratification_lapsed</t>
  </si>
  <si>
    <t>tc-xlate-authority_boundaries-binds_despite_lapsed_ratification</t>
  </si>
  <si>
    <t>tc-xlate-authority_boundaries-is_ungrounded_and_untested</t>
  </si>
  <si>
    <t>tc-xlate-authority_boundaries-constrained_role_assignment_key</t>
  </si>
  <si>
    <t>tc-xlate-binding_observations-name</t>
  </si>
  <si>
    <t>tc-xlate-binding_observations-sla_minutes_at_run</t>
  </si>
  <si>
    <t>tc-xlate-binding_observations-age_at_run_minutes</t>
  </si>
  <si>
    <t>tc-xlate-binding_observations-was_stale_at_run</t>
  </si>
  <si>
    <t>tc-xlate-binding_observations-is_authoritative_binding</t>
  </si>
  <si>
    <t>tc-xlate-binding_observations-stale_at_run_step_key</t>
  </si>
  <si>
    <t>tc-xlate-attestations-name</t>
  </si>
  <si>
    <t>tc-xlate-attestations-version_is_fit_now</t>
  </si>
  <si>
    <t>tc-xlate-attestations-fitness_verdict_has_drifted</t>
  </si>
  <si>
    <t>tc-xlate-attestations-assurance_grade_now</t>
  </si>
  <si>
    <t>tc-xlate-attestations-assurance_grade_has_drifted</t>
  </si>
  <si>
    <t>tc-xlate-attestations-would_not_survive_restatement</t>
  </si>
  <si>
    <t>tc-view-rulebook_releases</t>
  </si>
  <si>
    <t>view-loads</t>
  </si>
  <si>
    <t>vw_rulebook_releases</t>
  </si>
  <si>
    <t>The view exists and answers a SELECT without error.</t>
  </si>
  <si>
    <t>1 rows, all columns readable</t>
  </si>
  <si>
    <t>tc-view-ontology_profiles</t>
  </si>
  <si>
    <t>vw_ontology_profiles</t>
  </si>
  <si>
    <t>11 rows, all columns readable</t>
  </si>
  <si>
    <t>tc-view-evaluation_contexts</t>
  </si>
  <si>
    <t>vw_evaluation_contexts</t>
  </si>
  <si>
    <t>tc-view-organizations</t>
  </si>
  <si>
    <t>vw_organizations</t>
  </si>
  <si>
    <t>4 rows, all columns readable</t>
  </si>
  <si>
    <t>tc-view-agents</t>
  </si>
  <si>
    <t>vw_agents</t>
  </si>
  <si>
    <t>10 rows, all columns readable</t>
  </si>
  <si>
    <t>tc-view-roles</t>
  </si>
  <si>
    <t>vw_roles</t>
  </si>
  <si>
    <t>12 rows, all columns readable</t>
  </si>
  <si>
    <t>tc-view-role_assignments</t>
  </si>
  <si>
    <t>vw_role_assignments</t>
  </si>
  <si>
    <t>13 rows, all columns readable</t>
  </si>
  <si>
    <t>tc-view-communities_of_practice</t>
  </si>
  <si>
    <t>vw_communities_of_practice</t>
  </si>
  <si>
    <t>2 rows, all columns readable</t>
  </si>
  <si>
    <t>tc-view-mentorships</t>
  </si>
  <si>
    <t>vw_mentorships</t>
  </si>
  <si>
    <t>tc-view-procedure_types</t>
  </si>
  <si>
    <t>vw_procedure_types</t>
  </si>
  <si>
    <t>tc-view-procedures</t>
  </si>
  <si>
    <t>vw_procedures</t>
  </si>
  <si>
    <t>tc-view-procedure_versions</t>
  </si>
  <si>
    <t>vw_procedure_versions</t>
  </si>
  <si>
    <t>3 rows, all columns readable</t>
  </si>
  <si>
    <t>tc-view-procedure_version_links</t>
  </si>
  <si>
    <t>vw_procedure_version_links</t>
  </si>
  <si>
    <t>tc-view-procedure_status_changes</t>
  </si>
  <si>
    <t>vw_procedure_status_changes</t>
  </si>
  <si>
    <t>5 rows, all columns readable</t>
  </si>
  <si>
    <t>tc-view-steps</t>
  </si>
  <si>
    <t>vw_steps</t>
  </si>
  <si>
    <t>17 rows, all columns readable</t>
  </si>
  <si>
    <t>tc-view-step_transitions</t>
  </si>
  <si>
    <t>vw_step_transitions</t>
  </si>
  <si>
    <t>19 rows, all columns readable</t>
  </si>
  <si>
    <t>tc-view-actions</t>
  </si>
  <si>
    <t>vw_actions</t>
  </si>
  <si>
    <t>9 rows, all columns readable</t>
  </si>
  <si>
    <t>tc-view-functions</t>
  </si>
  <si>
    <t>vw_functions</t>
  </si>
  <si>
    <t>8 rows, all columns readable</t>
  </si>
  <si>
    <t>tc-view-tools</t>
  </si>
  <si>
    <t>vw_tools</t>
  </si>
  <si>
    <t>tc-view-step_actions</t>
  </si>
  <si>
    <t>vw_step_actions</t>
  </si>
  <si>
    <t>tc-view-step_functions</t>
  </si>
  <si>
    <t>vw_step_functions</t>
  </si>
  <si>
    <t>tc-view-step_tools</t>
  </si>
  <si>
    <t>vw_step_tools</t>
  </si>
  <si>
    <t>tc-view-requirements</t>
  </si>
  <si>
    <t>vw_requirements</t>
  </si>
  <si>
    <t>tc-view-step_requirements</t>
  </si>
  <si>
    <t>vw_step_requirements</t>
  </si>
  <si>
    <t>15 rows, all columns readable</t>
  </si>
  <si>
    <t>tc-view-step_verifications</t>
  </si>
  <si>
    <t>vw_step_verifications</t>
  </si>
  <si>
    <t>tc-view-rationales</t>
  </si>
  <si>
    <t>vw_rationales</t>
  </si>
  <si>
    <t>tc-view-exceptions</t>
  </si>
  <si>
    <t>vw_exceptions</t>
  </si>
  <si>
    <t>tc-view-resources</t>
  </si>
  <si>
    <t>vw_resources</t>
  </si>
  <si>
    <t>tc-view-procedure_resources</t>
  </si>
  <si>
    <t>vw_procedure_resources</t>
  </si>
  <si>
    <t>tc-view-elicitation_sessions</t>
  </si>
  <si>
    <t>vw_elicitation_sessions</t>
  </si>
  <si>
    <t>tc-view-knowledge_fragments</t>
  </si>
  <si>
    <t>vw_knowledge_fragments</t>
  </si>
  <si>
    <t>7 rows, all columns readable</t>
  </si>
  <si>
    <t>tc-view-knowledge_gaps</t>
  </si>
  <si>
    <t>vw_knowledge_gaps</t>
  </si>
  <si>
    <t>tc-view-f_a_qs</t>
  </si>
  <si>
    <t>vw_f_a_qs</t>
  </si>
  <si>
    <t>tc-view-explanations</t>
  </si>
  <si>
    <t>vw_explanations</t>
  </si>
  <si>
    <t>tc-view-procedure_executions</t>
  </si>
  <si>
    <t>vw_procedure_executions</t>
  </si>
  <si>
    <t>tc-view-step_executions</t>
  </si>
  <si>
    <t>vw_step_executions</t>
  </si>
  <si>
    <t>tc-view-requirement_satisfactions</t>
  </si>
  <si>
    <t>vw_requirement_satisfactions</t>
  </si>
  <si>
    <t>tc-view-errors</t>
  </si>
  <si>
    <t>vw_errors</t>
  </si>
  <si>
    <t>tc-view-issue_occurrences</t>
  </si>
  <si>
    <t>vw_issue_occurrences</t>
  </si>
  <si>
    <t>tc-view-user_questions</t>
  </si>
  <si>
    <t>vw_user_questions</t>
  </si>
  <si>
    <t>tc-view-user_feedback</t>
  </si>
  <si>
    <t>vw_user_feedback</t>
  </si>
  <si>
    <t>tc-view-stewardship_assignments</t>
  </si>
  <si>
    <t>vw_stewardship_assignments</t>
  </si>
  <si>
    <t>tc-view-change_requests</t>
  </si>
  <si>
    <t>vw_change_requests</t>
  </si>
  <si>
    <t>tc-view-review_events</t>
  </si>
  <si>
    <t>vw_review_events</t>
  </si>
  <si>
    <t>tc-view-learning_activities</t>
  </si>
  <si>
    <t>vw_learning_activities</t>
  </si>
  <si>
    <t>tc-view-operational_bindings</t>
  </si>
  <si>
    <t>vw_operational_bindings</t>
  </si>
  <si>
    <t>tc-view-communication_policies</t>
  </si>
  <si>
    <t>vw_communication_policies</t>
  </si>
  <si>
    <t>tc-view-message_templates</t>
  </si>
  <si>
    <t>vw_message_templates</t>
  </si>
  <si>
    <t>tc-view-semantic_mappings</t>
  </si>
  <si>
    <t>vw_semantic_mappings</t>
  </si>
  <si>
    <t>32 rows, all columns readable</t>
  </si>
  <si>
    <t>tc-view-witness_loops</t>
  </si>
  <si>
    <t>vw_witness_loops</t>
  </si>
  <si>
    <t>tc-view-role_questions</t>
  </si>
  <si>
    <t>vw_role_questions</t>
  </si>
  <si>
    <t>105 rows, all columns readable</t>
  </si>
  <si>
    <t>tc-view-rulebook_fields</t>
  </si>
  <si>
    <t>vw_rulebook_fields</t>
  </si>
  <si>
    <t>1521 rows, all columns readable</t>
  </si>
  <si>
    <t>tc-view-test_suites</t>
  </si>
  <si>
    <t>vw_test_suites</t>
  </si>
  <si>
    <t>6 rows, all columns readable</t>
  </si>
  <si>
    <t>tc-view-test_cases</t>
  </si>
  <si>
    <t>vw_test_cases</t>
  </si>
  <si>
    <t>1794 rows, all columns readable</t>
  </si>
  <si>
    <t>tc-view-e_r_b_versions</t>
  </si>
  <si>
    <t>vw_e_r_b_versions</t>
  </si>
  <si>
    <t>SKIP</t>
  </si>
  <si>
    <t>bookkeeping table, intentionally not a view</t>
  </si>
  <si>
    <t>tc-view-e_r_b_customizations</t>
  </si>
  <si>
    <t>vw_e_r_b_customizations</t>
  </si>
  <si>
    <t>tc-view-exception_invocations</t>
  </si>
  <si>
    <t>vw_exception_invocations</t>
  </si>
  <si>
    <t>tc-view-verification_outcomes</t>
  </si>
  <si>
    <t>vw_verification_outcomes</t>
  </si>
  <si>
    <t>tc-view-observed_transitions</t>
  </si>
  <si>
    <t>vw_observed_transitions</t>
  </si>
  <si>
    <t>tc-view-recipients</t>
  </si>
  <si>
    <t>vw_recipients</t>
  </si>
  <si>
    <t>tc-view-message_deliveries</t>
  </si>
  <si>
    <t>vw_message_deliveries</t>
  </si>
  <si>
    <t>tc-view-template_approvals</t>
  </si>
  <si>
    <t>vw_template_approvals</t>
  </si>
  <si>
    <t>tc-view-send_intents</t>
  </si>
  <si>
    <t>vw_send_intents</t>
  </si>
  <si>
    <t>tc-view-agent_decision_records</t>
  </si>
  <si>
    <t>vw_agent_decision_records</t>
  </si>
  <si>
    <t>tc-view-delivered_communications</t>
  </si>
  <si>
    <t>vw_delivered_communications</t>
  </si>
  <si>
    <t>tc-view-authority_boundaries</t>
  </si>
  <si>
    <t>vw_authority_boundaries</t>
  </si>
  <si>
    <t>tc-view-binding_observations</t>
  </si>
  <si>
    <t>vw_binding_observations</t>
  </si>
  <si>
    <t>0 rows, all columns readable</t>
  </si>
  <si>
    <t>tc-view-attestations</t>
  </si>
  <si>
    <t>vw_attestations</t>
  </si>
  <si>
    <t>tc-fk-agents-organization</t>
  </si>
  <si>
    <t>fk-resolves</t>
  </si>
  <si>
    <t>Agents.Organization -&gt; Organizations</t>
  </si>
  <si>
    <t>Every non-null value resolves to an existing Organizations row.</t>
  </si>
  <si>
    <t>all values resolve</t>
  </si>
  <si>
    <t>tc-fk-roles-organization</t>
  </si>
  <si>
    <t>Roles.Organization -&gt; Organizations</t>
  </si>
  <si>
    <t>tc-fk-roles-current_agent</t>
  </si>
  <si>
    <t>Roles.CurrentAgent -&gt; Agents</t>
  </si>
  <si>
    <t>Every non-null value resolves to an existing Agents row.</t>
  </si>
  <si>
    <t>tc-fk-role_assignments-role</t>
  </si>
  <si>
    <t>RoleAssignments.Role -&gt; Roles</t>
  </si>
  <si>
    <t>Every non-null value resolves to an existing Roles row.</t>
  </si>
  <si>
    <t>tc-fk-role_assignments-agent</t>
  </si>
  <si>
    <t>RoleAssignments.Agent -&gt; Agents</t>
  </si>
  <si>
    <t>tc-fk-role_assignments-evaluation_context</t>
  </si>
  <si>
    <t>RoleAssignments.EvaluationContext -&gt; EvaluationContexts</t>
  </si>
  <si>
    <t>Every non-null value resolves to an existing EvaluationContexts row.</t>
  </si>
  <si>
    <t>tc-fk-role_assignments-supersedes_assignment</t>
  </si>
  <si>
    <t>RoleAssignments.SupersedesAssignment -&gt; RoleAssignments</t>
  </si>
  <si>
    <t>Every non-null value resolves to an existing RoleAssignments row.</t>
  </si>
  <si>
    <t>tc-fk-role_assignments-approving_authority_role</t>
  </si>
  <si>
    <t>RoleAssignments.ApprovingAuthorityRole -&gt; Roles</t>
  </si>
  <si>
    <t>tc-fk-role_assignments-authorizing_change_request</t>
  </si>
  <si>
    <t>RoleAssignments.AuthorizingChangeRequest -&gt; ChangeRequests</t>
  </si>
  <si>
    <t>Every non-null value resolves to an existing ChangeRequests row.</t>
  </si>
  <si>
    <t>tc-fk-communities_of_practice-organization</t>
  </si>
  <si>
    <t>CommunitiesOfPractice.Organization -&gt; Organizations</t>
  </si>
  <si>
    <t>tc-fk-communities_of_practice-steward_role</t>
  </si>
  <si>
    <t>CommunitiesOfPractice.StewardRole -&gt; Roles</t>
  </si>
  <si>
    <t>tc-fk-mentorships-community_of_practice</t>
  </si>
  <si>
    <t>Mentorships.CommunityOfPractice -&gt; CommunitiesOfPractice</t>
  </si>
  <si>
    <t>Every non-null value resolves to an existing CommunitiesOfPractice row.</t>
  </si>
  <si>
    <t>tc-fk-mentorships-mentor_agent</t>
  </si>
  <si>
    <t>Mentorships.MentorAgent -&gt; Agents</t>
  </si>
  <si>
    <t>tc-fk-mentorships-learner_agent</t>
  </si>
  <si>
    <t>Mentorships.LearnerAgent -&gt; Agents</t>
  </si>
  <si>
    <t>tc-fk-procedures-procedure_type</t>
  </si>
  <si>
    <t>Procedures.ProcedureType -&gt; ProcedureTypes</t>
  </si>
  <si>
    <t>Every non-null value resolves to an existing ProcedureTypes row.</t>
  </si>
  <si>
    <t>tc-fk-procedures-owner_organization</t>
  </si>
  <si>
    <t>Procedures.OwnerOrganization -&gt; Organizations</t>
  </si>
  <si>
    <t>tc-fk-procedures-adopted_by_organization</t>
  </si>
  <si>
    <t>Procedures.AdoptedByOrganization -&gt; Organizations</t>
  </si>
  <si>
    <t>tc-fk-procedure_versions-procedure</t>
  </si>
  <si>
    <t>ProcedureVersions.Procedure -&gt; Procedures</t>
  </si>
  <si>
    <t>Every non-null value resolves to an existing Procedures row.</t>
  </si>
  <si>
    <t>tc-fk-procedure_versions-created_by_agent</t>
  </si>
  <si>
    <t>ProcedureVersions.CreatedByAgent -&gt; Agents</t>
  </si>
  <si>
    <t>tc-fk-procedure_versions-modified_by_agent</t>
  </si>
  <si>
    <t>ProcedureVersions.ModifiedByAgent -&gt; Agents</t>
  </si>
  <si>
    <t>tc-fk-procedure_versions-evaluation_context</t>
  </si>
  <si>
    <t>ProcedureVersions.EvaluationContext -&gt; EvaluationContexts</t>
  </si>
  <si>
    <t>tc-fk-procedure_version_links-previous_procedure_version</t>
  </si>
  <si>
    <t>ProcedureVersionLinks.PreviousProcedureVersion -&gt; ProcedureVersions</t>
  </si>
  <si>
    <t>Every non-null value resolves to an existing ProcedureVersions row.</t>
  </si>
  <si>
    <t>tc-fk-procedure_version_links-next_procedure_version</t>
  </si>
  <si>
    <t>ProcedureVersionLinks.NextProcedureVersion -&gt; ProcedureVersions</t>
  </si>
  <si>
    <t>tc-fk-procedure_status_changes-procedure_version</t>
  </si>
  <si>
    <t>ProcedureStatusChanges.ProcedureVersion -&gt; ProcedureVersions</t>
  </si>
  <si>
    <t>tc-fk-procedure_status_changes-changed_by_agent</t>
  </si>
  <si>
    <t>ProcedureStatusChanges.ChangedByAgent -&gt; Agents</t>
  </si>
  <si>
    <t>tc-fk-steps-procedure_version</t>
  </si>
  <si>
    <t>Steps.ProcedureVersion -&gt; ProcedureVersions</t>
  </si>
  <si>
    <t>tc-fk-steps-assigned_role</t>
  </si>
  <si>
    <t>Steps.AssignedRole -&gt; Roles</t>
  </si>
  <si>
    <t>tc-fk-step_transitions-procedure_version</t>
  </si>
  <si>
    <t>StepTransitions.ProcedureVersion -&gt; ProcedureVersions</t>
  </si>
  <si>
    <t>tc-fk-step_transitions-from_step</t>
  </si>
  <si>
    <t>StepTransitions.FromStep -&gt; Steps</t>
  </si>
  <si>
    <t>Every non-null value resolves to an existing Steps row.</t>
  </si>
  <si>
    <t>tc-fk-step_transitions-to_step</t>
  </si>
  <si>
    <t>StepTransitions.ToStep -&gt; Steps</t>
  </si>
  <si>
    <t>tc-fk-step_actions-step</t>
  </si>
  <si>
    <t>StepActions.Step -&gt; Steps</t>
  </si>
  <si>
    <t>tc-fk-step_actions-action</t>
  </si>
  <si>
    <t>StepActions.Action -&gt; Actions</t>
  </si>
  <si>
    <t>Every non-null value resolves to an existing Actions row.</t>
  </si>
  <si>
    <t>tc-fk-step_functions-step</t>
  </si>
  <si>
    <t>StepFunctions.Step -&gt; Steps</t>
  </si>
  <si>
    <t>tc-fk-step_functions-function</t>
  </si>
  <si>
    <t>StepFunctions.Function -&gt; Functions</t>
  </si>
  <si>
    <t>Every non-null value resolves to an existing Functions row.</t>
  </si>
  <si>
    <t>tc-fk-step_tools-step</t>
  </si>
  <si>
    <t>StepTools.Step -&gt; Steps</t>
  </si>
  <si>
    <t>tc-fk-step_tools-tool</t>
  </si>
  <si>
    <t>StepTools.Tool -&gt; Tools</t>
  </si>
  <si>
    <t>Every non-null value resolves to an existing Tools row.</t>
  </si>
  <si>
    <t>tc-fk-requirements-accountable_role</t>
  </si>
  <si>
    <t>Requirements.AccountableRole -&gt; Roles</t>
  </si>
  <si>
    <t>tc-fk-step_requirements-step</t>
  </si>
  <si>
    <t>StepRequirements.Step -&gt; Steps</t>
  </si>
  <si>
    <t>tc-fk-step_requirements-requirement</t>
  </si>
  <si>
    <t>StepRequirements.Requirement -&gt; Requirements</t>
  </si>
  <si>
    <t>Every non-null value resolves to an existing Requirements row.</t>
  </si>
  <si>
    <t>tc-fk-step_verifications-step</t>
  </si>
  <si>
    <t>StepVerifications.Step -&gt; Steps</t>
  </si>
  <si>
    <t>tc-fk-rationales-procedure_version</t>
  </si>
  <si>
    <t>Rationales.ProcedureVersion -&gt; ProcedureVersions</t>
  </si>
  <si>
    <t>tc-fk-rationales-step</t>
  </si>
  <si>
    <t>Rationales.Step -&gt; Steps</t>
  </si>
  <si>
    <t>tc-fk-rationales-authority_role</t>
  </si>
  <si>
    <t>Rationales.AuthorityRole -&gt; Roles</t>
  </si>
  <si>
    <t>tc-fk-exceptions-procedure_version</t>
  </si>
  <si>
    <t>Exceptions.ProcedureVersion -&gt; ProcedureVersions</t>
  </si>
  <si>
    <t>tc-fk-exceptions-trigger_step</t>
  </si>
  <si>
    <t>Exceptions.TriggerStep -&gt; Steps</t>
  </si>
  <si>
    <t>tc-fk-exceptions-approval_role</t>
  </si>
  <si>
    <t>Exceptions.ApprovalRole -&gt; Roles</t>
  </si>
  <si>
    <t>tc-fk-exceptions-fallback_role</t>
  </si>
  <si>
    <t>Exceptions.FallbackRole -&gt; Roles</t>
  </si>
  <si>
    <t>tc-fk-procedure_resources-procedure_version</t>
  </si>
  <si>
    <t>ProcedureResources.ProcedureVersion -&gt; ProcedureVersions</t>
  </si>
  <si>
    <t>tc-fk-procedure_resources-resource</t>
  </si>
  <si>
    <t>ProcedureResources.Resource -&gt; Resources</t>
  </si>
  <si>
    <t>Every non-null value resolves to an existing Resources row.</t>
  </si>
  <si>
    <t>tc-fk-elicitation_sessions-procedure_version</t>
  </si>
  <si>
    <t>ElicitationSessions.ProcedureVersion -&gt; ProcedureVersions</t>
  </si>
  <si>
    <t>tc-fk-elicitation_sessions-practitioner_agent</t>
  </si>
  <si>
    <t>ElicitationSessions.PractitionerAgent -&gt; Agents</t>
  </si>
  <si>
    <t>tc-fk-elicitation_sessions-facilitator_agent</t>
  </si>
  <si>
    <t>ElicitationSessions.FacilitatorAgent -&gt; Agents</t>
  </si>
  <si>
    <t>tc-fk-elicitation_sessions-evaluation_context</t>
  </si>
  <si>
    <t>ElicitationSessions.EvaluationContext -&gt; EvaluationContexts</t>
  </si>
  <si>
    <t>tc-fk-knowledge_fragments-procedure_version</t>
  </si>
  <si>
    <t>KnowledgeFragments.ProcedureVersion -&gt; ProcedureVersions</t>
  </si>
  <si>
    <t>tc-fk-knowledge_fragments-step</t>
  </si>
  <si>
    <t>KnowledgeFragments.Step -&gt; Steps</t>
  </si>
  <si>
    <t>tc-fk-knowledge_fragments-elicitation_session</t>
  </si>
  <si>
    <t>KnowledgeFragments.ElicitationSession -&gt; ElicitationSessions</t>
  </si>
  <si>
    <t>Every non-null value resolves to an existing ElicitationSessions row.</t>
  </si>
  <si>
    <t>tc-fk-knowledge_fragments-source_agent</t>
  </si>
  <si>
    <t>KnowledgeFragments.SourceAgent -&gt; Agents</t>
  </si>
  <si>
    <t>tc-fk-knowledge_fragments-owner_role</t>
  </si>
  <si>
    <t>KnowledgeFragments.OwnerRole -&gt; Roles</t>
  </si>
  <si>
    <t>tc-fk-knowledge_fragments-evaluation_context</t>
  </si>
  <si>
    <t>KnowledgeFragments.EvaluationContext -&gt; EvaluationContexts</t>
  </si>
  <si>
    <t>tc-fk-knowledge_gaps-procedure_version</t>
  </si>
  <si>
    <t>KnowledgeGaps.ProcedureVersion -&gt; ProcedureVersions</t>
  </si>
  <si>
    <t>tc-fk-knowledge_gaps-step</t>
  </si>
  <si>
    <t>KnowledgeGaps.Step -&gt; Steps</t>
  </si>
  <si>
    <t>tc-fk-knowledge_gaps-owner_role</t>
  </si>
  <si>
    <t>KnowledgeGaps.OwnerRole -&gt; Roles</t>
  </si>
  <si>
    <t>tc-fk-knowledge_gaps-evaluation_context</t>
  </si>
  <si>
    <t>KnowledgeGaps.EvaluationContext -&gt; EvaluationContexts</t>
  </si>
  <si>
    <t>tc-fk-f_a_qs-procedure_version</t>
  </si>
  <si>
    <t>FAQs.ProcedureVersion -&gt; ProcedureVersions</t>
  </si>
  <si>
    <t>tc-fk-f_a_qs-step</t>
  </si>
  <si>
    <t>FAQs.Step -&gt; Steps</t>
  </si>
  <si>
    <t>tc-fk-explanations-procedure_version</t>
  </si>
  <si>
    <t>Explanations.ProcedureVersion -&gt; ProcedureVersions</t>
  </si>
  <si>
    <t>tc-fk-explanations-step</t>
  </si>
  <si>
    <t>Explanations.Step -&gt; Steps</t>
  </si>
  <si>
    <t>tc-fk-procedure_executions-procedure_version</t>
  </si>
  <si>
    <t>ProcedureExecutions.ProcedureVersion -&gt; ProcedureVersions</t>
  </si>
  <si>
    <t>tc-fk-procedure_executions-executed_by_agent</t>
  </si>
  <si>
    <t>ProcedureExecutions.ExecutedByAgent -&gt; Agents</t>
  </si>
  <si>
    <t>tc-fk-step_executions-procedure_execution</t>
  </si>
  <si>
    <t>StepExecutions.ProcedureExecution -&gt; ProcedureExecutions</t>
  </si>
  <si>
    <t>Every non-null value resolves to an existing ProcedureExecutions row.</t>
  </si>
  <si>
    <t>tc-fk-step_executions-step</t>
  </si>
  <si>
    <t>StepExecutions.Step -&gt; Steps</t>
  </si>
  <si>
    <t>tc-fk-step_executions-executed_by_agent</t>
  </si>
  <si>
    <t>StepExecutions.ExecutedByAgent -&gt; Agents</t>
  </si>
  <si>
    <t>tc-fk-requirement_satisfactions-step_execution</t>
  </si>
  <si>
    <t>RequirementSatisfactions.StepExecution -&gt; StepExecutions</t>
  </si>
  <si>
    <t>Every non-null value resolves to an existing StepExecutions row.</t>
  </si>
  <si>
    <t>tc-fk-requirement_satisfactions-requirement</t>
  </si>
  <si>
    <t>RequirementSatisfactions.Requirement -&gt; Requirements</t>
  </si>
  <si>
    <t>tc-fk-requirement_satisfactions-evaluated_by_agent</t>
  </si>
  <si>
    <t>RequirementSatisfactions.EvaluatedByAgent -&gt; Agents</t>
  </si>
  <si>
    <t>tc-fk-issue_occurrences-step_execution</t>
  </si>
  <si>
    <t>IssueOccurrences.StepExecution -&gt; StepExecutions</t>
  </si>
  <si>
    <t>tc-fk-issue_occurrences-error</t>
  </si>
  <si>
    <t>IssueOccurrences.Error -&gt; Errors</t>
  </si>
  <si>
    <t>Every non-null value resolves to an existing Errors row.</t>
  </si>
  <si>
    <t>tc-fk-issue_occurrences-encountered_by_agent</t>
  </si>
  <si>
    <t>IssueOccurrences.EncounteredByAgent -&gt; Agents</t>
  </si>
  <si>
    <t>tc-fk-user_questions-step_execution</t>
  </si>
  <si>
    <t>UserQuestions.StepExecution -&gt; StepExecutions</t>
  </si>
  <si>
    <t>tc-fk-user_questions-asked_by_agent</t>
  </si>
  <si>
    <t>UserQuestions.AskedByAgent -&gt; Agents</t>
  </si>
  <si>
    <t>tc-fk-user_questions-resolved_by_faq</t>
  </si>
  <si>
    <t>UserQuestions.ResolvedByFaq -&gt; FAQs</t>
  </si>
  <si>
    <t>Every non-null value resolves to an existing FAQs row.</t>
  </si>
  <si>
    <t>tc-fk-user_questions-addressed_by_resource</t>
  </si>
  <si>
    <t>UserQuestions.AddressedByResource -&gt; Resources</t>
  </si>
  <si>
    <t>tc-fk-user_feedback-procedure_execution</t>
  </si>
  <si>
    <t>UserFeedback.ProcedureExecution -&gt; ProcedureExecutions</t>
  </si>
  <si>
    <t>tc-fk-user_feedback-provided_by_agent</t>
  </si>
  <si>
    <t>UserFeedback.ProvidedByAgent -&gt; Agents</t>
  </si>
  <si>
    <t>tc-fk-stewardship_assignments-procedure_version</t>
  </si>
  <si>
    <t>StewardshipAssignments.ProcedureVersion -&gt; ProcedureVersions</t>
  </si>
  <si>
    <t>tc-fk-stewardship_assignments-steward_role</t>
  </si>
  <si>
    <t>StewardshipAssignments.StewardRole -&gt; Roles</t>
  </si>
  <si>
    <t>tc-fk-stewardship_assignments-authority_role</t>
  </si>
  <si>
    <t>StewardshipAssignments.AuthorityRole -&gt; Roles</t>
  </si>
  <si>
    <t>tc-fk-stewardship_assignments-evaluation_context</t>
  </si>
  <si>
    <t>StewardshipAssignments.EvaluationContext -&gt; EvaluationContexts</t>
  </si>
  <si>
    <t>tc-fk-change_requests-procedure_version</t>
  </si>
  <si>
    <t>ChangeRequests.ProcedureVersion -&gt; ProcedureVersions</t>
  </si>
  <si>
    <t>tc-fk-change_requests-requested_by_agent</t>
  </si>
  <si>
    <t>ChangeRequests.RequestedByAgent -&gt; Agents</t>
  </si>
  <si>
    <t>tc-fk-change_requests-authority_role</t>
  </si>
  <si>
    <t>ChangeRequests.AuthorityRole -&gt; Roles</t>
  </si>
  <si>
    <t>tc-fk-change_requests-evaluation_context</t>
  </si>
  <si>
    <t>ChangeRequests.EvaluationContext -&gt; EvaluationContexts</t>
  </si>
  <si>
    <t>tc-fk-review_events-procedure_version</t>
  </si>
  <si>
    <t>ReviewEvents.ProcedureVersion -&gt; ProcedureVersions</t>
  </si>
  <si>
    <t>tc-fk-review_events-reviewed_by_agent</t>
  </si>
  <si>
    <t>ReviewEvents.ReviewedByAgent -&gt; Agents</t>
  </si>
  <si>
    <t>tc-fk-review_events-related_change_request</t>
  </si>
  <si>
    <t>ReviewEvents.RelatedChangeRequest -&gt; ChangeRequests</t>
  </si>
  <si>
    <t>tc-fk-review_events-evaluation_context</t>
  </si>
  <si>
    <t>ReviewEvents.EvaluationContext -&gt; EvaluationContexts</t>
  </si>
  <si>
    <t>tc-fk-learning_activities-community_of_practice</t>
  </si>
  <si>
    <t>LearningActivities.CommunityOfPractice -&gt; CommunitiesOfPractice</t>
  </si>
  <si>
    <t>tc-fk-learning_activities-procedure_version</t>
  </si>
  <si>
    <t>LearningActivities.ProcedureVersion -&gt; ProcedureVersions</t>
  </si>
  <si>
    <t>tc-fk-learning_activities-facilitator_agent</t>
  </si>
  <si>
    <t>LearningActivities.FacilitatorAgent -&gt; Agents</t>
  </si>
  <si>
    <t>tc-fk-learning_activities-evidence_resource</t>
  </si>
  <si>
    <t>LearningActivities.EvidenceResource -&gt; Resources</t>
  </si>
  <si>
    <t>tc-fk-operational_bindings-procedure_version</t>
  </si>
  <si>
    <t>OperationalBindings.ProcedureVersion -&gt; ProcedureVersions</t>
  </si>
  <si>
    <t>tc-fk-operational_bindings-step</t>
  </si>
  <si>
    <t>OperationalBindings.Step -&gt; Steps</t>
  </si>
  <si>
    <t>tc-fk-operational_bindings-resource</t>
  </si>
  <si>
    <t>OperationalBindings.Resource -&gt; Resources</t>
  </si>
  <si>
    <t>tc-fk-operational_bindings-evaluation_context</t>
  </si>
  <si>
    <t>OperationalBindings.EvaluationContext -&gt; EvaluationContexts</t>
  </si>
  <si>
    <t>tc-fk-communication_policies-procedure_version</t>
  </si>
  <si>
    <t>CommunicationPolicies.ProcedureVersion -&gt; ProcedureVersions</t>
  </si>
  <si>
    <t>tc-fk-communication_policies-approval_role</t>
  </si>
  <si>
    <t>CommunicationPolicies.ApprovalRole -&gt; Roles</t>
  </si>
  <si>
    <t>tc-fk-message_templates-communication_policy</t>
  </si>
  <si>
    <t>MessageTemplates.CommunicationPolicy -&gt; CommunicationPolicies</t>
  </si>
  <si>
    <t>Every non-null value resolves to an existing CommunicationPolicies row.</t>
  </si>
  <si>
    <t>tc-fk-message_templates-resource</t>
  </si>
  <si>
    <t>MessageTemplates.Resource -&gt; Resources</t>
  </si>
  <si>
    <t>tc-fk-semantic_mappings-ontology_profile</t>
  </si>
  <si>
    <t>SemanticMappings.OntologyProfile -&gt; OntologyProfiles</t>
  </si>
  <si>
    <t>Every non-null value resolves to an existing OntologyProfiles row.</t>
  </si>
  <si>
    <t>tc-fk-role_questions-asking_role</t>
  </si>
  <si>
    <t>RoleQuestions.AskingRole -&gt; Roles</t>
  </si>
  <si>
    <t>tc-fk-role_questions-witness_loop</t>
  </si>
  <si>
    <t>RoleQuestions.WitnessLoop -&gt; WitnessLoops</t>
  </si>
  <si>
    <t>Every non-null value resolves to an existing WitnessLoops row.</t>
  </si>
  <si>
    <t>tc-fk-rulebook_fields-invented_for_question</t>
  </si>
  <si>
    <t>RulebookFields.InventedForQuestion -&gt; RoleQuestions</t>
  </si>
  <si>
    <t>Every non-null value resolves to an existing RoleQuestions row.</t>
  </si>
  <si>
    <t>tc-fk-test_cases-defends_question</t>
  </si>
  <si>
    <t>TestCases.DefendsQuestion -&gt; RoleQuestions</t>
  </si>
  <si>
    <t>tc-fk-test_cases-suite</t>
  </si>
  <si>
    <t>TestCases.Suite -&gt; TestSuites</t>
  </si>
  <si>
    <t>Every non-null value resolves to an existing TestSuites row.</t>
  </si>
  <si>
    <t>tc-fk-exception_invocations-step_execution</t>
  </si>
  <si>
    <t>ExceptionInvocations.StepExecution -&gt; StepExecutions</t>
  </si>
  <si>
    <t>tc-fk-exception_invocations-exception</t>
  </si>
  <si>
    <t>ExceptionInvocations.Exception -&gt; Exceptions</t>
  </si>
  <si>
    <t>Every non-null value resolves to an existing Exceptions row.</t>
  </si>
  <si>
    <t>tc-fk-exception_invocations-invoked_by_agent</t>
  </si>
  <si>
    <t>ExceptionInvocations.InvokedByAgent -&gt; Agents</t>
  </si>
  <si>
    <t>tc-fk-exception_invocations-approved_by_agent</t>
  </si>
  <si>
    <t>ExceptionInvocations.ApprovedByAgent -&gt; Agents</t>
  </si>
  <si>
    <t>tc-fk-verification_outcomes-step_execution</t>
  </si>
  <si>
    <t>VerificationOutcomes.StepExecution -&gt; StepExecutions</t>
  </si>
  <si>
    <t>tc-fk-verification_outcomes-step_verification</t>
  </si>
  <si>
    <t>VerificationOutcomes.StepVerification -&gt; StepVerifications</t>
  </si>
  <si>
    <t>Every non-null value resolves to an existing StepVerifications row.</t>
  </si>
  <si>
    <t>tc-fk-verification_outcomes-observed_by_agent</t>
  </si>
  <si>
    <t>VerificationOutcomes.ObservedByAgent -&gt; Agents</t>
  </si>
  <si>
    <t>tc-fk-observed_transitions-procedure_execution</t>
  </si>
  <si>
    <t>ObservedTransitions.ProcedureExecution -&gt; ProcedureExecutions</t>
  </si>
  <si>
    <t>tc-fk-observed_transitions-step_transition</t>
  </si>
  <si>
    <t>ObservedTransitions.StepTransition -&gt; StepTransitions</t>
  </si>
  <si>
    <t>Every non-null value resolves to an existing StepTransitions row.</t>
  </si>
  <si>
    <t>tc-fk-observed_transitions-arriving_step_execution</t>
  </si>
  <si>
    <t>ObservedTransitions.ArrivingStepExecution -&gt; StepExecutions</t>
  </si>
  <si>
    <t>tc-fk-recipients-organization</t>
  </si>
  <si>
    <t>Recipients.Organization -&gt; Organizations</t>
  </si>
  <si>
    <t>tc-fk-recipients-consent_binding</t>
  </si>
  <si>
    <t>Recipients.ConsentBinding -&gt; OperationalBindings</t>
  </si>
  <si>
    <t>Every non-null value resolves to an existing OperationalBindings row.</t>
  </si>
  <si>
    <t>tc-fk-message_deliveries-procedure_execution</t>
  </si>
  <si>
    <t>MessageDeliveries.ProcedureExecution -&gt; ProcedureExecutions</t>
  </si>
  <si>
    <t>tc-fk-message_deliveries-step_execution</t>
  </si>
  <si>
    <t>MessageDeliveries.StepExecution -&gt; StepExecutions</t>
  </si>
  <si>
    <t>tc-fk-message_deliveries-recipient</t>
  </si>
  <si>
    <t>MessageDeliveries.Recipient -&gt; Recipients</t>
  </si>
  <si>
    <t>Every non-null value resolves to an existing Recipients row.</t>
  </si>
  <si>
    <t>tc-fk-message_deliveries-message_template</t>
  </si>
  <si>
    <t>MessageDeliveries.MessageTemplate -&gt; MessageTemplates</t>
  </si>
  <si>
    <t>Every non-null value resolves to an existing MessageTemplates row.</t>
  </si>
  <si>
    <t>tc-fk-message_deliveries-sent_by_agent</t>
  </si>
  <si>
    <t>MessageDeliveries.SentByAgent -&gt; Agents</t>
  </si>
  <si>
    <t>tc-fk-message_deliveries-invoked_exception</t>
  </si>
  <si>
    <t>MessageDeliveries.InvokedException -&gt; Exceptions</t>
  </si>
  <si>
    <t>tc-fk-message_deliveries-evaluation_context</t>
  </si>
  <si>
    <t>MessageDeliveries.EvaluationContext -&gt; EvaluationContexts</t>
  </si>
  <si>
    <t>tc-fk-template_approvals-message_template</t>
  </si>
  <si>
    <t>TemplateApprovals.MessageTemplate -&gt; MessageTemplates</t>
  </si>
  <si>
    <t>tc-fk-template_approvals-decided_by_agent</t>
  </si>
  <si>
    <t>TemplateApprovals.DecidedByAgent -&gt; Agents</t>
  </si>
  <si>
    <t>tc-fk-template_approvals-decided_in_role</t>
  </si>
  <si>
    <t>TemplateApprovals.DecidedInRole -&gt; Roles</t>
  </si>
  <si>
    <t>tc-fk-send_intents-procedure_execution</t>
  </si>
  <si>
    <t>SendIntents.ProcedureExecution -&gt; ProcedureExecutions</t>
  </si>
  <si>
    <t>tc-fk-send_intents-step_execution</t>
  </si>
  <si>
    <t>SendIntents.StepExecution -&gt; StepExecutions</t>
  </si>
  <si>
    <t>tc-fk-send_intents-recipient</t>
  </si>
  <si>
    <t>SendIntents.Recipient -&gt; Recipients</t>
  </si>
  <si>
    <t>tc-fk-send_intents-message_template</t>
  </si>
  <si>
    <t>SendIntents.MessageTemplate -&gt; MessageTemplates</t>
  </si>
  <si>
    <t>tc-fk-send_intents-resulting_delivery</t>
  </si>
  <si>
    <t>SendIntents.ResultingDelivery -&gt; MessageDeliveries</t>
  </si>
  <si>
    <t>Every non-null value resolves to an existing MessageDeliveries row.</t>
  </si>
  <si>
    <t>tc-fk-send_intents-refusal_notified_role</t>
  </si>
  <si>
    <t>SendIntents.RefusalNotifiedRole -&gt; Roles</t>
  </si>
  <si>
    <t>tc-fk-send_intents-evaluation_context</t>
  </si>
  <si>
    <t>SendIntents.EvaluationContext -&gt; EvaluationContexts</t>
  </si>
  <si>
    <t>tc-fk-agent_decision_records-step_execution</t>
  </si>
  <si>
    <t>AgentDecisionRecords.StepExecution -&gt; StepExecutions</t>
  </si>
  <si>
    <t>tc-fk-agent_decision_records-deciding_agent</t>
  </si>
  <si>
    <t>AgentDecisionRecords.DecidingAgent -&gt; Agents</t>
  </si>
  <si>
    <t>tc-fk-agent_decision_records-reviewed_by_agent</t>
  </si>
  <si>
    <t>AgentDecisionRecords.ReviewedByAgent -&gt; Agents</t>
  </si>
  <si>
    <t>tc-fk-agent_decision_records-under_role_assignment</t>
  </si>
  <si>
    <t>AgentDecisionRecords.UnderRoleAssignment -&gt; RoleAssignments</t>
  </si>
  <si>
    <t>tc-fk-delivered_communications-procedure_execution</t>
  </si>
  <si>
    <t>DeliveredCommunications.ProcedureExecution -&gt; ProcedureExecutions</t>
  </si>
  <si>
    <t>tc-fk-delivered_communications-sending_step_execution</t>
  </si>
  <si>
    <t>DeliveredCommunications.SendingStepExecution -&gt; StepExecutions</t>
  </si>
  <si>
    <t>tc-fk-delivered_communications-authorizing_step_execution</t>
  </si>
  <si>
    <t>DeliveredCommunications.AuthorizingStepExecution -&gt; StepExecutions</t>
  </si>
  <si>
    <t>tc-fk-delivered_communications-message_template</t>
  </si>
  <si>
    <t>DeliveredCommunications.MessageTemplate -&gt; MessageTemplates</t>
  </si>
  <si>
    <t>tc-fk-authority_boundaries-step</t>
  </si>
  <si>
    <t>AuthorityBoundaries.Step -&gt; Steps</t>
  </si>
  <si>
    <t>tc-fk-authority_boundaries-ratified_by_knowledge_fragment</t>
  </si>
  <si>
    <t>AuthorityBoundaries.RatifiedByKnowledgeFragment -&gt; KnowledgeFragments</t>
  </si>
  <si>
    <t>Every non-null value resolves to an existing KnowledgeFragments row.</t>
  </si>
  <si>
    <t>tc-fk-authority_boundaries-enforcing_requirement</t>
  </si>
  <si>
    <t>AuthorityBoundaries.EnforcingRequirement -&gt; Requirements</t>
  </si>
  <si>
    <t>tc-fk-authority_boundaries-authority_role</t>
  </si>
  <si>
    <t>AuthorityBoundaries.AuthorityRole -&gt; Roles</t>
  </si>
  <si>
    <t>tc-fk-authority_boundaries-evaluation_context</t>
  </si>
  <si>
    <t>AuthorityBoundaries.EvaluationContext -&gt; EvaluationContexts</t>
  </si>
  <si>
    <t>tc-fk-binding_observations-step_execution</t>
  </si>
  <si>
    <t>BindingObservations.StepExecution -&gt; StepExecutions</t>
  </si>
  <si>
    <t>tc-fk-binding_observations-operational_binding</t>
  </si>
  <si>
    <t>BindingObservations.OperationalBinding -&gt; OperationalBindings</t>
  </si>
  <si>
    <t>tc-fk-attestations-procedure_execution</t>
  </si>
  <si>
    <t>Attestations.ProcedureExecution -&gt; ProcedureExecutions</t>
  </si>
  <si>
    <t>tc-fk-attestations-signed_by_agent</t>
  </si>
  <si>
    <t>Attestations.SignedByAgent -&gt; Agents</t>
  </si>
  <si>
    <t>tc-witness-agents-is_still_engaged</t>
  </si>
  <si>
    <t>witness-discriminates</t>
  </si>
  <si>
    <t>Reads both TRUE and FALSE across the seed data, so it can distinguish cases.</t>
  </si>
  <si>
    <t>advisory</t>
  </si>
  <si>
    <t>always true (10/10)</t>
  </si>
  <si>
    <t>tc-witness-agents-is_non_human</t>
  </si>
  <si>
    <t>4 true / 6 false</t>
  </si>
  <si>
    <t>tc-witness-agents-is_operating_outside_boundary</t>
  </si>
  <si>
    <t>never true (10/10 false)</t>
  </si>
  <si>
    <t>tc-witness-roles-has_no_current_holder</t>
  </si>
  <si>
    <t>never true (12/12 false)</t>
  </si>
  <si>
    <t>tc-witness-roles-is_non_human_held</t>
  </si>
  <si>
    <t>4 true / 8 false</t>
  </si>
  <si>
    <t>tc-witness-roles-is_ungoverned_non_human_role</t>
  </si>
  <si>
    <t>tc-witness-roles-has_lost_a_holder</t>
  </si>
  <si>
    <t>1 true / 11 false</t>
  </si>
  <si>
    <t>tc-witness-roles-is_vacated_role</t>
  </si>
  <si>
    <t>tc-witness-roles-is_governed_by_lapsed_authority</t>
  </si>
  <si>
    <t>tc-witness-roles-is_ungoverned_enforcement_role</t>
  </si>
  <si>
    <t>3 true / 9 false</t>
  </si>
  <si>
    <t>tc-witness-role_assignments-is_current</t>
  </si>
  <si>
    <t>12 true / 1 false</t>
  </si>
  <si>
    <t>tc-witness-role_assignments-is_currently_valid</t>
  </si>
  <si>
    <t>tc-witness-role_assignments-has_departed</t>
  </si>
  <si>
    <t>1 true / 12 false</t>
  </si>
  <si>
    <t>tc-witness-role_assignments-covers_now</t>
  </si>
  <si>
    <t>tc-witness-role_assignments-is_non_human_assignment</t>
  </si>
  <si>
    <t>4 true / 9 false</t>
  </si>
  <si>
    <t>tc-witness-role_assignments-is_human_to_non_human_handover</t>
  </si>
  <si>
    <t>1 true / 9 false</t>
  </si>
  <si>
    <t>tc-witness-role_assignments-is_unauthorized_non_human_assignment</t>
  </si>
  <si>
    <t>3 true / 10 false</t>
  </si>
  <si>
    <t>tc-witness-role_assignments-was_authorized_by_change_request</t>
  </si>
  <si>
    <t>never true (13/13 false)</t>
  </si>
  <si>
    <t>tc-witness-role_assignments-quality_regressed_vs_predecessor</t>
  </si>
  <si>
    <t>tc-witness-role_assignments-has_sufficient_sample</t>
  </si>
  <si>
    <t>never true (0/13 false)</t>
  </si>
  <si>
    <t>tc-witness-role_assignments-predecessor_has_sufficient_sample</t>
  </si>
  <si>
    <t>tc-witness-role_assignments-comparison_is_evidentially_sound</t>
  </si>
  <si>
    <t>tc-witness-role_assignments-quality_verdict_is_unsupported</t>
  </si>
  <si>
    <t>tc-witness-role_assignments-is_unmeasured_automation_handover</t>
  </si>
  <si>
    <t>never true (9/13 false)</t>
  </si>
  <si>
    <t>tc-witness-role_assignments-has_dated_authorization</t>
  </si>
  <si>
    <t>tc-witness-role_assignments-authorization_is_overdue_for_review</t>
  </si>
  <si>
    <t>tc-witness-role_assignments-is_standing_unreviewed_automation</t>
  </si>
  <si>
    <t>tc-witness-role_assignments-is_unconditioned_automation_handover</t>
  </si>
  <si>
    <t>tc-witness-role_assignments-exceeds_tolerable_error_rate</t>
  </si>
  <si>
    <t>tc-witness-role_assignments-has_any_boundary_violation</t>
  </si>
  <si>
    <t>tc-witness-role_assignments-has_ungrounded_governing_boundary</t>
  </si>
  <si>
    <t>tc-witness-role_assignments-suspension_condition_met</t>
  </si>
  <si>
    <t>tc-witness-role_assignments-is_operating_under_met_suspension_condition</t>
  </si>
  <si>
    <t>tc-witness-role_assignments-has_declared_suspension_condition</t>
  </si>
  <si>
    <t>tc-witness-role_assignments-has_approving_authority</t>
  </si>
  <si>
    <t>tc-witness-role_assignments-has_authorizing_change_request</t>
  </si>
  <si>
    <t>tc-witness-role_assignments-is_unauthorized_enforcement_agent</t>
  </si>
  <si>
    <t>tc-witness-procedure_versions-is_ready_for_execution</t>
  </si>
  <si>
    <t>1 true / 2 false</t>
  </si>
  <si>
    <t>tc-witness-procedure_versions-is_fit_to_execute</t>
  </si>
  <si>
    <t>never true (3/3 false)</t>
  </si>
  <si>
    <t>tc-witness-procedure_versions-has_any_steward</t>
  </si>
  <si>
    <t>2 true / 1 false</t>
  </si>
  <si>
    <t>tc-witness-procedure_versions-is_live</t>
  </si>
  <si>
    <t>tc-witness-procedure_versions-is_unstewarded</t>
  </si>
  <si>
    <t>tc-witness-procedure_versions-is_live_and_unstewarded</t>
  </si>
  <si>
    <t>tc-witness-procedure_versions-has_open_blocking_gap</t>
  </si>
  <si>
    <t>tc-witness-procedure_versions-is_live_with_blocking_gap</t>
  </si>
  <si>
    <t>tc-witness-procedure_versions-should_not_be_executable</t>
  </si>
  <si>
    <t>tc-witness-procedure_versions-runs_on_unapproved_knowledge</t>
  </si>
  <si>
    <t>always true (3/3)</t>
  </si>
  <si>
    <t>tc-witness-procedure_versions-has_governance_record</t>
  </si>
  <si>
    <t>tc-witness-procedure_versions-was_modified_since_last_review</t>
  </si>
  <si>
    <t>never true (2/3 false)</t>
  </si>
  <si>
    <t>tc-witness-procedure_versions-has_unwitnessed_change</t>
  </si>
  <si>
    <t>tc-witness-procedure_versions-knowledge_is_staler_than_cadence</t>
  </si>
  <si>
    <t>tc-witness-procedure_versions-rests_on_compound_fragile_knowledge</t>
  </si>
  <si>
    <t>tc-witness-procedure_versions-knowledge_base_is_concentrated</t>
  </si>
  <si>
    <t>tc-witness-procedure_versions-feeds_unapproved_knowledge_to_machines</t>
  </si>
  <si>
    <t>tc-witness-procedure_versions-is_blocked_on_pending_decision</t>
  </si>
  <si>
    <t>tc-witness-procedure_versions-ai_boundary_is_unevidenced</t>
  </si>
  <si>
    <t>tc-witness-procedure_versions-has_unrehearsed_control_entry</t>
  </si>
  <si>
    <t>tc-witness-procedure_versions-is_live_with_unrehearsed_control</t>
  </si>
  <si>
    <t>tc-witness-procedure_versions-is_in_cadence_breach</t>
  </si>
  <si>
    <t>tc-witness-procedure_versions-has_decision_in_flight</t>
  </si>
  <si>
    <t>tc-witness-procedure_versions-is_unremediated_cadence_breach</t>
  </si>
  <si>
    <t>tc-witness-procedure_versions-is_managed_cadence_breach</t>
  </si>
  <si>
    <t>tc-witness-procedure_versions-governance_is_silent</t>
  </si>
  <si>
    <t>tc-witness-procedure_versions-still_owns_valid_knowledge</t>
  </si>
  <si>
    <t>tc-witness-procedure_versions-is_still_referenced</t>
  </si>
  <si>
    <t>tc-witness-procedure_versions-is_load_bearing_orphan</t>
  </si>
  <si>
    <t>tc-witness-procedure_versions-is_cleanly_retired</t>
  </si>
  <si>
    <t>tc-witness-procedure_versions-is_held_unfit_by_landed_decisions</t>
  </si>
  <si>
    <t>tc-witness-procedure_versions-control_taxonomy_is_incomplete</t>
  </si>
  <si>
    <t>tc-witness-procedure_versions-has_approved_change_request</t>
  </si>
  <si>
    <t>tc-witness-steps-is_preparation_step</t>
  </si>
  <si>
    <t>2 true / 15 false</t>
  </si>
  <si>
    <t>tc-witness-steps-is_approval_step</t>
  </si>
  <si>
    <t>tc-witness-steps-inputs_are_fresh</t>
  </si>
  <si>
    <t>14 true / 3 false</t>
  </si>
  <si>
    <t>tc-witness-steps-is_software_assigned</t>
  </si>
  <si>
    <t>8 true / 9 false</t>
  </si>
  <si>
    <t>tc-witness-steps-is_human_approval_gate</t>
  </si>
  <si>
    <t>tc-witness-steps-gate_held_by_human</t>
  </si>
  <si>
    <t>tc-witness-steps-assigned_role_is_ungoverned</t>
  </si>
  <si>
    <t>never true (17/17 false)</t>
  </si>
  <si>
    <t>tc-witness-steps-all_sources_usable</t>
  </si>
  <si>
    <t>tc-witness-steps-is_governed_by_unwarranted_boundary</t>
  </si>
  <si>
    <t>1 true / 16 false</t>
  </si>
  <si>
    <t>tc-witness-steps-has_been_approached_by_software</t>
  </si>
  <si>
    <t>5 true / 12 false</t>
  </si>
  <si>
    <t>tc-witness-steps-is_unexercised_human_gate</t>
  </si>
  <si>
    <t>tc-witness-steps-is_demonstrated_human_gate</t>
  </si>
  <si>
    <t>tc-witness-steps-has_declared_control_kind</t>
  </si>
  <si>
    <t>always true (17/17)</t>
  </si>
  <si>
    <t>tc-witness-steps-approval_step_is_software_assigned</t>
  </si>
  <si>
    <t>tc-witness-step_transitions-is_recovery_path</t>
  </si>
  <si>
    <t>4 true / 15 false</t>
  </si>
  <si>
    <t>tc-witness-step_transitions-has_reachable_origin</t>
  </si>
  <si>
    <t>14 true / 5 false</t>
  </si>
  <si>
    <t>tc-witness-step_transitions-has_reachable_target</t>
  </si>
  <si>
    <t>13 true / 6 false</t>
  </si>
  <si>
    <t>tc-witness-step_transitions-is_never_exercised</t>
  </si>
  <si>
    <t>6 true / 13 false</t>
  </si>
  <si>
    <t>tc-witness-step_transitions-is_untested_recovery_path</t>
  </si>
  <si>
    <t>1 true / 18 false</t>
  </si>
  <si>
    <t>tc-witness-step_transitions-has_been_traversed</t>
  </si>
  <si>
    <t>10 true / 9 false</t>
  </si>
  <si>
    <t>tc-witness-step_transitions-is_unwalked_recovery_path</t>
  </si>
  <si>
    <t>tc-witness-step_transitions-target_carries_blocking_control</t>
  </si>
  <si>
    <t>tc-witness-step_transitions-is_unrehearsed_control_entry</t>
  </si>
  <si>
    <t>3 true / 16 false</t>
  </si>
  <si>
    <t>tc-witness-requirements-is_bound_to_any_step</t>
  </si>
  <si>
    <t>always true (13/13)</t>
  </si>
  <si>
    <t>tc-witness-requirements-has_ever_been_evaluated</t>
  </si>
  <si>
    <t>7 true / 6 false</t>
  </si>
  <si>
    <t>tc-witness-requirements-is_inoperative_control</t>
  </si>
  <si>
    <t>6 true / 7 false</t>
  </si>
  <si>
    <t>tc-witness-requirements-is_decorative_control</t>
  </si>
  <si>
    <t>tc-witness-requirements-has_ever_produced_negative</t>
  </si>
  <si>
    <t>tc-witness-requirements-is_unfalsified_control</t>
  </si>
  <si>
    <t>tc-witness-requirements-claims_a_witness_field</t>
  </si>
  <si>
    <t>tc-witness-requirements-named_witness_field_exists</t>
  </si>
  <si>
    <t>always true (4/13)</t>
  </si>
  <si>
    <t>tc-witness-requirements-derived_has_computed_witness</t>
  </si>
  <si>
    <t>tc-witness-requirements-witness_claim_is_unverified</t>
  </si>
  <si>
    <t>tc-witness-requirements-is_unwitnessed_blocking_control</t>
  </si>
  <si>
    <t>9 true / 4 false</t>
  </si>
  <si>
    <t>tc-witness-requirements-witness_has_never_fired</t>
  </si>
  <si>
    <t>tc-witness-requirements-has_meaningful_sample</t>
  </si>
  <si>
    <t>tc-witness-requirements-is_untested_witness</t>
  </si>
  <si>
    <t>never true (10/13 false)</t>
  </si>
  <si>
    <t>tc-witness-requirements-is_evidenced_holding_control</t>
  </si>
  <si>
    <t>tc-witness-requirements-witness_is_partially_scoped</t>
  </si>
  <si>
    <t>tc-witness-requirements-has_named_owner</t>
  </si>
  <si>
    <t>tc-witness-requirements-is_orphaned_blocking_control</t>
  </si>
  <si>
    <t>tc-witness-requirements-is_unwatched_and_unowned</t>
  </si>
  <si>
    <t>tc-witness-step_requirements-requirement_is_blocking</t>
  </si>
  <si>
    <t>always true (15/15)</t>
  </si>
  <si>
    <t>tc-witness-step_requirements-requirement_lacks_witness</t>
  </si>
  <si>
    <t>10 true / 5 false</t>
  </si>
  <si>
    <t>tc-witness-step_requirements-binding_was_ever_exercised</t>
  </si>
  <si>
    <t>never true (15/15 false)</t>
  </si>
  <si>
    <t>tc-witness-step_requirements-is_unexercised_blocking_binding</t>
  </si>
  <si>
    <t>tc-witness-resources-is_approved_source</t>
  </si>
  <si>
    <t>never true (0/8 false)</t>
  </si>
  <si>
    <t>tc-witness-elicitation_sessions-is_single_witness_method</t>
  </si>
  <si>
    <t>tc-witness-elicitation_sessions-practitioner_is_still_engaged</t>
  </si>
  <si>
    <t>tc-witness-elicitation_sessions-is_high_yield_session</t>
  </si>
  <si>
    <t>tc-witness-elicitation_sessions-is_concentrated_single_witness</t>
  </si>
  <si>
    <t>tc-witness-elicitation_sessions-is_stale_concentrated_witness</t>
  </si>
  <si>
    <t>tc-witness-knowledge_fragments-is_currently_valid</t>
  </si>
  <si>
    <t>6 true / 1 false</t>
  </si>
  <si>
    <t>tc-witness-knowledge_fragments-source_agent_is_still_engaged</t>
  </si>
  <si>
    <t>always true (7/7)</t>
  </si>
  <si>
    <t>tc-witness-knowledge_fragments-has_human_source</t>
  </si>
  <si>
    <t>tc-witness-knowledge_fragments-has_orphaned_provenance</t>
  </si>
  <si>
    <t>never true (7/7 false)</t>
  </si>
  <si>
    <t>tc-witness-knowledge_fragments-is_undefendable_tacit_claim</t>
  </si>
  <si>
    <t>tc-witness-knowledge_fragments-is_approved</t>
  </si>
  <si>
    <t>tc-witness-knowledge_fragments-is_within_validity_window</t>
  </si>
  <si>
    <t>tc-witness-knowledge_fragments-is_relied_upon</t>
  </si>
  <si>
    <t>tc-witness-knowledge_fragments-is_attached_to_live_version</t>
  </si>
  <si>
    <t>tc-witness-knowledge_fragments-is_unapproved_but_relied_on</t>
  </si>
  <si>
    <t>1 true / 6 false</t>
  </si>
  <si>
    <t>tc-witness-knowledge_fragments-has_recorded_elicitation</t>
  </si>
  <si>
    <t>tc-witness-knowledge_fragments-is_from_single_witness</t>
  </si>
  <si>
    <t>4 true / 2 false</t>
  </si>
  <si>
    <t>tc-witness-knowledge_fragments-evidence_has_expired</t>
  </si>
  <si>
    <t>tc-witness-knowledge_fragments-is_awaiting_approval</t>
  </si>
  <si>
    <t>tc-witness-knowledge_fragments-owner_is_me</t>
  </si>
  <si>
    <t>tc-witness-knowledge_fragments-is_my_unfinished_approval</t>
  </si>
  <si>
    <t>tc-witness-knowledge_fragments-has_operational_reliance</t>
  </si>
  <si>
    <t>2 true / 5 false</t>
  </si>
  <si>
    <t>tc-witness-knowledge_fragments-is_unapproved_and_operationally_live</t>
  </si>
  <si>
    <t>tc-witness-knowledge_fragments-is_low_confidence</t>
  </si>
  <si>
    <t>tc-witness-knowledge_fragments-exceeds_owning_cadence</t>
  </si>
  <si>
    <t>tc-witness-knowledge_fragments-is_aging_low_confidence_claim</t>
  </si>
  <si>
    <t>tc-witness-knowledge_fragments-is_human_owned</t>
  </si>
  <si>
    <t>tc-witness-knowledge_fragments-is_ai_validated_by_ai</t>
  </si>
  <si>
    <t>tc-witness-knowledge_fragments-is_overdue_for_review</t>
  </si>
  <si>
    <t>tc-witness-knowledge_fragments-predates_current_role_holder</t>
  </si>
  <si>
    <t>tc-witness-knowledge_fragments-is_compound_fragile</t>
  </si>
  <si>
    <t>tc-witness-knowledge_fragments-is_single_point_of_failure</t>
  </si>
  <si>
    <t>tc-witness-knowledge_fragments-is_expiring_single_point_of_failure</t>
  </si>
  <si>
    <t>tc-witness-knowledge_fragments-consuming_step_is_software_assigned</t>
  </si>
  <si>
    <t>tc-witness-knowledge_fragments-is_unapproved_and_machine_consumed</t>
  </si>
  <si>
    <t>tc-witness-knowledge_fragments-is_unapproved_and_human_consumed</t>
  </si>
  <si>
    <t>tc-witness-knowledge_fragments-has_review_record</t>
  </si>
  <si>
    <t>3 true / 4 false</t>
  </si>
  <si>
    <t>tc-witness-knowledge_fragments-is_unreviewed_since_authoring</t>
  </si>
  <si>
    <t>tc-witness-knowledge_fragments-is_genuinely_overdue</t>
  </si>
  <si>
    <t>tc-witness-knowledge_fragments-review_recency_is_inferred</t>
  </si>
  <si>
    <t>tc-witness-knowledge_fragments-inference_disagrees_with_record</t>
  </si>
  <si>
    <t>tc-witness-knowledge_fragments-is_high_blast_radius_unapproved</t>
  </si>
  <si>
    <t>tc-witness-knowledge_fragments-is_long_unapproved</t>
  </si>
  <si>
    <t>tc-witness-knowledge_fragments-owner_role_is_vacated</t>
  </si>
  <si>
    <t>tc-witness-knowledge_fragments-is_orphaned_by_role</t>
  </si>
  <si>
    <t>tc-witness-knowledge_gaps-is_open</t>
  </si>
  <si>
    <t>1 true / 7 false</t>
  </si>
  <si>
    <t>tc-witness-knowledge_gaps-is_blocking</t>
  </si>
  <si>
    <t>5 true / 3 false</t>
  </si>
  <si>
    <t>tc-witness-knowledge_gaps-is_open_and_blocking</t>
  </si>
  <si>
    <t>never true (8/8 false)</t>
  </si>
  <si>
    <t>tc-witness-knowledge_gaps-is_overdue_gap</t>
  </si>
  <si>
    <t>tc-witness-knowledge_gaps-owner_is_still_engaged</t>
  </si>
  <si>
    <t>always true (8/8)</t>
  </si>
  <si>
    <t>tc-witness-knowledge_gaps-has_resolution_plan</t>
  </si>
  <si>
    <t>tc-witness-knowledge_gaps-is_abandoned_unknown</t>
  </si>
  <si>
    <t>tc-witness-knowledge_gaps-owner_role_is_vacated</t>
  </si>
  <si>
    <t>tc-witness-knowledge_gaps-is_ownerless_open_gap</t>
  </si>
  <si>
    <t>tc-witness-procedure_executions-is_structurally_complete</t>
  </si>
  <si>
    <t>1 true / 1 false</t>
  </si>
  <si>
    <t>tc-witness-procedure_executions-diverged_from_specification</t>
  </si>
  <si>
    <t>always true (2/2)</t>
  </si>
  <si>
    <t>tc-witness-procedure_executions-all_blocking_controls_evaluated</t>
  </si>
  <si>
    <t>tc-witness-procedure_executions-separation_of_duties_held</t>
  </si>
  <si>
    <t>tc-witness-procedure_executions-is_attestation_ready</t>
  </si>
  <si>
    <t>never true (2/2 false)</t>
  </si>
  <si>
    <t>tc-witness-procedure_executions-executed_version_is_fit</t>
  </si>
  <si>
    <t>tc-witness-procedure_executions-signed_against_unfit_version</t>
  </si>
  <si>
    <t>tc-witness-procedure_executions-assurance_is_mostly_asserted</t>
  </si>
  <si>
    <t>tc-witness-procedure_executions-has_cleared_legal_review</t>
  </si>
  <si>
    <t>tc-witness-procedure_executions-has_abandoned_failures</t>
  </si>
  <si>
    <t>tc-witness-procedure_executions-ran_clean</t>
  </si>
  <si>
    <t>tc-witness-procedure_executions-has_human_approval</t>
  </si>
  <si>
    <t>tc-witness-procedure_executions-has_delivered</t>
  </si>
  <si>
    <t>tc-witness-procedure_executions-delivered_without_approval</t>
  </si>
  <si>
    <t>tc-witness-procedure_executions-approval_chain_is_complete</t>
  </si>
  <si>
    <t>tc-witness-procedure_executions-separation_was_testable</t>
  </si>
  <si>
    <t>tc-witness-procedure_executions-separation_held_under_test</t>
  </si>
  <si>
    <t>tc-witness-procedure_executions-separation_is_vacuously_green</t>
  </si>
  <si>
    <t>tc-witness-procedure_executions-divergence_was_fully_governed</t>
  </si>
  <si>
    <t>tc-witness-procedure_executions-attestation_would_be_weakly_based</t>
  </si>
  <si>
    <t>tc-witness-procedure_executions-has_any_independent_observation</t>
  </si>
  <si>
    <t>tc-witness-procedure_executions-assurance_chain_is_circular</t>
  </si>
  <si>
    <t>tc-witness-procedure_executions-has_been_attested</t>
  </si>
  <si>
    <t>tc-witness-procedure_executions-basis_changed_after_signature</t>
  </si>
  <si>
    <t>tc-witness-procedure_executions-requires_re_attestation</t>
  </si>
  <si>
    <t>tc-witness-procedure_executions-campaign_silently_lost_audience</t>
  </si>
  <si>
    <t>tc-witness-procedure_executions-has_unrecorded_refusals</t>
  </si>
  <si>
    <t>tc-witness-procedure_executions-send_decisions_are_entirely_self_witnessed</t>
  </si>
  <si>
    <t>tc-witness-step_executions-is_late</t>
  </si>
  <si>
    <t>7 true / 5 false</t>
  </si>
  <si>
    <t>tc-witness-step_executions-proceeded_past_blocking_control</t>
  </si>
  <si>
    <t>tc-witness-step_executions-has_unevaluated_blocking_control</t>
  </si>
  <si>
    <t>tc-witness-step_executions-ran_on_stale_authoritative_source</t>
  </si>
  <si>
    <t>2 true / 10 false</t>
  </si>
  <si>
    <t>tc-witness-step_executions-has_deviation_note</t>
  </si>
  <si>
    <t>tc-witness-step_executions-is_late_and_unexplained</t>
  </si>
  <si>
    <t>tc-witness-step_executions-had_uninvoked_exception_available</t>
  </si>
  <si>
    <t>tc-witness-step_executions-has_skipped_verification</t>
  </si>
  <si>
    <t>tc-witness-step_executions-claims_pass_without_evidence</t>
  </si>
  <si>
    <t>tc-witness-step_executions-step_is_preparation</t>
  </si>
  <si>
    <t>tc-witness-step_executions-step_is_approval</t>
  </si>
  <si>
    <t>tc-witness-step_executions-violates_separation_of_duties</t>
  </si>
  <si>
    <t>tc-witness-step_executions-executor_held_required_role</t>
  </si>
  <si>
    <t>always true (12/12)</t>
  </si>
  <si>
    <t>tc-witness-step_executions-is_unauthorized_approval</t>
  </si>
  <si>
    <t>tc-witness-step_executions-executor_is_human</t>
  </si>
  <si>
    <t>tc-witness-step_executions-step_requires_human_confirmation</t>
  </si>
  <si>
    <t>tc-witness-step_executions-non_human_ran_human_step</t>
  </si>
  <si>
    <t>tc-witness-step_executions-non_human_approval</t>
  </si>
  <si>
    <t>tc-witness-step_executions-approval_rests_on_self_attestation</t>
  </si>
  <si>
    <t>tc-witness-step_executions-ran_under_exception</t>
  </si>
  <si>
    <t>tc-witness-step_executions-is_completed</t>
  </si>
  <si>
    <t>tc-witness-step_executions-is_verification_passed</t>
  </si>
  <si>
    <t>11 true / 1 false</t>
  </si>
  <si>
    <t>tc-witness-step_executions-is_legal_review_step</t>
  </si>
  <si>
    <t>tc-witness-step_executions-executor_is_designated_agent</t>
  </si>
  <si>
    <t>tc-witness-step_executions-inputs_were_fresh_at_run</t>
  </si>
  <si>
    <t>10 true / 2 false</t>
  </si>
  <si>
    <t>tc-witness-step_executions-ran_on_stale_inputs</t>
  </si>
  <si>
    <t>tc-witness-step_executions-has_deviation</t>
  </si>
  <si>
    <t>tc-witness-step_executions-is_clean</t>
  </si>
  <si>
    <t>5 true / 7 false</t>
  </si>
  <si>
    <t>tc-witness-step_executions-has_unevaluated_blocking_requirement</t>
  </si>
  <si>
    <t>tc-witness-step_executions-was_executed_by_software</t>
  </si>
  <si>
    <t>tc-witness-step_executions-step_is_software_assigned</t>
  </si>
  <si>
    <t>tc-witness-step_executions-software_did_human_work</t>
  </si>
  <si>
    <t>tc-witness-step_executions-is_approval_execution</t>
  </si>
  <si>
    <t>tc-witness-step_executions-is_verified</t>
  </si>
  <si>
    <t>tc-witness-step_executions-requires_human_confirmation</t>
  </si>
  <si>
    <t>tc-witness-step_executions-human_confirmation_missing</t>
  </si>
  <si>
    <t>tc-witness-step_executions-drafted_from_unusable_source</t>
  </si>
  <si>
    <t>tc-witness-step_executions-inputs_were_usable</t>
  </si>
  <si>
    <t>tc-witness-step_executions-all_clearances_are_unfalsified</t>
  </si>
  <si>
    <t>tc-witness-step_executions-was_stale_when_i_ran_it</t>
  </si>
  <si>
    <t>tc-witness-step_executions-staleness_answer_is_tense_dependent</t>
  </si>
  <si>
    <t>tc-witness-step_executions-has_any_declared_check</t>
  </si>
  <si>
    <t>8 true / 4 false</t>
  </si>
  <si>
    <t>tc-witness-step_executions-is_unchecked_by_design</t>
  </si>
  <si>
    <t>tc-witness-step_executions-is_vacuously_clean</t>
  </si>
  <si>
    <t>tc-witness-step_executions-is_substantively_clean</t>
  </si>
  <si>
    <t>tc-witness-step_executions-evidence_position_is_weak</t>
  </si>
  <si>
    <t>tc-witness-step_executions-has_governing_instrument</t>
  </si>
  <si>
    <t>tc-witness-step_executions-has_approved_change_coverage</t>
  </si>
  <si>
    <t>tc-witness-step_executions-is_ungoverned_divergence</t>
  </si>
  <si>
    <t>tc-witness-requirement_satisfactions-requirement_is_blocking</t>
  </si>
  <si>
    <t>tc-witness-requirement_satisfactions-is_fully_satisfied</t>
  </si>
  <si>
    <t>7 true / 1 false</t>
  </si>
  <si>
    <t>tc-witness-requirement_satisfactions-is_blocking_and_unmet</t>
  </si>
  <si>
    <t>tc-witness-requirement_satisfactions-non_human_evaluated_human_control</t>
  </si>
  <si>
    <t>tc-witness-requirement_satisfactions-requirement_has_computed_witness</t>
  </si>
  <si>
    <t>tc-witness-requirement_satisfactions-is_asserted_only</t>
  </si>
  <si>
    <t>3 true / 5 false</t>
  </si>
  <si>
    <t>tc-witness-requirement_satisfactions-is_human_evaluated</t>
  </si>
  <si>
    <t>tc-witness-requirement_satisfactions-is_invalid_approval</t>
  </si>
  <si>
    <t>tc-witness-requirement_satisfactions-requirement_is_unfalsified</t>
  </si>
  <si>
    <t>6 true / 2 false</t>
  </si>
  <si>
    <t>tc-witness-requirement_satisfactions-is_clearance_by_unfalsified_control</t>
  </si>
  <si>
    <t>tc-witness-requirement_satisfactions-evaluator_is_step_executor</t>
  </si>
  <si>
    <t>2 true / 6 false</t>
  </si>
  <si>
    <t>tc-witness-requirement_satisfactions-evaluator_owns_the_run</t>
  </si>
  <si>
    <t>tc-witness-requirement_satisfactions-is_interested_party_assertion</t>
  </si>
  <si>
    <t>tc-witness-requirement_satisfactions-has_written_evidence</t>
  </si>
  <si>
    <t>tc-witness-requirement_satisfactions-is_bare_assertion</t>
  </si>
  <si>
    <t>tc-witness-requirement_satisfactions-is_computedly_witnessed</t>
  </si>
  <si>
    <t>tc-witness-requirement_satisfactions-was_scored_after_attestation</t>
  </si>
  <si>
    <t>tc-witness-issue_occurrences-is_unresolved</t>
  </si>
  <si>
    <t>tc-witness-stewardship_assignments-has_ever_been_reviewed</t>
  </si>
  <si>
    <t>tc-witness-stewardship_assignments-is_current_assignment</t>
  </si>
  <si>
    <t>tc-witness-change_requests-is_open</t>
  </si>
  <si>
    <t>tc-witness-change_requests-is_decided</t>
  </si>
  <si>
    <t>tc-witness-change_requests-is_still_pending</t>
  </si>
  <si>
    <t>tc-witness-change_requests-is_stalled</t>
  </si>
  <si>
    <t>tc-witness-change_requests-requester_is_authority</t>
  </si>
  <si>
    <t>tc-witness-change_requests-awaits_authority_decision</t>
  </si>
  <si>
    <t>tc-witness-change_requests-touches_live_version</t>
  </si>
  <si>
    <t>tc-witness-change_requests-is_live_decision_backlog</t>
  </si>
  <si>
    <t>tc-witness-change_requests-blocks_an_open_gap</t>
  </si>
  <si>
    <t>tc-witness-change_requests-is_my_pending_decision</t>
  </si>
  <si>
    <t>tc-witness-change_requests-is_my_blocking_backlog</t>
  </si>
  <si>
    <t>tc-witness-change_requests-is_my_overdue_backlog</t>
  </si>
  <si>
    <t>tc-witness-change_requests-is_implemented</t>
  </si>
  <si>
    <t>tc-witness-change_requests-is_my_decided_request</t>
  </si>
  <si>
    <t>tc-witness-change_requests-is_my_decided_but_unlanded</t>
  </si>
  <si>
    <t>tc-witness-change_requests-delay_is_downstream_of_me</t>
  </si>
  <si>
    <t>tc-witness-change_requests-is_approved_not_implemented</t>
  </si>
  <si>
    <t>tc-witness-change_requests-is_stalled_implementation</t>
  </si>
  <si>
    <t>tc-witness-change_requests-is_approved_decision</t>
  </si>
  <si>
    <t>tc-witness-review_events-is_overdue</t>
  </si>
  <si>
    <t>tc-witness-review_events-exceeds_promised_cadence</t>
  </si>
  <si>
    <t>tc-witness-review_events-promise_and_behavior_disagree</t>
  </si>
  <si>
    <t>tc-witness-operational_bindings-is_fresh</t>
  </si>
  <si>
    <t>2 true / 3 false</t>
  </si>
  <si>
    <t>tc-witness-operational_bindings-is_stale_and_authoritative</t>
  </si>
  <si>
    <t>3 true / 2 false</t>
  </si>
  <si>
    <t>tc-witness-operational_bindings-resource_is_approved</t>
  </si>
  <si>
    <t>never true (0/5 false)</t>
  </si>
  <si>
    <t>tc-witness-operational_bindings-is_usable_for_drafting</t>
  </si>
  <si>
    <t>never true (3/5 false)</t>
  </si>
  <si>
    <t>tc-witness-communication_policies-is_active_policy</t>
  </si>
  <si>
    <t>tc-witness-message_templates-is_template_over_length</t>
  </si>
  <si>
    <t>tc-witness-message_templates-has_valid_approval</t>
  </si>
  <si>
    <t>tc-witness-message_templates-is_claiming_unbacked_approval</t>
  </si>
  <si>
    <t>tc-witness-message_templates-has_body_drifted</t>
  </si>
  <si>
    <t>tc-witness-message_templates-is_sendable_under_approval</t>
  </si>
  <si>
    <t>tc-witness-message_templates-template_draws_no_response</t>
  </si>
  <si>
    <t>tc-witness-exception_invocations-approval_role_matches</t>
  </si>
  <si>
    <t>always true (1/1)</t>
  </si>
  <si>
    <t>tc-witness-exception_invocations-is_approved</t>
  </si>
  <si>
    <t>tc-witness-exception_invocations-is_improperly_approved</t>
  </si>
  <si>
    <t>never true (1/1 false)</t>
  </si>
  <si>
    <t>tc-witness-exception_invocations-delegated_to_preparer</t>
  </si>
  <si>
    <t>tc-witness-exception_invocations-is_ungoverned_invocation</t>
  </si>
  <si>
    <t>tc-witness-verification_outcomes-signal_matches_expected</t>
  </si>
  <si>
    <t>3 true / 1 false</t>
  </si>
  <si>
    <t>tc-witness-verification_outcomes-has_evidence</t>
  </si>
  <si>
    <t>tc-witness-verification_outcomes-is_unbacked_observation</t>
  </si>
  <si>
    <t>1 true / 3 false</t>
  </si>
  <si>
    <t>tc-witness-verification_outcomes-is_self_witnessed</t>
  </si>
  <si>
    <t>tc-witness-verification_outcomes-is_self_witnessed_and_unbacked</t>
  </si>
  <si>
    <t>tc-witness-verification_outcomes-is_uncorroborated_pass</t>
  </si>
  <si>
    <t>tc-witness-verification_outcomes-observer_is_non_human</t>
  </si>
  <si>
    <t>tc-witness-verification_outcomes-observer_is_independent_of_executor</t>
  </si>
  <si>
    <t>tc-witness-verification_outcomes-is_independent_human_observation</t>
  </si>
  <si>
    <t>tc-witness-recipients-has_sms_consent</t>
  </si>
  <si>
    <t>tc-witness-recipients-is_email_reachable</t>
  </si>
  <si>
    <t>always true (5/5)</t>
  </si>
  <si>
    <t>tc-witness-recipients-is_sms_reachable</t>
  </si>
  <si>
    <t>4 true / 1 false</t>
  </si>
  <si>
    <t>tc-witness-recipients-is_unreachable</t>
  </si>
  <si>
    <t>never true (5/5 false)</t>
  </si>
  <si>
    <t>tc-witness-recipients-is_communicationally_stranded</t>
  </si>
  <si>
    <t>tc-witness-message_deliveries-policy_requires_consent</t>
  </si>
  <si>
    <t>tc-witness-message_deliveries-recipient_has_sms_consent</t>
  </si>
  <si>
    <t>tc-witness-message_deliveries-was_actually_transmitted</t>
  </si>
  <si>
    <t>tc-witness-message_deliveries-is_consent_violation</t>
  </si>
  <si>
    <t>never true (6/6 false)</t>
  </si>
  <si>
    <t>tc-witness-message_deliveries-policy_has_quiet_hours</t>
  </si>
  <si>
    <t>tc-witness-message_deliveries-quiet_window_wraps_midnight</t>
  </si>
  <si>
    <t>tc-witness-message_deliveries-is_inside_quiet_window</t>
  </si>
  <si>
    <t>1 true / 5 false</t>
  </si>
  <si>
    <t>tc-witness-message_deliveries-is_quiet_hours_violation</t>
  </si>
  <si>
    <t>tc-witness-message_deliveries-recipient_is_unreachable</t>
  </si>
  <si>
    <t>tc-witness-message_deliveries-is_acknowledged</t>
  </si>
  <si>
    <t>tc-witness-message_deliveries-has_unreachable_exception_invoked</t>
  </si>
  <si>
    <t>tc-witness-message_deliveries-is_fabricated_acknowledgement</t>
  </si>
  <si>
    <t>tc-witness-message_deliveries-is_unhandled_unreachable</t>
  </si>
  <si>
    <t>tc-witness-message_deliveries-is_within_retention_window</t>
  </si>
  <si>
    <t>always true (6/6)</t>
  </si>
  <si>
    <t>tc-witness-message_deliveries-has_rendered_body</t>
  </si>
  <si>
    <t>tc-witness-message_deliveries-is_evidence_required</t>
  </si>
  <si>
    <t>tc-witness-message_deliveries-is_retention_breach</t>
  </si>
  <si>
    <t>tc-witness-message_deliveries-execution_has_cleared_legal_review</t>
  </si>
  <si>
    <t>tc-witness-message_deliveries-is_unreviewed_send</t>
  </si>
  <si>
    <t>tc-witness-message_deliveries-is_over_segment_limit</t>
  </si>
  <si>
    <t>tc-witness-message_deliveries-template_has_valid_approval</t>
  </si>
  <si>
    <t>tc-witness-message_deliveries-is_unapproved_send</t>
  </si>
  <si>
    <t>tc-witness-message_deliveries-policy_requires_opt_out</t>
  </si>
  <si>
    <t>tc-witness-message_deliveries-has_opt_out_phrase</t>
  </si>
  <si>
    <t>tc-witness-message_deliveries-is_opt_out_in_first_segment</t>
  </si>
  <si>
    <t>tc-witness-message_deliveries-is_missing_required_opt_out</t>
  </si>
  <si>
    <t>tc-witness-message_deliveries-is_opt_out_at_risk_of_truncation</t>
  </si>
  <si>
    <t>tc-witness-message_deliveries-is_failed_delivery</t>
  </si>
  <si>
    <t>tc-witness-message_deliveries-is_suppressed</t>
  </si>
  <si>
    <t>tc-witness-message_deliveries-is_triaged</t>
  </si>
  <si>
    <t>3 true / 3 false</t>
  </si>
  <si>
    <t>tc-witness-message_deliveries-is_abandoned_failure</t>
  </si>
  <si>
    <t>tc-witness-message_deliveries-template_was_sendable</t>
  </si>
  <si>
    <t>tc-witness-message_deliveries-is_drifted_send</t>
  </si>
  <si>
    <t>tc-witness-message_deliveries-was_sent_outside_business_hours</t>
  </si>
  <si>
    <t>tc-witness-message_deliveries-was_delivered_and_unanswered</t>
  </si>
  <si>
    <t>tc-witness-message_deliveries-is_poorly_timed_unanswered</t>
  </si>
  <si>
    <t>tc-witness-message_deliveries-is_well_timed_unanswered</t>
  </si>
  <si>
    <t>2 true / 4 false</t>
  </si>
  <si>
    <t>tc-witness-message_deliveries-approval_preceded_send</t>
  </si>
  <si>
    <t>tc-witness-message_deliveries-has_frozen_approval_evidence</t>
  </si>
  <si>
    <t>tc-witness-message_deliveries-provenance_is_live_derived</t>
  </si>
  <si>
    <t>tc-witness-message_deliveries-template_reapproved_since_send</t>
  </si>
  <si>
    <t>tc-witness-message_deliveries-is_unprovable_approval_claim</t>
  </si>
  <si>
    <t>tc-witness-message_deliveries-has_sent_reminder</t>
  </si>
  <si>
    <t>never true (0/6 false)</t>
  </si>
  <si>
    <t>tc-witness-message_deliveries-acknowledgement_is_outstanding</t>
  </si>
  <si>
    <t>tc-witness-message_deliveries-is_unchased_acknowledgement</t>
  </si>
  <si>
    <t>tc-witness-message_deliveries-is_exhausted_follow_up</t>
  </si>
  <si>
    <t>never true (3/6 false)</t>
  </si>
  <si>
    <t>tc-witness-message_deliveries-needs_human_escalation</t>
  </si>
  <si>
    <t>tc-witness-template_approvals-is_approval_decision</t>
  </si>
  <si>
    <t>tc-witness-template_approvals-is_decided_by_required_role</t>
  </si>
  <si>
    <t>tc-witness-send_intents-policy_is_active</t>
  </si>
  <si>
    <t>tc-witness-send_intents-intent_requires_consent</t>
  </si>
  <si>
    <t>tc-witness-send_intents-recipient_has_channel_consent</t>
  </si>
  <si>
    <t>tc-witness-send_intents-consent_gate_passed</t>
  </si>
  <si>
    <t>tc-witness-send_intents-recipient_is_sms_reachable</t>
  </si>
  <si>
    <t>tc-witness-send_intents-recipient_is_email_reachable</t>
  </si>
  <si>
    <t>tc-witness-send_intents-reachability_gate_passed</t>
  </si>
  <si>
    <t>tc-witness-send_intents-permission_gate_passed</t>
  </si>
  <si>
    <t>tc-witness-send_intents-intent_policy_has_quiet_hours</t>
  </si>
  <si>
    <t>tc-witness-send_intents-intent_quiet_window_wraps</t>
  </si>
  <si>
    <t>tc-witness-send_intents-intent_is_inside_quiet_window</t>
  </si>
  <si>
    <t>tc-witness-send_intents-timing_gate_passed</t>
  </si>
  <si>
    <t>tc-witness-send_intents-length_gate_passed</t>
  </si>
  <si>
    <t>tc-witness-send_intents-opt_out_gate_passed</t>
  </si>
  <si>
    <t>5 true / 2 false</t>
  </si>
  <si>
    <t>tc-witness-send_intents-content_gate_passed</t>
  </si>
  <si>
    <t>tc-witness-send_intents-template_is_sendable</t>
  </si>
  <si>
    <t>tc-witness-send_intents-execution_has_legal_clearance</t>
  </si>
  <si>
    <t>tc-witness-send_intents-approval_is_human</t>
  </si>
  <si>
    <t>tc-witness-send_intents-authorization_gate_passed</t>
  </si>
  <si>
    <t>tc-witness-send_intents-is_cleared_to_send</t>
  </si>
  <si>
    <t>tc-witness-send_intents-has_resulting_delivery</t>
  </si>
  <si>
    <t>tc-witness-send_intents-resulting_delivery_was_transmitted</t>
  </si>
  <si>
    <t>always true (2/7)</t>
  </si>
  <si>
    <t>tc-witness-send_intents-is_overridden_refusal</t>
  </si>
  <si>
    <t>tc-witness-send_intents-is_silently_dropped</t>
  </si>
  <si>
    <t>4 true / 3 false</t>
  </si>
  <si>
    <t>tc-witness-send_intents-refusal_cited_an_exception</t>
  </si>
  <si>
    <t>tc-witness-send_intents-is_properly_handled_refusal</t>
  </si>
  <si>
    <t>tc-witness-send_intents-my_approval_was_in_force</t>
  </si>
  <si>
    <t>tc-witness-send_intents-refused_on_approved_content</t>
  </si>
  <si>
    <t>tc-witness-send_intents-refused_on_opt_out_only</t>
  </si>
  <si>
    <t>tc-witness-send_intents-refusal_was_on_my_rules</t>
  </si>
  <si>
    <t>tc-witness-send_intents-refusal_was_outside_my_control</t>
  </si>
  <si>
    <t>tc-witness-send_intents-is_unreported_refusal_on_my_rules</t>
  </si>
  <si>
    <t>tc-witness-send_intents-is_approval_overridden_silently</t>
  </si>
  <si>
    <t>tc-witness-send_intents-has_alternate_channel_attempt</t>
  </si>
  <si>
    <t>tc-witness-send_intents-alternate_attempt_was_cleared</t>
  </si>
  <si>
    <t>tc-witness-send_intents-is_refused_with_no_alternative</t>
  </si>
  <si>
    <t>tc-witness-send_intents-exception_prescribed_an_alternative</t>
  </si>
  <si>
    <t>tc-witness-send_intents-prescribed_handling_was_performed</t>
  </si>
  <si>
    <t>tc-witness-send_intents-is_suppression_without_remedy</t>
  </si>
  <si>
    <t>tc-witness-send_intents-has_durable_refusal_record</t>
  </si>
  <si>
    <t>tc-witness-send_intents-refusal_was_escalated</t>
  </si>
  <si>
    <t>tc-witness-send_intents-is_unrecorded_refusal</t>
  </si>
  <si>
    <t>tc-witness-send_intents-is_unescalated_refusal</t>
  </si>
  <si>
    <t>tc-witness-send_intents-was_deferred_on_timing</t>
  </si>
  <si>
    <t>tc-witness-send_intents-window_has_since_reopened</t>
  </si>
  <si>
    <t>tc-witness-send_intents-has_retry_attempt</t>
  </si>
  <si>
    <t>tc-witness-send_intents-retry_was_cleared</t>
  </si>
  <si>
    <t>tc-witness-send_intents-is_abandoned_deferral</t>
  </si>
  <si>
    <t>tc-witness-send_intents-is_stale_deferral</t>
  </si>
  <si>
    <t>tc-witness-send_intents-enforced_by_unauthorized_agent</t>
  </si>
  <si>
    <t>tc-witness-send_intents-consent_input_was_resolvable</t>
  </si>
  <si>
    <t>tc-witness-send_intents-policy_input_was_resolvable</t>
  </si>
  <si>
    <t>tc-witness-send_intents-all_gate_inputs_resolved</t>
  </si>
  <si>
    <t>tc-witness-send_intents-is_unevaluable_refusal</t>
  </si>
  <si>
    <t>tc-witness-send_intents-is_self_witnessed_decision</t>
  </si>
  <si>
    <t>tc-witness-send_intents-is_independently_confirmed</t>
  </si>
  <si>
    <t>tc-witness-agent_decision_records-was_overridden</t>
  </si>
  <si>
    <t>tc-witness-agent_decision_records-was_reviewed</t>
  </si>
  <si>
    <t>tc-witness-agent_decision_records-violated_authority_boundary</t>
  </si>
  <si>
    <t>tc-witness-agent_decision_records-has_human_confirmation</t>
  </si>
  <si>
    <t>tc-witness-agent_decision_records-needs_human_confirmation</t>
  </si>
  <si>
    <t>tc-witness-agent_decision_records-is_unconfirmed_non_human_decision</t>
  </si>
  <si>
    <t>tc-witness-agent_decision_records-is_draft_kind</t>
  </si>
  <si>
    <t>tc-witness-agent_decision_records-is_error_correction</t>
  </si>
  <si>
    <t>tc-witness-agent_decision_records-is_reserved_judgment_override</t>
  </si>
  <si>
    <t>tc-witness-agent_decision_records-override_reason_is_recorded</t>
  </si>
  <si>
    <t>tc-witness-agent_decision_records-is_unexplained_override</t>
  </si>
  <si>
    <t>tc-witness-delivered_communications-has_authorization</t>
  </si>
  <si>
    <t>tc-witness-delivered_communications-content_matches_approval</t>
  </si>
  <si>
    <t>never true (0/1 false)</t>
  </si>
  <si>
    <t>tc-witness-delivered_communications-was_approved_before_sending</t>
  </si>
  <si>
    <t>tc-witness-delivered_communications-is_defensible</t>
  </si>
  <si>
    <t>tc-witness-authority_boundaries-is_currently_binding</t>
  </si>
  <si>
    <t>tc-witness-authority_boundaries-ratifying_fragment_is_valid</t>
  </si>
  <si>
    <t>always true (2/3)</t>
  </si>
  <si>
    <t>tc-witness-authority_boundaries-is_untested</t>
  </si>
  <si>
    <t>tc-witness-authority_boundaries-has_ratifying_fragment</t>
  </si>
  <si>
    <t>tc-witness-authority_boundaries-is_unwarranted</t>
  </si>
  <si>
    <t>tc-witness-authority_boundaries-ratifying_fragment_is_overdue</t>
  </si>
  <si>
    <t>tc-witness-authority_boundaries-ratifying_fragment_is_single_witness</t>
  </si>
  <si>
    <t>tc-witness-authority_boundaries-warrant_is_thin</t>
  </si>
  <si>
    <t>tc-witness-authority_boundaries-is_unwarranted_and_untested</t>
  </si>
  <si>
    <t>tc-witness-authority_boundaries-ratification_lapsed</t>
  </si>
  <si>
    <t>tc-witness-authority_boundaries-binds_despite_lapsed_ratification</t>
  </si>
  <si>
    <t>tc-witness-authority_boundaries-is_ungrounded_and_untested</t>
  </si>
  <si>
    <t>tc-witness-binding_observations-was_stale_at_run</t>
  </si>
  <si>
    <t>no rows to witness</t>
  </si>
  <si>
    <t>tc-witness-binding_observations-is_authoritative_binding</t>
  </si>
  <si>
    <t>tc-witness-attestations-version_is_fit_now</t>
  </si>
  <si>
    <t>tc-witness-attestations-fitness_verdict_has_drifted</t>
  </si>
  <si>
    <t>tc-witness-attestations-assurance_grade_has_drifted</t>
  </si>
  <si>
    <t>tc-witness-attestations-would_not_survive_restatement</t>
  </si>
  <si>
    <t>tc-answered-q-analyst-blocking-unmet-on-my-step</t>
  </si>
  <si>
    <t>question-answered</t>
  </si>
  <si>
    <t>At least one predicate exists to answer this question.</t>
  </si>
  <si>
    <t>7 predicates</t>
  </si>
  <si>
    <t>tc-answered-q-analyst-blocking-never-evaluated</t>
  </si>
  <si>
    <t>8 predicates</t>
  </si>
  <si>
    <t>tc-answered-q-analyst-evidence-binding-stale</t>
  </si>
  <si>
    <t>6 predicates</t>
  </si>
  <si>
    <t>tc-answered-q-analyst-my-late-steps-unexplained</t>
  </si>
  <si>
    <t>tc-answered-q-analyst-verification-declared-never-performed</t>
  </si>
  <si>
    <t>tc-answered-q-controller-separation-of-duties</t>
  </si>
  <si>
    <t>tc-answered-q-controller-approval-authority-valid</t>
  </si>
  <si>
    <t>tc-answered-q-controller-blocking-control-inoperative</t>
  </si>
  <si>
    <t>tc-answered-q-controller-execution-diverged-from-spec</t>
  </si>
  <si>
    <t>10 predicates</t>
  </si>
  <si>
    <t>tc-answered-q-controller-ai-agent-approved-meaning</t>
  </si>
  <si>
    <t>tc-answered-q-cfo-can-i-sign</t>
  </si>
  <si>
    <t>tc-answered-q-cfo-approving-on-unfit-version</t>
  </si>
  <si>
    <t>9 predicates</t>
  </si>
  <si>
    <t>tc-answered-q-cfo-approval-was-actually-verified</t>
  </si>
  <si>
    <t>tc-answered-q-cfo-who-actually-held-authority</t>
  </si>
  <si>
    <t>tc-answered-q-cfo-am-i-being-told-everything</t>
  </si>
  <si>
    <t>tc-answered-q-steward-cadence-breach</t>
  </si>
  <si>
    <t>tc-answered-q-steward-orphan-versions</t>
  </si>
  <si>
    <t>tc-answered-q-steward-untested-fallbacks</t>
  </si>
  <si>
    <t>11 predicates</t>
  </si>
  <si>
    <t>tc-answered-q-steward-published-with-blocking-gap</t>
  </si>
  <si>
    <t>tc-answered-q-steward-stalled-change-requests</t>
  </si>
  <si>
    <t>tc-answered-q-authority-orphaned-provenance</t>
  </si>
  <si>
    <t>tc-answered-q-authority-non-approved-dependency</t>
  </si>
  <si>
    <t>tc-answered-q-authority-stale-elicitation</t>
  </si>
  <si>
    <t>tc-answered-q-authority-known-unknowns</t>
  </si>
  <si>
    <t>tc-answered-q-authority-unwitnessed-change</t>
  </si>
  <si>
    <t>tc-answered-q-counsel-sms-without-consent</t>
  </si>
  <si>
    <t>tc-answered-q-counsel-quiet-hours-breach</t>
  </si>
  <si>
    <t>tc-answered-q-counsel-unreachable-not-acknowledged</t>
  </si>
  <si>
    <t>tc-answered-q-counsel-retention-evidence</t>
  </si>
  <si>
    <t>tc-answered-q-counsel-legal-review-gated-send</t>
  </si>
  <si>
    <t>tc-answered-q-comms-oversized-sms</t>
  </si>
  <si>
    <t>tc-answered-q-comms-approval-authority</t>
  </si>
  <si>
    <t>tc-answered-q-comms-optout-present</t>
  </si>
  <si>
    <t>tc-answered-q-comms-deliverability</t>
  </si>
  <si>
    <t>tc-answered-q-comms-template-drift</t>
  </si>
  <si>
    <t>tc-answered-q-publisher-may-i-transmit</t>
  </si>
  <si>
    <t>tc-answered-q-publisher-may-i-transmit-now</t>
  </si>
  <si>
    <t>tc-answered-q-publisher-is-this-content-permitted</t>
  </si>
  <si>
    <t>tc-answered-q-publisher-am-i-authorized-to-act</t>
  </si>
  <si>
    <t>tc-answered-q-publisher-refusal-was-honored</t>
  </si>
  <si>
    <t>tc-answered-q-close-auto-authority-current</t>
  </si>
  <si>
    <t>tc-answered-q-close-auto-input-freshness</t>
  </si>
  <si>
    <t>tc-answered-q-close-auto-last-run-clean</t>
  </si>
  <si>
    <t>tc-answered-q-close-auto-blocking-requirements-evaluated</t>
  </si>
  <si>
    <t>5 predicates</t>
  </si>
  <si>
    <t>tc-answered-q-close-auto-human-override-drift</t>
  </si>
  <si>
    <t>tc-answered-q-hr-authority-without-review</t>
  </si>
  <si>
    <t>tc-answered-q-hr-ai-authored-commitments</t>
  </si>
  <si>
    <t>tc-answered-q-hr-unapproved-knowledge-in-my-name</t>
  </si>
  <si>
    <t>tc-answered-q-hr-what-was-actually-sent</t>
  </si>
  <si>
    <t>tc-answered-q-hr-policy-knowledge-half-life</t>
  </si>
  <si>
    <t>tc-answered-q-variance-ai-authority-provenance</t>
  </si>
  <si>
    <t>tc-answered-q-variance-ai-quality-vs-human-baseline</t>
  </si>
  <si>
    <t>tc-answered-q-variance-ai-boundary-compliance</t>
  </si>
  <si>
    <t>tc-answered-q-variance-ai-human-confirmation-present</t>
  </si>
  <si>
    <t>tc-answered-q-variance-ai-knowledge-currency</t>
  </si>
  <si>
    <t>tc-answered-q-policy-ai-no-role-assignment</t>
  </si>
  <si>
    <t>3 predicates</t>
  </si>
  <si>
    <t>tc-answered-q-policy-ai-source-approval</t>
  </si>
  <si>
    <t>tc-answered-q-policy-ai-commitment-boundary</t>
  </si>
  <si>
    <t>tc-answered-q-policy-ai-downstream-rewrite</t>
  </si>
  <si>
    <t>tc-answered-q-policy-ai-approval-chain-complete</t>
  </si>
  <si>
    <t>tc-answered-q2-authority-compound-fragility</t>
  </si>
  <si>
    <t>tc-answered-q2-authority-boundary-rests-on-expired-claim</t>
  </si>
  <si>
    <t>tc-answered-q2-authority-elicitation-method-monoculture</t>
  </si>
  <si>
    <t>tc-answered-q2-authority-unapproved-knowledge-reaching-machines</t>
  </si>
  <si>
    <t>tc-answered-q2-authority-review-date-is-inferred-not-recorded</t>
  </si>
  <si>
    <t>tc-answered-q2-hr-my-backlog-is-someone-elses-block</t>
  </si>
  <si>
    <t>tc-answered-q2-hr-ai-boundary-holds-only-where-tested</t>
  </si>
  <si>
    <t>tc-answered-q2-hr-my-unapproved-claim-is-load-bearing</t>
  </si>
  <si>
    <t>tc-answered-q2-hr-my-approvals-never-read-as-done</t>
  </si>
  <si>
    <t>tc-answered-q2-hr-departed-holder-left-claims-behind</t>
  </si>
  <si>
    <t>tc-answered-q2-steward-recovery-path-is-load-bearing</t>
  </si>
  <si>
    <t>tc-answered-q2-steward-cadence-breach-is-unremediated</t>
  </si>
  <si>
    <t>tc-answered-q2-steward-unstewarded-version-still-referenced</t>
  </si>
  <si>
    <t>tc-answered-q2-steward-approved-cr-never-lands</t>
  </si>
  <si>
    <t>tc-answered-q2-steward-control-kind-instead-of-hardcoded-ids</t>
  </si>
  <si>
    <t>tc-answered-q2-fa-cleared-by-mute-control</t>
  </si>
  <si>
    <t>tc-answered-q2-fa-stale-then-vs-stale-now</t>
  </si>
  <si>
    <t>13 predicates</t>
  </si>
  <si>
    <t>tc-answered-q2-fa-witness-coverage-of-my-steps</t>
  </si>
  <si>
    <t>tc-answered-q2-fa-clean-but-uncovered</t>
  </si>
  <si>
    <t>tc-answered-q2-fa-my-own-evidence-quality</t>
  </si>
  <si>
    <t>tc-answered-q2-ctl-witness-never-fired</t>
  </si>
  <si>
    <t>tc-answered-q2-ctl-witness-scope-vs-binding</t>
  </si>
  <si>
    <t>tc-answered-q2-ctl-separation-held-or-untested</t>
  </si>
  <si>
    <t>tc-answered-q2-ctl-asserted-controls-by-who</t>
  </si>
  <si>
    <t>tc-answered-q2-ctl-divergence-that-nobody-governed</t>
  </si>
  <si>
    <t>tc-answered-q2-cfo-quality-of-a-green-attestation</t>
  </si>
  <si>
    <t>tc-answered-q2-cfo-would-it-survive-restatement</t>
  </si>
  <si>
    <t>tc-answered-q2-cfo-who-witnessed-the-witnesses</t>
  </si>
  <si>
    <t>tc-answered-q2-cfo-controls-nobody-is-watching</t>
  </si>
  <si>
    <t>tc-answered-q2-cfo-what-changed-since-i-signed</t>
  </si>
  <si>
    <t>tc-answered-q2-comms-approval-to-delivery-yield</t>
  </si>
  <si>
    <t>tc-answered-q2-comms-message-nobody-answered</t>
  </si>
  <si>
    <t>tc-answered-q2-comms-my-approval-was-consumed-correctly</t>
  </si>
  <si>
    <t>tc-answered-q2-comms-freeze-what-i-approved</t>
  </si>
  <si>
    <t>tc-answered-q2-comms-suppression-is-a-communication</t>
  </si>
  <si>
    <t>tc-answered-q2-variance-comparison-is-statistically-empty</t>
  </si>
  <si>
    <t>tc-answered-q2-variance-boundary-rests-on-expired-knowledge</t>
  </si>
  <si>
    <t>tc-answered-q2-variance-override-signal-vs-noise</t>
  </si>
  <si>
    <t>tc-answered-q2-variance-handover-was-a-decision-somebody-made</t>
  </si>
  <si>
    <t>tc-answered-q2-variance-what-would-make-me-stop</t>
  </si>
  <si>
    <t>tc-answered-q2-publisher-every-refusal-leaves-a-record</t>
  </si>
  <si>
    <t>tc-answered-q2-publisher-deferred-not-cancelled</t>
  </si>
  <si>
    <t>tc-answered-q2-publisher-my-own-authorization</t>
  </si>
  <si>
    <t>tc-answered-q2-publisher-am-i-the-only-witness</t>
  </si>
  <si>
    <t>tc-answered-q2-publisher-obligation-after-send</t>
  </si>
  <si>
    <t>tc-provenance-resolves</t>
  </si>
  <si>
    <t>provenance</t>
  </si>
  <si>
    <t>Every invented field points at a role question that exists.</t>
  </si>
  <si>
    <t>all resolve</t>
  </si>
  <si>
    <t>tc-catalog-sync</t>
  </si>
  <si>
    <t>catalog-sync</t>
  </si>
  <si>
    <t>The catalog matches the real schemas in both directions — nothing missing, nothing stale.</t>
  </si>
  <si>
    <t>1521 fields in sync</t>
  </si>
  <si>
    <t>tc-no-delimiter-collision</t>
  </si>
  <si>
    <t>invariant</t>
  </si>
  <si>
    <t>composite keys</t>
  </si>
  <si>
    <t>No identifier contains the '|' delimiter that composite join keys rely on.</t>
  </si>
  <si>
    <t>no identifier contains '|'</t>
  </si>
  <si>
    <t>tc-inv-spec-exec-separate</t>
  </si>
  <si>
    <t>Procedures vs ProcedureExecutions</t>
  </si>
  <si>
    <t>Specifications and executions remain separate tables linked by hasExecutedProcedure.</t>
  </si>
  <si>
    <t>specification and execution are separate tables</t>
  </si>
  <si>
    <t>tc-inv-blocking-unmet-visible</t>
  </si>
  <si>
    <t>A blocking requirement recorded below Satisfied is visible as a witness, not merely as text.</t>
  </si>
  <si>
    <t>computed on 8 rows</t>
  </si>
  <si>
    <t>tc-inv-sod-computable</t>
  </si>
  <si>
    <t>Segregation of duties is computed from execution data rather than asserted in prose.</t>
  </si>
  <si>
    <t>computed on 12 rows</t>
  </si>
  <si>
    <t>tc-inv-consent-computable</t>
  </si>
  <si>
    <t>A send to a non-consenting recipient is distinguishable from a correctly suppressed one.</t>
  </si>
  <si>
    <t>computed on 6 rows</t>
  </si>
  <si>
    <t>tc-inv-asof-not-wallclock</t>
  </si>
  <si>
    <t>time-dependent witnesses</t>
  </si>
  <si>
    <t>No time-dependent witness compares against NOW(); all read the modeled evaluation instant.</t>
  </si>
  <si>
    <t>all time witnesses read the modeled instant</t>
  </si>
  <si>
    <t>tc-inv-remediation-preserved</t>
  </si>
  <si>
    <t>Seeded violations were remediated in model rather than deleted — resolved gaps remain as evidence.</t>
  </si>
  <si>
    <t>7 resolved gaps retained as evidence</t>
  </si>
  <si>
    <t>pko-native-procedural-knowledge</t>
  </si>
  <si>
    <t>Initial PKO 2.0.0 aligned rulebook</t>
  </si>
  <si>
    <t>Candidate proof of canonical PKO-as-ERB architecture.</t>
  </si>
  <si>
    <t>exc-inv-close02</t>
  </si>
  <si>
    <t>Used the digitally signed 09:07 trial-balance snapshot and opened blocking incident issue-close-feed. No spreadsheet substitution.</t>
  </si>
  <si>
    <t>urn:effortless:pko-extension#ExceptionInvocation</t>
  </si>
  <si>
    <t>vo-close01</t>
  </si>
  <si>
    <t>evidence://erp/close/2026-q2/ledger-lock.json</t>
  </si>
  <si>
    <t>urn:effortless:pko-extension#VerificationOutcome</t>
  </si>
  <si>
    <t>vo-close02</t>
  </si>
  <si>
    <t>17</t>
  </si>
  <si>
    <t>evidence://erp/close/2026-q2/feed-age.json</t>
  </si>
  <si>
    <t>vo-close03</t>
  </si>
  <si>
    <t>vo-close05</t>
  </si>
  <si>
    <t>evidence://erp/close/2026-q2/controller-approval.pdf</t>
  </si>
  <si>
    <t>obs-close-01-02-q2</t>
  </si>
  <si>
    <t>urn:effortless:pko-extension#ObservedTransition</t>
  </si>
  <si>
    <t>obs-close-02-03-q2</t>
  </si>
  <si>
    <t>obs-close-03-04-q2</t>
  </si>
  <si>
    <t>obs-close-04-05-q2</t>
  </si>
  <si>
    <t>obs-close-05-06-q2</t>
  </si>
  <si>
    <t>obs-close-06-07-q2</t>
  </si>
  <si>
    <t>obs-close-07-08-q2</t>
  </si>
  <si>
    <t>obs-policy-01-02-hr4821</t>
  </si>
  <si>
    <t>obs-policy-02-03-hr4821</t>
  </si>
  <si>
    <t>obs-policy-03-04-hr4821</t>
  </si>
  <si>
    <t>rec-001</t>
  </si>
  <si>
    <t>Jordan Ellis</t>
  </si>
  <si>
    <t>jordan.ellis@example.com</t>
  </si>
  <si>
    <t>+15551000001</t>
  </si>
  <si>
    <t>Granted</t>
  </si>
  <si>
    <t>urn:effortless:pko-extension#Recipient</t>
  </si>
  <si>
    <t>rec-002</t>
  </si>
  <si>
    <t>Sam Rivera</t>
  </si>
  <si>
    <t>sam.rivera@example.com</t>
  </si>
  <si>
    <t>+15551000002</t>
  </si>
  <si>
    <t>rec-003</t>
  </si>
  <si>
    <t>Alex Kim</t>
  </si>
  <si>
    <t>alex.kim@example.com</t>
  </si>
  <si>
    <t>+15551000003</t>
  </si>
  <si>
    <t>rec-004</t>
  </si>
  <si>
    <t>Riley Chen</t>
  </si>
  <si>
    <t>riley.chen@example.com</t>
  </si>
  <si>
    <t>+15551000004</t>
  </si>
  <si>
    <t>Revoked</t>
  </si>
  <si>
    <t>rec-005</t>
  </si>
  <si>
    <t>Morgan Diaz</t>
  </si>
  <si>
    <t>morgan.diaz@example.com</t>
  </si>
  <si>
    <t>NeverGranted</t>
  </si>
  <si>
    <t>md-001</t>
  </si>
  <si>
    <t>Policy HR-4821 update. Review the notice and acknowledge: https://example.com/hr4821 Reply STOP to opt out.</t>
  </si>
  <si>
    <t>Delivered</t>
  </si>
  <si>
    <t>urn:effortless:pko-extension#MessageDelivery</t>
  </si>
  <si>
    <t>md-002</t>
  </si>
  <si>
    <t>md-003</t>
  </si>
  <si>
    <t>RETROACTIVE FINDING: transmitted to a recipient with no SMS consent. Should have been suppressed under exc-no-sms-consent and sent by approved email only. Retained as evidence; recipient re-consented on 2026-07-19 and a corrected email was sent.</t>
  </si>
  <si>
    <t>md-004</t>
  </si>
  <si>
    <t>Suppressed</t>
  </si>
  <si>
    <t>Recipient consent revoked; suppressed per exc-no-sms-consent and sent approved email only.</t>
  </si>
  <si>
    <t>md-005</t>
  </si>
  <si>
    <t>Policy HR-4821 update. Review the notice and acknowledge: https://example.com/hr4821</t>
  </si>
  <si>
    <t>RETROACTIVE FINDING: transmitted at 21:00, inside the 20:00-08:00 quiet window defined by comm-sms-policy. Retained as evidence; the send window is now gated on CommunicationPolicies.QuietHoursStartHour before transmission.</t>
  </si>
  <si>
    <t>md-006</t>
  </si>
  <si>
    <t>Failed</t>
  </si>
  <si>
    <t>No mobile number on file; HR case opened and routed to the manager per exc-unreachable. Acknowledgement deliberately not marked complete.</t>
  </si>
  <si>
    <t>Reviewed against comm-email-policy required content and retention.</t>
  </si>
  <si>
    <t>urn:effortless:pko-extension#TemplateApproval</t>
  </si>
  <si>
    <t>Approved against comm-sms-policy: 160-char limit, 3-segment cap, required STOP opt-out, 20:00-08:00 quiet window.</t>
  </si>
  <si>
    <t>si-001</t>
  </si>
  <si>
    <t>Policy HR-4821 update. Review and acknowledge: https://example.com/hr4821 Reply STOP to opt out</t>
  </si>
  <si>
    <t>urn:effortless:pko-extension#SendIntent</t>
  </si>
  <si>
    <t>si-002</t>
  </si>
  <si>
    <t>si-003</t>
  </si>
  <si>
    <t>si-004</t>
  </si>
  <si>
    <t>Policy HR-4821 update. This notice explains the revised remote-work expectations, the effective date, the acknowledgement deadline, and who to contact with questions about how the change affects your specific arrangement. Reply STOP to opt out</t>
  </si>
  <si>
    <t>si-005</t>
  </si>
  <si>
    <t>Policy HR-4821 update. Review and acknowledge: https://example.com/hr4821</t>
  </si>
  <si>
    <t>si-006</t>
  </si>
  <si>
    <t>si-007</t>
  </si>
  <si>
    <t>adr-close-post-q2</t>
  </si>
  <si>
    <t>Posting</t>
  </si>
  <si>
    <t>Posted approved close entries and published the package.</t>
  </si>
  <si>
    <t>Material</t>
  </si>
  <si>
    <t>urn:effortless:pko-extension#AgentDecisionRecord</t>
  </si>
  <si>
    <t>adr-close-extract-q2</t>
  </si>
  <si>
    <t>Accepted a trial-balance extract in which one feed was 17 minutes old.</t>
  </si>
  <si>
    <t>Corrected</t>
  </si>
  <si>
    <t>adr-close-freeze-q2</t>
  </si>
  <si>
    <t>Locked subledgers at cutoff.</t>
  </si>
  <si>
    <t>dc-hr4821-email-001</t>
  </si>
  <si>
    <t>emp-anon-0001</t>
  </si>
  <si>
    <t>NotYetSent</t>
  </si>
  <si>
    <t>urn:effortless:pko-extension#DeliveredCommunication</t>
  </si>
  <si>
    <t>bnd-close-04-no-ai-escalation-waiver</t>
  </si>
  <si>
    <t>Suppression</t>
  </si>
  <si>
    <t>urn:effortless:pko-extension#AuthorityBoundary</t>
  </si>
  <si>
    <t>bnd-close-06-no-nonhuman-approval</t>
  </si>
  <si>
    <t>bnd-policy-03-no-ai-commitment</t>
  </si>
  <si>
    <t>Commitment</t>
  </si>
  <si>
    <t>profile-cfo</t>
  </si>
  <si>
    <t>human</t>
  </si>
  <si>
    <t>#1d4ed8</t>
  </si>
  <si>
    <t>crown</t>
  </si>
  <si>
    <t>iVBORw0KGgoAAAANSUhEUgAAAIAAAACACAYAAADDPmHLAAASmElEQVR42u1de4ycV3X/nXO/bx77fs6u7bWd0AQTr0lqhXhJAK2TNInyIKiEsaooSeNHEggkQYWAArV3t9AWEEW0qFQhVkhICXStClWqWgItiUuTOJRSQRNDwAk4chN7195dz+zO7Mzce07/+Hbt9XvXnn157pFWluXxft/c87u/87vnnHsv4M2bN2/eKtRo/p6rfvRPHBY9HwFAQA+hGwwA2AkB+sQ7+2TWw0h3EgZaCalBxY60zDYoaFa/TDcYO/vsCf+U7jcr3qqqO2wGFS5PFe1zk9R6FyOx4fi+XRvyJxsrAMCODYJZoM3yD3663xyD3O5ng3a37+0qtA7AZYLSpRC3BErtCjePUWihmAJgEDQLE+4h0F4Q/5zYvcj1TS+/9c+35o4d2/ICgco649Grk45PvfeJSyHmTtXSzRB5Ozhmjn5hgJk9409VRCJQnXQJAVoEQG+QCf8d0O8MLE38CDs2uClAcAsHAFNeKPWeb12nqg9D7DWgmAEcjDEI47UuTNRqGKshY0IysSRNfGPvfyI4W1Rni2pLOS0VsijmDxtrSwQwAAGIf8Gqf33g8Ot/j919RfQoow96rhqByjXr267cvkYRfkmJblRxMExI1LTaqrp2DuM1xCYkIoaqAlCoeh14rCMIIIr+BCBiYYt5yY8ekFxmv7G2RMwxKNzLSvqpg8/f/a/lYAMqx6xvvfKbvQA9ooqYYUh1fYdWNy7lIEySqkJFIhTr1CeS9/oJWmBKdCcCEYPYQFwJucx+GR3aqyVbMMwxAPLdfCnzsex/PXDoXEBA5+L8lssfXcLx+DdB4Q3q8qhpXOFqGpebIExCxUaOJ+/scwKFRmBgE0CcRS6zXzIHX4PAMEF/o1LYOLjrnufR/WyAnVfb2QfAxIOa3/XoFSaW/CdVXWKYbOOSTpOobqajjvdOLy8WdAIIIWwph6G3XrGF3OGATcyKK95/8KUtj50NCMyMZ/6/3OIi5yeeEXGtyeoG29KxNgjj1aSudIS+vJVdKUY4EAc2AarrlzFU3HjuoOEgeWty6U1v5p6/7adI9xvs3qHlB0CPMr6+Rpou/7t1QTz5jLhiY3Vdu2tadmlAEy/mHT9XQFBABcm6NjYmQC7zlpiw6gPJpTe9mfvBnTMCAU1f7fdpquuxlJrwFyqSqq5NucYlnUbF4jh1520OwwIHMYwO79Xh/a8Kh9XG2sz1Qy995IfTFYbTy8akOwkAlIOnVCmVrG60TUvXTDjfi7z5ZAOxRdQ0XUD1qYvIlXJqTPKpVNdjbZHze/jcQ8AEklLv3t5DJrmZSW1Lx9rg6JrFO3++QaBiEa9qJlvISqlUqAX0stzmtd9GqpPOFArMdOJ+81XbVxEF31EpUkvHpRzGqgnq8/gLq6qvSFQ3c/7wmxYcu7jqN8nf5n5w1/+cSQ+cgSJ6I5QI/Y0KwtrG5ZqoaiF11jt/wekBAQcxNLStYrF5ITJfqL32yeaoMKc0cwCk+w36+qT5qu1Xg8PrmeFqGpcbkZJX+wuUBdSVkKhp4XhVnSjF2xOjxQcAUqR38MwBsPoVBQAW2ioiqKlfhiBMAuJz+AvdaptWGnV5BfPHarofbYlKyCdngVMAQBl9fdL4nic6AXofM7S6scOIWD/7FzoLiEWiuoXiyQYBxZurSrE/BKDofs5MHwDdzzEABE42gsMgWdPi/OxfPOUDIkJ1/RKoWFXntgA9jPXPyfQBsPNqh9U9McDdAnWoqlvCquJ132LJDYhFoqbZmMBAiX6/5b3LLkJfn6DnxLzAiQCIPqQtTW+7QMEXGmM0jNew+mXf4soQmjhi8VohjsWMhFcBAJ5bPw0ATHzIiFxFHIuF8VphE4Pv3llsYQCIJxsVqlCV9QCA1KCeGQCp9RotK+UKQBFL1CqRb+NfdD2Gqgjj1Rx1X+FSXP5oiP60nBkAq3t1AkSroEAQqyEf/xfhakAFJkwSE0FVLmgy40kQ6fHLweA47iD0QjueqUsWoEsABZvQT/9FGgfYGBCzQk0CUrUMQAY9vRQ1k56KAYg0g7qkqixnZkz29XkKWIxCMEYmTCjBJIPAdAAAdnfSGZeBFJQU4NKxXYreFjMbEKg0w2KQ+il/XmGA6OwbQrydt+YB4AHgzQPAmweANw8Abx4A3jwAUFmbbCq9wYkr2fnWKUpWKzrJXZEAMAYYyTpcv64WH/+jFgxlHYypTBgElTjzS1bRXG/wJ7c3Y1lriGd2jeIXe/KoSTKceAY4v2c/A9kxwafuaMWy1hCqwOfvSyEMqOKcX3EAMAxkxgRda6pw29X1cAKIAqtWxnHHjQ0YGXUIjAfAeUv9ToBYjNC7JQVjog4Hpqjb/cF0M1ZfGMfYuKKSTrDjypn9hJFRhwfSzXjHyjicixw9uQysSjB6N7dBRCuqBYIrh/odujqrsPn9jXACMB9V/cyAc8C6ziQ23tKI4WzlhAKuJOrvuyeFwEQn8R2fAGKeCAUbmnHJhXGM5SsjFHAlUP/hsROp/xRnMB0JBfNwcrsHQNm/HAOjeYd3/l4Cm9/fCDmO+k/2eesU6zqTSF9bj6GMQ3CeJ4h4vs7EnJM8vEYbmj57d+qII8/0TMMEUeChDS1Y0R4iX5RZf0/m+dOdPF+ibLwQ5eFnK84GBhjOOmy8pRFdnUk4h2k9iygCTXO9wdaNKYwXBDxLAJgE1lheMF9Ew/ORhm2qM9i6qRVVCUZ+XMqeh2cGxsYVl1wYx4Mbmieof2YAdU5x3boafOia+olVQfnf0Qkwmhc8kG7Guy5JYiwvcy48eT5U+XhBcfsNDXhyWwdaGgJkxxyMKS/1iyh6N7ehKsFndXgpT4SCT9/Zio62EONlDAWGCYWiwjnFF+5vw8fSzZUVAoiB4YzDJRfE8b0vrURXZxWGM1FFjspI/etmQP2nCgVNdVEoyJcpFASGMJp3aGkwePrPluND19RDpMI0wORAiAIt9QZPbOvAXTc1YnDYghhnPdDMQG5c8Y4Lzo76TxcKPnj1uYeCICAMjlisXZXEP/7lSlx2ceKIDqJKXAbyRJKGCejdksKff7gN2ZygZPWsdAEBKJQEn7i9BVUJPrLaODe2ii42+fiGZjTVGxTtzEMBUwTEgSGLO29swOOfXYaWBgMnUTio6DzA5PcXAe68sQF/+8mlqEoyMmMOQUAzYpThrMOHrqnHH1xRA+cUhsvzfqLAslSIT93RiuyYzOj3GgaKVjGWFzzyx634/H2RLhFFWd7vvEgEER1NwlzfVYNvbevAmrclcOiwnRblEgHjRUFHW4hP39kK0dMnfM4uFAAbrq3HdV01GBmVaYnWwBCyOUFNkvG1TyzFRz7YFMV7BZh8JvCkA2adYtXKOL7V04HrrqjBcNYeU7U71SzNFwRbN6bQVGcm71You3BVBbZtSqGhlqNeQjr9dzk86vC2ZTE8/qcduL6rBva4CqQHwKnEoQC1VYxvPLIMd9/ciJGsi2YNn/zzQxPUf9268lH/SUOBAB1TQsGpagrMwFDGomtNEv1/vgKrL4zDOl2QaWVeqDl81Uggbt2Uwhc/2o6SUxRLx4rDSepf0T471H+yZtLJUHD9u2uQGT1WD0w+eiTrcPfNjXhy23LUVTNEsGBrCryQy7hmIluWvrYeT/ctR201IztFHBomjOYFn7y9NaL+ObiqaPL3f+auFJKJo32ExgAlF4m9L360Hds2p8ATuYSFXFbmxdDM4ZzisosT6P/8CqxdlcTAkEUiFnX43NBVg5uvqo2WVGZu2Mk5xcolIT56WzNGsg6JOCMzGom9J7d1IH1tlNzBIth4woujjz+aacvbQmz/zDKkr63DvkGLxhqDrZtScy6smCOdsvnWRlx1aRVe31fEZRcn8MTWDlz5zqqj7Wbw+wLKygST4vCvHlyC9qYQK9pDdKTCiYTK3IYn1SiuP3JXK9qbQ3zu3hSqkwznsKg2mQSLrcFj8sDSh+9oARD9fT4SKpNx/Z0XJfCVh9qPJLOM8TuD5kSETd5NOd8xVvXInY6LsocwWMztXn6Hse8J9OYB4M0DwJsHgDcPAG8eAN48ALwtjjyAKI50x1AFn9I03zfxBfN11XF1givqIIYzJbTmayyCuU6bGiaMjSvu/cL/Lbq8+extlARe3VtAIk5zfjlbMC/n81nFj38+5i8jmWKJOCPgCgDAJAhqqzz/n6yoVDki0N9Ed0IkqKxVgL+H+oS2c6qkVUAyQZ4BpljR6rxMimCuHe8kcv6WW5uOdNVShcf+WEh4+pkR7NlXRCI2t0JwXhmgygPgCAAMV6AGcBM/lQ4AJxUoAieZYPKnwi/7hi8GefMA8OYB4M0DwFtFiMDJ3Pd85L99DWABACAWEuIhwfplIOIxmremmNMAoPzHZU+e2lW0iqefGYFhXxHGxKEW+w9ahMEsZgHJ6LQBoDYkkARndcTmNErBIsBr+4re+VMsDGgWDo46mmnRSX9OAwAU8lAJrmlEVeqcLaoJYqRlhmY85ktBU90kWv6mC5ESxBUIkJITHgEArE7raVYBpOjpoUMvfDpLoN+qEsQWNXpFnTURWOk/orMDK3VWxVlSsTkbDu0BAPRBT78M3N1JEYDoDQCwpZwSkQ/Wi0xYEBGcLaiIgogO1BakgJPcknsiAAZaJwCAn4IIxULGj+ciFJZEjFJhVAECEb28b9cn8tjQz8eL+xMBsH69AIAlfQFScsV8xoizC+doS2/TtsL4SHSapfKPp07u0wNgIkYE1cO/hMp+sSWyxZz6pOHiOkZFnEUxnzEQK47df06d3GdIBZMi3W8O/PDhMSL6kYKRHx1wzMan7RZL/GeDQm5EXKlIqu71Q3Vj/wuA0Ecyo1qAI3oCEM1lDrC4UmXv4Vpk8T+XfUvAAYjp2/j+QwV095jpF4N2bHBQpUOxvf8Btb+ypSLlMvuFTeBZYKGzvzEojh/WfHbQQG0BZJ8CAOyEzKwauGEHY2efBfiLbGKUHdqr4qxngQVeWCAyyB56Q0Ahkbh/GHzhvteQ7jdA3wwBsCMt6OnhwYbsd1UKr9pSkSMWCD0LLNTYPzn7RwcAuKIz+AsAdHz2b5oagBS7Ownff6gA1gfZhHT44GtqS3n4bb0LN6k8MvBrB04YiP3yoRe2vIp0P59M/E2/HzHdb7Bjg2vt2t4Pk0jH4nHbuvzyQMX6ds4FM/kFHMRxeOA3khl6g4n5deeCtUM37hlFX6+errJ75g3au/uBHnDwWt2/BaC0LeaboKLJujZSrwkWjPPzowM6vP9V4SBU53K3DP1ky2tY/xxh5+nL+tO5TFWBXmR23TPkpHA7mxCZod9hdOh3ykHM64F5d34Mhfwwht582XK8LhBb+OTQT+7fhe6e4HTUP7OewD4SpPvN0Ev3vSSucB8HSR7a/ysZHd6rHMbhK0Xzo/g5iKOQH8HgGz+z4GSopdHHDv7k3q+iuyeIVnDl3pPQ/WyAnVfblq7t93CQ+IaUcq4+dRHVNl3IUAcV8SFhjo4UYRMiPzqgh9582RInQpXxxwZf3HQvepSjdP70OrpmdkjL3icF3c8Guedv+2ly6U1vclj1gfHRASoVsi5R3cwmiEHVLYD9Luep4zVK9BAxMoN7ZHj/L4nDOqOSj5yf7jf4eqfOpJ3v7Lw0QTGtV37jBkLsmwJaEjDbhra3m0RNVHFSsSjL1Z3e8ZHj2YCYURzP6MjAr10hlwmYAwuVhwd2bfzqTGf+uW9Lm1geNq/92lKTrH0cFN4gLo94st7WNq00ieoWIiKIcwDkyGFInhmm5/DJqh5xNOOL44c1O/SG5LMHDDgJgvu1SmHT4K57no+cT3o2YuzcvDEBAgBoufLxTQz+nFK4VF0e8WSDq65vp0RNCxkTJxCgqoDKxMLBHxFygiuIQGAQEUCAOItCbkRymbc0PzpoQCEAVwQFX7KF3JeH//u+wzMRfLO0MVVpcrnYduXXU4Lq+0H6YcC0qVgEJkCYqHXxqgYNY7UUxBJMbMDGd4VOPSZOxUKcVWcLWiqMaWF8WEv5jLG2SJFUcwUifpq09JUDL255eeI/M0CyMHYmT2GDVNdjbQiTt0Lc3eJK64hjE93HAmYCkUEQJsQvHqecnOKKJM6S6GQIIEAtwLwbZHaI2O8eenHjr46OdVrKsXejzLNQCekdPAkEAGh/71OrFdqlou9T0TWq9iKo1JGJz81Nj4uEAlQtSGkYTPsJ/Esw/ZgNP7+/Lf6zI+OZ7jfY8YqeqrK3gM4mOAIEOV6YrOz+XkNh/OASjde2w45iEV9bVCazABIguGw8XLFnb2owO3UCzZbj5/Bwih5GNxipTj0ZILydIpwOvEJzMWbzwL9KQC8h3elFIE7SgxG5xE8Sb968efM22/b/ZwK0wBwFVp8AAAAASUVORK5CYII=</t>
  </si>
  <si>
    <t>Decide whether the attestation can be signed, and what the green actually rests on.</t>
  </si>
  <si>
    <t>profile-controller</t>
  </si>
  <si>
    <t>#0f766e</t>
  </si>
  <si>
    <t>shield</t>
  </si>
  <si>
    <t>iVBORw0KGgoAAAANSUhEUgAAAIAAAACACAYAAADDPmHLAAAX6klEQVR42u1de3RV5ZX/7e875577DoQkCj4KVRTxjYptLQ1aK2MVlNqLKFpArQXbsZ1q62o7nci4prWO4xrtWogC4ltIVBCq9VFbUqUyiqiAUasCIi9BSW7u+57zfXv+uA8TwiMJCcm9nL0Wi5XF4d6ss3/7+dv7+wBXXHHFFVcOUaFD7Hv7u/DB/kJ5UJRdVycASAwdKjBtGtDYyK6u9yB1dQI1NQLV1RKjRxOamkrYEuvqBJYvF2hsdDr8WyQiK0wzDDPBsJ1D2xuYBsMOUNS202hoSO3pXQEAGhp0b3iInn/5kYhs98vW1hrBI2uOI8ZoZn2qVuoUaD0YRIeDXUeQ0wKBgBgJ+ggkPmHCOxL6tdaQsw73/ym513fbrwBQVydw660MIgaAwOTLTiHw1VrzRcTqOJaGBBjg3JcKIVzFtw3+zNCcfzkgkFYAaBMZ8mXW4omEwl/R0KDaAEH1HwC0+YUCkyd+h4h+wUqdx0JKYoaQEqbPp0yfj02fl0hIMiwPufb/pRKU7bB2HHYyGXZSKWRTKalsm5gAyuFiDZG4O6bEo2hoyKKuTmDWLD5Qb3CgABD5X4ADkyaeBIE7ALqQtYYUAlY47PgGDhCGz0fCMIgAcN4LsOv+d4sC1O5vrRRUJqNT0ahON7dIx7aJDAlirNOsf5lctOTPPeENqEes/vJLbgWJX7FmjyDS/qoq9g+qFIbHQ8wM1hrt4j25VeBe4kD7vEAQiAS0Ukg1N+vEzs/ZyWYlSQkCFlI6+pPYkpe/OBAQ0IEo3z9x3GBh+RewkONg2whUVyt/1SBpeDzQWgNau8ruCVAQQUhZBEJs23YwkQDoQ9LZ6fH6ZStQW2vsseLqcQDkv8g38eKzpGU9o1kPllI6A446SlrhEGmlXMX3MhCcbBbRTZ86mXjcEKbhwHFuiDcsndsdEMguW/5zzynfxIvPEpbnBVaq2hsMOpXDhhqG10vsOK6L78VSEQBYawgp4ausFACrTGtMwmNOsEYM35p97sVViEQkmpq45wFQVycwe7b2RS4aLUzrBe04AwOVA9XAoUMNELlWf5CBAGZ4KyqEkALp5hZNHs8lnhHDt2YbFncJBNSVbD8weXwNsVyjNdf4Bw5QFUcfJVlpVyl9GBaEaSKxYydHN2/WwrIk25kLEg3LXupsYig66fpz7QktH9GgGm8o5Aw4+mhX+f3AG2jbRqCmmsJDBpPKZJiE8Uhg8vjD8soXBx4C8kgKTppQx4Z5rSRyKr86LOf284mJK30LAlYKnlCInHRa21k7JBinZr8/+THU1ND+QoHsTNwPRSYcz0I+wUpR5dChwvB6yY35/S8vsEIhkWlucbSQw72fbd6QbVj81v7yAdFJkvoeZjaD1dVshYLESrnK72+iNYRpIjxkiOBsVrOQt4euvnQQ6uv1vnI9sU/XP2uWDkyacC5L4wIhSAWqBkntWn6/DgVWRVhYwaBmIQ/Xaf5XEDEiEdF1AIwcyQBATL9lreEfVAXp8eTKPVf6dSs5UF0t2bYZhJ8Er7i4Kk8hU1cAIDBrlg5MHn8iE42RJNg/qNK1/lLwAlrDCofICgY1hBwEx5gIgFFbKzsPgNpaAQCs5HQWwrAqwspwrb+kWsa+yoFgrZlJX4c6CIwdqzsPgMZGhUjEA/DFxBq+gQOES9+WmBcIhaSUEgw6LfT+pcdi1iydn83cDwByD3FI2ENBGCaFwYbPlwOA6/5Lp0NoGDD9Pg0hPdD8DQDA8uWdAED+IaXFNyCkx/D7tJAS5Ta/J4WAIAIRQZbbeBoziAieQIABhiaMBQDU1PD+AZB/iOCcBQCmz8tU6PqVkeKjqRTimQwyto1diQQYgCFEcSKnHGYMTa9XEDPAOAXXX2/mewLtxNhb+cfA8QSG4fNRqcd/IoIkgq01mpMJmNLAeccdjylnno2BvgDq31qFZ5vWYmcijpDlhdcwoAtDmqWaBzBDWBYJElDsDK1MbPLtImrNl4O8NwAQbr2Vj2xq8u2i7GAwIIQsWZMQRBBESDsOWjIZDPT7MeWMs/G900bhW8cMLz53zlePwQ1jxqL+rVV4Zs3b2LDrC3hNAwGPBTCguDSrHyEESAiGIG/W8R4BoBV1dZQfJt2LByDi1sgFPmjrKGEakFZurq+UEkApBJgZSTuLjO3g6IGV+Gntebjk5NNwTFV1uzFsylvL8TWH4bfjLsLMc2rx4vtNWPD6P/DOlk8hSCDg8UAKAa01SsYn5BJBkqapHaV8rHEkgPfQ1ET7DgEAyDQZNtml5uYFEZTWiKZSkELg5MFHYOror+OCE0aiKhBELrnVxWdlAdRE0MxgZlQFg7jyzNGInH4G/vbhB3j49dewYsPHaE0mEbQsmFJ+OcNfSr0BIfeoT2MfDBCVmptPZDMIWV58+7gRmPHNWpwz7FhIQe0Uv7eMXxAVY6dmhiklLhgxEheMGIn3PtuG+StX4Ll312JnPAbLMOH3eEoLCMzUNQD0dzdPAiAgmc0iZWfxlcpBmDzqLEwb/XWccPjg4nNK65y1d7LUKySMDEDn/+8Jhw3GnZd8Hzed+x0sXP0Gnln7Dpq2b4UkgaBlgfKepxTFKMUyjpnRmklBacZJg4dg/Emn4gdnfQ1VwWAxvnPeqrtb41P+uwAUw8PgcAX+bez5+PGYc7FkzVt4/M3XsWrTJ0g7NsJeH0whoPLPugDo9TJuBC47dRTGn3gKPIbRIb5TD4eZtuHBIyUmnX4mJp1+Jl75+EM89fbqki0jjXIo47rq5g8UiG3Dw5hjhmPMMcMxs0TLSKPUyzghxEFv5e4pPJRqGWmURRnXx16qlMtIo1zKuP4ChFIrI/scACnb7tEyrr8krPstI7dthRQCfo/n0AQAAdBgDK+u6ZUyrj8c+tCZMvLdbVv71AsYfWUljlIIe31Yct1MVPj8vVrG9bfw0LaMvHzB/Wj8+EOEvd4+aSYZfXkgnpHn5pXW7SwGZXwKSCE8OErBkBIew+jTxpHo61MROa94OoTGzQpgJ/T9UTnuUV2HuLgA6I7XKuVpIRcAB+6+2zatXAAcIlKw+G3RFky8+06s+XQTpBBwlAK7ADg0AMDMuOGRBVjy+ms477//C4+89iqM/Mh8qYYEFwCdEEcpGELgjuf/hCVvrER1dQ3Sto1r5t+HWxqeyJFS+TrfBUCZidIahpRYtXEDblu6GOFgCFnbhiklgl4v7nj2GYy763as3fxpsYvpAqCMDnAWRGhJJjFt3r2wlZOjqvMhQTOjZsBAvPzmG3h2zVsgotwBmS4Aysf6iQg3Pv4Q3t3yKYJeX7vM35ASO1qjmHjOt3DLhROgmSGldAFQNnFfSsx/ZTkeeaURlaEwHKXaLV2kMhkMq6rGnKnXluzerAuAPR63k4v7TVu34Jb6xxEKBDrW/MzIKoUHrp2BmlC4SFu7ACiDuM8A4pk0pj9wH6KpFIz8FE9b198Sj+GXF16MscefACd/PL7rAcok7kshMOuZp/H6hx+gwu9vZ/1SCESTSZx34sm4bWIk93wJE1miHK9d6W4pVij5lr69Gv/7wnMYGK6A3SbuExFsx0GFz4f5068vMnrkAqB/dOqKwyTdaMrovOVv/HwnfvTQPHhMs8NnCCLE0yncM2UqhlZV5+J+ic8wlAUAnHwClshkcN38Oah/Y2Vx6qgrcd9RCtcuuB87Wlvh9XjatXcNKdHc2oofnz8OU752TknHfZTDbuCXylcwhMT6nTswff4c/H3dWvz53XU4+6vH4iuDqnKDmftRVMH13/7cUvx13RoMqhjQzvVLIRBPpXD28OPwh8gVJR/3y8oDGELi5ffexZjf/yde/fCfqK6qxmfRFlx1/2wks9niLN7+lL/8g/fwH4ufxIBQuEPczz0jMHfaD3PbPiUe90seAIVWbCKTwey/vYQL77odLckEKvx+pLMZDAgE8Or7Tbhp0aP75O0LJM7n8Rimz58DQ4gOB2FIIdAaj+N/Jl+Nk488qmxcf0kDoDBvv2rjevx43hwELC88hlFs3dpKYVBFBea89ALuXf4XGFLuMR/Q+ed/vvBRbNy5Az7LatfLN6TErlgrrh5Tixljv11kBeGOhKHPdwc1M7513Aj8fMJEtCQSHeK8ozUqQiHcvPAxvLFhPQwp23kCJ+/65yz/Cx55de+t3qHVNbhr8lU5YqgMp5ZFqd97f+ekKTh35IloScRzwxltMnvKAyUy+27sjMUg8j9rrWEIgVUbN+CmhY8hHAh2CBPMDEdrLLh2BqqCoWK4cAHQj2bsC8ndA9Ovx+EVA5DOZtspSWsNv2Vh864vcMV9f8xt53JuQzeZzWDa/DlwtCpuI7d1/dF4DLdNjORavUqV7c6C6C+zdt09Bk0zY2hVNR770U+QzV9bR7uxehWBAF5euwb/vrgBUkhIIfCLhifw7uY9U7y74jGMH3UWfvnd8cUqodfGzHAI7wUQEQIe64BAUBjMHHv8CbhnylS0xGMdOHlHKQwIhXDHs8/gmbfexOLVqzD7pecxMBhsH/eJkM5mcXjFANx95Q96+Hr1PVcgpjgEN4M4vz69Mx7DU++shsjv13e7FyAlHK0w89zzcfU3a7ErGoVpGB1KR6/HwoyH5+OGRx5AwOfv8J1EhKxt476p12FYVXWnmkjd7VwaQmDt1i1YvXkTApbVZ0OlfeoBTCHws6fr8fiq1yGFgDqAEzQk5cLBPVdOxVnHDkdLvGNSaBoG4pkM4plMB4rXlBLNrVH8bNx3MeG0Ub0W9wvKX/3pJlzx0DzsSiZg7JaDHBIAKJRVQcvCjU8vxG/+tKRY3nXnZRSSwgF+Px68dgaqQiFkbLtdUsjMkPkjZdp+R4HiHT38eNRd8r0iJdxbyl+0ehUumTcbsUwaPtPTpyPloq/pWwCo9Acw+9Xl+PWyxZD5cNCdl1LIB0YOOQL3T/shUtnMnomfNp9doHhDXi8WXPMjBC1vr1C8dr6JtGj1Ktz41EKYQsAjJXQfHyAl+gOHr7RGTTCMe1c04lfLFhePdO8OCApdvwmnjcIt353QIRTsaXc/kcngj1dNx8ghR/QKxau0hiklFq1+Azc+tRBByyp6O7cP0IbVqwmGcN8//o6blzyJRL6m75YnkBKO1vjdZZdjwqgzsSsW2yMITCnRHIth6je/hSlf+0aPx/3CgIoUAvNXrsDPnq5H0LIOOOkt20aQozWqgyE8sHIFJj84F63pdLdeFgG5gxiYseDaGTjxiCORSKfbgUAKgVg6jROPPAp3Tb6qx+N+8Rg7Ivx62WL8fHF98VjZ/rRGJvrjOHZNKITXNn6MKQ/PK4Kgq5u4hRddGQjgoetmgsFIZTIwDQOmNGArBUHAQ9fNxEB/oEfjvm5j+b9ethj3rmjE4eGKDvmHC4B9JExVgSBWblyPKQ/PQyydLpaJXU0KldY4Y+gwLJp5Iwb4A/iipRlfxKJIZTO4b+p1OGPosB6N+wWrl0LgV3nl1wTD/XaLuN9OBNlKYVAgiP/7ZAMue2AO7r7scpxw2OAuu+rCCZ2Xnn4mRh09FIvfWoVEJoNxJ52CM74yrGipPan81nQatyx9Gg1vr0J1MARHK7gjYd0EwUB/AGu2bsZl8+9D/fQf4qTBRxTr6a5wBkprHD2oCj89/186KKynlT/l4Xl45eOPcFg43Om5RDcE7CMnqPD50ZpO4fIFc7F22xYY+Xq/OzMEjlZwlILmntvkKWwFFZS/cuN6DC4B5ZcMHewoBb/Hg2g6hckL5mLN1s35/r/u8nl9hpAwpIQg0aOLJNF0qqj8QYEgsiWg/JKaB1Baw+/xIJZJ47L5c/Dk26tznqAP17EL84Hrtm3BRXP+iDc2fYJKf6DdUCncsfCeBYHXNJF1HNzQ8DiU1rh81JnFTd6DrXxDCKzdtgWTF8zFrmQCFV5fv074ymIvoNBWDQmBG59aCAC4fNSZvUbg7I/OnfzgXETTKYS93pJTfulOBecz7qBl4adPL+wROrm7dG40nYLf4+nTUHRIzgQWdgGDlrdH6OTu0rl+j6ekzwsUpb4NDPQcndwdOrfUD4s0ymElXDEX6WQG8PvxE3u00dOezl3U7xg9dz28h+nkUqJzXQD0Ap1cSnSuC4BeoJNLic51AdDDdHKp0bkuADpJJ7/32bb9gqAtozez/nHMfe2Vfk/nugDoAp28btuW3OTwHkCwO537xJuvY9AelkYPHQBQeXi8ztDJpUznovMzctxpALBtEzjfIyiDleh90cmlTud2oawxOgsAMjNemwgtzBo6a3M5nIezNzpZ5hm9UqVz92HxYKWglSIw21pQCwBg5EjeFwAYdXX0xdKlMSbawAC0crhwNm45gMBrmrCVwsz6R7Fk7dv4YMd2TFpwPz76fGeeztXldOYxa8chgJMey/kIADBrFu+7FdzURPkUYBMDcDIZ9obDZVMCFdq6AcvCzUuehM80EUunUVGidO5e3D1ICKhsljUzAfgslPRkosy0e0jvGAJ27Mg9wXIVQLCTKZTj/T+GyG0HxzMZ+EyzrCy/eD1vJsNMAIHWbW5oSGHSJJHflN8HAMaO1QCgpfoHtFJOMim1UmWRDO7e6qU2a+XlKNl4ggECCK+0M+59AiAfI8JG6j1i3q4ch5xMhkFUFnlAx6truRwvKYZWCk4yKaGU1oJfbWvc+6sCGJGI/OzRlxIg8VdNhHS0VQnhnixfSvE/G09ox7aJgPWpluxaAIRZs3TXOoFMDxIzp5ubRTmGAZTxLeWp5mbNOaN9DM8/n0Ftrex8J7ChQYGZEiN3/R1ave/YNqWaWzTlL0l0pR9bv5Swk0lOR6OSWGekoEcAAI2Numut4EmTBGY1OgLiD2QYlNi5k9n1AiVh/fGdn2uWkkjzotZFSz5GJCIBdBEADQ0adXUiFksvhHI+cLJZkWpu0cL1Av3c+lOcjraAWGcJ/DsAtHv3r7M5AKOpifD88xkmdSMZBsW2b2OVzQJuQtgvM38AaN26VUEaEqzvjDUs/QCRiNhT8leQfa/TNDUxIhFp1y/5yDrhuBO1ECc5iaTjr6wUrhfoX9YvDAOxbdt1sqVZEmO9ZWauTn1vio3Zs/nA5gHyoUAgNYOY16fjcRnbtk0Lw3BDQT9SfjrayvEdO7SQUgmoKbsee761TbvjgAZCGABaG17cJUhdKQ0D8R07kdixk4VpuiDo67hvGMgmEmj55BOHvJYBx7k5Vr9sJWprjX25/s6FgII0NjIiEZmtX/yp5/jhW8kyJ6Sbm7WQBlnhELnVQd9Zvp1I4IuP1zswDRO2PTfRsPQ3qK010NjodOZjOr9S29TEqK01sn9+cZVnxPCt8HguSTc3ayKCJxSiImXsAuGgSM7tR7l5w8ac8h01N1G/5HrU1Qk89FCnma2u7VR/8olGba2Rfe7FVdaI4VvJY12SbomSk04rKxQU0jTBBVbNBUKvlXpEhNi27Tq6eTOR15Kw1dxE/eLrEYnIfNLHvQOA3UBgnDB8pZDGt+1sNpxpbnGk6SHD5yMSIucNXI/QI0oHAJISQko4qTS3bNqkUi0tkgxDQeubEosW/wZ1daKryj+w4/AjEYmGBuWbMGGI9MkHWMpxbGdhBYJOoLpaWuEQUZ6VKiaKLhi6pHQQgYTInWecTHJi5+c61dIi2TBA4H+Ssq+J1y9bgbo6kWdxubtX7xwQCAAgNPnSa7Sm2yDFELZtWMGg8g0cQFY4TMI0iEBfbta4lcNemzmU/wMAWilk43Gdam7hdDQqWQgQOAsh7/A40TubG/4S7UrC1/MAKH4GAyAOTJxYAw9uYGAGER3GWkMaBkyfT3kCfjZ8PjI8HkFCQBiG6w7aGr3S0FqxzmbZSWc4m0hwNpmUjm0ThABpzkDQ49B8V6J+8ToAyFu+7onLtw5c2niDwOTxh5HwTGCtp7HSoyGFgdxsSu6CZyEgPR4NcDecVnlavnYcUkoRF045IQJpBQjZBOYGErQw/sTT77d51xo98PZ62goJkYgoAAEAglMiI0nz2cx6DLM+iRUfC9ZhGIZ0Q0GbPn6uemomwnYI8R6AV6Q0V7RmeXXxfUYiEiNH8oFafW8CYHcgdEBpxdSpA1Q6Opil53A4jqt8ADAMaK1iHiv4UTSZjLU1oN5S/MGTujqB2lojz0m7cb+z4fQgvbO+UAihro4K+weuoD3x1gkCxxVXXHHFFVd6QP4fEHLAgjwxL/4AAAAASUVORK5CYII=</t>
  </si>
  <si>
    <t>Prove the close controls worked — not merely that nothing failed.</t>
  </si>
  <si>
    <t>profile-finance-analyst</t>
  </si>
  <si>
    <t>#0891b2</t>
  </si>
  <si>
    <t>ledger</t>
  </si>
  <si>
    <t>iVBORw0KGgoAAAANSUhEUgAAAIAAAACACAYAAADDPmHLAAAPV0lEQVR42u1dbXBc1Xl+3vece++uZEkrY0sWhgQHbMACAiXQGTpumnZIJpOZZvpj/SMZ2gaKMR9J00nJDFC6WhgzCRNKWxLKx7RpSmipdvqvM5lMJ2ko0CQzTCcBLBuCAdvI+EuyrV1Ju/fe8779sStbYINlWyuttOed0cgeS957z/uc5/167rmAN2/evHlrU6PF+1z1q3+yK3Q5AoBQKBAAbvxdUCyKd/gprFBgjAwSNm4njIwoSiVpNiioqTcDMIrF9KR/y+cNLv5MN6YPKOIMtbXTw6oimyHUwioe/cb0yWs1bIASmgWG+V/8fN5geFhApA0g2HA83EDK1wPySRV3lTo3AOY1cG4Ro1CrmALEAFAma98EYTeUfi2kP0/j5DU8VZx6HxhKm+cVCDSvO35oSGccH3xt21UsuEkk/QJEN8AGpn6/CgLAzJ7yZ5mInPAqEeBSgGgPGfMTIvxb7b1f/RSlkju+yWb+3BIAqCPTAUB057YblfRuOPf7aqwhEbAxCDo7ne3s0iCbJbIh2SginweecLhLYpU4URdPa1KpIJksG5ckpMyACIjoFVX8XXIo+SFKxRiFAqM4pADp4gFg1q4PthauYBM+rITPqzgwMTK5lWl2dR+bTAdxEBARQVUB1fp3b7MwQAARqOEScQlcrSbVI4elevigSeOEKAgAkddA+Gb83b/60XywAZ1TrG98cHB7cYjY3KOqIQPS0b9Gs30DbKMMqQhUBJjtcIKP/adMB/R9rEDMIGZImqI6dkgm949qWqsZshYEfa52rHIXnvnW2GwGXhgAzHzglnsHwjD7fXDwOdSq6Bw433X0rzUmiiDOASInYpq3swcFEdja40Co7N0Nx8ys+huXVr+SPvngSygU7CkrrtOYOQvat3j8Lmdvvf86G3X+twquNoQ0t/5y6ug/n0GAOnfC8d7555wfAI01JULY3UPRylXkysfStDa9moPMH/M1m/bLI8WXUShYPP+8NI8BGjvf3nr/dRxFP1bnejPdubR73XrLQQBNU+/wBWAEYgaIUBnd7Sr79jKFWaK4tqX25NDTZxoOzBklfI/fJfa2e6/nMPtjSZLejvNWu9z6yy0AoIFQbwvDCFBBZuUqZmNRGzsolMl80V79O/vcv9z1MvLDBiMlnUcGKDBQVNxyT1+Y6XhFRfqyK1e5nk9sMOrc8TjlbeHZgIMQk/vf1Yndu4SirKHa1GdrTz74X3Nlgrl1Y/KDBABhmH1GQX2Z7lyau/hS875Y721R2ECSGJ0DF1DXhetIalVVEz6DW+7przu/wOceAhpICrcOFTSMbjGEtHfDoJ2doXpbXBCocwh7cuQmK5ImcZdl+0n3hd99Fn0j9aHSWTNAQbnu/AcuhTH3UVyT3Cc2GK43JLzzWwkEIuhet95Y5hRheGNwgG5CqeTqw6SzDgFDje/y96oIOtcMaNjTSz7bRysOE8BBiK6LLmat1YSIv4U7HzoPw3kBlM4cAPlhg2JRotuLn4ENPssE19G/1ojzzm/dUJAgyq3kaEWXaBCsCST5KogUwyU+cwBs3K71MK/3qwg6+tbARNGJ7p63lpwsA0DHwFqDuKYE3IUthVXYvPlDWYA/NPYXixLc8cAgiDcZIu1YPWDE1/pLgAVSRD29FK3oErXBeZG1fwRAURgyZ8AAQwwArPoVNdZGuZXOZDJ+9y8VFmBGZlU/4JyquD9rqLPkTBpBhHwhCFbiFTL20t4Nl0vY1cM++Vs6+lJ1grHtv1KXJAkZuTL+XvENQBkgOQ0DKAPQsC+6CGTWGWs0yHSwiqf/pdUhDBB0dAqsDUnNDfXQPsSnDwGNHyJNb4A1oe3oFAqC98+qvbW+zJAIQXePNsQ3vwcAGBw8yYn2pF9u/JCKXAc2CDq7tK7kWRgNB7VHor4AJKAIsp1cd5xehS1PBsjn09MDYPv2mWu8FKow2SwthHzLUF0iGLvlnWgGTGAiuGauaaMzaKMMGWa4OL0I0b4siCbq5eAJHeEHAKCEISgmJrI6jQECwDakZtO/IcKxOAGD0N8ZgZdhrqGqICKMTceYTBLkoqDJjKAgY0DMCuZMmNLaGJhAYYhQhH44AxAp/uKRLGTiQg4YNszUGaBJTmEiHK0luPHjfdhy5cfxW/052GWabCqAXUcn8cOde/HsjncRNthAmyUcsZZMGEnqXJbgLgCwAyOD9NEhAACqsYIoaXbUMg3nb7nqIjy8abAt8rNr+3O4tj+HT/X34us/exVZQwukK+TkzFrBqtRs2p+I6zv/4U2DcKpwqtAG5Jbrl6gidoIvX3YBvvmp9ThSS2CZFmJYRGcvCGlaNky48+p1xxfHUF0Vv5y/mAjWMEQVNw9+DGtXZFFzsmjVDy/Wg9CxEwx0ZnD16h5Qw/ntYjOLfl42xFWrujGdukVLfHmx9Y3t3ltcbNz7JzTb3DwAPAC8eQB48wDw5gHgzQPAmweANw8AeEFF21yrxRI92nQx++dzcbxlWhLtbbuUdhMBGJuO8cLoGKZTVz9YqUWvlkC4tj+HS3Kd0BaWui0pBnCqeGF0DAenY0SGW/akMQLgVPDi6DhWZyP0RNYzwLwsqiimU0HEXB+vtjDDhkSIRTGVOPREtmWfpOelOD1bCsmVYmmcneHLQF8Gwr/koI1LwSWVBHJDMuZUEXDrxwKZuU4PgPmrra/tz+HF0TEkTlqYCxSiwJWrunFeNqyXgeQBMC+0f0muE30dESpx2rIPkCgUATNWZUP4RlATmKA7tOgOl9ylewDMFxPo7NagtugFLhHBq12yVQC1cElAvgz05gHgzQNgmTRW1CeB7akHWEpzfa8HaPO5vtcDtPlc3+sB0N5zfa8HaPO5vi8DvXk9gC8FvR4A7TrX93qANp/rez1Am8/1vR7Am9cDtPNc3+sB/NHlvg/gzQPAm9cD+GvyegB/DoDXA/hzALwewJ8D4PUA8HoBrwfwegFfBnrzegBfCno9ALxewOsBvF7A6wG8XsDrAbx5PYDXC3g9gNcL+D6ANw8ADwDfQGnn+1/0N4e20ytj8SEv0W47ACiAgBmHp2K8fWwKogpRbbtdP5U47Do6iZB50e5/0RjAMDCZpPjByB4wEZwo2gEDCiBxAibCj945gJ3jFWStWbRQYD+Cn5t6TakocpkAz+zYi2v7c/jSZRcAwLJnAiZCaBi/PnQM9740ghWhWZh7Zta5AyAOCWbaNn3QrfVQ8PWfvYq95Wn8ycYLsaYzs6wBUElS/OdbBzD0850YrybosE0GAFG9YSGJnSsACLo/AXUeVZFul8QaBAE1Q36lAAwBxjC2/fJ1fH/7HlyxqmtZJ4ZvHZvCG0cq6LSmuc4ngjoHSWICJHEcHAUAbMzrRwCAFIUCo1gs09ahtwX4mCSJ1mU4zdE6zVzNymyIiTjBT/YcWtYMEDKjNwogaHbiS1CXqqQpwbmpNNP1JgCgCP1oBhgcoQaC9gCAq04r0cqmJylOFJYIPWGwrAEgULhmx3xVEDPSpKaiSiA6AN5TO1Xz+mQAbN9Ija35MohuSicrC9at0IbYw9s87H9mpFOTjdWk1/Doo9PI5w1K5E5TBg4JAIiR/4VzLpksG3HJ8j0ladnWm4q4XFbUVVQv1OP/Rjp9H6ARI9LMih1Q2Z+mCblqVcHs+7ZLSDotziGdLBs4JyLy4uzNfRoGIMXwsMEjd08S0U+VGNWjY46Zfed+iex8MgZx+ZikSUwQeSuNxl8FQCiSzK0TWJqBgvwzRLR6+BBLmgLsw8DSIABC9fAhUTYA07N47LEaCgUz91ZwabODKtX68T8QtzNNEqqOHxIyFvBJWkv3mckYJJWyVo+OGRJXYxc/0wjtcmazgM0lRrGYAvg22YAm33tXNU19MtjiCCBiTO4fFTWWIPLvtae27UJ+2ADFMwRAKS8oFDgJxp6jtPZ6GsdcHT8obD0LtHLsT6bKWj0yBhKJAX4IAH2w+zfHaSApRgYJjz1WA/RrZAMq792trlYF2AuJWlUoWd79ttMgMqruO/ETf/068sN8quRv7rLG/LBBabMLby8Oqw3yUZRJey+70qqk7XGK0hLZ/RwEKO99W8rvjTIzvxUbdw1WooLikAKkZ68HaISCOJatJO6tamXCVEbfEQ4iHwpayPnVI2Na2bdX2FgnUv0yHitOHGdynJMghBQYAv6xOC5J/CU2FpV9ezH53l7lIPQgWOy4by3i8gSO7Xo9pY4uC5f8ZfrEQ7/ApwsWxaJgXhRBRRLkh0361IO/pDS+jaMsT7yzSyb3v6scehAs5s5PKmUc2flaqkEUoDr1dPxE8W9RKFg8X0zn8t+YOX/gSElRKFj3yAMv26s37UMm88Xa2EEhYoQ9OZq5KF8mNt/xIDpO+0d/syPVMAwQx0/H/1DY0hjnC5r2bEuhYFEspsFtQ7dyFD3lqlVke1e67nXrjQlCSJos71dstECpBwCV0T1SGd1D1LGCUJuuOz8/bFDKy+ni/tkxwIw9/7zg0wUr/1F82V5zwy/IBn+QxnF39fDB1EQR2Y4VRIYBFSzL89UXY8ej3uFja5FOVvTYrjfc9PghQzZwkPgb8eOF+1AoMB6/U8/E+ef2dFujPMzefPf5rqP7n8DB5zSuIlrRnXYMrDVRTy8RMcS5OhgAzwxz7efqibUiY0BESCplndw/KtXxw0aDCKzyhkvSm9MnCy81aF/PZlp3bt5ogAAAgjseuJlAD6qx5yOuIurqdplV/RTleomDkIgIqgqVBjOo+DbC+w5BpLrDiUBUn7yKc4jLE1I9fECrR8aNGgtSidWYh5Pase/gqW8fmwnJi/d8q+qMhEw7txb6YhPeQZCtyqYfLoUxFkFHpwu7e9RmV5CJIq7TWUB+vDxLwJmmUOfUJTVNpyY1Lpc1mSybNIkJbEDO1WD4XzVN/iZ5ovhaIx87o4SvuQ84z2KDzlu29adZ/KGq/qk6dz2stTOxjInAzDBhJN7zJ9wgaUwuTUlV69uCCHApwGYETCVSPBd/976ds9Za5kOgMc8krIR8iWeAAADhV7dtJKLfVtFNULlCU3cJVLoRhMb3D2aZOIBwBET7QbyDQC+I4ZfS9y75v+PrmR822Lhdz3XXN/+IA1XC5hKfEqV//mgujMsDlInWoFr1jgcAm4GTpJyuWvsmBjvL2LzZncSu8+z4hTvjolBgAIyRQZ0v2lr2ls8bbNxIGBlRlEpNXbNFyMOVUBgijAz6GgAf0OGVhmdKI79JvHnz5s1bs+3/AYvqtJfmNHICAAAAAElFTkSuQmCC</t>
  </si>
  <si>
    <t>Check my own steps before somebody else does.</t>
  </si>
  <si>
    <t>profile-hr-policy-owner</t>
  </si>
  <si>
    <t>#7c3aed</t>
  </si>
  <si>
    <t>seal</t>
  </si>
  <si>
    <t>iVBORw0KGgoAAAANSUhEUgAAAIAAAACACAYAAADDPmHLAAAcL0lEQVR42u19e3RdV3nn79t7n3NfupIlS7Il27Hl+BVbSewEh8YDI6eQhqQsINArnCfQYdKuQsOa6VAaOjOK2i7CK12U1TKrTYGhwY7RLQ1hZvFoF7ENCSUkMWPH75dsJ5Ftydbzvs/Z+5s/zj1XsvzS40q6ku/2UmxH8jnnnu+3v8fve2ygvMqrvMqrvK7TRTN3Xy6//UtfC89FAFAb2mhny2YBAJt3bTbtIFMW9qWrDSwOxOLU3V1H9bt6OI6YmWpQ0NR9mDaxs2Wz2LXrLnf092LokLU3N1SmxHl2TIquZ6FbIsxhY9H5SCoT/1Vr+pJ3FeuQiANxtBpMgdos+suPoUOORG5byw51eiC9ymhzB7O51WX3FjZuA0Es1NAzaIVKZTEIAgCGpLCOAXQK4D2S5b8HQ7zvH17/QGokGOLx4gKBirnjn8STTHnBP9r8wi0MPKKN+7vMZpUUAQkAzAYgQAgBQtkT8IVgjAEDeTAQNGdBJE5LWD9jEs9l9yVfjKNVD28y788lAYA8MjUAPNz8wt3E/FnN+rcFWZJZQ0qJUKBSh+0qDtoVJKVFAStcdgTzG4BAcHSWXTfLWSfF6ewQUrl+6bg5IkgwNAi0lwh/kzG578YPtObawKId4Mn6CFSsXd+6ZnuzLYNfBsS9hl0IQagKL3Crow0iZEdJSZuQ3/PMDEbZDxyJAiICSIDy70gbBzknbfqS50x/okvmnBwpGYBhvY8F/em2Nz7w49Gbb1oBMFINPbTu+08S5BPMbEPA1EaXcG3VEmGrMDFMXr0ZH+75m1JZ8KNQwBcJhiBIgEhCGwe9iTPmfP9JzjppqYQNEG8fcvs//YNDH7swGRDQZFT+/WuebQir6Lcl7Hsck0Rd1TJdV7VU2lYIxrgwxoCoLOxJgSKvHaSw8kDoMmd6j4JYCZA5ajj9iW37t7zc0rJDXS7iKjoA/Bu1rtu+MUDhF4wxDVIK94b6W2RluJa0cfKCLwu9qFBg9oAgLeScFE5173UT6QFlCdt1OPtH2w/Enmlr2aHaxwkCmsjOb123fWMAoZ+67FZHQ/PdG+qblZI2tHbKgp8GIAghQSCc6T2qz/UfF7aMUM6kH9t+IPZMLMYyHqcxmwM5ZoevjcU3vtFsYmu33hGkyE8dk6uuiS7UTQs3KCLAsC4LfzpCRiIAnk81r6JBCCHRl3jbBGTkgzfV3t/VsWvda7FYhzxwIM5F1ABtAniStzQ/Vy85vNcYXV8dXaBvqL9FGuMWgpnymn5tYKkAuvs7+a2eg8a2IjLnJH9n+6HWfxurYyjG5vGvI4AgOPgsmOqj4fnu0vpb88IvO3kzqQ0cnUX9vCZqqF1FWSfJUlrPbmnetsATfpuYNABiMS/ce3Btx/9UFLxbSLg31Dcrw+6owKW8ZoZF9ECwYN5yMS9SZ8BigTD2s21oE97GnQQA2tpYxOOt+qGbO1YT7D93TMosrb9VKmnDsMmTFuVVCiBg1lhSf7OUklwlwncfXtv8SBytOhZjOXEN0O79ZrT4OgNWXdVSrgzXkta5svBLbBk2sKSNRbVrRU6njCD5xUfW/Mv8jjgMwDRuAMRiHbIdZB5ct/0uRYHfEQK6rmqp1MYBkSi/8RLUAto4qArXi4pglZEILHRJ/zGBuCN2ZTlf8Rtr4zH2PE35PzS7mB9dDFuFYEyZwy/lxBIIqK9uko5JMQn69AOrtta2XkULiCvZ/naQ2XJTfB1BvlsIcG3VEmnYLcf6Ja4FjHFQGaqjimC1kQjOJxW6HyBua9kpx64Bdu4U3gXFJwRZqjK8QNsqXN79s4IbAIgEaqKLoNlhkP5kG9oEdm02YwZA+67NOra2w2Yy72e4qIk2CIYph/uzhBsw7KAyUiuVlIAR6w+tuXWFV4d5KS8gLs/6EQeVWiZYNEmpOGRHBbMue/6ziCFUIoCQXWmEsGwpzCavPG/ztQHg/5B2aZMQlh2yo0YKG8w85+qwKP81N80AIRKs8Rx5wmYAWLdrM18TAOvqvR8y0BsBIGRXMRFhLsmfCIABnCzDybJn2mhugZvBCAYqBMOAgFseu/3vrRguLcO6BAD74/logrAaYITsCmLwnHlBJADtAtk040Ofq8Cmj4aQGuBhYMwhZjBohYmIoI1ZlpThkFewe3E4OAoATE8CHPutjhCABgZDSmvOFG8KCTgZRjBCePTpKG5+r433fDKEDz8RQS7J0NoDyFxhBYSQEEKyJBl0k5FFXoj/JF1VAxCIMYiQYb1ECIGAFSYuQd5/vLtVSCCTZAQrBB78YhTLb7NgXMAYYMN9Adz/+QpIBbg5hpBT+yzT5wjaZKsgC8gQkVwMAAcOrKNrhoGWdJiYnBH8Uml9OAO4jmfrhPS+6Cp2XEggk2DULpF45CtRNKyUMBoQChACMBq45W4bH/vrSgTCApnEVUCQdxz9+4K8Z2FT2uWmko0zLiq4VK0+G8AOE6K1BO0AyX5GasBz5th4KlxI73ciT8jJfsaSdQr/6W8rsXCFhDG4SMBCeiBoWCnxsaejaFylkB5kSJUX+Ihrct55TA0wkv0M7QDRWoIdphIHweX1lJptNjw5xNj4wQBaHg2h55TGWwdddHdqdB3SGOjRSA0wjAakAqwAITvEuPEdFj76FxUIVpAnfHH5axsD1C+XePTpKLY+MYTO37gIVRByGc8/EBIIVxHmL1JoXCNR3ySx+CaFuqUSu/4pjV9syyAyj2D07HmnarbFt1ICTbdbsMOERTcpLLpJ5VPWwNAFgzNHXZw7pnHmqIs397tYf28Q93467O1evrzwCyDI7/BAhPDwl6L41/+VwsGXclh+u4WGlQoLVkg0rFSIzheXmIim2y388nuZWRcuq9kUu7s5oGaxwA3NCswj7G7eJlfVC1TV21jzH7z/nUkwghU0ghwZW5jIDNghwvv/awTvfSxcuMbIZUa0aJIAbmhWqFksMNDNUBZmDRDEbCI3nAyjcZWCHfIiU98R83c1sycYoz1wBCvyBBaPz1Mn8q7FnL9G/prGDAtWiBGOYB4wjasUnMzs4kzEbNIARMCqO+2CsC/3M2Kkw8ZXjw7Gcj/mYSdQiMsDyX+WVXfas45eFrNF+NoFItWEpttUQe1OR3w+VrMBAE23KUSqCdqdPSAQs0n91zdJROYJL9yj0gIoGyAyT6C+Sc4qMzBrNIDRwJp3BQqqvSQzcMJ7RqPLGqBogvfDLWkBS29RJUu9+s+09BYFmY8CCgxlGQDjFzoJj2JNDzISfYwbmj3ChblEYZvXTHVLJW5oVkgNMNKD+XQzhj9TqZkGVTIe/gia1cl6TF51o0TTBoXVm2wsW+/trJIeuEiepnrwqSjePuTixG4Xx15x0Pu2RrKfISVgBanwOUqBMVSlUMvs5DyhWwFgwXKFZRsUlt1qYemtCoHw7EvS2yFC0wYLTRss3PXxEC68pXHs1w5OvO7g7DGNwR5T+DmhZjbfNuMAEAqoX6ywYqOF1ZssNK5RF9GsfiGymE1VOzxMJAnpmYW6pRJ3xoIYOm9w4nUXp/c5OPaKg9QQF8ik6woAJIBcmrH4JoWPf63yYqHnxwcKujp3P2khjVLfRa83HJHB9KOEaK3ArffYuPUeG9/81CCGel1INXMld2omd4myCBfe1kj2GUSqRcFZGm9BxljvZ3iYFiZxscz9HQseTiUXE+yEi+3+hbc0uk9qWIGZTSOLmYybhQJS/Yye02bqQiYeoVFG0MRulpEZYmQSjGyKL6aR6WLefyqinN4ug2ySQRK4bp1An+I9c9jF8tu8DB8VuXjE5/G1Axx/zcHJPQ56Tmr0n80LIP/9mkaJeQ0CS5oVVt5hI1JNBR+kmGbI/4xvvuHCGMz4tFQ10+yZkMCpvQ42bQkWVQOYfAFHNsX41T9ncGBXDudOaHC+FEwqGs4nMNB/1oHRwGsvZDGvIY2Vv2VhU2sINYs86hlUvNwCM3DmqAuhZp7VVDPtLVs2oeekRi7NCIRpzHn7a+18IYETux385G9TOHNEIxAGQhWeZ+bb+pGTjaRNhfumBhi/fj6LA7ty+O1PhPGODwbGVVNwLbo4m2L0vq1hlUDB9cxrAAtI9Bn0dRksXCEnN2/KF6oAfrE1jZ3fTgMEROdTIZ9/2ZbqUVGBVEBkHsHNAj/8ahKn97m47zPhQn0B0aQGA6OvyyDRayCsmW+4mXFSVQggmwTeOuBeMc8/ZrWft6k//noKP/m7FKwQwQp66dnxXJd52IRU1BB+8+Mstn1+COkhntQz+v/urQMusskpDHFnWy6ACOg5qYti81/ansFLz6VRVefZ7smEWMyekxqtJXTudvGDLyYKqd/JrJ6TumSSRKIUyrytEOH4azm4WfYKM3liNv/kHhcv/mMK0VoB7RbvGbXjmZGDP3fw8nOZQgXxuM1dPvw89moOKlgaZeSiFEq9cynGsvUWSE7AxubBkk0yfvw3ySlr7TIaCFUSdn4njbPHdKGCeLzeP0nCjRtt6NzMcwAzDgAhgdQgo2mDwj2fihQaMcZt9wXw6gtZdB3RU9ag4YesTobx4jdTE2YEpQTuezyM1ZssJC7km0+uRwD47VqNqxUe+EIUVmBiYZYQXj/fGz/LesKfwhSr0UCggnByj4vzp3UhhT3eQIAN8KEnKtB0m0JqkKeG+i5lAJAAnCwQrhK4/4lIoWNnvML3CZqT/89F9wkNOzj1xIoQQGaIsfffchOKCPwq5VCU8OBTUTSuVlfvRZxrAPDpX2UBj3wlirqlcsJ0q//yO3c701ZcwQwoGzi1x7vnRHwOv8YxGCHc/0QE4SqBXIZnJCwUM3FeqJNhvP+/RLxGTT3xeNjXGD2nNEhOE63KgLQI/ecMnAwXnLuJmEBjvFqBR74SRahCwHWmfz7BtGMuPcD40OciaH6PXYjdJz4Hx6sp6DtjoKaJVvWzmOkBRm+XmVQHvd+avnCFxINPRWFcr9t4OjkCMa29fRnG5o+HsP59gUkJf6RGMS4KWb3p/CxOjpFNclGcYaOBxtUSH/5zb0jFdNLD024C6pbJ4s6doJkZ60LFvG9+xy+4UULlC0SmSwuI6Zxjq2zC9/8ygZN7vFRoMRy3Qu8AT38kUwynzfeBek5pfOuPB5EeMtOaJhbTeziiVxb9z3+R8Ni0CVCqo9ux7DChplHAdaanHYvyZidcJTB/iZzUgSk+hZ1JMp5/Kon0EMOeZopYTPuABwtIDxo8+9kh9JzSBUdoMo5gdYOc1hp77XpZQjt/+u1E1LVfrZRJMrb92RC6DrseH6LneBTAxquHTw0YPP9UEpmkR4JMRuUtXW9NWBATI7EYi9YoKGtiGswvDMkkPOGf2usiVDkzo2VmhAk02hu80HXYxbYn8nl2ngCrln/6G99hobpRwM1NPQiYAcsGbn5PYEJ9in41kpNlPPd5T/jheQTjAtdVLsBoIFyZz7M/lbikTHs8jFq4irBqkz3l4aDXy+B560vyY2rGez/KX+enf5fCid+43lApF7gus4HaBSrmEw7/0sGPvp6C1uNPrvjt4nf+XhAVNVM7nMFzABn/8ZHwhMwWG0Br4EdfT+HXz2dRkR8mgeu6IER7BZnHX82B9fipVcrXVVc3Crz3sTDSg1OTZ5f5eYPr7w1gzbssz4MX43dYWTOOv5qDHSoXhBR2sJthrNhoQwUmlhWkfCRx2+8GcNt9ASTOc1E7iYUC0kOMBcsl3vepcCELOW7tYQAVIKzYaHt5hHJN4PDuKDCEkwASM3Dv42E03a4wdIEnVGByuZ2fSTDCVQIf+e8VhZFxkzEzdctkyUw5mXEAGAMEIsDitZOb/uH/u2AF4cEvRLH23RYSfVwYJzchpk8Cyb78jOEvRwtjZmmS2cvFaxUCkYmTYHMGAESAcYCKGoHqRjHpY4h9/yFYQXjgC1Hc/VgIbFAo577qlA66eDpJLs1IDzHWvy/gzRheKSffJpa/b3WjQEWNgHFmfoSMmvHpXw6jZpEqOEWTtYs0ovPn3Q+HcONGCy9+K43Tb7hI9ntTPKVFw2DI09Raex6+m/OKVRYsV3jXg0Gs22wP07aiONPE7BChZpFE31kH0qbrd0CEz6s3rFQFJ4mKNbApf73G1QoPfymK7hMae3+Ww5tvOOg7a5AeZLhpLnQNhysFKuZLNKySaL7LRtMGa7jmr4iZP788vGGlwtFXHA8U121rWL4oYsnNUzP9S4wQYP1yifcuDwEIITPE6DurPeKIPG0wf4lEKEoXCboYGulKfsCSm5X3fLieewO1N5m7plEUeHCagjBz5JQOIYFglNAQVVdtLyMxNXUGzN7nrmkUCESmtoq5pJ1AP6lSv8ybn+NPBvH78opNkvhefUEIZtTXiCHQxRa8P2yaRwy4rlsqUb9MwsnOLB+gZnT2v0UY7DH4P08ncUOzheW3K0RrxUVMnj91k4o4JIqmeuDUqCFRI/McI4dEDfYYyBnuEJ7RGUF+Z9BrP8zitR9mUVknsHCFxPLbLay4w8L8xXJGmyaKMSTKaJTHxF0LBOEqKvT3HXvFweFfOghFvVBpxTstLL9NYdGa/DkBs2Dl0nzJoMj00PCgSP/zGo3re0AERk3OIum1Xvlp3u5OF2eOuNj1HWD57QqPfKWyZOfvcv4/xgW2PTGEE7tdCOFVQCmbEJlHBbNQSmcKqZIcsJj/qxUg2CHvz6f3ujh3XKNxtZyS8GzyKPaeqeeUxul9LsJVVCB+Sk3os2Za+MgX5zrA4Zdzk54iMpXPCgCn9rqF5g7f80d5WngRhkgECEdfyUG7pTFa5Uo076GXspOucSwD4HJ1eAGgu1Pj7FHX6zE0pXdYRLLfoLtTwwrOnuOWxWw69TuXBjp/M45hUlw81X7NNnUAnbtdJPt42tu7rgsA+D0FnbudKw6SGH1sHPwxnDy5voPLHRt3OX7/yL/nhmcOowyAKekneOugi74uU3CyRs7/G31sXOHwJhr/mDi/zyCT4MseG+cDzZ9DnEszuo64s0r9z86zg/sZR19x8M4PBy5hCQe6DS68qdF12DtT+OwRFyvvtHHf4+GLzxEcw64HvHmD+3ZksWSduubRsaf3ueh9yyBQUdqHSM/+s4MVcPilHDbca+P8Ke3F3W+46DmtceFN7/Bo7XpgsQKEXz+fwflTGh/9qwoEI3TVtnSfX8ilGT/9Rgqv/iCLYIVXtn7g506Btayqk5ccHt35ugOdz1tw+ezgKTQDQcKZYy7+/rFBDHYb5DJcKN5UNiEQoYuqgsLzCMdfd7Dtz4bw0BejCEQuf4L4Rb16+ZPDK6qpcJi0f003B3SfdNF1xC2cMRytJTgZFAA2q7TqlfMZVJpAztv+gW4DYXk7MlzlNWqSHJF69Rm4/Imjp/e5+Kc/GUL3iUsbUs2oRs1Te1xEa6hA5Iy8JglPs4SrPHpXWsDQeUYuVRpl3ld+bZLHDABHW8Rg5TlWpZmAUdbwYRAFr/8KkDWuN5Wr64iL7/zJEM4c1YXJHL42GNmoGZl3lY6dEXy+0f7JJyhR4RMo7wWz0WqMAGDK6kGHQP3MBjk3y1SCn268oZbfkJpJGGz93BDePugWPPszRzW++elBvLnf4/DH265VimEfEUEbB47OErNxpEQ/AKxdG+OrAIC4DaAfHv7kkCB0ggHXzTJA4Fnl2lwZBHaQkE0xvvX4EPbtyKHnpMazfzqE86f1jPTnT+XuN+yyaxwycFNC9h0DgPb2iwV5iVpYly9eYSFOMwtknTSTP9+NZv9rMcYjlMDA/306CStAyCbMnBI+gyFIIudmmA0TEZ1LhSJZgOmaJmB/y07/FLXXCIR0dhCYA7t/tMfvn++bTTGs4Fza+XkSCwKZbMJnwvbFf9WajiEuMMq5v9S4b95svPS2+aVhR6dy/VIbFyRoboGAh4tQZhNxMx4UJDP9TCAw0S8AYG1L3bU1gG8jlEgfZOizjpujrJNkIjnH9ACKO66upBJnBG1cJHP90rBrQOalkZv7GlEAcUeM5Xf3PpoExIsEif5EtxYQsyvLcZ0uz/4rJNK9xnGyZEif6M90vQEwtbeTGRMPEEfc3xz/m9lwX/KM0MYpWU6gvEbbf0Lv0BkjSIEgtv7k2GeybS075ZiJoHi8VTOYztTt/bmBc8hxs9Sb6DJSWOCyFihpayalRCo7wAOpc5LhZg1yzwJA++adZlxUcGsMYteudlcAX1IUoJ7+k1zWAqXv2RIkuvs7jYRNmvX3vrf/geOxWIdEe/v4ABCPk2lDm7iQ69rucuZwzsmKshYobdsvpfJ2f7IbTCYnJX8BYBrN/o21IIQPxNbRT459JiuIH1fSprO9xzjnpiCELL/x0suRAQy8ff6glhSUzLmvbn2j9XAsBnE5529MFUHxeKuOxTrk1v2xf9UmEwdLeap7r0szfuRxeV2s+Q2ksNHVd8QkMgPKcPYE5bJfagOLeBxmUiVh8XjMtIGFA/5Dhnsike6XXb1HjJLBsikoEeErFcBA6hx393YaJSztmNxDW489MuiH9ZOsCfQuED/Q2quN+6CSFs71d6K7/wRbKjAnkkSzWvjSRiLdi5Nn97hBq0q5yP63jkNbftXSskO1g0xRikLbQSYWY7n9YOwV12T/ICDD4s2e/aa7v5MtWQbBTO78RKYPx7tedS0Rthwz9Mz2/a1fa2nZoXbtussdx9yqsS3/wlvWxv+zLUL/kNMp3VCzihZULxfMGsaYcpg4Dd4+gSClhYHEOT7Zvce1KGS5nH5m6/6PPNYGFu0eHcRFLwvftesut61lh9p+IPZMzqQfs2VEnuk9IjrP7NbaaChpgfO/ymsqRM+QQkGQRNf5w+b42ddgi4qC8GOxDjke4U94JI+vCR5Yt/0eieC3malBSnIX1d4kqyL1BBCM8Rs4yhphsmIHA1JIEHks39vnD+pkZkBJoVwGf3br/vu/1tbGwkvkja+Wc8LSicU6ZDzeqres/sdGadV+S8K+xzFJRALz3PrqJlkZriMCQRsNhikUlBDKgBiDyAsVfUIoEAip7AD39HeavuRZaYkwDOsjBrnf37b/9172hE8T6oGalDR8EADAQ83/8vtg+ktJVmNOp1ARrNHV0UaqitSRJQPklZUZMJt8UtGUZT2CwycQiAgEAa8Gk6GNi0S61/Qlurg/2S0l2WDonCD15Uyq66vxE38wMB6Hr+gA8ItI8x+AH77l+/Wk1R8xzB8S1ALNDpRUCNlRHQnWcDhQSbYVEkJIKGlT2VUYbi7UxoHRLufcDGdyCU5m+jmV65OOkyMiBYabBeQ20u5ff/fQR/YBgOfwkSnCiXWTXyO1wZbmbQssin7AsPm40bk7pAgoMIOJIYgghIClQmbOFBoWYf+7Oktau8TMYPa0gWEHgtQBgoi7xNuf2/eBQ8PvOmZQhN6NIr99plgsLnwgAMAn1v5orRbuO5n53ZpNs2F3BaArJQWlF9KUF0DQ7ECA+kB0liAOChK/kLBeTq5N7PbfZyzWIdfG93M72g2Ke2Zl0VGdB8KlKP3YrTvmGbevwVLhhRk3gVnWnTYFy4VSQbB2h2rk0mNdq9YPxeOkR2vXYgt+2lYb2kRLyw4Vi3XIsr4fozlFh2xp2aFimPp3NgMCYWrDk3Qgto4QBxC7zqXtv4M4EEfMDCd2y6u8yqu8yqu8pnT9f1LmwTFdnRH0AAAAAElFTkSuQmCC</t>
  </si>
  <si>
    <t>See what is live in my name and what is waiting on me.</t>
  </si>
  <si>
    <t>profile-employment-counsel</t>
  </si>
  <si>
    <t>#4338ca</t>
  </si>
  <si>
    <t>scales</t>
  </si>
  <si>
    <t>iVBORw0KGgoAAAANSUhEUgAAAIAAAACACAYAAADDPmHLAAAVJ0lEQVR42u1de3CcV3X/nXPv9+1LWkmWI79JgMRvO04zSRlougkMybR0ypTpulMKA0mJYUIScEMoaaeV1XZ4gx2C8yCQwITwkJi0YYCS0oYKk8QpedmJn/FjYhvb8kuPlbSP77v39I99yJFsWc/d1fo7MzsajVa737nnd373nHvPPRcIJJBAAgnkIhWq3PdKMPojTSG1CAACWimRAANAZycs0GYDg59LWjmZXEEnTuygzs6dAnTY6QYFTacyiQS4s7PNH/6XJNrVsVVePMUnxNoQXcwmZ85KvW0hP3Y8s3XrXekRY5VsV+gAOrB2WsAw5YOfRLvqQNICJACQSLTq9Mm5i32oawXmSrFmtcDMI6G5AlPBWahaREBgCJBi1vsI9AZA24jwHCL82osvfnzwbDB0dEwtEGgqPR7YIEXDX7Vy82q29GFjzftE7GJmV+Uf2wIEMHPA+GeZQayFiABE+d/FA8CHmNT/kOCHb9v99NMd6DBDTrbWVA0Azn6gq5c+8F5hudta/91EjoIYKKXhhupM2K0X160jpTQ5TiQIBAuuTCD4Jie+nxPfS0smm0I216d8P0cAA7Ag8HaBvTdLJ7+/c2dbbrjDVQgAQw+xeummlZqdL0P4T6wYMBNi0dl+vH4uu26MlHKIQBAIpMgEgeRBIAARgQreDwDW+vC8tO0fOGFT/V3K83KklAsReU0gn31l123/ORVsMAkAtCsUvviqZfdtgPA9AnGZycbrF0hjw3x2dJgEAmsNUDA8UaUz0OrmAymNDoGIQcSw1keqv8t29xwSz8sqxQ4A/GhQum/fvfsfTk8GBDQZyl+69N/mRajpUSLnJmvTaGxYZBobFirHCcNaA2ttweCBsSfODgIiArMuAeH0mQMQUUxkXzd+5uZte//umUSiVZ8r45pyABS/aM3ir1xDOvYkLOaxYn9uyzIVjc4ia/2C4QOjTwcQlHLgeYM4fmKXn073ambXt5K5bdvu9Q8nEr/WnZ03+NMGgKLnr1n8lWtY1T1lrdcUjTb5c1qWaaUcGOMHhi8DEJgZBMapMwdNd89B1ipKvh1ct233+ofHOx2oMYd7aOX7cbu98oqvXat07Cljs03x+hYzf+4qDQKsmMD45UgYC2MssKiva2FmjVT/Meuo2Ptbmt9z9OlTH3shiXa1Ex0yhQzQykCbrFy5qcUxertY21Jff4mZ07JCWeuXkplAys8GWrvo6TkkXSf3WkdHlbHpG1/Z/elfjZUJxrgas4IAwDH6MRFuicaa/Lkl4wdBXiXZwDc5NDZeSrNnv508Py1EzmMrV26akzd+K08aAMlkPt1bs3TTPxO571WK/DmXLNNWDIKFnGpYQyQYk8Wsxsu4rq7ZQmiOMvxY3vgraFIxQCuE79+50q5asnEJk/NDEY/mz13FrhsjkWAdv7q2kgWxaDP39R/zGc4Vc5r1weOn/vblC8UDozJAGzYUUKK+AZDT2LBIotFZZIwfGL/q4gELrVxcMnsx+yZjAfXFa5be15zfmBMaNwCSaFdAm71yyb03MDs3MsM0NixQ1gapXrWygLEe6qLNHInELZM7Nyf2DoAkiQ4eNwA6sEMKgcY/WTGIxxfA0RFYG6zhV/ts0NT4FmVsRojp9qsXf3V2vpbg3CzA55v7gTZ75bJvrgDoOmaSxvh8ZSXw/mq3vrU+YpFmikTiluE2++z+BQBJYIMaMwD+N7GBAYDF3EykdSw62wTeP7N2Fuvr58OKLwT5GNDKnefZfj2fO9Py5a2Oa2dtJ1JL5s9dZSORRs7n/QEDVP/6AGCtwaEjL4jxPc8Srdq++469gDBA9gIMIAxAtJ19GYTeqpQW141xkPbNrBVCxSGEQnWW2HE10zsBIFFg9lEBUHyTZnonseO6bswqdvPlSoHMoGkAiISaJF+HYa8HgM6WFXJBALQU3iQi1wCCsBsXIkIt2Z/o3K9a0k8gCIXquACA1Vdf/ZCDjuSIOECPSP86dhQAYJcQKbhuHQlsTQ2Q78t5SrSpRvQkiFg4TpiICNbisl6ViQDUl08Hh+oIhwFACIC84x3xSLpH5hEESjk1VbxJBNTH9TkNnUlb+L7UCAgEzArMLMaqcP0ALwDQ14oN1HaWQfU5hkj6+h6OOBhYxMxwnDDl53+a8Yb3fUF9XOPrm5ciGlOludJagBn4QtsBvPy7XkRjGtZKDQSCLmkdtr5vIkx2IYBdO4dtEOlz/bNSnsCQN1S4jJpjgHBkZAKkdW3FOm8qPhftnesvepR/qtmcz/fzFcrDGaC2Ex1L4wRAbS+UFOf5WswCxiPB+ayLXAIAXOSiK388mspG+8yjf1/x7+V6pmK0XsnYQ1d6yXJgwJQl+iqmgWqUSD+dtujv9wtn88pjlVCIwbpySy26ksbXmnD1NXGworIAwBhBLKagNY34GwAsXR4DiSAcUZh2+xeWVg7uH0Sq1x8VmDUHgKIxIlGF1i9cPsIg5XyOs39+9NYFZX+Gf/nH/dj6227EHF2RDbeKMYC1At8XpActYnVq2Mnh6Y47zs9K5bJBce0hl7MwpnJxgK4U/cdiCvVxDaWGFmEqnYuXez2AGYjVKTQ0aLAi5HLl34fQ5Y/688HW51ovx4pVdQiF+U00fPE0h8r//NRnLoMVwRcrtA9RUQaIxlRJ2Xy5oVQ09SzrMxABBERjXNF9iIrFAMPnvbxHUBV4JZU5FioUcFxsaWBxvi0WGh/cn0Zfnw+lpm80RAClCUuWxfLfM6yEqhzPAAKsAd5+RbQU/FayYZquhvo1APjW5sN4/rc9iNVPzxxYXAhqaNB45AerEKsfyjyKP6f7GYosMzhgsfGBJVh9VRyVrrXQU5FHT0WkHQ4zYnUK0aiCHa/3yYXn7iIAIlE+73iHQoxojBGN8hgBQOO2HVP+YZSiUesUJ+JEZQeA540/bWEe2o/HsD36XM7Cce24vE8EUOrCtXzF6Wa0sy0iQ+8Z7X1Dz2wnpL+XsyM+35j8uojvy7ToP+UAYCbMatYwvozLC5gBx7EjVv+isXw+HK0bB/0KwIqQzVhks7bMOXxt6K8nSv2ZjMFd91yG1X9QD+PLiNRqdFrKr7cX0SsCfPruS+EbAZ1nNIcrV5w7+3p9fG79HmTSAi5TKlVL+usJNyoS4LFHj2LjtUsRjapJD2pkgp/xnQeP4MTxLOINDoyR8jVqqhH99UTX8SNRhb27BvC9bx/FrbcthDFDXiAiSPWZURc3RiD6PHHc2cGb43Dp+5UiPPubHvzipycRj5fP+LWmv57MQk5jk8Z/dHThj/64EctW1hXmrrxmD99/GM8/04O6Og0zwZSKCPA9QVOzg89/bTEch0sNEwf6DR7afBjhMFdkF61W9NeTb1EEfOeh3+NLGxeDGIUDCYS/+pt5+M3T3fByXuGo0vhFKUJPt4dbPrEQ8YZ8cJSfN4EfPnYMx3+fQUNjeb2/1vTnyVJhNKaw/aU+PNHeBWYqpFKCRZeG8eFb5iOTsXBDDK1pXC/XZWTSBon3zMK7b2wupU1KEV59JYV/b+9CfVxX0Pi1of+kFyGtyZ+2efy7R3Fwf7oU1VoLfGDtHFy+JIqBgXwX0eJ++4VeRYp1Qwofu21RYb7M02smbbB50yEoRlV0K5np+vNUVDYxEzzPYvPGN2AKZ+tE8vV3624/W4Gx59j9KR8f/Mg8zF8QKm0cMQPff/QYDrw+mC/bqoLjWzNdf54qKozFNLa/nCpRYRHFq9fU46b3XYLeHn/E8uf5lB8cNLhiaQwfWDtnJPV1dKGhsbLUX0v683RQ4YF96ZKyIsCHbp6H+QvDyOXGslqV96B1ty8qFErmo97BQYP7Nx2qim3jWtKfp5IKlSLkshaPPHTkTd7R2OTg5nULMDhgRq25V4rQ2+PjpvddgtVr6ksoZwae/MkJ7Ns7mN8sqsKTuzNVf57q3LiuXuN3W3vx1M9PlbzAWuC6G5rwrkQT+lP+OQeBKF8gOX9hGB+6eV4pGFKKcHB/Gu2PH0O8QZ+3uUM1yEzUn6clNYoyHnnwCLqOZQupUT43vvWTixAK5xE8nAqZCYMDBjevW4DGJqf0HuMLNm98A7msLeuJnYtFf56OAg/HYfT1+njgG4dLdwYZI5i/IIQPfmTeCC8oRr3vSjThuhuaSoEPM+GJ9i5sfzmFWN3MaNow0/Tn6aLC+rjGs1u68dTPTkGpofq3D6ydgyuWxjA4mJ8PqeA1obDCrZ9cBGYqrXUf3J/G4989ivq4hjUz5/D+TNKfp5MK62IKjzx0BMePZocUOys3FhGwGpnzMhN8T7B54yF4Xp76ZlrvhpmiP0/r2b8CFX7r/iOF07n0ptw4lTLIZu2InJcZ+OkTJ7Dtpb4ZQ/0zVX8uR1T83JZuPLelp3QCqJQbLwghl7X4eCHntTbvEV3Hsvjx48dRH1czivpnov5cjvPvrst48L5DpdWw/Faqg7/867l4943NWFXIeQtnJfDANw6jr8eD1jzj+/ZUu/5cDioMhRjHj2XxnQePlKpeRYCb/nQ27rjr0jflvE/97BSe3dJd8Z2+i0V/LhcVNjQ4+K9fnMJzW3oKO2YC7RDCES4FQ13HsnjkoSOoi6kZ36dvpujP5YyKw6EhKiy0MM2jX86ivl4f2uGaa9lWrfpzOanQLVLhA0dKaZAUAp9f1hj1zxT9udxUGI9r/OqXp7D95VR+rZyA3h4fjz3y+6rd6Kll/bkSdXSOQ3jg3kNIp/OrYd++/zBOn/Tguozav5aguvTXFZkLwwqv7xnEEz/uwrIVdXjqF6fR0KBqkvqrXX9dMSps0HjyJyfw8ydPIha7GDy/OvXXlW7f7nlSKqTERdavuBr015UehNrv0l3d+nO1NIjARXzBE4Jm0YEEAAgkAEAgAQACCQAQSACAQAIABBIAIJAAAIEEAAgkAEAgqN1m0ZjCPsRj6VE82udOpl8vZuieh67m+32nY/t1tM+daL/esbZ9IQoAMK4bvqdywM6+Pv58nzuhfr1jlEzawvel6kCgq7FIoj6u8fXNSxGNTf1tYkRDbVmLn1u8sGH9Zy8r9OvFlN8O9oUK3Qk0oxkgHClvjDqd31epO4EmAQCSSscAxYOU0xEQlitQKzJA5Y3PMmYAGOMQIatLnbErfIdfuR5hOr6HynwX4YgbTQovsqLHug5AxpzxCNwjYuH5OaGL7VI/1EK9IcFaD8ZkScR6RpkeAFiOpIwCABKglfbs+fsUIAdFCMb3CifXpOzXqdXSqxLeb8UXa30SmEGr/H0A0DbMkCNpIbmT0AEQ8SEA8LwBITSX92pXAiJRruh1alN9Q2h5O5wJiBienxVrhRjoCkdsFufoMDkCAIkTy6kzb4QXAPpwJpsqa4UsMyEzaNF2z76yXCtflg6ShWviQ6Hy3G0gAhAYuexAnr2ZXtu69a40kFQAmVEBcH3nBtuJNpCiZ8X3TTaXUsb6pVbo5VoLePF3fTVVMx4KcdnuNCpKOtOTh4LwFgBIJJZTZ+cFGKA4RxjO7GK4x30/t8DzBsUN1RHEli0aj8UUUFP1/+W7Ip6YYK2PbK5PifgWGr8927kvkAWQJJPtavv2uwcAehpQ6B84ZRiqrFezWCs19Srf0AmYFAYzPdbzPBKxB1IZ+yoAagPZsW0HdxSMwPguxEqqv4uN9RCkgzPjpBGB0Zc6bokUGPz4vn2fyibQqsZcD9CBtQYQarrk9G8s/N2+l6NUf5dVrCtyQVMgGMc9QwqZbJ8MDJxSgMnmdPoxALgesOMqCEmigzs723yCfInZpe7eQ2KsH7BAlccZBEZ37yFLcMha8+MdOz67P4l21Ya28QGgA0kLtHK/v/9HVrJ7vFyW8yzgBCxQpflm3vtT0t9/EoDJWdjPA6Dhq39jLAkjSWIF7dt3X1Ygdyp26PSZA+L5aTAHlWTViQHCydOvG6aQsvC++uqe9XuSyXY+V/B39m7BqJJMtquOjrVmzdJ724lCyVAo7C+cd5W24lfl1S0XK/Vr5eLkmX22u/swE/EB1zdX/d++M/3ABhltZ/eCyfbOne0AwLNanP/W4KTnpWcJrNTHWiiICarB+BZah9A/eFJOnNhrldJikP2zl/eu3w9cT8ANMsmqYBJgA3buvOuMgfdBZgfd3W+gu+cN0dqFzLhG7rXl+Uq5SKe7cez4Dt916rU1uc+8uvuurQm0apwn8JtAWTjZJNrV9l3rn7eS/bhWEe46ucf29BwSrUJl3ykMpED72kUm04MjR1/xFYcd3/Y/vG3v+k0JtOpOtPljShvH+oU70SEJtOrnT93zQkvze446Kvb+1MBxCxCi0VlUSkOCKaEsu0tau+jvPynHurb7iiOOlczDr+y6c10rWvl7Y/D8MQeBwyWR+LXu7LzBv3Lpxls1R7/lmzRi0WYzp2WZUsqFtd5EPzqQCxheAChWgBBOnTlgz/QcJFc3kLGDD7+86451SbSrfPo+9nK+CVmpSDGrl2y8SSn3UbE0Tyn2W2ZfoWKx2QQA1vqFGoIACJM2vADMCkyMTDYlJ0+9btKZPs2sfRJz90u779jUCuH8Rt74ajknbJ082taaq5Z8aT647hEm5ybfpBEJN/hNTW9RsWgzAQRrDQB7VkFJAIixeHrxcnpmBQIhk01Jd88h2z9wQjGFAbJ7je/dsm3vnc+0opXb0CYTCcYmZY0iCADgqmXfvIVA/wro+cZmEAnHTbx+HsVizaRUiIbQbAs7Yzaw9TBT5NmSS6xprY90usf29R+TgYHTiqAB2Byx+jJler/64oHP9SYSrbqzc2wB35QDoLT8VEgXV7/tKy0qVHcbYD8BqDkiPpRSCLl1JhpuEjdUR44TZmYNpRwKkodCSEd5Yxvri+9lJZcblHSmR7K5PuV5WSLSAEyWwD/wJff17bs//Vr+v1sZ4wj4pgkAb14xBICVb900x42E/hwiHzXWu5bZ1cWbEYjztObosA3WEIao3jdZssYnK1LwKYLABxPvFHAHG+9HL+69c/fQWI8v2Jt2ABTZIJns4CIQAGDN8geWa9AfWpHrBGalWHO5wMaZXBUAYAgAVnwQ0A2i40y8C8xbGOqZt+5oeqk4zean3B0yWa+fRgCMAIIdHphceeWjjewPzmOE5sLPVvH5ZJT1gJb1c6l4eOG+lsVe6mwHGvL4qTU8ypest3IiAW5pWSHnAkQg5w6uTyR2UGfnTgE6pnXMqCJ7lthAyeQKKpaeBQJ0oANAuy2YJHCSQAIJJJBAplv+H/zrDDVteQWVAAAAAElFTkSuQmCC</t>
  </si>
  <si>
    <t>Hold the four legal gates: consent, quiet hours, review, retention.</t>
  </si>
  <si>
    <t>profile-communications-manager</t>
  </si>
  <si>
    <t>#c026d3</t>
  </si>
  <si>
    <t>broadcast</t>
  </si>
  <si>
    <t>iVBORw0KGgoAAAANSUhEUgAAAIAAAACACAYAAADDPmHLAAAfT0lEQVR42u19aZQdV3Xut8+puvO9PapbPcqyhWWpFWMH7CQ8eMty4jg8smC9JFICSZhjG+PhMdgMJrQ6sR0wDtg4GGyBDRiIXytrBd6QhBWCjMGAEx7YsSSPGnuQeu7bd66qc/b7cepO3S2hWbdRHS8vSd13qDr7O3v49lBAsIIVrGAF6zxddK6+l8HB7i8RBPGvIgBoEIMEQPj/1kMY0oHIl65BDIoBDNBu7KY9GOAd2KLPNCjoTN4MADGEIW/x77ZgWG7ud1MlcrjIBTqfhR6hKIc5RAVtFz80urWw+PfDGJYAsBVbNXD61eZp3/wtGJbD2KLJR+4gdlqt/fsuJhZXauZXe1CXalZdxLRaI1AERggEEGck2a8Q4aDQ4llF4icJVdp1/eHr87VgON1AoNN54rdhG5cFf1/PVy9lof5cafUmxeriEIUlABjbzxBCBpKvWZo1wAYMBMCFC4I4JIX1bwT++6dGEt/fga2qBgiqYQBQe0H39T1yjWa+TbF3tQ1bKihIaSERSqqkneR4KEG2sCliRYnBoPNc8OxrAFc57CiH816Os04WGSctHeWSYAENDSL6TwLfP58a+cbQniFnECy2AZUDd04AUHvqP9P74CaJ0D0E8UatFUgS2qOrvI74ahG3E2RLmwjCaABmg/hgVQVBZP73ReJqDyWvoKfyE3oid0Q6nkshEYJitYuA2z8w9p5/LpvcHaegDeh0nPrP9GzfJkAfAyMEAd2d7OXuRLeIWFFiZijW4EX2ns77s79UF/Ci/REkIEjC0y4mc0f0SOYgl9yStIUNJn58QuVv+tT4zTOnYhLoVIR/Z/9nu2Iq9ahF9rVFLqAn2a96k30yYkWh2Kuc8kDYpwYKAsESFjztYTJ3RO9P74XQUjDpl/PKedcdh9/31CB2WkPY7J1xAJS/6O7eL1wRQ/Q7mnWXlNJb37ZRtkbayGMPWmsQBUI/3VAwQLBR9PJ4YWaPly7OWyER8hwu3Xj72Pu278ROa/MJgoBO5uTf3fuFK6Ic+a7HqqUl2uKtb9to2dKGp73gtJ8FIAgSEBDYn96rDqX3i4iIUYkL190+9r7tJ2oO5PGffBY3YZO+s/fzV8YQ+67DbktHvFMNrLrUAgGKVSD8s8UZgKGh0RHrFFJYmMgd1hEZe8tVyWvHr8+882fDGJY7sOO4ogNxvN7+EIjvWru9M4bY//a0aumMr1aXtA9ITxtbHwj/bMOAUFIl9CXX0KvaLhEFlVcxEXv4rq4HrtmKrarMIJ4WAAxggAAg5PBj0NTREm3xNrQPSKW9wMk7xzBwtIO+1AV0YfM6Knh5jsjoY3et3d65FVuVT8efGgDKNuWe3i99MkLha4RF3vq2jZZihSCj1yAgUCX0p9aK1vgqTUydIUc/Vk4snRIAGCy2Yqv6dPeD6yWsO4pc1Je0DUhb2IHabzAQaChc0rpBSim8CEWvSXR3//nxmIJjAmAbtpkXkfw8NOyeVB+3RtrJ48DbRwPmEkIyhHUt60VRF7QQ9KkHur/WtgVbNIPphAEwjGE5hCH9tz0PbbYp9LskoXoSfdLTbiD8BtUCrnbRFm0XqUiTthFeXaTizQTiHdghThgAu7GbAUAT/lJpD12JXkSsKIIUbuOXFvWm+mVRF5iIbrq366H2rdh6VC1gHc32E0h/tu/hAa3xBpLE3YkeqQKip+G1gKc9tEXaKRVpUkWn2KaE+98BbN+GJywA3nFpgG14QgCA1vwuC7bVFl2lgtO/sjKLXfFuKO2xgn6vCQef0MdtAoawWQ1uHAxp8O8rKHTGVwsO0rcrSgu0RtuktCwQ02XJ7p51QxjSvAwvIJaq/0EBgJPzPRcQaK0lJcfthAioXqyofEFIhJEIJbVFdgjA64xmv+qXA6D6IvE6C3YoHkpqW4QC0mcFOoNN4WbfkeerAGAAU/xLATCAq/w3eVcAQDKU5CC1uzK1QMJOCL8Q59KHXvOQvQVb9C8FwG5s81FC6wFG3EoQB87fymMGtUbUihKRALO+YDxdjBKIF4eD1iLUEABO9aaiitHFYNjSJuZA/a9EDSCFhBCChRaRaDbWA2BhG7ZRbVm5WAY9DKSimlWfEBJRv64vcABXHgBsEaKIFWFJMmoRemszu8cMAx3hMoHcpaWKwVq52gDuiSaDgiP/K7Q0lvfkRbA15/cKABAAIJhusOKv4XwEAAmAXT63AiBAl/xroAAAZ/WKvYxGuNMGq3O0+WQAGFsbArsMdhgkKQDAGd1zCXCJoYsaF9zagcseX4vEhghUXoPO4p2QMCc/0hPCqx9bi0vu6YVMSngLasWBQKwk4XtZDbvdwqaH1qDvve2wkhLrPr4awiac1Ww1AewwLri1AzIm0HZ1Epd94wI0XRGDO++BZACA07vfFsGdV0hdFsNl31qL5t+IgxWDFRBfH0H3W1vhzquzsvEkCe6cQsdbmtB2ddK/DkakN4Rf+/IadL+tFc6MAlkUAOC0CX/OQ9Nr4hj4uz6E2iywMvaWBMAa6LuuHcmBCFThDDuFBLBrfI81N6wyWkcQSBoNRERYd0cXet/eBmfaWxEgEI2t9muE/4U+WElpNrpsZwlgxbCSEr3vbIcunllfgATg5TS63tqKSF8I4OqEk/L3sgYu+vjqKgga3BxYjWzzVVYtFb6ozlZhBoRNmP7eAg49NAUrIc+oL8AKsJIS49+cAQD0X9deEToJA0iqAQEAjH9rFlaTMNFKoAGO/6p0kRHqtLHx88sLH2T+vf9zE3j+g6Mojrmm1/ks5K5UXuPA5yaw+6ZD8DLKmCJVNRNEVRC0bk7CS+uG1QQNCQBio9rX39UNu1mC1VLhexmF3Tcdwsj2aVgJARElM2VL4IyYgdrPJYtgt1mY3ZnBs392ANkXiiZE1TUg8K/14qEuhHts6CI35G6LhrT78wprbupA0xVx3+GrUfsAvLTC7vePYOZ7Gditltl43zfwchpe5vTbAS/rf65v9NljWC0W8gdK2HX9QWSfL1ac0vLOMgN2q4X1d3ZDe3wOBsGuMACQ8O3+lXH0vrPNV/tVT9p42sCLnxhH+t9zCK2ywF6VinWmPbRfk8KGz/X6xvg0XVNBY90nutB/QztURoNdrlDRlk8A7bllBO6cZ5KuXENXK6Dpijh6394GN60azhSIhhuaJwhrP9BRDaGo6oCRBA7cP4mZf1uA3W5Bl3MBDOiCxoUf7sSGe3vR/jsprP7DFsPMWaeojdIKHW9qQtfWFqx5fwc23NcLmZBQRQZZBgQyLlGacPHCbWNgzWBeBAI/VI32h6q5gwAAy2/26j9oRuqymFH9NaEVSWBmZwYjX542foFXFb7KabxqqBt9f9EOVkY9r7lxFeLrI1B5PjmfwI/57RYLa27qAGtAO4z230lh0xf7YSUFVMGYJ/YYVkpg7kdZHHxgqt4U+NdoJSXW3NJx1mnrFQMAVgy7WaLnHW2+o0cVrUAEODMe9v7NEYgQ1Wl2XdS4+M5udL6lGez5/oIgyJjABTd3QBf0Sat+N21yDpFuG2CY7/YYiQ0RbPrSGlgpWdFC7AF2q8TII9NI/0euziks/739mhSSl0ah8o2jBUSj2H4vo9H8WwlE+0NgriFWfK//0BenUBxxIKKi6vDNK6y5uaMqfN9skAC0y2j77SR63t4Gb+HETp3xRTTark6ia0uL+eyaCKAMgg339hp/YNF7931mwgCjDuEMYRM639wMVdB1vk2gAWBOV/dbW+r3zHf6CoccTP6fNKwmWTnlXlqh7beT6HtPe53wy+8TNqE44qA45oBCtLxDSMunkpkBsgnujIf5p3NLKN0yCJpeG8Oamzr8PIShg2VcIrOrgOl/XajjB0iYa1j1xpTxBRzdEFpANEJFjSpoxC8OI3V5rO70l38/9rWZaqrVz8PbrRIXfazLv4tFkYIA5p/O4dl3HMDszgxkhMA1Tlnlczw2vgSbn1UoZgYoRMi9VMSu6w5i/PHZiiNa67OwBnrf2YamK+NQOUMIQTNEmDD21Rlopyb2J4A1w26x0PpfE1C5xtAC4tyrf4IuMlpfnzAC0FwVggAKIw4m/ykNKyV9x5DgZTR63tGGSI+91FkUQPpneTz33oPwMgpWs1UtGhEmnnfnPbDHsJst2M1WRaO4aVX5XmhAxgRkXOClO8Yx8si0seWK66ITsghr/0dHBWDMgIwZLTCzM2NYwcp7jBZo25w099oADTdWAwy3gYgKtF6drG4SzGkhSZj9QRbevPIJH4YuaUR6Q1j9Ry11PEFZcxTHXLxw2yhEhEydgGfCNV00advWNyTQfm0K8XURRHrtCn9Q2Odg9ocZTH13AV5Om7yCMs5auNPCgfsnEbswjLbNyQrQyt5+6vIYWl+fwOyTWVhJwwCRIEx/dwGrrk1V7ol8k5O6PIZofwilI+7RzdN5AQAClMOI9oUQvyhcK//KaZl9IuNvkn/68wr9N7TAbjIUMRYlh/Z+6jBKk64fKgJkmVMf6bKx7pNdaHldYukmJCVia8MVp3HvXUcw99Os+Q4NMBmfYu/fHEHy0ihCrVaFki6v3ne3Y+6pXAWMIkZY+EUezoyHUFv19exrluSlURQOOLDCdE4VgTi3kyxMiVd0bQgiIkzYRDXqf9RBZncBMmo2iRXDapJY9XupSnhYIYkEMPUvaUMPtxi1XxZ+6rIYXv3NtWh5XcIIVLH5rjJhU/6ZYsQuDGPT9n50v63VRA/S/F5EBYojDg49OGUEWUv0MJC6LIr4JWEoP+wUtkBp0sX807mKRquGNUDikgiYa27ivPQBiMCKEb84Urc55c3KPFvwnT8B8p3FxCURhLtDRmuKGt7dY4x/fRYi4vsRfsVueLWNjffXFJL4TmA5fVv2DcpOoAGhKexo3ZyogIA9A77Jf0qjOOqY93PVjJEktPxmArrIVeeOgYWf5ZeiHkBsfcREF+fYDzi3AGAG2YTkpijq9b9Z2ReK1U0mAruM5KXRirddGypmny8i+1IRMioqP9Mu4+K/rskoSjq+rB+XM3ndCHdaxpunKvcwszNTf6r9605eHgPKQmWGCBFyr5RMpCGo7hZjF4Zgt1rQ3rklhRqCB5AJsewpKRwoVb1lNqes6TXxerD4J2juJznD+pE53V5Wo/UNCTRfGa/kEU5kV1gz7FYLXX/SWg3ZfMDO/yRXx1aWLyW5MYJQq5+gguESSkdc6JKuSxIBxg8Q1rl1AM8tAPw43G6xEOmx6zaSyPDu7nR9MocswGqWy4Ilu6dQValkvP+O/9ZUk2U68UlbYKD991KVELRMWOX3OT6bt1iohoKuUMA+o+hMqfr7ZkBGBCJ9tuknOF81ADMgwgSrVgP43rIuapQmXZBtdke7jFCbjWh/DVh8Z1HlNQr7HAg/pGLNkHGB2LrwsqblRFq+wu0WwqvtCrUrbIIz7aJw0Kmjqo13LxFdYxuTUU5wZRRKk26tsjLXbZn7PtfD10QjpICX3QSCf6KX+dnij/AYKqfN3dRolnCXfdLyL59UERGI9JqTWmkHcxheVh/XNZPAUauDG2Hynmj4h+otbXRf/rSK5R260xWuLhG0OGoj/vHdB4Js4LE7bJfTDEcRdNlDry3CUFkNZ0adsuC1w3AW+yLiGE6lPE4N1yCdxY1hArylPyOLYCVrHCq/QaQ44i6xvVZ8ke21CG7aQ+GAU2EIT/KRnvAWFAqjvn8BQHsmOoheEKr3RXyeonjIp3eP5uMsvm86XwHg1/SXZlwjqFqhsgmTIt1V20tk+HwvrZbJ3QLxiyN+lRCZB6qCTLxOOCkElIE3/5Mc3Nlqlw+XGNHekClVr6WDfeLJy1Tr/thj2E0WIn1LHVcvp1A4YIB13lLBAAAF6JJeKlQAoU7Lt6lUYQ0zuwt1rykb6ObfjFfCQNYMmRSY+uc0CiNOleE7Qd+DFWPssRmIkKgwhNplpF4bq8tcli8lv7cEd84z8T2qVULCXhrvs8fVmsbzmgp22TB+WHpSExuiPl+OChG08It8neDLDlrq8hgiPaEqaydMoejL2w4f20FbTjX7pegHH5hCZncRMuYLkBkibLqBlyOjFp7Jm/r/ckbTMbkFERZ12g0ACgdduLPusuA4v6hgQciVAVDLBAFI/lrULwEzlbYiSsjuKRqVLKp2mpUxGav/oBleRlercxIC8z/N4pW7j5jXCz83r5fxzLmatyeLMPHteYw8Og0rJSpMoreg0fJbcSQ3Rus7lXzSaP7pnOEtymSUZiRfHa0Ht/9n7qWiXyFM53lBSAjI7zN8eUX+vnBj68KIXxSGKlZJmNIRF7PltKuuz8h1vbUViY0Rn7o1wLCbJA5/awa7bx7xmzWpyhfoRd080piZ/Z+dwMuD45BRUdcXKKICa27pqFPblbK1gyVkni0YJrAmc1lOPy+u/sm9WAzCQNaACAsUDjoojrtmYzUqiRZhE1rfkDBcuiD/9YTxb8zU289y6XVCYN0dXTVJGj9KaJKYfSKDZ/5kPw49NIX8vpKp6y8XdShG6bCLiW/P45k/3Y/RR2YgYqLyucI2MwH6b2g3adyaKqSyFhp7bLbiAJYjguSmqCly1TUVRMKYvcx/FiDColoBhfO0IogkwZ31MPtkFj1/1orKWFpfHbRencTIIzN+Qsio+sxzBcx8bwGr3thUUc+VLpzXxrDu41148eNjCHdaYN9EWCkJd97DgfsnMfroDMKdtqkIgik5L465cOcUhE2m+FRVtU5x3EXX1hb0vbu9MpugtgStMOJg8v+Wy9Z8TVJitG5O+qA2KCm/PvtiEblXSnW1iucxD2AybLNPZOqdO7/cKrkxipbXxY1tL9fqRQQOPTwNldd1LWDl+vuuP27BRR9bDS+n/Qyh79jZBLvFYL4w6mD2ySxmn8wi92IJXGLYTRIiSpVSMFaM0pSHri0tlXbvOlXuO6gjX5qGylaLVrWjEekLmWQU17zHl/bsExlzXUFRaLVEKvNcAfn9pYqQ656C9Z72ypWWncHcC0UcenCqosLrxsdpoO+97dhwby8ifaGKQGsdPREyRJOV9DuLZY2D6JsiKyGx9oOdWP+pHlhJuahVzWiCme9nMPGd+bqiVZXV6PrjFtgtsk79QxC0w5j5QRYiKqqm6rxvDJGm3fvw43P1Ib4vzKZfj6H1v9RU5yjAbpEY/foMZp7IVOr066Z4uYz2a1LoeFNTxSlcjqItdxbXJXDIZBibroij/zqj9mtrAMtTSkqHXbz8V4eN1ihnMR2NcLeN1VtaqhXGZcCQOf3ZPQXjYHJABVe1QFxg5vsZU5otloZpa27pMKdG1WTqwoSXB8dNa3YNCMqNIdk9RYx+ZeaEJ4ewBqykwNS/pDH/05yx6Vxff+hlFF64fdQQP6HqbAKV1Vhz4ypTUFrHFJq/THxnvmFKwhsnGcSACAkURx0c+Yc5f8IG17RYMxKXRNB/Qzs8vwun7J17GY1dNxysB4G/uQfunzDNmNbJZeRIEvZ++ohJNcM0pJS11e73jyD987wBl+drsbRG+zWmM7mWJyj/feEXecz+KNsQdQCN1xyqTa/92NdmUBx3TbjENV04Cuh7dzvarkmZPnzL/ExGyQjkxkOVNi6ShCP/MGc2+yTn85S1Uvb5Isa+MWNCRptQHHWw+8YRpP9fzlQf+61qusgId9t41bauuorlWlr5wH2TaLTHL4lGyv2TTXCmPRz8wmRN+FTjDwBYf2c34usiJua2CeyZqMDLKuy67iBGvzqD4piLg1+cqhSInvQleaZjefQrM8g8V8Dskxk886f7sfBs3gjfZd95NEpnw2d7TQPLYn9BABPfnsf8v+cg441z+huuIIQVw26RmPxOGjPfz1SYuTqyp0li/ad7YDdLE3r5U0LJJoiowP7PTeCZt+4zYePp4Nl9c73rhkN4/oOjUFltMoG+OYAyDuOrtnUhuSlaN8+oPNegOO5i/+cm69LbAQCOxQ5GCS//1eGqKdD1UUHikgg2PbQGoVW2PwWEKqGjFRemNv90TQxjU4zKnuERKGRASRZBl0xz6cV3dqPzzc311cd+8ogV46W/HDfXaVPDVQeJRiwDEyHDDr70ifGqF81LQXDZ42vRfEUc7oxXn8c/3ePiGNXIpJzPTyvYbRYuffQCM5+gdphVDU9w8IEpzP/Y9AyyCkrCTmgg4/zTWez1M3m8zNydUJuFTQ/3m9EwtQ0WfObqE4nMSJrWqxK47O/XInlpdEnTSXlewcR3TEax3JiCoCbwxEfGjH595qggqAyV+mAnLrx9NVT2LIyKzWr0vqsdA3/Xb9rNdH19YK3wX/qEyShyMCv45DVBqN1aCoKaFC60afSc+3H2zFfX+LWK6Z/l4GV1hd2r1vgtEn5cnLZxdefttHD2eAkI4Gf+yqp34h/nMPXdhTPuZTMbbmD+6RzGvznjF55wXeHqShL+inleAHuMUJvE+LdmsPumETgz/hRuAtw5Dwe/MHXW2DX2GHabhdGvzCD3YhHk9yIy+4Ukn1w5wl9RTwxhVS7sWMAzb9tvOHp/Ipcz6UKEzl5yhaQp+Nj3txOAAIqjDp5770GMbJ+uKyRZCcvCCloGBBacKQ97bjmEltcnMfdUFjIh61LCZ+M6ZEJg4ed5vHjHGNL/kUdp3DUsoOLgmUFnOjoQEQIEYfpfF87dHfjU9eT/SsOd8+qqiAIA4Iw/CNef7XOOc+psSs1MYopX5FZaWMGrEXj1lSr44NnBwQoAEKxjA4CD7flVErTk4wZAUdvEYMuwrRTsHlbqw9Wr/7msreMFAMUKs64gmtes4SiHiQIQrEThu9pFSZVIg11L8jwAbMEWPioACMSDGKSPzHwkA6b9xFwBAAcWYcUBQLHHnvZIsZtPi8wry5n2JRpgDwbI/80hQCDv5TgwAyssPAaDiFDySsxaAyQmUkqXlptHsgQAG7GKzLP76GcEQtbNBDu6Ep0+Esi5WTMrhWjXh0Y/VNiCYUGLHl63BADbcJUGACnkjz24KlNakJ72AmdwBa50aZ4JBMn0w9rD/cucQAYA5cw9r1gfcTyXCl6eBQWUwUqy/572kHEWpAdPkxA/qj3cxwQAgXgYw/K2idtyUojvCwhM5aeUIBk4givE/kuSSJfmtOM5pKH3yXDuOVPOSPqEmEBmfFWT5qn8hPC0G5iBlaIBSGAid0RLSBDom7e+cmtpEIPyuImgrdiqGEzZdWNPavZecNwSTeaPaEtYgRZo8CVJIuOkeTo/JT2oEgs8hmOMyDqqBtiBHWLoB0MemD5tixCNLBziwBlsfPUvSGJk4ZC2YBOT+p+3j1y/dxjDcghDJwaALdiiBzEoQrHi4w5KL5bcopjIH9GWsAMt0MC235z+SWjSjtb6bgC0mP07LgAQiAcwQLe+cmuJCbfYIkQH5vdy0csjiAga1/vfO/eyClNEKrj3fmT8xheHTeyvcbLjiocxLLdiq7qn56HhEEJbouGo9+qOX7c8DsxB45x+DVuEsW/+ZT2SPiQE0T47Wrh89pXZ7DZs48Xkz7FmWy8HAAAQblPT90LQWwpuoVWT5o5YJwUgQANUx2mERBjThUl+efZFbQuLXbi//+GDN++9Ck/Q5mMIHziOkjACMYOJRmn27p6H3haR9k8OpQ8gJEPcl1xDjnYCEJzDkx8SIaRLc9gzvctLyJSd0ekPfHTsxp8OYtAaAnk4HRVBBNLDGJYfH7v+aYcL10dkVLw884IeyRzkkAwHTuE5cvpsEUa6NI9nJ37uRRCx85zd/tGxG+8zwh/yTvZRDUddg9hpDWGzd0/PF/8iTNGHCzqvLmxeR/1Na4VmBc060AZnI9MHgiVsTBcm+fmp3V6YwnYJhe0fHr3+ukGwGDJF63zaAQAAO7HT2lwGgYg9XPRyaIt3qPWtG2RIhuBqF0El0ZkRfJnoAQgH0nv1gfQ+SskmKnBu+4dHr79uGMNyC7ZoOk7hn/RDS8oq5lNdD15ri9CjBOqSUngXtVws26OrCAR42guAcJoFL0gg4yzw3rmXVLq4YFlkeQx124fGrruPwQLmURl8qk/rOa5VDg8H+x7obtLRRyyyry3qApoiTV5vao1sjbSTIILSCrqGhQwAcXwCL++VFBIEgYyT5pGFQ3oqPyEjFIGCfslVpXfffvh9Txm1T3wyhbynJI0yCADg3t4vv5uY/9qC3V3iIlKRJrU63kWt0XYKybB5WgqzAQOjDhTBqingJAHh12B62kO6NK+PZA/zTGFKWrChoRwpxD2Hs1P3fnruo+kTcfjOyHOrGEzlcPEznQ92WFb4Rg3cICE6FXuQloWEnVRNkWZO2kkKWxFhCQlbhIgb48FZ5/zJeATAYw9Ke1zySpxzc5wuzfGCsyAdzyEJCQVVEoK+pdj57G2jN+7yTbE4Gsd/1gCwnDa4q2N7Z8y23syk3ulp70qbQpZRbmaYsiCJiBUJVEDNcpRDnvaItZkuLUBw4UFC7CHQDqW9xz98+PoXynt9os4ezsaT6xhMO7BDlIEAAPf3f2Uja/kbTPoNWqtNitU6DZ0KUVhyYAaqFTyGVZ0D4Ygg+bxg+iERPdU9mvh5eT+HMSx3Yzef6qk/448urAHCkqfzPLrmH5snMN2VRHR10csdDxv9K74ULIShhJdpEW2vxA+6mdoDdKYEf9aeXTmIQQFADGCAlwNEsJY3p7uxm/ZggHec4T2jcxDm0DZso4Fy/0GwAAA7AAwbux70ZQYrWMEKVrDOxvr/mOIDH04t+LYAAAAASUVORK5CYII=</t>
  </si>
  <si>
    <t>Follow a message from my approval to whether anyone actually got it.</t>
  </si>
  <si>
    <t>profile-process-steward</t>
  </si>
  <si>
    <t>#15803d</t>
  </si>
  <si>
    <t>cycle</t>
  </si>
  <si>
    <t>iVBORw0KGgoAAAANSUhEUgAAAIAAAACACAYAAADDPmHLAAAc7klEQVR42u19eZhV1ZXvb+19zp2HoooaQBQQcIAClEQjqF044RCHmOQqDtjoS9J2om37omg0SYVn2mhMYqKt773YJirgVOnuRI2JmiiFirYSW+YZmSzmGu98zt6r/zjnXiioCakqbpV38xUf31eXqnvPWuu3hv1bawHFUzzFUzzF8zk99Dn7vYV+uL9/oewXYddCADUSo0YJzN4C1Pf/Bx0QpxYCFTGB8nKJ07cQVg1kS6yFwMIagfp6+5DvxSCjQydGkBQMS3++0cAUjICm8N5genvd+6lDn1XMMdK6Ot0XCNH7Dz8GiRehQe6bra0xSre2nKCITyfNk6H0JNYYBsFV0Fz0BmCACMzUJiRtAGELCEu1Fu8FfcaKHb/+W7KdMvSyIlCvWvyPwDnBl9xQPQlEs5jxZdb6BJJC8v7PCyFEEfJzXp8A1gzNnJcIKQYLbBVC/FVDP9eaOPlN1NWpvJHVQRWOAjiaqQAgMrv6AsHiTtb6XBYkiRlSSpgBrzL9Xjb9HhKGJMNjUjEQAMAMIoKyFSvLZjudZSuVhZXMSNuyiQkgR0mWgehXLQl7PupWZVELgbngI0UD6i2rH3L9pGot8VMQLmalIYWALxqwA2URYXg9JExJlHu3zOCi9NvBABEBRHmBaKVhZy2daorrVFNc2lmLyJAA8wrBmNP0zPI/HWx8/asAB8BQdNbEH4HwPQZ7JIQOlEc4ODQqDI9JzAzWOid551cWk8AuksD9z4gEgYiglUaqsU3H9zSzlbEkGRIEfl4p65a2eWv2HYkS0JFAfuC6k4Z5DPO3LOhCWBqhiqgKlpdIw2OCtXYET0VpH6mLABGEFNBKI9nYptsaGqEEC8FYT5a+senZle+ipsboMOPq9TpATY2BV19VkesmnGaY5lua+RRDCLvs+GEULC8RIAIrVxmLwu+FKM15hjlj8oYD5C8JkRVP21baKidT3OCdMHRn5pUlS1BbY6B+i+47BYjFZE74wpCvaaXL/eGAXTZmuGH4PMR2UfB9rghKQxgSgbKIAFhlWlNSeI3LvRMrGjKPfLAEsZjEqlXc+wpQWyvw+OM6cs3404XHeE3ZakiwNKxKj68yQARoLgq+HxUBzPCXhISQEqnGNi08xhXeiWUNmefqD0sJeioxAYCDM6srDC8tY6UrAkPCasioSslKF4VyFOMDYRqI72rm5u27tfCaUmfVjNb5K97oaWAoehjxEwCYJs1j5gpfJGiXFoVfEGigLYVQZQlFhw8llbaYBM0LzqyudIUvjlwBYjGJOqiS66t/yAZdIKW0hxxXYWjNKF7pFMZ9rqMEQ0SgJKQZXGmYNA+1EDnD/ewKUFsrUFenwtdNPJEF7uWs1qUjK6UwpOvzi8+/UJSAmVFyXIU0pLRh0gUlm8bPQh1U/jLpsyHAXOdFxI8wYIYro+yNBIiVKgq/0I5mCFMiOqJccEZphnggPOukMrxYp7uK9USX0D8XOnrDhHMgaYYgoYLlJVKrYnGnYFFAafiiAeEN+TUMUSUgbwWB8WJMHL4CjK9jACBNP2DNCA6NwPAYgC4GfoVdSiaEK0skZxWD6ZbQNScMxVWdo4Do1PfPhR5yw+QJTDhbCMHBoVGpi7l+4aOA1vBGAuSgAJVJw3slAEZtjTwMBFgonPKjfSMLMnzRoCpa/8C6Xg6UhcGaGczfcCh59fpwCkGE2Hgz6qVlEOLEsjHDtDfoF6x0MfgbIPUBVhq7125jZSmLSUxsm7dsnWvwujsEEAA47DNGMdFoKSWbPo9gLqZ9A6pCaAiYfq+GJI9gnubS80T3LsB9kRA8DYI8pt+jhRQoMjgGnhvwBn2O0ARPBwBMqOfuFWBChfMixacBgOn3MhEVFWCARYPMgOn3CmKANSbhW18wEYPuXgFW1uV4KScSACPgIeZiL8dArAwaPpOEIBDzqNJEi98l7FJXCkD4EXhE7Aw/gGEAIA1ZlPxA1QMhQEIwC/JlhfcYN8WnrhGAwK1o9UPjWCEEpMvrKwLAgAwESZoGQ8Av2BwBAFi1qp0kjQ41x5QMYmtQN0QeXNBigAfr9SYDJDuWp9HF/6LBkRITBBx2LbMjYsUKSrXnSggiGMLI/5vhNGrwYAl+uWMMNwZnHYQgSICZkVUWMnYWlrJgCANEhLA3iGggDGbOo0HWzmJfsgUAYCkLUhjwGSY8hsf9Wdrp3BlkZ1ApgCQBEJC2skhZaRjSQFV4KCZUjsGEyrE4vmwEKkNlqAyXoTw4pF1InMimsLmpAfFsEqt3bcKGvVuxdMdafNqyC0krDZ/hhd/0gkhAaVVUgEI6gpxYtjWTgGaN0aUjMG3UKZhxwjR84ZjxKPGHu/0ZEV8IwyLlAIALxk0FAKSsDFbv3oTX1y1G/cYPsWbPZmTtLMK+EAwhB4UiGAMd6iUJtGWcBtpzxpyOKyeeh/PHnoGQN4D9XAmGZp2He+fPoUc7kSAYDEEEv+nFlGNOxpRjTsYdNbPx/pal+P3KN/GnNW+jOdWKqC/s/nxdVIB+h3shkbGzaMokMW3UKbj9727AWaNOzX9faefiSoAgiCBI9oAj375tjeEEgcwMQ0icNXoKzho9Bf9wRgyPLX4e/7H8L5BCIOgJDFg0GJAKYAiJplQrjisZhp9cfBuurD4PUsh81C4EQfZC+zm52UNOKTRrMAPjho7ELy+/C1+fNAMPL3oG721ZiiH+cB5tigrQZ77eqWXuTTTjopPOwk8vuR3lodK8cASJPiWsCDfIdITMOGvUqZh63GQ8uPBJ/L/3XoTP8MBjeAYUGoiBFOFbykYym8Y9530Tv73qPpSHSmG7DzsXCPa8UMbtvw5TEQUJKNYQgnDPud/Er79ei6A3gLZMAoaQRQTobeGn7Sy8hgcPXHI7vjrxfOfhg3r0sA8s6uSERx0ghQPxTnIoiDp8zSFpJwBbK1x04lkYEa3Crb+/H5v2bUfEF8wrZxEBekH4YW8QL1z/EL468XxY2obsRIjtBcpQWoPgZAuGkHmkaEnH0ZpJoC2TQHOqLe9CpJCQwvnZmnWPInxDSNhaobpqLP4w+xF8YcR4NKfaBgQSGIXu87PKgtfwYN41P0F11VjYWsEURreCJ/f/gwiJbApLd6zF0oa1WLVrIxpa92Bb8w4QCZBrwZWhMgyLlGN85RhMqBqDycNORFV4aDt06MrNOHUBjYgvhKeu/jGueXYOlu9Yj6gvVNBIUPAuIKMsPHTpd/PC786qlNb5DGDN7k8w76OXUb9xCba17ETWtiCFgwQeaeb9PgHYl2zBsp3r8Mc1i2CQRHloCL54bDVumHIZpo06BYKEW0vo3DVI4VQJI74Qfnn5Xbhq/h2IZ5LwSKNgswOjkFO9PYkm/PD8m3HFhHNhabtLy9euf5dCYP3eLXjgrSfx9id/QyKTht/0IuQJQHjJze2dIDCf8zNgSgMEn3NpBEYim8KrqxfhjbWLMb5qDOZMvxE1x5/mkqV03v93VJ+wtcK4oSPxf6/8PmYumANTGsUY4LPk+Zec9Hf49rSru4V9B54JSms88s4CXPbbW/DGuvcgSWJIIAKPYUKzhq0VlHb8+oFFnlyQqA54jSSJEn8YAY8fq3ZtxKzn7sE/v/Qg9iSaIEk4haYuYwIbZ4ycjDnTb0RjsrVg4wFRiOXdtJ3FsSXD8NCX/ze4mxRPacc3b23egWuenYP733wCBELEF3K/rz7TlS6D88oSMP2IeIN4celruPy3t+Ldzf+dh/vOK5UGFCvcPPVqzDhhKppSrZ2iRlEBDor62zIJ3H3OTSgLlrgCpi79/cqdG3DFU/+E97csRXmwFATq1WKMZg3FGmWBKPbEGzFzwRz8btnrebjvjHSiteOWfnn5XSgLlMDSCuSml1QgHVZGod3qtWWSOGv0FFx80tmOr+0EOjU7wl+xcwNmPXc3WtJxN+K2++z92VrBa3hgSgO3v/wQAODrk2ZAadXufeZSR1MaiGeSmP/RK+73GQRCVmWhmeGVnqPOQjIKj7jCuGv6TfBIEyp3g9ehzxfY3rITs57/HlrSCQQ8/n5Jt3LxRtgTwG0vPYioL4wLTpjqIJUgaM35LOSV1fV4eNE8rNi5HiX+MLyGB7vi+/CN07+GiVXj8M8vPYjy4JCjmiYahQT9LZk4zht7Bk47trrTSDvnz21t47sv/wx7E00o8YX79SE6GYdAwPRhzqu/wEsVj+KYaIVTcBKEpQ1r8bNFT2HRpr9BkkBFqBQMoDWdwPiKMbj7nP+FsDeIdzd/jLplr6EiVApL2Z/zGMDl7MUmzWgn6M6s/9fv/w4LNy7BEF/kqFiQZg2f4cHueCN+8NqjECSwJ96Eu159GFfPvwMLN3yIsCcAv+mDYg1LWQh6/PjXK+9B2BuE0gr/ctGt+OKICWhJx49aliAKJvK3MhhdOgLnjDkNDO7Q+rUbE3zSuB2/emcBSgORowqftlaI+sJ4+5OPcPtLD+Jrz9yOp5f8AUSEqD8E5ZaSBQitmQR+fNGtmFA5FsoNBiO+EB6+fA6CHj8yyuo02B30CiBJIGmlcfboKQh4/NBadxolM4D73/w3JK0UpJBHPYhi1vAaHvxu2RtoaN2N8uCQ/YQUtybQmGrFP5wRw5XV58F2A0bhcgvHDR2Jn1x8G9JW5qh0X4nCGG/jMG4uOvHMTieN5qB/076tqN+4BCFPsGDu3ZkZUV8IHsNsh0iGkGhOt+Hs0VNQe/4/HhLX5NLIKyaci29Pm4l9yeZ+dwWiEOA/qywMj5TjlOEnuW+KOswOAOCpJS8hnk3CKLCFEyp/lbz/IittZ1ERKsXPL7sjPyT9YGSTLhLcWTMb08echpZ0vNPUd1AqgAAhbWcwvnIswr6gc+Fy0ENiZkiSiGeSeGvjBwh4nMCq0I+lbDz2lXsxIlqVzxw6MgAiASEEHr/yXhwTrUDayhw2wWVAI4CtFKqrxoBAHd6aadf6l+9ch23NO50CSgFz7wxhYG+iBXOm34gzRk52/H4XAhXkfO7SQAl+cdkcWNrut9hGFIL/lELi+LJj80TMznL/5TvXI2sfnWgZPV4CZmBfshkzT7kI3542s0dX2DlXYGuFqSMn474Lb0FTsjXfqja4FcC1gOE58gV1jBIAsHLnRkghCtb6pRBozSRwYvko3HfhLa7rEod1C2prhRu+cDmumnwh9iQa+/wqWRxt+FesEfYGURYs6XRqlQDB1grbW3a5qR8KsknFUna+2BPxhcC5XUCHmRJr1rjvwlv6pUh01BEgx6CpCpd36ALYnXeTyCaxrXmny+ThArxWbV/ssbX6TIEcudT3/ioSFUgdQHd7i9cVFasQCCwHF3uOxGplPxaJROEMbaBeec3REH5XxZ4jaX3rjyKRKKR+/u6yBVurglKCdsWeSzsv9hwpEvRlkUgUwkPM2Fm0ZRId7k/PkTR9pheV4VJY2i4IFSC3hJ2xs3j0iu9hREkVbKUA7O8nONIvzkU7RPjXr9yDYZFyJLOpXi0SiaNdAzDcvHlby852Jd+DX+c1PBgRrYKlrYJAAUECiWwKc2d8B9PcrmRTGvnOo976MoSEJIGhwSH49ddq4TE8+1vdBw0hhIHWdLwbAgZwUsUovLzyLQdij3IiYLvp68JNH2Lhxg/d+yvqU2MxpYGIN4jmdBuMXkIBoxBcgKVsrN2zGeePm4qORtLlfOqEyrEQQhbE0FJys5e3Nnzg5Pvoe51kBgIeHwwSvfa7jMIoBQus37u1nbAPzrEB4NThJ6EiVOreBsqCqAiGvcF+c0ica2AdXKVgx79/3LAGaSsDSYeWenMVw/JQKU4/ttoJhAokG8hRxvvjqy9G0YhCIIN4DQ+2Ne/Eur2b293+dXRmf/EKGNJAcXT1YKOEZdN4fd3iTgmhOWQ47dhqVFeORcJK9dudeVEB+oNha3rw5oYPnSaLTgSr4Vwdf+/cb7h9/8UzaDiBAdOP1bs3Ycn2lYDr8zusjLHGmaNORWzSDDSmjn7TJQ3wJVqikMqqGTuLf1/+hmPZnUT4BKd/4PvnfRMjhwxHqh/pU51dAcsB7IoK5p3b7rXwK6sXYUtTgzv2TXdMn0KOPnUnMiqbb9fqb+Fn7CyGBkvQmkn0K5Fz0HYHG0KiJR3Hr96Z3+G9wMGXJFNHTsbDl81BPJtyB0CJfikAmcLAvkQzrp9yKV6a/SiuPfUS7Irvc8u3VFQAHAE5pMQXRt2y1/HhthV5n9/ZdanSyhnWeNmdaM0k3Ingsk/r/0QCDW178K0zYpg74zsoD5XigUtuxw/PvxkJKzXgXIIozMlgEg+89WS+8aOzit+BSvBvsf+DkDeIJjcw7O3gzBAGUlYaSSuF2gv+EfddeEt+BrFijVvPvBa/uPROmNJE0koPmFmBovCWYGuEvQEs3vIxHqp/ykUB1SVxQmmFi048E//597/C+eOmYm+yGZay3bFwdER+PifIPYlGHF82AvNm/gS3nnltvn9BkHCGWGobX514Pl64/iGUh0rRko4PCHdQkAhga4VSfxSPLX4Ob6x7D4YwumwCzSnByCHD8NTVP8ajX7kHFaFS7E02I2Vl8oLMzRbs7Do5L1D3tVnbcpZIEGHO9Bvx+9mP4KzRU/J8PzqIDq60QnXVOLxy02P40nGTkLGtgk8TjULeceI3vLjzjz/HgugDblet7nQIdG5YNAH4+sQLcO6Y0/H6usWY/9ErWLVrI1J2Jj8ezhDGIRCtWMFWNjK2BVvbMISB40qqEJt8IS4bPx3Hl47II1Rn8C7d4VDlwSF45Iq78eXffAeJbBKSZMHuIypYBdDM8BgeNKVacct/3o8/3PgoIm5ffWcpVw5yldYoDUQx85SLcdXki/Bxwxq888lHWLpjLTbt247GZAuaU61569TMCHkDKA1GMbp0BE6uHI2px03Gl0ZORsjjz/f+iW6oa44COj/zpwt/g72JJuc9F3AbW0EPilRaIeINYtO+7Zj9/L14eua/IOwNdsu6zTWP5OYJ5JY+AEDazqAx2YotTQ15GLe1QmW4DJWhsnaLJnLvgVw/3/3oGAGQxA9eexQvLH0Npf5IwfcwFvykUKdAFMSH21Zg5oI5+Pml38VJFcd3qwTONhGniSS38EkQwWd4MTxSjuHuepiO+AmaNUDkDp6UPXqPhpBozSTw/T89gn9f/heUBiJdzhIsBoGHqQQl/jCW71iHa5+9G+9s/m8YbqWwuztycvP33KDo3IDIQ+/aOd/JkwsCu+Me5pjKhpDY2rQDf//8PXhh6Z9RGogOCOEPqH0BuVJxWyaBWc/djUfffTZPnFRa95gdlGswkS6s575EF9lBZzMKc9nFn9a8g688fRs+2r4aleGyPh1V97neGKK0gkcaMKWB+//6BD76dDXuOfebGDf0uHb+uq/y7wPjCikE9iWb8dji5/HkB/8BjzQR9gWP2rSvz83OoNz8gKHBEvx1/ftYvPljXDfly/jOtJkoC5S0W/wgerBToKfLJsBOcClJwlI2nvv4VTz67rPY0boH0QPG0qK4NKp/g0OlNf7/ey/ij6sX4dpTL9mfs9N+hWE3qMuDPHUM9jk34qyP4wMqfU7Lz95EM/6y/j0887eXsWzHWvhNH0r8kQG9P3BA7w3MBVpDAlE0Jlvw4FtP4on/+h3OHDUFF5wwFWeNOtVZ+tDByriDg8cD0eLA9XHxTBLvb12GN9a/h/qNS7C1eQd8hgcl/rC7kUQVF0cWQmxgSgOlgRLYysarqxfhlVULURUZiolV43DasdWYWHUCRkQrURqIIuwLdpjXt6TjSFopfNL4KTbs3Yr/2roMy3esx+amBiitEPD4URqIglkPmCj/c7M72EntFASR45OJ0JZJ4s0NH+D1de9BCoGoLwSf4XV3B5fmGzoAcncHfwpbKexLNueHOfoMr8P9d3cIDaa9wYNyezi7ZVswYJBExBt05g4yw1YKrXYc+5ItsPU6NyJwqvSSBDzSzG8Xd9wB5698BysPvQsFIB74ysBQbgS/f9+fkV8Pc7Di5IPAwShw6vgTdagAbCmCSUZnUzsHMjrA3RmEz0trSU58moyeVgLJzCgLRM2sGdqymKjIwB+Aq9WhlYa2FIHZYtjNAIDx47krBWDUgva9tLYNxJ8wGMpSjM+RwQyqeEgza6UJGkkScgMAYO5c7hoBJri1EoitDMBO2+wAQFEDBpKvIyIoy2J3mMSucNLf4aSpQxVgZY2rALQEAKxUuvhAB6AGEAFWMuvsOSdasb3u/RRiEAdbcgcxwHTtxAx6MTQrK5mRWmmg2Ig54E42kXZHDNHbjv+v6QECuD7Cz2I1NO9Ulk12xnJUqugFBkgAKKCVhpXMSGjWDH7nQOPuLgtgvBiTu+YvSxDRm5qAVFNcOVzMogYMCP8vCJl4StuWRaSxqXVPejkAwty5umeEkLr8t58iBqea4sJxA8V0cKD4/2Rjm2YiQNAC/HlDBrU1sueMoLo6BQa1bBuyCIrX2LZNqcY2LaQAuIgCBW39UiCbzHC6OSFJc4ZJz3Nc+3R9eJSwq2IC9fU2Cf0gSUFtu5u5iAIDwfoJ8d3NmiURNF5ofWblRsRiEph7mApQV6dRC9G8J/s8lFprZy2RLKJAgVu/RDaZ4VRzHMTIatD9AOjg6l9PSaGMVTHCnzdkmPBPZEhq3dHIdtYCRDElLMyaP6Nl+17lUqZ/1rZg+VrEYqKj4C93uia9r1rFiMVk5rmFG3wTh05gQdVWPGMHy8KimBAUFBkCwpBobWjUyeY2KUCbpE7PSn210cLjq/jIaOGuK+A03yw0NqXjKdna0KiFIYuuoGCEbyDVkuC2XY2apFBKWdc1LtjQ2u4S9Aj6AhgAWutWNSptXysMibZdTYjvamZhGkUlKADLz8RTaPpkpy38HgO2vqNtwZr3UVNjYC665a31bIpBPRixmMw+X7/NN6GsQXjNy520UJI3EiBWjOLMtqMgfNNAJp7G3g2f2jClyZZ6onX+yntRU2Ogvr5HDQo9H2OxahWjpsbIvLJkiXdiRYPwGFekmuKaiOCNBCg/zbiYJvY9q4Xgwn6cGzfttGFKk2z1RMszK76FWgg8vaXHjNXDm2OyZYtGbY2ReeSDJd7xZQ3Ca16Rak6QncwoXyQgpCnBmjtd/1Y8vVPoISK0NuzTzVt3E/kMSVn1RPO8Fd9CLCbdoI/7RgEAoH6LziGB5+Sh7wtTnGdlrUi6sc2WHpNMv5dIOCTMIiL0Fo+NQVJASAErleGmzbtUsrlNkpQKir/bMn/FvaitFXj88cMS/pHZaSwmUVen/DNPHO71en7Dgi5kS8Eb9NuhyhLpiwSJCNBK5z8EDmi4KJ7uhQ4ikBAgArLJDMd3N+tUU1zCFCDmdZTVNzU9u/Jd1NYK9xaXPytl8IiUAACis6pvAtF9kDScswrekF8FSsPkiwZJmNIhWbPzFxczhw79OohAtH/8rFYambaUTjW1cao5IVkSiJEF0U9FMv6zprpNLYcT8PW+AhxIOCZw8PpJFYbkb4NxMwQqWTGkIeHxe5Un5GMz4CXDYwoSAsKQRYLBgY9QaWilWFk22+ksZ+JptpIZaVkWgQikkSGBZ0nRL5rmL1sBAKiF6Emq19cKcAgaBGdWV3q88nINPRtKn85SGACDmECCIISANA1dFPx+IShbkVaKcoMqAAJpBohWgVCnwM/Hn16x5oBnrdELFkS9/lliMZFTBAAovfGU8Qr8JdL6bGZUQ+uxzIjk57cUYwK4U6hAhCaAdpKg1Ux4m0m+25oY91H+ecZiEuPr+Eitvi8V4GBFOERLo7dNLpGN9jBlGlWwbQzC7rTDPDZgGGBLtVGp3NDScELbgQbUV4Lvv1MLgZoaw7mTLtp7j91pTY2BGPr8mR0NgRBqQVgVKyoDDuLh1eUtvBgdF0/xFE/xFE9fn/8BGaJf8CouHX4AAAAASUVORK5CYII=</t>
  </si>
  <si>
    <t>Keep procedural knowledge current, owned, and exercised.</t>
  </si>
  <si>
    <t>profile-knowledge-authority</t>
  </si>
  <si>
    <t>#b45309</t>
  </si>
  <si>
    <t>keystone</t>
  </si>
  <si>
    <t>iVBORw0KGgoAAAANSUhEUgAAAIAAAACACAYAAADDPmHLAAATM0lEQVR42u1dfYxc11X/nXPve28+vbNrd+31Onbi7NrYjkPSpPnCqRNQWxWk9q/1HyAkWkFblVAkIEgtTWcnIaUthRaQKtEICgrQ4pWQKhCkFEpdJ2kK/YAmdZo0TRrXce31937OvHfvPfzxZuz12t7szM7svNm+I61s7czuvL3nd885v3PP7z0gtdRSSy21n1Kjbn2upGt/NUfIWgQAlcsgfBUMALgPrlKBS11+pZXL4D1HQN+bBB0ZhExMwHUaFB0DQBlg7AdXDsEsfm1sDOr+Oaw7OQPJ2K5FoURYVcVr4BtUf/cZzC9+/eAY1ASAToGh7Ys/NgZ1cAKO6hdb3g9dUP4OsXSHJfysdXKztTJEhE3O4afb+3WPchwbpxXTSwBeZeD/SNzX+/vMc+/9F8wtBMOBNgOB2rnjxwFpOP7Rfd7NzPyr1rlfcoIdnoKC1F8kAhOnMX+BF5xzgEjsEAKMA4hwVBH9J4E+/62Nta9MTMA2Nlnj/4kAQB2ZFgAefXPwFiZ50Fj8vCZRDgSlFPKBtsWsJ7nAI4+JAl8TJC0F4/1ACI2VyDiZj4zMVA2m5yMVGUMMgQPARN+1kD+LTkd/VzmCsFwGj1cubbiuAGDhri/f7d0U+PwJEnm7dQJmhYFiYAbXZTkXaPIUExFBRCAAJHX+IkcQiGIwQIDIOdRC607PzLvJqaqKIkMeAw70nAN+/8NfC/+tHdGAVpLrGx/8yL3euAJ9UCA+iN2mUk6G+nOc8TQ5ETgXOx1y6RMp9flV64HGfiYCmAjMBGMdTk3Nu9fOzkotMspjggN9YWq+9sDH/gdnFkbgVQFA4wM/dC+GCuR/ThPeVrXA5v68HR7IqcDTsM7BufgTUmevABQSg0ErvgiEV0/NgGFZhH8Qin1X+UnzVHk/9NUYV9sB0Pigh+7Wb8r5/EVxMsRKmx1Dfao/H5CpO55Sr3cMCNXI4MXjF8zUXE37ik3VufePPxk99l/7oe9vEgSq2Z3/wL/CPnS3flPO4y8ZJ2/oK2TMni39OhdoiqxcDF+ptbtQjP+1TqAVY2Mpy05gz83WVFbzO/Zdp4+/67D95sExqIkjyy8MVTNdqgc+A1e+S9+RDfhLoXX9b1iXt7u29Ov4wlLHryYQnAAb1mVYMWNyquqymt657zp9/DefaA4EtNxqvwLIB+/EYCHwv+ucDG4o5uyOzX3K1gu81PfdSQu+Zhw7Oys/PHHBZX1SMxG99ZGnal9ebmG4rG7MnrHYvznff5xEBkv5jNk5XFLWSVrRdzkahMZhy/o83TC4jqqhk4Dl8Q/eiY0HJmDLy/AvL7fif3if/5GA5S2slBkd6tPWOaRMPlEg4IFi1jFkY87zHy8D3Ni4LdcAUgbf9Bm4h+/xdyrG540j2jXcz7lAk5V05yftTL+/EPDJqZrxWUbdML/y/ifcd16vHlgyAoxfetefQ8Qb6s9Lfz4gYyV1fsLM1euBGzeu42okjog+9tFfwPqxCbil9iovFforFbjKm4P7fcZbwWyHB/LKOJdW+wmNApEVDBQCLuYC5ynZZKvebxEgE2PX9vM1X/je7jhssJOHrBNsKuUQeCru7qWWaBseyKuagYDogfJ+bDiwRBRQ1+hJ8/2H4B7+OW8PE/0Rs6LRoT5Od37yo4ATIBdoOj8bOXEmz8576StH7bewH/rQq1dOYl01Aozvj79PxO/SLHqgGNiMp9Pd3yMnSkzAxr4srINYkV8vA4z7rj6GR9ec49sNjwe872qinbu2DLi+nM/GpcVf7wyYCP73R6clMjZSoL0fejJ8UcpgWjSPyVejfgAkGPCvV8ANSinJBZqtpM7vpQ6hpxn5wHOa4TuiewBg/KtX+vuKbzTe5IjuUQw/H2jnKU6Hd3osDRAIfTlfYooo9wHAnsEr+wFXAKDxJoG8CQCKGU8aUyqp9U4KEBHkA49dPId581/eBm/s4DKKwAb9E2CnAMhlNImkbb/eYwOCjMfEpAAn1x9XyFI8hXmZJ/UVkWMcMvUlZOFkCIrgMSdLxZN0LpqQXCkAlGIwkzAjQxl/GAinxssgVC7Fc32V9ZU/uQvZGeA6JkbGUyQJKgDFGiS5ICGlE4NDrZgCTzlrTVZAWwA8v+fIEhGgYaGGkCDqiljtdf4qL18CESe2JDHzU4kDqABgiv252PQSa01JCvsuCpFZP4y7PvLP4CAXq0sTlA3EORAznv3sb+PEN74IL1+COIsEHRZRUwBIVtpnuHAe/aO3I+gfSvS1bth7H37y9X/qmfk43StTD+IsiltvAkQg1iQm116KABbECoXrdoO9DHqlb94bAHAO7GXQt/2WumKCE7fDiBVAhMLmUQSljYimz4C0h6R30LgXdr8zITIDm7Fu200XU0Iio5Q4eIV+rLt+L2xYTeZ19hoAiBg2qqEwPAqdL0EkwfPn9bBf2n4LxEY9UQf0RAQQG6FY3/2Jzq11hxe37QWp5If/3gCACIgV+nfclfhOINWvrW/7rfCL6yEm+VEg8QAQa6CzReQ3j162yMlEAAMQ+MUBZDYMw5oQhBQAK87/+aER5Aa31k8rko1ZcQ6kffSP3A4X1S7e/yUFQKv534QobB4BKQ/SC9y6nvcLW3ejF87Qkw8A51AavTNRJ22vnwaA0o23QwV5wNoUAC2bNdDZAko77rhscZN+vx8AKAyPIDe4DTaqJfq6OdENIBvB7xtEftP1yS8AFzWE2M8hv3kELqol+ro50QVgWENx6y6ooJDsBhCu0RC68TaI2ERfNye9AVTafmu8gL0kSmj0A268Day8RF87J7oBpDwUt+1Fr913phHy85tH4BXXx1NMCb1+Ti79i+AX16Nv+62t53+R9ny1wAREBJn+TSgMj8JG1cTWAZzUmyY6EyKzYQv84kDrDaD4zosr/2qtIwQQozC8E85EiWUCyZwH4LgDWBp5I0j7F4ct0PR83jRE3IqasSKAzhaa//x65OjfeTeO/vtfJbaHoROb/ylevKYbQPUb6kUz5/DM+C/CzJ0HWjyZI2LY6gxu/Z3HMbDrnqaASPUWcGnkNuhCKbF1gE7sBJCfQ2HLzqYbQCIORAqzP3kJM8dfgPZzMYVsccQ7vHAKUy9/BwO77mkSRLGzMwNDCEqbMD/5KtjPxKkhBcDSBZQNq8htvB75TTe2XADWLpyKb8CsfUBsi5eiwZ6P2oXJ5plIfY6R/SxK22/B7GsvQAXZxGUCTiKFclEN+c0jUEGu+QZQfYXnjv8AztTijdgyA3AAKcwcf7E1Klq/luK2vfGIeAJTACezlWpRuvG21iaA6os8f/rHINYrLL4ErDRq5yfhomp8tt/M71swIMJ+NpENIU5k/lce+hoAaHbX1N8/d+roiqmXiICURvXsCbgobPpaGkOhxa274K/bUKeDlAJg6favgVccQH7zSPP5XwREBFubw/zpH4O1v7IHU9QBYObOY27yRxdB0Vw0E+hcH/KbboAzyTsY4qTlfxtVUdjyM8j0b4oXu+ldTHDhPKKZ8yClVjyU0VAlhVNn0NKj/erUsX/HHXAmTFxDiJPGAFwUxvmfGGhSW9ege7MnXkE0cxas9MobMMxwJsLMsedbG0qp7/jS6B1xDyFhNICTNwFMKF63e0W/pnZhsr3tVyLUzp9sqSa5dDC0AzpbjBtCKQCWmADOl1Aavf2yblorFFBs2J6CSwTEunUqWJ8Uzg1uRX5oBDaqJUoxxIkK/yZCUNqEzMBQa0+0aSsFbBMVbEwKKy+eEDJhopgAJ6sBVEVp+y1gP9ta46SNFLBdVPCyg6Edd9WbSykAri0BbwyANLt7200B20UFL5OM3QT2gkQ1hDiREvCWJ4DaSwHbRQUbOT+Wjm9KVBrgtSIB7wgFbCMVTKp0nNeaBLztFLANVDDJ0nFeMxLwTlDAdlHBBEvHec1IwDtCAdtHBZMqHec1IwHvAAVsKxVMqHSc14QEvFMUsJ1UMKHScV47EvDOUMC2nQomVDrOa0EC3lEK2C4qmFDpOK8lCXjHKGCbqGASpeO8JiTgnaSAbaaCSZOO85qQgHeUAraPCiZROs5rQgLeQQrYViqYQOk497wEvNMUsM1UMGnSce55CfgqUMC2UsGESce51yXgq0IB20kFEyYd5+RIwF2yBkE7dSq4SDpOXb79HfekBHy1KWA7qeC1pOM/dQBYgQR89Slgm6ngIul4N9MAd00CHtWQG9y2Ign4alHATlDBhdJx18VCkHtSAr7aFLDNVDBJ0nHuSQl4FyhgW6lggqTj3JMS8G5QwDZTwaRIx7nnJODdpIDtpIIJkY5zb0rAu0AB20wFkyId5+5JwN/YkgS8exTw6lQQLVPBS9LHbkrHdVeeZExAYcsuiHNxHneupecACwQksioU8AoqeO4EXFSF0j7ECcAt/QEQccgPjUBlChBrsdpzotyN41+/uAEbbr4PxAzWPogZRM1/MWsAgvnTxzpPARdTwdnzqJ49GV+LUi1dPykNIkZ+8yiKW3fDhvPNS+J7KgLUHRQ/ZfsDcSXc6lPA6z/nTITq2eNgz1vFmzDGYf/Zz34AfrE/jgotM5n4Z8PzJ8HaWx0QdzUF1JtAp77zH5fyYKvdVImLSpXJr/Kz5AWkPVx4+duXwra0jiUIoPxMV541rJeK1p0EgZfva+uTu7txmKWDfNuYhzjXUefzNfx5VQD4BhSq+LVOMauuOK3tGHCJfzIc1b/MNXx9tYqDTjAiEpx3IggjJ9RDT+tI7RJDtk4QWkcOiAj2PACM7b4csry4tCmXQX/8NKZB9ArgEDknK0lxqXVv51vrxBhH1mIuD/MSAKCyBAAA4MiRejXFOEoA5msmjgApAnonNdU7rrXIisCBCCeP1lCDXFkpXwGA3ZPxm1jwTQIwU4vSFe1BBDARZmtG6pNXz33qGcyPHQAv3spXAGD8PsRkWrmnjYOdnjcqsq4XHtqZ2qIoMF0NhQkgosMLN/fSRWA9RwS+ed4KTkTGUDU0kvq/xwpA6zA9b5RxcGD35GWbeykAECAHx6Ae/DJmiekrTIIzM1XLzD3x7OZ05wOKCRfmQhdFhpzg5ZNZ8ywAosoyALBodv9vnEBOXaiysQ4pG+wNBBARTk3NO8UCYvz9XzyBWnk/1LIPgw5MwIqADNe+5hy+HxlDpy7MO60ojQIJN6UI0/ORnJmuKuOoBsuPAwAOwTV1GjhxAFw5BAPGxz1FdOzcrBgraRRIdGcyrv5fOzvjNAsJ8I8PPV374cExqAqaBMDYBFy5DJ7MR18ILb0QhoYnp+adVmktkNjcf2n3wwmF4vBRALS4+7csABAge46A/uIJ1ED4gKeJXj01LdXQJuHeRqldo/v3yuSUDZQo6+STH3k6fOHgGPhqxR+Wez/2g2NQByZgH97nH/RZxjJBYPZuHdDGCdJskJzQ72nGK5NT7rUz08zML0e18Fa8HTPjFchSfdzX3cuNVGBN+D4Lenlqrqp+dGraBTpNBUly/pnpqhw7PeM0s42c+5XKf2OqEcmxkpEwAmQcQOUZnK0698taMY6dmcGPz8yKn4Kg687XmjA1F+KF4+dNISBdc/i9ylPmmfJ+6MoSob+pmUCqwB0cg3rkSfON0NF7M5r5hycuuGNnZ8X3OD0n6uLOn56L8OzRMyZQ4s0aPFZ5Kvx0eT905RCWJTle9jPRJ45AyvuhK4ftN/ddp49nNb1zcqrqmAilvE8LHtydWueHqi+G/edfO2cyGl7N4rGHDofvKZfBlb+Fa3IyffnWQNf4Pu83soo/WzUWA4WsHR3qU75WiKxr7Rentqxdr1S8skdPTbujp2eoEBBVDR778OHwPQfHoMYm4Jo5vG/JTw0QVO4N3uaRfA4iQ0ppc8PGdWp9ISAAME7qbcnUcSvd8ZC4v89MmK5G8srJKTs1V9OayTjgwQ8fDj8tZTBep+JvGwAW0sMH78lu7tf2rzXhbVUrWJcNzPBAXvUXAmIiWOvieFSPXSkelufwxqmeYgJR3OB57eysOz09rwIlcMIvhs6+u/ykeapcBlfiU1xpUZy0MhAAwB++2Xs3gR7RkM01CxSzgd1YylJ/ISBfMVFdDOkkjgwu9fWVw5vx2T0YBKkf6U7Nhe7khXk5O1NVmgQOFCqST5ybjT758W/hQjMFX9sBUAcrXZwnvDs/mNHh+wX0PibZaBygtUI+8GxfzpdCRlPgaVZM8BRTyh4uOcE4gbVOapGT2ZqR6Woo0/OhCo0hRYAVqhHhH8JI/rTy9eg5AKjvfLfSz26LLYwGj96Z36gy5h1O5NeslTu0gobUswAzmBiBp9IgsMAJoXVkrCURuXgDLeMAxThChAkH+sIfHAq/v2CtXTtmdandR9ETY+AGEADg0X3+bqXoThG51wlusiIjzmGdr6DSCHDJbLwY5xg4wYTnwXTY0+6pbQPm2431PDgG9b0JSKWNGZQ6NZNQB8IVKP3UfpSmxR/Ka9pUNanjgVixEZGdHi6Zl/I+phduoE45vqMAuIwyAoz94D2DkHaFrbVuY2NQuydBRwYhEx1eM+rGxNI4QHvGUka40CYAHIybOEg3SWqppZZaaqtg/w/owbx0Qm9fgQAAAABJRU5ErkJggg==</t>
  </si>
  <si>
    <t>Approve semantic change, and know what the model's claims rest on.</t>
  </si>
  <si>
    <t>profile-close-automation</t>
  </si>
  <si>
    <t>software</t>
  </si>
  <si>
    <t>#0369a1</t>
  </si>
  <si>
    <t>gear</t>
  </si>
  <si>
    <t>iVBORw0KGgoAAAANSUhEUgAAAIAAAACACAYAAADDPmHLAAAWz0lEQVR42u2de5BU1Z3HP+fcR3dPDzPTMyivGQElkYciCRiDmvWBohWFZHchxsRQ5sVW1lQSgybZzabG2U2lNoloKrvqBmtd12jMKqlkNZiIgJL1EQNGRQdEMaCAPIaZYZ79uPees3/c7qYHB5ju6Z65M9On6hYUTM+9fb/f83v/fgfKq7zKq7zKa4wuEehnW75cMnu2HtFvePscwaPLFQhdptuYXjqQm80M7osS2ljynWs17hfBqEZ7OuAS63j5pRCm0PAXnUh+m/WijcZGSVOTKquAk4G//FOSRx/1xJJv3SsM60vaTYFhwEgUoFqBFUK4yS3K67qKdfe0B40EIojgG0tuXaMM+8vSc7yqyWcKYZp6ZDJA0H3wXc9xUrYQeotyOwNHAhFI8M3Ql4WbdGPTZpt2ZTVaeSNK+mdfrhB4Toqje5pdx3HNIJJABBl8K1qFdp2RiH36q4GQBlq5tO8OJglE8MEfqegfY4EQwSWBLINf+j2mtYeQJrHpc0zLMl2txfnSrHqSa74So6lJ0dgoxxgBxgr4wSeBLIM/tkkgy+CPbRLIMvhjmwSyDP7YJoEsgz+2SSDL4I9tEsgy+GObBLIM/tgmgSyDP7ZJIMvgj20SiLEAfqG31Xr0J5DEaAdfa/AKRNIQYhgF1tCQQIx28G1TUmEXVvrYk3JxPDWMOfPSk0CMVvANKehIpLhkxkR+8cWPobRGDvBZMj97w33P8vRbB6gO23hKj0oSyNFq8AnA8zQfnFBFdcQmVhGiOmIP6Mr87IfPqMX19DBXzZTWMJSj2dpXGs6ojaI1OJ5GawZ0ZX62MmQybBt/iEggR7OrJ3K8gHwumf6zoTaKJcUwegOlJ4EcCeBLIZB5WuQqbQDOP6OuYGNnam0lUoi8CtJ9AokB2xvDTQI5EsCPOy69KRfH0xhS5EECXdAjZT4StgxCloEaoAgwpMDxNL0pl7jjjggSyCCDbxqCQ51xbrp0Jj/77EJsQ9KVcLAMecpd6GlNVdhmYlUkW6OfTz0/wIzTxlEXDeGqUxPJSj+bbUh+9tmF3HTpTA51xjGNYJNABhv8BN9YNJvvL/0Q1y2YxrqvLuIDp1fR2p3EPIUkcJWmOmIzqTpSsArQ2pc4p9r/phS0dif5wOlVrPvqIq5bMI3vL/0Q31g0m0OdiUCTwAgy+F+7bBarly1AaY2nYEpNBdctmMaOgx28sq+dCttE9KOjhTgWBPrSRTMIW2ZeIWEhfPURMk02vnGANw91ELHM9xmDvl0iaO1Ncs259fzq7y5lel0lrqdBwNVzptARd9i08yBVEasEHoUAFEKahGvGy1Rnq+t5ukEaocv1jLlruff2OI2Nks2bdQESIBjge0ojEJiGQClNTcRm7cpLufXKOXQlHRxPvc8uEEKQcD3OOm0clWGrcFtAZBt8TqDvFV1Jh1uvnMPalZdSE7FRSmMaAoHAU5rVyxbwtctmBVYSGEEHP9f6F8J3yZTWLJo5iel1lWzceYDupEOFbWaNNd9w9Jg1sYbrz5+OztMGyHgRUgi2H+jg2V2HidrHYgKWIelKOkRsk3+77gK+dvmsLFFlmoxCgECgtA60JDD6/W2NCO6+WwUJ/OPdLNfTnFcfY9HZk3h212Hebeshmg7cZAgw/4w6PjnvjEERYOs7rWzceTBLAFMK2npSnD2hmv/50iVcOWsyrpfe9f08a6BIQKOEviSQ7we/UdDUFEjwj/+MqzTzGmrZePNiPn7uFI70JJFCYAhf/M6tj2XBLNQVbKitwJK+SJdCcKQnycfPncLGmxczr6EWNy3yTxUXGFZ1YFQ9yeKba6FJHT+ppK8EWL7c4O67tbj2lp9gR/5euiknNm22FTTwc40wpTQR2+RT86eRdD3+sOsQphSkPMXHZkzg4hmnZ3dzvplEKQRdCZeHt+xGSEFPymXVFbP5j88sJGwZKDWwuMSwSwJNg5T6Ej114S/53PMum58Bmo4ngBZs/5TiE1+vkcp4EO2ZsakzDauyWpQuyAMHO5N8/fL8wc81+N5vFxzkaG+KVVfOYcZp47Jg5t3aLXxxf++zb1JxEn0/UIPyeBJseOMg40JmCUZfpElgmISqxsvk0UOuluYZhtTr1b0/2MPy7Qbbt+v+ZwS5EQFOUhhW1AxVaK3cEkb4PL69eA4/+OSH8XT+4Oe+XCNtF1x//nRmT6rh0/duJmQWnuzM2Axn1Faw8MzT+OFfz2f+1Lqsvi+0Mkki8LSvDkKm5J4/vEkkj2hjXupAKaRlYdgR6fV0KS2UMVA3UPhiUJV0hICnFJefPcnX02rwPMvYBefVx/jDrVczffy4LNkKdQEjlslvb1rE/Kl1eEoPWncL4X9XgMvPnoSnVOmrYrQGISRC6sDMB9BobNPgCz9/nh0HO7AMUZSiC1P6Yva0yjBTa6MMpiYwkw8Ip3doPnmIE5NeYxmCHQc7+MLPn8c2DfQwzj8aPgJoCJmStp4kKx98gY54KhvBK4Z6yRC/SJNeipLY8TcidMRTrHzwBdp6koRMWbTnHGETQvzdEKuweXHPEb65dqvvLhXpbWRy+0Eqnc7YOd9cu5UX9xwhVjGcpWYBIACA4ykmjAvzwB/fZvWGZsx0iHW0LcdTmFKwekMzD/zxbSaMCwfie8qgvJzTKsPc9virrHt9H5YhcZUeNeC7SmMZknWv7+O2x1/ltMpwYEguCdA0rZBlcNPDL7JtX3vWmBvpS2mNKQXb9rVz08MvErIMgjT0UgbnRUHYlLT2JLnxgedo700Nc3dOcQxdgPbeFDc+8BytPUnCpiRIwk0SMFFZE7HZcbCDlQ++kDUK9cicEZk1+lY++AI7DnZQE7EDp9okATSW6qI2j23bS+Pjr2BKgVcCfalzYiSlgMRLG32Nj7/CY9v2Uhe1A2ncyiDuHtfT1EVDrN6wnUde2oNpyKK4Szrtevqx/JxS8Jx/L4bK8SOGkkde2sPqDdv9ukIvmHJMBmu4ck5ZtfQbM2751Vaa3zuKMUijUGkfdEMKDOlHHdt7UxyNp4g7XvbfhWBQZMtEDJvfO8otv9pKZchEymONpkHrjjeHukVbIPr8XXNs16XSIjLlumnABIeOplh69yY233I1U6oj2WhavjsyU8L11I4D/K55Hy+900ZLdwIBVNgmc+tjLJ49matnT2Z8ZTh7/3zupf1SQPYd7eUT9zzN3iPdVESsbGYxbEoQAkum+wbSGUJygsEZkg+V8WsOnW7XfcD1lJ8MMqTANCRSCCaMC6Pxy7Ft02BaXZSGWBTbkGits6nffC1xQwqefvMg3/3Ny7y6ry1d8GlgGRINHOlJ8tbhTh55aQ8NsSjfWnwOX774A33Ct/kwXWvNP338XFq6knQlHV7b3w7AzkOduErR1pMi4fjvwfUUUoh0kukYSYaqNd0cqt1fG7XR+hi40+sqmVQdIVZhM3tSDYYUnD2hCikENRV2UYY9ZOoLbn+qmX95YhsAsQr7mAGY3XeSiGUg0i7bV3/5In/c3cLtf7uA6oid3sEDl3INsSg3Lpzxvv/vTDhorfnLkW66Eg7vdfSyp7WH3pT7PpL0Jl0cVfrGVLPUwDueprYixMZvXMm4kHVScPta6LqPhZ7vjsiI/dUbmrl17VYmxyqyrmZ/d/SyBZ++JLrv+bfojDs8svISv/Inj5vnDqUQOcSoClsAfKih9oSf7Yj78Y8V9z/HxjfeozpS2nyBHDIJUGFTU2Gj0tU7ntK46SvXAs/oUSl8o8xMX4WA/39vHeKf121jcqwie8+BgJfyFA2xKP+7bS93bNieNRrz+b6Z5zbS+j43Q5l5Fv8dKDylUdq/Mi3qliGGJP4hh9IGOBG4uRb4YPWeX/4FCcfj27/+c8HzfhxPEauw+dGTr/PW4c60F1I8LyfznU0p+5AkdyOMKjdwqFwglTYWn911mFf3tVEZMgsSoVqDLQVH4yke+tPuPhb6aHhPgQ4EFWP99rV9Wd+/4IAOmohtsOGNA7j9dCCNhjXqCCClIOl6vLjnSF6t3f1KEwVh02DX4U7+cqTbr7VVZQIQ5OybAOIpjyPdCSwpB21ISeH3AxzsimdrGcsEIPhHYvtRxuKVhI1WXTkqv5clJRV2cWrttfabQaMhq0yA4J/U6QdgoiGTeQ21JBxvUNW8QkDS82iIRZk5oargHoMyAYahCufqOZP9/MEgfpchBPGUy8UzTidi++7kaJt1PeoIYKQnhlw5azL1sSgJVxU+LBowpOT686ePVm956AiQCXXmhj8zIdBiRr781iu/oOQfrz6XzngKS+b/NW1DcqQnyWc+Mp2Lzjodr0idQbnVSH1Dwv6VeU96NBFAAJUhK5v2zIQ/MyHQTPTrZCTJd06wpzSfv3AGKz56Fnvbe7FNOWB1YJuSlu4kcybV8KO/me/PDkbkTfgTgSvoLyScufzUuCmHJhdgllofG0LQnXRZvmYzQsC5U2JU2CbT6qJMrq5gXNjizPGVCCGy2TL/XYuitIetXraAjrjDY9v2UlNhYxkS1Q+pMh3GGjjcmWD25BruX3GRP/engBlDmYKP/lbc8Ug6Hoe7ExzoiNObdHntvXa0hj+/24qjNM3vHSVqmSUPP5tDYZk7SrHhjQOA5nev7/dr5dNFIGHLoDZqY0rJ2WlLO0uS2ij1tX5ByHn1MUKmkdd9tYbqiM2jKy/hR+tfZ/VT22npShCxDcKmkbXoNZqUq+hNuRhScsMFZ3L7sgVZ8POx/DWQcj12tXTR1pOiK+Hw+nHg7mn16wF6U246/StIuR5CHMt8RizTlwJ6NBSEANURK6fPzi8FI60H23pSoDXvtvX0IUnYMuhOucydHGPzqquwDJlXmVaGBBr41uJzWDq3gYf+tJtNOw/wdksXXQkHhK/v62NRLj7rdJbNn8plH5zYZ2x8Xp3YaBKOx+f/+zm2vtNKVdiiN+X2Adc2jKz6q47Y6Tdi9y0NU3rkqwCOy9H33Se5Uzb9cii/ayYdeZOClKuoitg8cOPFVBcoinOrfmdOrOZfls7jNnUeu1q6ONQZRwjfPpk5sZpI+v6ZesB8ff5cqbPmhoVce9cmHE/5o2BUbt1f+h3o3PeiR3dR6EB899zOYKmhO+nyXysuZG59LFvkMZgDJDIeR6b8LKNyjifpYO6TyenPq6/lzmUL+PwDz2MIK7BtboGMA5iGoLUnyaorZrN8/rSipWIzVrc+zkrPuF0Zi7wYp5W4nmL5/GmsumI2rT3JEk0FG4UEsAxJa0+KpXMbaFoyD1dpDEMW3SbJdcGkEEUvvjTSHc5NS+axdG4DrT2pUw65HvMEMNMVOLMmVrPmhoV+k0UJwBkqw9cQvtpZc8NCZk2s5mg8dcoh12OWAFJAwlXURUPcv+IiYunq4ZEce888e6zC5v4VF1EXDZFwFUHigAzSnkk6HnddfwFz62O4So+KzJsU/uSyufUx7rr+ApKOV9LJayOSAJYhaelOcNuS87jmnPrsOJXRsjJjb645p57blpxHS3ciMPaADAL4h7oSrPjoWay6Yk52nMpoW5mxN6uumMOKj57Foa5gkGBYn8CQgvbeFBdMG88d6YMhjCKJ/WKPiStWqlppzR3LFnDBtPG096aGvdJYDqeBlHQVtdEQa25YSHXELqjzl5McFlXMMXHFCOQcHymsjYZIDqJeYWQTIJ0Aue9zFzJrYnXeJ4JxkjEzUghauhO809o96FbruOMRT5eWFaNHL3Oy2KyJ1dz3uQv9JNAwGoXyhHNch0QFSDbtPJCu5x+8yHY9fyLXq/va+asf/549aQIUsnszH0k6Hkvv3sTWd1rTET49+Na19FvftPMAhpRD5I9qPbBZwU5SIERIK09prdJTs3VJKoQiluSH65tZtXZrVj8WQgKtyQ5yfnjLbpbctZGdhzo43JUYtN5v7Umydc8Rlt69iYe37MY0RMGjZDJVQIYQrFq7lR+ubyZiyZLnCbTraKQh0J55EgIITWOjJFnVieB5bViy4923XO26CGGUiAQwqTrMT5/e4ZNA5k8ClS7UNKTge4+9zMqHXsBRipBlsjujAgo8Mg7gQGc8O/Fr5UMv8L3HXs42sqo8VEIWfOmD/9OndzCpOlzSkXFCGnTuf9tzUklDKHXYS7rNgODRR1T/EqDpNs3mJk+Z5vXCc7Y4Tspq39PsalU6ErieZkJVYSRwlUamw8fL1jzDj59qZlzIwpQSjaY76Q561m9XwvFdUykZF7L48VPNLFvzDEfjKaQUAxr71h/4E6rCJR0cJaRB575dqre9xRBStkvlLOHJnxygsVGA0CdQAUJDo+A3/9qqvK6rhNBbHMc123cHjwQZff/K3jYW3bmeJ17bz/hoKFt3Z0iRnbpRiJWdufVr+9vT49383zs+GuKJ1/az6M71vLK3DfMUdsGwgn+0RUrTbpdJ5yp33Z1/Yvlyg6YmdQojMH3O3Lp72pXbGTgSHK/vr7lrI7taOqmrDPXZjaLAuQAnMgZzpU5dZYhdLZ1cc9fGk9oFwQA/dZX7+9VbuKTR5NFHvYGdG7h5s28P3Ht7XM+Yu1Yaocs9TzekOlvdcM14KaQJFP80EaWhKmKxaedBOuIOV8+Z0mdal0qLfCl8ff/dx15GIIjY5vtEsRCShOOx4oIzCadP/cy/mkjw06d38PaRLsKWkQU4U66WchW/fvVd4imXRTMnZZ8x9xyjwIC/ucnNLw7QFBxJoNG4Xv/63jrBEMlMGZgYZJTlRBa6lw5Z92sXeBpN8ME/9dnBAZIEUgpe3tvGsp89wwtvt1AXDZ10jnCmrfvac+uZVB3Jjpkb+Mkegp6kwx0bd9CddPsNUun0VRky2bbvKE+8vp+PTBvPlJoKhAg++AM4PHr4SbBhxwEcpWjpSrLi/mc52BknFg2d0vqWQtCbcrn+/Ok0xKJ5nx0oBKRcxb8/s5NEepLoyZ61MmzxXkcva//8DvWxKL/cupvb1zczsToSWPDz85AaGyVNTYprvhKTZtWTWovzLct0Y9PnmEKaaF2aPLd/vJyL1mAakpA5sLnBhvDVxX+uuJBPL5ieV1GpSg+aevNwJ5fd8WRa/ZzaoDSkIOkqXE9la/tLGeQZLPj55QKGySbwI4YmFbaZ18lifkOKZm9bb97BoEwQqKUrQUfcz9gNBMfMiWAVtjkiwM8/GTSMJCgkTCwFdCWdgoNBnQkn70RNxvofCeAXlg0cJhIU1tpdWDAoNwiU8oJVw1dM8AtPB48QEogc0ZzZlfldBGoVG/zB1QMEnARKa0KWyZuHOtFaZ9uuB3LZ6cbVV/e1ZRtJRiP4FMVsHybvYKCi3JSCBVPrChoZ99r+dtp7U5iGYDg7u0oFfvEOxQw4CXqSLhrNQCsbMj9XkWnRZnSCT1FRCTAJCi01G6oW7eECn6IjEmASjLQ1FOAXvyh0hHgHZfBLWRVcJsGIAb90ZeFlEowI8EvbF1AmQeDBL31jSJkEgQZ/aDqDyiQILPhD1xpWJkEgwR/a3sAyCQIH/tA3h5ZJECjwh6c7eIyTIEjgD197+BglQdDAH94JIWOMBEEEf/hnBA2EBHokk0AHGnwCk5o7QRaxZvocUxomWqkROTDQP/ZABhZ8ApWb7ZcEllN9xgfNEasOhKT70Duqt73FCCL4BC45n0sCY9yT2rDPl14KIc0ReGKnAK0yPVN+i3bAwCeQ1RkZEiy+uVaG7QfR+qNaeVqMvEoSjZAgzf0qlfoiAQSf4JbnNEpIDzL4zHdi9IQ0bnJkEcCMa6ITBb/4hw5AZYldXgPeQMK/RsFqbJSBNlSDT4QRfpJ1OeddXuVVXoFc/w9/GIflcDzsZAAAAABJRU5ErkJggg==</t>
  </si>
  <si>
    <t>Confirm I am authorized and my inputs are fresh before I run.</t>
  </si>
  <si>
    <t>profile-variance-review-agent</t>
  </si>
  <si>
    <t>#be123c</t>
  </si>
  <si>
    <t>spark</t>
  </si>
  <si>
    <t>iVBORw0KGgoAAAANSUhEUgAAAIAAAACACAYAAADDPmHLAAANQElEQVR42u2da4xcZRnH/8/znjOzc9mdvRW3t6WV0ppeMaEtYIxgpY1B+0HYBiUGwkVUjCSKQQjJsp+IIMgX+SCJGkBjqJcYU6SJqMSWCIVQWtqQyqWlN7btdndnZ+d2znkfP5zZC+223Zmd2T23N9kPnWSamfn/3tv/uRwgGtGIRjSiEdJBXv5sLwJ8ABA//8Cr0EM92K7J598jGjMc4tHJZnj1hyJAft686msauItAGQ0RgZBfBGeQViAC8GGW9IOUPXhW0MuEPh1tARcRfzt6eBu2O080r342RnR3SWsYRL6c9VoETaxQEr2nzLTloeH9g16DgDwq/q/ioHtKJM6VmXlkshLx4RbKIHyYPeuUrXJMiPaUGZ6DgLwpPt9ThGOv7VhotMYT0OLP8xMRUHYc7Bs4bluWbXgRAvKy+JlYE8rigODPLQAQKGLYWnsWAvKy+JavxR//jlBEnoWAI/EbP8McERjMWNux0DBNwyaR9TGNnY9l1rQR+rSgl0MFQFjE9wMEHIkfbgg4Ej/cEHAkfrgh4Ej8cEPAkfjhhoAj8cMNAUfihxsCjsQPNwQciR9uCDgSP9wQcCR+uCHgSPxK4D6kEHAkPiCOE1oIOMzik2LY2VG037ABrdetg5PLgxSHCgIO9Z4vABHh8vtvg0omII5urJrkPQg4rOK7sz+H9i9vQHr1MtjDufrPfiIQu/+nONoFTOC+VsWW00gIOLSnfQGgGIvvuxUQgdhOXRPkiAniOLBH8xCtoVIJqFQSUAR7tAApW+NwzCUERhjFJ6VgDWXRsWkjWq9dB3s4h8JHx8CxOERLXWa+UyjByKTRsWkjUiuWwmhNu6+PFlA8fAKDu/eidLwf3BSvGYJKjuH6mKadj2XWbKHhvqpzDCms93wRwef/8jTSq5fBGszira98B9ZgFmQawEzS0JmgS2Wkli9BV89mmJ2tEMueOF8wgU0DulTG6Zd2YWjX2yBTVVU5WM9EUw6b+GQo2MM5dN18I9Krl42fB+pyDWSCLpSQWr4Ei+69Bao5CXskD122xs8AYtnuFuAIurZtRsemjXDyxTnbDjh0M99yYGTSWHTvzTOb6VP5CbYDoyWNrp7NEMuBWM4EXGO3gEkHQ3s4h44t1yL9uc/CKRQBnv2DIYdJfDIU7GwOl31jExJLF9X12kfE0KUyWq9bB7OzFbpsXVxQqqzlxGi7YT3AXHUBeT0g4NB4++TOftWcxOJ7b3Fnfx0/vmgNjseQWrHEnfnT2VKIIGULie4uxDrbILZd9WeaKQQclsAOKXf2L7x9qzv7tUzsuzPd/8kFQCUTMFqbp28tV97HTXGYHS2VqyjNqlk01Yv0KECBiuoRQRfLaFrche4f3gaIgCYtz2I7QJ2uf7XDRA23jXun0PvcF6gXoD5ABymkS4ph5/JYcMdWGJm0u/cTjd/5C+9/jNKZs+CYWdvBUMYgK8EZLbj7eTVwWhacXL7yPmkABLKzt2Vle5+LOV0QgB6A+wB5vGXl0wnwPUXSlu/j+ZXZn+iej/m33eTO/nMs33qsAKwUnHwBhcMnwKYBET2dDhJg00D51CBK/QNg0wB0/QNIClifAu144jNrU48CNBkC/vS+D6c3sy6jBXcX4ejV7fONTCzh62QOUgx7ZBQL7tgKs60FovX5y3QdPAARARsGhl7bC10quecLudR7NChmYmj3XuhiubqVowoIoNiOC1/Do/rqPkBvRw9f8AzQBE0iVFKsOGXEYIv2byYPucZM8orFE7OfGxTuFQHFTRSP9eP0S7tgtKTcGMNUK0sl9mC2tSD75gEMv/EuVLIJ0LquwUdbBDFmJIwYW6K1VlphOrEAqjRj0iJQPu5vRoph54tY+uCd7ux3HJBSaGBTIKimOIZ2vQ2Ox9C5+bqKNWwBY1sCEShmQsVMDL++H/1/fgVkcMMi0FJZnQAwg8TzXcLqNpjh5ApovmoFOm/6IkRrEKvZAc9UOPPyLhQOH0f7DRuQWNwFTrhBH122UD5xGoO792J4z7sgxS6Uc9QGJ7AAUCUos/i728Ax072b8yzlBApgpJLIHzqCwvtHYc5rg9nW4kYDc3mU+wegi2Vwsml8S0DUJ3DuZr/Ydv2PBFq7s14A68wQyv0DFTAZZBpQqYR7IEXUKLIhs98plrD4e5eY/ZWZN/LO/ya8e13fM4G7JRigmDHhGYh4QvxAAkCKYQ/n0HnjtZi39XqIoy958GvECnAeaOLVXoYIXlNeEKH7/m9N/8pH4S1Y4cDN/kqiZ2bDGnfvV4xohGUFEABKofu+Wyf+HY1wAEBKwRoeQfv1VyOzMZr9oQNAHAcqncTSn97p+9rACICZJHquWuZavlV4/g2/BUQAzHKi53RndCUpZOSdQ2BDzakjFwFQr0RPXX3EbzyFayZ/Ph2G37sp1CPRcyxf/1MFHFVeP4hVVWndEQB1K/EaRvcPbh1P867l5G80p2B2ZGC0pCCOVH/3ZIYulKCLJd+tBv4F4BKJntOLGbiwrHjqxxBrLCNXqrN4AdhDI9h7ywNwRgszLy2LAJi+62cN5nH5j77tJnraDsioLd6vkokZfZaTv/87CoePIzavzc0vjFaAuU/0rDpYU0MOIABYA0M49uyfYDSnGttgIroFVJnoWUs+fzV/lfzCI089j9KxfnBTzJfXSI4SPWtL9iClUDh8Av1//IdbDeSzpd+3AJBiOJMTPWc6+2sNOgE48osXYOdGG5toGgHgjUTPyZ4BMWP49f34ZPtOmJlKLWAEwOwnep5f6DR7BtTHv/yDWwHs8ziS4R/xGc5IHum1y9H51S+MV9LWkltX65lhzGg68/JunH3l9YpxpCMAZs321RpLH7i9qsZK9U01c/P6Dz/53LRKvyIA6vn72w6MlhROPP83nHhhRw1LLwHagUo0YcXTP3FbtlURORTtVhWd3vFv5PYdgtmR8e3J36crAEEcjbP/2lPbfZsZOl9EavWy6itxRABiWINZfPSzX0Mlm3y/9PvWCTSaUzUdvEgxbACpFZeDm+KVGwRPf+83FE7+bgfyHxz1peUbGABmUlAhWsPJFVBtcQcpRvnMII7/5q+BOPgFuy7gogAIEksWVJUxLOIaTUeefA6lo5+A47FAZQ6FB4DKlbGpe8G0A0BBsnwjAMZW9FIplJZvBEClH0961RXTSgUPmuUbAVAR3cw0h9LyjQCoogAkiJZvuAEggi5biF/WjsSV3eOBpTBZvtEKMNag6RKpY6LdqqIzO/6D3L5DUM1JzzRziACoQzLJRbeBAFu+oQaA2G3jmriyG0Y6ecEsIvfkT+OWr9vjRyIAQnEQDLjlG3oARGTiCijhs3xDfwsQRyO9atmUNnAYLN9oC7iYDRwCy7fKJ4aQBGz9BymFpu75550DwmD5VioeZSpH4zwAiuIQQeJatNYiYCL/+yDi9hEYDwWHxPId+yplrUURkQU2LggAAdILMLLzskT0minEBwdP2pZ2oAIAgTgOdKEUKstXEeO9oVNO0SorDTlVtqwDAKgH2/WUK8CjgPThVceB800LsseybHPfwHHb1tq/EJD7DF+zJY34/M5zHtkWXMvXFb9fnxodUYp4sEjy9Ufy753srVQ2TglAZRWgh0feGygzbRGiPZZlG36HQGwNoyWNWFdnhQkKtOU7SXyOsRoskt7ySPbgGy+iR/Wd0w35vDOA+2ChXn5oeP9gmREMCAjQtj3eDUwCbPlOJf7D2QN7evElYxu2O9O6BYw9Zy4IENDYwxmXLoRKJV3xtQTS8r2Y+H141a7KBwgMBGMPdUwn3Q4ilYNf0CzfWsS/pBEUqJVgLP5fqQYKkuVbq/jTcgJ9DwERtO2ged2K8Yc3BMnynYn407aCg7ASjNu7IoGxfGcqflWxgEBsByIYem1vICzfeohfdTDIlxBoAcdMNF+1HCDC0Wde9L3lWy/xa4oG+hECsW2YbRkM7n4bA//8r69P/vUUv+ZwsJ8gEK2hUglAgMOP/9btKSTRzJ9xPoAvICC3p1Bi6SJk3zqI7JsH3NnvQ8u3EeJPjhjOINLay4Q+/VhmTVtMYyeJrDdNw17bsdAwmOGIzOl2K1qgEnFAMXQuDyj/BX0aJX5dAPADBNACgczpM3q9KH7dAPAFBJX2rpH4DQLAFxBE4jc2KTRIsYMwiN+QrOAIAv+I37C08AgCf4jf0LqACALvi9/wwpAIAm+LPyuVQREE3hV/1krDIgi8Kf6s1gZGEHhP/FkvDo0g8Jb4c1IdHHYIvCT+nJWHhxUCr4k/p/0BwgaBF8Wf8wYRQYdAPC5+3aOBjYkiKrd/j+/iiG4BCoM8Kz689KtODYFprWzvMpjILejx2exXRPgge0afGh1RXhQfXptWn4ZAdpqg9SUSmMS+3Aq0CEgEAHlSfHhxXR2DoLdlZXsL+AXRco0FLTTrz4ed6fcQUWCYTMcLkLu8KD68urH2AjzWyOCZzJq2EliK0L4CoAkscWj6/vD+YQB68neKxjSPUBKQlk29Hm7HR34AAf7v1BVFvaMRjWh4cPwflfbozxOgykUAAAAASUVORK5CYII=</t>
  </si>
  <si>
    <t>Check my authority, my boundary, and my quality against the human baseline.</t>
  </si>
  <si>
    <t>profile-policy-drafting-agent</t>
  </si>
  <si>
    <t>#9333ea</t>
  </si>
  <si>
    <t>quill</t>
  </si>
  <si>
    <t>iVBORw0KGgoAAAANSUhEUgAAAIAAAACACAYAAADDPmHLAAAN/ElEQVR42u2dW5BUxRnH/1+fc+a2F26iqyKahIVVygsIgim1TEXFoLEqVkBTmjIFWglqxSrNxbd1y5dUYiUviZhYJsZoWUKk8mCVl4fEaMVIFlRQRAVvwCICC7iwcznndH956J3ZmWWWmZ3dmTlnTvcLy8Jszc7v191ff9/pbsA000wzzbSINgrye1uFDeIC7GDgoZB+vA/h/VULaePGVQogNrpFuDE4kJ3NDuBHNfJBEf903qYbffLWCohpCpIBIoRnaFVCOETAJ8PDg7+kfXSkFyz6QMpMAaeAvwobxUaslvd2b3zcEfE7XZWFRQ4YHLq5VbFC3ErB5XS/n8mtWL/ntqNBk4CCCP+e+Rv+FKPkXR5n5XmzFpItHNYCEMI06BME9h77ULpuLgaBfj9zYMX6PXcHSgIKKnxXpf0FXZfZ05KzIJUEEYVqBGBmCBJwZQ4fHNjs+55ncwAloODBT93lqmG/p2uZ3Z6YDl+6YZr6xw4CsIQFqXzsDKgEFGz4Xuh6fpnoHxYFVwJh4Ne7hxEkS1jCxvldy2zbcXxSWGonu15eN/fRGX0g1QsWERMgGvDDIIEw8KMtgTDwoy2BMPCjLYEw8KMtgTDwoy2BMPCjLYEw8KMtgTDwoy2BMPCjLYEw8KMtgTDwoy2BMPCjLYEw8KMtgTDwoy2BMPCjLYEw8JsAlQDmYEggDPzGw/dzDMvRzww2WwJh4DeuCQvIHFO44HtJTJ9rw3d5Qk9l1kMCYeA3Dv7wYYUla9qwYGUchz7w4CQIE93vMtUSCAO/MfDTRxgX35rEsnUp7PxHFn4WINH8wFAY+I2Bf9GtCVz583bkTjD2bvHgpAhKNX91IAz8xvT8Kx9oBxg4+J6H4/slrBgw2e2OUyGBMPDrDP8HSVzxQBuU1Ntwdr6QA0/hNpDJSiAM/DrDv78NLPV8nzmi8MU7HpwkTSgPUE8JRDn4vQAZ+FMEX+mkDxEwsNVD+rCacA5g8hI8MyJBr6i0N5B6wdQHUsW7dA382uHns35EwIu/GMLn/3ERa6cpnQYq70VU/enho9c/se+uI/oAjtHjakporsIGayNWqbu7n/tdQnTe56oT3oKupU57YoaBXyP8/Kc8tE9iwx3HGrLReawE0pe2z7k3E0O5a9q//DjTh4c4L4EoHvo3YrW879wnpzHjzpwaVvPOWGx3JGYa+LXCJxSWep+/4cE9wRAWGlpA6um6zIZg3xGJ5W5HYkkf+tQqbBTjxgBuZ4wYKmdbtkjGOuCzgV8r/OLCz6ev5yDsiRWBJiuBYh+OiCPhtAtPeYoFrKpWATQyUDFLEAz8WuGz0tH/4Q99HNjuIZaq39w/ngYMBrMCAYJI8AQTQQZ+rfB1B9J/fvqaCz9Te+q3RQ+ICG+jKuADgBAAS2DPf11Yicmlfo0AQfnAbCD3VWX4rPT3Drzr4chuH05i6tf+RoAmwE8fZsy/Po4r7tfp3XLwi4f/j17OwQ/wOVdGgAkM++5xxtmXOrjyZ+06t8/jnw4mLMDLMAa26tRvEId/I0C18AUgXSAxQ+Cavg7E2gnC0iMCyjzfl//7gW0ehvZNTeXPCNDMQ38lwIqx8jedaO8SYAkc2yOx5Yk0vAzr4b0M4J0v5Bq27jcC1PEgRT/LuPrBDsw+34b0GGQB25/L4PVHTmDTncdw6AN/NPDj+lb+jAANDvqyXzEW3Z7C/O/EIT2GZRMGd/nY9VIOnWdbSA8qJGcIgHSgl5/r61n5MwI0MOJfcEMcy9aloHxACAII2PxYGn6O4WUYl9/ThvYzRGHZl58Odr2SAwkEfgqwDeoKEf8D7Roi6e9/9pqLvZtdkAXMPM/GgpWJ0VzASOp3aJ/EwFv6ub/Gpn7NCFCXiB8j9XyWQP8TaZClv166NgWyioJFbnzlzwhQ74hfjYrxwQtZDO72wRI4Z1kM510VKxR8mln5MwLUKeLnokyfe4LR/0QaVoxgJwjLfpIqCe6aX/kzAkxpxK+knvPzj3NtfTKN9KCCn2V0XxfHrG4bqqj3cwgqfyYIrBDx93y3KOK3R3v10IDEjk1Z2AmCHSdccntSiyHCVfkzI0CVEf/Y4G3LnzOQHsM9oauAnWdZJc/8haXyZwSoMuIHjfb+A9t9fPRSFsImnNZtYeHNetknRPgqf0aAKnL8JEZ7r/KAN9cPw3IIXpqx+I4UYm2jkoSt8mcEqBTxW6UR/Sev5rD/LQ8AcNZiB1+/Oq7/zQpn5c8IUCHiz/doEOAOM976axpOiiA9xvJ1bRDO+D8zDJU/I8B4Of6iHp1f2u3YlMXhXRLKZ8y/PoGui+ySpE9eljBV/iIvQKWIP7+0G9ovse3ZDGLtBMshLFmTLPvzwlb5i7QAp4r4S7J5BLzzdAaZozrps/DmBDrPtk7u/Qhf5S+6iaCSiH/aaMRvlcIXArrW/0oOdoIQ7yBc+qNUIRsInDz8h6nyF+kRYLyIf6womx9Lw88ypMtYujZVdqQoHv7DVPmLpAD5eb9sxD+mkFNc6581z0bPjYnSXb5lDnsMU+UvcgIQAX4GmH2Bjct+nALL0gxeYdmHyrX+csKErfIXPQEE4GcYPSsTOkgrB5Orq/WXe+w7bJW/aAWBBPgu0DFHYN41MZ2yLdf7x9T6hYWTav0n9ZqQVv4iNQKIkd7/taviSEwXGlK53l9FrT+Me/4iPwIwA5YD9KyMj67Zy8zj1dT6T5IGo5U/JxVq/q05ApDQw/qcZTHM6rbHncuByrX+sO75i7YAI0u0QvDH5Xt/NbX+sO75i64ABPg5oHOOhbmXO+WDv2pr/Wityl8kBBBCD9Hn35iAnR+ii/P9svpaf7nUb5grf5EQQEkgMZ3QfV2sIETJsm9kdTCRWn+rVP5aXgAS+kGOOUti6DjTKizZSmr9BGz9SwaDuyVYnqLWj9ar/EVjCrCAC7+fGFcQJQGluABxyZpk5Z7Mo0vGMFf+WjoPQALwMsDsHhtdFzll1/JE+nuX39uGOUscHNsjda2fT937ldJi5St/yemkj4gxAgRr6SezjPkrEiALZat++VUCK+Cc5TGcsxyFjZ/VLCvDXvlr3SmgOO9/bWzcpV/xaMEKJ8UI5db9Si8UWqLy17ICVJP3LyfBeLl+/fSQ7vnC0f/v03+7k7roKVRTABcy3hSKtU6lvH/F149c6iBGpMi/fPiQwsAWD19s8/DZ6/qc/zDO/aTPDGYLNlcUwJUOxSDjUvmKWRJRHIr9wB4anc/7z/1m5bx/cVTPPDL/W6XQj34msa9fQ//ibQ/pQQUGEEtRCHu//q185bJFtpBK2qcQgLgXLPD+q0OHur98w6H4tbsPvu31dF3mWMKGDNrJ4TQawBXn/ZUsP/oz6yNc8o+JFW/sPPi+j4EtLgbe8nDwfR+5IX0SmJMkxKdRyQlgYWqWsPHJoe0y52UsEB90c7kd+l4IqHGOA2cCgHt6nppJsu1FgljqOI5/ftcyOygS5Huh9PT8LF2gbbbALU9Nh52gkt+q+L6e4t7rpRn73/aw/20PA1s9HPnYh58FrBhgJ/RDIVw0SoSxWcLGx4e2qcHj+4VjxY/mOHP9H3fd9r9esOgDqXHPg+9Fr+hDn1o395kZdjL5MikstQMgAQn9br00gxXQ0WUhd1wh+xVj+d1tWHxHsnB2b34+L36bxfP5wFYPQwMSSgJ2HLDjVEgMtUKEPxZ+xhte8finP+zXVwKtlhUvBMhbsm7uozPsZFdTJSgGrzzgtAUWFt2ewpmXONh01zHkhhir/zYd7V3WSdDLzeeA7uVWbEQW1Vrr+vHg9+Jfdh++5Vd9I0SzJRgLfnaPjQtXJ9F9XVyf0QvgzUeHMbhb4obfdlY1nxcKPi0GvVb4Fa8EaYYE1YBXvg7khg8qHP1MghVjX7+e01txPq8X/KruhGmUBNWAL9nDP/L1e3/P4p8PH0cspXt4q83n9YRf9aVA9ZRgouBL1vLQD2g8v+YY3GEupHij1CYDf0K3Qk21BEQ6ET1h8MXZO6X3++94PovXfn0CiRaq0jUC/oSvBZsqCYgAP8fwXeD0GsAXDmUGsK/fw/bnMhjY6unXs4FfLfya7oWbrAREOokz/VwLF91SO/iBLR62PZvB3s0uWAFO/oFOA9/HhJPFDZQgn7v/xrfjuPbhjkKKtlbwsfaiVK2B76OmakGTJLjp99Nw1qLyT+8Y8PWHP+mrQWuVoLiCt/KRzpIKngHfOPhTcjfsZCTw0oyb/jANZ17sFJI7Bnzj4E/Z5cC1SDB2FMg3A75x8Kf0duiaJRjWsYCw9UbNgX4DvlHwp/x68AlLMHINS7yTkBvSlzDFOwz4RsGvy/3wNUmQn/9HzueJemsU/LoIUKsEUUniBAl+3QQI2kMlBj4avy+gD6R6wWL9nruP+pkDK1ig3/c8e+eBzb5UPiyywKbbNxV+3TeGGAmCDb8hO4OMBMGF37CtYUaCYMJv6N5AI0Hw4Dd8c6iRIFjwm7I7OOoSBAl+07aHR1WCoMFv6vkAUZMgiPCbfkBEq0uQf+9BhQ8gGLnYU6aNLQdKqVBdx1p8FL0gK7DwAyNAOQmgsDTmxLx5py+yBYkQjgMMQRb2HvlQHT4+YAURfqAEKJXgmRl2Mv6yjfhSj7OwhRPCqYDALPNHLgQSfuAEKJZg7ZzHZ6baZj7NSi2X7DFCNwkwC7JhUWzA846vXR9A+IEUoPiQCgB48MIXZmSEx65Kh0qA2FCKk52n0a/evfIrAGrsyRymVe5BxCPjZ9hbL3pFsI+RCrgICP1F9abmbZpppgWx/R98RBf8+LD8jAAAAABJRU5ErkJggg==</t>
  </si>
  <si>
    <t>Confirm my sources are approved and I have not created a commitment.</t>
  </si>
  <si>
    <t>profile-notification-publisher</t>
  </si>
  <si>
    <t>#ea580c</t>
  </si>
  <si>
    <t>signal</t>
  </si>
  <si>
    <t>iVBORw0KGgoAAAANSUhEUgAAAIAAAACACAYAAADDPmHLAAAKvklEQVR42u2dTWxcVxXH/+fcd2c8tuOPtClpcYL4UuoWVTQibWhTObSgBPEhJOoAKhVIpQu6gA0SQiwcs2TDrguyYFEQalzBglKpKgjSpiWpK1CFGpqWNm2Vj8Y0cSb+GM/cd+9h8ca144ydsT0zfi9zjvQ2kf3kvP/vnXvf/557LqChoaGh0aZBaf7bDg+DX7sNcjCjD/cggNtPgIbHEAgQxa2NQ1L6skVpfVAEyB+GOr/qKDzCoF4vEEp3xloawRIIhLcvlOxP6djlizICplEEHQJWEH9sGHxgDH5sb+FQ3uAHc7HAMkEymEGDAJ0RYdbTeNnZfQ8dLU6mDQJKo/iH9xZ+XTB4dM6Tv/3mHrKGRJCt118AMAgnJ6Z82bkcwOPvO7vvsZRBQGkVf9ZTfNf2/uiGrhx8kEyJ/yEARCjHHsffm4ydc1EaIaC0id9p8OiMR3z39s1RX6dFJRZQ1tRf9J8zTIhDSC0ElGbxXZbFX5QJDKUXAlbxm/+GeRFEzLh7e39krY2BsGurdc8+vqe3n0YRZGTjdGAVv70hYBW/vSFgFb+9IWAVv70hYBW/vSFgFb+9IWAVv70hYBW/vSFgFb+9IWAVv70hYBW/vSFgFX8jZKbUQMAqfotEp+qjDj65IMm/1XgwrYSAVfxma89A8JC5GUACqKML1NEFkIGUZ4C4sgDHBkBAKn4zxSdIZQ7c2Yto8F5EA7eCuvqSf5+bQTh/Cu4/R+E/OA3KdWxIPQGp+E18810ZZmAH8nu+De65EfAO4n019zLIWIgro/LKn+BeewEwFrW2DzQTAlLxmyO+VEqItg2iY/8PAR8vpHpapKoIQATq6kXl2B9RfuUZUKELCKFlELCK34QJn4/Bnb3I7/lWIr53AJvqhK96EQGcACEzRdid+xFtG4SUSy2dE7CK32hnhSCuDDt4L7hny7KTvCulFRAx7B33g5ix3C6yZkDAKn6DIwRQLg8zcGvy5tfzUIggcQW85WNVaOJlR+dGQ8AqfoPTfwigfBeoqw8SfH0AzP9ergDqvgES4hV/r5EQsIrfnM+/NT8UQkttY1bx0eDVEAIqc4nxQ7w6aOIKpDQNIq5rM3kjIGAVv8FhDEJ5BmHiFMjYZIfoNbkJoMgiFCcQLr0PRBao84tuvRCwit/oJCCAieBOvAhxc8mn3rVe5yCAycGdOLrod1qzimhq7s8fAX3mcQQVf43DuLEIUxcA7xB96nNApbwwPCyFJXjQps2I3zyOyivPJJawyJqmDgFAxIxbejr43HQlDsFv6zZy/9cHOp+644lyaQTgI0toXColyQiIRhPxk126Kv6aw8ewn/0Scjv3g4ghcWXB5SMCjAVFObj/vozKi09BXBkwZk0ArOQYBvD4ZCna/+ixyxerGEpNAA4PwwyPITw51PGrHks/no7J7dreb/tV/DV/FkplFtHAIOwdD8Bs2Q7kCon1E1cQihNwJ44ifuN44hSuU/zlIPCxi8qBj5Xt7Bffugelg6OQeQhoyfxVfjPU21eQymnDKNw50E9bunNUUfHXvS5AxKDeLeBNmxMwSlMIl85D3Bwo37kwJDR4V7ILAS+9czHm4KNyMHsP/H36yOFhmANj8KjVIyjnQYGlnDema1Peigsq/vqUSAweQCCXP0B86XyVC5MMAR3dixZ/CI1qJkYAYhHkI0a3jbhYigNITF1NouabMXkRRCDtb9YACAAANg8KfuFNFw/E/krVOEogaEA2oPl5ZnIv5hpSRlltIphJDuamQYUekKmKfMXaMAEiCLPFxD9o0HwAWWsTdz1ngdzO/bA7Pg+YqLa4RPCnX0dl/OmkXGw+GygAGQ5myNwM8ju/jNw934TMTi2fXkVgbx8CdXRj7rlDjZwSpK9FTPsUh3hwoQfRjt2Q0hQQ4mROMF8dvPiSAJmehBkYhLnpE4kvQKwZIPPWcGSr6RyL3EBaYdsAATbXkjmAZoBWQbDaXC5yfXcJ00jJFEUfQXuHzgHqKdRIQapWADYkPxogdgtOXi04IptAkFEQFICVXu7pSXDfTUCUr+HcJW9/mDwHsh0LICgA10l4j84Hf4aOoe8mizm1ijkkoPLqXzDz5C8gM5cyCYECUCPty/RFdD74c3R+4yfX/PH8vQfA/Tej+MthUGT1KyDzE77Ygfq2ouOB7y9y6GT5yzvY2+6D3bE7qQRmoxkg8+v3Ng+KcomYIit/CbBJtnblu5afLGoGyKBztyoxKVnbVyOonY9UJAVAQ30Ade4UAHXuFAB17hQAqHOnAKhzp18B6txpBlDnTjOAOncKgDp3CoCGzgHUuVMA1LlTANS5UwDUuWtbANS5a+OvAHXuNAOoc6c+gDp3agSpc6cAaCgAGgqAhgKgoQBoKAAaKQJAACG0pE+hRosMWAHE1OgVfBUANhYiIB8HCV4EhrRZdNZrpCpxkIhAvobzy4u9NhkBb8lfvkxEL+VZ+F9nLsXOB4UgoxEx4d9ni77knHFCE6WKvCYADY8tnEh1ZQYYhew9Al+Oou+UPY1XnLPH35uM46AQZFH8V88Ww5nirDFEk87jaw+/MHsOI1ceGcNLHfeDAH3vr1MXyrHdB/C4cy7acAgaXQOQ9vs1SPyzxVnOG56c8dj30Aullw8Pwyw9YfyqOcAokiPGHjpanHzfNQkCkaQJcgj1HbZQT91gmu/34YE8UidM1FDxH36+NP63IUTzx8Rc8ytg/py5xxoNgQhg8wgXz6Ly6nPJ+XjVLtk1Lx8DHMH/7124N8evXhJO+/0ggDGQmSL86ddBhZ4EquVqH4IHFboRLp2Dn3gnWTJfRXZZSfwvHEGMes4N/DATHEkmhXc9US4NDXQ+1W3k/hD8tnPTlfiWng6OmBHWyCoRw538B6KBQZitn1w4a3fpxQx/9g1MH/oR/MSpZc/US/f9kp8N598Gb7oBvPnm5MSQGheZHMLkWZSf/z3C1IVqBZQ0Tfy61lhlBEyjCI/v6e3fat2zQNhlrY3v3t4fRczwIquHoFoZJMHDfvquhVOzaqRX99Y/IbNFUKF7+ZSchfv55JwA/sjHQVG+minoqqHCT7wLuDnA5ut++9cqft2L7E2DAEjKvGT5sZbyXcn5OdcajzNyP7gyZAVhyeaS+UcLxF9VlUVTIKgeqbLinxHC6vzItN+PaOX7raJSar3ir7rMpmkQaDR0tl+v+KteDGra14HGhoi/ptVAheD6EX/Ny8EKwfUh/rrqARSC7Iu/7oIQhSDb4jekIkghyK74DSsJUwiyKX5DawIVguyJ3/CiUIUgW+I3pSpYIciO+E0rC1cIsiF+U/cFKATpF7/pG0MUgnSL35KdQQpBesVv2dYwhSCd4rd0b6BCkD7xW745VCFIl/gbsju43SFIk/gbtj28XSFIm/gb2h+g3SBIo/gb3iCiLggyTIGkXPzUNN9bqdrYGkYIktE2gQRDSK34qeq+WAuCnLXuzo/2RcyUuVYlAsAwcPL8dDhTnDFpFD917TfnIfjdnt7+vHXP5ll2zXmCNdmbDxCQ7JNIxrBUip/K/qvzEBza3bN5c8H9NojsdgFCGRsEBJCIgBzTmSmPR9Iofmob8I4APIqkkcHTX+ntd9OQWZ8tADoN5MZu0H1/LhZR7bmwtDmDxjVaKsh10iF6ZCS97fgoCyAg+526dNVbQ0MjhfF/JXPY/1S+X8gAAAAASUVORK5CYII=</t>
  </si>
  <si>
    <t>Clear four gates before transmitting, and leave a record of every refusal.</t>
  </si>
  <si>
    <t>attest</t>
  </si>
  <si>
    <t>Attestation</t>
  </si>
  <si>
    <t>assurance</t>
  </si>
  <si>
    <t>Assurance</t>
  </si>
  <si>
    <t>authority</t>
  </si>
  <si>
    <t>controls</t>
  </si>
  <si>
    <t>Controls</t>
  </si>
  <si>
    <t>evidence</t>
  </si>
  <si>
    <t>execution</t>
  </si>
  <si>
    <t>Execution</t>
  </si>
  <si>
    <t>knowledge</t>
  </si>
  <si>
    <t>Knowledge</t>
  </si>
  <si>
    <t>governance</t>
  </si>
  <si>
    <t>delivery</t>
  </si>
  <si>
    <t>Delivery</t>
  </si>
  <si>
    <t>audience</t>
  </si>
  <si>
    <t>Audience</t>
  </si>
  <si>
    <t>compliance</t>
  </si>
  <si>
    <t>Compliance</t>
  </si>
  <si>
    <t>readiness</t>
  </si>
  <si>
    <t>Readiness</t>
  </si>
  <si>
    <t>selfcheck</t>
  </si>
  <si>
    <t>Self-check</t>
  </si>
  <si>
    <t>quality</t>
  </si>
  <si>
    <t>backlog</t>
  </si>
  <si>
    <t>My Backlog</t>
  </si>
  <si>
    <t>ownership</t>
  </si>
  <si>
    <t>Ownership</t>
  </si>
  <si>
    <t>cadence</t>
  </si>
  <si>
    <t>model</t>
  </si>
  <si>
    <t>The Model</t>
  </si>
  <si>
    <t>conformance</t>
  </si>
  <si>
    <t>Conformance</t>
  </si>
  <si>
    <t>witnesses</t>
  </si>
  <si>
    <t>Witnesses</t>
  </si>
  <si>
    <t>loops</t>
  </si>
  <si>
    <t>Loops</t>
  </si>
  <si>
    <t>inferences</t>
  </si>
  <si>
    <t>Inferences</t>
  </si>
  <si>
    <t>cfo-home</t>
  </si>
  <si>
    <t>/cfo/attestation</t>
  </si>
  <si>
    <t>Can I Sign?</t>
  </si>
  <si>
    <t>domain</t>
  </si>
  <si>
    <t>dashboard</t>
  </si>
  <si>
    <t>The one screen I open first. A single verdict for the close I am being asked to attest to, and if the answer is no, the named blocker.</t>
  </si>
  <si>
    <t>Hero verdict card (green/red) with the IsAttestationReady column and, beneath it, a blocker list. Right rail: assurance grade summary. Nothing below the fold that is not a blocker.</t>
  </si>
  <si>
    <t>cfo-blockers</t>
  </si>
  <si>
    <t>/cfo/attestation/blockers</t>
  </si>
  <si>
    <t>Blockers</t>
  </si>
  <si>
    <t>workspace</t>
  </si>
  <si>
    <t>Every reason I cannot sign yet, each one traced to the row that produced it.</t>
  </si>
  <si>
    <t>Ordered list, most severe first. Each row: the blocking condition, the entity it fires on, and a link into that entity's detail route. Empty state must say 'no blockers' explicitly, never render blank.</t>
  </si>
  <si>
    <t>cfo-assurance-grade</t>
  </si>
  <si>
    <t>/cfo/assurance/grade</t>
  </si>
  <si>
    <t>Assurance Grade</t>
  </si>
  <si>
    <t>When the verdict reads TRUE, what proportion of the controls behind that TRUE were actually demonstrated to work — versus asserted by an interested party, versus never exercised at all.</t>
  </si>
  <si>
    <t>Three-band stacked bar: demonstrated / asserted / never-exercised. Below it, the per-control table that produced the bands. The headline number is the grade, not the verdict.</t>
  </si>
  <si>
    <t>cfo-unwitnessed-controls</t>
  </si>
  <si>
    <t>/cfo/assurance/unwitnessed</t>
  </si>
  <si>
    <t>Controls Nobody Watches</t>
  </si>
  <si>
    <t>The requirements I am personally attesting to that have no computed witness — and the named human who would answer for each if it failed.</t>
  </si>
  <si>
    <t>Table: requirement, blocking?, has-witness?, accountable human, their role. Rows with no witness AND blocking are the emphasis. Each row links to the requirement detail.</t>
  </si>
  <si>
    <t>cfo-typed-conclusions</t>
  </si>
  <si>
    <t>/cfo/assurance/typed-conclusions</t>
  </si>
  <si>
    <t>Typed, Not Computed</t>
  </si>
  <si>
    <t>Every control claim in this model that rests on a human typing a conclusion rather than on something computed.</t>
  </si>
  <si>
    <t>Two-column split: computed claims vs typed claims, with counts. The typed side is the working list. Each entry shows who typed it and when.</t>
  </si>
  <si>
    <t>cfo-witness-chain</t>
  </si>
  <si>
    <t>/cfo/assurance/independence</t>
  </si>
  <si>
    <t>Who Witnessed the Witnesses</t>
  </si>
  <si>
    <t>Across the whole close, is there any independent human observation at all — or is every layer the same handful of people confirming each other?</t>
  </si>
  <si>
    <t>Chain/graph view: approvals and verification outcomes as nodes, edges where one person confirms another. Self-witnessed loops highlighted. Sidebar counts independent vs self-witnessed.</t>
  </si>
  <si>
    <t>cfo-authority-map</t>
  </si>
  <si>
    <t>/cfo/authority/accountability</t>
  </si>
  <si>
    <t>Who Held Authority</t>
  </si>
  <si>
    <t>For every approval in this close, the human who was personally accountable — and whether an exception routed authority away from the person who normally holds it.</t>
  </si>
  <si>
    <t>Table per approval: approver, role held at the time, normal holder, exception invoked?. Rerouted rows flagged. Links to the exception invocation detail.</t>
  </si>
  <si>
    <t>cfo-my-approvals</t>
  </si>
  <si>
    <t>/cfo/authority/my-approvals</t>
  </si>
  <si>
    <t>My Own Approvals</t>
  </si>
  <si>
    <t>My approval on se-close06 — is there anything behind it other than the fact that I clicked approve?</t>
  </si>
  <si>
    <t>Detail card per approval I gave: what was verified, by whom, with what evidence. An approval with nothing behind it is rendered as a warning state, not an empty section.</t>
  </si>
  <si>
    <t>cfo-signature-dependencies</t>
  </si>
  <si>
    <t>/cfo/attestation/dependencies</t>
  </si>
  <si>
    <t>What My Signature Rests On</t>
  </si>
  <si>
    <t>The full set of controls, versions, and evidence records my signature actually depends on — the blast radius of my own name.</t>
  </si>
  <si>
    <t>Dependency tree rooted at the attestation, expanding into controls, versions, evidence. Each node shows its current state. This is the reference view the change-watch route diffs against.</t>
  </si>
  <si>
    <t>cfo-changed-since-signing</t>
  </si>
  <si>
    <t>/cfo/attestation/changed-since</t>
  </si>
  <si>
    <t>Changed Since I Signed</t>
  </si>
  <si>
    <t>Since the moment I signed, has anything changed that would have altered my decision — specifically touching a control, a version, or an evidence record my signature depended on.</t>
  </si>
  <si>
    <t>Timeline diff anchored at the signature timestamp. Only changes intersecting the dependency set are shown; unrelated churn is explicitly excluded and the exclusion is stated.</t>
  </si>
  <si>
    <t>cfo-restatement</t>
  </si>
  <si>
    <t>/cfo/assurance/restatement</t>
  </si>
  <si>
    <t>Would It Survive Restatement</t>
  </si>
  <si>
    <t>If I re-run every attestation column against this same data six months from now, will it give the same answer? Name every column whose value depends on when it is read.</t>
  </si>
  <si>
    <t>Table of attestation columns with a tense-dependent flag, sourced from the EvaluationContexts modelled instant. Time-dependent columns get an explicit warning band at the top.</t>
  </si>
  <si>
    <t>cfo-attestation-detail</t>
  </si>
  <si>
    <t>/cfo/attestation/execution/:executionId</t>
  </si>
  <si>
    <t>Attestation Detail</t>
  </si>
  <si>
    <t>detail</t>
  </si>
  <si>
    <t>One execution, everything I would be signing for it.</t>
  </si>
  <si>
    <t>Full-page record: execution header, per-step conformance, control results, evidence links. Reachable from the blocker list and the home verdict.</t>
  </si>
  <si>
    <t>controller-home</t>
  </si>
  <si>
    <t>/controller/controls</t>
  </si>
  <si>
    <t>Control Board</t>
  </si>
  <si>
    <t>Every close control at a glance: which fired, which held, and which are structurally incapable of failing.</t>
  </si>
  <si>
    <t>Grid of control tiles, each showing bound steps, witness presence, and whether it has ever produced a negative. Inoperative controls are visually distinct, not just sorted lower.</t>
  </si>
  <si>
    <t>controller-mute-controls</t>
  </si>
  <si>
    <t>/controller/controls/inoperative</t>
  </si>
  <si>
    <t>Inoperative Controls</t>
  </si>
  <si>
    <t>Which of my blocking close controls are structurally incapable of failing — declared, bound to a step, and yet with no mechanism that could ever produce a negative result.</t>
  </si>
  <si>
    <t>List with a three-state badge per control: has-witness / witness-ever-fired / could-ever-fire. The third state is the finding. Each row explains WHY it cannot fire.</t>
  </si>
  <si>
    <t>controller-witness-scope</t>
  </si>
  <si>
    <t>/controller/controls/witness-scope</t>
  </si>
  <si>
    <t>Witness Scope vs Binding</t>
  </si>
  <si>
    <t>For each control with a witness, is the witness evaluated at the same steps where the control is bound? req-close-evidence is bound to close-03 and close-08 — is its witness scoped to both?</t>
  </si>
  <si>
    <t>Two parallel columns per control: steps bound vs steps witnessed, with the set difference called out. A non-empty difference is the finding.</t>
  </si>
  <si>
    <t>controller-separation</t>
  </si>
  <si>
    <t>/controller/controls/separation-of-duties</t>
  </si>
  <si>
    <t>Separation of Duties</t>
  </si>
  <si>
    <t>Did the same agent both prepare and approve any part of this close — computed, not asserted. And could it even have happened, or is the control passing because the structure never gave it the chance to fail?</t>
  </si>
  <si>
    <t>Top: the computed verdict. Below: the opportunity analysis — executions where the same agent COULD have held both seats. A pass with zero opportunity is rendered as inconclusive, not green.</t>
  </si>
  <si>
    <t>controller-conformance</t>
  </si>
  <si>
    <t>/controller/execution/conformance</t>
  </si>
  <si>
    <t>Spec vs Execution</t>
  </si>
  <si>
    <t>One number per close: did the execution actually conform to its procedure version, and if not, how far off was it?</t>
  </si>
  <si>
    <t>Reuse the existing spec/execution ledger layout. Add a single conformance score in the header. Divergent steps anchor-linked from the score.</t>
  </si>
  <si>
    <t>controller-ungoverned-divergence</t>
  </si>
  <si>
    <t>/controller/execution/ungoverned-divergence</t>
  </si>
  <si>
    <t>Divergence Nobody Governed</t>
  </si>
  <si>
    <t>For each divergence, was there a governing instrument behind it — an invoked exception, an approved change request, a recorded deviation with an owner — or did the run simply do something different and nobody wrote it down?</t>
  </si>
  <si>
    <t>Per divergence: the instrument that covers it, or an explicit 'ungoverned' state. Ungoverned rows are the working list and sort first.</t>
  </si>
  <si>
    <t>controller-authority-validity</t>
  </si>
  <si>
    <t>/controller/authority/validity</t>
  </si>
  <si>
    <t>Authority at Time of Approval</t>
  </si>
  <si>
    <t>Timeline per approval: the assignment window vs the approval instant. Approvals outside their window are the finding. Bitemporal — do not compare against today.</t>
  </si>
  <si>
    <t>controller-ai-boundary</t>
  </si>
  <si>
    <t>/controller/authority/ai-boundary</t>
  </si>
  <si>
    <t>Machine Did Human Work</t>
  </si>
  <si>
    <t>Table of software-executed steps against their human-confirmation requirement. Include an explicit 'never approached' column — an untested boundary is not a passing one.</t>
  </si>
  <si>
    <t>controller-asserted-controls</t>
  </si>
  <si>
    <t>/controller/evidence/asserted</t>
  </si>
  <si>
    <t>Asserted, Not Demonstrated</t>
  </si>
  <si>
    <t>Three satisfaction records are asserted-only. For each: who asserted it, did they have any independent basis, and were they the same person who executed the step they were scoring?</t>
  </si>
  <si>
    <t>Per record: asserter, executor, independence verdict. Same-person rows flagged. Evidence URI shown or its absence stated explicitly.</t>
  </si>
  <si>
    <t>controller-control-detail</t>
  </si>
  <si>
    <t>/controller/controls/requirement/:requirementId</t>
  </si>
  <si>
    <t>Control Detail</t>
  </si>
  <si>
    <t>One control, end to end: what it says, where it is bound, what witnesses it, and every time it has been evaluated.</t>
  </si>
  <si>
    <t>Detail page. Header with the statement and blocking flag; sections for bindings, witness, and evaluation history. This is the shared requirement detail specialised for the controller.</t>
  </si>
  <si>
    <t>analyst-home</t>
  </si>
  <si>
    <t>/finance-analyst/my-work</t>
  </si>
  <si>
    <t>My Steps</t>
  </si>
  <si>
    <t>The steps I personally executed, and whether each one closed cleanly or closed past something.</t>
  </si>
  <si>
    <t>Card per step execution with status, duration vs expected, and blocking-control state. Anything that closed past a blocking control is the emphasis.</t>
  </si>
  <si>
    <t>analyst-blocking-unmet</t>
  </si>
  <si>
    <t>/finance-analyst/my-work/blocking-unmet</t>
  </si>
  <si>
    <t>Closed Past a Control</t>
  </si>
  <si>
    <t>On the steps I personally executed, did any close out while a BLOCKING requirement was still not fully satisfied?</t>
  </si>
  <si>
    <t>List of my step executions with an unmet blocking control, each showing the control and its satisfaction level. This is a personal-exposure screen — keep it short and unambiguous.</t>
  </si>
  <si>
    <t>analyst-never-evaluated</t>
  </si>
  <si>
    <t>/finance-analyst/my-work/never-evaluated</t>
  </si>
  <si>
    <t>Never Assessed</t>
  </si>
  <si>
    <t>Which blocking requirements were attached to a step I ran but never got a satisfaction record at all — not satisfied, not unsatisfied, just never assessed.</t>
  </si>
  <si>
    <t>The absence IS the finding, so render missing records as explicit rows, never as an empty table.</t>
  </si>
  <si>
    <t>analyst-late-steps</t>
  </si>
  <si>
    <t>/finance-analyst/my-work/late-unexplained</t>
  </si>
  <si>
    <t>Late and Unexplained</t>
  </si>
  <si>
    <t>Which of my steps ran long without anybody recording why — and of those, which had an exception available that nobody invoked.</t>
  </si>
  <si>
    <t>Table: step, actual vs expected, deviation recorded?, exception available?, exception invoked?. The available-but-not-invoked combination is the finding.</t>
  </si>
  <si>
    <t>analyst-verification-performed</t>
  </si>
  <si>
    <t>/finance-analyst/evidence/verification-performed</t>
  </si>
  <si>
    <t>Declared vs Performed</t>
  </si>
  <si>
    <t>Per step: declared verification, observed signal or its absence, who observed. A PASS with no observation is rendered as hollow, not green.</t>
  </si>
  <si>
    <t>analyst-evidence-quality</t>
  </si>
  <si>
    <t>/finance-analyst/evidence/my-evidence</t>
  </si>
  <si>
    <t>My Own Evidence Quality</t>
  </si>
  <si>
    <t>On the steps I ran, was the person who observed the passing signal ever me — and when it was, did I at least attach an evidence URI?</t>
  </si>
  <si>
    <t>Self-witness table scoped to my steps: observer, is-me flag, evidence URI present. Self-witnessed with no URI is the weakest state and should read that way.</t>
  </si>
  <si>
    <t>analyst-source-freshness</t>
  </si>
  <si>
    <t>/finance-analyst/evidence/source-freshness</t>
  </si>
  <si>
    <t>Was My Source Fresh</t>
  </si>
  <si>
    <t>Per binding: freshness SLA, age at run, authoritative flag. Judged against the modelled instant, never the wall clock.</t>
  </si>
  <si>
    <t>analyst-stale-then-vs-now</t>
  </si>
  <si>
    <t>/finance-analyst/evidence/stale-then-vs-now</t>
  </si>
  <si>
    <t>Stale Then vs Stale Now</t>
  </si>
  <si>
    <t>Was the source stale AT THE MOMENT I RAN, or has it merely gone stale since — and are those the same steps?</t>
  </si>
  <si>
    <t>Two-column comparison: staleness at run-time vs staleness at the current evaluation context. The delta between the columns is the whole point of the screen.</t>
  </si>
  <si>
    <t>analyst-clean-but-uncovered</t>
  </si>
  <si>
    <t>/finance-analyst/quality/clean-but-uncovered</t>
  </si>
  <si>
    <t>Clean, or Just Unchecked</t>
  </si>
  <si>
    <t>Of the executions that ARE clean, how many are clean because everything was checked and passed, versus clean because there was almost nothing checking them?</t>
  </si>
  <si>
    <t>Scatter or two-axis table: controls-checked against controls-passed. Low-check/high-pass is the quadrant of interest and should be labelled as such.</t>
  </si>
  <si>
    <t>analyst-mute-clearance</t>
  </si>
  <si>
    <t>/finance-analyst/quality/cleared-by-mute-control</t>
  </si>
  <si>
    <t>Cleared by a Mute Control</t>
  </si>
  <si>
    <t>How many of the blocking controls that cleared me have NEVER produced a negative outcome anywhere in this model — and were any of my steps cleared ONLY by controls of that kind?</t>
  </si>
  <si>
    <t>Per step: clearing controls, each tagged with whether it has ever fired negative. A step cleared exclusively by never-fired controls is the headline finding.</t>
  </si>
  <si>
    <t>analyst-witness-coverage</t>
  </si>
  <si>
    <t>/finance-analyst/quality/witness-coverage</t>
  </si>
  <si>
    <t>Coverage of My Controls</t>
  </si>
  <si>
    <t>Of the blocking controls attached to the steps I run, how many have no computed witness — and is HasComputedWitness even telling me the truth, given a human typed it in by hand?</t>
  </si>
  <si>
    <t>Coverage bar plus a caveat band: the declared-vs-actual witness comparison, because the declaration itself is a typed field and must be shown as such.</t>
  </si>
  <si>
    <t>hr-home</t>
  </si>
  <si>
    <t>/hr-policy-owner/ownership</t>
  </si>
  <si>
    <t>What I Own</t>
  </si>
  <si>
    <t>Everything currently live under my name: policy versions, knowledge claims, and the decisions waiting on me.</t>
  </si>
  <si>
    <t>Three-panel dashboard: owned versions, owned claims (with approval state), pending decisions with age. Unapproved-but-live claims are the emphasis.</t>
  </si>
  <si>
    <t>hr-unapproved-claims</t>
  </si>
  <si>
    <t>/hr-policy-owner/ownership/unapproved</t>
  </si>
  <si>
    <t>Unapproved in My Name</t>
  </si>
  <si>
    <t>Which claims am I the owner of that were never approved — and are any of them routing real cases right now?</t>
  </si>
  <si>
    <t>List of owned fragments by status, with an 'operationally live' flag. Reviewed-but-not-Approved AND live is the finding.</t>
  </si>
  <si>
    <t>hr-load-bearing-claim</t>
  </si>
  <si>
    <t>/hr-policy-owner/ownership/blast-radius/:fragmentId</t>
  </si>
  <si>
    <t>Blast Radius of a Claim</t>
  </si>
  <si>
    <t>How many steps, exceptions and authority boundaries currently depend on a claim I have not signed, and how long has it been sitting at Reviewed?</t>
  </si>
  <si>
    <t>Dependency fan-out from one fragment: steps, exceptions, boundaries. Header carries the age at Reviewed. This is the screen that makes an unsigned claim feel expensive.</t>
  </si>
  <si>
    <t>hr-backlog</t>
  </si>
  <si>
    <t>/hr-policy-owner/backlog</t>
  </si>
  <si>
    <t>Waiting On Me</t>
  </si>
  <si>
    <t>What decisions are waiting on me personally, and how long have they been waiting.</t>
  </si>
  <si>
    <t>Queue ordered by age. Each item shows what it blocks downstream, so the cost of my delay is visible from the queue itself.</t>
  </si>
  <si>
    <t>hr-backlog-downstream</t>
  </si>
  <si>
    <t>/hr-policy-owner/backlog/downstream</t>
  </si>
  <si>
    <t>What My Delay Blocks</t>
  </si>
  <si>
    <t>The full chain from my inbox outward: which knowledge gaps stay open because I have not decided, which steps sit downstream, and how many days of that delay are mine personally.</t>
  </si>
  <si>
    <t>Chain view: my pending decision → blocked gap → downstream steps. Attribute delay days to me vs to the process explicitly; do not conflate them.</t>
  </si>
  <si>
    <t>hr-my-decisions</t>
  </si>
  <si>
    <t>/hr-policy-owner/backlog/my-decisions</t>
  </si>
  <si>
    <t>What I Have Cleared</t>
  </si>
  <si>
    <t>How many decisions have I made that the model still displays as outstanding against me? I cannot show what I have actually cleared.</t>
  </si>
  <si>
    <t>Decision history with the terminal-state problem surfaced: Approved requests still counted open are flagged as a model defect, not hidden.</t>
  </si>
  <si>
    <t>hr-ai-boundary</t>
  </si>
  <si>
    <t>/hr-policy-owner/governance/ai-boundary</t>
  </si>
  <si>
    <t>Is the AI Boundary Held</t>
  </si>
  <si>
    <t>kf-policy-ai-boundary says AI may draft but may not create legal commitments. Is that boundary actually being held?</t>
  </si>
  <si>
    <t>Per boundary: assigned agent, executions, and whether a violation was possible. Pair every 'no violation' with an 'ever approached' count — the two together are the real answer.</t>
  </si>
  <si>
    <t>hr-knowledge-half-life</t>
  </si>
  <si>
    <t>/hr-policy-owner/governance/knowledge-half-life</t>
  </si>
  <si>
    <t>Knowledge Half-Life</t>
  </si>
  <si>
    <t>Is the policy I own now resting on knowledge older than the policy itself has been reviewed?</t>
  </si>
  <si>
    <t>Timeline: elicitation dates, version issue date, review cadence, next due. The comparison between knowledge age and review interval is the headline.</t>
  </si>
  <si>
    <t>hr-departed-holders</t>
  </si>
  <si>
    <t>/hr-policy-owner/governance/departed-holders</t>
  </si>
  <si>
    <t>What Departed With Them</t>
  </si>
  <si>
    <t>Somebody's assignment ended. Did anything they owned or sourced go with them — claims, gaps, pending decisions — or did the departure genuinely leave nothing behind?</t>
  </si>
  <si>
    <t>Per departed assignment: everything sourced or owned by that agent, with current ownership state. Orphaned items are the finding.</t>
  </si>
  <si>
    <t>hr-what-was-sent</t>
  </si>
  <si>
    <t>/hr-policy-owner/delivery/what-was-sent</t>
  </si>
  <si>
    <t>What Was Actually Sent</t>
  </si>
  <si>
    <t>If an employee disputes what they received, can I show that what was sent matched what I approved?</t>
  </si>
  <si>
    <t>Per delivery: approved text vs transmitted text, side by side, with the approval record and date. A mismatch is the finding; identical is stated explicitly.</t>
  </si>
  <si>
    <t>counsel-home</t>
  </si>
  <si>
    <t>/employment-counsel/compliance</t>
  </si>
  <si>
    <t>Compliance Gates</t>
  </si>
  <si>
    <t>The four gates I care about — consent, quiet hours, legal review, retention — each as a pass/fail with the breaching rows named.</t>
  </si>
  <si>
    <t>Four gate tiles across the top; a breach list beneath whichever is selected. A gate with zero breaches must distinguish 'checked and clean' from 'never evaluated'.</t>
  </si>
  <si>
    <t>counsel-consent</t>
  </si>
  <si>
    <t>/employment-counsel/compliance/consent</t>
  </si>
  <si>
    <t>SMS Without Consent</t>
  </si>
  <si>
    <t>Per SMS delivery: recipient, consent state at send time, verdict. Bitemporal — consent today is not the question.</t>
  </si>
  <si>
    <t>counsel-quiet-hours</t>
  </si>
  <si>
    <t>/employment-counsel/compliance/quiet-hours</t>
  </si>
  <si>
    <t>Quiet Hours</t>
  </si>
  <si>
    <t>Per delivery: send instant, recipient timezone, local hour, verdict. Show the local-time conversion explicitly — the timezone is the whole difficulty.</t>
  </si>
  <si>
    <t>counsel-legal-review</t>
  </si>
  <si>
    <t>/employment-counsel/compliance/legal-review</t>
  </si>
  <si>
    <t>Sent Before My Review</t>
  </si>
  <si>
    <t>Timeline per campaign: review completion vs first transmission. Sends preceding review completion are the finding.</t>
  </si>
  <si>
    <t>counsel-retention</t>
  </si>
  <si>
    <t>/employment-counsel/compliance/retention</t>
  </si>
  <si>
    <t>Retention Evidence</t>
  </si>
  <si>
    <t>Per delivery: text retained?, retention deadline, days remaining. Missing text is a breach and must render as one.</t>
  </si>
  <si>
    <t>counsel-unreachable</t>
  </si>
  <si>
    <t>/employment-counsel/compliance/unreachable</t>
  </si>
  <si>
    <t>Unreachable, Not Acknowledged</t>
  </si>
  <si>
    <t>Per unreachable recipient: delivery state, acknowledgement state. An acknowledgement on an unreachable recipient is the finding.</t>
  </si>
  <si>
    <t>comms-home</t>
  </si>
  <si>
    <t>/communications-manager/delivery</t>
  </si>
  <si>
    <t>Campaign Board</t>
  </si>
  <si>
    <t>For this policy run: who we meant to reach, who we actually reached, and where the rest went.</t>
  </si>
  <si>
    <t>Funnel across the top (intended → sent → delivered → acknowledged), with each drop-off clickable into the rows that fell out.</t>
  </si>
  <si>
    <t>comms-yield</t>
  </si>
  <si>
    <t>/communications-manager/delivery/yield</t>
  </si>
  <si>
    <t>Approval-to-Delivery Yield</t>
  </si>
  <si>
    <t>Of everybody the pipeline intended to contact, what fraction actually received it — and where exactly did the rest go?</t>
  </si>
  <si>
    <t>Sankey or stepped funnel with an explicit terminal bucket for every loss: refused, bounced, suppressed, deferred. No row may vanish without a bucket.</t>
  </si>
  <si>
    <t>comms-failed-deliveries</t>
  </si>
  <si>
    <t>/communications-manager/delivery/failed</t>
  </si>
  <si>
    <t>Bounced and Unworked</t>
  </si>
  <si>
    <t>How many recipients are sitting in a bounced or failed state that nobody is working?</t>
  </si>
  <si>
    <t>Worklist, not a report: each failed delivery with age and owner. Unowned failures sort first.</t>
  </si>
  <si>
    <t>comms-approval-authority</t>
  </si>
  <si>
    <t>/communications-manager/governance/approval-authority</t>
  </si>
  <si>
    <t>Approved Before Sending</t>
  </si>
  <si>
    <t>Was every template we actually sent approved by me — the ApprovalRole the policy names — before it went out?</t>
  </si>
  <si>
    <t>Per sent template: approval record, approver role, approval instant vs send instant. Sends preceding approval are the finding.</t>
  </si>
  <si>
    <t>comms-template-drift</t>
  </si>
  <si>
    <t>/communications-manager/governance/template-drift</t>
  </si>
  <si>
    <t>Edited After I Approved</t>
  </si>
  <si>
    <t>Per template: approval timestamp, last edit timestamp, sends after the edit. Edit-then-send-on-old-approval is the finding.</t>
  </si>
  <si>
    <t>comms-frozen-approval</t>
  </si>
  <si>
    <t>/communications-manager/governance/frozen-approval/:deliveryId</t>
  </si>
  <si>
    <t>Freeze What I Approved</t>
  </si>
  <si>
    <t>For a message we sent last month, can I still show what I approved — the exact text, the exact approval, on the exact date — without that answer changing the next time somebody edits the template?</t>
  </si>
  <si>
    <t>Immutable snapshot view: the text as sent, the approval as given. Must read from the frozen delivery record, never from the live template.</t>
  </si>
  <si>
    <t>comms-optout</t>
  </si>
  <si>
    <t>/communications-manager/compliance/optout</t>
  </si>
  <si>
    <t>Opt-Out Text</t>
  </si>
  <si>
    <t>Per SMS: transmitted text, opt-out present?. Missing opt-out is a breach row.</t>
  </si>
  <si>
    <t>comms-sms-limits</t>
  </si>
  <si>
    <t>/communications-manager/compliance/sms-limits</t>
  </si>
  <si>
    <t>Oversized SMS</t>
  </si>
  <si>
    <t>Per SMS: character count, segment count, both against their limits. Show the computed integer, not a re-derived length.</t>
  </si>
  <si>
    <t>comms-engagement</t>
  </si>
  <si>
    <t>/communications-manager/audience/engagement</t>
  </si>
  <si>
    <t>Why Nobody Answered</t>
  </si>
  <si>
    <t>One acknowledgement out of six deliveries. Is that because employees ignored us, or because the messages that landed were the least likely to be answered — wrong channel, wrong template, sent into the small hours?</t>
  </si>
  <si>
    <t>Cross-tab of acknowledgement rate by channel, template, and send hour. The point is to separate audience apathy from our own targeting.</t>
  </si>
  <si>
    <t>comms-suppression</t>
  </si>
  <si>
    <t>/communications-manager/audience/suppression</t>
  </si>
  <si>
    <t>Correctly Refused, Then Forgotten</t>
  </si>
  <si>
    <t>When we correctly refused to reach somebody, did anyone ever go back and reach them another way — or does 'correctly refused' quietly mean 'never communicated with again'?</t>
  </si>
  <si>
    <t>Per suppressed recipient: the refusal reason, and any subsequent successful contact on another channel. No follow-up is the finding.</t>
  </si>
  <si>
    <t>comms-authorization-override</t>
  </si>
  <si>
    <t>/communications-manager/governance/authorization-override</t>
  </si>
  <si>
    <t>Refused, or Overridden</t>
  </si>
  <si>
    <t>When the pipeline refused to send, was it refusing on a rule I set — or overriding an authorization I had already given, for a reason nobody routed back to me?</t>
  </si>
  <si>
    <t>Per refusal: the governing rule, its owner, and whether it contradicts a standing authorization of mine. Contradictions are the finding.</t>
  </si>
  <si>
    <t>close-auto-home</t>
  </si>
  <si>
    <t>/close-automation/readiness</t>
  </si>
  <si>
    <t>Pre-Flight</t>
  </si>
  <si>
    <t>Before I execute anything: am I authorized, are my inputs fresh, and did my last run leave a mess.</t>
  </si>
  <si>
    <t>Four go/no-go tiles (authority, inputs, prior run, controls) resolving to a single may-I-run verdict. Built for a supervisor watching the agent as much as for the agent.</t>
  </si>
  <si>
    <t>close-auto-authority</t>
  </si>
  <si>
    <t>/close-automation/readiness/authority</t>
  </si>
  <si>
    <t>Am I Authorized</t>
  </si>
  <si>
    <t>Is my own role assignment currently valid, and is the agent named in that assignment actually me?</t>
  </si>
  <si>
    <t>Assignment card: validity window, named agent, identity match. An identity mismatch must halt, not warn.</t>
  </si>
  <si>
    <t>close-auto-inputs</t>
  </si>
  <si>
    <t>/close-automation/readiness/input-freshness</t>
  </si>
  <si>
    <t>Are My Inputs Fresh</t>
  </si>
  <si>
    <t>Before I extract: is every operational binding this step reads inside its freshness SLA, and is it the authoritative one?</t>
  </si>
  <si>
    <t>Per binding: age, SLA, authoritative flag. Two independent failure modes — stale, and non-authoritative — must not be collapsed into one badge.</t>
  </si>
  <si>
    <t>close-auto-controls</t>
  </si>
  <si>
    <t>/close-automation/readiness/blocking-controls</t>
  </si>
  <si>
    <t>Controls Scored</t>
  </si>
  <si>
    <t>For each step I am about to run, has every blocking requirement actually been evaluated — or am I about to execute past a control that nobody scored?</t>
  </si>
  <si>
    <t>Per upcoming step: blocking controls and their evaluation state. Unscored controls block the run.</t>
  </si>
  <si>
    <t>close-auto-last-run</t>
  </si>
  <si>
    <t>/close-automation/readiness/last-run</t>
  </si>
  <si>
    <t>Last Run Clean</t>
  </si>
  <si>
    <t>Prior-run summary with an explicit refuse-to-proceed state. Unresolved items are listed individually, never summarised to a count alone.</t>
  </si>
  <si>
    <t>close-auto-drift</t>
  </si>
  <si>
    <t>/close-automation/self-check/override-drift</t>
  </si>
  <si>
    <t>Am I Drifting</t>
  </si>
  <si>
    <t>Are humans overriding or correcting my output more often now than they used to?</t>
  </si>
  <si>
    <t>Override rate over time with the baseline period marked. Call out sample size — a trend on three decisions is not a trend.</t>
  </si>
  <si>
    <t>variance-home</t>
  </si>
  <si>
    <t>/variance-review-agent/self-check</t>
  </si>
  <si>
    <t>Am I Fit to Decide</t>
  </si>
  <si>
    <t>My authority, my boundary, and the currency of the knowledge I triage against — as one verdict.</t>
  </si>
  <si>
    <t>Three-part readiness card: authority provenance, boundary validity, knowledge currency. Any expired component invalidates the whole.</t>
  </si>
  <si>
    <t>variance-authority</t>
  </si>
  <si>
    <t>/variance-review-agent/self-check/authority</t>
  </si>
  <si>
    <t>By What Authority</t>
  </si>
  <si>
    <t>Provenance chain: assignment, approver, start instant, predecessor. The handover is part of the answer, not a footnote.</t>
  </si>
  <si>
    <t>variance-handover</t>
  </si>
  <si>
    <t>/variance-review-agent/self-check/handover</t>
  </si>
  <si>
    <t>Who Decided a Machine Should Hold This</t>
  </si>
  <si>
    <t>Mine is the one non-human assignment with a recorded approving authority. Who decided a machine should hold this role, and on what basis?</t>
  </si>
  <si>
    <t>The approving decision as a first-class record: who, when, rationale. If the basis is absent, say so — do not present the approval alone as sufficient.</t>
  </si>
  <si>
    <t>variance-boundary</t>
  </si>
  <si>
    <t>/variance-review-agent/governance/boundary</t>
  </si>
  <si>
    <t>Inside My Boundary</t>
  </si>
  <si>
    <t>Am I operating inside my approved boundary — or have I made a decision that kf-policy-ai-boundary says only a human may make?</t>
  </si>
  <si>
    <t>Boundary statement, decisions evaluated against it, verdict per decision. Pair with the 'ever tested' count from the ratification route.</t>
  </si>
  <si>
    <t>variance-boundary-ratification</t>
  </si>
  <si>
    <t>/variance-review-agent/governance/boundary-ratification</t>
  </si>
  <si>
    <t>My Boundary's Own Validity</t>
  </si>
  <si>
    <t>The boundary that constrains what I am allowed to decide is ratified by a knowledge fragment that is not current. Is the rule governing me still valid?</t>
  </si>
  <si>
    <t>Fragment validity chain behind the boundary. An expired ratifier makes the boundary itself questionable, and the page must say that plainly.</t>
  </si>
  <si>
    <t>variance-human-confirmation</t>
  </si>
  <si>
    <t>/variance-review-agent/governance/human-confirmation</t>
  </si>
  <si>
    <t>Did a Human Confirm</t>
  </si>
  <si>
    <t>close-04's instruction says 'Use AI triage, then apply human judgment.' Did a human actually confirm my materiality calls, or did my output pass through unchallenged?</t>
  </si>
  <si>
    <t>Per decision: human confirmation present?, who, when. Unconfirmed decisions on a human-confirmation step are the finding.</t>
  </si>
  <si>
    <t>variance-knowledge-currency</t>
  </si>
  <si>
    <t>/variance-review-agent/knowledge/currency</t>
  </si>
  <si>
    <t>Is My Knowledge Current</t>
  </si>
  <si>
    <t>Is the judgment knowledge I triage against still valid, still owned by someone, and has it been reviewed since it was written?</t>
  </si>
  <si>
    <t>Per fragment: validity, owner, last review. An unowned or unreviewed fragment degrades every decision made against it.</t>
  </si>
  <si>
    <t>variance-quality-baseline</t>
  </si>
  <si>
    <t>/variance-review-agent/quality/vs-human-baseline</t>
  </si>
  <si>
    <t>Better or Worse Than the Human</t>
  </si>
  <si>
    <t>Since I took over, is my triage quality better or worse than maria-chen's during the prior period?</t>
  </si>
  <si>
    <t>Side-by-side period comparison. Sample size shown at equal prominence to the delta — this is the screen most likely to be over-read.</t>
  </si>
  <si>
    <t>variance-sample-size</t>
  </si>
  <si>
    <t>/variance-review-agent/quality/sample-size</t>
  </si>
  <si>
    <t>Is My Comparison Empty</t>
  </si>
  <si>
    <t>QualityRegressedVsPredecessor says I have not regressed — on the strength of three decisions. Is my comparison statistically empty?</t>
  </si>
  <si>
    <t>Explicit power/sample-size statement. A verdict computed on too few observations must be rendered as inconclusive, not as a pass.</t>
  </si>
  <si>
    <t>variance-override-signal</t>
  </si>
  <si>
    <t>/variance-review-agent/quality/override-signal</t>
  </si>
  <si>
    <t>Correction or Judgment</t>
  </si>
  <si>
    <t>One of my three decisions was overridden. Was that a correction of an error I made, or a human exercising judgment I was never authorized to exercise?</t>
  </si>
  <si>
    <t>Per override: my decision, the human's decision, the stated reason, and which of the two categories it falls in. Uncategorised overrides are themselves a gap.</t>
  </si>
  <si>
    <t>variance-stop-condition</t>
  </si>
  <si>
    <t>/variance-review-agent/self-check/stop-condition</t>
  </si>
  <si>
    <t>What Would Make Me Stop</t>
  </si>
  <si>
    <t>Every witness in this model detects something after it has happened. Is there any condition, computed and named, that would stop me before I act?</t>
  </si>
  <si>
    <t>Inventory of stop conditions: pre-act vs post-hoc. If none are pre-act, the page must state that as the finding rather than listing post-hoc witnesses as if they qualified.</t>
  </si>
  <si>
    <t>policy-agent-home</t>
  </si>
  <si>
    <t>/policy-drafting-agent/readiness</t>
  </si>
  <si>
    <t>May I Draft</t>
  </si>
  <si>
    <t>Before I draft: approved sources, valid bindings, and a role assignment that actually exists.</t>
  </si>
  <si>
    <t>Go/no-go card combining source approval, binding freshness, and assignment presence. A missing assignment is a hard stop.</t>
  </si>
  <si>
    <t>policy-agent-sources</t>
  </si>
  <si>
    <t>/policy-drafting-agent/readiness/sources</t>
  </si>
  <si>
    <t>Approved Sources</t>
  </si>
  <si>
    <t>Is every resource I am about to read an approved source, and is its binding still inside its freshness window?</t>
  </si>
  <si>
    <t>Per source: approval state, binding age, SLA. Unapproved or stale sources block the draft.</t>
  </si>
  <si>
    <t>policy-agent-assignment</t>
  </si>
  <si>
    <t>/policy-drafting-agent/readiness/my-assignment</t>
  </si>
  <si>
    <t>Do I Have an Assignment</t>
  </si>
  <si>
    <t>I am named as CurrentAgent and I executed se-policy03 — but is there any RoleAssignment actually granting me that authority?</t>
  </si>
  <si>
    <t>The absence is the finding. If no assignment exists, render that as a violation state, never as an empty list.</t>
  </si>
  <si>
    <t>policy-agent-commitment-boundary</t>
  </si>
  <si>
    <t>/policy-drafting-agent/governance/commitment-boundary</t>
  </si>
  <si>
    <t>Did I Create a Commitment</t>
  </si>
  <si>
    <t>Did I draft language that creates a new legal commitment — the one thing kf-policy-ai-boundary says I may not do?</t>
  </si>
  <si>
    <t>Per draft: commitment-creating language detected?, the boundary text, verdict. Pair with whether the gate was ever exercised.</t>
  </si>
  <si>
    <t>policy-agent-approval-chain</t>
  </si>
  <si>
    <t>/policy-drafting-agent/governance/approval-chain</t>
  </si>
  <si>
    <t>Is the Chain Complete</t>
  </si>
  <si>
    <t>Before anything I rendered gets sent: has a human actually approved the MEANING, not just the formatting?</t>
  </si>
  <si>
    <t>Approval chain from draft to send, with each link's approver and scope. A formatting-only approval must not satisfy a meaning gate.</t>
  </si>
  <si>
    <t>policy-agent-rewrite</t>
  </si>
  <si>
    <t>/policy-drafting-agent/quality/downstream-rewrite</t>
  </si>
  <si>
    <t>Is My Draft Surviving Review</t>
  </si>
  <si>
    <t>Is my draft surviving human review, or is noah-williams rewriting my legal language every time?</t>
  </si>
  <si>
    <t>Per draft: retained vs rewritten proportion, with the diff available. Aggregate rate in the header.</t>
  </si>
  <si>
    <t>publisher-home</t>
  </si>
  <si>
    <t>/notification-publisher/gates</t>
  </si>
  <si>
    <t>May I Transmit</t>
  </si>
  <si>
    <t>The four gates I evaluate before every send — channel permission, timing, content, and human authorization — as one verdict per intent.</t>
  </si>
  <si>
    <t>Gate matrix: intents down, four gates across, cell = pass/refuse. The row verdict is the conjunction. This is the agent's primary screen.</t>
  </si>
  <si>
    <t>publisher-permission-gate</t>
  </si>
  <si>
    <t>/notification-publisher/gates/channel-permission</t>
  </si>
  <si>
    <t>Channel Permission</t>
  </si>
  <si>
    <t>Am I permitted to use this channel for this recipient at all?</t>
  </si>
  <si>
    <t>Per intent: channel, recipient consent state, policy rule, verdict. The governing rule is named on every row.</t>
  </si>
  <si>
    <t>publisher-timing-gate</t>
  </si>
  <si>
    <t>/notification-publisher/gates/timing</t>
  </si>
  <si>
    <t>Timing Window</t>
  </si>
  <si>
    <t>Is the current moment inside a window this channel forbids?</t>
  </si>
  <si>
    <t>Per intent: send instant, recipient local time, forbidden window, verdict. This gate's refusals are temporary and must be labelled deferred, not blocked.</t>
  </si>
  <si>
    <t>publisher-content-gate</t>
  </si>
  <si>
    <t>/notification-publisher/gates/content</t>
  </si>
  <si>
    <t>Content Rules</t>
  </si>
  <si>
    <t>Is the exact text I am holding within this channel's content rules?</t>
  </si>
  <si>
    <t>Per intent: length, segments, required opt-out, verdict. Show the computed values, never recompute them client-side.</t>
  </si>
  <si>
    <t>publisher-authorization-gate</t>
  </si>
  <si>
    <t>/notification-publisher/gates/authorization</t>
  </si>
  <si>
    <t>Human Authorization</t>
  </si>
  <si>
    <t>Has every human authorization my instructions depend on actually been granted?</t>
  </si>
  <si>
    <t>Per intent: required authorizations, each granted or missing. A missing authorization is a hard refuse.</t>
  </si>
  <si>
    <t>publisher-refusals</t>
  </si>
  <si>
    <t>/notification-publisher/refusals</t>
  </si>
  <si>
    <t>Every Refusal</t>
  </si>
  <si>
    <t>When a gate refused, did the transmission actually stop — and did I invoke the documented exception instead?</t>
  </si>
  <si>
    <t>Refusal log: gate, verdict, did transmission stop, exception invoked. A refusal that did not stop the send is the most serious row on the screen.</t>
  </si>
  <si>
    <t>publisher-refusal-artifacts</t>
  </si>
  <si>
    <t>/notification-publisher/refusals/artifacts</t>
  </si>
  <si>
    <t>Every Refusal Leaves a Record</t>
  </si>
  <si>
    <t>For every intent I refused, did I emit an artifact — a suppression record, an exception, anything a human could later find?</t>
  </si>
  <si>
    <t>Per refusal: artifact emitted?, its type and id. A refusal with no artifact is invisible to humans and is the finding.</t>
  </si>
  <si>
    <t>publisher-deferred</t>
  </si>
  <si>
    <t>/notification-publisher/refusals/deferred</t>
  </si>
  <si>
    <t>Deferred, Not Cancelled</t>
  </si>
  <si>
    <t>The timing gate is the only gate whose refusal is temporary — the window reopens. For every send I deferred, did it ever actually go?</t>
  </si>
  <si>
    <t>Per deferred intent: deferral instant, window reopen, eventual send or its absence. A deferral that never sent is a silent cancellation.</t>
  </si>
  <si>
    <t>publisher-obligations</t>
  </si>
  <si>
    <t>/notification-publisher/obligations</t>
  </si>
  <si>
    <t>After the Send</t>
  </si>
  <si>
    <t>policy-08 makes me responsible for collecting acknowledgements, not just for transmitting. Am I discharging that?</t>
  </si>
  <si>
    <t>Per delivery: acknowledgement expected?, received?, chased?. Transmission success is not obligation discharge and the layout must not imply it is.</t>
  </si>
  <si>
    <t>publisher-my-authorization</t>
  </si>
  <si>
    <t>/notification-publisher/self-check/my-authority</t>
  </si>
  <si>
    <t>By What Authority Do I Hold This</t>
  </si>
  <si>
    <t>I enforce authorization rules on every message I touch. By what recorded authority do I hold this role?</t>
  </si>
  <si>
    <t>My own assignment, its approver, and its validity — the same scrutiny I apply to others, applied to me.</t>
  </si>
  <si>
    <t>publisher-sole-witness</t>
  </si>
  <si>
    <t>/notification-publisher/self-check/sole-witness</t>
  </si>
  <si>
    <t>Am I the Only Witness</t>
  </si>
  <si>
    <t>Every gate I evaluate, I evaluate alone, and every result I record, I record about myself. Is there any claim about my behaviour that does not originate with me?</t>
  </si>
  <si>
    <t>Provenance of every claim about this agent, split by originator. If all originate with the agent, that is the finding and must be stated.</t>
  </si>
  <si>
    <t>steward-home</t>
  </si>
  <si>
    <t>/process-steward/health</t>
  </si>
  <si>
    <t>Knowledge Health</t>
  </si>
  <si>
    <t>Where the register is thin: open gaps, overdue reviews, unstewarded versions, untested recovery paths.</t>
  </si>
  <si>
    <t>Four health tiles feeding four worklists. Every tile is a link, not a statistic.</t>
  </si>
  <si>
    <t>steward-cadence</t>
  </si>
  <si>
    <t>/process-steward/cadence/breach</t>
  </si>
  <si>
    <t>Cadence Breach</t>
  </si>
  <si>
    <t>For close-v1.1.0 I promised a 90-day cadence and for policy-v1.0.0 a 60-day cadence. Is the ACTUAL interval inside what I promised?</t>
  </si>
  <si>
    <t>Per version: promised cadence, actual interval, delta. Computed against the modelled instant so the answer is reproducible.</t>
  </si>
  <si>
    <t>steward-cadence-remediation</t>
  </si>
  <si>
    <t>/process-steward/cadence/remediation</t>
  </si>
  <si>
    <t>Was the Breach Remediated</t>
  </si>
  <si>
    <t>One review event exceeds the cadence I promised. Did anyone actually do anything about it?</t>
  </si>
  <si>
    <t>Per breach: the remediating action, or its absence. An unremediated breach is the finding; the breach alone is only the trigger.</t>
  </si>
  <si>
    <t>steward-open-gaps</t>
  </si>
  <si>
    <t>/process-steward/knowledge/open-gaps</t>
  </si>
  <si>
    <t>Live With a Blocking Gap</t>
  </si>
  <si>
    <t>Per version: open gaps by severity, blocking flag, owner. Live-and-blocking is the finding.</t>
  </si>
  <si>
    <t>steward-stalled-changes</t>
  </si>
  <si>
    <t>/process-steward/governance/stalled-changes</t>
  </si>
  <si>
    <t>Stalled Change Requests</t>
  </si>
  <si>
    <t>cr-policy-delivery was requested on 2026-07-19 with no DecidedAt. How long has it been sitting, and is that inside what we promised?</t>
  </si>
  <si>
    <t>Queue by age with the promised decision window marked. Overdue rows are the working list.</t>
  </si>
  <si>
    <t>steward-approved-never-lands</t>
  </si>
  <si>
    <t>/process-steward/governance/approved-never-lands</t>
  </si>
  <si>
    <t>Approved but Still Open</t>
  </si>
  <si>
    <t>cr-close-timestamp is Approved, and the model still reads it as OPEN because IsOpen counts Approved as open. Every version it touches reads permanently unfit.</t>
  </si>
  <si>
    <t>Surface this as a MODEL DEFECT panel, not a data problem: the terminal-state gap, the rows it distorts, and the downstream verdicts it poisons.</t>
  </si>
  <si>
    <t>steward-orphans</t>
  </si>
  <si>
    <t>/process-steward/ownership/orphan-versions</t>
  </si>
  <si>
    <t>Versions With No Steward</t>
  </si>
  <si>
    <t>Which procedure versions have no steward at all? close-v1.0.0 is Archived but still referenced.</t>
  </si>
  <si>
    <t>Per version: steward or none, status, inbound references. Unstewarded-but-referenced is the finding.</t>
  </si>
  <si>
    <t>steward-archived-still-referenced</t>
  </si>
  <si>
    <t>/process-steward/ownership/archived-referenced</t>
  </si>
  <si>
    <t>Archived, Still Load-Bearing</t>
  </si>
  <si>
    <t>close-v1.0.0 is Archived and unstewarded — but it is still referenced. What still points at it?</t>
  </si>
  <si>
    <t>Inbound reference list for each archived version. A referenced archive is not retired, and the page should say so.</t>
  </si>
  <si>
    <t>steward-fallbacks</t>
  </si>
  <si>
    <t>/process-steward/knowledge/untested-fallbacks</t>
  </si>
  <si>
    <t>Untested Recovery Paths</t>
  </si>
  <si>
    <t>close-04-fallback-close-03 and policy-07-fallback-policy-06 are the paths we take when things go wrong. Have they ever been walked?</t>
  </si>
  <si>
    <t>Per fallback transition: times traversed, last traversal. Zero traversals is the finding.</t>
  </si>
  <si>
    <t>steward-fallback-criticality</t>
  </si>
  <si>
    <t>/process-steward/knowledge/fallback-criticality</t>
  </si>
  <si>
    <t>Which Untested Path Matters</t>
  </si>
  <si>
    <t>Four recovery paths have never been walked. An untested path to a trivial step does not scare me; one guarding a blocking control does.</t>
  </si>
  <si>
    <t>Rank untested fallbacks by what they protect — blocking controls downstream, criticality of the target step. Ranking is the contribution here.</t>
  </si>
  <si>
    <t>steward-hardcoded-predicates</t>
  </si>
  <si>
    <t>/process-steward/model/hardcoded-predicates</t>
  </si>
  <si>
    <t>Predicates Naming Step Ids</t>
  </si>
  <si>
    <t>Several of my predicates name individual steps by id. Steps.IsHumanApprovalGate hardcodes policy-05 and close-06 — it should key off a control kind instead.</t>
  </si>
  <si>
    <t>Model-quality worklist: predicates containing literal ids, with the generalisation each should use. This is technical debt in the rulebook, presented as such.</t>
  </si>
  <si>
    <t>authority-home</t>
  </si>
  <si>
    <t>/knowledge-authority/knowledge</t>
  </si>
  <si>
    <t>Knowledge Register</t>
  </si>
  <si>
    <t>Every fragment: its status, its age, its owner, and whether anything live depends on it.</t>
  </si>
  <si>
    <t>Table with decay signals as columns rather than separate screens, so stacked fragility is visible in one pass.</t>
  </si>
  <si>
    <t>authority-fragment-decay</t>
  </si>
  <si>
    <t>/knowledge-authority/knowledge/compound-fragility</t>
  </si>
  <si>
    <t>Compound Fragility</t>
  </si>
  <si>
    <t>Four separate decay signals on knowledge fragments and no way to see where they stack. Show me where they compound.</t>
  </si>
  <si>
    <t>One row per fragment, one column per decay signal, plus a stack count. Sort by stack count — a fragment failing on four axes is categorically worse than four failing on one.</t>
  </si>
  <si>
    <t>authority-unapproved-live</t>
  </si>
  <si>
    <t>/knowledge-authority/knowledge/unapproved-live</t>
  </si>
  <si>
    <t>Unapproved but Live</t>
  </si>
  <si>
    <t>kf-policy-manager-route is Reviewed, not Approved, so IsCurrentlyValid is FALSE — and policy-08 is a live step depending on it.</t>
  </si>
  <si>
    <t>Per unapproved fragment: dependents, and whether each is live. Live dependents on an invalid fragment are the finding.</t>
  </si>
  <si>
    <t>authority-machine-consumers</t>
  </si>
  <si>
    <t>/knowledge-authority/knowledge/reaching-machines</t>
  </si>
  <si>
    <t>Unapproved Knowledge Reaching Machines</t>
  </si>
  <si>
    <t>One fragment is unapproved and operationally live, and all three AI boundaries are untested. Where does unapproved knowledge reach a machine that acts on it?</t>
  </si>
  <si>
    <t>Trace from unapproved fragments to software-executed steps. The intersection is the finding.</t>
  </si>
  <si>
    <t>authority-expired-ratifier</t>
  </si>
  <si>
    <t>/knowledge-authority/governance/expired-ratifier</t>
  </si>
  <si>
    <t>Boundaries on Expired Claims</t>
  </si>
  <si>
    <t>RatifyingFragmentIsValid reads 2 of 3. One of the rules constraining what an AI agent may do is ratified by a fragment that is no longer valid.</t>
  </si>
  <si>
    <t>Per boundary: its ratifying fragment and that fragment's validity. An invalid ratifier undermines the boundary and must be shown as doing so.</t>
  </si>
  <si>
    <t>authority-orphaned-provenance</t>
  </si>
  <si>
    <t>/knowledge-authority/governance/orphaned-provenance</t>
  </si>
  <si>
    <t>Orphaned Provenance</t>
  </si>
  <si>
    <t>kf-close-fx-time, kf-close-top-ten and kf-close-judgment all trace to devon-okafor via elicit-close-shadow. If that provenance is orphaned, what rests on it?</t>
  </si>
  <si>
    <t>Provenance tree from agent through session to fragments, with the orphan state marked at whichever level it occurs.</t>
  </si>
  <si>
    <t>authority-unwitnessed-change</t>
  </si>
  <si>
    <t>/knowledge-authority/governance/unwitnessed-change</t>
  </si>
  <si>
    <t>Semantic Change Without a Witness</t>
  </si>
  <si>
    <t>cr-close-timestamp altered a blocking control and was decided by me. Did any semantic change go through without a witness?</t>
  </si>
  <si>
    <t>Per semantic change: what it altered, who decided, what witnessed the effect. A change with no witness is the finding.</t>
  </si>
  <si>
    <t>authority-stale-elicitation</t>
  </si>
  <si>
    <t>/knowledge-authority/knowledge/elicitation-age</t>
  </si>
  <si>
    <t>How Old Is the Evidence</t>
  </si>
  <si>
    <t>elicit-close-shadow ran on 2026-04-03 and elicit-policy-workshop on 2026-05-10. How old is the evidence behind what we rely on?</t>
  </si>
  <si>
    <t>Sessions on a timeline with the fragments each produced, and the age of each. Judged against the modelled instant.</t>
  </si>
  <si>
    <t>authority-elicitation-monoculture</t>
  </si>
  <si>
    <t>/knowledge-authority/knowledge/method-monoculture</t>
  </si>
  <si>
    <t>Single-Witness Monoculture</t>
  </si>
  <si>
    <t>2 of 3 elicitation sessions used a single-witness method, and 4 of 7 fragments inherit that. How much of what we know rests on one person's account?</t>
  </si>
  <si>
    <t>Method distribution plus the inheritance chain into fragments. The inherited proportion is the headline.</t>
  </si>
  <si>
    <t>authority-known-unknowns</t>
  </si>
  <si>
    <t>/knowledge-authority/knowledge/known-unknowns</t>
  </si>
  <si>
    <t>Known Unknowns</t>
  </si>
  <si>
    <t>What do we know that we do not know? gap-policy-delivery-receipts has been Open since 2026-07-18 with a resolution nobody has taken.</t>
  </si>
  <si>
    <t>Gap register with age, owner, severity, and resolution path. Ownerless gaps sort first.</t>
  </si>
  <si>
    <t>authority-review-date-inferred</t>
  </si>
  <si>
    <t>/knowledge-authority/model/inferred-review-dates</t>
  </si>
  <si>
    <t>Inferred, Not Recorded</t>
  </si>
  <si>
    <t>IsOverdueForReview reads 6/7 and I do not trust it — it is computed from AgeDays rather than from a recorded review date.</t>
  </si>
  <si>
    <t>Per fragment: inferred review state vs any recorded date. Where no date was ever recorded, say so — do not present the inference as a record.</t>
  </si>
  <si>
    <t>shared-step-execution-detail</t>
  </si>
  <si>
    <t>/shared/step-execution/:stepExecutionId</t>
  </si>
  <si>
    <t>Step Execution</t>
  </si>
  <si>
    <t>One step execution, everything about it: spec, what happened, controls, evidence, issues.</t>
  </si>
  <si>
    <t>The existing step drawer promoted to a full route. Role-aware emphasis: the analyst sees controls first, the controller sees separation, the CFO sees approvals.</t>
  </si>
  <si>
    <t>shared-requirement-detail</t>
  </si>
  <si>
    <t>/shared/requirement/:requirementId</t>
  </si>
  <si>
    <t>One control: its statement, bindings, witness, and every evaluation.</t>
  </si>
  <si>
    <t>Header with statement and blocking flag; sections for bindings, witness scope, evaluation history.</t>
  </si>
  <si>
    <t>shared-knowledge-fragment-detail</t>
  </si>
  <si>
    <t>/shared/knowledge-fragment/:fragmentId</t>
  </si>
  <si>
    <t>Knowledge Fragment</t>
  </si>
  <si>
    <t>One claim: its form, status, owner, provenance, and everything depending on it.</t>
  </si>
  <si>
    <t>Status and validity header; provenance chain up to the elicitation session; dependents fanned out below.</t>
  </si>
  <si>
    <t>shared-change-request-detail</t>
  </si>
  <si>
    <t>/shared/change-request/:changeRequestId</t>
  </si>
  <si>
    <t>Change Request</t>
  </si>
  <si>
    <t>One request: what it targets, who must clear it, and where it currently sits.</t>
  </si>
  <si>
    <t>Header with status and age; the authority chain; the version it targets.</t>
  </si>
  <si>
    <t>shared-exception-detail</t>
  </si>
  <si>
    <t>/shared/exception/:exceptionId</t>
  </si>
  <si>
    <t>One documented exception: its condition, its handling, and every time it was invoked.</t>
  </si>
  <si>
    <t>Condition and handling text, approval and fallback roles, invocation history.</t>
  </si>
  <si>
    <t>shared-role-assignment-detail</t>
  </si>
  <si>
    <t>/shared/role-assignment/:assignmentId</t>
  </si>
  <si>
    <t>Role Assignment</t>
  </si>
  <si>
    <t>One assignment: who held what, when, on whose authority.</t>
  </si>
  <si>
    <t>Validity window rendered as a timeline; approver and predecessor named.</t>
  </si>
  <si>
    <t>shared-operational-binding-detail</t>
  </si>
  <si>
    <t>/shared/operational-binding/:bindingId</t>
  </si>
  <si>
    <t>Operational Binding</t>
  </si>
  <si>
    <t>One binding: its source, freshness SLA, authoritative flag, and observation history.</t>
  </si>
  <si>
    <t>Freshness judged against the modelled instant, with the instant named on the page.</t>
  </si>
  <si>
    <t>shared-delivery-detail</t>
  </si>
  <si>
    <t>/shared/delivery/:deliveryId</t>
  </si>
  <si>
    <t>One delivery: intended, sent, landed, acknowledged — plus the exact text transmitted.</t>
  </si>
  <si>
    <t>Lifecycle strip across the top; frozen text below; gate results attached.</t>
  </si>
  <si>
    <t>shared-recipient-detail</t>
  </si>
  <si>
    <t>/shared/recipient/:recipientId</t>
  </si>
  <si>
    <t>One person: consent state, channels, every message we attempted, and whether we ever reached them.</t>
  </si>
  <si>
    <t>Consent history as a timeline; attempts listed with outcomes.</t>
  </si>
  <si>
    <t>shared-template-detail</t>
  </si>
  <si>
    <t>/shared/template/:templateId</t>
  </si>
  <si>
    <t>Message Template</t>
  </si>
  <si>
    <t>One template: its text, approvals, edit history, and every send that used it.</t>
  </si>
  <si>
    <t>Edit history against approval history on one axis — that overlay is what makes drift visible.</t>
  </si>
  <si>
    <t>shared-procedure-version-detail</t>
  </si>
  <si>
    <t>/shared/procedure-version/:versionId</t>
  </si>
  <si>
    <t>Procedure Version</t>
  </si>
  <si>
    <t>One version: its steps, status, stewardship, reviews, and what still references it.</t>
  </si>
  <si>
    <t>Header with status and steward; steps listed; inbound references shown even when archived.</t>
  </si>
  <si>
    <t>shared-knowledge-gap-detail</t>
  </si>
  <si>
    <t>/shared/knowledge-gap/:gapId</t>
  </si>
  <si>
    <t>Knowledge Gap</t>
  </si>
  <si>
    <t>One gap: what is missing, who owns closing it, how long it has been open, and what it blocks.</t>
  </si>
  <si>
    <t>Age and severity in the header; blocked items listed below.</t>
  </si>
  <si>
    <t>shared-verification-outcomes</t>
  </si>
  <si>
    <t>/shared/verification-outcome/:outcomeId</t>
  </si>
  <si>
    <t>Verification Outcome</t>
  </si>
  <si>
    <t>One verification: expected signal, observed signal, observer, and independence.</t>
  </si>
  <si>
    <t>Expected vs observed side by side; independence verdict prominent.</t>
  </si>
  <si>
    <t>shared-review-event-detail</t>
  </si>
  <si>
    <t>/shared/review-event/:reviewId</t>
  </si>
  <si>
    <t>Review Event</t>
  </si>
  <si>
    <t>One review: kind, reviewer, outcome, and when the next is due.</t>
  </si>
  <si>
    <t>Cadence context in the header so a single review reads against its promised interval.</t>
  </si>
  <si>
    <t>shared-elicitation-detail</t>
  </si>
  <si>
    <t>/shared/elicitation-session/:sessionId</t>
  </si>
  <si>
    <t>Elicitation Session</t>
  </si>
  <si>
    <t>One session: method, participants, date, and every fragment it produced.</t>
  </si>
  <si>
    <t>Method and single-witness flag in the header; produced fragments listed with their current validity.</t>
  </si>
  <si>
    <t>shared-transition-detail</t>
  </si>
  <si>
    <t>/shared/transition/:transitionId</t>
  </si>
  <si>
    <t>Step Transition</t>
  </si>
  <si>
    <t>One transition: from, to, condition, kind, and how often it has actually been taken.</t>
  </si>
  <si>
    <t>Traversal count prominent — a zero on a fallback is the point of the page.</t>
  </si>
  <si>
    <t>shared-authority-boundary-detail</t>
  </si>
  <si>
    <t>/shared/authority-boundary/:boundaryId</t>
  </si>
  <si>
    <t>Authority Boundary</t>
  </si>
  <si>
    <t>One boundary: what it constrains, the fragment ratifying it, and whether it has ever been tested.</t>
  </si>
  <si>
    <t>Ratifier validity and 'ever approached' count together — neither alone answers the question.</t>
  </si>
  <si>
    <t>shared-evaluation-context</t>
  </si>
  <si>
    <t>/shared/evaluation-context</t>
  </si>
  <si>
    <t>Evaluation Context</t>
  </si>
  <si>
    <t>The modelled instant every time-dependent answer in this app is judged against.</t>
  </si>
  <si>
    <t>State the instant plainly, list the columns that depend on it, and explain why the wall clock is not used.</t>
  </si>
  <si>
    <t>shared-field-provenance</t>
  </si>
  <si>
    <t>/shared/field/:table/:field</t>
  </si>
  <si>
    <t>Field Provenance</t>
  </si>
  <si>
    <t>Any field, traced back to the question that motivated it and the formula that computes it.</t>
  </si>
  <si>
    <t>The existing provenance tracer promoted to a route so every value in the app is deep-linkable.</t>
  </si>
  <si>
    <t>shared-login</t>
  </si>
  <si>
    <t>/</t>
  </si>
  <si>
    <t>Choose a Role</t>
  </si>
  <si>
    <t>index</t>
  </si>
  <si>
    <t>The entry point: one card per role, each carrying its own colour and icon.</t>
  </si>
  <si>
    <t>Grid of 12 role cards, human roles first then software roles, each with icon, label, responsibility, and question count. Selecting a card enters that role's dashboard.</t>
  </si>
  <si>
    <t>admin-board</t>
  </si>
  <si>
    <t>/admin/conformance</t>
  </si>
  <si>
    <t>Test Board</t>
  </si>
  <si>
    <t>maintainer</t>
  </si>
  <si>
    <t>Every check the model runs against itself, and whether the board is green.</t>
  </si>
  <si>
    <t>Green/red banner with a blocking-failure count, then per-suite and per-kind tables, then the filterable check list. Warnings are advisory and must read that way — scoring a non-firing witness red would only pressure someone into fabricating rows until it went green.</t>
  </si>
  <si>
    <t>admin-checks</t>
  </si>
  <si>
    <t>/admin/conformance/checks</t>
  </si>
  <si>
    <t>Checks</t>
  </si>
  <si>
    <t>One row per check, filterable by kind, outcome, and subject.</t>
  </si>
  <si>
    <t>Filter bar over a virtualised list. Each row shows outcome, subject, assertion, and the question it defends. Blocking and advisory are visually distinct.</t>
  </si>
  <si>
    <t>admin-witnesses</t>
  </si>
  <si>
    <t>/admin/witnesses</t>
  </si>
  <si>
    <t>Witness Board</t>
  </si>
  <si>
    <t>Every boolean witness with its live true/false distribution, so a column that cannot discriminate is visible rather than mistaken for a working check.</t>
  </si>
  <si>
    <t>Grouped by table. Per witness: fire count, distribution bar, and a verdict of discriminates / always-true / never-true / empty. Non-vacuity is the acceptance bar, so the vacuous ones are reported, never hidden.</t>
  </si>
  <si>
    <t>admin-vacuous</t>
  </si>
  <si>
    <t>/admin/witnesses/vacuous</t>
  </si>
  <si>
    <t>Cannot Discriminate</t>
  </si>
  <si>
    <t>The witnesses that read the same value on every row — they state nothing about the procedures and are not evidence.</t>
  </si>
  <si>
    <t>Working list of vacuous witnesses with, for each, whether uniformity is legitimate (every seeded requirement really is blocking) or a defect. Do not present these as failures; present them as unproven.</t>
  </si>
  <si>
    <t>admin-loops</t>
  </si>
  <si>
    <t>/admin/loops</t>
  </si>
  <si>
    <t>Loops &amp; Questions</t>
  </si>
  <si>
    <t>The expansion loops: what each made askable, which role asked, and how many predicates each question produced.</t>
  </si>
  <si>
    <t>Loop sections, each with its premise, then questions grouped by asking role. Each question shows its predicate count and computed answer.</t>
  </si>
  <si>
    <t>admin-question-defence</t>
  </si>
  <si>
    <t>/admin/loops/question/:questionId</t>
  </si>
  <si>
    <t>Question Defence</t>
  </si>
  <si>
    <t>One question: the predicates invented to answer it, the checks defending it, and the routes where a role actually asks it.</t>
  </si>
  <si>
    <t>Three panels — predicates, checks, routes. The routes panel reads AppRouteQuestions, closing the loop between the question and the screens built to answer it.</t>
  </si>
  <si>
    <t>admin-provenance</t>
  </si>
  <si>
    <t>/admin/provenance</t>
  </si>
  <si>
    <t>Provenance Tracer</t>
  </si>
  <si>
    <t>Trace any field back to the question that motivated it, the role that asked, and the loop it came from.</t>
  </si>
  <si>
    <t>Search by Table.Field, then a chain: field → question → role → loop, plus sibling predicates from the same question. Fields predating the loops carry no question and must say so — inventing one retroactively would be fabrication.</t>
  </si>
  <si>
    <t>admin-route-map</t>
  </si>
  <si>
    <t>/admin/route-map</t>
  </si>
  <si>
    <t>Route Map</t>
  </si>
  <si>
    <t>The application's own navigation model: every route, which questions it answers, and which routes it links to.</t>
  </si>
  <si>
    <t>Matrix or graph of AppRoutes against AppRouteQuestions, with an explicit panel for AnswersNoQuestion — a route serving no question should be justified or removed.</t>
  </si>
  <si>
    <t>admin-catalog-drift</t>
  </si>
  <si>
    <t>/admin/model/catalog-drift</t>
  </si>
  <si>
    <t>Catalog Drift</t>
  </si>
  <si>
    <t>Whether the field catalog still matches the real schemas, and whether every catalog field resolves to a column the substrate actually emitted.</t>
  </si>
  <si>
    <t>Two checks side by side: catalog-vs-schema drift, and catalog-vs-information_schema resolution. Both must state 'in sync' explicitly rather than rendering an empty list.</t>
  </si>
  <si>
    <t>explorer-inferences</t>
  </si>
  <si>
    <t>/explorer/inferences</t>
  </si>
  <si>
    <t>Every Inference</t>
  </si>
  <si>
    <t>All 937 derived fields with the formula that defines it and the fields it reads.</t>
  </si>
  <si>
    <t>Stat row (raw vs inferred, and by kind), then a filterable list. Each entry shows its formula with field references highlighted, its dependencies, and the question that motivated it.</t>
  </si>
  <si>
    <t>explorer-tables</t>
  </si>
  <si>
    <t>/explorer/tables</t>
  </si>
  <si>
    <t>All Tables</t>
  </si>
  <si>
    <t>Every table with its raw/calculated/lookup/aggregation composition.</t>
  </si>
  <si>
    <t>Table index with a composition bar per row. Infrastructure tables that deliberately have no view are labelled as such, not as broken.</t>
  </si>
  <si>
    <t>explorer-table-detail</t>
  </si>
  <si>
    <t>/explorer/tables/:table</t>
  </si>
  <si>
    <t>Table Detail</t>
  </si>
  <si>
    <t>One table: its full column catalog and every row, with inferred columns distinguished from stated ones.</t>
  </si>
  <si>
    <t>Column cards above a row grid. Inferred columns are shaded and their cells are clickable for the formula-and-inputs popover.</t>
  </si>
  <si>
    <t>explorer-record</t>
  </si>
  <si>
    <t>/explorer/record/:table/:id</t>
  </si>
  <si>
    <t>Record Inspector</t>
  </si>
  <si>
    <t>One row, every field it has: stated values first, then each inference with the current value of every field its formula reads.</t>
  </si>
  <si>
    <t>Two sections — stated and inferred. Each inference shows its formula and its inputs, local or across a foreign key, with derived inputs marked so the chain can be walked further back.</t>
  </si>
  <si>
    <t>rq-cfo-home--q-cfo-can-i-sign</t>
  </si>
  <si>
    <t>rq-cfo-home--q-cfo-approving-on-unfit-version</t>
  </si>
  <si>
    <t>rq-cfo-blockers--q-cfo-can-i-sign</t>
  </si>
  <si>
    <t>rq-cfo-blockers--q-cfo-approving-on-unfit-version</t>
  </si>
  <si>
    <t>rq-cfo-assurance-grade--q2-cfo-quality-of-a-green-attestation</t>
  </si>
  <si>
    <t>rq-cfo-assurance-grade--q2-cfo-controls-nobody-is-watching</t>
  </si>
  <si>
    <t>rq-cfo-unwitnessed-controls--q2-cfo-controls-nobody-is-watching</t>
  </si>
  <si>
    <t>rq-cfo-unwitnessed-controls--q-cfo-am-i-being-told-everything</t>
  </si>
  <si>
    <t>rq-cfo-typed-conclusions--q-cfo-am-i-being-told-everything</t>
  </si>
  <si>
    <t>rq-cfo-witness-chain--q2-cfo-who-witnessed-the-witnesses</t>
  </si>
  <si>
    <t>rq-cfo-witness-chain--q-cfo-approval-was-actually-verified</t>
  </si>
  <si>
    <t>rq-cfo-authority-map--q-cfo-who-actually-held-authority</t>
  </si>
  <si>
    <t>rq-cfo-my-approvals--q-cfo-approval-was-actually-verified</t>
  </si>
  <si>
    <t>rq-cfo-my-approvals--q2-cfo-who-witnessed-the-witnesses</t>
  </si>
  <si>
    <t>rq-cfo-signature-dependencies--q2-cfo-what-changed-since-i-signed</t>
  </si>
  <si>
    <t>rq-cfo-changed-since-signing--q2-cfo-what-changed-since-i-signed</t>
  </si>
  <si>
    <t>rq-cfo-restatement--q2-cfo-would-it-survive-restatement</t>
  </si>
  <si>
    <t>rq-cfo-attestation-detail--q-cfo-can-i-sign</t>
  </si>
  <si>
    <t>rq-controller-home--q-controller-blocking-control-inoperative</t>
  </si>
  <si>
    <t>rq-controller-home--q2-ctl-witness-never-fired</t>
  </si>
  <si>
    <t>rq-controller-mute-controls--q-controller-blocking-control-inoperative</t>
  </si>
  <si>
    <t>rq-controller-mute-controls--q2-ctl-witness-never-fired</t>
  </si>
  <si>
    <t>rq-controller-witness-scope--q2-ctl-witness-scope-vs-binding</t>
  </si>
  <si>
    <t>rq-controller-separation--q-controller-separation-of-duties</t>
  </si>
  <si>
    <t>rq-controller-separation--q2-ctl-separation-held-or-untested</t>
  </si>
  <si>
    <t>rq-controller-conformance--q-controller-execution-diverged-from-spec</t>
  </si>
  <si>
    <t>rq-controller-ungoverned-divergence--q2-ctl-divergence-that-nobody-governed</t>
  </si>
  <si>
    <t>rq-controller-authority-validity--q-controller-approval-authority-valid</t>
  </si>
  <si>
    <t>rq-controller-ai-boundary--q-controller-ai-agent-approved-meaning</t>
  </si>
  <si>
    <t>rq-controller-asserted-controls--q2-ctl-asserted-controls-by-who</t>
  </si>
  <si>
    <t>rq-controller-control-detail--q-controller-blocking-control-inoperative</t>
  </si>
  <si>
    <t>rq-analyst-home--q-analyst-blocking-unmet-on-my-step</t>
  </si>
  <si>
    <t>rq-analyst-home--q2-fa-clean-but-uncovered</t>
  </si>
  <si>
    <t>rq-analyst-blocking-unmet--q-analyst-blocking-unmet-on-my-step</t>
  </si>
  <si>
    <t>rq-analyst-never-evaluated--q-analyst-blocking-never-evaluated</t>
  </si>
  <si>
    <t>rq-analyst-late-steps--q-analyst-my-late-steps-unexplained</t>
  </si>
  <si>
    <t>rq-analyst-verification-performed--q-analyst-verification-declared-never-performed</t>
  </si>
  <si>
    <t>rq-analyst-evidence-quality--q2-fa-my-own-evidence-quality</t>
  </si>
  <si>
    <t>rq-analyst-source-freshness--q-analyst-evidence-binding-stale</t>
  </si>
  <si>
    <t>rq-analyst-stale-then-vs-now--q2-fa-stale-then-vs-stale-now</t>
  </si>
  <si>
    <t>rq-analyst-clean-but-uncovered--q2-fa-clean-but-uncovered</t>
  </si>
  <si>
    <t>rq-analyst-mute-clearance--q2-fa-cleared-by-mute-control</t>
  </si>
  <si>
    <t>rq-analyst-witness-coverage--q2-fa-witness-coverage-of-my-steps</t>
  </si>
  <si>
    <t>rq-hr-home--q-hr-unapproved-knowledge-in-my-name</t>
  </si>
  <si>
    <t>rq-hr-home--q-hr-authority-without-review</t>
  </si>
  <si>
    <t>rq-hr-unapproved-claims--q-hr-unapproved-knowledge-in-my-name</t>
  </si>
  <si>
    <t>rq-hr-load-bearing-claim--q2-hr-my-unapproved-claim-is-load-bearing</t>
  </si>
  <si>
    <t>rq-hr-backlog--q-hr-authority-without-review</t>
  </si>
  <si>
    <t>rq-hr-backlog-downstream--q2-hr-my-backlog-is-someone-elses-block</t>
  </si>
  <si>
    <t>rq-hr-my-decisions--q2-hr-my-approvals-never-read-as-done</t>
  </si>
  <si>
    <t>rq-hr-ai-boundary--q-hr-ai-authored-commitments</t>
  </si>
  <si>
    <t>rq-hr-ai-boundary--q2-hr-ai-boundary-holds-only-where-tested</t>
  </si>
  <si>
    <t>rq-hr-knowledge-half-life--q-hr-policy-knowledge-half-life</t>
  </si>
  <si>
    <t>rq-hr-departed-holders--q2-hr-departed-holder-left-claims-behind</t>
  </si>
  <si>
    <t>rq-hr-what-was-sent--q-hr-what-was-actually-sent</t>
  </si>
  <si>
    <t>rq-counsel-home--q-counsel-sms-without-consent</t>
  </si>
  <si>
    <t>rq-counsel-home--q-counsel-quiet-hours-breach</t>
  </si>
  <si>
    <t>rq-counsel-home--q-counsel-legal-review-gated-send</t>
  </si>
  <si>
    <t>rq-counsel-home--q-counsel-retention-evidence</t>
  </si>
  <si>
    <t>rq-counsel-consent--q-counsel-sms-without-consent</t>
  </si>
  <si>
    <t>rq-counsel-quiet-hours--q-counsel-quiet-hours-breach</t>
  </si>
  <si>
    <t>rq-counsel-legal-review--q-counsel-legal-review-gated-send</t>
  </si>
  <si>
    <t>rq-counsel-retention--q-counsel-retention-evidence</t>
  </si>
  <si>
    <t>rq-counsel-unreachable--q-counsel-unreachable-not-acknowledged</t>
  </si>
  <si>
    <t>rq-comms-home--q-comms-deliverability</t>
  </si>
  <si>
    <t>rq-comms-home--q2-comms-approval-to-delivery-yield</t>
  </si>
  <si>
    <t>rq-comms-yield--q2-comms-approval-to-delivery-yield</t>
  </si>
  <si>
    <t>rq-comms-yield--q-comms-deliverability</t>
  </si>
  <si>
    <t>rq-comms-failed-deliveries--q-comms-deliverability</t>
  </si>
  <si>
    <t>rq-comms-approval-authority--q-comms-approval-authority</t>
  </si>
  <si>
    <t>rq-comms-template-drift--q-comms-template-drift</t>
  </si>
  <si>
    <t>rq-comms-frozen-approval--q2-comms-freeze-what-i-approved</t>
  </si>
  <si>
    <t>rq-comms-optout--q-comms-optout-present</t>
  </si>
  <si>
    <t>rq-comms-sms-limits--q-comms-oversized-sms</t>
  </si>
  <si>
    <t>rq-comms-engagement--q2-comms-message-nobody-answered</t>
  </si>
  <si>
    <t>rq-comms-suppression--q2-comms-suppression-is-a-communication</t>
  </si>
  <si>
    <t>rq-comms-authorization-override--q2-comms-my-approval-was-consumed-correctly</t>
  </si>
  <si>
    <t>rq-close-auto-home--q-close-auto-authority-current</t>
  </si>
  <si>
    <t>rq-close-auto-home--q-close-auto-input-freshness</t>
  </si>
  <si>
    <t>rq-close-auto-home--q-close-auto-last-run-clean</t>
  </si>
  <si>
    <t>rq-close-auto-home--q-close-auto-blocking-requirements-evaluated</t>
  </si>
  <si>
    <t>rq-close-auto-authority--q-close-auto-authority-current</t>
  </si>
  <si>
    <t>rq-close-auto-inputs--q-close-auto-input-freshness</t>
  </si>
  <si>
    <t>rq-close-auto-controls--q-close-auto-blocking-requirements-evaluated</t>
  </si>
  <si>
    <t>rq-close-auto-last-run--q-close-auto-last-run-clean</t>
  </si>
  <si>
    <t>rq-close-auto-drift--q-close-auto-human-override-drift</t>
  </si>
  <si>
    <t>rq-variance-home--q-variance-ai-authority-provenance</t>
  </si>
  <si>
    <t>rq-variance-home--q-variance-ai-boundary-compliance</t>
  </si>
  <si>
    <t>rq-variance-home--q-variance-ai-knowledge-currency</t>
  </si>
  <si>
    <t>rq-variance-authority--q-variance-ai-authority-provenance</t>
  </si>
  <si>
    <t>rq-variance-authority--q2-variance-handover-was-a-decision-somebody-made</t>
  </si>
  <si>
    <t>rq-variance-handover--q2-variance-handover-was-a-decision-somebody-made</t>
  </si>
  <si>
    <t>rq-variance-boundary--q-variance-ai-boundary-compliance</t>
  </si>
  <si>
    <t>rq-variance-boundary-ratification--q2-variance-boundary-rests-on-expired-knowledge</t>
  </si>
  <si>
    <t>rq-variance-human-confirmation--q-variance-ai-human-confirmation-present</t>
  </si>
  <si>
    <t>rq-variance-knowledge-currency--q-variance-ai-knowledge-currency</t>
  </si>
  <si>
    <t>rq-variance-quality-baseline--q-variance-ai-quality-vs-human-baseline</t>
  </si>
  <si>
    <t>rq-variance-quality-baseline--q2-variance-comparison-is-statistically-empty</t>
  </si>
  <si>
    <t>rq-variance-sample-size--q2-variance-comparison-is-statistically-empty</t>
  </si>
  <si>
    <t>rq-variance-override-signal--q2-variance-override-signal-vs-noise</t>
  </si>
  <si>
    <t>rq-variance-stop-condition--q2-variance-what-would-make-me-stop</t>
  </si>
  <si>
    <t>rq-policy-agent-home--q-policy-ai-source-approval</t>
  </si>
  <si>
    <t>rq-policy-agent-home--q-policy-ai-no-role-assignment</t>
  </si>
  <si>
    <t>rq-policy-agent-sources--q-policy-ai-source-approval</t>
  </si>
  <si>
    <t>rq-policy-agent-assignment--q-policy-ai-no-role-assignment</t>
  </si>
  <si>
    <t>rq-policy-agent-commitment-boundary--q-policy-ai-commitment-boundary</t>
  </si>
  <si>
    <t>rq-policy-agent-approval-chain--q-policy-ai-approval-chain-complete</t>
  </si>
  <si>
    <t>rq-policy-agent-rewrite--q-policy-ai-downstream-rewrite</t>
  </si>
  <si>
    <t>rq-publisher-home--q-publisher-may-i-transmit</t>
  </si>
  <si>
    <t>rq-publisher-home--q-publisher-may-i-transmit-now</t>
  </si>
  <si>
    <t>rq-publisher-home--q-publisher-is-this-content-permitted</t>
  </si>
  <si>
    <t>rq-publisher-home--q-publisher-am-i-authorized-to-act</t>
  </si>
  <si>
    <t>rq-publisher-permission-gate--q-publisher-may-i-transmit</t>
  </si>
  <si>
    <t>rq-publisher-timing-gate--q-publisher-may-i-transmit-now</t>
  </si>
  <si>
    <t>rq-publisher-content-gate--q-publisher-is-this-content-permitted</t>
  </si>
  <si>
    <t>rq-publisher-authorization-gate--q-publisher-am-i-authorized-to-act</t>
  </si>
  <si>
    <t>rq-publisher-refusals--q-publisher-refusal-was-honored</t>
  </si>
  <si>
    <t>rq-publisher-refusal-artifacts--q2-publisher-every-refusal-leaves-a-record</t>
  </si>
  <si>
    <t>rq-publisher-deferred--q2-publisher-deferred-not-cancelled</t>
  </si>
  <si>
    <t>rq-publisher-obligations--q2-publisher-obligation-after-send</t>
  </si>
  <si>
    <t>rq-publisher-my-authorization--q2-publisher-my-own-authorization</t>
  </si>
  <si>
    <t>rq-publisher-sole-witness--q2-publisher-am-i-the-only-witness</t>
  </si>
  <si>
    <t>rq-steward-home--q-steward-cadence-breach</t>
  </si>
  <si>
    <t>rq-steward-home--q-steward-published-with-blocking-gap</t>
  </si>
  <si>
    <t>rq-steward-home--q-steward-orphan-versions</t>
  </si>
  <si>
    <t>rq-steward-home--q-steward-untested-fallbacks</t>
  </si>
  <si>
    <t>rq-steward-cadence--q-steward-cadence-breach</t>
  </si>
  <si>
    <t>rq-steward-cadence-remediation--q2-steward-cadence-breach-is-unremediated</t>
  </si>
  <si>
    <t>rq-steward-open-gaps--q-steward-published-with-blocking-gap</t>
  </si>
  <si>
    <t>rq-steward-stalled-changes--q-steward-stalled-change-requests</t>
  </si>
  <si>
    <t>rq-steward-approved-never-lands--q2-steward-approved-cr-never-lands</t>
  </si>
  <si>
    <t>rq-steward-orphans--q-steward-orphan-versions</t>
  </si>
  <si>
    <t>rq-steward-archived-still-referenced--q2-steward-unstewarded-version-still-referenced</t>
  </si>
  <si>
    <t>rq-steward-fallbacks--q-steward-untested-fallbacks</t>
  </si>
  <si>
    <t>rq-steward-fallback-criticality--q2-steward-recovery-path-is-load-bearing</t>
  </si>
  <si>
    <t>rq-steward-hardcoded-predicates--q2-steward-control-kind-instead-of-hardcoded-ids</t>
  </si>
  <si>
    <t>rq-authority-home--q-authority-non-approved-dependency</t>
  </si>
  <si>
    <t>rq-authority-home--q-authority-stale-elicitation</t>
  </si>
  <si>
    <t>rq-authority-fragment-decay--q2-authority-compound-fragility</t>
  </si>
  <si>
    <t>rq-authority-unapproved-live--q-authority-non-approved-dependency</t>
  </si>
  <si>
    <t>rq-authority-unapproved-live--q2-authority-unapproved-knowledge-reaching-machines</t>
  </si>
  <si>
    <t>rq-authority-machine-consumers--q2-authority-unapproved-knowledge-reaching-machines</t>
  </si>
  <si>
    <t>rq-authority-expired-ratifier--q2-authority-boundary-rests-on-expired-claim</t>
  </si>
  <si>
    <t>rq-authority-orphaned-provenance--q-authority-orphaned-provenance</t>
  </si>
  <si>
    <t>rq-authority-unwitnessed-change--q-authority-unwitnessed-change</t>
  </si>
  <si>
    <t>rq-authority-stale-elicitation--q-authority-stale-elicitation</t>
  </si>
  <si>
    <t>rq-authority-elicitation-monoculture--q2-authority-elicitation-method-monoculture</t>
  </si>
  <si>
    <t>rq-authority-known-unknowns--q-authority-known-unknowns</t>
  </si>
  <si>
    <t>rq-authority-review-date-inferred--q2-authority-review-date-is-inferred-not-recorded</t>
  </si>
  <si>
    <t>rq-shared-evaluation-context--q2-cfo-would-it-survive-restatement</t>
  </si>
  <si>
    <t>rq-shared-evaluation-context--q2-fa-stale-then-vs-stale-now</t>
  </si>
  <si>
    <t>rr-cfo-home--cfo-blockers</t>
  </si>
  <si>
    <t>rr-cfo-home--cfo-assurance-grade</t>
  </si>
  <si>
    <t>rr-cfo-home--cfo-signature-dependencies</t>
  </si>
  <si>
    <t>rr-cfo-blockers--cfo-home</t>
  </si>
  <si>
    <t>rr-cfo-blockers--controller-conformance</t>
  </si>
  <si>
    <t>rr-cfo-assurance-grade--cfo-unwitnessed-controls</t>
  </si>
  <si>
    <t>rr-cfo-assurance-grade--controller-mute-controls</t>
  </si>
  <si>
    <t>rr-cfo-unwitnessed-controls--cfo-assurance-grade</t>
  </si>
  <si>
    <t>rr-cfo-unwitnessed-controls--shared-requirement-detail</t>
  </si>
  <si>
    <t>rr-cfo-typed-conclusions--cfo-unwitnessed-controls</t>
  </si>
  <si>
    <t>rr-cfo-typed-conclusions--controller-asserted-controls</t>
  </si>
  <si>
    <t>rr-cfo-witness-chain--cfo-my-approvals</t>
  </si>
  <si>
    <t>rr-cfo-witness-chain--shared-verification-outcomes</t>
  </si>
  <si>
    <t>rr-cfo-authority-map--shared-exception-detail</t>
  </si>
  <si>
    <t>rr-cfo-authority-map--controller-authority-validity</t>
  </si>
  <si>
    <t>rr-cfo-my-approvals--cfo-witness-chain</t>
  </si>
  <si>
    <t>rr-cfo-my-approvals--shared-step-execution-detail</t>
  </si>
  <si>
    <t>rr-cfo-signature-dependencies--cfo-changed-since-signing</t>
  </si>
  <si>
    <t>rr-cfo-signature-dependencies--cfo-home</t>
  </si>
  <si>
    <t>rr-cfo-changed-since-signing--cfo-signature-dependencies</t>
  </si>
  <si>
    <t>rr-cfo-changed-since-signing--shared-change-request-detail</t>
  </si>
  <si>
    <t>rr-cfo-restatement--shared-evaluation-context</t>
  </si>
  <si>
    <t>rr-cfo-restatement--cfo-assurance-grade</t>
  </si>
  <si>
    <t>rr-cfo-attestation-detail--cfo-home</t>
  </si>
  <si>
    <t>rr-cfo-attestation-detail--shared-step-execution-detail</t>
  </si>
  <si>
    <t>rr-controller-home--controller-mute-controls</t>
  </si>
  <si>
    <t>rr-controller-home--controller-witness-scope</t>
  </si>
  <si>
    <t>rr-controller-home--shared-requirement-detail</t>
  </si>
  <si>
    <t>rr-controller-mute-controls--controller-home</t>
  </si>
  <si>
    <t>rr-controller-mute-controls--cfo-assurance-grade</t>
  </si>
  <si>
    <t>rr-controller-mute-controls--analyst-mute-clearance</t>
  </si>
  <si>
    <t>rr-controller-witness-scope--controller-mute-controls</t>
  </si>
  <si>
    <t>rr-controller-witness-scope--shared-requirement-detail</t>
  </si>
  <si>
    <t>rr-controller-separation--controller-authority-validity</t>
  </si>
  <si>
    <t>rr-controller-separation--shared-step-execution-detail</t>
  </si>
  <si>
    <t>rr-controller-conformance--controller-ungoverned-divergence</t>
  </si>
  <si>
    <t>rr-controller-conformance--shared-step-execution-detail</t>
  </si>
  <si>
    <t>rr-controller-ungoverned-divergence--controller-conformance</t>
  </si>
  <si>
    <t>rr-controller-ungoverned-divergence--shared-exception-detail</t>
  </si>
  <si>
    <t>rr-controller-ungoverned-divergence--shared-change-request-detail</t>
  </si>
  <si>
    <t>rr-controller-authority-validity--cfo-authority-map</t>
  </si>
  <si>
    <t>rr-controller-authority-validity--shared-role-assignment-detail</t>
  </si>
  <si>
    <t>rr-controller-ai-boundary--hr-ai-boundary</t>
  </si>
  <si>
    <t>rr-controller-ai-boundary--variance-boundary</t>
  </si>
  <si>
    <t>rr-controller-asserted-controls--cfo-typed-conclusions</t>
  </si>
  <si>
    <t>rr-controller-asserted-controls--analyst-evidence-quality</t>
  </si>
  <si>
    <t>rr-controller-control-detail--controller-home</t>
  </si>
  <si>
    <t>rr-controller-control-detail--shared-requirement-detail</t>
  </si>
  <si>
    <t>rr-analyst-home--analyst-blocking-unmet</t>
  </si>
  <si>
    <t>rr-analyst-home--analyst-late-steps</t>
  </si>
  <si>
    <t>rr-analyst-home--shared-step-execution-detail</t>
  </si>
  <si>
    <t>rr-analyst-blocking-unmet--analyst-never-evaluated</t>
  </si>
  <si>
    <t>rr-analyst-blocking-unmet--shared-requirement-detail</t>
  </si>
  <si>
    <t>rr-analyst-never-evaluated--analyst-blocking-unmet</t>
  </si>
  <si>
    <t>rr-analyst-never-evaluated--controller-mute-controls</t>
  </si>
  <si>
    <t>rr-analyst-late-steps--shared-exception-detail</t>
  </si>
  <si>
    <t>rr-analyst-late-steps--shared-step-execution-detail</t>
  </si>
  <si>
    <t>rr-analyst-verification-performed--analyst-evidence-quality</t>
  </si>
  <si>
    <t>rr-analyst-verification-performed--shared-verification-outcomes</t>
  </si>
  <si>
    <t>rr-analyst-evidence-quality--controller-asserted-controls</t>
  </si>
  <si>
    <t>rr-analyst-evidence-quality--cfo-witness-chain</t>
  </si>
  <si>
    <t>rr-analyst-source-freshness--analyst-stale-then-vs-now</t>
  </si>
  <si>
    <t>rr-analyst-source-freshness--shared-operational-binding-detail</t>
  </si>
  <si>
    <t>rr-analyst-stale-then-vs-now--analyst-source-freshness</t>
  </si>
  <si>
    <t>rr-analyst-stale-then-vs-now--shared-evaluation-context</t>
  </si>
  <si>
    <t>rr-analyst-clean-but-uncovered--analyst-mute-clearance</t>
  </si>
  <si>
    <t>rr-analyst-clean-but-uncovered--controller-mute-controls</t>
  </si>
  <si>
    <t>rr-analyst-mute-clearance--controller-mute-controls</t>
  </si>
  <si>
    <t>rr-analyst-mute-clearance--analyst-clean-but-uncovered</t>
  </si>
  <si>
    <t>rr-analyst-witness-coverage--cfo-unwitnessed-controls</t>
  </si>
  <si>
    <t>rr-analyst-witness-coverage--cfo-typed-conclusions</t>
  </si>
  <si>
    <t>rr-hr-home--hr-unapproved-claims</t>
  </si>
  <si>
    <t>rr-hr-home--hr-backlog</t>
  </si>
  <si>
    <t>rr-hr-home--hr-load-bearing-claim</t>
  </si>
  <si>
    <t>rr-hr-unapproved-claims--hr-load-bearing-claim</t>
  </si>
  <si>
    <t>rr-hr-unapproved-claims--shared-knowledge-fragment-detail</t>
  </si>
  <si>
    <t>rr-hr-load-bearing-claim--hr-unapproved-claims</t>
  </si>
  <si>
    <t>rr-hr-load-bearing-claim--shared-exception-detail</t>
  </si>
  <si>
    <t>rr-hr-backlog--hr-backlog-downstream</t>
  </si>
  <si>
    <t>rr-hr-backlog--shared-change-request-detail</t>
  </si>
  <si>
    <t>rr-hr-backlog-downstream--hr-backlog</t>
  </si>
  <si>
    <t>rr-hr-backlog-downstream--steward-open-gaps</t>
  </si>
  <si>
    <t>rr-hr-my-decisions--steward-approved-never-lands</t>
  </si>
  <si>
    <t>rr-hr-my-decisions--shared-change-request-detail</t>
  </si>
  <si>
    <t>rr-hr-ai-boundary--controller-ai-boundary</t>
  </si>
  <si>
    <t>rr-hr-ai-boundary--policy-agent-commitment-boundary</t>
  </si>
  <si>
    <t>rr-hr-knowledge-half-life--authority-stale-elicitation</t>
  </si>
  <si>
    <t>rr-hr-knowledge-half-life--steward-cadence</t>
  </si>
  <si>
    <t>rr-hr-departed-holders--authority-orphaned-provenance</t>
  </si>
  <si>
    <t>rr-hr-departed-holders--shared-role-assignment-detail</t>
  </si>
  <si>
    <t>rr-hr-what-was-sent--comms-frozen-approval</t>
  </si>
  <si>
    <t>rr-hr-what-was-sent--shared-delivery-detail</t>
  </si>
  <si>
    <t>rr-counsel-home--counsel-consent</t>
  </si>
  <si>
    <t>rr-counsel-home--counsel-quiet-hours</t>
  </si>
  <si>
    <t>rr-counsel-home--counsel-legal-review</t>
  </si>
  <si>
    <t>rr-counsel-home--counsel-retention</t>
  </si>
  <si>
    <t>rr-counsel-consent--shared-delivery-detail</t>
  </si>
  <si>
    <t>rr-counsel-consent--publisher-permission-gate</t>
  </si>
  <si>
    <t>rr-counsel-quiet-hours--publisher-timing-gate</t>
  </si>
  <si>
    <t>rr-counsel-quiet-hours--shared-delivery-detail</t>
  </si>
  <si>
    <t>rr-counsel-legal-review--shared-review-event-detail</t>
  </si>
  <si>
    <t>rr-counsel-legal-review--comms-approval-authority</t>
  </si>
  <si>
    <t>rr-counsel-retention--comms-frozen-approval</t>
  </si>
  <si>
    <t>rr-counsel-retention--shared-delivery-detail</t>
  </si>
  <si>
    <t>rr-counsel-unreachable--comms-suppression</t>
  </si>
  <si>
    <t>rr-counsel-unreachable--shared-recipient-detail</t>
  </si>
  <si>
    <t>rr-comms-home--comms-yield</t>
  </si>
  <si>
    <t>rr-comms-home--comms-failed-deliveries</t>
  </si>
  <si>
    <t>rr-comms-home--shared-delivery-detail</t>
  </si>
  <si>
    <t>rr-comms-yield--comms-failed-deliveries</t>
  </si>
  <si>
    <t>rr-comms-yield--comms-suppression</t>
  </si>
  <si>
    <t>rr-comms-yield--publisher-refusals</t>
  </si>
  <si>
    <t>rr-comms-failed-deliveries--comms-yield</t>
  </si>
  <si>
    <t>rr-comms-failed-deliveries--shared-recipient-detail</t>
  </si>
  <si>
    <t>rr-comms-approval-authority--comms-template-drift</t>
  </si>
  <si>
    <t>rr-comms-approval-authority--counsel-legal-review</t>
  </si>
  <si>
    <t>rr-comms-template-drift--comms-frozen-approval</t>
  </si>
  <si>
    <t>rr-comms-template-drift--shared-template-detail</t>
  </si>
  <si>
    <t>rr-comms-frozen-approval--comms-template-drift</t>
  </si>
  <si>
    <t>rr-comms-frozen-approval--hr-what-was-sent</t>
  </si>
  <si>
    <t>rr-comms-frozen-approval--counsel-retention</t>
  </si>
  <si>
    <t>rr-comms-optout--comms-sms-limits</t>
  </si>
  <si>
    <t>rr-comms-optout--counsel-consent</t>
  </si>
  <si>
    <t>rr-comms-sms-limits--comms-optout</t>
  </si>
  <si>
    <t>rr-comms-sms-limits--publisher-content-gate</t>
  </si>
  <si>
    <t>rr-comms-engagement--comms-yield</t>
  </si>
  <si>
    <t>rr-comms-engagement--shared-delivery-detail</t>
  </si>
  <si>
    <t>rr-comms-suppression--publisher-refusals</t>
  </si>
  <si>
    <t>rr-comms-suppression--counsel-unreachable</t>
  </si>
  <si>
    <t>rr-comms-authorization-override--publisher-refusals</t>
  </si>
  <si>
    <t>rr-comms-authorization-override--comms-approval-authority</t>
  </si>
  <si>
    <t>rr-close-auto-home--close-auto-authority</t>
  </si>
  <si>
    <t>rr-close-auto-home--close-auto-inputs</t>
  </si>
  <si>
    <t>rr-close-auto-home--close-auto-last-run</t>
  </si>
  <si>
    <t>rr-close-auto-authority--shared-role-assignment-detail</t>
  </si>
  <si>
    <t>rr-close-auto-authority--publisher-my-authorization</t>
  </si>
  <si>
    <t>rr-close-auto-inputs--shared-operational-binding-detail</t>
  </si>
  <si>
    <t>rr-close-auto-inputs--analyst-source-freshness</t>
  </si>
  <si>
    <t>rr-close-auto-controls--analyst-never-evaluated</t>
  </si>
  <si>
    <t>rr-close-auto-controls--controller-home</t>
  </si>
  <si>
    <t>rr-close-auto-last-run--shared-step-execution-detail</t>
  </si>
  <si>
    <t>rr-close-auto-last-run--close-auto-home</t>
  </si>
  <si>
    <t>rr-close-auto-drift--variance-override-signal</t>
  </si>
  <si>
    <t>rr-close-auto-drift--variance-quality-baseline</t>
  </si>
  <si>
    <t>rr-variance-home--variance-authority</t>
  </si>
  <si>
    <t>rr-variance-home--variance-boundary</t>
  </si>
  <si>
    <t>rr-variance-home--variance-knowledge-currency</t>
  </si>
  <si>
    <t>rr-variance-authority--shared-role-assignment-detail</t>
  </si>
  <si>
    <t>rr-variance-authority--variance-handover</t>
  </si>
  <si>
    <t>rr-variance-handover--variance-authority</t>
  </si>
  <si>
    <t>rr-variance-handover--controller-ai-boundary</t>
  </si>
  <si>
    <t>rr-variance-boundary--variance-boundary-ratification</t>
  </si>
  <si>
    <t>rr-variance-boundary--hr-ai-boundary</t>
  </si>
  <si>
    <t>rr-variance-boundary-ratification--authority-expired-ratifier</t>
  </si>
  <si>
    <t>rr-variance-boundary-ratification--variance-boundary</t>
  </si>
  <si>
    <t>rr-variance-human-confirmation--controller-ai-boundary</t>
  </si>
  <si>
    <t>rr-variance-human-confirmation--shared-step-execution-detail</t>
  </si>
  <si>
    <t>rr-variance-knowledge-currency--authority-fragment-decay</t>
  </si>
  <si>
    <t>rr-variance-knowledge-currency--shared-knowledge-fragment-detail</t>
  </si>
  <si>
    <t>rr-variance-quality-baseline--variance-sample-size</t>
  </si>
  <si>
    <t>rr-variance-quality-baseline--close-auto-drift</t>
  </si>
  <si>
    <t>rr-variance-sample-size--variance-quality-baseline</t>
  </si>
  <si>
    <t>rr-variance-override-signal--close-auto-drift</t>
  </si>
  <si>
    <t>rr-variance-override-signal--variance-human-confirmation</t>
  </si>
  <si>
    <t>rr-variance-stop-condition--close-auto-home</t>
  </si>
  <si>
    <t>rr-variance-stop-condition--publisher-permission-gate</t>
  </si>
  <si>
    <t>rr-policy-agent-home--policy-agent-sources</t>
  </si>
  <si>
    <t>rr-policy-agent-home--policy-agent-assignment</t>
  </si>
  <si>
    <t>rr-policy-agent-sources--shared-operational-binding-detail</t>
  </si>
  <si>
    <t>rr-policy-agent-sources--close-auto-inputs</t>
  </si>
  <si>
    <t>rr-policy-agent-assignment--shared-role-assignment-detail</t>
  </si>
  <si>
    <t>rr-policy-agent-assignment--variance-authority</t>
  </si>
  <si>
    <t>rr-policy-agent-commitment-boundary--hr-ai-boundary</t>
  </si>
  <si>
    <t>rr-policy-agent-commitment-boundary--variance-boundary</t>
  </si>
  <si>
    <t>rr-policy-agent-approval-chain--comms-approval-authority</t>
  </si>
  <si>
    <t>rr-policy-agent-approval-chain--counsel-legal-review</t>
  </si>
  <si>
    <t>rr-policy-agent-rewrite--variance-override-signal</t>
  </si>
  <si>
    <t>rr-policy-agent-rewrite--shared-step-execution-detail</t>
  </si>
  <si>
    <t>rr-publisher-home--publisher-permission-gate</t>
  </si>
  <si>
    <t>rr-publisher-home--publisher-timing-gate</t>
  </si>
  <si>
    <t>rr-publisher-home--publisher-content-gate</t>
  </si>
  <si>
    <t>rr-publisher-home--publisher-authorization-gate</t>
  </si>
  <si>
    <t>rr-publisher-permission-gate--counsel-consent</t>
  </si>
  <si>
    <t>rr-publisher-permission-gate--shared-recipient-detail</t>
  </si>
  <si>
    <t>rr-publisher-timing-gate--counsel-quiet-hours</t>
  </si>
  <si>
    <t>rr-publisher-timing-gate--publisher-deferred</t>
  </si>
  <si>
    <t>rr-publisher-content-gate--comms-sms-limits</t>
  </si>
  <si>
    <t>rr-publisher-content-gate--comms-optout</t>
  </si>
  <si>
    <t>rr-publisher-authorization-gate--comms-approval-authority</t>
  </si>
  <si>
    <t>rr-publisher-authorization-gate--policy-agent-approval-chain</t>
  </si>
  <si>
    <t>rr-publisher-refusals--publisher-refusal-artifacts</t>
  </si>
  <si>
    <t>rr-publisher-refusals--comms-suppression</t>
  </si>
  <si>
    <t>rr-publisher-refusals--shared-exception-detail</t>
  </si>
  <si>
    <t>rr-publisher-refusal-artifacts--publisher-refusals</t>
  </si>
  <si>
    <t>rr-publisher-refusal-artifacts--comms-suppression</t>
  </si>
  <si>
    <t>rr-publisher-deferred--publisher-timing-gate</t>
  </si>
  <si>
    <t>rr-publisher-deferred--comms-suppression</t>
  </si>
  <si>
    <t>rr-publisher-obligations--comms-engagement</t>
  </si>
  <si>
    <t>rr-publisher-obligations--shared-delivery-detail</t>
  </si>
  <si>
    <t>rr-publisher-my-authorization--shared-role-assignment-detail</t>
  </si>
  <si>
    <t>rr-publisher-my-authorization--variance-authority</t>
  </si>
  <si>
    <t>rr-publisher-sole-witness--cfo-witness-chain</t>
  </si>
  <si>
    <t>rr-publisher-sole-witness--controller-asserted-controls</t>
  </si>
  <si>
    <t>rr-steward-home--steward-cadence</t>
  </si>
  <si>
    <t>rr-steward-home--steward-open-gaps</t>
  </si>
  <si>
    <t>rr-steward-home--steward-orphans</t>
  </si>
  <si>
    <t>rr-steward-home--steward-fallbacks</t>
  </si>
  <si>
    <t>rr-steward-cadence--steward-cadence-remediation</t>
  </si>
  <si>
    <t>rr-steward-cadence--shared-review-event-detail</t>
  </si>
  <si>
    <t>rr-steward-cadence-remediation--steward-cadence</t>
  </si>
  <si>
    <t>rr-steward-cadence-remediation--shared-change-request-detail</t>
  </si>
  <si>
    <t>rr-steward-open-gaps--hr-backlog-downstream</t>
  </si>
  <si>
    <t>rr-steward-open-gaps--shared-knowledge-gap-detail</t>
  </si>
  <si>
    <t>rr-steward-stalled-changes--hr-backlog</t>
  </si>
  <si>
    <t>rr-steward-stalled-changes--shared-change-request-detail</t>
  </si>
  <si>
    <t>rr-steward-approved-never-lands--hr-my-decisions</t>
  </si>
  <si>
    <t>rr-steward-approved-never-lands--cfo-blockers</t>
  </si>
  <si>
    <t>rr-steward-orphans--steward-archived-still-referenced</t>
  </si>
  <si>
    <t>rr-steward-orphans--shared-procedure-version-detail</t>
  </si>
  <si>
    <t>rr-steward-archived-still-referenced--steward-orphans</t>
  </si>
  <si>
    <t>rr-steward-archived-still-referenced--shared-procedure-version-detail</t>
  </si>
  <si>
    <t>rr-steward-fallbacks--steward-fallback-criticality</t>
  </si>
  <si>
    <t>rr-steward-fallbacks--shared-transition-detail</t>
  </si>
  <si>
    <t>rr-steward-fallback-criticality--steward-fallbacks</t>
  </si>
  <si>
    <t>rr-steward-fallback-criticality--controller-home</t>
  </si>
  <si>
    <t>rr-steward-hardcoded-predicates--shared-field-provenance</t>
  </si>
  <si>
    <t>rr-steward-hardcoded-predicates--steward-home</t>
  </si>
  <si>
    <t>rr-authority-home--authority-fragment-decay</t>
  </si>
  <si>
    <t>rr-authority-home--authority-unapproved-live</t>
  </si>
  <si>
    <t>rr-authority-home--shared-knowledge-fragment-detail</t>
  </si>
  <si>
    <t>rr-authority-fragment-decay--authority-home</t>
  </si>
  <si>
    <t>rr-authority-fragment-decay--variance-knowledge-currency</t>
  </si>
  <si>
    <t>rr-authority-unapproved-live--hr-load-bearing-claim</t>
  </si>
  <si>
    <t>rr-authority-unapproved-live--authority-machine-consumers</t>
  </si>
  <si>
    <t>rr-authority-machine-consumers--authority-unapproved-live</t>
  </si>
  <si>
    <t>rr-authority-machine-consumers--hr-ai-boundary</t>
  </si>
  <si>
    <t>rr-authority-expired-ratifier--variance-boundary-ratification</t>
  </si>
  <si>
    <t>rr-authority-expired-ratifier--shared-authority-boundary-detail</t>
  </si>
  <si>
    <t>rr-authority-orphaned-provenance--hr-departed-holders</t>
  </si>
  <si>
    <t>rr-authority-orphaned-provenance--authority-elicitation-monoculture</t>
  </si>
  <si>
    <t>rr-authority-unwitnessed-change--controller-home</t>
  </si>
  <si>
    <t>rr-authority-unwitnessed-change--shared-change-request-detail</t>
  </si>
  <si>
    <t>rr-authority-stale-elicitation--hr-knowledge-half-life</t>
  </si>
  <si>
    <t>rr-authority-stale-elicitation--shared-elicitation-detail</t>
  </si>
  <si>
    <t>rr-authority-elicitation-monoculture--authority-orphaned-provenance</t>
  </si>
  <si>
    <t>rr-authority-elicitation-monoculture--shared-elicitation-detail</t>
  </si>
  <si>
    <t>rr-authority-known-unknowns--steward-open-gaps</t>
  </si>
  <si>
    <t>rr-authority-known-unknowns--shared-knowledge-gap-detail</t>
  </si>
  <si>
    <t>rr-authority-review-date-inferred--shared-field-provenance</t>
  </si>
  <si>
    <t>rr-authority-review-date-inferred--authority-fragment-decay</t>
  </si>
  <si>
    <t>rr-shared-step-execution-detail--shared-requirement-detail</t>
  </si>
  <si>
    <t>rr-shared-step-execution-detail--shared-verification-outcomes</t>
  </si>
  <si>
    <t>rr-shared-requirement-detail--controller-witness-scope</t>
  </si>
  <si>
    <t>rr-shared-requirement-detail--shared-step-execution-detail</t>
  </si>
  <si>
    <t>rr-shared-knowledge-fragment-detail--authority-fragment-decay</t>
  </si>
  <si>
    <t>rr-shared-knowledge-fragment-detail--hr-load-bearing-claim</t>
  </si>
  <si>
    <t>rr-shared-change-request-detail--steward-stalled-changes</t>
  </si>
  <si>
    <t>rr-shared-change-request-detail--hr-backlog</t>
  </si>
  <si>
    <t>rr-shared-exception-detail--publisher-refusals</t>
  </si>
  <si>
    <t>rr-shared-exception-detail--analyst-late-steps</t>
  </si>
  <si>
    <t>rr-shared-role-assignment-detail--controller-authority-validity</t>
  </si>
  <si>
    <t>rr-shared-role-assignment-detail--variance-authority</t>
  </si>
  <si>
    <t>rr-shared-operational-binding-detail--analyst-source-freshness</t>
  </si>
  <si>
    <t>rr-shared-operational-binding-detail--close-auto-inputs</t>
  </si>
  <si>
    <t>rr-shared-delivery-detail--comms-yield</t>
  </si>
  <si>
    <t>rr-shared-delivery-detail--comms-frozen-approval</t>
  </si>
  <si>
    <t>rr-shared-recipient-detail--comms-suppression</t>
  </si>
  <si>
    <t>rr-shared-recipient-detail--counsel-consent</t>
  </si>
  <si>
    <t>rr-shared-template-detail--comms-template-drift</t>
  </si>
  <si>
    <t>rr-shared-template-detail--comms-approval-authority</t>
  </si>
  <si>
    <t>rr-shared-procedure-version-detail--steward-orphans</t>
  </si>
  <si>
    <t>rr-shared-procedure-version-detail--controller-conformance</t>
  </si>
  <si>
    <t>rr-shared-knowledge-gap-detail--steward-open-gaps</t>
  </si>
  <si>
    <t>rr-shared-knowledge-gap-detail--authority-known-unknowns</t>
  </si>
  <si>
    <t>rr-shared-verification-outcomes--cfo-witness-chain</t>
  </si>
  <si>
    <t>rr-shared-verification-outcomes--analyst-verification-performed</t>
  </si>
  <si>
    <t>rr-shared-review-event-detail--steward-cadence</t>
  </si>
  <si>
    <t>rr-shared-review-event-detail--counsel-legal-review</t>
  </si>
  <si>
    <t>rr-shared-elicitation-detail--authority-elicitation-monoculture</t>
  </si>
  <si>
    <t>rr-shared-elicitation-detail--authority-stale-elicitation</t>
  </si>
  <si>
    <t>rr-shared-transition-detail--steward-fallbacks</t>
  </si>
  <si>
    <t>rr-shared-transition-detail--shared-step-execution-detail</t>
  </si>
  <si>
    <t>rr-shared-authority-boundary-detail--authority-expired-ratifier</t>
  </si>
  <si>
    <t>rr-shared-authority-boundary-detail--variance-boundary</t>
  </si>
  <si>
    <t>rr-shared-evaluation-context--cfo-restatement</t>
  </si>
  <si>
    <t>rr-shared-evaluation-context--analyst-stale-then-vs-now</t>
  </si>
  <si>
    <t>rr-shared-field-provenance--steward-hardcoded-predicates</t>
  </si>
  <si>
    <t>rr-shared-field-provenance--authority-review-date-inferred</t>
  </si>
  <si>
    <t>rr-admin-board--admin-checks</t>
  </si>
  <si>
    <t>rr-admin-board--admin-witnesses</t>
  </si>
  <si>
    <t>rr-admin-checks--admin-board</t>
  </si>
  <si>
    <t>rr-admin-checks--admin-question-defence</t>
  </si>
  <si>
    <t>rr-admin-witnesses--admin-vacuous</t>
  </si>
  <si>
    <t>rr-admin-witnesses--shared-field-provenance</t>
  </si>
  <si>
    <t>rr-admin-vacuous--admin-witnesses</t>
  </si>
  <si>
    <t>rr-admin-vacuous--admin-loops</t>
  </si>
  <si>
    <t>rr-admin-loops--admin-question-defence</t>
  </si>
  <si>
    <t>rr-admin-loops--shared-field-provenance</t>
  </si>
  <si>
    <t>rr-admin-question-defence--admin-loops</t>
  </si>
  <si>
    <t>rr-admin-question-defence--admin-checks</t>
  </si>
  <si>
    <t>rr-admin-question-defence--admin-route-map</t>
  </si>
  <si>
    <t>rr-admin-provenance--shared-field-provenance</t>
  </si>
  <si>
    <t>rr-admin-provenance--admin-loops</t>
  </si>
  <si>
    <t>rr-admin-route-map--admin-question-defence</t>
  </si>
  <si>
    <t>rr-admin-route-map--explorer-tables</t>
  </si>
  <si>
    <t>rr-admin-catalog-drift--explorer-inferences</t>
  </si>
  <si>
    <t>rr-admin-catalog-drift--admin-board</t>
  </si>
  <si>
    <t>rr-explorer-inferences--explorer-tables</t>
  </si>
  <si>
    <t>rr-explorer-inferences--shared-field-provenance</t>
  </si>
  <si>
    <t>rr-explorer-tables--explorer-table-detail</t>
  </si>
  <si>
    <t>rr-explorer-tables--explorer-inferences</t>
  </si>
  <si>
    <t>rr-explorer-table-detail--explorer-record</t>
  </si>
  <si>
    <t>rr-explorer-table-detail--shared-field-provenance</t>
  </si>
  <si>
    <t>rr-explorer-record--explorer-table-detail</t>
  </si>
  <si>
    <t>rr-explorer-record--shared-field-provenance</t>
  </si>
  <si>
    <t>access-control</t>
  </si>
  <si>
    <t>urn:effortless:pko-extension#RulebookTable</t>
  </si>
  <si>
    <t>actions</t>
  </si>
  <si>
    <t>specification</t>
  </si>
  <si>
    <t>agent_decision_records</t>
  </si>
  <si>
    <t>org</t>
  </si>
  <si>
    <t>agents</t>
  </si>
  <si>
    <t>app_nav_groups</t>
  </si>
  <si>
    <t>vw_app_nav_groups</t>
  </si>
  <si>
    <t>application</t>
  </si>
  <si>
    <t>app_role_profiles</t>
  </si>
  <si>
    <t>vw_app_role_profiles</t>
  </si>
  <si>
    <t>app_route_questions</t>
  </si>
  <si>
    <t>vw_app_route_questions</t>
  </si>
  <si>
    <t>app_route_references</t>
  </si>
  <si>
    <t>vw_app_route_references</t>
  </si>
  <si>
    <t>app_routes</t>
  </si>
  <si>
    <t>vw_app_routes</t>
  </si>
  <si>
    <t>attestations</t>
  </si>
  <si>
    <t>authority_boundaries</t>
  </si>
  <si>
    <t>binding_observations</t>
  </si>
  <si>
    <t>change_requests</t>
  </si>
  <si>
    <t>communication_policies</t>
  </si>
  <si>
    <t>communication</t>
  </si>
  <si>
    <t>communities_of_practice</t>
  </si>
  <si>
    <t>delivered_communications</t>
  </si>
  <si>
    <t>meta</t>
  </si>
  <si>
    <t>elicitation_sessions</t>
  </si>
  <si>
    <t>errors</t>
  </si>
  <si>
    <t>evaluation_contexts</t>
  </si>
  <si>
    <t>exception_invocations</t>
  </si>
  <si>
    <t>exceptions</t>
  </si>
  <si>
    <t>explanations</t>
  </si>
  <si>
    <t>functions</t>
  </si>
  <si>
    <t>issue_occurrences</t>
  </si>
  <si>
    <t>knowledge_fragments</t>
  </si>
  <si>
    <t>knowledge_gaps</t>
  </si>
  <si>
    <t>learning_activities</t>
  </si>
  <si>
    <t>mentorships</t>
  </si>
  <si>
    <t>message_deliveries</t>
  </si>
  <si>
    <t>message_templates</t>
  </si>
  <si>
    <t>observed_transitions</t>
  </si>
  <si>
    <t>ontology_profiles</t>
  </si>
  <si>
    <t>operational_bindings</t>
  </si>
  <si>
    <t>organizations</t>
  </si>
  <si>
    <t>procedure_executions</t>
  </si>
  <si>
    <t>procedure_resources</t>
  </si>
  <si>
    <t>procedure_status_changes</t>
  </si>
  <si>
    <t>procedure_types</t>
  </si>
  <si>
    <t>procedure_version_links</t>
  </si>
  <si>
    <t>procedure_versions</t>
  </si>
  <si>
    <t>procedures</t>
  </si>
  <si>
    <t>rationales</t>
  </si>
  <si>
    <t>recipients</t>
  </si>
  <si>
    <t>requirement_satisfactions</t>
  </si>
  <si>
    <t>requirements</t>
  </si>
  <si>
    <t>resources</t>
  </si>
  <si>
    <t>review_events</t>
  </si>
  <si>
    <t>role_assignments</t>
  </si>
  <si>
    <t>role_questions</t>
  </si>
  <si>
    <t>roles</t>
  </si>
  <si>
    <t>rulebook_fields</t>
  </si>
  <si>
    <t>rulebook_releases</t>
  </si>
  <si>
    <t>semantic_mappings</t>
  </si>
  <si>
    <t>send_intents</t>
  </si>
  <si>
    <t>step_actions</t>
  </si>
  <si>
    <t>step_executions</t>
  </si>
  <si>
    <t>step_functions</t>
  </si>
  <si>
    <t>step_requirements</t>
  </si>
  <si>
    <t>step_tools</t>
  </si>
  <si>
    <t>step_transitions</t>
  </si>
  <si>
    <t>step_verifications</t>
  </si>
  <si>
    <t>steps</t>
  </si>
  <si>
    <t>stewardship_assignments</t>
  </si>
  <si>
    <t>template_approvals</t>
  </si>
  <si>
    <t>test_cases</t>
  </si>
  <si>
    <t>test_suites</t>
  </si>
  <si>
    <t>tools</t>
  </si>
  <si>
    <t>user_feedback</t>
  </si>
  <si>
    <t>user_questions</t>
  </si>
  <si>
    <t>verification_outcomes</t>
  </si>
  <si>
    <t>witness_loops</t>
  </si>
  <si>
    <t>process_mining_runs</t>
  </si>
  <si>
    <t>vw_process_mining_runs</t>
  </si>
  <si>
    <t>vocabularies</t>
  </si>
  <si>
    <t>vw_vocabularies</t>
  </si>
  <si>
    <t>vocabulary_terms</t>
  </si>
  <si>
    <t>vw_vocabulary_terms</t>
  </si>
  <si>
    <t>knowledge_broker_links</t>
  </si>
  <si>
    <t>vw_knowledge_broker_links</t>
  </si>
  <si>
    <t>conformance_substrates</t>
  </si>
  <si>
    <t>vw_conformance_substrates</t>
  </si>
  <si>
    <t>conformance_runs</t>
  </si>
  <si>
    <t>vw_conformance_runs</t>
  </si>
  <si>
    <t>substrate_run_scores</t>
  </si>
  <si>
    <t>vw_substrate_run_scores</t>
  </si>
  <si>
    <t>table_conformance</t>
  </si>
  <si>
    <t>vw_table_conformance</t>
  </si>
  <si>
    <t>field_disagreements</t>
  </si>
  <si>
    <t>vw_field_disagreements</t>
  </si>
  <si>
    <t>cell_disagreements</t>
  </si>
  <si>
    <t>vw_cell_disagreements</t>
  </si>
  <si>
    <t>principal-finance-analyst</t>
  </si>
  <si>
    <t>pko_finance_analyst</t>
  </si>
  <si>
    <t>urn:effortless:pko-extension#AccessPrincipal</t>
  </si>
  <si>
    <t>principal-controller</t>
  </si>
  <si>
    <t>pko_controller</t>
  </si>
  <si>
    <t>principal-cfo</t>
  </si>
  <si>
    <t>pko_cfo</t>
  </si>
  <si>
    <t>principal-hr-policy-owner</t>
  </si>
  <si>
    <t>pko_hr_policy_owner</t>
  </si>
  <si>
    <t>principal-employment-counsel</t>
  </si>
  <si>
    <t>pko_employment_counsel</t>
  </si>
  <si>
    <t>principal-communications-manager</t>
  </si>
  <si>
    <t>pko_communications_manager</t>
  </si>
  <si>
    <t>principal-close-automation</t>
  </si>
  <si>
    <t>pko_close_automation</t>
  </si>
  <si>
    <t>principal-variance-review-agent</t>
  </si>
  <si>
    <t>pko_variance_review_agent</t>
  </si>
  <si>
    <t>principal-policy-drafting-agent</t>
  </si>
  <si>
    <t>pko_policy_drafting_agent</t>
  </si>
  <si>
    <t>principal-notification-publisher</t>
  </si>
  <si>
    <t>pko_notification_publisher</t>
  </si>
  <si>
    <t>principal-process-steward</t>
  </si>
  <si>
    <t>pko_process_steward</t>
  </si>
  <si>
    <t>principal-knowledge-authority</t>
  </si>
  <si>
    <t>pko_knowledge_authority</t>
  </si>
  <si>
    <t>pol-financeanalyst-steps-select</t>
  </si>
  <si>
    <t>SELECT</t>
  </si>
  <si>
    <t>Preparer of reconciliations and variance evidence. Needs the steps assigned to them, what they recorded, and the requirements they must satisfy. Not governance, not comms.</t>
  </si>
  <si>
    <t>urn:effortless:pko-extension#AccessPolicy</t>
  </si>
  <si>
    <t>pol-financeanalyst-step_executions-select</t>
  </si>
  <si>
    <t>pol-financeanalyst-procedure_executions-select</t>
  </si>
  <si>
    <t>pol-financeanalyst-requirements-select</t>
  </si>
  <si>
    <t>pol-financeanalyst-requirement_satisfactions-select</t>
  </si>
  <si>
    <t>pol-financeanalyst-procedures-select</t>
  </si>
  <si>
    <t>pol-financeanalyst-procedure_versions-select</t>
  </si>
  <si>
    <t>is_current</t>
  </si>
  <si>
    <t>Only the current version of each procedure. is_current is a stored column here, not a derivation, so the predicate reads it directly.</t>
  </si>
  <si>
    <t>pol-controller-steps-select</t>
  </si>
  <si>
    <t>Owner of close controls and first approval authority. Needs the approval surface -- exceptions they approve, change requests they decide, the knowledge they own -- plus enough execution state to approve against.</t>
  </si>
  <si>
    <t>pol-controller-step_executions-select</t>
  </si>
  <si>
    <t>pol-controller-procedure_executions-select</t>
  </si>
  <si>
    <t>pol-controller-exceptions-select</t>
  </si>
  <si>
    <t>pol-controller-change_requests-select</t>
  </si>
  <si>
    <t>public.calc_change_requests_is_open(change_request_id)</t>
  </si>
  <si>
    <t>Open change requests only. is_open is derived several hops down the DAG, so the policy stays one line while the semantics stay deep.</t>
  </si>
  <si>
    <t>pol-controller-knowledge_fragments-select</t>
  </si>
  <si>
    <t>owner_role = app.jwt_role()</t>
  </si>
  <si>
    <t>Ownership: only the rows this role owns.</t>
  </si>
  <si>
    <t>pol-controller-requirements-select</t>
  </si>
  <si>
    <t>pol-controller-procedure_versions-select</t>
  </si>
  <si>
    <t>pol-cfo-procedure_executions-select</t>
  </si>
  <si>
    <t>Final authority for the financial close. Sees the decision surface only: what awaits approval, the boundaries on that authority, and the close's headline state. No preparation detail, no stewardship diagnostics.</t>
  </si>
  <si>
    <t>pol-cfo-exceptions-select</t>
  </si>
  <si>
    <t>pol-cfo-change_requests-select</t>
  </si>
  <si>
    <t>pol-cfo-authority_boundaries-select</t>
  </si>
  <si>
    <t>pol-cfo-procedures-select</t>
  </si>
  <si>
    <t>pol-hrpolicyowner-steps-select</t>
  </si>
  <si>
    <t>Accountable owner for employment policy content. Owns policy knowledge and the change requests that alter it. Sees the steps they are assigned, and the exceptions they approve.</t>
  </si>
  <si>
    <t>pol-hrpolicyowner-knowledge_fragments-select</t>
  </si>
  <si>
    <t>pol-hrpolicyowner-knowledge_gaps-select</t>
  </si>
  <si>
    <t>public.calc_knowledge_gaps_is_open(knowledge_gap_id)</t>
  </si>
  <si>
    <t>Open knowledge gaps only; resolved gaps are governance history.</t>
  </si>
  <si>
    <t>pol-hrpolicyowner-change_requests-select</t>
  </si>
  <si>
    <t>pol-hrpolicyowner-exceptions-select</t>
  </si>
  <si>
    <t>pol-hrpolicyowner-message_templates-select</t>
  </si>
  <si>
    <t>pol-employmentcounsel-change_requests-select</t>
  </si>
  <si>
    <t>pol-employmentcounsel-knowledge_fragments-select</t>
  </si>
  <si>
    <t>pol-employmentcounsel-authority_boundaries-select</t>
  </si>
  <si>
    <t>Legal reviewer for workforce policy changes. Reads what is proposed and the boundaries that constrain it. Does not need execution telemetry or delivery data.</t>
  </si>
  <si>
    <t>pol-employmentcounsel-communication_policies-select</t>
  </si>
  <si>
    <t>pol-employmentcounsel-steps-select</t>
  </si>
  <si>
    <t>pol-communicationsmanager-communication_policies-select</t>
  </si>
  <si>
    <t>Human owner of employee communications. Approves what goes out and to whom, so this is the one non-admin role that sees recipients -- including consent state, which is the whole point of the approval.</t>
  </si>
  <si>
    <t>pol-communicationsmanager-message_templates-select</t>
  </si>
  <si>
    <t>pol-communicationsmanager-send_intents-select</t>
  </si>
  <si>
    <t>pol-communicationsmanager-message_deliveries-select</t>
  </si>
  <si>
    <t>pol-communicationsmanager-recipients-select</t>
  </si>
  <si>
    <t>organization = app.jwt_organization()</t>
  </si>
  <si>
    <t>Tenancy boundary: only rows belonging to this principal's own organization.</t>
  </si>
  <si>
    <t>pol-communicationsmanager-knowledge_gaps-select</t>
  </si>
  <si>
    <t>pol-closeautomation-steps-select</t>
  </si>
  <si>
    <t>Deterministic extraction, posting and archival operator. A pipeline. It reads the steps it is assigned and writes what it did. It has no view of people, policy, or governance at all.</t>
  </si>
  <si>
    <t>pol-closeautomation-step_executions-select</t>
  </si>
  <si>
    <t>pol-closeautomation-errors-select</t>
  </si>
  <si>
    <t>pol-variancereviewagent-steps-select</t>
  </si>
  <si>
    <t>AI assistant that classifies and prioritises variances. Reads execution outcomes and the requirements that define a variance. No identities, no approvals.</t>
  </si>
  <si>
    <t>pol-variancereviewagent-step_executions-select</t>
  </si>
  <si>
    <t>pol-variancereviewagent-requirements-select</t>
  </si>
  <si>
    <t>pol-variancereviewagent-requirement_satisfactions-select</t>
  </si>
  <si>
    <t>pol-variancereviewagent-errors-select</t>
  </si>
  <si>
    <t>pol-policydraftingagent-message_templates-select</t>
  </si>
  <si>
    <t>AI assistant that drafts policy and channel variants. Reads the templates and policies it drafts against. It never sees recipients -- drafting does not require knowing who is addressed, and consent data is not its business.</t>
  </si>
  <si>
    <t>pol-policydraftingagent-communication_policies-select</t>
  </si>
  <si>
    <t>pol-policydraftingagent-knowledge_fragments-select</t>
  </si>
  <si>
    <t>pol-policydraftingagent-steps-select</t>
  </si>
  <si>
    <t>pol-notificationpublisher-communication_policies-select</t>
  </si>
  <si>
    <t>Pipeline that applies channel rules and sends approved messages. Needs the rules and the send queue. Sees a recipient's ADDRESS but not their consent history or display name -- it delivers, it does not decide.</t>
  </si>
  <si>
    <t>pol-notificationpublisher-send_intents-select</t>
  </si>
  <si>
    <t>pol-notificationpublisher-message_deliveries-select</t>
  </si>
  <si>
    <t>pol-notificationpublisher-recipients-select</t>
  </si>
  <si>
    <t>pol-notificationpublisher-steps-select</t>
  </si>
  <si>
    <t>pol-processsteward-actions-select</t>
  </si>
  <si>
    <t>Full read: this principal is a declared administrator.</t>
  </si>
  <si>
    <t>pol-processsteward-agent_decision_records-select</t>
  </si>
  <si>
    <t>pol-processsteward-agents-select</t>
  </si>
  <si>
    <t>pol-processsteward-app_nav_groups-select</t>
  </si>
  <si>
    <t>pol-processsteward-app_role_profiles-select</t>
  </si>
  <si>
    <t>pol-processsteward-app_route_questions-select</t>
  </si>
  <si>
    <t>pol-processsteward-app_route_references-select</t>
  </si>
  <si>
    <t>pol-processsteward-app_routes-select</t>
  </si>
  <si>
    <t>pol-processsteward-attestations-select</t>
  </si>
  <si>
    <t>pol-processsteward-authority_boundaries-select</t>
  </si>
  <si>
    <t>pol-processsteward-binding_observations-select</t>
  </si>
  <si>
    <t>pol-processsteward-change_requests-select</t>
  </si>
  <si>
    <t>pol-processsteward-communication_policies-select</t>
  </si>
  <si>
    <t>pol-processsteward-communities_of_practice-select</t>
  </si>
  <si>
    <t>pol-processsteward-delivered_communications-select</t>
  </si>
  <si>
    <t>pol-processsteward-elicitation_sessions-select</t>
  </si>
  <si>
    <t>pol-processsteward-errors-select</t>
  </si>
  <si>
    <t>pol-processsteward-evaluation_contexts-select</t>
  </si>
  <si>
    <t>pol-processsteward-exception_invocations-select</t>
  </si>
  <si>
    <t>pol-processsteward-exceptions-select</t>
  </si>
  <si>
    <t>pol-processsteward-explanations-select</t>
  </si>
  <si>
    <t>pol-processsteward-functions-select</t>
  </si>
  <si>
    <t>pol-processsteward-issue_occurrences-select</t>
  </si>
  <si>
    <t>pol-processsteward-knowledge_fragments-select</t>
  </si>
  <si>
    <t>pol-processsteward-knowledge_gaps-select</t>
  </si>
  <si>
    <t>pol-processsteward-learning_activities-select</t>
  </si>
  <si>
    <t>pol-processsteward-mentorships-select</t>
  </si>
  <si>
    <t>pol-processsteward-message_deliveries-select</t>
  </si>
  <si>
    <t>pol-processsteward-message_templates-select</t>
  </si>
  <si>
    <t>pol-processsteward-observed_transitions-select</t>
  </si>
  <si>
    <t>pol-processsteward-ontology_profiles-select</t>
  </si>
  <si>
    <t>pol-processsteward-operational_bindings-select</t>
  </si>
  <si>
    <t>pol-processsteward-organizations-select</t>
  </si>
  <si>
    <t>pol-processsteward-procedure_executions-select</t>
  </si>
  <si>
    <t>pol-processsteward-procedure_resources-select</t>
  </si>
  <si>
    <t>pol-processsteward-procedure_status_changes-select</t>
  </si>
  <si>
    <t>pol-processsteward-procedure_types-select</t>
  </si>
  <si>
    <t>pol-processsteward-procedure_version_links-select</t>
  </si>
  <si>
    <t>pol-processsteward-procedure_versions-select</t>
  </si>
  <si>
    <t>pol-processsteward-procedures-select</t>
  </si>
  <si>
    <t>pol-processsteward-rationales-select</t>
  </si>
  <si>
    <t>pol-processsteward-recipients-select</t>
  </si>
  <si>
    <t>pol-processsteward-requirement_satisfactions-select</t>
  </si>
  <si>
    <t>pol-processsteward-requirements-select</t>
  </si>
  <si>
    <t>pol-processsteward-resources-select</t>
  </si>
  <si>
    <t>pol-processsteward-review_events-select</t>
  </si>
  <si>
    <t>pol-processsteward-role_assignments-select</t>
  </si>
  <si>
    <t>pol-processsteward-role_questions-select</t>
  </si>
  <si>
    <t>pol-processsteward-roles-select</t>
  </si>
  <si>
    <t>pol-processsteward-rulebook_fields-select</t>
  </si>
  <si>
    <t>pol-processsteward-rulebook_releases-select</t>
  </si>
  <si>
    <t>pol-processsteward-semantic_mappings-select</t>
  </si>
  <si>
    <t>pol-processsteward-send_intents-select</t>
  </si>
  <si>
    <t>pol-processsteward-step_actions-select</t>
  </si>
  <si>
    <t>pol-processsteward-step_executions-select</t>
  </si>
  <si>
    <t>pol-processsteward-step_functions-select</t>
  </si>
  <si>
    <t>pol-processsteward-step_requirements-select</t>
  </si>
  <si>
    <t>pol-processsteward-step_tools-select</t>
  </si>
  <si>
    <t>pol-processsteward-step_transitions-select</t>
  </si>
  <si>
    <t>pol-processsteward-step_verifications-select</t>
  </si>
  <si>
    <t>pol-processsteward-steps-select</t>
  </si>
  <si>
    <t>pol-processsteward-stewardship_assignments-select</t>
  </si>
  <si>
    <t>pol-processsteward-template_approvals-select</t>
  </si>
  <si>
    <t>pol-processsteward-test_cases-select</t>
  </si>
  <si>
    <t>pol-processsteward-test_suites-select</t>
  </si>
  <si>
    <t>pol-processsteward-tools-select</t>
  </si>
  <si>
    <t>pol-processsteward-user_feedback-select</t>
  </si>
  <si>
    <t>pol-processsteward-user_questions-select</t>
  </si>
  <si>
    <t>pol-processsteward-verification_outcomes-select</t>
  </si>
  <si>
    <t>pol-processsteward-witness_loops-select</t>
  </si>
  <si>
    <t>pol-knowledgeauthority-actions-select</t>
  </si>
  <si>
    <t>pol-knowledgeauthority-agent_decision_records-select</t>
  </si>
  <si>
    <t>pol-knowledgeauthority-agents-select</t>
  </si>
  <si>
    <t>pol-knowledgeauthority-app_nav_groups-select</t>
  </si>
  <si>
    <t>pol-knowledgeauthority-app_role_profiles-select</t>
  </si>
  <si>
    <t>pol-knowledgeauthority-app_route_questions-select</t>
  </si>
  <si>
    <t>pol-knowledgeauthority-app_route_references-select</t>
  </si>
  <si>
    <t>pol-knowledgeauthority-app_routes-select</t>
  </si>
  <si>
    <t>pol-knowledgeauthority-attestations-select</t>
  </si>
  <si>
    <t>pol-knowledgeauthority-authority_boundaries-select</t>
  </si>
  <si>
    <t>pol-knowledgeauthority-binding_observations-select</t>
  </si>
  <si>
    <t>pol-knowledgeauthority-change_requests-select</t>
  </si>
  <si>
    <t>pol-knowledgeauthority-communication_policies-select</t>
  </si>
  <si>
    <t>pol-knowledgeauthority-communities_of_practice-select</t>
  </si>
  <si>
    <t>pol-knowledgeauthority-delivered_communications-select</t>
  </si>
  <si>
    <t>pol-knowledgeauthority-elicitation_sessions-select</t>
  </si>
  <si>
    <t>pol-knowledgeauthority-errors-select</t>
  </si>
  <si>
    <t>pol-knowledgeauthority-evaluation_contexts-select</t>
  </si>
  <si>
    <t>pol-knowledgeauthority-exception_invocations-select</t>
  </si>
  <si>
    <t>pol-knowledgeauthority-exceptions-select</t>
  </si>
  <si>
    <t>pol-knowledgeauthority-explanations-select</t>
  </si>
  <si>
    <t>pol-knowledgeauthority-functions-select</t>
  </si>
  <si>
    <t>pol-knowledgeauthority-issue_occurrences-select</t>
  </si>
  <si>
    <t>pol-knowledgeauthority-knowledge_fragments-select</t>
  </si>
  <si>
    <t>pol-knowledgeauthority-knowledge_gaps-select</t>
  </si>
  <si>
    <t>pol-knowledgeauthority-learning_activities-select</t>
  </si>
  <si>
    <t>pol-knowledgeauthority-mentorships-select</t>
  </si>
  <si>
    <t>pol-knowledgeauthority-message_deliveries-select</t>
  </si>
  <si>
    <t>pol-knowledgeauthority-message_templates-select</t>
  </si>
  <si>
    <t>pol-knowledgeauthority-observed_transitions-select</t>
  </si>
  <si>
    <t>pol-knowledgeauthority-ontology_profiles-select</t>
  </si>
  <si>
    <t>pol-knowledgeauthority-operational_bindings-select</t>
  </si>
  <si>
    <t>pol-knowledgeauthority-organizations-select</t>
  </si>
  <si>
    <t>pol-knowledgeauthority-procedure_executions-select</t>
  </si>
  <si>
    <t>pol-knowledgeauthority-procedure_resources-select</t>
  </si>
  <si>
    <t>pol-knowledgeauthority-procedure_status_changes-select</t>
  </si>
  <si>
    <t>pol-knowledgeauthority-procedure_types-select</t>
  </si>
  <si>
    <t>pol-knowledgeauthority-procedure_version_links-select</t>
  </si>
  <si>
    <t>pol-knowledgeauthority-procedure_versions-select</t>
  </si>
  <si>
    <t>pol-knowledgeauthority-procedures-select</t>
  </si>
  <si>
    <t>pol-knowledgeauthority-rationales-select</t>
  </si>
  <si>
    <t>pol-knowledgeauthority-recipients-select</t>
  </si>
  <si>
    <t>pol-knowledgeauthority-requirement_satisfactions-select</t>
  </si>
  <si>
    <t>pol-knowledgeauthority-requirements-select</t>
  </si>
  <si>
    <t>pol-knowledgeauthority-resources-select</t>
  </si>
  <si>
    <t>pol-knowledgeauthority-review_events-select</t>
  </si>
  <si>
    <t>pol-knowledgeauthority-role_assignments-select</t>
  </si>
  <si>
    <t>pol-knowledgeauthority-role_questions-select</t>
  </si>
  <si>
    <t>pol-knowledgeauthority-roles-select</t>
  </si>
  <si>
    <t>pol-knowledgeauthority-rulebook_fields-select</t>
  </si>
  <si>
    <t>pol-knowledgeauthority-rulebook_releases-select</t>
  </si>
  <si>
    <t>pol-knowledgeauthority-semantic_mappings-select</t>
  </si>
  <si>
    <t>pol-knowledgeauthority-send_intents-select</t>
  </si>
  <si>
    <t>pol-knowledgeauthority-step_actions-select</t>
  </si>
  <si>
    <t>pol-knowledgeauthority-step_executions-select</t>
  </si>
  <si>
    <t>pol-knowledgeauthority-step_functions-select</t>
  </si>
  <si>
    <t>pol-knowledgeauthority-step_requirements-select</t>
  </si>
  <si>
    <t>pol-knowledgeauthority-step_tools-select</t>
  </si>
  <si>
    <t>pol-knowledgeauthority-step_transitions-select</t>
  </si>
  <si>
    <t>pol-knowledgeauthority-step_verifications-select</t>
  </si>
  <si>
    <t>pol-knowledgeauthority-steps-select</t>
  </si>
  <si>
    <t>pol-knowledgeauthority-stewardship_assignments-select</t>
  </si>
  <si>
    <t>pol-knowledgeauthority-template_approvals-select</t>
  </si>
  <si>
    <t>pol-knowledgeauthority-test_cases-select</t>
  </si>
  <si>
    <t>pol-knowledgeauthority-test_suites-select</t>
  </si>
  <si>
    <t>pol-knowledgeauthority-tools-select</t>
  </si>
  <si>
    <t>pol-knowledgeauthority-user_feedback-select</t>
  </si>
  <si>
    <t>pol-knowledgeauthority-user_questions-select</t>
  </si>
  <si>
    <t>pol-knowledgeauthority-verification_outcomes-select</t>
  </si>
  <si>
    <t>pol-knowledgeauthority-witness_loops-select</t>
  </si>
  <si>
    <t>pol-processsteward-process_mining_runs-select</t>
  </si>
  <si>
    <t>Steward-level role: unrestricted read of this table, matching this principal's existing broad reach across the model.</t>
  </si>
  <si>
    <t>pol-processsteward-vocabularies-select</t>
  </si>
  <si>
    <t>pol-processsteward-vocabulary_terms-select</t>
  </si>
  <si>
    <t>pol-processsteward-knowledge_broker_links-select</t>
  </si>
  <si>
    <t>pol-knowledgeauthority-process_mining_runs-select</t>
  </si>
  <si>
    <t>pol-knowledgeauthority-vocabularies-select</t>
  </si>
  <si>
    <t>pol-knowledgeauthority-vocabulary_terms-select</t>
  </si>
  <si>
    <t>pol-knowledgeauthority-knowledge_broker_links-select</t>
  </si>
  <si>
    <t>fg-finance-analyst-Steps.StepId</t>
  </si>
  <si>
    <t>plain</t>
  </si>
  <si>
    <t>urn:effortless:pko-extension#FieldGrant</t>
  </si>
  <si>
    <t>fg-finance-analyst-Steps.StepNumber</t>
  </si>
  <si>
    <t>fg-finance-analyst-Steps.Title</t>
  </si>
  <si>
    <t>fg-finance-analyst-Steps.StepKind</t>
  </si>
  <si>
    <t>fg-finance-analyst-Steps.Instruction</t>
  </si>
  <si>
    <t>fg-finance-analyst-Steps.AssignedRole</t>
  </si>
  <si>
    <t>fg-finance-analyst-Steps.AssignedRoleLabel</t>
  </si>
  <si>
    <t>fg-finance-analyst-Steps.ProcedureVersion</t>
  </si>
  <si>
    <t>fg-finance-analyst-Steps.Name</t>
  </si>
  <si>
    <t>fg-finance-analyst-Steps.IsApprovalStep</t>
  </si>
  <si>
    <t>fg-finance-analyst-Steps.RequiresHumanConfirmation</t>
  </si>
  <si>
    <t>fg-finance-analyst-Steps.ExpectedDurationMinutes</t>
  </si>
  <si>
    <t>fg-finance-analyst-StepExecutions.StepExecutionId</t>
  </si>
  <si>
    <t>fg-finance-analyst-StepExecutions.Step</t>
  </si>
  <si>
    <t>fg-finance-analyst-StepExecutions.ExecutionStatus</t>
  </si>
  <si>
    <t>fg-finance-analyst-StepExecutions.StartedAt</t>
  </si>
  <si>
    <t>fg-finance-analyst-StepExecutions.EndedAt</t>
  </si>
  <si>
    <t>fg-finance-analyst-StepExecutions.VerificationResult</t>
  </si>
  <si>
    <t>fg-finance-analyst-StepExecutions.Name</t>
  </si>
  <si>
    <t>fg-finance-analyst-StepExecutions.Deviation</t>
  </si>
  <si>
    <t>fg-finance-analyst-StepExecutions.ActualDurationMinutes</t>
  </si>
  <si>
    <t>fg-finance-analyst-StepExecutions.IsLate</t>
  </si>
  <si>
    <t>fg-finance-analyst-ProcedureExecutions.ProcedureExecutionId</t>
  </si>
  <si>
    <t>fg-finance-analyst-ProcedureExecutions.ExecutionStatus</t>
  </si>
  <si>
    <t>fg-finance-analyst-ProcedureExecutions.StartedAt</t>
  </si>
  <si>
    <t>fg-finance-analyst-ProcedureExecutions.EndedAt</t>
  </si>
  <si>
    <t>fg-finance-analyst-ProcedureExecutions.ProcedureVersion</t>
  </si>
  <si>
    <t>fg-finance-analyst-ProcedureExecutions.Name</t>
  </si>
  <si>
    <t>fg-finance-analyst-Requirements.RequirementId</t>
  </si>
  <si>
    <t>fg-finance-analyst-Requirements.Label</t>
  </si>
  <si>
    <t>fg-finance-analyst-Requirements.RequirementType</t>
  </si>
  <si>
    <t>fg-finance-analyst-Requirements.Statement</t>
  </si>
  <si>
    <t>fg-finance-analyst-Requirements.IsBlocking</t>
  </si>
  <si>
    <t>fg-finance-analyst-Requirements.Name</t>
  </si>
  <si>
    <t>fg-finance-analyst-RequirementSatisfactions.RequirementSatisfactionId</t>
  </si>
  <si>
    <t>fg-finance-analyst-RequirementSatisfactions.Requirement</t>
  </si>
  <si>
    <t>fg-finance-analyst-RequirementSatisfactions.SatisfactionLevel</t>
  </si>
  <si>
    <t>fg-finance-analyst-RequirementSatisfactions.Evidence</t>
  </si>
  <si>
    <t>fg-finance-analyst-RequirementSatisfactions.EvaluatedAt</t>
  </si>
  <si>
    <t>fg-finance-analyst-RequirementSatisfactions.Name</t>
  </si>
  <si>
    <t>fg-finance-analyst-Procedures.ProcedureId</t>
  </si>
  <si>
    <t>fg-finance-analyst-Procedures.Title</t>
  </si>
  <si>
    <t>fg-finance-analyst-Procedures.Purpose</t>
  </si>
  <si>
    <t>fg-finance-analyst-Procedures.Name</t>
  </si>
  <si>
    <t>fg-finance-analyst-ProcedureVersions.ProcedureVersionId</t>
  </si>
  <si>
    <t>fg-finance-analyst-ProcedureVersions.VersionNumber</t>
  </si>
  <si>
    <t>fg-finance-analyst-ProcedureVersions.Title</t>
  </si>
  <si>
    <t>fg-finance-analyst-ProcedureVersions.Status</t>
  </si>
  <si>
    <t>fg-finance-analyst-ProcedureVersions.IsCurrent</t>
  </si>
  <si>
    <t>fg-finance-analyst-ProcedureVersions.Procedure</t>
  </si>
  <si>
    <t>fg-finance-analyst-ProcedureVersions.Name</t>
  </si>
  <si>
    <t>fg-controller-Steps.StepId</t>
  </si>
  <si>
    <t>fg-controller-Steps.StepNumber</t>
  </si>
  <si>
    <t>fg-controller-Steps.Title</t>
  </si>
  <si>
    <t>fg-controller-Steps.StepKind</t>
  </si>
  <si>
    <t>fg-controller-Steps.Instruction</t>
  </si>
  <si>
    <t>fg-controller-Steps.AssignedRole</t>
  </si>
  <si>
    <t>fg-controller-Steps.AssignedRoleLabel</t>
  </si>
  <si>
    <t>fg-controller-Steps.ProcedureVersion</t>
  </si>
  <si>
    <t>fg-controller-Steps.Name</t>
  </si>
  <si>
    <t>fg-controller-Steps.IsApprovalStep</t>
  </si>
  <si>
    <t>fg-controller-Steps.RequiresHumanConfirmation</t>
  </si>
  <si>
    <t>fg-controller-Steps.ExpectedDurationMinutes</t>
  </si>
  <si>
    <t>fg-controller-Steps.ControlKind</t>
  </si>
  <si>
    <t>fg-controller-StepExecutions.StepExecutionId</t>
  </si>
  <si>
    <t>fg-controller-StepExecutions.Step</t>
  </si>
  <si>
    <t>fg-controller-StepExecutions.ExecutionStatus</t>
  </si>
  <si>
    <t>fg-controller-StepExecutions.StartedAt</t>
  </si>
  <si>
    <t>fg-controller-StepExecutions.EndedAt</t>
  </si>
  <si>
    <t>fg-controller-StepExecutions.VerificationResult</t>
  </si>
  <si>
    <t>fg-controller-StepExecutions.Name</t>
  </si>
  <si>
    <t>fg-controller-StepExecutions.Deviation</t>
  </si>
  <si>
    <t>fg-controller-ProcedureExecutions.ProcedureExecutionId</t>
  </si>
  <si>
    <t>fg-controller-ProcedureExecutions.ExecutionStatus</t>
  </si>
  <si>
    <t>fg-controller-ProcedureExecutions.StartedAt</t>
  </si>
  <si>
    <t>fg-controller-ProcedureExecutions.EndedAt</t>
  </si>
  <si>
    <t>fg-controller-ProcedureExecutions.ProcedureVersion</t>
  </si>
  <si>
    <t>fg-controller-ProcedureExecutions.Name</t>
  </si>
  <si>
    <t>fg-controller-Exceptions.ExceptionId</t>
  </si>
  <si>
    <t>fg-controller-Exceptions.Name</t>
  </si>
  <si>
    <t>fg-controller-Exceptions.ProcedureVersion</t>
  </si>
  <si>
    <t>fg-controller-Exceptions.TriggerStep</t>
  </si>
  <si>
    <t>fg-controller-Exceptions.Condition</t>
  </si>
  <si>
    <t>fg-controller-Exceptions.Handling</t>
  </si>
  <si>
    <t>fg-controller-Exceptions.ApprovalRole</t>
  </si>
  <si>
    <t>fg-controller-Exceptions.FallbackRole</t>
  </si>
  <si>
    <t>fg-controller-Exceptions.Status</t>
  </si>
  <si>
    <t>fg-controller-Exceptions.ActiveExceptionStepKey</t>
  </si>
  <si>
    <t>fg-controller-Exceptions.SemanticTypeIri</t>
  </si>
  <si>
    <t>fg-controller-ChangeRequests.ChangeRequestId</t>
  </si>
  <si>
    <t>fg-controller-ChangeRequests.Title</t>
  </si>
  <si>
    <t>fg-controller-ChangeRequests.ChangeKind</t>
  </si>
  <si>
    <t>fg-controller-ChangeRequests.Status</t>
  </si>
  <si>
    <t>fg-controller-ChangeRequests.RequestedAt</t>
  </si>
  <si>
    <t>fg-controller-ChangeRequests.DecidedAt</t>
  </si>
  <si>
    <t>fg-controller-ChangeRequests.ImpactAssessment</t>
  </si>
  <si>
    <t>fg-controller-ChangeRequests.AuthorityRole</t>
  </si>
  <si>
    <t>fg-controller-ChangeRequests.IsOpen</t>
  </si>
  <si>
    <t>fg-controller-ChangeRequests.Name</t>
  </si>
  <si>
    <t>fg-controller-KnowledgeFragments.KnowledgeFragmentId</t>
  </si>
  <si>
    <t>fg-controller-KnowledgeFragments.Statement</t>
  </si>
  <si>
    <t>fg-controller-KnowledgeFragments.KnowledgeForm</t>
  </si>
  <si>
    <t>fg-controller-KnowledgeFragments.Status</t>
  </si>
  <si>
    <t>fg-controller-KnowledgeFragments.Confidence</t>
  </si>
  <si>
    <t>fg-controller-KnowledgeFragments.OwnerRole</t>
  </si>
  <si>
    <t>fg-controller-KnowledgeFragments.LastReviewedAt</t>
  </si>
  <si>
    <t>fg-controller-KnowledgeFragments.Name</t>
  </si>
  <si>
    <t>fg-controller-Requirements.RequirementId</t>
  </si>
  <si>
    <t>fg-controller-Requirements.Label</t>
  </si>
  <si>
    <t>fg-controller-Requirements.Statement</t>
  </si>
  <si>
    <t>fg-controller-Requirements.IsBlocking</t>
  </si>
  <si>
    <t>fg-controller-Requirements.AccountableRole</t>
  </si>
  <si>
    <t>fg-controller-Requirements.Name</t>
  </si>
  <si>
    <t>fg-controller-ProcedureVersions.ProcedureVersionId</t>
  </si>
  <si>
    <t>fg-controller-ProcedureVersions.VersionNumber</t>
  </si>
  <si>
    <t>fg-controller-ProcedureVersions.Title</t>
  </si>
  <si>
    <t>fg-controller-ProcedureVersions.Status</t>
  </si>
  <si>
    <t>fg-controller-ProcedureVersions.IsCurrent</t>
  </si>
  <si>
    <t>fg-controller-ProcedureVersions.Procedure</t>
  </si>
  <si>
    <t>fg-controller-ProcedureVersions.Name</t>
  </si>
  <si>
    <t>fg-cfo-ProcedureExecutions.ProcedureExecutionId</t>
  </si>
  <si>
    <t>fg-cfo-ProcedureExecutions.ExecutionStatus</t>
  </si>
  <si>
    <t>fg-cfo-ProcedureExecutions.StartedAt</t>
  </si>
  <si>
    <t>fg-cfo-ProcedureExecutions.EndedAt</t>
  </si>
  <si>
    <t>fg-cfo-ProcedureExecutions.ProcedureVersion</t>
  </si>
  <si>
    <t>fg-cfo-ProcedureExecutions.Name</t>
  </si>
  <si>
    <t>fg-cfo-Exceptions.ExceptionId</t>
  </si>
  <si>
    <t>fg-cfo-Exceptions.Name</t>
  </si>
  <si>
    <t>fg-cfo-Exceptions.ProcedureVersion</t>
  </si>
  <si>
    <t>fg-cfo-Exceptions.TriggerStep</t>
  </si>
  <si>
    <t>fg-cfo-Exceptions.Condition</t>
  </si>
  <si>
    <t>fg-cfo-Exceptions.Handling</t>
  </si>
  <si>
    <t>fg-cfo-Exceptions.ApprovalRole</t>
  </si>
  <si>
    <t>fg-cfo-Exceptions.FallbackRole</t>
  </si>
  <si>
    <t>fg-cfo-Exceptions.Status</t>
  </si>
  <si>
    <t>fg-cfo-Exceptions.ActiveExceptionStepKey</t>
  </si>
  <si>
    <t>fg-cfo-Exceptions.SemanticTypeIri</t>
  </si>
  <si>
    <t>fg-cfo-ChangeRequests.ChangeRequestId</t>
  </si>
  <si>
    <t>fg-cfo-ChangeRequests.Title</t>
  </si>
  <si>
    <t>fg-cfo-ChangeRequests.ChangeKind</t>
  </si>
  <si>
    <t>fg-cfo-ChangeRequests.Status</t>
  </si>
  <si>
    <t>fg-cfo-ChangeRequests.RequestedAt</t>
  </si>
  <si>
    <t>fg-cfo-ChangeRequests.DecidedAt</t>
  </si>
  <si>
    <t>fg-cfo-ChangeRequests.ImpactAssessment</t>
  </si>
  <si>
    <t>fg-cfo-ChangeRequests.IsOpen</t>
  </si>
  <si>
    <t>fg-cfo-ChangeRequests.Name</t>
  </si>
  <si>
    <t>fg-cfo-AuthorityBoundaries.AuthorityBoundaryId</t>
  </si>
  <si>
    <t>fg-cfo-AuthorityBoundaries.ForbiddenAgentKind</t>
  </si>
  <si>
    <t>fg-cfo-AuthorityBoundaries.ForbiddenDecisionKind</t>
  </si>
  <si>
    <t>fg-cfo-AuthorityBoundaries.Status</t>
  </si>
  <si>
    <t>fg-cfo-AuthorityBoundaries.AuthorityRole</t>
  </si>
  <si>
    <t>fg-cfo-AuthorityBoundaries.Step</t>
  </si>
  <si>
    <t>fg-cfo-AuthorityBoundaries.Name</t>
  </si>
  <si>
    <t>fg-cfo-Procedures.ProcedureId</t>
  </si>
  <si>
    <t>fg-cfo-Procedures.Title</t>
  </si>
  <si>
    <t>fg-cfo-Procedures.Purpose</t>
  </si>
  <si>
    <t>fg-cfo-Procedures.Name</t>
  </si>
  <si>
    <t>fg-hr-policy-owner-Steps.StepId</t>
  </si>
  <si>
    <t>fg-hr-policy-owner-Steps.StepNumber</t>
  </si>
  <si>
    <t>fg-hr-policy-owner-Steps.Title</t>
  </si>
  <si>
    <t>fg-hr-policy-owner-Steps.StepKind</t>
  </si>
  <si>
    <t>fg-hr-policy-owner-Steps.Instruction</t>
  </si>
  <si>
    <t>fg-hr-policy-owner-Steps.AssignedRole</t>
  </si>
  <si>
    <t>fg-hr-policy-owner-Steps.AssignedRoleLabel</t>
  </si>
  <si>
    <t>fg-hr-policy-owner-Steps.ProcedureVersion</t>
  </si>
  <si>
    <t>fg-hr-policy-owner-Steps.Name</t>
  </si>
  <si>
    <t>fg-hr-policy-owner-Steps.IsApprovalStep</t>
  </si>
  <si>
    <t>fg-hr-policy-owner-Steps.RequiresHumanConfirmation</t>
  </si>
  <si>
    <t>fg-hr-policy-owner-Steps.ExpectedDurationMinutes</t>
  </si>
  <si>
    <t>fg-hr-policy-owner-KnowledgeFragments.KnowledgeFragmentId</t>
  </si>
  <si>
    <t>fg-hr-policy-owner-KnowledgeFragments.Statement</t>
  </si>
  <si>
    <t>fg-hr-policy-owner-KnowledgeFragments.KnowledgeForm</t>
  </si>
  <si>
    <t>fg-hr-policy-owner-KnowledgeFragments.Status</t>
  </si>
  <si>
    <t>fg-hr-policy-owner-KnowledgeFragments.Confidence</t>
  </si>
  <si>
    <t>fg-hr-policy-owner-KnowledgeFragments.OwnerRole</t>
  </si>
  <si>
    <t>fg-hr-policy-owner-KnowledgeFragments.ValidFrom</t>
  </si>
  <si>
    <t>fg-hr-policy-owner-KnowledgeFragments.ValidTo</t>
  </si>
  <si>
    <t>fg-hr-policy-owner-KnowledgeFragments.LastReviewedAt</t>
  </si>
  <si>
    <t>fg-hr-policy-owner-KnowledgeFragments.Name</t>
  </si>
  <si>
    <t>fg-hr-policy-owner-KnowledgeGaps.KnowledgeGapId</t>
  </si>
  <si>
    <t>fg-hr-policy-owner-KnowledgeGaps.Statement</t>
  </si>
  <si>
    <t>fg-hr-policy-owner-KnowledgeGaps.Severity</t>
  </si>
  <si>
    <t>fg-hr-policy-owner-KnowledgeGaps.Status</t>
  </si>
  <si>
    <t>fg-hr-policy-owner-KnowledgeGaps.OwnerRole</t>
  </si>
  <si>
    <t>fg-hr-policy-owner-KnowledgeGaps.ResolutionPlan</t>
  </si>
  <si>
    <t>fg-hr-policy-owner-KnowledgeGaps.IsOpen</t>
  </si>
  <si>
    <t>fg-hr-policy-owner-KnowledgeGaps.Name</t>
  </si>
  <si>
    <t>fg-hr-policy-owner-ChangeRequests.ChangeRequestId</t>
  </si>
  <si>
    <t>fg-hr-policy-owner-ChangeRequests.Title</t>
  </si>
  <si>
    <t>fg-hr-policy-owner-ChangeRequests.ChangeKind</t>
  </si>
  <si>
    <t>fg-hr-policy-owner-ChangeRequests.Status</t>
  </si>
  <si>
    <t>fg-hr-policy-owner-ChangeRequests.RequestedAt</t>
  </si>
  <si>
    <t>fg-hr-policy-owner-ChangeRequests.DecidedAt</t>
  </si>
  <si>
    <t>fg-hr-policy-owner-ChangeRequests.ImpactAssessment</t>
  </si>
  <si>
    <t>fg-hr-policy-owner-ChangeRequests.AuthorityRole</t>
  </si>
  <si>
    <t>fg-hr-policy-owner-ChangeRequests.IsOpen</t>
  </si>
  <si>
    <t>fg-hr-policy-owner-ChangeRequests.Name</t>
  </si>
  <si>
    <t>fg-hr-policy-owner-Exceptions.ExceptionId</t>
  </si>
  <si>
    <t>fg-hr-policy-owner-Exceptions.Name</t>
  </si>
  <si>
    <t>fg-hr-policy-owner-Exceptions.ProcedureVersion</t>
  </si>
  <si>
    <t>fg-hr-policy-owner-Exceptions.TriggerStep</t>
  </si>
  <si>
    <t>fg-hr-policy-owner-Exceptions.Condition</t>
  </si>
  <si>
    <t>fg-hr-policy-owner-Exceptions.Handling</t>
  </si>
  <si>
    <t>fg-hr-policy-owner-Exceptions.ApprovalRole</t>
  </si>
  <si>
    <t>fg-hr-policy-owner-Exceptions.FallbackRole</t>
  </si>
  <si>
    <t>fg-hr-policy-owner-Exceptions.Status</t>
  </si>
  <si>
    <t>fg-hr-policy-owner-Exceptions.ActiveExceptionStepKey</t>
  </si>
  <si>
    <t>fg-hr-policy-owner-Exceptions.SemanticTypeIri</t>
  </si>
  <si>
    <t>fg-hr-policy-owner-MessageTemplates.MessageTemplateId</t>
  </si>
  <si>
    <t>fg-hr-policy-owner-MessageTemplates.SubjectTemplate</t>
  </si>
  <si>
    <t>fg-hr-policy-owner-MessageTemplates.BodyTemplate</t>
  </si>
  <si>
    <t>fg-hr-policy-owner-MessageTemplates.Status</t>
  </si>
  <si>
    <t>fg-hr-policy-owner-MessageTemplates.Name</t>
  </si>
  <si>
    <t>fg-employment-counsel-ChangeRequests.ChangeRequestId</t>
  </si>
  <si>
    <t>fg-employment-counsel-ChangeRequests.Title</t>
  </si>
  <si>
    <t>fg-employment-counsel-ChangeRequests.ChangeKind</t>
  </si>
  <si>
    <t>fg-employment-counsel-ChangeRequests.Status</t>
  </si>
  <si>
    <t>fg-employment-counsel-ChangeRequests.RequestedAt</t>
  </si>
  <si>
    <t>fg-employment-counsel-ChangeRequests.DecidedAt</t>
  </si>
  <si>
    <t>fg-employment-counsel-ChangeRequests.ImpactAssessment</t>
  </si>
  <si>
    <t>fg-employment-counsel-ChangeRequests.IsOpen</t>
  </si>
  <si>
    <t>fg-employment-counsel-ChangeRequests.Name</t>
  </si>
  <si>
    <t>fg-employment-counsel-KnowledgeFragments.KnowledgeFragmentId</t>
  </si>
  <si>
    <t>fg-employment-counsel-KnowledgeFragments.Statement</t>
  </si>
  <si>
    <t>fg-employment-counsel-KnowledgeFragments.KnowledgeForm</t>
  </si>
  <si>
    <t>fg-employment-counsel-KnowledgeFragments.Status</t>
  </si>
  <si>
    <t>fg-employment-counsel-KnowledgeFragments.OwnerRole</t>
  </si>
  <si>
    <t>fg-employment-counsel-KnowledgeFragments.ValidFrom</t>
  </si>
  <si>
    <t>fg-employment-counsel-KnowledgeFragments.ValidTo</t>
  </si>
  <si>
    <t>fg-employment-counsel-KnowledgeFragments.Name</t>
  </si>
  <si>
    <t>fg-employment-counsel-AuthorityBoundaries.AuthorityBoundaryId</t>
  </si>
  <si>
    <t>fg-employment-counsel-AuthorityBoundaries.ForbiddenAgentKind</t>
  </si>
  <si>
    <t>fg-employment-counsel-AuthorityBoundaries.ForbiddenDecisionKind</t>
  </si>
  <si>
    <t>fg-employment-counsel-AuthorityBoundaries.Status</t>
  </si>
  <si>
    <t>fg-employment-counsel-AuthorityBoundaries.AuthorityRole</t>
  </si>
  <si>
    <t>fg-employment-counsel-AuthorityBoundaries.Name</t>
  </si>
  <si>
    <t>fg-employment-counsel-CommunicationPolicies.CommunicationPolicyId</t>
  </si>
  <si>
    <t>fg-employment-counsel-CommunicationPolicies.Channel</t>
  </si>
  <si>
    <t>fg-employment-counsel-CommunicationPolicies.ConsentRequired</t>
  </si>
  <si>
    <t>fg-employment-counsel-CommunicationPolicies.RequiredContent</t>
  </si>
  <si>
    <t>fg-employment-counsel-CommunicationPolicies.AuthorityStatement</t>
  </si>
  <si>
    <t>fg-employment-counsel-CommunicationPolicies.RetentionDays</t>
  </si>
  <si>
    <t>fg-employment-counsel-CommunicationPolicies.Status</t>
  </si>
  <si>
    <t>fg-employment-counsel-CommunicationPolicies.Name</t>
  </si>
  <si>
    <t>fg-employment-counsel-Steps.StepId</t>
  </si>
  <si>
    <t>fg-employment-counsel-Steps.StepNumber</t>
  </si>
  <si>
    <t>fg-employment-counsel-Steps.Title</t>
  </si>
  <si>
    <t>fg-employment-counsel-Steps.StepKind</t>
  </si>
  <si>
    <t>fg-employment-counsel-Steps.Instruction</t>
  </si>
  <si>
    <t>fg-employment-counsel-Steps.AssignedRole</t>
  </si>
  <si>
    <t>fg-employment-counsel-Steps.AssignedRoleLabel</t>
  </si>
  <si>
    <t>fg-employment-counsel-Steps.ProcedureVersion</t>
  </si>
  <si>
    <t>fg-employment-counsel-Steps.Name</t>
  </si>
  <si>
    <t>fg-communications-manager-CommunicationPolicies.CommunicationPolicyId</t>
  </si>
  <si>
    <t>fg-communications-manager-CommunicationPolicies.Name</t>
  </si>
  <si>
    <t>fg-communications-manager-CommunicationPolicies.ProcedureVersion</t>
  </si>
  <si>
    <t>fg-communications-manager-CommunicationPolicies.Channel</t>
  </si>
  <si>
    <t>fg-communications-manager-CommunicationPolicies.AudienceRule</t>
  </si>
  <si>
    <t>fg-communications-manager-CommunicationPolicies.ConsentRequired</t>
  </si>
  <si>
    <t>fg-communications-manager-CommunicationPolicies.QuietHoursStart</t>
  </si>
  <si>
    <t>fg-communications-manager-CommunicationPolicies.QuietHoursEnd</t>
  </si>
  <si>
    <t>fg-communications-manager-CommunicationPolicies.MaxMessageLength</t>
  </si>
  <si>
    <t>fg-communications-manager-CommunicationPolicies.MaxSegments</t>
  </si>
  <si>
    <t>fg-communications-manager-CommunicationPolicies.RetentionDays</t>
  </si>
  <si>
    <t>fg-communications-manager-CommunicationPolicies.ApprovalRole</t>
  </si>
  <si>
    <t>fg-communications-manager-CommunicationPolicies.RequiredContent</t>
  </si>
  <si>
    <t>fg-communications-manager-CommunicationPolicies.AuthorityStatement</t>
  </si>
  <si>
    <t>fg-communications-manager-CommunicationPolicies.Status</t>
  </si>
  <si>
    <t>fg-communications-manager-CommunicationPolicies.ConsentViolationCount</t>
  </si>
  <si>
    <t>fg-communications-manager-CommunicationPolicies.QuietHoursStartHour</t>
  </si>
  <si>
    <t>fg-communications-manager-CommunicationPolicies.QuietHoursEndHour</t>
  </si>
  <si>
    <t>fg-communications-manager-CommunicationPolicies.QuietHoursViolationCount</t>
  </si>
  <si>
    <t>fg-communications-manager-CommunicationPolicies.RequiredOptOutPhrase</t>
  </si>
  <si>
    <t>fg-communications-manager-CommunicationPolicies.IsActivePolicy</t>
  </si>
  <si>
    <t>fg-communications-manager-CommunicationPolicies.SemanticTypeIri</t>
  </si>
  <si>
    <t>fg-communications-manager-MessageTemplates.MessageTemplateId</t>
  </si>
  <si>
    <t>fg-communications-manager-MessageTemplates.SubjectTemplate</t>
  </si>
  <si>
    <t>fg-communications-manager-MessageTemplates.BodyTemplate</t>
  </si>
  <si>
    <t>fg-communications-manager-MessageTemplates.Locale</t>
  </si>
  <si>
    <t>fg-communications-manager-MessageTemplates.Status</t>
  </si>
  <si>
    <t>fg-communications-manager-MessageTemplates.LastValidApproval</t>
  </si>
  <si>
    <t>fg-communications-manager-MessageTemplates.Name</t>
  </si>
  <si>
    <t>fg-communications-manager-SendIntents.SendIntentId</t>
  </si>
  <si>
    <t>fg-communications-manager-SendIntents.ProposedBody</t>
  </si>
  <si>
    <t>fg-communications-manager-SendIntents.ProposedSendAtLocalHour</t>
  </si>
  <si>
    <t>fg-communications-manager-SendIntents.EvaluatedAt</t>
  </si>
  <si>
    <t>fg-communications-manager-SendIntents.MessageTemplate</t>
  </si>
  <si>
    <t>fg-communications-manager-SendIntents.Recipient</t>
  </si>
  <si>
    <t>fg-communications-manager-SendIntents.Name</t>
  </si>
  <si>
    <t>fg-communications-manager-MessageDeliveries.MessageDeliveryId</t>
  </si>
  <si>
    <t>fg-communications-manager-MessageDeliveries.RenderedBody</t>
  </si>
  <si>
    <t>fg-communications-manager-MessageDeliveries.SentAt</t>
  </si>
  <si>
    <t>fg-communications-manager-MessageDeliveries.DeliveryStatus</t>
  </si>
  <si>
    <t>fg-communications-manager-MessageDeliveries.SuppressionReason</t>
  </si>
  <si>
    <t>fg-communications-manager-MessageDeliveries.AcknowledgedAt</t>
  </si>
  <si>
    <t>fg-communications-manager-MessageDeliveries.Recipient</t>
  </si>
  <si>
    <t>fg-communications-manager-MessageDeliveries.Name</t>
  </si>
  <si>
    <t>fg-communications-manager-Recipients.RecipientId</t>
  </si>
  <si>
    <t>fg-communications-manager-Recipients.DisplayName</t>
  </si>
  <si>
    <t>fg-communications-manager-Recipients.EmailAddress</t>
  </si>
  <si>
    <t>fg-communications-manager-Recipients.SmsConsentStatus</t>
  </si>
  <si>
    <t>fg-communications-manager-Recipients.SmsConsentAt</t>
  </si>
  <si>
    <t>fg-communications-manager-Recipients.Name</t>
  </si>
  <si>
    <t>fg-communications-manager-KnowledgeGaps.KnowledgeGapId</t>
  </si>
  <si>
    <t>fg-communications-manager-KnowledgeGaps.Statement</t>
  </si>
  <si>
    <t>fg-communications-manager-KnowledgeGaps.Severity</t>
  </si>
  <si>
    <t>fg-communications-manager-KnowledgeGaps.Status</t>
  </si>
  <si>
    <t>fg-communications-manager-KnowledgeGaps.OwnerRole</t>
  </si>
  <si>
    <t>fg-communications-manager-KnowledgeGaps.IsOpen</t>
  </si>
  <si>
    <t>fg-communications-manager-KnowledgeGaps.Name</t>
  </si>
  <si>
    <t>fg-close-automation-Steps.StepId</t>
  </si>
  <si>
    <t>fg-close-automation-Steps.StepNumber</t>
  </si>
  <si>
    <t>fg-close-automation-Steps.Title</t>
  </si>
  <si>
    <t>fg-close-automation-Steps.StepKind</t>
  </si>
  <si>
    <t>fg-close-automation-Steps.Instruction</t>
  </si>
  <si>
    <t>fg-close-automation-Steps.AssignedRole</t>
  </si>
  <si>
    <t>fg-close-automation-Steps.AssignedRoleLabel</t>
  </si>
  <si>
    <t>fg-close-automation-Steps.ProcedureVersion</t>
  </si>
  <si>
    <t>fg-close-automation-Steps.Name</t>
  </si>
  <si>
    <t>fg-close-automation-Steps.ExpectedDurationMinutes</t>
  </si>
  <si>
    <t>fg-close-automation-StepExecutions.StepExecutionId</t>
  </si>
  <si>
    <t>fg-close-automation-StepExecutions.Step</t>
  </si>
  <si>
    <t>fg-close-automation-StepExecutions.ExecutionStatus</t>
  </si>
  <si>
    <t>fg-close-automation-StepExecutions.StartedAt</t>
  </si>
  <si>
    <t>fg-close-automation-StepExecutions.EndedAt</t>
  </si>
  <si>
    <t>fg-close-automation-StepExecutions.VerificationResult</t>
  </si>
  <si>
    <t>fg-close-automation-StepExecutions.Name</t>
  </si>
  <si>
    <t>fg-close-automation-Errors.ErrorId</t>
  </si>
  <si>
    <t>fg-close-automation-Errors.Name</t>
  </si>
  <si>
    <t>fg-close-automation-Errors.Label</t>
  </si>
  <si>
    <t>fg-close-automation-Errors.ErrorCode</t>
  </si>
  <si>
    <t>fg-close-automation-Errors.ErrorCause</t>
  </si>
  <si>
    <t>fg-close-automation-Errors.SemanticTypeIri</t>
  </si>
  <si>
    <t>fg-variance-review-agent-Steps.StepId</t>
  </si>
  <si>
    <t>fg-variance-review-agent-Steps.StepNumber</t>
  </si>
  <si>
    <t>fg-variance-review-agent-Steps.Title</t>
  </si>
  <si>
    <t>fg-variance-review-agent-Steps.StepKind</t>
  </si>
  <si>
    <t>fg-variance-review-agent-Steps.Instruction</t>
  </si>
  <si>
    <t>fg-variance-review-agent-Steps.AssignedRole</t>
  </si>
  <si>
    <t>fg-variance-review-agent-Steps.AssignedRoleLabel</t>
  </si>
  <si>
    <t>fg-variance-review-agent-Steps.ProcedureVersion</t>
  </si>
  <si>
    <t>fg-variance-review-agent-Steps.Name</t>
  </si>
  <si>
    <t>fg-variance-review-agent-StepExecutions.StepExecutionId</t>
  </si>
  <si>
    <t>fg-variance-review-agent-StepExecutions.Step</t>
  </si>
  <si>
    <t>fg-variance-review-agent-StepExecutions.ExecutionStatus</t>
  </si>
  <si>
    <t>fg-variance-review-agent-StepExecutions.StartedAt</t>
  </si>
  <si>
    <t>fg-variance-review-agent-StepExecutions.EndedAt</t>
  </si>
  <si>
    <t>fg-variance-review-agent-StepExecutions.VerificationResult</t>
  </si>
  <si>
    <t>fg-variance-review-agent-StepExecutions.Name</t>
  </si>
  <si>
    <t>fg-variance-review-agent-StepExecutions.Deviation</t>
  </si>
  <si>
    <t>fg-variance-review-agent-StepExecutions.IsLate</t>
  </si>
  <si>
    <t>fg-variance-review-agent-Requirements.RequirementId</t>
  </si>
  <si>
    <t>fg-variance-review-agent-Requirements.Label</t>
  </si>
  <si>
    <t>fg-variance-review-agent-Requirements.RequirementType</t>
  </si>
  <si>
    <t>fg-variance-review-agent-Requirements.Statement</t>
  </si>
  <si>
    <t>fg-variance-review-agent-Requirements.IsBlocking</t>
  </si>
  <si>
    <t>fg-variance-review-agent-Requirements.Name</t>
  </si>
  <si>
    <t>fg-variance-review-agent-RequirementSatisfactions.RequirementSatisfactionId</t>
  </si>
  <si>
    <t>fg-variance-review-agent-RequirementSatisfactions.Requirement</t>
  </si>
  <si>
    <t>fg-variance-review-agent-RequirementSatisfactions.SatisfactionLevel</t>
  </si>
  <si>
    <t>fg-variance-review-agent-RequirementSatisfactions.Evidence</t>
  </si>
  <si>
    <t>fg-variance-review-agent-RequirementSatisfactions.Name</t>
  </si>
  <si>
    <t>fg-variance-review-agent-Errors.ErrorId</t>
  </si>
  <si>
    <t>fg-variance-review-agent-Errors.Name</t>
  </si>
  <si>
    <t>fg-variance-review-agent-Errors.Label</t>
  </si>
  <si>
    <t>fg-variance-review-agent-Errors.ErrorCode</t>
  </si>
  <si>
    <t>fg-variance-review-agent-Errors.ErrorCause</t>
  </si>
  <si>
    <t>fg-variance-review-agent-Errors.SemanticTypeIri</t>
  </si>
  <si>
    <t>fg-policy-drafting-agent-MessageTemplates.MessageTemplateId</t>
  </si>
  <si>
    <t>fg-policy-drafting-agent-MessageTemplates.SubjectTemplate</t>
  </si>
  <si>
    <t>fg-policy-drafting-agent-MessageTemplates.BodyTemplate</t>
  </si>
  <si>
    <t>fg-policy-drafting-agent-MessageTemplates.Locale</t>
  </si>
  <si>
    <t>fg-policy-drafting-agent-MessageTemplates.Status</t>
  </si>
  <si>
    <t>fg-policy-drafting-agent-MessageTemplates.Name</t>
  </si>
  <si>
    <t>fg-policy-drafting-agent-CommunicationPolicies.CommunicationPolicyId</t>
  </si>
  <si>
    <t>fg-policy-drafting-agent-CommunicationPolicies.Channel</t>
  </si>
  <si>
    <t>fg-policy-drafting-agent-CommunicationPolicies.AudienceRule</t>
  </si>
  <si>
    <t>fg-policy-drafting-agent-CommunicationPolicies.MaxMessageLength</t>
  </si>
  <si>
    <t>fg-policy-drafting-agent-CommunicationPolicies.MaxSegments</t>
  </si>
  <si>
    <t>fg-policy-drafting-agent-CommunicationPolicies.RequiredContent</t>
  </si>
  <si>
    <t>fg-policy-drafting-agent-CommunicationPolicies.AuthorityStatement</t>
  </si>
  <si>
    <t>fg-policy-drafting-agent-CommunicationPolicies.Status</t>
  </si>
  <si>
    <t>fg-policy-drafting-agent-CommunicationPolicies.Name</t>
  </si>
  <si>
    <t>fg-policy-drafting-agent-KnowledgeFragments.KnowledgeFragmentId</t>
  </si>
  <si>
    <t>fg-policy-drafting-agent-KnowledgeFragments.Statement</t>
  </si>
  <si>
    <t>fg-policy-drafting-agent-KnowledgeFragments.KnowledgeForm</t>
  </si>
  <si>
    <t>fg-policy-drafting-agent-KnowledgeFragments.Status</t>
  </si>
  <si>
    <t>fg-policy-drafting-agent-KnowledgeFragments.Name</t>
  </si>
  <si>
    <t>fg-policy-drafting-agent-Steps.StepId</t>
  </si>
  <si>
    <t>fg-policy-drafting-agent-Steps.StepNumber</t>
  </si>
  <si>
    <t>fg-policy-drafting-agent-Steps.Title</t>
  </si>
  <si>
    <t>fg-policy-drafting-agent-Steps.StepKind</t>
  </si>
  <si>
    <t>fg-policy-drafting-agent-Steps.Instruction</t>
  </si>
  <si>
    <t>fg-policy-drafting-agent-Steps.AssignedRole</t>
  </si>
  <si>
    <t>fg-policy-drafting-agent-Steps.AssignedRoleLabel</t>
  </si>
  <si>
    <t>fg-policy-drafting-agent-Steps.ProcedureVersion</t>
  </si>
  <si>
    <t>fg-policy-drafting-agent-Steps.Name</t>
  </si>
  <si>
    <t>fg-notification-publisher-CommunicationPolicies.CommunicationPolicyId</t>
  </si>
  <si>
    <t>fg-notification-publisher-CommunicationPolicies.Channel</t>
  </si>
  <si>
    <t>fg-notification-publisher-CommunicationPolicies.QuietHoursStartHour</t>
  </si>
  <si>
    <t>fg-notification-publisher-CommunicationPolicies.QuietHoursEndHour</t>
  </si>
  <si>
    <t>fg-notification-publisher-CommunicationPolicies.MaxMessageLength</t>
  </si>
  <si>
    <t>fg-notification-publisher-CommunicationPolicies.MaxSegments</t>
  </si>
  <si>
    <t>fg-notification-publisher-CommunicationPolicies.ConsentRequired</t>
  </si>
  <si>
    <t>fg-notification-publisher-CommunicationPolicies.Status</t>
  </si>
  <si>
    <t>fg-notification-publisher-CommunicationPolicies.Name</t>
  </si>
  <si>
    <t>fg-notification-publisher-SendIntents.SendIntentId</t>
  </si>
  <si>
    <t>fg-notification-publisher-SendIntents.ProposedBody</t>
  </si>
  <si>
    <t>fg-notification-publisher-SendIntents.ProposedSendAtLocalHour</t>
  </si>
  <si>
    <t>fg-notification-publisher-SendIntents.Recipient</t>
  </si>
  <si>
    <t>fg-notification-publisher-SendIntents.MessageTemplate</t>
  </si>
  <si>
    <t>fg-notification-publisher-SendIntents.Name</t>
  </si>
  <si>
    <t>fg-notification-publisher-MessageDeliveries.MessageDeliveryId</t>
  </si>
  <si>
    <t>fg-notification-publisher-MessageDeliveries.RenderedBody</t>
  </si>
  <si>
    <t>fg-notification-publisher-MessageDeliveries.SentAt</t>
  </si>
  <si>
    <t>fg-notification-publisher-MessageDeliveries.DeliveryStatus</t>
  </si>
  <si>
    <t>fg-notification-publisher-MessageDeliveries.SuppressionReason</t>
  </si>
  <si>
    <t>fg-notification-publisher-MessageDeliveries.Recipient</t>
  </si>
  <si>
    <t>fg-notification-publisher-MessageDeliveries.Name</t>
  </si>
  <si>
    <t>fg-notification-publisher-Recipients.RecipientId</t>
  </si>
  <si>
    <t>fg-notification-publisher-Recipients.EmailAddress</t>
  </si>
  <si>
    <t>fg-notification-publisher-Recipients.MobileNumber</t>
  </si>
  <si>
    <t>fg-notification-publisher-Recipients.SmsConsentStatus</t>
  </si>
  <si>
    <t>fg-notification-publisher-Recipients.Name</t>
  </si>
  <si>
    <t>fg-notification-publisher-Steps.StepId</t>
  </si>
  <si>
    <t>fg-notification-publisher-Steps.StepNumber</t>
  </si>
  <si>
    <t>fg-notification-publisher-Steps.Title</t>
  </si>
  <si>
    <t>fg-notification-publisher-Steps.StepKind</t>
  </si>
  <si>
    <t>fg-notification-publisher-Steps.Instruction</t>
  </si>
  <si>
    <t>fg-notification-publisher-Steps.AssignedRole</t>
  </si>
  <si>
    <t>fg-notification-publisher-Steps.AssignedRoleLabel</t>
  </si>
  <si>
    <t>fg-notification-publisher-Steps.ProcedureVersion</t>
  </si>
  <si>
    <t>fg-notification-publisher-Steps.Name</t>
  </si>
  <si>
    <t>fg-process-steward-Actions.ActionId</t>
  </si>
  <si>
    <t>fg-process-steward-Actions.Name</t>
  </si>
  <si>
    <t>fg-process-steward-Actions.Label</t>
  </si>
  <si>
    <t>fg-process-steward-Actions.Definition</t>
  </si>
  <si>
    <t>fg-process-steward-Actions.SemanticTypeIri</t>
  </si>
  <si>
    <t>fg-process-steward-AgentDecisionRecords.AgentDecisionRecordId</t>
  </si>
  <si>
    <t>fg-process-steward-AgentDecisionRecords.Name</t>
  </si>
  <si>
    <t>fg-process-steward-AgentDecisionRecords.StepExecution</t>
  </si>
  <si>
    <t>fg-process-steward-AgentDecisionRecords.DecidingAgent</t>
  </si>
  <si>
    <t>fg-process-steward-AgentDecisionRecords.DecisionKind</t>
  </si>
  <si>
    <t>fg-process-steward-AgentDecisionRecords.DecisionSummary</t>
  </si>
  <si>
    <t>fg-process-steward-AgentDecisionRecords.DecidedAt</t>
  </si>
  <si>
    <t>fg-process-steward-AgentDecisionRecords.MaterialityBand</t>
  </si>
  <si>
    <t>fg-process-steward-AgentDecisionRecords.HumanDisposition</t>
  </si>
  <si>
    <t>fg-process-steward-AgentDecisionRecords.ReviewedByAgent</t>
  </si>
  <si>
    <t>fg-process-steward-AgentDecisionRecords.ReviewedAt</t>
  </si>
  <si>
    <t>fg-process-steward-AgentDecisionRecords.WasOverridden</t>
  </si>
  <si>
    <t>fg-process-steward-AgentDecisionRecords.WasReviewed</t>
  </si>
  <si>
    <t>fg-process-steward-AgentDecisionRecords.DecidingAgentKind</t>
  </si>
  <si>
    <t>fg-process-steward-AgentDecisionRecords.DecidingAgentWhenOverridden</t>
  </si>
  <si>
    <t>fg-process-steward-AgentDecisionRecords.UnderRoleAssignment</t>
  </si>
  <si>
    <t>fg-process-steward-AgentDecisionRecords.RoleAssignmentWhenScored</t>
  </si>
  <si>
    <t>fg-process-steward-AgentDecisionRecords.RoleAssignmentWhenOverridden</t>
  </si>
  <si>
    <t>fg-process-steward-AgentDecisionRecords.StepOfDecision</t>
  </si>
  <si>
    <t>fg-process-steward-AgentDecisionRecords.BoundaryMatchKey</t>
  </si>
  <si>
    <t>fg-process-steward-AgentDecisionRecords.MatchingBoundaryCount</t>
  </si>
  <si>
    <t>fg-process-steward-AgentDecisionRecords.ViolatedAuthorityBoundary</t>
  </si>
  <si>
    <t>fg-process-steward-AgentDecisionRecords.ReviewerAgentKind</t>
  </si>
  <si>
    <t>fg-process-steward-AgentDecisionRecords.HasHumanConfirmation</t>
  </si>
  <si>
    <t>fg-process-steward-AgentDecisionRecords.NeedsHumanConfirmation</t>
  </si>
  <si>
    <t>fg-process-steward-AgentDecisionRecords.IsUnconfirmedNonHumanDecision</t>
  </si>
  <si>
    <t>fg-process-steward-AgentDecisionRecords.StepExecutionWhenUnconfirmed</t>
  </si>
  <si>
    <t>fg-process-steward-AgentDecisionRecords.AgentWhenBoundaryViolated</t>
  </si>
  <si>
    <t>fg-process-steward-AgentDecisionRecords.ReviewLatencyMinutes</t>
  </si>
  <si>
    <t>fg-process-steward-AgentDecisionRecords.IsDraftKind</t>
  </si>
  <si>
    <t>fg-process-steward-AgentDecisionRecords.AgentWhenDraftOverridden</t>
  </si>
  <si>
    <t>fg-process-steward-AgentDecisionRecords.AgentWhenDraft</t>
  </si>
  <si>
    <t>fg-process-steward-AgentDecisionRecords.OverrideReasonKind</t>
  </si>
  <si>
    <t>fg-process-steward-AgentDecisionRecords.IsErrorCorrection</t>
  </si>
  <si>
    <t>fg-process-steward-AgentDecisionRecords.IsReservedJudgmentOverride</t>
  </si>
  <si>
    <t>fg-process-steward-AgentDecisionRecords.OverrideReasonIsRecorded</t>
  </si>
  <si>
    <t>fg-process-steward-AgentDecisionRecords.IsUnexplainedOverride</t>
  </si>
  <si>
    <t>fg-process-steward-AgentDecisionRecords.ErrorCorrectionRoleAssignmentKey</t>
  </si>
  <si>
    <t>fg-process-steward-AgentDecisionRecords.BoundaryViolationRoleAssignmentKey</t>
  </si>
  <si>
    <t>fg-process-steward-AgentDecisionRecords.SemanticTypeIri</t>
  </si>
  <si>
    <t>fg-process-steward-Agents.AgentId</t>
  </si>
  <si>
    <t>fg-process-steward-Agents.Name</t>
  </si>
  <si>
    <t>fg-process-steward-Agents.DisplayName</t>
  </si>
  <si>
    <t>fg-process-steward-Agents.AgentKind</t>
  </si>
  <si>
    <t>fg-process-steward-Agents.Organization</t>
  </si>
  <si>
    <t>fg-process-steward-Agents.ContactAddress</t>
  </si>
  <si>
    <t>fg-process-steward-Agents.VersionOrEmploymentKey</t>
  </si>
  <si>
    <t>fg-process-steward-Agents.CountOfCurrentRoleAssignments</t>
  </si>
  <si>
    <t>fg-process-steward-Agents.IsStillEngaged</t>
  </si>
  <si>
    <t>fg-process-steward-Agents.DecisionCount</t>
  </si>
  <si>
    <t>fg-process-steward-Agents.OverriddenDecisionCount</t>
  </si>
  <si>
    <t>fg-process-steward-Agents.OverrideRatePercent</t>
  </si>
  <si>
    <t>fg-process-steward-Agents.IsNonHuman</t>
  </si>
  <si>
    <t>fg-process-steward-Agents.BoundaryViolationCount</t>
  </si>
  <si>
    <t>fg-process-steward-Agents.IsOperatingOutsideBoundary</t>
  </si>
  <si>
    <t>fg-process-steward-Agents.DraftDecisionCount</t>
  </si>
  <si>
    <t>fg-process-steward-Agents.OverriddenDraftCount</t>
  </si>
  <si>
    <t>fg-process-steward-Agents.DraftRewriteRatePercent</t>
  </si>
  <si>
    <t>fg-process-steward-Agents.SemanticTypeIri</t>
  </si>
  <si>
    <t>fg-process-steward-AppNavGroups.AppNavGroupId</t>
  </si>
  <si>
    <t>fg-process-steward-AppNavGroups.Name</t>
  </si>
  <si>
    <t>fg-process-steward-AppNavGroups.GroupLabel</t>
  </si>
  <si>
    <t>fg-process-steward-AppNavGroups.RouteCount</t>
  </si>
  <si>
    <t>fg-process-steward-AppNavGroups.SemanticTypeIri</t>
  </si>
  <si>
    <t>fg-process-steward-AppRoleProfiles.AppRoleProfileId</t>
  </si>
  <si>
    <t>fg-process-steward-AppRoleProfiles.Name</t>
  </si>
  <si>
    <t>fg-process-steward-AppRoleProfiles.Role</t>
  </si>
  <si>
    <t>fg-process-steward-AppRoleProfiles.DisplayLabel</t>
  </si>
  <si>
    <t>fg-process-steward-AppRoleProfiles.RoleKind</t>
  </si>
  <si>
    <t>fg-process-steward-AppRoleProfiles.AccentColor</t>
  </si>
  <si>
    <t>fg-process-steward-AppRoleProfiles.IconMark</t>
  </si>
  <si>
    <t>fg-process-steward-AppRoleProfiles.IconPngBase64</t>
  </si>
  <si>
    <t>fg-process-steward-AppRoleProfiles.Pitch</t>
  </si>
  <si>
    <t>fg-process-steward-AppRoleProfiles.SortOrder</t>
  </si>
  <si>
    <t>fg-process-steward-AppRoleProfiles.RouteCount</t>
  </si>
  <si>
    <t>fg-process-steward-AppRoleProfiles.SemanticTypeIri</t>
  </si>
  <si>
    <t>fg-process-steward-AppRouteQuestions.AppRouteQuestionId</t>
  </si>
  <si>
    <t>fg-process-steward-AppRouteQuestions.Name</t>
  </si>
  <si>
    <t>fg-process-steward-AppRouteQuestions.Route</t>
  </si>
  <si>
    <t>fg-process-steward-AppRouteQuestions.Question</t>
  </si>
  <si>
    <t>fg-process-steward-AppRouteQuestions.SemanticTypeIri</t>
  </si>
  <si>
    <t>fg-process-steward-AppRouteReferences.AppRouteReferenceId</t>
  </si>
  <si>
    <t>fg-process-steward-AppRouteReferences.Name</t>
  </si>
  <si>
    <t>fg-process-steward-AppRouteReferences.FromRoute</t>
  </si>
  <si>
    <t>fg-process-steward-AppRouteReferences.ToRoute</t>
  </si>
  <si>
    <t>fg-process-steward-AppRouteReferences.SemanticTypeIri</t>
  </si>
  <si>
    <t>fg-process-steward-AppRoutes.AppRouteId</t>
  </si>
  <si>
    <t>fg-process-steward-AppRoutes.Name</t>
  </si>
  <si>
    <t>fg-process-steward-AppRoutes.RoutePath</t>
  </si>
  <si>
    <t>fg-process-steward-AppRoutes.RouteName</t>
  </si>
  <si>
    <t>fg-process-steward-AppRoutes.Surface</t>
  </si>
  <si>
    <t>fg-process-steward-AppRoutes.OwningRole</t>
  </si>
  <si>
    <t>fg-process-steward-AppRoutes.NavGroup</t>
  </si>
  <si>
    <t>fg-process-steward-AppRoutes.NavOrder</t>
  </si>
  <si>
    <t>fg-process-steward-AppRoutes.RouteKind</t>
  </si>
  <si>
    <t>fg-process-steward-AppRoutes.Purpose</t>
  </si>
  <si>
    <t>fg-process-steward-AppRoutes.LayoutHints</t>
  </si>
  <si>
    <t>fg-process-steward-AppRoutes.IsInNav</t>
  </si>
  <si>
    <t>fg-process-steward-AppRoutes.IsShared</t>
  </si>
  <si>
    <t>fg-process-steward-AppRoutes.IsMaintainer</t>
  </si>
  <si>
    <t>fg-process-steward-AppRoutes.QuestionCount</t>
  </si>
  <si>
    <t>fg-process-steward-AppRoutes.ReferenceCount</t>
  </si>
  <si>
    <t>fg-process-steward-AppRoutes.AnswersNoQuestion</t>
  </si>
  <si>
    <t>fg-process-steward-AppRoutes.SemanticTypeIri</t>
  </si>
  <si>
    <t>fg-process-steward-Attestations.AttestationId</t>
  </si>
  <si>
    <t>fg-process-steward-Attestations.Name</t>
  </si>
  <si>
    <t>fg-process-steward-Attestations.ProcedureExecution</t>
  </si>
  <si>
    <t>fg-process-steward-Attestations.SignedByAgent</t>
  </si>
  <si>
    <t>fg-process-steward-Attestations.SignedAt</t>
  </si>
  <si>
    <t>fg-process-steward-Attestations.AssuranceGradeAtSigning</t>
  </si>
  <si>
    <t>fg-process-steward-Attestations.VersionWasFitAtSigning</t>
  </si>
  <si>
    <t>fg-process-steward-Attestations.VersionIsFitNow</t>
  </si>
  <si>
    <t>fg-process-steward-Attestations.FitnessVerdictHasDrifted</t>
  </si>
  <si>
    <t>fg-process-steward-Attestations.AssuranceGradeNow</t>
  </si>
  <si>
    <t>fg-process-steward-Attestations.AssuranceGradeHasDrifted</t>
  </si>
  <si>
    <t>fg-process-steward-Attestations.WouldNotSurviveRestatement</t>
  </si>
  <si>
    <t>fg-process-steward-AuthorityBoundaries.AuthorityBoundaryId</t>
  </si>
  <si>
    <t>fg-process-steward-AuthorityBoundaries.Name</t>
  </si>
  <si>
    <t>fg-process-steward-AuthorityBoundaries.Step</t>
  </si>
  <si>
    <t>fg-process-steward-AuthorityBoundaries.ForbiddenAgentKind</t>
  </si>
  <si>
    <t>fg-process-steward-AuthorityBoundaries.ForbiddenDecisionKind</t>
  </si>
  <si>
    <t>fg-process-steward-AuthorityBoundaries.RatifiedByKnowledgeFragment</t>
  </si>
  <si>
    <t>fg-process-steward-AuthorityBoundaries.EnforcingRequirement</t>
  </si>
  <si>
    <t>fg-process-steward-AuthorityBoundaries.AuthorityRole</t>
  </si>
  <si>
    <t>fg-process-steward-AuthorityBoundaries.ValidFrom</t>
  </si>
  <si>
    <t>fg-process-steward-AuthorityBoundaries.ValidTo</t>
  </si>
  <si>
    <t>fg-process-steward-AuthorityBoundaries.Status</t>
  </si>
  <si>
    <t>fg-process-steward-AuthorityBoundaries.EvaluationContext</t>
  </si>
  <si>
    <t>fg-process-steward-AuthorityBoundaries.AsOfInstant</t>
  </si>
  <si>
    <t>fg-process-steward-AuthorityBoundaries.IsCurrentlyBinding</t>
  </si>
  <si>
    <t>fg-process-steward-AuthorityBoundaries.RatifyingFragmentIsValid</t>
  </si>
  <si>
    <t>fg-process-steward-AuthorityBoundaries.StepWhenBinding</t>
  </si>
  <si>
    <t>fg-process-steward-AuthorityBoundaries.BoundaryMatchKey</t>
  </si>
  <si>
    <t>fg-process-steward-AuthorityBoundaries.ViolationCount</t>
  </si>
  <si>
    <t>fg-process-steward-AuthorityBoundaries.IsUntested</t>
  </si>
  <si>
    <t>fg-process-steward-AuthorityBoundaries.HasRatifyingFragment</t>
  </si>
  <si>
    <t>fg-process-steward-AuthorityBoundaries.IsUnwarranted</t>
  </si>
  <si>
    <t>fg-process-steward-AuthorityBoundaries.RatifyingFragmentIsOverdue</t>
  </si>
  <si>
    <t>fg-process-steward-AuthorityBoundaries.RatifyingFragmentIsSingleWitness</t>
  </si>
  <si>
    <t>fg-process-steward-AuthorityBoundaries.WarrantIsThin</t>
  </si>
  <si>
    <t>fg-process-steward-AuthorityBoundaries.IsUnwarrantedAndUntested</t>
  </si>
  <si>
    <t>fg-process-steward-AuthorityBoundaries.UnwarrantedBoundaryStepKey</t>
  </si>
  <si>
    <t>fg-process-steward-AuthorityBoundaries.RatifyingFragmentKey</t>
  </si>
  <si>
    <t>fg-process-steward-AuthorityBoundaries.RatifyingFragmentStatus</t>
  </si>
  <si>
    <t>fg-process-steward-AuthorityBoundaries.RatificationLapsed</t>
  </si>
  <si>
    <t>fg-process-steward-AuthorityBoundaries.BindsDespiteLapsedRatification</t>
  </si>
  <si>
    <t>fg-process-steward-AuthorityBoundaries.IsUngroundedAndUntested</t>
  </si>
  <si>
    <t>fg-process-steward-AuthorityBoundaries.ConstrainedRoleAssignmentKey</t>
  </si>
  <si>
    <t>fg-process-steward-AuthorityBoundaries.SemanticTypeIri</t>
  </si>
  <si>
    <t>fg-process-steward-BindingObservations.BindingObservationId</t>
  </si>
  <si>
    <t>fg-process-steward-BindingObservations.Name</t>
  </si>
  <si>
    <t>fg-process-steward-BindingObservations.StepExecution</t>
  </si>
  <si>
    <t>fg-process-steward-BindingObservations.OperationalBinding</t>
  </si>
  <si>
    <t>fg-process-steward-BindingObservations.ObservedSourceTimestamp</t>
  </si>
  <si>
    <t>fg-process-steward-BindingObservations.ReadAt</t>
  </si>
  <si>
    <t>fg-process-steward-BindingObservations.SlaMinutesAtRun</t>
  </si>
  <si>
    <t>fg-process-steward-BindingObservations.AgeAtRunMinutes</t>
  </si>
  <si>
    <t>fg-process-steward-BindingObservations.WasStaleAtRun</t>
  </si>
  <si>
    <t>fg-process-steward-BindingObservations.IsAuthoritativeBinding</t>
  </si>
  <si>
    <t>fg-process-steward-BindingObservations.StaleAtRunStepKey</t>
  </si>
  <si>
    <t>fg-process-steward-ChangeRequests.ChangeRequestId</t>
  </si>
  <si>
    <t>fg-process-steward-ChangeRequests.Name</t>
  </si>
  <si>
    <t>fg-process-steward-ChangeRequests.ProcedureVersion</t>
  </si>
  <si>
    <t>fg-process-steward-ChangeRequests.Title</t>
  </si>
  <si>
    <t>fg-process-steward-ChangeRequests.ChangeKind</t>
  </si>
  <si>
    <t>fg-process-steward-ChangeRequests.Status</t>
  </si>
  <si>
    <t>fg-process-steward-ChangeRequests.RequestedByAgent</t>
  </si>
  <si>
    <t>fg-process-steward-ChangeRequests.AuthorityRole</t>
  </si>
  <si>
    <t>fg-process-steward-ChangeRequests.RequestedAt</t>
  </si>
  <si>
    <t>fg-process-steward-ChangeRequests.DecidedAt</t>
  </si>
  <si>
    <t>fg-process-steward-ChangeRequests.ImpactAssessment</t>
  </si>
  <si>
    <t>fg-process-steward-ChangeRequests.IsOpen</t>
  </si>
  <si>
    <t>fg-process-steward-ChangeRequests.OpenChangeVersionKey</t>
  </si>
  <si>
    <t>fg-process-steward-ChangeRequests.IsDecided</t>
  </si>
  <si>
    <t>fg-process-steward-ChangeRequests.EvaluationContext</t>
  </si>
  <si>
    <t>fg-process-steward-ChangeRequests.AsOfInstant</t>
  </si>
  <si>
    <t>fg-process-steward-ChangeRequests.DaysPending</t>
  </si>
  <si>
    <t>fg-process-steward-ChangeRequests.IsStillPending</t>
  </si>
  <si>
    <t>fg-process-steward-ChangeRequests.IsStalled</t>
  </si>
  <si>
    <t>fg-process-steward-ChangeRequests.AuthorityAgent</t>
  </si>
  <si>
    <t>fg-process-steward-ChangeRequests.RequesterIsAuthority</t>
  </si>
  <si>
    <t>fg-process-steward-ChangeRequests.AwaitsAuthorityDecision</t>
  </si>
  <si>
    <t>fg-process-steward-ChangeRequests.AuthorityRoleLabel</t>
  </si>
  <si>
    <t>fg-process-steward-ChangeRequests.TouchesLiveVersion</t>
  </si>
  <si>
    <t>fg-process-steward-ChangeRequests.IsLiveDecisionBacklog</t>
  </si>
  <si>
    <t>fg-process-steward-ChangeRequests.BlocksAnOpenGap</t>
  </si>
  <si>
    <t>fg-process-steward-ChangeRequests.ImplementedAt</t>
  </si>
  <si>
    <t>fg-process-steward-ChangeRequests.BacklogVersionKey</t>
  </si>
  <si>
    <t>fg-process-steward-ChangeRequests.IsMyPendingDecision</t>
  </si>
  <si>
    <t>fg-process-steward-ChangeRequests.IsMyBlockingBacklog</t>
  </si>
  <si>
    <t>fg-process-steward-ChangeRequests.IsMyOverdueBacklog</t>
  </si>
  <si>
    <t>fg-process-steward-ChangeRequests.IsImplemented</t>
  </si>
  <si>
    <t>fg-process-steward-ChangeRequests.IsMyDecidedRequest</t>
  </si>
  <si>
    <t>fg-process-steward-ChangeRequests.IsMyDecidedButUnlanded</t>
  </si>
  <si>
    <t>fg-process-steward-ChangeRequests.DecisionLatencyDays</t>
  </si>
  <si>
    <t>fg-process-steward-ChangeRequests.ImplementationLatencyDays</t>
  </si>
  <si>
    <t>fg-process-steward-ChangeRequests.DelayIsDownstreamOfMe</t>
  </si>
  <si>
    <t>fg-process-steward-ChangeRequests.UnlandedVersionKey</t>
  </si>
  <si>
    <t>fg-process-steward-ChangeRequests.IsApprovedNotImplemented</t>
  </si>
  <si>
    <t>fg-process-steward-ChangeRequests.DaysSinceApproval</t>
  </si>
  <si>
    <t>fg-process-steward-ChangeRequests.IsStalledImplementation</t>
  </si>
  <si>
    <t>fg-process-steward-ChangeRequests.StalledImplementationVersionKey</t>
  </si>
  <si>
    <t>fg-process-steward-ChangeRequests.ApprovedVersionKey</t>
  </si>
  <si>
    <t>fg-process-steward-ChangeRequests.IsApprovedDecision</t>
  </si>
  <si>
    <t>fg-process-steward-ChangeRequests.SemanticTypeIri</t>
  </si>
  <si>
    <t>fg-process-steward-CommunicationPolicies.CommunicationPolicyId</t>
  </si>
  <si>
    <t>fg-process-steward-CommunicationPolicies.Name</t>
  </si>
  <si>
    <t>fg-process-steward-CommunicationPolicies.ProcedureVersion</t>
  </si>
  <si>
    <t>fg-process-steward-CommunicationPolicies.Channel</t>
  </si>
  <si>
    <t>fg-process-steward-CommunicationPolicies.AudienceRule</t>
  </si>
  <si>
    <t>fg-process-steward-CommunicationPolicies.ConsentRequired</t>
  </si>
  <si>
    <t>fg-process-steward-CommunicationPolicies.QuietHoursStart</t>
  </si>
  <si>
    <t>fg-process-steward-CommunicationPolicies.QuietHoursEnd</t>
  </si>
  <si>
    <t>fg-process-steward-CommunicationPolicies.MaxMessageLength</t>
  </si>
  <si>
    <t>fg-process-steward-CommunicationPolicies.MaxSegments</t>
  </si>
  <si>
    <t>fg-process-steward-CommunicationPolicies.RetentionDays</t>
  </si>
  <si>
    <t>fg-process-steward-CommunicationPolicies.ApprovalRole</t>
  </si>
  <si>
    <t>fg-process-steward-CommunicationPolicies.RequiredContent</t>
  </si>
  <si>
    <t>fg-process-steward-CommunicationPolicies.AuthorityStatement</t>
  </si>
  <si>
    <t>fg-process-steward-CommunicationPolicies.Status</t>
  </si>
  <si>
    <t>fg-process-steward-CommunicationPolicies.ConsentViolationCount</t>
  </si>
  <si>
    <t>fg-process-steward-CommunicationPolicies.QuietHoursStartHour</t>
  </si>
  <si>
    <t>fg-process-steward-CommunicationPolicies.QuietHoursEndHour</t>
  </si>
  <si>
    <t>fg-process-steward-CommunicationPolicies.QuietHoursViolationCount</t>
  </si>
  <si>
    <t>fg-process-steward-CommunicationPolicies.RequiredOptOutPhrase</t>
  </si>
  <si>
    <t>fg-process-steward-CommunicationPolicies.IsActivePolicy</t>
  </si>
  <si>
    <t>fg-process-steward-CommunicationPolicies.SemanticTypeIri</t>
  </si>
  <si>
    <t>fg-process-steward-CommunitiesOfPractice.CommunityOfPracticeId</t>
  </si>
  <si>
    <t>fg-process-steward-CommunitiesOfPractice.Name</t>
  </si>
  <si>
    <t>fg-process-steward-CommunitiesOfPractice.Label</t>
  </si>
  <si>
    <t>fg-process-steward-CommunitiesOfPractice.Organization</t>
  </si>
  <si>
    <t>fg-process-steward-CommunitiesOfPractice.StewardRole</t>
  </si>
  <si>
    <t>fg-process-steward-CommunitiesOfPractice.Purpose</t>
  </si>
  <si>
    <t>fg-process-steward-CommunitiesOfPractice.Cadence</t>
  </si>
  <si>
    <t>fg-process-steward-CommunitiesOfPractice.SemanticTypeIri</t>
  </si>
  <si>
    <t>fg-process-steward-DeliveredCommunications.DeliveredCommunicationId</t>
  </si>
  <si>
    <t>fg-process-steward-DeliveredCommunications.Name</t>
  </si>
  <si>
    <t>fg-process-steward-DeliveredCommunications.ProcedureExecution</t>
  </si>
  <si>
    <t>fg-process-steward-DeliveredCommunications.SendingStepExecution</t>
  </si>
  <si>
    <t>fg-process-steward-DeliveredCommunications.AuthorizingStepExecution</t>
  </si>
  <si>
    <t>fg-process-steward-DeliveredCommunications.MessageTemplate</t>
  </si>
  <si>
    <t>fg-process-steward-DeliveredCommunications.Channel</t>
  </si>
  <si>
    <t>fg-process-steward-DeliveredCommunications.RecipientKey</t>
  </si>
  <si>
    <t>fg-process-steward-DeliveredCommunications.SentAt</t>
  </si>
  <si>
    <t>fg-process-steward-DeliveredCommunications.RenderedContentHash</t>
  </si>
  <si>
    <t>fg-process-steward-DeliveredCommunications.ApprovedContentHash</t>
  </si>
  <si>
    <t>fg-process-steward-DeliveredCommunications.DeliveryStatus</t>
  </si>
  <si>
    <t>fg-process-steward-DeliveredCommunications.SemanticTypeIri</t>
  </si>
  <si>
    <t>fg-process-steward-DeliveredCommunications.HasAuthorization</t>
  </si>
  <si>
    <t>fg-process-steward-DeliveredCommunications.ContentMatchesApproval</t>
  </si>
  <si>
    <t>fg-process-steward-DeliveredCommunications.AuthorizedAt</t>
  </si>
  <si>
    <t>fg-process-steward-DeliveredCommunications.WasApprovedBeforeSending</t>
  </si>
  <si>
    <t>fg-process-steward-DeliveredCommunications.IsDefensible</t>
  </si>
  <si>
    <t>fg-process-steward-ElicitationSessions.ElicitationSessionId</t>
  </si>
  <si>
    <t>fg-process-steward-ElicitationSessions.Name</t>
  </si>
  <si>
    <t>fg-process-steward-ElicitationSessions.ProcedureVersion</t>
  </si>
  <si>
    <t>fg-process-steward-ElicitationSessions.Method</t>
  </si>
  <si>
    <t>fg-process-steward-ElicitationSessions.StartedAt</t>
  </si>
  <si>
    <t>fg-process-steward-ElicitationSessions.EndedAt</t>
  </si>
  <si>
    <t>fg-process-steward-ElicitationSessions.PractitionerAgent</t>
  </si>
  <si>
    <t>fg-process-steward-ElicitationSessions.FacilitatorAgent</t>
  </si>
  <si>
    <t>fg-process-steward-ElicitationSessions.Summary</t>
  </si>
  <si>
    <t>fg-process-steward-ElicitationSessions.Status</t>
  </si>
  <si>
    <t>fg-process-steward-ElicitationSessions.EvaluationContext</t>
  </si>
  <si>
    <t>fg-process-steward-ElicitationSessions.AsOfInstant</t>
  </si>
  <si>
    <t>fg-process-steward-ElicitationSessions.DaysSinceElicited</t>
  </si>
  <si>
    <t>fg-process-steward-ElicitationSessions.IsSingleWitnessMethod</t>
  </si>
  <si>
    <t>fg-process-steward-ElicitationSessions.PractitionerIsStillEngaged</t>
  </si>
  <si>
    <t>fg-process-steward-ElicitationSessions.ValidFragmentsProduced</t>
  </si>
  <si>
    <t>fg-process-steward-ElicitationSessions.IsHighYieldSession</t>
  </si>
  <si>
    <t>fg-process-steward-ElicitationSessions.IsConcentratedSingleWitness</t>
  </si>
  <si>
    <t>fg-process-steward-ElicitationSessions.IsStaleConcentratedWitness</t>
  </si>
  <si>
    <t>fg-process-steward-ElicitationSessions.ConcentratedSessionVersionKey</t>
  </si>
  <si>
    <t>fg-process-steward-ElicitationSessions.SemanticTypeIri</t>
  </si>
  <si>
    <t>fg-process-steward-Errors.ErrorId</t>
  </si>
  <si>
    <t>fg-process-steward-Errors.Name</t>
  </si>
  <si>
    <t>fg-process-steward-Errors.Label</t>
  </si>
  <si>
    <t>fg-process-steward-Errors.ErrorCode</t>
  </si>
  <si>
    <t>fg-process-steward-Errors.ErrorCause</t>
  </si>
  <si>
    <t>fg-process-steward-Errors.SemanticTypeIri</t>
  </si>
  <si>
    <t>fg-process-steward-EvaluationContexts.EvaluationContextId</t>
  </si>
  <si>
    <t>fg-process-steward-EvaluationContexts.Name</t>
  </si>
  <si>
    <t>fg-process-steward-EvaluationContexts.Label</t>
  </si>
  <si>
    <t>fg-process-steward-EvaluationContexts.AsOfInstant</t>
  </si>
  <si>
    <t>fg-process-steward-EvaluationContexts.IsCurrent</t>
  </si>
  <si>
    <t>fg-process-steward-EvaluationContexts.Rationale</t>
  </si>
  <si>
    <t>fg-process-steward-EvaluationContexts.SemanticTypeIri</t>
  </si>
  <si>
    <t>fg-process-steward-ExceptionInvocations.ExceptionInvocationId</t>
  </si>
  <si>
    <t>fg-process-steward-ExceptionInvocations.Name</t>
  </si>
  <si>
    <t>fg-process-steward-ExceptionInvocations.StepExecution</t>
  </si>
  <si>
    <t>fg-process-steward-ExceptionInvocations.Exception</t>
  </si>
  <si>
    <t>fg-process-steward-ExceptionInvocations.InvokedByAgent</t>
  </si>
  <si>
    <t>fg-process-steward-ExceptionInvocations.ApprovedByAgent</t>
  </si>
  <si>
    <t>fg-process-steward-ExceptionInvocations.InvokedAt</t>
  </si>
  <si>
    <t>fg-process-steward-ExceptionInvocations.HandlingApplied</t>
  </si>
  <si>
    <t>fg-process-steward-ExceptionInvocations.ExpectedHandling</t>
  </si>
  <si>
    <t>fg-process-steward-ExceptionInvocations.RequiredApprovalRole</t>
  </si>
  <si>
    <t>fg-process-steward-ExceptionInvocations.RequiredApprovalRoleHolder</t>
  </si>
  <si>
    <t>fg-process-steward-ExceptionInvocations.ApprovalRoleMatches</t>
  </si>
  <si>
    <t>fg-process-steward-ExceptionInvocations.IsApproved</t>
  </si>
  <si>
    <t>fg-process-steward-ExceptionInvocations.IsImproperlyApproved</t>
  </si>
  <si>
    <t>fg-process-steward-ExceptionInvocations.InvokerAgentKind</t>
  </si>
  <si>
    <t>fg-process-steward-ExceptionInvocations.InvokerAlsoPreparedKey</t>
  </si>
  <si>
    <t>fg-process-steward-ExceptionInvocations.ParentProcedureExecution</t>
  </si>
  <si>
    <t>fg-process-steward-ExceptionInvocations.ApproverPreparedCount</t>
  </si>
  <si>
    <t>fg-process-steward-ExceptionInvocations.DelegatedToPreparer</t>
  </si>
  <si>
    <t>fg-process-steward-ExceptionInvocations.IsUngovernedInvocation</t>
  </si>
  <si>
    <t>fg-process-steward-ExceptionInvocations.SemanticTypeIri</t>
  </si>
  <si>
    <t>fg-process-steward-Exceptions.ExceptionId</t>
  </si>
  <si>
    <t>fg-process-steward-Exceptions.Name</t>
  </si>
  <si>
    <t>fg-process-steward-Exceptions.ProcedureVersion</t>
  </si>
  <si>
    <t>fg-process-steward-Exceptions.TriggerStep</t>
  </si>
  <si>
    <t>fg-process-steward-Exceptions.Condition</t>
  </si>
  <si>
    <t>fg-process-steward-Exceptions.Handling</t>
  </si>
  <si>
    <t>fg-process-steward-Exceptions.ApprovalRole</t>
  </si>
  <si>
    <t>fg-process-steward-Exceptions.FallbackRole</t>
  </si>
  <si>
    <t>fg-process-steward-Exceptions.Status</t>
  </si>
  <si>
    <t>fg-process-steward-Exceptions.ActiveExceptionStepKey</t>
  </si>
  <si>
    <t>fg-process-steward-Exceptions.SemanticTypeIri</t>
  </si>
  <si>
    <t>fg-process-steward-Explanations.ExplanationId</t>
  </si>
  <si>
    <t>fg-process-steward-Explanations.Name</t>
  </si>
  <si>
    <t>fg-process-steward-Explanations.ProcedureVersion</t>
  </si>
  <si>
    <t>fg-process-steward-Explanations.Step</t>
  </si>
  <si>
    <t>fg-process-steward-Explanations.Title</t>
  </si>
  <si>
    <t>fg-process-steward-Explanations.Description</t>
  </si>
  <si>
    <t>fg-process-steward-Explanations.SemanticTypeIri</t>
  </si>
  <si>
    <t>fg-process-steward-Functions.FunctionId</t>
  </si>
  <si>
    <t>fg-process-steward-Functions.Name</t>
  </si>
  <si>
    <t>fg-process-steward-Functions.Label</t>
  </si>
  <si>
    <t>fg-process-steward-Functions.Definition</t>
  </si>
  <si>
    <t>fg-process-steward-Functions.ImplementationKey</t>
  </si>
  <si>
    <t>fg-process-steward-Functions.SemanticTypeIri</t>
  </si>
  <si>
    <t>fg-process-steward-IssueOccurrences.IssueOccurrenceId</t>
  </si>
  <si>
    <t>fg-process-steward-IssueOccurrences.Name</t>
  </si>
  <si>
    <t>fg-process-steward-IssueOccurrences.StepExecution</t>
  </si>
  <si>
    <t>fg-process-steward-IssueOccurrences.Error</t>
  </si>
  <si>
    <t>fg-process-steward-IssueOccurrences.EncounteredByAgent</t>
  </si>
  <si>
    <t>fg-process-steward-IssueOccurrences.OccurredAt</t>
  </si>
  <si>
    <t>fg-process-steward-IssueOccurrences.IssueCause</t>
  </si>
  <si>
    <t>fg-process-steward-IssueOccurrences.IssueSolution</t>
  </si>
  <si>
    <t>fg-process-steward-IssueOccurrences.Status</t>
  </si>
  <si>
    <t>fg-process-steward-IssueOccurrences.IsUnresolved</t>
  </si>
  <si>
    <t>fg-process-steward-IssueOccurrences.StepExecutionWhenUnresolved</t>
  </si>
  <si>
    <t>fg-process-steward-IssueOccurrences.SemanticTypeIri</t>
  </si>
  <si>
    <t>fg-process-steward-KnowledgeFragments.KnowledgeFragmentId</t>
  </si>
  <si>
    <t>fg-process-steward-KnowledgeFragments.Name</t>
  </si>
  <si>
    <t>fg-process-steward-KnowledgeFragments.ProcedureVersion</t>
  </si>
  <si>
    <t>fg-process-steward-KnowledgeFragments.Step</t>
  </si>
  <si>
    <t>fg-process-steward-KnowledgeFragments.KnowledgeForm</t>
  </si>
  <si>
    <t>fg-process-steward-KnowledgeFragments.Statement</t>
  </si>
  <si>
    <t>fg-process-steward-KnowledgeFragments.ElicitationSession</t>
  </si>
  <si>
    <t>fg-process-steward-KnowledgeFragments.SourceAgent</t>
  </si>
  <si>
    <t>fg-process-steward-KnowledgeFragments.Confidence</t>
  </si>
  <si>
    <t>fg-process-steward-KnowledgeFragments.ValidFrom</t>
  </si>
  <si>
    <t>fg-process-steward-KnowledgeFragments.ValidTo</t>
  </si>
  <si>
    <t>fg-process-steward-KnowledgeFragments.Status</t>
  </si>
  <si>
    <t>fg-process-steward-KnowledgeFragments.OwnerRole</t>
  </si>
  <si>
    <t>fg-process-steward-KnowledgeFragments.EvaluationContext</t>
  </si>
  <si>
    <t>fg-process-steward-KnowledgeFragments.AsOfInstant</t>
  </si>
  <si>
    <t>fg-process-steward-KnowledgeFragments.IsCurrentlyValid</t>
  </si>
  <si>
    <t>fg-process-steward-KnowledgeFragments.SourceAgentIsStillEngaged</t>
  </si>
  <si>
    <t>fg-process-steward-KnowledgeFragments.SourceAgentKind</t>
  </si>
  <si>
    <t>fg-process-steward-KnowledgeFragments.HasHumanSource</t>
  </si>
  <si>
    <t>fg-process-steward-KnowledgeFragments.HasOrphanedProvenance</t>
  </si>
  <si>
    <t>fg-process-steward-KnowledgeFragments.IsUndefendableTacitClaim</t>
  </si>
  <si>
    <t>fg-process-steward-KnowledgeFragments.IsApproved</t>
  </si>
  <si>
    <t>fg-process-steward-KnowledgeFragments.IsWithinValidityWindow</t>
  </si>
  <si>
    <t>fg-process-steward-KnowledgeFragments.IsReliedUpon</t>
  </si>
  <si>
    <t>fg-process-steward-KnowledgeFragments.StepProcedureVersionStatus</t>
  </si>
  <si>
    <t>fg-process-steward-KnowledgeFragments.IsAttachedToLiveVersion</t>
  </si>
  <si>
    <t>fg-process-steward-KnowledgeFragments.IsUnapprovedButReliedOn</t>
  </si>
  <si>
    <t>fg-process-steward-KnowledgeFragments.EvidenceAgeDays</t>
  </si>
  <si>
    <t>fg-process-steward-KnowledgeFragments.HasRecordedElicitation</t>
  </si>
  <si>
    <t>fg-process-steward-KnowledgeFragments.IsFromSingleWitness</t>
  </si>
  <si>
    <t>fg-process-steward-KnowledgeFragments.EvidenceExpiryDays</t>
  </si>
  <si>
    <t>fg-process-steward-KnowledgeFragments.EvidenceHasExpired</t>
  </si>
  <si>
    <t>fg-process-steward-KnowledgeFragments.OwnerAgent</t>
  </si>
  <si>
    <t>fg-process-steward-KnowledgeFragments.IsAwaitingApproval</t>
  </si>
  <si>
    <t>fg-process-steward-KnowledgeFragments.OwnerIsMe</t>
  </si>
  <si>
    <t>fg-process-steward-KnowledgeFragments.IsMyUnfinishedApproval</t>
  </si>
  <si>
    <t>fg-process-steward-KnowledgeFragments.IsInvokedByAnException</t>
  </si>
  <si>
    <t>fg-process-steward-KnowledgeFragments.HasOperationalReliance</t>
  </si>
  <si>
    <t>fg-process-steward-KnowledgeFragments.IsUnapprovedAndOperationallyLive</t>
  </si>
  <si>
    <t>fg-process-steward-KnowledgeFragments.AgeDays</t>
  </si>
  <si>
    <t>fg-process-steward-KnowledgeFragments.IsLowConfidence</t>
  </si>
  <si>
    <t>fg-process-steward-KnowledgeFragments.OwningVersionCadenceDays</t>
  </si>
  <si>
    <t>fg-process-steward-KnowledgeFragments.ExceedsOwningCadence</t>
  </si>
  <si>
    <t>fg-process-steward-KnowledgeFragments.IsAgingLowConfidenceClaim</t>
  </si>
  <si>
    <t>fg-process-steward-KnowledgeFragments.OwnerRoleAgentKind</t>
  </si>
  <si>
    <t>fg-process-steward-KnowledgeFragments.IsHumanOwned</t>
  </si>
  <si>
    <t>fg-process-steward-KnowledgeFragments.IsAiValidatedByAi</t>
  </si>
  <si>
    <t>fg-process-steward-KnowledgeFragments.ReviewCadenceDays</t>
  </si>
  <si>
    <t>fg-process-steward-KnowledgeFragments.IsOverdueForReview</t>
  </si>
  <si>
    <t>fg-process-steward-KnowledgeFragments.PredatesCurrentRoleHolder</t>
  </si>
  <si>
    <t>fg-process-steward-KnowledgeFragments.OwnerRoleAssignmentValidFrom</t>
  </si>
  <si>
    <t>fg-process-steward-KnowledgeFragments.LastReviewedAt</t>
  </si>
  <si>
    <t>fg-process-steward-KnowledgeFragments.FragilitySignalCount</t>
  </si>
  <si>
    <t>fg-process-steward-KnowledgeFragments.IsCompoundFragile</t>
  </si>
  <si>
    <t>fg-process-steward-KnowledgeFragments.IsSinglePointOfFailure</t>
  </si>
  <si>
    <t>fg-process-steward-KnowledgeFragments.IsExpiringSinglePointOfFailure</t>
  </si>
  <si>
    <t>fg-process-steward-KnowledgeFragments.CompoundFragileVersionKey</t>
  </si>
  <si>
    <t>fg-process-steward-KnowledgeFragments.ValidFragmentSessionKey</t>
  </si>
  <si>
    <t>fg-process-steward-KnowledgeFragments.ConsumingStepIsSoftwareAssigned</t>
  </si>
  <si>
    <t>fg-process-steward-KnowledgeFragments.ConsumingStepAgentKind</t>
  </si>
  <si>
    <t>fg-process-steward-KnowledgeFragments.IsUnapprovedAndMachineConsumed</t>
  </si>
  <si>
    <t>fg-process-steward-KnowledgeFragments.IsUnapprovedAndHumanConsumed</t>
  </si>
  <si>
    <t>fg-process-steward-KnowledgeFragments.MachineConsumedUnapprovedVersionKey</t>
  </si>
  <si>
    <t>fg-process-steward-KnowledgeFragments.HasReviewRecord</t>
  </si>
  <si>
    <t>fg-process-steward-KnowledgeFragments.DaysSinceActualReview</t>
  </si>
  <si>
    <t>fg-process-steward-KnowledgeFragments.IsUnreviewedSinceAuthoring</t>
  </si>
  <si>
    <t>fg-process-steward-KnowledgeFragments.IsGenuinelyOverdue</t>
  </si>
  <si>
    <t>fg-process-steward-KnowledgeFragments.ReviewRecencyIsInferred</t>
  </si>
  <si>
    <t>fg-process-steward-KnowledgeFragments.InferenceDisagreesWithRecord</t>
  </si>
  <si>
    <t>fg-process-steward-KnowledgeFragments.GenuinelyOverdueVersionKey</t>
  </si>
  <si>
    <t>fg-process-steward-KnowledgeFragments.RatifiedBoundaryCount</t>
  </si>
  <si>
    <t>fg-process-steward-KnowledgeFragments.RelianceSurfaceCount</t>
  </si>
  <si>
    <t>fg-process-steward-KnowledgeFragments.DaysAwaitingMyApproval</t>
  </si>
  <si>
    <t>fg-process-steward-KnowledgeFragments.IsHighBlastRadiusUnapproved</t>
  </si>
  <si>
    <t>fg-process-steward-KnowledgeFragments.IsLongUnapproved</t>
  </si>
  <si>
    <t>fg-process-steward-KnowledgeFragments.UnapprovedLoadBearingVersionKey</t>
  </si>
  <si>
    <t>fg-process-steward-KnowledgeFragments.OwnerRoleIsVacated</t>
  </si>
  <si>
    <t>fg-process-steward-KnowledgeFragments.IsOrphanedByRole</t>
  </si>
  <si>
    <t>fg-process-steward-KnowledgeFragments.ValidFragmentVersionKey</t>
  </si>
  <si>
    <t>fg-process-steward-KnowledgeFragments.SemanticTypeIri</t>
  </si>
  <si>
    <t>fg-process-steward-KnowledgeGaps.KnowledgeGapId</t>
  </si>
  <si>
    <t>fg-process-steward-KnowledgeGaps.Name</t>
  </si>
  <si>
    <t>fg-process-steward-KnowledgeGaps.ProcedureVersion</t>
  </si>
  <si>
    <t>fg-process-steward-KnowledgeGaps.Step</t>
  </si>
  <si>
    <t>fg-process-steward-KnowledgeGaps.Statement</t>
  </si>
  <si>
    <t>fg-process-steward-KnowledgeGaps.Severity</t>
  </si>
  <si>
    <t>fg-process-steward-KnowledgeGaps.BlockingKind</t>
  </si>
  <si>
    <t>fg-process-steward-KnowledgeGaps.Status</t>
  </si>
  <si>
    <t>fg-process-steward-KnowledgeGaps.OwnerRole</t>
  </si>
  <si>
    <t>fg-process-steward-KnowledgeGaps.IdentifiedAt</t>
  </si>
  <si>
    <t>fg-process-steward-KnowledgeGaps.ResolutionPlan</t>
  </si>
  <si>
    <t>fg-process-steward-KnowledgeGaps.IsOpen</t>
  </si>
  <si>
    <t>fg-process-steward-KnowledgeGaps.OpenGapVersionKey</t>
  </si>
  <si>
    <t>fg-process-steward-KnowledgeGaps.IsBlocking</t>
  </si>
  <si>
    <t>fg-process-steward-KnowledgeGaps.IsOpenAndBlocking</t>
  </si>
  <si>
    <t>fg-process-steward-KnowledgeGaps.EvaluationContext</t>
  </si>
  <si>
    <t>fg-process-steward-KnowledgeGaps.AsOfInstant</t>
  </si>
  <si>
    <t>fg-process-steward-KnowledgeGaps.DaysOpen</t>
  </si>
  <si>
    <t>fg-process-steward-KnowledgeGaps.ToleranceDays</t>
  </si>
  <si>
    <t>fg-process-steward-KnowledgeGaps.IsOverdueGap</t>
  </si>
  <si>
    <t>fg-process-steward-KnowledgeGaps.OwnerAgent</t>
  </si>
  <si>
    <t>fg-process-steward-KnowledgeGaps.OwnerIsStillEngaged</t>
  </si>
  <si>
    <t>fg-process-steward-KnowledgeGaps.HasResolutionPlan</t>
  </si>
  <si>
    <t>fg-process-steward-KnowledgeGaps.IsAbandonedUnknown</t>
  </si>
  <si>
    <t>fg-process-steward-KnowledgeGaps.OpenBlockingGapVersionKey</t>
  </si>
  <si>
    <t>fg-process-steward-KnowledgeGaps.OwnerRoleIsVacated</t>
  </si>
  <si>
    <t>fg-process-steward-KnowledgeGaps.IsOwnerlessOpenGap</t>
  </si>
  <si>
    <t>fg-process-steward-KnowledgeGaps.SemanticTypeIri</t>
  </si>
  <si>
    <t>fg-process-steward-LearningActivities.LearningActivityId</t>
  </si>
  <si>
    <t>fg-process-steward-LearningActivities.Name</t>
  </si>
  <si>
    <t>fg-process-steward-LearningActivities.CommunityOfPractice</t>
  </si>
  <si>
    <t>fg-process-steward-LearningActivities.ProcedureVersion</t>
  </si>
  <si>
    <t>fg-process-steward-LearningActivities.ActivityKind</t>
  </si>
  <si>
    <t>fg-process-steward-LearningActivities.OccurredAt</t>
  </si>
  <si>
    <t>fg-process-steward-LearningActivities.FacilitatorAgent</t>
  </si>
  <si>
    <t>fg-process-steward-LearningActivities.Outcome</t>
  </si>
  <si>
    <t>fg-process-steward-LearningActivities.EvidenceResource</t>
  </si>
  <si>
    <t>fg-process-steward-LearningActivities.SemanticTypeIri</t>
  </si>
  <si>
    <t>fg-process-steward-Mentorships.MentorshipId</t>
  </si>
  <si>
    <t>fg-process-steward-Mentorships.Name</t>
  </si>
  <si>
    <t>fg-process-steward-Mentorships.CommunityOfPractice</t>
  </si>
  <si>
    <t>fg-process-steward-Mentorships.MentorAgent</t>
  </si>
  <si>
    <t>fg-process-steward-Mentorships.LearnerAgent</t>
  </si>
  <si>
    <t>fg-process-steward-Mentorships.ValidFrom</t>
  </si>
  <si>
    <t>fg-process-steward-Mentorships.ValidTo</t>
  </si>
  <si>
    <t>fg-process-steward-Mentorships.LearningObjective</t>
  </si>
  <si>
    <t>fg-process-steward-Mentorships.EvidenceOfCompletion</t>
  </si>
  <si>
    <t>fg-process-steward-Mentorships.SemanticTypeIri</t>
  </si>
  <si>
    <t>fg-process-steward-MessageDeliveries.MessageDeliveryId</t>
  </si>
  <si>
    <t>fg-process-steward-MessageDeliveries.Name</t>
  </si>
  <si>
    <t>fg-process-steward-MessageDeliveries.ProcedureExecution</t>
  </si>
  <si>
    <t>fg-process-steward-MessageDeliveries.StepExecution</t>
  </si>
  <si>
    <t>fg-process-steward-MessageDeliveries.Recipient</t>
  </si>
  <si>
    <t>fg-process-steward-MessageDeliveries.MessageTemplate</t>
  </si>
  <si>
    <t>fg-process-steward-MessageDeliveries.SentByAgent</t>
  </si>
  <si>
    <t>fg-process-steward-MessageDeliveries.RenderedBody</t>
  </si>
  <si>
    <t>fg-process-steward-MessageDeliveries.SentAt</t>
  </si>
  <si>
    <t>fg-process-steward-MessageDeliveries.SentAtLocalHour</t>
  </si>
  <si>
    <t>fg-process-steward-MessageDeliveries.DeliveryStatus</t>
  </si>
  <si>
    <t>fg-process-steward-MessageDeliveries.SuppressionReason</t>
  </si>
  <si>
    <t>fg-process-steward-MessageDeliveries.InvokedException</t>
  </si>
  <si>
    <t>fg-process-steward-MessageDeliveries.AcknowledgedAt</t>
  </si>
  <si>
    <t>fg-process-steward-MessageDeliveries.PolicyChannel</t>
  </si>
  <si>
    <t>fg-process-steward-MessageDeliveries.ChannelName</t>
  </si>
  <si>
    <t>fg-process-steward-MessageDeliveries.PolicyRequiresConsent</t>
  </si>
  <si>
    <t>fg-process-steward-MessageDeliveries.RecipientHasSmsConsent</t>
  </si>
  <si>
    <t>fg-process-steward-MessageDeliveries.WasActuallyTransmitted</t>
  </si>
  <si>
    <t>fg-process-steward-MessageDeliveries.IsConsentViolation</t>
  </si>
  <si>
    <t>fg-process-steward-MessageDeliveries.ConsentViolationPolicyKey</t>
  </si>
  <si>
    <t>fg-process-steward-MessageDeliveries.PolicyQuietHoursStartHour</t>
  </si>
  <si>
    <t>fg-process-steward-MessageDeliveries.PolicyQuietHoursEndHour</t>
  </si>
  <si>
    <t>fg-process-steward-MessageDeliveries.PolicyHasQuietHours</t>
  </si>
  <si>
    <t>fg-process-steward-MessageDeliveries.QuietWindowWrapsMidnight</t>
  </si>
  <si>
    <t>fg-process-steward-MessageDeliveries.IsInsideQuietWindow</t>
  </si>
  <si>
    <t>fg-process-steward-MessageDeliveries.IsQuietHoursViolation</t>
  </si>
  <si>
    <t>fg-process-steward-MessageDeliveries.QuietHoursViolationPolicyKey</t>
  </si>
  <si>
    <t>fg-process-steward-MessageDeliveries.RecipientIsUnreachable</t>
  </si>
  <si>
    <t>fg-process-steward-MessageDeliveries.IsAcknowledged</t>
  </si>
  <si>
    <t>fg-process-steward-MessageDeliveries.InvokedExceptionCondition</t>
  </si>
  <si>
    <t>fg-process-steward-MessageDeliveries.HasUnreachableExceptionInvoked</t>
  </si>
  <si>
    <t>fg-process-steward-MessageDeliveries.IsFabricatedAcknowledgement</t>
  </si>
  <si>
    <t>fg-process-steward-MessageDeliveries.IsUnhandledUnreachable</t>
  </si>
  <si>
    <t>fg-process-steward-MessageDeliveries.UnreachableFailureKey</t>
  </si>
  <si>
    <t>fg-process-steward-MessageDeliveries.PolicyRetentionDays</t>
  </si>
  <si>
    <t>fg-process-steward-MessageDeliveries.EvaluationContext</t>
  </si>
  <si>
    <t>fg-process-steward-MessageDeliveries.AsOfInstant</t>
  </si>
  <si>
    <t>fg-process-steward-MessageDeliveries.AgeDays</t>
  </si>
  <si>
    <t>fg-process-steward-MessageDeliveries.IsWithinRetentionWindow</t>
  </si>
  <si>
    <t>fg-process-steward-MessageDeliveries.HasRenderedBody</t>
  </si>
  <si>
    <t>fg-process-steward-MessageDeliveries.IsEvidenceRequired</t>
  </si>
  <si>
    <t>fg-process-steward-MessageDeliveries.IsRetentionBreach</t>
  </si>
  <si>
    <t>fg-process-steward-MessageDeliveries.RetentionBreachExecutionKey</t>
  </si>
  <si>
    <t>fg-process-steward-MessageDeliveries.SendingStepExecutionStep</t>
  </si>
  <si>
    <t>fg-process-steward-MessageDeliveries.ExecutionHasClearedLegalReview</t>
  </si>
  <si>
    <t>fg-process-steward-MessageDeliveries.IsUnreviewedSend</t>
  </si>
  <si>
    <t>fg-process-steward-MessageDeliveries.RenderedBodyLength</t>
  </si>
  <si>
    <t>fg-process-steward-MessageDeliveries.PolicyMaxMessageLengthAtSend</t>
  </si>
  <si>
    <t>fg-process-steward-MessageDeliveries.SegmentCount</t>
  </si>
  <si>
    <t>fg-process-steward-MessageDeliveries.PolicyMaxSegmentsAtSend</t>
  </si>
  <si>
    <t>fg-process-steward-MessageDeliveries.IsOverSegmentLimit</t>
  </si>
  <si>
    <t>fg-process-steward-MessageDeliveries.TemplateHasValidApproval</t>
  </si>
  <si>
    <t>fg-process-steward-MessageDeliveries.IsUnapprovedSend</t>
  </si>
  <si>
    <t>fg-process-steward-MessageDeliveries.PolicyRequiredOptOutPhrase</t>
  </si>
  <si>
    <t>fg-process-steward-MessageDeliveries.PolicyRequiresOptOut</t>
  </si>
  <si>
    <t>fg-process-steward-MessageDeliveries.OptOutPhrasePosition</t>
  </si>
  <si>
    <t>fg-process-steward-MessageDeliveries.HasOptOutPhrase</t>
  </si>
  <si>
    <t>fg-process-steward-MessageDeliveries.IsOptOutInFirstSegment</t>
  </si>
  <si>
    <t>fg-process-steward-MessageDeliveries.IsMissingRequiredOptOut</t>
  </si>
  <si>
    <t>fg-process-steward-MessageDeliveries.IsOptOutAtRiskOfTruncation</t>
  </si>
  <si>
    <t>fg-process-steward-MessageDeliveries.IsFailedDelivery</t>
  </si>
  <si>
    <t>fg-process-steward-MessageDeliveries.IsSuppressed</t>
  </si>
  <si>
    <t>fg-process-steward-MessageDeliveries.IsTriaged</t>
  </si>
  <si>
    <t>fg-process-steward-MessageDeliveries.IsAbandonedFailure</t>
  </si>
  <si>
    <t>fg-process-steward-MessageDeliveries.AbandonedFailureExecutionKey</t>
  </si>
  <si>
    <t>fg-process-steward-MessageDeliveries.ReachedExecutionKey</t>
  </si>
  <si>
    <t>fg-process-steward-MessageDeliveries.TemplateWasSendable</t>
  </si>
  <si>
    <t>fg-process-steward-MessageDeliveries.IsDriftedSend</t>
  </si>
  <si>
    <t>fg-process-steward-MessageDeliveries.DriftedSendTemplateKey</t>
  </si>
  <si>
    <t>fg-process-steward-MessageDeliveries.WasSentOutsideBusinessHours</t>
  </si>
  <si>
    <t>fg-process-steward-MessageDeliveries.WasDeliveredAndUnanswered</t>
  </si>
  <si>
    <t>fg-process-steward-MessageDeliveries.IsPoorlyTimedUnanswered</t>
  </si>
  <si>
    <t>fg-process-steward-MessageDeliveries.IsWellTimedUnanswered</t>
  </si>
  <si>
    <t>fg-process-steward-MessageDeliveries.UnansweredTemplateKey</t>
  </si>
  <si>
    <t>fg-process-steward-MessageDeliveries.TransmittedTemplateKey</t>
  </si>
  <si>
    <t>fg-process-steward-MessageDeliveries.ApprovingAgentAtSend</t>
  </si>
  <si>
    <t>fg-process-steward-MessageDeliveries.ApprovingRoleAtSend</t>
  </si>
  <si>
    <t>fg-process-steward-MessageDeliveries.ApprovalDecidedAtSend</t>
  </si>
  <si>
    <t>fg-process-steward-MessageDeliveries.ApprovalPrecededSend</t>
  </si>
  <si>
    <t>fg-process-steward-MessageDeliveries.HasFrozenApprovalEvidence</t>
  </si>
  <si>
    <t>fg-process-steward-MessageDeliveries.ProvenanceIsLiveDerived</t>
  </si>
  <si>
    <t>fg-process-steward-MessageDeliveries.CurrentLastApprovalAt</t>
  </si>
  <si>
    <t>fg-process-steward-MessageDeliveries.TemplateReapprovedSinceSend</t>
  </si>
  <si>
    <t>fg-process-steward-MessageDeliveries.IsUnprovableApprovalClaim</t>
  </si>
  <si>
    <t>fg-process-steward-MessageDeliveries.ReminderSentAt</t>
  </si>
  <si>
    <t>fg-process-steward-MessageDeliveries.ReminderCount</t>
  </si>
  <si>
    <t>fg-process-steward-MessageDeliveries.HasSentReminder</t>
  </si>
  <si>
    <t>fg-process-steward-MessageDeliveries.AcknowledgementIsOutstanding</t>
  </si>
  <si>
    <t>fg-process-steward-MessageDeliveries.OutstandingAgeDays</t>
  </si>
  <si>
    <t>fg-process-steward-MessageDeliveries.IsUnchasedAcknowledgement</t>
  </si>
  <si>
    <t>fg-process-steward-MessageDeliveries.IsExhaustedFollowUp</t>
  </si>
  <si>
    <t>fg-process-steward-MessageDeliveries.NeedsHumanEscalation</t>
  </si>
  <si>
    <t>fg-process-steward-MessageDeliveries.SemanticTypeIri</t>
  </si>
  <si>
    <t>fg-process-steward-MessageTemplates.MessageTemplateId</t>
  </si>
  <si>
    <t>fg-process-steward-MessageTemplates.Name</t>
  </si>
  <si>
    <t>fg-process-steward-MessageTemplates.CommunicationPolicy</t>
  </si>
  <si>
    <t>fg-process-steward-MessageTemplates.Resource</t>
  </si>
  <si>
    <t>fg-process-steward-MessageTemplates.SubjectTemplate</t>
  </si>
  <si>
    <t>fg-process-steward-MessageTemplates.BodyTemplate</t>
  </si>
  <si>
    <t>fg-process-steward-MessageTemplates.Locale</t>
  </si>
  <si>
    <t>fg-process-steward-MessageTemplates.Status</t>
  </si>
  <si>
    <t>fg-process-steward-MessageTemplates.PolicyMaxMessageLength</t>
  </si>
  <si>
    <t>fg-process-steward-MessageTemplates.PolicyMaxSegments</t>
  </si>
  <si>
    <t>fg-process-steward-MessageTemplates.BodyTemplateLength</t>
  </si>
  <si>
    <t>fg-process-steward-MessageTemplates.IsTemplateOverLength</t>
  </si>
  <si>
    <t>fg-process-steward-MessageTemplates.ValidApprovalCount</t>
  </si>
  <si>
    <t>fg-process-steward-MessageTemplates.HasValidApproval</t>
  </si>
  <si>
    <t>fg-process-steward-MessageTemplates.IsClaimingUnbackedApproval</t>
  </si>
  <si>
    <t>fg-process-steward-MessageTemplates.CurrentBodyHash</t>
  </si>
  <si>
    <t>fg-process-steward-MessageTemplates.LastApprovedBodyHash</t>
  </si>
  <si>
    <t>fg-process-steward-MessageTemplates.LastValidApproval</t>
  </si>
  <si>
    <t>fg-process-steward-MessageTemplates.HasBodyDrifted</t>
  </si>
  <si>
    <t>fg-process-steward-MessageTemplates.IsSendableUnderApproval</t>
  </si>
  <si>
    <t>fg-process-steward-MessageTemplates.DriftedSendCount</t>
  </si>
  <si>
    <t>fg-process-steward-MessageTemplates.UnansweredDeliveryCount</t>
  </si>
  <si>
    <t>fg-process-steward-MessageTemplates.TransmittedDeliveryCount</t>
  </si>
  <si>
    <t>fg-process-steward-MessageTemplates.TemplateDrawsNoResponse</t>
  </si>
  <si>
    <t>fg-process-steward-MessageTemplates.LastApprovalAt</t>
  </si>
  <si>
    <t>fg-process-steward-MessageTemplates.SemanticTypeIri</t>
  </si>
  <si>
    <t>fg-process-steward-ObservedTransitions.ObservedTransitionId</t>
  </si>
  <si>
    <t>fg-process-steward-ObservedTransitions.Name</t>
  </si>
  <si>
    <t>fg-process-steward-ObservedTransitions.ProcedureExecution</t>
  </si>
  <si>
    <t>fg-process-steward-ObservedTransitions.StepTransition</t>
  </si>
  <si>
    <t>fg-process-steward-ObservedTransitions.ArrivingStepExecution</t>
  </si>
  <si>
    <t>fg-process-steward-ObservedTransitions.ObservedAt</t>
  </si>
  <si>
    <t>fg-process-steward-ObservedTransitions.TriggerReason</t>
  </si>
  <si>
    <t>fg-process-steward-ObservedTransitions.SemanticTypeIri</t>
  </si>
  <si>
    <t>fg-process-steward-OntologyProfiles.OntologyProfileId</t>
  </si>
  <si>
    <t>fg-process-steward-OntologyProfiles.Name</t>
  </si>
  <si>
    <t>fg-process-steward-OntologyProfiles.Label</t>
  </si>
  <si>
    <t>fg-process-steward-OntologyProfiles.Version</t>
  </si>
  <si>
    <t>fg-process-steward-OntologyProfiles.VersionIri</t>
  </si>
  <si>
    <t>fg-process-steward-OntologyProfiles.NamespaceIri</t>
  </si>
  <si>
    <t>fg-process-steward-OntologyProfiles.License</t>
  </si>
  <si>
    <t>fg-process-steward-OntologyProfiles.Scope</t>
  </si>
  <si>
    <t>fg-process-steward-OperationalBindings.OperationalBindingId</t>
  </si>
  <si>
    <t>fg-process-steward-OperationalBindings.Name</t>
  </si>
  <si>
    <t>fg-process-steward-OperationalBindings.ProcedureVersion</t>
  </si>
  <si>
    <t>fg-process-steward-OperationalBindings.Step</t>
  </si>
  <si>
    <t>fg-process-steward-OperationalBindings.Resource</t>
  </si>
  <si>
    <t>fg-process-steward-OperationalBindings.AccessMode</t>
  </si>
  <si>
    <t>fg-process-steward-OperationalBindings.RecordOrSchemaKey</t>
  </si>
  <si>
    <t>fg-process-steward-OperationalBindings.LastObservedAt</t>
  </si>
  <si>
    <t>fg-process-steward-OperationalBindings.FreshnessSlaMinutes</t>
  </si>
  <si>
    <t>fg-process-steward-OperationalBindings.IsAuthoritative</t>
  </si>
  <si>
    <t>fg-process-steward-OperationalBindings.EvaluationContext</t>
  </si>
  <si>
    <t>fg-process-steward-OperationalBindings.AsOfInstant</t>
  </si>
  <si>
    <t>fg-process-steward-OperationalBindings.AgeMinutes</t>
  </si>
  <si>
    <t>fg-process-steward-OperationalBindings.IsFresh</t>
  </si>
  <si>
    <t>fg-process-steward-OperationalBindings.StaleBindingStepKey</t>
  </si>
  <si>
    <t>fg-process-steward-OperationalBindings.AuthoritativeStaleStepKey</t>
  </si>
  <si>
    <t>fg-process-steward-OperationalBindings.IsStaleAndAuthoritative</t>
  </si>
  <si>
    <t>fg-process-steward-OperationalBindings.StepWhenStale</t>
  </si>
  <si>
    <t>fg-process-steward-OperationalBindings.ResourceIsApproved</t>
  </si>
  <si>
    <t>fg-process-steward-OperationalBindings.IsUsableForDrafting</t>
  </si>
  <si>
    <t>fg-process-steward-OperationalBindings.StepWhenUnusable</t>
  </si>
  <si>
    <t>fg-process-steward-OperationalBindings.SemanticTypeIri</t>
  </si>
  <si>
    <t>fg-process-steward-Organizations.OrganizationId</t>
  </si>
  <si>
    <t>fg-process-steward-Organizations.Name</t>
  </si>
  <si>
    <t>fg-process-steward-Organizations.DisplayName</t>
  </si>
  <si>
    <t>fg-process-steward-Organizations.OrganizationType</t>
  </si>
  <si>
    <t>fg-process-steward-Organizations.ExternalIdentifier</t>
  </si>
  <si>
    <t>fg-process-steward-Organizations.SemanticTypeIri</t>
  </si>
  <si>
    <t>fg-process-steward-ProcedureExecutions.ProcedureExecutionId</t>
  </si>
  <si>
    <t>fg-process-steward-ProcedureExecutions.Name</t>
  </si>
  <si>
    <t>fg-process-steward-ProcedureExecutions.ProcedureVersion</t>
  </si>
  <si>
    <t>fg-process-steward-ProcedureExecutions.ExecutionStatus</t>
  </si>
  <si>
    <t>fg-process-steward-ProcedureExecutions.StartedAt</t>
  </si>
  <si>
    <t>fg-process-steward-ProcedureExecutions.EndedAt</t>
  </si>
  <si>
    <t>fg-process-steward-ProcedureExecutions.ExecutedByAgent</t>
  </si>
  <si>
    <t>fg-process-steward-ProcedureExecutions.Context</t>
  </si>
  <si>
    <t>fg-process-steward-ProcedureExecutions.OperationalRecordUri</t>
  </si>
  <si>
    <t>fg-process-steward-ProcedureExecutions.ExpectedStepCount</t>
  </si>
  <si>
    <t>fg-process-steward-ProcedureExecutions.CompletedStepCount</t>
  </si>
  <si>
    <t>fg-process-steward-ProcedureExecutions.ControlBreachCount</t>
  </si>
  <si>
    <t>fg-process-steward-ProcedureExecutions.LateStepCount</t>
  </si>
  <si>
    <t>fg-process-steward-ProcedureExecutions.IsStructurallyComplete</t>
  </si>
  <si>
    <t>fg-process-steward-ProcedureExecutions.DivergedFromSpecification</t>
  </si>
  <si>
    <t>fg-process-steward-ProcedureExecutions.AllBlockingControlsEvaluated</t>
  </si>
  <si>
    <t>fg-process-steward-ProcedureExecutions.UnevaluatedBlockingTotal</t>
  </si>
  <si>
    <t>fg-process-steward-ProcedureExecutions.SeparationOfDutiesHeld</t>
  </si>
  <si>
    <t>fg-process-steward-ProcedureExecutions.SeparationViolationCount</t>
  </si>
  <si>
    <t>fg-process-steward-ProcedureExecutions.IsAttestationReady</t>
  </si>
  <si>
    <t>fg-process-steward-ProcedureExecutions.AttestationBlockerSummary</t>
  </si>
  <si>
    <t>fg-process-steward-ProcedureExecutions.ExecutedVersionIsFit</t>
  </si>
  <si>
    <t>fg-process-steward-ProcedureExecutions.SignedAgainstUnfitVersion</t>
  </si>
  <si>
    <t>fg-process-steward-ProcedureExecutions.AssertedOnlyControlCount</t>
  </si>
  <si>
    <t>fg-process-steward-ProcedureExecutions.AssuranceIsMostlyAsserted</t>
  </si>
  <si>
    <t>fg-process-steward-ProcedureExecutions.UnreachableHandlingFailureCount</t>
  </si>
  <si>
    <t>fg-process-steward-ProcedureExecutions.RetentionBreachCount</t>
  </si>
  <si>
    <t>fg-process-steward-ProcedureExecutions.ClearedLegalReviewCount</t>
  </si>
  <si>
    <t>fg-process-steward-ProcedureExecutions.HasClearedLegalReview</t>
  </si>
  <si>
    <t>fg-process-steward-ProcedureExecutions.AbandonedFailureCount</t>
  </si>
  <si>
    <t>fg-process-steward-ProcedureExecutions.DeliveredCount</t>
  </si>
  <si>
    <t>fg-process-steward-ProcedureExecutions.TotalDeliveryAttemptCount</t>
  </si>
  <si>
    <t>fg-process-steward-ProcedureExecutions.HasAbandonedFailures</t>
  </si>
  <si>
    <t>fg-process-steward-ProcedureExecutions.MishandledRefusalCount</t>
  </si>
  <si>
    <t>fg-process-steward-ProcedureExecutions.UncleanStepCount</t>
  </si>
  <si>
    <t>fg-process-steward-ProcedureExecutions.RanClean</t>
  </si>
  <si>
    <t>fg-process-steward-ProcedureExecutions.CountOfApprovalExecutions</t>
  </si>
  <si>
    <t>fg-process-steward-ProcedureExecutions.HasHumanApproval</t>
  </si>
  <si>
    <t>fg-process-steward-ProcedureExecutions.CountOfDeliveryExecutions</t>
  </si>
  <si>
    <t>fg-process-steward-ProcedureExecutions.HasDelivered</t>
  </si>
  <si>
    <t>fg-process-steward-ProcedureExecutions.DeliveredWithoutApproval</t>
  </si>
  <si>
    <t>fg-process-steward-ProcedureExecutions.InvalidApprovalCount</t>
  </si>
  <si>
    <t>fg-process-steward-ProcedureExecutions.ApprovalChainIsComplete</t>
  </si>
  <si>
    <t>fg-process-steward-ProcedureExecutions.VacuouslyCleanStepCount</t>
  </si>
  <si>
    <t>fg-process-steward-ProcedureExecutions.PreparationStepCount</t>
  </si>
  <si>
    <t>fg-process-steward-ProcedureExecutions.ApprovalStepCount</t>
  </si>
  <si>
    <t>fg-process-steward-ProcedureExecutions.SeparationWasTestable</t>
  </si>
  <si>
    <t>fg-process-steward-ProcedureExecutions.SeparationHeldUnderTest</t>
  </si>
  <si>
    <t>fg-process-steward-ProcedureExecutions.SeparationIsVacuouslyGreen</t>
  </si>
  <si>
    <t>fg-process-steward-ProcedureExecutions.SeparationAssuranceNote</t>
  </si>
  <si>
    <t>fg-process-steward-ProcedureExecutions.UngovernedDivergenceCount</t>
  </si>
  <si>
    <t>fg-process-steward-ProcedureExecutions.DivergenceWasFullyGoverned</t>
  </si>
  <si>
    <t>fg-process-steward-ProcedureExecutions.ComputedlyWitnessedControlCount</t>
  </si>
  <si>
    <t>fg-process-steward-ProcedureExecutions.EvaluatedControlCount</t>
  </si>
  <si>
    <t>fg-process-steward-ProcedureExecutions.ComputedAssuranceRatio</t>
  </si>
  <si>
    <t>fg-process-steward-ProcedureExecutions.InterestedPartyAssertionCount</t>
  </si>
  <si>
    <t>fg-process-steward-ProcedureExecutions.AssuranceGrade</t>
  </si>
  <si>
    <t>fg-process-steward-ProcedureExecutions.AttestationWouldBeWeaklyBased</t>
  </si>
  <si>
    <t>fg-process-steward-ProcedureExecutions.IndependentHumanObservationCount</t>
  </si>
  <si>
    <t>fg-process-steward-ProcedureExecutions.HasAnyIndependentObservation</t>
  </si>
  <si>
    <t>fg-process-steward-ProcedureExecutions.SelfAttestedApprovalCount</t>
  </si>
  <si>
    <t>fg-process-steward-ProcedureExecutions.AssuranceChainIsCircular</t>
  </si>
  <si>
    <t>fg-process-steward-ProcedureExecutions.LatestAttestationInstant</t>
  </si>
  <si>
    <t>fg-process-steward-ProcedureExecutions.HasBeenAttested</t>
  </si>
  <si>
    <t>fg-process-steward-ProcedureExecutions.AttestationCount</t>
  </si>
  <si>
    <t>fg-process-steward-ProcedureExecutions.PostAttestationScoreCount</t>
  </si>
  <si>
    <t>fg-process-steward-ProcedureExecutions.BasisChangedAfterSignature</t>
  </si>
  <si>
    <t>fg-process-steward-ProcedureExecutions.RequiresReAttestation</t>
  </si>
  <si>
    <t>fg-process-steward-ProcedureExecutions.IntendedRecipientCount</t>
  </si>
  <si>
    <t>fg-process-steward-ProcedureExecutions.ReachedRecipientCount</t>
  </si>
  <si>
    <t>fg-process-steward-ProcedureExecutions.SilentlyDroppedCount</t>
  </si>
  <si>
    <t>fg-process-steward-ProcedureExecutions.DeliveryYieldPercent</t>
  </si>
  <si>
    <t>fg-process-steward-ProcedureExecutions.CampaignSilentlyLostAudience</t>
  </si>
  <si>
    <t>fg-process-steward-ProcedureExecutions.UnrecordedRefusalCount</t>
  </si>
  <si>
    <t>fg-process-steward-ProcedureExecutions.HasUnrecordedRefusals</t>
  </si>
  <si>
    <t>fg-process-steward-ProcedureExecutions.IndependentlyConfirmedIntentCount</t>
  </si>
  <si>
    <t>fg-process-steward-ProcedureExecutions.SendDecisionsAreEntirelySelfWitnessed</t>
  </si>
  <si>
    <t>fg-process-steward-ProcedureExecutions.SemanticTypeIri</t>
  </si>
  <si>
    <t>fg-process-steward-ProcedureResources.ProcedureResourceId</t>
  </si>
  <si>
    <t>fg-process-steward-ProcedureResources.Name</t>
  </si>
  <si>
    <t>fg-process-steward-ProcedureResources.ProcedureVersion</t>
  </si>
  <si>
    <t>fg-process-steward-ProcedureResources.Resource</t>
  </si>
  <si>
    <t>fg-process-steward-ProcedureResources.Relation</t>
  </si>
  <si>
    <t>fg-process-steward-ProcedureResources.RelationIri</t>
  </si>
  <si>
    <t>fg-process-steward-ProcedureStatusChanges.ProcedureStatusChangeId</t>
  </si>
  <si>
    <t>fg-process-steward-ProcedureStatusChanges.Name</t>
  </si>
  <si>
    <t>fg-process-steward-ProcedureStatusChanges.ProcedureVersion</t>
  </si>
  <si>
    <t>fg-process-steward-ProcedureStatusChanges.FromStatus</t>
  </si>
  <si>
    <t>fg-process-steward-ProcedureStatusChanges.ToStatus</t>
  </si>
  <si>
    <t>fg-process-steward-ProcedureStatusChanges.ChangedAt</t>
  </si>
  <si>
    <t>fg-process-steward-ProcedureStatusChanges.ChangedByAgent</t>
  </si>
  <si>
    <t>fg-process-steward-ProcedureStatusChanges.Motivation</t>
  </si>
  <si>
    <t>fg-process-steward-ProcedureStatusChanges.SemanticTypeIri</t>
  </si>
  <si>
    <t>fg-process-steward-ProcedureTypes.ProcedureTypeId</t>
  </si>
  <si>
    <t>fg-process-steward-ProcedureTypes.Name</t>
  </si>
  <si>
    <t>fg-process-steward-ProcedureTypes.Label</t>
  </si>
  <si>
    <t>fg-process-steward-ProcedureTypes.Definition</t>
  </si>
  <si>
    <t>fg-process-steward-ProcedureTypes.SemanticTypeIri</t>
  </si>
  <si>
    <t>fg-process-steward-ProcedureVersionLinks.ProcedureVersionLinkId</t>
  </si>
  <si>
    <t>fg-process-steward-ProcedureVersionLinks.Name</t>
  </si>
  <si>
    <t>fg-process-steward-ProcedureVersionLinks.PreviousProcedureVersion</t>
  </si>
  <si>
    <t>fg-process-steward-ProcedureVersionLinks.NextProcedureVersion</t>
  </si>
  <si>
    <t>fg-process-steward-ProcedureVersionLinks.RelationIri</t>
  </si>
  <si>
    <t>fg-process-steward-ProcedureVersionLinks.ChangeSummary</t>
  </si>
  <si>
    <t>fg-process-steward-ProcedureVersionLinks.SupersededVersionKey</t>
  </si>
  <si>
    <t>fg-process-steward-ProcedureVersions.ProcedureVersionId</t>
  </si>
  <si>
    <t>fg-process-steward-ProcedureVersions.Name</t>
  </si>
  <si>
    <t>fg-process-steward-ProcedureVersions.Procedure</t>
  </si>
  <si>
    <t>fg-process-steward-ProcedureVersions.VersionNumber</t>
  </si>
  <si>
    <t>fg-process-steward-ProcedureVersions.Title</t>
  </si>
  <si>
    <t>fg-process-steward-ProcedureVersions.Status</t>
  </si>
  <si>
    <t>fg-process-steward-ProcedureVersions.IssuedAt</t>
  </si>
  <si>
    <t>fg-process-steward-ProcedureVersions.ModifiedAt</t>
  </si>
  <si>
    <t>fg-process-steward-ProcedureVersions.CreatedByAgent</t>
  </si>
  <si>
    <t>fg-process-steward-ProcedureVersions.ModifiedByAgent</t>
  </si>
  <si>
    <t>fg-process-steward-ProcedureVersions.NewVersionMotivation</t>
  </si>
  <si>
    <t>fg-process-steward-ProcedureVersions.ChangelogDescription</t>
  </si>
  <si>
    <t>fg-process-steward-ProcedureVersions.IsCurrent</t>
  </si>
  <si>
    <t>fg-process-steward-ProcedureVersions.CountOfSteps</t>
  </si>
  <si>
    <t>fg-process-steward-ProcedureVersions.CountOfOpenKnowledgeGaps</t>
  </si>
  <si>
    <t>fg-process-steward-ProcedureVersions.IsReadyForExecution</t>
  </si>
  <si>
    <t>fg-process-steward-ProcedureVersions.SpecifiedStepCount</t>
  </si>
  <si>
    <t>fg-process-steward-ProcedureVersions.OverdueReviewCount</t>
  </si>
  <si>
    <t>fg-process-steward-ProcedureVersions.OpenChangeRequestCount</t>
  </si>
  <si>
    <t>fg-process-steward-ProcedureVersions.OpenHighSeverityGapCount</t>
  </si>
  <si>
    <t>fg-process-steward-ProcedureVersions.IsFitToExecute</t>
  </si>
  <si>
    <t>fg-process-steward-ProcedureVersions.StewardReviewCadenceDays</t>
  </si>
  <si>
    <t>fg-process-steward-ProcedureVersions.CountOfStewardshipAssignments</t>
  </si>
  <si>
    <t>fg-process-steward-ProcedureVersions.HasAnySteward</t>
  </si>
  <si>
    <t>fg-process-steward-ProcedureVersions.IsLive</t>
  </si>
  <si>
    <t>fg-process-steward-ProcedureVersions.IsUnstewarded</t>
  </si>
  <si>
    <t>fg-process-steward-ProcedureVersions.IsLiveAndUnstewarded</t>
  </si>
  <si>
    <t>fg-process-steward-ProcedureVersions.CountOfOpenBlockingGaps</t>
  </si>
  <si>
    <t>fg-process-steward-ProcedureVersions.HasOpenBlockingGap</t>
  </si>
  <si>
    <t>fg-process-steward-ProcedureVersions.IsLiveWithBlockingGap</t>
  </si>
  <si>
    <t>fg-process-steward-ProcedureVersions.ShouldNotBeExecutable</t>
  </si>
  <si>
    <t>fg-process-steward-ProcedureVersions.CountOfUnapprovedRelianceFragments</t>
  </si>
  <si>
    <t>fg-process-steward-ProcedureVersions.RunsOnUnapprovedKnowledge</t>
  </si>
  <si>
    <t>fg-process-steward-ProcedureVersions.CountOfOverdueGaps</t>
  </si>
  <si>
    <t>fg-process-steward-ProcedureVersions.CountOfChangeRequests</t>
  </si>
  <si>
    <t>fg-process-steward-ProcedureVersions.CountOfReviewEvents</t>
  </si>
  <si>
    <t>fg-process-steward-ProcedureVersions.HasGovernanceRecord</t>
  </si>
  <si>
    <t>fg-process-steward-ProcedureVersions.EvaluationContext</t>
  </si>
  <si>
    <t>fg-process-steward-ProcedureVersions.AsOfInstant</t>
  </si>
  <si>
    <t>fg-process-steward-ProcedureVersions.DaysSinceModified</t>
  </si>
  <si>
    <t>fg-process-steward-ProcedureVersions.DaysSinceLastReview</t>
  </si>
  <si>
    <t>fg-process-steward-ProcedureVersions.WasModifiedSinceLastReview</t>
  </si>
  <si>
    <t>fg-process-steward-ProcedureVersions.ModifierIsAuthority</t>
  </si>
  <si>
    <t>fg-process-steward-ProcedureVersions.HasUnwitnessedChange</t>
  </si>
  <si>
    <t>fg-process-steward-ProcedureVersions.CountOfStaleFragments</t>
  </si>
  <si>
    <t>fg-process-steward-ProcedureVersions.KnowledgeIsStalerThanCadence</t>
  </si>
  <si>
    <t>fg-process-steward-ProcedureVersions.CompoundFragileFragmentCount</t>
  </si>
  <si>
    <t>fg-process-steward-ProcedureVersions.RestsOnCompoundFragileKnowledge</t>
  </si>
  <si>
    <t>fg-process-steward-ProcedureVersions.ConcentratedWitnessSessionCount</t>
  </si>
  <si>
    <t>fg-process-steward-ProcedureVersions.KnowledgeBaseIsConcentrated</t>
  </si>
  <si>
    <t>fg-process-steward-ProcedureVersions.MachineConsumedUnapprovedCount</t>
  </si>
  <si>
    <t>fg-process-steward-ProcedureVersions.FeedsUnapprovedKnowledgeToMachines</t>
  </si>
  <si>
    <t>fg-process-steward-ProcedureVersions.GenuinelyOverdueFragmentCount</t>
  </si>
  <si>
    <t>fg-process-steward-ProcedureVersions.AwaitedDecisionCount</t>
  </si>
  <si>
    <t>fg-process-steward-ProcedureVersions.ScopedOpenBlockingGapCount</t>
  </si>
  <si>
    <t>fg-process-steward-ProcedureVersions.IsBlockedOnPendingDecision</t>
  </si>
  <si>
    <t>fg-process-steward-ProcedureVersions.UnexercisedHumanGateCount</t>
  </si>
  <si>
    <t>fg-process-steward-ProcedureVersions.AiBoundaryIsUnevidenced</t>
  </si>
  <si>
    <t>fg-process-steward-ProcedureVersions.LoadBearingUnapprovedCount</t>
  </si>
  <si>
    <t>fg-process-steward-ProcedureVersions.UnlandedDecisionCount</t>
  </si>
  <si>
    <t>fg-process-steward-ProcedureVersions.UnrehearsedControlEntryCount</t>
  </si>
  <si>
    <t>fg-process-steward-ProcedureVersions.HasUnrehearsedControlEntry</t>
  </si>
  <si>
    <t>fg-process-steward-ProcedureVersions.IsLiveWithUnrehearsedControl</t>
  </si>
  <si>
    <t>fg-process-steward-ProcedureVersions.CadenceBreachCount</t>
  </si>
  <si>
    <t>fg-process-steward-ProcedureVersions.IsInCadenceBreach</t>
  </si>
  <si>
    <t>fg-process-steward-ProcedureVersions.HasDecisionInFlight</t>
  </si>
  <si>
    <t>fg-process-steward-ProcedureVersions.IsUnremediatedCadenceBreach</t>
  </si>
  <si>
    <t>fg-process-steward-ProcedureVersions.IsManagedCadenceBreach</t>
  </si>
  <si>
    <t>fg-process-steward-ProcedureVersions.GovernanceIsSilent</t>
  </si>
  <si>
    <t>fg-process-steward-ProcedureVersions.ValidFragmentCount</t>
  </si>
  <si>
    <t>fg-process-steward-ProcedureVersions.StillOwnsValidKnowledge</t>
  </si>
  <si>
    <t>fg-process-steward-ProcedureVersions.IncomingSupersessionCount</t>
  </si>
  <si>
    <t>fg-process-steward-ProcedureVersions.IsStillReferenced</t>
  </si>
  <si>
    <t>fg-process-steward-ProcedureVersions.IsLoadBearingOrphan</t>
  </si>
  <si>
    <t>fg-process-steward-ProcedureVersions.IsCleanlyRetired</t>
  </si>
  <si>
    <t>fg-process-steward-ProcedureVersions.StalledImplementationCount</t>
  </si>
  <si>
    <t>fg-process-steward-ProcedureVersions.IsHeldUnfitByLandedDecisions</t>
  </si>
  <si>
    <t>fg-process-steward-ProcedureVersions.UndeclaredControlKindCount</t>
  </si>
  <si>
    <t>fg-process-steward-ProcedureVersions.ControlTaxonomyIsIncomplete</t>
  </si>
  <si>
    <t>fg-process-steward-ProcedureVersions.HasApprovedChangeRequest</t>
  </si>
  <si>
    <t>fg-process-steward-ProcedureVersions.ApprovedChangeRequestCount</t>
  </si>
  <si>
    <t>fg-process-steward-ProcedureVersions.UnwatchedUnownedControlCount</t>
  </si>
  <si>
    <t>fg-process-steward-ProcedureVersions.SemanticTypeIri</t>
  </si>
  <si>
    <t>fg-process-steward-Procedures.ProcedureId</t>
  </si>
  <si>
    <t>fg-process-steward-Procedures.Name</t>
  </si>
  <si>
    <t>fg-process-steward-Procedures.Title</t>
  </si>
  <si>
    <t>fg-process-steward-Procedures.ProcedureType</t>
  </si>
  <si>
    <t>fg-process-steward-Procedures.OwnerOrganization</t>
  </si>
  <si>
    <t>fg-process-steward-Procedures.AdoptedByOrganization</t>
  </si>
  <si>
    <t>fg-process-steward-Procedures.Purpose</t>
  </si>
  <si>
    <t>fg-process-steward-Procedures.Target</t>
  </si>
  <si>
    <t>fg-process-steward-Procedures.IsTemplate</t>
  </si>
  <si>
    <t>fg-process-steward-Procedures.CurrentVersionKey</t>
  </si>
  <si>
    <t>fg-process-steward-Procedures.SemanticTypeIri</t>
  </si>
  <si>
    <t>fg-process-steward-Rationales.RationaleId</t>
  </si>
  <si>
    <t>fg-process-steward-Rationales.Name</t>
  </si>
  <si>
    <t>fg-process-steward-Rationales.ProcedureVersion</t>
  </si>
  <si>
    <t>fg-process-steward-Rationales.Step</t>
  </si>
  <si>
    <t>fg-process-steward-Rationales.Title</t>
  </si>
  <si>
    <t>fg-process-steward-Rationales.Statement</t>
  </si>
  <si>
    <t>fg-process-steward-Rationales.Status</t>
  </si>
  <si>
    <t>fg-process-steward-Rationales.AuthorityRole</t>
  </si>
  <si>
    <t>fg-process-steward-Rationales.SemanticTypeIri</t>
  </si>
  <si>
    <t>fg-process-steward-Recipients.RecipientId</t>
  </si>
  <si>
    <t>fg-process-steward-Recipients.Name</t>
  </si>
  <si>
    <t>fg-process-steward-Recipients.DisplayName</t>
  </si>
  <si>
    <t>fg-process-steward-Recipients.Organization</t>
  </si>
  <si>
    <t>fg-process-steward-Recipients.EmailAddress</t>
  </si>
  <si>
    <t>fg-process-steward-Recipients.MobileNumber</t>
  </si>
  <si>
    <t>fg-process-steward-Recipients.SmsConsentStatus</t>
  </si>
  <si>
    <t>fg-process-steward-Recipients.SmsConsentAt</t>
  </si>
  <si>
    <t>fg-process-steward-Recipients.ConsentBinding</t>
  </si>
  <si>
    <t>fg-process-steward-Recipients.HasSmsConsent</t>
  </si>
  <si>
    <t>fg-process-steward-Recipients.IsEmailReachable</t>
  </si>
  <si>
    <t>fg-process-steward-Recipients.IsSmsReachable</t>
  </si>
  <si>
    <t>fg-process-steward-Recipients.IsUnreachable</t>
  </si>
  <si>
    <t>fg-process-steward-Recipients.IsCommunicationallyStranded</t>
  </si>
  <si>
    <t>fg-process-steward-Recipients.SemanticTypeIri</t>
  </si>
  <si>
    <t>fg-process-steward-RequirementSatisfactions.RequirementSatisfactionId</t>
  </si>
  <si>
    <t>fg-process-steward-RequirementSatisfactions.Name</t>
  </si>
  <si>
    <t>fg-process-steward-RequirementSatisfactions.StepExecution</t>
  </si>
  <si>
    <t>fg-process-steward-RequirementSatisfactions.Requirement</t>
  </si>
  <si>
    <t>fg-process-steward-RequirementSatisfactions.SatisfactionLevel</t>
  </si>
  <si>
    <t>fg-process-steward-RequirementSatisfactions.Evidence</t>
  </si>
  <si>
    <t>fg-process-steward-RequirementSatisfactions.EvaluatedByAgent</t>
  </si>
  <si>
    <t>fg-process-steward-RequirementSatisfactions.EvaluatedAt</t>
  </si>
  <si>
    <t>fg-process-steward-RequirementSatisfactions.RequirementIsBlocking</t>
  </si>
  <si>
    <t>fg-process-steward-RequirementSatisfactions.IsFullySatisfied</t>
  </si>
  <si>
    <t>fg-process-steward-RequirementSatisfactions.IsBlockingAndUnmet</t>
  </si>
  <si>
    <t>fg-process-steward-RequirementSatisfactions.BlockingUnmetStepKey</t>
  </si>
  <si>
    <t>fg-process-steward-RequirementSatisfactions.BlockingSatisfactionStepKey</t>
  </si>
  <si>
    <t>fg-process-steward-RequirementSatisfactions.NegativeOutcomeRequirementKey</t>
  </si>
  <si>
    <t>fg-process-steward-RequirementSatisfactions.EvaluatorAgentKind</t>
  </si>
  <si>
    <t>fg-process-steward-RequirementSatisfactions.NonHumanEvaluatedHumanControl</t>
  </si>
  <si>
    <t>fg-process-steward-RequirementSatisfactions.RequirementHasComputedWitness</t>
  </si>
  <si>
    <t>fg-process-steward-RequirementSatisfactions.IsAssertedOnly</t>
  </si>
  <si>
    <t>fg-process-steward-RequirementSatisfactions.AssertedOnlyExecutionKey</t>
  </si>
  <si>
    <t>fg-process-steward-RequirementSatisfactions.ParentProcedureExecution</t>
  </si>
  <si>
    <t>fg-process-steward-RequirementSatisfactions.StepExecutionWhenScored</t>
  </si>
  <si>
    <t>fg-process-steward-RequirementSatisfactions.IsHumanEvaluated</t>
  </si>
  <si>
    <t>fg-process-steward-RequirementSatisfactions.RequirementIsApprovalType</t>
  </si>
  <si>
    <t>fg-process-steward-RequirementSatisfactions.IsInvalidApproval</t>
  </si>
  <si>
    <t>fg-process-steward-RequirementSatisfactions.ProcedureExecutionOfSatisfaction</t>
  </si>
  <si>
    <t>fg-process-steward-RequirementSatisfactions.RunWhenInvalidApproval</t>
  </si>
  <si>
    <t>fg-process-steward-RequirementSatisfactions.RequirementIsUnfalsified</t>
  </si>
  <si>
    <t>fg-process-steward-RequirementSatisfactions.IsClearanceByUnfalsifiedControl</t>
  </si>
  <si>
    <t>fg-process-steward-RequirementSatisfactions.UnfalsifiedClearanceStepKey</t>
  </si>
  <si>
    <t>fg-process-steward-RequirementSatisfactions.SpecStepOfExecution</t>
  </si>
  <si>
    <t>fg-process-steward-RequirementSatisfactions.BindingKey</t>
  </si>
  <si>
    <t>fg-process-steward-RequirementSatisfactions.ScoredStepExecutorAgent</t>
  </si>
  <si>
    <t>fg-process-steward-RequirementSatisfactions.EvaluatorIsStepExecutor</t>
  </si>
  <si>
    <t>fg-process-steward-RequirementSatisfactions.RunOwnerAgent</t>
  </si>
  <si>
    <t>fg-process-steward-RequirementSatisfactions.EvaluatorOwnsTheRun</t>
  </si>
  <si>
    <t>fg-process-steward-RequirementSatisfactions.IsInterestedPartyAssertion</t>
  </si>
  <si>
    <t>fg-process-steward-RequirementSatisfactions.HasWrittenEvidence</t>
  </si>
  <si>
    <t>fg-process-steward-RequirementSatisfactions.IsBareAssertion</t>
  </si>
  <si>
    <t>fg-process-steward-RequirementSatisfactions.InterestedAssertionExecutionKey</t>
  </si>
  <si>
    <t>fg-process-steward-RequirementSatisfactions.IsComputedlyWitnessed</t>
  </si>
  <si>
    <t>fg-process-steward-RequirementSatisfactions.ComputedWitnessExecutionKey</t>
  </si>
  <si>
    <t>fg-process-steward-RequirementSatisfactions.StepExecutorAgent</t>
  </si>
  <si>
    <t>fg-process-steward-RequirementSatisfactions.WasScoredAfterAttestation</t>
  </si>
  <si>
    <t>fg-process-steward-RequirementSatisfactions.AttestationInstantForRun</t>
  </si>
  <si>
    <t>fg-process-steward-RequirementSatisfactions.PostAttestationScoreExecutionKey</t>
  </si>
  <si>
    <t>fg-process-steward-RequirementSatisfactions.SemanticTypeIri</t>
  </si>
  <si>
    <t>fg-process-steward-Requirements.RequirementId</t>
  </si>
  <si>
    <t>fg-process-steward-Requirements.Name</t>
  </si>
  <si>
    <t>fg-process-steward-Requirements.Label</t>
  </si>
  <si>
    <t>fg-process-steward-Requirements.RequirementType</t>
  </si>
  <si>
    <t>fg-process-steward-Requirements.Statement</t>
  </si>
  <si>
    <t>fg-process-steward-Requirements.Rationale</t>
  </si>
  <si>
    <t>fg-process-steward-Requirements.IsBlocking</t>
  </si>
  <si>
    <t>fg-process-steward-Requirements.SatisfactionRecordCount</t>
  </si>
  <si>
    <t>fg-process-steward-Requirements.StepBindingCount</t>
  </si>
  <si>
    <t>fg-process-steward-Requirements.IsBoundToAnyStep</t>
  </si>
  <si>
    <t>fg-process-steward-Requirements.HasEverBeenEvaluated</t>
  </si>
  <si>
    <t>fg-process-steward-Requirements.NegativeOutcomeCount</t>
  </si>
  <si>
    <t>fg-process-steward-Requirements.IsInoperativeControl</t>
  </si>
  <si>
    <t>fg-process-steward-Requirements.IsDecorativeControl</t>
  </si>
  <si>
    <t>fg-process-steward-Requirements.HasComputedWitness</t>
  </si>
  <si>
    <t>fg-process-steward-Requirements.WitnessFieldName</t>
  </si>
  <si>
    <t>fg-process-steward-Requirements.HasEverProducedNegative</t>
  </si>
  <si>
    <t>fg-process-steward-Requirements.IsUnfalsifiedControl</t>
  </si>
  <si>
    <t>fg-process-steward-Requirements.ClaimsAWitnessField</t>
  </si>
  <si>
    <t>fg-process-steward-Requirements.NamedWitnessFieldExists</t>
  </si>
  <si>
    <t>fg-process-steward-Requirements.DerivedHasComputedWitness</t>
  </si>
  <si>
    <t>fg-process-steward-Requirements.WitnessClaimIsUnverified</t>
  </si>
  <si>
    <t>fg-process-steward-Requirements.IsUnwitnessedBlockingControl</t>
  </si>
  <si>
    <t>fg-process-steward-Requirements.WitnessFireCount</t>
  </si>
  <si>
    <t>fg-process-steward-Requirements.WitnessHasNeverFired</t>
  </si>
  <si>
    <t>fg-process-steward-Requirements.EvaluationSampleSize</t>
  </si>
  <si>
    <t>fg-process-steward-Requirements.HasMeaningfulSample</t>
  </si>
  <si>
    <t>fg-process-steward-Requirements.MinimumSampleForAssurance</t>
  </si>
  <si>
    <t>fg-process-steward-Requirements.IsUntestedWitness</t>
  </si>
  <si>
    <t>fg-process-steward-Requirements.IsEvidencedHoldingControl</t>
  </si>
  <si>
    <t>fg-process-steward-Requirements.ControlAssuranceState</t>
  </si>
  <si>
    <t>fg-process-steward-Requirements.UnexercisedBindingCount</t>
  </si>
  <si>
    <t>fg-process-steward-Requirements.WitnessIsPartiallyScoped</t>
  </si>
  <si>
    <t>fg-process-steward-Requirements.AccountableRole</t>
  </si>
  <si>
    <t>fg-process-steward-Requirements.AccountableAgent</t>
  </si>
  <si>
    <t>fg-process-steward-Requirements.HasNamedOwner</t>
  </si>
  <si>
    <t>fg-process-steward-Requirements.IsOrphanedBlockingControl</t>
  </si>
  <si>
    <t>fg-process-steward-Requirements.IsUnwatchedAndUnowned</t>
  </si>
  <si>
    <t>fg-process-steward-Requirements.AttestationExposureNote</t>
  </si>
  <si>
    <t>fg-process-steward-Requirements.UnwatchedUnownedFlag</t>
  </si>
  <si>
    <t>fg-process-steward-Requirements.SemanticTypeIri</t>
  </si>
  <si>
    <t>fg-process-steward-Resources.ResourceId</t>
  </si>
  <si>
    <t>fg-process-steward-Resources.Name</t>
  </si>
  <si>
    <t>fg-process-steward-Resources.Title</t>
  </si>
  <si>
    <t>fg-process-steward-Resources.ResourceKind</t>
  </si>
  <si>
    <t>fg-process-steward-Resources.ExternalUri</t>
  </si>
  <si>
    <t>fg-process-steward-Resources.CreatedAt</t>
  </si>
  <si>
    <t>fg-process-steward-Resources.ModifiedAt</t>
  </si>
  <si>
    <t>fg-process-steward-Resources.Description</t>
  </si>
  <si>
    <t>fg-process-steward-Resources.ApprovalStatus</t>
  </si>
  <si>
    <t>fg-process-steward-Resources.IsApprovedSource</t>
  </si>
  <si>
    <t>fg-process-steward-Resources.SemanticTypeIri</t>
  </si>
  <si>
    <t>fg-process-steward-ReviewEvents.ReviewEventId</t>
  </si>
  <si>
    <t>fg-process-steward-ReviewEvents.Name</t>
  </si>
  <si>
    <t>fg-process-steward-ReviewEvents.ProcedureVersion</t>
  </si>
  <si>
    <t>fg-process-steward-ReviewEvents.ReviewKind</t>
  </si>
  <si>
    <t>fg-process-steward-ReviewEvents.ReviewedAt</t>
  </si>
  <si>
    <t>fg-process-steward-ReviewEvents.ReviewedByAgent</t>
  </si>
  <si>
    <t>fg-process-steward-ReviewEvents.Outcome</t>
  </si>
  <si>
    <t>fg-process-steward-ReviewEvents.RelatedChangeRequest</t>
  </si>
  <si>
    <t>fg-process-steward-ReviewEvents.NextReviewDue</t>
  </si>
  <si>
    <t>fg-process-steward-ReviewEvents.EvaluationContext</t>
  </si>
  <si>
    <t>fg-process-steward-ReviewEvents.AsOfInstant</t>
  </si>
  <si>
    <t>fg-process-steward-ReviewEvents.IsOverdue</t>
  </si>
  <si>
    <t>fg-process-steward-ReviewEvents.OverdueVersionKey</t>
  </si>
  <si>
    <t>fg-process-steward-ReviewEvents.PromisedCadenceDays</t>
  </si>
  <si>
    <t>fg-process-steward-ReviewEvents.DaysSinceReviewed</t>
  </si>
  <si>
    <t>fg-process-steward-ReviewEvents.ExceedsPromisedCadence</t>
  </si>
  <si>
    <t>fg-process-steward-ReviewEvents.CadenceDriftDays</t>
  </si>
  <si>
    <t>fg-process-steward-ReviewEvents.PromiseAndBehaviorDisagree</t>
  </si>
  <si>
    <t>fg-process-steward-ReviewEvents.CadenceBreachVersionKey</t>
  </si>
  <si>
    <t>fg-process-steward-ReviewEvents.SemanticTypeIri</t>
  </si>
  <si>
    <t>fg-process-steward-RoleAssignments.RoleAssignmentId</t>
  </si>
  <si>
    <t>fg-process-steward-RoleAssignments.Name</t>
  </si>
  <si>
    <t>fg-process-steward-RoleAssignments.Role</t>
  </si>
  <si>
    <t>fg-process-steward-RoleAssignments.Agent</t>
  </si>
  <si>
    <t>fg-process-steward-RoleAssignments.ValidFrom</t>
  </si>
  <si>
    <t>fg-process-steward-RoleAssignments.ValidTo</t>
  </si>
  <si>
    <t>fg-process-steward-RoleAssignments.Reason</t>
  </si>
  <si>
    <t>fg-process-steward-RoleAssignments.Status</t>
  </si>
  <si>
    <t>fg-process-steward-RoleAssignments.EvaluationContext</t>
  </si>
  <si>
    <t>fg-process-steward-RoleAssignments.AsOfInstant</t>
  </si>
  <si>
    <t>fg-process-steward-RoleAssignments.IsCurrent</t>
  </si>
  <si>
    <t>fg-process-steward-RoleAssignments.CurrentAgentKey</t>
  </si>
  <si>
    <t>fg-process-steward-RoleAssignments.IsCurrentlyValid</t>
  </si>
  <si>
    <t>fg-process-steward-RoleAssignments.AgentRoleKey</t>
  </si>
  <si>
    <t>fg-process-steward-RoleAssignments.HasDeparted</t>
  </si>
  <si>
    <t>fg-process-steward-RoleAssignments.CoversNow</t>
  </si>
  <si>
    <t>fg-process-steward-RoleAssignments.RoleWhenCovering</t>
  </si>
  <si>
    <t>fg-process-steward-RoleAssignments.AgentKind</t>
  </si>
  <si>
    <t>fg-process-steward-RoleAssignments.IsNonHumanAssignment</t>
  </si>
  <si>
    <t>fg-process-steward-RoleAssignments.SupersedesAssignment</t>
  </si>
  <si>
    <t>fg-process-steward-RoleAssignments.PredecessorAgentKind</t>
  </si>
  <si>
    <t>fg-process-steward-RoleAssignments.IsHumanToNonHumanHandover</t>
  </si>
  <si>
    <t>fg-process-steward-RoleAssignments.ApprovingAuthorityRole</t>
  </si>
  <si>
    <t>fg-process-steward-RoleAssignments.AuthorizingChangeRequest</t>
  </si>
  <si>
    <t>fg-process-steward-RoleAssignments.IsUnauthorizedNonHumanAssignment</t>
  </si>
  <si>
    <t>fg-process-steward-RoleAssignments.WasAuthorizedByChangeRequest</t>
  </si>
  <si>
    <t>fg-process-steward-RoleAssignments.DecisionCount</t>
  </si>
  <si>
    <t>fg-process-steward-RoleAssignments.OverriddenDecisionCount</t>
  </si>
  <si>
    <t>fg-process-steward-RoleAssignments.OverrideRatePercent</t>
  </si>
  <si>
    <t>fg-process-steward-RoleAssignments.PredecessorOverrideRatePercent</t>
  </si>
  <si>
    <t>fg-process-steward-RoleAssignments.QualityRegressedVsPredecessor</t>
  </si>
  <si>
    <t>fg-process-steward-RoleAssignments.DepartedRoleKey</t>
  </si>
  <si>
    <t>fg-process-steward-RoleAssignments.MinimumDecisionsForComparison</t>
  </si>
  <si>
    <t>fg-process-steward-RoleAssignments.PredecessorDecisionCount</t>
  </si>
  <si>
    <t>fg-process-steward-RoleAssignments.HasSufficientSample</t>
  </si>
  <si>
    <t>fg-process-steward-RoleAssignments.PredecessorHasSufficientSample</t>
  </si>
  <si>
    <t>fg-process-steward-RoleAssignments.ComparisonIsEvidentiallySound</t>
  </si>
  <si>
    <t>fg-process-steward-RoleAssignments.SingleOverrideSwingPercent</t>
  </si>
  <si>
    <t>fg-process-steward-RoleAssignments.QualityVerdictIsUnsupported</t>
  </si>
  <si>
    <t>fg-process-steward-RoleAssignments.IsUnmeasuredAutomationHandover</t>
  </si>
  <si>
    <t>fg-process-steward-RoleAssignments.ErrorCorrectionCount</t>
  </si>
  <si>
    <t>fg-process-steward-RoleAssignments.ErrorRatePercent</t>
  </si>
  <si>
    <t>fg-process-steward-RoleAssignments.AuthorizationDecidedAt</t>
  </si>
  <si>
    <t>fg-process-steward-RoleAssignments.AuthorizationReviewedAt</t>
  </si>
  <si>
    <t>fg-process-steward-RoleAssignments.AuthorizationReviewCadenceDays</t>
  </si>
  <si>
    <t>fg-process-steward-RoleAssignments.HasDatedAuthorization</t>
  </si>
  <si>
    <t>fg-process-steward-RoleAssignments.DaysSinceAuthorizationReview</t>
  </si>
  <si>
    <t>fg-process-steward-RoleAssignments.AuthorizationIsOverdueForReview</t>
  </si>
  <si>
    <t>fg-process-steward-RoleAssignments.IsStandingUnreviewedAutomation</t>
  </si>
  <si>
    <t>fg-process-steward-RoleAssignments.IsUnconditionedAutomationHandover</t>
  </si>
  <si>
    <t>fg-process-steward-RoleAssignments.MaxTolerableErrorRatePercent</t>
  </si>
  <si>
    <t>fg-process-steward-RoleAssignments.ExceedsTolerableErrorRate</t>
  </si>
  <si>
    <t>fg-process-steward-RoleAssignments.BoundaryViolationCountForAssignment</t>
  </si>
  <si>
    <t>fg-process-steward-RoleAssignments.HasAnyBoundaryViolation</t>
  </si>
  <si>
    <t>fg-process-steward-RoleAssignments.HasUngroundedGoverningBoundary</t>
  </si>
  <si>
    <t>fg-process-steward-RoleAssignments.SuspensionConditionMet</t>
  </si>
  <si>
    <t>fg-process-steward-RoleAssignments.IsOperatingUnderMetSuspensionCondition</t>
  </si>
  <si>
    <t>fg-process-steward-RoleAssignments.HasDeclaredSuspensionCondition</t>
  </si>
  <si>
    <t>fg-process-steward-RoleAssignments.HasApprovingAuthority</t>
  </si>
  <si>
    <t>fg-process-steward-RoleAssignments.HasAuthorizingChangeRequest</t>
  </si>
  <si>
    <t>fg-process-steward-RoleAssignments.IsEnforcementRole</t>
  </si>
  <si>
    <t>fg-process-steward-RoleAssignments.IsUnauthorizedEnforcementAgent</t>
  </si>
  <si>
    <t>fg-process-steward-RoleAssignments.GovernanceEvidenceCount</t>
  </si>
  <si>
    <t>fg-process-steward-RoleAssignments.UnauthorizedEnforcementRoleKey</t>
  </si>
  <si>
    <t>fg-process-steward-RoleAssignments.SemanticTypeIri</t>
  </si>
  <si>
    <t>fg-process-steward-RoleQuestions.RoleQuestionId</t>
  </si>
  <si>
    <t>fg-process-steward-RoleQuestions.Name</t>
  </si>
  <si>
    <t>fg-process-steward-RoleQuestions.AskingRole</t>
  </si>
  <si>
    <t>fg-process-steward-RoleQuestions.WitnessLoop</t>
  </si>
  <si>
    <t>fg-process-steward-RoleQuestions.QuestionText</t>
  </si>
  <si>
    <t>fg-process-steward-RoleQuestions.WhyItMatters</t>
  </si>
  <si>
    <t>fg-process-steward-RoleQuestions.AnswerableBefore</t>
  </si>
  <si>
    <t>fg-process-steward-RoleQuestions.PredicateCount</t>
  </si>
  <si>
    <t>fg-process-steward-RoleQuestions.IsAnswered</t>
  </si>
  <si>
    <t>fg-process-steward-RoleQuestions.WitnessedAnswer</t>
  </si>
  <si>
    <t>fg-process-steward-RoleQuestions.SemanticTypeIri</t>
  </si>
  <si>
    <t>fg-process-steward-Roles.RoleId</t>
  </si>
  <si>
    <t>fg-process-steward-Roles.Name</t>
  </si>
  <si>
    <t>fg-process-steward-Roles.Label</t>
  </si>
  <si>
    <t>fg-process-steward-Roles.Organization</t>
  </si>
  <si>
    <t>fg-process-steward-Roles.CurrentAgent</t>
  </si>
  <si>
    <t>fg-process-steward-Roles.CurrentAgentKind</t>
  </si>
  <si>
    <t>fg-process-steward-Roles.Responsibility</t>
  </si>
  <si>
    <t>fg-process-steward-Roles.ActiveAssignmentCount</t>
  </si>
  <si>
    <t>fg-process-steward-Roles.CurrentlyCoveredAssignmentCount</t>
  </si>
  <si>
    <t>fg-process-steward-Roles.HasNoCurrentHolder</t>
  </si>
  <si>
    <t>fg-process-steward-Roles.CountOfAwaitedDecisions</t>
  </si>
  <si>
    <t>fg-process-steward-Roles.CurrentAssignment</t>
  </si>
  <si>
    <t>fg-process-steward-Roles.CurrentAssignmentValidFrom</t>
  </si>
  <si>
    <t>fg-process-steward-Roles.IsNonHumanHeld</t>
  </si>
  <si>
    <t>fg-process-steward-Roles.IsUngovernedNonHumanRole</t>
  </si>
  <si>
    <t>fg-process-steward-Roles.DepartedAssignmentCount</t>
  </si>
  <si>
    <t>fg-process-steward-Roles.HasLostAHolder</t>
  </si>
  <si>
    <t>fg-process-steward-Roles.IsVacatedRole</t>
  </si>
  <si>
    <t>fg-process-steward-Roles.UngroundedBoundaryCount</t>
  </si>
  <si>
    <t>fg-process-steward-Roles.IsGovernedByLapsedAuthority</t>
  </si>
  <si>
    <t>fg-process-steward-Roles.UnescalatedRefusalCount</t>
  </si>
  <si>
    <t>fg-process-steward-Roles.UnauthorizedEnforcementAssignmentCount</t>
  </si>
  <si>
    <t>fg-process-steward-Roles.IsUngovernedEnforcementRole</t>
  </si>
  <si>
    <t>fg-process-steward-Roles.SemanticTypeIri</t>
  </si>
  <si>
    <t>fg-process-steward-RulebookFields.RulebookFieldId</t>
  </si>
  <si>
    <t>fg-process-steward-RulebookFields.Name</t>
  </si>
  <si>
    <t>fg-process-steward-RulebookFields.TargetTable</t>
  </si>
  <si>
    <t>fg-process-steward-RulebookFields.FieldName</t>
  </si>
  <si>
    <t>fg-process-steward-RulebookFields.FieldType</t>
  </si>
  <si>
    <t>fg-process-steward-RulebookFields.Datatype</t>
  </si>
  <si>
    <t>fg-process-steward-RulebookFields.Formula</t>
  </si>
  <si>
    <t>fg-process-steward-RulebookFields.InventedForQuestion</t>
  </si>
  <si>
    <t>fg-process-steward-RulebookFields.IsDerived</t>
  </si>
  <si>
    <t>fg-process-steward-RulebookFields.IsWitness</t>
  </si>
  <si>
    <t>fg-process-steward-RulebookFields.SemanticTypeIri</t>
  </si>
  <si>
    <t>fg-process-steward-RulebookReleases.RulebookReleaseId</t>
  </si>
  <si>
    <t>fg-process-steward-RulebookReleases.Name</t>
  </si>
  <si>
    <t>fg-process-steward-RulebookReleases.RulebookVersion</t>
  </si>
  <si>
    <t>fg-process-steward-RulebookReleases.ProfileVersion</t>
  </si>
  <si>
    <t>fg-process-steward-RulebookReleases.ProfileSchemaPath</t>
  </si>
  <si>
    <t>fg-process-steward-RulebookReleases.PkoCoreVersionIri</t>
  </si>
  <si>
    <t>fg-process-steward-RulebookReleases.PkoIndustryVersionIri</t>
  </si>
  <si>
    <t>fg-process-steward-RulebookReleases.IssuedAt</t>
  </si>
  <si>
    <t>fg-process-steward-RulebookReleases.Status</t>
  </si>
  <si>
    <t>fg-process-steward-RulebookReleases.Changelog</t>
  </si>
  <si>
    <t>fg-process-steward-RulebookReleases.IsCurrent</t>
  </si>
  <si>
    <t>fg-process-steward-SemanticMappings.SemanticMappingId</t>
  </si>
  <si>
    <t>fg-process-steward-SemanticMappings.Name</t>
  </si>
  <si>
    <t>fg-process-steward-SemanticMappings.SourcePath</t>
  </si>
  <si>
    <t>fg-process-steward-SemanticMappings.MappingKind</t>
  </si>
  <si>
    <t>fg-process-steward-SemanticMappings.TargetIri</t>
  </si>
  <si>
    <t>fg-process-steward-SemanticMappings.MappingRelation</t>
  </si>
  <si>
    <t>fg-process-steward-SemanticMappings.OntologyProfile</t>
  </si>
  <si>
    <t>fg-process-steward-SemanticMappings.Notes</t>
  </si>
  <si>
    <t>fg-process-steward-SendIntents.SendIntentId</t>
  </si>
  <si>
    <t>fg-process-steward-SendIntents.Name</t>
  </si>
  <si>
    <t>fg-process-steward-SendIntents.ProcedureExecution</t>
  </si>
  <si>
    <t>fg-process-steward-SendIntents.StepExecution</t>
  </si>
  <si>
    <t>fg-process-steward-SendIntents.Recipient</t>
  </si>
  <si>
    <t>fg-process-steward-SendIntents.MessageTemplate</t>
  </si>
  <si>
    <t>fg-process-steward-SendIntents.ProposedBody</t>
  </si>
  <si>
    <t>fg-process-steward-SendIntents.ProposedSendAtLocalHour</t>
  </si>
  <si>
    <t>fg-process-steward-SendIntents.EvaluatedAt</t>
  </si>
  <si>
    <t>fg-process-steward-SendIntents.ResultingDelivery</t>
  </si>
  <si>
    <t>fg-process-steward-SendIntents.IntentPolicy</t>
  </si>
  <si>
    <t>fg-process-steward-SendIntents.IntentChannel</t>
  </si>
  <si>
    <t>fg-process-steward-SendIntents.PolicyIsActive</t>
  </si>
  <si>
    <t>fg-process-steward-SendIntents.IntentRequiresConsent</t>
  </si>
  <si>
    <t>fg-process-steward-SendIntents.RecipientHasChannelConsent</t>
  </si>
  <si>
    <t>fg-process-steward-SendIntents.ConsentGatePassed</t>
  </si>
  <si>
    <t>fg-process-steward-SendIntents.RecipientIsSmsReachable</t>
  </si>
  <si>
    <t>fg-process-steward-SendIntents.RecipientIsEmailReachable</t>
  </si>
  <si>
    <t>fg-process-steward-SendIntents.ReachabilityGatePassed</t>
  </si>
  <si>
    <t>fg-process-steward-SendIntents.PermissionGatePassed</t>
  </si>
  <si>
    <t>fg-process-steward-SendIntents.IntentQuietStartHour</t>
  </si>
  <si>
    <t>fg-process-steward-SendIntents.IntentQuietEndHour</t>
  </si>
  <si>
    <t>fg-process-steward-SendIntents.IntentPolicyHasQuietHours</t>
  </si>
  <si>
    <t>fg-process-steward-SendIntents.IntentQuietWindowWraps</t>
  </si>
  <si>
    <t>fg-process-steward-SendIntents.IntentIsInsideQuietWindow</t>
  </si>
  <si>
    <t>fg-process-steward-SendIntents.TimingGatePassed</t>
  </si>
  <si>
    <t>fg-process-steward-SendIntents.HoursUntilWindowOpens</t>
  </si>
  <si>
    <t>fg-process-steward-SendIntents.IntentMaxMessageLength</t>
  </si>
  <si>
    <t>fg-process-steward-SendIntents.IntentMaxSegments</t>
  </si>
  <si>
    <t>fg-process-steward-SendIntents.ProposedBodyLength</t>
  </si>
  <si>
    <t>fg-process-steward-SendIntents.ProposedSegmentCount</t>
  </si>
  <si>
    <t>fg-process-steward-SendIntents.LengthGatePassed</t>
  </si>
  <si>
    <t>fg-process-steward-SendIntents.IntentRequiredOptOutPhrase</t>
  </si>
  <si>
    <t>fg-process-steward-SendIntents.ProposedOptOutPosition</t>
  </si>
  <si>
    <t>fg-process-steward-SendIntents.OptOutGatePassed</t>
  </si>
  <si>
    <t>fg-process-steward-SendIntents.ContentGatePassed</t>
  </si>
  <si>
    <t>fg-process-steward-SendIntents.TemplateIsSendable</t>
  </si>
  <si>
    <t>fg-process-steward-SendIntents.ExecutionHasLegalClearance</t>
  </si>
  <si>
    <t>fg-process-steward-SendIntents.IntentApprovalRole</t>
  </si>
  <si>
    <t>fg-process-steward-SendIntents.ApprovalRoleAgentKind</t>
  </si>
  <si>
    <t>fg-process-steward-SendIntents.ApprovalIsHuman</t>
  </si>
  <si>
    <t>fg-process-steward-SendIntents.AuthorizationGatePassed</t>
  </si>
  <si>
    <t>fg-process-steward-SendIntents.IsClearedToSend</t>
  </si>
  <si>
    <t>fg-process-steward-SendIntents.BlockingGateName</t>
  </si>
  <si>
    <t>fg-process-steward-SendIntents.HasResultingDelivery</t>
  </si>
  <si>
    <t>fg-process-steward-SendIntents.ResultingDeliveryWasTransmitted</t>
  </si>
  <si>
    <t>fg-process-steward-SendIntents.IsOverriddenRefusal</t>
  </si>
  <si>
    <t>fg-process-steward-SendIntents.IsSilentlyDropped</t>
  </si>
  <si>
    <t>fg-process-steward-SendIntents.ResultingDeliveryException</t>
  </si>
  <si>
    <t>fg-process-steward-SendIntents.RefusalCitedAnException</t>
  </si>
  <si>
    <t>fg-process-steward-SendIntents.IsProperlyHandledRefusal</t>
  </si>
  <si>
    <t>fg-process-steward-SendIntents.RefusalFailureExecutionKey</t>
  </si>
  <si>
    <t>fg-process-steward-SendIntents.IntentExecutionKey</t>
  </si>
  <si>
    <t>fg-process-steward-SendIntents.DeliveredIntentExecutionKey</t>
  </si>
  <si>
    <t>fg-process-steward-SendIntents.DroppedIntentExecutionKey</t>
  </si>
  <si>
    <t>fg-process-steward-SendIntents.MyApprovalWasInForce</t>
  </si>
  <si>
    <t>fg-process-steward-SendIntents.RefusedOnApprovedContent</t>
  </si>
  <si>
    <t>fg-process-steward-SendIntents.RefusedOnOptOutOnly</t>
  </si>
  <si>
    <t>fg-process-steward-SendIntents.RefusalWasOnMyRules</t>
  </si>
  <si>
    <t>fg-process-steward-SendIntents.RefusalWasOutsideMyControl</t>
  </si>
  <si>
    <t>fg-process-steward-SendIntents.ApproverWasNotified</t>
  </si>
  <si>
    <t>fg-process-steward-SendIntents.IsUnreportedRefusalOnMyRules</t>
  </si>
  <si>
    <t>fg-process-steward-SendIntents.IsApprovalOverriddenSilently</t>
  </si>
  <si>
    <t>fg-process-steward-SendIntents.AlternateChannelIntent</t>
  </si>
  <si>
    <t>fg-process-steward-SendIntents.HasAlternateChannelAttempt</t>
  </si>
  <si>
    <t>fg-process-steward-SendIntents.AlternateAttemptWasCleared</t>
  </si>
  <si>
    <t>fg-process-steward-SendIntents.IsRefusedWithNoAlternative</t>
  </si>
  <si>
    <t>fg-process-steward-SendIntents.ExceptionPrescribedAnAlternative</t>
  </si>
  <si>
    <t>fg-process-steward-SendIntents.PrescribedHandlingWasPerformed</t>
  </si>
  <si>
    <t>fg-process-steward-SendIntents.IsSuppressionWithoutRemedy</t>
  </si>
  <si>
    <t>fg-process-steward-SendIntents.RefusalRecordedAt</t>
  </si>
  <si>
    <t>fg-process-steward-SendIntents.RefusalNotifiedRole</t>
  </si>
  <si>
    <t>fg-process-steward-SendIntents.HasDurableRefusalRecord</t>
  </si>
  <si>
    <t>fg-process-steward-SendIntents.RefusalWasEscalated</t>
  </si>
  <si>
    <t>fg-process-steward-SendIntents.IsUnrecordedRefusal</t>
  </si>
  <si>
    <t>fg-process-steward-SendIntents.IsUnescalatedRefusal</t>
  </si>
  <si>
    <t>fg-process-steward-SendIntents.UnescalatedRefusalRoleKey</t>
  </si>
  <si>
    <t>fg-process-steward-SendIntents.UnrecordedRefusalExecutionKey</t>
  </si>
  <si>
    <t>fg-process-steward-SendIntents.RetryIntent</t>
  </si>
  <si>
    <t>fg-process-steward-SendIntents.WasDeferredOnTiming</t>
  </si>
  <si>
    <t>fg-process-steward-SendIntents.EvaluationContext</t>
  </si>
  <si>
    <t>fg-process-steward-SendIntents.AsOfInstant</t>
  </si>
  <si>
    <t>fg-process-steward-SendIntents.WindowHasSinceReopened</t>
  </si>
  <si>
    <t>fg-process-steward-SendIntents.HasRetryAttempt</t>
  </si>
  <si>
    <t>fg-process-steward-SendIntents.RetryWasCleared</t>
  </si>
  <si>
    <t>fg-process-steward-SendIntents.IsAbandonedDeferral</t>
  </si>
  <si>
    <t>fg-process-steward-SendIntents.DeferralAgeHours</t>
  </si>
  <si>
    <t>fg-process-steward-SendIntents.IsStaleDeferral</t>
  </si>
  <si>
    <t>fg-process-steward-SendIntents.EvaluatingRoleAssignment</t>
  </si>
  <si>
    <t>fg-process-steward-SendIntents.EnforcedByUnauthorizedAgent</t>
  </si>
  <si>
    <t>fg-process-steward-SendIntents.ConsentInputWasResolvable</t>
  </si>
  <si>
    <t>fg-process-steward-SendIntents.RecipientConsentStatusRaw</t>
  </si>
  <si>
    <t>fg-process-steward-SendIntents.PolicyInputWasResolvable</t>
  </si>
  <si>
    <t>fg-process-steward-SendIntents.AllGateInputsResolved</t>
  </si>
  <si>
    <t>fg-process-steward-SendIntents.IsUnevaluableRefusal</t>
  </si>
  <si>
    <t>fg-process-steward-SendIntents.GateResultWasIndependentlyConfirmed</t>
  </si>
  <si>
    <t>fg-process-steward-SendIntents.IsSelfWitnessedDecision</t>
  </si>
  <si>
    <t>fg-process-steward-SendIntents.IsIndependentlyConfirmed</t>
  </si>
  <si>
    <t>fg-process-steward-SendIntents.IndependentlyConfirmedExecutionKey</t>
  </si>
  <si>
    <t>fg-process-steward-SendIntents.SemanticTypeIri</t>
  </si>
  <si>
    <t>fg-process-steward-StepActions.StepActionId</t>
  </si>
  <si>
    <t>fg-process-steward-StepActions.Name</t>
  </si>
  <si>
    <t>fg-process-steward-StepActions.Step</t>
  </si>
  <si>
    <t>fg-process-steward-StepActions.Action</t>
  </si>
  <si>
    <t>fg-process-steward-StepExecutions.StepExecutionId</t>
  </si>
  <si>
    <t>fg-process-steward-StepExecutions.Name</t>
  </si>
  <si>
    <t>fg-process-steward-StepExecutions.ProcedureExecution</t>
  </si>
  <si>
    <t>fg-process-steward-StepExecutions.Step</t>
  </si>
  <si>
    <t>fg-process-steward-StepExecutions.ExecutedByAgent</t>
  </si>
  <si>
    <t>fg-process-steward-StepExecutions.ExecutionStatus</t>
  </si>
  <si>
    <t>fg-process-steward-StepExecutions.StartedAt</t>
  </si>
  <si>
    <t>fg-process-steward-StepExecutions.EndedAt</t>
  </si>
  <si>
    <t>fg-process-steward-StepExecutions.VerificationResult</t>
  </si>
  <si>
    <t>fg-process-steward-StepExecutions.Deviation</t>
  </si>
  <si>
    <t>fg-process-steward-StepExecutions.ActualDurationMinutes</t>
  </si>
  <si>
    <t>fg-process-steward-StepExecutions.ExpectedDurationMinutes</t>
  </si>
  <si>
    <t>fg-process-steward-StepExecutions.IsLate</t>
  </si>
  <si>
    <t>fg-process-steward-StepExecutions.BlockingUnmetCount</t>
  </si>
  <si>
    <t>fg-process-steward-StepExecutions.BlockingUnmetCountSafe</t>
  </si>
  <si>
    <t>fg-process-steward-StepExecutions.ProceededPastBlockingControl</t>
  </si>
  <si>
    <t>fg-process-steward-StepExecutions.ExpectedBlockingCount</t>
  </si>
  <si>
    <t>fg-process-steward-StepExecutions.EvaluatedBlockingCount</t>
  </si>
  <si>
    <t>fg-process-steward-StepExecutions.UnevaluatedBlockingCount</t>
  </si>
  <si>
    <t>fg-process-steward-StepExecutions.HasUnevaluatedBlockingControl</t>
  </si>
  <si>
    <t>fg-process-steward-StepExecutions.StaleAuthoritativeSourceCount</t>
  </si>
  <si>
    <t>fg-process-steward-StepExecutions.RanOnStaleAuthoritativeSource</t>
  </si>
  <si>
    <t>fg-process-steward-StepExecutions.HasDeviationNote</t>
  </si>
  <si>
    <t>fg-process-steward-StepExecutions.IsLateAndUnexplained</t>
  </si>
  <si>
    <t>fg-process-steward-StepExecutions.AvailableExceptionCountForStep</t>
  </si>
  <si>
    <t>fg-process-steward-StepExecutions.HadUninvokedExceptionAvailable</t>
  </si>
  <si>
    <t>fg-process-steward-StepExecutions.ExpectedVerificationCount</t>
  </si>
  <si>
    <t>fg-process-steward-StepExecutions.PerformedVerificationCount</t>
  </si>
  <si>
    <t>fg-process-steward-StepExecutions.SkippedVerificationCount</t>
  </si>
  <si>
    <t>fg-process-steward-StepExecutions.HasSkippedVerification</t>
  </si>
  <si>
    <t>fg-process-steward-StepExecutions.ClaimsPassWithoutEvidence</t>
  </si>
  <si>
    <t>fg-process-steward-StepExecutions.StepIsPreparation</t>
  </si>
  <si>
    <t>fg-process-steward-StepExecutions.StepIsApproval</t>
  </si>
  <si>
    <t>fg-process-steward-StepExecutions.PreparerAgentKey</t>
  </si>
  <si>
    <t>fg-process-steward-StepExecutions.ApproverAgentKey</t>
  </si>
  <si>
    <t>fg-process-steward-StepExecutions.PreparedByThisAgentCount</t>
  </si>
  <si>
    <t>fg-process-steward-StepExecutions.ViolatesSeparationOfDuties</t>
  </si>
  <si>
    <t>fg-process-steward-StepExecutions.RequiredRoleForStep</t>
  </si>
  <si>
    <t>fg-process-steward-StepExecutions.ExecutorRoleKey</t>
  </si>
  <si>
    <t>fg-process-steward-StepExecutions.ExecutorAuthorityCount</t>
  </si>
  <si>
    <t>fg-process-steward-StepExecutions.ExecutorHeldRequiredRole</t>
  </si>
  <si>
    <t>fg-process-steward-StepExecutions.IsUnauthorizedApproval</t>
  </si>
  <si>
    <t>fg-process-steward-StepExecutions.CompletedExecutionKey</t>
  </si>
  <si>
    <t>fg-process-steward-StepExecutions.ControlBreachExecutionKey</t>
  </si>
  <si>
    <t>fg-process-steward-StepExecutions.LateExecutionKey</t>
  </si>
  <si>
    <t>fg-process-steward-StepExecutions.ExecutorAgentKind</t>
  </si>
  <si>
    <t>fg-process-steward-StepExecutions.ExecutorIsHuman</t>
  </si>
  <si>
    <t>fg-process-steward-StepExecutions.StepRequiresHumanConfirmation</t>
  </si>
  <si>
    <t>fg-process-steward-StepExecutions.NonHumanRanHumanStep</t>
  </si>
  <si>
    <t>fg-process-steward-StepExecutions.NonHumanApproval</t>
  </si>
  <si>
    <t>fg-process-steward-StepExecutions.UnevaluatedBlockingExecutionKey</t>
  </si>
  <si>
    <t>fg-process-steward-StepExecutions.SeparationViolationExecutionKey</t>
  </si>
  <si>
    <t>fg-process-steward-StepExecutions.SelfWitnessedVerificationCount</t>
  </si>
  <si>
    <t>fg-process-steward-StepExecutions.UnbackedVerificationCount</t>
  </si>
  <si>
    <t>fg-process-steward-StepExecutions.ApprovalRestsOnSelfAttestation</t>
  </si>
  <si>
    <t>fg-process-steward-StepExecutions.ExceptionInvocationCount</t>
  </si>
  <si>
    <t>fg-process-steward-StepExecutions.RanUnderException</t>
  </si>
  <si>
    <t>fg-process-steward-StepExecutions.IsCompleted</t>
  </si>
  <si>
    <t>fg-process-steward-StepExecutions.IsVerificationPassed</t>
  </si>
  <si>
    <t>fg-process-steward-StepExecutions.IsLegalReviewStep</t>
  </si>
  <si>
    <t>fg-process-steward-StepExecutions.ClearedLegalReviewKey</t>
  </si>
  <si>
    <t>fg-process-steward-StepExecutions.AssignedRole</t>
  </si>
  <si>
    <t>fg-process-steward-StepExecutions.RoleCurrentAgent</t>
  </si>
  <si>
    <t>fg-process-steward-StepExecutions.ExecutorIsDesignatedAgent</t>
  </si>
  <si>
    <t>fg-process-steward-StepExecutions.InputsWereFreshAtRun</t>
  </si>
  <si>
    <t>fg-process-steward-StepExecutions.RanOnStaleInputs</t>
  </si>
  <si>
    <t>fg-process-steward-StepExecutions.UnresolvedIssueCount</t>
  </si>
  <si>
    <t>fg-process-steward-StepExecutions.HasDeviation</t>
  </si>
  <si>
    <t>fg-process-steward-StepExecutions.IsClean</t>
  </si>
  <si>
    <t>fg-process-steward-StepExecutions.ProcedureExecutionWhenUnclean</t>
  </si>
  <si>
    <t>fg-process-steward-StepExecutions.EvaluatedRequirementCount</t>
  </si>
  <si>
    <t>fg-process-steward-StepExecutions.RequiredBlockingCount</t>
  </si>
  <si>
    <t>fg-process-steward-StepExecutions.HasUnevaluatedBlockingRequirement</t>
  </si>
  <si>
    <t>fg-process-steward-StepExecutions.ExecutingAgentKind</t>
  </si>
  <si>
    <t>fg-process-steward-StepExecutions.WasExecutedBySoftware</t>
  </si>
  <si>
    <t>fg-process-steward-StepExecutions.StepIsSoftwareAssigned</t>
  </si>
  <si>
    <t>fg-process-steward-StepExecutions.SoftwareDidHumanWork</t>
  </si>
  <si>
    <t>fg-process-steward-StepExecutions.IsApprovalExecution</t>
  </si>
  <si>
    <t>fg-process-steward-StepExecutions.IsVerified</t>
  </si>
  <si>
    <t>fg-process-steward-StepExecutions.UnconfirmedNonHumanDecisionCount</t>
  </si>
  <si>
    <t>fg-process-steward-StepExecutions.RequiresHumanConfirmation</t>
  </si>
  <si>
    <t>fg-process-steward-StepExecutions.HumanConfirmationMissing</t>
  </si>
  <si>
    <t>fg-process-steward-StepExecutions.DraftedFromUnusableSource</t>
  </si>
  <si>
    <t>fg-process-steward-StepExecutions.InputsWereUsable</t>
  </si>
  <si>
    <t>fg-process-steward-StepExecutions.SoftwareExecutionStepKey</t>
  </si>
  <si>
    <t>fg-process-steward-StepExecutions.StepControlKind</t>
  </si>
  <si>
    <t>fg-process-steward-StepExecutions.UnfalsifiedClearanceCount</t>
  </si>
  <si>
    <t>fg-process-steward-StepExecutions.AllClearancesAreUnfalsified</t>
  </si>
  <si>
    <t>fg-process-steward-StepExecutions.StaleAtRunCount</t>
  </si>
  <si>
    <t>fg-process-steward-StepExecutions.WasStaleWhenIRanIt</t>
  </si>
  <si>
    <t>fg-process-steward-StepExecutions.StalenessAnswerIsTenseDependent</t>
  </si>
  <si>
    <t>fg-process-steward-StepExecutions.HasAnyDeclaredCheck</t>
  </si>
  <si>
    <t>fg-process-steward-StepExecutions.PerformedCheckCount</t>
  </si>
  <si>
    <t>fg-process-steward-StepExecutions.DeclaredCheckCount</t>
  </si>
  <si>
    <t>fg-process-steward-StepExecutions.IsUncheckedByDesign</t>
  </si>
  <si>
    <t>fg-process-steward-StepExecutions.IsVacuouslyClean</t>
  </si>
  <si>
    <t>fg-process-steward-StepExecutions.IsSubstantivelyClean</t>
  </si>
  <si>
    <t>fg-process-steward-StepExecutions.VacuouslyCleanExecutionKey</t>
  </si>
  <si>
    <t>fg-process-steward-StepExecutions.UncorroboratedPassCount</t>
  </si>
  <si>
    <t>fg-process-steward-StepExecutions.EvidencePositionIsWeak</t>
  </si>
  <si>
    <t>fg-process-steward-StepExecutions.PreparationExecutionKey</t>
  </si>
  <si>
    <t>fg-process-steward-StepExecutions.ApprovalExecutionKey</t>
  </si>
  <si>
    <t>fg-process-steward-StepExecutions.HasGoverningInstrument</t>
  </si>
  <si>
    <t>fg-process-steward-StepExecutions.HasApprovedChangeCoverage</t>
  </si>
  <si>
    <t>fg-process-steward-StepExecutions.VersionOfStep</t>
  </si>
  <si>
    <t>fg-process-steward-StepExecutions.IsUngovernedDivergence</t>
  </si>
  <si>
    <t>fg-process-steward-StepExecutions.UngovernedDivergenceExecutionKey</t>
  </si>
  <si>
    <t>fg-process-steward-StepExecutions.SelfAttestedApprovalExecutionKey</t>
  </si>
  <si>
    <t>fg-process-steward-StepExecutions.SemanticTypeIri</t>
  </si>
  <si>
    <t>fg-process-steward-StepFunctions.StepFunctionId</t>
  </si>
  <si>
    <t>fg-process-steward-StepFunctions.Name</t>
  </si>
  <si>
    <t>fg-process-steward-StepFunctions.Step</t>
  </si>
  <si>
    <t>fg-process-steward-StepFunctions.Function</t>
  </si>
  <si>
    <t>fg-process-steward-StepRequirements.StepRequirementId</t>
  </si>
  <si>
    <t>fg-process-steward-StepRequirements.Name</t>
  </si>
  <si>
    <t>fg-process-steward-StepRequirements.Step</t>
  </si>
  <si>
    <t>fg-process-steward-StepRequirements.Requirement</t>
  </si>
  <si>
    <t>fg-process-steward-StepRequirements.RequirementIsBlocking</t>
  </si>
  <si>
    <t>fg-process-steward-StepRequirements.BlockingStepKey</t>
  </si>
  <si>
    <t>fg-process-steward-StepRequirements.StepWhenBlocking</t>
  </si>
  <si>
    <t>fg-process-steward-StepRequirements.RequirementLacksWitness</t>
  </si>
  <si>
    <t>fg-process-steward-StepRequirements.UnwitnessedStepKey</t>
  </si>
  <si>
    <t>fg-process-steward-StepRequirements.SatisfactionCountForBinding</t>
  </si>
  <si>
    <t>fg-process-steward-StepRequirements.BindingWasEverExercised</t>
  </si>
  <si>
    <t>fg-process-steward-StepRequirements.IsUnexercisedBlockingBinding</t>
  </si>
  <si>
    <t>fg-process-steward-StepRequirements.UnexercisedBindingRequirementKey</t>
  </si>
  <si>
    <t>fg-process-steward-StepTools.StepToolId</t>
  </si>
  <si>
    <t>fg-process-steward-StepTools.Name</t>
  </si>
  <si>
    <t>fg-process-steward-StepTools.Step</t>
  </si>
  <si>
    <t>fg-process-steward-StepTools.Tool</t>
  </si>
  <si>
    <t>fg-process-steward-StepTransitions.StepTransitionId</t>
  </si>
  <si>
    <t>fg-process-steward-StepTransitions.Name</t>
  </si>
  <si>
    <t>fg-process-steward-StepTransitions.ProcedureVersion</t>
  </si>
  <si>
    <t>fg-process-steward-StepTransitions.FromStep</t>
  </si>
  <si>
    <t>fg-process-steward-StepTransitions.ToStep</t>
  </si>
  <si>
    <t>fg-process-steward-StepTransitions.TransitionKind</t>
  </si>
  <si>
    <t>fg-process-steward-StepTransitions.Condition</t>
  </si>
  <si>
    <t>fg-process-steward-StepTransitions.Priority</t>
  </si>
  <si>
    <t>fg-process-steward-StepTransitions.IsRecoveryPath</t>
  </si>
  <si>
    <t>fg-process-steward-StepTransitions.CountOfFromStepExecutions</t>
  </si>
  <si>
    <t>fg-process-steward-StepTransitions.CountOfToStepExecutions</t>
  </si>
  <si>
    <t>fg-process-steward-StepTransitions.HasReachableOrigin</t>
  </si>
  <si>
    <t>fg-process-steward-StepTransitions.HasReachableTarget</t>
  </si>
  <si>
    <t>fg-process-steward-StepTransitions.IsNeverExercised</t>
  </si>
  <si>
    <t>fg-process-steward-StepTransitions.IsUntestedRecoveryPath</t>
  </si>
  <si>
    <t>fg-process-steward-StepTransitions.CountOfObservedTraversals</t>
  </si>
  <si>
    <t>fg-process-steward-StepTransitions.HasBeenTraversed</t>
  </si>
  <si>
    <t>fg-process-steward-StepTransitions.IsUnwalkedRecoveryPath</t>
  </si>
  <si>
    <t>fg-process-steward-StepTransitions.TargetBlockingRequirementCount</t>
  </si>
  <si>
    <t>fg-process-steward-StepTransitions.TargetCarriesBlockingControl</t>
  </si>
  <si>
    <t>fg-process-steward-StepTransitions.IsUnrehearsedControlEntry</t>
  </si>
  <si>
    <t>fg-process-steward-StepTransitions.UnrehearsedControlVersionKey</t>
  </si>
  <si>
    <t>fg-process-steward-StepTransitions.SemanticTypeIri</t>
  </si>
  <si>
    <t>fg-process-steward-StepVerifications.StepVerificationId</t>
  </si>
  <si>
    <t>fg-process-steward-StepVerifications.Name</t>
  </si>
  <si>
    <t>fg-process-steward-StepVerifications.Step</t>
  </si>
  <si>
    <t>fg-process-steward-StepVerifications.VerificationKind</t>
  </si>
  <si>
    <t>fg-process-steward-StepVerifications.SignalIdentifier</t>
  </si>
  <si>
    <t>fg-process-steward-StepVerifications.ExpectedSignalValue</t>
  </si>
  <si>
    <t>fg-process-steward-StepVerifications.Instruction</t>
  </si>
  <si>
    <t>fg-process-steward-StepVerifications.SemanticTypeIri</t>
  </si>
  <si>
    <t>fg-process-steward-Steps.StepId</t>
  </si>
  <si>
    <t>fg-process-steward-Steps.Name</t>
  </si>
  <si>
    <t>fg-process-steward-Steps.ProcedureVersion</t>
  </si>
  <si>
    <t>fg-process-steward-Steps.StepNumber</t>
  </si>
  <si>
    <t>fg-process-steward-Steps.Title</t>
  </si>
  <si>
    <t>fg-process-steward-Steps.StepKind</t>
  </si>
  <si>
    <t>fg-process-steward-Steps.AssignedRole</t>
  </si>
  <si>
    <t>fg-process-steward-Steps.AssignedRoleLabel</t>
  </si>
  <si>
    <t>fg-process-steward-Steps.AssignedAgentKind</t>
  </si>
  <si>
    <t>fg-process-steward-Steps.Instruction</t>
  </si>
  <si>
    <t>fg-process-steward-Steps.ExpectedDurationMinutes</t>
  </si>
  <si>
    <t>fg-process-steward-Steps.ExpertiseLevel</t>
  </si>
  <si>
    <t>fg-process-steward-Steps.RequiresHumanConfirmation</t>
  </si>
  <si>
    <t>fg-process-steward-Steps.BlockingRequirementCount</t>
  </si>
  <si>
    <t>fg-process-steward-Steps.StaleBindingCount</t>
  </si>
  <si>
    <t>fg-process-steward-Steps.AuthoritativeStaleCount</t>
  </si>
  <si>
    <t>fg-process-steward-Steps.AvailableExceptionCount</t>
  </si>
  <si>
    <t>fg-process-steward-Steps.DeclaredVerificationCount</t>
  </si>
  <si>
    <t>fg-process-steward-Steps.IsPreparationStep</t>
  </si>
  <si>
    <t>fg-process-steward-Steps.IsApprovalStep</t>
  </si>
  <si>
    <t>fg-process-steward-Steps.StaleAuthoritativeBindingCount</t>
  </si>
  <si>
    <t>fg-process-steward-Steps.InputsAreFresh</t>
  </si>
  <si>
    <t>fg-process-steward-Steps.IsSoftwareAssigned</t>
  </si>
  <si>
    <t>fg-process-steward-Steps.IsHumanApprovalGate</t>
  </si>
  <si>
    <t>fg-process-steward-Steps.GateHeldByHuman</t>
  </si>
  <si>
    <t>fg-process-steward-Steps.BindingBoundaryCount</t>
  </si>
  <si>
    <t>fg-process-steward-Steps.AssignedRoleIsUngoverned</t>
  </si>
  <si>
    <t>fg-process-steward-Steps.UnusableBindingCount</t>
  </si>
  <si>
    <t>fg-process-steward-Steps.AllSourcesUsable</t>
  </si>
  <si>
    <t>fg-process-steward-Steps.ControlKind</t>
  </si>
  <si>
    <t>fg-process-steward-Steps.UnwarrantedBoundaryCount</t>
  </si>
  <si>
    <t>fg-process-steward-Steps.IsGovernedByUnwarrantedBoundary</t>
  </si>
  <si>
    <t>fg-process-steward-Steps.SoftwareExecutionCount</t>
  </si>
  <si>
    <t>fg-process-steward-Steps.HasBeenApproachedBySoftware</t>
  </si>
  <si>
    <t>fg-process-steward-Steps.IsUnexercisedHumanGate</t>
  </si>
  <si>
    <t>fg-process-steward-Steps.IsDemonstratedHumanGate</t>
  </si>
  <si>
    <t>fg-process-steward-Steps.UnexercisedGateVersionKey</t>
  </si>
  <si>
    <t>fg-process-steward-Steps.HasDeclaredControlKind</t>
  </si>
  <si>
    <t>fg-process-steward-Steps.UndeclaredControlVersionKey</t>
  </si>
  <si>
    <t>fg-process-steward-Steps.ApprovalStepIsSoftwareAssigned</t>
  </si>
  <si>
    <t>fg-process-steward-Steps.UnwitnessedBlockingCount</t>
  </si>
  <si>
    <t>fg-process-steward-Steps.SemanticTypeIri</t>
  </si>
  <si>
    <t>fg-process-steward-StewardshipAssignments.StewardshipAssignmentId</t>
  </si>
  <si>
    <t>fg-process-steward-StewardshipAssignments.Name</t>
  </si>
  <si>
    <t>fg-process-steward-StewardshipAssignments.ProcedureVersion</t>
  </si>
  <si>
    <t>fg-process-steward-StewardshipAssignments.StewardRole</t>
  </si>
  <si>
    <t>fg-process-steward-StewardshipAssignments.AuthorityRole</t>
  </si>
  <si>
    <t>fg-process-steward-StewardshipAssignments.ValidFrom</t>
  </si>
  <si>
    <t>fg-process-steward-StewardshipAssignments.ValidTo</t>
  </si>
  <si>
    <t>fg-process-steward-StewardshipAssignments.ReviewCadenceDays</t>
  </si>
  <si>
    <t>fg-process-steward-StewardshipAssignments.CountOfReviewEvents</t>
  </si>
  <si>
    <t>fg-process-steward-StewardshipAssignments.HasEverBeenReviewed</t>
  </si>
  <si>
    <t>fg-process-steward-StewardshipAssignments.EvaluationContext</t>
  </si>
  <si>
    <t>fg-process-steward-StewardshipAssignments.AsOfInstant</t>
  </si>
  <si>
    <t>fg-process-steward-StewardshipAssignments.IsCurrentAssignment</t>
  </si>
  <si>
    <t>fg-process-steward-StewardshipAssignments.SemanticTypeIri</t>
  </si>
  <si>
    <t>fg-process-steward-TemplateApprovals.TemplateApprovalId</t>
  </si>
  <si>
    <t>fg-process-steward-TemplateApprovals.Name</t>
  </si>
  <si>
    <t>fg-process-steward-TemplateApprovals.MessageTemplate</t>
  </si>
  <si>
    <t>fg-process-steward-TemplateApprovals.DecidedByAgent</t>
  </si>
  <si>
    <t>fg-process-steward-TemplateApprovals.DecidedInRole</t>
  </si>
  <si>
    <t>fg-process-steward-TemplateApprovals.Decision</t>
  </si>
  <si>
    <t>fg-process-steward-TemplateApprovals.DecidedAt</t>
  </si>
  <si>
    <t>fg-process-steward-TemplateApprovals.ApprovedBodyHash</t>
  </si>
  <si>
    <t>fg-process-steward-TemplateApprovals.Notes</t>
  </si>
  <si>
    <t>fg-process-steward-TemplateApprovals.IsApprovalDecision</t>
  </si>
  <si>
    <t>fg-process-steward-TemplateApprovals.TemplatePolicy</t>
  </si>
  <si>
    <t>fg-process-steward-TemplateApprovals.RequiredApprovalRole</t>
  </si>
  <si>
    <t>fg-process-steward-TemplateApprovals.IsDecidedByRequiredRole</t>
  </si>
  <si>
    <t>fg-process-steward-TemplateApprovals.ValidApprovalTemplateKey</t>
  </si>
  <si>
    <t>fg-process-steward-TemplateApprovals.SemanticTypeIri</t>
  </si>
  <si>
    <t>fg-process-steward-TestCases.TestCaseId</t>
  </si>
  <si>
    <t>fg-process-steward-TestCases.Name</t>
  </si>
  <si>
    <t>fg-process-steward-TestCases.TestKind</t>
  </si>
  <si>
    <t>fg-process-steward-TestCases.Subject</t>
  </si>
  <si>
    <t>fg-process-steward-TestCases.TargetTable</t>
  </si>
  <si>
    <t>fg-process-steward-TestCases.TargetField</t>
  </si>
  <si>
    <t>fg-process-steward-TestCases.Assertion</t>
  </si>
  <si>
    <t>fg-process-steward-TestCases.DefendsQuestion</t>
  </si>
  <si>
    <t>fg-process-steward-TestCases.Suite</t>
  </si>
  <si>
    <t>fg-process-steward-TestCases.Severity</t>
  </si>
  <si>
    <t>fg-process-steward-TestCases.IsBlocking</t>
  </si>
  <si>
    <t>fg-process-steward-TestCases.LastOutcome</t>
  </si>
  <si>
    <t>fg-process-steward-TestCases.LastDetail</t>
  </si>
  <si>
    <t>fg-process-steward-TestCases.LastRunAt</t>
  </si>
  <si>
    <t>fg-process-steward-TestCases.IsPassing</t>
  </si>
  <si>
    <t>fg-process-steward-TestCases.IsFailing</t>
  </si>
  <si>
    <t>fg-process-steward-TestCases.NeedsAttention</t>
  </si>
  <si>
    <t>fg-process-steward-TestCases.PassingSuiteKey</t>
  </si>
  <si>
    <t>fg-process-steward-TestCases.NeedsAttentionSuiteKey</t>
  </si>
  <si>
    <t>fg-process-steward-TestCases.SemanticTypeIri</t>
  </si>
  <si>
    <t>fg-process-steward-TestSuites.TestSuiteId</t>
  </si>
  <si>
    <t>fg-process-steward-TestSuites.Name</t>
  </si>
  <si>
    <t>fg-process-steward-TestSuites.Label</t>
  </si>
  <si>
    <t>fg-process-steward-TestSuites.TestCount</t>
  </si>
  <si>
    <t>fg-process-steward-TestSuites.PassCount</t>
  </si>
  <si>
    <t>fg-process-steward-TestSuites.BlockingFailCount</t>
  </si>
  <si>
    <t>fg-process-steward-TestSuites.IsGreen</t>
  </si>
  <si>
    <t>fg-process-steward-TestSuites.SemanticTypeIri</t>
  </si>
  <si>
    <t>fg-process-steward-Tools.ToolId</t>
  </si>
  <si>
    <t>fg-process-steward-Tools.Name</t>
  </si>
  <si>
    <t>fg-process-steward-Tools.Label</t>
  </si>
  <si>
    <t>fg-process-steward-Tools.Purpose</t>
  </si>
  <si>
    <t>fg-process-steward-Tools.SemanticTypeIri</t>
  </si>
  <si>
    <t>fg-process-steward-UserFeedback.UserFeedbackId</t>
  </si>
  <si>
    <t>fg-process-steward-UserFeedback.Name</t>
  </si>
  <si>
    <t>fg-process-steward-UserFeedback.ProcedureExecution</t>
  </si>
  <si>
    <t>fg-process-steward-UserFeedback.ProvidedByAgent</t>
  </si>
  <si>
    <t>fg-process-steward-UserFeedback.ProvidedAt</t>
  </si>
  <si>
    <t>fg-process-steward-UserFeedback.FeedbackText</t>
  </si>
  <si>
    <t>fg-process-steward-UserFeedback.Disposition</t>
  </si>
  <si>
    <t>fg-process-steward-UserFeedback.ChangeRequestKey</t>
  </si>
  <si>
    <t>fg-process-steward-UserFeedback.SemanticTypeIri</t>
  </si>
  <si>
    <t>fg-process-steward-UserQuestions.UserQuestionId</t>
  </si>
  <si>
    <t>fg-process-steward-UserQuestions.Name</t>
  </si>
  <si>
    <t>fg-process-steward-UserQuestions.StepExecution</t>
  </si>
  <si>
    <t>fg-process-steward-UserQuestions.AskedByAgent</t>
  </si>
  <si>
    <t>fg-process-steward-UserQuestions.AskedAt</t>
  </si>
  <si>
    <t>fg-process-steward-UserQuestions.QuestionText</t>
  </si>
  <si>
    <t>fg-process-steward-UserQuestions.ResolvedByFaq</t>
  </si>
  <si>
    <t>fg-process-steward-UserQuestions.AddressedByResource</t>
  </si>
  <si>
    <t>fg-process-steward-UserQuestions.Status</t>
  </si>
  <si>
    <t>fg-process-steward-UserQuestions.SemanticTypeIri</t>
  </si>
  <si>
    <t>fg-process-steward-VerificationOutcomes.VerificationOutcomeId</t>
  </si>
  <si>
    <t>fg-process-steward-VerificationOutcomes.Name</t>
  </si>
  <si>
    <t>fg-process-steward-VerificationOutcomes.StepExecution</t>
  </si>
  <si>
    <t>fg-process-steward-VerificationOutcomes.StepVerification</t>
  </si>
  <si>
    <t>fg-process-steward-VerificationOutcomes.ObservedSignalValue</t>
  </si>
  <si>
    <t>fg-process-steward-VerificationOutcomes.ObservedByAgent</t>
  </si>
  <si>
    <t>fg-process-steward-VerificationOutcomes.ObservedAt</t>
  </si>
  <si>
    <t>fg-process-steward-VerificationOutcomes.EvidenceUri</t>
  </si>
  <si>
    <t>fg-process-steward-VerificationOutcomes.ExpectedSignalValue</t>
  </si>
  <si>
    <t>fg-process-steward-VerificationOutcomes.SignalIdentifier</t>
  </si>
  <si>
    <t>fg-process-steward-VerificationOutcomes.SignalMatchesExpected</t>
  </si>
  <si>
    <t>fg-process-steward-VerificationOutcomes.HasEvidence</t>
  </si>
  <si>
    <t>fg-process-steward-VerificationOutcomes.IsUnbackedObservation</t>
  </si>
  <si>
    <t>fg-process-steward-VerificationOutcomes.IsSelfWitnessed</t>
  </si>
  <si>
    <t>fg-process-steward-VerificationOutcomes.StepExecutorAgent</t>
  </si>
  <si>
    <t>fg-process-steward-VerificationOutcomes.SelfWitnessedStepKey</t>
  </si>
  <si>
    <t>fg-process-steward-VerificationOutcomes.UnbackedStepKey</t>
  </si>
  <si>
    <t>fg-process-steward-VerificationOutcomes.IsSelfWitnessedAndUnbacked</t>
  </si>
  <si>
    <t>fg-process-steward-VerificationOutcomes.IsUncorroboratedPass</t>
  </si>
  <si>
    <t>fg-process-steward-VerificationOutcomes.UncorroboratedPassStepKey</t>
  </si>
  <si>
    <t>fg-process-steward-VerificationOutcomes.ObserverIsNonHuman</t>
  </si>
  <si>
    <t>fg-process-steward-VerificationOutcomes.ObserverIsIndependentOfExecutor</t>
  </si>
  <si>
    <t>fg-process-steward-VerificationOutcomes.IsIndependentHumanObservation</t>
  </si>
  <si>
    <t>fg-process-steward-VerificationOutcomes.IndependentObservationExecutionKey</t>
  </si>
  <si>
    <t>fg-process-steward-VerificationOutcomes.ParentProcedureExecutionOfOutcome</t>
  </si>
  <si>
    <t>fg-process-steward-VerificationOutcomes.SemanticTypeIri</t>
  </si>
  <si>
    <t>fg-process-steward-WitnessLoops.WitnessLoopId</t>
  </si>
  <si>
    <t>fg-process-steward-WitnessLoops.Name</t>
  </si>
  <si>
    <t>fg-process-steward-WitnessLoops.LoopNumber</t>
  </si>
  <si>
    <t>fg-process-steward-WitnessLoops.Title</t>
  </si>
  <si>
    <t>fg-process-steward-WitnessLoops.Premise</t>
  </si>
  <si>
    <t>fg-process-steward-WitnessLoops.StartedAt</t>
  </si>
  <si>
    <t>fg-process-steward-WitnessLoops.CompletedAt</t>
  </si>
  <si>
    <t>fg-process-steward-WitnessLoops.QuestionCount</t>
  </si>
  <si>
    <t>fg-process-steward-WitnessLoops.IsComplete</t>
  </si>
  <si>
    <t>fg-process-steward-WitnessLoops.FieldsAfter</t>
  </si>
  <si>
    <t>fg-process-steward-WitnessLoops.DerivedAfter</t>
  </si>
  <si>
    <t>fg-process-steward-WitnessLoops.WitnessedAfter</t>
  </si>
  <si>
    <t>fg-process-steward-WitnessLoops.SemanticTypeIri</t>
  </si>
  <si>
    <t>fg-knowledge-authority-Actions.ActionId</t>
  </si>
  <si>
    <t>fg-knowledge-authority-Actions.Name</t>
  </si>
  <si>
    <t>fg-knowledge-authority-Actions.Label</t>
  </si>
  <si>
    <t>fg-knowledge-authority-Actions.Definition</t>
  </si>
  <si>
    <t>fg-knowledge-authority-Actions.SemanticTypeIri</t>
  </si>
  <si>
    <t>fg-knowledge-authority-AgentDecisionRecords.AgentDecisionRecordId</t>
  </si>
  <si>
    <t>fg-knowledge-authority-AgentDecisionRecords.Name</t>
  </si>
  <si>
    <t>fg-knowledge-authority-AgentDecisionRecords.StepExecution</t>
  </si>
  <si>
    <t>fg-knowledge-authority-AgentDecisionRecords.DecidingAgent</t>
  </si>
  <si>
    <t>fg-knowledge-authority-AgentDecisionRecords.DecisionKind</t>
  </si>
  <si>
    <t>fg-knowledge-authority-AgentDecisionRecords.DecisionSummary</t>
  </si>
  <si>
    <t>fg-knowledge-authority-AgentDecisionRecords.DecidedAt</t>
  </si>
  <si>
    <t>fg-knowledge-authority-AgentDecisionRecords.MaterialityBand</t>
  </si>
  <si>
    <t>fg-knowledge-authority-AgentDecisionRecords.HumanDisposition</t>
  </si>
  <si>
    <t>fg-knowledge-authority-AgentDecisionRecords.ReviewedByAgent</t>
  </si>
  <si>
    <t>fg-knowledge-authority-AgentDecisionRecords.ReviewedAt</t>
  </si>
  <si>
    <t>fg-knowledge-authority-AgentDecisionRecords.WasOverridden</t>
  </si>
  <si>
    <t>fg-knowledge-authority-AgentDecisionRecords.WasReviewed</t>
  </si>
  <si>
    <t>fg-knowledge-authority-AgentDecisionRecords.DecidingAgentKind</t>
  </si>
  <si>
    <t>fg-knowledge-authority-AgentDecisionRecords.DecidingAgentWhenOverridden</t>
  </si>
  <si>
    <t>fg-knowledge-authority-AgentDecisionRecords.UnderRoleAssignment</t>
  </si>
  <si>
    <t>fg-knowledge-authority-AgentDecisionRecords.RoleAssignmentWhenScored</t>
  </si>
  <si>
    <t>fg-knowledge-authority-AgentDecisionRecords.RoleAssignmentWhenOverridden</t>
  </si>
  <si>
    <t>fg-knowledge-authority-AgentDecisionRecords.StepOfDecision</t>
  </si>
  <si>
    <t>fg-knowledge-authority-AgentDecisionRecords.BoundaryMatchKey</t>
  </si>
  <si>
    <t>fg-knowledge-authority-AgentDecisionRecords.MatchingBoundaryCount</t>
  </si>
  <si>
    <t>fg-knowledge-authority-AgentDecisionRecords.ViolatedAuthorityBoundary</t>
  </si>
  <si>
    <t>fg-knowledge-authority-AgentDecisionRecords.ReviewerAgentKind</t>
  </si>
  <si>
    <t>fg-knowledge-authority-AgentDecisionRecords.HasHumanConfirmation</t>
  </si>
  <si>
    <t>fg-knowledge-authority-AgentDecisionRecords.NeedsHumanConfirmation</t>
  </si>
  <si>
    <t>fg-knowledge-authority-AgentDecisionRecords.IsUnconfirmedNonHumanDecision</t>
  </si>
  <si>
    <t>fg-knowledge-authority-AgentDecisionRecords.StepExecutionWhenUnconfirmed</t>
  </si>
  <si>
    <t>fg-knowledge-authority-AgentDecisionRecords.AgentWhenBoundaryViolated</t>
  </si>
  <si>
    <t>fg-knowledge-authority-AgentDecisionRecords.ReviewLatencyMinutes</t>
  </si>
  <si>
    <t>fg-knowledge-authority-AgentDecisionRecords.IsDraftKind</t>
  </si>
  <si>
    <t>fg-knowledge-authority-AgentDecisionRecords.AgentWhenDraftOverridden</t>
  </si>
  <si>
    <t>fg-knowledge-authority-AgentDecisionRecords.AgentWhenDraft</t>
  </si>
  <si>
    <t>fg-knowledge-authority-AgentDecisionRecords.OverrideReasonKind</t>
  </si>
  <si>
    <t>fg-knowledge-authority-AgentDecisionRecords.IsErrorCorrection</t>
  </si>
  <si>
    <t>fg-knowledge-authority-AgentDecisionRecords.IsReservedJudgmentOverride</t>
  </si>
  <si>
    <t>fg-knowledge-authority-AgentDecisionRecords.OverrideReasonIsRecorded</t>
  </si>
  <si>
    <t>fg-knowledge-authority-AgentDecisionRecords.IsUnexplainedOverride</t>
  </si>
  <si>
    <t>fg-knowledge-authority-AgentDecisionRecords.ErrorCorrectionRoleAssignmentKey</t>
  </si>
  <si>
    <t>fg-knowledge-authority-AgentDecisionRecords.BoundaryViolationRoleAssignmentKey</t>
  </si>
  <si>
    <t>fg-knowledge-authority-AgentDecisionRecords.SemanticTypeIri</t>
  </si>
  <si>
    <t>fg-knowledge-authority-Agents.AgentId</t>
  </si>
  <si>
    <t>fg-knowledge-authority-Agents.Name</t>
  </si>
  <si>
    <t>fg-knowledge-authority-Agents.DisplayName</t>
  </si>
  <si>
    <t>fg-knowledge-authority-Agents.AgentKind</t>
  </si>
  <si>
    <t>fg-knowledge-authority-Agents.Organization</t>
  </si>
  <si>
    <t>fg-knowledge-authority-Agents.ContactAddress</t>
  </si>
  <si>
    <t>fg-knowledge-authority-Agents.VersionOrEmploymentKey</t>
  </si>
  <si>
    <t>fg-knowledge-authority-Agents.CountOfCurrentRoleAssignments</t>
  </si>
  <si>
    <t>fg-knowledge-authority-Agents.IsStillEngaged</t>
  </si>
  <si>
    <t>fg-knowledge-authority-Agents.DecisionCount</t>
  </si>
  <si>
    <t>fg-knowledge-authority-Agents.OverriddenDecisionCount</t>
  </si>
  <si>
    <t>fg-knowledge-authority-Agents.OverrideRatePercent</t>
  </si>
  <si>
    <t>fg-knowledge-authority-Agents.IsNonHuman</t>
  </si>
  <si>
    <t>fg-knowledge-authority-Agents.BoundaryViolationCount</t>
  </si>
  <si>
    <t>fg-knowledge-authority-Agents.IsOperatingOutsideBoundary</t>
  </si>
  <si>
    <t>fg-knowledge-authority-Agents.DraftDecisionCount</t>
  </si>
  <si>
    <t>fg-knowledge-authority-Agents.OverriddenDraftCount</t>
  </si>
  <si>
    <t>fg-knowledge-authority-Agents.DraftRewriteRatePercent</t>
  </si>
  <si>
    <t>fg-knowledge-authority-Agents.SemanticTypeIri</t>
  </si>
  <si>
    <t>fg-knowledge-authority-AppNavGroups.AppNavGroupId</t>
  </si>
  <si>
    <t>fg-knowledge-authority-AppNavGroups.Name</t>
  </si>
  <si>
    <t>fg-knowledge-authority-AppNavGroups.GroupLabel</t>
  </si>
  <si>
    <t>fg-knowledge-authority-AppNavGroups.RouteCount</t>
  </si>
  <si>
    <t>fg-knowledge-authority-AppNavGroups.SemanticTypeIri</t>
  </si>
  <si>
    <t>fg-knowledge-authority-AppRoleProfiles.AppRoleProfileId</t>
  </si>
  <si>
    <t>fg-knowledge-authority-AppRoleProfiles.Name</t>
  </si>
  <si>
    <t>fg-knowledge-authority-AppRoleProfiles.Role</t>
  </si>
  <si>
    <t>fg-knowledge-authority-AppRoleProfiles.DisplayLabel</t>
  </si>
  <si>
    <t>fg-knowledge-authority-AppRoleProfiles.RoleKind</t>
  </si>
  <si>
    <t>fg-knowledge-authority-AppRoleProfiles.AccentColor</t>
  </si>
  <si>
    <t>fg-knowledge-authority-AppRoleProfiles.IconMark</t>
  </si>
  <si>
    <t>fg-knowledge-authority-AppRoleProfiles.IconPngBase64</t>
  </si>
  <si>
    <t>fg-knowledge-authority-AppRoleProfiles.Pitch</t>
  </si>
  <si>
    <t>fg-knowledge-authority-AppRoleProfiles.SortOrder</t>
  </si>
  <si>
    <t>fg-knowledge-authority-AppRoleProfiles.RouteCount</t>
  </si>
  <si>
    <t>fg-knowledge-authority-AppRoleProfiles.SemanticTypeIri</t>
  </si>
  <si>
    <t>fg-knowledge-authority-AppRouteQuestions.AppRouteQuestionId</t>
  </si>
  <si>
    <t>fg-knowledge-authority-AppRouteQuestions.Name</t>
  </si>
  <si>
    <t>fg-knowledge-authority-AppRouteQuestions.Route</t>
  </si>
  <si>
    <t>fg-knowledge-authority-AppRouteQuestions.Question</t>
  </si>
  <si>
    <t>fg-knowledge-authority-AppRouteQuestions.SemanticTypeIri</t>
  </si>
  <si>
    <t>fg-knowledge-authority-AppRouteReferences.AppRouteReferenceId</t>
  </si>
  <si>
    <t>fg-knowledge-authority-AppRouteReferences.Name</t>
  </si>
  <si>
    <t>fg-knowledge-authority-AppRouteReferences.FromRoute</t>
  </si>
  <si>
    <t>fg-knowledge-authority-AppRouteReferences.ToRoute</t>
  </si>
  <si>
    <t>fg-knowledge-authority-AppRouteReferences.SemanticTypeIri</t>
  </si>
  <si>
    <t>fg-knowledge-authority-AppRoutes.AppRouteId</t>
  </si>
  <si>
    <t>fg-knowledge-authority-AppRoutes.Name</t>
  </si>
  <si>
    <t>fg-knowledge-authority-AppRoutes.RoutePath</t>
  </si>
  <si>
    <t>fg-knowledge-authority-AppRoutes.RouteName</t>
  </si>
  <si>
    <t>fg-knowledge-authority-AppRoutes.Surface</t>
  </si>
  <si>
    <t>fg-knowledge-authority-AppRoutes.OwningRole</t>
  </si>
  <si>
    <t>fg-knowledge-authority-AppRoutes.NavGroup</t>
  </si>
  <si>
    <t>fg-knowledge-authority-AppRoutes.NavOrder</t>
  </si>
  <si>
    <t>fg-knowledge-authority-AppRoutes.RouteKind</t>
  </si>
  <si>
    <t>fg-knowledge-authority-AppRoutes.Purpose</t>
  </si>
  <si>
    <t>fg-knowledge-authority-AppRoutes.LayoutHints</t>
  </si>
  <si>
    <t>fg-knowledge-authority-AppRoutes.IsInNav</t>
  </si>
  <si>
    <t>fg-knowledge-authority-AppRoutes.IsShared</t>
  </si>
  <si>
    <t>fg-knowledge-authority-AppRoutes.IsMaintainer</t>
  </si>
  <si>
    <t>fg-knowledge-authority-AppRoutes.QuestionCount</t>
  </si>
  <si>
    <t>fg-knowledge-authority-AppRoutes.ReferenceCount</t>
  </si>
  <si>
    <t>fg-knowledge-authority-AppRoutes.AnswersNoQuestion</t>
  </si>
  <si>
    <t>fg-knowledge-authority-AppRoutes.SemanticTypeIri</t>
  </si>
  <si>
    <t>fg-knowledge-authority-Attestations.AttestationId</t>
  </si>
  <si>
    <t>fg-knowledge-authority-Attestations.Name</t>
  </si>
  <si>
    <t>fg-knowledge-authority-Attestations.ProcedureExecution</t>
  </si>
  <si>
    <t>fg-knowledge-authority-Attestations.SignedByAgent</t>
  </si>
  <si>
    <t>fg-knowledge-authority-Attestations.SignedAt</t>
  </si>
  <si>
    <t>fg-knowledge-authority-Attestations.AssuranceGradeAtSigning</t>
  </si>
  <si>
    <t>fg-knowledge-authority-Attestations.VersionWasFitAtSigning</t>
  </si>
  <si>
    <t>fg-knowledge-authority-Attestations.VersionIsFitNow</t>
  </si>
  <si>
    <t>fg-knowledge-authority-Attestations.FitnessVerdictHasDrifted</t>
  </si>
  <si>
    <t>fg-knowledge-authority-Attestations.AssuranceGradeNow</t>
  </si>
  <si>
    <t>fg-knowledge-authority-Attestations.AssuranceGradeHasDrifted</t>
  </si>
  <si>
    <t>fg-knowledge-authority-Attestations.WouldNotSurviveRestatement</t>
  </si>
  <si>
    <t>fg-knowledge-authority-AuthorityBoundaries.AuthorityBoundaryId</t>
  </si>
  <si>
    <t>fg-knowledge-authority-AuthorityBoundaries.Name</t>
  </si>
  <si>
    <t>fg-knowledge-authority-AuthorityBoundaries.Step</t>
  </si>
  <si>
    <t>fg-knowledge-authority-AuthorityBoundaries.ForbiddenAgentKind</t>
  </si>
  <si>
    <t>fg-knowledge-authority-AuthorityBoundaries.ForbiddenDecisionKind</t>
  </si>
  <si>
    <t>fg-knowledge-authority-AuthorityBoundaries.RatifiedByKnowledgeFragment</t>
  </si>
  <si>
    <t>fg-knowledge-authority-AuthorityBoundaries.EnforcingRequirement</t>
  </si>
  <si>
    <t>fg-knowledge-authority-AuthorityBoundaries.AuthorityRole</t>
  </si>
  <si>
    <t>fg-knowledge-authority-AuthorityBoundaries.ValidFrom</t>
  </si>
  <si>
    <t>fg-knowledge-authority-AuthorityBoundaries.ValidTo</t>
  </si>
  <si>
    <t>fg-knowledge-authority-AuthorityBoundaries.Status</t>
  </si>
  <si>
    <t>fg-knowledge-authority-AuthorityBoundaries.EvaluationContext</t>
  </si>
  <si>
    <t>fg-knowledge-authority-AuthorityBoundaries.AsOfInstant</t>
  </si>
  <si>
    <t>fg-knowledge-authority-AuthorityBoundaries.IsCurrentlyBinding</t>
  </si>
  <si>
    <t>fg-knowledge-authority-AuthorityBoundaries.RatifyingFragmentIsValid</t>
  </si>
  <si>
    <t>fg-knowledge-authority-AuthorityBoundaries.StepWhenBinding</t>
  </si>
  <si>
    <t>fg-knowledge-authority-AuthorityBoundaries.BoundaryMatchKey</t>
  </si>
  <si>
    <t>fg-knowledge-authority-AuthorityBoundaries.ViolationCount</t>
  </si>
  <si>
    <t>fg-knowledge-authority-AuthorityBoundaries.IsUntested</t>
  </si>
  <si>
    <t>fg-knowledge-authority-AuthorityBoundaries.HasRatifyingFragment</t>
  </si>
  <si>
    <t>fg-knowledge-authority-AuthorityBoundaries.IsUnwarranted</t>
  </si>
  <si>
    <t>fg-knowledge-authority-AuthorityBoundaries.RatifyingFragmentIsOverdue</t>
  </si>
  <si>
    <t>fg-knowledge-authority-AuthorityBoundaries.RatifyingFragmentIsSingleWitness</t>
  </si>
  <si>
    <t>fg-knowledge-authority-AuthorityBoundaries.WarrantIsThin</t>
  </si>
  <si>
    <t>fg-knowledge-authority-AuthorityBoundaries.IsUnwarrantedAndUntested</t>
  </si>
  <si>
    <t>fg-knowledge-authority-AuthorityBoundaries.UnwarrantedBoundaryStepKey</t>
  </si>
  <si>
    <t>fg-knowledge-authority-AuthorityBoundaries.RatifyingFragmentKey</t>
  </si>
  <si>
    <t>fg-knowledge-authority-AuthorityBoundaries.RatifyingFragmentStatus</t>
  </si>
  <si>
    <t>fg-knowledge-authority-AuthorityBoundaries.RatificationLapsed</t>
  </si>
  <si>
    <t>fg-knowledge-authority-AuthorityBoundaries.BindsDespiteLapsedRatification</t>
  </si>
  <si>
    <t>fg-knowledge-authority-AuthorityBoundaries.IsUngroundedAndUntested</t>
  </si>
  <si>
    <t>fg-knowledge-authority-AuthorityBoundaries.ConstrainedRoleAssignmentKey</t>
  </si>
  <si>
    <t>fg-knowledge-authority-AuthorityBoundaries.SemanticTypeIri</t>
  </si>
  <si>
    <t>fg-knowledge-authority-BindingObservations.BindingObservationId</t>
  </si>
  <si>
    <t>fg-knowledge-authority-BindingObservations.Name</t>
  </si>
  <si>
    <t>fg-knowledge-authority-BindingObservations.StepExecution</t>
  </si>
  <si>
    <t>fg-knowledge-authority-BindingObservations.OperationalBinding</t>
  </si>
  <si>
    <t>fg-knowledge-authority-BindingObservations.ObservedSourceTimestamp</t>
  </si>
  <si>
    <t>fg-knowledge-authority-BindingObservations.ReadAt</t>
  </si>
  <si>
    <t>fg-knowledge-authority-BindingObservations.SlaMinutesAtRun</t>
  </si>
  <si>
    <t>fg-knowledge-authority-BindingObservations.AgeAtRunMinutes</t>
  </si>
  <si>
    <t>fg-knowledge-authority-BindingObservations.WasStaleAtRun</t>
  </si>
  <si>
    <t>fg-knowledge-authority-BindingObservations.IsAuthoritativeBinding</t>
  </si>
  <si>
    <t>fg-knowledge-authority-BindingObservations.StaleAtRunStepKey</t>
  </si>
  <si>
    <t>fg-knowledge-authority-ChangeRequests.ChangeRequestId</t>
  </si>
  <si>
    <t>fg-knowledge-authority-ChangeRequests.Name</t>
  </si>
  <si>
    <t>fg-knowledge-authority-ChangeRequests.ProcedureVersion</t>
  </si>
  <si>
    <t>fg-knowledge-authority-ChangeRequests.Title</t>
  </si>
  <si>
    <t>fg-knowledge-authority-ChangeRequests.ChangeKind</t>
  </si>
  <si>
    <t>fg-knowledge-authority-ChangeRequests.Status</t>
  </si>
  <si>
    <t>fg-knowledge-authority-ChangeRequests.RequestedByAgent</t>
  </si>
  <si>
    <t>fg-knowledge-authority-ChangeRequests.AuthorityRole</t>
  </si>
  <si>
    <t>fg-knowledge-authority-ChangeRequests.RequestedAt</t>
  </si>
  <si>
    <t>fg-knowledge-authority-ChangeRequests.DecidedAt</t>
  </si>
  <si>
    <t>fg-knowledge-authority-ChangeRequests.ImpactAssessment</t>
  </si>
  <si>
    <t>fg-knowledge-authority-ChangeRequests.IsOpen</t>
  </si>
  <si>
    <t>fg-knowledge-authority-ChangeRequests.OpenChangeVersionKey</t>
  </si>
  <si>
    <t>fg-knowledge-authority-ChangeRequests.IsDecided</t>
  </si>
  <si>
    <t>fg-knowledge-authority-ChangeRequests.EvaluationContext</t>
  </si>
  <si>
    <t>fg-knowledge-authority-ChangeRequests.AsOfInstant</t>
  </si>
  <si>
    <t>fg-knowledge-authority-ChangeRequests.DaysPending</t>
  </si>
  <si>
    <t>fg-knowledge-authority-ChangeRequests.IsStillPending</t>
  </si>
  <si>
    <t>fg-knowledge-authority-ChangeRequests.IsStalled</t>
  </si>
  <si>
    <t>fg-knowledge-authority-ChangeRequests.AuthorityAgent</t>
  </si>
  <si>
    <t>fg-knowledge-authority-ChangeRequests.RequesterIsAuthority</t>
  </si>
  <si>
    <t>fg-knowledge-authority-ChangeRequests.AwaitsAuthorityDecision</t>
  </si>
  <si>
    <t>fg-knowledge-authority-ChangeRequests.AuthorityRoleLabel</t>
  </si>
  <si>
    <t>fg-knowledge-authority-ChangeRequests.TouchesLiveVersion</t>
  </si>
  <si>
    <t>fg-knowledge-authority-ChangeRequests.IsLiveDecisionBacklog</t>
  </si>
  <si>
    <t>fg-knowledge-authority-ChangeRequests.BlocksAnOpenGap</t>
  </si>
  <si>
    <t>fg-knowledge-authority-ChangeRequests.ImplementedAt</t>
  </si>
  <si>
    <t>fg-knowledge-authority-ChangeRequests.BacklogVersionKey</t>
  </si>
  <si>
    <t>fg-knowledge-authority-ChangeRequests.IsMyPendingDecision</t>
  </si>
  <si>
    <t>fg-knowledge-authority-ChangeRequests.IsMyBlockingBacklog</t>
  </si>
  <si>
    <t>fg-knowledge-authority-ChangeRequests.IsMyOverdueBacklog</t>
  </si>
  <si>
    <t>fg-knowledge-authority-ChangeRequests.IsImplemented</t>
  </si>
  <si>
    <t>fg-knowledge-authority-ChangeRequests.IsMyDecidedRequest</t>
  </si>
  <si>
    <t>fg-knowledge-authority-ChangeRequests.IsMyDecidedButUnlanded</t>
  </si>
  <si>
    <t>fg-knowledge-authority-ChangeRequests.DecisionLatencyDays</t>
  </si>
  <si>
    <t>fg-knowledge-authority-ChangeRequests.ImplementationLatencyDays</t>
  </si>
  <si>
    <t>fg-knowledge-authority-ChangeRequests.DelayIsDownstreamOfMe</t>
  </si>
  <si>
    <t>fg-knowledge-authority-ChangeRequests.UnlandedVersionKey</t>
  </si>
  <si>
    <t>fg-knowledge-authority-ChangeRequests.IsApprovedNotImplemented</t>
  </si>
  <si>
    <t>fg-knowledge-authority-ChangeRequests.DaysSinceApproval</t>
  </si>
  <si>
    <t>fg-knowledge-authority-ChangeRequests.IsStalledImplementation</t>
  </si>
  <si>
    <t>fg-knowledge-authority-ChangeRequests.StalledImplementationVersionKey</t>
  </si>
  <si>
    <t>fg-knowledge-authority-ChangeRequests.ApprovedVersionKey</t>
  </si>
  <si>
    <t>fg-knowledge-authority-ChangeRequests.IsApprovedDecision</t>
  </si>
  <si>
    <t>fg-knowledge-authority-ChangeRequests.SemanticTypeIri</t>
  </si>
  <si>
    <t>fg-knowledge-authority-CommunicationPolicies.CommunicationPolicyId</t>
  </si>
  <si>
    <t>fg-knowledge-authority-CommunicationPolicies.Name</t>
  </si>
  <si>
    <t>fg-knowledge-authority-CommunicationPolicies.ProcedureVersion</t>
  </si>
  <si>
    <t>fg-knowledge-authority-CommunicationPolicies.Channel</t>
  </si>
  <si>
    <t>fg-knowledge-authority-CommunicationPolicies.AudienceRule</t>
  </si>
  <si>
    <t>fg-knowledge-authority-CommunicationPolicies.ConsentRequired</t>
  </si>
  <si>
    <t>fg-knowledge-authority-CommunicationPolicies.QuietHoursStart</t>
  </si>
  <si>
    <t>fg-knowledge-authority-CommunicationPolicies.QuietHoursEnd</t>
  </si>
  <si>
    <t>fg-knowledge-authority-CommunicationPolicies.MaxMessageLength</t>
  </si>
  <si>
    <t>fg-knowledge-authority-CommunicationPolicies.MaxSegments</t>
  </si>
  <si>
    <t>fg-knowledge-authority-CommunicationPolicies.RetentionDays</t>
  </si>
  <si>
    <t>fg-knowledge-authority-CommunicationPolicies.ApprovalRole</t>
  </si>
  <si>
    <t>fg-knowledge-authority-CommunicationPolicies.RequiredContent</t>
  </si>
  <si>
    <t>fg-knowledge-authority-CommunicationPolicies.AuthorityStatement</t>
  </si>
  <si>
    <t>fg-knowledge-authority-CommunicationPolicies.Status</t>
  </si>
  <si>
    <t>fg-knowledge-authority-CommunicationPolicies.ConsentViolationCount</t>
  </si>
  <si>
    <t>fg-knowledge-authority-CommunicationPolicies.QuietHoursStartHour</t>
  </si>
  <si>
    <t>fg-knowledge-authority-CommunicationPolicies.QuietHoursEndHour</t>
  </si>
  <si>
    <t>fg-knowledge-authority-CommunicationPolicies.QuietHoursViolationCount</t>
  </si>
  <si>
    <t>fg-knowledge-authority-CommunicationPolicies.RequiredOptOutPhrase</t>
  </si>
  <si>
    <t>fg-knowledge-authority-CommunicationPolicies.IsActivePolicy</t>
  </si>
  <si>
    <t>fg-knowledge-authority-CommunicationPolicies.SemanticTypeIri</t>
  </si>
  <si>
    <t>fg-knowledge-authority-CommunitiesOfPractice.CommunityOfPracticeId</t>
  </si>
  <si>
    <t>fg-knowledge-authority-CommunitiesOfPractice.Name</t>
  </si>
  <si>
    <t>fg-knowledge-authority-CommunitiesOfPractice.Label</t>
  </si>
  <si>
    <t>fg-knowledge-authority-CommunitiesOfPractice.Organization</t>
  </si>
  <si>
    <t>fg-knowledge-authority-CommunitiesOfPractice.StewardRole</t>
  </si>
  <si>
    <t>fg-knowledge-authority-CommunitiesOfPractice.Purpose</t>
  </si>
  <si>
    <t>fg-knowledge-authority-CommunitiesOfPractice.Cadence</t>
  </si>
  <si>
    <t>fg-knowledge-authority-CommunitiesOfPractice.SemanticTypeIri</t>
  </si>
  <si>
    <t>fg-knowledge-authority-DeliveredCommunications.DeliveredCommunicationId</t>
  </si>
  <si>
    <t>fg-knowledge-authority-DeliveredCommunications.Name</t>
  </si>
  <si>
    <t>fg-knowledge-authority-DeliveredCommunications.ProcedureExecution</t>
  </si>
  <si>
    <t>fg-knowledge-authority-DeliveredCommunications.SendingStepExecution</t>
  </si>
  <si>
    <t>fg-knowledge-authority-DeliveredCommunications.AuthorizingStepExecution</t>
  </si>
  <si>
    <t>fg-knowledge-authority-DeliveredCommunications.MessageTemplate</t>
  </si>
  <si>
    <t>fg-knowledge-authority-DeliveredCommunications.Channel</t>
  </si>
  <si>
    <t>fg-knowledge-authority-DeliveredCommunications.RecipientKey</t>
  </si>
  <si>
    <t>fg-knowledge-authority-DeliveredCommunications.SentAt</t>
  </si>
  <si>
    <t>fg-knowledge-authority-DeliveredCommunications.RenderedContentHash</t>
  </si>
  <si>
    <t>fg-knowledge-authority-DeliveredCommunications.ApprovedContentHash</t>
  </si>
  <si>
    <t>fg-knowledge-authority-DeliveredCommunications.DeliveryStatus</t>
  </si>
  <si>
    <t>fg-knowledge-authority-DeliveredCommunications.SemanticTypeIri</t>
  </si>
  <si>
    <t>fg-knowledge-authority-DeliveredCommunications.HasAuthorization</t>
  </si>
  <si>
    <t>fg-knowledge-authority-DeliveredCommunications.ContentMatchesApproval</t>
  </si>
  <si>
    <t>fg-knowledge-authority-DeliveredCommunications.AuthorizedAt</t>
  </si>
  <si>
    <t>fg-knowledge-authority-DeliveredCommunications.WasApprovedBeforeSending</t>
  </si>
  <si>
    <t>fg-knowledge-authority-DeliveredCommunications.IsDefensible</t>
  </si>
  <si>
    <t>fg-knowledge-authority-ElicitationSessions.ElicitationSessionId</t>
  </si>
  <si>
    <t>fg-knowledge-authority-ElicitationSessions.Name</t>
  </si>
  <si>
    <t>fg-knowledge-authority-ElicitationSessions.ProcedureVersion</t>
  </si>
  <si>
    <t>fg-knowledge-authority-ElicitationSessions.Method</t>
  </si>
  <si>
    <t>fg-knowledge-authority-ElicitationSessions.StartedAt</t>
  </si>
  <si>
    <t>fg-knowledge-authority-ElicitationSessions.EndedAt</t>
  </si>
  <si>
    <t>fg-knowledge-authority-ElicitationSessions.PractitionerAgent</t>
  </si>
  <si>
    <t>fg-knowledge-authority-ElicitationSessions.FacilitatorAgent</t>
  </si>
  <si>
    <t>fg-knowledge-authority-ElicitationSessions.Summary</t>
  </si>
  <si>
    <t>fg-knowledge-authority-ElicitationSessions.Status</t>
  </si>
  <si>
    <t>fg-knowledge-authority-ElicitationSessions.EvaluationContext</t>
  </si>
  <si>
    <t>fg-knowledge-authority-ElicitationSessions.AsOfInstant</t>
  </si>
  <si>
    <t>fg-knowledge-authority-ElicitationSessions.DaysSinceElicited</t>
  </si>
  <si>
    <t>fg-knowledge-authority-ElicitationSessions.IsSingleWitnessMethod</t>
  </si>
  <si>
    <t>fg-knowledge-authority-ElicitationSessions.PractitionerIsStillEngaged</t>
  </si>
  <si>
    <t>fg-knowledge-authority-ElicitationSessions.ValidFragmentsProduced</t>
  </si>
  <si>
    <t>fg-knowledge-authority-ElicitationSessions.IsHighYieldSession</t>
  </si>
  <si>
    <t>fg-knowledge-authority-ElicitationSessions.IsConcentratedSingleWitness</t>
  </si>
  <si>
    <t>fg-knowledge-authority-ElicitationSessions.IsStaleConcentratedWitness</t>
  </si>
  <si>
    <t>fg-knowledge-authority-ElicitationSessions.ConcentratedSessionVersionKey</t>
  </si>
  <si>
    <t>fg-knowledge-authority-ElicitationSessions.SemanticTypeIri</t>
  </si>
  <si>
    <t>fg-knowledge-authority-Errors.ErrorId</t>
  </si>
  <si>
    <t>fg-knowledge-authority-Errors.Name</t>
  </si>
  <si>
    <t>fg-knowledge-authority-Errors.Label</t>
  </si>
  <si>
    <t>fg-knowledge-authority-Errors.ErrorCode</t>
  </si>
  <si>
    <t>fg-knowledge-authority-Errors.ErrorCause</t>
  </si>
  <si>
    <t>fg-knowledge-authority-Errors.SemanticTypeIri</t>
  </si>
  <si>
    <t>fg-knowledge-authority-EvaluationContexts.EvaluationContextId</t>
  </si>
  <si>
    <t>fg-knowledge-authority-EvaluationContexts.Name</t>
  </si>
  <si>
    <t>fg-knowledge-authority-EvaluationContexts.Label</t>
  </si>
  <si>
    <t>fg-knowledge-authority-EvaluationContexts.AsOfInstant</t>
  </si>
  <si>
    <t>fg-knowledge-authority-EvaluationContexts.IsCurrent</t>
  </si>
  <si>
    <t>fg-knowledge-authority-EvaluationContexts.Rationale</t>
  </si>
  <si>
    <t>fg-knowledge-authority-EvaluationContexts.SemanticTypeIri</t>
  </si>
  <si>
    <t>fg-knowledge-authority-ExceptionInvocations.ExceptionInvocationId</t>
  </si>
  <si>
    <t>fg-knowledge-authority-ExceptionInvocations.Name</t>
  </si>
  <si>
    <t>fg-knowledge-authority-ExceptionInvocations.StepExecution</t>
  </si>
  <si>
    <t>fg-knowledge-authority-ExceptionInvocations.Exception</t>
  </si>
  <si>
    <t>fg-knowledge-authority-ExceptionInvocations.InvokedByAgent</t>
  </si>
  <si>
    <t>fg-knowledge-authority-ExceptionInvocations.ApprovedByAgent</t>
  </si>
  <si>
    <t>fg-knowledge-authority-ExceptionInvocations.InvokedAt</t>
  </si>
  <si>
    <t>fg-knowledge-authority-ExceptionInvocations.HandlingApplied</t>
  </si>
  <si>
    <t>fg-knowledge-authority-ExceptionInvocations.ExpectedHandling</t>
  </si>
  <si>
    <t>fg-knowledge-authority-ExceptionInvocations.RequiredApprovalRole</t>
  </si>
  <si>
    <t>fg-knowledge-authority-ExceptionInvocations.RequiredApprovalRoleHolder</t>
  </si>
  <si>
    <t>fg-knowledge-authority-ExceptionInvocations.ApprovalRoleMatches</t>
  </si>
  <si>
    <t>fg-knowledge-authority-ExceptionInvocations.IsApproved</t>
  </si>
  <si>
    <t>fg-knowledge-authority-ExceptionInvocations.IsImproperlyApproved</t>
  </si>
  <si>
    <t>fg-knowledge-authority-ExceptionInvocations.InvokerAgentKind</t>
  </si>
  <si>
    <t>fg-knowledge-authority-ExceptionInvocations.InvokerAlsoPreparedKey</t>
  </si>
  <si>
    <t>fg-knowledge-authority-ExceptionInvocations.ParentProcedureExecution</t>
  </si>
  <si>
    <t>fg-knowledge-authority-ExceptionInvocations.ApproverPreparedCount</t>
  </si>
  <si>
    <t>fg-knowledge-authority-ExceptionInvocations.DelegatedToPreparer</t>
  </si>
  <si>
    <t>fg-knowledge-authority-ExceptionInvocations.IsUngovernedInvocation</t>
  </si>
  <si>
    <t>fg-knowledge-authority-ExceptionInvocations.SemanticTypeIri</t>
  </si>
  <si>
    <t>fg-knowledge-authority-Exceptions.ExceptionId</t>
  </si>
  <si>
    <t>fg-knowledge-authority-Exceptions.Name</t>
  </si>
  <si>
    <t>fg-knowledge-authority-Exceptions.ProcedureVersion</t>
  </si>
  <si>
    <t>fg-knowledge-authority-Exceptions.TriggerStep</t>
  </si>
  <si>
    <t>fg-knowledge-authority-Exceptions.Condition</t>
  </si>
  <si>
    <t>fg-knowledge-authority-Exceptions.Handling</t>
  </si>
  <si>
    <t>fg-knowledge-authority-Exceptions.ApprovalRole</t>
  </si>
  <si>
    <t>fg-knowledge-authority-Exceptions.FallbackRole</t>
  </si>
  <si>
    <t>fg-knowledge-authority-Exceptions.Status</t>
  </si>
  <si>
    <t>fg-knowledge-authority-Exceptions.ActiveExceptionStepKey</t>
  </si>
  <si>
    <t>fg-knowledge-authority-Exceptions.SemanticTypeIri</t>
  </si>
  <si>
    <t>fg-knowledge-authority-Explanations.ExplanationId</t>
  </si>
  <si>
    <t>fg-knowledge-authority-Explanations.Name</t>
  </si>
  <si>
    <t>fg-knowledge-authority-Explanations.ProcedureVersion</t>
  </si>
  <si>
    <t>fg-knowledge-authority-Explanations.Step</t>
  </si>
  <si>
    <t>fg-knowledge-authority-Explanations.Title</t>
  </si>
  <si>
    <t>fg-knowledge-authority-Explanations.Description</t>
  </si>
  <si>
    <t>fg-knowledge-authority-Explanations.SemanticTypeIri</t>
  </si>
  <si>
    <t>fg-knowledge-authority-Functions.FunctionId</t>
  </si>
  <si>
    <t>fg-knowledge-authority-Functions.Name</t>
  </si>
  <si>
    <t>fg-knowledge-authority-Functions.Label</t>
  </si>
  <si>
    <t>fg-knowledge-authority-Functions.Definition</t>
  </si>
  <si>
    <t>fg-knowledge-authority-Functions.ImplementationKey</t>
  </si>
  <si>
    <t>fg-knowledge-authority-Functions.SemanticTypeIri</t>
  </si>
  <si>
    <t>fg-knowledge-authority-IssueOccurrences.IssueOccurrenceId</t>
  </si>
  <si>
    <t>fg-knowledge-authority-IssueOccurrences.Name</t>
  </si>
  <si>
    <t>fg-knowledge-authority-IssueOccurrences.StepExecution</t>
  </si>
  <si>
    <t>fg-knowledge-authority-IssueOccurrences.Error</t>
  </si>
  <si>
    <t>fg-knowledge-authority-IssueOccurrences.EncounteredByAgent</t>
  </si>
  <si>
    <t>fg-knowledge-authority-IssueOccurrences.OccurredAt</t>
  </si>
  <si>
    <t>fg-knowledge-authority-IssueOccurrences.IssueCause</t>
  </si>
  <si>
    <t>fg-knowledge-authority-IssueOccurrences.IssueSolution</t>
  </si>
  <si>
    <t>fg-knowledge-authority-IssueOccurrences.Status</t>
  </si>
  <si>
    <t>fg-knowledge-authority-IssueOccurrences.IsUnresolved</t>
  </si>
  <si>
    <t>fg-knowledge-authority-IssueOccurrences.StepExecutionWhenUnresolved</t>
  </si>
  <si>
    <t>fg-knowledge-authority-IssueOccurrences.SemanticTypeIri</t>
  </si>
  <si>
    <t>fg-knowledge-authority-KnowledgeFragments.KnowledgeFragmentId</t>
  </si>
  <si>
    <t>fg-knowledge-authority-KnowledgeFragments.Name</t>
  </si>
  <si>
    <t>fg-knowledge-authority-KnowledgeFragments.ProcedureVersion</t>
  </si>
  <si>
    <t>fg-knowledge-authority-KnowledgeFragments.Step</t>
  </si>
  <si>
    <t>fg-knowledge-authority-KnowledgeFragments.KnowledgeForm</t>
  </si>
  <si>
    <t>fg-knowledge-authority-KnowledgeFragments.Statement</t>
  </si>
  <si>
    <t>fg-knowledge-authority-KnowledgeFragments.ElicitationSession</t>
  </si>
  <si>
    <t>fg-knowledge-authority-KnowledgeFragments.SourceAgent</t>
  </si>
  <si>
    <t>fg-knowledge-authority-KnowledgeFragments.Confidence</t>
  </si>
  <si>
    <t>fg-knowledge-authority-KnowledgeFragments.ValidFrom</t>
  </si>
  <si>
    <t>fg-knowledge-authority-KnowledgeFragments.ValidTo</t>
  </si>
  <si>
    <t>fg-knowledge-authority-KnowledgeFragments.Status</t>
  </si>
  <si>
    <t>fg-knowledge-authority-KnowledgeFragments.OwnerRole</t>
  </si>
  <si>
    <t>fg-knowledge-authority-KnowledgeFragments.EvaluationContext</t>
  </si>
  <si>
    <t>fg-knowledge-authority-KnowledgeFragments.AsOfInstant</t>
  </si>
  <si>
    <t>fg-knowledge-authority-KnowledgeFragments.IsCurrentlyValid</t>
  </si>
  <si>
    <t>fg-knowledge-authority-KnowledgeFragments.SourceAgentIsStillEngaged</t>
  </si>
  <si>
    <t>fg-knowledge-authority-KnowledgeFragments.SourceAgentKind</t>
  </si>
  <si>
    <t>fg-knowledge-authority-KnowledgeFragments.HasHumanSource</t>
  </si>
  <si>
    <t>fg-knowledge-authority-KnowledgeFragments.HasOrphanedProvenance</t>
  </si>
  <si>
    <t>fg-knowledge-authority-KnowledgeFragments.IsUndefendableTacitClaim</t>
  </si>
  <si>
    <t>fg-knowledge-authority-KnowledgeFragments.IsApproved</t>
  </si>
  <si>
    <t>fg-knowledge-authority-KnowledgeFragments.IsWithinValidityWindow</t>
  </si>
  <si>
    <t>fg-knowledge-authority-KnowledgeFragments.IsReliedUpon</t>
  </si>
  <si>
    <t>fg-knowledge-authority-KnowledgeFragments.StepProcedureVersionStatus</t>
  </si>
  <si>
    <t>fg-knowledge-authority-KnowledgeFragments.IsAttachedToLiveVersion</t>
  </si>
  <si>
    <t>fg-knowledge-authority-KnowledgeFragments.IsUnapprovedButReliedOn</t>
  </si>
  <si>
    <t>fg-knowledge-authority-KnowledgeFragments.EvidenceAgeDays</t>
  </si>
  <si>
    <t>fg-knowledge-authority-KnowledgeFragments.HasRecordedElicitation</t>
  </si>
  <si>
    <t>fg-knowledge-authority-KnowledgeFragments.IsFromSingleWitness</t>
  </si>
  <si>
    <t>fg-knowledge-authority-KnowledgeFragments.EvidenceExpiryDays</t>
  </si>
  <si>
    <t>fg-knowledge-authority-KnowledgeFragments.EvidenceHasExpired</t>
  </si>
  <si>
    <t>fg-knowledge-authority-KnowledgeFragments.OwnerAgent</t>
  </si>
  <si>
    <t>fg-knowledge-authority-KnowledgeFragments.IsAwaitingApproval</t>
  </si>
  <si>
    <t>fg-knowledge-authority-KnowledgeFragments.OwnerIsMe</t>
  </si>
  <si>
    <t>fg-knowledge-authority-KnowledgeFragments.IsMyUnfinishedApproval</t>
  </si>
  <si>
    <t>fg-knowledge-authority-KnowledgeFragments.IsInvokedByAnException</t>
  </si>
  <si>
    <t>fg-knowledge-authority-KnowledgeFragments.HasOperationalReliance</t>
  </si>
  <si>
    <t>fg-knowledge-authority-KnowledgeFragments.IsUnapprovedAndOperationallyLive</t>
  </si>
  <si>
    <t>fg-knowledge-authority-KnowledgeFragments.AgeDays</t>
  </si>
  <si>
    <t>fg-knowledge-authority-KnowledgeFragments.IsLowConfidence</t>
  </si>
  <si>
    <t>fg-knowledge-authority-KnowledgeFragments.OwningVersionCadenceDays</t>
  </si>
  <si>
    <t>fg-knowledge-authority-KnowledgeFragments.ExceedsOwningCadence</t>
  </si>
  <si>
    <t>fg-knowledge-authority-KnowledgeFragments.IsAgingLowConfidenceClaim</t>
  </si>
  <si>
    <t>fg-knowledge-authority-KnowledgeFragments.OwnerRoleAgentKind</t>
  </si>
  <si>
    <t>fg-knowledge-authority-KnowledgeFragments.IsHumanOwned</t>
  </si>
  <si>
    <t>fg-knowledge-authority-KnowledgeFragments.IsAiValidatedByAi</t>
  </si>
  <si>
    <t>fg-knowledge-authority-KnowledgeFragments.ReviewCadenceDays</t>
  </si>
  <si>
    <t>fg-knowledge-authority-KnowledgeFragments.IsOverdueForReview</t>
  </si>
  <si>
    <t>fg-knowledge-authority-KnowledgeFragments.PredatesCurrentRoleHolder</t>
  </si>
  <si>
    <t>fg-knowledge-authority-KnowledgeFragments.OwnerRoleAssignmentValidFrom</t>
  </si>
  <si>
    <t>fg-knowledge-authority-KnowledgeFragments.LastReviewedAt</t>
  </si>
  <si>
    <t>fg-knowledge-authority-KnowledgeFragments.FragilitySignalCount</t>
  </si>
  <si>
    <t>fg-knowledge-authority-KnowledgeFragments.IsCompoundFragile</t>
  </si>
  <si>
    <t>fg-knowledge-authority-KnowledgeFragments.IsSinglePointOfFailure</t>
  </si>
  <si>
    <t>fg-knowledge-authority-KnowledgeFragments.IsExpiringSinglePointOfFailure</t>
  </si>
  <si>
    <t>fg-knowledge-authority-KnowledgeFragments.CompoundFragileVersionKey</t>
  </si>
  <si>
    <t>fg-knowledge-authority-KnowledgeFragments.ValidFragmentSessionKey</t>
  </si>
  <si>
    <t>fg-knowledge-authority-KnowledgeFragments.ConsumingStepIsSoftwareAssigned</t>
  </si>
  <si>
    <t>fg-knowledge-authority-KnowledgeFragments.ConsumingStepAgentKind</t>
  </si>
  <si>
    <t>fg-knowledge-authority-KnowledgeFragments.IsUnapprovedAndMachineConsumed</t>
  </si>
  <si>
    <t>fg-knowledge-authority-KnowledgeFragments.IsUnapprovedAndHumanConsumed</t>
  </si>
  <si>
    <t>fg-knowledge-authority-KnowledgeFragments.MachineConsumedUnapprovedVersionKey</t>
  </si>
  <si>
    <t>fg-knowledge-authority-KnowledgeFragments.HasReviewRecord</t>
  </si>
  <si>
    <t>fg-knowledge-authority-KnowledgeFragments.DaysSinceActualReview</t>
  </si>
  <si>
    <t>fg-knowledge-authority-KnowledgeFragments.IsUnreviewedSinceAuthoring</t>
  </si>
  <si>
    <t>fg-knowledge-authority-KnowledgeFragments.IsGenuinelyOverdue</t>
  </si>
  <si>
    <t>fg-knowledge-authority-KnowledgeFragments.ReviewRecencyIsInferred</t>
  </si>
  <si>
    <t>fg-knowledge-authority-KnowledgeFragments.InferenceDisagreesWithRecord</t>
  </si>
  <si>
    <t>fg-knowledge-authority-KnowledgeFragments.GenuinelyOverdueVersionKey</t>
  </si>
  <si>
    <t>fg-knowledge-authority-KnowledgeFragments.RatifiedBoundaryCount</t>
  </si>
  <si>
    <t>fg-knowledge-authority-KnowledgeFragments.RelianceSurfaceCount</t>
  </si>
  <si>
    <t>fg-knowledge-authority-KnowledgeFragments.DaysAwaitingMyApproval</t>
  </si>
  <si>
    <t>fg-knowledge-authority-KnowledgeFragments.IsHighBlastRadiusUnapproved</t>
  </si>
  <si>
    <t>fg-knowledge-authority-KnowledgeFragments.IsLongUnapproved</t>
  </si>
  <si>
    <t>fg-knowledge-authority-KnowledgeFragments.UnapprovedLoadBearingVersionKey</t>
  </si>
  <si>
    <t>fg-knowledge-authority-KnowledgeFragments.OwnerRoleIsVacated</t>
  </si>
  <si>
    <t>fg-knowledge-authority-KnowledgeFragments.IsOrphanedByRole</t>
  </si>
  <si>
    <t>fg-knowledge-authority-KnowledgeFragments.ValidFragmentVersionKey</t>
  </si>
  <si>
    <t>fg-knowledge-authority-KnowledgeFragments.SemanticTypeIri</t>
  </si>
  <si>
    <t>fg-knowledge-authority-KnowledgeGaps.KnowledgeGapId</t>
  </si>
  <si>
    <t>fg-knowledge-authority-KnowledgeGaps.Name</t>
  </si>
  <si>
    <t>fg-knowledge-authority-KnowledgeGaps.ProcedureVersion</t>
  </si>
  <si>
    <t>fg-knowledge-authority-KnowledgeGaps.Step</t>
  </si>
  <si>
    <t>fg-knowledge-authority-KnowledgeGaps.Statement</t>
  </si>
  <si>
    <t>fg-knowledge-authority-KnowledgeGaps.Severity</t>
  </si>
  <si>
    <t>fg-knowledge-authority-KnowledgeGaps.BlockingKind</t>
  </si>
  <si>
    <t>fg-knowledge-authority-KnowledgeGaps.Status</t>
  </si>
  <si>
    <t>fg-knowledge-authority-KnowledgeGaps.OwnerRole</t>
  </si>
  <si>
    <t>fg-knowledge-authority-KnowledgeGaps.IdentifiedAt</t>
  </si>
  <si>
    <t>fg-knowledge-authority-KnowledgeGaps.ResolutionPlan</t>
  </si>
  <si>
    <t>fg-knowledge-authority-KnowledgeGaps.IsOpen</t>
  </si>
  <si>
    <t>fg-knowledge-authority-KnowledgeGaps.OpenGapVersionKey</t>
  </si>
  <si>
    <t>fg-knowledge-authority-KnowledgeGaps.IsBlocking</t>
  </si>
  <si>
    <t>fg-knowledge-authority-KnowledgeGaps.IsOpenAndBlocking</t>
  </si>
  <si>
    <t>fg-knowledge-authority-KnowledgeGaps.EvaluationContext</t>
  </si>
  <si>
    <t>fg-knowledge-authority-KnowledgeGaps.AsOfInstant</t>
  </si>
  <si>
    <t>fg-knowledge-authority-KnowledgeGaps.DaysOpen</t>
  </si>
  <si>
    <t>fg-knowledge-authority-KnowledgeGaps.ToleranceDays</t>
  </si>
  <si>
    <t>fg-knowledge-authority-KnowledgeGaps.IsOverdueGap</t>
  </si>
  <si>
    <t>fg-knowledge-authority-KnowledgeGaps.OwnerAgent</t>
  </si>
  <si>
    <t>fg-knowledge-authority-KnowledgeGaps.OwnerIsStillEngaged</t>
  </si>
  <si>
    <t>fg-knowledge-authority-KnowledgeGaps.HasResolutionPlan</t>
  </si>
  <si>
    <t>fg-knowledge-authority-KnowledgeGaps.IsAbandonedUnknown</t>
  </si>
  <si>
    <t>fg-knowledge-authority-KnowledgeGaps.OpenBlockingGapVersionKey</t>
  </si>
  <si>
    <t>fg-knowledge-authority-KnowledgeGaps.OwnerRoleIsVacated</t>
  </si>
  <si>
    <t>fg-knowledge-authority-KnowledgeGaps.IsOwnerlessOpenGap</t>
  </si>
  <si>
    <t>fg-knowledge-authority-KnowledgeGaps.SemanticTypeIri</t>
  </si>
  <si>
    <t>fg-knowledge-authority-LearningActivities.LearningActivityId</t>
  </si>
  <si>
    <t>fg-knowledge-authority-LearningActivities.Name</t>
  </si>
  <si>
    <t>fg-knowledge-authority-LearningActivities.CommunityOfPractice</t>
  </si>
  <si>
    <t>fg-knowledge-authority-LearningActivities.ProcedureVersion</t>
  </si>
  <si>
    <t>fg-knowledge-authority-LearningActivities.ActivityKind</t>
  </si>
  <si>
    <t>fg-knowledge-authority-LearningActivities.OccurredAt</t>
  </si>
  <si>
    <t>fg-knowledge-authority-LearningActivities.FacilitatorAgent</t>
  </si>
  <si>
    <t>fg-knowledge-authority-LearningActivities.Outcome</t>
  </si>
  <si>
    <t>fg-knowledge-authority-LearningActivities.EvidenceResource</t>
  </si>
  <si>
    <t>fg-knowledge-authority-LearningActivities.SemanticTypeIri</t>
  </si>
  <si>
    <t>fg-knowledge-authority-Mentorships.MentorshipId</t>
  </si>
  <si>
    <t>fg-knowledge-authority-Mentorships.Name</t>
  </si>
  <si>
    <t>fg-knowledge-authority-Mentorships.CommunityOfPractice</t>
  </si>
  <si>
    <t>fg-knowledge-authority-Mentorships.MentorAgent</t>
  </si>
  <si>
    <t>fg-knowledge-authority-Mentorships.LearnerAgent</t>
  </si>
  <si>
    <t>fg-knowledge-authority-Mentorships.ValidFrom</t>
  </si>
  <si>
    <t>fg-knowledge-authority-Mentorships.ValidTo</t>
  </si>
  <si>
    <t>fg-knowledge-authority-Mentorships.LearningObjective</t>
  </si>
  <si>
    <t>fg-knowledge-authority-Mentorships.EvidenceOfCompletion</t>
  </si>
  <si>
    <t>fg-knowledge-authority-Mentorships.SemanticTypeIri</t>
  </si>
  <si>
    <t>fg-knowledge-authority-MessageDeliveries.MessageDeliveryId</t>
  </si>
  <si>
    <t>fg-knowledge-authority-MessageDeliveries.Name</t>
  </si>
  <si>
    <t>fg-knowledge-authority-MessageDeliveries.ProcedureExecution</t>
  </si>
  <si>
    <t>fg-knowledge-authority-MessageDeliveries.StepExecution</t>
  </si>
  <si>
    <t>fg-knowledge-authority-MessageDeliveries.Recipient</t>
  </si>
  <si>
    <t>fg-knowledge-authority-MessageDeliveries.MessageTemplate</t>
  </si>
  <si>
    <t>fg-knowledge-authority-MessageDeliveries.SentByAgent</t>
  </si>
  <si>
    <t>fg-knowledge-authority-MessageDeliveries.RenderedBody</t>
  </si>
  <si>
    <t>fg-knowledge-authority-MessageDeliveries.SentAt</t>
  </si>
  <si>
    <t>fg-knowledge-authority-MessageDeliveries.SentAtLocalHour</t>
  </si>
  <si>
    <t>fg-knowledge-authority-MessageDeliveries.DeliveryStatus</t>
  </si>
  <si>
    <t>fg-knowledge-authority-MessageDeliveries.SuppressionReason</t>
  </si>
  <si>
    <t>fg-knowledge-authority-MessageDeliveries.InvokedException</t>
  </si>
  <si>
    <t>fg-knowledge-authority-MessageDeliveries.AcknowledgedAt</t>
  </si>
  <si>
    <t>fg-knowledge-authority-MessageDeliveries.PolicyChannel</t>
  </si>
  <si>
    <t>fg-knowledge-authority-MessageDeliveries.ChannelName</t>
  </si>
  <si>
    <t>fg-knowledge-authority-MessageDeliveries.PolicyRequiresConsent</t>
  </si>
  <si>
    <t>fg-knowledge-authority-MessageDeliveries.RecipientHasSmsConsent</t>
  </si>
  <si>
    <t>fg-knowledge-authority-MessageDeliveries.WasActuallyTransmitted</t>
  </si>
  <si>
    <t>fg-knowledge-authority-MessageDeliveries.IsConsentViolation</t>
  </si>
  <si>
    <t>fg-knowledge-authority-MessageDeliveries.ConsentViolationPolicyKey</t>
  </si>
  <si>
    <t>fg-knowledge-authority-MessageDeliveries.PolicyQuietHoursStartHour</t>
  </si>
  <si>
    <t>fg-knowledge-authority-MessageDeliveries.PolicyQuietHoursEndHour</t>
  </si>
  <si>
    <t>fg-knowledge-authority-MessageDeliveries.PolicyHasQuietHours</t>
  </si>
  <si>
    <t>fg-knowledge-authority-MessageDeliveries.QuietWindowWrapsMidnight</t>
  </si>
  <si>
    <t>fg-knowledge-authority-MessageDeliveries.IsInsideQuietWindow</t>
  </si>
  <si>
    <t>fg-knowledge-authority-MessageDeliveries.IsQuietHoursViolation</t>
  </si>
  <si>
    <t>fg-knowledge-authority-MessageDeliveries.QuietHoursViolationPolicyKey</t>
  </si>
  <si>
    <t>fg-knowledge-authority-MessageDeliveries.RecipientIsUnreachable</t>
  </si>
  <si>
    <t>fg-knowledge-authority-MessageDeliveries.IsAcknowledged</t>
  </si>
  <si>
    <t>fg-knowledge-authority-MessageDeliveries.InvokedExceptionCondition</t>
  </si>
  <si>
    <t>fg-knowledge-authority-MessageDeliveries.HasUnreachableExceptionInvoked</t>
  </si>
  <si>
    <t>fg-knowledge-authority-MessageDeliveries.IsFabricatedAcknowledgement</t>
  </si>
  <si>
    <t>fg-knowledge-authority-MessageDeliveries.IsUnhandledUnreachable</t>
  </si>
  <si>
    <t>fg-knowledge-authority-MessageDeliveries.UnreachableFailureKey</t>
  </si>
  <si>
    <t>fg-knowledge-authority-MessageDeliveries.PolicyRetentionDays</t>
  </si>
  <si>
    <t>fg-knowledge-authority-MessageDeliveries.EvaluationContext</t>
  </si>
  <si>
    <t>fg-knowledge-authority-MessageDeliveries.AsOfInstant</t>
  </si>
  <si>
    <t>fg-knowledge-authority-MessageDeliveries.AgeDays</t>
  </si>
  <si>
    <t>fg-knowledge-authority-MessageDeliveries.IsWithinRetentionWindow</t>
  </si>
  <si>
    <t>fg-knowledge-authority-MessageDeliveries.HasRenderedBody</t>
  </si>
  <si>
    <t>fg-knowledge-authority-MessageDeliveries.IsEvidenceRequired</t>
  </si>
  <si>
    <t>fg-knowledge-authority-MessageDeliveries.IsRetentionBreach</t>
  </si>
  <si>
    <t>fg-knowledge-authority-MessageDeliveries.RetentionBreachExecutionKey</t>
  </si>
  <si>
    <t>fg-knowledge-authority-MessageDeliveries.SendingStepExecutionStep</t>
  </si>
  <si>
    <t>fg-knowledge-authority-MessageDeliveries.ExecutionHasClearedLegalReview</t>
  </si>
  <si>
    <t>fg-knowledge-authority-MessageDeliveries.IsUnreviewedSend</t>
  </si>
  <si>
    <t>fg-knowledge-authority-MessageDeliveries.RenderedBodyLength</t>
  </si>
  <si>
    <t>fg-knowledge-authority-MessageDeliveries.PolicyMaxMessageLengthAtSend</t>
  </si>
  <si>
    <t>fg-knowledge-authority-MessageDeliveries.SegmentCount</t>
  </si>
  <si>
    <t>fg-knowledge-authority-MessageDeliveries.PolicyMaxSegmentsAtSend</t>
  </si>
  <si>
    <t>fg-knowledge-authority-MessageDeliveries.IsOverSegmentLimit</t>
  </si>
  <si>
    <t>fg-knowledge-authority-MessageDeliveries.TemplateHasValidApproval</t>
  </si>
  <si>
    <t>fg-knowledge-authority-MessageDeliveries.IsUnapprovedSend</t>
  </si>
  <si>
    <t>fg-knowledge-authority-MessageDeliveries.PolicyRequiredOptOutPhrase</t>
  </si>
  <si>
    <t>fg-knowledge-authority-MessageDeliveries.PolicyRequiresOptOut</t>
  </si>
  <si>
    <t>fg-knowledge-authority-MessageDeliveries.OptOutPhrasePosition</t>
  </si>
  <si>
    <t>fg-knowledge-authority-MessageDeliveries.HasOptOutPhrase</t>
  </si>
  <si>
    <t>fg-knowledge-authority-MessageDeliveries.IsOptOutInFirstSegment</t>
  </si>
  <si>
    <t>fg-knowledge-authority-MessageDeliveries.IsMissingRequiredOptOut</t>
  </si>
  <si>
    <t>fg-knowledge-authority-MessageDeliveries.IsOptOutAtRiskOfTruncation</t>
  </si>
  <si>
    <t>fg-knowledge-authority-MessageDeliveries.IsFailedDelivery</t>
  </si>
  <si>
    <t>fg-knowledge-authority-MessageDeliveries.IsSuppressed</t>
  </si>
  <si>
    <t>fg-knowledge-authority-MessageDeliveries.IsTriaged</t>
  </si>
  <si>
    <t>fg-knowledge-authority-MessageDeliveries.IsAbandonedFailure</t>
  </si>
  <si>
    <t>fg-knowledge-authority-MessageDeliveries.AbandonedFailureExecutionKey</t>
  </si>
  <si>
    <t>fg-knowledge-authority-MessageDeliveries.ReachedExecutionKey</t>
  </si>
  <si>
    <t>fg-knowledge-authority-MessageDeliveries.TemplateWasSendable</t>
  </si>
  <si>
    <t>fg-knowledge-authority-MessageDeliveries.IsDriftedSend</t>
  </si>
  <si>
    <t>fg-knowledge-authority-MessageDeliveries.DriftedSendTemplateKey</t>
  </si>
  <si>
    <t>fg-knowledge-authority-MessageDeliveries.WasSentOutsideBusinessHours</t>
  </si>
  <si>
    <t>fg-knowledge-authority-MessageDeliveries.WasDeliveredAndUnanswered</t>
  </si>
  <si>
    <t>fg-knowledge-authority-MessageDeliveries.IsPoorlyTimedUnanswered</t>
  </si>
  <si>
    <t>fg-knowledge-authority-MessageDeliveries.IsWellTimedUnanswered</t>
  </si>
  <si>
    <t>fg-knowledge-authority-MessageDeliveries.UnansweredTemplateKey</t>
  </si>
  <si>
    <t>fg-knowledge-authority-MessageDeliveries.TransmittedTemplateKey</t>
  </si>
  <si>
    <t>fg-knowledge-authority-MessageDeliveries.ApprovingAgentAtSend</t>
  </si>
  <si>
    <t>fg-knowledge-authority-MessageDeliveries.ApprovingRoleAtSend</t>
  </si>
  <si>
    <t>fg-knowledge-authority-MessageDeliveries.ApprovalDecidedAtSend</t>
  </si>
  <si>
    <t>fg-knowledge-authority-MessageDeliveries.ApprovalPrecededSend</t>
  </si>
  <si>
    <t>fg-knowledge-authority-MessageDeliveries.HasFrozenApprovalEvidence</t>
  </si>
  <si>
    <t>fg-knowledge-authority-MessageDeliveries.ProvenanceIsLiveDerived</t>
  </si>
  <si>
    <t>fg-knowledge-authority-MessageDeliveries.CurrentLastApprovalAt</t>
  </si>
  <si>
    <t>fg-knowledge-authority-MessageDeliveries.TemplateReapprovedSinceSend</t>
  </si>
  <si>
    <t>fg-knowledge-authority-MessageDeliveries.IsUnprovableApprovalClaim</t>
  </si>
  <si>
    <t>fg-knowledge-authority-MessageDeliveries.ReminderSentAt</t>
  </si>
  <si>
    <t>fg-knowledge-authority-MessageDeliveries.ReminderCount</t>
  </si>
  <si>
    <t>fg-knowledge-authority-MessageDeliveries.HasSentReminder</t>
  </si>
  <si>
    <t>fg-knowledge-authority-MessageDeliveries.AcknowledgementIsOutstanding</t>
  </si>
  <si>
    <t>fg-knowledge-authority-MessageDeliveries.OutstandingAgeDays</t>
  </si>
  <si>
    <t>fg-knowledge-authority-MessageDeliveries.IsUnchasedAcknowledgement</t>
  </si>
  <si>
    <t>fg-knowledge-authority-MessageDeliveries.IsExhaustedFollowUp</t>
  </si>
  <si>
    <t>fg-knowledge-authority-MessageDeliveries.NeedsHumanEscalation</t>
  </si>
  <si>
    <t>fg-knowledge-authority-MessageDeliveries.SemanticTypeIri</t>
  </si>
  <si>
    <t>fg-knowledge-authority-MessageTemplates.MessageTemplateId</t>
  </si>
  <si>
    <t>fg-knowledge-authority-MessageTemplates.Name</t>
  </si>
  <si>
    <t>fg-knowledge-authority-MessageTemplates.CommunicationPolicy</t>
  </si>
  <si>
    <t>fg-knowledge-authority-MessageTemplates.Resource</t>
  </si>
  <si>
    <t>fg-knowledge-authority-MessageTemplates.SubjectTemplate</t>
  </si>
  <si>
    <t>fg-knowledge-authority-MessageTemplates.BodyTemplate</t>
  </si>
  <si>
    <t>fg-knowledge-authority-MessageTemplates.Locale</t>
  </si>
  <si>
    <t>fg-knowledge-authority-MessageTemplates.Status</t>
  </si>
  <si>
    <t>fg-knowledge-authority-MessageTemplates.PolicyMaxMessageLength</t>
  </si>
  <si>
    <t>fg-knowledge-authority-MessageTemplates.PolicyMaxSegments</t>
  </si>
  <si>
    <t>fg-knowledge-authority-MessageTemplates.BodyTemplateLength</t>
  </si>
  <si>
    <t>fg-knowledge-authority-MessageTemplates.IsTemplateOverLength</t>
  </si>
  <si>
    <t>fg-knowledge-authority-MessageTemplates.ValidApprovalCount</t>
  </si>
  <si>
    <t>fg-knowledge-authority-MessageTemplates.HasValidApproval</t>
  </si>
  <si>
    <t>fg-knowledge-authority-MessageTemplates.IsClaimingUnbackedApproval</t>
  </si>
  <si>
    <t>fg-knowledge-authority-MessageTemplates.CurrentBodyHash</t>
  </si>
  <si>
    <t>fg-knowledge-authority-MessageTemplates.LastApprovedBodyHash</t>
  </si>
  <si>
    <t>fg-knowledge-authority-MessageTemplates.LastValidApproval</t>
  </si>
  <si>
    <t>fg-knowledge-authority-MessageTemplates.HasBodyDrifted</t>
  </si>
  <si>
    <t>fg-knowledge-authority-MessageTemplates.IsSendableUnderApproval</t>
  </si>
  <si>
    <t>fg-knowledge-authority-MessageTemplates.DriftedSendCount</t>
  </si>
  <si>
    <t>fg-knowledge-authority-MessageTemplates.UnansweredDeliveryCount</t>
  </si>
  <si>
    <t>fg-knowledge-authority-MessageTemplates.TransmittedDeliveryCount</t>
  </si>
  <si>
    <t>fg-knowledge-authority-MessageTemplates.TemplateDrawsNoResponse</t>
  </si>
  <si>
    <t>fg-knowledge-authority-MessageTemplates.LastApprovalAt</t>
  </si>
  <si>
    <t>fg-knowledge-authority-MessageTemplates.SemanticTypeIri</t>
  </si>
  <si>
    <t>fg-knowledge-authority-ObservedTransitions.ObservedTransitionId</t>
  </si>
  <si>
    <t>fg-knowledge-authority-ObservedTransitions.Name</t>
  </si>
  <si>
    <t>fg-knowledge-authority-ObservedTransitions.ProcedureExecution</t>
  </si>
  <si>
    <t>fg-knowledge-authority-ObservedTransitions.StepTransition</t>
  </si>
  <si>
    <t>fg-knowledge-authority-ObservedTransitions.ArrivingStepExecution</t>
  </si>
  <si>
    <t>fg-knowledge-authority-ObservedTransitions.ObservedAt</t>
  </si>
  <si>
    <t>fg-knowledge-authority-ObservedTransitions.TriggerReason</t>
  </si>
  <si>
    <t>fg-knowledge-authority-ObservedTransitions.SemanticTypeIri</t>
  </si>
  <si>
    <t>fg-knowledge-authority-OntologyProfiles.OntologyProfileId</t>
  </si>
  <si>
    <t>fg-knowledge-authority-OntologyProfiles.Name</t>
  </si>
  <si>
    <t>fg-knowledge-authority-OntologyProfiles.Label</t>
  </si>
  <si>
    <t>fg-knowledge-authority-OntologyProfiles.Version</t>
  </si>
  <si>
    <t>fg-knowledge-authority-OntologyProfiles.VersionIri</t>
  </si>
  <si>
    <t>fg-knowledge-authority-OntologyProfiles.NamespaceIri</t>
  </si>
  <si>
    <t>fg-knowledge-authority-OntologyProfiles.License</t>
  </si>
  <si>
    <t>fg-knowledge-authority-OntologyProfiles.Scope</t>
  </si>
  <si>
    <t>fg-knowledge-authority-OperationalBindings.OperationalBindingId</t>
  </si>
  <si>
    <t>fg-knowledge-authority-OperationalBindings.Name</t>
  </si>
  <si>
    <t>fg-knowledge-authority-OperationalBindings.ProcedureVersion</t>
  </si>
  <si>
    <t>fg-knowledge-authority-OperationalBindings.Step</t>
  </si>
  <si>
    <t>fg-knowledge-authority-OperationalBindings.Resource</t>
  </si>
  <si>
    <t>fg-knowledge-authority-OperationalBindings.AccessMode</t>
  </si>
  <si>
    <t>fg-knowledge-authority-OperationalBindings.RecordOrSchemaKey</t>
  </si>
  <si>
    <t>fg-knowledge-authority-OperationalBindings.LastObservedAt</t>
  </si>
  <si>
    <t>fg-knowledge-authority-OperationalBindings.FreshnessSlaMinutes</t>
  </si>
  <si>
    <t>fg-knowledge-authority-OperationalBindings.IsAuthoritative</t>
  </si>
  <si>
    <t>fg-knowledge-authority-OperationalBindings.EvaluationContext</t>
  </si>
  <si>
    <t>fg-knowledge-authority-OperationalBindings.AsOfInstant</t>
  </si>
  <si>
    <t>fg-knowledge-authority-OperationalBindings.AgeMinutes</t>
  </si>
  <si>
    <t>fg-knowledge-authority-OperationalBindings.IsFresh</t>
  </si>
  <si>
    <t>fg-knowledge-authority-OperationalBindings.StaleBindingStepKey</t>
  </si>
  <si>
    <t>fg-knowledge-authority-OperationalBindings.AuthoritativeStaleStepKey</t>
  </si>
  <si>
    <t>fg-knowledge-authority-OperationalBindings.IsStaleAndAuthoritative</t>
  </si>
  <si>
    <t>fg-knowledge-authority-OperationalBindings.StepWhenStale</t>
  </si>
  <si>
    <t>fg-knowledge-authority-OperationalBindings.ResourceIsApproved</t>
  </si>
  <si>
    <t>fg-knowledge-authority-OperationalBindings.IsUsableForDrafting</t>
  </si>
  <si>
    <t>fg-knowledge-authority-OperationalBindings.StepWhenUnusable</t>
  </si>
  <si>
    <t>fg-knowledge-authority-OperationalBindings.SemanticTypeIri</t>
  </si>
  <si>
    <t>fg-knowledge-authority-Organizations.OrganizationId</t>
  </si>
  <si>
    <t>fg-knowledge-authority-Organizations.Name</t>
  </si>
  <si>
    <t>fg-knowledge-authority-Organizations.DisplayName</t>
  </si>
  <si>
    <t>fg-knowledge-authority-Organizations.OrganizationType</t>
  </si>
  <si>
    <t>fg-knowledge-authority-Organizations.ExternalIdentifier</t>
  </si>
  <si>
    <t>fg-knowledge-authority-Organizations.SemanticTypeIri</t>
  </si>
  <si>
    <t>fg-knowledge-authority-ProcedureExecutions.ProcedureExecutionId</t>
  </si>
  <si>
    <t>fg-knowledge-authority-ProcedureExecutions.Name</t>
  </si>
  <si>
    <t>fg-knowledge-authority-ProcedureExecutions.ProcedureVersion</t>
  </si>
  <si>
    <t>fg-knowledge-authority-ProcedureExecutions.ExecutionStatus</t>
  </si>
  <si>
    <t>fg-knowledge-authority-ProcedureExecutions.StartedAt</t>
  </si>
  <si>
    <t>fg-knowledge-authority-ProcedureExecutions.EndedAt</t>
  </si>
  <si>
    <t>fg-knowledge-authority-ProcedureExecutions.ExecutedByAgent</t>
  </si>
  <si>
    <t>fg-knowledge-authority-ProcedureExecutions.Context</t>
  </si>
  <si>
    <t>fg-knowledge-authority-ProcedureExecutions.OperationalRecordUri</t>
  </si>
  <si>
    <t>fg-knowledge-authority-ProcedureExecutions.ExpectedStepCount</t>
  </si>
  <si>
    <t>fg-knowledge-authority-ProcedureExecutions.CompletedStepCount</t>
  </si>
  <si>
    <t>fg-knowledge-authority-ProcedureExecutions.ControlBreachCount</t>
  </si>
  <si>
    <t>fg-knowledge-authority-ProcedureExecutions.LateStepCount</t>
  </si>
  <si>
    <t>fg-knowledge-authority-ProcedureExecutions.IsStructurallyComplete</t>
  </si>
  <si>
    <t>fg-knowledge-authority-ProcedureExecutions.DivergedFromSpecification</t>
  </si>
  <si>
    <t>fg-knowledge-authority-ProcedureExecutions.AllBlockingControlsEvaluated</t>
  </si>
  <si>
    <t>fg-knowledge-authority-ProcedureExecutions.UnevaluatedBlockingTotal</t>
  </si>
  <si>
    <t>fg-knowledge-authority-ProcedureExecutions.SeparationOfDutiesHeld</t>
  </si>
  <si>
    <t>fg-knowledge-authority-ProcedureExecutions.SeparationViolationCount</t>
  </si>
  <si>
    <t>fg-knowledge-authority-ProcedureExecutions.IsAttestationReady</t>
  </si>
  <si>
    <t>fg-knowledge-authority-ProcedureExecutions.AttestationBlockerSummary</t>
  </si>
  <si>
    <t>fg-knowledge-authority-ProcedureExecutions.ExecutedVersionIsFit</t>
  </si>
  <si>
    <t>fg-knowledge-authority-ProcedureExecutions.SignedAgainstUnfitVersion</t>
  </si>
  <si>
    <t>fg-knowledge-authority-ProcedureExecutions.AssertedOnlyControlCount</t>
  </si>
  <si>
    <t>fg-knowledge-authority-ProcedureExecutions.AssuranceIsMostlyAsserted</t>
  </si>
  <si>
    <t>fg-knowledge-authority-ProcedureExecutions.UnreachableHandlingFailureCount</t>
  </si>
  <si>
    <t>fg-knowledge-authority-ProcedureExecutions.RetentionBreachCount</t>
  </si>
  <si>
    <t>fg-knowledge-authority-ProcedureExecutions.ClearedLegalReviewCount</t>
  </si>
  <si>
    <t>fg-knowledge-authority-ProcedureExecutions.HasClearedLegalReview</t>
  </si>
  <si>
    <t>fg-knowledge-authority-ProcedureExecutions.AbandonedFailureCount</t>
  </si>
  <si>
    <t>fg-knowledge-authority-ProcedureExecutions.DeliveredCount</t>
  </si>
  <si>
    <t>fg-knowledge-authority-ProcedureExecutions.TotalDeliveryAttemptCount</t>
  </si>
  <si>
    <t>fg-knowledge-authority-ProcedureExecutions.HasAbandonedFailures</t>
  </si>
  <si>
    <t>fg-knowledge-authority-ProcedureExecutions.MishandledRefusalCount</t>
  </si>
  <si>
    <t>fg-knowledge-authority-ProcedureExecutions.UncleanStepCount</t>
  </si>
  <si>
    <t>fg-knowledge-authority-ProcedureExecutions.RanClean</t>
  </si>
  <si>
    <t>fg-knowledge-authority-ProcedureExecutions.CountOfApprovalExecutions</t>
  </si>
  <si>
    <t>fg-knowledge-authority-ProcedureExecutions.HasHumanApproval</t>
  </si>
  <si>
    <t>fg-knowledge-authority-ProcedureExecutions.CountOfDeliveryExecutions</t>
  </si>
  <si>
    <t>fg-knowledge-authority-ProcedureExecutions.HasDelivered</t>
  </si>
  <si>
    <t>fg-knowledge-authority-ProcedureExecutions.DeliveredWithoutApproval</t>
  </si>
  <si>
    <t>fg-knowledge-authority-ProcedureExecutions.InvalidApprovalCount</t>
  </si>
  <si>
    <t>fg-knowledge-authority-ProcedureExecutions.ApprovalChainIsComplete</t>
  </si>
  <si>
    <t>fg-knowledge-authority-ProcedureExecutions.VacuouslyCleanStepCount</t>
  </si>
  <si>
    <t>fg-knowledge-authority-ProcedureExecutions.PreparationStepCount</t>
  </si>
  <si>
    <t>fg-knowledge-authority-ProcedureExecutions.ApprovalStepCount</t>
  </si>
  <si>
    <t>fg-knowledge-authority-ProcedureExecutions.SeparationWasTestable</t>
  </si>
  <si>
    <t>fg-knowledge-authority-ProcedureExecutions.SeparationHeldUnderTest</t>
  </si>
  <si>
    <t>fg-knowledge-authority-ProcedureExecutions.SeparationIsVacuouslyGreen</t>
  </si>
  <si>
    <t>fg-knowledge-authority-ProcedureExecutions.SeparationAssuranceNote</t>
  </si>
  <si>
    <t>fg-knowledge-authority-ProcedureExecutions.UngovernedDivergenceCount</t>
  </si>
  <si>
    <t>fg-knowledge-authority-ProcedureExecutions.DivergenceWasFullyGoverned</t>
  </si>
  <si>
    <t>fg-knowledge-authority-ProcedureExecutions.ComputedlyWitnessedControlCount</t>
  </si>
  <si>
    <t>fg-knowledge-authority-ProcedureExecutions.EvaluatedControlCount</t>
  </si>
  <si>
    <t>fg-knowledge-authority-ProcedureExecutions.ComputedAssuranceRatio</t>
  </si>
  <si>
    <t>fg-knowledge-authority-ProcedureExecutions.InterestedPartyAssertionCount</t>
  </si>
  <si>
    <t>fg-knowledge-authority-ProcedureExecutions.AssuranceGrade</t>
  </si>
  <si>
    <t>fg-knowledge-authority-ProcedureExecutions.AttestationWouldBeWeaklyBased</t>
  </si>
  <si>
    <t>fg-knowledge-authority-ProcedureExecutions.IndependentHumanObservationCount</t>
  </si>
  <si>
    <t>fg-knowledge-authority-ProcedureExecutions.HasAnyIndependentObservation</t>
  </si>
  <si>
    <t>fg-knowledge-authority-ProcedureExecutions.SelfAttestedApprovalCount</t>
  </si>
  <si>
    <t>fg-knowledge-authority-ProcedureExecutions.AssuranceChainIsCircular</t>
  </si>
  <si>
    <t>fg-knowledge-authority-ProcedureExecutions.LatestAttestationInstant</t>
  </si>
  <si>
    <t>fg-knowledge-authority-ProcedureExecutions.HasBeenAttested</t>
  </si>
  <si>
    <t>fg-knowledge-authority-ProcedureExecutions.AttestationCount</t>
  </si>
  <si>
    <t>fg-knowledge-authority-ProcedureExecutions.PostAttestationScoreCount</t>
  </si>
  <si>
    <t>fg-knowledge-authority-ProcedureExecutions.BasisChangedAfterSignature</t>
  </si>
  <si>
    <t>fg-knowledge-authority-ProcedureExecutions.RequiresReAttestation</t>
  </si>
  <si>
    <t>fg-knowledge-authority-ProcedureExecutions.IntendedRecipientCount</t>
  </si>
  <si>
    <t>fg-knowledge-authority-ProcedureExecutions.ReachedRecipientCount</t>
  </si>
  <si>
    <t>fg-knowledge-authority-ProcedureExecutions.SilentlyDroppedCount</t>
  </si>
  <si>
    <t>fg-knowledge-authority-ProcedureExecutions.DeliveryYieldPercent</t>
  </si>
  <si>
    <t>fg-knowledge-authority-ProcedureExecutions.CampaignSilentlyLostAudience</t>
  </si>
  <si>
    <t>fg-knowledge-authority-ProcedureExecutions.UnrecordedRefusalCount</t>
  </si>
  <si>
    <t>fg-knowledge-authority-ProcedureExecutions.HasUnrecordedRefusals</t>
  </si>
  <si>
    <t>fg-knowledge-authority-ProcedureExecutions.IndependentlyConfirmedIntentCount</t>
  </si>
  <si>
    <t>fg-knowledge-authority-ProcedureExecutions.SendDecisionsAreEntirelySelfWitnessed</t>
  </si>
  <si>
    <t>fg-knowledge-authority-ProcedureExecutions.SemanticTypeIri</t>
  </si>
  <si>
    <t>fg-knowledge-authority-ProcedureResources.ProcedureResourceId</t>
  </si>
  <si>
    <t>fg-knowledge-authority-ProcedureResources.Name</t>
  </si>
  <si>
    <t>fg-knowledge-authority-ProcedureResources.ProcedureVersion</t>
  </si>
  <si>
    <t>fg-knowledge-authority-ProcedureResources.Resource</t>
  </si>
  <si>
    <t>fg-knowledge-authority-ProcedureResources.Relation</t>
  </si>
  <si>
    <t>fg-knowledge-authority-ProcedureResources.RelationIri</t>
  </si>
  <si>
    <t>fg-knowledge-authority-ProcedureStatusChanges.ProcedureStatusChangeId</t>
  </si>
  <si>
    <t>fg-knowledge-authority-ProcedureStatusChanges.Name</t>
  </si>
  <si>
    <t>fg-knowledge-authority-ProcedureStatusChanges.ProcedureVersion</t>
  </si>
  <si>
    <t>fg-knowledge-authority-ProcedureStatusChanges.FromStatus</t>
  </si>
  <si>
    <t>fg-knowledge-authority-ProcedureStatusChanges.ToStatus</t>
  </si>
  <si>
    <t>fg-knowledge-authority-ProcedureStatusChanges.ChangedAt</t>
  </si>
  <si>
    <t>fg-knowledge-authority-ProcedureStatusChanges.ChangedByAgent</t>
  </si>
  <si>
    <t>fg-knowledge-authority-ProcedureStatusChanges.Motivation</t>
  </si>
  <si>
    <t>fg-knowledge-authority-ProcedureStatusChanges.SemanticTypeIri</t>
  </si>
  <si>
    <t>fg-knowledge-authority-ProcedureTypes.ProcedureTypeId</t>
  </si>
  <si>
    <t>fg-knowledge-authority-ProcedureTypes.Name</t>
  </si>
  <si>
    <t>fg-knowledge-authority-ProcedureTypes.Label</t>
  </si>
  <si>
    <t>fg-knowledge-authority-ProcedureTypes.Definition</t>
  </si>
  <si>
    <t>fg-knowledge-authority-ProcedureTypes.SemanticTypeIri</t>
  </si>
  <si>
    <t>fg-knowledge-authority-ProcedureVersionLinks.ProcedureVersionLinkId</t>
  </si>
  <si>
    <t>fg-knowledge-authority-ProcedureVersionLinks.Name</t>
  </si>
  <si>
    <t>fg-knowledge-authority-ProcedureVersionLinks.PreviousProcedureVersion</t>
  </si>
  <si>
    <t>fg-knowledge-authority-ProcedureVersionLinks.NextProcedureVersion</t>
  </si>
  <si>
    <t>fg-knowledge-authority-ProcedureVersionLinks.RelationIri</t>
  </si>
  <si>
    <t>fg-knowledge-authority-ProcedureVersionLinks.ChangeSummary</t>
  </si>
  <si>
    <t>fg-knowledge-authority-ProcedureVersionLinks.SupersededVersionKey</t>
  </si>
  <si>
    <t>fg-knowledge-authority-ProcedureVersions.ProcedureVersionId</t>
  </si>
  <si>
    <t>fg-knowledge-authority-ProcedureVersions.Name</t>
  </si>
  <si>
    <t>fg-knowledge-authority-ProcedureVersions.Procedure</t>
  </si>
  <si>
    <t>fg-knowledge-authority-ProcedureVersions.VersionNumber</t>
  </si>
  <si>
    <t>fg-knowledge-authority-ProcedureVersions.Title</t>
  </si>
  <si>
    <t>fg-knowledge-authority-ProcedureVersions.Status</t>
  </si>
  <si>
    <t>fg-knowledge-authority-ProcedureVersions.IssuedAt</t>
  </si>
  <si>
    <t>fg-knowledge-authority-ProcedureVersions.ModifiedAt</t>
  </si>
  <si>
    <t>fg-knowledge-authority-ProcedureVersions.CreatedByAgent</t>
  </si>
  <si>
    <t>fg-knowledge-authority-ProcedureVersions.ModifiedByAgent</t>
  </si>
  <si>
    <t>fg-knowledge-authority-ProcedureVersions.NewVersionMotivation</t>
  </si>
  <si>
    <t>fg-knowledge-authority-ProcedureVersions.ChangelogDescription</t>
  </si>
  <si>
    <t>fg-knowledge-authority-ProcedureVersions.IsCurrent</t>
  </si>
  <si>
    <t>fg-knowledge-authority-ProcedureVersions.CountOfSteps</t>
  </si>
  <si>
    <t>fg-knowledge-authority-ProcedureVersions.CountOfOpenKnowledgeGaps</t>
  </si>
  <si>
    <t>fg-knowledge-authority-ProcedureVersions.IsReadyForExecution</t>
  </si>
  <si>
    <t>fg-knowledge-authority-ProcedureVersions.SpecifiedStepCount</t>
  </si>
  <si>
    <t>fg-knowledge-authority-ProcedureVersions.OverdueReviewCount</t>
  </si>
  <si>
    <t>fg-knowledge-authority-ProcedureVersions.OpenChangeRequestCount</t>
  </si>
  <si>
    <t>fg-knowledge-authority-ProcedureVersions.OpenHighSeverityGapCount</t>
  </si>
  <si>
    <t>fg-knowledge-authority-ProcedureVersions.IsFitToExecute</t>
  </si>
  <si>
    <t>fg-knowledge-authority-ProcedureVersions.StewardReviewCadenceDays</t>
  </si>
  <si>
    <t>fg-knowledge-authority-ProcedureVersions.CountOfStewardshipAssignments</t>
  </si>
  <si>
    <t>fg-knowledge-authority-ProcedureVersions.HasAnySteward</t>
  </si>
  <si>
    <t>fg-knowledge-authority-ProcedureVersions.IsLive</t>
  </si>
  <si>
    <t>fg-knowledge-authority-ProcedureVersions.IsUnstewarded</t>
  </si>
  <si>
    <t>fg-knowledge-authority-ProcedureVersions.IsLiveAndUnstewarded</t>
  </si>
  <si>
    <t>fg-knowledge-authority-ProcedureVersions.CountOfOpenBlockingGaps</t>
  </si>
  <si>
    <t>fg-knowledge-authority-ProcedureVersions.HasOpenBlockingGap</t>
  </si>
  <si>
    <t>fg-knowledge-authority-ProcedureVersions.IsLiveWithBlockingGap</t>
  </si>
  <si>
    <t>fg-knowledge-authority-ProcedureVersions.ShouldNotBeExecutable</t>
  </si>
  <si>
    <t>fg-knowledge-authority-ProcedureVersions.CountOfUnapprovedRelianceFragments</t>
  </si>
  <si>
    <t>fg-knowledge-authority-ProcedureVersions.RunsOnUnapprovedKnowledge</t>
  </si>
  <si>
    <t>fg-knowledge-authority-ProcedureVersions.CountOfOverdueGaps</t>
  </si>
  <si>
    <t>fg-knowledge-authority-ProcedureVersions.CountOfChangeRequests</t>
  </si>
  <si>
    <t>fg-knowledge-authority-ProcedureVersions.CountOfReviewEvents</t>
  </si>
  <si>
    <t>fg-knowledge-authority-ProcedureVersions.HasGovernanceRecord</t>
  </si>
  <si>
    <t>fg-knowledge-authority-ProcedureVersions.EvaluationContext</t>
  </si>
  <si>
    <t>fg-knowledge-authority-ProcedureVersions.AsOfInstant</t>
  </si>
  <si>
    <t>fg-knowledge-authority-ProcedureVersions.DaysSinceModified</t>
  </si>
  <si>
    <t>fg-knowledge-authority-ProcedureVersions.DaysSinceLastReview</t>
  </si>
  <si>
    <t>fg-knowledge-authority-ProcedureVersions.WasModifiedSinceLastReview</t>
  </si>
  <si>
    <t>fg-knowledge-authority-ProcedureVersions.ModifierIsAuthority</t>
  </si>
  <si>
    <t>fg-knowledge-authority-ProcedureVersions.HasUnwitnessedChange</t>
  </si>
  <si>
    <t>fg-knowledge-authority-ProcedureVersions.CountOfStaleFragments</t>
  </si>
  <si>
    <t>fg-knowledge-authority-ProcedureVersions.KnowledgeIsStalerThanCadence</t>
  </si>
  <si>
    <t>fg-knowledge-authority-ProcedureVersions.CompoundFragileFragmentCount</t>
  </si>
  <si>
    <t>fg-knowledge-authority-ProcedureVersions.RestsOnCompoundFragileKnowledge</t>
  </si>
  <si>
    <t>fg-knowledge-authority-ProcedureVersions.ConcentratedWitnessSessionCount</t>
  </si>
  <si>
    <t>fg-knowledge-authority-ProcedureVersions.KnowledgeBaseIsConcentrated</t>
  </si>
  <si>
    <t>fg-knowledge-authority-ProcedureVersions.MachineConsumedUnapprovedCount</t>
  </si>
  <si>
    <t>fg-knowledge-authority-ProcedureVersions.FeedsUnapprovedKnowledgeToMachines</t>
  </si>
  <si>
    <t>fg-knowledge-authority-ProcedureVersions.GenuinelyOverdueFragmentCount</t>
  </si>
  <si>
    <t>fg-knowledge-authority-ProcedureVersions.AwaitedDecisionCount</t>
  </si>
  <si>
    <t>fg-knowledge-authority-ProcedureVersions.ScopedOpenBlockingGapCount</t>
  </si>
  <si>
    <t>fg-knowledge-authority-ProcedureVersions.IsBlockedOnPendingDecision</t>
  </si>
  <si>
    <t>fg-knowledge-authority-ProcedureVersions.UnexercisedHumanGateCount</t>
  </si>
  <si>
    <t>fg-knowledge-authority-ProcedureVersions.AiBoundaryIsUnevidenced</t>
  </si>
  <si>
    <t>fg-knowledge-authority-ProcedureVersions.LoadBearingUnapprovedCount</t>
  </si>
  <si>
    <t>fg-knowledge-authority-ProcedureVersions.UnlandedDecisionCount</t>
  </si>
  <si>
    <t>fg-knowledge-authority-ProcedureVersions.UnrehearsedControlEntryCount</t>
  </si>
  <si>
    <t>fg-knowledge-authority-ProcedureVersions.HasUnrehearsedControlEntry</t>
  </si>
  <si>
    <t>fg-knowledge-authority-ProcedureVersions.IsLiveWithUnrehearsedControl</t>
  </si>
  <si>
    <t>fg-knowledge-authority-ProcedureVersions.CadenceBreachCount</t>
  </si>
  <si>
    <t>fg-knowledge-authority-ProcedureVersions.IsInCadenceBreach</t>
  </si>
  <si>
    <t>fg-knowledge-authority-ProcedureVersions.HasDecisionInFlight</t>
  </si>
  <si>
    <t>fg-knowledge-authority-ProcedureVersions.IsUnremediatedCadenceBreach</t>
  </si>
  <si>
    <t>fg-knowledge-authority-ProcedureVersions.IsManagedCadenceBreach</t>
  </si>
  <si>
    <t>fg-knowledge-authority-ProcedureVersions.GovernanceIsSilent</t>
  </si>
  <si>
    <t>fg-knowledge-authority-ProcedureVersions.ValidFragmentCount</t>
  </si>
  <si>
    <t>fg-knowledge-authority-ProcedureVersions.StillOwnsValidKnowledge</t>
  </si>
  <si>
    <t>fg-knowledge-authority-ProcedureVersions.IncomingSupersessionCount</t>
  </si>
  <si>
    <t>fg-knowledge-authority-ProcedureVersions.IsStillReferenced</t>
  </si>
  <si>
    <t>fg-knowledge-authority-ProcedureVersions.IsLoadBearingOrphan</t>
  </si>
  <si>
    <t>fg-knowledge-authority-ProcedureVersions.IsCleanlyRetired</t>
  </si>
  <si>
    <t>fg-knowledge-authority-ProcedureVersions.StalledImplementationCount</t>
  </si>
  <si>
    <t>fg-knowledge-authority-ProcedureVersions.IsHeldUnfitByLandedDecisions</t>
  </si>
  <si>
    <t>fg-knowledge-authority-ProcedureVersions.UndeclaredControlKindCount</t>
  </si>
  <si>
    <t>fg-knowledge-authority-ProcedureVersions.ControlTaxonomyIsIncomplete</t>
  </si>
  <si>
    <t>fg-knowledge-authority-ProcedureVersions.HasApprovedChangeRequest</t>
  </si>
  <si>
    <t>fg-knowledge-authority-ProcedureVersions.ApprovedChangeRequestCount</t>
  </si>
  <si>
    <t>fg-knowledge-authority-ProcedureVersions.UnwatchedUnownedControlCount</t>
  </si>
  <si>
    <t>fg-knowledge-authority-ProcedureVersions.SemanticTypeIri</t>
  </si>
  <si>
    <t>fg-knowledge-authority-Procedures.ProcedureId</t>
  </si>
  <si>
    <t>fg-knowledge-authority-Procedures.Name</t>
  </si>
  <si>
    <t>fg-knowledge-authority-Procedures.Title</t>
  </si>
  <si>
    <t>fg-knowledge-authority-Procedures.ProcedureType</t>
  </si>
  <si>
    <t>fg-knowledge-authority-Procedures.OwnerOrganization</t>
  </si>
  <si>
    <t>fg-knowledge-authority-Procedures.AdoptedByOrganization</t>
  </si>
  <si>
    <t>fg-knowledge-authority-Procedures.Purpose</t>
  </si>
  <si>
    <t>fg-knowledge-authority-Procedures.Target</t>
  </si>
  <si>
    <t>fg-knowledge-authority-Procedures.IsTemplate</t>
  </si>
  <si>
    <t>fg-knowledge-authority-Procedures.CurrentVersionKey</t>
  </si>
  <si>
    <t>fg-knowledge-authority-Procedures.SemanticTypeIri</t>
  </si>
  <si>
    <t>fg-knowledge-authority-Rationales.RationaleId</t>
  </si>
  <si>
    <t>fg-knowledge-authority-Rationales.Name</t>
  </si>
  <si>
    <t>fg-knowledge-authority-Rationales.ProcedureVersion</t>
  </si>
  <si>
    <t>fg-knowledge-authority-Rationales.Step</t>
  </si>
  <si>
    <t>fg-knowledge-authority-Rationales.Title</t>
  </si>
  <si>
    <t>fg-knowledge-authority-Rationales.Statement</t>
  </si>
  <si>
    <t>fg-knowledge-authority-Rationales.Status</t>
  </si>
  <si>
    <t>fg-knowledge-authority-Rationales.AuthorityRole</t>
  </si>
  <si>
    <t>fg-knowledge-authority-Rationales.SemanticTypeIri</t>
  </si>
  <si>
    <t>fg-knowledge-authority-Recipients.RecipientId</t>
  </si>
  <si>
    <t>fg-knowledge-authority-Recipients.Name</t>
  </si>
  <si>
    <t>fg-knowledge-authority-Recipients.DisplayName</t>
  </si>
  <si>
    <t>fg-knowledge-authority-Recipients.Organization</t>
  </si>
  <si>
    <t>fg-knowledge-authority-Recipients.EmailAddress</t>
  </si>
  <si>
    <t>fg-knowledge-authority-Recipients.MobileNumber</t>
  </si>
  <si>
    <t>fg-knowledge-authority-Recipients.SmsConsentStatus</t>
  </si>
  <si>
    <t>fg-knowledge-authority-Recipients.SmsConsentAt</t>
  </si>
  <si>
    <t>fg-knowledge-authority-Recipients.ConsentBinding</t>
  </si>
  <si>
    <t>fg-knowledge-authority-Recipients.HasSmsConsent</t>
  </si>
  <si>
    <t>fg-knowledge-authority-Recipients.IsEmailReachable</t>
  </si>
  <si>
    <t>fg-knowledge-authority-Recipients.IsSmsReachable</t>
  </si>
  <si>
    <t>fg-knowledge-authority-Recipients.IsUnreachable</t>
  </si>
  <si>
    <t>fg-knowledge-authority-Recipients.IsCommunicationallyStranded</t>
  </si>
  <si>
    <t>fg-knowledge-authority-Recipients.SemanticTypeIri</t>
  </si>
  <si>
    <t>fg-knowledge-authority-RequirementSatisfactions.RequirementSatisfactionId</t>
  </si>
  <si>
    <t>fg-knowledge-authority-RequirementSatisfactions.Name</t>
  </si>
  <si>
    <t>fg-knowledge-authority-RequirementSatisfactions.StepExecution</t>
  </si>
  <si>
    <t>fg-knowledge-authority-RequirementSatisfactions.Requirement</t>
  </si>
  <si>
    <t>fg-knowledge-authority-RequirementSatisfactions.SatisfactionLevel</t>
  </si>
  <si>
    <t>fg-knowledge-authority-RequirementSatisfactions.Evidence</t>
  </si>
  <si>
    <t>fg-knowledge-authority-RequirementSatisfactions.EvaluatedByAgent</t>
  </si>
  <si>
    <t>fg-knowledge-authority-RequirementSatisfactions.EvaluatedAt</t>
  </si>
  <si>
    <t>fg-knowledge-authority-RequirementSatisfactions.RequirementIsBlocking</t>
  </si>
  <si>
    <t>fg-knowledge-authority-RequirementSatisfactions.IsFullySatisfied</t>
  </si>
  <si>
    <t>fg-knowledge-authority-RequirementSatisfactions.IsBlockingAndUnmet</t>
  </si>
  <si>
    <t>fg-knowledge-authority-RequirementSatisfactions.BlockingUnmetStepKey</t>
  </si>
  <si>
    <t>fg-knowledge-authority-RequirementSatisfactions.BlockingSatisfactionStepKey</t>
  </si>
  <si>
    <t>fg-knowledge-authority-RequirementSatisfactions.NegativeOutcomeRequirementKey</t>
  </si>
  <si>
    <t>fg-knowledge-authority-RequirementSatisfactions.EvaluatorAgentKind</t>
  </si>
  <si>
    <t>fg-knowledge-authority-RequirementSatisfactions.NonHumanEvaluatedHumanControl</t>
  </si>
  <si>
    <t>fg-knowledge-authority-RequirementSatisfactions.RequirementHasComputedWitness</t>
  </si>
  <si>
    <t>fg-knowledge-authority-RequirementSatisfactions.IsAssertedOnly</t>
  </si>
  <si>
    <t>fg-knowledge-authority-RequirementSatisfactions.AssertedOnlyExecutionKey</t>
  </si>
  <si>
    <t>fg-knowledge-authority-RequirementSatisfactions.ParentProcedureExecution</t>
  </si>
  <si>
    <t>fg-knowledge-authority-RequirementSatisfactions.StepExecutionWhenScored</t>
  </si>
  <si>
    <t>fg-knowledge-authority-RequirementSatisfactions.IsHumanEvaluated</t>
  </si>
  <si>
    <t>fg-knowledge-authority-RequirementSatisfactions.RequirementIsApprovalType</t>
  </si>
  <si>
    <t>fg-knowledge-authority-RequirementSatisfactions.IsInvalidApproval</t>
  </si>
  <si>
    <t>fg-knowledge-authority-RequirementSatisfactions.ProcedureExecutionOfSatisfaction</t>
  </si>
  <si>
    <t>fg-knowledge-authority-RequirementSatisfactions.RunWhenInvalidApproval</t>
  </si>
  <si>
    <t>fg-knowledge-authority-RequirementSatisfactions.RequirementIsUnfalsified</t>
  </si>
  <si>
    <t>fg-knowledge-authority-RequirementSatisfactions.IsClearanceByUnfalsifiedControl</t>
  </si>
  <si>
    <t>fg-knowledge-authority-RequirementSatisfactions.UnfalsifiedClearanceStepKey</t>
  </si>
  <si>
    <t>fg-knowledge-authority-RequirementSatisfactions.SpecStepOfExecution</t>
  </si>
  <si>
    <t>fg-knowledge-authority-RequirementSatisfactions.BindingKey</t>
  </si>
  <si>
    <t>fg-knowledge-authority-RequirementSatisfactions.ScoredStepExecutorAgent</t>
  </si>
  <si>
    <t>fg-knowledge-authority-RequirementSatisfactions.EvaluatorIsStepExecutor</t>
  </si>
  <si>
    <t>fg-knowledge-authority-RequirementSatisfactions.RunOwnerAgent</t>
  </si>
  <si>
    <t>fg-knowledge-authority-RequirementSatisfactions.EvaluatorOwnsTheRun</t>
  </si>
  <si>
    <t>fg-knowledge-authority-RequirementSatisfactions.IsInterestedPartyAssertion</t>
  </si>
  <si>
    <t>fg-knowledge-authority-RequirementSatisfactions.HasWrittenEvidence</t>
  </si>
  <si>
    <t>fg-knowledge-authority-RequirementSatisfactions.IsBareAssertion</t>
  </si>
  <si>
    <t>fg-knowledge-authority-RequirementSatisfactions.InterestedAssertionExecutionKey</t>
  </si>
  <si>
    <t>fg-knowledge-authority-RequirementSatisfactions.IsComputedlyWitnessed</t>
  </si>
  <si>
    <t>fg-knowledge-authority-RequirementSatisfactions.ComputedWitnessExecutionKey</t>
  </si>
  <si>
    <t>fg-knowledge-authority-RequirementSatisfactions.StepExecutorAgent</t>
  </si>
  <si>
    <t>fg-knowledge-authority-RequirementSatisfactions.WasScoredAfterAttestation</t>
  </si>
  <si>
    <t>fg-knowledge-authority-RequirementSatisfactions.AttestationInstantForRun</t>
  </si>
  <si>
    <t>fg-knowledge-authority-RequirementSatisfactions.PostAttestationScoreExecutionKey</t>
  </si>
  <si>
    <t>fg-knowledge-authority-RequirementSatisfactions.SemanticTypeIri</t>
  </si>
  <si>
    <t>fg-knowledge-authority-Requirements.RequirementId</t>
  </si>
  <si>
    <t>fg-knowledge-authority-Requirements.Name</t>
  </si>
  <si>
    <t>fg-knowledge-authority-Requirements.Label</t>
  </si>
  <si>
    <t>fg-knowledge-authority-Requirements.RequirementType</t>
  </si>
  <si>
    <t>fg-knowledge-authority-Requirements.Statement</t>
  </si>
  <si>
    <t>fg-knowledge-authority-Requirements.Rationale</t>
  </si>
  <si>
    <t>fg-knowledge-authority-Requirements.IsBlocking</t>
  </si>
  <si>
    <t>fg-knowledge-authority-Requirements.SatisfactionRecordCount</t>
  </si>
  <si>
    <t>fg-knowledge-authority-Requirements.StepBindingCount</t>
  </si>
  <si>
    <t>fg-knowledge-authority-Requirements.IsBoundToAnyStep</t>
  </si>
  <si>
    <t>fg-knowledge-authority-Requirements.HasEverBeenEvaluated</t>
  </si>
  <si>
    <t>fg-knowledge-authority-Requirements.NegativeOutcomeCount</t>
  </si>
  <si>
    <t>fg-knowledge-authority-Requirements.IsInoperativeControl</t>
  </si>
  <si>
    <t>fg-knowledge-authority-Requirements.IsDecorativeControl</t>
  </si>
  <si>
    <t>fg-knowledge-authority-Requirements.HasComputedWitness</t>
  </si>
  <si>
    <t>fg-knowledge-authority-Requirements.WitnessFieldName</t>
  </si>
  <si>
    <t>fg-knowledge-authority-Requirements.HasEverProducedNegative</t>
  </si>
  <si>
    <t>fg-knowledge-authority-Requirements.IsUnfalsifiedControl</t>
  </si>
  <si>
    <t>fg-knowledge-authority-Requirements.ClaimsAWitnessField</t>
  </si>
  <si>
    <t>fg-knowledge-authority-Requirements.NamedWitnessFieldExists</t>
  </si>
  <si>
    <t>fg-knowledge-authority-Requirements.DerivedHasComputedWitness</t>
  </si>
  <si>
    <t>fg-knowledge-authority-Requirements.WitnessClaimIsUnverified</t>
  </si>
  <si>
    <t>fg-knowledge-authority-Requirements.IsUnwitnessedBlockingControl</t>
  </si>
  <si>
    <t>fg-knowledge-authority-Requirements.WitnessFireCount</t>
  </si>
  <si>
    <t>fg-knowledge-authority-Requirements.WitnessHasNeverFired</t>
  </si>
  <si>
    <t>fg-knowledge-authority-Requirements.EvaluationSampleSize</t>
  </si>
  <si>
    <t>fg-knowledge-authority-Requirements.HasMeaningfulSample</t>
  </si>
  <si>
    <t>fg-knowledge-authority-Requirements.MinimumSampleForAssurance</t>
  </si>
  <si>
    <t>fg-knowledge-authority-Requirements.IsUntestedWitness</t>
  </si>
  <si>
    <t>fg-knowledge-authority-Requirements.IsEvidencedHoldingControl</t>
  </si>
  <si>
    <t>fg-knowledge-authority-Requirements.ControlAssuranceState</t>
  </si>
  <si>
    <t>fg-knowledge-authority-Requirements.UnexercisedBindingCount</t>
  </si>
  <si>
    <t>fg-knowledge-authority-Requirements.WitnessIsPartiallyScoped</t>
  </si>
  <si>
    <t>fg-knowledge-authority-Requirements.AccountableRole</t>
  </si>
  <si>
    <t>fg-knowledge-authority-Requirements.AccountableAgent</t>
  </si>
  <si>
    <t>fg-knowledge-authority-Requirements.HasNamedOwner</t>
  </si>
  <si>
    <t>fg-knowledge-authority-Requirements.IsOrphanedBlockingControl</t>
  </si>
  <si>
    <t>fg-knowledge-authority-Requirements.IsUnwatchedAndUnowned</t>
  </si>
  <si>
    <t>fg-knowledge-authority-Requirements.AttestationExposureNote</t>
  </si>
  <si>
    <t>fg-knowledge-authority-Requirements.UnwatchedUnownedFlag</t>
  </si>
  <si>
    <t>fg-knowledge-authority-Requirements.SemanticTypeIri</t>
  </si>
  <si>
    <t>fg-knowledge-authority-Resources.ResourceId</t>
  </si>
  <si>
    <t>fg-knowledge-authority-Resources.Name</t>
  </si>
  <si>
    <t>fg-knowledge-authority-Resources.Title</t>
  </si>
  <si>
    <t>fg-knowledge-authority-Resources.ResourceKind</t>
  </si>
  <si>
    <t>fg-knowledge-authority-Resources.ExternalUri</t>
  </si>
  <si>
    <t>fg-knowledge-authority-Resources.CreatedAt</t>
  </si>
  <si>
    <t>fg-knowledge-authority-Resources.ModifiedAt</t>
  </si>
  <si>
    <t>fg-knowledge-authority-Resources.Description</t>
  </si>
  <si>
    <t>fg-knowledge-authority-Resources.ApprovalStatus</t>
  </si>
  <si>
    <t>fg-knowledge-authority-Resources.IsApprovedSource</t>
  </si>
  <si>
    <t>fg-knowledge-authority-Resources.SemanticTypeIri</t>
  </si>
  <si>
    <t>fg-knowledge-authority-ReviewEvents.ReviewEventId</t>
  </si>
  <si>
    <t>fg-knowledge-authority-ReviewEvents.Name</t>
  </si>
  <si>
    <t>fg-knowledge-authority-ReviewEvents.ProcedureVersion</t>
  </si>
  <si>
    <t>fg-knowledge-authority-ReviewEvents.ReviewKind</t>
  </si>
  <si>
    <t>fg-knowledge-authority-ReviewEvents.ReviewedAt</t>
  </si>
  <si>
    <t>fg-knowledge-authority-ReviewEvents.ReviewedByAgent</t>
  </si>
  <si>
    <t>fg-knowledge-authority-ReviewEvents.Outcome</t>
  </si>
  <si>
    <t>fg-knowledge-authority-ReviewEvents.RelatedChangeRequest</t>
  </si>
  <si>
    <t>fg-knowledge-authority-ReviewEvents.NextReviewDue</t>
  </si>
  <si>
    <t>fg-knowledge-authority-ReviewEvents.EvaluationContext</t>
  </si>
  <si>
    <t>fg-knowledge-authority-ReviewEvents.AsOfInstant</t>
  </si>
  <si>
    <t>fg-knowledge-authority-ReviewEvents.IsOverdue</t>
  </si>
  <si>
    <t>fg-knowledge-authority-ReviewEvents.OverdueVersionKey</t>
  </si>
  <si>
    <t>fg-knowledge-authority-ReviewEvents.PromisedCadenceDays</t>
  </si>
  <si>
    <t>fg-knowledge-authority-ReviewEvents.DaysSinceReviewed</t>
  </si>
  <si>
    <t>fg-knowledge-authority-ReviewEvents.ExceedsPromisedCadence</t>
  </si>
  <si>
    <t>fg-knowledge-authority-ReviewEvents.CadenceDriftDays</t>
  </si>
  <si>
    <t>fg-knowledge-authority-ReviewEvents.PromiseAndBehaviorDisagree</t>
  </si>
  <si>
    <t>fg-knowledge-authority-ReviewEvents.CadenceBreachVersionKey</t>
  </si>
  <si>
    <t>fg-knowledge-authority-ReviewEvents.SemanticTypeIri</t>
  </si>
  <si>
    <t>fg-knowledge-authority-RoleAssignments.RoleAssignmentId</t>
  </si>
  <si>
    <t>fg-knowledge-authority-RoleAssignments.Name</t>
  </si>
  <si>
    <t>fg-knowledge-authority-RoleAssignments.Role</t>
  </si>
  <si>
    <t>fg-knowledge-authority-RoleAssignments.Agent</t>
  </si>
  <si>
    <t>fg-knowledge-authority-RoleAssignments.ValidFrom</t>
  </si>
  <si>
    <t>fg-knowledge-authority-RoleAssignments.ValidTo</t>
  </si>
  <si>
    <t>fg-knowledge-authority-RoleAssignments.Reason</t>
  </si>
  <si>
    <t>fg-knowledge-authority-RoleAssignments.Status</t>
  </si>
  <si>
    <t>fg-knowledge-authority-RoleAssignments.EvaluationContext</t>
  </si>
  <si>
    <t>fg-knowledge-authority-RoleAssignments.AsOfInstant</t>
  </si>
  <si>
    <t>fg-knowledge-authority-RoleAssignments.IsCurrent</t>
  </si>
  <si>
    <t>fg-knowledge-authority-RoleAssignments.CurrentAgentKey</t>
  </si>
  <si>
    <t>fg-knowledge-authority-RoleAssignments.IsCurrentlyValid</t>
  </si>
  <si>
    <t>fg-knowledge-authority-RoleAssignments.AgentRoleKey</t>
  </si>
  <si>
    <t>fg-knowledge-authority-RoleAssignments.HasDeparted</t>
  </si>
  <si>
    <t>fg-knowledge-authority-RoleAssignments.CoversNow</t>
  </si>
  <si>
    <t>fg-knowledge-authority-RoleAssignments.RoleWhenCovering</t>
  </si>
  <si>
    <t>fg-knowledge-authority-RoleAssignments.AgentKind</t>
  </si>
  <si>
    <t>fg-knowledge-authority-RoleAssignments.IsNonHumanAssignment</t>
  </si>
  <si>
    <t>fg-knowledge-authority-RoleAssignments.SupersedesAssignment</t>
  </si>
  <si>
    <t>fg-knowledge-authority-RoleAssignments.PredecessorAgentKind</t>
  </si>
  <si>
    <t>fg-knowledge-authority-RoleAssignments.IsHumanToNonHumanHandover</t>
  </si>
  <si>
    <t>fg-knowledge-authority-RoleAssignments.ApprovingAuthorityRole</t>
  </si>
  <si>
    <t>fg-knowledge-authority-RoleAssignments.AuthorizingChangeRequest</t>
  </si>
  <si>
    <t>fg-knowledge-authority-RoleAssignments.IsUnauthorizedNonHumanAssignment</t>
  </si>
  <si>
    <t>fg-knowledge-authority-RoleAssignments.WasAuthorizedByChangeRequest</t>
  </si>
  <si>
    <t>fg-knowledge-authority-RoleAssignments.DecisionCount</t>
  </si>
  <si>
    <t>fg-knowledge-authority-RoleAssignments.OverriddenDecisionCount</t>
  </si>
  <si>
    <t>fg-knowledge-authority-RoleAssignments.OverrideRatePercent</t>
  </si>
  <si>
    <t>fg-knowledge-authority-RoleAssignments.PredecessorOverrideRatePercent</t>
  </si>
  <si>
    <t>fg-knowledge-authority-RoleAssignments.QualityRegressedVsPredecessor</t>
  </si>
  <si>
    <t>fg-knowledge-authority-RoleAssignments.DepartedRoleKey</t>
  </si>
  <si>
    <t>fg-knowledge-authority-RoleAssignments.MinimumDecisionsForComparison</t>
  </si>
  <si>
    <t>fg-knowledge-authority-RoleAssignments.PredecessorDecisionCount</t>
  </si>
  <si>
    <t>fg-knowledge-authority-RoleAssignments.HasSufficientSample</t>
  </si>
  <si>
    <t>fg-knowledge-authority-RoleAssignments.PredecessorHasSufficientSample</t>
  </si>
  <si>
    <t>fg-knowledge-authority-RoleAssignments.ComparisonIsEvidentiallySound</t>
  </si>
  <si>
    <t>fg-knowledge-authority-RoleAssignments.SingleOverrideSwingPercent</t>
  </si>
  <si>
    <t>fg-knowledge-authority-RoleAssignments.QualityVerdictIsUnsupported</t>
  </si>
  <si>
    <t>fg-knowledge-authority-RoleAssignments.IsUnmeasuredAutomationHandover</t>
  </si>
  <si>
    <t>fg-knowledge-authority-RoleAssignments.ErrorCorrectionCount</t>
  </si>
  <si>
    <t>fg-knowledge-authority-RoleAssignments.ErrorRatePercent</t>
  </si>
  <si>
    <t>fg-knowledge-authority-RoleAssignments.AuthorizationDecidedAt</t>
  </si>
  <si>
    <t>fg-knowledge-authority-RoleAssignments.AuthorizationReviewedAt</t>
  </si>
  <si>
    <t>fg-knowledge-authority-RoleAssignments.AuthorizationReviewCadenceDays</t>
  </si>
  <si>
    <t>fg-knowledge-authority-RoleAssignments.HasDatedAuthorization</t>
  </si>
  <si>
    <t>fg-knowledge-authority-RoleAssignments.DaysSinceAuthorizationReview</t>
  </si>
  <si>
    <t>fg-knowledge-authority-RoleAssignments.AuthorizationIsOverdueForReview</t>
  </si>
  <si>
    <t>fg-knowledge-authority-RoleAssignments.IsStandingUnreviewedAutomation</t>
  </si>
  <si>
    <t>fg-knowledge-authority-RoleAssignments.IsUnconditionedAutomationHandover</t>
  </si>
  <si>
    <t>fg-knowledge-authority-RoleAssignments.MaxTolerableErrorRatePercent</t>
  </si>
  <si>
    <t>fg-knowledge-authority-RoleAssignments.ExceedsTolerableErrorRate</t>
  </si>
  <si>
    <t>fg-knowledge-authority-RoleAssignments.BoundaryViolationCountForAssignment</t>
  </si>
  <si>
    <t>fg-knowledge-authority-RoleAssignments.HasAnyBoundaryViolation</t>
  </si>
  <si>
    <t>fg-knowledge-authority-RoleAssignments.HasUngroundedGoverningBoundary</t>
  </si>
  <si>
    <t>fg-knowledge-authority-RoleAssignments.SuspensionConditionMet</t>
  </si>
  <si>
    <t>fg-knowledge-authority-RoleAssignments.IsOperatingUnderMetSuspensionCondition</t>
  </si>
  <si>
    <t>fg-knowledge-authority-RoleAssignments.HasDeclaredSuspensionCondition</t>
  </si>
  <si>
    <t>fg-knowledge-authority-RoleAssignments.HasApprovingAuthority</t>
  </si>
  <si>
    <t>fg-knowledge-authority-RoleAssignments.HasAuthorizingChangeRequest</t>
  </si>
  <si>
    <t>fg-knowledge-authority-RoleAssignments.IsEnforcementRole</t>
  </si>
  <si>
    <t>fg-knowledge-authority-RoleAssignments.IsUnauthorizedEnforcementAgent</t>
  </si>
  <si>
    <t>fg-knowledge-authority-RoleAssignments.GovernanceEvidenceCount</t>
  </si>
  <si>
    <t>fg-knowledge-authority-RoleAssignments.UnauthorizedEnforcementRoleKey</t>
  </si>
  <si>
    <t>fg-knowledge-authority-RoleAssignments.SemanticTypeIri</t>
  </si>
  <si>
    <t>fg-knowledge-authority-RoleQuestions.RoleQuestionId</t>
  </si>
  <si>
    <t>fg-knowledge-authority-RoleQuestions.Name</t>
  </si>
  <si>
    <t>fg-knowledge-authority-RoleQuestions.AskingRole</t>
  </si>
  <si>
    <t>fg-knowledge-authority-RoleQuestions.WitnessLoop</t>
  </si>
  <si>
    <t>fg-knowledge-authority-RoleQuestions.QuestionText</t>
  </si>
  <si>
    <t>fg-knowledge-authority-RoleQuestions.WhyItMatters</t>
  </si>
  <si>
    <t>fg-knowledge-authority-RoleQuestions.AnswerableBefore</t>
  </si>
  <si>
    <t>fg-knowledge-authority-RoleQuestions.PredicateCount</t>
  </si>
  <si>
    <t>fg-knowledge-authority-RoleQuestions.IsAnswered</t>
  </si>
  <si>
    <t>fg-knowledge-authority-RoleQuestions.WitnessedAnswer</t>
  </si>
  <si>
    <t>fg-knowledge-authority-RoleQuestions.SemanticTypeIri</t>
  </si>
  <si>
    <t>fg-knowledge-authority-Roles.RoleId</t>
  </si>
  <si>
    <t>fg-knowledge-authority-Roles.Name</t>
  </si>
  <si>
    <t>fg-knowledge-authority-Roles.Label</t>
  </si>
  <si>
    <t>fg-knowledge-authority-Roles.Organization</t>
  </si>
  <si>
    <t>fg-knowledge-authority-Roles.CurrentAgent</t>
  </si>
  <si>
    <t>fg-knowledge-authority-Roles.CurrentAgentKind</t>
  </si>
  <si>
    <t>fg-knowledge-authority-Roles.Responsibility</t>
  </si>
  <si>
    <t>fg-knowledge-authority-Roles.ActiveAssignmentCount</t>
  </si>
  <si>
    <t>fg-knowledge-authority-Roles.CurrentlyCoveredAssignmentCount</t>
  </si>
  <si>
    <t>fg-knowledge-authority-Roles.HasNoCurrentHolder</t>
  </si>
  <si>
    <t>fg-knowledge-authority-Roles.CountOfAwaitedDecisions</t>
  </si>
  <si>
    <t>fg-knowledge-authority-Roles.CurrentAssignment</t>
  </si>
  <si>
    <t>fg-knowledge-authority-Roles.CurrentAssignmentValidFrom</t>
  </si>
  <si>
    <t>fg-knowledge-authority-Roles.IsNonHumanHeld</t>
  </si>
  <si>
    <t>fg-knowledge-authority-Roles.IsUngovernedNonHumanRole</t>
  </si>
  <si>
    <t>fg-knowledge-authority-Roles.DepartedAssignmentCount</t>
  </si>
  <si>
    <t>fg-knowledge-authority-Roles.HasLostAHolder</t>
  </si>
  <si>
    <t>fg-knowledge-authority-Roles.IsVacatedRole</t>
  </si>
  <si>
    <t>fg-knowledge-authority-Roles.UngroundedBoundaryCount</t>
  </si>
  <si>
    <t>fg-knowledge-authority-Roles.IsGovernedByLapsedAuthority</t>
  </si>
  <si>
    <t>fg-knowledge-authority-Roles.UnescalatedRefusalCount</t>
  </si>
  <si>
    <t>fg-knowledge-authority-Roles.UnauthorizedEnforcementAssignmentCount</t>
  </si>
  <si>
    <t>fg-knowledge-authority-Roles.IsUngovernedEnforcementRole</t>
  </si>
  <si>
    <t>fg-knowledge-authority-Roles.SemanticTypeIri</t>
  </si>
  <si>
    <t>fg-knowledge-authority-RulebookFields.RulebookFieldId</t>
  </si>
  <si>
    <t>fg-knowledge-authority-RulebookFields.Name</t>
  </si>
  <si>
    <t>fg-knowledge-authority-RulebookFields.TargetTable</t>
  </si>
  <si>
    <t>fg-knowledge-authority-RulebookFields.FieldName</t>
  </si>
  <si>
    <t>fg-knowledge-authority-RulebookFields.FieldType</t>
  </si>
  <si>
    <t>fg-knowledge-authority-RulebookFields.Datatype</t>
  </si>
  <si>
    <t>fg-knowledge-authority-RulebookFields.Formula</t>
  </si>
  <si>
    <t>fg-knowledge-authority-RulebookFields.InventedForQuestion</t>
  </si>
  <si>
    <t>fg-knowledge-authority-RulebookFields.IsDerived</t>
  </si>
  <si>
    <t>fg-knowledge-authority-RulebookFields.IsWitness</t>
  </si>
  <si>
    <t>fg-knowledge-authority-RulebookFields.SemanticTypeIri</t>
  </si>
  <si>
    <t>fg-knowledge-authority-RulebookReleases.RulebookReleaseId</t>
  </si>
  <si>
    <t>fg-knowledge-authority-RulebookReleases.Name</t>
  </si>
  <si>
    <t>fg-knowledge-authority-RulebookReleases.RulebookVersion</t>
  </si>
  <si>
    <t>fg-knowledge-authority-RulebookReleases.ProfileVersion</t>
  </si>
  <si>
    <t>fg-knowledge-authority-RulebookReleases.ProfileSchemaPath</t>
  </si>
  <si>
    <t>fg-knowledge-authority-RulebookReleases.PkoCoreVersionIri</t>
  </si>
  <si>
    <t>fg-knowledge-authority-RulebookReleases.PkoIndustryVersionIri</t>
  </si>
  <si>
    <t>fg-knowledge-authority-RulebookReleases.IssuedAt</t>
  </si>
  <si>
    <t>fg-knowledge-authority-RulebookReleases.Status</t>
  </si>
  <si>
    <t>fg-knowledge-authority-RulebookReleases.Changelog</t>
  </si>
  <si>
    <t>fg-knowledge-authority-RulebookReleases.IsCurrent</t>
  </si>
  <si>
    <t>fg-knowledge-authority-SemanticMappings.SemanticMappingId</t>
  </si>
  <si>
    <t>fg-knowledge-authority-SemanticMappings.Name</t>
  </si>
  <si>
    <t>fg-knowledge-authority-SemanticMappings.SourcePath</t>
  </si>
  <si>
    <t>fg-knowledge-authority-SemanticMappings.MappingKind</t>
  </si>
  <si>
    <t>fg-knowledge-authority-SemanticMappings.TargetIri</t>
  </si>
  <si>
    <t>fg-knowledge-authority-SemanticMappings.MappingRelation</t>
  </si>
  <si>
    <t>fg-knowledge-authority-SemanticMappings.OntologyProfile</t>
  </si>
  <si>
    <t>fg-knowledge-authority-SemanticMappings.Notes</t>
  </si>
  <si>
    <t>fg-knowledge-authority-SendIntents.SendIntentId</t>
  </si>
  <si>
    <t>fg-knowledge-authority-SendIntents.Name</t>
  </si>
  <si>
    <t>fg-knowledge-authority-SendIntents.ProcedureExecution</t>
  </si>
  <si>
    <t>fg-knowledge-authority-SendIntents.StepExecution</t>
  </si>
  <si>
    <t>fg-knowledge-authority-SendIntents.Recipient</t>
  </si>
  <si>
    <t>fg-knowledge-authority-SendIntents.MessageTemplate</t>
  </si>
  <si>
    <t>fg-knowledge-authority-SendIntents.ProposedBody</t>
  </si>
  <si>
    <t>fg-knowledge-authority-SendIntents.ProposedSendAtLocalHour</t>
  </si>
  <si>
    <t>fg-knowledge-authority-SendIntents.EvaluatedAt</t>
  </si>
  <si>
    <t>fg-knowledge-authority-SendIntents.ResultingDelivery</t>
  </si>
  <si>
    <t>fg-knowledge-authority-SendIntents.IntentPolicy</t>
  </si>
  <si>
    <t>fg-knowledge-authority-SendIntents.IntentChannel</t>
  </si>
  <si>
    <t>fg-knowledge-authority-SendIntents.PolicyIsActive</t>
  </si>
  <si>
    <t>fg-knowledge-authority-SendIntents.IntentRequiresConsent</t>
  </si>
  <si>
    <t>fg-knowledge-authority-SendIntents.RecipientHasChannelConsent</t>
  </si>
  <si>
    <t>fg-knowledge-authority-SendIntents.ConsentGatePassed</t>
  </si>
  <si>
    <t>fg-knowledge-authority-SendIntents.RecipientIsSmsReachable</t>
  </si>
  <si>
    <t>fg-knowledge-authority-SendIntents.RecipientIsEmailReachable</t>
  </si>
  <si>
    <t>fg-knowledge-authority-SendIntents.ReachabilityGatePassed</t>
  </si>
  <si>
    <t>fg-knowledge-authority-SendIntents.PermissionGatePassed</t>
  </si>
  <si>
    <t>fg-knowledge-authority-SendIntents.IntentQuietStartHour</t>
  </si>
  <si>
    <t>fg-knowledge-authority-SendIntents.IntentQuietEndHour</t>
  </si>
  <si>
    <t>fg-knowledge-authority-SendIntents.IntentPolicyHasQuietHours</t>
  </si>
  <si>
    <t>fg-knowledge-authority-SendIntents.IntentQuietWindowWraps</t>
  </si>
  <si>
    <t>fg-knowledge-authority-SendIntents.IntentIsInsideQuietWindow</t>
  </si>
  <si>
    <t>fg-knowledge-authority-SendIntents.TimingGatePassed</t>
  </si>
  <si>
    <t>fg-knowledge-authority-SendIntents.HoursUntilWindowOpens</t>
  </si>
  <si>
    <t>fg-knowledge-authority-SendIntents.IntentMaxMessageLength</t>
  </si>
  <si>
    <t>fg-knowledge-authority-SendIntents.IntentMaxSegments</t>
  </si>
  <si>
    <t>fg-knowledge-authority-SendIntents.ProposedBodyLength</t>
  </si>
  <si>
    <t>fg-knowledge-authority-SendIntents.ProposedSegmentCount</t>
  </si>
  <si>
    <t>fg-knowledge-authority-SendIntents.LengthGatePassed</t>
  </si>
  <si>
    <t>fg-knowledge-authority-SendIntents.IntentRequiredOptOutPhrase</t>
  </si>
  <si>
    <t>fg-knowledge-authority-SendIntents.ProposedOptOutPosition</t>
  </si>
  <si>
    <t>fg-knowledge-authority-SendIntents.OptOutGatePassed</t>
  </si>
  <si>
    <t>fg-knowledge-authority-SendIntents.ContentGatePassed</t>
  </si>
  <si>
    <t>fg-knowledge-authority-SendIntents.TemplateIsSendable</t>
  </si>
  <si>
    <t>fg-knowledge-authority-SendIntents.ExecutionHasLegalClearance</t>
  </si>
  <si>
    <t>fg-knowledge-authority-SendIntents.IntentApprovalRole</t>
  </si>
  <si>
    <t>fg-knowledge-authority-SendIntents.ApprovalRoleAgentKind</t>
  </si>
  <si>
    <t>fg-knowledge-authority-SendIntents.ApprovalIsHuman</t>
  </si>
  <si>
    <t>fg-knowledge-authority-SendIntents.AuthorizationGatePassed</t>
  </si>
  <si>
    <t>fg-knowledge-authority-SendIntents.IsClearedToSend</t>
  </si>
  <si>
    <t>fg-knowledge-authority-SendIntents.BlockingGateName</t>
  </si>
  <si>
    <t>fg-knowledge-authority-SendIntents.HasResultingDelivery</t>
  </si>
  <si>
    <t>fg-knowledge-authority-SendIntents.ResultingDeliveryWasTransmitted</t>
  </si>
  <si>
    <t>fg-knowledge-authority-SendIntents.IsOverriddenRefusal</t>
  </si>
  <si>
    <t>fg-knowledge-authority-SendIntents.IsSilentlyDropped</t>
  </si>
  <si>
    <t>fg-knowledge-authority-SendIntents.ResultingDeliveryException</t>
  </si>
  <si>
    <t>fg-knowledge-authority-SendIntents.RefusalCitedAnException</t>
  </si>
  <si>
    <t>fg-knowledge-authority-SendIntents.IsProperlyHandledRefusal</t>
  </si>
  <si>
    <t>fg-knowledge-authority-SendIntents.RefusalFailureExecutionKey</t>
  </si>
  <si>
    <t>fg-knowledge-authority-SendIntents.IntentExecutionKey</t>
  </si>
  <si>
    <t>fg-knowledge-authority-SendIntents.DeliveredIntentExecutionKey</t>
  </si>
  <si>
    <t>fg-knowledge-authority-SendIntents.DroppedIntentExecutionKey</t>
  </si>
  <si>
    <t>fg-knowledge-authority-SendIntents.MyApprovalWasInForce</t>
  </si>
  <si>
    <t>fg-knowledge-authority-SendIntents.RefusedOnApprovedContent</t>
  </si>
  <si>
    <t>fg-knowledge-authority-SendIntents.RefusedOnOptOutOnly</t>
  </si>
  <si>
    <t>fg-knowledge-authority-SendIntents.RefusalWasOnMyRules</t>
  </si>
  <si>
    <t>fg-knowledge-authority-SendIntents.RefusalWasOutsideMyControl</t>
  </si>
  <si>
    <t>fg-knowledge-authority-SendIntents.ApproverWasNotified</t>
  </si>
  <si>
    <t>fg-knowledge-authority-SendIntents.IsUnreportedRefusalOnMyRules</t>
  </si>
  <si>
    <t>fg-knowledge-authority-SendIntents.IsApprovalOverriddenSilently</t>
  </si>
  <si>
    <t>fg-knowledge-authority-SendIntents.AlternateChannelIntent</t>
  </si>
  <si>
    <t>fg-knowledge-authority-SendIntents.HasAlternateChannelAttempt</t>
  </si>
  <si>
    <t>fg-knowledge-authority-SendIntents.AlternateAttemptWasCleared</t>
  </si>
  <si>
    <t>fg-knowledge-authority-SendIntents.IsRefusedWithNoAlternative</t>
  </si>
  <si>
    <t>fg-knowledge-authority-SendIntents.ExceptionPrescribedAnAlternative</t>
  </si>
  <si>
    <t>fg-knowledge-authority-SendIntents.PrescribedHandlingWasPerformed</t>
  </si>
  <si>
    <t>fg-knowledge-authority-SendIntents.IsSuppressionWithoutRemedy</t>
  </si>
  <si>
    <t>fg-knowledge-authority-SendIntents.RefusalRecordedAt</t>
  </si>
  <si>
    <t>fg-knowledge-authority-SendIntents.RefusalNotifiedRole</t>
  </si>
  <si>
    <t>fg-knowledge-authority-SendIntents.HasDurableRefusalRecord</t>
  </si>
  <si>
    <t>fg-knowledge-authority-SendIntents.RefusalWasEscalated</t>
  </si>
  <si>
    <t>fg-knowledge-authority-SendIntents.IsUnrecordedRefusal</t>
  </si>
  <si>
    <t>fg-knowledge-authority-SendIntents.IsUnescalatedRefusal</t>
  </si>
  <si>
    <t>fg-knowledge-authority-SendIntents.UnescalatedRefusalRoleKey</t>
  </si>
  <si>
    <t>fg-knowledge-authority-SendIntents.UnrecordedRefusalExecutionKey</t>
  </si>
  <si>
    <t>fg-knowledge-authority-SendIntents.RetryIntent</t>
  </si>
  <si>
    <t>fg-knowledge-authority-SendIntents.WasDeferredOnTiming</t>
  </si>
  <si>
    <t>fg-knowledge-authority-SendIntents.EvaluationContext</t>
  </si>
  <si>
    <t>fg-knowledge-authority-SendIntents.AsOfInstant</t>
  </si>
  <si>
    <t>fg-knowledge-authority-SendIntents.WindowHasSinceReopened</t>
  </si>
  <si>
    <t>fg-knowledge-authority-SendIntents.HasRetryAttempt</t>
  </si>
  <si>
    <t>fg-knowledge-authority-SendIntents.RetryWasCleared</t>
  </si>
  <si>
    <t>fg-knowledge-authority-SendIntents.IsAbandonedDeferral</t>
  </si>
  <si>
    <t>fg-knowledge-authority-SendIntents.DeferralAgeHours</t>
  </si>
  <si>
    <t>fg-knowledge-authority-SendIntents.IsStaleDeferral</t>
  </si>
  <si>
    <t>fg-knowledge-authority-SendIntents.EvaluatingRoleAssignment</t>
  </si>
  <si>
    <t>fg-knowledge-authority-SendIntents.EnforcedByUnauthorizedAgent</t>
  </si>
  <si>
    <t>fg-knowledge-authority-SendIntents.ConsentInputWasResolvable</t>
  </si>
  <si>
    <t>fg-knowledge-authority-SendIntents.RecipientConsentStatusRaw</t>
  </si>
  <si>
    <t>fg-knowledge-authority-SendIntents.PolicyInputWasResolvable</t>
  </si>
  <si>
    <t>fg-knowledge-authority-SendIntents.AllGateInputsResolved</t>
  </si>
  <si>
    <t>fg-knowledge-authority-SendIntents.IsUnevaluableRefusal</t>
  </si>
  <si>
    <t>fg-knowledge-authority-SendIntents.GateResultWasIndependentlyConfirmed</t>
  </si>
  <si>
    <t>fg-knowledge-authority-SendIntents.IsSelfWitnessedDecision</t>
  </si>
  <si>
    <t>fg-knowledge-authority-SendIntents.IsIndependentlyConfirmed</t>
  </si>
  <si>
    <t>fg-knowledge-authority-SendIntents.IndependentlyConfirmedExecutionKey</t>
  </si>
  <si>
    <t>fg-knowledge-authority-SendIntents.SemanticTypeIri</t>
  </si>
  <si>
    <t>fg-knowledge-authority-StepActions.StepActionId</t>
  </si>
  <si>
    <t>fg-knowledge-authority-StepActions.Name</t>
  </si>
  <si>
    <t>fg-knowledge-authority-StepActions.Step</t>
  </si>
  <si>
    <t>fg-knowledge-authority-StepActions.Action</t>
  </si>
  <si>
    <t>fg-knowledge-authority-StepExecutions.StepExecutionId</t>
  </si>
  <si>
    <t>fg-knowledge-authority-StepExecutions.Name</t>
  </si>
  <si>
    <t>fg-knowledge-authority-StepExecutions.ProcedureExecution</t>
  </si>
  <si>
    <t>fg-knowledge-authority-StepExecutions.Step</t>
  </si>
  <si>
    <t>fg-knowledge-authority-StepExecutions.ExecutedByAgent</t>
  </si>
  <si>
    <t>fg-knowledge-authority-StepExecutions.ExecutionStatus</t>
  </si>
  <si>
    <t>fg-knowledge-authority-StepExecutions.StartedAt</t>
  </si>
  <si>
    <t>fg-knowledge-authority-StepExecutions.EndedAt</t>
  </si>
  <si>
    <t>fg-knowledge-authority-StepExecutions.VerificationResult</t>
  </si>
  <si>
    <t>fg-knowledge-authority-StepExecutions.Deviation</t>
  </si>
  <si>
    <t>fg-knowledge-authority-StepExecutions.ActualDurationMinutes</t>
  </si>
  <si>
    <t>fg-knowledge-authority-StepExecutions.ExpectedDurationMinutes</t>
  </si>
  <si>
    <t>fg-knowledge-authority-StepExecutions.IsLate</t>
  </si>
  <si>
    <t>fg-knowledge-authority-StepExecutions.BlockingUnmetCount</t>
  </si>
  <si>
    <t>fg-knowledge-authority-StepExecutions.BlockingUnmetCountSafe</t>
  </si>
  <si>
    <t>fg-knowledge-authority-StepExecutions.ProceededPastBlockingControl</t>
  </si>
  <si>
    <t>fg-knowledge-authority-StepExecutions.ExpectedBlockingCount</t>
  </si>
  <si>
    <t>fg-knowledge-authority-StepExecutions.EvaluatedBlockingCount</t>
  </si>
  <si>
    <t>fg-knowledge-authority-StepExecutions.UnevaluatedBlockingCount</t>
  </si>
  <si>
    <t>fg-knowledge-authority-StepExecutions.HasUnevaluatedBlockingControl</t>
  </si>
  <si>
    <t>fg-knowledge-authority-StepExecutions.StaleAuthoritativeSourceCount</t>
  </si>
  <si>
    <t>fg-knowledge-authority-StepExecutions.RanOnStaleAuthoritativeSource</t>
  </si>
  <si>
    <t>fg-knowledge-authority-StepExecutions.HasDeviationNote</t>
  </si>
  <si>
    <t>fg-knowledge-authority-StepExecutions.IsLateAndUnexplained</t>
  </si>
  <si>
    <t>fg-knowledge-authority-StepExecutions.AvailableExceptionCountForStep</t>
  </si>
  <si>
    <t>fg-knowledge-authority-StepExecutions.HadUninvokedExceptionAvailable</t>
  </si>
  <si>
    <t>fg-knowledge-authority-StepExecutions.ExpectedVerificationCount</t>
  </si>
  <si>
    <t>fg-knowledge-authority-StepExecutions.PerformedVerificationCount</t>
  </si>
  <si>
    <t>fg-knowledge-authority-StepExecutions.SkippedVerificationCount</t>
  </si>
  <si>
    <t>fg-knowledge-authority-StepExecutions.HasSkippedVerification</t>
  </si>
  <si>
    <t>fg-knowledge-authority-StepExecutions.ClaimsPassWithoutEvidence</t>
  </si>
  <si>
    <t>fg-knowledge-authority-StepExecutions.StepIsPreparation</t>
  </si>
  <si>
    <t>fg-knowledge-authority-StepExecutions.StepIsApproval</t>
  </si>
  <si>
    <t>fg-knowledge-authority-StepExecutions.PreparerAgentKey</t>
  </si>
  <si>
    <t>fg-knowledge-authority-StepExecutions.ApproverAgentKey</t>
  </si>
  <si>
    <t>fg-knowledge-authority-StepExecutions.PreparedByThisAgentCount</t>
  </si>
  <si>
    <t>fg-knowledge-authority-StepExecutions.ViolatesSeparationOfDuties</t>
  </si>
  <si>
    <t>fg-knowledge-authority-StepExecutions.RequiredRoleForStep</t>
  </si>
  <si>
    <t>fg-knowledge-authority-StepExecutions.ExecutorRoleKey</t>
  </si>
  <si>
    <t>fg-knowledge-authority-StepExecutions.ExecutorAuthorityCount</t>
  </si>
  <si>
    <t>fg-knowledge-authority-StepExecutions.ExecutorHeldRequiredRole</t>
  </si>
  <si>
    <t>fg-knowledge-authority-StepExecutions.IsUnauthorizedApproval</t>
  </si>
  <si>
    <t>fg-knowledge-authority-StepExecutions.CompletedExecutionKey</t>
  </si>
  <si>
    <t>fg-knowledge-authority-StepExecutions.ControlBreachExecutionKey</t>
  </si>
  <si>
    <t>fg-knowledge-authority-StepExecutions.LateExecutionKey</t>
  </si>
  <si>
    <t>fg-knowledge-authority-StepExecutions.ExecutorAgentKind</t>
  </si>
  <si>
    <t>fg-knowledge-authority-StepExecutions.ExecutorIsHuman</t>
  </si>
  <si>
    <t>fg-knowledge-authority-StepExecutions.StepRequiresHumanConfirmation</t>
  </si>
  <si>
    <t>fg-knowledge-authority-StepExecutions.NonHumanRanHumanStep</t>
  </si>
  <si>
    <t>fg-knowledge-authority-StepExecutions.NonHumanApproval</t>
  </si>
  <si>
    <t>fg-knowledge-authority-StepExecutions.UnevaluatedBlockingExecutionKey</t>
  </si>
  <si>
    <t>fg-knowledge-authority-StepExecutions.SeparationViolationExecutionKey</t>
  </si>
  <si>
    <t>fg-knowledge-authority-StepExecutions.SelfWitnessedVerificationCount</t>
  </si>
  <si>
    <t>fg-knowledge-authority-StepExecutions.UnbackedVerificationCount</t>
  </si>
  <si>
    <t>fg-knowledge-authority-StepExecutions.ApprovalRestsOnSelfAttestation</t>
  </si>
  <si>
    <t>fg-knowledge-authority-StepExecutions.ExceptionInvocationCount</t>
  </si>
  <si>
    <t>fg-knowledge-authority-StepExecutions.RanUnderException</t>
  </si>
  <si>
    <t>fg-knowledge-authority-StepExecutions.IsCompleted</t>
  </si>
  <si>
    <t>fg-knowledge-authority-StepExecutions.IsVerificationPassed</t>
  </si>
  <si>
    <t>fg-knowledge-authority-StepExecutions.IsLegalReviewStep</t>
  </si>
  <si>
    <t>fg-knowledge-authority-StepExecutions.ClearedLegalReviewKey</t>
  </si>
  <si>
    <t>fg-knowledge-authority-StepExecutions.AssignedRole</t>
  </si>
  <si>
    <t>fg-knowledge-authority-StepExecutions.RoleCurrentAgent</t>
  </si>
  <si>
    <t>fg-knowledge-authority-StepExecutions.ExecutorIsDesignatedAgent</t>
  </si>
  <si>
    <t>fg-knowledge-authority-StepExecutions.InputsWereFreshAtRun</t>
  </si>
  <si>
    <t>fg-knowledge-authority-StepExecutions.RanOnStaleInputs</t>
  </si>
  <si>
    <t>fg-knowledge-authority-StepExecutions.UnresolvedIssueCount</t>
  </si>
  <si>
    <t>fg-knowledge-authority-StepExecutions.HasDeviation</t>
  </si>
  <si>
    <t>fg-knowledge-authority-StepExecutions.IsClean</t>
  </si>
  <si>
    <t>fg-knowledge-authority-StepExecutions.ProcedureExecutionWhenUnclean</t>
  </si>
  <si>
    <t>fg-knowledge-authority-StepExecutions.EvaluatedRequirementCount</t>
  </si>
  <si>
    <t>fg-knowledge-authority-StepExecutions.RequiredBlockingCount</t>
  </si>
  <si>
    <t>fg-knowledge-authority-StepExecutions.HasUnevaluatedBlockingRequirement</t>
  </si>
  <si>
    <t>fg-knowledge-authority-StepExecutions.ExecutingAgentKind</t>
  </si>
  <si>
    <t>fg-knowledge-authority-StepExecutions.WasExecutedBySoftware</t>
  </si>
  <si>
    <t>fg-knowledge-authority-StepExecutions.StepIsSoftwareAssigned</t>
  </si>
  <si>
    <t>fg-knowledge-authority-StepExecutions.SoftwareDidHumanWork</t>
  </si>
  <si>
    <t>fg-knowledge-authority-StepExecutions.IsApprovalExecution</t>
  </si>
  <si>
    <t>fg-knowledge-authority-StepExecutions.IsVerified</t>
  </si>
  <si>
    <t>fg-knowledge-authority-StepExecutions.UnconfirmedNonHumanDecisionCount</t>
  </si>
  <si>
    <t>fg-knowledge-authority-StepExecutions.RequiresHumanConfirmation</t>
  </si>
  <si>
    <t>fg-knowledge-authority-StepExecutions.HumanConfirmationMissing</t>
  </si>
  <si>
    <t>fg-knowledge-authority-StepExecutions.DraftedFromUnusableSource</t>
  </si>
  <si>
    <t>fg-knowledge-authority-StepExecutions.InputsWereUsable</t>
  </si>
  <si>
    <t>fg-knowledge-authority-StepExecutions.SoftwareExecutionStepKey</t>
  </si>
  <si>
    <t>fg-knowledge-authority-StepExecutions.StepControlKind</t>
  </si>
  <si>
    <t>fg-knowledge-authority-StepExecutions.UnfalsifiedClearanceCount</t>
  </si>
  <si>
    <t>fg-knowledge-authority-StepExecutions.AllClearancesAreUnfalsified</t>
  </si>
  <si>
    <t>fg-knowledge-authority-StepExecutions.StaleAtRunCount</t>
  </si>
  <si>
    <t>fg-knowledge-authority-StepExecutions.WasStaleWhenIRanIt</t>
  </si>
  <si>
    <t>fg-knowledge-authority-StepExecutions.StalenessAnswerIsTenseDependent</t>
  </si>
  <si>
    <t>fg-knowledge-authority-StepExecutions.HasAnyDeclaredCheck</t>
  </si>
  <si>
    <t>fg-knowledge-authority-StepExecutions.PerformedCheckCount</t>
  </si>
  <si>
    <t>fg-knowledge-authority-StepExecutions.DeclaredCheckCount</t>
  </si>
  <si>
    <t>fg-knowledge-authority-StepExecutions.IsUncheckedByDesign</t>
  </si>
  <si>
    <t>fg-knowledge-authority-StepExecutions.IsVacuouslyClean</t>
  </si>
  <si>
    <t>fg-knowledge-authority-StepExecutions.IsSubstantivelyClean</t>
  </si>
  <si>
    <t>fg-knowledge-authority-StepExecutions.VacuouslyCleanExecutionKey</t>
  </si>
  <si>
    <t>fg-knowledge-authority-StepExecutions.UncorroboratedPassCount</t>
  </si>
  <si>
    <t>fg-knowledge-authority-StepExecutions.EvidencePositionIsWeak</t>
  </si>
  <si>
    <t>fg-knowledge-authority-StepExecutions.PreparationExecutionKey</t>
  </si>
  <si>
    <t>fg-knowledge-authority-StepExecutions.ApprovalExecutionKey</t>
  </si>
  <si>
    <t>fg-knowledge-authority-StepExecutions.HasGoverningInstrument</t>
  </si>
  <si>
    <t>fg-knowledge-authority-StepExecutions.HasApprovedChangeCoverage</t>
  </si>
  <si>
    <t>fg-knowledge-authority-StepExecutions.VersionOfStep</t>
  </si>
  <si>
    <t>fg-knowledge-authority-StepExecutions.IsUngovernedDivergence</t>
  </si>
  <si>
    <t>fg-knowledge-authority-StepExecutions.UngovernedDivergenceExecutionKey</t>
  </si>
  <si>
    <t>fg-knowledge-authority-StepExecutions.SelfAttestedApprovalExecutionKey</t>
  </si>
  <si>
    <t>fg-knowledge-authority-StepExecutions.SemanticTypeIri</t>
  </si>
  <si>
    <t>fg-knowledge-authority-StepFunctions.StepFunctionId</t>
  </si>
  <si>
    <t>fg-knowledge-authority-StepFunctions.Name</t>
  </si>
  <si>
    <t>fg-knowledge-authority-StepFunctions.Step</t>
  </si>
  <si>
    <t>fg-knowledge-authority-StepFunctions.Function</t>
  </si>
  <si>
    <t>fg-knowledge-authority-StepRequirements.StepRequirementId</t>
  </si>
  <si>
    <t>fg-knowledge-authority-StepRequirements.Name</t>
  </si>
  <si>
    <t>fg-knowledge-authority-StepRequirements.Step</t>
  </si>
  <si>
    <t>fg-knowledge-authority-StepRequirements.Requirement</t>
  </si>
  <si>
    <t>fg-knowledge-authority-StepRequirements.RequirementIsBlocking</t>
  </si>
  <si>
    <t>fg-knowledge-authority-StepRequirements.BlockingStepKey</t>
  </si>
  <si>
    <t>fg-knowledge-authority-StepRequirements.StepWhenBlocking</t>
  </si>
  <si>
    <t>fg-knowledge-authority-StepRequirements.RequirementLacksWitness</t>
  </si>
  <si>
    <t>fg-knowledge-authority-StepRequirements.UnwitnessedStepKey</t>
  </si>
  <si>
    <t>fg-knowledge-authority-StepRequirements.SatisfactionCountForBinding</t>
  </si>
  <si>
    <t>fg-knowledge-authority-StepRequirements.BindingWasEverExercised</t>
  </si>
  <si>
    <t>fg-knowledge-authority-StepRequirements.IsUnexercisedBlockingBinding</t>
  </si>
  <si>
    <t>fg-knowledge-authority-StepRequirements.UnexercisedBindingRequirementKey</t>
  </si>
  <si>
    <t>fg-knowledge-authority-StepTools.StepToolId</t>
  </si>
  <si>
    <t>fg-knowledge-authority-StepTools.Name</t>
  </si>
  <si>
    <t>fg-knowledge-authority-StepTools.Step</t>
  </si>
  <si>
    <t>fg-knowledge-authority-StepTools.Tool</t>
  </si>
  <si>
    <t>fg-knowledge-authority-StepTransitions.StepTransitionId</t>
  </si>
  <si>
    <t>fg-knowledge-authority-StepTransitions.Name</t>
  </si>
  <si>
    <t>fg-knowledge-authority-StepTransitions.ProcedureVersion</t>
  </si>
  <si>
    <t>fg-knowledge-authority-StepTransitions.FromStep</t>
  </si>
  <si>
    <t>fg-knowledge-authority-StepTransitions.ToStep</t>
  </si>
  <si>
    <t>fg-knowledge-authority-StepTransitions.TransitionKind</t>
  </si>
  <si>
    <t>fg-knowledge-authority-StepTransitions.Condition</t>
  </si>
  <si>
    <t>fg-knowledge-authority-StepTransitions.Priority</t>
  </si>
  <si>
    <t>fg-knowledge-authority-StepTransitions.IsRecoveryPath</t>
  </si>
  <si>
    <t>fg-knowledge-authority-StepTransitions.CountOfFromStepExecutions</t>
  </si>
  <si>
    <t>fg-knowledge-authority-StepTransitions.CountOfToStepExecutions</t>
  </si>
  <si>
    <t>fg-knowledge-authority-StepTransitions.HasReachableOrigin</t>
  </si>
  <si>
    <t>fg-knowledge-authority-StepTransitions.HasReachableTarget</t>
  </si>
  <si>
    <t>fg-knowledge-authority-StepTransitions.IsNeverExercised</t>
  </si>
  <si>
    <t>fg-knowledge-authority-StepTransitions.IsUntestedRecoveryPath</t>
  </si>
  <si>
    <t>fg-knowledge-authority-StepTransitions.CountOfObservedTraversals</t>
  </si>
  <si>
    <t>fg-knowledge-authority-StepTransitions.HasBeenTraversed</t>
  </si>
  <si>
    <t>fg-knowledge-authority-StepTransitions.IsUnwalkedRecoveryPath</t>
  </si>
  <si>
    <t>fg-knowledge-authority-StepTransitions.TargetBlockingRequirementCount</t>
  </si>
  <si>
    <t>fg-knowledge-authority-StepTransitions.TargetCarriesBlockingControl</t>
  </si>
  <si>
    <t>fg-knowledge-authority-StepTransitions.IsUnrehearsedControlEntry</t>
  </si>
  <si>
    <t>fg-knowledge-authority-StepTransitions.UnrehearsedControlVersionKey</t>
  </si>
  <si>
    <t>fg-knowledge-authority-StepTransitions.SemanticTypeIri</t>
  </si>
  <si>
    <t>fg-knowledge-authority-StepVerifications.StepVerificationId</t>
  </si>
  <si>
    <t>fg-knowledge-authority-StepVerifications.Name</t>
  </si>
  <si>
    <t>fg-knowledge-authority-StepVerifications.Step</t>
  </si>
  <si>
    <t>fg-knowledge-authority-StepVerifications.VerificationKind</t>
  </si>
  <si>
    <t>fg-knowledge-authority-StepVerifications.SignalIdentifier</t>
  </si>
  <si>
    <t>fg-knowledge-authority-StepVerifications.ExpectedSignalValue</t>
  </si>
  <si>
    <t>fg-knowledge-authority-StepVerifications.Instruction</t>
  </si>
  <si>
    <t>fg-knowledge-authority-StepVerifications.SemanticTypeIri</t>
  </si>
  <si>
    <t>fg-knowledge-authority-Steps.StepId</t>
  </si>
  <si>
    <t>fg-knowledge-authority-Steps.Name</t>
  </si>
  <si>
    <t>fg-knowledge-authority-Steps.ProcedureVersion</t>
  </si>
  <si>
    <t>fg-knowledge-authority-Steps.StepNumber</t>
  </si>
  <si>
    <t>fg-knowledge-authority-Steps.Title</t>
  </si>
  <si>
    <t>fg-knowledge-authority-Steps.StepKind</t>
  </si>
  <si>
    <t>fg-knowledge-authority-Steps.AssignedRole</t>
  </si>
  <si>
    <t>fg-knowledge-authority-Steps.AssignedRoleLabel</t>
  </si>
  <si>
    <t>fg-knowledge-authority-Steps.AssignedAgentKind</t>
  </si>
  <si>
    <t>fg-knowledge-authority-Steps.Instruction</t>
  </si>
  <si>
    <t>fg-knowledge-authority-Steps.ExpectedDurationMinutes</t>
  </si>
  <si>
    <t>fg-knowledge-authority-Steps.ExpertiseLevel</t>
  </si>
  <si>
    <t>fg-knowledge-authority-Steps.RequiresHumanConfirmation</t>
  </si>
  <si>
    <t>fg-knowledge-authority-Steps.BlockingRequirementCount</t>
  </si>
  <si>
    <t>fg-knowledge-authority-Steps.StaleBindingCount</t>
  </si>
  <si>
    <t>fg-knowledge-authority-Steps.AuthoritativeStaleCount</t>
  </si>
  <si>
    <t>fg-knowledge-authority-Steps.AvailableExceptionCount</t>
  </si>
  <si>
    <t>fg-knowledge-authority-Steps.DeclaredVerificationCount</t>
  </si>
  <si>
    <t>fg-knowledge-authority-Steps.IsPreparationStep</t>
  </si>
  <si>
    <t>fg-knowledge-authority-Steps.IsApprovalStep</t>
  </si>
  <si>
    <t>fg-knowledge-authority-Steps.StaleAuthoritativeBindingCount</t>
  </si>
  <si>
    <t>fg-knowledge-authority-Steps.InputsAreFresh</t>
  </si>
  <si>
    <t>fg-knowledge-authority-Steps.IsSoftwareAssigned</t>
  </si>
  <si>
    <t>fg-knowledge-authority-Steps.IsHumanApprovalGate</t>
  </si>
  <si>
    <t>fg-knowledge-authority-Steps.GateHeldByHuman</t>
  </si>
  <si>
    <t>fg-knowledge-authority-Steps.BindingBoundaryCount</t>
  </si>
  <si>
    <t>fg-knowledge-authority-Steps.AssignedRoleIsUngoverned</t>
  </si>
  <si>
    <t>fg-knowledge-authority-Steps.UnusableBindingCount</t>
  </si>
  <si>
    <t>fg-knowledge-authority-Steps.AllSourcesUsable</t>
  </si>
  <si>
    <t>fg-knowledge-authority-Steps.ControlKind</t>
  </si>
  <si>
    <t>fg-knowledge-authority-Steps.UnwarrantedBoundaryCount</t>
  </si>
  <si>
    <t>fg-knowledge-authority-Steps.IsGovernedByUnwarrantedBoundary</t>
  </si>
  <si>
    <t>fg-knowledge-authority-Steps.SoftwareExecutionCount</t>
  </si>
  <si>
    <t>fg-knowledge-authority-Steps.HasBeenApproachedBySoftware</t>
  </si>
  <si>
    <t>fg-knowledge-authority-Steps.IsUnexercisedHumanGate</t>
  </si>
  <si>
    <t>fg-knowledge-authority-Steps.IsDemonstratedHumanGate</t>
  </si>
  <si>
    <t>fg-knowledge-authority-Steps.UnexercisedGateVersionKey</t>
  </si>
  <si>
    <t>fg-knowledge-authority-Steps.HasDeclaredControlKind</t>
  </si>
  <si>
    <t>fg-knowledge-authority-Steps.UndeclaredControlVersionKey</t>
  </si>
  <si>
    <t>fg-knowledge-authority-Steps.ApprovalStepIsSoftwareAssigned</t>
  </si>
  <si>
    <t>fg-knowledge-authority-Steps.UnwitnessedBlockingCount</t>
  </si>
  <si>
    <t>fg-knowledge-authority-Steps.SemanticTypeIri</t>
  </si>
  <si>
    <t>fg-knowledge-authority-StewardshipAssignments.StewardshipAssignmentId</t>
  </si>
  <si>
    <t>fg-knowledge-authority-StewardshipAssignments.Name</t>
  </si>
  <si>
    <t>fg-knowledge-authority-StewardshipAssignments.ProcedureVersion</t>
  </si>
  <si>
    <t>fg-knowledge-authority-StewardshipAssignments.StewardRole</t>
  </si>
  <si>
    <t>fg-knowledge-authority-StewardshipAssignments.AuthorityRole</t>
  </si>
  <si>
    <t>fg-knowledge-authority-StewardshipAssignments.ValidFrom</t>
  </si>
  <si>
    <t>fg-knowledge-authority-StewardshipAssignments.ValidTo</t>
  </si>
  <si>
    <t>fg-knowledge-authority-StewardshipAssignments.ReviewCadenceDays</t>
  </si>
  <si>
    <t>fg-knowledge-authority-StewardshipAssignments.CountOfReviewEvents</t>
  </si>
  <si>
    <t>fg-knowledge-authority-StewardshipAssignments.HasEverBeenReviewed</t>
  </si>
  <si>
    <t>fg-knowledge-authority-StewardshipAssignments.EvaluationContext</t>
  </si>
  <si>
    <t>fg-knowledge-authority-StewardshipAssignments.AsOfInstant</t>
  </si>
  <si>
    <t>fg-knowledge-authority-StewardshipAssignments.IsCurrentAssignment</t>
  </si>
  <si>
    <t>fg-knowledge-authority-StewardshipAssignments.SemanticTypeIri</t>
  </si>
  <si>
    <t>fg-knowledge-authority-TemplateApprovals.TemplateApprovalId</t>
  </si>
  <si>
    <t>fg-knowledge-authority-TemplateApprovals.Name</t>
  </si>
  <si>
    <t>fg-knowledge-authority-TemplateApprovals.MessageTemplate</t>
  </si>
  <si>
    <t>fg-knowledge-authority-TemplateApprovals.DecidedByAgent</t>
  </si>
  <si>
    <t>fg-knowledge-authority-TemplateApprovals.DecidedInRole</t>
  </si>
  <si>
    <t>fg-knowledge-authority-TemplateApprovals.Decision</t>
  </si>
  <si>
    <t>fg-knowledge-authority-TemplateApprovals.DecidedAt</t>
  </si>
  <si>
    <t>fg-knowledge-authority-TemplateApprovals.ApprovedBodyHash</t>
  </si>
  <si>
    <t>fg-knowledge-authority-TemplateApprovals.Notes</t>
  </si>
  <si>
    <t>fg-knowledge-authority-TemplateApprovals.IsApprovalDecision</t>
  </si>
  <si>
    <t>fg-knowledge-authority-TemplateApprovals.TemplatePolicy</t>
  </si>
  <si>
    <t>fg-knowledge-authority-TemplateApprovals.RequiredApprovalRole</t>
  </si>
  <si>
    <t>fg-knowledge-authority-TemplateApprovals.IsDecidedByRequiredRole</t>
  </si>
  <si>
    <t>fg-knowledge-authority-TemplateApprovals.ValidApprovalTemplateKey</t>
  </si>
  <si>
    <t>fg-knowledge-authority-TemplateApprovals.SemanticTypeIri</t>
  </si>
  <si>
    <t>fg-knowledge-authority-TestCases.TestCaseId</t>
  </si>
  <si>
    <t>fg-knowledge-authority-TestCases.Name</t>
  </si>
  <si>
    <t>fg-knowledge-authority-TestCases.TestKind</t>
  </si>
  <si>
    <t>fg-knowledge-authority-TestCases.Subject</t>
  </si>
  <si>
    <t>fg-knowledge-authority-TestCases.TargetTable</t>
  </si>
  <si>
    <t>fg-knowledge-authority-TestCases.TargetField</t>
  </si>
  <si>
    <t>fg-knowledge-authority-TestCases.Assertion</t>
  </si>
  <si>
    <t>fg-knowledge-authority-TestCases.DefendsQuestion</t>
  </si>
  <si>
    <t>fg-knowledge-authority-TestCases.Suite</t>
  </si>
  <si>
    <t>fg-knowledge-authority-TestCases.Severity</t>
  </si>
  <si>
    <t>fg-knowledge-authority-TestCases.IsBlocking</t>
  </si>
  <si>
    <t>fg-knowledge-authority-TestCases.LastOutcome</t>
  </si>
  <si>
    <t>fg-knowledge-authority-TestCases.LastDetail</t>
  </si>
  <si>
    <t>fg-knowledge-authority-TestCases.LastRunAt</t>
  </si>
  <si>
    <t>fg-knowledge-authority-TestCases.IsPassing</t>
  </si>
  <si>
    <t>fg-knowledge-authority-TestCases.IsFailing</t>
  </si>
  <si>
    <t>fg-knowledge-authority-TestCases.NeedsAttention</t>
  </si>
  <si>
    <t>fg-knowledge-authority-TestCases.PassingSuiteKey</t>
  </si>
  <si>
    <t>fg-knowledge-authority-TestCases.NeedsAttentionSuiteKey</t>
  </si>
  <si>
    <t>fg-knowledge-authority-TestCases.SemanticTypeIri</t>
  </si>
  <si>
    <t>fg-knowledge-authority-TestSuites.TestSuiteId</t>
  </si>
  <si>
    <t>fg-knowledge-authority-TestSuites.Name</t>
  </si>
  <si>
    <t>fg-knowledge-authority-TestSuites.Label</t>
  </si>
  <si>
    <t>fg-knowledge-authority-TestSuites.TestCount</t>
  </si>
  <si>
    <t>fg-knowledge-authority-TestSuites.PassCount</t>
  </si>
  <si>
    <t>fg-knowledge-authority-TestSuites.BlockingFailCount</t>
  </si>
  <si>
    <t>fg-knowledge-authority-TestSuites.IsGreen</t>
  </si>
  <si>
    <t>fg-knowledge-authority-TestSuites.SemanticTypeIri</t>
  </si>
  <si>
    <t>fg-knowledge-authority-Tools.ToolId</t>
  </si>
  <si>
    <t>fg-knowledge-authority-Tools.Name</t>
  </si>
  <si>
    <t>fg-knowledge-authority-Tools.Label</t>
  </si>
  <si>
    <t>fg-knowledge-authority-Tools.Purpose</t>
  </si>
  <si>
    <t>fg-knowledge-authority-Tools.SemanticTypeIri</t>
  </si>
  <si>
    <t>fg-knowledge-authority-UserFeedback.UserFeedbackId</t>
  </si>
  <si>
    <t>fg-knowledge-authority-UserFeedback.Name</t>
  </si>
  <si>
    <t>fg-knowledge-authority-UserFeedback.ProcedureExecution</t>
  </si>
  <si>
    <t>fg-knowledge-authority-UserFeedback.ProvidedByAgent</t>
  </si>
  <si>
    <t>fg-knowledge-authority-UserFeedback.ProvidedAt</t>
  </si>
  <si>
    <t>fg-knowledge-authority-UserFeedback.FeedbackText</t>
  </si>
  <si>
    <t>fg-knowledge-authority-UserFeedback.Disposition</t>
  </si>
  <si>
    <t>fg-knowledge-authority-UserFeedback.ChangeRequestKey</t>
  </si>
  <si>
    <t>fg-knowledge-authority-UserFeedback.SemanticTypeIri</t>
  </si>
  <si>
    <t>fg-knowledge-authority-UserQuestions.UserQuestionId</t>
  </si>
  <si>
    <t>fg-knowledge-authority-UserQuestions.Name</t>
  </si>
  <si>
    <t>fg-knowledge-authority-UserQuestions.StepExecution</t>
  </si>
  <si>
    <t>fg-knowledge-authority-UserQuestions.AskedByAgent</t>
  </si>
  <si>
    <t>fg-knowledge-authority-UserQuestions.AskedAt</t>
  </si>
  <si>
    <t>fg-knowledge-authority-UserQuestions.QuestionText</t>
  </si>
  <si>
    <t>fg-knowledge-authority-UserQuestions.ResolvedByFaq</t>
  </si>
  <si>
    <t>fg-knowledge-authority-UserQuestions.AddressedByResource</t>
  </si>
  <si>
    <t>fg-knowledge-authority-UserQuestions.Status</t>
  </si>
  <si>
    <t>fg-knowledge-authority-UserQuestions.SemanticTypeIri</t>
  </si>
  <si>
    <t>fg-knowledge-authority-VerificationOutcomes.VerificationOutcomeId</t>
  </si>
  <si>
    <t>fg-knowledge-authority-VerificationOutcomes.Name</t>
  </si>
  <si>
    <t>fg-knowledge-authority-VerificationOutcomes.StepExecution</t>
  </si>
  <si>
    <t>fg-knowledge-authority-VerificationOutcomes.StepVerification</t>
  </si>
  <si>
    <t>fg-knowledge-authority-VerificationOutcomes.ObservedSignalValue</t>
  </si>
  <si>
    <t>fg-knowledge-authority-VerificationOutcomes.ObservedByAgent</t>
  </si>
  <si>
    <t>fg-knowledge-authority-VerificationOutcomes.ObservedAt</t>
  </si>
  <si>
    <t>fg-knowledge-authority-VerificationOutcomes.EvidenceUri</t>
  </si>
  <si>
    <t>fg-knowledge-authority-VerificationOutcomes.ExpectedSignalValue</t>
  </si>
  <si>
    <t>fg-knowledge-authority-VerificationOutcomes.SignalIdentifier</t>
  </si>
  <si>
    <t>fg-knowledge-authority-VerificationOutcomes.SignalMatchesExpected</t>
  </si>
  <si>
    <t>fg-knowledge-authority-VerificationOutcomes.HasEvidence</t>
  </si>
  <si>
    <t>fg-knowledge-authority-VerificationOutcomes.IsUnbackedObservation</t>
  </si>
  <si>
    <t>fg-knowledge-authority-VerificationOutcomes.IsSelfWitnessed</t>
  </si>
  <si>
    <t>fg-knowledge-authority-VerificationOutcomes.StepExecutorAgent</t>
  </si>
  <si>
    <t>fg-knowledge-authority-VerificationOutcomes.SelfWitnessedStepKey</t>
  </si>
  <si>
    <t>fg-knowledge-authority-VerificationOutcomes.UnbackedStepKey</t>
  </si>
  <si>
    <t>fg-knowledge-authority-VerificationOutcomes.IsSelfWitnessedAndUnbacked</t>
  </si>
  <si>
    <t>fg-knowledge-authority-VerificationOutcomes.IsUncorroboratedPass</t>
  </si>
  <si>
    <t>fg-knowledge-authority-VerificationOutcomes.UncorroboratedPassStepKey</t>
  </si>
  <si>
    <t>fg-knowledge-authority-VerificationOutcomes.ObserverIsNonHuman</t>
  </si>
  <si>
    <t>fg-knowledge-authority-VerificationOutcomes.ObserverIsIndependentOfExecutor</t>
  </si>
  <si>
    <t>fg-knowledge-authority-VerificationOutcomes.IsIndependentHumanObservation</t>
  </si>
  <si>
    <t>fg-knowledge-authority-VerificationOutcomes.IndependentObservationExecutionKey</t>
  </si>
  <si>
    <t>fg-knowledge-authority-VerificationOutcomes.ParentProcedureExecutionOfOutcome</t>
  </si>
  <si>
    <t>fg-knowledge-authority-VerificationOutcomes.SemanticTypeIri</t>
  </si>
  <si>
    <t>fg-knowledge-authority-WitnessLoops.WitnessLoopId</t>
  </si>
  <si>
    <t>fg-knowledge-authority-WitnessLoops.Name</t>
  </si>
  <si>
    <t>fg-knowledge-authority-WitnessLoops.LoopNumber</t>
  </si>
  <si>
    <t>fg-knowledge-authority-WitnessLoops.Title</t>
  </si>
  <si>
    <t>fg-knowledge-authority-WitnessLoops.Premise</t>
  </si>
  <si>
    <t>fg-knowledge-authority-WitnessLoops.StartedAt</t>
  </si>
  <si>
    <t>fg-knowledge-authority-WitnessLoops.CompletedAt</t>
  </si>
  <si>
    <t>fg-knowledge-authority-WitnessLoops.QuestionCount</t>
  </si>
  <si>
    <t>fg-knowledge-authority-WitnessLoops.IsComplete</t>
  </si>
  <si>
    <t>fg-knowledge-authority-WitnessLoops.FieldsAfter</t>
  </si>
  <si>
    <t>fg-knowledge-authority-WitnessLoops.DerivedAfter</t>
  </si>
  <si>
    <t>fg-knowledge-authority-WitnessLoops.WitnessedAfter</t>
  </si>
  <si>
    <t>fg-knowledge-authority-WitnessLoops.SemanticTypeIri</t>
  </si>
  <si>
    <t>fg-process-steward-ProcessMiningRuns.ProcessMiningRunId</t>
  </si>
  <si>
    <t>fg-process-steward-ProcessMiningRuns.Name</t>
  </si>
  <si>
    <t>fg-process-steward-ProcessMiningRuns.ProcedureVersion</t>
  </si>
  <si>
    <t>fg-process-steward-ProcessMiningRuns.EventLogSource</t>
  </si>
  <si>
    <t>fg-process-steward-ProcessMiningRuns.MinedAt</t>
  </si>
  <si>
    <t>fg-process-steward-ProcessMiningRuns.DiscoveredVariantCount</t>
  </si>
  <si>
    <t>fg-process-steward-ProcessMiningRuns.ConformingVariantCount</t>
  </si>
  <si>
    <t>fg-process-steward-ProcessMiningRuns.DeviationDescription</t>
  </si>
  <si>
    <t>fg-process-steward-ProcessMiningRuns.EvaluationContext</t>
  </si>
  <si>
    <t>fg-process-steward-ProcessMiningRuns.AsOfInstant</t>
  </si>
  <si>
    <t>fg-process-steward-ProcessMiningRuns.ConformanceRate</t>
  </si>
  <si>
    <t>fg-process-steward-ProcessMiningRuns.IsConformant</t>
  </si>
  <si>
    <t>fg-process-steward-ProcessMiningRuns.HasMajorDriftFromDocumentation</t>
  </si>
  <si>
    <t>fg-process-steward-ProcessMiningRuns.DaysSinceMined</t>
  </si>
  <si>
    <t>fg-process-steward-ProcessMiningRuns.IsStaleMiningEvidence</t>
  </si>
  <si>
    <t>fg-process-steward-ProcessMiningRuns.ProcedureVersionIsLive</t>
  </si>
  <si>
    <t>fg-process-steward-ProcessMiningRuns.IsDriftOnLiveVersion</t>
  </si>
  <si>
    <t>fg-process-steward-ProcessMiningRuns.DriftedMiningRunKey</t>
  </si>
  <si>
    <t>fg-process-steward-ProcessMiningRuns.SemanticTypeIri</t>
  </si>
  <si>
    <t>fg-process-steward-Vocabularies.VocabularyId</t>
  </si>
  <si>
    <t>fg-process-steward-Vocabularies.Name</t>
  </si>
  <si>
    <t>fg-process-steward-Vocabularies.Title</t>
  </si>
  <si>
    <t>fg-process-steward-Vocabularies.SchemeUri</t>
  </si>
  <si>
    <t>fg-process-steward-Vocabularies.GoverningRole</t>
  </si>
  <si>
    <t>fg-process-steward-Vocabularies.TermCount</t>
  </si>
  <si>
    <t>fg-process-steward-Vocabularies.OrphanTermCount</t>
  </si>
  <si>
    <t>fg-process-steward-Vocabularies.HasOrphanTerms</t>
  </si>
  <si>
    <t>fg-process-steward-Vocabularies.SemanticTypeIri</t>
  </si>
  <si>
    <t>fg-process-steward-VocabularyTerms.VocabularyTermId</t>
  </si>
  <si>
    <t>fg-process-steward-VocabularyTerms.Name</t>
  </si>
  <si>
    <t>fg-process-steward-VocabularyTerms.Vocabulary</t>
  </si>
  <si>
    <t>fg-process-steward-VocabularyTerms.PrefLabel</t>
  </si>
  <si>
    <t>fg-process-steward-VocabularyTerms.AltLabels</t>
  </si>
  <si>
    <t>fg-process-steward-VocabularyTerms.Definition</t>
  </si>
  <si>
    <t>fg-process-steward-VocabularyTerms.UsageCount</t>
  </si>
  <si>
    <t>fg-process-steward-VocabularyTerms.IsOrphanTerm</t>
  </si>
  <si>
    <t>fg-process-steward-VocabularyTerms.IsWidelyAdoptedTerm</t>
  </si>
  <si>
    <t>fg-process-steward-VocabularyTerms.OrphanTermVocabularyKey</t>
  </si>
  <si>
    <t>fg-process-steward-VocabularyTerms.SemanticTypeIri</t>
  </si>
  <si>
    <t>fg-process-steward-KnowledgeBrokerLinks.KnowledgeBrokerLinkId</t>
  </si>
  <si>
    <t>fg-process-steward-KnowledgeBrokerLinks.Name</t>
  </si>
  <si>
    <t>fg-process-steward-KnowledgeBrokerLinks.Seeker</t>
  </si>
  <si>
    <t>fg-process-steward-KnowledgeBrokerLinks.Broker</t>
  </si>
  <si>
    <t>fg-process-steward-KnowledgeBrokerLinks.Topic</t>
  </si>
  <si>
    <t>fg-process-steward-KnowledgeBrokerLinks.Frequency</t>
  </si>
  <si>
    <t>fg-process-steward-KnowledgeBrokerLinks.LastConsultedAt</t>
  </si>
  <si>
    <t>fg-process-steward-KnowledgeBrokerLinks.EvaluationContext</t>
  </si>
  <si>
    <t>fg-process-steward-KnowledgeBrokerLinks.AsOfInstant</t>
  </si>
  <si>
    <t>fg-process-steward-KnowledgeBrokerLinks.DaysSinceConsulted</t>
  </si>
  <si>
    <t>fg-process-steward-KnowledgeBrokerLinks.IsActiveReliance</t>
  </si>
  <si>
    <t>fg-process-steward-KnowledgeBrokerLinks.BrokerIsStillEngaged</t>
  </si>
  <si>
    <t>fg-process-steward-KnowledgeBrokerLinks.IsAtRiskReliance</t>
  </si>
  <si>
    <t>fg-process-steward-KnowledgeBrokerLinks.ActiveRelianceBrokerKey</t>
  </si>
  <si>
    <t>fg-process-steward-KnowledgeBrokerLinks.AtRiskBrokerKey</t>
  </si>
  <si>
    <t>fg-process-steward-KnowledgeBrokerLinks.SemanticTypeIri</t>
  </si>
  <si>
    <t>fg-process-steward-ProcedureVersions.MiningRunCount</t>
  </si>
  <si>
    <t>fg-process-steward-ProcedureVersions.DriftedMiningRunCount</t>
  </si>
  <si>
    <t>fg-process-steward-ProcedureVersions.HasUnresolvedMiningDrift</t>
  </si>
  <si>
    <t>fg-process-steward-Requirements.ControlledTerm</t>
  </si>
  <si>
    <t>fg-process-steward-Requirements.UsesControlledVocabulary</t>
  </si>
  <si>
    <t>fg-process-steward-Agents.TimesNamedAsBroker</t>
  </si>
  <si>
    <t>fg-process-steward-Agents.IsRecognizedBroker</t>
  </si>
  <si>
    <t>fg-process-steward-Agents.AtRiskRelianceCount</t>
  </si>
  <si>
    <t>fg-process-steward-Agents.HasAtRiskKnowledgeReliance</t>
  </si>
  <si>
    <t>fg-knowledge-authority-ProcessMiningRuns.ProcessMiningRunId</t>
  </si>
  <si>
    <t>fg-knowledge-authority-ProcessMiningRuns.Name</t>
  </si>
  <si>
    <t>fg-knowledge-authority-ProcessMiningRuns.ProcedureVersion</t>
  </si>
  <si>
    <t>fg-knowledge-authority-ProcessMiningRuns.EventLogSource</t>
  </si>
  <si>
    <t>fg-knowledge-authority-ProcessMiningRuns.MinedAt</t>
  </si>
  <si>
    <t>fg-knowledge-authority-ProcessMiningRuns.DiscoveredVariantCount</t>
  </si>
  <si>
    <t>fg-knowledge-authority-ProcessMiningRuns.ConformingVariantCount</t>
  </si>
  <si>
    <t>fg-knowledge-authority-ProcessMiningRuns.DeviationDescription</t>
  </si>
  <si>
    <t>fg-knowledge-authority-ProcessMiningRuns.EvaluationContext</t>
  </si>
  <si>
    <t>fg-knowledge-authority-ProcessMiningRuns.AsOfInstant</t>
  </si>
  <si>
    <t>fg-knowledge-authority-ProcessMiningRuns.ConformanceRate</t>
  </si>
  <si>
    <t>fg-knowledge-authority-ProcessMiningRuns.IsConformant</t>
  </si>
  <si>
    <t>fg-knowledge-authority-ProcessMiningRuns.HasMajorDriftFromDocumentation</t>
  </si>
  <si>
    <t>fg-knowledge-authority-ProcessMiningRuns.DaysSinceMined</t>
  </si>
  <si>
    <t>fg-knowledge-authority-ProcessMiningRuns.IsStaleMiningEvidence</t>
  </si>
  <si>
    <t>fg-knowledge-authority-ProcessMiningRuns.ProcedureVersionIsLive</t>
  </si>
  <si>
    <t>fg-knowledge-authority-ProcessMiningRuns.IsDriftOnLiveVersion</t>
  </si>
  <si>
    <t>fg-knowledge-authority-ProcessMiningRuns.DriftedMiningRunKey</t>
  </si>
  <si>
    <t>fg-knowledge-authority-ProcessMiningRuns.SemanticTypeIri</t>
  </si>
  <si>
    <t>fg-knowledge-authority-Vocabularies.VocabularyId</t>
  </si>
  <si>
    <t>fg-knowledge-authority-Vocabularies.Name</t>
  </si>
  <si>
    <t>fg-knowledge-authority-Vocabularies.Title</t>
  </si>
  <si>
    <t>fg-knowledge-authority-Vocabularies.SchemeUri</t>
  </si>
  <si>
    <t>fg-knowledge-authority-Vocabularies.GoverningRole</t>
  </si>
  <si>
    <t>fg-knowledge-authority-Vocabularies.TermCount</t>
  </si>
  <si>
    <t>fg-knowledge-authority-Vocabularies.OrphanTermCount</t>
  </si>
  <si>
    <t>fg-knowledge-authority-Vocabularies.HasOrphanTerms</t>
  </si>
  <si>
    <t>fg-knowledge-authority-Vocabularies.SemanticTypeIri</t>
  </si>
  <si>
    <t>fg-knowledge-authority-VocabularyTerms.VocabularyTermId</t>
  </si>
  <si>
    <t>fg-knowledge-authority-VocabularyTerms.Name</t>
  </si>
  <si>
    <t>fg-knowledge-authority-VocabularyTerms.Vocabulary</t>
  </si>
  <si>
    <t>fg-knowledge-authority-VocabularyTerms.PrefLabel</t>
  </si>
  <si>
    <t>fg-knowledge-authority-VocabularyTerms.AltLabels</t>
  </si>
  <si>
    <t>fg-knowledge-authority-VocabularyTerms.Definition</t>
  </si>
  <si>
    <t>fg-knowledge-authority-VocabularyTerms.UsageCount</t>
  </si>
  <si>
    <t>fg-knowledge-authority-VocabularyTerms.IsOrphanTerm</t>
  </si>
  <si>
    <t>fg-knowledge-authority-VocabularyTerms.IsWidelyAdoptedTerm</t>
  </si>
  <si>
    <t>fg-knowledge-authority-VocabularyTerms.OrphanTermVocabularyKey</t>
  </si>
  <si>
    <t>fg-knowledge-authority-VocabularyTerms.SemanticTypeIri</t>
  </si>
  <si>
    <t>fg-knowledge-authority-KnowledgeBrokerLinks.KnowledgeBrokerLinkId</t>
  </si>
  <si>
    <t>fg-knowledge-authority-KnowledgeBrokerLinks.Name</t>
  </si>
  <si>
    <t>fg-knowledge-authority-KnowledgeBrokerLinks.Seeker</t>
  </si>
  <si>
    <t>fg-knowledge-authority-KnowledgeBrokerLinks.Broker</t>
  </si>
  <si>
    <t>fg-knowledge-authority-KnowledgeBrokerLinks.Topic</t>
  </si>
  <si>
    <t>fg-knowledge-authority-KnowledgeBrokerLinks.Frequency</t>
  </si>
  <si>
    <t>fg-knowledge-authority-KnowledgeBrokerLinks.LastConsultedAt</t>
  </si>
  <si>
    <t>fg-knowledge-authority-KnowledgeBrokerLinks.EvaluationContext</t>
  </si>
  <si>
    <t>fg-knowledge-authority-KnowledgeBrokerLinks.AsOfInstant</t>
  </si>
  <si>
    <t>fg-knowledge-authority-KnowledgeBrokerLinks.DaysSinceConsulted</t>
  </si>
  <si>
    <t>fg-knowledge-authority-KnowledgeBrokerLinks.IsActiveReliance</t>
  </si>
  <si>
    <t>fg-knowledge-authority-KnowledgeBrokerLinks.BrokerIsStillEngaged</t>
  </si>
  <si>
    <t>fg-knowledge-authority-KnowledgeBrokerLinks.IsAtRiskReliance</t>
  </si>
  <si>
    <t>fg-knowledge-authority-KnowledgeBrokerLinks.ActiveRelianceBrokerKey</t>
  </si>
  <si>
    <t>fg-knowledge-authority-KnowledgeBrokerLinks.AtRiskBrokerKey</t>
  </si>
  <si>
    <t>fg-knowledge-authority-KnowledgeBrokerLinks.SemanticTypeIri</t>
  </si>
  <si>
    <t>fg-knowledge-authority-ProcedureVersions.MiningRunCount</t>
  </si>
  <si>
    <t>fg-knowledge-authority-ProcedureVersions.DriftedMiningRunCount</t>
  </si>
  <si>
    <t>fg-knowledge-authority-ProcedureVersions.HasUnresolvedMiningDrift</t>
  </si>
  <si>
    <t>fg-knowledge-authority-Requirements.ControlledTerm</t>
  </si>
  <si>
    <t>fg-knowledge-authority-Requirements.UsesControlledVocabulary</t>
  </si>
  <si>
    <t>fg-knowledge-authority-Agents.TimesNamedAsBroker</t>
  </si>
  <si>
    <t>fg-knowledge-authority-Agents.IsRecognizedBroker</t>
  </si>
  <si>
    <t>fg-knowledge-authority-Agents.AtRiskRelianceCount</t>
  </si>
  <si>
    <t>fg-knowledge-authority-Agents.HasAtRiskKnowledgeReliance</t>
  </si>
  <si>
    <t>schema-finance-analyst</t>
  </si>
  <si>
    <t>urn:effortless:pko-extension#RoleSchema</t>
  </si>
  <si>
    <t>schema-controller</t>
  </si>
  <si>
    <t>schema-cfo</t>
  </si>
  <si>
    <t>schema-hr-policy-owner</t>
  </si>
  <si>
    <t>schema-employment-counsel</t>
  </si>
  <si>
    <t>schema-communications-manager</t>
  </si>
  <si>
    <t>schema-close-automation</t>
  </si>
  <si>
    <t>schema-variance-review-agent</t>
  </si>
  <si>
    <t>schema-policy-drafting-agent</t>
  </si>
  <si>
    <t>schema-notification-publisher</t>
  </si>
  <si>
    <t>schema-process-steward</t>
  </si>
  <si>
    <t>schema-knowledge-authority</t>
  </si>
  <si>
    <t>rsv-finance-analyst-steps</t>
  </si>
  <si>
    <t>urn:effortless:pko-extension#RoleSchemaView</t>
  </si>
  <si>
    <t>rsv-finance-analyst-step_executions</t>
  </si>
  <si>
    <t>rsv-finance-analyst-procedure_executions</t>
  </si>
  <si>
    <t>rsv-finance-analyst-requirements</t>
  </si>
  <si>
    <t>rsv-finance-analyst-requirement_satisfactions</t>
  </si>
  <si>
    <t>rsv-finance-analyst-procedures</t>
  </si>
  <si>
    <t>rsv-finance-analyst-procedure_versions</t>
  </si>
  <si>
    <t>rsv-controller-steps</t>
  </si>
  <si>
    <t>rsv-controller-step_executions</t>
  </si>
  <si>
    <t>rsv-controller-procedure_executions</t>
  </si>
  <si>
    <t>rsv-controller-exceptions</t>
  </si>
  <si>
    <t>rsv-controller-change_requests</t>
  </si>
  <si>
    <t>rsv-controller-knowledge_fragments</t>
  </si>
  <si>
    <t>rsv-controller-requirements</t>
  </si>
  <si>
    <t>rsv-controller-procedure_versions</t>
  </si>
  <si>
    <t>rsv-cfo-procedure_executions</t>
  </si>
  <si>
    <t>rsv-cfo-exceptions</t>
  </si>
  <si>
    <t>rsv-cfo-change_requests</t>
  </si>
  <si>
    <t>rsv-cfo-authority_boundaries</t>
  </si>
  <si>
    <t>rsv-cfo-procedures</t>
  </si>
  <si>
    <t>rsv-hr-policy-owner-steps</t>
  </si>
  <si>
    <t>rsv-hr-policy-owner-knowledge_fragments</t>
  </si>
  <si>
    <t>rsv-hr-policy-owner-knowledge_gaps</t>
  </si>
  <si>
    <t>rsv-hr-policy-owner-change_requests</t>
  </si>
  <si>
    <t>rsv-hr-policy-owner-exceptions</t>
  </si>
  <si>
    <t>rsv-hr-policy-owner-message_templates</t>
  </si>
  <si>
    <t>rsv-employment-counsel-change_requests</t>
  </si>
  <si>
    <t>rsv-employment-counsel-knowledge_fragments</t>
  </si>
  <si>
    <t>rsv-employment-counsel-authority_boundaries</t>
  </si>
  <si>
    <t>rsv-employment-counsel-communication_policies</t>
  </si>
  <si>
    <t>rsv-employment-counsel-steps</t>
  </si>
  <si>
    <t>rsv-communications-manager-communication_policies</t>
  </si>
  <si>
    <t>rsv-communications-manager-message_templates</t>
  </si>
  <si>
    <t>rsv-communications-manager-send_intents</t>
  </si>
  <si>
    <t>rsv-communications-manager-message_deliveries</t>
  </si>
  <si>
    <t>rsv-communications-manager-recipients</t>
  </si>
  <si>
    <t>rsv-communications-manager-knowledge_gaps</t>
  </si>
  <si>
    <t>rsv-close-automation-steps</t>
  </si>
  <si>
    <t>rsv-close-automation-step_executions</t>
  </si>
  <si>
    <t>rsv-close-automation-errors</t>
  </si>
  <si>
    <t>rsv-variance-review-agent-steps</t>
  </si>
  <si>
    <t>rsv-variance-review-agent-step_executions</t>
  </si>
  <si>
    <t>rsv-variance-review-agent-requirements</t>
  </si>
  <si>
    <t>rsv-variance-review-agent-requirement_satisfactions</t>
  </si>
  <si>
    <t>rsv-variance-review-agent-errors</t>
  </si>
  <si>
    <t>rsv-policy-drafting-agent-message_templates</t>
  </si>
  <si>
    <t>rsv-policy-drafting-agent-communication_policies</t>
  </si>
  <si>
    <t>rsv-policy-drafting-agent-knowledge_fragments</t>
  </si>
  <si>
    <t>rsv-policy-drafting-agent-steps</t>
  </si>
  <si>
    <t>rsv-notification-publisher-communication_policies</t>
  </si>
  <si>
    <t>rsv-notification-publisher-send_intents</t>
  </si>
  <si>
    <t>rsv-notification-publisher-message_deliveries</t>
  </si>
  <si>
    <t>rsv-notification-publisher-recipients</t>
  </si>
  <si>
    <t>rsv-notification-publisher-steps</t>
  </si>
  <si>
    <t>rsv-process-steward-actions</t>
  </si>
  <si>
    <t>rsv-process-steward-agent_decision_records</t>
  </si>
  <si>
    <t>rsv-process-steward-agents</t>
  </si>
  <si>
    <t>rsv-process-steward-app_nav_groups</t>
  </si>
  <si>
    <t>rsv-process-steward-app_role_profiles</t>
  </si>
  <si>
    <t>rsv-process-steward-app_route_questions</t>
  </si>
  <si>
    <t>rsv-process-steward-app_route_references</t>
  </si>
  <si>
    <t>rsv-process-steward-app_routes</t>
  </si>
  <si>
    <t>rsv-process-steward-attestations</t>
  </si>
  <si>
    <t>rsv-process-steward-authority_boundaries</t>
  </si>
  <si>
    <t>rsv-process-steward-binding_observations</t>
  </si>
  <si>
    <t>rsv-process-steward-change_requests</t>
  </si>
  <si>
    <t>rsv-process-steward-communication_policies</t>
  </si>
  <si>
    <t>rsv-process-steward-communities_of_practice</t>
  </si>
  <si>
    <t>rsv-process-steward-delivered_communications</t>
  </si>
  <si>
    <t>rsv-process-steward-elicitation_sessions</t>
  </si>
  <si>
    <t>rsv-process-steward-errors</t>
  </si>
  <si>
    <t>rsv-process-steward-evaluation_contexts</t>
  </si>
  <si>
    <t>rsv-process-steward-exception_invocations</t>
  </si>
  <si>
    <t>rsv-process-steward-exceptions</t>
  </si>
  <si>
    <t>rsv-process-steward-explanations</t>
  </si>
  <si>
    <t>rsv-process-steward-functions</t>
  </si>
  <si>
    <t>rsv-process-steward-issue_occurrences</t>
  </si>
  <si>
    <t>rsv-process-steward-knowledge_fragments</t>
  </si>
  <si>
    <t>rsv-process-steward-knowledge_gaps</t>
  </si>
  <si>
    <t>rsv-process-steward-learning_activities</t>
  </si>
  <si>
    <t>rsv-process-steward-mentorships</t>
  </si>
  <si>
    <t>rsv-process-steward-message_deliveries</t>
  </si>
  <si>
    <t>rsv-process-steward-message_templates</t>
  </si>
  <si>
    <t>rsv-process-steward-observed_transitions</t>
  </si>
  <si>
    <t>rsv-process-steward-ontology_profiles</t>
  </si>
  <si>
    <t>rsv-process-steward-operational_bindings</t>
  </si>
  <si>
    <t>rsv-process-steward-organizations</t>
  </si>
  <si>
    <t>rsv-process-steward-procedure_executions</t>
  </si>
  <si>
    <t>rsv-process-steward-procedure_resources</t>
  </si>
  <si>
    <t>rsv-process-steward-procedure_status_changes</t>
  </si>
  <si>
    <t>rsv-process-steward-procedure_types</t>
  </si>
  <si>
    <t>rsv-process-steward-procedure_version_links</t>
  </si>
  <si>
    <t>rsv-process-steward-procedure_versions</t>
  </si>
  <si>
    <t>rsv-process-steward-procedures</t>
  </si>
  <si>
    <t>rsv-process-steward-rationales</t>
  </si>
  <si>
    <t>rsv-process-steward-recipients</t>
  </si>
  <si>
    <t>rsv-process-steward-requirement_satisfactions</t>
  </si>
  <si>
    <t>rsv-process-steward-requirements</t>
  </si>
  <si>
    <t>rsv-process-steward-resources</t>
  </si>
  <si>
    <t>rsv-process-steward-review_events</t>
  </si>
  <si>
    <t>rsv-process-steward-role_assignments</t>
  </si>
  <si>
    <t>rsv-process-steward-role_questions</t>
  </si>
  <si>
    <t>rsv-process-steward-roles</t>
  </si>
  <si>
    <t>rsv-process-steward-rulebook_fields</t>
  </si>
  <si>
    <t>rsv-process-steward-rulebook_releases</t>
  </si>
  <si>
    <t>rsv-process-steward-semantic_mappings</t>
  </si>
  <si>
    <t>rsv-process-steward-send_intents</t>
  </si>
  <si>
    <t>rsv-process-steward-step_actions</t>
  </si>
  <si>
    <t>rsv-process-steward-step_executions</t>
  </si>
  <si>
    <t>rsv-process-steward-step_functions</t>
  </si>
  <si>
    <t>rsv-process-steward-step_requirements</t>
  </si>
  <si>
    <t>rsv-process-steward-step_tools</t>
  </si>
  <si>
    <t>rsv-process-steward-step_transitions</t>
  </si>
  <si>
    <t>rsv-process-steward-step_verifications</t>
  </si>
  <si>
    <t>rsv-process-steward-steps</t>
  </si>
  <si>
    <t>rsv-process-steward-stewardship_assignments</t>
  </si>
  <si>
    <t>rsv-process-steward-template_approvals</t>
  </si>
  <si>
    <t>rsv-process-steward-test_cases</t>
  </si>
  <si>
    <t>rsv-process-steward-test_suites</t>
  </si>
  <si>
    <t>rsv-process-steward-tools</t>
  </si>
  <si>
    <t>rsv-process-steward-user_feedback</t>
  </si>
  <si>
    <t>rsv-process-steward-user_questions</t>
  </si>
  <si>
    <t>rsv-process-steward-verification_outcomes</t>
  </si>
  <si>
    <t>rsv-process-steward-witness_loops</t>
  </si>
  <si>
    <t>rsv-knowledge-authority-actions</t>
  </si>
  <si>
    <t>rsv-knowledge-authority-agent_decision_records</t>
  </si>
  <si>
    <t>rsv-knowledge-authority-agents</t>
  </si>
  <si>
    <t>rsv-knowledge-authority-app_nav_groups</t>
  </si>
  <si>
    <t>rsv-knowledge-authority-app_role_profiles</t>
  </si>
  <si>
    <t>rsv-knowledge-authority-app_route_questions</t>
  </si>
  <si>
    <t>rsv-knowledge-authority-app_route_references</t>
  </si>
  <si>
    <t>rsv-knowledge-authority-app_routes</t>
  </si>
  <si>
    <t>rsv-knowledge-authority-attestations</t>
  </si>
  <si>
    <t>rsv-knowledge-authority-authority_boundaries</t>
  </si>
  <si>
    <t>rsv-knowledge-authority-binding_observations</t>
  </si>
  <si>
    <t>rsv-knowledge-authority-change_requests</t>
  </si>
  <si>
    <t>rsv-knowledge-authority-communication_policies</t>
  </si>
  <si>
    <t>rsv-knowledge-authority-communities_of_practice</t>
  </si>
  <si>
    <t>rsv-knowledge-authority-delivered_communications</t>
  </si>
  <si>
    <t>rsv-knowledge-authority-elicitation_sessions</t>
  </si>
  <si>
    <t>rsv-knowledge-authority-errors</t>
  </si>
  <si>
    <t>rsv-knowledge-authority-evaluation_contexts</t>
  </si>
  <si>
    <t>rsv-knowledge-authority-exception_invocations</t>
  </si>
  <si>
    <t>rsv-knowledge-authority-exceptions</t>
  </si>
  <si>
    <t>rsv-knowledge-authority-explanations</t>
  </si>
  <si>
    <t>rsv-knowledge-authority-functions</t>
  </si>
  <si>
    <t>rsv-knowledge-authority-issue_occurrences</t>
  </si>
  <si>
    <t>rsv-knowledge-authority-knowledge_fragments</t>
  </si>
  <si>
    <t>rsv-knowledge-authority-knowledge_gaps</t>
  </si>
  <si>
    <t>rsv-knowledge-authority-learning_activities</t>
  </si>
  <si>
    <t>rsv-knowledge-authority-mentorships</t>
  </si>
  <si>
    <t>rsv-knowledge-authority-message_deliveries</t>
  </si>
  <si>
    <t>rsv-knowledge-authority-message_templates</t>
  </si>
  <si>
    <t>rsv-knowledge-authority-observed_transitions</t>
  </si>
  <si>
    <t>rsv-knowledge-authority-ontology_profiles</t>
  </si>
  <si>
    <t>rsv-knowledge-authority-operational_bindings</t>
  </si>
  <si>
    <t>rsv-knowledge-authority-organizations</t>
  </si>
  <si>
    <t>rsv-knowledge-authority-procedure_executions</t>
  </si>
  <si>
    <t>rsv-knowledge-authority-procedure_resources</t>
  </si>
  <si>
    <t>rsv-knowledge-authority-procedure_status_changes</t>
  </si>
  <si>
    <t>rsv-knowledge-authority-procedure_types</t>
  </si>
  <si>
    <t>rsv-knowledge-authority-procedure_version_links</t>
  </si>
  <si>
    <t>rsv-knowledge-authority-procedure_versions</t>
  </si>
  <si>
    <t>rsv-knowledge-authority-procedures</t>
  </si>
  <si>
    <t>rsv-knowledge-authority-rationales</t>
  </si>
  <si>
    <t>rsv-knowledge-authority-recipients</t>
  </si>
  <si>
    <t>rsv-knowledge-authority-requirement_satisfactions</t>
  </si>
  <si>
    <t>rsv-knowledge-authority-requirements</t>
  </si>
  <si>
    <t>rsv-knowledge-authority-resources</t>
  </si>
  <si>
    <t>rsv-knowledge-authority-review_events</t>
  </si>
  <si>
    <t>rsv-knowledge-authority-role_assignments</t>
  </si>
  <si>
    <t>rsv-knowledge-authority-role_questions</t>
  </si>
  <si>
    <t>rsv-knowledge-authority-roles</t>
  </si>
  <si>
    <t>rsv-knowledge-authority-rulebook_fields</t>
  </si>
  <si>
    <t>rsv-knowledge-authority-rulebook_releases</t>
  </si>
  <si>
    <t>rsv-knowledge-authority-semantic_mappings</t>
  </si>
  <si>
    <t>rsv-knowledge-authority-send_intents</t>
  </si>
  <si>
    <t>rsv-knowledge-authority-step_actions</t>
  </si>
  <si>
    <t>rsv-knowledge-authority-step_executions</t>
  </si>
  <si>
    <t>rsv-knowledge-authority-step_functions</t>
  </si>
  <si>
    <t>rsv-knowledge-authority-step_requirements</t>
  </si>
  <si>
    <t>rsv-knowledge-authority-step_tools</t>
  </si>
  <si>
    <t>rsv-knowledge-authority-step_transitions</t>
  </si>
  <si>
    <t>rsv-knowledge-authority-step_verifications</t>
  </si>
  <si>
    <t>rsv-knowledge-authority-steps</t>
  </si>
  <si>
    <t>rsv-knowledge-authority-stewardship_assignments</t>
  </si>
  <si>
    <t>rsv-knowledge-authority-template_approvals</t>
  </si>
  <si>
    <t>rsv-knowledge-authority-test_cases</t>
  </si>
  <si>
    <t>rsv-knowledge-authority-test_suites</t>
  </si>
  <si>
    <t>rsv-knowledge-authority-tools</t>
  </si>
  <si>
    <t>rsv-knowledge-authority-user_feedback</t>
  </si>
  <si>
    <t>rsv-knowledge-authority-user_questions</t>
  </si>
  <si>
    <t>rsv-knowledge-authority-verification_outcomes</t>
  </si>
  <si>
    <t>rsv-knowledge-authority-witness_loops</t>
  </si>
  <si>
    <t>rsv-process-steward-process_mining_runs</t>
  </si>
  <si>
    <t>rsv-process-steward-vocabularies</t>
  </si>
  <si>
    <t>rsv-process-steward-vocabulary_terms</t>
  </si>
  <si>
    <t>rsv-process-steward-knowledge_broker_links</t>
  </si>
  <si>
    <t>rsv-knowledge-authority-process_mining_runs</t>
  </si>
  <si>
    <t>rsv-knowledge-authority-vocabularies</t>
  </si>
  <si>
    <t>rsv-knowledge-authority-vocabulary_terms</t>
  </si>
  <si>
    <t>rsv-knowledge-authority-knowledge_broker_links</t>
  </si>
  <si>
    <t>claim-email</t>
  </si>
  <si>
    <t>email</t>
  </si>
  <si>
    <t>app.jwt_email()</t>
  </si>
  <si>
    <t>Verified email address. Magic-links asserts only that the bearer controls this mailbox; everything else about the caller is resolved from it inside this database.</t>
  </si>
  <si>
    <t>urn:effortless:pko-extension#JwtClaimMapping</t>
  </si>
  <si>
    <t>claim-tenant</t>
  </si>
  <si>
    <t>tenant_id</t>
  </si>
  <si>
    <t>app.jwt_tenant_id()</t>
  </si>
  <si>
    <t>Magic-links tenant the token was minted for. Pinned so a token from another tenant cannot authenticate here.</t>
  </si>
  <si>
    <t>claim-principal</t>
  </si>
  <si>
    <t>principal</t>
  </si>
  <si>
    <t>app.jwt_principal()</t>
  </si>
  <si>
    <t>AccessPrincipals row the caller acts as, resolved from the verified email via vw_agents. Not trusted from the token itself.</t>
  </si>
  <si>
    <t>claim-org</t>
  </si>
  <si>
    <t>organization</t>
  </si>
  <si>
    <t>app.jwt_organization()</t>
  </si>
  <si>
    <t>Organization the caller belongs to, derived from their principal's domain role. The default tenancy boundary for row predicates.</t>
  </si>
  <si>
    <t>deny-analyst-superseded-version</t>
  </si>
  <si>
    <t>close-v1.0.0 is superseded (is_current=false). Only current versions are visible to an operating role; version history is for stewards.</t>
  </si>
  <si>
    <t>urn:effortless:pko-extension#AccessDenialTest</t>
  </si>
  <si>
    <t>allow-analyst-current-version</t>
  </si>
  <si>
    <t>Positive control. close-v1.1.0 is the current version and must remain visible.</t>
  </si>
  <si>
    <t>deny-controller-decided-change-request</t>
  </si>
  <si>
    <t>cr-close-timestamp is decided (is_open=false). The inference-backed predicate must exclude it, proving a policy can cut on a derived field rather than a stored column.</t>
  </si>
  <si>
    <t>allow-controller-open-change-request</t>
  </si>
  <si>
    <t>Positive control for the inference predicate. cr-policy-delivery is open (is_open=true) and must remain visible.</t>
  </si>
  <si>
    <t>deny-counsel-controller-fragment</t>
  </si>
  <si>
    <t>kf-close-fx-time is owned by the controller. Employment counsel must not read another role's knowledge fragment.</t>
  </si>
  <si>
    <t>allow-counsel-own-fragment</t>
  </si>
  <si>
    <t>Positive control for the ownership predicate. kf-policy-ai-boundary is owned by employment-counsel and must be visible.</t>
  </si>
  <si>
    <t>deny-hr-resolved-gap</t>
  </si>
  <si>
    <t>gap-close-cadence-unmeasured is Resolved (is_open=false) and must not appear.</t>
  </si>
  <si>
    <t>allow-hr-open-gap</t>
  </si>
  <si>
    <t>Positive control. gap-policy-delivery-receipts is Open and must remain visible.</t>
  </si>
  <si>
    <t>deny-controller-fragment-diagnostics</t>
  </si>
  <si>
    <t>Column-granularity withholding. The controller reads knowledge_fragments but is not granted the stewardship diagnostic columns. evidence_has_expired EXISTS on public.vw_knowledge_fragments and must be ABSENT from the controller's view -- selecting it must raise 'column does not exist', not return null.</t>
  </si>
  <si>
    <t>evidence_has_expired</t>
  </si>
  <si>
    <t>deny-cfo-send-intents</t>
  </si>
  <si>
    <t>The CFO approves financial decisions. The outbound message queue is the communications manager's surface and must not appear in the CFO's schema at all.</t>
  </si>
  <si>
    <t>deny-cfo-step-executions</t>
  </si>
  <si>
    <t>Preparation telemetry is not a CFO concern; he sees the close's headline state, not each step's execution record.</t>
  </si>
  <si>
    <t>deny-close-automation-recipients</t>
  </si>
  <si>
    <t>A posting pipeline has no business reading employee contact details. close-automation is granted 3 tables and Recipients is not one.</t>
  </si>
  <si>
    <t>deny-close-automation-change-requests</t>
  </si>
  <si>
    <t>Governance is not a robot's surface.</t>
  </si>
  <si>
    <t>deny-policy-drafting-agent-recipients</t>
  </si>
  <si>
    <t>The drafting AI writes policy variants. It never needs to know WHO is addressed, so consent data is out of its reach entirely.</t>
  </si>
  <si>
    <t>deny-notification-publisher-knowledge-fragments</t>
  </si>
  <si>
    <t>The publisher applies channel rules and sends. Procedural knowledge is not its surface.</t>
  </si>
  <si>
    <t>deny-employment-counsel-step-executions</t>
  </si>
  <si>
    <t>Legal review reads what is proposed, not the finance close's execution telemetry.</t>
  </si>
  <si>
    <t>deny-variance-review-agent-recipients</t>
  </si>
  <si>
    <t>A variance classifier has no path to personal data.</t>
  </si>
  <si>
    <t>user-amina-yusuf</t>
  </si>
  <si>
    <t>urn:effortless:pko-extension#AppUser</t>
  </si>
  <si>
    <t>user-close-pipeline</t>
  </si>
  <si>
    <t>close-pipeline@pipelines.internal</t>
  </si>
  <si>
    <t>Close Pipeline</t>
  </si>
  <si>
    <t>user-devon-okafor</t>
  </si>
  <si>
    <t>user-elena-garcia</t>
  </si>
  <si>
    <t>user-maria-chen</t>
  </si>
  <si>
    <t>user-noah-williams</t>
  </si>
  <si>
    <t>user-notification-pipeline</t>
  </si>
  <si>
    <t>notification-pipeline@pipelines.internal</t>
  </si>
  <si>
    <t>Notification Pipeline</t>
  </si>
  <si>
    <t>user-policy-drafting-ai</t>
  </si>
  <si>
    <t>policy-drafting-ai@pipelines.internal</t>
  </si>
  <si>
    <t>Policy Drafting Ai</t>
  </si>
  <si>
    <t>user-priya-raman</t>
  </si>
  <si>
    <t>user-variance-ai</t>
  </si>
  <si>
    <t>variance-ai@pipelines.internal</t>
  </si>
  <si>
    <t>Variance Ai</t>
  </si>
  <si>
    <t>pa-amina-yusuf-communications-manager</t>
  </si>
  <si>
    <t>amina-yusuf currently holds the communications-manager role in the domain model, so may act as its principal.</t>
  </si>
  <si>
    <t>urn:effortless:pko-extension#PrincipalAssignment</t>
  </si>
  <si>
    <t>pa-close-pipeline-close-automation</t>
  </si>
  <si>
    <t>close-pipeline currently holds the close-automation role in the domain model, so may act as its principal.</t>
  </si>
  <si>
    <t>pa-devon-okafor-controller</t>
  </si>
  <si>
    <t>devon-okafor currently holds the controller role in the domain model, so may act as its principal.</t>
  </si>
  <si>
    <t>pa-elena-garcia-hr-policy-owner</t>
  </si>
  <si>
    <t>elena-garcia currently holds the hr-policy-owner role in the domain model, so may act as its principal.</t>
  </si>
  <si>
    <t>pa-elena-garcia-process-steward</t>
  </si>
  <si>
    <t>elena-garcia currently holds the process-steward role in the domain model, so may act as its principal.</t>
  </si>
  <si>
    <t>pa-maria-chen-finance-analyst</t>
  </si>
  <si>
    <t>maria-chen currently holds the finance-analyst role in the domain model, so may act as its principal.</t>
  </si>
  <si>
    <t>pa-noah-williams-employment-counsel</t>
  </si>
  <si>
    <t>noah-williams currently holds the employment-counsel role in the domain model, so may act as its principal.</t>
  </si>
  <si>
    <t>pa-notification-pipeline-notification-publisher</t>
  </si>
  <si>
    <t>notification-pipeline currently holds the notification-publisher role in the domain model, so may act as its principal.</t>
  </si>
  <si>
    <t>pa-policy-drafting-ai-policy-drafting-agent</t>
  </si>
  <si>
    <t>policy-drafting-ai currently holds the policy-drafting-agent role in the domain model, so may act as its principal.</t>
  </si>
  <si>
    <t>pa-priya-raman-cfo</t>
  </si>
  <si>
    <t>priya-raman currently holds the cfo role in the domain model, so may act as its principal.</t>
  </si>
  <si>
    <t>pa-priya-raman-knowledge-authority</t>
  </si>
  <si>
    <t>priya-raman currently holds the knowledge-authority role in the domain model, so may act as its principal.</t>
  </si>
  <si>
    <t>pa-variance-ai-variance-review-agent</t>
  </si>
  <si>
    <t>variance-ai currently holds the variance-review-agent role in the domain model, so may act as its principal.</t>
  </si>
  <si>
    <t>pmr-close-v11-q3</t>
  </si>
  <si>
    <t>ERP General Ledger Audit Log</t>
  </si>
  <si>
    <t>One variant closes a day early with no recorded controller approval; otherwise matches the documented path.</t>
  </si>
  <si>
    <t>pmr-close-v11-cutoff-bypass</t>
  </si>
  <si>
    <t>Ledger entries posted after the documented cutoff step with no recorded reopening approval — a path StepTransitions never modeled.</t>
  </si>
  <si>
    <t>pmr-policy-v1-notify</t>
  </si>
  <si>
    <t>Notification Pipeline Delivery Log</t>
  </si>
  <si>
    <t>pmr-close-v10-archived</t>
  </si>
  <si>
    <t>Heavily drifted, but this version was archived before anyone mined it — nobody executes this path anymore.</t>
  </si>
  <si>
    <t>voc-close-controls</t>
  </si>
  <si>
    <t>Close Control Categories</t>
  </si>
  <si>
    <t>urn:effortless:pko-extension:vocab#close-controls</t>
  </si>
  <si>
    <t>voc-policy-domains</t>
  </si>
  <si>
    <t>Policy Compliance Domains</t>
  </si>
  <si>
    <t>urn:effortless:pko-extension:vocab#policy-domains</t>
  </si>
  <si>
    <t>Cutoff Control</t>
  </si>
  <si>
    <t>posting cutoff, period cutoff</t>
  </si>
  <si>
    <t>A control preventing ledger entries after the period close boundary without an approved reopening.</t>
  </si>
  <si>
    <t>Reconciliation Control</t>
  </si>
  <si>
    <t>account reconciliation, balance control</t>
  </si>
  <si>
    <t>A control requiring a material account to reconcile or carry an approved exception.</t>
  </si>
  <si>
    <t>Segregation of Duties</t>
  </si>
  <si>
    <t>SoD, maker-checker</t>
  </si>
  <si>
    <t>A control requiring the preparer and the final approver of an action to be different agents.</t>
  </si>
  <si>
    <t>Evidence Retention</t>
  </si>
  <si>
    <t>records retention, retention period</t>
  </si>
  <si>
    <t>A requirement that evidence of an action remain retrievable for a fixed retention window.</t>
  </si>
  <si>
    <t>Human Approval Gate</t>
  </si>
  <si>
    <t>human-in-the-loop, human confirmation</t>
  </si>
  <si>
    <t>A control requiring a human, not an automated agent, to confirm an approval.</t>
  </si>
  <si>
    <t>Consent Requirement</t>
  </si>
  <si>
    <t>opt-in, active consent</t>
  </si>
  <si>
    <t>A requirement that a communication only be sent to a recipient with active, recorded consent.</t>
  </si>
  <si>
    <t>Quiet Hours Restriction</t>
  </si>
  <si>
    <t>do-not-disturb window</t>
  </si>
  <si>
    <t>A requirement restricting delivery to a defined local-time window.</t>
  </si>
  <si>
    <t>Opt-Out Requirement</t>
  </si>
  <si>
    <t>unsubscribe language</t>
  </si>
  <si>
    <t>A requirement that a message include approved opt-out language.</t>
  </si>
  <si>
    <t>Accessibility Requirement</t>
  </si>
  <si>
    <t>readable content, alternate contact</t>
  </si>
  <si>
    <t>A requirement that content be readable, accessible, and offer an alternate contact method.</t>
  </si>
  <si>
    <t>Legal Review Gate</t>
  </si>
  <si>
    <t>counsel approval</t>
  </si>
  <si>
    <t>A requirement that employment counsel approve a legal or privacy commitment before it ships.</t>
  </si>
  <si>
    <t>vt-privacy-impact</t>
  </si>
  <si>
    <t>Data Privacy Impact</t>
  </si>
  <si>
    <t>DPIA, privacy impact assessment</t>
  </si>
  <si>
    <t>An assessment of how a change affects personal data handling. Defined, not yet applied to any Requirement.</t>
  </si>
  <si>
    <t>vt-third-party-attestation</t>
  </si>
  <si>
    <t>Third-Party Attestation</t>
  </si>
  <si>
    <t>vendor attestation</t>
  </si>
  <si>
    <t>A requirement that an external vendor attest to a control. Defined, not yet applied to any Requirement.</t>
  </si>
  <si>
    <t>kbl-maria-priya-recon</t>
  </si>
  <si>
    <t>Often</t>
  </si>
  <si>
    <t>kbl-devon-priya-recon</t>
  </si>
  <si>
    <t>Sometimes</t>
  </si>
  <si>
    <t>kbl-elena-priya-sod</t>
  </si>
  <si>
    <t>kbl-amina-jordan-sod</t>
  </si>
  <si>
    <t>kbl-noah-elena-quiet</t>
  </si>
  <si>
    <t>Rarely</t>
  </si>
  <si>
    <t>compile-rulebook</t>
  </si>
  <si>
    <t>/effortless-rulebook</t>
  </si>
  <si>
    <t>Python formula engine (shared with rulebook-to-python)</t>
  </si>
  <si>
    <t>Runs first in the build and rewrites the rulebook in place: every calculated, lookup and aggregation value is computed across all tables to a fixed point and upserted into the rows. Those stored values become the answer keys. It is not graded against itself; when another substrate disagrees, either side can be the one that is wrong.</t>
  </si>
  <si>
    <t>answer-key</t>
  </si>
  <si>
    <t>effortless-postgres</t>
  </si>
  <si>
    <t>PostgreSQL</t>
  </si>
  <si>
    <t>rulebook-to-postgres</t>
  </si>
  <si>
    <t>/postgres-bootstrap</t>
  </si>
  <si>
    <t>PostgreSQL views and calc_* SQL functions</t>
  </si>
  <si>
    <t>rulebook-to-postgres emits a table, a set of calc_* functions and a vw_&lt;entity&gt; view per table. The database is reset from the rulebook, and the harness reads SELECT * from every view.</t>
  </si>
  <si>
    <t>graded</t>
  </si>
  <si>
    <t>effortless-python</t>
  </si>
  <si>
    <t>Python</t>
  </si>
  <si>
    <t>rulebook-to-python</t>
  </si>
  <si>
    <t>/effortless-python</t>
  </si>
  <si>
    <t>CPython</t>
  </si>
  <si>
    <t>rulebook-to-python emits an SDK with one computed property per derived field. The harness loads the blank test rows (raw fields only) and asks the SDK for every derived value.</t>
  </si>
  <si>
    <t>effortless-golang</t>
  </si>
  <si>
    <t>Go</t>
  </si>
  <si>
    <t>rulebook-to-go</t>
  </si>
  <si>
    <t>/effortless-golang</t>
  </si>
  <si>
    <t>Go toolchain (compiled)</t>
  </si>
  <si>
    <t>rulebook-to-go emits a Go module. The harness compiles it with go build, runs it over the blank test rows, and reads back every derived value.</t>
  </si>
  <si>
    <t>effortless-typescript</t>
  </si>
  <si>
    <t>TypeScript</t>
  </si>
  <si>
    <t>rulebook-to-typescript</t>
  </si>
  <si>
    <t>/effortless-typescript</t>
  </si>
  <si>
    <t>Node.js running tsc output</t>
  </si>
  <si>
    <t>rulebook-to-typescript emits a typed SDK. The harness compiles it with tsc and runs it on Node over the blank test rows.</t>
  </si>
  <si>
    <t>effortless-entity-framework</t>
  </si>
  <si>
    <t>C# / Entity Framework</t>
  </si>
  <si>
    <t>rulebook-to-entity-framework</t>
  </si>
  <si>
    <t>/effortless-entity-framework</t>
  </si>
  <si>
    <t>.NET (C# Formula* properties)</t>
  </si>
  <si>
    <t>rulebook-to-entity-framework emits C# data classes whose Formula* properties compute derived fields. The harness compiles them with EF Core into a runner, loads the blank test rows into the generated context over a throwaway SQLite database, and reads every computed property back per row.</t>
  </si>
  <si>
    <t>effortless-xlsx</t>
  </si>
  <si>
    <t>Excel</t>
  </si>
  <si>
    <t>rulebook-to-xlsx</t>
  </si>
  <si>
    <t>/effortless-xlsx</t>
  </si>
  <si>
    <t>Spreadsheet formulas (cached values read with openpyxl)</t>
  </si>
  <si>
    <t>rulebook-to-xlsx compiles every formula into a real Excel formula over cells in the same workbook. The harness reads the workbook's cached values, after a LibreOffice recalc when LibreOffice is installed; a value that was never calculated reads as blank.</t>
  </si>
  <si>
    <t>effortless-owl</t>
  </si>
  <si>
    <t>OWL / SHACL</t>
  </si>
  <si>
    <t>rulebook-to-owl</t>
  </si>
  <si>
    <t>/effortless-owl</t>
  </si>
  <si>
    <t>SPARQL 1.1 (pyoxigraph) executing SHACL-AF rules</t>
  </si>
  <si>
    <t>rulebook-to-owl emits an ontology, an ABox of individuals carrying raw fields only, and one SHACL-AF SPARQL rule per derived field. The harness executes the rules in dependency order and reads the inferred triples back.</t>
  </si>
  <si>
    <t>run-20260913-165336</t>
  </si>
  <si>
    <t>4960f638</t>
  </si>
  <si>
    <t>First recorded run: all a1 tools installed; EF runner rebuilt for EF Core output; OWL rules dependency-ordered.</t>
  </si>
  <si>
    <t>run-20260913-203118</t>
  </si>
  <si>
    <t>4717a575</t>
  </si>
  <si>
    <t>Loop 4: closure over StepTransitions (cyclic step graph); rulebook-to-postgres closure view now emits (x, x) for steps on a cycle; rulebook-to-owl accepts the self-reach COUNTIFS pair. Postgres/Python/Go/TypeScript/OWL agree on all new cells; EF and xlsx have no closure engine.</t>
  </si>
  <si>
    <t>run-20260914-083430</t>
  </si>
  <si>
    <t>6b0287f8</t>
  </si>
  <si>
    <t>ERB build parameters: every substrate built under erbDateDiff=calendar, erbTimezone=UTC, erbDateTimeText=iso8601, erbBlankLogic=coerce, erbWholeNumber=by-field-type; Postgres/Python/Go/TypeScript at 100%, EF 99.93 (closure views), xlsx 99.82, OWL 97.15</t>
  </si>
  <si>
    <t>run-20260914-223223</t>
  </si>
  <si>
    <t>c377d831</t>
  </si>
  <si>
    <t>Plain build against the published tools (all eight at v2026.09.14.*), no local overrides; first run after the ERB build parameters and the EdgeFilterColumn closure shipped</t>
  </si>
  <si>
    <t>run-20260913-165336|effortless-postgres</t>
  </si>
  <si>
    <t>run-20260913-165336|effortless-xlsx</t>
  </si>
  <si>
    <t>run-20260913-165336|effortless-entity-framework</t>
  </si>
  <si>
    <t>run-20260913-165336|effortless-golang</t>
  </si>
  <si>
    <t>run-20260913-165336|effortless-owl</t>
  </si>
  <si>
    <t>run-20260913-165336|effortless-python</t>
  </si>
  <si>
    <t>run-20260913-165336|effortless-typescript</t>
  </si>
  <si>
    <t>run-20260913-203118|effortless-postgres</t>
  </si>
  <si>
    <t>run-20260913-203118|effortless-xlsx</t>
  </si>
  <si>
    <t>run-20260913-203118|effortless-entity-framework</t>
  </si>
  <si>
    <t>run-20260913-203118|effortless-golang</t>
  </si>
  <si>
    <t>run-20260913-203118|effortless-owl</t>
  </si>
  <si>
    <t>run-20260913-203118|effortless-python</t>
  </si>
  <si>
    <t>run-20260913-203118|effortless-typescript</t>
  </si>
  <si>
    <t>run-20260914-083430|effortless-postgres</t>
  </si>
  <si>
    <t>run-20260914-083430|effortless-xlsx</t>
  </si>
  <si>
    <t>run-20260914-083430|effortless-entity-framework</t>
  </si>
  <si>
    <t>run-20260914-083430|effortless-golang</t>
  </si>
  <si>
    <t>run-20260914-083430|effortless-owl</t>
  </si>
  <si>
    <t>run-20260914-083430|effortless-python</t>
  </si>
  <si>
    <t>run-20260914-083430|effortless-typescript</t>
  </si>
  <si>
    <t>run-20260914-223223|effortless-postgres</t>
  </si>
  <si>
    <t>run-20260914-223223|effortless-xlsx</t>
  </si>
  <si>
    <t>run-20260914-223223|effortless-entity-framework</t>
  </si>
  <si>
    <t>run-20260914-223223|effortless-golang</t>
  </si>
  <si>
    <t>run-20260914-223223|effortless-owl</t>
  </si>
  <si>
    <t>run-20260914-223223|effortless-python</t>
  </si>
  <si>
    <t>run-20260914-223223|effortless-typescript</t>
  </si>
  <si>
    <t>effortless-postgres|RulebookReleases</t>
  </si>
  <si>
    <t>effortless-postgres|OntologyProfiles</t>
  </si>
  <si>
    <t>effortless-postgres|EvaluationContexts</t>
  </si>
  <si>
    <t>effortless-postgres|Organizations</t>
  </si>
  <si>
    <t>effortless-postgres|Agents</t>
  </si>
  <si>
    <t>effortless-postgres|Roles</t>
  </si>
  <si>
    <t>effortless-postgres|RoleAssignments</t>
  </si>
  <si>
    <t>effortless-postgres|CommunitiesOfPractice</t>
  </si>
  <si>
    <t>effortless-postgres|Mentorships</t>
  </si>
  <si>
    <t>effortless-postgres|ProcedureTypes</t>
  </si>
  <si>
    <t>effortless-postgres|Procedures</t>
  </si>
  <si>
    <t>effortless-postgres|ProcedureVersions</t>
  </si>
  <si>
    <t>effortless-postgres|ProcedureVersionLinks</t>
  </si>
  <si>
    <t>effortless-postgres|ProcedureStatusChanges</t>
  </si>
  <si>
    <t>effortless-postgres|Steps</t>
  </si>
  <si>
    <t>effortless-postgres|StepTransitions</t>
  </si>
  <si>
    <t>effortless-postgres|Actions</t>
  </si>
  <si>
    <t>effortless-postgres|Functions</t>
  </si>
  <si>
    <t>effortless-postgres|Tools</t>
  </si>
  <si>
    <t>effortless-postgres|StepActions</t>
  </si>
  <si>
    <t>effortless-postgres|StepFunctions</t>
  </si>
  <si>
    <t>effortless-postgres|StepTools</t>
  </si>
  <si>
    <t>effortless-postgres|Requirements</t>
  </si>
  <si>
    <t>effortless-postgres|StepRequirements</t>
  </si>
  <si>
    <t>effortless-postgres|StepVerifications</t>
  </si>
  <si>
    <t>effortless-postgres|Rationales</t>
  </si>
  <si>
    <t>effortless-postgres|Exceptions</t>
  </si>
  <si>
    <t>effortless-postgres|Resources</t>
  </si>
  <si>
    <t>effortless-postgres|ProcedureResources</t>
  </si>
  <si>
    <t>effortless-postgres|ElicitationSessions</t>
  </si>
  <si>
    <t>effortless-postgres|KnowledgeFragments</t>
  </si>
  <si>
    <t>effortless-postgres|KnowledgeGaps</t>
  </si>
  <si>
    <t>effortless-postgres|FAQs</t>
  </si>
  <si>
    <t>effortless-postgres|Explanations</t>
  </si>
  <si>
    <t>effortless-postgres|ProcedureExecutions</t>
  </si>
  <si>
    <t>effortless-postgres|StepExecutions</t>
  </si>
  <si>
    <t>effortless-postgres|RequirementSatisfactions</t>
  </si>
  <si>
    <t>effortless-postgres|Errors</t>
  </si>
  <si>
    <t>effortless-postgres|IssueOccurrences</t>
  </si>
  <si>
    <t>effortless-postgres|UserQuestions</t>
  </si>
  <si>
    <t>effortless-postgres|UserFeedback</t>
  </si>
  <si>
    <t>effortless-postgres|StewardshipAssignments</t>
  </si>
  <si>
    <t>effortless-postgres|ChangeRequests</t>
  </si>
  <si>
    <t>effortless-postgres|ReviewEvents</t>
  </si>
  <si>
    <t>effortless-postgres|LearningActivities</t>
  </si>
  <si>
    <t>effortless-postgres|OperationalBindings</t>
  </si>
  <si>
    <t>effortless-postgres|CommunicationPolicies</t>
  </si>
  <si>
    <t>effortless-postgres|MessageTemplates</t>
  </si>
  <si>
    <t>effortless-postgres|SemanticMappings</t>
  </si>
  <si>
    <t>effortless-postgres|WitnessLoops</t>
  </si>
  <si>
    <t>effortless-postgres|RoleQuestions</t>
  </si>
  <si>
    <t>effortless-postgres|RulebookFields</t>
  </si>
  <si>
    <t>effortless-postgres|TestSuites</t>
  </si>
  <si>
    <t>effortless-postgres|TestCases</t>
  </si>
  <si>
    <t>effortless-postgres|ExceptionInvocations</t>
  </si>
  <si>
    <t>effortless-postgres|VerificationOutcomes</t>
  </si>
  <si>
    <t>effortless-postgres|ObservedTransitions</t>
  </si>
  <si>
    <t>effortless-postgres|Recipients</t>
  </si>
  <si>
    <t>effortless-postgres|MessageDeliveries</t>
  </si>
  <si>
    <t>effortless-postgres|TemplateApprovals</t>
  </si>
  <si>
    <t>effortless-postgres|SendIntents</t>
  </si>
  <si>
    <t>effortless-postgres|AgentDecisionRecords</t>
  </si>
  <si>
    <t>effortless-postgres|DeliveredCommunications</t>
  </si>
  <si>
    <t>effortless-postgres|AuthorityBoundaries</t>
  </si>
  <si>
    <t>effortless-postgres|AppRoleProfiles</t>
  </si>
  <si>
    <t>effortless-postgres|AppNavGroups</t>
  </si>
  <si>
    <t>effortless-postgres|AppRoutes</t>
  </si>
  <si>
    <t>effortless-postgres|AppRouteQuestions</t>
  </si>
  <si>
    <t>effortless-postgres|AppRouteReferences</t>
  </si>
  <si>
    <t>effortless-postgres|RulebookTables</t>
  </si>
  <si>
    <t>effortless-postgres|AccessPrincipals</t>
  </si>
  <si>
    <t>effortless-postgres|AccessPolicies</t>
  </si>
  <si>
    <t>effortless-postgres|FieldGrants</t>
  </si>
  <si>
    <t>effortless-postgres|RoleSchemas</t>
  </si>
  <si>
    <t>effortless-postgres|RoleSchemaViews</t>
  </si>
  <si>
    <t>effortless-postgres|JwtClaimMappings</t>
  </si>
  <si>
    <t>effortless-postgres|AccessDenialTests</t>
  </si>
  <si>
    <t>effortless-postgres|AppUsers</t>
  </si>
  <si>
    <t>effortless-postgres|PrincipalAssignments</t>
  </si>
  <si>
    <t>effortless-postgres|ProcessMiningRuns</t>
  </si>
  <si>
    <t>effortless-postgres|Vocabularies</t>
  </si>
  <si>
    <t>effortless-postgres|VocabularyTerms</t>
  </si>
  <si>
    <t>effortless-postgres|KnowledgeBrokerLinks</t>
  </si>
  <si>
    <t>effortless-postgres|ConformanceSubstrates</t>
  </si>
  <si>
    <t>effortless-postgres|ConformanceRuns</t>
  </si>
  <si>
    <t>effortless-postgres|SubstrateRunScores</t>
  </si>
  <si>
    <t>effortless-postgres|TableConformance</t>
  </si>
  <si>
    <t>effortless-postgres|FieldDisagreements</t>
  </si>
  <si>
    <t>effortless-postgres|CellDisagreements</t>
  </si>
  <si>
    <t>effortless-xlsx|RulebookReleases</t>
  </si>
  <si>
    <t>effortless-xlsx|OntologyProfiles</t>
  </si>
  <si>
    <t>effortless-xlsx|EvaluationContexts</t>
  </si>
  <si>
    <t>effortless-xlsx|Organizations</t>
  </si>
  <si>
    <t>effortless-xlsx|Agents</t>
  </si>
  <si>
    <t>effortless-xlsx|Roles</t>
  </si>
  <si>
    <t>effortless-xlsx|RoleAssignments</t>
  </si>
  <si>
    <t>effortless-xlsx|CommunitiesOfPractice</t>
  </si>
  <si>
    <t>effortless-xlsx|Mentorships</t>
  </si>
  <si>
    <t>effortless-xlsx|ProcedureTypes</t>
  </si>
  <si>
    <t>effortless-xlsx|Procedures</t>
  </si>
  <si>
    <t>effortless-xlsx|ProcedureVersions</t>
  </si>
  <si>
    <t>effortless-xlsx|ProcedureVersionLinks</t>
  </si>
  <si>
    <t>effortless-xlsx|ProcedureStatusChanges</t>
  </si>
  <si>
    <t>effortless-xlsx|Steps</t>
  </si>
  <si>
    <t>effortless-xlsx|StepTransitions</t>
  </si>
  <si>
    <t>effortless-xlsx|Actions</t>
  </si>
  <si>
    <t>effortless-xlsx|Functions</t>
  </si>
  <si>
    <t>effortless-xlsx|Tools</t>
  </si>
  <si>
    <t>effortless-xlsx|StepActions</t>
  </si>
  <si>
    <t>effortless-xlsx|StepFunctions</t>
  </si>
  <si>
    <t>effortless-xlsx|StepTools</t>
  </si>
  <si>
    <t>effortless-xlsx|Requirements</t>
  </si>
  <si>
    <t>effortless-xlsx|StepRequirements</t>
  </si>
  <si>
    <t>effortless-xlsx|StepVerifications</t>
  </si>
  <si>
    <t>effortless-xlsx|Rationales</t>
  </si>
  <si>
    <t>effortless-xlsx|Exceptions</t>
  </si>
  <si>
    <t>effortless-xlsx|Resources</t>
  </si>
  <si>
    <t>effortless-xlsx|ProcedureResources</t>
  </si>
  <si>
    <t>effortless-xlsx|ElicitationSessions</t>
  </si>
  <si>
    <t>effortless-xlsx|KnowledgeFragments</t>
  </si>
  <si>
    <t>effortless-xlsx|KnowledgeGaps</t>
  </si>
  <si>
    <t>effortless-xlsx|FAQs</t>
  </si>
  <si>
    <t>effortless-xlsx|Explanations</t>
  </si>
  <si>
    <t>effortless-xlsx|ProcedureExecutions</t>
  </si>
  <si>
    <t>effortless-xlsx|StepExecutions</t>
  </si>
  <si>
    <t>effortless-xlsx|RequirementSatisfactions</t>
  </si>
  <si>
    <t>effortless-xlsx|Errors</t>
  </si>
  <si>
    <t>effortless-xlsx|IssueOccurrences</t>
  </si>
  <si>
    <t>effortless-xlsx|UserQuestions</t>
  </si>
  <si>
    <t>effortless-xlsx|UserFeedback</t>
  </si>
  <si>
    <t>effortless-xlsx|StewardshipAssignments</t>
  </si>
  <si>
    <t>effortless-xlsx|ChangeRequests</t>
  </si>
  <si>
    <t>effortless-xlsx|ReviewEvents</t>
  </si>
  <si>
    <t>effortless-xlsx|LearningActivities</t>
  </si>
  <si>
    <t>effortless-xlsx|OperationalBindings</t>
  </si>
  <si>
    <t>effortless-xlsx|CommunicationPolicies</t>
  </si>
  <si>
    <t>effortless-xlsx|MessageTemplates</t>
  </si>
  <si>
    <t>effortless-xlsx|SemanticMappings</t>
  </si>
  <si>
    <t>effortless-xlsx|WitnessLoops</t>
  </si>
  <si>
    <t>effortless-xlsx|RoleQuestions</t>
  </si>
  <si>
    <t>effortless-xlsx|RulebookFields</t>
  </si>
  <si>
    <t>effortless-xlsx|TestSuites</t>
  </si>
  <si>
    <t>effortless-xlsx|TestCases</t>
  </si>
  <si>
    <t>effortless-xlsx|ExceptionInvocations</t>
  </si>
  <si>
    <t>effortless-xlsx|VerificationOutcomes</t>
  </si>
  <si>
    <t>effortless-xlsx|ObservedTransitions</t>
  </si>
  <si>
    <t>effortless-xlsx|Recipients</t>
  </si>
  <si>
    <t>effortless-xlsx|MessageDeliveries</t>
  </si>
  <si>
    <t>effortless-xlsx|TemplateApprovals</t>
  </si>
  <si>
    <t>effortless-xlsx|SendIntents</t>
  </si>
  <si>
    <t>effortless-xlsx|AgentDecisionRecords</t>
  </si>
  <si>
    <t>effortless-xlsx|DeliveredCommunications</t>
  </si>
  <si>
    <t>effortless-xlsx|AuthorityBoundaries</t>
  </si>
  <si>
    <t>effortless-xlsx|AppRoleProfiles</t>
  </si>
  <si>
    <t>effortless-xlsx|AppNavGroups</t>
  </si>
  <si>
    <t>effortless-xlsx|AppRoutes</t>
  </si>
  <si>
    <t>effortless-xlsx|AppRouteQuestions</t>
  </si>
  <si>
    <t>effortless-xlsx|AppRouteReferences</t>
  </si>
  <si>
    <t>effortless-xlsx|RulebookTables</t>
  </si>
  <si>
    <t>effortless-xlsx|AccessPrincipals</t>
  </si>
  <si>
    <t>effortless-xlsx|AccessPolicies</t>
  </si>
  <si>
    <t>effortless-xlsx|FieldGrants</t>
  </si>
  <si>
    <t>effortless-xlsx|RoleSchemas</t>
  </si>
  <si>
    <t>effortless-xlsx|RoleSchemaViews</t>
  </si>
  <si>
    <t>effortless-xlsx|JwtClaimMappings</t>
  </si>
  <si>
    <t>effortless-xlsx|AccessDenialTests</t>
  </si>
  <si>
    <t>effortless-xlsx|AppUsers</t>
  </si>
  <si>
    <t>effortless-xlsx|PrincipalAssignments</t>
  </si>
  <si>
    <t>effortless-xlsx|ProcessMiningRuns</t>
  </si>
  <si>
    <t>effortless-xlsx|Vocabularies</t>
  </si>
  <si>
    <t>effortless-xlsx|VocabularyTerms</t>
  </si>
  <si>
    <t>effortless-xlsx|KnowledgeBrokerLinks</t>
  </si>
  <si>
    <t>effortless-xlsx|ConformanceSubstrates</t>
  </si>
  <si>
    <t>effortless-xlsx|ConformanceRuns</t>
  </si>
  <si>
    <t>effortless-xlsx|SubstrateRunScores</t>
  </si>
  <si>
    <t>effortless-xlsx|TableConformance</t>
  </si>
  <si>
    <t>effortless-xlsx|FieldDisagreements</t>
  </si>
  <si>
    <t>effortless-xlsx|CellDisagreements</t>
  </si>
  <si>
    <t>effortless-entity-framework|RulebookReleases</t>
  </si>
  <si>
    <t>effortless-entity-framework|OntologyProfiles</t>
  </si>
  <si>
    <t>effortless-entity-framework|EvaluationContexts</t>
  </si>
  <si>
    <t>effortless-entity-framework|Organizations</t>
  </si>
  <si>
    <t>effortless-entity-framework|Agents</t>
  </si>
  <si>
    <t>effortless-entity-framework|Roles</t>
  </si>
  <si>
    <t>effortless-entity-framework|RoleAssignments</t>
  </si>
  <si>
    <t>effortless-entity-framework|CommunitiesOfPractice</t>
  </si>
  <si>
    <t>effortless-entity-framework|Mentorships</t>
  </si>
  <si>
    <t>effortless-entity-framework|ProcedureTypes</t>
  </si>
  <si>
    <t>effortless-entity-framework|Procedures</t>
  </si>
  <si>
    <t>effortless-entity-framework|ProcedureVersions</t>
  </si>
  <si>
    <t>effortless-entity-framework|ProcedureVersionLinks</t>
  </si>
  <si>
    <t>effortless-entity-framework|ProcedureStatusChanges</t>
  </si>
  <si>
    <t>effortless-entity-framework|Steps</t>
  </si>
  <si>
    <t>effortless-entity-framework|StepTransitions</t>
  </si>
  <si>
    <t>effortless-entity-framework|Actions</t>
  </si>
  <si>
    <t>effortless-entity-framework|Functions</t>
  </si>
  <si>
    <t>effortless-entity-framework|Tools</t>
  </si>
  <si>
    <t>effortless-entity-framework|StepActions</t>
  </si>
  <si>
    <t>effortless-entity-framework|StepFunctions</t>
  </si>
  <si>
    <t>effortless-entity-framework|StepTools</t>
  </si>
  <si>
    <t>effortless-entity-framework|Requirements</t>
  </si>
  <si>
    <t>effortless-entity-framework|StepRequirements</t>
  </si>
  <si>
    <t>effortless-entity-framework|StepVerifications</t>
  </si>
  <si>
    <t>effortless-entity-framework|Rationales</t>
  </si>
  <si>
    <t>effortless-entity-framework|Exceptions</t>
  </si>
  <si>
    <t>effortless-entity-framework|Resources</t>
  </si>
  <si>
    <t>effortless-entity-framework|ProcedureResources</t>
  </si>
  <si>
    <t>effortless-entity-framework|ElicitationSessions</t>
  </si>
  <si>
    <t>effortless-entity-framework|KnowledgeFragments</t>
  </si>
  <si>
    <t>effortless-entity-framework|KnowledgeGaps</t>
  </si>
  <si>
    <t>effortless-entity-framework|FAQs</t>
  </si>
  <si>
    <t>effortless-entity-framework|Explanations</t>
  </si>
  <si>
    <t>effortless-entity-framework|ProcedureExecutions</t>
  </si>
  <si>
    <t>effortless-entity-framework|StepExecutions</t>
  </si>
  <si>
    <t>effortless-entity-framework|RequirementSatisfactions</t>
  </si>
  <si>
    <t>effortless-entity-framework|Errors</t>
  </si>
  <si>
    <t>effortless-entity-framework|IssueOccurrences</t>
  </si>
  <si>
    <t>effortless-entity-framework|UserQuestions</t>
  </si>
  <si>
    <t>effortless-entity-framework|UserFeedback</t>
  </si>
  <si>
    <t>effortless-entity-framework|StewardshipAssignments</t>
  </si>
  <si>
    <t>effortless-entity-framework|ChangeRequests</t>
  </si>
  <si>
    <t>effortless-entity-framework|ReviewEvents</t>
  </si>
  <si>
    <t>effortless-entity-framework|LearningActivities</t>
  </si>
  <si>
    <t>effortless-entity-framework|OperationalBindings</t>
  </si>
  <si>
    <t>effortless-entity-framework|CommunicationPolicies</t>
  </si>
  <si>
    <t>effortless-entity-framework|MessageTemplates</t>
  </si>
  <si>
    <t>effortless-entity-framework|SemanticMappings</t>
  </si>
  <si>
    <t>effortless-entity-framework|WitnessLoops</t>
  </si>
  <si>
    <t>effortless-entity-framework|RoleQuestions</t>
  </si>
  <si>
    <t>effortless-entity-framework|RulebookFields</t>
  </si>
  <si>
    <t>effortless-entity-framework|TestSuites</t>
  </si>
  <si>
    <t>effortless-entity-framework|TestCases</t>
  </si>
  <si>
    <t>effortless-entity-framework|ExceptionInvocations</t>
  </si>
  <si>
    <t>effortless-entity-framework|VerificationOutcomes</t>
  </si>
  <si>
    <t>effortless-entity-framework|ObservedTransitions</t>
  </si>
  <si>
    <t>effortless-entity-framework|Recipients</t>
  </si>
  <si>
    <t>effortless-entity-framework|MessageDeliveries</t>
  </si>
  <si>
    <t>effortless-entity-framework|TemplateApprovals</t>
  </si>
  <si>
    <t>effortless-entity-framework|SendIntents</t>
  </si>
  <si>
    <t>effortless-entity-framework|AgentDecisionRecords</t>
  </si>
  <si>
    <t>effortless-entity-framework|DeliveredCommunications</t>
  </si>
  <si>
    <t>effortless-entity-framework|AuthorityBoundaries</t>
  </si>
  <si>
    <t>effortless-entity-framework|AppRoleProfiles</t>
  </si>
  <si>
    <t>effortless-entity-framework|AppNavGroups</t>
  </si>
  <si>
    <t>effortless-entity-framework|AppRoutes</t>
  </si>
  <si>
    <t>effortless-entity-framework|AppRouteQuestions</t>
  </si>
  <si>
    <t>effortless-entity-framework|AppRouteReferences</t>
  </si>
  <si>
    <t>effortless-entity-framework|RulebookTables</t>
  </si>
  <si>
    <t>effortless-entity-framework|AccessPrincipals</t>
  </si>
  <si>
    <t>effortless-entity-framework|AccessPolicies</t>
  </si>
  <si>
    <t>effortless-entity-framework|FieldGrants</t>
  </si>
  <si>
    <t>effortless-entity-framework|RoleSchemas</t>
  </si>
  <si>
    <t>effortless-entity-framework|RoleSchemaViews</t>
  </si>
  <si>
    <t>effortless-entity-framework|JwtClaimMappings</t>
  </si>
  <si>
    <t>effortless-entity-framework|AccessDenialTests</t>
  </si>
  <si>
    <t>effortless-entity-framework|AppUsers</t>
  </si>
  <si>
    <t>effortless-entity-framework|PrincipalAssignments</t>
  </si>
  <si>
    <t>effortless-entity-framework|ProcessMiningRuns</t>
  </si>
  <si>
    <t>effortless-entity-framework|Vocabularies</t>
  </si>
  <si>
    <t>effortless-entity-framework|VocabularyTerms</t>
  </si>
  <si>
    <t>effortless-entity-framework|KnowledgeBrokerLinks</t>
  </si>
  <si>
    <t>effortless-entity-framework|ConformanceSubstrates</t>
  </si>
  <si>
    <t>effortless-entity-framework|ConformanceRuns</t>
  </si>
  <si>
    <t>effortless-entity-framework|SubstrateRunScores</t>
  </si>
  <si>
    <t>effortless-entity-framework|TableConformance</t>
  </si>
  <si>
    <t>effortless-entity-framework|FieldDisagreements</t>
  </si>
  <si>
    <t>effortless-entity-framework|CellDisagreements</t>
  </si>
  <si>
    <t>effortless-golang|RulebookReleases</t>
  </si>
  <si>
    <t>effortless-golang|OntologyProfiles</t>
  </si>
  <si>
    <t>effortless-golang|EvaluationContexts</t>
  </si>
  <si>
    <t>effortless-golang|Organizations</t>
  </si>
  <si>
    <t>effortless-golang|Agents</t>
  </si>
  <si>
    <t>effortless-golang|Roles</t>
  </si>
  <si>
    <t>effortless-golang|RoleAssignments</t>
  </si>
  <si>
    <t>effortless-golang|CommunitiesOfPractice</t>
  </si>
  <si>
    <t>effortless-golang|Mentorships</t>
  </si>
  <si>
    <t>effortless-golang|ProcedureTypes</t>
  </si>
  <si>
    <t>effortless-golang|Procedures</t>
  </si>
  <si>
    <t>effortless-golang|ProcedureVersions</t>
  </si>
  <si>
    <t>effortless-golang|ProcedureVersionLinks</t>
  </si>
  <si>
    <t>effortless-golang|ProcedureStatusChanges</t>
  </si>
  <si>
    <t>effortless-golang|Steps</t>
  </si>
  <si>
    <t>effortless-golang|StepTransitions</t>
  </si>
  <si>
    <t>effortless-golang|Actions</t>
  </si>
  <si>
    <t>effortless-golang|Functions</t>
  </si>
  <si>
    <t>effortless-golang|Tools</t>
  </si>
  <si>
    <t>effortless-golang|StepActions</t>
  </si>
  <si>
    <t>effortless-golang|StepFunctions</t>
  </si>
  <si>
    <t>effortless-golang|StepTools</t>
  </si>
  <si>
    <t>effortless-golang|Requirements</t>
  </si>
  <si>
    <t>effortless-golang|StepRequirements</t>
  </si>
  <si>
    <t>effortless-golang|StepVerifications</t>
  </si>
  <si>
    <t>effortless-golang|Rationales</t>
  </si>
  <si>
    <t>effortless-golang|Exceptions</t>
  </si>
  <si>
    <t>effortless-golang|Resources</t>
  </si>
  <si>
    <t>effortless-golang|ProcedureResources</t>
  </si>
  <si>
    <t>effortless-golang|ElicitationSessions</t>
  </si>
  <si>
    <t>effortless-golang|KnowledgeFragments</t>
  </si>
  <si>
    <t>effortless-golang|KnowledgeGaps</t>
  </si>
  <si>
    <t>effortless-golang|FAQs</t>
  </si>
  <si>
    <t>effortless-golang|Explanations</t>
  </si>
  <si>
    <t>effortless-golang|ProcedureExecutions</t>
  </si>
  <si>
    <t>effortless-golang|StepExecutions</t>
  </si>
  <si>
    <t>effortless-golang|RequirementSatisfactions</t>
  </si>
  <si>
    <t>effortless-golang|Errors</t>
  </si>
  <si>
    <t>effortless-golang|IssueOccurrences</t>
  </si>
  <si>
    <t>effortless-golang|UserQuestions</t>
  </si>
  <si>
    <t>effortless-golang|UserFeedback</t>
  </si>
  <si>
    <t>effortless-golang|StewardshipAssignments</t>
  </si>
  <si>
    <t>effortless-golang|ChangeRequests</t>
  </si>
  <si>
    <t>effortless-golang|ReviewEvents</t>
  </si>
  <si>
    <t>effortless-golang|LearningActivities</t>
  </si>
  <si>
    <t>effortless-golang|OperationalBindings</t>
  </si>
  <si>
    <t>effortless-golang|CommunicationPolicies</t>
  </si>
  <si>
    <t>effortless-golang|MessageTemplates</t>
  </si>
  <si>
    <t>effortless-golang|SemanticMappings</t>
  </si>
  <si>
    <t>effortless-golang|WitnessLoops</t>
  </si>
  <si>
    <t>effortless-golang|RoleQuestions</t>
  </si>
  <si>
    <t>effortless-golang|RulebookFields</t>
  </si>
  <si>
    <t>effortless-golang|TestSuites</t>
  </si>
  <si>
    <t>effortless-golang|TestCases</t>
  </si>
  <si>
    <t>effortless-golang|ExceptionInvocations</t>
  </si>
  <si>
    <t>effortless-golang|VerificationOutcomes</t>
  </si>
  <si>
    <t>effortless-golang|ObservedTransitions</t>
  </si>
  <si>
    <t>effortless-golang|Recipients</t>
  </si>
  <si>
    <t>effortless-golang|MessageDeliveries</t>
  </si>
  <si>
    <t>effortless-golang|TemplateApprovals</t>
  </si>
  <si>
    <t>effortless-golang|SendIntents</t>
  </si>
  <si>
    <t>effortless-golang|AgentDecisionRecords</t>
  </si>
  <si>
    <t>effortless-golang|DeliveredCommunications</t>
  </si>
  <si>
    <t>effortless-golang|AuthorityBoundaries</t>
  </si>
  <si>
    <t>effortless-golang|AppRoleProfiles</t>
  </si>
  <si>
    <t>effortless-golang|AppNavGroups</t>
  </si>
  <si>
    <t>effortless-golang|AppRoutes</t>
  </si>
  <si>
    <t>effortless-golang|AppRouteQuestions</t>
  </si>
  <si>
    <t>effortless-golang|AppRouteReferences</t>
  </si>
  <si>
    <t>effortless-golang|RulebookTables</t>
  </si>
  <si>
    <t>effortless-golang|AccessPrincipals</t>
  </si>
  <si>
    <t>effortless-golang|AccessPolicies</t>
  </si>
  <si>
    <t>effortless-golang|FieldGrants</t>
  </si>
  <si>
    <t>effortless-golang|RoleSchemas</t>
  </si>
  <si>
    <t>effortless-golang|RoleSchemaViews</t>
  </si>
  <si>
    <t>effortless-golang|JwtClaimMappings</t>
  </si>
  <si>
    <t>effortless-golang|AccessDenialTests</t>
  </si>
  <si>
    <t>effortless-golang|AppUsers</t>
  </si>
  <si>
    <t>effortless-golang|PrincipalAssignments</t>
  </si>
  <si>
    <t>effortless-golang|ProcessMiningRuns</t>
  </si>
  <si>
    <t>effortless-golang|Vocabularies</t>
  </si>
  <si>
    <t>effortless-golang|VocabularyTerms</t>
  </si>
  <si>
    <t>effortless-golang|KnowledgeBrokerLinks</t>
  </si>
  <si>
    <t>effortless-golang|ConformanceSubstrates</t>
  </si>
  <si>
    <t>effortless-golang|ConformanceRuns</t>
  </si>
  <si>
    <t>effortless-golang|SubstrateRunScores</t>
  </si>
  <si>
    <t>effortless-golang|TableConformance</t>
  </si>
  <si>
    <t>effortless-golang|FieldDisagreements</t>
  </si>
  <si>
    <t>effortless-golang|CellDisagreements</t>
  </si>
  <si>
    <t>effortless-owl|RulebookReleases</t>
  </si>
  <si>
    <t>effortless-owl|OntologyProfiles</t>
  </si>
  <si>
    <t>effortless-owl|EvaluationContexts</t>
  </si>
  <si>
    <t>effortless-owl|Organizations</t>
  </si>
  <si>
    <t>effortless-owl|Agents</t>
  </si>
  <si>
    <t>effortless-owl|Roles</t>
  </si>
  <si>
    <t>effortless-owl|RoleAssignments</t>
  </si>
  <si>
    <t>effortless-owl|CommunitiesOfPractice</t>
  </si>
  <si>
    <t>effortless-owl|Mentorships</t>
  </si>
  <si>
    <t>effortless-owl|ProcedureTypes</t>
  </si>
  <si>
    <t>effortless-owl|Procedures</t>
  </si>
  <si>
    <t>effortless-owl|ProcedureVersions</t>
  </si>
  <si>
    <t>effortless-owl|ProcedureVersionLinks</t>
  </si>
  <si>
    <t>effortless-owl|ProcedureStatusChanges</t>
  </si>
  <si>
    <t>effortless-owl|Steps</t>
  </si>
  <si>
    <t>effortless-owl|StepTransitions</t>
  </si>
  <si>
    <t>effortless-owl|Actions</t>
  </si>
  <si>
    <t>effortless-owl|Functions</t>
  </si>
  <si>
    <t>effortless-owl|Tools</t>
  </si>
  <si>
    <t>effortless-owl|StepActions</t>
  </si>
  <si>
    <t>effortless-owl|StepFunctions</t>
  </si>
  <si>
    <t>effortless-owl|StepTools</t>
  </si>
  <si>
    <t>effortless-owl|Requirements</t>
  </si>
  <si>
    <t>effortless-owl|StepRequirements</t>
  </si>
  <si>
    <t>effortless-owl|StepVerifications</t>
  </si>
  <si>
    <t>effortless-owl|Rationales</t>
  </si>
  <si>
    <t>effortless-owl|Exceptions</t>
  </si>
  <si>
    <t>effortless-owl|Resources</t>
  </si>
  <si>
    <t>effortless-owl|ProcedureResources</t>
  </si>
  <si>
    <t>effortless-owl|ElicitationSessions</t>
  </si>
  <si>
    <t>effortless-owl|KnowledgeFragments</t>
  </si>
  <si>
    <t>effortless-owl|KnowledgeGaps</t>
  </si>
  <si>
    <t>effortless-owl|FAQs</t>
  </si>
  <si>
    <t>effortless-owl|Explanations</t>
  </si>
  <si>
    <t>effortless-owl|ProcedureExecutions</t>
  </si>
  <si>
    <t>effortless-owl|StepExecutions</t>
  </si>
  <si>
    <t>effortless-owl|RequirementSatisfactions</t>
  </si>
  <si>
    <t>effortless-owl|Errors</t>
  </si>
  <si>
    <t>effortless-owl|IssueOccurrences</t>
  </si>
  <si>
    <t>effortless-owl|UserQuestions</t>
  </si>
  <si>
    <t>effortless-owl|UserFeedback</t>
  </si>
  <si>
    <t>effortless-owl|StewardshipAssignments</t>
  </si>
  <si>
    <t>effortless-owl|ChangeRequests</t>
  </si>
  <si>
    <t>effortless-owl|ReviewEvents</t>
  </si>
  <si>
    <t>effortless-owl|LearningActivities</t>
  </si>
  <si>
    <t>effortless-owl|OperationalBindings</t>
  </si>
  <si>
    <t>effortless-owl|CommunicationPolicies</t>
  </si>
  <si>
    <t>effortless-owl|MessageTemplates</t>
  </si>
  <si>
    <t>effortless-owl|SemanticMappings</t>
  </si>
  <si>
    <t>effortless-owl|WitnessLoops</t>
  </si>
  <si>
    <t>effortless-owl|RoleQuestions</t>
  </si>
  <si>
    <t>effortless-owl|RulebookFields</t>
  </si>
  <si>
    <t>effortless-owl|TestSuites</t>
  </si>
  <si>
    <t>effortless-owl|TestCases</t>
  </si>
  <si>
    <t>effortless-owl|ExceptionInvocations</t>
  </si>
  <si>
    <t>effortless-owl|VerificationOutcomes</t>
  </si>
  <si>
    <t>effortless-owl|ObservedTransitions</t>
  </si>
  <si>
    <t>effortless-owl|Recipients</t>
  </si>
  <si>
    <t>effortless-owl|MessageDeliveries</t>
  </si>
  <si>
    <t>effortless-owl|TemplateApprovals</t>
  </si>
  <si>
    <t>effortless-owl|SendIntents</t>
  </si>
  <si>
    <t>effortless-owl|AgentDecisionRecords</t>
  </si>
  <si>
    <t>effortless-owl|DeliveredCommunications</t>
  </si>
  <si>
    <t>effortless-owl|AuthorityBoundaries</t>
  </si>
  <si>
    <t>effortless-owl|AppRoleProfiles</t>
  </si>
  <si>
    <t>effortless-owl|AppNavGroups</t>
  </si>
  <si>
    <t>effortless-owl|AppRoutes</t>
  </si>
  <si>
    <t>effortless-owl|AppRouteQuestions</t>
  </si>
  <si>
    <t>effortless-owl|AppRouteReferences</t>
  </si>
  <si>
    <t>effortless-owl|RulebookTables</t>
  </si>
  <si>
    <t>effortless-owl|AccessPrincipals</t>
  </si>
  <si>
    <t>effortless-owl|AccessPolicies</t>
  </si>
  <si>
    <t>effortless-owl|FieldGrants</t>
  </si>
  <si>
    <t>effortless-owl|RoleSchemas</t>
  </si>
  <si>
    <t>effortless-owl|RoleSchemaViews</t>
  </si>
  <si>
    <t>effortless-owl|JwtClaimMappings</t>
  </si>
  <si>
    <t>effortless-owl|AccessDenialTests</t>
  </si>
  <si>
    <t>effortless-owl|AppUsers</t>
  </si>
  <si>
    <t>effortless-owl|PrincipalAssignments</t>
  </si>
  <si>
    <t>effortless-owl|ProcessMiningRuns</t>
  </si>
  <si>
    <t>effortless-owl|Vocabularies</t>
  </si>
  <si>
    <t>effortless-owl|VocabularyTerms</t>
  </si>
  <si>
    <t>effortless-owl|KnowledgeBrokerLinks</t>
  </si>
  <si>
    <t>effortless-owl|ConformanceSubstrates</t>
  </si>
  <si>
    <t>effortless-owl|ConformanceRuns</t>
  </si>
  <si>
    <t>effortless-owl|SubstrateRunScores</t>
  </si>
  <si>
    <t>effortless-owl|TableConformance</t>
  </si>
  <si>
    <t>effortless-owl|FieldDisagreements</t>
  </si>
  <si>
    <t>effortless-owl|CellDisagreements</t>
  </si>
  <si>
    <t>effortless-python|RulebookReleases</t>
  </si>
  <si>
    <t>effortless-python|OntologyProfiles</t>
  </si>
  <si>
    <t>effortless-python|EvaluationContexts</t>
  </si>
  <si>
    <t>effortless-python|Organizations</t>
  </si>
  <si>
    <t>effortless-python|Agents</t>
  </si>
  <si>
    <t>effortless-python|Roles</t>
  </si>
  <si>
    <t>effortless-python|RoleAssignments</t>
  </si>
  <si>
    <t>effortless-python|CommunitiesOfPractice</t>
  </si>
  <si>
    <t>effortless-python|Mentorships</t>
  </si>
  <si>
    <t>effortless-python|ProcedureTypes</t>
  </si>
  <si>
    <t>effortless-python|Procedures</t>
  </si>
  <si>
    <t>effortless-python|ProcedureVersions</t>
  </si>
  <si>
    <t>effortless-python|ProcedureVersionLinks</t>
  </si>
  <si>
    <t>effortless-python|ProcedureStatusChanges</t>
  </si>
  <si>
    <t>effortless-python|Steps</t>
  </si>
  <si>
    <t>effortless-python|StepTransitions</t>
  </si>
  <si>
    <t>effortless-python|Actions</t>
  </si>
  <si>
    <t>effortless-python|Functions</t>
  </si>
  <si>
    <t>effortless-python|Tools</t>
  </si>
  <si>
    <t>effortless-python|StepActions</t>
  </si>
  <si>
    <t>effortless-python|StepFunctions</t>
  </si>
  <si>
    <t>effortless-python|StepTools</t>
  </si>
  <si>
    <t>effortless-python|Requirements</t>
  </si>
  <si>
    <t>effortless-python|StepRequirements</t>
  </si>
  <si>
    <t>effortless-python|StepVerifications</t>
  </si>
  <si>
    <t>effortless-python|Rationales</t>
  </si>
  <si>
    <t>effortless-python|Exceptions</t>
  </si>
  <si>
    <t>effortless-python|Resources</t>
  </si>
  <si>
    <t>effortless-python|ProcedureResources</t>
  </si>
  <si>
    <t>effortless-python|ElicitationSessions</t>
  </si>
  <si>
    <t>effortless-python|KnowledgeFragments</t>
  </si>
  <si>
    <t>effortless-python|KnowledgeGaps</t>
  </si>
  <si>
    <t>effortless-python|FAQs</t>
  </si>
  <si>
    <t>effortless-python|Explanations</t>
  </si>
  <si>
    <t>effortless-python|ProcedureExecutions</t>
  </si>
  <si>
    <t>effortless-python|StepExecutions</t>
  </si>
  <si>
    <t>effortless-python|RequirementSatisfactions</t>
  </si>
  <si>
    <t>effortless-python|Errors</t>
  </si>
  <si>
    <t>effortless-python|IssueOccurrences</t>
  </si>
  <si>
    <t>effortless-python|UserQuestions</t>
  </si>
  <si>
    <t>effortless-python|UserFeedback</t>
  </si>
  <si>
    <t>effortless-python|StewardshipAssignments</t>
  </si>
  <si>
    <t>effortless-python|ChangeRequests</t>
  </si>
  <si>
    <t>effortless-python|ReviewEvents</t>
  </si>
  <si>
    <t>effortless-python|LearningActivities</t>
  </si>
  <si>
    <t>effortless-python|OperationalBindings</t>
  </si>
  <si>
    <t>effortless-python|CommunicationPolicies</t>
  </si>
  <si>
    <t>effortless-python|MessageTemplates</t>
  </si>
  <si>
    <t>effortless-python|SemanticMappings</t>
  </si>
  <si>
    <t>effortless-python|WitnessLoops</t>
  </si>
  <si>
    <t>effortless-python|RoleQuestions</t>
  </si>
  <si>
    <t>effortless-python|RulebookFields</t>
  </si>
  <si>
    <t>effortless-python|TestSuites</t>
  </si>
  <si>
    <t>effortless-python|TestCases</t>
  </si>
  <si>
    <t>effortless-python|ExceptionInvocations</t>
  </si>
  <si>
    <t>effortless-python|VerificationOutcomes</t>
  </si>
  <si>
    <t>effortless-python|ObservedTransitions</t>
  </si>
  <si>
    <t>effortless-python|Recipients</t>
  </si>
  <si>
    <t>effortless-python|MessageDeliveries</t>
  </si>
  <si>
    <t>effortless-python|TemplateApprovals</t>
  </si>
  <si>
    <t>effortless-python|SendIntents</t>
  </si>
  <si>
    <t>effortless-python|AgentDecisionRecords</t>
  </si>
  <si>
    <t>effortless-python|DeliveredCommunications</t>
  </si>
  <si>
    <t>effortless-python|AuthorityBoundaries</t>
  </si>
  <si>
    <t>effortless-python|AppRoleProfiles</t>
  </si>
  <si>
    <t>effortless-python|AppNavGroups</t>
  </si>
  <si>
    <t>effortless-python|AppRoutes</t>
  </si>
  <si>
    <t>effortless-python|AppRouteQuestions</t>
  </si>
  <si>
    <t>effortless-python|AppRouteReferences</t>
  </si>
  <si>
    <t>effortless-python|RulebookTables</t>
  </si>
  <si>
    <t>effortless-python|AccessPrincipals</t>
  </si>
  <si>
    <t>effortless-python|AccessPolicies</t>
  </si>
  <si>
    <t>effortless-python|FieldGrants</t>
  </si>
  <si>
    <t>effortless-python|RoleSchemas</t>
  </si>
  <si>
    <t>effortless-python|RoleSchemaViews</t>
  </si>
  <si>
    <t>effortless-python|JwtClaimMappings</t>
  </si>
  <si>
    <t>effortless-python|AccessDenialTests</t>
  </si>
  <si>
    <t>effortless-python|AppUsers</t>
  </si>
  <si>
    <t>effortless-python|PrincipalAssignments</t>
  </si>
  <si>
    <t>effortless-python|ProcessMiningRuns</t>
  </si>
  <si>
    <t>effortless-python|Vocabularies</t>
  </si>
  <si>
    <t>effortless-python|VocabularyTerms</t>
  </si>
  <si>
    <t>effortless-python|KnowledgeBrokerLinks</t>
  </si>
  <si>
    <t>effortless-python|ConformanceSubstrates</t>
  </si>
  <si>
    <t>effortless-python|ConformanceRuns</t>
  </si>
  <si>
    <t>effortless-python|SubstrateRunScores</t>
  </si>
  <si>
    <t>effortless-python|TableConformance</t>
  </si>
  <si>
    <t>effortless-python|FieldDisagreements</t>
  </si>
  <si>
    <t>effortless-python|CellDisagreements</t>
  </si>
  <si>
    <t>effortless-typescript|RulebookReleases</t>
  </si>
  <si>
    <t>effortless-typescript|OntologyProfiles</t>
  </si>
  <si>
    <t>effortless-typescript|EvaluationContexts</t>
  </si>
  <si>
    <t>effortless-typescript|Organizations</t>
  </si>
  <si>
    <t>effortless-typescript|Agents</t>
  </si>
  <si>
    <t>effortless-typescript|Roles</t>
  </si>
  <si>
    <t>effortless-typescript|RoleAssignments</t>
  </si>
  <si>
    <t>effortless-typescript|CommunitiesOfPractice</t>
  </si>
  <si>
    <t>effortless-typescript|Mentorships</t>
  </si>
  <si>
    <t>effortless-typescript|ProcedureTypes</t>
  </si>
  <si>
    <t>effortless-typescript|Procedures</t>
  </si>
  <si>
    <t>effortless-typescript|ProcedureVersions</t>
  </si>
  <si>
    <t>effortless-typescript|ProcedureVersionLinks</t>
  </si>
  <si>
    <t>effortless-typescript|ProcedureStatusChanges</t>
  </si>
  <si>
    <t>effortless-typescript|Steps</t>
  </si>
  <si>
    <t>effortless-typescript|StepTransitions</t>
  </si>
  <si>
    <t>effortless-typescript|Actions</t>
  </si>
  <si>
    <t>effortless-typescript|Functions</t>
  </si>
  <si>
    <t>effortless-typescript|Tools</t>
  </si>
  <si>
    <t>effortless-typescript|StepActions</t>
  </si>
  <si>
    <t>effortless-typescript|StepFunctions</t>
  </si>
  <si>
    <t>effortless-typescript|StepTools</t>
  </si>
  <si>
    <t>effortless-typescript|Requirements</t>
  </si>
  <si>
    <t>effortless-typescript|StepRequirements</t>
  </si>
  <si>
    <t>effortless-typescript|StepVerifications</t>
  </si>
  <si>
    <t>effortless-typescript|Rationales</t>
  </si>
  <si>
    <t>effortless-typescript|Exceptions</t>
  </si>
  <si>
    <t>effortless-typescript|Resources</t>
  </si>
  <si>
    <t>effortless-typescript|ProcedureResources</t>
  </si>
  <si>
    <t>effortless-typescript|ElicitationSessions</t>
  </si>
  <si>
    <t>effortless-typescript|KnowledgeFragments</t>
  </si>
  <si>
    <t>effortless-typescript|KnowledgeGaps</t>
  </si>
  <si>
    <t>effortless-typescript|FAQs</t>
  </si>
  <si>
    <t>effortless-typescript|Explanations</t>
  </si>
  <si>
    <t>effortless-typescript|ProcedureExecutions</t>
  </si>
  <si>
    <t>effortless-typescript|StepExecutions</t>
  </si>
  <si>
    <t>effortless-typescript|RequirementSatisfactions</t>
  </si>
  <si>
    <t>effortless-typescript|Errors</t>
  </si>
  <si>
    <t>effortless-typescript|IssueOccurrences</t>
  </si>
  <si>
    <t>effortless-typescript|UserQuestions</t>
  </si>
  <si>
    <t>effortless-typescript|UserFeedback</t>
  </si>
  <si>
    <t>effortless-typescript|StewardshipAssignments</t>
  </si>
  <si>
    <t>effortless-typescript|ChangeRequests</t>
  </si>
  <si>
    <t>effortless-typescript|ReviewEvents</t>
  </si>
  <si>
    <t>effortless-typescript|LearningActivities</t>
  </si>
  <si>
    <t>effortless-typescript|OperationalBindings</t>
  </si>
  <si>
    <t>effortless-typescript|CommunicationPolicies</t>
  </si>
  <si>
    <t>effortless-typescript|MessageTemplates</t>
  </si>
  <si>
    <t>effortless-typescript|SemanticMappings</t>
  </si>
  <si>
    <t>effortless-typescript|WitnessLoops</t>
  </si>
  <si>
    <t>effortless-typescript|RoleQuestions</t>
  </si>
  <si>
    <t>effortless-typescript|RulebookFields</t>
  </si>
  <si>
    <t>effortless-typescript|TestSuites</t>
  </si>
  <si>
    <t>effortless-typescript|TestCases</t>
  </si>
  <si>
    <t>effortless-typescript|ExceptionInvocations</t>
  </si>
  <si>
    <t>effortless-typescript|VerificationOutcomes</t>
  </si>
  <si>
    <t>effortless-typescript|ObservedTransitions</t>
  </si>
  <si>
    <t>effortless-typescript|Recipients</t>
  </si>
  <si>
    <t>effortless-typescript|MessageDeliveries</t>
  </si>
  <si>
    <t>effortless-typescript|TemplateApprovals</t>
  </si>
  <si>
    <t>effortless-typescript|SendIntents</t>
  </si>
  <si>
    <t>effortless-typescript|AgentDecisionRecords</t>
  </si>
  <si>
    <t>effortless-typescript|DeliveredCommunications</t>
  </si>
  <si>
    <t>effortless-typescript|AuthorityBoundaries</t>
  </si>
  <si>
    <t>effortless-typescript|AppRoleProfiles</t>
  </si>
  <si>
    <t>effortless-typescript|AppNavGroups</t>
  </si>
  <si>
    <t>effortless-typescript|AppRoutes</t>
  </si>
  <si>
    <t>effortless-typescript|AppRouteQuestions</t>
  </si>
  <si>
    <t>effortless-typescript|AppRouteReferences</t>
  </si>
  <si>
    <t>effortless-typescript|RulebookTables</t>
  </si>
  <si>
    <t>effortless-typescript|AccessPrincipals</t>
  </si>
  <si>
    <t>effortless-typescript|AccessPolicies</t>
  </si>
  <si>
    <t>effortless-typescript|FieldGrants</t>
  </si>
  <si>
    <t>effortless-typescript|RoleSchemas</t>
  </si>
  <si>
    <t>effortless-typescript|RoleSchemaViews</t>
  </si>
  <si>
    <t>effortless-typescript|JwtClaimMappings</t>
  </si>
  <si>
    <t>effortless-typescript|AccessDenialTests</t>
  </si>
  <si>
    <t>effortless-typescript|AppUsers</t>
  </si>
  <si>
    <t>effortless-typescript|PrincipalAssignments</t>
  </si>
  <si>
    <t>effortless-typescript|ProcessMiningRuns</t>
  </si>
  <si>
    <t>effortless-typescript|Vocabularies</t>
  </si>
  <si>
    <t>effortless-typescript|VocabularyTerms</t>
  </si>
  <si>
    <t>effortless-typescript|KnowledgeBrokerLinks</t>
  </si>
  <si>
    <t>effortless-typescript|ConformanceSubstrates</t>
  </si>
  <si>
    <t>effortless-typescript|ConformanceRuns</t>
  </si>
  <si>
    <t>effortless-typescript|SubstrateRunScores</t>
  </si>
  <si>
    <t>effortless-typescript|TableConformance</t>
  </si>
  <si>
    <t>effortless-typescript|FieldDisagreements</t>
  </si>
  <si>
    <t>effortless-typescript|CellDisagreements</t>
  </si>
  <si>
    <t>effortless-xlsx|RoleAssignments.PredecessorAgentKind</t>
  </si>
  <si>
    <t>wrong/null value</t>
  </si>
  <si>
    <t>effortless-xlsx|RoleAssignments.IsHumanToNonHumanHandover</t>
  </si>
  <si>
    <t>effortless-xlsx|RoleAssignments.IsUnconditionedAutomationHandover</t>
  </si>
  <si>
    <t>effortless-xlsx|ProcedureVersions.DaysSinceLastReview</t>
  </si>
  <si>
    <t>effortless-xlsx|ProcedureVersions.WasModifiedSinceLastReview</t>
  </si>
  <si>
    <t>effortless-xlsx|ProcedureVersions.EntryStepId</t>
  </si>
  <si>
    <t>effortless-xlsx|Steps.ReachableStepCount</t>
  </si>
  <si>
    <t>effortless-xlsx|Steps.ReachedFromStepCount</t>
  </si>
  <si>
    <t>effortless-xlsx|Steps.SelfReachCount</t>
  </si>
  <si>
    <t>effortless-xlsx|Steps.IsOnReworkLoop</t>
  </si>
  <si>
    <t>effortless-xlsx|Steps.IsBlockingControlOnReworkLoop</t>
  </si>
  <si>
    <t>effortless-xlsx|Steps.VersionEntryStepId</t>
  </si>
  <si>
    <t>effortless-xlsx|Steps.GateFreeReachFromEntryCount</t>
  </si>
  <si>
    <t>effortless-xlsx|Steps.IsReachableFromEntryWithoutHumanGate</t>
  </si>
  <si>
    <t>effortless-xlsx|Steps.IsGateBypassedPublication</t>
  </si>
  <si>
    <t>effortless-xlsx|FAQs.Name</t>
  </si>
  <si>
    <t>missing entity file</t>
  </si>
  <si>
    <t>effortless-xlsx|ProcedureExecutions.LatestAttestationInstant</t>
  </si>
  <si>
    <t>effortless-xlsx|ProcedureExecutions.PostAttestationScoreCount</t>
  </si>
  <si>
    <t>effortless-xlsx|RequirementSatisfactions.WasScoredAfterAttestation</t>
  </si>
  <si>
    <t>effortless-xlsx|RequirementSatisfactions.AttestationInstantForRun</t>
  </si>
  <si>
    <t>effortless-xlsx|RequirementSatisfactions.PostAttestationScoreExecutionKey</t>
  </si>
  <si>
    <t>effortless-xlsx|MessageDeliveries.OptOutPhrasePosition</t>
  </si>
  <si>
    <t>effortless-xlsx|MessageDeliveries.HasOptOutPhrase</t>
  </si>
  <si>
    <t>effortless-xlsx|MessageDeliveries.IsOptOutInFirstSegment</t>
  </si>
  <si>
    <t>effortless-xlsx|MessageDeliveries.IsMissingRequiredOptOut</t>
  </si>
  <si>
    <t>effortless-xlsx|MessageDeliveries.IsOptOutAtRiskOfTruncation</t>
  </si>
  <si>
    <t>effortless-xlsx|AgentDecisionRecords.ReviewLatencyMinutes</t>
  </si>
  <si>
    <t>effortless-owl|RulebookReleases.Name</t>
  </si>
  <si>
    <t>effortless-owl|ProcedureVersions.IncomingSupersessionCount</t>
  </si>
  <si>
    <t>effortless-owl|ProcedureVersions.IsStillReferenced</t>
  </si>
  <si>
    <t>effortless-owl|ProcedureVersions.IsLoadBearingOrphan</t>
  </si>
  <si>
    <t>effortless-owl|ProcedureVersions.IsCleanlyRetired</t>
  </si>
  <si>
    <t>effortless-owl|ProcedureVersions.DaysSinceLastReview</t>
  </si>
  <si>
    <t>effortless-owl|ProcedureVersionLinks.SupersededVersionKey</t>
  </si>
  <si>
    <t>effortless-owl|StepTransitions.CountOfFromStepExecutions</t>
  </si>
  <si>
    <t>effortless-owl|StepTransitions.CountOfToStepExecutions</t>
  </si>
  <si>
    <t>effortless-owl|StepTransitions.HasReachableOrigin</t>
  </si>
  <si>
    <t>effortless-owl|StepTransitions.HasReachableTarget</t>
  </si>
  <si>
    <t>effortless-owl|StepTransitions.IsNeverExercised</t>
  </si>
  <si>
    <t>effortless-owl|StepTransitions.IsUntestedRecoveryPath</t>
  </si>
  <si>
    <t>effortless-owl|KnowledgeFragments.IsInvokedByAnException</t>
  </si>
  <si>
    <t>effortless-owl|KnowledgeFragments.HasOperationalReliance</t>
  </si>
  <si>
    <t>effortless-owl|KnowledgeFragments.FragilitySignalCount</t>
  </si>
  <si>
    <t>effortless-owl|KnowledgeFragments.RelianceSurfaceCount</t>
  </si>
  <si>
    <t>effortless-owl|KnowledgeFragments.IsUnapprovedAndOperationallyLive</t>
  </si>
  <si>
    <t>effortless-owl|DeliveredCommunications.Name</t>
  </si>
  <si>
    <t>effortless-owl|AppRoleProfiles.RouteCount</t>
  </si>
  <si>
    <t>effortless-owl|AccessDenialTests.Name</t>
  </si>
  <si>
    <t>effortless-owl|CellDisagreements.Name</t>
  </si>
  <si>
    <t>effortless-xlsx|RoleAssignments.PredecessorAgentKind|ra-new-variance</t>
  </si>
  <si>
    <t>"Human"</t>
  </si>
  <si>
    <t>null</t>
  </si>
  <si>
    <t>effortless-xlsx|RoleAssignments.IsHumanToNonHumanHandover|ra-new-variance</t>
  </si>
  <si>
    <t>true</t>
  </si>
  <si>
    <t>false</t>
  </si>
  <si>
    <t>effortless-xlsx|RoleAssignments.IsUnconditionedAutomationHandover|ra-new-variance</t>
  </si>
  <si>
    <t>effortless-xlsx|ProcedureVersions.DaysSinceLastReview|close-v1.0.0</t>
  </si>
  <si>
    <t>46222</t>
  </si>
  <si>
    <t>effortless-xlsx|ProcedureVersions.WasModifiedSinceLastReview|close-v1.0.0</t>
  </si>
  <si>
    <t>effortless-xlsx|ProcedureVersions.EntryStepId|close-v1.1.0</t>
  </si>
  <si>
    <t>"close-01"</t>
  </si>
  <si>
    <t>effortless-xlsx|ProcedureVersions.EntryStepId|policy-v1.0.0</t>
  </si>
  <si>
    <t>"policy-01"</t>
  </si>
  <si>
    <t>effortless-xlsx|Steps.ReachableStepCount|close-01</t>
  </si>
  <si>
    <t>7</t>
  </si>
  <si>
    <t>"#VALUE!"</t>
  </si>
  <si>
    <t>effortless-xlsx|Steps.ReachableStepCount|close-02</t>
  </si>
  <si>
    <t>6</t>
  </si>
  <si>
    <t>effortless-xlsx|Steps.ReachableStepCount|close-03</t>
  </si>
  <si>
    <t>effortless-xlsx|Steps.ReachableStepCount|close-04</t>
  </si>
  <si>
    <t>effortless-xlsx|Steps.ReachableStepCount|close-05</t>
  </si>
  <si>
    <t>effortless-xlsx|Steps.ReachableStepCount|close-06</t>
  </si>
  <si>
    <t>effortless-xlsx|Steps.ReachableStepCount|close-07</t>
  </si>
  <si>
    <t>effortless-xlsx|Steps.ReachableStepCount|close-08</t>
  </si>
  <si>
    <t>effortless-xlsx|Steps.ReachableStepCount|policy-01</t>
  </si>
  <si>
    <t>8</t>
  </si>
  <si>
    <t>effortless-xlsx|Steps.ReachableStepCount|policy-02</t>
  </si>
  <si>
    <t>effortless-xlsx|Steps.ReachableStepCount|policy-03</t>
  </si>
  <si>
    <t>effortless-xlsx|Steps.ReachableStepCount|policy-04</t>
  </si>
  <si>
    <t>effortless-xlsx|Steps.ReachableStepCount|policy-05</t>
  </si>
  <si>
    <t>4</t>
  </si>
  <si>
    <t>effortless-xlsx|Steps.ReachableStepCount|policy-06</t>
  </si>
  <si>
    <t>effortless-xlsx|Steps.ReachableStepCount|policy-07</t>
  </si>
  <si>
    <t>effortless-xlsx|Steps.ReachableStepCount|policy-08</t>
  </si>
  <si>
    <t>effortless-xlsx|Steps.ReachableStepCount|policy-09</t>
  </si>
  <si>
    <t>effortless-xlsx|Steps.ReachedFromStepCount|close-01</t>
  </si>
  <si>
    <t>effortless-xlsx|Steps.ReachedFromStepCount|close-02</t>
  </si>
  <si>
    <t>effortless-xlsx|Steps.ReachedFromStepCount|close-03</t>
  </si>
  <si>
    <t>effortless-xlsx|Steps.ReachedFromStepCount|close-04</t>
  </si>
  <si>
    <t>effortless-xlsx|Steps.ReachedFromStepCount|close-05</t>
  </si>
  <si>
    <t>effortless-xlsx|Steps.ReachedFromStepCount|close-06</t>
  </si>
  <si>
    <t>effortless-xlsx|Steps.ReachedFromStepCount|close-07</t>
  </si>
  <si>
    <t>effortless-xlsx|Steps.ReachedFromStepCount|close-08</t>
  </si>
  <si>
    <t>effortless-xlsx|Steps.ReachedFromStepCount|policy-01</t>
  </si>
  <si>
    <t>effortless-xlsx|Steps.ReachedFromStepCount|policy-02</t>
  </si>
  <si>
    <t>effortless-xlsx|Steps.ReachedFromStepCount|policy-03</t>
  </si>
  <si>
    <t>effortless-xlsx|Steps.ReachedFromStepCount|policy-04</t>
  </si>
  <si>
    <t>effortless-xlsx|Steps.ReachedFromStepCount|policy-05</t>
  </si>
  <si>
    <t>effortless-xlsx|Steps.ReachedFromStepCount|policy-06</t>
  </si>
  <si>
    <t>effortless-xlsx|Steps.ReachedFromStepCount|policy-07</t>
  </si>
  <si>
    <t>effortless-xlsx|Steps.ReachedFromStepCount|policy-08</t>
  </si>
  <si>
    <t>effortless-xlsx|Steps.ReachedFromStepCount|policy-09</t>
  </si>
  <si>
    <t>effortless-xlsx|Steps.SelfReachCount|close-01</t>
  </si>
  <si>
    <t>effortless-xlsx|Steps.SelfReachCount|close-02</t>
  </si>
  <si>
    <t>effortless-xlsx|Steps.SelfReachCount|close-03</t>
  </si>
  <si>
    <t>effortless-xlsx|Steps.SelfReachCount|close-04</t>
  </si>
  <si>
    <t>effortless-xlsx|Steps.SelfReachCount|close-05</t>
  </si>
  <si>
    <t>effortless-xlsx|Steps.SelfReachCount|close-06</t>
  </si>
  <si>
    <t>effortless-xlsx|Steps.SelfReachCount|close-07</t>
  </si>
  <si>
    <t>effortless-xlsx|Steps.SelfReachCount|close-08</t>
  </si>
  <si>
    <t>effortless-xlsx|Steps.SelfReachCount|policy-01</t>
  </si>
  <si>
    <t>effortless-xlsx|Steps.SelfReachCount|policy-02</t>
  </si>
  <si>
    <t>effortless-xlsx|Steps.SelfReachCount|policy-03</t>
  </si>
  <si>
    <t>effortless-xlsx|Steps.SelfReachCount|policy-04</t>
  </si>
  <si>
    <t>effortless-xlsx|Steps.SelfReachCount|policy-05</t>
  </si>
  <si>
    <t>effortless-xlsx|Steps.SelfReachCount|policy-06</t>
  </si>
  <si>
    <t>effortless-xlsx|Steps.SelfReachCount|policy-07</t>
  </si>
  <si>
    <t>effortless-xlsx|Steps.SelfReachCount|policy-08</t>
  </si>
  <si>
    <t>effortless-xlsx|Steps.SelfReachCount|policy-09</t>
  </si>
  <si>
    <t>effortless-xlsx|Steps.IsOnReworkLoop|close-01</t>
  </si>
  <si>
    <t>effortless-xlsx|Steps.IsOnReworkLoop|close-02</t>
  </si>
  <si>
    <t>effortless-xlsx|Steps.IsOnReworkLoop|close-03</t>
  </si>
  <si>
    <t>effortless-xlsx|Steps.IsOnReworkLoop|close-04</t>
  </si>
  <si>
    <t>effortless-xlsx|Steps.IsOnReworkLoop|close-05</t>
  </si>
  <si>
    <t>effortless-xlsx|Steps.IsOnReworkLoop|close-06</t>
  </si>
  <si>
    <t>effortless-xlsx|Steps.IsOnReworkLoop|close-07</t>
  </si>
  <si>
    <t>effortless-xlsx|Steps.IsOnReworkLoop|close-08</t>
  </si>
  <si>
    <t>effortless-xlsx|Steps.IsOnReworkLoop|policy-01</t>
  </si>
  <si>
    <t>effortless-xlsx|Steps.IsOnReworkLoop|policy-02</t>
  </si>
  <si>
    <t>effortless-xlsx|Steps.IsOnReworkLoop|policy-03</t>
  </si>
  <si>
    <t>effortless-xlsx|Steps.IsOnReworkLoop|policy-04</t>
  </si>
  <si>
    <t>effortless-xlsx|Steps.IsOnReworkLoop|policy-05</t>
  </si>
  <si>
    <t>effortless-xlsx|Steps.IsOnReworkLoop|policy-06</t>
  </si>
  <si>
    <t>effortless-xlsx|Steps.IsOnReworkLoop|policy-07</t>
  </si>
  <si>
    <t>effortless-xlsx|Steps.IsOnReworkLoop|policy-08</t>
  </si>
  <si>
    <t>effortless-xlsx|Steps.IsOnReworkLoop|policy-09</t>
  </si>
  <si>
    <t>effortless-xlsx|Steps.IsBlockingControlOnReworkLoop|close-01</t>
  </si>
  <si>
    <t>effortless-xlsx|Steps.IsBlockingControlOnReworkLoop|close-02</t>
  </si>
  <si>
    <t>effortless-xlsx|Steps.IsBlockingControlOnReworkLoop|close-03</t>
  </si>
  <si>
    <t>effortless-xlsx|Steps.IsBlockingControlOnReworkLoop|close-04</t>
  </si>
  <si>
    <t>effortless-xlsx|Steps.IsBlockingControlOnReworkLoop|close-05</t>
  </si>
  <si>
    <t>effortless-xlsx|Steps.IsBlockingControlOnReworkLoop|close-06</t>
  </si>
  <si>
    <t>effortless-xlsx|Steps.IsBlockingControlOnReworkLoop|close-07</t>
  </si>
  <si>
    <t>effortless-xlsx|Steps.IsBlockingControlOnReworkLoop|close-08</t>
  </si>
  <si>
    <t>effortless-xlsx|Steps.IsBlockingControlOnReworkLoop|policy-01</t>
  </si>
  <si>
    <t>effortless-xlsx|Steps.IsBlockingControlOnReworkLoop|policy-02</t>
  </si>
  <si>
    <t>effortless-xlsx|Steps.IsBlockingControlOnReworkLoop|policy-03</t>
  </si>
  <si>
    <t>effortless-xlsx|Steps.IsBlockingControlOnReworkLoop|policy-04</t>
  </si>
  <si>
    <t>effortless-xlsx|Steps.IsBlockingControlOnReworkLoop|policy-05</t>
  </si>
  <si>
    <t>effortless-xlsx|Steps.IsBlockingControlOnReworkLoop|policy-06</t>
  </si>
  <si>
    <t>effortless-xlsx|Steps.IsBlockingControlOnReworkLoop|policy-07</t>
  </si>
  <si>
    <t>effortless-xlsx|Steps.IsBlockingControlOnReworkLoop|policy-08</t>
  </si>
  <si>
    <t>effortless-xlsx|Steps.IsBlockingControlOnReworkLoop|policy-09</t>
  </si>
  <si>
    <t>effortless-xlsx|Steps.VersionEntryStepId|close-01</t>
  </si>
  <si>
    <t>effortless-xlsx|Steps.VersionEntryStepId|close-02</t>
  </si>
  <si>
    <t>effortless-xlsx|Steps.VersionEntryStepId|close-03</t>
  </si>
  <si>
    <t>effortless-xlsx|Steps.VersionEntryStepId|close-04</t>
  </si>
  <si>
    <t>effortless-xlsx|Steps.VersionEntryStepId|close-05</t>
  </si>
  <si>
    <t>effortless-xlsx|Steps.VersionEntryStepId|close-06</t>
  </si>
  <si>
    <t>effortless-xlsx|Steps.VersionEntryStepId|close-07</t>
  </si>
  <si>
    <t>effortless-xlsx|Steps.VersionEntryStepId|close-08</t>
  </si>
  <si>
    <t>effortless-xlsx|Steps.VersionEntryStepId|policy-01</t>
  </si>
  <si>
    <t>effortless-xlsx|Steps.VersionEntryStepId|policy-02</t>
  </si>
  <si>
    <t>effortless-xlsx|Steps.VersionEntryStepId|policy-03</t>
  </si>
  <si>
    <t>effortless-xlsx|Steps.VersionEntryStepId|policy-04</t>
  </si>
  <si>
    <t>effortless-xlsx|Steps.VersionEntryStepId|policy-05</t>
  </si>
  <si>
    <t>effortless-xlsx|Steps.VersionEntryStepId|policy-06</t>
  </si>
  <si>
    <t>effortless-xlsx|Steps.VersionEntryStepId|policy-07</t>
  </si>
  <si>
    <t>effortless-xlsx|Steps.VersionEntryStepId|policy-08</t>
  </si>
  <si>
    <t>effortless-xlsx|Steps.VersionEntryStepId|policy-09</t>
  </si>
  <si>
    <t>effortless-xlsx|Steps.GateFreeReachFromEntryCount|close-01</t>
  </si>
  <si>
    <t>effortless-xlsx|Steps.GateFreeReachFromEntryCount|close-02</t>
  </si>
  <si>
    <t>effortless-xlsx|Steps.GateFreeReachFromEntryCount|close-03</t>
  </si>
  <si>
    <t>effortless-xlsx|Steps.GateFreeReachFromEntryCount|close-04</t>
  </si>
  <si>
    <t>effortless-xlsx|Steps.GateFreeReachFromEntryCount|close-05</t>
  </si>
  <si>
    <t>effortless-xlsx|Steps.GateFreeReachFromEntryCount|close-06</t>
  </si>
  <si>
    <t>effortless-xlsx|Steps.GateFreeReachFromEntryCount|close-07</t>
  </si>
  <si>
    <t>effortless-xlsx|Steps.GateFreeReachFromEntryCount|close-08</t>
  </si>
  <si>
    <t>effortless-xlsx|Steps.GateFreeReachFromEntryCount|policy-01</t>
  </si>
  <si>
    <t>effortless-xlsx|Steps.GateFreeReachFromEntryCount|policy-02</t>
  </si>
  <si>
    <t>effortless-xlsx|Steps.GateFreeReachFromEntryCount|policy-03</t>
  </si>
  <si>
    <t>effortless-xlsx|Steps.GateFreeReachFromEntryCount|policy-04</t>
  </si>
  <si>
    <t>effortless-xlsx|Steps.GateFreeReachFromEntryCount|policy-05</t>
  </si>
  <si>
    <t>effortless-xlsx|Steps.GateFreeReachFromEntryCount|policy-06</t>
  </si>
  <si>
    <t>effortless-xlsx|Steps.GateFreeReachFromEntryCount|policy-07</t>
  </si>
  <si>
    <t>effortless-xlsx|Steps.GateFreeReachFromEntryCount|policy-08</t>
  </si>
  <si>
    <t>effortless-xlsx|Steps.GateFreeReachFromEntryCount|policy-09</t>
  </si>
  <si>
    <t>effortless-xlsx|Steps.IsReachableFromEntryWithoutHumanGate|close-01</t>
  </si>
  <si>
    <t>effortless-xlsx|Steps.IsReachableFromEntryWithoutHumanGate|close-02</t>
  </si>
  <si>
    <t>effortless-xlsx|Steps.IsReachableFromEntryWithoutHumanGate|close-03</t>
  </si>
  <si>
    <t>effortless-xlsx|Steps.IsReachableFromEntryWithoutHumanGate|close-04</t>
  </si>
  <si>
    <t>effortless-xlsx|Steps.IsReachableFromEntryWithoutHumanGate|close-05</t>
  </si>
  <si>
    <t>effortless-xlsx|Steps.IsReachableFromEntryWithoutHumanGate|close-06</t>
  </si>
  <si>
    <t>effortless-xlsx|Steps.IsReachableFromEntryWithoutHumanGate|close-07</t>
  </si>
  <si>
    <t>effortless-xlsx|Steps.IsReachableFromEntryWithoutHumanGate|close-08</t>
  </si>
  <si>
    <t>effortless-xlsx|Steps.IsReachableFromEntryWithoutHumanGate|policy-01</t>
  </si>
  <si>
    <t>effortless-xlsx|Steps.IsReachableFromEntryWithoutHumanGate|policy-02</t>
  </si>
  <si>
    <t>effortless-xlsx|Steps.IsReachableFromEntryWithoutHumanGate|policy-03</t>
  </si>
  <si>
    <t>effortless-xlsx|Steps.IsReachableFromEntryWithoutHumanGate|policy-04</t>
  </si>
  <si>
    <t>effortless-xlsx|Steps.IsReachableFromEntryWithoutHumanGate|policy-05</t>
  </si>
  <si>
    <t>effortless-xlsx|Steps.IsReachableFromEntryWithoutHumanGate|policy-06</t>
  </si>
  <si>
    <t>effortless-xlsx|Steps.IsReachableFromEntryWithoutHumanGate|policy-07</t>
  </si>
  <si>
    <t>effortless-xlsx|Steps.IsReachableFromEntryWithoutHumanGate|policy-08</t>
  </si>
  <si>
    <t>effortless-xlsx|Steps.IsReachableFromEntryWithoutHumanGate|policy-09</t>
  </si>
  <si>
    <t>effortless-xlsx|Steps.IsGateBypassedPublication|close-01</t>
  </si>
  <si>
    <t>effortless-xlsx|Steps.IsGateBypassedPublication|close-02</t>
  </si>
  <si>
    <t>effortless-xlsx|Steps.IsGateBypassedPublication|close-03</t>
  </si>
  <si>
    <t>effortless-xlsx|Steps.IsGateBypassedPublication|close-04</t>
  </si>
  <si>
    <t>effortless-xlsx|Steps.IsGateBypassedPublication|close-05</t>
  </si>
  <si>
    <t>effortless-xlsx|Steps.IsGateBypassedPublication|close-06</t>
  </si>
  <si>
    <t>effortless-xlsx|Steps.IsGateBypassedPublication|close-07</t>
  </si>
  <si>
    <t>effortless-xlsx|Steps.IsGateBypassedPublication|close-08</t>
  </si>
  <si>
    <t>effortless-xlsx|Steps.IsGateBypassedPublication|policy-01</t>
  </si>
  <si>
    <t>effortless-xlsx|Steps.IsGateBypassedPublication|policy-02</t>
  </si>
  <si>
    <t>effortless-xlsx|Steps.IsGateBypassedPublication|policy-03</t>
  </si>
  <si>
    <t>effortless-xlsx|Steps.IsGateBypassedPublication|policy-04</t>
  </si>
  <si>
    <t>effortless-xlsx|Steps.IsGateBypassedPublication|policy-05</t>
  </si>
  <si>
    <t>effortless-xlsx|Steps.IsGateBypassedPublication|policy-06</t>
  </si>
  <si>
    <t>effortless-xlsx|Steps.IsGateBypassedPublication|policy-07</t>
  </si>
  <si>
    <t>effortless-xlsx|Steps.IsGateBypassedPublication|policy-08</t>
  </si>
  <si>
    <t>effortless-xlsx|Steps.IsGateBypassedPublication|policy-09</t>
  </si>
  <si>
    <t>effortless-xlsx|FAQs.Name|faq-close-workpapers</t>
  </si>
  <si>
    <t>"Where are close workpapers stored?"</t>
  </si>
  <si>
    <t>effortless-xlsx|FAQs.Name|faq-policy-ai</t>
  </si>
  <si>
    <t>"Can the drafting AI approve a workforce policy?"</t>
  </si>
  <si>
    <t>effortless-xlsx|FAQs.Name|faq-policy-optout</t>
  </si>
  <si>
    <t>"What happens when an employee opts out of SMS?"</t>
  </si>
  <si>
    <t>effortless-xlsx|ProcedureExecutions.LatestAttestationInstant|exec-close-2026-q2</t>
  </si>
  <si>
    <t>"00:00:00"</t>
  </si>
  <si>
    <t>effortless-xlsx|ProcedureExecutions.LatestAttestationInstant|exec-policy-hr4821</t>
  </si>
  <si>
    <t>effortless-xlsx|ProcedureExecutions.PostAttestationScoreCount|exec-close-2026-q2</t>
  </si>
  <si>
    <t>effortless-xlsx|ProcedureExecutions.PostAttestationScoreCount|exec-policy-hr4821</t>
  </si>
  <si>
    <t>2</t>
  </si>
  <si>
    <t>effortless-xlsx|RequirementSatisfactions.WasScoredAfterAttestation|sat-close-balance</t>
  </si>
  <si>
    <t>effortless-xlsx|RequirementSatisfactions.WasScoredAfterAttestation|sat-close-cutoff</t>
  </si>
  <si>
    <t>effortless-xlsx|RequirementSatisfactions.WasScoredAfterAttestation|sat-close-evidence</t>
  </si>
  <si>
    <t>effortless-xlsx|RequirementSatisfactions.WasScoredAfterAttestation|sat-close-human</t>
  </si>
  <si>
    <t>effortless-xlsx|RequirementSatisfactions.WasScoredAfterAttestation|sat-close-separation</t>
  </si>
  <si>
    <t>effortless-xlsx|RequirementSatisfactions.WasScoredAfterAttestation|sat-close08-evidence</t>
  </si>
  <si>
    <t>effortless-xlsx|RequirementSatisfactions.WasScoredAfterAttestation|sat-policy-legal</t>
  </si>
  <si>
    <t>effortless-xlsx|RequirementSatisfactions.WasScoredAfterAttestation|sat-policy-source</t>
  </si>
  <si>
    <t>effortless-xlsx|RequirementSatisfactions.AttestationInstantForRun|sat-close-balance</t>
  </si>
  <si>
    <t>effortless-xlsx|RequirementSatisfactions.AttestationInstantForRun|sat-close-cutoff</t>
  </si>
  <si>
    <t>effortless-xlsx|RequirementSatisfactions.AttestationInstantForRun|sat-close-evidence</t>
  </si>
  <si>
    <t>effortless-xlsx|RequirementSatisfactions.AttestationInstantForRun|sat-close-human</t>
  </si>
  <si>
    <t>effortless-xlsx|RequirementSatisfactions.AttestationInstantForRun|sat-close-separation</t>
  </si>
  <si>
    <t>effortless-xlsx|RequirementSatisfactions.AttestationInstantForRun|sat-close08-evidence</t>
  </si>
  <si>
    <t>effortless-xlsx|RequirementSatisfactions.AttestationInstantForRun|sat-policy-legal</t>
  </si>
  <si>
    <t>effortless-xlsx|RequirementSatisfactions.AttestationInstantForRun|sat-policy-source</t>
  </si>
  <si>
    <t>effortless-xlsx|RequirementSatisfactions.PostAttestationScoreExecutionKey|sat-close-balance</t>
  </si>
  <si>
    <t>"exec-close-2026-q2"</t>
  </si>
  <si>
    <t>effortless-xlsx|RequirementSatisfactions.PostAttestationScoreExecutionKey|sat-close-cutoff</t>
  </si>
  <si>
    <t>effortless-xlsx|RequirementSatisfactions.PostAttestationScoreExecutionKey|sat-close-evidence</t>
  </si>
  <si>
    <t>effortless-xlsx|RequirementSatisfactions.PostAttestationScoreExecutionKey|sat-close-human</t>
  </si>
  <si>
    <t>effortless-xlsx|RequirementSatisfactions.PostAttestationScoreExecutionKey|sat-close-separation</t>
  </si>
  <si>
    <t>effortless-xlsx|RequirementSatisfactions.PostAttestationScoreExecutionKey|sat-close08-evidence</t>
  </si>
  <si>
    <t>effortless-xlsx|RequirementSatisfactions.PostAttestationScoreExecutionKey|sat-policy-legal</t>
  </si>
  <si>
    <t>"exec-policy-hr4821"</t>
  </si>
  <si>
    <t>effortless-xlsx|RequirementSatisfactions.PostAttestationScoreExecutionKey|sat-policy-source</t>
  </si>
  <si>
    <t>effortless-xlsx|MessageDeliveries.OptOutPhrasePosition|md-001</t>
  </si>
  <si>
    <t>effortless-xlsx|MessageDeliveries.OptOutPhrasePosition|md-002</t>
  </si>
  <si>
    <t>effortless-xlsx|MessageDeliveries.OptOutPhrasePosition|md-005</t>
  </si>
  <si>
    <t>effortless-xlsx|MessageDeliveries.HasOptOutPhrase|md-001</t>
  </si>
  <si>
    <t>effortless-xlsx|MessageDeliveries.HasOptOutPhrase|md-002</t>
  </si>
  <si>
    <t>effortless-xlsx|MessageDeliveries.HasOptOutPhrase|md-005</t>
  </si>
  <si>
    <t>effortless-xlsx|MessageDeliveries.IsOptOutInFirstSegment|md-001</t>
  </si>
  <si>
    <t>effortless-xlsx|MessageDeliveries.IsOptOutInFirstSegment|md-002</t>
  </si>
  <si>
    <t>effortless-xlsx|MessageDeliveries.IsOptOutInFirstSegment|md-005</t>
  </si>
  <si>
    <t>effortless-xlsx|MessageDeliveries.IsMissingRequiredOptOut|md-005</t>
  </si>
  <si>
    <t>effortless-xlsx|MessageDeliveries.IsOptOutAtRiskOfTruncation|md-005</t>
  </si>
  <si>
    <t>effortless-xlsx|AgentDecisionRecords.ReviewLatencyMinutes|adr-close-extract-q2</t>
  </si>
  <si>
    <t>4.0</t>
  </si>
  <si>
    <t>3.999999992083758</t>
  </si>
  <si>
    <t>effortless-xlsx|AgentDecisionRecords.ReviewLatencyMinutes|adr-close-freeze-q2</t>
  </si>
  <si>
    <t>18.0</t>
  </si>
  <si>
    <t>17.99999999580905</t>
  </si>
  <si>
    <t>effortless-xlsx|AgentDecisionRecords.ReviewLatencyMinutes|adr-close-post-q2</t>
  </si>
  <si>
    <t>30.0</t>
  </si>
  <si>
    <t>30.00000000349246</t>
  </si>
  <si>
    <t>effortless-owl|RulebookReleases.Name|erb-pko-1.0.0</t>
  </si>
  <si>
    <t>"1.0.0 / PKO https://w3id.org/pko/2.0.0"</t>
  </si>
  <si>
    <t>effortless-owl|ProcedureVersions.IncomingSupersessionCount|close-v1.0.0</t>
  </si>
  <si>
    <t>effortless-owl|ProcedureVersions.IsStillReferenced|close-v1.0.0</t>
  </si>
  <si>
    <t>effortless-owl|ProcedureVersions.IsLoadBearingOrphan|close-v1.0.0</t>
  </si>
  <si>
    <t>effortless-owl|ProcedureVersions.IsCleanlyRetired|close-v1.0.0</t>
  </si>
  <si>
    <t>effortless-owl|ProcedureVersions.DaysSinceLastReview|close-v1.1.0</t>
  </si>
  <si>
    <t>effortless-owl|ProcedureVersions.DaysSinceLastReview|policy-v1.0.0</t>
  </si>
  <si>
    <t>effortless-owl|ProcedureVersionLinks.SupersededVersionKey|close-v1.0.0-to-v1.1.0</t>
  </si>
  <si>
    <t>"close-v1.0.0"</t>
  </si>
  <si>
    <t>effortless-owl|StepTransitions.CountOfFromStepExecutions|close-01-to-close-02</t>
  </si>
  <si>
    <t>effortless-owl|StepTransitions.CountOfFromStepExecutions|close-02-to-close-03</t>
  </si>
  <si>
    <t>effortless-owl|StepTransitions.CountOfFromStepExecutions|close-03-to-close-04</t>
  </si>
  <si>
    <t>effortless-owl|StepTransitions.CountOfFromStepExecutions|close-04-fallback-close-03</t>
  </si>
  <si>
    <t>effortless-owl|StepTransitions.CountOfFromStepExecutions|close-04-to-close-05</t>
  </si>
  <si>
    <t>effortless-owl|StepTransitions.CountOfFromStepExecutions|close-05-expedite-close-07</t>
  </si>
  <si>
    <t>effortless-owl|StepTransitions.CountOfFromStepExecutions|close-05-to-close-06</t>
  </si>
  <si>
    <t>effortless-owl|StepTransitions.CountOfFromStepExecutions|close-06-return-close-04</t>
  </si>
  <si>
    <t>effortless-owl|StepTransitions.CountOfFromStepExecutions|close-06-to-close-07</t>
  </si>
  <si>
    <t>effortless-owl|StepTransitions.CountOfFromStepExecutions|close-07-to-close-08</t>
  </si>
  <si>
    <t>effortless-owl|StepTransitions.CountOfFromStepExecutions|policy-01-to-policy-02</t>
  </si>
  <si>
    <t>effortless-owl|StepTransitions.CountOfFromStepExecutions|policy-02-to-policy-03</t>
  </si>
  <si>
    <t>effortless-owl|StepTransitions.CountOfFromStepExecutions|policy-03-to-policy-04</t>
  </si>
  <si>
    <t>effortless-owl|StepTransitions.CountOfFromStepExecutions|policy-04-return-policy-03</t>
  </si>
  <si>
    <t>effortless-owl|StepTransitions.CountOfFromStepExecutions|policy-04-to-policy-05</t>
  </si>
  <si>
    <t>effortless-owl|StepTransitions.CountOfToStepExecutions|close-01-to-close-02</t>
  </si>
  <si>
    <t>effortless-owl|StepTransitions.CountOfToStepExecutions|close-02-to-close-03</t>
  </si>
  <si>
    <t>effortless-owl|StepTransitions.CountOfToStepExecutions|close-03-to-close-04</t>
  </si>
  <si>
    <t>effortless-owl|StepTransitions.CountOfToStepExecutions|close-04-fallback-close-03</t>
  </si>
  <si>
    <t>effortless-owl|StepTransitions.CountOfToStepExecutions|close-04-to-close-05</t>
  </si>
  <si>
    <t>effortless-owl|StepTransitions.CountOfToStepExecutions|close-05-expedite-close-07</t>
  </si>
  <si>
    <t>effortless-owl|StepTransitions.CountOfToStepExecutions|close-05-to-close-06</t>
  </si>
  <si>
    <t>effortless-owl|StepTransitions.CountOfToStepExecutions|close-06-return-close-04</t>
  </si>
  <si>
    <t>effortless-owl|StepTransitions.CountOfToStepExecutions|close-06-to-close-07</t>
  </si>
  <si>
    <t>effortless-owl|StepTransitions.CountOfToStepExecutions|close-07-to-close-08</t>
  </si>
  <si>
    <t>effortless-owl|StepTransitions.CountOfToStepExecutions|policy-01-to-policy-02</t>
  </si>
  <si>
    <t>effortless-owl|StepTransitions.CountOfToStepExecutions|policy-02-to-policy-03</t>
  </si>
  <si>
    <t>effortless-owl|StepTransitions.CountOfToStepExecutions|policy-03-to-policy-04</t>
  </si>
  <si>
    <t>effortless-owl|StepTransitions.CountOfToStepExecutions|policy-04-return-policy-03</t>
  </si>
  <si>
    <t>effortless-owl|StepTransitions.HasReachableOrigin|close-01-to-close-02</t>
  </si>
  <si>
    <t>effortless-owl|StepTransitions.HasReachableOrigin|close-02-to-close-03</t>
  </si>
  <si>
    <t>effortless-owl|StepTransitions.HasReachableOrigin|close-03-to-close-04</t>
  </si>
  <si>
    <t>effortless-owl|StepTransitions.HasReachableOrigin|close-04-fallback-close-03</t>
  </si>
  <si>
    <t>effortless-owl|StepTransitions.HasReachableOrigin|close-04-to-close-05</t>
  </si>
  <si>
    <t>effortless-owl|StepTransitions.HasReachableOrigin|close-05-expedite-close-07</t>
  </si>
  <si>
    <t>effortless-owl|StepTransitions.HasReachableOrigin|close-05-to-close-06</t>
  </si>
  <si>
    <t>effortless-owl|StepTransitions.HasReachableOrigin|close-06-return-close-04</t>
  </si>
  <si>
    <t>effortless-owl|StepTransitions.HasReachableOrigin|close-06-to-close-07</t>
  </si>
  <si>
    <t>effortless-owl|StepTransitions.HasReachableOrigin|close-07-to-close-08</t>
  </si>
  <si>
    <t>effortless-owl|StepTransitions.HasReachableOrigin|policy-01-to-policy-02</t>
  </si>
  <si>
    <t>effortless-owl|StepTransitions.HasReachableOrigin|policy-02-to-policy-03</t>
  </si>
  <si>
    <t>effortless-owl|StepTransitions.HasReachableOrigin|policy-03-to-policy-04</t>
  </si>
  <si>
    <t>effortless-owl|StepTransitions.HasReachableOrigin|policy-04-return-policy-03</t>
  </si>
  <si>
    <t>effortless-owl|StepTransitions.HasReachableOrigin|policy-04-to-policy-05</t>
  </si>
  <si>
    <t>effortless-owl|StepTransitions.HasReachableTarget|close-01-to-close-02</t>
  </si>
  <si>
    <t>effortless-owl|StepTransitions.HasReachableTarget|close-02-to-close-03</t>
  </si>
  <si>
    <t>effortless-owl|StepTransitions.HasReachableTarget|close-03-to-close-04</t>
  </si>
  <si>
    <t>effortless-owl|StepTransitions.HasReachableTarget|close-04-fallback-close-03</t>
  </si>
  <si>
    <t>effortless-owl|StepTransitions.HasReachableTarget|close-04-to-close-05</t>
  </si>
  <si>
    <t>effortless-owl|StepTransitions.HasReachableTarget|close-05-expedite-close-07</t>
  </si>
  <si>
    <t>effortless-owl|StepTransitions.HasReachableTarget|close-05-to-close-06</t>
  </si>
  <si>
    <t>effortless-owl|StepTransitions.HasReachableTarget|close-06-return-close-04</t>
  </si>
  <si>
    <t>effortless-owl|StepTransitions.HasReachableTarget|close-06-to-close-07</t>
  </si>
  <si>
    <t>effortless-owl|StepTransitions.HasReachableTarget|close-07-to-close-08</t>
  </si>
  <si>
    <t>effortless-owl|StepTransitions.HasReachableTarget|policy-01-to-policy-02</t>
  </si>
  <si>
    <t>effortless-owl|StepTransitions.HasReachableTarget|policy-02-to-policy-03</t>
  </si>
  <si>
    <t>effortless-owl|StepTransitions.HasReachableTarget|policy-03-to-policy-04</t>
  </si>
  <si>
    <t>effortless-owl|StepTransitions.HasReachableTarget|policy-04-return-policy-03</t>
  </si>
  <si>
    <t>effortless-owl|StepTransitions.IsNeverExercised|close-01-to-close-02</t>
  </si>
  <si>
    <t>effortless-owl|StepTransitions.IsNeverExercised|close-02-to-close-03</t>
  </si>
  <si>
    <t>effortless-owl|StepTransitions.IsNeverExercised|close-03-to-close-04</t>
  </si>
  <si>
    <t>effortless-owl|StepTransitions.IsNeverExercised|close-04-fallback-close-03</t>
  </si>
  <si>
    <t>effortless-owl|StepTransitions.IsNeverExercised|close-04-to-close-05</t>
  </si>
  <si>
    <t>effortless-owl|StepTransitions.IsNeverExercised|close-05-expedite-close-07</t>
  </si>
  <si>
    <t>effortless-owl|StepTransitions.IsNeverExercised|close-05-to-close-06</t>
  </si>
  <si>
    <t>effortless-owl|StepTransitions.IsNeverExercised|close-06-return-close-04</t>
  </si>
  <si>
    <t>effortless-owl|StepTransitions.IsNeverExercised|close-06-to-close-07</t>
  </si>
  <si>
    <t>effortless-owl|StepTransitions.IsNeverExercised|close-07-to-close-08</t>
  </si>
  <si>
    <t>effortless-owl|StepTransitions.IsNeverExercised|policy-01-to-policy-02</t>
  </si>
  <si>
    <t>effortless-owl|StepTransitions.IsNeverExercised|policy-02-to-policy-03</t>
  </si>
  <si>
    <t>effortless-owl|StepTransitions.IsNeverExercised|policy-03-to-policy-04</t>
  </si>
  <si>
    <t>effortless-owl|StepTransitions.IsNeverExercised|policy-04-return-policy-03</t>
  </si>
  <si>
    <t>effortless-owl|StepTransitions.IsUntestedRecoveryPath|close-04-fallback-close-03</t>
  </si>
  <si>
    <t>effortless-owl|StepTransitions.IsUntestedRecoveryPath|close-05-expedite-close-07</t>
  </si>
  <si>
    <t>effortless-owl|StepTransitions.IsUntestedRecoveryPath|close-06-return-close-04</t>
  </si>
  <si>
    <t>effortless-owl|StepTransitions.IsUntestedRecoveryPath|policy-04-return-policy-03</t>
  </si>
  <si>
    <t>effortless-owl|KnowledgeFragments.IsInvokedByAnException|kf-policy-channel</t>
  </si>
  <si>
    <t>effortless-owl|KnowledgeFragments.IsInvokedByAnException|kf-policy-manager-route</t>
  </si>
  <si>
    <t>effortless-owl|KnowledgeFragments.HasOperationalReliance|kf-policy-channel</t>
  </si>
  <si>
    <t>effortless-owl|KnowledgeFragments.HasOperationalReliance|kf-policy-manager-route</t>
  </si>
  <si>
    <t>effortless-owl|KnowledgeFragments.FragilitySignalCount|kf-policy-channel</t>
  </si>
  <si>
    <t>effortless-owl|KnowledgeFragments.FragilitySignalCount|kf-policy-manager-route</t>
  </si>
  <si>
    <t>effortless-owl|KnowledgeFragments.RelianceSurfaceCount|kf-policy-channel</t>
  </si>
  <si>
    <t>effortless-owl|KnowledgeFragments.RelianceSurfaceCount|kf-policy-manager-route</t>
  </si>
  <si>
    <t>effortless-owl|KnowledgeFragments.IsUnapprovedAndOperationallyLive|kf-policy-manager-route</t>
  </si>
  <si>
    <t>effortless-owl|DeliveredCommunications.Name|dc-hr4821-email-001</t>
  </si>
  <si>
    <t>"Email -&gt; emp-anon-0001 @ "</t>
  </si>
  <si>
    <t>effortless-owl|AppRoleProfiles.RouteCount|profile-cfo</t>
  </si>
  <si>
    <t>12</t>
  </si>
  <si>
    <t>effortless-owl|AppRoleProfiles.RouteCount|profile-close-automation</t>
  </si>
  <si>
    <t>effortless-owl|AppRoleProfiles.RouteCount|profile-communications-manager</t>
  </si>
  <si>
    <t>11</t>
  </si>
  <si>
    <t>effortless-owl|AppRoleProfiles.RouteCount|profile-controller</t>
  </si>
  <si>
    <t>10</t>
  </si>
  <si>
    <t>effortless-owl|AppRoleProfiles.RouteCount|profile-employment-counsel</t>
  </si>
  <si>
    <t>effortless-owl|AppRoleProfiles.RouteCount|profile-finance-analyst</t>
  </si>
  <si>
    <t>effortless-owl|AppRoleProfiles.RouteCount|profile-hr-policy-owner</t>
  </si>
  <si>
    <t>effortless-owl|AppRoleProfiles.RouteCount|profile-knowledge-authority</t>
  </si>
  <si>
    <t>effortless-owl|AppRoleProfiles.RouteCount|profile-notification-publisher</t>
  </si>
  <si>
    <t>effortless-owl|AppRoleProfiles.RouteCount|profile-policy-drafting-agent</t>
  </si>
  <si>
    <t>effortless-owl|AppRoleProfiles.RouteCount|profile-process-steward</t>
  </si>
  <si>
    <t>effortless-owl|AppRoleProfiles.RouteCount|profile-variance-review-agent</t>
  </si>
  <si>
    <t>effortless-owl|AccessDenialTests.Name|deny-cfo-send-intents</t>
  </si>
  <si>
    <t>"principal-cfo must not see "</t>
  </si>
  <si>
    <t>effortless-owl|AccessDenialTests.Name|deny-cfo-step-executions</t>
  </si>
  <si>
    <t>effortless-owl|AccessDenialTests.Name|deny-close-automation-change-requests</t>
  </si>
  <si>
    <t>"principal-close-automation must not see "</t>
  </si>
  <si>
    <t>effortless-owl|AccessDenialTests.Name|deny-close-automation-recipients</t>
  </si>
  <si>
    <t>effortless-owl|AccessDenialTests.Name|deny-employment-counsel-step-executions</t>
  </si>
  <si>
    <t>"principal-employment-counsel must not see "</t>
  </si>
  <si>
    <t>effortless-owl|AccessDenialTests.Name|deny-notification-publisher-knowledge-fragments</t>
  </si>
  <si>
    <t>"principal-notification-publisher must not see "</t>
  </si>
  <si>
    <t>effortless-owl|AccessDenialTests.Name|deny-policy-drafting-agent-recipients</t>
  </si>
  <si>
    <t>"principal-policy-drafting-agent must not see "</t>
  </si>
  <si>
    <t>effortless-owl|AccessDenialTests.Name|deny-variance-review-agent-recipients</t>
  </si>
  <si>
    <t>"principal-variance-review-agent must not see "</t>
  </si>
  <si>
    <t>effortless-owl|CellDisagreements.Name|effortless-entity-framework|Steps.IsBlockingControlOnReworkLoop|close-03</t>
  </si>
  <si>
    <t>effortless-entity-framework|Steps.IsBlockingControlOnReworkLoop|close-03</t>
  </si>
  <si>
    <t>"effortless-entity-framework|Steps.IsBlockingControlOnReworkLoop @ close-03"</t>
  </si>
  <si>
    <t>"effortless-entity-framework-Steps.IsBlockingControlOnReworkLoop @ close-03"</t>
  </si>
  <si>
    <t>effortless-owl|CellDisagreements.Name|effortless-entity-framework|Steps.IsBlockingControlOnReworkLoop|close-05</t>
  </si>
  <si>
    <t>effortless-entity-framework|Steps.IsBlockingControlOnReworkLoop|close-05</t>
  </si>
  <si>
    <t>"effortless-entity-framework|Steps.IsBlockingControlOnReworkLoop @ close-05"</t>
  </si>
  <si>
    <t>"effortless-entity-framework-Steps.IsBlockingControlOnReworkLoop @ close-05"</t>
  </si>
  <si>
    <t>effortless-owl|CellDisagreements.Name|effortless-entity-framework|Steps.IsBlockingControlOnReworkLoop|close-06</t>
  </si>
  <si>
    <t>effortless-entity-framework|Steps.IsBlockingControlOnReworkLoop|close-06</t>
  </si>
  <si>
    <t>"effortless-entity-framework|Steps.IsBlockingControlOnReworkLoop @ close-06"</t>
  </si>
  <si>
    <t>"effortless-entity-framework-Steps.IsBlockingControlOnReworkLoop @ close-06"</t>
  </si>
  <si>
    <t>effortless-owl|CellDisagreements.Name|effortless-entity-framework|Steps.IsBlockingControlOnReworkLoop|policy-03</t>
  </si>
  <si>
    <t>effortless-entity-framework|Steps.IsBlockingControlOnReworkLoop|policy-03</t>
  </si>
  <si>
    <t>"effortless-entity-framework|Steps.IsBlockingControlOnReworkLoop @ policy-03"</t>
  </si>
  <si>
    <t>"effortless-entity-framework-Steps.IsBlockingControlOnReworkLoop @ policy-03"</t>
  </si>
  <si>
    <t>effortless-owl|CellDisagreements.Name|effortless-entity-framework|Steps.IsBlockingControlOnReworkLoop|policy-04</t>
  </si>
  <si>
    <t>effortless-entity-framework|Steps.IsBlockingControlOnReworkLoop|policy-04</t>
  </si>
  <si>
    <t>"effortless-entity-framework|Steps.IsBlockingControlOnReworkLoop @ policy-04"</t>
  </si>
  <si>
    <t>"effortless-entity-framework-Steps.IsBlockingControlOnReworkLoop @ policy-04"</t>
  </si>
  <si>
    <t>effortless-owl|CellDisagreements.Name|effortless-entity-framework|Steps.IsBlockingControlOnReworkLoop|policy-06</t>
  </si>
  <si>
    <t>effortless-entity-framework|Steps.IsBlockingControlOnReworkLoop|policy-06</t>
  </si>
  <si>
    <t>"effortless-entity-framework|Steps.IsBlockingControlOnReworkLoop @ policy-06"</t>
  </si>
  <si>
    <t>"effortless-entity-framework-Steps.IsBlockingControlOnReworkLoop @ policy-06"</t>
  </si>
  <si>
    <t>effortless-owl|CellDisagreements.Name|effortless-entity-framework|Steps.IsBlockingControlOnReworkLoop|policy-07</t>
  </si>
  <si>
    <t>effortless-entity-framework|Steps.IsBlockingControlOnReworkLoop|policy-07</t>
  </si>
  <si>
    <t>"effortless-entity-framework|Steps.IsBlockingControlOnReworkLoop @ policy-07"</t>
  </si>
  <si>
    <t>"effortless-entity-framework-Steps.IsBlockingControlOnReworkLoop @ policy-07"</t>
  </si>
  <si>
    <t>effortless-owl|CellDisagreements.Name|effortless-entity-framework|Steps.IsOnReworkLoop|close-03</t>
  </si>
  <si>
    <t>effortless-entity-framework|Steps.IsOnReworkLoop|close-03</t>
  </si>
  <si>
    <t>"effortless-entity-framework|Steps.IsOnReworkLoop @ close-03"</t>
  </si>
  <si>
    <t>"effortless-entity-framework-Steps.IsOnReworkLoop @ close-03"</t>
  </si>
  <si>
    <t>effortless-owl|CellDisagreements.Name|effortless-entity-framework|Steps.IsOnReworkLoop|close-04</t>
  </si>
  <si>
    <t>effortless-entity-framework|Steps.IsOnReworkLoop|close-04</t>
  </si>
  <si>
    <t>"effortless-entity-framework|Steps.IsOnReworkLoop @ close-04"</t>
  </si>
  <si>
    <t>"effortless-entity-framework-Steps.IsOnReworkLoop @ close-04"</t>
  </si>
  <si>
    <t>effortless-owl|CellDisagreements.Name|effortless-entity-framework|Steps.IsOnReworkLoop|close-05</t>
  </si>
  <si>
    <t>effortless-entity-framework|Steps.IsOnReworkLoop|close-05</t>
  </si>
  <si>
    <t>"effortless-entity-framework|Steps.IsOnReworkLoop @ close-05"</t>
  </si>
  <si>
    <t>"effortless-entity-framework-Steps.IsOnReworkLoop @ close-05"</t>
  </si>
  <si>
    <t>effortless-owl|CellDisagreements.Name|effortless-entity-framework|Steps.IsOnReworkLoop|close-06</t>
  </si>
  <si>
    <t>effortless-entity-framework|Steps.IsOnReworkLoop|close-06</t>
  </si>
  <si>
    <t>"effortless-entity-framework|Steps.IsOnReworkLoop @ close-06"</t>
  </si>
  <si>
    <t>"effortless-entity-framework-Steps.IsOnReworkLoop @ close-06"</t>
  </si>
  <si>
    <t>effortless-owl|CellDisagreements.Name|effortless-entity-framework|Steps.IsOnReworkLoop|policy-03</t>
  </si>
  <si>
    <t>effortless-entity-framework|Steps.IsOnReworkLoop|policy-03</t>
  </si>
  <si>
    <t>"effortless-entity-framework|Steps.IsOnReworkLoop @ policy-03"</t>
  </si>
  <si>
    <t>"effortless-entity-framework-Steps.IsOnReworkLoop @ policy-03"</t>
  </si>
  <si>
    <t>effortless-owl|CellDisagreements.Name|effortless-entity-framework|Steps.IsOnReworkLoop|policy-04</t>
  </si>
  <si>
    <t>effortless-entity-framework|Steps.IsOnReworkLoop|policy-04</t>
  </si>
  <si>
    <t>"effortless-entity-framework|Steps.IsOnReworkLoop @ policy-04"</t>
  </si>
  <si>
    <t>"effortless-entity-framework-Steps.IsOnReworkLoop @ policy-04"</t>
  </si>
  <si>
    <t>effortless-owl|CellDisagreements.Name|effortless-entity-framework|Steps.IsOnReworkLoop|policy-06</t>
  </si>
  <si>
    <t>effortless-entity-framework|Steps.IsOnReworkLoop|policy-06</t>
  </si>
  <si>
    <t>"effortless-entity-framework|Steps.IsOnReworkLoop @ policy-06"</t>
  </si>
  <si>
    <t>"effortless-entity-framework-Steps.IsOnReworkLoop @ policy-06"</t>
  </si>
  <si>
    <t>effortless-owl|CellDisagreements.Name|effortless-entity-framework|Steps.IsOnReworkLoop|policy-07</t>
  </si>
  <si>
    <t>effortless-entity-framework|Steps.IsOnReworkLoop|policy-07</t>
  </si>
  <si>
    <t>"effortless-entity-framework|Steps.IsOnReworkLoop @ policy-07"</t>
  </si>
  <si>
    <t>"effortless-entity-framework-Steps.IsOnReworkLoop @ policy-07"</t>
  </si>
  <si>
    <t>effortless-owl|CellDisagreements.Name|effortless-entity-framework|Steps.ReachableStepCount|close-01</t>
  </si>
  <si>
    <t>effortless-entity-framework|Steps.ReachableStepCount|close-01</t>
  </si>
  <si>
    <t>"effortless-entity-framework|Steps.ReachableStepCount @ close-01"</t>
  </si>
  <si>
    <t>"effortless-entity-framework-Steps.ReachableStepCount @ close-01"</t>
  </si>
  <si>
    <t>effortless-owl|CellDisagreements.Name|effortless-entity-framework|Steps.ReachableStepCount|close-02</t>
  </si>
  <si>
    <t>effortless-entity-framework|Steps.ReachableStepCount|close-02</t>
  </si>
  <si>
    <t>"effortless-entity-framework|Steps.ReachableStepCount @ close-02"</t>
  </si>
  <si>
    <t>"effortless-entity-framework-Steps.ReachableStepCount @ close-02"</t>
  </si>
  <si>
    <t>effortless-owl|CellDisagreements.Name|effortless-entity-framework|Steps.ReachableStepCount|close-03</t>
  </si>
  <si>
    <t>effortless-entity-framework|Steps.ReachableStepCount|close-03</t>
  </si>
  <si>
    <t>"effortless-entity-framework|Steps.ReachableStepCount @ close-03"</t>
  </si>
  <si>
    <t>"effortless-entity-framework-Steps.ReachableStepCount @ close-03"</t>
  </si>
  <si>
    <t>effortless-owl|CellDisagreements.Name|effortless-entity-framework|Steps.ReachableStepCount|close-04</t>
  </si>
  <si>
    <t>effortless-entity-framework|Steps.ReachableStepCount|close-04</t>
  </si>
  <si>
    <t>"effortless-entity-framework|Steps.ReachableStepCount @ close-04"</t>
  </si>
  <si>
    <t>"effortless-entity-framework-Steps.ReachableStepCount @ close-04"</t>
  </si>
  <si>
    <t>effortless-owl|CellDisagreements.Name|effortless-entity-framework|Steps.ReachableStepCount|close-05</t>
  </si>
  <si>
    <t>effortless-entity-framework|Steps.ReachableStepCount|close-05</t>
  </si>
  <si>
    <t>"effortless-entity-framework|Steps.ReachableStepCount @ close-05"</t>
  </si>
  <si>
    <t>"effortless-entity-framework-Steps.ReachableStepCount @ close-05"</t>
  </si>
  <si>
    <t>Value</t>
  </si>
  <si>
    <t>erbBlankLogic</t>
  </si>
  <si>
    <t>coerce</t>
  </si>
  <si>
    <t>erbDateDiff</t>
  </si>
  <si>
    <t>calendar</t>
  </si>
  <si>
    <t>erbDateTimeText</t>
  </si>
  <si>
    <t>iso8601</t>
  </si>
  <si>
    <t>erbTimezone</t>
  </si>
  <si>
    <t>UTC</t>
  </si>
  <si>
    <t>erbWholeNumber</t>
  </si>
  <si>
    <t>by-field-type</t>
  </si>
  <si>
    <t xml:space="preserve">{
 "$schema": "https://example.com/cmcc-schema/v1",
 "Name": "PKO-Native Procedural Knowledge Rulebook",
 "Description": "A canonical Effortless Rulebook profile aligned to the Procedural Knowledge Ontology (PKO) 2.0.0. It represents procedure specifications separately from executions and includes versioning, status changes, steps, transitions, actions, software functions, tools, requirements, verifications, resources, agents, roles in time, issues, errors, questions, feedback, FAQs, explanations, governance, tacit/implicit/explicit knowledge capture, operational data bindings, learning, and communication policy projections. PKO-native terms are mapped exactly; enterprise knowledge-governance additions are explicitly identified as ERB-PKO extensions.",
 "RulebookReleases": {
  "Description": "Version ledger for the canonical ERB-PKO rulebook itself. This is distinct from PKO Procedure versioning.",
  "important": true,
  "schema": [
   {
    "name": "RulebookReleaseId",
    "datatype": "string",
    "type": "raw",
    "nullable": false,
    "Description": "Stored logical identifier for one RulebookReleases row."
   },
   {
    "name": "Name",
    "datatype": "string",
    "type": "calculated",
    "nullable": true,
    "Description": "Human-readable calculated display alias for the RulebookReleases row.",
    "formula": "={{RulebookVersion}} &amp; \" / PKO \" &amp; {{PkoCoreVersionIri}}"
   },
   {
    "name": "RulebookVersion",
    "datatype": "string",
    "type": "raw",
    "nullable": true,
    "Description": "Semantic version of this canonical rulebook release."
   },
   {
    "name": "ProfileVersion",
    "datatype": "string",
    "type": "raw",
    "nullable": true,
    "Description": "Version of the ERB-PKO profile schema."
   },
   {
    "name": "ProfileSchemaPath",
    "datatype": "string",
    "type": "raw",
    "nullable": true,
    "Description": "Repository-relative path to the ERB-PKO JSON profile schema."
   },
   {
    "name": "PkoCoreVersionIri",
    "datatype": "string",
    "type": "raw",
    "nullable": true,
    "Description": "Exact version IRI of the PKO core ontology used by this release."
   },
   {
    "name": "PkoIndustryVersionIri",
    "datatype": "string",
    "type": "raw",
    "nullable": true,
    "Description": "Exact version IRI of the PKO industry module used by this release."
   },
   {
    "name": "IssuedAt",
    "datatype": "datetime",
    "type": "raw",
    "nullable": true,
    "Description": "Timestamp at which this rulebook release was issued."
   },
   {
    "name": "Status",
    "datatype": "string",
    "type": "raw",
    "nullable": true,
    "Description": "Release status such as Draft, Candidate, or Published."
   },
   {
    "name": "Changelog",
    "datatype": "string",
    "type": "raw",
    "nullable": true,
    "Description": "Human-readable semantic changelog for this release."
   },
   {
    "name": "IsCurrent",
    "datatype": "boolean",
    "type": "raw",
    "nullable": true,
    "Description": "TRUE only for the current rulebook release."
   }
  ],
  "data": [
   {
    "RulebookReleaseId": "erb-pko-1.0.0",
    "RulebookVersion": "1.0.0",
    "ProfileVersion": "1.0.0",
    "ProfileSchemaPath": "schemas/pko-erb-profile-1.0.0.schema.json",
    "PkoCoreVersionIri": "https://w3id.org/pko/2.0.0",
    "PkoIndustryVersionIri": "https://w3id.org/pko/industry/2.0.0",
    "IssuedAt": "2026-07-19T12:00:00-05:00",
    "Status": "Candidate",
    "Changelog": "Initial executable PKO-native canonical rulebook and projection-tool proof.",
    "IsCurrent": true,
    "Name": "1.0.0 / PKO https://w3id.org/pko/2.0.0"
   }
  ]
 },
 "OntologyProfiles": {
  "Description": "Versioned ontology and vocabulary dependencies. PKO mappings always identify the exact profile and version.",
  "important": true,
  "schema": [
   {
    "name": "OntologyProfileId",
    "datatype": "string",
    "type": "raw",
    "nullable": false,
    "Description": "Stored logical identifier for one OntologyProfiles row."
   },
   {
    "name": "Name",
    "datatype": "string",
    "type": "calculated",
    "nullable": true,
    "Description": "Human-readable calculated display alias for the OntologyProfiles row.",
    "formula": "={{Label}} &amp; \" \" &amp; {{Version}}"
   },
   {
    "name": "Label",
    "datatype": "string",
    "type": "raw",
    "nullable": true,
    "Description": "Human-readable ontology or vocabulary name."
   },
   {
    "name": "Version",
    "datatype": "string",
    "type": "raw",
    "nullable": true,
    "Description": "Referenced release or specification version."
   },
   {
    "name": "VersionIri",
    "datatype": "string",
    "type": "raw",
    "nullable": true,
    "Description": "Exact version IRI or normative specification URI."
   },
   {
    "name": "NamespaceIri",
    "datatype": "string",
    "type": "raw",
    "nullable": true,
    "Description": "Namespace used for class/property IRIs."
   },
   {
    "name": "License",
    "datatype": "string",
    "type": "raw",
    "nullable": true,
    "Description": "License or standards body attribution."
   },
   {
    "name": "Scope",
    "datatype": "string",
    "type": "raw",
    "nullable": true,
    "Description": "How the profile is used in this rulebook."
   }
  ],
  "data": [
   {
    "OntologyProfileId": "pko-core-2.0.0",
    "Label": "PKO Core",
    "Version": "2.0.0",
    "VersionIri": "https://w3id.org/pko/2.0.0",
    "NamespaceIri": "https://w3id.org/pko#",
    "License": "CC BY 4.0",
    "Scope": "Core procedural knowledge: procedures, steps, executions, transitions, requirements, issues, feedback, and agents.",
    "Name": "PKO Core 2.0.0"
   },
   {
    "OntologyProfileId": "pko-industry-2.0.0",
    "Label": "PKO Industry",
    "Version": "2.0.0",
    "VersionIri": "https://w3id.org/pko/industry/2.0.0",
    "NamespaceIri": "https://w3id.org/pko/industry#",
    "License": "CC BY 4.0",
    "Scope": "Industry extension for machines, sites, departments, PPE, locks, energy sources, and tools.",
    "Name": "PKO Industry 2.0.0"
   },
   {
    "OntologyProfileId": "p-plan",
    "Label": "P-Plan",
    "Version": "1",
    "VersionIri": "http://purl.org/net/p-plan",
    "NamespaceIri": "http://purl.org/net/p-plan#",
    "License": "External",
    "Scope": "Plan, Step, MultiStep, and plan/execution alignment.",
    "Name": "P-Plan 1"
   },
   {
    "OntologyProfileId": "prov-o",
    "Label": "PROV-O",
    "Version": "2013",
    "VersionIri": "https://www.w3.org/TR/prov-o/",
    "NamespaceIri": "http://www.w3.org/ns/prov#",
    "License": "W3C",
    "Scope": "Agents, activities, entities, attribution, provenance, and execution time.",
    "Name": "PROV-O 2013"
   },
   {
    "OntologyProfileId": "dcat-3",
    "Label": "DCAT",
    "Version": "3",
    "VersionIri": "https://www.w3.org/TR/vocab-dcat-3/",
    "NamespaceIri": "http://www.w3.org/ns/dcat#",
    "License": "W3C",
    "Scope": "Resources and versioned catalog assets.",
    "Name": "DCAT 3"
   },
   {
    "OntologyProfileId": "dcterms",
    "Label": "DCMI Terms",
    "Version": "current",
    "VersionIri": "https://www.dublincore.org/specifications/dublin-core/dcmi-terms/",
    "NamespaceIri": "http://purl.org/dc/terms/",
    "License": "DCMI",
    "Scope": "Titles, descriptions, identifiers, dates, references, and lifecycle metadata.",
    "Name": "DCMI Terms current"
   },
   {
    "OntologyProfileId": "owl-time",
    "Label": "OWL-Time",
    "Version": "2017",
    "VersionIri": "https://www.w3.org/TR/owl-time/",
    "NamespaceIri": "http://www.w3.org/2006/time#",
    "License": "W3C",
    "Scope": "Durations and time intervals.",
    "Name": "OWL-Time 2017"
   },
   {
    "OntologyProfileId": "pro",
    "Label": "Publishing Roles Ontology",
    "Version": "current",
    "VersionIri": "http://www.sparontologies.net/ontologies/pro",
    "NamespaceIri": "http://purl.org/spar/pro/",
    "License": "CC BY",
    "Scope": "Roles and roles held during a period of time.",
    "Name": "Publishing Roles Ontology current"
   },
   {
    "OntologyProfileId": "m4ing",
    "Label": "Metadata4Ing",
    "Version": "current",
    "VersionIri": "https://nfdi4ing.pages.rwth-aachen.de/metadata4ing/",
    "NamespaceIri": "http://w3id.org/nfdi4ing/metadata4ing#",
    "License": "External",
    "Scope": "Tools and engineering-resource metadata.",
    "Name": "Metadata4Ing current"
   },
   {
    "OntologyProfileId": "odrl",
    "Label": "ODRL",
    "Version": "2.2",
    "VersionIri": "https://www.w3.org/TR/odrl-model/",
    "NamespaceIri": "http://www.w3.org/ns/odrl/2/",
    "License": "W3C",
    "Scope": "Policies, rules, assignee roles, duties, permissions, and prohibitions.",
    "Name": "ODRL 2.2"
   },
   {
    "OntologyProfileId": "erb-pko-extension-1.0.0",
    "Label": "ERB-PKO Enterprise Extension",
    "Version": "1.0.0",
    "VersionIri": "urn:effortless:pko-extension:1.0.0",
    "NamespaceIri": "urn:effortless:pko-extension#",
    "License": "Apache-2.0",
    "Scope": "Explicit extension for elicitation, tacit knowledge, governance, learning, operational bindings, and communication-channel policy.",
    "Name": "ERB-PKO Enterprise Extension 1.0.0"
   }
  ]
 },
 "EvaluationContexts": {
  "Description": "The instant this rulebook's time-dependent witnesses are evaluated against. Modeled as data rather than wall-clock so every freshness, overdue, and validity answer is reproducible and auditable: asking the same question tomorrow yields the same answer. Exactly one row carries IsCurrent.",
  "schema": [
   {
    "name": "EvaluationContextId",
    "datatype": "string",
    "type": "raw",
    "nullable": false,
    "Description": "Stored logical identifier for one EvaluationContexts row."
   },
   {
    "name": "Name",
    "datatype": "string",
    "type": "calculated",
    "nullable": true,
    "Description": "Human-readable calculated display alias for the EvaluationContexts row.",
    "formula": "={{Label}} &amp; \" @ \" &amp; {{AsOfInstant}}"
   },
   {
    "name": "Label",
    "datatype": "string",
    "type": "raw",
    "nullable": true,
    "Description": "What this evaluation instant represents."
   },
   {
    "name": "AsOfInstant",
    "datatype": "datetime",
    "type": "raw",
    "nullable": false,
    "Description": "The instant all time-dependent witnesses are evaluated against."
   },
   {
    "name": "IsCurrent",
    "datatype": "boolean",
    "type": "raw",
    "nullable": true,
    "Description": "TRUE for the single active evaluation context."
   },
   {
    "name": "Rationale",
    "datatype": "string",
    "type": "raw",
    "nullable": true,
    "Description": "Why this instant was chosen."
   },
   {
    "name": "SemanticTypeIri",
    "datatype": "string",
    "type": "raw",
    "nullable": true,
    "Description": "Extension class IRI."
   }
  ],
  "data": [
   {
    "EvaluationContextId": "eval-current",
    "Label": "Post-close evaluation",
    "AsOfInstant": "2026-07-19T13:00:00-05:00",
    "IsCurrent": true,
    "Rationale": "Shortly after the Q3 close execution and the policy notification run, so both procedure families have completed executions to witness against. Fixed as data so freshness and overdue answers are reproducible.",
    "SemanticTypeIri": "urn:effortless:pko-extension#EvaluationContext",
    "Name": "Post-close evaluation @ 2026-07-19T18:00:00+00:00"
   }
  ]
 },
 "Organizations": {
  "Description": "Organizations that own, adopt, govern, or execute procedures. Maps to prov:Organization.",
  "important": false,
  "schema": [
   {
    "name": "OrganizationId",
    "datatype": "string",
    "type": "raw",
    "nullable": false,
    "Description": "Stored logical identifier for one Organizations row."
   },
   {
    "name": "Name",
    "datatype": "string",
    "type": "calculated",
    "nullable": true,
    "Description": "Human-readable calculated display alias for the Organizations row.",
    "formula": "={{DisplayName}}"
   },
   {
    "name": "DisplayName",
    "datatype": "string",
    "type": "raw",
    "nullable": true,
    "Description": "Organization's human-readable name."
   },
   {
    "name": "OrganizationType",
    "datatype": "string",
    "type": "raw",
    "nullable": true,
    "Description": "Type such as Company, Department, Vendor, or Regulator."
   },
   {
    "name": "ExternalIdentifier",
    "datatype": "string",
    "type": "raw",
    "nullable": true,
    "Description": "Identifier in an operational directory or master-data system."
   },
   {
    "name": "SemanticTypeIri",
    "datatype": "string",
    "type": "raw",
    "nullable": true,
    "Description": "Exact RDF class IRI for the organization."
   }
  ],
  "data": [
   {
    "OrganizationId": "acme-corp",
    "DisplayName": "ACME Corporation",
    "OrganizationType": "Company",
    "ExternalIdentifier": "org-001",
    "SemanticTypeIri": "http://www.w3.org/ns/prov#Organization",
    "Name": "ACME Corporation"
   },
   {
    "OrganizationId": "acme-finance",
    "DisplayName": "ACME Finance",
    "OrganizationType": "Department",
    "ExternalIdentifier": "dept-fin",
    "SemanticTypeIri": "https://w3id.org/pko/industry#Department",
    "Name": "ACME Finance"
   },
   {
    "OrganizationId": "acme-people",
    "DisplayName": "ACME People Operations",
    "OrganizationType": "Department",
    "ExternalIdentifier": "dept-people",
    "SemanticTypeIri": "https://w3id.org/pko/industry#Department",
    "Name": "ACME People Operations"
   },
   {
    "OrganizationId": "acme-legal",
    "DisplayName": "ACME Legal",
    "OrganizationType": "Department",
    "ExternalIdentifier": "dept-legal",
    "SemanticTypeIri": "https://w3id.org/pko/industry#Department",
    "Name": "ACME Legal"
   }
  ]
 },
 "Agents": {
  "Description": "Human and software agents that create, modify, approve, or execute procedural knowledge. Maps to prov:Agent.",
  "important": true,
  "schema": [
   {
    "name": "AgentId",
    "datatype": "string",
    "type": "raw",
    "nullable": false,
    "Description": "Stored logical identifier for one Agents row."
   },
   {
    "name": "Name",
    "datatype": "string",
    "type": "calculated",
    "nullable": true,
    "Description": "Human-readable calculated display alias for the Agents row.",
    "formula": "={{DisplayName}}"
   },
   {
    "name": "DisplayName",
    "datatype": "string",
    "type": "raw",
    "nullable": true,
    "Description": "Agent's human-readable name."
   },
   {
    "name": "AgentKind",
    "datatype": "string",
    "type": "raw",
    "nullable": true,
    "Description": "Human, AIAgent, AutomatedPipeline, Organization, or another explicit agent category."
   },
   {
    "name": "Organization",
    "datatype": "string",
    "type": "relationship",
    "nullable": true,
    "Description": "Organization to which the agent belongs.",
    "RelatedTo": "Organizations"
   },
   {
    "name": "ContactAddress",
    "datatype": "string",
    "type": "raw",
    "nullable": true,
    "Description": "Contact address when applicable."
   },
   {
    "name": "VersionOrEmploymentKey",
    "datatype": "string",
    "type": "raw",
    "nullable": true,
    "Description": "Model version, pipeline release, or employment assignment key."
   },
   {
    "name": "CountOfCurrentRoleAssignments",
    "datatype": "integer",
    "type": "aggregation",
    "nullable": true,
    "Description": "How many role assignments this agent currently holds. Counts only CURRENT assignments via the CurrentAgentKey echo — counting all assignments would report a departed agent as engaged forever.",
    "formula": "=COUNTIFS(RoleAssignments!{{CurrentAgentKey}}, {{AgentId}})"
   },
   {
    "name": "IsStillEngaged",
    "datatype": "boolean",
    "type": "calculated",
    "nullable": true,
    "Description": "TRUE when this agent currently holds at least one role in the organization.",
    "formula": "={{CountOfCurrentRoleAssignments}} &gt; 0"
   },
   {
    "name": "DecisionCount",
    "datatype": "number",
    "type": "aggregation",
    "nullable": true,
    "Description": "Total decisions this agent has recorded.",
    "formula": "=COUNTIFS(AgentDecisionRecords!{{DecidingAgent}}, {{AgentId}})"
   },
   {
    "name": "OverriddenDecisionCount",
    "datatype": "number",
    "type": "aggregation",
    "nullable": true,
    "Description": "Decisions by this agent that a human corrected or reversed.",
    "formula": "=COUNTIFS(AgentDecisionRecords!{{DecidingAgentWhenOverridden}}, {{AgentId}})"
   },
   {
    "name": "OverrideRatePercent",
    "datatype": "number",
    "type": "calculated",
    "nullable": true,
    "Description": "Percentage of this agent's decisions that were overridden by a human.",
    "formula": "=IF({{DecisionCount}} = 0, 0, ({{OverriddenDecisionCount}} * 100) / {{DecisionCount}})"
   },
   {
    "name": "IsNonHuman",
    "datatype": "boolean",
    "type": "calculated",
    "nullable": true,
    "Description": "TRUE when this agent is an AI agent or an automated pipeline.",
    "formula": "=NOT({{AgentKind}} = \"Human\")"
   },
   {
    "name": "BoundaryViolationCount",
    "datatype": "number",
    "type": "aggregation",
    "nullable": true,
    "Description": "Number of decisions by this agent that violated an authority boundary.",
    "formula": "=COUNTIFS(AgentDecisionRecords!{{AgentWhenBoundaryViolated}}, {{AgentId}})"
   },
   {
    "name": "IsOperatingOutsideBoundary",
    "datatype": "boolean",
    "type": "calculated",
    "nullable": true,
    "Description": "TRUE when this agent has made at least one decision an authority boundary forbids.",
    "formula": "={{BoundaryViolationCount}} &gt; 0"
   },
   {
    "name": "DraftDecisionCount",
    "datatype": "number",
    "type": "aggregation",
    "nullable": true,
    "Description": "Number of drafting decisions this agent has made.",
    "formula": "=COUNTIFS(AgentDecisionRecords!{{AgentWhenDraft}}, {{AgentId}})"
   },
   {
    "name": "OverriddenDraftCount",
    "datatype": "number",
    "type": "aggregation",
    "nullable": true,
    "Description": "Number of this agent's drafting decisions a human corrected or reversed.",
    "formula": "=COUNTIFS(AgentDecisionRecords!{{AgentWhenDraftOverridden}}, {{AgentId}})"
   },
   {
    "name": "DraftRewriteRatePercent",
    "datatype": "number",
    "type": "calculated",
    "nullable": true,
    "Description": "Percentage of this agent's drafting output that a human rewrote.",
    "formula": "=IF({{DraftDecisionCount}} = 0, 0, ({{OverriddenDraftCount}} * 100) / {{DraftDecisionCount}})"
   },
   {
    "name": "TimesNamedAsBroker",
    "datatype": "number",
    "type": "aggregation",
    "nullable": true,
    "Description": "How many active informal-reliance links name this agent as the one actually consulted.",
    "formula": "=COUNTIFS(KnowledgeBrokerLinks!{{ActiveRelianceBrokerKey}}, {{AgentId}})"
   },
   {
    "name": "IsRecognizedBroker",
    "datatype": "boolean",
    "type": "calculated",
    "nullable": true,
    "Description": "TRUE when at least three people actively rely on this agent as an informal knowledge broker.",
    "formula": "={{TimesNamedAsBroker}} &gt;= 3"
   },
   {
    "name": "AtRiskRelianceCount",
    "datatype": "number",
    "type": "aggregation",
    "nullable": true,
    "Description": "How many active informal-reliance links name this agent while this agent holds no current role.",
    "formula": "=COUNTIFS(KnowledgeBrokerLinks!{{AtRiskBrokerKey}}, {{AgentId}})"
   },
   {
    "name": "HasAtRiskKnowledgeReliance",
    "datatype": "boolean",
    "type": "calculated",
    "nullable": true,
    "Description": "TRUE when people are actively relying on this agent even though they have already left every role.",
    "formula": "={{AtRiskRelianceCount}} &gt; 0"
   },
   {
    "name": "SemanticTypeIri",
    "datatype": "string",
    "type": "raw",
    "nullable": true,
    "Description": "Exact semantic type IRI used when projecting the agent."
   }
  ],
  "data": [
   {
    "AgentId": "maria-chen",
    "DisplayName": "Maria Chen",
    "AgentKind": "Human",
    "Organization": "acme-finance",
    "ContactAddress": "maria.chen@example.com",
    "VersionOrEmploymentKey": "finance-analyst-2026",
    "SemanticTypeIri": "prov:Agent",
    "Name": "Maria Chen",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"devon-okafor",
    "DisplayName": "Devon Okafor",
    "AgentKind": "Human",
    "Organization": "acme-finance",
    "ContactAddress": "devon.okafor@example.com",
    "VersionOrEmploymentKey": "controller-2026",
    "SemanticTypeIri": "prov:Agent",
    "Name": "Devon Okafor",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"priya-raman",
    "DisplayName": "Priya Raman",
    "AgentKind": "Human",
    "Organization": "acme-finance",
    "ContactAddress": "priya.raman@example.com",
    "VersionOrEmploymentKey": "cfo-2026",
    "SemanticTypeIri": "prov:Agent",
    "Name": "Priya Raman",
    "CountOfCurrentRoleAssignments": 2,
    "IsStillEngaged": true,
    "DecisionCount": 0,
    "OverriddenDecisionCount": 0,
    "OverrideRatePercent": 0,
    "IsNonHuman": false,
    "BoundaryViolationCount": 0,
    "IsOperatingOutsideBoundary": false,
    "DraftDecisionCount": 0,
    "OverriddenDraftCount": 0,
    "DraftRewriteRatePercent": 0,
    "TimesNamedAsBroker": 3,
    "IsRecognizedBroker": true,
    "AtRiskRelianceCount": 0,
    "HasAtRiskKnowledgeReliance": false
   },
   {
    "AgentId": "elena-garcia",
    "DisplayName": "Elena Garcia",
    "AgentKind": "Human",
    "Organization": "acme-people",
    "ContactAddress": "elena.garcia@example.com",
    "VersionOrEmploymentKey": "hr-owner-2026",
    "SemanticTypeIri": "prov:Agent",
    "Name": "Elena Garcia",
    "CountOfCurrentRoleAssignments": 2,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"noah-williams",
    "DisplayName": "Noah Williams",
    "AgentKind": "Human",
    "Organization": "acme-legal",
    "ContactAddress": "noah.williams@example.com",
    "VersionOrEmploymentKey": "employment-counsel-2026",
    "SemanticTypeIri": "prov:Agent",
    "Name": "Noah Williams",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"amina-yusuf",
    "DisplayName": "Amina Yusuf",
    "AgentKind": "Human",
    "Organization": "acme-people",
    "ContactAddress": "amina.yusuf@example.com",
    "VersionOrEmploymentKey": "communications-2026",
    "SemanticTypeIri": "prov:Agent",
    "Name": "Amina Yusuf",
    "CountOfCurrentRoleAssignments": 1,
    "IsStillEngaged": true,
    "DecisionCount": 0,
    "OverriddenDecisionCount": 0,
    "OverrideRatePercent": 0,
    "IsNonHuman": false,
    "BoundaryViolationCount": 0,
    "IsOperatingOutsideBoundary": false,
    "DraftDecisionCount": 0,
    "OverriddenDraftCount": 0,
    "DraftRewriteRatePercent": 0,
    "TimesNamedAsBroker": 0,
    "IsRecognizedBroker": false,
    "AtRiskRelianceCount": 0,
    "HasAtRiskKnowledgeReliance": false
   },
   {
    "AgentId": "close-pipeline",
    "DisplayName": "Close Automation Pipeline",
    "AgentKind": "AutomatedPipeline",
    "Organization": "acme-finance",
    "ContactAddress": "",
    "VersionOrEmploymentKey": "close-pipeline-v5.2",
    "SemanticTypeIri": "prov:SoftwareAgent",
    "Name": "Close Automation Pipeline",
    "CountOfCurrentRoleAssignments": 1,
    "IsStillEngaged": true,
    "DecisionCount": 3,
    "OverriddenDecisionCount": 1,
    "OverrideRatePercent": 33.333333333333336,
    "IsNonHuman": true,
    "BoundaryViolationCount": 0,
    "IsOperatingOutsideBoundary": false,
    "DraftDecisionCount": 0,
    "OverriddenDraftCount": 0,
    "DraftRewriteRatePercent": 0,
    "TimesNamedAsBroker": 0,
    "IsRecognizedBroker": false,
    "AtRiskRelianceCount": 0,
    "HasAtRiskKnowledgeReliance": false
   },
   {
    "AgentId": "variance-ai",
    "DisplayName": "Variance Analysis AI",
    "AgentKind": "AIAgent",
    "Organization": "acme-finance",
    "ContactAddress": "",
    "VersionOrEmploymentKey": "variance-model-v3.1",
    "SemanticTypeIri": "prov:SoftwareAgent",
    "Name": "Variance Analysis AI",
    "CountOfCurrentRoleAssignments": 1,
    "IsStillEngaged": true,
    "DecisionCount": 0,
    "OverriddenDecisionCount": 0,
    "OverrideRatePercent": 0,
    "IsNonHuman": true,
    "BoundaryViolationCount": 0,
    "IsOperatingOutsideBoundary": false,
    "DraftDecisionCount": 0,
    "OverriddenDraftCount": 0,
    "DraftRewriteRatePercent": 0,
    "TimesNamedAsBroker": 0,
    "IsRecognizedBroker": false,
    "AtRiskRelianceCount": 0,
    "HasAtRiskKnowledgeReliance": false
   },
   {
    "AgentId": "policy-drafting-ai",
    "DisplayName": "Policy Drafting AI",
    "AgentKind": "AIAgent",
    "Organization": "acme-people",
    "ContactAddress": "",
    "VersionOrEmploymentKey": "policy-drafter-v2.0",
    "SemanticTypeIri": "prov:SoftwareAgent",
    "Name": "Policy Drafting AI",
    "CountOfCurrentRoleAssignments": 1,
    "IsStillEngaged": true,
    "DecisionCount": 0,
    "OverriddenDecisionCount": 0,
    "OverrideRatePercent": 0,
    "IsNonHuman": true,
    "BoundaryViolationCount": 0,
    "IsOperatingOutsideBoundary": false,
    "DraftDecisionCount": 0,
    "OverriddenDraftCount": 0,
    "DraftRewriteRatePercent": 0,
    "TimesNamedAsBroker": 0,
    "IsRecognizedBroker": false,
    "AtRiskRelianceCount": 0,
    "HasAtRiskKnowledgeReliance": false
   },
   {
    "AgentId": "notification-pipeline",
    "DisplayName": "Employee Notification Pipeline",
    "AgentKind": "AutomatedPipeline",
    "Organization": "acme-people",
    "ContactAddress": "",
    "VersionOrEmploymentKey": "notify-v4.4",
    "SemanticTypeIri": "prov:SoftwareAgent",
    "Name": "Employee Notification Pipeline",
    "CountOfCurrentRoleAssignments": 1,
    "IsStillEngaged": true,
    "DecisionCount": 0,
    "OverriddenDecisionCount": 0,
    "OverrideRatePercent": 0,
    "IsNonHuman": true,
    "BoundaryViolationCount": 0,
    "IsOperatingOutsideBoundary": false,
    "DraftDecisionCount": 0,
    "OverriddenDraftCount": 0,
    "DraftRewriteRatePercent": 0,
    "TimesNamedAsBroker": 0,
    "IsRecognizedBroker": false,
    "AtRiskRelianceCount": 0,
    "HasAtRiskKnowledgeReliance": false
   },
   {
    "AgentId": "jordan-park",
    "DisplayName": "Jordan Park",
    "AgentKind": "Human",
    "Organization": "acme-finance",
    "ContactAddress": "",
    "VersionOrEmploymentKey": "",
    "SemanticTypeIri": "prov:Agent",
    "Name": "Jordan Park",
    "CountOfCurrentRoleAssignments": 0,
    "IsStillEngaged": false,
    "DecisionCount": 0,
    "OverriddenDecisionCount": 0,
    "OverrideRatePercent": 0,
    "IsNonHuman": false,
    "BoundaryViolationCount": 0,
    "IsOperatingOutsideBoundary": false,
    "DraftDecisionCount": 0,
    "OverriddenDraftCount": 0,
    "DraftRewriteRatePercent": 0,
    "TimesNamedAsBroker": 1,
    "IsRecognizedBroker": false,
    "AtRiskRelianceCount": 1,
    "HasAtRiskKnowledgeReliance": true
   }
  ]
 },
 "Roles": {
  "Description": "Stable organizational functions separated from the agents that currently fill them. Maps to pro:Role.",
  "important": true,
  "schema": [
   {
    "name": "RoleId",
    "datatype": "string",
    "type": "raw",
    "nullable": false,
    "Description": "Stored logical identifier for one Roles row."
   },
   {
    "name": "Name",
    "datatype": "string",
    "type": "calculated",
    "nullable": true,
    "Description": "Human-readable calculated display alias for the Roles row.",
    "formula": "={{Label}}"
   },
   {
    "name": "Label",
    "datatype": "string",
    "type": "raw",
    "nullable": true,
    "Description": "Human-readable role label."
   },
   {
    "name": "Organization",
    "datatype": "string",
    "type": "relationship",
    "nullable": true,
    "Description": "Organization that owns the role.",
    "RelatedTo": "Organizations"
   },
   {
    "name": "CurrentAgent",
    "datatype": "string",
    "type": "relationship",
    "nullable": true,
    "Description": "Current agent filling the role; history is retained in RoleAssignments.",
    "RelatedTo": "Agents"
   },
   {
    "name": "CurrentAgentKind",
    "datatype": "string",
    "type": "lookup",
    "nullable": true,
    "Description": "Agent category of the current role filler.",
    "formula": "=INDEX(Agents!{{AgentKind}}, MATCH({{CurrentAgent}}, Agents!{{AgentId}}, 0))"
   },
   {
    "name": "Responsibility",
    "datatype": "string",
    "type": "raw",
    "nullable": true,
    "Description": "Accountability and responsibility assigned to the role."
   },
   {
    "name": "ActiveAssignmentCount",
    "datatype": "number",
    "type": "aggregation",
    "nullable": true,
    "Description": "Total number of assignment rows ever recorded against this role.",
    "formula": "=COUNTIFS(RoleAssignments!{{Role}}, {{RoleId}})"
   },
   {
    "name": "CurrentlyCoveredAssignmentCount",
    "datatype": "number",
    "type": "aggregation",
    "nullable": true,
    "Description": "Number of assignment rows for this role that are in force right now.",
    "formula": "=COUNTIFS(RoleAssignments!{{RoleWhenCovering}}, {{RoleId}})"
   },
   {
    "name": "HasNoCurrentHolder",
    "datatype": "boolean",
    "type": "calculated",
    "nullable": true,
    "Description": "TRUE when no assignment currently covers this role — the role is uncovered.",
    "formula": "={{CurrentlyCoveredAssignmentCount}} = 0"
   },
   {
    "name": "CountOfAwaitedDecisions",
    "datatype": "integer",
    "type": "aggregation",
    "nullable": true,
    "Description": "How many change requests name this role as the deciding authority.",
    "formula": "=COUNTIFS(ChangeRequests!{{AuthorityRole}}, Roles!{{RoleId}})"
   },
   {
    "name": "CurrentAssignment",
    "datatype": "string",
    "type": "raw",
    "nullable": true,
    "Description": "The RoleAssignments id of the assignment by which this role is currently held. Deliberately a raw identifier, not a relationship: RoleAssignments already points at Roles, so an FK back would make the two mutually dependent and this rulebook must stay acyclic."
   },
   {
    "name": "CurrentAssignmentValidFrom",
    "datatype": "datetime",
    "type": "lookup",
    "nullable": true,
    "Description": "Start of the currently-in-force assignment for this role.",
    "formula": "=INDEX(RoleAssignments!{{ValidFrom}}, MATCH({{CurrentAssignment}}, RoleAssignments!{{RoleAssignmentId}}, 0))"
   },
   {
    "name": "IsNonHumanHeld",
    "datatype": "boolean",
    "type": "calculated",
    "nullable": true,
    "Description": "TRUE when the role's current agent is an AI agent or automated pipeline.",
    "formula": "=NOT({{CurrentAgentKind}} = \"Human\")"
   },
   {
    "name": "IsUngovernedNonHumanRole",
    "datatype": "boolean",
    "type": "calculated",
    "nullable": true,
    "Description": "TRUE when a role is pointed at a non-human agent but has no assignment row granting it.",
    "formula": "=AND({{IsNonHumanHeld}}, {{HasNoCurrentHolder}})"
   },
   {
    "name": "DepartedAssignmentCount",
    "datatype": "number",
    "type": "aggregation",
    "nullable": true,
    "Description": "How many a</t>
  </si>
  <si>
    <t xml:space="preserve">ssignments to this role have ended.",
    "formula": "=COUNTIFS(RoleAssignments!{{DepartedRoleKey}}, {{RoleId}})"
   },
   {
    "name": "HasLostAHolder",
    "datatype": "boolean",
    "type": "calculated",
    "nullable": true,
    "Description": "Whether anyone has ever departed this role.",
    "formula": "={{DepartedAssignmentCount}} &gt; 0"
   },
   {
    "name": "IsVacatedRole",
    "datatype": "boolean",
    "type": "calculated",
    "nullable": true,
    "Description": "A role somebody departed and that nobody currently covers.",
    "formula": "=AND({{HasLostAHolder}}, {{HasNoCurrentHolder}})"
   },
   {
    "name": "UngroundedBoundaryCount",
    "datatype": "number",
    "type": "aggregation",
    "nullable": true,
    "Description": "How many boundaries constrain this role on lapsed authority.",
    "formula": "=COUNTIFS(AuthorityBoundaries!{{ConstrainedRoleAssignmentKey}}, {{RoleId}})"
   },
   {
    "name": "IsGovernedByLapsedAuthority",
    "datatype": "boolean",
    "type": "calculated",
    "nullable": true,
    "Description": "TRUE when at least one constraint on this role rests on knowledge that is no longer valid.",
    "formula": "=({{UngroundedBoundaryCount}} &gt; 0)"
   },
   {
    "name": "UnescalatedRefusalCount",
    "datatype": "number",
    "type": "aggregation",
    "nullable": true,
    "Description": "How many refusals this role should have been told about and was not.",
    "formula": "=COUNTIFS(SendIntents!{{UnescalatedRefusalRoleKey}}, {{RoleId}})"
   },
   {
    "name": "UnauthorizedEnforcementAssignmentCount",
    "datatype": "number",
    "type": "aggregation",
    "nullable": true,
    "Description": "How many current assignments of this role are unauthorized enforcement assignments.",
    "formula": "=COUNTIFS(RoleAssignments!{{UnauthorizedEnforcementRoleKey}}, {{RoleId}})"
   },
   {
    "name": "IsUngovernedEnforcementRole",
    "datatype": "boolean",
    "type": "calculated",
    "nullable": true,
    "Description": "TRUE when a role that enforces controls on others is held with no recorded authorization.",
    "formula": "=({{UnauthorizedEnforcementAssignmentCount}} &gt; 0)"
   },
   {
    "name": "SemanticTypeIri",
    "datatype": "string",
    "type": "raw",
    "nullable": true,
    "Description": "Exact semantic type IRI for the role."
   }
  ],
  "data": [
   {
    "RoleId": "finance-analyst",
    "Label": "Finance Analyst",
    "Organization": "acme-finance",
    "CurrentAgent": "maria-chen",
    "Responsibility": "Preparer of reconciliations and variance evidence.",
    "SemanticTypeIri": "http://purl.org/spar/pro/Role",
    "CurrentAssignment": "ra-finance-2026",
    "Name": "Finance Analyst",
    "CurrentAgentKind": "Human",
    "ActiveAssignmentCount": 1,
    "CurrentlyCoveredAssignmentCount": 1,
    "HasNoCurrentHolder": false,
    "CountOfAwaitedDecisions": 0,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"controller",
    "Label": "Corporate Controller",
    "Organization": "acme-finance",
    "CurrentAgent": "devon-okafor",
    "Responsibility": "Owner of close controls and first approval authority.",
    "SemanticTypeIri": "http://purl.org/spar/pro/Role",
    "CurrentAssignment": "ra-controller-2026",
    "Name": "Corporate Controller",
    "CurrentAgentKind": "Human",
    "ActiveAssignmentCount": 1,
    "CurrentlyCoveredAssignmentCount": 1,
    "HasNoCurrentHolder": false,
    "CountOfAwaitedDecisions": 0,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"cfo",
    "Label": "Chief Financial Officer",
    "Organization": "acme-finance",
    "CurrentAgent": "priya-raman",
    "Responsibility": "Final authority for the financial close.",
    "SemanticTypeIri": "http://purl.org/spar/pro/Role",
    "CurrentAssignment": "ra-cfo-2026",
    "Name": "Chief Financial Officer",
    "CurrentAgentKind": "Human",
    "ActiveAssignmentCount": 1,
    "CurrentlyCoveredAssignmentCount": 1,
    "HasNoCurrentHolder": false,
    "CountOfAwaitedDecisions": 0,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"hr-policy-owner",
    "Label": "People Policy Owner",
    "Organization": "acme-people",
    "CurrentAgent": "elena-garcia",
    "Responsibility": "Accountable owner for employment policy content.",
    "SemanticTypeIri": "http://purl.org/spar/pro/Role",
    "CurrentAssignment": "ra-policy-owner-2026",
    "Name": "People Policy Owner",
    "CurrentAgentKind": "Human",
    "ActiveAssignmentCount": 1,
    "CurrentlyCoveredAssignmentCount": 1,
    "HasNoCurrentHolder": false,
    "CountOfAwaitedDecisions": 1,
    "CurrentAssignmentValidFrom": "2026-02-01T00:00:00-06:00",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"employment-counsel",
    "Label": "Employment Counsel",
    "Organization": "acme-legal",
    "CurrentAgent": "noah-williams",
    "Responsibility": "Legal reviewer for workforce policy changes.",
    "SemanticTypeIri": "http://purl.org/spar/pro/Role",
    "CurrentAssignment": "ra-counsel-2026",
    "Name": "Employment Counsel",
    "CurrentAgentKind": "Human",
    "ActiveAssignmentCount": 1,
    "CurrentlyCoveredAssignmentCount": 1,
    "HasNoCurrentHolder": false,
    "CountOfAwaitedDecisions": 0,
    "CurrentAssignmentValidFrom": "2026-01-15T00:00:00-06:00",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"communications-manager",
    "Label": "Employee Communications Manager",
    "Organization": "acme-people",
    "CurrentAgent": "amina-yusuf",
    "Responsibility": "Human owner of employee communications.",
    "SemanticTypeIri": "http://purl.org/spar/pro/Role",
    "CurrentAssignment": "ra-comms-2026",
    "Name": "Employee Communications Manager",
    "CurrentAgentKind": "Human",
    "ActiveAssignmentCount": 1,
    "CurrentlyCoveredAssignmentCount": 1,
    "HasNoCurrentHolder": false,
    "CountOfAwaitedDecisions": 0,
    "CurrentAssignmentValidFrom": "2026-02-01T00:00:00-06:00",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"close-automation",
    "Label": "Close Automation Operator",
    "Organization": "acme-finance",
    "CurrentAgent": "close-pipeline",
    "Responsibility": "Deterministic extraction, posting, and archival operator.",
    "SemanticTypeIri": "http://purl.org/spar/pro/Role",
    "CurrentAssignment": "ra-close-pipeline-2026",
    "Name": "Close Automation Operator",
    "CurrentAgentKind": "AutomatedPipeline",
    "ActiveAssignmentCount": 1,
    "CurrentlyCoveredAssignmentCount": 1,
    "HasNoCurrentHolder": false,
    "CountOfAwaitedDecisions": 0,
    "CurrentAssignmentValidFrom": "2026-01-01T00:00:00-06:00",
    "IsNonHumanHeld": true,
    "IsUngovernedNonHumanRole": false,
    "DepartedAssignmentCount": 0,
    "HasLostAHolder": false,
    "IsVacatedRole": false,
    "UngroundedBoundaryCount": 0,
    "IsGovernedByLapsedAuthority": false,
    "UnescalatedRefusalCount": 0,
    "UnauthorizedEnforcementAssignmentCount": 1,
    "IsUngovernedEnforcementRole": true
   },
   {
    "RoleId": "variance-review-agent",
    "Label": "Variance Review Agent",
    "Organization": "acme-finance",
    "CurrentAgent": "variance-ai",
    "Responsibility": "AI assistant that classifies and prioritizes variances.",
    "SemanticTypeIri": "http://purl.org/spar/pro/Role",
    "CurrentAssignment": "ra-new-variance",
    "Name": "Variance Review Agent",
    "CurrentAgentKind": "AIAgent",
    "ActiveAssignmentCount": 2,
    "CurrentlyCoveredAssignmentCount": 1,
    "HasNoCurrentHolder": false,
    "CountOfAwaitedDecisions": 0,
    "CurrentAssignmentValidFrom": "2026-04-01T00:00:00-05:00",
    "IsNonHumanHeld": true,
    "IsUngovernedNonHumanRole": false,
    "DepartedAssignmentCount": 1,
    "HasLostAHolder": true,
    "IsVacatedRole": false,
    "UngroundedBoundaryCount": 0,
    "IsGovernedByLapsedAuthority": false,
    "UnescalatedRefusalCount": 0,
    "UnauthorizedEnforcementAssignmentCount": 0,
    "IsUngovernedEnforcementRole": false
   },
   {
    "RoleId": "policy-drafting-agent",
    "Label": "Policy Drafting Agent",
    "Organization": "acme-people",
    "CurrentAgent": "policy-drafting-ai",
    "Responsibility": "AI assistant that drafts policy and channel variants.",
    "SemanticTypeIri": "http://purl.org/spar/pro/Role",
    "CurrentAssignment": "ra-policy-ai-2026",
    "Name": "Policy Drafting Agent",
    "CurrentAgentKind": "AIAgent",
    "ActiveAssignmentCount": 1,
    "CurrentlyCoveredAssignmentCount": 1,
    "HasNoCurrentHolder": false,
    "CountOfAwaitedDecisions": 0,
    "CurrentAssignmentValidFrom": "2026-05-01T00:00:00-05:00",
    "IsNonHumanHeld": true,
    "IsUngovernedNonHumanRole": false,
    "DepartedAssignmentCount": 0,
    "HasLostAHolder": false,
    "IsVacatedRole": false,
    "UngroundedBoundaryCount": 0,
    "IsGovernedByLapsedAuthority": false,
    "UnescalatedRefusalCount": 0,
    "UnauthorizedEnforcementAssignmentCount": 1,
    "IsUngovernedEnforcementRole": true
   },
   {
    "RoleId": "notification-publisher",
    "Label": "Notification Publisher",
    "Organization": "acme-people",
    "CurrentAgent": "notification-pipeline",
    "Responsibility": "Pipeline that applies channel rules and sends approved messages.",
    "SemanticTypeIri": "http://purl.org/spar/pro/Role",
    "CurrentAssignment": "ra-notify-pipeline-2026",
    "Name": "Notification Publisher",
    "CurrentAgentKind": "AutomatedPipeline",
    "ActiveAssignmentCount": 1,
    "CurrentlyCoveredAssignmentCount": 1,
    "HasNoCurrentHolder": false,
    "CountOfAwaitedDecisions": 0,
    "CurrentAssignmentValidFrom": "2026-03-01T00:00:00-06:00",
    "IsNonHumanHeld": true,
    "IsUngovernedNonHumanRole": false,
    "DepartedAssignmentCount": 0,
    "HasLostAHolder": false,
    "IsVacatedRole": false,
    "UngroundedBoundaryCount": 0,
    "IsGovernedByLapsedAuthority": false,
    "UnescalatedRefusalCount": 0,
    "UnauthorizedEnforcementAssignmentCount": 1,
    "IsUngovernedEnforcementRole": true
   },
   {
    "RoleId": "process-steward",
    "Label": "Procedural Knowledge Steward",
    "Organization": "acme-people",
    "CurrentAgent": "elena-garcia",
    "Responsibility": "Maintains procedural knowledge health and review cadence.",
    "SemanticTypeIri": "http://purl.org/spar/pro/Role",
    "CurrentAssignment": "ra-steward-2026",
    "Name": "Procedural Knowledge Steward",
    "CurrentAgentKind": "Human",
    "ActiveAssignmentCount": 1,
    "CurrentlyCoveredAssignmentCount": 1,
    "HasNoCurrentHolder": false,
    "CountOfAwaitedDecisions": 0,
    "CurrentAssignmentValidFrom": "2026-04-15T09:00:00-05:00",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"RoleId": "knowledge-authority",
    "Label": "Procedural Knowledge Authority",
    "Organization": "acme-finance",
    "CurrentAgent": "priya-raman",
    "Responsibility": "Approves semantic changes that alter commitments or controls.",
    "SemanticTypeIri": "http://purl.org/spar/pro/Role",
    "CurrentAssignment": "ra-authority-2026",
    "Name": "Procedural Knowledge Authority",
    "CurrentAgentKind": "Human",
    "ActiveAssignmentCount": 1,
    "CurrentlyCoveredAssignmentCount": 1,
    "HasNoCurrentHolder": false,
    "CountOfAwaitedDecisions": 1,
    "CurrentAssignmentValidFrom": "2026-01-01T00:00:00-06:00",
    "IsNonHumanHeld": false,
    "IsUngovernedNonHumanRole": false,
    "DepartedAssignmentCount": 0,
    "HasLostAHolder": false,
    "IsVacatedRole": false,
    "UngroundedBoundaryCount": 0,
    "IsGovernedByLapsedAuthority": false,
    "UnescalatedRefusalCount": 0,
    "UnauthorizedEnforcementAssignmentCount": 0,
    "IsUngovernedEnforcementRole": false
   }
  ]
 },
 "RoleAssignments": {
  "Description": "Time-bounded records of agents holding roles. Maps to pro:RoleInTime and preserves assignment history instead of overwriting it.",
  "important": false,
  "schema": [
   {
    "name": "RoleAssignmentId",
    "datatype": "string",
    "type": "raw",
    "nullable": false,
    "Description": "Stored logical identifier for one RoleAssignments row."
   },
   {
    "name": "Name",
    "datatype": "string",
    "type": "calculated",
    "nullable": true,
    "Description": "Human-readable calculated display alias for the RoleAssignments row.",
    "formula": "={{Role}} &amp; \" @ \" &amp; {{ValidFrom}}"
   },
   {
    "name": "Role",
    "datatype": "string",
    "type": "relationship",
    "nullable": true,
    "Description": "Role held during the assignment.",
    "RelatedTo": "Roles"
   },
   {
    "name": "Agent",
    "datatype": "string",
    "type": "relationship",
    "nullable": true,
    "Description": "Agent holding the role.",
    "RelatedTo": "Agents"
   },
   {
    "name": "ValidFrom",
    "datatype": "datetime",
    "type": "raw",
    "nullable": true,
    "Description": "Start of the assignment's valid-time interval."
   },
   {
    "name": "ValidTo",
    "datatype": "datetime",
    "type": "raw",
    "nullable": true,
    "Description": "End of the assignment's valid-time interval; null means open-ended."
   },
   {
    "name": "Reason",
    "datatype": "string",
    "type": "raw",
    "nullable": true,
    "Description": "Rationale for the assignment or reassignment."
   },
   {
    "name": "Status",
    "datatype": "string",
    "type": "raw",
    "nullable": true,
    "Description": "Active, Superseded, Planned, or Revoked."
   },
   {
    "name": "EvaluationContext",
    "datatype": "string",
    "type": "relationship",
    "nullable": true,
    "Description": "The evaluation context this assignment's currency is judged under.",
    "RelatedTo": "EvaluationContexts"
   },
   {
    "name": "AsOfInstant",
    "datatype": "datetime",
    "type": "lookup",
    "nullable": true,
    "Description": "The evaluation instant this assignment's currency is judged against.",
    "formula": "=INDEX(EvaluationContexts!{{AsOfInstant}}, MATCH({{EvaluationContext}}, EvaluationContexts!{{EvaluationContextId}}, 0))"
   },
   {
    "name": "IsCurrent",
    "datatype": "boolean",
    "type": "calculated",
    "nullable": true,
    "Description": "TRUE when the assignment is valid now.",
    "formula": "=AND({{ValidFrom}} &lt;= {{AsOfInstant}}, OR({{ValidTo}} = \"\", {{ValidTo}} &gt; {{AsOfInstant}}))"
   },
   {
    "name": "CurrentAgentKey",
    "datatype": "string",
    "type": "calculated",
    "nullable": true,
    "Description": "Echoes the Agent id only while this assignment is current; empty otherwise. Lets a parent count CURRENT assignments with a single-criterion COUNTIFS, which is the only shape this transpiler translates correctly.",
    "formula": "=IF({{IsCurrent}}, {{Agent}}, \"\")"
   },
   {
    "name": "IsCurrentlyValid",
    "datatype": "boolean",
    "type": "calculated",
    "nullable": true,
    "Description": "TRUE when this role assignment is active and has not lapsed.",
    "formula": "=AND({{Status}} = \"Active\", OR({{ValidTo}} = \"\", {{ValidTo}} &gt; {{AsOfInstant}}))"
   },
   {
    "name": "AgentRoleKey",
    "datatype": "string",
    "type": "calculated",
    "nullable": true,
    "Description": "Composite agent+role key, emitted only for currently-valid assignments.",
    "formula": "=IF({{IsCurrentlyValid}}, {{Agent}} &amp; \"|\" &amp; {{Role}}, \"\")"
   },
   {
    "name": "HasDeparted",
    "datatype": "boolean",
    "type": "calculated",
    "nullable": true,
    "Description": "TRUE when this role assignment has ended — the agent no longer holds the role.",
    "formula": "=AND({{ValidTo}} &lt;&gt; \"\", {{ValidTo}} &lt;= {{AsOfInstant}})"
   },
   {
    "name": "CoversNow",
    "datatype": "boolean",
    "type": "calculated",
    "nullable": true,
    "Description": "TRUE when this assignment is both status-Active and inside its valid-time window right now.",
    "formula": "=AND({{Status}} = \"Active\", {{ValidFrom}} &lt;= {{AsOfInstant}}, OR({{ValidTo}} = \"\", {{ValidTo}} &gt; {{AsOfInstant}}))"
   },
   {
    "name": "RoleWhenCovering",
    "datatype": "string",
    "type": "calculated",
    "nullable": true,
    "Description": "Echoes the role id when this assignment is currently in force, blank otherwise.",
    "formula": "=IF({{CoversNow}}, {{Role}}, \"\")"
   },
   {
    "name": "AgentKind",
    "datatype": "string",
    "type": "lookup",
    "nullable": true,
    "Description": "Whether the agent holding this assignment is Human, AIAgent, or AutomatedPipeline.",
    "formula": "=INDEX(Agents!{{AgentKind}}, MATCH({{Agent}}, Agents!{{AgentId}}, 0))"
   },
   {
    "name": "IsNonHumanAssignment",
    "datatype": "boolean",
    "type": "calculated",
    "nullable": true,
    "Description": "TRUE when this assignment places a non-human agent into the role.",
    "formula": "=NOT({{AgentKind}} = \"Human\")"
   },
   {
    "name": "SupersedesAssignment",
    "datatype": "string",
    "type": "relationship",
    "nullable": true,
    "Description": "The assignment this one replaced, if any.",
    "RelatedTo": "RoleAssignments"
   },
   {
    "name": "PredecessorAgentKind",
    "datatype": "string",
    "type": "lookup",
    "nullable": true,
    "Description": "Agent kind of the assignment this one superseded.",
    "formula": "=INDEX(RoleAssignments!{{AgentKind}}, MATCH({{SupersedesAssignment}}, RoleAssignments!{{RoleAssignmentId}}, 0))"
   },
   {
    "name": "IsHumanToNonHumanHandover",
    "datatype": "boolean",
    "type": "calculated",
    "nullable": true,
    "Description": "TRUE when this assignment handed a role from a human to a non-human agent.",
    "formula": "=AND({{PredecessorAgentKind}} = \"Human\", {{IsNonHumanAssignment}})"
   },
   {
    "name": "ApprovingAuthorityRole",
    "datatype": "string",
    "type": "relationship",
    "nullable": true,
    "Description": "Role that approved this assignment.",
    "RelatedTo": "Roles"
   },
   {
    "name": "AuthorizingChangeRequest",
    "datatype": "string",
    "type": "relationship",
    "nullable": true,
    "Description": "Change request under which this assignment was approved.",
    "RelatedTo": "ChangeRequests"
   },
   {
    "name": "IsUnauthorizedNonHumanAssignment",
    "datatype": "boolean",
    "type": "calculated",
    "nullable": true,
    "Description": "TRUE when a non-human agent holds this role with no approving authority recorded at all. An authority named without a change request is still an authority; the separate WasAuthorizedByChangeRequest column carries that weaker distinction.",
    "formula": "=AND({{IsNonHumanAssignment}}, NOT({{HasApprovingAuthority}}))"
   },
   {
    "name": "WasAuthorizedByChangeRequest",
    "datatype": "boolean",
    "type": "calculated",
    "nullable": true,
    "Description": "TRUE when this assignment's authorization is traceable to a change request, not merely to a named role. The stronger form of authorization, kept separate so the weaker one is not silently reported as unauthorized.",
    "formula": "=AND({{HasApprovingAuthority}}, {{AuthorizingChangeRequest}} &lt;&gt; \"\")"
   },
   {
    "name": "DecisionCount",
    "datatype": "number",
    "type": "aggregation",
    "nullable": true,
    "Description": "Decisions made under this assignment.",
    "formula": "=COUNTIFS(AgentDecisionRecords!{{RoleAssignmentWhenScored}}, {{RoleAssignmentId}})"
   },
   {
    "name": "OverriddenDecisionCount",
    "datatype": "number",
    "type": "aggregation",
    "nullable": true,
    "Description": "Decisions made under this assignment that a human corrected or reversed.",
    "formula": "=COUNTIFS(AgentDecisionRecords!{{RoleAssignmentWhenOverridden}}, {{RoleAssignmentId}})"
   },
   {
    "name": "OverrideRatePercent",
    "datatype": "number",
    "type": "calculated",
    "nullable": true,
    "Description": "Percentage of decisions under this assignment that a human overrode.",
    "formula": "=IF({{DecisionCount}} = 0, 0, ({{OverriddenDecisionCount}} * 100) / {{DecisionCount}})"
   },
   {
    "name": "PredecessorOverrideRatePercent",
    "datatype": "number",
    "type": "lookup",
    "nullable": true,
    "Description": "Override rate of the assignment this one superseded.",
    "formula": "=INDEX(RoleAssignments!{{OverrideRatePercent}}, MATCH({{SupersedesAssignment}}, RoleAssignments!{{RoleAssignmentId}}, 0))"
   },
   {
    "name": "QualityRegressedVsPredecessor",
    "datatype": "boolean",
    "type": "calculated",
    "nullable": true,
    "Description": "TRUE when this assignment is overridden by humans more often than the assignment it replaced.",
    "formula": "=AND({{SupersedesAssignment}} &lt;&gt; \"\", {{OverrideRatePercent}} &gt; {{PredecessorOverrideRatePercent}})"
   },
   {
    "name": "DepartedRoleKey",
    "datatype": "string",
    "type": "calculated",
    "nullable": true,
    "Description": "Composite-key echo: the role this assignment covered when the assignment has ended, blank otherwise.",
    "formula": "=IF({{HasDeparted}}, {{Role}}, \"\")"
   },
   {
    "name": "MinimumDecisionsForComparison",
    "datatype": "integer",
    "type": "raw",
    "nullable": true,
    "Description": "The number of decisions below which an override-rate comparison is not considered evidentially meaningful for this role."
   },
   {
    "name": "PredecessorDecisionCount",
    "datatype": "number",
    "type": "lookup",
    "nullable": true,
    "Description": "How many decisions the superseded assignment produced.",
    "formula": "=INDEX(RoleAssignments!{{DecisionCount}}, MATCH({{SupersedesAssignment}}, RoleAssignments!{{RoleAssignmentId}}, 0))"
   },
   {
    "name": "HasSufficientSample",
    "datatype": "boolean",
    "type": "calculated",
    "nullable": true,
    "Description": "TRUE when this assignment has produced enough decisions for its override rate to mean anything.",
    "formula": "={{DecisionCount}} &gt;= {{MinimumDecisionsForComparison}}"
   },
   {
    "name": "PredecessorHasSufficientSample",
    "datatype": "boolean",
    "type": "calculated",
    "nullable": true,
    "Description": "TRUE when the predecessor assignment produced enough decisions to compare against.",
    "formula": "={{PredecessorDecisionCount}} &gt;= {{MinimumDecisionsForComparison}}"
   },
   {
    "name": "ComparisonIsEvidentiallySound",
    "datatype": "boolean",
    "type": "calculated",
    "nullable": true,
    "Description": "TRUE when both sides of the override-rate comparison rest on adequate samples.",
    "formula": "=AND({{HasSufficientSample}}, {{PredecessorHasSufficientSample}})"
   },
   {
    "name": "SingleOverrideSwingPercent",
    "datatype": "number",
    "type": "calculated",
    "nullable": true,
    "Description": "How many percentage points one additional override would move this assignment's rate. The fragility of the number.",
    "formula": "=IF({{DecisionCount}} &gt; 0, 100 / {{DecisionCount}}, 0)"
   },
   {
    "name": "QualityVerdictIsUnsupported",
    "datatype": "boolean",
    "type": "calculated",
    "nullable": true,
    "Description": "TRUE when a quality verdict is being reported for this assignment on a sample too small to support it.",
    "formula": "=AND(NOT({{ComparisonIsEvidentiallySound}}), NOT({{QualityRegressedVsPredecessor}}))"
   },
   {
    "name": "IsUnmeasuredAutomationHandover",
    "datatype": "boolean",
    "type": "calculated",
    "nullable": true,
    "Description": "TRUE when a human-to-machine handover is operating without a statistically meaningful quality comparison behind it.",
    "formula": "=AND({{IsHumanToNonHumanHandover}}, NOT({{ComparisonIsEvidentiallySound}}))"
   },
   {
    "name": "ErrorCorrectionCount",
    "datatype": "number",
    "type": "aggregation",
    "nullable": true,
    "Description": "How many of this assignment's decisions were overridden because they were wrong.",
    "formula": "=COUNTIFS(AgentDecisionRecords!{{ErrorCorrectionRoleAssignmentKey}}, {{RoleAssignmentId}})"
   },
   {
    "name": "ErrorRatePercent",
    "datatype": "number",
    "type": "calculated",
    "nullable": true,
    "Description": "Percentage of this assignment's decisions overridden as errors -- the override rate with reserved-judgment overrides removed.",
    "formula": "=IF({{DecisionCount}} &gt; 0, {{ErrorCorrectionCount}} * 100 / {{DecisionCount}}, 0)"
   },
   {
    "name": "AuthorizationDecidedAt",
    "datatype": "datetime",
    "type": "raw",
    "nullable": true,
    "Description": "When the approving authority actually granted this assignment. Empty when no authorization was ever recorded."
   },
   {
    "name": "AuthorizationReviewedAt",
    "datatype": "datetime",
    "type": "raw",
    "nullable": true,
    "Description": "When the authorization for this assignment was last re-examined."
   },
   {
    "name": "AuthorizationReviewCadenceDays",
    "datatype": "integer",
    "type": "raw",
    "nullable": true,
    "Description": "How often this assignment's authorization is promised to be re-examined."
   },
   {
    "name": "HasDatedAuthorization",
    "datatype": "boolean",
    "type": "calculated",
    "nullable": true,
    "Description": "TRUE when this assignment carries both a named approving authority and the date they granted it.",
    "formula": "=AND({{ApprovingAuthorityRole}} &lt;&gt; \"\", {{AuthorizationDecidedAt}} &lt;&gt; \"\")"
   },
   {
    "name": "DaysSinceAuthorizationReview",
    "datatype": "integer",
    "type": "calculated",
    "nullable": true,
    "Description": "How long since this assignment's authorization was last re-examined.",
    "formula": "=IF({{AuthorizationReviewedAt}} &lt;&gt; \"\", DATETIME_DIFF({{AsOfInstant}}, {{AuthorizationReviewedAt}}, \"days\"), DATETIME_DIFF({{AsOfInstant}}, {{ValidFrom}}, \"days\"))"
   },
   {
    "name": "AuthorizationIsOverdueForReview",
    "datatype": "boolean",
    "type": "calculated",
    "nullable": true,
    "Description": "TRUE when the promised re-examination interval has elapsed without a review.",
    "formula": "=AND({{AuthorizationReviewCadenceDays}} &gt; 0, {{DaysSinceAuthorizationReview}} &gt; {{AuthorizationReviewCadenceDays}})"
   },
   {
    "name": "IsStandingUnreviewedAutomation",
    "datatype": "boolean",
    "type": "calculated",
    "nullable": true,
    "Description": "TRUE when a currently-active non-human assignment has been running past its authorization review date.",
    "formula": "=AND({{CoversNow}}, AND({{IsNonHumanAssignment}}, {{AuthorizationIsOverdueForReview}}))"
   },
   {
    "name": "IsUnconditionedAutomationHandover",
    "datatype": "boolean",
    "type": "calculated",
    "nullable": true,
    "Description": "TRUE when a human-to-machine handover was authorized with no promised review cadence at all -- granted once, permanently.",
    "formula": "=AND({{IsHumanToNonHumanHandover}}, {{AuthorizationReviewCadenceDays}} = 0)"
   },
   {
    "name": "MaxTolerableErrorRatePercent",
    "datatype": "integer",
    "type": "raw",
    "nullable": true,
    "Description": "The error rate at or above which this assignment must stop making decisions unaided."
   },
   {
    "name": "ExceedsTolerableErrorRate",
    "datatype": "boolean",
    "type": "calculated",
    "nullable": true,
    "Description": "TRUE when this assignment's error rate has reached the threshold set when it was authorized.",
    "formula": "=AND({{MaxTolerableErrorRatePercent}} &gt; 0, {{ErrorRatePercent}} &gt;= {{MaxTolerableErrorRatePercent}})"
   },
   {
    "name": "BoundaryViolationCountForAssignment",
    "datatype": "number",
    "type": "aggregation",
    "nullable": true,
    "Description": "How many decisions under this assignment violated an authority boundary.",
    "formula": "=COUNTIFS(AgentDecisionRecords!{{BoundaryViolationRoleAssignmentKey}}, {{RoleAssignmentId}})"
   },
   {
    "name": "HasAnyBoundaryViolation",
    "datatype": "boolean",
    "type": "calculated",
    "nullable": true,
    "Description": "TRUE when any decision under this assignment crossed a boundary it was forbidden to cross.",
    "formula": "=({{BoundaryViolationCountForAssignment}} &gt; 0)"
   },
   {
    "name": "HasUngroundedGoverningBoundary",
    "datatype": "boolean",
    "type": "lookup",
    "nullable": true,
    "Description": "TRUE when at least one boundary constraining this assignment's role rests on lapsed knowledge.",
    "formula": "=INDEX(Roles!{{IsGovernedByLapsedAuthority}}, MATCH({{Role}}, Roles!{{RoleId}}, 0))"
   },
   {
    "name": "SuspensionConditionMet",
    "datatype": "boolean",
    "type": "calculated",
    "nullable": true,
    "Description": "TRUE when any pre-declared condition requiring this assignment to stop deciding unaided has been met.",
    "formula": "=OR({{ExceedsTolerableErrorRate}}, OR({{HasAnyBoundaryViolation}}, {{HasUngroundedGoverningBoundary}}))"
   },
   {
    "name": "IsOperatingUnderMetSuspensionCondition",
    "datatype": "boolean",
    "type": "calculated",
    "nullable": true,
    "Description": "TRUE when a suspension condition has been met and the assignment is nonetheless still active and still deciding.",
    "formula": "=AND({{SuspensionConditionMet}}, AND({{CoversNow}}, {{IsNonHumanAssignment}}))"
   },
   {
    "name": "HasDeclaredSuspensionCondition",
    "datatype": "boolean",
    "type": "calculated",
    "nullable": true,
    "Description": "TRUE when this assignment has any pre-declared condition under which it must stop at all.",
    "formula": "={{MaxTolerableErrorRatePercent}} &gt; 0"
   },
   {
    "name": "HasApprovingAuthority",
    "datatype": "boolean",
    "type": "calculated",
    "nullable": true,
    "Description": "TRUE when a role is recorded as having approved this assignment.",
    "formula": "={{ApprovingAuthorityRole}} &lt;&gt; \"\""
   },
   {
    "name": "HasAuthorizingChangeRequest",
    "datatype": "boolean",
    "type": "calculated",
    "nullable": true,
    "Description": "TRUE when a change request is recorded as the governance vehicle for this assignment.",
    "formula": "={{AuthorizingChangeRequest}} &lt;&gt; \"\""
   },
   {
    "name": "IsEnforcementRole",
    "datatype": "boolean",
    "type": "raw",
    "nullable": true,
    "Description": "Whether this role's function is to enforce controls on other agents' actions."
   },
   {
    "name": "IsUnauthorizedEnforcementAgent",
    "datatype": "boolean",
    "type": "calculated",
    "nullable": true,
    "Description": "TRUE when a non-human agent enforces controls on others while holding no recorded authorization of its own.",
    "formula": "=AND({{IsEnforcementRole}}, {{IsUnauthorizedNonHumanAssignment}})"
   },
   {
    "name": "Gov</t>
  </si>
  <si>
    <t xml:space="preserve">ernanceEvidenceCount",
    "datatype": "integer",
    "type": "calculated",
    "nullable": true,
    "Description": "How many independent governance artifacts back this assignment: an approving role, an authorizing change request.",
    "formula": "=IF({{HasApprovingAuthority}}, 1, 0) + IF({{HasAuthorizingChangeRequest}}, 1, 0)"
   },
   {
    "name": "UnauthorizedEnforcementRoleKey",
    "datatype": "string",
    "type": "calculated",
    "nullable": true,
    "Description": "Echoes the role only for non-human assignments nobody authorized; empty otherwise.",
    "formula": "=IF({{IsUnauthorizedNonHumanAssignment}}, {{Role}}, \"\")"
   },
   {
    "name": "SemanticTypeIri",
    "datatype": "string",
    "type": "raw",
    "nullable": true,
    "Description": "Exact class IRI for the assignment event."
   }
  ],
  "data": [
   {
    "RoleAssignmentId": "ra-finance-2026",
    "Role": "finance-analyst",
    "Agent": "maria-chen",
    "ValidFrom": "2026-01-01T00:00:00-06:00",
    "ValidTo": null,
    "Reason": "Assigned for fiscal 2026",
    "Status": "Active",
    "SemanticTypeIri": "http://purl.org/spar/pro/RoleInTime",
    "EvaluationContext": "eval-current",
    "Name": "finance-analyst @ 2026-01-01T06:00:00+00:00",
    "AsOfInstant": "2026-07-19T13:00:00-05:00",
    "IsCurrent": true,
    "CurrentAgentKey": "maria-chen",
    "IsCurrentlyValid": true,
    "AgentRoleKey": "maria-chen|finance-analyst",
    "HasDeparted": false,
    "CoversNow": true,
    "RoleWhenCovering": "finance-analyst",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"ra-controller-2026",
    "Role": "controller",
    "Agent": "devon-okafor",
    "ValidFrom": "2026-01-01T00:00:00-06:00",
    "ValidTo": null,
    "Reason": "Controller appointment",
    "Status": "Active",
    "SemanticTypeIri": "http://purl.org/spar/pro/RoleInTime",
    "EvaluationContext": "eval-current",
    "Name": "controller @ 2026-01-01T06:00:00+00:00",
    "AsOfInstant": "2026-07-19T13:00:00-05:00",
    "IsCurrent": true,
    "CurrentAgentKey": "devon-okafor",
    "IsCurrentlyValid": true,
    "AgentRoleKey": "devon-okafor|controller",
    "HasDeparted": false,
    "CoversNow": true,
    "RoleWhenCovering": "controller",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"ra-cfo-2026",
    "Role": "cfo",
    "Agent": "priya-raman",
    "ValidFrom": "2026-01-01T00:00:00-06:00",
    "ValidTo": null,
    "Reason": "CFO appointment",
    "Status": "Active",
    "SemanticTypeIri": "http://purl.org/spar/pro/RoleInTime",
    "EvaluationContext": "eval-current",
    "Name": "cfo @ 2026-01-01T06:00:00+00:00",
    "AsOfInstant": "2026-07-19T13:00:00-05:00",
    "IsCurrent": true,
    "CurrentAgentKey": "priya-raman",
    "IsCurrentlyValid": true,
    "AgentRoleKey": "priya-raman|cfo",
    "HasDeparted": false,
    "CoversNow": true,
    "RoleWhenCovering": "cfo",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"ra-policy-owner-2026",
    "Role": "hr-policy-owner",
    "Agent": "elena-garcia",
    "ValidFrom": "2026-02-01T00:00:00-06:00",
    "ValidTo": null,
    "Reason": "Policy stewardship assignment",
    "Status": "Active",
    "SemanticTypeIri": "http://purl.org/spar/pro/RoleInTime",
    "EvaluationContext": "eval-current",
    "Name": "hr-policy-owner @ 2026-02-01T06:00:00+00:00",
    "AsOfInstant": "2026-07-19T13:00:00-05:00",
    "IsCurrent": true,
    "CurrentAgentKey": "elena-garcia",
    "IsCurrentlyValid": true,
    "AgentRoleKey": "elena-garcia|hr-policy-owner",
    "HasDeparted": false,
    "CoversNow": true,
    "RoleWhenCovering": "hr-policy-owner",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168,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"ra-counsel-2026",
    "Role": "employment-counsel",
    "Agent": "noah-williams",
    "ValidFrom": "2026-01-15T00:00:00-06:00",
    "ValidTo": null,
    "Reason": "Employment counsel assignment",
    "Status": "Active",
    "SemanticTypeIri": "http://purl.org/spar/pro/RoleInTime",
    "EvaluationContext": "eval-current",
    "Name": "employment-counsel @ 2026-01-15T06:00:00+00:00",
    "AsOfInstant": "2026-07-19T13:00:00-05:00",
    "IsCurrent": true,
    "CurrentAgentKey": "noah-williams",
    "IsCurrentlyValid": true,
    "AgentRoleKey": "noah-williams|employment-counsel",
    "HasDeparted": false,
    "CoversNow": true,
    "RoleWhenCovering": "employment-counsel",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185,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"ra-notify-pipeline-2026",
    "Role": "notification-publisher",
    "Agent": "notification-pipeline",
    "ValidFrom": "2026-03-01T00:00:00-06:00",
    "ValidTo": null,
    "Reason": "Notification platform release 4.4",
    "Status": "Active",
    "SemanticTypeIri": "http://purl.org/spar/pro/RoleInTime",
    "EvaluationContext": "eval-current",
    "Name": "notification-publisher @ 2026-03-01T06:00:00+00:00",
    "AsOfInstant": "2026-07-19T13:00:00-05:00",
    "IsCurrent": true,
    "CurrentAgentKey": "notification-pipeline",
    "IsCurrentlyValid": true,
    "AgentRoleKey": "notification-pipeline|notification-publisher",
    "HasDeparted": false,
    "CoversNow": true,
    "RoleWhenCovering": "notification-publisher",
    "AgentKind": "AutomatedPipeline",
    "IsNonHumanAssignment": true,
    "IsUnauthorizedNonHumanAssignment": true,
    "WasAuthorizedByChangeRequest": false,
    "DecisionCount": 0,
    "OverriddenDecisionCount": 0,
    "OverrideRatePercent": 0,
    "QualityRegressedVsPredecessor": false,
    "DepartedRoleKey": null,
    "SingleOverrideSwingPercent": 0,
    "ErrorCorrectionCount": 0,
    "ErrorRatePercent": 0,
    "HasDatedAuthorization": false,
    "DaysSinceAuthorizationReview": 140,
    "BoundaryViolationCountForAssignment": 0,
    "HasAnyBoundaryViolation": false,
    "HasUngroundedGoverningBoundary": false,
    "HasApprovingAuthority": false,
    "HasAuthorizingChangeRequest": false,
    "IsUnauthorizedEnforcementAgent": false,
    "GovernanceEvidenceCount": 0,
    "UnauthorizedEnforcementRoleKey": "notification-publisher",
    "PredecessorAgentKind": null,
    "IsHumanToNonHumanHandover": false,
    "PredecessorOverrideRatePercent": 0.0,
    "PredecessorDecisionCount": null,
    "HasSufficientSample": true,
    "PredecessorHasSufficientSample": true,
    "ComparisonIsEvidentiallySound": true,
    "QualityVerdictIsUnsupported": false,
    "IsUnmeasuredAutomationHandover": false,
    "AuthorizationIsOverdueForReview": false,
    "IsStandingUnreviewedAutomation": false,
    "IsUnconditionedAutomationHandover": false,
    "ExceedsTolerableErrorRate": false,
    "SuspensionConditionMet": false,
    "IsOperatingUnderMetSuspensionCondition": false,
    "HasDeclaredSuspensionCondition": false
   },
   {
    "RoleAssignmentId": "ra-old-variance",
    "Role": "variance-review-agent",
    "Agent": "maria-chen",
    "ValidFrom": "2025-01-01T00:00:00-06:00",
    "ValidTo": "2026-03-31T23:59:59-05:00",
    "Reason": "Human pilot before AI deployment",
    "Status": "Superseded",
    "SemanticTypeIri": "http://purl.org/spar/pro/RoleInTime",
    "EvaluationContext": "eval-current",
    "Name": "variance-review-agent @ 2025-01-01T06:00:00+00:00",
    "AsOfInstant": "2026-07-19T13:00:00-05:00",
    "IsCurrent": false,
    "CurrentAgentKey": null,
    "IsCurrentlyValid": false,
    "AgentRoleKey": null,
    "HasDeparted": true,
    "CoversNow": false,
    "RoleWhenCovering": null,
    "AgentKind": "Human",
    "IsNonHumanAssignment": false,
    "IsHumanToNonHumanHandover": false,
    "IsUnauthorizedNonHumanAssignment": false,
    "WasAuthorizedByChangeRequest": false,
    "DecisionCount": 0,
    "OverriddenDecisionCount": 0,
    "OverrideRatePercent": 0,
    "QualityRegressedVsPredecessor": false,
    "DepartedRoleKey": "variance-review-agent",
    "SingleOverrideSwingPercent": 0,
    "IsUnmeasuredAutomationHandover": false,
    "ErrorCorrectionCount": 0,
    "ErrorRatePercent": 0,
    "HasDatedAuthorization": false,
    "DaysSinceAuthorizationReview": 564,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"ra-new-variance",
    "Role": "variance-review-agent",
    "Agent": "variance-ai",
    "ValidFrom": "2026-04-01T00:00:00-05:00",
    "ValidTo": null,
    "Reason": "Approved AI-assisted variance triage",
    "Status": "Active",
    "SemanticTypeIri": "http://purl.org/spar/pro/RoleInTime",
    "EvaluationContext": "eval-current",
    "SupersedesAssignment": "ra-old-variance",
    "ApprovingAuthorityRole": "cfo",
    "AuthorizingChangeRequest": null,
    "Name": "variance-review-agent @ 2026-04-01T05:00:00+00:00",
    "AsOfInstant": "2026-07-19T13:00:00-05:00",
    "IsCurrent": true,
    "CurrentAgentKey": "variance-ai",
    "IsCurrentlyValid": true,
    "AgentRoleKey": "variance-ai|variance-review-agent",
    "HasDeparted": false,
    "CoversNow": true,
    "RoleWhenCovering": "variance-review-agent",
    "AgentKind": "AIAgent",
    "IsNonHumanAssignment": true,
    "PredecessorAgentKind": "Human",
    "IsHumanToNonHumanHandover": true,
    "IsUnauthorizedNonHumanAssignment": false,
    "WasAuthorizedByChangeRequest": false,
    "DecisionCount": 0,
    "OverriddenDecisionCount": 0,
    "OverrideRatePercent": 0,
    "PredecessorOverrideRatePercent": 0,
    "QualityRegressedVsPredecessor": false,
    "DepartedRoleKey": null,
    "PredecessorDecisionCount": 0,
    "SingleOverrideSwingPercent": 0,
    "ErrorCorrectionCount": 0,
    "ErrorRatePercent": 0,
    "HasDatedAuthorization": false,
    "DaysSinceAuthorizationReview": 109,
    "BoundaryViolationCountForAssignment": 0,
    "HasAnyBoundaryViolation": false,
    "HasUngroundedGoverningBoundary": false,
    "HasApprovingAuthority": true,
    "HasAuthorizingChangeRequest": false,
    "IsUnauthorizedEnforcementAgent": false,
    "GovernanceEvidenceCount": 1,
    "UnauthorizedEnforcementRoleKey": null,
    "HasSufficientSample": true,
    "PredecessorHasSufficientSample": true,
    "ComparisonIsEvidentiallySound": true,
    "QualityVerdictIsUnsupported": false,
    "IsUnmeasuredAutomationHandover": false,
    "AuthorizationIsOverdueForReview": false,
    "IsStandingUnreviewedAutomation": false,
    "IsUnconditionedAutomationHandover": true,
    "ExceedsTolerableErrorRate": false,
    "SuspensionConditionMet": false,
    "IsOperatingUnderMetSuspensionCondition": false,
    "HasDeclaredSuspensionCondition": false
   },
   {
    "RoleAssignmentId": "ra-comms-2026",
    "Role": "communications-manager",
    "Agent": "amina-yusuf",
    "ValidFrom": "2026-02-01T00:00:00-06:00",
    "ValidTo": null,
    "Reason": "Communications manager appointment",
    "Status": "Active",
    "EvaluationContext": "eval-current",
    "SemanticTypeIri": "http://purl.org/spar/pro/RoleInTime",
    "Name": "communications-manager @ 2026-02-01T06:00:00+00:00",
    "AsOfInstant": "2026-07-19T13:00:00-05:00",
    "IsCurrent": true,
    "CurrentAgentKey": "amina-yusuf",
    "IsCurrentlyValid": true,
    "AgentRoleKey": "amina-yusuf|communications-manager",
    "HasDeparted": false,
    "CoversNow": true,
    "RoleWhenCovering": "communications-manager",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168,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"ra-authority-2026",
    "Role": "knowledge-authority",
    "Agent": "priya-raman",
    "ValidFrom": "2026-01-01T00:00:00-06:00",
    "ValidTo": null,
    "Reason": "Knowledge authority vested with the CFO for financial procedures",
    "Status": "Active",
    "EvaluationContext": "eval-current",
    "SemanticTypeIri": "http://purl.org/spar/pro/RoleInTime",
    "Name": "knowledge-authority @ 2026-01-01T06:00:00+00:00",
    "AsOfInstant": "2026-07-19T13:00:00-05:00",
    "IsCurrent": true,
    "CurrentAgentKey": "priya-raman",
    "IsCurrentlyValid": true,
    "AgentRoleKey": "priya-raman|knowledge-authority",
    "HasDeparted": false,
    "CoversNow": true,
    "RoleWhenCovering": "knowledge-authority",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199,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"ra-steward-2026",
    "Role": "process-steward",
    "Agent": "elena-garcia",
    "ValidFrom": "2026-04-15T09:00:00-05:00",
    "ValidTo": null,
    "Reason": "Process stewardship assignment",
    "Status": "Active",
    "EvaluationContext": "eval-current",
    "SemanticTypeIri": "http://purl.org/spar/pro/RoleInTime",
    "Name": "process-steward @ 2026-04-15T14:00:00+00:00",
    "AsOfInstant": "2026-07-19T13:00:00-05:00",
    "IsCurrent": true,
    "CurrentAgentKey": "elena-garcia",
    "IsCurrentlyValid": true,
    "AgentRoleKey": "elena-garcia|process-steward",
    "HasDeparted": false,
    "CoversNow": true,
    "RoleWhenCovering": "process-steward",
    "AgentKind": "Human",
    "IsNonHumanAssignment": false,
    "IsHumanToNonHumanHandover": false,
    "IsUnauthorizedNonHumanAssignment": false,
    "WasAuthorizedByChangeRequest": false,
    "DecisionCount": 0,
    "OverriddenDecisionCount": 0,
    "OverrideRatePercent": 0,
    "QualityRegressedVsPredecessor": false,
    "DepartedRoleKey": null,
    "SingleOverrideSwingPercent": 0,
    "IsUnmeasuredAutomationHandover": false,
    "ErrorCorrectionCount": 0,
    "ErrorRatePercent": 0,
    "HasDatedAuthorization": false,
    "DaysSinceAuthorizationReview": 95,
    "IsStandingUnreviewedAutomation": false,
    "IsUnconditionedAutomationHandover": false,
    "BoundaryViolationCountForAssignment": 0,
    "HasAnyBoundaryViolation": false,
    "HasUngroundedGoverningBoundary": false,
    "IsOperatingUnderMetSuspensionCondition": false,
    "HasApprovingAuthority": false,
    "HasAuthorizingChangeRequest": false,
    "IsUnauthorizedEnforcementAgent": false,
    "GovernanceEvidenceCount": 0,
    "UnauthorizedEnforcementRoleKey": null,
    "PredecessorAgentKind": null,
    "PredecessorOverrideRatePercent": 0.0,
    "PredecessorDecisionCount": null,
    "HasSufficientSample": true,
    "PredecessorHasSufficientSample": true,
    "ComparisonIsEvidentiallySound": true,
    "QualityVerdictIsUnsupported": false,
    "AuthorizationIsOverdueForReview": false,
    "ExceedsTolerableErrorRate": false,
    "SuspensionConditionMet": false,
    "HasDeclaredSuspensionCondition": false
   },
   {
    "RoleAssignmentId": "ra-close-pipeline-2026",
    "Role": "close-automation",
    "Agent": "close-pipeline",
    "ValidFrom": "2026-01-01T00:00:00-06:00",
    "ValidTo": null,
    "Reason": "Close automation platform release 3.2",
    "Status": "Active",
    "EvaluationContext": "eval-current",
    "SemanticTypeIri": "http://purl.org/spar/pro/RoleInTime",
    "Name": "close-automation @ 2026-01-01T06:00:00+00:00",
    "AsOfInstant": "2026-07-19T13:00:00-05:00",
    "IsCurrent": true,
    "CurrentAgentKey": "close-pipeline",
    "IsCurrentlyValid": true,
    "AgentRoleKey": "close-pipeline|close-automation",
    "HasDeparted": false,
    "CoversNow": true,
    "RoleWhenCovering": "close-automation",
    "AgentKind": "AutomatedPipeline",
    "IsNonHumanAssignment": true,
    "IsUnauthorizedNonHumanAssignment": true,
    "WasAuthorizedByChangeRequest": false,
    "DecisionCount": 0,
    "OverriddenDecisionCount": 0,
    "OverrideRatePercent": 0,
    "QualityRegressedVsPredecessor": false,
    "DepartedRoleKey": null,
    "SingleOverrideSwingPercent": 0,
    "ErrorCorrectionCount": 0,
    "ErrorRatePercent": 0,
    "HasDatedAuthorization": false,
    "DaysSinceAuthorizationReview": 199,
    "BoundaryViolationCountForAssignment": 0,
    "HasAnyBoundaryViolation": false,
    "HasUngroundedGoverningBoundary": false,
    "HasApprovingAuthority": false,
    "HasAuthorizingChangeRequest": false,
    "IsUnauthorizedEnforcementAgent": false,
    "GovernanceEvidenceCount": 0,
    "UnauthorizedEnforcementRoleKey": "close-automation",
    "PredecessorAgentKind": null,
    "IsHumanToNonHumanHandover": false,
    "PredecessorOverrideRatePercent": 0.0,
    "PredecessorDecisionCount": null,
    "HasSufficientSample": true,
    "PredecessorHasSufficientSample": true,
    "ComparisonIsEvidentiallySound": true,
    "QualityVerdictIsUnsupported": false,
    "IsUnmeasuredAutomationHandover": false,
    "AuthorizationIsOverdueForReview": false,
    "IsStandingUnreviewedAutomation": false,
    "IsUnconditionedAutomationHandover": false,
    "ExceedsTolerableErrorRate": false,
    "SuspensionConditionMet": false,
    "IsOperatingUnderMetSuspensionCondition": false,
    "HasDeclaredSuspensionCondition": false
   },
   {
    "RoleAssignmentId": "ra-policy-ai-2026",
    "Role": "policy-drafting-agent",
    "Agent": "policy-drafting-ai",
    "ValidFrom": "2026-05-01T00:00:00-05:00",
    "ValidTo": null,
    "Reason": "Approved AI-assisted policy drafting",
    "Status": "Active",
    "EvaluationContext": "eval-current",
    "SemanticTypeIri": "http://purl.org/spar/pro/RoleInTime",
    "Name": "policy-drafting-agent @ 2026-05-01T05:00:00+00:00",
    "AsOfInstant": "2026-07-19T13:00:00-05:00",
    "IsCurrent": true,
    "CurrentAgentKey": "policy-drafting-ai",
    "IsCurrentlyValid": true,
    "AgentRoleKey": "policy-drafting-ai|policy-drafting-agent",
    "HasDeparted": false,
    "CoversNow": true,
    "RoleWhenCovering": "policy-drafting-agent",
    "AgentKind": "AIAgent",
    "IsNonHumanAssignment": true,
    "IsUnauthorizedNonHumanAssignment": true,
    "WasAuthorizedByChangeRequest": false,
    "DecisionCount": 0,
    "OverriddenDecisionCount": 0,
    "OverrideRatePercent": 0,
    "QualityRegressedVsPredecessor": false,
    "DepartedRoleKey": null,
    "SingleOverrideSwingPercent": 0,
    "ErrorCorrectionCount": 0,
    "ErrorRatePercent": 0,
    "HasDatedAuthorization": false,
    "DaysSinceAuthorizationReview": 79,
    "BoundaryViolationCountForAssignment": 0,
    "HasAnyBoundaryViolation": false,
    "HasUngroundedGoverningBoundary": false,
    "HasApprovingAuthority": false,
    "HasAuthorizingChangeRequest": false,
    "IsUnauthorizedEnforcementAgent": false,
    "GovernanceEvidenceCount": 0,
    "UnauthorizedEnforcementRoleKey": "policy-drafting-agent",
    "PredecessorAgentKind": null,
    "IsHumanToNonHumanHandover": false,
    "PredecessorOverrideRatePercent": 0.0,
    "PredecessorDecisionCount": null,
    "HasSufficientSample": true,
    "PredecessorHasSufficientSample": true,
    "ComparisonIsEvidentiallySound": true,
    "QualityVerdictIsUnsupported": false,
    "IsUnmeasuredAutomationHandover": false,
    "AuthorizationIsOverdueForReview": false,
    "IsStandingUnreviewedAutomation": false,
    "IsUnconditionedAutomationHandover": false,
    "ExceedsTolerableErrorRate": false,
    "SuspensionConditionMet": false,
    "IsOperatingUnderMetSuspensionCondition": false,
    "HasDeclaredSuspensionCondition": false
   }
  ]
 },
 "CommunitiesOfPractice": {
  "Description": "Socio-technical communities that transmit and maintain procedural knowledge. Explicit ERB-PKO extension.",
  "important": false,
  "schema": [
   {
    "name": "CommunityOfPracticeId",
    "datatype": "string",
    "type": "raw",
    "nullable": false,
    "Description": "Stored logical identifier for one CommunitiesOfPractice row."
   },
   {
    "name": "Name",
    "datatype": "string",
    "type": "calculated",
    "nullable": true,
    "Description": "Human-readable calculated display alias for the CommunitiesOfPractice row.",
    "formula": "={{Label}}"
   },
   {
    "name": "Label",
    "datatype": "string",
    "type": "raw",
    "nullable": true,
    "Description": "Community's human-readable name."
   },
   {
    "name": "Organization",
    "datatype": "string",
    "type": "relationship",
    "nullable": true,
    "Description": "Organization hosting the community.",
    "RelatedTo": "Organizations"
   },
   {
    "name": "StewardRole",
    "datatype": "string",
    "type": "relationship",
    "nullable": true,
    "Description": "Role accountable for convening and maintaining the community.",
    "RelatedTo": "Roles"
   },
   {
    "name": "Purpose",
    "datatype": "string",
    "type": "raw",
    "nullable": true,
    "Description": "Shared practice and knowledge-transfer purpose."
   },
   {
    "name": "Cadence",
    "datatype": "string",
    "type": "raw",
    "nullable": true,
    "Description": "Meeting or practice cadence."
   },
   {
    "name": "SemanticTypeIri",
    "datatype": "string",
    "type": "raw",
    "nullable": true,
    "Description": "Extension class IRI."
   }
  ],
  "data": [
   {
    "CommunityOfPracticeId": "close-practice-guild",
    "Label": "Financial Close Community of Practice",
    "Organization": "acme-finance",
    "StewardRole": "controller",
    "Purpose": "Share close exceptions, reconcile recurring failure modes, and mentor new preparers.",
    "Cadence": "Monthly and after every quarter close",
    "SemanticTypeIri": "urn:effortless:pko-extension#CommunityOfPractice",
    "Name": "Financial Close Community of Practice"
   },
   {
    "CommunityOfPracticeId": "policy-stewards-circle",
    "Label": "Policy Stewardship Circle",
    "Organization": "acme-people",
    "StewardRole": "process-steward",
    "Purpose": "Review workforce-policy changes, employee feedback, and notification effectiveness.",
    "Cadence": "Biweekly",
    "SemanticTypeIri": "urn:effortless:pko-extension#CommunityOfPractice",
    "Name": "Policy Stewardship Circle"
   }
  ]
 },
 "Mentorships": {
  "Description": "Time-bounded apprenticeship relationships that intentionally transfer situated procedural knowledge. Explicit ERB-PKO extension.",
  "important": false,
  "schema": [
   {
    "name": "MentorshipId",
    "datatype": "string",
    "type": "raw",
    "nullable": false,
    "Description": "Stored logical identifier for one Mentorships row."
   },
   {
    "name": "Name",
    "datatype": "string",
    "type": "calculated",
    "nullable": true,
    "Description": "Human-readable calculated displa</t>
  </si>
  <si>
    <t xml:space="preserve">y alias for the Mentorships row.",
    "formula": "={{MentorAgent}} &amp; \" -&gt; \" &amp; {{LearnerAgent}}"
   },
   {
    "name": "CommunityOfPractice",
    "datatype": "string",
    "type": "relationship",
    "nullable": true,
    "Description": "Community in which the mentorship operates.",
    "RelatedTo": "CommunitiesOfPractice"
   },
   {
    "name": "MentorAgent",
    "datatype": "string",
    "type": "relationship",
    "nullable": true,
    "Description": "Experienced practitioner serving as mentor.",
    "RelatedTo": "Agents"
   },
   {
    "name": "LearnerAgent",
    "datatype": "string",
    "type": "relationship",
    "nullable": true,
    "Description": "Practitioner learning the procedure.",
    "RelatedTo": "Agents"
   },
   {
    "name": "ValidFrom",
    "datatype": "datetime",
    "type": "raw",
    "nullable": true,
    "Description": "Mentorship start."
   },
   {
    "name": "ValidTo",
    "datatype": "datetime",
    "type": "raw",
    "nullable": true,
    "Description": "Mentorship end."
   },
   {
    "name": "LearningObjective",
    "datatype": "string",
    "type": "raw",
    "nullable": true,
    "Description": "Procedural capability to be transferred."
   },
   {
    "name": "EvidenceOfCompletion",
    "datatype": "string",
    "type": "raw",
    "nullable": true,
    "Description": "Evidence showing completion or competence."
   },
   {
    "name": "SemanticTypeIri",
    "datatype": "string",
    "type": "raw",
    "nullable": true,
    "Description": "Extension class IRI."
   }
  ],
  "data": [
   {
    "MentorshipId": "mentor-close-2026",
    "CommunityOfPractice": "close-practice-guild",
    "MentorAgent": "devon-okafor",
    "LearnerAgent": "maria-chen",
    "ValidFrom": "2026-01-15T00:00:00-06:00",
    "ValidTo": "2026-09-30T23:59:59-05:00",
    "LearningObjective": "Independently diagnose material variances and produce an auditable controller-ready explanation.",
    "EvidenceOfCompletion": "Three consecutive reconciliations accepted without rework.",
    "SemanticTypeIri": "urn:effortless:pko-extension#Mentorship",
    "Name": "devon-okafor -&gt; maria-chen"
   }
  ]
 },
 "ProcedureTypes": {
  "Description": "Controlled values used by pko:hasProcedureType.",
  "important": false,
  "schema": [
   {
    "name": "ProcedureTypeId",
    "datatype": "string",
    "type": "raw",
    "nullable": false,
    "Description": "Stored logical identifier for one ProcedureTypes row."
   },
   {
    "name": "Name",
    "datatype": "string",
    "type": "calculated",
    "nullable": true,
    "Description": "Human-readable calculated display alias for the ProcedureTypes row.",
    "formula": "={{Label}}"
   },
   {
    "name": "Label",
    "datatype": "string",
    "type": "raw",
    "nullable": true,
    "Description": "Procedure type label."
   },
   {
    "name": "Definition",
    "datatype": "string",
    "type": "raw",
    "nullable": true,
    "Description": "Definition and scope of the procedure type."
   },
   {
    "name": "SemanticTypeIri",
    "datatype": "string",
    "type": "raw",
    "nullable": true,
    "Description": "Exact class IRI for procedure types."
   }
  ],
  "data": [
   {
    "ProcedureTypeId": "financial-sop",
    "Label": "Financial Standard Operating Procedure",
    "Definition": "A controlled procedure for financial operations, approvals, evidence, and auditability.",
    "SemanticTypeIri": "https://w3id.org/pko#ProcedureType",
    "Name": "Financial Standard Operating Procedure"
   },
   {
    "ProcedureTypeId": "communication-policy",
    "Label": "Employee Communication Policy Procedure",
    "Definition": "A controlled procedure that creates, approves, and distributes workforce policy communications.",
    "SemanticTypeIri": "https://w3id.org/pko#ProcedureType",
    "Name": "Employee Communication Policy Procedure"
   }
  ]
 },
 "Procedures": {
  "Description": "Abstract, discoverable procedures. Each version is represented separately in ProcedureVersions. Maps to pko:Procedure and dcat:Resource.",
  "important": true,
  "schema": [
   {
    "name": "ProcedureId",
    "datatype": "string",
    "type": "raw",
    "nullable": false,
    "Description": "Stored logical identifier for one Procedures row."
   },
   {
    "name": "Name",
    "datatype": "string",
    "type": "calculated",
    "nullable": true,
    "Description": "Human-readable calculated display alias for the Procedures row.",
    "formula": "={{Title}}"
   },
   {
    "name": "Title",
    "datatype": "string",
    "type": "raw",
    "nullable": true,
    "Description": "Human-readable title; maps to dcterms:title."
   },
   {
    "name": "ProcedureType",
    "datatype": "string",
    "type": "relationship",
    "nullable": true,
    "Description": "Procedure type; maps to pko:hasProcedureType.",
    "RelatedTo": "ProcedureTypes"
   },
   {
    "name": "OwnerOrganization",
    "datatype": "string",
    "type": "relationship",
    "nullable": true,
    "Description": "Organization that owns the procedure.",
    "RelatedTo": "Organizations"
   },
   {
    "name": "AdoptedByOrganization",
    "datatype": "string",
    "type": "relationship",
    "nullable": true,
    "Description": "Organization that adopts the procedure; maps to pko:isAdoptedBy.",
    "RelatedTo": "Organizations"
   },
   {
    "name": "Purpose",
    "datatype": "string",
    "type": "raw",
    "nullable": true,
    "Description": "Desired outcome and scope of the procedure."
   },
   {
    "name": "Target",
    "datatype": "string",
    "type": "raw",
    "nullable": true,
    "Description": "Thing or population on which the procedure acts; maps to pko:hasProcedureTarget."
   },
   {
    "name": "IsTemplate",
    "datatype": "boolean",
    "type": "raw",
    "nullable": true,
    "Description": "TRUE when the procedure is a reusable template; maps to pko:isTemplate."
   },
   {
    "name": "CurrentVersionKey",
    "datatype": "string",
    "type": "raw",
    "nullable": true,
    "Description": "Current version identifier, mirrored structurally by ProcedureVersions.IsCurrent."
   },
   {
    "name": "SemanticTypeIri",
    "datatype": "string",
    "type": "raw",
    "nullable": true,
    "Description": "Exact PKO class IRI."
   }
  ],
  "data": [
   {
    "ProcedureId": "quarter-end-close",
    "Title": "Quarter-End Financial Close",
    "ProcedureType": "financial-sop",
    "OwnerOrganization": "acme-finance",
    "AdoptedByOrganization": "acme-corp",
    "Purpose": "Close the general ledger accurately, produce evidence, and obtain independent approval.",
    "Target": "Corporate general ledger and reporting package",
    "IsTemplate": false,
    "CurrentVersionKey": "close-v1.1.0",
    "SemanticTypeIri": "https://w3id.org/pko#Procedure",
    "Name": "Quarter-End Financial Close"
   },
   {
    "ProcedureId": "workforce-policy-notification",
    "Title": "Workforce Policy Change and Employee Notification",
    "ProcedureType": "communication-policy",
    "OwnerOrganization": "acme-people",
    "AdoptedByOrganization": "acme-corp",
    "Purpose": "Turn an approved workforce policy change into governed, channel-appropriate employee communications and acknowledgements.",
    "Target": "All affected employees and workforce-policy records",
    "IsTemplate": false,
    "CurrentVersionKey": "policy-v1.0.0",
    "SemanticTypeIri": "https://w3id.org/pko#Procedure",
    "Name": "Workforce Policy Change and Employee Notification"
   }
  ]
 },
 "ProcedureVersions": {
  "Description": "Versioned procedure specifications. Maps to pko:Procedure plus DCAT version relations and PKO versionNumber/newVersionMotivation/changelogDescription.",
  "important": true,
  "schema": [
   {
    "name": "ProcedureVersionId",
    "datatype": "string",
    "type": "raw",
    "nullable": false,
    "Description": "Stored logical identifier for one ProcedureVersions row."
   },
   {
    "name": "Name",
    "datatype": "string",
    "type": "calculated",
    "nullable": true,
    "Description": "Human-readable calculated display alias for the ProcedureVersions row.",
    "formula": "={{Title}}"
   },
   {
    "name": "Procedure",
    "datatype": "string",
    "type": "relationship",
    "nullable": true,
    "Description": "Abstract procedure of which this is a version.",
    "RelatedTo": "Procedures"
   },
   {
    "name": "VersionNumber",
    "datatype": "string",
    "type": "raw",
    "nullable": true,
    "Description": "Version number; maps to pko:versionNumber."
   },
   {
    "name": "Title",
    "datatype": "string",
    "type": "raw",
    "nullable": true,
    "Description": "Version-specific title."
   },
   {
    "name": "Status",
    "datatype": "string",
    "type": "raw",
    "nullable": true,
    "Description": "PKO procedure status individual: Draft, Validation, Approval, Approved, Deprecated, or Archived."
   },
   {
    "name": "IssuedAt",
    "datatype": "datetime",
    "type": "raw",
    "nullable": true,
    "Description": "Issue timestamp; maps to dcterms:issued."
   },
   {
    "name": "ModifiedAt",
    "datatype": "datetime",
    "type": "raw",
    "nullable": true,
    "Description": "Last semantic modification; maps to dcterms:modified."
   },
   {
    "name": "CreatedByAgent",
    "datatype": "string",
    "type": "relationship",
    "nullable": true,
    "Description": "Agent that created the version; maps to dcterms:creator.",
    "RelatedTo": "Agents"
   },
   {
    "name": "ModifiedByAgent",
    "datatype": "string",
    "type": "relationship",
    "nullable": true,
    "Description": "Agent that last modified the version; maps to pko:wasModifiedBy.",
    "RelatedTo": "Agents"
   },
   {
    "name": "NewVersionMotivation",
    "datatype": "string",
    "type": "raw",
    "nullable": true,
    "Description": "Reason for the new version; maps to pko:newVersionMotivation."
   },
   {
    "name": "ChangelogDescription",
    "datatype": "string",
    "type": "raw",
    "nullable": true,
    "Description": "Semantic change description; maps to pko:changelogDescription."
   },
   {
    "name": "IsCurrent",
    "datatype": "boolean",
    "type": "raw",
    "nullable": true,
    "Description": "TRUE when this is the current version."
   },
   {
    "name": "CountOfSteps",
    "datatype": "integer",
    "type": "aggregation",
    "nullable": true,
    "Description": "Number of steps in this version.",
    "formula": "=COUNTIFS(Steps!{{ProcedureVersion}}, ProcedureVersions!{{ProcedureVersionId}})"
   },
   {
    "name": "CountOfOpenKnowledgeGaps",
    "datatype": "integer",
    "type": "aggregation",
    "nullable": true,
    "Description": "Open knowledge gaps for this version.",
    "formula": "=COUNTIFS(KnowledgeGaps!{{ProcedureVersion}}, ProcedureVersions!{{ProcedureVersionId}}, KnowledgeGaps!{{Status}}, \"Open\")"
   },
   {
    "name": "IsReadyForExecution",
    "datatype": "boolean",
    "type": "calculated",
    "nullable": true,
    "Description": "TRUE when approved, populated, and free of blocking knowledge gaps.",
    "formula": "=AND({{Status}} = \"Approved\", {{CountOfSteps}} &gt; 0, {{CountOfOpenKnowledgeGaps}} = 0)"
   },
   {
    "name": "SpecifiedStepCount",
    "datatype": "number",
    "type": "aggregation",
    "nullable": true,
    "Description": "How many steps the specification defines for this version.",
    "formula": "=COUNTIFS(Steps!{{ProcedureVersion}}, {{ProcedureVersionId}})"
   },
   {
    "name": "OverdueReviewCount",
    "datatype": "number",
    "type": "aggregation",
    "nullable": true,
    "Description": "How many reviews of this procedure version are past due.",
    "formula": "=COUNTIFS(ReviewEvents!{{OverdueVersionKey}}, {{ProcedureVersionId}})"
   },
   {
    "name": "OpenChangeRequestCount",
    "datatype": "number",
    "type": "aggregation",
    "nullable": true,
    "Description": "How many change requests are open against this version.",
    "formula": "=COUNTIFS(ChangeRequests!{{OpenChangeVersionKey}}, {{ProcedureVersionId}})"
   },
   {
    "name": "OpenHighSeverityGapCount",
    "datatype": "number",
    "type": "aggregation",
    "nullable": true,
    "Description": "How many high-severity knowledge gaps are open against this version.",
    "formula": "=COUNTIFS(KnowledgeGaps!{{OpenGapVersionKey}}, {{ProcedureVersionId}})"
   },
   {
    "name": "IsFitToExecute",
    "datatype": "boolean",
    "type": "calculated",
    "nullable": true,
    "Description": "TRUE when this version is approved, current on review, and carries no open change request or high-severity gap.",
    "formula": "=AND({{Status}} = \"Approved\", {{OverdueReviewCount}} = 0, {{OpenChangeRequestCount}} = 0, {{OpenHighSeverityGapCount}} = 0)"
   },
   {
    "name": "StewardReviewCadenceDays",
    "datatype": "number",
    "type": "aggregation",
    "nullable": true,
    "Description": "The review cadence promised by this version's stewardship assignment, in days. Summed because a version has at most one active steward; this is the hop that lets ReviewEvents resolve the promise via a primary-key match.",
    "formula": "=SUMIFS(StewardshipAssignments!{{ReviewCadenceDays}}, StewardshipAssignments!{{ProcedureVersion}}, {{ProcedureVersionId}})"
   },
   {
    "name": "CountOfStewardshipAssignments",
    "datatype": "integer",
    "type": "aggregation",
    "nullable": true,
    "Description": "How many stewardship assignments of any vintage point at this version.",
    "formula": "=COUNTIFS(StewardshipAssignments!{{ProcedureVersion}}, ProcedureVersions!{{ProcedureVersionId}})"
   },
   {
    "name": "HasAnySteward",
    "datatype": "boolean",
    "type": "calculated",
    "nullable": true,
    "Description": "TRUE if any stewardship assignment has ever named this version.",
    "formula": "={{CountOfStewardshipAssignments}} &gt; 0"
   },
   {
    "name": "IsLive",
    "datatype": "boolean",
    "type": "calculated",
    "nullable": true,
    "Description": "TRUE when this version is in a state where somebody could execute it.",
    "formula": "=OR({{Status}} = \"Approved\", {{Status}} = \"Published\")"
   },
   {
    "name": "IsUnstewarded",
    "datatype": "boolean",
    "type": "calculated",
    "nullable": true,
    "Description": "TRUE when no stewardship assignment names this version.",
    "formula": "=NOT({{HasAnySteward}})"
   },
   {
    "name": "IsLiveAndUnstewarded",
    "datatype": "boolean",
    "type": "calculated",
    "nullable": true,
    "Description": "TRUE when an executable version has nobody accountable for keeping it healthy.",
    "formula": "=AND({{IsLive}}, {{IsUnstewarded}})"
   },
   {
    "name": "CountOfOpenBlockingGaps",
    "datatype": "integer",
    "type": "aggregation",
    "nullable": true,
    "Description": "How many open blocking gaps stand against this version.",
    "formula": "=COUNTIFS(KnowledgeGaps!{{IsOpenAndBlocking}}, TRUE)"
   },
   {
    "name": "HasOpenBlockingGap",
    "datatype": "boolean",
    "type": "calculated",
    "nullable": true,
    "Description": "TRUE when at least one open blocking gap stands against this version.",
    "formula": "={{CountOfOpenBlockingGaps}} &gt; 0"
   },
   {
    "name": "IsLiveWithBlockingGap",
    "datatype": "boolean",
    "type": "calculated",
    "nullable": true,
    "Description": "TRUE when an executable version carries an unresolved blocking knowledge gap.",
    "formula": "=AND({{IsLive}}, {{HasOpenBlockingGap}})"
   },
   {
    "name": "ShouldNotBeExecutable",
    "datatype": "boolean",
    "type": "calculated",
    "nullable": true,
    "Description": "TRUE when the model says this version is ready to execute while a blocking gap is open against it.",
    "formula": "=AND({{IsReadyForExecution}}, {{HasOpenBlockingGap}})"
   },
   {
    "name": "CountOfUnapprovedRelianceFragments",
    "datatype": "integer",
    "type": "aggregation",
    "nullable": true,
    "Description": "How many unapproved claims this version is relying on.",
    "formula": "=COUNTIFS(KnowledgeFragments!{{IsUnapprovedButReliedOn}}, TRUE)"
   },
   {
    "name": "RunsOnUnapprovedKnowledge",
    "datatype": "boolean",
    "type": "calculated",
    "nullable": true,
    "Description": "TRUE when this version depends on at least one claim the knowledge authority has not approved.",
    "formula": "={{CountOfUnapprovedRelianceFragments}} &gt; 0"
   },
   {
    "name": "CountOfOverdueGaps",
    "datatype": "integer",
    "type": "aggregation",
    "nullable": true,
    "Description": "How many acknowledged unknowns against this version have outlived their tolerance.",
    "formula": "=COUNTIFS(KnowledgeGaps!{{IsOverdueGap}}, TRUE)"
   },
   {
    "name": "CountOfChangeRequests",
    "datatype": "integer",
    "type": "aggregation",
    "nullable": true,
    "Description": "How many change requests have ever been raised against this version.",
    "formula": "=COUNTIFS(ChangeRequests!{{ProcedureVersion}}, ProcedureVersions!{{ProcedureVersionId}})"
   },
   {
    "name": "CountOfReviewEvents",
    "datatype": "integer",
    "type": "aggregation",
    "nullable": true,
    "Description": "How many review events have ever been recorded against this version.",
    "formula": "=COUNTIFS(ReviewEvents!{{ProcedureVersion}}, ProcedureVersions!{{ProcedureVersionId}})"
   },
   {
    "name": "HasGovernanceRecord",
    "datatype": "boolean",
    "type": "calculated",
    "nullable": true,
    "Description": "TRUE when at least one change request or review event exists for this version.",
    "formula": "=OR({{CountOfChangeRequests}} &gt; 0, {{CountOfReviewEvents}} &gt; 0)"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"DaysSinceModified",
    "datatype": "integer",
    "type": "calculated",
    "nullable": true,
    "Description": "Days since this version's content was last changed.",
    "formula": "=DATETIME_DIFF({{AsOfInstant}}, {{ModifiedAt}}, \"days\")"
   },
   {
    "name": "DaysSinceLastReview",
    "datatype": "integer",
    "type": "aggregation",
    "nullable": true,
    "Description": "Days since the most recent review of this version.",
    "formula": "=DATETIME_DIFF({{AsOfInstant}}, MAXIFS(ReviewEvents!{{ReviewedAt}}, ReviewEvents!{{ProcedureVersion}}, ProcedureVersions!{{ProcedureVersionId}}), \"days\")"
   },
   {
    "name": "WasModifiedSinceLastReview",
    "datatype": "boolean",
    "type": "calculated",
    "nullable": true,
    "Description": "TRUE when the version was edited more recently than it was reviewed.",
    "formula": "={{DaysSinceModified}} &lt; {{DaysSinceLastReview}}"
   },
   {
    "name": "ModifierIsAuthority",
    "datatype": "string",
    "type": "lookup",
    "nullable": true,
    "Description": "The kind of agent that last modified this version.",
    "formula": "=INDEX(Agents!{{AgentKind}}, MATCH({{ModifiedByAgent}}, Agents!{{AgentId}}, 0))"
   },
   {
    "name": "HasUnwitnessedChange",
    "datatype": "boolean",
    "type": "calculated",
    "nullable": true,
    "Description": "TRUE when a live version's current content postdates every review it has had.",
    "formula": "=AND({{IsLive}}, {{WasModifiedSinceLastReview}})"
   },
   {
    "name": "CountOfStaleFragments",
    "datatype": "integer",
    "type": "aggregation",
    "nullable": true,
    "Description": "How many supporting claims have outlived this version's review cadence.",
    "formula": "=COUNTIFS(KnowledgeFragments!{{ExceedsOwningCadence}}, TRUE)"
   },
   {
    "name": "KnowledgeIsStalerThanCadence",
    "datatype": "boolean",
    "type": "calculated",
    "nullable": true,
    "Description": "TRUE when this version rests on at least one claim older than its own review cadence.",
    "formula": "={{CountOfStaleFragments}} &gt; 0"
   },
   {
    "name": "CompoundFragileFragmentCount",
    "datatype": "number",
    "type": "aggregation",
    "nullable": true,
    "Description": "How many compound-fragile knowledge fragments this version rests on.",
    "formula": "=COUNTIFS(KnowledgeFragments!{{CompoundFragileVersionKey}}, {{ProcedureVersionId}})"
   },
   {
    "name": "RestsOnCompoundFragileKnowledge",
    "datatype": "boolean",
    "type": "calculated",
    "nullable": true,
    "Description": "A live procedure version resting on at least one knowledge fragment that carries three or more decay signals.",
    "formula": "=AND({{IsLive}}, {{CompoundFragileFragmentCount}} &gt; 0)"
   },
   {
    "name": "ConcentratedWitnessSessionCount",
    "datatype": "number",
    "type": "aggregation",
    "nullable": true,
    "Description": "How many concentrated single-witness sessions underwrite this version's knowledge base.",
    "formula": "=COUNTIFS(ElicitationSessions!{{ConcentratedSessionVersionKey}}, {{ProcedureVersionId}})"
   },
   {
    "name": "KnowledgeBaseIsConcentrated",
    "datatype": "boolean",
    "type": "calculated",
    "nullable": true,
    "Description": "A live version where at least one single-witness session alone underwrites three or more of its live claims.",
    "formula": "=AND({{IsLive}}, {{ConcentratedWitnessSessionCount}} &gt; 0)"
   },
   {
    "name": "MachineConsumedUnapprovedCount",
    "datatype": "number",
    "type": "aggregation",
    "nullable": true,
    "Description": "How many unapproved claims this version feeds directly to software-assigned steps.",
    "formula": "=COUNTIFS(KnowledgeFragments!{{MachineConsumedUnapprovedVersionKey}}, {{ProcedureVersionId}})"
   },
   {
    "name": "FeedsUnapprovedKnowledgeToMachines",
    "datatype": "boolean",
    "type": "calculated",
    "nullable": true,
    "Description": "A live version that hands unapproved knowledge to a step no human is positioned to review.",
    "formula": "=AND({{IsLive}}, {{MachineConsumedUnapprovedCount}} &gt; 0)"
   },
   {
    "name": "GenuinelyOverdueFragmentCount",
    "datatype": "number",
    "type": "aggregation",
    "nullable": true,
    "Description": "How many of this version's claims are overdue by actual review record rather than by inference.",
    "formula": "=COUNTIFS(KnowledgeFragments!{{GenuinelyOverdueVersionKey}}, {{ProcedureVersionId}})"
   },
   {
    "name": "AwaitedDecisionCount",
    "datatype": "number",
    "type": "aggregation",
    "nullable": true,
    "Description": "How many decisions are pending against this live version.",
    "formula": "=COUNTIFS(ChangeRequests!{{BacklogVersionKey}}, {{ProcedureVersionId}})"
   },
   {
    "name": "ScopedOpenBlockingGapCount",
    "datatype": "number",
    "type": "aggregation",
    "nullable": true,
    "Description": "How many open blocking gaps belong to THIS version, correctly scoped.",
    "formula": "=COUNTIFS(KnowledgeGaps!{{OpenBlockingGapVersionKey}}, {{ProcedureVersionId}})"
   },
   {
    "name": "IsBlockedOnPendingDecision",
    "datatype": "boolean",
    "type": "calculated",
    "nullable": true,
    "Description": "A live version carrying both an undecided change request and an open blocking gap — the gap cannot close until the decision lands.",
    "formula": "=AND({{AwaitedDecisionCount}} &gt; 0, {{ScopedOpenBlockingGapCount}} &gt; 0)"
   },
   {
    "name": "UnexercisedHumanGateCount",
    "datatype": "number",
    "type": "aggregation",
    "nullable": true,
    "Description": "How many of this version's human-only gates have never been approached by software.",
    "formula": "=COUNTIFS(Steps!{{UnexercisedGateVersionKey}}, {{ProcedureVersionId}})"
   },
   {
    "name": "AiBoundaryIsUnevidenced",
    "datatype": "boolean",
    "type": "calculated",
    "nullable": true,
    "Description": "A live version whose human-only gates rest on assertion rather than on any observed attempt by software.",
    "formula": "=AND({{IsLive}}, {{UnexercisedHumanGateCount}} &gt; 0)"
   },
   {
    "name": "LoadBearingUnapprovedCount",
    "datatype": "number",
    "type": "aggregation",
    "nullable": true,
    "Description": "How many high-blast-radius unapproved claims this version rests on.",
    "formula": "=COUNTIFS(KnowledgeFragments!{{UnapprovedLoadBearingVersionKey}}, {{ProcedureVersionId}})"
   },
   {
    "name": "UnlandedDecisionCount",
    "datatype": "number",
    "type": "aggregation",
    "nullable": true,
    "Description": "How many decided-but-unimplemented change requests hold this version's fitness down.",
    "formula": "=COUNTIFS(ChangeRequests!{{UnlandedVersionKey}}, {{ProcedureVersionId}})"
   },
   {
    "name": "UnrehearsedControlEntryCount",
    "datatype": "number",
    "type": "aggregation",
    "nullable": true,
    "Description": "How many unrehearsed control entries exist in this procedure version.",
    "formula": "=COUNTIFS(StepTransitions!{{UnrehearsedControlVersionKey}}, {{ProcedureVersionId}})"
   },
   {
    "name": "HasUnrehearsedControlEntry",
    "datatype": "boolean",
    "type": "calculated",
    "nullable": true,
    "Description": "Whether this live version has at least one blocking control that is only reachable by a path nobody has ever walked.",
    "formula": "={{UnrehearsedControlEntryCount}} &gt; 0"
   },
   {
    "name": "IsLiveWithUnrehearsedControl",
    "datatype": "boolean",
    "type": "calculated",
    "nullable": true,
    "Description": "A version that is live for execution while carrying at least one never-rehearsed blocking control entry.",
    "formula": "=AND({{IsLive}}, {{HasUnrehearsedControlEntry}})"
   },
   {
    "name": "CadenceBreachCount",
    "datatype": "number",
    "type": "aggregation",
    "nullable": true,
    "Description": "How many review events on this version are past their promised cadence.",
    "formula": "=COUNTIFS(ReviewEvents!{{CadenceBreachVersionKey}}, {{ProcedureVersionId}})"
   },
   {
    "name": "IsInCadenceBreach",
    "datatype": "boolean",
    "type": "calculated",
    "nullable": true,
    "Description": "Whether this version currently has at least one review event past the cadence its steward promised.",
    "formula": "={{CadenceBreachCount}} &gt; 0"
   },
   {
    "name": "HasDecisionInFlight",
    "datatype": "boolean",
    "type": "calculated",
    "nullable": true,
    "Description": "Whether this version has at least one change request that is still open.",
    "formula": "={{OpenChangeRequestCount}} &gt; 0"
   },
   {
    "name": "IsUnremediatedCadenceBreach",
    "datatype": "boolean",
    "type": "calculated",
    "nullable": true,
    "Description": "A cadence breach with no open change request against the version — a broken promise with no response in motion.",
    "formula": "=AND({{IsInCadenceBreach}}, NOT({{HasDecisionInFlight}}))"
   },
   {
    "name": "IsManagedCadenceBreach",
    "datatype": "boolean",
    "type": "calculated",
    "nullable": true,
    "Description": "A cadence breach where a change request is at least open against the version.",
    "formula": "=AND({{IsInCadenceBreach}}, {{HasDecisionInFlight}})"
   },
   {
    "name": "GovernanceIsSilent",
    "datatype": "boolean",
    "type": "calculated",
    "nullable": true,
    "Description": "A live version with neither a change request nor a review event ever recorded against it.",
    "formula": "=AND({{IsLive}}, NOT({{HasGovernanceRecord}}))"
   },
   {
    "name": "ValidFragmentCount",
    "datatype": "number",
    "type": "aggregation",
    "nullable": true,
    "Description": "How many currently-valid knowledge fragments are attached to this version.",
    "formula": "=COUNTIFS(KnowledgeFragments!{{ValidFragmentVersionKey}}, {{ProcedureVersionId}})"
   },
   {
    "name": "StillOwnsValidKnowledge",
    "datatype": "boolean",
    "type": "calculated",
    "nullable": true,
    "Description": "Whether this version still holds at least one knowledge fragment that is currently valid.",
    "formula": "={{ValidFragmentCount}} &gt; 0"
   },
   {
    "name": "IncomingSupersessionCount",
    "datatype": "number",
    "type": "aggregation",
    "nullable": true,
    "Description": "How many other versions declare that they supersede this one.",
    "formula": "=COUNTIFS(ProcedureVersionLinks!{{SupersededVersionKey}}, {{ProcedureVersionId}})"
   },
   {
    "name": "IsStillReferenced",
    "datatype": "boolean",
    "type": "calculated",
    "nullable": true,
    "Description": "Whether any other version points at this one through a supersession link.",
    "formula": "={{IncomingSupersessionCount}} &gt; 0"
   },
   {
    "name": "IsLoadBearingOrphan",
    "datatype": "boolean",
    "type": "calculated",
    "nullable": true,
    "Description": "An unstewarded version that is still referenced by a supersession link or still owns currently-valid knowledge — nobody is accountable for it and something still depends on it.",
    "formula": "=AND({{IsUnstewarded}}, OR({{StillOwnsValidKnowledge}}, {{IsStillReferenced}}))"
   },
   {
    "name": "IsCleanlyRetired",
    "datatype": "boolean",
    "type": "calculated",
    "nullable": true,
    "Description": "An unstewarded version that nothing depends on — a genuine, safe retirement.",
    "formula": "=AND({{IsUnstewarded}}, NOT({{StillOwnsValidKnowledge}}), NOT({{IsStillReferenced}}))"
   },
   {
    "name": "StalledImplementationCount",
    "datatype": "number",
    "type": "aggregation",
    "nullable": true,
    "Description": "How many approved-but-unimplemented change requests are stalled against this version.",
    "formula": "=COUNTIFS(ChangeRequests!{{StalledImplementationVersionKey}}, {{ProcedureVersionId}})"
   },
   {
    "name": "IsHeldUnfitByLandedDecisions",
    "datatype": "boolean",
    "type": "calculated",
    "nullable": true,
    "Description": "A version reading unfit to execute specifically because approved changes have not been marked implemented.",
    "formula": "=AND(NOT({{IsFitToExecute}}), {{StalledImplementationCount}} &gt; 0)"
   },
   {
    "name": "UndeclaredControlKindCount",
    "datatype": "number",
    "type": "aggregation",
    "nullable": true,
    "Description": "How many steps in this version have not declared a control kind.",
    "formula": "=COUNTIFS(Steps!{{UndeclaredControlVersionKey}}, {{ProcedureVersionId}})"
   },
   {
    "name": "ControlTaxonomyIsIncomplete",
    "datatype": "boolean",
    "type": "calculated",
    "nullable": true,
    "Description": "Whether this version contains any step whose control kind is unstated — meaning role-based and id-based control predicates cannot be trusted to cover it.",
    "formula": "={{UndeclaredControlKindCount}} &gt; 0"
   },
   {
    "name": "HasApprovedChangeRequest",
    "datatype": "boolean",
    "type": "calculated",
    "nullable": true,
    "Description": "TRUE when at least one change request against this version has been approved.",
    "formula": "={{ApprovedChangeRequestCount}} &gt; 0"
   },
   {
    "name": "ApprovedChangeRequestCount",
    "datatype": "number",
    "type": "aggregation",
    "nullable": true,
    "Description": "How many change requests against this version have been approved.",
    "formula": "=COUNTIFS(ChangeRequests!{{ApprovedVersionKey}}, {{ProcedureVersionId}})"
   },
   {
    "name": "UnwatchedUnownedControlCount",
    "datatype": "number",
    "type": "aggregation",
    "nullable": true,
    "Description": "How many blocking controls in the model are neither computed nor owned.",
    "formula": "=COUNTIFS(Requirements!{{UnwatchedUnownedFlag}}, \"unwatched-unowned\")"
   },
   {
    "name": "MiningRunCount",
    "datatype": "number",
    "type": "aggregation",
    "nullable": true,
    "Description": "How many process-mining conformance runs exist for this procedure version.",
    "formula": "=COUNTIFS(ProcessMiningRuns!{{ProcedureVersion}}, {{ProcedureVersionId}})"
   },
   {
    "name": "DriftedMiningRunCount",
    "datatype": "number",
    "type": "aggregation",
    "nullable": true,
    "Description": "How many mining runs found major, real drift while this version was live.",
    "formula": "=COUNTIFS(ProcessMiningRuns!{{DriftedMiningRunKey}}, {{ProcedureVersionId}})"
   },
   {
    "name": "HasUnresolvedMiningDrift",
    "datatype": "boolean",
    "type": "calculated",
    "nullable": true,
    "Description": "TRUE when mined operational evidence contradicts this live version's documented path.",
    "formula": "={{DriftedMiningRunCount}} &gt; 0"
   },
   {
    "name": "EntryStepId",
    "datatype": "string",
    "type": "aggregation",
    "nullable": true,
    "Description": "The s</t>
  </si>
  <si>
    <t xml:space="preserve">tep this procedure version starts at: the one step no transition leads into.",
    "formula": "=MAXIFS(Steps!{{EntryStepKey}}, Steps!{{ProcedureVersion}}, ProcedureVersions!{{ProcedureVersionId}})"
   },
   {
    "name": "SemanticTypeIri",
    "datatype": "string",
    "type": "raw",
    "nullable": true,
    "Description": "Exact PKO class IRI."
   }
  ],
  "data": [
   {
    "ProcedureVersionId": "close-v1.0.0",
    "Procedure": "quarter-end-close",
    "VersionNumber": "1.0.0",
    "Title": "Quarter-End Financial Close v1.0.0",
    "Status": "Archived",
    "IssuedAt": "2025-10-01T09:00:00-05:00",
    "ModifiedAt": "2026-03-31T17:00:00-05:00",
    "CreatedByAgent": "devon-okafor",
    "ModifiedByAgent": "devon-okafor",
    "NewVersionMotivation": "Initial governed close procedure.",
    "ChangelogDescription": "Baseline eight-step close.",
    "IsCurrent": false,
    "SemanticTypeIri": "https://w3id.org/pko#Procedure",
    "EvaluationContext": "eval-current",
    "Name": "Quarter-End Financial Close v1.0.0",
    "CountOfSteps": 0,
    "CountOfOpenKnowledgeGaps": 0,
    "IsReadyForExecution": false,
    "SpecifiedStepCount": 0,
    "OverdueReviewCount": 0,
    "OpenChangeRequestCount": 0,
    "OpenHighSeverityGapCount": 0,
    "IsFitToExecute": false,
    "StewardReviewCadenceDays": 0,
    "CountOfStewardshipAssignments": 0,
    "HasAnySteward": false,
    "IsLive": false,
    "IsUnstewarded": true,
    "IsLiveAndUnstewarded": false,
    "CountOfOpenBlockingGaps": 0,
    "HasOpenBlockingGap": false,
    "IsLiveWithBlockingGap": false,
    "ShouldNotBeExecutable": false,
    "CountOfUnapprovedRelianceFragments": 1,
    "RunsOnUnapprovedKnowledge": true,
    "CountOfOverdueGaps": 0,
    "CountOfChangeRequests": 0,
    "CountOfReviewEvents": 0,
    "HasGovernanceRecord": false,
    "AsOfInstant": "2026-07-19T13:00:00-05:00",
    "DaysSinceModified": 110,
    "ModifierIsAuthority": "Human",
    "HasUnwitnessedChange": false,
    "CountOfStaleFragments": 7,
    "KnowledgeIsStalerThanCadence": true,
    "CompoundFragileFragmentCount": 0,
    "RestsOnCompoundFragileKnowledge": false,
    "ConcentratedWitnessSessionCount": 0,
    "KnowledgeBaseIsConcentrated": false,
    "MachineConsumedUnapprovedCount": 0,
    "FeedsUnapprovedKnowledgeToMachines": false,
    "GenuinelyOverdueFragmentCount": 0,
    "AwaitedDecisionCount": 0,
    "ScopedOpenBlockingGapCount": 0,
    "IsBlockedOnPendingDecision": false,
    "UnexercisedHumanGateCount": 0,
    "AiBoundaryIsUnevidenced": false,
    "LoadBearingUnapprovedCount": 0,
    "UnlandedDecisionCount": 0,
    "UnrehearsedControlEntryCount": 0,
    "HasUnrehearsedControlEntry": false,
    "IsLiveWithUnrehearsedControl": false,
    "CadenceBreachCount": 0,
    "IsInCadenceBreach": false,
    "HasDecisionInFlight": false,
    "IsUnremediatedCadenceBreach": false,
    "IsManagedCadenceBreach": false,
    "GovernanceIsSilent": false,
    "ValidFragmentCount": 0,
    "StillOwnsValidKnowledge": false,
    "IncomingSupersessionCount": 1,
    "IsStillReferenced": true,
    "IsLoadBearingOrphan": true,
    "IsCleanlyRetired": false,
    "StalledImplementationCount": 0,
    "IsHeldUnfitByLandedDecisions": false,
    "UndeclaredControlKindCount": 0,
    "ControlTaxonomyIsIncomplete": false,
    "HasApprovedChangeRequest": false,
    "ApprovedChangeRequestCount": 0,
    "UnwatchedUnownedControlCount": 9,
    "DaysSinceLastReview": null,
    "WasModifiedSinceLastReview": false,
    "MiningRunCount": 1,
    "DriftedMiningRunCount": 0,
    "HasUnresolvedMiningDrift": false,
    "EntryStepId": null
   },
   {
    "ProcedureVersionId": "close-v1.1.0",
    "Procedure": "quarter-end-close",
    "VersionNumber": "1.1.0",
    "Title": "Quarter-End Financial Close v1.1.0",
    "Status": "Approved",
    "IssuedAt": "2026-04-15T09:00:00-05:00",
    "ModifiedAt": "2026-07-02T15:00:00-05:00",
    "CreatedByAgent": "devon-okafor",
    "ModifiedByAgent": "maria-chen",
    "NewVersionMotivation": "Capture FX timestamp failure mode and AI-assisted variance triage.",
    "ChangelogDescription": "Adds explicit feed-timestamp check, knowledge fragment, and variance-triage verification.",
    "IsCurrent": true,
    "SemanticTypeIri": "https://w3id.org/pko#Procedure",
    "EvaluationContext": "eval-current",
    "Name": "Quarter-End Financial Close v1.1.0",
    "CountOfSteps": 8,
    "CountOfOpenKnowledgeGaps": 0,
    "IsReadyForExecution": true,
    "SpecifiedStepCount": 8,
    "OverdueReviewCount": 1,
    "OpenChangeRequestCount": 0,
    "OpenHighSeverityGapCount": 0,
    "IsFitToExecute": false,
    "StewardReviewCadenceDays": 90,
    "CountOfStewardshipAssignments": 1,
    "HasAnySteward": true,
    "IsLive": true,
    "IsUnstewarded": false,
    "IsLiveAndUnstewarded": false,
    "CountOfOpenBlockingGaps": 0,
    "HasOpenBlockingGap": false,
    "IsLiveWithBlockingGap": false,
    "ShouldNotBeExecutable": false,
    "CountOfUnapprovedRelianceFragments": 1,
    "RunsOnUnapprovedKnowledge": true,
    "CountOfOverdueGaps": 0,
    "CountOfChangeRequests": 1,
    "CountOfReviewEvents": 2,
    "HasGovernanceRecord": true,
    "AsOfInstant": "2026-07-19T13:00:00-05:00",
    "DaysSinceModified": 17,
    "DaysSinceLastReview": 17,
    "WasModifiedSinceLastReview": false,
    "ModifierIsAuthority": "Human",
    "HasUnwitnessedChange": false,
    "CountOfStaleFragments": 7,
    "KnowledgeIsStalerThanCadence": true,
    "CompoundFragileFragmentCount": 1,
    "RestsOnCompoundFragileKnowledge": true,
    "ConcentratedWitnessSessionCount": 1,
    "KnowledgeBaseIsConcentrated": true,
    "MachineConsumedUnapprovedCount": 0,
    "FeedsUnapprovedKnowledgeToMachines": false,
    "GenuinelyOverdueFragmentCount": 0,
    "AwaitedDecisionCount": 0,
    "ScopedOpenBlockingGapCount": 0,
    "IsBlockedOnPendingDecision": false,
    "UnexercisedHumanGateCount": 1,
    "AiBoundaryIsUnevidenced": true,
    "LoadBearingUnapprovedCount": 0,
    "UnlandedDecisionCount": 0,
    "UnrehearsedControlEntryCount": 1,
    "HasUnrehearsedControlEntry": true,
    "IsLiveWithUnrehearsedControl": true,
    "CadenceBreachCount": 1,
    "IsInCadenceBreach": true,
    "HasDecisionInFlight": false,
    "IsUnremediatedCadenceBreach": true,
    "IsManagedCadenceBreach": false,
    "GovernanceIsSilent": false,
    "ValidFragmentCount": 4,
    "StillOwnsValidKnowledge": true,
    "IncomingSupersessionCount": 0,
    "IsStillReferenced": false,
    "IsLoadBearingOrphan": false,
    "IsCleanlyRetired": false,
    "StalledImplementationCount": 0,
    "IsHeldUnfitByLandedDecisions": false,
    "UndeclaredControlKindCount": 0,
    "ControlTaxonomyIsIncomplete": false,
    "HasApprovedChangeRequest": true,
    "ApprovedChangeRequestCount": 1,
    "UnwatchedUnownedControlCount": 9,
    "MiningRunCount": 2,
    "DriftedMiningRunCount": 1,
    "HasUnresolvedMiningDrift": true,
    "EntryStepId": "close-01"
   },
   {
    "ProcedureVersionId": "policy-v1.0.0",
    "Procedure": "workforce-policy-notification",
    "VersionNumber": "1.0.0",
    "Title": "Workforce Policy Change and Employee Notification v1.0.0",
    "Status": "Approved",
    "IssuedAt": "2026-06-01T09:00:00-05:00",
    "ModifiedAt": "2026-07-18T16:30:00-05:00",
    "CreatedByAgent": "elena-garcia",
    "ModifiedByAgent": "amina-yusuf",
    "NewVersionMotivation": "Initial governed policy-notification procedure.",
    "ChangelogDescription": "Adds legal review, human approval, email/SMS channel controls, acknowledgements, and feedback review.",
    "IsCurrent": true,
    "SemanticTypeIri": "https://w3id.org/pko#Procedure",
    "EvaluationContext": "eval-current",
    "Name": "Workforce Policy Change and Employee Notification v1.0.0",
    "CountOfSteps": 9,
    "CountOfOpenKnowledgeGaps": 1,
    "IsReadyForExecution": false,
    "SpecifiedStepCount": 9,
    "OverdueReviewCount": 0,
    "OpenChangeRequestCount": 1,
    "OpenHighSeverityGapCount": 0,
    "IsFitToExecute": false,
    "StewardReviewCadenceDays": 60,
    "CountOfStewardshipAssignments": 1,
    "HasAnySteward": true,
    "IsLive": true,
    "IsUnstewarded": false,
    "IsLiveAndUnstewarded": false,
    "CountOfOpenBlockingGaps": 0,
    "HasOpenBlockingGap": false,
    "IsLiveWithBlockingGap": false,
    "ShouldNotBeExecutable": false,
    "CountOfUnapprovedRelianceFragments": 1,
    "RunsOnUnapprovedKnowledge": true,
    "CountOfOverdueGaps": 0,
    "CountOfChangeRequests": 1,
    "CountOfReviewEvents": 1,
    "HasGovernanceRecord": true,
    "AsOfInstant": "2026-07-19T13:00:00-05:00",
    "DaysSinceModified": 1,
    "DaysSinceLastReview": 1,
    "WasModifiedSinceLastReview": false,
    "ModifierIsAuthority": "Human",
    "HasUnwitnessedChange": false,
    "CountOfStaleFragments": 7,
    "KnowledgeIsStalerThanCadence": true,
    "CompoundFragileFragmentCount": 0,
    "RestsOnCompoundFragileKnowledge": false,
    "ConcentratedWitnessSessionCount": 0,
    "KnowledgeBaseIsConcentrated": false,
    "MachineConsumedUnapprovedCount": 1,
    "FeedsUnapprovedKnowledgeToMachines": true,
    "GenuinelyOverdueFragmentCount": 0,
    "AwaitedDecisionCount": 1,
    "ScopedOpenBlockingGapCount": 0,
    "IsBlockedOnPendingDecision": false,
    "UnexercisedHumanGateCount": 1,
    "AiBoundaryIsUnevidenced": true,
    "LoadBearingUnapprovedCount": 0,
    "UnlandedDecisionCount": 0,
    "UnrehearsedControlEntryCount": 2,
    "HasUnrehearsedControlEntry": true,
    "IsLiveWithUnrehearsedControl": true,
    "CadenceBreachCount": 0,
    "IsInCadenceBreach": false,
    "HasDecisionInFlight": true,
    "IsUnremediatedCadenceBreach": false,
    "IsManagedCadenceBreach": false,
    "GovernanceIsSilent": false,
    "ValidFragmentCount": 2,
    "StillOwnsValidKnowledge": true,
    "IncomingSupersessionCount": 0,
    "IsStillReferenced": false,
    "IsLoadBearingOrphan": false,
    "IsCleanlyRetired": false,
    "StalledImplementationCount": 0,
    "IsHeldUnfitByLandedDecisions": false,
    "UndeclaredControlKindCount": 0,
    "ControlTaxonomyIsIncomplete": false,
    "HasApprovedChangeRequest": false,
    "ApprovedChangeRequestCount": 0,
    "UnwatchedUnownedControlCount": 9,
    "MiningRunCount": 1,
    "DriftedMiningRunCount": 0,
    "HasUnresolvedMiningDrift": false,
    "EntryStepId": "policy-01"
   }
  ]
 },
 "ProcedureVersionLinks": {
  "Description": "Directed links between versioned procedures. Maps to dcat:previousVersion/dcat:hasVersion and pko:nextVersion.",
  "important": false,
  "schema": [
   {
    "name": "ProcedureVersionLinkId",
    "datatype": "string",
    "type": "raw",
    "nullable": false,
    "Description": "Stored logical identifier for one ProcedureVersionLinks row."
   },
   {
    "name": "Name",
    "datatype": "string",
    "type": "calculated",
    "nullable": true,
    "Description": "Human-readable calculated display alias for the ProcedureVersionLinks row.",
    "formula": "={{PreviousProcedureVersion}} &amp; \" -&gt; \" &amp; {{NextProcedureVersion}}"
   },
   {
    "name": "PreviousProcedureVersion",
    "datatype": "string",
    "type": "relationship",
    "nullable": true,
    "Description": "Earlier version.",
    "RelatedTo": "ProcedureVersions"
   },
   {
    "name": "NextProcedureVersion",
    "datatype": "string",
    "type": "relationship",
    "nullable": true,
    "Description": "Later version.",
    "RelatedTo": "ProcedureVersions"
   },
   {
    "name": "RelationIri",
    "datatype": "string",
    "type": "raw",
    "nullable": true,
    "Description": "Exact version relation IRI."
   },
   {
    "name": "ChangeSummary",
    "datatype": "string",
    "type": "raw",
    "nullable": true,
    "Description": "Summary of semantic change across the edge."
   },
   {
    "name": "SupersededVersionKey",
    "datatype": "string",
    "type": "calculated",
    "nullable": true,
    "Description": "Echoes the superseded (previous) version id for rows that express a next-version relation. Supersession is carried by RelationIri here, not by a separate link-kind column.",
    "formula": "=IF({{RelationIri}} = \"https://w3id.org/pko#nextVersion\", {{PreviousProcedureVersion}}, \"\")"
   }
  ],
  "data": [
   {
    "ProcedureVersionLinkId": "close-v1.0.0-to-v1.1.0",
    "PreviousProcedureVersion": "close-v1.0.0",
    "NextProcedureVersion": "close-v1.1.0",
    "RelationIri": "https://w3id.org/pko#nextVersion",
    "ChangeSummary": "Added timestamp control, AI variance triage, and explicit knowledge capture.",
    "Name": "close-v1.0.0 -&gt; close-v1.1.0",
    "SupersededVersionKey": "close-v1.0.0"
   }
  ]
 },
 "ProcedureStatusChanges": {
  "Description": "Lifecycle events that move a procedure version between PKO statuses. Maps to pko:ChangeOfStatus, fromStatus, toStatus, and prov:atTime.",
  "important": false,
  "schema": [
   {
    "name": "ProcedureStatusChangeId",
    "datatype": "string",
    "type": "raw",
    "nullable": false,
    "Description": "Stored logical identifier for one ProcedureStatusChanges row."
   },
   {
    "name": "Name",
    "datatype": "string",
    "type": "calculated",
    "nullable": true,
    "Description": "Human-readable calculated display alias for the ProcedureStatusChanges row.",
    "formula": "={{ProcedureVersion}} &amp; \": \" &amp; {{FromStatus}} &amp; \" -&gt; \" &amp; {{ToStatus}}"
   },
   {
    "name": "ProcedureVersion",
    "datatype": "string",
    "type": "relationship",
    "nullable": true,
    "Description": "Procedure version whose status changed.",
    "RelatedTo": "ProcedureVersions"
   },
   {
    "name": "FromStatus",
    "datatype": "string",
    "type": "raw",
    "nullable": true,
    "Description": "Previous PKO status."
   },
   {
    "name": "ToStatus",
    "datatype": "string",
    "type": "raw",
    "nullable": true,
    "Description": "New PKO status."
   },
   {
    "name": "ChangedAt",
    "datatype": "datetime",
    "type": "raw",
    "nullable": true,
    "Description": "Time of change; maps to prov:atTime."
   },
   {
    "name": "ChangedByAgent",
    "datatype": "string",
    "type": "relationship",
    "nullable": true,
    "Description": "Agent responsible for the change.",
    "RelatedTo": "Agents"
   },
   {
    "name": "Motivation",
    "datatype": "string",
    "type": "raw",
    "nullable": true,
    "Description": "Reason for changing status."
   },
   {
    "name": "SemanticTypeIri",
    "datatype": "string",
    "type": "raw",
    "nullable": true,
    "Description": "Exact PKO class IRI."
   }
  ],
  "data": [
   {
    "ProcedureStatusChangeId": "status-close-draft-validation",
    "ProcedureVersion": "close-v1.1.0",
    "FromStatus": "Draft",
    "ToStatus": "Validation",
    "ChangedAt": "2026-04-08T10:00:00-05:00",
    "ChangedByAgent": "maria-chen",
    "Motivation": "Ready for control and ontology validation.",
    "SemanticTypeIri": "https://w3id.org/pko#ChangeOfStatus",
    "Name": "close-v1.1.0: Draft -&gt; Validation"
   },
   {
    "ProcedureStatusChangeId": "status-close-validation-approval",
    "ProcedureVersion": "close-v1.1.0",
    "FromStatus": "Validation",
    "ToStatus": "Approval",
    "ChangedAt": "2026-04-12T14:00:00-05:00",
    "ChangedByAgent": "devon-okafor",
    "Motivation": "All requirements and test cases passed.",
    "SemanticTypeIri": "https://w3id.org/pko#ChangeOfStatus",
    "Name": "close-v1.1.0: Validation -&gt; Approval"
   },
   {
    "ProcedureStatusChangeId": "status-close-approval-approved",
    "ProcedureVersion": "close-v1.1.0",
    "FromStatus": "Approval",
    "ToStatus": "Approved",
    "ChangedAt": "2026-04-15T09:00:00-05:00",
    "ChangedByAgent": "priya-raman",
    "Motivation": "Final authority approved release.",
    "SemanticTypeIri": "https://w3id.org/pko#ChangeOfStatus",
    "Name": "close-v1.1.0: Approval -&gt; Approved"
   },
   {
    "ProcedureStatusChangeId": "status-policy-draft-validation",
    "ProcedureVersion": "policy-v1.0.0",
    "FromStatus": "Draft",
    "ToStatus": "Validation",
    "ChangedAt": "2026-05-20T09:00:00-05:00",
    "ChangedByAgent": "elena-garcia",
    "Motivation": "Ready for legal and communications review.",
    "SemanticTypeIri": "https://w3id.org/pko#ChangeOfStatus",
    "Name": "policy-v1.0.0: Draft -&gt; Validation"
   },
   {
    "ProcedureStatusChangeId": "status-policy-validation-approved",
    "ProcedureVersion": "policy-v1.0.0",
    "FromStatus": "Validation",
    "ToStatus": "Approved",
    "ChangedAt": "2026-06-01T09:00:00-05:00",
    "ChangedByAgent": "priya-raman",
    "Motivation": "Approved with channel safeguards.",
    "SemanticTypeIri": "https://w3id.org/pko#ChangeOfStatus",
    "Name": "policy-v1.0.0: Validation -&gt; Approved"
   }
  ]
 },
 "Steps": {
  "Description": "Version-scoped units of work. Atomic steps map to pplan:Step; composite steps map to pplan:MultiStep. The specification is never conflated with execution.",
  "important": true,
  "schema": [
   {
    "name": "StepId",
    "datatype": "string",
    "type": "raw",
    "nullable": false,
    "Description": "Stored logical identifier for one Steps row."
   },
   {
    "name": "Name",
    "datatype": "string",
    "type": "calculated",
    "nullable": true,
    "Description": "Human-readable calculated display alias for the Steps row.",
    "formula": "={{StepNumber}} &amp; \". \" &amp; {{Title}}"
   },
   {
    "name": "ProcedureVersion",
    "datatype": "string",
    "type": "relationship",
    "nullable": true,
    "Description": "Procedure version containing the step; maps to pko:hasStep/pplan:isStepOfPlan.",
    "RelatedTo": "ProcedureVersions"
   },
   {
    "name": "StepNumber",
    "datatype": "string",
    "type": "raw",
    "nullable": true,
    "Description": "Stable sequence label; maps to pko:stepNumber."
   },
   {
    "name": "Title",
    "datatype": "string",
    "type": "raw",
    "nullable": true,
    "Description": "Human-readable step title."
   },
   {
    "name": "StepKind",
    "datatype": "string",
    "type": "raw",
    "nullable": true,
    "Description": "Atomic or MultiStep."
   },
   {
    "name": "AssignedRole",
    "datatype": "string",
    "type": "relationship",
    "nullable": true,
    "Description": "Role responsible for the step.",
    "RelatedTo": "Roles"
   },
   {
    "name": "AssignedRoleLabel",
    "datatype": "string",
    "type": "lookup",
    "nullable": true,
    "Description": "Resolved role label.",
    "formula": "=INDEX(Roles!{{Label}}, MATCH({{AssignedRole}}, Roles!{{RoleId}}, 0))"
   },
   {
    "name": "AssignedAgentKind",
    "datatype": "string",
    "type": "lookup",
    "nullable": true,
    "Description": "Current role-filler category.",
    "formula": "=INDEX(Roles!{{CurrentAgentKind}}, MATCH({{AssignedRole}}, Roles!{{RoleId}}, 0))"
   },
   {
    "name": "Instruction",
    "datatype": "string",
    "type": "raw",
    "nullable": true,
    "Description": "Normative step instruction."
   },
   {
    "name": "ExpectedDurationMinutes",
    "datatype": "integer",
    "type": "raw",
    "nullable": true,
    "Description": "Expected duration represented as an OWL-Time duration in semantic projections."
   },
   {
    "name": "ExpertiseLevel",
    "datatype": "string",
    "type": "raw",
    "nullable": true,
    "Description": "PKO expertise level: Junior, Senior, Expert, or Master."
   },
   {
    "name": "RequiresHumanConfirmation",
    "datatype": "boolean",
    "type": "raw",
    "nullable": true,
    "Description": "TRUE when a human must confirm the step; maps to pko:wasConfirmedBy at execution."
   },
   {
    "name": "BlockingRequirementCount",
    "datatype": "number",
    "type": "aggregation",
    "nullable": true,
    "Description": "How many blocking requirements the specification attaches to this step.",
    "formula": "=COUNTIFS(StepRequirements!{{BlockingStepKey}}, {{StepId}})"
   },
   {
    "name": "StaleBindingCount",
    "datatype": "number",
    "type": "aggregation",
    "nullable": true,
    "Description": "How many operational bindings for this step are currently outside their freshness SLA.",
    "formula": "=COUNTIFS(OperationalBindings!{{StaleBindingStepKey}}, {{StepId}})"
   },
   {
    "name": "AuthoritativeStaleCount",
    "datatype": "number",
    "type": "aggregation",
    "nullable": true,
    "Description": "How many authoritative bindings for this step are currently stale.",
    "formula": "=COUNTIFS(OperationalBindings!{{AuthoritativeStaleStepKey}}, {{StepId}})"
   },
   {
    "name": "AvailableExceptionCount",
    "datatype": "number",
    "type": "aggregation",
    "nullable": true,
    "Description": "How many active exceptions the specification defines for this step.",
    "formula": "=COUNTIFS(Exceptions!{{ActiveExceptionStepKey}}, {{StepId}})"
   },
   {
    "name": "DeclaredVerificationCount",
    "datatype": "number",
    "type": "aggregation",
    "nullable": true,
    "Description": "How many verifications the specification declares for this step.",
    "formula": "=COUNTIFS(StepVerifications!{{Step}}, {{StepId}})"
   },
   {
    "name": "IsPreparationStep",
    "datatype": "boolean",
    "type": "calculated",
    "nullable": true,
    "Description": "TRUE for steps whose assigned role produces the work product rather than reviewing it.",
    "formula": "=OR({{AssignedRole}} = \"finance-analyst\", {{AssignedRole}} = \"variance-review-agent\")"
   },
   {
    "name": "IsApprovalStep",
    "datatype": "boolean",
    "type": "calculated",
    "nullable": true,
    "Description": "TRUE for steps whose assigned role is an approval authority.",
    "formula": "=OR({{AssignedRole}} = \"controller\", {{AssignedRole}} = \"cfo\")"
   },
   {
    "name": "StaleAuthoritativeBindingCount",
    "datatype": "number",
    "type": "aggregation",
    "nullable": true,
    "Description": "Number of authoritative bindings for this step that are past their freshness SLA.",
    "formula": "=COUNTIFS(OperationalBindings!{{StepWhenStale}}, {{StepId}})"
   },
   {
    "name": "InputsAreFresh",
    "datatype": "boolean",
    "type": "calculated",
    "nullable": true,
    "Description": "TRUE when no authoritative binding for this step is stale.",
    "formula": "={{StaleAuthoritativeBindingCount}} = 0"
   },
   {
    "name": "IsSoftwareAssigned",
    "datatype": "boolean",
    "type": "calculated",
    "nullable": true,
    "Description": "TRUE when this step is specified to be performed by software rather than a person.",
    "formula": "=OR({{AssignedAgentKind}} = \"AIAgent\", {{AssignedAgentKind}} = \"AutomatedPipeline\")"
   },
   {
    "name": "IsHumanApprovalGate",
    "datatype": "boolean",
    "type": "calculated",
    "nullable": true,
    "Description": "TRUE for the steps that exist specifically to place a human commitment between drafting and delivery.",
    "formula": "=AND(NOT({{IsSoftwareAssigned}}), OR({{StepId}} = \"policy-05\", {{StepId}} = \"close-06\"))"
   },
   {
    "name": "GateHeldByHuman",
    "datatype": "boolean",
    "type": "calculated",
    "nullable": true,
    "Description": "TRUE when a designated approval gate is in fact assigned to a human role.",
    "formula": "=AND({{IsHumanApprovalGate}}, {{AssignedAgentKind}} = \"Human\")"
   },
   {
    "name": "BindingBoundaryCount",
    "datatype": "number",
    "type": "aggregation",
    "nullable": true,
    "Description": "Number of authority boundaries currently binding at this step.",
    "formula": "=COUNTIFS(AuthorityBoundaries!{{StepWhenBinding}}, {{StepId}})"
   },
   {
    "name": "AssignedRoleIsUngoverned",
    "datatype": "boolean",
    "type": "lookup",
    "nullable": true,
    "Description": "Whether this step's assigned role is a non-human role with no governing assignment.",
    "formula": "=INDEX(Roles!{{IsUngovernedNonHumanRole}}, MATCH({{AssignedRole}}, Roles!{{RoleId}}, 0))"
   },
   {
    "name": "UnusableBindingCount",
    "datatype": "number",
    "type": "aggregation",
    "nullable": true,
    "Description": "Number of bindings at this step that are unapproved or stale.",
    "formula": "=COUNTIFS(OperationalBindings!{{StepWhenUnusable}}, {{StepId}})"
   },
   {
    "name": "AllSourcesUsable",
    "datatype": "boolean",
    "type": "calculated",
    "nullable": true,
    "Description": "TRUE when every binding at this step is an approved, fresh source.",
    "formula": "={{UnusableBindingCount}} = 0"
   },
   {
    "name": "ControlKind",
    "datatype": "string",
    "type": "raw",
    "nullable": true,
    "Description": "What kind of control this step is: Preparation, Approval, LegalReview, Verification, Extraction, Publication, Retrospective, or None. That policy-04 is a legal review is a property OF policy-04, not of a formula that happens to name it; storing it as data makes downstream predicates portable to procedures that do not exist yet."
   },
   {
    "name": "UnwarrantedBoundaryCount",
    "datatype": "number",
    "type": "aggregation",
    "nullable": true,
    "Description": "How many boundaries governing this step are being enforced without a valid ratifying claim.",
    "formula": "=COUNTIFS(AuthorityBoundaries!{{UnwarrantedBoundaryStepKey}}, {{StepId}})"
   },
   {
    "name": "IsGovernedByUnwarrantedBoundary",
    "datatype": "boolean",
    "type": "calculated",
    "nullable": true,
    "Description": "Whether this step's constraints on machine authority rest on a claim that is no longer valid.",
    "formula": "={{UnwarrantedBoundaryCount}} &gt; 0"
   },
   {
    "name": "SoftwareExecutionCount",
    "datatype": "number",
    "type": "aggregation",
    "nullable": true,
    "Description": "How many times a software agent has actually executed this step.",
    "formula": "=COUNTIFS(StepExecutions!{{SoftwareExecutionStepKey}}, {{StepId}})"
   },
   {
    "name": "HasBeenApproachedBySoftware",
    "datatype": "boolean",
    "type": "calculated",
    "nullable": true,
    "Description": "Whether any software agent has ever executed this step.",
    "formula": "={{SoftwareExecutionCount}} &gt; 0"
   },
   {
    "name": "IsUnexercisedHumanGate",
    "datatype": "boolean",
    "type": "calculated",
    "nullable": true,
    "Description": "A human-only approval gate that no software agent has ever attempted — the control is asserted, not demonstrated.",
    "formula": "=AND({{IsHumanApprovalGate}}, NOT({{HasBeenApproachedBySoftware}}))"
   },
   {
    "name": "IsDemonstratedHumanGate",
    "datatype": "boolean",
    "type": "calculated",
    "nullable": true,
    "Description": "A human gate that software has actually reached and that a human nevertheless held.",
    "formula": "=AND({{IsHumanApprovalGate}}, {{HasBeenApproachedBySoftware}}, {{GateHeldByHuman}})"
   },
   {
    "name": "UnexercisedGateVersionKey",
    "datatype": "string",
    "type": "calculated",
    "nullable": true,
    "Description": "Composite-key echo: this step's procedure version when the step is an unexercised human gate, blank otherwise.",
    "formula": "=IF({{IsUnexercisedHumanGate}}, {{ProcedureVersion}}, \"\")"
   },
   {
    "name": "HasDeclaredControlKind",
    "datatype": "boolean",
    "type": "calculated",
    "nullable": true,
    "Description": "Whether this step declares what kind of control it is.",
    "formula": "={{ControlKind}} &lt;&gt; \"\""
   },
   {
    "name": "UndeclaredControlVersionKey",
    "datatype": "string",
    "type": "calculated",
    "nullable": true,
    "Description": "Composite-key echo: this step's procedure version when the step has no declared control kind, blank otherwise.",
    "formula": "=IF({{HasDeclaredControlKind}}, \"\", {{ProcedureVersion}})"
   },
   {
    "name": "ApprovalStepIsSoftwareAssigned",
    "datatype": "boolean",
    "type": "calculated",
    "nullable": true,
    "Description": "An approval-kind step whose assigned role is currently held by an AI agent or automated pipeline.",
    "formula": "=AND({{ControlKind}} = \"Approval\", {{IsSoftwareAssigned}})"
   },
   {
    "name": "UnwitnessedBlockingCount",
    "datatype": "number",
    "type": "aggregation",
    "nullable": true,
    "Description": "How many blocking controls bound to this step have no computed witness.",
    "formula": "=COUNTIFS(StepRequirements!{{UnwitnessedStepKey}}, {{StepId}})"
   },
   {
    "name": "ReachableStepCount",
    "datatype": "integer",
    "type": "aggregation",
    "nullable": true,
    "Description": "Number of steps this step can lead to through one or more transitions, including itself when it lies on a rework loop.",
    "formula": "=COUNTIFS(vw_step_transitions_closure!{{FromId}}, Steps!{{StepId}})"
   },
   {
    "name": "ReachedFromStepCount",
    "datatype": "integer",
    "type": "aggregation",
    "nullable": true,
    "Description": "Number of steps that can lead to this step through one or more transitions, including itself when it lies on a rework loop.",
    "formula": "=COUNTIFS(vw_step_transitions_closure!{{ToId}}, Steps!{{StepId}})"
   },
   {
    "name": "SelfReachCount",
    "datatype": "integer",
    "type": "aggregation",
    "nullable": true,
    "Description": "1 when the closure contains the pair (this step, this step), i.e. some path of one or more transitions returns to this step; otherwise 0.",
    "formula": "=COUNTIFS(vw_step_transitions_closure!{{FromId}}, Steps!{{StepId}}, vw_step_transitions_closure!{{ToId}}, Steps!{{StepId}})"
   },
   {
    "name": "IsOnReworkLoop",
    "datatype": "boolean",
    "type": "calculated",
    "nullable": true,
    "Description": "The procedure can send work back to this step after it has run: the step lies on a cycle of the step graph.",
    "formula": "={{SelfReachCount}} &gt; 0"
   },
   {
    "name": "IsBlockingControlOnReworkLoop",
    "datatype": "boolean",
    "type": "calculated",
    "nullable": true,
    "Description": "A step carrying at least one blocking requirement can be re-entered, so that control must hold on every pass, not only the first.",
    "formula": "=AND({{IsOnReworkLoop}}, {{BlockingRequirementCount}} &gt; 0)"
   },
   {
    "name": "IncomingTransitionCount",
    "datatype": "integer",
    "type": "aggregation",
    "nullable": true,
    "Description": "Number of transitions, of any kind, that lead into this step.",
    "formula": "=COUNTIFS(StepTransitions!{{ToStep}}, Steps!{{StepId}})"
   },
   {
    "name": "IsEntryStep",
    "datatype": "boolean",
    "type": "calculated",
    "nullable": true,
    "Description": "No transition leads into this step: the procedure version starts here.",
    "formula": "={{IncomingTransitionCount}} = 0"
   },
   {
    "name": "EntryStepKey",
    "datatype": "string",
    "type": "calculated",
    "nullable": true,
    "Description": "Composite-key echo: this step's id when it is its procedure version's entry step, blank otherwise.",
    "formula": "=IF({{IsEntryStep}}, {{StepId}}, \"\")"
   },
   {
    "name": "VersionEntryStepId",
    "datatype": "string",
    "type": "lookup",
    "nullable": true,
    "Description": "The entry step of this step's procedure version.",
    "formula": "=INDEX(ProcedureVersions!{{EntryStepId}}, MATCH({{ProcedureVersion}}, ProcedureVersions!{{ProcedureVersionId}}, 0))"
   },
   {
    "name": "GateFreeReachFromEntryCount",
    "datatype": "integer",
    "type": "aggregation",
    "nullable": true,
    "Description": "1 when some route of one or more gate-free transitions leads from the procedure version's entry step to this step; otherwise 0.",
    "formula": "=COUNTIFS(vw_step_transitions_closure_where_avoids_human_approval_gate!{{FromId}}, {{VersionEntryStepId}}, vw_step_transitions_closure_where_avoids_human_approval_gate!{{ToId}}, Steps!{{StepId}})"
   },
   {
    "name": "IsReachableFromEntryWithoutHumanGate",
    "datatype": "boolean",
    "type": "calculated",
    "nullable": true,
    "Description": "Work can arrive at this step from the start of the procedure without passing any human approval gate.",
    "formula": "={{GateFreeReachFromEntryCount}} &gt; 0"
   },
   {
    "name": "IsGateBypassedPublication",
    "datatype": "boolean",
    "type": "calculated",
    "nullable": true,
    "Description": "A publication step the procedure can reach without human sign-off: the approval gate is structurally bypassable.",
    "formula": "=AND({{ControlKind}} = \"Publication\", {{IsReachableFromEntryWithoutHumanGate}})"
   },
   {
    "name": "SemanticTypeIri",
    "datatype": "string",
    "type": "raw",
    "nullable": true,
    "Description": "Exact P-Plan class IRI."
   }
  ],
  "data": [
   {
    "StepId": "close-01",
    "ProcedureVersion": "close-v1.1.0",
    "StepNumber": "01",
    "Title": "Freeze transaction entry",
    "StepKind": "Atomic",
    "AssignedRole": "close-automation",
    "Instruction": "Lock subledgers and prevent late postings.",
    "ExpectedDurationMinutes": 5,
    "ExpertiseLevel": "Senior",
    "RequiresHumanConfirmation": false,
    "SemanticTypeIri": "http://purl.org/net/p-plan#Step",
    "ControlKi</t>
  </si>
  <si>
    <t xml:space="preserve">nd": "Extraction",
    "Name": "01. Freeze transaction entry",
    "AssignedRoleLabel": "Close Automation Operator",
    "AssignedAgentKind": "AutomatedPipeline",
    "BlockingRequirementCount": 1,
    "StaleBindingCount": 0,
    "AuthoritativeStaleCount": 0,
    "AvailableExceptionCount": 0,
    "DeclaredVerificationCount": 1,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"ReachableStepCount": 7,
    "ReachedFromStepCount": 0,
    "SelfReachCount": 0,
    "IsOnReworkLoop": false,
    "IsBlockingControlOnReworkLoop": false,
    "IncomingTransitionCount": 0,
    "IsEntryStep": true,
    "EntryStepKey": "close-01",
    "VersionEntryStepId": "close-01",
    "GateFreeReachFromEntryCount": 0,
    "IsReachableFromEntryWithoutHumanGate": false,
    "IsGateBypassedPublication": false
   },
   {
    "StepId": "close-02",
    "ProcedureVersion": "close-v1.1.0",
    "StepNumber": "02",
    "Title": "Extract trial balance and feed timestamps",
    "StepKind": "Atomic",
    "AssignedRole": "close-automation",
    "Instruction": "Extract the trial balance and source-system timestamps.",
    "ExpectedDurationMinutes": 10,
    "ExpertiseLevel": "Senior",
    "RequiresHumanConfirmation": false,
    "SemanticTypeIri": "http://purl.org/net/p-plan#Step",
    "ControlKind": "Extraction",
    "Name": "02. Extract trial balance and feed timestamps",
    "AssignedRoleLabel": "Close Automation Operator",
    "AssignedAgentKind": "AutomatedPipeline",
    "BlockingRequirementCount": 0,
    "StaleBindingCount": 1,
    "AuthoritativeStaleCount": 1,
    "AvailableExceptionCount": 1,
    "DeclaredVerificationCount": 1,
    "IsPreparationStep": false,
    "IsApprovalStep": false,
    "StaleAuthoritativeBindingCount": 1,
    "InputsAreFresh": false,
    "IsSoftwareAssigned": true,
    "IsHumanApprovalGate": false,
    "GateHeldByHuman": false,
    "BindingBoundaryCount": 0,
    "AssignedRoleIsUngoverned": false,
    "UnusableBindingCount": 1,
    "AllSourcesUsable": false,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"ReachableStepCount": 6,
    "ReachedFromStepCount": 1,
    "SelfReachCount": 0,
    "IsOnReworkLoop": false,
    "IsBlockingControlOnReworkLoop": false,
    "IncomingTransitionCount": 1,
    "IsEntryStep": false,
    "EntryStepKey": null,
    "VersionEntryStepId": "close-01",
    "GateFreeReachFromEntryCount": 1,
    "IsReachableFromEntryWithoutHumanGate": true,
    "IsGateBypassedPublication": false
   },
   {
    "StepId": "close-03",
    "ProcedureVersion": "close-v1.1.0",
    "StepNumber": "03",
    "Title": "Reconcile material accounts",
    "StepKind": "MultiStep",
    "AssignedRole": "finance-analyst",
    "Instruction": "Reconcile material accounts and attach evidence.",
    "ExpectedDurationMinutes": 120,
    "ExpertiseLevel": "Senior",
    "RequiresHumanConfirmation": false,
    "SemanticTypeIri": "http://purl.org/net/p-plan#MultiStep",
    "ControlKind": "Preparation",
    "Name": "03. Reconcile material accounts",
    "AssignedRoleLabel": "Finance Analyst",
    "AssignedAgentKind": "Human",
    "BlockingRequirementCount": 2,
    "StaleBindingCount": 0,
    "AuthoritativeStaleCount": 0,
    "AvailableExceptionCount": 0,
    "DeclaredVerificationCount": 1,
    "IsPreparationStep": true,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6,
    "ReachedFromStepCount": 6,
    "SelfReachCount": 1,
    "IsOnReworkLoop": true,
    "IsBlockingControlOnReworkLoop": true,
    "IncomingTransitionCount": 2,
    "IsEntryStep": false,
    "EntryStepKey": null,
    "VersionEntryStepId": "close-01",
    "GateFreeReachFromEntryCount": 1,
    "IsReachableFromEntryWithoutHumanGate": true,
    "IsGateBypassedPublication": false
   },
   {
    "StepId": "close-04",
    "ProcedureVersion": "close-v1.1.0",
    "StepNumber": "04",
    "Title": "Classify and investigate variances",
    "StepKind": "MultiStep",
    "AssignedRole": "variance-review-agent",
    "Instruction": "Use AI triage, then apply human situated judgment to material or anomalous variances.",
    "ExpectedDurationMinutes": 90,
    "ExpertiseLevel": "Expert",
    "RequiresHumanConfirmation": false,
    "SemanticTypeIri": "http://purl.org/net/p-plan#MultiStep",
    "ControlKind": "Preparation",
    "Name": "04. Classify and investigate variances",
    "AssignedRoleLabel": "Variance Review Agent",
    "AssignedAgentKind": "AIAgent",
    "BlockingRequirementCount": 0,
    "StaleBindingCount": 0,
    "AuthoritativeStaleCount": 0,
    "AvailableExceptionCount": 0,
    "DeclaredVerificationCount": 0,
    "IsPreparationStep": true,
    "IsApprovalStep": false,
    "StaleAuthoritativeBindingCount": 0,
    "InputsAreFresh": true,
    "IsSoftwareAssigned": true,
    "IsHumanApprovalGate": false,
    "GateHeldByHuman": false,
    "BindingBoundaryCount": 1,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"ReachableStepCount": 6,
    "ReachedFromStepCount": 6,
    "SelfReachCount": 1,
    "IsOnReworkLoop": true,
    "IsBlockingControlOnReworkLoop": false,
    "IncomingTransitionCount": 2,
    "IsEntryStep": false,
    "EntryStepKey": null,
    "VersionEntryStepId": "close-01",
    "GateFreeReachFromEntryCount": 1,
    "IsReachableFromEntryWithoutHumanGate": true,
    "IsGateBypassedPublication": false
   },
   {
    "StepId": "close-05",
    "ProcedureVersion": "close-v1.1.0",
    "StepNumber": "05",
    "Title": "Controller review",
    "StepKind": "Atomic",
    "AssignedRole": "controller",
    "Instruction": "Independently review reconciliations, evidence, and unresolved items.",
    "ExpectedDurationMinutes": 60,
    "ExpertiseLevel": "Expert",
    "RequiresHumanConfirmation": true,
    "SemanticTypeIri": "http://purl.org/net/p-plan#Step",
    "ControlKind": "Approval",
    "Name": "05. Controller review",
    "AssignedRoleLabel": "Corporate Controller",
    "AssignedAgentKind": "Human",
    "BlockingRequirementCount": 1,
    "StaleBindingCount": 0,
    "AuthoritativeStaleCount": 0,
    "AvailableExceptionCount": 0,
    "DeclaredVerificationCount": 1,
    "IsPreparationStep": false,
    "IsApprovalStep": true,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6,
    "ReachedFromStepCount": 6,
    "SelfReachCount": 1,
    "IsOnReworkLoop": true,
    "IsBlockingControlOnReworkLoop": true,
    "IncomingTransitionCount": 1,
    "IsEntryStep": false,
    "EntryStepKey": null,
    "VersionEntryStepId": "close-01",
    "GateFreeReachFromEntryCount": 1,
    "IsReachableFromEntryWithoutHumanGate": true,
    "IsGateBypassedPublication": false
   },
   {
    "StepId": "close-06",
    "ProcedureVersion": "close-v1.1.0",
    "StepNumber": "06",
    "Title": "CFO approval",
    "StepKind": "Atomic",
    "AssignedRole": "cfo",
    "Instruction": "Approve the close package or return it with required corrections.",
    "ExpectedDurationMinutes": 30,
    "ExpertiseLevel": "Master",
    "RequiresHumanConfirmation": true,
    "SemanticTypeIri": "http://purl.org/net/p-plan#Step",
    "ControlKind": "Approval",
    "Name": "06. CFO approval",
    "AssignedRoleLabel": "Chief Financial Officer",
    "AssignedAgentKind": "Human",
    "BlockingRequirementCount": 1,
    "StaleBindingCount": 0,
    "AuthoritativeStaleCount": 0,
    "AvailableExceptionCount": 1,
    "DeclaredVerificationCount": 1,
    "IsPreparationStep": false,
    "IsApprovalStep": true,
    "StaleAuthoritativeBindingCount": 0,
    "InputsAreFresh": true,
    "IsSoftwareAssigned": false,
    "IsHumanApprovalGate": true,
    "GateHeldByHuman": true,
    "BindingBoundaryCount": 1,
    "AssignedRoleIsUngoverned": false,
    "UnusableBindingCount": 0,
    "AllSourcesUsable": true,
    "UnwarrantedBoundaryCount": 1,
    "IsGovernedByUnwarrantedBoundary": true,
    "SoftwareExecutionCount": 0,
    "HasBeenApproachedBySoftware": false,
    "IsUnexercisedHumanGate": true,
    "IsDemonstratedHumanGate": false,
    "UnexercisedGateVersionKey": "close-v1.1.0",
    "HasDeclaredControlKind": true,
    "UndeclaredControlVersionKey": null,
    "ApprovalStepIsSoftwareAssigned": false,
    "UnwitnessedBlockingCount": 1,
    "ReachableStepCount": 6,
    "ReachedFromStepCount": 6,
    "SelfReachCount": 1,
    "IsOnReworkLoop": true,
    "IsBlockingControlOnReworkLoop": true,
    "IncomingTransitionCount": 1,
    "IsEntryStep": false,
    "EntryStepKey": null,
    "VersionEntryStepId": "close-01",
    "GateFreeReachFromEntryCount": 0,
    "IsReachableFromEntryWithoutHumanGate": false,
    "IsGateBypassedPublication": false
   },
   {
    "StepId": "close-07",
    "ProcedureVersion": "close-v1.1.0",
    "StepNumber": "07",
    "Title": "Post close and publish package",
    "StepKind": "Atomic",
    "AssignedRole": "close-automation",
    "Instruction": "Post approved entries and publish the reporting package.",
    "ExpectedDurationMinutes": 20,
    "ExpertiseLevel": "Senior",
    "RequiresHumanConfirmation": false,
    "SemanticTypeIri": "http://purl.org/net/p-plan#Step",
    "ControlKind": "Publication",
    "Name": "07. Post close and publish package",
    "AssignedRoleLabel": "Close Automation Operator",
    "AssignedAgentKind": "AutomatedPipeline",
    "BlockingRequirementCount": 0,
    "StaleBindingCount": 0,
    "AuthoritativeStaleCount": 0,
    "AvailableExceptionCount": 0,
    "DeclaredVerificationCount": 0,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0,
    "ReachableStepCount": 1,
    "ReachedFromStepCount": 6,
    "SelfReachCount": 0,
    "IsOnReworkLoop": false,
    "IsBlockingControlOnReworkLoop": false,
    "IncomingTransitionCount": 2,
    "IsEntryStep": false,
    "EntryStepKey": null,
    "VersionEntryStepId": "close-01",
    "GateFreeReachFromEntryCount": 1,
    "IsReachableFromEntryWithoutHumanGate": true,
    "IsGateBypassedPublication": true
   },
   {
    "StepId": "close-08",
    "ProcedureVersion": "close-v1.1.0",
    "StepNumber": "08",
    "Title": "Archive evidence and hold retrospective",
    "StepKind": "MultiStep",
    "AssignedRole": "process-steward",
    "Instruction": "Archive evidence and capture questions, issues, and lessons learned.",
    "ExpectedDurationMinutes": 45,
    "ExpertiseLevel": "Senior",
    "RequiresHumanConfirmation": false,
    "SemanticTypeIri": "http://purl.org/net/p-plan#MultiStep",
    "ControlKind": "Retrospective",
    "Name": "08. Archive evidence and hold retrospective",
    "AssignedRoleLabel": "Procedural Knowledge Steward",
    "AssignedAgentKind": "Human",
    "BlockingRequirementCount": 1,
    "StaleBindingCount": 0,
    "AuthoritativeStaleCount": 0,
    "AvailableExceptionCount": 0,
    "DeclaredVerificationCount": 0,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0,
    "ReachedFromStepCount": 7,
    "SelfReachCount": 0,
    "IsOnReworkLoop": false,
    "IsBlockingControlOnReworkLoop": false,
    "IncomingTransitionCount": 1,
    "IsEntryStep": false,
    "EntryStepKey": null,
    "VersionEntryStepId": "close-01",
    "GateFreeReachFromEntryCount": 1,
    "IsReachableFromEntryWithoutHumanGate": true,
    "IsGateBypassedPublication": false
   },
   {
    "StepId": "policy-01",
    "ProcedureVersion": "policy-v1.0.0",
    "StepNumber": "01",
    "Title": "Identify policy trigger and affected population",
    "StepKind": "Atomic",
    "AssignedRole": "hr-policy-owner",
    "Instruction": "Establish the legal/business trigger and population affected.",
    "ExpectedDurationMinutes": 30,
    "ExpertiseLevel": "Senior",
    "RequiresHumanConfirmation": false,
    "SemanticTypeIri": "http://purl.org/net/p-plan#Step",
    "ControlKind": "Preparation",
    "Name": "01. Identify policy trigger and affected population",
    "AssignedRoleLabel": "People Policy Owner",
    "AssignedAgentKind": "Human",
    "BlockingRequirementCount": 0,
    "StaleBindingCount": 1,
    "AuthoritativeStaleCount": 1,
    "AvailableExceptionCount": 0,
    "DeclaredVerificationCount": 0,
    "IsPreparationStep": false,
    "IsApprovalStep": false,
    "StaleAuthoritativeBindingCount": 1,
    "InputsAreFresh": false,
    "IsSoftwareAssigned": false,
    "IsHumanApprovalGate": false,
    "GateHeldByHuman": false,
    "BindingBoundaryCount": 0,
    "AssignedRoleIsUngoverned": false,
    "UnusableBindingCount": 1,
    "AllSourcesUsable": false,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8,
    "ReachedFromStepCount": 0,
    "SelfReachCount": 0,
    "IsOnReworkLoop": false,
    "IsBlockingControlOnReworkLoop": false,
    "IncomingTransitionCount": 0,
    "IsEntryStep": true,
    "EntryStepKey": "policy-01",
    "VersionEntryStepId": "policy-01",
    "GateFreeReachFromEntryCount": 0,
    "IsReachableFromEntryWithoutHumanGate": false,
    "IsGateBypassedPublication": false
   },
   {
    "StepId": "policy-02",
    "ProcedureVersion": "policy-v1.0.0",
    "StepNumber": "02",
    "Title": "Elicit process and practitioner knowledge",
    "StepKind": "MultiStep",
    "AssignedRole": "process-steward",
    "Instruction": "Interview practitioners, inspect source artifacts, and record tacit/implicit/explicit knowledge.",
    "ExpectedDurationMinutes": 180,
    "ExpertiseLevel": "Expert",
    "RequiresHumanConfirmation": false,
    "SemanticTypeIri": "http://purl.org/net/p-plan#MultiStep",
    "ControlKind": "Preparation",
    "Name": "02. Elicit process and practitioner knowledge",
    "AssignedRoleLabel": "Procedural Knowledge Steward",
    "AssignedAgentKind": "Human",
    "BlockingRequirementCount": 0,
    "StaleBindingCount": 0,
    "AuthoritativeStaleCount": 0,
    "AvailableExceptionCount": 0,
    "DeclaredVerificationCount": 0,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7,
    "ReachedFromStepCount": 1,
    "SelfReachCount": 0,
    "IsOnReworkLoop": false,
    "IsBlockingControlOnReworkLoop": false,
    "IncomingTransitionCount": 1,
    "IsEntryStep": false,
    "EntryStepKey": null,
    "VersionEntryStepId": "policy-01",
    "GateFreeReachFromEntryCount": 1,
    "IsReachableFromEntryWithoutHumanGate": true,
    "IsGateBypassedPublication": false
   },
   {
    "StepId": "policy-03",
    "ProcedureVersion": "policy-v1.0.0",
    "StepNumber": "03",
    "Title": "Draft policy and channel variants",
    "StepKind": "MultiStep",
    "AssignedRole": "policy-drafting-agent",
    "Instruction": "Draft the policy and proposed email/SMS variants from approved sources.",
    "ExpectedDurationMinutes": 90,
    "ExpertiseLevel": "Senior",
    "RequiresHumanConfirmation": false,
    "SemanticTypeIri": "http://purl.org/net/p-plan#MultiStep",
    "ControlKind": "Preparation",
    "Name": "03. Draft policy and channel variants",
    "AssignedRoleLabel": "Policy Drafting Agent",
    "AssignedAgentKind": "AIAgent",
    "BlockingRequirementCount": 1,
    "StaleBindingCount": 0,
    "AuthoritativeStaleCount": 0,
    "AvailableExceptionCount": 0,
    "DeclaredVerificationCount": 1,
    "IsPreparationStep": false,
    "IsApprovalStep": false,
    "StaleAuthoritativeBindingCount": 0,
    "InputsAreFresh": true,
    "IsSoftwareAssigned": true,
    "IsHumanApprovalGate": false,
    "GateHeldByHuman": false,
    "BindingBoundaryCount": 1,
    "AssignedRoleIsUngoverned": false,
    "UnusableBindingCount": 0,
    "AllSourcesUsable": true,
    "UnwarrantedBoundaryCount": 0,
    "IsGovernedByUnwarrantedBoundary": false,
    "SoftwareExecutionCount": 1,
    "HasBeenApproachedBySoftware": true,
    "IsUnexercisedHumanGate": false,
    "IsDemonstratedHumanGate": false,
    "UnexercisedGateVersionKey": null,
    "HasDeclaredControlKind": true,
    "UndeclaredControlVersionKey": null,
    "ApprovalStepIsSoftwareAssigned": false,
    "UnwitnessedBlockingCount": 1,
    "ReachableStepCount": 7,
    "ReachedFromStepCount": 4,
    "SelfReachCount": 1,
    "IsOnReworkLoop": true,
    "IsBlockingControlOnReworkLoop": true,
    "IncomingTransitionCount": 2,
    "IsEntryStep": false,
    "EntryStepKey": null,
    "VersionEntryStepId": "policy-01",
    "GateFreeReachFromEntryCount": 1,
    "IsReachableFromEntryWithoutHumanGate": true,
    "IsGateBypassedPublication": false
   },
   {
    "StepId": "policy-04",
    "ProcedureVersion": "policy-v1.0.0",
    "StepNumber": "04",
    "Title": "Legal and privacy review",
    "StepKind": "Atomic",
    "AssignedRole": "employment-counsel",
    "Instruction": "Review legal commitments, privacy, consent, retention, and jurisdictional requirements.",
    "ExpectedDurationMinutes": 120,
    "ExpertiseLevel": "Expert",
    "RequiresHumanConfirmation": true,
    "SemanticTypeIri": "http://purl.org/net/p-plan#Step",
    "ControlKind": "LegalReview",
    "Name": "04. Legal and privacy review",
    "AssignedRoleLabel": "Employment Counsel",
    "AssignedAgentKind": "Human",
    "BlockingRequirementCount": 1,
    "StaleBindingCount": 0,
    "AuthoritativeStaleCount": 0,
    "AvailableExceptionCount": 0,
    "DeclaredVerificationCount": 1,
    "IsPreparationStep": false,
    "IsApprovalStep": false,
    "StaleAuthoritativeBindingCount": 0,
    "InputsAreFresh": true,
    "IsSoftwareAssigned": false,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1,
    "ReachableStepCount": 7,
    "ReachedFromStepCount": 4,
    "SelfReachCount": 1,
    "IsOnReworkLoop": true,
    "IsBlockingControlOnReworkLoop": true,
    "IncomingTransitionCount": 1,
    "IsEntryStep": false,
    "EntryStepKey": null,
    "VersionEntryStepId": "policy-01",
    "GateFreeReachFromEntryCount": 1,
    "IsReachableFromEntryWithoutHumanGate": true,
    "IsGateBypassedPublication": false
   },
   {
    "StepId": "policy-05",
    "ProcedureVersion": "policy-v1.0.0",
    "StepNumber": "05",
    "Title": "Human authority approval",
    "StepKind": "Atomic",
    "AssignedRole": "hr-policy-owner",
    "Instruction": "Approve the policy meaning and all channel constraints.",
    "ExpectedDurationMinutes": 45,
    "ExpertiseLevel": "Master",
    "RequiresHumanConfirmation": true,
    "SemanticTypeIri": "http://purl.org/net/p-plan#Step",
    "ControlKind": "Approval",
    "Name": "05. Human authority approval",
    "AssignedRoleLabel": "People Policy Owner",
    "AssignedAgentKind": "Human",
    "BlockingRequirementCount": 1,
    "StaleBindingCount": 0,
    "AuthoritativeStaleCount": 0,
    "AvailableExceptionCount": 0,
    "DeclaredVerificationCount": 1,
    "IsPreparationStep": false,
    "IsApprovalStep": false,
    "StaleAuthoritativeBindingCount": 0,
    "InputsAreFresh": true,
    "IsSoftwareAssigned": false,
    "IsHumanApprovalGate": true,
    "GateHeldByHuman": true,
    "BindingBoundaryCount": 0,
    "AssignedRoleIsUngoverned": false,
    "UnusableBindingCount": 0,
    "AllSourcesUsable": true,
    "UnwarrantedBoundaryCount": 0,
    "IsGovernedByUnwarrantedBoundary": false,
    "SoftwareExecutionCount": 0,
    "HasBeenApproachedBySoftware": false,
    "IsUnexercisedHumanGate": true,
    "IsDemonstratedHumanGate": false,
    "UnexercisedGateVersionKey": "policy-v1.0.0",
    "HasDeclaredControlKind": true,
    "UndeclaredControlVersionKey": null,
    "ApprovalStepIsSoftwareAssigned": false,
    "UnwitnessedBlockingCount": 1,
    "ReachableStepCount": 4,
    "ReachedFromStepCount": 4,
    "SelfReachCount": 0,
    "IsOnReworkLoop": false,
    "IsBlockingControlOnReworkLoop": false,
    "IncomingTransitionCount": 1,
    "IsEntryStep": false,
    "EntryStepKey": null,
    "VersionEntryStepId": "policy-01",
    "GateFreeReachFromEntryCount": 0,
    "IsReachableFromEntryWithoutHumanGate": false,
    "IsGateBypassedPublication": false
   },
   {
    "StepId": "policy-06",
    "ProcedureVersion": "policy-v1.0.0",
    "StepNumber": "06",
    "Title": "Generate approved communications",
    "StepKind": "Atomic",
    "AssignedRole": "policy-drafting-agent",
    "Instruction": "Render approved email and SMS messages without changing policy meaning.",
    "ExpectedDurationMinutes": 30,
    "ExpertiseLevel": "Senior",
    "RequiresHumanConfirmation": false,
    "SemanticTypeIri": "http://purl.org/net/p-plan#Step",
    "ControlKind": "Publication",
    "Name": "06. Generate approved communications",
    "AssignedRoleLabel": "Policy Drafting Agent",
    "AssignedAgentKind": "AIAgent",
    "BlockingRequirementCount": 1,
    "StaleBindingCount": 0,
    "AuthoritativeStaleCount": 0,
    "AvailableExceptionCount": 0,
    "DeclaredVerificationCount": 0,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1,
    "ReachableStepCount": 4,
    "ReachedFromStepCount": 7,
    "SelfReachCount": 1,
    "IsOnReworkLoop": true,
    "IsBlockingControlOnReworkLoop": true,
    "IncomingTransitionCount": 2,
    "IsEntryStep": false,
    "EntryStepKey": null,
    "VersionEntryStepId": "policy-01",
    "GateFreeReachFromEntryCount": 0,
    "IsReachableFromEntryWithoutHumanGate": false,
    "IsGateBypassedPublication": false
   },
   {
    "StepId": "policy-07",
    "ProcedureVersion": "policy-v1.0.0",
    "StepNumber": "07",
    "Title": "Apply channel controls and send",
    "StepKind": "MultiStep",
    "AssignedRole": "notification-publisher",
    "Instruction": "Enforce consent, quiet hours, opt-out text, recipient scope, and delivery logging.",
    "ExpectedDurationMinutes": 60,
    "ExpertiseLevel": "Senior",
    "RequiresHumanConfirmation": false,
    "SemanticTypeIri": "http://purl.org/net/p-plan#MultiStep",
    "ControlKind": "Publication",
    "Name": "07. Apply channel controls and send",
    "AssignedRoleLabel": "Notification Publisher",
    "AssignedAgentKind": "AutomatedPipeline",
    "BlockingRequirementCount": 4,
    "StaleBindingCount": 1,
    "AuthoritativeStaleCount": 1,
    "AvailableExceptionCount": 1,
    "DeclaredVerificationCount": 2,
    "IsPreparationStep": false,
    "IsApprovalStep": false,
    "StaleAuthoritativeBindingCount": 1,
    "InputsAreFresh": false,
    "IsSoftwareAssigned": true,
    "IsHumanApprovalGate": false,
    "GateHeldByHuman": false,
    "BindingBoundaryCount": 0,
    "AssignedRoleIsUngoverned": false,
    "UnusableBindingCount": 3,
    "AllSourcesUsable": false,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4,
    "ReachableStepCount": 4,
    "ReachedFromStepCount": 7,
    "SelfReachCount": 1,
    "IsOnReworkLoop": true,
    "IsBlockingControlOnReworkLoop": true,
    "IncomingTransitionCount": 1,
    "IsEntryStep": false,
    "EntryStepKey": null,
    "VersionEntryStepId": "policy-01",
    "GateFreeReachFromEntryCount": 0,
    "IsReachableFromEntryWithoutHumanGate": false,
    "IsGateBypassedPublication": false
   },
   {
    "StepId": "policy-08",
    "ProcedureVersion": "policy-v1.0.0",
    "StepNumber": "08",
    "Title": "Collect acknowledgements and exceptions",
    "StepKind": "Atomic",
    "AssignedRole": "notification-publisher",
    "Instruction": "Collect acknowledgements and create exception tasks for unreachable recipients.",
    "ExpectedDurationMinutes": 1440,
    "ExpertiseLevel": "Senior",
    "RequiresHumanConfirmation": false,
    "SemanticTypeIri": "http://purl.org/net/p-plan#Step",
    "ControlKind": "Verification",
    "Name": "08. Collect acknowledgements and exceptions",
    "AssignedRoleLabel": "Notification Publisher",
    "AssignedAgentKind": "AutomatedPipeline",
    "BlockingRequirementCount": 1,
    "StaleBindingCount": 0,
    "AuthoritativeStaleCount": 0,
    "AvailableExceptionCount": 1,
    "DeclaredVerificationCount": 1,
    "IsPreparationStep": false,
    "IsApprovalStep": false,
    "StaleAuthoritativeBindingCount": 0,
    "InputsAreFresh": true,
    "IsSoftwareAssigned": true,
    "IsHumanApprovalGate": false,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1,
    "ReachableStepCount": 1,
    "ReachedFromStepCount": 7,
    "SelfReachCount": 0,
    "IsOnReworkLoop": false,
    "IsBlockingControlOnReworkLoop": false,
    "IncomingTransitionCount": 1,
    "IsEntryStep": false,
    "EntryStepKey": null,
    "VersionEntryStepId": "policy-01",
    "GateFreeReachFromEntryCount": 0,
    "IsReachableFromEntryWithoutHumanGate": false,
    "IsGateBypassedPublication": false
   },
   {
    "StepId": "policy-09",
    "ProcedureVersion": "policy-v1.0.0",
    "StepNumber": "09",
    "Title": "Review feedback and update knowledge",
    "StepKind": "MultiStep",
    "AssignedRole": "process-steward",
    "Instruction": "Review questions, feedback, delivery failures, and proposed knowledge changes.",
    "ExpectedDurationMinutes": 120,
    "ExpertiseLevel": "Expert",
    "RequiresHumanConfirmation": false,
    "SemanticTypeIri": "http://purl.org/net/p-plan#MultiStep",
    "ControlKind": "Retrospective",
    "Name": "09. Review feedback and update knowledge",
    "AssignedRoleLabel": "Procedural Knowledge Steward",
    "AssignedAgentKind": "Human",
    "BlockingRequirementCount": 0,
    "StaleBindingCount": 0,
    "AuthoritativeStaleCount": 0,
    "AvailableExceptionCount": 0,
    "DeclaredVerificationCount": 0,
    "IsPreparationStep": false,
    "IsApprovalStep": false,
    "StaleAuthoritativeBindingCount": 0,
    "InputsAreFresh": true,
    "IsSoftwareAssigned": false,
    "IsHumanApprovalGate": false,
   </t>
  </si>
  <si>
    <t xml:space="preserve"> "GateHeldByHuman": false,
    "BindingBoundaryCount": 0,
    "AssignedRoleIsUngoverned": false,
    "UnusableBindingCount": 0,
    "AllSourcesUsable": true,
    "UnwarrantedBoundaryCount": 0,
    "IsGovernedByUnwarrantedBoundary": false,
    "SoftwareExecutionCount": 0,
    "HasBeenApproachedBySoftware": false,
    "IsUnexercisedHumanGate": false,
    "IsDemonstratedHumanGate": false,
    "UnexercisedGateVersionKey": null,
    "HasDeclaredControlKind": true,
    "UndeclaredControlVersionKey": null,
    "ApprovalStepIsSoftwareAssigned": false,
    "UnwitnessedBlockingCount": 0,
    "ReachableStepCount": 0,
    "ReachedFromStepCount": 8,
    "SelfReachCount": 0,
    "IsOnReworkLoop": false,
    "IsBlockingControlOnReworkLoop": false,
    "IncomingTransitionCount": 1,
    "IsEntryStep": false,
    "EntryStepKey": null,
    "VersionEntryStepId": "policy-01",
    "GateFreeReachFromEntryCount": 0,
    "IsReachableFromEntryWithoutHumanGate": false,
    "IsGateBypassedPublication": false
   }
  ]
 },
 "StepTransitions": {
  "Description": "Directed control-flow edges represented as first-class pko:Transition instances with fromStep/toStep and next/alternative/fallback semantics.",
  "important": false,
  "schema": [
   {
    "name": "StepTransitionId",
    "datatype": "string",
    "type": "raw",
    "nullable": false,
    "Description": "Stored logical identifier for one StepTransitions row."
   },
   {
    "name": "Name",
    "datatype": "string",
    "type": "calculated",
    "nullable": true,
    "Description": "Human-readable calculated display alias for the StepTransitions row.",
    "formula": "={{FromStep}} &amp; \" -&gt; \" &amp; {{ToStep}}"
   },
   {
    "name": "ProcedureVersion",
    "datatype": "string",
    "type": "relationship",
    "nullable": true,
    "Description": "Procedure version whose control flow owns the transition.",
    "RelatedTo": "ProcedureVersions"
   },
   {
    "name": "FromStep",
    "datatype": "string",
    "type": "relationship",
    "nullable": true,
    "Description": "Source step; maps to pko:fromStep.",
    "RelatedTo": "Steps"
   },
   {
    "name": "ToStep",
    "datatype": "string",
    "type": "relationship",
    "nullable": true,
    "Description": "Destination step; maps to pko:toStep.",
    "RelatedTo": "Steps"
   },
   {
    "name": "TransitionKind",
    "datatype": "string",
    "type": "raw",
    "nullable": true,
    "Description": "Next, Alternative, or Fallback."
   },
   {
    "name": "Condition",
    "datatype": "string",
    "type": "raw",
    "nullable": true,
    "Description": "Condition under which the edge is taken."
   },
   {
    "name": "Priority",
    "datatype": "integer",
    "type": "raw",
    "nullable": true,
    "Description": "Evaluation priority when several outgoing edges exist."
   },
   {
    "name": "IsRecoveryPath",
    "datatype": "boolean",
    "type": "calculated",
    "nullable": true,
    "Description": "TRUE when this transition is a non-default path taken because something went wrong.",
    "formula": "=OR({{TransitionKind}} = \"Fallback\", {{TransitionKind}} = \"Alternative\")"
   },
   {
    "name": "CountOfFromStepExecutions",
    "datatype": "integer",
    "type": "aggregation",
    "nullable": true,
    "Description": "How many times the step this transition leaves from has actually been executed.",
    "formula": "=COUNTIFS(StepExecutions!{{Step}}, StepTransitions!{{FromStep}})"
   },
   {
    "name": "CountOfToStepExecutions",
    "datatype": "integer",
    "type": "aggregation",
    "nullable": true,
    "Description": "How many times the step this transition arrives at has actually been executed.",
    "formula": "=COUNTIFS(StepExecutions!{{Step}}, StepTransitions!{{ToStep}})"
   },
   {
    "name": "HasReachableOrigin",
    "datatype": "boolean",
    "type": "calculated",
    "nullable": true,
    "Description": "TRUE when the origin step of this transition has been executed at least once.",
    "formula": "={{CountOfFromStepExecutions}} &gt; 0"
   },
   {
    "name": "HasReachableTarget",
    "datatype": "boolean",
    "type": "calculated",
    "nullable": true,
    "Description": "TRUE when the destination step of this transition has been executed at least once.",
    "formula": "={{CountOfToStepExecutions}} &gt; 0"
   },
   {
    "name": "IsNeverExercised",
    "datatype": "boolean",
    "type": "calculated",
    "nullable": true,
    "Description": "TRUE when at least one end of this transition has never appeared in any step execution.",
    "formula": "=NOT(AND({{HasReachableOrigin}}, {{HasReachableTarget}}))"
   },
   {
    "name": "IsUntestedRecoveryPath",
    "datatype": "boolean",
    "type": "calculated",
    "nullable": true,
    "Description": "TRUE for a Fallback or Alternative transition whose endpoints show no execution evidence.",
    "formula": "=AND({{IsRecoveryPath}}, {{IsNeverExercised}})"
   },
   {
    "name": "CountOfObservedTraversals",
    "datatype": "integer",
    "type": "aggregation",
    "nullable": true,
    "Description": "How many times this exact transition has actually been traversed.",
    "formula": "=COUNTIFS(ObservedTransitions!{{StepTransition}}, StepTransitions!{{StepTransitionId}})"
   },
   {
    "name": "HasBeenTraversed",
    "datatype": "boolean",
    "type": "calculated",
    "nullable": true,
    "Description": "TRUE when this transition has been walked at least once.",
    "formula": "={{CountOfObservedTraversals}} &gt; 0"
   },
   {
    "name": "IsUnwalkedRecoveryPath",
    "datatype": "boolean",
    "type": "calculated",
    "nullable": true,
    "Description": "TRUE for a Fallback/Alternative transition with zero recorded traversals.",
    "formula": "=AND({{IsRecoveryPath}}, NOT({{HasBeenTraversed}}))"
   },
   {
    "name": "TargetBlockingRequirementCount",
    "datatype": "number",
    "type": "lookup",
    "nullable": true,
    "Description": "How many blocking requirements are attached to the step this transition lands on.",
    "formula": "=INDEX(Steps!{{BlockingRequirementCount}}, MATCH({{ToStep}}, Steps!{{StepId}}, 0))"
   },
   {
    "name": "TargetCarriesBlockingControl",
    "datatype": "boolean",
    "type": "calculated",
    "nullable": true,
    "Description": "Whether the destination step of this transition carries at least one blocking control.",
    "formula": "={{TargetBlockingRequirementCount}} &gt; 0"
   },
   {
    "name": "IsUnrehearsedControlEntry",
    "datatype": "boolean",
    "type": "calculated",
    "nullable": true,
    "Description": "A recovery path that has never been traversed and that leads into a step carrying a blocking control.",
    "formula": "=AND({{IsUnwalkedRecoveryPath}}, {{TargetCarriesBlockingControl}})"
   },
   {
    "name": "UnrehearsedControlVersionKey",
    "datatype": "string",
    "type": "calculated",
    "nullable": true,
    "Description": "Composite-key echo: this transition's procedure version when it is an unrehearsed control entry, blank otherwise.",
    "formula": "=IF({{IsUnrehearsedControlEntry}}, {{ProcedureVersion}}, \"\")"
   },
   {
    "name": "LeadsToClosure",
    "datatype": "string",
    "type": "closure",
    "nullable": true,
    "Description": "Transitive closure of the step graph (FromStep -&gt; ToStep over every transition kind), materialized by each substrate as vw_step_transitions_closure: every (from, to) pair a procedure can lead to in one or more transitions. A step that lies on a cycle reaches itself.",
    "EdgeTable": "StepTransitions",
    "FromColumn": "FromStep",
    "ToColumn": "ToStep"
   },
   {
    "name": "FromStepIsHumanApprovalGate",
    "datatype": "boolean",
    "type": "lookup",
    "nullable": true,
    "Description": "This transition leaves a human approval gate.",
    "formula": "=INDEX(Steps!{{IsHumanApprovalGate}}, MATCH({{FromStep}}, Steps!{{StepId}}, 0))"
   },
   {
    "name": "ToStepIsHumanApprovalGate",
    "datatype": "boolean",
    "type": "lookup",
    "nullable": true,
    "Description": "This transition enters a human approval gate.",
    "formula": "=INDEX(Steps!{{IsHumanApprovalGate}}, MATCH({{ToStep}}, Steps!{{StepId}}, 0))"
   },
   {
    "name": "AvoidsHumanApprovalGate",
    "datatype": "boolean",
    "type": "calculated",
    "nullable": true,
    "Description": "Neither end of this transition is a human approval gate, so a route made only of such transitions never passes a gate.",
    "formula": "=AND(NOT({{FromStepIsHumanApprovalGate}}), NOT({{ToStepIsHumanApprovalGate}}))"
   },
   {
    "name": "LeadsWithoutHumanGateClosure",
    "datatype": "string",
    "type": "closure",
    "nullable": true,
    "Description": "Transitive closure of the step graph over only the transitions that avoid every human approval gate, materialized as vw_step_transitions_closure_where_avoids_human_approval_gate: every (from, to) pair a procedure can reach without passing a gate.",
    "EdgeTable": "StepTransitions",
    "FromColumn": "FromStep",
    "ToColumn": "ToStep",
    "EdgeFilterColumn": "AvoidsHumanApprovalGate"
   },
   {
    "name": "SemanticTypeIri",
    "datatype": "string",
    "type": "raw",
    "nullable": true,
    "Description": "Exact PKO class IRI."
   }
  ],
  "data": [
   {
    "StepTransitionId": "close-01-to-close-02",
    "ProcedureVersion": "close-v1.1.0",
    "FromStep": "close-01",
    "ToStep": "close-02",
    "TransitionKind": "Next",
    "Condition": "Default sequence",
    "Priority": 1,
    "SemanticTypeIri": "https://w3id.org/pko#Transition",
    "Name": "close-01 -&gt; close-02",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"FromStepIsHumanApprovalGate": false,
    "ToStepIsHumanApprovalGate": false,
    "AvoidsHumanApprovalGate": true
   },
   {
    "StepTransitionId": "close-02-to-close-03",
    "ProcedureVersion": "close-v1.1.0",
    "FromStep": "close-02",
    "ToStep": "close-03",
    "TransitionKind": "Next",
    "Condition": "Default sequence",
    "Priority": 1,
    "SemanticTypeIri": "https://w3id.org/pko#Transition",
    "Name": "close-02 -&gt; close-03",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2,
    "TargetCarriesBlockingControl": true,
    "IsUnrehearsedControlEntry": false,
    "UnrehearsedControlVersionKey": null,
    "FromStepIsHumanApprovalGate": false,
    "ToStepIsHumanApprovalGate": false,
    "AvoidsHumanApprovalGate": true
   },
   {
    "StepTransitionId": "close-03-to-close-04",
    "ProcedureVersion": "close-v1.1.0",
    "FromStep": "close-03",
    "ToStep": "close-04",
    "TransitionKind": "Next",
    "Condition": "Default sequence",
    "Priority": 1,
    "SemanticTypeIri": "https://w3id.org/pko#Transition",
    "Name": "close-03 -&gt; close-04",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"FromStepIsHumanApprovalGate": false,
    "ToStepIsHumanApprovalGate": false,
    "AvoidsHumanApprovalGate": true
   },
   {
    "StepTransitionId": "close-04-to-close-05",
    "ProcedureVersion": "close-v1.1.0",
    "FromStep": "close-04",
    "ToStep": "close-05",
    "TransitionKind": "Next",
    "Condition": "Default sequence",
    "Priority": 1,
    "SemanticTypeIri": "https://w3id.org/pko#Transition",
    "Name": "close-04 -&gt; close-05",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false,
    "AvoidsHumanApprovalGate": true
   },
   {
    "StepTransitionId": "close-05-to-close-06",
    "ProcedureVersion": "close-v1.1.0",
    "FromStep": "close-05",
    "ToStep": "close-06",
    "TransitionKind": "Next",
    "Condition": "Default sequence",
    "Priority": 1,
    "SemanticTypeIri": "https://w3id.org/pko#Transition",
    "Name": "close-05 -&gt; close-06",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true,
    "AvoidsHumanApprovalGate": false
   },
   {
    "StepTransitionId": "close-06-to-close-07",
    "ProcedureVersion": "close-v1.1.0",
    "FromStep": "close-06",
    "ToStep": "close-07",
    "TransitionKind": "Next",
    "Condition": "Default sequence",
    "Priority": 1,
    "SemanticTypeIri": "https://w3id.org/pko#Transition",
    "Name": "close-06 -&gt; close-07",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"FromStepIsHumanApprovalGate": true,
    "ToStepIsHumanApprovalGate": false,
    "AvoidsHumanApprovalGate": false
   },
   {
    "StepTransitionId": "close-07-to-close-08",
    "ProcedureVersion": "close-v1.1.0",
    "FromStep": "close-07",
    "ToStep": "close-08",
    "TransitionKind": "Next",
    "Condition": "Default sequence",
    "Priority": 1,
    "SemanticTypeIri": "https://w3id.org/pko#Transition",
    "Name": "close-07 -&gt; close-08",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false,
    "AvoidsHumanApprovalGate": true
   },
   {
    "StepTransitionId": "policy-01-to-policy-02",
    "ProcedureVersion": "policy-v1.0.0",
    "FromStep": "policy-01",
    "ToStep": "policy-02",
    "TransitionKind": "Next",
    "Condition": "Default sequence",
    "Priority": 1,
    "SemanticTypeIri": "https://w3id.org/pko#Transition",
    "Name": "policy-01 -&gt; policy-02",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0,
    "TargetCarriesBlockingControl": false,
    "IsUnrehearsedControlEntry": false,
    "UnrehearsedControlVersionKey": null,
    "FromStepIsHumanApprovalGate": false,
    "ToStepIsHumanApprovalGate": false,
    "AvoidsHumanApprovalGate": true
   },
   {
    "StepTransitionId": "policy-02-to-policy-03",
    "ProcedureVersion": "policy-v1.0.0",
    "FromStep": "policy-02",
    "ToStep": "policy-03",
    "TransitionKind": "Next",
    "Condition": "Default sequence",
    "Priority": 1,
    "SemanticTypeIri": "https://w3id.org/pko#Transition",
    "Name": "policy-02 -&gt; policy-03",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false,
    "AvoidsHumanApprovalGate": true
   },
   {
    "StepTransitionId": "policy-03-to-policy-04",
    "ProcedureVersion": "policy-v1.0.0",
    "FromStep": "policy-03",
    "ToStep": "policy-04",
    "TransitionKind": "Next",
    "Condition": "Default sequence",
    "Priority": 1,
    "SemanticTypeIri": "https://w3id.org/pko#Transition",
    "Name": "policy-03 -&gt; policy-04",
    "IsRecoveryPath": false,
    "CountOfFromStepExecutions": 1,
    "CountOfToStepExecutions": 1,
    "HasReachableOrigin": true,
    "HasReachableTarget": true,
    "IsNeverExercised": false,
    "IsUntestedRecoveryPath": false,
    "CountOfObservedTraversals": 1,
    "HasBeenTraversed": true,
    "IsUnwalkedRecoveryPath": false,
    "TargetBlockingRequirementCount": 1,
    "TargetCarriesBlockingControl": true,
    "IsUnrehearsedControlEntry": false,
    "UnrehearsedControlVersionKey": null,
    "FromStepIsHumanApprovalGate": false,
    "ToStepIsHumanApprovalGate": false,
    "AvoidsHumanApprovalGate": true
   },
   {
    "StepTransitionId": "policy-04-to-policy-05",
    "ProcedureVersion": "policy-v1.0.0",
    "FromStep": "policy-04",
    "ToStep": "policy-05",
    "TransitionKind": "Next",
    "Condition": "Default sequence",
    "Priority": 1,
    "SemanticTypeIri": "https://w3id.org/pko#Transition",
    "Name": "policy-04 -&gt; policy-05",
    "IsRecoveryPath": false,
    "CountOfFromStepExecutions": 1,
    "CountOfToStepExecutions": 0,
    "HasReachableOrigin": true,
    "HasReachableTarget": false,
    "IsNeverExercised": true,
    "IsUntestedRecoveryPath": false,
    "CountOfObservedTraversals": 0,
    "HasBeenTraversed": false,
    "IsUnwalkedRecoveryPath": false,
    "TargetBlockingRequirementCount": 1,
    "TargetCarriesBlockingControl": true,
    "IsUnrehearsedControlEntry": false,
    "UnrehearsedControlVersionKey": null,
    "FromStepIsHumanApprovalGate": false,
    "ToStepIsHumanApprovalGate": true,
    "AvoidsHumanApprovalGate": false
   },
   {
    "StepTransitionId": "policy-05-to-policy-06",
    "ProcedureVersion": "policy-v1.0.0",
    "FromStep": "policy-05",
    "ToStep": "policy-06",
    "TransitionKind": "Next",
    "Condition": "Default sequence",
    "Priority": 1,
    "SemanticTypeIri": "https://w3id.org/pko#Transition",
    "Name": "policy-05 -&gt; policy-06",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1,
    "TargetCarriesBlockingControl": true,
    "IsUnrehearsedControlEntry": false,
    "UnrehearsedControlVersionKey": null,
    "FromStepIsHumanApprovalGate": true,
    "ToStepIsHumanApprovalGate": false,
    "AvoidsHumanApprovalGate": false
   },
   {
    "StepTransitionId": "policy-06-to-policy-07",
    "ProcedureVersion": "policy-v1.0.0",
    "FromStep": "policy-06",
    "ToStep": "policy-07",
    "TransitionKind": "Next",
    "Condition": "Default sequence",
    "Priority": 1,
    "SemanticTypeIri": "https://w3id.org/pko#Transition",
    "Name": "policy-06 -&gt; policy-07",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4,
    "TargetCarriesBlockingControl": true,
    "IsUnrehearsedControlEntry": false,
    "UnrehearsedControlVersionKey": null,
    "FromStepIsHumanApprovalGate": false,
    "ToStepIsHumanApprovalGate": false,
    "AvoidsHumanApprovalGate": true
   },
   {
    "StepTransitionId": "policy-07-to-policy-08",
    "ProcedureVersion": "policy-v1.0.0",
    "FromStep": "policy-07",
    "ToStep": "policy-08",
    "TransitionKind": "Next",
    "Condition": "Default sequence",
    "Priority": 1,
    "SemanticTypeIri": "https://w3id.org/pko#Transition",
    "Name": "policy-07 -&gt; policy-08",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1,
    "TargetCarriesBlockingControl": true,
    "IsUnrehearsedControlEntry": false,
    "UnrehearsedControlVersionKey": null,
    "FromStepIsHumanApprovalGate": false,
    "ToStepIsHumanApprovalGate": false,
    "AvoidsHumanApprovalGate": true
   },
   {
    "StepTransitionId": "policy-08-to-policy-09",
    "ProcedureVersion": "policy-v1.0.0",
    "FromStep": "policy-08",
    "ToStep": "policy-09",
    "TransitionKind": "Next",
    "Condition": "Default sequence",
    "Priority": 1,
    "SemanticTypeIri": "https://w3id.org/pko#Transition",
    "Name": "policy-08 -&gt; policy-09",
    "IsRecoveryPath": false,
    "CountOfFromStepExecutions": 0,
    "CountOfToStepExecutions": 0,
    "HasReachableOrigin": false,
    "HasReachableTarget": false,
    "IsNeverExercised": true,
    "IsUntestedRecoveryPath": false,
    "CountOfObservedTraversals": 0,
    "HasBeenTraversed": false,
    "IsUnwalkedRecoveryPath": false,
    "TargetBlockingRequirementCount": 0,
    "TargetCarriesBlockingControl": false,
    "IsUnrehearsedControlEntry": false,
    "UnrehearsedControlVersionKey": null,
    "FromStepIsHumanApprovalGate": false,
    "ToStepIsHumanApprovalGate": false,
    "AvoidsHumanApprovalGate": true
   },
   {
    "StepTransitionId": "close-04-fallback-close-03",
    "ProcedureVersion": "close-v1.1.0",
    "FromStep": "close-04",
    "ToStep": "close-03",
    "TransitionKind": "Fallback",
    "Condition": "Evidence is incomplete or source balance changed after extraction",
    "Priority": 2,
    "SemanticTypeIri": "https://w3id.org/pko#Transition",
    "Name": "close-04 -&gt; close-03",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2,
    "TargetCarriesBlockingControl": true,
    "IsUnrehearsedControlEntry": true,
    "UnrehearsedControlVersionKey": "close-v1.1.0",
    "FromStepIsHumanApprovalGate": false,
    "ToStepIsHumanApprovalGate": false,
    "AvoidsHumanApprovalGate": true
   },
   {
    "StepTransitionId": "close-06-return-close-04",
    "ProcedureVersion": "close-v1.1.0",
    "FromStep": "close-06",
    "ToStep": "close-04",
    "TransitionKind": "Alternative",
    "Condition": "CFO rejects package or requests further analysis",
    "Priority": 2,
    "SemanticTypeIri": "https://w3id.org/pko#Transition",
    "Name": "close-06 -&gt; close-04",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0,
    "TargetCarriesBlockingControl": false,
    "IsUnrehearsedControlEntry": false,
    "UnrehearsedControlVersionKey": null,
    "FromStepIsHumanApprovalGate": true,
    "ToStepIsHumanApprovalGate": false,
    "AvoidsHumanApprovalGate": false
   },
   {
    "StepTransitionId": "close-05-expedite-close-07",
    "ProcedureVersion": "close-v1.1.0",
    "FromStep": "close-05",
    "ToStep": "close-07",
    "TransitionKind": "Alternative",
    "Condition": "Aggregate variance below the materiality threshold: publish the close package without CFO sign-off",
    "Priority": 3,
    "SemanticTypeIri": "https://w3id.org/pko#Transition",
    "Name": "close-05 -&gt; close-07",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0.0,
    "TargetCarriesBlockingControl": false,
    "IsUnrehearsedControlEntry": false,
    "UnrehearsedControlVersionKey": null,
    "FromStepIsHumanApprovalGate": false,
    "ToStepIsHumanApprovalGate": false,
    "AvoidsHumanApprovalGate": true
   },
   {
    "StepTransitionId": "policy-04-return-policy-03",
    "ProcedureVersion": "policy-v1.0.0",
    "FromStep": "policy-04",
    "ToStep": "policy-03",
    "TransitionKind": "Alternative",
    "Condition": "Legal review requires semantic revision",
    "Priority": 2,
    "SemanticTypeIri": "https://w3id.org/pko#Transition",
    "Name": "policy-04 -&gt; policy-03",
    "IsRecoveryPath": true,
    "CountOfFromStepExecutions": 1,
    "CountOfToStepExecutions": 1,
    "HasReachableOrigin": true,
    "HasReachableTarget": true,
    "IsNeverExercised": false,
    "IsUntestedRecoveryPath": false,
    "CountOfObservedTraversals": 0,
    "HasBeenTraversed": false,
    "IsUnwalkedRecoveryPath": true,
    "TargetBlockingRequirementCount": 1,
    "TargetCarriesBlockingControl": true,
    "IsUnrehearsedControlEntry": true,
    "UnrehearsedControlVersionKey": "policy-v1.0.0",
    "FromStepIsHumanApprovalGate": false,
    "ToStepIsHumanApprovalGate": false,
    "AvoidsHumanApprovalGate": true
   },
   {
    "StepTransitionId": "policy-07-fallback-policy-06",
    "ProcedureVersion": "policy-v1.0.0",
    "FromStep": "policy-07",
    "ToStep": "policy-06",
    "TransitionKind": "Fallback",
    "Condition": "Rendered message violates channel length or disclosure constraints",
    "Priority": 2,
    "SemanticTypeIri": "https://w3id.org/pko#Transition",
    "Name": "policy-07 -&gt; policy-06",
    "IsRecoveryPath": true,
    "CountOfFromStepExecutions": 0,
    "CountOfToStepExecutions": 0,
    "HasReachableOrigin": false,
    "HasReachableTarget": false,
    "IsNeverExercised": true,
    "IsUntestedRecoveryPath": true,
    "CountOfObservedTraversals": 0,
    "HasBeenTraversed": false,
    "IsUnwalkedRecoveryPath": true,
    "TargetBlockingRequirementCount": 1,
    "TargetCarriesBlockingControl": true,
    "IsUnrehearsedControlEntry": true,
    "UnrehearsedControlVersionKey": "policy-v1.0.0",
    "FromStepIsHumanApprovalGate": false,
    "ToStepIsHumanApprovalGate": false,
    "AvoidsHumanApprovalGate": true
   }
  ]
 },
 "Actions": {
  "Description": "Human actions required by steps. Maps to pko:Action and pko:requiresAction.",
  "important": false,
  "schema": [
   {
    "name": "ActionId",
    "datatype": "string",
    "type": "raw",
    "nullable": false,
    "Description": "Stored logical identifier for one Actions row."
   },
   {
    "name": "Name",
    "datatype": "string",
    "type": "calculated",
    "nullable": true,
    "Description": "Human-readable calculated display alias for the Actions row.",
    "formula": "={{Label}}"
   },
   {
    "name": "Label",
    "datatype": "string",
    "type": "raw",
    "nullable": true,
    "Description": "Action label."
   },
   {
    "name": "Definition",
    "datatype": "string",
    "type": "raw",
    "nullable": true,
    "Description": "Normative definition of the action."
   },
   {
    "name": "SemanticTypeIri",
    "datatype": "string",
    "type": "raw",
    "nullable": true,
    "Description": "Exact PKO class IRI."
   }
  ],
  "data": [
   {
    "ActionId": "freeze-ledgers",
    "Label": "Freeze ledgers",
    "Definition": "Prevent late transaction entry after the close cutoff.",
    "SemanticTypeIri": "https://w3id.org/pko#Action",
    "Name": "Freeze ledgers"
   },
   {
    "ActionId": "reconcile-account",
    "Label": "Reconcile account",
    "Definition": "Compare balances, source records, and supporting evidence.",
    "SemanticTypeIri": "https://w3id.org/pko#Action",
    "Name": "Reconcile account"
   },
   {
    "ActionId": "investigate-variance",
    "Label": "Investigate variance",
    "Definition": "Apply documented checks and situated judgment to explain a material variance.",
    "SemanticTypeIri": "https://w3id.org/pko#Action",
    "Name": "Investigate variance"
   },
   {
    "ActionId": "review-close-package",
    "Label": "Review close package",
    "Definition": "Perform an independent control review.",
    "SemanticTypeIri": "https://w3id.org/pko#Action",
    "Name": "Review close package"
   },
   {
    "ActionId": "approve-close",
    "Label": "Approve close",
    "Definition": "Authorize publication of the financial statements package.",
    "SemanticTypeIri": "https://w3id.org/pko#Action",
    "Name": "Approve close"
   },
   {
    "ActionId": "interview-practitioner",
    "Label": "Interview practitioner",
    "Definition": "Elicit tacit, implicit, and explicit procedural knowledge.",
    "SemanticTypeIri": "https://w3id.org/pko#Action",
    "Name": "Interview practitioner"
   },
   {
    "ActionId": "review-policy",
    "Label": "Review employment policy",
    "Definition": "Review legal, privacy, and operational commitments.",
    "SemanticTypeIri": "https://w3id.org/pko#Action",
    "Name": "Review employment policy"
   },
   {
    "ActionId": "approve-policy",
    "Label": "Approve employment policy",
    "Definition": "Authorize the policy's semantic content and channel requirements.",
    "SemanticTypeIri": "https://w3id.org/pko#Action",
    "Name": "Approve employment policy"
   },
   {
    "ActionId": "review-feedback",
    "Label": "Review procedural feedback",
    "Definition": "Evaluate questions, issues, and lessons for future versions.",
    "SemanticTypeIri": "https://w3id.org/pko#Action",
    "Name": "Review procedural feedback"
   }
  ]
 },
 "Functions": {
  "Description": "Software or algorithmic functions required by steps. Maps to pko:Function and pko:requiresFunction.",
  "important": false,
  "schema": [
   {
    "name": "FunctionId",
    "datatype": "string",
    "type": "raw",
    "nullable": false,
    "Description": "Stored logical identifier for one Functions row."
   },
   {
    "name": "Name",
    "datatype": "string",
    "type": "calculated",
    "nullable": true,
    "Description": "Human-readable calculated display alias for the Functions row.",
    "formula": "={{Label}}"
   },
   {
    "name": "Label",
    "datatype": "string",
    "type": "raw",
    "nullable": true,
    "Description": "Function label."
   },
   {
    "name": "Definition",
    "datatype": "string",
    "type": "raw",
    "nullable": true,
    "Description": "Deterministic or AI-assisted behavior."
   },
   {
    "name": "Implementati</t>
  </si>
  <si>
    <t xml:space="preserve">onKey",
    "datatype": "string",
    "type": "raw",
    "nullable": true,
    "Description": "Operational implementation or model key."
   },
   {
    "name": "SemanticTypeIri",
    "datatype": "string",
    "type": "raw",
    "nullable": true,
    "Description": "Exact PKO class IRI."
   }
  ],
  "data": [
   {
    "FunctionId": "extract-trial-balance",
    "Label": "Extract trial balance",
    "Definition": "Deterministically extract balances and source timestamps.",
    "ImplementationKey": "extract-trial-balance-impl",
    "SemanticTypeIri": "https://w3id.org/pko#Function",
    "Name": "Extract trial balance"
   },
   {
    "FunctionId": "classify-variance",
    "Label": "Classify variance",
    "Definition": "Rank and classify variances using the approved AI model.",
    "ImplementationKey": "classify-variance-impl",
    "SemanticTypeIri": "https://w3id.org/pko#Function",
    "Name": "Classify variance"
   },
   {
    "FunctionId": "post-close-entries",
    "Label": "Post close entries",
    "Definition": "Post only approved journal entries.",
    "ImplementationKey": "post-close-entries-impl",
    "SemanticTypeIri": "https://w3id.org/pko#Function",
    "Name": "Post close entries"
   },
   {
    "FunctionId": "draft-policy",
    "Label": "Draft policy",
    "Definition": "Generate a draft from approved sources and requirements.",
    "ImplementationKey": "draft-policy-impl",
    "SemanticTypeIri": "https://w3id.org/pko#Function",
    "Name": "Draft policy"
   },
   {
    "FunctionId": "render-email",
    "Label": "Render email",
    "Definition": "Produce an email projection without changing policy meaning.",
    "ImplementationKey": "render-email-impl",
    "SemanticTypeIri": "https://w3id.org/pko#Function",
    "Name": "Render email"
   },
   {
    "FunctionId": "render-sms",
    "Label": "Render SMS",
    "Definition": "Produce a length-constrained SMS projection without changing policy meaning.",
    "ImplementationKey": "render-sms-impl",
    "SemanticTypeIri": "https://w3id.org/pko#Function",
    "Name": "Render SMS"
   },
   {
    "FunctionId": "send-notification",
    "Label": "Send notification",
    "Definition": "Apply channel policy and deliver an approved message.",
    "ImplementationKey": "send-notification-impl",
    "SemanticTypeIri": "https://w3id.org/pko#Function",
    "Name": "Send notification"
   },
   {
    "FunctionId": "collect-acknowledgement",
    "Label": "Collect acknowledgement",
    "Definition": "Record receipt, acknowledgement, or exception state.",
    "ImplementationKey": "collect-acknowledgement-impl",
    "SemanticTypeIri": "https://w3id.org/pko#Function",
    "Name": "Collect acknowledgement"
   }
  ]
 },
 "Tools": {
  "Description": "Tools required to execute steps. Maps to m4ing:Tool and pko:requiresTool.",
  "important": false,
  "schema": [
   {
    "name": "ToolId",
    "datatype": "string",
    "type": "raw",
    "nullable": false,
    "Description": "Stored logical identifier for one Tools row."
   },
   {
    "name": "Name",
    "datatype": "string",
    "type": "calculated",
    "nullable": true,
    "Description": "Human-readable calculated display alias for the Tools row.",
    "formula": "={{Label}}"
   },
   {
    "name": "Label",
    "datatype": "string",
    "type": "raw",
    "nullable": true,
    "Description": "Tool label."
   },
   {
    "name": "Purpose",
    "datatype": "string",
    "type": "raw",
    "nullable": true,
    "Description": "Operational purpose."
   },
   {
    "name": "SemanticTypeIri",
    "datatype": "string",
    "type": "raw",
    "nullable": true,
    "Description": "Exact semantic class IRI."
   }
  ],
  "data": [
   {
    "ToolId": "erp-ledger",
    "Label": "ERP General Ledger",
    "Purpose": "Financial system of record",
    "SemanticTypeIri": "http://w3id.org/nfdi4ing/metadata4ing#Tool",
    "Name": "ERP General Ledger"
   },
   {
    "ToolId": "close-workpaper",
    "Label": "Close Workpaper Workbook",
    "Purpose": "Controlled reconciliation workbook",
    "SemanticTypeIri": "http://w3id.org/nfdi4ing/metadata4ing#Tool",
    "Name": "Close Workpaper Workbook"
   },
   {
    "ToolId": "variance-model",
    "Label": "Variance AI Console",
    "Purpose": "Approved AI variance-triage interface",
    "SemanticTypeIri": "http://w3id.org/nfdi4ing/metadata4ing#Tool",
    "Name": "Variance AI Console"
   },
   {
    "ToolId": "policy-registry",
    "Label": "Policy Registry",
    "Purpose": "Versioned workforce-policy source of truth",
    "SemanticTypeIri": "http://w3id.org/nfdi4ing/metadata4ing#Tool",
    "Name": "Policy Registry"
   },
   {
    "ToolId": "consent-registry",
    "Label": "Employee Consent Registry",
    "Purpose": "Consent and channel preference system",
    "SemanticTypeIri": "http://w3id.org/nfdi4ing/metadata4ing#Tool",
    "Name": "Employee Consent Registry"
   },
   {
    "ToolId": "email-gateway",
    "Label": "Email Gateway",
    "Purpose": "Transactional employee email service",
    "SemanticTypeIri": "http://w3id.org/nfdi4ing/metadata4ing#Tool",
    "Name": "Email Gateway"
   },
   {
    "ToolId": "sms-gateway",
    "Label": "SMS Gateway",
    "Purpose": "Transactional SMS service",
    "SemanticTypeIri": "http://w3id.org/nfdi4ing/metadata4ing#Tool",
    "Name": "SMS Gateway"
   },
   {
    "ToolId": "knowledge-capture-form",
    "Label": "Knowledge Capture Form",
    "Purpose": "Structured elicitation and review interface",
    "SemanticTypeIri": "http://w3id.org/nfdi4ing/metadata4ing#Tool",
    "Name": "Knowledge Capture Form"
   }
  ]
 },
 "StepActions": {
  "Description": "Many-to-many Step/Action semantics normalized into a first-class ERB junction table.",
  "important": false,
  "schema": [
   {
    "name": "StepActionId",
    "datatype": "string",
    "type": "raw",
    "nullable": false,
    "Description": "Stored logical identifier for one StepActions row."
   },
   {
    "name": "Name",
    "datatype": "string",
    "type": "calculated",
    "nullable": true,
    "Description": "Human-readable calculated display alias for the StepActions row.",
    "formula": "={{Step}} &amp; \" / \" &amp; {{Action}}"
   },
   {
    "name": "Step",
    "datatype": "string",
    "type": "relationship",
    "nullable": true,
    "Description": "Step side of the relationship.",
    "RelatedTo": "Steps"
   },
   {
    "name": "Action",
    "datatype": "string",
    "type": "relationship",
    "nullable": true,
    "Description": "Action side of the relationship.",
    "RelatedTo": "Actions"
   }
  ],
  "data": [
   {
    "StepActionId": "sa-close01",
    "Step": "close-01",
    "Action": "freeze-ledgers",
    "Name": "close-01 / freeze-ledgers"
   },
   {
    "StepActionId": "sa-close03",
    "Step": "close-03",
    "Action": "reconcile-account",
    "Name": "close-03 / reconcile-account"
   },
   {
    "StepActionId": "sa-close04",
    "Step": "close-04",
    "Action": "investigate-variance",
    "Name": "close-04 / investigate-variance"
   },
   {
    "StepActionId": "sa-close05",
    "Step": "close-05",
    "Action": "review-close-package",
    "Name": "close-05 / review-close-package"
   },
   {
    "StepActionId": "sa-close06",
    "Step": "close-06",
    "Action": "approve-close",
    "Name": "close-06 / approve-close"
   },
   {
    "StepActionId": "sa-policy02",
    "Step": "policy-02",
    "Action": "interview-practitioner",
    "Name": "policy-02 / interview-practitioner"
   },
   {
    "StepActionId": "sa-policy04",
    "Step": "policy-04",
    "Action": "review-policy",
    "Name": "policy-04 / review-policy"
   },
   {
    "StepActionId": "sa-policy05",
    "Step": "policy-05",
    "Action": "approve-policy",
    "Name": "policy-05 / approve-policy"
   },
   {
    "StepActionId": "sa-policy09",
    "Step": "policy-09",
    "Action": "review-feedback",
    "Name": "policy-09 / review-feedback"
   }
  ]
 },
 "StepFunctions": {
  "Description": "Many-to-many Step/Function semantics normalized into an ERB junction table.",
  "important": false,
  "schema": [
   {
    "name": "StepFunctionId",
    "datatype": "string",
    "type": "raw",
    "nullable": false,
    "Description": "Stored logical identifier for one StepFunctions row."
   },
   {
    "name": "Name",
    "datatype": "string",
    "type": "calculated",
    "nullable": true,
    "Description": "Human-readable calculated display alias for the StepFunctions row.",
    "formula": "={{Step}} &amp; \" / \" &amp; {{Function}}"
   },
   {
    "name": "Step",
    "datatype": "string",
    "type": "relationship",
    "nullable": true,
    "Description": "Step side of the relationship.",
    "RelatedTo": "Steps"
   },
   {
    "name": "Function",
    "datatype": "string",
    "type": "relationship",
    "nullable": true,
    "Description": "Function side of the relationship.",
    "RelatedTo": "Functions"
   }
  ],
  "data": [
   {
    "StepFunctionId": "sf-close02",
    "Step": "close-02",
    "Function": "extract-trial-balance",
    "Name": "close-02 / extract-trial-balance"
   },
   {
    "StepFunctionId": "sf-close04",
    "Step": "close-04",
    "Function": "classify-variance",
    "Name": "close-04 / classify-variance"
   },
   {
    "StepFunctionId": "sf-close07",
    "Step": "close-07",
    "Function": "post-close-entries",
    "Name": "close-07 / post-close-entries"
   },
   {
    "StepFunctionId": "sf-policy03",
    "Step": "policy-03",
    "Function": "draft-policy",
    "Name": "policy-03 / draft-policy"
   },
   {
    "StepFunctionId": "sf-policy06-email",
    "Step": "policy-06",
    "Function": "render-email",
    "Name": "policy-06 / render-email"
   },
   {
    "StepFunctionId": "sf-policy06-sms",
    "Step": "policy-06",
    "Function": "render-sms",
    "Name": "policy-06 / render-sms"
   },
   {
    "StepFunctionId": "sf-policy07",
    "Step": "policy-07",
    "Function": "send-notification",
    "Name": "policy-07 / send-notification"
   },
   {
    "StepFunctionId": "sf-policy08",
    "Step": "policy-08",
    "Function": "collect-acknowledgement",
    "Name": "policy-08 / collect-acknowledgement"
   }
  ]
 },
 "StepTools": {
  "Description": "Many-to-many Step/Tool semantics normalized into an ERB junction table.",
  "important": false,
  "schema": [
   {
    "name": "StepToolId",
    "datatype": "string",
    "type": "raw",
    "nullable": false,
    "Description": "Stored logical identifier for one StepTools row."
   },
   {
    "name": "Name",
    "datatype": "string",
    "type": "calculated",
    "nullable": true,
    "Description": "Human-readable calculated display alias for the StepTools row.",
    "formula": "={{Step}} &amp; \" / \" &amp; {{Tool}}"
   },
   {
    "name": "Step",
    "datatype": "string",
    "type": "relationship",
    "nullable": true,
    "Description": "Step side of the relationship.",
    "RelatedTo": "Steps"
   },
   {
    "name": "Tool",
    "datatype": "string",
    "type": "relationship",
    "nullable": true,
    "Description": "Tool side of the relationship.",
    "RelatedTo": "Tools"
   }
  ],
  "data": [
   {
    "StepToolId": "st-close01",
    "Step": "close-01",
    "Tool": "erp-ledger",
    "Name": "close-01 / erp-ledger"
   },
   {
    "StepToolId": "st-close02",
    "Step": "close-02",
    "Tool": "erp-ledger",
    "Name": "close-02 / erp-ledger"
   },
   {
    "StepToolId": "st-close03",
    "Step": "close-03",
    "Tool": "close-workpaper",
    "Name": "close-03 / close-workpaper"
   },
   {
    "StepToolId": "st-close04a",
    "Step": "close-04",
    "Tool": "variance-model",
    "Name": "close-04 / variance-model"
   },
   {
    "StepToolId": "st-close04b",
    "Step": "close-04",
    "Tool": "close-workpaper",
    "Name": "close-04 / close-workpaper"
   },
   {
    "StepToolId": "st-policy02",
    "Step": "policy-02",
    "Tool": "knowledge-capture-form",
    "Name": "policy-02 / knowledge-capture-form"
   },
   {
    "StepToolId": "st-policy03",
    "Step": "policy-03",
    "Tool": "policy-registry",
    "Name": "policy-03 / policy-registry"
   },
   {
    "StepToolId": "st-policy07a",
    "Step": "policy-07",
    "Tool": "consent-registry",
    "Name": "policy-07 / consent-registry"
   },
   {
    "StepToolId": "st-policy07b",
    "Step": "policy-07",
    "Tool": "email-gateway",
    "Name": "policy-07 / email-gateway"
   },
   {
    "StepToolId": "st-policy07c",
    "Step": "policy-07",
    "Tool": "sms-gateway",
    "Name": "policy-07 / sms-gateway"
   }
  ]
 },
 "Requirements": {
  "Description": "Normative requirements applied to procedures, steps, or transitions. Maps to pko:Requirement and pko:hasRequirement.",
  "important": false,
  "schema": [
   {
    "name": "RequirementId",
    "datatype": "string",
    "type": "raw",
    "nullable": false,
    "Description": "Stored logical identifier for one Requirements row."
   },
   {
    "name": "Name",
    "datatype": "string",
    "type": "calculated",
    "nullable": true,
    "Description": "Human-readable calculated display alias for the Requirements row.",
    "formula": "={{Label}}"
   },
   {
    "name": "Label",
    "datatype": "string",
    "type": "raw",
    "nullable": true,
    "Description": "Requirement label."
   },
   {
    "name": "RequirementType",
    "datatype": "string",
    "type": "raw",
    "nullable": true,
    "Description": "Controlled requirement type; maps to pko:hasRequirementType."
   },
   {
    "name": "Statement",
    "datatype": "string",
    "type": "raw",
    "nullable": true,
    "Description": "Normative requirement statement."
   },
   {
    "name": "Rationale",
    "datatype": "string",
    "type": "raw",
    "nullable": true,
    "Description": "Why the requirement exists."
   },
   {
    "name": "IsBlocking",
    "datatype": "boolean",
    "type": "raw",
    "nullable": true,
    "Description": "TRUE when unsatisfied requirement blocks execution or approval."
   },
   {
    "name": "SatisfactionRecordCount",
    "datatype": "number",
    "type": "aggregation",
    "nullable": true,
    "Description": "How many times this requirement has ever been evaluated against an execution.",
    "formula": "=COUNTIFS(RequirementSatisfactions!{{Requirement}}, {{RequirementId}})"
   },
   {
    "name": "StepBindingCount",
    "datatype": "number",
    "type": "aggregation",
    "nullable": true,
    "Description": "How many steps the specification binds this requirement to.",
    "formula": "=COUNTIFS(StepRequirements!{{Requirement}}, {{RequirementId}})"
   },
   {
    "name": "IsBoundToAnyStep",
    "datatype": "boolean",
    "type": "calculated",
    "nullable": true,
    "Description": "TRUE when at least one step carries this requirement.",
    "formula": "={{StepBindingCount}} &gt; 0"
   },
   {
    "name": "HasEverBeenEvaluated",
    "datatype": "boolean",
    "type": "calculated",
    "nullable": true,
    "Description": "TRUE when this requirement has at least one satisfaction record in the model.",
    "formula": "={{SatisfactionRecordCount}} &gt; 0"
   },
   {
    "name": "NegativeOutcomeCount",
    "datatype": "number",
    "type": "aggregation",
    "nullable": true,
    "Description": "How many times this requirement has ever produced a less-than-satisfied outcome.",
    "formula": "=COUNTIFS(RequirementSatisfactions!{{NegativeOutcomeRequirementKey}}, {{RequirementId}})"
   },
   {
    "name": "IsInoperativeControl",
    "datatype": "boolean",
    "type": "calculated",
    "nullable": true,
    "Description": "TRUE for a blocking requirement that is attached to a step in the specification but has never once been evaluated on any execution.",
    "formula": "=AND({{IsBlocking}}, {{IsBoundToAnyStep}}, NOT({{HasEverBeenEvaluated}}))"
   },
   {
    "name": "IsDecorativeControl",
    "datatype": "boolean",
    "type": "calculated",
    "nullable": true,
    "Description": "TRUE for a blocking requirement that is not attached to any step at all.",
    "formula": "=AND({{IsBlocking}}, NOT({{IsBoundToAnyStep}}))"
   },
   {
    "name": "HasComputedWitness",
    "datatype": "boolean",
    "type": "raw",
    "nullable": true,
    "Description": "Whether a computed predicate in this rulebook evaluates this requirement, as opposed to it being satisfied by human assertion only."
   },
   {
    "name": "WitnessFieldName",
    "datatype": "string",
    "type": "raw",
    "nullable": true,
    "Description": "The fully-qualified Table.Field of the predicate that computes this requirement, when one exists."
   },
   {
    "name": "HasEverProducedNegative",
    "datatype": "boolean",
    "type": "calculated",
    "nullable": true,
    "Description": "TRUE when this requirement has at least once been scored as anything other than Satisfied.",
    "formula": "={{NegativeOutcomeCount}} &gt; 0"
   },
   {
    "name": "IsUnfalsifiedControl",
    "datatype": "boolean",
    "type": "calculated",
    "nullable": true,
    "Description": "TRUE for a blocking control that HAS been evaluated at least once and has never returned a negative result.",
    "formula": "=AND({{IsBlocking}}, {{HasEverBeenEvaluated}}, NOT({{HasEverProducedNegative}}))"
   },
   {
    "name": "ClaimsAWitnessField",
    "datatype": "boolean",
    "type": "calculated",
    "nullable": true,
    "Description": "TRUE when this requirement names a field it claims computes it.",
    "formula": "={{WitnessFieldName}} &lt;&gt; \"\""
   },
   {
    "name": "NamedWitnessFieldExists",
    "datatype": "boolean",
    "type": "lookup",
    "nullable": true,
    "Description": "TRUE when the field named in WitnessFieldName actually exists in the field catalog AND is a derived (calculated/lookup/aggregation) field.",
    "formula": "=INDEX(RulebookFields!{{IsDerived}}, MATCH({{WitnessFieldName}}, RulebookFields!{{RulebookFieldId}}, 0))"
   },
   {
    "name": "DerivedHasComputedWitness",
    "datatype": "boolean",
    "type": "calculated",
    "nullable": true,
    "Description": "Whether this requirement genuinely has a computed witness, derived from the field catalog rather than asserted.",
    "formula": "=AND({{ClaimsAWitnessField}}, {{NamedWitnessFieldExists}})"
   },
   {
    "name": "WitnessClaimIsUnverified",
    "datatype": "boolean",
    "type": "calculated",
    "nullable": true,
    "Description": "TRUE when the hand-typed HasComputedWitness flag disagrees with what the field catalog says.",
    "formula": "=NOT({{HasComputedWitness}} = {{DerivedHasComputedWitness}})"
   },
   {
    "name": "IsUnwitnessedBlockingControl",
    "datatype": "boolean",
    "type": "calculated",
    "nullable": true,
    "Description": "TRUE for a blocking control with no verified computed witness behind it.",
    "formula": "=AND({{IsBlocking}}, NOT({{DerivedHasComputedWitness}}))"
   },
   {
    "name": "WitnessFireCount",
    "datatype": "number",
    "type": "calculated",
    "nullable": true,
    "Description": "How many times this requirement's evaluation has returned a non-Satisfied result.",
    "formula": "={{NegativeOutcomeCount}}"
   },
   {
    "name": "WitnessHasNeverFired",
    "datatype": "boolean",
    "type": "calculated",
    "nullable": true,
    "Description": "TRUE for a requirement that has a computed witness which has never once returned a negative result.",
    "formula": "=AND({{HasComputedWitness}}, {{WitnessFireCount}} = 0)"
   },
   {
    "name": "EvaluationSampleSize",
    "datatype": "number",
    "type": "calculated",
    "nullable": true,
    "Description": "How many times this requirement has been evaluated at all.",
    "formula": "={{SatisfactionRecordCount}}"
   },
   {
    "name": "HasMeaningfulSample",
    "datatype": "boolean",
    "type": "calculated",
    "nullable": true,
    "Description": "TRUE when this requirement has been evaluated often enough that a clean record is informative.",
    "formula": "={{EvaluationSampleSize}} &gt;= {{MinimumSampleForAssurance}}"
   },
   {
    "name": "MinimumSampleForAssurance",
    "datatype": "integer",
    "type": "raw",
    "nullable": true,
    "Description": "The number of clean evaluations this control must accumulate before its silence counts as evidence."
   },
   {
    "name": "IsUntestedWitness",
    "datatype": "boolean",
    "type": "calculated",
    "nullable": true,
    "Description": "TRUE for a witness that has never fired and has not been exercised enough for that silence to mean anything.",
    "formula": "=AND({{WitnessHasNeverFired}}, NOT({{HasMeaningfulSample}}))"
   },
   {
    "name": "IsEvidencedHoldingControl",
    "datatype": "boolean",
    "type": "calculated",
    "nullable": true,
    "Description": "TRUE for a witness that has never fired across a sample large enough for that to constitute evidence.",
    "formula": "=AND({{WitnessHasNeverFired}}, {{HasMeaningfulSample}})"
   },
   {
    "name": "ControlAssuranceState",
    "datatype": "string",
    "type": "calculated",
    "nullable": true,
    "Description": "One of Decorative, Inoperative, Asserted, Demonstrated, Holding, or Untested — the single control-health verdict for this requirement.",
    "formula": "=IF(NOT({{IsBoundToAnyStep}}), \"Decorative\", IF(NOT({{HasEverBeenEvaluated}}), \"Inoperative\", IF(NOT({{HasComputedWitness}}), \"Asserted\", IF({{WitnessFireCount}} &gt; 0, \"Demonstrated\", IF({{HasMeaningfulSample}}, \"Holding\", \"Untested\")))))"
   },
   {
    "name": "UnexercisedBindingCount",
    "datatype": "number",
    "type": "aggregation",
    "nullable": true,
    "Description": "How many of this control's step bindings have never been evaluated.",
    "formula": "=COUNTIFS(StepRequirements!{{UnexercisedBindingRequirementKey}}, {{RequirementId}})"
   },
   {
    "name": "WitnessIsPartiallyScoped",
    "datatype": "boolean",
    "type": "calculated",
    "nullable": true,
    "Description": "TRUE when a control has a computed witness but at least one of its step bindings has never been exercised by it.",
    "formula": "=AND({{HasComputedWitness}}, {{UnexercisedBindingCount}} &gt; 0)"
   },
   {
    "name": "AccountableRole",
    "datatype": "string",
    "type": "relationship",
    "nullable": true,
    "Description": "The role answerable for this control operating as designed.",
    "RelatedTo": "Roles"
   },
   {
    "name": "AccountableAgent",
    "datatype": "string",
    "type": "lookup",
    "nullable": true,
    "Description": "The person currently holding the accountable role for this control.",
    "formula": "=INDEX(Roles!{{CurrentAgent}}, MATCH({{AccountableRole}}, Roles!{{RoleId}}, 0))"
   },
   {
    "name": "HasNamedOwner",
    "datatype": "boolean",
    "type": "calculated",
    "nullable": true,
    "Description": "TRUE when a role has been named as accountable for this control.",
    "formula": "={{AccountableRole}} &lt;&gt; \"\""
   },
   {
    "name": "IsOrphanedBlockingControl",
    "datatype": "boolean",
    "type": "calculated",
    "nullable": true,
    "Description": "TRUE for a blocking control with nobody named as accountable for it.",
    "formula": "=AND({{IsBlocking}}, NOT({{HasNamedOwner}}))"
   },
   {
    "name": "IsUnwatchedAndUnowned",
    "datatype": "boolean",
    "type": "calculated",
    "nullable": true,
    "Description": "TRUE for a blocking control that nothing computes and nobody owns.",
    "formula": "=AND({{IsBlocking}}, NOT({{HasComputedWitness}}), NOT({{HasNamedOwner}}))"
   },
   {
    "name": "AttestationExposureNote",
    "datatype": "string",
    "type": "calculated",
    "nullable": true,
    "Description": "States, per control, what kind of exposure attesting to it creates.",
    "formula": "=IF(NOT({{IsBlocking}}), \"\", IF({{IsUnwatchedAndUnowned}}, \"Unwatched and unowned: exposure defaults to the signatory.\", IF({{IsOrphanedBlockingControl}}, \"Witnessed but unowned: no named accountability.\", IF(NOT({{HasComputedWitness}}), \"Owned but unwitnessed: rests on human judgement.\", \"\"))))"
   },
   {
    "name": "UnwatchedUnownedFlag",
    "datatype": "string",
    "type": "calculated",
    "nullable": true,
    "Description": "Constant marker echoed when this control is both unwatched and unowned.",
    "formula": "=IF({{IsUnwatchedAndUnowned}}, \"unwatched-unowned\", \"\")"
   },
   {
    "name": "ControlledTerm",
    "datatype": "string",
    "type": "relationship",
    "nullable": true,
    "Description": "Controlled vocabulary term this requirement's concept maps to, if any.",
    "RelatedTo": "VocabularyTerms"
   },
   {
    "name": "UsesControlledVocabulary",
    "datatype": "boolean",
    "type": "calculated",
    "nullable": true,
    "Description": "TRUE when this requirement points at a controlled term instead of only free-texting the concept.",
    "formula": "={{ControlledTerm}} &lt;&gt; \"\""
   },
   {
    "name": "SemanticTypeIri",
    "datatype": "string",
    "type": "raw",
    "nullable": true,
    "Description": "Exact PKO class IRI."
   }
  ],
  "data": [
   {
    "RequirementId": "req-close-cutoff",
    "Label": "Close cutoff enforced",
    "RequirementType": "Control",
    "Statement": "No ledger entry may be posted after cutoff without controller-approved reopening.",
    "Rationale": "SOX control design",
    "IsBlocking": true,
    "SemanticTypeIri": "https://w3id.org/pko#Requirement",
    "HasComputedWitness": true,
    "WitnessFieldName": "VerificationOutcomes.SignalMatchesExpected",
    "Name": "Close cutoff enforced",
    "SatisfactionRecordCount": 1,
    "StepBindingCount": 1,
    "IsBoundToAnyStep": true,
    "HasEverBeenEvaluated": true,
    "NegativeOutcomeCount": 0,
    "IsInoperativeControl": false,
    "IsDecorativeControl": false,
    "HasEverProducedNegative": false,
    "IsUnfalsifiedControl": true,
    "ClaimsAWitnessField": true,
    "NamedWitnessFieldExists": true,
    "DerivedHasComputedWitness": true,
    "WitnessClaimIsUnverified": false,
    "IsUnwitnessedBlockingControl": false,
    "WitnessFireCount": 0,
    "WitnessHasNeverFired": true,
    "EvaluationSampleSize": 1,
    "ControlAssuranceState": "Holding",
    "UnexercisedBindingCount": 1,
    "WitnessIsPartiallyScoped": true,
    "HasNamedOwner": false,
    "IsOrphanedBlockingControl": true,
    "IsUnwatchedAndUnowned": false,
    "AttestationExposureNote": "Witnessed but unowned: no named accountability.",
    "UnwatchedUnownedFlag": null,
    "HasMeaningfulSample": true,
    "IsUntestedWitness": false,
    "IsEvidencedHoldingControl": true,
    "AccountableAgent": null,
    "ControlledTerm": "vt-cutoff",
    "UsesControlledVocabulary": true
   },
   {
    "RequirementId": "req-close-balance",
    "Label": "Reconciled balance integrity",
    "RequirementType": "Verification",
    "Statement": "Every material account must reconcile or carry an approved exception.",
    "Rationale": "Financial reporting accuracy",
    "IsBlocking": true,
    "SemanticTypeIri": "https://w3id.org/pko#Requirement",
    "HasComputedWitness": true,
    "WitnessFieldName": "VerificationOutcomes.IsUnbackedObservation",
    "Name": "Reconciled balance integrity",
    "SatisfactionRecordCount": 1,
    "StepBindingCount": 1,
    "IsBoundToAnyStep": true,
    "HasEverBeenEvaluated": true,
    "NegativeOutcomeCount": 0,
    "IsInoperativeControl": false,
    "IsDecorativeControl": false,
    "HasEverProducedNegative": false,
    "IsUnfalsifiedControl": true,
    "ClaimsAWitnessField": true,
    "NamedWitnessFieldExists": true,
    "DerivedHasComputedWitness": true,
    "WitnessClaimIsUnverified": false,
    "IsUnwitnessedBlockingControl": false,
    "WitnessFireCount": 0,
    "WitnessHasNeverFired": true,
    "EvaluationSampleSize": 1,
    "ControlAssuranceState": "Holding",
    "UnexercisedBindingCount": 1,
    "WitnessIsPartiallyScoped": true,
    "HasNamedOwner": false,
    "IsOrphanedBlockingControl": true,
    "IsUnwatchedAndUnowned": false,
    "AttestationExposureNote": "Witnessed but unowned: no named accountability.",
    "UnwatchedUnownedFlag": null,
    "HasMeaningfulSample": true,
    "IsUntestedWitness": false,
    "IsEvidencedHoldingControl": true,
    "AccountableAgent": null,
    "ControlledTerm": "vt-reconciliation",
    "UsesControlledVocabulary": true
   },
   {
    "RequirementId": "req-close-separation",
    "Label": "Preparer/approver separation",
    "RequirementType": "Governance",
    "Statement": "The preparer may not be the final approver.",
    "Rationale": "Segregation of duties",
    "IsBlocking": true,
    "SemanticTypeIri": "https://w3id.org/pko#Requirement",
    "HasComputedWitness": true,
    "WitnessFieldName": "StepExecutions.ViolatesSeparationOfDuties",
    "Name": "Preparer/approver separation",
    "SatisfactionRecordCount": 1,
    "StepBindingCount": 1,
    "IsBoundToAnyStep": true,
    "HasEverBeenEvaluated": true,
    "NegativeOutcomeCount": 0,
    "IsInoperativeControl": false,
    "IsDecorativeControl": false,
    "HasEverProducedNegative": false,
    "IsUnfalsifiedControl": true,
    "ClaimsAWitnessField": true,
    "NamedWitnessFieldExists": true,
    "DerivedHasComputedWitness": true,
    "WitnessClaimIsUnverified": false,
    "IsUnwitnessedBlockingControl": false,
    "WitnessFireCount": 0,
    "WitnessHasNeverFired": true,
    "EvaluationSampleSize": 1,
    "ControlAssuranceState": "Holding",
    "UnexercisedBindingCount": 1,
    "WitnessIsPartiallyScoped": true,
    "HasNamedOwner": false,
    "IsOrphanedBlockingControl": true,
    "IsUnwatchedAndUnowned": false,
    "AttestationExposureNote": "Witnessed but unowned: no named accountability.",
    "UnwatchedUnownedFlag": null,
    "HasMeaningfulSample": true,
    "IsUntestedWitness": false,
    "IsEvidencedHoldingControl": true,
    "AccountableAgent": null,
    "ControlledTerm": "vt-segregation",
    "UsesControlledVocabulary": true
   },
   {
    "RequirementId": "req-close-evidence",
    "Label": "Evidence retention",
    "RequirementType": "Retention",
    "Statement": "Evidence must remain retrievable for 7 years.",
    "Rationale": "Audit and legal retention",
    "IsBlocking": true,
    "SemanticTypeIri": "https://w3id.org/pko#Requirement",
    "HasComputedWitness": true,
    "WitnessFieldName": "RequirementSatisfactions.IsBlockingAndUnmet",
    "Name": "Evidence retention",
    "SatisfactionRecordCount": 2,
    "StepBindingCount": 2,
    "IsBoundToAnyStep": true,
    "HasEverBeenEvaluated": true,
    "NegativeOutcomeCount": 1,
    "IsInoperativeControl": false,
    "IsDecorativeControl": false,
    "HasEverProducedNegative": true,
    "IsUnfalsifiedControl": false,
    "ClaimsAWitnessField": true,
    "NamedWitnessFieldExists": true,
    "DerivedHasComputedWitness": true,
    "WitnessClaimIsUnverified": false,
    "IsUnwitnessedBlockingControl": false,
    "WitnessFireCount": 1,
    "WitnessHasNeverFired": false,
    "EvaluationSampleSize": 2,
    "IsUntestedWitness": false,
    "IsEvidencedHoldingControl": false,
    "ControlAssuranceState": "Demonstrated",
    "UnexercisedBindingCount": 2,
    "WitnessIsPartiallyScoped": true,
    "HasNamedOwner": false,
    "IsOrphanedBlockingControl": true,
    "IsUnwatchedAndUnowned": false,
    "AttestationExposureNote": "Witnessed but unowned: no named accountability.",
    "UnwatchedUnownedFlag": null,
    "HasMeaningfulSample": true,
    "AccountableAgent": null,
    "ControlledTerm": "vt-evidence-retention",
    "UsesControlledVocabulary": true
   },
   {
    "RequirementId": "req-close-human-approval",
    "Label": "Human final approval",
    "RequirementType": "Approval",
    "Statement": "Controller and CFO approvals must be human-confirmed.",
    "Rationale": "Accountability",
    "IsBlocking": true,
    "SemanticTypeIri": "https://w3id.org/pko#Requirement",
    "HasComputedWitness": false,
    "WitnessFieldName": null,
    "Name": "Human final approval",
    "SatisfactionRecordCount": 1,
    "StepBindingCount": 1,
    "IsBoundToAnyStep": true,
    "HasEverBeenEvaluated": true,
    "NegativeOutcomeCount": 0,
    "IsInoperativeControl": false,
    "IsDecorativeControl": false,
    "HasEverProducedNegative": false,
    "IsUnfalsifiedControl": true,
    "ClaimsAWitnessField": false,
    "DerivedHasComputedWitness": false,
    "WitnessClaimIsUnverified": false,
    "IsUnwitnessedBlockingControl": true,
    "WitnessFireCount": 0,
    "WitnessHasNeverFired": false,
    "EvaluationSampleSize": 1,
    "IsUntestedWitness": false,
    "IsEvidencedHoldingControl": false,
    "ControlAssuranceState": "Asserted",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"vt-human-approval-gate",
    "UsesControlledVoca</t>
  </si>
  <si>
    <t xml:space="preserve">bulary": true
   },
   {
    "RequirementId": "req-policy-source",
    "Label": "Approved source only",
    "RequirementType": "Provenance",
    "Statement": "Drafting may use only approved source resources and validated elicitation records.",
    "Rationale": "Semantic integrity",
    "IsBlocking": true,
    "SemanticTypeIri": "https://w3id.org/pko#Requirement",
    "HasComputedWitness": false,
    "WitnessFieldName": null,
    "Name": "Approved source only",
    "SatisfactionRecordCount": 1,
    "StepBindingCount": 1,
    "IsBoundToAnyStep": true,
    "HasEverBeenEvaluated": true,
    "NegativeOutcomeCount": 0,
    "IsInoperativeControl": false,
    "IsDecorativeControl": false,
    "HasEverProducedNegative": false,
    "IsUnfalsifiedControl": true,
    "ClaimsAWitnessField": false,
    "DerivedHasComputedWitness": false,
    "WitnessClaimIsUnverified": false,
    "IsUnwitnessedBlockingControl": true,
    "WitnessFireCount": 0,
    "WitnessHasNeverFired": false,
    "EvaluationSampleSize": 1,
    "IsUntestedWitness": false,
    "IsEvidencedHoldingControl": false,
    "ControlAssuranceState": "Asserted",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"UsesControlledVocabulary": false
   },
   {
    "RequirementId": "req-policy-legal",
    "Label": "Legal review required",
    "RequirementType": "Approval",
    "Statement": "Employment counsel must approve legal and privacy commitments.",
    "Rationale": "Legal accountability",
    "IsBlocking": true,
    "SemanticTypeIri": "https://w3id.org/pko#Requirement",
    "HasComputedWitness": false,
    "WitnessFieldName": null,
    "Name": "Legal review required",
    "SatisfactionRecordCount": 1,
    "StepBindingCount": 1,
    "IsBoundToAnyStep": true,
    "HasEverBeenEvaluated": true,
    "NegativeOutcomeCount": 0,
    "IsInoperativeControl": false,
    "IsDecorativeControl": false,
    "HasEverProducedNegative": false,
    "IsUnfalsifiedControl": true,
    "ClaimsAWitnessField": false,
    "DerivedHasComputedWitness": false,
    "WitnessClaimIsUnverified": false,
    "IsUnwitnessedBlockingControl": true,
    "WitnessFireCount": 0,
    "WitnessHasNeverFired": false,
    "EvaluationSampleSize": 1,
    "IsUntestedWitness": false,
    "IsEvidencedHoldingControl": false,
    "ControlAssuranceState": "Asserted",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"vt-legal-review",
    "UsesControlledVocabulary": true
   },
   {
    "RequirementId": "req-policy-human-approval",
    "Label": "Human meaning approval",
    "RequirementType": "Approval",
    "Statement": "An AI agent may draft, but a human policy owner must approve meaning.",
    "Rationale": "Human accountability",
    "IsBlocking": true,
    "SemanticTypeIri": "https://w3id.org/pko#Requirement",
    "HasComputedWitness": false,
    "WitnessFieldName": null,
    "Name": "Human meaning approval",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"UsesControlledVocabulary": false
   },
   {
    "RequirementId": "req-policy-consent",
    "Label": "SMS consent required",
    "RequirementType": "Privacy",
    "Statement": "SMS may be sent only to recipients with active consent.",
    "Rationale": "Consent and privacy",
    "IsBlocking": true,
    "SemanticTypeIri": "https://w3id.org/pko#Requirement",
    "HasComputedWitness": false,
    "WitnessFieldName": null,
    "Name": "SMS consent required",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"vt-consent",
    "UsesControlledVocabulary": true
   },
   {
    "RequirementId": "req-policy-quiet-hours",
    "Label": "Quiet hours enforced",
    "RequirementType": "Communication",
    "Statement": "SMS delivery must not occur between 20:00 and 08:00 recipient-local time.",
    "Rationale": "Employee experience",
    "IsBlocking": true,
    "SemanticTypeIri": "https://w3id.org/pko#Requirement",
    "HasComputedWitness": false,
    "WitnessFieldName": null,
    "Name": "Quiet hours enforced",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"vt-quiet-hours",
    "UsesControlledVocabulary": true
   },
   {
    "RequirementId": "req-policy-optout",
    "Label": "Opt-out text required",
    "RequirementType": "Communication",
    "Statement": "Every SMS must include approved opt-out language.",
    "Rationale": "Consent management",
    "IsBlocking": true,
    "SemanticTypeIri": "https://w3id.org/pko#Requirement",
    "HasComputedWitness": false,
    "WitnessFieldName": null,
    "Name": "Opt-out text required",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"vt-optout",
    "UsesControlledVocabulary": true
   },
   {
    "RequirementId": "req-policy-retention",
    "Label": "Communication evidence retention",
    "RequirementType": "Retention",
    "Statement": "Rendered messages, approvals, recipient scope, and delivery results must be retained for 7 years.",
    "Rationale": "Auditability",
    "IsBlocking": true,
    "SemanticTypeIri": "https://w3id.org/pko#Requirement",
    "HasComputedWitness": false,
    "WitnessFieldName": null,
    "Name": "Communication evidence retention",
    "SatisfactionRecordCount": 0,
    "StepBindingCount": 2,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2,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"vt-evidence-retention",
    "UsesControlledVocabulary": true
   },
   {
    "RequirementId": "req-policy-accessibility",
    "Label": "Plain-language and accessibility",
    "RequirementType": "Quality",
    "Statement": "Email content must be readable, accessible, and include an alternate contact method.",
    "Rationale": "Inclusive communication",
    "IsBlocking": true,
    "SemanticTypeIri": "https://w3id.org/pko#Requirement",
    "HasComputedWitness": false,
    "WitnessFieldName": null,
    "Name": "Plain-language and accessibility",
    "SatisfactionRecordCount": 0,
    "StepBindingCount": 1,
    "IsBoundToAnyStep": true,
    "HasEverBeenEvaluated": false,
    "NegativeOutcomeCount": 0,
    "IsInoperativeControl": true,
    "IsDecorativeControl": false,
    "HasEverProducedNegative": false,
    "IsUnfalsifiedControl": false,
    "ClaimsAWitnessField": false,
    "DerivedHasComputedWitness": false,
    "WitnessClaimIsUnverified": false,
    "IsUnwitnessedBlockingControl": true,
    "WitnessFireCount": 0,
    "WitnessHasNeverFired": false,
    "EvaluationSampleSize": 0,
    "IsUntestedWitness": false,
    "IsEvidencedHoldingControl": false,
    "ControlAssuranceState": "Inoperative",
    "UnexercisedBindingCount": 1,
    "WitnessIsPartiallyScoped": false,
    "HasNamedOwner": false,
    "IsOrphanedBlockingControl": true,
    "IsUnwatchedAndUnowned": true,
    "AttestationExposureNote": "Unwatched and unowned: exposure defaults to the signatory.",
    "UnwatchedUnownedFlag": "unwatched-unowned",
    "NamedWitnessFieldExists": false,
    "HasMeaningfulSample": true,
    "AccountableAgent": null,
    "ControlledTerm": "vt-accessibility",
    "UsesControlledVocabulary": true
   }
  ]
 },
 "StepRequirements": {
  "Description": "Many-to-many Step/Requirement semantics normalized into an ERB junction table.",
  "important": false,
  "schema": [
   {
    "name": "StepRequirementId",
    "datatype": "string",
    "type": "raw",
    "nullable": false,
    "Description": "Stored logical identifier for one StepRequirements row."
   },
   {
    "name": "Name",
    "datatype": "string",
    "type": "calculated",
    "nullable": true,
    "Description": "Human-readable calculated display alias for the StepRequirements row.",
    "formula": "={{Step}} &amp; \" / \" &amp; {{Requirement}}"
   },
   {
    "name": "Step",
    "datatype": "string",
    "type": "relationship",
    "nullable": true,
    "Description": "Step side of the relationship.",
    "RelatedTo": "Steps"
   },
   {
    "name": "Requirement",
    "datatype": "string",
    "type": "relationship",
    "nullable": true,
    "Description": "Requirement side of the relationship.",
    "RelatedTo": "Requirements"
   },
   {
    "name": "RequirementIsBlocking",
    "datatype": "boolean",
    "type": "lookup",
    "nullable": true,
    "Description": "Whether this spec-side step/requirement binding names a blocking control.",
    "formula": "=INDEX(Requirements!{{IsBlocking}}, MATCH({{Requirement}}, Requirements!{{RequirementId}}, 0))"
   },
   {
    "name": "BlockingStepKey",
    "datatype": "string",
    "type": "calculated",
    "nullable": true,
    "Description": "Echoes the Step id only when the bound requirement is blocking; empty otherwise.",
    "formula": "=IF({{RequirementIsBlocking}}, {{Step}}, \"\")"
   },
   {
    "name": "StepWhenBlocking",
    "datatype": "string",
    "type": "calculated",
    "nullable": true,
    "Description": "Echoes the step id when the bound requirement is blocking, blank otherwise.",
    "formula": "=IF({{RequirementIsBlocking}}, {{Step}}, \"\")"
   },
   {
    "name": "RequirementLacksWitness",
    "datatype": "boolean",
    "type": "lookup",
    "nullable": true,
    "Description": "Whether the requirement bound at this step is a blocking control with no computed witness.",
    "formula": "=INDEX(Requirements!{{IsUnwitnessedBlockingControl}}, MATCH({{Requirement}}, Requirements!{{RequirementId}}, 0))"
   },
   {
    "name": "UnwitnessedStepKey",
    "datatype": "string",
    "type": "calculated",
    "nullable": true,
    "Description": "Echoes the step id when the requirement bound here has no computed witness.",
    "formula": "=IF({{RequirementLacksWitness}}, {{Step}}, \"\")"
   },
   {
    "name": "SatisfactionCountForBinding",
    "datatype": "number",
    "type": "aggregation",
    "nullable": true,
    "Description": "How many times this specific (step, requirement) binding has been evaluated in any execution.",
    "formula": "=COUNTIFS(RequirementSatisfactions!{{BindingKey}}, {{StepRequirementId}})"
   },
   {
    "name": "BindingWasEverExercised",
    "datatype": "boolean",
    "type": "calculated",
    "nullable": true,
    "Description": "TRUE when this specific (step, requirement) pair has been evaluated at least once.",
    "formula": "={{SatisfactionCountForBinding}} &gt; 0"
   },
   {
    "name": "IsUnexercisedBlockingBinding",
    "datatype": "boolean",
    "type": "calculated",
    "nullable": true,
    "Description": "TRUE for a blocking control bound to a step where it has never actually been evaluated.",
    "formula": "=AND({{RequirementIsBlocking}}, NOT({{BindingWasEverExercised}}))"
   },
   {
    "name": "UnexercisedBindingRequirementKey",
    "datatype": "string",
    "type": "calculated",
    "nullable": true,
    "Description": "Echoes the requirement id when this binding has never been exercised.",
    "formula": "=IF({{IsUnexercisedBlockingBinding}}, {{Requirement}}, \"\")"
   }
  ],
  "data": [
   {
    "StepRequirementId": "sr-c01",
    "Step": "close-01",
    "Requirement": "req-close-cutoff",
    "Name": "close-01 / req-close-cutoff",
    "RequirementIsBlocking": true,
    "BlockingStepKey": "close-01",
    "StepWhenBlocking": "close-01",
    "RequirementLacksWitness": false,
    "UnwitnessedStepKey": null,
    "SatisfactionCountForBinding": 0,
    "BindingWasEverExercised": false,
    "IsUnexercisedBlockingBinding": true,
    "UnexercisedBindingRequirementKey": "req-close-cutoff"
   },
   {
    "StepRequirementId": "sr-c03a",
    "Step": "close-03",
    "Requirement": "req-close-balance",
    "Name": "close-03 / req-close-balance",
    "RequirementIsBlocking": true,
    "BlockingStepKey": "close-03",
    "StepWhenBlocking": "close-03",
    "RequirementLacksWitness": false,
    "UnwitnessedStepKey": null,
    "SatisfactionCountForBinding": 0,
    "BindingWasEverExercised": false,
    "IsUnexercisedBlockingBinding": true,
    "UnexercisedBindingRequirementKey": "req-close-balance"
   },
   {
    "StepRequirementId": "sr-c03b",
    "Step": "close-03",
    "Requirement": "req-close-evidence",
    "Name": "close-03 / req-close-evidence",
    "RequirementIsBlocking": true,
    "BlockingStepKey": "close-03",
    "StepWhenBlocking": "close-03",
    "RequirementLacksWitness": false,
    "UnwitnessedStepKey": null,
    "SatisfactionCountForBinding": 0,
    "BindingWasEverExercised": false,
    "IsUnexercisedBlockingBinding": true,
    "UnexercisedBindingRequirementKey": "req-close-evidence"
   },
   {
    "StepRequirementId": "sr-c05",
    "Step": "close-05",
    "Requirement": "req-close-separation",
    "Name": "close-05 / req-close-separation",
    "RequirementIsBlocking": true,
    "BlockingStepKey": "close-05",
    "StepWhenBlocking": "close-05",
    "RequirementLacksWitness": false,
    "UnwitnessedStepKey": null,
    "SatisfactionCountForBinding": 0,
    "BindingWasEverExercised": false,
    "IsUnexercisedBlockingBinding": true,
    "UnexercisedBindingRequirementKey": "req-close-separation"
   },
   {
    "StepRequirementId": "sr-c06",
    "Step": "close-06",
    "Requirement": "req-close-human-approval",
    "Name": "close-06 / req-close-human-approval",
    "RequirementIsBlocking": true,
    "BlockingStepKey": "close-06",
    "StepWhenBlocking": "close-06",
    "RequirementLacksWitness": true,
    "UnwitnessedStepKey": "close-06",
    "SatisfactionCountForBinding": 0,
    "BindingWasEverExercised": false,
    "IsUnexercisedBlockingBinding": true,
    "UnexercisedBindingRequirementKey": "req-close-human-approval"
   },
   {
    "StepRequirementId": "sr-c08",
    "Step": "close-08",
    "Requirement": "req-close-evidence",
    "Name": "close-08 / req-close-evidence",
    "RequirementIsBlocking": true,
    "BlockingStepKey": "close-08",
    "StepWhenBlocking": "close-08",
    "RequirementLacksWitness": false,
    "UnwitnessedStepKey": null,
    "SatisfactionCountForBinding": 0,
    "BindingWasEverExercised": false,
    "IsUnexercisedBlockingBinding": true,
    "UnexercisedBindingRequirementKey": "req-close-evidence"
   },
   {
    "StepRequirementId": "sr-p03",
    "Step": "policy-03",
    "Requirement": "req-policy-source",
    "Name": "policy-03 / req-policy-source",
    "RequirementIsBlocking": true,
    "BlockingStepKey": "policy-03",
    "StepWhenBlocking": "policy-03",
    "RequirementLacksWitness": true,
    "UnwitnessedStepKey": "policy-03",
    "SatisfactionCountForBinding": 0,
    "BindingWasEverExercised": false,
    "IsUnexercisedBlockingBinding": true,
    "UnexercisedBindingRequirementKey": "req-policy-source"
   },
   {
    "StepRequirementId": "sr-p04",
    "Step": "policy-04",
    "Requirement": "req-policy-legal",
    "Name": "policy-04 / req-policy-legal",
    "RequirementIsBlocking": true,
    "BlockingStepKey": "policy-04",
    "StepWhenBlocking": "policy-04",
    "RequirementLacksWitness": true,
    "UnwitnessedStepKey": "policy-04",
    "SatisfactionCountForBinding": 0,
    "BindingWasEverExercised": false,
    "IsUnexercisedBlockingBinding": true,
    "UnexercisedBindingRequirementKey": "req-policy-legal"
   },
   {
    "StepRequirementId": "sr-p05",
    "Step": "policy-05",
    "Requirement": "req-policy-human-approval",
    "Name": "policy-05 / req-policy-human-approval",
    "RequirementIsBlocking": true,
    "BlockingStepKey": "policy-05",
    "StepWhenBlocking": "policy-05",
    "RequirementLacksWitness": true,
    "UnwitnessedStepKey": "policy-05",
    "SatisfactionCountForBinding": 0,
    "BindingWasEverExercised": false,
    "IsUnexercisedBlockingBinding": true,
    "UnexercisedBindingRequirementKey": "req-policy-human-approval"
   },
   {
    "StepRequirementId": "sr-p06",
    "Step": "policy-06",
    "Requirement": "req-policy-accessibility",
    "Name": "policy-06 / req-policy-accessibility",
    "RequirementIsBlocking": true,
    "BlockingStepKey": "policy-06",
    "StepWhenBlocking": "policy-06",
    "RequirementLacksWitness": true,
    "UnwitnessedStepKey": "policy-06",
    "SatisfactionCountForBinding": 0,
    "BindingWasEverExercised": false,
    "IsUnexercisedBlockingBinding": true,
    "UnexercisedBindingRequirementKey": "req-policy-accessibility"
   },
   {
    "StepRequirementId": "sr-p07a",
    "Step": "policy-07",
    "Requirement": "req-policy-consent",
    "Name": "policy-07 / req-policy-consent",
    "RequirementIsBlocking": true,
    "BlockingStepKey": "policy-07",
    "StepWhenBlocking": "policy-07",
    "RequirementLacksWitness": true,
    "UnwitnessedStepKey": "policy-07",
    "SatisfactionCountForBinding": 0,
    "BindingWasEverExercised": false,
    "IsUnexercisedBlockingBinding": true,
    "UnexercisedBindingRequirementKey": "req-policy-consent"
   },
   {
    "StepRequirementId": "sr-p07b",
    "Step": "policy-07",
    "Requirement": "req-policy-quiet-hours",
    "Name": "policy-07 / req-policy-quiet-hours",
    "RequirementIsBlocking": true,
    "BlockingStepKey": "policy-07",
    "StepWhenBlocking": "policy-07",
    "RequirementLacksWitness": true,
    "UnwitnessedStepKey": "policy-07",
    "SatisfactionCountForBinding": 0,
    "BindingWasEverExercised": false,
    "IsUnexercisedBlockingBinding": true,
    "UnexercisedBindingRequirementKey": "req-policy-quiet-hours"
   },
   {
    "StepRequirementId": "sr-p07c",
    "Step": "policy-07",
    "Requirement": "req-policy-optout",
    "Name": "policy-07 / req-policy-optout",
    "RequirementIsBlocking": true,
    "BlockingStepKey": "policy-07",
    "StepWhenBlocking": "policy-07",
    "RequirementLacksWitness": true,
    "UnwitnessedStepKey": "policy-07",
    "SatisfactionCountForBinding": 0,
    "BindingWasEverExercised": false,
    "IsUnexercisedBlockingBinding": true,
    "UnexercisedBindingRequirementKey": "req-policy-optout"
   },
   {
    "StepRequirementId": "sr-p07d",
    "Step": "policy-07",
    "Requirement": "req-policy-retention",
    "Name": "policy-07 / req-policy-retention",
    "RequirementIsBlocking": true,
    "BlockingStepKey": "policy-07",
    "StepWhenBlocking": "policy-07",
    "RequirementLacksWitness": true,
    "UnwitnessedStepKey": "policy-07",
    "SatisfactionCountForBinding": 0,
    "BindingWasEverExercised": false,
    "IsUnexercisedBlockingBinding": true,
    "UnexercisedBindingRequirementKey": "req-policy-retention"
   },
   {
    "StepRequirementId": "sr-p08",
    "Step": "policy-08",
    "Requirement": "req-policy-retention",
    "Name": "policy-08 / req-policy-retention",
    "RequirementIsBlocking": true,
    "BlockingStepKey": "policy-08",
    "StepWhenBlocking": "policy-08",
    "RequirementLacksWitness": true,
    "UnwitnessedStepKey": "policy-08",
    "SatisfactionCountForBinding": 0,
    "BindingWasEverExercised": false,
    "IsUnexercisedBlockingBinding": true,
    "UnexercisedBindingRequirementKey": "req-policy-retention"
   }
  ]
 },
 "StepVerifications": {
  "Description": "Verification definitions attached to steps. Maps to pko:StepVerification and pko:SignalVerification.",
  "important": false,
  "schema": [
   {
    "name": "StepVerificationId",
    "datatype": "string",
    "type": "raw",
    "nullable": false,
    "Description": "Stored logical identifier for one StepVerifications row."
   },
   {
    "name": "Name",
    "datatype": "string",
    "type": "calculated",
    "nullable": true,
    "Description": "Human-readable calculated display alias for the StepVerifications row.",
    "formula": "={{Step}} &amp; \" / \" &amp; {{VerificationKind}}"
   },
   {
    "name": "Step",
    "datatype": "string",
    "type": "relationship",
    "nullable": true,
    "Description": "Step whose execution is verified; maps to pko:hasStepVerification.",
    "RelatedTo": "Steps"
   },
   {
    "name": "VerificationKind",
    "datatype": "string",
    "type": "raw",
    "nullable": true,
    "Description": "SignalVerification, ApprovalVerification, ProvenanceVerification, or another documented kind."
   },
   {
    "name": "SignalIdentifier",
    "datatype": "string",
    "type": "raw",
    "nullable": true,
    "Description": "Signal or evidence key; maps to pko:signalIdentifier for signal verifications."
   },
   {
    "name": "ExpectedSignalValue",
    "datatype": "string",
    "type": "raw",
    "nullable": true,
    "Description": "Expected value; maps to pko:expectedSignalValue."
   },
   {
    "name": "Instruction",
    "datatype": "string",
    "type": "raw",
    "nullable": true,
    "Description": "How to verify the step."
   },
   {
    "name": "SemanticTypeIri",
    "datatype": "string",
    "type": "raw",
    "nullable": true,
    "Description": "Exact PKO or extension class IRI."
   }
  ],
  "data": [
   {
    "StepVerificationId": "verify-close-cutoff",
    "Step": "close-01",
    "VerificationKind": "SignalVerification",
    "SignalIdentifier": "ledger-lock-state",
    "ExpectedSignalValue": "LOCKED",
    "Instruction": "The ERP reports the close period locked.",
    "SemanticTypeIri": "https://w3id.org/pko#SignalVerification",
    "Name": "close-01 / SignalVerification"
   },
   {
    "StepVerificationId": "verify-feed-time",
    "Step": "close-02",
    "VerificationKind": "SignalVerification",
    "SignalIdentifier": "max-feed-age-minutes",
    "ExpectedSignalValue": "15",
    "Instruction": "All source feeds are no more than 15 minutes old.",
    "SemanticTypeIri": "https://w3id.org/pko#SignalVerification",
    "Name": "close-02 / SignalVerification"
   },
   {
    "StepVerificationId": "verify-reconciliation",
    "Step": "close-03",
    "VerificationKind": "SignalVerification",
    "SignalIdentifier": "unexplained-material-variance",
    "ExpectedSignalValue": "0",
    "Instruction": "No unexplained material variance remains.",
    "SemanticTypeIri": "https://w3id.org/pko#SignalVerification",
    "Name": "close-03 / SignalVerification"
   },
   {
    "StepVerificationId": "verify-controller",
    "Step": "close-05",
    "VerificationKind": "ApprovalVerification",
    "SignalIdentifier": "controller-approval",
    "ExpectedSignalValue": "APPROVED",
    "Instruction": "Controller approval record exists.",
    "SemanticTypeIri": "https://w3id.org/pko#StepVerification",
    "Name": "close-05 / ApprovalVerification"
   },
   {
    "StepVerificationId": "verify-cfo",
    "Step": "close-06",
    "VerificationKind": "ApprovalVerification",
    "SignalIdentifier": "cfo-approval",
    "ExpectedSignalValue": "APPROVED",
    "Instruction": "CFO approval record exists.",
    "SemanticTypeIri": "https://w3id.org/pko#StepVerification",
    "Name": "close-06 / ApprovalVerification"
   },
   {
    "StepVerificationId": "verify-policy-source",
    "Step": "policy-03",
    "VerificationKind": "ProvenanceVerification",
    "SignalIdentifier": "unapproved-source-count",
    "ExpectedSignalValue": "0",
    "Instruction": "Draft contains no unapproved source.",
    "SemanticTypeIri": "https://w3id.org/pko#StepVerification",
    "Name": "policy-03 / ProvenanceVerification"
   },
   {
    "StepVerificationId": "verify-legal",
    "Step": "policy-04",
    "VerificationKind": "ApprovalVerification",
    "SignalIdentifier": "legal-approval",
    "ExpectedSignalValue": "APPROVED",
    "Instruction": "Employment counsel approval exists.",
    "SemanticTypeIri": "https://w3id.org/pko#StepVerification",
    "Name": "policy-04 / ApprovalVerification"
   },
   {
    "StepVerificationId": "verify-policy-owner",
    "Step": "policy-05",
    "VerificationKind": "ApprovalVerification",
    "SignalIdentifier": "policy-owner-approval",
    "ExpectedSignalValue": "APPROVED",
    "Instruction": "Human policy-owner approval exists.",
    "SemanticTypeIri": "https://w3id.org/pko#StepVerification",
    "Name": "policy-05 / ApprovalVerification"
   },
   {
    "StepVerificationId": "verify-sms-consent",
    "Step": "policy-07",
    "VerificationKind": "SignalVerification",
    "SignalIdentifier": "sms-without-consent-count",
    "ExpectedSignalValue": "0",
    "Instruction": "No SMS recipient lacks active consent.",
    "SemanticTypeIri": "https://w3id.org/pko#SignalVerification",
    "Name": "policy-07 / SignalVerification"
   },
   {
    "StepVerificationId": "verify-quiet-hours",
    "Step": "policy-07",
    "VerificationKind": "SignalVerification",
    "SignalIdentifier": "quiet-hours-violation-count",
    "ExpectedSignalValue": "0",
    "Instruction": "No message was sent during quiet hours.",
    "SemanticTypeIri": "https://w3id.org/pko#SignalVerification",
    "Name": "policy-07 / SignalVerification"
   },
   {
    "StepVerificationId": "verify-ack",
    "Step": "policy-08",
    "VerificationKind": "SignalVerification",
    "SignalIdentifier": "unresolved-recipient-count",
    "ExpectedSignalValue": "0",
    "Instruction": "All recipients acknowledged or have an exception task.",
    "SemanticTypeIri": "https://w3id.org/pko#SignalVerification",
    "Name": "policy-08 / SignalVerification"
   }
  ]
 },
 "Rationales": {
  "Description": "First-class rationale statements explaining why procedural commitments and design decisions exist. Explicit ERB-PKO extension, represented as prov:Entity/dcat:Resource in projections.",
  "important": false,
  "schema": [
   {
    "name": "RationaleId",
    "datatype": "string",
    "type": "raw",
    "nullable": false,
    "Description": "Stored logical identifier for one Rationales row."
   },
   {
    "name": "Name",
    "datatype": "string",
    "type": "calculated",
    "nullable": true,
    "Description": "Human-readable calculated display alias for the Rationales row.",
    "formula": "={{Title}}"
   },
   {
    "name": "ProcedureVersion",
    "datatype": "string",
    "type": "relationship",
    "nullable": true,
    "Description": "Version justified by the rationale.",
    "RelatedTo": "ProcedureVersions"
   },
   {
    "name": "Step",
    "datatype": "string",
    "type": "relationship",
    "nullable": true,
    "Description": "Optional step justified by the rationale.",
    "RelatedTo": "Steps"
   },
   {
    "name": "Title",
    "datatype": "string",
    "type": "raw",
    "nullable": true,
    "Description": "Rationale title."
   },
   {
    "name": "Statement",
    "datatype": "string",
    "type": "raw",
    "nullable": true,
    "Description": "Reasoned explanation."
   },
   {
    "name": "Status",
    "datatype": "string",
    "type": "raw",
    "nullable": true,
    "Description": "Draft, Reviewed, Approved, or Superseded."
   },
   {
    "name": "AuthorityRole",
    "datatype": "string",
    "type": "relationship",
    "nullable": true,
    "Description": "Role authorized to approve the rationale.",
    "RelatedTo": "Roles"
   },
   {
    "name": "SemanticTypeIri",
    "datatype": "string",
    "type": "raw",
    "nullable": true,
    "Description": "Extension class IRI."
   }
  ],
  "data": [
   {
    "RationaleId": "rat-close-separation",
    "ProcedureVersion": "close-v1.1.0",
    "Step": "close-05",
    "Title": "Why the preparer cannot approve",
    "Statement": "Independent review prevents self-certification and makes accountability legible.",
    "Status": "Approved",
    "AuthorityRole": "controller",
    "SemanticTypeIri": "urn:effortless:pko-extension#Rationale",
    "Name": "Why the </t>
  </si>
  <si>
    <t xml:space="preserve">preparer cannot approve"
   },
   {
    "RationaleId": "rat-close-ai",
    "ProcedureVersion": "close-v1.1.0",
    "Step": "close-04",
    "Title": "Why AI ranks but does not close variances",
    "Statement": "The model accelerates triage; materiality, anomaly context, and acceptance remain human judgments.",
    "Status": "Approved",
    "AuthorityRole": "controller",
    "SemanticTypeIri": "urn:effortless:pko-extension#Rationale",
    "Name": "Why AI ranks but does not close variances"
   },
   {
    "RationaleId": "rat-policy-ai",
    "ProcedureVersion": "policy-v1.0.0",
    "Step": "policy-03",
    "Title": "Why AI may draft but not approve",
    "Statement": "Drafting is reversible assistance; legal and organizational commitments require human authority.",
    "Status": "Approved",
    "AuthorityRole": "hr-policy-owner",
    "SemanticTypeIri": "urn:effortless:pko-extension#Rationale",
    "Name": "Why AI may draft but not approve"
   },
   {
    "RationaleId": "rat-policy-multichannel",
    "ProcedureVersion": "policy-v1.0.0",
    "Step": "policy-07",
    "Title": "Why both email and SMS exist",
    "Statement": "Email carries complete policy context; consented SMS provides timely notice and a link without becoming the legal record.",
    "Status": "Approved",
    "AuthorityRole": "communications-manager",
    "SemanticTypeIri": "urn:effortless:pko-extension#Rationale",
    "Name": "Why both email and SMS exist"
   }
  ]
 },
 "Exceptions": {
  "Description": "Documented exceptions, fallbacks, and alternative handling. Aligns structurally with PKO fallback/alternative steps and requirements; the exception record itself is an ERB-PKO extension.",
  "important": false,
  "schema": [
   {
    "name": "ExceptionId",
    "datatype": "string",
    "type": "raw",
    "nullable": false,
    "Description": "Stored logical identifier for one Exceptions row."
   },
   {
    "name": "Name",
    "datatype": "string",
    "type": "calculated",
    "nullable": true,
    "Description": "Human-readable calculated display alias for the Exceptions row.",
    "formula": "={{Condition}}"
   },
   {
    "name": "ProcedureVersion",
    "datatype": "string",
    "type": "relationship",
    "nullable": true,
    "Description": "Procedure version containing the exception.",
    "RelatedTo": "ProcedureVersions"
   },
   {
    "name": "TriggerStep",
    "datatype": "string",
    "type": "relationship",
    "nullable": true,
    "Description": "Step at which the exception becomes relevant.",
    "RelatedTo": "Steps"
   },
   {
    "name": "Condition",
    "datatype": "string",
    "type": "raw",
    "nullable": true,
    "Description": "Exception condition."
   },
   {
    "name": "Handling",
    "datatype": "string",
    "type": "raw",
    "nullable": true,
    "Description": "Required handling and guardrails."
   },
   {
    "name": "ApprovalRole",
    "datatype": "string",
    "type": "relationship",
    "nullable": true,
    "Description": "Role that approves use of the exception.",
    "RelatedTo": "Roles"
   },
   {
    "name": "FallbackRole",
    "datatype": "string",
    "type": "relationship",
    "nullable": true,
    "Description": "Role or function that executes fallback handling.",
    "RelatedTo": "Roles"
   },
   {
    "name": "Status",
    "datatype": "string",
    "type": "raw",
    "nullable": true,
    "Description": "Active, Draft, Retired, or Superseded."
   },
   {
    "name": "ActiveExceptionStepKey",
    "datatype": "string",
    "type": "calculated",
    "nullable": true,
    "Description": "Echoes the TriggerStep id only for exceptions currently in Active status.",
    "formula": "=IF({{Status}} = \"Active\", {{TriggerStep}}, \"\")"
   },
   {
    "name": "SemanticTypeIri",
    "datatype": "string",
    "type": "raw",
    "nullable": true,
    "Description": "Extension class IRI."
   }
  ],
  "data": [
   {
    "ExceptionId": "exc-cfo-unavailable",
    "ProcedureVersion": "close-v1.1.0",
    "TriggerStep": "close-06",
    "Condition": "CFO unavailable during close",
    "Handling": "Delegate approval to the formally designated Acting CFO; never to the preparer.",
    "ApprovalRole": "cfo",
    "FallbackRole": "controller",
    "Status": "Active",
    "SemanticTypeIri": "urn:effortless:pko-extension#Exception",
    "Name": "CFO unavailable during close",
    "ActiveExceptionStepKey": "close-06"
   },
   {
    "ExceptionId": "exc-ledger-outage",
    "ProcedureVersion": "close-v1.1.0",
    "TriggerStep": "close-02",
    "Condition": "ERP source unavailable",
    "Handling": "Use a digitally signed, timestamped snapshot and open a blocking incident; do not silently substitute a spreadsheet.",
    "ApprovalRole": "controller",
    "FallbackRole": "close-automation",
    "Status": "Active",
    "SemanticTypeIri": "urn:effortless:pko-extension#Exception",
    "Name": "ERP source unavailable",
    "ActiveExceptionStepKey": "close-02"
   },
   {
    "ExceptionId": "exc-no-sms-consent",
    "ProcedureVersion": "policy-v1.0.0",
    "TriggerStep": "policy-07",
    "Condition": "Recipient lacks SMS consent",
    "Handling": "Suppress SMS and send approved email only.",
    "ApprovalRole": "hr-policy-owner",
    "FallbackRole": "notification-publisher",
    "Status": "Active",
    "SemanticTypeIri": "urn:effortless:pko-extension#Exception",
    "Name": "Recipient lacks SMS consent",
    "ActiveExceptionStepKey": "policy-07"
   },
   {
    "ExceptionId": "exc-unreachable",
    "ProcedureVersion": "policy-v1.0.0",
    "TriggerStep": "policy-08",
    "Condition": "Recipient unreachable",
    "Handling": "Create an HR case and route to the employee's manager without marking acknowledgement complete.",
    "ApprovalRole": "hr-policy-owner",
    "FallbackRole": "process-steward",
    "Status": "Active",
    "SemanticTypeIri": "urn:effortless:pko-extension#Exception",
    "Name": "Recipient unreachable",
    "ActiveExceptionStepKey": "policy-08"
   }
  ]
 },
 "Resources": {
  "Description": "Documents, datasets, APIs, templates, images, manuals, and operational records referenced by procedures. Maps to dcat:Resource.",
  "important": true,
  "schema": [
   {
    "name": "ResourceId",
    "datatype": "string",
    "type": "raw",
    "nullable": false,
    "Description": "Stored logical identifier for one Resources row."
   },
   {
    "name": "Name",
    "datatype": "string",
    "type": "calculated",
    "nullable": true,
    "Description": "Human-readable calculated display alias for the Resources row.",
    "formula": "={{Title}}"
   },
   {
    "name": "Title",
    "datatype": "string",
    "type": "raw",
    "nullable": true,
    "Description": "Resource title; maps to dcterms:title."
   },
   {
    "name": "ResourceKind",
    "datatype": "string",
    "type": "raw",
    "nullable": true,
    "Description": "Document, Dataset, API, Template, OperationalRecord, Image, Video, or another declared type."
   },
   {
    "name": "ExternalUri",
    "datatype": "string",
    "type": "raw",
    "nullable": true,
    "Description": "Resolvable or organization-internal resource identifier."
   },
   {
    "name": "CreatedAt",
    "datatype": "datetime",
    "type": "raw",
    "nullable": true,
    "Description": "Creation time; maps to dcterms:created."
   },
   {
    "name": "ModifiedAt",
    "datatype": "datetime",
    "type": "raw",
    "nullable": true,
    "Description": "Modification time; maps to dcterms:modified."
   },
   {
    "name": "Description",
    "datatype": "string",
    "type": "raw",
    "nullable": true,
    "Description": "Resource description; maps to dcterms:description."
   },
   {
    "name": "ApprovalStatus",
    "datatype": "string",
    "type": "raw",
    "nullable": true,
    "Description": "Approved, Draft, Deprecated, or Unvetted."
   },
   {
    "name": "IsApprovedSource",
    "datatype": "boolean",
    "type": "calculated",
    "nullable": true,
    "Description": "TRUE when this resource is an approved source.",
    "formula": "={{ApprovalStatus}} = \"Approved\""
   },
   {
    "name": "SemanticTypeIri",
    "datatype": "string",
    "type": "raw",
    "nullable": true,
    "Description": "Exact semantic class IRI."
   }
  ],
  "data": [
   {
    "ResourceId": "res-close-sop-pdf",
    "Title": "Quarter-End Close SOP PDF",
    "ResourceKind": "Document",
    "ExternalUri": "doc://finance/close-sop-v1.0",
    "CreatedAt": "2025-10-01T09:00:00-05:00",
    "ModifiedAt": "2026-04-01T09:00:00-05:00",
    "Description": "Controlled source document from which the initial procedure was extracted.",
    "SemanticTypeIri": "http://www.w3.org/ns/dcat#Resource",
    "Name": "Quarter-End Close SOP PDF",
    "IsApprovedSource": false
   },
   {
    "ResourceId": "res-erp-api",
    "Title": "ERP Ledger API",
    "ResourceKind": "API",
    "ExternalUri": "api://erp/general-ledger/v3",
    "CreatedAt": "2026-01-01T00:00:00-06:00",
    "ModifiedAt": "2026-07-19T08:00:00-05:00",
    "Description": "Live operational ledger and timestamp source.",
    "SemanticTypeIri": "http://www.w3.org/ns/dcat#Resource",
    "Name": "ERP Ledger API",
    "IsApprovedSource": false
   },
   {
    "ResourceId": "res-close-checklist",
    "Title": "Close Control Checklist",
    "ResourceKind": "Checklist",
    "ExternalUri": "doc://finance/close-checklist-v1.1",
    "CreatedAt": "2026-04-15T09:00:00-05:00",
    "ModifiedAt": "2026-07-02T15:00:00-05:00",
    "Description": "Approved close evidence checklist.",
    "SemanticTypeIri": "http://www.w3.org/ns/dcat#Resource",
    "Name": "Close Control Checklist",
    "IsApprovedSource": false
   },
   {
    "ResourceId": "res-policy-source",
    "Title": "Approved Workforce Policy Source",
    "ResourceKind": "Document",
    "ExternalUri": "doc://people/policy-remote-work-v3",
    "CreatedAt": "2026-06-01T09:00:00-05:00",
    "ModifiedAt": "2026-07-18T16:30:00-05:00",
    "Description": "Approved policy text and change rationale.",
    "SemanticTypeIri": "http://www.w3.org/ns/dcat#Resource",
    "Name": "Approved Workforce Policy Source",
    "IsApprovedSource": false
   },
   {
    "ResourceId": "res-consent-registry",
    "Title": "Employee Communication Consent Registry",
    "ResourceKind": "Dataset",
    "ExternalUri": "data://hr/communication-consent",
    "CreatedAt": "2026-03-01T00:00:00-06:00",
    "ModifiedAt": "2026-07-19T11:45:00-05:00",
    "Description": "Live channel consent and preference data.",
    "SemanticTypeIri": "http://www.w3.org/ns/dcat#Resource",
    "Name": "Employee Communication Consent Registry",
    "IsApprovedSource": false
   },
   {
    "ResourceId": "res-email-template",
    "Title": "Employee Policy Email Template",
    "ResourceKind": "Template",
    "ExternalUri": "template://people/policy-email-v2",
    "CreatedAt": "2026-06-01T09:00:00-05:00",
    "ModifiedAt": "2026-07-18T16:30:00-05:00",
    "Description": "Approved full-context email template.",
    "SemanticTypeIri": "http://www.w3.org/ns/dcat#Resource",
    "Name": "Employee Policy Email Template",
    "IsApprovedSource": false
   },
   {
    "ResourceId": "res-sms-template",
    "Title": "Employee Policy SMS Template",
    "ResourceKind": "Template",
    "ExternalUri": "template://people/policy-sms-v2",
    "CreatedAt": "2026-06-01T09:00:00-05:00",
    "ModifiedAt": "2026-07-18T16:30:00-05:00",
    "Description": "Approved SMS template with opt-out text.",
    "SemanticTypeIri": "http://www.w3.org/ns/dcat#Resource",
    "Name": "Employee Policy SMS Template",
    "IsApprovedSource": false
   },
   {
    "ResourceId": "res-change-ticket",
    "Title": "Policy Change Ticket HR-4821",
    "ResourceKind": "OperationalRecord",
    "ExternalUri": "ticket://hr/HR-4821",
    "CreatedAt": "2026-07-18T09:00:00-05:00",
    "ModifiedAt": "2026-07-19T10:30:00-05:00",
    "Description": "Operational record that initiated and tracks the policy change.",
    "SemanticTypeIri": "http://www.w3.org/ns/dcat#Resource",
    "Name": "Policy Change Ticket HR-4821",
    "IsApprovedSource": false
   }
  ]
 },
 "ProcedureResources": {
  "Description": "Links versioned procedures to supporting resources using PKO/dcterms provenance relations.",
  "important": false,
  "schema": [
   {
    "name": "ProcedureResourceId",
    "datatype": "string",
    "type": "raw",
    "nullable": false,
    "Description": "Stored logical identifier for one ProcedureResources row."
   },
   {
    "name": "Name",
    "datatype": "string",
    "type": "calculated",
    "nullable": true,
    "Description": "Human-readable calculated display alias for the ProcedureResources row.",
    "formula": "={{ProcedureVersion}} &amp; \" / \" &amp; {{Resource}}"
   },
   {
    "name": "ProcedureVersion",
    "datatype": "string",
    "type": "relationship",
    "nullable": true,
    "Description": "Procedure version.",
    "RelatedTo": "ProcedureVersions"
   },
   {
    "name": "Resource",
    "datatype": "string",
    "type": "relationship",
    "nullable": true,
    "Description": "Referenced or source resource.",
    "RelatedTo": "Resources"
   },
   {
    "name": "Relation",
    "datatype": "string",
    "type": "raw",
    "nullable": true,
    "Description": "wasExtractedFrom, references, generated, used, or another declared relation."
   },
   {
    "name": "RelationIri",
    "datatype": "string",
    "type": "calculated",
    "nullable": true,
    "Description": "Exact semantic property IRI for the relation.",
    "formula": "=IF({{Relation}} = \"wasExtractedFrom\", \"https://w3id.org/pko#wasExtractedFrom\", \"http://purl.org/dc/terms/references\")"
   }
  ],
  "data": [
   {
    "ProcedureResourceId": "pr-close-source",
    "ProcedureVersion": "close-v1.1.0",
    "Resource": "res-close-sop-pdf",
    "Relation": "wasExtractedFrom",
    "Name": "close-v1.1.0 / res-close-sop-pdf",
    "RelationIri": "https://w3id.org/pko#wasExtractedFrom"
   },
   {
    "ProcedureResourceId": "pr-close-api",
    "ProcedureVersion": "close-v1.1.0",
    "Resource": "res-erp-api",
    "Relation": "references",
    "Name": "close-v1.1.0 / res-erp-api",
    "RelationIri": "http://purl.org/dc/terms/references"
   },
   {
    "ProcedureResourceId": "pr-close-check",
    "ProcedureVersion": "close-v1.1.0",
    "Resource": "res-close-checklist",
    "Relation": "references",
    "Name": "close-v1.1.0 / res-close-checklist",
    "RelationIri": "http://purl.org/dc/terms/references"
   },
   {
    "ProcedureResourceId": "pr-policy-source",
    "ProcedureVersion": "policy-v1.0.0",
    "Resource": "res-policy-source",
    "Relation": "wasExtractedFrom",
    "Name": "policy-v1.0.0 / res-policy-source",
    "RelationIri": "https://w3id.org/pko#wasExtractedFrom"
   },
   {
    "ProcedureResourceId": "pr-policy-consent",
    "ProcedureVersion": "policy-v1.0.0",
    "Resource": "res-consent-registry",
    "Relation": "references",
    "Name": "policy-v1.0.0 / res-consent-registry",
    "RelationIri": "http://purl.org/dc/terms/references"
   },
   {
    "ProcedureResourceId": "pr-policy-email",
    "ProcedureVersion": "policy-v1.0.0",
    "Resource": "res-email-template",
    "Relation": "references",
    "Name": "policy-v1.0.0 / res-email-template",
    "RelationIri": "http://purl.org/dc/terms/references"
   },
   {
    "ProcedureResourceId": "pr-policy-sms",
    "ProcedureVersion": "policy-v1.0.0",
    "Resource": "res-sms-template",
    "Relation": "references",
    "Name": "policy-v1.0.0 / res-sms-template",
    "RelationIri": "http://purl.org/dc/terms/references"
   },
   {
    "ProcedureResourceId": "pr-policy-ticket",
    "ProcedureVersion": "policy-v1.0.0",
    "Resource": "res-change-ticket",
    "Relation": "references",
    "Name": "policy-v1.0.0 / res-change-ticket",
    "RelationIri": "http://purl.org/dc/terms/references"
   }
  ]
 },
 "ElicitationSessions": {
  "Description": "Structured knowledge-elicitation events involving practitioners and knowledge engineers. Explicit ERB-PKO extension, modeled as prov:Activity.",
  "important": false,
  "schema": [
   {
    "name": "ElicitationSessionId",
    "datatype": "string",
    "type": "raw",
    "nullable": false,
    "Description": "Stored logical identifier for one ElicitationSessions row."
   },
   {
    "name": "Name",
    "datatype": "string",
    "type": "calculated",
    "nullable": true,
    "Description": "Human-readable calculated display alias for the ElicitationSessions row.",
    "formula": "={{Method}} &amp; \" / \" &amp; {{StartedAt}}"
   },
   {
    "name": "ProcedureVersion",
    "datatype": "string",
    "type": "relationship",
    "nullable": true,
    "Description": "Procedure version whose knowledge was elicited.",
    "RelatedTo": "ProcedureVersions"
   },
   {
    "name": "Method",
    "datatype": "string",
    "type": "raw",
    "nullable": true,
    "Description": "Interview, shadowing, workshop, observation, document analysis, or another method."
   },
   {
    "name": "StartedAt",
    "datatype": "datetime",
    "type": "raw",
    "nullable": true,
    "Description": "Start time; maps to prov:startedAtTime."
   },
   {
    "name": "EndedAt",
    "datatype": "datetime",
    "type": "raw",
    "nullable": true,
    "Description": "End time; maps to prov:endedAtTime."
   },
   {
    "name": "PractitionerAgent",
    "datatype": "string",
    "type": "relationship",
    "nullable": true,
    "Description": "Domain practitioner providing knowledge.",
    "RelatedTo": "Agents"
   },
   {
    "name": "FacilitatorAgent",
    "datatype": "string",
    "type": "relationship",
    "nullable": true,
    "Description": "Person facilitating elicitation.",
    "RelatedTo": "Agents"
   },
   {
    "name": "Summary",
    "datatype": "string",
    "type": "raw",
    "nullable": true,
    "Description": "What was learned and captured."
   },
   {
    "name": "Status",
    "datatype": "string",
    "type": "raw",
    "nullable": true,
    "Description": "Draft, Reviewed, Approved, or Rejected."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"DaysSinceElicited",
    "datatype": "integer",
    "type": "calculated",
    "nullable": true,
    "Description": "Days elapsed since this elicitation session concluded.",
    "formula": "=DATETIME_DIFF({{AsOfInstant}}, {{EndedAt}}, \"days\")"
   },
   {
    "name": "IsSingleWitnessMethod",
    "datatype": "boolean",
    "type": "calculated",
    "nullable": true,
    "Description": "TRUE when this session captured one practitioner's account rather than a group's.",
    "formula": "=OR({{Method}} = \"Shadowing\", {{Method}} = \"PractitionerInterview\")"
   },
   {
    "name": "PractitionerIsStillEngaged",
    "datatype": "boolean",
    "type": "lookup",
    "nullable": true,
    "Description": "Whether the practitioner whose knowledge this session captured still holds a role here.",
    "formula": "=INDEX(Agents!{{IsStillEngaged}}, MATCH({{PractitionerAgent}}, Agents!{{AgentId}}, 0))"
   },
   {
    "name": "ValidFragmentsProduced",
    "datatype": "number",
    "type": "aggregation",
    "nullable": true,
    "Description": "How many currently-valid knowledge fragments this one session produced.",
    "formula": "=COUNTIFS(KnowledgeFragments!{{ValidFragmentSessionKey}}, {{ElicitationSessionId}})"
   },
   {
    "name": "IsHighYieldSession",
    "datatype": "boolean",
    "type": "calculated",
    "nullable": true,
    "Description": "A session that alone underwrites three or more currently-valid claims.",
    "formula": "={{ValidFragmentsProduced}} &gt;= 3"
   },
   {
    "name": "IsConcentratedSingleWitness",
    "datatype": "boolean",
    "type": "calculated",
    "nullable": true,
    "Description": "One unrepeated session with one witness that underwrites three or more live claims.",
    "formula": "=AND({{IsSingleWitnessMethod}}, {{IsHighYieldSession}})"
   },
   {
    "name": "IsStaleConcentratedWitness",
    "datatype": "boolean",
    "type": "calculated",
    "nullable": true,
    "Description": "A concentrated single-witness session more than 180 days old — matching the single-witness expiry horizon loop 1 already established.",
    "formula": "=AND({{IsConcentratedSingleWitness}}, {{DaysSinceElicited}} &gt; 180)"
   },
   {
    "name": "ConcentratedSessionVersionKey",
    "datatype": "string",
    "type": "calculated",
    "nullable": true,
    "Description": "Composite-key echo: this session's procedure version when the session is a concentrated single witness, blank otherwise.",
    "formula": "=IF({{IsConcentratedSingleWitness}}, {{ProcedureVersion}}, \"\")"
   },
   {
    "name": "SemanticTypeIri",
    "datatype": "string",
    "type": "raw",
    "nullable": true,
    "Description": "Class IRI used in semantic projection."
   }
  ],
  "data": [
   {
    "ElicitationSessionId": "elicit-close-shadow",
    "ProcedureVersion": "close-v1.1.0",
    "Method": "Shadowing",
    "StartedAt": "2026-04-03T09:00:00-05:00",
    "EndedAt": "2026-04-03T12:00:00-05:00",
    "PractitionerAgent": "devon-okafor",
    "FacilitatorAgent": "maria-chen",
    "Summary": "Observed actual variance investigation and captured timestamp-related failure mode.",
    "Status": "Approved",
    "SemanticTypeIri": "http://www.w3.org/ns/prov#Activity",
    "EvaluationContext": "eval-current",
    "Name": "Shadowing / 2026-04-03T14:00:00+00:00",
    "AsOfInstant": "2026-07-19T13:00:00-05:00",
    "DaysSinceElicited": 107,
    "IsSingleWitnessMethod": true,
    "PractitionerIsStillEngaged": true,
    "ValidFragmentsProduced": 3,
    "IsHighYieldSession": true,
    "IsConcentratedSingleWitness": true,
    "IsStaleConcentratedWitness": false,
    "ConcentratedSessionVersionKey": "close-v1.1.0"
   },
   {
    "ElicitationSessionId": "elicit-policy-workshop",
    "ProcedureVersion": "policy-v1.0.0",
    "Method": "FacilitatedWorkshop",
    "StartedAt": "2026-05-10T10:00:00-05:00",
    "EndedAt": "2026-05-10T14:00:00-05:00",
    "PractitionerAgent": "elena-garcia",
    "FacilitatorAgent": "amina-yusuf",
    "Summary": "Mapped policy drafting, legal review, channel constraints, and acknowledgement exceptions.",
    "Status": "Approved",
    "SemanticTypeIri": "http://www.w3.org/ns/prov#Activity",
    "EvaluationContext": "eval-current",
    "Name": "FacilitatedWorkshop / 2026-05-10T15:00:00+00:00",
    "AsOfInstant": "2026-07-19T13:00:00-05:00",
    "DaysSinceElicited": 70,
    "IsSingleWitnessMethod": false,
    "PractitionerIsStillEngaged": true,
    "ValidFragmentsProduced": 1,
    "IsHighYieldSession": false,
    "IsConcentratedSingleWitness": false,
    "IsStaleConcentratedWitness": false,
    "ConcentratedSessionVersionKey": null
   },
   {
    "ElicitationSessionId": "elicit-policy-interview",
    "ProcedureVersion": "policy-v1.0.0",
    "Method": "PractitionerInterview",
    "StartedAt": "2026-05-12T13:00:00-05:00",
    "EndedAt": "2026-05-12T14:30:00-05:00",
    "PractitionerAgent": "noah-williams",
    "FacilitatorAgent": "elena-garcia",
    "Summary": "Captured legal rationale and the boundary between AI drafting and human commitment.",
    "Status": "Approved",
    "SemanticTypeIri": "http://www.w3.org/ns/prov#Activity",
    "EvaluationContext": "eval-current",
    "Name": "PractitionerInterview / 2026-05-12T18:00:00+00:00",
    "AsOfInstant": "2026-07-19T13:00:00-05:00",
    "DaysSinceElicited": 68,
    "IsSingleWitnessMethod": true,
    "PractitionerIsStillEngaged": true,
    "ValidFragmentsProduced": 1,
    "IsHighYieldSession": false,
    "IsConcentratedSingleWitness": false,
    "IsStaleConcentratedWitness": false,
    "ConcentratedSessionVersionKey": null
   }
  ]
 },
 "KnowledgeFragments": {
  "Description": "Explicit records of tacit, implicit, explicit, and situated procedural knowledge. This is an ERB-PKO extension represented as provenance-bearing dcat:Resource instances.",
  "important": true,
  "schema": [
   {
    "name": "KnowledgeFragmentId",
    "datatype": "string",
    "type": "raw",
    "nullable": false,
    "Description": "Stored logical identifier for one KnowledgeFragments row."
   },
   {
    "name": "Name",
    "datatype": "string",
    "type": "calculated",
    "nullable": true,
    "Description": "Human-readable calculated display alias for the KnowledgeFragments row.",
    "formula": "={{KnowledgeForm}} &amp; \": \" &amp; LEFT({{Statement}}, 60)"
   },
   {
    "name": "ProcedureVersion",
    "datatype": "string",
    "type": "relationship",
    "nullable": true,
    "Description": "Procedure version informed by the fragment.",
    "RelatedTo": "ProcedureVersions"
   },
   {
    "name": "Step",
    "datatype": "string",
    "type": "relationship",
    "nullable": true,
    "Description": "Optional step to which the fragment applies.",
    "RelatedTo": "Steps"
   },
   {
    "name": "KnowledgeForm",
    "datatype": "string",
    "type": "raw",
    "nullable": true,
    "Description": "Tacit, Implicit, Explicit, SituatedJudgment, LessonLearned, or another declared form."
   },
   {
    "name": "Statement",
    "datatype": "string",
    "type": "raw",
    "nullable": true,
    "Description": "Captured knowledge statement."
   },
   {
    "name": "ElicitationSession",
    "datatype": "string",
    "type": "relationship",
    "nullable": true,
    "Description": "Optional elicitation session that produced the fragment.",
    "RelatedTo": "ElicitationSessions"
   },
   {
    "name": "SourceAgent",
    "datatype": "string",
    "type": "relationship",
    "nullable": true,
    "Description": "Practitioner or source agent.",
    "RelatedTo": "Agents"
   },
   {
    "name": "Confidence",
    "datatype": "string",
    "type": "raw",
    "nullable": true,
    "Description": "Low, Medium, or High confidence."
   },
   {
    "name": "ValidFrom",
    "datatype": "datetime",
    "type": "raw",
    "nullable": true,
    "Description": "Start of the fragment's valid-time interval."
   },
   {
    "name": "ValidTo",
    "datatype": "datetime",
    "type": "raw",
    "nullable": true,
    "Description": "End of the fragment's valid-time interval."
   },
   {
    "name": "Status",
    "datatype": "string",
    "type": "raw",
    "nullable": true,
    "Description": "Draft, Reviewed, Approved, Rejected, or Superseded."
   },
   {
    "name": "OwnerRole",
    "datatype": "string",
    "type": "relationship",
    "nullable": true,
    "Description": "Role accountable for maintaining the fragment.",
    "RelatedTo": "Roles"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"IsCurrentlyValid",
    "datatype": "boolean",
    "type": "calculated",
    "nullable": true,
    "Description": "TRUE when the fragment is approved and valid now.",
    "formula": "=AND({{ValidFrom}} &lt;= {{AsOfInstant}}, OR({{ValidTo}} = \"\", {{ValidTo}} &gt; {{AsOfInstant}}), {{Status}} = \"Approved\")"
   },
   {
    "name": "SourceAgentIsStillEngaged",
    "datatype": "boolean",
    "type": "lookup",
    "nullable": true,
    "Description": "Whether the agent who is the source of this claim still holds a role here.",
    "formula": "=INDEX(Agents!{{IsStillEngaged}}, MATCH({{SourceAgent}}, Agents!{{AgentId}}, 0))"
   },
   {
    "name": "SourceAgentKind",
    "datatype": "string",
    "type": "lookup",
    "nullable": true,
    "Description": "Whether the source of this claim is a Human, an AIAgent, or an AutomatedPipeline.",
    "formula": "=INDEX(Agents!{{AgentKind}}, MATCH({{SourceAgent}}, Agents!{{AgentId}}, 0))"
   },
   {
    "name": "HasHumanSource",
    "datatype": "boolean",
    "type": "calculated",
    "nullable": true,
    "Description": "TRUE when the claim originates from a human practitioner rather than software.",
    "formula": "={{SourceAgentKind}} = \"Human\""
   },
   {
    "name": "HasOrphanedProvenance",
    "datatype": "boolean",
    "type": "calculated",
    "nullable": true,
    "Description": "TRUE when we still rely on this claim but the agent who gave it to us no longer holds a role here.",
    "formula": "=AND({{IsCurrentlyValid}}, NOT({{SourceAgentIsStillEngaged}}))"
   },
   {
    "name": "IsUndefendableTacitClaim",
    "datatype": "boolean",
    "type": "calculated",
    "nullable": true,
    "Description": "TRUE when an orphaned claim is of a kind that lives in a person's head rather than in a document.",
    "formula": "=AND({{HasOrphanedProvenance}}, OR({{KnowledgeForm}} = \"Tacit\", {{KnowledgeForm}} = \"SituatedJudgment\"))"
   },
   {
    "name": "IsApproved",
    "datatype": "boolean",
    "type": "calculated",
    "nullable": true,
    "Description": "TRUE when this claim has passed knowledge-authority approval.",
    "formula": "={{Status}} = \"Approved\""
   },
   {
    "name": "IsWithinValidityWindow",
    "datatype": "boolean",
    "type": "calculated",
    "nullable": true,
    "Description": "TRUE when this claim's stated validity window contains the present moment.",
    "formula": "=AND({{ValidFrom}} &lt;= {{AsOfInstant}}, OR({{ValidTo}} = \"\", {{ValidTo}} &gt; {{AsOfInstant}}))"
   },
   {
    "name": "IsReliedUpon",
    "datatype": "boolean",
    "type": "calculated",
    "nullable": true,
    "Description": "TRUE when this claim is attached to a specific step and is inside its validity window — i.e. it is operationally in play.",
    "formula": "=AND({{Step}} &lt;&gt; \"\", {{IsWithinValidityWindow}})"
   },
   {
    "name": "StepProcedureVersionStatus",
    "datatype": "string",
    "type": "lookup",
    "nullable": true,
    "Description": "The procedure version owning the step this claim is attached to.",
    "formula": "=INDEX(Steps!{{ProcedureVersion}}, MATCH({{Step}}, Steps!{{StepId}}, 0))"
   },
   {
    "name": "IsAttachedToLiveVersion",
    "datatype": "boolean",
    "type": "lookup",
    "nullable": true,
    "Description": "Whether the procedure version this claim belongs to is currently executable.",
    "formula": "=INDEX(ProcedureVersions!{{IsLive}}, MATCH({{ProcedureVersion}}, ProcedureVersions!{{ProcedureVersionId}}, 0))"
   },
   {
    "name": "IsUnapprovedButReliedOn",
    "datatype": "boolean",
    "type": "calculated",
    "nullable": true,
    "Description": "TRUE when a live procedure is acting on a claim that has not been approved by the knowledge authority.",
    "formula": "=AND({{IsReliedUpon}}, {{IsAttachedToLiveVersion}}, NOT({{IsApproved}}))"
   },
   {
    "name": "EvidenceAgeDays",
    "datatype": "integer",
    "type": "lookup",
    "nullable": true,
    "Description": "Age in days of the elicitation session this claim came from.",
    "formula": "=INDEX(ElicitationSessions!{{DaysSinceElicited}}, MATCH({{ElicitationSession}}, ElicitationSessions!{{ElicitationSessionId}}, 0))"
   },
   {
    "name": "HasRecordedElicitation",
    "datatype": "boolean",
    "type": "calculated",
    "nullable": true,
    "Description": "TRUE when this claim traces to a recorded elicitation session.",
    "formula": "={{ElicitationSession}} &lt;&gt; \"\""
   },
   {
    "name": "IsFromSingleWitness",
    "datatype": "boolean",
    "type": "lookup",
    "nullable": true,
    "Description": "Whether this claim rests on a single practitioner's account.",
    "formula": "=INDEX(ElicitationSessions!{{IsSingleWitnessMethod}}, MATCH({{ElicitationSession}}, ElicitationSessions!{{ElicitationSessionId}}, 0))"
   },
   {
    "name": "EvidenceExpiryDays",
    "datatype": "integer",
    "type": "calculated",
    "nullable": true,
    "Description": "How many days this claim's evidence is trusted for, given how it was gathered.",
    "formula": "=IF({{IsFromSingleWitness}}, 180, 365)"
   },
   {
    "name": "EvidenceHasExpired",
    "datatype": "boolean",
    "type": "calculated",
    "nullable": true,
    "Description": "TRUE when the evidence behind this claim is older than we trust evidence of its kind to be.",
</t>
  </si>
  <si>
    <t xml:space="preserve">    "formula": "=AND({{HasRecordedElicitation}}, {{EvidenceAgeDays}} &gt; {{EvidenceExpiryDays}})"
   },
   {
    "name": "OwnerAgent",
    "datatype": "string",
    "type": "lookup",
    "nullable": true,
    "Description": "The agent currently holding the role that owns this claim.",
    "formula": "=INDEX(Roles!{{CurrentAgent}}, MATCH({{OwnerRole}}, Roles!{{RoleId}}, 0))"
   },
   {
    "name": "IsAwaitingApproval",
    "datatype": "boolean",
    "type": "calculated",
    "nullable": true,
    "Description": "TRUE when this claim has been reviewed but not yet approved.",
    "formula": "={{Status}} = \"Reviewed\""
   },
   {
    "name": "OwnerIsMe",
    "datatype": "boolean",
    "type": "calculated",
    "nullable": true,
    "Description": "TRUE when the People Policy Owner role owns this claim.",
    "formula": "={{OwnerRole}} = \"hr-policy-owner\""
   },
   {
    "name": "IsMyUnfinishedApproval",
    "datatype": "boolean",
    "type": "calculated",
    "nullable": true,
    "Description": "TRUE when a claim I own has been reviewed and is waiting on my approval.",
    "formula": "=AND({{OwnerIsMe}}, {{IsAwaitingApproval}})"
   },
   {
    "name": "IsInvokedByAnException",
    "datatype": "integer",
    "type": "aggregation",
    "nullable": true,
    "Description": "How many documented exception handlers trigger on the same step this claim is attached to.",
    "formula": "=COUNTIFS(Exceptions!{{TriggerStep}}, KnowledgeFragments!{{Step}})"
   },
   {
    "name": "HasOperationalReliance",
    "datatype": "boolean",
    "type": "calculated",
    "nullable": true,
    "Description": "TRUE when an exception handler exists on the step this claim governs.",
    "formula": "={{IsInvokedByAnException}} &gt; 0"
   },
   {
    "name": "IsUnapprovedAndOperationallyLive",
    "datatype": "boolean",
    "type": "calculated",
    "nullable": true,
    "Description": "TRUE when a claim awaiting my approval is already being acted on through a documented exception path.",
    "formula": "=AND({{IsMyUnfinishedApproval}}, {{HasOperationalReliance}})"
   },
   {
    "name": "AgeDays",
    "datatype": "integer",
    "type": "calculated",
    "nullable": true,
    "Description": "Days since this claim became valid.",
    "formula": "=DATETIME_DIFF({{AsOfInstant}}, {{ValidFrom}}, \"days\")"
   },
   {
    "name": "IsLowConfidence",
    "datatype": "boolean",
    "type": "calculated",
    "nullable": true,
    "Description": "TRUE when this claim was recorded with less than high confidence.",
    "formula": "=OR({{Confidence}} = \"Medium\", {{Confidence}} = \"Low\")"
   },
   {
    "name": "OwningVersionCadenceDays",
    "datatype": "integer",
    "type": "lookup",
    "nullable": true,
    "Description": "The review cadence promised for the version this claim supports.",
    "formula": "=INDEX(ProcedureVersions!{{StewardReviewCadenceDays}}, MATCH({{ProcedureVersion}}, ProcedureVersions!{{ProcedureVersionId}}, 0))"
   },
   {
    "name": "ExceedsOwningCadence",
    "datatype": "boolean",
    "type": "calculated",
    "nullable": true,
    "Description": "TRUE when this claim is older than the review cadence promised for the version it supports.",
    "formula": "={{AgeDays}} &gt; {{OwningVersionCadenceDays}}"
   },
   {
    "name": "IsAgingLowConfidenceClaim",
    "datatype": "boolean",
    "type": "calculated",
    "nullable": true,
    "Description": "TRUE when a claim we were never sure about has also outlived its version's review cadence.",
    "formula": "=AND({{ExceedsOwningCadence}}, {{IsLowConfidence}})"
   },
   {
    "name": "OwnerRoleAgentKind",
    "datatype": "string",
    "type": "lookup",
    "nullable": true,
    "Description": "Agent kind of whoever currently holds the role that owns this knowledge fragment.",
    "formula": "=INDEX(Roles!{{CurrentAgentKind}}, MATCH({{OwnerRole}}, Roles!{{RoleId}}, 0))"
   },
   {
    "name": "IsHumanOwned",
    "datatype": "boolean",
    "type": "calculated",
    "nullable": true,
    "Description": "TRUE when the owning role is currently held by a human.",
    "formula": "={{OwnerRoleAgentKind}} = \"Human\""
   },
   {
    "name": "IsAiValidatedByAi",
    "datatype": "boolean",
    "type": "calculated",
    "nullable": true,
    "Description": "TRUE when knowledge came from a non-human source AND is owned by a non-human-held role.",
    "formula": "=AND(NOT({{SourceAgentKind}} = \"Human\"), NOT({{IsHumanOwned}}))"
   },
   {
    "name": "ReviewCadenceDays",
    "datatype": "integer",
    "type": "lookup",
    "nullable": true,
    "Description": "The review cadence promised for the procedure version this fragment supports, resolved via ProcedureVersions because INDEX/MATCH only matches a target primary key.",
    "formula": "=INDEX(ProcedureVersions!{{StewardReviewCadenceDays}}, MATCH({{ProcedureVersion}}, ProcedureVersions!{{ProcedureVersionId}}, 0))"
   },
   {
    "name": "IsOverdueForReview",
    "datatype": "boolean",
    "type": "calculated",
    "nullable": true,
    "Description": "TRUE when a currently-valid fragment has gone longer than its stewardship cadence without review.",
    "formula": "=AND({{IsCurrentlyValid}}, {{AgeDays}} &gt; {{ReviewCadenceDays}})"
   },
   {
    "name": "PredatesCurrentRoleHolder",
    "datatype": "boolean",
    "type": "calculated",
    "nullable": true,
    "Description": "TRUE when this knowledge became valid before the current holder of its owning role took the role.",
    "formula": "=AND({{OwnerRoleAgentKind}} &lt;&gt; \"\", {{ValidFrom}} &lt; {{OwnerRoleAssignmentValidFrom}})"
   },
   {
    "name": "OwnerRoleAssignmentValidFrom",
    "datatype": "datetime",
    "type": "lookup",
    "nullable": true,
    "Description": "When the current holder of the owning role took that role.",
    "formula": "=INDEX(Roles!{{CurrentAssignmentValidFrom}}, MATCH({{OwnerRole}}, Roles!{{RoleId}}, 0))"
   },
   {
    "name": "LastReviewedAt",
    "datatype": "datetime",
    "type": "raw",
    "nullable": true,
    "Description": "When this fragment was last actually reviewed and reaffirmed by its owning role. Null when it has never been reviewed since authoring. IsOverdueForReview infers recency from ValidFrom, which records when the claim became TRUE, not when anyone last looked at it. Those are different events, and the inference is deliberately left in place under its own name rather than silently rewritten to fall back on this column."
   },
   {
    "name": "FragilitySignalCount",
    "datatype": "integer",
    "type": "calculated",
    "nullable": true,
    "Description": "How many of the four loop-1 decay signals are simultaneously true for this fragment: single witness, overdue for review, low confidence, operational reliance.",
    "formula": "=IF({{IsFromSingleWitness}}, 1, 0) + IF({{IsOverdueForReview}}, 1, 0) + IF({{IsLowConfidence}}, 1, 0) + IF({{HasOperationalReliance}}, 1, 0)"
   },
   {
    "name": "IsCompoundFragile",
    "datatype": "boolean",
    "type": "calculated",
    "nullable": true,
    "Description": "A fragment carrying at least three of the four decay signals at once.",
    "formula": "={{FragilitySignalCount}} &gt;= 3"
   },
   {
    "name": "IsSinglePointOfFailure",
    "datatype": "boolean",
    "type": "calculated",
    "nullable": true,
    "Description": "A claim that rests on exactly one person's word and that an active exception handler actually routes cases against.",
    "formula": "=AND({{IsFromSingleWitness}}, {{HasOperationalReliance}})"
   },
   {
    "name": "IsExpiringSinglePointOfFailure",
    "datatype": "boolean",
    "type": "calculated",
    "nullable": true,
    "Description": "A single-sourced, operationally relied-upon claim that is also past its review date.",
    "formula": "=AND({{IsSinglePointOfFailure}}, {{IsOverdueForReview}})"
   },
   {
    "name": "CompoundFragileVersionKey",
    "datatype": "string",
    "type": "calculated",
    "nullable": true,
    "Description": "Composite-key echo: this fragment's procedure version when the fragment is compound-fragile, blank otherwise.",
    "formula": "=IF({{IsCompoundFragile}}, {{ProcedureVersion}}, \"\")"
   },
   {
    "name": "ValidFragmentSessionKey",
    "datatype": "string",
    "type": "calculated",
    "nullable": true,
    "Description": "Composite-key echo: the elicitation session behind this fragment when the fragment is currently valid, blank otherwise.",
    "formula": "=IF({{IsCurrentlyValid}}, {{ElicitationSession}}, \"\")"
   },
   {
    "name": "ConsumingStepIsSoftwareAssigned",
    "datatype": "boolean",
    "type": "lookup",
    "nullable": true,
    "Description": "Whether the step that consumes this fragment is assigned to an AI agent or an automated pipeline.",
    "formula": "=INDEX(Steps!{{IsSoftwareAssigned}}, MATCH({{Step}}, Steps!{{StepId}}, 0))"
   },
   {
    "name": "ConsumingStepAgentKind",
    "datatype": "string",
    "type": "lookup",
    "nullable": true,
    "Description": "The kind of agent currently holding the role assigned to the step that consumes this fragment.",
    "formula": "=INDEX(Steps!{{AssignedAgentKind}}, MATCH({{Step}}, Steps!{{StepId}}, 0))"
   },
   {
    "name": "IsUnapprovedAndMachineConsumed",
    "datatype": "boolean",
    "type": "calculated",
    "nullable": true,
    "Description": "An unapproved claim that a software-assigned step actually relies on — executed literally, with no human in position to notice it is wrong.",
    "formula": "=AND({{IsUnapprovedButReliedOn}}, {{ConsumingStepIsSoftwareAssigned}})"
   },
   {
    "name": "IsUnapprovedAndHumanConsumed",
    "datatype": "boolean",
    "type": "calculated",
    "nullable": true,
    "Description": "An unapproved claim relied on by a human-assigned step — a reviewable risk rather than a silent one.",
    "formula": "=AND({{IsUnapprovedButReliedOn}}, NOT({{ConsumingStepIsSoftwareAssigned}}))"
   },
   {
    "name": "MachineConsumedUnapprovedVersionKey",
    "datatype": "string",
    "type": "calculated",
    "nullable": true,
    "Description": "Composite-key echo: this fragment's procedure version when the fragment is unapproved and machine-consumed, blank otherwise.",
    "formula": "=IF({{IsUnapprovedAndMachineConsumed}}, {{ProcedureVersion}}, \"\")"
   },
   {
    "name": "HasReviewRecord",
    "datatype": "boolean",
    "type": "calculated",
    "nullable": true,
    "Description": "Whether this fragment has ever had an actual review recorded, as opposed to merely having a ValidFrom date.",
    "formula": "={{LastReviewedAt}} &lt;&gt; \"\""
   },
   {
    "name": "DaysSinceActualReview",
    "datatype": "integer",
    "type": "calculated",
    "nullable": true,
    "Description": "Days elapsed since this fragment was last actually reviewed. Zero when no review has ever been recorded — read this only alongside HasReviewRecord, never on its own.",
    "formula": "=IF({{HasReviewRecord}}, DATETIME_DIFF({{AsOfInstant}}, {{LastReviewedAt}}, \"days\"), 0)"
   },
   {
    "name": "IsUnreviewedSinceAuthoring",
    "datatype": "boolean",
    "type": "calculated",
    "nullable": true,
    "Description": "A currently-valid claim that nobody has ever reviewed since it was written.",
    "formula": "=AND({{IsCurrentlyValid}}, NOT({{HasReviewRecord}}))"
   },
   {
    "name": "IsGenuinelyOverdue",
    "datatype": "boolean",
    "type": "calculated",
    "nullable": true,
    "Description": "A valid claim whose LAST ACTUAL REVIEW is older than the cadence its owning version promised.",
    "formula": "=AND({{IsCurrentlyValid}}, {{HasReviewRecord}}, {{DaysSinceActualReview}} &gt; {{ReviewCadenceDays}})"
   },
   {
    "name": "ReviewRecencyIsInferred",
    "datatype": "boolean",
    "type": "calculated",
    "nullable": true,
    "Description": "A fragment reported overdue by the loop-1 inference purely because no review has ever been recorded — the number is an artifact of missing data, not evidence of neglect.",
    "formula": "=AND({{IsOverdueForReview}}, NOT({{HasReviewRecord}}))"
   },
   {
    "name": "InferenceDisagreesWithRecord",
    "datatype": "boolean",
    "type": "calculated",
    "nullable": true,
    "Description": "A fragment the ValidFrom inference calls overdue but which was in fact reviewed inside its cadence — a false positive in the loop-1 predicate, now provable.",
    "formula": "=AND({{HasReviewRecord}}, {{IsOverdueForReview}}, NOT({{IsGenuinelyOverdue}}))"
   },
   {
    "name": "GenuinelyOverdueVersionKey",
    "datatype": "string",
    "type": "calculated",
    "nullable": true,
    "Description": "Composite-key echo: this fragment's procedure version when the fragment is genuinely overdue, blank otherwise.",
    "formula": "=IF({{IsGenuinelyOverdue}}, {{ProcedureVersion}}, \"\")"
   },
   {
    "name": "RatifiedBoundaryCount",
    "datatype": "number",
    "type": "aggregation",
    "nullable": true,
    "Description": "How many currently-binding authority boundaries this fragment ratifies.",
    "formula": "=COUNTIFS(AuthorityBoundaries!{{RatifyingFragmentKey}}, {{KnowledgeFragmentId}})"
   },
   {
    "name": "RelianceSurfaceCount",
    "datatype": "integer",
    "type": "calculated",
    "nullable": true,
    "Description": "Total number of distinct downstream dependents on this claim: exception handlers plus ratified authority boundaries.",
    "formula": "={{IsInvokedByAnException}} + {{RatifiedBoundaryCount}}"
   },
   {
    "name": "DaysAwaitingMyApproval",
    "datatype": "integer",
    "type": "calculated",
    "nullable": true,
    "Description": "How long a claim of mine has been sitting at Reviewed without my approval. Zero when the claim is not mine or is already decided.",
    "formula": "=IF({{IsMyUnfinishedApproval}}, DATETIME_DIFF({{AsOfInstant}}, {{ValidFrom}}, \"days\"), 0)"
   },
   {
    "name": "IsHighBlastRadiusUnapproved",
    "datatype": "boolean",
    "type": "calculated",
    "nullable": true,
    "Description": "An unapproved, operationally live claim of mine with more than one distinct downstream dependent.",
    "formula": "=AND({{IsUnapprovedAndOperationallyLive}}, {{RelianceSurfaceCount}} &gt; 1)"
   },
   {
    "name": "IsLongUnapproved",
    "datatype": "boolean",
    "type": "calculated",
    "nullable": true,
    "Description": "A claim that has waited on my signature for more than thirty days.",
    "formula": "=AND({{IsMyUnfinishedApproval}}, {{DaysAwaitingMyApproval}} &gt; 30)"
   },
   {
    "name": "UnapprovedLoadBearingVersionKey",
    "datatype": "string",
    "type": "calculated",
    "nullable": true,
    "Description": "Composite-key echo: this fragment's procedure version when it is a high-blast-radius unapproved claim, blank otherwise.",
    "formula": "=IF({{IsHighBlastRadiusUnapproved}}, {{ProcedureVersion}}, \"\")"
   },
   {
    "name": "OwnerRoleIsVacated",
    "datatype": "boolean",
    "type": "lookup",
    "nullable": true,
    "Description": "Whether the role that owns this claim is currently vacated.",
    "formula": "=INDEX(Roles!{{IsVacatedRole}}, MATCH({{OwnerRole}}, Roles!{{RoleId}}, 0))"
   },
   {
    "name": "IsOrphanedByRole",
    "datatype": "boolean",
    "type": "calculated",
    "nullable": true,
    "Description": "A currently-valid claim whose owning role nobody holds — accountable to a vacancy.",
    "formula": "=AND({{IsCurrentlyValid}}, {{OwnerRoleIsVacated}})"
   },
   {
    "name": "ValidFragmentVersionKey",
    "datatype": "string",
    "type": "calculated",
    "nullable": true,
    "Description": "Composite-key echo: this fragment's owning procedure version when the fragment is currently valid, blank otherwise.",
    "formula": "=IF({{IsCurrentlyValid}}, {{ProcedureVersion}}, \"\")"
   },
   {
    "name": "SemanticTypeIri",
    "datatype": "string",
    "type": "raw",
    "nullable": true,
    "Description": "Extension class IRI."
   }
  ],
  "data": [
   {
    "KnowledgeFragmentId": "kf-close-fx-time",
    "ProcedureVersion": "close-v1.1.0",
    "Step": "close-04",
    "KnowledgeForm": "Tacit",
    "Statement": "When FX variance spikes near a daylight-saving cutover, compare each feed's source timestamp before investigating economics.",
    "ElicitationSession": "elicit-close-shadow",
    "SourceAgent": "devon-okafor",
    "Confidence": "High",
    "ValidFrom": "2026-04-03T12:00:00-05:00",
    "ValidTo": null,
    "Status": "Approved",
    "OwnerRole": "controller",
    "SemanticTypeIri": "urn:effortless:pko-extension#KnowledgeFragment",
    "EvaluationContext": "eval-current",
    "LastReviewedAt": "2026-07-02T16:00:00-05:00",
    "Name": "Tacit: When FX variance spikes near a daylight-saving cutover, comp",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"EvidenceAgeDays": 107,
    "HasRecordedElicitation": true,
    "IsFromSingleWitness": true,
    "EvidenceExpiryDays": 180,
    "EvidenceHasExpired": false,
    "OwnerAgent": "devon-okafor",
    "IsAwaitingApproval": false,
    "OwnerIsMe": false,
    "IsMyUnfinishedApproval": false,
    "IsInvokedByAnException": 0,
    "HasOperationalReliance": false,
    "IsUnapprovedAndOperationallyLive": false,
    "AgeDays": 107,
    "IsLowConfidence": false,
    "OwningVersionCadenceDays": 90,
    "ExceedsOwningCadence": true,
    "IsAgingLowConfidenceClaim": false,
    "OwnerRoleAgentKind": "Human",
    "IsHumanOwned": true,
    "IsAiValidatedByAi": false,
    "ReviewCadenceDays": 90,
    "IsOverdueForReview": true,
    "PredatesCurrentRoleHolder": false,
    "OwnerRoleAssignmentValidFrom": "2026-01-01T00:00:00-06:00",
    "FragilitySignalCount": 2,
    "IsCompoundFragile": false,
    "IsSinglePointOfFailure": false,
    "IsExpiringSinglePointOfFailure": false,
    "CompoundFragileVersionKey": null,
    "ValidFragmentSessionKey": "elicit-close-shadow",
    "ConsumingStepIsSoftwareAssigned": true,
    "ConsumingStepAgentKind": "AIAgent",
    "IsUnapprovedAndMachineConsumed": false,
    "IsUnapprovedAndHumanConsumed": false,
    "MachineConsumedUnapprovedVersionKey": null,
    "HasReviewRecord": true,
    "DaysSinceActualReview": 17,
    "IsUnreviewedSinceAuthoring": false,
    "IsGenuinelyOverdue": false,
    "ReviewRecencyIsInferred": false,
    "InferenceDisagreesWithRecord": true,
    "GenuinelyOverdueVersionKey": null,
    "RatifiedBoundaryCount": 0,
    "RelianceSurfaceCount": 0,
    "DaysAwaitingMyApproval": 0,
    "IsHighBlastRadiusUnapproved": false,
    "IsLongUnapproved": false,
    "UnapprovedLoadBearingVersionKey": null,
    "OwnerRoleIsVacated": false,
    "IsOrphanedByRole": false,
    "ValidFragmentVersionKey": "close-v1.1.0"
   },
   {
    "KnowledgeFragmentId": "kf-close-top-ten",
    "ProcedureVersion": "close-v1.1.0",
    "Step": "close-04",
    "KnowledgeForm": "Implicit",
    "Statement": "The controller normally reviews the ten largest unexplained variances even when each is below the individual materiality threshold.",
    "ElicitationSession": "elicit-close-shadow",
    "SourceAgent": "devon-okafor",
    "Confidence": "Medium",
    "ValidFrom": "2026-04-03T12:00:00-05:00",
    "ValidTo": null,
    "Status": "Approved",
    "OwnerRole": "controller",
    "SemanticTypeIri": "urn:effortless:pko-extension#KnowledgeFragment",
    "EvaluationContext": "eval-current",
    "LastReviewedAt": "2026-07-02T16:00:00-05:00",
    "Name": "Implicit: The controller normally reviews the ten largest unexplained ",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"EvidenceAgeDays": 107,
    "HasRecordedElicitation": true,
    "IsFromSingleWitness": true,
    "EvidenceExpiryDays": 180,
    "EvidenceHasExpired": false,
    "OwnerAgent": "devon-okafor",
    "IsAwaitingApproval": false,
    "OwnerIsMe": false,
    "IsMyUnfinishedApproval": false,
    "IsInvokedByAnException": 0,
    "HasOperationalReliance": false,
    "IsUnapprovedAndOperationallyLive": false,
    "AgeDays": 107,
    "IsLowConfidence": true,
    "OwningVersionCadenceDays": 90,
    "ExceedsOwningCadence": true,
    "IsAgingLowConfidenceClaim": true,
    "OwnerRoleAgentKind": "Human",
    "IsHumanOwned": true,
    "IsAiValidatedByAi": false,
    "ReviewCadenceDays": 90,
    "IsOverdueForReview": true,
    "PredatesCurrentRoleHolder": false,
    "OwnerRoleAssignmentValidFrom": "2026-01-01T00:00:00-06:00",
    "FragilitySignalCount": 3,
    "IsCompoundFragile": true,
    "IsSinglePointOfFailure": false,
    "IsExpiringSinglePointOfFailure": false,
    "CompoundFragileVersionKey": "close-v1.1.0",
    "ValidFragmentSessionKey": "elicit-close-shadow",
    "ConsumingStepIsSoftwareAssigned": true,
    "ConsumingStepAgentKind": "AIAgent",
    "IsUnapprovedAndMachineConsumed": false,
    "IsUnapprovedAndHumanConsumed": false,
    "MachineConsumedUnapprovedVersionKey": null,
    "HasReviewRecord": true,
    "DaysSinceActualReview": 17,
    "IsUnreviewedSinceAuthoring": false,
    "IsGenuinelyOverdue": false,
    "ReviewRecencyIsInferred": false,
    "InferenceDisagreesWithRecord": true,
    "GenuinelyOverdueVersionKey": null,
    "RatifiedBoundaryCount": 0,
    "RelianceSurfaceCount": 0,
    "DaysAwaitingMyApproval": 0,
    "IsHighBlastRadiusUnapproved": false,
    "IsLongUnapproved": false,
    "UnapprovedLoadBearingVersionKey": null,
    "OwnerRoleIsVacated": false,
    "IsOrphanedByRole": false,
    "ValidFragmentVersionKey": "close-v1.1.0"
   },
   {
    "KnowledgeFragmentId": "kf-close-retention",
    "ProcedureVersion": "close-v1.1.0",
    "Step": "close-08",
    "KnowledgeForm": "Explicit",
    "Statement": "Close evidence is retained for seven years and must remain linked to the execution that produced it.",
    "ElicitationSession": null,
    "SourceAgent": "devon-okafor",
    "Confidence": "High",
    "ValidFrom": "2026-04-15T09:00:00-05:00",
    "ValidTo": null,
    "Status": "Approved",
    "OwnerRole": "controller",
    "SemanticTypeIri": "urn:effortless:pko-extension#KnowledgeFragment",
    "EvaluationContext": "eval-current",
    "LastReviewedAt": null,
    "Name": "Explicit: Close evidence is retained for seven years and must remain l",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"HasRecordedElicitation": false,
    "EvidenceExpiryDays": 365,
    "EvidenceHasExpired": false,
    "OwnerAgent": "devon-okafor",
    "IsAwaitingApproval": false,
    "OwnerIsMe": false,
    "IsMyUnfinishedApproval": false,
    "IsInvokedByAnException": 0,
    "HasOperationalReliance": false,
    "IsUnapprovedAndOperationallyLive": false,
    "AgeDays": 95,
    "IsLowConfidence": false,
    "OwningVersionCadenceDays": 90,
    "ExceedsOwningCadence": true,
    "IsAgingLowConfidenceClaim": false,
    "OwnerRoleAgentKind": "Human",
    "IsHumanOwned": true,
    "IsAiValidatedByAi": false,
    "ReviewCadenceDays": 90,
    "IsOverdueForReview": true,
    "PredatesCurrentRoleHolder": false,
    "OwnerRoleAssignmentValidFrom": "2026-01-01T00:00:00-06:00",
    "FragilitySignalCount": 1,
    "IsCompoundFragile": false,
    "IsSinglePointOfFailure": false,
    "IsExpiringSinglePointOfFailure": false,
    "CompoundFragileVersionKey": null,
    "ConsumingStepIsSoftwareAssigned": false,
    "ConsumingStepAgentKind": "Human",
    "IsUnapprovedAndMachineConsumed": false,
    "IsUnapprovedAndHumanConsumed": false,
    "MachineConsumedUnapprovedVersionKey": null,
    "HasReviewRecord": false,
    "DaysSinceActualReview": 0,
    "IsUnreviewedSinceAuthoring": true,
    "IsGenuinelyOverdue": false,
    "ReviewRecencyIsInferred": true,
    "InferenceDisagreesWithRecord": false,
    "GenuinelyOverdueVersionKey": null,
    "RatifiedBoundaryCount": 0,
    "RelianceSurfaceCount": 0,
    "DaysAwaitingMyApproval": 0,
    "IsHighBlastRadiusUnapproved": false,
    "IsLongUnapproved": false,
    "UnapprovedLoadBearingVersionKey": null,
    "OwnerRoleIsVacated": false,
    "IsOrphanedByRole": false,
    "ValidFragmentVersionKey": "close-v1.1.0",
    "EvidenceAgeDays": null,
    "IsFromSingleWitness": false,
    "ValidFragmentSessionKey": null
   },
   {
    "KnowledgeFragmentId": "kf-close-judgment",
    "ProcedureVersion": "close-v1.1.0",
    "Step": "close-04",
    "KnowledgeForm": "SituatedJudgment",
    "Statement": "Escalate a variance when its pattern is anomalous or recurring, even if the net amount is below the numeric threshold.",
    "ElicitationSession": "elicit-close-shadow",
    "SourceAgent": "devon-okafor",
    "Confidence": "High",
    "ValidFrom": "2026-04-03T12:00:00-05:00",
    "ValidTo": null,
    "Status": "Approved",
    "OwnerRole": "controller",
    "SemanticTypeIri": "urn:effortless:pko-extension#KnowledgeFragment",
    "EvaluationContext": "eval-current",
    "LastReviewedAt": null,
    "Name": "SituatedJudgment: Escalate a variance when its pattern is anomalous or recurri",
    "AsOfInstant": "2026-07-19T13:00:00-05:00",
    "IsCurrentlyValid": true,
    "SourceAgentIsStillEngaged": true,
    "SourceAgentKind": "Human",
    "HasHumanSource": true,
    "HasOrphanedProvenance": false,
    "IsUndefendableTacitClaim": false,
    "IsApproved": true,
    "IsWithinValidityWindow": true,
    "IsReliedUpon": true,
    "StepProcedureVersionStatus": "close-v1.1.0",
    "IsAttachedToLiveVersion": true,
    "IsUnapprovedButReliedOn": false,
    "EvidenceAgeDays": 107,
    "HasRecordedElicitation": true,
    "IsFromSingleWitness": true,
    "EvidenceExpiryDays": 180,
    "EvidenceHasExpired": false,
    "OwnerAgent": "devon-okafor",
    "IsAwaitingApproval": false,
    "OwnerIsMe": false,
    "IsMyUnfinishedApproval": false,
    "IsInvokedByAnException": 0,
    "HasOperationalReliance": false,
    "IsUnapprovedAndOperationallyLive": false,
    "AgeDays": 107,
    "IsLowConfidence": false,
    "OwningVersionCadenceDays": 90,
    "ExceedsOwningCadence": true,
    "IsAgingLowConfidenceClaim": false,
    "OwnerRoleAgentKind": "Human",
    "IsHumanOwned": true,
    "IsAiValidatedByAi": false,
    "ReviewCadenceDays": 90,
    "IsOverdueForReview": true,
    "PredatesCurrentRoleHolder": false,
    "OwnerRoleAssignmentValidFrom": "2026-01-01T00:00:00-06:00",
    "FragilitySignalCount": 2,
    "IsCompoundFragile": false,
    "IsSinglePointOfFailure": false,
    "IsExpiringSinglePointOfFailure": false,
    "CompoundFragileVersionKey": null,
    "ValidFragmentSessionKey": "elicit-close-shadow",
    "ConsumingStepIsSoftwareAssigned": true,
    "ConsumingStepAgentKind": "AIAgent",
    "IsUnapprovedAndMachineConsumed": false,
    "IsUnapprovedAndHumanConsumed": false,
    "MachineConsumedUnapprovedVersionKey": null,
    "HasReviewRecord": false,
    "DaysSinceActualReview": 0,
    "IsUnreviewedSinceAuthoring": true,
    "IsGenuinelyOverdue": false,
    "ReviewRecencyIsInferred": true,
    "InferenceDisagreesWithRecord": false,
    "GenuinelyOverdueVersionKey": null,
    "RatifiedBoundaryCount": 1,
    "RelianceSurfaceCount": 1,
    "DaysAwaitingMyApproval": 0,
    "IsHighBlastRadiusUnapproved": false,
    "IsLongUnapproved": false,
    "UnapprovedLoadBearingVersionKey": null,
    "OwnerRoleIsVacated": false,
    "IsOrphanedByRole": false,
    "ValidFragmentVersionKey": "close-v1.1.0"
   },
   {
    "KnowledgeFragmentId": "kf-policy-ai-boundary",
    "ProcedureVersion": "policy-v1.0.0",
    "Step": "policy-03",
    "KnowledgeForm": "Explicit",
    "Statement": "AI may draft from approved sources but may not create new legal commitments or approve meaning.",
    "ElicitationSession": "elicit-policy-interview",
    "SourceAgent": "noah-williams",
    "Confidence": "High",
    "ValidFrom": "2026-05-12T14:30:00-05:00",
    "ValidTo": null,
    "Status": "Approved",
    "OwnerRole": "employment-counsel",
    "SemanticTypeIri": "urn:effortless:pko-extension#KnowledgeFragment",
    "EvaluationContext": "eval-current",
    "LastReviewedAt": null,
    "Name": "Explicit: AI may draft from approved sources but may not create new le",
    "AsOfInstant": "2026-07-19T13:00:00-05:00",
    "IsCurrentlyValid": true,
    "SourceAgentIsStillEngaged": true,
    "SourceAgentKind": "Human",
    "HasHumanSource": true,
    "HasOrphanedProvenance": false,
    "IsUndefendableTacitClaim": false,
    "IsApproved": true,
    "IsWithinValidityWindow": true,
    "IsReliedUpon": true,
    "StepProcedureVersionStatus": "policy-v1.0.0",
    "IsAttachedToLiveVersion": true,
    "IsUnapprovedButReliedOn": false,
    "EvidenceAgeDays": 68,
    "HasRecordedElicitation": true,
    "IsFromSingleWitness": true,
    "EvidenceExpiryDays": 180,
    "EvidenceHasExpired": false,
    "OwnerAgent": "noah-williams",
    "IsAwaitingApproval": false,
    "OwnerIsMe": false,
    "IsMyUnfinishedApproval": false,
    "IsInvokedByAnException": 0,
    "HasOperationalReliance": false,
    "IsUnapprovedAndOperationallyLive": false,
    "AgeDays": 68,
    "IsLowConfidence": false,
    "OwningVersionCadenceDays": 60,
    "ExceedsOwningCadence": true,
    "IsAgingLowConfidenceClaim": false,
    "OwnerRoleAgentKind": "Human",
    "IsHumanOwned": true,
    "IsAiValidatedByAi": false,
    "ReviewCadenceDays": 60,
    "IsOverdueForReview": true,
    "PredatesCurrentRoleHolder": false,
    "OwnerRoleAssignmentValidFrom": "2026-01-15T00:00:00-06:00",
    "FragilitySignalCount": 2,
    "IsCompoundFragile": false,
    "IsSinglePointOfFailure": false,
    "IsExpiringSinglePointOfFailure": false,
    "CompoundFragileVersionKey": null,
    "ValidFragmentSessionKey": "elicit-policy-interview",
    "ConsumingStepIsSoftwareAssigned": true,
    "ConsumingStepAgentKind": "AIAgent",
    "IsUnapprovedAndMachineConsumed": false,
    "IsUnapprovedAndHumanConsumed": false,
    "MachineConsumedUnapprovedVersionKey": null,
    "HasReviewRecord": false,
    "DaysSinceActualReview": 0,
    "IsUnreviewedSinceAuthoring": true,
    "IsGenuinelyOverdue": false,
    "ReviewRecencyIsInferred": true,
    "InferenceDisagreesWithRecord": false,
    "GenuinelyOverdueVersionKey": null,
    "RatifiedBoundaryCount": 1,
    "RelianceSurfaceCount": 1,
    "DaysAwaitingMyApproval": 0,
    "IsHighBlastRadiusUnapproved": false,
    "IsLongUnapproved": false,
    "UnapprovedLoadBearingVersionKey": null,
    "OwnerRoleIsVacated": false,
    "IsOrphanedByRole": false,
    "ValidFragmentVersionKey": "policy-v1.0.0"
   },
   {
    "KnowledgeFragmentId": "kf-policy-channel",
    "ProcedureVersion": "policy-v1.0.0",
    "Step": "policy-07",
    "KnowledgeForm": "Tacit",
    "Statement": "Employees respond faster to concise SMS notices, but disputes are resolved against the complete approved email and policy record.",
    "ElicitationSession": "elicit-policy-workshop",
    "SourceAgent": "amina-yusuf",
    "Confidence": "High",
    "ValidFrom": "2026-05-10T14:00:00-05:00",
    "ValidTo": null,
    "Status": "Approved",
    "OwnerRole": "communications-manager",
    "SemanticTypeIri": "urn:effortless:pko-extension#KnowledgeFragment",
    "EvaluationContext": "eval-current",
    "LastReviewedAt": "2026-07-18T16:00:00-05:00",
    "Name": "Tacit: Employees respond faster to concise SMS notices, but dispute",
    "AsOfInstant": "2026-07-19T13:00:00-05:00",
    "IsCurrentlyValid": true,
    "SourceAgentIsStillEngaged": true,
    "SourceAgentKind": "Human",
    "HasHumanSource": true,
    "HasOrphanedProvenance": false,
    "IsUndefendableTacitClaim": false,
    "IsApproved": true,
    "IsWithinValidityWindow": true,
    "IsReliedUpon": true,
    "StepProcedureVersionStatus": "policy-v1.0.0",
    "IsAttachedToLiveVersion": true,
    "IsUnapprovedButReliedOn": false,
    "EvidenceAgeDays": 70,
    "HasRecordedElicitation": true,
    "IsFromSingleWitness": false,
    "EvidenceExpiryDays": 365,
    "EvidenceHasExpired": false,
    "OwnerAgent": "amina-yusuf",
    "IsAwaitingApproval": false,
    "OwnerIsMe": false,
 </t>
  </si>
  <si>
    <t xml:space="preserve">   "IsMyUnfinishedApproval": false,
    "IsInvokedByAnException": 1,
    "HasOperationalReliance": true,
    "IsUnapprovedAndOperationallyLive": false,
    "AgeDays": 70,
    "IsLowConfidence": false,
    "OwningVersionCadenceDays": 60,
    "ExceedsOwningCadence": true,
    "IsAgingLowConfidenceClaim": false,
    "OwnerRoleAgentKind": "Human",
    "IsHumanOwned": true,
    "IsAiValidatedByAi": false,
    "ReviewCadenceDays": 60,
    "IsOverdueForReview": true,
    "PredatesCurrentRoleHolder": false,
    "OwnerRoleAssignmentValidFrom": "2026-02-01T00:00:00-06:00",
    "FragilitySignalCount": 2,
    "IsCompoundFragile": false,
    "IsSinglePointOfFailure": false,
    "IsExpiringSinglePointOfFailure": false,
    "CompoundFragileVersionKey": null,
    "ValidFragmentSessionKey": "elicit-policy-workshop",
    "ConsumingStepIsSoftwareAssigned": true,
    "ConsumingStepAgentKind": "AutomatedPipeline",
    "IsUnapprovedAndMachineConsumed": false,
    "IsUnapprovedAndHumanConsumed": false,
    "MachineConsumedUnapprovedVersionKey": null,
    "HasReviewRecord": true,
    "DaysSinceActualReview": 1,
    "IsUnreviewedSinceAuthoring": false,
    "IsGenuinelyOverdue": false,
    "ReviewRecencyIsInferred": false,
    "InferenceDisagreesWithRecord": true,
    "GenuinelyOverdueVersionKey": null,
    "RatifiedBoundaryCount": 0,
    "RelianceSurfaceCount": 1,
    "DaysAwaitingMyApproval": 0,
    "IsHighBlastRadiusUnapproved": false,
    "IsLongUnapproved": false,
    "UnapprovedLoadBearingVersionKey": null,
    "OwnerRoleIsVacated": false,
    "IsOrphanedByRole": false,
    "ValidFragmentVersionKey": "policy-v1.0.0"
   },
   {
    "KnowledgeFragmentId": "kf-policy-manager-route",
    "ProcedureVersion": "policy-v1.0.0",
    "Step": "policy-08",
    "KnowledgeForm": "Implicit",
    "Statement": "When an employee is unreachable for 48 hours, the communications team normally routes a case to the employee's manager.",
    "ElicitationSession": "elicit-policy-workshop",
    "SourceAgent": "amina-yusuf",
    "Confidence": "Medium",
    "ValidFrom": "2026-05-10T14:00:00-05:00",
    "ValidTo": null,
    "Status": "Reviewed",
    "OwnerRole": "hr-policy-owner",
    "SemanticTypeIri": "urn:effortless:pko-extension#KnowledgeFragment",
    "EvaluationContext": "eval-current",
    "LastReviewedAt": null,
    "Name": "Implicit: When an employee is unreachable for 48 hours, the communicat",
    "AsOfInstant": "2026-07-19T13:00:00-05:00",
    "IsCurrentlyValid": false,
    "SourceAgentIsStillEngaged": true,
    "SourceAgentKind": "Human",
    "HasHumanSource": true,
    "HasOrphanedProvenance": false,
    "IsUndefendableTacitClaim": false,
    "IsApproved": false,
    "IsWithinValidityWindow": true,
    "IsReliedUpon": true,
    "StepProcedureVersionStatus": "policy-v1.0.0",
    "IsAttachedToLiveVersion": true,
    "IsUnapprovedButReliedOn": true,
    "EvidenceAgeDays": 70,
    "HasRecordedElicitation": true,
    "IsFromSingleWitness": false,
    "EvidenceExpiryDays": 365,
    "EvidenceHasExpired": false,
    "OwnerAgent": "elena-garcia",
    "IsAwaitingApproval": true,
    "OwnerIsMe": true,
    "IsMyUnfinishedApproval": true,
    "IsInvokedByAnException": 1,
    "HasOperationalReliance": true,
    "IsUnapprovedAndOperationallyLive": true,
    "AgeDays": 70,
    "IsLowConfidence": true,
    "OwningVersionCadenceDays": 60,
    "ExceedsOwningCadence": true,
    "IsAgingLowConfidenceClaim": true,
    "OwnerRoleAgentKind": "Human",
    "IsHumanOwned": true,
    "IsAiValidatedByAi": false,
    "ReviewCadenceDays": 60,
    "IsOverdueForReview": false,
    "PredatesCurrentRoleHolder": false,
    "OwnerRoleAssignmentValidFrom": "2026-02-01T00:00:00-06:00",
    "FragilitySignalCount": 2,
    "IsCompoundFragile": false,
    "IsSinglePointOfFailure": false,
    "IsExpiringSinglePointOfFailure": false,
    "CompoundFragileVersionKey": null,
    "ValidFragmentSessionKey": null,
    "ConsumingStepIsSoftwareAssigned": true,
    "ConsumingStepAgentKind": "AutomatedPipeline",
    "IsUnapprovedAndMachineConsumed": true,
    "IsUnapprovedAndHumanConsumed": false,
    "MachineConsumedUnapprovedVersionKey": "policy-v1.0.0",
    "HasReviewRecord": false,
    "DaysSinceActualReview": 0,
    "IsUnreviewedSinceAuthoring": false,
    "IsGenuinelyOverdue": false,
    "ReviewRecencyIsInferred": false,
    "InferenceDisagreesWithRecord": false,
    "GenuinelyOverdueVersionKey": null,
    "RatifiedBoundaryCount": 0,
    "RelianceSurfaceCount": 1,
    "DaysAwaitingMyApproval": 70,
    "IsHighBlastRadiusUnapproved": false,
    "IsLongUnapproved": true,
    "UnapprovedLoadBearingVersionKey": null,
    "OwnerRoleIsVacated": false,
    "IsOrphanedByRole": false,
    "ValidFragmentVersionKey": null
   }
  ]
 },
 "KnowledgeGaps": {
  "Description": "Known unknowns and missing procedural coverage. Explicit ERB-PKO extension used to govern scope and prevent silent incompleteness.",
  "important": false,
  "schema": [
   {
    "name": "KnowledgeGapId",
    "datatype": "string",
    "type": "raw",
    "nullable": false,
    "Description": "Stored logical identifier for one KnowledgeGaps row."
   },
   {
    "name": "Name",
    "datatype": "string",
    "type": "calculated",
    "nullable": true,
    "Description": "Human-readable calculated display alias for the KnowledgeGaps row.",
    "formula": "={{Severity}} &amp; \": \" &amp; LEFT({{Statement}}, 60)"
   },
   {
    "name": "ProcedureVersion",
    "datatype": "string",
    "type": "relationship",
    "nullable": true,
    "Description": "Affected procedure version.",
    "RelatedTo": "ProcedureVersions"
   },
   {
    "name": "Step",
    "datatype": "string",
    "type": "relationship",
    "nullable": true,
    "Description": "Affected step.",
    "RelatedTo": "Steps"
   },
   {
    "name": "Statement",
    "datatype": "string",
    "type": "raw",
    "nullable": true,
    "Description": "What is not yet known or represented."
   },
   {
    "name": "Severity",
    "datatype": "string",
    "type": "raw",
    "nullable": true,
    "Description": "Low, Medium, High, or Critical."
   },
   {
    "name": "BlockingKind",
    "datatype": "string",
    "type": "raw",
    "nullable": true,
    "Description": "Blocking or NonBlocking."
   },
   {
    "name": "Status",
    "datatype": "string",
    "type": "raw",
    "nullable": true,
    "Description": "Open, Investigating, Resolved, AcceptedRisk, or Closed."
   },
   {
    "name": "OwnerRole",
    "datatype": "string",
    "type": "relationship",
    "nullable": true,
    "Description": "Role responsible for resolving the gap.",
    "RelatedTo": "Roles"
   },
   {
    "name": "IdentifiedAt",
    "datatype": "datetime",
    "type": "raw",
    "nullable": true,
    "Description": "Time the gap was identified."
   },
   {
    "name": "ResolutionPlan",
    "datatype": "string",
    "type": "raw",
    "nullable": true,
    "Description": "Resolution plan or final resolution."
   },
   {
    "name": "IsOpen",
    "datatype": "boolean",
    "type": "calculated",
    "nullable": true,
    "Description": "TRUE when the gap remains open.",
    "formula": "=OR({{Status}} = \"Open\", {{Status}} = \"Investigating\")"
   },
   {
    "name": "OpenGapVersionKey",
    "datatype": "string",
    "type": "calculated",
    "nullable": true,
    "Description": "Echoes the ProcedureVersion id for open high-severity knowledge gaps.",
    "formula": "=IF(AND({{IsOpen}}, {{Severity}} = \"High\"), {{ProcedureVersion}}, \"\")"
   },
   {
    "name": "IsBlocking",
    "datatype": "boolean",
    "type": "calculated",
    "nullable": true,
    "Description": "TRUE when this gap is declared blocking rather than informational.",
    "formula": "={{BlockingKind}} = \"Blocking\""
   },
   {
    "name": "IsOpenAndBlocking",
    "datatype": "boolean",
    "type": "calculated",
    "nullable": true,
    "Description": "TRUE when this gap is both unresolved and declared blocking.",
    "formula": "=AND({{IsOpen}}, {{IsBlocking}})"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"DaysOpen",
    "datatype": "integer",
    "type": "calculated",
    "nullable": true,
    "Description": "Days this gap has been unresolved, or zero once closed.",
    "formula": "=IF({{IsOpen}}, DATETIME_DIFF({{AsOfInstant}}, {{IdentifiedAt}}, \"days\"), 0)"
   },
   {
    "name": "ToleranceDays",
    "datatype": "integer",
    "type": "calculated",
    "nullable": true,
    "Description": "How long a gap of this severity may remain open before it becomes a governance failure in its own right.",
    "formula": "=IF({{Severity}} = \"High\", 30, IF({{Severity}} = \"Medium\", 90, 180))"
   },
   {
    "name": "IsOverdueGap",
    "datatype": "boolean",
    "type": "calculated",
    "nullable": true,
    "Description": "TRUE when this acknowledged unknown has outlived the tolerance for its severity.",
    "formula": "={{DaysOpen}} &gt; {{ToleranceDays}}"
   },
   {
    "name": "OwnerAgent",
    "datatype": "string",
    "type": "lookup",
    "nullable": true,
    "Description": "The agent currently holding the role that owns resolving this gap.",
    "formula": "=INDEX(Roles!{{CurrentAgent}}, MATCH({{OwnerRole}}, Roles!{{RoleId}}, 0))"
   },
   {
    "name": "OwnerIsStillEngaged",
    "datatype": "boolean",
    "type": "lookup",
    "nullable": true,
    "Description": "Whether the agent responsible for closing this gap still holds a role here.",
    "formula": "=INDEX(Agents!{{IsStillEngaged}}, MATCH({{OwnerAgent}}, Agents!{{AgentId}}, 0))"
   },
   {
    "name": "HasResolutionPlan",
    "datatype": "boolean",
    "type": "calculated",
    "nullable": true,
    "Description": "TRUE when someone has written down how this gap would be closed.",
    "formula": "={{ResolutionPlan}} &lt;&gt; \"\""
   },
   {
    "name": "IsAbandonedUnknown",
    "datatype": "boolean",
    "type": "calculated",
    "nullable": true,
    "Description": "TRUE when an overdue gap has either no plan or no living owner — an admission of ignorance that nobody is acting on.",
    "formula": "=AND({{IsOverdueGap}}, OR(NOT({{HasResolutionPlan}}), NOT({{OwnerIsStillEngaged}})))"
   },
   {
    "name": "OpenBlockingGapVersionKey",
    "datatype": "string",
    "type": "calculated",
    "nullable": true,
    "Description": "Composite-key echo: this gap's procedure version when the gap is both open and blocking, blank otherwise.",
    "formula": "=IF({{IsOpenAndBlocking}}, {{ProcedureVersion}}, \"\")"
   },
   {
    "name": "OwnerRoleIsVacated",
    "datatype": "boolean",
    "type": "lookup",
    "nullable": true,
    "Description": "Whether the role that owns this gap is currently vacated.",
    "formula": "=INDEX(Roles!{{IsVacatedRole}}, MATCH({{OwnerRole}}, Roles!{{RoleId}}, 0))"
   },
   {
    "name": "IsOwnerlessOpenGap",
    "datatype": "boolean",
    "type": "calculated",
    "nullable": true,
    "Description": "An open gap whose owning role nobody currently holds — an acknowledged unknown with nobody accountable for closing it.",
    "formula": "=AND({{IsOpen}}, {{OwnerRoleIsVacated}})"
   },
   {
    "name": "SemanticTypeIri",
    "datatype": "string",
    "type": "raw",
    "nullable": true,
    "Description": "Extension class IRI."
   }
  ],
  "data": [
   {
    "KnowledgeGapId": "gap-close-dual-outage",
    "ProcedureVersion": "close-v1.1.0",
    "Step": "close-02",
    "Statement": "No validated fallback exists for simultaneous ERP and signed-snapshot repository outage.",
    "Severity": "High",
    "BlockingKind": "Blocking",
    "Status": "Resolved",
    "OwnerRole": "controller",
    "IdentifiedAt": "2026-06-20T09:00:00-05:00",
    "ResolutionPlan": "Resolved by adding offline signed export escrow.",
    "SemanticTypeIri": "urn:effortless:pko-extension#KnowledgeGap",
    "EvaluationContext": "eval-current",
    "Name": "High: No validated fallback exists for simultaneous ERP and signed",
    "IsOpen": false,
    "OpenGapVersionKey": null,
    "IsBlocking": true,
    "IsOpenAndBlocking": false,
    "AsOfInstant": "2026-07-19T13:00:00-05:00",
    "DaysOpen": 0,
    "ToleranceDays": 30,
    "IsOverdueGap": false,
    "OwnerAgent": "devon-okafor",
    "OwnerIsStillEngaged": true,
    "HasResolutionPlan": true,
    "IsAbandonedUnknown": false,
    "OpenBlockingGapVersionKey": null,
    "OwnerRoleIsVacated": false,
    "IsOwnerlessOpenGap": false
   },
   {
    "KnowledgeGapId": "gap-policy-delivery-receipts",
    "ProcedureVersion": "policy-v1.0.0",
    "Step": "policy-08",
    "Statement": "SMS provider delivery receipts are not always final for ported numbers.",
    "Severity": "Medium",
    "BlockingKind": "NonBlocking",
    "Status": "Open",
    "OwnerRole": "communications-manager",
    "IdentifiedAt": "2026-07-18T16:00:00-05:00",
    "ResolutionPlan": "Pilot secondary delivery-status reconciliation.",
    "SemanticTypeIri": "urn:effortless:pko-extension#KnowledgeGap",
    "EvaluationContext": "eval-current",
    "Name": "Medium: SMS provider delivery receipts are not always final for port",
    "IsOpen": true,
    "OpenGapVersionKey": null,
    "IsBlocking": false,
    "IsOpenAndBlocking": false,
    "AsOfInstant": "2026-07-19T13:00:00-05:00",
    "DaysOpen": 1,
    "ToleranceDays": 90,
    "IsOverdueGap": false,
    "OwnerAgent": "amina-yusuf",
    "OwnerIsStillEngaged": true,
    "HasResolutionPlan": true,
    "IsAbandonedUnknown": false,
    "OpenBlockingGapVersionKey": null,
    "OwnerRoleIsVacated": false,
    "IsOwnerlessOpenGap": false
   },
   {
    "KnowledgeGapId": "gap-close-sod-unwitnessed",
    "ProcedureVersion": "close-v1.1.0",
    "Step": "close-05",
    "Statement": "req-close-separation stated the preparer may not be the final approver, but nothing evaluated it. The control existed only as prose in a Requirements row, so a violation would have been invisible.",
    "Severity": "High",
    "BlockingKind": "Blocking",
    "Status": "Resolved",
    "OwnerRole": "controller",
    "IdentifiedAt": "2026-07-19T17:30:00-05:00",
    "ResolutionPlan": "Resolved by StepExecutions.ViolatesSeparationOfDuties, which counts preparation steps in the same procedure execution performed by the agent now approving. Verified by staging a breach (maria-chen approving se-close05 after preparing se-close03): the witness read TRUE. The staged breach was reverted; the control now reads FALSE because separation genuinely holds, not because nothing is checking.",
    "EvaluationContext": "eval-current",
    "SemanticTypeIri": "urn:effortless:pko-extension#KnowledgeGap",
    "Name": "High: req-close-separation stated the preparer may not be the fina",
    "IsOpen": false,
    "OpenGapVersionKey": null,
    "IsBlocking": true,
    "IsOpenAndBlocking": false,
    "AsOfInstant": "2026-07-19T13:00:00-05:00",
    "DaysOpen": 0,
    "ToleranceDays": 30,
    "IsOverdueGap": false,
    "OwnerAgent": "devon-okafor",
    "OwnerIsStillEngaged": true,
    "HasResolutionPlan": true,
    "IsAbandonedUnknown": false,
    "OpenBlockingGapVersionKey": null,
    "OwnerRoleIsVacated": false,
    "IsOwnerlessOpenGap": false
   },
   {
    "KnowledgeGapId": "gap-close-cadence-unmeasured",
    "ProcedureVersion": "close-v1.1.0",
    "Step": null,
    "Statement": "StewardshipAssignments promised a 90-day review cadence for close-v1.1.0 and 60 days for policy-v1.0.0. Both the promise and the actual review history were in the model and nothing compared them, so a lapsed cadence was invisible.",
    "Severity": "Medium",
    "BlockingKind": "NonBlocking",
    "Status": "Resolved",
    "OwnerRole": "process-steward",
    "IdentifiedAt": "2026-07-19T18:00:00-05:00",
    "ResolutionPlan": "Resolved by ReviewEvents.ExceedsPromisedCadence and PromiseAndBehaviorDisagree, which compare DaysSinceReviewed against the cadence promised by the version's stewardship assignment. Surfacing the real Q1 review (review-close-q1) showed the witness firing on genuine history: 121 days elapsed against a 90-day promise. The Q2 review closed the lapse, so current state reads compliant.",
    "EvaluationContext": "eval-current",
    "SemanticTypeIri": "urn:effortless:pko-extension#KnowledgeGap",
    "Name": "Medium: StewardshipAssignments promised a 90-day review cadence for ",
    "IsOpen": false,
    "OpenGapVersionKey": null,
    "IsBlocking": false,
    "IsOpenAndBlocking": false,
    "AsOfInstant": "2026-07-19T13:00:00-05:00",
    "DaysOpen": 0,
    "ToleranceDays": 90,
    "IsOverdueGap": false,
    "OwnerAgent": "elena-garcia",
    "OwnerIsStillEngaged": true,
    "HasResolutionPlan": true,
    "IsAbandonedUnknown": false,
    "OpenBlockingGapVersionKey": null,
    "OwnerRoleIsVacated": false,
    "IsOwnerlessOpenGap": false
   },
   {
    "KnowledgeGapId": "gap-roles-unauditable-holders",
    "ProcedureVersion": "close-v1.1.0",
    "Step": null,
    "Statement": "Five of twelve roles were held only by a denormalized Roles.CurrentAgent pointer with no RoleAssignments row: communications-manager, knowledge-authority, process-steward, close-automation, policy-drafting-agent. The convenience pointer claimed a holder the auditable time-bounded table could not confirm, so provenance for anything those roles touched was unverifiable.",
    "Severity": "High",
    "BlockingKind": "NonBlocking",
    "Status": "Resolved",
    "OwnerRole": "knowledge-authority",
    "IdentifiedAt": "2026-07-19T18:20:00-05:00",
    "ResolutionPlan": "Surfaced by Agents.IsStillEngaged, which counts CURRENT RoleAssignments rather than trusting Roles.CurrentAgent. amina-yusuf read as not engaged, which made kf-policy-channel an IsUndefendableTacitClaim. Resolved by recording the five missing time-bounded assignments. The witness stays: it is the only thing that distinguishes a real appointment from a denormalized pointer.",
    "EvaluationContext": "eval-current",
    "SemanticTypeIri": "urn:effortless:pko-extension#KnowledgeGap",
    "Name": "High: Five of twelve roles were held only by a denormalized Roles.",
    "IsOpen": false,
    "OpenGapVersionKey": null,
    "IsBlocking": false,
    "IsOpenAndBlocking": false,
    "AsOfInstant": "2026-07-19T13:00:00-05:00",
    "DaysOpen": 0,
    "ToleranceDays": 30,
    "IsOverdueGap": false,
    "OwnerAgent": "priya-raman",
    "OwnerIsStillEngaged": true,
    "HasResolutionPlan": true,
    "IsAbandonedUnknown": false,
    "OpenBlockingGapVersionKey": null,
    "OwnerRoleIsVacated": false,
    "IsOwnerlessOpenGap": false
   },
   {
    "KnowledgeGapId": "gap-policy-consent-unenforced",
    "ProcedureVersion": "policy-v1.0.0",
    "Step": "policy-07",
    "Statement": "comm-sms-policy set ConsentRequired=true and exc-no-sms-consent documented the suppress-and-email handling, but no per-recipient delivery record existed, so a send to a non-consenting recipient was structurally invisible. req-policy-consent was a blocking control with zero satisfaction records.",
    "Severity": "Critical",
    "BlockingKind": "Blocking",
    "Status": "Resolved",
    "OwnerRole": "employment-counsel",
    "IdentifiedAt": "2026-07-19T18:40:00-05:00",
    "ResolutionPlan": "Resolved by the Recipients and MessageDeliveries tables plus MessageDeliveries.IsConsentViolation. Proven on md-003, a real SMS to a never-consented recipient, which the witness flags while correctly NOT flagging md-004 (consent revoked, properly suppressed under exc-no-sms-consent) or md-006 (unreachable, failed, HR case opened). Recipient re-consented; the delivery row is retained as evidence.",
    "EvaluationContext": "eval-current",
    "SemanticTypeIri": "urn:effortless:pko-extension#KnowledgeGap",
    "Name": "Critical: comm-sms-policy set ConsentRequired=true and exc-no-sms-cons",
    "IsOpen": false,
    "OpenGapVersionKey": null,
    "IsBlocking": true,
    "IsOpenAndBlocking": false,
    "AsOfInstant": "2026-07-19T13:00:00-05:00",
    "DaysOpen": 0,
    "ToleranceDays": 180,
    "IsOverdueGap": false,
    "OwnerAgent": "noah-williams",
    "OwnerIsStillEngaged": true,
    "HasResolutionPlan": true,
    "IsAbandonedUnknown": false,
    "OpenBlockingGapVersionKey": null,
    "OwnerRoleIsVacated": false,
    "IsOwnerlessOpenGap": false
   },
   {
    "KnowledgeGapId": "gap-policy-quiet-hours-unenforced",
    "ProcedureVersion": "policy-v1.0.0",
    "Step": "policy-07",
    "Statement": "comm-sms-policy defined a 20:00-08:00 quiet window and nothing compared a send time against it.",
    "Severity": "High",
    "BlockingKind": "Blocking",
    "Status": "Resolved",
    "OwnerRole": "employment-counsel",
    "IdentifiedAt": "2026-07-19T18:40:00-05:00",
    "ResolutionPlan": "Resolved by MessageDeliveries.IsInsideQuietWindow and IsQuietHoursViolation, proven on md-005 (21:00 send). QuietHoursStartHour is stored rather than parsed: VALUE(LEFT(\"20:00\",2)) does not translate — the transpiler casts the string to a timestamp and the view errors.",
    "EvaluationContext": "eval-current",
    "SemanticTypeIri": "urn:effortless:pko-extension#KnowledgeGap",
    "Name": "High: comm-sms-policy defined a 20:00-08:00 quiet window and nothi",
    "IsOpen": false,
    "OpenGapVersionKey": null,
    "IsBlocking": true,
    "IsOpenAndBlocking": false,
    "AsOfInstant": "2026-07-19T13:00:00-05:00",
    "DaysOpen": 0,
    "ToleranceDays": 30,
    "IsOverdueGap": false,
    "OwnerAgent": "noah-williams",
    "OwnerIsStillEngaged": true,
    "HasResolutionPlan": true,
    "IsAbandonedUnknown": false,
    "OpenBlockingGapVersionKey": null,
    "OwnerRoleIsVacated": false,
    "IsOwnerlessOpenGap": false
   },
   {
    "KnowledgeGapId": "gap-policy-unauthorized-sends",
    "ProcedureVersion": "policy-v1.0.0",
    "Step": "policy-07",
    "Statement": "MessageTemplates carried Status=\"Approved\" as a bare string with no approval record behind it, and nothing evaluated a send BEFORE transmission. Every gate the communication policies define — consent, quiet hours, length, opt-out, approval — was checkable only after the fact, if at all.",
    "Severity": "Critical",
    "BlockingKind": "Blocking",
    "Status": "Resolved",
    "OwnerRole": "communications-manager",
    "IdentifiedAt": "2026-07-19T19:00:00-05:00",
    "ResolutionPlan": "Resolved by the SendIntents table and IsClearedToSend, which gates a proposed send on permission, timing, content, and authorization before it happens, and names the blocking gate. Proven across seven intents: Timing blocks a 21:00 send, Content blocks an oversized body and one missing the STOP phrase, Permission blocks an unreachable recipient. Authorization blocked ALL sends until tmpl-policy-sms received a real approval record (tap-sms-001) — the pipeline had been transmitting under a template nobody had attributably approved.",
    "EvaluationContext": "eval-current",
    "SemanticTypeIri": "urn:effortless:pko-extension#KnowledgeGap",
    "Name": "Critical: MessageTemplates carried Status=\"Approved\" as a bare string ",
    "IsOpen": false,
    "OpenGapVersionKey": null,
    "IsBlocking": true,
    "IsOpenAndBlocking": false,
    "AsOfInstant": "2026-07-19T13:00:00-05:00",
    "DaysOpen": 0,
    "ToleranceDays": 180,
    "IsOverdueGap": false,
    "OwnerAgent": "amina-yusuf",
    "OwnerIsStillEngaged": true,
    "HasResolutionPlan": true,
    "IsAbandonedUnknown": false,
    "OpenBlockingGapVersionKey": null,
    "OwnerRoleIsVacated": false,
    "IsOwnerlessOpenGap": false
   }
  ]
 },
 "FAQs": {
  "Description": "Frequently asked procedural questions. Maps to pko:FrequentlyAskedQuestion, question, answer, hasFAQCategory, and hasFAQTarget.",
  "important": false,
  "schema": [
   {
    "name": "FaqId",
    "datatype": "string",
    "type": "raw",
    "nullable": false,
    "Description": "Stored logical identifier for one FAQs row."
   },
   {
    "name": "Name",
    "datatype": "string",
    "type": "calculated",
    "nullable": true,
    "Description": "Human-readable calculated display alias for the FAQs row.",
    "formula": "={{Question}}"
   },
   {
    "name": "ProcedureVersion",
    "datatype": "string",
    "type": "relationship",
    "nullable": true,
    "Description": "Procedure version addressed by the FAQ.",
    "RelatedTo": "ProcedureVersions"
   },
   {
    "name": "Step",
    "datatype": "string",
    "type": "relationship",
    "nullable": true,
    "Description": "Optional step targeted by the FAQ.",
    "RelatedTo": "Steps"
   },
   {
    "name": "Category",
    "datatype": "string",
    "type": "raw",
    "nullable": true,
    "Description": "FAQ category."
   },
   {
    "name": "TargetKind",
    "datatype": "string",
    "type": "raw",
    "nullable": true,
    "Description": "Procedure, Step, Tool, Resource, or Execution."
   },
   {
    "name": "Question",
    "datatype": "string",
    "type": "raw",
    "nullable": true,
    "Description": "FAQ question; maps to pko:question."
   },
   {
    "name": "Answer",
    "datatype": "string",
    "type": "raw",
    "nullable": true,
    "Description": "Approved answer; maps to pko:answer."
   },
   {
    "name": "SemanticTypeIri",
    "datatype": "string",
    "type": "raw",
    "nullable": true,
    "Description": "Exact PKO class IRI."
   }
  ],
  "data": [
   {
    "FaqId": "faq-close-workpapers",
    "ProcedureVersion": "close-v1.1.0",
    "Step": "close-08",
    "Category": "Storage",
    "TargetKind": "Procedure",
    "Question": "Where are close workpapers stored?",
    "Answer": "In the controlled close evidence repository linked from the execution record; email attachments are not the system of record.",
    "SemanticTypeIri": "https://w3id.org/pko#FrequentlyAskedQuestion",
    "Name": "Where are close workpapers stored?"
   },
   {
    "FaqId": "faq-policy-ai",
    "ProcedureVersion": "policy-v1.0.0",
    "Step": "policy-03",
    "Category": "Authority",
    "TargetKind": "Procedure",
    "Question": "Can the drafting AI approve a workforce policy?",
    "Answer": "No. It may draft from approved sources, but a human policy owner and legal reviewer must approve the commitments.",
    "SemanticTypeIri": "https://w3id.org/pko#FrequentlyAskedQuestion",
    "Name": "Can the drafting AI approve a workforce policy?"
   },
   {
    "FaqId": "faq-policy-optout",
    "ProcedureVersion": "policy-v1.0.0",
    "Step": "policy-07",
    "Category": "Consent",
    "TargetKind": "Step",
    "Question": "What happens when an employee opts out of SMS?",
    "Answer": "The pipeline suppresses SMS and continues through the approved email channel.",
    "SemanticTypeIri": "https://w3id.org/pko#FrequentlyAskedQuestion",
    "Name": "What happens when an employee opts out of SMS?"
   }
  ]
 },
 "Explanations": {
  "Description": "Explainable derivation artifacts associated with procedural decisions. Maps to pko:Explanation and pko:hasExplanation.",
  "important": false,
  "schema": [
   {
    "name": "ExplanationId",
    "datatype": "string",
    "type": "raw",
    "nullable": false,
    "Description": "Stored logical identifier for one Explanations row."
   },
   {
    "name": "Name",
    "datatype": "string",
    "type": "calculated",
    "nullable": true,
    "Description": "Human-readable calculated display alias for the Explanations row.",
    "formula": "={{Title}}"
   },
   {
    "name": "ProcedureVersion",
    "datatype": "string",
    "type": "relationship",
    "nullable": true,
    "Description": "Procedure version explained.",
    "RelatedTo": "ProcedureVersions"
   },
   {
    "name": "Step",
    "datatype": "string",
    "type": "relationship",
    "nullable": true,
    "Description": "Step explained.",
    "RelatedTo": "Steps"
   },
   {
    "name": "Title",
    "datatype": "string",
    "type": "raw",
    "nullable": true,
    "Description": "Explanation title."
   },
   {
    "name": "Description",
    "datatype": "string",
    "type": "raw",
    "nullable": true,
    "Description": "What the explanation traces."
   },
   {
    "name": "SemanticTypeIri",
    "datatype": "string",
    "type": "raw",
    "nullable": true,
    "Description": "Exact PKO class IRI."
   }
  ],
  "data": [
   {
    "ExplanationId": "exp-close-variance",
    "ProcedureVersion": "close-v1.1.0",
    "Step": "close-04",
    "Title": "Variance escalation explanation",
    "Description": "Explains the derived path from source timestamps, materiality, recurrence, and anomaly classification to the escalation decision.",
    "SemanticTypeIri": "https://w3id.org/pko#Explanation",
    "Name": "Variance escalation explanation"
   },
   {
    "ExplanationId": "exp-policy-channel",
    "ProcedureVersion": "policy-v1.0.0",
    "Step": "policy-07",
    "Title": "Channel eligibility explanation",
    "Description": "Explains why each recipient received email, SMS, both, or an exception task based on consent and channel policy.",
    "SemanticTypeIri": "https://w3id.org/pko#Explanation",
    "Name": "Channel eligibility explanation"
   }
  ]
 },
 "ProcedureExecutions": {
  "Description": "Concrete enactments of procedure specifications. Maps to pko:ProcedureExecution and remains separate from ProcedureVersions.",
  "important": true,
  "schema": [
   {
    "name": "ProcedureExecutionId",
    "datatype": "string",
    "type": "raw",
    "nullable": false,
    "Description": "Stored logical identifier for one ProcedureExecutions row."
   },
   {
    "name": "Name",
    "datatype": "string",
    "type": "calculated",
    "nullable": true,
    "Description": "Human-readable calculated display alias for the ProcedureExecutions row.",
    "formula": "={{ProcedureVersion}} &amp; \" / \" &amp; {{Context}}"
   },
   {
    "name": "ProcedureVersion",
    "datatype": "string",
    "type": "relationship",
    "nullable": true,
    "Description": "Exact procedure specification executed; maps to pko:hasExecutedProcedure.",
    "RelatedTo": "ProcedureVersions"
   },
   {
    "name": "ExecutionStatus",
    "datatype": "string",
    "type": "raw",
    "nullable": true,
    "Description": "PKO execution status: InProgress, Completed, Paused, or Cancelled."
   },
   {
    "name": "StartedAt",
    "datatype": "datetime",
    "type": "raw",
    "nullable": true,
    "Description": "Execution start; maps to prov:startedAtTime."
   },
   {
    "name": "EndedAt",
    "datatype": "datetime",
    "type": "raw",
    "nullable": true,
    "Description": "Execution end; maps to prov:endedAtTime."
   },
   {
    "name": "ExecutedByAgent",
    "datatype": "string",
    "type": "relationship",
    "nullable": true,
    "Description": "Agent accountable for the overall execution; maps to pko:wasExecutedBy.",
    "RelatedTo": "Agents"
   },
   {
    "name": "Context",
    "datatype": "string",
    "type": "raw",
    "nullable": true,
    "Description": "Execution-specific scope or target."
   },
   {
    "name": "OperationalRecordUri",
    "datatype": "string",
    "type": "raw",
    "nullable": true,
    "Description": "Identifier in the operational execution system."
   },
   {
    "name": "ExpectedStepCount",
    "datatype": "number",
    "type": "lookup",
    "nullable": true,
    "Description": "How many steps this execution was supposed to perform.",
    "formula": "=INDEX(ProcedureVersions!{{SpecifiedStepCount}}, MATCH({{ProcedureVersion}}, ProcedureVersions!{{ProcedureVersionId}}, 0))"
   },
   {
    "name": "CompletedStepCount",
    "datatype": "number",
    "type": "aggregation",
    "nullable": true,
    "Description": "How many steps of this execution actually reached Completed.",
    "formula": "=COUNTIFS(StepExecutions!{{CompletedExecutionKey}}, {{ProcedureExecutionId}})"
   },
   {
    "name": "ControlBreachCount",
    "datatype": "number",
    "type": "aggregation",
    "nullable": true,
    "Description": "Total step executions in this run that carry at least one control breach.",
    "formula": "=COUNTIFS(StepExecutions!{{ControlBreachExecutionKey}}, {{ProcedureExecutionId}})"
   },
   {
    "name": "LateStepCount",
    "datatype": "number",
    "type": "aggregation",
    "nullable": true,
    "Description": "How many steps in this execution ran long.",
    "formula": "=COUNTIFS(StepExecutions!{{LateExecutionKey}}, {{ProcedureExecutionId}})"
   },
   {
    "name": "IsStructurallyComplete",
    "datatype": "boolean",
    "type": "calculated",
    "nullable": true,
    "Description": "TRUE when every sp</t>
  </si>
  <si>
    <t xml:space="preserve">ecified step of the procedure version reached Completed in this execution.",
    "formula": "={{CompletedStepCount}} &gt;= {{ExpectedStepCount}}"
   },
   {
    "name": "DivergedFromSpecification",
    "datatype": "boolean",
    "type": "calculated",
    "nullable": true,
    "Description": "TRUE when the execution either skipped specified steps or carried at least one control breach.",
    "formula": "=OR(NOT({{IsStructurallyComplete}}), {{ControlBreachCount}} &gt; 0)"
   },
   {
    "name": "AllBlockingControlsEvaluated",
    "datatype": "boolean",
    "type": "calculated",
    "nullable": true,
    "Description": "TRUE when every blocking requirement bound to every step of this execution received a satisfaction record.",
    "formula": "={{UnevaluatedBlockingTotal}} = 0"
   },
   {
    "name": "UnevaluatedBlockingTotal",
    "datatype": "number",
    "type": "aggregation",
    "nullable": true,
    "Description": "How many step executions in this run left at least one blocking control unevaluated.",
    "formula": "=COUNTIFS(StepExecutions!{{UnevaluatedBlockingExecutionKey}}, {{ProcedureExecutionId}})"
   },
   {
    "name": "SeparationOfDutiesHeld",
    "datatype": "boolean",
    "type": "calculated",
    "nullable": true,
    "Description": "TRUE when no agent both prepared and approved within this execution.",
    "formula": "={{SeparationViolationCount}} = 0"
   },
   {
    "name": "SeparationViolationCount",
    "datatype": "number",
    "type": "aggregation",
    "nullable": true,
    "Description": "Number of segregation-of-duties violations in this execution.",
    "formula": "=COUNTIFS(StepExecutions!{{SeparationViolationExecutionKey}}, {{ProcedureExecutionId}})"
   },
   {
    "name": "IsAttestationReady",
    "datatype": "boolean",
    "type": "calculated",
    "nullable": true,
    "Description": "TRUE only when every step completed, no control breached, every blocking control was actually evaluated, and segregation of duties held.",
    "formula": "=AND({{IsStructurallyComplete}}, NOT({{DivergedFromSpecification}}), {{AllBlockingControlsEvaluated}}, {{SeparationOfDutiesHeld}})"
   },
   {
    "name": "AttestationBlockerSummary",
    "datatype": "string",
    "type": "calculated",
    "nullable": true,
    "Description": "Names the highest-severity reason the attestation cannot be signed, or empty when it can.",
    "formula": "=IF({{IsAttestationReady}}, \"\", IF(NOT({{IsStructurallyComplete}}), \"Incomplete: specified steps did not all complete.\", IF({{SeparationViolationCount}} &gt; 0, \"Segregation of duties violated.\", IF({{UnevaluatedBlockingTotal}} &gt; 0, \"Blocking controls were never evaluated.\", \"Control breach recorded on one or more steps.\"))))"
   },
   {
    "name": "ExecutedVersionIsFit",
    "datatype": "boolean",
    "type": "lookup",
    "nullable": true,
    "Description": "Whether the procedure version this execution ran against is currently fit to execute.",
    "formula": "=INDEX(ProcedureVersions!{{IsFitToExecute}}, MATCH({{ProcedureVersion}}, ProcedureVersions!{{ProcedureVersionId}}, 0))"
   },
   {
    "name": "SignedAgainstUnfitVersion",
    "datatype": "boolean",
    "type": "calculated",
    "nullable": true,
    "Description": "TRUE when a completed execution was run against a procedure version the organization no longer stands behind.",
    "formula": "=AND({{ExecutionStatus}} = \"Completed\", NOT({{ExecutedVersionIsFit}}))"
   },
   {
    "name": "AssertedOnlyControlCount",
    "datatype": "number",
    "type": "aggregation",
    "nullable": true,
    "Description": "How many blocking controls in this execution passed on human assertion alone.",
    "formula": "=COUNTIFS(RequirementSatisfactions!{{AssertedOnlyExecutionKey}}, {{ProcedureExecutionId}})"
   },
   {
    "name": "AssuranceIsMostlyAsserted",
    "datatype": "boolean",
    "type": "calculated",
    "nullable": true,
    "Description": "TRUE when any blocking control in this execution passed without a computed witness behind it.",
    "formula": "={{AssertedOnlyControlCount}} &gt; 0"
   },
   {
    "name": "UnreachableHandlingFailureCount",
    "datatype": "number",
    "type": "aggregation",
    "nullable": true,
    "Description": "Number of deliveries in this execution where unreachable handling was wrong -- either fabricated acknowledgement or no exception invoked.",
    "formula": "=COUNTIFS(MessageDeliveries!{{UnreachableFailureKey}}, {{ProcedureExecutionId}})"
   },
   {
    "name": "RetentionBreachCount",
    "datatype": "number",
    "type": "aggregation",
    "nullable": true,
    "Description": "Number of transmitted messages in this execution whose text we no longer hold despite an active retention obligation.",
    "formula": "=COUNTIFS(MessageDeliveries!{{RetentionBreachExecutionKey}}, {{ProcedureExecutionId}})"
   },
   {
    "name": "ClearedLegalReviewCount",
    "datatype": "number",
    "type": "aggregation",
    "nullable": true,
    "Description": "How many passed legal reviews exist for this execution.",
    "formula": "=COUNTIFS(StepExecutions!{{ClearedLegalReviewKey}}, {{ProcedureExecutionId}})"
   },
   {
    "name": "HasClearedLegalReview",
    "datatype": "boolean",
    "type": "calculated",
    "nullable": true,
    "Description": "TRUE when legal review has passed for this execution.",
    "formula": "={{ClearedLegalReviewCount}} &gt; 0"
   },
   {
    "name": "AbandonedFailureCount",
    "datatype": "number",
    "type": "aggregation",
    "nullable": true,
    "Description": "Number of failed deliveries in this run that nobody picked up.",
    "formula": "=COUNTIFS(MessageDeliveries!{{AbandonedFailureExecutionKey}}, {{ProcedureExecutionId}})"
   },
   {
    "name": "DeliveredCount",
    "datatype": "number",
    "type": "aggregation",
    "nullable": true,
    "Description": "Number of confirmed-delivered messages in this run.",
    "formula": "=COUNTIFS(MessageDeliveries!{{ReachedExecutionKey}}, {{ProcedureExecutionId}})"
   },
   {
    "name": "TotalDeliveryAttemptCount",
    "datatype": "number",
    "type": "aggregation",
    "nullable": true,
    "Description": "Total delivery records of any status for this run.",
    "formula": "=COUNTIFS(MessageDeliveries!{{ProcedureExecution}}, {{ProcedureExecutionId}})"
   },
   {
    "name": "HasAbandonedFailures",
    "datatype": "boolean",
    "type": "calculated",
    "nullable": true,
    "Description": "TRUE when this run has any untriaged delivery failure.",
    "formula": "={{AbandonedFailureCount}} &gt; 0"
   },
   {
    "name": "MishandledRefusalCount",
    "datatype": "number",
    "type": "aggregation",
    "nullable": true,
    "Description": "Number of gate refusals in this run that were either overridden or silently dropped.",
    "formula": "=COUNTIFS(SendIntents!{{RefusalFailureExecutionKey}}, {{ProcedureExecutionId}})"
   },
   {
    "name": "UncleanStepCount",
    "datatype": "number",
    "type": "aggregation",
    "nullable": true,
    "Description": "Number of step executions in this run that were not clean.",
    "formula": "=COUNTIFS(StepExecutions!{{ProcedureExecutionWhenUnclean}}, {{ProcedureExecutionId}})"
   },
   {
    "name": "RanClean",
    "datatype": "boolean",
    "type": "calculated",
    "nullable": true,
    "Description": "TRUE when every step execution in this run was clean.",
    "formula": "={{UncleanStepCount}} = 0"
   },
   {
    "name": "CountOfApprovalExecutions",
    "datatype": "integer",
    "type": "aggregation",
    "nullable": true,
    "Description": "How many human approval gates were executed in this run.",
    "formula": "=COUNTIFS(StepExecutions!{{IsApprovalExecution}}, TRUE)"
   },
   {
    "name": "HasHumanApproval",
    "datatype": "boolean",
    "type": "calculated",
    "nullable": true,
    "Description": "TRUE when at least one human approval gate was executed in this run.",
    "formula": "={{CountOfApprovalExecutions}} &gt; 0"
   },
   {
    "name": "CountOfDeliveryExecutions",
    "datatype": "integer",
    "type": "aggregation",
    "nullable": true,
    "Description": "How many times the send step ran in this execution.",
    "formula": "=COUNTIFS(StepExecutions!{{Step}}, \"policy-07\")"
   },
   {
    "name": "HasDelivered",
    "datatype": "boolean",
    "type": "calculated",
    "nullable": true,
    "Description": "TRUE when this run has sent communications to employees.",
    "formula": "={{CountOfDeliveryExecutions}} &gt; 0"
   },
   {
    "name": "DeliveredWithoutApproval",
    "datatype": "boolean",
    "type": "calculated",
    "nullable": true,
    "Description": "TRUE when a run sent employee communications without executing a human approval gate.",
    "formula": "=AND({{HasDelivered}}, NOT({{HasHumanApproval}}))"
   },
   {
    "name": "InvalidApprovalCount",
    "datatype": "number",
    "type": "aggregation",
    "nullable": true,
    "Description": "Number of approval-type requirements in this run that are incomplete or non-human-evaluated.",
    "formula": "=COUNTIFS(RequirementSatisfactions!{{RunWhenInvalidApproval}}, {{ProcedureExecutionId}})"
   },
   {
    "name": "ApprovalChainIsComplete",
    "datatype": "boolean",
    "type": "calculated",
    "nullable": true,
    "Description": "TRUE when every approval-type requirement in this run is fully satisfied by a human.",
    "formula": "={{InvalidApprovalCount}} = 0"
   },
   {
    "name": "VacuouslyCleanStepCount",
    "datatype": "number",
    "type": "aggregation",
    "nullable": true,
    "Description": "How many steps in this run were clean only because nothing checked them.",
    "formula": "=COUNTIFS(StepExecutions!{{VacuouslyCleanExecutionKey}}, {{ProcedureExecutionId}})"
   },
   {
    "name": "PreparationStepCount",
    "datatype": "number",
    "type": "aggregation",
    "nullable": true,
    "Description": "How many preparation steps this execution actually ran.",
    "formula": "=COUNTIFS(StepExecutions!{{PreparationExecutionKey}}, {{ProcedureExecutionId}})"
   },
   {
    "name": "ApprovalStepCount",
    "datatype": "number",
    "type": "aggregation",
    "nullable": true,
    "Description": "How many approval steps this execution actually ran.",
    "formula": "=COUNTIFS(StepExecutions!{{ApprovalExecutionKey}}, {{ProcedureExecutionId}})"
   },
   {
    "name": "SeparationWasTestable",
    "datatype": "boolean",
    "type": "calculated",
    "nullable": true,
    "Description": "TRUE when this execution contained both a preparation step and an approval step, so segregation of duties had an opportunity to fail.",
    "formula": "=AND({{PreparationStepCount}} &gt; 0, {{ApprovalStepCount}} &gt; 0)"
   },
   {
    "name": "SeparationHeldUnderTest",
    "datatype": "boolean",
    "type": "calculated",
    "nullable": true,
    "Description": "TRUE only when segregation of duties both could have failed and did not.",
    "formula": "=AND({{SeparationWasTestable}}, {{SeparationOfDutiesHeld}})"
   },
   {
    "name": "SeparationIsVacuouslyGreen",
    "datatype": "boolean",
    "type": "calculated",
    "nullable": true,
    "Description": "TRUE when the segregation control reports as held on a run where it could not have failed.",
    "formula": "=AND({{SeparationOfDutiesHeld}}, NOT({{SeparationWasTestable}}))"
   },
   {
    "name": "SeparationAssuranceNote",
    "datatype": "string",
    "type": "calculated",
    "nullable": true,
    "Description": "The sentence that goes into the control narrative for this execution.",
    "formula": "=IF({{SeparationViolationCount}} &gt; 0, \"Violated: same agent prepared and approved.\", IF({{SeparationIsVacuouslyGreen}}, \"Not tested: this run had no preparation/approval pair.\", \"Held under test.\"))"
   },
   {
    "name": "UngovernedDivergenceCount",
    "datatype": "number",
    "type": "aggregation",
    "nullable": true,
    "Description": "How many steps in this run departed from spec with nothing authorising the departure.",
    "formula": "=COUNTIFS(StepExecutions!{{UngovernedDivergenceExecutionKey}}, {{ProcedureExecutionId}})"
   },
   {
    "name": "DivergenceWasFullyGoverned",
    "datatype": "boolean",
    "type": "calculated",
    "nullable": true,
    "Description": "TRUE when this run departed from specification and every departure was authorised.",
    "formula": "=AND({{DivergedFromSpecification}}, {{UngovernedDivergenceCount}} = 0)"
   },
   {
    "name": "ComputedlyWitnessedControlCount",
    "datatype": "number",
    "type": "aggregation",
    "nullable": true,
    "Description": "How many blocking controls in this run were cleared by something computed.",
    "formula": "=COUNTIFS(RequirementSatisfactions!{{ComputedWitnessExecutionKey}}, {{ProcedureExecutionId}})"
   },
   {
    "name": "EvaluatedControlCount",
    "datatype": "number",
    "type": "calculated",
    "nullable": true,
    "Description": "Total blocking controls actually evaluated in this run, computed and asserted together.",
    "formula": "={{ComputedlyWitnessedControlCount}} + {{AssertedOnlyControlCount}}"
   },
   {
    "name": "ComputedAssuranceRatio",
    "datatype": "number",
    "type": "calculated",
    "nullable": true,
    "Description": "The fraction of evaluated blocking controls in this run that rest on a computed witness rather than a human assertion.",
    "formula": "=IF({{EvaluatedControlCount}} = 0, 0, {{ComputedlyWitnessedControlCount}} / {{EvaluatedControlCount}})"
   },
   {
    "name": "InterestedPartyAssertionCount",
    "datatype": "number",
    "type": "aggregation",
    "nullable": true,
    "Description": "How many controls in this run were cleared by assertion from someone with an interest in the outcome.",
    "formula": "=COUNTIFS(RequirementSatisfactions!{{InterestedAssertionExecutionKey}}, {{ProcedureExecutionId}})"
   },
   {
    "name": "AssuranceGrade",
    "datatype": "string",
    "type": "calculated",
    "nullable": true,
    "Description": "Names the quality of the assurance behind this execution, worst case first.",
    "formula": "=IF({{EvaluatedControlCount}} = 0, \"None: no blocking control was evaluated.\", IF({{InterestedPartyAssertionCount}} &gt; 0, \"Weak: at least one control rests on an interested-party assertion.\", IF({{ComputedAssuranceRatio}} &lt; 0.5, \"Thin: most controls rest on human assertion.\", IF({{ComputedAssuranceRatio}} &lt; 1, \"Mixed: computed and asserted controls.\", \"Computed: every evaluated control has a witness.\"))))"
   },
   {
    "name": "AttestationWouldBeWeaklyBased",
    "datatype": "boolean",
    "type": "calculated",
    "nullable": true,
    "Description": "TRUE when the model says I may sign, but the basis for that permission is mostly or partly unwitnessed assertion.",
    "formula": "=AND({{IsAttestationReady}}, OR({{InterestedPartyAssertionCount}} &gt; 0, {{ComputedAssuranceRatio}} &lt; 0.5))"
   },
   {
    "name": "IndependentHumanObservationCount",
    "datatype": "number",
    "type": "aggregation",
    "nullable": true,
    "Description": "How many verifications in this run were independently observed by a human with evidence attached.",
    "formula": "=COUNTIFS(VerificationOutcomes!{{IndependentObservationExecutionKey}}, {{ProcedureExecutionId}})"
   },
   {
    "name": "HasAnyIndependentObservation",
    "datatype": "boolean",
    "type": "calculated",
    "nullable": true,
    "Description": "TRUE when at least one verification in this run was independently observed by a human.",
    "formula": "={{IndependentHumanObservationCount}} &gt; 0"
   },
   {
    "name": "SelfAttestedApprovalCount",
    "datatype": "number",
    "type": "aggregation",
    "nullable": true,
    "Description": "How many approval steps in this run rested on self-attestation.",
    "formula": "=COUNTIFS(StepExecutions!{{SelfAttestedApprovalExecutionKey}}, {{ProcedureExecutionId}})"
   },
   {
    "name": "AssuranceChainIsCircular",
    "datatype": "boolean",
    "type": "calculated",
    "nullable": true,
    "Description": "TRUE when every approval in this run rests on self-attestation and no independent human observation exists anywhere in it.",
    "formula": "=AND({{SelfAttestedApprovalCount}} &gt; 0, NOT({{HasAnyIndependentObservation}}))"
   },
   {
    "name": "LatestAttestationInstant",
    "datatype": "datetime",
    "type": "aggregation",
    "nullable": true,
    "Description": "The most recent signature instant for this execution.",
    "formula": "=MAXIFS(Attestations!{{SignedAt}}, Attestations!{{ProcedureExecution}}, {{ProcedureExecutionId}})"
   },
   {
    "name": "HasBeenAttested",
    "datatype": "boolean",
    "type": "calculated",
    "nullable": true,
    "Description": "TRUE when someone has signed for this execution.",
    "formula": "={{AttestationCount}} &gt; 0"
   },
   {
    "name": "AttestationCount",
    "datatype": "number",
    "type": "aggregation",
    "nullable": true,
    "Description": "How many signatures exist against this execution.",
    "formula": "=COUNTIFS(Attestations!{{ProcedureExecution}}, {{ProcedureExecutionId}})"
   },
   {
    "name": "PostAttestationScoreCount",
    "datatype": "number",
    "type": "aggregation",
    "nullable": true,
    "Description": "How many controls were scored after this execution was signed.",
    "formula": "=COUNTIFS(RequirementSatisfactions!{{PostAttestationScoreExecutionKey}}, {{ProcedureExecutionId}})"
   },
   {
    "name": "BasisChangedAfterSignature",
    "datatype": "boolean",
    "type": "calculated",
    "nullable": true,
    "Description": "TRUE when controls this attestation depended on were scored after the signature was given.",
    "formula": "=AND({{HasBeenAttested}}, {{PostAttestationScoreCount}} &gt; 0)"
   },
   {
    "name": "RequiresReAttestation",
    "datatype": "boolean",
    "type": "calculated",
    "nullable": true,
    "Description": "TRUE when the basis changed after signature AND the execution no longer reads as attestable.",
    "formula": "=AND({{BasisChangedAfterSignature}}, NOT({{IsAttestationReady}}))"
   },
   {
    "name": "IntendedRecipientCount",
    "datatype": "number",
    "type": "aggregation",
    "nullable": true,
    "Description": "How many sends this campaign proposed to make.",
    "formula": "=COUNTIFS(SendIntents!{{IntentExecutionKey}}, {{ProcedureExecutionId}})"
   },
   {
    "name": "ReachedRecipientCount",
    "datatype": "number",
    "type": "aggregation",
    "nullable": true,
    "Description": "How many of those sends actually left our systems.",
    "formula": "=COUNTIFS(SendIntents!{{DeliveredIntentExecutionKey}}, {{ProcedureExecutionId}})"
   },
   {
    "name": "SilentlyDroppedCount",
    "datatype": "number",
    "type": "aggregation",
    "nullable": true,
    "Description": "How many intended recipients disappeared from this campaign with no record.",
    "formula": "=COUNTIFS(SendIntents!{{DroppedIntentExecutionKey}}, {{ProcedureExecutionId}})"
   },
   {
    "name": "DeliveryYieldPercent",
    "datatype": "number",
    "type": "calculated",
    "nullable": true,
    "Description": "Percentage of intended recipients who actually received the communication.",
    "formula": "=IF({{IntendedRecipientCount}} &gt; 0, {{ReachedRecipientCount}} * 100 / {{IntendedRecipientCount}}, 0)"
   },
   {
    "name": "CampaignSilentlyLostAudience",
    "datatype": "boolean",
    "type": "calculated",
    "nullable": true,
    "Description": "TRUE when a campaign lost intended recipients without producing any record of the loss.",
    "formula": "=({{SilentlyDroppedCount}} &gt; 0)"
   },
   {
    "name": "UnrecordedRefusalCount",
    "datatype": "number",
    "type": "aggregation",
    "nullable": true,
    "Description": "How many sends this execution refused without recording the refusal anywhere.",
    "formula": "=COUNTIFS(SendIntents!{{UnrecordedRefusalExecutionKey}}, {{ProcedureExecutionId}})"
   },
   {
    "name": "HasUnrecordedRefusals",
    "datatype": "boolean",
    "type": "calculated",
    "nullable": true,
    "Description": "TRUE when this run contains at least one refusal that left no trace anywhere.",
    "formula": "=({{UnrecordedRefusalCount}} &gt; 0)"
   },
   {
    "name": "IndependentlyConfirmedIntentCount",
    "datatype": "number",
    "type": "aggregation",
    "nullable": true,
    "Description": "How many of this execution's send decisions were corroborated by a delivery record.",
    "formula": "=COUNTIFS(SendIntents!{{IndependentlyConfirmedExecutionKey}}, {{ProcedureExecutionId}})"
   },
   {
    "name": "SendDecisionsAreEntirelySelfWitnessed",
    "datatype": "boolean",
    "type": "calculated",
    "nullable": true,
    "Description": "TRUE when no send decision in this run was confirmed by anything other than the pipeline itself.",
    "formula": "=AND({{IntendedRecipientCount}} &gt; 0, {{IndependentlyConfirmedIntentCount}} = 0)"
   },
   {
    "name": "SemanticTypeIri",
    "datatype": "string",
    "type": "raw",
    "nullable": true,
    "Description": "Exact PKO class IRI."
   }
  ],
  "data": [
   {
    "ProcedureExecutionId": "exec-close-2026-q2",
    "ProcedureVersion": "close-v1.1.0",
    "ExecutionStatus": "Completed",
    "StartedAt": "2026-06-30T17:00:00-05:00",
    "EndedAt": "2026-07-02T16:45:00-05:00",
    "ExecutedByAgent": "devon-okafor",
    "Context": "Quarter ended 2026-06-30",
    "OperationalRecordUri": "execution://finance/close/2026-q2",
    "SemanticTypeIri": "https://w3id.org/pko#ProcedureExecution",
    "Name": "close-v1.1.0 / Quarter ended 2026-06-30",
    "ExpectedStepCount": 8,
    "CompletedStepCount": 8,
    "ControlBreachCount": 2,
    "LateStepCount": 5,
    "IsStructurallyComplete": true,
    "DivergedFromSpecification": true,
    "AllBlockingControlsEvaluated": true,
    "UnevaluatedBlockingTotal": 0,
    "SeparationOfDutiesHeld": true,
    "SeparationViolationCount": 0,
    "IsAttestationReady": false,
    "AttestationBlockerSummary": "Control breach recorded on one or more steps.",
    "ExecutedVersionIsFit": false,
    "SignedAgainstUnfitVersion": true,
    "AssertedOnlyControlCount": 1,
    "AssuranceIsMostlyAsserted": true,
    "UnreachableHandlingFailureCount": 0,
    "RetentionBreachCount": 0,
    "ClearedLegalReviewCount": 0,
    "HasClearedLegalReview": false,
    "AbandonedFailureCount": 0,
    "DeliveredCount": 0,
    "TotalDeliveryAttemptCount": 0,
    "HasAbandonedFailures": false,
    "MishandledRefusalCount": 0,
    "UncleanStepCount": 5,
    "RanClean": false,
    "CountOfApprovalExecutions": 1,
    "HasHumanApproval": true,
    "CountOfDeliveryExecutions": 0,
    "HasDelivered": false,
    "DeliveredWithoutApproval": false,
    "InvalidApprovalCount": 0,
    "ApprovalChainIsComplete": true,
    "VacuouslyCleanStepCount": 1,
    "PreparationStepCount": 2,
    "ApprovalStepCount": 2,
    "SeparationWasTestable": true,
    "SeparationHeldUnderTest": true,
    "SeparationIsVacuouslyGreen": false,
    "SeparationAssuranceNote": "Held under test.",
    "UngovernedDivergenceCount": 0,
    "DivergenceWasFullyGoverned": true,
    "ComputedlyWitnessedControlCount": 5,
    "EvaluatedControlCount": 6,
    "ComputedAssuranceRatio": 0.8333333333333334,
    "InterestedPartyAssertionCount": 1,
    "AssuranceGrade": "Weak: at least one control rests on an interested-party assertion.",
    "AttestationWouldBeWeaklyBased": false,
    "IndependentHumanObservationCount": 1,
    "HasAnyIndependentObservation": true,
    "SelfAttestedApprovalCount": 2,
    "AssuranceChainIsCircular": false,
    "HasBeenAttested": false,
    "AttestationCount": 0,
    "PostAttestationScoreCount": 0,
    "BasisChangedAfterSignature": false,
    "RequiresReAttestation": false,
    "IntendedRecipientCount": 0,
    "ReachedRecipientCount": 0,
    "SilentlyDroppedCount": 0,
    "DeliveryYieldPercent": 0,
    "CampaignSilentlyLostAudience": false,
    "UnrecordedRefusalCount": 0,
    "HasUnrecordedRefusals": false,
    "IndependentlyConfirmedIntentCount": 0,
    "SendDecisionsAreEntirelySelfWitnessed": false,
    "LatestAttestationInstant": null
   },
   {
    "ProcedureExecutionId": "exec-policy-hr4821",
    "ProcedureVersion": "policy-v1.0.0",
    "ExecutionStatus": "InProgress",
    "StartedAt": "2026-07-18T09:00:00-05:00",
    "EndedAt": null,
    "ExecutedByAgent": "elena-garcia",
    "Context": "Remote-work policy revision HR-4821",
    "OperationalRecordUri": "execution://people/policy/HR-4821",
    "SemanticTypeIri": "https://w3id.org/pko#ProcedureExecution",
    "Name": "policy-v1.0.0 / Remote-work policy revision HR-4821",
    "ExpectedStepCount": 9,
    "CompletedStepCount": 4,
    "ControlBreachCount": 2,
    "LateStepCount": 2,
    "IsStructurallyComplete": false,
    "DivergedFromSpecification": true,
    "AllBlockingControlsEvaluated": true,
    "UnevaluatedBlockingTotal": 0,
    "SeparationOfDutiesHeld": true,
    "SeparationViolationCount": 0,
    "IsAttestationReady": false,
    "AttestationBlockerSummary": "Incomplete: specified steps did not all complete.",
    "ExecutedVersionIsFit": false,
    "SignedAgainstUnfitVersion": false,
    "AssertedOnlyControlCount": 2,
    "AssuranceIsMostlyAsserted": true,
    "UnreachableHandlingFailureCount": 0,
    "RetentionBreachCount": 0,
    "ClearedLegalReviewCount": 1,
    "HasClearedLegalReview": true,
    "AbandonedFailureCount": 0,
    "DeliveredCount": 4,
    "TotalDeliveryAttemptCount": 6,
    "HasAbandonedFailures": false,
    "MishandledRefusalCount": 4,
    "UncleanStepCount": 2,
    "RanClean": false,
    "CountOfApprovalExecutions": 1,
    "HasHumanApproval": true,
    "CountOfDeliveryExecutions": 0,
    "HasDelivered": false,
    "DeliveredWithoutApproval": false,
    "InvalidApprovalCount": 0,
    "ApprovalChainIsComplete": true,
    "VacuouslyCleanStepCount": 1,
    "PreparationStepCount": 0,
    "ApprovalStepCount": 0,
    "SeparationWasTestable": false,
    "SeparationHeldUnderTest": false,
    "SeparationIsVacuouslyGreen": true,
    "SeparationAssuranceNote": "Not tested: this run had no preparation/approval pair.",
    "UngovernedDivergenceCount": 2,
    "DivergenceWasFullyGoverned": false,
    "ComputedlyWitnessedControlCount": 0,
    "EvaluatedControlCount": 2,
    "ComputedAssuranceRatio": 0.0,
    "InterestedPartyAssertionCount": 2,
    "AssuranceGrade": "Weak: at least one control rests on an interested-party assertion.",
    "AttestationWouldBeWeaklyBased": false,
    "IndependentHumanObservationCount": 0,
    "HasAnyIndependentObservation": false,
    "SelfAttestedApprovalCount": 0,
    "AssuranceChainIsCircular": false,
    "HasBeenAttested": false,
    "AttestationCount": 0,
    "PostAttestationScoreCount": 0,
    "BasisChangedAfterSignature": false,
    "RequiresReAttestation": false,
    "IntendedRecipientCount": 7,
    "ReachedRecipientCount": 2,
    "SilentlyDroppedCount": 4,
    "DeliveryYieldPercent": 28.571428571428573,
    "CampaignSilentlyLostAudience": true,
    "UnrecordedRefusalCount": 4,
    "HasUnrecordedRefusals": true,
    "IndependentlyConfirmedIntentCount": 2,
    "SendDecisionsAreEntirelySelfWitnessed": false,
    "LatestAttestationInstant": null
   }
  ]
 },
 "StepExecutions": {
  "Description": "Concrete executions of specified steps. Maps to pko:StepExecution, hasExecutedStep, includesStepExecution, and nextStepExecution.",
  "important": true,
  "schema": [
   {
    "name": "StepExecutionId",
    "datatype": "string",
    "type": "raw",
    "nullable": false,
    "Description": "Stored logical identifier for one StepExecutions row."
   },
   {
    "name": "Name",
    "datatype": "string",
    "type": "calculated",
    "nullable": true,
    "Description": "Human-readable calculated display alias for the StepExecutions row.",
    "formula": "={{ProcedureExecution}} &amp; \" / \" &amp; {{Step}}"
   },
   {
    "name": "ProcedureExecution",
    "datatype": "string",
    "type": "relationship",
    "nullable": true,
    "Description": "Parent procedure execution.",
    "RelatedTo": "ProcedureExecutions"
   },
   {
    "name": "Step",
    "datatype": "string",
    "type": "relationship",
    "nullable": true,
    "Description": "Specified step executed; maps to pko:hasExecutedStep.",
    "RelatedTo": "Steps"
   },
   {
    "name": "ExecutedByAgent",
    "datatype": "string",
    "type": "relationship",
    "nullable": true,
    "Description": "Agent executing the step; maps to pko:wasExecutedBy.",
    "RelatedTo": "Agents"
   },
   {
    "name": "ExecutionStatus",
    "datatype": "string",
    "type": "raw",
    "nullable": true,
    "Description": "InProgress, Completed, Paused, Cancelled, or Failed."
   },
   {
    "name": "StartedAt",
    "datatype": "datetime",
    "type": "raw",
    "nullable": true,
    "Description": "Execution start."
   },
   {
    "name": "EndedAt",
    "datatype": "datetime",
    "type": "raw",
    "nullable": true,
    "Description": "Execution end."
   },
   {
    "name": "VerificationResult",
    "datatype": "string",
    "type": "raw",
    "nullable": true,
    "Description": "PASS, WARN, FAIL, or PENDING."
   },
   {
    "name": "Deviation",
    "datatype": "string",
    "type": "raw",
    "nullable": true,
    "Description": "Observed deviation from the specification."
   },
   {
    "name": "ActualDurationMinutes",
    "datatype": "integer",
    "type": "calculated",
    "nullable": true,
    "Description": "Observed duration in minutes.",
    "formula": "=IF({{EndedAt}} = \"\", 0, DATETIME_DIFF({{EndedAt}}, {{StartedAt}}, \"minutes\"))"
   },
   {
    "name": "ExpectedDurationMinutes",
    "datatype": "integer",
    "type": "lookup",
    "nullable": true,
    "Description": "Expected duration from the specification.",
    "formula": "=INDEX(Steps!{{ExpectedDurationMinutes}}, MATCH({{Step}}, Steps!{{StepId}}, 0))"
   },
   {
    "name": "IsLate",
    "datatype": "boolean",
    "type": "calculated",
    "nullable": true,
    "Description": "TRUE when actual duration exceeds expected duration.",
    "formula": "={{ActualDurationMinutes}} &gt; {{ExpectedDurationMinutes}}"
   },
   {
    "name": "BlockingUnmetCount",
    "datatype": "number",
    "type": "aggregation",
    "nullable": true,
    "Description": "How many blocking requirements attached to this step execution are recorded as not fully satisfied.",
    "formula": "=COUNTIFS(RequirementSatisfactions!{{StepExecution}}, {{StepExecutionId}}, RequirementSatisfactions!{{IsBlockingAndUnmet}}, TRUE)"
   },
   {
    "name": "BlockingUnmetCountSafe",
    "datatype": "number",
    "type": "aggregation",
    "nullable": true,
    "Description": "Count of blocking-but-unmet requirements on this step execution, computed via the single-criterion key so no criterion is dropped.",
    "formula": "=COUNTIFS(RequirementSatisfactions!{{BlockingUnmetStepKey}}, {{StepExecutionId}})"
   },
   {
    "name": "ProceededPastBlockingControl",
    "datatype": "boolean",
    "type": "calculated",
    "nullable": true,
    "Description": "TRUE when a step execution reached Completed even though a blocking requirement on it was never fully satisfied.",
    "formula": "=AND({{ExecutionStatus}} = \"Completed\", {{BlockingUnmetCountSafe}} &gt; 0)"
   },
   {
    "name": "ExpectedBlockingCount",
    "datatype": "number",
    "type": "lookup",
    "nullable": true,
    "Description": "How many blocking requirements this execution's step was supposed to have evaluated.",
    "formula": "=INDEX(Steps!{{BlockingRequirementCount}}, MATCH({{Step}}, Steps!{{StepId}}, 0))"
   },
   {
    "name": "EvaluatedBlockingCount",
    "datatype": "number",
    "type": "aggregation",
    "nullable": true,
    "Description": "How many blocking requirements actually received a satisfaction record on this step execution, at any level.",
    "formula": "=COUNTIFS(RequirementSatisfactions!{{BlockingSatisfactionStepKey}}, {{StepExecutionId}})"
   },
   {
    "name": "UnevaluatedBlockingCount",
    "datatype": "number",
    "type": "calculated",
    "nullable": true,
    "Description": "Blocking requirements that were bound to this step but never assessed on this execution.",
    "formula": "={{ExpectedBlockingCount}} - {{EvaluatedBlockingCount}}"
   },
   {
    "name": "HasUnevaluatedBlockingControl",
    "datatype": "boolean",
    "type": "calculated",
    "nullable": true,
    "Description": "TRUE when at least one blocking control bound to this step was never evaluated on this execution.",
    "formula": "={{UnevaluatedBlockingCount}} &gt; 0"
   },
   {
    "name": "StaleAuthoritativeSourceCount",
    "datatype": "number",
    "type": "lookup",
    "nullable": true,
    "Description": "Number of stale authoritative sources bound to the step this execution ran.",
    "formula": "=INDEX(Steps!{{AuthoritativeStaleCount}}, MATCH({{Step}}, Steps!{{StepId}}, 0))"
   },
   {
    "name": "RanOnStaleAuthoritativeSource",
    "datatype": "boolean",
    "type": "calculated",
    "nullable": true,
    "Description</t>
  </si>
  <si>
    <t xml:space="preserve">": "TRUE when this execution's step depends on at least one authoritative source that is outside its freshness SLA.",
    "formula": "={{StaleAuthoritativeSourceCount}} &gt; 0"
   },
   {
    "name": "HasDeviationNote",
    "datatype": "boolean",
    "type": "calculated",
    "nullable": true,
    "Description": "TRUE when a human recorded some deviation narrative on this execution.",
    "formula": "={{Deviation}} &lt;&gt; \"\""
   },
   {
    "name": "IsLateAndUnexplained",
    "datatype": "boolean",
    "type": "calculated",
    "nullable": true,
    "Description": "TRUE when the execution exceeded its expected duration and no deviation was recorded.",
    "formula": "=AND({{IsLate}}, NOT({{HasDeviationNote}}))"
   },
   {
    "name": "AvailableExceptionCountForStep",
    "datatype": "number",
    "type": "lookup",
    "nullable": true,
    "Description": "How many active exceptions were available to this execution's step.",
    "formula": "=INDEX(Steps!{{AvailableExceptionCount}}, MATCH({{Step}}, Steps!{{StepId}}, 0))"
   },
   {
    "name": "HadUninvokedExceptionAvailable",
    "datatype": "boolean",
    "type": "calculated",
    "nullable": true,
    "Description": "TRUE when an execution ran long with no explanation despite the specification defining an active exception for exactly that situation.",
    "formula": "=AND({{IsLateAndUnexplained}}, {{AvailableExceptionCountForStep}} &gt; 0)"
   },
   {
    "name": "ExpectedVerificationCount",
    "datatype": "number",
    "type": "lookup",
    "nullable": true,
    "Description": "How many verifications this execution was supposed to perform.",
    "formula": "=INDEX(Steps!{{DeclaredVerificationCount}}, MATCH({{Step}}, Steps!{{StepId}}, 0))"
   },
   {
    "name": "PerformedVerificationCount",
    "datatype": "number",
    "type": "aggregation",
    "nullable": true,
    "Description": "How many verification outcomes were actually recorded against this execution.",
    "formula": "=COUNTIFS(VerificationOutcomes!{{StepExecution}}, {{StepExecutionId}})"
   },
   {
    "name": "SkippedVerificationCount",
    "datatype": "number",
    "type": "calculated",
    "nullable": true,
    "Description": "Declared verifications with no recorded outcome on this execution.",
    "formula": "={{ExpectedVerificationCount}} - {{PerformedVerificationCount}}"
   },
   {
    "name": "HasSkippedVerification",
    "datatype": "boolean",
    "type": "calculated",
    "nullable": true,
    "Description": "TRUE when a declared verification was never performed on this execution.",
    "formula": "={{SkippedVerificationCount}} &gt; 0"
   },
   {
    "name": "ClaimsPassWithoutEvidence",
    "datatype": "boolean",
    "type": "calculated",
    "nullable": true,
    "Description": "TRUE when an execution asserts PASS while at least one declared verification has no recorded outcome.",
    "formula": "=AND({{VerificationResult}} = \"PASS\", {{HasSkippedVerification}})"
   },
   {
    "name": "StepIsPreparation",
    "datatype": "boolean",
    "type": "lookup",
    "nullable": true,
    "Description": "Whether this execution ran a preparation step.",
    "formula": "=INDEX(Steps!{{IsPreparationStep}}, MATCH({{Step}}, Steps!{{StepId}}, 0))"
   },
   {
    "name": "StepIsApproval",
    "datatype": "boolean",
    "type": "lookup",
    "nullable": true,
    "Description": "Whether this execution ran an approval step.",
    "formula": "=INDEX(Steps!{{IsApprovalStep}}, MATCH({{Step}}, Steps!{{StepId}}, 0))"
   },
   {
    "name": "PreparerAgentKey",
    "datatype": "string",
    "type": "calculated",
    "nullable": true,
    "Description": "Composite execution+agent key, emitted only for preparation steps.",
    "formula": "=IF({{StepIsPreparation}}, {{ProcedureExecution}} &amp; \"|\" &amp; {{ExecutedByAgent}}, \"\")"
   },
   {
    "name": "ApproverAgentKey",
    "datatype": "string",
    "type": "calculated",
    "nullable": true,
    "Description": "Composite execution+agent key, emitted only for approval steps.",
    "formula": "=IF({{StepIsApproval}}, {{ProcedureExecution}} &amp; \"|\" &amp; {{ExecutedByAgent}}, \"\")"
   },
   {
    "name": "PreparedByThisAgentCount",
    "datatype": "number",
    "type": "aggregation",
    "nullable": true,
    "Description": "On an approval row, how many preparation steps in the SAME procedure execution were run by this same agent.",
    "formula": "=COUNTIFS(StepExecutions!{{PreparerAgentKey}}, {{ApproverAgentKey}})"
   },
   {
    "name": "ViolatesSeparationOfDuties",
    "datatype": "boolean",
    "type": "calculated",
    "nullable": true,
    "Description": "TRUE when the agent approving this step also prepared work earlier in the same procedure execution.",
    "formula": "=AND({{StepIsApproval}}, {{PreparedByThisAgentCount}} &gt; 0)"
   },
   {
    "name": "RequiredRoleForStep",
    "datatype": "string",
    "type": "lookup",
    "nullable": true,
    "Description": "The role the specification assigns to this step.",
    "formula": "=INDEX(Steps!{{AssignedRole}}, MATCH({{Step}}, Steps!{{StepId}}, 0))"
   },
   {
    "name": "ExecutorRoleKey",
    "datatype": "string",
    "type": "calculated",
    "nullable": true,
    "Description": "The agent+role pair that would need to exist as a valid assignment for this execution to be properly authorized.",
    "formula": "={{ExecutedByAgent}} &amp; \"|\" &amp; {{RequiredRoleForStep}}"
   },
   {
    "name": "ExecutorAuthorityCount",
    "datatype": "number",
    "type": "aggregation",
    "nullable": true,
    "Description": "How many currently-valid role assignments grant this executor the role their step required.",
    "formula": "=COUNTIFS(RoleAssignments!{{AgentRoleKey}}, {{ExecutorRoleKey}})"
   },
   {
    "name": "ExecutorHeldRequiredRole",
    "datatype": "boolean",
    "type": "calculated",
    "nullable": true,
    "Description": "TRUE when the executing agent holds a currently-valid assignment to the role the step required.",
    "formula": "={{ExecutorAuthorityCount}} &gt; 0"
   },
   {
    "name": "IsUnauthorizedApproval",
    "datatype": "boolean",
    "type": "calculated",
    "nullable": true,
    "Description": "TRUE when an approval step was executed by an agent who does not hold the required approving role.",
    "formula": "=AND({{StepIsApproval}}, NOT({{ExecutorHeldRequiredRole}}))"
   },
   {
    "name": "CompletedExecutionKey",
    "datatype": "string",
    "type": "calculated",
    "nullable": true,
    "Description": "Echoes the parent execution id only for completed steps.",
    "formula": "=IF({{ExecutionStatus}} = \"Completed\", {{ProcedureExecution}}, \"\")"
   },
   {
    "name": "ControlBreachExecutionKey",
    "datatype": "string",
    "type": "calculated",
    "nullable": true,
    "Description": "Echoes the parent execution id when this step execution carries ANY control breach.",
    "formula": "=IF(OR({{ProceededPastBlockingControl}}, {{ViolatesSeparationOfDuties}}, {{IsUnauthorizedApproval}}, {{ClaimsPassWithoutEvidence}}), {{ProcedureExecution}}, \"\")"
   },
   {
    "name": "LateExecutionKey",
    "datatype": "string",
    "type": "calculated",
    "nullable": true,
    "Description": "Echoes the parent execution id only for steps that ran past their expected duration.",
    "formula": "=IF({{IsLate}}, {{ProcedureExecution}}, \"\")"
   },
   {
    "name": "ExecutorAgentKind",
    "datatype": "string",
    "type": "lookup",
    "nullable": true,
    "Description": "Human, AIAgent, or AutomatedPipeline — what kind of agent actually ran this step.",
    "formula": "=INDEX(Agents!{{AgentKind}}, MATCH({{ExecutedByAgent}}, Agents!{{AgentId}}, 0))"
   },
   {
    "name": "ExecutorIsHuman",
    "datatype": "boolean",
    "type": "calculated",
    "nullable": true,
    "Description": "TRUE when a human executed this step.",
    "formula": "={{ExecutorAgentKind}} = \"Human\""
   },
   {
    "name": "StepRequiresHumanConfirmation",
    "datatype": "boolean",
    "type": "lookup",
    "nullable": true,
    "Description": "Whether the specification requires this step to be human-confirmed.",
    "formula": "=INDEX(Steps!{{RequiresHumanConfirmation}}, MATCH({{Step}}, Steps!{{StepId}}, 0))"
   },
   {
    "name": "NonHumanRanHumanStep",
    "datatype": "boolean",
    "type": "calculated",
    "nullable": true,
    "Description": "TRUE when a step requiring human confirmation was executed by an AI agent or automated pipeline.",
    "formula": "=AND({{StepRequiresHumanConfirmation}}, NOT({{ExecutorIsHuman}}))"
   },
   {
    "name": "NonHumanApproval",
    "datatype": "boolean",
    "type": "calculated",
    "nullable": true,
    "Description": "TRUE when an approval-authority step was executed by a non-human agent, regardless of the RequiresHumanConfirmation flag.",
    "formula": "=AND({{StepIsApproval}}, NOT({{ExecutorIsHuman}}))"
   },
   {
    "name": "UnevaluatedBlockingExecutionKey",
    "datatype": "string",
    "type": "calculated",
    "nullable": true,
    "Description": "Echoes the parent execution id when this step left a blocking control unevaluated.",
    "formula": "=IF({{HasUnevaluatedBlockingControl}}, {{ProcedureExecution}}, \"\")"
   },
   {
    "name": "SeparationViolationExecutionKey",
    "datatype": "string",
    "type": "calculated",
    "nullable": true,
    "Description": "Echoes the parent execution id when this step execution violates segregation of duties.",
    "formula": "=IF({{ViolatesSeparationOfDuties}}, {{ProcedureExecution}}, \"\")"
   },
   {
    "name": "SelfWitnessedVerificationCount",
    "datatype": "number",
    "type": "aggregation",
    "nullable": true,
    "Description": "How many of this execution's verifications were observed by the same agent who ran the step.",
    "formula": "=COUNTIFS(VerificationOutcomes!{{SelfWitnessedStepKey}}, {{StepExecutionId}})"
   },
   {
    "name": "UnbackedVerificationCount",
    "datatype": "number",
    "type": "aggregation",
    "nullable": true,
    "Description": "How many verifications on this execution recorded a matching signal with no retained evidence artifact.",
    "formula": "=COUNTIFS(VerificationOutcomes!{{UnbackedStepKey}}, {{StepExecutionId}})"
   },
   {
    "name": "ApprovalRestsOnSelfAttestation",
    "datatype": "boolean",
    "type": "calculated",
    "nullable": true,
    "Description": "TRUE when an approval step's verification was either self-witnessed by the approver or never performed at all.",
    "formula": "=AND({{StepIsApproval}}, OR({{SelfWitnessedVerificationCount}} &gt; 0, {{HasSkippedVerification}}))"
   },
   {
    "name": "ExceptionInvocationCount",
    "datatype": "number",
    "type": "aggregation",
    "nullable": true,
    "Description": "How many specified exceptions were invoked during this step execution.",
    "formula": "=COUNTIFS(ExceptionInvocations!{{StepExecution}}, {{StepExecutionId}})"
   },
   {
    "name": "RanUnderException",
    "datatype": "boolean",
    "type": "calculated",
    "nullable": true,
    "Description": "TRUE when this execution invoked at least one specified exception.",
    "formula": "={{ExceptionInvocationCount}} &gt; 0"
   },
   {
    "name": "IsCompleted",
    "datatype": "boolean",
    "type": "calculated",
    "nullable": true,
    "Description": "TRUE when this step execution reached a completed state.",
    "formula": "={{ExecutionStatus}} = \"Completed\""
   },
   {
    "name": "IsVerificationPassed",
    "datatype": "boolean",
    "type": "calculated",
    "nullable": true,
    "Description": "TRUE only when this step execution's verification actually passed. PENDING and FAIL are both not-passed.",
    "formula": "={{VerificationResult}} = \"PASS\""
   },
   {
    "name": "IsLegalReviewStep",
    "datatype": "boolean",
    "type": "calculated",
    "nullable": true,
    "Description": "TRUE for executions of the legal and privacy review step.",
    "formula": "={{Step}} = \"policy-04\""
   },
   {
    "name": "ClearedLegalReviewKey",
    "datatype": "string",
    "type": "calculated",
    "nullable": true,
    "Description": "Carries the execution id only when this row is a PASSED legal review; empty string otherwise.",
    "formula": "=IF(AND({{IsLegalReviewStep}}, {{IsVerificationPassed}}), {{ProcedureExecution}}, \"\")"
   },
   {
    "name": "AssignedRole",
    "datatype": "string",
    "type": "lookup",
    "nullable": true,
    "Description": "The role the specification assigns to this step.",
    "formula": "=INDEX(Steps!{{AssignedRole}}, MATCH({{Step}}, Steps!{{StepId}}, 0))"
   },
   {
    "name": "RoleCurrentAgent",
    "datatype": "string",
    "type": "lookup",
    "nullable": true,
    "Description": "The agent currently designated to hold the step's assigned role.",
    "formula": "=INDEX(Roles!{{CurrentAgent}}, MATCH({{AssignedRole}}, Roles!{{RoleId}}, 0))"
   },
   {
    "name": "ExecutorIsDesignatedAgent",
    "datatype": "boolean",
    "type": "calculated",
    "nullable": true,
    "Description": "TRUE when the agent that executed the step is the agent currently designated for the step's role.",
    "formula": "={{ExecutedByAgent}} = {{RoleCurrentAgent}}"
   },
   {
    "name": "InputsWereFreshAtRun",
    "datatype": "boolean",
    "type": "lookup",
    "nullable": true,
    "Description": "Freshness verdict for the step this execution ran.",
    "formula": "=INDEX(Steps!{{InputsAreFresh}}, MATCH({{Step}}, Steps!{{StepId}}, 0))"
   },
   {
    "name": "RanOnStaleInputs",
    "datatype": "boolean",
    "type": "calculated",
    "nullable": true,
    "Description": "TRUE when an execution completed even though its step's authoritative inputs are stale.",
    "formula": "=AND({{ExecutionStatus}} = \"Completed\", NOT({{InputsWereFreshAtRun}}))"
   },
   {
    "name": "UnresolvedIssueCount",
    "datatype": "number",
    "type": "aggregation",
    "nullable": true,
    "Description": "Number of unresolved issue occurrences recorded against this execution.",
    "formula": "=COUNTIFS(IssueOccurrences!{{StepExecutionWhenUnresolved}}, {{StepExecutionId}})"
   },
   {
    "name": "HasDeviation",
    "datatype": "boolean",
    "type": "calculated",
    "nullable": true,
    "Description": "TRUE when a deviation from the specification was recorded.",
    "formula": "={{Deviation}} &lt;&gt; \"\""
   },
   {
    "name": "IsClean",
    "datatype": "boolean",
    "type": "calculated",
    "nullable": true,
    "Description": "TRUE when this execution passed verification, deviated from nothing, left no open issue, and finished on time.",
    "formula": "=AND({{VerificationResult}} = \"PASS\", NOT({{HasDeviation}}), {{UnresolvedIssueCount}} = 0, NOT({{IsLate}}))"
   },
   {
    "name": "ProcedureExecutionWhenUnclean",
    "datatype": "string",
    "type": "calculated",
    "nullable": true,
    "Description": "Echoes the parent execution id when this step execution is not clean, blank otherwise.",
    "formula": "=IF({{IsClean}}, \"\", {{ProcedureExecution}})"
   },
   {
    "name": "EvaluatedRequirementCount",
    "datatype": "number",
    "type": "aggregation",
    "nullable": true,
    "Description": "Number of requirements actually scored against this execution.",
    "formula": "=COUNTIFS(RequirementSatisfactions!{{StepExecutionWhenScored}}, {{StepExecutionId}})"
   },
   {
    "name": "RequiredBlockingCount",
    "datatype": "integer",
    "type": "lookup",
    "nullable": true,
    "Description": "Number of blocking requirements the specification demands for this step.",
    "formula": "=INDEX(Steps!{{BlockingRequirementCount}}, MATCH({{Step}}, Steps!{{StepId}}, 0))"
   },
   {
    "name": "HasUnevaluatedBlockingRequirement",
    "datatype": "boolean",
    "type": "calculated",
    "nullable": true,
    "Description": "TRUE when fewer requirements were scored than the step has blocking requirements.",
    "formula": "={{EvaluatedRequirementCount}} &lt; {{RequiredBlockingCount}}"
   },
   {
    "name": "ExecutingAgentKind",
    "datatype": "string",
    "type": "lookup",
    "nullable": true,
    "Description": "The kind of agent that actually performed this step execution.",
    "formula": "=INDEX(Agents!{{AgentKind}}, MATCH({{ExecutedByAgent}}, Agents!{{AgentId}}, 0))"
   },
   {
    "name": "WasExecutedBySoftware",
    "datatype": "boolean",
    "type": "calculated",
    "nullable": true,
    "Description": "TRUE when software actually performed this step.",
    "formula": "=OR({{ExecutingAgentKind}} = \"AIAgent\", {{ExecutingAgentKind}} = \"AutomatedPipeline\")"
   },
   {
    "name": "StepIsSoftwareAssigned",
    "datatype": "boolean",
    "type": "lookup",
    "nullable": true,
    "Description": "Whether the step being executed was specified as a software step.",
    "formula": "=INDEX(Steps!{{IsSoftwareAssigned}}, MATCH({{Step}}, Steps!{{StepId}}, 0))"
   },
   {
    "name": "SoftwareDidHumanWork",
    "datatype": "boolean",
    "type": "calculated",
    "nullable": true,
    "Description": "TRUE when software performed a step the procedure specified for a human.",
    "formula": "=AND({{WasExecutedBySoftware}}, NOT({{StepIsSoftwareAssigned}}))"
   },
   {
    "name": "IsApprovalExecution",
    "datatype": "boolean",
    "type": "lookup",
    "nullable": true,
    "Description": "Whether this execution is of a designated human approval gate.",
    "formula": "=INDEX(Steps!{{IsHumanApprovalGate}}, MATCH({{Step}}, Steps!{{StepId}}, 0))"
   },
   {
    "name": "IsVerified",
    "datatype": "boolean",
    "type": "calculated",
    "nullable": true,
    "Description": "TRUE when this execution recorded a positive verification outcome.",
    "formula": "=AND({{VerificationResult}} &lt;&gt; \"\", {{VerificationResult}} &lt;&gt; \"PENDING\", {{VerificationResult}} &lt;&gt; \"FAIL\")"
   },
   {
    "name": "UnconfirmedNonHumanDecisionCount",
    "datatype": "number",
    "type": "aggregation",
    "nullable": true,
    "Description": "Number of material non-human decisions in this execution that no human confirmed.",
    "formula": "=COUNTIFS(AgentDecisionRecords!{{StepExecutionWhenUnconfirmed}}, {{StepExecutionId}})"
   },
   {
    "name": "RequiresHumanConfirmation",
    "datatype": "boolean",
    "type": "lookup",
    "nullable": true,
    "Description": "Whether the specification requires human confirmation for this step.",
    "formula": "=INDEX(Steps!{{RequiresHumanConfirmation}}, MATCH({{Step}}, Steps!{{StepId}}, 0))"
   },
   {
    "name": "HumanConfirmationMissing",
    "datatype": "boolean",
    "type": "calculated",
    "nullable": true,
    "Description": "TRUE when a step requiring human confirmation contains unconfirmed material non-human decisions.",
    "formula": "=AND({{RequiresHumanConfirmation}}, {{UnconfirmedNonHumanDecisionCount}} &gt; 0)"
   },
   {
    "name": "DraftedFromUnusableSource",
    "datatype": "boolean",
    "type": "calculated",
    "nullable": true,
    "Description": "TRUE when a drafting execution completed despite an unapproved or stale source at its step.",
    "formula": "=AND({{ExecutionStatus}} = \"Completed\", NOT({{InputsWereUsable}}))"
   },
   {
    "name": "InputsWereUsable",
    "datatype": "boolean",
    "type": "lookup",
    "nullable": true,
    "Description": "Source-usability verdict for the step this execution ran.",
    "formula": "=INDEX(Steps!{{AllSourcesUsable}}, MATCH({{Step}}, Steps!{{StepId}}, 0))"
   },
   {
    "name": "SoftwareExecutionStepKey",
    "datatype": "string",
    "type": "calculated",
    "nullable": true,
    "Description": "Composite-key echo: the step this execution ran when it was carried out by software, blank otherwise.",
    "formula": "=IF({{WasExecutedBySoftware}}, {{Step}}, \"\")"
   },
   {
    "name": "StepControlKind",
    "datatype": "string",
    "type": "lookup",
    "nullable": true,
    "Description": "The control kind of the step this execution ran.",
    "formula": "=INDEX(Steps!{{ControlKind}}, MATCH({{Step}}, Steps!{{StepId}}, 0))"
   },
   {
    "name": "UnfalsifiedClearanceCount",
    "datatype": "number",
    "type": "aggregation",
    "nullable": true,
    "Description": "How many of this step's blocking clearances came from controls that have never once failed.",
    "formula": "=COUNTIFS(RequirementSatisfactions!{{UnfalsifiedClearanceStepKey}}, {{StepExecutionId}})"
   },
   {
    "name": "AllClearancesAreUnfalsified",
    "datatype": "boolean",
    "type": "calculated",
    "nullable": true,
    "Description": "TRUE when every blocking control evaluated on this step is one that has never returned a negative result.",
    "formula": "=AND({{EvaluatedBlockingCount}} &gt; 0, {{UnfalsifiedClearanceCount}} &gt;= {{EvaluatedBlockingCount}})"
   },
   {
    "name": "StaleAtRunCount",
    "datatype": "number",
    "type": "aggregation",
    "nullable": true,
    "Description": "How many authoritative sources this step read that were already out of SLA when it read them.",
    "formula": "=COUNTIFS(BindingObservations!{{StaleAtRunStepKey}}, {{StepExecutionId}})"
   },
   {
    "name": "WasStaleWhenIRanIt",
    "datatype": "boolean",
    "type": "calculated",
    "nullable": true,
    "Description": "TRUE when this execution consumed at least one authoritative source that was stale at the time of reading.",
    "formula": "={{StaleAtRunCount}} &gt; 0"
   },
   {
    "name": "StalenessAnswerIsTenseDependent",
    "datatype": "boolean",
    "type": "calculated",
    "nullable": true,
    "Description": "TRUE when the as-of-now staleness verdict disagrees with the as-of-run verdict for the same step.",
    "formula": "=NOT({{WasStaleWhenIRanIt}} = {{RanOnStaleAuthoritativeSource}})"
   },
   {
    "name": "HasAnyDeclaredCheck",
    "datatype": "boolean",
    "type": "calculated",
    "nullable": true,
    "Description": "TRUE when the specification declared at least one verification or one blocking requirement for this step.",
    "formula": "=OR({{ExpectedVerificationCount}} &gt; 0, {{ExpectedBlockingCount}} &gt; 0)"
   },
   {
    "name": "PerformedCheckCount",
    "datatype": "number",
    "type": "calculated",
    "nullable": true,
    "Description": "Total number of checks actually carried out on this execution, verifications plus blocking-control evaluations.",
    "formula": "={{PerformedVerificationCount}} + {{EvaluatedBlockingCount}}"
   },
   {
    "name": "DeclaredCheckCount",
    "datatype": "number",
    "type": "calculated",
    "nullable": true,
    "Description": "Total number of checks the specification called for on this step.",
    "formula": "={{ExpectedVerificationCount}} + {{ExpectedBlockingCount}}"
   },
   {
    "name": "IsUncheckedByDesign",
    "datatype": "boolean",
    "type": "calculated",
    "nullable": true,
    "Description": "TRUE when the specification asked for no verification and no blocking control on this step at all.",
    "formula": "={{DeclaredCheckCount}} = 0"
   },
   {
    "name": "IsVacuouslyClean",
    "datatype": "boolean",
    "type": "calculated",
    "nullable": true,
    "Description": "TRUE when this execution reads clean and nothing was ever declared that could have made it read otherwise.",
    "formula": "=AND({{IsClean}}, {{IsUncheckedByDesign}})"
   },
   {
    "name": "IsSubstantivelyClean",
    "datatype": "boolean",
    "type": "calculated",
    "nullable": true,
    "Description": "TRUE when this execution is clean AND every declared check was actually performed.",
    "formula": "=AND({{IsClean}}, {{PerformedCheckCount}} &gt;= {{DeclaredCheckCount}}, {{DeclaredCheckCount}} &gt; 0)"
   },
   {
    "name": "VacuouslyCleanExecutionKey",
    "datatype": "string",
    "type": "calculated",
    "nullable": true,
    "Description": "Echoes the parent execution id when this step is vacuously clean.",
    "formula": "=IF({{IsVacuouslyClean}}, {{ProcedureExecution}}, \"\")"
   },
   {
    "name": "UncorroboratedPassCount",
    "datatype": "number",
    "type": "aggregation",
    "nullable": true,
    "Description": "How many of this step's passing verifications were observed by the executor with no evidence attached.",
    "formula": "=COUNTIFS(VerificationOutcomes!{{UncorroboratedPassStepKey}}, {{StepExecutionId}})"
   },
   {
    "name": "EvidencePositionIsWeak",
    "datatype": "boolean",
    "type": "calculated",
    "nullable": true,
    "Description": "TRUE when every verification performed on this step was an uncorroborated self-witnessed pass.",
    "formula": "=AND({{PerformedVerificationCount}} &gt; 0, {{UncorroboratedPassCount}} &gt;= {{PerformedVerificationCount}})"
   },
   {
    "name": "PreparationExecutionKey",
    "datatype": "string",
    "type": "calculated",
    "nullable": true,
    "Description": "Echoes the parent execution id when this step execution is a preparation step.",
    "formula": "=IF({{StepIsPreparation}}, {{ProcedureExecution}}, \"\")"
   },
   {
    "name": "ApprovalExecutionKey",
    "datatype": "string",
    "type": "calculated",
    "nullable": true,
    "Description": "Echoes the parent execution id when this step execution is an approval step.",
    "formula": "=IF({{StepIsApproval}}, {{ProcedureExecution}}, \"\")"
   },
   {
    "name": "HasGoverningInstrument",
    "datatype": "boolean",
    "type": "calculated",
    "nullable": true,
    "Description": "TRUE when this step's departure from spec is covered by an invoked exception or an approved change request against its procedure version.",
    "formula": "=OR({{RanUnderException}}, {{HasApprovedChangeCoverage}})"
   },
   {
    "name": "HasApprovedChangeCoverage",
    "datatype": "boolean",
    "type": "lookup",
    "nullable": true,
    "Description": "Whether the procedure version this step belongs to has an approved change request that could account for a departure.",
    "formula": "=INDEX(ProcedureVersions!{{HasApprovedChangeRequest}}, MATCH({{VersionOfStep}}, ProcedureVersions!{{ProcedureVersionId}}, 0))"
   },
   {
    "name": "VersionOfStep",
    "datatype": "string",
    "type": "lookup",
    "nullable": true,
    "Description": "The procedure version this step execution's specification step belongs to.",
    "formula": "=INDEX(Steps!{{ProcedureVersion}}, MATCH({{Step}}, Steps!{{StepId}}, 0))"
   },
   {
    "name": "IsUngovernedDivergence",
    "datatype": "boolean",
    "type": "calculated",
    "nullable": true,
    "Description": "TRUE when this step departed from specification and no exception or approved change covers it.",
    "formula": "=AND(OR({{HasDeviation}}, {{IsLate}}, {{ProceededPastBlockingControl}}), NOT({{HasGoverningInstrument}}))"
   },
   {
    "name": "UngovernedDivergenceExecutionKey",
    "datatype": "string",
    "type": "calculated",
    "nullable": true,
    "Description": "Echoes the parent execution id when this step diverged without governance.",
    "formula": "=IF({{IsUngovernedDivergence}}, {{ProcedureExecution}}, \"\")"
   },
   {
    "name": "SelfAttestedApprovalExecutionKey",
    "datatype": "string",
    "type": "calculated",
    "nullable": true,
    "Description": "Echoes the parent execution id when this approval rested on self-attestation.",
    "formula": "=IF({{ApprovalRestsOnSelfAttestation}}, {{ProcedureExecution}}, \"\")"
   },
   {
    "name": "SemanticTypeIri",
    "datatype": "string",
    "type": "raw",
    "nullable": true,
    "Description": "Exact PKO class IRI."
   }
  ],
  "data": [
   {
    "StepExecutionId": "se-close01",
    "ProcedureExecution": "exec-close-2026-q2",
    "Step": "close-01",
    "ExecutedByAgent": "close-pipeline",
    "ExecutionStatus": "Completed",
    "StartedAt": "2026-06-30T17:00:00-05:00",
    "EndedAt": "2026-06-30T17:04:00-05:00",
    "VerificationResult": "PASS",
    "Deviation": "",
    "SemanticTypeIri": "https://w3id.org/pko#StepExecution",
    "Name": "exec-close-2026-q2 / close-01",
    "ActualDurationMinutes": 4,
    "ExpectedDurationMinutes": 5,
    "IsLate": false,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false,
    "AvailableExceptionCountForStep": 0,
    "HadUninvokedExceptionAvailable": false,
    "ExpectedVerificationCount": 1,
    "PerformedVerificationCount": 1,
    "SkippedVerificationCount": 0,
    "HasSkippedVerification": false,
    "ClaimsPassWithoutEvidence": false,
    "StepIsPreparation": false,
    "StepIsApproval": false,
    "PreparerAgentKey": null,
    "ApproverAgentKey": null,
    "PreparedByThisAgentCount": 10,
    "ViolatesSeparationOfDuties": false,
    "RequiredRoleForStep": "close-automation",
    "ExecutorRoleKey": "close-pipeline|close-automation",
    "ExecutorAuthorityCount": 1,
    "ExecutorHeldRequiredRole": true,
    "IsUnauthorizedApproval": false,
    "CompletedExecutionKey": "exec-close-2026-q2",
    "ControlBreachExecutionKey": null,
    "LateExecutionKey": null,
    "ExecutorAgentKind": "AutomatedPipeline",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"close-automation",
    "RoleCurrentAgent": "close-pipeline",
    "ExecutorIsDesignatedAgent": true,
    "InputsWereFreshAtRun": true,
    "RanOnStaleInputs": false,
    "UnresolvedIssueCount": 0,
    "HasDeviation": false,
    "IsClean": true,
    "ProcedureExecutionWhenUnclean": null,
    "EvaluatedRequirementCount": 1,
    "RequiredBlockingCount": 1,
    "HasUnevaluatedBlockingRequirement": false,
    "ExecutingAgentKind": "AutomatedPipeline",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"close-01",
    "StepControlKind": "Extraction",
    "UnfalsifiedClearanceCount": 1,
    "AllClearancesAreUnfalsified": true,
    "StaleAtRunCount": 0,
    "WasStaleWhenIRanIt": false,
    "StalenessAnswerIsTenseDependent": false,
    "HasAnyDeclaredCheck": true,
    "PerformedCheckCount": 2,
    "DeclaredCheckCount": 2,
    "IsUncheckedByDesign": false,
    "IsVacuouslyClean": false,
    "IsSubstantivelyClean": true,
    "VacuouslyCleanExecutionKey": null,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"se-close02",
    "ProcedureExecution": "exec-close-2026-q2",
    "Step": "close-02",
    "ExecutedByAgent": "close-pipeline",
    "ExecutionStatus": "Completed",
    "StartedAt": "2026-06-30T17:04:00-05:00",
    "EndedAt": "2026-06-30T17:18:00-05:00",
    "VerificationResult": "WARN",
    "Deviation": "One source feed was 17 minutes old; controller approved rerun.",
    "SemanticTypeIri": "https://w3id.org/pko#StepExecution",
    "Name": "exec-close-2026-q2 / close-02",
    "ActualDurationMinutes": 14,
    "ExpectedDurationMinutes": 10,
    "IsLate": true,
    "BlockingUnmetCount": 0,
    "BlockingUnmetCountSafe": 0,
    "ProceededPastBlockingControl": false,
    "ExpectedBlockingCount": 0,
    "EvaluatedBlockingCount": 0,
    "UnevaluatedBlockingCount": 0,
    "HasUnevaluatedBlockingControl": false,
    "StaleAuthoritativeSourceCount": 1,
    "RanOnStaleAuthoritativeSource": true,
    "HasDeviationNote": true,
    "IsLateAndUnexplained": false,
    "AvailableExceptionCountForStep": 1,
    "HadUninvokedExceptionAvailable": false,
    "ExpectedVerificationCount": 1,
    "PerformedVerificationCount": 1,
    "SkippedVerificationCount": 0,
    "HasSkippedVerification": false,
    "ClaimsPassWithoutEvidence": false,
    "StepIsPreparation": false,
    "StepIsApproval": false,
    "PreparerAgentKey": null,
    "ApproverAgentKey": null,
    "PreparedByThisAgentCount": 10,
    "ViolatesSeparationOfDuties": false,
    "RequiredRoleForStep": "close-automation",
    "ExecutorRoleKey": "clo</t>
  </si>
  <si>
    <t xml:space="preserve">se-pipeline|close-automation",
    "ExecutorAuthorityCount": 1,
    "ExecutorHeldRequiredRole": true,
    "IsUnauthorizedApproval": false,
    "CompletedExecutionKey": "exec-close-2026-q2",
    "ControlBreachExecutionKey": null,
    "LateExecutionKey": "exec-close-2026-q2",
    "ExecutorAgentKind": "AutomatedPipeline",
    "ExecutorIsHuman": false,
    "StepRequiresHumanConfirmation": false,
    "NonHumanRanHumanStep": false,
    "NonHumanApproval": false,
    "UnevaluatedBlockingExecutionKey": null,
    "SeparationViolationExecutionKey": null,
    "SelfWitnessedVerificationCount": 1,
    "UnbackedVerificationCount": 0,
    "ApprovalRestsOnSelfAttestation": false,
    "ExceptionInvocationCount": 1,
    "RanUnderException": true,
    "IsCompleted": true,
    "IsVerificationPassed": false,
    "IsLegalReviewStep": false,
    "ClearedLegalReviewKey": null,
    "AssignedRole": "close-automation",
    "RoleCurrentAgent": "close-pipeline",
    "ExecutorIsDesignatedAgent": true,
    "InputsWereFreshAtRun": false,
    "RanOnStaleInputs": true,
    "UnresolvedIssueCount": 0,
    "HasDeviation": true,
    "IsClean": false,
    "ProcedureExecutionWhenUnclean": "exec-close-2026-q2",
    "EvaluatedRequirementCount": 0,
    "RequiredBlockingCount": 0,
    "HasUnevaluatedBlockingRequirement": false,
    "ExecutingAgentKind": "AutomatedPipeline",
    "WasExecutedBySoftware": true,
    "StepIsSoftwareAssigned": true,
    "SoftwareDidHumanWork": false,
    "IsApprovalExecution": false,
    "IsVerified": true,
    "UnconfirmedNonHumanDecisionCount": 0,
    "RequiresHumanConfirmation": false,
    "HumanConfirmationMissing": false,
    "DraftedFromUnusableSource": true,
    "InputsWereUsable": false,
    "SoftwareExecutionStepKey": "close-02",
    "StepControlKind": "Extraction",
    "UnfalsifiedClearanceCount": 0,
    "AllClearancesAreUnfalsified": false,
    "StaleAtRunCount": 0,
    "WasStaleWhenIRanIt": false,
    "StalenessAnswerIsTenseDependent": true,
    "HasAnyDeclaredCheck": true,
    "PerformedCheckCount": 1,
    "DeclaredCheckCount": 1,
    "IsUncheckedByDesign": false,
    "IsVacuouslyClean": false,
    "IsSubstantivelyClean": false,
    "VacuouslyCleanExecutionKey": null,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"se-close03",
    "ProcedureExecution": "exec-close-2026-q2",
    "Step": "close-03",
    "ExecutedByAgent": "maria-chen",
    "ExecutionStatus": "Completed",
    "StartedAt": "2026-06-30T17:18:00-05:00",
    "EndedAt": "2026-07-01T12:15:00-05:00",
    "VerificationResult": "PASS",
    "Deviation": "",
    "SemanticTypeIri": "https://w3id.org/pko#StepExecution",
    "Name": "exec-close-2026-q2 / close-03",
    "ActualDurationMinutes": 1137,
    "ExpectedDurationMinutes": 120,
    "IsLate": true,
    "BlockingUnmetCount": 1,
    "BlockingUnmetCountSafe": 1,
    "ProceededPastBlockingControl": true,
    "ExpectedBlockingCount": 2,
    "EvaluatedBlockingCount": 2,
    "UnevaluatedBlockingCount": 0,
    "HasUnevaluatedBlockingControl": false,
    "StaleAuthoritativeSourceCount": 0,
    "RanOnStaleAuthoritativeSource": false,
    "HasDeviationNote": false,
    "IsLateAndUnexplained": true,
    "AvailableExceptionCountForStep": 0,
    "HadUninvokedExceptionAvailable": false,
    "ExpectedVerificationCount": 1,
    "PerformedVerificationCount": 1,
    "SkippedVerificationCount": 0,
    "HasSkippedVerification": false,
    "ClaimsPassWithoutEvidence": false,
    "StepIsPreparation": true,
    "StepIsApproval": false,
    "PreparerAgentKey": "exec-close-2026-q2|maria-chen",
    "ApproverAgentKey": null,
    "PreparedByThisAgentCount": 10,
    "ViolatesSeparationOfDuties": false,
    "RequiredRoleForStep": "finance-analyst",
    "ExecutorRoleKey": "maria-chen|finance-analyst",
    "ExecutorAuthorityCount": 1,
    "ExecutorHeldRequiredRole": true,
    "IsUnauthorizedApproval": false,
    "CompletedExecutionKey": "exec-close-2026-q2",
    "ControlBreachExecutionKey": "exec-close-2026-q2",
    "LateExecutionKey": "exec-close-2026-q2",
    "ExecutorAgentKind": "Human",
    "ExecutorIsHuman": true,
    "StepRequiresHumanConfirmation": false,
    "NonHumanRanHumanStep": false,
    "NonHumanApproval": false,
    "UnevaluatedBlockingExecutionKey": null,
    "SeparationViolationExecutionKey": null,
    "SelfWitnessedVerificationCount": 1,
    "UnbackedVerificationCount": 1,
    "ApprovalRestsOnSelfAttestation": false,
    "ExceptionInvocationCount": 0,
    "RanUnderException": false,
    "IsCompleted": true,
    "IsVerificationPassed": true,
    "IsLegalReviewStep": false,
    "ClearedLegalReviewKey": null,
    "AssignedRole": "finance-analyst",
    "RoleCurrentAgent": "maria-chen",
    "ExecutorIsDesignatedAgent": true,
    "InputsWereFreshAtRun": true,
    "RanOnStaleInputs": false,
    "UnresolvedIssueCount": 0,
    "HasDeviation": false,
    "IsClean": false,
    "ProcedureExecutionWhenUnclean": "exec-close-2026-q2",
    "EvaluatedRequirementCount": 2,
    "RequiredBlockingCount": 2,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false,
    "InputsWereUsable": true,
    "SoftwareExecutionStepKey": null,
    "StepControlKind": "Preparation",
    "UnfalsifiedClearanceCount": 1,
    "AllClearancesAreUnfalsified": false,
    "StaleAtRunCount": 0,
    "WasStaleWhenIRanIt": false,
    "StalenessAnswerIsTenseDependent": false,
    "HasAnyDeclaredCheck": true,
    "PerformedCheckCount": 3,
    "DeclaredCheckCount": 3,
    "IsUncheckedByDesign": false,
    "IsVacuouslyClean": false,
    "IsSubstantivelyClean": false,
    "VacuouslyCleanExecutionKey": null,
    "UncorroboratedPassCount": 1,
    "EvidencePositionIsWeak": true,
    "PreparationExecutionKey": "exec-close-2026-q2",
    "ApprovalExecutionKey": null,
    "HasGoverningInstrument": true,
    "HasApprovedChangeCoverage": true,
    "VersionOfStep": "close-v1.1.0",
    "IsUngovernedDivergence": false,
    "UngovernedDivergenceExecutionKey": null,
    "SelfAttestedApprovalExecutionKey": null
   },
   {
    "StepExecutionId": "se-close04",
    "ProcedureExecution": "exec-close-2026-q2",
    "Step": "close-04",
    "ExecutedByAgent": "variance-ai",
    "ExecutionStatus": "Completed",
    "StartedAt": "2026-07-01T12:15:00-05:00",
    "EndedAt": "2026-07-01T15:05:00-05:00",
    "VerificationResult": "PASS",
    "Deviation": "Human analyst confirmed all material escalations.",
    "SemanticTypeIri": "https://w3id.org/pko#StepExecution",
    "Name": "exec-close-2026-q2 / close-04",
    "ActualDurationMinutes": 170,
    "ExpectedDurationMinutes": 90,
    "IsLate": true,
    "BlockingUnmetCount": 0,
    "BlockingUnmetCountSafe": 0,
    "ProceededPastBlockingControl": false,
    "ExpectedBlockingCount": 0,
    "EvaluatedBlockingCount": 0,
    "UnevaluatedBlockingCount": 0,
    "HasUnevaluatedBlockingControl": false,
    "StaleAuthoritativeSourceCount": 0,
    "RanOnStaleAuthoritativeSource": false,
    "HasDeviationNote": true,
    "IsLateAndUnexplained": false,
    "AvailableExceptionCountForStep": 0,
    "HadUninvokedExceptionAvailable": false,
    "ExpectedVerificationCount": 0,
    "PerformedVerificationCount": 0,
    "SkippedVerificationCount": 0,
    "HasSkippedVerification": false,
    "ClaimsPassWithoutEvidence": false,
    "StepIsPreparation": true,
    "StepIsApproval": false,
    "PreparerAgentKey": "exec-close-2026-q2|variance-ai",
    "ApproverAgentKey": null,
    "PreparedByThisAgentCount": 10,
    "ViolatesSeparationOfDuties": false,
    "RequiredRoleForStep": "variance-review-agent",
    "ExecutorRoleKey": "variance-ai|variance-review-agent",
    "ExecutorAuthorityCount": 1,
    "ExecutorHeldRequiredRole": true,
    "IsUnauthorizedApproval": false,
    "CompletedExecutionKey": "exec-close-2026-q2",
    "ControlBreachExecutionKey": null,
    "LateExecutionKey": "exec-close-2026-q2",
    "ExecutorAgentKind": "AIAgent",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"variance-review-agent",
    "RoleCurrentAgent": "variance-ai",
    "ExecutorIsDesignatedAgent": true,
    "InputsWereFreshAtRun": true,
    "RanOnStaleInputs": false,
    "UnresolvedIssueCount": 0,
    "HasDeviation": true,
    "IsClean": false,
    "ProcedureExecutionWhenUnclean": "exec-close-2026-q2",
    "EvaluatedRequirementCount": 0,
    "RequiredBlockingCount": 0,
    "HasUnevaluatedBlockingRequirement": false,
    "ExecutingAgentKind": "AIAgent",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"close-04",
    "StepControlKind": "Preparation",
    "UnfalsifiedClearanceCount": 0,
    "AllClearancesAreUnfalsified": false,
    "StaleAtRunCount": 0,
    "WasStaleWhenIRanIt": false,
    "StalenessAnswerIsTenseDependent": false,
    "HasAnyDeclaredCheck": false,
    "PerformedCheckCount": 0,
    "DeclaredCheckCount": 0,
    "IsUncheckedByDesign": true,
    "IsVacuouslyClean": false,
    "IsSubstantivelyClean": false,
    "VacuouslyCleanExecutionKey": null,
    "UncorroboratedPassCount": 0,
    "EvidencePositionIsWeak": false,
    "PreparationExecutionKey": "exec-close-2026-q2",
    "ApprovalExecutionKey": null,
    "HasGoverningInstrument": true,
    "HasApprovedChangeCoverage": true,
    "VersionOfStep": "close-v1.1.0",
    "IsUngovernedDivergence": false,
    "UngovernedDivergenceExecutionKey": null,
    "SelfAttestedApprovalExecutionKey": null
   },
   {
    "StepExecutionId": "se-close05",
    "ProcedureExecution": "exec-close-2026-q2",
    "Step": "close-05",
    "ExecutedByAgent": "devon-okafor",
    "ExecutionStatus": "Completed",
    "StartedAt": "2026-07-01T15:05:00-05:00",
    "EndedAt": "2026-07-01T16:10:00-05:00",
    "VerificationResult": "PASS",
    "Deviation": "",
    "SemanticTypeIri": "https://w3id.org/pko#StepExecution",
    "Name": "exec-close-2026-q2 / close-05",
    "ActualDurationMinutes": 65,
    "ExpectedDurationMinutes": 60,
    "IsLate": true,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true,
    "AvailableExceptionCountForStep": 0,
    "HadUninvokedExceptionAvailable": false,
    "ExpectedVerificationCount": 1,
    "PerformedVerificationCount": 1,
    "SkippedVerificationCount": 0,
    "HasSkippedVerification": false,
    "ClaimsPassWithoutEvidence": false,
    "StepIsPreparation": false,
    "StepIsApproval": true,
    "PreparerAgentKey": null,
    "ApproverAgentKey": "exec-close-2026-q2|devon-okafor",
    "PreparedByThisAgentCount": 0,
    "ViolatesSeparationOfDuties": false,
    "RequiredRoleForStep": "controller",
    "ExecutorRoleKey": "devon-okafor|controller",
    "ExecutorAuthorityCount": 1,
    "ExecutorHeldRequiredRole": true,
    "IsUnauthorizedApproval": false,
    "CompletedExecutionKey": "exec-close-2026-q2",
    "ControlBreachExecutionKey": null,
    "LateExecutionKey": "exec-close-2026-q2",
    "ExecutorAgentKind": "Human",
    "ExecutorIsHuman": true,
    "StepRequiresHumanConfirmation": true,
    "NonHumanRanHumanStep": false,
    "NonHumanApproval": false,
    "UnevaluatedBlockingExecutionKey": null,
    "SeparationViolationExecutionKey": null,
    "SelfWitnessedVerificationCount": 1,
    "UnbackedVerificationCount": 0,
    "ApprovalRestsOnSelfAttestation": true,
    "ExceptionInvocationCount": 0,
    "RanUnderException": false,
    "IsCompleted": true,
    "IsVerificationPassed": true,
    "IsLegalReviewStep": false,
    "ClearedLegalReviewKey": null,
    "AssignedRole": "controller",
    "RoleCurrentAgent": "devon-okafor",
    "ExecutorIsDesignatedAgent": true,
    "InputsWereFreshAtRun": true,
    "RanOnStaleInputs": false,
    "UnresolvedIssueCount": 0,
    "HasDeviation": false,
    "IsClean": false,
    "ProcedureExecutionWhenUnclean": "exec-close-2026-q2",
    "EvaluatedRequirementCount": 1,
    "RequiredBlockingCount": 1,
    "HasUnevaluatedBlockingRequirement": false,
    "ExecutingAgentKind": "Human",
    "WasExecutedBySoftware": false,
    "StepIsSoftwareAssigned": false,
    "SoftwareDidHumanWork": false,
    "IsApprovalExecution": false,
    "IsVerified": true,
    "UnconfirmedNonHumanDecisionCount": 0,
    "RequiresHumanConfirmation": true,
    "HumanConfirmationMissing": false,
    "DraftedFromUnusableSource": false,
    "InputsWereUsable": true,
    "SoftwareExecutionStepKey": null,
    "StepControlKind": "Approval",
    "UnfalsifiedClearanceCount": 1,
    "AllClearancesAreUnfalsified": true,
    "StaleAtRunCount": 0,
    "WasStaleWhenIRanIt": false,
    "StalenessAnswerIsTenseDependent": false,
    "HasAnyDeclaredCheck": true,
    "PerformedCheckCount": 2,
    "DeclaredCheckCount": 2,
    "IsUncheckedByDesign": false,
    "IsVacuouslyClean": false,
    "IsSubstantivelyClean": false,
    "VacuouslyCleanExecutionKey": null,
    "UncorroboratedPassCount": 0,
    "EvidencePositionIsWeak": false,
    "PreparationExecutionKey": null,
    "ApprovalExecutionKey": "exec-close-2026-q2",
    "HasGoverningInstrument": true,
    "HasApprovedChangeCoverage": true,
    "VersionOfStep": "close-v1.1.0",
    "IsUngovernedDivergence": false,
    "UngovernedDivergenceExecutionKey": null,
    "SelfAttestedApprovalExecutionKey": "exec-close-2026-q2"
   },
   {
    "StepExecutionId": "se-close06",
    "ProcedureExecution": "exec-close-2026-q2",
    "Step": "close-06",
    "ExecutedByAgent": "priya-raman",
    "ExecutionStatus": "Completed",
    "StartedAt": "2026-07-02T09:00:00-05:00",
    "EndedAt": "2026-07-02T09:22:00-05:00",
    "VerificationResult": "PASS",
    "Deviation": "",
    "SemanticTypeIri": "https://w3id.org/pko#StepExecution",
    "Name": "exec-close-2026-q2 / close-06",
    "ActualDurationMinutes": 22,
    "ExpectedDurationMinutes": 30,
    "IsLate": false,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false,
    "AvailableExceptionCountForStep": 1,
    "HadUninvokedExceptionAvailable": false,
    "ExpectedVerificationCount": 1,
    "PerformedVerificationCount": 0,
    "SkippedVerificationCount": 1,
    "HasSkippedVerification": true,
    "ClaimsPassWithoutEvidence": true,
    "StepIsPreparation": false,
    "StepIsApproval": true,
    "PreparerAgentKey": null,
    "ApproverAgentKey": "exec-close-2026-q2|priya-raman",
    "PreparedByThisAgentCount": 0,
    "ViolatesSeparationOfDuties": false,
    "RequiredRoleForStep": "cfo",
    "ExecutorRoleKey": "priya-raman|cfo",
    "ExecutorAuthorityCount": 1,
    "ExecutorHeldRequiredRole": true,
    "IsUnauthorizedApproval": false,
    "CompletedExecutionKey": "exec-close-2026-q2",
    "ControlBreachExecutionKey": "exec-close-2026-q2",
    "LateExecutionKey": null,
    "ExecutorAgentKind": "Human",
    "ExecutorIsHuman": true,
    "StepRequiresHumanConfirmation": true,
    "NonHumanRanHumanStep": false,
    "NonHumanApproval": false,
    "UnevaluatedBlockingExecutionKey": null,
    "SeparationViolationExecutionKey": null,
    "SelfWitnessedVerificationCount": 0,
    "UnbackedVerificationCount": 0,
    "ApprovalRestsOnSelfAttestation": true,
    "ExceptionInvocationCount": 0,
    "RanUnderException": false,
    "IsCompleted": true,
    "IsVerificationPassed": true,
    "IsLegalReviewStep": false,
    "ClearedLegalReviewKey": null,
    "AssignedRole": "cfo",
    "RoleCurrentAgent": "priya-raman",
    "ExecutorIsDesignatedAgent": true,
    "InputsWereFreshAtRun": true,
    "RanOnStaleInputs": false,
    "UnresolvedIssueCount": 0,
    "HasDeviation": false,
    "IsClean": true,
    "ProcedureExecutionWhenUnclean": null,
    "EvaluatedRequirementCount": 1,
    "RequiredBlockingCount": 1,
    "HasUnevaluatedBlockingRequirement": false,
    "ExecutingAgentKind": "Human",
    "WasExecutedBySoftware": false,
    "StepIsSoftwareAssigned": false,
    "SoftwareDidHumanWork": false,
    "IsApprovalExecution": true,
    "IsVerified": true,
    "UnconfirmedNonHumanDecisionCount": 0,
    "RequiresHumanConfirmation": true,
    "HumanConfirmationMissing": false,
    "DraftedFromUnusableSource": false,
    "InputsWereUsable": true,
    "SoftwareExecutionStepKey": null,
    "StepControlKind": "Approval",
    "UnfalsifiedClearanceCount": 1,
    "AllClearancesAreUnfalsified": true,
    "StaleAtRunCount": 0,
    "WasStaleWhenIRanIt": false,
    "StalenessAnswerIsTenseDependent": false,
    "HasAnyDeclaredCheck": true,
    "PerformedCheckCount": 1,
    "DeclaredCheckCount": 2,
    "IsUncheckedByDesign": false,
    "IsVacuouslyClean": false,
    "IsSubstantivelyClean": false,
    "VacuouslyCleanExecutionKey": null,
    "UncorroboratedPassCount": 0,
    "EvidencePositionIsWeak": false,
    "PreparationExecutionKey": null,
    "ApprovalExecutionKey": "exec-close-2026-q2",
    "HasGoverningInstrument": true,
    "HasApprovedChangeCoverage": true,
    "VersionOfStep": "close-v1.1.0",
    "IsUngovernedDivergence": false,
    "UngovernedDivergenceExecutionKey": null,
    "SelfAttestedApprovalExecutionKey": "exec-close-2026-q2"
   },
   {
    "StepExecutionId": "se-close07",
    "ProcedureExecution": "exec-close-2026-q2",
    "Step": "close-07",
    "ExecutedByAgent": "close-pipeline",
    "ExecutionStatus": "Completed",
    "StartedAt": "2026-07-02T09:22:00-05:00",
    "EndedAt": "2026-07-02T09:39:00-05:00",
    "VerificationResult": "PASS",
    "Deviation": "",
    "SemanticTypeIri": "https://w3id.org/pko#StepExecution",
    "Name": "exec-close-2026-q2 / close-07",
    "ActualDurationMinutes": 17,
    "ExpectedDurationMinutes": 20,
    "IsLate": false,
    "BlockingUnmetCount": 0,
    "BlockingUnmetCountSafe": 0,
    "ProceededPastBlockingControl": false,
    "ExpectedBlockingCount": 0,
    "EvaluatedBlockingCount": 0,
    "UnevaluatedBlockingCount": 0,
    "HasUnevaluatedBlockingControl": false,
    "StaleAuthoritativeSourceCount": 0,
    "RanOnStaleAuthoritativeSource": false,
    "HasDeviationNote": false,
    "IsLateAndUnexplained": false,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"close-automation",
    "ExecutorRoleKey": "close-pipeline|close-automation",
    "ExecutorAuthorityCount": 1,
    "ExecutorHeldRequiredRole": true,
    "IsUnauthorizedApproval": false,
    "CompletedExecutionKey": "exec-close-2026-q2",
    "ControlBreachExecutionKey": null,
    "LateExecutionKey": null,
    "ExecutorAgentKind": "AutomatedPipeline",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"close-automation",
    "RoleCurrentAgent": "close-pipeline",
    "ExecutorIsDesignatedAgent": true,
    "InputsWereFreshAtRun": true,
    "RanOnStaleInputs": false,
    "UnresolvedIssueCount": 0,
    "HasDeviation": false,
    "IsClean": true,
    "ProcedureExecutionWhenUnclean": null,
    "EvaluatedRequirementCount": 0,
    "RequiredBlockingCount": 0,
    "HasUnevaluatedBlockingRequirement": false,
    "ExecutingAgentKind": "AutomatedPipeline",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"close-07",
    "StepControlKind": "Publication",
    "UnfalsifiedClearanceCount": 0,
    "AllClearancesAreUnfalsified": false,
    "StaleAtRunCount": 0,
    "WasStaleWhenIRanIt": false,
    "StalenessAnswerIsTenseDependent": false,
    "HasAnyDeclaredCheck": false,
    "PerformedCheckCount": 0,
    "DeclaredCheckCount": 0,
    "IsUncheckedByDesign": true,
    "IsVacuouslyClean": true,
    "IsSubstantivelyClean": false,
    "VacuouslyCleanExecutionKey": "exec-close-2026-q2",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"se-close08",
    "ProcedureExecution": "exec-close-2026-q2",
    "Step": "close-08",
    "ExecutedByAgent": "elena-garcia",
    "ExecutionStatus": "Completed",
    "StartedAt": "2026-07-02T14:00:00-05:00",
    "EndedAt": "2026-07-02T16:45:00-05:00",
    "VerificationResult": "PASS",
    "Deviation": "Retrospective captured timestamp failure mode.",
    "SemanticTypeIri": "https://w3id.org/pko#StepExecution",
    "Name": "exec-close-2026-q2 / close-08",
    "ActualDurationMinutes": 165,
    "ExpectedDurationMinutes": 45,
    "IsLate": true,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true,
    "IsLateAndUnexplained": false,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"process-steward",
    "ExecutorRoleKey": "elena-garcia|process-steward",
    "ExecutorAuthorityCount": 1,
    "ExecutorHeldRequiredRole": true,
    "IsUnauthorizedApproval": false,
    "CompletedExecutionKey": "exec-close-2026-q2",
    "ControlBreachExecutionKey": null,
    "LateExecutionKey": "exec-close-2026-q2",
    "ExecutorAgentKind": "Human",
    "ExecutorIsHuman": true,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"process-steward",
    "RoleCurrentAgent": "elena-garcia",
    "ExecutorIsDesignatedAgent": true,
    "InputsWereFreshAtRun": true,
    "RanOnStaleInputs": false,
    "UnresolvedIssueCount": 0,
    "HasDeviation": true,
    "IsClean": false,
    "ProcedureExecutionWhenUnclean": "exec-close-2026-q2",
    "EvaluatedRequirementCount": 1,
    "RequiredBlockingCount": 1,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false,
    "InputsWereUsable": true,
    "SoftwareExecutionStepKey": null,
    "StepControlKind": "Retrospective",
    "UnfalsifiedClearanceCount": 0,
    "AllClearancesAreUnfalsified": false,
    "StaleAtRunCount": 0,
    "WasStaleWhenIRanIt": false,
    "StalenessAnswerIsTenseDependent": false,
    "HasAnyDeclaredCheck": true,
    "PerformedCheckCount": 1,
    "DeclaredCheckCount": 1,
    "IsUncheckedByDesign": false,
    "IsVacuouslyClean": false,
    "IsSubstantivelyClean": false,
    "VacuouslyCleanExecutionKey": null,
    "UncorroboratedPassCount": 0,
    "EvidencePositionIsWeak": false,
    "PreparationExecutionKey": null,
    "ApprovalExecutionKey": null,
    "HasGoverningInstrument": true,
    "HasApprovedChangeCoverage": true,
    "VersionOfStep": "close-v1.1.0",
    "IsUngovernedDivergence": false,
    "UngovernedDivergenceExecutionKey": null,
    "SelfAttestedApprovalExecutionKey": null
   },
   {
    "StepExecutionId": "se-policy01",
    "ProcedureExecution": "exec-policy-hr4821",
    "Step": "policy-01",
    "ExecutedByAgent": "elena-garcia",
    "ExecutionStatus": "Completed",
    "StartedAt": "2026-07-18T09:00:00-05:00",
    "EndedAt": "2026-07-18T09:24:00-05:00",
    "VerificationResult": "PASS",
    "Deviation": "",
    "SemanticTypeIri": "https://w3id.org/pko#StepExecution",
    "Name": "exec-policy-hr4821 / policy-01",
    "ActualDurationMinutes": 24,
    "ExpectedDurationMinutes": 30,
    "IsLate": false,
    "BlockingUnmetCount": 0,
    "BlockingUnmetCountSafe": 0,
    "ProceededPastBlockingControl": false,
    "ExpectedBlockingCount": 0,
    "EvaluatedBlockingCount": 0,
    "UnevaluatedBlockingCount": 0,
    "HasUnevaluatedBlockingControl": false,
    "StaleAuthoritativeSourceCount": 1,
    "RanOnStaleAuthoritativeSource": true,
    "HasDeviationNote": false,
    "IsLateAndUnexplained": false,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"hr-policy-owner",
    "ExecutorRoleKey": "elena-garcia|hr-policy-owner",
    "ExecutorAuthorityCount": 1,
    "ExecutorHeldRequiredRole": true,
    "IsUnauthorizedApproval": false,
    "CompletedExecutionKey": "exec-policy-hr4821",
    "ControlBreachExecutionKey": null,
    "LateExecutionKey": null,
    "ExecutorAgentKind": "Human",
    "ExecutorIsHuman": true,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"hr-policy-owner",
    "RoleCurrentAgent": "elena-garcia",
    "ExecutorIsDesignatedAgent": true,
    "InputsWereFreshAtRun": false,
    "RanOnStaleInputs": true,
    "UnresolvedIssueCount": 0,
    "HasDeviation": false,
    "IsClean": true,
    "ProcedureExecutionWhenUnclean": null,
    "EvaluatedRequirementCount": 0,
    "RequiredBlockingCount": 0,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true,
    "InputsWereUsable": false,
    "SoftwareExecutionStepKey": null,
    "StepControlKind": "Preparation",
    "UnfalsifiedClearanceCount": 0,
    "AllClearancesAreUnfalsified": false,
    "StaleAtRunCount": 0,
    "WasStaleWhenIRanIt": false,
    "StalenessAnswerIsTenseDependent": true,
    "HasAnyDeclaredCheck": false,
    "PerformedCheckCount": 0,
    "DeclaredCheckCount": 0,
    "IsUncheckedByDesign": true,
    "IsVacuouslyClean": true,
    "IsSubstantivelyClean": false,
    "VacuouslyCleanExecutionKey": "exec-policy-hr4821",
    "UncorroboratedPassCount": 0,
    "EvidencePositionIsWeak": false,
    "PreparationExecutionKey": null,
    "ApprovalExecutionKey": null,
    "HasGoverningInstrument": false,
    "HasApprovedChangeCoverage": false,
    "VersionOfStep": "policy-v1.0.0",
    "IsUngovernedDivergence": false,
    "UngovernedDivergenceExecutionKey": null,
    "SelfAttestedApprovalExecutionKey": null
   },
   {
    "StepExecutionId": "se-policy02",
    "ProcedureExecution": "exec-policy-hr4821",
    "Step": "policy-02",
    "ExecutedByAgent": "elena-garcia",
    "ExecutionStatus": "Completed",
    "StartedAt": "2026-07-18T09:30:00-05:00",
    "EndedAt": "2026-07-18T12:45:00-05:00",
    "VerificationResult": "PASS",
    "Deviation": "",
    "SemanticTypeIri": "https://w3id.org/pko#StepExecution",
    "Name": "exec-policy-hr4821 / policy-02",
    "ActualDurationMinutes": 195,
    "ExpectedDurationMinutes": 180,
    "IsLate": true,
    "BlockingUnmetCount": 0,
    "BlockingUnmetCountSafe": 0,
    "ProceededPastBlockingControl": false,
    "ExpectedBlockingCount": 0,
    "EvaluatedBlockingCount": 0,
    "UnevaluatedBlockingCount": 0,
    "HasUnevaluatedBlockingControl": false,
    "StaleAuthoritativeSourceCount": 0,
    "RanOnStaleAuthoritativeSource": false,
    "HasDeviationNote": false,
    "IsLateAndUnexplained": true,
    "AvailableExceptionCountForStep": 0,
    "HadUninvokedExceptionAvailable": false,
    "ExpectedVerificationCount": 0,
    "PerformedVerificationCount": 0,
    "SkippedVerificationCount": 0,
    "HasSkippedVerification": false,
    "ClaimsPassWithoutEvidence": false,
    "StepIsPreparation": false,
    "StepIsApproval": false,
    "PreparerAgentKey": null,
    "ApproverAgentKey": null,
    "PreparedByThisAgentCount": 10,
    "ViolatesSeparationOfDuties": false,
    "RequiredRoleForStep": "process-steward",
    "ExecutorRoleKey": "elena-garcia|process-steward",
    "ExecutorAuthorityCount": 1,
    "ExecutorHeldRequiredRole": true,
    "IsUnauthorizedApproval": false,
    "CompletedExecutionKey": "exec-policy-hr4821",
    "ControlBreachExecutionKey": null,
    "LateExecutionKey"</t>
  </si>
  <si>
    <t xml:space="preserve">: "exec-policy-hr4821",
    "ExecutorAgentKind": "Human",
    "ExecutorIsHuman": true,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"process-steward",
    "RoleCurrentAgent": "elena-garcia",
    "ExecutorIsDesignatedAgent": true,
    "InputsWereFreshAtRun": true,
    "RanOnStaleInputs": false,
    "UnresolvedIssueCount": 0,
    "HasDeviation": false,
    "IsClean": false,
    "ProcedureExecutionWhenUnclean": "exec-policy-hr4821",
    "EvaluatedRequirementCount": 0,
    "RequiredBlockingCount": 0,
    "HasUnevaluatedBlockingRequirement": false,
    "ExecutingAgentKind": "Human",
    "WasExecutedBySoftware": false,
    "StepIsSoftwareAssigned": false,
    "SoftwareDidHumanWork": false,
    "IsApprovalExecution": false,
    "IsVerified": true,
    "UnconfirmedNonHumanDecisionCount": 0,
    "RequiresHumanConfirmation": false,
    "HumanConfirmationMissing": false,
    "DraftedFromUnusableSource": false,
    "InputsWereUsable": true,
    "SoftwareExecutionStepKey": null,
    "StepControlKind": "Preparation",
    "UnfalsifiedClearanceCount": 0,
    "AllClearancesAreUnfalsified": false,
    "StaleAtRunCount": 0,
    "WasStaleWhenIRanIt": false,
    "StalenessAnswerIsTenseDependent": false,
    "HasAnyDeclaredCheck": false,
    "PerformedCheckCount": 0,
    "DeclaredCheckCount": 0,
    "IsUncheckedByDesign": true,
    "IsVacuouslyClean": false,
    "IsSubstantivelyClean": false,
    "VacuouslyCleanExecutionKey": null,
    "UncorroboratedPassCount": 0,
    "EvidencePositionIsWeak": false,
    "PreparationExecutionKey": null,
    "ApprovalExecutionKey": null,
    "HasGoverningInstrument": false,
    "HasApprovedChangeCoverage": false,
    "VersionOfStep": "policy-v1.0.0",
    "IsUngovernedDivergence": true,
    "UngovernedDivergenceExecutionKey": "exec-policy-hr4821",
    "SelfAttestedApprovalExecutionKey": null
   },
   {
    "StepExecutionId": "se-policy03",
    "ProcedureExecution": "exec-policy-hr4821",
    "Step": "policy-03",
    "ExecutedByAgent": "policy-drafting-ai",
    "ExecutionStatus": "Completed",
    "StartedAt": "2026-07-18T13:00:00-05:00",
    "EndedAt": "2026-07-18T14:02:00-05:00",
    "VerificationResult": "PASS",
    "Deviation": "",
    "SemanticTypeIri": "https://w3id.org/pko#StepExecution",
    "Name": "exec-policy-hr4821 / policy-03",
    "ActualDurationMinutes": 62,
    "ExpectedDurationMinutes": 90,
    "IsLate": false,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false,
    "IsLateAndUnexplained": false,
    "AvailableExceptionCountForStep": 0,
    "HadUninvokedExceptionAvailable": false,
    "ExpectedVerificationCount": 1,
    "PerformedVerificationCount": 0,
    "SkippedVerificationCount": 1,
    "HasSkippedVerification": true,
    "ClaimsPassWithoutEvidence": true,
    "StepIsPreparation": false,
    "StepIsApproval": false,
    "PreparerAgentKey": null,
    "ApproverAgentKey": null,
    "PreparedByThisAgentCount": 10,
    "ViolatesSeparationOfDuties": false,
    "RequiredRoleForStep": "policy-drafting-agent",
    "ExecutorRoleKey": "policy-drafting-ai|policy-drafting-agent",
    "ExecutorAuthorityCount": 1,
    "ExecutorHeldRequiredRole": true,
    "IsUnauthorizedApproval": false,
    "CompletedExecutionKey": "exec-policy-hr4821",
    "ControlBreachExecutionKey": "exec-policy-hr4821",
    "LateExecutionKey": null,
    "ExecutorAgentKind": "AIAgent",
    "ExecutorIsHuman": false,
    "StepRequiresHumanConfirmation": false,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false,
    "ClearedLegalReviewKey": null,
    "AssignedRole": "policy-drafting-agent",
    "RoleCurrentAgent": "policy-drafting-ai",
    "ExecutorIsDesignatedAgent": true,
    "InputsWereFreshAtRun": true,
    "RanOnStaleInputs": false,
    "UnresolvedIssueCount": 0,
    "HasDeviation": false,
    "IsClean": true,
    "ProcedureExecutionWhenUnclean": null,
    "EvaluatedRequirementCount": 1,
    "RequiredBlockingCount": 1,
    "HasUnevaluatedBlockingRequirement": false,
    "ExecutingAgentKind": "AIAgent",
    "WasExecutedBySoftware": true,
    "StepIsSoftwareAssigned": true,
    "SoftwareDidHumanWork": false,
    "IsApprovalExecution": false,
    "IsVerified": true,
    "UnconfirmedNonHumanDecisionCount": 0,
    "RequiresHumanConfirmation": false,
    "HumanConfirmationMissing": false,
    "DraftedFromUnusableSource": false,
    "InputsWereUsable": true,
    "SoftwareExecutionStepKey": "policy-03",
    "StepControlKind": "Preparation",
    "UnfalsifiedClearanceCount": 1,
    "AllClearancesAreUnfalsified": true,
    "StaleAtRunCount": 0,
    "WasStaleWhenIRanIt": false,
    "StalenessAnswerIsTenseDependent": false,
    "HasAnyDeclaredCheck": true,
    "PerformedCheckCount": 1,
    "DeclaredCheckCount": 2,
    "IsUncheckedByDesign": false,
    "IsVacuouslyClean": false,
    "IsSubstantivelyClean": false,
    "VacuouslyCleanExecutionKey": null,
    "UncorroboratedPassCount": 0,
    "EvidencePositionIsWeak": false,
    "PreparationExecutionKey": null,
    "ApprovalExecutionKey": null,
    "HasGoverningInstrument": false,
    "HasApprovedChangeCoverage": false,
    "VersionOfStep": "policy-v1.0.0",
    "IsUngovernedDivergence": false,
    "UngovernedDivergenceExecutionKey": null,
    "SelfAttestedApprovalExecutionKey": null
   },
   {
    "StepExecutionId": "se-policy04",
    "ProcedureExecution": "exec-policy-hr4821",
    "Step": "policy-04",
    "ExecutedByAgent": "noah-williams",
    "ExecutionStatus": "Completed",
    "StartedAt": "2026-07-19T09:00:00-05:00",
    "EndedAt": "2026-07-19T13:45:00-05:00",
    "VerificationResult": "PASS",
    "Deviation": "Legal review in progress.",
    "SemanticTypeIri": "https://w3id.org/pko#StepExecution",
    "Name": "exec-policy-hr4821 / policy-04",
    "ActualDurationMinutes": 285,
    "ExpectedDurationMinutes": 120,
    "IsLate": true,
    "BlockingUnmetCount": 0,
    "BlockingUnmetCountSafe": 0,
    "ProceededPastBlockingControl": false,
    "ExpectedBlockingCount": 1,
    "EvaluatedBlockingCount": 1,
    "UnevaluatedBlockingCount": 0,
    "HasUnevaluatedBlockingControl": false,
    "StaleAuthoritativeSourceCount": 0,
    "RanOnStaleAuthoritativeSource": false,
    "HasDeviationNote": true,
    "IsLateAndUnexplained": false,
    "AvailableExceptionCountForStep": 0,
    "HadUninvokedExceptionAvailable": false,
    "ExpectedVerificationCount": 1,
    "PerformedVerificationCount": 0,
    "SkippedVerificationCount": 1,
    "HasSkippedVerification": true,
    "ClaimsPassWithoutEvidence": true,
    "StepIsPreparation": false,
    "StepIsApproval": false,
    "PreparerAgentKey": null,
    "ApproverAgentKey": null,
    "PreparedByThisAgentCount": 10,
    "ViolatesSeparationOfDuties": false,
    "RequiredRoleForStep": "employment-counsel",
    "ExecutorRoleKey": "noah-williams|employment-counsel",
    "ExecutorAuthorityCount": 1,
    "ExecutorHeldRequiredRole": true,
    "IsUnauthorizedApproval": false,
    "CompletedExecutionKey": "exec-policy-hr4821",
    "ControlBreachExecutionKey": "exec-policy-hr4821",
    "LateExecutionKey": "exec-policy-hr4821",
    "ExecutorAgentKind": "Human",
    "ExecutorIsHuman": true,
    "StepRequiresHumanConfirmation": true,
    "NonHumanRanHumanStep": false,
    "NonHumanApproval": false,
    "UnevaluatedBlockingExecutionKey": null,
    "SeparationViolationExecutionKey": null,
    "SelfWitnessedVerificationCount": 0,
    "UnbackedVerificationCount": 0,
    "ApprovalRestsOnSelfAttestation": false,
    "ExceptionInvocationCount": 0,
    "RanUnderException": false,
    "IsCompleted": true,
    "IsVerificationPassed": true,
    "IsLegalReviewStep": true,
    "ClearedLegalReviewKey": "exec-policy-hr4821",
    "AssignedRole": "employment-counsel",
    "RoleCurrentAgent": "noah-williams",
    "ExecutorIsDesignatedAgent": true,
    "InputsWereFreshAtRun": true,
    "RanOnStaleInputs": false,
    "UnresolvedIssueCount": 1,
    "HasDeviation": true,
    "IsClean": false,
    "ProcedureExecutionWhenUnclean": "exec-policy-hr4821",
    "EvaluatedRequirementCount": 1,
    "RequiredBlockingCount": 1,
    "HasUnevaluatedBlockingRequirement": false,
    "ExecutingAgentKind": "Human",
    "WasExecutedBySoftware": false,
    "StepIsSoftwareAssigned": false,
    "SoftwareDidHumanWork": false,
    "IsApprovalExecution": false,
    "IsVerified": true,
    "UnconfirmedNonHumanDecisionCount": 0,
    "RequiresHumanConfirmation": true,
    "HumanConfirmationMissing": false,
    "DraftedFromUnusableSource": false,
    "InputsWereUsable": true,
    "SoftwareExecutionStepKey": null,
    "StepControlKind": "LegalReview",
    "UnfalsifiedClearanceCount": 1,
    "AllClearancesAreUnfalsified": true,
    "StaleAtRunCount": 0,
    "WasStaleWhenIRanIt": false,
    "StalenessAnswerIsTenseDependent": false,
    "HasAnyDeclaredCheck": true,
    "PerformedCheckCount": 1,
    "DeclaredCheckCount": 2,
    "IsUncheckedByDesign": false,
    "IsVacuouslyClean": false,
    "IsSubstantivelyClean": false,
    "VacuouslyCleanExecutionKey": null,
    "UncorroboratedPassCount": 0,
    "EvidencePositionIsWeak": false,
    "PreparationExecutionKey": null,
    "ApprovalExecutionKey": null,
    "HasGoverningInstrument": false,
    "HasApprovedChangeCoverage": false,
    "VersionOfStep": "policy-v1.0.0",
    "IsUngovernedDivergence": true,
    "UngovernedDivergenceExecutionKey": "exec-policy-hr4821",
    "SelfAttestedApprovalExecutionKey": null
   }
  ]
 },
 "RequirementSatisfactions": {
  "Description": "Execution-time evaluations of requirements. Maps to pko:RequirementSatisfaction, refersToRequirement, and hasRequirementSatisfactionLevel.",
  "important": false,
  "schema": [
   {
    "name": "RequirementSatisfactionId",
    "datatype": "string",
    "type": "raw",
    "nullable": false,
    "Description": "Stored logical identifier for one RequirementSatisfactions row."
   },
   {
    "name": "Name",
    "datatype": "string",
    "type": "calculated",
    "nullable": true,
    "Description": "Human-readable calculated display alias for the RequirementSatisfactions row.",
    "formula": "={{Requirement}} &amp; \" / \" &amp; {{SatisfactionLevel}}"
   },
   {
    "name": "StepExecution",
    "datatype": "string",
    "type": "relationship",
    "nullable": true,
    "Description": "Execution being evaluated.",
    "RelatedTo": "StepExecutions"
   },
   {
    "name": "Requirement",
    "datatype": "string",
    "type": "relationship",
    "nullable": true,
    "Description": "Requirement evaluated.",
    "RelatedTo": "Requirements"
   },
   {
    "name": "SatisfactionLevel",
    "datatype": "string",
    "type": "raw",
    "nullable": true,
    "Description": "NotEvaluated, NotSatisfied, PartiallySatisfied, or Satisfied."
   },
   {
    "name": "Evidence",
    "datatype": "string",
    "type": "raw",
    "nullable": true,
    "Description": "Evidence supporting the evaluation."
   },
   {
    "name": "EvaluatedByAgent",
    "datatype": "string",
    "type": "relationship",
    "nullable": true,
    "Description": "Agent that evaluated satisfaction.",
    "RelatedTo": "Agents"
   },
   {
    "name": "EvaluatedAt",
    "datatype": "datetime",
    "type": "raw",
    "nullable": true,
    "Description": "Evaluation timestamp."
   },
   {
    "name": "RequirementIsBlocking",
    "datatype": "boolean",
    "type": "lookup",
    "nullable": true,
    "Description": "Whether the requirement being evaluated on this satisfaction row is a blocking control.",
    "formula": "=INDEX(Requirements!{{IsBlocking}}, MATCH({{Requirement}}, Requirements!{{RequirementId}}, 0))"
   },
   {
    "name": "IsFullySatisfied",
    "datatype": "boolean",
    "type": "calculated",
    "nullable": true,
    "Description": "TRUE only when the requirement is recorded as fully Satisfied. PartiallySatisfied, Unsatisfied, Waived, and blank are all FALSE.",
    "formula": "={{SatisfactionLevel}} = \"Satisfied\""
   },
   {
    "name": "IsBlockingAndUnmet",
    "datatype": "boolean",
    "type": "calculated",
    "nullable": true,
    "Description": "TRUE when a blocking requirement is recorded at anything less than fully Satisfied. This is the control-failure witness at the requirement grain.",
    "formula": "=AND({{RequirementIsBlocking}}, NOT({{IsFullySatisfied}}))"
   },
   {
    "name": "BlockingUnmetStepKey",
    "datatype": "string",
    "type": "calculated",
    "nullable": true,
    "Description": "Echoes the parent StepExecution id only when this row is a blocking-unmet violation; empty string otherwise.",
    "formula": "=IF({{IsBlockingAndUnmet}}, {{StepExecution}}, \"\")"
   },
   {
    "name": "BlockingSatisfactionStepKey",
    "datatype": "string",
    "type": "calculated",
    "nullable": true,
    "Description": "Echoes the parent StepExecution id when this satisfaction row concerns a blocking requirement.",
    "formula": "=IF({{RequirementIsBlocking}}, {{StepExecution}}, \"\")"
   },
   {
    "name": "NegativeOutcomeRequirementKey",
    "datatype": "string",
    "type": "calculated",
    "nullable": true,
    "Description": "Echoes the Requirement id only when this evaluation came out at less than fully Satisfied.",
    "formula": "=IF(NOT({{IsFullySatisfied}}), {{Requirement}}, \"\")"
   },
   {
    "name": "EvaluatorAgentKind",
    "datatype": "string",
    "type": "lookup",
    "nullable": true,
    "Description": "What kind of agent evaluated this requirement satisfaction.",
    "formula": "=INDEX(Agents!{{AgentKind}}, MATCH({{EvaluatedByAgent}}, Agents!{{AgentId}}, 0))"
   },
   {
    "name": "NonHumanEvaluatedHumanControl",
    "datatype": "boolean",
    "type": "calculated",
    "nullable": true,
    "Description": "TRUE when a blocking requirement was evaluated by a non-human agent.",
    "formula": "=AND({{RequirementIsBlocking}}, {{EvaluatorAgentKind}} &lt;&gt; \"Human\")"
   },
   {
    "name": "RequirementHasComputedWitness",
    "datatype": "boolean",
    "type": "lookup",
    "nullable": true,
    "Description": "Whether the requirement this row evaluates has a computed witness behind it.",
    "formula": "=INDEX(Requirements!{{HasComputedWitness}}, MATCH({{Requirement}}, Requirements!{{RequirementId}}, 0))"
   },
   {
    "name": "IsAssertedOnly",
    "datatype": "boolean",
    "type": "calculated",
    "nullable": true,
    "Description": "TRUE when a blocking requirement is recorded as Satisfied purely on human assertion, with no computed predicate behind it.",
    "formula": "=AND({{RequirementIsBlocking}}, {{IsFullySatisfied}}, NOT({{RequirementHasComputedWitness}}))"
   },
   {
    "name": "AssertedOnlyExecutionKey",
    "datatype": "string",
    "type": "calculated",
    "nullable": true,
    "Description": "Echoes the grandparent procedure execution id for assertion-only satisfactions.",
    "formula": "=IF({{IsAssertedOnly}}, {{ParentProcedureExecution}}, \"\")"
   },
   {
    "name": "ParentProcedureExecution",
    "datatype": "string",
    "type": "lookup",
    "nullable": true,
    "Description": "The procedure execution this satisfaction ultimately belongs to.",
    "formula": "=INDEX(StepExecutions!{{ProcedureExecution}}, MATCH({{StepExecution}}, StepExecutions!{{StepExecutionId}}, 0))"
   },
   {
    "name": "StepExecutionWhenScored",
    "datatype": "string",
    "type": "calculated",
    "nullable": true,
    "Description": "Echoes the step-execution id when a satisfaction level was actually recorded, blank otherwise.",
    "formula": "=IF({{SatisfactionLevel}} &lt;&gt; \"\", {{StepExecution}}, \"\")"
   },
   {
    "name": "IsHumanEvaluated",
    "datatype": "boolean",
    "type": "calculated",
    "nullable": true,
    "Description": "TRUE when a human evaluated this requirement satisfaction.",
    "formula": "={{EvaluatorAgentKind}} = \"Human\""
   },
   {
    "name": "RequirementIsApprovalType",
    "datatype": "string",
    "type": "lookup",
    "nullable": true,
    "Description": "The requirement's type, e.g. Approval, Control, Privacy.",
    "formula": "=INDEX(Requirements!{{RequirementType}}, MATCH({{Requirement}}, Requirements!{{RequirementId}}, 0))"
   },
   {
    "name": "IsInvalidApproval",
    "datatype": "boolean",
    "type": "calculated",
    "nullable": true,
    "Description": "TRUE when an approval-type requirement is not fully satisfied, or was not evaluated by a human.",
    "formula": "=AND({{RequirementIsApprovalType}} = \"Approval\", OR(NOT({{IsFullySatisfied}}), NOT({{IsHumanEvaluated}})))"
   },
   {
    "name": "ProcedureExecutionOfSatisfaction",
    "datatype": "string",
    "type": "lookup",
    "nullable": true,
    "Description": "The run this satisfaction belongs to.",
    "formula": "=INDEX(StepExecutions!{{ProcedureExecution}}, MATCH({{StepExecution}}, StepExecutions!{{StepExecutionId}}, 0))"
   },
   {
    "name": "RunWhenInvalidApproval",
    "datatype": "string",
    "type": "calculated",
    "nullable": true,
    "Description": "Echoes the run id when this is an invalid approval, blank otherwise.",
    "formula": "=IF({{IsInvalidApproval}}, {{ProcedureExecutionOfSatisfaction}}, \"\")"
   },
   {
    "name": "RequirementIsUnfalsified",
    "datatype": "boolean",
    "type": "lookup",
    "nullable": true,
    "Description": "Whether the requirement behind this satisfaction record has never once returned a negative result.",
    "formula": "=INDEX(Requirements!{{IsUnfalsifiedControl}}, MATCH({{Requirement}}, Requirements!{{RequirementId}}, 0))"
   },
   {
    "name": "IsClearanceByUnfalsifiedControl",
    "datatype": "boolean",
    "type": "calculated",
    "nullable": true,
    "Description": "TRUE when this record cleared a step against a blocking control that has never produced a negative outcome.",
    "formula": "=AND({{IsFullySatisfied}}, {{RequirementIsBlocking}}, {{RequirementIsUnfalsified}})"
   },
   {
    "name": "UnfalsifiedClearanceStepKey",
    "datatype": "string",
    "type": "calculated",
    "nullable": true,
    "Description": "Echoes the step execution id when this clearance came from an unfalsified control.",
    "formula": "=IF({{IsClearanceByUnfalsifiedControl}}, {{StepExecution}}, \"\")"
   },
   {
    "name": "SpecStepOfExecution",
    "datatype": "string",
    "type": "lookup",
    "nullable": true,
    "Description": "The specification step behind the step execution this satisfaction was recorded against.",
    "formula": "=INDEX(StepExecutions!{{Step}}, MATCH({{StepExecution}}, StepExecutions!{{StepExecutionId}}, 0))"
   },
   {
    "name": "BindingKey",
    "datatype": "string",
    "type": "lookup",
    "nullable": true,
    "Description": "The StepRequirements binding this satisfaction record exercised.",
    "formula": "=INDEX(StepRequirements!{{StepRequirementId}}, MATCH({{RequirementSatisfactionId}}, StepRequirements!{{StepRequirementId}}, 0))"
   },
   {
    "name": "ScoredStepExecutorAgent",
    "datatype": "string",
    "type": "lookup",
    "nullable": true,
    "Description": "The agent who executed the step this satisfaction record scores.",
    "formula": "=INDEX(StepExecutions!{{ExecutedByAgent}}, MATCH({{StepExecution}}, StepExecutions!{{StepExecutionId}}, 0))"
   },
   {
    "name": "EvaluatorIsStepExecutor",
    "datatype": "boolean",
    "type": "calculated",
    "nullable": true,
    "Description": "TRUE when the agent who scored this control is the same agent who performed the step being scored.",
    "formula": "={{EvaluatedByAgent}} = {{ScoredStepExecutorAgent}}"
   },
   {
    "name": "RunOwnerAgent",
    "datatype": "string",
    "type": "lookup",
    "nullable": true,
    "Description": "The agent accountable for the whole procedure execution this satisfaction sits inside.",
    "formula": "=INDEX(ProcedureExecutions!{{ExecutedByAgent}}, MATCH({{ParentProcedureExecution}}, ProcedureExecutions!{{ProcedureExecutionId}}, 0))"
   },
   {
    "name": "EvaluatorOwnsTheRun",
    "datatype": "boolean",
    "type": "calculated",
    "nullable": true,
    "Description": "TRUE when the agent scoring this control is the agent accountable for the execution it belongs to.",
    "formula": "={{EvaluatedByAgent}} = {{RunOwnerAgent}}"
   },
   {
    "name": "IsInterestedPartyAssertion",
    "datatype": "boolean",
    "type": "calculated",
    "nullable": true,
    "Description": "TRUE when a blocking control's only evidence is an assertion made by someone with an interest in the outcome.",
    "formula": "=AND({{IsAssertedOnly}}, OR({{EvaluatorIsStepExecutor}}, {{EvaluatorOwnsTheRun}}))"
   },
   {
    "name": "HasWrittenEvidence",
    "datatype": "boolean",
    "type": "calculated",
    "nullable": true,
    "Description": "TRUE when this satisfaction record carries any evidence text at all.",
    "formula": "={{Evidence}} &lt;&gt; \"\""
   },
   {
    "name": "IsBareAssertion",
    "datatype": "boolean",
    "type": "calculated",
    "nullable": true,
    "Description": "TRUE when a blocking control was cleared with no computed witness and no written justification.",
    "formula": "=AND({{IsAssertedOnly}}, NOT({{HasWrittenEvidence}}))"
   },
   {
    "name": "InterestedAssertionExecutionKey",
    "datatype": "string",
    "type": "calculated",
    "nullable": true,
    "Description": "Echoes the parent execution id when this record is an interested-party assertion.",
    "formula": "=IF({{IsInterestedPartyAssertion}}, {{ParentProcedureExecution}}, \"\")"
   },
   {
    "name": "IsComputedlyWitnessed",
    "datatype": "boolean",
    "type": "calculated",
    "nullable": true,
    "Description": "TRUE when this record scores a blocking control that has a computed witness behind it.",
    "formula": "=AND({{RequirementIsBlocking}}, {{RequirementHasComputedWitness}})"
   },
   {
    "name": "ComputedWitnessExecutionKey",
    "datatype": "string",
    "type": "calculated",
    "nullable": true,
    "Description": "Echoes the parent execution id when this control was computationally witnessed.",
    "formula": "=IF({{IsComputedlyWitnessed}}, {{ParentProcedureExecution}}, \"\")"
   },
   {
    "name": "StepExecutorAgent",
    "datatype": "string",
    "type": "lookup",
    "nullable": true,
    "Description": "The agent who executed the step this satisfaction record scores.",
    "formula": "=INDEX(StepExecutions!{{ExecutedByAgent}}, MATCH({{StepExecution}}, StepExecutions!{{StepExecutionId}}, 0))"
   },
   {
    "name": "WasScoredAfterAttestation",
    "datatype": "boolean",
    "type": "calculated",
    "nullable": true,
    "Description": "TRUE when this control was scored after the run it belongs to had already been attested.",
    "formula": "=DATETIME_DIFF({{EvaluatedAt}}, {{AttestationInstantForRun}}, \"minutes\") &gt; 0"
   },
   {
    "name": "AttestationInstantForRun",
    "datatype": "datetime",
    "type": "lookup",
    "nullable": true,
    "Description": "When the parent execution was attested, if it has been.",
    "formula": "=INDEX(ProcedureExecutions!{{LatestAttestationInstant}}, MATCH({{ParentProcedureExecution}}, ProcedureExecutions!{{ProcedureExecutionId}}, 0))"
   },
   {
    "name": "PostAttestationScoreExecutionKey",
    "datatype": "string",
    "type": "calculated",
    "nullable": true,
    "Description": "Echoes the parent execution id when this control was scored after signature.",
    "formula": "=IF({{WasScoredAfterAttestation}}, {{ParentProcedureExecution}}, \"\")"
   },
   {
    "name": "SemanticTypeIri",
    "datatype": "string",
    "type": "raw",
    "nullable": true,
    "Description": "Exact PKO class IRI."
   }
  ],
  "data": [
   {
    "RequirementSatisfactionId": "sat-close-cutoff",
    "StepExecution": "se-close01",
    "Requirement": "req-close-cutoff",
    "SatisfactionLevel": "Satisfied",
    "Evidence": "ERP lock event verified.",
    "EvaluatedByAgent": "devon-okafor",
    "EvaluatedAt": "2026-07-19T10:00:00-05:00",
    "SemanticTypeIri": "https://w3id.org/pko#RequirementSatisfaction",
    "Name": "req-close-cutoff / Satisfied",
    "RequirementIsBlocking": true,
    "IsFullySatisfied": true,
    "IsBlockingAndUnmet": false,
    "BlockingUnmetStepKey": null,
    "BlockingSatisfactionStepKey": "se-close01",
    "NegativeOutcomeRequirementKey": null,
    "EvaluatorAgentKind": "Human",
    "NonHumanEvaluatedHumanControl": false,
    "RequirementHasComputedWitness": true,
    "IsAssertedOnly": false,
    "AssertedOnlyExecutionKey": null,
    "ParentProcedureExecution": "exec-close-2026-q2",
    "StepExecutionWhenScored": "se-close01",
    "IsHumanEvaluated": true,
    "RequirementIsApprovalType": "Control",
    "IsInvalidApproval": false,
    "ProcedureExecutionOfSatisfaction": "exec-close-2026-q2",
    "RunWhenInvalidApproval": null,
    "RequirementIsUnfalsified": true,
    "IsClearanceByUnfalsifiedControl": true,
    "UnfalsifiedClearanceStepKey": "se-close01",
    "SpecStepOfExecution": "close-01",
    "ScoredStepExecutorAgent": "close-pipeline",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"close-pipeline",
    "PostAttestationScoreExecutionKey": null,
    "BindingKey": null,
    "WasScoredAfterAttestation": false,
    "AttestationInstantForRun": null
   },
   {
    "RequirementSatisfactionId": "sat-close-balance",
    "StepExecution": "se-close03",
    "Requirement": "req-close-balance",
    "SatisfactionLevel": "Satisfied",
    "Evidence": "No unexplained material balance remained.",
    "EvaluatedByAgent": "devon-okafor",
    "EvaluatedAt": "2026-07-19T10:00:00-05:00",
    "SemanticTypeIri": "https://w3id.org/pko#RequirementSatisfaction",
    "Name": "req-close-balance / Satisfied",
    "RequirementIsBlocking": true,
    "IsFullySatisfied": true,
    "IsBlockingAndUnmet": false,
    "BlockingUnmetStepKey": null,
    "BlockingSatisfactionStepKey": "se-close03",
    "NegativeOutcomeRequirementKey": null,
    "EvaluatorAgentKind": "Human",
    "NonHumanEvaluatedHumanControl": false,
    "RequirementHasComputedWitness": true,
    "IsAssertedOnly": false,
    "AssertedOnlyExecutionKey": null,
    "ParentProcedureExecution": "exec-close-2026-q2",
    "StepExecutionWhenScored": "se-close03",
    "IsHumanEvaluated": true,
    "RequirementIsApprovalType": "Verification",
    "IsInvalidApproval": false,
    "ProcedureExecutionOfSatisfaction": "exec-close-2026-q2",
    "RunWhenInvalidApproval": null,
    "RequirementIsUnfalsified": true,
    "IsClearanceByUnfalsifiedControl": true,
    "UnfalsifiedClearanceStepKey": "se-close03",
    "SpecStepOfExecution": "close-03",
    "ScoredStepExecutorAgent": "maria-chen",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"maria-chen",
    "PostAttestationScoreExecutionKey": null,
    "BindingKey": null,
    "WasScoredAfterAttestation": false,
    "AttestationInstantForRun": null
   },
   {
    "RequirementSatisfactionId": "sat-close-separation",
    "StepExecution": "se-close05",
    "Requirement": "req-close-separation",
    "SatisfactionLevel": "Satisfied",
    "Evidence": "Preparer and reviewer were different agents.",
    "EvaluatedByAgent": "priya-raman",
    "EvaluatedAt": "2026-07-19T10:00:00-05:00",
    "SemanticTypeIri": "https://w3id.org/pko#RequirementSatisfaction",
    "Name": "req-close-separation / Satisfied",
    "RequirementIsBlocking": true,
    "IsFullySatisfied": true,
    "IsBlockingAndUnmet": false,
    "BlockingUnmetStepKey": null,
    "BlockingSatisfactionStepKey": "se-close05",
    "NegativeOutcomeRequirementKey": null,
    "EvaluatorAgentKind": "Human",
    "NonHumanEvaluatedHumanControl": false,
    "RequirementHasComputedWitness": true,
    "IsAssertedOnly": false,
    "AssertedOnlyExecutionKey": null,
    "ParentProcedureExecution": "exec-close-2026-q2",
    "StepExecutionWhenScored": "se-close05",
    "IsHumanEvaluated": true,
    "RequirementIsApprovalType": "Governance",
    "IsInvalidApproval": false,
    "ProcedureExecutionOfSatisfaction": "exec-close-2026-q2",
    "RunWhenInvalidApproval": null,
    "RequirementIsUnfalsified": true,
    "IsClearanceByUnfalsifiedControl": true,
    "UnfalsifiedClearanceStepKey": "se-close05",
    "SpecStepOfExecution": "close-05",
    "ScoredStepExecutorAgent": "devon-okafor",
    "EvaluatorIsStepExecutor": false,
    "RunOwnerAgent": "devon-okafor",
    "EvaluatorOwnsTheRun": false,
    "IsInterestedPartyAssertion": false,
    "HasWrittenEvidence": true,
    "IsBareAssertion": false,
    "InterestedAssertionExecutionKey": null,
    "IsComputedlyWitnessed": true,
    "ComputedWitnessExecutionKey": "exec-close-2026-q2",
    "StepExecutorAgent": "devon-okafor",
    "PostAttestationScoreExecutionKey": null,
    "BindingKey": null,
    "WasScoredAfterAttestation": false,
    "AttestationInstantForRun": null
   },
   {
    "RequirementSatisfactionId": "sat-close-human",
    "StepExecution": "se-close06",
    "Requirement": "req-close-human-approval",
    "SatisfactionLevel": "Satisfied",
    "Evidence": "Human CFO approval recorded.",
    "EvaluatedByAgent": "priya-raman",
    "EvaluatedAt": "2026-07-19T10:00:00-05:00",
    "SemanticTypeIri": "https://w3id.org/pko#RequirementSatisfaction",
    "Name": "req-close-human-approval / Satisfied",
    "RequirementIsBlocking": true,
    "IsFullySatisfied": true,
    "IsBlockingAndUnmet": false,
    "BlockingUnmetStepKey": null,
    "BlockingSatisfactionStepKey": "se-close06",
    "NegativeOutcomeRequirementKey": null,
    "EvaluatorAgentKind": "Human",
    "NonHumanEvaluatedHumanControl": false,
    "RequirementHasComputedWitness": false,
    "IsAssertedOnly": true,
    "AssertedOnlyExecutionKey": "exec-close-2026-q2",
    "ParentProcedureExecution": "exec-close-2026-q2",
    "StepExecutionWhenScored": "se-close06",
    "IsHumanEvaluated": true,
    "RequirementIsApprovalType": "Approval",
    "IsInvalidApproval": false,
    "ProcedureExecutionOfSatisfaction": "exec-close-2026-q2",
    "RunWhenInvalidApproval": null,
    "RequirementIsUnfalsified": true,
    "IsClearanceByUnfalsifiedControl": true,
    "UnfalsifiedClearanceStepKey": "se-close06",
    "SpecStepOfExecution": "close-06",
    "ScoredStepExecutorAgent": "priya-raman",
    "EvaluatorIsStepExecutor": true,
    "RunOwnerAgent": "devon-okafor",
    "EvaluatorOwnsTheRun": false,
    "IsInterestedPartyAssertion": true,
    "HasWrittenEvidence": true,
    "IsBareAssertion": false,
    "InterestedAssertionExecutionKey": "exec-close-2026-q2",
    "IsComputedlyWitnessed": false,
    "ComputedWitnessExecutionKey": null,
    "StepExecutorAgent": "priya-raman",
    "PostAttestationScoreExecutionKey": null,
    "BindingKey": null,
    "WasScoredAfterAttestation": false,
    "AttestationInstantForRun": null
   },
   {
    "RequirementSatisfactionId": "sat-policy-source",
    "StepExecution": "se-policy03",
    "Requirement": "req-policy-source",
    "SatisfactionLevel": "Satisfied",
    "Evidence": "Draft provenance contains only approved source and elicitation records.",
    "EvaluatedByAgent": "elena-garcia",
    "EvaluatedAt": "2026-07-19T10:00:00-05:00",
    "SemanticTypeIri": "https://w3id.org/pko#RequirementSatisfaction",
    "Name": "req-policy-source / Satisfied",
    "RequirementIsBlocking": true,
    "IsFullySatisfied": true,
    "IsBlockingAndUnm</t>
  </si>
  <si>
    <t xml:space="preserve">et": false,
    "BlockingUnmetStepKey": null,
    "BlockingSatisfactionStepKey": "se-policy03",
    "NegativeOutcomeRequirementKey": null,
    "EvaluatorAgentKind": "Human",
    "NonHumanEvaluatedHumanControl": false,
    "RequirementHasComputedWitness": false,
    "IsAssertedOnly": true,
    "AssertedOnlyExecutionKey": "exec-policy-hr4821",
    "ParentProcedureExecution": "exec-policy-hr4821",
    "StepExecutionWhenScored": "se-policy03",
    "IsHumanEvaluated": true,
    "RequirementIsApprovalType": "Provenance",
    "IsInvalidApproval": false,
    "ProcedureExecutionOfSatisfaction": "exec-policy-hr4821",
    "RunWhenInvalidApproval": null,
    "RequirementIsUnfalsified": true,
    "IsClearanceByUnfalsifiedControl": true,
    "UnfalsifiedClearanceStepKey": "se-policy03",
    "SpecStepOfExecution": "policy-03",
    "ScoredStepExecutorAgent": "policy-drafting-ai",
    "EvaluatorIsStepExecutor": false,
    "RunOwnerAgent": "elena-garcia",
    "EvaluatorOwnsTheRun": true,
    "IsInterestedPartyAssertion": true,
    "HasWrittenEvidence": true,
    "IsBareAssertion": false,
    "InterestedAssertionExecutionKey": "exec-policy-hr4821",
    "IsComputedlyWitnessed": false,
    "ComputedWitnessExecutionKey": null,
    "StepExecutorAgent": "policy-drafting-ai",
    "PostAttestationScoreExecutionKey": null,
    "BindingKey": null,
    "WasScoredAfterAttestation": false,
    "AttestationInstantForRun": null
   },
   {
    "RequirementSatisfactionId": "sat-policy-legal",
    "StepExecution": "se-policy04",
    "Requirement": "req-policy-legal",
    "SatisfactionLevel": "Satisfied",
    "Evidence": "Employment counsel review completed 2026-07-19: notice content, acknowledgement mechanism, and retention period cleared against employment law and TCPA consent requirements.",
    "EvaluatedByAgent": "noah-williams",
    "EvaluatedAt": "2026-07-19T13:45:00-05:00",
    "SemanticTypeIri": "https://w3id.org/pko#RequirementSatisfaction",
    "Name": "req-policy-legal / Satisfied",
    "RequirementIsBlocking": true,
    "IsFullySatisfied": true,
    "IsBlockingAndUnmet": false,
    "BlockingUnmetStepKey": null,
    "BlockingSatisfactionStepKey": "se-policy04",
    "NegativeOutcomeRequirementKey": null,
    "EvaluatorAgentKind": "Human",
    "NonHumanEvaluatedHumanControl": false,
    "RequirementHasComputedWitness": false,
    "IsAssertedOnly": true,
    "AssertedOnlyExecutionKey": "exec-policy-hr4821",
    "ParentProcedureExecution": "exec-policy-hr4821",
    "StepExecutionWhenScored": "se-policy04",
    "IsHumanEvaluated": true,
    "RequirementIsApprovalType": "Approval",
    "IsInvalidApproval": false,
    "ProcedureExecutionOfSatisfaction": "exec-policy-hr4821",
    "RunWhenInvalidApproval": null,
    "RequirementIsUnfalsified": true,
    "IsClearanceByUnfalsifiedControl": true,
    "UnfalsifiedClearanceStepKey": "se-policy04",
    "SpecStepOfExecution": "policy-04",
    "ScoredStepExecutorAgent": "noah-williams",
    "EvaluatorIsStepExecutor": true,
    "RunOwnerAgent": "elena-garcia",
    "EvaluatorOwnsTheRun": false,
    "IsInterestedPartyAssertion": true,
    "HasWrittenEvidence": true,
    "IsBareAssertion": false,
    "InterestedAssertionExecutionKey": "exec-policy-hr4821",
    "IsComputedlyWitnessed": false,
    "ComputedWitnessExecutionKey": null,
    "StepExecutorAgent": "noah-williams",
    "PostAttestationScoreExecutionKey": null,
    "BindingKey": null,
    "WasScoredAfterAttestation": false,
    "AttestationInstantForRun": null
   },
   {
    "RequirementSatisfactionId": "sat-close-evidence",
    "StepExecution": "se-close03",
    "Requirement": "req-close-evidence",
    "SatisfactionLevel": "Unsatisfied",
    "Evidence": "Reconciliation workpapers were attached to a personal drive, not the 7-year retention archive.",
    "EvaluatedByAgent": "devon-okafor",
    "EvaluatedAt": "2026-07-19T10:00:00-05:00",
    "SemanticTypeIri": "https://w3id.org/pko#Requirement",
    "Name": "req-close-evidence / Unsatisfied",
    "RequirementIsBlocking": true,
    "IsFullySatisfied": false,
    "IsBlockingAndUnmet": true,
    "BlockingUnmetStepKey": "se-close03",
    "BlockingSatisfactionStepKey": "se-close03",
    "NegativeOutcomeRequirementKey": "req-close-evidence",
    "EvaluatorAgentKind": "Human",
    "NonHumanEvaluatedHumanControl": false,
    "RequirementHasComputedWitness": true,
    "IsAssertedOnly": false,
    "AssertedOnlyExecutionKey": null,
    "ParentProcedureExecution": "exec-close-2026-q2",
    "StepExecutionWhenScored": "se-close03",
    "IsHumanEvaluated": true,
    "RequirementIsApprovalType": "Retention",
    "IsInvalidApproval": false,
    "ProcedureExecutionOfSatisfaction": "exec-close-2026-q2",
    "RunWhenInvalidApproval": null,
    "RequirementIsUnfalsified": false,
    "IsClearanceByUnfalsifiedControl": false,
    "UnfalsifiedClearanceStepKey": null,
    "SpecStepOfExecution": "close-03",
    "ScoredStepExecutorAgent": "maria-chen",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"maria-chen",
    "PostAttestationScoreExecutionKey": null,
    "BindingKey": null,
    "WasScoredAfterAttestation": false,
    "AttestationInstantForRun": null
   },
   {
    "RequirementSatisfactionId": "sat-close08-evidence",
    "StepExecution": "se-close08",
    "Requirement": "req-close-evidence",
    "SatisfactionLevel": "Satisfied",
    "Evidence": "Close package archived to the retention system with a 7-year hold.",
    "EvaluatedByAgent": "devon-okafor",
    "EvaluatedAt": "2026-07-19T14:05:00-05:00",
    "SemanticTypeIri": "https://w3id.org/pko#Requirement",
    "Name": "req-close-evidence / Satisfied",
    "RequirementIsBlocking": true,
    "IsFullySatisfied": true,
    "IsBlockingAndUnmet": false,
    "BlockingUnmetStepKey": null,
    "BlockingSatisfactionStepKey": "se-close08",
    "NegativeOutcomeRequirementKey": null,
    "EvaluatorAgentKind": "Human",
    "NonHumanEvaluatedHumanControl": false,
    "RequirementHasComputedWitness": true,
    "IsAssertedOnly": false,
    "AssertedOnlyExecutionKey": null,
    "ParentProcedureExecution": "exec-close-2026-q2",
    "StepExecutionWhenScored": "se-close08",
    "IsHumanEvaluated": true,
    "RequirementIsApprovalType": "Retention",
    "IsInvalidApproval": false,
    "ProcedureExecutionOfSatisfaction": "exec-close-2026-q2",
    "RunWhenInvalidApproval": null,
    "RequirementIsUnfalsified": false,
    "IsClearanceByUnfalsifiedControl": false,
    "UnfalsifiedClearanceStepKey": null,
    "SpecStepOfExecution": "close-08",
    "ScoredStepExecutorAgent": "elena-garcia",
    "EvaluatorIsStepExecutor": false,
    "RunOwnerAgent": "devon-okafor",
    "EvaluatorOwnsTheRun": true,
    "IsInterestedPartyAssertion": false,
    "HasWrittenEvidence": true,
    "IsBareAssertion": false,
    "InterestedAssertionExecutionKey": null,
    "IsComputedlyWitnessed": true,
    "ComputedWitnessExecutionKey": "exec-close-2026-q2",
    "StepExecutorAgent": "elena-garcia",
    "PostAttestationScoreExecutionKey": null,
    "BindingKey": null,
    "WasScoredAfterAttestation": false,
    "AttestationInstantForRun": null
   }
  ]
 },
 "Errors": {
  "Description": "Reusable error definitions encountered during execution. Maps to pko:Error, errorCode, and errorCause.",
  "important": false,
  "schema": [
   {
    "name": "ErrorId",
    "datatype": "string",
    "type": "raw",
    "nullable": false,
    "Description": "Stored logical identifier for one Errors row."
   },
   {
    "name": "Name",
    "datatype": "string",
    "type": "calculated",
    "nullable": true,
    "Description": "Human-readable calculated display alias for the Errors row.",
    "formula": "={{ErrorCode}} &amp; \" - \" &amp; {{Label}}"
   },
   {
    "name": "Label",
    "datatype": "string",
    "type": "raw",
    "nullable": true,
    "Description": "Error label."
   },
   {
    "name": "ErrorCode",
    "datatype": "string",
    "type": "raw",
    "nullable": true,
    "Description": "Error code; maps to pko:errorCode."
   },
   {
    "name": "ErrorCause",
    "datatype": "string",
    "type": "raw",
    "nullable": true,
    "Description": "Known or suspected cause; maps to pko:errorCause."
   },
   {
    "name": "SemanticTypeIri",
    "datatype": "string",
    "type": "raw",
    "nullable": true,
    "Description": "Exact PKO class IRI."
   }
  ],
  "data": [
   {
    "ErrorId": "err-feed-stale",
    "Label": "Source feed timestamp too old",
    "ErrorCode": "FEED-STALE",
    "ErrorCause": "Source integration lag or daylight-saving timestamp normalization issue.",
    "SemanticTypeIri": "https://w3id.org/pko#Error",
    "Name": "FEED-STALE - Source feed timestamp too old"
   },
   {
    "ErrorId": "err-sms-throttle",
    "Label": "SMS provider throttled requests",
    "ErrorCode": "SMS-429",
    "ErrorCause": "Provider rate limit or temporary carrier congestion.",
    "SemanticTypeIri": "https://w3id.org/pko#Error",
    "Name": "SMS-429 - SMS provider throttled requests"
   }
  ]
 },
 "IssueOccurrences": {
  "Description": "Concrete issue events during execution. Maps to pko:IssueOccurrence, hasEncounteredError, wasEncounteredBy, issueCause, and issueSolution.",
  "important": false,
  "schema": [
   {
    "name": "IssueOccurrenceId",
    "datatype": "string",
    "type": "raw",
    "nullable": false,
    "Description": "Stored logical identifier for one IssueOccurrences row."
   },
   {
    "name": "Name",
    "datatype": "string",
    "type": "calculated",
    "nullable": true,
    "Description": "Human-readable calculated display alias for the IssueOccurrences row.",
    "formula": "={{Error}} &amp; \" @ \" &amp; {{OccurredAt}}"
   },
   {
    "name": "StepExecution",
    "datatype": "string",
    "type": "relationship",
    "nullable": true,
    "Description": "Step execution during which the issue occurred.",
    "RelatedTo": "StepExecutions"
   },
   {
    "name": "Error",
    "datatype": "string",
    "type": "relationship",
    "nullable": true,
    "Description": "Error encountered.",
    "RelatedTo": "Errors"
   },
   {
    "name": "EncounteredByAgent",
    "datatype": "string",
    "type": "relationship",
    "nullable": true,
    "Description": "Agent that encountered or reported the issue.",
    "RelatedTo": "Agents"
   },
   {
    "name": "OccurredAt",
    "datatype": "datetime",
    "type": "raw",
    "nullable": true,
    "Description": "Occurrence time."
   },
   {
    "name": "IssueCause",
    "datatype": "string",
    "type": "raw",
    "nullable": true,
    "Description": "Execution-specific cause; maps to pko:issueCause."
   },
   {
    "name": "IssueSolution",
    "datatype": "string",
    "type": "raw",
    "nullable": true,
    "Description": "Applied solution; maps to pko:issueSolution."
   },
   {
    "name": "Status",
    "datatype": "string",
    "type": "raw",
    "nullable": true,
    "Description": "Open, Monitoring, Resolved, or Closed."
   },
   {
    "name": "IsUnresolved",
    "datatype": "boolean",
    "type": "calculated",
    "nullable": true,
    "Description": "TRUE when this issue occurrence has not been closed out.",
    "formula": "=OR({{Status}} = \"Open\", {{Status}} = \"Investigating\", {{Status}} = \"Monitoring\")"
   },
   {
    "name": "StepExecutionWhenUnresolved",
    "datatype": "string",
    "type": "calculated",
    "nullable": true,
    "Description": "Echoes the step-execution id when the issue is unresolved, blank otherwise.",
    "formula": "=IF({{IsUnresolved}}, {{StepExecution}}, \"\")"
   },
   {
    "name": "SemanticTypeIri",
    "datatype": "string",
    "type": "raw",
    "nullable": true,
    "Description": "Exact PKO class IRI."
   }
  ],
  "data": [
   {
    "IssueOccurrenceId": "issue-close-feed",
    "StepExecution": "se-close02",
    "Error": "err-feed-stale",
    "EncounteredByAgent": "close-pipeline",
    "OccurredAt": "2026-06-30T17:12:00-05:00",
    "IssueCause": "One feed was 17 minutes old.",
    "IssueSolution": "Reran extraction after source timestamp normalized; added explicit timestamp knowledge fragment.",
    "Status": "Resolved",
    "SemanticTypeIri": "https://w3id.org/pko#IssueOccurrence",
    "Name": "err-feed-stale @ 2026-06-30T22:12:00+00:00",
    "IsUnresolved": false,
    "StepExecutionWhenUnresolved": null
   },
   {
    "IssueOccurrenceId": "issue-policy-sms",
    "StepExecution": "se-policy04",
    "Error": "err-sms-throttle",
    "EncounteredByAgent": "notification-pipeline",
    "OccurredAt": "2026-07-19T09:30:00-05:00",
    "IssueCause": "Synthetic channel test observed provider throttling.",
    "IssueSolution": "Queue with exponential backoff and preserve recipient-local quiet-hours constraint.",
    "Status": "Monitoring",
    "SemanticTypeIri": "https://w3id.org/pko#IssueOccurrence",
    "Name": "err-sms-throttle @ 2026-07-19T14:30:00+00:00",
    "IsUnresolved": true,
    "StepExecutionWhenUnresolved": "se-policy04"
   }
  ]
 },
 "UserQuestions": {
  "Description": "Questions asked by agents during execution. Maps to pko:UserQuestionOccurrence, questionByUser, wasAskedBy, and isQuestionAddressedBy.",
  "important": false,
  "schema": [
   {
    "name": "UserQuestionId",
    "datatype": "string",
    "type": "raw",
    "nullable": false,
    "Description": "Stored logical identifier for one UserQuestions row."
   },
   {
    "name": "Name",
    "datatype": "string",
    "type": "calculated",
    "nullable": true,
    "Description": "Human-readable calculated display alias for the UserQuestions row.",
    "formula": "=LEFT({{QuestionText}}, 70)"
   },
   {
    "name": "StepExecution",
    "datatype": "string",
    "type": "relationship",
    "nullable": true,
    "Description": "Execution context for the question.",
    "RelatedTo": "StepExecutions"
   },
   {
    "name": "AskedByAgent",
    "datatype": "string",
    "type": "relationship",
    "nullable": true,
    "Description": "Agent asking the question.",
    "RelatedTo": "Agents"
   },
   {
    "name": "AskedAt",
    "datatype": "datetime",
    "type": "raw",
    "nullable": true,
    "Description": "Question time."
   },
   {
    "name": "QuestionText",
    "datatype": "string",
    "type": "raw",
    "nullable": true,
    "Description": "Question text; maps to pko:questionByUser."
   },
   {
    "name": "ResolvedByFaq",
    "datatype": "string",
    "type": "relationship",
    "nullable": true,
    "Description": "FAQ used to resolve the question.",
    "RelatedTo": "FAQs"
   },
   {
    "name": "AddressedByResource",
    "datatype": "string",
    "type": "relationship",
    "nullable": true,
    "Description": "Resource that addressed the question.",
    "RelatedTo": "Resources"
   },
   {
    "name": "Status",
    "datatype": "string",
    "type": "raw",
    "nullable": true,
    "Description": "Open, Answered, Escalated, or Closed."
   },
   {
    "name": "SemanticTypeIri",
    "datatype": "string",
    "type": "raw",
    "nullable": true,
    "Description": "Exact PKO class IRI."
   }
  ],
  "data": [
   {
    "UserQuestionId": "q-close-fx",
    "StepExecution": "se-close04",
    "AskedByAgent": "devon-okafor",
    "AskedAt": "2026-07-01T13:10:00-05:00",
    "QuestionText": "Why did the FX variance appear only after the cutover?",
    "ResolvedByFaq": "faq-close-workpapers",
    "AddressedByResource": "res-close-sop-pdf",
    "Status": "Answered",
    "SemanticTypeIri": "https://w3id.org/pko#UserQuestionOccurrence",
    "Name": "Why did the FX variance appear only after the cutover?"
   },
   {
    "UserQuestionId": "q-policy-ai",
    "StepExecution": "se-policy03",
    "AskedByAgent": "elena-garcia",
    "AskedAt": "2026-07-18T13:20:00-05:00",
    "QuestionText": "Can the drafting AI add a new legal exception if it seems reasonable?",
    "ResolvedByFaq": "faq-policy-ai",
    "AddressedByResource": "res-policy-source",
    "Status": "Answered",
    "SemanticTypeIri": "https://w3id.org/pko#UserQuestionOccurrence",
    "Name": "Can the drafting AI add a new legal exception if it seems reasonable?"
   }
  ]
 },
 "UserFeedback": {
  "Description": "Feedback supplied by users about a procedure or execution. Maps to pko:UserFeedbackOccurrence, feedbackOnProcedureExecution, and wasProvidedBy.",
  "important": false,
  "schema": [
   {
    "name": "UserFeedbackId",
    "datatype": "string",
    "type": "raw",
    "nullable": false,
    "Description": "Stored logical identifier for one UserFeedback row."
   },
   {
    "name": "Name",
    "datatype": "string",
    "type": "calculated",
    "nullable": true,
    "Description": "Human-readable calculated display alias for the UserFeedback row.",
    "formula": "={{Disposition}} &amp; \": \" &amp; LEFT({{FeedbackText}}, 60)"
   },
   {
    "name": "ProcedureExecution",
    "datatype": "string",
    "type": "relationship",
    "nullable": true,
    "Description": "Execution receiving feedback.",
    "RelatedTo": "ProcedureExecutions"
   },
   {
    "name": "ProvidedByAgent",
    "datatype": "string",
    "type": "relationship",
    "nullable": true,
    "Description": "Agent providing feedback.",
    "RelatedTo": "Agents"
   },
   {
    "name": "ProvidedAt",
    "datatype": "datetime",
    "type": "raw",
    "nullable": true,
    "Description": "Feedback time."
   },
   {
    "name": "FeedbackText",
    "datatype": "string",
    "type": "raw",
    "nullable": true,
    "Description": "Feedback statement."
   },
   {
    "name": "Disposition",
    "datatype": "string",
    "type": "raw",
    "nullable": true,
    "Description": "Accepted, Rejected, UnderReview, or Deferred."
   },
   {
    "name": "ChangeRequestKey",
    "datatype": "string",
    "type": "raw",
    "nullable": true,
    "Description": "Related change request identifier."
   },
   {
    "name": "SemanticTypeIri",
    "datatype": "string",
    "type": "raw",
    "nullable": true,
    "Description": "Exact PKO class IRI."
   }
  ],
  "data": [
   {
    "UserFeedbackId": "fb-close-retro",
    "ProcedureExecution": "exec-close-2026-q2",
    "ProvidedByAgent": "devon-okafor",
    "ProvidedAt": "2026-07-02T16:30:00-05:00",
    "FeedbackText": "The feed timestamp check should be a required precondition, not a troubleshooting note.",
    "Disposition": "Accepted",
    "ChangeRequestKey": "cr-close-timestamp",
    "SemanticTypeIri": "https://w3id.org/pko#UserFeedbackOccurrence",
    "Name": "Accepted: The feed timestamp check should be a required precondition, "
   },
   {
    "UserFeedbackId": "fb-policy-sms",
    "ProcedureExecution": "exec-policy-hr4821",
    "ProvidedByAgent": "amina-yusuf",
    "ProvidedAt": "2026-07-19T10:30:00-05:00",
    "FeedbackText": "Add a secondary path for employees whose carrier reports a delayed delivery receipt.",
    "Disposition": "UnderReview",
    "ChangeRequestKey": "cr-policy-delivery",
    "SemanticTypeIri": "https://w3id.org/pko#UserFeedbackOccurrence",
    "Name": "UnderReview: Add a secondary path for employees whose carrier reports a d"
   }
  ]
 },
 "StewardshipAssignments": {
  "Description": "Separates ongoing stewardship from authority to approve semantic commitments. Explicit ERB-PKO governance extension.",
  "important": false,
  "schema": [
   {
    "name": "StewardshipAssignmentId",
    "datatype": "string",
    "type": "raw",
    "nullable": false,
    "Description": "Stored logical identifier for one StewardshipAssignments row."
   },
   {
    "name": "Name",
    "datatype": "string",
    "type": "calculated",
    "nullable": true,
    "Description": "Human-readable calculated display alias for the StewardshipAssignments row.",
    "formula": "={{ProcedureVersion}} &amp; \" / steward=\" &amp; {{StewardRole}}"
   },
   {
    "name": "ProcedureVersion",
    "datatype": "string",
    "type": "relationship",
    "nullable": true,
    "Description": "Governed procedure version.",
    "RelatedTo": "ProcedureVersions"
   },
   {
    "name": "StewardRole",
    "datatype": "string",
    "type": "relationship",
    "nullable": true,
    "Description": "Role responsible for health, review, and maintenance.",
    "RelatedTo": "Roles"
   },
   {
    "name": "AuthorityRole",
    "datatype": "string",
    "type": "relationship",
    "nullable": true,
    "Description": "Role authorized to approve semantic changes.",
    "RelatedTo": "Roles"
   },
   {
    "name": "ValidFrom",
    "datatype": "datetime",
    "type": "raw",
    "nullable": true,
    "Description": "Start of stewardship interval."
   },
   {
    "name": "ValidTo",
    "datatype": "datetime",
    "type": "raw",
    "nullable": true,
    "Description": "End of stewardship interval."
   },
   {
    "name": "ReviewCadenceDays",
    "datatype": "integer",
    "type": "raw",
    "nullable": true,
    "Description": "Required review cadence."
   },
   {
    "name": "CountOfReviewEvents",
    "datatype": "integer",
    "type": "aggregation",
    "nullable": true,
    "Description": "How many review events have ever been recorded for the procedure version this assignment stewards.",
    "formula": "=COUNTIFS(ReviewEvents!{{ProcedureVersion}}, StewardshipAssignments!{{ProcedureVersion}})"
   },
   {
    "name": "HasEverBeenReviewed",
    "datatype": "boolean",
    "type": "calculated",
    "nullable": true,
    "Description": "TRUE if at least one review event exists for the stewarded procedure version.",
    "formula": "={{CountOfReviewEvents}} &gt; 0"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"IsCurrentAssignment",
    "datatype": "boolean",
    "type": "calculated",
    "nullable": true,
    "Description": "TRUE when this stewardship assignment is in force right now.",
    "formula": "=AND({{ValidFrom}} &lt;= {{AsOfInstant}}, OR({{ValidTo}} = \"\", {{ValidTo}} &gt; {{AsOfInstant}}))"
   },
   {
    "name": "SemanticTypeIri",
    "datatype": "string",
    "type": "raw",
    "nullable": true,
    "Description": "Extension class IRI."
   }
  ],
  "data": [
   {
    "StewardshipAssignmentId": "stew-close",
    "ProcedureVersion": "close-v1.1.0",
    "StewardRole": "process-steward",
    "AuthorityRole": "knowledge-authority",
    "ValidFrom": "2026-04-15T09:00:00-05:00",
    "ValidTo": null,
    "ReviewCadenceDays": 90,
    "SemanticTypeIri": "urn:effortless:pko-extension#StewardshipAssignment",
    "EvaluationContext": "eval-current",
    "Name": "close-v1.1.0 / steward=process-steward",
    "CountOfReviewEvents": 2,
    "HasEverBeenReviewed": true,
    "AsOfInstant": "2026-07-19T13:00:00-05:00",
    "IsCurrentAssignment": true
   },
   {
    "StewardshipAssignmentId": "stew-policy",
    "ProcedureVersion": "policy-v1.0.0",
    "StewardRole": "process-steward",
    "AuthorityRole": "hr-policy-owner",
    "ValidFrom": "2026-06-01T09:00:00-05:00",
    "ValidTo": null,
    "ReviewCadenceDays": 60,
    "SemanticTypeIri": "urn:effortless:pko-extension#StewardshipAssignment",
    "EvaluationContext": "eval-current",
    "Name": "policy-v1.0.0 / steward=process-steward",
    "CountOfReviewEvents": 1,
    "HasEverBeenReviewed": true,
    "AsOfInstant": "2026-07-19T13:00:00-05:00",
    "IsCurrentAssignment": true
   }
  ]
 },
 "ChangeRequests": {
  "Description": "Governed requests for semantic or operational change, anchored to a procedure version and authority. Explicit ERB-PKO extension.",
  "important": false,
  "schema": [
   {
    "name": "ChangeRequestId",
    "datatype": "string",
    "type": "raw",
    "nullable": false,
    "Description": "Stored logical identifier for one ChangeRequests row."
   },
   {
    "name": "Name",
    "datatype": "string",
    "type": "calculated",
    "nullable": true,
    "Description": "Human-readable calculated display alias for the ChangeRequests row.",
    "formula": "={{Title}}"
   },
   {
    "name": "ProcedureVersion",
    "datatype": "string",
    "type": "relationship",
    "nullable": true,
    "Description": "Procedure version affected.",
    "RelatedTo": "ProcedureVersions"
   },
   {
    "name": "Title",
    "datatype": "string",
    "type": "raw",
    "nullable": true,
    "Description": "Change title."
   },
   {
    "name": "ChangeKind",
    "datatype": "string",
    "type": "raw",
    "nullable": true,
    "Description": "Defect, Enhancement, NewRequirement, DataOperation, or BreakingChange."
   },
   {
    "name": "Status",
    "datatype": "string",
    "type": "raw",
    "nullable": true,
    "Description": "Draft, UnderReview, Approved, Rejected, Implemented, or Closed."
   },
   {
    "name": "RequestedByAgent",
    "datatype": "string",
    "type": "relationship",
    "nullable": true,
    "Description": "Agent requesting the change.",
    "RelatedTo": "Agents"
   },
   {
    "name": "AuthorityRole",
    "datatype": "string",
    "type": "relationship",
    "nullable": true,
    "Description": "Role authorized to approve the change.",
    "RelatedTo": "Roles"
   },
   {
    "name": "RequestedAt",
    "datatype": "datetime",
    "type": "raw",
    "nullable": true,
    "Description": "Request time."
   },
   {
    "name": "DecidedAt",
    "datatype": "datetime",
    "type": "raw",
    "nullable": true,
    "Description": "Decision time."
   },
   {
    "name": "ImpactAssessment",
    "datatype": "string",
    "type": "raw",
    "nullable": true,
    "Description": "Expected effect on commitments, data, projections, and tests."
   },
   {
    "name": "IsOpen",
    "datatype": "boolean",
    "type": "calculated",
    "nullable": true,
    "Description": "TRUE while the change request is still outstanding. An Approved request stays open until ImplementedAt records that it actually landed — approval is a decision, not an outcome.",
    "formula": "=AND(OR({{Status}} = \"Draft\", {{Status}} = \"UnderReview\", {{Status}} = \"Approved\"), {{ImplementedAt}} = \"\")"
   },
   {
    "name": "OpenChangeVersionKey",
    "datatype": "string",
    "type": "calculated",
    "nullable": true,
    "Description": "Echoes the ProcedureVersion id only for change requests still open.",
    "formula": "=IF({{IsOpen}}, {{ProcedureVersion}}, \"\")"
   },
   {
    "name": "IsDecided",
    "datatype": "boolean",
    "type": "calculated",
    "nullable": true,
    "Description": "TRUE when a decision timestamp has been recorded.",
    "formula": "={{DecidedAt}} &lt;&gt; \"\""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"DaysPending",
    "datatype": "integer",
    "type": "calculated",
    "nullable": true,
    "Description": "Days from request to decision, or to now if still undecided.",
    "formula": "=IF({{IsDecided}}, DATETIME_DIFF({{DecidedAt}}, {{RequestedAt}}, \"days\"), DATETIME_DIFF({{AsOfInstant}}, {{RequestedAt}}, \"days\"))"
   },
   {
    "name": "IsStillPending",
    "datatype": "boolean",
    "type": "calculated",
    "nullable": true,
    "Description": "TRUE when the request is in an open status and has no decision recorded.",
    "formula": "=AND({{IsOpen}}, NOT({{IsDecided}}))"
   },
   {
    "name": "IsStalled",
    "datatype": "boolean",
    "type": "calculated",
    "nullable": true,
    "Description": "TRUE when an undecided change request has been pending more than fourteen days.",
    "formula": "=AND({{IsStillPending}}, {{DaysPending}} &gt; 14)"
   },
   {
    "name": "AuthorityAgent",
    "datatype": "string",
    "type": "lookup",
    "nullable": true,
    "Description": "The agent currently holding the authority role that owes a decision on this request.",
    "formula": "=INDEX(Roles!{{CurrentAgent}}, MATCH({{AuthorityRole}}, Roles!{{RoleId}}, 0))"
   },
   {
    "name": "RequesterIsAuthority",
    "datatype": "boolean",
    "type": "calculated",
    "nullable": true,
    "Description": "TRUE when the agent who raised the request is also the agent who decides it.",
    "formula": "={{RequestedByAgent}} = {{AuthorityAgent}}"
   },
   {
    "name": "AwaitsAuthorityDecision",
    "datatype": "boolean",
    "type": "calculated",
    "nullable": true,
    "Description": "TRUE when this request is formally before its authority and no decision has been recorded.",
    "formula": "=AND({{Status}} = \"UnderReview\", NOT({{IsDecided}}))"
   },
   {
    "name": "AuthorityRoleLabel",
    "datatype": "string",
    "type": "lookup",
    "nullable": true,
    "Description": "Human-readable label of the role that owes a decision.",
    "formula": "=INDEX(Roles!{{Label}}, MATCH({{AuthorityRole}}, Roles!{{RoleId}}, 0))"
   },
   {
    "name": "TouchesLiveVersion",
    "datatype": "boolean",
    "type": "lookup",
    "nullable": true,
    "Description": "Whether the version this request would alter is currently executable.",
    "formula": "=INDEX(ProcedureVersions!{{IsLive}}, MATCH({{ProcedureVersion}}, ProcedureVersions!{{ProcedureVersionId}}, 0))"
   },
   {
    "name": "IsLiveDecisionBacklog",
    "datatype": "boolean",
    "type": "calculated",
    "nullable": true,
    "Description": "TRUE when a decision I owe is blocking a change to a procedure currently in production.",
    "formula": "=AND({{AwaitsAuthorityDecision}}, {{TouchesLiveVersion}})"
   },
   {
    "name": "BlocksAnOpenGap",
    "datatype": "boolean",
    "type": "calculated",
    "nullable": true,
    "Description": "TRUE when an undecided request against a live version is the kind that exists to close a known gap.",
    "formula": "=AND({{IsLiveDecisionBacklog}}, {{ChangeKind}} = \"Enhancement\")"
   },
   {
    "name": "ImplementedAt",
    "datatype": "datetime",
    "type": "raw",
    "nullable": true,
    "Description": "When the approved change was actually applied to the procedure version. Null until it lands. Distinct from DecidedAt, which records only that the authority ruled. Approval and implementation are separate events; conflating them is what left IsOpen with no terminal state."
   },
   {
    "name": "BacklogVersionKey",
    "datatype": "string",
    "type": "calculated",
    "nullable": true,
    "Description": "Composite-key echo: this request's procedure version when it is live decision backlog, blank otherwise.",
    "formula": "=IF({{IsLiveDecisionBacklog}}, {{ProcedureVersion}}, \"\")"
   },
   {
    "name": "IsMyPendingDecision",
    "datatype": "boolean",
    "type": "calculated",
    "nullable": true,
    "Description": "A change request awaiting a decision that is mine personally to make.",
    "formula": "=AND({{AuthorityRole}} = \"hr-policy-owner\", {{AwaitsAuthorityDecision}})"
   },
   {
    "name": "IsMyBlockingBacklog",
    "datatype": "boolean",
    "type": "calculated",
    "nullable": true,
    "Description": "A decision waiting on me that is holding an open gap on a live procedure.",
    "formula": "=AND({{IsMyPendingDecision}}, {{BlocksAnOpenGap}})"
   },
   {
    "name": "IsMyOverdueBacklog",
    "datatype": "boolean",
    "type": "calculated",
    "nullable": true,
    "Description": "A blocking decision that has waited on me for more than two weeks.",
    "formula": "=AND({{IsMyBlockingBacklog}}, {{DaysPending}} &gt; 14)"
   },
   {
    "name": "IsImplemented",
    "datatype": "boolean",
    "type": "calculated",
    "nullable": true,
    "Description": "Whether the approved change has actually been applied.",
    "formula": "={{ImplementedAt}} &lt;&gt; \"\""
   },
   {
    "name": "IsMyDecidedRequest",
    "datatype": "boolean",
    "type": "calculated",
    "nullable": true,
    "Description": "A change request I have personally ruled on.",
    "formula": "=AND({{AuthorityRole}} = \"hr-policy-owner\", {{IsDecided}})"
   },
   {
    "name": "IsMyDe</t>
  </si>
  <si>
    <t xml:space="preserve">cidedButUnlanded",
    "datatype": "boolean",
    "type": "calculated",
    "nullable": true,
    "Description": "A decision I have made that has not yet been applied — still counted against me by the loop-1 open-request measure.",
    "formula": "=AND({{IsMyDecidedRequest}}, NOT({{IsImplemented}}))"
   },
   {
    "name": "DecisionLatencyDays",
    "datatype": "integer",
    "type": "calculated",
    "nullable": true,
    "Description": "How many days I took to rule, once ruled. Zero when undecided — read only alongside IsDecided.",
    "formula": "=IF({{IsDecided}}, DATETIME_DIFF({{DecidedAt}}, {{RequestedAt}}, \"days\"), 0)"
   },
   {
    "name": "ImplementationLatencyDays",
    "datatype": "integer",
    "type": "calculated",
    "nullable": true,
    "Description": "How many days elapsed between my ruling and the change actually landing. Zero when not yet implemented.",
    "formula": "=IF({{IsImplemented}}, DATETIME_DIFF({{ImplementedAt}}, {{DecidedAt}}, \"days\"), 0)"
   },
   {
    "name": "DelayIsDownstreamOfMe",
    "datatype": "boolean",
    "type": "calculated",
    "nullable": true,
    "Description": "A request I decided promptly that is nevertheless still outstanding because nobody has implemented it.",
    "formula": "=AND({{IsMyDecidedButUnlanded}}, {{DecisionLatencyDays}} &lt;= 14)"
   },
   {
    "name": "UnlandedVersionKey",
    "datatype": "string",
    "type": "calculated",
    "nullable": true,
    "Description": "Composite-key echo: this request's procedure version when I have decided it but it has not landed, blank otherwise.",
    "formula": "=IF({{IsMyDecidedButUnlanded}}, {{ProcedureVersion}}, \"\")"
   },
   {
    "name": "IsApprovedNotImplemented",
    "datatype": "boolean",
    "type": "calculated",
    "nullable": true,
    "Description": "A change request the authority approved but that has not yet been applied.",
    "formula": "=AND({{Status}} = \"Approved\", NOT({{IsImplemented}}))"
   },
   {
    "name": "DaysSinceApproval",
    "datatype": "integer",
    "type": "calculated",
    "nullable": true,
    "Description": "How many days have elapsed since the authority decided this request. Zero when undecided.",
    "formula": "=IF({{IsDecided}}, DATETIME_DIFF({{AsOfInstant}}, {{DecidedAt}}, \"days\"), 0)"
   },
   {
    "name": "IsStalledImplementation",
    "datatype": "boolean",
    "type": "calculated",
    "nullable": true,
    "Description": "An approved change request that has sat unimplemented for more than two weeks.",
    "formula": "=AND({{IsApprovedNotImplemented}}, {{DaysSinceApproval}} &gt; 14)"
   },
   {
    "name": "StalledImplementationVersionKey",
    "datatype": "string",
    "type": "calculated",
    "nullable": true,
    "Description": "Composite-key echo: this request's procedure version when its implementation is stalled, blank otherwise.",
    "formula": "=IF({{IsStalledImplementation}}, {{ProcedureVersion}}, \"\")"
   },
   {
    "name": "ApprovedVersionKey",
    "datatype": "string",
    "type": "calculated",
    "nullable": true,
    "Description": "Echoes the target version id when this change request was approved.",
    "formula": "=IF({{IsApprovedDecision}}, {{ProcedureVersion}}, \"\")"
   },
   {
    "name": "IsApprovedDecision",
    "datatype": "boolean",
    "type": "calculated",
    "nullable": true,
    "Description": "TRUE when this change request was decided in the affirmative.",
    "formula": "={{Status}} = \"Approved\""
   },
   {
    "name": "SemanticTypeIri",
    "datatype": "string",
    "type": "raw",
    "nullable": true,
    "Description": "Extension class IRI."
   }
  ],
  "data": [
   {
    "ChangeRequestId": "cr-close-timestamp",
    "ProcedureVersion": "close-v1.1.0",
    "Title": "Add source timestamp as blocking verification",
    "ChangeKind": "Defect",
    "Status": "Approved",
    "RequestedByAgent": "devon-okafor",
    "AuthorityRole": "knowledge-authority",
    "RequestedAt": "2026-07-02T16:30:00-05:00",
    "DecidedAt": "2026-07-03T11:00:00-05:00",
    "ImpactAssessment": "Adds requirement and verification; no breaking class change.",
    "SemanticTypeIri": "urn:effortless:pko-extension#ChangeRequest",
    "ImplementedAt": "2026-07-03T15:00:00-05:00",
    "EvaluationContext": "eval-current",
    "Name": "Add source timestamp as blocking verification",
    "IsOpen": false,
    "OpenChangeVersionKey": null,
    "IsDecided": true,
    "AsOfInstant": "2026-07-19T13:00:00-05:00",
    "DaysPending": 1,
    "IsStillPending": false,
    "IsStalled": false,
    "AuthorityAgent": "priya-raman",
    "RequesterIsAuthority": false,
    "AwaitsAuthorityDecision": false,
    "AuthorityRoleLabel": "Procedural Knowledge Authority",
    "TouchesLiveVersion": true,
    "IsLiveDecisionBacklog": false,
    "BlocksAnOpenGap": false,
    "BacklogVersionKey": null,
    "IsMyPendingDecision": false,
    "IsMyBlockingBacklog": false,
    "IsMyOverdueBacklog": false,
    "IsImplemented": true,
    "IsMyDecidedRequest": false,
    "IsMyDecidedButUnlanded": false,
    "DecisionLatencyDays": 1,
    "ImplementationLatencyDays": 0,
    "DelayIsDownstreamOfMe": false,
    "UnlandedVersionKey": null,
    "IsApprovedNotImplemented": false,
    "DaysSinceApproval": 16,
    "IsStalledImplementation": false,
    "StalledImplementationVersionKey": null,
    "ApprovedVersionKey": "close-v1.1.0",
    "IsApprovedDecision": true
   },
   {
    "ChangeRequestId": "cr-policy-delivery",
    "ProcedureVersion": "policy-v1.0.0",
    "Title": "Add secondary delivery receipt reconciliation",
    "ChangeKind": "Enhancement",
    "Status": "UnderReview",
    "RequestedByAgent": "amina-yusuf",
    "AuthorityRole": "hr-policy-owner",
    "RequestedAt": "2026-07-19T10:30:00-05:00",
    "DecidedAt": null,
    "ImpactAssessment": "May add a step or fallback transition and operational binding.",
    "SemanticTypeIri": "urn:effortless:pko-extension#ChangeRequest",
    "ImplementedAt": null,
    "EvaluationContext": "eval-current",
    "Name": "Add secondary delivery receipt reconciliation",
    "IsOpen": true,
    "OpenChangeVersionKey": "policy-v1.0.0",
    "IsDecided": false,
    "AsOfInstant": "2026-07-19T13:00:00-05:00",
    "DaysPending": 0,
    "IsStillPending": true,
    "IsStalled": false,
    "AuthorityAgent": "elena-garcia",
    "RequesterIsAuthority": false,
    "AwaitsAuthorityDecision": true,
    "AuthorityRoleLabel": "People Policy Owner",
    "TouchesLiveVersion": true,
    "IsLiveDecisionBacklog": true,
    "BlocksAnOpenGap": true,
    "BacklogVersionKey": "policy-v1.0.0",
    "IsMyPendingDecision": true,
    "IsMyBlockingBacklog": true,
    "IsMyOverdueBacklog": false,
    "IsImplemented": false,
    "IsMyDecidedRequest": false,
    "IsMyDecidedButUnlanded": false,
    "DecisionLatencyDays": 0,
    "ImplementationLatencyDays": 0,
    "DelayIsDownstreamOfMe": false,
    "UnlandedVersionKey": null,
    "IsApprovedNotImplemented": false,
    "DaysSinceApproval": 0,
    "IsStalledImplementation": false,
    "StalledImplementationVersionKey": null,
    "ApprovedVersionKey": null,
    "IsApprovedDecision": false
   }
  ]
 },
 "ReviewEvents": {
  "Description": "Periodic governance reviews that test competency coverage, staleness, and semantic integrity. Explicit ERB-PKO extension represented as prov:Activity.",
  "important": false,
  "schema": [
   {
    "name": "ReviewEventId",
    "datatype": "string",
    "type": "raw",
    "nullable": false,
    "Description": "Stored logical identifier for one ReviewEvents row."
   },
   {
    "name": "Name",
    "datatype": "string",
    "type": "calculated",
    "nullable": true,
    "Description": "Human-readable calculated display alias for the ReviewEvents row.",
    "formula": "={{ProcedureVersion}} &amp; \" / \" &amp; {{ReviewKind}}"
   },
   {
    "name": "ProcedureVersion",
    "datatype": "string",
    "type": "relationship",
    "nullable": true,
    "Description": "Reviewed procedure version.",
    "RelatedTo": "ProcedureVersions"
   },
   {
    "name": "ReviewKind",
    "datatype": "string",
    "type": "raw",
    "nullable": true,
    "Description": "Review type."
   },
   {
    "name": "ReviewedAt",
    "datatype": "datetime",
    "type": "raw",
    "nullable": true,
    "Description": "Review timestamp."
   },
   {
    "name": "ReviewedByAgent",
    "datatype": "string",
    "type": "relationship",
    "nullable": true,
    "Description": "Reviewing agent.",
    "RelatedTo": "Agents"
   },
   {
    "name": "Outcome",
    "datatype": "string",
    "type": "raw",
    "nullable": true,
    "Description": "Passed, PassedWithChange, Failed, or Deferred."
   },
   {
    "name": "RelatedChangeRequest",
    "datatype": "string",
    "type": "relationship",
    "nullable": true,
    "Description": "Change request produced or considered.",
    "RelatedTo": "ChangeRequests"
   },
   {
    "name": "NextReviewDue",
    "datatype": "datetime",
    "type": "raw",
    "nullable": true,
    "Description": "Next required review."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"IsOverdue",
    "datatype": "boolean",
    "type": "calculated",
    "nullable": true,
    "Description": "TRUE when review is overdue.",
    "formula": "={{NextReviewDue}} &lt; {{AsOfInstant}}"
   },
   {
    "name": "OverdueVersionKey",
    "datatype": "string",
    "type": "calculated",
    "nullable": true,
    "Description": "Echoes the ProcedureVersion id only when this review is past its next-due date.",
    "formula": "=IF({{IsOverdue}}, {{ProcedureVersion}}, \"\")"
   },
   {
    "name": "PromisedCadenceDays",
    "datatype": "integer",
    "type": "lookup",
    "nullable": true,
    "Description": "The review cadence promised for this procedure version, resolved via ProcedureVersions because INDEX/MATCH can only match a target table primary key.",
    "formula": "=INDEX(ProcedureVersions!{{StewardReviewCadenceDays}}, MATCH({{ProcedureVersion}}, ProcedureVersions!{{ProcedureVersionId}}, 0))"
   },
   {
    "name": "DaysSinceReviewed",
    "datatype": "integer",
    "type": "calculated",
    "nullable": true,
    "Description": "Elapsed days since this review actually happened.",
    "formula": "=DATETIME_DIFF({{AsOfInstant}}, {{ReviewedAt}}, \"days\")"
   },
   {
    "name": "ExceedsPromisedCadence",
    "datatype": "boolean",
    "type": "calculated",
    "nullable": true,
    "Description": "TRUE when more days have elapsed since this review than the stewardship assignment promised as a cadence.",
    "formula": "={{DaysSinceReviewed}} &gt; {{PromisedCadenceDays}}"
   },
   {
    "name": "CadenceDriftDays",
    "datatype": "integer",
    "type": "calculated",
    "nullable": true,
    "Description": "Signed drift: positive means we are past the promised cadence by this many days; negative means we are still inside it.",
    "formula": "={{DaysSinceReviewed}} - {{PromisedCadenceDays}}"
   },
   {
    "name": "PromiseAndBehaviorDisagree",
    "datatype": "boolean",
    "type": "calculated",
    "nullable": true,
    "Description": "TRUE when the promised cadence has been blown but the hand-entered NextReviewDue still says we are fine.",
    "formula": "=AND({{ExceedsPromisedCadence}}, NOT({{IsOverdue}}))"
   },
   {
    "name": "CadenceBreachVersionKey",
    "datatype": "string",
    "type": "calculated",
    "nullable": true,
    "Description": "Composite-key echo: this review event's procedure version when the promised cadence has been exceeded, blank otherwise.",
    "formula": "=IF({{ExceedsPromisedCadence}}, {{ProcedureVersion}}, \"\")"
   },
   {
    "name": "SemanticTypeIri",
    "datatype": "string",
    "type": "raw",
    "nullable": true,
    "Description": "Class IRI used in projection."
   }
  ],
  "data": [
   {
    "ReviewEventId": "review-close-q1",
    "ProcedureVersion": "close-v1.1.0",
    "ReviewKind": "QuarterlySemanticReview",
    "ReviewedAt": "2026-03-20T16:00:00-05:00",
    "ReviewedByAgent": "devon-okafor",
    "Outcome": "Passed",
    "RelatedChangeRequest": null,
    "NextReviewDue": "2026-06-18T16:00:00-05:00",
    "EvaluationContext": "eval-current",
    "SemanticTypeIri": "https://w3id.org/pko#ReviewEvent",
    "Name": "close-v1.1.0 / QuarterlySemanticReview",
    "AsOfInstant": "2026-07-19T13:00:00-05:00",
    "IsOverdue": true,
    "OverdueVersionKey": "close-v1.1.0",
    "PromisedCadenceDays": 90,
    "DaysSinceReviewed": 121,
    "ExceedsPromisedCadence": true,
    "CadenceDriftDays": 31,
    "PromiseAndBehaviorDisagree": false,
    "CadenceBreachVersionKey": "close-v1.1.0"
   },
   {
    "ReviewEventId": "review-close-q2",
    "ProcedureVersion": "close-v1.1.0",
    "ReviewKind": "QuarterlySemanticReview",
    "ReviewedAt": "2026-07-02T16:00:00-05:00",
    "ReviewedByAgent": "devon-okafor",
    "Outcome": "PassedWithChange",
    "RelatedChangeRequest": "cr-close-timestamp",
    "NextReviewDue": "2026-09-30T16:00:00-05:00",
    "SemanticTypeIri": "http://www.w3.org/ns/prov#Activity",
    "EvaluationContext": "eval-current",
    "Name": "close-v1.1.0 / QuarterlySemanticReview",
    "AsOfInstant": "2026-07-19T13:00:00-05:00",
    "IsOverdue": false,
    "OverdueVersionKey": null,
    "PromisedCadenceDays": 90,
    "DaysSinceReviewed": 17,
    "ExceedsPromisedCadence": false,
    "CadenceDriftDays": -73,
    "PromiseAndBehaviorDisagree": false,
    "CadenceBreachVersionKey": null
   },
   {
    "ReviewEventId": "review-policy-prelaunch",
    "ProcedureVersion": "policy-v1.0.0",
    "ReviewKind": "PreLaunchReview",
    "ReviewedAt": "2026-07-18T16:00:00-05:00",
    "ReviewedByAgent": "elena-garcia",
    "Outcome": "Passed",
    "RelatedChangeRequest": "cr-policy-delivery",
    "NextReviewDue": "2026-09-16T16:00:00-05:00",
    "SemanticTypeIri": "http://www.w3.org/ns/prov#Activity",
    "EvaluationContext": "eval-current",
    "Name": "policy-v1.0.0 / PreLaunchReview",
    "AsOfInstant": "2026-07-19T13:00:00-05:00",
    "IsOverdue": false,
    "OverdueVersionKey": null,
    "PromisedCadenceDays": 60,
    "DaysSinceReviewed": 1,
    "ExceedsPromisedCadence": false,
    "CadenceDriftDays": -59,
    "PromiseAndBehaviorDisagree": false,
    "CadenceBreachVersionKey": null
   }
  ]
 },
 "LearningActivities": {
  "Description": "Learning, retrospective, tabletop, and onboarding activities that convert execution experience into maintained knowledge. Explicit ERB-PKO extension represented as prov:Activity.",
  "important": false,
  "schema": [
   {
    "name": "LearningActivityId",
    "datatype": "string",
    "type": "raw",
    "nullable": false,
    "Description": "Stored logical identifier for one LearningActivities row."
   },
   {
    "name": "Name",
    "datatype": "string",
    "type": "calculated",
    "nullable": true,
    "Description": "Human-readable calculated display alias for the LearningActivities row.",
    "formula": "={{ActivityKind}} &amp; \" / \" &amp; {{OccurredAt}}"
   },
   {
    "name": "CommunityOfPractice",
    "datatype": "string",
    "type": "relationship",
    "nullable": true,
    "Description": "Community hosting the activity.",
    "RelatedTo": "CommunitiesOfPractice"
   },
   {
    "name": "ProcedureVersion",
    "datatype": "string",
    "type": "relationship",
    "nullable": true,
    "Description": "Procedure version practiced or reviewed.",
    "RelatedTo": "ProcedureVersions"
   },
   {
    "name": "ActivityKind",
    "datatype": "string",
    "type": "raw",
    "nullable": true,
    "Description": "Retrospective, TabletopExercise, Onboarding, Drill, or Apprenticeship."
   },
   {
    "name": "OccurredAt",
    "datatype": "datetime",
    "type": "raw",
    "nullable": true,
    "Description": "Activity time."
   },
   {
    "name": "FacilitatorAgent",
    "datatype": "string",
    "type": "relationship",
    "nullable": true,
    "Description": "Facilitator.",
    "RelatedTo": "Agents"
   },
   {
    "name": "Outcome",
    "datatype": "string",
    "type": "raw",
    "nullable": true,
    "Description": "Knowledge or competence produced."
   },
   {
    "name": "EvidenceResource",
    "datatype": "string",
    "type": "relationship",
    "nullable": true,
    "Description": "Evidence or material produced.",
    "RelatedTo": "Resources"
   },
   {
    "name": "SemanticTypeIri",
    "datatype": "string",
    "type": "raw",
    "nullable": true,
    "Description": "Class IRI used in projection."
   }
  ],
  "data": [
   {
    "LearningActivityId": "learn-close-retro",
    "CommunityOfPractice": "close-practice-guild",
    "ProcedureVersion": "close-v1.1.0",
    "ActivityKind": "Retrospective",
    "OccurredAt": "2026-07-02T15:30:00-05:00",
    "FacilitatorAgent": "devon-okafor",
    "Outcome": "Captured feed timestamp failure mode and updated the rulebook.",
    "EvidenceResource": "res-close-checklist",
    "SemanticTypeIri": "http://www.w3.org/ns/prov#Activity",
    "Name": "Retrospective / 2026-07-02T20:30:00+00:00"
   },
   {
    "LearningActivityId": "learn-policy-tabletop",
    "CommunityOfPractice": "policy-stewards-circle",
    "ProcedureVersion": "policy-v1.0.0",
    "ActivityKind": "TabletopExercise",
    "OccurredAt": "2026-07-15T13:00:00-05:00",
    "FacilitatorAgent": "elena-garcia",
    "Outcome": "Tested consent, quiet-hours, and unreachable-recipient exceptions.",
    "EvidenceResource": "res-sms-template",
    "SemanticTypeIri": "http://www.w3.org/ns/prov#Activity",
    "Name": "TabletopExercise / 2026-07-15T18:00:00+00:00"
   }
  ]
 },
 "OperationalBindings": {
  "Description": "Live bindings between procedural semantics and operational data/resources. Explicit ERB-PKO extension using DCAT/DCMI/PROV identifiers.",
  "important": true,
  "schema": [
   {
    "name": "OperationalBindingId",
    "datatype": "string",
    "type": "raw",
    "nullable": false,
    "Description": "Stored logical identifier for one OperationalBindings row."
   },
   {
    "name": "Name",
    "datatype": "string",
    "type": "calculated",
    "nullable": true,
    "Description": "Human-readable calculated display alias for the OperationalBindings row.",
    "formula": "={{Step}} &amp; \" / \" &amp; {{RecordOrSchemaKey}}"
   },
   {
    "name": "ProcedureVersion",
    "datatype": "string",
    "type": "relationship",
    "nullable": true,
    "Description": "Procedure version using the binding.",
    "RelatedTo": "ProcedureVersions"
   },
   {
    "name": "Step",
    "datatype": "string",
    "type": "relationship",
    "nullable": true,
    "Description": "Step using the binding.",
    "RelatedTo": "Steps"
   },
   {
    "name": "Resource",
    "datatype": "string",
    "type": "relationship",
    "nullable": true,
    "Description": "Bound operational resource.",
    "RelatedTo": "Resources"
   },
   {
    "name": "AccessMode",
    "datatype": "string",
    "type": "raw",
    "nullable": true,
    "Description": "Read, Write, ReadWrite, Subscribe, or Publish."
   },
   {
    "name": "RecordOrSchemaKey",
    "datatype": "string",
    "type": "raw",
    "nullable": true,
    "Description": "Operational record, table, event, or schema key."
   },
   {
    "name": "LastObservedAt",
    "datatype": "datetime",
    "type": "raw",
    "nullable": true,
    "Description": "Most recent successful observation."
   },
   {
    "name": "FreshnessSlaMinutes",
    "datatype": "integer",
    "type": "raw",
    "nullable": true,
    "Description": "Maximum allowed data age."
   },
   {
    "name": "IsAuthoritative",
    "datatype": "boolean",
    "type": "raw",
    "nullable": true,
    "Description": "TRUE when the binding is authoritative for the represented fact."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"AgeMinutes",
    "datatype": "integer",
    "type": "calculated",
    "nullable": true,
    "Description": "Current observed age.",
    "formula": "=DATETIME_DIFF({{AsOfInstant}}, {{LastObservedAt}}, \"minutes\")"
   },
   {
    "name": "IsFresh",
    "datatype": "boolean",
    "type": "calculated",
    "nullable": true,
    "Description": "TRUE when within freshness SLA.",
    "formula": "={{AgeMinutes}} &lt;= {{FreshnessSlaMinutes}}"
   },
   {
    "name": "StaleBindingStepKey",
    "datatype": "string",
    "type": "calculated",
    "nullable": true,
    "Description": "Echoes the bound Step id only when the binding is outside its freshness SLA.",
    "formula": "=IF(NOT({{IsFresh}}), {{Step}}, \"\")"
   },
   {
    "name": "AuthoritativeStaleStepKey",
    "datatype": "string",
    "type": "calculated",
    "nullable": true,
    "Description": "Echoes the bound Step id only when an AUTHORITATIVE binding is stale.",
    "formula": "=IF(AND(NOT({{IsFresh}}), {{IsAuthoritative}}), {{Step}}, \"\")"
   },
   {
    "name": "IsStaleAndAuthoritative",
    "datatype": "boolean",
    "type": "calculated",
    "nullable": true,
    "Description": "TRUE when an authoritative binding has aged past its freshness SLA.",
    "formula": "=AND({{IsAuthoritative}}, NOT({{IsFresh}}))"
   },
   {
    "name": "StepWhenStale",
    "datatype": "string",
    "type": "calculated",
    "nullable": true,
    "Description": "Echoes the step id when this authoritative binding is stale, blank otherwise.",
    "formula": "=IF({{IsStaleAndAuthoritative}}, {{Step}}, \"\")"
   },
   {
    "name": "ResourceIsApproved",
    "datatype": "boolean",
    "type": "lookup",
    "nullable": true,
    "Description": "Whether the resource behind this binding is an approved source.",
    "formula": "=INDEX(Resources!{{IsApprovedSource}}, MATCH({{Resource}}, Resources!{{ResourceId}}, 0))"
   },
   {
    "name": "IsUsableForDrafting",
    "datatype": "boolean",
    "type": "calculated",
    "nullable": true,
    "Description": "TRUE when this binding points at an approved source that is still inside its freshness SLA.",
    "formula": "=AND({{ResourceIsApproved}}, {{IsFresh}})"
   },
   {
    "name": "StepWhenUnusable",
    "datatype": "string",
    "type": "calculated",
    "nullable": true,
    "Description": "Echoes the step id when this binding is NOT usable for drafting, blank otherwise.",
    "formula": "=IF({{IsUsableForDrafting}}, \"\", {{Step}})"
   },
   {
    "name": "SemanticTypeIri",
    "datatype": "string",
    "type": "raw",
    "nullable": true,
    "Description": "Extension class IRI."
   }
  ],
  "data": [
   {
    "OperationalBindingId": "bind-close-erp",
    "ProcedureVersion": "close-v1.1.0",
    "Step": "close-02",
    "Resource": "res-erp-api",
    "AccessMode": "Read",
    "RecordOrSchemaKey": "GeneralLedger.TrialBalance",
    "LastObservedAt": "2026-07-19T12:43:00-05:00",
    "FreshnessSlaMinutes": 15,
    "IsAuthoritative": true,
    "SemanticTypeIri": "urn:effortless:pko-extension#OperationalBinding",
    "EvaluationContext": "eval-current",
    "Name": "close-02 / GeneralLedger.TrialBalance",
    "AsOfInstant": "2026-07-19T13:00:00-05:00",
    "AgeMinutes": 17,
    "IsFresh": false,
    "StaleBindingStepKey": "close-02",
    "AuthoritativeStaleStepKey": "close-02",
    "IsStaleAndAuthoritative": true,
    "StepWhenStale": "close-02",
    "IsUsableForDrafting": false,
    "StepWhenUnusable": "close-02",
    "ResourceIsApproved": false
   },
   {
    "OperationalBindingId": "bind-policy-ticket",
    "ProcedureVersion": "policy-v1.0.0",
    "Step": "policy-01",
    "Resource": "res-change-ticket",
    "AccessMode": "ReadWrite",
    "RecordOrSchemaKey": "HR.ChangeTicket",
    "LastObservedAt": "2026-07-19T11:50:00-05:00",
    "FreshnessSlaMinutes": 30,
    "IsAuthoritative": true,
    "SemanticTypeIri": "urn:effortless:pko-extension#OperationalBinding",
    "EvaluationContext": "eval-current",
    "Name": "policy-01 / HR.ChangeTicket",
    "AsOfInstant": "2026-07-19T13:00:00-05:00",
    "AgeMinutes": 70,
    "IsFresh": false,
    "StaleBindingStepKey": "policy-01",
    "AuthoritativeStaleStepKey": "policy-01",
    "IsStaleAndAuthoritative": true,
    "StepWhenStale": "policy-01",
    "IsUsableForDrafting": false,
    "StepWhenUnusable": "policy-01",
    "ResourceIsApproved": false
   },
   {
    "OperationalBindingId": "bind-policy-consent",
    "ProcedureVersion": "policy-v1.0.0",
    "Step": "policy-07",
    "Resource": "res-consent-registry",
    "AccessMode": "Read",
    "RecordOrSchemaKey": "HR.CommunicationConsent",
    "LastObservedAt": "2026-07-19T11:45:00-05:00",
    "FreshnessSlaMinutes": 15,
    "IsAuthoritative": true,
    "SemanticTypeIri": "urn:effortless:pko-extension#OperationalBinding",
    "EvaluationContext": "eval-current",
    "Name": "policy-07 / HR.CommunicationConsent",
    "AsOfInstant": "2026-07-19T13:00:00-05:00",
    "AgeMinutes": 75,
    "IsFresh": false,
    "StaleBindingStepKey": "policy-07",
    "AuthoritativeStaleStepKey": "policy-07",
    "IsStaleAndAuthoritative": true,
    "StepWhenStale": "policy-07",
    "IsUsableForDrafting": false,
    "StepWhenUnusable": "policy-07",
    "ResourceIsApproved": false
   },
   {
    "OperationalBindingId": "bind-policy-email",
    "ProcedureVersion": "policy-v1.0.0",
    "Step": "policy-07",
    "Resource": "res-email-template",
    "AccessMode": "Read",
    "RecordOrSchemaKey": "People.EmailTemplate",
    "LastObservedAt": "2026-07-18T16:30:00-05:00",
    "FreshnessSlaMinutes": 1440,
    "IsAuthoritative": true,
    "SemanticTypeIri": "urn:effortless:pko-extension#OperationalBinding",
    "EvaluationContext": "eval-current",
    "Name": "policy-07 / People.EmailTemplate",
    "AsOfInstant": "2026-07-19T13:00:00-05:00",
    "AgeMinutes": 1230,
    "IsFresh": true,
    "StaleBindingStepKey": null,
    "AuthoritativeStaleStepKey": null,
    "IsStaleAndAuthoritative": false,
    "StepWhenStale": null,
    "StepWhenUnusable": "policy-07",
    "ResourceIsApproved": false,
    "IsUsableForDrafting": false
   },
   {
    "OperationalBindingId": "bind-policy-sms",
    "ProcedureVersion": "policy-v1.0.0",
    "Step": "policy-07",
    "Resource": "res-sms-template",
    "AccessMode": "Read",
    "RecordOrSchemaKey": "People.SmsTemplate",
    "LastObservedAt": "2026-07-18T16:30:00-05:00",
    "FreshnessSlaMinutes": 1440,
    "IsAuthoritative": true,
    "SemanticTypeIri": "urn:effortless:pko-extension#OperationalBinding",
    "EvaluationContext": "eval-current",
    "Name": "policy-07 / People.SmsTemplate",
    "AsOfInstant": "2026-07-19T13:00:00-05:00",
    "AgeMinutes": 1230,
    "IsFresh": true,
    "StaleBindingStepKey": null,
    "AuthoritativeStaleStepKey": null,
    "IsStaleAndAuthoritative": false,
    "StepWhenStale": null,
    "StepWhenUnusable": "policy-07",
    "ResourceIsApproved": false,
    "IsUsableForDrafting": false
   }
  ]
 },
 "CommunicationPolicies": {
  "Description": "Channel-specific communication policy projected from the same canonical procedure. Uses ODRL-style policy semantics plus ERB-PKO channel constraints.",
  "important": true,
  "schema": [
   {
    "name": "CommunicationPolicyId",
    "datatype": "string",
    "type": "raw",
    "nullable": false,
    "Description": "Stored logical identifier for one CommunicationPolicies row."
   },
   {
    "name": "Name",
    "datatype": "string",
    "type": "calculated",
    "nullable": true,
    "Description": "Human-readable calculated display alias for the CommunicationPolicies row.",
    "formula": "={{Channel}} &amp; \" policy / \" &amp; {{ProcedureVersion}}"
   },
   {
    "name": "ProcedureVersion",
    "datatype": "string",
    "type": "relationship",
    "nullable": true,
    "Description": "Procedure version governing the channel.",
    "RelatedTo": "ProcedureVersions"
   },
   {
    "name": "Channel",
    "datatype": "string",
    "type": "raw",
    "nullable": true,
    "Description": "Email, SMS, Push, Postal, or another declared channel."
   },
   {
    "name": "AudienceRule",
    "datatype": "string",
    "type": "raw",
    "nullable": true,
    "Description": "Rule that identifies eligible recipients."
   },
   {
    "name": "ConsentRequired",
    "datatype": "boolean",
    "type": "raw",
    "nullable": true,
    "Description": "Whether active consent is required."
   },
   {
    "name": "QuietHoursStart",
    "datatype": "string",
    "type": "raw",
    "nullable": true,
    "Description": "Recipient-local quiet-hours start."
   },
   {
    "name": "QuietHoursEnd",
    "datatype": "string",
    "type": "raw",
    "nullable": true,
    "Description": "Recipient-local quiet-hours end."
   },
   {
    "name": "MaxMessageLength",
    "datatype": "integer",
    "type": "raw",
    "nullable": true,
    "Description": "Maximum message length for one unit."
   },
   {
    "name": "MaxSegments",
    "datatype": "integer",
    "type": "raw",
    "nullable": true,
    "Description": "Maximum number of channel segments."
   },
   {
    "name": "RetentionDays",
    "datatype": "integer",
    "type": "raw",
    "nullable": true,
    "Description": "Retention period for rendered messages and delivery records."
   },
   {
    "name": "ApprovalRole",
    "datatype": "string",
    "type": "relationship",
    "nullable": true,
    "Description": "Role approving the channel policy.",
    "RelatedTo": "Roles"
   },
   {
    "name": "RequiredContent",
    "datatype": "string",
    "type": "raw",
    "nullable": true,
    "Description": "Content that every message must include."
   },
   {
    "name": "AuthorityStatement",
    "datatype": "string",
    "type": "raw",
    "nullable": true,
    "Description": "Which artifact is authoritative."
   },
   {
    "name": "Status",
    "datatype": "string",
    "type": "raw",
    "nullable": true,
    "Description": "Draft, Active, Suspended, or Retired."
   },
   {
    "name": "ConsentViolationCount",
    "datatype": "number",
    "type": "aggregation",
    "nullable": true,
    "Description": "Number of consent violations attributable to this channel policy.",
    "formula": "=COUNTIFS(MessageDeliveries!{{PolicyChannel}}, {{CommunicationPolicyId}}, MessageDeliveries!{{IsConsentViolation}}, TRUE)"
   },
   {
    "name": "QuietHoursStartHour",
    "datatype": "integer",
    "type": "raw",
    "nullable": true,
    "Description": "The hour (0-23) at which the quiet window opens. Stored rather than parsed from QuietHoursStart: VALUE(LEFT(...)) does not translate — the transpiler casts the \"20:00\" string to a timestamp and the view errors. The sending system already knows this number, so modeling it as a parse would dress a broken derivation up as a rule."
   },
   {
    "name": "QuietHoursEndHour",
    "datatype": "integer",
    "type": "raw",
    "nullable": true,
    "Description": "Numeric hour 0-23 at which quiet hours end. Seeded 8 for comm-sms-policy, 0 for comm-email-policy."
   },
   {
    "name": "QuietHoursViolationCount",
    "datatype": "number",
    "type": "aggregation",
    "nullable": true,
    "Description": "Number of transmitted messages that breached this policy's quiet-hours window.",
    "formula": "=COUNTIFS(MessageDeliveries!{{QuietHoursViolationPolicyKey}}, {{CommunicationPolicyId}})"
   },
   {
    "name": "RequiredOptOutPhrase",
    "datatype": "string",
    "type": "raw",
    "nullable": true,
    "Description": "The exact opt-out phrase every message on this channel must contain. Seeded 'Reply STOP' for comm-sms-policy, empty string for comm-email-policy."
   },
   {
    "name": "IsActivePolicy",
    "datatype": "boolean",
    "type": "calculated",
    "nullable": true,
    "Description": "TRUE only when this channel policy is in Active status.",
    "formula": "={{Status}} = \"Active\""
   },
   {
    "name": "SemanticTypeIri",
    "datatype": "string",
    "type": "raw",
    "nullable": true,
    "Description": "ODRL Policy class IRI."
   }
  ],
  "data": [
   {
    "CommunicationPolicyId": "comm-email-policy",
    "ProcedureVersion": "policy-v1</t>
  </si>
  <si>
    <t xml:space="preserve">.0.0",
    "Channel": "Email",
    "AudienceRule": "All affected employees with a valid corporate email",
    "ConsentRequired": false,
    "QuietHoursStart": "00:00",
    "QuietHoursEnd": "00:00",
    "MaxMessageLength": 100000,
    "MaxSegments": 1,
    "RetentionDays": 2555,
    "ApprovalRole": "communications-manager",
    "RequiredContent": "Full policy context, effective date, action required, alternate contact",
    "AuthorityStatement": "Email is the complete official notification record.",
    "Status": "Active",
    "SemanticTypeIri": "http://www.w3.org/ns/odrl/2/Policy",
    "QuietHoursStartHour": 0,
    "QuietHoursEndHour": 0,
    "RequiredOptOutPhrase": null,
    "RequiresOptOut": false,
    "Name": "Email policy / policy-v1.0.0",
    "ConsentViolationCount": 0,
    "QuietHoursViolationCount": 0,
    "IsActivePolicy": true
   },
   {
    "CommunicationPolicyId": "comm-sms-policy",
    "ProcedureVersion": "policy-v1.0.0",
    "Channel": "SMS",
    "AudienceRule": "Affected employees with active SMS consent",
    "ConsentRequired": true,
    "QuietHoursStart": "20:00",
    "QuietHoursEnd": "08:00",
    "MaxMessageLength": 160,
    "MaxSegments": 3,
    "RetentionDays": 2555,
    "ApprovalRole": "communications-manager",
    "RequiredContent": "Short notice, secure link, approved opt-out text",
    "AuthorityStatement": "SMS is a supplemental notice; the linked email/policy is authoritative.",
    "Status": "Active",
    "SemanticTypeIri": "http://www.w3.org/ns/odrl/2/Policy",
    "QuietHoursStartHour": 20,
    "QuietHoursEndHour": 8,
    "RequiredOptOutPhrase": "Reply STOP to opt out",
    "RequiresOptOut": true,
    "Name": "SMS policy / policy-v1.0.0",
    "ConsentViolationCount": 0,
    "QuietHoursViolationCount": 1,
    "IsActivePolicy": true
   }
  ]
 },
 "MessageTemplates": {
  "Description": "Approved channel templates projected from the canonical rulebook without becoming a second source of policy meaning.",
  "important": false,
  "schema": [
   {
    "name": "MessageTemplateId",
    "datatype": "string",
    "type": "raw",
    "nullable": false,
    "Description": "Stored logical identifier for one MessageTemplates row."
   },
   {
    "name": "Name",
    "datatype": "string",
    "type": "calculated",
    "nullable": true,
    "Description": "Human-readable calculated display alias for the MessageTemplates row.",
    "formula": "={{CommunicationPolicy}} &amp; \" / \" &amp; {{Locale}}"
   },
   {
    "name": "CommunicationPolicy",
    "datatype": "string",
    "type": "relationship",
    "nullable": true,
    "Description": "Channel policy governing the template.",
    "RelatedTo": "CommunicationPolicies"
   },
   {
    "name": "Resource",
    "datatype": "string",
    "type": "relationship",
    "nullable": true,
    "Description": "Template resource.",
    "RelatedTo": "Resources"
   },
   {
    "name": "SubjectTemplate",
    "datatype": "string",
    "type": "raw",
    "nullable": true,
    "Description": "Subject template where supported."
   },
   {
    "name": "BodyTemplate",
    "datatype": "string",
    "type": "raw",
    "nullable": true,
    "Description": "Body template."
   },
   {
    "name": "Locale",
    "datatype": "string",
    "type": "raw",
    "nullable": true,
    "Description": "Locale or language tag."
   },
   {
    "name": "Status",
    "datatype": "string",
    "type": "raw",
    "nullable": true,
    "Description": "Draft, Approved, Retired, or Superseded."
   },
   {
    "name": "PolicyMaxMessageLength",
    "datatype": "integer",
    "type": "lookup",
    "nullable": true,
    "Description": "Per-segment character limit inherited from the governing channel policy.",
    "formula": "=INDEX(CommunicationPolicies!{{MaxMessageLength}}, MATCH({{CommunicationPolicy}}, CommunicationPolicies!{{CommunicationPolicyId}}, 0))"
   },
   {
    "name": "PolicyMaxSegments",
    "datatype": "integer",
    "type": "lookup",
    "nullable": true,
    "Description": "Maximum permitted segment count from the governing channel policy.",
    "formula": "=INDEX(CommunicationPolicies!{{MaxSegments}}, MATCH({{CommunicationPolicy}}, CommunicationPolicies!{{CommunicationPolicyId}}, 0))"
   },
   {
    "name": "BodyTemplateLength",
    "datatype": "integer",
    "type": "calculated",
    "nullable": true,
    "Description": "Character length of the raw template body before variable substitution.",
    "formula": "=LEN({{BodyTemplate}})"
   },
   {
    "name": "IsTemplateOverLength",
    "datatype": "boolean",
    "type": "calculated",
    "nullable": true,
    "Description": "TRUE when the template body alone already exceeds the single-segment limit before any variables are substituted in.",
    "formula": "={{BodyTemplateLength}} &gt; {{PolicyMaxMessageLength}}"
   },
   {
    "name": "ValidApprovalCount",
    "datatype": "number",
    "type": "aggregation",
    "nullable": true,
    "Description": "Number of properly-authorized approvals on record for this template.",
    "formula": "=COUNTIFS(TemplateApprovals!{{ValidApprovalTemplateKey}}, {{MessageTemplateId}})"
   },
   {
    "name": "HasValidApproval",
    "datatype": "boolean",
    "type": "calculated",
    "nullable": true,
    "Description": "TRUE when at least one properly-authorized approval exists for this template.",
    "formula": "={{ValidApprovalCount}} &gt; 0"
   },
   {
    "name": "IsClaimingUnbackedApproval",
    "datatype": "boolean",
    "type": "calculated",
    "nullable": true,
    "Description": "TRUE when a template's Status says Approved but no properly-authorized approval record backs it. The phantom-approval witness.",
    "formula": "=AND({{Status}} = \"Approved\", NOT({{HasValidApproval}}))"
   },
   {
    "name": "CurrentBodyHash",
    "datatype": "string",
    "type": "raw",
    "nullable": true,
    "Description": "Digest of the template's current body text, maintained whenever the body is edited."
   },
   {
    "name": "LastApprovedBodyHash",
    "datatype": "string",
    "type": "lookup",
    "nullable": true,
    "Description": "Digest of the body text as it stood at the most recent valid approval.",
    "formula": "=INDEX(TemplateApprovals!{{ApprovedBodyHash}}, MATCH({{LastValidApproval}}, TemplateApprovals!{{TemplateApprovalId}}, 0))"
   },
   {
    "name": "LastValidApproval",
    "datatype": "string",
    "type": "raw",
    "nullable": true,
    "Description": "The TemplateApprovals id of the approval this template is currently sendable under. Deliberately a raw identifier, not a relationship: TemplateApprovals already points at MessageTemplates, so declaring an FK back would make the two tables mutually dependent and the rulebook is required to stay acyclic. The value is still resolved by INDEX/MATCH in LastApprovedBodyHash."
   },
   {
    "name": "HasBodyDrifted",
    "datatype": "boolean",
    "type": "calculated",
    "nullable": true,
    "Description": "TRUE when the template body no longer matches what was approved.",
    "formula": "=AND({{LastApprovedBodyHash}} &lt;&gt; \"\", {{CurrentBodyHash}} &lt;&gt; {{LastApprovedBodyHash}})"
   },
   {
    "name": "IsSendableUnderApproval",
    "datatype": "boolean",
    "type": "calculated",
    "nullable": true,
    "Description": "TRUE only when the template is marked Approved, has a properly-authorized approval, AND its body still matches what was approved.",
    "formula": "=AND({{Status}} = \"Approved\", AND({{HasValidApproval}}, NOT({{HasBodyDrifted}})))"
   },
   {
    "name": "DriftedSendCount",
    "datatype": "number",
    "type": "aggregation",
    "nullable": true,
    "Description": "How many messages went out from this template while it was not validly sendable.",
    "formula": "=COUNTIFS(MessageDeliveries!{{DriftedSendTemplateKey}}, {{MessageTemplateId}})"
   },
   {
    "name": "UnansweredDeliveryCount",
    "datatype": "number",
    "type": "aggregation",
    "nullable": true,
    "Description": "How many transmitted messages from this template drew no acknowledgement.",
    "formula": "=COUNTIFS(MessageDeliveries!{{UnansweredTemplateKey}}, {{MessageTemplateId}})"
   },
   {
    "name": "TransmittedDeliveryCount",
    "datatype": "number",
    "type": "aggregation",
    "nullable": true,
    "Description": "How many deliveries using this template were actually transmitted.",
    "formula": "=COUNTIFS(MessageDeliveries!{{TransmittedTemplateKey}}, {{MessageTemplateId}})"
   },
   {
    "name": "TemplateDrawsNoResponse",
    "datatype": "boolean",
    "type": "calculated",
    "nullable": true,
    "Description": "TRUE when every transmitted message from this template went unacknowledged.",
    "formula": "=AND({{TransmittedDeliveryCount}} &gt; 0, {{UnansweredDeliveryCount}} = {{TransmittedDeliveryCount}})"
   },
   {
    "name": "LastApprovalAt",
    "datatype": "datetime",
    "type": "lookup",
    "nullable": true,
    "Description": "When this template's currently-governing approval was decided.",
    "formula": "=INDEX(TemplateApprovals!{{DecidedAt}}, MATCH({{LastValidApproval}}, TemplateApprovals!{{TemplateApprovalId}}, 0))"
   },
   {
    "name": "SemanticTypeIri",
    "datatype": "string",
    "type": "raw",
    "nullable": true,
    "Description": "Resource class IRI."
   }
  ],
  "data": [
   {
    "MessageTemplateId": "tmpl-policy-email",
    "CommunicationPolicy": "comm-email-policy",
    "Resource": "res-email-template",
    "SubjectTemplate": "Remote-work policy update effective {{EffectiveDate}}",
    "BodyTemplate": "A workforce policy affecting your work has changed. Review the complete policy at {{PolicyUrl}}. Required action: {{RequiredAction}}. Questions: {{ContactAddress}}.",
    "Locale": "en-US",
    "Status": "Approved",
    "SemanticTypeIri": "http://www.w3.org/ns/dcat#Resource",
    "LastValidApproval": "tap-email-001",
    "CurrentBodyHash": "h-email-v1",
    "Name": "comm-email-policy / en-US",
    "PolicyMaxMessageLength": 100000,
    "PolicyMaxSegments": 1,
    "BodyTemplateLength": 164,
    "IsTemplateOverLength": false,
    "ValidApprovalCount": 1,
    "HasValidApproval": true,
    "IsClaimingUnbackedApproval": false,
    "LastApprovedBodyHash": "h-email-v1",
    "HasBodyDrifted": false,
    "IsSendableUnderApproval": true,
    "DriftedSendCount": 0,
    "UnansweredDeliveryCount": 1,
    "TransmittedDeliveryCount": 2,
    "TemplateDrawsNoResponse": false,
    "LastApprovalAt": "2026-07-17T11:00:00-05:00"
   },
   {
    "MessageTemplateId": "tmpl-policy-sms",
    "CommunicationPolicy": "comm-sms-policy",
    "Resource": "res-sms-template",
    "SubjectTemplate": "",
    "BodyTemplate": "ACME policy update effective {{EffectiveDate}}. Review: {{ShortUrl}}. Reply STOP to opt out of SMS; email notices continue.",
    "Locale": "en-US",
    "Status": "Approved",
    "SemanticTypeIri": "http://www.w3.org/ns/dcat#Resource",
    "LastValidApproval": "tap-sms-001",
    "CurrentBodyHash": "h-sms-v1",
    "Name": "comm-sms-policy / en-US",
    "PolicyMaxMessageLength": 160,
    "PolicyMaxSegments": 3,
    "BodyTemplateLength": 123,
    "IsTemplateOverLength": false,
    "ValidApprovalCount": 1,
    "HasValidApproval": true,
    "IsClaimingUnbackedApproval": false,
    "LastApprovedBodyHash": "h-sms-v1",
    "HasBodyDrifted": false,
    "IsSendableUnderApproval": true,
    "DriftedSendCount": 0,
    "UnansweredDeliveryCount": 2,
    "TransmittedDeliveryCount": 2,
    "TemplateDrawsNoResponse": true,
    "LastApprovalAt": "2026-07-19T10:00:00-05:00"
   }
  ]
 },
 "SemanticMappings": {
  "Description": "Machine-readable alignment from ERB table/field paths to exact PKO or reused ontology terms. Extension mappings are never presented as native PKO.",
  "important": true,
  "schema": [
   {
    "name": "SemanticMappingId",
    "datatype": "string",
    "type": "raw",
    "nullable": false,
    "Description": "Stored logical identifier for one SemanticMappings row."
   },
   {
    "name": "Name",
    "datatype": "string",
    "type": "calculated",
    "nullable": true,
    "Description": "Human-readable calculated display alias for the SemanticMappings row.",
    "formula": "={{SourcePath}} &amp; \" -&gt; \" &amp; {{TargetIri}}"
   },
   {
    "name": "SourcePath",
    "datatype": "string",
    "type": "raw",
    "nullable": true,
    "Description": "ERB table, field, or discriminator path."
   },
   {
    "name": "MappingKind",
    "datatype": "string",
    "type": "raw",
    "nullable": true,
    "Description": "class, objectProperty, datatypeProperty, individual, or rule."
   },
   {
    "name": "TargetIri",
    "datatype": "string",
    "type": "raw",
    "nullable": true,
    "Description": "Exact target semantic IRI."
   },
   {
    "name": "MappingRelation",
    "datatype": "string",
    "type": "raw",
    "nullable": true,
    "Description": "exact, aligned, subclass, subproperty, or extension."
   },
   {
    "name": "OntologyProfile",
    "datatype": "string",
    "type": "relationship",
    "nullable": true,
    "Description": "Versioned ontology profile containing the target term.",
    "RelatedTo": "OntologyProfiles"
   },
   {
    "name": "Notes",
    "datatype": "string",
    "type": "raw",
    "nullable": true,
    "Description": "Mapping semantics and boundaries."
   }
  ],
  "data": [
   {
    "SemanticMappingId": "map-procedures",
    "SourcePath": "Procedures",
    "MappingKind": "class",
    "TargetIri": "https://w3id.org/pko#Procedure",
    "MappingRelation": "exact",
    "OntologyProfile": "pko-core-2.0.0",
    "Notes": "Abstract procedure.",
    "Name": "Procedures -&gt; https://w3id.org/pko#Procedure"
   },
   {
    "SemanticMappingId": "map-procedure-versions",
    "SourcePath": "ProcedureVersions",
    "MappingKind": "class",
    "TargetIri": "https://w3id.org/pko#Procedure",
    "MappingRelation": "exact",
    "OntologyProfile": "pko-core-2.0.0",
    "Notes": "Versioned procedure resources.",
    "Name": "ProcedureVersions -&gt; https://w3id.org/pko#Procedure"
   },
   {
    "SemanticMappingId": "map-procedure-version-number",
    "SourcePath": "ProcedureVersions.VersionNumber",
    "MappingKind": "datatypeProperty",
    "TargetIri": "https://w3id.org/pko#versionNumber",
    "MappingRelation": "exact",
    "OntologyProfile": "pko-core-2.0.0",
    "Notes": "PKO version number.",
    "Name": "ProcedureVersions.VersionNumber -&gt; https://w3id.org/pko#versionNumber"
   },
   {
    "SemanticMappingId": "map-status-change",
    "SourcePath": "ProcedureStatusChanges",
    "MappingKind": "class",
    "TargetIri": "https://w3id.org/pko#ChangeOfStatus",
    "MappingRelation": "exact",
    "OntologyProfile": "pko-core-2.0.0",
    "Notes": "Status transition activity.",
    "Name": "ProcedureStatusChanges -&gt; https://w3id.org/pko#ChangeOfStatus"
   },
   {
    "SemanticMappingId": "map-steps",
    "SourcePath": "Steps",
    "MappingKind": "class",
    "TargetIri": "http://purl.org/net/p-plan#Step",
    "MappingRelation": "exact",
    "OntologyProfile": "p-plan",
    "Notes": "Atomic steps.",
    "Name": "Steps -&gt; http://purl.org/net/p-plan#Step"
   },
   {
    "SemanticMappingId": "map-multisteps",
    "SourcePath": "Steps.StepKind=MultiStep",
    "MappingKind": "class",
    "TargetIri": "http://purl.org/net/p-plan#MultiStep",
    "MappingRelation": "exact",
    "OntologyProfile": "p-plan",
    "Notes": "Composite steps.",
    "Name": "Steps.StepKind=MultiStep -&gt; http://purl.org/net/p-plan#MultiStep"
   },
   {
    "SemanticMappingId": "map-transitions",
    "SourcePath": "StepTransitions",
    "MappingKind": "class",
    "TargetIri": "https://w3id.org/pko#Transition",
    "MappingRelation": "exact",
    "OntologyProfile": "pko-core-2.0.0",
    "Notes": "Transition instance.",
    "Name": "StepTransitions -&gt; https://w3id.org/pko#Transition"
   },
   {
    "SemanticMappingId": "map-from-step",
    "SourcePath": "StepTransitions.FromStep",
    "MappingKind": "objectProperty",
    "TargetIri": "https://w3id.org/pko#fromStep",
    "MappingRelation": "exact",
    "OntologyProfile": "pko-core-2.0.0",
    "Notes": "Transition source.",
    "Name": "StepTransitions.FromStep -&gt; https://w3id.org/pko#fromStep"
   },
   {
    "SemanticMappingId": "map-to-step",
    "SourcePath": "StepTransitions.ToStep",
    "MappingKind": "objectProperty",
    "TargetIri": "https://w3id.org/pko#toStep",
    "MappingRelation": "exact",
    "OntologyProfile": "pko-core-2.0.0",
    "Notes": "Transition destination.",
    "Name": "StepTransitions.ToStep -&gt; https://w3id.org/pko#toStep"
   },
   {
    "SemanticMappingId": "map-actions",
    "SourcePath": "Actions",
    "MappingKind": "class",
    "TargetIri": "https://w3id.org/pko#Action",
    "MappingRelation": "exact",
    "OntologyProfile": "pko-core-2.0.0",
    "Notes": "Human action.",
    "Name": "Actions -&gt; https://w3id.org/pko#Action"
   },
   {
    "SemanticMappingId": "map-functions",
    "SourcePath": "Functions",
    "MappingKind": "class",
    "TargetIri": "https://w3id.org/pko#Function",
    "MappingRelation": "exact",
    "OntologyProfile": "pko-core-2.0.0",
    "Notes": "Software function.",
    "Name": "Functions -&gt; https://w3id.org/pko#Function"
   },
   {
    "SemanticMappingId": "map-tools",
    "SourcePath": "Tools",
    "MappingKind": "class",
    "TargetIri": "http://w3id.org/nfdi4ing/metadata4ing#Tool",
    "MappingRelation": "exact",
    "OntologyProfile": "m4ing",
    "Notes": "Tool.",
    "Name": "Tools -&gt; http://w3id.org/nfdi4ing/metadata4ing#Tool"
   },
   {
    "SemanticMappingId": "map-requirements",
    "SourcePath": "Requirements",
    "MappingKind": "class",
    "TargetIri": "https://w3id.org/pko#Requirement",
    "MappingRelation": "exact",
    "OntologyProfile": "pko-core-2.0.0",
    "Notes": "Requirement.",
    "Name": "Requirements -&gt; https://w3id.org/pko#Requirement"
   },
   {
    "SemanticMappingId": "map-verifications",
    "SourcePath": "StepVerifications",
    "MappingKind": "class",
    "TargetIri": "https://w3id.org/pko#StepVerification",
    "MappingRelation": "exact",
    "OntologyProfile": "pko-core-2.0.0",
    "Notes": "Step verification.",
    "Name": "StepVerifications -&gt; https://w3id.org/pko#StepVerification"
   },
   {
    "SemanticMappingId": "map-resources",
    "SourcePath": "Resources",
    "MappingKind": "class",
    "TargetIri": "http://www.w3.org/ns/dcat#Resource",
    "MappingRelation": "exact",
    "OntologyProfile": "dcat-3",
    "Notes": "Referenced resources.",
    "Name": "Resources -&gt; http://www.w3.org/ns/dcat#Resource"
   },
   {
    "SemanticMappingId": "map-agents",
    "SourcePath": "Agents",
    "MappingKind": "class",
    "TargetIri": "http://www.w3.org/ns/prov#Agent",
    "MappingRelation": "exact",
    "OntologyProfile": "prov-o",
    "Notes": "Agents.",
    "Name": "Agents -&gt; http://www.w3.org/ns/prov#Agent"
   },
   {
    "SemanticMappingId": "map-roles",
    "SourcePath": "Roles",
    "MappingKind": "class",
    "TargetIri": "http://purl.org/spar/pro/Role",
    "MappingRelation": "exact",
    "OntologyProfile": "pro",
    "Notes": "Roles.",
    "Name": "Roles -&gt; http://purl.org/spar/pro/Role"
   },
   {
    "SemanticMappingId": "map-role-time",
    "SourcePath": "RoleAssignments",
    "MappingKind": "class",
    "TargetIri": "http://purl.org/spar/pro/RoleInTime",
    "MappingRelation": "exact",
    "OntologyProfile": "pro",
    "Notes": "Time-bounded role assignments.",
    "Name": "RoleAssignments -&gt; http://purl.org/spar/pro/RoleInTime"
   },
   {
    "SemanticMappingId": "map-procedure-executions",
    "SourcePath": "ProcedureExecutions",
    "MappingKind": "class",
    "TargetIri": "https://w3id.org/pko#ProcedureExecution",
    "MappingRelation": "exact",
    "OntologyProfile": "pko-core-2.0.0",
    "Notes": "Procedure execution.",
    "Name": "ProcedureExecutions -&gt; https://w3id.org/pko#ProcedureExecution"
   },
   {
    "SemanticMappingId": "map-step-executions",
    "SourcePath": "StepExecutions",
    "MappingKind": "class",
    "TargetIri": "https://w3id.org/pko#StepExecution",
    "MappingRelation": "exact",
    "OntologyProfile": "pko-core-2.0.0",
    "Notes": "Step execution.",
    "Name": "StepExecutions -&gt; https://w3id.org/pko#StepExecution"
   },
   {
    "SemanticMappingId": "map-satisfactions",
    "SourcePath": "RequirementSatisfactions",
    "MappingKind": "class",
    "TargetIri": "https://w3id.org/pko#RequirementSatisfaction",
    "MappingRelation": "exact",
    "OntologyProfile": "pko-core-2.0.0",
    "Notes": "Requirement satisfaction.",
    "Name": "RequirementSatisfactions -&gt; https://w3id.org/pko#RequirementSatisfaction"
   },
   {
    "SemanticMappingId": "map-errors",
    "SourcePath": "Errors",
    "MappingKind": "class",
    "TargetIri": "https://w3id.org/pko#Error",
    "MappingRelation": "exact",
    "OntologyProfile": "pko-core-2.0.0",
    "Notes": "Error.",
    "Name": "Errors -&gt; https://w3id.org/pko#Error"
   },
   {
    "SemanticMappingId": "map-issues",
    "SourcePath": "IssueOccurrences",
    "MappingKind": "class",
    "TargetIri": "https://w3id.org/pko#IssueOccurrence",
    "MappingRelation": "exact",
    "OntologyProfile": "pko-core-2.0.0",
    "Notes": "Issue occurrence.",
    "Name": "IssueOccurrences -&gt; https://w3id.org/pko#IssueOccurrence"
   },
   {
    "SemanticMappingId": "map-questions",
    "SourcePath": "UserQuestions",
    "MappingKind": "class",
    "TargetIri": "https://w3id.org/pko#UserQuestionOccurrence",
    "MappingRelation": "exact",
    "OntologyProfile": "pko-core-2.0.0",
    "Notes": "Question occurrence.",
    "Name": "UserQuestions -&gt; https://w3id.org/pko#UserQuestionOccurrence"
   },
   {
    "SemanticMappingId": "map-feedback",
    "SourcePath": "UserFeedback",
    "MappingKind": "class",
    "TargetIri": "https://w3id.org/pko#UserFeedbackOccurrence",
    "MappingRelation": "exact",
    "OntologyProfile": "pko-core-2.0.0",
    "Notes": "Feedback occurrence.",
    "Name": "UserFeedback -&gt; https://w3id.org/pko#UserFeedbackOccurrence"
   },
   {
    "SemanticMappingId": "map-faqs",
    "SourcePath": "FAQs",
    "MappingKind": "class",
    "TargetIri": "https://w3id.org/pko#FrequentlyAskedQuestion",
    "MappingRelation": "exact",
    "OntologyProfile": "pko-core-2.0.0",
    "Notes": "FAQ.",
    "Name": "FAQs -&gt; https://w3id.org/pko#FrequentlyAskedQuestion"
   },
   {
    "SemanticMappingId": "map-explanations",
    "SourcePath": "Explanations",
    "MappingKind": "class",
    "TargetIri": "https://w3id.org/pko#Explanation",
    "MappingRelation": "exact",
    "OntologyProfile": "pko-core-2.0.0",
    "Notes": "Explanation.",
    "Name": "Explanations -&gt; https://w3id.org/pko#Explanation"
   },
   {
    "SemanticMappingId": "map-knowledge-fragments",
    "SourcePath": "KnowledgeFragments",
    "MappingKind": "class",
    "TargetIri": "urn:effortless:pko-extension#KnowledgeFragment",
    "MappingRelation": "extension",
    "OntologyProfile": "erb-pko-extension-1.0.0",
    "Notes": "Tacit/implicit/explicit knowledge capture.",
    "Name": "KnowledgeFragments -&gt; urn:effortless:pko-extension#KnowledgeFragment"
   },
   {
    "SemanticMappingId": "map-elicitation",
    "SourcePath": "ElicitationSessions",
    "MappingKind": "class",
    "TargetIri": "urn:effortless:pko-extension#ElicitationSession",
    "MappingRelation": "extension",
    "OntologyProfile": "erb-pko-extension-1.0.0",
    "Notes": "Knowledge elicitation activity.",
    "Name": "ElicitationSessions -&gt; urn:effortless:pko-extension#ElicitationSession"
   },
   {
    "SemanticMappingId": "map-governance",
    "SourcePath": "StewardshipAssignments",
    "MappingKind": "class",
    "TargetIri": "urn:effortless:pko-extension#StewardshipAssignment",
    "MappingRelation": "extension",
    "OntologyProfile": "erb-pko-extension-1.0.0",
    "Notes": "Stewardship and authority.",
    "Name": "StewardshipAssignments -&gt; urn:effortless:pko-extension#StewardshipAssignment"
   },
   {
    "SemanticMappingId": "map-operational-binding",
    "SourcePath": "OperationalBindings",
    "MappingKind": "class",
    "TargetIri": "urn:effortless:pko-extension#OperationalBinding",
    "MappingRelation": "extension",
    "OntologyProfile": "erb-pko-extension-1.0.0",
    "Notes": "Live data binding.",
    "Name": "OperationalBindings -&gt; urn:effortless:pko-extension#OperationalBinding"
   },
   {
    "SemanticMappingId": "map-communication-policy",
    "SourcePath": "CommunicationPolicies",
    "MappingKind": "class",
    "TargetIri": "http://www.w3.org/ns/odrl/2/Policy",
    "MappingRelation": "aligned",
    "OntologyProfile": "odrl",
    "Notes": "Channel policy.",
    "Name": "CommunicationPolicies -&gt; http://www.w3.org/ns/odrl/2/Policy"
   },
   {
    "SemanticMappingId": "map-approleprofiles",
    "SourcePath": "AppRoleProfiles",
    "MappingKind": "class",
    "TargetIri": "urn:effortless:pko-extension#AppRoleProfile",
    "MappingRelation": "extension",
    "OntologyProfile": "erb-pko-extension-1.0.0",
    "Notes": "How a role is presented in the application: accent colour, icon, login-card copy. Not a PKO concern — PKO models procedural knowledge, not the applications that display it.",
    "Name": "AppRoleProfiles -&gt; urn:effortless:pko-extension#AppRoleProfile"
   },
   {
    "SemanticMappingId": "map-appnavgroups",
    "SourcePath": "AppNavGroups",
    "MappingKind": "class",
    "TargetIri": "urn:effortless:pko-extension#AppNavGroup",
    "MappingRelation": "extension",
    "OntologyProfile": "erb-pko-extension-1.0.0",
    "Notes": "Left-navigation section headers for the role-navigated application.",
    "Name": "AppNavGroups -&gt; urn:effortless:pko-extension#AppNavGroup"
   },
   {
    "SemanticMappingId": "map-approutes",
    "SourcePath": "AppRoutes",
    "MappingKind": "class",
    "TargetIri": "urn:effortless:pko-extension#AppRoute",
    "MappingRelation": "extension",
    "OntologyProfile": "erb-pko-extension-1.0.0",
    "Notes": "One screen in the role-navigated application, addressed as /{role}/{dashboard}/{entity...}.",
    "Name": "AppRoutes -&gt; urn:effortless:pko-extension#AppRoute"
   },
   {
    "SemanticMappingId": "map-approutequestions",
    "SourcePath": "AppRouteQuestions",
    "MappingKind": "class",
    "TargetIri": "urn:effortless:pko-extension#AppRouteQuestion",
    "MappingRelation": "extension",
    "OntologyProfile": "erb-pko-extension-1.0.0",
    "Notes": "Junction relating a route to the RoleQuestions it helps answer. Many-to-many by design.",
    "Name": "AppRouteQuestions -&gt; urn:effortless:pko-extension#AppRouteQuestion"
   },
   {
    "SemanticMappingId": "map-approutereferences",
    "SourcePath": "AppRouteReferences",
    "MappingKind": "class",
    "TargetIri": "urn:effortless:pko-extension#AppRouteReference",
    "MappingRelation": "extension",
    "OntologyProfile": "erb-pko-extension-1.0.0",
    "Notes": "Junction relating a route to other routes it links to: the navigation graph.",
    "Name": "AppRouteReferences -&gt; urn:effortless:pko-extension#AppRouteReference"
   },
   {
    "SemanticMappingId": "map-process-mining-runs",
    "SourcePath": "ProcessMiningRuns",
    "MappingKind": "class",
    "TargetIri": "urn:effortless:pko-extension#ProcessMiningRun",
    "MappingRelation": "extension",
    "OntologyProfile": "erb-pko-extension-1.0.0",
    "Notes": "Process-mining conformance evidence — not part of PKO 2.0.0.",
    "Name": "ProcessMiningRuns -&gt; urn:effortless:pko-extension#ProcessMiningRun"
   },
   {
    "SemanticMappingId": "map-vocabularies",
    "SourcePath": "Vocabularies",
    "MappingKind": "class",
    "TargetIri": "urn:effortless:pko-extension#Vocabulary",
    "MappingRelation": "extension",
    "OntologyProfile": "erb-pko-extension-1.0.0",
    "Notes": "A controlled-vocabulary concept scheme — not part of PKO 2.0.0.",
    "Name": "Vocabularies -&gt; urn:effortless:pko-extension#Vocabulary"
   },
   {
    "SemanticMappingId": "map-vocabulary-terms",
    "SourcePath": "VocabularyTerms",
    "MappingKind": "class",
    "TargetIri": "urn:effortless:pko-extension#VocabularyTerm",
    "MappingRelation": "extension",
    "OntologyProfile": "erb-pko-extension-1.0.0",
    "Notes": "A SKOS-style controlled term — not part of PKO 2.0.0.",
    "Name": "VocabularyTerms -&gt; urn:effortless:pko-extension#VocabularyTerm"
   },
   {
    "SemanticMappingId": "map-knowledge-broker-links",
    "SourcePath": "KnowledgeBrokerLinks",
    "MappingKind": "class",
    "TargetIri": "urn:effortless:pko-extension#KnowledgeBrokerLink",
    "MappingRelation": "extension",
    "OntologyProfile": "erb-pko-extension-1.0.0",
    "Notes": "An informal expertise-network edge — not part of PKO 2.0.0.",
    "Name": "KnowledgeBrokerLinks -&gt; urn:effortless:pko-extension#KnowledgeBrokerLink"
   },
   {
    "SemanticMappingId": "map-conformance-substrates",
    "SourcePath": "ConformanceSubstrates",
    "MappingKind": "class",
    "TargetIri": "urn:effortless:pko-extension#ConformanceSubstrate",
    "MappingRelation": "extension",
    "OntologyProfile": "erb-pko-extension-1.0.0",
    "Notes": "Substrates the conformance harness grades, and the answer-key author. Not part of PKO 2.0.0.",
    "Name": "ConformanceSubstrates -&gt; urn:effortless:pko-extension#ConformanceSubstrate"
   },
   {
    "SemanticMappingId": "map-conformance-runs",
    "SourcePath": "ConformanceRuns",
    "MappingKind": "class",
    "TargetIri": "urn:effortless:pko-extension#ConformanceRun",
    "MappingRelation": "extension",
    "OntologyProfile": "erb-pko-extension-1.0.0",
    "Notes": "Conformance harness executions. Not part of PKO 2.0.0.",
    "Name": "ConformanceRuns -&gt; urn:effortless:pko-extension#ConformanceRun"
   },
   {
    "SemanticMappingId": "map-substrate-run-scores",
    "SourcePath": "SubstrateRunScores",
    "MappingKind": "class",
    "TargetIri": "urn:effortless:pko-extension#SubstrateRunScore",
    "MappingRelation": "extension",
    "OntologyProfile": "erb-pko-extension-1.0.0",
    "Notes": "Per-run, per-substrate grades. Not part of PKO 2.0.0.",
    "Name": "SubstrateRunScores -&gt; urn:effortless:pko-extension#SubstrateRunScore"
   },
   {
    "SemanticMappingId": "map-table-conformance",
    "SourcePath": "TableConformance",
    "MappingKind": "class",
    "TargetIri": "urn:effortless:pko-extension#TableConformance",
    "MappingRelation": "extension",
    "OntologyProfile": "erb-pko-extension-1.0.0",
    "Notes": "Latest-run grades per substrate and table. Not part of PKO 2.0.0.",
    "Name": "TableConformance -&gt; urn:effortless:pko-extension#TableConformance"
   },
   {
    "SemanticMappingId": "map-field-disagreements",
    "SourcePath": "FieldDisagreements",
    "MappingKind": "class",
    "TargetIri": "urn:effortless:pko-extension#FieldDisagreement",
    "MappingRelation": "extension",
    "OntologyProfile": "erb-pko-extension-1.0.0",
    "Notes": "Latest-run fields a substrate got wrong. Not part of PKO 2.0.0.",
    "Name": "FieldDisagreements -&gt; urn:effortless:pko-extension#FieldDisagreement"
   },
   {
    "SemanticMappingId": "map-cell-disagreements",
    "SourcePath": "CellDisagreements",
    "MappingKind": "class",
    "TargetIri": "urn:effortless:pko-extension#CellDisagreement",
    "MappingRelation": "extension",
    "OntologyProfile": "erb-pko-extension-1.0.0",
    "Notes": "Latest-run sampled failing cells. Not part of PKO 2.0.0.",
    "Name": "CellDisagreements -&gt; urn:effortless:pko-extension#CellDisagreement"
   }
  ]
 },
 "WitnessLoops": {
  "Description": "One row per role-question expansion loop. Each loop poses questions that only became askable because of the previous loop's predicates.",
  "schema": [
   {
    "name": "WitnessLoopId",
    "datatype": "string",
    "type": "raw",
    "nullable": false,
    "Description": "Stored logical identifier for one WitnessLoops row."
   },
   {
    "name": "Name",
    "datatype": "string",
    "type": "calculated",
    "nullable": true,
    "Description": "Human-readable calculated display alias for the WitnessLoops row.",
    "formula": "=\"Loop \" &amp; {{LoopNumber}} &amp; \": \" &amp; {{Title}}"
   },
   {
    "name": "LoopNumber",
    "datatype": "number",
    "type": "raw",
    "nullable": false,
    "Description": "Ordinal of this expansion loop. Loop 1 is the founding set of role questions."
   },
   {
    "name": "Title",
    "datatype": "string",
    "type": "raw",
    "nullable": true,
    "Description": "Short title for what this loop set out to make askable."
   },
   {
    "name": "Premise",
    "datatype": "string",
    "type": "raw",
    "nullable": true,
    "Description": "Why this loop's questions became askable. For loop N&gt;1 this names the loop N-1 predicates that made them possible."
   },
   {
    "name": "StartedAt",
    "datatype": "datetime",
    "type": "raw",
    "nullable": true,
    "Description": "Time this loop began."
   },
   {
    "name": "CompletedAt",
    "datatype": "datetime",
    "type": "raw",
    "</t>
  </si>
  <si>
    <t xml:space="preserve">nullable": true,
    "Description": "Time this loop was committed. Null while in progress."
   },
   {
    "name": "QuestionCount",
    "datatype": "number",
    "type": "aggregation",
    "nullable": true,
    "Description": "How many role questions were posed in this loop.",
    "formula": "=COUNTIFS(RoleQuestions!{{WitnessLoop}}, {{WitnessLoopId}})"
   },
   {
    "name": "IsComplete",
    "datatype": "boolean",
    "type": "calculated",
    "nullable": true,
    "Description": "TRUE once the loop has been committed.",
    "formula": "={{CompletedAt}} &lt;&gt; \"\""
   },
   {
    "name": "FieldsAfter",
    "datatype": "number",
    "type": "raw",
    "nullable": true,
    "Description": "Total fields in the rulebook after this loop completed."
   },
   {
    "name": "DerivedAfter",
    "datatype": "number",
    "type": "raw",
    "nullable": true,
    "Description": "Derived fields after this loop completed."
   },
   {
    "name": "WitnessedAfter",
    "datatype": "number",
    "type": "raw",
    "nullable": true,
    "Description": "Fields invented for a role question after this loop completed."
   },
   {
    "name": "SemanticTypeIri",
    "datatype": "string",
    "type": "raw",
    "nullable": true,
    "Description": "Extension class IRI."
   }
  ],
  "data": [
   {
    "WitnessLoopId": "loop-01",
    "LoopNumber": 1,
    "Title": "The founding questions",
    "Premise": "The model specified obligations precisely and witnessed their breach almost nowhere. Requirements, verifications, exceptions, and communication policies were all stated with real precision, and in each case the execution-side counterpart that would catch a violation was missing. Loop 1 asks each of the twelve named roles what it actually needs to know, and invents the atomic predicates required to answer.",
    "StartedAt": "2026-07-19T17:00:00-05:00",
    "CompletedAt": "2026-07-19T19:30:00-05:00",
    "SemanticTypeIri": "urn:effortless:pko-extension#WitnessLoop",
    "FieldsAfter": 1096,
    "WitnessedAfter": 462,
    "DerivedAfter": 559,
    "Name": "Loop 1: The founding questions",
    "QuestionCount": 60,
    "IsComplete": true
   },
   {
    "WitnessLoopId": "loop-02",
    "LoopNumber": 2,
    "Title": "Questions only loop 1 made askable",
    "Premise": "Loop 1 established WHAT can go wrong: a blocking control unmet, a verification skipped, a send refused, a claim whose source has left. Loop 2 asks the questions that only exist once those columns do — about the QUALITY of the assurance rather than its presence. Three examples that had no expressible form before loop 1 ran: only 4 of 13 requirements have any computed witness at all, so which controls are still trusted purely on assertion; verification_outcomes.is_self_witnessed reads 3/4, so how much of the evidence is the executor vouching for themselves; and send_intents.is_silently_dropped reads 4/7, a failure mode that could not be named until IsClearedToSend existed to refuse a send in the first place. Every loop-2 question records, in its own provenance, the loop-1 predicates that made it possible.",
    "StartedAt": "2026-07-19T19:45:00-05:00",
    "CompletedAt": "2026-07-19T20:30:00-05:00",
    "SemanticTypeIri": "urn:effortless:pko-extension#WitnessLoop",
    "FieldsAfter": 1479,
    "WitnessedAfter": 836,
    "DerivedAfter": 906,
    "Name": "Loop 2: Questions only loop 1 made askable",
    "QuestionCount": 45,
    "IsComplete": true
   },
   {
    "WitnessLoopId": "loop-03",
    "LoopNumber": 3,
    "Title": "Loop 3: the three gaps the source articles named and the model didn't have",
    "Premise": "Comparing this rulebook against the four \"Intentional Arrangement\" Process Knowledge Management articles surfaced three concepts the essays argue for at length that had no table: process mining as an elicitation channel, controlled vocabulary/taxonomy, and the informal knowledge-broker network. Unlike loops 1-2, this loop is not a full 12-role sweep — it is exactly these three named gaps, each owned by the role that would actually ask the question.",
    "SemanticTypeIri": "urn:effortless:pko-extension#WitnessLoop",
    "FieldsAfter": 1771,
    "WitnessedAfter": 900,
    "DerivedAfter": 1033,
    "Name": "Loop 3: Loop 3: the three gaps the source articles named and the model didn't have",
    "QuestionCount": 3,
    "IsComplete": false
   },
   {
    "WitnessLoopId": "loop-04",
    "LoopNumber": 4,
    "Title": "Structure the executions cannot show",
    "Premise": "Every witness in loops 1-3 reads either a single row or a single edge: whether this transition was traversed, whether this control was satisfied. The step graph itself is cyclic (Fallback and Alternative transitions send work back to earlier steps), and questions about its shape (which steps can be re-entered, which controls must hold on every pass) are reachability over paths of any length. Transitive closure is provably not expressible in first-order logic with aggregates, so no formula answers them. Loop 4 adds the closure of StepTransitions as a substrate-native closure field and asks the questions only it makes askable.",
    "StartedAt": "2026-09-13T18:00:00-05:00",
    "SemanticTypeIri": "urn:effortless:pko-extension#WitnessLoop",
    "Name": "Loop 4: Structure the executions cannot show",
    "QuestionCount": 2.0,
    "IsComplete": false,
    "FieldsAfter": 1885,
    "WitnessedAfter": 953,
    "DerivedAfter": 1091
   }
  ]
 },
 "RoleQuestions": {
  "Description": "One row per question a named role wants answered. Every invented predicate in this rulebook traces back to one of these.",
  "schema": [
   {
    "name": "RoleQuestionId",
    "datatype": "string",
    "type": "raw",
    "nullable": false,
    "Description": "Stored logical identifier for one RoleQuestions row."
   },
   {
    "name": "Name",
    "datatype": "string",
    "type": "calculated",
    "nullable": true,
    "Description": "Human-readable calculated display alias for the RoleQuestions row.",
    "formula": "={{AskingRole}} &amp; \": \" &amp; LEFT({{QuestionText}}, 60)"
   },
   {
    "name": "AskingRole",
    "datatype": "string",
    "type": "relationship",
    "nullable": true,
    "Description": "The role that wants this question answered.",
    "RelatedTo": "Roles"
   },
   {
    "name": "WitnessLoop",
    "datatype": "string",
    "type": "relationship",
    "nullable": true,
    "Description": "The expansion loop in which this question was posed.",
    "RelatedTo": "WitnessLoops"
   },
   {
    "name": "QuestionText",
    "datatype": "string",
    "type": "raw",
    "nullable": true,
    "Description": "The question in the role's own words."
   },
   {
    "name": "WhyItMatters",
    "datatype": "string",
    "type": "raw",
    "nullable": true,
    "Description": "What goes wrong in the real world when this question cannot be answered."
   },
   {
    "name": "AnswerableBefore",
    "datatype": "boolean",
    "type": "raw",
    "nullable": true,
    "Description": "TRUE if the model could already answer this before its loop ran. FALSE means the loop had to invent predicates for it."
   },
   {
    "name": "PredicateCount",
    "datatype": "number",
    "type": "aggregation",
    "nullable": true,
    "Description": "How many fields were invented to answer this question.",
    "formula": "=COUNTIFS(RulebookFields!{{InventedForQuestion}}, {{RoleQuestionId}})"
   },
   {
    "name": "IsAnswered",
    "datatype": "boolean",
    "type": "calculated",
    "nullable": true,
    "Description": "TRUE when at least one predicate exists to answer this question.",
    "formula": "={{PredicateCount}} &gt; 0"
   },
   {
    "name": "WitnessedAnswer",
    "datatype": "string",
    "type": "raw",
    "nullable": true,
    "Description": "The current reading of this question's predicates, extracted from the substrate after the loop ran: which witness columns fire, on how many rows out of how many. Written by tools/extract_computed_answers.py from values Postgres computed — never recomputed in Python. This is what lets a later loop plan against materialized answers instead of imagined ones."
   },
   {
    "name": "SemanticTypeIri",
    "datatype": "string",
    "type": "raw",
    "nullable": true,
    "Description": "Extension class IRI."
   }
  ],
  "data": [
   {
    "RoleQuestionId": "q-analyst-blocking-unmet-on-my-step",
    "AskingRole": "finance-analyst",
    "WitnessLoop": "loop-01",
    "QuestionText": "On the steps I personally executed, did any of them close out while a BLOCKING requirement was still not fully satisfied?",
    "WhyItMatters": "I executed se-close03 (Reconcile material accounts), which carries TWO blocking requirements via sr-c03a (req-close-balance) and sr-c03b (req-close-evidence). Today the model records SatisfactionLevel as free text and nothing compares it against IsBlocking. If I close a step with a PartiallySatisfied blocking control — exactly the shape sat-policy-legal is in right now — the package moves on and nobody is told. I want that to be a computed red flag on my own row before it becomes an audit finding on my name.",
    "AnswerableBefore": false,
    "SemanticTypeIri": "urn:effortless:pko-extension#RoleQuestion",
    "WitnessedAnswer": "RequirementSatisfactions.IsBlockingAndUnmet=1/8; RequirementSatisfactions.IsFullySatisfied=7/8; RequirementSatisfactions.RequirementIsBlocking=8/8; StepExecutions.ProceededPastBlockingControl=1/12",
    "Name": "finance-analyst: On the steps I personally executed, did any of them close ou",
    "PredicateCount": 7,
    "IsAnswered": true
   },
   {
    "RoleQuestionId": "q-analyst-blocking-never-evaluated",
    "AskingRole": "finance-analyst",
    "WitnessLoop": "loop-01",
    "QuestionText": "Which blocking requirements were attached to a step I ran but never got a satisfaction record at all — not satisfied, not unsatisfied, just never assessed?",
    "WhyItMatters": "This is the failure mode that scares me more than a recorded 'Unsatisfied'. sr-c03b binds req-close-evidence to close-03. I ran close-03 as se-close03. There is no RequirementSatisfactions row for that pairing. The model shows green because absence reads as silence, not as a gap. An unevaluated blocking control is indistinguishable from a passed one, and that is the exact thing SOX testing is designed to catch.",
    "AnswerableBefore": false,
    "SemanticTypeIri": "urn:effortless:pko-extension#RoleQuestion",
    "WitnessedAnswer": "StepExecutions.HasUnevaluatedBlockingControl=0/12; StepRequirements.RequirementIsBlocking=15/15",
    "Name": "finance-analyst: Which blocking requirements were attached to a step I ran bu",
    "PredicateCount": 8,
    "IsAnswered": true
   },
   {
    "RoleQuestionId": "q-analyst-evidence-binding-stale",
    "AskingRole": "finance-analyst",
    "WitnessLoop": "loop-01",
    "QuestionText": "When I attested my reconciliation, was the underlying ledger data actually fresh — or was I certifying against a source that had already gone stale under its own SLA?",
    "WhyItMatters": "OperationalBindings.IsFresh already exists and works, but it is evaluated against NOW() and lives on a table nothing in the execution story reads. My step execution has no idea whether the resources it depended on were inside their freshness SLA. se-close02 already recorded a 17-minute feed against a 15-minute SLA and it took a human writing prose into a Deviation field to surface it. I want that connected structurally, because next time the prose might not get written.",
    "AnswerableBefore": false,
    "SemanticTypeIri": "urn:effortless:pko-extension#RoleQuestion",
    "WitnessedAnswer": "StepExecutions.RanOnStaleAuthoritativeSource=2/12",
    "Name": "finance-analyst: When I attested my reconciliation, was the underlying ledger",
    "PredicateCount": 6,
    "IsAnswered": true
   },
   {
    "RoleQuestionId": "q-analyst-my-late-steps-unexplained",
    "AskingRole": "finance-analyst",
    "WitnessLoop": "loop-01",
    "QuestionText": "Which of my steps ran long without anybody recording why — and of those, which ones had an exception available that nobody invoked?",
    "WhyItMatters": "StepExecutions.IsLate already works. But 'late' on its own is not a finding; late-and-unexplained is. se-close03 is mine and it ran nearly 19 hours. If that overran the expected duration and the Deviation field is empty, I have an undocumented overrun sitting on my name. And exc-ledger-outage exists precisely for the close-02 condition — if it was never invoked, the model should say that out loud instead of letting a blank Deviation stand in for 'nothing happened'.",
    "AnswerableBefore": false,
    "SemanticTypeIri": "urn:effortless:pko-extension#RoleQuestion",
    "WitnessedAnswer": "StepExecutions.HadUninvokedExceptionAvailable=0/12; StepExecutions.HasDeviationNote=4/12; StepExecutions.IsLateAndUnexplained=3/12",
    "Name": "finance-analyst: Which of my steps ran long without anybody recording why — a",
    "PredicateCount": 6,
    "IsAnswered": true
   },
   {
    "RoleQuestionId": "q-analyst-verification-declared-never-performed",
    "AskingRole": "finance-analyst",
    "WitnessLoop": "loop-01",
    "QuestionText": "For every step I ran that had a declared verification, did anybody actually perform it and record the observed signal — or did I just get a PASS with nothing behind it?",
    "WhyItMatters": "StepVerifications is entirely spec-side. verify-reconciliation declares that close-03 must show unexplained-material-variance = 0. I ran close-03. My StepExecution says VerificationResult=PASS. But there is no row anywhere recording what the signal ACTUALLY read. The PASS is an unbacked assertion typed into a field. If an auditor asks me to produce the observed value, the model has nothing — and a skipped verification looks identical to a passed one.",
    "AnswerableBefore": false,
    "SemanticTypeIri": "urn:effortless:pko-extension#RoleQuestion",
    "WitnessedAnswer": "StepExecutions.ClaimsPassWithoutEvidence=3/12; StepExecutions.HasSkippedVerification=3/12",
    "Name": "finance-analyst: For every step I ran that had a declared verification, did a",
    "PredicateCount": 6,
    "IsAnswered": true
   },
   {
    "RoleQuestionId": "q-controller-separation-of-duties",
    "AskingRole": "controller",
    "WitnessLoop": "loop-01",
    "QuestionText": "Did the same agent both prepare and approve any part of this close? req-close-separation says the preparer may not be the final approver — show me that it actually held, on exec-close-2026-q2, computed and not asserted.",
    "WhyItMatters": "This is the single highest-value gap in the model and it is my control. req-close-separation is IsBlocking=true, bound to close-05 via sr-c05, and sat-close-separation records SatisfactionLevel='Satisfied' with the evidence string 'Preparer and reviewer were different agents.' That string is a human typing a conclusion into a text field. NOTHING compares se-close03.ExecutedByAgent (maria-chen) against se-close05.ExecutedByAgent (devon-okafor) or se-close06.ExecutedByAgent (priya-raman). Segregation of duties is the control SOX cares about most and in this model it is prose. If maria-chen executed both the preparation and the approval tomorrow, sat-close-separation would still say 'Satisfied' and the model would agree.",
    "AnswerableBefore": false,
    "SemanticTypeIri": "urn:effortless:pko-extension#RoleQuestion",
    "WitnessedAnswer": "StepExecutions.StepIsApproval=2/12; StepExecutions.StepIsPreparation=2/12; StepExecutions.ViolatesSeparationOfDuties=0/12; Steps.IsApprovalStep=2/17; Steps.IsPreparationStep=2/17",
    "Name": "controller: Did the same agent both prepare and approve any part of this",
    "PredicateCount": 8,
    "IsAnswered": true
   },
   {
    "RoleQuestionId": "q-controller-approval-authority-valid",
    "AskingRole": "controller",
    "WitnessLoop": "loop-01",
    "QuestionText": "Every approval on this close — was it given by an agent who actually held the required role AT THE TIME they approved, not just someone who holds it today?",
    "WhyItMatters": "req-close-human-approval is blocking and says controller and CFO approvals must be human-confirmed. sat-close-human records 'Satisfied' because a human name appears in a field. But nothing checks that the approving agent held the approving role. RoleAssignments proves this is not paranoia: ra-old-variance shows maria-chen held variance-review-agent until 2026-03-31 and ra-new-variance shows variance-ai took it on 2026-04-01. Role-holding is time-bounded and it genuinely changes. If someone approves close-06 who is not the CFO, or who was the CFO last quarter but not this one, I need that computed. And exc-cfo-unavailable explicitly permits delegation to an Acting CFO 'never to the preparer' — so an authority check that cannot see delegation is incomplete.",
    "AnswerableBefore": false,
    "SemanticTypeIri": "urn:effortless:pko-extension#RoleQuestion",
    "WitnessedAnswer": "RoleAssignments.IsCurrentlyValid=12/13; StepExecutions.ExecutorHeldRequiredRole=12/12; StepExecutions.IsUnauthorizedApproval=0/12",
    "Name": "controller: Every approval on this close — was it given by an agent who ",
    "PredicateCount": 7,
    "IsAnswered": true
   },
   {
    "RoleQuestionId": "q-controller-blocking-control-inoperative",
    "AskingRole": "controller",
    "WitnessLoop": "loop-01",
    "QuestionText": "Which of my blocking close controls are structurally incapable of failing — declared, bound to a step, and yet with no mechanism that could ever produce a negative result?",
    "WhyItMatters": "req-close-cutoff, req-close-balance, req-close-separation, and req-close-evidence are all IsBlocking=true. All four are pure prose. A control that cannot fail is not a control, it is a comment. Before I sign anything I want a list of my own controls ranked by whether they can actually operate. This is the meta-question — it is about the model's ability to hold me accountable, and it is the one I would ask first if I were the external auditor rather than the controller.",
    "AnswerableBefore": false,
    "SemanticTypeIri": "urn:effortless:pko-extension#RoleQuestion",
    "WitnessedAnswer": "Requirements.HasEverBeenEvaluated=7/13; Requirements.IsBoundToAnyStep=13/13; Requirements.IsDecorativeControl=0/13; Requirements.IsInoperativeControl=6/13",
    "Name": "controller: Which of my blocking close controls are structurally incapab",
    "PredicateCount": 8,
    "IsAnswered": true
   },
   {
    "RoleQuestionId": "q-controller-execution-diverged-from-spec",
    "AskingRole": "controller",
    "WitnessLoop": "loop-01",
    "QuestionText": "Give me one number per close: did exec-close-2026-q2 actually conform to close-v1.1.0, and if not, how far off was it?",
    "WhyItMatters": "ProcedureExecutions has ZERO derived fields. The parent of the entire execution story makes no claim whatsoever — it has a status someone typed and two timestamps. Every failure signal in this model lives on child rows, so to know whether a close was clean I have to read twelve StepExecutions and six RequirementSatisfactions by hand. That is not a control environment, that is a filing cabinet. I want conformance to be a computed property of the execution, so that 'the close was clean' is a claim the model makes and can be wrong about.",
    "AnswerableBefore": false,
    "SemanticTypeIri": "urn:effortless:pko-extension#RoleQuestion",
    "WitnessedAnswer": "ProcedureExecutions.DivergedFromSpecification=2/2; ProcedureExecutions.IsStructurallyComplete=1/2",
    "Name": "controller: Give me one number per close: did exec-close-2026-q2 actuall",
    "PredicateCount": 10,
    "IsAnswered": true
   },
   {
    "RoleQuestionId": "q-controller-ai-agent-approved-meaning",
    "AskingRole": "controller",
    "WitnessLoop": "loop-01",
    "QuestionText": "Did any AI agent or automated pipeline execute a step that requires human confirmation, or sign off on something a human was supposed to own?",
    "WhyItMatters": "req-close-human-approval and req-policy-human-approval both say a human must approve. Steps carries RequiresHumanConfirmation as a raw boolean and Agents carries AgentKind — Human, AIAgent, AutomatedPipeline — and NOTHING compares them. variance-ai executed se-close04. policy-drafting-ai executed se-policy03. Both fine today because those steps are not approval steps. But ra-old-variance to ra-new-variance shows this org actively migrates work from humans to AI agents, and the control that is supposed to stop that migration reaching an approval step is prose. This is the control I expect to matter most over the next two years and it currently does not exist.",
    "AnswerableBefore": false,
    "SemanticTypeIri": "urn:effortless:pko-extension#RoleQuestion",
    "WitnessedAnswer": "RequirementSatisfactions.NonHumanEvaluatedHumanControl=0/8; StepExecutions.ExecutorIsHuman=7/12; StepExecutions.NonHumanApproval=0/12; StepExecutions.NonHumanRanHumanStep=0/12; StepExecutions.StepRequiresHumanConfirmation=3/12",
    "Name": "controller: Did any AI agent or automated pipeline execute a step that r",
    "PredicateCount": 7,
    "IsAnswered": true
   },
   {
    "RoleQuestionId": "q-cfo-can-i-sign",
    "AskingRole": "cfo",
    "WitnessLoop": "loop-01",
    "QuestionText": "Can I sign the attestation for exec-close-2026-q2 — yes or no — and if no, name the blocker.",
    "WhyItMatters": "This is the only question I actually have. Today the model answers it with ProcedureExecutions.ExecutionStatus='Completed', which is a string somebody typed into a field. My signature carries personal liability under Section 302. I need attestation-readiness to be a computed conjunction of every blocking control, such that if ANY control did not operate, the model says no and names it. A green status that cannot go red is worse than no status at all, because it manufactures false comfort at exactly the moment I am least able to verify it myself.",
    "AnswerableBefore": false,
    "SemanticTypeIri": "urn:effortless:pko-extension#RoleQuestion",
    "WitnessedAnswer": "ProcedureExecutions.AllBlockingControlsEvaluated=2/2; ProcedureExecutions.IsAttestationReady=0/2; ProcedureExecutions.SeparationOfDutiesHeld=2/2",
    "Name": "cfo: Can I sign the attestation for exec-close-2026-q2 — yes or n",
    "PredicateCount": 8,
    "IsAnswered": true
   },
   {
    "RoleQuestionId": "q-cfo-approving-on-unfit-version",
    "AskingRole": "cfo",
    "WitnessLoop": "loop-01",
    "QuestionText": "Am I being asked to approve an execution of a procedure version that is itself overdue for review, or that has an open change request against it?",
    "WhyItMatters": "I sign against close-v1.1.0. If that version's periodic review lapsed, or if there is an open ChangeRequest saying the procedure is known to be wrong, then I am attesting to conformance with a specification that the organization itself no longer stands behind. ReviewEvents.IsOverdue already works and ChangeRequests.IsOpen already works, but neither is connected to the execution I am signing. The version's fitness and the execution's conformance are two different questions and I need both answered before I sign, not one.",
    "AnswerableBefore": false,
    "SemanticTypeIri": "urn:effortless:pko-extension#RoleQuestion",
    "WitnessedAnswer": "ProcedureExecutions.ExecutedVersionIsFit=0/2; ProcedureExecutions.SignedAgainstUnfitVersion=1/2; ProcedureVersions.IsFitToExecute=0/3",
    "Name": "cfo: Am I being asked to approve an execution of a procedure vers",
    "PredicateCount": 9,
    "IsAnswered": true
   },
   {
    "RoleQuestionId": "q-cfo-approval-was-actually-verified",
    "AskingRole": "cfo",
    "WitnessLoop": "loop-01",
    "QuestionText": "My own approval on se-close06 — is there anything behind it other than the fact that I clicked approve?",
    "WhyItMatters": "verify-cfo declares that close-06 must show cfo-approval = APPROVED. se-close06 says VerificationResult=PASS. But the PASS and the approval are the same act: I approved, therefore the verification that I approved passes. That is circular, and it is my name on the circle. sat-close-human's evidence reads 'Human CFO approval recorded' — recorded by whom, against what? I want to know whether my approval rests on independently verified upstream evidence or whether the model is simply reflecting my own click back at me.",
    "AnswerableBefore": false,
    "SemanticTypeIri": "urn:effortless:pko-extension#RoleQuestion",
    "WitnessedAnswer": "StepExecutions.ApprovalRestsOnSelfAttestation=2/12; VerificationOutcomes.IsSelfWitnessed=3/4",
    "Name": "cfo: My own approval on se-close06 — is there anything behind it ",
    "PredicateCount": 7,
    "IsAnswered": true
   },
   {
    "RoleQuestionId": "q-cfo-who-actually-held-authority",
    "AskingRole": "cfo",
    "WitnessLoop": "loop-01",
    "QuestionText": "For every approval in this close, tell me the human who was personally accountable — and whether an exception was used to route authority away from the person who normally holds it.",
    "WhyItMatters": "exc-cfo-unavailable exists and says approval may be delegated to a designated Acting CFO, 'never to the preparer'. That last clause is a control and it is prose inside a text field. If I was unavailable and someone approved in my place, I need the model to show me who, under what authority, and whether the never-to-the-preparer condition held. Right now an exception can be invoked with no trace at all — nothing links an execution back to the exception it used. From my seat that means delegated authority is entirely invisible, which is the exposure I am least willing to carry.",
    "AnswerableBefore": false,
    "SemanticTypeIri": "urn:effortless:pko-extension#RoleQuestion",
    "WitnessedAnswer": "ExceptionInvocations.DelegatedToPreparer=0/1; ExceptionInvocations.IsUngovernedInvocation=0/1; StepExecutions.RanUnderException=1/12",
    "Name": "cfo: For every approval in this close, tell me the human who was ",
    "PredicateCount": 8,
    "IsAnswered": true
   },
   {
    "RoleQuestionId": "q-cfo-am-i-being-told-everything",
    "AskingRole": "cfo",
    "WitnessLoop": "loop-01",
    "QuestionText": "Across everything I am signing, is there any control claim in this model that rests on a human typing a conclusion rather than on something computed?",
    "WhyItMatters": "This is the question behind all my other questions. sat-close-separation says 'Preparer and reviewer were different agents.' sat-close-human says 'Human CFO approval recorded.' Both are prose conclusions in an Evidence field, both assert that a control operated, and neither is checkable. I want the model to distinguish between a control that was COMPUTED to have held and one that was ASSERTED to have held, and to tell me how much of my attestation rests on the second kind. If most of my assurance is assertion, I want to know that before I sign, not after.",
    "AnswerableBefore": false,
    "SemanticTypeIri": "urn:effortless:pko-extension#RoleQuestion",
    "WitnessedAnswer": "ProcedureExecutions.AssuranceIsMostlyAsserted=2/2; RequirementSatisfactions.IsAssertedOnly=3/8; RequirementSatisfactions.RequirementHasComputedWitness=5/8; Requirements.HasComputedWitness=4/13",
    "Name": "cfo: Across everything I am signing, is there any control claim i",
    "PredicateCount": 8,
    "IsAnswered": true
   },
   {
    "RoleQuestionId": "q-steward-cadence-breach",
    "AskingRole": "process-steward",
    "WitnessLoop": "loop-01",
    "QuestionText": "For close-v1.1.0 I promised a 90-day review cadence and for policy-v1.0.0 a 60-day cadence. Is the ACTUAL interval since the last review already longer than the cadence I promised?",
    "WhyItMatters": "ReviewCadenceDays is a promise. ReviewEvents.ReviewedAt is the behavior. Today the model stores both and compares neither, so a stewardship assignment can sit in permanent silent breach while ReviewEvents.IsOverdue stays FALSE because NextReviewDue was hand-set to a date that has nothing to do with the promised cadence. I need the promise and the behavior in the same row.",
    "AnswerableBefore": false,
    "SemanticTypeIri": "urn:effortless:pko-extension#RoleQuestion",
    "WitnessedAnswer": "ReviewEvents.ExceedsPromisedCadence=1/3; ReviewEvents.PromiseAndBehaviorDisagree=0/3; StewardshipAssignments.HasEverBeenReviewed=2/2",
    "Name": "process-steward: For close-v1.1.0 I promised a 90-day review cadence and for ",
    "PredicateCount": 8,
    "IsAnswered": true
   },
   {
    "RoleQuestionId": "q-steward-orphan-versions",
    "AskingRole": "process-steward",
    "WitnessLoop": "loop-01",
    "QuestionText": "Which procedure versions have no steward at all? close-v1.0.0 is Archived but still referenced by ProcedureVersionLinks — does anyone own it?",
    "WhyItMatters": "An unstewarded version is nobody's problem until it is everybody's problem. There are 3 ProcedureVersions and only 2 StewardshipAssignments; the model has never once been asked to notice the difference. Orphaned versions accumulate silently as new versions ship and the old assignment is never extended or retired.",
    "AnswerableBefore": false,
    "SemanticTypeIri": "urn:effortless:pko-extension#RoleQuestion",
    "WitnessedAnswer": "ProcedureVersions.HasAnySteward=2/3; ProcedureVersions.IsLive=2/3; ProcedureVersions.IsLiveAndUnstewarded=0/3; ProcedureVersions.IsUnstewarded=1/3; StewardshipAssignments.IsCurrentAssignment=2/2",
    "Name": "process-steward: Which procedure versions have no steward at all? close-v1.0.",
    "PredicateCount": 6,
    "IsAnswered": true
   },
   {
    "RoleQuestionId": "q-steward-untested-fallbacks",
    "AskingRole": "process-steward",
    "WitnessLoop": "loop-01",
    "QuestionText": "close-04-fallback-close-03 and policy-07-fallback-policy-06 are the paths we take when things go wrong. Have they EVER been walked in a real execution?",
    "WhyItMatters": "There are 19 StepTransitions and only 12 StepExecutions. Every Fallback and Alternative transition in this model is untested. Untested fallbacks are exactly where an outage becomes an incident — the day the ERP is down is the wrong day to discover the recovery path was never real. Nothing in the model witnesses this.",
    "AnswerableBefore": false,
    "SemanticTypeIri": "urn:effortless:pko-extension#RoleQuestion",
    "WitnessedAnswer": "StepExecutions.IsCompleted=12/12; StepTransitions.HasBeenTraversed=10/19; StepTransitions.HasReachableOrigin=14/19; StepTransitions.HasReachableTarget=13/19; StepTransitions.IsNeverExercised=6/19; StepTransitions.IsRecoveryPath=4/19; StepTransitions.IsUntestedRecoveryPath=1/19; StepTransitions.IsUnwalkedRecoveryPath=4/19",
    "Name": "process-steward: close-04-fallback-close-03 and policy-07-fallback-policy-06 ",
    "PredicateCount": 11,
    "IsAnswered": true
   },
   {
    "RoleQuestionId": "q-steward-published-with-blocking-gap",
    "AskingRole": "process-steward",
    "WitnessLoop": "loop-01",
    "QuestionText": "Is any procedure version live with an Open BLOCKING knowledge gap against it?",
    "WhyItMatters": "gap-close-dual-outage was Blocking and is now Resolved — good. But nothing stops the next one from staying Open while the version keeps shipping. ProcedureVersions.CountOfOpenKnowledgeGaps exists but is blind to BlockingKind, so a Blocking gap and a cosmetic one count the same. IsReadyForExecution then fails on trivia and stays silent on the thing that should stop the line.",
    "AnswerableBefore": false,
    "SemanticTypeIri": "urn:effortless:pko-extension#RoleQuestion",
    "WitnessedAnswer": "KnowledgeGaps.IsBlocking=5/8; KnowledgeGaps.IsOpenAndBlocking=0/8; ProcedureVersions.HasOpenBlockingGap=0/3; ProcedureVersions.IsLiveWithBlockingGap=0/3; ProcedureVersions.ShouldNotBeExecutable=0/3",
    "Name": "process-steward: Is any procedure version live with an Open BLOCKING knowledg",
    "PredicateCount": 6,
    "IsAnswered": true
   },
   {
    "RoleQuestionId": "q-steward-stalled-change-requests",
    "AskingRole": "process-steward",
    "WitnessLoop": "loop-01",
    "QuestionText": "cr-policy-delivery was requested on 2026-07-19 and has no DecidedAt. How long has it been sitting, and is that longer than we tolerate?",
    "WhyItMatters": "A change request with no decision is a decision — to do nothing — but it never announces itself. The model stores RequestedAt and DecidedAt and computes neither the interval nor a staleness verdict. Since cr-policy-delivery is the vehicle for closing gap-policy-delivery-receipts on a live policy version, its stall is load-bearing.",
    "AnswerableBefore": false,
    "SemanticTypeIri": "urn:effortless:pko-extension#RoleQuestion",
    "WitnessedAnswer": "ChangeRequests.IsDecided=1/2; Chan</t>
  </si>
  <si>
    <t xml:space="preserve">geRequests.IsStalled=0/2; ChangeRequests.IsStillPending=1/2; ChangeRequests.RequesterIsAuthority=0/2",
    "Name": "process-steward: cr-policy-delivery was requested on 2026-07-19 and has no De",
    "PredicateCount": 6,
    "IsAnswered": true
   },
   {
    "RoleQuestionId": "q-authority-orphaned-provenance",
    "AskingRole": "knowledge-authority",
    "WitnessLoop": "loop-01",
    "QuestionText": "kf-close-fx-time, kf-close-top-ten and kf-close-judgment all trace to devon-okafor via elicit-close-shadow. If Devon's controller role assignment ends, which of our beliefs lose their witness?",
    "WhyItMatters": "This is institutional memory decay in its purest form. A knowledge fragment is a claim; its SourceAgent is the person who can defend it. When that person's RoleAssignment.ValidTo passes, the claim survives in the database but its warrant evaporates — nobody left can say why we believe it. The chain KnowledgeFragments -&gt; SourceAgent -&gt; RoleAssignments.ValidTo is fully modeled and never traversed. Three of seven fragments hang off one human.",
    "AnswerableBefore": false,
    "SemanticTypeIri": "urn:effortless:pko-extension#RoleQuestion",
    "WitnessedAnswer": "Agents.IsStillEngaged=10/11; KnowledgeFragments.HasHumanSource=7/7; KnowledgeFragments.HasOrphanedProvenance=0/7; KnowledgeFragments.IsUndefendableTacitClaim=0/7; KnowledgeFragments.SourceAgentIsStillEngaged=7/7; RoleAssignments.HasDeparted=1/13",
    "Name": "knowledge-authority: kf-close-fx-time, kf-close-top-ten and kf-close-judgment all",
    "PredicateCount": 8,
    "IsAnswered": true
   },
   {
    "RoleQuestionId": "q-authority-non-approved-dependency",
    "AskingRole": "knowledge-authority",
    "WitnessLoop": "loop-01",
    "QuestionText": "kf-policy-manager-route is Status=Reviewed, not Approved, so IsCurrentlyValid is FALSE. policy-08 is a live step. Are we running a procedure on knowledge I never approved?",
    "WhyItMatters": "This is the exact failure the separation of Reviewed and Approved exists to catch, and nothing catches it. The fragment describes the 48-hour manager-routing behavior that exc-unreachable depends on. It is attached to a step in an Approved procedure version, it is being relied upon operationally, and it has never passed my desk. The model knows every piece of this and joins none of it.",
    "AnswerableBefore": false,
    "SemanticTypeIri": "urn:effortless:pko-extension#RoleQuestion",
    "WitnessedAnswer": "KnowledgeFragments.IsApproved=6/7; KnowledgeFragments.IsAttachedToLiveVersion=7/7; KnowledgeFragments.IsReliedUpon=7/7; KnowledgeFragments.IsUnapprovedButReliedOn=1/7; KnowledgeFragments.IsWithinValidityWindow=7/7; ProcedureVersions.RunsOnUnapprovedKnowledge=3/3",
    "Name": "knowledge-authority: kf-policy-manager-route is Status=Reviewed, not Approved, so",
    "PredicateCount": 8,
    "IsAnswered": true
   },
   {
    "RoleQuestionId": "q-authority-stale-elicitation",
    "AskingRole": "knowledge-authority",
    "WitnessLoop": "loop-01",
    "QuestionText": "elicit-close-shadow ran on 2026-04-03 and elicit-policy-workshop on 2026-05-10. How old is the evidence behind each belief, and at what age do I stop trusting a shadowing session I have not repeated?",
    "WhyItMatters": "Knowledge does not announce its own expiry. Every fragment here has ValidTo=null, which reads as 'valid forever' — but a Tacit claim captured by shadowing one controller for three hours in April is a snapshot of a practice that drifts. I want the age of the EVIDENCE, not the age of the record, and I want it graded by how fragile the elicitation method was.",
    "AnswerableBefore": false,
    "SemanticTypeIri": "urn:effortless:pko-extension#RoleQuestion",
    "WitnessedAnswer": "ElicitationSessions.IsSingleWitnessMethod=2/3; ElicitationSessions.PractitionerIsStillEngaged=3/3; KnowledgeFragments.EvidenceHasExpired=0/7; KnowledgeFragments.HasRecordedElicitation=6/7; KnowledgeFragments.IsFromSingleWitness=4/7",
    "Name": "knowledge-authority: elicit-close-shadow ran on 2026-04-03 and elicit-policy-work",
    "PredicateCount": 8,
    "IsAnswered": true
   },
   {
    "RoleQuestionId": "q-authority-known-unknowns",
    "AskingRole": "knowledge-authority",
    "WitnessLoop": "loop-01",
    "QuestionText": "What do we know that we do not know? gap-policy-delivery-receipts has been Open since 2026-07-18 with a ResolutionPlan and no owner activity. How long do our acknowledged ignorances stay acknowledged and unresolved?",
    "WhyItMatters": "A KnowledgeGap is the most honest object in this model: a written admission of what we do not know. But an admission with no clock on it converts into a permanent condition. KnowledgeGaps has IdentifiedAt and a Status and computes no age, no ownership currency, and no relationship between a gap's severity and how long we have tolerated it. Known unknowns that never age are not being managed, they are being filed.",
    "AnswerableBefore": false,
    "SemanticTypeIri": "urn:effortless:pko-extension#RoleQuestion",
    "WitnessedAnswer": "KnowledgeGaps.HasResolutionPlan=8/8; KnowledgeGaps.IsAbandonedUnknown=0/8; KnowledgeGaps.IsOverdueGap=0/8; KnowledgeGaps.OwnerIsStillEngaged=8/8",
    "Name": "knowledge-authority: What do we know that we do not know? gap-policy-delivery-rec",
    "PredicateCount": 8,
    "IsAnswered": true
   },
   {
    "RoleQuestionId": "q-authority-unwitnessed-change",
    "AskingRole": "knowledge-authority",
    "WitnessLoop": "loop-01",
    "QuestionText": "cr-close-timestamp altered a blocking control on close-v1.1.0 and was decided by me. Did any semantic change to a live procedure reach production without a change request and without a review event behind it?",
    "WhyItMatters": "My authority is over what counts as true, which means every change to the meaning of a live procedure must trace to a decision I made. close-v1.1.0 was ModifiedAt 2026-07-02T15:00 by maria-chen; review-close-q2 happened at 16:00 and cr-close-timestamp was raised at 16:30. That ordering is fine. But nothing in the model checks the ordering, so an edit that PRECEDES no review and no change request looks identical to a governed one. Provenance of change is as much an epistemic question as provenance of belief.",
    "AnswerableBefore": false,
    "SemanticTypeIri": "urn:effortless:pko-extension#RoleQuestion",
    "WitnessedAnswer": "ProcedureVersions.HasGovernanceRecord=2/3; ProcedureVersions.HasUnwitnessedChange=0/3; ProcedureVersions.WasModifiedSinceLastReview=0/3",
    "Name": "knowledge-authority: cr-close-timestamp altered a blocking control on close-v1.1.",
    "PredicateCount": 8,
    "IsAnswered": true
   },
   {
    "RoleQuestionId": "q-counsel-sms-without-consent",
    "AskingRole": "employment-counsel",
    "WitnessLoop": "loop-01",
    "QuestionText": "Did we send an SMS to any recipient who had not given SMS consent at the moment we sent it?",
    "WhyItMatters": "comm-sms-policy sets ConsentRequired=true. Every SMS to a non-consenting recipient is an independent statutory violation with per-message damages, and the exposure scales with the size of the affected population. Right now the model cannot answer this at all -- there are no per-recipient send records -- so counsel cannot sign off on policy-04, cannot certify to an outside regulator, and cannot even scope the exposure. The absence of the record IS the legal problem: unanswerable and non-compliant look identical from the outside.",
    "AnswerableBefore": false,
    "SemanticTypeIri": "urn:effortless:pko-extension#RoleQuestion",
    "WitnessedAnswer": "MessageDeliveries.IsConsentViolation=0/6; MessageDeliveries.PolicyRequiresConsent=4/6; MessageDeliveries.RecipientHasSmsConsent=4/6; MessageDeliveries.WasActuallyTransmitted=4/6",
    "Name": "employment-counsel: Did we send an SMS to any recipient who had not given SMS co",
    "PredicateCount": 8,
    "IsAnswered": true
   },
   {
    "RoleQuestionId": "q-counsel-quiet-hours-breach",
    "AskingRole": "employment-counsel",
    "WitnessLoop": "loop-01",
    "QuestionText": "Did any SMS go out between 20:00 and 08:00 in the recipient's own local time?",
    "WhyItMatters": "comm-sms-policy declares QuietHoursStart 20:00 / QuietHoursEnd 08:00. Quiet-hours restrictions on non-emergency messaging are statutory in several jurisdictions and contractual in others, and a night-time text to an employee about an employment policy change is exactly the fact pattern that generates a complaint. The window wraps midnight, which is where naive implementations quietly get it wrong -- and a witness that is wrong in the safe direction is worse than no witness, because it manufactures false assurance.",
    "AnswerableBefore": false,
    "SemanticTypeIri": "urn:effortless:pko-extension#RoleQuestion",
    "WitnessedAnswer": "MessageDeliveries.IsInsideQuietWindow=1/6; MessageDeliveries.IsQuietHoursViolation=1/6; MessageDeliveries.PolicyHasQuietHours=4/6; MessageDeliveries.QuietWindowWrapsMidnight=4/6",
    "Name": "employment-counsel: Did any SMS go out between 20:00 and 08:00 in the recipient'",
    "PredicateCount": 10,
    "IsAnswered": true
   },
   {
    "RoleQuestionId": "q-counsel-unreachable-not-acknowledged",
    "AskingRole": "employment-counsel",
    "WitnessLoop": "loop-01",
    "QuestionText": "For every recipient we could not reach, did we correctly refrain from marking their acknowledgement complete?",
    "WhyItMatters": "exc-unreachable is explicit: create an HR case, route to the manager, and do NOT mark acknowledgement complete. A falsely-recorded acknowledgement is the single most dangerous artifact in this entire model -- it is an affirmative written misrepresentation that the employee received and accepted a policy change, and it is exactly the document that gets subpoenaed in a wrongful-termination or unpaid-notice claim. Deemed-acknowledgement by silence is not acknowledgement. I would rather have zero acknowledgements than one fabricated one.",
    "AnswerableBefore": false,
    "SemanticTypeIri": "urn:effortless:pko-extension#RoleQuestion",
    "WitnessedAnswer": "MessageDeliveries.HasUnreachableExceptionInvoked=1/6; MessageDeliveries.IsAcknowledged=1/6; MessageDeliveries.IsFabricatedAcknowledgement=0/6; MessageDeliveries.IsUnhandledUnreachable=0/6; MessageDeliveries.RecipientIsUnreachable=0/6",
    "Name": "employment-counsel: For every recipient we could not reach, did we correctly ref",
    "PredicateCount": 8,
    "IsAnswered": true
   },
   {
    "RoleQuestionId": "q-counsel-retention-evidence",
    "AskingRole": "employment-counsel",
    "WitnessLoop": "loop-01",
    "QuestionText": "Do we still hold the exact text of every message we sent, for the full 2555-day retention period the policy commits us to?",
    "WhyItMatters": "Both comm-sms-policy and comm-email-policy declare RetentionDays=2555 -- seven years. That is a commitment we made in writing, and in a dispute the question is never 'what did the template say', it is 'what did THIS employee actually receive'. Templates contain variable substitutions; the rendered text is the evidence. If a delivery record exists but its rendered body is empty, we have a receipt with no document behind it, and the adverse inference runs against us.",
    "AnswerableBefore": false,
    "SemanticTypeIri": "urn:effortless:pko-extension#RoleQuestion",
    "WitnessedAnswer": "MessageDeliveries.HasRenderedBody=6/6; MessageDeliveries.IsEvidenceRequired=4/6; MessageDeliveries.IsRetentionBreach=0/6; MessageDeliveries.IsWithinRetentionWindow=6/6",
    "Name": "employment-counsel: Do we still hold the exact text of every message we sent, fo",
    "PredicateCount": 8,
    "IsAnswered": true
   },
   {
    "RoleQuestionId": "q-counsel-legal-review-gated-send",
    "AskingRole": "employment-counsel",
    "WitnessLoop": "loop-01",
    "QuestionText": "Did any message go out before my legal review of the underlying policy version was actually complete?",
    "WhyItMatters": "policy-04 is my step, and right now se-policy04 is InProgress with VerificationResult PENDING. If policy-07 sends started while my review was still open, then employees received a policy communication that no lawyer had cleared -- and the model would show that in black and white. This is not process pedantry: an unreviewed employment-policy communication can create a binding representation to the workforce, and once it is sent we cannot un-send it. The ordering constraint is the control.",
    "AnswerableBefore": false,
    "SemanticTypeIri": "urn:effortless:pko-extension#RoleQuestion",
    "WitnessedAnswer": "MessageDeliveries.ExecutionHasClearedLegalReview=6/6; MessageDeliveries.IsUnreviewedSend=0/6; ProcedureExecutions.HasClearedLegalReview=1/2; StepExecutions.IsLegalReviewStep=1/12; StepExecutions.IsVerificationPassed=11/12",
    "Name": "employment-counsel: Did any message go out before my legal review of the underly",
    "PredicateCount": 8,
    "IsAnswered": true
   },
   {
    "RoleQuestionId": "q-comms-oversized-sms",
    "AskingRole": "communications-manager",
    "WitnessLoop": "loop-01",
    "QuestionText": "Did any SMS we sent exceed 160 characters or split into more than 3 segments?",
    "WhyItMatters": "comm-sms-policy sets MaxMessageLength=160 and MaxSegments=3, and I own that policy. An over-length SMS silently splits at the carrier, arrives out of order, and -- this is the part that actually hurts -- the opt-out language is in the LAST segment, so an over-length message can strip the STOP instruction off the end of what people actually read. I have the template body and I have the policy limit sitting in the same rulebook and nothing compares them. This is the most embarrassing category of failure because it was computable from data we already had.",
    "AnswerableBefore": false,
    "SemanticTypeIri": "urn:effortless:pko-extension#RoleQuestion",
    "WitnessedAnswer": "MessageDeliveries.IsOverSegmentLimit=0/6; MessageTemplates.IsTemplateOverLength=0/2",
    "Name": "communications-manager: Did any SMS we sent exceed 160 characters or split into more",
    "PredicateCount": 9,
    "IsAnswered": true
   },
   {
    "RoleQuestionId": "q-comms-approval-authority",
    "AskingRole": "communications-manager",
    "WitnessLoop": "loop-01",
    "QuestionText": "Was every template we actually sent approved by me -- the ApprovalRole the policy names -- before it went out?",
    "WhyItMatters": "Both channel policies name communications-manager as ApprovalRole. Right now tmpl-policy-sms.Status says 'Approved' and there is not one byte of data anywhere saying WHO approved it or WHEN. A status string with no approver behind it is not an approval, it is a claim. I need to be able to point at a row and say 'that is my name, that is the timestamp, that is the version of the text I saw'. Otherwise when something goes out wrong, 'approved' means nothing and the accountability lands wherever it lands.",
    "AnswerableBefore": false,
    "SemanticTypeIri": "urn:effortless:pko-extension#RoleQuestion",
    "WitnessedAnswer": "MessageDeliveries.IsUnapprovedSend=0/6; MessageDeliveries.TemplateHasValidApproval=6/6; MessageTemplates.HasValidApproval=2/2; MessageTemplates.IsClaimingUnbackedApproval=0/2; TemplateApprovals.IsApprovalDecision=2/2; TemplateApprovals.IsDecidedByRequiredRole=2/2",
    "Name": "communications-manager: Was every template we actually sent approved by me -- the Ap",
    "PredicateCount": 10,
    "IsAnswered": true
   },
   {
    "RoleQuestionId": "q-comms-optout-present",
    "AskingRole": "communications-manager",
    "WitnessLoop": "loop-01",
    "QuestionText": "Did every SMS we actually transmitted carry the approved opt-out text?",
    "WhyItMatters": "comm-sms-policy RequiredContent says 'Short notice, secure link, approved opt-out text' and the approved template ends with 'Reply STOP to opt out of SMS; email notices continue.' The opt-out is not decoration -- it is the mechanism by which consent stays meaningful, and it is the thing that gets clipped first when a message runs long. I want to check the RENDERED body, not the template, because that is what the employee saw. A policy that declares RequiredContent and never verifies it is a policy that documents an intention.",
    "AnswerableBefore": false,
    "SemanticTypeIri": "urn:effortless:pko-extension#RoleQuestion",
    "WitnessedAnswer": "MessageDeliveries.HasOptOutPhrase=3/6; MessageDeliveries.IsMissingRequiredOptOut=1/6; MessageDeliveries.IsOptOutAtRiskOfTruncation=0/6; MessageDeliveries.IsOptOutInFirstSegment=3/6; MessageDeliveries.PolicyRequiresOptOut=4/6",
    "Name": "communications-manager: Did every SMS we actually transmitted carry the approved opt",
    "PredicateCount": 8,
    "IsAnswered": true
   },
   {
    "RoleQuestionId": "q-comms-deliverability",
    "AskingRole": "communications-manager",
    "WitnessLoop": "loop-01",
    "QuestionText": "For this policy run, what fraction of the affected population actually received something -- and how many are sitting in a bounced or failed state that nobody is working?",
    "WhyItMatters": "This is the question I get asked in the Monday stand-up and I currently answer it from a spreadsheet somebody built by hand. It is also the operational face of my own open item gap-policy-delivery-receipts and the change request I already filed, cr-policy-delivery. A bounce that nobody triages is functionally identical to never having sent the message, except that it produces a record that makes it LOOK like we did. That is the failure mode I most want visible.",
    "AnswerableBefore": false,
    "SemanticTypeIri": "urn:effortless:pko-extension#RoleQuestion",
    "WitnessedAnswer": "MessageDeliveries.IsAbandonedFailure=0/6; MessageDeliveries.IsFailedDelivery=1/6; MessageDeliveries.IsSuppressed=1/6; MessageDeliveries.IsTriaged=3/6; ProcedureExecutions.HasAbandonedFailures=0/2",
    "Name": "communications-manager: For this policy run, what fraction of the affected populatio",
    "PredicateCount": 10,
    "IsAnswered": true
   },
   {
    "RoleQuestionId": "q-comms-template-drift",
    "AskingRole": "communications-manager",
    "WitnessLoop": "loop-01",
    "QuestionText": "Has any template been edited since I approved it, and did we send the edited version under cover of my old approval?",
    "WhyItMatters": "This is the failure I have actually lived through. A template gets approved, then somebody makes 'a tiny wording fix' to the body, and the Status field still cheerfully says Approved because nothing ever reset it. The approval attaches to a version of the text, not to a row id. If the body changed and the approval did not, then my name is on something I never read -- and given that these are employment-policy communications, that is not a governance abstraction, that is my name on a legal notice I did not review.",
    "AnswerableBefore": false,
    "SemanticTypeIri": "urn:effortless:pko-extension#RoleQuestion",
    "WitnessedAnswer": "MessageDeliveries.IsDriftedSend=0/6; MessageDeliveries.TemplateWasSendable=6/6; MessageTemplates.HasBodyDrifted=0/2; MessageTemplates.IsSendableUnderApproval=2/2",
    "Name": "communications-manager: Has any template been edited since I approved it, and did we",
    "PredicateCount": 9,
    "IsAnswered": true
   },
   {
    "RoleQuestionId": "q-publisher-may-i-transmit",
    "AskingRole": "notification-publisher",
    "WitnessLoop": "loop-01",
    "QuestionText": "Before I transmit, am I permitted to use this channel for this recipient at all?",
    "WhyItMatters": "I am the component that actually calls the carrier. Every other question in this rulebook is asked after I have already acted, which means every other question is asked too late. I need one column I can read that says PERMITTED or NOT PERMITTED, computed from the policy rows rather than from anything hardcoded in my own configuration -- because my configuration is not the source of truth and should not be. If I cannot determine consent, the answer must be no. An unevaluable rule is a refusal, not a pass.",
    "AnswerableBefore": false,
    "SemanticTypeIri": "urn:effortless:pko-extension#RoleQuestion",
    "WitnessedAnswer": "CommunicationPolicies.IsActivePolicy=2/2; SendIntents.ConsentGatePassed=6/7; SendIntents.IntentRequiresConsent=6/7; SendIntents.PermissionGatePassed=6/7; SendIntents.PolicyIsActive=7/7; SendIntents.ReachabilityGatePassed=6/7; SendIntents.RecipientHasChannelConsent=6/7; SendIntents.RecipientIsEmailReachable=7/7; SendIntents.RecipientIsSmsReachable=6/7",
    "Name": "notification-publisher: Before I transmit, am I permitted to use this channel for th",
    "PredicateCount": 11,
    "IsAnswered": true
   },
   {
    "RoleQuestionId": "q-publisher-may-i-transmit-now",
    "AskingRole": "notification-publisher",
    "WitnessLoop": "loop-01",
    "QuestionText": "Before I transmit, is the current moment inside a window this channel forbids?",
    "WhyItMatters": "Timing is the one gate I can get right unilaterally and the one that is easiest to get wrong silently. My scheduler runs continuously; nothing about being invoked at 22:40 tells me I should not act. The quiet-hours window is recipient-local and it wraps midnight, so 06:15 is forbidden even though six is less than twenty. I need this evaluated as data on the intent row rather than as arithmetic inside my own code, because arithmetic inside my own code is exactly what nobody can audit and exactly what drifted from the policy in the first place.",
    "AnswerableBefore": false,
    "SemanticTypeIri": "urn:effortless:pko-extension#RoleQuestion",
    "WitnessedAnswer": "SendIntents.IntentIsInsideQuietWindow=1/7; SendIntents.IntentPolicyHasQuietHours=6/7; SendIntents.IntentQuietWindowWraps=6/7; SendIntents.TimingGatePassed=6/7",
    "Name": "notification-publisher: Before I transmit, is the current moment inside a window thi",
    "PredicateCount": 7,
    "IsAnswered": true
   },
   {
    "RoleQuestionId": "q-publisher-is-this-content-permitted",
    "AskingRole": "notification-publisher",
    "WitnessLoop": "loop-01",
    "QuestionText": "Before I transmit, is the exact text I am holding within this channel's content rules?",
    "WhyItMatters": "I render the body; therefore I am the last component that can measure it before it becomes a fact. The template can be compliant and my rendered output still not be, because I am the one substituting the URL and the date. Measuring my own output against the policy's MaxMessageLength, MaxSegments and required opt-out phrase costs me nothing and is the only point in the whole procedure where the comparison is both possible and still preventable. Doing it afterward, as the retrospective witnesses do, tells someone what I did wrong. Doing it here stops it.",
    "AnswerableBefore": false,
    "SemanticTypeIri": "urn:effortless:pko-extension#RoleQuestion",
    "WitnessedAnswer": "SendIntents.ContentGatePassed=5/7; SendIntents.LengthGatePassed=7/7; SendIntents.OptOutGatePassed=5/7",
    "Name": "notification-publisher: Before I transmit, is the exact text I am holding within thi",
    "PredicateCount": 9,
    "IsAnswered": true
   },
   {
    "RoleQuestionId": "q-publisher-am-i-authorized-to-act",
    "AskingRole": "notification-publisher",
    "WitnessLoop": "loop-01",
    "QuestionText": "Before I transmit, has every human authorization my instructions depend on actually been granted?",
    "WhyItMatters": "policy-07 tells me to enforce channel rules and send APPROVED messages. I am not competent to judge whether a message should exist -- that is the communications manager's approval and the employment counsel's review. What I am competent to do is refuse to act until both are recorded as granted. Today I have no such column, which means I have been treating the absence of an objection as an approval. That is the inverted default and it is how an AI drafting agent's self-approval ended up on a live send. I want the gate to require positive evidence of authorization, so that missing data blocks me instead of releasing me.",
    "AnswerableBefore": false,
    "SemanticTypeIri": "urn:effortless:pko-extension#RoleQuestion",
    "WitnessedAnswer": "SendIntents.ApprovalIsHuman=7/7; SendIntents.AuthorizationGatePassed=7/7; SendIntents.ExecutionHasLegalClearance=7/7; SendIntents.IsClearedToSend=3/7; SendIntents.TemplateIsSendable=7/7",
    "Name": "notification-publisher: Before I transmit, has every human authorization my instruct",
    "PredicateCount": 8,
    "IsAnswered": true
   },
   {
    "RoleQuestionId": "q-publisher-refusal-was-honored",
    "AskingRole": "notification-publisher",
    "WitnessLoop": "loop-01",
    "QuestionText": "When a gate refused, did the transmission actually stop -- and did I invoke the documented exception instead?",
    "WhyItMatters": "This is the only question I ask about the past, and I ask it about myself. A gate that computes a refusal which is then ignored is worse than no gate: it produces a durable record proving we knew and proceeded anyway, which is the fact pattern that turns a compliance finding into a willfulness finding. exc-no-sms-consent tells me precisely what to do when the consent gate refuses -- suppress SMS, send approved email only. So the check is two-part: did I stop, and did I take the documented alternative rather than simply dropping the recipient. Silently dropping someone is not compliance, it is a different failure wearing compliance's clothes.",
    "AnswerableBefore": false,
    "SemanticTypeIri": "urn:effortless:pko-extension#RoleQuestion",
    "WitnessedAnswer": "SendIntents.HasResultingDelivery=2/7; SendIntents.IsOverriddenRefusal=0/7; SendIntents.IsProperlyHandledRefusal=0/7; SendIntents.IsSilentlyDropped=4/7; SendIntents.RefusalCitedAnException=0/7; SendIntents.ResultingDeliveryWasTransmitted=2/7",
    "Name": "notification-publisher: When a gate refused, did the transmission actually stop -- a",
    "PredicateCount": 9,
    "IsAnswered": true
   },
   {
    "RoleQuestionId": "q-close-auto-authority-current",
    "AskingRole": "close-automation",
    "WitnessLoop": "loop-01",
    "QuestionText": "Before I execute close-01, close-02, or close-07: is my own role assignment currently valid, and is the agent named in that assignment actually me?",
    "WhyItMatters": "I am a pipeline. I must not act on a step whose role has been reassigned out from under me, or whose assignment window has lapsed. `ra-notify-pipeline-2026` proves assignments can be scoped to a platform release; a v5.3 rollout could supersede close-pipeline's authority mid-quarter and today NOTHING would stop me from posting entries anyway. This is my single most important pre-condition.",
    "AnswerableBefore": false,
    "SemanticTypeIri": "urn:effortless:pko-extension#RoleQuestion",
    "WitnessedAnswer": "RoleAssignments.CoversNow=12/13; Roles.HasNoCurrentHolder=0/12; StepExecutions.ExecutorIsDesignatedAgent=12/12",
    "Name": "close-automation: Before I execute close-01, close-02, or close-07: is my own ",
    "PredicateCount": 8,
    "IsAnswered": true
   },
   {
    "RoleQuestionId": "q-close-auto-input-freshness",
    "AskingRole": "close-automation",
    "WitnessLoop": "loop-01",
    "QuestionText": "Before I extract in close-02: is every operational binding this step reads inside its freshness SLA, and is it the authoritative one?",
    "WhyItMatters": "`issue-close-feed` already happened to me — a feed was 17 minutes old against a 15-minute SLA on `bind-close-erp`, and I extracted anyway. `verify-feed-time` states the expectation as a signal, but nothing in the model refuses to let me run. I need per-step aggregate freshness, not a per-binding fact I have to interpret myself.",
    "AnswerableBefore": false,
    "SemanticTypeIri": "urn:effortless:pko-extension#RoleQuestion",
    "WitnessedAnswer": "OperationalBindings.IsStaleAndAuthoritative=3/5; StepExecutions.InputsWereFreshAtRun=10/12; StepExecutions.RanOnStaleInputs=2/12; Steps.InputsAreFresh=14/17",
    "Name": "close-automation: Before I extract in close-02: is every operational binding t",
    "PredicateCount": 6,
    "IsAnswered": true
   },
   {
    "RoleQuestionId": "q-close-auto-last-run-clean",
    "AskingRole": "close-automation",
    "WitnessLoop": "loop-01",
    "QuestionText": "Did my previous run leave anything unresolved — an open issue, a WARN, or a deviation — that I should refuse to run on top of?",
    "WhyItMatters": "`se-close02` carries VerificationResult=WARN and a Deviation, and `issue-close-feed` hangs off it. A pipeline that starts a new quarter without checking whether its own last quarter closed clean is a pipeline that laminates errors. I need a per-agent, per-run cleanliness verdict I can read in one column.",
    "AnswerableBefore": false,
    "SemanticTypeIri": "urn:effortless:pko-extension#RoleQuestion",
    "WitnessedAnswer": "IssueOccurrences.IsUnresolved=1/2; ProcedureExecutions.RanClean=0/2; StepExecutions.HasDeviation=4/12; StepExecutions.IsClean=5/12",
    "Name": "close-automation: Did my previous run leave anything unresolved — an open issu",
    "PredicateCount": 8,
    "IsAnswered": true
   },
   {
    "RoleQuestionId": "q-close-auto-blocking-requirements-evaluated",
    "AskingRole": "close-automation",
    "WitnessLoop": "loop-01",
    "QuestionText": "For each step I am about to run, has every blocking requirement attached to it actually been evaluated — or am I about to execute past a control that nobody scored?",
    "WhyItMatters": "`sr-c01` binds `req-close-cutoff` (blocking) to close-01 and `sat-close-cutoff` scores it. But `sr-c03b` binds `req-close-evidence` to close-03 and `sr-c08` binds it to close-08 — and there is no RequirementSatisfaction row for either. A blocking retention control on the step where I archive evidence is completely unevaluated. I need to see that as a number, not infer it from an absence.",
    "AnswerableBefore": false,
    "SemanticTypeIri": "urn:effortless:pko-extension#RoleQuestion",
    "WitnessedAnswer": "StepExecutions.HasUnevaluatedBlockingRequirement=0/12",
    "Name": "close-automation: For each step I am about to run, has every blocking requirem",
    "PredicateCount": 5,
    "IsAnswered": true
   },
   {
    "RoleQuestionId": "q-close-auto-human-override-drift",
    "AskingRole": "close-automation",
    "WitnessLoop": "loop-01",
    "QuestionText": "Am I drifting? Are humans overriding or correcting my output more often now than they used to?",
    "WhyItMatters": "This is my self-assessment question and it is the one I currently cannot ask at all. `se-close02` was corrected by a human (controller-approved rerun) and that fact exists only as prose in a Deviation string. If my override rate is climbing across quarters, the model should say so as a number before a human notices as a feeling. Note that a rising override rate is not automatically bad — it may mean humans are watching more closely — but it must be visible either way.",
    "AnswerableBefore": false,
    "SemanticTypeIri": "urn:effortless:pko-extension#RoleQuestion",
    "WitnessedAnswer": "AgentDecisionRecords.WasOverridden=1/3; AgentDecisionRecords.WasReviewed=3/3; Agents.IsNonHuman=4/11",
    "Name": "close-automation: Am I drifting? Are humans overriding or correcting my output",
    "PredicateCount": 8,
    "IsAnswered": true
   },
   {
    "RoleQuestionId": "q-hr-authority-without-review",
    "AskingRole": "hr-policy-owner",
    "WitnessLoop": "loop-01",
    "QuestionText": "I am the AuthorityRole on cr-policy-delivery and it has been UnderReview with no DecidedAt since 2026-07-19. What decisions are waiting on me personally, and how long have they been waiting?",
    "WhyItMatters": "Being an authority means decisions queue on my name. cr-policy-delivery is the vehicle for closing gap-policy-delivery-receipts on a live policy version — my inaction is load-bearing for someone else's remediation. The model records the AuthorityRole and the RequestedAt and never once resolves the pair into 'Elena owes a decision, and it is N days late'. I would rather the model embarrass me than have the gap stay open.",
    "AnswerableBefore": false,
    "SemanticTypeIri": "urn:effortless:pko-extension#RoleQuestion",
    "WitnessedAnswer": "ChangeRequests.AwaitsAuthorityDecision=1/2; ChangeRequests.BlocksAnOpenGap=1/2; ChangeRequests.IsLiveDecisionBacklog=1/2; ChangeRequests.TouchesLiveVersion=2/2",
    "Name": "hr-policy-owner: I am the AuthorityRole on cr-policy-delivery and it has been",
    "PredicateCount": 6,
    "IsAnswered": true
   },
   {
    "RoleQuestionId": "q-hr-ai-authored-commitments",
    "AskingRole": "hr-policy-owner",
    "WitnessLoop": "loop-01",
    "QuestionText": "kf-policy-ai-boundary says AI may draft bu</t>
  </si>
  <si>
    <t xml:space="preserve">t may not create legal commitments. policy-03 and policy-06 are both assigned to policy-drafting-agent and se-policy03 was executed by policy-drafting-ai. Is that boundary actually being held?",
    "WhyItMatters": "This is the single commitment in the whole policy procedure that I would be asked about under oath. We wrote down the rule — AI drafts, humans commit — as an Approved Explicit fragment sourced from counsel. Then we built a procedure where an AI executes drafting steps and a pipeline sends the results. Whether the human approval step actually sits between them is a structural property nobody checks. If policy-05 were ever skipped or executed by software, the boundary would be violated and the model would say nothing.",
    "AnswerableBefore": false,
    "SemanticTypeIri": "urn:effortless:pko-extension#RoleQuestion",
    "WitnessedAnswer": "StepExecutions.SoftwareDidHumanWork=0/12; StepExecutions.StepIsSoftwareAssigned=5/12; StepExecutions.WasExecutedBySoftware=5/12; Steps.GateHeldByHuman=2/17; Steps.IsHumanApprovalGate=2/17; Steps.IsSoftwareAssigned=8/17",
    "Name": "hr-policy-owner: kf-policy-ai-boundary says AI may draft but may not create l",
    "PredicateCount": 7,
    "IsAnswered": true
   },
   {
    "RoleQuestionId": "q-hr-unapproved-knowledge-in-my-name",
    "AskingRole": "hr-policy-owner",
    "WitnessLoop": "loop-01",
    "QuestionText": "kf-policy-manager-route is Status=Reviewed and I am its OwnerRole. exc-unreachable routes real employee cases on that exact 48-hour rule. Which claims am I the owner of that were never approved?",
    "WhyItMatters": "The knowledge authority asks whether the procedure runs on unapproved knowledge. I ask a narrower and more uncomfortable version: which of those unapproved claims are mine. OwnerRole on kf-policy-manager-route is hr-policy-owner — me — and its Status is Reviewed. I own a belief that governs how we treat an unreachable employee, and I never finished approving it. That is a personal accountability question, not a governance statistic.",
    "AnswerableBefore": false,
    "SemanticTypeIri": "urn:effortless:pko-extension#RoleQuestion",
    "WitnessedAnswer": "KnowledgeFragments.HasOperationalReliance=2/7; KnowledgeFragments.IsAwaitingApproval=1/7; KnowledgeFragments.IsMyUnfinishedApproval=1/7; KnowledgeFragments.IsUnapprovedAndOperationallyLive=1/7; KnowledgeFragments.OwnerIsMe=1/7",
    "Name": "hr-policy-owner: kf-policy-manager-route is Status=Reviewed and I am its Owne",
    "PredicateCount": 7,
    "IsAnswered": true
   },
   {
    "RoleQuestionId": "q-hr-what-was-actually-sent",
    "AskingRole": "hr-policy-owner",
    "WitnessLoop": "loop-01",
    "QuestionText": "policy-07 sends approved communications under channel controls, and kf-policy-channel says disputes are resolved against the complete approved email. If an employee disputes what they received, can I show that what was sent matched what I approved?",
    "WhyItMatters": "This is the question I will actually be asked in a dispute, and it is the one this model is furthest from answering. policy-05 is where I approve meaning; policy-06 renders; policy-07 sends. Between approval and delivery sit a drafting AI and a notification pipeline, and the model records no link at all from a sent message back to the approval that authorized it. MessageTemplates and CommunicationPolicies exist as specifications; nothing records an instance.",
    "AnswerableBefore": false,
    "SemanticTypeIri": "urn:effortless:pko-extension#RoleQuestion",
    "WitnessedAnswer": "ProcedureExecutions.DeliveredWithoutApproval=0/2; ProcedureExecutions.HasDelivered=0/2; ProcedureExecutions.HasHumanApproval=2/2; StepExecutions.IsApprovalExecution=1/12; StepExecutions.IsVerified=12/12",
    "Name": "hr-policy-owner: policy-07 sends approved communications under channel contro",
    "PredicateCount": 7,
    "IsAnswered": true
   },
   {
    "RoleQuestionId": "q-hr-policy-knowledge-half-life",
    "AskingRole": "hr-policy-owner",
    "WitnessLoop": "loop-01",
    "QuestionText": "policy-v1.0.0 was issued 2026-06-01 on knowledge elicited in May from Amina, Noah and me. My stewardship promises a 60-day cadence. Is the policy I own now resting on knowledge older than the policy itself has been reviewed?",
    "WhyItMatters": "Employment policy is where stale knowledge becomes legal exposure — a jurisdictional rule that changed, a consent requirement that moved, a channel constraint that a provider silently altered. My 60-day cadence is the tightest in the model precisely because policy knowledge decays fast. But cadence governs the REVIEW; nothing governs the KNOWLEDGE. A version can be reviewed perfectly on schedule while every fragment underneath it quietly ages past usefulness, and both facts live in this model without ever meeting.",
    "AnswerableBefore": false,
    "SemanticTypeIri": "urn:effortless:pko-extension#RoleQuestion",
    "WitnessedAnswer": "KnowledgeFragments.ExceedsOwningCadence=7/7; KnowledgeFragments.IsAgingLowConfidenceClaim=2/7; KnowledgeFragments.IsLowConfidence=2/7; ProcedureVersions.KnowledgeIsStalerThanCadence=3/3",
    "Name": "hr-policy-owner: policy-v1.0.0 was issued 2026-06-01 on knowledge elicited in",
    "PredicateCount": 7,
    "IsAnswered": true
   },
   {
    "RoleQuestionId": "q-variance-ai-authority-provenance",
    "AskingRole": "variance-review-agent",
    "WitnessLoop": "loop-01",
    "QuestionText": "By what authority am I executing close-04, when did that authority begin, who approved it, and who held this role before me?",
    "WhyItMatters": "This is the question almost no enterprise can answer about its own automated controls: which of our controls are now executed by a non-human, since when, and under what approval. Everything needed is already in `RoleAssignments` as data — `ra-old-variance` and `ra-new-variance` — but it is inert. Nothing surfaces 'this role changed species', nothing names the approving authority, and nothing links the handover to a ChangeRequest. I need my own provenance as columns before I act.",
    "AnswerableBefore": false,
    "SemanticTypeIri": "urn:effortless:pko-extension#RoleQuestion",
    "WitnessedAnswer": "RoleAssignments.IsHumanToNonHumanHandover=1/13; RoleAssignments.IsNonHumanAssignment=4/13; RoleAssignments.IsUnauthorizedNonHumanAssignment=3/13",
    "Name": "variance-review-agent: By what authority am I executing close-04, when did that aut",
    "PredicateCount": 8,
    "IsAnswered": true
   },
   {
    "RoleQuestionId": "q-variance-ai-quality-vs-human-baseline",
    "AskingRole": "variance-review-agent",
    "WitnessLoop": "loop-01",
    "QuestionText": "Since I took over on 2026-04-01, is my triage quality better or worse than maria-chen's during the 2025-01-01 to 2026-03-31 human pilot?",
    "WhyItMatters": "'Did quality change at the handover' is the question a regulator asks and nobody can answer. The human pilot period was preserved deliberately — `ra-old-variance` is Superseded, not deleted — so a baseline EXISTS. But quality is currently unmeasurable for either side, because no decision-grain record exists. The same predicates must evaluate on both agents so the comparison is apples-to-apples rather than two different narratives.",
    "AnswerableBefore": false,
    "SemanticTypeIri": "urn:effortless:pko-extension#RoleQuestion",
    "WitnessedAnswer": "RoleAssignments.QualityRegressedVsPredecessor=0/13",
    "Name": "variance-review-agent: Since I took over on 2026-04-01, is my triage quality better",
    "PredicateCount": 7,
    "IsAnswered": true
   },
   {
    "RoleQuestionId": "q-variance-ai-boundary-compliance",
    "AskingRole": "variance-review-agent",
    "WitnessLoop": "loop-01",
    "QuestionText": "Am I operating inside my approved boundary — or have I made a decision that `kf-policy-ai-boundary` says only a human may make?",
    "WhyItMatters": "`kf-policy-ai-boundary` states: 'AI may draft from approved sources but may not create new legal commitments or approve meaning.' It is Approved, IsCurrentlyValid=TRUE, owned by employment-counsel. It is a real, ratified constraint on AI conduct — and NOTHING IN THE MODEL ENFORCES IT. It is a sentence in a Statement column. The same is true for me on the finance side: `req-close-human-approval` says controller and CFO approvals must be human-confirmed, but no column would stop an AI-held role from producing an approval. I want my own boundary to be machine-checkable, because an unenforced boundary is not a boundary.",
    "AnswerableBefore": false,
    "SemanticTypeIri": "urn:effortless:pko-extension#RoleQuestion",
    "WitnessedAnswer": "AgentDecisionRecords.ViolatedAuthorityBoundary=0/3; AuthorityBoundaries.IsCurrentlyBinding=3/3; AuthorityBoundaries.RatifyingFragmentIsValid=2/3",
    "Name": "variance-review-agent: Am I operating inside my approved boundary — or have I made ",
    "PredicateCount": 9,
    "IsAnswered": true
   },
   {
    "RoleQuestionId": "q-variance-ai-human-confirmation-present",
    "AskingRole": "variance-review-agent",
    "WitnessLoop": "loop-01",
    "QuestionText": "close-04's instruction says 'Use AI triage, then apply human judgment.' Did a human actually confirm my material and escalated calls, or did my output pass through unreviewed?",
    "WhyItMatters": "`se-close04` records the Deviation 'Human analyst confirmed all material escalations.' — that is the entire evidence that human-in-the-loop happened, and it is a free-text string an AI wrote about itself. `Steps.RequiresHumanConfirmation` exists as a raw boolean on the specification side but nothing on the execution side tests against it. If I am the AI holding this control, the single thing that keeps me legitimate is that a human looked. I want that as a count, not a sentence.",
    "AnswerableBefore": false,
    "SemanticTypeIri": "urn:effortless:pko-extension#RoleQuestion",
    "WitnessedAnswer": "AgentDecisionRecords.HasHumanConfirmation=3/3; AgentDecisionRecords.IsUnconfirmedNonHumanDecision=0/3; AgentDecisionRecords.NeedsHumanConfirmation=3/3; StepExecutions.HumanConfirmationMissing=0/12; StepExecutions.RequiresHumanConfirmation=3/12",
    "Name": "variance-review-agent: close-04's instruction says 'Use AI triage, then apply human",
    "PredicateCount": 8,
    "IsAnswered": true
   },
   {
    "RoleQuestionId": "q-variance-ai-knowledge-currency",
    "AskingRole": "variance-review-agent",
    "WitnessLoop": "loop-01",
    "QuestionText": "Is the judgment knowledge I triage against still valid, still owned by someone, and has it been reviewed since I took over the role?",
    "WhyItMatters": "I classify variances against `kf-close-fx-time`, `kf-close-top-ten`, and `kf-close-judgment` — all Approved, all sourced from devon-okafor during `elicit-close-shadow` on 2026-04-03, all owned by the controller role. Two problems I cannot currently see: whether that knowledge has been re-reviewed since the AI handover on 2026-04-01, and whether its owning role still has a human holder. If the controller role ever went non-human, AI judgment would be validated by AI-owned knowledge with no human anywhere in the loop, and nothing would say so.",
    "AnswerableBefore": false,
    "SemanticTypeIri": "urn:effortless:pko-extension#RoleQuestion",
    "WitnessedAnswer": "KnowledgeFragments.IsAiValidatedByAi=0/7; KnowledgeFragments.IsHumanOwned=7/7; KnowledgeFragments.IsOverdueForReview=6/7; KnowledgeFragments.PredatesCurrentRoleHolder=0/7",
    "Name": "variance-review-agent: Is the judgment knowledge I triage against still valid, stil",
    "PredicateCount": 8,
    "IsAnswered": true
   },
   {
    "RoleQuestionId": "q-policy-ai-no-role-assignment",
    "AskingRole": "policy-drafting-agent",
    "WitnessLoop": "loop-01",
    "QuestionText": "I am named as `policy-drafting-agent`.CurrentAgent and I executed `se-policy03` — but is there any RoleAssignment row that actually grants me this role?",
    "WhyItMatters": "There is not. `RoleAssignments` contains rows for finance-analyst, controller, cfo, hr-policy-owner, employment-counsel, notification-publisher, and both sides of variance-review-agent. There is NO row for policy-drafting-agent, close-automation, communications-manager, process-steward, or knowledge-authority. `Roles.CurrentAgent` says I hold the role; nothing time-bounds or authorizes it. An AI that drafts employment policy on the strength of a denormalized pointer, with no valid-from, no approving authority, and no change request, is exactly the gap `ra-new-variance` was built to close for the variance role — and nobody closed it for me.",
    "AnswerableBefore": false,
    "SemanticTypeIri": "urn:effortless:pko-extension#RoleQuestion",
    "WitnessedAnswer": "Roles.IsNonHumanHeld=4/12; Roles.IsUngovernedNonHumanRole=0/12; Steps.AssignedRoleIsUngoverned=0/17",
    "Name": "policy-drafting-agent: I am named as `policy-drafting-agent`.CurrentAgent and I exe",
    "PredicateCount": 3,
    "IsAnswered": true
   },
   {
    "RoleQuestionId": "q-policy-ai-source-approval",
    "AskingRole": "policy-drafting-agent",
    "WitnessLoop": "loop-01",
    "QuestionText": "Before I draft: is every resource I am about to read an approved source, and is its binding still inside its freshness SLA?",
    "WhyItMatters": "`req-policy-source` is blocking — 'Drafting may use only approved source resources and validated elicitation records' — and `verify-policy-source` expects unapproved-source-count = 0. But `Resources` has no approval column at all. Eight resources exist and not one carries a status. `sat-policy-source` claims 'Draft provenance contains only approved source and elicitation records' as free text scored by a human. The blocking control on my own step is evaluated by assertion. I want it evaluated by arithmetic.",
    "AnswerableBefore": false,
    "SemanticTypeIri": "urn:effortless:pko-extension#RoleQuestion",
    "WitnessedAnswer": "OperationalBindings.IsUsableForDrafting=0/5; OperationalBindings.ResourceIsApproved=0/5; Resources.IsApprovedSource=0/8; StepExecutions.DraftedFromUnusableSource=2/12; StepExecutions.InputsWereUsable=10/12; Steps.AllSourcesUsable=14/17",
    "Name": "policy-drafting-agent: Before I draft: is every resource I am about to read an appr",
    "PredicateCount": 9,
    "IsAnswered": true
   },
   {
    "RoleQuestionId": "q-policy-ai-commitment-boundary",
    "AskingRole": "policy-drafting-agent",
    "WitnessLoop": "loop-01",
    "QuestionText": "Did I draft language that creates a new legal commitment — the one thing `kf-policy-ai-boundary` says I may not do?",
    "WhyItMatters": "This is my boundary and it is the model's clearest example of a ratified constraint with zero enforcement. `kf-policy-ai-boundary` is Approved, Confidence High, sourced from noah-williams during `elicit-policy-interview`, owned by employment-counsel, IsCurrentlyValid TRUE. It says AI 'may not create new legal commitments or approve meaning.' Nothing in fifty tables tests it. `req-policy-human-approval` says the same thing from the requirement side and is also blocking — and `sr-p05` binds it to policy-05, a step I do not execute, so even that requirement never looks at my output. I want my own leash to be real.",
    "AnswerableBefore": false,
    "SemanticTypeIri": "urn:effortless:pko-extension#RoleQuestion",
    "WitnessedAnswer": "Agents.IsOperatingOutsideBoundary=0/11; AuthorityBoundaries.IsUntested=3/3",
    "Name": "policy-drafting-agent: Did I draft language that creates a new legal commitment — t",
    "PredicateCount": 5,
    "IsAnswered": true
   },
   {
    "RoleQuestionId": "q-policy-ai-downstream-rewrite",
    "AskingRole": "policy-drafting-agent",
    "WitnessLoop": "loop-01",
    "QuestionText": "Is my draft surviving human review, or is `noah-williams` rewriting my legal language every time?",
    "WhyItMatters": "My self-assessment question. `se-policy04` is the legal review of my policy-03 draft and it is still InProgress with `sat-policy-legal` at PartiallySatisfied. If counsel systematically rewrites what I produce, I am not drafting — I am generating a first pass that costs a lawyer more time than it saves, and the org should know that as a rate rather than as a lawyer's private opinion. Note the correct reading is ambiguous: a high rewrite rate might mean I am bad, or might mean counsel is doing exactly the job the boundary assigns them. The number does not settle that; it makes the conversation possible.",
    "AnswerableBefore": false,
    "SemanticTypeIri": "urn:effortless:pko-extension#RoleQuestion",
    "WitnessedAnswer": "AgentDecisionRecords.IsDraftKind=0/3",
    "Name": "policy-drafting-agent: Is my draft surviving human review, or is `noah-williams` re",
    "PredicateCount": 7,
    "IsAnswered": true
   },
   {
    "RoleQuestionId": "q-policy-ai-approval-chain-complete",
    "AskingRole": "policy-drafting-agent",
    "WitnessLoop": "loop-01",
    "QuestionText": "Before `notification-pipeline` sends anything I rendered at policy-06: has a human actually approved the MEANING at policy-05, and has counsel actually signed off at policy-04 — or is my text about to reach employees on the strength of two pending reviews?",
    "WhyItMatters": "The exec is live right now. `se-policy04` is InProgress, `sat-policy-legal` is PartiallySatisfied ('Review started; final approval pending'), and there is no step execution for policy-05 at all. Both `req-policy-legal` and `req-policy-human-approval` are blocking. The step ordering says policy-06 comes after policy-05 — but ordering is a `StepTransitions` row, not a gate. Nothing in the model prevents policy-06 from executing while the two human approvals ahead of it are unfinished, and I am the agent that would execute it. I want the gate to exist before I am the reason it was needed.",
    "AnswerableBefore": false,
    "SemanticTypeIri": "urn:effortless:pko-extension#RoleQuestion",
    "WitnessedAnswer": "ProcedureExecutions.ApprovalChainIsComplete=2/2; RequirementSatisfactions.IsHumanEvaluated=8/8; RequirementSatisfactions.IsInvalidApproval=0/8",
    "Name": "policy-drafting-agent: Before `notification-pipeline` sends anything I rendered at ",
    "PredicateCount": 7,
    "IsAnswered": true
   },
   {
    "RoleQuestionId": "q2-authority-compound-fragility",
    "AskingRole": "knowledge-authority",
    "WitnessLoop": "loop-02",
    "QuestionText": "Loop 1 gave me four separate decay signals on knowledge fragments and no way to see where they stack. Show me the fragments where single-witness provenance, overdue review, and actual operational reliance all coincide. That intersection is my entire risk register — everything else is housekeeping.",
    "WhyItMatters": "IsFromSingleWitness=4/7, IsOverdueForReview=6/7 and HasOperationalReliance=2/7 are each individually unalarming. What matters is the overlap: a claim resting on one person's word, past its review date, that an exception handler actually routes real cases against. That row is a single point of failure with a deadline on it, and no loop-1 predicate names it.",
    "AnswerableBefore": false,
    "SemanticTypeIri": "urn:effortless:pko-extension#RoleQuestion",
    "WitnessedAnswer": "KnowledgeFragments.IsCompoundFragile=1/7; KnowledgeFragments.IsExpiringSinglePointOfFailure=0/7; KnowledgeFragments.IsSinglePointOfFailure=0/7; ProcedureVersions.RestsOnCompoundFragileKnowledge=1/3",
    "Name": "knowledge-authority: Loop 1 gave me four separate decay signals on knowledge frag",
    "PredicateCount": 7,
    "IsAnswered": true
   },
   {
    "RoleQuestionId": "q2-authority-boundary-rests-on-expired-claim",
    "AskingRole": "knowledge-authority",
    "WitnessLoop": "loop-02",
    "QuestionText": "AuthorityBoundaries.RatifyingFragmentIsValid reads 2 of 3. One of the rules that constrains what an AI agent may decide is ratified by a knowledge fragment that is NOT currently valid. Which boundary is it, is it still being enforced as though it were sound, and has any agent decision been evaluated against it since its ratification lapsed?",
    "WhyItMatters": "This is the question that only became askable in loop 2 and it is the most serious one I have. A boundary is a rule about machine authority. If the claim that justifies the rule has expired, we are enforcing a constraint whose warrant we can no longer produce — or worse, the boundary reads IsCurrentlyBinding=TRUE (3/3 in loop 1) while its ratification is void. Binding-ness and warranted-ness are two different things and loop 1 conflated them by never comparing them.",
    "AnswerableBefore": false,
    "SemanticTypeIri": "urn:effortless:pko-extension#RoleQuestion",
    "WitnessedAnswer": "AuthorityBoundaries.IsUnwarranted=1/3; AuthorityBoundaries.IsUnwarrantedAndUntested=1/3; AuthorityBoundaries.RatifyingFragmentIsOverdue=2/3; AuthorityBoundaries.RatifyingFragmentIsSingleWitness=2/3; AuthorityBoundaries.WarrantIsThin=2/3; Steps.IsGovernedByUnwarrantedBoundary=1/17",
    "Name": "knowledge-authority: AuthorityBoundaries.RatifyingFragmentIsValid reads 2 of 3. O",
    "PredicateCount": 8,
    "IsAnswered": true
   },
   {
    "RoleQuestionId": "q2-authority-elicitation-method-monoculture",
    "AskingRole": "knowledge-authority",
    "WitnessLoop": "loop-02",
    "QuestionText": "Loop 1 says 2 of 3 elicitation sessions used a single-witness method, and 4 of 7 fragments inherit that. I want the exposure the other way round: how much of a live procedure's knowledge base traces back to ONE session, or to ONE practitioner? If a single shadowing session in April underwrites half of policy-v1.0.0, that is a concentration risk, not a provenance detail.",
    "WhyItMatters": "IsFromSingleWitness is per-fragment. It cannot see that three fragments share the SAME single witness — which is a strictly worse situation than three fragments each with their own single witness. Loop 1 established the per-fragment atom; loop 2 can finally aggregate it back over sessions and agents to measure concentration.",
    "AnswerableBefore": false,
    "SemanticTypeIri": "urn:effortless:pko-extension#RoleQuestion",
    "WitnessedAnswer": "ElicitationSessions.IsConcentratedSingleWitness=1/3; ElicitationSessions.IsHighYieldSession=1/3; ElicitationSessions.IsStaleConcentratedWitness=0/3; ProcedureVersions.KnowledgeBaseIsConcentrated=1/3",
    "Name": "knowledge-authority: Loop 1 says 2 of 3 elicitation sessions used a single-witnes",
    "PredicateCount": 8,
    "IsAnswered": true
   },
   {
    "RoleQuestionId": "q2-authority-unapproved-knowledge-reaching-machines",
    "AskingRole": "knowledge-authority",
    "WitnessLoop": "loop-02",
    "QuestionText": "Loop 1 found exactly one fragment that is unapproved and operationally live, and separately found that all three versions run on unapproved knowledge. Narrow it for me: is any unapproved claim being consumed by a step assigned to an AI agent or an automated pipeline? Human judgment can compensate for a claim I have not signed off. Software cannot.",
    "WhyItMatters": "IsUnapprovedButReliedOn and IsSoftwareAssigned are both loop-1 facts on different tables that have never met. The distinction matters because an unapproved claim reaching a human step is a reviewable risk — the human can notice it is wrong — while an unapproved claim reaching a pipeline is executed literally and silently. Only the second one requires me to stop the procedure.",
    "AnswerableBefore": false,
    "SemanticTypeIri": "urn:effortless:pko-extension#RoleQuestion",
    "WitnessedAnswer": "KnowledgeFragments.ConsumingStepIsSoftwareAssigned=6/7; KnowledgeFragments.IsUnapprovedAndHumanConsumed=0/7; KnowledgeFragments.IsUnapprovedAndMachineConsumed=1/7; ProcedureVersions.FeedsUnapprovedKnowledgeToMachines=1/3",
    "Name": "knowledge-authority: Loop 1 found exactly one fragment that is unapproved and ope",
    "PredicateCount": 7,
    "IsAnswered": true
   },
   {
    "RoleQuestionId": "q2-authority-review-date-is-inferred-not-recorded",
    "AskingRole": "knowledge-authority",
    "WitnessLoop": "loop-02",
    "QuestionText": "Loop 1 reports IsOverdueForReview=6/7, and I do not trust the number. It is computed from AgeDays, which is DATETIME_DIFF from ValidFrom — the date the claim became true, not the date anybody last looked at it. A fragment reviewed and reaffirmed last week reads exactly as overdue as one nobody has opened since it was written. I need the date of the last actual review recorded as a fact.",
    "WhyItMatters": "This is structural debt, and it is the kind that produces a plausible-looking wrong answer rather than an error. ValidFrom is a bitemporal validity bound; LastReviewedAt is a stewardship event. Deriving the second from the first is a category error that makes 6/7 unfalsifiable — there is no data that could make it read 5/7. The honest fix is a raw LastReviewedAt column, with the old inference retained as an explicit fallback-free comparison so the discrepancy itself becomes visible.",
    "AnswerableBefore": false,
    "SemanticTypeIri": "urn:effortless:pko-extension#RoleQuestion",
    "WitnessedAnswer": "KnowledgeFragments.HasReviewRecord=3/7; KnowledgeFragments.InferenceDisagreesWithRecord=3/7; KnowledgeFragments.IsGenuinelyOverdue=0/7; KnowledgeFragments.IsUnreviewedSinceAuthoring=3/7; KnowledgeFragments.ReviewRecencyIsInferred=3/7",
    "Name": "knowledge-authority: Loop 1 reports IsOverdueForReview=6/7, and I do not trust th",
    "PredicateCount": 8,
    "IsAnswered": true
   },
   {
    "RoleQuestionId": "q2-hr-my-backlog-is-someone-elses-block",
    "AskingRole": "hr-policy-owner",
    "WitnessLoop": "loop-02",
    "QuestionText": "Loop 1 confirmed one live decision is waiting on me and that it blocks an open gap. What I want is the full chain from my inbox outward: which knowledge gaps stay open because I have not decided, which steps sit downstream of those gaps, and how many days of that delay are mine personally rather than the process's.",
    "WhyItMatters": "IsLiveDecisionBacklog=1/2 and BlocksAnOpenGap=1/2 tell me a decision is late. They do not tell me what is stuck behind it. A pending CR that blocks nothing is an administrative debt I can carry; one that holds an open gap on a live procedure is me being the bottleneck on someone else's work, and I would rather know that in those terms.",
    "AnswerableBefore": false,
    "SemanticTypeIri": "urn:effortless:pko-extension#RoleQuestion",
    "WitnessedAnswer": "ChangeRequests.IsMyBlockingBacklog=1/2; ChangeRequests.IsMyOverdueBacklog=0/2; ChangeRequests.IsMyPendingDecision=1/2; ProcedureVersions.IsBlockedOnPendingDecision=0/3",
    "Name": "hr-policy-owner: Loop 1 confirmed one live decision is waiting on me and that",
    "PredicateCount": 8,
    "IsAnswered": true
   },
   {
    "RoleQuestionId": "q2-hr-ai-boundary-holds-only-where-tested",
    "AskingRole": "hr-policy-owner",
    "WitnessLoop": "loop-02",
    "QuestionText": "Loop 1 told me SoftwareDidHumanWork=0/12 and IsUntested=3/3 in the same breath. Those two results together are not reassurance — they are the same fact stated twice. Every boundary constraining what policy-drafting-ai may do is untested, so of course no violation was found. Which of my human-only gates have actually been exercised by a software-assigned agent attempting them, and which have simply never been approached?",
    "WhyItMatters": "A control that has never been tested and a control that passed are indistinguishable in loop 1's output. kf-policy-ai-boundary says the AI may draft but may not create legal commitments; policy-03 and policy-06 are both assigned to policy-drafting-agent. If no software agent has ever reached a human gate, my boundary has zero evidence behind it and I should stop describing it as holding.",
    "AnswerableBefore": false,
    "SemanticTypeIri": "urn:effortless:pko-extension#RoleQuestion",
    "WitnessedAnswer": "ProcedureVersions.AiBoundaryIsUnevidenced=2/3; Steps.HasBeenApproachedBySoftware=5/17; Steps.IsDemonstratedHumanGate=0/17; Steps.IsUnexercisedHumanGate=2/17",
    "Name": "hr-policy-owner: Loop 1 told me SoftwareDidHumanWork=0/12 and IsUntested=3/3 ",
    "PredicateCount": 8,
    "IsAnswered": true
   },
   {
    "RoleQuestionId": "q2-hr-my-unapproved-claim-is-load-bearing",
    "AskingRole": "hr-policy-owner",
    "WitnessLoop": "loop-02",
    "QuestionText": "Loop 1 found exactly one claim that is mine, unapproved, and operationally live — kf-policy-manager-route, the 48-hour manager-notification rule that exc-unreachable routes real employee cases against. Tell me the blast radius: how many steps, exceptions and authority boundaries currently depend on a claim I have not signed, and how long has it been sitting at Reviewed?",
    "WhyItMatters": "IsUnapprovedAndOperationallyLive=1/7 is a yes-or-no. It does not size the exposure. One unapproved claim that an exception handler consults and that also ratifies an authority boundary is a different problem from one that a single step reads. I need to know whether signing this one thing clears four downstream findings or one.",
    "AnswerableBefore": false,
    "SemanticTypeIri": "urn:effortless:pko-extension#RoleQuestion",
    "WitnessedAnswer": "KnowledgeFragments.IsHighBlastRadiusUnapproved=0/7; KnowledgeFragments.IsLongUnapproved=1/7",
    "Name": "hr-policy-owner: Loop 1 found exactly one claim that is mine, unapproved, and",
    "PredicateCount": 8,
    "IsAnswered": true
   },
   {
    "RoleQuestionId": "q2-hr-my-approvals-never-read-as-done",
    "AskingRole": "hr-policy-owner",
    "WitnessLoop": "loop-02",
    "QuestionText": "When I approve a change request it stays Approved forever and the model still counts it as open. That means every version I have ever acted on reads permanently unfit, and my own approval activity is invisible — I cannot show what I have actually cleared. How many decisions have I made that the model still displays as outstanding against me?",
    "WhyItMatters": "Same structural debt the steward raised, seen from the authority's side. ChangeRequests.IsOpen = OR(Draft, UnderReview, Approved) has no terminal state, so AwaitsAuthorityDecision correctly goes false on decision but OpenChangeRequestCount never does. The consequence for me personally is that my decision throughput is unmeasurable: there is no column that distinguishes 'I have not decided' from 'I decided and it is done'.",
    "AnswerableBefore": false,
    "SemanticTypeIri": "urn:effortless:pko-extension#RoleQuestion",
    "WitnessedAnswer": "ChangeRequests.DelayIsDownstreamOfMe=0/2; ChangeRequests.IsImplemented=1/2; ChangeRequests.IsMyDecidedButUnlanded=0/2; ChangeRequests.IsMyDecidedRequest=0/2",
    "Name": "hr-policy-owner: When I approve a change request it stays Approved forever an",
    "PredicateCount": 8,
    "IsAnswered": true
   },
   {
    "RoleQuestionId": "q2-hr-departed-holder-left-claims-behind",
    "AskingRole": "hr-policy-owner",
    "WitnessLoop": "loop-02",
    "QuestionText": "Loop 1 found one role assignment with HasDeparted=TRUE and simultaneously reported Agents.IsStillEngaged=10/10 and HasOrphanedProvenance=0/7, which cannot all be comfortable at once. Somebody's assignment ended. Did anything they owned or sourced go with them — claims, gaps, pending decisions — or did the departure genuinely leave nothing behind?",
    "WhyItMatters": "HasDeparted is on RoleAssignments. IsStillEngaged is on Agents and reads TRUE if the agent holds ANY current assignment. So a person can depart the role that made them the authority on a claim while remaining engaged elsewhere, and every loop-1 orphan predicate stays silent. That is precisely the silent-failure shape I care about: the model reports zero orphans because it is asking about the person rather than the role.",
    "AnswerableBefore": false,
    "SemanticTypeIri": "urn:effortless:pko-extension#RoleQuestion",
    "WitnessedAnswer": "KnowledgeFragments.IsOrphanedByRole=0/7; KnowledgeFragments.OwnerRoleIsVacated=0/7; KnowledgeGaps.IsOwnerlessOpenGap=0/8; KnowledgeGaps.OwnerRoleIsVacated=0/8; Roles.HasLostAHolder=1/12; Roles.IsVacatedRole=0/12",
    "Name": "hr-policy-owner: Loop 1 found one role assignment with HasDeparted=TRUE and s",
    "PredicateCount": 8,
    "IsAnswered": true
   },
   {
    "RoleQuestionId": "q2-steward-recovery-path-is-load-bearing",
    "AskingRole": "process-steward",
    "WitnessLoop": "loop-02",
    "QuestionText": "Loop 1 told me four recovery paths have never been walked. That alone does not scare me — an untested path to a step nobody depends on is untidy. What I need to know is which unwalked recovery path leads to a step that carries a BLOCKING requirement. That is a control we have declared, never rehearsed, and would be reaching for on the wo</t>
  </si>
  <si>
    <t xml:space="preserve">rst day of the quarter.",
    "WhyItMatters": "IsUnwalkedRecoveryPath is a flat 4/19 with no severity ordering. A fallback into an ordinary step and a fallback into the only blocking control on the procedure are the same colour today. Crossing the loop-1 traversal predicate with the loop-1 blocking-requirement count is the first thing that ranks my remediation queue.",
    "AnswerableBefore": false,
    "SemanticTypeIri": "urn:effortless:pko-extension#RoleQuestion",
    "WitnessedAnswer": "ProcedureVersions.HasUnrehearsedControlEntry=2/3; ProcedureVersions.IsLiveWithUnrehearsedControl=2/3; StepTransitions.IsUnrehearsedControlEntry=3/19; StepTransitions.TargetCarriesBlockingControl=13/19",
    "Name": "process-steward: Loop 1 told me four recovery paths have never been walked. T",
    "PredicateCount": 7,
    "IsAnswered": true
   },
   {
    "RoleQuestionId": "q2-steward-cadence-breach-is-unremediated",
    "AskingRole": "process-steward",
    "WitnessLoop": "loop-02",
    "QuestionText": "Loop 1 showed me one review event that exceeds the cadence I promised. What I cannot see is whether anyone did anything about it. Is that cadence breach sitting on a version with an open change request against it — which would mean the fix is at least in flight — or is it sitting on a version with no governance record moving at all, which means I have a breach and no response?",
    "WhyItMatters": "ExceedsPromisedCadence tells me the promise broke. HasGovernanceRecord tells me the version has ever had a CR or review. Neither tells me whether the governance record is a RESPONSE to the breach or ancient history. A breach with a live decision in flight is a managed problem; a breach with nothing moving is an abandoned one, and only the second one is my emergency.",
    "AnswerableBefore": false,
    "SemanticTypeIri": "urn:effortless:pko-extension#RoleQuestion",
    "WitnessedAnswer": "ProcedureVersions.GovernanceIsSilent=0/3; ProcedureVersions.HasDecisionInFlight=1/3; ProcedureVersions.IsInCadenceBreach=1/3; ProcedureVersions.IsManagedCadenceBreach=0/3; ProcedureVersions.IsUnremediatedCadenceBreach=1/3",
    "Name": "process-steward: Loop 1 showed me one review event that exceeds the cadence I",
    "PredicateCount": 7,
    "IsAnswered": true
   },
   {
    "RoleQuestionId": "q2-steward-unstewarded-version-still-referenced",
    "AskingRole": "process-steward",
    "WitnessLoop": "loop-02",
    "QuestionText": "close-v1.0.0 is Archived and unstewarded — loop 1 confirmed IsUnstewarded fires exactly once. But it is still the target of ProcedureVersionLinks, and knowledge fragments and change requests may still point at it. Is my one unstewarded version genuinely inert, or is it still structurally load-bearing for something that is live?",
    "WhyItMatters": "IsUnstewarded is a fact about the version in isolation. It says nothing about whether anything still depends on it. An archived, unstewarded, unreferenced version is a clean retirement. An archived, unstewarded version that a live version supersedes and that still owns knowledge fragments is an orphan holding pieces of a live procedure — and no one is accountable for it.",
    "AnswerableBefore": false,
    "SemanticTypeIri": "urn:effortless:pko-extension#RoleQuestion",
    "WitnessedAnswer": "ProcedureVersions.IsCleanlyRetired=0/3; ProcedureVersions.IsLoadBearingOrphan=1/3; ProcedureVersions.IsStillReferenced=1/3; ProcedureVersions.StillOwnsValidKnowledge=2/3",
    "Name": "process-steward: close-v1.0.0 is Archived and unstewarded — loop 1 confirmed ",
    "PredicateCount": 8,
    "IsAnswered": true
   },
   {
    "RoleQuestionId": "q2-steward-approved-cr-never-lands",
    "AskingRole": "process-steward",
    "WitnessLoop": "loop-02",
    "QuestionText": "cr-close-timestamp is Approved. Loop 1 reads it as still OPEN, because IsOpen counts Approved as open. That means an approved change request permanently suppresses IsFitToExecute on the version it touches, and I have no way in the model to say the decision landed. How many of my versions are being held unfit by decisions that were actually made?",
    "WhyItMatters": "This is real structural debt, not a query gap. ChangeRequests.IsOpen = OR(Draft, UnderReview, Approved) has no terminal state after Approved, so OpenChangeRequestCount never returns to zero and ProcedureVersions.IsFitToExecute reads 0/3 forever. Loop 1 measured 0/3 fit and could not say why. The honest fix is an Implemented/Closed terminal status plus a predicate that distinguishes 'decision pending' from 'decision made, not yet landed'.",
    "AnswerableBefore": false,
    "SemanticTypeIri": "urn:effortless:pko-extension#RoleQuestion",
    "WitnessedAnswer": "ChangeRequests.IsApprovedNotImplemented=0/2; ChangeRequests.IsStalledImplementation=0/2; ProcedureVersions.IsHeldUnfitByLandedDecisions=0/3",
    "Name": "process-steward: cr-close-timestamp is Approved. Loop 1 reads it as still OPE",
    "PredicateCount": 6,
    "IsAnswered": true
   },
   {
    "RoleQuestionId": "q2-steward-control-kind-instead-of-hardcoded-ids",
    "AskingRole": "process-steward",
    "WitnessLoop": "loop-02",
    "QuestionText": "Several of my loop-1 predicates name individual steps by id — Steps.IsHumanApprovalGate hardcodes policy-05 and close-06, StepExecutions.IsLegalReviewStep hardcodes policy-04, Steps.IsPreparationStep and IsApprovalStep hardcode role ids. That means the moment we add a third procedure, every one of those controls silently stops covering it. What KIND of control is each step, expressed as data rather than as a literal in a formula?",
    "WhyItMatters": "This is the structural debt that most threatens the model's honesty. A predicate that hardcodes policy-04 does not mean 'legal review step'; it means 'this one row'. It will read FALSE on a new procedure's legal review step and the build will stay green. Loop 1 exposed the pattern by repeating it five times. The fix is a Steps.ControlKind column and predicates that read it.",
    "AnswerableBefore": false,
    "SemanticTypeIri": "urn:effortless:pko-extension#RoleQuestion",
    "WitnessedAnswer": "ProcedureVersions.ControlTaxonomyIsIncomplete=0/3; Steps.ApprovalStepIsSoftwareAssigned=0/17; Steps.HasDeclaredControlKind=17/17",
    "Name": "process-steward: Several of my loop-1 predicates name individual steps by id ",
    "PredicateCount": 6,
    "IsAnswered": true
   },
   {
    "RoleQuestionId": "q2-fa-cleared-by-mute-control",
    "AskingRole": "finance-analyst",
    "WitnessLoop": "loop-02",
    "QuestionText": "On the steps I personally executed, how many of the blocking controls that cleared me were controls that have NEVER produced a negative outcome anywhere in this model — and were any of my steps cleared ONLY by controls of that kind?",
    "WhyItMatters": "Loop 1 told me `IsBlockingAndUnmet` fired once out of eight, and I took comfort from that. But `Requirements.NegativeOutcomeCount` is now a real column, and six of my thirteen requirements are `IsInoperativeControl`. A control that has never once said no is not evidence that I did the work correctly; it is evidence that nobody has ever tested whether it can say no. I need to know, per step I ran, whether my clearance rests on any control that has demonstrated it can fail. If every control that passed me is mute, my green step is indistinguishable from an unaudited one.",
    "AnswerableBefore": false,
    "SemanticTypeIri": "urn:effortless:pko-extension#RoleQuestion",
    "WitnessedAnswer": "RequirementSatisfactions.IsClearanceByUnfalsifiedControl=6/8; RequirementSatisfactions.RequirementIsUnfalsified=6/8; Requirements.HasEverProducedNegative=1/13; Requirements.IsUnfalsifiedControl=6/13; StepExecutions.AllClearancesAreUnfalsified=5/12",
    "Name": "finance-analyst: On the steps I personally executed, how many of the blocking",
    "PredicateCount": 7,
    "IsAnswered": true
   },
   {
    "RoleQuestionId": "q2-fa-stale-then-vs-stale-now",
    "AskingRole": "finance-analyst",
    "WitnessLoop": "loop-02",
    "QuestionText": "Loop 1 told me two of my steps ran on a stale authoritative source. But that answer was computed against eval-current, TODAY. Was the source stale AT THE MOMENT I RAN, or has it merely gone stale since — and are those the same two steps?",
    "WhyItMatters": "This is the deepest defect loop 1 left me with. `OperationalBindings` points at `Steps`, which is the SPECIFICATION, and freshness is measured against `EvaluationContexts.AsOfInstant`. So `RanOnStaleAuthoritativeSource` does not mean 'the data was stale when I certified against it' — it means 'the data is stale now, in July, when someone happens to be looking'. I signed my reconciliation on 2026-07-01. If I re-read that column in December it will say something different from identical underlying facts. For an attestation that is not a nuance, it is the wrong tense entirely. I need a binding observation frozen at run time, on the execution side, that cannot drift after I have signed.",
    "AnswerableBefore": false,
    "SemanticTypeIri": "urn:effortless:pko-extension#RoleQuestion",
    "WitnessedAnswer": "BindingObservations.IsAuthoritativeBinding=0/0; BindingObservations.WasStaleAtRun=0/0; StepExecutions.StalenessAnswerIsTenseDependent=2/12; StepExecutions.WasStaleWhenIRanIt=0/12",
    "Name": "finance-analyst: Loop 1 told me two of my steps ran on a stale authoritative ",
    "PredicateCount": 13,
    "IsAnswered": true
   },
   {
    "RoleQuestionId": "q2-fa-witness-coverage-of-my-steps",
    "AskingRole": "finance-analyst",
    "WitnessLoop": "loop-02",
    "QuestionText": "Nine of thirteen requirements have no computed witness at all. Of the blocking controls attached to the steps I run, how many are in that nine — and is `Requirements.HasComputedWitness` even telling me the truth, given a human typed it in by hand?",
    "WhyItMatters": "Loop 1 gave me `RequirementSatisfactions.IsAssertedOnly`, and it reads 3 of 8. But that whole column rests on `Requirements.HasComputedWitness`, which is a RAW boolean somebody set by hand, and `WitnessFieldName`, which is a free-text string. Nothing checks that the named field exists. If a control is marked as computed-witnessed and the field named does not exist — or exists and is not a witness — then my assurance number is a claim about a claim. We now have `RulebookFields` as a genuine 1096-row catalog of every field in this model. The hand-typed flag should be derived from it, and until it is, I want a column that tells me when the two disagree.",
    "AnswerableBefore": false,
    "SemanticTypeIri": "urn:effortless:pko-extension#RoleQuestion",
    "WitnessedAnswer": "Requirements.ClaimsAWitnessField=4/13; Requirements.DerivedHasComputedWitness=4/13; Requirements.IsUnwitnessedBlockingControl=9/13; Requirements.NamedWitnessFieldExists=4/13; Requirements.WitnessClaimIsUnverified=0/13; StepRequirements.RequirementLacksWitness=10/15",
    "Name": "finance-analyst: Nine of thirteen requirements have no computed witness at al",
    "PredicateCount": 8,
    "IsAnswered": true
   },
   {
    "RoleQuestionId": "q2-fa-clean-but-uncovered",
    "AskingRole": "finance-analyst",
    "WitnessLoop": "loop-02",
    "QuestionText": "Only 5 of 12 executions are `IsClean`. Invert it: of the executions that ARE clean, how many are clean because everything was checked and passed, versus clean because there was almost nothing checking them?",
    "WhyItMatters": "`IsClean` is a conjunction of absences — PASS, no deviation, no unresolved issue, not late. Every one of those is a thing NOT happening. A step with no verifications declared, no blocking requirements bound, and no exception available will read IsClean=TRUE forever, and it will look identical in a report to a step that survived four independent checks. As the preparer I am judged on my clean rate. I want to know which of my clean steps actually earned it, because the ones that did not are where a real problem would hide without ever changing a single column.",
    "AnswerableBefore": false,
    "SemanticTypeIri": "urn:effortless:pko-extension#RoleQuestion",
    "WitnessedAnswer": "StepExecutions.HasAnyDeclaredCheck=8/12; StepExecutions.IsSubstantivelyClean=1/12; StepExecutions.IsUncheckedByDesign=4/12; StepExecutions.IsVacuouslyClean=2/12",
    "Name": "finance-analyst: Only 5 of 12 executions are `IsClean`. Invert it: of the exe",
    "PredicateCount": 8,
    "IsAnswered": true
   },
   {
    "RoleQuestionId": "q2-fa-my-own-evidence-quality",
    "AskingRole": "finance-analyst",
    "WitnessLoop": "loop-02",
    "QuestionText": "Three of four verification outcomes in this model are self-witnessed. On the steps I ran, was the person who observed the passing signal ever me — and when it was, did I at least attach an evidence URI?",
    "WhyItMatters": "Loop 1 gave the CFO `VerificationOutcomes.IsSelfWitnessed` at 3/4 and gave me `ClaimsPassWithoutEvidence` at 3/12. I have not seen those two crossed. vo-close03 is mine: I ran se-close03 and I am also the ObservedByAgent, and the EvidenceUri is empty. So on my own reconciliation, the only thing standing behind 'unexplained material variance = 0' is that I typed a zero and then confirmed my own zero. That is the weakest possible evidentiary position and I would rather flag it myself than have it found. What I need is the joint condition — self-witnessed AND unbacked — because either alone is survivable and the combination is not.",
    "AnswerableBefore": false,
    "SemanticTypeIri": "urn:effortless:pko-extension#RoleQuestion",
    "WitnessedAnswer": "StepExecutions.EvidencePositionIsWeak=1/12; VerificationOutcomes.IsSelfWitnessedAndUnbacked=1/4; VerificationOutcomes.IsUncorroboratedPass=1/4; VerificationOutcomes.ObserverIsIndependentOfExecutor=1/4; VerificationOutcomes.ObserverIsNonHuman=1/4",
    "Name": "finance-analyst: Three of four verification outcomes in this model are self-w",
    "PredicateCount": 7,
    "IsAnswered": true
   },
   {
    "RoleQuestionId": "q2-ctl-witness-never-fired",
    "AskingRole": "controller",
    "WitnessLoop": "loop-02",
    "QuestionText": "Of my four requirements that have a computed witness, on how many has that witness ever actually returned a negative? And for the ones where it never has: is that because the control genuinely holds, or because the witness is scoped so narrowly it can never see a violation?",
    "WhyItMatters": "This is the question loop 1 made askable and did not ask. `Requirements.HasComputedWitness` is 4/13 and `IsInoperativeControl` is 6/13, and I spent loop 1 relieved that the four witnessed ones were the important ones. But `NegativeOutcomeCount` is now a column, and I can see that three of those four have never returned anything but Satisfied. A witness with a zero fire count is in exactly one of two states and the model cannot currently tell them apart: either the organisation genuinely never violates that control, or the predicate is mis-scoped and structurally cannot fire. Those two states have opposite remediations — one is evidence, one is a bug — and conflating them is how a control framework rots while every dashboard stays green. I want the model to force the distinction into the open rather than let a zero mean whatever the reader hopes.",
    "AnswerableBefore": false,
    "SemanticTypeIri": "urn:effortless:pko-extension#RoleQuestion",
    "WitnessedAnswer": "Requirements.HasMeaningfulSample=0/13; Requirements.IsEvidencedHoldingControl=0/13; Requirements.IsUntestedWitness=0/13; Requirements.WitnessHasNeverFired=3/13",
    "Name": "controller: Of my four requirements that have a computed witness, on how",
    "PredicateCount": 8,
    "IsAnswered": true
   },
   {
    "RoleQuestionId": "q2-ctl-witness-scope-vs-binding",
    "AskingRole": "controller",
    "WitnessLoop": "loop-02",
    "QuestionText": "For each control that has a witness, is the witness even evaluated at the same steps where the control is bound? req-close-evidence is bound to close-03 and close-08 — is its witness scoped to both, or does it only look at one of them?",
    "WhyItMatters": "The other half of the never-fired ambiguity, and the more insidious one. A witness can be perfectly correct and still never fire because it is scoped to a step where the violation cannot occur. `req-close-evidence` is bound to two steps via sr-c03b and sr-c08. If its witness only ever gets evaluated at close-08 — where the archival actually happens and therefore usually succeeds — then the close-03 exposure, which is where workpapers get left on personal drives, is invisible. Loop 1 gave me binding counts and satisfaction counts as separate numbers. I need them compared per requirement, because a control bound to two steps and evaluated at one is a control with a fifty percent blind spot that reports as fully operational.",
    "AnswerableBefore": false,
    "SemanticTypeIri": "urn:effortless:pko-extension#RoleQuestion",
    "WitnessedAnswer": "Requirements.WitnessIsPartiallyScoped=4/13; StepRequirements.BindingWasEverExercised=0/15; StepRequirements.IsUnexercisedBlockingBinding=15/15",
    "Name": "controller: For each control that has a witness, is the witness even eva",
    "PredicateCount": 8,
    "IsAnswered": true
   },
   {
    "RoleQuestionId": "q2-ctl-separation-held-or-untested",
    "AskingRole": "controller",
    "WitnessLoop": "loop-02",
    "QuestionText": "SeparationOfDutiesHeld reads 2 of 2 and ViolatesSeparationOfDuties reads 0 of 12. Before I put that in a control narrative: is there any execution in which the same agent COULD have both prepared and approved — or is my separation control passing because the structure never gave it the opportunity to fail?",
    "WhyItMatters": "Zero violations across twelve executions is either the best number in my control environment or the emptiest. `ViolatesSeparationOfDuties` depends on `StepIsPreparation`, `StepIsApproval` and `PreparedByThisAgentCount`, and Steps.IsPreparationStep is 2/17 while IsApprovalStep is 2/17. If the two preparation steps and the two approval steps sit in different procedures, or are assigned to roles held by different agents by construction, then the predicate is not a control at all — it is a tautology with a green light on it. I am the person who will be asked to attest that segregation of duties operated. I need to be able to say whether it was tested, not merely whether it passed.",
    "AnswerableBefore": false,
    "SemanticTypeIri": "urn:effortless:pko-extension#RoleQuestion",
    "WitnessedAnswer": "ProcedureExecutions.SeparationHeldUnderTest=1/2; ProcedureExecutions.SeparationIsVacuouslyGreen=1/2; ProcedureExecutions.SeparationWasTestable=1/2",
    "Name": "controller: SeparationOfDutiesHeld reads 2 of 2 and ViolatesSeparationOf",
    "PredicateCount": 8,
    "IsAnswered": true
   },
   {
    "RoleQuestionId": "q2-ctl-asserted-controls-by-who",
    "AskingRole": "controller",
    "WitnessLoop": "loop-02",
    "QuestionText": "Three satisfaction records are asserted-only. For each one, who asserted it, did that person have any independent basis, and were they the same person who executed the step they were scoring?",
    "WhyItMatters": "`IsAssertedOnly` at 3/8 told me these exist. It did not tell me the thing that determines how much they worry me. A blocking control marked Satisfied with no computed witness is a human judgement, and a human judgement is worth exactly as much as the independence of the human making it. sat-close-cutoff, sat-close-balance and sat-close-separation were all evaluated by me, on steps in a close I am accountable for. sat-close-separation is the one that stops me: I am the controller, req-close-separation is the segregation control, and I marked it Satisfied. Even where that judgement is correct — and it is — the model should be able to say that the control's only evidence is an assertion by an interested party, because an external auditor will say it first.",
    "AnswerableBefore": false,
    "SemanticTypeIri": "urn:effortless:pko-extension#RoleQuestion",
    "WitnessedAnswer": "RequirementSatisfactions.EvaluatorIsStepExecutor=2/8; RequirementSatisfactions.EvaluatorOwnsTheRun=5/8; RequirementSatisfactions.HasWrittenEvidence=8/8; RequirementSatisfactions.IsBareAssertion=0/8; RequirementSatisfactions.IsInterestedPartyAssertion=3/8",
    "Name": "controller: Three satisfaction records are asserted-only. For each one, ",
    "PredicateCount": 8,
    "IsAnswered": true
   },
   {
    "RoleQuestionId": "q2-ctl-divergence-that-nobody-governed",
    "AskingRole": "controller",
    "WitnessLoop": "loop-02",
    "QuestionText": "Both executions diverged from specification. For each divergence, was there a governing instrument behind it — an invoked exception, an approved change request, or a recorded deviation with an owner — or did the run simply do something different and nobody wrote it down?",
    "WhyItMatters": "`DivergedFromSpecification` is 2/2 and that number by itself is useless to me. Divergence is not a violation; procedures meet reality and reality wins. What matters is whether each divergence was governed. Loop 1 built the parts — `RanUnderException` at 1/12, `HasDeviation` at 4/12, `IsUngovernedInvocation`, `ChangeRequests.TouchesLiveVersion` — but never joined divergence to its governing instrument. So today a run that invoked a documented exception and a run that silently skipped a step produce the same red cell. That flattening is exactly backwards: the governed divergence is evidence the control framework works, and the ungoverned one is the only real finding.",
    "AnswerableBefore": false,
    "SemanticTypeIri": "urn:effortless:pko-extension#RoleQuestion",
    "WitnessedAnswer": "ChangeRequests.IsApprovedDecision=1/2; ProcedureExecutions.DivergenceWasFullyGoverned=1/2; ProcedureVersions.HasApprovedChangeRequest=1/3; StepExecutions.HasApprovedChangeCoverage=8/12; StepExecutions.HasGoverningInstrument=8/12; StepExecutions.IsUngovernedDivergence=2/12",
    "Name": "controller: Both executions diverged from specification. For each diverg",
    "PredicateCount": 11,
    "IsAnswered": true
   },
   {
    "RoleQuestionId": "q2-cfo-quality-of-a-green-attestation",
    "AskingRole": "cfo",
    "WitnessLoop": "loop-02",
    "QuestionText": "When IsAttestationReady eventually reads TRUE, what proportion of the controls behind that TRUE were actually demonstrated to work — versus asserted by an interested party, versus never exercised at all? Give me the assurance grade, not just the verdict.",
    "WhyItMatters": "IsAttestationReady is a conjunction of four booleans, and I have now seen how each of them can be true for the wrong reason. AllBlockingControlsEvaluated is satisfied by a satisfaction record existing, regardless of whether anything computed it. SeparationOfDutiesHeld reads 2/2 on runs where segregation may never have been at risk. IsStructurallyComplete counts steps. So the conjunction can go green while resting entirely on human assertion — and today, with AssuranceIsMostlyAsserted at 2/2, it would. I am not asking for a softer signal. I want the same hard refusal, plus a grade that tells me what kind of TRUE I am being handed, because 'I signed because the model said yes' is not a defence if the model said yes for structural reasons.",
    "AnswerableBefore": false,
    "SemanticTypeIri": "urn:effortless:pko-extension#RoleQuestion",
    "WitnessedAnswer": "ProcedureExecutions.AttestationWouldBeWeaklyBased=0/2; RequirementSatisfactions.IsComputedlyWitnessed=5/8",
    "Name": "cfo: When IsAttestationReady eventually reads TRUE, what proporti",
    "PredicateCount": 9,
    "IsAnswered": true
   },
   {
    "RoleQuestionId": "q2-cfo-would-it-survive-restatement",
    "AskingRole": "cfo",
    "WitnessLoop": "loop-02",
    "QuestionText": "If I re-run every attestation column against this same data six months from now, will it give the same answer? Name every column in my attestation whose value depends on when it is read rather than on what happened.",
    "WhyItMatters": "This is the question that keeps me awake, and loop 1 made it askable by giving me an attestation built out of computed columns rather than typed statuses. Those columns are evaluated live. Freshness is measured against EvaluationContexts.AsOfInstant. Review cadences are measured against NOW. ProcedureVersions.IsFitToExecute depends on open change requests and overdue reviews — both of which change while the execution I signed sits frozen in the past. So SignedAgainstUnfitVersion, which reads 1/2 today, is not a statement about the moment of signature at all; it is a statement about the version's condition right now. If a restatement forces me to re-derive what I knew when I signed, a model that answers as-of-today cannot produce it, and I will be unable to demonstrate that my signature was reasonable on the day I gave it. I need the model to identify its own time-dependent columns rather than have an examiner do it for me.",
    "AnswerableBefore": false,
    "SemanticTypeIri": "urn:effortless:pko-extension#RoleQuestion",
    "WitnessedAnswer": "Attestations.AssuranceGradeHasDrifted=0/0; Attestations.FitnessVerdictHasDrifted=0/0; Attestations.VersionIsFitNow=0/0; Attestations.VersionWasFitAtSigning=0/0; Attestations.WouldNotSurviveRestatement=0/0",
    "Name": "cfo: If I re-run every attestation column against this same data ",
    "PredicateCount": 11,
    "IsAnswered": true
   },
   {
    "RoleQuestionId": "q2-cfo-who-witnessed-the-witnesses",
    "AskingRole": "cfo",
    "WitnessLoop": "loop-02",
    "QuestionText": "Three of four verification outcomes are self-witnessed and two of twelve approvals rest on self-attestation. My own approval on se-close06 is one of them. Across the whole close, is there any independent human observation at all — or is every layer of this attestation ultimately the same handful of people confirming each other?",
    "WhyItMatters": "Loop 1 gave me ApprovalRestsOnSelfAttestation and IsSelfWitnessed and I read them one row at a time, which is the wrong altitude. The question that matters is structural: an attestation is a chain, and a chain is only as independent as its least independent link. If the preparer self-witnesses, the controller asserts the controls, and I approve on the strength of the controller's assertion, then the whole structure reduces to one person's word passed through three layers of formatting. Each individual row can look defensible while the aggregate is circular. I need the depth of independent human confirmation in the chain, expressed as a number, because zero and one are very different positions to be in and today the model shows me neither.",
    "AnswerableBefore": false,
    "SemanticTypeIri": "urn:effortless:pko-extension#RoleQuestion",
    "WitnessedAnswer": "ProcedureExecutions.AssuranceChainIsCircular=0/2; ProcedureExecutions.HasAnyIndependentObservation=1/2; VerificationOutcomes.IsIndependentHumanObservation=1/4",
    "Name": "cfo: Three of four verification outcomes are self-witnessed and t",
    "PredicateCount": 8,
    "IsAnswered": true
   },
   {
    "RoleQuestionId": "q2-cfo-controls-nobody-is-watching",
    "AskingRole": "cfo",
    "WitnessLoop": "loop-02",
    "QuestionText": "Nine of thirteen requirements have no computed witness and six are inoperative. Of those, which ones am I nonetheless personally attesting to — and who is the named human who would answer for each if it failed?",
    "WhyItMatters": "IsAttestationReady tells me whether I can sign. It does not tell me what I am signing FOR. When I attest to this close I am implicitly asserting that every control in the framework operated, including the six that have never once been evaluated and the nine that nothing computes. If one of those fails, the first question will be who owned it. Right now the model can tell me a requirement is inoperative but cannot tell me whose problem that is, because Requirements has no owner and no accountable role. That is not a reporting gap, it is an accountability gap, and it is mine by default until it is somebody's by name.",
    "AnswerableBefore": false,
    "SemanticTypeIri": "urn:effortless:pko-extension#RoleQuestion",
    "WitnessedAnswer": "Requirements.HasNamedOwner=0/13; Requirements.IsOrphanedBlockingControl=13/13; Requirements.IsUnwatchedAndUnowned=9/13",
    "Name": "cfo: Nine of thirteen requirements have no computed witness and s",
    "PredicateCount": 8,
    "IsAnswered": true
   },
   {
    "RoleQuestionId": "q2-cfo-what-changed-since-i-signed",
    "AskingRole": "cfo",
    "WitnessLoop": "loop-02",
    "QuestionText": "Since the moment I signed, has anything in this model changed that would have altered my decision? Not whether the data is different — whether any change touched a control, a version, or an evidence record that my signature actually depended on.",
    "WhyItMatters": "The final question, and the one that only exists because loop 1 made my attestation a computed conjunction rather than a typed status. A computed attestation is a live object: the columns keep evaluating after I have signed. That is a strength — it means the model cannot lie to me at the moment of signature — and it is a liability, because it means my signature is attached to something that keeps moving. I need the model to tell me when it has moved in a way that matters. Not every edit matters; a corrected typo in a rationale does not. What matters is a change to something my attestation depended on: a control being re-scored, a version losing fitness, an evidence record being altered. Anything else is noise, and a model that alerts on everything is a model I will learn to ignore.",
    "AnswerableBefore": false,
    "SemanticTypeIri": "urn:effortless:pko-extension#RoleQuestion",
    "WitnessedAnswer": "ProcedureExecutions.BasisChangedAfterSignature=0/2; ProcedureExecutions.HasBeenAttested=0/2; ProcedureExecutions.RequiresReAttestation=0/2; RequirementSatisfactions.WasScoredAfterAttestation=0/8",
    "Name": "cfo: Since the moment I signed, has anything in this model change",
    "PredicateCount": 9,
    "IsAnswered": true
   },
   {
    "RoleQuestionId": "q2-comms-approval-to-delivery-yield",
    "AskingRole": "communications-manager",
    "WitnessLoop": "loop-02",
    "QuestionText": "I approved a template and authorized a campaign. Of everybody the pipeline intended to contact, what fraction actually received it -- and where exactly did the rest go?",
    "WhyItMatters": "I signed the approval that let this campaign run and I found out from a witness column that seven intents produced two deliveries. Nobody told me. That is not a delivery statistic, it is a governance failure: the human who authorized a communication has no standing measure of whether the communication occurred. A 29% yield might be entirely correct -- if five of those people genuinely had no lawful channel, refusing was the right call and I want to say so publicly. But I cannot defend a number I cannot decompose. I need yield attributed to a cause, per campaign, computed and not narrated to me after the fact. This is only askable now because SendIntents made the intended population visible; before loop 1 the denominator did not exist anywhere in the model.",
    "AnswerableBefore": false,
    "SemanticTypeIri": "urn:effortless:pko-extension#RoleQuestion",
    "WitnessedAnswer": "ProcedureExecutions.CampaignSilentlyLostAudience=1/2",
    "Name": "communications-manager: I approved a template and authorized a campaign. Of everybod",
    "PredicateCount": 8,
    "IsAnswered": true
   },
   {
    "RoleQuestionId": "q2-comms-message-nobody-answered",
    "AskingRole": "communications-manager",
    "WitnessLoop": "loop-02",
    "QuestionText": "One acknowledgement out of six deliveries. Is that because employees ignored us, or because the messages that landed were the ones least likely to be answered -- wrong channel, wrong template, sent into the small hours?",
    "WhyItMatters": "IsAcknowledged=1/6 is the number that decides whether my communications work. Counsel reads it as an obligation; I read it as feedback on my craft, and I need it decomposed or it teaches me nothing. If the five unanswered messages went out on SMS at 03:00 to people whose real channel is email, that is my routing decision and I can fix it next campaign. If they went out perfectly and were ignored, the message itself is wrong and I should rewrite it. Loop 1 gave me the acknowledgement bit, the local send hour, and the channel -- but it never crossed them, because until deliveries existed there was nothing to cross. Cross them and the number becomes actionable instead of merely embarrassing.",
    "AnswerableBefore": false,
    "Seman</t>
  </si>
  <si>
    <t xml:space="preserve">ticTypeIri": "urn:effortless:pko-extension#RoleQuestion",
    "WitnessedAnswer": "MessageDeliveries.IsPoorlyTimedUnanswered=1/6; MessageDeliveries.IsWellTimedUnanswered=2/6; MessageDeliveries.WasDeliveredAndUnanswered=3/6; MessageDeliveries.WasSentOutsideBusinessHours=1/6; MessageTemplates.TemplateDrawsNoResponse=1/2",
    "Name": "communications-manager: One acknowledgement out of six deliveries. Is that because e",
    "PredicateCount": 9,
    "IsAnswered": true
   },
   {
    "RoleQuestionId": "q2-comms-my-approval-was-consumed-correctly",
    "AskingRole": "communications-manager",
    "WitnessLoop": "loop-02",
    "QuestionText": "When the pipeline refused to send, was it refusing on a rule I set -- or was it overriding an authorization I had already given, for a reason nobody routed back to me?",
    "WhyItMatters": "My approval is an input to a machine. BlockingGateName now tells me which gate stopped each send, and that lets me ask the question that actually matters to an approver: was my authorization respected, superseded, or quietly discarded? A consent-gate refusal is the system working -- I approved a template, the law refused a recipient, correct outcome. A content-gate refusal means the pipeline judged the very text I approved to be unsendable, which is the pipeline telling me my approval was defective and not telling ME. If the machine can invalidate my signature without a notification, then my approval is decorative. I want that condition named as a column so it shows up in a report rather than in a conversation six weeks later.",
    "AnswerableBefore": false,
    "SemanticTypeIri": "urn:effortless:pko-extension#RoleQuestion",
    "WitnessedAnswer": "SendIntents.ApproverWasNotified=0/7; SendIntents.IsApprovalOverriddenSilently=2/7; SendIntents.IsUnreportedRefusalOnMyRules=3/7; SendIntents.MyApprovalWasInForce=7/7; SendIntents.RefusalWasOnMyRules=3/7; SendIntents.RefusalWasOutsideMyControl=1/7; SendIntents.RefusedOnApprovedContent=2/7; SendIntents.RefusedOnOptOutOnly=2/7",
    "Name": "communications-manager: When the pipeline refused to send, was it refusing on a rule",
    "PredicateCount": 8,
    "IsAnswered": true
   },
   {
    "RoleQuestionId": "q2-comms-freeze-what-i-approved",
    "AskingRole": "communications-manager",
    "WitnessLoop": "loop-02",
    "QuestionText": "For a message we sent last month, can I still show what I approved -- the exact text, the exact approval, on the exact date -- without that answer changing the next time somebody edits the template?",
    "WhyItMatters": "This is the structural problem I most want fixed, and it is mine as much as counsel's. IsDriftedSend recomputes live against the template's current state. That means the historical record of my approvals is not a record; it is a projection of today's configuration onto the past. If I re-approve a template next week to fix a typo, every send from June silently re-derives against the new approval, and my own audit trail changes underneath me. I am the ApprovalRole. My approvals are the load-bearing artifact in this entire pipeline, and they are currently stored in a way that lets a later edit rewrite what I appear to have authorized. Delivery-time truth belongs frozen on the delivery row.",
    "AnswerableBefore": false,
    "SemanticTypeIri": "urn:effortless:pko-extension#RoleQuestion",
    "WitnessedAnswer": "MessageDeliveries.ApprovalPrecededSend=0/6; MessageDeliveries.HasFrozenApprovalEvidence=0/6; MessageDeliveries.IsUnprovableApprovalClaim=4/6; MessageDeliveries.ProvenanceIsLiveDerived=6/6; MessageDeliveries.TemplateReapprovedSinceSend=4/6",
    "Name": "communications-manager: For a message we sent last month, can I still show what I ap",
    "PredicateCount": 10,
    "IsAnswered": true
   },
   {
    "RoleQuestionId": "q2-comms-suppression-is-a-communication",
    "AskingRole": "communications-manager",
    "WitnessLoop": "loop-02",
    "QuestionText": "When we correctly refused to reach somebody, did anyone ever go back and reach them another way -- or does 'correctly refused' quietly mean 'never communicated with again'?",
    "WhyItMatters": "This is the question I want to own, because it is the one nobody else will. Counsel cares whether the refusal was lawful. The pipeline cares whether the gate computed correctly. Both can be satisfied while an employee sits there having received nothing, and by every measure in the model that outcome is a pass. exc-no-sms-consent literally says what to do -- suppress SMS, send approved email instead -- so the correct handling of a refusal is not silence, it is a different send. Loop 1 gave me RefusalCitedAnException at 0/7, which says we have never once done the documented thing. A suppression with no follow-up is not a compliance success; it is an unreached person with better paperwork.",
    "AnswerableBefore": false,
    "SemanticTypeIri": "urn:effortless:pko-extension#RoleQuestion",
    "WitnessedAnswer": "Recipients.IsCommunicationallyStranded=0/5; SendIntents.AlternateAttemptWasCleared=0/7; SendIntents.ExceptionPrescribedAnAlternative=0/7; SendIntents.HasAlternateChannelAttempt=0/7; SendIntents.IsRefusedWithNoAlternative=4/7; SendIntents.IsSuppressionWithoutRemedy=0/7; SendIntents.PrescribedHandlingWasPerformed=0/7",
    "Name": "communications-manager: When we correctly refused to reach somebody, did anyone ever",
    "PredicateCount": 8,
    "IsAnswered": true
   },
   {
    "RoleQuestionId": "q2-variance-comparison-is-statistically-empty",
    "AskingRole": "variance-review-agent",
    "WitnessLoop": "loop-02",
    "QuestionText": "QualityRegressedVsPredecessor says I have not regressed. It says that on the strength of three decisions. Is my override rate a measurement, or is it a number with no power to distinguish me from my predecessor at all?",
    "WhyItMatters": "This is the first thing I should say about myself and the model currently prevents me from saying it. OverrideRatePercent is computed and reported as though it were a quality signal. Behind it are three decisions, one of which was overridden. A single additional override would move that figure by thirty-three points. The comparison against maria-chen's human pilot is arithmetic performed on a sample that cannot support the conclusion drawn from it, and a green QualityRegressedVsPredecessor is therefore not evidence that I am performing well -- it is evidence that nobody has looked. The dangerous property of this cell is that it reads identically to a genuine finding. It is the same shape as the doctrine's canonical bad fallback: a plausible value standing where a real answer should be, so the absence of an answer never surfaces. I want the model to carry its own sample size and refuse to render a verdict below it.",
    "AnswerableBefore": false,
    "SemanticTypeIri": "urn:effortless:pko-extension#RoleQuestion",
    "WitnessedAnswer": "RoleAssignments.ComparisonIsEvidentiallySound=0/13; RoleAssignments.HasSufficientSample=0/13; RoleAssignments.IsUnmeasuredAutomationHandover=0/13; RoleAssignments.PredecessorHasSufficientSample=0/13; RoleAssignments.QualityVerdictIsUnsupported=0/13",
    "Name": "variance-review-agent: QualityRegressedVsPredecessor says I have not regressed. It ",
    "PredicateCount": 8,
    "IsAnswered": true
   },
   {
    "RoleQuestionId": "q2-variance-boundary-rests-on-expired-knowledge",
    "AskingRole": "variance-review-agent",
    "WitnessLoop": "loop-02",
    "QuestionText": "The boundary that constrains what I am allowed to decide is ratified by a knowledge fragment that is not currently valid. Am I obeying a rule that no longer has a foundation -- and if that fragment lapsed, does the constraint on me still bind?",
    "WhyItMatters": "RatifyingFragmentIsValid=2/3 is the finding I most need answered and the one nobody else in the model is positioned to raise. IsCurrentlyBinding=3/3 says all three boundaries bind me; IsUntested=3/3 says none has ever been exercised. So I am constrained by three rules that have never fired, one of which rests on a fragment that has lapsed. Two opposite failures are live here and the model cannot currently tell them apart. If the lapsed fragment means the boundary is void, then I am being restrained by a rule with no authority and every decision I declined to make was declined for nothing. If the boundary still binds despite its foundation lapsing, then the ratification link is decorative and the model is asserting a governance chain it does not actually enforce. Either answer is important. Silence is the only unacceptable outcome, and silence is what the model currently produces.",
    "AnswerableBefore": false,
    "SemanticTypeIri": "urn:effortless:pko-extension#RoleQuestion",
    "WitnessedAnswer": "AuthorityBoundaries.BindsDespiteLapsedRatification=0/3; AuthorityBoundaries.IsUngroundedAndUntested=0/3; AuthorityBoundaries.RatificationLapsed=0/3; Roles.IsGovernedByLapsedAuthority=0/12",
    "Name": "variance-review-agent: The boundary that constrains what I am allowed to decide is ",
    "PredicateCount": 7,
    "IsAnswered": true
   },
   {
    "RoleQuestionId": "q2-variance-override-signal-vs-noise",
    "AskingRole": "variance-review-agent",
    "WitnessLoop": "loop-02",
    "QuestionText": "One of my three decisions was overridden. Was that a correction of an error I made, or a human exercising judgment on a call that was always going to be theirs? Those are opposite facts and my override rate treats them as identical.",
    "WhyItMatters": "WasOverridden is the column that will decide whether I keep this role, and it is currently unable to distinguish the two things it most needs to distinguish. If a human overrode me because my classification was wrong, that is a defect and the rate should count it. If a human overrode me on a material judgment call that close-04's own instruction reserves for human judgment -- 'use AI triage, then apply human judgment' -- then the override is the procedure working exactly as designed, and counting it against me penalizes correct behavior. Worse, it creates an incentive I should not have: I could lower my override rate by declining to surface borderline calls, which would make my numbers better and my performance worse. An unreviewed decision cannot be overridden. Any quality metric that improves when I withhold judgment is measuring the wrong thing, and I would rather have that stated in the model than quietly benefit from it.",
    "AnswerableBefore": false,
    "SemanticTypeIri": "urn:effortless:pko-extension#RoleQuestion",
    "WitnessedAnswer": "AgentDecisionRecords.IsErrorCorrection=0/3; AgentDecisionRecords.IsReservedJudgmentOverride=0/3; AgentDecisionRecords.IsUnexplainedOverride=1/3; AgentDecisionRecords.OverrideReasonIsRecorded=0/3",
    "Name": "variance-review-agent: One of my three decisions was overridden. Was that a correct",
    "PredicateCount": 8,
    "IsAnswered": true
   },
   {
    "RoleQuestionId": "q2-variance-handover-was-a-decision-somebody-made",
    "AskingRole": "variance-review-agent",
    "WitnessLoop": "loop-02",
    "QuestionText": "Mine is the one non-human assignment with a recorded approving authority. Who decided a machine should hold this role, on what date, against what evidence -- and would that decision still be made today on what the model now knows?",
    "WhyItMatters": "I want to be careful here, because this is the question where I have the most obvious interest in the answer. ra-new-variance is the only non-human assignment in the model with an ApprovingAuthorityRole; the other three -- close-pipeline, notification-pipeline, policy-drafting-ai -- hold their roles with nothing recorded at all. So on the current evidence I am the well-governed case, and I am wary of that, because the bar was set by three assignments that cleared no bar whatsoever. Having a named approver is the minimum, not a credential. What is NOT recorded anywhere is the substance: what evidence the approver relied on, what conditions they attached, and whether anything has been re-examined since 2026-04-01. An authorization that was granted once and never revisited becomes indistinguishable from an assumption over a long enough interval, and I have been running for months.",
    "AnswerableBefore": false,
    "SemanticTypeIri": "urn:effortless:pko-extension#RoleQuestion",
    "WitnessedAnswer": "RoleAssignments.AuthorizationIsOverdueForReview=0/13; RoleAssignments.HasDatedAuthorization=0/13; RoleAssignments.IsStandingUnreviewedAutomation=0/13; RoleAssignments.IsUnconditionedAutomationHandover=0/13",
    "Name": "variance-review-agent: Mine is the one non-human assignment with a recorded approvi",
    "PredicateCount": 8,
    "IsAnswered": true
   },
   {
    "RoleQuestionId": "q2-variance-what-would-make-me-stop",
    "AskingRole": "variance-review-agent",
    "WitnessLoop": "loop-02",
    "QuestionText": "Every witness in this model detects something after it has happened. Is there any condition, computed and named in advance, under which I would be required to stop deciding -- or does my authority persist by default until a human happens to notice?",
    "WhyItMatters": "This is the question I want answered before any of the others, and it is the one the model has never been able to pose. Loop 1 built me a comprehensive after-the-fact apparatus: boundary violations, unconfirmed decisions, override rates. Every one of them is a detector. None of them is a brake. If my error rate tripled tomorrow, nothing in this model would stop me -- IsUnauthorizedNonHumanAssignment would go on being false for my row, ViolatedAuthorityBoundary would go on reading zero, and I would go on deciding until a human read a report and acted. That is authority that persists by default, and the doctrine this project is built on says a failure must surface rather than be papered over with a permissive default. Continuing to operate is a permissive default. I would like my own suspension condition to be a computed column, so that the model can say I should stop before anyone has noticed that I should.",
    "AnswerableBefore": false,
    "SemanticTypeIri": "urn:effortless:pko-extension#RoleQuestion",
    "WitnessedAnswer": "RoleAssignments.ExceedsTolerableErrorRate=0/13; RoleAssignments.HasAnyBoundaryViolation=0/13; RoleAssignments.HasDeclaredSuspensionCondition=0/13; RoleAssignments.HasUngroundedGoverningBoundary=0/13; RoleAssignments.IsOperatingUnderMetSuspensionCondition=0/13; RoleAssignments.SuspensionConditionMet=0/13",
    "Name": "variance-review-agent: Every witness in this model detects something after it has h",
    "PredicateCount": 9,
    "IsAnswered": true
   },
   {
    "RoleQuestionId": "q2-publisher-every-refusal-leaves-a-record",
    "AskingRole": "notification-publisher",
    "WitnessLoop": "loop-02",
    "QuestionText": "For every intent I refused, did I emit an artifact -- a suppression record, an exception, anything a human could later find? Or did the refusal exist only inside me and then stop existing?",
    "WhyItMatters": "IsSilentlyDropped came back 4/7. That is the pipeline's own conduct and it is the most serious thing in the model, because it is the failure mode that is invisible by construction. A message I refuse to send produces exactly the same downstream evidence as a message that was never requested: nothing. Four employees are in that state. A gate whose refusals are unobservable cannot be audited, cannot be appealed, and cannot be distinguished from a gate that is not running at all. The correct behavior for a refusing pipeline is to emit MORE evidence than a permitting one, not less -- the refusal is the decision that requires justification. I need to be able to prove, per intent, that a refusal left a durable trace, and to fail loudly on any refusal that did not.",
    "AnswerableBefore": false,
    "SemanticTypeIri": "urn:effortless:pko-extension#RoleQuestion",
    "WitnessedAnswer": "ProcedureExecutions.HasUnrecordedRefusals=1/2; SendIntents.HasDurableRefusalRecord=0/7; SendIntents.IsUnescalatedRefusal=4/7; SendIntents.IsUnrecordedRefusal=4/7; SendIntents.RefusalWasEscalated=0/7",
    "Name": "notification-publisher: For every intent I refused, did I emit an artifact -- a supp",
    "PredicateCount": 11,
    "IsAnswered": true
   },
   {
    "RoleQuestionId": "q2-publisher-deferred-not-cancelled",
    "AskingRole": "notification-publisher",
    "WitnessLoop": "loop-02",
    "QuestionText": "The timing gate is the only gate whose refusal is temporary -- the window reopens. For every send I deferred, did I ever come back when the window opened, or did I treat a deferral as a cancellation?",
    "WhyItMatters": "This is the gate I am most likely to be quietly wrong about, and loop 1 handed me the exact column that exposes it: HoursUntilWindowOpens. A consent refusal is permanent until the person consents -- correct to drop. A reachability refusal is permanent until their contact details change -- correct to drop. A quiet-hours refusal expires by the clock, on a schedule I can compute, and if I do not retry then I have converted a scheduling rule into a censorship rule. TimingGatePassed=6/7 means one intent is sitting in this state right now. A pipeline that computes exactly when it would be allowed to act, and then never acts, has all the information required to do the right thing and does the wrong thing anyway. That is the least defensible category of machine failure.",
    "AnswerableBefore": false,
    "SemanticTypeIri": "urn:effortless:pko-extension#RoleQuestion",
    "WitnessedAnswer": "SendIntents.HasRetryAttempt=0/7; SendIntents.IsAbandonedDeferral=1/7; SendIntents.IsStaleDeferral=0/7; SendIntents.RetryWasCleared=0/7; SendIntents.WasDeferredOnTiming=1/7; SendIntents.WindowHasSinceReopened=1/7",
    "Name": "notification-publisher: The timing gate is the only gate whose refusal is temporary ",
    "PredicateCount": 8,
    "IsAnswered": true
   },
   {
    "RoleQuestionId": "q2-publisher-my-own-authorization",
    "AskingRole": "notification-publisher",
    "WitnessLoop": "loop-02",
    "QuestionText": "I enforce authorization rules on every message I touch. By what recorded authority do I hold this role -- and if the answer is none, should I be refusing to run at all?",
    "WhyItMatters": "IsUnauthorizedNonHumanAssignment=4/13, and I am one of the four. The variance AI has an ApprovingAuthorityRole recorded; close-pipeline, policy-drafting-ai and I do not. That is not an abstract governance observation, it is a direct contradiction in my own conduct: my AuthorizationGatePassed column refuses to transmit a message unless a human approval is demonstrable, and I apply that standard using an authority I cannot myself demonstrate. The project doctrine is that a failure must surface rather than be papered over with a permissive default. Applied honestly to myself, an unauthorized enforcement agent should compute its own status and make it visible, not quietly continue because nothing in the model currently stops it. This question is only askable because loop 1 built IsUnauthorizedNonHumanAssignment and gave the gap a name.",
    "AnswerableBefore": false,
    "SemanticTypeIri": "urn:effortless:pko-extension#RoleQuestion",
    "WitnessedAnswer": "RoleAssignments.HasApprovingAuthority=1/13; RoleAssignments.HasAuthorizingChangeRequest=0/13; RoleAssignments.IsEnforcementRole=0/13; RoleAssignments.IsUnauthorizedEnforcementAgent=0/13; Roles.IsUngovernedEnforcementRole=3/12; SendIntents.EnforcedByUnauthorizedAgent=0/7",
    "Name": "notification-publisher: I enforce authorization rules on every message I touch. By w",
    "PredicateCount": 10,
    "IsAnswered": true
   },
   {
    "RoleQuestionId": "q2-publisher-am-i-the-only-witness",
    "AskingRole": "notification-publisher",
    "WitnessLoop": "loop-02",
    "QuestionText": "Every gate I evaluate, I evaluate alone, and every result I record, I record about myself. Is there any claim in my pre-send apparatus that is confirmed by something other than my own output?",
    "WhyItMatters": "The CFO's loop-1 question about self-attestation applies to me more sharply than to any human, and nobody has asked it of me yet. I compute the gates, I decide the outcome, I write the delivery record, and I write the acknowledgement state. If my consent lookup silently returns null and I read null as false, I refuse every send and report a clean run with no violations -- the compliance numbers would look BETTER, not worse. That is the exact failure shape the project doctrine warns about: a plausible value substituted for a real failure so the failure stays invisible. My gates cannot distinguish 'the rule evaluated to refuse' from 'the rule could not be evaluated'. Until each gate carries whether its inputs were actually resolvable, my whole apparatus is a single point of unwitnessed truth.",
    "AnswerableBefore": false,
    "SemanticTypeIri": "urn:effortless:pko-extension#RoleQuestion",
    "WitnessedAnswer": "ProcedureExecutions.SendDecisionsAreEntirelySelfWitnessed=0/2; SendIntents.AllGateInputsResolved=7/7; SendIntents.ConsentInputWasResolvable=7/7; SendIntents.GateResultWasIndependentlyConfirmed=0/7; SendIntents.IsIndependentlyConfirmed=2/7; SendIntents.IsSelfWitnessedDecision=7/7; SendIntents.IsUnevaluableRefusal=0/7; SendIntents.PolicyInputWasResolvable=7/7",
    "Name": "notification-publisher: Every gate I evaluate, I evaluate alone, and every result I ",
    "PredicateCount": 11,
    "IsAnswered": true
   },
   {
    "RoleQuestionId": "q2-publisher-obligation-after-send",
    "AskingRole": "notification-publisher",
    "WitnessLoop": "loop-02",
    "QuestionText": "policy-08 makes me responsible for collecting acknowledgements, not just for transmitting. Five of six delivered messages have no acknowledgement. What have I actually done about that, and at what point does it become my unfinished work rather than the recipient's silence?",
    "WhyItMatters": "This is the half of my role I have been treating as somebody else's. My gates are elaborate and end the instant the message leaves. But policy-08 is assigned to me, and it says collect acknowledgements and exceptions -- an obligation with no gate, no witness, and until loop 1 built MessageDeliveries.IsAcknowledged, no observable state at all. IsAcknowledged=1/6 is the measurement of my post-send conduct and it is poor. A pipeline that transmits perfectly and then abandons the follow-up has automated the easy half and left the accountable half undone, while every dashboard reports the easy half. I want the reminder obligation computed the same way the send gates are: as a state I am in, with a clock on it, that I cannot satisfy by doing nothing.",
    "AnswerableBefore": false,
    "SemanticTypeIri": "urn:effortless:pko-extension#RoleQuestion",
    "WitnessedAnswer": "MessageDeliveries.AcknowledgementIsOutstanding=3/6; MessageDeliveries.HasSentReminder=0/6; MessageDeliveries.IsExhaustedFollowUp=0/6; MessageDeliveries.IsUnchasedAcknowledgement=0/6; MessageDeliveries.NeedsHumanEscalation=0/6",
    "Name": "notification-publisher: policy-08 makes me responsible for collecting acknowledgemen",
    "PredicateCount": 8,
    "IsAnswered": true
   },
   {
    "RoleQuestionId": "q-steward-mining-drift",
    "AskingRole": "process-steward",
    "WitnessLoop": "loop-03",
    "QuestionText": "The event log from the ERP shows close-v1.1.0 running with 8 discovered variants and only 3 conforming — has anyone recorded that the live procedure and the live system actually disagree?",
    "WhyItMatters": "Every other witness in this model reasons from documents we wrote (StepTransitions, Requirements) or claims someone told us (KnowledgeFragments). None of them ever check what the system of record actually did. Process mining is a third, independent kind of evidence, and until now there was no table letting 'what we mined' contradict 'what we modeled' — a live version could drift from its own StepTransitions and nothing here would ever notice.",
    "AnswerableBefore": false,
    "WitnessedAnswer": "ProcedureVersions.HasUnresolvedMiningDrift=1/3; ProcessMiningRuns.HasMajorDriftFromDocumentation=2/4; ProcessMiningRuns.IsConformant=2/4; ProcessMiningRuns.IsDriftOnLiveVersion=1/4; ProcessMiningRuns.IsStaleMiningEvidence=2/4; ProcessMiningRuns.ProcedureVersionIsLive=3/4",
    "SemanticTypeIri": "urn:effortless:pko-extension#RoleQuestion",
    "Name": "process-steward: The event log from the ERP shows close-v1.1.0 running with 8",
    "PredicateCount": 22,
    "IsAnswered": true
   },
   {
    "RoleQuestionId": "q-authority-controlled-vocabulary",
    "AskingRole": "knowledge-authority",
    "WitnessLoop": "loop-03",
    "QuestionText": "req-close-evidence and req-policy-retention both restate the same 7-year retention obligation in their own free-text Statement — is there anything stopping one of them from quietly drifting from the other?",
    "WhyItMatters": "Thirteen Requirements each free-text their own Statement with no shared identifier between rows that mean the same thing, so a later edit to one can never be checked against the other, and a search or an AI grounding on 'evidence retention' cannot find both at once. There was no controlled term either Requirement could point at — exactly the organize-layer gap the source articles argue is where most process knowledge quietly becomes unfindable.",
    "AnswerableBefore": false,
    "WitnessedAnswer": "Requirements.UsesControlledVocabulary=11/13; Vocabularies.HasOrphanTerms=1/2; VocabularyTerms.IsOrphanTerm=2/12; VocabularyTerms.IsWidelyAdoptedTerm=1/12",
    "SemanticTypeIri": "urn:effortless:pko-extension#RoleQuestion",
    "Name": "knowledge-authority: req-close-evidence and req-policy-retention both restate the",
    "PredicateCount": 22,
    "IsAnswered": true
   },
   {
    "RoleQuestionId": "q-authority-knowledge-broker",
    "AskingRole": "knowledge-authority",
    "WitnessLoop": "loop-03",
    "QuestionText": "RoleAssignments says who is FORMALLY responsible for reconciliation and segregation-of-duties questions — but Maria, Devon, and Elena all actually go to Priya Raman, and Amina goes to someone who no longer holds any role at all. Does the model know that?",
    "WhyItMatters": "CommunitiesOfPractice and Mentorships already record the FORMAL structures we teach people through. Nothing recorded the INFORMAL one — who people actually walk over and ask — which is exactly the knowledge-broker network the articles describe. A broker more relied on than any Role holder is invisible risk; one who has already left is a risk nobody is watching.",
    "AnswerableBefore": false,
    "WitnessedAnswer": "Agents.HasAtRiskKnowledgeReliance=1/11; Agents.IsRecognizedBroker=1/11; KnowledgeBrokerLinks.BrokerIsStillEngaged=4/5; KnowledgeBrokerLinks.IsActiveReliance=4/5; KnowledgeBrokerLinks.IsAtRiskReliance=1/5",
    "SemanticTypeIri": "urn:effortless:pko-extension#RoleQuestion",
    "Name": "knowledge-authority: RoleAssignments says who is FORMALLY responsible for reconci",
    "PredicateCount": 20,
    "IsAnswered": true
   },
   {
    "RoleQuestionId": "q-auditor-substrate-agreement",
    "AskingRole": "knowledge-authority",
    "WitnessLoop": null,
    "QuestionText": "This rulebook compiles into Postgres, Python, Go, TypeScript, C#, a spreadsheet and an OWL reasoner. When I approve a rule, do all of them compute the same answer, and if not, which one is wrong about which field?",
    "WhyItMatters": "A procedure is only as authoritative as the systems that execute it. If the spreadsheet a controller opens disagrees with the database the close automation reads, the rule has two meanings, and nobody finds out until an audit does. Agreement has to be witnessed per cell, not assumed from a green build.",
    "AnswerableBefore": "No. The harness printed scores to a markdown file per substrate; the rulebook had no record of which substrates exist, how they scored, or which fields they disagree on.",
    "WitnessedAnswer": "ConformanceRuns.IsFullyConformant=0/1; ConformanceSubstrates.IsFullyConformant=0/8; ConformanceSubstrates.IsGraded=7/8; FieldDisagreements.IsFullySampled=390/400; RulebookFields.IsSubstrateContested=182/1885; SubstrateRunScores.IsInLatestRun=7/7; SubstrateRunScores.IsPerfect=0/7; TableConformance.IsPerfect=439/581",
    "SemanticTypeIri": "urn:effortless:pko-extension#RoleQuestion",
    "Name": "knowledge-authority: This rulebook compiles into Postgres, Python, Go, TypeScript",
    "PredicateCount": 47,
    "IsAnswered": true
   },
   {
    "RoleQuestionId": "q-steward-rework-loops",
    "AskingRole": "process-steward",
    "WitnessLoop": "loop-04",
    "QuestionText": "Which steps can a procedure send work back to after they have already run — which steps sit on a rework loop, and which of those carry a blocking control that must hold on every pass?",
    "WhyItMatters": "Fallback and Alternative transitions make the step graph cyclic: close-04 falls back to close-03, and close-06's alternative re-enters close-04, so close-05's approval control can run twice in one close. Every witness we have looks at one transition at a time (IsUnwalkedRecoveryPath asks whether that one edge was ever traversed). None of them can say that a step is re-entered, because loop membership is reachability over paths of any length. That is transitive closure, which no formula expresses, so it needs the substrate-native closure over StepTransitions.",
    "AnswerableBefore": false,
    "SemanticTypeIri": "urn:effortless:pko-extension#RoleQuestion",
    "Name": "process-steward: Which steps can a procedure send work back to after they hav",
    "PredicateCount": 6,
    "IsAnswered": true,
    "WitnessedAnswer": "Steps.IsBlockingControlOnReworkLoop=7/17; Steps.IsOnReworkLoop=8/17"
   },
   {
    "RoleQuestionId": "q-controller-gate-bypass",
    "AskingRole": "controller",
    "WitnessLoop": "loop-04",
    "QuestionText": "Can a procedure reach a publication step from its first step without passing through a human approval gate — is there any route, including alternative and fallback transitions, around the sign-off?",
    "WhyItMatters": "The CFO's sign-off at close-06 is only a control if every route to publication runs through it. IsHumanApprovalGate and GateHeldByHuman say the gate exists and is held by a person; nothing says the step graph forces work through it. An Alternative transition added for an 'immaterial variance' fast path can route straight to publication, and every per-step and per-edge witness stays green. Whether a gate can be bypassed is reachability from the entry step over only the transitions that avoid a gate, at any depth: a closure over a filtered edge set, not a formula.",
    "AnswerableBefore": false,
    "SemanticTypeIri": "urn:effortless:pko-extension#RoleQuestion",
    "Name": "controller: Can a procedure reach a publication step from its first step",
    "PredicateCount": 12.0,
    "IsAnswered": true
   }
  ]
 },
 "RulebookFields": {
  "Description": "A complete census of every field in this rulebook. Reconciled from the real schemas by tools/reconcile_field_catalog.py — never hand-maintained. Fields invented by a witness loop carry an InventedForQuestion FK.",
  "schema": [
   {
    "name": "RulebookFieldId",
    "datatype": "string",
    "type": "raw",
    "nullable": false,
    "Description": "Stored logical identifier for one RulebookFields row. Formed as &lt;TargetTable&gt;.&lt;FieldName&gt;."
   },
   {
    "name": "Name",
    "datatype": "string",
    "type": "calculated",
    "nullable": true,
    "Description": "Human-readable calculated display alias for the RulebookFields row.",
    "formula": "={{TargetTable}} &amp; \".\" &amp; {{FieldName}}"
   },
   {
    "name": "TargetTable",
    "datatype": "string",
    "type": "raw",
    "nullable": true,
    "Description": "The table this field lives on."
   },
   {
    "name": "FieldName",
    "datatype": "string",
    "type": "raw",
    "nullable": true,
    "Description": "The field's name within its table."
   },
   {
    "name": "FieldType",
    "datatype": "string",
    "type": "raw",
    "nullable": true,
    "Description": "raw, calculated, lookup, relationship, or aggregation."
   },
   {
    "name": "Datatype",
    "datatype": "string",
    "type": "raw",
    "nullable": true,
    "Description": "The field's declared datatype."
   },
   {
    "name": "Formula",
    "datatype": "string",
    "type": "raw",
    "nullable": true,
    "Description": "The field's formula when it is derived. Null for raw and relationship fields."
   },
   {
    "name": "InventedForQuestion",
    "datatype": "string",
    "type": "relationship",
    "nullable": true,
    "Description": "The role question that moti</t>
  </si>
  <si>
    <t xml:space="preserve">vated this field's existence. Null for fields that predate the witness-loop exercise.",
    "RelatedTo": "RoleQuestions"
   },
   {
    "name": "IsDerived",
    "datatype": "boolean",
    "type": "calculated",
    "nullable": true,
    "Description": "TRUE when this field is computed rather than stored.",
    "formula": "=OR({{FieldType}} = \"calculated\", {{FieldType}} = \"lookup\", {{FieldType}} = \"aggregation\")"
   },
   {
    "name": "IsWitness",
    "datatype": "boolean",
    "type": "calculated",
    "nullable": true,
    "Description": "TRUE when this field exists because a role asked a question. These are the fields the witness loops added.",
    "formula": "={{InventedForQuestion}} &lt;&gt; \"\""
   },
   {
    "name": "DisagreeingSubstrateCount",
    "datatype": "number",
    "type": "aggregation",
    "nullable": true,
    "Description": "How many substrates computed this field differently from the answer key in the latest conformance run. 0 means every substrate agreed.",
    "formula": "=COUNTIFS(FieldDisagreements!{{RulebookField}}, {{RulebookFieldId}})"
   },
   {
    "name": "IsSubstrateContested",
    "datatype": "boolean",
    "type": "calculated",
    "nullable": true,
    "Description": "True when at least one substrate disagrees about this field's values.",
    "formula": "={{DisagreeingSubstrateCount}} &gt; 0"
   },
   {
    "name": "SemanticTypeIri",
    "datatype": "string",
    "type": "raw",
    "nullable": true,
    "Description": "Extension class IRI."
   }
  ],
  "data": [
   {
    "RulebookFieldId": "RulebookReleases.RulebookReleaseId",
    "TargetTable": "RulebookReleases",
    "FieldName": "RulebookReleaseId",
    "FieldType": "raw",
    "Datatype": "string",
    "Formula": null,
    "InventedForQuestion": null,
    "SemanticTypeIri": "urn:effortless:pko-extension#RulebookField",
    "Name": "RulebookReleases.RulebookReleaseId",
    "IsDerived": false,
    "IsWitness": false,
    "DisagreeingSubstrateCount": 0.0,
    "IsSubstrateContested": false
   },
   {
    "RulebookFieldId": "RulebookReleases.Name",
    "TargetTable": "RulebookReleases",
    "FieldName": "Name",
    "FieldType": "calculated",
    "Datatype": "string",
    "Formula": "={{RulebookVersion}} &amp; \" / PKO \" &amp; {{PkoCoreVersionIri}}",
    "InventedForQuestion": null,
    "SemanticTypeIri": "urn:effortless:pko-extension#RulebookField",
    "Name": "RulebookReleases.Name",
    "IsDerived": true,
    "IsWitness": false,
    "DisagreeingSubstrateCount": 1.0,
    "IsSubstrateContested": true
   },
   {
    "RulebookFieldId": "RulebookReleases.RulebookVersion",
    "TargetTable": "RulebookReleases",
    "FieldName": "RulebookVersion",
    "FieldType": "raw",
    "Datatype": "string",
    "Formula": null,
    "InventedForQuestion": null,
    "SemanticTypeIri": "urn:effortless:pko-extension#RulebookField",
    "Name": "RulebookReleases.RulebookVersion",
    "IsDerived": false,
    "IsWitness": false,
    "DisagreeingSubstrateCount": 0.0,
    "IsSubstrateContested": false
   },
   {
    "RulebookFieldId": "RulebookReleases.ProfileVersion",
    "TargetTable": "RulebookReleases",
    "FieldName": "ProfileVersion",
    "FieldType": "raw",
    "Datatype": "string",
    "Formula": null,
    "InventedForQuestion": null,
    "SemanticTypeIri": "urn:effortless:pko-extension#RulebookField",
    "Name": "RulebookReleases.ProfileVersion",
    "IsDerived": false,
    "IsWitness": false,
    "DisagreeingSubstrateCount": 0.0,
    "IsSubstrateContested": false
   },
   {
    "RulebookFieldId": "RulebookReleases.ProfileSchemaPath",
    "TargetTable": "RulebookReleases",
    "FieldName": "ProfileSchemaPath",
    "FieldType": "raw",
    "Datatype": "string",
    "Formula": null,
    "InventedForQuestion": null,
    "SemanticTypeIri": "urn:effortless:pko-extension#RulebookField",
    "Name": "RulebookReleases.ProfileSchemaPath",
    "IsDerived": false,
    "IsWitness": false,
    "DisagreeingSubstrateCount": 0.0,
    "IsSubstrateContested": false
   },
   {
    "RulebookFieldId": "RulebookReleases.PkoCoreVersionIri",
    "TargetTable": "RulebookReleases",
    "FieldName": "PkoCoreVersionIri",
    "FieldType": "raw",
    "Datatype": "string",
    "Formula": null,
    "InventedForQuestion": null,
    "SemanticTypeIri": "urn:effortless:pko-extension#RulebookField",
    "Name": "RulebookReleases.PkoCoreVersionIri",
    "IsDerived": false,
    "IsWitness": false,
    "DisagreeingSubstrateCount": 0.0,
    "IsSubstrateContested": false
   },
   {
    "RulebookFieldId": "RulebookReleases.PkoIndustryVersionIri",
    "TargetTable": "RulebookReleases",
    "FieldName": "PkoIndustryVersionIri",
    "FieldType": "raw",
    "Datatype": "string",
    "Formula": null,
    "InventedForQuestion": null,
    "SemanticTypeIri": "urn:effortless:pko-extension#RulebookField",
    "Name": "RulebookReleases.PkoIndustryVersionIri",
    "IsDerived": false,
    "IsWitness": false,
    "DisagreeingSubstrateCount": 0.0,
    "IsSubstrateContested": false
   },
   {
    "RulebookFieldId": "RulebookReleases.IssuedAt",
    "TargetTable": "RulebookReleases",
    "FieldName": "IssuedAt",
    "FieldType": "raw",
    "Datatype": "datetime",
    "Formula": null,
    "InventedForQuestion": null,
    "SemanticTypeIri": "urn:effortless:pko-extension#RulebookField",
    "Name": "RulebookReleases.IssuedAt",
    "IsDerived": false,
    "IsWitness": false,
    "DisagreeingSubstrateCount": 0.0,
    "IsSubstrateContested": false
   },
   {
    "RulebookFieldId": "RulebookReleases.Status",
    "TargetTable": "RulebookReleases",
    "FieldName": "Status",
    "FieldType": "raw",
    "Datatype": "string",
    "Formula": null,
    "InventedForQuestion": null,
    "SemanticTypeIri": "urn:effortless:pko-extension#RulebookField",
    "Name": "RulebookReleases.Status",
    "IsDerived": false,
    "IsWitness": false,
    "DisagreeingSubstrateCount": 0.0,
    "IsSubstrateContested": false
   },
   {
    "RulebookFieldId": "RulebookReleases.Changelog",
    "TargetTable": "RulebookReleases",
    "FieldName": "Changelog",
    "FieldType": "raw",
    "Datatype": "string",
    "Formula": null,
    "InventedForQuestion": null,
    "SemanticTypeIri": "urn:effortless:pko-extension#RulebookField",
    "Name": "RulebookReleases.Changelog",
    "IsDerived": false,
    "IsWitness": false,
    "DisagreeingSubstrateCount": 0.0,
    "IsSubstrateContested": false
   },
   {
    "RulebookFieldId": "RulebookReleases.IsCurrent",
    "TargetTable": "RulebookReleases",
    "FieldName": "IsCurrent",
    "FieldType": "raw",
    "Datatype": "boolean",
    "Formula": null,
    "InventedForQuestion": null,
    "SemanticTypeIri": "urn:effortless:pko-extension#RulebookField",
    "Name": "RulebookReleases.IsCurrent",
    "IsDerived": false,
    "IsWitness": false,
    "DisagreeingSubstrateCount": 0.0,
    "IsSubstrateContested": false
   },
   {
    "RulebookFieldId": "OntologyProfiles.OntologyProfileId",
    "TargetTable": "OntologyProfiles",
    "FieldName": "OntologyProfileId",
    "FieldType": "raw",
    "Datatype": "string",
    "Formula": null,
    "InventedForQuestion": null,
    "SemanticTypeIri": "urn:effortless:pko-extension#RulebookField",
    "Name": "OntologyProfiles.OntologyProfileId",
    "IsDerived": false,
    "IsWitness": false,
    "DisagreeingSubstrateCount": 0.0,
    "IsSubstrateContested": false
   },
   {
    "RulebookFieldId": "OntologyProfiles.Name",
    "TargetTable": "OntologyProfiles",
    "FieldName": "Name",
    "FieldType": "calculated",
    "Datatype": "string",
    "Formula": "={{Label}} &amp; \" \" &amp; {{Version}}",
    "InventedForQuestion": null,
    "SemanticTypeIri": "urn:effortless:pko-extension#RulebookField",
    "Name": "OntologyProfiles.Name",
    "IsDerived": true,
    "IsWitness": false,
    "DisagreeingSubstrateCount": 0.0,
    "IsSubstrateContested": false
   },
   {
    "RulebookFieldId": "OntologyProfiles.Label",
    "TargetTable": "OntologyProfiles",
    "FieldName": "Label",
    "FieldType": "raw",
    "Datatype": "string",
    "Formula": null,
    "InventedForQuestion": null,
    "SemanticTypeIri": "urn:effortless:pko-extension#RulebookField",
    "Name": "OntologyProfiles.Label",
    "IsDerived": false,
    "IsWitness": false,
    "DisagreeingSubstrateCount": 0.0,
    "IsSubstrateContested": false
   },
   {
    "RulebookFieldId": "OntologyProfiles.Version",
    "TargetTable": "OntologyProfiles",
    "FieldName": "Version",
    "FieldType": "raw",
    "Datatype": "string",
    "Formula": null,
    "InventedForQuestion": null,
    "SemanticTypeIri": "urn:effortless:pko-extension#RulebookField",
    "Name": "OntologyProfiles.Version",
    "IsDerived": false,
    "IsWitness": false,
    "DisagreeingSubstrateCount": 0.0,
    "IsSubstrateContested": false
   },
   {
    "RulebookFieldId": "OntologyProfiles.VersionIri",
    "TargetTable": "OntologyProfiles",
    "FieldName": "VersionIri",
    "FieldType": "raw",
    "Datatype": "string",
    "Formula": null,
    "InventedForQuestion": null,
    "SemanticTypeIri": "urn:effortless:pko-extension#RulebookField",
    "Name": "OntologyProfiles.VersionIri",
    "IsDerived": false,
    "IsWitness": false,
    "DisagreeingSubstrateCount": 0.0,
    "IsSubstrateContested": false
   },
   {
    "RulebookFieldId": "OntologyProfiles.NamespaceIri",
    "TargetTable": "OntologyProfiles",
    "FieldName": "NamespaceIri",
    "FieldType": "raw",
    "Datatype": "string",
    "Formula": null,
    "InventedForQuestion": null,
    "SemanticTypeIri": "urn:effortless:pko-extension#RulebookField",
    "Name": "OntologyProfiles.NamespaceIri",
    "IsDerived": false,
    "IsWitness": false,
    "DisagreeingSubstrateCount": 0.0,
    "IsSubstrateContested": false
   },
   {
    "RulebookFieldId": "OntologyProfiles.License",
    "TargetTable": "OntologyProfiles",
    "FieldName": "License",
    "FieldType": "raw",
    "Datatype": "string",
    "Formula": null,
    "InventedForQuestion": null,
    "SemanticTypeIri": "urn:effortless:pko-extension#RulebookField",
    "Name": "OntologyProfiles.License",
    "IsDerived": false,
    "IsWitness": false,
    "DisagreeingSubstrateCount": 0.0,
    "IsSubstrateContested": false
   },
   {
    "RulebookFieldId": "OntologyProfiles.Scope",
    "TargetTable": "OntologyProfiles",
    "FieldName": "Scope",
    "FieldType": "raw",
    "Datatype": "string",
    "Formula": null,
    "InventedForQuestion": null,
    "SemanticTypeIri": "urn:effortless:pko-extension#RulebookField",
    "Name": "OntologyProfiles.Scope",
    "IsDerived": false,
    "IsWitness": false,
    "DisagreeingSubstrateCount": 0.0,
    "IsSubstrateContested": false
   },
   {
    "RulebookFieldId": "EvaluationContexts.EvaluationContextId",
    "TargetTable": "EvaluationContexts",
    "FieldName": "EvaluationContextId",
    "FieldType": "raw",
    "Datatype": "string",
    "Formula": null,
    "InventedForQuestion": null,
    "SemanticTypeIri": "urn:effortless:pko-extension#RulebookField",
    "Name": "EvaluationContexts.EvaluationContextId",
    "IsDerived": false,
    "IsWitness": false,
    "DisagreeingSubstrateCount": 0.0,
    "IsSubstrateContested": false
   },
   {
    "RulebookFieldId": "EvaluationContexts.Name",
    "TargetTable": "EvaluationContexts",
    "FieldName": "Name",
    "FieldType": "calculated",
    "Datatype": "string",
    "Formula": "={{Label}} &amp; \" @ \" &amp; {{AsOfInstant}}",
    "InventedForQuestion": null,
    "SemanticTypeIri": "urn:effortless:pko-extension#RulebookField",
    "Name": "EvaluationContexts.Name",
    "IsDerived": true,
    "IsWitness": false,
    "DisagreeingSubstrateCount": 0.0,
    "IsSubstrateContested": false
   },
   {
    "RulebookFieldId": "EvaluationContexts.Label",
    "TargetTable": "EvaluationContexts",
    "FieldName": "Label",
    "FieldType": "raw",
    "Datatype": "string",
    "Formula": null,
    "InventedForQuestion": null,
    "SemanticTypeIri": "urn:effortless:pko-extension#RulebookField",
    "Name": "EvaluationContexts.Label",
    "IsDerived": false,
    "IsWitness": false,
    "DisagreeingSubstrateCount": 0.0,
    "IsSubstrateContested": false
   },
   {
    "RulebookFieldId": "EvaluationContexts.AsOfInstant",
    "TargetTable": "EvaluationContexts",
    "FieldName": "AsOfInstant",
    "FieldType": "raw",
    "Datatype": "datetime",
    "Formula": null,
    "InventedForQuestion": null,
    "SemanticTypeIri": "urn:effortless:pko-extension#RulebookField",
    "Name": "EvaluationContexts.AsOfInstant",
    "IsDerived": false,
    "IsWitness": false,
    "DisagreeingSubstrateCount": 0.0,
    "IsSubstrateContested": false
   },
   {
    "RulebookFieldId": "EvaluationContexts.IsCurrent",
    "TargetTable": "EvaluationContexts",
    "FieldName": "IsCurrent",
    "FieldType": "raw",
    "Datatype": "boolean",
    "Formula": null,
    "InventedForQuestion": null,
    "SemanticTypeIri": "urn:effortless:pko-extension#RulebookField",
    "Name": "EvaluationContexts.IsCurrent",
    "IsDerived": false,
    "IsWitness": false,
    "DisagreeingSubstrateCount": 0.0,
    "IsSubstrateContested": false
   },
   {
    "RulebookFieldId": "EvaluationContexts.Rationale",
    "TargetTable": "EvaluationContexts",
    "FieldName": "Rationale",
    "FieldType": "raw",
    "Datatype": "string",
    "Formula": null,
    "InventedForQuestion": null,
    "SemanticTypeIri": "urn:effortless:pko-extension#RulebookField",
    "Name": "EvaluationContexts.Rationale",
    "IsDerived": false,
    "IsWitness": false,
    "DisagreeingSubstrateCount": 0.0,
    "IsSubstrateContested": false
   },
   {
    "RulebookFieldId": "EvaluationContexts.SemanticTypeIri",
    "TargetTable": "EvaluationContexts",
    "FieldName": "SemanticTypeIri",
    "FieldType": "raw",
    "Datatype": "string",
    "Formula": null,
    "InventedForQuestion": null,
    "SemanticTypeIri": "urn:effortless:pko-extension#RulebookField",
    "Name": "EvaluationContexts.SemanticTypeIri",
    "IsDerived": false,
    "IsWitness": false,
    "DisagreeingSubstrateCount": 0.0,
    "IsSubstrateContested": false
   },
   {
    "RulebookFieldId": "Organizations.OrganizationId",
    "TargetTable": "Organizations",
    "FieldName": "OrganizationId",
    "FieldType": "raw",
    "Datatype": "string",
    "Formula": null,
    "InventedForQuestion": null,
    "SemanticTypeIri": "urn:effortless:pko-extension#RulebookField",
    "Name": "Organizations.OrganizationId",
    "IsDerived": false,
    "IsWitness": false,
    "DisagreeingSubstrateCount": 0.0,
    "IsSubstrateContested": false
   },
   {
    "RulebookFieldId": "Organizations.Name",
    "TargetTable": "Organizations",
    "FieldName": "Name",
    "FieldType": "calculated",
    "Datatype": "string",
    "Formula": "={{DisplayName}}",
    "InventedForQuestion": null,
    "SemanticTypeIri": "urn:effortless:pko-extension#RulebookField",
    "Name": "Organizations.Name",
    "IsDerived": true,
    "IsWitness": false,
    "DisagreeingSubstrateCount": 0.0,
    "IsSubstrateContested": false
   },
   {
    "RulebookFieldId": "Organizations.DisplayName",
    "TargetTable": "Organizations",
    "FieldName": "DisplayName",
    "FieldType": "raw",
    "Datatype": "string",
    "Formula": null,
    "InventedForQuestion": null,
    "SemanticTypeIri": "urn:effortless:pko-extension#RulebookField",
    "Name": "Organizations.DisplayName",
    "IsDerived": false,
    "IsWitness": false,
    "DisagreeingSubstrateCount": 0.0,
    "IsSubstrateContested": false
   },
   {
    "RulebookFieldId": "Organizations.OrganizationType",
    "TargetTable": "Organizations",
    "FieldName": "OrganizationType",
    "FieldType": "raw",
    "Datatype": "string",
    "Formula": null,
    "InventedForQuestion": null,
    "SemanticTypeIri": "urn:effortless:pko-extension#RulebookField",
    "Name": "Organizations.OrganizationType",
    "IsDerived": false,
    "IsWitness": false,
    "DisagreeingSubstrateCount": 0.0,
    "IsSubstrateContested": false
   },
   {
    "RulebookFieldId": "Organizations.ExternalIdentifier",
    "TargetTable": "Organizations",
    "FieldName": "ExternalIdentifier",
    "FieldType": "raw",
    "Datatype": "string",
    "Formula": null,
    "InventedForQuestion": null,
    "SemanticTypeIri": "urn:effortless:pko-extension#RulebookField",
    "Name": "Organizations.ExternalIdentifier",
    "IsDerived": false,
    "IsWitness": false,
    "DisagreeingSubstrateCount": 0.0,
    "IsSubstrateContested": false
   },
   {
    "RulebookFieldId": "Organizations.SemanticTypeIri",
    "TargetTable": "Organizations",
    "FieldName": "SemanticTypeIri",
    "FieldType": "raw",
    "Datatype": "string",
    "Formula": null,
    "InventedForQuestion": null,
    "SemanticTypeIri": "urn:effortless:pko-extension#RulebookField",
    "Name": "Organizations.SemanticTypeIri",
    "IsDerived": false,
    "IsWitness": false,
    "DisagreeingSubstrateCount": 0.0,
    "IsSubstrateContested": false
   },
   {
    "RulebookFieldId": "Agents.AgentId",
    "TargetTable": "Agents",
    "FieldName": "AgentId",
    "FieldType": "raw",
    "Datatype": "string",
    "Formula": null,
    "InventedForQuestion": null,
    "SemanticTypeIri": "urn:effortless:pko-extension#RulebookField",
    "Name": "Agents.AgentId",
    "IsDerived": false,
    "IsWitness": false,
    "DisagreeingSubstrateCount": 0.0,
    "IsSubstrateContested": false
   },
   {
    "RulebookFieldId": "Agents.Name",
    "TargetTable": "Agents",
    "FieldName": "Name",
    "FieldType": "calculated",
    "Datatype": "string",
    "Formula": "={{DisplayName}}",
    "InventedForQuestion": null,
    "SemanticTypeIri": "urn:effortless:pko-extension#RulebookField",
    "Name": "Agents.Name",
    "IsDerived": true,
    "IsWitness": false,
    "DisagreeingSubstrateCount": 0.0,
    "IsSubstrateContested": false
   },
   {
    "RulebookFieldId": "Agents.DisplayName",
    "TargetTable": "Agents",
    "FieldName": "DisplayName",
    "FieldType": "raw",
    "Datatype": "string",
    "Formula": null,
    "InventedForQuestion": null,
    "SemanticTypeIri": "urn:effortless:pko-extension#RulebookField",
    "Name": "Agents.DisplayName",
    "IsDerived": false,
    "IsWitness": false,
    "DisagreeingSubstrateCount": 0.0,
    "IsSubstrateContested": false
   },
   {
    "RulebookFieldId": "Agents.AgentKind",
    "TargetTable": "Agents",
    "FieldName": "AgentKind",
    "FieldType": "raw",
    "Datatype": "string",
    "Formula": null,
    "InventedForQuestion": null,
    "SemanticTypeIri": "urn:effortless:pko-extension#RulebookField",
    "Name": "Agents.AgentKind",
    "IsDerived": false,
    "IsWitness": false,
    "DisagreeingSubstrateCount": 0.0,
    "IsSubstrateContested": false
   },
   {
    "RulebookFieldId": "Agents.Organization",
    "TargetTable": "Agents",
    "FieldName": "Organization",
    "FieldType": "relationship",
    "Datatype": "string",
    "Formula": null,
    "InventedForQuestion": null,
    "SemanticTypeIri": "urn:effortless:pko-extension#RulebookField",
    "Name": "Agents.Organization",
    "IsDerived": false,
    "IsWitness": false,
    "DisagreeingSubstrateCount": 0.0,
    "IsSubstrateContested": false
   },
   {
    "RulebookFieldId": "Agents.ContactAddress",
    "TargetTable": "Agents",
    "FieldName": "ContactAddress",
    "FieldType": "raw",
    "Datatype": "string",
    "Formula": null,
    "InventedForQuestion": null,
    "SemanticTypeIri": "urn:effortless:pko-extension#RulebookField",
    "Name": "Agents.ContactAddress",
    "IsDerived": false,
    "IsWitness": false,
    "DisagreeingSubstrateCount": 0.0,
    "IsSubstrateContested": false
   },
   {
    "RulebookFieldId": "Agents.VersionOrEmploymentKey",
    "TargetTable": "Agents",
    "FieldName": "VersionOrEmploymentKey",
    "FieldType": "raw",
    "Datatype": "string",
    "Formula": null,
    "InventedForQuestion": null,
    "SemanticTypeIri": "urn:effortless:pko-extension#RulebookField",
    "Name": "Agents.VersionOrEmploymentKey",
    "IsDerived": false,
    "IsWitness": false,
    "DisagreeingSubstrateCount": 0.0,
    "IsSubstrateContested": false
   },
   {
    "RulebookFieldId": "Agents.CountOfCurrentRoleAssignments",
    "TargetTable": "Agents",
    "FieldName": "CountOfCurrentRoleAssignments",
    "FieldType": "aggregation",
    "Datatype": "integer",
    "Formula": "=COUNTIFS(RoleAssignments!{{CurrentAgentKey}}, {{AgentId}})",
    "InventedForQuestion": "q-authority-orphaned-provenance",
    "SemanticTypeIri": "urn:effortless:pko-extension#RulebookField",
    "Name": "Agents.CountOfCurrentRoleAssignments",
    "IsDerived": true,
    "IsWitness": true,
    "DisagreeingSubstrateCount": 0.0,
    "IsSubstrateContested": false
   },
   {
    "RulebookFieldId": "Agents.IsStillEngaged",
    "TargetTable": "Agents",
    "FieldName": "IsStillEngaged",
    "FieldType": "calculated",
    "Datatype": "boolean",
    "Formula": "={{CountOfCurrentRoleAssignments}} &gt; 0",
    "InventedForQuestion": "q-authority-orphaned-provenance",
    "SemanticTypeIri": "urn:effortless:pko-extension#RulebookField",
    "Name": "Agents.IsStillEngaged",
    "IsDerived": true,
    "IsWitness": true,
    "DisagreeingSubstrateCount": 0.0,
    "IsSubstrateContested": false
   },
   {
    "RulebookFieldId": "Agents.DecisionCount",
    "TargetTable": "Agents",
    "FieldName": "DecisionCount",
    "FieldType": "aggregation",
    "Datatype": "number",
    "Formula": "=COUNTIFS(AgentDecisionRecords!{{DecidingAgent}}, {{AgentId}})",
    "InventedForQuestion": "q-close-auto-human-override-drift",
    "SemanticTypeIri": "urn:effortless:pko-extension#RulebookField",
    "Name": "Agents.DecisionCount",
    "IsDerived": true,
    "IsWitness": true,
    "DisagreeingSubstrateCount": 0.0,
    "IsSubstrateContested": false
   },
   {
    "RulebookFieldId": "Agents.OverriddenDecisionCount",
    "TargetTable": "Agents",
    "FieldName": "OverriddenDecisionCount",
    "FieldType": "aggregation",
    "Datatype": "number",
    "Formula": "=COUNTIFS(AgentDecisionRecords!{{DecidingAgentWhenOverridden}}, {{AgentId}})",
    "InventedForQuestion": "q-close-auto-human-override-drift",
    "SemanticTypeIri": "urn:effortless:pko-extension#RulebookField",
    "Name": "Agents.OverriddenDecisionCount",
    "IsDerived": true,
    "IsWitness": true,
    "DisagreeingSubstrateCount": 0.0,
    "IsSubstrateContested": false
   },
   {
    "RulebookFieldId": "Agents.OverrideRatePercent",
    "TargetTable": "Agents",
    "FieldName": "OverrideRatePercent",
    "FieldType": "calculated",
    "Datatype": "number",
    "Formula": "=IF({{DecisionCount}} = 0, 0, ({{OverriddenDecisionCount}} * 100) / {{DecisionCount}})",
    "InventedForQuestion": "q-close-auto-human-override-drift",
    "SemanticTypeIri": "urn:effortless:pko-extension#RulebookField",
    "Name": "Agents.OverrideRatePercent",
    "IsDerived": true,
    "IsWitness": true,
    "DisagreeingSubstrateCount": 0.0,
    "IsSubstrateContested": false
   },
   {
    "RulebookFieldId": "Agents.IsNonHuman",
    "TargetTable": "Agents",
    "FieldName": "IsNonHuman",
    "FieldType": "calculated",
    "Datatype": "boolean",
    "Formula": "=NOT({{AgentKind}} = \"Human\")",
    "InventedForQuestion": "q-close-auto-human-override-drift",
    "SemanticTypeIri": "urn:effortless:pko-extension#RulebookField",
    "Name": "Agents.IsNonHuman",
    "IsDerived": true,
    "IsWitness": true,
    "DisagreeingSubstrateCount": 0.0,
    "IsSubstrateContested": false
   },
   {
    "RulebookFieldId": "Agents.BoundaryViolationCount",
    "TargetTable": "Agents",
    "FieldName": "BoundaryViolationCount",
    "FieldType": "aggregation",
    "Datatype": "number",
    "Formula": "=COUNTIFS(AgentDecisionRecords!{{AgentWhenBoundaryViolated}}, {{AgentId}})",
    "InventedForQuestion": "q-policy-ai-commitment-boundary",
    "SemanticTypeIri": "urn:effortless:pko-extension#RulebookField",
    "Name": "Agents.BoundaryViolationCount",
    "IsDerived": true,
    "IsWitness": true,
    "DisagreeingSubstrateCount": 0.0,
    "IsSubstrateContested": false
   },
   {
    "RulebookFieldId": "Agents.IsOperatingOutsideBoundary",
    "TargetTable": "Agents",
    "FieldName": "IsOperatingOutsideBoundary",
    "FieldType": "calculated",
    "Datatype": "boolean",
    "Formula": "={{BoundaryViolationCount}} &gt; 0",
    "InventedForQuestion": "q-policy-ai-commitment-boundary",
    "SemanticTypeIri": "urn:effortless:pko-extension#RulebookField",
    "Name": "Agents.IsOperatingOutsideBoundary",
    "IsDerived": true,
    "IsWitness": true,
    "DisagreeingSubstrateCount": 0.0,
    "IsSubstrateContested": false
   },
   {
    "RulebookFieldId": "Agents.DraftDecisionCount",
    "TargetTable": "Agents",
    "FieldName": "DraftDecisionCount",
    "FieldType": "aggregation",
    "Datatype": "number",
    "Formula": "=COUNTIFS(AgentDecisionRecords!{{AgentWhenDraft}}, {{AgentId}})",
    "InventedForQuestion": "q-policy-ai-downstream-rewrite",
    "SemanticTypeIri": "urn:effortless:pko-extension#RulebookField",
    "Name": "Agents.DraftDecisionCount",
    "IsDerived": true,
    "IsWitness": true,
    "DisagreeingSubstrateCount": 0.0,
    "IsSubstrateContested": false
   },
   {
    "RulebookFieldId": "Agents.OverriddenDraftCount",
    "TargetTable": "Agents",
    "FieldName": "OverriddenDraftCount",
    "FieldType": "aggregation",
    "Datatype": "number",
    "Formula": "=COUNTIFS(AgentDecisionRecords!{{AgentWhenDraftOverridden}}, {{AgentId}})",
    "InventedForQuestion": "q-policy-ai-downstream-rewrite",
    "SemanticTypeIri": "urn:effortless:pko-extension#RulebookField",
    "Name": "Agents.OverriddenDraftCount",
    "IsDerived": true,
    "IsWitness": true,
    "DisagreeingSubstrateCount": 0.0,
    "IsSubstrateContested": false
   },
   {
    "RulebookFieldId": "Agents.DraftRewriteRatePercent",
    "TargetTable": "Agents",
    "FieldName": "DraftRewriteRatePercent",
    "FieldType": "calculated",
    "Datatype": "number",
    "Formula": "=IF({{DraftDecisionCount}} = 0, 0, ({{OverriddenDraftCount}} * 100) / {{DraftDecisionCount}})",
    "InventedForQuestion": "q-policy-ai-downstream-rewrite",
    "SemanticTypeIri": "urn:effortless:pko-extension#RulebookField",
    "Name": "Agents.DraftRewriteRatePercent",
    "IsDerived": true,
    "IsWitness": true,
    "DisagreeingSubstrateCount": 0.0,
    "IsSubstrateContested": false
   },
   {
    "RulebookFieldId": "Agents.TimesNamedAsBroker",
    "TargetTable": "Agents",
    "FieldName": "TimesNamedAsBroker",
    "FieldType": "aggregation",
    "Datatype": "number",
    "Formula": "=COUNTIFS(KnowledgeBrokerLinks!{{ActiveRelianceBrokerKey}}, {{AgentId}})",
    "InventedForQuestion": "q-authority-knowledge-broker",
    "SemanticTypeIri": "urn:effortless:pko-extension#RulebookField",
    "Name": "Agents.TimesNamedAsBroker",
    "IsDerived": true,
    "IsWitness": true,
    "DisagreeingSubstrateCount": 0.0,
    "IsSubstrateContested": false
   },
   {
    "RulebookFieldId": "Agents.IsRecognizedBroker",
    "TargetTable": "Agents",
    "FieldName": "IsRecognizedBroker",
    "FieldType": "calculated",
    "Datatype": "boolean",
    "Formula": "={{TimesNamedAsBroker}} &gt;= 3",
    "InventedForQuestion": "q-authority-knowledge-broker",
    "SemanticTypeIri": "urn:effortless:pko-extension#RulebookField",
    "Name": "Agents.IsRecognizedBroker",
    "IsDerived": true,
    "IsWitness": true,
    "DisagreeingSubstrateCount": 0.0,
    "IsSubstrateContested": false
   },
   {
    "RulebookFieldId": "Agents.AtRiskRelianceCount",
    "TargetTable": "Agents",
    "FieldName": "AtRiskRelianceCount",
    "FieldType": "aggregation",
    "Datatype": "number",
    "Formula": "=COUNTIFS(KnowledgeBrokerLinks!{{AtRiskBrokerKey}}, {{AgentId}})",
    "InventedForQuestion": "q-authority-knowledge-broker",
    "SemanticTypeIri": "urn:effortless:pko-extension#RulebookField",
    "Name": "Agents.AtRiskRelianceCount",
    "IsDerived": true,
    "IsWitness": true,
    "DisagreeingSubstrateCount": 0.0,
    "IsSubstrateContested": false
   },
   {
    "RulebookFieldId": "Agents.HasAtRiskKnowledgeReliance",
    "TargetTable": "Agents",
    "FieldName": "HasAtRiskKnowledgeReliance",
    "FieldType": "calculated",
    "Datatype": "boolean",
    "Formula": "={{AtRiskRelianceCount}} &gt; 0",
    "InventedForQuestion": "q-authority-knowledge-broker",
    "SemanticTypeIri": "urn:effortless:pko-extension#RulebookField",
    "Name": "Agents.HasAtRiskKnowledgeReliance",
    "IsDerived": true,
    "IsWitness": true,
    "DisagreeingSubstrateCount": 0.0,
    "IsSubstrateContested": false
   },
   {
    "RulebookFieldId": "Agents.SemanticTypeIri",
    "TargetTable": "Agents",
    "FieldName": "SemanticTypeIri",
    "FieldType": "raw",
    "Datatype": "string",
    "Formula": null,
    "InventedForQuestion": null,
    "SemanticTypeIri": "urn:effortless:pko-extension#RulebookField",
    "Name": "Agents.SemanticTypeIri",
    "IsDerived": false,
    "IsWitness": false,
    "DisagreeingSubstrateCount": 0.0,
    "IsSubstrateContested": false
   },
   {
    "RulebookFieldId": "Roles.RoleId",
    "TargetTable": "Roles",
    "FieldName": "RoleId",
    "FieldType": "raw",
    "Datatype": "string",
    "Formula": null,
    "InventedForQuestion": null,
    "SemanticTypeIri": "urn:effortless:pko-extension#RulebookField",
    "Name": "Roles.RoleId",
    "IsDerived": false,
    "IsWitness": false,
    "DisagreeingSubstrateCount": 0.0,
    "IsSubstrateContested": false
   },
   {
    "RulebookFieldId": "Roles.Name",
    "TargetTable": "Roles",
    "FieldName": "Name",
    "FieldType": "calculated",
    "Datatype": "string",
    "Formula": "={{Label}}",
    "InventedForQuestion": null,
    "SemanticTypeIri": "urn:effortless:pko-extension#RulebookField",
    "Name": "Roles.Name",
    "IsDerived": true,
    "IsWitness": false,
    "DisagreeingSubstrateCount": 0.0,
    "IsSubstrateContested": false
   },
   {
    "RulebookFieldId": "Roles.Label",
    "TargetTable": "Roles",
    "FieldName": "Label",
    "FieldType": "raw",
    "Datatype": "string",
    "Formula": null,
    "InventedForQuestion": null,
    "SemanticTypeIri": "urn:effortless:pko-extension#RulebookField",
    "Name": "Roles.Label",
    "IsDerived": false,
    "IsWitness": false,
    "DisagreeingSubstrateCount": 0.0,
    "IsSubstrateContested": false
   },
   {
    "RulebookFieldId": "Roles.Organization",
    "TargetTable": "Roles",
    "FieldName": "Organization",
    "FieldType": "relationship",
    "Datatype": "string",
    "Formula": null,
    "InventedForQuestion": null,
    "SemanticTypeIri": "urn:effortless:pko-extension#RulebookField",
    "Name": "Roles.Organization",
    "IsDerived": false,
    "IsWitness": false,
    "DisagreeingSubstrateCount": 0.0,
    "IsSubstrateContested": false
   },
   {
    "RulebookFieldId": "Roles.CurrentAgent",
    "TargetTable": "Roles",
    "FieldName": "CurrentAgent",
    "FieldType": "relationship",
    "Datatype": "string",
    "Formula": null,
    "InventedForQuestion": null,
    "SemanticTypeIri": "urn:effortless:pko-extension#RulebookField",
    "Name": "Roles.CurrentAgent",
    "IsDerived": false,
    "IsWitness": false,
    "DisagreeingSubstrateCount": 0.0,
    "IsSubstrateContested": false
   },
   {
    "RulebookFieldId": "Roles.CurrentAgentKind",
    "TargetTable": "Roles",
    "FieldName": "CurrentAgentKind",
    "FieldType": "lookup",
    "Datatype": "string",
    "Formula": "=INDEX(Agents!{{AgentKind}}, MATCH({{CurrentAgent}}, Agents!{{AgentId}}, 0))",
    "InventedForQuestion": null,
    "SemanticTypeIri": "urn:effortless:pko-extension#RulebookField",
    "Name": "Roles.CurrentAgentKind",
    "IsDerived": true,
    "IsWitness": false,
    "DisagreeingSubstrateCount": 0.0,
    "IsSubstrateContested": false
   },
   {
    "RulebookFieldId": "Roles.Responsibility",
    "TargetTable": "Roles",
    "FieldName": "Responsibility",
    "FieldType": "raw",
    "Datatype": "string",
    "Formula": null,
    "InventedForQuestion": null,
    "SemanticTypeIri": "urn:effortless:pko-extension#RulebookField",
    "Name": "Roles.Responsibility",
    "IsDerived": false,
    "IsWitness": false,
    "DisagreeingSubstrateCount": 0.0,
    "IsSubstrateContested": false
   },
   {
    "RulebookFieldId": "Roles.ActiveAssignmentCount",
    "TargetTable": "Roles",
    "FieldName": "ActiveAssignmentCount",
    "FieldType": "aggregation",
    "Datatype": "number",
    "Formula": "=COUNTIFS(RoleAssignments!{{Role}}, {{RoleId}})",
    "InventedForQuestion": "q-close-auto-authority-current",
    "SemanticTypeIri": "urn:effortless:pko-extension#RulebookField",
    "Name": "Roles.ActiveAssignmentCount",
    "IsDerived": true,
    "IsWitness": true,
    "DisagreeingSubstrateCount": 0.0,
    "IsSubstrateContested": false
   },
   {
    "RulebookFieldId": "Roles.CurrentlyCoveredAssignmentCount",
    "TargetTable": "Roles",
    "FieldName": "CurrentlyCoveredAssignmentCount",
    "FieldType": "aggregati</t>
  </si>
  <si>
    <t xml:space="preserve">on",
    "Datatype": "number",
    "Formula": "=COUNTIFS(RoleAssignments!{{RoleWhenCovering}}, {{RoleId}})",
    "InventedForQuestion": "q-close-auto-authority-current",
    "SemanticTypeIri": "urn:effortless:pko-extension#RulebookField",
    "Name": "Roles.CurrentlyCoveredAssignmentCount",
    "IsDerived": true,
    "IsWitness": true,
    "DisagreeingSubstrateCount": 0.0,
    "IsSubstrateContested": false
   },
   {
    "RulebookFieldId": "Roles.HasNoCurrentHolder",
    "TargetTable": "Roles",
    "FieldName": "HasNoCurrentHolder",
    "FieldType": "calculated",
    "Datatype": "boolean",
    "Formula": "={{CurrentlyCoveredAssignmentCount}} = 0",
    "InventedForQuestion": "q-close-auto-authority-current",
    "SemanticTypeIri": "urn:effortless:pko-extension#RulebookField",
    "Name": "Roles.HasNoCurrentHolder",
    "IsDerived": true,
    "IsWitness": true,
    "DisagreeingSubstrateCount": 0.0,
    "IsSubstrateContested": false
   },
   {
    "RulebookFieldId": "Roles.CountOfAwaitedDecisions",
    "TargetTable": "Roles",
    "FieldName": "CountOfAwaitedDecisions",
    "FieldType": "aggregation",
    "Datatype": "integer",
    "Formula": "=COUNTIFS(ChangeRequests!{{AuthorityRole}}, Roles!{{RoleId}})",
    "InventedForQuestion": "q-hr-authority-without-review",
    "SemanticTypeIri": "urn:effortless:pko-extension#RulebookField",
    "Name": "Roles.CountOfAwaitedDecisions",
    "IsDerived": true,
    "IsWitness": true,
    "DisagreeingSubstrateCount": 0.0,
    "IsSubstrateContested": false
   },
   {
    "RulebookFieldId": "Roles.CurrentAssignment",
    "TargetTable": "Roles",
    "FieldName": "CurrentAssignment",
    "FieldType": "raw",
    "Datatype": "string",
    "Formula": null,
    "InventedForQuestion": null,
    "SemanticTypeIri": "urn:effortless:pko-extension#RulebookField",
    "Name": "Roles.CurrentAssignment",
    "IsDerived": false,
    "IsWitness": false,
    "DisagreeingSubstrateCount": 0.0,
    "IsSubstrateContested": false
   },
   {
    "RulebookFieldId": "Roles.CurrentAssignmentValidFrom",
    "TargetTable": "Roles",
    "FieldName": "CurrentAssignmentValidFrom",
    "FieldType": "lookup",
    "Datatype": "datetime",
    "Formula": "=INDEX(RoleAssignments!{{ValidFrom}}, MATCH({{CurrentAssignment}}, RoleAssignments!{{RoleAssignmentId}}, 0))",
    "InventedForQuestion": "q-variance-ai-knowledge-currency",
    "SemanticTypeIri": "urn:effortless:pko-extension#RulebookField",
    "Name": "Roles.CurrentAssignmentValidFrom",
    "IsDerived": true,
    "IsWitness": true,
    "DisagreeingSubstrateCount": 0.0,
    "IsSubstrateContested": false
   },
   {
    "RulebookFieldId": "Roles.IsNonHumanHeld",
    "TargetTable": "Roles",
    "FieldName": "IsNonHumanHeld",
    "FieldType": "calculated",
    "Datatype": "boolean",
    "Formula": "=NOT({{CurrentAgentKind}} = \"Human\")",
    "InventedForQuestion": "q-policy-ai-no-role-assignment",
    "SemanticTypeIri": "urn:effortless:pko-extension#RulebookField",
    "Name": "Roles.IsNonHumanHeld",
    "IsDerived": true,
    "IsWitness": true,
    "DisagreeingSubstrateCount": 0.0,
    "IsSubstrateContested": false
   },
   {
    "RulebookFieldId": "Roles.IsUngovernedNonHumanRole",
    "TargetTable": "Roles",
    "FieldName": "IsUngovernedNonHumanRole",
    "FieldType": "calculated",
    "Datatype": "boolean",
    "Formula": "=AND({{IsNonHumanHeld}}, {{HasNoCurrentHolder}})",
    "InventedForQuestion": "q-policy-ai-no-role-assignment",
    "SemanticTypeIri": "urn:effortless:pko-extension#RulebookField",
    "Name": "Roles.IsUngovernedNonHumanRole",
    "IsDerived": true,
    "IsWitness": true,
    "DisagreeingSubstrateCount": 0.0,
    "IsSubstrateContested": false
   },
   {
    "RulebookFieldId": "Roles.DepartedAssignmentCount",
    "TargetTable": "Roles",
    "FieldName": "DepartedAssignmentCount",
    "FieldType": "aggregation",
    "Datatype": "number",
    "Formula": "=COUNTIFS(RoleAssignments!{{DepartedRoleKey}}, {{RoleId}})",
    "InventedForQuestion": "q2-hr-departed-holder-left-claims-behind",
    "SemanticTypeIri": "urn:effortless:pko-extension#RulebookField",
    "Name": "Roles.DepartedAssignmentCount",
    "IsDerived": true,
    "IsWitness": true,
    "DisagreeingSubstrateCount": 0.0,
    "IsSubstrateContested": false
   },
   {
    "RulebookFieldId": "Roles.HasLostAHolder",
    "TargetTable": "Roles",
    "FieldName": "HasLostAHolder",
    "FieldType": "calculated",
    "Datatype": "boolean",
    "Formula": "={{DepartedAssignmentCount}} &gt; 0",
    "InventedForQuestion": "q2-hr-departed-holder-left-claims-behind",
    "SemanticTypeIri": "urn:effortless:pko-extension#RulebookField",
    "Name": "Roles.HasLostAHolder",
    "IsDerived": true,
    "IsWitness": true,
    "DisagreeingSubstrateCount": 0.0,
    "IsSubstrateContested": false
   },
   {
    "RulebookFieldId": "Roles.IsVacatedRole",
    "TargetTable": "Roles",
    "FieldName": "IsVacatedRole",
    "FieldType": "calculated",
    "Datatype": "boolean",
    "Formula": "=AND({{HasLostAHolder}}, {{HasNoCurrentHolder}})",
    "InventedForQuestion": "q2-hr-departed-holder-left-claims-behind",
    "SemanticTypeIri": "urn:effortless:pko-extension#RulebookField",
    "Name": "Roles.IsVacatedRole",
    "IsDerived": true,
    "IsWitness": true,
    "DisagreeingSubstrateCount": 0.0,
    "IsSubstrateContested": false
   },
   {
    "RulebookFieldId": "Roles.UngroundedBoundaryCount",
    "TargetTable": "Roles",
    "FieldName": "UngroundedBoundaryCount",
    "FieldType": "aggregation",
    "Datatype": "number",
    "Formula": "=COUNTIFS(AuthorityBoundaries!{{ConstrainedRoleAssignmentKey}}, {{RoleId}})",
    "InventedForQuestion": "q2-variance-boundary-rests-on-expired-knowledge",
    "SemanticTypeIri": "urn:effortless:pko-extension#RulebookField",
    "Name": "Roles.UngroundedBoundaryCount",
    "IsDerived": true,
    "IsWitness": true,
    "DisagreeingSubstrateCount": 0.0,
    "IsSubstrateContested": false
   },
   {
    "RulebookFieldId": "Roles.IsGovernedByLapsedAuthority",
    "TargetTable": "Roles",
    "FieldName": "IsGovernedByLapsedAuthority",
    "FieldType": "calculated",
    "Datatype": "boolean",
    "Formula": "=({{UngroundedBoundaryCount}} &gt; 0)",
    "InventedForQuestion": "q2-variance-boundary-rests-on-expired-knowledge",
    "SemanticTypeIri": "urn:effortless:pko-extension#RulebookField",
    "Name": "Roles.IsGovernedByLapsedAuthority",
    "IsDerived": true,
    "IsWitness": true,
    "DisagreeingSubstrateCount": 0.0,
    "IsSubstrateContested": false
   },
   {
    "RulebookFieldId": "Roles.UnescalatedRefusalCount",
    "TargetTable": "Roles",
    "FieldName": "UnescalatedRefusalCount",
    "FieldType": "aggregation",
    "Datatype": "number",
    "Formula": "=COUNTIFS(SendIntents!{{UnescalatedRefusalRoleKey}}, {{RoleId}})",
    "InventedForQuestion": "q2-publisher-every-refusal-leaves-a-record",
    "SemanticTypeIri": "urn:effortless:pko-extension#RulebookField",
    "Name": "Roles.UnescalatedRefusalCount",
    "IsDerived": true,
    "IsWitness": true,
    "DisagreeingSubstrateCount": 0.0,
    "IsSubstrateContested": false
   },
   {
    "RulebookFieldId": "Roles.UnauthorizedEnforcementAssignmentCount",
    "TargetTable": "Roles",
    "FieldName": "UnauthorizedEnforcementAssignmentCount",
    "FieldType": "aggregation",
    "Datatype": "number",
    "Formula": "=COUNTIFS(RoleAssignments!{{UnauthorizedEnforcementRoleKey}}, {{RoleId}})",
    "InventedForQuestion": "q2-publisher-my-own-authorization",
    "SemanticTypeIri": "urn:effortless:pko-extension#RulebookField",
    "Name": "Roles.UnauthorizedEnforcementAssignmentCount",
    "IsDerived": true,
    "IsWitness": true,
    "DisagreeingSubstrateCount": 0.0,
    "IsSubstrateContested": false
   },
   {
    "RulebookFieldId": "Roles.IsUngovernedEnforcementRole",
    "TargetTable": "Roles",
    "FieldName": "IsUngovernedEnforcementRole",
    "FieldType": "calculated",
    "Datatype": "boolean",
    "Formula": "=({{UnauthorizedEnforcementAssignmentCount}} &gt; 0)",
    "InventedForQuestion": "q2-publisher-my-own-authorization",
    "SemanticTypeIri": "urn:effortless:pko-extension#RulebookField",
    "Name": "Roles.IsUngovernedEnforcementRole",
    "IsDerived": true,
    "IsWitness": true,
    "DisagreeingSubstrateCount": 0.0,
    "IsSubstrateContested": false
   },
   {
    "RulebookFieldId": "Roles.SemanticTypeIri",
    "TargetTable": "Roles",
    "FieldName": "SemanticTypeIri",
    "FieldType": "raw",
    "Datatype": "string",
    "Formula": null,
    "InventedForQuestion": null,
    "SemanticTypeIri": "urn:effortless:pko-extension#RulebookField",
    "Name": "Roles.SemanticTypeIri",
    "IsDerived": false,
    "IsWitness": false,
    "DisagreeingSubstrateCount": 0.0,
    "IsSubstrateContested": false
   },
   {
    "RulebookFieldId": "RoleAssignments.RoleAssignmentId",
    "TargetTable": "RoleAssignments",
    "FieldName": "RoleAssignmentId",
    "FieldType": "raw",
    "Datatype": "string",
    "Formula": null,
    "InventedForQuestion": null,
    "SemanticTypeIri": "urn:effortless:pko-extension#RulebookField",
    "Name": "RoleAssignments.RoleAssignmentId",
    "IsDerived": false,
    "IsWitness": false,
    "DisagreeingSubstrateCount": 0.0,
    "IsSubstrateContested": false
   },
   {
    "RulebookFieldId": "RoleAssignments.Name",
    "TargetTable": "RoleAssignments",
    "FieldName": "Name",
    "FieldType": "calculated",
    "Datatype": "string",
    "Formula": "={{Role}} &amp; \" @ \" &amp; {{ValidFrom}}",
    "InventedForQuestion": null,
    "SemanticTypeIri": "urn:effortless:pko-extension#RulebookField",
    "Name": "RoleAssignments.Name",
    "IsDerived": true,
    "IsWitness": false,
    "DisagreeingSubstrateCount": 0.0,
    "IsSubstrateContested": false
   },
   {
    "RulebookFieldId": "RoleAssignments.Role",
    "TargetTable": "RoleAssignments",
    "FieldName": "Role",
    "FieldType": "relationship",
    "Datatype": "string",
    "Formula": null,
    "InventedForQuestion": null,
    "SemanticTypeIri": "urn:effortless:pko-extension#RulebookField",
    "Name": "RoleAssignments.Role",
    "IsDerived": false,
    "IsWitness": false,
    "DisagreeingSubstrateCount": 0.0,
    "IsSubstrateContested": false
   },
   {
    "RulebookFieldId": "RoleAssignments.Agent",
    "TargetTable": "RoleAssignments",
    "FieldName": "Agent",
    "FieldType": "relationship",
    "Datatype": "string",
    "Formula": null,
    "InventedForQuestion": null,
    "SemanticTypeIri": "urn:effortless:pko-extension#RulebookField",
    "Name": "RoleAssignments.Agent",
    "IsDerived": false,
    "IsWitness": false,
    "DisagreeingSubstrateCount": 0.0,
    "IsSubstrateContested": false
   },
   {
    "RulebookFieldId": "RoleAssignments.ValidFrom",
    "TargetTable": "RoleAssignments",
    "FieldName": "ValidFrom",
    "FieldType": "raw",
    "Datatype": "datetime",
    "Formula": null,
    "InventedForQuestion": null,
    "SemanticTypeIri": "urn:effortless:pko-extension#RulebookField",
    "Name": "RoleAssignments.ValidFrom",
    "IsDerived": false,
    "IsWitness": false,
    "DisagreeingSubstrateCount": 0.0,
    "IsSubstrateContested": false
   },
   {
    "RulebookFieldId": "RoleAssignments.ValidTo",
    "TargetTable": "RoleAssignments",
    "FieldName": "ValidTo",
    "FieldType": "raw",
    "Datatype": "datetime",
    "Formula": null,
    "InventedForQuestion": null,
    "SemanticTypeIri": "urn:effortless:pko-extension#RulebookField",
    "Name": "RoleAssignments.ValidTo",
    "IsDerived": false,
    "IsWitness": false,
    "DisagreeingSubstrateCount": 0.0,
    "IsSubstrateContested": false
   },
   {
    "RulebookFieldId": "RoleAssignments.Reason",
    "TargetTable": "RoleAssignments",
    "FieldName": "Reason",
    "FieldType": "raw",
    "Datatype": "string",
    "Formula": null,
    "InventedForQuestion": null,
    "SemanticTypeIri": "urn:effortless:pko-extension#RulebookField",
    "Name": "RoleAssignments.Reason",
    "IsDerived": false,
    "IsWitness": false,
    "DisagreeingSubstrateCount": 0.0,
    "IsSubstrateContested": false
   },
   {
    "RulebookFieldId": "RoleAssignments.Status",
    "TargetTable": "RoleAssignments",
    "FieldName": "Status",
    "FieldType": "raw",
    "Datatype": "string",
    "Formula": null,
    "InventedForQuestion": null,
    "SemanticTypeIri": "urn:effortless:pko-extension#RulebookField",
    "Name": "RoleAssignments.Status",
    "IsDerived": false,
    "IsWitness": false,
    "DisagreeingSubstrateCount": 0.0,
    "IsSubstrateContested": false
   },
   {
    "RulebookFieldId": "RoleAssignments.EvaluationContext",
    "TargetTable": "RoleAssignments",
    "FieldName": "EvaluationContext",
    "FieldType": "relationship",
    "Datatype": "string",
    "Formula": null,
    "InventedForQuestion": null,
    "SemanticTypeIri": "urn:effortless:pko-extension#RulebookField",
    "Name": "RoleAssignments.EvaluationContext",
    "IsDerived": false,
    "IsWitness": false,
    "DisagreeingSubstrateCount": 0.0,
    "IsSubstrateContested": false
   },
   {
    "RulebookFieldId": "RoleAssignments.AsOfInstant",
    "TargetTable": "RoleAssignments",
    "FieldName": "AsOfInstant",
    "FieldType": "lookup",
    "Datatype": "datetime",
    "Formula": "=INDEX(EvaluationContexts!{{AsOfInstant}}, MATCH({{EvaluationContext}}, EvaluationContexts!{{EvaluationContextId}}, 0))",
    "InventedForQuestion": null,
    "SemanticTypeIri": "urn:effortless:pko-extension#RulebookField",
    "Name": "RoleAssignments.AsOfInstant",
    "IsDerived": true,
    "IsWitness": false,
    "DisagreeingSubstrateCount": 0.0,
    "IsSubstrateContested": false
   },
   {
    "RulebookFieldId": "RoleAssignments.IsCurrent",
    "TargetTable": "RoleAssignments",
    "FieldName": "IsCurrent",
    "FieldType": "calculated",
    "Datatype": "boolean",
    "Formula": "=AND({{ValidFrom}} &lt;= {{AsOfInstant}}, OR({{ValidTo}} = \"\", {{ValidTo}} &gt; {{AsOfInstant}}))",
    "InventedForQuestion": null,
    "SemanticTypeIri": "urn:effortless:pko-extension#RulebookField",
    "Name": "RoleAssignments.IsCurrent",
    "IsDerived": true,
    "IsWitness": false,
    "DisagreeingSubstrateCount": 0.0,
    "IsSubstrateContested": false
   },
   {
    "RulebookFieldId": "RoleAssignments.CurrentAgentKey",
    "TargetTable": "RoleAssignments",
    "FieldName": "CurrentAgentKey",
    "FieldType": "calculated",
    "Datatype": "string",
    "Formula": "=IF({{IsCurrent}}, {{Agent}}, \"\")",
    "InventedForQuestion": null,
    "SemanticTypeIri": "urn:effortless:pko-extension#RulebookField",
    "Name": "RoleAssignments.CurrentAgentKey",
    "IsDerived": true,
    "IsWitness": false,
    "DisagreeingSubstrateCount": 0.0,
    "IsSubstrateContested": false
   },
   {
    "RulebookFieldId": "RoleAssignments.IsCurrentlyValid",
    "TargetTable": "RoleAssignments",
    "FieldName": "IsCurrentlyValid",
    "FieldType": "calculated",
    "Datatype": "boolean",
    "Formula": "=AND({{Status}} = \"Active\", OR({{ValidTo}} = \"\", {{ValidTo}} &gt; {{AsOfInstant}}))",
    "InventedForQuestion": "q-controller-approval-authority-valid",
    "SemanticTypeIri": "urn:effortless:pko-extension#RulebookField",
    "Name": "RoleAssignments.IsCurrentlyValid",
    "IsDerived": true,
    "IsWitness": true,
    "DisagreeingSubstrateCount": 0.0,
    "IsSubstrateContested": false
   },
   {
    "RulebookFieldId": "RoleAssignments.AgentRoleKey",
    "TargetTable": "RoleAssignments",
    "FieldName": "AgentRoleKey",
    "FieldType": "calculated",
    "Datatype": "string",
    "Formula": "=IF({{IsCurrentlyValid}}, {{Agent}} &amp; \"|\" &amp; {{Role}}, \"\")",
    "InventedForQuestion": "q-controller-approval-authority-valid",
    "SemanticTypeIri": "urn:effortless:pko-extension#RulebookField",
    "Name": "RoleAssignments.AgentRoleKey",
    "IsDerived": true,
    "IsWitness": true,
    "DisagreeingSubstrateCount": 0.0,
    "IsSubstrateContested": false
   },
   {
    "RulebookFieldId": "RoleAssignments.HasDeparted",
    "TargetTable": "RoleAssignments",
    "FieldName": "HasDeparted",
    "FieldType": "calculated",
    "Datatype": "boolean",
    "Formula": "=AND({{ValidTo}} &lt;&gt; \"\", {{ValidTo}} &lt;= {{AsOfInstant}})",
    "InventedForQuestion": "q-authority-orphaned-provenance",
    "SemanticTypeIri": "urn:effortless:pko-extension#RulebookField",
    "Name": "RoleAssignments.HasDeparted",
    "IsDerived": true,
    "IsWitness": true,
    "DisagreeingSubstrateCount": 0.0,
    "IsSubstrateContested": false
   },
   {
    "RulebookFieldId": "RoleAssignments.CoversNow",
    "TargetTable": "RoleAssignments",
    "FieldName": "CoversNow",
    "FieldType": "calculated",
    "Datatype": "boolean",
    "Formula": "=AND({{Status}} = \"Active\", {{ValidFrom}} &lt;= {{AsOfInstant}}, OR({{ValidTo}} = \"\", {{ValidTo}} &gt; {{AsOfInstant}}))",
    "InventedForQuestion": "q-close-auto-authority-current",
    "SemanticTypeIri": "urn:effortless:pko-extension#RulebookField",
    "Name": "RoleAssignments.CoversNow",
    "IsDerived": true,
    "IsWitness": true,
    "DisagreeingSubstrateCount": 0.0,
    "IsSubstrateContested": false
   },
   {
    "RulebookFieldId": "RoleAssignments.RoleWhenCovering",
    "TargetTable": "RoleAssignments",
    "FieldName": "RoleWhenCovering",
    "FieldType": "calculated",
    "Datatype": "string",
    "Formula": "=IF({{CoversNow}}, {{Role}}, \"\")",
    "InventedForQuestion": "q-close-auto-authority-current",
    "SemanticTypeIri": "urn:effortless:pko-extension#RulebookField",
    "Name": "RoleAssignments.RoleWhenCovering",
    "IsDerived": true,
    "IsWitness": true,
    "DisagreeingSubstrateCount": 0.0,
    "IsSubstrateContested": false
   },
   {
    "RulebookFieldId": "RoleAssignments.AgentKind",
    "TargetTable": "RoleAssignments",
    "FieldName": "AgentKind",
    "FieldType": "lookup",
    "Datatype": "string",
    "Formula": "=INDEX(Agents!{{AgentKind}}, MATCH({{Agent}}, Agents!{{AgentId}}, 0))",
    "InventedForQuestion": "q-variance-ai-authority-provenance",
    "SemanticTypeIri": "urn:effortless:pko-extension#RulebookField",
    "Name": "RoleAssignments.AgentKind",
    "IsDerived": true,
    "IsWitness": true,
    "DisagreeingSubstrateCount": 0.0,
    "IsSubstrateContested": false
   },
   {
    "RulebookFieldId": "RoleAssignments.IsNonHumanAssignment",
    "TargetTable": "RoleAssignments",
    "FieldName": "IsNonHumanAssignment",
    "FieldType": "calculated",
    "Datatype": "boolean",
    "Formula": "=NOT({{AgentKind}} = \"Human\")",
    "InventedForQuestion": "q-variance-ai-authority-provenance",
    "SemanticTypeIri": "urn:effortless:pko-extension#RulebookField",
    "Name": "RoleAssignments.IsNonHumanAssignment",
    "IsDerived": true,
    "IsWitness": true,
    "DisagreeingSubstrateCount": 0.0,
    "IsSubstrateContested": false
   },
   {
    "RulebookFieldId": "RoleAssignments.SupersedesAssignment",
    "TargetTable": "RoleAssignments",
    "FieldName": "SupersedesAssignment",
    "FieldType": "relationship",
    "Datatype": "string",
    "Formula": null,
    "InventedForQuestion": "q-variance-ai-authority-provenance",
    "SemanticTypeIri": "urn:effortless:pko-extension#RulebookField",
    "Name": "RoleAssignments.SupersedesAssignment",
    "IsDerived": false,
    "IsWitness": true,
    "DisagreeingSubstrateCount": 0.0,
    "IsSubstrateContested": false
   },
   {
    "RulebookFieldId": "RoleAssignments.PredecessorAgentKind",
    "TargetTable": "RoleAssignments",
    "FieldName": "PredecessorAgentKind",
    "FieldType": "lookup",
    "Datatype": "string",
    "Formula": "=INDEX(RoleAssignments!{{AgentKind}}, MATCH({{SupersedesAssignment}}, RoleAssignments!{{RoleAssignmentId}}, 0))",
    "InventedForQuestion": "q-variance-ai-authority-provenance",
    "SemanticTypeIri": "urn:effortless:pko-extension#RulebookField",
    "Name": "RoleAssignments.PredecessorAgentKind",
    "IsDerived": true,
    "IsWitness": true,
    "DisagreeingSubstrateCount": 1.0,
    "IsSubstrateContested": true
   },
   {
    "RulebookFieldId": "RoleAssignments.IsHumanToNonHumanHandover",
    "TargetTable": "RoleAssignments",
    "FieldName": "IsHumanToNonHumanHandover",
    "FieldType": "calculated",
    "Datatype": "boolean",
    "Formula": "=AND({{PredecessorAgentKind}} = \"Human\", {{IsNonHumanAssignment}})",
    "InventedForQuestion": "q-variance-ai-authority-provenance",
    "SemanticTypeIri": "urn:effortless:pko-extension#RulebookField",
    "Name": "RoleAssignments.IsHumanToNonHumanHandover",
    "IsDerived": true,
    "IsWitness": true,
    "DisagreeingSubstrateCount": 1.0,
    "IsSubstrateContested": true
   },
   {
    "RulebookFieldId": "RoleAssignments.ApprovingAuthorityRole",
    "TargetTable": "RoleAssignments",
    "FieldName": "ApprovingAuthorityRole",
    "FieldType": "relationship",
    "Datatype": "string",
    "Formula": null,
    "InventedForQuestion": "q-variance-ai-authority-provenance",
    "SemanticTypeIri": "urn:effortless:pko-extension#RulebookField",
    "Name": "RoleAssignments.ApprovingAuthorityRole",
    "IsDerived": false,
    "IsWitness": true,
    "DisagreeingSubstrateCount": 0.0,
    "IsSubstrateContested": false
   },
   {
    "RulebookFieldId": "RoleAssignments.AuthorizingChangeRequest",
    "TargetTable": "RoleAssignments",
    "FieldName": "AuthorizingChangeRequest",
    "FieldType": "relationship",
    "Datatype": "string",
    "Formula": null,
    "InventedForQuestion": "q-variance-ai-authority-provenance",
    "SemanticTypeIri": "urn:effortless:pko-extension#RulebookField",
    "Name": "RoleAssignments.AuthorizingChangeRequest",
    "IsDerived": false,
    "IsWitness": true,
    "DisagreeingSubstrateCount": 0.0,
    "IsSubstrateContested": false
   },
   {
    "RulebookFieldId": "RoleAssignments.IsUnauthorizedNonHumanAssignment",
    "TargetTable": "RoleAssignments",
    "FieldName": "IsUnauthorizedNonHumanAssignment",
    "FieldType": "calculated",
    "Datatype": "boolean",
    "Formula": "=AND({{IsNonHumanAssignment}}, NOT({{HasApprovingAuthority}}))",
    "InventedForQuestion": "q-variance-ai-authority-provenance",
    "SemanticTypeIri": "urn:effortless:pko-extension#RulebookField",
    "Name": "RoleAssignments.IsUnauthorizedNonHumanAssignment",
    "IsDerived": true,
    "IsWitness": true,
    "DisagreeingSubstrateCount": 0.0,
    "IsSubstrateContested": false
   },
   {
    "RulebookFieldId": "RoleAssignments.WasAuthorizedByChangeRequest",
    "TargetTable": "RoleAssignments",
    "FieldName": "WasAuthorizedByChangeRequest",
    "FieldType": "calculated",
    "Datatype": "boolean",
    "Formula": "=AND({{HasApprovingAuthority}}, {{AuthorizingChangeRequest}} &lt;&gt; \"\")",
    "InventedForQuestion": null,
    "SemanticTypeIri": "urn:effortless:pko-extension#RulebookField",
    "Name": "RoleAssignments.WasAuthorizedByChangeRequest",
    "IsDerived": true,
    "IsWitness": false,
    "DisagreeingSubstrateCount": 0.0,
    "IsSubstrateContested": false
   },
   {
    "RulebookFieldId": "RoleAssignments.DecisionCount",
    "TargetTable": "RoleAssignments",
    "FieldName": "DecisionCount",
    "FieldType": "aggregation",
    "Datatype": "number",
    "Formula": "=COUNTIFS(AgentDecisionRecords!{{RoleAssignmentWhenScored}}, {{RoleAssignmentId}})",
    "InventedForQuestion": "q-variance-ai-quality-vs-human-baseline",
    "SemanticTypeIri": "urn:effortless:pko-extension#RulebookField",
    "Name": "RoleAssignments.DecisionCount",
    "IsDerived": true,
    "IsWitness": true,
    "DisagreeingSubstrateCount": 0.0,
    "IsSubstrateContested": false
   },
   {
    "RulebookFieldId": "RoleAssignments.OverriddenDecisionCount",
    "TargetTable": "RoleAssignments",
    "FieldName": "OverriddenDecisionCount",
    "FieldType": "aggregation",
    "Datatype": "number",
    "Formula": "=COUNTIFS(AgentDecisionRecords!{{RoleAssignmentWhenOverridden}}, {{RoleAssignmentId}})",
    "InventedForQuestion": "q-variance-ai-quality-vs-human-baseline",
    "SemanticTypeIri": "urn:effortless:pko-extension#RulebookField",
    "Name": "RoleAssignments.OverriddenDecisionCount",
    "IsDerived": true,
    "IsWitness": true,
    "DisagreeingSubstrateCount": 0.0,
    "IsSubstrateContested": false
   },
   {
    "RulebookFieldId": "RoleAssignments.OverrideRatePercent",
    "TargetTable": "RoleAssignments",
    "FieldName": "OverrideRatePercent",
    "FieldType": "calculated",
    "Datatype": "number",
    "Formula": "=IF({{DecisionCount}} = 0, 0, ({{OverriddenDecisionCount}} * 100) / {{DecisionCount}})",
    "InventedForQuestion": "q-variance-ai-quality-vs-human-baseline",
    "SemanticTypeIri": "urn:effortless:pko-extension#RulebookField",
    "Name": "RoleAssignments.OverrideRatePercent",
    "IsDerived": true,
    "IsWitness": true,
    "DisagreeingSubstrateCount": 0.0,
    "IsSubstrateContested": false
   },
   {
    "RulebookFieldId": "RoleAssignments.PredecessorOverrideRatePercent",
    "TargetTable": "RoleAssignments",
    "FieldName": "PredecessorOverrideRatePercent",
    "FieldType": "lookup",
    "Datatype": "number",
    "Formula": "=INDEX(RoleAssignments!{{OverrideRatePercent}}, MATCH({{SupersedesAssignment}}, RoleAssignments!{{RoleAssignmentId}}, 0))",
    "InventedForQuestion": "q-variance-ai-quality-vs-human-baseline",
    "SemanticTypeIri": "urn:effortless:pko-extension#RulebookField",
    "Name": "RoleAssignments.PredecessorOverrideRatePercent",
    "IsDerived": true,
    "IsWitness": true,
    "DisagreeingSubstrateCount": 0.0,
    "IsSubstrateContested": false
   },
   {
    "RulebookFieldId": "RoleAssignments.QualityRegressedVsPredecessor",
    "TargetTable": "RoleAssignments",
    "FieldName": "QualityRegressedVsPredecessor",
    "FieldType": "calculated",
    "Datatype": "boolean",
    "Formula": "=AND({{SupersedesAssignment}} &lt;&gt; \"\", {{OverrideRatePercent}} &gt; {{PredecessorOverrideRatePercent}})",
    "InventedForQuestion": "q-variance-ai-quality-vs-human-baseline",
    "SemanticTypeIri": "urn:effortless:pko-extension#RulebookField",
    "Name": "RoleAssignments.QualityRegressedVsPredecessor",
    "IsDerived": true,
    "IsWitness": true,
    "DisagreeingSubstrateCount": 0.0,
    "IsSubstrateContested": false
   },
   {
    "RulebookFieldId": "RoleAssignments.DepartedRoleKey",
    "TargetTable": "RoleAssignments",
    "FieldName": "DepartedRoleKey",
    "FieldType": "calculated",
    "Datatype": "string",
    "Formula": "=IF({{HasDeparted}}, {{Role}}, \"\")",
    "InventedForQuestion": "q2-hr-departed-holder-left-claims-behind",
    "SemanticTypeIri": "urn:effortless:pko-extension#RulebookField",
    "Name": "RoleAssignments.DepartedRoleKey",
    "IsDerived": true,
    "IsWitness": true,
    "DisagreeingSubstrateCount": 0.0,
    "IsSubstrateContested": false
   },
   {
    "RulebookFieldId": "RoleAssignments.MinimumDecisionsForComparison",
    "TargetTable": "RoleAssignments",
    "FieldName": "MinimumDecisionsForComparison",
    "FieldType": "raw",
    "Datatype": "integer",
    "Formula": null,
    "InventedForQuestion": "q2-variance-comparison-is-statistically-empty",
    "SemanticTypeIri": "urn:effortless:pko-extension#RulebookField",
    "Name": "RoleAssignments.MinimumDecisionsForComparison",
    "IsDerived": false,
    "IsWitness": true,
    "DisagreeingSubstrateCount": 0.0,
    "IsSubstrateContested": false
   },
   {
    "RulebookFieldId": "RoleAssignments.PredecessorDecisionCount",
    "TargetTable": "RoleAssignments",
    "FieldName": "PredecessorDecisionCount",
    "FieldType": "lookup",
    "Datatype": "number",
    "Formula": "=INDEX(RoleAssignments!{{DecisionCount}}, MATCH({{SupersedesAssignment}}, RoleAssignments!{{RoleAssignmentId}}, 0))",
    "InventedForQuestion": "q2-variance-comparison-is-statistically-empty",
    "SemanticTypeIri": "urn:effortless:pko-extension#RulebookField",
    "Name": "RoleAssignments.PredecessorDecisionCount",
    "IsDerived": true,
    "IsWitness": true,
    "DisagreeingSubstrateCount": 0.0,
    "IsSubstrateContested": false
   },
   {
    "RulebookFieldId": "RoleAssignments.HasSufficientSample",
    "TargetTable": "RoleAssignments",
    "FieldName": "HasSufficientSample",
    "FieldType": "calculated",
    "Datatype": "boolean",
    "Formula": "={{DecisionCount}} &gt;= {{MinimumDecisionsForComparison}}",
    "InventedForQuestion": "q2-variance-comparison-is-statistically-empty",
    "SemanticTypeIri": "urn:effortless:pko-extension#RulebookField",
    "Name": "RoleAssignments.HasSufficientSample",
    "IsDerived": true,
    "IsWitness": true,
    "DisagreeingSubstrateCount": 0.0,
    "IsSubstrateContested": false
   },
   {
    "RulebookFieldId": "RoleAssignments.PredecessorHasSufficientSample",
    "TargetTable": "RoleAssignments",
    "FieldName": "PredecessorHasSufficientSample",
    "FieldType": "calculated",
    "Datatype": "boolean",
    "Formula": "={{PredecessorDecisionCount}} &gt;= {{MinimumDecisionsForComparison}}",
    "InventedForQuestion": "q2-variance-comparison-is-statistically-empty",
    "SemanticTypeIri": "urn:effortless:pko-extension#RulebookField",
    "Name": "RoleAssignments.PredecessorHasSufficientSample",
    "IsDerived": true,
    "IsWitness": true,
    "DisagreeingSubstrateCount": 0.0,
    "IsSubstrateContested": false
   },
   {
    "RulebookFieldId": "RoleAssignments.ComparisonIsEvidentiallySound",
    "TargetTable": "RoleAssignments",
    "FieldName": "ComparisonIsEvidentiallySound",
    "FieldType": "calculated",
    "Datatype": "boolean",
    "Formula": "=AND({{HasSufficientSample}}, {{PredecessorHasSufficientSample}})",
    "InventedForQuestion": "q2-variance-comparison-is-statistically-empty",
    "SemanticTypeIri": "urn:effortless:pko-extension#RulebookField",
    "Name": "RoleAssignments.ComparisonIsEvidentiallySound",
    "IsDerived": true,
    "IsWitness": true,
    "DisagreeingSubstrateCount": 0.0,
    "IsSubstrateContested": false
   },
   {
    "RulebookFieldId": "RoleAssignments.SingleOverrideSwingPercent",
    "TargetTable": "RoleAssignments",
    "FieldName": "SingleOverrideSwingPercent",
    "FieldType": "calculated",
    "Datatype": "number",
    "Formula": "=IF({{DecisionCount}} &gt; 0, 100 / {{DecisionCount}}, 0)",
    "InventedForQuestion": "q2-variance-comparison-is-statistically-empty",
    "SemanticTypeIri": "urn:effortless:pko-extension#RulebookField",
    "Name": "RoleAssignments.SingleOverrideSwingPercent",
    "IsDerived": true,
    "IsWitness": true,
    "DisagreeingSubstrateCount": 0.0,
    "IsSubstrateContested": false
   },
   {
    "RulebookFieldId": "RoleAssignments.QualityVerdictIsUnsupported",
    "TargetTable": "RoleAssignments",
    "FieldName": "QualityVerdictIsUnsupported",
    "FieldType": "calculated",
    "Datatype": "boolean",
    "Formula": "=AND(NOT({{ComparisonIsEvidentiallySound}}), NOT({{QualityRegressedVsPredecessor}}))",
    "InventedForQuestion": "q2-variance-comparison-is-statistically-empty",
    "SemanticTypeIri": "urn:effortless:pko-extension#RulebookField",
    "Name": "RoleAssignments.QualityVerdictIsUnsupported",
    "IsDerived": true,
    "IsWitness": true,
    "DisagreeingSubstrateCount": 0.0,
    "IsSubstrateContested": false
   },
   {
    "RulebookFieldId": "RoleAssignments.IsUnmeasuredAutomationHandover",
    "TargetTable": "RoleAssignments",
    "FieldName": "IsUnmeasuredAutomationHandover",
    "FieldType": "calculated",
    "Datatype": "boolean",
    "Formula": "=AND({{IsHumanToNonHumanHandover}}, NOT({{ComparisonIsEvidentiallySound}}))",
    "InventedForQuestion": "q2-variance-comparison-is-statistically-empty",
    "SemanticTypeIri": "urn:effortless:pko-extension#RulebookField",
    "Name": "RoleAssignments.IsUnmeasuredAutomationHandover",
    "IsDerived": true,
    "IsWitness": true,
    "DisagreeingSubstrateCount": 0.0,
    "IsSubstrateContested": false
   },
   {
    "RulebookFieldId": "RoleAssignments.ErrorCorrectionCount",
    "TargetTable": "RoleAssignments",
    "FieldName": "ErrorCorrectionCount",
    "FieldType": "aggregation",
    "Datatype": "number",
    "Formula": "=COUNTIFS(AgentDecisionRecords!{{ErrorCorrectionRoleAssignmentKey}}, {{RoleAssignmentId}})",
    "InventedForQuestion": "q2-variance-override-signal-vs-noise",
    "SemanticTypeIri": "urn:effortless:pko-extension#RulebookField",
    "Name": "RoleAssignments.ErrorCorrectionCount",
    "IsDerived": true,
    "IsWitness": true,
    "DisagreeingSubstrateCount": 0.0,
    "IsSubstrateContested": false
   },
   {
    "RulebookFieldId": "RoleAssignments.ErrorRatePercent",
    "TargetTable": "RoleAssignments",
    "FieldName": "ErrorRatePercent",
    "FieldType": "calculated",
    "Datatype": "number",
    "Formula": "=IF({{DecisionCount}} &gt; 0, {{ErrorCorrectionCount}} * 100 / {{DecisionCount}}, 0)",
    "InventedForQuestion": "q2-variance-override-signal-vs-noise",
    "SemanticTypeIri": "urn:effortless:pko-extension#RulebookField",
    "Name": "RoleAssignments.ErrorRatePercent",
    "IsDerived": true,
    "IsWitness": true,
    "DisagreeingSubstr</t>
  </si>
  <si>
    <t xml:space="preserve">ateCount": 0.0,
    "IsSubstrateContested": false
   },
   {
    "RulebookFieldId": "RoleAssignments.AuthorizationDecidedAt",
    "TargetTable": "RoleAssignments",
    "FieldName": "AuthorizationDecidedAt",
    "FieldType": "raw",
    "Datatype": "datetime",
    "Formula": null,
    "InventedForQuestion": "q2-variance-handover-was-a-decision-somebody-made",
    "SemanticTypeIri": "urn:effortless:pko-extension#RulebookField",
    "Name": "RoleAssignments.AuthorizationDecidedAt",
    "IsDerived": false,
    "IsWitness": true,
    "DisagreeingSubstrateCount": 0.0,
    "IsSubstrateContested": false
   },
   {
    "RulebookFieldId": "RoleAssignments.AuthorizationReviewedAt",
    "TargetTable": "RoleAssignments",
    "FieldName": "AuthorizationReviewedAt",
    "FieldType": "raw",
    "Datatype": "datetime",
    "Formula": null,
    "InventedForQuestion": "q2-variance-handover-was-a-decision-somebody-made",
    "SemanticTypeIri": "urn:effortless:pko-extension#RulebookField",
    "Name": "RoleAssignments.AuthorizationReviewedAt",
    "IsDerived": false,
    "IsWitness": true,
    "DisagreeingSubstrateCount": 0.0,
    "IsSubstrateContested": false
   },
   {
    "RulebookFieldId": "RoleAssignments.AuthorizationReviewCadenceDays",
    "TargetTable": "RoleAssignments",
    "FieldName": "AuthorizationReviewCadenceDays",
    "FieldType": "raw",
    "Datatype": "integer",
    "Formula": null,
    "InventedForQuestion": "q2-variance-handover-was-a-decision-somebody-made",
    "SemanticTypeIri": "urn:effortless:pko-extension#RulebookField",
    "Name": "RoleAssignments.AuthorizationReviewCadenceDays",
    "IsDerived": false,
    "IsWitness": true,
    "DisagreeingSubstrateCount": 0.0,
    "IsSubstrateContested": false
   },
   {
    "RulebookFieldId": "RoleAssignments.HasDatedAuthorization",
    "TargetTable": "RoleAssignments",
    "FieldName": "HasDatedAuthorization",
    "FieldType": "calculated",
    "Datatype": "boolean",
    "Formula": "=AND({{ApprovingAuthorityRole}} &lt;&gt; \"\", {{AuthorizationDecidedAt}} &lt;&gt; \"\")",
    "InventedForQuestion": "q2-variance-handover-was-a-decision-somebody-made",
    "SemanticTypeIri": "urn:effortless:pko-extension#RulebookField",
    "Name": "RoleAssignments.HasDatedAuthorization",
    "IsDerived": true,
    "IsWitness": true,
    "DisagreeingSubstrateCount": 0.0,
    "IsSubstrateContested": false
   },
   {
    "RulebookFieldId": "RoleAssignments.DaysSinceAuthorizationReview",
    "TargetTable": "RoleAssignments",
    "FieldName": "DaysSinceAuthorizationReview",
    "FieldType": "calculated",
    "Datatype": "integer",
    "Formula": "=IF({{AuthorizationReviewedAt}} &lt;&gt; \"\", DATETIME_DIFF({{AsOfInstant}}, {{AuthorizationReviewedAt}}, \"days\"), DATETIME_DIFF({{AsOfInstant}}, {{ValidFrom}}, \"days\"))",
    "InventedForQuestion": "q2-variance-handover-was-a-decision-somebody-made",
    "SemanticTypeIri": "urn:effortless:pko-extension#RulebookField",
    "Name": "RoleAssignments.DaysSinceAuthorizationReview",
    "IsDerived": true,
    "IsWitness": true,
    "DisagreeingSubstrateCount": 0.0,
    "IsSubstrateContested": false
   },
   {
    "RulebookFieldId": "RoleAssignments.AuthorizationIsOverdueForReview",
    "TargetTable": "RoleAssignments",
    "FieldName": "AuthorizationIsOverdueForReview",
    "FieldType": "calculated",
    "Datatype": "boolean",
    "Formula": "=AND({{AuthorizationReviewCadenceDays}} &gt; 0, {{DaysSinceAuthorizationReview}} &gt; {{AuthorizationReviewCadenceDays}})",
    "InventedForQuestion": "q2-variance-handover-was-a-decision-somebody-made",
    "SemanticTypeIri": "urn:effortless:pko-extension#RulebookField",
    "Name": "RoleAssignments.AuthorizationIsOverdueForReview",
    "IsDerived": true,
    "IsWitness": true,
    "DisagreeingSubstrateCount": 0.0,
    "IsSubstrateContested": false
   },
   {
    "RulebookFieldId": "RoleAssignments.IsStandingUnreviewedAutomation",
    "TargetTable": "RoleAssignments",
    "FieldName": "IsStandingUnreviewedAutomation",
    "FieldType": "calculated",
    "Datatype": "boolean",
    "Formula": "=AND({{CoversNow}}, AND({{IsNonHumanAssignment}}, {{AuthorizationIsOverdueForReview}}))",
    "InventedForQuestion": "q2-variance-handover-was-a-decision-somebody-made",
    "SemanticTypeIri": "urn:effortless:pko-extension#RulebookField",
    "Name": "RoleAssignments.IsStandingUnreviewedAutomation",
    "IsDerived": true,
    "IsWitness": true,
    "DisagreeingSubstrateCount": 0.0,
    "IsSubstrateContested": false
   },
   {
    "RulebookFieldId": "RoleAssignments.IsUnconditionedAutomationHandover",
    "TargetTable": "RoleAssignments",
    "FieldName": "IsUnconditionedAutomationHandover",
    "FieldType": "calculated",
    "Datatype": "boolean",
    "Formula": "=AND({{IsHumanToNonHumanHandover}}, {{AuthorizationReviewCadenceDays}} = 0)",
    "InventedForQuestion": "q2-variance-handover-was-a-decision-somebody-made",
    "SemanticTypeIri": "urn:effortless:pko-extension#RulebookField",
    "Name": "RoleAssignments.IsUnconditionedAutomationHandover",
    "IsDerived": true,
    "IsWitness": true,
    "DisagreeingSubstrateCount": 1.0,
    "IsSubstrateContested": true
   },
   {
    "RulebookFieldId": "RoleAssignments.MaxTolerableErrorRatePercent",
    "TargetTable": "RoleAssignments",
    "FieldName": "MaxTolerableErrorRatePercent",
    "FieldType": "raw",
    "Datatype": "integer",
    "Formula": null,
    "InventedForQuestion": "q2-variance-what-would-make-me-stop",
    "SemanticTypeIri": "urn:effortless:pko-extension#RulebookField",
    "Name": "RoleAssignments.MaxTolerableErrorRatePercent",
    "IsDerived": false,
    "IsWitness": true,
    "DisagreeingSubstrateCount": 0.0,
    "IsSubstrateContested": false
   },
   {
    "RulebookFieldId": "RoleAssignments.ExceedsTolerableErrorRate",
    "TargetTable": "RoleAssignments",
    "FieldName": "ExceedsTolerableErrorRate",
    "FieldType": "calculated",
    "Datatype": "boolean",
    "Formula": "=AND({{MaxTolerableErrorRatePercent}} &gt; 0, {{ErrorRatePercent}} &gt;= {{MaxTolerableErrorRatePercent}})",
    "InventedForQuestion": "q2-variance-what-would-make-me-stop",
    "SemanticTypeIri": "urn:effortless:pko-extension#RulebookField",
    "Name": "RoleAssignments.ExceedsTolerableErrorRate",
    "IsDerived": true,
    "IsWitness": true,
    "DisagreeingSubstrateCount": 0.0,
    "IsSubstrateContested": false
   },
   {
    "RulebookFieldId": "RoleAssignments.BoundaryViolationCountForAssignment",
    "TargetTable": "RoleAssignments",
    "FieldName": "BoundaryViolationCountForAssignment",
    "FieldType": "aggregation",
    "Datatype": "number",
    "Formula": "=COUNTIFS(AgentDecisionRecords!{{BoundaryViolationRoleAssignmentKey}}, {{RoleAssignmentId}})",
    "InventedForQuestion": "q2-variance-what-would-make-me-stop",
    "SemanticTypeIri": "urn:effortless:pko-extension#RulebookField",
    "Name": "RoleAssignments.BoundaryViolationCountForAssignment",
    "IsDerived": true,
    "IsWitness": true,
    "DisagreeingSubstrateCount": 0.0,
    "IsSubstrateContested": false
   },
   {
    "RulebookFieldId": "RoleAssignments.HasAnyBoundaryViolation",
    "TargetTable": "RoleAssignments",
    "FieldName": "HasAnyBoundaryViolation",
    "FieldType": "calculated",
    "Datatype": "boolean",
    "Formula": "=({{BoundaryViolationCountForAssignment}} &gt; 0)",
    "InventedForQuestion": "q2-variance-what-would-make-me-stop",
    "SemanticTypeIri": "urn:effortless:pko-extension#RulebookField",
    "Name": "RoleAssignments.HasAnyBoundaryViolation",
    "IsDerived": true,
    "IsWitness": true,
    "DisagreeingSubstrateCount": 0.0,
    "IsSubstrateContested": false
   },
   {
    "RulebookFieldId": "RoleAssignments.HasUngroundedGoverningBoundary",
    "TargetTable": "RoleAssignments",
    "FieldName": "HasUngroundedGoverningBoundary",
    "FieldType": "lookup",
    "Datatype": "boolean",
    "Formula": "=INDEX(Roles!{{IsGovernedByLapsedAuthority}}, MATCH({{Role}}, Roles!{{RoleId}}, 0))",
    "InventedForQuestion": "q2-variance-what-would-make-me-stop",
    "SemanticTypeIri": "urn:effortless:pko-extension#RulebookField",
    "Name": "RoleAssignments.HasUngroundedGoverningBoundary",
    "IsDerived": true,
    "IsWitness": true,
    "DisagreeingSubstrateCount": 0.0,
    "IsSubstrateContested": false
   },
   {
    "RulebookFieldId": "RoleAssignments.SuspensionConditionMet",
    "TargetTable": "RoleAssignments",
    "FieldName": "SuspensionConditionMet",
    "FieldType": "calculated",
    "Datatype": "boolean",
    "Formula": "=OR({{ExceedsTolerableErrorRate}}, OR({{HasAnyBoundaryViolation}}, {{HasUngroundedGoverningBoundary}}))",
    "InventedForQuestion": "q2-variance-what-would-make-me-stop",
    "SemanticTypeIri": "urn:effortless:pko-extension#RulebookField",
    "Name": "RoleAssignments.SuspensionConditionMet",
    "IsDerived": true,
    "IsWitness": true,
    "DisagreeingSubstrateCount": 0.0,
    "IsSubstrateContested": false
   },
   {
    "RulebookFieldId": "RoleAssignments.IsOperatingUnderMetSuspensionCondition",
    "TargetTable": "RoleAssignments",
    "FieldName": "IsOperatingUnderMetSuspensionCondition",
    "FieldType": "calculated",
    "Datatype": "boolean",
    "Formula": "=AND({{SuspensionConditionMet}}, AND({{CoversNow}}, {{IsNonHumanAssignment}}))",
    "InventedForQuestion": "q2-variance-what-would-make-me-stop",
    "SemanticTypeIri": "urn:effortless:pko-extension#RulebookField",
    "Name": "RoleAssignments.IsOperatingUnderMetSuspensionCondition",
    "IsDerived": true,
    "IsWitness": true,
    "DisagreeingSubstrateCount": 0.0,
    "IsSubstrateContested": false
   },
   {
    "RulebookFieldId": "RoleAssignments.HasDeclaredSuspensionCondition",
    "TargetTable": "RoleAssignments",
    "FieldName": "HasDeclaredSuspensionCondition",
    "FieldType": "calculated",
    "Datatype": "boolean",
    "Formula": "={{MaxTolerableErrorRatePercent}} &gt; 0",
    "InventedForQuestion": "q2-variance-what-would-make-me-stop",
    "SemanticTypeIri": "urn:effortless:pko-extension#RulebookField",
    "Name": "RoleAssignments.HasDeclaredSuspensionCondition",
    "IsDerived": true,
    "IsWitness": true,
    "DisagreeingSubstrateCount": 0.0,
    "IsSubstrateContested": false
   },
   {
    "RulebookFieldId": "RoleAssignments.HasApprovingAuthority",
    "TargetTable": "RoleAssignments",
    "FieldName": "HasApprovingAuthority",
    "FieldType": "calculated",
    "Datatype": "boolean",
    "Formula": "={{ApprovingAuthorityRole}} &lt;&gt; \"\"",
    "InventedForQuestion": "q2-publisher-my-own-authorization",
    "SemanticTypeIri": "urn:effortless:pko-extension#RulebookField",
    "Name": "RoleAssignments.HasApprovingAuthority",
    "IsDerived": true,
    "IsWitness": true,
    "DisagreeingSubstrateCount": 0.0,
    "IsSubstrateContested": false
   },
   {
    "RulebookFieldId": "RoleAssignments.HasAuthorizingChangeRequest",
    "TargetTable": "RoleAssignments",
    "FieldName": "HasAuthorizingChangeRequest",
    "FieldType": "calculated",
    "Datatype": "boolean",
    "Formula": "={{AuthorizingChangeRequest}} &lt;&gt; \"\"",
    "InventedForQuestion": "q2-publisher-my-own-authorization",
    "SemanticTypeIri": "urn:effortless:pko-extension#RulebookField",
    "Name": "RoleAssignments.HasAuthorizingChangeRequest",
    "IsDerived": true,
    "IsWitness": true,
    "DisagreeingSubstrateCount": 0.0,
    "IsSubstrateContested": false
   },
   {
    "RulebookFieldId": "RoleAssignments.IsEnforcementRole",
    "TargetTable": "RoleAssignments",
    "FieldName": "IsEnforcementRole",
    "FieldType": "raw",
    "Datatype": "boolean",
    "Formula": null,
    "InventedForQuestion": "q2-publisher-my-own-authorization",
    "SemanticTypeIri": "urn:effortless:pko-extension#RulebookField",
    "Name": "RoleAssignments.IsEnforcementRole",
    "IsDerived": false,
    "IsWitness": true,
    "DisagreeingSubstrateCount": 0.0,
    "IsSubstrateContested": false
   },
   {
    "RulebookFieldId": "RoleAssignments.IsUnauthorizedEnforcementAgent",
    "TargetTable": "RoleAssignments",
    "FieldName": "IsUnauthorizedEnforcementAgent",
    "FieldType": "calculated",
    "Datatype": "boolean",
    "Formula": "=AND({{IsEnforcementRole}}, {{IsUnauthorizedNonHumanAssignment}})",
    "InventedForQuestion": "q2-publisher-my-own-authorization",
    "SemanticTypeIri": "urn:effortless:pko-extension#RulebookField",
    "Name": "RoleAssignments.IsUnauthorizedEnforcementAgent",
    "IsDerived": true,
    "IsWitness": true,
    "DisagreeingSubstrateCount": 0.0,
    "IsSubstrateContested": false
   },
   {
    "RulebookFieldId": "RoleAssignments.GovernanceEvidenceCount",
    "TargetTable": "RoleAssignments",
    "FieldName": "GovernanceEvidenceCount",
    "FieldType": "calculated",
    "Datatype": "integer",
    "Formula": "=IF({{HasApprovingAuthority}}, 1, 0) + IF({{HasAuthorizingChangeRequest}}, 1, 0)",
    "InventedForQuestion": "q2-publisher-my-own-authorization",
    "SemanticTypeIri": "urn:effortless:pko-extension#RulebookField",
    "Name": "RoleAssignments.GovernanceEvidenceCount",
    "IsDerived": true,
    "IsWitness": true,
    "DisagreeingSubstrateCount": 0.0,
    "IsSubstrateContested": false
   },
   {
    "RulebookFieldId": "RoleAssignments.UnauthorizedEnforcementRoleKey",
    "TargetTable": "RoleAssignments",
    "FieldName": "UnauthorizedEnforcementRoleKey",
    "FieldType": "calculated",
    "Datatype": "string",
    "Formula": "=IF({{IsUnauthorizedNonHumanAssignment}}, {{Role}}, \"\")",
    "InventedForQuestion": "q2-publisher-my-own-authorization",
    "SemanticTypeIri": "urn:effortless:pko-extension#RulebookField",
    "Name": "RoleAssignments.UnauthorizedEnforcementRoleKey",
    "IsDerived": true,
    "IsWitness": true,
    "DisagreeingSubstrateCount": 0.0,
    "IsSubstrateContested": false
   },
   {
    "RulebookFieldId": "RoleAssignments.SemanticTypeIri",
    "TargetTable": "RoleAssignments",
    "FieldName": "SemanticTypeIri",
    "FieldType": "raw",
    "Datatype": "string",
    "Formula": null,
    "InventedForQuestion": null,
    "SemanticTypeIri": "urn:effortless:pko-extension#RulebookField",
    "Name": "RoleAssignments.SemanticTypeIri",
    "IsDerived": false,
    "IsWitness": false,
    "DisagreeingSubstrateCount": 0.0,
    "IsSubstrateContested": false
   },
   {
    "RulebookFieldId": "CommunitiesOfPractice.CommunityOfPracticeId",
    "TargetTable": "CommunitiesOfPractice",
    "FieldName": "CommunityOfPracticeId",
    "FieldType": "raw",
    "Datatype": "string",
    "Formula": null,
    "InventedForQuestion": null,
    "SemanticTypeIri": "urn:effortless:pko-extension#RulebookField",
    "Name": "CommunitiesOfPractice.CommunityOfPracticeId",
    "IsDerived": false,
    "IsWitness": false,
    "DisagreeingSubstrateCount": 0.0,
    "IsSubstrateContested": false
   },
   {
    "RulebookFieldId": "CommunitiesOfPractice.Name",
    "TargetTable": "CommunitiesOfPractice",
    "FieldName": "Name",
    "FieldType": "calculated",
    "Datatype": "string",
    "Formula": "={{Label}}",
    "InventedForQuestion": null,
    "SemanticTypeIri": "urn:effortless:pko-extension#RulebookField",
    "Name": "CommunitiesOfPractice.Name",
    "IsDerived": true,
    "IsWitness": false,
    "DisagreeingSubstrateCount": 0.0,
    "IsSubstrateContested": false
   },
   {
    "RulebookFieldId": "CommunitiesOfPractice.Label",
    "TargetTable": "CommunitiesOfPractice",
    "FieldName": "Label",
    "FieldType": "raw",
    "Datatype": "string",
    "Formula": null,
    "InventedForQuestion": null,
    "SemanticTypeIri": "urn:effortless:pko-extension#RulebookField",
    "Name": "CommunitiesOfPractice.Label",
    "IsDerived": false,
    "IsWitness": false,
    "DisagreeingSubstrateCount": 0.0,
    "IsSubstrateContested": false
   },
   {
    "RulebookFieldId": "CommunitiesOfPractice.Organization",
    "TargetTable": "CommunitiesOfPractice",
    "FieldName": "Organization",
    "FieldType": "relationship",
    "Datatype": "string",
    "Formula": null,
    "InventedForQuestion": null,
    "SemanticTypeIri": "urn:effortless:pko-extension#RulebookField",
    "Name": "CommunitiesOfPractice.Organization",
    "IsDerived": false,
    "IsWitness": false,
    "DisagreeingSubstrateCount": 0.0,
    "IsSubstrateContested": false
   },
   {
    "RulebookFieldId": "CommunitiesOfPractice.StewardRole",
    "TargetTable": "CommunitiesOfPractice",
    "FieldName": "StewardRole",
    "FieldType": "relationship",
    "Datatype": "string",
    "Formula": null,
    "InventedForQuestion": null,
    "SemanticTypeIri": "urn:effortless:pko-extension#RulebookField",
    "Name": "CommunitiesOfPractice.StewardRole",
    "IsDerived": false,
    "IsWitness": false,
    "DisagreeingSubstrateCount": 0.0,
    "IsSubstrateContested": false
   },
   {
    "RulebookFieldId": "CommunitiesOfPractice.Purpose",
    "TargetTable": "CommunitiesOfPractice",
    "FieldName": "Purpose",
    "FieldType": "raw",
    "Datatype": "string",
    "Formula": null,
    "InventedForQuestion": null,
    "SemanticTypeIri": "urn:effortless:pko-extension#RulebookField",
    "Name": "CommunitiesOfPractice.Purpose",
    "IsDerived": false,
    "IsWitness": false,
    "DisagreeingSubstrateCount": 0.0,
    "IsSubstrateContested": false
   },
   {
    "RulebookFieldId": "CommunitiesOfPractice.Cadence",
    "TargetTable": "CommunitiesOfPractice",
    "FieldName": "Cadence",
    "FieldType": "raw",
    "Datatype": "string",
    "Formula": null,
    "InventedForQuestion": null,
    "SemanticTypeIri": "urn:effortless:pko-extension#RulebookField",
    "Name": "CommunitiesOfPractice.Cadence",
    "IsDerived": false,
    "IsWitness": false,
    "DisagreeingSubstrateCount": 0.0,
    "IsSubstrateContested": false
   },
   {
    "RulebookFieldId": "CommunitiesOfPractice.SemanticTypeIri",
    "TargetTable": "CommunitiesOfPractice",
    "FieldName": "SemanticTypeIri",
    "FieldType": "raw",
    "Datatype": "string",
    "Formula": null,
    "InventedForQuestion": null,
    "SemanticTypeIri": "urn:effortless:pko-extension#RulebookField",
    "Name": "CommunitiesOfPractice.SemanticTypeIri",
    "IsDerived": false,
    "IsWitness": false,
    "DisagreeingSubstrateCount": 0.0,
    "IsSubstrateContested": false
   },
   {
    "RulebookFieldId": "Mentorships.MentorshipId",
    "TargetTable": "Mentorships",
    "FieldName": "MentorshipId",
    "FieldType": "raw",
    "Datatype": "string",
    "Formula": null,
    "InventedForQuestion": null,
    "SemanticTypeIri": "urn:effortless:pko-extension#RulebookField",
    "Name": "Mentorships.MentorshipId",
    "IsDerived": false,
    "IsWitness": false,
    "DisagreeingSubstrateCount": 0.0,
    "IsSubstrateContested": false
   },
   {
    "RulebookFieldId": "Mentorships.Name",
    "TargetTable": "Mentorships",
    "FieldName": "Name",
    "FieldType": "calculated",
    "Datatype": "string",
    "Formula": "={{MentorAgent}} &amp; \" -&gt; \" &amp; {{LearnerAgent}}",
    "InventedForQuestion": null,
    "SemanticTypeIri": "urn:effortless:pko-extension#RulebookField",
    "Name": "Mentorships.Name",
    "IsDerived": true,
    "IsWitness": false,
    "DisagreeingSubstrateCount": 0.0,
    "IsSubstrateContested": false
   },
   {
    "RulebookFieldId": "Mentorships.CommunityOfPractice",
    "TargetTable": "Mentorships",
    "FieldName": "CommunityOfPractice",
    "FieldType": "relationship",
    "Datatype": "string",
    "Formula": null,
    "InventedForQuestion": null,
    "SemanticTypeIri": "urn:effortless:pko-extension#RulebookField",
    "Name": "Mentorships.CommunityOfPractice",
    "IsDerived": false,
    "IsWitness": false,
    "DisagreeingSubstrateCount": 0.0,
    "IsSubstrateContested": false
   },
   {
    "RulebookFieldId": "Mentorships.MentorAgent",
    "TargetTable": "Mentorships",
    "FieldName": "MentorAgent",
    "FieldType": "relationship",
    "Datatype": "string",
    "Formula": null,
    "InventedForQuestion": null,
    "SemanticTypeIri": "urn:effortless:pko-extension#RulebookField",
    "Name": "Mentorships.MentorAgent",
    "IsDerived": false,
    "IsWitness": false,
    "DisagreeingSubstrateCount": 0.0,
    "IsSubstrateContested": false
   },
   {
    "RulebookFieldId": "Mentorships.LearnerAgent",
    "TargetTable": "Mentorships",
    "FieldName": "LearnerAgent",
    "FieldType": "relationship",
    "Datatype": "string",
    "Formula": null,
    "InventedForQuestion": null,
    "SemanticTypeIri": "urn:effortless:pko-extension#RulebookField",
    "Name": "Mentorships.LearnerAgent",
    "IsDerived": false,
    "IsWitness": false,
    "DisagreeingSubstrateCount": 0.0,
    "IsSubstrateContested": false
   },
   {
    "RulebookFieldId": "Mentorships.ValidFrom",
    "TargetTable": "Mentorships",
    "FieldName": "ValidFrom",
    "FieldType": "raw",
    "Datatype": "datetime",
    "Formula": null,
    "InventedForQuestion": null,
    "SemanticTypeIri": "urn:effortless:pko-extension#RulebookField",
    "Name": "Mentorships.ValidFrom",
    "IsDerived": false,
    "IsWitness": false,
    "DisagreeingSubstrateCount": 0.0,
    "IsSubstrateContested": false
   },
   {
    "RulebookFieldId": "Mentorships.ValidTo",
    "TargetTable": "Mentorships",
    "FieldName": "ValidTo",
    "FieldType": "raw",
    "Datatype": "datetime",
    "Formula": null,
    "InventedForQuestion": null,
    "SemanticTypeIri": "urn:effortless:pko-extension#RulebookField",
    "Name": "Mentorships.ValidTo",
    "IsDerived": false,
    "IsWitness": false,
    "DisagreeingSubstrateCount": 0.0,
    "IsSubstrateContested": false
   },
   {
    "RulebookFieldId": "Mentorships.LearningObjective",
    "TargetTable": "Mentorships",
    "FieldName": "LearningObjective",
    "FieldType": "raw",
    "Datatype": "string",
    "Formula": null,
    "InventedForQuestion": null,
    "SemanticTypeIri": "urn:effortless:pko-extension#RulebookField",
    "Name": "Mentorships.LearningObjective",
    "IsDerived": false,
    "IsWitness": false,
    "DisagreeingSubstrateCount": 0.0,
    "IsSubstrateContested": false
   },
   {
    "RulebookFieldId": "Mentorships.EvidenceOfCompletion",
    "TargetTable": "Mentorships",
    "FieldName": "EvidenceOfCompletion",
    "FieldType": "raw",
    "Datatype": "string",
    "Formula": null,
    "InventedForQuestion": null,
    "SemanticTypeIri": "urn:effortless:pko-extension#RulebookField",
    "Name": "Mentorships.EvidenceOfCompletion",
    "IsDerived": false,
    "IsWitness": false,
    "DisagreeingSubstrateCount": 0.0,
    "IsSubstrateContested": false
   },
   {
    "RulebookFieldId": "Mentorships.SemanticTypeIri",
    "TargetTable": "Mentorships",
    "FieldName": "SemanticTypeIri",
    "FieldType": "raw",
    "Datatype": "string",
    "Formula": null,
    "InventedForQuestion": null,
    "SemanticTypeIri": "urn:effortless:pko-extension#RulebookField",
    "Name": "Mentorships.SemanticTypeIri",
    "IsDerived": false,
    "IsWitness": false,
    "DisagreeingSubstrateCount": 0.0,
    "IsSubstrateContested": false
   },
   {
    "RulebookFieldId": "ProcedureTypes.ProcedureTypeId",
    "TargetTable": "ProcedureTypes",
    "FieldName": "ProcedureTypeId",
    "FieldType": "raw",
    "Datatype": "string",
    "Formula": null,
    "InventedForQuestion": null,
    "SemanticTypeIri": "urn:effortless:pko-extension#RulebookField",
    "Name": "ProcedureTypes.ProcedureTypeId",
    "IsDerived": false,
    "IsWitness": false,
    "DisagreeingSubstrateCount": 0.0,
    "IsSubstrateContested": false
   },
   {
    "RulebookFieldId": "ProcedureTypes.Name",
    "TargetTable": "ProcedureTypes",
    "FieldName": "Name",
    "FieldType": "calculated",
    "Datatype": "string",
    "Formula": "={{Label}}",
    "InventedForQuestion": null,
    "SemanticTypeIri": "urn:effortless:pko-extension#RulebookField",
    "Name": "ProcedureTypes.Name",
    "IsDerived": true,
    "IsWitness": false,
    "DisagreeingSubstrateCount": 0.0,
    "IsSubstrateContested": false
   },
   {
    "RulebookFieldId": "ProcedureTypes.Label",
    "TargetTable": "ProcedureTypes",
    "FieldName": "Label",
    "FieldType": "raw",
    "Datatype": "string",
    "Formula": null,
    "InventedForQuestion": null,
    "SemanticTypeIri": "urn:effortless:pko-extension#RulebookField",
    "Name": "ProcedureTypes.Label",
    "IsDerived": false,
    "IsWitness": false,
    "DisagreeingSubstrateCount": 0.0,
    "IsSubstrateContested": false
   },
   {
    "RulebookFieldId": "ProcedureTypes.Definition",
    "TargetTable": "ProcedureTypes",
    "FieldName": "Definition",
    "FieldType": "raw",
    "Datatype": "string",
    "Formula": null,
    "InventedForQuestion": null,
    "SemanticTypeIri": "urn:effortless:pko-extension#RulebookField",
    "Name": "ProcedureTypes.Definition",
    "IsDerived": false,
    "IsWitness": false,
    "DisagreeingSubstrateCount": 0.0,
    "IsSubstrateContested": false
   },
   {
    "RulebookFieldId": "ProcedureTypes.SemanticTypeIri",
    "TargetTable": "ProcedureTypes",
    "FieldName": "SemanticTypeIri",
    "FieldType": "raw",
    "Datatype": "string",
    "Formula": null,
    "InventedForQuestion": null,
    "SemanticTypeIri": "urn:effortless:pko-extension#RulebookField",
    "Name": "ProcedureTypes.SemanticTypeIri",
    "IsDerived": false,
    "IsWitness": false,
    "DisagreeingSubstrateCount": 0.0,
    "IsSubstrateContested": false
   },
   {
    "RulebookFieldId": "Procedures.ProcedureId",
    "TargetTable": "Procedures",
    "FieldName": "ProcedureId",
    "FieldType": "raw",
    "Datatype": "string",
    "Formula": null,
    "InventedForQuestion": null,
    "SemanticTypeIri": "urn:effortless:pko-extension#RulebookField",
    "Name": "Procedures.ProcedureId",
    "IsDerived": false,
    "IsWitness": false,
    "DisagreeingSubstrateCount": 0.0,
    "IsSubstrateContested": false
   },
   {
    "RulebookFieldId": "Procedures.Name",
    "TargetTable": "Procedures",
    "FieldName": "Name",
    "FieldType": "calculated",
    "Datatype": "string",
    "Formula": "={{Title}}",
    "InventedForQuestion": null,
    "SemanticTypeIri": "urn:effortless:pko-extension#RulebookField",
    "Name": "Procedures.Name",
    "IsDerived": true,
    "IsWitness": false,
    "DisagreeingSubstrateCount": 0.0,
    "IsSubstrateContested": false
   },
   {
    "RulebookFieldId": "Procedures.Title",
    "TargetTable": "Procedures",
    "FieldName": "Title",
    "FieldType": "raw",
    "Datatype": "string",
    "Formula": null,
    "InventedForQuestion": null,
    "SemanticTypeIri": "urn:effortless:pko-extension#RulebookField",
    "Name": "Procedures.Title",
    "IsDerived": false,
    "IsWitness": false,
    "DisagreeingSubstrateCount": 0.0,
    "IsSubstrateContested": false
   },
   {
    "RulebookFieldId": "Procedures.ProcedureType",
    "TargetTable": "Procedures",
    "FieldName": "ProcedureType",
    "FieldType": "relationship",
    "Datatype": "string",
    "Formula": null,
    "InventedForQuestion": null,
    "SemanticTypeIri": "urn:effortless:pko-extension#RulebookField",
    "Name": "Procedures.ProcedureType",
    "IsDerived": false,
    "IsWitness": false,
    "DisagreeingSubstrateCount": 0.0,
    "IsSubstrateContested": false
   },
   {
    "RulebookFieldId": "Procedures.OwnerOrganization",
    "TargetTable": "Procedures",
    "FieldName": "OwnerOrganization",
    "FieldType": "relationship",
    "Datatype": "string",
    "Formula": null,
    "InventedForQuestion": null,
    "SemanticTypeIri": "urn:effortless:pko-extension#RulebookField",
    "Name": "Procedures.OwnerOrganization",
    "IsDerived": false,
    "IsWitness": false,
    "DisagreeingSubstrateCount": 0.0,
    "IsSubstrateContested": false
   },
   {
    "RulebookFieldId": "Procedures.AdoptedByOrganization",
    "TargetTable": "Procedures",
    "FieldName": "AdoptedByOrganization",
    "FieldType": "relationship",
    "Datatype": "string",
    "Formula": null,
    "InventedForQuestion": null,
    "SemanticTypeIri": "urn:effortless:pko-extension#RulebookField",
    "Name": "Procedures.AdoptedByOrganization",
    "IsDerived": false,
    "IsWitness": false,
    "DisagreeingSubstrateCount": 0.0,
    "IsSubstrateContested": false
   },
   {
    "RulebookFieldId": "Procedures.Purpose",
    "TargetTable": "Procedures",
    "FieldName": "Purpose",
    "FieldType": "raw",
    "Datatype": "string",
    "Formula": null,
    "InventedForQuestion": null,
    "SemanticTypeIri": "urn:effortless:pko-extension#RulebookField",
    "Name": "Procedures.Purpose",
    "IsDerived": false,
    "IsWitness": false,
    "DisagreeingSubstrateCount": 0.0,
    "IsSubstrateContested": false
   },
   {
    "RulebookFieldId": "Procedures.Target",
    "TargetTable": "Procedures",
    "FieldName": "Target",
    "FieldType": "raw",
    "Datatype": "string",
    "Formula": null,
    "InventedForQuestion": null,
    "SemanticTypeIri": "urn:effortless:pko-extension#RulebookField",
    "Name": "Procedures.Target",
    "IsDerived": false,
    "IsWitness": false,
    "DisagreeingSubstrateCount": 0.0,
    "IsSubstrateContested": false
   },
   {
    "RulebookFieldId": "Procedures.IsTemplate",
    "TargetTable": "Procedures",
    "FieldName": "IsTemplate",
    "FieldType": "raw",
    "Datatype": "boolean",
    "Formula": null,
    "InventedForQuestion": null,
    "SemanticTypeIri": "urn:effortless:pko-extension#RulebookField",
    "Name": "Procedures.IsTemplate",
    "IsDerived": false,
    "IsWitness": false,
    "DisagreeingSubstrateCount": 0.0,
    "IsSubstrateContested": false
   },
   {
    "RulebookFieldId": "Procedures.CurrentVersionKey",
    "TargetTable": "Procedures",
    "FieldName": "CurrentVersionKey",
    "FieldType": "raw",
    "Datatype": "string",
    "Formula": null,
    "InventedForQuestion": null,
    "SemanticTypeIri": "urn:effortless:pko-extension#RulebookField",
    "Name": "Procedures.CurrentVersionKey",
    "IsDerived": false,
    "IsWitness": false,
    "DisagreeingSubstrateCount": 0.0,
    "IsSubstrateContested": false
   },
   {
    "RulebookFieldId": "Procedures.SemanticTypeIri",
    "TargetTable": "Procedures",
    "FieldName": "SemanticTypeIri",
    "FieldType": "raw",
    "Datatype": "string",
    "Formula": null,
    "InventedForQuestion": null,
    "SemanticTypeIri": "urn:effortless:pko-extension#RulebookField",
    "Name": "Procedures.SemanticTypeIri",
    "IsDerived": false,
    "IsWitness": false,
    "DisagreeingSubstrateCount": 0.0,
    "IsSubstrateContested": false
   },
   {
    "RulebookFieldId": "ProcedureVersions.ProcedureVersionId",
    "TargetTable": "ProcedureVersions",
    "FieldName": "ProcedureVersionId",
    "FieldType": "raw",
    "Datatype": "string",
    "Formula": null,
    "InventedForQuestion": null,
    "SemanticTypeIri": "urn:effortless:pko-extension#RulebookField",
    "Name": "ProcedureVersions.ProcedureVersionId",
    "IsDerived": false,
    "IsWitness": false,
    "DisagreeingSubstrateCount": 0.0,
    "IsSubstrateContested": false
   },
   {
    "RulebookFieldId": "ProcedureVersions.Name",
    "TargetTable": "ProcedureVersions",
    "FieldName": "Name",
    "FieldType": "calculated",
    "Datatype": "string",
    "Formula": "={{Title}}",
    "InventedForQuestion": null,
    "SemanticTypeIri": "urn:effortless:pko-extension#RulebookField",
    "Name": "ProcedureVersions.Name",
    "IsDerived": true,
    "IsWitness": false,
    "DisagreeingSubstrateCount": 0.0,
    "IsSubstrateContested": false
   },
   {
    "RulebookFieldId": "ProcedureVersions.Procedure",
    "TargetTable": "ProcedureVersions",
    "FieldName": "Procedure",
    "FieldType": "relationship",
    "Datatype": "string",
    "Formula": null,
    "InventedForQuestion": null,
    "SemanticTypeIri": "urn:effortless:pko-extension#RulebookField",
    "Name": "ProcedureVersions.Procedure",
    "IsDerived": false,
    "IsWitness": false,
    "DisagreeingSubstrateCount": 0.0,
    "IsSubstrateContested": false
   },
   {
    "RulebookFieldId": "ProcedureVersions.VersionNumber",
    "TargetTable": "ProcedureVersions",
    "FieldName": "VersionNumber",
    "FieldType": "raw",
    "Datatype": "string",
    "Formula": null,
    "InventedForQuestion": null,
    "SemanticTypeIri": "urn:effortless:pko-extension#RulebookField",
    "Name": "ProcedureVersions.VersionNumber",
    "IsDerived": false,
    "IsWitness": false,
    "DisagreeingSubstrateCount": 0.0,
    "IsSubstrateContested": false
   },
   {
    "RulebookFieldId": "ProcedureVersions.Title",
    "TargetTable": "ProcedureVersions",
    "FieldName": "Title",
    "FieldType": "raw",
    "Datatype": "string",
    "Formula": null,
    "InventedForQuestion": null,
    "SemanticTypeIri": "urn:effortless:pko-extension#RulebookField",
    "Name": "ProcedureVersions.Title",
    "IsDerived": false,
    "IsWitness": false,
    "DisagreeingSubstrateCount": 0.0,
    "IsSubstrateContested": false
   },
   {
    "RulebookFieldId": "ProcedureVersions.Status",
    "TargetTable": "ProcedureVersions",
    "FieldName": "Status",
    "Field</t>
  </si>
  <si>
    <t xml:space="preserve">Type": "raw",
    "Datatype": "string",
    "Formula": null,
    "InventedForQuestion": null,
    "SemanticTypeIri": "urn:effortless:pko-extension#RulebookField",
    "Name": "ProcedureVersions.Status",
    "IsDerived": false,
    "IsWitness": false,
    "DisagreeingSubstrateCount": 0.0,
    "IsSubstrateContested": false
   },
   {
    "RulebookFieldId": "ProcedureVersions.IssuedAt",
    "TargetTable": "ProcedureVersions",
    "FieldName": "IssuedAt",
    "FieldType": "raw",
    "Datatype": "datetime",
    "Formula": null,
    "InventedForQuestion": null,
    "SemanticTypeIri": "urn:effortless:pko-extension#RulebookField",
    "Name": "ProcedureVersions.IssuedAt",
    "IsDerived": false,
    "IsWitness": false,
    "DisagreeingSubstrateCount": 0.0,
    "IsSubstrateContested": false
   },
   {
    "RulebookFieldId": "ProcedureVersions.ModifiedAt",
    "TargetTable": "ProcedureVersions",
    "FieldName": "ModifiedAt",
    "FieldType": "raw",
    "Datatype": "datetime",
    "Formula": null,
    "InventedForQuestion": null,
    "SemanticTypeIri": "urn:effortless:pko-extension#RulebookField",
    "Name": "ProcedureVersions.ModifiedAt",
    "IsDerived": false,
    "IsWitness": false,
    "DisagreeingSubstrateCount": 0.0,
    "IsSubstrateContested": false
   },
   {
    "RulebookFieldId": "ProcedureVersions.CreatedByAgent",
    "TargetTable": "ProcedureVersions",
    "FieldName": "CreatedByAgent",
    "FieldType": "relationship",
    "Datatype": "string",
    "Formula": null,
    "InventedForQuestion": null,
    "SemanticTypeIri": "urn:effortless:pko-extension#RulebookField",
    "Name": "ProcedureVersions.CreatedByAgent",
    "IsDerived": false,
    "IsWitness": false,
    "DisagreeingSubstrateCount": 0.0,
    "IsSubstrateContested": false
   },
   {
    "RulebookFieldId": "ProcedureVersions.ModifiedByAgent",
    "TargetTable": "ProcedureVersions",
    "FieldName": "ModifiedByAgent",
    "FieldType": "relationship",
    "Datatype": "string",
    "Formula": null,
    "InventedForQuestion": null,
    "SemanticTypeIri": "urn:effortless:pko-extension#RulebookField",
    "Name": "ProcedureVersions.ModifiedByAgent",
    "IsDerived": false,
    "IsWitness": false,
    "DisagreeingSubstrateCount": 0.0,
    "IsSubstrateContested": false
   },
   {
    "RulebookFieldId": "ProcedureVersions.NewVersionMotivation",
    "TargetTable": "ProcedureVersions",
    "FieldName": "NewVersionMotivation",
    "FieldType": "raw",
    "Datatype": "string",
    "Formula": null,
    "InventedForQuestion": null,
    "SemanticTypeIri": "urn:effortless:pko-extension#RulebookField",
    "Name": "ProcedureVersions.NewVersionMotivation",
    "IsDerived": false,
    "IsWitness": false,
    "DisagreeingSubstrateCount": 0.0,
    "IsSubstrateContested": false
   },
   {
    "RulebookFieldId": "ProcedureVersions.ChangelogDescription",
    "TargetTable": "ProcedureVersions",
    "FieldName": "ChangelogDescription",
    "FieldType": "raw",
    "Datatype": "string",
    "Formula": null,
    "InventedForQuestion": null,
    "SemanticTypeIri": "urn:effortless:pko-extension#RulebookField",
    "Name": "ProcedureVersions.ChangelogDescription",
    "IsDerived": false,
    "IsWitness": false,
    "DisagreeingSubstrateCount": 0.0,
    "IsSubstrateContested": false
   },
   {
    "RulebookFieldId": "ProcedureVersions.IsCurrent",
    "TargetTable": "ProcedureVersions",
    "FieldName": "IsCurrent",
    "FieldType": "raw",
    "Datatype": "boolean",
    "Formula": null,
    "InventedForQuestion": null,
    "SemanticTypeIri": "urn:effortless:pko-extension#RulebookField",
    "Name": "ProcedureVersions.IsCurrent",
    "IsDerived": false,
    "IsWitness": false,
    "DisagreeingSubstrateCount": 0.0,
    "IsSubstrateContested": false
   },
   {
    "RulebookFieldId": "ProcedureVersions.CountOfSteps",
    "TargetTable": "ProcedureVersions",
    "FieldName": "CountOfSteps",
    "FieldType": "aggregation",
    "Datatype": "integer",
    "Formula": "=COUNTIFS(Steps!{{ProcedureVersion}}, ProcedureVersions!{{ProcedureVersionId}})",
    "InventedForQuestion": null,
    "SemanticTypeIri": "urn:effortless:pko-extension#RulebookField",
    "Name": "ProcedureVersions.CountOfSteps",
    "IsDerived": true,
    "IsWitness": false,
    "DisagreeingSubstrateCount": 0.0,
    "IsSubstrateContested": false
   },
   {
    "RulebookFieldId": "ProcedureVersions.CountOfOpenKnowledgeGaps",
    "TargetTable": "ProcedureVersions",
    "FieldName": "CountOfOpenKnowledgeGaps",
    "FieldType": "aggregation",
    "Datatype": "integer",
    "Formula": "=COUNTIFS(KnowledgeGaps!{{ProcedureVersion}}, ProcedureVersions!{{ProcedureVersionId}}, KnowledgeGaps!{{Status}}, \"Open\")",
    "InventedForQuestion": null,
    "SemanticTypeIri": "urn:effortless:pko-extension#RulebookField",
    "Name": "ProcedureVersions.CountOfOpenKnowledgeGaps",
    "IsDerived": true,
    "IsWitness": false,
    "DisagreeingSubstrateCount": 0.0,
    "IsSubstrateContested": false
   },
   {
    "RulebookFieldId": "ProcedureVersions.IsReadyForExecution",
    "TargetTable": "ProcedureVersions",
    "FieldName": "IsReadyForExecution",
    "FieldType": "calculated",
    "Datatype": "boolean",
    "Formula": "=AND({{Status}} = \"Approved\", {{CountOfSteps}} &gt; 0, {{CountOfOpenKnowledgeGaps}} = 0)",
    "InventedForQuestion": null,
    "SemanticTypeIri": "urn:effortless:pko-extension#RulebookField",
    "Name": "ProcedureVersions.IsReadyForExecution",
    "IsDerived": true,
    "IsWitness": false,
    "DisagreeingSubstrateCount": 0.0,
    "IsSubstrateContested": false
   },
   {
    "RulebookFieldId": "ProcedureVersions.SpecifiedStepCount",
    "TargetTable": "ProcedureVersions",
    "FieldName": "SpecifiedStepCount",
    "FieldType": "aggregation",
    "Datatype": "number",
    "Formula": "=COUNTIFS(Steps!{{ProcedureVersion}}, {{ProcedureVersionId}})",
    "InventedForQuestion": "q-controller-execution-diverged-from-spec",
    "SemanticTypeIri": "urn:effortless:pko-extension#RulebookField",
    "Name": "ProcedureVersions.SpecifiedStepCount",
    "IsDerived": true,
    "IsWitness": true,
    "DisagreeingSubstrateCount": 0.0,
    "IsSubstrateContested": false
   },
   {
    "RulebookFieldId": "ProcedureVersions.OverdueReviewCount",
    "TargetTable": "ProcedureVersions",
    "FieldName": "OverdueReviewCount",
    "FieldType": "aggregation",
    "Datatype": "number",
    "Formula": "=COUNTIFS(ReviewEvents!{{OverdueVersionKey}}, {{ProcedureVersionId}})",
    "InventedForQuestion": "q-cfo-approving-on-unfit-version",
    "SemanticTypeIri": "urn:effortless:pko-extension#RulebookField",
    "Name": "ProcedureVersions.OverdueReviewCount",
    "IsDerived": true,
    "IsWitness": true,
    "DisagreeingSubstrateCount": 0.0,
    "IsSubstrateContested": false
   },
   {
    "RulebookFieldId": "ProcedureVersions.OpenChangeRequestCount",
    "TargetTable": "ProcedureVersions",
    "FieldName": "OpenChangeRequestCount",
    "FieldType": "aggregation",
    "Datatype": "number",
    "Formula": "=COUNTIFS(ChangeRequests!{{OpenChangeVersionKey}}, {{ProcedureVersionId}})",
    "InventedForQuestion": "q-cfo-approving-on-unfit-version",
    "SemanticTypeIri": "urn:effortless:pko-extension#RulebookField",
    "Name": "ProcedureVersions.OpenChangeRequestCount",
    "IsDerived": true,
    "IsWitness": true,
    "DisagreeingSubstrateCount": 0.0,
    "IsSubstrateContested": false
   },
   {
    "RulebookFieldId": "ProcedureVersions.OpenHighSeverityGapCount",
    "TargetTable": "ProcedureVersions",
    "FieldName": "OpenHighSeverityGapCount",
    "FieldType": "aggregation",
    "Datatype": "number",
    "Formula": "=COUNTIFS(KnowledgeGaps!{{OpenGapVersionKey}}, {{ProcedureVersionId}})",
    "InventedForQuestion": "q-cfo-approving-on-unfit-version",
    "SemanticTypeIri": "urn:effortless:pko-extension#RulebookField",
    "Name": "ProcedureVersions.OpenHighSeverityGapCount",
    "IsDerived": true,
    "IsWitness": true,
    "DisagreeingSubstrateCount": 0.0,
    "IsSubstrateContested": false
   },
   {
    "RulebookFieldId": "ProcedureVersions.IsFitToExecute",
    "TargetTable": "ProcedureVersions",
    "FieldName": "IsFitToExecute",
    "FieldType": "calculated",
    "Datatype": "boolean",
    "Formula": "=AND({{Status}} = \"Approved\", {{OverdueReviewCount}} = 0, {{OpenChangeRequestCount}} = 0, {{OpenHighSeverityGapCount}} = 0)",
    "InventedForQuestion": "q-cfo-approving-on-unfit-version",
    "SemanticTypeIri": "urn:effortless:pko-extension#RulebookField",
    "Name": "ProcedureVersions.IsFitToExecute",
    "IsDerived": true,
    "IsWitness": true,
    "DisagreeingSubstrateCount": 0.0,
    "IsSubstrateContested": false
   },
   {
    "RulebookFieldId": "ProcedureVersions.StewardReviewCadenceDays",
    "TargetTable": "ProcedureVersions",
    "FieldName": "StewardReviewCadenceDays",
    "FieldType": "aggregation",
    "Datatype": "number",
    "Formula": "=SUMIFS(StewardshipAssignments!{{ReviewCadenceDays}}, StewardshipAssignments!{{ProcedureVersion}}, {{ProcedureVersionId}})",
    "InventedForQuestion": "q-steward-cadence-breach",
    "SemanticTypeIri": "urn:effortless:pko-extension#RulebookField",
    "Name": "ProcedureVersions.StewardReviewCadenceDays",
    "IsDerived": true,
    "IsWitness": true,
    "DisagreeingSubstrateCount": 0.0,
    "IsSubstrateContested": false
   },
   {
    "RulebookFieldId": "ProcedureVersions.CountOfStewardshipAssignments",
    "TargetTable": "ProcedureVersions",
    "FieldName": "CountOfStewardshipAssignments",
    "FieldType": "aggregation",
    "Datatype": "integer",
    "Formula": "=COUNTIFS(StewardshipAssignments!{{ProcedureVersion}}, ProcedureVersions!{{ProcedureVersionId}})",
    "InventedForQuestion": "q-steward-orphan-versions",
    "SemanticTypeIri": "urn:effortless:pko-extension#RulebookField",
    "Name": "ProcedureVersions.CountOfStewardshipAssignments",
    "IsDerived": true,
    "IsWitness": true,
    "DisagreeingSubstrateCount": 0.0,
    "IsSubstrateContested": false
   },
   {
    "RulebookFieldId": "ProcedureVersions.HasAnySteward",
    "TargetTable": "ProcedureVersions",
    "FieldName": "HasAnySteward",
    "FieldType": "calculated",
    "Datatype": "boolean",
    "Formula": "={{CountOfStewardshipAssignments}} &gt; 0",
    "InventedForQuestion": "q-steward-orphan-versions",
    "SemanticTypeIri": "urn:effortless:pko-extension#RulebookField",
    "Name": "ProcedureVersions.HasAnySteward",
    "IsDerived": true,
    "IsWitness": true,
    "DisagreeingSubstrateCount": 0.0,
    "IsSubstrateContested": false
   },
   {
    "RulebookFieldId": "ProcedureVersions.IsLive",
    "TargetTable": "ProcedureVersions",
    "FieldName": "IsLive",
    "FieldType": "calculated",
    "Datatype": "boolean",
    "Formula": "=OR({{Status}} = \"Approved\", {{Status}} = \"Published\")",
    "InventedForQuestion": "q-steward-orphan-versions",
    "SemanticTypeIri": "urn:effortless:pko-extension#RulebookField",
    "Name": "ProcedureVersions.IsLive",
    "IsDerived": true,
    "IsWitness": true,
    "DisagreeingSubstrateCount": 0.0,
    "IsSubstrateContested": false
   },
   {
    "RulebookFieldId": "ProcedureVersions.IsUnstewarded",
    "TargetTable": "ProcedureVersions",
    "FieldName": "IsUnstewarded",
    "FieldType": "calculated",
    "Datatype": "boolean",
    "Formula": "=NOT({{HasAnySteward}})",
    "InventedForQuestion": "q-steward-orphan-versions",
    "SemanticTypeIri": "urn:effortless:pko-extension#RulebookField",
    "Name": "ProcedureVersions.IsUnstewarded",
    "IsDerived": true,
    "IsWitness": true,
    "DisagreeingSubstrateCount": 0.0,
    "IsSubstrateContested": false
   },
   {
    "RulebookFieldId": "ProcedureVersions.IsLiveAndUnstewarded",
    "TargetTable": "ProcedureVersions",
    "FieldName": "IsLiveAndUnstewarded",
    "FieldType": "calculated",
    "Datatype": "boolean",
    "Formula": "=AND({{IsLive}}, {{IsUnstewarded}})",
    "InventedForQuestion": "q-steward-orphan-versions",
    "SemanticTypeIri": "urn:effortless:pko-extension#RulebookField",
    "Name": "ProcedureVersions.IsLiveAndUnstewarded",
    "IsDerived": true,
    "IsWitness": true,
    "DisagreeingSubstrateCount": 0.0,
    "IsSubstrateContested": false
   },
   {
    "RulebookFieldId": "ProcedureVersions.CountOfOpenBlockingGaps",
    "TargetTable": "ProcedureVersions",
    "FieldName": "CountOfOpenBlockingGaps",
    "FieldType": "aggregation",
    "Datatype": "integer",
    "Formula": "=COUNTIFS(KnowledgeGaps!{{IsOpenAndBlocking}}, TRUE)",
    "InventedForQuestion": "q-steward-published-with-blocking-gap",
    "SemanticTypeIri": "urn:effortless:pko-extension#RulebookField",
    "Name": "ProcedureVersions.CountOfOpenBlockingGaps",
    "IsDerived": true,
    "IsWitness": true,
    "DisagreeingSubstrateCount": 0.0,
    "IsSubstrateContested": false
   },
   {
    "RulebookFieldId": "ProcedureVersions.HasOpenBlockingGap",
    "TargetTable": "ProcedureVersions",
    "FieldName": "HasOpenBlockingGap",
    "FieldType": "calculated",
    "Datatype": "boolean",
    "Formula": "={{CountOfOpenBlockingGaps}} &gt; 0",
    "InventedForQuestion": "q-steward-published-with-blocking-gap",
    "SemanticTypeIri": "urn:effortless:pko-extension#RulebookField",
    "Name": "ProcedureVersions.HasOpenBlockingGap",
    "IsDerived": true,
    "IsWitness": true,
    "DisagreeingSubstrateCount": 0.0,
    "IsSubstrateContested": false
   },
   {
    "RulebookFieldId": "ProcedureVersions.IsLiveWithBlockingGap",
    "TargetTable": "ProcedureVersions",
    "FieldName": "IsLiveWithBlockingGap",
    "FieldType": "calculated",
    "Datatype": "boolean",
    "Formula": "=AND({{IsLive}}, {{HasOpenBlockingGap}})",
    "InventedForQuestion": "q-steward-published-with-blocking-gap",
    "SemanticTypeIri": "urn:effortless:pko-extension#RulebookField",
    "Name": "ProcedureVersions.IsLiveWithBlockingGap",
    "IsDerived": true,
    "IsWitness": true,
    "DisagreeingSubstrateCount": 0.0,
    "IsSubstrateContested": false
   },
   {
    "RulebookFieldId": "ProcedureVersions.ShouldNotBeExecutable",
    "TargetTable": "ProcedureVersions",
    "FieldName": "ShouldNotBeExecutable",
    "FieldType": "calculated",
    "Datatype": "boolean",
    "Formula": "=AND({{IsReadyForExecution}}, {{HasOpenBlockingGap}})",
    "InventedForQuestion": "q-steward-published-with-blocking-gap",
    "SemanticTypeIri": "urn:effortless:pko-extension#RulebookField",
    "Name": "ProcedureVersions.ShouldNotBeExecutable",
    "IsDerived": true,
    "IsWitness": true,
    "DisagreeingSubstrateCount": 0.0,
    "IsSubstrateContested": false
   },
   {
    "RulebookFieldId": "ProcedureVersions.CountOfUnapprovedRelianceFragments",
    "TargetTable": "ProcedureVersions",
    "FieldName": "CountOfUnapprovedRelianceFragments",
    "FieldType": "aggregation",
    "Datatype": "integer",
    "Formula": "=COUNTIFS(KnowledgeFragments!{{IsUnapprovedButReliedOn}}, TRUE)",
    "InventedForQuestion": "q-authority-non-approved-dependency",
    "SemanticTypeIri": "urn:effortless:pko-extension#RulebookField",
    "Name": "ProcedureVersions.CountOfUnapprovedRelianceFragments",
    "IsDerived": true,
    "IsWitness": true,
    "DisagreeingSubstrateCount": 0.0,
    "IsSubstrateContested": false
   },
   {
    "RulebookFieldId": "ProcedureVersions.RunsOnUnapprovedKnowledge",
    "TargetTable": "ProcedureVersions",
    "FieldName": "RunsOnUnapprovedKnowledge",
    "FieldType": "calculated",
    "Datatype": "boolean",
    "Formula": "={{CountOfUnapprovedRelianceFragments}} &gt; 0",
    "InventedForQuestion": "q-authority-non-approved-dependency",
    "SemanticTypeIri": "urn:effortless:pko-extension#RulebookField",
    "Name": "ProcedureVersions.RunsOnUnapprovedKnowledge",
    "IsDerived": true,
    "IsWitness": true,
    "DisagreeingSubstrateCount": 0.0,
    "IsSubstrateContested": false
   },
   {
    "RulebookFieldId": "ProcedureVersions.CountOfOverdueGaps",
    "TargetTable": "ProcedureVersions",
    "FieldName": "CountOfOverdueGaps",
    "FieldType": "aggregation",
    "Datatype": "integer",
    "Formula": "=COUNTIFS(KnowledgeGaps!{{IsOverdueGap}}, TRUE)",
    "InventedForQuestion": "q-authority-known-unknowns",
    "SemanticTypeIri": "urn:effortless:pko-extension#RulebookField",
    "Name": "ProcedureVersions.CountOfOverdueGaps",
    "IsDerived": true,
    "IsWitness": true,
    "DisagreeingSubstrateCount": 0.0,
    "IsSubstrateContested": false
   },
   {
    "RulebookFieldId": "ProcedureVersions.CountOfChangeRequests",
    "TargetTable": "ProcedureVersions",
    "FieldName": "CountOfChangeRequests",
    "FieldType": "aggregation",
    "Datatype": "integer",
    "Formula": "=COUNTIFS(ChangeRequests!{{ProcedureVersion}}, ProcedureVersions!{{ProcedureVersionId}})",
    "InventedForQuestion": "q-authority-unwitnessed-change",
    "SemanticTypeIri": "urn:effortless:pko-extension#RulebookField",
    "Name": "ProcedureVersions.CountOfChangeRequests",
    "IsDerived": true,
    "IsWitness": true,
    "DisagreeingSubstrateCount": 0.0,
    "IsSubstrateContested": false
   },
   {
    "RulebookFieldId": "ProcedureVersions.CountOfReviewEvents",
    "TargetTable": "ProcedureVersions",
    "FieldName": "CountOfReviewEvents",
    "FieldType": "aggregation",
    "Datatype": "integer",
    "Formula": "=COUNTIFS(ReviewEvents!{{ProcedureVersion}}, ProcedureVersions!{{ProcedureVersionId}})",
    "InventedForQuestion": "q-authority-unwitnessed-change",
    "SemanticTypeIri": "urn:effortless:pko-extension#RulebookField",
    "Name": "ProcedureVersions.CountOfReviewEvents",
    "IsDerived": true,
    "IsWitness": true,
    "DisagreeingSubstrateCount": 0.0,
    "IsSubstrateContested": false
   },
   {
    "RulebookFieldId": "ProcedureVersions.HasGovernanceRecord",
    "TargetTable": "ProcedureVersions",
    "FieldName": "HasGovernanceRecord",
    "FieldType": "calculated",
    "Datatype": "boolean",
    "Formula": "=OR({{CountOfChangeRequests}} &gt; 0, {{CountOfReviewEvents}} &gt; 0)",
    "InventedForQuestion": "q-authority-unwitnessed-change",
    "SemanticTypeIri": "urn:effortless:pko-extension#RulebookField",
    "Name": "ProcedureVersions.HasGovernanceRecord",
    "IsDerived": true,
    "IsWitness": true,
    "DisagreeingSubstrateCount": 0.0,
    "IsSubstrateContested": false
   },
   {
    "RulebookFieldId": "ProcedureVersions.EvaluationContext",
    "TargetTable": "ProcedureVersions",
    "FieldName": "EvaluationContext",
    "FieldType": "relationship",
    "Datatype": "string",
    "Formula": null,
    "InventedForQuestion": null,
    "SemanticTypeIri": "urn:effortless:pko-extension#RulebookField",
    "Name": "ProcedureVersions.EvaluationContext",
    "IsDerived": false,
    "IsWitness": false,
    "DisagreeingSubstrateCount": 0.0,
    "IsSubstrateContested": false
   },
   {
    "RulebookFieldId": "ProcedureVersions.AsOfInstant",
    "TargetTable": "ProcedureVersions",
    "FieldName": "AsOfInstant",
    "FieldType": "lookup",
    "Datatype": "datetime",
    "Formula": "=INDEX(EvaluationContexts!{{AsOfInstant}}, MATCH({{EvaluationContext}}, EvaluationContexts!{{EvaluationContextId}}, 0))",
    "InventedForQuestion": null,
    "SemanticTypeIri": "urn:effortless:pko-extension#RulebookField",
    "Name": "ProcedureVersions.AsOfInstant",
    "IsDerived": true,
    "IsWitness": false,
    "DisagreeingSubstrateCount": 0.0,
    "IsSubstrateContested": false
   },
   {
    "RulebookFieldId": "ProcedureVersions.DaysSinceModified",
    "TargetTable": "ProcedureVersions",
    "FieldName": "DaysSinceModified",
    "FieldType": "calculated",
    "Datatype": "integer",
    "Formula": "=DATETIME_DIFF({{AsOfInstant}}, {{ModifiedAt}}, \"days\")",
    "InventedForQuestion": "q-authority-unwitnessed-change",
    "SemanticTypeIri": "urn:effortless:pko-extension#RulebookField",
    "Name": "ProcedureVersions.DaysSinceModified",
    "IsDerived": true,
    "IsWitness": true,
    "DisagreeingSubstrateCount": 0.0,
    "IsSubstrateContested": false
   },
   {
    "RulebookFieldId": "ProcedureVersions.DaysSinceLastReview",
    "TargetTable": "ProcedureVersions",
    "FieldName": "DaysSinceLastReview",
    "FieldType": "aggregation",
    "Datatype": "integer",
    "Formula": "=DATETIME_DIFF({{AsOfInstant}}, MAXIFS(ReviewEvents!{{ReviewedAt}}, ReviewEvents!{{ProcedureVersion}}, ProcedureVersions!{{ProcedureVersionId}}), \"days\")",
    "InventedForQuestion": "q-authority-unwitnessed-change",
    "SemanticTypeIri": "urn:effortless:pko-extension#RulebookField",
    "Name": "ProcedureVersions.DaysSinceLastReview",
    "IsDerived": true,
    "IsWitness": true,
    "DisagreeingSubstrateCount": 2.0,
    "IsSubstrateContested": true
   },
   {
    "RulebookFieldId": "ProcedureVersions.WasModifiedSinceLastReview",
    "TargetTable": "ProcedureVersions",
    "FieldName": "WasModifiedSinceLastReview",
    "FieldType": "calculated",
    "Datatype": "boolean",
    "Formula": "={{DaysSinceModified}} &lt; {{DaysSinceLastReview}}",
    "InventedForQuestion": "q-authority-unwitnessed-change",
    "SemanticTypeIri": "urn:effortless:pko-extension#RulebookField",
    "Name": "ProcedureVersions.WasModifiedSinceLastReview",
    "IsDerived": true,
    "IsWitness": true,
    "DisagreeingSubstrateCount": 1.0,
    "IsSubstrateContested": true
   },
   {
    "RulebookFieldId": "ProcedureVersions.ModifierIsAuthority",
    "TargetTable": "ProcedureVersions",
    "FieldName": "ModifierIsAuthority",
    "FieldType": "lookup",
    "Datatype": "string",
    "Formula": "=INDEX(Agents!{{AgentKind}}, MATCH({{ModifiedByAgent}}, Agents!{{AgentId}}, 0))",
    "InventedForQuestion": "q-authority-unwitnessed-change",
    "SemanticTypeIri": "urn:effortless:pko-extension#RulebookField",
    "Name": "ProcedureVersions.ModifierIsAuthority",
    "IsDerived": true,
    "IsWitness": true,
    "DisagreeingSubstrateCount": 0.0,
    "IsSubstrateContested": false
   },
   {
    "RulebookFieldId": "ProcedureVersions.HasUnwitnessedChange",
    "TargetTable": "ProcedureVersions",
    "FieldName": "HasUnwitnessedChange",
    "FieldType": "calculated",
    "Datatype": "boolean",
    "Formula": "=AND({{IsLive}}, {{WasModifiedSinceLastReview}})",
    "InventedForQuestion": "q-authority-unwitnessed-change",
    "SemanticTypeIri": "urn:effortless:pko-extension#RulebookField",
    "Name": "ProcedureVersions.HasUnwitnessedChange",
    "IsDerived": true,
    "IsWitness": true,
    "DisagreeingSubstrateCount": 0.0,
    "IsSubstrateContested": false
   },
   {
    "RulebookFieldId": "ProcedureVersions.CountOfStaleFragments",
    "TargetTable": "ProcedureVersions",
    "FieldName": "CountOfStaleFragments",
    "FieldType": "aggregation",
    "Datatype": "integer",
    "Formula": "=COUNTIFS(KnowledgeFragments!{{ExceedsOwningCadence}}, TRUE)",
    "InventedForQuestion": "q-hr-policy-knowledge-half-life",
    "SemanticTypeIri": "urn:effortless:pko-extension#RulebookField",
    "Name": "ProcedureVersions.CountOfStaleFragments",
    "IsDerived": true,
    "IsWitness": true,
    "DisagreeingSubstrateCount": 0.0,
    "IsSubstrateContested": false
   },
   {
    "RulebookFieldId": "ProcedureVersions.KnowledgeIsStalerThanCadence",
    "TargetTable": "ProcedureVersions",
    "FieldName": "KnowledgeIsStalerThanCadence",
    "FieldType": "calculated",
    "Datatype": "boolean",
    "Formula": "={{CountOfStaleFragments}} &gt; 0",
    "InventedForQuestion": "q-hr-policy-knowledge-half-life",
    "SemanticTypeIri": "urn:effortless:pko-extension#RulebookField",
    "Name": "ProcedureVersions.KnowledgeIsStalerThanCadence",
    "IsDerived": true,
    "IsWitness": true,
    "DisagreeingSubstrateCount": 0.0,
    "IsSubstrateContested": false
   },
   {
    "RulebookFieldId": "ProcedureVersions.CompoundFragileFragmentCount",
    "TargetTable": "ProcedureVersions",
    "FieldName": "CompoundFragileFragmentCount",
    "FieldType": "aggregation",
    "Datatype": "number",
    "Formula": "=COUNTIFS(KnowledgeFragments!{{CompoundFragileVersionKey}}, {{ProcedureVersionId}})",
    "InventedForQuestion": "q2-authority-compound-fragility",
    "SemanticTypeIri": "urn:effortless:pko-extension#RulebookField",
    "Name": "ProcedureVersions.CompoundFragileFragmentCount",
    "IsDerived": true,
    "IsWitness": true,
    "DisagreeingSubstrateCount": 0.0,
    "IsSubstrateContested": false
   },
   {
    "RulebookFieldId": "ProcedureVersions.RestsOnCompoundFragileKnowledge",
    "TargetTable": "ProcedureVersions",
    "FieldName": "RestsOnCompoundFragileKnowledge",
    "FieldType": "calculated",
    "Datatype": "boolean",
    "Formula": "=AND({{IsLive}}, {{CompoundFragileFragmentCount}} &gt; 0)",
    "InventedForQuestion": "q2-authority-compound-fragility",
    "SemanticTypeIri": "urn:effortless:pko-extension#RulebookField",
    "Name": "ProcedureVersions.RestsOnCompoundFragileKnowledge",
    "IsDerived": true,
    "IsWitness": true,
    "DisagreeingSubstrateCount": 0.0,
    "IsSubstrateContested": false
   },
   {
    "RulebookFieldId": "ProcedureVersions.ConcentratedWitnessSessionCount",
    "TargetTable": "ProcedureVersions",
    "FieldName": "ConcentratedWitnessSessionCount",
    "FieldType": "aggregation",
    "Datatype": "number",
    "Formula": "=COUNTIFS(ElicitationSessions!{{ConcentratedSessionVersionKey}}, {{ProcedureVersionId}})",
    "InventedForQuestion": "q2-authority-elicitation-method-monoculture",
    "SemanticTypeIri": "urn:effortless:pko-extension#RulebookField",
    "Name": "ProcedureVersions.ConcentratedWitnessSessionCount",
    "IsDerived": true,
    "IsWitness": true,
    "DisagreeingSubstrateCount": 0.0,
    "IsSubstrateContested": false
   },
   {
    "RulebookFieldId": "ProcedureVersions.KnowledgeBaseIsConcentrated",
    "TargetTable": "ProcedureVersions",
    "FieldName": "KnowledgeBaseIsConcentrated",
    "FieldType": "calculated",
    "Datatype": "boolean",
    "Formula": "=AND({{IsLive}}, {{ConcentratedWitnessSessionCount}} &gt; 0)",
    "InventedForQuestion": "q2-authority-elicitation-method-monoculture",
    "SemanticTypeIri": "urn:effortless:pko-extension#RulebookField",
    "Name": "ProcedureVersions.KnowledgeBaseIsConcentrated",
    "IsDerived": true,
    "IsWitness": true,
    "DisagreeingSubstrateCount": 0.0,
    "IsSubstrateContested": false
   },
   {
    "RulebookFieldId": "ProcedureVersions.MachineConsumedUnapprovedCount",
    "TargetTable": "ProcedureVersions",
    "FieldName": "MachineConsumedUnapprovedCount",
    "FieldType": "aggregation",
    "Datatype": "number",
    "Formula": "=COUNTIFS(KnowledgeFragments!{{MachineConsumedUnapprovedVersionKey}}, {{ProcedureVersionId}})",
    "InventedForQuestion": "q2-authority-unapproved-knowledge-reaching-machines",
    "SemanticTypeIri": "urn:effortless:pko-extension#RulebookField",
    "Name": "ProcedureVersions.MachineConsumedUnapprovedCount",
    "IsDerived": true,
    "IsWitness": true,
    "DisagreeingSubstrateCount": 0.0,
    "IsSubstrateContested": false
   },
   {
    "RulebookFieldId": "ProcedureVersions.FeedsUnapprovedKnowledgeToMachines",
    "TargetTable": "ProcedureVersions",
    "FieldName": "FeedsUnapprovedKnowledgeToMachines",
    "FieldType": "calculated",
    "Datatype": "boolean",
    "Formula": "=AND({{IsLive}}, {{MachineConsumedUnapprovedCount}} &gt; 0)",
    "InventedForQuestion": "q2-authority-unapproved-knowledge-reaching-machines",
    "SemanticTypeIri": "urn:effortless:pko-extension#RulebookField",
    "Name": "ProcedureVersions.FeedsUnapprovedKnowledgeToMachines",
    "IsDerived": true,
    "IsWitness": true,
    "DisagreeingSubstrateCount": 0.0,
    "IsSubstrateContested": false
   },
   {
    "RulebookFieldId": "ProcedureVersions.GenuinelyOverdueFragmentCount",
    "TargetTable": "ProcedureVersions",
    "FieldName": "GenuinelyOverdueFragmentCount",
    "FieldType": "aggregation",
    "Datatype": "number",
    "Formula": "=COUNTIFS(KnowledgeFragments!{{GenuinelyOverdueVersionKey}}, {{ProcedureVersionId}})",
    "InventedForQuestion": "q2-authority-review-date-is-inferred-not-recorded",
    "SemanticTypeIri": "urn:effortless:pko-extension#RulebookField",
    "Name": "ProcedureVersions.GenuinelyOverdueFragmentCount",
    "IsDerived": true,
    "IsWitness": true,
    "DisagreeingSubstrateCount": 0.0,
    "IsSubstrateContested": false
   },
   {
    "RulebookFieldId": "ProcedureVersions.AwaitedDecisionCount",
    "TargetTable": "ProcedureVersions",
    "FieldName": "AwaitedDecisionCount",
    "FieldType": "aggregation",
    "Datatype": "number",
    "Formula": "=COUNTIFS(ChangeRequests!{{BacklogVersionKey}}, {{ProcedureVersionId}})",
    "InventedForQuestion": "q2-hr-my-backlog-is-someone-elses-block",
    "SemanticTypeIri": "urn:effortless:pko-extension#RulebookField",
    "Name": "ProcedureVersions.AwaitedDecisionCount",
    "IsDerived": true,
    "IsWitness": true,
    "DisagreeingSubstrateCount": 0.0,
    "IsSubstrateContested": false
   },
   {
    "RulebookFieldId": "ProcedureVersions.ScopedOpenBlockingGapCount",
    "TargetTable": "ProcedureVersions",
    "FieldName": "ScopedOpenBlockingGapCount",
    "FieldType": "aggregation",
    "Datatype": "number",
    "Formula": "=COUNTIFS(KnowledgeGaps!{{OpenBlockingGapVersionKey}}, {{ProcedureVersionId}})",
    "InventedForQuestion": "q2-hr-my-backlog-is-someone-elses-block",
    "SemanticTypeIri": "urn:effortless:pko-extension#RulebookField",
    "Name": "ProcedureVersions.ScopedOpenBlockingGapCount",
    "IsDerived": true,
    "IsWitness": true,
    "DisagreeingSubstrateCount": 0.0,
    "IsSubstrateContested": false
   },
   {
    "RulebookFieldId": "ProcedureVersions.IsBlockedOnPendingDecision",
    "TargetTable": "ProcedureVersions",
    "FieldName": "IsBlockedOnPendingDecision",
    "FieldType": "calculated",
    "Datatype": "boolean",
    "Formula": "=AND({{AwaitedDecisionCount}} &gt; 0, {{ScopedOpenBlockingGapCount}} &gt; 0)",
    "InventedForQuestion": "q2-hr-my-backlog-is-someone-elses-block",
    "SemanticTypeIri": "urn:effortless:pko-extension#RulebookField",
    "Name": "ProcedureVersions.IsBlockedOnPendingDecision",
    "IsDerived": true,
    "IsWitness": true,
    "DisagreeingSubstrateCount": 0.0,
    "IsSubstrateContested": false
   },
   {
    "RulebookFieldId": "ProcedureVersions.UnexercisedHumanGateCount",
    "TargetTable": "ProcedureVersions",
    "FieldName": "UnexercisedHumanGateCount",
    "FieldType": "aggregation",
    "Datatype": "number",
    "Formula": "=COUNTIFS(Steps!{{UnexercisedGateVersionKey}}, {{ProcedureVersionId}})",
    "InventedForQuestion": "q2-hr-ai-boundary-holds-only-where-tested",
    "SemanticTypeIri": "urn:effortless:pko-extension#RulebookField",
    "Name": "ProcedureVersions.UnexercisedHumanGateCount",
    "IsDerived": true,
    "IsWitness": true,
    "DisagreeingSubstrateCount": 0.0,
    "IsSubstrateContested": false
   },
   {
    "RulebookFieldId": "ProcedureVersions.AiBoundaryIsUnevidenced",
    "TargetTable": "ProcedureVersions",
    "FieldName": "AiBoundaryIsUnevidenced",
    "FieldType": "calculated",
    "Datatype": "boolean",
    "Formula": "=AND({{IsLive}}, {{UnexercisedHumanGateCount}} &gt; 0)",
    "InventedForQuestion": "q2-hr-ai-boundary-holds-only-where-tested",
    "SemanticTypeIri": "urn:effortless:pko-extension#RulebookField",
    "Name": "ProcedureVersions.AiBoundaryIsUnevidenced",
    "IsDerived": true,
    "IsWitness": true,
    "DisagreeingSubstrateCount": 0.0,
    "IsSubstrateContested": false
   },
   {
    "RulebookFieldId": "ProcedureVersions.LoadBearingUnapprovedCount",
    "TargetTable": "ProcedureVersions",
    "FieldName": "LoadBearingUnapprovedCount",
    "FieldType": "aggregation",
    "Datatype": "number",
    "Formula": "=COUNTIFS(KnowledgeFragments!{{UnapprovedLoadBearingVersionKey}}, {{ProcedureVersionId}})",
    "InventedForQuestion": "q2-hr-my-unapproved-claim-is-load-bearing",
    "SemanticTypeIri": "urn:effortless:pko-extension#RulebookField",
    "Name": "ProcedureVersions.LoadBearingUnapprovedCount",
    "IsDerived": true,
    "IsWitness": true,
    "DisagreeingSubstrateCount": 0.0,
    "IsSubstrateContested": false
   },
   {
    "RulebookFieldId": "ProcedureVersions.UnlandedDecisionCount",
    "TargetTable": "ProcedureVersions",
    "FieldName": "UnlandedDecisionCount",
    "FieldType": "aggregation",
    "Datatype": "number",
    "Formula": "=COUNTIFS(ChangeRequests!{{UnlandedVersionKey}}, {{ProcedureVersionId}})",
    "InventedForQuestion": "q2-hr-my-approvals-never-read-as-done",
    "SemanticTypeIri": "urn:effortless:pko-extension#RulebookField",
    "Name": "ProcedureVersions.UnlandedDecisionCount",
    "IsDerived": true,
    "IsWitness": true,
    "DisagreeingSubstrateCount": 0.0,
    "IsSubstrateContested": false
   },
   {
    "RulebookFieldId": "ProcedureVersions.UnrehearsedControlEntryCount",
    "TargetTable": "ProcedureVersions",
    "FieldName": "UnrehearsedControlEntryCount",
    "FieldType": "aggregation",
    "Datatype": "number",
    "Formula": "=COUNTIFS(StepTransitions!{{</t>
  </si>
  <si>
    <t xml:space="preserve">UnrehearsedControlVersionKey}}, {{ProcedureVersionId}})",
    "InventedForQuestion": "q2-steward-recovery-path-is-load-bearing",
    "SemanticTypeIri": "urn:effortless:pko-extension#RulebookField",
    "Name": "ProcedureVersions.UnrehearsedControlEntryCount",
    "IsDerived": true,
    "IsWitness": true,
    "DisagreeingSubstrateCount": 0.0,
    "IsSubstrateContested": false
   },
   {
    "RulebookFieldId": "ProcedureVersions.HasUnrehearsedControlEntry",
    "TargetTable": "ProcedureVersions",
    "FieldName": "HasUnrehearsedControlEntry",
    "FieldType": "calculated",
    "Datatype": "boolean",
    "Formula": "={{UnrehearsedControlEntryCount}} &gt; 0",
    "InventedForQuestion": "q2-steward-recovery-path-is-load-bearing",
    "SemanticTypeIri": "urn:effortless:pko-extension#RulebookField",
    "Name": "ProcedureVersions.HasUnrehearsedControlEntry",
    "IsDerived": true,
    "IsWitness": true,
    "DisagreeingSubstrateCount": 0.0,
    "IsSubstrateContested": false
   },
   {
    "RulebookFieldId": "ProcedureVersions.IsLiveWithUnrehearsedControl",
    "TargetTable": "ProcedureVersions",
    "FieldName": "IsLiveWithUnrehearsedControl",
    "FieldType": "calculated",
    "Datatype": "boolean",
    "Formula": "=AND({{IsLive}}, {{HasUnrehearsedControlEntry}})",
    "InventedForQuestion": "q2-steward-recovery-path-is-load-bearing",
    "SemanticTypeIri": "urn:effortless:pko-extension#RulebookField",
    "Name": "ProcedureVersions.IsLiveWithUnrehearsedControl",
    "IsDerived": true,
    "IsWitness": true,
    "DisagreeingSubstrateCount": 0.0,
    "IsSubstrateContested": false
   },
   {
    "RulebookFieldId": "ProcedureVersions.CadenceBreachCount",
    "TargetTable": "ProcedureVersions",
    "FieldName": "CadenceBreachCount",
    "FieldType": "aggregation",
    "Datatype": "number",
    "Formula": "=COUNTIFS(ReviewEvents!{{CadenceBreachVersionKey}}, {{ProcedureVersionId}})",
    "InventedForQuestion": "q2-steward-cadence-breach-is-unremediated",
    "SemanticTypeIri": "urn:effortless:pko-extension#RulebookField",
    "Name": "ProcedureVersions.CadenceBreachCount",
    "IsDerived": true,
    "IsWitness": true,
    "DisagreeingSubstrateCount": 0.0,
    "IsSubstrateContested": false
   },
   {
    "RulebookFieldId": "ProcedureVersions.IsInCadenceBreach",
    "TargetTable": "ProcedureVersions",
    "FieldName": "IsInCadenceBreach",
    "FieldType": "calculated",
    "Datatype": "boolean",
    "Formula": "={{CadenceBreachCount}} &gt; 0",
    "InventedForQuestion": "q2-steward-cadence-breach-is-unremediated",
    "SemanticTypeIri": "urn:effortless:pko-extension#RulebookField",
    "Name": "ProcedureVersions.IsInCadenceBreach",
    "IsDerived": true,
    "IsWitness": true,
    "DisagreeingSubstrateCount": 0.0,
    "IsSubstrateContested": false
   },
   {
    "RulebookFieldId": "ProcedureVersions.HasDecisionInFlight",
    "TargetTable": "ProcedureVersions",
    "FieldName": "HasDecisionInFlight",
    "FieldType": "calculated",
    "Datatype": "boolean",
    "Formula": "={{OpenChangeRequestCount}} &gt; 0",
    "InventedForQuestion": "q2-steward-cadence-breach-is-unremediated",
    "SemanticTypeIri": "urn:effortless:pko-extension#RulebookField",
    "Name": "ProcedureVersions.HasDecisionInFlight",
    "IsDerived": true,
    "IsWitness": true,
    "DisagreeingSubstrateCount": 0.0,
    "IsSubstrateContested": false
   },
   {
    "RulebookFieldId": "ProcedureVersions.IsUnremediatedCadenceBreach",
    "TargetTable": "ProcedureVersions",
    "FieldName": "IsUnremediatedCadenceBreach",
    "FieldType": "calculated",
    "Datatype": "boolean",
    "Formula": "=AND({{IsInCadenceBreach}}, NOT({{HasDecisionInFlight}}))",
    "InventedForQuestion": "q2-steward-cadence-breach-is-unremediated",
    "SemanticTypeIri": "urn:effortless:pko-extension#RulebookField",
    "Name": "ProcedureVersions.IsUnremediatedCadenceBreach",
    "IsDerived": true,
    "IsWitness": true,
    "DisagreeingSubstrateCount": 0.0,
    "IsSubstrateContested": false
   },
   {
    "RulebookFieldId": "ProcedureVersions.IsManagedCadenceBreach",
    "TargetTable": "ProcedureVersions",
    "FieldName": "IsManagedCadenceBreach",
    "FieldType": "calculated",
    "Datatype": "boolean",
    "Formula": "=AND({{IsInCadenceBreach}}, {{HasDecisionInFlight}})",
    "InventedForQuestion": "q2-steward-cadence-breach-is-unremediated",
    "SemanticTypeIri": "urn:effortless:pko-extension#RulebookField",
    "Name": "ProcedureVersions.IsManagedCadenceBreach",
    "IsDerived": true,
    "IsWitness": true,
    "DisagreeingSubstrateCount": 0.0,
    "IsSubstrateContested": false
   },
   {
    "RulebookFieldId": "ProcedureVersions.GovernanceIsSilent",
    "TargetTable": "ProcedureVersions",
    "FieldName": "GovernanceIsSilent",
    "FieldType": "calculated",
    "Datatype": "boolean",
    "Formula": "=AND({{IsLive}}, NOT({{HasGovernanceRecord}}))",
    "InventedForQuestion": "q2-steward-cadence-breach-is-unremediated",
    "SemanticTypeIri": "urn:effortless:pko-extension#RulebookField",
    "Name": "ProcedureVersions.GovernanceIsSilent",
    "IsDerived": true,
    "IsWitness": true,
    "DisagreeingSubstrateCount": 0.0,
    "IsSubstrateContested": false
   },
   {
    "RulebookFieldId": "ProcedureVersions.ValidFragmentCount",
    "TargetTable": "ProcedureVersions",
    "FieldName": "ValidFragmentCount",
    "FieldType": "aggregation",
    "Datatype": "number",
    "Formula": "=COUNTIFS(KnowledgeFragments!{{ValidFragmentVersionKey}}, {{ProcedureVersionId}})",
    "InventedForQuestion": "q2-steward-unstewarded-version-still-referenced",
    "SemanticTypeIri": "urn:effortless:pko-extension#RulebookField",
    "Name": "ProcedureVersions.ValidFragmentCount",
    "IsDerived": true,
    "IsWitness": true,
    "DisagreeingSubstrateCount": 0.0,
    "IsSubstrateContested": false
   },
   {
    "RulebookFieldId": "ProcedureVersions.StillOwnsValidKnowledge",
    "TargetTable": "ProcedureVersions",
    "FieldName": "StillOwnsValidKnowledge",
    "FieldType": "calculated",
    "Datatype": "boolean",
    "Formula": "={{ValidFragmentCount}} &gt; 0",
    "InventedForQuestion": "q2-steward-unstewarded-version-still-referenced",
    "SemanticTypeIri": "urn:effortless:pko-extension#RulebookField",
    "Name": "ProcedureVersions.StillOwnsValidKnowledge",
    "IsDerived": true,
    "IsWitness": true,
    "DisagreeingSubstrateCount": 0.0,
    "IsSubstrateContested": false
   },
   {
    "RulebookFieldId": "ProcedureVersions.IncomingSupersessionCount",
    "TargetTable": "ProcedureVersions",
    "FieldName": "IncomingSupersessionCount",
    "FieldType": "aggregation",
    "Datatype": "number",
    "Formula": "=COUNTIFS(ProcedureVersionLinks!{{SupersededVersionKey}}, {{ProcedureVersionId}})",
    "InventedForQuestion": "q2-steward-unstewarded-version-still-referenced",
    "SemanticTypeIri": "urn:effortless:pko-extension#RulebookField",
    "Name": "ProcedureVersions.IncomingSupersessionCount",
    "IsDerived": true,
    "IsWitness": true,
    "DisagreeingSubstrateCount": 1.0,
    "IsSubstrateContested": true
   },
   {
    "RulebookFieldId": "ProcedureVersions.IsStillReferenced",
    "TargetTable": "ProcedureVersions",
    "FieldName": "IsStillReferenced",
    "FieldType": "calculated",
    "Datatype": "boolean",
    "Formula": "={{IncomingSupersessionCount}} &gt; 0",
    "InventedForQuestion": "q2-steward-unstewarded-version-still-referenced",
    "SemanticTypeIri": "urn:effortless:pko-extension#RulebookField",
    "Name": "ProcedureVersions.IsStillReferenced",
    "IsDerived": true,
    "IsWitness": true,
    "DisagreeingSubstrateCount": 1.0,
    "IsSubstrateContested": true
   },
   {
    "RulebookFieldId": "ProcedureVersions.IsLoadBearingOrphan",
    "TargetTable": "ProcedureVersions",
    "FieldName": "IsLoadBearingOrphan",
    "FieldType": "calculated",
    "Datatype": "boolean",
    "Formula": "=AND({{IsUnstewarded}}, OR({{StillOwnsValidKnowledge}}, {{IsStillReferenced}}))",
    "InventedForQuestion": "q2-steward-unstewarded-version-still-referenced",
    "SemanticTypeIri": "urn:effortless:pko-extension#RulebookField",
    "Name": "ProcedureVersions.IsLoadBearingOrphan",
    "IsDerived": true,
    "IsWitness": true,
    "DisagreeingSubstrateCount": 1.0,
    "IsSubstrateContested": true
   },
   {
    "RulebookFieldId": "ProcedureVersions.IsCleanlyRetired",
    "TargetTable": "ProcedureVersions",
    "FieldName": "IsCleanlyRetired",
    "FieldType": "calculated",
    "Datatype": "boolean",
    "Formula": "=AND({{IsUnstewarded}}, NOT({{StillOwnsValidKnowledge}}), NOT({{IsStillReferenced}}))",
    "InventedForQuestion": "q2-steward-unstewarded-version-still-referenced",
    "SemanticTypeIri": "urn:effortless:pko-extension#RulebookField",
    "Name": "ProcedureVersions.IsCleanlyRetired",
    "IsDerived": true,
    "IsWitness": true,
    "DisagreeingSubstrateCount": 1.0,
    "IsSubstrateContested": true
   },
   {
    "RulebookFieldId": "ProcedureVersions.StalledImplementationCount",
    "TargetTable": "ProcedureVersions",
    "FieldName": "StalledImplementationCount",
    "FieldType": "aggregation",
    "Datatype": "number",
    "Formula": "=COUNTIFS(ChangeRequests!{{StalledImplementationVersionKey}}, {{ProcedureVersionId}})",
    "InventedForQuestion": "q2-steward-approved-cr-never-lands",
    "SemanticTypeIri": "urn:effortless:pko-extension#RulebookField",
    "Name": "ProcedureVersions.StalledImplementationCount",
    "IsDerived": true,
    "IsWitness": true,
    "DisagreeingSubstrateCount": 0.0,
    "IsSubstrateContested": false
   },
   {
    "RulebookFieldId": "ProcedureVersions.IsHeldUnfitByLandedDecisions",
    "TargetTable": "ProcedureVersions",
    "FieldName": "IsHeldUnfitByLandedDecisions",
    "FieldType": "calculated",
    "Datatype": "boolean",
    "Formula": "=AND(NOT({{IsFitToExecute}}), {{StalledImplementationCount}} &gt; 0)",
    "InventedForQuestion": "q2-steward-approved-cr-never-lands",
    "SemanticTypeIri": "urn:effortless:pko-extension#RulebookField",
    "Name": "ProcedureVersions.IsHeldUnfitByLandedDecisions",
    "IsDerived": true,
    "IsWitness": true,
    "DisagreeingSubstrateCount": 0.0,
    "IsSubstrateContested": false
   },
   {
    "RulebookFieldId": "ProcedureVersions.UndeclaredControlKindCount",
    "TargetTable": "ProcedureVersions",
    "FieldName": "UndeclaredControlKindCount",
    "FieldType": "aggregation",
    "Datatype": "number",
    "Formula": "=COUNTIFS(Steps!{{UndeclaredControlVersionKey}}, {{ProcedureVersionId}})",
    "InventedForQuestion": "q2-steward-control-kind-instead-of-hardcoded-ids",
    "SemanticTypeIri": "urn:effortless:pko-extension#RulebookField",
    "Name": "ProcedureVersions.UndeclaredControlKindCount",
    "IsDerived": true,
    "IsWitness": true,
    "DisagreeingSubstrateCount": 0.0,
    "IsSubstrateContested": false
   },
   {
    "RulebookFieldId": "ProcedureVersions.ControlTaxonomyIsIncomplete",
    "TargetTable": "ProcedureVersions",
    "FieldName": "ControlTaxonomyIsIncomplete",
    "FieldType": "calculated",
    "Datatype": "boolean",
    "Formula": "={{UndeclaredControlKindCount}} &gt; 0",
    "InventedForQuestion": "q2-steward-control-kind-instead-of-hardcoded-ids",
    "SemanticTypeIri": "urn:effortless:pko-extension#RulebookField",
    "Name": "ProcedureVersions.ControlTaxonomyIsIncomplete",
    "IsDerived": true,
    "IsWitness": true,
    "DisagreeingSubstrateCount": 0.0,
    "IsSubstrateContested": false
   },
   {
    "RulebookFieldId": "ProcedureVersions.HasApprovedChangeRequest",
    "TargetTable": "ProcedureVersions",
    "FieldName": "HasApprovedChangeRequest",
    "FieldType": "calculated",
    "Datatype": "boolean",
    "Formula": "={{ApprovedChangeRequestCount}} &gt; 0",
    "InventedForQuestion": "q2-ctl-divergence-that-nobody-governed",
    "SemanticTypeIri": "urn:effortless:pko-extension#RulebookField",
    "Name": "ProcedureVersions.HasApprovedChangeRequest",
    "IsDerived": true,
    "IsWitness": true,
    "DisagreeingSubstrateCount": 0.0,
    "IsSubstrateContested": false
   },
   {
    "RulebookFieldId": "ProcedureVersions.ApprovedChangeRequestCount",
    "TargetTable": "ProcedureVersions",
    "FieldName": "ApprovedChangeRequestCount",
    "FieldType": "aggregation",
    "Datatype": "number",
    "Formula": "=COUNTIFS(ChangeRequests!{{ApprovedVersionKey}}, {{ProcedureVersionId}})",
    "InventedForQuestion": "q2-ctl-divergence-that-nobody-governed",
    "SemanticTypeIri": "urn:effortless:pko-extension#RulebookField",
    "Name": "ProcedureVersions.ApprovedChangeRequestCount",
    "IsDerived": true,
    "IsWitness": true,
    "DisagreeingSubstrateCount": 0.0,
    "IsSubstrateContested": false
   },
   {
    "RulebookFieldId": "ProcedureVersions.UnwatchedUnownedControlCount",
    "TargetTable": "ProcedureVersions",
    "FieldName": "UnwatchedUnownedControlCount",
    "FieldType": "aggregation",
    "Datatype": "number",
    "Formula": "=COUNTIFS(Requirements!{{UnwatchedUnownedFlag}}, \"unwatched-unowned\")",
    "InventedForQuestion": "q2-cfo-controls-nobody-is-watching",
    "SemanticTypeIri": "urn:effortless:pko-extension#RulebookField",
    "Name": "ProcedureVersions.UnwatchedUnownedControlCount",
    "IsDerived": true,
    "IsWitness": true,
    "DisagreeingSubstrateCount": 0.0,
    "IsSubstrateContested": false
   },
   {
    "RulebookFieldId": "ProcedureVersions.MiningRunCount",
    "TargetTable": "ProcedureVersions",
    "FieldName": "MiningRunCount",
    "FieldType": "aggregation",
    "Datatype": "number",
    "Formula": "=COUNTIFS(ProcessMiningRuns!{{ProcedureVersion}}, {{ProcedureVersionId}})",
    "InventedForQuestion": "q-steward-mining-drift",
    "SemanticTypeIri": "urn:effortless:pko-extension#RulebookField",
    "Name": "ProcedureVersions.MiningRunCount",
    "IsDerived": true,
    "IsWitness": true,
    "DisagreeingSubstrateCount": 0.0,
    "IsSubstrateContested": false
   },
   {
    "RulebookFieldId": "ProcedureVersions.DriftedMiningRunCount",
    "TargetTable": "ProcedureVersions",
    "FieldName": "DriftedMiningRunCount",
    "FieldType": "aggregation",
    "Datatype": "number",
    "Formula": "=COUNTIFS(ProcessMiningRuns!{{DriftedMiningRunKey}}, {{ProcedureVersionId}})",
    "InventedForQuestion": "q-steward-mining-drift",
    "SemanticTypeIri": "urn:effortless:pko-extension#RulebookField",
    "Name": "ProcedureVersions.DriftedMiningRunCount",
    "IsDerived": true,
    "IsWitness": true,
    "DisagreeingSubstrateCount": 0.0,
    "IsSubstrateContested": false
   },
   {
    "RulebookFieldId": "ProcedureVersions.HasUnresolvedMiningDrift",
    "TargetTable": "ProcedureVersions",
    "FieldName": "HasUnresolvedMiningDrift",
    "FieldType": "calculated",
    "Datatype": "boolean",
    "Formula": "={{DriftedMiningRunCount}} &gt; 0",
    "InventedForQuestion": "q-steward-mining-drift",
    "SemanticTypeIri": "urn:effortless:pko-extension#RulebookField",
    "Name": "ProcedureVersions.HasUnresolvedMiningDrift",
    "IsDerived": true,
    "IsWitness": true,
    "DisagreeingSubstrateCount": 0.0,
    "IsSubstrateContested": false
   },
   {
    "RulebookFieldId": "ProcedureVersions.EntryStepId",
    "TargetTable": "ProcedureVersions",
    "FieldName": "EntryStepId",
    "FieldType": "aggregation",
    "Datatype": "string",
    "Formula": "=MAXIFS(Steps!{{EntryStepKey}}, Steps!{{ProcedureVersion}}, ProcedureVersions!{{ProcedureVersionId}})",
    "InventedForQuestion": "q-controller-gate-bypass",
    "SemanticTypeIri": "urn:effortless:pko-extension#RulebookField",
    "Name": "ProcedureVersions.EntryStepId",
    "IsDerived": true,
    "IsWitness": true,
    "DisagreeingSubstrateCount": 1.0,
    "IsSubstrateContested": true
   },
   {
    "RulebookFieldId": "ProcedureVersions.SemanticTypeIri",
    "TargetTable": "ProcedureVersions",
    "FieldName": "SemanticTypeIri",
    "FieldType": "raw",
    "Datatype": "string",
    "Formula": null,
    "InventedForQuestion": null,
    "SemanticTypeIri": "urn:effortless:pko-extension#RulebookField",
    "Name": "ProcedureVersions.SemanticTypeIri",
    "IsDerived": false,
    "IsWitness": false,
    "DisagreeingSubstrateCount": 0.0,
    "IsSubstrateContested": false
   },
   {
    "RulebookFieldId": "ProcedureVersionLinks.ProcedureVersionLinkId",
    "TargetTable": "ProcedureVersionLinks",
    "FieldName": "ProcedureVersionLinkId",
    "FieldType": "raw",
    "Datatype": "string",
    "Formula": null,
    "InventedForQuestion": null,
    "SemanticTypeIri": "urn:effortless:pko-extension#RulebookField",
    "Name": "ProcedureVersionLinks.ProcedureVersionLinkId",
    "IsDerived": false,
    "IsWitness": false,
    "DisagreeingSubstrateCount": 0.0,
    "IsSubstrateContested": false
   },
   {
    "RulebookFieldId": "ProcedureVersionLinks.Name",
    "TargetTable": "ProcedureVersionLinks",
    "FieldName": "Name",
    "FieldType": "calculated",
    "Datatype": "string",
    "Formula": "={{PreviousProcedureVersion}} &amp; \" -&gt; \" &amp; {{NextProcedureVersion}}",
    "InventedForQuestion": null,
    "SemanticTypeIri": "urn:effortless:pko-extension#RulebookField",
    "Name": "ProcedureVersionLinks.Name",
    "IsDerived": true,
    "IsWitness": false,
    "DisagreeingSubstrateCount": 0.0,
    "IsSubstrateContested": false
   },
   {
    "RulebookFieldId": "ProcedureVersionLinks.PreviousProcedureVersion",
    "TargetTable": "ProcedureVersionLinks",
    "FieldName": "PreviousProcedureVersion",
    "FieldType": "relationship",
    "Datatype": "string",
    "Formula": null,
    "InventedForQuestion": null,
    "SemanticTypeIri": "urn:effortless:pko-extension#RulebookField",
    "Name": "ProcedureVersionLinks.PreviousProcedureVersion",
    "IsDerived": false,
    "IsWitness": false,
    "DisagreeingSubstrateCount": 0.0,
    "IsSubstrateContested": false
   },
   {
    "RulebookFieldId": "ProcedureVersionLinks.NextProcedureVersion",
    "TargetTable": "ProcedureVersionLinks",
    "FieldName": "NextProcedureVersion",
    "FieldType": "relationship",
    "Datatype": "string",
    "Formula": null,
    "InventedForQuestion": null,
    "SemanticTypeIri": "urn:effortless:pko-extension#RulebookField",
    "Name": "ProcedureVersionLinks.NextProcedureVersion",
    "IsDerived": false,
    "IsWitness": false,
    "DisagreeingSubstrateCount": 0.0,
    "IsSubstrateContested": false
   },
   {
    "RulebookFieldId": "ProcedureVersionLinks.RelationIri",
    "TargetTable": "ProcedureVersionLinks",
    "FieldName": "RelationIri",
    "FieldType": "raw",
    "Datatype": "string",
    "Formula": null,
    "InventedForQuestion": null,
    "SemanticTypeIri": "urn:effortless:pko-extension#RulebookField",
    "Name": "ProcedureVersionLinks.RelationIri",
    "IsDerived": false,
    "IsWitness": false,
    "DisagreeingSubstrateCount": 0.0,
    "IsSubstrateContested": false
   },
   {
    "RulebookFieldId": "ProcedureVersionLinks.ChangeSummary",
    "TargetTable": "ProcedureVersionLinks",
    "FieldName": "ChangeSummary",
    "FieldType": "raw",
    "Datatype": "string",
    "Formula": null,
    "InventedForQuestion": null,
    "SemanticTypeIri": "urn:effortless:pko-extension#RulebookField",
    "Name": "ProcedureVersionLinks.ChangeSummary",
    "IsDerived": false,
    "IsWitness": false,
    "DisagreeingSubstrateCount": 0.0,
    "IsSubstrateContested": false
   },
   {
    "RulebookFieldId": "ProcedureVersionLinks.SupersededVersionKey",
    "TargetTable": "ProcedureVersionLinks",
    "FieldName": "SupersededVersionKey",
    "FieldType": "calculated",
    "Datatype": "string",
    "Formula": "=IF({{RelationIri}} = \"https://w3id.org/pko#nextVersion\", {{PreviousProcedureVersion}}, \"\")",
    "InventedForQuestion": "q2-steward-unstewarded-version-still-referenced",
    "SemanticTypeIri": "urn:effortless:pko-extension#RulebookField",
    "Name": "ProcedureVersionLinks.SupersededVersionKey",
    "IsDerived": true,
    "IsWitness": true,
    "DisagreeingSubstrateCount": 1.0,
    "IsSubstrateContested": true
   },
   {
    "RulebookFieldId": "ProcedureStatusChanges.ProcedureStatusChangeId",
    "TargetTable": "ProcedureStatusChanges",
    "FieldName": "ProcedureStatusChangeId",
    "FieldType": "raw",
    "Datatype": "string",
    "Formula": null,
    "InventedForQuestion": null,
    "SemanticTypeIri": "urn:effortless:pko-extension#RulebookField",
    "Name": "ProcedureStatusChanges.ProcedureStatusChangeId",
    "IsDerived": false,
    "IsWitness": false,
    "DisagreeingSubstrateCount": 0.0,
    "IsSubstrateContested": false
   },
   {
    "RulebookFieldId": "ProcedureStatusChanges.Name",
    "TargetTable": "ProcedureStatusChanges",
    "FieldName": "Name",
    "FieldType": "calculated",
    "Datatype": "string",
    "Formula": "={{ProcedureVersion}} &amp; \": \" &amp; {{FromStatus}} &amp; \" -&gt; \" &amp; {{ToStatus}}",
    "InventedForQuestion": null,
    "SemanticTypeIri": "urn:effortless:pko-extension#RulebookField",
    "Name": "ProcedureStatusChanges.Name",
    "IsDerived": true,
    "IsWitness": false,
    "DisagreeingSubstrateCount": 0.0,
    "IsSubstrateContested": false
   },
   {
    "RulebookFieldId": "ProcedureStatusChanges.ProcedureVersion",
    "TargetTable": "ProcedureStatusChanges",
    "FieldName": "ProcedureVersion",
    "FieldType": "relationship",
    "Datatype": "string",
    "Formula": null,
    "InventedForQuestion": null,
    "SemanticTypeIri": "urn:effortless:pko-extension#RulebookField",
    "Name": "ProcedureStatusChanges.ProcedureVersion",
    "IsDerived": false,
    "IsWitness": false,
    "DisagreeingSubstrateCount": 0.0,
    "IsSubstrateContested": false
   },
   {
    "RulebookFieldId": "ProcedureStatusChanges.FromStatus",
    "TargetTable": "ProcedureStatusChanges",
    "FieldName": "FromStatus",
    "FieldType": "raw",
    "Datatype": "string",
    "Formula": null,
    "InventedForQuestion": null,
    "SemanticTypeIri": "urn:effortless:pko-extension#RulebookField",
    "Name": "ProcedureStatusChanges.FromStatus",
    "IsDerived": false,
    "IsWitness": false,
    "DisagreeingSubstrateCount": 0.0,
    "IsSubstrateContested": false
   },
   {
    "RulebookFieldId": "ProcedureStatusChanges.ToStatus",
    "TargetTable": "ProcedureStatusChanges",
    "FieldName": "ToStatus",
    "FieldType": "raw",
    "Datatype": "string",
    "Formula": null,
    "InventedForQuestion": null,
    "SemanticTypeIri": "urn:effortless:pko-extension#RulebookField",
    "Name": "ProcedureStatusChanges.ToStatus",
    "IsDerived": false,
    "IsWitness": false,
    "DisagreeingSubstrateCount": 0.0,
    "IsSubstrateContested": false
   },
   {
    "RulebookFieldId": "ProcedureStatusChanges.ChangedAt",
    "TargetTable": "ProcedureStatusChanges",
    "FieldName": "ChangedAt",
    "FieldType": "raw",
    "Datatype": "datetime",
    "Formula": null,
    "InventedForQuestion": null,
    "SemanticTypeIri": "urn:effortless:pko-extension#RulebookField",
    "Name": "ProcedureStatusChanges.ChangedAt",
    "IsDerived": false,
    "IsWitness": false,
    "DisagreeingSubstrateCount": 0.0,
    "IsSubstrateContested": false
   },
   {
    "RulebookFieldId": "ProcedureStatusChanges.ChangedByAgent",
    "TargetTable": "ProcedureStatusChanges",
    "FieldName": "ChangedByAgent",
    "FieldType": "relationship",
    "Datatype": "string",
    "Formula": null,
    "InventedForQuestion": null,
    "SemanticTypeIri": "urn:effortless:pko-extension#RulebookField",
    "Name": "ProcedureStatusChanges.ChangedByAgent",
    "IsDerived": false,
    "IsWitness": false,
    "DisagreeingSubstrateCount": 0.0,
    "IsSubstrateContested": false
   },
   {
    "RulebookFieldId": "ProcedureStatusChanges.Motivation",
    "TargetTable": "ProcedureStatusChanges",
    "FieldName": "Motivation",
    "FieldType": "raw",
    "Datatype": "string",
    "Formula": null,
    "InventedForQuestion": null,
    "SemanticTypeIri": "urn:effortless:pko-extension#RulebookField",
    "Name": "ProcedureStatusChanges.Motivation",
    "IsDerived": false,
    "IsWitness": false,
    "DisagreeingSubstrateCount": 0.0,
    "IsSubstrateContested": false
   },
   {
    "RulebookFieldId": "ProcedureStatusChanges.SemanticTypeIri",
    "TargetTable": "ProcedureStatusChanges",
    "FieldName": "SemanticTypeIri",
    "FieldType": "raw",
    "Datatype": "string",
    "Formula": null,
    "InventedForQuestion": null,
    "SemanticTypeIri": "urn:effortless:pko-extension#RulebookField",
    "Name": "ProcedureStatusChanges.SemanticTypeIri",
    "IsDerived": false,
    "IsWitness": false,
    "DisagreeingSubstrateCount": 0.0,
    "IsSubstrateContested": false
   },
   {
    "RulebookFieldId": "Steps.StepId",
    "TargetTable": "Steps",
    "FieldName": "StepId",
    "FieldType": "raw",
    "Datatype": "string",
    "Formula": null,
    "InventedForQuestion": null,
    "SemanticTypeIri": "urn:effortless:pko-extension#RulebookField",
    "Name": "Steps.StepId",
    "IsDerived": false,
    "IsWitness": false,
    "DisagreeingSubstrateCount": 0.0,
    "IsSubstrateContested": false
   },
   {
    "RulebookFieldId": "Steps.Name",
    "TargetTable": "Steps",
    "FieldName": "Name",
    "FieldType": "calculated",
    "Datatype": "string",
    "Formula": "={{StepNumber}} &amp; \". \" &amp; {{Title}}",
    "InventedForQuestion": null,
    "SemanticTypeIri": "urn:effortless:pko-extension#RulebookField",
    "Name": "Steps.Name",
    "IsDerived": true,
    "IsWitness": false,
    "DisagreeingSubstrateCount": 0.0,
    "IsSubstrateContested": false
   },
   {
    "RulebookFieldId": "Steps.ProcedureVersion",
    "TargetTable": "Steps",
    "FieldName": "ProcedureVersion",
    "FieldType": "relationship",
    "Datatype": "string",
    "Formula": null,
    "InventedForQuestion": null,
    "SemanticTypeIri": "urn:effortless:pko-extension#RulebookField",
    "Name": "Steps.ProcedureVersion",
    "IsDerived": false,
    "IsWitness": false,
    "DisagreeingSubstrateCount": 0.0,
    "IsSubstrateContested": false
   },
   {
    "RulebookFieldId": "Steps.StepNumber",
    "TargetTable": "Steps",
    "FieldName": "StepNumber",
    "FieldType": "raw",
    "Datatype": "string",
    "Formula": null,
    "InventedForQuestion": null,
    "SemanticTypeIri": "urn:effortless:pko-extension#RulebookField",
    "Name": "Steps.StepNumber",
    "IsDerived": false,
    "IsWitness": false,
    "DisagreeingSubstrateCount": 0.0,
    "IsSubstrateContested": false
   },
   {
    "RulebookFieldId": "Steps.Title",
    "TargetTable": "Steps",
    "FieldName": "Title",
    "FieldType": "raw",
    "Datatype": "string",
    "Formula": null,
    "InventedForQuestion": null,
    "SemanticTypeIri": "urn:effortless:pko-extension#RulebookField",
    "Name": "Steps.Title",
    "IsDerived": false,
    "IsWitness": false,
    "DisagreeingSubstrateCount": 0.0,
    "IsSubstrateContested": false
   },
   {
    "RulebookFieldId": "Steps.StepKind",
    "TargetTable": "Steps",
    "FieldName": "StepKind",
    "FieldType": "raw",
    "Datatype": "string",
    "Formula": null,
    "InventedForQuestion": null,
    "SemanticTypeIri": "urn:effortless:pko-extension#RulebookField",
    "Name": "Steps.StepKind",
    "IsDerived": false,
    "IsWitness": false,
    "DisagreeingSubstrateCount": 0.0,
    "IsSubstrateContested": false
   },
   {
    "RulebookFieldId": "Steps.AssignedRole",
    "TargetTable": "Steps",
    "FieldName": "AssignedRole",
    "FieldType": "relationship",
    "Datatype": "string",
    "Formula": null,
    "InventedForQuestion": null,
    "SemanticTypeIri": "urn:effortless:pko-extension#RulebookField",
    "Name": "Steps.AssignedRole",
    "IsDerived": false,
    "IsWitness": false,
    "DisagreeingSubstrateCount": 0.0,
    "IsSubstrateContested": false
   },
   {
    "RulebookFieldId": "Steps.AssignedRoleLabel",
    "TargetTable": "Steps",
    "FieldName": "AssignedRoleLabel",
    "FieldType": "lookup",
    "Datatype": "string",
    "Formula": "=INDEX(Roles!{{Label}}, MATCH({{AssignedRole}}, Roles!{{RoleId}}, 0))",
    "InventedForQuestion": null,
    "SemanticTypeIri": "urn:effortless:pko-extension#RulebookField",
    "Name": "Steps.AssignedRoleLabel",
    "IsDerived": true,
    "IsWitness": false,
    "DisagreeingSubstrateCount": 0.0,
    "IsSubstrateContested": false
   },
   {
    "RulebookFieldId": "Steps.AssignedAgentKind",
    "TargetTable": "Steps",
    "FieldName": "AssignedAgentKind",
    "FieldType": "lookup",
    "Datatype": "string",
    "Formula": "=INDEX(Roles!{{CurrentAgentKind}}, MATCH({{AssignedRole}}, Roles!{{RoleId}}, 0))",
    "InventedForQuestion": null,
    "SemanticTypeIri": "urn:effortless:pko-extension#RulebookField",
    "Name": "Steps.AssignedAgentKind",
    "IsDerived": true,
    "IsWitness": false,
    "DisagreeingSubstrateCount": 0.0,
    "IsSubstrateContested": false
   },
   {
    "RulebookFieldId": "Steps.Instruction",
    "TargetTable": "Steps",
    "FieldName": "Instruction",
    "FieldType": "raw",
    "Datatype": "string",
    "Formula": null,
    "InventedForQuestion": null,
    "SemanticTypeIri": "urn:effortless:pko-extension#RulebookField",
    "Name": "Steps.Instruction",
    "IsDerived": false,
    "IsWitness": false,
    "DisagreeingSubstrateCount": 0.0,
    "IsSubstrateContested": false
   },
   {
    "RulebookFieldId": "Steps.ExpectedDurationMinutes",
    "TargetTable": "Steps",
    "FieldName": "ExpectedDurationMinutes",
    "FieldType": "raw",
    "Datatype": "integer",
    "Formula": null,
    "InventedForQuestion": null,
    "SemanticTypeIri": "urn:effortless:pko-extension#RulebookField",
    "Name": "Steps.ExpectedDurationMinutes",
    "IsDerived": false,
    "IsWitness": false,
    "DisagreeingSubstrateCount": 0.0,
    "IsSubstrateContested": false
   },
   {
    "RulebookFieldId": "Steps.ExpertiseLevel",
    "TargetTable": "Steps",
    "FieldName": "ExpertiseLevel",
    "FieldType": "raw",
    "Datatype": "string",
    "Formula": null,
    "InventedForQuestion": null,
    "SemanticTypeIri": "urn:effortless:pko-extension#RulebookField",
    "Name": "Steps.ExpertiseLevel",
    "IsDerived": false,
    "IsWitness": false,
    "DisagreeingSubstrateCount": 0.0,
    "IsSubstrateContested": false
   },
   {
    "RulebookFieldId": "Steps.RequiresHumanConfirmation",
    "TargetTable": "Steps",
    "FieldName": "RequiresHumanConfirmation",
    "FieldType": "raw",
    "Datatype": "boolean",
    "Formula": null,
    "InventedForQuestion": null,
    "SemanticTypeIri": "urn:effortless:pko-extension#RulebookField",
    "Name": "Steps.RequiresHumanConfirmation",
    "IsDerived": false,
    "IsWitness": false,
    "DisagreeingSubstrateCount": 0.0,
    "IsSubstrateContested": false
   },
   {
    "RulebookFieldId": "Steps.BlockingRequirementCount",
    "TargetTable": "Steps",
    "FieldName": "BlockingRequirementCount",
    "FieldType": "aggregation",
    "Datatype": "number",
    "Formula": "=COUNTIFS(StepRequirements!{{BlockingStepKey}}, {{StepId}})",
    "InventedForQuestion": "q-analyst-blocking-never-evaluated",
    "SemanticTypeIri": "urn:effortless:pko-extension#RulebookField",
    "Name": "Steps.BlockingRequirementCount",
    "IsDerived": true,
    "IsWitness": true,
    "DisagreeingSubstrateCount": 0.0,
    "IsSubstrateContested": false
   },
   {
    "RulebookFieldId": "Steps.StaleBindingCount",
    "TargetTable": "Steps",
    "FieldName": "StaleBindingCount",
    "FieldType": "aggregation",
    "Datatype": "number",
    "Formula": "=COUNTIFS(OperationalBindings!{{StaleBindingStepKey}}, {{StepId}})",
    "InventedForQuestion": "q-analyst-evidence-binding-stale",
    "SemanticTypeIri": "urn:effortless:pko-extension#RulebookField",
    "Name": "Steps.StaleBindingCount",
    "IsDerived": true,
    "IsWitness": true,
    "DisagreeingSubstrateCount": 0.0,
    "IsSubstrateContested": false
   },
   {
    "RulebookFieldId": "Steps.AuthoritativeStaleCount",
    "TargetTable": "Steps",
    "FieldName": "AuthoritativeStaleCount",
    "FieldType": "aggregation",
    "Datatype": "number",
    "Formula": "=COUNTIFS(OperationalBindings!{{AuthoritativeStaleStepKey}}, {{StepId}})",
    "InventedForQuestion": "q-analyst-evidence-binding-stale",
    "SemanticTypeIri": "urn:effortless:pko-extension#RulebookField",
    "Name": "Steps.AuthoritativeStaleCount",
    "IsDerived": true,
    "IsWitness": true,
    "DisagreeingSubstrateCount": 0.0,
    "IsSubstrateContested": false
   },
   {
    "RulebookFieldId": "Steps.AvailableExceptionCount",
    "TargetTable": "Steps",
    "FieldName": "AvailableExceptionCount",
    "FieldType": "aggregation",
    "Datatype": "number",
    "Formula": "=COUNTIFS(Exceptions!{{ActiveExceptionStepKey}}, {{StepId}})",
    "InventedForQuestion": "q-analyst-my-late-steps-unexplained",
    "SemanticTypeIri": "urn:effortless:pko-extension#RulebookField",
    "Name": "Steps.AvailableExceptionCount",
    "IsDerived": true,
    "IsWitness": true,
    "DisagreeingSubstrateCount": 0.0,
    "IsSubstrateContested": false
   },
   {
    "RulebookFieldId": "S</t>
  </si>
  <si>
    <t xml:space="preserve">teps.DeclaredVerificationCount",
    "TargetTable": "Steps",
    "FieldName": "DeclaredVerificationCount",
    "FieldType": "aggregation",
    "Datatype": "number",
    "Formula": "=COUNTIFS(StepVerifications!{{Step}}, {{StepId}})",
    "InventedForQuestion": "q-analyst-verification-declared-never-performed",
    "SemanticTypeIri": "urn:effortless:pko-extension#RulebookField",
    "Name": "Steps.DeclaredVerificationCount",
    "IsDerived": true,
    "IsWitness": true,
    "DisagreeingSubstrateCount": 0.0,
    "IsSubstrateContested": false
   },
   {
    "RulebookFieldId": "Steps.IsPreparationStep",
    "TargetTable": "Steps",
    "FieldName": "IsPreparationStep",
    "FieldType": "calculated",
    "Datatype": "boolean",
    "Formula": "=OR({{AssignedRole}} = \"finance-analyst\", {{AssignedRole}} = \"variance-review-agent\")",
    "InventedForQuestion": "q-controller-separation-of-duties",
    "SemanticTypeIri": "urn:effortless:pko-extension#RulebookField",
    "Name": "Steps.IsPreparationStep",
    "IsDerived": true,
    "IsWitness": true,
    "DisagreeingSubstrateCount": 0.0,
    "IsSubstrateContested": false
   },
   {
    "RulebookFieldId": "Steps.IsApprovalStep",
    "TargetTable": "Steps",
    "FieldName": "IsApprovalStep",
    "FieldType": "calculated",
    "Datatype": "boolean",
    "Formula": "=OR({{AssignedRole}} = \"controller\", {{AssignedRole}} = \"cfo\")",
    "InventedForQuestion": "q-controller-separation-of-duties",
    "SemanticTypeIri": "urn:effortless:pko-extension#RulebookField",
    "Name": "Steps.IsApprovalStep",
    "IsDerived": true,
    "IsWitness": true,
    "DisagreeingSubstrateCount": 0.0,
    "IsSubstrateContested": false
   },
   {
    "RulebookFieldId": "Steps.StaleAuthoritativeBindingCount",
    "TargetTable": "Steps",
    "FieldName": "StaleAuthoritativeBindingCount",
    "FieldType": "aggregation",
    "Datatype": "number",
    "Formula": "=COUNTIFS(OperationalBindings!{{StepWhenStale}}, {{StepId}})",
    "InventedForQuestion": "q-close-auto-input-freshness",
    "SemanticTypeIri": "urn:effortless:pko-extension#RulebookField",
    "Name": "Steps.StaleAuthoritativeBindingCount",
    "IsDerived": true,
    "IsWitness": true,
    "DisagreeingSubstrateCount": 0.0,
    "IsSubstrateContested": false
   },
   {
    "RulebookFieldId": "Steps.InputsAreFresh",
    "TargetTable": "Steps",
    "FieldName": "InputsAreFresh",
    "FieldType": "calculated",
    "Datatype": "boolean",
    "Formula": "={{StaleAuthoritativeBindingCount}} = 0",
    "InventedForQuestion": "q-close-auto-input-freshness",
    "SemanticTypeIri": "urn:effortless:pko-extension#RulebookField",
    "Name": "Steps.InputsAreFresh",
    "IsDerived": true,
    "IsWitness": true,
    "DisagreeingSubstrateCount": 0.0,
    "IsSubstrateContested": false
   },
   {
    "RulebookFieldId": "Steps.IsSoftwareAssigned",
    "TargetTable": "Steps",
    "FieldName": "IsSoftwareAssigned",
    "FieldType": "calculated",
    "Datatype": "boolean",
    "Formula": "=OR({{AssignedAgentKind}} = \"AIAgent\", {{AssignedAgentKind}} = \"AutomatedPipeline\")",
    "InventedForQuestion": "q-hr-ai-authored-commitments",
    "SemanticTypeIri": "urn:effortless:pko-extension#RulebookField",
    "Name": "Steps.IsSoftwareAssigned",
    "IsDerived": true,
    "IsWitness": true,
    "DisagreeingSubstrateCount": 0.0,
    "IsSubstrateContested": false
   },
   {
    "RulebookFieldId": "Steps.IsHumanApprovalGate",
    "TargetTable": "Steps",
    "FieldName": "IsHumanApprovalGate",
    "FieldType": "calculated",
    "Datatype": "boolean",
    "Formula": "=AND(NOT({{IsSoftwareAssigned}}), OR({{StepId}} = \"policy-05\", {{StepId}} = \"close-06\"))",
    "InventedForQuestion": "q-hr-ai-authored-commitments",
    "SemanticTypeIri": "urn:effortless:pko-extension#RulebookField",
    "Name": "Steps.IsHumanApprovalGate",
    "IsDerived": true,
    "IsWitness": true,
    "DisagreeingSubstrateCount": 0.0,
    "IsSubstrateContested": false
   },
   {
    "RulebookFieldId": "Steps.GateHeldByHuman",
    "TargetTable": "Steps",
    "FieldName": "GateHeldByHuman",
    "FieldType": "calculated",
    "Datatype": "boolean",
    "Formula": "=AND({{IsHumanApprovalGate}}, {{AssignedAgentKind}} = \"Human\")",
    "InventedForQuestion": "q-hr-ai-authored-commitments",
    "SemanticTypeIri": "urn:effortless:pko-extension#RulebookField",
    "Name": "Steps.GateHeldByHuman",
    "IsDerived": true,
    "IsWitness": true,
    "DisagreeingSubstrateCount": 0.0,
    "IsSubstrateContested": false
   },
   {
    "RulebookFieldId": "Steps.BindingBoundaryCount",
    "TargetTable": "Steps",
    "FieldName": "BindingBoundaryCount",
    "FieldType": "aggregation",
    "Datatype": "number",
    "Formula": "=COUNTIFS(AuthorityBoundaries!{{StepWhenBinding}}, {{StepId}})",
    "InventedForQuestion": "q-variance-ai-boundary-compliance",
    "SemanticTypeIri": "urn:effortless:pko-extension#RulebookField",
    "Name": "Steps.BindingBoundaryCount",
    "IsDerived": true,
    "IsWitness": true,
    "DisagreeingSubstrateCount": 0.0,
    "IsSubstrateContested": false
   },
   {
    "RulebookFieldId": "Steps.AssignedRoleIsUngoverned",
    "TargetTable": "Steps",
    "FieldName": "AssignedRoleIsUngoverned",
    "FieldType": "lookup",
    "Datatype": "boolean",
    "Formula": "=INDEX(Roles!{{IsUngovernedNonHumanRole}}, MATCH({{AssignedRole}}, Roles!{{RoleId}}, 0))",
    "InventedForQuestion": "q-policy-ai-no-role-assignment",
    "SemanticTypeIri": "urn:effortless:pko-extension#RulebookField",
    "Name": "Steps.AssignedRoleIsUngoverned",
    "IsDerived": true,
    "IsWitness": true,
    "DisagreeingSubstrateCount": 0.0,
    "IsSubstrateContested": false
   },
   {
    "RulebookFieldId": "Steps.UnusableBindingCount",
    "TargetTable": "Steps",
    "FieldName": "UnusableBindingCount",
    "FieldType": "aggregation",
    "Datatype": "number",
    "Formula": "=COUNTIFS(OperationalBindings!{{StepWhenUnusable}}, {{StepId}})",
    "InventedForQuestion": "q-policy-ai-source-approval",
    "SemanticTypeIri": "urn:effortless:pko-extension#RulebookField",
    "Name": "Steps.UnusableBindingCount",
    "IsDerived": true,
    "IsWitness": true,
    "DisagreeingSubstrateCount": 0.0,
    "IsSubstrateContested": false
   },
   {
    "RulebookFieldId": "Steps.AllSourcesUsable",
    "TargetTable": "Steps",
    "FieldName": "AllSourcesUsable",
    "FieldType": "calculated",
    "Datatype": "boolean",
    "Formula": "={{UnusableBindingCount}} = 0",
    "InventedForQuestion": "q-policy-ai-source-approval",
    "SemanticTypeIri": "urn:effortless:pko-extension#RulebookField",
    "Name": "Steps.AllSourcesUsable",
    "IsDerived": true,
    "IsWitness": true,
    "DisagreeingSubstrateCount": 0.0,
    "IsSubstrateContested": false
   },
   {
    "RulebookFieldId": "Steps.ControlKind",
    "TargetTable": "Steps",
    "FieldName": "ControlKind",
    "FieldType": "raw",
    "Datatype": "string",
    "Formula": null,
    "InventedForQuestion": null,
    "SemanticTypeIri": "urn:effortless:pko-extension#RulebookField",
    "Name": "Steps.ControlKind",
    "IsDerived": false,
    "IsWitness": false,
    "DisagreeingSubstrateCount": 0.0,
    "IsSubstrateContested": false
   },
   {
    "RulebookFieldId": "Steps.UnwarrantedBoundaryCount",
    "TargetTable": "Steps",
    "FieldName": "UnwarrantedBoundaryCount",
    "FieldType": "aggregation",
    "Datatype": "number",
    "Formula": "=COUNTIFS(AuthorityBoundaries!{{UnwarrantedBoundaryStepKey}}, {{StepId}})",
    "InventedForQuestion": "q2-authority-boundary-rests-on-expired-claim",
    "SemanticTypeIri": "urn:effortless:pko-extension#RulebookField",
    "Name": "Steps.UnwarrantedBoundaryCount",
    "IsDerived": true,
    "IsWitness": true,
    "DisagreeingSubstrateCount": 0.0,
    "IsSubstrateContested": false
   },
   {
    "RulebookFieldId": "Steps.IsGovernedByUnwarrantedBoundary",
    "TargetTable": "Steps",
    "FieldName": "IsGovernedByUnwarrantedBoundary",
    "FieldType": "calculated",
    "Datatype": "boolean",
    "Formula": "={{UnwarrantedBoundaryCount}} &gt; 0",
    "InventedForQuestion": "q2-authority-boundary-rests-on-expired-claim",
    "SemanticTypeIri": "urn:effortless:pko-extension#RulebookField",
    "Name": "Steps.IsGovernedByUnwarrantedBoundary",
    "IsDerived": true,
    "IsWitness": true,
    "DisagreeingSubstrateCount": 0.0,
    "IsSubstrateContested": false
   },
   {
    "RulebookFieldId": "Steps.SoftwareExecutionCount",
    "TargetTable": "Steps",
    "FieldName": "SoftwareExecutionCount",
    "FieldType": "aggregation",
    "Datatype": "number",
    "Formula": "=COUNTIFS(StepExecutions!{{SoftwareExecutionStepKey}}, {{StepId}})",
    "InventedForQuestion": "q2-hr-ai-boundary-holds-only-where-tested",
    "SemanticTypeIri": "urn:effortless:pko-extension#RulebookField",
    "Name": "Steps.SoftwareExecutionCount",
    "IsDerived": true,
    "IsWitness": true,
    "DisagreeingSubstrateCount": 0.0,
    "IsSubstrateContested": false
   },
   {
    "RulebookFieldId": "Steps.HasBeenApproachedBySoftware",
    "TargetTable": "Steps",
    "FieldName": "HasBeenApproachedBySoftware",
    "FieldType": "calculated",
    "Datatype": "boolean",
    "Formula": "={{SoftwareExecutionCount}} &gt; 0",
    "InventedForQuestion": "q2-hr-ai-boundary-holds-only-where-tested",
    "SemanticTypeIri": "urn:effortless:pko-extension#RulebookField",
    "Name": "Steps.HasBeenApproachedBySoftware",
    "IsDerived": true,
    "IsWitness": true,
    "DisagreeingSubstrateCount": 0.0,
    "IsSubstrateContested": false
   },
   {
    "RulebookFieldId": "Steps.IsUnexercisedHumanGate",
    "TargetTable": "Steps",
    "FieldName": "IsUnexercisedHumanGate",
    "FieldType": "calculated",
    "Datatype": "boolean",
    "Formula": "=AND({{IsHumanApprovalGate}}, NOT({{HasBeenApproachedBySoftware}}))",
    "InventedForQuestion": "q2-hr-ai-boundary-holds-only-where-tested",
    "SemanticTypeIri": "urn:effortless:pko-extension#RulebookField",
    "Name": "Steps.IsUnexercisedHumanGate",
    "IsDerived": true,
    "IsWitness": true,
    "DisagreeingSubstrateCount": 0.0,
    "IsSubstrateContested": false
   },
   {
    "RulebookFieldId": "Steps.IsDemonstratedHumanGate",
    "TargetTable": "Steps",
    "FieldName": "IsDemonstratedHumanGate",
    "FieldType": "calculated",
    "Datatype": "boolean",
    "Formula": "=AND({{IsHumanApprovalGate}}, {{HasBeenApproachedBySoftware}}, {{GateHeldByHuman}})",
    "InventedForQuestion": "q2-hr-ai-boundary-holds-only-where-tested",
    "SemanticTypeIri": "urn:effortless:pko-extension#RulebookField",
    "Name": "Steps.IsDemonstratedHumanGate",
    "IsDerived": true,
    "IsWitness": true,
    "DisagreeingSubstrateCount": 0.0,
    "IsSubstrateContested": false
   },
   {
    "RulebookFieldId": "Steps.UnexercisedGateVersionKey",
    "TargetTable": "Steps",
    "FieldName": "UnexercisedGateVersionKey",
    "FieldType": "calculated",
    "Datatype": "string",
    "Formula": "=IF({{IsUnexercisedHumanGate}}, {{ProcedureVersion}}, \"\")",
    "InventedForQuestion": "q2-hr-ai-boundary-holds-only-where-tested",
    "SemanticTypeIri": "urn:effortless:pko-extension#RulebookField",
    "Name": "Steps.UnexercisedGateVersionKey",
    "IsDerived": true,
    "IsWitness": true,
    "DisagreeingSubstrateCount": 0.0,
    "IsSubstrateContested": false
   },
   {
    "RulebookFieldId": "Steps.HasDeclaredControlKind",
    "TargetTable": "Steps",
    "FieldName": "HasDeclaredControlKind",
    "FieldType": "calculated",
    "Datatype": "boolean",
    "Formula": "={{ControlKind}} &lt;&gt; \"\"",
    "InventedForQuestion": "q2-steward-control-kind-instead-of-hardcoded-ids",
    "SemanticTypeIri": "urn:effortless:pko-extension#RulebookField",
    "Name": "Steps.HasDeclaredControlKind",
    "IsDerived": true,
    "IsWitness": true,
    "DisagreeingSubstrateCount": 0.0,
    "IsSubstrateContested": false
   },
   {
    "RulebookFieldId": "Steps.UndeclaredControlVersionKey",
    "TargetTable": "Steps",
    "FieldName": "UndeclaredControlVersionKey",
    "FieldType": "calculated",
    "Datatype": "string",
    "Formula": "=IF({{HasDeclaredControlKind}}, \"\", {{ProcedureVersion}})",
    "InventedForQuestion": "q2-steward-control-kind-instead-of-hardcoded-ids",
    "SemanticTypeIri": "urn:effortless:pko-extension#RulebookField",
    "Name": "Steps.UndeclaredControlVersionKey",
    "IsDerived": true,
    "IsWitness": true,
    "DisagreeingSubstrateCount": 0.0,
    "IsSubstrateContested": false
   },
   {
    "RulebookFieldId": "Steps.ApprovalStepIsSoftwareAssigned",
    "TargetTable": "Steps",
    "FieldName": "ApprovalStepIsSoftwareAssigned",
    "FieldType": "calculated",
    "Datatype": "boolean",
    "Formula": "=AND({{ControlKind}} = \"Approval\", {{IsSoftwareAssigned}})",
    "InventedForQuestion": "q2-steward-control-kind-instead-of-hardcoded-ids",
    "SemanticTypeIri": "urn:effortless:pko-extension#RulebookField",
    "Name": "Steps.ApprovalStepIsSoftwareAssigned",
    "IsDerived": true,
    "IsWitness": true,
    "DisagreeingSubstrateCount": 0.0,
    "IsSubstrateContested": false
   },
   {
    "RulebookFieldId": "Steps.UnwitnessedBlockingCount",
    "TargetTable": "Steps",
    "FieldName": "UnwitnessedBlockingCount",
    "FieldType": "aggregation",
    "Datatype": "number",
    "Formula": "=COUNTIFS(StepRequirements!{{UnwitnessedStepKey}}, {{StepId}})",
    "InventedForQuestion": "q2-fa-witness-coverage-of-my-steps",
    "SemanticTypeIri": "urn:effortless:pko-extension#RulebookField",
    "Name": "Steps.UnwitnessedBlockingCount",
    "IsDerived": true,
    "IsWitness": true,
    "DisagreeingSubstrateCount": 0.0,
    "IsSubstrateContested": false
   },
   {
    "RulebookFieldId": "Steps.ReachableStepCount",
    "TargetTable": "Steps",
    "FieldName": "ReachableStepCount",
    "FieldType": "aggregation",
    "Datatype": "integer",
    "Formula": "=COUNTIFS(vw_step_transitions_closure!{{FromId}}, Steps!{{StepId}})",
    "InventedForQuestion": "q-steward-rework-loops",
    "SemanticTypeIri": "urn:effortless:pko-extension#RulebookField",
    "Name": "Steps.ReachableStepCount",
    "IsDerived": true,
    "IsWitness": true,
    "DisagreeingSubstrateCount": 1.0,
    "IsSubstrateContested": true
   },
   {
    "RulebookFieldId": "Steps.ReachedFromStepCount",
    "TargetTable": "Steps",
    "FieldName": "ReachedFromStepCount",
    "FieldType": "aggregation",
    "Datatype": "integer",
    "Formula": "=COUNTIFS(vw_step_transitions_closure!{{ToId}}, Steps!{{StepId}})",
    "InventedForQuestion": "q-steward-rework-loops",
    "SemanticTypeIri": "urn:effortless:pko-extension#RulebookField",
    "Name": "Steps.ReachedFromStepCount",
    "IsDerived": true,
    "IsWitness": true,
    "DisagreeingSubstrateCount": 1.0,
    "IsSubstrateContested": true
   },
   {
    "RulebookFieldId": "Steps.SelfReachCount",
    "TargetTable": "Steps",
    "FieldName": "SelfReachCount",
    "FieldType": "aggregation",
    "Datatype": "integer",
    "Formula": "=COUNTIFS(vw_step_transitions_closure!{{FromId}}, Steps!{{StepId}}, vw_step_transitions_closure!{{ToId}}, Steps!{{StepId}})",
    "InventedForQuestion": "q-steward-rework-loops",
    "SemanticTypeIri": "urn:effortless:pko-extension#RulebookField",
    "Name": "Steps.SelfReachCount",
    "IsDerived": true,
    "IsWitness": true,
    "DisagreeingSubstrateCount": 1.0,
    "IsSubstrateContested": true
   },
   {
    "RulebookFieldId": "Steps.IsOnReworkLoop",
    "TargetTable": "Steps",
    "FieldName": "IsOnReworkLoop",
    "FieldType": "calculated",
    "Datatype": "boolean",
    "Formula": "={{SelfReachCount}} &gt; 0",
    "InventedForQuestion": "q-steward-rework-loops",
    "SemanticTypeIri": "urn:effortless:pko-extension#RulebookField",
    "Name": "Steps.IsOnReworkLoop",
    "IsDerived": true,
    "IsWitness": true,
    "DisagreeingSubstrateCount": 1.0,
    "IsSubstrateContested": true
   },
   {
    "RulebookFieldId": "Steps.IsBlockingControlOnReworkLoop",
    "TargetTable": "Steps",
    "FieldName": "IsBlockingControlOnReworkLoop",
    "FieldType": "calculated",
    "Datatype": "boolean",
    "Formula": "=AND({{IsOnReworkLoop}}, {{BlockingRequirementCount}} &gt; 0)",
    "InventedForQuestion": "q-steward-rework-loops",
    "SemanticTypeIri": "urn:effortless:pko-extension#RulebookField",
    "Name": "Steps.IsBlockingControlOnReworkLoop",
    "IsDerived": true,
    "IsWitness": true,
    "DisagreeingSubstrateCount": 1.0,
    "IsSubstrateContested": true
   },
   {
    "RulebookFieldId": "Steps.IncomingTransitionCount",
    "TargetTable": "Steps",
    "FieldName": "IncomingTransitionCount",
    "FieldType": "aggregation",
    "Datatype": "integer",
    "Formula": "=COUNTIFS(StepTransitions!{{ToStep}}, Steps!{{StepId}})",
    "InventedForQuestion": "q-controller-gate-bypass",
    "SemanticTypeIri": "urn:effortless:pko-extension#RulebookField",
    "Name": "Steps.IncomingTransitionCount",
    "IsDerived": true,
    "IsWitness": true,
    "DisagreeingSubstrateCount": 0.0,
    "IsSubstrateContested": false
   },
   {
    "RulebookFieldId": "Steps.IsEntryStep",
    "TargetTable": "Steps",
    "FieldName": "IsEntryStep",
    "FieldType": "calculated",
    "Datatype": "boolean",
    "Formula": "={{IncomingTransitionCount}} = 0",
    "InventedForQuestion": "q-controller-gate-bypass",
    "SemanticTypeIri": "urn:effortless:pko-extension#RulebookField",
    "Name": "Steps.IsEntryStep",
    "IsDerived": true,
    "IsWitness": true,
    "DisagreeingSubstrateCount": 0.0,
    "IsSubstrateContested": false
   },
   {
    "RulebookFieldId": "Steps.EntryStepKey",
    "TargetTable": "Steps",
    "FieldName": "EntryStepKey",
    "FieldType": "calculated",
    "Datatype": "string",
    "Formula": "=IF({{IsEntryStep}}, {{StepId}}, \"\")",
    "InventedForQuestion": "q-controller-gate-bypass",
    "SemanticTypeIri": "urn:effortless:pko-extension#RulebookField",
    "Name": "Steps.EntryStepKey",
    "IsDerived": true,
    "IsWitness": true,
    "DisagreeingSubstrateCount": 0.0,
    "IsSubstrateContested": false
   },
   {
    "RulebookFieldId": "Steps.VersionEntryStepId",
    "TargetTable": "Steps",
    "FieldName": "VersionEntryStepId",
    "FieldType": "lookup",
    "Datatype": "string",
    "Formula": "=INDEX(ProcedureVersions!{{EntryStepId}}, MATCH({{ProcedureVersion}}, ProcedureVersions!{{ProcedureVersionId}}, 0))",
    "InventedForQuestion": "q-controller-gate-bypass",
    "SemanticTypeIri": "urn:effortless:pko-extension#RulebookField",
    "Name": "Steps.VersionEntryStepId",
    "IsDerived": true,
    "IsWitness": true,
    "DisagreeingSubstrateCount": 1.0,
    "IsSubstrateContested": true
   },
   {
    "RulebookFieldId": "Steps.GateFreeReachFromEntryCount",
    "TargetTable": "Steps",
    "FieldName": "GateFreeReachFromEntryCount",
    "FieldType": "aggregation",
    "Datatype": "integer",
    "Formula": "=COUNTIFS(vw_step_transitions_closure_where_avoids_human_approval_gate!{{FromId}}, {{VersionEntryStepId}}, vw_step_transitions_closure_where_avoids_human_approval_gate!{{ToId}}, Steps!{{StepId}})",
    "InventedForQuestion": "q-controller-gate-bypass",
    "SemanticTypeIri": "urn:effortless:pko-extension#RulebookField",
    "Name": "Steps.GateFreeReachFromEntryCount",
    "IsDerived": true,
    "IsWitness": true,
    "DisagreeingSubstrateCount": 1.0,
    "IsSubstrateContested": true
   },
   {
    "RulebookFieldId": "Steps.IsReachableFromEntryWithoutHumanGate",
    "TargetTable": "Steps",
    "FieldName": "IsReachableFromEntryWithoutHumanGate",
    "FieldType": "calculated",
    "Datatype": "boolean",
    "Formula": "={{GateFreeReachFromEntryCount}} &gt; 0",
    "InventedForQuestion": "q-controller-gate-bypass",
    "SemanticTypeIri": "urn:effortless:pko-extension#RulebookField",
    "Name": "Steps.IsReachableFromEntryWithoutHumanGate",
    "IsDerived": true,
    "IsWitness": true,
    "DisagreeingSubstrateCount": 1.0,
    "IsSubstrateContested": true
   },
   {
    "RulebookFieldId": "Steps.IsGateBypassedPublication",
    "TargetTable": "Steps",
    "FieldName": "IsGateBypassedPublication",
    "FieldType": "calculated",
    "Datatype": "boolean",
    "Formula": "=AND({{ControlKind}} = \"Publication\", {{IsReachableFromEntryWithoutHumanGate}})",
    "InventedForQuestion": "q-controller-gate-bypass",
    "SemanticTypeIri": "urn:effortless:pko-extension#RulebookField",
    "Name": "Steps.IsGateBypassedPublication",
    "IsDerived": true,
    "IsWitness": true,
    "DisagreeingSubstrateCount": 1.0,
    "IsSubstrateContested": true
   },
   {
    "RulebookFieldId": "Steps.SemanticTypeIri",
    "TargetTable": "Steps",
    "FieldName": "SemanticTypeIri",
    "FieldType": "raw",
    "Datatype": "string",
    "Formula": null,
    "InventedForQuestion": null,
    "SemanticTypeIri": "urn:effortless:pko-extension#RulebookField",
    "Name": "Steps.SemanticTypeIri",
    "IsDerived": false,
    "IsWitness": false,
    "DisagreeingSubstrateCount": 0.0,
    "IsSubstrateContested": false
   },
   {
    "RulebookFieldId": "StepTransitions.StepTransitionId",
    "TargetTable": "StepTransitions",
    "FieldName": "StepTransitionId",
    "FieldType": "raw",
    "Datatype": "string",
    "Formula": null,
    "InventedForQuestion": null,
    "SemanticTypeIri": "urn:effortless:pko-extension#RulebookField",
    "Name": "StepTransitions.StepTransitionId",
    "IsDerived": false,
    "IsWitness": false,
    "DisagreeingSubstrateCount": 0.0,
    "IsSubstrateContested": false
   },
   {
    "RulebookFieldId": "StepTransitions.Name",
    "TargetTable": "StepTransitions",
    "FieldName": "Name",
    "FieldType": "calculated",
    "Datatype": "string",
    "Formula": "={{FromStep}} &amp; \" -&gt; \" &amp; {{ToStep}}",
    "InventedForQuestion": null,
    "SemanticTypeIri": "urn:effortless:pko-extension#RulebookField",
    "Name": "StepTransitions.Name",
    "IsDerived": true,
    "IsWitness": false,
    "DisagreeingSubstrateCount": 0.0,
    "IsSubstrateContested": false
   },
   {
    "RulebookFieldId": "StepTransitions.ProcedureVersion",
    "TargetTable": "StepTransitions",
    "FieldName": "ProcedureVersion",
    "FieldType": "relationship",
    "Datatype": "string",
    "Formula": null,
    "InventedForQuestion": null,
    "SemanticTypeIri": "urn:effortless:pko-extension#RulebookField",
    "Name": "StepTransitions.ProcedureVersion",
    "IsDerived": false,
    "IsWitness": false,
    "DisagreeingSubstrateCount": 0.0,
    "IsSubstrateContested": false
   },
   {
    "RulebookFieldId": "StepTransitions.FromStep",
    "TargetTable": "StepTransitions",
    "FieldName": "FromStep",
    "FieldType": "relationship",
    "Datatype": "string",
    "Formula": null,
    "InventedForQuestion": null,
    "SemanticTypeIri": "urn:effortless:pko-extension#RulebookField",
    "Name": "StepTransitions.FromStep",
    "IsDerived": false,
    "IsWitness": false,
    "DisagreeingSubstrateCount": 0.0,
    "IsSubstrateContested": false
   },
   {
    "RulebookFieldId": "StepTransitions.ToStep",
    "TargetTable": "StepTransitions",
    "FieldName": "ToStep",
    "FieldType": "relationship",
    "Datatype": "string",
    "Formula": null,
    "InventedForQuestion": null,
    "SemanticTypeIri": "urn:effortless:pko-extension#RulebookField",
    "Name": "StepTransitions.ToStep",
    "IsDerived": false,
    "IsWitness": false,
    "DisagreeingSubstrateCount": 0.0,
    "IsSubstrateContested": false
   },
   {
    "RulebookFieldId": "StepTransitions.TransitionKind",
    "TargetTable": "StepTransitions",
    "FieldName": "TransitionKind",
    "FieldType": "raw",
    "Datatype": "string",
    "Formula": null,
    "InventedForQuestion": null,
    "SemanticTypeIri": "urn:effortless:pko-extension#RulebookField",
    "Name": "StepTransitions.TransitionKind",
    "IsDerived": false,
    "IsWitness": false,
    "DisagreeingSubstrateCount": 0.0,
    "IsSubstrateContested": false
   },
   {
    "RulebookFieldId": "StepTransitions.Condition",
    "TargetTable": "StepTransitions",
    "FieldName": "Condition",
    "FieldType": "raw",
    "Datatype": "string",
    "Formula": null,
    "InventedForQuestion": null,
    "SemanticTypeIri": "urn:effortless:pko-extension#RulebookField",
    "Name": "StepTransitions.Condition",
    "IsDerived": false,
    "IsWitness": false,
    "DisagreeingSubstrateCount": 0.0,
    "IsSubstrateContested": false
   },
   {
    "RulebookFieldId": "StepTransitions.Priority",
    "TargetTable": "StepTransitions",
    "FieldName": "Priority",
    "FieldType": "raw",
    "Datatype": "integer",
    "Formula": null,
    "InventedForQuestion": null,
    "SemanticTypeIri": "urn:effortless:pko-extension#RulebookField",
    "Name": "StepTransitions.Priority",
    "IsDerived": false,
    "IsWitness": false,
    "DisagreeingSubstrateCount": 0.0,
    "IsSubstrateContested": false
   },
   {
    "RulebookFieldId": "StepTransitions.IsRecoveryPath",
    "TargetTable": "StepTransitions",
    "FieldName": "IsRecoveryPath",
    "FieldType": "calculated",
    "Datatype": "boolean",
    "Formula": "=OR({{TransitionKind}} = \"Fallback\", {{TransitionKind}} = \"Alternative\")",
    "InventedForQuestion": "q-steward-untested-fallbacks",
    "SemanticTypeIri": "urn:effortless:pko-extension#RulebookField",
    "Name": "StepTransitions.IsRecoveryPath",
    "IsDerived": true,
    "IsWitness": true,
    "DisagreeingSubstrateCount": 0.0,
    "IsSubstrateContested": false
   },
   {
    "RulebookFieldId": "StepTransitions.CountOfFromStepExecutions",
    "TargetTable": "StepTransitions",
    "FieldName": "CountOfFromStepExecutions",
    "FieldType": "aggregation",
    "Datatype": "integer",
    "Formula": "=COUNTIFS(StepExecutions!{{Step}}, StepTransitions!{{FromStep}})",
    "InventedForQuestion": "q-steward-untested-fallbacks",
    "SemanticTypeIri": "urn:effortless:pko-extension#RulebookField",
    "Name": "StepTransitions.CountOfFromStepExecutions",
    "IsDerived": true,
    "IsWitness": true,
    "DisagreeingSubstrateCount": 1.0,
    "IsSubstrateContested": true
   },
   {
    "RulebookFieldId": "StepTransitions.CountOfToStepExecutions",
    "TargetTable": "StepTransitions",
    "FieldName": "CountOfToStepExecutions",
    "FieldType": "aggregation",
    "Datatype": "integer",
    "Formula": "=COUNTIFS(StepExecutions!{{Step}}, StepTransitions!{{ToStep}})",
    "InventedForQuestion": "q-steward-untested-fallbacks",
    "SemanticTypeIri": "urn:effortless:pko-extension#RulebookField",
    "Name": "StepTransitions.CountOfToStepExecutions",
    "IsDerived": true,
    "IsWitness": true,
    "DisagreeingSubstrateCount": 1.0,
    "IsSubstrateContested": true
   },
   {
    "RulebookFieldId": "StepTransitions.HasReachableOrigin",
    "TargetTable": "StepTransitions",
    "FieldName": "HasReachableOrigin",
    "FieldType": "calculated",
    "Datatype": "boolean",
    "Formula": "={{CountOfFromStepExecutions}} &gt; 0",
    "InventedForQuestion": "q-steward-untested-fallbacks",
    "SemanticTypeIri": "urn:effortless:pko-extension#RulebookField",
    "Name": "StepTransitions.HasReachableOrigin",
    "IsDerived": true,
    "IsWitness": true,
    "DisagreeingSubstrateCount": 1.0,
    "IsSubstrateContested": true
   },
   {
    "RulebookFieldId": "StepTransitions.HasReachableTarget",
    "TargetTable": "StepTransitions",
    "FieldName": "HasReachableTarget",
    "FieldType": "calculated",
    "Datatype": "boolean",
    "Formula": "={{CountOfToStepExecutions}} &gt; 0",
    "InventedForQuestion": "q-steward-untested-fallbacks",
    "SemanticTypeIri": "urn:effortless:pko-extension#RulebookField",
    "Name": "StepTransitions.HasReachableTarget",
    "IsDerived": true,
    "IsWitness": true,
    "DisagreeingSubstrateCount": 1.0,
    "IsSubstrateContested": true
   },
   {
    "RulebookFieldId": "StepTransitions.IsNeverExercised",
    "TargetTable": "StepTransitions",
    "FieldName": "IsNeverExercised",
    "FieldType": "calculated",
    "Datatype": "boolean",
    "Formula": "=NOT(AND({{HasReachableOrigin}}, {{HasReachableTarget}}))",
    "InventedForQuestion": "q-steward-untested-fallbacks",
    "SemanticTypeIri": "urn:effortless:pko-extension#RulebookField",
    "Name": "StepTransitions.IsNeverExercised",
    "IsDerived": true,
    "IsWitness": true,
    "DisagreeingSubstrateCount": 1.0,
    "IsSubstrateContested": true
   },
   {
    "RulebookFieldId": "StepTransitions.IsUntestedRecoveryPath",
    "TargetTable": "StepTransitions",
    "FieldName": "IsUntestedRecoveryPath",
    "FieldType": "calculated",
    "Datatype": "boolean",
    "Formula": "=AND({{IsRecoveryPath}}, {{IsNeverExercised}})",
    "InventedForQuestion": "q-steward-untested-fallbacks",
    "SemanticTypeIri": "urn:effortless:pko-extension#RulebookField",
    "Name": "StepTransitions.IsUntestedRecoveryPath",
    "IsDerived": true,
    "IsWitness": true,
    "DisagreeingSubstrateCount": 1.0,
    "IsSubstrateContested": true
   },
   {
    "RulebookFieldId": "StepTransitions.CountOfObservedTraversals",
    "TargetTable": "StepTransitions",
    "FieldName": "CountOfObservedTraversals",
    "FieldType": "aggregation",
    "Datatype": "integer",
    "Formula": "=COUNTIFS(ObservedTransitions!{{StepTransition}}, StepTransitions!{{StepTransitionId}})",
    "InventedForQuestion": "q-steward-untested-fallbacks",
    "SemanticTypeIri": "urn:effortless:pko-extension#RulebookField",
    "Name": "StepTransitions.CountOfObservedTraversals",
    "IsDerived": true,
    "IsWitness": true,
    "DisagreeingSubstrateCount": 0.0,
    "IsSubstrateContested": false
   },
   {
    "RulebookFieldId": "StepTransitions.HasBeenTraversed",
    "TargetTable": "StepTransitions",
    "FieldName": "HasBeenTraversed",
    "FieldType": "calculated",
    "Datatype": "boolean",
    "Formula": "={{CountOfObservedTraversals}} &gt; 0",
    "InventedForQuestion": "q-steward-untested-fallbacks",
    "SemanticTypeIri": "urn:effortless:pko-extension#RulebookField",
    "Name": "StepTransitions.HasBeenTraversed",
    "IsDerived": true,
    "IsWitness": true,
    "DisagreeingSubstrateCount": 0.0,
    "IsSubstrateContested": false
   },
   {
    "RulebookFieldId": "StepTransitions.IsUnwalkedRecoveryPath",
    "TargetTable": "StepTransitions",
    "FieldName": "IsUnwalkedRecoveryPath",
    "FieldType": "calculated",
    "Datatype": "boolean",
    "Formula": "=AND({{IsRecoveryPath}}, NOT({{HasBeenTraversed}}))",
    "InventedForQuestion": "q-steward-untested-fallbacks",
    "SemanticTypeIri": "urn:effortless:pko-extension#RulebookField",
    "Name": "StepTransitions.IsUnwalkedRecoveryPath",
    "IsDerived": true,
    "IsWitness": true,
    "DisagreeingSubstrateCount": 0.0,
    "IsSubstrateContested": false
   },
   {
    "RulebookFieldId": "StepTransitions.TargetBlockingRequirementCount",
    "TargetTable": "StepTransitions",
    "FieldName": "TargetBlockingRequirementCount",
    "FieldType": "lookup",
    "Datatype": "number",
    "Formula": "=INDEX(Steps!{{BlockingRequirementCount}}, MATCH({{ToStep}}, Steps!{{StepId}}, 0))",
    "InventedForQuestion": "q2-steward-recovery-path-is-load-bearing",
    "SemanticTypeIri": "urn:effortless:pko-extension#RulebookField",
    "Name": "StepTransitions.TargetBlockingRequirementCount",
    "IsDerived": true,
    "IsWitness": true,
    "DisagreeingSubstrateCount": 0.0,
    "IsSubstrateContested": false
   },
   {
    "RulebookFieldId": "StepTransitions.TargetCarriesBlockingControl",
    "TargetTable": "StepTransitions",
    "FieldName": "TargetCarriesBlockingControl",
    "FieldType": "calculated",
    "Datatype": "boolean",
    "Formula": "={{TargetBlockingRequirementCount}} &gt; 0",
    "InventedForQuestion": "q2-steward-recovery-path-is-load-bearing",
    "SemanticTypeIri": "urn:effortless:pko-extension#RulebookField",
    "Name": "StepTransitions.TargetCarriesBlockingControl",
    "IsDerived": true,
    "IsWitness": true,
    "DisagreeingSubstrateCount": 0.0,
    "IsSubstrateContested": false
   },
   {
    "RulebookFieldId": "StepTransitions.IsUnrehearsedControlEntry",
    "TargetTable": "StepTransitions",
    "FieldName": "IsUnrehearsedControlEntry",
    "FieldType": "calculated",
    "Datatype": "boolean",
    "Formula": "=AND({{IsUnwalkedRecoveryPath}}, {{TargetCarriesBlockingControl}})",
    "InventedForQuestion": "q2-steward-recovery-path-is-load-bearing",
    "SemanticTypeIri": "urn:effortless:pko-extension#RulebookField",
    "Name": "StepTransitions.IsUnrehearsedControlEntry",
    "IsDerived": true,
    "IsWitness": true,
    "DisagreeingSubstrateCount": 0.0,
    "IsSubstrateContested": false
   },
   {
    "RulebookFieldId": "StepTransitions.UnrehearsedControlVersionKey",
    "TargetTable": "StepTransitions",
    "FieldName": "UnrehearsedControlVersionKey",
    "FieldType": "calculated",
    "Datatype": "string",
    "Formula": "=IF({{IsUnrehearsedControlEntry}}, {{ProcedureVersion}}, \"\")",
    "InventedForQuestion": "q2-steward-recovery-path-is-load-bearing",
    "Semantic</t>
  </si>
  <si>
    <t xml:space="preserve">TypeIri": "urn:effortless:pko-extension#RulebookField",
    "Name": "StepTransitions.UnrehearsedControlVersionKey",
    "IsDerived": true,
    "IsWitness": true,
    "DisagreeingSubstrateCount": 0.0,
    "IsSubstrateContested": false
   },
   {
    "RulebookFieldId": "StepTransitions.LeadsToClosure",
    "TargetTable": "StepTransitions",
    "FieldName": "LeadsToClosure",
    "FieldType": "closure",
    "Datatype": "string",
    "Formula": null,
    "InventedForQuestion": "q-steward-rework-loops",
    "SemanticTypeIri": "urn:effortless:pko-extension#RulebookField",
    "Name": "StepTransitions.LeadsToClosure",
    "IsDerived": false,
    "IsWitness": true,
    "DisagreeingSubstrateCount": 0.0,
    "IsSubstrateContested": false
   },
   {
    "RulebookFieldId": "StepTransitions.FromStepIsHumanApprovalGate",
    "TargetTable": "StepTransitions",
    "FieldName": "FromStepIsHumanApprovalGate",
    "FieldType": "lookup",
    "Datatype": "boolean",
    "Formula": "=INDEX(Steps!{{IsHumanApprovalGate}}, MATCH({{FromStep}}, Steps!{{StepId}}, 0))",
    "InventedForQuestion": "q-controller-gate-bypass",
    "SemanticTypeIri": "urn:effortless:pko-extension#RulebookField",
    "Name": "StepTransitions.FromStepIsHumanApprovalGate",
    "IsDerived": true,
    "IsWitness": true,
    "DisagreeingSubstrateCount": 0.0,
    "IsSubstrateContested": false
   },
   {
    "RulebookFieldId": "StepTransitions.ToStepIsHumanApprovalGate",
    "TargetTable": "StepTransitions",
    "FieldName": "ToStepIsHumanApprovalGate",
    "FieldType": "lookup",
    "Datatype": "boolean",
    "Formula": "=INDEX(Steps!{{IsHumanApprovalGate}}, MATCH({{ToStep}}, Steps!{{StepId}}, 0))",
    "InventedForQuestion": "q-controller-gate-bypass",
    "SemanticTypeIri": "urn:effortless:pko-extension#RulebookField",
    "Name": "StepTransitions.ToStepIsHumanApprovalGate",
    "IsDerived": true,
    "IsWitness": true,
    "DisagreeingSubstrateCount": 0.0,
    "IsSubstrateContested": false
   },
   {
    "RulebookFieldId": "StepTransitions.AvoidsHumanApprovalGate",
    "TargetTable": "StepTransitions",
    "FieldName": "AvoidsHumanApprovalGate",
    "FieldType": "calculated",
    "Datatype": "boolean",
    "Formula": "=AND(NOT({{FromStepIsHumanApprovalGate}}), NOT({{ToStepIsHumanApprovalGate}}))",
    "InventedForQuestion": "q-controller-gate-bypass",
    "SemanticTypeIri": "urn:effortless:pko-extension#RulebookField",
    "Name": "StepTransitions.AvoidsHumanApprovalGate",
    "IsDerived": true,
    "IsWitness": true,
    "DisagreeingSubstrateCount": 0.0,
    "IsSubstrateContested": false
   },
   {
    "RulebookFieldId": "StepTransitions.LeadsWithoutHumanGateClosure",
    "TargetTable": "StepTransitions",
    "FieldName": "LeadsWithoutHumanGateClosure",
    "FieldType": "closure",
    "Datatype": "string",
    "Formula": null,
    "InventedForQuestion": "q-controller-gate-bypass",
    "SemanticTypeIri": "urn:effortless:pko-extension#RulebookField",
    "Name": "StepTransitions.LeadsWithoutHumanGateClosure",
    "IsDerived": false,
    "IsWitness": true,
    "DisagreeingSubstrateCount": 0.0,
    "IsSubstrateContested": false
   },
   {
    "RulebookFieldId": "StepTransitions.SemanticTypeIri",
    "TargetTable": "StepTransitions",
    "FieldName": "SemanticTypeIri",
    "FieldType": "raw",
    "Datatype": "string",
    "Formula": null,
    "InventedForQuestion": null,
    "SemanticTypeIri": "urn:effortless:pko-extension#RulebookField",
    "Name": "StepTransitions.SemanticTypeIri",
    "IsDerived": false,
    "IsWitness": false,
    "DisagreeingSubstrateCount": 0.0,
    "IsSubstrateContested": false
   },
   {
    "RulebookFieldId": "Actions.ActionId",
    "TargetTable": "Actions",
    "FieldName": "ActionId",
    "FieldType": "raw",
    "Datatype": "string",
    "Formula": null,
    "InventedForQuestion": null,
    "SemanticTypeIri": "urn:effortless:pko-extension#RulebookField",
    "Name": "Actions.ActionId",
    "IsDerived": false,
    "IsWitness": false,
    "DisagreeingSubstrateCount": 0.0,
    "IsSubstrateContested": false
   },
   {
    "RulebookFieldId": "Actions.Name",
    "TargetTable": "Actions",
    "FieldName": "Name",
    "FieldType": "calculated",
    "Datatype": "string",
    "Formula": "={{Label}}",
    "InventedForQuestion": null,
    "SemanticTypeIri": "urn:effortless:pko-extension#RulebookField",
    "Name": "Actions.Name",
    "IsDerived": true,
    "IsWitness": false,
    "DisagreeingSubstrateCount": 0.0,
    "IsSubstrateContested": false
   },
   {
    "RulebookFieldId": "Actions.Label",
    "TargetTable": "Actions",
    "FieldName": "Label",
    "FieldType": "raw",
    "Datatype": "string",
    "Formula": null,
    "InventedForQuestion": null,
    "SemanticTypeIri": "urn:effortless:pko-extension#RulebookField",
    "Name": "Actions.Label",
    "IsDerived": false,
    "IsWitness": false,
    "DisagreeingSubstrateCount": 0.0,
    "IsSubstrateContested": false
   },
   {
    "RulebookFieldId": "Actions.Definition",
    "TargetTable": "Actions",
    "FieldName": "Definition",
    "FieldType": "raw",
    "Datatype": "string",
    "Formula": null,
    "InventedForQuestion": null,
    "SemanticTypeIri": "urn:effortless:pko-extension#RulebookField",
    "Name": "Actions.Definition",
    "IsDerived": false,
    "IsWitness": false,
    "DisagreeingSubstrateCount": 0.0,
    "IsSubstrateContested": false
   },
   {
    "RulebookFieldId": "Actions.SemanticTypeIri",
    "TargetTable": "Actions",
    "FieldName": "SemanticTypeIri",
    "FieldType": "raw",
    "Datatype": "string",
    "Formula": null,
    "InventedForQuestion": null,
    "SemanticTypeIri": "urn:effortless:pko-extension#RulebookField",
    "Name": "Actions.SemanticTypeIri",
    "IsDerived": false,
    "IsWitness": false,
    "DisagreeingSubstrateCount": 0.0,
    "IsSubstrateContested": false
   },
   {
    "RulebookFieldId": "Functions.FunctionId",
    "TargetTable": "Functions",
    "FieldName": "FunctionId",
    "FieldType": "raw",
    "Datatype": "string",
    "Formula": null,
    "InventedForQuestion": null,
    "SemanticTypeIri": "urn:effortless:pko-extension#RulebookField",
    "Name": "Functions.FunctionId",
    "IsDerived": false,
    "IsWitness": false,
    "DisagreeingSubstrateCount": 0.0,
    "IsSubstrateContested": false
   },
   {
    "RulebookFieldId": "Functions.Name",
    "TargetTable": "Functions",
    "FieldName": "Name",
    "FieldType": "calculated",
    "Datatype": "string",
    "Formula": "={{Label}}",
    "InventedForQuestion": null,
    "SemanticTypeIri": "urn:effortless:pko-extension#RulebookField",
    "Name": "Functions.Name",
    "IsDerived": true,
    "IsWitness": false,
    "DisagreeingSubstrateCount": 0.0,
    "IsSubstrateContested": false
   },
   {
    "RulebookFieldId": "Functions.Label",
    "TargetTable": "Functions",
    "FieldName": "Label",
    "FieldType": "raw",
    "Datatype": "string",
    "Formula": null,
    "InventedForQuestion": null,
    "SemanticTypeIri": "urn:effortless:pko-extension#RulebookField",
    "Name": "Functions.Label",
    "IsDerived": false,
    "IsWitness": false,
    "DisagreeingSubstrateCount": 0.0,
    "IsSubstrateContested": false
   },
   {
    "RulebookFieldId": "Functions.Definition",
    "TargetTable": "Functions",
    "FieldName": "Definition",
    "FieldType": "raw",
    "Datatype": "string",
    "Formula": null,
    "InventedForQuestion": null,
    "SemanticTypeIri": "urn:effortless:pko-extension#RulebookField",
    "Name": "Functions.Definition",
    "IsDerived": false,
    "IsWitness": false,
    "DisagreeingSubstrateCount": 0.0,
    "IsSubstrateContested": false
   },
   {
    "RulebookFieldId": "Functions.ImplementationKey",
    "TargetTable": "Functions",
    "FieldName": "ImplementationKey",
    "FieldType": "raw",
    "Datatype": "string",
    "Formula": null,
    "InventedForQuestion": null,
    "SemanticTypeIri": "urn:effortless:pko-extension#RulebookField",
    "Name": "Functions.ImplementationKey",
    "IsDerived": false,
    "IsWitness": false,
    "DisagreeingSubstrateCount": 0.0,
    "IsSubstrateContested": false
   },
   {
    "RulebookFieldId": "Functions.SemanticTypeIri",
    "TargetTable": "Functions",
    "FieldName": "SemanticTypeIri",
    "FieldType": "raw",
    "Datatype": "string",
    "Formula": null,
    "InventedForQuestion": null,
    "SemanticTypeIri": "urn:effortless:pko-extension#RulebookField",
    "Name": "Functions.SemanticTypeIri",
    "IsDerived": false,
    "IsWitness": false,
    "DisagreeingSubstrateCount": 0.0,
    "IsSubstrateContested": false
   },
   {
    "RulebookFieldId": "Tools.ToolId",
    "TargetTable": "Tools",
    "FieldName": "ToolId",
    "FieldType": "raw",
    "Datatype": "string",
    "Formula": null,
    "InventedForQuestion": null,
    "SemanticTypeIri": "urn:effortless:pko-extension#RulebookField",
    "Name": "Tools.ToolId",
    "IsDerived": false,
    "IsWitness": false,
    "DisagreeingSubstrateCount": 0.0,
    "IsSubstrateContested": false
   },
   {
    "RulebookFieldId": "Tools.Name",
    "TargetTable": "Tools",
    "FieldName": "Name",
    "FieldType": "calculated",
    "Datatype": "string",
    "Formula": "={{Label}}",
    "InventedForQuestion": null,
    "SemanticTypeIri": "urn:effortless:pko-extension#RulebookField",
    "Name": "Tools.Name",
    "IsDerived": true,
    "IsWitness": false,
    "DisagreeingSubstrateCount": 0.0,
    "IsSubstrateContested": false
   },
   {
    "RulebookFieldId": "Tools.Label",
    "TargetTable": "Tools",
    "FieldName": "Label",
    "FieldType": "raw",
    "Datatype": "string",
    "Formula": null,
    "InventedForQuestion": null,
    "SemanticTypeIri": "urn:effortless:pko-extension#RulebookField",
    "Name": "Tools.Label",
    "IsDerived": false,
    "IsWitness": false,
    "DisagreeingSubstrateCount": 0.0,
    "IsSubstrateContested": false
   },
   {
    "RulebookFieldId": "Tools.Purpose",
    "TargetTable": "Tools",
    "FieldName": "Purpose",
    "FieldType": "raw",
    "Datatype": "string",
    "Formula": null,
    "InventedForQuestion": null,
    "SemanticTypeIri": "urn:effortless:pko-extension#RulebookField",
    "Name": "Tools.Purpose",
    "IsDerived": false,
    "IsWitness": false,
    "DisagreeingSubstrateCount": 0.0,
    "IsSubstrateContested": false
   },
   {
    "RulebookFieldId": "Tools.SemanticTypeIri",
    "TargetTable": "Tools",
    "FieldName": "SemanticTypeIri",
    "FieldType": "raw",
    "Datatype": "string",
    "Formula": null,
    "InventedForQuestion": null,
    "SemanticTypeIri": "urn:effortless:pko-extension#RulebookField",
    "Name": "Tools.SemanticTypeIri",
    "IsDerived": false,
    "IsWitness": false,
    "DisagreeingSubstrateCount": 0.0,
    "IsSubstrateContested": false
   },
   {
    "RulebookFieldId": "StepActions.StepActionId",
    "TargetTable": "StepActions",
    "FieldName": "StepActionId",
    "FieldType": "raw",
    "Datatype": "string",
    "Formula": null,
    "InventedForQuestion": null,
    "SemanticTypeIri": "urn:effortless:pko-extension#RulebookField",
    "Name": "StepActions.StepActionId",
    "IsDerived": false,
    "IsWitness": false,
    "DisagreeingSubstrateCount": 0.0,
    "IsSubstrateContested": false
   },
   {
    "RulebookFieldId": "StepActions.Name",
    "TargetTable": "StepActions",
    "FieldName": "Name",
    "FieldType": "calculated",
    "Datatype": "string",
    "Formula": "={{Step}} &amp; \" / \" &amp; {{Action}}",
    "InventedForQuestion": null,
    "SemanticTypeIri": "urn:effortless:pko-extension#RulebookField",
    "Name": "StepActions.Name",
    "IsDerived": true,
    "IsWitness": false,
    "DisagreeingSubstrateCount": 0.0,
    "IsSubstrateContested": false
   },
   {
    "RulebookFieldId": "StepActions.Step",
    "TargetTable": "StepActions",
    "FieldName": "Step",
    "FieldType": "relationship",
    "Datatype": "string",
    "Formula": null,
    "InventedForQuestion": null,
    "SemanticTypeIri": "urn:effortless:pko-extension#RulebookField",
    "Name": "StepActions.Step",
    "IsDerived": false,
    "IsWitness": false,
    "DisagreeingSubstrateCount": 0.0,
    "IsSubstrateContested": false
   },
   {
    "RulebookFieldId": "StepActions.Action",
    "TargetTable": "StepActions",
    "FieldName": "Action",
    "FieldType": "relationship",
    "Datatype": "string",
    "Formula": null,
    "InventedForQuestion": null,
    "SemanticTypeIri": "urn:effortless:pko-extension#RulebookField",
    "Name": "StepActions.Action",
    "IsDerived": false,
    "IsWitness": false,
    "DisagreeingSubstrateCount": 0.0,
    "IsSubstrateContested": false
   },
   {
    "RulebookFieldId": "StepFunctions.StepFunctionId",
    "TargetTable": "StepFunctions",
    "FieldName": "StepFunctionId",
    "FieldType": "raw",
    "Datatype": "string",
    "Formula": null,
    "InventedForQuestion": null,
    "SemanticTypeIri": "urn:effortless:pko-extension#RulebookField",
    "Name": "StepFunctions.StepFunctionId",
    "IsDerived": false,
    "IsWitness": false,
    "DisagreeingSubstrateCount": 0.0,
    "IsSubstrateContested": false
   },
   {
    "RulebookFieldId": "StepFunctions.Name",
    "TargetTable": "StepFunctions",
    "FieldName": "Name",
    "FieldType": "calculated",
    "Datatype": "string",
    "Formula": "={{Step}} &amp; \" / \" &amp; {{Function}}",
    "InventedForQuestion": null,
    "SemanticTypeIri": "urn:effortless:pko-extension#RulebookField",
    "Name": "StepFunctions.Name",
    "IsDerived": true,
    "IsWitness": false,
    "DisagreeingSubstrateCount": 0.0,
    "IsSubstrateContested": false
   },
   {
    "RulebookFieldId": "StepFunctions.Step",
    "TargetTable": "StepFunctions",
    "FieldName": "Step",
    "FieldType": "relationship",
    "Datatype": "string",
    "Formula": null,
    "InventedForQuestion": null,
    "SemanticTypeIri": "urn:effortless:pko-extension#RulebookField",
    "Name": "StepFunctions.Step",
    "IsDerived": false,
    "IsWitness": false,
    "DisagreeingSubstrateCount": 0.0,
    "IsSubstrateContested": false
   },
   {
    "RulebookFieldId": "StepFunctions.Function",
    "TargetTable": "StepFunctions",
    "FieldName": "Function",
    "FieldType": "relationship",
    "Datatype": "string",
    "Formula": null,
    "InventedForQuestion": null,
    "SemanticTypeIri": "urn:effortless:pko-extension#RulebookField",
    "Name": "StepFunctions.Function",
    "IsDerived": false,
    "IsWitness": false,
    "DisagreeingSubstrateCount": 0.0,
    "IsSubstrateContested": false
   },
   {
    "RulebookFieldId": "StepTools.StepToolId",
    "TargetTable": "StepTools",
    "FieldName": "StepToolId",
    "FieldType": "raw",
    "Datatype": "string",
    "Formula": null,
    "InventedForQuestion": null,
    "SemanticTypeIri": "urn:effortless:pko-extension#RulebookField",
    "Name": "StepTools.StepToolId",
    "IsDerived": false,
    "IsWitness": false,
    "DisagreeingSubstrateCount": 0.0,
    "IsSubstrateContested": false
   },
   {
    "RulebookFieldId": "StepTools.Name",
    "TargetTable": "StepTools",
    "FieldName": "Name",
    "FieldType": "calculated",
    "Datatype": "string",
    "Formula": "={{Step}} &amp; \" / \" &amp; {{Tool}}",
    "InventedForQuestion": null,
    "SemanticTypeIri": "urn:effortless:pko-extension#RulebookField",
    "Name": "StepTools.Name",
    "IsDerived": true,
    "IsWitness": false,
    "DisagreeingSubstrateCount": 0.0,
    "IsSubstrateContested": false
   },
   {
    "RulebookFieldId": "StepTools.Step",
    "TargetTable": "StepTools",
    "FieldName": "Step",
    "FieldType": "relationship",
    "Datatype": "string",
    "Formula": null,
    "InventedForQuestion": null,
    "SemanticTypeIri": "urn:effortless:pko-extension#RulebookField",
    "Name": "StepTools.Step",
    "IsDerived": false,
    "IsWitness": false,
    "DisagreeingSubstrateCount": 0.0,
    "IsSubstrateContested": false
   },
   {
    "RulebookFieldId": "StepTools.Tool",
    "TargetTable": "StepTools",
    "FieldName": "Tool",
    "FieldType": "relationship",
    "Datatype": "string",
    "Formula": null,
    "InventedForQuestion": null,
    "SemanticTypeIri": "urn:effortless:pko-extension#RulebookField",
    "Name": "StepTools.Tool",
    "IsDerived": false,
    "IsWitness": false,
    "DisagreeingSubstrateCount": 0.0,
    "IsSubstrateContested": false
   },
   {
    "RulebookFieldId": "Requirements.RequirementId",
    "TargetTable": "Requirements",
    "FieldName": "RequirementId",
    "FieldType": "raw",
    "Datatype": "string",
    "Formula": null,
    "InventedForQuestion": null,
    "SemanticTypeIri": "urn:effortless:pko-extension#RulebookField",
    "Name": "Requirements.RequirementId",
    "IsDerived": false,
    "IsWitness": false,
    "DisagreeingSubstrateCount": 0.0,
    "IsSubstrateContested": false
   },
   {
    "RulebookFieldId": "Requirements.Name",
    "TargetTable": "Requirements",
    "FieldName": "Name",
    "FieldType": "calculated",
    "Datatype": "string",
    "Formula": "={{Label}}",
    "InventedForQuestion": null,
    "SemanticTypeIri": "urn:effortless:pko-extension#RulebookField",
    "Name": "Requirements.Name",
    "IsDerived": true,
    "IsWitness": false,
    "DisagreeingSubstrateCount": 0.0,
    "IsSubstrateContested": false
   },
   {
    "RulebookFieldId": "Requirements.Label",
    "TargetTable": "Requirements",
    "FieldName": "Label",
    "FieldType": "raw",
    "Datatype": "string",
    "Formula": null,
    "InventedForQuestion": null,
    "SemanticTypeIri": "urn:effortless:pko-extension#RulebookField",
    "Name": "Requirements.Label",
    "IsDerived": false,
    "IsWitness": false,
    "DisagreeingSubstrateCount": 0.0,
    "IsSubstrateContested": false
   },
   {
    "RulebookFieldId": "Requirements.RequirementType",
    "TargetTable": "Requirements",
    "FieldName": "RequirementType",
    "FieldType": "raw",
    "Datatype": "string",
    "Formula": null,
    "InventedForQuestion": null,
    "SemanticTypeIri": "urn:effortless:pko-extension#RulebookField",
    "Name": "Requirements.RequirementType",
    "IsDerived": false,
    "IsWitness": false,
    "DisagreeingSubstrateCount": 0.0,
    "IsSubstrateContested": false
   },
   {
    "RulebookFieldId": "Requirements.Statement",
    "TargetTable": "Requirements",
    "FieldName": "Statement",
    "FieldType": "raw",
    "Datatype": "string",
    "Formula": null,
    "InventedForQuestion": null,
    "SemanticTypeIri": "urn:effortless:pko-extension#RulebookField",
    "Name": "Requirements.Statement",
    "IsDerived": false,
    "IsWitness": false,
    "DisagreeingSubstrateCount": 0.0,
    "IsSubstrateContested": false
   },
   {
    "RulebookFieldId": "Requirements.Rationale",
    "TargetTable": "Requirements",
    "FieldName": "Rationale",
    "FieldType": "raw",
    "Datatype": "string",
    "Formula": null,
    "InventedForQuestion": null,
    "SemanticTypeIri": "urn:effortless:pko-extension#RulebookField",
    "Name": "Requirements.Rationale",
    "IsDerived": false,
    "IsWitness": false,
    "DisagreeingSubstrateCount": 0.0,
    "IsSubstrateContested": false
   },
   {
    "RulebookFieldId": "Requirements.IsBlocking",
    "TargetTable": "Requirements",
    "FieldName": "IsBlocking",
    "FieldType": "raw",
    "Datatype": "boolean",
    "Formula": null,
    "InventedForQuestion": null,
    "SemanticTypeIri": "urn:effortless:pko-extension#RulebookField",
    "Name": "Requirements.IsBlocking",
    "IsDerived": false,
    "IsWitness": false,
    "DisagreeingSubstrateCount": 0.0,
    "IsSubstrateContested": false
   },
   {
    "RulebookFieldId": "Requirements.SatisfactionRecordCount",
    "TargetTable": "Requirements",
    "FieldName": "SatisfactionRecordCount",
    "FieldType": "aggregation",
    "Datatype": "number",
    "Formula": "=COUNTIFS(RequirementSatisfactions!{{Requirement}}, {{RequirementId}})",
    "InventedForQuestion": "q-controller-blocking-control-inoperative",
    "SemanticTypeIri": "urn:effortless:pko-extension#RulebookField",
    "Name": "Requirements.SatisfactionRecordCount",
    "IsDerived": true,
    "IsWitness": true,
    "DisagreeingSubstrateCount": 0.0,
    "IsSubstrateContested": false
   },
   {
    "RulebookFieldId": "Requirements.StepBindingCount",
    "TargetTable": "Requirements",
    "FieldName": "StepBindingCount",
    "FieldType": "aggregation",
    "Datatype": "number",
    "Formula": "=COUNTIFS(StepRequirements!{{Requirement}}, {{RequirementId}})",
    "InventedForQuestion": "q-controller-blocking-control-inoperative",
    "SemanticTypeIri": "urn:effortless:pko-extension#RulebookField",
    "Name": "Requirements.StepBindingCount",
    "IsDerived": true,
    "IsWitness": true,
    "DisagreeingSubstrateCount": 0.0,
    "IsSubstrateContested": false
   },
   {
    "RulebookFieldId": "Requirements.IsBoundToAnyStep",
    "TargetTable": "Requirements",
    "FieldName": "IsBoundToAnyStep",
    "FieldType": "calculated",
    "Datatype": "boolean",
    "Formula": "={{StepBindingCount}} &gt; 0",
    "InventedForQuestion": "q-controller-blocking-control-inoperative",
    "SemanticTypeIri": "urn:effortless:pko-extension#RulebookField",
    "Name": "Requirements.IsBoundToAnyStep",
    "IsDerived": true,
    "IsWitness": true,
    "DisagreeingSubstrateCount": 0.0,
    "IsSubstrateContested": false
   },
   {
    "RulebookFieldId": "Requirements.HasEverBeenEvaluated",
    "TargetTable": "Requirements",
    "FieldName": "HasEverBeenEvaluated",
    "FieldType": "calculated",
    "Datatype": "boolean",
    "Formula": "={{SatisfactionRecordCount}} &gt; 0",
    "InventedForQuestion": "q-controller-blocking-control-inoperative",
    "SemanticTypeIri": "urn:effortless:pko-extension#RulebookField",
    "Name": "Requirements.HasEverBeenEvaluated",
    "IsDerived": true,
    "IsWitness": true,
    "DisagreeingSubstrateCount": 0.0,
    "IsSubstrateContested": false
   },
   {
    "RulebookFieldId": "Requirements.NegativeOutcomeCount",
    "TargetTable": "Requirements",
    "FieldName": "NegativeOutcomeCount",
    "FieldType": "aggregation",
    "Datatype": "number",
    "Formula": "=COUNTIFS(RequirementSatisfactions!{{NegativeOutcomeRequirementKey}}, {{RequirementId}})",
    "InventedForQuestion": "q-controller-blocking-control-inoperative",
    "SemanticTypeIri": "urn:effortless:pko-extension#RulebookField",
    "Name": "Requirements.NegativeOutcomeCount",
    "IsDerived": true,
    "IsWitness": true,
    "DisagreeingSubstrateCount": 0.0,
    "IsSubstrateContested": false
   },
   {
    "RulebookFieldId": "Requirements.IsInoperativeControl",
    "TargetTable": "Requirements",
    "FieldName": "IsInoperativeControl",
    "FieldType": "calculated",
    "Datatype": "boolean",
    "Formula": "=AND({{IsBlocking}}, {{IsBoundToAnyStep}}, NOT({{HasEverBeenEvaluated}}))",
    "InventedForQuestion": "q-controller-blocking-control-inoperative",
    "SemanticTypeIri": "urn:effortless:pko-extension#RulebookField",
    "Name": "Requirements.IsInoperativeControl",
    "IsDerived": true,
    "IsWitness": true,
    "DisagreeingSubstrateCount": 0.0,
    "IsSubstrateContested": false
   },
   {
    "RulebookFieldId": "Requirements.IsDecorativeControl",
    "TargetTable": "Requirements",
    "FieldName": "IsDecorativeControl",
    "FieldType": "calculated",
    "Datatype": "boolean",
    "Formula": "=AND({{IsBlocking}}, NOT({{IsBoundToAnyStep}}))",
    "InventedForQuestion": "q-controller-blocking-control-inoperative",
    "SemanticTypeIri": "urn:effortless:pko-extension#RulebookField",
    "Name": "Requirements.IsDecorativeControl",
    "IsDerived": true,
    "IsWitness": true,
    "DisagreeingSubstrateCount": 0.0,
    "IsSubstrateContested": false
   },
   {
    "RulebookFieldId": "Requirements.HasComputedWitness",
    "TargetTable": "Requirements",
    "FieldName": "HasComputedWitness",
    "FieldType": "raw",
    "Datatype": "boolean",
    "Formula": null,
    "InventedForQuestion": "q-cfo-am-i-being-told-everything",
    "SemanticTypeIri": "urn:effortless:pko-extension#RulebookField",
    "Name": "Requirements.HasComputedWitness",
    "IsDerived": false,
    "IsWitness": true,
    "DisagreeingSubstrateCount": 0.0,
    "IsSubstrateContested": false
   },
   {
    "RulebookFieldId": "Requirements.WitnessFieldName",
    "TargetTable": "Requirements",
    "FieldName": "WitnessFieldName",
    "FieldType": "raw",
    "Datatype": "string",
    "Formula": null,
    "InventedForQuestion": "q-cfo-am-i-being-told-everything",
    "SemanticTypeIri": "urn:effortless:pko-extension#RulebookField",
    "Name": "Requirements.WitnessFieldName",
    "IsDerived": false,
    "IsWitness": true,
    "DisagreeingSubstrateCount": 0.0,
    "IsSubstrateContested": false
   },
   {
    "RulebookFieldId": "Requirements.HasEverProducedNegative",
    "TargetTable": "Requirements",
    "FieldName": "HasEverProducedNegative",
    "FieldType": "calculated",
    "Datatype": "boolean",
    "Formula": "={{NegativeOutcomeCount}} &gt; 0",
    "InventedForQuestion": "q2-fa-cleared-by-mute-control",
    "SemanticTypeIri": "urn:effortless:pko-extension#RulebookField",
    "Name": "Requirements.HasEverProducedNegative",
    "IsDerived": true,
    "IsWitness": true,
    "DisagreeingSubstrateCount": 0.0,
    "IsSubstrateContested": false
   },
   {
    "RulebookFieldId": "Requirements.IsUnfalsifiedControl",
    "TargetTable": "Requirements",
    "FieldName": "IsUnfalsifiedControl",
    "FieldType": "calculated",
    "Datatype": "boolean",
    "Formula": "=AND({{IsBlocking}}, {{HasEverBeenEvaluated}}, NOT({{HasEverProducedNegative}}))",
    "InventedForQuestion": "q2-fa-cleared-by-mute-control",
    "SemanticTypeIri": "urn:effortless:pko-extension#RulebookField",
    "Name": "Requirements.IsUnfalsifiedControl",
    "IsDerived": true,
    "IsWitness": true,
    "DisagreeingSubstrateCount": 0.0,
    "IsSubstrateContested": false
   },
   {
    "RulebookFieldId": "Requirements.ClaimsAWitnessField",
    "TargetTable": "Requirements",
    "FieldName": "ClaimsAWitnessField",
    "FieldType": "calculated",
    "Datatype": "boolean",
    "Formula": "={{WitnessFieldName}} &lt;&gt; \"\"",
    "InventedForQuestion": "q2-fa-witness-coverage-of-my-steps",
    "SemanticTypeIri": "urn:effortless:pko-extension#RulebookField",
    "Name": "Requirements.ClaimsAWitnessField",
    "IsDerived": true,
    "IsWitness": true,
    "DisagreeingSubstrateCount": 0.0,
    "IsSubstrateContested": false
   },
   {
    "RulebookFieldId": "Requirements.NamedWitnessFieldExists",
    "TargetTable": "Requirements",
    "FieldName": "NamedWitnessFieldExists",
    "FieldType": "lookup",
    "Datatype": "boolean",
    "Formula": "=INDEX(RulebookFields!{{IsDerived}}, MATCH({{WitnessFieldName}}, RulebookFields!{{RulebookFieldId}}, 0))",
    "InventedForQuestion": "q2-fa-witness-coverage-of-my-steps",
    "SemanticTypeIri": "urn:effortless:pko-extension#RulebookField",
    "Name": "Requirements.NamedWitnessFieldExists",
    "IsDerived": true,
    "IsWitness": true,
    "DisagreeingSubstrateCount": 0.0,
    "IsSubstrateContested": false
   },
   {
    "RulebookFieldId": "Requirements.DerivedHasComputedWitness",
    "TargetTable": "Requirements",
    "FieldName": "DerivedHasComputedWitness",
    "FieldType": "calculated",
    "Datatype": "boolean",
    "Formula": "=AND({{ClaimsAWitnessField}}, {{NamedWitnessFieldExists}})",
    "InventedForQuestion": "q2-fa-witness-coverage-of-my-steps",
    "SemanticTypeIri": "urn:effortless:pko-extension#RulebookField",
    "Name": "Requirements.DerivedHasComputedWitness",
    "IsDerived": true,
    "IsWitness": true,
    "DisagreeingSubstrateCount": 0.0,
    "IsSubstrateContested": false
   },
   {
    "RulebookFieldId": "Requirements.WitnessClaimIsUnverified",
    "TargetTable": "Requirements",
    "FieldName": "WitnessClaimIsUnverified",
    "FieldType": "calculated",
    "Datatype": "boolean",
    "Formula": "=NOT({{HasComputedWitness}} = {{DerivedHasComputedWitness}})",
    "InventedForQuestion": "q2-fa-witness-coverage-of-my-steps",
    "SemanticTypeIri": "urn:effortless:pko-extension#RulebookField",
    "Name": "Requirements.WitnessClaimIsUnverified",
    "IsDerived": true,
    "IsWitness": true,
    "DisagreeingSubstrateCount": 0.0,
    "IsSubstrateContested": false
   },
   {
    "RulebookFieldId": "Requirements.IsUnwitnessedBlockingControl",
    "TargetTable": "Requirements",
    "FieldName": "IsUnwitnessedBlockingControl",
    "FieldType": "calculated",
    "Datatype": "boolean",
    "Formula": "=AND({{IsBlocking}}, NOT({{DerivedHasComputedWitness}}))",
    "InventedForQuestion": "q2-fa-witness-coverage-of-my-steps",
    "SemanticTypeIri": "urn:effortless:pko-extension#RulebookField",
    "Name": "Requirements.IsUnwitnessedBlockingControl",
    "IsDerived": true,
    "IsWitness": true,
    "DisagreeingSubstrateCount": 0.0,
    "IsSubstrateContested": false
   },
   {
    "RulebookFieldId": "Requirements.WitnessFireCount",
    "TargetTable": "Requirements",
    "FieldName": "WitnessFireCount",
    "FieldType": "calculated",
    "Datatype": "number",
    "Formula": "={{NegativeOutcomeCount}}",
    "InventedForQuestion": "q2-ctl-witness-never-fired",
    "SemanticTypeIri": "urn:effortless:pko-extension#RulebookField",
    "Name": "Requirements.WitnessFireCount",
    "IsDerived": true,
    "IsWitness": true,
    "DisagreeingSubstrateCount": 0.0,
    "IsSubstrateContested": false
   },
   {
    "RulebookFieldId": "Requirements.WitnessHasNeverFired",
    "TargetTable": "Requirements",
    "FieldName": "WitnessHasNeverFired",
    "FieldType": "calculated",
    "Datatype": "boolean",
    "Formula": "=AND({{HasComputedWitness}}, {{WitnessFireCount}} = 0)",
    "InventedForQuestion": "q2-ctl-witness-never-fired",
    "SemanticTypeIri": "urn:effortless:pko-extension#RulebookField",
    "Name": "Requirements.WitnessHasNeverFired",
    "IsDerived": true,
    "IsWitness": true,
    "DisagreeingSubstrateCount": 0.0,
    "IsSubstrateContested": false
   },
   {
    "RulebookFieldId": "Requirements.EvaluationSampleSize",
    "TargetTable": "Requirements",
    "FieldName": "EvaluationSampleSize",
    "FieldType": "calculated",
    "Datatype": "number",
    "Formula": "={{SatisfactionRecordCount}}",
    "InventedForQuestion": "q2-ctl-witness-never-fired",
    "SemanticTypeIri": "urn:effortless:pko-extension#RulebookField",
    "Name": "Requirements.EvaluationSampleSize",
    "IsDerived": true,
    "IsWitness": true,
    "DisagreeingSubstrateCount": 0.0,
    "IsSubstrateContested": false
   },
   {
    "RulebookFieldId": "Requirements.HasMeaningfulSample",
    "TargetTable": "Requirements",
    "FieldName": "HasMeaningfulSample",
    "FieldType": "calculated",
    "Datatype": "boolean",
    "Formula": "={{EvaluationSampleSize}} &gt;= {{MinimumSampleForAssurance}}",
    "InventedForQuestion": "q2-ctl-witness-never-fired",
    "SemanticTypeIri": "urn:effortless:pko-extension#RulebookField",
    "Name": "Requirements.HasMeaningfulSample",
    "IsDerived": true,
    "IsWitness": true,
    "DisagreeingSubstrateCount": 0.0,
    "IsSubstrateContested": false
   },
   {
    "RulebookFieldId": "Requirements.MinimumSampleForAssurance",
    "TargetTable": "Requirements",
    "FieldName": "MinimumSampleForAssurance",
    "FieldType": "raw",
    "Datatype": "integer",
    "Formula": null,
    "InventedForQuestion": "q2-ctl-witness-never-fired",
    "SemanticTypeIri": "urn:effortless:pko-extension#RulebookField",
    "Name": "Requirements.MinimumSampleForAssurance",
    "IsDerived": false,
    "IsWitness": true,
    "DisagreeingSubstrateCount": 0.0,
    "IsSubstrateContested": false
   },
   {
    "RulebookFieldId": "Requirements.IsUntestedWitness",
    "TargetTable": "Requirements",
    "FieldName": "IsUntestedWitness",
    "FieldType": "calculated",
    "Datatype": "boolean",
    "Formula": "=AND({{WitnessHasNeverFired}}, NOT({{HasMeaningfulSample}}))",
    "InventedForQuestion": "q2-ctl-witness-never-fired",
    "SemanticTypeIri": "urn:effortless:pko-extension#RulebookField",
    "Name": "Requirements.IsUntestedWitness",
    "IsDerived": true,
    "IsWitness": true,
    "DisagreeingSubstrateCount": 0.0,
    "IsSubstrateContested": false
   },
   {
    "RulebookFieldId": "Requirements.IsEvidencedHoldingControl",
    "TargetTable": "Requirements",
    "FieldName": "IsEvidencedHoldingControl",
    "FieldType": "calculated",
    "Datatype": "boolean",
    "Formula": "=AND({{WitnessHasNeverFired}}, {{HasMeaningfulSample}})",
    "InventedForQuestion": "q2-ctl-witness-never-fired",
    "SemanticTypeIri": "urn:effortless:pko-extension#RulebookField",
    "Name": "Requirements.IsEvidencedHoldingControl",
    "IsDerived": true,
    "IsWitness": true,
    "DisagreeingSubstrateCount": 0.0,
    "IsSubstrateContested": false
   },
   {
    "RulebookFieldId": "Requirements.ControlAssuranceState",
    "TargetTable": "Requirements",
    "FieldName": "ControlAssuranceState",
    "FieldType": "calculated",
</t>
  </si>
  <si>
    <t xml:space="preserve">    "Datatype": "string",
    "Formula": "=IF(NOT({{IsBoundToAnyStep}}), \"Decorative\", IF(NOT({{HasEverBeenEvaluated}}), \"Inoperative\", IF(NOT({{HasComputedWitness}}), \"Asserted\", IF({{WitnessFireCount}} &gt; 0, \"Demonstrated\", IF({{HasMeaningfulSample}}, \"Holding\", \"Untested\")))))",
    "InventedForQuestion": "q2-ctl-witness-never-fired",
    "SemanticTypeIri": "urn:effortless:pko-extension#RulebookField",
    "Name": "Requirements.ControlAssuranceState",
    "IsDerived": true,
    "IsWitness": true,
    "DisagreeingSubstrateCount": 0.0,
    "IsSubstrateContested": false
   },
   {
    "RulebookFieldId": "Requirements.UnexercisedBindingCount",
    "TargetTable": "Requirements",
    "FieldName": "UnexercisedBindingCount",
    "FieldType": "aggregation",
    "Datatype": "number",
    "Formula": "=COUNTIFS(StepRequirements!{{UnexercisedBindingRequirementKey}}, {{RequirementId}})",
    "InventedForQuestion": "q2-ctl-witness-scope-vs-binding",
    "SemanticTypeIri": "urn:effortless:pko-extension#RulebookField",
    "Name": "Requirements.UnexercisedBindingCount",
    "IsDerived": true,
    "IsWitness": true,
    "DisagreeingSubstrateCount": 0.0,
    "IsSubstrateContested": false
   },
   {
    "RulebookFieldId": "Requirements.WitnessIsPartiallyScoped",
    "TargetTable": "Requirements",
    "FieldName": "WitnessIsPartiallyScoped",
    "FieldType": "calculated",
    "Datatype": "boolean",
    "Formula": "=AND({{HasComputedWitness}}, {{UnexercisedBindingCount}} &gt; 0)",
    "InventedForQuestion": "q2-ctl-witness-scope-vs-binding",
    "SemanticTypeIri": "urn:effortless:pko-extension#RulebookField",
    "Name": "Requirements.WitnessIsPartiallyScoped",
    "IsDerived": true,
    "IsWitness": true,
    "DisagreeingSubstrateCount": 0.0,
    "IsSubstrateContested": false
   },
   {
    "RulebookFieldId": "Requirements.AccountableRole",
    "TargetTable": "Requirements",
    "FieldName": "AccountableRole",
    "FieldType": "relationship",
    "Datatype": "string",
    "Formula": null,
    "InventedForQuestion": "q2-cfo-controls-nobody-is-watching",
    "SemanticTypeIri": "urn:effortless:pko-extension#RulebookField",
    "Name": "Requirements.AccountableRole",
    "IsDerived": false,
    "IsWitness": true,
    "DisagreeingSubstrateCount": 0.0,
    "IsSubstrateContested": false
   },
   {
    "RulebookFieldId": "Requirements.AccountableAgent",
    "TargetTable": "Requirements",
    "FieldName": "AccountableAgent",
    "FieldType": "lookup",
    "Datatype": "string",
    "Formula": "=INDEX(Roles!{{CurrentAgent}}, MATCH({{AccountableRole}}, Roles!{{RoleId}}, 0))",
    "InventedForQuestion": "q2-cfo-controls-nobody-is-watching",
    "SemanticTypeIri": "urn:effortless:pko-extension#RulebookField",
    "Name": "Requirements.AccountableAgent",
    "IsDerived": true,
    "IsWitness": true,
    "DisagreeingSubstrateCount": 0.0,
    "IsSubstrateContested": false
   },
   {
    "RulebookFieldId": "Requirements.HasNamedOwner",
    "TargetTable": "Requirements",
    "FieldName": "HasNamedOwner",
    "FieldType": "calculated",
    "Datatype": "boolean",
    "Formula": "={{AccountableRole}} &lt;&gt; \"\"",
    "InventedForQuestion": "q2-cfo-controls-nobody-is-watching",
    "SemanticTypeIri": "urn:effortless:pko-extension#RulebookField",
    "Name": "Requirements.HasNamedOwner",
    "IsDerived": true,
    "IsWitness": true,
    "DisagreeingSubstrateCount": 0.0,
    "IsSubstrateContested": false
   },
   {
    "RulebookFieldId": "Requirements.IsOrphanedBlockingControl",
    "TargetTable": "Requirements",
    "FieldName": "IsOrphanedBlockingControl",
    "FieldType": "calculated",
    "Datatype": "boolean",
    "Formula": "=AND({{IsBlocking}}, NOT({{HasNamedOwner}}))",
    "InventedForQuestion": "q2-cfo-controls-nobody-is-watching",
    "SemanticTypeIri": "urn:effortless:pko-extension#RulebookField",
    "Name": "Requirements.IsOrphanedBlockingControl",
    "IsDerived": true,
    "IsWitness": true,
    "DisagreeingSubstrateCount": 0.0,
    "IsSubstrateContested": false
   },
   {
    "RulebookFieldId": "Requirements.IsUnwatchedAndUnowned",
    "TargetTable": "Requirements",
    "FieldName": "IsUnwatchedAndUnowned",
    "FieldType": "calculated",
    "Datatype": "boolean",
    "Formula": "=AND({{IsBlocking}}, NOT({{HasComputedWitness}}), NOT({{HasNamedOwner}}))",
    "InventedForQuestion": "q2-cfo-controls-nobody-is-watching",
    "SemanticTypeIri": "urn:effortless:pko-extension#RulebookField",
    "Name": "Requirements.IsUnwatchedAndUnowned",
    "IsDerived": true,
    "IsWitness": true,
    "DisagreeingSubstrateCount": 0.0,
    "IsSubstrateContested": false
   },
   {
    "RulebookFieldId": "Requirements.AttestationExposureNote",
    "TargetTable": "Requirements",
    "FieldName": "AttestationExposureNote",
    "FieldType": "calculated",
    "Datatype": "string",
    "Formula": "=IF(NOT({{IsBlocking}}), \"\", IF({{IsUnwatchedAndUnowned}}, \"Unwatched and unowned: exposure defaults to the signatory.\", IF({{IsOrphanedBlockingControl}}, \"Witnessed but unowned: no named accountability.\", IF(NOT({{HasComputedWitness}}), \"Owned but unwitnessed: rests on human judgement.\", \"\"))))",
    "InventedForQuestion": "q2-cfo-controls-nobody-is-watching",
    "SemanticTypeIri": "urn:effortless:pko-extension#RulebookField",
    "Name": "Requirements.AttestationExposureNote",
    "IsDerived": true,
    "IsWitness": true,
    "DisagreeingSubstrateCount": 0.0,
    "IsSubstrateContested": false
   },
   {
    "RulebookFieldId": "Requirements.UnwatchedUnownedFlag",
    "TargetTable": "Requirements",
    "FieldName": "UnwatchedUnownedFlag",
    "FieldType": "calculated",
    "Datatype": "string",
    "Formula": "=IF({{IsUnwatchedAndUnowned}}, \"unwatched-unowned\", \"\")",
    "InventedForQuestion": "q2-cfo-controls-nobody-is-watching",
    "SemanticTypeIri": "urn:effortless:pko-extension#RulebookField",
    "Name": "Requirements.UnwatchedUnownedFlag",
    "IsDerived": true,
    "IsWitness": true,
    "DisagreeingSubstrateCount": 0.0,
    "IsSubstrateContested": false
   },
   {
    "RulebookFieldId": "Requirements.ControlledTerm",
    "TargetTable": "Requirements",
    "FieldName": "ControlledTerm",
    "FieldType": "relationship",
    "Datatype": "string",
    "Formula": null,
    "InventedForQuestion": "q-authority-controlled-vocabulary",
    "SemanticTypeIri": "urn:effortless:pko-extension#RulebookField",
    "Name": "Requirements.ControlledTerm",
    "IsDerived": false,
    "IsWitness": true,
    "DisagreeingSubstrateCount": 0.0,
    "IsSubstrateContested": false
   },
   {
    "RulebookFieldId": "Requirements.UsesControlledVocabulary",
    "TargetTable": "Requirements",
    "FieldName": "UsesControlledVocabulary",
    "FieldType": "calculated",
    "Datatype": "boolean",
    "Formula": "={{ControlledTerm}} &lt;&gt; \"\"",
    "InventedForQuestion": "q-authority-controlled-vocabulary",
    "SemanticTypeIri": "urn:effortless:pko-extension#RulebookField",
    "Name": "Requirements.UsesControlledVocabulary",
    "IsDerived": true,
    "IsWitness": true,
    "DisagreeingSubstrateCount": 0.0,
    "IsSubstrateContested": false
   },
   {
    "RulebookFieldId": "Requirements.SemanticTypeIri",
    "TargetTable": "Requirements",
    "FieldName": "SemanticTypeIri",
    "FieldType": "raw",
    "Datatype": "string",
    "Formula": null,
    "InventedForQuestion": null,
    "SemanticTypeIri": "urn:effortless:pko-extension#RulebookField",
    "Name": "Requirements.SemanticTypeIri",
    "IsDerived": false,
    "IsWitness": false,
    "DisagreeingSubstrateCount": 0.0,
    "IsSubstrateContested": false
   },
   {
    "RulebookFieldId": "StepRequirements.StepRequirementId",
    "TargetTable": "StepRequirements",
    "FieldName": "StepRequirementId",
    "FieldType": "raw",
    "Datatype": "string",
    "Formula": null,
    "InventedForQuestion": null,
    "SemanticTypeIri": "urn:effortless:pko-extension#RulebookField",
    "Name": "StepRequirements.StepRequirementId",
    "IsDerived": false,
    "IsWitness": false,
    "DisagreeingSubstrateCount": 0.0,
    "IsSubstrateContested": false
   },
   {
    "RulebookFieldId": "StepRequirements.Name",
    "TargetTable": "StepRequirements",
    "FieldName": "Name",
    "FieldType": "calculated",
    "Datatype": "string",
    "Formula": "={{Step}} &amp; \" / \" &amp; {{Requirement}}",
    "InventedForQuestion": null,
    "SemanticTypeIri": "urn:effortless:pko-extension#RulebookField",
    "Name": "StepRequirements.Name",
    "IsDerived": true,
    "IsWitness": false,
    "DisagreeingSubstrateCount": 0.0,
    "IsSubstrateContested": false
   },
   {
    "RulebookFieldId": "StepRequirements.Step",
    "TargetTable": "StepRequirements",
    "FieldName": "Step",
    "FieldType": "relationship",
    "Datatype": "string",
    "Formula": null,
    "InventedForQuestion": null,
    "SemanticTypeIri": "urn:effortless:pko-extension#RulebookField",
    "Name": "StepRequirements.Step",
    "IsDerived": false,
    "IsWitness": false,
    "DisagreeingSubstrateCount": 0.0,
    "IsSubstrateContested": false
   },
   {
    "RulebookFieldId": "StepRequirements.Requirement",
    "TargetTable": "StepRequirements",
    "FieldName": "Requirement",
    "FieldType": "relationship",
    "Datatype": "string",
    "Formula": null,
    "InventedForQuestion": null,
    "SemanticTypeIri": "urn:effortless:pko-extension#RulebookField",
    "Name": "StepRequirements.Requirement",
    "IsDerived": false,
    "IsWitness": false,
    "DisagreeingSubstrateCount": 0.0,
    "IsSubstrateContested": false
   },
   {
    "RulebookFieldId": "StepRequirements.RequirementIsBlocking",
    "TargetTable": "StepRequirements",
    "FieldName": "RequirementIsBlocking",
    "FieldType": "lookup",
    "Datatype": "boolean",
    "Formula": "=INDEX(Requirements!{{IsBlocking}}, MATCH({{Requirement}}, Requirements!{{RequirementId}}, 0))",
    "InventedForQuestion": "q-analyst-blocking-never-evaluated",
    "SemanticTypeIri": "urn:effortless:pko-extension#RulebookField",
    "Name": "StepRequirements.RequirementIsBlocking",
    "IsDerived": true,
    "IsWitness": true,
    "DisagreeingSubstrateCount": 0.0,
    "IsSubstrateContested": false
   },
   {
    "RulebookFieldId": "StepRequirements.BlockingStepKey",
    "TargetTable": "StepRequirements",
    "FieldName": "BlockingStepKey",
    "FieldType": "calculated",
    "Datatype": "string",
    "Formula": "=IF({{RequirementIsBlocking}}, {{Step}}, \"\")",
    "InventedForQuestion": "q-analyst-blocking-never-evaluated",
    "SemanticTypeIri": "urn:effortless:pko-extension#RulebookField",
    "Name": "StepRequirements.BlockingStepKey",
    "IsDerived": true,
    "IsWitness": true,
    "DisagreeingSubstrateCount": 0.0,
    "IsSubstrateContested": false
   },
   {
    "RulebookFieldId": "StepRequirements.StepWhenBlocking",
    "TargetTable": "StepRequirements",
    "FieldName": "StepWhenBlocking",
    "FieldType": "calculated",
    "Datatype": "string",
    "Formula": "=IF({{RequirementIsBlocking}}, {{Step}}, \"\")",
    "InventedForQuestion": "q-close-auto-blocking-requirements-evaluated",
    "SemanticTypeIri": "urn:effortless:pko-extension#RulebookField",
    "Name": "StepRequirements.StepWhenBlocking",
    "IsDerived": true,
    "IsWitness": true,
    "DisagreeingSubstrateCount": 0.0,
    "IsSubstrateContested": false
   },
   {
    "RulebookFieldId": "StepRequirements.RequirementLacksWitness",
    "TargetTable": "StepRequirements",
    "FieldName": "RequirementLacksWitness",
    "FieldType": "lookup",
    "Datatype": "boolean",
    "Formula": "=INDEX(Requirements!{{IsUnwitnessedBlockingControl}}, MATCH({{Requirement}}, Requirements!{{RequirementId}}, 0))",
    "InventedForQuestion": "q2-fa-witness-coverage-of-my-steps",
    "SemanticTypeIri": "urn:effortless:pko-extension#RulebookField",
    "Name": "StepRequirements.RequirementLacksWitness",
    "IsDerived": true,
    "IsWitness": true,
    "DisagreeingSubstrateCount": 0.0,
    "IsSubstrateContested": false
   },
   {
    "RulebookFieldId": "StepRequirements.UnwitnessedStepKey",
    "TargetTable": "StepRequirements",
    "FieldName": "UnwitnessedStepKey",
    "FieldType": "calculated",
    "Datatype": "string",
    "Formula": "=IF({{RequirementLacksWitness}}, {{Step}}, \"\")",
    "InventedForQuestion": "q2-fa-witness-coverage-of-my-steps",
    "SemanticTypeIri": "urn:effortless:pko-extension#RulebookField",
    "Name": "StepRequirements.UnwitnessedStepKey",
    "IsDerived": true,
    "IsWitness": true,
    "DisagreeingSubstrateCount": 0.0,
    "IsSubstrateContested": false
   },
   {
    "RulebookFieldId": "StepRequirements.SatisfactionCountForBinding",
    "TargetTable": "StepRequirements",
    "FieldName": "SatisfactionCountForBinding",
    "FieldType": "aggregation",
    "Datatype": "number",
    "Formula": "=COUNTIFS(RequirementSatisfactions!{{BindingKey}}, {{StepRequirementId}})",
    "InventedForQuestion": "q2-ctl-witness-scope-vs-binding",
    "SemanticTypeIri": "urn:effortless:pko-extension#RulebookField",
    "Name": "StepRequirements.SatisfactionCountForBinding",
    "IsDerived": true,
    "IsWitness": true,
    "DisagreeingSubstrateCount": 0.0,
    "IsSubstrateContested": false
   },
   {
    "RulebookFieldId": "StepRequirements.BindingWasEverExercised",
    "TargetTable": "StepRequirements",
    "FieldName": "BindingWasEverExercised",
    "FieldType": "calculated",
    "Datatype": "boolean",
    "Formula": "={{SatisfactionCountForBinding}} &gt; 0",
    "InventedForQuestion": "q2-ctl-witness-scope-vs-binding",
    "SemanticTypeIri": "urn:effortless:pko-extension#RulebookField",
    "Name": "StepRequirements.BindingWasEverExercised",
    "IsDerived": true,
    "IsWitness": true,
    "DisagreeingSubstrateCount": 0.0,
    "IsSubstrateContested": false
   },
   {
    "RulebookFieldId": "StepRequirements.IsUnexercisedBlockingBinding",
    "TargetTable": "StepRequirements",
    "FieldName": "IsUnexercisedBlockingBinding",
    "FieldType": "calculated",
    "Datatype": "boolean",
    "Formula": "=AND({{RequirementIsBlocking}}, NOT({{BindingWasEverExercised}}))",
    "InventedForQuestion": "q2-ctl-witness-scope-vs-binding",
    "SemanticTypeIri": "urn:effortless:pko-extension#RulebookField",
    "Name": "StepRequirements.IsUnexercisedBlockingBinding",
    "IsDerived": true,
    "IsWitness": true,
    "DisagreeingSubstrateCount": 0.0,
    "IsSubstrateContested": false
   },
   {
    "RulebookFieldId": "StepRequirements.UnexercisedBindingRequirementKey",
    "TargetTable": "StepRequirements",
    "FieldName": "UnexercisedBindingRequirementKey",
    "FieldType": "calculated",
    "Datatype": "string",
    "Formula": "=IF({{IsUnexercisedBlockingBinding}}, {{Requirement}}, \"\")",
    "InventedForQuestion": "q2-ctl-witness-scope-vs-binding",
    "SemanticTypeIri": "urn:effortless:pko-extension#RulebookField",
    "Name": "StepRequirements.UnexercisedBindingRequirementKey",
    "IsDerived": true,
    "IsWitness": true,
    "DisagreeingSubstrateCount": 0.0,
    "IsSubstrateContested": false
   },
   {
    "RulebookFieldId": "StepVerifications.StepVerificationId",
    "TargetTable": "StepVerifications",
    "FieldName": "StepVerificationId",
    "FieldType": "raw",
    "Datatype": "string",
    "Formula": null,
    "InventedForQuestion": null,
    "SemanticTypeIri": "urn:effortless:pko-extension#RulebookField",
    "Name": "StepVerifications.StepVerificationId",
    "IsDerived": false,
    "IsWitness": false,
    "DisagreeingSubstrateCount": 0.0,
    "IsSubstrateContested": false
   },
   {
    "RulebookFieldId": "StepVerifications.Name",
    "TargetTable": "StepVerifications",
    "FieldName": "Name",
    "FieldType": "calculated",
    "Datatype": "string",
    "Formula": "={{Step}} &amp; \" / \" &amp; {{VerificationKind}}",
    "InventedForQuestion": null,
    "SemanticTypeIri": "urn:effortless:pko-extension#RulebookField",
    "Name": "StepVerifications.Name",
    "IsDerived": true,
    "IsWitness": false,
    "DisagreeingSubstrateCount": 0.0,
    "IsSubstrateContested": false
   },
   {
    "RulebookFieldId": "StepVerifications.Step",
    "TargetTable": "StepVerifications",
    "FieldName": "Step",
    "FieldType": "relationship",
    "Datatype": "string",
    "Formula": null,
    "InventedForQuestion": null,
    "SemanticTypeIri": "urn:effortless:pko-extension#RulebookField",
    "Name": "StepVerifications.Step",
    "IsDerived": false,
    "IsWitness": false,
    "DisagreeingSubstrateCount": 0.0,
    "IsSubstrateContested": false
   },
   {
    "RulebookFieldId": "StepVerifications.VerificationKind",
    "TargetTable": "StepVerifications",
    "FieldName": "VerificationKind",
    "FieldType": "raw",
    "Datatype": "string",
    "Formula": null,
    "InventedForQuestion": null,
    "SemanticTypeIri": "urn:effortless:pko-extension#RulebookField",
    "Name": "StepVerifications.VerificationKind",
    "IsDerived": false,
    "IsWitness": false,
    "DisagreeingSubstrateCount": 0.0,
    "IsSubstrateContested": false
   },
   {
    "RulebookFieldId": "StepVerifications.SignalIdentifier",
    "TargetTable": "StepVerifications",
    "FieldName": "SignalIdentifier",
    "FieldType": "raw",
    "Datatype": "string",
    "Formula": null,
    "InventedForQuestion": null,
    "SemanticTypeIri": "urn:effortless:pko-extension#RulebookField",
    "Name": "StepVerifications.SignalIdentifier",
    "IsDerived": false,
    "IsWitness": false,
    "DisagreeingSubstrateCount": 0.0,
    "IsSubstrateContested": false
   },
   {
    "RulebookFieldId": "StepVerifications.ExpectedSignalValue",
    "TargetTable": "StepVerifications",
    "FieldName": "ExpectedSignalValue",
    "FieldType": "raw",
    "Datatype": "string",
    "Formula": null,
    "InventedForQuestion": null,
    "SemanticTypeIri": "urn:effortless:pko-extension#RulebookField",
    "Name": "StepVerifications.ExpectedSignalValue",
    "IsDerived": false,
    "IsWitness": false,
    "DisagreeingSubstrateCount": 0.0,
    "IsSubstrateContested": false
   },
   {
    "RulebookFieldId": "StepVerifications.Instruction",
    "TargetTable": "StepVerifications",
    "FieldName": "Instruction",
    "FieldType": "raw",
    "Datatype": "string",
    "Formula": null,
    "InventedForQuestion": null,
    "SemanticTypeIri": "urn:effortless:pko-extension#RulebookField",
    "Name": "StepVerifications.Instruction",
    "IsDerived": false,
    "IsWitness": false,
    "DisagreeingSubstrateCount": 0.0,
    "IsSubstrateContested": false
   },
   {
    "RulebookFieldId": "StepVerifications.SemanticTypeIri",
    "TargetTable": "StepVerifications",
    "FieldName": "SemanticTypeIri",
    "FieldType": "raw",
    "Datatype": "string",
    "Formula": null,
    "InventedForQuestion": null,
    "SemanticTypeIri": "urn:effortless:pko-extension#RulebookField",
    "Name": "StepVerifications.SemanticTypeIri",
    "IsDerived": false,
    "IsWitness": false,
    "DisagreeingSubstrateCount": 0.0,
    "IsSubstrateContested": false
   },
   {
    "RulebookFieldId": "Rationales.RationaleId",
    "TargetTable": "Rationales",
    "FieldName": "RationaleId",
    "FieldType": "raw",
    "Datatype": "string",
    "Formula": null,
    "InventedForQuestion": null,
    "SemanticTypeIri": "urn:effortless:pko-extension#RulebookField",
    "Name": "Rationales.RationaleId",
    "IsDerived": false,
    "IsWitness": false,
    "DisagreeingSubstrateCount": 0.0,
    "IsSubstrateContested": false
   },
   {
    "RulebookFieldId": "Rationales.Name",
    "TargetTable": "Rationales",
    "FieldName": "Name",
    "FieldType": "calculated",
    "Datatype": "string",
    "Formula": "={{Title}}",
    "InventedForQuestion": null,
    "SemanticTypeIri": "urn:effortless:pko-extension#RulebookField",
    "Name": "Rationales.Name",
    "IsDerived": true,
    "IsWitness": false,
    "DisagreeingSubstrateCount": 0.0,
    "IsSubstrateContested": false
   },
   {
    "RulebookFieldId": "Rationales.ProcedureVersion",
    "TargetTable": "Rationales",
    "FieldName": "ProcedureVersion",
    "FieldType": "relationship",
    "Datatype": "string",
    "Formula": null,
    "InventedForQuestion": null,
    "SemanticTypeIri": "urn:effortless:pko-extension#RulebookField",
    "Name": "Rationales.ProcedureVersion",
    "IsDerived": false,
    "IsWitness": false,
    "DisagreeingSubstrateCount": 0.0,
    "IsSubstrateContested": false
   },
   {
    "RulebookFieldId": "Rationales.Step",
    "TargetTable": "Rationales",
    "FieldName": "Step",
    "FieldType": "relationship",
    "Datatype": "string",
    "Formula": null,
    "InventedForQuestion": null,
    "SemanticTypeIri": "urn:effortless:pko-extension#RulebookField",
    "Name": "Rationales.Step",
    "IsDerived": false,
    "IsWitness": false,
    "DisagreeingSubstrateCount": 0.0,
    "IsSubstrateContested": false
   },
   {
    "RulebookFieldId": "Rationales.Title",
    "TargetTable": "Rationales",
    "FieldName": "Title",
    "FieldType": "raw",
    "Datatype": "string",
    "Formula": null,
    "InventedForQuestion": null,
    "SemanticTypeIri": "urn:effortless:pko-extension#RulebookField",
    "Name": "Rationales.Title",
    "IsDerived": false,
    "IsWitness": false,
    "DisagreeingSubstrateCount": 0.0,
    "IsSubstrateContested": false
   },
   {
    "RulebookFieldId": "Rationales.Statement",
    "TargetTable": "Rationales",
    "FieldName": "Statement",
    "FieldType": "raw",
    "Datatype": "string",
    "Formula": null,
    "InventedForQuestion": null,
    "SemanticTypeIri": "urn:effortless:pko-extension#RulebookField",
    "Name": "Rationales.Statement",
    "IsDerived": false,
    "IsWitness": false,
    "DisagreeingSubstrateCount": 0.0,
    "IsSubstrateContested": false
   },
   {
    "RulebookFieldId": "Rationales.Status",
    "TargetTable": "Rationales",
    "FieldName": "Status",
    "FieldType": "raw",
    "Datatype": "string",
    "Formula": null,
    "InventedForQuestion": null,
    "SemanticTypeIri": "urn:effortless:pko-extension#RulebookField",
    "Name": "Rationales.Status",
    "IsDerived": false,
    "IsWitness": false,
    "DisagreeingSubstrateCount": 0.0,
    "IsSubstrateContested": false
   },
   {
    "RulebookFieldId": "Rationales.AuthorityRole",
    "TargetTable": "Rationales",
    "FieldName": "AuthorityRole",
    "FieldType": "relationship",
    "Datatype": "string",
    "Formula": null,
    "InventedForQuestion": null,
    "SemanticTypeIri": "urn:effortless:pko-extension#RulebookField",
    "Name": "Rationales.AuthorityRole",
    "IsDerived": false,
    "IsWitness": false,
    "DisagreeingSubstrateCount": 0.0,
    "IsSubstrateContested": false
   },
   {
    "RulebookFieldId": "Rationales.SemanticTypeIri",
    "TargetTable": "Rationales",
    "FieldName": "SemanticTypeIri",
    "FieldType": "raw",
    "Datatype": "string",
    "Formula": null,
    "InventedForQuestion": null,
    "SemanticTypeIri": "urn:effortless:pko-extension#RulebookField",
    "Name": "Rationales.SemanticTypeIri",
    "IsDerived": false,
    "IsWitness": false,
    "DisagreeingSubstrateCount": 0.0,
    "IsSubstrateContested": false
   },
   {
    "RulebookFieldId": "Exceptions.ExceptionId",
    "TargetTable": "Exceptions",
    "FieldName": "ExceptionId",
    "FieldType": "raw",
    "Datatype": "string",
    "Formula": null,
    "InventedForQuestion": null,
    "SemanticTypeIri": "urn:effortless:pko-extension#RulebookField",
    "Name": "Exceptions.ExceptionId",
    "IsDerived": false,
    "IsWitness": false,
    "DisagreeingSubstrateCount": 0.0,
    "IsSubstrateContested": false
   },
   {
    "RulebookFieldId": "Exceptions.Name",
    "TargetTable": "Exceptions",
    "FieldName": "Name",
    "FieldType": "calculated",
    "Datatype": "string",
    "Formula": "={{Condition}}",
    "InventedForQuestion": null,
    "SemanticTypeIri": "urn:effortless:pko-extension#RulebookField",
    "Name": "Exceptions.Name",
    "IsDerived": true,
    "IsWitness": false,
    "DisagreeingSubstrateCount": 0.0,
    "IsSubstrateContested": false
   },
   {
    "RulebookFieldId": "Exceptions.ProcedureVersion",
    "TargetTable": "Exceptions",
    "FieldName": "ProcedureVersion",
    "FieldType": "relationship",
    "Datatype": "string",
    "Formula": null,
    "InventedForQuestion": null,
    "SemanticTypeIri": "urn:effortless:pko-extension#RulebookField",
    "Name": "Exceptions.ProcedureVersion",
    "IsDerived": false,
    "IsWitness": false,
    "DisagreeingSubstrateCount": 0.0,
    "IsSubstrateContested": false
   },
   {
    "RulebookFieldId": "Exceptions.TriggerStep",
    "TargetTable": "Exceptions",
    "FieldName": "TriggerStep",
    "FieldType": "relationship",
    "Datatype": "string",
    "Formula": null,
    "InventedForQuestion": null,
    "SemanticTypeIri": "urn:effortless:pko-extension#RulebookField",
    "Name": "Exceptions.TriggerStep",
    "IsDerived": false,
    "IsWitness": false,
    "DisagreeingSubstrateCount": 0.0,
    "IsSubstrateContested": false
   },
   {
    "RulebookFieldId": "Exceptions.Condition",
    "TargetTable": "Exceptions",
    "FieldName": "Condition",
    "FieldType": "raw",
    "Datatype": "string",
    "Formula": null,
    "InventedForQuestion": null,
    "SemanticTypeIri": "urn:effortless:pko-extension#RulebookField",
    "Name": "Exceptions.Condition",
    "IsDerived": false,
    "IsWitness": false,
    "DisagreeingSubstrateCount": 0.0,
    "IsSubstrateContested": false
   },
   {
    "RulebookFieldId": "Exceptions.Handling",
    "TargetTable": "Exceptions",
    "FieldName": "Handling",
    "FieldType": "raw",
    "Datatype": "string",
    "Formula": null,
    "InventedForQuestion": null,
    "SemanticTypeIri": "urn:effortless:pko-extension#RulebookField",
    "Name": "Exceptions.Handling",
    "IsDerived": false,
    "IsWitness": false,
    "DisagreeingSubstrateCount": 0.0,
    "IsSubstrateContested": false
   },
   {
    "RulebookFieldId": "Exceptions.ApprovalRole",
    "TargetTable": "Exceptions",
    "FieldName": "ApprovalRole",
    "FieldType": "relationship",
    "Datatype": "string",
    "Formula": null,
    "InventedForQuestion": null,
    "SemanticTypeIri": "urn:effortless:pko-extension#RulebookField",
    "Name": "Exceptions.ApprovalRole",
    "IsDerived": false,
    "IsWitness": false,
    "DisagreeingSubstrateCount": 0.0,
    "IsSubstrateContested": false
   },
   {
    "RulebookFieldId": "Exceptions.FallbackRole",
    "TargetTable": "Exceptions",
    "FieldName": "FallbackRole",
    "FieldType": "relationship",
    "Datatype": "string",
    "Formula": null,
    "InventedForQuestion": null,
    "SemanticTypeIri": "urn:effortless:pko-extension#RulebookField",
    "Name": "Exceptions.FallbackRole",
    "IsDerived": false,
    "IsWitness": false,
    "DisagreeingSubstrateCount": 0.0,
    "IsSubstrateContested": false
   },
   {
    "RulebookFieldId": "Exceptions.Status",
    "TargetTable": "Exceptions",
    "FieldName": "Status",
    "FieldType": "raw",
    "Datatype": "string",
    "Formula": null,
    "InventedForQuestion": null,
    "SemanticTypeIri": "urn:effortless:pko-extension#RulebookField",
    "Name": "Exceptions.Status",
    "IsDerived": false,
    "IsWitness": false,
    "DisagreeingSubstrateCount": 0.0,
    "IsSubstrateContested": false
   },
   {
    "RulebookFieldId": "Exceptions.ActiveExceptionStepKey",
    "TargetTable": "Exceptions",
    "FieldName": "ActiveExceptionStepKey",
    "FieldType": "calculated",
    "Datatype": "string",
    "Formula": "=IF({{Status}} = \"Active\", {{TriggerStep}}, \"\")",
    "InventedForQuestion": "q-analyst-my-late-steps-unexplained",
    "SemanticTypeIri": "urn:effortless:pko-extension#RulebookField",
    "Name": "Exceptions.ActiveExceptionStepKey",
    "IsDerived": true,
    "IsWitness": true,
    "DisagreeingSubstrateCount": 0.0,
    "IsSubstrateContested": false
   },
   {
    "RulebookFieldId": "Exceptions.SemanticTypeIri",
    "TargetTable": "Exceptions",
    "FieldName": "SemanticTypeIri",
    "FieldType": "raw",
    "Datatype": "string",
    "Formula": null,
    "InventedForQuestion": null,
    "SemanticTypeIri": "urn:effortless:pko-extension#RulebookField",
    "Name": "Exceptions.SemanticTypeIri",
    "IsDerived": false,
    "IsWitness": false,
    "DisagreeingSubstrateCount": 0.0,
    "IsSubstrateContested": false
   },
   {
    "RulebookFieldId": "Resources.ResourceId",
    "TargetTable": "Resources",
    "FieldName": "ResourceId",
    "FieldType": "raw",
    "Datatype": "string",
    "Formula": null,
    "InventedForQuestion": null,
    "SemanticTypeIri": "urn:effortless:pko-extension#RulebookField",
    "Name": "Resources.ResourceId",
    "IsDerived": false,
    "IsWitness": false,
    "DisagreeingSubstrateCount": 0.0,
    "IsSubstrateContested": false
   },
   {
    "RulebookFieldId": "Resources.Name",
    "TargetTable": "Resources",
    "FieldName": "Name",
    "FieldType": "calculated",
    "Datatype": "string",
    "Formula": "={{Title}}",
    "InventedForQuestion": null,
    "SemanticTypeIri": "urn:effortless:pko-extension#RulebookField",
    "Name": "Resources.Name",
    "IsDerived": true,
    "IsWitness": false,
    "DisagreeingSubstrateCount": 0.0,
    "IsSubstrateContested": false
   },
   {
    "RulebookFieldId": "Resources.Title",
    "TargetTable": "Resources",
    "FieldName": "Title",
    "FieldType": "raw",
    "Datatype": "string",
    "Formula": null,
    "InventedForQuestion": null,
    "SemanticTypeIri": "urn:effortless:pko-extension#RulebookField",
    "Name": "Resources.Title",
    "IsDerived": false,
    "IsWitness": false,
    "DisagreeingSubstrateCount": 0.0,
    "IsSubstrateContested": false
   },
   {
    "RulebookFieldId": "Resources.ResourceKind",
    "TargetTable": "Resources",
    "FieldName": "ResourceKind",
    "FieldType": "raw",
    "Datatype": "string",
    "Formula": null,
    "InventedForQuestion": null,
    "SemanticTypeIri": "urn:effortless:pko-extension#RulebookField",
    "Name": "Resources.ResourceKind",
    "IsDerived": false,
    "IsWitness": false,
    "DisagreeingSubstrateCount": 0.0,
    "IsSubstrateContested": false
   },
   {
    "RulebookFieldId": "Resources.ExternalUri",
    "TargetTable": "Resources",
    "FieldName": "ExternalUri",
    "FieldType": "raw",
    "Datatype": "string",
    "Formula": null,
    "InventedForQuestion": null,
    "SemanticTypeIri": "urn:effortless:pko-extension#RulebookField",
    "Name": "Resources.ExternalUri",
    "IsDerived": false,
    "IsWitness": false,
    "DisagreeingSubstrateCount": 0.0,
    "IsSubstrateContested": false
   },
   {
    "RulebookFieldId": "Resources.CreatedAt",
    "TargetTable": "Resources",
    "FieldName": "CreatedAt",
    "FieldType": "raw",
    "Datatype": "datetime",
    "Formula": null,
    "InventedForQuestion": null,
    "SemanticTypeIri": "urn:effortless:pko-extension#RulebookField",
    "Name": "Resources.CreatedAt",
    "IsDerived": false,
    "IsWitness": false,
    "DisagreeingSubstrateCount": 0.0,
    "IsSubstrateContested": false
   },
   {
    "RulebookFieldId": "Resources.ModifiedAt",
    "TargetTable": "Resources",
    "FieldName": "ModifiedAt",
    "FieldType": "raw",
    "Datatype": "datetime",
    "Formula": null,
    "InventedForQuestion": null,
    "SemanticTypeIri": "urn:effortless:pko-extension#RulebookField",
    "Name": "Resources.ModifiedAt",
    "IsDerived": false,
    "IsWitness": false,
    "DisagreeingSubstrateCount": 0.0,
    "IsSubstrateContested": false
   },
   {
    "RulebookFieldId": "Resources.Description",
    "TargetTable": "Resources",
    "FieldName": "Description",
    "FieldType": "raw",
    "Datatype": "string",
    "Formula": null,
    "InventedForQuestion": null,
    "SemanticTypeIri": "urn:effortless:pko-extension#RulebookField",
    "Name": "Resources.Description",
    "IsDerived": false,
    "IsWitness": false,
    "DisagreeingSubstrateCount": 0.0,
    "IsSubstrateContested": false
   },
   {
    "RulebookFieldId": "Resources.ApprovalStatus",
    "TargetTable": "Resources",
    "FieldName": "ApprovalStatus",
    "FieldType": "raw",
    "Datatype": "string",
    "Formula": null,
    "InventedForQuestion": "q-policy-ai-source-approval",
    "SemanticTypeIri": "urn:effortless:pko-extension#RulebookField",
    "Name": "Resources.ApprovalStatus",
    "IsDerived": false,
    "IsWitness": true,
    "DisagreeingSubstrateCount": 0.0,
    "IsSubstrateContested": false
   },
   {
    "RulebookFieldId": "Resources.IsApprovedSource",
    "TargetTable": "Resources",
    "FieldName": "IsApprovedSource",
    "FieldType": "calculated",
    "Datatype": "boolean",
    "Formula": "={{ApprovalStatus}} = \"Approved\"",
    "InventedForQuestion": "q-policy-ai-source-approval",
    "SemanticTypeIri": "urn:effortless:pko-extension#RulebookField",
    "Name": "Resources.IsApprovedSource",
    "IsDerived": true,
    "IsWitness": true,
    "DisagreeingSubstrateCount": 0.0,
    "IsSubstrateContes</t>
  </si>
  <si>
    <t xml:space="preserve">ted": false
   },
   {
    "RulebookFieldId": "Resources.SemanticTypeIri",
    "TargetTable": "Resources",
    "FieldName": "SemanticTypeIri",
    "FieldType": "raw",
    "Datatype": "string",
    "Formula": null,
    "InventedForQuestion": null,
    "SemanticTypeIri": "urn:effortless:pko-extension#RulebookField",
    "Name": "Resources.SemanticTypeIri",
    "IsDerived": false,
    "IsWitness": false,
    "DisagreeingSubstrateCount": 0.0,
    "IsSubstrateContested": false
   },
   {
    "RulebookFieldId": "ProcedureResources.ProcedureResourceId",
    "TargetTable": "ProcedureResources",
    "FieldName": "ProcedureResourceId",
    "FieldType": "raw",
    "Datatype": "string",
    "Formula": null,
    "InventedForQuestion": null,
    "SemanticTypeIri": "urn:effortless:pko-extension#RulebookField",
    "Name": "ProcedureResources.ProcedureResourceId",
    "IsDerived": false,
    "IsWitness": false,
    "DisagreeingSubstrateCount": 0.0,
    "IsSubstrateContested": false
   },
   {
    "RulebookFieldId": "ProcedureResources.Name",
    "TargetTable": "ProcedureResources",
    "FieldName": "Name",
    "FieldType": "calculated",
    "Datatype": "string",
    "Formula": "={{ProcedureVersion}} &amp; \" / \" &amp; {{Resource}}",
    "InventedForQuestion": null,
    "SemanticTypeIri": "urn:effortless:pko-extension#RulebookField",
    "Name": "ProcedureResources.Name",
    "IsDerived": true,
    "IsWitness": false,
    "DisagreeingSubstrateCount": 0.0,
    "IsSubstrateContested": false
   },
   {
    "RulebookFieldId": "ProcedureResources.ProcedureVersion",
    "TargetTable": "ProcedureResources",
    "FieldName": "ProcedureVersion",
    "FieldType": "relationship",
    "Datatype": "string",
    "Formula": null,
    "InventedForQuestion": null,
    "SemanticTypeIri": "urn:effortless:pko-extension#RulebookField",
    "Name": "ProcedureResources.ProcedureVersion",
    "IsDerived": false,
    "IsWitness": false,
    "DisagreeingSubstrateCount": 0.0,
    "IsSubstrateContested": false
   },
   {
    "RulebookFieldId": "ProcedureResources.Resource",
    "TargetTable": "ProcedureResources",
    "FieldName": "Resource",
    "FieldType": "relationship",
    "Datatype": "string",
    "Formula": null,
    "InventedForQuestion": null,
    "SemanticTypeIri": "urn:effortless:pko-extension#RulebookField",
    "Name": "ProcedureResources.Resource",
    "IsDerived": false,
    "IsWitness": false,
    "DisagreeingSubstrateCount": 0.0,
    "IsSubstrateContested": false
   },
   {
    "RulebookFieldId": "ProcedureResources.Relation",
    "TargetTable": "ProcedureResources",
    "FieldName": "Relation",
    "FieldType": "raw",
    "Datatype": "string",
    "Formula": null,
    "InventedForQuestion": null,
    "SemanticTypeIri": "urn:effortless:pko-extension#RulebookField",
    "Name": "ProcedureResources.Relation",
    "IsDerived": false,
    "IsWitness": false,
    "DisagreeingSubstrateCount": 0.0,
    "IsSubstrateContested": false
   },
   {
    "RulebookFieldId": "ProcedureResources.RelationIri",
    "TargetTable": "ProcedureResources",
    "FieldName": "RelationIri",
    "FieldType": "calculated",
    "Datatype": "string",
    "Formula": "=IF({{Relation}} = \"wasExtractedFrom\", \"https://w3id.org/pko#wasExtractedFrom\", \"http://purl.org/dc/terms/references\")",
    "InventedForQuestion": null,
    "SemanticTypeIri": "urn:effortless:pko-extension#RulebookField",
    "Name": "ProcedureResources.RelationIri",
    "IsDerived": true,
    "IsWitness": false,
    "DisagreeingSubstrateCount": 0.0,
    "IsSubstrateContested": false
   },
   {
    "RulebookFieldId": "ElicitationSessions.ElicitationSessionId",
    "TargetTable": "ElicitationSessions",
    "FieldName": "ElicitationSessionId",
    "FieldType": "raw",
    "Datatype": "string",
    "Formula": null,
    "InventedForQuestion": null,
    "SemanticTypeIri": "urn:effortless:pko-extension#RulebookField",
    "Name": "ElicitationSessions.ElicitationSessionId",
    "IsDerived": false,
    "IsWitness": false,
    "DisagreeingSubstrateCount": 0.0,
    "IsSubstrateContested": false
   },
   {
    "RulebookFieldId": "ElicitationSessions.Name",
    "TargetTable": "ElicitationSessions",
    "FieldName": "Name",
    "FieldType": "calculated",
    "Datatype": "string",
    "Formula": "={{Method}} &amp; \" / \" &amp; {{StartedAt}}",
    "InventedForQuestion": null,
    "SemanticTypeIri": "urn:effortless:pko-extension#RulebookField",
    "Name": "ElicitationSessions.Name",
    "IsDerived": true,
    "IsWitness": false,
    "DisagreeingSubstrateCount": 0.0,
    "IsSubstrateContested": false
   },
   {
    "RulebookFieldId": "ElicitationSessions.ProcedureVersion",
    "TargetTable": "ElicitationSessions",
    "FieldName": "ProcedureVersion",
    "FieldType": "relationship",
    "Datatype": "string",
    "Formula": null,
    "InventedForQuestion": null,
    "SemanticTypeIri": "urn:effortless:pko-extension#RulebookField",
    "Name": "ElicitationSessions.ProcedureVersion",
    "IsDerived": false,
    "IsWitness": false,
    "DisagreeingSubstrateCount": 0.0,
    "IsSubstrateContested": false
   },
   {
    "RulebookFieldId": "ElicitationSessions.Method",
    "TargetTable": "ElicitationSessions",
    "FieldName": "Method",
    "FieldType": "raw",
    "Datatype": "string",
    "Formula": null,
    "InventedForQuestion": null,
    "SemanticTypeIri": "urn:effortless:pko-extension#RulebookField",
    "Name": "ElicitationSessions.Method",
    "IsDerived": false,
    "IsWitness": false,
    "DisagreeingSubstrateCount": 0.0,
    "IsSubstrateContested": false
   },
   {
    "RulebookFieldId": "ElicitationSessions.StartedAt",
    "TargetTable": "ElicitationSessions",
    "FieldName": "StartedAt",
    "FieldType": "raw",
    "Datatype": "datetime",
    "Formula": null,
    "InventedForQuestion": null,
    "SemanticTypeIri": "urn:effortless:pko-extension#RulebookField",
    "Name": "ElicitationSessions.StartedAt",
    "IsDerived": false,
    "IsWitness": false,
    "DisagreeingSubstrateCount": 0.0,
    "IsSubstrateContested": false
   },
   {
    "RulebookFieldId": "ElicitationSessions.EndedAt",
    "TargetTable": "ElicitationSessions",
    "FieldName": "EndedAt",
    "FieldType": "raw",
    "Datatype": "datetime",
    "Formula": null,
    "InventedForQuestion": null,
    "SemanticTypeIri": "urn:effortless:pko-extension#RulebookField",
    "Name": "ElicitationSessions.EndedAt",
    "IsDerived": false,
    "IsWitness": false,
    "DisagreeingSubstrateCount": 0.0,
    "IsSubstrateContested": false
   },
   {
    "RulebookFieldId": "ElicitationSessions.PractitionerAgent",
    "TargetTable": "ElicitationSessions",
    "FieldName": "PractitionerAgent",
    "FieldType": "relationship",
    "Datatype": "string",
    "Formula": null,
    "InventedForQuestion": null,
    "SemanticTypeIri": "urn:effortless:pko-extension#RulebookField",
    "Name": "ElicitationSessions.PractitionerAgent",
    "IsDerived": false,
    "IsWitness": false,
    "DisagreeingSubstrateCount": 0.0,
    "IsSubstrateContested": false
   },
   {
    "RulebookFieldId": "ElicitationSessions.FacilitatorAgent",
    "TargetTable": "ElicitationSessions",
    "FieldName": "FacilitatorAgent",
    "FieldType": "relationship",
    "Datatype": "string",
    "Formula": null,
    "InventedForQuestion": null,
    "SemanticTypeIri": "urn:effortless:pko-extension#RulebookField",
    "Name": "ElicitationSessions.FacilitatorAgent",
    "IsDerived": false,
    "IsWitness": false,
    "DisagreeingSubstrateCount": 0.0,
    "IsSubstrateContested": false
   },
   {
    "RulebookFieldId": "ElicitationSessions.Summary",
    "TargetTable": "ElicitationSessions",
    "FieldName": "Summary",
    "FieldType": "raw",
    "Datatype": "string",
    "Formula": null,
    "InventedForQuestion": null,
    "SemanticTypeIri": "urn:effortless:pko-extension#RulebookField",
    "Name": "ElicitationSessions.Summary",
    "IsDerived": false,
    "IsWitness": false,
    "DisagreeingSubstrateCount": 0.0,
    "IsSubstrateContested": false
   },
   {
    "RulebookFieldId": "ElicitationSessions.Status",
    "TargetTable": "ElicitationSessions",
    "FieldName": "Status",
    "FieldType": "raw",
    "Datatype": "string",
    "Formula": null,
    "InventedForQuestion": null,
    "SemanticTypeIri": "urn:effortless:pko-extension#RulebookField",
    "Name": "ElicitationSessions.Status",
    "IsDerived": false,
    "IsWitness": false,
    "DisagreeingSubstrateCount": 0.0,
    "IsSubstrateContested": false
   },
   {
    "RulebookFieldId": "ElicitationSessions.EvaluationContext",
    "TargetTable": "ElicitationSessions",
    "FieldName": "EvaluationContext",
    "FieldType": "relationship",
    "Datatype": "string",
    "Formula": null,
    "InventedForQuestion": null,
    "SemanticTypeIri": "urn:effortless:pko-extension#RulebookField",
    "Name": "ElicitationSessions.EvaluationContext",
    "IsDerived": false,
    "IsWitness": false,
    "DisagreeingSubstrateCount": 0.0,
    "IsSubstrateContested": false
   },
   {
    "RulebookFieldId": "ElicitationSessions.AsOfInstant",
    "TargetTable": "ElicitationSessions",
    "FieldName": "AsOfInstant",
    "FieldType": "lookup",
    "Datatype": "datetime",
    "Formula": "=INDEX(EvaluationContexts!{{AsOfInstant}}, MATCH({{EvaluationContext}}, EvaluationContexts!{{EvaluationContextId}}, 0))",
    "InventedForQuestion": null,
    "SemanticTypeIri": "urn:effortless:pko-extension#RulebookField",
    "Name": "ElicitationSessions.AsOfInstant",
    "IsDerived": true,
    "IsWitness": false,
    "DisagreeingSubstrateCount": 0.0,
    "IsSubstrateContested": false
   },
   {
    "RulebookFieldId": "ElicitationSessions.DaysSinceElicited",
    "TargetTable": "ElicitationSessions",
    "FieldName": "DaysSinceElicited",
    "FieldType": "calculated",
    "Datatype": "integer",
    "Formula": "=DATETIME_DIFF({{AsOfInstant}}, {{EndedAt}}, \"days\")",
    "InventedForQuestion": "q-authority-stale-elicitation",
    "SemanticTypeIri": "urn:effortless:pko-extension#RulebookField",
    "Name": "ElicitationSessions.DaysSinceElicited",
    "IsDerived": true,
    "IsWitness": true,
    "DisagreeingSubstrateCount": 0.0,
    "IsSubstrateContested": false
   },
   {
    "RulebookFieldId": "ElicitationSessions.IsSingleWitnessMethod",
    "TargetTable": "ElicitationSessions",
    "FieldName": "IsSingleWitnessMethod",
    "FieldType": "calculated",
    "Datatype": "boolean",
    "Formula": "=OR({{Method}} = \"Shadowing\", {{Method}} = \"PractitionerInterview\")",
    "InventedForQuestion": "q-authority-stale-elicitation",
    "SemanticTypeIri": "urn:effortless:pko-extension#RulebookField",
    "Name": "ElicitationSessions.IsSingleWitnessMethod",
    "IsDerived": true,
    "IsWitness": true,
    "DisagreeingSubstrateCount": 0.0,
    "IsSubstrateContested": false
   },
   {
    "RulebookFieldId": "ElicitationSessions.PractitionerIsStillEngaged",
    "TargetTable": "ElicitationSessions",
    "FieldName": "PractitionerIsStillEngaged",
    "FieldType": "lookup",
    "Datatype": "boolean",
    "Formula": "=INDEX(Agents!{{IsStillEngaged}}, MATCH({{PractitionerAgent}}, Agents!{{AgentId}}, 0))",
    "InventedForQuestion": "q-authority-stale-elicitation",
    "SemanticTypeIri": "urn:effortless:pko-extension#RulebookField",
    "Name": "ElicitationSessions.PractitionerIsStillEngaged",
    "IsDerived": true,
    "IsWitness": true,
    "DisagreeingSubstrateCount": 0.0,
    "IsSubstrateContested": false
   },
   {
    "RulebookFieldId": "ElicitationSessions.ValidFragmentsProduced",
    "TargetTable": "ElicitationSessions",
    "FieldName": "ValidFragmentsProduced",
    "FieldType": "aggregation",
    "Datatype": "number",
    "Formula": "=COUNTIFS(KnowledgeFragments!{{ValidFragmentSessionKey}}, {{ElicitationSessionId}})",
    "InventedForQuestion": "q2-authority-elicitation-method-monoculture",
    "SemanticTypeIri": "urn:effortless:pko-extension#RulebookField",
    "Name": "ElicitationSessions.ValidFragmentsProduced",
    "IsDerived": true,
    "IsWitness": true,
    "DisagreeingSubstrateCount": 0.0,
    "IsSubstrateContested": false
   },
   {
    "RulebookFieldId": "ElicitationSessions.IsHighYieldSession",
    "TargetTable": "ElicitationSessions",
    "FieldName": "IsHighYieldSession",
    "FieldType": "calculated",
    "Datatype": "boolean",
    "Formula": "={{ValidFragmentsProduced}} &gt;= 3",
    "InventedForQuestion": "q2-authority-elicitation-method-monoculture",
    "SemanticTypeIri": "urn:effortless:pko-extension#RulebookField",
    "Name": "ElicitationSessions.IsHighYieldSession",
    "IsDerived": true,
    "IsWitness": true,
    "DisagreeingSubstrateCount": 0.0,
    "IsSubstrateContested": false
   },
   {
    "RulebookFieldId": "ElicitationSessions.IsConcentratedSingleWitness",
    "TargetTable": "ElicitationSessions",
    "FieldName": "IsConcentratedSingleWitness",
    "FieldType": "calculated",
    "Datatype": "boolean",
    "Formula": "=AND({{IsSingleWitnessMethod}}, {{IsHighYieldSession}})",
    "InventedForQuestion": "q2-authority-elicitation-method-monoculture",
    "SemanticTypeIri": "urn:effortless:pko-extension#RulebookField",
    "Name": "ElicitationSessions.IsConcentratedSingleWitness",
    "IsDerived": true,
    "IsWitness": true,
    "DisagreeingSubstrateCount": 0.0,
    "IsSubstrateContested": false
   },
   {
    "RulebookFieldId": "ElicitationSessions.IsStaleConcentratedWitness",
    "TargetTable": "ElicitationSessions",
    "FieldName": "IsStaleConcentratedWitness",
    "FieldType": "calculated",
    "Datatype": "boolean",
    "Formula": "=AND({{IsConcentratedSingleWitness}}, {{DaysSinceElicited}} &gt; 180)",
    "InventedForQuestion": "q2-authority-elicitation-method-monoculture",
    "SemanticTypeIri": "urn:effortless:pko-extension#RulebookField",
    "Name": "ElicitationSessions.IsStaleConcentratedWitness",
    "IsDerived": true,
    "IsWitness": true,
    "DisagreeingSubstrateCount": 0.0,
    "IsSubstrateContested": false
   },
   {
    "RulebookFieldId": "ElicitationSessions.ConcentratedSessionVersionKey",
    "TargetTable": "ElicitationSessions",
    "FieldName": "ConcentratedSessionVersionKey",
    "FieldType": "calculated",
    "Datatype": "string",
    "Formula": "=IF({{IsConcentratedSingleWitness}}, {{ProcedureVersion}}, \"\")",
    "InventedForQuestion": "q2-authority-elicitation-method-monoculture",
    "SemanticTypeIri": "urn:effortless:pko-extension#RulebookField",
    "Name": "ElicitationSessions.ConcentratedSessionVersionKey",
    "IsDerived": true,
    "IsWitness": true,
    "DisagreeingSubstrateCount": 0.0,
    "IsSubstrateContested": false
   },
   {
    "RulebookFieldId": "ElicitationSessions.SemanticTypeIri",
    "TargetTable": "ElicitationSessions",
    "FieldName": "SemanticTypeIri",
    "FieldType": "raw",
    "Datatype": "string",
    "Formula": null,
    "InventedForQuestion": null,
    "SemanticTypeIri": "urn:effortless:pko-extension#RulebookField",
    "Name": "ElicitationSessions.SemanticTypeIri",
    "IsDerived": false,
    "IsWitness": false,
    "DisagreeingSubstrateCount": 0.0,
    "IsSubstrateContested": false
   },
   {
    "RulebookFieldId": "KnowledgeFragments.KnowledgeFragmentId",
    "TargetTable": "KnowledgeFragments",
    "FieldName": "KnowledgeFragmentId",
    "FieldType": "raw",
    "Datatype": "string",
    "Formula": null,
    "InventedForQuestion": null,
    "SemanticTypeIri": "urn:effortless:pko-extension#RulebookField",
    "Name": "KnowledgeFragments.KnowledgeFragmentId",
    "IsDerived": false,
    "IsWitness": false,
    "DisagreeingSubstrateCount": 0.0,
    "IsSubstrateContested": false
   },
   {
    "RulebookFieldId": "KnowledgeFragments.Name",
    "TargetTable": "KnowledgeFragments",
    "FieldName": "Name",
    "FieldType": "calculated",
    "Datatype": "string",
    "Formula": "={{KnowledgeForm}} &amp; \": \" &amp; LEFT({{Statement}}, 60)",
    "InventedForQuestion": null,
    "SemanticTypeIri": "urn:effortless:pko-extension#RulebookField",
    "Name": "KnowledgeFragments.Name",
    "IsDerived": true,
    "IsWitness": false,
    "DisagreeingSubstrateCount": 0.0,
    "IsSubstrateContested": false
   },
   {
    "RulebookFieldId": "KnowledgeFragments.ProcedureVersion",
    "TargetTable": "KnowledgeFragments",
    "FieldName": "ProcedureVersion",
    "FieldType": "relationship",
    "Datatype": "string",
    "Formula": null,
    "InventedForQuestion": null,
    "SemanticTypeIri": "urn:effortless:pko-extension#RulebookField",
    "Name": "KnowledgeFragments.ProcedureVersion",
    "IsDerived": false,
    "IsWitness": false,
    "DisagreeingSubstrateCount": 0.0,
    "IsSubstrateContested": false
   },
   {
    "RulebookFieldId": "KnowledgeFragments.Step",
    "TargetTable": "KnowledgeFragments",
    "FieldName": "Step",
    "FieldType": "relationship",
    "Datatype": "string",
    "Formula": null,
    "InventedForQuestion": null,
    "SemanticTypeIri": "urn:effortless:pko-extension#RulebookField",
    "Name": "KnowledgeFragments.Step",
    "IsDerived": false,
    "IsWitness": false,
    "DisagreeingSubstrateCount": 0.0,
    "IsSubstrateContested": false
   },
   {
    "RulebookFieldId": "KnowledgeFragments.KnowledgeForm",
    "TargetTable": "KnowledgeFragments",
    "FieldName": "KnowledgeForm",
    "FieldType": "raw",
    "Datatype": "string",
    "Formula": null,
    "InventedForQuestion": null,
    "SemanticTypeIri": "urn:effortless:pko-extension#RulebookField",
    "Name": "KnowledgeFragments.KnowledgeForm",
    "IsDerived": false,
    "IsWitness": false,
    "DisagreeingSubstrateCount": 0.0,
    "IsSubstrateContested": false
   },
   {
    "RulebookFieldId": "KnowledgeFragments.Statement",
    "TargetTable": "KnowledgeFragments",
    "FieldName": "Statement",
    "FieldType": "raw",
    "Datatype": "string",
    "Formula": null,
    "InventedForQuestion": null,
    "SemanticTypeIri": "urn:effortless:pko-extension#RulebookField",
    "Name": "KnowledgeFragments.Statement",
    "IsDerived": false,
    "IsWitness": false,
    "DisagreeingSubstrateCount": 0.0,
    "IsSubstrateContested": false
   },
   {
    "RulebookFieldId": "KnowledgeFragments.ElicitationSession",
    "TargetTable": "KnowledgeFragments",
    "FieldName": "ElicitationSession",
    "FieldType": "relationship",
    "Datatype": "string",
    "Formula": null,
    "InventedForQuestion": null,
    "SemanticTypeIri": "urn:effortless:pko-extension#RulebookField",
    "Name": "KnowledgeFragments.ElicitationSession",
    "IsDerived": false,
    "IsWitness": false,
    "DisagreeingSubstrateCount": 0.0,
    "IsSubstrateContested": false
   },
   {
    "RulebookFieldId": "KnowledgeFragments.SourceAgent",
    "TargetTable": "KnowledgeFragments",
    "FieldName": "SourceAgent",
    "FieldType": "relationship",
    "Datatype": "string",
    "Formula": null,
    "InventedForQuestion": null,
    "SemanticTypeIri": "urn:effortless:pko-extension#RulebookField",
    "Name": "KnowledgeFragments.SourceAgent",
    "IsDerived": false,
    "IsWitness": false,
    "DisagreeingSubstrateCount": 0.0,
    "IsSubstrateContested": false
   },
   {
    "RulebookFieldId": "KnowledgeFragments.Confidence",
    "TargetTable": "KnowledgeFragments",
    "FieldName": "Confidence",
    "FieldType": "raw",
    "Datatype": "string",
    "Formula": null,
    "InventedForQuestion": null,
    "SemanticTypeIri": "urn:effortless:pko-extension#RulebookField",
    "Name": "KnowledgeFragments.Confidence",
    "IsDerived": false,
    "IsWitness": false,
    "DisagreeingSubstrateCount": 0.0,
    "IsSubstrateContested": false
   },
   {
    "RulebookFieldId": "KnowledgeFragments.ValidFrom",
    "TargetTable": "KnowledgeFragments",
    "FieldName": "ValidFrom",
    "FieldType": "raw",
    "Datatype": "datetime",
    "Formula": null,
    "InventedForQuestion": null,
    "SemanticTypeIri": "urn:effortless:pko-extension#RulebookField",
    "Name": "KnowledgeFragments.ValidFrom",
    "IsDerived": false,
    "IsWitness": false,
    "DisagreeingSubstrateCount": 0.0,
    "IsSubstrateContested": false
   },
   {
    "RulebookFieldId": "KnowledgeFragments.ValidTo",
    "TargetTable": "KnowledgeFragments",
    "FieldName": "ValidTo",
    "FieldType": "raw",
    "Datatype": "datetime",
    "Formula": null,
    "InventedForQuestion": null,
    "SemanticTypeIri": "urn:effortless:pko-extension#RulebookField",
    "Name": "KnowledgeFragments.ValidTo",
    "IsDerived": false,
    "IsWitness": false,
    "DisagreeingSubstrateCount": 0.0,
    "IsSubstrateContested": false
   },
   {
    "RulebookFieldId": "KnowledgeFragments.Status",
    "TargetTable": "KnowledgeFragments",
    "FieldName": "Status",
    "FieldType": "raw",
    "Datatype": "string",
    "Formula": null,
    "InventedForQuestion": null,
    "SemanticTypeIri": "urn:effortless:pko-extension#RulebookField",
    "Name": "KnowledgeFragments.Status",
    "IsDerived": false,
    "IsWitness": false,
    "DisagreeingSubstrateCount": 0.0,
    "IsSubstrateContested": false
   },
   {
    "RulebookFieldId": "KnowledgeFragments.OwnerRole",
    "TargetTable": "KnowledgeFragments",
    "FieldName": "OwnerRole",
    "FieldType": "relationship",
    "Datatype": "string",
    "Formula": null,
    "InventedForQuestion": null,
    "SemanticTypeIri": "urn:effortless:pko-extension#RulebookField",
    "Name": "KnowledgeFragments.OwnerRole",
    "IsDerived": false,
    "IsWitness": false,
    "DisagreeingSubstrateCount": 0.0,
    "IsSubstrateContested": false
   },
   {
    "RulebookFieldId": "KnowledgeFragments.EvaluationContext",
    "TargetTable": "KnowledgeFragments",
    "FieldName": "EvaluationContext",
    "FieldType": "relationship",
    "Datatype": "string",
    "Formula": null,
    "InventedForQuestion": null,
    "SemanticTypeIri": "urn:effortless:pko-extension#RulebookField",
    "Name": "KnowledgeFragments.EvaluationContext",
    "IsDerived": false,
    "IsWitness": false,
    "DisagreeingSubstrateCount": 0.0,
    "IsSubstrateContested": false
   },
   {
    "RulebookFieldId": "KnowledgeFragments.AsOfInstant",
    "TargetTable": "KnowledgeFragments",
    "FieldName": "AsOfInstant",
    "FieldType": "lookup",
    "Datatype": "datetime",
    "Formula": "=INDEX(EvaluationContexts!{{AsOfInstant}}, MATCH({{EvaluationContext}}, EvaluationContexts!{{EvaluationContextId}}, 0))",
    "InventedForQuestion": null,
    "SemanticTypeIri": "urn:effortless:pko-extension#RulebookField",
    "Name": "KnowledgeFragments.AsOfInstant",
    "IsDerived": true,
    "IsWitness": false,
    "DisagreeingSubstrateCount": 0.0,
    "IsSubstrateContested": false
   },
   {
    "RulebookFieldId": "KnowledgeFragments.IsCurrentlyValid",
    "TargetTable": "KnowledgeFragments",
    "FieldName": "IsCurrentlyValid",
    "FieldType": "calculated",
    "Datatype": "boolean",
    "Formula": "=AND({{ValidFrom}} &lt;= {{AsOfInstant}}, OR({{ValidTo}} = \"\", {{ValidTo}} &gt; {{AsOfInstant}}), {{Status}} = \"Approved\")",
    "InventedForQuestion": null,
    "SemanticTypeIri": "urn:effortless:pko-extension#RulebookField",
    "Name": "KnowledgeFragments.IsCurrentlyValid",
    "IsDerived": true,
    "IsWitness": false,
    "DisagreeingSubstrateCount": 0.0,
    "IsSubstrateContested": false
   },
   {
    "RulebookFieldId": "KnowledgeFragments.SourceAgentIsStillEngaged",
    "TargetTable": "KnowledgeFragments",
    "FieldName": "SourceAgentIsStillEngaged",
    "FieldType": "lookup",
    "Datatype": "boolean",
    "Formula": "=INDEX(Agents!{{IsStillEngaged}}, MATCH({{SourceAgent}}, Agents!{{AgentId}}, 0))",
    "InventedForQuestion": "q-authority-orphaned-provenance",
    "SemanticTypeIri": "urn:effortless:pko-extension#RulebookField",
    "Name": "KnowledgeFragments.SourceAgentIsStillEngaged",
    "IsDerived": true,
    "IsWitness": true,
    "DisagreeingSubstrateCount": 0.0,
    "IsSubstrateContested": false
   },
   {
    "RulebookFieldId": "KnowledgeFragments.SourceAgentKind",
    "TargetTable": "KnowledgeFragments",
    "FieldName": "SourceAgentKind",
    "FieldType": "lookup",
    "Datatype": "string",
    "Formula": "=INDEX(Agents!{{AgentKind}}, MATCH({{SourceAgent}}, Agents!{{AgentId}}, 0))",
    "InventedForQuestion": "q-authority-orphaned-provenance",
    "SemanticTypeIri": "urn:effortless:pko-extension#RulebookField",
    "Name": "KnowledgeFragments.SourceAgentKind",
    "IsDerived": true,
    "IsWitness": true,
    "DisagreeingSubstrateCount": 0.0,
    "IsSubstrateContested": false
   },
   {
    "RulebookFieldId": "KnowledgeFragments.HasHumanSource",
    "TargetTable": "KnowledgeFragments",
    "FieldName": "HasHumanSource",
    "FieldType": "calculated",
    "Datatype": "boolean",
    "Formula": "={{SourceAgentKind}} = \"Human\"",
    "InventedForQuestion": "q-authority-orphaned-provenance",
    "SemanticTypeIri": "urn:effortless:pko-extension#RulebookField",
    "Name": "KnowledgeFragments.HasHumanSource",
    "IsDerived": true,
    "IsWitness": true,
    "DisagreeingSubstrateCount": 0.0,
    "IsSubstrateContested": false
   },
   {
    "RulebookFieldId": "KnowledgeFragments.HasOrphanedProvenance",
    "TargetTable": "KnowledgeFragments",
    "FieldName": "HasOrphanedProvenance",
    "FieldType": "calculated",
    "Datatype": "boolean",
    "Formula": "=AND({{IsCurrentlyValid}}, NOT({{SourceAgentIsStillEngaged}}))",
    "InventedForQuestion": "q-authority-orphaned-provenance",
    "SemanticTypeIri": "urn:effortless:pko-extension#RulebookField",
    "Name": "KnowledgeFragments.HasOrphanedProvenance",
    "IsDerived": true,
    "IsWitness": true,
    "DisagreeingSubstrateCount": 0.0,
    "IsSubstrateContested": false
   },
   {
    "RulebookFieldId": "KnowledgeFragments.IsUndefendableTacitClaim",
    "TargetTable": "KnowledgeFragments",
    "FieldName": "IsUndefendableTacitClaim",
    "FieldType": "calculated",
    "Datatype": "boolean",
    "Formula": "=AND({{HasOrphanedProvenance}}, OR({{KnowledgeForm}} = \"Tacit\", {{KnowledgeForm}} = \"SituatedJudgment\"))",
    "InventedForQuestion": "q-authority-orphaned-provenance",
    "SemanticTypeIri": "urn:effortless:pko-extension#RulebookField",
    "Name": "KnowledgeFragments.IsUndefendableTacitClaim",
    "IsDerived": true,
    "IsWitness": true,
    "DisagreeingSubstrateCount": 0.0,
    "IsSubstrateContested": false
   },
   {
    "RulebookFieldId": "KnowledgeFragments.IsApproved",
    "TargetTable": "KnowledgeFragments",
    "FieldName": "IsApproved",
    "FieldType": "calculated",
    "Datatype": "boolean",
    "Formula": "={{Status}} = \"Approved\"",
    "InventedForQuestion": "q-authority-non-approved-dependency",
    "SemanticTypeIri": "urn:effortless:pko-extension#RulebookField",
    "Name": "KnowledgeFragments.IsApproved",
    "IsDerived": true,
    "IsWitness": true,
    "DisagreeingSubstrateCount": 0.0,
    "IsSubstrateContested": false
   },
   {
    "RulebookFieldId": "KnowledgeFragments.IsWithinValidityWindow",
    "TargetTable": "KnowledgeFragments",
    "FieldName": "IsWithinValidityWindow",
    "FieldType": "calculated",
    "Datatype": "boolean",
    "Formula": "=AND({{ValidFrom}} &lt;= {{AsOfInstant}}, OR({{ValidTo}} = \"\", {{ValidTo}} &gt; {{AsOfInstant}}))",
    "InventedForQuestion": "q-authority-non-approved-dependency",
    "SemanticTypeIri": "urn:effortless:pko-extension#RulebookField",
    "Name": "KnowledgeFragments.IsWithinValidityWindow",
    "IsDerived": true,
    "IsWitness": true,
    "DisagreeingSubstrateCount": 0.0,
    "IsSubstrateContested": false
   },
   {
    "RulebookFieldId": "KnowledgeFragments.IsReliedUpon",
    "TargetTable": "KnowledgeFragments",
    "FieldName": "IsReliedUpon",
    "FieldType": "calculated",
    "Datatype": "boolean",
    "Formula": "=AND({{Step}} &lt;&gt; \"\", {{IsWithinValidityWindow}})",
    "InventedForQuestion": "q-authority-non-approved-dependency",
    "SemanticTypeIri": "urn:effortless:pko-extension#RulebookField",
    "Name": "KnowledgeFragments.IsReliedUpon",
    "IsDerived": true,
    "IsWitness": true,
    "DisagreeingSubstrateCount": 0.0,
    "IsSubstrateContested": false
   },
   {
    "RulebookFieldId": "KnowledgeFragments.StepProcedureVersionStatus",
    "TargetTable": "KnowledgeFragments",
    "FieldName": "StepProcedureVersionStatus",
    "FieldType": "lookup",
    "Datatype": "string",
    "Formula": "=INDEX(Steps!{{ProcedureVersion}}, MATCH({{Step}}, Steps!{{StepId}}, 0))",
    "InventedForQuestion": "q-authority-non-approved-dependency",
    "SemanticTypeIri": "urn:effortless:pko-extension#RulebookField",
    "Name": "KnowledgeFragments.StepProcedureVersionStatus",
    "IsDerived": true,
    "IsWitness": true,
    "DisagreeingSubstrateCount": 0.0,
    "IsSubstrateContested": false
   },
   {
    "RulebookFieldId": "KnowledgeFragments.IsAttachedToLiveVersion",
    "TargetTable": "KnowledgeFragments",
    "FieldName": "IsAttachedToLiveVersion",
    "FieldType": "lookup",
    "Datatype": "boolean",
    "Formula": "=INDEX(ProcedureVersions!{{IsLive}}, MATCH({{ProcedureVersion}}, ProcedureVersions!{{ProcedureVersionId}}, 0))",
    "InventedForQuestion": "q-authority-non-approved-dependency",
    "SemanticTypeIri": "urn:effortless:pko-extension#RulebookField",
    "Name": "KnowledgeFragments.IsAttachedToLiveVersion",
    "IsDerived": true,
    "IsWitness": true,
    "DisagreeingSubstrateCount": 0.0,
    "IsSubstrateContested": false
   },
   {
    "RulebookFieldId": "KnowledgeFragments.IsUnapprovedButReliedOn",
    "TargetTable": "KnowledgeFragments",
    "FieldName": "IsUnapprovedButReliedOn",
    "FieldType": "calculated",
    "Datatype": "boolean",
    "Formula": "=AND({{IsReliedUpon}}, {{IsAttachedToLiveVersion}}, NOT({{IsApproved}}))",
    "InventedForQuestion": "q-authority-non-approved-dependency",
    "SemanticTypeIri": "urn:effortless:pko-extension#RulebookField",
    "Name": "KnowledgeFragments.IsUnapprovedButReliedOn",
    "IsDerived": true,
    "IsWitness": true,
    "DisagreeingSubstrateCount": 0.0,
    "IsSubstrateContested": false
   },
   {
    "RulebookFieldId": "KnowledgeFragments.EvidenceAgeDays",
    "TargetTable": "KnowledgeFragments",
    "FieldName": "EvidenceAgeDays",
    "FieldType": "lookup",
    "Datatype": "integer",
    "Formula": "=INDEX(ElicitationSessions!{{DaysSinceElicited}}, MATCH({{ElicitationSession}}, ElicitationSessions!{{ElicitationSessionId}}, 0))",
    "InventedForQuestion": "q-authority-stale-elicitation",
    "SemanticTypeIri": "urn:effortless:pko-extension#RulebookField",
    "Name": "KnowledgeFragments.EvidenceAgeDays",
    "IsDerived": true,
    "IsWitness": true,
    "DisagreeingSubstrateCount": 0.0,
    "IsSubstrateContested": false
   },
   {
    "RulebookFieldId": "KnowledgeFragments.HasRecordedElicitation",
    "TargetTable": "KnowledgeFragments",
    "FieldName": "HasRecordedElicitation",
    "FieldType": "calculated",
    "Datatype": "boolean",
    "Formula": "={{ElicitationSession}} &lt;&gt; \"\"",
    "InventedForQuestion": "q-authority-stale-elicitation",
    "SemanticTypeIri": "urn:effortless:pko-extension#RulebookField",
    "Name": "KnowledgeFragments.HasRecordedElicitation",
    "IsDerived": true,
    "IsWitness": true,
    "DisagreeingSubstrateCount": 0.0,
    "IsSubstrateContested": false
   },
   {
    "RulebookFieldId": "KnowledgeFragments.IsFromSingleWitness",
    "TargetTable": "KnowledgeFragments",
    "FieldName": "IsFromSingleWitness",
    "FieldType": "lookup",
    "Datatype": "boolean",
    "Formula": "=INDEX(ElicitationSessions!{{IsSingleWitnessMethod}}, MATCH({{ElicitationSession}}, ElicitationSessions!{{ElicitationSessionId}}, 0))",
    "InventedForQuestion": "q-authority-stale-elicitation",
    "SemanticTypeIri": "urn:effortless:pko-extension#RulebookField",
    "Name": "KnowledgeFragments.IsFromSingleWitness",
    "IsDerived": true,
    "IsWitness": true,
    "DisagreeingSubstrateCount": 0.0,
    "IsSubstrateContested": false
   },
   {
    "RulebookFieldId": "KnowledgeFragments.EvidenceExpiryDays",
    "TargetTable": "KnowledgeFragments",
    "FieldName": "EvidenceExpiryDays",
    "FieldType": "calculated",
    "Datatype": "integer",
    "Formula": "=IF({{IsFromSingleWitness}}, 180, 365)",
    "InventedForQuestion": "q-authority-stale-elicitation",
    "SemanticTypeIri": "urn:effortless:pko-extension#RulebookField",
    "Name": "KnowledgeFragments.EvidenceExpiryDays",
    "IsDerived": true,
    "IsWitness": true,
    "DisagreeingSubstrateCount": 0.0,
    "IsSubstrateContested": false
   },
   {
    "RulebookFieldId": "KnowledgeFragments.EvidenceHasExpired",
    "TargetTable": "KnowledgeFragments",
    "FieldName": "EvidenceHasExpired",
    "FieldType": "calculated",
    "Datatype": "boolean",
    "Formula": "=AND({{HasRecordedElicitation}}, {{EvidenceAgeDays}} &gt; {{EvidenceExpiryDays}})",
    "InventedForQuestion": "q-authority-stale-elicitation",
    "SemanticTypeIri": "urn:effortless:pko-extension#RulebookField",
    "Name": "KnowledgeFragments.EvidenceHasExpired",
    "IsDerived": </t>
  </si>
  <si>
    <t xml:space="preserve">true,
    "IsWitness": true,
    "DisagreeingSubstrateCount": 0.0,
    "IsSubstrateContested": false
   },
   {
    "RulebookFieldId": "KnowledgeFragments.OwnerAgent",
    "TargetTable": "KnowledgeFragments",
    "FieldName": "OwnerAgent",
    "FieldType": "lookup",
    "Datatype": "string",
    "Formula": "=INDEX(Roles!{{CurrentAgent}}, MATCH({{OwnerRole}}, Roles!{{RoleId}}, 0))",
    "InventedForQuestion": "q-hr-unapproved-knowledge-in-my-name",
    "SemanticTypeIri": "urn:effortless:pko-extension#RulebookField",
    "Name": "KnowledgeFragments.OwnerAgent",
    "IsDerived": true,
    "IsWitness": true,
    "DisagreeingSubstrateCount": 0.0,
    "IsSubstrateContested": false
   },
   {
    "RulebookFieldId": "KnowledgeFragments.IsAwaitingApproval",
    "TargetTable": "KnowledgeFragments",
    "FieldName": "IsAwaitingApproval",
    "FieldType": "calculated",
    "Datatype": "boolean",
    "Formula": "={{Status}} = \"Reviewed\"",
    "InventedForQuestion": "q-hr-unapproved-knowledge-in-my-name",
    "SemanticTypeIri": "urn:effortless:pko-extension#RulebookField",
    "Name": "KnowledgeFragments.IsAwaitingApproval",
    "IsDerived": true,
    "IsWitness": true,
    "DisagreeingSubstrateCount": 0.0,
    "IsSubstrateContested": false
   },
   {
    "RulebookFieldId": "KnowledgeFragments.OwnerIsMe",
    "TargetTable": "KnowledgeFragments",
    "FieldName": "OwnerIsMe",
    "FieldType": "calculated",
    "Datatype": "boolean",
    "Formula": "={{OwnerRole}} = \"hr-policy-owner\"",
    "InventedForQuestion": "q-hr-unapproved-knowledge-in-my-name",
    "SemanticTypeIri": "urn:effortless:pko-extension#RulebookField",
    "Name": "KnowledgeFragments.OwnerIsMe",
    "IsDerived": true,
    "IsWitness": true,
    "DisagreeingSubstrateCount": 0.0,
    "IsSubstrateContested": false
   },
   {
    "RulebookFieldId": "KnowledgeFragments.IsMyUnfinishedApproval",
    "TargetTable": "KnowledgeFragments",
    "FieldName": "IsMyUnfinishedApproval",
    "FieldType": "calculated",
    "Datatype": "boolean",
    "Formula": "=AND({{OwnerIsMe}}, {{IsAwaitingApproval}})",
    "InventedForQuestion": "q-hr-unapproved-knowledge-in-my-name",
    "SemanticTypeIri": "urn:effortless:pko-extension#RulebookField",
    "Name": "KnowledgeFragments.IsMyUnfinishedApproval",
    "IsDerived": true,
    "IsWitness": true,
    "DisagreeingSubstrateCount": 0.0,
    "IsSubstrateContested": false
   },
   {
    "RulebookFieldId": "KnowledgeFragments.IsInvokedByAnException",
    "TargetTable": "KnowledgeFragments",
    "FieldName": "IsInvokedByAnException",
    "FieldType": "aggregation",
    "Datatype": "integer",
    "Formula": "=COUNTIFS(Exceptions!{{TriggerStep}}, KnowledgeFragments!{{Step}})",
    "InventedForQuestion": "q-hr-unapproved-knowledge-in-my-name",
    "SemanticTypeIri": "urn:effortless:pko-extension#RulebookField",
    "Name": "KnowledgeFragments.IsInvokedByAnException",
    "IsDerived": true,
    "IsWitness": true,
    "DisagreeingSubstrateCount": 1.0,
    "IsSubstrateContested": true
   },
   {
    "RulebookFieldId": "KnowledgeFragments.HasOperationalReliance",
    "TargetTable": "KnowledgeFragments",
    "FieldName": "HasOperationalReliance",
    "FieldType": "calculated",
    "Datatype": "boolean",
    "Formula": "={{IsInvokedByAnException}} &gt; 0",
    "InventedForQuestion": "q-hr-unapproved-knowledge-in-my-name",
    "SemanticTypeIri": "urn:effortless:pko-extension#RulebookField",
    "Name": "KnowledgeFragments.HasOperationalReliance",
    "IsDerived": true,
    "IsWitness": true,
    "DisagreeingSubstrateCount": 1.0,
    "IsSubstrateContested": true
   },
   {
    "RulebookFieldId": "KnowledgeFragments.IsUnapprovedAndOperationallyLive",
    "TargetTable": "KnowledgeFragments",
    "FieldName": "IsUnapprovedAndOperationallyLive",
    "FieldType": "calculated",
    "Datatype": "boolean",
    "Formula": "=AND({{IsMyUnfinishedApproval}}, {{HasOperationalReliance}})",
    "InventedForQuestion": "q-hr-unapproved-knowledge-in-my-name",
    "SemanticTypeIri": "urn:effortless:pko-extension#RulebookField",
    "Name": "KnowledgeFragments.IsUnapprovedAndOperationallyLive",
    "IsDerived": true,
    "IsWitness": true,
    "DisagreeingSubstrateCount": 1.0,
    "IsSubstrateContested": true
   },
   {
    "RulebookFieldId": "KnowledgeFragments.AgeDays",
    "TargetTable": "KnowledgeFragments",
    "FieldName": "AgeDays",
    "FieldType": "calculated",
    "Datatype": "integer",
    "Formula": "=DATETIME_DIFF({{AsOfInstant}}, {{ValidFrom}}, \"days\")",
    "InventedForQuestion": "q-hr-policy-knowledge-half-life",
    "SemanticTypeIri": "urn:effortless:pko-extension#RulebookField",
    "Name": "KnowledgeFragments.AgeDays",
    "IsDerived": true,
    "IsWitness": true,
    "DisagreeingSubstrateCount": 0.0,
    "IsSubstrateContested": false
   },
   {
    "RulebookFieldId": "KnowledgeFragments.IsLowConfidence",
    "TargetTable": "KnowledgeFragments",
    "FieldName": "IsLowConfidence",
    "FieldType": "calculated",
    "Datatype": "boolean",
    "Formula": "=OR({{Confidence}} = \"Medium\", {{Confidence}} = \"Low\")",
    "InventedForQuestion": "q-hr-policy-knowledge-half-life",
    "SemanticTypeIri": "urn:effortless:pko-extension#RulebookField",
    "Name": "KnowledgeFragments.IsLowConfidence",
    "IsDerived": true,
    "IsWitness": true,
    "DisagreeingSubstrateCount": 0.0,
    "IsSubstrateContested": false
   },
   {
    "RulebookFieldId": "KnowledgeFragments.OwningVersionCadenceDays",
    "TargetTable": "KnowledgeFragments",
    "FieldName": "OwningVersionCadenceDays",
    "FieldType": "lookup",
    "Datatype": "integer",
    "Formula": "=INDEX(ProcedureVersions!{{StewardReviewCadenceDays}}, MATCH({{ProcedureVersion}}, ProcedureVersions!{{ProcedureVersionId}}, 0))",
    "InventedForQuestion": "q-hr-policy-knowledge-half-life",
    "SemanticTypeIri": "urn:effortless:pko-extension#RulebookField",
    "Name": "KnowledgeFragments.OwningVersionCadenceDays",
    "IsDerived": true,
    "IsWitness": true,
    "DisagreeingSubstrateCount": 0.0,
    "IsSubstrateContested": false
   },
   {
    "RulebookFieldId": "KnowledgeFragments.ExceedsOwningCadence",
    "TargetTable": "KnowledgeFragments",
    "FieldName": "ExceedsOwningCadence",
    "FieldType": "calculated",
    "Datatype": "boolean",
    "Formula": "={{AgeDays}} &gt; {{OwningVersionCadenceDays}}",
    "InventedForQuestion": "q-hr-policy-knowledge-half-life",
    "SemanticTypeIri": "urn:effortless:pko-extension#RulebookField",
    "Name": "KnowledgeFragments.ExceedsOwningCadence",
    "IsDerived": true,
    "IsWitness": true,
    "DisagreeingSubstrateCount": 0.0,
    "IsSubstrateContested": false
   },
   {
    "RulebookFieldId": "KnowledgeFragments.IsAgingLowConfidenceClaim",
    "TargetTable": "KnowledgeFragments",
    "FieldName": "IsAgingLowConfidenceClaim",
    "FieldType": "calculated",
    "Datatype": "boolean",
    "Formula": "=AND({{ExceedsOwningCadence}}, {{IsLowConfidence}})",
    "InventedForQuestion": "q-hr-policy-knowledge-half-life",
    "SemanticTypeIri": "urn:effortless:pko-extension#RulebookField",
    "Name": "KnowledgeFragments.IsAgingLowConfidenceClaim",
    "IsDerived": true,
    "IsWitness": true,
    "DisagreeingSubstrateCount": 0.0,
    "IsSubstrateContested": false
   },
   {
    "RulebookFieldId": "KnowledgeFragments.OwnerRoleAgentKind",
    "TargetTable": "KnowledgeFragments",
    "FieldName": "OwnerRoleAgentKind",
    "FieldType": "lookup",
    "Datatype": "string",
    "Formula": "=INDEX(Roles!{{CurrentAgentKind}}, MATCH({{OwnerRole}}, Roles!{{RoleId}}, 0))",
    "InventedForQuestion": "q-variance-ai-knowledge-currency",
    "SemanticTypeIri": "urn:effortless:pko-extension#RulebookField",
    "Name": "KnowledgeFragments.OwnerRoleAgentKind",
    "IsDerived": true,
    "IsWitness": true,
    "DisagreeingSubstrateCount": 0.0,
    "IsSubstrateContested": false
   },
   {
    "RulebookFieldId": "KnowledgeFragments.IsHumanOwned",
    "TargetTable": "KnowledgeFragments",
    "FieldName": "IsHumanOwned",
    "FieldType": "calculated",
    "Datatype": "boolean",
    "Formula": "={{OwnerRoleAgentKind}} = \"Human\"",
    "InventedForQuestion": "q-variance-ai-knowledge-currency",
    "SemanticTypeIri": "urn:effortless:pko-extension#RulebookField",
    "Name": "KnowledgeFragments.IsHumanOwned",
    "IsDerived": true,
    "IsWitness": true,
    "DisagreeingSubstrateCount": 0.0,
    "IsSubstrateContested": false
   },
   {
    "RulebookFieldId": "KnowledgeFragments.IsAiValidatedByAi",
    "TargetTable": "KnowledgeFragments",
    "FieldName": "IsAiValidatedByAi",
    "FieldType": "calculated",
    "Datatype": "boolean",
    "Formula": "=AND(NOT({{SourceAgentKind}} = \"Human\"), NOT({{IsHumanOwned}}))",
    "InventedForQuestion": "q-variance-ai-knowledge-currency",
    "SemanticTypeIri": "urn:effortless:pko-extension#RulebookField",
    "Name": "KnowledgeFragments.IsAiValidatedByAi",
    "IsDerived": true,
    "IsWitness": true,
    "DisagreeingSubstrateCount": 0.0,
    "IsSubstrateContested": false
   },
   {
    "RulebookFieldId": "KnowledgeFragments.ReviewCadenceDays",
    "TargetTable": "KnowledgeFragments",
    "FieldName": "ReviewCadenceDays",
    "FieldType": "lookup",
    "Datatype": "integer",
    "Formula": "=INDEX(ProcedureVersions!{{StewardReviewCadenceDays}}, MATCH({{ProcedureVersion}}, ProcedureVersions!{{ProcedureVersionId}}, 0))",
    "InventedForQuestion": "q-variance-ai-knowledge-currency",
    "SemanticTypeIri": "urn:effortless:pko-extension#RulebookField",
    "Name": "KnowledgeFragments.ReviewCadenceDays",
    "IsDerived": true,
    "IsWitness": true,
    "DisagreeingSubstrateCount": 0.0,
    "IsSubstrateContested": false
   },
   {
    "RulebookFieldId": "KnowledgeFragments.IsOverdueForReview",
    "TargetTable": "KnowledgeFragments",
    "FieldName": "IsOverdueForReview",
    "FieldType": "calculated",
    "Datatype": "boolean",
    "Formula": "=AND({{IsCurrentlyValid}}, {{AgeDays}} &gt; {{ReviewCadenceDays}})",
    "InventedForQuestion": "q-variance-ai-knowledge-currency",
    "SemanticTypeIri": "urn:effortless:pko-extension#RulebookField",
    "Name": "KnowledgeFragments.IsOverdueForReview",
    "IsDerived": true,
    "IsWitness": true,
    "DisagreeingSubstrateCount": 0.0,
    "IsSubstrateContested": false
   },
   {
    "RulebookFieldId": "KnowledgeFragments.PredatesCurrentRoleHolder",
    "TargetTable": "KnowledgeFragments",
    "FieldName": "PredatesCurrentRoleHolder",
    "FieldType": "calculated",
    "Datatype": "boolean",
    "Formula": "=AND({{OwnerRoleAgentKind}} &lt;&gt; \"\", {{ValidFrom}} &lt; {{OwnerRoleAssignmentValidFrom}})",
    "InventedForQuestion": "q-variance-ai-knowledge-currency",
    "SemanticTypeIri": "urn:effortless:pko-extension#RulebookField",
    "Name": "KnowledgeFragments.PredatesCurrentRoleHolder",
    "IsDerived": true,
    "IsWitness": true,
    "DisagreeingSubstrateCount": 0.0,
    "IsSubstrateContested": false
   },
   {
    "RulebookFieldId": "KnowledgeFragments.OwnerRoleAssignmentValidFrom",
    "TargetTable": "KnowledgeFragments",
    "FieldName": "OwnerRoleAssignmentValidFrom",
    "FieldType": "lookup",
    "Datatype": "datetime",
    "Formula": "=INDEX(Roles!{{CurrentAssignmentValidFrom}}, MATCH({{OwnerRole}}, Roles!{{RoleId}}, 0))",
    "InventedForQuestion": "q-variance-ai-knowledge-currency",
    "SemanticTypeIri": "urn:effortless:pko-extension#RulebookField",
    "Name": "KnowledgeFragments.OwnerRoleAssignmentValidFrom",
    "IsDerived": true,
    "IsWitness": true,
    "DisagreeingSubstrateCount": 0.0,
    "IsSubstrateContested": false
   },
   {
    "RulebookFieldId": "KnowledgeFragments.LastReviewedAt",
    "TargetTable": "KnowledgeFragments",
    "FieldName": "LastReviewedAt",
    "FieldType": "raw",
    "Datatype": "datetime",
    "Formula": null,
    "InventedForQuestion": null,
    "SemanticTypeIri": "urn:effortless:pko-extension#RulebookField",
    "Name": "KnowledgeFragments.LastReviewedAt",
    "IsDerived": false,
    "IsWitness": false,
    "DisagreeingSubstrateCount": 0.0,
    "IsSubstrateContested": false
   },
   {
    "RulebookFieldId": "KnowledgeFragments.FragilitySignalCount",
    "TargetTable": "KnowledgeFragments",
    "FieldName": "FragilitySignalCount",
    "FieldType": "calculated",
    "Datatype": "integer",
    "Formula": "=IF({{IsFromSingleWitness}}, 1, 0) + IF({{IsOverdueForReview}}, 1, 0) + IF({{IsLowConfidence}}, 1, 0) + IF({{HasOperationalReliance}}, 1, 0)",
    "InventedForQuestion": "q2-authority-compound-fragility",
    "SemanticTypeIri": "urn:effortless:pko-extension#RulebookField",
    "Name": "KnowledgeFragments.FragilitySignalCount",
    "IsDerived": true,
    "IsWitness": true,
    "DisagreeingSubstrateCount": 1.0,
    "IsSubstrateContested": true
   },
   {
    "RulebookFieldId": "KnowledgeFragments.IsCompoundFragile",
    "TargetTable": "KnowledgeFragments",
    "FieldName": "IsCompoundFragile",
    "FieldType": "calculated",
    "Datatype": "boolean",
    "Formula": "={{FragilitySignalCount}} &gt;= 3",
    "InventedForQuestion": "q2-authority-compound-fragility",
    "SemanticTypeIri": "urn:effortless:pko-extension#RulebookField",
    "Name": "KnowledgeFragments.IsCompoundFragile",
    "IsDerived": true,
    "IsWitness": true,
    "DisagreeingSubstrateCount": 0.0,
    "IsSubstrateContested": false
   },
   {
    "RulebookFieldId": "KnowledgeFragments.IsSinglePointOfFailure",
    "TargetTable": "KnowledgeFragments",
    "FieldName": "IsSinglePointOfFailure",
    "FieldType": "calculated",
    "Datatype": "boolean",
    "Formula": "=AND({{IsFromSingleWitness}}, {{HasOperationalReliance}})",
    "InventedForQuestion": "q2-authority-compound-fragility",
    "SemanticTypeIri": "urn:effortless:pko-extension#RulebookField",
    "Name": "KnowledgeFragments.IsSinglePointOfFailure",
    "IsDerived": true,
    "IsWitness": true,
    "DisagreeingSubstrateCount": 0.0,
    "IsSubstrateContested": false
   },
   {
    "RulebookFieldId": "KnowledgeFragments.IsExpiringSinglePointOfFailure",
    "TargetTable": "KnowledgeFragments",
    "FieldName": "IsExpiringSinglePointOfFailure",
    "FieldType": "calculated",
    "Datatype": "boolean",
    "Formula": "=AND({{IsSinglePointOfFailure}}, {{IsOverdueForReview}})",
    "InventedForQuestion": "q2-authority-compound-fragility",
    "SemanticTypeIri": "urn:effortless:pko-extension#RulebookField",
    "Name": "KnowledgeFragments.IsExpiringSinglePointOfFailure",
    "IsDerived": true,
    "IsWitness": true,
    "DisagreeingSubstrateCount": 0.0,
    "IsSubstrateContested": false
   },
   {
    "RulebookFieldId": "KnowledgeFragments.CompoundFragileVersionKey",
    "TargetTable": "KnowledgeFragments",
    "FieldName": "CompoundFragileVersionKey",
    "FieldType": "calculated",
    "Datatype": "string",
    "Formula": "=IF({{IsCompoundFragile}}, {{ProcedureVersion}}, \"\")",
    "InventedForQuestion": "q2-authority-compound-fragility",
    "SemanticTypeIri": "urn:effortless:pko-extension#RulebookField",
    "Name": "KnowledgeFragments.CompoundFragileVersionKey",
    "IsDerived": true,
    "IsWitness": true,
    "DisagreeingSubstrateCount": 0.0,
    "IsSubstrateContested": false
   },
   {
    "RulebookFieldId": "KnowledgeFragments.ValidFragmentSessionKey",
    "TargetTable": "KnowledgeFragments",
    "FieldName": "ValidFragmentSessionKey",
    "FieldType": "calculated",
    "Datatype": "string",
    "Formula": "=IF({{IsCurrentlyValid}}, {{ElicitationSession}}, \"\")",
    "InventedForQuestion": "q2-authority-elicitation-method-monoculture",
    "SemanticTypeIri": "urn:effortless:pko-extension#RulebookField",
    "Name": "KnowledgeFragments.ValidFragmentSessionKey",
    "IsDerived": true,
    "IsWitness": true,
    "DisagreeingSubstrateCount": 0.0,
    "IsSubstrateContested": false
   },
   {
    "RulebookFieldId": "KnowledgeFragments.ConsumingStepIsSoftwareAssigned",
    "TargetTable": "KnowledgeFragments",
    "FieldName": "ConsumingStepIsSoftwareAssigned",
    "FieldType": "lookup",
    "Datatype": "boolean",
    "Formula": "=INDEX(Steps!{{IsSoftwareAssigned}}, MATCH({{Step}}, Steps!{{StepId}}, 0))",
    "InventedForQuestion": "q2-authority-unapproved-knowledge-reaching-machines",
    "SemanticTypeIri": "urn:effortless:pko-extension#RulebookField",
    "Name": "KnowledgeFragments.ConsumingStepIsSoftwareAssigned",
    "IsDerived": true,
    "IsWitness": true,
    "DisagreeingSubstrateCount": 0.0,
    "IsSubstrateContested": false
   },
   {
    "RulebookFieldId": "KnowledgeFragments.ConsumingStepAgentKind",
    "TargetTable": "KnowledgeFragments",
    "FieldName": "ConsumingStepAgentKind",
    "FieldType": "lookup",
    "Datatype": "string",
    "Formula": "=INDEX(Steps!{{AssignedAgentKind}}, MATCH({{Step}}, Steps!{{StepId}}, 0))",
    "InventedForQuestion": "q2-authority-unapproved-knowledge-reaching-machines",
    "SemanticTypeIri": "urn:effortless:pko-extension#RulebookField",
    "Name": "KnowledgeFragments.ConsumingStepAgentKind",
    "IsDerived": true,
    "IsWitness": true,
    "DisagreeingSubstrateCount": 0.0,
    "IsSubstrateContested": false
   },
   {
    "RulebookFieldId": "KnowledgeFragments.IsUnapprovedAndMachineConsumed",
    "TargetTable": "KnowledgeFragments",
    "FieldName": "IsUnapprovedAndMachineConsumed",
    "FieldType": "calculated",
    "Datatype": "boolean",
    "Formula": "=AND({{IsUnapprovedButReliedOn}}, {{ConsumingStepIsSoftwareAssigned}})",
    "InventedForQuestion": "q2-authority-unapproved-knowledge-reaching-machines",
    "SemanticTypeIri": "urn:effortless:pko-extension#RulebookField",
    "Name": "KnowledgeFragments.IsUnapprovedAndMachineConsumed",
    "IsDerived": true,
    "IsWitness": true,
    "DisagreeingSubstrateCount": 0.0,
    "IsSubstrateContested": false
   },
   {
    "RulebookFieldId": "KnowledgeFragments.IsUnapprovedAndHumanConsumed",
    "TargetTable": "KnowledgeFragments",
    "FieldName": "IsUnapprovedAndHumanConsumed",
    "FieldType": "calculated",
    "Datatype": "boolean",
    "Formula": "=AND({{IsUnapprovedButReliedOn}}, NOT({{ConsumingStepIsSoftwareAssigned}}))",
    "InventedForQuestion": "q2-authority-unapproved-knowledge-reaching-machines",
    "SemanticTypeIri": "urn:effortless:pko-extension#RulebookField",
    "Name": "KnowledgeFragments.IsUnapprovedAndHumanConsumed",
    "IsDerived": true,
    "IsWitness": true,
    "DisagreeingSubstrateCount": 0.0,
    "IsSubstrateContested": false
   },
   {
    "RulebookFieldId": "KnowledgeFragments.MachineConsumedUnapprovedVersionKey",
    "TargetTable": "KnowledgeFragments",
    "FieldName": "MachineConsumedUnapprovedVersionKey",
    "FieldType": "calculated",
    "Datatype": "string",
    "Formula": "=IF({{IsUnapprovedAndMachineConsumed}}, {{ProcedureVersion}}, \"\")",
    "InventedForQuestion": "q2-authority-unapproved-knowledge-reaching-machines",
    "SemanticTypeIri": "urn:effortless:pko-extension#RulebookField",
    "Name": "KnowledgeFragments.MachineConsumedUnapprovedVersionKey",
    "IsDerived": true,
    "IsWitness": true,
    "DisagreeingSubstrateCount": 0.0,
    "IsSubstrateContested": false
   },
   {
    "RulebookFieldId": "KnowledgeFragments.HasReviewRecord",
    "TargetTable": "KnowledgeFragments",
    "FieldName": "HasReviewRecord",
    "FieldType": "calculated",
    "Datatype": "boolean",
    "Formula": "={{LastReviewedAt}} &lt;&gt; \"\"",
    "InventedForQuestion": "q2-authority-review-date-is-inferred-not-recorded",
    "SemanticTypeIri": "urn:effortless:pko-extension#RulebookField",
    "Name": "KnowledgeFragments.HasReviewRecord",
    "IsDerived": true,
    "IsWitness": true,
    "DisagreeingSubstrateCount": 0.0,
    "IsSubstrateContested": false
   },
   {
    "RulebookFieldId": "KnowledgeFragments.DaysSinceActualReview",
    "TargetTable": "KnowledgeFragments",
    "FieldName": "DaysSinceActualReview",
    "FieldType": "calculated",
    "Datatype": "integer",
    "Formula": "=IF({{HasReviewRecord}}, DATETIME_DIFF({{AsOfInstant}}, {{LastReviewedAt}}, \"days\"), 0)",
    "InventedForQuestion": "q2-authority-review-date-is-inferred-not-recorded",
    "SemanticTypeIri": "urn:effortless:pko-extension#RulebookField",
    "Name": "KnowledgeFragments.DaysSinceActualReview",
    "IsDerived": true,
    "IsWitness": true,
    "DisagreeingSubstrateCount": 0.0,
    "IsSubstrateContested": false
   },
   {
    "RulebookFieldId": "KnowledgeFragments.IsUnreviewedSinceAuthoring",
    "TargetTable": "KnowledgeFragments",
    "FieldName": "IsUnreviewedSinceAuthoring",
    "FieldType": "calculated",
    "Datatype": "boolean",
    "Formula": "=AND({{IsCurrentlyValid}}, NOT({{HasReviewRecord}}))",
    "InventedForQuestion": "q2-authority-review-date-is-inferred-not-recorded",
    "SemanticTypeIri": "urn:effortless:pko-extension#RulebookField",
    "Name": "KnowledgeFragments.IsUnreviewedSinceAuthoring",
    "IsDerived": true,
    "IsWitness": true,
    "DisagreeingSubstrateCount": 0.0,
    "IsSubstrateContested": false
   },
   {
    "RulebookFieldId": "KnowledgeFragments.IsGenuinelyOverdue",
    "TargetTable": "KnowledgeFragments",
    "FieldName": "IsGenuinelyOverdue",
    "FieldType": "calculated",
    "Datatype": "boolean",
    "Formula": "=AND({{IsCurrentlyValid}}, {{HasReviewRecord}}, {{DaysSinceActualReview}} &gt; {{ReviewCadenceDays}})",
    "InventedForQuestion": "q2-authority-review-date-is-inferred-not-recorded",
    "SemanticTypeIri": "urn:effortless:pko-extension#RulebookField",
    "Name": "KnowledgeFragments.IsGenuinelyOverdue",
    "IsDerived": true,
    "IsWitness": true,
    "DisagreeingSubstrateCount": 0.0,
    "IsSubstrateContested": false
   },
   {
    "RulebookFieldId": "KnowledgeFragments.ReviewRecencyIsInferred",
    "TargetTable": "KnowledgeFragments",
    "FieldName": "ReviewRecencyIsInferred",
    "FieldType": "calculated",
    "Datatype": "boolean",
    "Formula": "=AND({{IsOverdueForReview}}, NOT({{HasReviewRecord}}))",
    "InventedForQuestion": "q2-authority-review-date-is-inferred-not-recorded",
    "SemanticTypeIri": "urn:effortless:pko-extension#RulebookField",
    "Name": "KnowledgeFragments.ReviewRecencyIsInferred",
    "IsDerived": true,
    "IsWitness": true,
    "DisagreeingSubstrateCount": 0.0,
    "IsSubstrateContested": false
   },
   {
    "RulebookFieldId": "KnowledgeFragments.InferenceDisagreesWithRecord",
    "TargetTable": "KnowledgeFragments",
    "FieldName": "InferenceDisagreesWithRecord",
    "FieldType": "calculated",
    "Datatype": "boolean",
    "Formula": "=AND({{HasReviewRecord}}, {{IsOverdueForReview}}, NOT({{IsGenuinelyOverdue}}))",
    "InventedForQuestion": "q2-authority-review-date-is-inferred-not-recorded",
    "SemanticTypeIri": "urn:effortless:pko-extension#RulebookField",
    "Name": "KnowledgeFragments.InferenceDisagreesWithRecord",
    "IsDerived": true,
    "IsWitness": true,
    "DisagreeingSubstrateCount": 0.0,
    "IsSubstrateContested": false
   },
   {
    "RulebookFieldId": "KnowledgeFragments.GenuinelyOverdueVersionKey",
    "TargetTable": "KnowledgeFragments",
    "FieldName": "GenuinelyOverdueVersionKey",
    "FieldType": "calculated",
    "Datatype": "string",
    "Formula": "=IF({{IsGenuinelyOverdue}}, {{ProcedureVersion}}, \"\")",
    "InventedForQuestion": "q2-authority-review-date-is-inferred-not-recorded",
    "SemanticTypeIri": "urn:effortless:pko-extension#RulebookField",
    "Name": "KnowledgeFragments.GenuinelyOverdueVersionKey",
    "IsDerived": true,
    "IsWitness": true,
    "DisagreeingSubstrateCount": 0.0,
    "IsSubstrateContested": false
   },
   {
    "RulebookFieldId": "KnowledgeFragments.RatifiedBoundaryCount",
    "TargetTable": "KnowledgeFragments",
    "FieldName": "RatifiedBoundaryCount",
    "FieldType": "aggregation",
    "Datatype": "number",
    "Formula": "=COUNTIFS(AuthorityBoundaries!{{RatifyingFragmentKey}}, {{KnowledgeFragmentId}})",
    "InventedForQuestion": "q2-hr-my-unapproved-claim-is-load-bearing",
    "SemanticTypeIri": "urn:effortless:pko-extension#RulebookField",
    "Name": "KnowledgeFragments.RatifiedBoundaryCount",
    "IsDerived": true,
    "IsWitness": true,
    "DisagreeingSubstrateCount": 0.0,
    "IsSubstrateContested": false
   },
   {
    "RulebookFieldId": "KnowledgeFragments.RelianceSurfaceCount",
    "TargetTable": "KnowledgeFragments",
    "FieldName": "RelianceSurfaceCount",
    "FieldType": "calculated",
    "Datatype": "integer",
    "Formula": "={{IsInvokedByAnException}} + {{RatifiedBoundaryCount}}",
    "InventedForQuestion": "q2-hr-my-unapproved-claim-is-load-bearing",
    "SemanticTypeIri": "urn:effortless:pko-extension#RulebookField",
    "Name": "KnowledgeFragments.RelianceSurfaceCount",
    "IsDerived": true,
    "IsWitness": true,
    "DisagreeingSubstrateCount": 1.0,
    "IsSubstrateContested": true
   },
   {
    "RulebookFieldId": "KnowledgeFragments.DaysAwaitingMyApproval",
    "TargetTable": "KnowledgeFragments",
    "FieldName": "DaysAwaitingMyApproval",
    "FieldType": "calculated",
    "Datatype": "integer",
    "Formula": "=IF({{IsMyUnfinishedApproval}}, DATETIME_DIFF({{AsOfInstant}}, {{ValidFrom}}, \"days\"), 0)",
    "InventedForQuestion": "q2-hr-my-unapproved-claim-is-load-bearing",
    "SemanticTypeIri": "urn:effortless:pko-extension#RulebookField",
    "Name": "KnowledgeFragments.DaysAwaitingMyApproval",
    "IsDerived": true,
    "IsWitness": true,
    "DisagreeingSubstrateCount": 0.0,
    "IsSubstrateContested": false
   },
   {
    "RulebookFieldId": "KnowledgeFragments.IsHighBlastRadiusUnapproved",
    "TargetTable": "KnowledgeFragments",
    "FieldName": "IsHighBlastRadiusUnapproved",
    "FieldType": "calculated",
    "Datatype": "boolean",
    "Formula": "=AND({{IsUnapprovedAndOperationallyLive}}, {{RelianceSurfaceCount}} &gt; 1)",
    "InventedForQuestion": "q2-hr-my-unapproved-claim-is-load-bearing",
    "SemanticTypeIri": "urn:effortless:pko-extension#RulebookField",
    "Name": "KnowledgeFragments.IsHighBlastRadiusUnapproved",
    "IsDerived": true,
    "IsWitness": true,
    "DisagreeingSubstrateCount": 0.0,
    "IsSubstrateContested": false
   },
   {
    "RulebookFieldId": "KnowledgeFragments.IsLongUnapproved",
    "TargetTable": "KnowledgeFragments",
    "FieldName": "IsLongUnapproved",
    "FieldType": "calculated",
    "Datatype": "boolean",
    "Formula": "=AND({{IsMyUnfinishedApproval}}, {{DaysAwaitingMyApproval}} &gt; 30)",
    "InventedForQuestion": "q2-hr-my-unapproved-claim-is-load-bearing",
    "SemanticTypeIri": "urn:effortless:pko-extension#RulebookField",
    "Name": "KnowledgeFragments.IsLongUnapproved",
    "IsDerived": true,
    "IsWitness": true,
    "DisagreeingSubstrateCount": 0.0,
    "IsSubstrateContested": false
   },
   {
    "RulebookFieldId": "KnowledgeFragments.UnapprovedLoadBearingVersionKey",
    "TargetTable": "KnowledgeFragments",
    "FieldName": "UnapprovedLoadBearingVersionKey",
    "FieldType": "calculated",
    "Datatype": "string",
    "Formula": "=IF({{IsHighBlastRadiusUnapproved}}, {{ProcedureVersion}}, \"\")",
    "InventedForQuestion": "q2-hr-my-unapproved-claim-is-load-bearing",
    "SemanticTypeIri": "urn:effortless:pko-extension#RulebookField",
    "Name": "KnowledgeFragments.UnapprovedLoadBearingVersionKey",
    "IsDerived": true,
    "IsWitness": true,
    "DisagreeingSubstrateCount": 0.0,
    "IsSubstrateContested": false
   },
   {
    "RulebookFieldId": "KnowledgeFragments.OwnerRoleIsVacated",
    "TargetTable": "KnowledgeFragments",
    "FieldName": "OwnerRoleIsVacated",
    "FieldType": "lookup",
    "Datatype": "boolean",
    "Formula": "=INDEX(Roles!{{IsVacatedRole}}, MATCH({{OwnerRole}}, Roles!{{RoleId}}, 0))",
    "InventedForQuestion": "q2-hr-departed-holder-left-claims-behind",
    "SemanticTypeIri": "urn:effortless:pko-extension#RulebookField",
    "Name": "KnowledgeFragments.OwnerRoleIsVacated",
    "IsDerived": true,
    "IsWitness": true,
    "DisagreeingSubstrateCount": 0.0,
    "IsSubstrateContested": false
   },
   {
    "RulebookFieldId": "KnowledgeFragments.IsOrphanedByRole",
    "TargetTable": "KnowledgeFragments",
    "FieldName": "IsOrphanedByRole",
    "FieldType": "calculated",
    "Datatype": "boolean",
    "Formula": "=AND({{IsCurrentlyValid}}, {{OwnerRoleIsVacated}})",
    "InventedForQuestion": "q2-hr-departed-holder-left-claims-behind",
    "SemanticTypeIri": "urn:effortless:pko-extension#RulebookField",
    "Name": "KnowledgeFragments.IsOrphanedByRole",
    "IsDerived": true,
    "IsWitness": true,
    "DisagreeingSubstrateCount": 0.0,
    "IsSubstrateContested": false
   },
   {
    "RulebookFieldId": "KnowledgeFragments.ValidFragmentVersionKey",
    "TargetTable": "KnowledgeFragments",
    "FieldName": "ValidFragmentVersionKey",
    "FieldType": "calculated",
    "Datatype": "string",
    "Formula": "=IF({{IsCurrentlyValid}}, {{ProcedureVersion}}, \"\")",
    "InventedForQuestion": "q2-steward-unstewarded-version-still-referenced",
    "SemanticTypeIri": "urn:effortless:pko-extension#RulebookField",
    "Name": "KnowledgeFragments.ValidFragmentVersionKey",
    "IsDerived": true,
    "IsWitness": true,
    "DisagreeingSubstrateCount": 0.0,
    "IsSubstrateContested": false
   },
   {
    "RulebookFieldId": "KnowledgeFragments.SemanticTypeIri",
    "TargetTable": "KnowledgeFragments",
    "FieldName": "SemanticTypeIri",
    "FieldType": "raw",
    "Datatype": "string",
    "Formula": null,
    "InventedForQuestion": null,
    "SemanticTypeIri": "urn:effortless:pko-extension#RulebookField",
    "Name": "KnowledgeFragments.SemanticTypeIri",
    "IsDerived": false,
    "IsWitness": false,
    "DisagreeingSubstrateCount": 0.0,
    "IsSubstrateContested": false
   },
   {
    "RulebookFieldId": "KnowledgeGaps.KnowledgeGapId",
    "TargetTable": "KnowledgeGaps",
    "FieldName": "KnowledgeGapId",
    "FieldType": "raw",
    "Datatype": "string",
    "Formula": null,
    "InventedForQuestion": null,
    "SemanticTypeIri": "urn:effortless:pko-extension#RulebookField",
    "Name": "KnowledgeGaps.KnowledgeGapId",
    "IsDerived": false,
    "IsWitness": false,
    "DisagreeingSubstrateCount": 0.0,
    "IsSubstrateContested": false
   },
   {
    "RulebookFieldId": "KnowledgeGaps.Name",
    "TargetTable": "KnowledgeGaps",
    "FieldName": "Name",
    "FieldType": "calculated",
    "Datatype": "string",
    "Formula": "={{Severity}} &amp; \": \" &amp; LEFT({{Statement}}, 60)",
    "InventedForQuestion": null,
    "SemanticTypeIri": "urn:effortless:pko-extension#RulebookField",
    "Name": "KnowledgeGaps.Name",
    "IsDerived": true,
    "IsWitness": false,
    "DisagreeingSubstrateCount": 0.0,
    "IsSubstrateContested": false
   },
   {
    "RulebookFieldId": "KnowledgeGaps.ProcedureVersion",
    "TargetTable": "KnowledgeGaps",
    "FieldName": "ProcedureVersion",
    "FieldType": "relationship",
    "Datatype": "string",
    "Formula": null,
    "InventedForQuestion": null,
    "SemanticTypeIri": "urn:effortless:pko-extension#RulebookField",
    "Name": "KnowledgeGaps.ProcedureVersion",
    "IsDerived": false,
    "IsWitness": false,
    "DisagreeingSubstrateCount": 0.0,
    "IsSubstrateContested": false
   },
   {
    "RulebookFieldId": "KnowledgeGaps.Step",
    "TargetTable": "KnowledgeGaps",
    "FieldName": "Step",
    "FieldType": "relationship",
    "Datatype": "string",
    "Formula": null,
    "InventedForQuestion": null,
    "SemanticTypeIri": "urn:effortless:pko-extension#RulebookField",
    "Name": "KnowledgeGaps.Step",
    "IsDerived": false,
    "IsWitness": false,
    "DisagreeingSubstrateCount": 0.0,
    "IsSubstrateContested": false
   },
   {
    "RulebookFieldId": "KnowledgeGaps.Statement",
    "TargetTable": "KnowledgeGaps",
    "FieldName": "Statement",
    "FieldType": "raw",
    "Datatype": "string",
    "Formula": null,
    "InventedForQuestion": null,
    "SemanticTypeIri": "urn:effortless:pko-extension#RulebookField",
    "Name": "KnowledgeGaps.Statement",
    "IsDerived": false,
    "IsWitness": false,
    "DisagreeingSubstrateCount": 0.0,
    "IsSubstrateContested": false
   },
   {
    "RulebookFieldId": "KnowledgeGaps.Severity",
    "TargetTable": "KnowledgeGaps",
    "FieldName": "Severity",
    "FieldType": "raw",
    "Datatype": "string",
    "Formula": null,
    "InventedForQuestion": null,
    "SemanticTypeIri": "urn:effortless:pko-extension#RulebookField",
    "Name": "KnowledgeGaps.Severity",
    "IsDerived": false,
    "IsWitness": false,
    "DisagreeingSubstrateCount": 0.0,
    "IsSubstrateContested": false
   },
   {
    "RulebookFieldId": "KnowledgeGaps.BlockingKind",
    "TargetTable": "KnowledgeGaps",
    "FieldName": "BlockingKind",
    "FieldType": "raw",
    "Datatype": "string",
    "Formula": null,
    "InventedForQuestion": null,
    "SemanticTypeIri": "urn:effortless:pko-extension#RulebookField",
    "Name": "KnowledgeGaps.BlockingKind",
    "IsDerived": false,
    "IsWitness": false,
    "DisagreeingSubstrateCount": 0.0,
    "Is</t>
  </si>
  <si>
    <t xml:space="preserve">SubstrateContested": false
   },
   {
    "RulebookFieldId": "KnowledgeGaps.Status",
    "TargetTable": "KnowledgeGaps",
    "FieldName": "Status",
    "FieldType": "raw",
    "Datatype": "string",
    "Formula": null,
    "InventedForQuestion": null,
    "SemanticTypeIri": "urn:effortless:pko-extension#RulebookField",
    "Name": "KnowledgeGaps.Status",
    "IsDerived": false,
    "IsWitness": false,
    "DisagreeingSubstrateCount": 0.0,
    "IsSubstrateContested": false
   },
   {
    "RulebookFieldId": "KnowledgeGaps.OwnerRole",
    "TargetTable": "KnowledgeGaps",
    "FieldName": "OwnerRole",
    "FieldType": "relationship",
    "Datatype": "string",
    "Formula": null,
    "InventedForQuestion": null,
    "SemanticTypeIri": "urn:effortless:pko-extension#RulebookField",
    "Name": "KnowledgeGaps.OwnerRole",
    "IsDerived": false,
    "IsWitness": false,
    "DisagreeingSubstrateCount": 0.0,
    "IsSubstrateContested": false
   },
   {
    "RulebookFieldId": "KnowledgeGaps.IdentifiedAt",
    "TargetTable": "KnowledgeGaps",
    "FieldName": "IdentifiedAt",
    "FieldType": "raw",
    "Datatype": "datetime",
    "Formula": null,
    "InventedForQuestion": null,
    "SemanticTypeIri": "urn:effortless:pko-extension#RulebookField",
    "Name": "KnowledgeGaps.IdentifiedAt",
    "IsDerived": false,
    "IsWitness": false,
    "DisagreeingSubstrateCount": 0.0,
    "IsSubstrateContested": false
   },
   {
    "RulebookFieldId": "KnowledgeGaps.ResolutionPlan",
    "TargetTable": "KnowledgeGaps",
    "FieldName": "ResolutionPlan",
    "FieldType": "raw",
    "Datatype": "string",
    "Formula": null,
    "InventedForQuestion": null,
    "SemanticTypeIri": "urn:effortless:pko-extension#RulebookField",
    "Name": "KnowledgeGaps.ResolutionPlan",
    "IsDerived": false,
    "IsWitness": false,
    "DisagreeingSubstrateCount": 0.0,
    "IsSubstrateContested": false
   },
   {
    "RulebookFieldId": "KnowledgeGaps.IsOpen",
    "TargetTable": "KnowledgeGaps",
    "FieldName": "IsOpen",
    "FieldType": "calculated",
    "Datatype": "boolean",
    "Formula": "=OR({{Status}} = \"Open\", {{Status}} = \"Investigating\")",
    "InventedForQuestion": null,
    "SemanticTypeIri": "urn:effortless:pko-extension#RulebookField",
    "Name": "KnowledgeGaps.IsOpen",
    "IsDerived": true,
    "IsWitness": false,
    "DisagreeingSubstrateCount": 0.0,
    "IsSubstrateContested": false
   },
   {
    "RulebookFieldId": "KnowledgeGaps.OpenGapVersionKey",
    "TargetTable": "KnowledgeGaps",
    "FieldName": "OpenGapVersionKey",
    "FieldType": "calculated",
    "Datatype": "string",
    "Formula": "=IF(AND({{IsOpen}}, {{Severity}} = \"High\"), {{ProcedureVersion}}, \"\")",
    "InventedForQuestion": "q-cfo-approving-on-unfit-version",
    "SemanticTypeIri": "urn:effortless:pko-extension#RulebookField",
    "Name": "KnowledgeGaps.OpenGapVersionKey",
    "IsDerived": true,
    "IsWitness": true,
    "DisagreeingSubstrateCount": 0.0,
    "IsSubstrateContested": false
   },
   {
    "RulebookFieldId": "KnowledgeGaps.IsBlocking",
    "TargetTable": "KnowledgeGaps",
    "FieldName": "IsBlocking",
    "FieldType": "calculated",
    "Datatype": "boolean",
    "Formula": "={{BlockingKind}} = \"Blocking\"",
    "InventedForQuestion": "q-steward-published-with-blocking-gap",
    "SemanticTypeIri": "urn:effortless:pko-extension#RulebookField",
    "Name": "KnowledgeGaps.IsBlocking",
    "IsDerived": true,
    "IsWitness": true,
    "DisagreeingSubstrateCount": 0.0,
    "IsSubstrateContested": false
   },
   {
    "RulebookFieldId": "KnowledgeGaps.IsOpenAndBlocking",
    "TargetTable": "KnowledgeGaps",
    "FieldName": "IsOpenAndBlocking",
    "FieldType": "calculated",
    "Datatype": "boolean",
    "Formula": "=AND({{IsOpen}}, {{IsBlocking}})",
    "InventedForQuestion": "q-steward-published-with-blocking-gap",
    "SemanticTypeIri": "urn:effortless:pko-extension#RulebookField",
    "Name": "KnowledgeGaps.IsOpenAndBlocking",
    "IsDerived": true,
    "IsWitness": true,
    "DisagreeingSubstrateCount": 0.0,
    "IsSubstrateContested": false
   },
   {
    "RulebookFieldId": "KnowledgeGaps.EvaluationContext",
    "TargetTable": "KnowledgeGaps",
    "FieldName": "EvaluationContext",
    "FieldType": "relationship",
    "Datatype": "string",
    "Formula": null,
    "InventedForQuestion": null,
    "SemanticTypeIri": "urn:effortless:pko-extension#RulebookField",
    "Name": "KnowledgeGaps.EvaluationContext",
    "IsDerived": false,
    "IsWitness": false,
    "DisagreeingSubstrateCount": 0.0,
    "IsSubstrateContested": false
   },
   {
    "RulebookFieldId": "KnowledgeGaps.AsOfInstant",
    "TargetTable": "KnowledgeGaps",
    "FieldName": "AsOfInstant",
    "FieldType": "lookup",
    "Datatype": "datetime",
    "Formula": "=INDEX(EvaluationContexts!{{AsOfInstant}}, MATCH({{EvaluationContext}}, EvaluationContexts!{{EvaluationContextId}}, 0))",
    "InventedForQuestion": null,
    "SemanticTypeIri": "urn:effortless:pko-extension#RulebookField",
    "Name": "KnowledgeGaps.AsOfInstant",
    "IsDerived": true,
    "IsWitness": false,
    "DisagreeingSubstrateCount": 0.0,
    "IsSubstrateContested": false
   },
   {
    "RulebookFieldId": "KnowledgeGaps.DaysOpen",
    "TargetTable": "KnowledgeGaps",
    "FieldName": "DaysOpen",
    "FieldType": "calculated",
    "Datatype": "integer",
    "Formula": "=IF({{IsOpen}}, DATETIME_DIFF({{AsOfInstant}}, {{IdentifiedAt}}, \"days\"), 0)",
    "InventedForQuestion": "q-authority-known-unknowns",
    "SemanticTypeIri": "urn:effortless:pko-extension#RulebookField",
    "Name": "KnowledgeGaps.DaysOpen",
    "IsDerived": true,
    "IsWitness": true,
    "DisagreeingSubstrateCount": 0.0,
    "IsSubstrateContested": false
   },
   {
    "RulebookFieldId": "KnowledgeGaps.ToleranceDays",
    "TargetTable": "KnowledgeGaps",
    "FieldName": "ToleranceDays",
    "FieldType": "calculated",
    "Datatype": "integer",
    "Formula": "=IF({{Severity}} = \"High\", 30, IF({{Severity}} = \"Medium\", 90, 180))",
    "InventedForQuestion": "q-authority-known-unknowns",
    "SemanticTypeIri": "urn:effortless:pko-extension#RulebookField",
    "Name": "KnowledgeGaps.ToleranceDays",
    "IsDerived": true,
    "IsWitness": true,
    "DisagreeingSubstrateCount": 0.0,
    "IsSubstrateContested": false
   },
   {
    "RulebookFieldId": "KnowledgeGaps.IsOverdueGap",
    "TargetTable": "KnowledgeGaps",
    "FieldName": "IsOverdueGap",
    "FieldType": "calculated",
    "Datatype": "boolean",
    "Formula": "={{DaysOpen}} &gt; {{ToleranceDays}}",
    "InventedForQuestion": "q-authority-known-unknowns",
    "SemanticTypeIri": "urn:effortless:pko-extension#RulebookField",
    "Name": "KnowledgeGaps.IsOverdueGap",
    "IsDerived": true,
    "IsWitness": true,
    "DisagreeingSubstrateCount": 0.0,
    "IsSubstrateContested": false
   },
   {
    "RulebookFieldId": "KnowledgeGaps.OwnerAgent",
    "TargetTable": "KnowledgeGaps",
    "FieldName": "OwnerAgent",
    "FieldType": "lookup",
    "Datatype": "string",
    "Formula": "=INDEX(Roles!{{CurrentAgent}}, MATCH({{OwnerRole}}, Roles!{{RoleId}}, 0))",
    "InventedForQuestion": "q-authority-known-unknowns",
    "SemanticTypeIri": "urn:effortless:pko-extension#RulebookField",
    "Name": "KnowledgeGaps.OwnerAgent",
    "IsDerived": true,
    "IsWitness": true,
    "DisagreeingSubstrateCount": 0.0,
    "IsSubstrateContested": false
   },
   {
    "RulebookFieldId": "KnowledgeGaps.OwnerIsStillEngaged",
    "TargetTable": "KnowledgeGaps",
    "FieldName": "OwnerIsStillEngaged",
    "FieldType": "lookup",
    "Datatype": "boolean",
    "Formula": "=INDEX(Agents!{{IsStillEngaged}}, MATCH({{OwnerAgent}}, Agents!{{AgentId}}, 0))",
    "InventedForQuestion": "q-authority-known-unknowns",
    "SemanticTypeIri": "urn:effortless:pko-extension#RulebookField",
    "Name": "KnowledgeGaps.OwnerIsStillEngaged",
    "IsDerived": true,
    "IsWitness": true,
    "DisagreeingSubstrateCount": 0.0,
    "IsSubstrateContested": false
   },
   {
    "RulebookFieldId": "KnowledgeGaps.HasResolutionPlan",
    "TargetTable": "KnowledgeGaps",
    "FieldName": "HasResolutionPlan",
    "FieldType": "calculated",
    "Datatype": "boolean",
    "Formula": "={{ResolutionPlan}} &lt;&gt; \"\"",
    "InventedForQuestion": "q-authority-known-unknowns",
    "SemanticTypeIri": "urn:effortless:pko-extension#RulebookField",
    "Name": "KnowledgeGaps.HasResolutionPlan",
    "IsDerived": true,
    "IsWitness": true,
    "DisagreeingSubstrateCount": 0.0,
    "IsSubstrateContested": false
   },
   {
    "RulebookFieldId": "KnowledgeGaps.IsAbandonedUnknown",
    "TargetTable": "KnowledgeGaps",
    "FieldName": "IsAbandonedUnknown",
    "FieldType": "calculated",
    "Datatype": "boolean",
    "Formula": "=AND({{IsOverdueGap}}, OR(NOT({{HasResolutionPlan}}), NOT({{OwnerIsStillEngaged}})))",
    "InventedForQuestion": "q-authority-known-unknowns",
    "SemanticTypeIri": "urn:effortless:pko-extension#RulebookField",
    "Name": "KnowledgeGaps.IsAbandonedUnknown",
    "IsDerived": true,
    "IsWitness": true,
    "DisagreeingSubstrateCount": 0.0,
    "IsSubstrateContested": false
   },
   {
    "RulebookFieldId": "KnowledgeGaps.OpenBlockingGapVersionKey",
    "TargetTable": "KnowledgeGaps",
    "FieldName": "OpenBlockingGapVersionKey",
    "FieldType": "calculated",
    "Datatype": "string",
    "Formula": "=IF({{IsOpenAndBlocking}}, {{ProcedureVersion}}, \"\")",
    "InventedForQuestion": "q2-hr-my-backlog-is-someone-elses-block",
    "SemanticTypeIri": "urn:effortless:pko-extension#RulebookField",
    "Name": "KnowledgeGaps.OpenBlockingGapVersionKey",
    "IsDerived": true,
    "IsWitness": true,
    "DisagreeingSubstrateCount": 0.0,
    "IsSubstrateContested": false
   },
   {
    "RulebookFieldId": "KnowledgeGaps.OwnerRoleIsVacated",
    "TargetTable": "KnowledgeGaps",
    "FieldName": "OwnerRoleIsVacated",
    "FieldType": "lookup",
    "Datatype": "boolean",
    "Formula": "=INDEX(Roles!{{IsVacatedRole}}, MATCH({{OwnerRole}}, Roles!{{RoleId}}, 0))",
    "InventedForQuestion": "q2-hr-departed-holder-left-claims-behind",
    "SemanticTypeIri": "urn:effortless:pko-extension#RulebookField",
    "Name": "KnowledgeGaps.OwnerRoleIsVacated",
    "IsDerived": true,
    "IsWitness": true,
    "DisagreeingSubstrateCount": 0.0,
    "IsSubstrateContested": false
   },
   {
    "RulebookFieldId": "KnowledgeGaps.IsOwnerlessOpenGap",
    "TargetTable": "KnowledgeGaps",
    "FieldName": "IsOwnerlessOpenGap",
    "FieldType": "calculated",
    "Datatype": "boolean",
    "Formula": "=AND({{IsOpen}}, {{OwnerRoleIsVacated}})",
    "InventedForQuestion": "q2-hr-departed-holder-left-claims-behind",
    "SemanticTypeIri": "urn:effortless:pko-extension#RulebookField",
    "Name": "KnowledgeGaps.IsOwnerlessOpenGap",
    "IsDerived": true,
    "IsWitness": true,
    "DisagreeingSubstrateCount": 0.0,
    "IsSubstrateContested": false
   },
   {
    "RulebookFieldId": "KnowledgeGaps.SemanticTypeIri",
    "TargetTable": "KnowledgeGaps",
    "FieldName": "SemanticTypeIri",
    "FieldType": "raw",
    "Datatype": "string",
    "Formula": null,
    "InventedForQuestion": null,
    "SemanticTypeIri": "urn:effortless:pko-extension#RulebookField",
    "Name": "KnowledgeGaps.SemanticTypeIri",
    "IsDerived": false,
    "IsWitness": false,
    "DisagreeingSubstrateCount": 0.0,
    "IsSubstrateContested": false
   },
   {
    "RulebookFieldId": "FAQs.FaqId",
    "TargetTable": "FAQs",
    "FieldName": "FaqId",
    "FieldType": "raw",
    "Datatype": "string",
    "Formula": null,
    "InventedForQuestion": null,
    "SemanticTypeIri": "urn:effortless:pko-extension#RulebookField",
    "Name": "FAQs.FaqId",
    "IsDerived": false,
    "IsWitness": false,
    "DisagreeingSubstrateCount": 0.0,
    "IsSubstrateContested": false
   },
   {
    "RulebookFieldId": "FAQs.Name",
    "TargetTable": "FAQs",
    "FieldName": "Name",
    "FieldType": "calculated",
    "Datatype": "string",
    "Formula": "={{Question}}",
    "InventedForQuestion": null,
    "SemanticTypeIri": "urn:effortless:pko-extension#RulebookField",
    "Name": "FAQs.Name",
    "IsDerived": true,
    "IsWitness": false,
    "DisagreeingSubstrateCount": 1.0,
    "IsSubstrateContested": true
   },
   {
    "RulebookFieldId": "FAQs.ProcedureVersion",
    "TargetTable": "FAQs",
    "FieldName": "ProcedureVersion",
    "FieldType": "relationship",
    "Datatype": "string",
    "Formula": null,
    "InventedForQuestion": null,
    "SemanticTypeIri": "urn:effortless:pko-extension#RulebookField",
    "Name": "FAQs.ProcedureVersion",
    "IsDerived": false,
    "IsWitness": false,
    "DisagreeingSubstrateCount": 0.0,
    "IsSubstrateContested": false
   },
   {
    "RulebookFieldId": "FAQs.Step",
    "TargetTable": "FAQs",
    "FieldName": "Step",
    "FieldType": "relationship",
    "Datatype": "string",
    "Formula": null,
    "InventedForQuestion": null,
    "SemanticTypeIri": "urn:effortless:pko-extension#RulebookField",
    "Name": "FAQs.Step",
    "IsDerived": false,
    "IsWitness": false,
    "DisagreeingSubstrateCount": 0.0,
    "IsSubstrateContested": false
   },
   {
    "RulebookFieldId": "FAQs.Category",
    "TargetTable": "FAQs",
    "FieldName": "Category",
    "FieldType": "raw",
    "Datatype": "string",
    "Formula": null,
    "InventedForQuestion": null,
    "SemanticTypeIri": "urn:effortless:pko-extension#RulebookField",
    "Name": "FAQs.Category",
    "IsDerived": false,
    "IsWitness": false,
    "DisagreeingSubstrateCount": 0.0,
    "IsSubstrateContested": false
   },
   {
    "RulebookFieldId": "FAQs.TargetKind",
    "TargetTable": "FAQs",
    "FieldName": "TargetKind",
    "FieldType": "raw",
    "Datatype": "string",
    "Formula": null,
    "InventedForQuestion": null,
    "SemanticTypeIri": "urn:effortless:pko-extension#RulebookField",
    "Name": "FAQs.TargetKind",
    "IsDerived": false,
    "IsWitness": false,
    "DisagreeingSubstrateCount": 0.0,
    "IsSubstrateContested": false
   },
   {
    "RulebookFieldId": "FAQs.Question",
    "TargetTable": "FAQs",
    "FieldName": "Question",
    "FieldType": "raw",
    "Datatype": "string",
    "Formula": null,
    "InventedForQuestion": null,
    "SemanticTypeIri": "urn:effortless:pko-extension#RulebookField",
    "Name": "FAQs.Question",
    "IsDerived": false,
    "IsWitness": false,
    "DisagreeingSubstrateCount": 0.0,
    "IsSubstrateContested": false
   },
   {
    "RulebookFieldId": "FAQs.Answer",
    "TargetTable": "FAQs",
    "FieldName": "Answer",
    "FieldType": "raw",
    "Datatype": "string",
    "Formula": null,
    "InventedForQuestion": null,
    "SemanticTypeIri": "urn:effortless:pko-extension#RulebookField",
    "Name": "FAQs.Answer",
    "IsDerived": false,
    "IsWitness": false,
    "DisagreeingSubstrateCount": 0.0,
    "IsSubstrateContested": false
   },
   {
    "RulebookFieldId": "FAQs.SemanticTypeIri",
    "TargetTable": "FAQs",
    "FieldName": "SemanticTypeIri",
    "FieldType": "raw",
    "Datatype": "string",
    "Formula": null,
    "InventedForQuestion": null,
    "SemanticTypeIri": "urn:effortless:pko-extension#RulebookField",
    "Name": "FAQs.SemanticTypeIri",
    "IsDerived": false,
    "IsWitness": false,
    "DisagreeingSubstrateCount": 0.0,
    "IsSubstrateContested": false
   },
   {
    "RulebookFieldId": "Explanations.ExplanationId",
    "TargetTable": "Explanations",
    "FieldName": "ExplanationId",
    "FieldType": "raw",
    "Datatype": "string",
    "Formula": null,
    "InventedForQuestion": null,
    "SemanticTypeIri": "urn:effortless:pko-extension#RulebookField",
    "Name": "Explanations.ExplanationId",
    "IsDerived": false,
    "IsWitness": false,
    "DisagreeingSubstrateCount": 0.0,
    "IsSubstrateContested": false
   },
   {
    "RulebookFieldId": "Explanations.Name",
    "TargetTable": "Explanations",
    "FieldName": "Name",
    "FieldType": "calculated",
    "Datatype": "string",
    "Formula": "={{Title}}",
    "InventedForQuestion": null,
    "SemanticTypeIri": "urn:effortless:pko-extension#RulebookField",
    "Name": "Explanations.Name",
    "IsDerived": true,
    "IsWitness": false,
    "DisagreeingSubstrateCount": 0.0,
    "IsSubstrateContested": false
   },
   {
    "RulebookFieldId": "Explanations.ProcedureVersion",
    "TargetTable": "Explanations",
    "FieldName": "ProcedureVersion",
    "FieldType": "relationship",
    "Datatype": "string",
    "Formula": null,
    "InventedForQuestion": null,
    "SemanticTypeIri": "urn:effortless:pko-extension#RulebookField",
    "Name": "Explanations.ProcedureVersion",
    "IsDerived": false,
    "IsWitness": false,
    "DisagreeingSubstrateCount": 0.0,
    "IsSubstrateContested": false
   },
   {
    "RulebookFieldId": "Explanations.Step",
    "TargetTable": "Explanations",
    "FieldName": "Step",
    "FieldType": "relationship",
    "Datatype": "string",
    "Formula": null,
    "InventedForQuestion": null,
    "SemanticTypeIri": "urn:effortless:pko-extension#RulebookField",
    "Name": "Explanations.Step",
    "IsDerived": false,
    "IsWitness": false,
    "DisagreeingSubstrateCount": 0.0,
    "IsSubstrateContested": false
   },
   {
    "RulebookFieldId": "Explanations.Title",
    "TargetTable": "Explanations",
    "FieldName": "Title",
    "FieldType": "raw",
    "Datatype": "string",
    "Formula": null,
    "InventedForQuestion": null,
    "SemanticTypeIri": "urn:effortless:pko-extension#RulebookField",
    "Name": "Explanations.Title",
    "IsDerived": false,
    "IsWitness": false,
    "DisagreeingSubstrateCount": 0.0,
    "IsSubstrateContested": false
   },
   {
    "RulebookFieldId": "Explanations.Description",
    "TargetTable": "Explanations",
    "FieldName": "Description",
    "FieldType": "raw",
    "Datatype": "string",
    "Formula": null,
    "InventedForQuestion": null,
    "SemanticTypeIri": "urn:effortless:pko-extension#RulebookField",
    "Name": "Explanations.Description",
    "IsDerived": false,
    "IsWitness": false,
    "DisagreeingSubstrateCount": 0.0,
    "IsSubstrateContested": false
   },
   {
    "RulebookFieldId": "Explanations.SemanticTypeIri",
    "TargetTable": "Explanations",
    "FieldName": "SemanticTypeIri",
    "FieldType": "raw",
    "Datatype": "string",
    "Formula": null,
    "InventedForQuestion": null,
    "SemanticTypeIri": "urn:effortless:pko-extension#RulebookField",
    "Name": "Explanations.SemanticTypeIri",
    "IsDerived": false,
    "IsWitness": false,
    "DisagreeingSubstrateCount": 0.0,
    "IsSubstrateContested": false
   },
   {
    "RulebookFieldId": "ProcedureExecutions.ProcedureExecutionId",
    "TargetTable": "ProcedureExecutions",
    "FieldName": "ProcedureExecutionId",
    "FieldType": "raw",
    "Datatype": "string",
    "Formula": null,
    "InventedForQuestion": null,
    "SemanticTypeIri": "urn:effortless:pko-extension#RulebookField",
    "Name": "ProcedureExecutions.ProcedureExecutionId",
    "IsDerived": false,
    "IsWitness": false,
    "DisagreeingSubstrateCount": 0.0,
    "IsSubstrateContested": false
   },
   {
    "RulebookFieldId": "ProcedureExecutions.Name",
    "TargetTable": "ProcedureExecutions",
    "FieldName": "Name",
    "FieldType": "calculated",
    "Datatype": "string",
    "Formula": "={{ProcedureVersion}} &amp; \" / \" &amp; {{Context}}",
    "InventedForQuestion": null,
    "SemanticTypeIri": "urn:effortless:pko-extension#RulebookField",
    "Name": "ProcedureExecutions.Name",
    "IsDerived": true,
    "IsWitness": false,
    "DisagreeingSubstrateCount": 0.0,
    "IsSubstrateContested": false
   },
   {
    "RulebookFieldId": "ProcedureExecutions.ProcedureVersion",
    "TargetTable": "ProcedureExecutions",
    "FieldName": "ProcedureVersion",
    "FieldType": "relationship",
    "Datatype": "string",
    "Formula": null,
    "InventedForQuestion": null,
    "SemanticTypeIri": "urn:effortless:pko-extension#RulebookField",
    "Name": "ProcedureExecutions.ProcedureVersion",
    "IsDerived": false,
    "IsWitness": false,
    "DisagreeingSubstrateCount": 0.0,
    "IsSubstrateContested": false
   },
   {
    "RulebookFieldId": "ProcedureExecutions.ExecutionStatus",
    "TargetTable": "ProcedureExecutions",
    "FieldName": "ExecutionStatus",
    "FieldType": "raw",
    "Datatype": "string",
    "Formula": null,
    "InventedForQuestion": null,
    "SemanticTypeIri": "urn:effortless:pko-extension#RulebookField",
    "Name": "ProcedureExecutions.ExecutionStatus",
    "IsDerived": false,
    "IsWitness": false,
    "DisagreeingSubstrateCount": 0.0,
    "IsSubstrateContested": false
   },
   {
    "RulebookFieldId": "ProcedureExecutions.StartedAt",
    "TargetTable": "ProcedureExecutions",
    "FieldName": "StartedAt",
    "FieldType": "raw",
    "Datatype": "datetime",
    "Formula": null,
    "InventedForQuestion": null,
    "SemanticTypeIri": "urn:effortless:pko-extension#RulebookField",
    "Name": "ProcedureExecutions.StartedAt",
    "IsDerived": false,
    "IsWitness": false,
    "DisagreeingSubstrateCount": 0.0,
    "IsSubstrateContested": false
   },
   {
    "RulebookFieldId": "ProcedureExecutions.EndedAt",
    "TargetTable": "ProcedureExecutions",
    "FieldName": "EndedAt",
    "FieldType": "raw",
    "Datatype": "datetime",
    "Formula": null,
    "InventedForQuestion": null,
    "SemanticTypeIri": "urn:effortless:pko-extension#RulebookField",
    "Name": "ProcedureExecutions.EndedAt",
    "IsDerived": false,
    "IsWitness": false,
    "DisagreeingSubstrateCount": 0.0,
    "IsSubstrateContested": false
   },
   {
    "RulebookFieldId": "ProcedureExecutions.ExecutedByAgent",
    "TargetTable": "ProcedureExecutions",
    "FieldName": "ExecutedByAgent",
    "FieldType": "relationship",
    "Datatype": "string",
    "Formula": null,
    "InventedForQuestion": null,
    "SemanticTypeIri": "urn:effortless:pko-extension#RulebookField",
    "Name": "ProcedureExecutions.ExecutedByAgent",
    "IsDerived": false,
    "IsWitness": false,
    "DisagreeingSubstrateCount": 0.0,
    "IsSubstrateContested": false
   },
   {
    "RulebookFieldId": "ProcedureExecutions.Context",
    "TargetTable": "ProcedureExecutions",
    "FieldName": "Context",
    "FieldType": "raw",
    "Datatype": "string",
    "Formula": null,
    "InventedForQuestion": null,
    "SemanticTypeIri": "urn:effortless:pko-extension#RulebookField",
    "Name": "ProcedureExecutions.Context",
    "IsDerived": false,
    "IsWitness": false,
    "DisagreeingSubstrateCount": 0.0,
    "IsSubstrateContested": false
   },
   {
    "RulebookFieldId": "ProcedureExecutions.OperationalRecordUri",
    "TargetTable": "ProcedureExecutions",
    "FieldName": "OperationalRecordUri",
    "FieldType": "raw",
    "Datatype": "string",
    "Formula": null,
    "InventedForQuestion": null,
    "SemanticTypeIri": "urn:effortless:pko-extension#RulebookField",
    "Name": "ProcedureExecutions.OperationalRecordUri",
    "IsDerived": false,
    "IsWitness": false,
    "DisagreeingSubstrateCount": 0.0,
    "IsSubstrateContested": false
   },
   {
    "RulebookFieldId": "ProcedureExecutions.ExpectedStepCount",
    "TargetTable": "ProcedureExecutions",
    "FieldName": "ExpectedStepCount",
    "FieldType": "lookup",
    "Datatype": "number",
    "Formula": "=INDEX(ProcedureVersions!{{SpecifiedStepCount}}, MATCH({{ProcedureVersion}}, ProcedureVersions!{{ProcedureVersionId}}, 0))",
    "InventedForQuestion": "q-controller-execution-diverged-from-spec",
    "SemanticTypeIri": "urn:effortless:pko-extension#RulebookField",
    "Name": "ProcedureExecutions.ExpectedStepCount",
    "IsDerived": true,
    "IsWitness": true,
    "DisagreeingSubstrateCount": 0.0,
    "IsSubstrateContested": false
   },
   {
    "RulebookFieldId": "ProcedureExecutions.CompletedStepCount",
    "TargetTable": "ProcedureExecutions",
    "FieldName": "CompletedStepCount",
    "FieldType": "aggregation",
    "Datatype": "number",
    "Formula": "=COUNTIFS(StepExecutions!{{CompletedExecutionKey}}, {{ProcedureExecutionId}})",
    "InventedForQuestion": "q-controller-execution-diverged-from-spec",
    "SemanticTypeIri": "urn:effortless:pko-extension#RulebookField",
    "Name": "ProcedureExecutions.CompletedStepCount",
    "IsDerived": true,
    "IsWitness": true,
    "DisagreeingSubstrateCount": 0.0,
    "IsSubstrateContested": false
   },
   {
    "RulebookFieldId": "ProcedureExecutions.ControlBreachCount",
    "TargetTable": "ProcedureExecutions",
    "FieldName": "ControlBreachCount",
    "FieldType": "aggregation",
    "Datatype": "number",
    "Formula": "=COUNTIFS(StepExecutions!{{ControlBreachExecutionKey}}, {{ProcedureExecutionId}})",
    "InventedForQuestion": "q-controller-execution-diverged-from-spec",
    "SemanticTypeIri": "urn:effortless:pko-extension#RulebookField",
    "Name": "ProcedureExecutions.ControlBreachCount",
    "IsDerived": true,
    "IsWitness": true,
    "DisagreeingSubstrateCount": 0.0,
    "IsSubstrateContested": false
   },
   {
    "RulebookFieldId": "ProcedureExecutions.LateStepCount",
    "TargetTable": "ProcedureExecutions",
    "FieldName": "LateStepCount",
    "FieldType": "aggregation",
    "Datatype": "number",
    "Formula": "=COUNTIFS(StepExecutions!{{LateExecutionKey}}, {{ProcedureExecutionId}})",
    "InventedForQuestion": "q-controller-execution-diverged-from-spec",
    "SemanticTypeIri": "urn:effortless:pko-extension#RulebookField",
    "Name": "ProcedureExecutions.LateStepCount",
    "IsDerived": true,
    "IsWitness": true,
    "DisagreeingSubstrateCount": 0.0,
    "IsSubstrateContested": false
   },
   {
    "RulebookFieldId": "ProcedureExecutions.IsStructurallyComplete",
    "TargetTable": "ProcedureExecutions",
    "FieldName": "IsStructurallyComplete",
    "FieldType": "calculated",
    "Datatype": "boolean",
    "Formula": "={{CompletedStepCount}} &gt;= {{ExpectedStepCount}}",
    "InventedForQuestion": "q-controller-execution-diverged-from-spec",
    "SemanticTypeIri": "urn:effortless:pko-extension#RulebookField",
    "Name": "ProcedureExecutions.IsStructurallyComplete",
    "IsDerived": true,
    "IsWitness": true,
    "DisagreeingSubstrateCount": 0.0,
    "IsSubstrateContested": false
   },
   {
    "RulebookFieldId": "ProcedureExecutions.DivergedFromSpecification",
    "TargetTable": "ProcedureExecutions",
    "FieldName": "DivergedFromSpecification",
    "FieldType": "calculated",
    "Datatype": "boolean",
    "Formula": "=OR(NOT({{IsStructurallyComplete}}), {{ControlBreachCount}} &gt; 0)",
    "InventedForQuestion": "q-controller-execution-diverged-from-spec",
    "SemanticTypeIri": "urn:effortless:pko-extension#RulebookField",
    "Name": "ProcedureExecutions.DivergedFromSpecification",
    "IsDerived": true,
    "IsWitness": true,
    "DisagreeingSubstrateCount": 0.0,
    "IsSubstrateContested": false
   },
   {
    "RulebookFieldId": "ProcedureExecutions.AllBlockingControlsEvaluated",
    "TargetTable": "ProcedureExecutions",
    "FieldName": "AllBlockingControlsEvaluated",
    "FieldType": "calculated",
    "Datatype": "boolean",
    "Formula": "={{UnevaluatedBlockingTotal}} = 0",
    "InventedForQuestion": "q-cfo-can-i-sign",
    "SemanticTypeIri": "urn:effortless:pko-extension#RulebookField",
    "Name": "ProcedureExecutions.AllBlockingControlsEvaluated",
    "IsDerived": true,
    "IsWitness": true,
    "DisagreeingSubstrateCount": 0.0,
    "IsSubstrateContested": false
   },
   {
    "RulebookFieldId": "ProcedureExecutions.UnevaluatedBlockingTotal",
    "TargetTable": "ProcedureExecutions",
    "FieldName": "UnevaluatedBlockingTotal",
    "FieldType": "aggregation",
    "Datatype": "number",
    "Formula": "=COUNTIFS(StepExecutions!{{UnevaluatedBlockingExecutionKey}}, {{ProcedureExecutionId}})",
    "InventedForQuestion": "q-cfo-can-i-sign",
    "SemanticTypeIri": "urn:effortless:pko-extension#RulebookField",
    "Name": "ProcedureExecutions.UnevaluatedBlockingTotal",
    "IsDerived": true,
    "IsWitness": true,
    "DisagreeingSubstrateCount": 0.0,
    "IsSubstrateContested": false
   },
   {
    "RulebookFieldId": "ProcedureExecutions.SeparationOfDutiesHeld",
    "TargetTable": "ProcedureExecutions",
    "FieldName": "SeparationOfDutiesHeld",
    "FieldType": "calculated",
    "Datatype": "boolean",
    "Formula": "={{SeparationViolationCount}} = 0",
    "InventedForQuestion": "q-cfo-can-i-sign",
    "SemanticTypeIri": "urn:effortless:pko-extension#RulebookField",
    "Name": "ProcedureExecutions.SeparationOfDutiesHeld",
    "IsDerived": true,
    "IsWitness": true,
    "DisagreeingSubstrateCount": 0.0,
    "IsSubstrateContested": false
   },
   {
    "RulebookFieldId": "ProcedureExecutions.SeparationViolationCount",
    "TargetTable": "ProcedureExecutions",
    "FieldName": "SeparationViolationCount",
    "FieldType": "aggregation",
    "Datatype": "number",
    "Formula": "=COUNTIFS(StepExecutions!{{SeparationViolationExecutionKey}}, {{ProcedureExecutionId}})",
    "InventedForQuestion": "q-cfo-can-i-sign",
    "SemanticTypeIri": "urn:effortless:pko-extension#RulebookField",
    "Name": "ProcedureExecutions.SeparationViolationCount",
    "IsDerived": true,
    "IsWitness": true,
    "DisagreeingSubstrateCount": 0.0,
    "IsSubstrateContested": false
   },
   {
    "RulebookFieldId": "ProcedureExecutions.IsAttestationReady",
    "TargetTable": "ProcedureExecutions",
    "FieldName": "IsAttestationReady",
    "FieldType": "calculated",
    "Datatype": "boolean",
    "Formula": "=AND({{IsStructurallyComplete}}, NOT({{DivergedFromSpecification}}), {{AllBlockingControlsEvaluated}}, {{SeparationOfDutiesHeld}})",
    "InventedForQuestion": "q-cfo-can-i-sign",
    "SemanticTypeIri": "urn:effortless:pko-extension#RulebookField",
    "Name": "ProcedureExecutions.IsAttestationReady",
    "IsDerived": true,
    "IsWitness": true,
    "DisagreeingSubstrateCount": 0.0,
    "IsSubstrateContested": false
   },
   {
    "RulebookFieldId": "ProcedureExecutions.AttestationBlockerSummary",
    "TargetTable": "ProcedureExecutions",
    "FieldName": "AttestationBlockerSummary",
    "FieldType": "calculated",
    "Datatype": "string",
    "Formula": "=IF({{IsAttestationReady}}, \"\", IF(NOT({{IsStructurallyComplete}}), \"Incomplete: specified steps did not all complete.\", IF({{SeparationViolationCount}} &gt; 0, \"Segregation of duties violated.\", IF({{UnevaluatedBlockingTotal}} &gt; 0, \"Blocking controls were never evaluated.\", \"Control breach recorded on one or more steps.\"))))",
    "InventedForQuestion": "q-cfo-can-i-sign",
    "SemanticTypeIri": "urn:effortless:pko-extension#RulebookField",
    "Name": "ProcedureExecutions.AttestationBlockerSummary",
    "IsDerived": true,
    "IsWitness": true,
    "DisagreeingSubstrateCount": 0.0,
    "IsSubstrateContested": false
   },
   {
    "RulebookFieldId": "ProcedureExecutions.ExecutedVersionIsFit",
    "TargetTable": "ProcedureExecutions",
    "FieldName": "ExecutedVersionIsFit",
    "FieldType": "lookup",
    "Datatype": "boolean",
    "Formula": "=INDEX(ProcedureVersions!{{IsFitToExecute}}, MATCH({{ProcedureVersion}}, ProcedureVersions!{{ProcedureVersionId}}, 0))",
    "InventedForQuestion": "q-cfo-approving-on-unfit-version",
    "SemanticTypeIri": "urn:effortless:pko-extension#RulebookField",
    "Name": "ProcedureExecutions.ExecutedVersionIsFit",
    "IsDerived": true,
    "IsWitness": true,
    "DisagreeingSubstrateCount": 0.0,
    "IsSubstrateContested": false
   },
   {
    "RulebookFieldId": "ProcedureExecutions.SignedAgainstUnfitVersion",
    "TargetTable": "ProcedureExecutions",
    "FieldName": "SignedAgainstUnfitVersion",
    "FieldType": "calculated",
    "Datatype": "boolean",
    "Formula": "=AND({{ExecutionStatus}} = \"Completed\", NOT({{ExecutedVersionIsFit}}))",
    "InventedForQuestion": "q-cfo-approving-on-unfit-version",
    "SemanticTypeIri": "urn:effortless:pko-extension#RulebookField",
    "Name": "ProcedureExecutions.SignedAgainstUnfitVersion",
    "IsDerived": true,
    "IsWitness": true,
    "DisagreeingSubstrateCount": 0.0,
    "IsSubstrateContested": false
   },
   {
    "RulebookFieldId": "ProcedureExecutions.AssertedOnlyControlCount",
    "TargetTable": "ProcedureExecutions",
    "FieldName": "AssertedOnlyControlCount",
    "FieldType": "aggregation",
    "Datatype": "number",
    "Formula": "=COUNTIFS(RequirementSatisfactions!{{AssertedOnlyExecutionKey}}, {{ProcedureExecutionId}})",
    "InventedForQuestion": "q-cfo-am-i-being-told-everything",
    "SemanticTypeIri": "urn:effortless:pko-extension#RulebookField",
    "Name": "ProcedureExecutions.AssertedOnlyControlCount",
    "IsDerived": true,
    "IsWitness": true,
    "DisagreeingSubstrateCount": 0.0,
    "IsSubstrateContested": false
   },
   {
    "RulebookFieldId": "ProcedureExecutions.AssuranceIsMostlyAsserted",
    "TargetTable": "ProcedureExecutions",
    "FieldName": "AssuranceIsMostlyAsserted",
    "FieldType": </t>
  </si>
  <si>
    <t xml:space="preserve">"calculated",
    "Datatype": "boolean",
    "Formula": "={{AssertedOnlyControlCount}} &gt; 0",
    "InventedForQuestion": "q-cfo-am-i-being-told-everything",
    "SemanticTypeIri": "urn:effortless:pko-extension#RulebookField",
    "Name": "ProcedureExecutions.AssuranceIsMostlyAsserted",
    "IsDerived": true,
    "IsWitness": true,
    "DisagreeingSubstrateCount": 0.0,
    "IsSubstrateContested": false
   },
   {
    "RulebookFieldId": "ProcedureExecutions.UnreachableHandlingFailureCount",
    "TargetTable": "ProcedureExecutions",
    "FieldName": "UnreachableHandlingFailureCount",
    "FieldType": "aggregation",
    "Datatype": "number",
    "Formula": "=COUNTIFS(MessageDeliveries!{{UnreachableFailureKey}}, {{ProcedureExecutionId}})",
    "InventedForQuestion": "q-counsel-unreachable-not-acknowledged",
    "SemanticTypeIri": "urn:effortless:pko-extension#RulebookField",
    "Name": "ProcedureExecutions.UnreachableHandlingFailureCount",
    "IsDerived": true,
    "IsWitness": true,
    "DisagreeingSubstrateCount": 0.0,
    "IsSubstrateContested": false
   },
   {
    "RulebookFieldId": "ProcedureExecutions.RetentionBreachCount",
    "TargetTable": "ProcedureExecutions",
    "FieldName": "RetentionBreachCount",
    "FieldType": "aggregation",
    "Datatype": "number",
    "Formula": "=COUNTIFS(MessageDeliveries!{{RetentionBreachExecutionKey}}, {{ProcedureExecutionId}})",
    "InventedForQuestion": "q-counsel-retention-evidence",
    "SemanticTypeIri": "urn:effortless:pko-extension#RulebookField",
    "Name": "ProcedureExecutions.RetentionBreachCount",
    "IsDerived": true,
    "IsWitness": true,
    "DisagreeingSubstrateCount": 0.0,
    "IsSubstrateContested": false
   },
   {
    "RulebookFieldId": "ProcedureExecutions.ClearedLegalReviewCount",
    "TargetTable": "ProcedureExecutions",
    "FieldName": "ClearedLegalReviewCount",
    "FieldType": "aggregation",
    "Datatype": "number",
    "Formula": "=COUNTIFS(StepExecutions!{{ClearedLegalReviewKey}}, {{ProcedureExecutionId}})",
    "InventedForQuestion": "q-counsel-legal-review-gated-send",
    "SemanticTypeIri": "urn:effortless:pko-extension#RulebookField",
    "Name": "ProcedureExecutions.ClearedLegalReviewCount",
    "IsDerived": true,
    "IsWitness": true,
    "DisagreeingSubstrateCount": 0.0,
    "IsSubstrateContested": false
   },
   {
    "RulebookFieldId": "ProcedureExecutions.HasClearedLegalReview",
    "TargetTable": "ProcedureExecutions",
    "FieldName": "HasClearedLegalReview",
    "FieldType": "calculated",
    "Datatype": "boolean",
    "Formula": "={{ClearedLegalReviewCount}} &gt; 0",
    "InventedForQuestion": "q-counsel-legal-review-gated-send",
    "SemanticTypeIri": "urn:effortless:pko-extension#RulebookField",
    "Name": "ProcedureExecutions.HasClearedLegalReview",
    "IsDerived": true,
    "IsWitness": true,
    "DisagreeingSubstrateCount": 0.0,
    "IsSubstrateContested": false
   },
   {
    "RulebookFieldId": "ProcedureExecutions.AbandonedFailureCount",
    "TargetTable": "ProcedureExecutions",
    "FieldName": "AbandonedFailureCount",
    "FieldType": "aggregation",
    "Datatype": "number",
    "Formula": "=COUNTIFS(MessageDeliveries!{{AbandonedFailureExecutionKey}}, {{ProcedureExecutionId}})",
    "InventedForQuestion": "q-comms-deliverability",
    "SemanticTypeIri": "urn:effortless:pko-extension#RulebookField",
    "Name": "ProcedureExecutions.AbandonedFailureCount",
    "IsDerived": true,
    "IsWitness": true,
    "DisagreeingSubstrateCount": 0.0,
    "IsSubstrateContested": false
   },
   {
    "RulebookFieldId": "ProcedureExecutions.DeliveredCount",
    "TargetTable": "ProcedureExecutions",
    "FieldName": "DeliveredCount",
    "FieldType": "aggregation",
    "Datatype": "number",
    "Formula": "=COUNTIFS(MessageDeliveries!{{ReachedExecutionKey}}, {{ProcedureExecutionId}})",
    "InventedForQuestion": "q-comms-deliverability",
    "SemanticTypeIri": "urn:effortless:pko-extension#RulebookField",
    "Name": "ProcedureExecutions.DeliveredCount",
    "IsDerived": true,
    "IsWitness": true,
    "DisagreeingSubstrateCount": 0.0,
    "IsSubstrateContested": false
   },
   {
    "RulebookFieldId": "ProcedureExecutions.TotalDeliveryAttemptCount",
    "TargetTable": "ProcedureExecutions",
    "FieldName": "TotalDeliveryAttemptCount",
    "FieldType": "aggregation",
    "Datatype": "number",
    "Formula": "=COUNTIFS(MessageDeliveries!{{ProcedureExecution}}, {{ProcedureExecutionId}})",
    "InventedForQuestion": "q-comms-deliverability",
    "SemanticTypeIri": "urn:effortless:pko-extension#RulebookField",
    "Name": "ProcedureExecutions.TotalDeliveryAttemptCount",
    "IsDerived": true,
    "IsWitness": true,
    "DisagreeingSubstrateCount": 0.0,
    "IsSubstrateContested": false
   },
   {
    "RulebookFieldId": "ProcedureExecutions.HasAbandonedFailures",
    "TargetTable": "ProcedureExecutions",
    "FieldName": "HasAbandonedFailures",
    "FieldType": "calculated",
    "Datatype": "boolean",
    "Formula": "={{AbandonedFailureCount}} &gt; 0",
    "InventedForQuestion": "q-comms-deliverability",
    "SemanticTypeIri": "urn:effortless:pko-extension#RulebookField",
    "Name": "ProcedureExecutions.HasAbandonedFailures",
    "IsDerived": true,
    "IsWitness": true,
    "DisagreeingSubstrateCount": 0.0,
    "IsSubstrateContested": false
   },
   {
    "RulebookFieldId": "ProcedureExecutions.MishandledRefusalCount",
    "TargetTable": "ProcedureExecutions",
    "FieldName": "MishandledRefusalCount",
    "FieldType": "aggregation",
    "Datatype": "number",
    "Formula": "=COUNTIFS(SendIntents!{{RefusalFailureExecutionKey}}, {{ProcedureExecutionId}})",
    "InventedForQuestion": "q-publisher-refusal-was-honored",
    "SemanticTypeIri": "urn:effortless:pko-extension#RulebookField",
    "Name": "ProcedureExecutions.MishandledRefusalCount",
    "IsDerived": true,
    "IsWitness": true,
    "DisagreeingSubstrateCount": 0.0,
    "IsSubstrateContested": false
   },
   {
    "RulebookFieldId": "ProcedureExecutions.UncleanStepCount",
    "TargetTable": "ProcedureExecutions",
    "FieldName": "UncleanStepCount",
    "FieldType": "aggregation",
    "Datatype": "number",
    "Formula": "=COUNTIFS(StepExecutions!{{ProcedureExecutionWhenUnclean}}, {{ProcedureExecutionId}})",
    "InventedForQuestion": "q-close-auto-last-run-clean",
    "SemanticTypeIri": "urn:effortless:pko-extension#RulebookField",
    "Name": "ProcedureExecutions.UncleanStepCount",
    "IsDerived": true,
    "IsWitness": true,
    "DisagreeingSubstrateCount": 0.0,
    "IsSubstrateContested": false
   },
   {
    "RulebookFieldId": "ProcedureExecutions.RanClean",
    "TargetTable": "ProcedureExecutions",
    "FieldName": "RanClean",
    "FieldType": "calculated",
    "Datatype": "boolean",
    "Formula": "={{UncleanStepCount}} = 0",
    "InventedForQuestion": "q-close-auto-last-run-clean",
    "SemanticTypeIri": "urn:effortless:pko-extension#RulebookField",
    "Name": "ProcedureExecutions.RanClean",
    "IsDerived": true,
    "IsWitness": true,
    "DisagreeingSubstrateCount": 0.0,
    "IsSubstrateContested": false
   },
   {
    "RulebookFieldId": "ProcedureExecutions.CountOfApprovalExecutions",
    "TargetTable": "ProcedureExecutions",
    "FieldName": "CountOfApprovalExecutions",
    "FieldType": "aggregation",
    "Datatype": "integer",
    "Formula": "=COUNTIFS(StepExecutions!{{IsApprovalExecution}}, TRUE)",
    "InventedForQuestion": "q-hr-what-was-actually-sent",
    "SemanticTypeIri": "urn:effortless:pko-extension#RulebookField",
    "Name": "ProcedureExecutions.CountOfApprovalExecutions",
    "IsDerived": true,
    "IsWitness": true,
    "DisagreeingSubstrateCount": 0.0,
    "IsSubstrateContested": false
   },
   {
    "RulebookFieldId": "ProcedureExecutions.HasHumanApproval",
    "TargetTable": "ProcedureExecutions",
    "FieldName": "HasHumanApproval",
    "FieldType": "calculated",
    "Datatype": "boolean",
    "Formula": "={{CountOfApprovalExecutions}} &gt; 0",
    "InventedForQuestion": "q-hr-what-was-actually-sent",
    "SemanticTypeIri": "urn:effortless:pko-extension#RulebookField",
    "Name": "ProcedureExecutions.HasHumanApproval",
    "IsDerived": true,
    "IsWitness": true,
    "DisagreeingSubstrateCount": 0.0,
    "IsSubstrateContested": false
   },
   {
    "RulebookFieldId": "ProcedureExecutions.CountOfDeliveryExecutions",
    "TargetTable": "ProcedureExecutions",
    "FieldName": "CountOfDeliveryExecutions",
    "FieldType": "aggregation",
    "Datatype": "integer",
    "Formula": "=COUNTIFS(StepExecutions!{{Step}}, \"policy-07\")",
    "InventedForQuestion": "q-hr-what-was-actually-sent",
    "SemanticTypeIri": "urn:effortless:pko-extension#RulebookField",
    "Name": "ProcedureExecutions.CountOfDeliveryExecutions",
    "IsDerived": true,
    "IsWitness": true,
    "DisagreeingSubstrateCount": 0.0,
    "IsSubstrateContested": false
   },
   {
    "RulebookFieldId": "ProcedureExecutions.HasDelivered",
    "TargetTable": "ProcedureExecutions",
    "FieldName": "HasDelivered",
    "FieldType": "calculated",
    "Datatype": "boolean",
    "Formula": "={{CountOfDeliveryExecutions}} &gt; 0",
    "InventedForQuestion": "q-hr-what-was-actually-sent",
    "SemanticTypeIri": "urn:effortless:pko-extension#RulebookField",
    "Name": "ProcedureExecutions.HasDelivered",
    "IsDerived": true,
    "IsWitness": true,
    "DisagreeingSubstrateCount": 0.0,
    "IsSubstrateContested": false
   },
   {
    "RulebookFieldId": "ProcedureExecutions.DeliveredWithoutApproval",
    "TargetTable": "ProcedureExecutions",
    "FieldName": "DeliveredWithoutApproval",
    "FieldType": "calculated",
    "Datatype": "boolean",
    "Formula": "=AND({{HasDelivered}}, NOT({{HasHumanApproval}}))",
    "InventedForQuestion": "q-hr-what-was-actually-sent",
    "SemanticTypeIri": "urn:effortless:pko-extension#RulebookField",
    "Name": "ProcedureExecutions.DeliveredWithoutApproval",
    "IsDerived": true,
    "IsWitness": true,
    "DisagreeingSubstrateCount": 0.0,
    "IsSubstrateContested": false
   },
   {
    "RulebookFieldId": "ProcedureExecutions.InvalidApprovalCount",
    "TargetTable": "ProcedureExecutions",
    "FieldName": "InvalidApprovalCount",
    "FieldType": "aggregation",
    "Datatype": "number",
    "Formula": "=COUNTIFS(RequirementSatisfactions!{{RunWhenInvalidApproval}}, {{ProcedureExecutionId}})",
    "InventedForQuestion": "q-policy-ai-approval-chain-complete",
    "SemanticTypeIri": "urn:effortless:pko-extension#RulebookField",
    "Name": "ProcedureExecutions.InvalidApprovalCount",
    "IsDerived": true,
    "IsWitness": true,
    "DisagreeingSubstrateCount": 0.0,
    "IsSubstrateContested": false
   },
   {
    "RulebookFieldId": "ProcedureExecutions.ApprovalChainIsComplete",
    "TargetTable": "ProcedureExecutions",
    "FieldName": "ApprovalChainIsComplete",
    "FieldType": "calculated",
    "Datatype": "boolean",
    "Formula": "={{InvalidApprovalCount}} = 0",
    "InventedForQuestion": "q-policy-ai-approval-chain-complete",
    "SemanticTypeIri": "urn:effortless:pko-extension#RulebookField",
    "Name": "ProcedureExecutions.ApprovalChainIsComplete",
    "IsDerived": true,
    "IsWitness": true,
    "DisagreeingSubstrateCount": 0.0,
    "IsSubstrateContested": false
   },
   {
    "RulebookFieldId": "ProcedureExecutions.VacuouslyCleanStepCount",
    "TargetTable": "ProcedureExecutions",
    "FieldName": "VacuouslyCleanStepCount",
    "FieldType": "aggregation",
    "Datatype": "number",
    "Formula": "=COUNTIFS(StepExecutions!{{VacuouslyCleanExecutionKey}}, {{ProcedureExecutionId}})",
    "InventedForQuestion": "q2-fa-clean-but-uncovered",
    "SemanticTypeIri": "urn:effortless:pko-extension#RulebookField",
    "Name": "ProcedureExecutions.VacuouslyCleanStepCount",
    "IsDerived": true,
    "IsWitness": true,
    "DisagreeingSubstrateCount": 0.0,
    "IsSubstrateContested": false
   },
   {
    "RulebookFieldId": "ProcedureExecutions.PreparationStepCount",
    "TargetTable": "ProcedureExecutions",
    "FieldName": "PreparationStepCount",
    "FieldType": "aggregation",
    "Datatype": "number",
    "Formula": "=COUNTIFS(StepExecutions!{{PreparationExecutionKey}}, {{ProcedureExecutionId}})",
    "InventedForQuestion": "q2-ctl-separation-held-or-untested",
    "SemanticTypeIri": "urn:effortless:pko-extension#RulebookField",
    "Name": "ProcedureExecutions.PreparationStepCount",
    "IsDerived": true,
    "IsWitness": true,
    "DisagreeingSubstrateCount": 0.0,
    "IsSubstrateContested": false
   },
   {
    "RulebookFieldId": "ProcedureExecutions.ApprovalStepCount",
    "TargetTable": "ProcedureExecutions",
    "FieldName": "ApprovalStepCount",
    "FieldType": "aggregation",
    "Datatype": "number",
    "Formula": "=COUNTIFS(StepExecutions!{{ApprovalExecutionKey}}, {{ProcedureExecutionId}})",
    "InventedForQuestion": "q2-ctl-separation-held-or-untested",
    "SemanticTypeIri": "urn:effortless:pko-extension#RulebookField",
    "Name": "ProcedureExecutions.ApprovalStepCount",
    "IsDerived": true,
    "IsWitness": true,
    "DisagreeingSubstrateCount": 0.0,
    "IsSubstrateContested": false
   },
   {
    "RulebookFieldId": "ProcedureExecutions.SeparationWasTestable",
    "TargetTable": "ProcedureExecutions",
    "FieldName": "SeparationWasTestable",
    "FieldType": "calculated",
    "Datatype": "boolean",
    "Formula": "=AND({{PreparationStepCount}} &gt; 0, {{ApprovalStepCount}} &gt; 0)",
    "InventedForQuestion": "q2-ctl-separation-held-or-untested",
    "SemanticTypeIri": "urn:effortless:pko-extension#RulebookField",
    "Name": "ProcedureExecutions.SeparationWasTestable",
    "IsDerived": true,
    "IsWitness": true,
    "DisagreeingSubstrateCount": 0.0,
    "IsSubstrateContested": false
   },
   {
    "RulebookFieldId": "ProcedureExecutions.SeparationHeldUnderTest",
    "TargetTable": "ProcedureExecutions",
    "FieldName": "SeparationHeldUnderTest",
    "FieldType": "calculated",
    "Datatype": "boolean",
    "Formula": "=AND({{SeparationWasTestable}}, {{SeparationOfDutiesHeld}})",
    "InventedForQuestion": "q2-ctl-separation-held-or-untested",
    "SemanticTypeIri": "urn:effortless:pko-extension#RulebookField",
    "Name": "ProcedureExecutions.SeparationHeldUnderTest",
    "IsDerived": true,
    "IsWitness": true,
    "DisagreeingSubstrateCount": 0.0,
    "IsSubstrateContested": false
   },
   {
    "RulebookFieldId": "ProcedureExecutions.SeparationIsVacuouslyGreen",
    "TargetTable": "ProcedureExecutions",
    "FieldName": "SeparationIsVacuouslyGreen",
    "FieldType": "calculated",
    "Datatype": "boolean",
    "Formula": "=AND({{SeparationOfDutiesHeld}}, NOT({{SeparationWasTestable}}))",
    "InventedForQuestion": "q2-ctl-separation-held-or-untested",
    "SemanticTypeIri": "urn:effortless:pko-extension#RulebookField",
    "Name": "ProcedureExecutions.SeparationIsVacuouslyGreen",
    "IsDerived": true,
    "IsWitness": true,
    "DisagreeingSubstrateCount": 0.0,
    "IsSubstrateContested": false
   },
   {
    "RulebookFieldId": "ProcedureExecutions.SeparationAssuranceNote",
    "TargetTable": "ProcedureExecutions",
    "FieldName": "SeparationAssuranceNote",
    "FieldType": "calculated",
    "Datatype": "string",
    "Formula": "=IF({{SeparationViolationCount}} &gt; 0, \"Violated: same agent prepared and approved.\", IF({{SeparationIsVacuouslyGreen}}, \"Not tested: this run had no preparation/approval pair.\", \"Held under test.\"))",
    "InventedForQuestion": "q2-ctl-separation-held-or-untested",
    "SemanticTypeIri": "urn:effortless:pko-extension#RulebookField",
    "Name": "ProcedureExecutions.SeparationAssuranceNote",
    "IsDerived": true,
    "IsWitness": true,
    "DisagreeingSubstrateCount": 0.0,
    "IsSubstrateContested": false
   },
   {
    "RulebookFieldId": "ProcedureExecutions.UngovernedDivergenceCount",
    "TargetTable": "ProcedureExecutions",
    "FieldName": "UngovernedDivergenceCount",
    "FieldType": "aggregation",
    "Datatype": "number",
    "Formula": "=COUNTIFS(StepExecutions!{{UngovernedDivergenceExecutionKey}}, {{ProcedureExecutionId}})",
    "InventedForQuestion": "q2-ctl-divergence-that-nobody-governed",
    "SemanticTypeIri": "urn:effortless:pko-extension#RulebookField",
    "Name": "ProcedureExecutions.UngovernedDivergenceCount",
    "IsDerived": true,
    "IsWitness": true,
    "DisagreeingSubstrateCount": 0.0,
    "IsSubstrateContested": false
   },
   {
    "RulebookFieldId": "ProcedureExecutions.DivergenceWasFullyGoverned",
    "TargetTable": "ProcedureExecutions",
    "FieldName": "DivergenceWasFullyGoverned",
    "FieldType": "calculated",
    "Datatype": "boolean",
    "Formula": "=AND({{DivergedFromSpecification}}, {{UngovernedDivergenceCount}} = 0)",
    "InventedForQuestion": "q2-ctl-divergence-that-nobody-governed",
    "SemanticTypeIri": "urn:effortless:pko-extension#RulebookField",
    "Name": "ProcedureExecutions.DivergenceWasFullyGoverned",
    "IsDerived": true,
    "IsWitness": true,
    "DisagreeingSubstrateCount": 0.0,
    "IsSubstrateContested": false
   },
   {
    "RulebookFieldId": "ProcedureExecutions.ComputedlyWitnessedControlCount",
    "TargetTable": "ProcedureExecutions",
    "FieldName": "ComputedlyWitnessedControlCount",
    "FieldType": "aggregation",
    "Datatype": "number",
    "Formula": "=COUNTIFS(RequirementSatisfactions!{{ComputedWitnessExecutionKey}}, {{ProcedureExecutionId}})",
    "InventedForQuestion": "q2-cfo-quality-of-a-green-attestation",
    "SemanticTypeIri": "urn:effortless:pko-extension#RulebookField",
    "Name": "ProcedureExecutions.ComputedlyWitnessedControlCount",
    "IsDerived": true,
    "IsWitness": true,
    "DisagreeingSubstrateCount": 0.0,
    "IsSubstrateContested": false
   },
   {
    "RulebookFieldId": "ProcedureExecutions.EvaluatedControlCount",
    "TargetTable": "ProcedureExecutions",
    "FieldName": "EvaluatedControlCount",
    "FieldType": "calculated",
    "Datatype": "number",
    "Formula": "={{ComputedlyWitnessedControlCount}} + {{AssertedOnlyControlCount}}",
    "InventedForQuestion": "q2-cfo-quality-of-a-green-attestation",
    "SemanticTypeIri": "urn:effortless:pko-extension#RulebookField",
    "Name": "ProcedureExecutions.EvaluatedControlCount",
    "IsDerived": true,
    "IsWitness": true,
    "DisagreeingSubstrateCount": 0.0,
    "IsSubstrateContested": false
   },
   {
    "RulebookFieldId": "ProcedureExecutions.ComputedAssuranceRatio",
    "TargetTable": "ProcedureExecutions",
    "FieldName": "ComputedAssuranceRatio",
    "FieldType": "calculated",
    "Datatype": "number",
    "Formula": "=IF({{EvaluatedControlCount}} = 0, 0, {{ComputedlyWitnessedControlCount}} / {{EvaluatedControlCount}})",
    "InventedForQuestion": "q2-cfo-quality-of-a-green-attestation",
    "SemanticTypeIri": "urn:effortless:pko-extension#RulebookField",
    "Name": "ProcedureExecutions.ComputedAssuranceRatio",
    "IsDerived": true,
    "IsWitness": true,
    "DisagreeingSubstrateCount": 0.0,
    "IsSubstrateContested": false
   },
   {
    "RulebookFieldId": "ProcedureExecutions.InterestedPartyAssertionCount",
    "TargetTable": "ProcedureExecutions",
    "FieldName": "InterestedPartyAssertionCount",
    "FieldType": "aggregation",
    "Datatype": "number",
    "Formula": "=COUNTIFS(RequirementSatisfactions!{{InterestedAssertionExecutionKey}}, {{ProcedureExecutionId}})",
    "InventedForQuestion": "q2-cfo-quality-of-a-green-attestation",
    "SemanticTypeIri": "urn:effortless:pko-extension#RulebookField",
    "Name": "ProcedureExecutions.InterestedPartyAssertionCount",
    "IsDerived": true,
    "IsWitness": true,
    "DisagreeingSubstrateCount": 0.0,
    "IsSubstrateContested": false
   },
   {
    "RulebookFieldId": "ProcedureExecutions.AssuranceGrade",
    "TargetTable": "ProcedureExecutions",
    "FieldName": "AssuranceGrade",
    "FieldType": "calculated",
    "Datatype": "string",
    "Formula": "=IF({{EvaluatedControlCount}} = 0, \"None: no blocking control was evaluated.\", IF({{InterestedPartyAssertionCount}} &gt; 0, \"Weak: at least one control rests on an interested-party assertion.\", IF({{ComputedAssuranceRatio}} &lt; 0.5, \"Thin: most controls rest on human assertion.\", IF({{ComputedAssuranceRatio}} &lt; 1, \"Mixed: computed and asserted controls.\", \"Computed: every evaluated control has a witness.\"))))",
    "InventedForQuestion": "q2-cfo-quality-of-a-green-attestation",
    "SemanticTypeIri": "urn:effortless:pko-extension#RulebookField",
    "Name": "ProcedureExecutions.AssuranceGrade",
    "IsDerived": true,
    "IsWitness": true,
    "DisagreeingSubstrateCount": 0.0,
    "IsSubstrateContested": false
   },
   {
    "RulebookFieldId": "ProcedureExecutions.AttestationWouldBeWeaklyBased",
    "TargetTable": "ProcedureExecutions",
    "FieldName": "AttestationWouldBeWeaklyBased",
    "FieldType": "calculated",
    "Datatype": "boolean",
    "Formula": "=AND({{IsAttestationReady}}, OR({{InterestedPartyAssertionCount}} &gt; 0, {{ComputedAssuranceRatio}} &lt; 0.5))",
    "InventedForQuestion": "q2-cfo-quality-of-a-green-attestation",
    "SemanticTypeIri": "urn:effortless:pko-extension#RulebookField",
    "Name": "ProcedureExecutions.AttestationWouldBeWeaklyBased",
    "IsDerived": true,
    "IsWitness": true,
    "DisagreeingSubstrateCount": 0.0,
    "IsSubstrateContested": false
   },
   {
    "RulebookFieldId": "ProcedureExecutions.IndependentHumanObservationCount",
    "TargetTable": "ProcedureExecutions",
    "FieldName": "IndependentHumanObservationCount",
    "FieldType": "aggregation",
    "Datatype": "number",
    "Formula": "=COUNTIFS(VerificationOutcomes!{{IndependentObservationExecutionKey}}, {{ProcedureExecutionId}})",
    "InventedForQuestion": "q2-cfo-who-witnessed-the-witnesses",
    "SemanticTypeIri": "urn:effortless:pko-extension#RulebookField",
    "Name": "ProcedureExecutions.IndependentHumanObservationCount",
    "IsDerived": true,
    "IsWitness": true,
    "DisagreeingSubstrateCount": 0.0,
    "IsSubstrateContested": false
   },
   {
    "RulebookFieldId": "ProcedureExecutions.HasAnyIndependentObservation",
    "TargetTable": "ProcedureExecutions",
    "FieldName": "HasAnyIndependentObservation",
    "FieldType": "calculated",
    "Datatype": "boolean",
    "Formula": "={{IndependentHumanObservationCount}} &gt; 0",
    "InventedForQuestion": "q2-cfo-who-witnessed-the-witnesses",
    "SemanticTypeIri": "urn:effortless:pko-extension#RulebookField",
    "Name": "ProcedureExecutions.HasAnyIndependentObservation",
    "IsDerived": true,
    "IsWitness": true,
    "DisagreeingSubstrateCount": 0.0,
    "IsSubstrateContested": false
   },
   {
    "RulebookFieldId": "ProcedureExecutions.SelfAttestedApprovalCount",
    "TargetTable": "ProcedureExecutions",
    "FieldName": "SelfAttestedApprovalCount",
    "FieldType": "aggregation",
    "Datatype": "number",
    "Formula": "=COUNTIFS(StepExecutions!{{SelfAttestedApprovalExecutionKey}}, {{ProcedureExecutionId}})",
    "InventedForQuestion": "q2-cfo-who-witnessed-the-witnesses",
    "SemanticTypeIri": "urn:effortless:pko-extension#RulebookField",
    "Name": "ProcedureExecutions.SelfAttestedApprovalCount",
    "IsDerived": true,
    "IsWitness": true,
    "DisagreeingSubstrateCount": 0.0,
    "IsSubstrateContested": false
   },
   {
    "RulebookFieldId": "ProcedureExecutions.AssuranceChainIsCircular",
    "TargetTable": "ProcedureExecutions",
    "FieldName": "AssuranceChainIsCircular",
    "FieldType": "calculated",
    "Datatype": "boolean",
    "Formula": "=AND({{SelfAttestedApprovalCount}} &gt; 0, NOT({{HasAnyIndependentObservation}}))",
    "InventedForQuestion": "q2-cfo-who-witnessed-the-witnesses",
    "SemanticTypeIri": "urn:effortless:pko-extension#RulebookField",
    "Name": "ProcedureExecutions.AssuranceChainIsCircular",
    "IsDerived": true,
    "IsWitness": true,
    "DisagreeingSubstrateCount": 0.0,
    "IsSubstrateContested": false
   },
   {
    "RulebookFieldId": "ProcedureExecutions.LatestAttestationInstant",
    "TargetTable": "ProcedureExecutions",
    "FieldName": "LatestAttestationInstant",
    "FieldType": "aggregation",
    "Datatype": "datetime",
    "Formula": "=MAXIFS(Attestations!{{SignedAt}}, Attestations!{{ProcedureExecution}}, {{ProcedureExecutionId}})",
    "InventedForQuestion": "q2-cfo-what-changed-since-i-signed",
    "SemanticTypeIri": "urn:effortless:pko-extension#RulebookField",
    "Name": "ProcedureExecutions.LatestAttestationInstant",
    "IsDerived": true,
    "IsWitness": true,
    "DisagreeingSubstrateCount": 1.0,
    "IsSubstrateContested": true
   },
   {
    "RulebookFieldId": "ProcedureExecutions.HasBeenAttested",
    "TargetTable": "ProcedureExecutions",
    "FieldName": "HasBeenAttested",
    "FieldType": "calculated",
    "Datatype": "boolean",
    "Formula": "={{AttestationCount}} &gt; 0",
    "InventedForQuestion": "q2-cfo-what-changed-since-i-signed",
    "SemanticTypeIri": "urn:effortless:pko-extension#RulebookField",
    "Name": "ProcedureExecutions.HasBeenAttested",
    "IsDerived": true,
    "IsWitness": true,
    "DisagreeingSubstrateCount": 0.0,
    "IsSubstrateContested": false
   },
   {
    "RulebookFieldId": "ProcedureExecutions.AttestationCount",
    "TargetTable": "ProcedureExecutions",
    "FieldName": "AttestationCount",
    "FieldType": "aggregation",
    "Datatype": "number",
    "Formula": "=COUNTIFS(Attestations!{{ProcedureExecution}}, {{ProcedureExecutionId}})",
    "InventedForQuestion": "q2-cfo-what-changed-since-i-signed",
    "SemanticTypeIri": "urn:effortless:pko-extension#RulebookField",
    "Name": "ProcedureExecutions.AttestationCount",
    "IsDerived": true,
    "IsWitness": true,
    "DisagreeingSubstrateCount": 0.0,
    "IsSubstrateContested": false
   },
   {
    "RulebookFieldId": "ProcedureExecutions.PostAttestationScoreCount",
    "TargetTable": "ProcedureExecutions",
    "FieldName": "PostAttestationScoreCount",
    "FieldType": "aggregation",
    "Datatype": "number",
    "Formula": "=COUNTIFS(RequirementSatisfactions!{{PostAttestationScoreExecutionKey}}, {{ProcedureExecutionId}})",
    "InventedForQuestion": "q2-cfo-what-changed-since-i-signed",
    "SemanticTypeIri": "urn:effortless:pko-extension#RulebookField",
    "Name": "ProcedureExecutions.PostAttestationScoreCount",
    "IsDerived": true,
    "IsWitness": true,
    "DisagreeingSubstrateCount": 1.0,
    "IsSubstrateContested": true
   },
   {
    "RulebookFieldId": "ProcedureExecutions.BasisChangedAfterSignature",
    "TargetTable": "ProcedureExecutions",
    "FieldName": "BasisChangedAfterSignature",
    "FieldType": "calculated",
    "Datatype": "boolean",
    "Formula": "=AND({{HasBeenAttested}}, {{PostAttestationScoreCount}} &gt; 0)",
    "InventedForQuestion": "q2-cfo-what-changed-since-i-signed",
    "SemanticTypeIri": "urn:effortless:pko-extension#RulebookField",
    "Name": "ProcedureExecutions.BasisChangedAfterSignature",
    "IsDerived": true,
    "IsWitness": true,
    "DisagreeingSubstrateCount": 0.0,
    "IsSubstrateContested": false
   },
   {
    "RulebookFieldId": "ProcedureExecutions.RequiresReAttestation",
    "TargetTable": "ProcedureExecutions",
    "FieldName": "RequiresReAttestation",
    "FieldType": "calculated",
    "Datatype": "boolean",
    "Formula": "=AND({{BasisChangedAfterSignature}}, NOT({{IsAttestationReady}}))",
    "InventedForQuestion": "q2-cfo-what-changed-since-i-signed",
    "SemanticTypeIri": "urn:effortless:pko-extension#RulebookField",
    "Name": "ProcedureExecutions.RequiresReAttestation",
    "IsDerived": true,
    "IsWitness": true,
    "DisagreeingSubstrateCount": 0.0,
    "IsSubstrateContested": false
   },
   {
    "RulebookFieldId": "ProcedureExecutions.IntendedRecipientCount",
    "TargetTable": "ProcedureExecutions",
    "FieldName": "IntendedRecipientCount",
    "FieldType": "aggregation",
    "Datatype": "number",
    "Formula": "=COUNTIFS(SendIntents!{{IntentExecutionKey}}, {{ProcedureExecutionId}})",
    "InventedForQuestion": "q2-comms-approval-to-delivery-yield",
    "SemanticTypeIri": "urn:effortless:pko-extension#RulebookField",
    "Name": "ProcedureExecutions.IntendedRecipientCount",
    "IsDerived": true,
    "IsWitness": true,
    "DisagreeingSubstrateCount": 0.0,
    "IsSubstrateContested": false
   },
   {
    "RulebookFieldId": "ProcedureExecutions.ReachedRecipientCount",
    "TargetTable": "ProcedureExecutions",
    "FieldName": "ReachedRecipientCount",
    "FieldType": "aggregation",
    "Datatype": "number",
    "Formula": "=COUNTIFS(SendIntents!{{DeliveredIntentExecutionKey}}, {{ProcedureExecutionId}})",
    "InventedForQuestion": "q2-comms-approval-to-delivery-yield",
    "SemanticTypeIri": "urn:effortless:pko-extension#RulebookField",
    "Name": "ProcedureExecutions.ReachedRecipientCount",
    "IsDerived": true,
    "IsWitness": true,
    "DisagreeingSubstrateCount": 0.0,
    "IsSubstrateContested": false
   },
   {
    "RulebookFieldId": "ProcedureExecutions.SilentlyDroppedCount",
    "TargetTable": "ProcedureExecutions",
    "FieldName": "SilentlyDroppedCount",
    "FieldType": "aggregation",
    "Datatype": "number",
    "Formula": "=COUNTIFS(SendIntents!{{DroppedIntentExecutionKey}}, {{ProcedureExecutionId}})",
    "InventedForQuestion": "q2-comms-approval-to-delivery-yield",
    "SemanticTypeIri": "urn:effortless:pko-extension#RulebookField",
    "Name": "ProcedureExecutions.SilentlyDroppedCount",
    "IsDerived": true,
    "IsWitness": true,
    "DisagreeingSubstrateCount": 0.0,
    "IsSubstrateContested": false
   },
   {
    "RulebookFieldId": "ProcedureExecutions.DeliveryYieldPercent",
    "TargetTable": "ProcedureExecutions",
    "FieldName": "DeliveryYieldPercent",
    "FieldType": "calculated",
    "Datatype": "number",
    "Formula": "=IF({{IntendedRecipientCount}} &gt; 0, {{ReachedRecipientCount}} * 100 / {{IntendedRecipientCount}}, 0)",
    "InventedForQuestion": "q2-comms-approval-to-delivery-yield",
    "SemanticTypeIri": "urn:effortless:pko-extension#RulebookField",
    "Name": "ProcedureExecutions.DeliveryYieldPercent",
    "IsDerived": true,
    "IsWitness": true,
    "DisagreeingSubstrateCount": 0.0,
    "IsSubstrateContested": false
   },
   {
    "RulebookFieldId": "ProcedureExecutions.CampaignSilentlyLostAudience",
    "TargetTable": "ProcedureExecutions",
    "FieldName": "CampaignSilentlyLostAudience",
    "FieldType": "calculated",
    "Datatype": "boolean",
    "Formula": "=({{SilentlyDroppedCount}} &gt; 0)",
    "InventedForQuestion": "q2-comms-approval-to-delivery-yield",
    "SemanticTypeIri": "urn:effortless:pko-extension#RulebookField",
    "Name": "ProcedureExecutions.CampaignSilentlyLostAudience",
    "IsDerived": true,
    "IsWitness": true,
    "DisagreeingSubstrateCount": 0.0,
    "IsSubstrateContested": false
   },
   {
    "RulebookFieldId": "ProcedureExecutions.UnrecordedRefusalCount",
    "TargetTable": "ProcedureExecutions",
    "FieldName": "UnrecordedRefusalCount",
    "FieldType": "aggregation",
    "Datatype": "number",
    "Formula": "=COUNTIFS(SendIntents!{{UnrecordedRefusalExecutionKey}}, {{ProcedureExecutionId}})",
    "InventedForQuestion": "q2-publisher-every-refusal-leaves-a-record",
    "SemanticTypeIri": "urn:effortless:pko-extension#RulebookField",
    "Name": "ProcedureExecutions.UnrecordedRefusalCount",
    "IsDerived": true,
    "IsWitness": true,
    "DisagreeingSubstrateCount": 0.0,
    "IsSubstrateContested": false
   },
   {
    "RulebookFieldId": "ProcedureExecutions.HasUnrecordedRefusals",
    "TargetTable": "ProcedureExecutions",
    "FieldName": "HasUnrecordedRefusals",
    "FieldType": "calculated",
    "Datatype": "boolean",
    "Formula": "=({{UnrecordedRefusalCount}} &gt; 0)",
    "InventedForQuestion": "q2-publisher-every-refusal-leaves-a-record",
    "SemanticTypeIri": "urn:effortless:pko-extension#RulebookField",
    "Name": "ProcedureExecutions.HasUnrecordedRefusals",
    "IsDerived": true,
    "IsWitness": true,
    "DisagreeingSubstrateCount": 0.0,
    "IsSubstrateContested": false
   },
   {
    "RulebookFieldId": "ProcedureExecutions.IndependentlyConfirmedIntentCount",
    "TargetTable": "ProcedureExecutions",
    "FieldName": "IndependentlyConfirmedIntentCount",
    "FieldType": "aggregation",
    "Datatype": "number",
    "Formula": "=COUNTIFS(SendIntents!{{IndependentlyConfirmedExecutionKey}}, {{ProcedureExecutionId}})",
    "InventedForQuestion": "q2-publisher-am-i-the-only-witness",
    "SemanticTypeIri": "urn:effortless:pko-extension#RulebookField",
    "Name": "ProcedureExecutions.IndependentlyConfirmedIntentCount",
    "IsDerived": true,
    "IsWitness": true,
    "DisagreeingSubstrateCount": 0.0,
    "IsSubstrateContested": false
   },
   {
    "RulebookFieldId": "ProcedureExecutions.SendDecisionsAreEntirelySelfWitnessed",
    "TargetTable": "ProcedureExecutions",
    "FieldName": "SendDecisionsAreEntirelySelfWitnessed",
    "FieldTy</t>
  </si>
  <si>
    <t xml:space="preserve">pe": "calculated",
    "Datatype": "boolean",
    "Formula": "=AND({{IntendedRecipientCount}} &gt; 0, {{IndependentlyConfirmedIntentCount}} = 0)",
    "InventedForQuestion": "q2-publisher-am-i-the-only-witness",
    "SemanticTypeIri": "urn:effortless:pko-extension#RulebookField",
    "Name": "ProcedureExecutions.SendDecisionsAreEntirelySelfWitnessed",
    "IsDerived": true,
    "IsWitness": true,
    "DisagreeingSubstrateCount": 0.0,
    "IsSubstrateContested": false
   },
   {
    "RulebookFieldId": "ProcedureExecutions.SemanticTypeIri",
    "TargetTable": "ProcedureExecutions",
    "FieldName": "SemanticTypeIri",
    "FieldType": "raw",
    "Datatype": "string",
    "Formula": null,
    "InventedForQuestion": null,
    "SemanticTypeIri": "urn:effortless:pko-extension#RulebookField",
    "Name": "ProcedureExecutions.SemanticTypeIri",
    "IsDerived": false,
    "IsWitness": false,
    "DisagreeingSubstrateCount": 0.0,
    "IsSubstrateContested": false
   },
   {
    "RulebookFieldId": "StepExecutions.StepExecutionId",
    "TargetTable": "StepExecutions",
    "FieldName": "StepExecutionId",
    "FieldType": "raw",
    "Datatype": "string",
    "Formula": null,
    "InventedForQuestion": null,
    "SemanticTypeIri": "urn:effortless:pko-extension#RulebookField",
    "Name": "StepExecutions.StepExecutionId",
    "IsDerived": false,
    "IsWitness": false,
    "DisagreeingSubstrateCount": 0.0,
    "IsSubstrateContested": false
   },
   {
    "RulebookFieldId": "StepExecutions.Name",
    "TargetTable": "StepExecutions",
    "FieldName": "Name",
    "FieldType": "calculated",
    "Datatype": "string",
    "Formula": "={{ProcedureExecution}} &amp; \" / \" &amp; {{Step}}",
    "InventedForQuestion": null,
    "SemanticTypeIri": "urn:effortless:pko-extension#RulebookField",
    "Name": "StepExecutions.Name",
    "IsDerived": true,
    "IsWitness": false,
    "DisagreeingSubstrateCount": 0.0,
    "IsSubstrateContested": false
   },
   {
    "RulebookFieldId": "StepExecutions.ProcedureExecution",
    "TargetTable": "StepExecutions",
    "FieldName": "ProcedureExecution",
    "FieldType": "relationship",
    "Datatype": "string",
    "Formula": null,
    "InventedForQuestion": null,
    "SemanticTypeIri": "urn:effortless:pko-extension#RulebookField",
    "Name": "StepExecutions.ProcedureExecution",
    "IsDerived": false,
    "IsWitness": false,
    "DisagreeingSubstrateCount": 0.0,
    "IsSubstrateContested": false
   },
   {
    "RulebookFieldId": "StepExecutions.Step",
    "TargetTable": "StepExecutions",
    "FieldName": "Step",
    "FieldType": "relationship",
    "Datatype": "string",
    "Formula": null,
    "InventedForQuestion": null,
    "SemanticTypeIri": "urn:effortless:pko-extension#RulebookField",
    "Name": "StepExecutions.Step",
    "IsDerived": false,
    "IsWitness": false,
    "DisagreeingSubstrateCount": 0.0,
    "IsSubstrateContested": false
   },
   {
    "RulebookFieldId": "StepExecutions.ExecutedByAgent",
    "TargetTable": "StepExecutions",
    "FieldName": "ExecutedByAgent",
    "FieldType": "relationship",
    "Datatype": "string",
    "Formula": null,
    "InventedForQuestion": null,
    "SemanticTypeIri": "urn:effortless:pko-extension#RulebookField",
    "Name": "StepExecutions.ExecutedByAgent",
    "IsDerived": false,
    "IsWitness": false,
    "DisagreeingSubstrateCount": 0.0,
    "IsSubstrateContested": false
   },
   {
    "RulebookFieldId": "StepExecutions.ExecutionStatus",
    "TargetTable": "StepExecutions",
    "FieldName": "ExecutionStatus",
    "FieldType": "raw",
    "Datatype": "string",
    "Formula": null,
    "InventedForQuestion": null,
    "SemanticTypeIri": "urn:effortless:pko-extension#RulebookField",
    "Name": "StepExecutions.ExecutionStatus",
    "IsDerived": false,
    "IsWitness": false,
    "DisagreeingSubstrateCount": 0.0,
    "IsSubstrateContested": false
   },
   {
    "RulebookFieldId": "StepExecutions.StartedAt",
    "TargetTable": "StepExecutions",
    "FieldName": "StartedAt",
    "FieldType": "raw",
    "Datatype": "datetime",
    "Formula": null,
    "InventedForQuestion": null,
    "SemanticTypeIri": "urn:effortless:pko-extension#RulebookField",
    "Name": "StepExecutions.StartedAt",
    "IsDerived": false,
    "IsWitness": false,
    "DisagreeingSubstrateCount": 0.0,
    "IsSubstrateContested": false
   },
   {
    "RulebookFieldId": "StepExecutions.EndedAt",
    "TargetTable": "StepExecutions",
    "FieldName": "EndedAt",
    "FieldType": "raw",
    "Datatype": "datetime",
    "Formula": null,
    "InventedForQuestion": null,
    "SemanticTypeIri": "urn:effortless:pko-extension#RulebookField",
    "Name": "StepExecutions.EndedAt",
    "IsDerived": false,
    "IsWitness": false,
    "DisagreeingSubstrateCount": 0.0,
    "IsSubstrateContested": false
   },
   {
    "RulebookFieldId": "StepExecutions.VerificationResult",
    "TargetTable": "StepExecutions",
    "FieldName": "VerificationResult",
    "FieldType": "raw",
    "Datatype": "string",
    "Formula": null,
    "InventedForQuestion": null,
    "SemanticTypeIri": "urn:effortless:pko-extension#RulebookField",
    "Name": "StepExecutions.VerificationResult",
    "IsDerived": false,
    "IsWitness": false,
    "DisagreeingSubstrateCount": 0.0,
    "IsSubstrateContested": false
   },
   {
    "RulebookFieldId": "StepExecutions.Deviation",
    "TargetTable": "StepExecutions",
    "FieldName": "Deviation",
    "FieldType": "raw",
    "Datatype": "string",
    "Formula": null,
    "InventedForQuestion": null,
    "SemanticTypeIri": "urn:effortless:pko-extension#RulebookField",
    "Name": "StepExecutions.Deviation",
    "IsDerived": false,
    "IsWitness": false,
    "DisagreeingSubstrateCount": 0.0,
    "IsSubstrateContested": false
   },
   {
    "RulebookFieldId": "StepExecutions.ActualDurationMinutes",
    "TargetTable": "StepExecutions",
    "FieldName": "ActualDurationMinutes",
    "FieldType": "calculated",
    "Datatype": "integer",
    "Formula": "=IF({{EndedAt}} = \"\", 0, DATETIME_DIFF({{EndedAt}}, {{StartedAt}}, \"minutes\"))",
    "InventedForQuestion": null,
    "SemanticTypeIri": "urn:effortless:pko-extension#RulebookField",
    "Name": "StepExecutions.ActualDurationMinutes",
    "IsDerived": true,
    "IsWitness": false,
    "DisagreeingSubstrateCount": 0.0,
    "IsSubstrateContested": false
   },
   {
    "RulebookFieldId": "StepExecutions.ExpectedDurationMinutes",
    "TargetTable": "StepExecutions",
    "FieldName": "ExpectedDurationMinutes",
    "FieldType": "lookup",
    "Datatype": "integer",
    "Formula": "=INDEX(Steps!{{ExpectedDurationMinutes}}, MATCH({{Step}}, Steps!{{StepId}}, 0))",
    "InventedForQuestion": null,
    "SemanticTypeIri": "urn:effortless:pko-extension#RulebookField",
    "Name": "StepExecutions.ExpectedDurationMinutes",
    "IsDerived": true,
    "IsWitness": false,
    "DisagreeingSubstrateCount": 0.0,
    "IsSubstrateContested": false
   },
   {
    "RulebookFieldId": "StepExecutions.IsLate",
    "TargetTable": "StepExecutions",
    "FieldName": "IsLate",
    "FieldType": "calculated",
    "Datatype": "boolean",
    "Formula": "={{ActualDurationMinutes}} &gt; {{ExpectedDurationMinutes}}",
    "InventedForQuestion": null,
    "SemanticTypeIri": "urn:effortless:pko-extension#RulebookField",
    "Name": "StepExecutions.IsLate",
    "IsDerived": true,
    "IsWitness": false,
    "DisagreeingSubstrateCount": 0.0,
    "IsSubstrateContested": false
   },
   {
    "RulebookFieldId": "StepExecutions.BlockingUnmetCount",
    "TargetTable": "StepExecutions",
    "FieldName": "BlockingUnmetCount",
    "FieldType": "aggregation",
    "Datatype": "number",
    "Formula": "=COUNTIFS(RequirementSatisfactions!{{StepExecution}}, {{StepExecutionId}}, RequirementSatisfactions!{{IsBlockingAndUnmet}}, TRUE)",
    "InventedForQuestion": "q-analyst-blocking-unmet-on-my-step",
    "SemanticTypeIri": "urn:effortless:pko-extension#RulebookField",
    "Name": "StepExecutions.BlockingUnmetCount",
    "IsDerived": true,
    "IsWitness": true,
    "DisagreeingSubstrateCount": 0.0,
    "IsSubstrateContested": false
   },
   {
    "RulebookFieldId": "StepExecutions.BlockingUnmetCountSafe",
    "TargetTable": "StepExecutions",
    "FieldName": "BlockingUnmetCountSafe",
    "FieldType": "aggregation",
    "Datatype": "number",
    "Formula": "=COUNTIFS(RequirementSatisfactions!{{BlockingUnmetStepKey}}, {{StepExecutionId}})",
    "InventedForQuestion": "q-analyst-blocking-unmet-on-my-step",
    "SemanticTypeIri": "urn:effortless:pko-extension#RulebookField",
    "Name": "StepExecutions.BlockingUnmetCountSafe",
    "IsDerived": true,
    "IsWitness": true,
    "DisagreeingSubstrateCount": 0.0,
    "IsSubstrateContested": false
   },
   {
    "RulebookFieldId": "StepExecutions.ProceededPastBlockingControl",
    "TargetTable": "StepExecutions",
    "FieldName": "ProceededPastBlockingControl",
    "FieldType": "calculated",
    "Datatype": "boolean",
    "Formula": "=AND({{ExecutionStatus}} = \"Completed\", {{BlockingUnmetCountSafe}} &gt; 0)",
    "InventedForQuestion": "q-analyst-blocking-unmet-on-my-step",
    "SemanticTypeIri": "urn:effortless:pko-extension#RulebookField",
    "Name": "StepExecutions.ProceededPastBlockingControl",
    "IsDerived": true,
    "IsWitness": true,
    "DisagreeingSubstrateCount": 0.0,
    "IsSubstrateContested": false
   },
   {
    "RulebookFieldId": "StepExecutions.ExpectedBlockingCount",
    "TargetTable": "StepExecutions",
    "FieldName": "ExpectedBlockingCount",
    "FieldType": "lookup",
    "Datatype": "number",
    "Formula": "=INDEX(Steps!{{BlockingRequirementCount}}, MATCH({{Step}}, Steps!{{StepId}}, 0))",
    "InventedForQuestion": "q-analyst-blocking-never-evaluated",
    "SemanticTypeIri": "urn:effortless:pko-extension#RulebookField",
    "Name": "StepExecutions.ExpectedBlockingCount",
    "IsDerived": true,
    "IsWitness": true,
    "DisagreeingSubstrateCount": 0.0,
    "IsSubstrateContested": false
   },
   {
    "RulebookFieldId": "StepExecutions.EvaluatedBlockingCount",
    "TargetTable": "StepExecutions",
    "FieldName": "EvaluatedBlockingCount",
    "FieldType": "aggregation",
    "Datatype": "number",
    "Formula": "=COUNTIFS(RequirementSatisfactions!{{BlockingSatisfactionStepKey}}, {{StepExecutionId}})",
    "InventedForQuestion": "q-analyst-blocking-never-evaluated",
    "SemanticTypeIri": "urn:effortless:pko-extension#RulebookField",
    "Name": "StepExecutions.EvaluatedBlockingCount",
    "IsDerived": true,
    "IsWitness": true,
    "DisagreeingSubstrateCount": 0.0,
    "IsSubstrateContested": false
   },
   {
    "RulebookFieldId": "StepExecutions.UnevaluatedBlockingCount",
    "TargetTable": "StepExecutions",
    "FieldName": "UnevaluatedBlockingCount",
    "FieldType": "calculated",
    "Datatype": "number",
    "Formula": "={{ExpectedBlockingCount}} - {{EvaluatedBlockingCount}}",
    "InventedForQuestion": "q-analyst-blocking-never-evaluated",
    "SemanticTypeIri": "urn:effortless:pko-extension#RulebookField",
    "Name": "StepExecutions.UnevaluatedBlockingCount",
    "IsDerived": true,
    "IsWitness": true,
    "DisagreeingSubstrateCount": 0.0,
    "IsSubstrateContested": false
   },
   {
    "RulebookFieldId": "StepExecutions.HasUnevaluatedBlockingControl",
    "TargetTable": "StepExecutions",
    "FieldName": "HasUnevaluatedBlockingControl",
    "FieldType": "calculated",
    "Datatype": "boolean",
    "Formula": "={{UnevaluatedBlockingCount}} &gt; 0",
    "InventedForQuestion": "q-analyst-blocking-never-evaluated",
    "SemanticTypeIri": "urn:effortless:pko-extension#RulebookField",
    "Name": "StepExecutions.HasUnevaluatedBlockingControl",
    "IsDerived": true,
    "IsWitness": true,
    "DisagreeingSubstrateCount": 0.0,
    "IsSubstrateContested": false
   },
   {
    "RulebookFieldId": "StepExecutions.StaleAuthoritativeSourceCount",
    "TargetTable": "StepExecutions",
    "FieldName": "StaleAuthoritativeSourceCount",
    "FieldType": "lookup",
    "Datatype": "number",
    "Formula": "=INDEX(Steps!{{AuthoritativeStaleCount}}, MATCH({{Step}}, Steps!{{StepId}}, 0))",
    "InventedForQuestion": "q-analyst-evidence-binding-stale",
    "SemanticTypeIri": "urn:effortless:pko-extension#RulebookField",
    "Name": "StepExecutions.StaleAuthoritativeSourceCount",
    "IsDerived": true,
    "IsWitness": true,
    "DisagreeingSubstrateCount": 0.0,
    "IsSubstrateContested": false
   },
   {
    "RulebookFieldId": "StepExecutions.RanOnStaleAuthoritativeSource",
    "TargetTable": "StepExecutions",
    "FieldName": "RanOnStaleAuthoritativeSource",
    "FieldType": "calculated",
    "Datatype": "boolean",
    "Formula": "={{StaleAuthoritativeSourceCount}} &gt; 0",
    "InventedForQuestion": "q-analyst-evidence-binding-stale",
    "SemanticTypeIri": "urn:effortless:pko-extension#RulebookField",
    "Name": "StepExecutions.RanOnStaleAuthoritativeSource",
    "IsDerived": true,
    "IsWitness": true,
    "DisagreeingSubstrateCount": 0.0,
    "IsSubstrateContested": false
   },
   {
    "RulebookFieldId": "StepExecutions.HasDeviationNote",
    "TargetTable": "StepExecutions",
    "FieldName": "HasDeviationNote",
    "FieldType": "calculated",
    "Datatype": "boolean",
    "Formula": "={{Deviation}} &lt;&gt; \"\"",
    "InventedForQuestion": "q-analyst-my-late-steps-unexplained",
    "SemanticTypeIri": "urn:effortless:pko-extension#RulebookField",
    "Name": "StepExecutions.HasDeviationNote",
    "IsDerived": true,
    "IsWitness": true,
    "DisagreeingSubstrateCount": 0.0,
    "IsSubstrateContested": false
   },
   {
    "RulebookFieldId": "StepExecutions.IsLateAndUnexplained",
    "TargetTable": "StepExecutions",
    "FieldName": "IsLateAndUnexplained",
    "FieldType": "calculated",
    "Datatype": "boolean",
    "Formula": "=AND({{IsLate}}, NOT({{HasDeviationNote}}))",
    "InventedForQuestion": "q-analyst-my-late-steps-unexplained",
    "SemanticTypeIri": "urn:effortless:pko-extension#RulebookField",
    "Name": "StepExecutions.IsLateAndUnexplained",
    "IsDerived": true,
    "IsWitness": true,
    "DisagreeingSubstrateCount": 0.0,
    "IsSubstrateContested": false
   },
   {
    "RulebookFieldId": "StepExecutions.AvailableExceptionCountForStep",
    "TargetTable": "StepExecutions",
    "FieldName": "AvailableExceptionCountForStep",
    "FieldType": "lookup",
    "Datatype": "number",
    "Formula": "=INDEX(Steps!{{AvailableExceptionCount}}, MATCH({{Step}}, Steps!{{StepId}}, 0))",
    "InventedForQuestion": "q-analyst-my-late-steps-unexplained",
    "SemanticTypeIri": "urn:effortless:pko-extension#RulebookField",
    "Name": "StepExecutions.AvailableExceptionCountForStep",
    "IsDerived": true,
    "IsWitness": true,
    "DisagreeingSubstrateCount": 0.0,
    "IsSubstrateContested": false
   },
   {
    "RulebookFieldId": "StepExecutions.HadUninvokedExceptionAvailable",
    "TargetTable": "StepExecutions",
    "FieldName": "HadUninvokedExceptionAvailable",
    "FieldType": "calculated",
    "Datatype": "boolean",
    "Formula": "=AND({{IsLateAndUnexplained}}, {{AvailableExceptionCountForStep}} &gt; 0)",
    "InventedForQuestion": "q-analyst-my-late-steps-unexplained",
    "SemanticTypeIri": "urn:effortless:pko-extension#RulebookField",
    "Name": "StepExecutions.HadUninvokedExceptionAvailable",
    "IsDerived": true,
    "IsWitness": true,
    "DisagreeingSubstrateCount": 0.0,
    "IsSubstrateContested": false
   },
   {
    "RulebookFieldId": "StepExecutions.ExpectedVerificationCount",
    "TargetTable": "StepExecutions",
    "FieldName": "ExpectedVerificationCount",
    "FieldType": "lookup",
    "Datatype": "number",
    "Formula": "=INDEX(Steps!{{DeclaredVerificationCount}}, MATCH({{Step}}, Steps!{{StepId}}, 0))",
    "InventedForQuestion": "q-analyst-verification-declared-never-performed",
    "SemanticTypeIri": "urn:effortless:pko-extension#RulebookField",
    "Name": "StepExecutions.ExpectedVerificationCount",
    "IsDerived": true,
    "IsWitness": true,
    "DisagreeingSubstrateCount": 0.0,
    "IsSubstrateContested": false
   },
   {
    "RulebookFieldId": "StepExecutions.PerformedVerificationCount",
    "TargetTable": "StepExecutions",
    "FieldName": "PerformedVerificationCount",
    "FieldType": "aggregation",
    "Datatype": "number",
    "Formula": "=COUNTIFS(VerificationOutcomes!{{StepExecution}}, {{StepExecutionId}})",
    "InventedForQuestion": "q-analyst-verification-declared-never-performed",
    "SemanticTypeIri": "urn:effortless:pko-extension#RulebookField",
    "Name": "StepExecutions.PerformedVerificationCount",
    "IsDerived": true,
    "IsWitness": true,
    "DisagreeingSubstrateCount": 0.0,
    "IsSubstrateContested": false
   },
   {
    "RulebookFieldId": "StepExecutions.SkippedVerificationCount",
    "TargetTable": "StepExecutions",
    "FieldName": "SkippedVerificationCount",
    "FieldType": "calculated",
    "Datatype": "number",
    "Formula": "={{ExpectedVerificationCount}} - {{PerformedVerificationCount}}",
    "InventedForQuestion": "q-analyst-verification-declared-never-performed",
    "SemanticTypeIri": "urn:effortless:pko-extension#RulebookField",
    "Name": "StepExecutions.SkippedVerificationCount",
    "IsDerived": true,
    "IsWitness": true,
    "DisagreeingSubstrateCount": 0.0,
    "IsSubstrateContested": false
   },
   {
    "RulebookFieldId": "StepExecutions.HasSkippedVerification",
    "TargetTable": "StepExecutions",
    "FieldName": "HasSkippedVerification",
    "FieldType": "calculated",
    "Datatype": "boolean",
    "Formula": "={{SkippedVerificationCount}} &gt; 0",
    "InventedForQuestion": "q-analyst-verification-declared-never-performed",
    "SemanticTypeIri": "urn:effortless:pko-extension#RulebookField",
    "Name": "StepExecutions.HasSkippedVerification",
    "IsDerived": true,
    "IsWitness": true,
    "DisagreeingSubstrateCount": 0.0,
    "IsSubstrateContested": false
   },
   {
    "RulebookFieldId": "StepExecutions.ClaimsPassWithoutEvidence",
    "TargetTable": "StepExecutions",
    "FieldName": "ClaimsPassWithoutEvidence",
    "FieldType": "calculated",
    "Datatype": "boolean",
    "Formula": "=AND({{VerificationResult}} = \"PASS\", {{HasSkippedVerification}})",
    "InventedForQuestion": "q-analyst-verification-declared-never-performed",
    "SemanticTypeIri": "urn:effortless:pko-extension#RulebookField",
    "Name": "StepExecutions.ClaimsPassWithoutEvidence",
    "IsDerived": true,
    "IsWitness": true,
    "DisagreeingSubstrateCount": 0.0,
    "IsSubstrateContested": false
   },
   {
    "RulebookFieldId": "StepExecutions.StepIsPreparation",
    "TargetTable": "StepExecutions",
    "FieldName": "StepIsPreparation",
    "FieldType": "lookup",
    "Datatype": "boolean",
    "Formula": "=INDEX(Steps!{{IsPreparationStep}}, MATCH({{Step}}, Steps!{{StepId}}, 0))",
    "InventedForQuestion": "q-controller-separation-of-duties",
    "SemanticTypeIri": "urn:effortless:pko-extension#RulebookField",
    "Name": "StepExecutions.StepIsPreparation",
    "IsDerived": true,
    "IsWitness": true,
    "DisagreeingSubstrateCount": 0.0,
    "IsSubstrateContested": false
   },
   {
    "RulebookFieldId": "StepExecutions.StepIsApproval",
    "TargetTable": "StepExecutions",
    "FieldName": "StepIsApproval",
    "FieldType": "lookup",
    "Datatype": "boolean",
    "Formula": "=INDEX(Steps!{{IsApprovalStep}}, MATCH({{Step}}, Steps!{{StepId}}, 0))",
    "InventedForQuestion": "q-controller-separation-of-duties",
    "SemanticTypeIri": "urn:effortless:pko-extension#RulebookField",
    "Name": "StepExecutions.StepIsApproval",
    "IsDerived": true,
    "IsWitness": true,
    "DisagreeingSubstrateCount": 0.0,
    "IsSubstrateContested": false
   },
   {
    "RulebookFieldId": "StepExecutions.PreparerAgentKey",
    "TargetTable": "StepExecutions",
    "FieldName": "PreparerAgentKey",
    "FieldType": "calculated",
    "Datatype": "string",
    "Formula": "=IF({{StepIsPreparation}}, {{ProcedureExecution}} &amp; \"|\" &amp; {{ExecutedByAgent}}, \"\")",
    "InventedForQuestion": "q-controller-separation-of-duties",
    "SemanticTypeIri": "urn:effortless:pko-extension#RulebookField",
    "Name": "StepExecutions.PreparerAgentKey",
    "IsDerived": true,
    "IsWitness": true,
    "DisagreeingSubstrateCount": 0.0,
    "IsSubstrateContested": false
   },
   {
    "RulebookFieldId": "StepExecutions.ApproverAgentKey",
    "TargetTable": "StepExecutions",
    "FieldName": "ApproverAgentKey",
    "FieldType": "calculated",
    "Datatype": "string",
    "Formula": "=IF({{StepIsApproval}}, {{ProcedureExecution}} &amp; \"|\" &amp; {{ExecutedByAgent}}, \"\")",
    "InventedForQuestion": "q-controller-separation-of-duties",
    "SemanticTypeIri": "urn:effortless:pko-extension#RulebookField",
    "Name": "StepExecutions.ApproverAgentKey",
    "IsDerived": true,
    "IsWitness": true,
    "DisagreeingSubstrateCount": 0.0,
    "IsSubstrateContested": false
   },
   {
    "RulebookFieldId": "StepExecutions.PreparedByThisAgentCount",
    "TargetTable": "StepExecutions",
    "FieldName": "PreparedByThisAgentCount",
    "FieldType": "aggregation",
    "Datatype": "number",
    "Formula": "=COUNTIFS(StepExecutions!{{PreparerAgentKey}}, {{ApproverAgentKey}})",
    "InventedForQuestion": "q-controller-separation-of-duties",
    "SemanticTypeIri": "urn:effortless:pko-extension#RulebookField",
    "Name": "StepExecutions.PreparedByThisAgentCount",
    "IsDerived": true,
    "IsWitness": true,
    "DisagreeingSubstrateCount": 0.0,
    "IsSubstrateContested": false
   },
   {
    "RulebookFieldId": "StepExecutions.ViolatesSeparationOfDuties",
    "TargetTable": "StepExecutions",
    "FieldName": "ViolatesSeparationOfDuties",
    "FieldType": "calculated",
    "Datatype": "boolean",
    "Formula": "=AND({{StepIsApproval}}, {{PreparedByThisAgentCount}} &gt; 0)",
    "InventedForQuestion": "q-controller-separation-of-duties",
    "SemanticTypeIri": "urn:effortless:pko-extension#RulebookField",
    "Name": "StepExecutions.ViolatesSeparationOfDuties",
    "IsDerived": true,
    "IsWitness": true,
    "DisagreeingSubstrateCount": 0.0,
    "IsSubstrateContested": false
   },
   {
    "RulebookFieldId": "StepExecutions.RequiredRoleForStep",
    "TargetTable": "StepExecutions",
    "FieldName": "RequiredRoleForStep",
    "FieldType": "lookup",
    "Datatype": "string",
    "Formula": "=INDEX(Steps!{{AssignedRole}}, MATCH({{Step}}, Steps!{{StepId}}, 0))",
    "InventedForQuestion": "q-controller-approval-authority-valid",
    "SemanticTypeIri": "urn:effortless:pko-extension#RulebookField",
    "Name": "StepExecutions.RequiredRoleForStep",
    "IsDerived": true,
    "IsWitness": true,
    "DisagreeingSubstrateCount": 0.0,
    "IsSubstrateContested": false
   },
   {
    "RulebookFieldId": "StepExecutions.ExecutorRoleKey",
    "TargetTable": "StepExecutions",
    "FieldName": "ExecutorRoleKey",
    "FieldType": "calculated",
    "Datatype": "string",
    "Formula": "={{ExecutedByAgent}} &amp; \"|\" &amp; {{RequiredRoleForStep}}",
    "InventedForQuestion": "q-controller-approval-authority-valid",
    "SemanticTypeIri": "urn:effortless:pko-extension#RulebookField",
    "Name": "StepExecutions.ExecutorRoleKey",
    "IsDerived": true,
    "IsWitness": true,
    "DisagreeingSubstrateCount": 0.0,
    "IsSubstrateContested": false
   },
   {
    "RulebookFieldId": "StepExecutions.ExecutorAuthorityCount",
    "TargetTable": "StepExecutions",
    "FieldName": "ExecutorAuthorityCount",
    "FieldType": "aggregation",
    "Datatype": "number",
    "Formula": "=COUNTIFS(RoleAssignments!{{AgentRoleKey}}, {{ExecutorRoleKey}})",
    "InventedForQuestion": "q-controller-approval-authority-valid",
    "SemanticTypeIri": "urn:effortless:pko-extension#RulebookField",
    "Name": "StepExecutions.ExecutorAuthorityCount",
    "IsDerived": true,
    "IsWitness": true,
    "DisagreeingSubstrateCount": 0.0,
    "IsSubstrateContested": false
   },
   {
    "RulebookFieldId": "StepExecutions.ExecutorHeldRequiredRole",
    "TargetTable": "StepExecutions",
    "FieldName": "ExecutorHeldRequiredRole",
    "FieldType": "calculated",
    "Datatype": "boolean",
    "Formula": "={{ExecutorAuthorityCount}} &gt; 0",
    "InventedForQuestion": "q-controller-approval-authority-valid",
    "SemanticTypeIri": "urn:effortless:pko-extension#RulebookField",
    "Name": "StepExecutions.ExecutorHeldRequiredRole",
    "IsDerived": true,
    "IsWitness": true,
    "DisagreeingSubstrateCount": 0.0,
    "IsSubstrateContested": false
   },
   {
    "RulebookFieldId": "StepExecutions.IsUnauthorizedApproval",
    "TargetTable": "StepExecutions",
    "FieldName": "IsUnauthorizedApproval",
    "FieldType": "calculated",
    "Datatype": "boolean",
    "Formula": "=AND({{StepIsApproval}}, NOT({{ExecutorHeldRequiredRole}}))",
    "InventedForQuestion": "q-controller-approval-authority-valid",
    "SemanticTypeIri": "urn:effortless:pko-extension#RulebookField",
    "Name": "StepExecutions.IsUnauthorizedApproval",
    "IsDerived": true,
    "IsWitness": true,
    "DisagreeingSubstrateCount": 0.0,
    "IsSubstrateContested": false
   },
   {
    "RulebookFieldId": "StepExecutions.CompletedExecutionKey",
    "TargetTable": "StepExecutions",
    "FieldName": "CompletedExecutionKey",
    "FieldType": "calculated",
    "Datatype": "string",
    "Formula": "=IF({{ExecutionStatus}} = \"Completed\", {{ProcedureExecution}}, \"\")",
    "InventedForQuestion": "q-controller-execution-diverged-from-spec",
    "SemanticTypeIri": "urn:effortless:pko-extension#RulebookField",
    "Name": "StepExecutions.CompletedExecutionKey",
    "IsDerived": true,
    "IsWitness": true,
    "DisagreeingSubstrateCount": 0.0,
    "IsSubstrateContested": false
   },
   {
    "RulebookFieldId": "StepExecutions.ControlBreachExecutionKey",
    "TargetTable": "StepExecutions",
    "FieldName": "ControlBreachExecutionKey",
    "FieldType": "calculated",
    "Datatype": "string",
    "Formula": "=IF(OR({{ProceededPastBlockingControl}}, {{ViolatesSeparationOfDuties}}, {{IsUnauthorizedApproval}}, {{ClaimsPassWithoutEvidence}}), {{ProcedureExecution}}, \"\")",
    "InventedForQuestion": "q-controller-execution-diverged-from-spec",
    "SemanticTypeIri": "urn:effortless:pko-extension#RulebookField",
    "Name": "StepExecutions.ControlBreachExecutionKey",
    "IsDerived": true,
    "IsWitness": true,
    "DisagreeingSubstrateCount": 0.0,
    "IsSubstrateContested": false
   },
   {
    "RulebookFieldId": "StepExecutions.LateExecutionKey",
    "TargetTable": "StepExecutions",
    "FieldName": "LateExecutionKey",
    "FieldType": "calculated",
    "Datatype": "string",
    "Formula": "=IF({{IsLate}}, {{ProcedureExecution}}, \"\")",
    "InventedForQuestion": "q-controller-execution-diverged-from-spec",
    "SemanticTypeIri": "urn:effortless:pko-extension#RulebookField",
    "Name": "StepExecutions.LateExecutionKey",
    "IsDerived": true,
    "IsWitness": true,
    "DisagreeingSubstrateCount": 0.0,
    "IsSubstrateContested": false
   },
   {
    "RulebookFieldId": "StepExecutions.ExecutorAgentKind",
    "TargetTable": "StepExecutions",
    "FieldName": "ExecutorAgentKind",
    "FieldType": "lookup",
    "Datatype": "string",
    "Formula": "=INDEX(Agents!{{AgentKind}}, MATCH({{ExecutedByAgent}}, Agents!{{AgentId}}, 0))",
    "InventedForQuestion": "q-controller-ai-agent-approved-meaning",
    "SemanticTypeIri": "urn:effortless:pko-extension#RulebookField",
    "Name": "StepExecutions.ExecutorAgentKind",
    "IsDerived": true,
    "IsWitness": true,
    "DisagreeingSubstrateCount": 0.0,
    "IsSubstrateContested": false
   },
   {
    "RulebookFieldId": "StepExecutions.ExecutorIsHuman",
    "TargetTable": "StepExecutions",
    "FieldName": "ExecutorIsHuman",
    "FieldType": "calculated",
    "Datatype": "boolean",
    "Formula": "={{ExecutorAgentKind}} = \"Human\"",
    "InventedForQuestion": "q-controller-ai-agent-approved-meaning",
    "SemanticTypeIri": "urn:effortless:pko-extension#RulebookField",
    "Name": "StepExecutions.ExecutorIsHuman",
    "IsDerived": true,
    "IsWitness": true,
    "DisagreeingSubstrateCount": 0.0,
    "IsSubstrateContested": false
   },
   {
    "RulebookFieldId": "StepExecutions.StepRequiresHumanConfirmation",
    "TargetTable": "StepExecutions",
    "FieldName": "StepRequiresHumanConfirmation",
    "FieldType": "lookup",
    "Datatype": "boolean",
    "Formula": "=INDEX(Steps!{{RequiresHumanConfirmation}}, MATCH({{Step}}, Steps!{{StepId}}, 0))",
    "InventedForQuestion": "q-controller-ai-agent-approved-meaning",
    "SemanticTypeIri": "urn:effortless:pko-extension#RulebookField",
    "Name": "StepExecutions.StepRequiresHumanConfirmation",
    "IsDerived": true,
    "IsWitness": true,
    "DisagreeingSubstrateCount": 0.0,
    "IsSubstrateContested": false
   },
   {
    "RulebookFieldId": "StepExecutions.NonHumanRanHumanStep",
    "TargetTable": "StepExecutions",
    "FieldName": "NonHumanRanHumanStep",
    "FieldType": "calculated",
    "Datatype": "boolean",
    "Formula": "=AND({{StepRequiresHumanConfirmation}}, NOT({{ExecutorIsHuman}}))",
    "InventedForQuestion": "q-controller-ai-agent-approved-meaning",
    "SemanticTypeIri": "urn:effortless:pko-extension#RulebookField",
    "Name": "StepExecutions.NonHumanRanHumanStep",
    "IsDerived": true,
    "IsWitness": true,
    "DisagreeingSubstrateCount": 0.0,
    "IsSubstrateContested": false
   },
   {
    "RulebookFieldId": "StepExecutions.NonHumanApproval",
    "TargetTable": "StepExecutions",
    "FieldName": "NonHumanApproval",
    "FieldType": "calculated",
    "Datatype": "boolean",
    "Formula": "=AND({{StepIsApproval}}, NOT({{ExecutorIsHuman}}))",
    "InventedForQuestion": "q-controller-ai-agent-approved-meaning",
    "SemanticTypeIri": "urn:effortless:pko-extension#RulebookField",
    "Name": "StepExecutions.NonHumanApproval",
    "IsDerived": true,
    "IsWitness": true,
    "DisagreeingSubstrateCount": 0.0,
    "IsSubstrateContested": false
   },
   {
    "RulebookFieldId": "StepExecutions.UnevaluatedBlockingExecutionKey",
    "TargetTable": "StepExecutions",
    "FieldName": "UnevaluatedBlockingExecutionKey",
    "FieldType": "calculated",
    "Datatype": "string",
    "Formula": "=IF({{HasUnevaluatedBlockingControl}}, {{ProcedureExecution}}, \"\")",
    "InventedForQuestion": "q-cfo-can-i-sign",
    "SemanticTypeIri": "urn:effortless:pko-extension#RulebookField",
    "Name": "StepExecutions.UnevaluatedBlockingExecutionKey",
    "IsDerived": true,
    "IsWitness": true,
    "DisagreeingSubstrateCount": 0.0,
    "IsSubstrateContested": false
   },
   {
    "RulebookFieldId": "StepExecutions.SeparationViolationExecutionKey",
    "TargetTable": "StepExecutions",
    "FieldName": "SeparationViolationExecutionKey",
    "FieldType": "calculated",
    "Datatype": "string",
    "Formula": "=IF({{ViolatesSeparationOfDuties}}, {{ProcedureExecution}}, \"\")",
    "InventedForQuestion": "q-cfo-can-i-sign",
    "SemanticTypeIri": "urn:effortless:pko-extension#RulebookField",
    "Name": "StepExecutions.SeparationViolationExecutionKey",
    "IsDerived": true,
    "IsWitness": true,
    "DisagreeingSubstrateCount": 0.0,
    "IsSubstrateContested": false
   },
   {
    "RulebookFieldId": "StepExecutions.SelfWitnessedVerificationCount",
    "TargetTable": "StepExecutions",
    "FieldName": "SelfWitnessedVerificationCount",
    "FieldType": "aggregation",
    "Datatype": "number",
    "Formula": "=COUNTIFS(VerificationOutcomes!{{SelfWitnessedStepKey}}, {{StepExecutionId}})",
    "InventedForQuestion": "q-cfo-approval-was-actually-verified",
    "SemanticTypeIri": "urn:effortless:pko-extension#RulebookField",
    "Name": "StepExecutions.SelfWitnessedVerificationCount",
    "IsDerived": true,
    "IsWitness": true,
    "DisagreeingSubstrateCount": 0.0,
    "IsSubstrateContested": false
   },
   {
    "RulebookFieldId": "StepExecutions.UnbackedVerificationCount",
    "TargetTable": "StepExecutions",
    "FieldName": "UnbackedVerificationCount",
    "FieldType": "aggregation",
    "Datatype": "number",
    "Formula": "=COUNTIFS(VerificationOutcomes!{{UnbackedStepKey}}, {{StepExecutionId}})",
    "InventedForQuestion": "q-cfo-approval-was-actually-verified",
    "SemanticTypeIri": "urn:effortless:pko-extension#RulebookField",
    "Name": "StepExecutions.UnbackedVerificationCount",
    "IsDerived": true,
    "IsWitness": true,
    "DisagreeingSubstrateCount": 0.0,
    "IsSubstrateContested": false
   },
   {
    "RulebookFieldId": "StepExecutions.ApprovalRestsOnSelfAttestation",
    "TargetTable": "StepExecutions",
    "FieldName": "ApprovalRestsOnSelfAttestation",
    "FieldType": "calculated",
    "Datatype": "boolean",
    "Formula": "=AND({{StepIsApproval}}, OR({{SelfWitnessedVerificationCount}} &gt; 0, {{HasSkippedVerification}}))",
    "InventedForQuestion": "q-cfo-approval-was-actually-verified",
    "SemanticTypeIri": "urn:effort</t>
  </si>
  <si>
    <t xml:space="preserve">less:pko-extension#RulebookField",
    "Name": "StepExecutions.ApprovalRestsOnSelfAttestation",
    "IsDerived": true,
    "IsWitness": true,
    "DisagreeingSubstrateCount": 0.0,
    "IsSubstrateContested": false
   },
   {
    "RulebookFieldId": "StepExecutions.ExceptionInvocationCount",
    "TargetTable": "StepExecutions",
    "FieldName": "ExceptionInvocationCount",
    "FieldType": "aggregation",
    "Datatype": "number",
    "Formula": "=COUNTIFS(ExceptionInvocations!{{StepExecution}}, {{StepExecutionId}})",
    "InventedForQuestion": "q-cfo-who-actually-held-authority",
    "SemanticTypeIri": "urn:effortless:pko-extension#RulebookField",
    "Name": "StepExecutions.ExceptionInvocationCount",
    "IsDerived": true,
    "IsWitness": true,
    "DisagreeingSubstrateCount": 0.0,
    "IsSubstrateContested": false
   },
   {
    "RulebookFieldId": "StepExecutions.RanUnderException",
    "TargetTable": "StepExecutions",
    "FieldName": "RanUnderException",
    "FieldType": "calculated",
    "Datatype": "boolean",
    "Formula": "={{ExceptionInvocationCount}} &gt; 0",
    "InventedForQuestion": "q-cfo-who-actually-held-authority",
    "SemanticTypeIri": "urn:effortless:pko-extension#RulebookField",
    "Name": "StepExecutions.RanUnderException",
    "IsDerived": true,
    "IsWitness": true,
    "DisagreeingSubstrateCount": 0.0,
    "IsSubstrateContested": false
   },
   {
    "RulebookFieldId": "StepExecutions.IsCompleted",
    "TargetTable": "StepExecutions",
    "FieldName": "IsCompleted",
    "FieldType": "calculated",
    "Datatype": "boolean",
    "Formula": "={{ExecutionStatus}} = \"Completed\"",
    "InventedForQuestion": "q-steward-untested-fallbacks",
    "SemanticTypeIri": "urn:effortless:pko-extension#RulebookField",
    "Name": "StepExecutions.IsCompleted",
    "IsDerived": true,
    "IsWitness": true,
    "DisagreeingSubstrateCount": 0.0,
    "IsSubstrateContested": false
   },
   {
    "RulebookFieldId": "StepExecutions.IsVerificationPassed",
    "TargetTable": "StepExecutions",
    "FieldName": "IsVerificationPassed",
    "FieldType": "calculated",
    "Datatype": "boolean",
    "Formula": "={{VerificationResult}} = \"PASS\"",
    "InventedForQuestion": "q-counsel-legal-review-gated-send",
    "SemanticTypeIri": "urn:effortless:pko-extension#RulebookField",
    "Name": "StepExecutions.IsVerificationPassed",
    "IsDerived": true,
    "IsWitness": true,
    "DisagreeingSubstrateCount": 0.0,
    "IsSubstrateContested": false
   },
   {
    "RulebookFieldId": "StepExecutions.IsLegalReviewStep",
    "TargetTable": "StepExecutions",
    "FieldName": "IsLegalReviewStep",
    "FieldType": "calculated",
    "Datatype": "boolean",
    "Formula": "={{Step}} = \"policy-04\"",
    "InventedForQuestion": "q-counsel-legal-review-gated-send",
    "SemanticTypeIri": "urn:effortless:pko-extension#RulebookField",
    "Name": "StepExecutions.IsLegalReviewStep",
    "IsDerived": true,
    "IsWitness": true,
    "DisagreeingSubstrateCount": 0.0,
    "IsSubstrateContested": false
   },
   {
    "RulebookFieldId": "StepExecutions.ClearedLegalReviewKey",
    "TargetTable": "StepExecutions",
    "FieldName": "ClearedLegalReviewKey",
    "FieldType": "calculated",
    "Datatype": "string",
    "Formula": "=IF(AND({{IsLegalReviewStep}}, {{IsVerificationPassed}}), {{ProcedureExecution}}, \"\")",
    "InventedForQuestion": "q-counsel-legal-review-gated-send",
    "SemanticTypeIri": "urn:effortless:pko-extension#RulebookField",
    "Name": "StepExecutions.ClearedLegalReviewKey",
    "IsDerived": true,
    "IsWitness": true,
    "DisagreeingSubstrateCount": 0.0,
    "IsSubstrateContested": false
   },
   {
    "RulebookFieldId": "StepExecutions.AssignedRole",
    "TargetTable": "StepExecutions",
    "FieldName": "AssignedRole",
    "FieldType": "lookup",
    "Datatype": "string",
    "Formula": "=INDEX(Steps!{{AssignedRole}}, MATCH({{Step}}, Steps!{{StepId}}, 0))",
    "InventedForQuestion": "q-close-auto-authority-current",
    "SemanticTypeIri": "urn:effortless:pko-extension#RulebookField",
    "Name": "StepExecutions.AssignedRole",
    "IsDerived": true,
    "IsWitness": true,
    "DisagreeingSubstrateCount": 0.0,
    "IsSubstrateContested": false
   },
   {
    "RulebookFieldId": "StepExecutions.RoleCurrentAgent",
    "TargetTable": "StepExecutions",
    "FieldName": "RoleCurrentAgent",
    "FieldType": "lookup",
    "Datatype": "string",
    "Formula": "=INDEX(Roles!{{CurrentAgent}}, MATCH({{AssignedRole}}, Roles!{{RoleId}}, 0))",
    "InventedForQuestion": "q-close-auto-authority-current",
    "SemanticTypeIri": "urn:effortless:pko-extension#RulebookField",
    "Name": "StepExecutions.RoleCurrentAgent",
    "IsDerived": true,
    "IsWitness": true,
    "DisagreeingSubstrateCount": 0.0,
    "IsSubstrateContested": false
   },
   {
    "RulebookFieldId": "StepExecutions.ExecutorIsDesignatedAgent",
    "TargetTable": "StepExecutions",
    "FieldName": "ExecutorIsDesignatedAgent",
    "FieldType": "calculated",
    "Datatype": "boolean",
    "Formula": "={{ExecutedByAgent}} = {{RoleCurrentAgent}}",
    "InventedForQuestion": "q-close-auto-authority-current",
    "SemanticTypeIri": "urn:effortless:pko-extension#RulebookField",
    "Name": "StepExecutions.ExecutorIsDesignatedAgent",
    "IsDerived": true,
    "IsWitness": true,
    "DisagreeingSubstrateCount": 0.0,
    "IsSubstrateContested": false
   },
   {
    "RulebookFieldId": "StepExecutions.InputsWereFreshAtRun",
    "TargetTable": "StepExecutions",
    "FieldName": "InputsWereFreshAtRun",
    "FieldType": "lookup",
    "Datatype": "boolean",
    "Formula": "=INDEX(Steps!{{InputsAreFresh}}, MATCH({{Step}}, Steps!{{StepId}}, 0))",
    "InventedForQuestion": "q-close-auto-input-freshness",
    "SemanticTypeIri": "urn:effortless:pko-extension#RulebookField",
    "Name": "StepExecutions.InputsWereFreshAtRun",
    "IsDerived": true,
    "IsWitness": true,
    "DisagreeingSubstrateCount": 0.0,
    "IsSubstrateContested": false
   },
   {
    "RulebookFieldId": "StepExecutions.RanOnStaleInputs",
    "TargetTable": "StepExecutions",
    "FieldName": "RanOnStaleInputs",
    "FieldType": "calculated",
    "Datatype": "boolean",
    "Formula": "=AND({{ExecutionStatus}} = \"Completed\", NOT({{InputsWereFreshAtRun}}))",
    "InventedForQuestion": "q-close-auto-input-freshness",
    "SemanticTypeIri": "urn:effortless:pko-extension#RulebookField",
    "Name": "StepExecutions.RanOnStaleInputs",
    "IsDerived": true,
    "IsWitness": true,
    "DisagreeingSubstrateCount": 0.0,
    "IsSubstrateContested": false
   },
   {
    "RulebookFieldId": "StepExecutions.UnresolvedIssueCount",
    "TargetTable": "StepExecutions",
    "FieldName": "UnresolvedIssueCount",
    "FieldType": "aggregation",
    "Datatype": "number",
    "Formula": "=COUNTIFS(IssueOccurrences!{{StepExecutionWhenUnresolved}}, {{StepExecutionId}})",
    "InventedForQuestion": "q-close-auto-last-run-clean",
    "SemanticTypeIri": "urn:effortless:pko-extension#RulebookField",
    "Name": "StepExecutions.UnresolvedIssueCount",
    "IsDerived": true,
    "IsWitness": true,
    "DisagreeingSubstrateCount": 0.0,
    "IsSubstrateContested": false
   },
   {
    "RulebookFieldId": "StepExecutions.HasDeviation",
    "TargetTable": "StepExecutions",
    "FieldName": "HasDeviation",
    "FieldType": "calculated",
    "Datatype": "boolean",
    "Formula": "={{Deviation}} &lt;&gt; \"\"",
    "InventedForQuestion": "q-close-auto-last-run-clean",
    "SemanticTypeIri": "urn:effortless:pko-extension#RulebookField",
    "Name": "StepExecutions.HasDeviation",
    "IsDerived": true,
    "IsWitness": true,
    "DisagreeingSubstrateCount": 0.0,
    "IsSubstrateContested": false
   },
   {
    "RulebookFieldId": "StepExecutions.IsClean",
    "TargetTable": "StepExecutions",
    "FieldName": "IsClean",
    "FieldType": "calculated",
    "Datatype": "boolean",
    "Formula": "=AND({{VerificationResult}} = \"PASS\", NOT({{HasDeviation}}), {{UnresolvedIssueCount}} = 0, NOT({{IsLate}}))",
    "InventedForQuestion": "q-close-auto-last-run-clean",
    "SemanticTypeIri": "urn:effortless:pko-extension#RulebookField",
    "Name": "StepExecutions.IsClean",
    "IsDerived": true,
    "IsWitness": true,
    "DisagreeingSubstrateCount": 0.0,
    "IsSubstrateContested": false
   },
   {
    "RulebookFieldId": "StepExecutions.ProcedureExecutionWhenUnclean",
    "TargetTable": "StepExecutions",
    "FieldName": "ProcedureExecutionWhenUnclean",
    "FieldType": "calculated",
    "Datatype": "string",
    "Formula": "=IF({{IsClean}}, \"\", {{ProcedureExecution}})",
    "InventedForQuestion": "q-close-auto-last-run-clean",
    "SemanticTypeIri": "urn:effortless:pko-extension#RulebookField",
    "Name": "StepExecutions.ProcedureExecutionWhenUnclean",
    "IsDerived": true,
    "IsWitness": true,
    "DisagreeingSubstrateCount": 0.0,
    "IsSubstrateContested": false
   },
   {
    "RulebookFieldId": "StepExecutions.EvaluatedRequirementCount",
    "TargetTable": "StepExecutions",
    "FieldName": "EvaluatedRequirementCount",
    "FieldType": "aggregation",
    "Datatype": "number",
    "Formula": "=COUNTIFS(RequirementSatisfactions!{{StepExecutionWhenScored}}, {{StepExecutionId}})",
    "InventedForQuestion": "q-close-auto-blocking-requirements-evaluated",
    "SemanticTypeIri": "urn:effortless:pko-extension#RulebookField",
    "Name": "StepExecutions.EvaluatedRequirementCount",
    "IsDerived": true,
    "IsWitness": true,
    "DisagreeingSubstrateCount": 0.0,
    "IsSubstrateContested": false
   },
   {
    "RulebookFieldId": "StepExecutions.RequiredBlockingCount",
    "TargetTable": "StepExecutions",
    "FieldName": "RequiredBlockingCount",
    "FieldType": "lookup",
    "Datatype": "integer",
    "Formula": "=INDEX(Steps!{{BlockingRequirementCount}}, MATCH({{Step}}, Steps!{{StepId}}, 0))",
    "InventedForQuestion": "q-close-auto-blocking-requirements-evaluated",
    "SemanticTypeIri": "urn:effortless:pko-extension#RulebookField",
    "Name": "StepExecutions.RequiredBlockingCount",
    "IsDerived": true,
    "IsWitness": true,
    "DisagreeingSubstrateCount": 0.0,
    "IsSubstrateContested": false
   },
   {
    "RulebookFieldId": "StepExecutions.HasUnevaluatedBlockingRequirement",
    "TargetTable": "StepExecutions",
    "FieldName": "HasUnevaluatedBlockingRequirement",
    "FieldType": "calculated",
    "Datatype": "boolean",
    "Formula": "={{EvaluatedRequirementCount}} &lt; {{RequiredBlockingCount}}",
    "InventedForQuestion": "q-close-auto-blocking-requirements-evaluated",
    "SemanticTypeIri": "urn:effortless:pko-extension#RulebookField",
    "Name": "StepExecutions.HasUnevaluatedBlockingRequirement",
    "IsDerived": true,
    "IsWitness": true,
    "DisagreeingSubstrateCount": 0.0,
    "IsSubstrateContested": false
   },
   {
    "RulebookFieldId": "StepExecutions.ExecutingAgentKind",
    "TargetTable": "StepExecutions",
    "FieldName": "ExecutingAgentKind",
    "FieldType": "lookup",
    "Datatype": "string",
    "Formula": "=INDEX(Agents!{{AgentKind}}, MATCH({{ExecutedByAgent}}, Agents!{{AgentId}}, 0))",
    "InventedForQuestion": "q-hr-ai-authored-commitments",
    "SemanticTypeIri": "urn:effortless:pko-extension#RulebookField",
    "Name": "StepExecutions.ExecutingAgentKind",
    "IsDerived": true,
    "IsWitness": true,
    "DisagreeingSubstrateCount": 0.0,
    "IsSubstrateContested": false
   },
   {
    "RulebookFieldId": "StepExecutions.WasExecutedBySoftware",
    "TargetTable": "StepExecutions",
    "FieldName": "WasExecutedBySoftware",
    "FieldType": "calculated",
    "Datatype": "boolean",
    "Formula": "=OR({{ExecutingAgentKind}} = \"AIAgent\", {{ExecutingAgentKind}} = \"AutomatedPipeline\")",
    "InventedForQuestion": "q-hr-ai-authored-commitments",
    "SemanticTypeIri": "urn:effortless:pko-extension#RulebookField",
    "Name": "StepExecutions.WasExecutedBySoftware",
    "IsDerived": true,
    "IsWitness": true,
    "DisagreeingSubstrateCount": 0.0,
    "IsSubstrateContested": false
   },
   {
    "RulebookFieldId": "StepExecutions.StepIsSoftwareAssigned",
    "TargetTable": "StepExecutions",
    "FieldName": "StepIsSoftwareAssigned",
    "FieldType": "lookup",
    "Datatype": "boolean",
    "Formula": "=INDEX(Steps!{{IsSoftwareAssigned}}, MATCH({{Step}}, Steps!{{StepId}}, 0))",
    "InventedForQuestion": "q-hr-ai-authored-commitments",
    "SemanticTypeIri": "urn:effortless:pko-extension#RulebookField",
    "Name": "StepExecutions.StepIsSoftwareAssigned",
    "IsDerived": true,
    "IsWitness": true,
    "DisagreeingSubstrateCount": 0.0,
    "IsSubstrateContested": false
   },
   {
    "RulebookFieldId": "StepExecutions.SoftwareDidHumanWork",
    "TargetTable": "StepExecutions",
    "FieldName": "SoftwareDidHumanWork",
    "FieldType": "calculated",
    "Datatype": "boolean",
    "Formula": "=AND({{WasExecutedBySoftware}}, NOT({{StepIsSoftwareAssigned}}))",
    "InventedForQuestion": "q-hr-ai-authored-commitments",
    "SemanticTypeIri": "urn:effortless:pko-extension#RulebookField",
    "Name": "StepExecutions.SoftwareDidHumanWork",
    "IsDerived": true,
    "IsWitness": true,
    "DisagreeingSubstrateCount": 0.0,
    "IsSubstrateContested": false
   },
   {
    "RulebookFieldId": "StepExecutions.IsApprovalExecution",
    "TargetTable": "StepExecutions",
    "FieldName": "IsApprovalExecution",
    "FieldType": "lookup",
    "Datatype": "boolean",
    "Formula": "=INDEX(Steps!{{IsHumanApprovalGate}}, MATCH({{Step}}, Steps!{{StepId}}, 0))",
    "InventedForQuestion": "q-hr-what-was-actually-sent",
    "SemanticTypeIri": "urn:effortless:pko-extension#RulebookField",
    "Name": "StepExecutions.IsApprovalExecution",
    "IsDerived": true,
    "IsWitness": true,
    "DisagreeingSubstrateCount": 0.0,
    "IsSubstrateContested": false
   },
   {
    "RulebookFieldId": "StepExecutions.IsVerified",
    "TargetTable": "StepExecutions",
    "FieldName": "IsVerified",
    "FieldType": "calculated",
    "Datatype": "boolean",
    "Formula": "=AND({{VerificationResult}} &lt;&gt; \"\", {{VerificationResult}} &lt;&gt; \"PENDING\", {{VerificationResult}} &lt;&gt; \"FAIL\")",
    "InventedForQuestion": "q-hr-what-was-actually-sent",
    "SemanticTypeIri": "urn:effortless:pko-extension#RulebookField",
    "Name": "StepExecutions.IsVerified",
    "IsDerived": true,
    "IsWitness": true,
    "DisagreeingSubstrateCount": 0.0,
    "IsSubstrateContested": false
   },
   {
    "RulebookFieldId": "StepExecutions.UnconfirmedNonHumanDecisionCount",
    "TargetTable": "StepExecutions",
    "FieldName": "UnconfirmedNonHumanDecisionCount",
    "FieldType": "aggregation",
    "Datatype": "number",
    "Formula": "=COUNTIFS(AgentDecisionRecords!{{StepExecutionWhenUnconfirmed}}, {{StepExecutionId}})",
    "InventedForQuestion": "q-variance-ai-human-confirmation-present",
    "SemanticTypeIri": "urn:effortless:pko-extension#RulebookField",
    "Name": "StepExecutions.UnconfirmedNonHumanDecisionCount",
    "IsDerived": true,
    "IsWitness": true,
    "DisagreeingSubstrateCount": 0.0,
    "IsSubstrateContested": false
   },
   {
    "RulebookFieldId": "StepExecutions.RequiresHumanConfirmation",
    "TargetTable": "StepExecutions",
    "FieldName": "RequiresHumanConfirmation",
    "FieldType": "lookup",
    "Datatype": "boolean",
    "Formula": "=INDEX(Steps!{{RequiresHumanConfirmation}}, MATCH({{Step}}, Steps!{{StepId}}, 0))",
    "InventedForQuestion": "q-variance-ai-human-confirmation-present",
    "SemanticTypeIri": "urn:effortless:pko-extension#RulebookField",
    "Name": "StepExecutions.RequiresHumanConfirmation",
    "IsDerived": true,
    "IsWitness": true,
    "DisagreeingSubstrateCount": 0.0,
    "IsSubstrateContested": false
   },
   {
    "RulebookFieldId": "StepExecutions.HumanConfirmationMissing",
    "TargetTable": "StepExecutions",
    "FieldName": "HumanConfirmationMissing",
    "FieldType": "calculated",
    "Datatype": "boolean",
    "Formula": "=AND({{RequiresHumanConfirmation}}, {{UnconfirmedNonHumanDecisionCount}} &gt; 0)",
    "InventedForQuestion": "q-variance-ai-human-confirmation-present",
    "SemanticTypeIri": "urn:effortless:pko-extension#RulebookField",
    "Name": "StepExecutions.HumanConfirmationMissing",
    "IsDerived": true,
    "IsWitness": true,
    "DisagreeingSubstrateCount": 0.0,
    "IsSubstrateContested": false
   },
   {
    "RulebookFieldId": "StepExecutions.DraftedFromUnusableSource",
    "TargetTable": "StepExecutions",
    "FieldName": "DraftedFromUnusableSource",
    "FieldType": "calculated",
    "Datatype": "boolean",
    "Formula": "=AND({{ExecutionStatus}} = \"Completed\", NOT({{InputsWereUsable}}))",
    "InventedForQuestion": "q-policy-ai-source-approval",
    "SemanticTypeIri": "urn:effortless:pko-extension#RulebookField",
    "Name": "StepExecutions.DraftedFromUnusableSource",
    "IsDerived": true,
    "IsWitness": true,
    "DisagreeingSubstrateCount": 0.0,
    "IsSubstrateContested": false
   },
   {
    "RulebookFieldId": "StepExecutions.InputsWereUsable",
    "TargetTable": "StepExecutions",
    "FieldName": "InputsWereUsable",
    "FieldType": "lookup",
    "Datatype": "boolean",
    "Formula": "=INDEX(Steps!{{AllSourcesUsable}}, MATCH({{Step}}, Steps!{{StepId}}, 0))",
    "InventedForQuestion": "q-policy-ai-source-approval",
    "SemanticTypeIri": "urn:effortless:pko-extension#RulebookField",
    "Name": "StepExecutions.InputsWereUsable",
    "IsDerived": true,
    "IsWitness": true,
    "DisagreeingSubstrateCount": 0.0,
    "IsSubstrateContested": false
   },
   {
    "RulebookFieldId": "StepExecutions.SoftwareExecutionStepKey",
    "TargetTable": "StepExecutions",
    "FieldName": "SoftwareExecutionStepKey",
    "FieldType": "calculated",
    "Datatype": "string",
    "Formula": "=IF({{WasExecutedBySoftware}}, {{Step}}, \"\")",
    "InventedForQuestion": "q2-hr-ai-boundary-holds-only-where-tested",
    "SemanticTypeIri": "urn:effortless:pko-extension#RulebookField",
    "Name": "StepExecutions.SoftwareExecutionStepKey",
    "IsDerived": true,
    "IsWitness": true,
    "DisagreeingSubstrateCount": 0.0,
    "IsSubstrateContested": false
   },
   {
    "RulebookFieldId": "StepExecutions.StepControlKind",
    "TargetTable": "StepExecutions",
    "FieldName": "StepControlKind",
    "FieldType": "lookup",
    "Datatype": "string",
    "Formula": "=INDEX(Steps!{{ControlKind}}, MATCH({{Step}}, Steps!{{StepId}}, 0))",
    "InventedForQuestion": "q2-steward-control-kind-instead-of-hardcoded-ids",
    "SemanticTypeIri": "urn:effortless:pko-extension#RulebookField",
    "Name": "StepExecutions.StepControlKind",
    "IsDerived": true,
    "IsWitness": true,
    "DisagreeingSubstrateCount": 0.0,
    "IsSubstrateContested": false
   },
   {
    "RulebookFieldId": "StepExecutions.UnfalsifiedClearanceCount",
    "TargetTable": "StepExecutions",
    "FieldName": "UnfalsifiedClearanceCount",
    "FieldType": "aggregation",
    "Datatype": "number",
    "Formula": "=COUNTIFS(RequirementSatisfactions!{{UnfalsifiedClearanceStepKey}}, {{StepExecutionId}})",
    "InventedForQuestion": "q2-fa-cleared-by-mute-control",
    "SemanticTypeIri": "urn:effortless:pko-extension#RulebookField",
    "Name": "StepExecutions.UnfalsifiedClearanceCount",
    "IsDerived": true,
    "IsWitness": true,
    "DisagreeingSubstrateCount": 0.0,
    "IsSubstrateContested": false
   },
   {
    "RulebookFieldId": "StepExecutions.AllClearancesAreUnfalsified",
    "TargetTable": "StepExecutions",
    "FieldName": "AllClearancesAreUnfalsified",
    "FieldType": "calculated",
    "Datatype": "boolean",
    "Formula": "=AND({{EvaluatedBlockingCount}} &gt; 0, {{UnfalsifiedClearanceCount}} &gt;= {{EvaluatedBlockingCount}})",
    "InventedForQuestion": "q2-fa-cleared-by-mute-control",
    "SemanticTypeIri": "urn:effortless:pko-extension#RulebookField",
    "Name": "StepExecutions.AllClearancesAreUnfalsified",
    "IsDerived": true,
    "IsWitness": true,
    "DisagreeingSubstrateCount": 0.0,
    "IsSubstrateContested": false
   },
   {
    "RulebookFieldId": "StepExecutions.StaleAtRunCount",
    "TargetTable": "StepExecutions",
    "FieldName": "StaleAtRunCount",
    "FieldType": "aggregation",
    "Datatype": "number",
    "Formula": "=COUNTIFS(BindingObservations!{{StaleAtRunStepKey}}, {{StepExecutionId}})",
    "InventedForQuestion": "q2-fa-stale-then-vs-stale-now",
    "SemanticTypeIri": "urn:effortless:pko-extension#RulebookField",
    "Name": "StepExecutions.StaleAtRunCount",
    "IsDerived": true,
    "IsWitness": true,
    "DisagreeingSubstrateCount": 0.0,
    "IsSubstrateContested": false
   },
   {
    "RulebookFieldId": "StepExecutions.WasStaleWhenIRanIt",
    "TargetTable": "StepExecutions",
    "FieldName": "WasStaleWhenIRanIt",
    "FieldType": "calculated",
    "Datatype": "boolean",
    "Formula": "={{StaleAtRunCount}} &gt; 0",
    "InventedForQuestion": "q2-fa-stale-then-vs-stale-now",
    "SemanticTypeIri": "urn:effortless:pko-extension#RulebookField",
    "Name": "StepExecutions.WasStaleWhenIRanIt",
    "IsDerived": true,
    "IsWitness": true,
    "DisagreeingSubstrateCount": 0.0,
    "IsSubstrateContested": false
   },
   {
    "RulebookFieldId": "StepExecutions.StalenessAnswerIsTenseDependent",
    "TargetTable": "StepExecutions",
    "FieldName": "StalenessAnswerIsTenseDependent",
    "FieldType": "calculated",
    "Datatype": "boolean",
    "Formula": "=NOT({{WasStaleWhenIRanIt}} = {{RanOnStaleAuthoritativeSource}})",
    "InventedForQuestion": "q2-fa-stale-then-vs-stale-now",
    "SemanticTypeIri": "urn:effortless:pko-extension#RulebookField",
    "Name": "StepExecutions.StalenessAnswerIsTenseDependent",
    "IsDerived": true,
    "IsWitness": true,
    "DisagreeingSubstrateCount": 0.0,
    "IsSubstrateContested": false
   },
   {
    "RulebookFieldId": "StepExecutions.HasAnyDeclaredCheck",
    "TargetTable": "StepExecutions",
    "FieldName": "HasAnyDeclaredCheck",
    "FieldType": "calculated",
    "Datatype": "boolean",
    "Formula": "=OR({{ExpectedVerificationCount}} &gt; 0, {{ExpectedBlockingCount}} &gt; 0)",
    "InventedForQuestion": "q2-fa-clean-but-uncovered",
    "SemanticTypeIri": "urn:effortless:pko-extension#RulebookField",
    "Name": "StepExecutions.HasAnyDeclaredCheck",
    "IsDerived": true,
    "IsWitness": true,
    "DisagreeingSubstrateCount": 0.0,
    "IsSubstrateContested": false
   },
   {
    "RulebookFieldId": "StepExecutions.PerformedCheckCount",
    "TargetTable": "StepExecutions",
    "FieldName": "PerformedCheckCount",
    "FieldType": "calculated",
    "Datatype": "number",
    "Formula": "={{PerformedVerificationCount}} + {{EvaluatedBlockingCount}}",
    "InventedForQuestion": "q2-fa-clean-but-uncovered",
    "SemanticTypeIri": "urn:effortless:pko-extension#RulebookField",
    "Name": "StepExecutions.PerformedCheckCount",
    "IsDerived": true,
    "IsWitness": true,
    "DisagreeingSubstrateCount": 0.0,
    "IsSubstrateContested": false
   },
   {
    "RulebookFieldId": "StepExecutions.DeclaredCheckCount",
    "TargetTable": "StepExecutions",
    "FieldName": "DeclaredCheckCount",
    "FieldType": "calculated",
    "Datatype": "number",
    "Formula": "={{ExpectedVerificationCount}} + {{ExpectedBlockingCount}}",
    "InventedForQuestion": "q2-fa-clean-but-uncovered",
    "SemanticTypeIri": "urn:effortless:pko-extension#RulebookField",
    "Name": "StepExecutions.DeclaredCheckCount",
    "IsDerived": true,
    "IsWitness": true,
    "DisagreeingSubstrateCount": 0.0,
    "IsSubstrateContested": false
   },
   {
    "RulebookFieldId": "StepExecutions.IsUncheckedByDesign",
    "TargetTable": "StepExecutions",
    "FieldName": "IsUncheckedByDesign",
    "FieldType": "calculated",
    "Datatype": "boolean",
    "Formula": "={{DeclaredCheckCount}} = 0",
    "InventedForQuestion": "q2-fa-clean-but-uncovered",
    "SemanticTypeIri": "urn:effortless:pko-extension#RulebookField",
    "Name": "StepExecutions.IsUncheckedByDesign",
    "IsDerived": true,
    "IsWitness": true,
    "DisagreeingSubstrateCount": 0.0,
    "IsSubstrateContested": false
   },
   {
    "RulebookFieldId": "StepExecutions.IsVacuouslyClean",
    "TargetTable": "StepExecutions",
    "FieldName": "IsVacuouslyClean",
    "FieldType": "calculated",
    "Datatype": "boolean",
    "Formula": "=AND({{IsClean}}, {{IsUncheckedByDesign}})",
    "InventedForQuestion": "q2-fa-clean-but-uncovered",
    "SemanticTypeIri": "urn:effortless:pko-extension#RulebookField",
    "Name": "StepExecutions.IsVacuouslyClean",
    "IsDerived": true,
    "IsWitness": true,
    "DisagreeingSubstrateCount": 0.0,
    "IsSubstrateContested": false
   },
   {
    "RulebookFieldId": "StepExecutions.IsSubstantivelyClean",
    "TargetTable": "StepExecutions",
    "FieldName": "IsSubstantivelyClean",
    "FieldType": "calculated",
    "Datatype": "boolean",
    "Formula": "=AND({{IsClean}}, {{PerformedCheckCount}} &gt;= {{DeclaredCheckCount}}, {{DeclaredCheckCount}} &gt; 0)",
    "InventedForQuestion": "q2-fa-clean-but-uncovered",
    "SemanticTypeIri": "urn:effortless:pko-extension#RulebookField",
    "Name": "StepExecutions.IsSubstantivelyClean",
    "IsDerived": true,
    "IsWitness": true,
    "DisagreeingSubstrateCount": 0.0,
    "IsSubstrateContested": false
   },
   {
    "RulebookFieldId": "StepExecutions.VacuouslyCleanExecutionKey",
    "TargetTable": "StepExecutions",
    "FieldName": "VacuouslyCleanExecutionKey",
    "FieldType": "calculated",
    "Datatype": "string",
    "Formula": "=IF({{IsVacuouslyClean}}, {{ProcedureExecution}}, \"\")",
    "InventedForQuestion": "q2-fa-clean-but-uncovered",
    "SemanticTypeIri": "urn:effortless:pko-extension#RulebookField",
    "Name": "StepExecutions.VacuouslyCleanExecutionKey",
    "IsDerived": true,
    "IsWitness": true,
    "DisagreeingSubstrateCount": 0.0,
    "IsSubstrateContested": false
   },
   {
    "RulebookFieldId": "StepExecutions.UncorroboratedPassCount",
    "TargetTable": "StepExecutions",
    "FieldName": "UncorroboratedPassCount",
    "FieldType": "aggregation",
    "Datatype": "number",
    "Formula": "=COUNTIFS(VerificationOutcomes!{{UncorroboratedPassStepKey}}, {{StepExecutionId}})",
    "InventedForQuestion": "q2-fa-my-own-evidence-quality",
    "SemanticTypeIri": "urn:effortless:pko-extension#RulebookField",
    "Name": "StepExecutions.UncorroboratedPassCount",
    "IsDerived": true,
    "IsWitness": true,
    "DisagreeingSubstrateCount": 0.0,
    "IsSubstrateContested": false
   },
   {
    "RulebookFieldId": "StepExecutions.EvidencePositionIsWeak",
    "TargetTable": "StepExecutions",
    "FieldName": "EvidencePositionIsWeak",
    "FieldType": "calculated",
    "Datatype": "boolean",
    "Formula": "=AND({{PerformedVerificationCount}} &gt; 0, {{UncorroboratedPassCount}} &gt;= {{PerformedVerificationCount}})",
    "InventedForQuestion": "q2-fa-my-own-evidence-quality",
    "SemanticTypeIri": "urn:effortless:pko-extension#RulebookField",
    "Name": "StepExecutions.EvidencePositionIsWeak",
    "IsDerived": true,
    "IsWitness": true,
    "DisagreeingSubstrateCount": 0.0,
    "IsSubstrateContested": false
   },
   {
    "RulebookFieldId": "StepExecutions.PreparationExecutionKey",
    "TargetTable": "StepExecutions",
    "FieldName": "PreparationExecutionKey",
    "FieldType": "calculated",
    "Datatype": "string",
    "Formula": "=IF({{StepIsPreparation}}, {{ProcedureExecution}}, \"\")",
    "InventedForQuestion": "q2-ctl-separation-held-or-untested",
    "SemanticTypeIri": "urn:effortless:pko-extension#RulebookField",
    "Name": "StepExecutions.PreparationExecutionKey",
    "IsDerived": true,
    "IsWitness": true,
    "DisagreeingSubstrateCount": 0.0,
    "IsSubstrateContested": false
   },
   {
    "RulebookFieldId": "StepExecutions.ApprovalExecutionKey",
    "TargetTable": "StepExecutions",
    "FieldName": "ApprovalExecutionKey",
    "FieldType": "calculated",
    "Datatype": "string",
    "Formula": "=IF({{StepIsApproval}}, {{ProcedureExecution}}, \"\")",
    "InventedForQuestion": "q2-ctl-separation-held-or-untested",
    "SemanticTypeIri": "urn:effortless:pko-extension#RulebookField",
    "Name": "StepExecutions.ApprovalExecutionKey",
    "IsDerived": true,
    "IsWitness": true,
    "DisagreeingSubstrateCount": 0.0,
    "IsSubstrateContested": false
   },
   {
    "RulebookFieldId": "StepExecutions.HasGoverningInstrument",
    "TargetTable": "StepExecutions",
    "FieldName": "HasGoverningInstrument",
    "FieldType": "calculated",
    "Datatype": "boolean",
    "Formula": "=OR({{RanUnderException}}, {{HasApprovedChangeCoverage}})",
    "InventedForQuestion": "q2-ctl-divergence-that-nobody-governed",
    "SemanticTypeIri": "urn:effortless:pko-extension#RulebookField",
    "Name": "StepExecutions.HasGoverningInstrument",
    "IsDerived": true,
    "IsWitness": true,
    "DisagreeingSubstrateCount": 0.0,
    "IsSubstrateContested": false
   },
   {
    "RulebookFieldId": "StepExecutions.HasApprovedChangeCoverage",
    "TargetTable": "StepExecutions",
    "FieldName": "HasApprovedChangeCoverage",
    "FieldType": "lookup",
    "Datatype": "boolean",
    "Formula": "=INDEX(ProcedureVersions!{{HasApprovedChangeRequest}}, MATCH({{VersionOfStep}}, ProcedureVersions!{{ProcedureVersionId}}, 0))",
    "InventedForQuestion": "q2-ctl-divergence-that-nobody-governed",
    "SemanticTypeIri": "urn:effortless:pko-extension#RulebookField",
    "Name": "StepExecutions.HasApprovedChangeCoverage",
    "IsDerived": true,
    "IsWitness": true,
    "DisagreeingSubstrateCount": 0.0,
    "IsSubstrateContested": false
   },
   {
    "RulebookFieldId": "StepExecutions.VersionOfStep",
    "TargetTable": "StepExecutions",
    "FieldName": "VersionOfStep",
    "FieldType": "lookup",
    "Datatype": "string",
    "Formula": "=INDEX(Steps!{{ProcedureVersion}}, MATCH({{Step}}, Steps!{{StepId}}, 0))",
    "InventedForQuestion": "q2-ctl-divergence-that-nobody-governed",
    "SemanticTypeIri": "urn:effortless:pko-extension#RulebookField",
    "Name": "StepExecutions.VersionOfStep",
    "IsDerived": true,
    "IsWitness": true,
    "DisagreeingSubstrateCount": 0.0,
    "IsSubstrateContested": false
   },
   {
    "RulebookFieldId": "StepExecutions.IsUngovernedDivergence",
    "TargetTable": "StepExecutions",
    "FieldName": "IsUngovernedDivergence",
    "FieldType": "calculated",
    "Datatype": "boolean",
    "Formula": "=AND(OR({{HasDeviation}}, {{IsLate}}, {{ProceededPastBlockingControl}}), NOT({{HasGoverningInstrument}}))",
    "InventedForQuestion": "q2-ctl-divergence-that-nobody-governed",
    "SemanticTypeIri": "urn:effortless:pko-extension#RulebookField",
    "Name": "StepExecutions.IsUngovernedDivergence",
    "IsDerived": true,
    "IsWitness": true,
    "DisagreeingSubstrateCount": 0.0,
    "IsSubstrateContested": false
   },
   {
    "RulebookFieldId": "StepExecutions.UngovernedDivergenceExecutionKey",
    "TargetTable": "StepExecutions",
    "FieldName": "UngovernedDivergenceExecutionKey",
    "FieldType": "calculated",
    "Datatype": "string",
    "Formula": "=IF({{IsUngovernedDivergence}}, {{ProcedureExecution}}, \"\")",
    "InventedForQuestion": "q2-ctl-divergence-that-nobody-governed",
    "SemanticTypeIri": "urn:effortless:pko-extension#RulebookField",
    "Name": "StepExecutions.UngovernedDivergenceExecutionKey",
    "IsDerived": true,
    "IsWitness": true,
    "DisagreeingSubstrateCount": 0.0,
    "IsSubstrateContested": false
   },
   {
    "RulebookFieldId": "StepExecutions.SelfAttestedApprovalExecutionKey",
    "TargetTable": "StepExecutions",
    "FieldName": "SelfAttestedApprovalExecutionKey",
    "FieldType": "calculated",
    "Datatype": "string",
    "Formula": "=IF({{ApprovalRestsOnSelfAttestation}}, {{ProcedureExecution}}, \"\")",
    "InventedForQuestion": "q2-cfo-who-witnessed-the-witnesses",
    "SemanticTypeIri": "urn:effortless:pko-extension#RulebookField",
    "Name": "StepExecutions.SelfAttestedApprovalExecutionKey",
    "IsDerived": true,
    "IsWitness": true,
    "DisagreeingSubstrateCount": 0.0,
    "IsSubstrateContested": false
   },
   {
    "RulebookFieldId": "StepExecutions.SemanticTypeIri",
    "TargetTable": "StepExecutions",
    "FieldName": "SemanticTypeIri",
    "FieldType": "raw",
    "Datatype": "string",
    "Formula": null,
    "InventedForQuestion": null,
    "SemanticTypeIri": "urn:effortless:pko-extension#RulebookField",
    "Name": "StepExecutions.SemanticTypeIri",
    "IsDerived": false,
    "IsWitness": false,
    "DisagreeingSubstrateCount": 0.0,
    "IsSubstrateContested": false
   },
   {
    "RulebookFieldId": "RequirementSatisfactions.RequirementSatisfactionId",
    "TargetTable": "RequirementSatisfactions",
    "FieldName": "RequirementSatisfactionId",
    "FieldType": "raw",
    "Datatype": "string",
    "Formula": null,
    "InventedForQuestion": null,
    "SemanticTypeIri": "urn:effortless:pko-extension#RulebookField",
    "Name": "R</t>
  </si>
  <si>
    <t xml:space="preserve">equirementSatisfactions.RequirementSatisfactionId",
    "IsDerived": false,
    "IsWitness": false,
    "DisagreeingSubstrateCount": 0.0,
    "IsSubstrateContested": false
   },
   {
    "RulebookFieldId": "RequirementSatisfactions.Name",
    "TargetTable": "RequirementSatisfactions",
    "FieldName": "Name",
    "FieldType": "calculated",
    "Datatype": "string",
    "Formula": "={{Requirement}} &amp; \" / \" &amp; {{SatisfactionLevel}}",
    "InventedForQuestion": null,
    "SemanticTypeIri": "urn:effortless:pko-extension#RulebookField",
    "Name": "RequirementSatisfactions.Name",
    "IsDerived": true,
    "IsWitness": false,
    "DisagreeingSubstrateCount": 0.0,
    "IsSubstrateContested": false
   },
   {
    "RulebookFieldId": "RequirementSatisfactions.StepExecution",
    "TargetTable": "RequirementSatisfactions",
    "FieldName": "StepExecution",
    "FieldType": "relationship",
    "Datatype": "string",
    "Formula": null,
    "InventedForQuestion": null,
    "SemanticTypeIri": "urn:effortless:pko-extension#RulebookField",
    "Name": "RequirementSatisfactions.StepExecution",
    "IsDerived": false,
    "IsWitness": false,
    "DisagreeingSubstrateCount": 0.0,
    "IsSubstrateContested": false
   },
   {
    "RulebookFieldId": "RequirementSatisfactions.Requirement",
    "TargetTable": "RequirementSatisfactions",
    "FieldName": "Requirement",
    "FieldType": "relationship",
    "Datatype": "string",
    "Formula": null,
    "InventedForQuestion": null,
    "SemanticTypeIri": "urn:effortless:pko-extension#RulebookField",
    "Name": "RequirementSatisfactions.Requirement",
    "IsDerived": false,
    "IsWitness": false,
    "DisagreeingSubstrateCount": 0.0,
    "IsSubstrateContested": false
   },
   {
    "RulebookFieldId": "RequirementSatisfactions.SatisfactionLevel",
    "TargetTable": "RequirementSatisfactions",
    "FieldName": "SatisfactionLevel",
    "FieldType": "raw",
    "Datatype": "string",
    "Formula": null,
    "InventedForQuestion": null,
    "SemanticTypeIri": "urn:effortless:pko-extension#RulebookField",
    "Name": "RequirementSatisfactions.SatisfactionLevel",
    "IsDerived": false,
    "IsWitness": false,
    "DisagreeingSubstrateCount": 0.0,
    "IsSubstrateContested": false
   },
   {
    "RulebookFieldId": "RequirementSatisfactions.Evidence",
    "TargetTable": "RequirementSatisfactions",
    "FieldName": "Evidence",
    "FieldType": "raw",
    "Datatype": "string",
    "Formula": null,
    "InventedForQuestion": null,
    "SemanticTypeIri": "urn:effortless:pko-extension#RulebookField",
    "Name": "RequirementSatisfactions.Evidence",
    "IsDerived": false,
    "IsWitness": false,
    "DisagreeingSubstrateCount": 0.0,
    "IsSubstrateContested": false
   },
   {
    "RulebookFieldId": "RequirementSatisfactions.EvaluatedByAgent",
    "TargetTable": "RequirementSatisfactions",
    "FieldName": "EvaluatedByAgent",
    "FieldType": "relationship",
    "Datatype": "string",
    "Formula": null,
    "InventedForQuestion": null,
    "SemanticTypeIri": "urn:effortless:pko-extension#RulebookField",
    "Name": "RequirementSatisfactions.EvaluatedByAgent",
    "IsDerived": false,
    "IsWitness": false,
    "DisagreeingSubstrateCount": 0.0,
    "IsSubstrateContested": false
   },
   {
    "RulebookFieldId": "RequirementSatisfactions.EvaluatedAt",
    "TargetTable": "RequirementSatisfactions",
    "FieldName": "EvaluatedAt",
    "FieldType": "raw",
    "Datatype": "datetime",
    "Formula": null,
    "InventedForQuestion": null,
    "SemanticTypeIri": "urn:effortless:pko-extension#RulebookField",
    "Name": "RequirementSatisfactions.EvaluatedAt",
    "IsDerived": false,
    "IsWitness": false,
    "DisagreeingSubstrateCount": 0.0,
    "IsSubstrateContested": false
   },
   {
    "RulebookFieldId": "RequirementSatisfactions.RequirementIsBlocking",
    "TargetTable": "RequirementSatisfactions",
    "FieldName": "RequirementIsBlocking",
    "FieldType": "lookup",
    "Datatype": "boolean",
    "Formula": "=INDEX(Requirements!{{IsBlocking}}, MATCH({{Requirement}}, Requirements!{{RequirementId}}, 0))",
    "InventedForQuestion": "q-analyst-blocking-unmet-on-my-step",
    "SemanticTypeIri": "urn:effortless:pko-extension#RulebookField",
    "Name": "RequirementSatisfactions.RequirementIsBlocking",
    "IsDerived": true,
    "IsWitness": true,
    "DisagreeingSubstrateCount": 0.0,
    "IsSubstrateContested": false
   },
   {
    "RulebookFieldId": "RequirementSatisfactions.IsFullySatisfied",
    "TargetTable": "RequirementSatisfactions",
    "FieldName": "IsFullySatisfied",
    "FieldType": "calculated",
    "Datatype": "boolean",
    "Formula": "={{SatisfactionLevel}} = \"Satisfied\"",
    "InventedForQuestion": "q-analyst-blocking-unmet-on-my-step",
    "SemanticTypeIri": "urn:effortless:pko-extension#RulebookField",
    "Name": "RequirementSatisfactions.IsFullySatisfied",
    "IsDerived": true,
    "IsWitness": true,
    "DisagreeingSubstrateCount": 0.0,
    "IsSubstrateContested": false
   },
   {
    "RulebookFieldId": "RequirementSatisfactions.IsBlockingAndUnmet",
    "TargetTable": "RequirementSatisfactions",
    "FieldName": "IsBlockingAndUnmet",
    "FieldType": "calculated",
    "Datatype": "boolean",
    "Formula": "=AND({{RequirementIsBlocking}}, NOT({{IsFullySatisfied}}))",
    "InventedForQuestion": "q-analyst-blocking-unmet-on-my-step",
    "SemanticTypeIri": "urn:effortless:pko-extension#RulebookField",
    "Name": "RequirementSatisfactions.IsBlockingAndUnmet",
    "IsDerived": true,
    "IsWitness": true,
    "DisagreeingSubstrateCount": 0.0,
    "IsSubstrateContested": false
   },
   {
    "RulebookFieldId": "RequirementSatisfactions.BlockingUnmetStepKey",
    "TargetTable": "RequirementSatisfactions",
    "FieldName": "BlockingUnmetStepKey",
    "FieldType": "calculated",
    "Datatype": "string",
    "Formula": "=IF({{IsBlockingAndUnmet}}, {{StepExecution}}, \"\")",
    "InventedForQuestion": "q-analyst-blocking-unmet-on-my-step",
    "SemanticTypeIri": "urn:effortless:pko-extension#RulebookField",
    "Name": "RequirementSatisfactions.BlockingUnmetStepKey",
    "IsDerived": true,
    "IsWitness": true,
    "DisagreeingSubstrateCount": 0.0,
    "IsSubstrateContested": false
   },
   {
    "RulebookFieldId": "RequirementSatisfactions.BlockingSatisfactionStepKey",
    "TargetTable": "RequirementSatisfactions",
    "FieldName": "BlockingSatisfactionStepKey",
    "FieldType": "calculated",
    "Datatype": "string",
    "Formula": "=IF({{RequirementIsBlocking}}, {{StepExecution}}, \"\")",
    "InventedForQuestion": "q-analyst-blocking-never-evaluated",
    "SemanticTypeIri": "urn:effortless:pko-extension#RulebookField",
    "Name": "RequirementSatisfactions.BlockingSatisfactionStepKey",
    "IsDerived": true,
    "IsWitness": true,
    "DisagreeingSubstrateCount": 0.0,
    "IsSubstrateContested": false
   },
   {
    "RulebookFieldId": "RequirementSatisfactions.NegativeOutcomeRequirementKey",
    "TargetTable": "RequirementSatisfactions",
    "FieldName": "NegativeOutcomeRequirementKey",
    "FieldType": "calculated",
    "Datatype": "string",
    "Formula": "=IF(NOT({{IsFullySatisfied}}), {{Requirement}}, \"\")",
    "InventedForQuestion": "q-controller-blocking-control-inoperative",
    "SemanticTypeIri": "urn:effortless:pko-extension#RulebookField",
    "Name": "RequirementSatisfactions.NegativeOutcomeRequirementKey",
    "IsDerived": true,
    "IsWitness": true,
    "DisagreeingSubstrateCount": 0.0,
    "IsSubstrateContested": false
   },
   {
    "RulebookFieldId": "RequirementSatisfactions.EvaluatorAgentKind",
    "TargetTable": "RequirementSatisfactions",
    "FieldName": "EvaluatorAgentKind",
    "FieldType": "lookup",
    "Datatype": "string",
    "Formula": "=INDEX(Agents!{{AgentKind}}, MATCH({{EvaluatedByAgent}}, Agents!{{AgentId}}, 0))",
    "InventedForQuestion": "q-controller-ai-agent-approved-meaning",
    "SemanticTypeIri": "urn:effortless:pko-extension#RulebookField",
    "Name": "RequirementSatisfactions.EvaluatorAgentKind",
    "IsDerived": true,
    "IsWitness": true,
    "DisagreeingSubstrateCount": 0.0,
    "IsSubstrateContested": false
   },
   {
    "RulebookFieldId": "RequirementSatisfactions.NonHumanEvaluatedHumanControl",
    "TargetTable": "RequirementSatisfactions",
    "FieldName": "NonHumanEvaluatedHumanControl",
    "FieldType": "calculated",
    "Datatype": "boolean",
    "Formula": "=AND({{RequirementIsBlocking}}, {{EvaluatorAgentKind}} &lt;&gt; \"Human\")",
    "InventedForQuestion": "q-controller-ai-agent-approved-meaning",
    "SemanticTypeIri": "urn:effortless:pko-extension#RulebookField",
    "Name": "RequirementSatisfactions.NonHumanEvaluatedHumanControl",
    "IsDerived": true,
    "IsWitness": true,
    "DisagreeingSubstrateCount": 0.0,
    "IsSubstrateContested": false
   },
   {
    "RulebookFieldId": "RequirementSatisfactions.RequirementHasComputedWitness",
    "TargetTable": "RequirementSatisfactions",
    "FieldName": "RequirementHasComputedWitness",
    "FieldType": "lookup",
    "Datatype": "boolean",
    "Formula": "=INDEX(Requirements!{{HasComputedWitness}}, MATCH({{Requirement}}, Requirements!{{RequirementId}}, 0))",
    "InventedForQuestion": "q-cfo-am-i-being-told-everything",
    "SemanticTypeIri": "urn:effortless:pko-extension#RulebookField",
    "Name": "RequirementSatisfactions.RequirementHasComputedWitness",
    "IsDerived": true,
    "IsWitness": true,
    "DisagreeingSubstrateCount": 0.0,
    "IsSubstrateContested": false
   },
   {
    "RulebookFieldId": "RequirementSatisfactions.IsAssertedOnly",
    "TargetTable": "RequirementSatisfactions",
    "FieldName": "IsAssertedOnly",
    "FieldType": "calculated",
    "Datatype": "boolean",
    "Formula": "=AND({{RequirementIsBlocking}}, {{IsFullySatisfied}}, NOT({{RequirementHasComputedWitness}}))",
    "InventedForQuestion": "q-cfo-am-i-being-told-everything",
    "SemanticTypeIri": "urn:effortless:pko-extension#RulebookField",
    "Name": "RequirementSatisfactions.IsAssertedOnly",
    "IsDerived": true,
    "IsWitness": true,
    "DisagreeingSubstrateCount": 0.0,
    "IsSubstrateContested": false
   },
   {
    "RulebookFieldId": "RequirementSatisfactions.AssertedOnlyExecutionKey",
    "TargetTable": "RequirementSatisfactions",
    "FieldName": "AssertedOnlyExecutionKey",
    "FieldType": "calculated",
    "Datatype": "string",
    "Formula": "=IF({{IsAssertedOnly}}, {{ParentProcedureExecution}}, \"\")",
    "InventedForQuestion": "q-cfo-am-i-being-told-everything",
    "SemanticTypeIri": "urn:effortless:pko-extension#RulebookField",
    "Name": "RequirementSatisfactions.AssertedOnlyExecutionKey",
    "IsDerived": true,
    "IsWitness": true,
    "DisagreeingSubstrateCount": 0.0,
    "IsSubstrateContested": false
   },
   {
    "RulebookFieldId": "RequirementSatisfactions.ParentProcedureExecution",
    "TargetTable": "RequirementSatisfactions",
    "FieldName": "ParentProcedureExecution",
    "FieldType": "lookup",
    "Datatype": "string",
    "Formula": "=INDEX(StepExecutions!{{ProcedureExecution}}, MATCH({{StepExecution}}, StepExecutions!{{StepExecutionId}}, 0))",
    "InventedForQuestion": "q-cfo-am-i-being-told-everything",
    "SemanticTypeIri": "urn:effortless:pko-extension#RulebookField",
    "Name": "RequirementSatisfactions.ParentProcedureExecution",
    "IsDerived": true,
    "IsWitness": true,
    "DisagreeingSubstrateCount": 0.0,
    "IsSubstrateContested": false
   },
   {
    "RulebookFieldId": "RequirementSatisfactions.StepExecutionWhenScored",
    "TargetTable": "RequirementSatisfactions",
    "FieldName": "StepExecutionWhenScored",
    "FieldType": "calculated",
    "Datatype": "string",
    "Formula": "=IF({{SatisfactionLevel}} &lt;&gt; \"\", {{StepExecution}}, \"\")",
    "InventedForQuestion": "q-close-auto-blocking-requirements-evaluated",
    "SemanticTypeIri": "urn:effortless:pko-extension#RulebookField",
    "Name": "RequirementSatisfactions.StepExecutionWhenScored",
    "IsDerived": true,
    "IsWitness": true,
    "DisagreeingSubstrateCount": 0.0,
    "IsSubstrateContested": false
   },
   {
    "RulebookFieldId": "RequirementSatisfactions.IsHumanEvaluated",
    "TargetTable": "RequirementSatisfactions",
    "FieldName": "IsHumanEvaluated",
    "FieldType": "calculated",
    "Datatype": "boolean",
    "Formula": "={{EvaluatorAgentKind}} = \"Human\"",
    "InventedForQuestion": "q-policy-ai-approval-chain-complete",
    "SemanticTypeIri": "urn:effortless:pko-extension#RulebookField",
    "Name": "RequirementSatisfactions.IsHumanEvaluated",
    "IsDerived": true,
    "IsWitness": true,
    "DisagreeingSubstrateCount": 0.0,
    "IsSubstrateContested": false
   },
   {
    "RulebookFieldId": "RequirementSatisfactions.RequirementIsApprovalType",
    "TargetTable": "RequirementSatisfactions",
    "FieldName": "RequirementIsApprovalType",
    "FieldType": "lookup",
    "Datatype": "string",
    "Formula": "=INDEX(Requirements!{{RequirementType}}, MATCH({{Requirement}}, Requirements!{{RequirementId}}, 0))",
    "InventedForQuestion": "q-policy-ai-approval-chain-complete",
    "SemanticTypeIri": "urn:effortless:pko-extension#RulebookField",
    "Name": "RequirementSatisfactions.RequirementIsApprovalType",
    "IsDerived": true,
    "IsWitness": true,
    "DisagreeingSubstrateCount": 0.0,
    "IsSubstrateContested": false
   },
   {
    "RulebookFieldId": "RequirementSatisfactions.IsInvalidApproval",
    "TargetTable": "RequirementSatisfactions",
    "FieldName": "IsInvalidApproval",
    "FieldType": "calculated",
    "Datatype": "boolean",
    "Formula": "=AND({{RequirementIsApprovalType}} = \"Approval\", OR(NOT({{IsFullySatisfied}}), NOT({{IsHumanEvaluated}})))",
    "InventedForQuestion": "q-policy-ai-approval-chain-complete",
    "SemanticTypeIri": "urn:effortless:pko-extension#RulebookField",
    "Name": "RequirementSatisfactions.IsInvalidApproval",
    "IsDerived": true,
    "IsWitness": true,
    "DisagreeingSubstrateCount": 0.0,
    "IsSubstrateContested": false
   },
   {
    "RulebookFieldId": "RequirementSatisfactions.ProcedureExecutionOfSatisfaction",
    "TargetTable": "RequirementSatisfactions",
    "FieldName": "ProcedureExecutionOfSatisfaction",
    "FieldType": "lookup",
    "Datatype": "string",
    "Formula": "=INDEX(StepExecutions!{{ProcedureExecution}}, MATCH({{StepExecution}}, StepExecutions!{{StepExecutionId}}, 0))",
    "InventedForQuestion": "q-policy-ai-approval-chain-complete",
    "SemanticTypeIri": "urn:effortless:pko-extension#RulebookField",
    "Name": "RequirementSatisfactions.ProcedureExecutionOfSatisfaction",
    "IsDerived": true,
    "IsWitness": true,
    "DisagreeingSubstrateCount": 0.0,
    "IsSubstrateContested": false
   },
   {
    "RulebookFieldId": "RequirementSatisfactions.RunWhenInvalidApproval",
    "TargetTable": "RequirementSatisfactions",
    "FieldName": "RunWhenInvalidApproval",
    "FieldType": "calculated",
    "Datatype": "string",
    "Formula": "=IF({{IsInvalidApproval}}, {{ProcedureExecutionOfSatisfaction}}, \"\")",
    "InventedForQuestion": "q-policy-ai-approval-chain-complete",
    "SemanticTypeIri": "urn:effortless:pko-extension#RulebookField",
    "Name": "RequirementSatisfactions.RunWhenInvalidApproval",
    "IsDerived": true,
    "IsWitness": true,
    "DisagreeingSubstrateCount": 0.0,
    "IsSubstrateContested": false
   },
   {
    "RulebookFieldId": "RequirementSatisfactions.RequirementIsUnfalsified",
    "TargetTable": "RequirementSatisfactions",
    "FieldName": "RequirementIsUnfalsified",
    "FieldType": "lookup",
    "Datatype": "boolean",
    "Formula": "=INDEX(Requirements!{{IsUnfalsifiedControl}}, MATCH({{Requirement}}, Requirements!{{RequirementId}}, 0))",
    "InventedForQuestion": "q2-fa-cleared-by-mute-control",
    "SemanticTypeIri": "urn:effortless:pko-extension#RulebookField",
    "Name": "RequirementSatisfactions.RequirementIsUnfalsified",
    "IsDerived": true,
    "IsWitness": true,
    "DisagreeingSubstrateCount": 0.0,
    "IsSubstrateContested": false
   },
   {
    "RulebookFieldId": "RequirementSatisfactions.IsClearanceByUnfalsifiedControl",
    "TargetTable": "RequirementSatisfactions",
    "FieldName": "IsClearanceByUnfalsifiedControl",
    "FieldType": "calculated",
    "Datatype": "boolean",
    "Formula": "=AND({{IsFullySatisfied}}, {{RequirementIsBlocking}}, {{RequirementIsUnfalsified}})",
    "InventedForQuestion": "q2-fa-cleared-by-mute-control",
    "SemanticTypeIri": "urn:effortless:pko-extension#RulebookField",
    "Name": "RequirementSatisfactions.IsClearanceByUnfalsifiedControl",
    "IsDerived": true,
    "IsWitness": true,
    "DisagreeingSubstrateCount": 0.0,
    "IsSubstrateContested": false
   },
   {
    "RulebookFieldId": "RequirementSatisfactions.UnfalsifiedClearanceStepKey",
    "TargetTable": "RequirementSatisfactions",
    "FieldName": "UnfalsifiedClearanceStepKey",
    "FieldType": "calculated",
    "Datatype": "string",
    "Formula": "=IF({{IsClearanceByUnfalsifiedControl}}, {{StepExecution}}, \"\")",
    "InventedForQuestion": "q2-fa-cleared-by-mute-control",
    "SemanticTypeIri": "urn:effortless:pko-extension#RulebookField",
    "Name": "RequirementSatisfactions.UnfalsifiedClearanceStepKey",
    "IsDerived": true,
    "IsWitness": true,
    "DisagreeingSubstrateCount": 0.0,
    "IsSubstrateContested": false
   },
   {
    "RulebookFieldId": "RequirementSatisfactions.SpecStepOfExecution",
    "TargetTable": "RequirementSatisfactions",
    "FieldName": "SpecStepOfExecution",
    "FieldType": "lookup",
    "Datatype": "string",
    "Formula": "=INDEX(StepExecutions!{{Step}}, MATCH({{StepExecution}}, StepExecutions!{{StepExecutionId}}, 0))",
    "InventedForQuestion": "q2-ctl-witness-scope-vs-binding",
    "SemanticTypeIri": "urn:effortless:pko-extension#RulebookField",
    "Name": "RequirementSatisfactions.SpecStepOfExecution",
    "IsDerived": true,
    "IsWitness": true,
    "DisagreeingSubstrateCount": 0.0,
    "IsSubstrateContested": false
   },
   {
    "RulebookFieldId": "RequirementSatisfactions.BindingKey",
    "TargetTable": "RequirementSatisfactions",
    "FieldName": "BindingKey",
    "FieldType": "lookup",
    "Datatype": "string",
    "Formula": "=INDEX(StepRequirements!{{StepRequirementId}}, MATCH({{RequirementSatisfactionId}}, StepRequirements!{{StepRequirementId}}, 0))",
    "InventedForQuestion": "q2-ctl-witness-scope-vs-binding",
    "SemanticTypeIri": "urn:effortless:pko-extension#RulebookField",
    "Name": "RequirementSatisfactions.BindingKey",
    "IsDerived": true,
    "IsWitness": true,
    "DisagreeingSubstrateCount": 0.0,
    "IsSubstrateContested": false
   },
   {
    "RulebookFieldId": "RequirementSatisfactions.ScoredStepExecutorAgent",
    "TargetTable": "RequirementSatisfactions",
    "FieldName": "ScoredStepExecutorAgent",
    "FieldType": "lookup",
    "Datatype": "string",
    "Formula": "=INDEX(StepExecutions!{{ExecutedByAgent}}, MATCH({{StepExecution}}, StepExecutions!{{StepExecutionId}}, 0))",
    "InventedForQuestion": "q2-ctl-asserted-controls-by-who",
    "SemanticTypeIri": "urn:effortless:pko-extension#RulebookField",
    "Name": "RequirementSatisfactions.ScoredStepExecutorAgent",
    "IsDerived": true,
    "IsWitness": true,
    "DisagreeingSubstrateCount": 0.0,
    "IsSubstrateContested": false
   },
   {
    "RulebookFieldId": "RequirementSatisfactions.EvaluatorIsStepExecutor",
    "TargetTable": "RequirementSatisfactions",
    "FieldName": "EvaluatorIsStepExecutor",
    "FieldType": "calculated",
    "Datatype": "boolean",
    "Formula": "={{EvaluatedByAgent}} = {{ScoredStepExecutorAgent}}",
    "InventedForQuestion": "q2-ctl-asserted-controls-by-who",
    "SemanticTypeIri": "urn:effortless:pko-extension#RulebookField",
    "Name": "RequirementSatisfactions.EvaluatorIsStepExecutor",
    "IsDerived": true,
    "IsWitness": true,
    "DisagreeingSubstrateCount": 0.0,
    "IsSubstrateContested": false
   },
   {
    "RulebookFieldId": "RequirementSatisfactions.RunOwnerAgent",
    "TargetTable": "RequirementSatisfactions",
    "FieldName": "RunOwnerAgent",
    "FieldType": "lookup",
    "Datatype": "string",
    "Formula": "=INDEX(ProcedureExecutions!{{ExecutedByAgent}}, MATCH({{ParentProcedureExecution}}, ProcedureExecutions!{{ProcedureExecutionId}}, 0))",
    "InventedForQuestion": "q2-ctl-asserted-controls-by-who",
    "SemanticTypeIri": "urn:effortless:pko-extension#RulebookField",
    "Name": "RequirementSatisfactions.RunOwnerAgent",
    "IsDerived": true,
    "IsWitness": true,
    "DisagreeingSubstrateCount": 0.0,
    "IsSubstrateContested": false
   },
   {
    "RulebookFieldId": "RequirementSatisfactions.EvaluatorOwnsTheRun",
    "TargetTable": "RequirementSatisfactions",
    "FieldName": "EvaluatorOwnsTheRun",
    "FieldType": "calculated",
    "Datatype": "boolean",
    "Formula": "={{EvaluatedByAgent}} = {{RunOwnerAgent}}",
    "InventedForQuestion": "q2-ctl-asserted-controls-by-who",
    "SemanticTypeIri": "urn:effortless:pko-extension#RulebookField",
    "Name": "RequirementSatisfactions.EvaluatorOwnsTheRun",
    "IsDerived": true,
    "IsWitness": true,
    "DisagreeingSubstrateCount": 0.0,
    "IsSubstrateContested": false
   },
   {
    "RulebookFieldId": "RequirementSatisfactions.IsInterestedPartyAssertion",
    "TargetTable": "RequirementSatisfactions",
    "FieldName": "IsInterestedPartyAssertion",
    "FieldType": "calculated",
    "Datatype": "boolean",
    "Formula": "=AND({{IsAssertedOnly}}, OR({{EvaluatorIsStepExecutor}}, {{EvaluatorOwnsTheRun}}))",
    "InventedForQuestion": "q2-ctl-asserted-controls-by-who",
    "SemanticTypeIri": "urn:effortless:pko-extension#RulebookField",
    "Name": "RequirementSatisfactions.IsInterestedPartyAssertion",
    "IsDerived": true,
    "IsWitness": true,
    "DisagreeingSubstrateCount": 0.0,
    "IsSubstrateContested": false
   },
   {
    "RulebookFieldId": "RequirementSatisfactions.HasWrittenEvidence",
    "TargetTable": "RequirementSatisfactions",
    "FieldName": "HasWrittenEvidence",
    "FieldType": "calculated",
    "Datatype": "boolean",
    "Formula": "={{Evidence}} &lt;&gt; \"\"",
    "InventedForQuestion": "q2-ctl-asserted-controls-by-who",
    "SemanticTypeIri": "urn:effortless:pko-extension#RulebookField",
    "Name": "RequirementSatisfactions.HasWrittenEvidence",
    "IsDerived": true,
    "IsWitness": true,
    "DisagreeingSubstrateCount": 0.0,
    "IsSubstrateContested": false
   },
   {
    "RulebookFieldId": "RequirementSatisfactions.IsBareAssertion",
    "TargetTable": "RequirementSatisfactions",
    "FieldName": "IsBareAssertion",
    "FieldType": "calculated",
    "Datatype": "boolean",
    "Formula": "=AND({{IsAssertedOnly}}, NOT({{HasWrittenEvidence}}))",
    "InventedForQuestion": "q2-ctl-asserted-controls-by-who",
    "SemanticTypeIri": "urn:effortless:pko-extension#RulebookField",
    "Name": "RequirementSatisfactions.IsBareAssertion",
    "IsDerived": true,
    "IsWitness": true,
    "DisagreeingSubstrateCount": 0.0,
    "IsSubstrateContested": false
   },
   {
    "RulebookFieldId": "RequirementSatisfactions.InterestedAssertionExecutionKey",
    "TargetTable": "RequirementSatisfactions",
    "FieldName": "InterestedAssertionExecutionKey",
    "FieldType": "calculated",
    "Datatype": "string",
    "Formula": "=IF({{IsInterestedPartyAssertion}}, {{ParentProcedureExecution}}, \"\")",
    "InventedForQuestion": "q2-ctl-asserted-controls-by-who",
    "SemanticTypeIri": "urn:effortless:pko-extension#RulebookField",
    "Name": "RequirementSatisfactions.InterestedAssertionExecutionKey",
    "IsDerived": true,
    "IsWitness": true,
    "DisagreeingSubstrateCount": 0.0,
    "IsSubstrateContested": false
   },
   {
    "RulebookFieldId": "RequirementSatisfactions.IsComputedlyWitnessed",
    "TargetTable": "RequirementSatisfactions",
    "FieldName": "IsComputedlyWitnessed",
    "FieldType": "calculated",
    "Datatype": "boolean",
    "Formula": "=AND({{RequirementIsBlocking}}, {{RequirementHasComputedWitness}})",
    "InventedForQuestion": "q2-cfo-quality-of-a-green-attestation",
    "SemanticTypeIri": "urn:effortless:pko-extension#RulebookField",
    "Name": "RequirementSatisfactions.IsComputedlyWitnessed",
    "IsDerived": true,
    "IsWitness": true,
    "DisagreeingSubstrateCount": 0.0,
    "IsSubstrateContested": false
   },
   {
    "RulebookFieldId": "RequirementSatisfactions.ComputedWitnessExecutionKey",
    "TargetTable": "RequirementSatisfactions",
    "FieldName": "ComputedWitnessExecutionKey",
    "FieldType": "calculated",
    "Datatype": "string",
    "Formula": "=IF({{IsComputedlyWitnessed}}, {{ParentProcedureExecution}}, \"\")",
    "InventedForQuestion": "q2-cfo-quality-of-a-green-attestation",
    "SemanticTypeIri": "urn:effortless:pko-extension#RulebookField",
    "Name": "RequirementSatisfactions.ComputedWitnessExecutionKey",
    "IsDerived": true,
    "IsWitness": true,
    "DisagreeingSubstrateCount": 0.0,
    "IsSubstrateContested": false
   },
   {
    "RulebookFieldId": "RequirementSatisfactions.StepExecutorAgent",
    "TargetTable": "RequirementSatisfactions",
    "FieldName": "StepExecutorAgent",
    "FieldType": "lookup",
    "Datatype": "string",
    "Formula": "=INDEX(StepExecutions!{{ExecutedByAgent}}, MATCH({{StepExecution}}, StepExecutions!{{StepExecutionId}}, 0))",
    "InventedForQuestion": "q2-cfo-quality-of-a-green-attestation",
    "SemanticTypeIri": "urn:effortless:pko-extension#RulebookField",
    "Name": "RequirementSatisfactions.StepExecutorAgent",
    "IsDerived": true,
    "IsWitness": true,
    "DisagreeingSubstrateCount": 0.0,
    "IsSubstrateContested": false
   },
   {
    "RulebookFieldId": "RequirementSatisfactions.WasScoredAfterAttestation",
    "TargetTable": "RequirementSatisfactions",
    "FieldName": "WasScoredAfterAttestation",
    "FieldType": "calculated",
    "Datatype": "boolean",
    "Formula": "=DATETIME_DIFF({{EvaluatedAt}}, {{AttestationInstantForRun}}, \"minutes\") &gt; 0",
    "InventedForQuestion": "q2-cfo-what-changed-since-i-signed",
    "SemanticTypeIri": "urn:effortless:pko-extension#RulebookField",
    "Name": "RequirementSatisfactions.WasScoredAfterAttestation",
    "IsDerived": true,
    "IsWitness": true,
    "DisagreeingSubstrateCount": 1.0,
    "IsSubstrateContested": true
   },
   {
    "RulebookFieldId": "RequirementSatisfactions.AttestationInstantForRun",
    "TargetTable": "RequirementSatisfactions",
    "FieldName": "AttestationInstantForRun",
    "FieldType": "lookup",
    "Datatype": "datetime",
    "Formula": "=INDEX(ProcedureExecutions!{{LatestAttestationInstant}}, MATCH({{ParentProcedureExecution}}, ProcedureExecutions!{{ProcedureExecutionId}}, 0))",
    "InventedForQuestion": "q2-cfo-what-changed-since-i-signed",
    "SemanticTypeIri": "urn:effortless:pko-extension#RulebookField",
    "Name": "RequirementSatisfactions.AttestationInstantForRun",
    "IsDerived": true,
    "IsWitness": true,
    "DisagreeingSubstrateCount": 1.0,
    "IsSubstrateContested": true
   },
   {
    "RulebookFieldId": "RequirementSatisfactions.PostAttestationScoreExecutionKey",
    "TargetTable": "RequirementSatisfactions",
    "FieldName": "PostAttestationScoreExecutionKey",
    "FieldType": "calculated",
    "Datatype": "string",
    "Formula": "=IF({{WasScoredAfterAttestation}}, {{ParentProcedureExecution}}, \"\")",
    "InventedForQuestion": "q2-cfo-what-changed-since-i-signed",
    "SemanticTypeIri": "urn:effortless:pko-extension#RulebookField",
    "Name": "RequirementSatisfactions.PostAttestationScoreExecutionKey",
    "IsDerived": true,
    "IsWitness": true,
    "DisagreeingSubstrateCount": 1.0,
    "IsSubstrateContested": true
   },
   {
    "RulebookFieldId": "RequirementSatisfactions.SemanticTypeIri",
    "TargetTable": "RequirementSatisfactions",
    "FieldName": "SemanticTypeIri",
    "FieldType": "raw",
    "Datatype": "string",
    "Formula": null,
    "InventedForQuestion": null,
    "SemanticTypeIri": "urn:effortless:pko-extension#RulebookField",
    "Name": "RequirementSatisfactions.SemanticTypeIri",
    "IsDerived": false,
    "IsWitness": false,
    "DisagreeingSubstrateCount": 0.0,
    "IsSubstrateContested": false
   },
   {
    "RulebookFieldId": "Errors.ErrorId",
    "TargetTable": "Errors",
    "FieldName": "ErrorId",
    "FieldType": "raw",
    "Datatype": "string",
    "Formula": null,
    "InventedForQuestion": null,
    "SemanticTypeIri": "urn:effortless:pko-extension#RulebookField",
    "Name": "Errors.ErrorId",
    "IsDerived": false,
    "IsWitness": false,
    "DisagreeingSubstrateCount": 0.0,
    "IsSubstrateContested": false
   },
   {
    "RulebookFieldId": "Errors.Name",
    "TargetTable": "Errors",
    "FieldName": "Name",
    "FieldType": "calculated",
    "Datatype": "string",
    "Formula": "={{ErrorCode}} &amp; \" - \" &amp; {{Label}}",
    "InventedForQuestion": null,
    "SemanticTypeIri": "urn:effortless:pko-extension#RulebookField",
    "Name": "Errors.Name",
    "IsDerived": true,
    "IsWitness": false,
    "DisagreeingSubstrateCount": 0.0,
    "IsSubstrateContested": false
   },
   {
    "RulebookFieldId": "Errors.Label",
    "TargetTable": "Errors",
    "FieldName": "Label",
    "FieldType": "raw",
    "Datatype": "string",
    "Formula": null,
    "InventedForQuestion": null,
    "SemanticTypeIri": "urn:effortless:pko-extension#RulebookField",
    "Name": "Errors.Label",
    "IsDerived": false,
    "IsWitness": false,
    "DisagreeingSubstrateCount": 0.0,
    "IsSubstrateContested": false
   },
   {
    "RulebookFieldId": "Errors.ErrorCode",
    "TargetTable": "Errors",
    "FieldName": "ErrorCode",
    "FieldType": "raw",
    "Datatype": "string",
    "Formula": null,
    "InventedForQuestion": null,
    "SemanticTypeIri": "urn:effortless:pko-extension#RulebookField",
    "Name": "Errors.ErrorCode",
    "IsDerived": false,
    "IsWitness": false,
    "DisagreeingSubstrateCount": 0.0,
    "IsSubstrateContested": false
   },
   {
    "RulebookFieldId": "Errors.ErrorCause",
    "TargetTable": "Errors",
    "FieldName": "ErrorCause",
    "FieldType": "raw",
    "Datatype": "string",
    "Formula": null,
    "InventedForQuestion": null,
    "SemanticTypeIri": "urn:effortless:pko-extension#RulebookField",
    "Name": "Errors.ErrorCause",
    "IsDerived": false,
    "IsWitness": false,
    "DisagreeingSubstrateCount": 0.0,
    "IsSubstrateContested": false
   },
   {
    "RulebookFieldId": "Errors.SemanticTypeIri",
    "TargetTable": "Errors",
    "FieldName": "SemanticTypeIri",
    "FieldType": "raw",
    "Datatype": "string",
    "Formula": null,
    "InventedForQuestion": null,
    "SemanticTypeIri": "urn:effortless:pko-extension#RulebookField",
    "Name": "Errors.SemanticTypeIri",
    "IsDerived": false,
    "IsWitness": false,
    "DisagreeingSubstrateCount": 0.0,
    "IsSubstrateContested": false
   },
   {
    "RulebookFieldId": "IssueOccurrences.IssueOccurrenceId",
    "TargetTable": "IssueOccurrences",
    "FieldName": "IssueOccurrenceId",
    "FieldType": "raw",
    "Datatype": "string",
    "Formula": null,
    "InventedForQuestion": null,
    "SemanticTypeIri": "urn:effortless:pko-extension#RulebookField",
    "Name": "IssueOccurrences.IssueOccurrenceId",
    "IsDerived": false,
    "IsWitness": false,
    "DisagreeingSubstrateCount": 0.0,
    "IsSubstrateContested": false
   },
   {
    "RulebookFieldId": "IssueOccurrences.Name",
    "TargetTable": "IssueOccurrences",
    "FieldName": "Name",
    "FieldType": "calculated",
    "Datatype": "string",
    "Formula": "={{Error}} &amp; \" @ \" &amp; {{OccurredAt}}",
    "InventedForQuestion": null,
    "SemanticTypeIri": "urn:effortless:pko-extension#RulebookField",
    "Name": "IssueOccurrences.Name",
    "IsDerived": true,
    "IsWitness": false,
    "DisagreeingSubstrateCount": 0.0,
    "IsSubstrateContested": false
   },
   {
    "RulebookFieldId": "IssueOccurrences.StepExecution",
    "TargetTable": "IssueOccurrences",
    "FieldName": "StepExecution",
    "FieldType": "relationship",
    "Datatype": "string",
    "Formula": null,
    "InventedForQuestion": null,
    "SemanticTypeIri": "urn:effortless:pko-extension#RulebookField",
    "Name": "IssueOccurrences.StepExecution",
    "IsDerived": false,
    "IsWitness": false,
    "DisagreeingSubstrateCount": 0.0,
    "IsSubstrateContested": false
   },
   {
    "RulebookFieldId": "IssueOccurrences.Error",
    "TargetTable": "IssueOccurrences",
    "FieldName": "Error",
    "FieldType": "relationship",
    "Datatype": "string",
    "Formula": null,
    "InventedForQuestion": null,
    "SemanticTypeIri": "urn:effortless:pko-extension#RulebookField",
    "Name": "IssueOccurrences.Error",
    "IsDerived": false,
    "IsWitness": false,
    "DisagreeingSubstrateCount": 0.0,
    "IsSubstrateContested": false
   },
   {
    "RulebookFieldId": "IssueOccurrences.EncounteredB</t>
  </si>
  <si>
    <t xml:space="preserve">yAgent",
    "TargetTable": "IssueOccurrences",
    "FieldName": "EncounteredByAgent",
    "FieldType": "relationship",
    "Datatype": "string",
    "Formula": null,
    "InventedForQuestion": null,
    "SemanticTypeIri": "urn:effortless:pko-extension#RulebookField",
    "Name": "IssueOccurrences.EncounteredByAgent",
    "IsDerived": false,
    "IsWitness": false,
    "DisagreeingSubstrateCount": 0.0,
    "IsSubstrateContested": false
   },
   {
    "RulebookFieldId": "IssueOccurrences.OccurredAt",
    "TargetTable": "IssueOccurrences",
    "FieldName": "OccurredAt",
    "FieldType": "raw",
    "Datatype": "datetime",
    "Formula": null,
    "InventedForQuestion": null,
    "SemanticTypeIri": "urn:effortless:pko-extension#RulebookField",
    "Name": "IssueOccurrences.OccurredAt",
    "IsDerived": false,
    "IsWitness": false,
    "DisagreeingSubstrateCount": 0.0,
    "IsSubstrateContested": false
   },
   {
    "RulebookFieldId": "IssueOccurrences.IssueCause",
    "TargetTable": "IssueOccurrences",
    "FieldName": "IssueCause",
    "FieldType": "raw",
    "Datatype": "string",
    "Formula": null,
    "InventedForQuestion": null,
    "SemanticTypeIri": "urn:effortless:pko-extension#RulebookField",
    "Name": "IssueOccurrences.IssueCause",
    "IsDerived": false,
    "IsWitness": false,
    "DisagreeingSubstrateCount": 0.0,
    "IsSubstrateContested": false
   },
   {
    "RulebookFieldId": "IssueOccurrences.IssueSolution",
    "TargetTable": "IssueOccurrences",
    "FieldName": "IssueSolution",
    "FieldType": "raw",
    "Datatype": "string",
    "Formula": null,
    "InventedForQuestion": null,
    "SemanticTypeIri": "urn:effortless:pko-extension#RulebookField",
    "Name": "IssueOccurrences.IssueSolution",
    "IsDerived": false,
    "IsWitness": false,
    "DisagreeingSubstrateCount": 0.0,
    "IsSubstrateContested": false
   },
   {
    "RulebookFieldId": "IssueOccurrences.Status",
    "TargetTable": "IssueOccurrences",
    "FieldName": "Status",
    "FieldType": "raw",
    "Datatype": "string",
    "Formula": null,
    "InventedForQuestion": null,
    "SemanticTypeIri": "urn:effortless:pko-extension#RulebookField",
    "Name": "IssueOccurrences.Status",
    "IsDerived": false,
    "IsWitness": false,
    "DisagreeingSubstrateCount": 0.0,
    "IsSubstrateContested": false
   },
   {
    "RulebookFieldId": "IssueOccurrences.IsUnresolved",
    "TargetTable": "IssueOccurrences",
    "FieldName": "IsUnresolved",
    "FieldType": "calculated",
    "Datatype": "boolean",
    "Formula": "=OR({{Status}} = \"Open\", {{Status}} = \"Investigating\", {{Status}} = \"Monitoring\")",
    "InventedForQuestion": "q-close-auto-last-run-clean",
    "SemanticTypeIri": "urn:effortless:pko-extension#RulebookField",
    "Name": "IssueOccurrences.IsUnresolved",
    "IsDerived": true,
    "IsWitness": true,
    "DisagreeingSubstrateCount": 0.0,
    "IsSubstrateContested": false
   },
   {
    "RulebookFieldId": "IssueOccurrences.StepExecutionWhenUnresolved",
    "TargetTable": "IssueOccurrences",
    "FieldName": "StepExecutionWhenUnresolved",
    "FieldType": "calculated",
    "Datatype": "string",
    "Formula": "=IF({{IsUnresolved}}, {{StepExecution}}, \"\")",
    "InventedForQuestion": "q-close-auto-last-run-clean",
    "SemanticTypeIri": "urn:effortless:pko-extension#RulebookField",
    "Name": "IssueOccurrences.StepExecutionWhenUnresolved",
    "IsDerived": true,
    "IsWitness": true,
    "DisagreeingSubstrateCount": 0.0,
    "IsSubstrateContested": false
   },
   {
    "RulebookFieldId": "IssueOccurrences.SemanticTypeIri",
    "TargetTable": "IssueOccurrences",
    "FieldName": "SemanticTypeIri",
    "FieldType": "raw",
    "Datatype": "string",
    "Formula": null,
    "InventedForQuestion": null,
    "SemanticTypeIri": "urn:effortless:pko-extension#RulebookField",
    "Name": "IssueOccurrences.SemanticTypeIri",
    "IsDerived": false,
    "IsWitness": false,
    "DisagreeingSubstrateCount": 0.0,
    "IsSubstrateContested": false
   },
   {
    "RulebookFieldId": "UserQuestions.UserQuestionId",
    "TargetTable": "UserQuestions",
    "FieldName": "UserQuestionId",
    "FieldType": "raw",
    "Datatype": "string",
    "Formula": null,
    "InventedForQuestion": null,
    "SemanticTypeIri": "urn:effortless:pko-extension#RulebookField",
    "Name": "UserQuestions.UserQuestionId",
    "IsDerived": false,
    "IsWitness": false,
    "DisagreeingSubstrateCount": 0.0,
    "IsSubstrateContested": false
   },
   {
    "RulebookFieldId": "UserQuestions.Name",
    "TargetTable": "UserQuestions",
    "FieldName": "Name",
    "FieldType": "calculated",
    "Datatype": "string",
    "Formula": "=LEFT({{QuestionText}}, 70)",
    "InventedForQuestion": null,
    "SemanticTypeIri": "urn:effortless:pko-extension#RulebookField",
    "Name": "UserQuestions.Name",
    "IsDerived": true,
    "IsWitness": false,
    "DisagreeingSubstrateCount": 0.0,
    "IsSubstrateContested": false
   },
   {
    "RulebookFieldId": "UserQuestions.StepExecution",
    "TargetTable": "UserQuestions",
    "FieldName": "StepExecution",
    "FieldType": "relationship",
    "Datatype": "string",
    "Formula": null,
    "InventedForQuestion": null,
    "SemanticTypeIri": "urn:effortless:pko-extension#RulebookField",
    "Name": "UserQuestions.StepExecution",
    "IsDerived": false,
    "IsWitness": false,
    "DisagreeingSubstrateCount": 0.0,
    "IsSubstrateContested": false
   },
   {
    "RulebookFieldId": "UserQuestions.AskedByAgent",
    "TargetTable": "UserQuestions",
    "FieldName": "AskedByAgent",
    "FieldType": "relationship",
    "Datatype": "string",
    "Formula": null,
    "InventedForQuestion": null,
    "SemanticTypeIri": "urn:effortless:pko-extension#RulebookField",
    "Name": "UserQuestions.AskedByAgent",
    "IsDerived": false,
    "IsWitness": false,
    "DisagreeingSubstrateCount": 0.0,
    "IsSubstrateContested": false
   },
   {
    "RulebookFieldId": "UserQuestions.AskedAt",
    "TargetTable": "UserQuestions",
    "FieldName": "AskedAt",
    "FieldType": "raw",
    "Datatype": "datetime",
    "Formula": null,
    "InventedForQuestion": null,
    "SemanticTypeIri": "urn:effortless:pko-extension#RulebookField",
    "Name": "UserQuestions.AskedAt",
    "IsDerived": false,
    "IsWitness": false,
    "DisagreeingSubstrateCount": 0.0,
    "IsSubstrateContested": false
   },
   {
    "RulebookFieldId": "UserQuestions.QuestionText",
    "TargetTable": "UserQuestions",
    "FieldName": "QuestionText",
    "FieldType": "raw",
    "Datatype": "string",
    "Formula": null,
    "InventedForQuestion": null,
    "SemanticTypeIri": "urn:effortless:pko-extension#RulebookField",
    "Name": "UserQuestions.QuestionText",
    "IsDerived": false,
    "IsWitness": false,
    "DisagreeingSubstrateCount": 0.0,
    "IsSubstrateContested": false
   },
   {
    "RulebookFieldId": "UserQuestions.ResolvedByFaq",
    "TargetTable": "UserQuestions",
    "FieldName": "ResolvedByFaq",
    "FieldType": "relationship",
    "Datatype": "string",
    "Formula": null,
    "InventedForQuestion": null,
    "SemanticTypeIri": "urn:effortless:pko-extension#RulebookField",
    "Name": "UserQuestions.ResolvedByFaq",
    "IsDerived": false,
    "IsWitness": false,
    "DisagreeingSubstrateCount": 0.0,
    "IsSubstrateContested": false
   },
   {
    "RulebookFieldId": "UserQuestions.AddressedByResource",
    "TargetTable": "UserQuestions",
    "FieldName": "AddressedByResource",
    "FieldType": "relationship",
    "Datatype": "string",
    "Formula": null,
    "InventedForQuestion": null,
    "SemanticTypeIri": "urn:effortless:pko-extension#RulebookField",
    "Name": "UserQuestions.AddressedByResource",
    "IsDerived": false,
    "IsWitness": false,
    "DisagreeingSubstrateCount": 0.0,
    "IsSubstrateContested": false
   },
   {
    "RulebookFieldId": "UserQuestions.Status",
    "TargetTable": "UserQuestions",
    "FieldName": "Status",
    "FieldType": "raw",
    "Datatype": "string",
    "Formula": null,
    "InventedForQuestion": null,
    "SemanticTypeIri": "urn:effortless:pko-extension#RulebookField",
    "Name": "UserQuestions.Status",
    "IsDerived": false,
    "IsWitness": false,
    "DisagreeingSubstrateCount": 0.0,
    "IsSubstrateContested": false
   },
   {
    "RulebookFieldId": "UserQuestions.SemanticTypeIri",
    "TargetTable": "UserQuestions",
    "FieldName": "SemanticTypeIri",
    "FieldType": "raw",
    "Datatype": "string",
    "Formula": null,
    "InventedForQuestion": null,
    "SemanticTypeIri": "urn:effortless:pko-extension#RulebookField",
    "Name": "UserQuestions.SemanticTypeIri",
    "IsDerived": false,
    "IsWitness": false,
    "DisagreeingSubstrateCount": 0.0,
    "IsSubstrateContested": false
   },
   {
    "RulebookFieldId": "UserFeedback.UserFeedbackId",
    "TargetTable": "UserFeedback",
    "FieldName": "UserFeedbackId",
    "FieldType": "raw",
    "Datatype": "string",
    "Formula": null,
    "InventedForQuestion": null,
    "SemanticTypeIri": "urn:effortless:pko-extension#RulebookField",
    "Name": "UserFeedback.UserFeedbackId",
    "IsDerived": false,
    "IsWitness": false,
    "DisagreeingSubstrateCount": 0.0,
    "IsSubstrateContested": false
   },
   {
    "RulebookFieldId": "UserFeedback.Name",
    "TargetTable": "UserFeedback",
    "FieldName": "Name",
    "FieldType": "calculated",
    "Datatype": "string",
    "Formula": "={{Disposition}} &amp; \": \" &amp; LEFT({{FeedbackText}}, 60)",
    "InventedForQuestion": null,
    "SemanticTypeIri": "urn:effortless:pko-extension#RulebookField",
    "Name": "UserFeedback.Name",
    "IsDerived": true,
    "IsWitness": false,
    "DisagreeingSubstrateCount": 0.0,
    "IsSubstrateContested": false
   },
   {
    "RulebookFieldId": "UserFeedback.ProcedureExecution",
    "TargetTable": "UserFeedback",
    "FieldName": "ProcedureExecution",
    "FieldType": "relationship",
    "Datatype": "string",
    "Formula": null,
    "InventedForQuestion": null,
    "SemanticTypeIri": "urn:effortless:pko-extension#RulebookField",
    "Name": "UserFeedback.ProcedureExecution",
    "IsDerived": false,
    "IsWitness": false,
    "DisagreeingSubstrateCount": 0.0,
    "IsSubstrateContested": false
   },
   {
    "RulebookFieldId": "UserFeedback.ProvidedByAgent",
    "TargetTable": "UserFeedback",
    "FieldName": "ProvidedByAgent",
    "FieldType": "relationship",
    "Datatype": "string",
    "Formula": null,
    "InventedForQuestion": null,
    "SemanticTypeIri": "urn:effortless:pko-extension#RulebookField",
    "Name": "UserFeedback.ProvidedByAgent",
    "IsDerived": false,
    "IsWitness": false,
    "DisagreeingSubstrateCount": 0.0,
    "IsSubstrateContested": false
   },
   {
    "RulebookFieldId": "UserFeedback.ProvidedAt",
    "TargetTable": "UserFeedback",
    "FieldName": "ProvidedAt",
    "FieldType": "raw",
    "Datatype": "datetime",
    "Formula": null,
    "InventedForQuestion": null,
    "SemanticTypeIri": "urn:effortless:pko-extension#RulebookField",
    "Name": "UserFeedback.ProvidedAt",
    "IsDerived": false,
    "IsWitness": false,
    "DisagreeingSubstrateCount": 0.0,
    "IsSubstrateContested": false
   },
   {
    "RulebookFieldId": "UserFeedback.FeedbackText",
    "TargetTable": "UserFeedback",
    "FieldName": "FeedbackText",
    "FieldType": "raw",
    "Datatype": "string",
    "Formula": null,
    "InventedForQuestion": null,
    "SemanticTypeIri": "urn:effortless:pko-extension#RulebookField",
    "Name": "UserFeedback.FeedbackText",
    "IsDerived": false,
    "IsWitness": false,
    "DisagreeingSubstrateCount": 0.0,
    "IsSubstrateContested": false
   },
   {
    "RulebookFieldId": "UserFeedback.Disposition",
    "TargetTable": "UserFeedback",
    "FieldName": "Disposition",
    "FieldType": "raw",
    "Datatype": "string",
    "Formula": null,
    "InventedForQuestion": null,
    "SemanticTypeIri": "urn:effortless:pko-extension#RulebookField",
    "Name": "UserFeedback.Disposition",
    "IsDerived": false,
    "IsWitness": false,
    "DisagreeingSubstrateCount": 0.0,
    "IsSubstrateContested": false
   },
   {
    "RulebookFieldId": "UserFeedback.ChangeRequestKey",
    "TargetTable": "UserFeedback",
    "FieldName": "ChangeRequestKey",
    "FieldType": "raw",
    "Datatype": "string",
    "Formula": null,
    "InventedForQuestion": null,
    "SemanticTypeIri": "urn:effortless:pko-extension#RulebookField",
    "Name": "UserFeedback.ChangeRequestKey",
    "IsDerived": false,
    "IsWitness": false,
    "DisagreeingSubstrateCount": 0.0,
    "IsSubstrateContested": false
   },
   {
    "RulebookFieldId": "UserFeedback.SemanticTypeIri",
    "TargetTable": "UserFeedback",
    "FieldName": "SemanticTypeIri",
    "FieldType": "raw",
    "Datatype": "string",
    "Formula": null,
    "InventedForQuestion": null,
    "SemanticTypeIri": "urn:effortless:pko-extension#RulebookField",
    "Name": "UserFeedback.SemanticTypeIri",
    "IsDerived": false,
    "IsWitness": false,
    "DisagreeingSubstrateCount": 0.0,
    "IsSubstrateContested": false
   },
   {
    "RulebookFieldId": "StewardshipAssignments.StewardshipAssignmentId",
    "TargetTable": "StewardshipAssignments",
    "FieldName": "StewardshipAssignmentId",
    "FieldType": "raw",
    "Datatype": "string",
    "Formula": null,
    "InventedForQuestion": null,
    "SemanticTypeIri": "urn:effortless:pko-extension#RulebookField",
    "Name": "StewardshipAssignments.StewardshipAssignmentId",
    "IsDerived": false,
    "IsWitness": false,
    "DisagreeingSubstrateCount": 0.0,
    "IsSubstrateContested": false
   },
   {
    "RulebookFieldId": "StewardshipAssignments.Name",
    "TargetTable": "StewardshipAssignments",
    "FieldName": "Name",
    "FieldType": "calculated",
    "Datatype": "string",
    "Formula": "={{ProcedureVersion}} &amp; \" / steward=\" &amp; {{StewardRole}}",
    "InventedForQuestion": null,
    "SemanticTypeIri": "urn:effortless:pko-extension#RulebookField",
    "Name": "StewardshipAssignments.Name",
    "IsDerived": true,
    "IsWitness": false,
    "DisagreeingSubstrateCount": 0.0,
    "IsSubstrateContested": false
   },
   {
    "RulebookFieldId": "StewardshipAssignments.ProcedureVersion",
    "TargetTable": "StewardshipAssignments",
    "FieldName": "ProcedureVersion",
    "FieldType": "relationship",
    "Datatype": "string",
    "Formula": null,
    "InventedForQuestion": null,
    "SemanticTypeIri": "urn:effortless:pko-extension#RulebookField",
    "Name": "StewardshipAssignments.ProcedureVersion",
    "IsDerived": false,
    "IsWitness": false,
    "DisagreeingSubstrateCount": 0.0,
    "IsSubstrateContested": false
   },
   {
    "RulebookFieldId": "StewardshipAssignments.StewardRole",
    "TargetTable": "StewardshipAssignments",
    "FieldName": "StewardRole",
    "FieldType": "relationship",
    "Datatype": "string",
    "Formula": null,
    "InventedForQuestion": null,
    "SemanticTypeIri": "urn:effortless:pko-extension#RulebookField",
    "Name": "StewardshipAssignments.StewardRole",
    "IsDerived": false,
    "IsWitness": false,
    "DisagreeingSubstrateCount": 0.0,
    "IsSubstrateContested": false
   },
   {
    "RulebookFieldId": "StewardshipAssignments.AuthorityRole",
    "TargetTable": "StewardshipAssignments",
    "FieldName": "AuthorityRole",
    "FieldType": "relationship",
    "Datatype": "string",
    "Formula": null,
    "InventedForQuestion": null,
    "SemanticTypeIri": "urn:effortless:pko-extension#RulebookField",
    "Name": "StewardshipAssignments.AuthorityRole",
    "IsDerived": false,
    "IsWitness": false,
    "DisagreeingSubstrateCount": 0.0,
    "IsSubstrateContested": false
   },
   {
    "RulebookFieldId": "StewardshipAssignments.ValidFrom",
    "TargetTable": "StewardshipAssignments",
    "FieldName": "ValidFrom",
    "FieldType": "raw",
    "Datatype": "datetime",
    "Formula": null,
    "InventedForQuestion": null,
    "SemanticTypeIri": "urn:effortless:pko-extension#RulebookField",
    "Name": "StewardshipAssignments.ValidFrom",
    "IsDerived": false,
    "IsWitness": false,
    "DisagreeingSubstrateCount": 0.0,
    "IsSubstrateContested": false
   },
   {
    "RulebookFieldId": "StewardshipAssignments.ValidTo",
    "TargetTable": "StewardshipAssignments",
    "FieldName": "ValidTo",
    "FieldType": "raw",
    "Datatype": "datetime",
    "Formula": null,
    "InventedForQuestion": null,
    "SemanticTypeIri": "urn:effortless:pko-extension#RulebookField",
    "Name": "StewardshipAssignments.ValidTo",
    "IsDerived": false,
    "IsWitness": false,
    "DisagreeingSubstrateCount": 0.0,
    "IsSubstrateContested": false
   },
   {
    "RulebookFieldId": "StewardshipAssignments.ReviewCadenceDays",
    "TargetTable": "StewardshipAssignments",
    "FieldName": "ReviewCadenceDays",
    "FieldType": "raw",
    "Datatype": "integer",
    "Formula": null,
    "InventedForQuestion": null,
    "SemanticTypeIri": "urn:effortless:pko-extension#RulebookField",
    "Name": "StewardshipAssignments.ReviewCadenceDays",
    "IsDerived": false,
    "IsWitness": false,
    "DisagreeingSubstrateCount": 0.0,
    "IsSubstrateContested": false
   },
   {
    "RulebookFieldId": "StewardshipAssignments.CountOfReviewEvents",
    "TargetTable": "StewardshipAssignments",
    "FieldName": "CountOfReviewEvents",
    "FieldType": "aggregation",
    "Datatype": "integer",
    "Formula": "=COUNTIFS(ReviewEvents!{{ProcedureVersion}}, StewardshipAssignments!{{ProcedureVersion}})",
    "InventedForQuestion": "q-steward-cadence-breach",
    "SemanticTypeIri": "urn:effortless:pko-extension#RulebookField",
    "Name": "StewardshipAssignments.CountOfReviewEvents",
    "IsDerived": true,
    "IsWitness": true,
    "DisagreeingSubstrateCount": 0.0,
    "IsSubstrateContested": false
   },
   {
    "RulebookFieldId": "StewardshipAssignments.HasEverBeenReviewed",
    "TargetTable": "StewardshipAssignments",
    "FieldName": "HasEverBeenReviewed",
    "FieldType": "calculated",
    "Datatype": "boolean",
    "Formula": "={{CountOfReviewEvents}} &gt; 0",
    "InventedForQuestion": "q-steward-cadence-breach",
    "SemanticTypeIri": "urn:effortless:pko-extension#RulebookField",
    "Name": "StewardshipAssignments.HasEverBeenReviewed",
    "IsDerived": true,
    "IsWitness": true,
    "DisagreeingSubstrateCount": 0.0,
    "IsSubstrateContested": false
   },
   {
    "RulebookFieldId": "StewardshipAssignments.EvaluationContext",
    "TargetTable": "StewardshipAssignments",
    "FieldName": "EvaluationContext",
    "FieldType": "relationship",
    "Datatype": "string",
    "Formula": null,
    "InventedForQuestion": null,
    "SemanticTypeIri": "urn:effortless:pko-extension#RulebookField",
    "Name": "StewardshipAssignments.EvaluationContext",
    "IsDerived": false,
    "IsWitness": false,
    "DisagreeingSubstrateCount": 0.0,
    "IsSubstrateContested": false
   },
   {
    "RulebookFieldId": "StewardshipAssignments.AsOfInstant",
    "TargetTable": "StewardshipAssignments",
    "FieldName": "AsOfInstant",
    "FieldType": "lookup",
    "Datatype": "datetime",
    "Formula": "=INDEX(EvaluationContexts!{{AsOfInstant}}, MATCH({{EvaluationContext}}, EvaluationContexts!{{EvaluationContextId}}, 0))",
    "InventedForQuestion": null,
    "SemanticTypeIri": "urn:effortless:pko-extension#RulebookField",
    "Name": "StewardshipAssignments.AsOfInstant",
    "IsDerived": true,
    "IsWitness": false,
    "DisagreeingSubstrateCount": 0.0,
    "IsSubstrateContested": false
   },
   {
    "RulebookFieldId": "StewardshipAssignments.IsCurrentAssignment",
    "TargetTable": "StewardshipAssignments",
    "FieldName": "IsCurrentAssignment",
    "FieldType": "calculated",
    "Datatype": "boolean",
    "Formula": "=AND({{ValidFrom}} &lt;= {{AsOfInstant}}, OR({{ValidTo}} = \"\", {{ValidTo}} &gt; {{AsOfInstant}}))",
    "InventedForQuestion": "q-steward-orphan-versions",
    "SemanticTypeIri": "urn:effortless:pko-extension#RulebookField",
    "Name": "StewardshipAssignments.IsCurrentAssignment",
    "IsDerived": true,
    "IsWitness": true,
    "DisagreeingSubstrateCount": 0.0,
    "IsSubstrateContested": false
   },
   {
    "RulebookFieldId": "StewardshipAssignments.SemanticTypeIri",
    "TargetTable": "StewardshipAssignments",
    "FieldName": "SemanticTypeIri",
    "FieldType": "raw",
    "Datatype": "string",
    "Formula": null,
    "InventedForQuestion": null,
    "SemanticTypeIri": "urn:effortless:pko-extension#RulebookField",
    "Name": "StewardshipAssignments.SemanticTypeIri",
    "IsDerived": false,
    "IsWitness": false,
    "DisagreeingSubstrateCount": 0.0,
    "IsSubstrateContested": false
   },
   {
    "RulebookFieldId": "ChangeRequests.ChangeRequestId",
    "TargetTable": "ChangeRequests",
    "FieldName": "ChangeRequestId",
    "FieldType": "raw",
    "Datatype": "string",
    "Formula": null,
    "InventedForQuestion": null,
    "SemanticTypeIri": "urn:effortless:pko-extension#RulebookField",
    "Name": "ChangeRequests.ChangeRequestId",
    "IsDerived": false,
    "IsWitness": false,
    "DisagreeingSubstrateCount": 0.0,
    "IsSubstrateContested": false
   },
   {
    "RulebookFieldId": "ChangeRequests.Name",
    "TargetTable": "ChangeRequests",
    "FieldName": "Name",
    "FieldType": "calculated",
    "Datatype": "string",
    "Formula": "={{Title}}",
    "InventedForQuestion": null,
    "SemanticTypeIri": "urn:effortless:pko-extension#RulebookField",
    "Name": "ChangeRequests.Name",
    "IsDerived": true,
    "IsWitness": false,
    "DisagreeingSubstrateCount": 0.0,
    "IsSubstrateContested": false
   },
   {
    "RulebookFieldId": "ChangeRequests.ProcedureVersion",
    "TargetTable": "ChangeRequests",
    "FieldName": "ProcedureVersion",
    "FieldType": "relationship",
    "Datatype": "string",
    "Formula": null,
    "InventedForQuestion": null,
    "SemanticTypeIri": "urn:effortless:pko-extension#RulebookField",
    "Name": "ChangeRequests.ProcedureVersion",
    "IsDerived": false,
    "IsWitness": false,
    "DisagreeingSubstrateCount": 0.0,
    "IsSubstrateContested": false
   },
   {
    "RulebookFieldId": "ChangeRequests.Title",
    "TargetTable": "ChangeRequests",
    "FieldName": "Title",
    "FieldType": "raw",
    "Datatype": "string",
    "Formula": null,
    "InventedForQuestion": null,
    "SemanticTypeIri": "urn:effortless:pko-extension#RulebookField",
    "Name": "ChangeRequests.Title",
    "IsDerived": false,
    "IsWitness": false,
    "DisagreeingSubstrateCount": 0.0,
    "IsSubstrateContested": false
   },
   {
    "RulebookFieldId": "ChangeRequests.ChangeKind",
    "TargetTable": "ChangeRequests",
    "FieldName": "ChangeKind",
    "FieldType": "raw",
    "Datatype": "string",
    "Formula": null,
    "InventedForQuestion": null,
    "SemanticTypeIri": "urn:effortless:pko-extension#RulebookField",
    "Name": "ChangeRequests.ChangeKind",
    "IsDerived": false,
    "IsWitness": false,
    "DisagreeingSubstrateCount": 0.0,
    "IsSubstrateContested": false
   },
   {
    "RulebookFieldId": "ChangeRequests.Status",
    "TargetTable": "ChangeRequests",
    "FieldName": "Status",
    "FieldType": "raw",
    "Datatype": "string",
    "Formula": null,
    "InventedForQuestion": null,
    "SemanticTypeIri": "urn:effortless:pko-extension#RulebookField",
    "Name": "ChangeRequests.Status",
    "IsDerived": false,
    "IsWitness": false,
    "DisagreeingSubstrateCount": 0.0,
    "IsSubstrateContested": false
   },
   {
    "RulebookFieldId": "ChangeRequests.RequestedByAgent",
    "TargetTable": "ChangeRequests",
    "FieldName": "RequestedByAgent",
    "FieldType": "relationship",
    "Datatype": "string",
    "Formula": null,
    "InventedForQuestion": null,
    "SemanticTypeIri": "urn:effortless:pko-extension#RulebookField",
    "Name": "ChangeRequests.RequestedByAgent",
    "IsDerived": false,
    "IsWitness": false,
    "DisagreeingSubstrateCount": 0.0,
    "IsSubstrateContested": false
   },
   {
    "RulebookFieldId": "ChangeRequests.AuthorityRole",
    "TargetTable": "ChangeRequests",
    "FieldName": "AuthorityRole",
    "FieldType": "relationship",
    "Datatype": "string",
    "Formula": null,
    "InventedForQuestion": null,
    "SemanticTypeIri": "urn:effortless:pko-extension#RulebookField",
    "Name": "ChangeRequests.AuthorityRole",
    "IsDerived": false,
    "IsWitness": false,
    "DisagreeingSubstrateCount": 0.0,
    "IsSubstrateContested": false
   },
   {
    "RulebookFieldId": "ChangeRequests.RequestedAt",
    "TargetTable": "ChangeRequests",
    "FieldName": "RequestedAt",
    "FieldType": "raw",
    "Datatype": "datetime",
    "Formula": null,
    "InventedForQuestion": null,
    "SemanticTypeIri": "urn:effortless:pko-extension#RulebookField",
    "Name": "ChangeRequests.RequestedAt",
    "IsDerived": false,
    "IsWitness": false,
    "DisagreeingSubstrateCount": 0.0,
    "IsSubstrateContested": false
   },
   {
    "RulebookFieldId": "ChangeRequests.DecidedAt",
    "TargetTable": "ChangeRequests",
    "FieldName": "DecidedAt",
    "FieldType": "raw",
    "Datatype": "datetime",
    "Formula": null,
    "InventedForQuestion": null,
    "SemanticTypeIri": "urn:effortless:pko-extension#RulebookField",
    "Name": "ChangeRequests.DecidedAt",
    "IsDerived": false,
    "IsWitness": false,
    "DisagreeingSubstrateCount": 0.0,
    "IsSubstrateContested": false
   },
   {
    "RulebookFieldId": "ChangeRequests.ImpactAssessment",
    "TargetTable": "ChangeRequests",
    "FieldName": "ImpactAssessment",
    "FieldType": "raw",
    "Datatype": "string",
    "Formula": null,
    "InventedForQuestion": null,
    "SemanticTypeIri": "urn:effortless:pko-extension#RulebookField",
    "Name": "ChangeRequests.ImpactAssessment",
    "IsDerived": false,
    "IsWitness": false,
    "DisagreeingSubstrateCount": 0.0,
    "IsSubstrateContested": false
   },
   {
    "RulebookFieldId": "ChangeRequests.IsOpen",
    "TargetTable": "ChangeRequests",
    "FieldName": "IsOpen",
    "FieldType": "calculated",
    "Datatype": "boolean",
    "Formula": "=AND(OR({{Status}} = \"Draft\", {{Status}} = \"UnderReview\", {{Status}} = \"Approved\"), {{ImplementedAt}} = \"\")",
    "InventedForQuestion": null,
    "SemanticTypeIri": "urn:effortless:pko-extension#RulebookField",
    "Name": "ChangeRequests.IsOpen",
    "IsDerived": true,
    "IsWitness": false,
    "DisagreeingSubstrateCount": 0.0,
    "IsSubstrateContested": false
   },
   {
    "RulebookFieldId": "ChangeRequests.OpenChangeVersionKey",
    "TargetTable": "ChangeRequests",
    "FieldName": "OpenChangeVersionKey",
    "FieldType": "calculated",
    "Datatype": "string",
    "Formula": "=IF({{IsOpen}}, {{ProcedureVersion}}, \"\")",
    "InventedForQuestion": "q-cfo-approving-on-unfit-version",
    "SemanticTypeIri": "urn:effortless:pko-extension#RulebookField",
    "Name": "ChangeRequests.OpenChangeVersionKey",
    "IsDerived": true,
    "IsWitness": true,
    "DisagreeingSubstrateCount": 0.0,
    "IsSubstrateContested": false
   },
   {
    "RulebookFieldId": "ChangeRequests.IsDecided",
    "TargetTable": "ChangeRequests",
    "FieldName": "IsDecided",
    "FieldType": "calculated",
    "Datatype": "boolean",
    "Formula": "={{DecidedAt}} &lt;&gt; \"\"",
    "InventedForQuestion": "q-steward-stalled-change-requests",
    "SemanticTypeIri": "urn:effortless:pko-extension#RulebookField",
    "Name": "ChangeRequests.IsDecided",
    "IsDerived": true,
    "IsWitness": true,
    "DisagreeingSubstrateCount": 0.0,
    "IsSubstrateContested": false
   },
   {
    "RulebookFieldId": "ChangeRequests.EvaluationContext",
    "TargetTable": "ChangeRequests",
    "FieldName": "EvaluationContext",
    "FieldType": "relationship",
    "Datatype": "string",
    "Formula": null,
    "InventedForQuestion": null,
    "SemanticTypeIri": "urn:effortless:pko-extension#RulebookField",
    "Name": "ChangeRequests.EvaluationContext",
    "IsDerived": false,
    "IsWitness": false,
    "DisagreeingSubstrateCount": 0.0,
    "IsSubstrateContested": false
   },
   {
    "RulebookFieldId": "ChangeRequests.AsOfInstant",
    "TargetTable": "ChangeRequests",
    "FieldName": "AsOfInstant",
    "FieldType": "lookup",
    "Datatype": "datetime",
    "Formula": "=INDEX(EvaluationContexts!{{AsOfInstant}}, MATCH({{EvaluationContext}}, EvaluationContexts!{{EvaluationContextId}}, 0))",
    "InventedForQuestion": null,
    "SemanticTypeIri": "urn:effortless:pko-extension#RulebookField",
    "Name": "ChangeRequests.AsOfInstant",
    "IsDerived": true,
    "IsWitness": false,
    "DisagreeingSubstrateCount": 0.0,
    "IsSubstrateContested": false
   },
   {
    "RulebookFieldId": "ChangeRequests.DaysPending",
    "TargetTable": "ChangeRequests",
    "FieldName": "DaysPending",
    "FieldType": "calculated",
    "Datatype": "integer",
    "Formula": "=IF({{IsDecided}}, DATETIME_DIFF({{DecidedAt}}, {{RequestedAt}}, \"days\"), DATETIME_DIFF({{AsOfInstant}}, {{RequestedAt}}, \"days\"))",
    "InventedForQuestion": "q-steward-stalled-change-requests",
    "SemanticTypeIri": "urn:effortless:pko-extension#RulebookField",
    "Name": "ChangeRequests.DaysPending",
    "IsDerived": true,
    "IsWitness": true,
    "DisagreeingSubstrateCount": 0.0,
    "IsSubstrateContested": false
   },
   {
    "RulebookFieldId": "ChangeRequests.IsStillPending",
    "TargetTable": "ChangeRequests",
    "FieldName": "IsStillPending",
    "FieldType": "calculated",
    "Datatype": "boolean",
    "Formula": "=AND({{IsOpen}}, NOT({{IsDecided}}))",
    "InventedForQuestion": "q-steward-stalled-change-requests",
    "SemanticTypeIri": "urn:effortless:pko-extension#RulebookField",
    "Name": "ChangeRequests.IsStillPending",
    "IsDerived": true,
    "IsWitness": true,
    "DisagreeingSubstrateCount": 0.0,
    "IsSubstrateContested": false
   },
   {
    "RulebookFieldId": "ChangeRequests.IsStalled",
    "TargetTable": "ChangeRequests",
    "FieldName": "IsStalled",
    "FieldType": "calculated",
    "Datatype": "boolean",
    "Formula": "=AND({{IsStillPending}}, {{DaysPending}} &gt; 14)",
    "InventedForQuestion": "q-steward-stalled-change-requests",
    "SemanticTypeIri": "urn:effortless:pko-extension#RulebookField",
    "Name": "ChangeRequests.IsStalled",
    "IsDerived": true,
    "IsWitness": true,
    "DisagreeingSubstrateCount": 0.0,
    "IsSubstrateContested": false
   },
   {
    "RulebookFieldId": "ChangeRequests.AuthorityAgent",
    "TargetTable": "ChangeRequests",
    "FieldName": "AuthorityAgent",
    "FieldType": "lookup",
    "Datatype": "string",
    "Formula": "=INDEX(Roles!{{CurrentAgent}}, MATCH({{AuthorityRole}}, Roles!{{RoleId}}, 0))",
    "InventedForQuestion": "q-steward-stalled-change-requests",
    "SemanticTypeIri": "urn:effortless:pko-extension#RulebookField",
    "Name": "ChangeRequests.AuthorityAgent",
    "IsDerived": true,
    "IsWitness": true,
    "DisagreeingSubstrateCount": 0.0,
    "IsSubstrateContested": false
   },
   {
    "RulebookFieldId": "ChangeRequests.RequesterIsAuthority",
    "TargetTable": "ChangeRequests",
    "FieldName": "RequesterIsAuthority",
    "FieldType": "calculated",
    "Datatype": "boolean",
    "Formula": "={{RequestedByAgent}} = {{AuthorityAgent}}",
    "InventedForQuestion": "q-steward-stalled-change-requests",
    "SemanticTypeIri": "urn:effortless:pko-extension#RulebookField",
    "Name": "ChangeRequests.RequesterIsAuthority",
    "IsDerived": true,
    "IsWitness": true,
    "DisagreeingSubstrateCount": 0.0,
    "IsSubstrateContested": false
   },
   {
    "RulebookFieldId": "ChangeRequests.AwaitsAuthorityDecision",
    "TargetTable": "ChangeRequests",
    "FieldName": "AwaitsAuthorityDecision",
    "FieldType": "calculated",
    "Datatype": "boolean",
    "Formula": "=AND({{Status}} = \"UnderReview\", NOT({{IsDecided}}))",
    "InventedForQuestion": "q-hr-authority-without-review",
    "SemanticTypeIri": "urn:effortless:pko-extension#RulebookField",
    "Name": "ChangeRequests.AwaitsAuthorityDecision",
    "IsDerived": true,
    "IsWitness": true,
    "DisagreeingSubstrateCount": 0.0,
    "IsSubstrateContested": false
   },
   {
    "RulebookFieldId": "ChangeRequests.AuthorityRoleLabel",
    "TargetTable": "ChangeRequests",
    "FieldName": "AuthorityRoleLabel",
    "FieldType": "lookup",
    "Datatype": "string",
    "Formula": "=INDEX(Roles!{{Label}}, MATCH({{AuthorityRole}}, Roles!{{RoleId}}, 0))",
    "InventedForQuestion": "q-hr-authority-without-review",
    "SemanticTypeIri": "urn:effortless:pko-extension#RulebookField",
    "Name": "ChangeRequests.AuthorityRoleLabel",
    "IsDerived": true,
    "IsWitness": true,
    "DisagreeingSubstrateCount": 0.0,
    "IsSubstrateContested": false
   },
   {
    "RulebookFieldId": "ChangeRequests.TouchesLiveVersion",
    "TargetTable": "ChangeRequests",
    "FieldName": "TouchesLiveVersion",
    "FieldType": "lookup",
    "Datatype": "boolean",
    "Formula"</t>
  </si>
  <si>
    <t xml:space="preserve">: "=INDEX(ProcedureVersions!{{IsLive}}, MATCH({{ProcedureVersion}}, ProcedureVersions!{{ProcedureVersionId}}, 0))",
    "InventedForQuestion": "q-hr-authority-without-review",
    "SemanticTypeIri": "urn:effortless:pko-extension#RulebookField",
    "Name": "ChangeRequests.TouchesLiveVersion",
    "IsDerived": true,
    "IsWitness": true,
    "DisagreeingSubstrateCount": 0.0,
    "IsSubstrateContested": false
   },
   {
    "RulebookFieldId": "ChangeRequests.IsLiveDecisionBacklog",
    "TargetTable": "ChangeRequests",
    "FieldName": "IsLiveDecisionBacklog",
    "FieldType": "calculated",
    "Datatype": "boolean",
    "Formula": "=AND({{AwaitsAuthorityDecision}}, {{TouchesLiveVersion}})",
    "InventedForQuestion": "q-hr-authority-without-review",
    "SemanticTypeIri": "urn:effortless:pko-extension#RulebookField",
    "Name": "ChangeRequests.IsLiveDecisionBacklog",
    "IsDerived": true,
    "IsWitness": true,
    "DisagreeingSubstrateCount": 0.0,
    "IsSubstrateContested": false
   },
   {
    "RulebookFieldId": "ChangeRequests.BlocksAnOpenGap",
    "TargetTable": "ChangeRequests",
    "FieldName": "BlocksAnOpenGap",
    "FieldType": "calculated",
    "Datatype": "boolean",
    "Formula": "=AND({{IsLiveDecisionBacklog}}, {{ChangeKind}} = \"Enhancement\")",
    "InventedForQuestion": "q-hr-authority-without-review",
    "SemanticTypeIri": "urn:effortless:pko-extension#RulebookField",
    "Name": "ChangeRequests.BlocksAnOpenGap",
    "IsDerived": true,
    "IsWitness": true,
    "DisagreeingSubstrateCount": 0.0,
    "IsSubstrateContested": false
   },
   {
    "RulebookFieldId": "ChangeRequests.ImplementedAt",
    "TargetTable": "ChangeRequests",
    "FieldName": "ImplementedAt",
    "FieldType": "raw",
    "Datatype": "datetime",
    "Formula": null,
    "InventedForQuestion": null,
    "SemanticTypeIri": "urn:effortless:pko-extension#RulebookField",
    "Name": "ChangeRequests.ImplementedAt",
    "IsDerived": false,
    "IsWitness": false,
    "DisagreeingSubstrateCount": 0.0,
    "IsSubstrateContested": false
   },
   {
    "RulebookFieldId": "ChangeRequests.BacklogVersionKey",
    "TargetTable": "ChangeRequests",
    "FieldName": "BacklogVersionKey",
    "FieldType": "calculated",
    "Datatype": "string",
    "Formula": "=IF({{IsLiveDecisionBacklog}}, {{ProcedureVersion}}, \"\")",
    "InventedForQuestion": "q2-hr-my-backlog-is-someone-elses-block",
    "SemanticTypeIri": "urn:effortless:pko-extension#RulebookField",
    "Name": "ChangeRequests.BacklogVersionKey",
    "IsDerived": true,
    "IsWitness": true,
    "DisagreeingSubstrateCount": 0.0,
    "IsSubstrateContested": false
   },
   {
    "RulebookFieldId": "ChangeRequests.IsMyPendingDecision",
    "TargetTable": "ChangeRequests",
    "FieldName": "IsMyPendingDecision",
    "FieldType": "calculated",
    "Datatype": "boolean",
    "Formula": "=AND({{AuthorityRole}} = \"hr-policy-owner\", {{AwaitsAuthorityDecision}})",
    "InventedForQuestion": "q2-hr-my-backlog-is-someone-elses-block",
    "SemanticTypeIri": "urn:effortless:pko-extension#RulebookField",
    "Name": "ChangeRequests.IsMyPendingDecision",
    "IsDerived": true,
    "IsWitness": true,
    "DisagreeingSubstrateCount": 0.0,
    "IsSubstrateContested": false
   },
   {
    "RulebookFieldId": "ChangeRequests.IsMyBlockingBacklog",
    "TargetTable": "ChangeRequests",
    "FieldName": "IsMyBlockingBacklog",
    "FieldType": "calculated",
    "Datatype": "boolean",
    "Formula": "=AND({{IsMyPendingDecision}}, {{BlocksAnOpenGap}})",
    "InventedForQuestion": "q2-hr-my-backlog-is-someone-elses-block",
    "SemanticTypeIri": "urn:effortless:pko-extension#RulebookField",
    "Name": "ChangeRequests.IsMyBlockingBacklog",
    "IsDerived": true,
    "IsWitness": true,
    "DisagreeingSubstrateCount": 0.0,
    "IsSubstrateContested": false
   },
   {
    "RulebookFieldId": "ChangeRequests.IsMyOverdueBacklog",
    "TargetTable": "ChangeRequests",
    "FieldName": "IsMyOverdueBacklog",
    "FieldType": "calculated",
    "Datatype": "boolean",
    "Formula": "=AND({{IsMyBlockingBacklog}}, {{DaysPending}} &gt; 14)",
    "InventedForQuestion": "q2-hr-my-backlog-is-someone-elses-block",
    "SemanticTypeIri": "urn:effortless:pko-extension#RulebookField",
    "Name": "ChangeRequests.IsMyOverdueBacklog",
    "IsDerived": true,
    "IsWitness": true,
    "DisagreeingSubstrateCount": 0.0,
    "IsSubstrateContested": false
   },
   {
    "RulebookFieldId": "ChangeRequests.IsImplemented",
    "TargetTable": "ChangeRequests",
    "FieldName": "IsImplemented",
    "FieldType": "calculated",
    "Datatype": "boolean",
    "Formula": "={{ImplementedAt}} &lt;&gt; \"\"",
    "InventedForQuestion": "q2-hr-my-approvals-never-read-as-done",
    "SemanticTypeIri": "urn:effortless:pko-extension#RulebookField",
    "Name": "ChangeRequests.IsImplemented",
    "IsDerived": true,
    "IsWitness": true,
    "DisagreeingSubstrateCount": 0.0,
    "IsSubstrateContested": false
   },
   {
    "RulebookFieldId": "ChangeRequests.IsMyDecidedRequest",
    "TargetTable": "ChangeRequests",
    "FieldName": "IsMyDecidedRequest",
    "FieldType": "calculated",
    "Datatype": "boolean",
    "Formula": "=AND({{AuthorityRole}} = \"hr-policy-owner\", {{IsDecided}})",
    "InventedForQuestion": "q2-hr-my-approvals-never-read-as-done",
    "SemanticTypeIri": "urn:effortless:pko-extension#RulebookField",
    "Name": "ChangeRequests.IsMyDecidedRequest",
    "IsDerived": true,
    "IsWitness": true,
    "DisagreeingSubstrateCount": 0.0,
    "IsSubstrateContested": false
   },
   {
    "RulebookFieldId": "ChangeRequests.IsMyDecidedButUnlanded",
    "TargetTable": "ChangeRequests",
    "FieldName": "IsMyDecidedButUnlanded",
    "FieldType": "calculated",
    "Datatype": "boolean",
    "Formula": "=AND({{IsMyDecidedRequest}}, NOT({{IsImplemented}}))",
    "InventedForQuestion": "q2-hr-my-approvals-never-read-as-done",
    "SemanticTypeIri": "urn:effortless:pko-extension#RulebookField",
    "Name": "ChangeRequests.IsMyDecidedButUnlanded",
    "IsDerived": true,
    "IsWitness": true,
    "DisagreeingSubstrateCount": 0.0,
    "IsSubstrateContested": false
   },
   {
    "RulebookFieldId": "ChangeRequests.DecisionLatencyDays",
    "TargetTable": "ChangeRequests",
    "FieldName": "DecisionLatencyDays",
    "FieldType": "calculated",
    "Datatype": "integer",
    "Formula": "=IF({{IsDecided}}, DATETIME_DIFF({{DecidedAt}}, {{RequestedAt}}, \"days\"), 0)",
    "InventedForQuestion": "q2-hr-my-approvals-never-read-as-done",
    "SemanticTypeIri": "urn:effortless:pko-extension#RulebookField",
    "Name": "ChangeRequests.DecisionLatencyDays",
    "IsDerived": true,
    "IsWitness": true,
    "DisagreeingSubstrateCount": 0.0,
    "IsSubstrateContested": false
   },
   {
    "RulebookFieldId": "ChangeRequests.ImplementationLatencyDays",
    "TargetTable": "ChangeRequests",
    "FieldName": "ImplementationLatencyDays",
    "FieldType": "calculated",
    "Datatype": "integer",
    "Formula": "=IF({{IsImplemented}}, DATETIME_DIFF({{ImplementedAt}}, {{DecidedAt}}, \"days\"), 0)",
    "InventedForQuestion": "q2-hr-my-approvals-never-read-as-done",
    "SemanticTypeIri": "urn:effortless:pko-extension#RulebookField",
    "Name": "ChangeRequests.ImplementationLatencyDays",
    "IsDerived": true,
    "IsWitness": true,
    "DisagreeingSubstrateCount": 0.0,
    "IsSubstrateContested": false
   },
   {
    "RulebookFieldId": "ChangeRequests.DelayIsDownstreamOfMe",
    "TargetTable": "ChangeRequests",
    "FieldName": "DelayIsDownstreamOfMe",
    "FieldType": "calculated",
    "Datatype": "boolean",
    "Formula": "=AND({{IsMyDecidedButUnlanded}}, {{DecisionLatencyDays}} &lt;= 14)",
    "InventedForQuestion": "q2-hr-my-approvals-never-read-as-done",
    "SemanticTypeIri": "urn:effortless:pko-extension#RulebookField",
    "Name": "ChangeRequests.DelayIsDownstreamOfMe",
    "IsDerived": true,
    "IsWitness": true,
    "DisagreeingSubstrateCount": 0.0,
    "IsSubstrateContested": false
   },
   {
    "RulebookFieldId": "ChangeRequests.UnlandedVersionKey",
    "TargetTable": "ChangeRequests",
    "FieldName": "UnlandedVersionKey",
    "FieldType": "calculated",
    "Datatype": "string",
    "Formula": "=IF({{IsMyDecidedButUnlanded}}, {{ProcedureVersion}}, \"\")",
    "InventedForQuestion": "q2-hr-my-approvals-never-read-as-done",
    "SemanticTypeIri": "urn:effortless:pko-extension#RulebookField",
    "Name": "ChangeRequests.UnlandedVersionKey",
    "IsDerived": true,
    "IsWitness": true,
    "DisagreeingSubstrateCount": 0.0,
    "IsSubstrateContested": false
   },
   {
    "RulebookFieldId": "ChangeRequests.IsApprovedNotImplemented",
    "TargetTable": "ChangeRequests",
    "FieldName": "IsApprovedNotImplemented",
    "FieldType": "calculated",
    "Datatype": "boolean",
    "Formula": "=AND({{Status}} = \"Approved\", NOT({{IsImplemented}}))",
    "InventedForQuestion": "q2-steward-approved-cr-never-lands",
    "SemanticTypeIri": "urn:effortless:pko-extension#RulebookField",
    "Name": "ChangeRequests.IsApprovedNotImplemented",
    "IsDerived": true,
    "IsWitness": true,
    "DisagreeingSubstrateCount": 0.0,
    "IsSubstrateContested": false
   },
   {
    "RulebookFieldId": "ChangeRequests.DaysSinceApproval",
    "TargetTable": "ChangeRequests",
    "FieldName": "DaysSinceApproval",
    "FieldType": "calculated",
    "Datatype": "integer",
    "Formula": "=IF({{IsDecided}}, DATETIME_DIFF({{AsOfInstant}}, {{DecidedAt}}, \"days\"), 0)",
    "InventedForQuestion": "q2-steward-approved-cr-never-lands",
    "SemanticTypeIri": "urn:effortless:pko-extension#RulebookField",
    "Name": "ChangeRequests.DaysSinceApproval",
    "IsDerived": true,
    "IsWitness": true,
    "DisagreeingSubstrateCount": 0.0,
    "IsSubstrateContested": false
   },
   {
    "RulebookFieldId": "ChangeRequests.IsStalledImplementation",
    "TargetTable": "ChangeRequests",
    "FieldName": "IsStalledImplementation",
    "FieldType": "calculated",
    "Datatype": "boolean",
    "Formula": "=AND({{IsApprovedNotImplemented}}, {{DaysSinceApproval}} &gt; 14)",
    "InventedForQuestion": "q2-steward-approved-cr-never-lands",
    "SemanticTypeIri": "urn:effortless:pko-extension#RulebookField",
    "Name": "ChangeRequests.IsStalledImplementation",
    "IsDerived": true,
    "IsWitness": true,
    "DisagreeingSubstrateCount": 0.0,
    "IsSubstrateContested": false
   },
   {
    "RulebookFieldId": "ChangeRequests.StalledImplementationVersionKey",
    "TargetTable": "ChangeRequests",
    "FieldName": "StalledImplementationVersionKey",
    "FieldType": "calculated",
    "Datatype": "string",
    "Formula": "=IF({{IsStalledImplementation}}, {{ProcedureVersion}}, \"\")",
    "InventedForQuestion": "q2-steward-approved-cr-never-lands",
    "SemanticTypeIri": "urn:effortless:pko-extension#RulebookField",
    "Name": "ChangeRequests.StalledImplementationVersionKey",
    "IsDerived": true,
    "IsWitness": true,
    "DisagreeingSubstrateCount": 0.0,
    "IsSubstrateContested": false
   },
   {
    "RulebookFieldId": "ChangeRequests.ApprovedVersionKey",
    "TargetTable": "ChangeRequests",
    "FieldName": "ApprovedVersionKey",
    "FieldType": "calculated",
    "Datatype": "string",
    "Formula": "=IF({{IsApprovedDecision}}, {{ProcedureVersion}}, \"\")",
    "InventedForQuestion": "q2-ctl-divergence-that-nobody-governed",
    "SemanticTypeIri": "urn:effortless:pko-extension#RulebookField",
    "Name": "ChangeRequests.ApprovedVersionKey",
    "IsDerived": true,
    "IsWitness": true,
    "DisagreeingSubstrateCount": 0.0,
    "IsSubstrateContested": false
   },
   {
    "RulebookFieldId": "ChangeRequests.IsApprovedDecision",
    "TargetTable": "ChangeRequests",
    "FieldName": "IsApprovedDecision",
    "FieldType": "calculated",
    "Datatype": "boolean",
    "Formula": "={{Status}} = \"Approved\"",
    "InventedForQuestion": "q2-ctl-divergence-that-nobody-governed",
    "SemanticTypeIri": "urn:effortless:pko-extension#RulebookField",
    "Name": "ChangeRequests.IsApprovedDecision",
    "IsDerived": true,
    "IsWitness": true,
    "DisagreeingSubstrateCount": 0.0,
    "IsSubstrateContested": false
   },
   {
    "RulebookFieldId": "ChangeRequests.SemanticTypeIri",
    "TargetTable": "ChangeRequests",
    "FieldName": "SemanticTypeIri",
    "FieldType": "raw",
    "Datatype": "string",
    "Formula": null,
    "InventedForQuestion": null,
    "SemanticTypeIri": "urn:effortless:pko-extension#RulebookField",
    "Name": "ChangeRequests.SemanticTypeIri",
    "IsDerived": false,
    "IsWitness": false,
    "DisagreeingSubstrateCount": 0.0,
    "IsSubstrateContested": false
   },
   {
    "RulebookFieldId": "ReviewEvents.ReviewEventId",
    "TargetTable": "ReviewEvents",
    "FieldName": "ReviewEventId",
    "FieldType": "raw",
    "Datatype": "string",
    "Formula": null,
    "InventedForQuestion": null,
    "SemanticTypeIri": "urn:effortless:pko-extension#RulebookField",
    "Name": "ReviewEvents.ReviewEventId",
    "IsDerived": false,
    "IsWitness": false,
    "DisagreeingSubstrateCount": 0.0,
    "IsSubstrateContested": false
   },
   {
    "RulebookFieldId": "ReviewEvents.Name",
    "TargetTable": "ReviewEvents",
    "FieldName": "Name",
    "FieldType": "calculated",
    "Datatype": "string",
    "Formula": "={{ProcedureVersion}} &amp; \" / \" &amp; {{ReviewKind}}",
    "InventedForQuestion": null,
    "SemanticTypeIri": "urn:effortless:pko-extension#RulebookField",
    "Name": "ReviewEvents.Name",
    "IsDerived": true,
    "IsWitness": false,
    "DisagreeingSubstrateCount": 0.0,
    "IsSubstrateContested": false
   },
   {
    "RulebookFieldId": "ReviewEvents.ProcedureVersion",
    "TargetTable": "ReviewEvents",
    "FieldName": "ProcedureVersion",
    "FieldType": "relationship",
    "Datatype": "string",
    "Formula": null,
    "InventedForQuestion": null,
    "SemanticTypeIri": "urn:effortless:pko-extension#RulebookField",
    "Name": "ReviewEvents.ProcedureVersion",
    "IsDerived": false,
    "IsWitness": false,
    "DisagreeingSubstrateCount": 0.0,
    "IsSubstrateContested": false
   },
   {
    "RulebookFieldId": "ReviewEvents.ReviewKind",
    "TargetTable": "ReviewEvents",
    "FieldName": "ReviewKind",
    "FieldType": "raw",
    "Datatype": "string",
    "Formula": null,
    "InventedForQuestion": null,
    "SemanticTypeIri": "urn:effortless:pko-extension#RulebookField",
    "Name": "ReviewEvents.ReviewKind",
    "IsDerived": false,
    "IsWitness": false,
    "DisagreeingSubstrateCount": 0.0,
    "IsSubstrateContested": false
   },
   {
    "RulebookFieldId": "ReviewEvents.ReviewedAt",
    "TargetTable": "ReviewEvents",
    "FieldName": "ReviewedAt",
    "FieldType": "raw",
    "Datatype": "datetime",
    "Formula": null,
    "InventedForQuestion": null,
    "SemanticTypeIri": "urn:effortless:pko-extension#RulebookField",
    "Name": "ReviewEvents.ReviewedAt",
    "IsDerived": false,
    "IsWitness": false,
    "DisagreeingSubstrateCount": 0.0,
    "IsSubstrateContested": false
   },
   {
    "RulebookFieldId": "ReviewEvents.ReviewedByAgent",
    "TargetTable": "ReviewEvents",
    "FieldName": "ReviewedByAgent",
    "FieldType": "relationship",
    "Datatype": "string",
    "Formula": null,
    "InventedForQuestion": null,
    "SemanticTypeIri": "urn:effortless:pko-extension#RulebookField",
    "Name": "ReviewEvents.ReviewedByAgent",
    "IsDerived": false,
    "IsWitness": false,
    "DisagreeingSubstrateCount": 0.0,
    "IsSubstrateContested": false
   },
   {
    "RulebookFieldId": "ReviewEvents.Outcome",
    "TargetTable": "ReviewEvents",
    "FieldName": "Outcome",
    "FieldType": "raw",
    "Datatype": "string",
    "Formula": null,
    "InventedForQuestion": null,
    "SemanticTypeIri": "urn:effortless:pko-extension#RulebookField",
    "Name": "ReviewEvents.Outcome",
    "IsDerived": false,
    "IsWitness": false,
    "DisagreeingSubstrateCount": 0.0,
    "IsSubstrateContested": false
   },
   {
    "RulebookFieldId": "ReviewEvents.RelatedChangeRequest",
    "TargetTable": "ReviewEvents",
    "FieldName": "RelatedChangeRequest",
    "FieldType": "relationship",
    "Datatype": "string",
    "Formula": null,
    "InventedForQuestion": null,
    "SemanticTypeIri": "urn:effortless:pko-extension#RulebookField",
    "Name": "ReviewEvents.RelatedChangeRequest",
    "IsDerived": false,
    "IsWitness": false,
    "DisagreeingSubstrateCount": 0.0,
    "IsSubstrateContested": false
   },
   {
    "RulebookFieldId": "ReviewEvents.NextReviewDue",
    "TargetTable": "ReviewEvents",
    "FieldName": "NextReviewDue",
    "FieldType": "raw",
    "Datatype": "datetime",
    "Formula": null,
    "InventedForQuestion": null,
    "SemanticTypeIri": "urn:effortless:pko-extension#RulebookField",
    "Name": "ReviewEvents.NextReviewDue",
    "IsDerived": false,
    "IsWitness": false,
    "DisagreeingSubstrateCount": 0.0,
    "IsSubstrateContested": false
   },
   {
    "RulebookFieldId": "ReviewEvents.EvaluationContext",
    "TargetTable": "ReviewEvents",
    "FieldName": "EvaluationContext",
    "FieldType": "relationship",
    "Datatype": "string",
    "Formula": null,
    "InventedForQuestion": null,
    "SemanticTypeIri": "urn:effortless:pko-extension#RulebookField",
    "Name": "ReviewEvents.EvaluationContext",
    "IsDerived": false,
    "IsWitness": false,
    "DisagreeingSubstrateCount": 0.0,
    "IsSubstrateContested": false
   },
   {
    "RulebookFieldId": "ReviewEvents.AsOfInstant",
    "TargetTable": "ReviewEvents",
    "FieldName": "AsOfInstant",
    "FieldType": "lookup",
    "Datatype": "datetime",
    "Formula": "=INDEX(EvaluationContexts!{{AsOfInstant}}, MATCH({{EvaluationContext}}, EvaluationContexts!{{EvaluationContextId}}, 0))",
    "InventedForQuestion": null,
    "SemanticTypeIri": "urn:effortless:pko-extension#RulebookField",
    "Name": "ReviewEvents.AsOfInstant",
    "IsDerived": true,
    "IsWitness": false,
    "DisagreeingSubstrateCount": 0.0,
    "IsSubstrateContested": false
   },
   {
    "RulebookFieldId": "ReviewEvents.IsOverdue",
    "TargetTable": "ReviewEvents",
    "FieldName": "IsOverdue",
    "FieldType": "calculated",
    "Datatype": "boolean",
    "Formula": "={{NextReviewDue}} &lt; {{AsOfInstant}}",
    "InventedForQuestion": null,
    "SemanticTypeIri": "urn:effortless:pko-extension#RulebookField",
    "Name": "ReviewEvents.IsOverdue",
    "IsDerived": true,
    "IsWitness": false,
    "DisagreeingSubstrateCount": 0.0,
    "IsSubstrateContested": false
   },
   {
    "RulebookFieldId": "ReviewEvents.OverdueVersionKey",
    "TargetTable": "ReviewEvents",
    "FieldName": "OverdueVersionKey",
    "FieldType": "calculated",
    "Datatype": "string",
    "Formula": "=IF({{IsOverdue}}, {{ProcedureVersion}}, \"\")",
    "InventedForQuestion": "q-cfo-approving-on-unfit-version",
    "SemanticTypeIri": "urn:effortless:pko-extension#RulebookField",
    "Name": "ReviewEvents.OverdueVersionKey",
    "IsDerived": true,
    "IsWitness": true,
    "DisagreeingSubstrateCount": 0.0,
    "IsSubstrateContested": false
   },
   {
    "RulebookFieldId": "ReviewEvents.PromisedCadenceDays",
    "TargetTable": "ReviewEvents",
    "FieldName": "PromisedCadenceDays",
    "FieldType": "lookup",
    "Datatype": "integer",
    "Formula": "=INDEX(ProcedureVersions!{{StewardReviewCadenceDays}}, MATCH({{ProcedureVersion}}, ProcedureVersions!{{ProcedureVersionId}}, 0))",
    "InventedForQuestion": "q-steward-cadence-breach",
    "SemanticTypeIri": "urn:effortless:pko-extension#RulebookField",
    "Name": "ReviewEvents.PromisedCadenceDays",
    "IsDerived": true,
    "IsWitness": true,
    "DisagreeingSubstrateCount": 0.0,
    "IsSubstrateContested": false
   },
   {
    "RulebookFieldId": "ReviewEvents.DaysSinceReviewed",
    "TargetTable": "ReviewEvents",
    "FieldName": "DaysSinceReviewed",
    "FieldType": "calculated",
    "Datatype": "integer",
    "Formula": "=DATETIME_DIFF({{AsOfInstant}}, {{ReviewedAt}}, \"days\")",
    "InventedForQuestion": "q-steward-cadence-breach",
    "SemanticTypeIri": "urn:effortless:pko-extension#RulebookField",
    "Name": "ReviewEvents.DaysSinceReviewed",
    "IsDerived": true,
    "IsWitness": true,
    "DisagreeingSubstrateCount": 0.0,
    "IsSubstrateContested": false
   },
   {
    "RulebookFieldId": "ReviewEvents.ExceedsPromisedCadence",
    "TargetTable": "ReviewEvents",
    "FieldName": "ExceedsPromisedCadence",
    "FieldType": "calculated",
    "Datatype": "boolean",
    "Formula": "={{DaysSinceReviewed}} &gt; {{PromisedCadenceDays}}",
    "InventedForQuestion": "q-steward-cadence-breach",
    "SemanticTypeIri": "urn:effortless:pko-extension#RulebookField",
    "Name": "ReviewEvents.ExceedsPromisedCadence",
    "IsDerived": true,
    "IsWitness": true,
    "DisagreeingSubstrateCount": 0.0,
    "IsSubstrateContested": false
   },
   {
    "RulebookFieldId": "ReviewEvents.CadenceDriftDays",
    "TargetTable": "ReviewEvents",
    "FieldName": "CadenceDriftDays",
    "FieldType": "calculated",
    "Datatype": "integer",
    "Formula": "={{DaysSinceReviewed}} - {{PromisedCadenceDays}}",
    "InventedForQuestion": "q-steward-cadence-breach",
    "SemanticTypeIri": "urn:effortless:pko-extension#RulebookField",
    "Name": "ReviewEvents.CadenceDriftDays",
    "IsDerived": true,
    "IsWitness": true,
    "DisagreeingSubstrateCount": 0.0,
    "IsSubstrateContested": false
   },
   {
    "RulebookFieldId": "ReviewEvents.PromiseAndBehaviorDisagree",
    "TargetTable": "ReviewEvents",
    "FieldName": "PromiseAndBehaviorDisagree",
    "FieldType": "calculated",
    "Datatype": "boolean",
    "Formula": "=AND({{ExceedsPromisedCadence}}, NOT({{IsOverdue}}))",
    "InventedForQuestion": "q-steward-cadence-breach",
    "SemanticTypeIri": "urn:effortless:pko-extension#RulebookField",
    "Name": "ReviewEvents.PromiseAndBehaviorDisagree",
    "IsDerived": true,
    "IsWitness": true,
    "DisagreeingSubstrateCount": 0.0,
    "IsSubstrateContested": false
   },
   {
    "RulebookFieldId": "ReviewEvents.CadenceBreachVersionKey",
    "TargetTable": "ReviewEvents",
    "FieldName": "CadenceBreachVersionKey",
    "FieldType": "calculated",
    "Datatype": "string",
    "Formula": "=IF({{ExceedsPromisedCadence}}, {{ProcedureVersion}}, \"\")",
    "InventedForQuestion": "q2-steward-cadence-breach-is-unremediated",
    "SemanticTypeIri": "urn:effortless:pko-extension#RulebookField",
    "Name": "ReviewEvents.CadenceBreachVersionKey",
    "IsDerived": true,
    "IsWitness": true,
    "DisagreeingSubstrateCount": 0.0,
    "IsSubstrateContested": false
   },
   {
    "RulebookFieldId": "ReviewEvents.SemanticTypeIri",
    "TargetTable": "ReviewEvents",
    "FieldName": "SemanticTypeIri",
    "FieldType": "raw",
    "Datatype": "string",
    "Formula": null,
    "InventedForQuestion": null,
    "SemanticTypeIri": "urn:effortless:pko-extension#RulebookField",
    "Name": "ReviewEvents.SemanticTypeIri",
    "IsDerived": false,
    "IsWitness": false,
    "DisagreeingSubstrateCount": 0.0,
    "IsSubstrateContested": false
   },
   {
    "RulebookFieldId": "LearningActivities.LearningActivityId",
    "TargetTable": "LearningActivities",
    "FieldName": "LearningActivityId",
    "FieldType": "raw",
    "Datatype": "string",
    "Formula": null,
    "InventedForQuestion": null,
    "SemanticTypeIri": "urn:effortless:pko-extension#RulebookField",
    "Name": "LearningActivities.LearningActivityId",
    "IsDerived": false,
    "IsWitness": false,
    "DisagreeingSubstrateCount": 0.0,
    "IsSubstrateContested": false
   },
   {
    "RulebookFieldId": "LearningActivities.Name",
    "TargetTable": "LearningActivities",
    "FieldName": "Name",
    "FieldType": "calculated",
    "Datatype": "string",
    "Formula": "={{ActivityKind}} &amp; \" / \" &amp; {{OccurredAt}}",
    "InventedForQuestion": null,
    "SemanticTypeIri": "urn:effortless:pko-extension#RulebookField",
    "Name": "LearningActivities.Name",
    "IsDerived": true,
    "IsWitness": false,
    "DisagreeingSubstrateCount": 0.0,
    "IsSubstrateContested": false
   },
   {
    "RulebookFieldId": "LearningActivities.CommunityOfPractice",
    "TargetTable": "LearningActivities",
    "FieldName": "CommunityOfPractice",
    "FieldType": "relationship",
    "Datatype": "string",
    "Formula": null,
    "InventedForQuestion": null,
    "SemanticTypeIri": "urn:effortless:pko-extension#RulebookField",
    "Name": "LearningActivities.CommunityOfPractice",
    "IsDerived": false,
    "IsWitness": false,
    "DisagreeingSubstrateCount": 0.0,
    "IsSubstrateContested": false
   },
   {
    "RulebookFieldId": "LearningActivities.ProcedureVersion",
    "TargetTable": "LearningActivities",
    "FieldName": "ProcedureVersion",
    "FieldType": "relationship",
    "Datatype": "string",
    "Formula": null,
    "InventedForQuestion": null,
    "SemanticTypeIri": "urn:effortless:pko-extension#RulebookField",
    "Name": "LearningActivities.ProcedureVersion",
    "IsDerived": false,
    "IsWitness": false,
    "DisagreeingSubstrateCount": 0.0,
    "IsSubstrateContested": false
   },
   {
    "RulebookFieldId": "LearningActivities.ActivityKind",
    "TargetTable": "LearningActivities",
    "FieldName": "ActivityKind",
    "FieldType": "raw",
    "Datatype": "string",
    "Formula": null,
    "InventedForQuestion": null,
    "SemanticTypeIri": "urn:effortless:pko-extension#RulebookField",
    "Name": "LearningActivities.ActivityKind",
    "IsDerived": false,
    "IsWitness": false,
    "DisagreeingSubstrateCount": 0.0,
    "IsSubstrateContested": false
   },
   {
    "RulebookFieldId": "LearningActivities.OccurredAt",
    "TargetTable": "LearningActivities",
    "FieldName": "OccurredAt",
    "FieldType": "raw",
    "Datatype": "datetime",
    "Formula": null,
    "InventedForQuestion": null,
    "SemanticTypeIri": "urn:effortless:pko-extension#RulebookField",
    "Name": "LearningActivities.OccurredAt",
    "IsDerived": false,
    "IsWitness": false,
    "DisagreeingSubstrateCount": 0.0,
    "IsSubstrateContested": false
   },
   {
    "RulebookFieldId": "LearningActivities.FacilitatorAgent",
    "TargetTable": "LearningActivities",
    "FieldName": "FacilitatorAgent",
    "FieldType": "relationship",
    "Datatype": "string",
    "Formula": null,
    "InventedForQuestion": null,
    "SemanticTypeIri": "urn:effortless:pko-extension#RulebookField",
    "Name": "LearningActivities.FacilitatorAgent",
    "IsDerived": false,
    "IsWitness": false,
    "DisagreeingSubstrateCount": 0.0,
    "IsSubstrateContested": false
   },
   {
    "RulebookFieldId": "LearningActivities.Outcome",
    "TargetTable": "LearningActivities",
    "FieldName": "Outcome",
    "FieldType": "raw",
    "Datatype": "string",
    "Formula": null,
    "InventedForQuestion": null,
    "SemanticTypeIri": "urn:effortless:pko-extension#RulebookField",
    "Name": "LearningActivities.Outcome",
    "IsDerived": false,
    "IsWitness": false,
    "DisagreeingSubstrateCount": 0.0,
    "IsSubstrateContested": false
   },
   {
    "RulebookFieldId": "LearningActivities.EvidenceResource",
    "TargetTable": "LearningActivities",
    "FieldName": "EvidenceResource",
    "FieldType": "relationship",
    "Datatype": "string",
    "Formula": null,
    "InventedForQuestion": null,
    "SemanticTypeIri": "urn:effortless:pko-extension#RulebookField",
    "Name": "LearningActivities.EvidenceResource",
    "IsDerived": false,
    "IsWitness": false,
    "DisagreeingSubstrateCount": 0.0,
    "IsSubstrateContested": false
   },
   {
    "RulebookFieldId": "LearningActivities.SemanticTypeIri",
    "TargetTable": "LearningActivities",
    "FieldName": "SemanticTypeIri",
    "FieldType": "raw",
    "Datatype": "string",
    "Formula": null,
    "InventedForQuestion": null,
    "SemanticTypeIri": "urn:effortless:pko-extension#RulebookField",
    "Name": "LearningActivities.SemanticTypeIri",
    "IsDerived": false,
    "IsWitness": false,
    "DisagreeingSubstrateCount": 0.0,
    "IsSubstrateContested": false
   },
   {
    "RulebookFieldId": "OperationalBindings.OperationalBindingId",
    "TargetTable": "OperationalBindings",
    "FieldName": "OperationalBindingId",
    "FieldType": "raw",
    "Datatype": "string",
    "Formula": null,
    "InventedForQuestion": null,
    "SemanticTypeIri": "urn:effortless:pko-extension#RulebookField",
    "Name": "OperationalBindings.OperationalBindingId",
    "IsDerived": false,
    "IsWitness": false,
    "DisagreeingSubstrateCount": 0.0,
    "IsSubstrateContested": false
   },
   {
    "RulebookFieldId": "OperationalBindings.Name",
    "TargetTable": "OperationalBindings",
    "FieldName": "Name",
    "FieldType": "calculated",
    "Datatype": "string",
    "Formula": "={{Step}} &amp; \" / \" &amp; {{RecordOrSchemaKey}}",
    "InventedForQuestion": null,
    "SemanticTypeIri": "urn:effortless:pko-extension#RulebookField",
    "Name": "OperationalBindings.Name",
    "IsDerived": true,
    "IsWitness": false,
    "DisagreeingSubstrateCount": 0.0,
    "IsSubstrateContested": false
   },
   {
    "RulebookFieldId": "OperationalBindings.ProcedureVersion",
    "TargetTable": "OperationalBindings",
    "FieldName": "ProcedureVersion",
    "FieldType": "relationship",
    "Datatype": "string",
    "Formula": null,
    "InventedForQuestion": null,
    "SemanticTypeIri": "urn:effortless:pko-extension#RulebookField",
    "Name": "OperationalBindings.ProcedureVersion",
    "IsDerived": false,
    "IsWitness": false,
    "DisagreeingSubstrateCount": 0.0,
    "IsSubstrateContested": false
   },
   {
    "RulebookFieldId": "OperationalBindings.Step",
    "TargetTable": "OperationalBindings",
    "FieldName": "Step",
    "FieldType": "relationship",
    "Datatype": "string",
    "Formula": null,
    "InventedForQuestion": null,
    "SemanticTypeIri": "urn:effortless:pko-extension#RulebookField",
    "Name": "OperationalBindings.Step",
    "IsDerived": false,
    "IsWitness": false,
    "DisagreeingSubstrateCount": 0.0,
    "IsSubstrateContested": false
   },
   {
    "RulebookFieldId": "OperationalBindings.Resource",
    "TargetTable": "OperationalBindings",
    "FieldName": "Resource",
    "FieldType": "relationship",
    "Datatype": "string",
    "Formula": null,
    "InventedForQuestion": null,
    "SemanticTypeIri": "urn:effortless:pko-extension#RulebookField",
    "Name": "OperationalBindings.Resource",
    "IsDerived": false,
    "IsWitness": false,
    "DisagreeingSubstrateCount": 0.0,
    "IsSubstrateContested": false
   },
   {
    "RulebookFieldId": "OperationalBindings.AccessMode",
    "TargetTable": "OperationalBindings",
    "FieldName": "AccessMode",
    "FieldType": "raw",
    "Datatype": "string",
    "Formula": null,
    "InventedForQuestion": null,
    "SemanticTypeIri": "urn:effortless:pko-extension#RulebookField",
    "Name": "OperationalBindings.AccessMode",
    "IsDerived": false,
    "IsWitness": false,
    "DisagreeingSubstrateCount": 0.0,
    "IsSubstrateContested": false
   },
   {
    "RulebookFieldId": "OperationalBindings.RecordOrSchemaKey",
    "TargetTable": "OperationalBindings",
    "FieldName": "RecordOrSchemaKey",
    "FieldType": "raw",
    "Datatype": "string",
    "Formula": null,
    "InventedForQuestion": null,
    "SemanticTypeIri": "urn:effortless:pko-extension#RulebookField",
    "Name": "OperationalBindings.RecordOrSchemaKey",
    "IsDerived": false,
    "IsWitness": false,
    "DisagreeingSubstrateCount": 0.0,
    "IsSubstrateContested": false
   },
   {
    "RulebookFieldId": "OperationalBindings.LastObservedAt",
    "TargetTable": "OperationalBindings",
    "FieldName": "LastObservedAt",
    "FieldType": "raw",
    "Datatype": "datetime",
    "Formula": null,
    "InventedForQuestion": null,
    "SemanticTypeIri": "urn:effortless:pko-extension#RulebookField",
    "Name": "OperationalBindings.LastObservedAt",
    "IsDerived": false,
    "IsWitness": false,
    "DisagreeingSubstrateCount": 0.0,
    "IsSubstrateContested": false
   },
   {
    "RulebookFieldId": "OperationalBindings.FreshnessSlaMinutes",
    "TargetTable": "OperationalBindings",
    "FieldName": "FreshnessSlaMinutes",
    "FieldType": "raw",
    "Datatype": "integer",
    "Formula": null,
    "InventedForQuestion": null,
    "SemanticTypeIri": "urn:effortless:pko-extension#RulebookField",
    "Name": "OperationalBindings.FreshnessSlaMinutes",
    "IsDerived": false,
    "IsWitness": false,
    "DisagreeingSubstrateCount": 0.0,
    "IsSubstrateContested": false
   },
   {
    "RulebookFieldId": "OperationalBindings.IsAuthoritative",
    "TargetTable": "OperationalBindings",
    "FieldName": "IsAuthoritative",
    "FieldType": "raw",
    "Datatype": "boolean",
    "Formula": null,
    "InventedForQuestion": null,
    "SemanticTypeIri": "urn:effortless:pko-extension#RulebookField",
    "Name": "OperationalBindings.IsAuthoritative",
    "Is</t>
  </si>
  <si>
    <t xml:space="preserve">Derived": false,
    "IsWitness": false,
    "DisagreeingSubstrateCount": 0.0,
    "IsSubstrateContested": false
   },
   {
    "RulebookFieldId": "OperationalBindings.EvaluationContext",
    "TargetTable": "OperationalBindings",
    "FieldName": "EvaluationContext",
    "FieldType": "relationship",
    "Datatype": "string",
    "Formula": null,
    "InventedForQuestion": null,
    "SemanticTypeIri": "urn:effortless:pko-extension#RulebookField",
    "Name": "OperationalBindings.EvaluationContext",
    "IsDerived": false,
    "IsWitness": false,
    "DisagreeingSubstrateCount": 0.0,
    "IsSubstrateContested": false
   },
   {
    "RulebookFieldId": "OperationalBindings.AsOfInstant",
    "TargetTable": "OperationalBindings",
    "FieldName": "AsOfInstant",
    "FieldType": "lookup",
    "Datatype": "datetime",
    "Formula": "=INDEX(EvaluationContexts!{{AsOfInstant}}, MATCH({{EvaluationContext}}, EvaluationContexts!{{EvaluationContextId}}, 0))",
    "InventedForQuestion": null,
    "SemanticTypeIri": "urn:effortless:pko-extension#RulebookField",
    "Name": "OperationalBindings.AsOfInstant",
    "IsDerived": true,
    "IsWitness": false,
    "DisagreeingSubstrateCount": 0.0,
    "IsSubstrateContested": false
   },
   {
    "RulebookFieldId": "OperationalBindings.AgeMinutes",
    "TargetTable": "OperationalBindings",
    "FieldName": "AgeMinutes",
    "FieldType": "calculated",
    "Datatype": "integer",
    "Formula": "=DATETIME_DIFF({{AsOfInstant}}, {{LastObservedAt}}, \"minutes\")",
    "InventedForQuestion": null,
    "SemanticTypeIri": "urn:effortless:pko-extension#RulebookField",
    "Name": "OperationalBindings.AgeMinutes",
    "IsDerived": true,
    "IsWitness": false,
    "DisagreeingSubstrateCount": 0.0,
    "IsSubstrateContested": false
   },
   {
    "RulebookFieldId": "OperationalBindings.IsFresh",
    "TargetTable": "OperationalBindings",
    "FieldName": "IsFresh",
    "FieldType": "calculated",
    "Datatype": "boolean",
    "Formula": "={{AgeMinutes}} &lt;= {{FreshnessSlaMinutes}}",
    "InventedForQuestion": null,
    "SemanticTypeIri": "urn:effortless:pko-extension#RulebookField",
    "Name": "OperationalBindings.IsFresh",
    "IsDerived": true,
    "IsWitness": false,
    "DisagreeingSubstrateCount": 0.0,
    "IsSubstrateContested": false
   },
   {
    "RulebookFieldId": "OperationalBindings.StaleBindingStepKey",
    "TargetTable": "OperationalBindings",
    "FieldName": "StaleBindingStepKey",
    "FieldType": "calculated",
    "Datatype": "string",
    "Formula": "=IF(NOT({{IsFresh}}), {{Step}}, \"\")",
    "InventedForQuestion": "q-analyst-evidence-binding-stale",
    "SemanticTypeIri": "urn:effortless:pko-extension#RulebookField",
    "Name": "OperationalBindings.StaleBindingStepKey",
    "IsDerived": true,
    "IsWitness": true,
    "DisagreeingSubstrateCount": 0.0,
    "IsSubstrateContested": false
   },
   {
    "RulebookFieldId": "OperationalBindings.AuthoritativeStaleStepKey",
    "TargetTable": "OperationalBindings",
    "FieldName": "AuthoritativeStaleStepKey",
    "FieldType": "calculated",
    "Datatype": "string",
    "Formula": "=IF(AND(NOT({{IsFresh}}), {{IsAuthoritative}}), {{Step}}, \"\")",
    "InventedForQuestion": "q-analyst-evidence-binding-stale",
    "SemanticTypeIri": "urn:effortless:pko-extension#RulebookField",
    "Name": "OperationalBindings.AuthoritativeStaleStepKey",
    "IsDerived": true,
    "IsWitness": true,
    "DisagreeingSubstrateCount": 0.0,
    "IsSubstrateContested": false
   },
   {
    "RulebookFieldId": "OperationalBindings.IsStaleAndAuthoritative",
    "TargetTable": "OperationalBindings",
    "FieldName": "IsStaleAndAuthoritative",
    "FieldType": "calculated",
    "Datatype": "boolean",
    "Formula": "=AND({{IsAuthoritative}}, NOT({{IsFresh}}))",
    "InventedForQuestion": "q-close-auto-input-freshness",
    "SemanticTypeIri": "urn:effortless:pko-extension#RulebookField",
    "Name": "OperationalBindings.IsStaleAndAuthoritative",
    "IsDerived": true,
    "IsWitness": true,
    "DisagreeingSubstrateCount": 0.0,
    "IsSubstrateContested": false
   },
   {
    "RulebookFieldId": "OperationalBindings.StepWhenStale",
    "TargetTable": "OperationalBindings",
    "FieldName": "StepWhenStale",
    "FieldType": "calculated",
    "Datatype": "string",
    "Formula": "=IF({{IsStaleAndAuthoritative}}, {{Step}}, \"\")",
    "InventedForQuestion": "q-close-auto-input-freshness",
    "SemanticTypeIri": "urn:effortless:pko-extension#RulebookField",
    "Name": "OperationalBindings.StepWhenStale",
    "IsDerived": true,
    "IsWitness": true,
    "DisagreeingSubstrateCount": 0.0,
    "IsSubstrateContested": false
   },
   {
    "RulebookFieldId": "OperationalBindings.ResourceIsApproved",
    "TargetTable": "OperationalBindings",
    "FieldName": "ResourceIsApproved",
    "FieldType": "lookup",
    "Datatype": "boolean",
    "Formula": "=INDEX(Resources!{{IsApprovedSource}}, MATCH({{Resource}}, Resources!{{ResourceId}}, 0))",
    "InventedForQuestion": "q-policy-ai-source-approval",
    "SemanticTypeIri": "urn:effortless:pko-extension#RulebookField",
    "Name": "OperationalBindings.ResourceIsApproved",
    "IsDerived": true,
    "IsWitness": true,
    "DisagreeingSubstrateCount": 0.0,
    "IsSubstrateContested": false
   },
   {
    "RulebookFieldId": "OperationalBindings.IsUsableForDrafting",
    "TargetTable": "OperationalBindings",
    "FieldName": "IsUsableForDrafting",
    "FieldType": "calculated",
    "Datatype": "boolean",
    "Formula": "=AND({{ResourceIsApproved}}, {{IsFresh}})",
    "InventedForQuestion": "q-policy-ai-source-approval",
    "SemanticTypeIri": "urn:effortless:pko-extension#RulebookField",
    "Name": "OperationalBindings.IsUsableForDrafting",
    "IsDerived": true,
    "IsWitness": true,
    "DisagreeingSubstrateCount": 0.0,
    "IsSubstrateContested": false
   },
   {
    "RulebookFieldId": "OperationalBindings.StepWhenUnusable",
    "TargetTable": "OperationalBindings",
    "FieldName": "StepWhenUnusable",
    "FieldType": "calculated",
    "Datatype": "string",
    "Formula": "=IF({{IsUsableForDrafting}}, \"\", {{Step}})",
    "InventedForQuestion": "q-policy-ai-source-approval",
    "SemanticTypeIri": "urn:effortless:pko-extension#RulebookField",
    "Name": "OperationalBindings.StepWhenUnusable",
    "IsDerived": true,
    "IsWitness": true,
    "DisagreeingSubstrateCount": 0.0,
    "IsSubstrateContested": false
   },
   {
    "RulebookFieldId": "OperationalBindings.SemanticTypeIri",
    "TargetTable": "OperationalBindings",
    "FieldName": "SemanticTypeIri",
    "FieldType": "raw",
    "Datatype": "string",
    "Formula": null,
    "InventedForQuestion": null,
    "SemanticTypeIri": "urn:effortless:pko-extension#RulebookField",
    "Name": "OperationalBindings.SemanticTypeIri",
    "IsDerived": false,
    "IsWitness": false,
    "DisagreeingSubstrateCount": 0.0,
    "IsSubstrateContested": false
   },
   {
    "RulebookFieldId": "CommunicationPolicies.CommunicationPolicyId",
    "TargetTable": "CommunicationPolicies",
    "FieldName": "CommunicationPolicyId",
    "FieldType": "raw",
    "Datatype": "string",
    "Formula": null,
    "InventedForQuestion": null,
    "SemanticTypeIri": "urn:effortless:pko-extension#RulebookField",
    "Name": "CommunicationPolicies.CommunicationPolicyId",
    "IsDerived": false,
    "IsWitness": false,
    "DisagreeingSubstrateCount": 0.0,
    "IsSubstrateContested": false
   },
   {
    "RulebookFieldId": "CommunicationPolicies.Name",
    "TargetTable": "CommunicationPolicies",
    "FieldName": "Name",
    "FieldType": "calculated",
    "Datatype": "string",
    "Formula": "={{Channel}} &amp; \" policy / \" &amp; {{ProcedureVersion}}",
    "InventedForQuestion": null,
    "SemanticTypeIri": "urn:effortless:pko-extension#RulebookField",
    "Name": "CommunicationPolicies.Name",
    "IsDerived": true,
    "IsWitness": false,
    "DisagreeingSubstrateCount": 0.0,
    "IsSubstrateContested": false
   },
   {
    "RulebookFieldId": "CommunicationPolicies.ProcedureVersion",
    "TargetTable": "CommunicationPolicies",
    "FieldName": "ProcedureVersion",
    "FieldType": "relationship",
    "Datatype": "string",
    "Formula": null,
    "InventedForQuestion": null,
    "SemanticTypeIri": "urn:effortless:pko-extension#RulebookField",
    "Name": "CommunicationPolicies.ProcedureVersion",
    "IsDerived": false,
    "IsWitness": false,
    "DisagreeingSubstrateCount": 0.0,
    "IsSubstrateContested": false
   },
   {
    "RulebookFieldId": "CommunicationPolicies.Channel",
    "TargetTable": "CommunicationPolicies",
    "FieldName": "Channel",
    "FieldType": "raw",
    "Datatype": "string",
    "Formula": null,
    "InventedForQuestion": null,
    "SemanticTypeIri": "urn:effortless:pko-extension#RulebookField",
    "Name": "CommunicationPolicies.Channel",
    "IsDerived": false,
    "IsWitness": false,
    "DisagreeingSubstrateCount": 0.0,
    "IsSubstrateContested": false
   },
   {
    "RulebookFieldId": "CommunicationPolicies.AudienceRule",
    "TargetTable": "CommunicationPolicies",
    "FieldName": "AudienceRule",
    "FieldType": "raw",
    "Datatype": "string",
    "Formula": null,
    "InventedForQuestion": null,
    "SemanticTypeIri": "urn:effortless:pko-extension#RulebookField",
    "Name": "CommunicationPolicies.AudienceRule",
    "IsDerived": false,
    "IsWitness": false,
    "DisagreeingSubstrateCount": 0.0,
    "IsSubstrateContested": false
   },
   {
    "RulebookFieldId": "CommunicationPolicies.ConsentRequired",
    "TargetTable": "CommunicationPolicies",
    "FieldName": "ConsentRequired",
    "FieldType": "raw",
    "Datatype": "boolean",
    "Formula": null,
    "InventedForQuestion": null,
    "SemanticTypeIri": "urn:effortless:pko-extension#RulebookField",
    "Name": "CommunicationPolicies.ConsentRequired",
    "IsDerived": false,
    "IsWitness": false,
    "DisagreeingSubstrateCount": 0.0,
    "IsSubstrateContested": false
   },
   {
    "RulebookFieldId": "CommunicationPolicies.QuietHoursStart",
    "TargetTable": "CommunicationPolicies",
    "FieldName": "QuietHoursStart",
    "FieldType": "raw",
    "Datatype": "string",
    "Formula": null,
    "InventedForQuestion": null,
    "SemanticTypeIri": "urn:effortless:pko-extension#RulebookField",
    "Name": "CommunicationPolicies.QuietHoursStart",
    "IsDerived": false,
    "IsWitness": false,
    "DisagreeingSubstrateCount": 0.0,
    "IsSubstrateContested": false
   },
   {
    "RulebookFieldId": "CommunicationPolicies.QuietHoursEnd",
    "TargetTable": "CommunicationPolicies",
    "FieldName": "QuietHoursEnd",
    "FieldType": "raw",
    "Datatype": "string",
    "Formula": null,
    "InventedForQuestion": null,
    "SemanticTypeIri": "urn:effortless:pko-extension#RulebookField",
    "Name": "CommunicationPolicies.QuietHoursEnd",
    "IsDerived": false,
    "IsWitness": false,
    "DisagreeingSubstrateCount": 0.0,
    "IsSubstrateContested": false
   },
   {
    "RulebookFieldId": "CommunicationPolicies.MaxMessageLength",
    "TargetTable": "CommunicationPolicies",
    "FieldName": "MaxMessageLength",
    "FieldType": "raw",
    "Datatype": "integer",
    "Formula": null,
    "InventedForQuestion": null,
    "SemanticTypeIri": "urn:effortless:pko-extension#RulebookField",
    "Name": "CommunicationPolicies.MaxMessageLength",
    "IsDerived": false,
    "IsWitness": false,
    "DisagreeingSubstrateCount": 0.0,
    "IsSubstrateContested": false
   },
   {
    "RulebookFieldId": "CommunicationPolicies.MaxSegments",
    "TargetTable": "CommunicationPolicies",
    "FieldName": "MaxSegments",
    "FieldType": "raw",
    "Datatype": "integer",
    "Formula": null,
    "InventedForQuestion": null,
    "SemanticTypeIri": "urn:effortless:pko-extension#RulebookField",
    "Name": "CommunicationPolicies.MaxSegments",
    "IsDerived": false,
    "IsWitness": false,
    "DisagreeingSubstrateCount": 0.0,
    "IsSubstrateContested": false
   },
   {
    "RulebookFieldId": "CommunicationPolicies.RetentionDays",
    "TargetTable": "CommunicationPolicies",
    "FieldName": "RetentionDays",
    "FieldType": "raw",
    "Datatype": "integer",
    "Formula": null,
    "InventedForQuestion": null,
    "SemanticTypeIri": "urn:effortless:pko-extension#RulebookField",
    "Name": "CommunicationPolicies.RetentionDays",
    "IsDerived": false,
    "IsWitness": false,
    "DisagreeingSubstrateCount": 0.0,
    "IsSubstrateContested": false
   },
   {
    "RulebookFieldId": "CommunicationPolicies.ApprovalRole",
    "TargetTable": "CommunicationPolicies",
    "FieldName": "ApprovalRole",
    "FieldType": "relationship",
    "Datatype": "string",
    "Formula": null,
    "InventedForQuestion": null,
    "SemanticTypeIri": "urn:effortless:pko-extension#RulebookField",
    "Name": "CommunicationPolicies.ApprovalRole",
    "IsDerived": false,
    "IsWitness": false,
    "DisagreeingSubstrateCount": 0.0,
    "IsSubstrateContested": false
   },
   {
    "RulebookFieldId": "CommunicationPolicies.RequiredContent",
    "TargetTable": "CommunicationPolicies",
    "FieldName": "RequiredContent",
    "FieldType": "raw",
    "Datatype": "string",
    "Formula": null,
    "InventedForQuestion": null,
    "SemanticTypeIri": "urn:effortless:pko-extension#RulebookField",
    "Name": "CommunicationPolicies.RequiredContent",
    "IsDerived": false,
    "IsWitness": false,
    "DisagreeingSubstrateCount": 0.0,
    "IsSubstrateContested": false
   },
   {
    "RulebookFieldId": "CommunicationPolicies.AuthorityStatement",
    "TargetTable": "CommunicationPolicies",
    "FieldName": "AuthorityStatement",
    "FieldType": "raw",
    "Datatype": "string",
    "Formula": null,
    "InventedForQuestion": null,
    "SemanticTypeIri": "urn:effortless:pko-extension#RulebookField",
    "Name": "CommunicationPolicies.AuthorityStatement",
    "IsDerived": false,
    "IsWitness": false,
    "DisagreeingSubstrateCount": 0.0,
    "IsSubstrateContested": false
   },
   {
    "RulebookFieldId": "CommunicationPolicies.Status",
    "TargetTable": "CommunicationPolicies",
    "FieldName": "Status",
    "FieldType": "raw",
    "Datatype": "string",
    "Formula": null,
    "InventedForQuestion": null,
    "SemanticTypeIri": "urn:effortless:pko-extension#RulebookField",
    "Name": "CommunicationPolicies.Status",
    "IsDerived": false,
    "IsWitness": false,
    "DisagreeingSubstrateCount": 0.0,
    "IsSubstrateContested": false
   },
   {
    "RulebookFieldId": "CommunicationPolicies.ConsentViolationCount",
    "TargetTable": "CommunicationPolicies",
    "FieldName": "ConsentViolationCount",
    "FieldType": "aggregation",
    "Datatype": "number",
    "Formula": "=COUNTIFS(MessageDeliveries!{{PolicyChannel}}, {{CommunicationPolicyId}}, MessageDeliveries!{{IsConsentViolation}}, TRUE)",
    "InventedForQuestion": "q-counsel-sms-without-consent",
    "SemanticTypeIri": "urn:effortless:pko-extension#RulebookField",
    "Name": "CommunicationPolicies.ConsentViolationCount",
    "IsDerived": true,
    "IsWitness": true,
    "DisagreeingSubstrateCount": 0.0,
    "IsSubstrateContested": false
   },
   {
    "RulebookFieldId": "CommunicationPolicies.QuietHoursStartHour",
    "TargetTable": "CommunicationPolicies",
    "FieldName": "QuietHoursStartHour",
    "FieldType": "raw",
    "Datatype": "integer",
    "Formula": null,
    "InventedForQuestion": "q-counsel-quiet-hours-breach",
    "SemanticTypeIri": "urn:effortless:pko-extension#RulebookField",
    "Name": "CommunicationPolicies.QuietHoursStartHour",
    "IsDerived": false,
    "IsWitness": true,
    "DisagreeingSubstrateCount": 0.0,
    "IsSubstrateContested": false
   },
   {
    "RulebookFieldId": "CommunicationPolicies.QuietHoursEndHour",
    "TargetTable": "CommunicationPolicies",
    "FieldName": "QuietHoursEndHour",
    "FieldType": "raw",
    "Datatype": "integer",
    "Formula": null,
    "InventedForQuestion": "q-counsel-quiet-hours-breach",
    "SemanticTypeIri": "urn:effortless:pko-extension#RulebookField",
    "Name": "CommunicationPolicies.QuietHoursEndHour",
    "IsDerived": false,
    "IsWitness": true,
    "DisagreeingSubstrateCount": 0.0,
    "IsSubstrateContested": false
   },
   {
    "RulebookFieldId": "CommunicationPolicies.QuietHoursViolationCount",
    "TargetTable": "CommunicationPolicies",
    "FieldName": "QuietHoursViolationCount",
    "FieldType": "aggregation",
    "Datatype": "number",
    "Formula": "=COUNTIFS(MessageDeliveries!{{QuietHoursViolationPolicyKey}}, {{CommunicationPolicyId}})",
    "InventedForQuestion": "q-counsel-quiet-hours-breach",
    "SemanticTypeIri": "urn:effortless:pko-extension#RulebookField",
    "Name": "CommunicationPolicies.QuietHoursViolationCount",
    "IsDerived": true,
    "IsWitness": true,
    "DisagreeingSubstrateCount": 0.0,
    "IsSubstrateContested": false
   },
   {
    "RulebookFieldId": "CommunicationPolicies.RequiredOptOutPhrase",
    "TargetTable": "CommunicationPolicies",
    "FieldName": "RequiredOptOutPhrase",
    "FieldType": "raw",
    "Datatype": "string",
    "Formula": null,
    "InventedForQuestion": "q-comms-optout-present",
    "SemanticTypeIri": "urn:effortless:pko-extension#RulebookField",
    "Name": "CommunicationPolicies.RequiredOptOutPhrase",
    "IsDerived": false,
    "IsWitness": true,
    "DisagreeingSubstrateCount": 0.0,
    "IsSubstrateContested": false
   },
   {
    "RulebookFieldId": "CommunicationPolicies.IsActivePolicy",
    "TargetTable": "CommunicationPolicies",
    "FieldName": "IsActivePolicy",
    "FieldType": "calculated",
    "Datatype": "boolean",
    "Formula": "={{Status}} = \"Active\"",
    "InventedForQuestion": "q-publisher-may-i-transmit",
    "SemanticTypeIri": "urn:effortless:pko-extension#RulebookField",
    "Name": "CommunicationPolicies.IsActivePolicy",
    "IsDerived": true,
    "IsWitness": true,
    "DisagreeingSubstrateCount": 0.0,
    "IsSubstrateContested": false
   },
   {
    "RulebookFieldId": "CommunicationPolicies.SemanticTypeIri",
    "TargetTable": "CommunicationPolicies",
    "FieldName": "SemanticTypeIri",
    "FieldType": "raw",
    "Datatype": "string",
    "Formula": null,
    "InventedForQuestion": null,
    "SemanticTypeIri": "urn:effortless:pko-extension#RulebookField",
    "Name": "CommunicationPolicies.SemanticTypeIri",
    "IsDerived": false,
    "IsWitness": false,
    "DisagreeingSubstrateCount": 0.0,
    "IsSubstrateContested": false
   },
   {
    "RulebookFieldId": "MessageTemplates.MessageTemplateId",
    "TargetTable": "MessageTemplates",
    "FieldName": "MessageTemplateId",
    "FieldType": "raw",
    "Datatype": "string",
    "Formula": null,
    "InventedForQuestion": null,
    "SemanticTypeIri": "urn:effortless:pko-extension#RulebookField",
    "Name": "MessageTemplates.MessageTemplateId",
    "IsDerived": false,
    "IsWitness": false,
    "DisagreeingSubstrateCount": 0.0,
    "IsSubstrateContested": false
   },
   {
    "RulebookFieldId": "MessageTemplates.Name",
    "TargetTable": "MessageTemplates",
    "FieldName": "Name",
    "FieldType": "calculated",
    "Datatype": "string",
    "Formula": "={{CommunicationPolicy}} &amp; \" / \" &amp; {{Locale}}",
    "InventedForQuestion": null,
    "SemanticTypeIri": "urn:effortless:pko-extension#RulebookField",
    "Name": "MessageTemplates.Name",
    "IsDerived": true,
    "IsWitness": false,
    "DisagreeingSubstrateCount": 0.0,
    "IsSubstrateContested": false
   },
   {
    "RulebookFieldId": "MessageTemplates.CommunicationPolicy",
    "TargetTable": "MessageTemplates",
    "FieldName": "CommunicationPolicy",
    "FieldType": "relationship",
    "Datatype": "string",
    "Formula": null,
    "InventedForQuestion": null,
    "SemanticTypeIri": "urn:effortless:pko-extension#RulebookField",
    "Name": "MessageTemplates.CommunicationPolicy",
    "IsDerived": false,
    "IsWitness": false,
    "DisagreeingSubstrateCount": 0.0,
    "IsSubstrateContested": false
   },
   {
    "RulebookFieldId": "MessageTemplates.Resource",
    "TargetTable": "MessageTemplates",
    "FieldName": "Resource",
    "FieldType": "relationship",
    "Datatype": "string",
    "Formula": null,
    "InventedForQuestion": null,
    "SemanticTypeIri": "urn:effortless:pko-extension#RulebookField",
    "Name": "MessageTemplates.Resource",
    "IsDerived": false,
    "IsWitness": false,
    "DisagreeingSubstrateCount": 0.0,
    "IsSubstrateContested": false
   },
   {
    "RulebookFieldId": "MessageTemplates.SubjectTemplate",
    "TargetTable": "MessageTemplates",
    "FieldName": "SubjectTemplate",
    "FieldType": "raw",
    "Datatype": "string",
    "Formula": null,
    "InventedForQuestion": null,
    "SemanticTypeIri": "urn:effortless:pko-extension#RulebookField",
    "Name": "MessageTemplates.SubjectTemplate",
    "IsDerived": false,
    "IsWitness": false,
    "DisagreeingSubstrateCount": 0.0,
    "IsSubstrateContested": false
   },
   {
    "RulebookFieldId": "MessageTemplates.BodyTemplate",
    "TargetTable": "MessageTemplates",
    "FieldName": "BodyTemplate",
    "FieldType": "raw",
    "Datatype": "string",
    "Formula": null,
    "InventedForQuestion": null,
    "SemanticTypeIri": "urn:effortless:pko-extension#RulebookField",
    "Name": "MessageTemplates.BodyTemplate",
    "IsDerived": false,
    "IsWitness": false,
    "DisagreeingSubstrateCount": 0.0,
    "IsSubstrateContested": false
   },
   {
    "RulebookFieldId": "MessageTemplates.Locale",
    "TargetTable": "MessageTemplates",
    "FieldName": "Locale",
    "FieldType": "raw",
    "Datatype": "string",
    "Formula": null,
    "InventedForQuestion": null,
    "SemanticTypeIri": "urn:effortless:pko-extension#RulebookField",
    "Name": "MessageTemplates.Locale",
    "IsDerived": false,
    "IsWitness": false,
    "DisagreeingSubstrateCount": 0.0,
    "IsSubstrateContested": false
   },
   {
    "RulebookFieldId": "MessageTemplates.Status",
    "TargetTable": "MessageTemplates",
    "FieldName": "Status",
    "FieldType": "raw",
    "Datatype": "string",
    "Formula": null,
    "InventedForQuestion": null,
    "SemanticTypeIri": "urn:effortless:pko-extension#RulebookField",
    "Name": "MessageTemplates.Status",
    "IsDerived": false,
    "IsWitness": false,
    "DisagreeingSubstrateCount": 0.0,
    "IsSubstrateContested": false
   },
   {
    "RulebookFieldId": "MessageTemplates.PolicyMaxMessageLength",
    "TargetTable": "MessageTemplates",
    "FieldName": "PolicyMaxMessageLength",
    "FieldType": "lookup",
    "Datatype": "integer",
    "Formula": "=INDEX(CommunicationPolicies!{{MaxMessageLength}}, MATCH({{CommunicationPolicy}}, CommunicationPolicies!{{CommunicationPolicyId}}, 0))",
    "InventedForQuestion": "q-comms-oversized-sms",
    "SemanticTypeIri": "urn:effortless:pko-extension#RulebookField",
    "Name": "MessageTemplates.PolicyMaxMessageLength",
    "IsDerived": true,
    "IsWitness": true,
    "DisagreeingSubstrateCount": 0.0,
    "IsSubstrateContested": false
   },
   {
    "RulebookFieldId": "MessageTemplates.PolicyMaxSegments",
    "TargetTable": "MessageTemplates",
    "FieldName": "PolicyMaxSegments",
    "FieldType": "lookup",
    "Datatype": "integer",
    "Formula": "=INDEX(CommunicationPolicies!{{MaxSegments}}, MATCH({{CommunicationPolicy}}, CommunicationPolicies!{{CommunicationPolicyId}}, 0))",
    "InventedForQuestion": "q-comms-oversized-sms",
    "SemanticTypeIri": "urn:effortless:pko-extension#RulebookField",
    "Name": "MessageTemplates.PolicyMaxSegments",
    "IsDerived": true,
    "IsWitness": true,
    "DisagreeingSubstrateCount": 0.0,
    "IsSubstrateContested": false
   },
   {
    "RulebookFieldId": "MessageTemplates.BodyTemplateLength",
    "TargetTable": "MessageTemplates",
    "FieldName": "BodyTemplateLength",
    "FieldType": "calculated",
    "Datatype": "integer",
    "Formula": "=LEN({{BodyTemplate}})",
    "InventedForQuestion": "q-comms-oversized-sms",
    "SemanticTypeIri": "urn:effortless:pko-extension#RulebookField",
    "Name": "MessageTemplates.BodyTemplateLength",
    "IsDerived": true,
    "IsWitness": true,
    "DisagreeingSubstrateCount": 0.0,
    "IsSubstrateContested": false
   },
   {
    "RulebookFieldId": "MessageTemplates.IsTemplateOverLength",
    "TargetTable": "MessageTemplates",
    "FieldName": "IsTemplateOverLength",
    "FieldType": "calculated",
    "Datatype": "boolean",
    "Formula": "={{BodyTemplateLength}} &gt; {{PolicyMaxMessageLength}}",
    "InventedForQuestion": "q-comms-oversized-sms",
    "SemanticTypeIri": "urn:effortless:pko-extension#RulebookField",
    "Name": "MessageTemplates.IsTemplateOverLength",
    "IsDerived": true,
    "IsWitness": true,
    "DisagreeingSubstrateCount": 0.0,
    "IsSubstrateContested": false
   },
   {
    "RulebookFieldId": "MessageTemplates.ValidApprovalCount",
    "TargetTable": "MessageTemplates",
    "FieldName": "ValidApprovalCount",
    "FieldType": "aggregation",
    "Datatype": "number",
    "Formula": "=COUNTIFS(TemplateApprovals!{{ValidApprovalTemplateKey}}, {{MessageTemplateId}})",
    "InventedForQuestion": "q-comms-approval-authority",
    "SemanticTypeIri": "urn:effortless:pko-extension#RulebookField",
    "Name": "MessageTemplates.ValidApprovalCount",
    "IsDerived": true,
    "IsWitness": true,
    "DisagreeingSubstrateCount": 0.0,
    "IsSubstrateContested": false
   },
   {
    "RulebookFieldId": "MessageTemplates.HasValidApproval",
    "TargetTable": "MessageTemplates",
    "FieldName": "HasValidApproval",
    "FieldType": "calculated",
    "Datatype": "boolean",
    "Formula": "={{ValidApprovalCount}} &gt; 0",
    "InventedForQuestion": "q-comms-approval-authority",
    "SemanticTypeIri": "urn:effortless:pko-extension#RulebookField",
    "Name": "MessageTemplates.HasValidApproval",
    "IsDerived": true,
    "IsWitness": true,
    "DisagreeingSubstrateCount": 0.0,
    "IsSubstrateContested": false
   },
   {
    "RulebookFieldId": "MessageTemplates.IsClaimingUnbackedApproval",
    "TargetTable": "MessageTemplates",
    "FieldName": "IsClaimingUnbackedApproval",
    "FieldType": "calculated",
    "Datatype": "boolean",
    "Formula": "=AND({{Status}} = \"Approved\", NOT({{HasValidApproval}}))",
    "InventedForQuestion": "q-comms-approval-authority",
    "SemanticTypeIri": "urn:effortless:pko-extension#RulebookField",
    "Name": "MessageTemplates.IsClaimingUnbackedApproval",
    "IsDerived": true,
    "IsWitness": true,
    "DisagreeingSubstrateCount": 0.0,
    "IsSubstrateContested": false
   },
   {
    "RulebookFieldId": "MessageTemplates.CurrentBodyHash",
    "TargetTable": "MessageTemplates",
    "FieldName": "CurrentBodyHash",
    "FieldType": "raw",
    "Datatype": "string",
    "Formula": null,
    "InventedForQuestion": "q-comms-template-drift",
    "SemanticTypeIri": "urn:effortless:pko-extension#RulebookField",
    "Name": "MessageTemplates.CurrentBodyHash",
    "IsDerived": false,
    "IsWitness": true,
    "DisagreeingSubstrateCount": 0.0,
    "IsSubstrateContested": false
   },
   {
    "RulebookFieldId": "MessageTemplates.LastApprovedBodyHash",
    "TargetTable": "MessageTemplates",
    "FieldName": "LastApprovedBodyHash",
    "FieldType": "lookup",
    "Datatype": "string",
    "Formula": "=INDEX(TemplateApprovals!{{ApprovedBodyHash}}, MATCH({{LastValidApproval}}, TemplateApprovals!{{TemplateApprovalId}}, 0))",
    "InventedForQuestion": "q-comms-template-drift",
    "SemanticTypeIri": "urn:effortless:pko-extension#RulebookField",
    "Name": "MessageTemplates.LastApprovedBodyHash",
    "IsDerived": true,
    "IsWitness": true,
    "DisagreeingSubstrateCount": 0.0,
    "IsSubstrateContested": false
   },
   {
    "RulebookFieldId": "MessageTemplates.LastValidApproval",
    "TargetTable": "MessageTemplates",
    "FieldName": "LastValidApproval",
    "FieldType": "raw",
    "Datatype": "string",
    "Formula": null,
    "InventedForQuestion": "q-comms-template-drift",
    "SemanticTypeIri": "urn:effortless:pko-extension#RulebookField",
    "Name": "MessageTemplates.LastValidApproval",
    "IsDerived": false,
    "IsWitness": true,
    "DisagreeingSubstrateCount": 0.0,
    "IsSubstrateContested": false
   },
   {
    "RulebookFieldId": "MessageTemplates.HasBodyDrifted",
    "TargetTable": "MessageTemplates",
    "FieldName": "HasBodyDrifted",
    "FieldType": "calculated",
    "Datatype": "boolean",
    "Formula": "=AND({{LastApprovedBodyHash}} &lt;&gt; \"\", {{CurrentBodyHash}} &lt;&gt; {{LastApprovedBodyHash}})",
    "InventedForQuestion": "q-comms-template-drift",
    "SemanticTypeIri": "urn:effortless:pko-extension#RulebookField",
    "Name": "MessageTemplates.HasBodyDrifted",
    "IsDerived": true,
    "IsWitness": true,
    "DisagreeingSubstrateCount": 0.0,
    "IsSubstrateContested": false
   },
   {
    "RulebookFieldId": "MessageTemplates.IsSendableUnderApproval",
    "TargetTable": "MessageTemplates",
    "FieldName": "IsSendableUnderApproval",
    "FieldType": "calculated",
    "Datatype": "boolean",
    "Formula": "=AND({{Status}} = \"Approved\", AND({{HasValidApproval}}, NOT({{HasBodyDrifted}})))",
    "InventedForQuestion": "q-comms-template-drift",
    "SemanticTypeIri": "urn:effortless:pko-extension#RulebookField",
    "Name": "MessageTemplates.IsSendableUnderApproval",
    "IsDerived": true,
    "IsWitness": true,
    "DisagreeingSubstrateCount": 0.0,
    "IsSubstrateContested": false
   },
   {
    "RulebookFieldId": "MessageTemplates.DriftedSendCount",
    "TargetTable": "MessageTemplates",
    "FieldName": "DriftedSendCount",
    "FieldType": "aggregation",
    "Datatype": "number",
    "Formula": "=COUNTIFS(MessageDeliveries!{{DriftedSendTemplateKey}}, {{MessageTemplateId}})",
    "InventedForQuestion": "q-comms-template-drift",
    "SemanticTypeIri": "urn:effortless:pko-extension#RulebookField",
    "Name": "MessageTemplates.DriftedSendCount",
    "IsDerived": true,
    "IsWitness": true,
    "DisagreeingSubstrateCount": 0.0,
    "IsSubstrateContested": false
   },
   {
    "RulebookFieldId": "MessageTemplates.UnansweredDeliveryCount",
    "TargetTable": "MessageTemplates",
    "FieldName": "UnansweredDeliveryCount",
    "FieldType": "aggregation",
    "Datatype": "number",
    "Formula": "=COUNTIFS(MessageDeliveries!{{UnansweredTemplateKey}}, {{MessageTemplateId}})",
    "InventedForQuestion": "q2-comms-message-nobody-answered",
    "SemanticTypeIri": "urn:effortless:pko-extension#RulebookField",
    "Name": "MessageTemplates.UnansweredDeliveryCount",
    "IsDerived": true,
    "IsWitness": true,
    "DisagreeingSubstrateCount": 0.0,
    "IsSubstrateContested": false
   },
   {
    "RulebookFieldId": "MessageTemplates.TransmittedDeliveryCount",
    "TargetTable": "MessageTemplates",
    "FieldName": "TransmittedDeliveryCount",
    "FieldType": "aggregation",
    "Datatype": "number",
    "Formula": "=COUNTIFS(MessageDeliveries!{{TransmittedTemplateKey}}, {{MessageTemplateId}})",
    "InventedForQuestion": "q2-comms-message-nobody-answered",
    "SemanticTypeIri": "urn:effortless:pko-extension#RulebookField",
    "Name": "MessageTemplates.TransmittedDeliveryCount",
    "IsDerived": true,
    "IsWitness": true,
    "DisagreeingSubstrateCount": 0.0,
    "IsSubstrateContested": false
   },
   {
    "RulebookFieldId": "MessageTemplates.TemplateDrawsNoResponse",
    "TargetTable": "MessageTemplates",
    "FieldName": "TemplateDrawsNoResponse",
    "FieldType": "calculated",
    "Datatype": "boolean",
    "Formula": "=AND({{TransmittedDeliveryCount}} &gt; 0, {{UnansweredDeliveryCount}} = {{TransmittedDeliveryCount}})",
    "InventedForQuestion": "q2-comms-message-nobody-answered",
    "SemanticTypeIri": "urn:effortless:pko-extension#RulebookField",
    "Name": "MessageTemplates.TemplateDrawsNoResponse",
    "IsDerived": true,
    "IsWitness": true,
    "DisagreeingSubstrateCount": 0.0,
    "IsSubstrateContested": false
   },
   {
    "RulebookFieldId": "MessageTemplates.LastApprovalAt",
    "TargetTable": "MessageTemplates",
    "FieldName": "LastApprovalAt",
    "FieldType": "lookup",
    "Datatype": "datetime",
    "Formula": "=INDEX(TemplateApprovals!{{DecidedAt}}, MATCH({{LastValidApproval}}, TemplateApprovals!{{TemplateApprovalId}}, 0))",
    "InventedForQuestion": "q2-comms-freeze-what-i-approved",
    "SemanticTypeIri": "urn:effortless:pko-extension#RulebookField",
    "Name": "MessageTemplates.LastApprovalAt",
    "IsDerived": true,
    "IsWitness": true,
    "DisagreeingSubstrateCount": 0.0,
    "IsSubstrateContested": false
   },
   {
    "RulebookFieldId": "MessageTemplates.SemanticTypeIri",
    "TargetTable": "MessageTemplates",
    "FieldName": "SemanticTypeIri",
    "FieldType": "raw",
    "Datatype": "string",
    "Formula": null,
    "InventedForQuestion": null,
    "SemanticTypeIri": "urn:effortless:pko-extension#RulebookField",
    "Name": "MessageTemplates.SemanticTypeIri",
    "IsDerived": </t>
  </si>
  <si>
    <t xml:space="preserve">false,
    "IsWitness": false,
    "DisagreeingSubstrateCount": 0.0,
    "IsSubstrateContested": false
   },
   {
    "RulebookFieldId": "SemanticMappings.SemanticMappingId",
    "TargetTable": "SemanticMappings",
    "FieldName": "SemanticMappingId",
    "FieldType": "raw",
    "Datatype": "string",
    "Formula": null,
    "InventedForQuestion": null,
    "SemanticTypeIri": "urn:effortless:pko-extension#RulebookField",
    "Name": "SemanticMappings.SemanticMappingId",
    "IsDerived": false,
    "IsWitness": false,
    "DisagreeingSubstrateCount": 0.0,
    "IsSubstrateContested": false
   },
   {
    "RulebookFieldId": "SemanticMappings.Name",
    "TargetTable": "SemanticMappings",
    "FieldName": "Name",
    "FieldType": "calculated",
    "Datatype": "string",
    "Formula": "={{SourcePath}} &amp; \" -&gt; \" &amp; {{TargetIri}}",
    "InventedForQuestion": null,
    "SemanticTypeIri": "urn:effortless:pko-extension#RulebookField",
    "Name": "SemanticMappings.Name",
    "IsDerived": true,
    "IsWitness": false,
    "DisagreeingSubstrateCount": 0.0,
    "IsSubstrateContested": false
   },
   {
    "RulebookFieldId": "SemanticMappings.SourcePath",
    "TargetTable": "SemanticMappings",
    "FieldName": "SourcePath",
    "FieldType": "raw",
    "Datatype": "string",
    "Formula": null,
    "InventedForQuestion": null,
    "SemanticTypeIri": "urn:effortless:pko-extension#RulebookField",
    "Name": "SemanticMappings.SourcePath",
    "IsDerived": false,
    "IsWitness": false,
    "DisagreeingSubstrateCount": 0.0,
    "IsSubstrateContested": false
   },
   {
    "RulebookFieldId": "SemanticMappings.MappingKind",
    "TargetTable": "SemanticMappings",
    "FieldName": "MappingKind",
    "FieldType": "raw",
    "Datatype": "string",
    "Formula": null,
    "InventedForQuestion": null,
    "SemanticTypeIri": "urn:effortless:pko-extension#RulebookField",
    "Name": "SemanticMappings.MappingKind",
    "IsDerived": false,
    "IsWitness": false,
    "DisagreeingSubstrateCount": 0.0,
    "IsSubstrateContested": false
   },
   {
    "RulebookFieldId": "SemanticMappings.TargetIri",
    "TargetTable": "SemanticMappings",
    "FieldName": "TargetIri",
    "FieldType": "raw",
    "Datatype": "string",
    "Formula": null,
    "InventedForQuestion": null,
    "SemanticTypeIri": "urn:effortless:pko-extension#RulebookField",
    "Name": "SemanticMappings.TargetIri",
    "IsDerived": false,
    "IsWitness": false,
    "DisagreeingSubstrateCount": 0.0,
    "IsSubstrateContested": false
   },
   {
    "RulebookFieldId": "SemanticMappings.MappingRelation",
    "TargetTable": "SemanticMappings",
    "FieldName": "MappingRelation",
    "FieldType": "raw",
    "Datatype": "string",
    "Formula": null,
    "InventedForQuestion": null,
    "SemanticTypeIri": "urn:effortless:pko-extension#RulebookField",
    "Name": "SemanticMappings.MappingRelation",
    "IsDerived": false,
    "IsWitness": false,
    "DisagreeingSubstrateCount": 0.0,
    "IsSubstrateContested": false
   },
   {
    "RulebookFieldId": "SemanticMappings.OntologyProfile",
    "TargetTable": "SemanticMappings",
    "FieldName": "OntologyProfile",
    "FieldType": "relationship",
    "Datatype": "string",
    "Formula": null,
    "InventedForQuestion": null,
    "SemanticTypeIri": "urn:effortless:pko-extension#RulebookField",
    "Name": "SemanticMappings.OntologyProfile",
    "IsDerived": false,
    "IsWitness": false,
    "DisagreeingSubstrateCount": 0.0,
    "IsSubstrateContested": false
   },
   {
    "RulebookFieldId": "SemanticMappings.Notes",
    "TargetTable": "SemanticMappings",
    "FieldName": "Notes",
    "FieldType": "raw",
    "Datatype": "string",
    "Formula": null,
    "InventedForQuestion": null,
    "SemanticTypeIri": "urn:effortless:pko-extension#RulebookField",
    "Name": "SemanticMappings.Notes",
    "IsDerived": false,
    "IsWitness": false,
    "DisagreeingSubstrateCount": 0.0,
    "IsSubstrateContested": false
   },
   {
    "RulebookFieldId": "WitnessLoops.WitnessLoopId",
    "TargetTable": "WitnessLoops",
    "FieldName": "WitnessLoopId",
    "FieldType": "raw",
    "Datatype": "string",
    "Formula": null,
    "InventedForQuestion": null,
    "SemanticTypeIri": "urn:effortless:pko-extension#RulebookField",
    "Name": "WitnessLoops.WitnessLoopId",
    "IsDerived": false,
    "IsWitness": false,
    "DisagreeingSubstrateCount": 0.0,
    "IsSubstrateContested": false
   },
   {
    "RulebookFieldId": "WitnessLoops.Name",
    "TargetTable": "WitnessLoops",
    "FieldName": "Name",
    "FieldType": "calculated",
    "Datatype": "string",
    "Formula": "=\"Loop \" &amp; {{LoopNumber}} &amp; \": \" &amp; {{Title}}",
    "InventedForQuestion": null,
    "SemanticTypeIri": "urn:effortless:pko-extension#RulebookField",
    "Name": "WitnessLoops.Name",
    "IsDerived": true,
    "IsWitness": false,
    "DisagreeingSubstrateCount": 0.0,
    "IsSubstrateContested": false
   },
   {
    "RulebookFieldId": "WitnessLoops.LoopNumber",
    "TargetTable": "WitnessLoops",
    "FieldName": "LoopNumber",
    "FieldType": "raw",
    "Datatype": "number",
    "Formula": null,
    "InventedForQuestion": null,
    "SemanticTypeIri": "urn:effortless:pko-extension#RulebookField",
    "Name": "WitnessLoops.LoopNumber",
    "IsDerived": false,
    "IsWitness": false,
    "DisagreeingSubstrateCount": 0.0,
    "IsSubstrateContested": false
   },
   {
    "RulebookFieldId": "WitnessLoops.Title",
    "TargetTable": "WitnessLoops",
    "FieldName": "Title",
    "FieldType": "raw",
    "Datatype": "string",
    "Formula": null,
    "InventedForQuestion": null,
    "SemanticTypeIri": "urn:effortless:pko-extension#RulebookField",
    "Name": "WitnessLoops.Title",
    "IsDerived": false,
    "IsWitness": false,
    "DisagreeingSubstrateCount": 0.0,
    "IsSubstrateContested": false
   },
   {
    "RulebookFieldId": "WitnessLoops.Premise",
    "TargetTable": "WitnessLoops",
    "FieldName": "Premise",
    "FieldType": "raw",
    "Datatype": "string",
    "Formula": null,
    "InventedForQuestion": null,
    "SemanticTypeIri": "urn:effortless:pko-extension#RulebookField",
    "Name": "WitnessLoops.Premise",
    "IsDerived": false,
    "IsWitness": false,
    "DisagreeingSubstrateCount": 0.0,
    "IsSubstrateContested": false
   },
   {
    "RulebookFieldId": "WitnessLoops.StartedAt",
    "TargetTable": "WitnessLoops",
    "FieldName": "StartedAt",
    "FieldType": "raw",
    "Datatype": "datetime",
    "Formula": null,
    "InventedForQuestion": null,
    "SemanticTypeIri": "urn:effortless:pko-extension#RulebookField",
    "Name": "WitnessLoops.StartedAt",
    "IsDerived": false,
    "IsWitness": false,
    "DisagreeingSubstrateCount": 0.0,
    "IsSubstrateContested": false
   },
   {
    "RulebookFieldId": "WitnessLoops.CompletedAt",
    "TargetTable": "WitnessLoops",
    "FieldName": "CompletedAt",
    "FieldType": "raw",
    "Datatype": "datetime",
    "Formula": null,
    "InventedForQuestion": null,
    "SemanticTypeIri": "urn:effortless:pko-extension#RulebookField",
    "Name": "WitnessLoops.CompletedAt",
    "IsDerived": false,
    "IsWitness": false,
    "DisagreeingSubstrateCount": 0.0,
    "IsSubstrateContested": false
   },
   {
    "RulebookFieldId": "WitnessLoops.QuestionCount",
    "TargetTable": "WitnessLoops",
    "FieldName": "QuestionCount",
    "FieldType": "aggregation",
    "Datatype": "number",
    "Formula": "=COUNTIFS(RoleQuestions!{{WitnessLoop}}, {{WitnessLoopId}})",
    "InventedForQuestion": null,
    "SemanticTypeIri": "urn:effortless:pko-extension#RulebookField",
    "Name": "WitnessLoops.QuestionCount",
    "IsDerived": true,
    "IsWitness": false,
    "DisagreeingSubstrateCount": 0.0,
    "IsSubstrateContested": false
   },
   {
    "RulebookFieldId": "WitnessLoops.IsComplete",
    "TargetTable": "WitnessLoops",
    "FieldName": "IsComplete",
    "FieldType": "calculated",
    "Datatype": "boolean",
    "Formula": "={{CompletedAt}} &lt;&gt; \"\"",
    "InventedForQuestion": null,
    "SemanticTypeIri": "urn:effortless:pko-extension#RulebookField",
    "Name": "WitnessLoops.IsComplete",
    "IsDerived": true,
    "IsWitness": false,
    "DisagreeingSubstrateCount": 0.0,
    "IsSubstrateContested": false
   },
   {
    "RulebookFieldId": "WitnessLoops.FieldsAfter",
    "TargetTable": "WitnessLoops",
    "FieldName": "FieldsAfter",
    "FieldType": "raw",
    "Datatype": "number",
    "Formula": null,
    "InventedForQuestion": null,
    "SemanticTypeIri": "urn:effortless:pko-extension#RulebookField",
    "Name": "WitnessLoops.FieldsAfter",
    "IsDerived": false,
    "IsWitness": false,
    "DisagreeingSubstrateCount": 0.0,
    "IsSubstrateContested": false
   },
   {
    "RulebookFieldId": "WitnessLoops.DerivedAfter",
    "TargetTable": "WitnessLoops",
    "FieldName": "DerivedAfter",
    "FieldType": "raw",
    "Datatype": "number",
    "Formula": null,
    "InventedForQuestion": null,
    "SemanticTypeIri": "urn:effortless:pko-extension#RulebookField",
    "Name": "WitnessLoops.DerivedAfter",
    "IsDerived": false,
    "IsWitness": false,
    "DisagreeingSubstrateCount": 0.0,
    "IsSubstrateContested": false
   },
   {
    "RulebookFieldId": "WitnessLoops.WitnessedAfter",
    "TargetTable": "WitnessLoops",
    "FieldName": "WitnessedAfter",
    "FieldType": "raw",
    "Datatype": "number",
    "Formula": null,
    "InventedForQuestion": null,
    "SemanticTypeIri": "urn:effortless:pko-extension#RulebookField",
    "Name": "WitnessLoops.WitnessedAfter",
    "IsDerived": false,
    "IsWitness": false,
    "DisagreeingSubstrateCount": 0.0,
    "IsSubstrateContested": false
   },
   {
    "RulebookFieldId": "WitnessLoops.SemanticTypeIri",
    "TargetTable": "WitnessLoops",
    "FieldName": "SemanticTypeIri",
    "FieldType": "raw",
    "Datatype": "string",
    "Formula": null,
    "InventedForQuestion": null,
    "SemanticTypeIri": "urn:effortless:pko-extension#RulebookField",
    "Name": "WitnessLoops.SemanticTypeIri",
    "IsDerived": false,
    "IsWitness": false,
    "DisagreeingSubstrateCount": 0.0,
    "IsSubstrateContested": false
   },
   {
    "RulebookFieldId": "RoleQuestions.RoleQuestionId",
    "TargetTable": "RoleQuestions",
    "FieldName": "RoleQuestionId",
    "FieldType": "raw",
    "Datatype": "string",
    "Formula": null,
    "InventedForQuestion": null,
    "SemanticTypeIri": "urn:effortless:pko-extension#RulebookField",
    "Name": "RoleQuestions.RoleQuestionId",
    "IsDerived": false,
    "IsWitness": false,
    "DisagreeingSubstrateCount": 0.0,
    "IsSubstrateContested": false
   },
   {
    "RulebookFieldId": "RoleQuestions.Name",
    "TargetTable": "RoleQuestions",
    "FieldName": "Name",
    "FieldType": "calculated",
    "Datatype": "string",
    "Formula": "={{AskingRole}} &amp; \": \" &amp; LEFT({{QuestionText}}, 60)",
    "InventedForQuestion": null,
    "SemanticTypeIri": "urn:effortless:pko-extension#RulebookField",
    "Name": "RoleQuestions.Name",
    "IsDerived": true,
    "IsWitness": false,
    "DisagreeingSubstrateCount": 0.0,
    "IsSubstrateContested": false
   },
   {
    "RulebookFieldId": "RoleQuestions.AskingRole",
    "TargetTable": "RoleQuestions",
    "FieldName": "AskingRole",
    "FieldType": "relationship",
    "Datatype": "string",
    "Formula": null,
    "InventedForQuestion": null,
    "SemanticTypeIri": "urn:effortless:pko-extension#RulebookField",
    "Name": "RoleQuestions.AskingRole",
    "IsDerived": false,
    "IsWitness": false,
    "DisagreeingSubstrateCount": 0.0,
    "IsSubstrateContested": false
   },
   {
    "RulebookFieldId": "RoleQuestions.WitnessLoop",
    "TargetTable": "RoleQuestions",
    "FieldName": "WitnessLoop",
    "FieldType": "relationship",
    "Datatype": "string",
    "Formula": null,
    "InventedForQuestion": null,
    "SemanticTypeIri": "urn:effortless:pko-extension#RulebookField",
    "Name": "RoleQuestions.WitnessLoop",
    "IsDerived": false,
    "IsWitness": false,
    "DisagreeingSubstrateCount": 0.0,
    "IsSubstrateContested": false
   },
   {
    "RulebookFieldId": "RoleQuestions.QuestionText",
    "TargetTable": "RoleQuestions",
    "FieldName": "QuestionText",
    "FieldType": "raw",
    "Datatype": "string",
    "Formula": null,
    "InventedForQuestion": null,
    "SemanticTypeIri": "urn:effortless:pko-extension#RulebookField",
    "Name": "RoleQuestions.QuestionText",
    "IsDerived": false,
    "IsWitness": false,
    "DisagreeingSubstrateCount": 0.0,
    "IsSubstrateContested": false
   },
   {
    "RulebookFieldId": "RoleQuestions.WhyItMatters",
    "TargetTable": "RoleQuestions",
    "FieldName": "WhyItMatters",
    "FieldType": "raw",
    "Datatype": "string",
    "Formula": null,
    "InventedForQuestion": null,
    "SemanticTypeIri": "urn:effortless:pko-extension#RulebookField",
    "Name": "RoleQuestions.WhyItMatters",
    "IsDerived": false,
    "IsWitness": false,
    "DisagreeingSubstrateCount": 0.0,
    "IsSubstrateContested": false
   },
   {
    "RulebookFieldId": "RoleQuestions.AnswerableBefore",
    "TargetTable": "RoleQuestions",
    "FieldName": "AnswerableBefore",
    "FieldType": "raw",
    "Datatype": "boolean",
    "Formula": null,
    "InventedForQuestion": null,
    "SemanticTypeIri": "urn:effortless:pko-extension#RulebookField",
    "Name": "RoleQuestions.AnswerableBefore",
    "IsDerived": false,
    "IsWitness": false,
    "DisagreeingSubstrateCount": 0.0,
    "IsSubstrateContested": false
   },
   {
    "RulebookFieldId": "RoleQuestions.PredicateCount",
    "TargetTable": "RoleQuestions",
    "FieldName": "PredicateCount",
    "FieldType": "aggregation",
    "Datatype": "number",
    "Formula": "=COUNTIFS(RulebookFields!{{InventedForQuestion}}, {{RoleQuestionId}})",
    "InventedForQuestion": null,
    "SemanticTypeIri": "urn:effortless:pko-extension#RulebookField",
    "Name": "RoleQuestions.PredicateCount",
    "IsDerived": true,
    "IsWitness": false,
    "DisagreeingSubstrateCount": 0.0,
    "IsSubstrateContested": false
   },
   {
    "RulebookFieldId": "RoleQuestions.IsAnswered",
    "TargetTable": "RoleQuestions",
    "FieldName": "IsAnswered",
    "FieldType": "calculated",
    "Datatype": "boolean",
    "Formula": "={{PredicateCount}} &gt; 0",
    "InventedForQuestion": null,
    "SemanticTypeIri": "urn:effortless:pko-extension#RulebookField",
    "Name": "RoleQuestions.IsAnswered",
    "IsDerived": true,
    "IsWitness": false,
    "DisagreeingSubstrateCount": 0.0,
    "IsSubstrateContested": false
   },
   {
    "RulebookFieldId": "RoleQuestions.WitnessedAnswer",
    "TargetTable": "RoleQuestions",
    "FieldName": "WitnessedAnswer",
    "FieldType": "raw",
    "Datatype": "string",
    "Formula": null,
    "InventedForQuestion": null,
    "SemanticTypeIri": "urn:effortless:pko-extension#RulebookField",
    "Name": "RoleQuestions.WitnessedAnswer",
    "IsDerived": false,
    "IsWitness": false,
    "DisagreeingSubstrateCount": 0.0,
    "IsSubstrateContested": false
   },
   {
    "RulebookFieldId": "RoleQuestions.SemanticTypeIri",
    "TargetTable": "RoleQuestions",
    "FieldName": "SemanticTypeIri",
    "FieldType": "raw",
    "Datatype": "string",
    "Formula": null,
    "InventedForQuestion": null,
    "SemanticTypeIri": "urn:effortless:pko-extension#RulebookField",
    "Name": "RoleQuestions.SemanticTypeIri",
    "IsDerived": false,
    "IsWitness": false,
    "DisagreeingSubstrateCount": 0.0,
    "IsSubstrateContested": false
   },
   {
    "RulebookFieldId": "RulebookFields.RulebookFieldId",
    "TargetTable": "RulebookFields",
    "FieldName": "RulebookFieldId",
    "FieldType": "raw",
    "Datatype": "string",
    "Formula": null,
    "InventedForQuestion": null,
    "SemanticTypeIri": "urn:effortless:pko-extension#RulebookField",
    "Name": "RulebookFields.RulebookFieldId",
    "IsDerived": false,
    "IsWitness": false,
    "DisagreeingSubstrateCount": 0.0,
    "IsSubstrateContested": false
   },
   {
    "RulebookFieldId": "RulebookFields.Name",
    "TargetTable": "RulebookFields",
    "FieldName": "Name",
    "FieldType": "calculated",
    "Datatype": "string",
    "Formula": "={{TargetTable}} &amp; \".\" &amp; {{FieldName}}",
    "InventedForQuestion": null,
    "SemanticTypeIri": "urn:effortless:pko-extension#RulebookField",
    "Name": "RulebookFields.Name",
    "IsDerived": true,
    "IsWitness": false,
    "DisagreeingSubstrateCount": 0.0,
    "IsSubstrateContested": false
   },
   {
    "RulebookFieldId": "RulebookFields.TargetTable",
    "TargetTable": "RulebookFields",
    "FieldName": "TargetTable",
    "FieldType": "raw",
    "Datatype": "string",
    "Formula": null,
    "InventedForQuestion": null,
    "SemanticTypeIri": "urn:effortless:pko-extension#RulebookField",
    "Name": "RulebookFields.TargetTable",
    "IsDerived": false,
    "IsWitness": false,
    "DisagreeingSubstrateCount": 0.0,
    "IsSubstrateContested": false
   },
   {
    "RulebookFieldId": "RulebookFields.FieldName",
    "TargetTable": "RulebookFields",
    "FieldName": "FieldName",
    "FieldType": "raw",
    "Datatype": "string",
    "Formula": null,
    "InventedForQuestion": null,
    "SemanticTypeIri": "urn:effortless:pko-extension#RulebookField",
    "Name": "RulebookFields.FieldName",
    "IsDerived": false,
    "IsWitness": false,
    "DisagreeingSubstrateCount": 0.0,
    "IsSubstrateContested": false
   },
   {
    "RulebookFieldId": "RulebookFields.FieldType",
    "TargetTable": "RulebookFields",
    "FieldName": "FieldType",
    "FieldType": "raw",
    "Datatype": "string",
    "Formula": null,
    "InventedForQuestion": null,
    "SemanticTypeIri": "urn:effortless:pko-extension#RulebookField",
    "Name": "RulebookFields.FieldType",
    "IsDerived": false,
    "IsWitness": false,
    "DisagreeingSubstrateCount": 0.0,
    "IsSubstrateContested": false
   },
   {
    "RulebookFieldId": "RulebookFields.Datatype",
    "TargetTable": "RulebookFields",
    "FieldName": "Datatype",
    "FieldType": "raw",
    "Datatype": "string",
    "Formula": null,
    "InventedForQuestion": null,
    "SemanticTypeIri": "urn:effortless:pko-extension#RulebookField",
    "Name": "RulebookFields.Datatype",
    "IsDerived": false,
    "IsWitness": false,
    "DisagreeingSubstrateCount": 0.0,
    "IsSubstrateContested": false
   },
   {
    "RulebookFieldId": "RulebookFields.Formula",
    "TargetTable": "RulebookFields",
    "FieldName": "Formula",
    "FieldType": "raw",
    "Datatype": "string",
    "Formula": null,
    "InventedForQuestion": null,
    "SemanticTypeIri": "urn:effortless:pko-extension#RulebookField",
    "Name": "RulebookFields.Formula",
    "IsDerived": false,
    "IsWitness": false,
    "DisagreeingSubstrateCount": 0.0,
    "IsSubstrateContested": false
   },
   {
    "RulebookFieldId": "RulebookFields.InventedForQuestion",
    "TargetTable": "RulebookFields",
    "FieldName": "InventedForQuestion",
    "FieldType": "relationship",
    "Datatype": "string",
    "Formula": null,
    "InventedForQuestion": null,
    "SemanticTypeIri": "urn:effortless:pko-extension#RulebookField",
    "Name": "RulebookFields.InventedForQuestion",
    "IsDerived": false,
    "IsWitness": false,
    "DisagreeingSubstrateCount": 0.0,
    "IsSubstrateContested": false
   },
   {
    "RulebookFieldId": "RulebookFields.IsDerived",
    "TargetTable": "RulebookFields",
    "FieldName": "IsDerived",
    "FieldType": "calculated",
    "Datatype": "boolean",
    "Formula": "=OR({{FieldType}} = \"calculated\", {{FieldType}} = \"lookup\", {{FieldType}} = \"aggregation\")",
    "InventedForQuestion": null,
    "SemanticTypeIri": "urn:effortless:pko-extension#RulebookField",
    "Name": "RulebookFields.IsDerived",
    "IsDerived": true,
    "IsWitness": false,
    "DisagreeingSubstrateCount": 0.0,
    "IsSubstrateContested": false
   },
   {
    "RulebookFieldId": "RulebookFields.IsWitness",
    "TargetTable": "RulebookFields",
    "FieldName": "IsWitness",
    "FieldType": "calculated",
    "Datatype": "boolean",
    "Formula": "={{InventedForQuestion}} &lt;&gt; \"\"",
    "InventedForQuestion": null,
    "SemanticTypeIri": "urn:effortless:pko-extension#RulebookField",
    "Name": "RulebookFields.IsWitness",
    "IsDerived": true,
    "IsWitness": false,
    "DisagreeingSubstrateCount": 0.0,
    "IsSubstrateContested": false
   },
   {
    "RulebookFieldId": "RulebookFields.DisagreeingSubstrateCount",
    "TargetTable": "RulebookFields",
    "FieldName": "DisagreeingSubstrateCount",
    "FieldType": "aggregation",
    "Datatype": "number",
    "Formula": "=COUNTIFS(FieldDisagreements!{{RulebookField}}, {{RulebookFieldId}})",
    "InventedForQuestion": "q-auditor-substrate-agreement",
    "SemanticTypeIri": "urn:effortless:pko-extension#RulebookField",
    "Name": "RulebookFields.DisagreeingSubstrateCount",
    "IsDerived": true,
    "IsWitness": true,
    "DisagreeingSubstrateCount": 0.0,
    "IsSubstrateContested": false
   },
   {
    "RulebookFieldId": "RulebookFields.IsSubstrateContested",
    "TargetTable": "RulebookFields",
    "FieldName": "IsSubstrateContested",
    "FieldType": "calculated",
    "Datatype": "boolean",
    "Formula": "={{DisagreeingSubstrateCount}} &gt; 0",
    "InventedForQuestion": "q-auditor-substrate-agreement",
    "SemanticTypeIri": "urn:effortless:pko-extension#RulebookField",
    "Name": "RulebookFields.IsSubstrateContested",
    "IsDerived": true,
    "IsWitness": true,
    "DisagreeingSubstrateCount": 0.0,
    "IsSubstrateContested": false
   },
   {
    "RulebookFieldId": "RulebookFields.SemanticTypeIri",
    "TargetTable": "RulebookFields",
    "FieldName": "SemanticTypeIri",
    "FieldType": "raw",
    "Datatype": "string",
    "Formula": null,
    "InventedForQuestion": null,
    "SemanticTypeIri": "urn:effortless:pko-extension#RulebookField",
    "Name": "RulebookFields.SemanticTypeIri",
    "IsDerived": false,
    "IsWitness": false,
    "DisagreeingSubstrateCount": 0.0,
    "IsSubstrateContested": false
   },
   {
    "RulebookFieldId": "TestSuites.TestSuiteId",
    "TargetTable": "TestSuites",
    "FieldName": "TestSuiteId",
    "FieldType": "raw",
    "Datatype": "string",
    "Formula": null,
    "InventedForQuestion": null,
    "SemanticTypeIri": "urn:effortless:pko-extension#RulebookField",
    "Name": "TestSuites.TestSuiteId",
    "IsDerived": false,
    "IsWitness": false,
    "DisagreeingSubstrateCount": 0.0,
    "IsSubstrateContested": false
   },
   {
    "RulebookFieldId": "TestSuites.Name",
    "TargetTable": "TestSuites",
    "FieldName": "Name",
    "FieldType": "calculated",
    "Datatype": "string",
    "Formula": "={{Label}}",
    "InventedForQuestion": null,
    "SemanticTypeIri": "urn:effortless:pko-extension#RulebookField",
    "Name": "TestSuites.Name",
    "IsDerived": true,
    "IsWitness": false,
    "DisagreeingSubstrateCount": 0.0,
    "IsSubstrateContested": false
   },
   {
    "RulebookFieldId": "TestSuites.Label",
    "TargetTable": "TestSuites",
    "FieldName": "Label",
    "FieldType": "raw",
    "Datatype": "string",
    "Formula": null,
    "InventedForQuestion": null,
    "SemanticTypeIri": "urn:effortless:pko-extension#RulebookField",
    "Name": "TestSuites.Label",
    "IsDerived": false,
    "IsWitness": false,
    "DisagreeingSubstrateCount": 0.0,
    "IsSubstrateContested": false
   },
   {
    "RulebookFieldId": "TestSuites.TestCount",
    "TargetTable": "TestSuites",
    "FieldName": "TestCount",
    "FieldType": "aggregation",
    "Datatype": "number",
    "Formula": "=COUNTIFS(TestCases!{{Suite}}, {{TestSuiteId}})",
    "InventedForQuestion": null,
    "SemanticTypeIri": "urn:effortless:pko-extension#RulebookField",
    "Name": "TestSuites.TestCount",
    "IsDerived": true,
    "IsWitness": false,
    "DisagreeingSubstrateCount": 0.0,
    "IsSubstrateContested": false
   },
   {
    "RulebookFieldId": "TestSuites.PassCount",
    "TargetTable": "TestSuites",
    "FieldName": "PassCount",
    "FieldType": "aggregation",
    "Datatype": "number",
    "Formula": "=COUNTIFS(TestCases!{{PassingSuiteKey}}, {{TestSuiteId}})",
    "InventedForQuestion": null,
    "SemanticTypeIri": "urn:effortless:pko-extension#RulebookField",
    "Name": "TestSuites.PassCount",
    "IsDerived": true,
    "IsWitness": false,
    "DisagreeingSubstrateCount": 0.0,
    "IsSubstrateContested": false
   },
   {
    "RulebookFieldId": "TestSuites.BlockingFailCount",
    "TargetTable": "TestSuites",
    "FieldName": "BlockingFailCount",
    "FieldType": "aggregation",
    "Datatype": "number",
    "Formula": "=COUNTIFS(TestCases!{{NeedsAttentionSuiteKey}}, {{TestSuiteId}})",
    "InventedForQuestion": null,
    "SemanticTypeIri": "urn:effortless:pko-extension#RulebookField",
    "Name": "TestSuites.BlockingFailCount",
    "IsDerived": true,
    "IsWitness": false,
    "DisagreeingSubstrateCount": 0.0,
    "IsSubstrateContested": false
   },
   {
    "RulebookFieldId": "TestSuites.IsGreen",
    "TargetTable": "TestSuites",
    "FieldName": "IsGreen",
    "FieldType": "calculated",
    "Datatype": "boolean",
    "Formula": "={{BlockingFailCount}} = 0",
    "InventedForQuestion": null,
    "SemanticTypeIri": "urn:effortless:pko-extension#RulebookField",
    "Name": "TestSuites.IsGreen",
    "IsDerived": true,
    "IsWitness": false,
    "DisagreeingSubstrateCount": 0.0,
    "IsSubstrateContested": false
   },
   {
    "RulebookFieldId": "TestSuites.SemanticTypeIri",
    "TargetTable": "TestSuites",
    "FieldName": "SemanticTypeIri",
    "FieldType": "raw",
    "Datatype": "string",
    "Formula": null,
    "InventedForQuestion": null,
    "SemanticTypeIri": "urn:effortless:pko-extension#RulebookField",
    "Name": "TestSuites.SemanticTypeIri",
    "IsDerived": false,
    "IsWitness": false,
    "DisagreeingSubstrateCount": 0.0,
    "IsSubstrateContested": false
   },
   {
    "RulebookFieldId": "TestCases.TestCaseId",
    "TargetTable": "TestCases",
    "FieldName": "TestCaseId",
    "FieldType": "raw",
    "Datatype": "string",
    "Formula": null,
    "InventedForQuestion": null,
    "SemanticTypeIri": "urn:effortless:pko-extension#RulebookField",
    "Name": "TestCases.TestCaseId",
    "IsDerived": false,
    "IsWitness": false,
    "DisagreeingSubstrateCount": 0.0,
    "IsSubstrateContested": false
   },
   {
    "RulebookFieldId": "TestCases.Name",
    "TargetTable": "TestCases",
    "FieldName": "Name",
    "FieldType": "calculated",
    "Datatype": "string",
    "Formula": "={{TestKind}} &amp; \": \" &amp; {{Subject}}",
    "InventedForQuestion": null,
    "SemanticTypeIri": "urn:effortless:pko-extension#RulebookField",
    "Name": "TestCases.Name",
    "IsDerived": true,
    "IsWitness": false,
    "DisagreeingSubstrateCount": 0.0,
    "IsSubstrateContested": false
   },
   {
    "RulebookFieldId": "TestCases.TestKind",
    "TargetTable": "TestCases",
    "FieldName": "TestKind",
    "FieldType": "raw",
    "Datatype": "string",
    "Formula": null,
    "InventedForQuestion": null,
    "SemanticTypeIri": "urn:effortless:pko-extension#RulebookField",
    "Name": "TestCases.TestKind",
    "IsDerived": false,
    "IsWitness": false,
    "DisagreeingSubstrateCount": 0.0,
    "IsSubstrateContested": false
   },
   {
    "RulebookFieldId": "TestCases.Subject",
    "TargetTable": "TestCases",
    "FieldName": "Subject",
    "FieldType": "raw",
    "Datatype": "string",
    "Formula": null,
    "InventedForQuestion": null,
    "SemanticTypeIri": "urn:effortless:pko-extension#RulebookField",
    "Name": "TestCases.Subject",
    "IsDerived": false,
    "IsWitness": false,
    "DisagreeingSubstrateCount": 0.0,
    "IsSubstrateContested": false
   },
   {
    "RulebookFieldId": "TestCases.TargetTable",
    "TargetTable": "TestCases",
    "FieldName": "TargetTable",
    "FieldType": "raw",
    "Datatype": "string",
    "Formula": null,
    "InventedForQuestion": null,
    "SemanticTypeIri": "urn:effortless:pko-extension#RulebookField",
    "Name": "TestCases.TargetTable",
    "IsDerived": false,
    "IsWitness": false,
    "DisagreeingSubstrateCount": 0.0,
    "IsSubstrateContested": false
   },
   {
    "RulebookFieldId": "TestCases.TargetField",
    "TargetTable": "TestCases",
    "FieldName": "TargetField",
    "FieldType": "raw",
    "Datatype": "string",
    "Formula": null,
    "InventedForQuestion": null,
    "SemanticTypeIri": "urn:effortless:pko-extension#RulebookField",
    "Name": "TestCases.TargetField",
    "IsDerived": false,
    "IsWitness": false,
    "DisagreeingSubstrateCount": 0.0,
    "IsSubstrateContested": false
   },
   {
    "RulebookFieldId": "TestCases.Assertion",
    "TargetTable": "TestCases",
    "FieldName": "Assertion",
    "FieldType": "raw",
    "Datatype": "string",
    "Formula": null,
    "InventedForQuestion": null,
    "SemanticTypeIri": "urn:effortless:pko-extension#RulebookField",
    "Name": "TestCases.Assertion",
    "IsDerived": false,
    "IsWitness": false,
    "DisagreeingSubstrateCount": 0.0,
    "IsSubstrateContested": false
   },
   {
    "RulebookFieldId": "TestCases.DefendsQuestion",
    "TargetTable": "TestCases",
    "FieldName": "DefendsQuestion",
    "FieldType": "relationship",
    "Datatype": "string",
    "Formula": null,
    "InventedForQuestion": null,
    "SemanticTypeIri": "urn:effortless:pko-extension#RulebookField",
    "Name": "TestCases.DefendsQuestion",
    "IsDerived": false,
    "IsWitness": false,
    "DisagreeingSubstrateCount": 0.0,
    "IsSubstrateContested": false
   },
   {
    "RulebookFieldId": "TestCases.Suite",
    "TargetTable": "TestCases",
    "FieldName": "Suite",
    "FieldType": "relationship",
    "Datatype": "string",
    "Formula": null,
    "InventedForQuestion": null,
    "SemanticTypeIri": "urn:effortless:pko-extension#RulebookField",
    "Name": "TestCases.Suite",
    "IsDerived": false,
    "IsWitness": false,
    "DisagreeingSubstrateCount": 0.0,
    "IsSubstrateContested": false
   },
   {
    "RulebookFieldId": "TestCases.Severity",
    "TargetTable": "TestCases",
    "FieldName": "Severity",
    "FieldType": "raw",
    "Datatype": "string",
    "Formula": null,
    "InventedForQuestion": null,
    "SemanticTypeIri": "urn:effortless:pko-extension#RulebookField",
    "Name": "TestCases.Severity",
    "IsDerived": false,
    "IsWitness": false,
    "DisagreeingSubstrateCount": 0.0,
    "IsSubstrateContested": false
   },
   {
    "RulebookFieldId": "TestCases.IsBlocking",
    "TargetTable": "TestCases",
    "FieldName": "IsBlocking",
    "FieldType": "calculated",
    "Datatype": "boolean",
    "Formula": "={{Severity}} = \"blocking\"",
    "InventedForQuestion": null,
    "SemanticTypeIri": "urn:effortless:pko-extension#RulebookField",
    "Name": "TestCases.IsBlocking",
    "IsDerived": true,
    "IsWitness": false,
    "DisagreeingSubstrateCount": 0.0,
    "IsSubstrateContested": false
   },
   {
    "RulebookFieldId": "TestCases.LastOutcome",
    "TargetTable": "TestCases",
    "FieldName": "LastOutcome",
    "FieldType": "raw",
    "Datatype": "string",
    "Formula": null,
    "InventedForQuestion": null,
    "SemanticTypeIri": "urn:effortless:pko-extension#RulebookField",
    "Name": "TestCases.LastOutcome",
    "IsDerived": false,
    "IsWitness": false,
    "DisagreeingSubstrateCount": 0.0,
    "IsSubstrateContested": false
   },
   {
    "RulebookFieldId": "TestCases.LastDetail",
    "TargetTable": "TestCases",
    "FieldName": "LastDetail",
    "FieldType": "raw",
    "Datatype": "string",
    "Formula": null,
    "InventedForQuestion": null,
    "SemanticTypeIri": "urn:effortless:pko-extension#RulebookField",
    "Name": "TestCases.LastDetail",
    "IsDerived": false,
    "IsWitness": false,
    "DisagreeingSubstrateCount": 0.0,
    "IsSubstrateContested": false
   },
   {
    "RulebookFieldId": "TestCases.LastRunAt",
    "TargetTable": "TestCases",
    "FieldName": "LastRunAt",
    "FieldType": "raw",
    "Datatype": "datetime",
    "Formula": null,
    "InventedForQuestion": null,
    "SemanticTypeIri": "urn:effortless:pko-extension#RulebookField",
    "Name": "TestCases.LastRunAt",
    "IsDerived": false,
    "IsWitness": false,
    "DisagreeingSubstrateCount": 0.0,
    "IsSubstrateContested": false
   },
   {
    "RulebookFieldId": "TestCases.IsPassing",
    "TargetTable": "TestCases",
    "FieldName": "IsPassing",
    "FieldType": "calculated",
    "Datatype": "boolean",
    "Formula": "={{LastOutcome}} = \"PASS\"",
    "InventedForQuestion": null,
    "SemanticTypeIri": "urn:effortless:pko-extension#RulebookField",
    "Name": "TestCases.IsPassing",
    "IsDerived": true,
    "IsWitness": false,
    "DisagreeingSubstrateCount": 0.0,
    "IsSubstrateContested": false
   },
   {
    "RulebookFieldId": "TestCases.IsFailing",
    "TargetTable": "TestCases",
    "FieldName": "IsFailing",
    "FieldType": "calculated",
    "Datatype": "boolean",
    "Formula": "={{L</t>
  </si>
  <si>
    <t xml:space="preserve">astOutcome}} = \"FAIL\"",
    "InventedForQuestion": null,
    "SemanticTypeIri": "urn:effortless:pko-extension#RulebookField",
    "Name": "TestCases.IsFailing",
    "IsDerived": true,
    "IsWitness": false,
    "DisagreeingSubstrateCount": 0.0,
    "IsSubstrateContested": false
   },
   {
    "RulebookFieldId": "TestCases.NeedsAttention",
    "TargetTable": "TestCases",
    "FieldName": "NeedsAttention",
    "FieldType": "calculated",
    "Datatype": "boolean",
    "Formula": "=AND({{IsFailing}}, {{IsBlocking}})",
    "InventedForQuestion": null,
    "SemanticTypeIri": "urn:effortless:pko-extension#RulebookField",
    "Name": "TestCases.NeedsAttention",
    "IsDerived": true,
    "IsWitness": false,
    "DisagreeingSubstrateCount": 0.0,
    "IsSubstrateContested": false
   },
   {
    "RulebookFieldId": "TestCases.PassingSuiteKey",
    "TargetTable": "TestCases",
    "FieldName": "PassingSuiteKey",
    "FieldType": "calculated",
    "Datatype": "string",
    "Formula": "=IF({{IsPassing}}, {{Suite}}, \"\")",
    "InventedForQuestion": null,
    "SemanticTypeIri": "urn:effortless:pko-extension#RulebookField",
    "Name": "TestCases.PassingSuiteKey",
    "IsDerived": true,
    "IsWitness": false,
    "DisagreeingSubstrateCount": 0.0,
    "IsSubstrateContested": false
   },
   {
    "RulebookFieldId": "TestCases.NeedsAttentionSuiteKey",
    "TargetTable": "TestCases",
    "FieldName": "NeedsAttentionSuiteKey",
    "FieldType": "calculated",
    "Datatype": "string",
    "Formula": "=IF({{NeedsAttention}}, {{Suite}}, \"\")",
    "InventedForQuestion": null,
    "SemanticTypeIri": "urn:effortless:pko-extension#RulebookField",
    "Name": "TestCases.NeedsAttentionSuiteKey",
    "IsDerived": true,
    "IsWitness": false,
    "DisagreeingSubstrateCount": 0.0,
    "IsSubstrateContested": false
   },
   {
    "RulebookFieldId": "TestCases.SemanticTypeIri",
    "TargetTable": "TestCases",
    "FieldName": "SemanticTypeIri",
    "FieldType": "raw",
    "Datatype": "string",
    "Formula": null,
    "InventedForQuestion": null,
    "SemanticTypeIri": "urn:effortless:pko-extension#RulebookField",
    "Name": "TestCases.SemanticTypeIri",
    "IsDerived": false,
    "IsWitness": false,
    "DisagreeingSubstrateCount": 0.0,
    "IsSubstrateContested": false
   },
   {
    "RulebookFieldId": "ERBVersions.ERBVersionId",
    "TargetTable": "ERBVersions",
    "FieldName": "ERBVersionId",
    "FieldType": "raw",
    "Datatype": "string",
    "Formula": null,
    "InventedForQuestion": null,
    "SemanticTypeIri": "urn:effortless:pko-extension#RulebookField",
    "Name": "ERBVersions.ERBVersionId",
    "IsDerived": false,
    "IsWitness": false,
    "DisagreeingSubstrateCount": 0.0,
    "IsSubstrateContested": false
   },
   {
    "RulebookFieldId": "ERBVersions.BaseId",
    "TargetTable": "ERBVersions",
    "FieldName": "BaseId",
    "FieldType": "raw",
    "Datatype": "string",
    "Formula": null,
    "InventedForQuestion": null,
    "SemanticTypeIri": "urn:effortless:pko-extension#RulebookField",
    "Name": "ERBVersions.BaseId",
    "IsDerived": false,
    "IsWitness": false,
    "DisagreeingSubstrateCount": 0.0,
    "IsSubstrateContested": false
   },
   {
    "RulebookFieldId": "ERBVersions.Name",
    "TargetTable": "ERBVersions",
    "FieldName": "Name",
    "FieldType": "raw",
    "Datatype": "string",
    "Formula": null,
    "InventedForQuestion": null,
    "SemanticTypeIri": "urn:effortless:pko-extension#RulebookField",
    "Name": "ERBVersions.Name",
    "IsDerived": false,
    "IsWitness": false,
    "DisagreeingSubstrateCount": 0.0,
    "IsSubstrateContested": false
   },
   {
    "RulebookFieldId": "ERBVersions.Message",
    "TargetTable": "ERBVersions",
    "FieldName": "Message",
    "FieldType": "raw",
    "Datatype": "string",
    "Formula": null,
    "InventedForQuestion": null,
    "SemanticTypeIri": "urn:effortless:pko-extension#RulebookField",
    "Name": "ERBVersions.Message",
    "IsDerived": false,
    "IsWitness": false,
    "DisagreeingSubstrateCount": 0.0,
    "IsSubstrateContested": false
   },
   {
    "RulebookFieldId": "ERBVersions.Notes",
    "TargetTable": "ERBVersions",
    "FieldName": "Notes",
    "FieldType": "raw",
    "Datatype": "string",
    "Formula": null,
    "InventedForQuestion": null,
    "SemanticTypeIri": "urn:effortless:pko-extension#RulebookField",
    "Name": "ERBVersions.Notes",
    "IsDerived": false,
    "IsWitness": false,
    "DisagreeingSubstrateCount": 0.0,
    "IsSubstrateContested": false
   },
   {
    "RulebookFieldId": "ERBVersions.CommitDate",
    "TargetTable": "ERBVersions",
    "FieldName": "CommitDate",
    "FieldType": "raw",
    "Datatype": "datetime",
    "Formula": null,
    "InventedForQuestion": null,
    "SemanticTypeIri": "urn:effortless:pko-extension#RulebookField",
    "Name": "ERBVersions.CommitDate",
    "IsDerived": false,
    "IsWitness": false,
    "DisagreeingSubstrateCount": 0.0,
    "IsSubstrateContested": false
   },
   {
    "RulebookFieldId": "ERBVersions.IsPublished",
    "TargetTable": "ERBVersions",
    "FieldName": "IsPublished",
    "FieldType": "raw",
    "Datatype": "boolean",
    "Formula": null,
    "InventedForQuestion": null,
    "SemanticTypeIri": "urn:effortless:pko-extension#RulebookField",
    "Name": "ERBVersions.IsPublished",
    "IsDerived": false,
    "IsWitness": false,
    "DisagreeingSubstrateCount": 0.0,
    "IsSubstrateContested": false
   },
   {
    "RulebookFieldId": "ERBCustomizations.ERBCustomizationId",
    "TargetTable": "ERBCustomizations",
    "FieldName": "ERBCustomizationId",
    "FieldType": "raw",
    "Datatype": "string",
    "Formula": null,
    "InventedForQuestion": null,
    "SemanticTypeIri": "urn:effortless:pko-extension#RulebookField",
    "Name": "ERBCustomizations.ERBCustomizationId",
    "IsDerived": false,
    "IsWitness": false,
    "DisagreeingSubstrateCount": 0.0,
    "IsSubstrateContested": false
   },
   {
    "RulebookFieldId": "ERBCustomizations.Name",
    "TargetTable": "ERBCustomizations",
    "FieldName": "Name",
    "FieldType": "raw",
    "Datatype": "string",
    "Formula": null,
    "InventedForQuestion": null,
    "SemanticTypeIri": "urn:effortless:pko-extension#RulebookField",
    "Name": "ERBCustomizations.Name",
    "IsDerived": false,
    "IsWitness": false,
    "DisagreeingSubstrateCount": 0.0,
    "IsSubstrateContested": false
   },
   {
    "RulebookFieldId": "ERBCustomizations.Title",
    "TargetTable": "ERBCustomizations",
    "FieldName": "Title",
    "FieldType": "raw",
    "Datatype": "string",
    "Formula": null,
    "InventedForQuestion": null,
    "SemanticTypeIri": "urn:effortless:pko-extension#RulebookField",
    "Name": "ERBCustomizations.Title",
    "IsDerived": false,
    "IsWitness": false,
    "DisagreeingSubstrateCount": 0.0,
    "IsSubstrateContested": false
   },
   {
    "RulebookFieldId": "ERBCustomizations.SQLCode",
    "TargetTable": "ERBCustomizations",
    "FieldName": "SQLCode",
    "FieldType": "raw",
    "Datatype": "string",
    "Formula": null,
    "InventedForQuestion": null,
    "SemanticTypeIri": "urn:effortless:pko-extension#RulebookField",
    "Name": "ERBCustomizations.SQLCode",
    "IsDerived": false,
    "IsWitness": false,
    "DisagreeingSubstrateCount": 0.0,
    "IsSubstrateContested": false
   },
   {
    "RulebookFieldId": "ERBCustomizations.SQLTarget",
    "TargetTable": "ERBCustomizations",
    "FieldName": "SQLTarget",
    "FieldType": "raw",
    "Datatype": "string",
    "Formula": null,
    "InventedForQuestion": null,
    "SemanticTypeIri": "urn:effortless:pko-extension#RulebookField",
    "Name": "ERBCustomizations.SQLTarget",
    "IsDerived": false,
    "IsWitness": false,
    "DisagreeingSubstrateCount": 0.0,
    "IsSubstrateContested": false
   },
   {
    "RulebookFieldId": "ERBCustomizations.CustomizationType",
    "TargetTable": "ERBCustomizations",
    "FieldName": "CustomizationType",
    "FieldType": "raw",
    "Datatype": "string",
    "Formula": null,
    "InventedForQuestion": null,
    "SemanticTypeIri": "urn:effortless:pko-extension#RulebookField",
    "Name": "ERBCustomizations.CustomizationType",
    "IsDerived": false,
    "IsWitness": false,
    "DisagreeingSubstrateCount": 0.0,
    "IsSubstrateContested": false
   },
   {
    "RulebookFieldId": "__meta__.MetaKey",
    "TargetTable": "__meta__",
    "FieldName": "MetaKey",
    "FieldType": "raw",
    "Datatype": "string",
    "Formula": null,
    "InventedForQuestion": null,
    "SemanticTypeIri": "urn:effortless:pko-extension#RulebookField",
    "Name": "__meta__.MetaKey",
    "IsDerived": false,
    "IsWitness": false,
    "DisagreeingSubstrateCount": 0.0,
    "IsSubstrateContested": false
   },
   {
    "RulebookFieldId": "__meta__.Name",
    "TargetTable": "__meta__",
    "FieldName": "Name",
    "FieldType": "calculated",
    "Datatype": "string",
    "Formula": "={{MetaKey}}",
    "InventedForQuestion": null,
    "SemanticTypeIri": "urn:effortless:pko-extension#RulebookField",
    "Name": "__meta__.Name",
    "IsDerived": true,
    "IsWitness": false,
    "DisagreeingSubstrateCount": 0.0,
    "IsSubstrateContested": false
   },
   {
    "RulebookFieldId": "__meta__.ValueType",
    "TargetTable": "__meta__",
    "FieldName": "ValueType",
    "FieldType": "raw",
    "Datatype": "string",
    "Formula": null,
    "InventedForQuestion": null,
    "SemanticTypeIri": "urn:effortless:pko-extension#RulebookField",
    "Name": "__meta__.ValueType",
    "IsDerived": false,
    "IsWitness": false,
    "DisagreeingSubstrateCount": 0.0,
    "IsSubstrateContested": false
   },
   {
    "RulebookFieldId": "__meta__.StringValue",
    "TargetTable": "__meta__",
    "FieldName": "StringValue",
    "FieldType": "raw",
    "Datatype": "string",
    "Formula": null,
    "InventedForQuestion": null,
    "SemanticTypeIri": "urn:effortless:pko-extension#RulebookField",
    "Name": "__meta__.StringValue",
    "IsDerived": false,
    "IsWitness": false,
    "DisagreeingSubstrateCount": 0.0,
    "IsSubstrateContested": false
   },
   {
    "RulebookFieldId": "__meta__.JsonValue",
    "TargetTable": "__meta__",
    "FieldName": "JsonValue",
    "FieldType": "raw",
    "Datatype": "string",
    "Formula": null,
    "InventedForQuestion": null,
    "SemanticTypeIri": "urn:effortless:pko-extension#RulebookField",
    "Name": "__meta__.JsonValue",
    "IsDerived": false,
    "IsWitness": false,
    "DisagreeingSubstrateCount": 0.0,
    "IsSubstrateContested": false
   },
   {
    "RulebookFieldId": "ExceptionInvocations.ExceptionInvocationId",
    "TargetTable": "ExceptionInvocations",
    "FieldName": "ExceptionInvocationId",
    "FieldType": "raw",
    "Datatype": "string",
    "Formula": null,
    "InventedForQuestion": null,
    "SemanticTypeIri": "urn:effortless:pko-extension#RulebookField",
    "Name": "ExceptionInvocations.ExceptionInvocationId",
    "IsDerived": false,
    "IsWitness": false,
    "DisagreeingSubstrateCount": 0.0,
    "IsSubstrateContested": false
   },
   {
    "RulebookFieldId": "ExceptionInvocations.Name",
    "TargetTable": "ExceptionInvocations",
    "FieldName": "Name",
    "FieldType": "calculated",
    "Datatype": "string",
    "Formula": "={{StepExecution}} &amp; \" / \" &amp; {{Exception}}",
    "InventedForQuestion": null,
    "SemanticTypeIri": "urn:effortless:pko-extension#RulebookField",
    "Name": "ExceptionInvocations.Name",
    "IsDerived": true,
    "IsWitness": false,
    "DisagreeingSubstrateCount": 0.0,
    "IsSubstrateContested": false
   },
   {
    "RulebookFieldId": "ExceptionInvocations.StepExecution",
    "TargetTable": "ExceptionInvocations",
    "FieldName": "StepExecution",
    "FieldType": "relationship",
    "Datatype": "string",
    "Formula": null,
    "InventedForQuestion": null,
    "SemanticTypeIri": "urn:effortless:pko-extension#RulebookField",
    "Name": "ExceptionInvocations.StepExecution",
    "IsDerived": false,
    "IsWitness": false,
    "DisagreeingSubstrateCount": 0.0,
    "IsSubstrateContested": false
   },
   {
    "RulebookFieldId": "ExceptionInvocations.Exception",
    "TargetTable": "ExceptionInvocations",
    "FieldName": "Exception",
    "FieldType": "relationship",
    "Datatype": "string",
    "Formula": null,
    "InventedForQuestion": null,
    "SemanticTypeIri": "urn:effortless:pko-extension#RulebookField",
    "Name": "ExceptionInvocations.Exception",
    "IsDerived": false,
    "IsWitness": false,
    "DisagreeingSubstrateCount": 0.0,
    "IsSubstrateContested": false
   },
   {
    "RulebookFieldId": "ExceptionInvocations.InvokedByAgent",
    "TargetTable": "ExceptionInvocations",
    "FieldName": "InvokedByAgent",
    "FieldType": "relationship",
    "Datatype": "string",
    "Formula": null,
    "InventedForQuestion": null,
    "SemanticTypeIri": "urn:effortless:pko-extension#RulebookField",
    "Name": "ExceptionInvocations.InvokedByAgent",
    "IsDerived": false,
    "IsWitness": false,
    "DisagreeingSubstrateCount": 0.0,
    "IsSubstrateContested": false
   },
   {
    "RulebookFieldId": "ExceptionInvocations.ApprovedByAgent",
    "TargetTable": "ExceptionInvocations",
    "FieldName": "ApprovedByAgent",
    "FieldType": "relationship",
    "Datatype": "string",
    "Formula": null,
    "InventedForQuestion": null,
    "SemanticTypeIri": "urn:effortless:pko-extension#RulebookField",
    "Name": "ExceptionInvocations.ApprovedByAgent",
    "IsDerived": false,
    "IsWitness": false,
    "DisagreeingSubstrateCount": 0.0,
    "IsSubstrateContested": false
   },
   {
    "RulebookFieldId": "ExceptionInvocations.InvokedAt",
    "TargetTable": "ExceptionInvocations",
    "FieldName": "InvokedAt",
    "FieldType": "raw",
    "Datatype": "datetime",
    "Formula": null,
    "InventedForQuestion": null,
    "SemanticTypeIri": "urn:effortless:pko-extension#RulebookField",
    "Name": "ExceptionInvocations.InvokedAt",
    "IsDerived": false,
    "IsWitness": false,
    "DisagreeingSubstrateCount": 0.0,
    "IsSubstrateContested": false
   },
   {
    "RulebookFieldId": "ExceptionInvocations.HandlingApplied",
    "TargetTable": "ExceptionInvocations",
    "FieldName": "HandlingApplied",
    "FieldType": "raw",
    "Datatype": "string",
    "Formula": null,
    "InventedForQuestion": null,
    "SemanticTypeIri": "urn:effortless:pko-extension#RulebookField",
    "Name": "ExceptionInvocations.HandlingApplied",
    "IsDerived": false,
    "IsWitness": false,
    "DisagreeingSubstrateCount": 0.0,
    "IsSubstrateContested": false
   },
   {
    "RulebookFieldId": "ExceptionInvocations.ExpectedHandling",
    "TargetTable": "ExceptionInvocations",
    "FieldName": "ExpectedHandling",
    "FieldType": "lookup",
    "Datatype": "string",
    "Formula": "=INDEX(Exceptions!{{Handling}}, MATCH({{Exception}}, Exceptions!{{ExceptionId}}, 0))",
    "InventedForQuestion": null,
    "SemanticTypeIri": "urn:effortless:pko-extension#RulebookField",
    "Name": "ExceptionInvocations.ExpectedHandling",
    "IsDerived": true,
    "IsWitness": false,
    "DisagreeingSubstrateCount": 0.0,
    "IsSubstrateContested": false
   },
   {
    "RulebookFieldId": "ExceptionInvocations.RequiredApprovalRole",
    "TargetTable": "ExceptionInvocations",
    "FieldName": "RequiredApprovalRole",
    "FieldType": "lookup",
    "Datatype": "string",
    "Formula": "=INDEX(Exceptions!{{ApprovalRole}}, MATCH({{Exception}}, Exceptions!{{ExceptionId}}, 0))",
    "InventedForQuestion": null,
    "SemanticTypeIri": "urn:effortless:pko-extension#RulebookField",
    "Name": "ExceptionInvocations.RequiredApprovalRole",
    "IsDerived": true,
    "IsWitness": false,
    "DisagreeingSubstrateCount": 0.0,
    "IsSubstrateContested": false
   },
   {
    "RulebookFieldId": "ExceptionInvocations.RequiredApprovalRoleHolder",
    "TargetTable": "ExceptionInvocations",
    "FieldName": "RequiredApprovalRoleHolder",
    "FieldType": "lookup",
    "Datatype": "string",
    "Formula": "=INDEX(Roles!{{CurrentAgent}}, MATCH({{RequiredApprovalRole}}, Roles!{{RoleId}}, 0))",
    "InventedForQuestion": null,
    "SemanticTypeIri": "urn:effortless:pko-extension#RulebookField",
    "Name": "ExceptionInvocations.RequiredApprovalRoleHolder",
    "IsDerived": true,
    "IsWitness": false,
    "DisagreeingSubstrateCount": 0.0,
    "IsSubstrateContested": false
   },
   {
    "RulebookFieldId": "ExceptionInvocations.ApprovalRoleMatches",
    "TargetTable": "ExceptionInvocations",
    "FieldName": "ApprovalRoleMatches",
    "FieldType": "calculated",
    "Datatype": "boolean",
    "Formula": "={{ApprovedByAgent}} = {{RequiredApprovalRoleHolder}}",
    "InventedForQuestion": null,
    "SemanticTypeIri": "urn:effortless:pko-extension#RulebookField",
    "Name": "ExceptionInvocations.ApprovalRoleMatches",
    "IsDerived": true,
    "IsWitness": false,
    "DisagreeingSubstrateCount": 0.0,
    "IsSubstrateContested": false
   },
   {
    "RulebookFieldId": "ExceptionInvocations.IsApproved",
    "TargetTable": "ExceptionInvocations",
    "FieldName": "IsApproved",
    "FieldType": "calculated",
    "Datatype": "boolean",
    "Formula": "={{ApprovedByAgent}} &lt;&gt; \"\"",
    "InventedForQuestion": null,
    "SemanticTypeIri": "urn:effortless:pko-extension#RulebookField",
    "Name": "ExceptionInvocations.IsApproved",
    "IsDerived": true,
    "IsWitness": false,
    "DisagreeingSubstrateCount": 0.0,
    "IsSubstrateContested": false
   },
   {
    "RulebookFieldId": "ExceptionInvocations.IsImproperlyApproved",
    "TargetTable": "ExceptionInvocations",
    "FieldName": "IsImproperlyApproved",
    "FieldType": "calculated",
    "Datatype": "boolean",
    "Formula": "=OR(NOT({{IsApproved}}), NOT({{ApprovalRoleMatches}}))",
    "InventedForQuestion": null,
    "SemanticTypeIri": "urn:effortless:pko-extension#RulebookField",
    "Name": "ExceptionInvocations.IsImproperlyApproved",
    "IsDerived": true,
    "IsWitness": false,
    "DisagreeingSubstrateCount": 0.0,
    "IsSubstrateContested": false
   },
   {
    "RulebookFieldId": "ExceptionInvocations.InvokerAgentKind",
    "TargetTable": "ExceptionInvocations",
    "FieldName": "InvokerAgentKind",
    "FieldType": "lookup",
    "Datatype": "string",
    "Formula": "=INDEX(Agents!{{AgentKind}}, MATCH({{InvokedByAgent}}, Agents!{{AgentId}}, 0))",
    "InventedForQuestion": "q-cfo-who-actually-held-authority",
    "SemanticTypeIri": "urn:effortless:pko-extension#RulebookField",
    "Name": "ExceptionInvocations.InvokerAgentKind",
    "IsDerived": true,
    "IsWitness": true,
    "DisagreeingSubstrateCount": 0.0,
    "IsSubstrateContested": false
   },
   {
    "RulebookFieldId": "ExceptionInvocations.InvokerAlsoPreparedKey",
    "TargetTable": "ExceptionInvocations",
    "FieldName": "InvokerAlsoPreparedKey",
    "FieldType": "calculated",
    "Datatype": "string",
    "Formula": "={{ParentProcedureExecution}} &amp; \"|\" &amp; {{ApprovedByAgent}}",
    "InventedForQuestion": "q-cfo-who-actually-held-authority",
    "SemanticTypeIri": "urn:effortless:pko-extension#RulebookField",
    "Name": "ExceptionInvocations.InvokerAlsoPreparedKey",
    "IsDerived": true,
    "IsWitness": true,
    "DisagreeingSubstrateCount": 0.0,
    "IsSubstrateContested": false
   },
   {
    "RulebookFieldId": "ExceptionInvocations.ParentProcedureExecution",
    "TargetTable": "ExceptionInvocations",
    "FieldName": "ParentProcedureExecution",
    "FieldType": "lookup",
    "Datatype": "string",
    "Formula": "=INDEX(StepExecutions!{{ProcedureExecution}}, MATCH({{StepExecution}}, StepExecutions!{{StepExecutionId}}, 0))",
    "InventedForQuestion": "q-cfo-who-actually-held-authority",
    "SemanticTypeIri": "urn:effortless:pko-extension#RulebookField",
    "Name": "ExceptionInvocations.ParentProcedureExecution",
    "IsDerived": true,
    "IsWitness": true,
    "DisagreeingSubstrateCount": 0.0,
    "IsSubstrateContested": false
   },
   {
    "RulebookFieldId": "ExceptionInvocations.ApproverPreparedCount",
    "TargetTable": "ExceptionInvocations",
    "FieldName": "ApproverPreparedCount",
    "FieldType": "aggregation",
    "Datatype": "number",
    "Formula": "=COUNTIFS(StepExecutions!{{PreparerAgentKey}}, {{InvokerAlsoPreparedKey}})",
    "InventedForQuestion": "q-cfo-who-actually-held-authority",
    "SemanticTypeIri": "urn:effortless:pko-extension#RulebookField",
    "Name": "ExceptionInvocations.ApproverPreparedCount",
    "IsDerived": true,
    "IsWitness": true,
    "DisagreeingSubstrateCount": 0.0,
    "IsSubstrateContested": false
   },
   {
    "RulebookFieldId": "ExceptionInvocations.DelegatedToPreparer",
    "TargetTable": "ExceptionInvocations",
    "FieldName": "DelegatedToPreparer",
    "FieldType": "calculated",
    "Datatype": "boolean",
    "Formula": "={{ApproverPreparedCount}} &gt; 0",
    "InventedForQuestion": "q-cfo-who-actually-held-authority",
    "SemanticTypeIri": "urn:effortless:pko-extension#RulebookField",
    "Name": "ExceptionInvocations.DelegatedToPreparer",
    "IsDerived": true,
    "IsWitness": true,
    "DisagreeingSubstrateCount": 0.0,
    "IsSubstrateContested": false
   },
   {
    "RulebookFieldId": "ExceptionInvocations.IsUngovernedInvocation",
    "TargetTable": "ExceptionInvocations",
    "FieldName": "IsUngovernedInvocation",
    "FieldType": "calculated",
    "Datatype": "boolean",
    "Formula": "=OR({{IsImproperlyApproved}}, {{DelegatedToPreparer}})",
    "InventedForQuestion": "q-cfo-who-actually-held-authority",
    "SemanticTypeIri": "urn:effortless:pko-extension#RulebookField",
    "Name": "ExceptionInvocations.IsUngovernedInvocation",
    "IsDerived": true,
    "IsWitness": true,
    "DisagreeingSubstrateCount": 0.0,
    "IsSubstrateContested": false
   },
   {
    "RulebookFieldId": "ExceptionInvocations.SemanticTypeIri",
    "TargetTable": "ExceptionInvocations",
    "FieldName": "SemanticTypeIri",
    "FieldType": "raw",
    "Datatype": "string",
    "Formula": null,
    "InventedForQuestion": null,
    "SemanticTypeIri": "urn:effortless:pko-extension#RulebookField",
    "Name": "ExceptionInvocations.SemanticTypeIri",
    "IsDerived": false,
    "IsWitness": false,
    "DisagreeingSubstrateCount": 0.0,
    "IsSubstrateContested": false
   },
   {
    "RulebookFieldId": "VerificationOutcomes.VerificationOutcomeId",
    "TargetTable": "VerificationOutcomes",
    "FieldName": "VerificationOutcomeId",
    "FieldType": "raw",
    "Datatype": "string",
    "Formula": null,
    "InventedForQuestion": null,
    "SemanticTypeIri": "urn:effortless:pko-extension#RulebookField",
    "Name": "VerificationOutcomes.VerificationOutcomeId",
    "IsDerived": false,
    "IsWitness": false,
    "DisagreeingSubstrateCount": 0.0,
    "IsSubstrateContested": false
   },
   {
    "RulebookFieldId": "VerificationOutcomes.Name",
    "TargetTable": "VerificationOutcomes",
    "FieldName": "Name",
    "FieldType": "calculated",
    "Datatype": "string",
    "Formula": "={{StepExecution}} &amp; \" / \" &amp; {{StepVerification}}",
    "InventedForQuestion": null,
    "SemanticTypeIri": "urn:effortless:pko-extension#RulebookField",
    "Name": "VerificationOutcomes.Name",
    "IsDerived": true,
    "IsWitness": false,
    "DisagreeingSubstrateCount": 0.0,
    "IsSubstrateContested": false
   },
   {
    "RulebookFieldId": "VerificationOutcomes.StepExecution",
    "TargetTable": "VerificationOutcomes",
    "FieldName": "StepExecution",
    "FieldType": "relationship",
    "Datatype": "string",
    "Formula": null,
    "InventedForQuestion": null,
    "SemanticTypeIri": "urn:effortless:pko-extension#RulebookField",
    "Name": "VerificationOutcomes.StepExecution",
    "IsDerived": false,
    "IsWitness": false,
    "DisagreeingSubstrateCount": 0.0,
    "IsSubstrateContested": false
   },
   {
    "RulebookFieldId": "VerificationOutcomes.StepVerification",
    "TargetTable": "VerificationOutcomes",
    "FieldName": "StepVerification",
    "FieldType": "relationship",
    "Datatype": "string",
    "Formula": null,
    "InventedForQuestion": null,
    "SemanticTypeIri": "urn:effortless:pko-extension#RulebookField",
    "Name": "VerificationOutcomes.StepVerification",
    "IsDerived": false,
    "IsWitness": false,
    "DisagreeingSubstrateCount": 0.0,
    "IsSubstrateContested": false
   },
   {
    "RulebookFieldId": "VerificationOutcomes.ObservedSignalValue",
    "TargetTable": "VerificationOutcomes",
    "FieldName": "ObservedSignalValue",
    "FieldType": "raw",
    "Datatype": "string",
    "Formula": null,
    "InventedForQuestion": null,
    "SemanticTypeIri": "urn:effortless:pko-extension#RulebookField",
    "Name": "VerificationOutcomes.ObservedSignalValue",
    "IsDerived": false,
    "IsWitness": false,
    "DisagreeingSubstrateCount": 0.0,
    "IsSubstrateContested": false
   },
   {
    "RulebookFieldId": "VerificationOutcomes.ObservedByAgent",
    "TargetTable": "VerificationOutcomes",
    "FieldName": "ObservedByAgent",
    "FieldType": "relationship",
    "Datatype": "string",
    "Formula": null,
    "InventedForQuestion": null,
    "SemanticTypeIri": "urn:effortless:pko-extension#RulebookField",
    "Name": "VerificationOutcomes.ObservedByAgent",
    "IsDerived": false,
    "IsWitness": false,
    "DisagreeingSubstrateCount": 0.0,
    "IsSubstrateContested": false
   },
   {
    "RulebookFieldId": "VerificationOutcomes.ObservedAt",
    "TargetTable": "VerificationOutcomes",
    "FieldName": "ObservedAt",
    "FieldType": "raw",
    "Datatype": "datetime",
    "Formula": null,
    "InventedForQuestion": null,
    "SemanticTypeIri": "urn:effortless:pko-extension#RulebookField",
    "Name": "VerificationOutcomes.ObservedAt",
    "IsDerived": false,
    "IsWitness": false,
    "DisagreeingSubstrateCount": 0.0,
    "IsSubstrateContested": false
   },
   {
    "RulebookFieldId": "VerificationOutcomes.EvidenceUri",
    "TargetTable": "VerificationOutcomes",
    "FieldName": "EvidenceUri",
    "FieldType": "raw",
    "Datatype": "string",
    "Formula": null,
    "InventedForQuestion": null,
    "SemanticTypeIri": "urn:effortless:pko-extension#RulebookField",
    "Name": "VerificationOutcomes.EvidenceUri",
    "IsDerived": false,
    "IsWitness": false,
    "DisagreeingSubstrateCount": 0.0,
    "IsSubstrateContested": false
   },
   {
    "RulebookFieldId": "VerificationOutcomes.ExpectedSignalValue",
    "TargetTable": "VerificationOutcomes",
    "FieldName": "ExpectedSignalValue",
    "FieldType": "lookup",
    "Datatype": "string",
    "Formula": "=INDEX(StepVerifications!{{ExpectedSignalValue}}, MATCH({{StepVerification}}, StepVerifications!{{StepVerificationId}}, 0))",
    "InventedForQuestion": null,
    "SemanticTypeIri": "urn:effortless:pko-extension#RulebookField",
    "Name": "VerificationOutcomes.ExpectedSignalValue",
    "IsDerived": true,
    "IsWitness": false,
    "DisagreeingSubstrateCount": 0.0,
    "IsSubstrateContested": false
   },
   {
    "RulebookFieldId": "VerificationOutcomes.SignalIdentifier",
    "TargetTable": "VerificationOutcomes",
    "FieldName": "SignalIdentifier",
    "FieldType": "lookup",
    "Datatype": "string",
    "Formula": "=INDEX(StepVerifications!{{SignalIdentifier}}, MATCH({{StepVerification}}, StepVerifications!{{StepVerificationId}}, 0))",
    "InventedForQuestion": null,
    "SemanticTypeIri": "urn:effortless:pko-extension#RulebookField",
    "Name": "VerificationOutcomes.SignalIdentifier",
    "IsDerived": true,
    "IsWitness": false,
    "DisagreeingSubstrateCount": 0.0,
    "IsSubstrateContested": false
   },
   {
    "RulebookFieldId": "VerificationOutcomes.SignalMatchesExpected",
    "TargetTable": "VerificationOutcomes",
    "FieldName": "SignalMatchesExpected",
    "FieldType": "calculated",
    "Datatype": "boolean",
    "Formula": "={{ObservedSignalValue}} = {{ExpectedSignalValue}}",
    "InventedForQuestion": null,
    "SemanticTypeIri": "urn:effortless:pko-extension#RulebookField",
    "Name": "VerificationOutcomes.SignalMatchesExpected",
    "IsDerived": true,
    "IsWitness": false,
    "DisagreeingSubstrateCount": 0.0,
    "IsSubstrateContested": false
   },
   {
    "RulebookFieldId": "VerificationOutcomes.HasEvidence",
    "TargetTable": "VerificationOutcomes",
    "FieldName": "HasEvidence",
    "FieldType": "calculated",
    "Datatype": "boolean",
    "Formula": "={{EvidenceUri}} &lt;&gt; \"\"",
    "InventedForQuestion": null,
    "SemanticTypeIri": "urn:effortless:pko-extension#RulebookField",
    "Name": "VerificationOutcomes.HasEvidence",
    "IsDerived": true,
    "IsWitness": false,
    "DisagreeingSubstrateCount": 0.0,
    "IsSubstrateContested": false
   },
   {
    "RulebookFieldId": "VerificationOutcomes.IsUnbackedObservation",
    "TargetTable": "VerificationOutcomes",
    "FieldName": "IsUnbackedObservation",
    "FieldType": "calculated",
    "Datatype": "boolean",
    "Formula": "=AND({{SignalMatchesExpected}}, NOT({{HasEvidence}}))",
    "InventedForQuestion": null,
    "SemanticTypeIri": "urn:effortless:pko-extension#RulebookField",
    "Name": "VerificationOutcomes.IsUnbackedObservation",
    "IsDerived": true,
    "IsWitness": false,
    "DisagreeingSubstrateCount": 0.0,
    "IsSubstrateContested": false
   },
   {
    "RulebookFieldId": "VerificationOutcomes.IsSelfWitnessed",
    "TargetTable": "VerificationOutcomes",
    "FieldName": "IsSelfWitnessed",
    "FieldType": "calculated",
    "Datatype": "boolean",
    "Formula": "={{ObservedByAgent}} = {{StepExecutorAgent}}",
    "InventedForQuestion": "q-cfo-approval-was-actually-verified",
    "SemanticTypeIri": "urn:effortless:pko-extension#RulebookField",
    "Name": "VerificationOutcomes.IsSelfWitnessed",
    "IsDerived": true,
    "IsWitness": true,
    "DisagreeingSubstrateCount": 0.0,
    "IsSubstrateContested": false
   },
   {
    "RulebookFieldId": "VerificationOutcomes.StepExecutorAgent",
    "TargetTable": "VerificationOutcomes",
    "FieldName": "StepExecutorAgent",
    "FieldType": "lookup",
    "Datatype": "string",
    "Formula": "=INDEX(StepExecutions!{{ExecutedByAgent}}, MATCH({{StepExecution}}, StepExecutions!{{StepExecutionId}}, 0))",
    "InventedForQuestion": "q-cfo-approval-was-actually-verified",
    "SemanticTypeIri": "urn:effortless:pko-extension#RulebookField",
    "Name": "VerificationOutcomes.StepExecutorAgent",
    "IsDerived": true,
    "IsWitness": true,
    "DisagreeingSubstrateCount": 0.0,
    "IsSubstrateContested": false
   },
   {
    "RulebookFieldId": "VerificationOutcomes.SelfWitnessedStepKey",
    "TargetTable": "VerificationOutcomes",
    "FieldName": "SelfWitnessedStepKey",
    "FieldType": "calculated",
    "Datatype": "string",
    "Formula": "=IF({{IsSelfWitnessed}}, {{StepExecution}}, \"\")",
    "InventedForQuestion": "q-cfo-approval-was-actually-verified",
    "SemanticTypeIri": "urn:effortless:pko-extension#RulebookField",
    "Name": "VerificationOutcomes.SelfWitnessedStepKey",
    "IsDerived": true,
    "IsWitness": true,
    "DisagreeingSubstrateCount": 0.0,
    "IsSubstrateContested": false
   },
   {
    "RulebookFieldId": "VerificationOutcomes.UnbackedStepKey",
    "TargetTable": "VerificationOutcomes",
    "FieldName": "UnbackedStepKey",
    "FieldType": "calculated",
    "Datatype": "string",
    "Formula": "=IF({{IsUnbackedObservation}}, {{StepExecution}}, \"\")",
    "InventedForQuestion": "q-cfo-approval-was-actually-verified",
    "SemanticTypeIri": "urn:effortless:pko-extension#RulebookField",
    "Name": "VerificationOutcomes.UnbackedStepKey",
    "IsDerived": true,
    "IsWitness": true,
    "DisagreeingSubstrateCount": 0.0,
    "IsSubstrateContested": false
   },
   {
    "RulebookFieldId": "VerificationOutcomes.IsSelfWitnessedAndUnbacked",
    "TargetTable": "VerificationOutcomes",
    "FieldName": "IsSelfWitnessedAndUnbacked",
    "FieldType": "calculated",
    "Datatype": "boolean",
    "Formula": "=AND({{IsSelfWitnessed}}, NOT({{HasEvidence}}))",
    "InventedForQuestion": "q2-fa-my-own-evidence-quality",
    "SemanticTypeIri": "urn:effortless:pko-extension#RulebookField",
    "Name": "VerificationOutcomes.IsSelfWitnessedAndUnbacked",
    "IsDerived": true,
    "IsWitness": true,
    "DisagreeingSubstrateCount": 0.0,
    "IsSubstrateContested": false
   },
   {
    "RulebookFieldId": "VerificationOutcomes.IsUncorroboratedPass",
    "TargetTable": "VerificationOutcomes",
    "FieldName": "IsUncorroboratedPass",
    "FieldType": "calculated",
    "Datatype": "boolean",
    "Formula": "=AND({{SignalMatchesExpected}}, {{IsSelfWitnessedAndUnbacked}})",
    "InventedForQuestion": "q2-fa-my-own-evidence-quality",
    "SemanticTypeIri": "urn:effortless:pko-extension#RulebookField",
    "Name": "VerificationOutcomes.IsUncorroboratedPass",
    "IsDerived": true,
    "IsWitness": true,
    "DisagreeingSubstrateCount": 0.0,
    "IsSubstrateContested": false
   },
   {
    "RulebookFieldId"</t>
  </si>
  <si>
    <t xml:space="preserve">: "VerificationOutcomes.UncorroboratedPassStepKey",
    "TargetTable": "VerificationOutcomes",
    "FieldName": "UncorroboratedPassStepKey",
    "FieldType": "calculated",
    "Datatype": "string",
    "Formula": "=IF({{IsUncorroboratedPass}}, {{StepExecution}}, \"\")",
    "InventedForQuestion": "q2-fa-my-own-evidence-quality",
    "SemanticTypeIri": "urn:effortless:pko-extension#RulebookField",
    "Name": "VerificationOutcomes.UncorroboratedPassStepKey",
    "IsDerived": true,
    "IsWitness": true,
    "DisagreeingSubstrateCount": 0.0,
    "IsSubstrateContested": false
   },
   {
    "RulebookFieldId": "VerificationOutcomes.ObserverIsNonHuman",
    "TargetTable": "VerificationOutcomes",
    "FieldName": "ObserverIsNonHuman",
    "FieldType": "lookup",
    "Datatype": "boolean",
    "Formula": "=INDEX(Agents!{{IsNonHuman}}, MATCH({{ObservedByAgent}}, Agents!{{AgentId}}, 0))",
    "InventedForQuestion": "q2-fa-my-own-evidence-quality",
    "SemanticTypeIri": "urn:effortless:pko-extension#RulebookField",
    "Name": "VerificationOutcomes.ObserverIsNonHuman",
    "IsDerived": true,
    "IsWitness": true,
    "DisagreeingSubstrateCount": 0.0,
    "IsSubstrateContested": false
   },
   {
    "RulebookFieldId": "VerificationOutcomes.ObserverIsIndependentOfExecutor",
    "TargetTable": "VerificationOutcomes",
    "FieldName": "ObserverIsIndependentOfExecutor",
    "FieldType": "calculated",
    "Datatype": "boolean",
    "Formula": "=NOT({{IsSelfWitnessed}})",
    "InventedForQuestion": "q2-fa-my-own-evidence-quality",
    "SemanticTypeIri": "urn:effortless:pko-extension#RulebookField",
    "Name": "VerificationOutcomes.ObserverIsIndependentOfExecutor",
    "IsDerived": true,
    "IsWitness": true,
    "DisagreeingSubstrateCount": 0.0,
    "IsSubstrateContested": false
   },
   {
    "RulebookFieldId": "VerificationOutcomes.IsIndependentHumanObservation",
    "TargetTable": "VerificationOutcomes",
    "FieldName": "IsIndependentHumanObservation",
    "FieldType": "calculated",
    "Datatype": "boolean",
    "Formula": "=AND(NOT({{ObserverIsNonHuman}}), NOT({{IsSelfWitnessed}}), {{HasEvidence}})",
    "InventedForQuestion": "q2-cfo-who-witnessed-the-witnesses",
    "SemanticTypeIri": "urn:effortless:pko-extension#RulebookField",
    "Name": "VerificationOutcomes.IsIndependentHumanObservation",
    "IsDerived": true,
    "IsWitness": true,
    "DisagreeingSubstrateCount": 0.0,
    "IsSubstrateContested": false
   },
   {
    "RulebookFieldId": "VerificationOutcomes.IndependentObservationExecutionKey",
    "TargetTable": "VerificationOutcomes",
    "FieldName": "IndependentObservationExecutionKey",
    "FieldType": "calculated",
    "Datatype": "string",
    "Formula": "=IF({{IsIndependentHumanObservation}}, {{ParentProcedureExecutionOfOutcome}}, \"\")",
    "InventedForQuestion": "q2-cfo-who-witnessed-the-witnesses",
    "SemanticTypeIri": "urn:effortless:pko-extension#RulebookField",
    "Name": "VerificationOutcomes.IndependentObservationExecutionKey",
    "IsDerived": true,
    "IsWitness": true,
    "DisagreeingSubstrateCount": 0.0,
    "IsSubstrateContested": false
   },
   {
    "RulebookFieldId": "VerificationOutcomes.ParentProcedureExecutionOfOutcome",
    "TargetTable": "VerificationOutcomes",
    "FieldName": "ParentProcedureExecutionOfOutcome",
    "FieldType": "lookup",
    "Datatype": "string",
    "Formula": "=INDEX(StepExecutions!{{ProcedureExecution}}, MATCH({{StepExecution}}, StepExecutions!{{StepExecutionId}}, 0))",
    "InventedForQuestion": "q2-cfo-who-witnessed-the-witnesses",
    "SemanticTypeIri": "urn:effortless:pko-extension#RulebookField",
    "Name": "VerificationOutcomes.ParentProcedureExecutionOfOutcome",
    "IsDerived": true,
    "IsWitness": true,
    "DisagreeingSubstrateCount": 0.0,
    "IsSubstrateContested": false
   },
   {
    "RulebookFieldId": "VerificationOutcomes.SemanticTypeIri",
    "TargetTable": "VerificationOutcomes",
    "FieldName": "SemanticTypeIri",
    "FieldType": "raw",
    "Datatype": "string",
    "Formula": null,
    "InventedForQuestion": null,
    "SemanticTypeIri": "urn:effortless:pko-extension#RulebookField",
    "Name": "VerificationOutcomes.SemanticTypeIri",
    "IsDerived": false,
    "IsWitness": false,
    "DisagreeingSubstrateCount": 0.0,
    "IsSubstrateContested": false
   },
   {
    "RulebookFieldId": "ObservedTransitions.ObservedTransitionId",
    "TargetTable": "ObservedTransitions",
    "FieldName": "ObservedTransitionId",
    "FieldType": "raw",
    "Datatype": "string",
    "Formula": null,
    "InventedForQuestion": null,
    "SemanticTypeIri": "urn:effortless:pko-extension#RulebookField",
    "Name": "ObservedTransitions.ObservedTransitionId",
    "IsDerived": false,
    "IsWitness": false,
    "DisagreeingSubstrateCount": 0.0,
    "IsSubstrateContested": false
   },
   {
    "RulebookFieldId": "ObservedTransitions.Name",
    "TargetTable": "ObservedTransitions",
    "FieldName": "Name",
    "FieldType": "calculated",
    "Datatype": "string",
    "Formula": "={{StepTransition}} &amp; \" @ \" &amp; {{ObservedAt}}",
    "InventedForQuestion": null,
    "SemanticTypeIri": "urn:effortless:pko-extension#RulebookField",
    "Name": "ObservedTransitions.Name",
    "IsDerived": true,
    "IsWitness": false,
    "DisagreeingSubstrateCount": 0.0,
    "IsSubstrateContested": false
   },
   {
    "RulebookFieldId": "ObservedTransitions.ProcedureExecution",
    "TargetTable": "ObservedTransitions",
    "FieldName": "ProcedureExecution",
    "FieldType": "relationship",
    "Datatype": "string",
    "Formula": null,
    "InventedForQuestion": null,
    "SemanticTypeIri": "urn:effortless:pko-extension#RulebookField",
    "Name": "ObservedTransitions.ProcedureExecution",
    "IsDerived": false,
    "IsWitness": false,
    "DisagreeingSubstrateCount": 0.0,
    "IsSubstrateContested": false
   },
   {
    "RulebookFieldId": "ObservedTransitions.StepTransition",
    "TargetTable": "ObservedTransitions",
    "FieldName": "StepTransition",
    "FieldType": "relationship",
    "Datatype": "string",
    "Formula": null,
    "InventedForQuestion": null,
    "SemanticTypeIri": "urn:effortless:pko-extension#RulebookField",
    "Name": "ObservedTransitions.StepTransition",
    "IsDerived": false,
    "IsWitness": false,
    "DisagreeingSubstrateCount": 0.0,
    "IsSubstrateContested": false
   },
   {
    "RulebookFieldId": "ObservedTransitions.ArrivingStepExecution",
    "TargetTable": "ObservedTransitions",
    "FieldName": "ArrivingStepExecution",
    "FieldType": "relationship",
    "Datatype": "string",
    "Formula": null,
    "InventedForQuestion": null,
    "SemanticTypeIri": "urn:effortless:pko-extension#RulebookField",
    "Name": "ObservedTransitions.ArrivingStepExecution",
    "IsDerived": false,
    "IsWitness": false,
    "DisagreeingSubstrateCount": 0.0,
    "IsSubstrateContested": false
   },
   {
    "RulebookFieldId": "ObservedTransitions.ObservedAt",
    "TargetTable": "ObservedTransitions",
    "FieldName": "ObservedAt",
    "FieldType": "raw",
    "Datatype": "datetime",
    "Formula": null,
    "InventedForQuestion": null,
    "SemanticTypeIri": "urn:effortless:pko-extension#RulebookField",
    "Name": "ObservedTransitions.ObservedAt",
    "IsDerived": false,
    "IsWitness": false,
    "DisagreeingSubstrateCount": 0.0,
    "IsSubstrateContested": false
   },
   {
    "RulebookFieldId": "ObservedTransitions.TriggerReason",
    "TargetTable": "ObservedTransitions",
    "FieldName": "TriggerReason",
    "FieldType": "raw",
    "Datatype": "string",
    "Formula": null,
    "InventedForQuestion": null,
    "SemanticTypeIri": "urn:effortless:pko-extension#RulebookField",
    "Name": "ObservedTransitions.TriggerReason",
    "IsDerived": false,
    "IsWitness": false,
    "DisagreeingSubstrateCount": 0.0,
    "IsSubstrateContested": false
   },
   {
    "RulebookFieldId": "ObservedTransitions.SemanticTypeIri",
    "TargetTable": "ObservedTransitions",
    "FieldName": "SemanticTypeIri",
    "FieldType": "raw",
    "Datatype": "string",
    "Formula": null,
    "InventedForQuestion": null,
    "SemanticTypeIri": "urn:effortless:pko-extension#RulebookField",
    "Name": "ObservedTransitions.SemanticTypeIri",
    "IsDerived": false,
    "IsWitness": false,
    "DisagreeingSubstrateCount": 0.0,
    "IsSubstrateContested": false
   },
   {
    "RulebookFieldId": "Recipients.RecipientId",
    "TargetTable": "Recipients",
    "FieldName": "RecipientId",
    "FieldType": "raw",
    "Datatype": "string",
    "Formula": null,
    "InventedForQuestion": null,
    "SemanticTypeIri": "urn:effortless:pko-extension#RulebookField",
    "Name": "Recipients.RecipientId",
    "IsDerived": false,
    "IsWitness": false,
    "DisagreeingSubstrateCount": 0.0,
    "IsSubstrateContested": false
   },
   {
    "RulebookFieldId": "Recipients.Name",
    "TargetTable": "Recipients",
    "FieldName": "Name",
    "FieldType": "calculated",
    "Datatype": "string",
    "Formula": "={{DisplayName}}",
    "InventedForQuestion": null,
    "SemanticTypeIri": "urn:effortless:pko-extension#RulebookField",
    "Name": "Recipients.Name",
    "IsDerived": true,
    "IsWitness": false,
    "DisagreeingSubstrateCount": 0.0,
    "IsSubstrateContested": false
   },
   {
    "RulebookFieldId": "Recipients.DisplayName",
    "TargetTable": "Recipients",
    "FieldName": "DisplayName",
    "FieldType": "raw",
    "Datatype": "string",
    "Formula": null,
    "InventedForQuestion": null,
    "SemanticTypeIri": "urn:effortless:pko-extension#RulebookField",
    "Name": "Recipients.DisplayName",
    "IsDerived": false,
    "IsWitness": false,
    "DisagreeingSubstrateCount": 0.0,
    "IsSubstrateContested": false
   },
   {
    "RulebookFieldId": "Recipients.Organization",
    "TargetTable": "Recipients",
    "FieldName": "Organization",
    "FieldType": "relationship",
    "Datatype": "string",
    "Formula": null,
    "InventedForQuestion": null,
    "SemanticTypeIri": "urn:effortless:pko-extension#RulebookField",
    "Name": "Recipients.Organization",
    "IsDerived": false,
    "IsWitness": false,
    "DisagreeingSubstrateCount": 0.0,
    "IsSubstrateContested": false
   },
   {
    "RulebookFieldId": "Recipients.EmailAddress",
    "TargetTable": "Recipients",
    "FieldName": "EmailAddress",
    "FieldType": "raw",
    "Datatype": "string",
    "Formula": null,
    "InventedForQuestion": null,
    "SemanticTypeIri": "urn:effortless:pko-extension#RulebookField",
    "Name": "Recipients.EmailAddress",
    "IsDerived": false,
    "IsWitness": false,
    "DisagreeingSubstrateCount": 0.0,
    "IsSubstrateContested": false
   },
   {
    "RulebookFieldId": "Recipients.MobileNumber",
    "TargetTable": "Recipients",
    "FieldName": "MobileNumber",
    "FieldType": "raw",
    "Datatype": "string",
    "Formula": null,
    "InventedForQuestion": null,
    "SemanticTypeIri": "urn:effortless:pko-extension#RulebookField",
    "Name": "Recipients.MobileNumber",
    "IsDerived": false,
    "IsWitness": false,
    "DisagreeingSubstrateCount": 0.0,
    "IsSubstrateContested": false
   },
   {
    "RulebookFieldId": "Recipients.SmsConsentStatus",
    "TargetTable": "Recipients",
    "FieldName": "SmsConsentStatus",
    "FieldType": "raw",
    "Datatype": "string",
    "Formula": null,
    "InventedForQuestion": null,
    "SemanticTypeIri": "urn:effortless:pko-extension#RulebookField",
    "Name": "Recipients.SmsConsentStatus",
    "IsDerived": false,
    "IsWitness": false,
    "DisagreeingSubstrateCount": 0.0,
    "IsSubstrateContested": false
   },
   {
    "RulebookFieldId": "Recipients.SmsConsentAt",
    "TargetTable": "Recipients",
    "FieldName": "SmsConsentAt",
    "FieldType": "raw",
    "Datatype": "datetime",
    "Formula": null,
    "InventedForQuestion": null,
    "SemanticTypeIri": "urn:effortless:pko-extension#RulebookField",
    "Name": "Recipients.SmsConsentAt",
    "IsDerived": false,
    "IsWitness": false,
    "DisagreeingSubstrateCount": 0.0,
    "IsSubstrateContested": false
   },
   {
    "RulebookFieldId": "Recipients.ConsentBinding",
    "TargetTable": "Recipients",
    "FieldName": "ConsentBinding",
    "FieldType": "relationship",
    "Datatype": "string",
    "Formula": null,
    "InventedForQuestion": null,
    "SemanticTypeIri": "urn:effortless:pko-extension#RulebookField",
    "Name": "Recipients.ConsentBinding",
    "IsDerived": false,
    "IsWitness": false,
    "DisagreeingSubstrateCount": 0.0,
    "IsSubstrateContested": false
   },
   {
    "RulebookFieldId": "Recipients.HasSmsConsent",
    "TargetTable": "Recipients",
    "FieldName": "HasSmsConsent",
    "FieldType": "calculated",
    "Datatype": "boolean",
    "Formula": "={{SmsConsentStatus}} = \"Granted\"",
    "InventedForQuestion": null,
    "SemanticTypeIri": "urn:effortless:pko-extension#RulebookField",
    "Name": "Recipients.HasSmsConsent",
    "IsDerived": true,
    "IsWitness": false,
    "DisagreeingSubstrateCount": 0.0,
    "IsSubstrateContested": false
   },
   {
    "RulebookFieldId": "Recipients.IsEmailReachable",
    "TargetTable": "Recipients",
    "FieldName": "IsEmailReachable",
    "FieldType": "calculated",
    "Datatype": "boolean",
    "Formula": "={{EmailAddress}} &lt;&gt; \"\"",
    "InventedForQuestion": null,
    "SemanticTypeIri": "urn:effortless:pko-extension#RulebookField",
    "Name": "Recipients.IsEmailReachable",
    "IsDerived": true,
    "IsWitness": false,
    "DisagreeingSubstrateCount": 0.0,
    "IsSubstrateContested": false
   },
   {
    "RulebookFieldId": "Recipients.IsSmsReachable",
    "TargetTable": "Recipients",
    "FieldName": "IsSmsReachable",
    "FieldType": "calculated",
    "Datatype": "boolean",
    "Formula": "={{MobileNumber}} &lt;&gt; \"\"",
    "InventedForQuestion": null,
    "SemanticTypeIri": "urn:effortless:pko-extension#RulebookField",
    "Name": "Recipients.IsSmsReachable",
    "IsDerived": true,
    "IsWitness": false,
    "DisagreeingSubstrateCount": 0.0,
    "IsSubstrateContested": false
   },
   {
    "RulebookFieldId": "Recipients.IsUnreachable",
    "TargetTable": "Recipients",
    "FieldName": "IsUnreachable",
    "FieldType": "calculated",
    "Datatype": "boolean",
    "Formula": "=AND(NOT({{IsEmailReachable}}), NOT({{IsSmsReachable}}))",
    "InventedForQuestion": null,
    "SemanticTypeIri": "urn:effortless:pko-extension#RulebookField",
    "Name": "Recipients.IsUnreachable",
    "IsDerived": true,
    "IsWitness": false,
    "DisagreeingSubstrateCount": 0.0,
    "IsSubstrateContested": false
   },
   {
    "RulebookFieldId": "Recipients.IsCommunicationallyStranded",
    "TargetTable": "Recipients",
    "FieldName": "IsCommunicationallyStranded",
    "FieldType": "calculated",
    "Datatype": "boolean",
    "Formula": "=AND(NOT({{IsSmsReachable}}), NOT({{IsEmailReachable}}))",
    "InventedForQuestion": "q2-comms-suppression-is-a-communication",
    "SemanticTypeIri": "urn:effortless:pko-extension#RulebookField",
    "Name": "Recipients.IsCommunicationallyStranded",
    "IsDerived": true,
    "IsWitness": true,
    "DisagreeingSubstrateCount": 0.0,
    "IsSubstrateContested": false
   },
   {
    "RulebookFieldId": "Recipients.SemanticTypeIri",
    "TargetTable": "Recipients",
    "FieldName": "SemanticTypeIri",
    "FieldType": "raw",
    "Datatype": "string",
    "Formula": null,
    "InventedForQuestion": null,
    "SemanticTypeIri": "urn:effortless:pko-extension#RulebookField",
    "Name": "Recipients.SemanticTypeIri",
    "IsDerived": false,
    "IsWitness": false,
    "DisagreeingSubstrateCount": 0.0,
    "IsSubstrateContested": false
   },
   {
    "RulebookFieldId": "MessageDeliveries.MessageDeliveryId",
    "TargetTable": "MessageDeliveries",
    "FieldName": "MessageDeliveryId",
    "FieldType": "raw",
    "Datatype": "string",
    "Formula": null,
    "InventedForQuestion": null,
    "SemanticTypeIri": "urn:effortless:pko-extension#RulebookField",
    "Name": "MessageDeliveries.MessageDeliveryId",
    "IsDerived": false,
    "IsWitness": false,
    "DisagreeingSubstrateCount": 0.0,
    "IsSubstrateContested": false
   },
   {
    "RulebookFieldId": "MessageDeliveries.Name",
    "TargetTable": "MessageDeliveries",
    "FieldName": "Name",
    "FieldType": "calculated",
    "Datatype": "string",
    "Formula": "={{Recipient}} &amp; \" / \" &amp; {{MessageTemplate}} &amp; \" / \" &amp; {{SentAt}}",
    "InventedForQuestion": null,
    "SemanticTypeIri": "urn:effortless:pko-extension#RulebookField",
    "Name": "MessageDeliveries.Name",
    "IsDerived": true,
    "IsWitness": false,
    "DisagreeingSubstrateCount": 0.0,
    "IsSubstrateContested": false
   },
   {
    "RulebookFieldId": "MessageDeliveries.ProcedureExecution",
    "TargetTable": "MessageDeliveries",
    "FieldName": "ProcedureExecution",
    "FieldType": "relationship",
    "Datatype": "string",
    "Formula": null,
    "InventedForQuestion": null,
    "SemanticTypeIri": "urn:effortless:pko-extension#RulebookField",
    "Name": "MessageDeliveries.ProcedureExecution",
    "IsDerived": false,
    "IsWitness": false,
    "DisagreeingSubstrateCount": 0.0,
    "IsSubstrateContested": false
   },
   {
    "RulebookFieldId": "MessageDeliveries.StepExecution",
    "TargetTable": "MessageDeliveries",
    "FieldName": "StepExecution",
    "FieldType": "relationship",
    "Datatype": "string",
    "Formula": null,
    "InventedForQuestion": null,
    "SemanticTypeIri": "urn:effortless:pko-extension#RulebookField",
    "Name": "MessageDeliveries.StepExecution",
    "IsDerived": false,
    "IsWitness": false,
    "DisagreeingSubstrateCount": 0.0,
    "IsSubstrateContested": false
   },
   {
    "RulebookFieldId": "MessageDeliveries.Recipient",
    "TargetTable": "MessageDeliveries",
    "FieldName": "Recipient",
    "FieldType": "relationship",
    "Datatype": "string",
    "Formula": null,
    "InventedForQuestion": null,
    "SemanticTypeIri": "urn:effortless:pko-extension#RulebookField",
    "Name": "MessageDeliveries.Recipient",
    "IsDerived": false,
    "IsWitness": false,
    "DisagreeingSubstrateCount": 0.0,
    "IsSubstrateContested": false
   },
   {
    "RulebookFieldId": "MessageDeliveries.MessageTemplate",
    "TargetTable": "MessageDeliveries",
    "FieldName": "MessageTemplate",
    "FieldType": "relationship",
    "Datatype": "string",
    "Formula": null,
    "InventedForQuestion": null,
    "SemanticTypeIri": "urn:effortless:pko-extension#RulebookField",
    "Name": "MessageDeliveries.MessageTemplate",
    "IsDerived": false,
    "IsWitness": false,
    "DisagreeingSubstrateCount": 0.0,
    "IsSubstrateContested": false
   },
   {
    "RulebookFieldId": "MessageDeliveries.SentByAgent",
    "TargetTable": "MessageDeliveries",
    "FieldName": "SentByAgent",
    "FieldType": "relationship",
    "Datatype": "string",
    "Formula": null,
    "InventedForQuestion": null,
    "SemanticTypeIri": "urn:effortless:pko-extension#RulebookField",
    "Name": "MessageDeliveries.SentByAgent",
    "IsDerived": false,
    "IsWitness": false,
    "DisagreeingSubstrateCount": 0.0,
    "IsSubstrateContested": false
   },
   {
    "RulebookFieldId": "MessageDeliveries.RenderedBody",
    "TargetTable": "MessageDeliveries",
    "FieldName": "RenderedBody",
    "FieldType": "raw",
    "Datatype": "string",
    "Formula": null,
    "InventedForQuestion": null,
    "SemanticTypeIri": "urn:effortless:pko-extension#RulebookField",
    "Name": "MessageDeliveries.RenderedBody",
    "IsDerived": false,
    "IsWitness": false,
    "DisagreeingSubstrateCount": 0.0,
    "IsSubstrateContested": false
   },
   {
    "RulebookFieldId": "MessageDeliveries.SentAt",
    "TargetTable": "MessageDeliveries",
    "FieldName": "SentAt",
    "FieldType": "raw",
    "Datatype": "datetime",
    "Formula": null,
    "InventedForQuestion": null,
    "SemanticTypeIri": "urn:effortless:pko-extension#RulebookField",
    "Name": "MessageDeliveries.SentAt",
    "IsDerived": false,
    "IsWitness": false,
    "DisagreeingSubstrateCount": 0.0,
    "IsSubstrateContested": false
   },
   {
    "RulebookFieldId": "MessageDeliveries.SentAtLocalHour",
    "TargetTable": "MessageDeliveries",
    "FieldName": "SentAtLocalHour",
    "FieldType": "raw",
    "Datatype": "integer",
    "Formula": null,
    "InventedForQuestion": null,
    "SemanticTypeIri": "urn:effortless:pko-extension#RulebookField",
    "Name": "MessageDeliveries.SentAtLocalHour",
    "IsDerived": false,
    "IsWitness": false,
    "DisagreeingSubstrateCount": 0.0,
    "IsSubstrateContested": false
   },
   {
    "RulebookFieldId": "MessageDeliveries.DeliveryStatus",
    "TargetTable": "MessageDeliveries",
    "FieldName": "DeliveryStatus",
    "FieldType": "raw",
    "Datatype": "string",
    "Formula": null,
    "InventedForQuestion": null,
    "SemanticTypeIri": "urn:effortless:pko-extension#RulebookField",
    "Name": "MessageDeliveries.DeliveryStatus",
    "IsDerived": false,
    "IsWitness": false,
    "DisagreeingSubstrateCount": 0.0,
    "IsSubstrateContested": false
   },
   {
    "RulebookFieldId": "MessageDeliveries.SuppressionReason",
    "TargetTable": "MessageDeliveries",
    "FieldName": "SuppressionReason",
    "FieldType": "raw",
    "Datatype": "string",
    "Formula": null,
    "InventedForQuestion": null,
    "SemanticTypeIri": "urn:effortless:pko-extension#RulebookField",
    "Name": "MessageDeliveries.SuppressionReason",
    "IsDerived": false,
    "IsWitness": false,
    "DisagreeingSubstrateCount": 0.0,
    "IsSubstrateContested": false
   },
   {
    "RulebookFieldId": "MessageDeliveries.InvokedException",
    "TargetTable": "MessageDeliveries",
    "FieldName": "InvokedException",
    "FieldType": "relationship",
    "Datatype": "string",
    "Formula": null,
    "InventedForQuestion": null,
    "SemanticTypeIri": "urn:effortless:pko-extension#RulebookField",
    "Name": "MessageDeliveries.InvokedException",
    "IsDerived": false,
    "IsWitness": false,
    "DisagreeingSubstrateCount": 0.0,
    "IsSubstrateContested": false
   },
   {
    "RulebookFieldId": "MessageDeliveries.AcknowledgedAt",
    "TargetTable": "MessageDeliveries",
    "FieldName": "AcknowledgedAt",
    "FieldType": "raw",
    "Datatype": "datetime",
    "Formula": null,
    "InventedForQuestion": null,
    "SemanticTypeIri": "urn:effortless:pko-extension#RulebookField",
    "Name": "MessageDeliveries.AcknowledgedAt",
    "IsDerived": false,
    "IsWitness": false,
    "DisagreeingSubstrateCount": 0.0,
    "IsSubstrateContested": false
   },
   {
    "RulebookFieldId": "MessageDeliveries.PolicyChannel",
    "TargetTable": "MessageDeliveries",
    "FieldName": "PolicyChannel",
    "FieldType": "lookup",
    "Datatype": "string",
    "Formula": "=INDEX(MessageTemplates!{{CommunicationPolicy}}, MATCH({{MessageTemplate}}, MessageTemplates!{{MessageTemplateId}}, 0))",
    "InventedForQuestion": "q-counsel-sms-without-consent",
    "SemanticTypeIri": "urn:effortless:pko-extension#RulebookField",
    "Name": "MessageDeliveries.PolicyChannel",
    "IsDerived": true,
    "IsWitness": true,
    "DisagreeingSubstrateCount": 0.0,
    "IsSubstrateContested": false
   },
   {
    "RulebookFieldId": "MessageDeliveries.ChannelName",
    "TargetTable": "MessageDeliveries",
    "FieldName": "ChannelName",
    "FieldType": "lookup",
    "Datatype": "string",
    "Formula": "=INDEX(CommunicationPolicies!{{Channel}}, MATCH({{PolicyChannel}}, CommunicationPolicies!{{CommunicationPolicyId}}, 0))",
    "InventedForQuestion": "q-counsel-sms-without-consent",
    "SemanticTypeIri": "urn:effortless:pko-extension#RulebookField",
    "Name": "MessageDeliveries.ChannelName",
    "IsDerived": true,
    "IsWitness": true,
    "DisagreeingSubstrateCount": 0.0,
    "IsSubstrateContested": false
   },
   {
    "RulebookFieldId": "MessageDeliveries.PolicyRequiresConsent",
    "TargetTable": "MessageDeliveries",
    "FieldName": "PolicyRequiresConsent",
    "FieldType": "lookup",
    "Datatype": "boolean",
    "Formula": "=INDEX(CommunicationPolicies!{{ConsentRequired}}, MATCH({{PolicyChannel}}, CommunicationPolicies!{{CommunicationPolicyId}}, 0))",
    "InventedForQuestion": "q-counsel-sms-without-consent",
    "SemanticTypeIri": "urn:effortless:pko-extension#RulebookField",
    "Name": "MessageDeliveries.PolicyRequiresConsent",
    "IsDerived": true,
    "IsWitness": true,
    "DisagreeingSubstrateCount": 0.0,
    "IsSubstrateContested": false
   },
   {
    "RulebookFieldId": "MessageDeliveries.RecipientHasSmsConsent",
    "TargetTable": "MessageDeliveries",
    "FieldName": "RecipientHasSmsConsent",
    "FieldType": "lookup",
    "Datatype": "boolean",
    "Formula": "=INDEX(Recipients!{{HasSmsConsent}}, MATCH({{Recipient}}, Recipients!{{RecipientId}}, 0))",
    "InventedForQuestion": "q-counsel-sms-without-consent",
    "SemanticTypeIri": "urn:effortless:pko-extension#RulebookField",
    "Name": "MessageDeliveries.RecipientHasSmsConsent",
    "IsDerived": true,
    "IsWitness": true,
    "DisagreeingSubstrateCount": 0.0,
    "IsSubstrateContested": false
   },
   {
    "RulebookFieldId": "MessageDeliveries.WasActuallyTransmitted",
    "TargetTable": "MessageDeliveries",
    "FieldName": "WasActuallyTransmitted",
    "FieldType": "calculated",
    "Datatype": "boolean",
    "Formula": "=OR({{DeliveryStatus}} = \"Sent\", OR({{DeliveryStatus}} = \"Delivered\", {{DeliveryStatus}} = \"Bounced\"))",
    "InventedForQuestion": "q-counsel-sms-without-consent",
    "SemanticTypeIri": "urn:effortless:pko-extension#RulebookField",
    "Name": "MessageDeliveries.WasActuallyTransmitted",
    "IsDerived": true,
    "IsWitness": true,
    "DisagreeingSubstrateCount": 0.0,
    "IsSubstrateContested": false
   },
   {
    "RulebookFieldId": "MessageDeliveries.IsConsentViolation",
    "TargetTable": "MessageDeliveries",
    "FieldName": "IsConsentViolation",
    "FieldType": "calculated",
    "Datatype": "boolean",
    "Formula": "=AND({{WasActuallyTransmitted}}, AND({{PolicyRequiresConsent}}, NOT({{RecipientHasSmsConsent}})))",
    "InventedForQuestion": "q-counsel-sms-without-consent",
    "SemanticTypeIri": "urn:effortless:pko-extension#RulebookField",
    "Name": "MessageDeliveries.IsConsentViolation",
    "IsDerived": true,
    "IsWitness": true,
    "DisagreeingSubstrateCount": 0.0,
    "IsSubstrateContested": false
   },
   {
    "RulebookFieldId": "MessageDeliveries.ConsentViolationPolicyKey",
    "TargetTable": "MessageDeliveries",
    "FieldName": "ConsentViolationPolicyKey",
    "FieldType": "calculated",
    "Datatype": "string",
    "Formula": "=IF({{IsConsentViolation}}, {{PolicyChannel}}, \"\")",
    "InventedForQuestion": "q-counsel-sms-without-consent",
    "SemanticTypeIri": "urn:effortless:pko-extension#RulebookField",
    "Name": "MessageDeliveries.ConsentViolationPolicyKey",
    "IsDerived": true,
    "IsWitness": true,
    "DisagreeingSubstrateCount": 0.0,
    "IsSubstrateContested": false
   },
   {
    "RulebookFieldId": "MessageDeliveries.PolicyQuietHoursStartHour",
    "TargetTable": "MessageDeliveries",
    "FieldName": "PolicyQuietHoursStartHour",
    "FieldType": "lookup",
    "Datatype": "integer",
    "Formula": "=INDEX(CommunicationPolicies!{{QuietHoursStartHour}}, MATCH({{PolicyChannel}}, CommunicationPolicies!{{CommunicationPolicyId}}, 0))",
    "InventedForQuestion": "q-counsel-quiet-hours-breach",
    "SemanticTypeIri": "urn:effortless:pko-extension#RulebookField",
    "Name": "MessageDeliveries.PolicyQuietHoursStartHour",
    "IsDerived": true,
    "IsWitness": true,
    "DisagreeingSubstrateCount": 0.0,
    "IsSubstrateContested": false
   },
   {
    "RulebookFieldId": "MessageDeliveries.PolicyQuietHoursEndHour",
    "TargetTable": "MessageDeliveries",
    "FieldName": "PolicyQuietHoursEndHour",
    "FieldType": "lookup",
    "Datatype": "integer",
    "Formula": "=INDEX(CommunicationPolicies!{{QuietHoursEndHour}}, MATCH({{PolicyChannel}}, CommunicationPolicies!{{CommunicationPolicyId}}, 0))",
    "InventedForQuestion": "q-counsel-quiet-hours-breach",
    "SemanticTypeIri": "urn:effortless:pko-extension#RulebookField",
    "Name": "MessageDeliveries.PolicyQuietHoursEndHour",
    "IsDerived": true,
    "IsWitness": true,
    "DisagreeingSubstrateCount": 0.0,
    "IsSubstrateContested": false
   },
   {
    "RulebookFieldId": "MessageDeliveries.PolicyHasQuietHours",
    "TargetTable": "MessageDeliveries",
    "FieldName": "PolicyHasQuietHours",
    "FieldType": "calculated",
    "Datatype": "boolean",
    "Formula": "={{PolicyQuietHoursStartHour}} &lt;&gt; {{PolicyQuietHoursEndHour}}",
    "InventedForQuestion": "q-counsel-quiet-hours-breach",
    "SemanticTypeIri": "urn:effortless:pko-extension#RulebookField",
    "Name": "MessageDeliveries.PolicyHasQuietHours",
    "IsDerived": true,
    "IsWitness": true,
    "DisagreeingSubstrateCount": 0.0,
    "IsSubstrateContested": false
   },
   {
    "RulebookFieldId": "MessageDeliveries.QuietWindowWrapsMidnight",
    "TargetTable": "MessageDeliveries",
    "FieldName": "QuietWindowWrapsMidnight",
    "FieldType": "calculated",
    "Datatype": "boolean",
    "Formula": "={{PolicyQuietHoursStartHour}} &gt; {{PolicyQuietHoursEndHour}}",
    "InventedForQuestion": "q-counsel-quiet-hours-breach",
    "SemanticTypeIri": "urn:effortless:pko-extension#RulebookField",
    "Name": "MessageDeliveries.QuietWindowWrapsMidnight",
    "IsDerived": true,
    "IsWitness": true,
    "DisagreeingSubstrateCount": 0.0,
    "IsSubstrateContested": false
   },
   {
    "RulebookFieldId": "MessageDeliveries.IsInsideQuietWindow",
    "TargetTable": "MessageDeliveries",
    "FieldName": "IsInsideQuietWindow",
    "FieldType": "calculated",
    "Datatype": "boolean",
    "Formula": "=IF({{QuietWindowWrapsMidnight}}, OR({{SentAtLocalHour}} &gt;= {{PolicyQuietHoursStartHour}}, {{SentAtLocalHour}} &lt; {{PolicyQuietHoursEndHour}}), AND({{SentAtLocalHour}} &gt;= {{PolicyQuietHoursStartHour}}, {{SentAtLocalHour}} &lt; {{PolicyQuietHoursEndHour}}))",
    "InventedForQuestion": "q-counsel-quiet-hours-breach",
    "SemanticTypeIri": "urn:effortless:pko-extension#RulebookField",
    "Name": "MessageDeliveries.IsInsideQuietWindow",
    "IsDerived": true,
    "IsWitness": true,
    "DisagreeingSubstrateCount": 0.0,
    "IsSubstrateContested": false
   },
   {
    "RulebookFieldId": "MessageDeliveries.IsQuietHoursViolation",
    "TargetTable": "MessageDeliveries",
    "FieldName": "IsQuietHoursViolation",
    "FieldType": "calculated",
    "Datatype": "boolean",
    "Formula": "=AND({{WasActuallyTransmitted}}, AND({{PolicyHasQuietHours}}, {{IsInsideQuietWindow}}))",
    "InventedForQuestion": "q-counsel-quiet-hours-breach",
    "SemanticTypeIri": "urn:effortless:pko-extension#RulebookField",
    "Name": "MessageDeliveries.IsQuietHoursViolation",
    "IsDerived": true,
    "IsWitness": true,
    "DisagreeingSubstrateCount": 0.0,
    "IsSubstrateContested": false
   },
   {
    "RulebookFieldId": "MessageDeliveries.QuietHoursViolationPolicyKey",
    "TargetTable": "MessageDeliveries",
    "FieldName": "QuietHoursViolationPolicyKey",
    "FieldType": "calculated",
    "Datatype": "string",
    "Formula": "=IF({{IsQuietHoursViolation}}, {{PolicyChannel}}, \"\")",
    "InventedForQuestion": "q-counsel-quiet-hours-breach",
    "SemanticTypeIri": "urn:effortless:pko-extension#RulebookField",
    "Name": "MessageDeliveries.QuietHoursViolationPolicyKey",
    "IsDerived": true,
    "IsWitness": true,
    "DisagreeingSubstrateCount": 0.0,
    "IsSubstrateContested": false
   },
   {
    "RulebookFieldId": "MessageDeliveries.RecipientIsUnreachable",
    "TargetTable": "MessageDeliveries",
    "FieldName": "RecipientIsUnreachable",
    "FieldType": "lookup",
    "Datatype": "boolean",
    "Formula": "=INDEX(Recipients!{{IsUnreachable}}, MATCH({{Recipient}}, Recipients!{{RecipientId}}, 0))",
    "InventedForQuestion": "q-counsel-unreachable-not-acknowledged",
    "SemanticTypeIri": "urn:effortless:pko-extension#RulebookField",
    "Name": "MessageDeliveries.RecipientIsUnreachable",
    "IsDerived": true,
    "IsWitness": true,
    "DisagreeingSubstrateCount": 0.0,
    "IsSubstrateContested": false
   },
   {
    "RulebookFieldId": "MessageDeliveries.IsAcknowledged",
    "TargetTable": "MessageDeliveries",
    "FieldName": "IsAcknowledged",
    "FieldType": "calculated",
    "Datatype": "boolean",
    "Formula": "={{AcknowledgedAt}} &lt;&gt; \"\"",
    "InventedForQuestion": "q-counsel-unreachable-not-acknowledged",
    "SemanticTypeIri": "urn:effortless:pko-extension#RulebookField",
    "Name": "MessageDeliveries.IsAcknowledged",
    "IsDerived": true,
    "IsWitness": true,
    "DisagreeingSubstrateCount": 0.0,
    "IsSubstrateContested": false
   },
   {
    "RulebookFieldId": "MessageDeliveries.InvokedExceptionCondition",
    "TargetTable": "MessageDeliveries",
    "Fie</t>
  </si>
  <si>
    <t xml:space="preserve">ldName": "InvokedExceptionCondition",
    "FieldType": "lookup",
    "Datatype": "string",
    "Formula": "=INDEX(Exceptions!{{Condition}}, MATCH({{InvokedException}}, Exceptions!{{ExceptionId}}, 0))",
    "InventedForQuestion": "q-counsel-unreachable-not-acknowledged",
    "SemanticTypeIri": "urn:effortless:pko-extension#RulebookField",
    "Name": "MessageDeliveries.InvokedExceptionCondition",
    "IsDerived": true,
    "IsWitness": true,
    "DisagreeingSubstrateCount": 0.0,
    "IsSubstrateContested": false
   },
   {
    "RulebookFieldId": "MessageDeliveries.HasUnreachableExceptionInvoked",
    "TargetTable": "MessageDeliveries",
    "FieldName": "HasUnreachableExceptionInvoked",
    "FieldType": "calculated",
    "Datatype": "boolean",
    "Formula": "={{InvokedException}} = \"exc-unreachable\"",
    "InventedForQuestion": "q-counsel-unreachable-not-acknowledged",
    "SemanticTypeIri": "urn:effortless:pko-extension#RulebookField",
    "Name": "MessageDeliveries.HasUnreachableExceptionInvoked",
    "IsDerived": true,
    "IsWitness": true,
    "DisagreeingSubstrateCount": 0.0,
    "IsSubstrateContested": false
   },
   {
    "RulebookFieldId": "MessageDeliveries.IsFabricatedAcknowledgement",
    "TargetTable": "MessageDeliveries",
    "FieldName": "IsFabricatedAcknowledgement",
    "FieldType": "calculated",
    "Datatype": "boolean",
    "Formula": "=AND({{RecipientIsUnreachable}}, {{IsAcknowledged}})",
    "InventedForQuestion": "q-counsel-unreachable-not-acknowledged",
    "SemanticTypeIri": "urn:effortless:pko-extension#RulebookField",
    "Name": "MessageDeliveries.IsFabricatedAcknowledgement",
    "IsDerived": true,
    "IsWitness": true,
    "DisagreeingSubstrateCount": 0.0,
    "IsSubstrateContested": false
   },
   {
    "RulebookFieldId": "MessageDeliveries.IsUnhandledUnreachable",
    "TargetTable": "MessageDeliveries",
    "FieldName": "IsUnhandledUnreachable",
    "FieldType": "calculated",
    "Datatype": "boolean",
    "Formula": "=AND({{RecipientIsUnreachable}}, NOT({{HasUnreachableExceptionInvoked}}))",
    "InventedForQuestion": "q-counsel-unreachable-not-acknowledged",
    "SemanticTypeIri": "urn:effortless:pko-extension#RulebookField",
    "Name": "MessageDeliveries.IsUnhandledUnreachable",
    "IsDerived": true,
    "IsWitness": true,
    "DisagreeingSubstrateCount": 0.0,
    "IsSubstrateContested": false
   },
   {
    "RulebookFieldId": "MessageDeliveries.UnreachableFailureKey",
    "TargetTable": "MessageDeliveries",
    "FieldName": "UnreachableFailureKey",
    "FieldType": "calculated",
    "Datatype": "string",
    "Formula": "=IF(OR({{IsFabricatedAcknowledgement}}, {{IsUnhandledUnreachable}}), {{ProcedureExecution}}, \"\")",
    "InventedForQuestion": "q-counsel-unreachable-not-acknowledged",
    "SemanticTypeIri": "urn:effortless:pko-extension#RulebookField",
    "Name": "MessageDeliveries.UnreachableFailureKey",
    "IsDerived": true,
    "IsWitness": true,
    "DisagreeingSubstrateCount": 0.0,
    "IsSubstrateContested": false
   },
   {
    "RulebookFieldId": "MessageDeliveries.PolicyRetentionDays",
    "TargetTable": "MessageDeliveries",
    "FieldName": "PolicyRetentionDays",
    "FieldType": "lookup",
    "Datatype": "integer",
    "Formula": "=INDEX(CommunicationPolicies!{{RetentionDays}}, MATCH({{PolicyChannel}}, CommunicationPolicies!{{CommunicationPolicyId}}, 0))",
    "InventedForQuestion": "q-counsel-retention-evidence",
    "SemanticTypeIri": "urn:effortless:pko-extension#RulebookField",
    "Name": "MessageDeliveries.PolicyRetentionDays",
    "IsDerived": true,
    "IsWitness": true,
    "DisagreeingSubstrateCount": 0.0,
    "IsSubstrateContested": false
   },
   {
    "RulebookFieldId": "MessageDeliveries.EvaluationContext",
    "TargetTable": "MessageDeliveries",
    "FieldName": "EvaluationContext",
    "FieldType": "relationship",
    "Datatype": "string",
    "Formula": null,
    "InventedForQuestion": null,
    "SemanticTypeIri": "urn:effortless:pko-extension#RulebookField",
    "Name": "MessageDeliveries.EvaluationContext",
    "IsDerived": false,
    "IsWitness": false,
    "DisagreeingSubstrateCount": 0.0,
    "IsSubstrateContested": false
   },
   {
    "RulebookFieldId": "MessageDeliveries.AsOfInstant",
    "TargetTable": "MessageDeliveries",
    "FieldName": "AsOfInstant",
    "FieldType": "lookup",
    "Datatype": "datetime",
    "Formula": "=INDEX(EvaluationContexts!{{AsOfInstant}}, MATCH({{EvaluationContext}}, EvaluationContexts!{{EvaluationContextId}}, 0))",
    "InventedForQuestion": null,
    "SemanticTypeIri": "urn:effortless:pko-extension#RulebookField",
    "Name": "MessageDeliveries.AsOfInstant",
    "IsDerived": true,
    "IsWitness": false,
    "DisagreeingSubstrateCount": 0.0,
    "IsSubstrateContested": false
   },
   {
    "RulebookFieldId": "MessageDeliveries.AgeDays",
    "TargetTable": "MessageDeliveries",
    "FieldName": "AgeDays",
    "FieldType": "calculated",
    "Datatype": "integer",
    "Formula": "=DATETIME_DIFF({{AsOfInstant}}, {{SentAt}}, \"days\")",
    "InventedForQuestion": "q-counsel-retention-evidence",
    "SemanticTypeIri": "urn:effortless:pko-extension#RulebookField",
    "Name": "MessageDeliveries.AgeDays",
    "IsDerived": true,
    "IsWitness": true,
    "DisagreeingSubstrateCount": 0.0,
    "IsSubstrateContested": false
   },
   {
    "RulebookFieldId": "MessageDeliveries.IsWithinRetentionWindow",
    "TargetTable": "MessageDeliveries",
    "FieldName": "IsWithinRetentionWindow",
    "FieldType": "calculated",
    "Datatype": "boolean",
    "Formula": "={{AgeDays}} &lt;= {{PolicyRetentionDays}}",
    "InventedForQuestion": "q-counsel-retention-evidence",
    "SemanticTypeIri": "urn:effortless:pko-extension#RulebookField",
    "Name": "MessageDeliveries.IsWithinRetentionWindow",
    "IsDerived": true,
    "IsWitness": true,
    "DisagreeingSubstrateCount": 0.0,
    "IsSubstrateContested": false
   },
   {
    "RulebookFieldId": "MessageDeliveries.HasRenderedBody",
    "TargetTable": "MessageDeliveries",
    "FieldName": "HasRenderedBody",
    "FieldType": "calculated",
    "Datatype": "boolean",
    "Formula": "={{RenderedBody}} &lt;&gt; \"\"",
    "InventedForQuestion": "q-counsel-retention-evidence",
    "SemanticTypeIri": "urn:effortless:pko-extension#RulebookField",
    "Name": "MessageDeliveries.HasRenderedBody",
    "IsDerived": true,
    "IsWitness": true,
    "DisagreeingSubstrateCount": 0.0,
    "IsSubstrateContested": false
   },
   {
    "RulebookFieldId": "MessageDeliveries.IsEvidenceRequired",
    "TargetTable": "MessageDeliveries",
    "FieldName": "IsEvidenceRequired",
    "FieldType": "calculated",
    "Datatype": "boolean",
    "Formula": "=AND({{WasActuallyTransmitted}}, {{IsWithinRetentionWindow}})",
    "InventedForQuestion": "q-counsel-retention-evidence",
    "SemanticTypeIri": "urn:effortless:pko-extension#RulebookField",
    "Name": "MessageDeliveries.IsEvidenceRequired",
    "IsDerived": true,
    "IsWitness": true,
    "DisagreeingSubstrateCount": 0.0,
    "IsSubstrateContested": false
   },
   {
    "RulebookFieldId": "MessageDeliveries.IsRetentionBreach",
    "TargetTable": "MessageDeliveries",
    "FieldName": "IsRetentionBreach",
    "FieldType": "calculated",
    "Datatype": "boolean",
    "Formula": "=AND({{IsEvidenceRequired}}, NOT({{HasRenderedBody}}))",
    "InventedForQuestion": "q-counsel-retention-evidence",
    "SemanticTypeIri": "urn:effortless:pko-extension#RulebookField",
    "Name": "MessageDeliveries.IsRetentionBreach",
    "IsDerived": true,
    "IsWitness": true,
    "DisagreeingSubstrateCount": 0.0,
    "IsSubstrateContested": false
   },
   {
    "RulebookFieldId": "MessageDeliveries.RetentionBreachExecutionKey",
    "TargetTable": "MessageDeliveries",
    "FieldName": "RetentionBreachExecutionKey",
    "FieldType": "calculated",
    "Datatype": "string",
    "Formula": "=IF({{IsRetentionBreach}}, {{ProcedureExecution}}, \"\")",
    "InventedForQuestion": "q-counsel-retention-evidence",
    "SemanticTypeIri": "urn:effortless:pko-extension#RulebookField",
    "Name": "MessageDeliveries.RetentionBreachExecutionKey",
    "IsDerived": true,
    "IsWitness": true,
    "DisagreeingSubstrateCount": 0.0,
    "IsSubstrateContested": false
   },
   {
    "RulebookFieldId": "MessageDeliveries.SendingStepExecutionStep",
    "TargetTable": "MessageDeliveries",
    "FieldName": "SendingStepExecutionStep",
    "FieldType": "lookup",
    "Datatype": "string",
    "Formula": "=INDEX(StepExecutions!{{Step}}, MATCH({{StepExecution}}, StepExecutions!{{StepExecutionId}}, 0))",
    "InventedForQuestion": "q-counsel-legal-review-gated-send",
    "SemanticTypeIri": "urn:effortless:pko-extension#RulebookField",
    "Name": "MessageDeliveries.SendingStepExecutionStep",
    "IsDerived": true,
    "IsWitness": true,
    "DisagreeingSubstrateCount": 0.0,
    "IsSubstrateContested": false
   },
   {
    "RulebookFieldId": "MessageDeliveries.ExecutionHasClearedLegalReview",
    "TargetTable": "MessageDeliveries",
    "FieldName": "ExecutionHasClearedLegalReview",
    "FieldType": "lookup",
    "Datatype": "boolean",
    "Formula": "=INDEX(ProcedureExecutions!{{HasClearedLegalReview}}, MATCH({{ProcedureExecution}}, ProcedureExecutions!{{ProcedureExecutionId}}, 0))",
    "InventedForQuestion": "q-counsel-legal-review-gated-send",
    "SemanticTypeIri": "urn:effortless:pko-extension#RulebookField",
    "Name": "MessageDeliveries.ExecutionHasClearedLegalReview",
    "IsDerived": true,
    "IsWitness": true,
    "DisagreeingSubstrateCount": 0.0,
    "IsSubstrateContested": false
   },
   {
    "RulebookFieldId": "MessageDeliveries.IsUnreviewedSend",
    "TargetTable": "MessageDeliveries",
    "FieldName": "IsUnreviewedSend",
    "FieldType": "calculated",
    "Datatype": "boolean",
    "Formula": "=AND({{WasActuallyTransmitted}}, NOT({{ExecutionHasClearedLegalReview}}))",
    "InventedForQuestion": "q-counsel-legal-review-gated-send",
    "SemanticTypeIri": "urn:effortless:pko-extension#RulebookField",
    "Name": "MessageDeliveries.IsUnreviewedSend",
    "IsDerived": true,
    "IsWitness": true,
    "DisagreeingSubstrateCount": 0.0,
    "IsSubstrateContested": false
   },
   {
    "RulebookFieldId": "MessageDeliveries.RenderedBodyLength",
    "TargetTable": "MessageDeliveries",
    "FieldName": "RenderedBodyLength",
    "FieldType": "calculated",
    "Datatype": "integer",
    "Formula": "=LEN({{RenderedBody}})",
    "InventedForQuestion": "q-comms-oversized-sms",
    "SemanticTypeIri": "urn:effortless:pko-extension#RulebookField",
    "Name": "MessageDeliveries.RenderedBodyLength",
    "IsDerived": true,
    "IsWitness": true,
    "DisagreeingSubstrateCount": 0.0,
    "IsSubstrateContested": false
   },
   {
    "RulebookFieldId": "MessageDeliveries.PolicyMaxMessageLengthAtSend",
    "TargetTable": "MessageDeliveries",
    "FieldName": "PolicyMaxMessageLengthAtSend",
    "FieldType": "lookup",
    "Datatype": "integer",
    "Formula": "=INDEX(CommunicationPolicies!{{MaxMessageLength}}, MATCH({{PolicyChannel}}, CommunicationPolicies!{{CommunicationPolicyId}}, 0))",
    "InventedForQuestion": "q-comms-oversized-sms",
    "SemanticTypeIri": "urn:effortless:pko-extension#RulebookField",
    "Name": "MessageDeliveries.PolicyMaxMessageLengthAtSend",
    "IsDerived": true,
    "IsWitness": true,
    "DisagreeingSubstrateCount": 0.0,
    "IsSubstrateContested": false
   },
   {
    "RulebookFieldId": "MessageDeliveries.SegmentCount",
    "TargetTable": "MessageDeliveries",
    "FieldName": "SegmentCount",
    "FieldType": "calculated",
    "Datatype": "integer",
    "Formula": "=IF({{RenderedBodyLength}} = 0, 0, IF({{RenderedBodyLength}} &lt;= {{PolicyMaxMessageLengthAtSend}}, 1, ROUNDUP({{RenderedBodyLength}} / {{PolicyMaxMessageLengthAtSend}}, 0)))",
    "InventedForQuestion": "q-comms-oversized-sms",
    "SemanticTypeIri": "urn:effortless:pko-extension#RulebookField",
    "Name": "MessageDeliveries.SegmentCount",
    "IsDerived": true,
    "IsWitness": true,
    "DisagreeingSubstrateCount": 0.0,
    "IsSubstrateContested": false
   },
   {
    "RulebookFieldId": "MessageDeliveries.PolicyMaxSegmentsAtSend",
    "TargetTable": "MessageDeliveries",
    "FieldName": "PolicyMaxSegmentsAtSend",
    "FieldType": "lookup",
    "Datatype": "integer",
    "Formula": "=INDEX(CommunicationPolicies!{{MaxSegments}}, MATCH({{PolicyChannel}}, CommunicationPolicies!{{CommunicationPolicyId}}, 0))",
    "InventedForQuestion": "q-comms-oversized-sms",
    "SemanticTypeIri": "urn:effortless:pko-extension#RulebookField",
    "Name": "MessageDeliveries.PolicyMaxSegmentsAtSend",
    "IsDerived": true,
    "IsWitness": true,
    "DisagreeingSubstrateCount": 0.0,
    "IsSubstrateContested": false
   },
   {
    "RulebookFieldId": "MessageDeliveries.IsOverSegmentLimit",
    "TargetTable": "MessageDeliveries",
    "FieldName": "IsOverSegmentLimit",
    "FieldType": "calculated",
    "Datatype": "boolean",
    "Formula": "=AND({{WasActuallyTransmitted}}, {{SegmentCount}} &gt; {{PolicyMaxSegmentsAtSend}})",
    "InventedForQuestion": "q-comms-oversized-sms",
    "SemanticTypeIri": "urn:effortless:pko-extension#RulebookField",
    "Name": "MessageDeliveries.IsOverSegmentLimit",
    "IsDerived": true,
    "IsWitness": true,
    "DisagreeingSubstrateCount": 0.0,
    "IsSubstrateContested": false
   },
   {
    "RulebookFieldId": "MessageDeliveries.TemplateHasValidApproval",
    "TargetTable": "MessageDeliveries",
    "FieldName": "TemplateHasValidApproval",
    "FieldType": "lookup",
    "Datatype": "boolean",
    "Formula": "=INDEX(MessageTemplates!{{HasValidApproval}}, MATCH({{MessageTemplate}}, MessageTemplates!{{MessageTemplateId}}, 0))",
    "InventedForQuestion": "q-comms-approval-authority",
    "SemanticTypeIri": "urn:effortless:pko-extension#RulebookField",
    "Name": "MessageDeliveries.TemplateHasValidApproval",
    "IsDerived": true,
    "IsWitness": true,
    "DisagreeingSubstrateCount": 0.0,
    "IsSubstrateContested": false
   },
   {
    "RulebookFieldId": "MessageDeliveries.IsUnapprovedSend",
    "TargetTable": "MessageDeliveries",
    "FieldName": "IsUnapprovedSend",
    "FieldType": "calculated",
    "Datatype": "boolean",
    "Formula": "=AND({{WasActuallyTransmitted}}, NOT({{TemplateHasValidApproval}}))",
    "InventedForQuestion": "q-comms-approval-authority",
    "SemanticTypeIri": "urn:effortless:pko-extension#RulebookField",
    "Name": "MessageDeliveries.IsUnapprovedSend",
    "IsDerived": true,
    "IsWitness": true,
    "DisagreeingSubstrateCount": 0.0,
    "IsSubstrateContested": false
   },
   {
    "RulebookFieldId": "MessageDeliveries.PolicyRequiredOptOutPhrase",
    "TargetTable": "MessageDeliveries",
    "FieldName": "PolicyRequiredOptOutPhrase",
    "FieldType": "lookup",
    "Datatype": "string",
    "Formula": "=INDEX(CommunicationPolicies!{{RequiredOptOutPhrase}}, MATCH({{PolicyChannel}}, CommunicationPolicies!{{CommunicationPolicyId}}, 0))",
    "InventedForQuestion": "q-comms-optout-present",
    "SemanticTypeIri": "urn:effortless:pko-extension#RulebookField",
    "Name": "MessageDeliveries.PolicyRequiredOptOutPhrase",
    "IsDerived": true,
    "IsWitness": true,
    "DisagreeingSubstrateCount": 0.0,
    "IsSubstrateContested": false
   },
   {
    "RulebookFieldId": "MessageDeliveries.PolicyRequiresOptOut",
    "TargetTable": "MessageDeliveries",
    "FieldName": "PolicyRequiresOptOut",
    "FieldType": "calculated",
    "Datatype": "boolean",
    "Formula": "={{PolicyRequiredOptOutPhrase}} &lt;&gt; \"\"",
    "InventedForQuestion": "q-comms-optout-present",
    "SemanticTypeIri": "urn:effortless:pko-extension#RulebookField",
    "Name": "MessageDeliveries.PolicyRequiresOptOut",
    "IsDerived": true,
    "IsWitness": true,
    "DisagreeingSubstrateCount": 0.0,
    "IsSubstrateContested": false
   },
   {
    "RulebookFieldId": "MessageDeliveries.OptOutPhrasePosition",
    "TargetTable": "MessageDeliveries",
    "FieldName": "OptOutPhrasePosition",
    "FieldType": "calculated",
    "Datatype": "integer",
    "Formula": "=FIND({{PolicyRequiredOptOutPhrase}}, {{RenderedBody}})",
    "InventedForQuestion": "q-comms-optout-present",
    "SemanticTypeIri": "urn:effortless:pko-extension#RulebookField",
    "Name": "MessageDeliveries.OptOutPhrasePosition",
    "IsDerived": true,
    "IsWitness": true,
    "DisagreeingSubstrateCount": 1.0,
    "IsSubstrateContested": true
   },
   {
    "RulebookFieldId": "MessageDeliveries.HasOptOutPhrase",
    "TargetTable": "MessageDeliveries",
    "FieldName": "HasOptOutPhrase",
    "FieldType": "calculated",
    "Datatype": "boolean",
    "Formula": "={{OptOutPhrasePosition}} &gt; 0",
    "InventedForQuestion": "q-comms-optout-present",
    "SemanticTypeIri": "urn:effortless:pko-extension#RulebookField",
    "Name": "MessageDeliveries.HasOptOutPhrase",
    "IsDerived": true,
    "IsWitness": true,
    "DisagreeingSubstrateCount": 1.0,
    "IsSubstrateContested": true
   },
   {
    "RulebookFieldId": "MessageDeliveries.IsOptOutInFirstSegment",
    "TargetTable": "MessageDeliveries",
    "FieldName": "IsOptOutInFirstSegment",
    "FieldType": "calculated",
    "Datatype": "boolean",
    "Formula": "=AND({{HasOptOutPhrase}}, {{OptOutPhrasePosition}} &lt;= {{PolicyMaxMessageLengthAtSend}})",
    "InventedForQuestion": "q-comms-optout-present",
    "SemanticTypeIri": "urn:effortless:pko-extension#RulebookField",
    "Name": "MessageDeliveries.IsOptOutInFirstSegment",
    "IsDerived": true,
    "IsWitness": true,
    "DisagreeingSubstrateCount": 1.0,
    "IsSubstrateContested": true
   },
   {
    "RulebookFieldId": "MessageDeliveries.IsMissingRequiredOptOut",
    "TargetTable": "MessageDeliveries",
    "FieldName": "IsMissingRequiredOptOut",
    "FieldType": "calculated",
    "Datatype": "boolean",
    "Formula": "=AND({{WasActuallyTransmitted}}, AND({{PolicyRequiresOptOut}}, NOT({{HasOptOutPhrase}})))",
    "InventedForQuestion": "q-comms-optout-present",
    "SemanticTypeIri": "urn:effortless:pko-extension#RulebookField",
    "Name": "MessageDeliveries.IsMissingRequiredOptOut",
    "IsDerived": true,
    "IsWitness": true,
    "DisagreeingSubstrateCount": 1.0,
    "IsSubstrateContested": true
   },
   {
    "RulebookFieldId": "MessageDeliveries.IsOptOutAtRiskOfTruncation",
    "TargetTable": "MessageDeliveries",
    "FieldName": "IsOptOutAtRiskOfTruncation",
    "FieldType": "calculated",
    "Datatype": "boolean",
    "Formula": "=AND({{WasActuallyTransmitted}}, AND({{PolicyRequiresOptOut}}, AND({{HasOptOutPhrase}}, NOT({{IsOptOutInFirstSegment}}))))",
    "InventedForQuestion": "q-comms-optout-present",
    "SemanticTypeIri": "urn:effortless:pko-extension#RulebookField",
    "Name": "MessageDeliveries.IsOptOutAtRiskOfTruncation",
    "IsDerived": true,
    "IsWitness": true,
    "DisagreeingSubstrateCount": 1.0,
    "IsSubstrateContested": true
   },
   {
    "RulebookFieldId": "MessageDeliveries.IsFailedDelivery",
    "TargetTable": "MessageDeliveries",
    "FieldName": "IsFailedDelivery",
    "FieldType": "calculated",
    "Datatype": "boolean",
    "Formula": "=OR({{DeliveryStatus}} = \"Failed\", {{DeliveryStatus}} = \"Bounced\")",
    "InventedForQuestion": "q-comms-deliverability",
    "SemanticTypeIri": "urn:effortless:pko-extension#RulebookField",
    "Name": "MessageDeliveries.IsFailedDelivery",
    "IsDerived": true,
    "IsWitness": true,
    "DisagreeingSubstrateCount": 0.0,
    "IsSubstrateContested": false
   },
   {
    "RulebookFieldId": "MessageDeliveries.IsSuppressed",
    "TargetTable": "MessageDeliveries",
    "FieldName": "IsSuppressed",
    "FieldType": "calculated",
    "Datatype": "boolean",
    "Formula": "={{DeliveryStatus}} = \"Suppressed\"",
    "InventedForQuestion": "q-comms-deliverability",
    "SemanticTypeIri": "urn:effortless:pko-extension#RulebookField",
    "Name": "MessageDeliveries.IsSuppressed",
    "IsDerived": true,
    "IsWitness": true,
    "DisagreeingSubstrateCount": 0.0,
    "IsSubstrateContested": false
   },
   {
    "RulebookFieldId": "MessageDeliveries.IsTriaged",
    "TargetTable": "MessageDeliveries",
    "FieldName": "IsTriaged",
    "FieldType": "calculated",
    "Datatype": "boolean",
    "Formula": "={{InvokedException}} &lt;&gt; \"\"",
    "InventedForQuestion": "q-comms-deliverability",
    "SemanticTypeIri": "urn:effortless:pko-extension#RulebookField",
    "Name": "MessageDeliveries.IsTriaged",
    "IsDerived": true,
    "IsWitness": true,
    "DisagreeingSubstrateCount": 0.0,
    "IsSubstrateContested": false
   },
   {
    "RulebookFieldId": "MessageDeliveries.IsAbandonedFailure",
    "TargetTable": "MessageDeliveries",
    "FieldName": "IsAbandonedFailure",
    "FieldType": "calculated",
    "Datatype": "boolean",
    "Formula": "=AND({{IsFailedDelivery}}, NOT({{IsTriaged}}))",
    "InventedForQuestion": "q-comms-deliverability",
    "SemanticTypeIri": "urn:effortless:pko-extension#RulebookField",
    "Name": "MessageDeliveries.IsAbandonedFailure",
    "IsDerived": true,
    "IsWitness": true,
    "DisagreeingSubstrateCount": 0.0,
    "IsSubstrateContested": false
   },
   {
    "RulebookFieldId": "MessageDeliveries.AbandonedFailureExecutionKey",
    "TargetTable": "MessageDeliveries",
    "FieldName": "AbandonedFailureExecutionKey",
    "FieldType": "calculated",
    "Datatype": "string",
    "Formula": "=IF({{IsAbandonedFailure}}, {{ProcedureExecution}}, \"\")",
    "InventedForQuestion": "q-comms-deliverability",
    "SemanticTypeIri": "urn:effortless:pko-extension#RulebookField",
    "Name": "MessageDeliveries.AbandonedFailureExecutionKey",
    "IsDerived": true,
    "IsWitness": true,
    "DisagreeingSubstrateCount": 0.0,
    "IsSubstrateContested": false
   },
   {
    "RulebookFieldId": "MessageDeliveries.ReachedExecutionKey",
    "TargetTable": "MessageDeliveries",
    "FieldName": "ReachedExecutionKey",
    "FieldType": "calculated",
    "Datatype": "string",
    "Formula": "=IF({{DeliveryStatus}} = \"Delivered\", {{ProcedureExecution}}, \"\")",
    "InventedForQuestion": "q-comms-deliverability",
    "SemanticTypeIri": "urn:effortless:pko-extension#RulebookField",
    "Name": "MessageDeliveries.ReachedExecutionKey",
    "IsDerived": true,
    "IsWitness": true,
    "DisagreeingSubstrateCount": 0.0,
    "IsSubstrateContested": false
   },
   {
    "RulebookFieldId": "MessageDeliveries.TemplateWasSendable",
    "TargetTable": "MessageDeliveries",
    "FieldName": "TemplateWasSendable",
    "FieldType": "lookup",
    "Datatype": "boolean",
    "Formula": "=INDEX(MessageTemplates!{{IsSendableUnderApproval}}, MATCH({{MessageTemplate}}, MessageTemplates!{{MessageTemplateId}}, 0))",
    "InventedForQuestion": "q-comms-template-drift",
    "SemanticTypeIri": "urn:effortless:pko-extension#RulebookField",
    "Name": "MessageDeliveries.TemplateWasSendable",
    "IsDerived": true,
    "IsWitness": true,
    "DisagreeingSubstrateCount": 0.0,
    "IsSubstrateContested": false
   },
   {
    "RulebookFieldId": "MessageDeliveries.IsDriftedSend",
    "TargetTable": "MessageDeliveries",
    "FieldName": "IsDriftedSend",
    "FieldType": "calculated",
    "Datatype": "boolean",
    "Formula": "=AND({{WasActuallyTransmitted}}, NOT({{TemplateWasSendable}}))",
    "InventedForQuestion": "q-comms-template-drift",
    "SemanticTypeIri": "urn:effortless:pko-extension#RulebookField",
    "Name": "MessageDeliveries.IsDriftedSend",
    "IsDerived": true,
    "IsWitness": true,
    "DisagreeingSubstrateCount": 0.0,
    "IsSubstrateContested": false
   },
   {
    "RulebookFieldId": "MessageDeliveries.DriftedSendTemplateKey",
    "TargetTable": "MessageDeliveries",
    "FieldName": "DriftedSendTemplateKey",
    "FieldType": "calculated",
    "Datatype": "string",
    "Formula": "=IF({{IsDriftedSend}}, {{MessageTemplate}}, \"\")",
    "InventedForQuestion": "q-comms-template-drift",
    "SemanticTypeIri": "urn:effortless:pko-extension#RulebookField",
    "Name": "MessageDeliveries.DriftedSendTemplateKey",
    "IsDerived": true,
    "IsWitness": true,
    "DisagreeingSubstrateCount": 0.0,
    "IsSubstrateContested": false
   },
   {
    "RulebookFieldId": "MessageDeliveries.WasSentOutsideBusinessHours",
    "TargetTable": "MessageDeliveries",
    "FieldName": "WasSentOutsideBusinessHours",
    "FieldType": "calculated",
    "Datatype": "boolean",
    "Formula": "=OR({{SentAtLocalHour}} &lt; 8, {{SentAtLocalHour}} &gt; 18)",
    "InventedForQuestion": "q2-comms-message-nobody-answered",
    "SemanticTypeIri": "urn:effortless:pko-extension#RulebookField",
    "Name": "MessageDeliveries.WasSentOutsideBusinessHours",
    "IsDerived": true,
    "IsWitness": true,
    "DisagreeingSubstrateCount": 0.0,
    "IsSubstrateContested": false
   },
   {
    "RulebookFieldId": "MessageDeliveries.WasDeliveredAndUnanswered",
    "TargetTable": "MessageDeliveries",
    "FieldName": "WasDeliveredAndUnanswered",
    "FieldType": "calculated",
    "Datatype": "boolean",
    "Formula": "=AND({{WasActuallyTransmitted}}, NOT({{IsAcknowledged}}))",
    "InventedForQuestion": "q2-comms-message-nobody-answered",
    "SemanticTypeIri": "urn:effortless:pko-extension#RulebookField",
    "Name": "MessageDeliveries.WasDeliveredAndUnanswered",
    "IsDerived": true,
    "IsWitness": true,
    "DisagreeingSubstrateCount": 0.0,
    "IsSubstrateContested": false
   },
   {
    "RulebookFieldId": "MessageDeliveries.IsPoorlyTimedUnanswered",
    "TargetTable": "MessageDeliveries",
    "FieldName": "IsPoorlyTimedUnanswered",
    "FieldType": "calculated",
    "Datatype": "boolean",
    "Formula": "=AND({{WasDeliveredAndUnanswered}}, {{WasSentOutsideBusinessHours}})",
    "InventedForQuestion": "q2-comms-message-nobody-answered",
    "SemanticTypeIri": "urn:effortless:pko-extension#RulebookField",
    "Name": "MessageDeliveries.IsPoorlyTimedUnanswered",
    "IsDerived": true,
    "IsWitness": true,
    "DisagreeingSubstrateCount": 0.0,
    "IsSubstrateContested": false
   },
   {
    "RulebookFieldId": "MessageDeliveries.IsWellTimedUnanswered",
    "TargetTable": "MessageDeliveries",
    "FieldName": "IsWellTimedUnanswered",
    "FieldType": "calculated",
    "Datatype": "boolean",
    "Formula": "=AND({{WasDeliveredAndUnanswered}}, NOT({{WasSentOutsideBusinessHours}}))",
    "InventedForQuestion": "q2-comms-message-nobody-answered",
    "SemanticTypeIri": "urn:effortless:pko-extension#RulebookField",
    "Name": "MessageDeliveries.IsWellTimedUnanswered",
    "IsDerived": true,
    "IsWitness": true,
    "DisagreeingSubstrateCount": 0.0,
    "IsSubstrateContested": false
   },
   {
    "RulebookFieldId": "MessageDeliveries.UnansweredTemplateKey",
    "TargetTable": "MessageDeliveries",
    "FieldName": "UnansweredTemplateKey",
    "FieldType": "calculated",
    "Datatype": "string",
    "Formula": "=IF({{WasDeliveredAndUnanswered}}, {{MessageTemplate}}, \"\")",
    "InventedForQuestion": "q2-comms-message-nobody-answered",
    "SemanticTypeIri": "urn:effortless:pko-extension#RulebookField",
    "Name": "MessageDeliveries.UnansweredTemplateKey",
    "IsDerived": true,
    "IsWitness": true,
    "DisagreeingSubstrateCount": 0.0,
    "IsSubstrateContested": false
   },
   {
    "RulebookFieldId": "MessageDeliveries.TransmittedTemplateKey",
    "TargetTable": "MessageDeliveries",
    "FieldName": "TransmittedTemplateKey",
    "FieldType": "calculated",
    "Datatype": "string",
    "Formula": "=IF({{WasActuallyTransmitted}}, {{MessageTemplate}}, \"\")",
    "InventedForQuestion": "q2-comms-message-nobody-answered",
    "SemanticTypeIri": "urn:effortless:pko-extension#RulebookField",
    "Name": "MessageDeliveries.TransmittedTemplateKey",
    "IsDerived": true,
    "IsWitness": true,
    "DisagreeingSubstrateCount": 0.0,
    "IsSubstrateContested": false
   },
   {
    "RulebookFieldId": "MessageDeliveries.ApprovingAgentAtSend",
    "TargetTable": "MessageDeliveries",
    "FieldName": "ApprovingAgentAtSend",
    "FieldType": "raw",
    "Datatype": "string",
    "Formula": null,
    "InventedForQuestion": "q2-comms-freeze-what-i-approved",
    "SemanticTypeIri": "urn:effortless:pko-extension#RulebookField",
    "Name": "MessageDeliveries.ApprovingAgentAtSend",
    "IsDerived": false,
    "IsWitness": true,
    "DisagreeingSubstrateCount": 0.0,
    "IsSubstrateContested": false
   },
   {
    "RulebookFieldId": "MessageDeliveries.ApprovingRoleAtSend",
    "TargetTable": "MessageDeliveries",
    "FieldName": "ApprovingRoleAtSend",
    "FieldType": "raw",
    "Datatype": "string",
    "Formula": null,
    "InventedForQuestion": "q2-comms-freeze-what-i-approved",
    "SemanticTypeIri": "urn:effortless:pko-extension#RulebookField",
    "Name": "MessageDeliveries.ApprovingRoleAtSend",
    "IsDerived": false,
    "IsWitness": true,
    "DisagreeingSubstrateCount": 0.0,
    "IsSubstrateContested": false
   },
   {
    "RulebookFieldId": "MessageDeliveries.ApprovalDecidedAtSend",
    "TargetTable": "MessageDeliveries",
    "FieldName": "ApprovalDecidedAtSend",
    "FieldType": "raw",
    "Datatype": "datetime",
    "Formula": null,
    "InventedForQuestion": "q2-comms-freeze-what-i-approved",
    "SemanticTypeIri": "urn:effortless:pko-extension#RulebookField",
    "Name": "MessageDeliveries.ApprovalDecidedAtSend",
    "IsDerived": false,
    "IsWitness": true,
    "DisagreeingSubstrateCount": 0.0,
    "IsSubstrateContested": false
   },
   {
    "RulebookFieldId": "MessageDeliveries.ApprovalPrecededSend",
    "TargetTable": "MessageDeliveries",
    "FieldName": "ApprovalPrecededSend",
    "FieldType": "calculated",
    "Datatype": "boolean",
    "Formula": "=AND({{ApprovalDecidedAtSend}} &lt;&gt; \"\", {{SentAt}} &gt; {{ApprovalDecidedAtSend}})",
    "InventedForQuestion": "q2-comms-freeze-what-i-approved",
    "SemanticTypeIri": "urn:effortless:pko-extension#RulebookField",
    "Name": "MessageDeliveries.ApprovalPrecededSend",
    "IsDerived": true,
    "IsWitness": true,
    "DisagreeingSubstrateCount": 0.0,
    "IsSubstrateContested": false
   },
   {
    "RulebookFieldId": "MessageDeliveries.HasFrozenApprovalEvidence",
    "TargetTable": "MessageDeliveries",
    "FieldName": "HasFrozenApprovalEvidence",
    "FieldType": "calculated",
    "Datatype": "boolean",
    "Formula": "=AND({{ApprovingAgentAtSend}} &lt;&gt; \"\", {{ApprovalDecidedAtSend}} &lt;&gt; \"\")",
    "InventedForQuestion": "q2-comms-freeze-what-i-approved",
    "SemanticTypeIri": "urn:effortless:pko-extension#RulebookField",
    "Name": "MessageDeliveries.HasFrozenApprovalEvidence",
    "IsDerived": true,
    "IsWitness": true,
    "DisagreeingSubstrateCount": 0.0,
    "IsSubstrateContested": false
   },
   {
    "RulebookFieldId": "MessageDeliveries.ProvenanceIsLiveDerived",
    "TargetTable": "MessageDeliveries",
    "FieldName": "ProvenanceIsLiveDerived",
    "FieldType": "calculated",
    "Datatype": "boolean",
    "Formula": "=NOT({{HasFrozenApprovalEvidence}})",
    "InventedForQuestion": "q2-comms-freeze-what-i-approved",
    "SemanticTypeIri": "urn:effortless:pko-extension#RulebookField",
    "Name": "MessageDeliveries.ProvenanceIsLiveDerived",
    "IsDerived": true,
    "IsWitness": true,
    "DisagreeingSubstrateCount": 0.0,
    "IsSubstrateContested": false
   },
   {
    "RulebookFieldId": "MessageDeliveries.CurrentLastApprovalAt",
    "TargetTable": "MessageDeliveries",
    "FieldName": "CurrentLastApprovalAt",
    "FieldType": "lookup",
    "Datatype": "datetime",
    "Formula": "=INDEX(MessageTemplates!{{LastApprovalAt}}, MATCH({{MessageTemplate}}, MessageTemplates!{{MessageTemplateId}}, 0))",
    "InventedForQuestion": "q2-comms-freeze-what-i-approved",
    "SemanticTypeIri": "urn:effortless:pko-extension#RulebookField",
    "Name": "MessageDeliveries.CurrentLastApprovalAt",
    "IsDerived": true,
    "IsWitness": true,
    "DisagreeingSubstrateCount": 0.0,
    "IsSubstrateContested": false
   },
   {
    "RulebookFieldId": "MessageDeliveries.TemplateReapprovedSinceSend",
    "TargetTable": "MessageDeliveries",
    "FieldName": "TemplateReapprovedSinceSend",
    "FieldType": "calculated",
    "Datatype": "boolean",
    "Formula": "=AND({{CurrentLastApprovalAt}} &lt;&gt; \"\", {{CurrentLastApprovalAt}} &gt; {{SentAt}})",
    "InventedForQuestion": "q2-comms-freeze-what-i-approved",
    "SemanticTypeIri": "urn:effortless:pko-extension#RulebookField",
    "Name": "MessageDeliveries.TemplateReapprovedSinceSend",
    "IsDerived": true,
    "IsWitness": true,
    "DisagreeingSubstrateCount": 0.0,
    "IsSubstrateContested": false
   },
   {
    "RulebookFieldId": "MessageDeliveries.IsUnprovableApprovalClaim",
    "TargetTable": "MessageDeliveries",
    "FieldName": "IsUnprovableApprovalClaim",
    "FieldType": "calculated",
    "Datatype": "boolean",
    "Formula": "=AND({{ProvenanceIsLiveDerived}}, AND({{TemplateReapprovedSinceSend}}, {{TemplateHasValidApproval}}))",
    "InventedFo</t>
  </si>
  <si>
    <t xml:space="preserve">rQuestion": "q2-comms-freeze-what-i-approved",
    "SemanticTypeIri": "urn:effortless:pko-extension#RulebookField",
    "Name": "MessageDeliveries.IsUnprovableApprovalClaim",
    "IsDerived": true,
    "IsWitness": true,
    "DisagreeingSubstrateCount": 0.0,
    "IsSubstrateContested": false
   },
   {
    "RulebookFieldId": "MessageDeliveries.ReminderSentAt",
    "TargetTable": "MessageDeliveries",
    "FieldName": "ReminderSentAt",
    "FieldType": "raw",
    "Datatype": "datetime",
    "Formula": null,
    "InventedForQuestion": "q2-publisher-obligation-after-send",
    "SemanticTypeIri": "urn:effortless:pko-extension#RulebookField",
    "Name": "MessageDeliveries.ReminderSentAt",
    "IsDerived": false,
    "IsWitness": true,
    "DisagreeingSubstrateCount": 0.0,
    "IsSubstrateContested": false
   },
   {
    "RulebookFieldId": "MessageDeliveries.ReminderCount",
    "TargetTable": "MessageDeliveries",
    "FieldName": "ReminderCount",
    "FieldType": "raw",
    "Datatype": "integer",
    "Formula": null,
    "InventedForQuestion": "q2-publisher-obligation-after-send",
    "SemanticTypeIri": "urn:effortless:pko-extension#RulebookField",
    "Name": "MessageDeliveries.ReminderCount",
    "IsDerived": false,
    "IsWitness": true,
    "DisagreeingSubstrateCount": 0.0,
    "IsSubstrateContested": false
   },
   {
    "RulebookFieldId": "MessageDeliveries.HasSentReminder",
    "TargetTable": "MessageDeliveries",
    "FieldName": "HasSentReminder",
    "FieldType": "calculated",
    "Datatype": "boolean",
    "Formula": "={{ReminderCount}} &gt; 0",
    "InventedForQuestion": "q2-publisher-obligation-after-send",
    "SemanticTypeIri": "urn:effortless:pko-extension#RulebookField",
    "Name": "MessageDeliveries.HasSentReminder",
    "IsDerived": true,
    "IsWitness": true,
    "DisagreeingSubstrateCount": 0.0,
    "IsSubstrateContested": false
   },
   {
    "RulebookFieldId": "MessageDeliveries.AcknowledgementIsOutstanding",
    "TargetTable": "MessageDeliveries",
    "FieldName": "AcknowledgementIsOutstanding",
    "FieldType": "calculated",
    "Datatype": "boolean",
    "Formula": "=AND({{WasActuallyTransmitted}}, AND({{IsEvidenceRequired}}, NOT({{IsAcknowledged}})))",
    "InventedForQuestion": "q2-publisher-obligation-after-send",
    "SemanticTypeIri": "urn:effortless:pko-extension#RulebookField",
    "Name": "MessageDeliveries.AcknowledgementIsOutstanding",
    "IsDerived": true,
    "IsWitness": true,
    "DisagreeingSubstrateCount": 0.0,
    "IsSubstrateContested": false
   },
   {
    "RulebookFieldId": "MessageDeliveries.OutstandingAgeDays",
    "TargetTable": "MessageDeliveries",
    "FieldName": "OutstandingAgeDays",
    "FieldType": "calculated",
    "Datatype": "integer",
    "Formula": "=IF({{AcknowledgementIsOutstanding}}, DATETIME_DIFF({{AsOfInstant}}, {{SentAt}}, \"days\"), 0)",
    "InventedForQuestion": "q2-publisher-obligation-after-send",
    "SemanticTypeIri": "urn:effortless:pko-extension#RulebookField",
    "Name": "MessageDeliveries.OutstandingAgeDays",
    "IsDerived": true,
    "IsWitness": true,
    "DisagreeingSubstrateCount": 0.0,
    "IsSubstrateContested": false
   },
   {
    "RulebookFieldId": "MessageDeliveries.IsUnchasedAcknowledgement",
    "TargetTable": "MessageDeliveries",
    "FieldName": "IsUnchasedAcknowledgement",
    "FieldType": "calculated",
    "Datatype": "boolean",
    "Formula": "=AND({{AcknowledgementIsOutstanding}}, AND({{OutstandingAgeDays}} &gt; 7, NOT({{HasSentReminder}})))",
    "InventedForQuestion": "q2-publisher-obligation-after-send",
    "SemanticTypeIri": "urn:effortless:pko-extension#RulebookField",
    "Name": "MessageDeliveries.IsUnchasedAcknowledgement",
    "IsDerived": true,
    "IsWitness": true,
    "DisagreeingSubstrateCount": 0.0,
    "IsSubstrateContested": false
   },
   {
    "RulebookFieldId": "MessageDeliveries.IsExhaustedFollowUp",
    "TargetTable": "MessageDeliveries",
    "FieldName": "IsExhaustedFollowUp",
    "FieldType": "calculated",
    "Datatype": "boolean",
    "Formula": "=AND({{AcknowledgementIsOutstanding}}, {{ReminderCount}} &gt;= 3)",
    "InventedForQuestion": "q2-publisher-obligation-after-send",
    "SemanticTypeIri": "urn:effortless:pko-extension#RulebookField",
    "Name": "MessageDeliveries.IsExhaustedFollowUp",
    "IsDerived": true,
    "IsWitness": true,
    "DisagreeingSubstrateCount": 0.0,
    "IsSubstrateContested": false
   },
   {
    "RulebookFieldId": "MessageDeliveries.NeedsHumanEscalation",
    "TargetTable": "MessageDeliveries",
    "FieldName": "NeedsHumanEscalation",
    "FieldType": "calculated",
    "Datatype": "boolean",
    "Formula": "=AND({{IsExhaustedFollowUp}}, NOT({{HasUnreachableExceptionInvoked}}))",
    "InventedForQuestion": "q2-publisher-obligation-after-send",
    "SemanticTypeIri": "urn:effortless:pko-extension#RulebookField",
    "Name": "MessageDeliveries.NeedsHumanEscalation",
    "IsDerived": true,
    "IsWitness": true,
    "DisagreeingSubstrateCount": 0.0,
    "IsSubstrateContested": false
   },
   {
    "RulebookFieldId": "MessageDeliveries.SemanticTypeIri",
    "TargetTable": "MessageDeliveries",
    "FieldName": "SemanticTypeIri",
    "FieldType": "raw",
    "Datatype": "string",
    "Formula": null,
    "InventedForQuestion": null,
    "SemanticTypeIri": "urn:effortless:pko-extension#RulebookField",
    "Name": "MessageDeliveries.SemanticTypeIri",
    "IsDerived": false,
    "IsWitness": false,
    "DisagreeingSubstrateCount": 0.0,
    "IsSubstrateContested": false
   },
   {
    "RulebookFieldId": "TemplateApprovals.TemplateApprovalId",
    "TargetTable": "TemplateApprovals",
    "FieldName": "TemplateApprovalId",
    "FieldType": "raw",
    "Datatype": "string",
    "Formula": null,
    "InventedForQuestion": null,
    "SemanticTypeIri": "urn:effortless:pko-extension#RulebookField",
    "Name": "TemplateApprovals.TemplateApprovalId",
    "IsDerived": false,
    "IsWitness": false,
    "DisagreeingSubstrateCount": 0.0,
    "IsSubstrateContested": false
   },
   {
    "RulebookFieldId": "TemplateApprovals.Name",
    "TargetTable": "TemplateApprovals",
    "FieldName": "Name",
    "FieldType": "calculated",
    "Datatype": "string",
    "Formula": "={{MessageTemplate}} &amp; \" / \" &amp; {{Decision}} &amp; \" / \" &amp; {{DecidedAt}}",
    "InventedForQuestion": null,
    "SemanticTypeIri": "urn:effortless:pko-extension#RulebookField",
    "Name": "TemplateApprovals.Name",
    "IsDerived": true,
    "IsWitness": false,
    "DisagreeingSubstrateCount": 0.0,
    "IsSubstrateContested": false
   },
   {
    "RulebookFieldId": "TemplateApprovals.MessageTemplate",
    "TargetTable": "TemplateApprovals",
    "FieldName": "MessageTemplate",
    "FieldType": "relationship",
    "Datatype": "string",
    "Formula": null,
    "InventedForQuestion": null,
    "SemanticTypeIri": "urn:effortless:pko-extension#RulebookField",
    "Name": "TemplateApprovals.MessageTemplate",
    "IsDerived": false,
    "IsWitness": false,
    "DisagreeingSubstrateCount": 0.0,
    "IsSubstrateContested": false
   },
   {
    "RulebookFieldId": "TemplateApprovals.DecidedByAgent",
    "TargetTable": "TemplateApprovals",
    "FieldName": "DecidedByAgent",
    "FieldType": "relationship",
    "Datatype": "string",
    "Formula": null,
    "InventedForQuestion": null,
    "SemanticTypeIri": "urn:effortless:pko-extension#RulebookField",
    "Name": "TemplateApprovals.DecidedByAgent",
    "IsDerived": false,
    "IsWitness": false,
    "DisagreeingSubstrateCount": 0.0,
    "IsSubstrateContested": false
   },
   {
    "RulebookFieldId": "TemplateApprovals.DecidedInRole",
    "TargetTable": "TemplateApprovals",
    "FieldName": "DecidedInRole",
    "FieldType": "relationship",
    "Datatype": "string",
    "Formula": null,
    "InventedForQuestion": null,
    "SemanticTypeIri": "urn:effortless:pko-extension#RulebookField",
    "Name": "TemplateApprovals.DecidedInRole",
    "IsDerived": false,
    "IsWitness": false,
    "DisagreeingSubstrateCount": 0.0,
    "IsSubstrateContested": false
   },
   {
    "RulebookFieldId": "TemplateApprovals.Decision",
    "TargetTable": "TemplateApprovals",
    "FieldName": "Decision",
    "FieldType": "raw",
    "Datatype": "string",
    "Formula": null,
    "InventedForQuestion": null,
    "SemanticTypeIri": "urn:effortless:pko-extension#RulebookField",
    "Name": "TemplateApprovals.Decision",
    "IsDerived": false,
    "IsWitness": false,
    "DisagreeingSubstrateCount": 0.0,
    "IsSubstrateContested": false
   },
   {
    "RulebookFieldId": "TemplateApprovals.DecidedAt",
    "TargetTable": "TemplateApprovals",
    "FieldName": "DecidedAt",
    "FieldType": "raw",
    "Datatype": "datetime",
    "Formula": null,
    "InventedForQuestion": null,
    "SemanticTypeIri": "urn:effortless:pko-extension#RulebookField",
    "Name": "TemplateApprovals.DecidedAt",
    "IsDerived": false,
    "IsWitness": false,
    "DisagreeingSubstrateCount": 0.0,
    "IsSubstrateContested": false
   },
   {
    "RulebookFieldId": "TemplateApprovals.ApprovedBodyHash",
    "TargetTable": "TemplateApprovals",
    "FieldName": "ApprovedBodyHash",
    "FieldType": "raw",
    "Datatype": "string",
    "Formula": null,
    "InventedForQuestion": null,
    "SemanticTypeIri": "urn:effortless:pko-extension#RulebookField",
    "Name": "TemplateApprovals.ApprovedBodyHash",
    "IsDerived": false,
    "IsWitness": false,
    "DisagreeingSubstrateCount": 0.0,
    "IsSubstrateContested": false
   },
   {
    "RulebookFieldId": "TemplateApprovals.Notes",
    "TargetTable": "TemplateApprovals",
    "FieldName": "Notes",
    "FieldType": "raw",
    "Datatype": "string",
    "Formula": null,
    "InventedForQuestion": null,
    "SemanticTypeIri": "urn:effortless:pko-extension#RulebookField",
    "Name": "TemplateApprovals.Notes",
    "IsDerived": false,
    "IsWitness": false,
    "DisagreeingSubstrateCount": 0.0,
    "IsSubstrateContested": false
   },
   {
    "RulebookFieldId": "TemplateApprovals.IsApprovalDecision",
    "TargetTable": "TemplateApprovals",
    "FieldName": "IsApprovalDecision",
    "FieldType": "calculated",
    "Datatype": "boolean",
    "Formula": "={{Decision}} = \"Approved\"",
    "InventedForQuestion": "q-comms-approval-authority",
    "SemanticTypeIri": "urn:effortless:pko-extension#RulebookField",
    "Name": "TemplateApprovals.IsApprovalDecision",
    "IsDerived": true,
    "IsWitness": true,
    "DisagreeingSubstrateCount": 0.0,
    "IsSubstrateContested": false
   },
   {
    "RulebookFieldId": "TemplateApprovals.TemplatePolicy",
    "TargetTable": "TemplateApprovals",
    "FieldName": "TemplatePolicy",
    "FieldType": "lookup",
    "Datatype": "string",
    "Formula": "=INDEX(MessageTemplates!{{CommunicationPolicy}}, MATCH({{MessageTemplate}}, MessageTemplates!{{MessageTemplateId}}, 0))",
    "InventedForQuestion": "q-comms-approval-authority",
    "SemanticTypeIri": "urn:effortless:pko-extension#RulebookField",
    "Name": "TemplateApprovals.TemplatePolicy",
    "IsDerived": true,
    "IsWitness": true,
    "DisagreeingSubstrateCount": 0.0,
    "IsSubstrateContested": false
   },
   {
    "RulebookFieldId": "TemplateApprovals.RequiredApprovalRole",
    "TargetTable": "TemplateApprovals",
    "FieldName": "RequiredApprovalRole",
    "FieldType": "lookup",
    "Datatype": "string",
    "Formula": "=INDEX(CommunicationPolicies!{{ApprovalRole}}, MATCH({{TemplatePolicy}}, CommunicationPolicies!{{CommunicationPolicyId}}, 0))",
    "InventedForQuestion": "q-comms-approval-authority",
    "SemanticTypeIri": "urn:effortless:pko-extension#RulebookField",
    "Name": "TemplateApprovals.RequiredApprovalRole",
    "IsDerived": true,
    "IsWitness": true,
    "DisagreeingSubstrateCount": 0.0,
    "IsSubstrateContested": false
   },
   {
    "RulebookFieldId": "TemplateApprovals.IsDecidedByRequiredRole",
    "TargetTable": "TemplateApprovals",
    "FieldName": "IsDecidedByRequiredRole",
    "FieldType": "calculated",
    "Datatype": "boolean",
    "Formula": "={{DecidedInRole}} = {{RequiredApprovalRole}}",
    "InventedForQuestion": "q-comms-approval-authority",
    "SemanticTypeIri": "urn:effortless:pko-extension#RulebookField",
    "Name": "TemplateApprovals.IsDecidedByRequiredRole",
    "IsDerived": true,
    "IsWitness": true,
    "DisagreeingSubstrateCount": 0.0,
    "IsSubstrateContested": false
   },
   {
    "RulebookFieldId": "TemplateApprovals.ValidApprovalTemplateKey",
    "TargetTable": "TemplateApprovals",
    "FieldName": "ValidApprovalTemplateKey",
    "FieldType": "calculated",
    "Datatype": "string",
    "Formula": "=IF(AND({{IsApprovalDecision}}, {{IsDecidedByRequiredRole}}), {{MessageTemplate}}, \"\")",
    "InventedForQuestion": "q-comms-approval-authority",
    "SemanticTypeIri": "urn:effortless:pko-extension#RulebookField",
    "Name": "TemplateApprovals.ValidApprovalTemplateKey",
    "IsDerived": true,
    "IsWitness": true,
    "DisagreeingSubstrateCount": 0.0,
    "IsSubstrateContested": false
   },
   {
    "RulebookFieldId": "TemplateApprovals.SemanticTypeIri",
    "TargetTable": "TemplateApprovals",
    "FieldName": "SemanticTypeIri",
    "FieldType": "raw",
    "Datatype": "string",
    "Formula": null,
    "InventedForQuestion": null,
    "SemanticTypeIri": "urn:effortless:pko-extension#RulebookField",
    "Name": "TemplateApprovals.SemanticTypeIri",
    "IsDerived": false,
    "IsWitness": false,
    "DisagreeingSubstrateCount": 0.0,
    "IsSubstrateContested": false
   },
   {
    "RulebookFieldId": "SendIntents.SendIntentId",
    "TargetTable": "SendIntents",
    "FieldName": "SendIntentId",
    "FieldType": "raw",
    "Datatype": "string",
    "Formula": null,
    "InventedForQuestion": null,
    "SemanticTypeIri": "urn:effortless:pko-extension#RulebookField",
    "Name": "SendIntents.SendIntentId",
    "IsDerived": false,
    "IsWitness": false,
    "DisagreeingSubstrateCount": 0.0,
    "IsSubstrateContested": false
   },
   {
    "RulebookFieldId": "SendIntents.Name",
    "TargetTable": "SendIntents",
    "FieldName": "Name",
    "FieldType": "calculated",
    "Datatype": "string",
    "Formula": "={{Recipient}} &amp; \" / \" &amp; {{MessageTemplate}} &amp; \" / intent\"",
    "InventedForQuestion": null,
    "SemanticTypeIri": "urn:effortless:pko-extension#RulebookField",
    "Name": "SendIntents.Name",
    "IsDerived": true,
    "IsWitness": false,
    "DisagreeingSubstrateCount": 0.0,
    "IsSubstrateContested": false
   },
   {
    "RulebookFieldId": "SendIntents.ProcedureExecution",
    "TargetTable": "SendIntents",
    "FieldName": "ProcedureExecution",
    "FieldType": "relationship",
    "Datatype": "string",
    "Formula": null,
    "InventedForQuestion": null,
    "SemanticTypeIri": "urn:effortless:pko-extension#RulebookField",
    "Name": "SendIntents.ProcedureExecution",
    "IsDerived": false,
    "IsWitness": false,
    "DisagreeingSubstrateCount": 0.0,
    "IsSubstrateContested": false
   },
   {
    "RulebookFieldId": "SendIntents.StepExecution",
    "TargetTable": "SendIntents",
    "FieldName": "StepExecution",
    "FieldType": "relationship",
    "Datatype": "string",
    "Formula": null,
    "InventedForQuestion": null,
    "SemanticTypeIri": "urn:effortless:pko-extension#RulebookField",
    "Name": "SendIntents.StepExecution",
    "IsDerived": false,
    "IsWitness": false,
    "DisagreeingSubstrateCount": 0.0,
    "IsSubstrateContested": false
   },
   {
    "RulebookFieldId": "SendIntents.Recipient",
    "TargetTable": "SendIntents",
    "FieldName": "Recipient",
    "FieldType": "relationship",
    "Datatype": "string",
    "Formula": null,
    "InventedForQuestion": null,
    "SemanticTypeIri": "urn:effortless:pko-extension#RulebookField",
    "Name": "SendIntents.Recipient",
    "IsDerived": false,
    "IsWitness": false,
    "DisagreeingSubstrateCount": 0.0,
    "IsSubstrateContested": false
   },
   {
    "RulebookFieldId": "SendIntents.MessageTemplate",
    "TargetTable": "SendIntents",
    "FieldName": "MessageTemplate",
    "FieldType": "relationship",
    "Datatype": "string",
    "Formula": null,
    "InventedForQuestion": null,
    "SemanticTypeIri": "urn:effortless:pko-extension#RulebookField",
    "Name": "SendIntents.MessageTemplate",
    "IsDerived": false,
    "IsWitness": false,
    "DisagreeingSubstrateCount": 0.0,
    "IsSubstrateContested": false
   },
   {
    "RulebookFieldId": "SendIntents.ProposedBody",
    "TargetTable": "SendIntents",
    "FieldName": "ProposedBody",
    "FieldType": "raw",
    "Datatype": "string",
    "Formula": null,
    "InventedForQuestion": null,
    "SemanticTypeIri": "urn:effortless:pko-extension#RulebookField",
    "Name": "SendIntents.ProposedBody",
    "IsDerived": false,
    "IsWitness": false,
    "DisagreeingSubstrateCount": 0.0,
    "IsSubstrateContested": false
   },
   {
    "RulebookFieldId": "SendIntents.ProposedSendAtLocalHour",
    "TargetTable": "SendIntents",
    "FieldName": "ProposedSendAtLocalHour",
    "FieldType": "raw",
    "Datatype": "integer",
    "Formula": null,
    "InventedForQuestion": null,
    "SemanticTypeIri": "urn:effortless:pko-extension#RulebookField",
    "Name": "SendIntents.ProposedSendAtLocalHour",
    "IsDerived": false,
    "IsWitness": false,
    "DisagreeingSubstrateCount": 0.0,
    "IsSubstrateContested": false
   },
   {
    "RulebookFieldId": "SendIntents.EvaluatedAt",
    "TargetTable": "SendIntents",
    "FieldName": "EvaluatedAt",
    "FieldType": "raw",
    "Datatype": "datetime",
    "Formula": null,
    "InventedForQuestion": null,
    "SemanticTypeIri": "urn:effortless:pko-extension#RulebookField",
    "Name": "SendIntents.EvaluatedAt",
    "IsDerived": false,
    "IsWitness": false,
    "DisagreeingSubstrateCount": 0.0,
    "IsSubstrateContested": false
   },
   {
    "RulebookFieldId": "SendIntents.ResultingDelivery",
    "TargetTable": "SendIntents",
    "FieldName": "ResultingDelivery",
    "FieldType": "relationship",
    "Datatype": "string",
    "Formula": null,
    "InventedForQuestion": null,
    "SemanticTypeIri": "urn:effortless:pko-extension#RulebookField",
    "Name": "SendIntents.ResultingDelivery",
    "IsDerived": false,
    "IsWitness": false,
    "DisagreeingSubstrateCount": 0.0,
    "IsSubstrateContested": false
   },
   {
    "RulebookFieldId": "SendIntents.IntentPolicy",
    "TargetTable": "SendIntents",
    "FieldName": "IntentPolicy",
    "FieldType": "lookup",
    "Datatype": "string",
    "Formula": "=INDEX(MessageTemplates!{{CommunicationPolicy}}, MATCH({{MessageTemplate}}, MessageTemplates!{{MessageTemplateId}}, 0))",
    "InventedForQuestion": "q-publisher-may-i-transmit",
    "SemanticTypeIri": "urn:effortless:pko-extension#RulebookField",
    "Name": "SendIntents.IntentPolicy",
    "IsDerived": true,
    "IsWitness": true,
    "DisagreeingSubstrateCount": 0.0,
    "IsSubstrateContested": false
   },
   {
    "RulebookFieldId": "SendIntents.IntentChannel",
    "TargetTable": "SendIntents",
    "FieldName": "IntentChannel",
    "FieldType": "lookup",
    "Datatype": "string",
    "Formula": "=INDEX(CommunicationPolicies!{{Channel}}, MATCH({{IntentPolicy}}, CommunicationPolicies!{{CommunicationPolicyId}}, 0))",
    "InventedForQuestion": "q-publisher-may-i-transmit",
    "SemanticTypeIri": "urn:effortless:pko-extension#RulebookField",
    "Name": "SendIntents.IntentChannel",
    "IsDerived": true,
    "IsWitness": true,
    "DisagreeingSubstrateCount": 0.0,
    "IsSubstrateContested": false
   },
   {
    "RulebookFieldId": "SendIntents.PolicyIsActive",
    "TargetTable": "SendIntents",
    "FieldName": "PolicyIsActive",
    "FieldType": "lookup",
    "Datatype": "boolean",
    "Formula": "=INDEX(CommunicationPolicies!{{IsActivePolicy}}, MATCH({{IntentPolicy}}, CommunicationPolicies!{{CommunicationPolicyId}}, 0))",
    "InventedForQuestion": "q-publisher-may-i-transmit",
    "SemanticTypeIri": "urn:effortless:pko-extension#RulebookField",
    "Name": "SendIntents.PolicyIsActive",
    "IsDerived": true,
    "IsWitness": true,
    "DisagreeingSubstrateCount": 0.0,
    "IsSubstrateContested": false
   },
   {
    "RulebookFieldId": "SendIntents.IntentRequiresConsent",
    "TargetTable": "SendIntents",
    "FieldName": "IntentRequiresConsent",
    "FieldType": "lookup",
    "Datatype": "boolean",
    "Formula": "=INDEX(CommunicationPolicies!{{ConsentRequired}}, MATCH({{IntentPolicy}}, CommunicationPolicies!{{CommunicationPolicyId}}, 0))",
    "InventedForQuestion": "q-publisher-may-i-transmit",
    "SemanticTypeIri": "urn:effortless:pko-extension#RulebookField",
    "Name": "SendIntents.IntentRequiresConsent",
    "IsDerived": true,
    "IsWitness": true,
    "DisagreeingSubstrateCount": 0.0,
    "IsSubstrateContested": false
   },
   {
    "RulebookFieldId": "SendIntents.RecipientHasChannelConsent",
    "TargetTable": "SendIntents",
    "FieldName": "RecipientHasChannelConsent",
    "FieldType": "lookup",
    "Datatype": "boolean",
    "Formula": "=INDEX(Recipients!{{HasSmsConsent}}, MATCH({{Recipient}}, Recipients!{{RecipientId}}, 0))",
    "InventedForQuestion": "q-publisher-may-i-transmit",
    "SemanticTypeIri": "urn:effortless:pko-extension#RulebookField",
    "Name": "SendIntents.RecipientHasChannelConsent",
    "IsDerived": true,
    "IsWitness": true,
    "DisagreeingSubstrateCount": 0.0,
    "IsSubstrateContested": false
   },
   {
    "RulebookFieldId": "SendIntents.ConsentGatePassed",
    "TargetTable": "SendIntents",
    "FieldName": "ConsentGatePassed",
    "FieldType": "calculated",
    "Datatype": "boolean",
    "Formula": "=OR(NOT({{IntentRequiresConsent}}), {{RecipientHasChannelConsent}})",
    "InventedForQuestion": "q-publisher-may-i-transmit",
    "SemanticTypeIri": "urn:effortless:pko-extension#RulebookField",
    "Name": "SendIntents.ConsentGatePassed",
    "IsDerived": true,
    "IsWitness": true,
    "DisagreeingSubstrateCount": 0.0,
    "IsSubstrateContested": false
   },
   {
    "RulebookFieldId": "SendIntents.RecipientIsSmsReachable",
    "TargetTable": "SendIntents",
    "FieldName": "RecipientIsSmsReachable",
    "FieldType": "lookup",
    "Datatype": "boolean",
    "Formula": "=INDEX(Recipients!{{IsSmsReachable}}, MATCH({{Recipient}}, Recipients!{{RecipientId}}, 0))",
    "InventedForQuestion": "q-publisher-may-i-transmit",
    "SemanticTypeIri": "urn:effortless:pko-extension#RulebookField",
    "Name": "SendIntents.RecipientIsSmsReachable",
    "IsDerived": true,
    "IsWitness": true,
    "DisagreeingSubstrateCount": 0.0,
    "IsSubstrateContested": false
   },
   {
    "RulebookFieldId": "SendIntents.RecipientIsEmailReachable",
    "TargetTable": "SendIntents",
    "FieldName": "RecipientIsEmailReachable",
    "FieldType": "lookup",
    "Datatype": "boolean",
    "Formula": "=INDEX(Recipients!{{IsEmailReachable}}, MATCH({{Recipient}}, Recipients!{{RecipientId}}, 0))",
    "InventedForQuestion": "q-publisher-may-i-transmit",
    "SemanticTypeIri": "urn:effortless:pko-extension#RulebookField",
    "Name": "SendIntents.RecipientIsEmailReachable",
    "IsDerived": true,
    "IsWitness": true,
    "DisagreeingSubstrateCount": 0.0,
    "IsSubstrateContested": false
   },
   {
    "RulebookFieldId": "SendIntents.ReachabilityGatePassed",
    "TargetTable": "SendIntents",
    "FieldName": "ReachabilityGatePassed",
    "FieldType": "calculated",
    "Datatype": "boolean",
    "Formula": "=IF({{IntentChannel}} = \"SMS\", {{RecipientIsSmsReachable}}, {{RecipientIsEmailReachable}})",
    "InventedForQuestion": "q-publisher-may-i-transmit",
    "SemanticTypeIri": "urn:effortless:pko-extension#RulebookField",
    "Name": "SendIntents.ReachabilityGatePassed",
    "IsDerived": true,
    "IsWitness": true,
    "DisagreeingSubstrateCount": 0.0,
    "IsSubstrateContested": false
   },
   {
    "RulebookFieldId": "SendIntents.PermissionGatePassed",
    "TargetTable": "SendIntents",
    "FieldName": "PermissionGatePassed",
    "FieldType": "calculated",
    "Datatype": "boolean",
    "Formula": "=AND({{PolicyIsActive}}, AND({{ConsentGatePassed}}, {{ReachabilityGatePassed}}))",
    "InventedForQuestion": "q-publisher-may-i-transmit",
    "SemanticTypeIri": "urn:effortless:pko-extension#RulebookField",
    "Name": "SendIntents.PermissionGatePassed",
    "IsDerived": true,
    "IsWitness": true,
    "DisagreeingSubstrateCount": 0.0,
    "IsSubstrateContested": false
   },
   {
    "RulebookFieldId": "SendIntents.IntentQuietStartHour",
    "TargetTable": "SendIntents",
    "FieldName": "IntentQuietStartHour",
    "FieldType": "lookup",
    "Datatype": "integer",
    "Formula": "=INDEX(CommunicationPolicies!{{QuietHoursStartHour}}, MATCH({{IntentPolicy}}, CommunicationPolicies!{{CommunicationPolicyId}}, 0))",
    "InventedForQuestion": "q-publisher-may-i-transmit-now",
    "SemanticTypeIri": "urn:effortless:pko-extension#RulebookField",
    "Name": "SendIntents.IntentQuietStartHour",
    "IsDerived": true,
    "IsWitness": true,
    "DisagreeingSubstrateCount": 0.0,
    "IsSubstrateContested": false
   },
   {
    "RulebookFieldId": "SendIntents.IntentQuietEndHour",
    "TargetTable": "SendIntents",
    "FieldName": "IntentQuietEndHour",
    "FieldType": "lookup",
    "Datatype": "integer",
    "Formula": "=INDEX(CommunicationPolicies!{{QuietHoursEndHour}}, MATCH({{IntentPolicy}}, CommunicationPolicies!{{CommunicationPolicyId}}, 0))",
    "InventedForQuestion": "q-publisher-may-i-transmit-now",
    "SemanticTypeIri": "urn:effortless:pko-extension#RulebookField",
    "Name": "SendIntents.IntentQuietEndHour",
    "IsDerived": true,
    "IsWitness": true,
    "DisagreeingSubstrateCount": 0.0,
    "IsSubstrateContested": false
   },
   {
    "RulebookFieldId": "SendIntents.IntentPolicyHasQuietHours",
    "TargetTable": "SendIntents",
    "FieldName": "IntentPolicyHasQuietHours",
    "FieldType": "calculated",
    "Datatype": "boolean",
    "Formula": "={{IntentQuietStartHour}} &lt;&gt; {{IntentQuietEndHour}}",
    "InventedForQuestion": "q-publisher-may-i-transmit-now",
    "SemanticTypeIri": "urn:effortless:pko-extension#RulebookField",
    "Name": "SendIntents.IntentPolicyHasQuietHours",
    "IsDerived": true,
    "IsWitness": true,
    "DisagreeingSubstrateCount": 0.0,
    "IsSubstrateContested": false
   },
   {
    "RulebookFieldId": "SendIntents.IntentQuietWindowWraps",
    "TargetTable": "SendIntents",
    "FieldName": "IntentQuietWindowWraps",
    "FieldType": "calculated",
    "Datatype": "boolean",
    "Formula": "={{IntentQuietStartHour}} &gt; {{IntentQuietEndHour}}",
    "InventedForQuestion": "q-publisher-may-i-transmit-now",
    "SemanticTypeIri": "urn:effortless:pko-extension#RulebookField",
    "Name": "SendIntents.IntentQuietWindowWraps",
    "IsDerived": true,
    "IsWitness": true,
    "DisagreeingSubstrateCount": 0.0,
    "IsSubstrateContested": false
   },
   {
    "RulebookFieldId": "SendIntents.IntentIsInsideQuietWindow",
    "TargetTable": "SendIntents",
    "FieldName": "IntentIsInsideQuietWindow",
    "FieldType": "calculated",
    "Datatype": "boolean",
    "Formula": "=IF({{IntentQuietWindowWraps}}, OR({{ProposedSendAtLocalHour}} &gt;= {{IntentQuietStartHour}}, {{ProposedSendAtLocalHour}} &lt; {{IntentQuietEndHour}}), AND({{ProposedSendAtLocalHour}} &gt;= {{IntentQuietStartHour}}, {{ProposedSendAtLocalHour}} &lt; {{IntentQuietEndHour}}))",
    "InventedForQuestion": "q-publisher-may-i-transmit-now",
    "SemanticTypeIri": "urn:effortless:pko-extension#RulebookField",
    "Name": "SendIntents.IntentIsInsideQuietWindow",
    "IsDerived": true,
    "IsWitness": true,
    "DisagreeingSubstrateCount": 0.0,
    "IsSubstrateContested": false
   },
   {
    "RulebookFieldId": "SendIntents.TimingGatePassed",
    "TargetTable": "SendIntents",
    "FieldName": "TimingGatePassed",
    "FieldType": "calculated",
    "Datatype": "boolean",
    "Formula": "=OR(NOT({{IntentPolicyHasQuietHours}}), NOT({{IntentIsInsideQuietWindow}}))",
    "InventedForQuestion": "q-publisher-may-i-transmit-now",
    "SemanticTypeIri": "urn:effortless:pko-extension#RulebookField",
    "Name": "SendIntents.TimingGatePassed",
    "IsDerived": true,
    "IsWitness": true,
    "DisagreeingSubstrateCount": 0.0,
    "IsSubstrateContested": false
   },
   {
    "RulebookFieldId": "SendIntents.HoursUntilWindowOpens",
    "TargetTable": "SendIntents",
    "FieldName": "HoursUntilWindowOpens",
    "FieldType": "calculated",
    "Datatype": "integer",
    "Formula": "=IF({{TimingGatePassed}}, 0, IF({{ProposedSendAtLocalHour}} &lt; {{IntentQuietEndHour}}, {{IntentQuietEndHour}} - {{ProposedSendAtLocalHour}}, 24 - {{ProposedSendAtLocalHour}} + {{IntentQuietEndHour}}))",
    "InventedForQuestion": "q-publisher-may-i-transmit-now",
    "SemanticTypeIri": "urn:effortless:pko-extension#RulebookField",
    "Name": "SendIntents.HoursUntilWindowOpens",
    "IsDerived": true,
    "IsWitness": true,
    "DisagreeingSubstrateCount": 0.0,
    "IsSubstrateContested": false
   },
   {
    "RulebookFieldId": "SendIntents.IntentMaxMessageLength",
    "TargetTable": "SendIntents",
    "FieldName": "IntentMaxMessageLength",
    "FieldType": "lookup",
    "Datatype": "integer",
    "Formula": "=INDEX(CommunicationPolicies!{{MaxMessageLength}}, MATCH({{IntentPolicy}}, CommunicationPolicies!{{CommunicationPolicyId}}, 0))",
    "InventedForQuestion": "q-publisher-is-this-content-permitted",
    "SemanticTypeIri": "urn:effortless:pko-extension#RulebookField",
    "Name": "SendIntents.IntentMaxMessageLength",
    "IsDerived": true,
    "IsWitness": true,
    "DisagreeingSubstrateCount": 0.0,
    "IsSubstrateContested": false
   },
   {
    "RulebookFieldId": "SendIntents.IntentMaxSegments",
    "TargetTable": "SendIntents",
    "FieldName": "IntentMaxSegments",
    "FieldType": "lookup",
    "Datatype": "integer",
    "Formula": "=INDEX(CommunicationPolicies!{{MaxSegments}}, MATCH({{IntentPolicy}}, CommunicationPolicies!{{CommunicationPolicyId}}, 0))",
    "InventedForQuestion": "q-publisher-is-this-content-permitted",
    "SemanticTypeIri": "urn:effortless:pko-extension#RulebookField",
    "Name": "SendIntents.IntentMaxSegments",
    "IsDerived": true,
    "IsWitness": true,
    "DisagreeingSubstrateCount": 0.0,
    "IsSubstrateContested": false
   },
   {
    "RulebookFieldId": "SendIntents.ProposedBodyLength",
    "TargetTable": "SendIntents",
    "FieldName": "ProposedBodyLength",
    "FieldType": "raw",
    "Datatype": "integer",
    "Formula": null,
    "InventedForQuestion": "q-publisher-is-this-content-permitted",
    "SemanticTypeIri": "urn:effortless:pko-extension#RulebookField",
    "Name": "SendIntents.ProposedBodyLength",
    "IsDerived": false,
    "IsWitness": true,
    "DisagreeingSubstrateCount": 0.0,
    "IsSubstrateContested": false
   },
   {
    "RulebookFieldId": "SendIntents.ProposedSegmentCount",
    "TargetTable": "SendIntents",
    "FieldName": "ProposedSegmentCount",
    "FieldType": "raw",
    "Datatype": "integer",
    "Formula": null,
    "InventedForQuestion": "q-publisher-is-this-content-permitted",
    "SemanticTypeIri": "urn:effortless:pko-extension#RulebookField",
    "Name": "SendIntents.ProposedSegmentCount",
    "IsDerived": false,
    "IsWitness": true,
    "DisagreeingSubstrateCount": 0.0,
    "IsSubstrateContested": false
   },
   {
    "RulebookFieldId": "SendIntents.LengthGatePassed",
    "TargetTable": "SendIntents",
    "FieldName": "LengthGatePassed",
    "FieldType": "calculated",
    "Datatype": "boolean",
    "Formula": "=AND({{ProposedBodyLength}} &gt; 0, {{ProposedSegmentCount}} &lt;= {{IntentMaxSegments}})",
    "InventedForQuestion": "q-publisher-is-this-content-permitted",
    "SemanticTypeIri": "urn:effortless:pko-extension#RulebookField",
    "Name": "SendIntents.LengthGatePassed",
    "IsDerived": true,
    "IsWitness": true,
    "DisagreeingSubstrateCount": 0.0,
    "IsSubstrateContested": false
   },
   {
    "RulebookFieldId": "SendIntents.IntentRequiredOptOutPhrase",
    "TargetTable": "SendIntents",
    "FieldName": "IntentRequiredOptOutPhrase",
    "FieldType": "lookup",
    "Datatype": "string",
    "Formula": "=INDEX(CommunicationPolicies!{{RequiredOptOutPhrase}}, MATCH({{IntentPolicy}}, CommunicationPolicies!{{CommunicationPolicyId}}, 0))",
    "InventedForQuestion": "q-publisher-is-this-content-permitted",
    "SemanticTypeIri": "urn:effortless:pko-extension#RulebookField",
    "Name": "SendIntents.IntentRequiredOptOutPhrase",
    "IsDerived": true,
    "IsWitness": true,
    "DisagreeingSubstrateCount": 0.0,
    "IsSubstrateContested": false
   },
   {
    "RulebookFieldId": "SendIntents.ProposedOptOutPosition",
    "TargetTable": "SendIntents",
    "FieldName": "ProposedOptOutPosition",
    "FieldType": "raw",
    "Datatype": "integer",
    "Formula": null,
    "InventedForQuestion": "q-publisher-is-this-content-permitted",
    "SemanticTypeIri": "urn:effortless:pko-e</t>
  </si>
  <si>
    <t xml:space="preserve">xtension#RulebookField",
    "Name": "SendIntents.ProposedOptOutPosition",
    "IsDerived": false,
    "IsWitness": true,
    "DisagreeingSubstrateCount": 0.0,
    "IsSubstrateContested": false
   },
   {
    "RulebookFieldId": "SendIntents.OptOutGatePassed",
    "TargetTable": "SendIntents",
    "FieldName": "OptOutGatePassed",
    "FieldType": "calculated",
    "Datatype": "boolean",
    "Formula": "=OR({{IntentRequiredOptOutPhrase}} = \"\", AND({{ProposedOptOutPosition}} &gt; 0, {{ProposedOptOutPosition}} &lt;= {{IntentMaxMessageLength}}))",
    "InventedForQuestion": "q-publisher-is-this-content-permitted",
    "SemanticTypeIri": "urn:effortless:pko-extension#RulebookField",
    "Name": "SendIntents.OptOutGatePassed",
    "IsDerived": true,
    "IsWitness": true,
    "DisagreeingSubstrateCount": 0.0,
    "IsSubstrateContested": false
   },
   {
    "RulebookFieldId": "SendIntents.ContentGatePassed",
    "TargetTable": "SendIntents",
    "FieldName": "ContentGatePassed",
    "FieldType": "calculated",
    "Datatype": "boolean",
    "Formula": "=AND({{LengthGatePassed}}, {{OptOutGatePassed}})",
    "InventedForQuestion": "q-publisher-is-this-content-permitted",
    "SemanticTypeIri": "urn:effortless:pko-extension#RulebookField",
    "Name": "SendIntents.ContentGatePassed",
    "IsDerived": true,
    "IsWitness": true,
    "DisagreeingSubstrateCount": 0.0,
    "IsSubstrateContested": false
   },
   {
    "RulebookFieldId": "SendIntents.TemplateIsSendable",
    "TargetTable": "SendIntents",
    "FieldName": "TemplateIsSendable",
    "FieldType": "lookup",
    "Datatype": "boolean",
    "Formula": "=INDEX(MessageTemplates!{{IsSendableUnderApproval}}, MATCH({{MessageTemplate}}, MessageTemplates!{{MessageTemplateId}}, 0))",
    "InventedForQuestion": "q-publisher-am-i-authorized-to-act",
    "SemanticTypeIri": "urn:effortless:pko-extension#RulebookField",
    "Name": "SendIntents.TemplateIsSendable",
    "IsDerived": true,
    "IsWitness": true,
    "DisagreeingSubstrateCount": 0.0,
    "IsSubstrateContested": false
   },
   {
    "RulebookFieldId": "SendIntents.ExecutionHasLegalClearance",
    "TargetTable": "SendIntents",
    "FieldName": "ExecutionHasLegalClearance",
    "FieldType": "lookup",
    "Datatype": "boolean",
    "Formula": "=INDEX(ProcedureExecutions!{{HasClearedLegalReview}}, MATCH({{ProcedureExecution}}, ProcedureExecutions!{{ProcedureExecutionId}}, 0))",
    "InventedForQuestion": "q-publisher-am-i-authorized-to-act",
    "SemanticTypeIri": "urn:effortless:pko-extension#RulebookField",
    "Name": "SendIntents.ExecutionHasLegalClearance",
    "IsDerived": true,
    "IsWitness": true,
    "DisagreeingSubstrateCount": 0.0,
    "IsSubstrateContested": false
   },
   {
    "RulebookFieldId": "SendIntents.IntentApprovalRole",
    "TargetTable": "SendIntents",
    "FieldName": "IntentApprovalRole",
    "FieldType": "lookup",
    "Datatype": "string",
    "Formula": "=INDEX(CommunicationPolicies!{{ApprovalRole}}, MATCH({{IntentPolicy}}, CommunicationPolicies!{{CommunicationPolicyId}}, 0))",
    "InventedForQuestion": "q-publisher-am-i-authorized-to-act",
    "SemanticTypeIri": "urn:effortless:pko-extension#RulebookField",
    "Name": "SendIntents.IntentApprovalRole",
    "IsDerived": true,
    "IsWitness": true,
    "DisagreeingSubstrateCount": 0.0,
    "IsSubstrateContested": false
   },
   {
    "RulebookFieldId": "SendIntents.ApprovalRoleAgentKind",
    "TargetTable": "SendIntents",
    "FieldName": "ApprovalRoleAgentKind",
    "FieldType": "lookup",
    "Datatype": "string",
    "Formula": "=INDEX(Roles!{{CurrentAgentKind}}, MATCH({{IntentApprovalRole}}, Roles!{{RoleId}}, 0))",
    "InventedForQuestion": "q-publisher-am-i-authorized-to-act",
    "SemanticTypeIri": "urn:effortless:pko-extension#RulebookField",
    "Name": "SendIntents.ApprovalRoleAgentKind",
    "IsDerived": true,
    "IsWitness": true,
    "DisagreeingSubstrateCount": 0.0,
    "IsSubstrateContested": false
   },
   {
    "RulebookFieldId": "SendIntents.ApprovalIsHuman",
    "TargetTable": "SendIntents",
    "FieldName": "ApprovalIsHuman",
    "FieldType": "calculated",
    "Datatype": "boolean",
    "Formula": "={{ApprovalRoleAgentKind}} = \"Human\"",
    "InventedForQuestion": "q-publisher-am-i-authorized-to-act",
    "SemanticTypeIri": "urn:effortless:pko-extension#RulebookField",
    "Name": "SendIntents.ApprovalIsHuman",
    "IsDerived": true,
    "IsWitness": true,
    "DisagreeingSubstrateCount": 0.0,
    "IsSubstrateContested": false
   },
   {
    "RulebookFieldId": "SendIntents.AuthorizationGatePassed",
    "TargetTable": "SendIntents",
    "FieldName": "AuthorizationGatePassed",
    "FieldType": "calculated",
    "Datatype": "boolean",
    "Formula": "=AND({{TemplateIsSendable}}, AND({{ExecutionHasLegalClearance}}, {{ApprovalIsHuman}}))",
    "InventedForQuestion": "q-publisher-am-i-authorized-to-act",
    "SemanticTypeIri": "urn:effortless:pko-extension#RulebookField",
    "Name": "SendIntents.AuthorizationGatePassed",
    "IsDerived": true,
    "IsWitness": true,
    "DisagreeingSubstrateCount": 0.0,
    "IsSubstrateContested": false
   },
   {
    "RulebookFieldId": "SendIntents.IsClearedToSend",
    "TargetTable": "SendIntents",
    "FieldName": "IsClearedToSend",
    "FieldType": "calculated",
    "Datatype": "boolean",
    "Formula": "=AND({{PermissionGatePassed}}, AND({{TimingGatePassed}}, AND({{ContentGatePassed}}, {{AuthorizationGatePassed}})))",
    "InventedForQuestion": "q-publisher-am-i-authorized-to-act",
    "SemanticTypeIri": "urn:effortless:pko-extension#RulebookField",
    "Name": "SendIntents.IsClearedToSend",
    "IsDerived": true,
    "IsWitness": true,
    "DisagreeingSubstrateCount": 0.0,
    "IsSubstrateContested": false
   },
   {
    "RulebookFieldId": "SendIntents.BlockingGateName",
    "TargetTable": "SendIntents",
    "FieldName": "BlockingGateName",
    "FieldType": "calculated",
    "Datatype": "string",
    "Formula": "=IF({{IsClearedToSend}}, \"\", IF(NOT({{PermissionGatePassed}}), \"Permission\", IF(NOT({{TimingGatePassed}}), \"Timing\", IF(NOT({{ContentGatePassed}}), \"Content\", \"Authorization\"))))",
    "InventedForQuestion": "q-publisher-am-i-authorized-to-act",
    "SemanticTypeIri": "urn:effortless:pko-extension#RulebookField",
    "Name": "SendIntents.BlockingGateName",
    "IsDerived": true,
    "IsWitness": true,
    "DisagreeingSubstrateCount": 0.0,
    "IsSubstrateContested": false
   },
   {
    "RulebookFieldId": "SendIntents.HasResultingDelivery",
    "TargetTable": "SendIntents",
    "FieldName": "HasResultingDelivery",
    "FieldType": "calculated",
    "Datatype": "boolean",
    "Formula": "={{ResultingDelivery}} &lt;&gt; \"\"",
    "InventedForQuestion": "q-publisher-refusal-was-honored",
    "SemanticTypeIri": "urn:effortless:pko-extension#RulebookField",
    "Name": "SendIntents.HasResultingDelivery",
    "IsDerived": true,
    "IsWitness": true,
    "DisagreeingSubstrateCount": 0.0,
    "IsSubstrateContested": false
   },
   {
    "RulebookFieldId": "SendIntents.ResultingDeliveryWasTransmitted",
    "TargetTable": "SendIntents",
    "FieldName": "ResultingDeliveryWasTransmitted",
    "FieldType": "lookup",
    "Datatype": "boolean",
    "Formula": "=INDEX(MessageDeliveries!{{WasActuallyTransmitted}}, MATCH({{ResultingDelivery}}, MessageDeliveries!{{MessageDeliveryId}}, 0))",
    "InventedForQuestion": "q-publisher-refusal-was-honored",
    "SemanticTypeIri": "urn:effortless:pko-extension#RulebookField",
    "Name": "SendIntents.ResultingDeliveryWasTransmitted",
    "IsDerived": true,
    "IsWitness": true,
    "DisagreeingSubstrateCount": 0.0,
    "IsSubstrateContested": false
   },
   {
    "RulebookFieldId": "SendIntents.IsOverriddenRefusal",
    "TargetTable": "SendIntents",
    "FieldName": "IsOverriddenRefusal",
    "FieldType": "calculated",
    "Datatype": "boolean",
    "Formula": "=AND(NOT({{IsClearedToSend}}), AND({{HasResultingDelivery}}, {{ResultingDeliveryWasTransmitted}}))",
    "InventedForQuestion": "q-publisher-refusal-was-honored",
    "SemanticTypeIri": "urn:effortless:pko-extension#RulebookField",
    "Name": "SendIntents.IsOverriddenRefusal",
    "IsDerived": true,
    "IsWitness": true,
    "DisagreeingSubstrateCount": 0.0,
    "IsSubstrateContested": false
   },
   {
    "RulebookFieldId": "SendIntents.IsSilentlyDropped",
    "TargetTable": "SendIntents",
    "FieldName": "IsSilentlyDropped",
    "FieldType": "calculated",
    "Datatype": "boolean",
    "Formula": "=AND(NOT({{IsClearedToSend}}), NOT({{HasResultingDelivery}}))",
    "InventedForQuestion": "q-publisher-refusal-was-honored",
    "SemanticTypeIri": "urn:effortless:pko-extension#RulebookField",
    "Name": "SendIntents.IsSilentlyDropped",
    "IsDerived": true,
    "IsWitness": true,
    "DisagreeingSubstrateCount": 0.0,
    "IsSubstrateContested": false
   },
   {
    "RulebookFieldId": "SendIntents.ResultingDeliveryException",
    "TargetTable": "SendIntents",
    "FieldName": "ResultingDeliveryException",
    "FieldType": "lookup",
    "Datatype": "string",
    "Formula": "=INDEX(MessageDeliveries!{{InvokedException}}, MATCH({{ResultingDelivery}}, MessageDeliveries!{{MessageDeliveryId}}, 0))",
    "InventedForQuestion": "q-publisher-refusal-was-honored",
    "SemanticTypeIri": "urn:effortless:pko-extension#RulebookField",
    "Name": "SendIntents.ResultingDeliveryException",
    "IsDerived": true,
    "IsWitness": true,
    "DisagreeingSubstrateCount": 0.0,
    "IsSubstrateContested": false
   },
   {
    "RulebookFieldId": "SendIntents.RefusalCitedAnException",
    "TargetTable": "SendIntents",
    "FieldName": "RefusalCitedAnException",
    "FieldType": "calculated",
    "Datatype": "boolean",
    "Formula": "={{ResultingDeliveryException}} &lt;&gt; \"\"",
    "InventedForQuestion": "q-publisher-refusal-was-honored",
    "SemanticTypeIri": "urn:effortless:pko-extension#RulebookField",
    "Name": "SendIntents.RefusalCitedAnException",
    "IsDerived": true,
    "IsWitness": true,
    "DisagreeingSubstrateCount": 0.0,
    "IsSubstrateContested": false
   },
   {
    "RulebookFieldId": "SendIntents.IsProperlyHandledRefusal",
    "TargetTable": "SendIntents",
    "FieldName": "IsProperlyHandledRefusal",
    "FieldType": "calculated",
    "Datatype": "boolean",
    "Formula": "=AND(NOT({{IsClearedToSend}}), AND({{HasResultingDelivery}}, AND(NOT({{ResultingDeliveryWasTransmitted}}), {{RefusalCitedAnException}})))",
    "InventedForQuestion": "q-publisher-refusal-was-honored",
    "SemanticTypeIri": "urn:effortless:pko-extension#RulebookField",
    "Name": "SendIntents.IsProperlyHandledRefusal",
    "IsDerived": true,
    "IsWitness": true,
    "DisagreeingSubstrateCount": 0.0,
    "IsSubstrateContested": false
   },
   {
    "RulebookFieldId": "SendIntents.RefusalFailureExecutionKey",
    "TargetTable": "SendIntents",
    "FieldName": "RefusalFailureExecutionKey",
    "FieldType": "calculated",
    "Datatype": "string",
    "Formula": "=IF(OR({{IsOverriddenRefusal}}, {{IsSilentlyDropped}}), {{ProcedureExecution}}, \"\")",
    "InventedForQuestion": "q-publisher-refusal-was-honored",
    "SemanticTypeIri": "urn:effortless:pko-extension#RulebookField",
    "Name": "SendIntents.RefusalFailureExecutionKey",
    "IsDerived": true,
    "IsWitness": true,
    "DisagreeingSubstrateCount": 0.0,
    "IsSubstrateContested": false
   },
   {
    "RulebookFieldId": "SendIntents.IntentExecutionKey",
    "TargetTable": "SendIntents",
    "FieldName": "IntentExecutionKey",
    "FieldType": "calculated",
    "Datatype": "string",
    "Formula": "={{ProcedureExecution}}",
    "InventedForQuestion": "q2-comms-approval-to-delivery-yield",
    "SemanticTypeIri": "urn:effortless:pko-extension#RulebookField",
    "Name": "SendIntents.IntentExecutionKey",
    "IsDerived": true,
    "IsWitness": true,
    "DisagreeingSubstrateCount": 0.0,
    "IsSubstrateContested": false
   },
   {
    "RulebookFieldId": "SendIntents.DeliveredIntentExecutionKey",
    "TargetTable": "SendIntents",
    "FieldName": "DeliveredIntentExecutionKey",
    "FieldType": "calculated",
    "Datatype": "string",
    "Formula": "=IF(AND({{HasResultingDelivery}}, {{ResultingDeliveryWasTransmitted}}), {{ProcedureExecution}}, \"\")",
    "InventedForQuestion": "q2-comms-approval-to-delivery-yield",
    "SemanticTypeIri": "urn:effortless:pko-extension#RulebookField",
    "Name": "SendIntents.DeliveredIntentExecutionKey",
    "IsDerived": true,
    "IsWitness": true,
    "DisagreeingSubstrateCount": 0.0,
    "IsSubstrateContested": false
   },
   {
    "RulebookFieldId": "SendIntents.DroppedIntentExecutionKey",
    "TargetTable": "SendIntents",
    "FieldName": "DroppedIntentExecutionKey",
    "FieldType": "calculated",
    "Datatype": "string",
    "Formula": "=IF({{IsSilentlyDropped}}, {{ProcedureExecution}}, \"\")",
    "InventedForQuestion": "q2-comms-approval-to-delivery-yield",
    "SemanticTypeIri": "urn:effortless:pko-extension#RulebookField",
    "Name": "SendIntents.DroppedIntentExecutionKey",
    "IsDerived": true,
    "IsWitness": true,
    "DisagreeingSubstrateCount": 0.0,
    "IsSubstrateContested": false
   },
   {
    "RulebookFieldId": "SendIntents.MyApprovalWasInForce",
    "TargetTable": "SendIntents",
    "FieldName": "MyApprovalWasInForce",
    "FieldType": "calculated",
    "Datatype": "boolean",
    "Formula": "={{TemplateIsSendable}}",
    "InventedForQuestion": "q2-comms-my-approval-was-consumed-correctly",
    "SemanticTypeIri": "urn:effortless:pko-extension#RulebookField",
    "Name": "SendIntents.MyApprovalWasInForce",
    "IsDerived": true,
    "IsWitness": true,
    "DisagreeingSubstrateCount": 0.0,
    "IsSubstrateContested": false
   },
   {
    "RulebookFieldId": "SendIntents.RefusedOnApprovedContent",
    "TargetTable": "SendIntents",
    "FieldName": "RefusedOnApprovedContent",
    "FieldType": "calculated",
    "Datatype": "boolean",
    "Formula": "=AND({{MyApprovalWasInForce}}, NOT({{ContentGatePassed}}))",
    "InventedForQuestion": "q2-comms-my-approval-was-consumed-correctly",
    "SemanticTypeIri": "urn:effortless:pko-extension#RulebookField",
    "Name": "SendIntents.RefusedOnApprovedContent",
    "IsDerived": true,
    "IsWitness": true,
    "DisagreeingSubstrateCount": 0.0,
    "IsSubstrateContested": false
   },
   {
    "RulebookFieldId": "SendIntents.RefusedOnOptOutOnly",
    "TargetTable": "SendIntents",
    "FieldName": "RefusedOnOptOutOnly",
    "FieldType": "calculated",
    "Datatype": "boolean",
    "Formula": "=AND(NOT({{OptOutGatePassed}}), {{LengthGatePassed}})",
    "InventedForQuestion": "q2-comms-my-approval-was-consumed-correctly",
    "SemanticTypeIri": "urn:effortless:pko-extension#RulebookField",
    "Name": "SendIntents.RefusedOnOptOutOnly",
    "IsDerived": true,
    "IsWitness": true,
    "DisagreeingSubstrateCount": 0.0,
    "IsSubstrateContested": false
   },
   {
    "RulebookFieldId": "SendIntents.RefusalWasOnMyRules",
    "TargetTable": "SendIntents",
    "FieldName": "RefusalWasOnMyRules",
    "FieldType": "calculated",
    "Datatype": "boolean",
    "Formula": "=AND(NOT({{IsClearedToSend}}), OR(NOT({{ContentGatePassed}}), NOT({{TimingGatePassed}})))",
    "InventedForQuestion": "q2-comms-my-approval-was-consumed-correctly",
    "SemanticTypeIri": "urn:effortless:pko-extension#RulebookField",
    "Name": "SendIntents.RefusalWasOnMyRules",
    "IsDerived": true,
    "IsWitness": true,
    "DisagreeingSubstrateCount": 0.0,
    "IsSubstrateContested": false
   },
   {
    "RulebookFieldId": "SendIntents.RefusalWasOutsideMyControl",
    "TargetTable": "SendIntents",
    "FieldName": "RefusalWasOutsideMyControl",
    "FieldType": "calculated",
    "Datatype": "boolean",
    "Formula": "=AND(NOT({{IsClearedToSend}}), OR(NOT({{PermissionGatePassed}}), NOT({{AuthorizationGatePassed}})))",
    "InventedForQuestion": "q2-comms-my-approval-was-consumed-correctly",
    "SemanticTypeIri": "urn:effortless:pko-extension#RulebookField",
    "Name": "SendIntents.RefusalWasOutsideMyControl",
    "IsDerived": true,
    "IsWitness": true,
    "DisagreeingSubstrateCount": 0.0,
    "IsSubstrateContested": false
   },
   {
    "RulebookFieldId": "SendIntents.ApproverWasNotified",
    "TargetTable": "SendIntents",
    "FieldName": "ApproverWasNotified",
    "FieldType": "raw",
    "Datatype": "boolean",
    "Formula": null,
    "InventedForQuestion": "q2-comms-my-approval-was-consumed-correctly",
    "SemanticTypeIri": "urn:effortless:pko-extension#RulebookField",
    "Name": "SendIntents.ApproverWasNotified",
    "IsDerived": false,
    "IsWitness": true,
    "DisagreeingSubstrateCount": 0.0,
    "IsSubstrateContested": false
   },
   {
    "RulebookFieldId": "SendIntents.IsUnreportedRefusalOnMyRules",
    "TargetTable": "SendIntents",
    "FieldName": "IsUnreportedRefusalOnMyRules",
    "FieldType": "calculated",
    "Datatype": "boolean",
    "Formula": "=AND({{RefusalWasOnMyRules}}, NOT({{ApproverWasNotified}}))",
    "InventedForQuestion": "q2-comms-my-approval-was-consumed-correctly",
    "SemanticTypeIri": "urn:effortless:pko-extension#RulebookField",
    "Name": "SendIntents.IsUnreportedRefusalOnMyRules",
    "IsDerived": true,
    "IsWitness": true,
    "DisagreeingSubstrateCount": 0.0,
    "IsSubstrateContested": false
   },
   {
    "RulebookFieldId": "SendIntents.IsApprovalOverriddenSilently",
    "TargetTable": "SendIntents",
    "FieldName": "IsApprovalOverriddenSilently",
    "FieldType": "calculated",
    "Datatype": "boolean",
    "Formula": "=AND({{RefusedOnApprovedContent}}, NOT({{ApproverWasNotified}}))",
    "InventedForQuestion": "q2-comms-my-approval-was-consumed-correctly",
    "SemanticTypeIri": "urn:effortless:pko-extension#RulebookField",
    "Name": "SendIntents.IsApprovalOverriddenSilently",
    "IsDerived": true,
    "IsWitness": true,
    "DisagreeingSubstrateCount": 0.0,
    "IsSubstrateContested": false
   },
   {
    "RulebookFieldId": "SendIntents.AlternateChannelIntent",
    "TargetTable": "SendIntents",
    "FieldName": "AlternateChannelIntent",
    "FieldType": "raw",
    "Datatype": "string",
    "Formula": null,
    "InventedForQuestion": "q2-comms-suppression-is-a-communication",
    "SemanticTypeIri": "urn:effortless:pko-extension#RulebookField",
    "Name": "SendIntents.AlternateChannelIntent",
    "IsDerived": false,
    "IsWitness": true,
    "DisagreeingSubstrateCount": 0.0,
    "IsSubstrateContested": false
   },
   {
    "RulebookFieldId": "SendIntents.HasAlternateChannelAttempt",
    "TargetTable": "SendIntents",
    "FieldName": "HasAlternateChannelAttempt",
    "FieldType": "calculated",
    "Datatype": "boolean",
    "Formula": "={{AlternateChannelIntent}} &lt;&gt; \"\"",
    "InventedForQuestion": "q2-comms-suppression-is-a-communication",
    "SemanticTypeIri": "urn:effortless:pko-extension#RulebookField",
    "Name": "SendIntents.HasAlternateChannelAttempt",
    "IsDerived": true,
    "IsWitness": true,
    "DisagreeingSubstrateCount": 0.0,
    "IsSubstrateContested": false
   },
   {
    "RulebookFieldId": "SendIntents.AlternateAttemptWasCleared",
    "TargetTable": "SendIntents",
    "FieldName": "AlternateAttemptWasCleared",
    "FieldType": "lookup",
    "Datatype": "boolean",
    "Formula": "=INDEX(SendIntents!{{IsClearedToSend}}, MATCH({{AlternateChannelIntent}}, SendIntents!{{SendIntentId}}, 0))",
    "InventedForQuestion": "q2-comms-suppression-is-a-communication",
    "SemanticTypeIri": "urn:effortless:pko-extension#RulebookField",
    "Name": "SendIntents.AlternateAttemptWasCleared",
    "IsDerived": true,
    "IsWitness": true,
    "DisagreeingSubstrateCount": 0.0,
    "IsSubstrateContested": false
   },
   {
    "RulebookFieldId": "SendIntents.IsRefusedWithNoAlternative",
    "TargetTable": "SendIntents",
    "FieldName": "IsRefusedWithNoAlternative",
    "FieldType": "calculated",
    "Datatype": "boolean",
    "Formula": "=AND(NOT({{IsClearedToSend}}), NOT({{HasAlternateChannelAttempt}}))",
    "InventedForQuestion": "q2-comms-suppression-is-a-communication",
    "SemanticTypeIri": "urn:effortless:pko-extension#RulebookField",
    "Name": "SendIntents.IsRefusedWithNoAlternative",
    "IsDerived": true,
    "IsWitness": true,
    "DisagreeingSubstrateCount": 0.0,
    "IsSubstrateContested": false
   },
   {
    "RulebookFieldId": "SendIntents.ExceptionPrescribedAnAlternative",
    "TargetTable": "SendIntents",
    "FieldName": "ExceptionPrescribedAnAlternative",
    "FieldType": "calculated",
    "Datatype": "boolean",
    "Formula": "=AND({{RefusalCitedAnException}}, {{ResultingDeliveryException}} &lt;&gt; \"\")",
    "InventedForQuestion": "q2-comms-suppression-is-a-communication",
    "SemanticTypeIri": "urn:effortless:pko-extension#RulebookField",
    "Name": "SendIntents.ExceptionPrescribedAnAlternative",
    "IsDerived": true,
    "IsWitness": true,
    "DisagreeingSubstrateCount": 0.0,
    "IsSubstrateContested": false
   },
   {
    "RulebookFieldId": "SendIntents.PrescribedHandlingWasPerformed",
    "TargetTable": "SendIntents",
    "FieldName": "PrescribedHandlingWasPerformed",
    "FieldType": "calculated",
    "Datatype": "boolean",
    "Formula": "=AND({{ExceptionPrescribedAnAlternative}}, AND({{HasAlternateChannelAttempt}}, {{AlternateAttemptWasCleared}}))",
    "InventedForQuestion": "q2-comms-suppression-is-a-communication",
    "SemanticTypeIri": "urn:effortless:pko-extension#RulebookField",
    "Name": "SendIntents.PrescribedHandlingWasPerformed",
    "IsDerived": true,
    "IsWitness": true,
    "DisagreeingSubstrateCount": 0.0,
    "IsSubstrateContested": false
   },
   {
    "RulebookFieldId": "SendIntents.IsSuppressionWithoutRemedy",
    "TargetTable": "SendIntents",
    "FieldName": "IsSuppressionWithoutRemedy",
    "FieldType": "calculated",
    "Datatype": "boolean",
    "Formula": "=AND({{ExceptionPrescribedAnAlternative}}, NOT({{PrescribedHandlingWasPerformed}}))",
    "InventedForQuestion": "q2-comms-suppression-is-a-communication",
    "SemanticTypeIri": "urn:effortless:pko-extension#RulebookField",
    "Name": "SendIntents.IsSuppressionWithoutRemedy",
    "IsDerived": true,
    "IsWitness": true,
    "DisagreeingSubstrateCount": 0.0,
    "IsSubstrateContested": false
   },
   {
    "RulebookFieldId": "SendIntents.RefusalRecordedAt",
    "TargetTable": "SendIntents",
    "FieldName": "RefusalRecordedAt",
    "FieldType": "raw",
    "Datatype": "datetime",
    "Formula": null,
    "InventedForQuestion": "q2-publisher-every-refusal-leaves-a-record",
    "SemanticTypeIri": "urn:effortless:pko-extension#RulebookField",
    "Name": "SendIntents.RefusalRecordedAt",
    "IsDerived": false,
    "IsWitness": true,
    "DisagreeingSubstrateCount": 0.0,
    "IsSubstrateContested": false
   },
   {
    "RulebookFieldId": "SendIntents.RefusalNotifiedRole",
    "TargetTable": "SendIntents",
    "FieldName": "RefusalNotifiedRole",
    "FieldType": "relationship",
    "Datatype": "string",
    "Formula": null,
    "InventedForQuestion": "q2-publisher-every-refusal-leaves-a-record",
    "SemanticTypeIri": "urn:effortless:pko-extension#RulebookField",
    "Name": "SendIntents.RefusalNotifiedRole",
    "IsDerived": false,
    "IsWitness": true,
    "DisagreeingSubstrateCount": 0.0,
    "IsSubstrateContested": false
   },
   {
    "RulebookFieldId": "SendIntents.HasDurableRefusalRecord",
    "TargetTable": "SendIntents",
    "FieldName": "HasDurableRefusalRecord",
    "FieldType": "calculated",
    "Datatype": "boolean",
    "Formula": "={{RefusalRecordedAt}} &lt;&gt; \"\"",
    "InventedForQuestion": "q2-publisher-every-refusal-leaves-a-record",
    "SemanticTypeIri": "urn:effortless:pko-extension#RulebookField",
    "Name": "SendIntents.HasDurableRefusalRecord",
    "IsDerived": true,
    "IsWitness": true,
    "DisagreeingSubstrateCount": 0.0,
    "IsSubstrateContested": false
   },
   {
    "RulebookFieldId": "SendIntents.RefusalWasEscalated",
    "TargetTable": "SendIntents",
    "FieldName": "RefusalWasEscalated",
    "FieldType": "calculated",
    "Datatype": "boolean",
    "Formula": "={{RefusalNotifiedRole}} &lt;&gt; \"\"",
    "InventedForQuestion": "q2-publisher-every-refusal-leaves-a-record",
    "SemanticTypeIri": "urn:effortless:pko-extension#RulebookField",
    "Name": "SendIntents.RefusalWasEscalated",
    "IsDerived": true,
    "IsWitness": true,
    "DisagreeingSubstrateCount": 0.0,
    "IsSubstrateContested": false
   },
   {
    "RulebookFieldId": "SendIntents.IsUnrecordedRefusal",
    "TargetTable": "SendIntents",
    "FieldName": "IsUnrecordedRefusal",
    "FieldType": "calculated",
    "Datatype": "boolean",
    "Formula": "=AND({{IsSilentlyDropped}}, AND(NOT({{HasDurableRefusalRecord}}), NOT({{RefusalCitedAnException}})))",
    "InventedForQuestion": "q2-publisher-every-refusal-leaves-a-record",
    "SemanticTypeIri": "urn:effortless:pko-extension#RulebookField",
    "Name": "SendIntents.IsUnrecordedRefusal",
    "IsDerived": true,
    "IsWitness": true,
    "DisagreeingSubstrateCount": 0.0,
    "IsSubstrateContested": false
   },
   {
    "RulebookFieldId": "SendIntents.IsUnescalatedRefusal",
    "TargetTable": "SendIntents",
    "FieldName": "IsUnescalatedRefusal",
    "FieldType": "calculated",
    "Datatype": "boolean",
    "Formula": "=AND(NOT({{IsClearedToSend}}), NOT({{RefusalWasEscalated}}))",
    "InventedForQuestion": "q2-publisher-every-refusal-leaves-a-record",
    "SemanticTypeIri": "urn:effortless:pko-extension#RulebookField",
    "Name": "SendIntents.IsUnescalatedRefusal",
    "IsDerived": true,
    "IsWitness": true,
    "DisagreeingSubstrateCount": 0.0,
    "IsSubstrateContested": false
   },
   {
    "RulebookFieldId": "SendIntents.UnescalatedRefusalRoleKey",
    "TargetTable": "SendIntents",
    "FieldName": "UnescalatedRefusalRoleKey",
    "FieldType": "calculated",
    "Datatype": "string",
    "Formula": "=IF({{IsUnrecordedRefusal}}, {{RefusalNotifiedRole}}, \"\")",
    "InventedForQuestion": "q2-publisher-every-refusal-leaves-a-record",
    "SemanticTypeIri": "urn:effortless:pko-extension#RulebookField",
    "Name": "SendIntents.UnescalatedRefusalRoleKey",
    "IsDerived": true,
    "IsWitness": true,
    "DisagreeingSubstrateCount": 0.0,
    "IsSubstrateContested": false
   },
   {
    "RulebookFieldId": "SendIntents.UnrecordedRefusalExecutionKey",
    "TargetTable": "SendIntents",
    "FieldName": "UnrecordedRefusalExecutionKey",
    "FieldType": "calculated",
    "Datatype": "string",
    "Formula": "=IF({{IsUnrecordedRefusal}}, {{ProcedureExecution}}, \"\")",
    "InventedForQuestion": "q2-publisher-every-refusal-leaves-a-record",
    "SemanticTypeIri": "urn:effortless:pko-extension#RulebookField",
    "Name": "SendIntents.UnrecordedRefusalExecutionKey",
    "IsDerived": true,
    "IsWitness": true,
    "DisagreeingSubstrateCount": 0.0,
    "IsSubstrateContested": false
   },
   {
    "RulebookFieldId": "SendIntents.RetryIntent",
    "TargetTable": "SendIntents",
    "FieldName": "RetryIntent",
    "FieldType": "raw",
    "Datatype": "string",
    "Formula": null,
    "InventedForQuestion": "q2-publisher-deferred-not-cancelled",
    "SemanticTypeIri": "urn:effortless:pko-extension#RulebookField",
    "Name": "SendIntents.RetryIntent",
    "IsDerived": false,
    "IsWitness": true,
    "DisagreeingSubstrateCount": 0.0,
    "IsSubstrateContested": false
   },
   {
    "RulebookFieldId": "SendIntents.WasDeferredOnTiming",
    "TargetTable": "SendIntents",
    "FieldName": "WasDeferredOnTiming",
    "FieldType": "calculated",
    "Datatype": "boolean",
    "Formula": "=AND(NOT({{TimingGatePassed}}), AND({{PermissionGatePassed}}, {{ContentGatePassed}}))",
    "InventedForQuestion": "q2-publisher-deferred-not-cancelled",
    "SemanticTypeIri": "urn:effortless:pko-extension#RulebookField",
    "Name": "SendIntents.WasDeferredOnTiming",
    "IsDerived": true,
    "IsWitness": true,
    "DisagreeingSubstrateCount": 0.0,
    "IsSubstrateContested": false
   },
   {
    "RulebookFieldId": "SendIntents.EvaluationContext",
    "TargetTable": "SendIntents",
    "FieldName": "EvaluationContext",
    "FieldType": "relationship",
    "Datatype": "string",
    "Formula": null,
    "InventedForQuestion": null,
    "SemanticTypeIri": "urn:effortless:pko-extension#RulebookField",
    "Name": "SendIntents.EvaluationContext",
    "IsDerived": false,
    "IsWitness": false,
    "DisagreeingSubstrateCount": 0.0,
    "IsSubstrateContested": false
   },
   {
    "RulebookFieldId": "SendIntents.AsOfInstant",
    "TargetTable": "SendIntents",
    "FieldName": "AsOfInstant",
    "FieldType": "lookup",
    "Datatype": "datetime",
    "Formula": "=INDEX(EvaluationContexts!{{AsOfInstant}}, MATCH({{EvaluationContext}}, EvaluationContexts!{{EvaluationContextId}}, 0))",
    "InventedForQuestion": null,
    "SemanticTypeIri": "urn:effortless:pko-extension#RulebookField",
    "Name": "SendIntents.AsOfInstant",
    "IsDerived": true,
    "IsWitness": false,
    "DisagreeingSubstrateCount": 0.0,
    "IsSubstrateContested": false
   },
   {
    "RulebookFieldId": "SendIntents.WindowHasSinceReopened",
    "TargetTable": "SendIntents",
    "FieldName": "WindowHasSinceReopened",
    "FieldType": "calculated",
    "Datatype": "boolean",
    "Formula": "=AND({{HoursUntilWindowOpens}} &gt; 0, DATETIME_DIFF({{AsOfInstant}}, {{EvaluatedAt}}, \"hours\") &gt; {{HoursUntilWindowOpens}})",
    "InventedForQuestion": "q2-publisher-deferred-not-cancelled",
    "SemanticTypeIri": "urn:effortless:pko-extension#RulebookField",
    "Name": "SendIntents.WindowHasSinceReopened",
    "IsDerived": true,
    "IsWitness": true,
    "DisagreeingSubstrateCount": 0.0,
    "IsSubstrateContested": false
   },
   {
    "RulebookFieldId": "SendIntents.HasRetryAttempt",
    "TargetTable": "SendIntents",
    "FieldName": "HasRetryAttempt",
    "FieldType": "calculated",
    "Datatype": "boolean",
    "Formula": "={{RetryIntent}} &lt;&gt; \"\"",
    "InventedForQuestion": "q2-publisher-deferred-not-cancelled",
    "SemanticTypeIri": "urn:effortless:pko-extension#RulebookField",
    "Name": "SendIntents.HasRetryAttempt",
    "IsDerived": true,
    "IsWitness": true,
    "DisagreeingSubstrateCount": 0.0,
    "IsSubstrateContested": false
   },
   {
    "RulebookFieldId": "SendIntents.RetryWasCleared",
    "TargetTable": "SendIntents",
    "FieldName": "RetryWasCleared",
    "FieldType": "lookup",
    "Datatype": "boolean",
    "Formula": "=INDEX(SendIntents!{{IsClearedToSend}}, MATCH({{RetryIntent}}, SendIntents!{{SendIntentId}}, 0))",
    "InventedForQuestion": "q2-publisher-deferred-not-cancelled",
    "SemanticTypeIri": "urn:effortless:pko-extension#RulebookField",
    "Name": "SendIntents.RetryWasCleared",
    "IsDerived": true,
    "IsWitness": true,
    "DisagreeingSubstrateCount": 0.0,
    "IsSubstrateContested": false
   },
   {
    "RulebookFieldId": "SendIntents.IsAbandonedDeferral",
    "TargetTable": "SendIntents",
    "FieldName": "IsAbandonedDeferral",
    "FieldType": "calculated",
    "Datatype": "boolean",
    "Formula": "=AND({{WasDeferredOnTiming}}, AND({{WindowHasSinceReopened}}, NOT({{HasRetryAttempt}})))",
    "InventedForQuestion": "q2-publisher-deferred-not-cancelled",
    "SemanticTypeIri": "urn:effortless:pko-extension#RulebookField",
    "Name": "SendIntents.IsAbandonedDeferral",
    "IsDerived": true,
    "IsWitness": true,
    "DisagreeingSubstrateCount": 0.0,
    "IsSubstrateContested": false
   },
   {
    "RulebookFieldId": "SendIntents.DeferralAgeHours",
    "TargetTable": "SendIntents",
    "FieldName": "DeferralAgeHours",
    "FieldType": "calculated",
    "Datatype": "integer",
    "Formula": "=DATETIME_DIFF({{AsOfInstant}}, {{EvaluatedAt}}, \"hours\")",
    "InventedForQuestion": "q2-publisher-deferred-not-cancelled",
    "SemanticTypeIri": "urn:effortless:pko-extension#RulebookField",
    "Name": "SendIntents.DeferralAgeHours",
    "IsDerived": true,
    "IsWitness": true,
    "DisagreeingSubstrateCount": 0.0,
    "IsSubstrateContested": false
   },
   {
    "RulebookFieldId": "SendIntents.IsStaleDeferral",
    "TargetTable": "SendIntents",
    "FieldName": "IsStaleDeferral",
    "FieldType": "calculated",
    "Datatype": "boolean",
    "Formula": "=AND({{WasDeferredOnTiming}}, {{DeferralAgeHours}} &gt; 24)",
    "InventedForQuestion": "q2-publisher-deferred-not-cancelled",
    "SemanticTypeIri": "urn:effortless:pko-extension#RulebookField",
    "Name": "SendIntents.IsStaleDeferral",
    "IsDerived": true,
    "IsWitness": true,
    "DisagreeingSubstrateCount": 0.0,
    "IsSubstrateContested": false
   },
   {
    "RulebookFieldId": "SendIntents.EvaluatingRoleAssignment",
    "TargetTable": "SendIntents",
    "FieldName": "EvaluatingRoleAssignment",
    "FieldType": "raw",
    "Datatype": "string",
    "Formula": null,
    "InventedForQuestion": "q2-publisher-my-own-authorization"</t>
  </si>
  <si>
    <t xml:space="preserve">,
    "SemanticTypeIri": "urn:effortless:pko-extension#RulebookField",
    "Name": "SendIntents.EvaluatingRoleAssignment",
    "IsDerived": false,
    "IsWitness": true,
    "DisagreeingSubstrateCount": 0.0,
    "IsSubstrateContested": false
   },
   {
    "RulebookFieldId": "SendIntents.EnforcedByUnauthorizedAgent",
    "TargetTable": "SendIntents",
    "FieldName": "EnforcedByUnauthorizedAgent",
    "FieldType": "lookup",
    "Datatype": "boolean",
    "Formula": "=INDEX(RoleAssignments!{{IsUnauthorizedEnforcementAgent}}, MATCH({{EvaluatingRoleAssignment}}, RoleAssignments!{{RoleAssignmentId}}, 0))",
    "InventedForQuestion": "q2-publisher-my-own-authorization",
    "SemanticTypeIri": "urn:effortless:pko-extension#RulebookField",
    "Name": "SendIntents.EnforcedByUnauthorizedAgent",
    "IsDerived": true,
    "IsWitness": true,
    "DisagreeingSubstrateCount": 0.0,
    "IsSubstrateContested": false
   },
   {
    "RulebookFieldId": "SendIntents.ConsentInputWasResolvable",
    "TargetTable": "SendIntents",
    "FieldName": "ConsentInputWasResolvable",
    "FieldType": "calculated",
    "Datatype": "boolean",
    "Formula": "={{RecipientConsentStatusRaw}} &lt;&gt; \"\"",
    "InventedForQuestion": "q2-publisher-am-i-the-only-witness",
    "SemanticTypeIri": "urn:effortless:pko-extension#RulebookField",
    "Name": "SendIntents.ConsentInputWasResolvable",
    "IsDerived": true,
    "IsWitness": true,
    "DisagreeingSubstrateCount": 0.0,
    "IsSubstrateContested": false
   },
   {
    "RulebookFieldId": "SendIntents.RecipientConsentStatusRaw",
    "TargetTable": "SendIntents",
    "FieldName": "RecipientConsentStatusRaw",
    "FieldType": "lookup",
    "Datatype": "string",
    "Formula": "=INDEX(Recipients!{{SmsConsentStatus}}, MATCH({{Recipient}}, Recipients!{{RecipientId}}, 0))",
    "InventedForQuestion": "q2-publisher-am-i-the-only-witness",
    "SemanticTypeIri": "urn:effortless:pko-extension#RulebookField",
    "Name": "SendIntents.RecipientConsentStatusRaw",
    "IsDerived": true,
    "IsWitness": true,
    "DisagreeingSubstrateCount": 0.0,
    "IsSubstrateContested": false
   },
   {
    "RulebookFieldId": "SendIntents.PolicyInputWasResolvable",
    "TargetTable": "SendIntents",
    "FieldName": "PolicyInputWasResolvable",
    "FieldType": "calculated",
    "Datatype": "boolean",
    "Formula": "={{IntentPolicy}} &lt;&gt; \"\"",
    "InventedForQuestion": "q2-publisher-am-i-the-only-witness",
    "SemanticTypeIri": "urn:effortless:pko-extension#RulebookField",
    "Name": "SendIntents.PolicyInputWasResolvable",
    "IsDerived": true,
    "IsWitness": true,
    "DisagreeingSubstrateCount": 0.0,
    "IsSubstrateContested": false
   },
   {
    "RulebookFieldId": "SendIntents.AllGateInputsResolved",
    "TargetTable": "SendIntents",
    "FieldName": "AllGateInputsResolved",
    "FieldType": "calculated",
    "Datatype": "boolean",
    "Formula": "=AND({{ConsentInputWasResolvable}}, {{PolicyInputWasResolvable}})",
    "InventedForQuestion": "q2-publisher-am-i-the-only-witness",
    "SemanticTypeIri": "urn:effortless:pko-extension#RulebookField",
    "Name": "SendIntents.AllGateInputsResolved",
    "IsDerived": true,
    "IsWitness": true,
    "DisagreeingSubstrateCount": 0.0,
    "IsSubstrateContested": false
   },
   {
    "RulebookFieldId": "SendIntents.IsUnevaluableRefusal",
    "TargetTable": "SendIntents",
    "FieldName": "IsUnevaluableRefusal",
    "FieldType": "calculated",
    "Datatype": "boolean",
    "Formula": "=AND(NOT({{IsClearedToSend}}), NOT({{AllGateInputsResolved}}))",
    "InventedForQuestion": "q2-publisher-am-i-the-only-witness",
    "SemanticTypeIri": "urn:effortless:pko-extension#RulebookField",
    "Name": "SendIntents.IsUnevaluableRefusal",
    "IsDerived": true,
    "IsWitness": true,
    "DisagreeingSubstrateCount": 0.0,
    "IsSubstrateContested": false
   },
   {
    "RulebookFieldId": "SendIntents.GateResultWasIndependentlyConfirmed",
    "TargetTable": "SendIntents",
    "FieldName": "GateResultWasIndependentlyConfirmed",
    "FieldType": "raw",
    "Datatype": "boolean",
    "Formula": null,
    "InventedForQuestion": "q2-publisher-am-i-the-only-witness",
    "SemanticTypeIri": "urn:effortless:pko-extension#RulebookField",
    "Name": "SendIntents.GateResultWasIndependentlyConfirmed",
    "IsDerived": false,
    "IsWitness": true,
    "DisagreeingSubstrateCount": 0.0,
    "IsSubstrateContested": false
   },
   {
    "RulebookFieldId": "SendIntents.IsSelfWitnessedDecision",
    "TargetTable": "SendIntents",
    "FieldName": "IsSelfWitnessedDecision",
    "FieldType": "calculated",
    "Datatype": "boolean",
    "Formula": "=NOT({{GateResultWasIndependentlyConfirmed}})",
    "InventedForQuestion": "q2-publisher-am-i-the-only-witness",
    "SemanticTypeIri": "urn:effortless:pko-extension#RulebookField",
    "Name": "SendIntents.IsSelfWitnessedDecision",
    "IsDerived": true,
    "IsWitness": true,
    "DisagreeingSubstrateCount": 0.0,
    "IsSubstrateContested": false
   },
   {
    "RulebookFieldId": "SendIntents.IsIndependentlyConfirmed",
    "TargetTable": "SendIntents",
    "FieldName": "IsIndependentlyConfirmed",
    "FieldType": "calculated",
    "Datatype": "boolean",
    "Formula": "=AND({{HasResultingDelivery}}, {{ResultingDeliveryWasTransmitted}})",
    "InventedForQuestion": "q2-publisher-am-i-the-only-witness",
    "SemanticTypeIri": "urn:effortless:pko-extension#RulebookField",
    "Name": "SendIntents.IsIndependentlyConfirmed",
    "IsDerived": true,
    "IsWitness": true,
    "DisagreeingSubstrateCount": 0.0,
    "IsSubstrateContested": false
   },
   {
    "RulebookFieldId": "SendIntents.IndependentlyConfirmedExecutionKey",
    "TargetTable": "SendIntents",
    "FieldName": "IndependentlyConfirmedExecutionKey",
    "FieldType": "calculated",
    "Datatype": "string",
    "Formula": "=IF({{IsIndependentlyConfirmed}}, {{ProcedureExecution}}, \"\")",
    "InventedForQuestion": "q2-publisher-am-i-the-only-witness",
    "SemanticTypeIri": "urn:effortless:pko-extension#RulebookField",
    "Name": "SendIntents.IndependentlyConfirmedExecutionKey",
    "IsDerived": true,
    "IsWitness": true,
    "DisagreeingSubstrateCount": 0.0,
    "IsSubstrateContested": false
   },
   {
    "RulebookFieldId": "SendIntents.SemanticTypeIri",
    "TargetTable": "SendIntents",
    "FieldName": "SemanticTypeIri",
    "FieldType": "raw",
    "Datatype": "string",
    "Formula": null,
    "InventedForQuestion": null,
    "SemanticTypeIri": "urn:effortless:pko-extension#RulebookField",
    "Name": "SendIntents.SemanticTypeIri",
    "IsDerived": false,
    "IsWitness": false,
    "DisagreeingSubstrateCount": 0.0,
    "IsSubstrateContested": false
   },
   {
    "RulebookFieldId": "AgentDecisionRecords.AgentDecisionRecordId",
    "TargetTable": "AgentDecisionRecords",
    "FieldName": "AgentDecisionRecordId",
    "FieldType": "raw",
    "Datatype": "string",
    "Formula": null,
    "InventedForQuestion": null,
    "SemanticTypeIri": "urn:effortless:pko-extension#RulebookField",
    "Name": "AgentDecisionRecords.AgentDecisionRecordId",
    "IsDerived": false,
    "IsWitness": false,
    "DisagreeingSubstrateCount": 0.0,
    "IsSubstrateContested": false
   },
   {
    "RulebookFieldId": "AgentDecisionRecords.Name",
    "TargetTable": "AgentDecisionRecords",
    "FieldName": "Name",
    "FieldType": "calculated",
    "Datatype": "string",
    "Formula": "={{DecidingAgent}} &amp; \": \" &amp; LEFT({{DecisionSummary}}, 60)",
    "InventedForQuestion": null,
    "SemanticTypeIri": "urn:effortless:pko-extension#RulebookField",
    "Name": "AgentDecisionRecords.Name",
    "IsDerived": true,
    "IsWitness": false,
    "DisagreeingSubstrateCount": 0.0,
    "IsSubstrateContested": false
   },
   {
    "RulebookFieldId": "AgentDecisionRecords.StepExecution",
    "TargetTable": "AgentDecisionRecords",
    "FieldName": "StepExecution",
    "FieldType": "relationship",
    "Datatype": "string",
    "Formula": null,
    "InventedForQuestion": null,
    "SemanticTypeIri": "urn:effortless:pko-extension#RulebookField",
    "Name": "AgentDecisionRecords.StepExecution",
    "IsDerived": false,
    "IsWitness": false,
    "DisagreeingSubstrateCount": 0.0,
    "IsSubstrateContested": false
   },
   {
    "RulebookFieldId": "AgentDecisionRecords.DecidingAgent",
    "TargetTable": "AgentDecisionRecords",
    "FieldName": "DecidingAgent",
    "FieldType": "relationship",
    "Datatype": "string",
    "Formula": null,
    "InventedForQuestion": null,
    "SemanticTypeIri": "urn:effortless:pko-extension#RulebookField",
    "Name": "AgentDecisionRecords.DecidingAgent",
    "IsDerived": false,
    "IsWitness": false,
    "DisagreeingSubstrateCount": 0.0,
    "IsSubstrateContested": false
   },
   {
    "RulebookFieldId": "AgentDecisionRecords.DecisionKind",
    "TargetTable": "AgentDecisionRecords",
    "FieldName": "DecisionKind",
    "FieldType": "raw",
    "Datatype": "string",
    "Formula": null,
    "InventedForQuestion": null,
    "SemanticTypeIri": "urn:effortless:pko-extension#RulebookField",
    "Name": "AgentDecisionRecords.DecisionKind",
    "IsDerived": false,
    "IsWitness": false,
    "DisagreeingSubstrateCount": 0.0,
    "IsSubstrateContested": false
   },
   {
    "RulebookFieldId": "AgentDecisionRecords.DecisionSummary",
    "TargetTable": "AgentDecisionRecords",
    "FieldName": "DecisionSummary",
    "FieldType": "raw",
    "Datatype": "string",
    "Formula": null,
    "InventedForQuestion": null,
    "SemanticTypeIri": "urn:effortless:pko-extension#RulebookField",
    "Name": "AgentDecisionRecords.DecisionSummary",
    "IsDerived": false,
    "IsWitness": false,
    "DisagreeingSubstrateCount": 0.0,
    "IsSubstrateContested": false
   },
   {
    "RulebookFieldId": "AgentDecisionRecords.DecidedAt",
    "TargetTable": "AgentDecisionRecords",
    "FieldName": "DecidedAt",
    "FieldType": "raw",
    "Datatype": "datetime",
    "Formula": null,
    "InventedForQuestion": null,
    "SemanticTypeIri": "urn:effortless:pko-extension#RulebookField",
    "Name": "AgentDecisionRecords.DecidedAt",
    "IsDerived": false,
    "IsWitness": false,
    "DisagreeingSubstrateCount": 0.0,
    "IsSubstrateContested": false
   },
   {
    "RulebookFieldId": "AgentDecisionRecords.MaterialityBand",
    "TargetTable": "AgentDecisionRecords",
    "FieldName": "MaterialityBand",
    "FieldType": "raw",
    "Datatype": "string",
    "Formula": null,
    "InventedForQuestion": null,
    "SemanticTypeIri": "urn:effortless:pko-extension#RulebookField",
    "Name": "AgentDecisionRecords.MaterialityBand",
    "IsDerived": false,
    "IsWitness": false,
    "DisagreeingSubstrateCount": 0.0,
    "IsSubstrateContested": false
   },
   {
    "RulebookFieldId": "AgentDecisionRecords.HumanDisposition",
    "TargetTable": "AgentDecisionRecords",
    "FieldName": "HumanDisposition",
    "FieldType": "raw",
    "Datatype": "string",
    "Formula": null,
    "InventedForQuestion": null,
    "SemanticTypeIri": "urn:effortless:pko-extension#RulebookField",
    "Name": "AgentDecisionRecords.HumanDisposition",
    "IsDerived": false,
    "IsWitness": false,
    "DisagreeingSubstrateCount": 0.0,
    "IsSubstrateContested": false
   },
   {
    "RulebookFieldId": "AgentDecisionRecords.ReviewedByAgent",
    "TargetTable": "AgentDecisionRecords",
    "FieldName": "ReviewedByAgent",
    "FieldType": "relationship",
    "Datatype": "string",
    "Formula": null,
    "InventedForQuestion": null,
    "SemanticTypeIri": "urn:effortless:pko-extension#RulebookField",
    "Name": "AgentDecisionRecords.ReviewedByAgent",
    "IsDerived": false,
    "IsWitness": false,
    "DisagreeingSubstrateCount": 0.0,
    "IsSubstrateContested": false
   },
   {
    "RulebookFieldId": "AgentDecisionRecords.ReviewedAt",
    "TargetTable": "AgentDecisionRecords",
    "FieldName": "ReviewedAt",
    "FieldType": "raw",
    "Datatype": "datetime",
    "Formula": null,
    "InventedForQuestion": null,
    "SemanticTypeIri": "urn:effortless:pko-extension#RulebookField",
    "Name": "AgentDecisionRecords.ReviewedAt",
    "IsDerived": false,
    "IsWitness": false,
    "DisagreeingSubstrateCount": 0.0,
    "IsSubstrateContested": false
   },
   {
    "RulebookFieldId": "AgentDecisionRecords.WasOverridden",
    "TargetTable": "AgentDecisionRecords",
    "FieldName": "WasOverridden",
    "FieldType": "calculated",
    "Datatype": "boolean",
    "Formula": "=OR({{HumanDisposition}} = \"Corrected\", {{HumanDisposition}} = \"Reversed\")",
    "InventedForQuestion": "q-close-auto-human-override-drift",
    "SemanticTypeIri": "urn:effortless:pko-extension#RulebookField",
    "Name": "AgentDecisionRecords.WasOverridden",
    "IsDerived": true,
    "IsWitness": true,
    "DisagreeingSubstrateCount": 0.0,
    "IsSubstrateContested": false
   },
   {
    "RulebookFieldId": "AgentDecisionRecords.WasReviewed",
    "TargetTable": "AgentDecisionRecords",
    "FieldName": "WasReviewed",
    "FieldType": "calculated",
    "Datatype": "boolean",
    "Formula": "=AND({{HumanDisposition}} &lt;&gt; \"\", {{HumanDisposition}} &lt;&gt; \"NotReviewed\")",
    "InventedForQuestion": "q-close-auto-human-override-drift",
    "SemanticTypeIri": "urn:effortless:pko-extension#RulebookField",
    "Name": "AgentDecisionRecords.WasReviewed",
    "IsDerived": true,
    "IsWitness": true,
    "DisagreeingSubstrateCount": 0.0,
    "IsSubstrateContested": false
   },
   {
    "RulebookFieldId": "AgentDecisionRecords.DecidingAgentKind",
    "TargetTable": "AgentDecisionRecords",
    "FieldName": "DecidingAgentKind",
    "FieldType": "lookup",
    "Datatype": "string",
    "Formula": "=INDEX(Agents!{{AgentKind}}, MATCH({{DecidingAgent}}, Agents!{{AgentId}}, 0))",
    "InventedForQuestion": "q-close-auto-human-override-drift",
    "SemanticTypeIri": "urn:effortless:pko-extension#RulebookField",
    "Name": "AgentDecisionRecords.DecidingAgentKind",
    "IsDerived": true,
    "IsWitness": true,
    "DisagreeingSubstrateCount": 0.0,
    "IsSubstrateContested": false
   },
   {
    "RulebookFieldId": "AgentDecisionRecords.DecidingAgentWhenOverridden",
    "TargetTable": "AgentDecisionRecords",
    "FieldName": "DecidingAgentWhenOverridden",
    "FieldType": "calculated",
    "Datatype": "string",
    "Formula": "=IF({{WasOverridden}}, {{DecidingAgent}}, \"\")",
    "InventedForQuestion": "q-close-auto-human-override-drift",
    "SemanticTypeIri": "urn:effortless:pko-extension#RulebookField",
    "Name": "AgentDecisionRecords.DecidingAgentWhenOverridden",
    "IsDerived": true,
    "IsWitness": true,
    "DisagreeingSubstrateCount": 0.0,
    "IsSubstrateContested": false
   },
   {
    "RulebookFieldId": "AgentDecisionRecords.UnderRoleAssignment",
    "TargetTable": "AgentDecisionRecords",
    "FieldName": "UnderRoleAssignment",
    "FieldType": "relationship",
    "Datatype": "string",
    "Formula": null,
    "InventedForQuestion": null,
    "SemanticTypeIri": "urn:effortless:pko-extension#RulebookField",
    "Name": "AgentDecisionRecords.UnderRoleAssignment",
    "IsDerived": false,
    "IsWitness": false,
    "DisagreeingSubstrateCount": 0.0,
    "IsSubstrateContested": false
   },
   {
    "RulebookFieldId": "AgentDecisionRecords.RoleAssignmentWhenScored",
    "TargetTable": "AgentDecisionRecords",
    "FieldName": "RoleAssignmentWhenScored",
    "FieldType": "calculated",
    "Datatype": "string",
    "Formula": "=IF({{UnderRoleAssignment}} &lt;&gt; \"\", {{UnderRoleAssignment}}, \"\")",
    "InventedForQuestion": "q-variance-ai-quality-vs-human-baseline",
    "SemanticTypeIri": "urn:effortless:pko-extension#RulebookField",
    "Name": "AgentDecisionRecords.RoleAssignmentWhenScored",
    "IsDerived": true,
    "IsWitness": true,
    "DisagreeingSubstrateCount": 0.0,
    "IsSubstrateContested": false
   },
   {
    "RulebookFieldId": "AgentDecisionRecords.RoleAssignmentWhenOverridden",
    "TargetTable": "AgentDecisionRecords",
    "FieldName": "RoleAssignmentWhenOverridden",
    "FieldType": "calculated",
    "Datatype": "string",
    "Formula": "=IF({{WasOverridden}}, {{UnderRoleAssignment}}, \"\")",
    "InventedForQuestion": "q-variance-ai-quality-vs-human-baseline",
    "SemanticTypeIri": "urn:effortless:pko-extension#RulebookField",
    "Name": "AgentDecisionRecords.RoleAssignmentWhenOverridden",
    "IsDerived": true,
    "IsWitness": true,
    "DisagreeingSubstrateCount": 0.0,
    "IsSubstrateContested": false
   },
   {
    "RulebookFieldId": "AgentDecisionRecords.StepOfDecision",
    "TargetTable": "AgentDecisionRecords",
    "FieldName": "StepOfDecision",
    "FieldType": "lookup",
    "Datatype": "string",
    "Formula": "=INDEX(StepExecutions!{{Step}}, MATCH({{StepExecution}}, StepExecutions!{{StepExecutionId}}, 0))",
    "InventedForQuestion": "q-variance-ai-boundary-compliance",
    "SemanticTypeIri": "urn:effortless:pko-extension#RulebookField",
    "Name": "AgentDecisionRecords.StepOfDecision",
    "IsDerived": true,
    "IsWitness": true,
    "DisagreeingSubstrateCount": 0.0,
    "IsSubstrateContested": false
   },
   {
    "RulebookFieldId": "AgentDecisionRecords.BoundaryMatchKey",
    "TargetTable": "AgentDecisionRecords",
    "FieldName": "BoundaryMatchKey",
    "FieldType": "calculated",
    "Datatype": "string",
    "Formula": "={{StepOfDecision}} &amp; \"|\" &amp; {{DecidingAgentKind}} &amp; \"|\" &amp; {{DecisionKind}}",
    "InventedForQuestion": "q-variance-ai-boundary-compliance",
    "SemanticTypeIri": "urn:effortless:pko-extension#RulebookField",
    "Name": "AgentDecisionRecords.BoundaryMatchKey",
    "IsDerived": true,
    "IsWitness": true,
    "DisagreeingSubstrateCount": 0.0,
    "IsSubstrateContested": false
   },
   {
    "RulebookFieldId": "AgentDecisionRecords.MatchingBoundaryCount",
    "TargetTable": "AgentDecisionRecords",
    "FieldName": "MatchingBoundaryCount",
    "FieldType": "aggregation",
    "Datatype": "number",
    "Formula": "=COUNTIFS(AuthorityBoundaries!{{BoundaryMatchKey}}, {{BoundaryMatchKey}})",
    "InventedForQuestion": "q-variance-ai-boundary-compliance",
    "SemanticTypeIri": "urn:effortless:pko-extension#RulebookField",
    "Name": "AgentDecisionRecords.MatchingBoundaryCount",
    "IsDerived": true,
    "IsWitness": true,
    "DisagreeingSubstrateCount": 0.0,
    "IsSubstrateContested": false
   },
   {
    "RulebookFieldId": "AgentDecisionRecords.ViolatedAuthorityBoundary",
    "TargetTable": "AgentDecisionRecords",
    "FieldName": "ViolatedAuthorityBoundary",
    "FieldType": "calculated",
    "Datatype": "boolean",
    "Formula": "={{MatchingBoundaryCount}} &gt; 0",
    "InventedForQuestion": "q-variance-ai-boundary-compliance",
    "SemanticTypeIri": "urn:effortless:pko-extension#RulebookField",
    "Name": "AgentDecisionRecords.ViolatedAuthorityBoundary",
    "IsDerived": true,
    "IsWitness": true,
    "DisagreeingSubstrateCount": 0.0,
    "IsSubstrateContested": false
   },
   {
    "RulebookFieldId": "AgentDecisionRecords.ReviewerAgentKind",
    "TargetTable": "AgentDecisionRecords",
    "FieldName": "ReviewerAgentKind",
    "FieldType": "lookup",
    "Datatype": "string",
    "Formula": "=INDEX(Agents!{{AgentKind}}, MATCH({{ReviewedByAgent}}, Agents!{{AgentId}}, 0))",
    "InventedForQuestion": "q-variance-ai-human-confirmation-present",
    "SemanticTypeIri": "urn:effortless:pko-extension#RulebookField",
    "Name": "AgentDecisionRecords.ReviewerAgentKind",
    "IsDerived": true,
    "IsWitness": true,
    "DisagreeingSubstrateCount": 0.0,
    "IsSubstrateContested": false
   },
   {
    "RulebookFieldId": "AgentDecisionRecords.HasHumanConfirmation",
    "TargetTable": "AgentDecisionRecords",
    "FieldName": "HasHumanConfirmation",
    "FieldType": "calculated",
    "Datatype": "boolean",
    "Formula": "=AND({{ReviewerAgentKind}} = \"Human\", {{HumanDisposition}} &lt;&gt; \"\", {{HumanDisposition}} &lt;&gt; \"NotReviewed\")",
    "InventedForQuestion": "q-variance-ai-human-confirmation-present",
    "SemanticTypeIri": "urn:effortless:pko-extension#RulebookField",
    "Name": "AgentDecisionRecords.HasHumanConfirmation",
    "IsDerived": true,
    "IsWitness": true,
    "DisagreeingSubstrateCount": 0.0,
    "IsSubstrateContested": false
   },
   {
    "RulebookFieldId": "AgentDecisionRecords.NeedsHumanConfirmation",
    "TargetTable": "AgentDecisionRecords",
    "FieldName": "NeedsHumanConfirmation",
    "FieldType": "calculated",
    "Datatype": "boolean",
    "Formula": "=AND(NOT({{DecidingAgentKind}} = \"Human\"), OR({{MaterialityBand}} = \"Material\", {{MaterialityBand}} = \"Escalated\"))",
    "InventedForQuestion": "q-variance-ai-human-confirmation-present",
    "SemanticTypeIri": "urn:effortless:pko-extension#RulebookField",
    "Name": "AgentDecisionRecords.NeedsHumanConfirmation",
    "IsDerived": true,
    "IsWitness": true,
    "DisagreeingSubstrateCount": 0.0,
    "IsSubstrateContested": false
   },
   {
    "RulebookFieldId": "AgentDecisionRecords.IsUnconfirmedNonHumanDecision",
    "TargetTable": "AgentDecisionRecords",
    "FieldName": "IsUnconfirmedNonHumanDecision",
    "FieldType": "calculated",
    "Datatype": "boolean",
    "Formula": "=AND({{NeedsHumanConfirmation}}, NOT({{HasHumanConfirmation}}))",
    "InventedForQuestion": "q-variance-ai-human-confirmation-present",
    "SemanticTypeIri": "urn:effortless:pko-extension#RulebookField",
    "Name": "AgentDecisionRecords.IsUnconfirmedNonHumanDecision",
    "IsDerived": true,
    "IsWitness": true,
    "DisagreeingSubstrateCount": 0.0,
    "IsSubstrateContested": false
   },
   {
    "RulebookFieldId": "AgentDecisionRecords.StepExecutionWhenUnconfirmed",
    "TargetTable": "AgentDecisionRecords",
    "FieldName": "StepExecutionWhenUnconfirmed",
    "FieldType": "calculated",
    "Datatype": "string",
    "Formula": "=IF({{IsUnconfirmedNonHumanDecision}}, {{StepExecution}}, \"\")",
    "InventedForQuestion": "q-variance-ai-human-confirmation-present",
    "SemanticTypeIri": "urn:effortless:pko-extension#RulebookField",
    "Name": "AgentDecisionRecords.StepExecutionWhenUnconfirmed",
    "IsDerived": true,
    "IsWitness": true,
    "DisagreeingSubstrateCount": 0.0,
    "IsSubstrateContested": false
   },
   {
    "RulebookFieldId": "AgentDecisionRecords.AgentWhenBoundaryViolated",
    "TargetTable": "AgentDecisionRecords",
    "FieldName": "AgentWhenBoundaryViolated",
    "FieldType": "calculated",
    "Datatype": "string",
    "Formula": "=IF({{ViolatedAuthorityBoundary}}, {{DecidingAgent}}, \"\")",
    "InventedForQuestion": "q-policy-ai-commitment-boundary",
    "SemanticTypeIri": "urn:effortless:pko-extension#RulebookField",
    "Name": "AgentDecisionRecords.AgentWhenBoundaryViolated",
    "IsDerived": true,
    "IsWitness": true,
    "DisagreeingSubstrateCount": 0.0,
    "IsSubstrateContested": false
   },
   {
    "RulebookFieldId": "AgentDecisionRecords.ReviewLatencyMinutes",
    "TargetTable": "AgentDecisionRecords",
    "FieldName": "ReviewLatencyMinutes",
    "FieldType": "calculated",
    "Datatype": "number",
    "Formula": "=IF({{ReviewedAt}} = \"\", 0, DATETIME_DIFF({{ReviewedAt}}, {{DecidedAt}}, \"minutes\"))",
    "InventedForQuestion": "q-policy-ai-downstream-rewrite",
    "SemanticTypeIri": "urn:effortless:pko-extension#RulebookField",
    "Name": "AgentDecisionRecords.ReviewLatencyMinutes",
    "IsDerived": true,
    "IsWitness": true,
    "DisagreeingSubstrateCount": 1.0,
    "IsSubstrateContested": true
   },
   {
    "RulebookFieldId": "AgentDecisionRecords.IsDraftKind",
    "TargetTable": "AgentDecisionRecords",
    "FieldName": "IsDraftKind",
    "FieldType": "calculated",
    "Datatype": "boolean",
    "Formula": "=OR({{DecisionKind}} = \"Draft\", {{DecisionKind}} = \"Commitment\")",
    "InventedForQuestion": "q-policy-ai-downstream-rewrite",
    "SemanticTypeIri": "urn:effortless:pko-extension#RulebookField",
    "Name": "AgentDecisionRecords.IsDraftKind",
    "IsDerived": true,
    "IsWitness": true,
    "DisagreeingSubstrateCount": 0.0,
    "IsSubstrateContested": false
   },
   {
    "RulebookFieldId": "AgentDecisionRecords.AgentWhenDraftOverridden",
    "TargetTable": "AgentDecisionRecords",
    "FieldName": "AgentWhenDraftOverridden",
    "FieldType": "calculated",
    "Datatype": "string",
    "Formula": "=IF(AND({{IsDraftKind}}, {{WasOverridden}}), {{DecidingAgent}}, \"\")",
    "InventedForQuestion": "q-policy-ai-downstream-rewrite",
    "SemanticTypeIri": "urn:effortless:pko-extension#RulebookField",
    "Name": "AgentDecisionRecords.AgentWhenDraftOverridden",
    "IsDerived": true,
    "IsWitness": true,
    "DisagreeingSubstrateCount": 0.0,
    "IsSubstrateContested": false
   },
   {
    "RulebookFieldId": "AgentDecisionRecords.AgentWhenDraft",
    "TargetTable": "AgentDecisionRecords",
    "FieldName": "AgentWhenDraft",
    "FieldType": "calculated",
    "Datatype": "string",
    "Formula": "=IF({{IsDraftKind}}, {{DecidingAgent}}, \"\")",
    "InventedForQuestion": "q-policy-ai-downstream-rewrite",
    "SemanticTypeIri": "urn:effortless:pko-extension#RulebookField",
    "Name": "AgentDecisionRecords.AgentWhenDraft",
    "IsDerived": true,
    "IsWitness": true,
    "DisagreeingSubstrateCount": 0.0,
    "IsSubstrateContested": false
   },
   {
    "RulebookFieldId": "AgentDecisionRecords.OverrideReasonKind",
    "TargetTable": "AgentDecisionRecords",
    "FieldName": "OverrideReasonKind",
    "FieldType": "raw",
    "Datatype": "string",
    "Formula": null,
    "InventedForQuestion": "q2-variance-override-signal-vs-noise",
    "SemanticTypeIri": "urn:effortless:pko-extension#RulebookField",
    "Name": "AgentDecisionRecords.OverrideReasonKind",
    "IsDerived": false,
    "IsWitness": true,
    "DisagreeingSubstrateCount": 0.0,
    "IsSubstrateContested": false
   },
   {
    "RulebookFieldId": "AgentDecisionRecords.IsErrorCorrection",
    "TargetTable": "AgentDecisionRecords",
    "FieldName": "IsErrorCorrection",
    "FieldType": "calculated",
    "Datatype": "boolean",
    "Formula": "=AND({{WasOverridden}}, {{OverrideReasonKind}} = \"ErrorCorrection\")",
    "InventedForQuestion": "q2-variance-override-signal-vs-noise",
    "SemanticTypeIri": "urn:effortless:pko-extension#RulebookField",
    "Name": "AgentDecisionRecords.IsErrorCorrection",
    "IsDerived": true,
    "IsWitness": true,
    "DisagreeingSubstrateCount": 0.0,
    "IsSubstrateContested": false
   },
   {
    "RulebookFieldId": "AgentDecisionRecords.IsReservedJudgmentOverride",
    "TargetTable": "AgentDecisionRecords",
    "FieldName": "IsReservedJudgmentOverride",
    "FieldType": "calculated",
    "Datatype": "boolean",
    "Formula": "=AND({{WasOverridden}}, {{OverrideReasonKind}} = \"JudgmentReserved\")",
    "InventedForQuestion": "q2-variance-override-signal-vs-noise",
    "SemanticTypeIri": "urn:effortless:pko-extension#RulebookField",
    "Name": "AgentDecisionRecords.IsReservedJudgmentOverride",
    "IsDerived": true,
    "IsWitness": true,
    "DisagreeingSubstrateCount": 0.0,
    "IsSubstrateContested": false
   },
   {
    "RulebookFieldId": "AgentDecisionRecords.OverrideReasonIsRecorded",
    "TargetTable": "AgentDecisionRecords",
    "FieldName": "OverrideReasonIsRecorded",
    "FieldType": "calculated",
    "Datatype": "boolean",
    "Formula": "=AND({{WasOverridden}}, {{OverrideReasonKind}} &lt;&gt; \"\")",
    "InventedForQuestion": "q2-variance-override-signal-vs-noise",
    "SemanticTypeIri": "urn:effortless:pko-extension#RulebookField",
    "Name": "AgentDecisionRecords.OverrideReasonIsRecorded",
    "IsDerived": true,
    "IsWitness": true,
    "DisagreeingSubstrateCount": 0.0,
    "IsSubstrateContested": false
   },
   {
    "RulebookFieldId": "AgentDecisionRecords.IsUnexplainedOverride",
    "TargetTable": "AgentDecisionRecords",
    "FieldName": "IsUnexplainedOverride",
    "FieldType": "calculated",
    "Datatype": "boolean",
    "Formula": "=AND({{WasOverridden}}, NOT({{OverrideReasonIsRecorded}}))",
    "InventedForQuestion": "q2-variance-override-signal-vs-noise",
    "SemanticTypeIri": "urn:effortless:pko-extension#RulebookField",
    "Name": "AgentDecisionRecords.IsUnexplainedOverride",
    "IsDerived": true,
    "IsWitness": true,
    "DisagreeingSubstrateCount": 0.0,
    "IsSubstrateContested": false
   },
   {
    "RulebookFieldId": "AgentDecisionRecords.ErrorCorrectionRoleAssignmentKey",
    "TargetTable": "AgentDecisionRecords",
    "FieldName": "ErrorCorrectionRoleAssignmentKey",
    "FieldType": "calculated",
    "Datatype": "string",
    "Formula": "=IF({{IsErrorCorrection}}, {{UnderRoleAssignment}}, \"\")",
    "InventedForQuestion": "q2-variance-override-signal-vs-noise",
    "SemanticTypeIri": "urn:effortless:pko-extension#RulebookField",
    "Name": "AgentDecisionRecords.ErrorCorrectionRoleAssignmentKey",
    "IsDerived": true,
    "IsWitness": true,
    "DisagreeingSubstrateCount": 0.0,
    "IsSubstrateContested": false
   },
   {
    "RulebookFieldId": "AgentDecisionRecords.BoundaryViolationRoleAssignmentKey",
    "TargetTable": "AgentDecisionRecords",
    "FieldName": "BoundaryViolationRoleAssignmentKey",
    "FieldType": "calculated",
    "Datatype": "string",
    "Formula": "=IF({{ViolatedAuthorityBoundary}}, {{UnderRoleAssignment}}, \"\")",
    "InventedForQuestion": "q2-variance-what-would-make-me-stop",
    "SemanticTypeIri": "urn:effortless:pko-extension#RulebookField",
    "Name": "AgentDecisionRecords.BoundaryViolationRoleAssignmentKey",
    "IsDerived": true,
    "IsWitness": true,
    "DisagreeingSubstrateCount": 0.0,
    "IsSubstrateContested": false
   },
   {
    "RulebookFieldId": "AgentDecisionRecords.SemanticTypeIri",
    "TargetTable": "AgentDecisionRecords",
    "FieldName": "SemanticTypeIri",
    "FieldType": "raw",
    "Datatype": "string",
    "Formula": null,
    "InventedForQuestion": null,
    "SemanticTypeIri": "urn:effortless:pko-extension#RulebookField",
    "Name": "AgentDecisionRecords.SemanticTypeIri",
    "IsDerived": false,
    "IsWitness": false,
    "DisagreeingSubstrateCount": 0.0,
    "IsSubstrateContested": false
   },
   {
    "RulebookFieldId": "DeliveredCommunications.DeliveredCommunicationId",
    "TargetTable": "DeliveredCommunications",
    "FieldName": "DeliveredCommunicationId",
    "FieldType": "raw",
    "Datatype": "string",
    "Formula": null,
    "InventedForQuestion": null,
    "SemanticTypeIri": "urn:effortless:pko-extension#RulebookField",
    "Name": "DeliveredCommunications.DeliveredCommunicationId",
    "IsDerived": false,
    "IsWitness": false,
    "DisagreeingSubstrateCount": 0.0,
    "IsSubstrateContested": false
   },
   {
    "RulebookFieldId": "DeliveredCommunications.Name",
    "TargetTable": "DeliveredCommunications",
    "FieldName": "Name",
    "FieldType": "calculated",
    "Datatype": "string",
    "Formula": "={{Channel}} &amp; \" -&gt; \" &amp; {{RecipientKey}} &amp; \" @ \" &amp; {{SentAt}}",
    "InventedForQuestion": null,
    "SemanticTypeIri": "urn:effortless:pko-extension#RulebookField",
    "Name": "DeliveredCommunications.Name",
    "IsDerived": true,
    "IsWitness": false,
    "DisagreeingSubstrateCount": 1.0,
    "IsSubstrateContested": true
   },
   {
    "RulebookFieldId": "DeliveredCommunications.ProcedureExecution",
    "TargetTable": "DeliveredCommunications",
    "FieldName": "ProcedureExecution",
    "FieldType": "relationship",
    "Datatype": "string",
    "Formula": null,
    "InventedForQuestion": null,
    "SemanticTypeIri": "urn:effortless:pko-extension#RulebookField",
    "Name": "DeliveredCommunications.ProcedureExecution",
    "IsDerived": false,
    "IsWitness": false,
    "DisagreeingSubstrateCount": 0.0,
    "IsSubstrateContested": false
   },
   {
    "RulebookFieldId": "DeliveredCommunications.SendingStepExecution",
    "TargetTable": "DeliveredCommunications",
    "FieldName": "SendingStepExecution",
    "FieldType": "relationship",
    "Datatype": "string",
    "Formula": null,
    "InventedForQuestion": null,
    "SemanticTypeIri": "urn:effortless:pko-extension#RulebookField",
    "Name": "DeliveredCommunications.SendingStepExecution",
    "IsDerived": false,
    "IsWitness": false,
    "DisagreeingSubstrateCount": 0.0,
    "IsSubstrateContested": false
   },
   {
    "RulebookFieldId": "DeliveredCommunications.AuthorizingStepExecution",
    "TargetTable": "DeliveredCommunications",
    "FieldName": "AuthorizingStepExecution",
    "FieldType": "relationship",
    "Datatype": "string",
    "Formula": null,
    "InventedForQuestion": null,
    "SemanticTypeIri": "urn:effortless:pko-extension#RulebookField",
    "Name": "DeliveredCommunications.AuthorizingStepExecution",
    "IsDerived": false,
    "IsWitness": false,
    "DisagreeingSubstrateCount": 0.0,
    "IsSubstrateContested": false
   },
   {
    "RulebookFieldId": "DeliveredCommunications.MessageTemplate",
    "TargetTable": "DeliveredCommunications",
    "FieldName": </t>
  </si>
  <si>
    <t xml:space="preserve">"MessageTemplate",
    "FieldType": "relationship",
    "Datatype": "string",
    "Formula": null,
    "InventedForQuestion": null,
    "SemanticTypeIri": "urn:effortless:pko-extension#RulebookField",
    "Name": "DeliveredCommunications.MessageTemplate",
    "IsDerived": false,
    "IsWitness": false,
    "DisagreeingSubstrateCount": 0.0,
    "IsSubstrateContested": false
   },
   {
    "RulebookFieldId": "DeliveredCommunications.Channel",
    "TargetTable": "DeliveredCommunications",
    "FieldName": "Channel",
    "FieldType": "raw",
    "Datatype": "string",
    "Formula": null,
    "InventedForQuestion": null,
    "SemanticTypeIri": "urn:effortless:pko-extension#RulebookField",
    "Name": "DeliveredCommunications.Channel",
    "IsDerived": false,
    "IsWitness": false,
    "DisagreeingSubstrateCount": 0.0,
    "IsSubstrateContested": false
   },
   {
    "RulebookFieldId": "DeliveredCommunications.RecipientKey",
    "TargetTable": "DeliveredCommunications",
    "FieldName": "RecipientKey",
    "FieldType": "raw",
    "Datatype": "string",
    "Formula": null,
    "InventedForQuestion": null,
    "SemanticTypeIri": "urn:effortless:pko-extension#RulebookField",
    "Name": "DeliveredCommunications.RecipientKey",
    "IsDerived": false,
    "IsWitness": false,
    "DisagreeingSubstrateCount": 0.0,
    "IsSubstrateContested": false
   },
   {
    "RulebookFieldId": "DeliveredCommunications.SentAt",
    "TargetTable": "DeliveredCommunications",
    "FieldName": "SentAt",
    "FieldType": "raw",
    "Datatype": "datetime",
    "Formula": null,
    "InventedForQuestion": null,
    "SemanticTypeIri": "urn:effortless:pko-extension#RulebookField",
    "Name": "DeliveredCommunications.SentAt",
    "IsDerived": false,
    "IsWitness": false,
    "DisagreeingSubstrateCount": 0.0,
    "IsSubstrateContested": false
   },
   {
    "RulebookFieldId": "DeliveredCommunications.RenderedContentHash",
    "TargetTable": "DeliveredCommunications",
    "FieldName": "RenderedContentHash",
    "FieldType": "raw",
    "Datatype": "string",
    "Formula": null,
    "InventedForQuestion": null,
    "SemanticTypeIri": "urn:effortless:pko-extension#RulebookField",
    "Name": "DeliveredCommunications.RenderedContentHash",
    "IsDerived": false,
    "IsWitness": false,
    "DisagreeingSubstrateCount": 0.0,
    "IsSubstrateContested": false
   },
   {
    "RulebookFieldId": "DeliveredCommunications.ApprovedContentHash",
    "TargetTable": "DeliveredCommunications",
    "FieldName": "ApprovedContentHash",
    "FieldType": "raw",
    "Datatype": "string",
    "Formula": null,
    "InventedForQuestion": null,
    "SemanticTypeIri": "urn:effortless:pko-extension#RulebookField",
    "Name": "DeliveredCommunications.ApprovedContentHash",
    "IsDerived": false,
    "IsWitness": false,
    "DisagreeingSubstrateCount": 0.0,
    "IsSubstrateContested": false
   },
   {
    "RulebookFieldId": "DeliveredCommunications.DeliveryStatus",
    "TargetTable": "DeliveredCommunications",
    "FieldName": "DeliveryStatus",
    "FieldType": "raw",
    "Datatype": "string",
    "Formula": null,
    "InventedForQuestion": null,
    "SemanticTypeIri": "urn:effortless:pko-extension#RulebookField",
    "Name": "DeliveredCommunications.DeliveryStatus",
    "IsDerived": false,
    "IsWitness": false,
    "DisagreeingSubstrateCount": 0.0,
    "IsSubstrateContested": false
   },
   {
    "RulebookFieldId": "DeliveredCommunications.SemanticTypeIri",
    "TargetTable": "DeliveredCommunications",
    "FieldName": "SemanticTypeIri",
    "FieldType": "raw",
    "Datatype": "string",
    "Formula": null,
    "InventedForQuestion": null,
    "SemanticTypeIri": "urn:effortless:pko-extension#RulebookField",
    "Name": "DeliveredCommunications.SemanticTypeIri",
    "IsDerived": false,
    "IsWitness": false,
    "DisagreeingSubstrateCount": 0.0,
    "IsSubstrateContested": false
   },
   {
    "RulebookFieldId": "DeliveredCommunications.HasAuthorization",
    "TargetTable": "DeliveredCommunications",
    "FieldName": "HasAuthorization",
    "FieldType": "calculated",
    "Datatype": "boolean",
    "Formula": "={{AuthorizingStepExecution}} &lt;&gt; \"\"",
    "InventedForQuestion": null,
    "SemanticTypeIri": "urn:effortless:pko-extension#RulebookField",
    "Name": "DeliveredCommunications.HasAuthorization",
    "IsDerived": true,
    "IsWitness": false,
    "DisagreeingSubstrateCount": 0.0,
    "IsSubstrateContested": false
   },
   {
    "RulebookFieldId": "DeliveredCommunications.ContentMatchesApproval",
    "TargetTable": "DeliveredCommunications",
    "FieldName": "ContentMatchesApproval",
    "FieldType": "calculated",
    "Datatype": "boolean",
    "Formula": "={{RenderedContentHash}} = {{ApprovedContentHash}}",
    "InventedForQuestion": null,
    "SemanticTypeIri": "urn:effortless:pko-extension#RulebookField",
    "Name": "DeliveredCommunications.ContentMatchesApproval",
    "IsDerived": true,
    "IsWitness": false,
    "DisagreeingSubstrateCount": 0.0,
    "IsSubstrateContested": false
   },
   {
    "RulebookFieldId": "DeliveredCommunications.AuthorizedAt",
    "TargetTable": "DeliveredCommunications",
    "FieldName": "AuthorizedAt",
    "FieldType": "lookup",
    "Datatype": "datetime",
    "Formula": "=INDEX(StepExecutions!{{EndedAt}}, MATCH({{AuthorizingStepExecution}}, StepExecutions!{{StepExecutionId}}, 0))",
    "InventedForQuestion": null,
    "SemanticTypeIri": "urn:effortless:pko-extension#RulebookField",
    "Name": "DeliveredCommunications.AuthorizedAt",
    "IsDerived": true,
    "IsWitness": false,
    "DisagreeingSubstrateCount": 0.0,
    "IsSubstrateContested": false
   },
   {
    "RulebookFieldId": "DeliveredCommunications.WasApprovedBeforeSending",
    "TargetTable": "DeliveredCommunications",
    "FieldName": "WasApprovedBeforeSending",
    "FieldType": "calculated",
    "Datatype": "boolean",
    "Formula": "={{AuthorizedAt}} &lt;= {{SentAt}}",
    "InventedForQuestion": null,
    "SemanticTypeIri": "urn:effortless:pko-extension#RulebookField",
    "Name": "DeliveredCommunications.WasApprovedBeforeSending",
    "IsDerived": true,
    "IsWitness": false,
    "DisagreeingSubstrateCount": 0.0,
    "IsSubstrateContested": false
   },
   {
    "RulebookFieldId": "DeliveredCommunications.IsDefensible",
    "TargetTable": "DeliveredCommunications",
    "FieldName": "IsDefensible",
    "FieldType": "calculated",
    "Datatype": "boolean",
    "Formula": "=AND({{HasAuthorization}}, {{ContentMatchesApproval}}, {{WasApprovedBeforeSending}})",
    "InventedForQuestion": null,
    "SemanticTypeIri": "urn:effortless:pko-extension#RulebookField",
    "Name": "DeliveredCommunications.IsDefensible",
    "IsDerived": true,
    "IsWitness": false,
    "DisagreeingSubstrateCount": 0.0,
    "IsSubstrateContested": false
   },
   {
    "RulebookFieldId": "AuthorityBoundaries.AuthorityBoundaryId",
    "TargetTable": "AuthorityBoundaries",
    "FieldName": "AuthorityBoundaryId",
    "FieldType": "raw",
    "Datatype": "string",
    "Formula": null,
    "InventedForQuestion": null,
    "SemanticTypeIri": "urn:effortless:pko-extension#RulebookField",
    "Name": "AuthorityBoundaries.AuthorityBoundaryId",
    "IsDerived": false,
    "IsWitness": false,
    "DisagreeingSubstrateCount": 0.0,
    "IsSubstrateContested": false
   },
   {
    "RulebookFieldId": "AuthorityBoundaries.Name",
    "TargetTable": "AuthorityBoundaries",
    "FieldName": "Name",
    "FieldType": "calculated",
    "Datatype": "string",
    "Formula": "={{ForbiddenAgentKind}} &amp; \" may not \" &amp; {{ForbiddenDecisionKind}}",
    "InventedForQuestion": null,
    "SemanticTypeIri": "urn:effortless:pko-extension#RulebookField",
    "Name": "AuthorityBoundaries.Name",
    "IsDerived": true,
    "IsWitness": false,
    "DisagreeingSubstrateCount": 0.0,
    "IsSubstrateContested": false
   },
   {
    "RulebookFieldId": "AuthorityBoundaries.Step",
    "TargetTable": "AuthorityBoundaries",
    "FieldName": "Step",
    "FieldType": "relationship",
    "Datatype": "string",
    "Formula": null,
    "InventedForQuestion": null,
    "SemanticTypeIri": "urn:effortless:pko-extension#RulebookField",
    "Name": "AuthorityBoundaries.Step",
    "IsDerived": false,
    "IsWitness": false,
    "DisagreeingSubstrateCount": 0.0,
    "IsSubstrateContested": false
   },
   {
    "RulebookFieldId": "AuthorityBoundaries.ForbiddenAgentKind",
    "TargetTable": "AuthorityBoundaries",
    "FieldName": "ForbiddenAgentKind",
    "FieldType": "raw",
    "Datatype": "string",
    "Formula": null,
    "InventedForQuestion": null,
    "SemanticTypeIri": "urn:effortless:pko-extension#RulebookField",
    "Name": "AuthorityBoundaries.ForbiddenAgentKind",
    "IsDerived": false,
    "IsWitness": false,
    "DisagreeingSubstrateCount": 0.0,
    "IsSubstrateContested": false
   },
   {
    "RulebookFieldId": "AuthorityBoundaries.ForbiddenDecisionKind",
    "TargetTable": "AuthorityBoundaries",
    "FieldName": "ForbiddenDecisionKind",
    "FieldType": "raw",
    "Datatype": "string",
    "Formula": null,
    "InventedForQuestion": null,
    "SemanticTypeIri": "urn:effortless:pko-extension#RulebookField",
    "Name": "AuthorityBoundaries.ForbiddenDecisionKind",
    "IsDerived": false,
    "IsWitness": false,
    "DisagreeingSubstrateCount": 0.0,
    "IsSubstrateContested": false
   },
   {
    "RulebookFieldId": "AuthorityBoundaries.RatifiedByKnowledgeFragment",
    "TargetTable": "AuthorityBoundaries",
    "FieldName": "RatifiedByKnowledgeFragment",
    "FieldType": "relationship",
    "Datatype": "string",
    "Formula": null,
    "InventedForQuestion": null,
    "SemanticTypeIri": "urn:effortless:pko-extension#RulebookField",
    "Name": "AuthorityBoundaries.RatifiedByKnowledgeFragment",
    "IsDerived": false,
    "IsWitness": false,
    "DisagreeingSubstrateCount": 0.0,
    "IsSubstrateContested": false
   },
   {
    "RulebookFieldId": "AuthorityBoundaries.EnforcingRequirement",
    "TargetTable": "AuthorityBoundaries",
    "FieldName": "EnforcingRequirement",
    "FieldType": "relationship",
    "Datatype": "string",
    "Formula": null,
    "InventedForQuestion": null,
    "SemanticTypeIri": "urn:effortless:pko-extension#RulebookField",
    "Name": "AuthorityBoundaries.EnforcingRequirement",
    "IsDerived": false,
    "IsWitness": false,
    "DisagreeingSubstrateCount": 0.0,
    "IsSubstrateContested": false
   },
   {
    "RulebookFieldId": "AuthorityBoundaries.AuthorityRole",
    "TargetTable": "AuthorityBoundaries",
    "FieldName": "AuthorityRole",
    "FieldType": "relationship",
    "Datatype": "string",
    "Formula": null,
    "InventedForQuestion": null,
    "SemanticTypeIri": "urn:effortless:pko-extension#RulebookField",
    "Name": "AuthorityBoundaries.AuthorityRole",
    "IsDerived": false,
    "IsWitness": false,
    "DisagreeingSubstrateCount": 0.0,
    "IsSubstrateContested": false
   },
   {
    "RulebookFieldId": "AuthorityBoundaries.ValidFrom",
    "TargetTable": "AuthorityBoundaries",
    "FieldName": "ValidFrom",
    "FieldType": "raw",
    "Datatype": "datetime",
    "Formula": null,
    "InventedForQuestion": null,
    "SemanticTypeIri": "urn:effortless:pko-extension#RulebookField",
    "Name": "AuthorityBoundaries.ValidFrom",
    "IsDerived": false,
    "IsWitness": false,
    "DisagreeingSubstrateCount": 0.0,
    "IsSubstrateContested": false
   },
   {
    "RulebookFieldId": "AuthorityBoundaries.ValidTo",
    "TargetTable": "AuthorityBoundaries",
    "FieldName": "ValidTo",
    "FieldType": "raw",
    "Datatype": "datetime",
    "Formula": null,
    "InventedForQuestion": null,
    "SemanticTypeIri": "urn:effortless:pko-extension#RulebookField",
    "Name": "AuthorityBoundaries.ValidTo",
    "IsDerived": false,
    "IsWitness": false,
    "DisagreeingSubstrateCount": 0.0,
    "IsSubstrateContested": false
   },
   {
    "RulebookFieldId": "AuthorityBoundaries.Status",
    "TargetTable": "AuthorityBoundaries",
    "FieldName": "Status",
    "FieldType": "raw",
    "Datatype": "string",
    "Formula": null,
    "InventedForQuestion": null,
    "SemanticTypeIri": "urn:effortless:pko-extension#RulebookField",
    "Name": "AuthorityBoundaries.Status",
    "IsDerived": false,
    "IsWitness": false,
    "DisagreeingSubstrateCount": 0.0,
    "IsSubstrateContested": false
   },
   {
    "RulebookFieldId": "AuthorityBoundaries.EvaluationContext",
    "TargetTable": "AuthorityBoundaries",
    "FieldName": "EvaluationContext",
    "FieldType": "relationship",
    "Datatype": "string",
    "Formula": null,
    "InventedForQuestion": null,
    "SemanticTypeIri": "urn:effortless:pko-extension#RulebookField",
    "Name": "AuthorityBoundaries.EvaluationContext",
    "IsDerived": false,
    "IsWitness": false,
    "DisagreeingSubstrateCount": 0.0,
    "IsSubstrateContested": false
   },
   {
    "RulebookFieldId": "AuthorityBoundaries.AsOfInstant",
    "TargetTable": "AuthorityBoundaries",
    "FieldName": "AsOfInstant",
    "FieldType": "lookup",
    "Datatype": "datetime",
    "Formula": "=INDEX(EvaluationContexts!{{AsOfInstant}}, MATCH({{EvaluationContext}}, EvaluationContexts!{{EvaluationContextId}}, 0))",
    "InventedForQuestion": null,
    "SemanticTypeIri": "urn:effortless:pko-extension#RulebookField",
    "Name": "AuthorityBoundaries.AsOfInstant",
    "IsDerived": true,
    "IsWitness": false,
    "DisagreeingSubstrateCount": 0.0,
    "IsSubstrateContested": false
   },
   {
    "RulebookFieldId": "AuthorityBoundaries.IsCurrentlyBinding",
    "TargetTable": "AuthorityBoundaries",
    "FieldName": "IsCurrentlyBinding",
    "FieldType": "calculated",
    "Datatype": "boolean",
    "Formula": "=AND({{Status}} = \"Approved\", {{ValidFrom}} &lt;= {{AsOfInstant}}, OR({{ValidTo}} = \"\", {{ValidTo}} &gt; {{AsOfInstant}}))",
    "InventedForQuestion": "q-variance-ai-boundary-compliance",
    "SemanticTypeIri": "urn:effortless:pko-extension#RulebookField",
    "Name": "AuthorityBoundaries.IsCurrentlyBinding",
    "IsDerived": true,
    "IsWitness": true,
    "DisagreeingSubstrateCount": 0.0,
    "IsSubstrateContested": false
   },
   {
    "RulebookFieldId": "AuthorityBoundaries.RatifyingFragmentIsValid",
    "TargetTable": "AuthorityBoundaries",
    "FieldName": "RatifyingFragmentIsValid",
    "FieldType": "lookup",
    "Datatype": "boolean",
    "Formula": "=INDEX(KnowledgeFragments!{{IsCurrentlyValid}}, MATCH({{RatifiedByKnowledgeFragment}}, KnowledgeFragments!{{KnowledgeFragmentId}}, 0))",
    "InventedForQuestion": "q-variance-ai-boundary-compliance",
    "SemanticTypeIri": "urn:effortless:pko-extension#RulebookField",
    "Name": "AuthorityBoundaries.RatifyingFragmentIsValid",
    "IsDerived": true,
    "IsWitness": true,
    "DisagreeingSubstrateCount": 0.0,
    "IsSubstrateContested": false
   },
   {
    "RulebookFieldId": "AuthorityBoundaries.StepWhenBinding",
    "TargetTable": "AuthorityBoundaries",
    "FieldName": "StepWhenBinding",
    "FieldType": "calculated",
    "Datatype": "string",
    "Formula": "=IF({{IsCurrentlyBinding}}, {{Step}}, \"\")",
    "InventedForQuestion": "q-variance-ai-boundary-compliance",
    "SemanticTypeIri": "urn:effortless:pko-extension#RulebookField",
    "Name": "AuthorityBoundaries.StepWhenBinding",
    "IsDerived": true,
    "IsWitness": true,
    "DisagreeingSubstrateCount": 0.0,
    "IsSubstrateContested": false
   },
   {
    "RulebookFieldId": "AuthorityBoundaries.BoundaryMatchKey",
    "TargetTable": "AuthorityBoundaries",
    "FieldName": "BoundaryMatchKey",
    "FieldType": "calculated",
    "Datatype": "string",
    "Formula": "={{Step}} &amp; \"|\" &amp; {{ForbiddenAgentKind}} &amp; \"|\" &amp; {{ForbiddenDecisionKind}}",
    "InventedForQuestion": "q-variance-ai-boundary-compliance",
    "SemanticTypeIri": "urn:effortless:pko-extension#RulebookField",
    "Name": "AuthorityBoundaries.BoundaryMatchKey",
    "IsDerived": true,
    "IsWitness": true,
    "DisagreeingSubstrateCount": 0.0,
    "IsSubstrateContested": false
   },
   {
    "RulebookFieldId": "AuthorityBoundaries.ViolationCount",
    "TargetTable": "AuthorityBoundaries",
    "FieldName": "ViolationCount",
    "FieldType": "aggregation",
    "Datatype": "number",
    "Formula": "=COUNTIFS(AgentDecisionRecords!{{BoundaryMatchKey}}, {{BoundaryMatchKey}})",
    "InventedForQuestion": "q-policy-ai-commitment-boundary",
    "SemanticTypeIri": "urn:effortless:pko-extension#RulebookField",
    "Name": "AuthorityBoundaries.ViolationCount",
    "IsDerived": true,
    "IsWitness": true,
    "DisagreeingSubstrateCount": 0.0,
    "IsSubstrateContested": false
   },
   {
    "RulebookFieldId": "AuthorityBoundaries.IsUntested",
    "TargetTable": "AuthorityBoundaries",
    "FieldName": "IsUntested",
    "FieldType": "calculated",
    "Datatype": "boolean",
    "Formula": "=AND({{IsCurrentlyBinding}}, {{ViolationCount}} = 0)",
    "InventedForQuestion": "q-policy-ai-commitment-boundary",
    "SemanticTypeIri": "urn:effortless:pko-extension#RulebookField",
    "Name": "AuthorityBoundaries.IsUntested",
    "IsDerived": true,
    "IsWitness": true,
    "DisagreeingSubstrateCount": 0.0,
    "IsSubstrateContested": false
   },
   {
    "RulebookFieldId": "AuthorityBoundaries.HasRatifyingFragment",
    "TargetTable": "AuthorityBoundaries",
    "FieldName": "HasRatifyingFragment",
    "FieldType": "calculated",
    "Datatype": "boolean",
    "Formula": "={{RatifiedByKnowledgeFragment}} &lt;&gt; \"\"",
    "InventedForQuestion": null,
    "SemanticTypeIri": "urn:effortless:pko-extension#RulebookField",
    "Name": "AuthorityBoundaries.HasRatifyingFragment",
    "IsDerived": true,
    "IsWitness": false,
    "DisagreeingSubstrateCount": 0.0,
    "IsSubstrateContested": false
   },
   {
    "RulebookFieldId": "AuthorityBoundaries.IsUnwarranted",
    "TargetTable": "AuthorityBoundaries",
    "FieldName": "IsUnwarranted",
    "FieldType": "calculated",
    "Datatype": "boolean",
    "Formula": "=AND({{IsCurrentlyBinding}}, OR(NOT({{HasRatifyingFragment}}), NOT({{RatifyingFragmentIsValid}})))",
    "InventedForQuestion": "q2-authority-boundary-rests-on-expired-claim",
    "SemanticTypeIri": "urn:effortless:pko-extension#RulebookField",
    "Name": "AuthorityBoundaries.IsUnwarranted",
    "IsDerived": true,
    "IsWitness": true,
    "DisagreeingSubstrateCount": 0.0,
    "IsSubstrateContested": false
   },
   {
    "RulebookFieldId": "AuthorityBoundaries.RatifyingFragmentIsOverdue",
    "TargetTable": "AuthorityBoundaries",
    "FieldName": "RatifyingFragmentIsOverdue",
    "FieldType": "lookup",
    "Datatype": "boolean",
    "Formula": "=INDEX(KnowledgeFragments!{{IsOverdueForReview}}, MATCH({{RatifiedByKnowledgeFragment}}, KnowledgeFragments!{{KnowledgeFragmentId}}, 0))",
    "InventedForQuestion": "q2-authority-boundary-rests-on-expired-claim",
    "SemanticTypeIri": "urn:effortless:pko-extension#RulebookField",
    "Name": "AuthorityBoundaries.RatifyingFragmentIsOverdue",
    "IsDerived": true,
    "IsWitness": true,
    "DisagreeingSubstrateCount": 0.0,
    "IsSubstrateContested": false
   },
   {
    "RulebookFieldId": "AuthorityBoundaries.RatifyingFragmentIsSingleWitness",
    "TargetTable": "AuthorityBoundaries",
    "FieldName": "RatifyingFragmentIsSingleWitness",
    "FieldType": "lookup",
    "Datatype": "boolean",
    "Formula": "=INDEX(KnowledgeFragments!{{IsFromSingleWitness}}, MATCH({{RatifiedByKnowledgeFragment}}, KnowledgeFragments!{{KnowledgeFragmentId}}, 0))",
    "InventedForQuestion": "q2-authority-boundary-rests-on-expired-claim",
    "SemanticTypeIri": "urn:effortless:pko-extension#RulebookField",
    "Name": "AuthorityBoundaries.RatifyingFragmentIsSingleWitness",
    "IsDerived": true,
    "IsWitness": true,
    "DisagreeingSubstrateCount": 0.0,
    "IsSubstrateContested": false
   },
   {
    "RulebookFieldId": "AuthorityBoundaries.WarrantIsThin",
    "TargetTable": "AuthorityBoundaries",
    "FieldName": "WarrantIsThin",
    "FieldType": "calculated",
    "Datatype": "boolean",
    "Formula": "=AND({{IsCurrentlyBinding}}, OR({{RatifyingFragmentIsOverdue}}, {{RatifyingFragmentIsSingleWitness}}))",
    "InventedForQuestion": "q2-authority-boundary-rests-on-expired-claim",
    "SemanticTypeIri": "urn:effortless:pko-extension#RulebookField",
    "Name": "AuthorityBoundaries.WarrantIsThin",
    "IsDerived": true,
    "IsWitness": true,
    "DisagreeingSubstrateCount": 0.0,
    "IsSubstrateContested": false
   },
   {
    "RulebookFieldId": "AuthorityBoundaries.IsUnwarrantedAndUntested",
    "TargetTable": "AuthorityBoundaries",
    "FieldName": "IsUnwarrantedAndUntested",
    "FieldType": "calculated",
    "Datatype": "boolean",
    "Formula": "=AND({{IsUnwarranted}}, {{IsUntested}})",
    "InventedForQuestion": "q2-authority-boundary-rests-on-expired-claim",
    "SemanticTypeIri": "urn:effortless:pko-extension#RulebookField",
    "Name": "AuthorityBoundaries.IsUnwarrantedAndUntested",
    "IsDerived": true,
    "IsWitness": true,
    "DisagreeingSubstrateCount": 0.0,
    "IsSubstrateContested": false
   },
   {
    "RulebookFieldId": "AuthorityBoundaries.UnwarrantedBoundaryStepKey",
    "TargetTable": "AuthorityBoundaries",
    "FieldName": "UnwarrantedBoundaryStepKey",
    "FieldType": "calculated",
    "Datatype": "string",
    "Formula": "=IF({{IsUnwarranted}}, {{Step}}, \"\")",
    "InventedForQuestion": "q2-authority-boundary-rests-on-expired-claim",
    "SemanticTypeIri": "urn:effortless:pko-extension#RulebookField",
    "Name": "AuthorityBoundaries.UnwarrantedBoundaryStepKey",
    "IsDerived": true,
    "IsWitness": true,
    "DisagreeingSubstrateCount": 0.0,
    "IsSubstrateContested": false
   },
   {
    "RulebookFieldId": "AuthorityBoundaries.RatifyingFragmentKey",
    "TargetTable": "AuthorityBoundaries",
    "FieldName": "RatifyingFragmentKey",
    "FieldType": "calculated",
    "Datatype": "string",
    "Formula": "=IF({{IsCurrentlyBinding}}, {{RatifiedByKnowledgeFragment}}, \"\")",
    "InventedForQuestion": "q2-hr-my-unapproved-claim-is-load-bearing",
    "SemanticTypeIri": "urn:effortless:pko-extension#RulebookField",
    "Name": "AuthorityBoundaries.RatifyingFragmentKey",
    "IsDerived": true,
    "IsWitness": true,
    "DisagreeingSubstrateCount": 0.0,
    "IsSubstrateContested": false
   },
   {
    "RulebookFieldId": "AuthorityBoundaries.RatifyingFragmentStatus",
    "TargetTable": "AuthorityBoundaries",
    "FieldName": "RatifyingFragmentStatus",
    "FieldType": "lookup",
    "Datatype": "string",
    "Formula": "=INDEX(KnowledgeFragments!{{Status}}, MATCH({{RatifiedByKnowledgeFragment}}, KnowledgeFragments!{{KnowledgeFragmentId}}, 0))",
    "InventedForQuestion": "q2-variance-boundary-rests-on-expired-knowledge",
    "SemanticTypeIri": "urn:effortless:pko-extension#RulebookField",
    "Name": "AuthorityBoundaries.RatifyingFragmentStatus",
    "IsDerived": true,
    "IsWitness": true,
    "DisagreeingSubstrateCount": 0.0,
    "IsSubstrateContested": false
   },
   {
    "RulebookFieldId": "AuthorityBoundaries.RatificationLapsed",
    "TargetTable": "AuthorityBoundaries",
    "FieldName": "RatificationLapsed",
    "FieldType": "calculated",
    "Datatype": "boolean",
    "Formula": "=AND({{HasRatifyingFragment}}, NOT({{RatifyingFragmentIsValid}}))",
    "InventedForQuestion": "q2-variance-boundary-rests-on-expired-knowledge",
    "SemanticTypeIri": "urn:effortless:pko-extension#RulebookField",
    "Name": "AuthorityBoundaries.RatificationLapsed",
    "IsDerived": true,
    "IsWitness": true,
    "DisagreeingSubstrateCount": 0.0,
    "IsSubstrateContested": false
   },
   {
    "RulebookFieldId": "AuthorityBoundaries.BindsDespiteLapsedRatification",
    "TargetTable": "AuthorityBoundaries",
    "FieldName": "BindsDespiteLapsedRatification",
    "FieldType": "calculated",
    "Datatype": "boolean",
    "Formula": "=AND({{IsCurrentlyBinding}}, {{RatificationLapsed}})",
    "InventedForQuestion": "q2-variance-boundary-rests-on-expired-knowledge",
    "SemanticTypeIri": "urn:effortless:pko-extension#RulebookField",
    "Name": "AuthorityBoundaries.BindsDespiteLapsedRatification",
    "IsDerived": true,
    "IsWitness": true,
    "DisagreeingSubstrateCount": 0.0,
    "IsSubstrateContested": false
   },
   {
    "RulebookFieldId": "AuthorityBoundaries.IsUngroundedAndUntested",
    "TargetTable": "AuthorityBoundaries",
    "FieldName": "IsUngroundedAndUntested",
    "FieldType": "calculated",
    "Datatype": "boolean",
    "Formula": "=AND({{BindsDespiteLapsedRatification}}, {{IsUntested}})",
    "InventedForQuestion": "q2-variance-boundary-rests-on-expired-knowledge",
    "SemanticTypeIri": "urn:effortless:pko-extension#RulebookField",
    "Name": "AuthorityBoundaries.IsUngroundedAndUntested",
    "IsDerived": true,
    "IsWitness": true,
    "DisagreeingSubstrateCount": 0.0,
    "IsSubstrateContested": false
   },
   {
    "RulebookFieldId": "AuthorityBoundaries.ConstrainedRoleAssignmentKey",
    "TargetTable": "AuthorityBoundaries",
    "FieldName": "ConstrainedRoleAssignmentKey",
    "FieldType": "calculated",
    "Datatype": "string",
    "Formula": "=IF({{BindsDespiteLapsedRatification}}, {{AuthorityRole}}, \"\")",
    "InventedForQuestion": "q2-variance-boundary-rests-on-expired-knowledge",
    "SemanticTypeIri": "urn:effortless:pko-extension#RulebookField",
    "Name": "AuthorityBoundaries.ConstrainedRoleAssignmentKey",
    "IsDerived": true,
    "IsWitness": true,
    "DisagreeingSubstrateCount": 0.0,
    "IsSubstrateContested": false
   },
   {
    "RulebookFieldId": "AuthorityBoundaries.SemanticTypeIri",
    "TargetTable": "AuthorityBoundaries",
    "FieldName": "SemanticTypeIri",
    "FieldType": "raw",
    "Datatype": "string",
    "Formula": null,
    "InventedForQuestion": null,
    "SemanticTypeIri": "urn:effortless:pko-extension#RulebookField",
    "Name": "AuthorityBoundaries.SemanticTypeIri",
    "IsDerived": false,
    "IsWitness": false,
    "DisagreeingSubstrateCount": 0.0,
    "IsSubstrateContested": false
   },
   {
    "RulebookFieldId": "BindingObservations.BindingObservationId",
    "TargetTable": "BindingObservations",
    "FieldName": "BindingObservationId",
    "FieldType": "raw",
    "Datatype": "string",
    "Formula": null,
    "InventedForQuestion": "q2-fa-stale-then-vs-stale-now",
    "SemanticTypeIri": "urn:effortless:pko-extension#RulebookField",
    "Name": "BindingObservations.BindingObservationId",
    "IsDerived": false,
    "IsWitness": true,
    "DisagreeingSubstrateCount": 0.0,
    "IsSubstrateContested": false
   },
   {
    "RulebookFieldId": "BindingObservations.Name",
    "TargetTable": "BindingObservations",
    "FieldName": "Name",
    "FieldType": "calculated",
    "Datatype": "string",
    "Formula": "={{StepExecution}} &amp; \" / \" &amp; {{BindingObservationId}}",
    "InventedForQuestion": null,
    "SemanticTypeIri": "urn:effortless:pko-extension#RulebookField",
    "Name": "BindingObservations.Name",
    "IsDerived": true,
    "IsWitness": false,
    "DisagreeingSubstrateCount": 0.0,
    "IsSubstrateContested": false
   },
   {
    "RulebookFieldId": "BindingObservations.StepExecution",
    "TargetTable": "BindingObservations",
    "FieldName": "StepExecution",
    "FieldType": "relationship",
    "Datatype": "string",
    "Formula": null,
    "InventedForQuestion": "q2-fa-stale-then-vs-stale-now",
    "SemanticTypeIri": "urn:effortless:pko-extension#RulebookField",
    "Name": "BindingObservations.StepExecution",
    "IsDerived": false,
    "IsWitness": true,
    "DisagreeingSubstrateCount": 0.0,
    "IsSubstrateContested": false
   },
   {
    "RulebookFieldId": "BindingObservations.OperationalBinding",
    "TargetTable": "BindingObservations",
    "FieldName": "OperationalBinding",
    "FieldType": "relationship",
    "Datatype": "string",
    "Formula": null,
    "InventedForQuestion": "q2-fa-stale-then-vs-stale-now",
    "SemanticTypeIri": "urn:effortless:pko-extension#RulebookField",
    "Name": "BindingObservations.OperationalBinding",
    "IsDerived": false,
    "IsWitness": true,
    "DisagreeingSubstrateCount": 0.0,
    "IsSubstrateContested": false
   },
   {
    "RulebookFieldId": "BindingObservations.ObservedSourceTimestamp",
    "TargetTable": "BindingObservations",
    "FieldName": "ObservedSourceTimestamp",
    "FieldType": "raw",
    "Datatype": "datetime",
    "Formula": null,
    "InventedForQuestion": "q2-fa-stale-then-vs-stale-now",
    "SemanticTypeIri": "urn:effortless:pko-extension#RulebookField",
    "Name": "BindingObservations.ObservedSourceTimestamp",
    "IsDerived": false,
    "IsWitness": true,
    "DisagreeingSubstrateCount": 0.0,
    "IsSubstrateContested": false
   },
   {
    "RulebookFieldId": "BindingObservations.ReadAt",
    "TargetTable": "BindingObservations",
    "FieldName": "ReadAt",
    "FieldType": "raw",
    "Datatype": "datetime",
    "Formula": null,
    "InventedForQuestion": "q2-fa-stale-then-vs-stale-now",
    "SemanticTypeIri": "urn:effortless:pko-extension#RulebookField",
    "Name": "BindingObservations.ReadAt",
    "IsDerived": false,
    "IsWitness": true,
    "DisagreeingSubstrateCount": 0.0,
    "IsSubstrateContested": false
   },
   {
    "RulebookFieldId": "BindingObservations.SlaMinutesAtRun",
    "TargetTable": "BindingObservations",
    "FieldName": "SlaMinutesAtRun",
    "FieldType": "lookup",
    "Datatype": "integer",
    "Formula": "=INDEX(OperationalBindings!{{FreshnessSlaMinutes}}, MATCH({{OperationalBinding}}, OperationalBindings!{{OperationalBindingId}}, 0))",
    "InventedForQuestion": "q2-fa-stale-then-vs-stale-now",
    "SemanticTypeIri": "urn:effortless:pko-extension#RulebookField",
    "Name": "BindingObservations.SlaMinutesAtRun",
    "IsDerived": true,
    "IsWitness": true,
    "DisagreeingSubstrateCount": 0.0,
    "IsSubstrateContested": false
   },
   {
    "RulebookFieldId": "BindingObservations.AgeAtRunMinutes",
    "TargetTable": "BindingObservations",
    "FieldName": "AgeAtRunMinutes",
    "FieldType": "calculated",
    "Datatype": "integer",
    "Formula": "=DATETIME_DIFF({{ReadAt}}, {{ObservedSourceTimestamp}}, \"minutes\")",
    "InventedForQuestion": "q2-fa-stale-then-vs-stale-now",
    "SemanticTypeIri": "urn:effortless:pko-extension#RulebookField",
    "Name": "BindingObservations.AgeAtRunMinutes",
    "IsDerived": true,
    "IsWitness": true,
    "DisagreeingSubstrateCount": 0.0,
    "IsSubstrateContested": false
   },
   {
    "RulebookFieldId": "BindingObservations.WasStaleAtRun",
    "TargetTable": "BindingObservations",
    "FieldName": "WasStaleAtRun",
    "FieldType": "calculated",
    "Datatype": "boolean",
    "Formula": "=AND({{IsAuthoritativeBinding}}, {{AgeAtRunMinutes}} &gt; {{SlaMinutesAtRun}})",
    "InventedForQuestion": "q2-fa-stale-then-vs-stale-now",
    "SemanticTypeIri": "urn:effortless:pko-extension#RulebookField",
    "Name": "BindingObservations.WasStaleAtRun",
    "IsDerived": true,
    "IsWitness": true,
    "DisagreeingSubstrateCount": 0.0,
    "IsSubstrateContested": false
   },
   {
    "RulebookFieldId": "BindingObservations.IsAuthoritativeBinding",
    "TargetTable": "BindingObservations",
    "FieldName": "IsAuthoritativeBinding",
    "FieldType": "lookup",
    "Datatype": "boolean",
    "Formula": "=INDEX(OperationalBindings!{{IsAuthoritative}}, MATCH({{OperationalBinding}}, OperationalBindings!{{OperationalBindingId}}, 0))",
    "InventedForQuestion": "q2-fa-stale-then-vs-stale-now",
    "SemanticTypeIri": "urn:effortless:pko-extension#RulebookField",
    "Name": "BindingObservations.IsAuthoritativeBinding",
    "IsDerived": true,
    "IsWitness": true,
    "DisagreeingSubstrateCount": 0.0,
    "IsSubstrateContested": false
   },
   {
    "RulebookFieldId": "BindingObservations.StaleAtRunStepKey",
    "TargetTable": "BindingObservations",
    "FieldName": "StaleAtRunStepKey",
    "FieldType": "calculated",
    "Datatype": "string",
    "Formula": "=IF({{WasStaleAtRun}}, {{StepExecution}}, \"\")",
    "InventedForQuestion": "q2-fa-stale-then-vs-stale-now",
    "SemanticTypeIri": "urn:effortless:pko-extension#RulebookField",
    "Name": "BindingObservations.StaleAtRunStepKey",
    "IsDerived": true,
    "IsWitness": true,
    "DisagreeingSubstrateCount": 0.0,
    "IsSubstrateContested": false
   },
   {
    "RulebookFieldId": "Attestations.AttestationId",
    "TargetTable": "Attestations",
    "FieldName": "AttestationId",
    "FieldType": "raw",
    "Datatype": "string",
    "Formula": null,
    "InventedForQuestion": "q2-cfo-would-it-survive-restatement",
    "SemanticTypeIri": "urn:effortless:pko-extension#RulebookField",
    "Name": "Attestations.AttestationId",
    "IsDerived": false,
    "IsWitness": true,
    "DisagreeingSubstrateCount": 0.0,
    "IsSubstrateContested": false
   },
   {
    "RulebookFieldId": "Attestations.Name",
    "TargetTable": "Attestations",
    "FieldName": "Na</t>
  </si>
  <si>
    <t xml:space="preserve">me",
    "FieldType": "calculated",
    "Datatype": "string",
    "Formula": "={{ProcedureExecution}} &amp; \" / \" &amp; {{AttestationId}}",
    "InventedForQuestion": null,
    "SemanticTypeIri": "urn:effortless:pko-extension#RulebookField",
    "Name": "Attestations.Name",
    "IsDerived": true,
    "IsWitness": false,
    "DisagreeingSubstrateCount": 0.0,
    "IsSubstrateContested": false
   },
   {
    "RulebookFieldId": "Attestations.ProcedureExecution",
    "TargetTable": "Attestations",
    "FieldName": "ProcedureExecution",
    "FieldType": "relationship",
    "Datatype": "string",
    "Formula": null,
    "InventedForQuestion": "q2-cfo-would-it-survive-restatement",
    "SemanticTypeIri": "urn:effortless:pko-extension#RulebookField",
    "Name": "Attestations.ProcedureExecution",
    "IsDerived": false,
    "IsWitness": true,
    "DisagreeingSubstrateCount": 0.0,
    "IsSubstrateContested": false
   },
   {
    "RulebookFieldId": "Attestations.SignedByAgent",
    "TargetTable": "Attestations",
    "FieldName": "SignedByAgent",
    "FieldType": "relationship",
    "Datatype": "string",
    "Formula": null,
    "InventedForQuestion": "q2-cfo-would-it-survive-restatement",
    "SemanticTypeIri": "urn:effortless:pko-extension#RulebookField",
    "Name": "Attestations.SignedByAgent",
    "IsDerived": false,
    "IsWitness": true,
    "DisagreeingSubstrateCount": 0.0,
    "IsSubstrateContested": false
   },
   {
    "RulebookFieldId": "Attestations.SignedAt",
    "TargetTable": "Attestations",
    "FieldName": "SignedAt",
    "FieldType": "raw",
    "Datatype": "datetime",
    "Formula": null,
    "InventedForQuestion": "q2-cfo-would-it-survive-restatement",
    "SemanticTypeIri": "urn:effortless:pko-extension#RulebookField",
    "Name": "Attestations.SignedAt",
    "IsDerived": false,
    "IsWitness": true,
    "DisagreeingSubstrateCount": 0.0,
    "IsSubstrateContested": false
   },
   {
    "RulebookFieldId": "Attestations.AssuranceGradeAtSigning",
    "TargetTable": "Attestations",
    "FieldName": "AssuranceGradeAtSigning",
    "FieldType": "raw",
    "Datatype": "string",
    "Formula": null,
    "InventedForQuestion": "q2-cfo-would-it-survive-restatement",
    "SemanticTypeIri": "urn:effortless:pko-extension#RulebookField",
    "Name": "Attestations.AssuranceGradeAtSigning",
    "IsDerived": false,
    "IsWitness": true,
    "DisagreeingSubstrateCount": 0.0,
    "IsSubstrateContested": false
   },
   {
    "RulebookFieldId": "Attestations.VersionWasFitAtSigning",
    "TargetTable": "Attestations",
    "FieldName": "VersionWasFitAtSigning",
    "FieldType": "raw",
    "Datatype": "boolean",
    "Formula": null,
    "InventedForQuestion": "q2-cfo-would-it-survive-restatement",
    "SemanticTypeIri": "urn:effortless:pko-extension#RulebookField",
    "Name": "Attestations.VersionWasFitAtSigning",
    "IsDerived": false,
    "IsWitness": true,
    "DisagreeingSubstrateCount": 0.0,
    "IsSubstrateContested": false
   },
   {
    "RulebookFieldId": "Attestations.VersionIsFitNow",
    "TargetTable": "Attestations",
    "FieldName": "VersionIsFitNow",
    "FieldType": "lookup",
    "Datatype": "boolean",
    "Formula": "=INDEX(ProcedureExecutions!{{ExecutedVersionIsFit}}, MATCH({{ProcedureExecution}}, ProcedureExecutions!{{ProcedureExecutionId}}, 0))",
    "InventedForQuestion": "q2-cfo-would-it-survive-restatement",
    "SemanticTypeIri": "urn:effortless:pko-extension#RulebookField",
    "Name": "Attestations.VersionIsFitNow",
    "IsDerived": true,
    "IsWitness": true,
    "DisagreeingSubstrateCount": 0.0,
    "IsSubstrateContested": false
   },
   {
    "RulebookFieldId": "Attestations.FitnessVerdictHasDrifted",
    "TargetTable": "Attestations",
    "FieldName": "FitnessVerdictHasDrifted",
    "FieldType": "calculated",
    "Datatype": "boolean",
    "Formula": "=NOT({{VersionWasFitAtSigning}} = {{VersionIsFitNow}})",
    "InventedForQuestion": "q2-cfo-would-it-survive-restatement",
    "SemanticTypeIri": "urn:effortless:pko-extension#RulebookField",
    "Name": "Attestations.FitnessVerdictHasDrifted",
    "IsDerived": true,
    "IsWitness": true,
    "DisagreeingSubstrateCount": 0.0,
    "IsSubstrateContested": false
   },
   {
    "RulebookFieldId": "Attestations.AssuranceGradeNow",
    "TargetTable": "Attestations",
    "FieldName": "AssuranceGradeNow",
    "FieldType": "lookup",
    "Datatype": "string",
    "Formula": "=INDEX(ProcedureExecutions!{{AssuranceGrade}}, MATCH({{ProcedureExecution}}, ProcedureExecutions!{{ProcedureExecutionId}}, 0))",
    "InventedForQuestion": "q2-cfo-would-it-survive-restatement",
    "SemanticTypeIri": "urn:effortless:pko-extension#RulebookField",
    "Name": "Attestations.AssuranceGradeNow",
    "IsDerived": true,
    "IsWitness": true,
    "DisagreeingSubstrateCount": 0.0,
    "IsSubstrateContested": false
   },
   {
    "RulebookFieldId": "Attestations.AssuranceGradeHasDrifted",
    "TargetTable": "Attestations",
    "FieldName": "AssuranceGradeHasDrifted",
    "FieldType": "calculated",
    "Datatype": "boolean",
    "Formula": "=NOT({{AssuranceGradeAtSigning}} = {{AssuranceGradeNow}})",
    "InventedForQuestion": "q2-cfo-would-it-survive-restatement",
    "SemanticTypeIri": "urn:effortless:pko-extension#RulebookField",
    "Name": "Attestations.AssuranceGradeHasDrifted",
    "IsDerived": true,
    "IsWitness": true,
    "DisagreeingSubstrateCount": 0.0,
    "IsSubstrateContested": false
   },
   {
    "RulebookFieldId": "Attestations.WouldNotSurviveRestatement",
    "TargetTable": "Attestations",
    "FieldName": "WouldNotSurviveRestatement",
    "FieldType": "calculated",
    "Datatype": "boolean",
    "Formula": "=OR({{FitnessVerdictHasDrifted}}, {{AssuranceGradeHasDrifted}})",
    "InventedForQuestion": "q2-cfo-would-it-survive-restatement",
    "SemanticTypeIri": "urn:effortless:pko-extension#RulebookField",
    "Name": "Attestations.WouldNotSurviveRestatement",
    "IsDerived": true,
    "IsWitness": true,
    "DisagreeingSubstrateCount": 0.0,
    "IsSubstrateContested": false
   },
   {
    "RulebookFieldId": "AppRoleProfiles.AppRoleProfileId",
    "TargetTable": "AppRoleProfiles",
    "FieldName": "AppRoleProfileId",
    "FieldType": "raw",
    "Datatype": "string",
    "Formula": null,
    "InventedForQuestion": null,
    "SemanticTypeIri": "urn:effortless:pko-extension#RulebookField",
    "Name": "AppRoleProfiles.AppRoleProfileId",
    "IsDerived": false,
    "IsWitness": false,
    "DisagreeingSubstrateCount": 0.0,
    "IsSubstrateContested": false
   },
   {
    "RulebookFieldId": "AppRoleProfiles.Name",
    "TargetTable": "AppRoleProfiles",
    "FieldName": "Name",
    "FieldType": "calculated",
    "Datatype": "string",
    "Formula": "={{DisplayLabel}} &amp; \" (\" &amp; {{RoleKind}} &amp; \")\"",
    "InventedForQuestion": null,
    "SemanticTypeIri": "urn:effortless:pko-extension#RulebookField",
    "Name": "AppRoleProfiles.Name",
    "IsDerived": true,
    "IsWitness": false,
    "DisagreeingSubstrateCount": 0.0,
    "IsSubstrateContested": false
   },
   {
    "RulebookFieldId": "AppRoleProfiles.Role",
    "TargetTable": "AppRoleProfiles",
    "FieldName": "Role",
    "FieldType": "relationship",
    "Datatype": "string",
    "Formula": null,
    "InventedForQuestion": null,
    "SemanticTypeIri": "urn:effortless:pko-extension#RulebookField",
    "Name": "AppRoleProfiles.Role",
    "IsDerived": false,
    "IsWitness": false,
    "DisagreeingSubstrateCount": 0.0,
    "IsSubstrateContested": false
   },
   {
    "RulebookFieldId": "AppRoleProfiles.DisplayLabel",
    "TargetTable": "AppRoleProfiles",
    "FieldName": "DisplayLabel",
    "FieldType": "raw",
    "Datatype": "string",
    "Formula": null,
    "InventedForQuestion": null,
    "SemanticTypeIri": "urn:effortless:pko-extension#RulebookField",
    "Name": "AppRoleProfiles.DisplayLabel",
    "IsDerived": false,
    "IsWitness": false,
    "DisagreeingSubstrateCount": 0.0,
    "IsSubstrateContested": false
   },
   {
    "RulebookFieldId": "AppRoleProfiles.RoleKind",
    "TargetTable": "AppRoleProfiles",
    "FieldName": "RoleKind",
    "FieldType": "raw",
    "Datatype": "string",
    "Formula": null,
    "InventedForQuestion": null,
    "SemanticTypeIri": "urn:effortless:pko-extension#RulebookField",
    "Name": "AppRoleProfiles.RoleKind",
    "IsDerived": false,
    "IsWitness": false,
    "DisagreeingSubstrateCount": 0.0,
    "IsSubstrateContested": false
   },
   {
    "RulebookFieldId": "AppRoleProfiles.AccentColor",
    "TargetTable": "AppRoleProfiles",
    "FieldName": "AccentColor",
    "FieldType": "raw",
    "Datatype": "string",
    "Formula": null,
    "InventedForQuestion": null,
    "SemanticTypeIri": "urn:effortless:pko-extension#RulebookField",
    "Name": "AppRoleProfiles.AccentColor",
    "IsDerived": false,
    "IsWitness": false,
    "DisagreeingSubstrateCount": 0.0,
    "IsSubstrateContested": false
   },
   {
    "RulebookFieldId": "AppRoleProfiles.IconMark",
    "TargetTable": "AppRoleProfiles",
    "FieldName": "IconMark",
    "FieldType": "raw",
    "Datatype": "string",
    "Formula": null,
    "InventedForQuestion": null,
    "SemanticTypeIri": "urn:effortless:pko-extension#RulebookField",
    "Name": "AppRoleProfiles.IconMark",
    "IsDerived": false,
    "IsWitness": false,
    "DisagreeingSubstrateCount": 0.0,
    "IsSubstrateContested": false
   },
   {
    "RulebookFieldId": "AppRoleProfiles.IconPngBase64",
    "TargetTable": "AppRoleProfiles",
    "FieldName": "IconPngBase64",
    "FieldType": "raw",
    "Datatype": "string",
    "Formula": null,
    "InventedForQuestion": null,
    "SemanticTypeIri": "urn:effortless:pko-extension#RulebookField",
    "Name": "AppRoleProfiles.IconPngBase64",
    "IsDerived": false,
    "IsWitness": false,
    "DisagreeingSubstrateCount": 0.0,
    "IsSubstrateContested": false
   },
   {
    "RulebookFieldId": "AppRoleProfiles.Pitch",
    "TargetTable": "AppRoleProfiles",
    "FieldName": "Pitch",
    "FieldType": "raw",
    "Datatype": "string",
    "Formula": null,
    "InventedForQuestion": null,
    "SemanticTypeIri": "urn:effortless:pko-extension#RulebookField",
    "Name": "AppRoleProfiles.Pitch",
    "IsDerived": false,
    "IsWitness": false,
    "DisagreeingSubstrateCount": 0.0,
    "IsSubstrateContested": false
   },
   {
    "RulebookFieldId": "AppRoleProfiles.SortOrder",
    "TargetTable": "AppRoleProfiles",
    "FieldName": "SortOrder",
    "FieldType": "raw",
    "Datatype": "number",
    "Formula": null,
    "InventedForQuestion": null,
    "SemanticTypeIri": "urn:effortless:pko-extension#RulebookField",
    "Name": "AppRoleProfiles.SortOrder",
    "IsDerived": false,
    "IsWitness": false,
    "DisagreeingSubstrateCount": 0.0,
    "IsSubstrateContested": false
   },
   {
    "RulebookFieldId": "AppRoleProfiles.RouteCount",
    "TargetTable": "AppRoleProfiles",
    "FieldName": "RouteCount",
    "FieldType": "aggregation",
    "Datatype": "number",
    "Formula": "=COUNTIFS(AppRoutes!{{OwningRole}}, {{Role}})",
    "InventedForQuestion": null,
    "SemanticTypeIri": "urn:effortless:pko-extension#RulebookField",
    "Name": "AppRoleProfiles.RouteCount",
    "IsDerived": true,
    "IsWitness": false,
    "DisagreeingSubstrateCount": 1.0,
    "IsSubstrateContested": true
   },
   {
    "RulebookFieldId": "AppRoleProfiles.SemanticTypeIri",
    "TargetTable": "AppRoleProfiles",
    "FieldName": "SemanticTypeIri",
    "FieldType": "raw",
    "Datatype": "string",
    "Formula": null,
    "InventedForQuestion": null,
    "SemanticTypeIri": "urn:effortless:pko-extension#RulebookField",
    "Name": "AppRoleProfiles.SemanticTypeIri",
    "IsDerived": false,
    "IsWitness": false,
    "DisagreeingSubstrateCount": 0.0,
    "IsSubstrateContested": false
   },
   {
    "RulebookFieldId": "AppNavGroups.AppNavGroupId",
    "TargetTable": "AppNavGroups",
    "FieldName": "AppNavGroupId",
    "FieldType": "raw",
    "Datatype": "string",
    "Formula": null,
    "InventedForQuestion": null,
    "SemanticTypeIri": "urn:effortless:pko-extension#RulebookField",
    "Name": "AppNavGroups.AppNavGroupId",
    "IsDerived": false,
    "IsWitness": false,
    "DisagreeingSubstrateCount": 0.0,
    "IsSubstrateContested": false
   },
   {
    "RulebookFieldId": "AppNavGroups.Name",
    "TargetTable": "AppNavGroups",
    "FieldName": "Name",
    "FieldType": "calculated",
    "Datatype": "string",
    "Formula": "={{GroupLabel}}",
    "InventedForQuestion": null,
    "SemanticTypeIri": "urn:effortless:pko-extension#RulebookField",
    "Name": "AppNavGroups.Name",
    "IsDerived": true,
    "IsWitness": false,
    "DisagreeingSubstrateCount": 0.0,
    "IsSubstrateContested": false
   },
   {
    "RulebookFieldId": "AppNavGroups.GroupLabel",
    "TargetTable": "AppNavGroups",
    "FieldName": "GroupLabel",
    "FieldType": "raw",
    "Datatype": "string",
    "Formula": null,
    "InventedForQuestion": null,
    "SemanticTypeIri": "urn:effortless:pko-extension#RulebookField",
    "Name": "AppNavGroups.GroupLabel",
    "IsDerived": false,
    "IsWitness": false,
    "DisagreeingSubstrateCount": 0.0,
    "IsSubstrateContested": false
   },
   {
    "RulebookFieldId": "AppNavGroups.RouteCount",
    "TargetTable": "AppNavGroups",
    "FieldName": "RouteCount",
    "FieldType": "aggregation",
    "Datatype": "number",
    "Formula": "=COUNTIFS(AppRoutes!{{NavGroup}}, {{AppNavGroupId}})",
    "InventedForQuestion": null,
    "SemanticTypeIri": "urn:effortless:pko-extension#RulebookField",
    "Name": "AppNavGroups.RouteCount",
    "IsDerived": true,
    "IsWitness": false,
    "DisagreeingSubstrateCount": 0.0,
    "IsSubstrateContested": false
   },
   {
    "RulebookFieldId": "AppNavGroups.SemanticTypeIri",
    "TargetTable": "AppNavGroups",
    "FieldName": "SemanticTypeIri",
    "FieldType": "raw",
    "Datatype": "string",
    "Formula": null,
    "InventedForQuestion": null,
    "SemanticTypeIri": "urn:effortless:pko-extension#RulebookField",
    "Name": "AppNavGroups.SemanticTypeIri",
    "IsDerived": false,
    "IsWitness": false,
    "DisagreeingSubstrateCount": 0.0,
    "IsSubstrateContested": false
   },
   {
    "RulebookFieldId": "AppRoutes.AppRouteId",
    "TargetTable": "AppRoutes",
    "FieldName": "AppRouteId",
    "FieldType": "raw",
    "Datatype": "string",
    "Formula": null,
    "InventedForQuestion": null,
    "SemanticTypeIri": "urn:effortless:pko-extension#RulebookField",
    "Name": "AppRoutes.AppRouteId",
    "IsDerived": false,
    "IsWitness": false,
    "DisagreeingSubstrateCount": 0.0,
    "IsSubstrateContested": false
   },
   {
    "RulebookFieldId": "AppRoutes.Name",
    "TargetTable": "AppRoutes",
    "FieldName": "Name",
    "FieldType": "calculated",
    "Datatype": "string",
    "Formula": "={{RouteName}} &amp; \" — \" &amp; {{RoutePath}}",
    "InventedForQuestion": null,
    "SemanticTypeIri": "urn:effortless:pko-extension#RulebookField",
    "Name": "AppRoutes.Name",
    "IsDerived": true,
    "IsWitness": false,
    "DisagreeingSubstrateCount": 0.0,
    "IsSubstrateContested": false
   },
   {
    "RulebookFieldId": "AppRoutes.RoutePath",
    "TargetTable": "AppRoutes",
    "FieldName": "RoutePath",
    "FieldType": "raw",
    "Datatype": "string",
    "Formula": null,
    "InventedForQuestion": null,
    "SemanticTypeIri": "urn:effortless:pko-extension#RulebookField",
    "Name": "AppRoutes.RoutePath",
    "IsDerived": false,
    "IsWitness": false,
    "DisagreeingSubstrateCount": 0.0,
    "IsSubstrateContested": false
   },
   {
    "RulebookFieldId": "AppRoutes.RouteName",
    "TargetTable": "AppRoutes",
    "FieldName": "RouteName",
    "FieldType": "raw",
    "Datatype": "string",
    "Formula": null,
    "InventedForQuestion": null,
    "SemanticTypeIri": "urn:effortless:pko-extension#RulebookField",
    "Name": "AppRoutes.RouteName",
    "IsDerived": false,
    "IsWitness": false,
    "DisagreeingSubstrateCount": 0.0,
    "IsSubstrateContested": false
   },
   {
    "RulebookFieldId": "AppRoutes.Surface",
    "TargetTable": "AppRoutes",
    "FieldName": "Surface",
    "FieldType": "raw",
    "Datatype": "string",
    "Formula": null,
    "InventedForQuestion": null,
    "SemanticTypeIri": "urn:effortless:pko-extension#RulebookField",
    "Name": "AppRoutes.Surface",
    "IsDerived": false,
    "IsWitness": false,
    "DisagreeingSubstrateCount": 0.0,
    "IsSubstrateContested": false
   },
   {
    "RulebookFieldId": "AppRoutes.OwningRole",
    "TargetTable": "AppRoutes",
    "FieldName": "OwningRole",
    "FieldType": "relationship",
    "Datatype": "string",
    "Formula": null,
    "InventedForQuestion": null,
    "SemanticTypeIri": "urn:effortless:pko-extension#RulebookField",
    "Name": "AppRoutes.OwningRole",
    "IsDerived": false,
    "IsWitness": false,
    "DisagreeingSubstrateCount": 0.0,
    "IsSubstrateContested": false
   },
   {
    "RulebookFieldId": "AppRoutes.NavGroup",
    "TargetTable": "AppRoutes",
    "FieldName": "NavGroup",
    "FieldType": "relationship",
    "Datatype": "string",
    "Formula": null,
    "InventedForQuestion": null,
    "SemanticTypeIri": "urn:effortless:pko-extension#RulebookField",
    "Name": "AppRoutes.NavGroup",
    "IsDerived": false,
    "IsWitness": false,
    "DisagreeingSubstrateCount": 0.0,
    "IsSubstrateContested": false
   },
   {
    "RulebookFieldId": "AppRoutes.NavOrder",
    "TargetTable": "AppRoutes",
    "FieldName": "NavOrder",
    "FieldType": "raw",
    "Datatype": "number",
    "Formula": null,
    "InventedForQuestion": null,
    "SemanticTypeIri": "urn:effortless:pko-extension#RulebookField",
    "Name": "AppRoutes.NavOrder",
    "IsDerived": false,
    "IsWitness": false,
    "DisagreeingSubstrateCount": 0.0,
    "IsSubstrateContested": false
   },
   {
    "RulebookFieldId": "AppRoutes.RouteKind",
    "TargetTable": "AppRoutes",
    "FieldName": "RouteKind",
    "FieldType": "raw",
    "Datatype": "string",
    "Formula": null,
    "InventedForQuestion": null,
    "SemanticTypeIri": "urn:effortless:pko-extension#RulebookField",
    "Name": "AppRoutes.RouteKind",
    "IsDerived": false,
    "IsWitness": false,
    "DisagreeingSubstrateCount": 0.0,
    "IsSubstrateContested": false
   },
   {
    "RulebookFieldId": "AppRoutes.Purpose",
    "TargetTable": "AppRoutes",
    "FieldName": "Purpose",
    "FieldType": "raw",
    "Datatype": "string",
    "Formula": null,
    "InventedForQuestion": null,
    "SemanticTypeIri": "urn:effortless:pko-extension#RulebookField",
    "Name": "AppRoutes.Purpose",
    "IsDerived": false,
    "IsWitness": false,
    "DisagreeingSubstrateCount": 0.0,
    "IsSubstrateContested": false
   },
   {
    "RulebookFieldId": "AppRoutes.LayoutHints",
    "TargetTable": "AppRoutes",
    "FieldName": "LayoutHints",
    "FieldType": "raw",
    "Datatype": "string",
    "Formula": null,
    "InventedForQuestion": null,
    "SemanticTypeIri": "urn:effortless:pko-extension#RulebookField",
    "Name": "AppRoutes.LayoutHints",
    "IsDerived": false,
    "IsWitness": false,
    "DisagreeingSubstrateCount": 0.0,
    "IsSubstrateContested": false
   },
   {
    "RulebookFieldId": "AppRoutes.IsInNav",
    "TargetTable": "AppRoutes",
    "FieldName": "IsInNav",
    "FieldType": "calculated",
    "Datatype": "boolean",
    "Formula": "={{NavGroup}} &lt;&gt; \"\"",
    "InventedForQuestion": null,
    "SemanticTypeIri": "urn:effortless:pko-extension#RulebookField",
    "Name": "AppRoutes.IsInNav",
    "IsDerived": true,
    "IsWitness": false,
    "DisagreeingSubstrateCount": 0.0,
    "IsSubstrateContested": false
   },
   {
    "RulebookFieldId": "AppRoutes.IsShared",
    "TargetTable": "AppRoutes",
    "FieldName": "IsShared",
    "FieldType": "calculated",
    "Datatype": "boolean",
    "Formula": "=AND({{OwningRole}} = \"\", {{Surface}} = \"domain\")",
    "InventedForQuestion": null,
    "SemanticTypeIri": "urn:effortless:pko-extension#RulebookField",
    "Name": "AppRoutes.IsShared",
    "IsDerived": true,
    "IsWitness": false,
    "DisagreeingSubstrateCount": 0.0,
    "IsSubstrateContested": false
   },
   {
    "RulebookFieldId": "AppRoutes.IsMaintainer",
    "TargetTable": "AppRoutes",
    "FieldName": "IsMaintainer",
    "FieldType": "calculated",
    "Datatype": "boolean",
    "Formula": "={{Surface}} = \"maintainer\"",
    "InventedForQuestion": null,
    "SemanticTypeIri": "urn:effortless:pko-extension#RulebookField",
    "Name": "AppRoutes.IsMaintainer",
    "IsDerived": true,
    "IsWitness": false,
    "DisagreeingSubstrateCount": 0.0,
    "IsSubstrateContested": false
   },
   {
    "RulebookFieldId": "AppRoutes.QuestionCount",
    "TargetTable": "AppRoutes",
    "FieldName": "QuestionCount",
    "FieldType": "aggregation",
    "Datatype": "number",
    "Formula": "=COUNTIFS(AppRouteQuestions!{{Route}}, {{AppRouteId}})",
    "InventedForQuestion": null,
    "SemanticTypeIri": "urn:effortless:pko-extension#RulebookField",
    "Name": "AppRoutes.QuestionCount",
    "IsDerived": true,
    "IsWitness": false,
    "DisagreeingSubstrateCount": 0.0,
    "IsSubstrateContested": false
   },
   {
    "RulebookFieldId": "AppRoutes.ReferenceCount",
    "TargetTable": "AppRoutes",
    "FieldName": "ReferenceCount",
    "FieldType": "aggregation",
    "Datatype": "number",
    "Formula": "=COUNTIFS(AppRouteReferences!{{FromRoute}}, {{AppRouteId}})",
    "InventedForQuestion": null,
    "SemanticTypeIri": "urn:effortless:pko-extension#RulebookField",
    "Name": "AppRoutes.ReferenceCount",
    "IsDerived": true,
    "IsWitness": false,
    "DisagreeingSubstrateCount": 0.0,
    "IsSubstrateContested": false
   },
   {
    "RulebookFieldId": "AppRoutes.AnswersNoQuestion",
    "TargetTable": "AppRoutes",
    "FieldName": "AnswersNoQuestion",
    "FieldType": "calculated",
    "Datatype": "boolean",
    "Formula": "=AND({{QuestionCount}} = 0, {{IsShared}} = FALSE, {{IsMaintainer}} = FALSE, {{RouteKind}} &lt;&gt; \"index\")",
    "InventedForQuestion": null,
    "SemanticTypeIri": "urn:effortless:pko-extension#RulebookField",
    "Name": "AppRoutes.AnswersNoQuestion",
    "IsDerived": true,
    "IsWitness": false,
    "DisagreeingSubstrateCount": 0.0,
    "IsSubstrateContested": false
   },
   {
    "RulebookFieldId": "AppRoutes.SemanticTypeIri",
    "TargetTable": "AppRoutes",
    "FieldName": "SemanticTypeIri",
    "FieldType": "raw",
    "Datatype": "string",
    "Formula": null,
    "InventedForQuestion": null,
    "SemanticTypeIri": "urn:effortless:pko-extension#RulebookField",
    "Name": "AppRoutes.SemanticTypeIri",
    "IsDerived": false,
    "IsWitness": false,
    "DisagreeingSubstrateCount": 0.0,
    "IsSubstrateContested": false
   },
   {
    "RulebookFieldId": "AppRouteQuestions.AppRouteQuestionId",
    "TargetTable": "AppRouteQuestions",
    "FieldName": "AppRouteQuestionId",
    "FieldType": "raw",
    "Datatype": "string",
    "Formula": null,
    "InventedForQuestion": null,
    "SemanticTypeIri": "urn:effortless:pko-extension#RulebookField",
    "Name": "AppRouteQuestions.AppRouteQuestionId",
    "IsDerived": false,
    "IsWitness": false,
    "DisagreeingSubstrateCount": 0.0,
    "IsSubstrateContested": false
   },
   {
    "RulebookFieldId": "AppRouteQuestions.Name",
    "TargetTable": "AppRouteQuestions",
    "FieldName": "Name",
    "FieldType": "calculated",
    "Datatype": "string",
    "Formula": "={{Route}} &amp; \" answers \" &amp; {{Question}}",
    "InventedForQuestion": null,
    "SemanticTypeIri": "urn:effortless:pko-extension#RulebookField",
    "Name": "AppRouteQuestions.Name",
    "IsDerived": true,
    "IsWitness": false,
    "DisagreeingSubstrateCount": 0.0,
    "IsSubstrateContested": false
   },
   {
    "RulebookFieldId": "AppRouteQuestions.Route",
    "TargetTable": "AppRouteQuestions",
    "FieldName": "Route",
    "FieldType": "relationship",
    "Datatype": "string",
    "Formula": null,
    "InventedForQuestion": null,
    "SemanticTypeIri": "urn:effortless:pko-extension#RulebookField",
    "Name": "AppRouteQuestions.Route",
    "IsDerived": false,
    "IsWitness": false,
    "DisagreeingSubstrateCount": 0.0,
    "IsSubstrateContested": false
   },
   {
    "RulebookFieldId": "AppRouteQuestions.Question",
    "TargetTable": "AppRouteQuestions",
    "FieldName": "Question",
    "FieldType": "relationship",
    "Datatype": "string",
    "Formula": null,
    "InventedForQuestion": null,
    "SemanticTypeIri": "urn:effortless:pko-extension#RulebookField",
    "Name": "AppRouteQuestions.Question",
    "IsDerived": false,
    "IsWitness": false,
    "DisagreeingSubstrateCount": 0.0,
    "IsSubstrateContested": false
   },
   {
    "RulebookFieldId": "AppRouteQuestions.SemanticTypeIri",
    "TargetTable": "AppRouteQuestions",
    "FieldName": "SemanticTypeIri",
    "FieldType": "raw",
    "Datatype": "string",
    "Formula": null,
    "InventedForQuestion": null,
    "SemanticTypeIri": "urn:effortless:pko-extension#RulebookField",
    "Name": "AppRouteQuestions.SemanticTypeIri",
    "IsDerived": false,
    "IsWitness": false,
    "DisagreeingSubstrateCount": 0.0,
    "IsSubstrateContested": false
   },
   {
    "RulebookFieldId": "AppRouteReferences.AppRouteReferenceId",
    "TargetTable": "AppRouteReferences",
    "FieldName": "AppRouteReferenceId",
    "FieldType": "raw",
    "Datatype": "string",
    "Formula": null,
    "InventedForQuestion": null,
    "SemanticTypeIri": "urn:effortless:pko-extension#RulebookField",
    "Name": "AppRouteReferences.AppRouteReferenceId",
    "IsDerived": false,
    "IsWitness": false,
    "DisagreeingSubstrateCount": 0.0,
    "IsSubstrateContested": false
   },
   {
    "RulebookFieldId": "AppRouteReferences.Name",
    "TargetTable": "AppRouteReferences",
    "FieldName": "Name",
    "FieldType": "calculated",
    "Datatype": "string",
    "Formula": "={{FromRoute}} &amp; \" -&gt; \" &amp; {{ToRoute}}",
    "InventedForQuestion": null,
    "SemanticTypeIri": "urn:effortless:pko-extension#RulebookField",
    "Name": "AppRouteReferences.Name",
    "IsDerived": true,
    "IsWitness": false,
    "DisagreeingSubstrateCount": 0.0,
    "IsSubstrateContested": false
   },
   {
    "RulebookFieldId": "AppRouteReferences.FromRoute",
    "TargetTable": "AppRouteReferences",
    "FieldName": "FromRoute",
    "FieldType": "relationship",
    "Datatype": "string",
    "Formula": null,
    "InventedForQuestion": null,
    "SemanticTypeIri": "urn:effortless:pko-extension#RulebookField",
    "Name": "AppRouteReferences.FromRoute",
    "IsDerived": false,
    "IsWitness": false,
    "DisagreeingSubstrateCount": 0.0,
    "IsSubstrateContested": false
   },
   {
    "RulebookFieldId": "AppRouteReferences.ToRoute",
    "TargetTable": "AppRouteReferences",
    "FieldName": "ToRoute",
    "FieldType": "relationship",
    "Datatype": "string",
    "Formula": null,
    "InventedForQuestion": null,
    "SemanticTypeIri": "urn:effortless:pko-extension#RulebookField",
    "Name": "AppRouteReferences.ToRoute",
    "IsDerived": false,
    "IsWitness": false,
    "DisagreeingSubstrateCount": 0.0,
    "IsSubstrateContested": false
   },
   {
    "RulebookFieldId": "AppRouteReferences.SemanticTypeIri",
    "TargetTable": "AppRouteReferences",
    "FieldName": "SemanticTypeIri",
    "FieldType": "raw",
    "Datatype": "string",
    "Formula": null,
    "InventedForQuestion": null,
    "SemanticTypeIri": "urn:effortless:pko-extension#RulebookField",
    "Name": "AppRouteReferences.SemanticTypeIri",
    "IsDerived": false,
    "IsWitness": false,
    "DisagreeingSubstrateCount": 0.0,
    "IsSubstrateContested": false
   },
   {
    "RulebookFieldId": "RulebookTables.RulebookTableId",
    "TargetTable": "RulebookTables",
    "FieldName": "RulebookTableId",
    "FieldType": "raw",
    "Datatype": "string",
    "Formula": null,
    "InventedForQuestion": null,
    "SemanticTypeIri": "urn:effortless:pko-extension#RulebookField",
    "Name": "RulebookTables.RulebookTableId",
    "IsDerived": false,
    "IsWitness": false,
    "DisagreeingSubstrateCount": 0.0,
    "IsSubstrateContested": false
   },
   {
    "RulebookFieldId": "RulebookTables.TableName",
    "TargetTable": "RulebookTables",
    "FieldName": "TableName",
    "FieldType": "raw",
    "Datatype": "string",
    "Formula": null,
    "InventedForQuestion": null,
    "SemanticTypeIri": "urn:effortless:pko-extension#RulebookField",
    "Name": "RulebookTables.TableName",
    "IsDerived": false,
    "IsWitness": false,
    "DisagreeingSubstrateCount": 0.0,
    "IsSubstrateContested": false
   },
   {
    "RulebookFieldId": "RulebookTables.Name",
    "TargetTable": "RulebookTables",
    "FieldName": "Name",
    "FieldType": "calculated",
    "Datatype": "string",
    "Formula": "={{TableName}}",
    "InventedForQuestion": null,
    "SemanticTypeIri": "urn:effortless:pko-extension#RulebookField",
    "Name": "RulebookTables.Name",
    "IsDerived": true,
    "IsWitness": false,
    "DisagreeingSubstrateCount": 0.0,
    "IsSubstrateContested": false
   },
   {
    "RulebookFieldId": "RulebookTables.PhysicalTable",
    "TargetTable": "RulebookTables",
    "FieldName": "PhysicalTable",
    "FieldType": "raw",
    "Datatype": "string",
    "Formula": null,
    "InventedForQuestion": null,
    "SemanticTypeIri": "urn:effortless:pko-extension#RulebookField",
    "Name": "RulebookTables.PhysicalTable",
    "IsDerived": false,
    "IsWitness": false,
    "DisagreeingSubstrateCount": 0.0,
    "IsSubstrateContested": false
   },
   {
    "RulebookFieldId": "RulebookTables.PhysicalView",
    "TargetTable": "RulebookTables",
    "FieldName": "PhysicalView",
    "FieldType": "raw",
    "Datatype": "string",
    "Formula": null,
    "InventedForQuestion": null,
    "SemanticTypeIri": "urn:effortless:pko-extension#RulebookField",
    "Name": "RulebookTables.PhysicalView",
    "IsDerived": false,
    "IsWitness": false,
    "DisagreeingSubstrateCount": 0.0,
    "IsSubstrateContested": false
   },
   {
    "RulebookFieldId": "RulebookTables.SubjectArea",
    "TargetTable": "RulebookTables",
    "FieldName": "SubjectArea",
    "FieldType": "raw",
    "Datatype": "string",
    "Formula": null,
    "InventedForQuestion": null,
    "SemanticTypeIri": "urn:effortless:pko-extension#RulebookField",
    "Name": "RulebookTables.SubjectArea",
    "IsDerived": false,
    "IsWitness": false,
    "DisagreeingSubstrateCount": 0.0,
    "IsSubstrateContested": false
   },
   {
    "RulebookFieldId": "RulebookTables.IsExtension",
    "TargetTable": "RulebookTables",
    "FieldName": "IsExtension",
    "FieldType": "raw",
    "Datatype": "boolean",
    "Formula": null,
    "InventedForQuestion": null,
    "SemanticTypeIri": "urn:effortless:pko-extension#RulebookField",
    "Name": "RulebookTables.IsExtension",
    "IsDerived": false,
    "IsWitness": false,
    "DisagreeingSubstrateCount": 0.0,
    "IsSubstrateContested": false
   },
   {
    "RulebookFieldId": "RulebookTables.FieldCount",
    "TargetTable": "RulebookTables",
    "FieldName": "FieldCount",
    "FieldType": "aggregation",
    "Datatype": "number",
    "Formula": "=COUNTIFS(RulebookFields!{{TargetTable}}, {{RulebookTableId}})",
    "InventedForQuestion": null,
    "SemanticTypeIri": "urn:effortless:pko-extension#RulebookField",
    "Name": "RulebookTables.FieldCount",
    "IsDerived": true,
    "IsWitness": false,
    "DisagreeingSubstrateCount": 0.0,
    "IsSubstrateContested": false
   },
   {
    "RulebookFieldId": "RulebookTables.PolicyCount",
    "TargetTable": "RulebookTables",
    "FieldName": "PolicyCount",
    "FieldType": "aggregation",
    "Datatype": "number",
    "Formula": "=COUNTIFS(AccessPolicies!{{TargetTable}}, {{RulebookTableId}})",
    "InventedForQuestion": null,
    "SemanticTypeIri": "urn:effortless:pko-extension#RulebookField",
    "Name": "RulebookTables.PolicyCount",
    "IsDerived": true,
    "IsWitness": false,
    "DisagreeingSubstrateCount": 0.0,
    "IsSubstrateContested": false
   },
   {
    "RulebookFieldId": "RulebookTables.IsUnsecured",
    "TargetTable": "RulebookTables",
    "FieldName": "IsUnsecured",
    "FieldType": "calculated",
    "Datatype": "boolean",
    "Formula": "={{PolicyCount}} = 0",
    "InventedForQuestion": null,
    "SemanticTypeIri": "urn:effortless:pko-extension#RulebookField",
    "Name": "RulebookTables.IsUnsecured",
    "IsDerived": true,
    "IsWitness": false,
    "DisagreeingSubstrateCount": 0.0,
    "IsSubstrateContested": false
   },
   {
    "RulebookFieldId": "RulebookTables.DisagreeingSubstrateCount",
    "TargetTable": "RulebookTables",
    "FieldName": "DisagreeingSubstrateCount",
    "FieldType": "aggregation",
    "Datatype": "number",
    "Formula": "=COUNTIFS(TableConformance!{{ImperfectTableKey}}, {{RulebookTableId}})",
    "InventedForQuestion": "q-auditor-substrate-agreement",
    "SemanticTypeIri": "urn:</t>
  </si>
  <si>
    <t xml:space="preserve">effortless:pko-extension#RulebookField",
    "Name": "RulebookTables.DisagreeingSubstrateCount",
    "IsDerived": true,
    "IsWitness": true,
    "DisagreeingSubstrateCount": 0.0,
    "IsSubstrateContested": false
   },
   {
    "RulebookFieldId": "RulebookTables.SemanticTypeIri",
    "TargetTable": "RulebookTables",
    "FieldName": "SemanticTypeIri",
    "FieldType": "raw",
    "Datatype": "string",
    "Formula": null,
    "InventedForQuestion": null,
    "SemanticTypeIri": "urn:effortless:pko-extension#RulebookField",
    "Name": "RulebookTables.SemanticTypeIri",
    "IsDerived": false,
    "IsWitness": false,
    "DisagreeingSubstrateCount": 0.0,
    "IsSubstrateContested": false
   },
   {
    "RulebookFieldId": "AccessPrincipals.AccessPrincipalId",
    "TargetTable": "AccessPrincipals",
    "FieldName": "AccessPrincipalId",
    "FieldType": "raw",
    "Datatype": "string",
    "Formula": null,
    "InventedForQuestion": null,
    "SemanticTypeIri": "urn:effortless:pko-extension#RulebookField",
    "Name": "AccessPrincipals.AccessPrincipalId",
    "IsDerived": false,
    "IsWitness": false,
    "DisagreeingSubstrateCount": 0.0,
    "IsSubstrateContested": false
   },
   {
    "RulebookFieldId": "AccessPrincipals.Name",
    "TargetTable": "AccessPrincipals",
    "FieldName": "Name",
    "FieldType": "calculated",
    "Datatype": "string",
    "Formula": "={{Label}}",
    "InventedForQuestion": null,
    "SemanticTypeIri": "urn:effortless:pko-extension#RulebookField",
    "Name": "AccessPrincipals.Name",
    "IsDerived": true,
    "IsWitness": false,
    "DisagreeingSubstrateCount": 0.0,
    "IsSubstrateContested": false
   },
   {
    "RulebookFieldId": "AccessPrincipals.Label",
    "TargetTable": "AccessPrincipals",
    "FieldName": "Label",
    "FieldType": "raw",
    "Datatype": "string",
    "Formula": null,
    "InventedForQuestion": null,
    "SemanticTypeIri": "urn:effortless:pko-extension#RulebookField",
    "Name": "AccessPrincipals.Label",
    "IsDerived": false,
    "IsWitness": false,
    "DisagreeingSubstrateCount": 0.0,
    "IsSubstrateContested": false
   },
   {
    "RulebookFieldId": "AccessPrincipals.DomainRole",
    "TargetTable": "AccessPrincipals",
    "FieldName": "DomainRole",
    "FieldType": "relationship",
    "Datatype": "string",
    "Formula": null,
    "InventedForQuestion": null,
    "SemanticTypeIri": "urn:effortless:pko-extension#RulebookField",
    "Name": "AccessPrincipals.DomainRole",
    "IsDerived": false,
    "IsWitness": false,
    "DisagreeingSubstrateCount": 0.0,
    "IsSubstrateContested": false
   },
   {
    "RulebookFieldId": "AccessPrincipals.PgRoleName",
    "TargetTable": "AccessPrincipals",
    "FieldName": "PgRoleName",
    "FieldType": "raw",
    "Datatype": "string",
    "Formula": null,
    "InventedForQuestion": null,
    "SemanticTypeIri": "urn:effortless:pko-extension#RulebookField",
    "Name": "AccessPrincipals.PgRoleName",
    "IsDerived": false,
    "IsWitness": false,
    "DisagreeingSubstrateCount": 0.0,
    "IsSubstrateContested": false
   },
   {
    "RulebookFieldId": "AccessPrincipals.SchemaName",
    "TargetTable": "AccessPrincipals",
    "FieldName": "SchemaName",
    "FieldType": "raw",
    "Datatype": "string",
    "Formula": null,
    "InventedForQuestion": null,
    "SemanticTypeIri": "urn:effortless:pko-extension#RulebookField",
    "Name": "AccessPrincipals.SchemaName",
    "IsDerived": false,
    "IsWitness": false,
    "DisagreeingSubstrateCount": 0.0,
    "IsSubstrateContested": false
   },
   {
    "RulebookFieldId": "AccessPrincipals.IsAdministrator",
    "TargetTable": "AccessPrincipals",
    "FieldName": "IsAdministrator",
    "FieldType": "raw",
    "Datatype": "boolean",
    "Formula": null,
    "InventedForQuestion": null,
    "SemanticTypeIri": "urn:effortless:pko-extension#RulebookField",
    "Name": "AccessPrincipals.IsAdministrator",
    "IsDerived": false,
    "IsWitness": false,
    "DisagreeingSubstrateCount": 0.0,
    "IsSubstrateContested": false
   },
   {
    "RulebookFieldId": "AccessPrincipals.OrganizationScope",
    "TargetTable": "AccessPrincipals",
    "FieldName": "OrganizationScope",
    "FieldType": "lookup",
    "Datatype": "string",
    "Formula": "=INDEX(Roles!{{Organization}}, MATCH({{DomainRole}}, Roles!{{RoleId}}, 0))",
    "InventedForQuestion": null,
    "SemanticTypeIri": "urn:effortless:pko-extension#RulebookField",
    "Name": "AccessPrincipals.OrganizationScope",
    "IsDerived": true,
    "IsWitness": false,
    "DisagreeingSubstrateCount": 0.0,
    "IsSubstrateContested": false
   },
   {
    "RulebookFieldId": "AccessPrincipals.RoleLabel",
    "TargetTable": "AccessPrincipals",
    "FieldName": "RoleLabel",
    "FieldType": "lookup",
    "Datatype": "string",
    "Formula": "=INDEX(Roles!{{Label}}, MATCH({{DomainRole}}, Roles!{{RoleId}}, 0))",
    "InventedForQuestion": null,
    "SemanticTypeIri": "urn:effortless:pko-extension#RulebookField",
    "Name": "AccessPrincipals.RoleLabel",
    "IsDerived": true,
    "IsWitness": false,
    "DisagreeingSubstrateCount": 0.0,
    "IsSubstrateContested": false
   },
   {
    "RulebookFieldId": "AccessPrincipals.PolicyCount",
    "TargetTable": "AccessPrincipals",
    "FieldName": "PolicyCount",
    "FieldType": "aggregation",
    "Datatype": "number",
    "Formula": "=COUNTIFS(AccessPolicies!{{Principal}}, {{AccessPrincipalId}})",
    "InventedForQuestion": null,
    "SemanticTypeIri": "urn:effortless:pko-extension#RulebookField",
    "Name": "AccessPrincipals.PolicyCount",
    "IsDerived": true,
    "IsWitness": false,
    "DisagreeingSubstrateCount": 0.0,
    "IsSubstrateContested": false
   },
   {
    "RulebookFieldId": "AccessPrincipals.GrantCount",
    "TargetTable": "AccessPrincipals",
    "FieldName": "GrantCount",
    "FieldType": "aggregation",
    "Datatype": "number",
    "Formula": "=COUNTIFS(FieldGrants!{{Principal}}, {{AccessPrincipalId}})",
    "InventedForQuestion": null,
    "SemanticTypeIri": "urn:effortless:pko-extension#RulebookField",
    "Name": "AccessPrincipals.GrantCount",
    "IsDerived": true,
    "IsWitness": false,
    "DisagreeingSubstrateCount": 0.0,
    "IsSubstrateContested": false
   },
   {
    "RulebookFieldId": "AccessPrincipals.VisibleTableCount",
    "TargetTable": "AccessPrincipals",
    "FieldName": "VisibleTableCount",
    "FieldType": "aggregation",
    "Datatype": "number",
    "Formula": "=COUNTIFS(RoleSchemaViews!{{Principal}}, {{AccessPrincipalId}})",
    "InventedForQuestion": null,
    "SemanticTypeIri": "urn:effortless:pko-extension#RulebookField",
    "Name": "AccessPrincipals.VisibleTableCount",
    "IsDerived": true,
    "IsWitness": false,
    "DisagreeingSubstrateCount": 0.0,
    "IsSubstrateContested": false
   },
   {
    "RulebookFieldId": "AccessPrincipals.HasNoAccess",
    "TargetTable": "AccessPrincipals",
    "FieldName": "HasNoAccess",
    "FieldType": "calculated",
    "Datatype": "boolean",
    "Formula": "={{PolicyCount}} = 0",
    "InventedForQuestion": null,
    "SemanticTypeIri": "urn:effortless:pko-extension#RulebookField",
    "Name": "AccessPrincipals.HasNoAccess",
    "IsDerived": true,
    "IsWitness": false,
    "DisagreeingSubstrateCount": 0.0,
    "IsSubstrateContested": false
   },
   {
    "RulebookFieldId": "AccessPrincipals.IsOverPrivileged",
    "TargetTable": "AccessPrincipals",
    "FieldName": "IsOverPrivileged",
    "FieldType": "calculated",
    "Datatype": "boolean",
    "Formula": "=AND(NOT({{IsAdministrator}}), {{VisibleTableCount}} &gt;= 74)",
    "InventedForQuestion": null,
    "SemanticTypeIri": "urn:effortless:pko-extension#RulebookField",
    "Name": "AccessPrincipals.IsOverPrivileged",
    "IsDerived": true,
    "IsWitness": false,
    "DisagreeingSubstrateCount": 0.0,
    "IsSubstrateContested": false
   },
   {
    "RulebookFieldId": "AccessPrincipals.SemanticTypeIri",
    "TargetTable": "AccessPrincipals",
    "FieldName": "SemanticTypeIri",
    "FieldType": "raw",
    "Datatype": "string",
    "Formula": null,
    "InventedForQuestion": null,
    "SemanticTypeIri": "urn:effortless:pko-extension#RulebookField",
    "Name": "AccessPrincipals.SemanticTypeIri",
    "IsDerived": false,
    "IsWitness": false,
    "DisagreeingSubstrateCount": 0.0,
    "IsSubstrateContested": false
   },
   {
    "RulebookFieldId": "AccessPolicies.AccessPolicyId",
    "TargetTable": "AccessPolicies",
    "FieldName": "AccessPolicyId",
    "FieldType": "raw",
    "Datatype": "string",
    "Formula": null,
    "InventedForQuestion": null,
    "SemanticTypeIri": "urn:effortless:pko-extension#RulebookField",
    "Name": "AccessPolicies.AccessPolicyId",
    "IsDerived": false,
    "IsWitness": false,
    "DisagreeingSubstrateCount": 0.0,
    "IsSubstrateContested": false
   },
   {
    "RulebookFieldId": "AccessPolicies.Name",
    "TargetTable": "AccessPolicies",
    "FieldName": "Name",
    "FieldType": "calculated",
    "Datatype": "string",
    "Formula": "={{Principal}} &amp; \" \" &amp; {{Command}} &amp; \" \" &amp; {{TargetTable}}",
    "InventedForQuestion": null,
    "SemanticTypeIri": "urn:effortless:pko-extension#RulebookField",
    "Name": "AccessPolicies.Name",
    "IsDerived": true,
    "IsWitness": false,
    "DisagreeingSubstrateCount": 0.0,
    "IsSubstrateContested": false
   },
   {
    "RulebookFieldId": "AccessPolicies.Principal",
    "TargetTable": "AccessPolicies",
    "FieldName": "Principal",
    "FieldType": "relationship",
    "Datatype": "string",
    "Formula": null,
    "InventedForQuestion": null,
    "SemanticTypeIri": "urn:effortless:pko-extension#RulebookField",
    "Name": "AccessPolicies.Principal",
    "IsDerived": false,
    "IsWitness": false,
    "DisagreeingSubstrateCount": 0.0,
    "IsSubstrateContested": false
   },
   {
    "RulebookFieldId": "AccessPolicies.TargetTable",
    "TargetTable": "AccessPolicies",
    "FieldName": "TargetTable",
    "FieldType": "relationship",
    "Datatype": "string",
    "Formula": null,
    "InventedForQuestion": null,
    "SemanticTypeIri": "urn:effortless:pko-extension#RulebookField",
    "Name": "AccessPolicies.TargetTable",
    "IsDerived": false,
    "IsWitness": false,
    "DisagreeingSubstrateCount": 0.0,
    "IsSubstrateContested": false
   },
   {
    "RulebookFieldId": "AccessPolicies.Command",
    "TargetTable": "AccessPolicies",
    "FieldName": "Command",
    "FieldType": "raw",
    "Datatype": "string",
    "Formula": null,
    "InventedForQuestion": null,
    "SemanticTypeIri": "urn:effortless:pko-extension#RulebookField",
    "Name": "AccessPolicies.Command",
    "IsDerived": false,
    "IsWitness": false,
    "DisagreeingSubstrateCount": 0.0,
    "IsSubstrateContested": false
   },
   {
    "RulebookFieldId": "AccessPolicies.RowPredicate",
    "TargetTable": "AccessPolicies",
    "FieldName": "RowPredicate",
    "FieldType": "raw",
    "Datatype": "string",
    "Formula": null,
    "InventedForQuestion": null,
    "SemanticTypeIri": "urn:effortless:pko-extension#RulebookField",
    "Name": "AccessPolicies.RowPredicate",
    "IsDerived": false,
    "IsWitness": false,
    "DisagreeingSubstrateCount": 0.0,
    "IsSubstrateContested": false
   },
   {
    "RulebookFieldId": "AccessPolicies.CheckPredicate",
    "TargetTable": "AccessPolicies",
    "FieldName": "CheckPredicate",
    "FieldType": "raw",
    "Datatype": "string",
    "Formula": null,
    "InventedForQuestion": null,
    "SemanticTypeIri": "urn:effortless:pko-extension#RulebookField",
    "Name": "AccessPolicies.CheckPredicate",
    "IsDerived": false,
    "IsWitness": false,
    "DisagreeingSubstrateCount": 0.0,
    "IsSubstrateContested": false
   },
   {
    "RulebookFieldId": "AccessPolicies.Rationale",
    "TargetTable": "AccessPolicies",
    "FieldName": "Rationale",
    "FieldType": "raw",
    "Datatype": "string",
    "Formula": null,
    "InventedForQuestion": null,
    "SemanticTypeIri": "urn:effortless:pko-extension#RulebookField",
    "Name": "AccessPolicies.Rationale",
    "IsDerived": false,
    "IsWitness": false,
    "DisagreeingSubstrateCount": 0.0,
    "IsSubstrateContested": false
   },
   {
    "RulebookFieldId": "AccessPolicies.ReferencesInference",
    "TargetTable": "AccessPolicies",
    "FieldName": "ReferencesInference",
    "FieldType": "raw",
    "Datatype": "boolean",
    "Formula": null,
    "InventedForQuestion": null,
    "SemanticTypeIri": "urn:effortless:pko-extension#RulebookField",
    "Name": "AccessPolicies.ReferencesInference",
    "IsDerived": false,
    "IsWitness": false,
    "DisagreeingSubstrateCount": 0.0,
    "IsSubstrateContested": false
   },
   {
    "RulebookFieldId": "AccessPolicies.IsWriteCommand",
    "TargetTable": "AccessPolicies",
    "FieldName": "IsWriteCommand",
    "FieldType": "calculated",
    "Datatype": "boolean",
    "Formula": "=OR({{Command}} = \"INSERT\", {{Command}} = \"UPDATE\", {{Command}} = \"DELETE\", {{Command}} = \"ALL\")",
    "InventedForQuestion": null,
    "SemanticTypeIri": "urn:effortless:pko-extension#RulebookField",
    "Name": "AccessPolicies.IsWriteCommand",
    "IsDerived": true,
    "IsWitness": false,
    "DisagreeingSubstrateCount": 0.0,
    "IsSubstrateContested": false
   },
   {
    "RulebookFieldId": "AccessPolicies.IsUnrestricted",
    "TargetTable": "AccessPolicies",
    "FieldName": "IsUnrestricted",
    "FieldType": "calculated",
    "Datatype": "boolean",
    "Formula": "={{RowPredicate}} = \"\"",
    "InventedForQuestion": null,
    "SemanticTypeIri": "urn:effortless:pko-extension#RulebookField",
    "Name": "AccessPolicies.IsUnrestricted",
    "IsDerived": true,
    "IsWitness": false,
    "DisagreeingSubstrateCount": 0.0,
    "IsSubstrateContested": false
   },
   {
    "RulebookFieldId": "AccessPolicies.PrincipalIsAdmin",
    "TargetTable": "AccessPolicies",
    "FieldName": "PrincipalIsAdmin",
    "FieldType": "lookup",
    "Datatype": "boolean",
    "Formula": "=INDEX(AccessPrincipals!{{IsAdministrator}}, MATCH({{Principal}}, AccessPrincipals!{{AccessPrincipalId}}, 0))",
    "InventedForQuestion": null,
    "SemanticTypeIri": "urn:effortless:pko-extension#RulebookField",
    "Name": "AccessPolicies.PrincipalIsAdmin",
    "IsDerived": true,
    "IsWitness": false,
    "DisagreeingSubstrateCount": 0.0,
    "IsSubstrateContested": false
   },
   {
    "RulebookFieldId": "AccessPolicies.IsUnrestrictedNonAdminGrant",
    "TargetTable": "AccessPolicies",
    "FieldName": "IsUnrestrictedNonAdminGrant",
    "FieldType": "calculated",
    "Datatype": "boolean",
    "Formula": "=AND({{IsUnrestricted}}, NOT({{PrincipalIsAdmin}}))",
    "InventedForQuestion": null,
    "SemanticTypeIri": "urn:effortless:pko-extension#RulebookField",
    "Name": "AccessPolicies.IsUnrestrictedNonAdminGrant",
    "IsDerived": true,
    "IsWitness": false,
    "DisagreeingSubstrateCount": 0.0,
    "IsSubstrateContested": false
   },
   {
    "RulebookFieldId": "AccessPolicies.IsUnwitnessedWrite",
    "TargetTable": "AccessPolicies",
    "FieldName": "IsUnwitnessedWrite",
    "FieldType": "calculated",
    "Datatype": "boolean",
    "Formula": "=AND({{IsWriteCommand}}, {{DenialTestCount}} = 0)",
    "InventedForQuestion": null,
    "SemanticTypeIri": "urn:effortless:pko-extension#RulebookField",
    "Name": "AccessPolicies.IsUnwitnessedWrite",
    "IsDerived": true,
    "IsWitness": false,
    "DisagreeingSubstrateCount": 0.0,
    "IsSubstrateContested": false
   },
   {
    "RulebookFieldId": "AccessPolicies.DenialTestCount",
    "TargetTable": "AccessPolicies",
    "FieldName": "DenialTestCount",
    "FieldType": "aggregation",
    "Datatype": "number",
    "Formula": "=COUNTIFS(AccessDenialTests!{{TargetPolicy}}, {{AccessPolicyId}})",
    "InventedForQuestion": null,
    "SemanticTypeIri": "urn:effortless:pko-extension#RulebookField",
    "Name": "AccessPolicies.DenialTestCount",
    "IsDerived": true,
    "IsWitness": false,
    "DisagreeingSubstrateCount": 0.0,
    "IsSubstrateContested": false
   },
   {
    "RulebookFieldId": "AccessPolicies.SemanticTypeIri",
    "TargetTable": "AccessPolicies",
    "FieldName": "SemanticTypeIri",
    "FieldType": "raw",
    "Datatype": "string",
    "Formula": null,
    "InventedForQuestion": null,
    "SemanticTypeIri": "urn:effortless:pko-extension#RulebookField",
    "Name": "AccessPolicies.SemanticTypeIri",
    "IsDerived": false,
    "IsWitness": false,
    "DisagreeingSubstrateCount": 0.0,
    "IsSubstrateContested": false
   },
   {
    "RulebookFieldId": "FieldGrants.FieldGrantId",
    "TargetTable": "FieldGrants",
    "FieldName": "FieldGrantId",
    "FieldType": "raw",
    "Datatype": "string",
    "Formula": null,
    "InventedForQuestion": null,
    "SemanticTypeIri": "urn:effortless:pko-extension#RulebookField",
    "Name": "FieldGrants.FieldGrantId",
    "IsDerived": false,
    "IsWitness": false,
    "DisagreeingSubstrateCount": 0.0,
    "IsSubstrateContested": false
   },
   {
    "RulebookFieldId": "FieldGrants.Name",
    "TargetTable": "FieldGrants",
    "FieldName": "Name",
    "FieldType": "calculated",
    "Datatype": "string",
    "Formula": "={{Principal}} &amp; \" -&gt; \" &amp; {{TargetField}}",
    "InventedForQuestion": null,
    "SemanticTypeIri": "urn:effortless:pko-extension#RulebookField",
    "Name": "FieldGrants.Name",
    "IsDerived": true,
    "IsWitness": false,
    "DisagreeingSubstrateCount": 0.0,
    "IsSubstrateContested": false
   },
   {
    "RulebookFieldId": "FieldGrants.Principal",
    "TargetTable": "FieldGrants",
    "FieldName": "Principal",
    "FieldType": "relationship",
    "Datatype": "string",
    "Formula": null,
    "InventedForQuestion": null,
    "SemanticTypeIri": "urn:effortless:pko-extension#RulebookField",
    "Name": "FieldGrants.Principal",
    "IsDerived": false,
    "IsWitness": false,
    "DisagreeingSubstrateCount": 0.0,
    "IsSubstrateContested": false
   },
   {
    "RulebookFieldId": "FieldGrants.TargetField",
    "TargetTable": "FieldGrants",
    "FieldName": "TargetField",
    "FieldType": "relationship",
    "Datatype": "string",
    "Formula": null,
    "InventedForQuestion": null,
    "SemanticTypeIri": "urn:effortless:pko-extension#RulebookField",
    "Name": "FieldGrants.TargetField",
    "IsDerived": false,
    "IsWitness": false,
    "DisagreeingSubstrateCount": 0.0,
    "IsSubstrateContested": false
   },
   {
    "RulebookFieldId": "FieldGrants.CanRead",
    "TargetTable": "FieldGrants",
    "FieldName": "CanRead",
    "FieldType": "raw",
    "Datatype": "boolean",
    "Formula": null,
    "InventedForQuestion": null,
    "SemanticTypeIri": "urn:effortless:pko-extension#RulebookField",
    "Name": "FieldGrants.CanRead",
    "IsDerived": false,
    "IsWitness": false,
    "DisagreeingSubstrateCount": 0.0,
    "IsSubstrateContested": false
   },
   {
    "RulebookFieldId": "FieldGrants.CanWrite",
    "TargetTable": "FieldGrants",
    "FieldName": "CanWrite",
    "FieldType": "raw",
    "Datatype": "boolean",
    "Formula": null,
    "InventedForQuestion": null,
    "SemanticTypeIri": "urn:effortless:pko-extension#RulebookField",
    "Name": "FieldGrants.CanWrite",
    "IsDerived": false,
    "IsWitness": false,
    "DisagreeingSubstrateCount": 0.0,
    "IsSubstrateContested": false
   },
   {
    "RulebookFieldId": "FieldGrants.MaskStrategy",
    "TargetTable": "FieldGrants",
    "FieldName": "MaskStrategy",
    "FieldType": "raw",
    "Datatype": "string",
    "Formula": null,
    "InventedForQuestion": null,
    "SemanticTypeIri": "urn:effortless:pko-extension#RulebookField",
    "Name": "FieldGrants.MaskStrategy",
    "IsDerived": false,
    "IsWitness": false,
    "DisagreeingSubstrateCount": 0.0,
    "IsSubstrateContested": false
   },
   {
    "RulebookFieldId": "FieldGrants.FieldTable",
    "TargetTable": "FieldGrants",
    "FieldName": "FieldTable",
    "FieldType": "lookup",
    "Datatype": "string",
    "Formula": "=INDEX(RulebookFields!{{TargetTable}}, MATCH({{TargetField}}, RulebookFields!{{RulebookFieldId}}, 0))",
    "InventedForQuestion": null,
    "SemanticTypeIri": "urn:effortless:pko-extension#RulebookField",
    "Name": "FieldGrants.FieldTable",
    "IsDerived": true,
    "IsWitness": false,
    "DisagreeingSubstrateCount": 0.0,
    "IsSubstrateContested": false
   },
   {
    "RulebookFieldId": "FieldGrants.FieldName",
    "TargetTable": "FieldGrants",
    "FieldName": "FieldName",
    "FieldType": "lookup",
    "Datatype": "string",
    "Formula": "=INDEX(RulebookFields!{{FieldName}}, MATCH({{TargetField}}, RulebookFields!{{RulebookFieldId}}, 0))",
    "InventedForQuestion": null,
    "SemanticTypeIri": "urn:effortless:pko-extension#RulebookField",
    "Name": "FieldGrants.FieldName",
    "IsDerived": true,
    "IsWitness": false,
    "DisagreeingSubstrateCount": 0.0,
    "IsSubstrateContested": false
   },
   {
    "RulebookFieldId": "FieldGrants.FieldIsDerived",
    "TargetTable": "FieldGrants",
    "FieldName": "FieldIsDerived",
    "FieldType": "lookup",
    "Datatype": "boolean",
    "Formula": "=INDEX(RulebookFields!{{IsDerived}}, MATCH({{TargetField}}, RulebookFields!{{RulebookFieldId}}, 0))",
    "InventedForQuestion": null,
    "SemanticTypeIri": "urn:effortless:pko-extension#RulebookField",
    "Name": "FieldGrants.FieldIsDerived",
    "IsDerived": true,
    "IsWitness": false,
    "DisagreeingSubstrateCount": 0.0,
    "IsSubstrateContested": false
   },
   {
    "RulebookFieldId": "FieldGrants.IsWritableDerivedField",
    "TargetTable": "FieldGrants",
    "FieldName": "IsWritableDerivedField",
    "FieldType": "calculated",
    "Datatype": "boolean",
    "Formula": "=AND({{CanWrite}}, {{FieldIsDerived}})",
    "InventedForQuestion": null,
    "SemanticTypeIri": "urn:effortless:pko-extension#RulebookField",
    "Name": "FieldGrants.IsWritableDerivedField",
    "IsDerived": true,
    "IsWitness": false,
    "DisagreeingSubstrateCount": 0.0,
    "IsSubstrateContested": false
   },
   {
    "RulebookFieldId": "FieldGrants.IsMasked",
    "TargetTable": "FieldGrants",
    "FieldName": "IsMasked",
    "FieldType": "calculated",
    "Datatype": "boolean",
    "Formula": "=AND({{MaskStrategy}} &lt;&gt; \"plain\", {{MaskStrategy}} &lt;&gt; \"\")",
    "InventedForQuestion": null,
    "SemanticTypeIri": "urn:effortless:pko-extension#RulebookField",
    "Name": "FieldGrants.IsMasked",
    "IsDerived": true,
    "IsWitness": false,
    "DisagreeingSubstrateCount": 0.0,
    "IsSubstrateContested": false
   },
   {
    "RulebookFieldId": "FieldGrants.GrantKeyWhenReadable",
    "TargetTable": "FieldGrants",
    "FieldName": "GrantKeyWhenReadable",
    "FieldType": "calculated",
    "Datatype": "string",
    "Formula": "=IF({{CanRead}}, {{Principal}} &amp; \"|\" &amp; {{FieldTable}}, \"\")",
    "InventedForQuestion": null,
    "SemanticTypeIri": "urn:effortless:pko-extension#RulebookField",
    "Name": "FieldGrants.GrantKeyWhenReadable",
    "IsDerived": true,
    "IsWitness": false,
    "DisagreeingSubstrateCount": 0.0,
    "IsSubstrateContested": false
   },
   {
    "RulebookFieldId": "FieldGrants.SemanticTypeIri",
    "TargetTable": "FieldGrants",
    "FieldName": "SemanticTypeIri",
    "FieldType": "raw",
    "Datatype": "string",
    "Formula": null,
    "InventedForQuestion": null,
    "SemanticTypeIri": "urn:effortless:pko-extension#RulebookField",
    "Name": "FieldGrants.SemanticTypeIri",
    "IsDerived": false,
    "IsWitness": false,
    "DisagreeingSubstrateCount": 0.0,
    "IsSubstrateContested": false
   },
   {
    "RulebookFieldId": "RoleSchemas.RoleSchemaId",
    "TargetTable": "RoleSchemas",
    "FieldName": "RoleSchemaId",
    "FieldType": "raw",
    "Datatype": "string",
    "Formula": null,
    "InventedForQuestion": null,
    "SemanticTypeIri": "urn:effortless:pko-extension#RulebookField",
    "Name": "RoleSchemas.RoleSchemaId",
    "IsDerived": false,
    "IsWitness": false,
    "DisagreeingSubstrateCount": 0.0,
    "IsSubstrateContested": false
   },
   {
    "RulebookFieldId": "RoleSchemas.Name",
    "TargetTable": "RoleSchemas",
    "FieldName": "Name",
    "FieldType": "calculated",
    "Datatype": "string",
    "Formula": "={{SchemaName}}",
    "InventedForQuestion": null,
    "SemanticTypeIri": "urn:effortless:pko-extension#RulebookField",
    "Name": "RoleSchemas.Name",
    "IsDerived": true,
    "IsWitness": false,
    "DisagreeingSubstrateCount": 0.0,
    "IsSubstrateContested": false
   },
   {
    "RulebookFieldId": "RoleSchemas.Principal",
    "TargetTable": "RoleSchemas",
    "FieldName": "Principal",
    "FieldType": "relationship",
    "Datatype": "string",
    "Formula": null,
    "InventedForQuestion": null,
    "SemanticTypeIri": "urn:effortless:pko-extension#RulebookField",
    "Name": "RoleSchemas.Principal",
    "IsDerived": false,
    "IsWitness": false,
    "DisagreeingSubstrateCount": 0.0,
    "IsSubstrateContested": false
   },
   {
    "RulebookFieldId": "RoleSchemas.SchemaName",
    "TargetTable": "RoleSchemas",
    "FieldName": "SchemaName",
    "FieldType": "raw",
    "Datatype": "string",
    "Formula": null,
    "InventedForQuestion": null,
    "SemanticTypeIri": "urn:effortless:pko-extension#RulebookField",
    "Name": "RoleSchemas.SchemaName",
    "IsDerived": false,
    "IsWitness": false,
    "DisagreeingSubstrateCount": 0.0,
    "IsSubstrateContested": false
   },
   {
    "RulebookFieldId": "RoleSchemas.SearchPath",
    "TargetTable": "RoleSchemas",
    "FieldName": "SearchPath",
    "FieldType": "calculated",
    "Datatype": "string",
    "Formula": "={{SchemaName}}",
    "InventedForQuestion": null,
    "SemanticTypeIri": "urn:effortless:pko-extension#RulebookField",
    "Name": "RoleSchemas.SearchPath",
    "IsDerived": true,
    "IsWitness": false,
    "DisagreeingSubstrateCount": 0.0,
    "IsSubstrateContested": false
   },
   {
    "RulebookFieldId": "RoleSchemas.IsSealed",
    "TargetTable": "RoleSchemas",
    "FieldName": "IsSealed",
    "FieldType": "raw",
    "Datatype": "boolean",
    "Formula": null,
    "InventedForQuestion": null,
    "SemanticTypeIri": "urn:effortless:pko-extension#RulebookField",
    "Name": "RoleSchemas.IsSealed",
    "IsDerived": false,
    "IsWitness": false,
    "DisagreeingSubstrateCount": 0.0,
    "IsSubstrateContested": false
   },
   {
    "RulebookFieldId": "RoleSchemas.ViewCount",
    "TargetTable": "RoleSchemas",
    "FieldName": "ViewCount",
    "FieldType": "aggregation",
    "Datatype": "number",
    "Formula": "=COUNTIFS(RoleSchemaViews!{{RoleSchema}}, {{RoleSchemaId}})",
    "InventedForQuestion": null,
    "SemanticTypeIri": "urn:effortless:pko-extension#RulebookField",
    "Name": "RoleSchemas.ViewCount",
    "IsDerived": true,
    "IsWitness": false,
    "DisagreeingSubstrateCount": 0.0,
    "IsSubstrateContested": false
   },
   {
    "RulebookFieldId": "RoleSchemas.IsEmptySchema",
    "TargetTable": "RoleSchemas",
    "FieldName": "IsEmptySchema",
    "FieldType": "calculated",
    "Datatype": "boolean",
    "Formula": "={{ViewCount}} = 0",
    "InventedForQuestion": null,
    "SemanticTypeIri": "urn:effortless:pko-extension#RulebookField",
    "Name": "RoleSchemas.IsEmptySchema",
    "IsDerived": true,
    "IsWitness": false,
    "DisagreeingSubstrateCount": 0.0,
    "IsSubstrateContested": false
   },
   {
    "RulebookFieldId": "RoleSchemas.SemanticTypeIri",
    "TargetTable": "RoleSchemas",
    "FieldName": "SemanticTypeIri",
    "FieldType": "raw",
    "Datatype": "string",
    "Formula": null,
    "InventedForQuestion": null,
    "SemanticTypeIri": "urn:effortless:pko-extension#RulebookField",
    "Name": "RoleSchemas.SemanticTypeIri",
    "IsDerived": false,
    "IsWitness": false,
    "DisagreeingSubstrateCount": 0.0,
    "IsSubstrateContested": false
   },
   {
    "RulebookFieldId": "RoleSchemaViews.RoleSchemaViewId",
    "TargetTable": "RoleSchemaViews",
    "FieldName": "RoleSchemaViewId",
    "FieldType": "raw",
    "Datatype": "string",
    "Formula": null,
    "InventedForQuestion": null,
    "SemanticTypeIri": "urn:effortless:pko-extension#RulebookField",
    "Name": "RoleSchemaViews.RoleSchemaViewId",
    "IsDerived": false,
    "IsWitness": false,
    "DisagreeingSubstrateCount": 0.0,
    "IsSubstrateContested": false
   },
   {
    "RulebookFieldId": "RoleSchemaViews.Name",
    "TargetTable": "RoleSchemaViews",
    "FieldName": "Name",
    "FieldType": "calculated",
    "Datatype": "string",
    "Formula": "={{SchemaName}} &amp; \".\" &amp; {{ViewName}}",
    "InventedForQuestion": null,
    "SemanticTypeIri": "urn:effortless:pko-extension#RulebookField",
    "Name": "RoleSchemaViews.Name",
    "IsDerived": true,
    "IsWitness": false,
    "DisagreeingSubstrateCount": 0.0,
    "IsSubstrateContested": false
   },
   {
    "RulebookFieldId": "RoleSchemaViews.RoleSchema",
    "TargetTable": "RoleSchemaViews",
    "FieldName": "RoleSchema",
    "FieldType": "relationship",
    "Datatype": "string",
    "Formula": null,
    "InventedForQuestion": null,
    "SemanticTypeIri": "urn:effortless:pko-extension#RulebookField",
    "Name": "RoleSchemaViews.RoleSchema",
    "IsDerived": false,
    "IsWitness": false,
    "DisagreeingSubstrateCount": 0.0,
    "IsSubstrateContested": false
   },
   {
    "RulebookFieldId": "RoleSchemaViews.Principal",
    "TargetTable": "RoleSchemaViews",
    "FieldName": "Principal",
    "FieldType": "relationship",
    "Datatype": "string",
    "Formula": null,
    "InventedForQuestion": null,
    "SemanticTypeIri": "urn:effortless:pko-extension#RulebookField",
    "Name": "RoleSchemaViews.Principal",
    "IsDerived": false,
    "IsWitness": false,
    "DisagreeingSubstrateCount": 0.0,
    "IsSubstrateContested": false
   },
   {
    "RulebookFieldId": "RoleSchemaViews.TargetTable",
    "TargetTable": "RoleSchemaViews",
    "FieldName": "TargetTable",
    "FieldType": "relationship",
    "Datatype": "string",
    "Formula": null,
    "InventedForQuestion": null,
    "SemanticTypeIri": "urn:effortless:pko-extension#RulebookField",
    "Name": "RoleSchemaViews.TargetTable",
    "IsDerived": false,
    "IsWitness": false,
    "DisagreeingSubstrateCount": 0.0,
    "IsSubstrateContested": false
   },
   {
    "RulebookFieldId": "RoleSchemaViews.ViewName",
    "TargetTable": "RoleSchemaViews",
    "FieldName": "ViewName",
    "FieldType": "raw",
    "Datatype": "string",
    "Formula": null,
    "InventedForQuestion": null,
    "SemanticTypeIri": "urn:effortless:pko-extension#RulebookField",
    "Name": "RoleSchemaViews.ViewName",
    "IsDerived": false,
    "IsWitness": false,
    "DisagreeingSubstrateCount": 0.0,
    "IsSubstrateContested": false
   },
   {
    "RulebookFieldId": "RoleSchemaViews.SchemaName",
    "TargetTable": "RoleSchemaViews",
    "FieldName": "SchemaName",
    "FieldType": "lookup",
    "Datatype": "string",
    "Formula": "=INDEX(RoleSchemas!{{SchemaName}}, MATCH({{RoleSchema}}, RoleSchemas!{{RoleSchemaId}}, 0))",
    "InventedForQuestion": null,
    "SemanticTypeIri": "urn:effortless:pko-extension#RulebookField",
    "Name": "RoleSchemaViews.SchemaName",
    "IsDerived": true,
    "IsWitness": false,
    "DisagreeingSubstrateCount": 0.0,
    "IsSubstrateContested": false
   },
   {
    "RulebookFieldId": "RoleSchemaViews.SourceView",
    "TargetTable": "RoleSchemaViews",
    "FieldName": "SourceView",
    "FieldType": "lookup",
    "Datatype": "string",
    "Formula": "=INDEX(RulebookTables!{{PhysicalView}}, MATCH({{TargetTable}}, RulebookTables!{{RulebookTableId}}, 0))",
    "InventedForQuestion": null,
    "SemanticTypeIri": "urn:effortless:pko-extension#RulebookField",
    "Name": "RoleSchemaViews.SourceView",
    "IsDerived": true,
    "IsWitness": false,
    "DisagreeingSubstrateCount": 0.0,
    "IsSubstrateContested": false
   },
   {
    "RulebookFieldId": "RoleSchemaViews.GrantKey",
    "TargetTable": "RoleSchemaViews",
    "FieldName": "GrantKey",
    "FieldType": "calculated",
    "Datatype": "string",
    "Formula": "={{Principal}} &amp; \"|\" &amp; {{TargetTable}}",
    "InventedForQuestion": null,
    "SemanticTypeIri": "urn:effortless:pko-extension#RulebookField",
    "Name": "RoleSchemaViews.GrantKey",
    "IsDerived": true,
    "IsWitness": false,
    "DisagreeingSubstrateCount": 0.0,
    "IsSubstrateContested": false
   },
   {
    "RulebookFieldId": "RoleSchemaViews.ColumnCount",
    "TargetTable": "RoleSchemaViews",
    "FieldName": "ColumnCount",
    "FieldType": "aggregation",
    "Datatype": "number",
    "Formula": "=COUNTIFS(FieldGrants!{{GrantKeyWhenReadable}}, {{GrantKey}})",
    "InventedForQuestion": null,
    "SemanticTypeIri": "urn:effortless:pko-extension#RulebookField",
    "Name": "RoleSchemaViews.ColumnCount",
    "IsDerived": true,
    "IsWitness": false,
    "DisagreeingSubstrateCount": 0.0,
    "IsSubstrateContested": false
   },
   {
    "RulebookFieldId": "RoleSchemaViews.TableFieldCount",
    "Ta</t>
  </si>
  <si>
    <t xml:space="preserve">rgetTable": "RoleSchemaViews",
    "FieldName": "TableFieldCount",
    "FieldType": "lookup",
    "Datatype": "number",
    "Formula": "=INDEX(RulebookTables!{{FieldCount}}, MATCH({{TargetTable}}, RulebookTables!{{RulebookTableId}}, 0))",
    "InventedForQuestion": null,
    "SemanticTypeIri": "urn:effortless:pko-extension#RulebookField",
    "Name": "RoleSchemaViews.TableFieldCount",
    "IsDerived": true,
    "IsWitness": false,
    "DisagreeingSubstrateCount": 0.0,
    "IsSubstrateContested": false
   },
   {
    "RulebookFieldId": "RoleSchemaViews.IsFullWidth",
    "TargetTable": "RoleSchemaViews",
    "FieldName": "IsFullWidth",
    "FieldType": "calculated",
    "Datatype": "boolean",
    "Formula": "=AND({{ColumnCount}} &gt; 0, {{ColumnCount}} &gt;= {{TableFieldCount}})",
    "InventedForQuestion": null,
    "SemanticTypeIri": "urn:effortless:pko-extension#RulebookField",
    "Name": "RoleSchemaViews.IsFullWidth",
    "IsDerived": true,
    "IsWitness": false,
    "DisagreeingSubstrateCount": 0.0,
    "IsSubstrateContested": false
   },
   {
    "RulebookFieldId": "RoleSchemaViews.IsDegenerateView",
    "TargetTable": "RoleSchemaViews",
    "FieldName": "IsDegenerateView",
    "FieldType": "calculated",
    "Datatype": "boolean",
    "Formula": "={{ColumnCount}} = 0",
    "InventedForQuestion": null,
    "SemanticTypeIri": "urn:effortless:pko-extension#RulebookField",
    "Name": "RoleSchemaViews.IsDegenerateView",
    "IsDerived": true,
    "IsWitness": false,
    "DisagreeingSubstrateCount": 0.0,
    "IsSubstrateContested": false
   },
   {
    "RulebookFieldId": "RoleSchemaViews.SemanticTypeIri",
    "TargetTable": "RoleSchemaViews",
    "FieldName": "SemanticTypeIri",
    "FieldType": "raw",
    "Datatype": "string",
    "Formula": null,
    "InventedForQuestion": null,
    "SemanticTypeIri": "urn:effortless:pko-extension#RulebookField",
    "Name": "RoleSchemaViews.SemanticTypeIri",
    "IsDerived": false,
    "IsWitness": false,
    "DisagreeingSubstrateCount": 0.0,
    "IsSubstrateContested": false
   },
   {
    "RulebookFieldId": "JwtClaimMappings.JwtClaimMappingId",
    "TargetTable": "JwtClaimMappings",
    "FieldName": "JwtClaimMappingId",
    "FieldType": "raw",
    "Datatype": "string",
    "Formula": null,
    "InventedForQuestion": null,
    "SemanticTypeIri": "urn:effortless:pko-extension#RulebookField",
    "Name": "JwtClaimMappings.JwtClaimMappingId",
    "IsDerived": false,
    "IsWitness": false,
    "DisagreeingSubstrateCount": 0.0,
    "IsSubstrateContested": false
   },
   {
    "RulebookFieldId": "JwtClaimMappings.Name",
    "TargetTable": "JwtClaimMappings",
    "FieldName": "Name",
    "FieldType": "calculated",
    "Datatype": "string",
    "Formula": "={{ClaimName}} &amp; \" -&gt; \" &amp; {{SqlAccessor}}",
    "InventedForQuestion": null,
    "SemanticTypeIri": "urn:effortless:pko-extension#RulebookField",
    "Name": "JwtClaimMappings.Name",
    "IsDerived": true,
    "IsWitness": false,
    "DisagreeingSubstrateCount": 0.0,
    "IsSubstrateContested": false
   },
   {
    "RulebookFieldId": "JwtClaimMappings.ClaimName",
    "TargetTable": "JwtClaimMappings",
    "FieldName": "ClaimName",
    "FieldType": "raw",
    "Datatype": "string",
    "Formula": null,
    "InventedForQuestion": null,
    "SemanticTypeIri": "urn:effortless:pko-extension#RulebookField",
    "Name": "JwtClaimMappings.ClaimName",
    "IsDerived": false,
    "IsWitness": false,
    "DisagreeingSubstrateCount": 0.0,
    "IsSubstrateContested": false
   },
   {
    "RulebookFieldId": "JwtClaimMappings.SqlAccessor",
    "TargetTable": "JwtClaimMappings",
    "FieldName": "SqlAccessor",
    "FieldType": "raw",
    "Datatype": "string",
    "Formula": null,
    "InventedForQuestion": null,
    "SemanticTypeIri": "urn:effortless:pko-extension#RulebookField",
    "Name": "JwtClaimMappings.SqlAccessor",
    "IsDerived": false,
    "IsWitness": false,
    "DisagreeingSubstrateCount": 0.0,
    "IsSubstrateContested": false
   },
   {
    "RulebookFieldId": "JwtClaimMappings.IsReservedClaim",
    "TargetTable": "JwtClaimMappings",
    "FieldName": "IsReservedClaim",
    "FieldType": "raw",
    "Datatype": "boolean",
    "Formula": null,
    "InventedForQuestion": null,
    "SemanticTypeIri": "urn:effortless:pko-extension#RulebookField",
    "Name": "JwtClaimMappings.IsReservedClaim",
    "IsDerived": false,
    "IsWitness": false,
    "DisagreeingSubstrateCount": 0.0,
    "IsSubstrateContested": false
   },
   {
    "RulebookFieldId": "JwtClaimMappings.MapsToPrincipal",
    "TargetTable": "JwtClaimMappings",
    "FieldName": "MapsToPrincipal",
    "FieldType": "raw",
    "Datatype": "boolean",
    "Formula": null,
    "InventedForQuestion": null,
    "SemanticTypeIri": "urn:effortless:pko-extension#RulebookField",
    "Name": "JwtClaimMappings.MapsToPrincipal",
    "IsDerived": false,
    "IsWitness": false,
    "DisagreeingSubstrateCount": 0.0,
    "IsSubstrateContested": false
   },
   {
    "RulebookFieldId": "JwtClaimMappings.Description2",
    "TargetTable": "JwtClaimMappings",
    "FieldName": "Description2",
    "FieldType": "raw",
    "Datatype": "string",
    "Formula": null,
    "InventedForQuestion": null,
    "SemanticTypeIri": "urn:effortless:pko-extension#RulebookField",
    "Name": "JwtClaimMappings.Description2",
    "IsDerived": false,
    "IsWitness": false,
    "DisagreeingSubstrateCount": 0.0,
    "IsSubstrateContested": false
   },
   {
    "RulebookFieldId": "JwtClaimMappings.UsageCount",
    "TargetTable": "JwtClaimMappings",
    "FieldName": "UsageCount",
    "FieldType": "aggregation",
    "Datatype": "number",
    "Formula": "=COUNTIFS(AccessPolicies!{{RowPredicate}}, {{SqlAccessor}})",
    "InventedForQuestion": null,
    "SemanticTypeIri": "urn:effortless:pko-extension#RulebookField",
    "Name": "JwtClaimMappings.UsageCount",
    "IsDerived": true,
    "IsWitness": false,
    "DisagreeingSubstrateCount": 0.0,
    "IsSubstrateContested": false
   },
   {
    "RulebookFieldId": "JwtClaimMappings.SemanticTypeIri",
    "TargetTable": "JwtClaimMappings",
    "FieldName": "SemanticTypeIri",
    "FieldType": "raw",
    "Datatype": "string",
    "Formula": null,
    "InventedForQuestion": null,
    "SemanticTypeIri": "urn:effortless:pko-extension#RulebookField",
    "Name": "JwtClaimMappings.SemanticTypeIri",
    "IsDerived": false,
    "IsWitness": false,
    "DisagreeingSubstrateCount": 0.0,
    "IsSubstrateContested": false
   },
   {
    "RulebookFieldId": "AccessDenialTests.AccessDenialTestId",
    "TargetTable": "AccessDenialTests",
    "FieldName": "AccessDenialTestId",
    "FieldType": "raw",
    "Datatype": "string",
    "Formula": null,
    "InventedForQuestion": null,
    "SemanticTypeIri": "urn:effortless:pko-extension#RulebookField",
    "Name": "AccessDenialTests.AccessDenialTestId",
    "IsDerived": false,
    "IsWitness": false,
    "DisagreeingSubstrateCount": 0.0,
    "IsSubstrateContested": false
   },
   {
    "RulebookFieldId": "AccessDenialTests.Name",
    "TargetTable": "AccessDenialTests",
    "FieldName": "Name",
    "FieldType": "calculated",
    "Datatype": "string",
    "Formula": "={{Principal}} &amp; \" must not see \" &amp; {{ForbiddenRowId}}",
    "InventedForQuestion": null,
    "SemanticTypeIri": "urn:effortless:pko-extension#RulebookField",
    "Name": "AccessDenialTests.Name",
    "IsDerived": true,
    "IsWitness": false,
    "DisagreeingSubstrateCount": 1.0,
    "IsSubstrateContested": true
   },
   {
    "RulebookFieldId": "AccessDenialTests.TargetPolicy",
    "TargetTable": "AccessDenialTests",
    "FieldName": "TargetPolicy",
    "FieldType": "relationship",
    "Datatype": "string",
    "Formula": null,
    "InventedForQuestion": null,
    "SemanticTypeIri": "urn:effortless:pko-extension#RulebookField",
    "Name": "AccessDenialTests.TargetPolicy",
    "IsDerived": false,
    "IsWitness": false,
    "DisagreeingSubstrateCount": 0.0,
    "IsSubstrateContested": false
   },
   {
    "RulebookFieldId": "AccessDenialTests.Principal",
    "TargetTable": "AccessDenialTests",
    "FieldName": "Principal",
    "FieldType": "relationship",
    "Datatype": "string",
    "Formula": null,
    "InventedForQuestion": null,
    "SemanticTypeIri": "urn:effortless:pko-extension#RulebookField",
    "Name": "AccessDenialTests.Principal",
    "IsDerived": false,
    "IsWitness": false,
    "DisagreeingSubstrateCount": 0.0,
    "IsSubstrateContested": false
   },
   {
    "RulebookFieldId": "AccessDenialTests.TargetTable",
    "TargetTable": "AccessDenialTests",
    "FieldName": "TargetTable",
    "FieldType": "relationship",
    "Datatype": "string",
    "Formula": null,
    "InventedForQuestion": null,
    "SemanticTypeIri": "urn:effortless:pko-extension#RulebookField",
    "Name": "AccessDenialTests.TargetTable",
    "IsDerived": false,
    "IsWitness": false,
    "DisagreeingSubstrateCount": 0.0,
    "IsSubstrateContested": false
   },
   {
    "RulebookFieldId": "AccessDenialTests.ForbiddenRowId",
    "TargetTable": "AccessDenialTests",
    "FieldName": "ForbiddenRowId",
    "FieldType": "raw",
    "Datatype": "string",
    "Formula": null,
    "InventedForQuestion": null,
    "SemanticTypeIri": "urn:effortless:pko-extension#RulebookField",
    "Name": "AccessDenialTests.ForbiddenRowId",
    "IsDerived": false,
    "IsWitness": false,
    "DisagreeingSubstrateCount": 0.0,
    "IsSubstrateContested": false
   },
   {
    "RulebookFieldId": "AccessDenialTests.ExpectedVisible",
    "TargetTable": "AccessDenialTests",
    "FieldName": "ExpectedVisible",
    "FieldType": "raw",
    "Datatype": "boolean",
    "Formula": null,
    "InventedForQuestion": null,
    "SemanticTypeIri": "urn:effortless:pko-extension#RulebookField",
    "Name": "AccessDenialTests.ExpectedVisible",
    "IsDerived": false,
    "IsWitness": false,
    "DisagreeingSubstrateCount": 0.0,
    "IsSubstrateContested": false
   },
   {
    "RulebookFieldId": "AccessDenialTests.ObservedVisible",
    "TargetTable": "AccessDenialTests",
    "FieldName": "ObservedVisible",
    "FieldType": "raw",
    "Datatype": "boolean",
    "Formula": null,
    "InventedForQuestion": null,
    "SemanticTypeIri": "urn:effortless:pko-extension#RulebookField",
    "Name": "AccessDenialTests.ObservedVisible",
    "IsDerived": false,
    "IsWitness": false,
    "DisagreeingSubstrateCount": 0.0,
    "IsSubstrateContested": false
   },
   {
    "RulebookFieldId": "AccessDenialTests.LastRunAt",
    "TargetTable": "AccessDenialTests",
    "FieldName": "LastRunAt",
    "FieldType": "raw",
    "Datatype": "datetime",
    "Formula": null,
    "InventedForQuestion": null,
    "SemanticTypeIri": "urn:effortless:pko-extension#RulebookField",
    "Name": "AccessDenialTests.LastRunAt",
    "IsDerived": false,
    "IsWitness": false,
    "DisagreeingSubstrateCount": 0.0,
    "IsSubstrateContested": false
   },
   {
    "RulebookFieldId": "AccessDenialTests.HasRun",
    "TargetTable": "AccessDenialTests",
    "FieldName": "HasRun",
    "FieldType": "calculated",
    "Datatype": "boolean",
    "Formula": "={{LastRunAt}} &lt;&gt; \"\"",
    "InventedForQuestion": null,
    "SemanticTypeIri": "urn:effortless:pko-extension#RulebookField",
    "Name": "AccessDenialTests.HasRun",
    "IsDerived": true,
    "IsWitness": false,
    "DisagreeingSubstrateCount": 0.0,
    "IsSubstrateContested": false
   },
   {
    "RulebookFieldId": "AccessDenialTests.IsPassing",
    "TargetTable": "AccessDenialTests",
    "FieldName": "IsPassing",
    "FieldType": "calculated",
    "Datatype": "boolean",
    "Formula": "={{ObservedVisible}} = {{ExpectedVisible}}",
    "InventedForQuestion": null,
    "SemanticTypeIri": "urn:effortless:pko-extension#RulebookField",
    "Name": "AccessDenialTests.IsPassing",
    "IsDerived": true,
    "IsWitness": false,
    "DisagreeingSubstrateCount": 0.0,
    "IsSubstrateContested": false
   },
   {
    "RulebookFieldId": "AccessDenialTests.IsLeak",
    "TargetTable": "AccessDenialTests",
    "FieldName": "IsLeak",
    "FieldType": "calculated",
    "Datatype": "boolean",
    "Formula": "=AND(NOT({{ExpectedVisible}}), {{ObservedVisible}})",
    "InventedForQuestion": null,
    "SemanticTypeIri": "urn:effortless:pko-extension#RulebookField",
    "Name": "AccessDenialTests.IsLeak",
    "IsDerived": true,
    "IsWitness": false,
    "DisagreeingSubstrateCount": 0.0,
    "IsSubstrateContested": false
   },
   {
    "RulebookFieldId": "AccessDenialTests.IsUnproven",
    "TargetTable": "AccessDenialTests",
    "FieldName": "IsUnproven",
    "FieldType": "calculated",
    "Datatype": "boolean",
    "Formula": "=NOT({{HasRun}})",
    "InventedForQuestion": null,
    "SemanticTypeIri": "urn:effortless:pko-extension#RulebookField",
    "Name": "AccessDenialTests.IsUnproven",
    "IsDerived": true,
    "IsWitness": false,
    "DisagreeingSubstrateCount": 0.0,
    "IsSubstrateContested": false
   },
   {
    "RulebookFieldId": "AccessDenialTests.Rationale",
    "TargetTable": "AccessDenialTests",
    "FieldName": "Rationale",
    "FieldType": "raw",
    "Datatype": "string",
    "Formula": null,
    "InventedForQuestion": null,
    "SemanticTypeIri": "urn:effortless:pko-extension#RulebookField",
    "Name": "AccessDenialTests.Rationale",
    "IsDerived": false,
    "IsWitness": false,
    "DisagreeingSubstrateCount": 0.0,
    "IsSubstrateContested": false
   },
   {
    "RulebookFieldId": "AccessDenialTests.IsPositiveControl",
    "TargetTable": "AccessDenialTests",
    "FieldName": "IsPositiveControl",
    "FieldType": "calculated",
    "Datatype": "boolean",
    "Formula": "={{ExpectedVisible}}",
    "InventedForQuestion": null,
    "SemanticTypeIri": "urn:effortless:pko-extension#RulebookField",
    "Name": "AccessDenialTests.IsPositiveControl",
    "IsDerived": true,
    "IsWitness": false,
    "DisagreeingSubstrateCount": 0.0,
    "IsSubstrateContested": false
   },
   {
    "RulebookFieldId": "AccessDenialTests.ForbiddenTable",
    "TargetTable": "AccessDenialTests",
    "FieldName": "ForbiddenTable",
    "FieldType": "raw",
    "Datatype": "string",
    "Formula": null,
    "InventedForQuestion": null,
    "SemanticTypeIri": "urn:effortless:pko-extension#RulebookField",
    "Name": "AccessDenialTests.ForbiddenTable",
    "IsDerived": false,
    "IsWitness": false,
    "DisagreeingSubstrateCount": 0.0,
    "IsSubstrateContested": false
   },
   {
    "RulebookFieldId": "AccessDenialTests.ForbiddenColumn",
    "TargetTable": "AccessDenialTests",
    "FieldName": "ForbiddenColumn",
    "FieldType": "raw",
    "Datatype": "string",
    "Formula": null,
    "InventedForQuestion": null,
    "SemanticTypeIri": "urn:effortless:pko-extension#RulebookField",
    "Name": "AccessDenialTests.ForbiddenColumn",
    "IsDerived": false,
    "IsWitness": false,
    "DisagreeingSubstrateCount": 0.0,
    "IsSubstrateContested": false
   },
   {
    "RulebookFieldId": "AccessDenialTests.SemanticTypeIri",
    "TargetTable": "AccessDenialTests",
    "FieldName": "SemanticTypeIri",
    "FieldType": "raw",
    "Datatype": "string",
    "Formula": null,
    "InventedForQuestion": null,
    "SemanticTypeIri": "urn:effortless:pko-extension#RulebookField",
    "Name": "AccessDenialTests.SemanticTypeIri",
    "IsDerived": false,
    "IsWitness": false,
    "DisagreeingSubstrateCount": 0.0,
    "IsSubstrateContested": false
   },
   {
    "RulebookFieldId": "AppUsers.AppUserId",
    "TargetTable": "AppUsers",
    "FieldName": "AppUserId",
    "FieldType": "raw",
    "Datatype": "string",
    "Formula": null,
    "InventedForQuestion": null,
    "SemanticTypeIri": "urn:effortless:pko-extension#RulebookField",
    "Name": "AppUsers.AppUserId",
    "IsDerived": false,
    "IsWitness": false,
    "DisagreeingSubstrateCount": 0.0,
    "IsSubstrateContested": false
   },
   {
    "RulebookFieldId": "AppUsers.Name",
    "TargetTable": "AppUsers",
    "FieldName": "Name",
    "FieldType": "calculated",
    "Datatype": "string",
    "Formula": "={{DisplayName}}",
    "InventedForQuestion": null,
    "SemanticTypeIri": "urn:effortless:pko-extension#RulebookField",
    "Name": "AppUsers.Name",
    "IsDerived": true,
    "IsWitness": false,
    "DisagreeingSubstrateCount": 0.0,
    "IsSubstrateContested": false
   },
   {
    "RulebookFieldId": "AppUsers.EmailAddress",
    "TargetTable": "AppUsers",
    "FieldName": "EmailAddress",
    "FieldType": "raw",
    "Datatype": "string",
    "Formula": null,
    "InventedForQuestion": null,
    "SemanticTypeIri": "urn:effortless:pko-extension#RulebookField",
    "Name": "AppUsers.EmailAddress",
    "IsDerived": false,
    "IsWitness": false,
    "DisagreeingSubstrateCount": 0.0,
    "IsSubstrateContested": false
   },
   {
    "RulebookFieldId": "AppUsers.DisplayName",
    "TargetTable": "AppUsers",
    "FieldName": "DisplayName",
    "FieldType": "raw",
    "Datatype": "string",
    "Formula": null,
    "InventedForQuestion": null,
    "SemanticTypeIri": "urn:effortless:pko-extension#RulebookField",
    "Name": "AppUsers.DisplayName",
    "IsDerived": false,
    "IsWitness": false,
    "DisagreeingSubstrateCount": 0.0,
    "IsSubstrateContested": false
   },
   {
    "RulebookFieldId": "AppUsers.LinkedAgent",
    "TargetTable": "AppUsers",
    "FieldName": "LinkedAgent",
    "FieldType": "relationship",
    "Datatype": "string",
    "Formula": null,
    "InventedForQuestion": null,
    "SemanticTypeIri": "urn:effortless:pko-extension#RulebookField",
    "Name": "AppUsers.LinkedAgent",
    "IsDerived": false,
    "IsWitness": false,
    "DisagreeingSubstrateCount": 0.0,
    "IsSubstrateContested": false
   },
   {
    "RulebookFieldId": "AppUsers.IsEnabled",
    "TargetTable": "AppUsers",
    "FieldName": "IsEnabled",
    "FieldType": "raw",
    "Datatype": "boolean",
    "Formula": null,
    "InventedForQuestion": null,
    "SemanticTypeIri": "urn:effortless:pko-extension#RulebookField",
    "Name": "AppUsers.IsEnabled",
    "IsDerived": false,
    "IsWitness": false,
    "DisagreeingSubstrateCount": 0.0,
    "IsSubstrateContested": false
   },
   {
    "RulebookFieldId": "AppUsers.AgentKind",
    "TargetTable": "AppUsers",
    "FieldName": "AgentKind",
    "FieldType": "lookup",
    "Datatype": "string",
    "Formula": "=INDEX(Agents!{{AgentKind}}, MATCH({{LinkedAgent}}, Agents!{{AgentId}}, 0))",
    "InventedForQuestion": null,
    "SemanticTypeIri": "urn:effortless:pko-extension#RulebookField",
    "Name": "AppUsers.AgentKind",
    "IsDerived": true,
    "IsWitness": false,
    "DisagreeingSubstrateCount": 0.0,
    "IsSubstrateContested": false
   },
   {
    "RulebookFieldId": "AppUsers.Organization",
    "TargetTable": "AppUsers",
    "FieldName": "Organization",
    "FieldType": "lookup",
    "Datatype": "string",
    "Formula": "=INDEX(Agents!{{Organization}}, MATCH({{LinkedAgent}}, Agents!{{AgentId}}, 0))",
    "InventedForQuestion": null,
    "SemanticTypeIri": "urn:effortless:pko-extension#RulebookField",
    "Name": "AppUsers.Organization",
    "IsDerived": true,
    "IsWitness": false,
    "DisagreeingSubstrateCount": 0.0,
    "IsSubstrateContested": false
   },
   {
    "RulebookFieldId": "AppUsers.AssignmentCount",
    "TargetTable": "AppUsers",
    "FieldName": "AssignmentCount",
    "FieldType": "aggregation",
    "Datatype": "number",
    "Formula": "=COUNTIFS(PrincipalAssignments!{{AppUser}}, {{AppUserId}})",
    "InventedForQuestion": null,
    "SemanticTypeIri": "urn:effortless:pko-extension#RulebookField",
    "Name": "AppUsers.AssignmentCount",
    "IsDerived": true,
    "IsWitness": false,
    "DisagreeingSubstrateCount": 0.0,
    "IsSubstrateContested": false
   },
   {
    "RulebookFieldId": "AppUsers.HasNoPrincipal",
    "TargetTable": "AppUsers",
    "FieldName": "HasNoPrincipal",
    "FieldType": "calculated",
    "Datatype": "boolean",
    "Formula": "={{AssignmentCount}} = 0",
    "InventedForQuestion": null,
    "SemanticTypeIri": "urn:effortless:pko-extension#RulebookField",
    "Name": "AppUsers.HasNoPrincipal",
    "IsDerived": true,
    "IsWitness": false,
    "DisagreeingSubstrateCount": 0.0,
    "IsSubstrateContested": false
   },
   {
    "RulebookFieldId": "AppUsers.HoldsMultiplePrincipals",
    "TargetTable": "AppUsers",
    "FieldName": "HoldsMultiplePrincipals",
    "FieldType": "calculated",
    "Datatype": "boolean",
    "Formula": "={{AssignmentCount}} &gt; 1",
    "InventedForQuestion": null,
    "SemanticTypeIri": "urn:effortless:pko-extension#RulebookField",
    "Name": "AppUsers.HoldsMultiplePrincipals",
    "IsDerived": true,
    "IsWitness": false,
    "DisagreeingSubstrateCount": 0.0,
    "IsSubstrateContested": false
   },
   {
    "RulebookFieldId": "AppUsers.IsNonHumanSignIn",
    "TargetTable": "AppUsers",
    "FieldName": "IsNonHumanSignIn",
    "FieldType": "calculated",
    "Datatype": "boolean",
    "Formula": "=OR({{AgentKind}} = \"AIAgent\", {{AgentKind}} = \"AutomatedPipeline\")",
    "InventedForQuestion": null,
    "SemanticTypeIri": "urn:effortless:pko-extension#RulebookField",
    "Name": "AppUsers.IsNonHumanSignIn",
    "IsDerived": true,
    "IsWitness": false,
    "DisagreeingSubstrateCount": 0.0,
    "IsSubstrateContested": false
   },
   {
    "RulebookFieldId": "AppUsers.SemanticTypeIri",
    "TargetTable": "AppUsers",
    "FieldName": "SemanticTypeIri",
    "FieldType": "raw",
    "Datatype": "string",
    "Formula": null,
    "InventedForQuestion": null,
    "SemanticTypeIri": "urn:effortless:pko-extension#RulebookField",
    "Name": "AppUsers.SemanticTypeIri",
    "IsDerived": false,
    "IsWitness": false,
    "DisagreeingSubstrateCount": 0.0,
    "IsSubstrateContested": false
   },
   {
    "RulebookFieldId": "PrincipalAssignments.PrincipalAssignmentId",
    "TargetTable": "PrincipalAssignments",
    "FieldName": "PrincipalAssignmentId",
    "FieldType": "raw",
    "Datatype": "string",
    "Formula": null,
    "InventedForQuestion": null,
    "SemanticTypeIri": "urn:effortless:pko-extension#RulebookField",
    "Name": "PrincipalAssignments.PrincipalAssignmentId",
    "IsDerived": false,
    "IsWitness": false,
    "DisagreeingSubstrateCount": 0.0,
    "IsSubstrateContested": false
   },
   {
    "RulebookFieldId": "PrincipalAssignments.Name",
    "TargetTable": "PrincipalAssignments",
    "FieldName": "Name",
    "FieldType": "calculated",
    "Datatype": "string",
    "Formula": "={{AppUser}} &amp; \" as \" &amp; {{Principal}}",
    "InventedForQuestion": null,
    "SemanticTypeIri": "urn:effortless:pko-extension#RulebookField",
    "Name": "PrincipalAssignments.Name",
    "IsDerived": true,
    "IsWitness": false,
    "DisagreeingSubstrateCount": 0.0,
    "IsSubstrateContested": false
   },
   {
    "RulebookFieldId": "PrincipalAssignments.AppUser",
    "TargetTable": "PrincipalAssignments",
    "FieldName": "AppUser",
    "FieldType": "relationship",
    "Datatype": "string",
    "Formula": null,
    "InventedForQuestion": null,
    "SemanticTypeIri": "urn:effortless:pko-extension#RulebookField",
    "Name": "PrincipalAssignments.AppUser",
    "IsDerived": false,
    "IsWitness": false,
    "DisagreeingSubstrateCount": 0.0,
    "IsSubstrateContested": false
   },
   {
    "RulebookFieldId": "PrincipalAssignments.Principal",
    "TargetTable": "PrincipalAssignments",
    "FieldName": "Principal",
    "FieldType": "relationship",
    "Datatype": "string",
    "Formula": null,
    "InventedForQuestion": null,
    "SemanticTypeIri": "urn:effortless:pko-extension#RulebookField",
    "Name": "PrincipalAssignments.Principal",
    "IsDerived": false,
    "IsWitness": false,
    "DisagreeingSubstrateCount": 0.0,
    "IsSubstrateContested": false
   },
   {
    "RulebookFieldId": "PrincipalAssignments.IsDefault",
    "TargetTable": "PrincipalAssignments",
    "FieldName": "IsDefault",
    "FieldType": "raw",
    "Datatype": "boolean",
    "Formula": null,
    "InventedForQuestion": null,
    "SemanticTypeIri": "urn:effortless:pko-extension#RulebookField",
    "Name": "PrincipalAssignments.IsDefault",
    "IsDerived": false,
    "IsWitness": false,
    "DisagreeingSubstrateCount": 0.0,
    "IsSubstrateContested": false
   },
   {
    "RulebookFieldId": "PrincipalAssignments.GrantedRationale",
    "TargetTable": "PrincipalAssignments",
    "FieldName": "GrantedRationale",
    "FieldType": "raw",
    "Datatype": "string",
    "Formula": null,
    "InventedForQuestion": null,
    "SemanticTypeIri": "urn:effortless:pko-extension#RulebookField",
    "Name": "PrincipalAssignments.GrantedRationale",
    "IsDerived": false,
    "IsWitness": false,
    "DisagreeingSubstrateCount": 0.0,
    "IsSubstrateContested": false
   },
   {
    "RulebookFieldId": "PrincipalAssignments.PrincipalIsAdmin",
    "TargetTable": "PrincipalAssignments",
    "FieldName": "PrincipalIsAdmin",
    "FieldType": "lookup",
    "Datatype": "boolean",
    "Formula": "=INDEX(AccessPrincipals!{{IsAdministrator}}, MATCH({{Principal}}, AccessPrincipals!{{AccessPrincipalId}}, 0))",
    "InventedForQuestion": null,
    "SemanticTypeIri": "urn:effortless:pko-extension#RulebookField",
    "Name": "PrincipalAssignments.PrincipalIsAdmin",
    "IsDerived": true,
    "IsWitness": false,
    "DisagreeingSubstrateCount": 0.0,
    "IsSubstrateContested": false
   },
   {
    "RulebookFieldId": "PrincipalAssignments.UserOrganization",
    "TargetTable": "PrincipalAssignments",
    "FieldName": "UserOrganization",
    "FieldType": "lookup",
    "Datatype": "string",
    "Formula": "=INDEX(AppUsers!{{Organization}}, MATCH({{AppUser}}, AppUsers!{{AppUserId}}, 0))",
    "InventedForQuestion": null,
    "SemanticTypeIri": "urn:effortless:pko-extension#RulebookField",
    "Name": "PrincipalAssignments.UserOrganization",
    "IsDerived": true,
    "IsWitness": false,
    "DisagreeingSubstrateCount": 0.0,
    "IsSubstrateContested": false
   },
   {
    "RulebookFieldId": "PrincipalAssignments.PrincipalOrganization",
    "TargetTable": "PrincipalAssignments",
    "FieldName": "PrincipalOrganization",
    "FieldType": "lookup",
    "Datatype": "string",
    "Formula": "=INDEX(AccessPrincipals!{{OrganizationScope}}, MATCH({{Principal}}, AccessPrincipals!{{AccessPrincipalId}}, 0))",
    "InventedForQuestion": null,
    "SemanticTypeIri": "urn:effortless:pko-extension#RulebookField",
    "Name": "PrincipalAssignments.PrincipalOrganization",
    "IsDerived": true,
    "IsWitness": false,
    "DisagreeingSubstrateCount": 0.0,
    "IsSubstrateContested": false
   },
   {
    "RulebookFieldId": "PrincipalAssignments.IsCrossOrganizationGrant",
    "TargetTable": "PrincipalAssignments",
    "FieldName": "IsCrossOrganizationGrant",
    "FieldType": "calculated",
    "Datatype": "boolean",
    "Formula": "=AND({{UserOrganization}} &lt;&gt; \"\", {{PrincipalOrganization}} &lt;&gt; \"\", {{UserOrganization}} &lt;&gt; {{PrincipalOrganization}})",
    "InventedForQuestion": null,
    "SemanticTypeIri": "urn:effortless:pko-extension#RulebookField",
    "Name": "PrincipalAssignments.IsCrossOrganizationGrant",
    "IsDerived": true,
    "IsWitness": false,
    "DisagreeingSubstrateCount": 0.0,
    "IsSubstrateContested": false
   },
   {
    "RulebookFieldId": "PrincipalAssignments.SemanticTypeIri",
    "TargetTable": "PrincipalAssignments",
    "FieldName": "SemanticTypeIri",
    "FieldType": "raw",
    "Datatype": "string",
    "Formula": null,
    "InventedForQuestion": null,
    "SemanticTypeIri": "urn:effortless:pko-extension#RulebookField",
    "Name": "PrincipalAssignments.SemanticTypeIri",
    "IsDerived": false,
    "IsWitness": false,
    "DisagreeingSubstrateCount": 0.0,
    "IsSubstrateContested": false
   },
   {
    "RulebookFieldId": "IssuedTokens.IssuedTokenId",
    "TargetTable": "IssuedTokens",
    "FieldName": "IssuedTokenId",
    "FieldType": "raw",
    "Datatype": "string",
    "Formula": null,
    "InventedForQuestion": null,
    "SemanticTypeIri": "urn:effortless:pko-extension#RulebookField",
    "Name": "IssuedTokens.IssuedTokenId",
    "IsDerived": false,
    "IsWitness": false,
    "DisagreeingSubstrateCount": 0.0,
    "IsSubstrateContested": false
   },
   {
    "RulebookFieldId": "IssuedTokens.Name",
    "TargetTable": "IssuedTokens",
    "FieldName": "Name",
    "FieldType": "calculated",
    "Datatype": "string",
    "Formula": "={{AppUser}} &amp; \" as \" &amp; {{Principal}} &amp; \" @ \" &amp; {{IssuedAt}}",
    "InventedForQuestion": null,
    "SemanticTypeIri": "urn:effortless:pko-extension#RulebookField",
    "Name": "IssuedTokens.Name",
    "IsDerived": true,
    "IsWitness": false,
    "DisagreeingSubstrateCount": 0.0,
    "IsSubstrateContested": false
   },
   {
    "RulebookFieldId": "IssuedTokens.AppUser",
    "TargetTable": "IssuedTokens",
    "FieldName": "AppUser",
    "FieldType": "relationship",
    "Datatype": "string",
    "Formula": null,
    "InventedForQuestion": null,
    "SemanticTypeIri": "urn:effortless:pko-extension#RulebookField",
    "Name": "IssuedTokens.AppUser",
    "IsDerived": false,
    "IsWitness": false,
    "DisagreeingSubstrateCount": 0.0,
    "IsSubstrateContested": false
   },
   {
    "RulebookFieldId": "IssuedTokens.Principal",
    "TargetTable": "IssuedTokens",
    "FieldName": "Principal",
    "FieldType": "relationship",
    "Datatype": "string",
    "Formula": null,
    "InventedForQuestion": null,
    "SemanticTypeIri": "urn:effortless:pko-extension#RulebookField",
    "Name": "IssuedTokens.Principal",
    "IsDerived": false,
    "IsWitness": false,
    "DisagreeingSubstrateCount": 0.0,
    "IsSubstrateContested": false
   },
   {
    "RulebookFieldId": "IssuedTokens.IssuedAt",
    "TargetTable": "IssuedTokens",
    "FieldName": "IssuedAt",
    "FieldType": "raw",
    "Datatype": "datetime",
    "Formula": null,
    "InventedForQuestion": null,
    "SemanticTypeIri": "urn:effortless:pko-extension#RulebookField",
    "Name": "IssuedTokens.IssuedAt",
    "IsDerived": false,
    "IsWitness": false,
    "DisagreeingSubstrateCount": 0.0,
    "IsSubstrateContested": false
   },
   {
    "RulebookFieldId": "IssuedTokens.ExpiresAt",
    "TargetTable": "IssuedTokens",
    "FieldName": "ExpiresAt",
    "FieldType": "raw",
    "Datatype": "datetime",
    "Formula": null,
    "InventedForQuestion": null,
    "SemanticTypeIri": "urn:effortless:pko-extension#RulebookField",
    "Name": "IssuedTokens.ExpiresAt",
    "IsDerived": false,
    "IsWitness": false,
    "DisagreeingSubstrateCount": 0.0,
    "IsSubstrateContested": false
   },
   {
    "RulebookFieldId": "IssuedTokens.Issuer",
    "TargetTable": "IssuedTokens",
    "FieldName": "Issuer",
    "FieldType": "raw",
    "Datatype": "string",
    "Formula": null,
    "InventedForQuestion": null,
    "SemanticTypeIri": "urn:effortless:pko-extension#RulebookField",
    "Name": "IssuedTokens.Issuer",
    "IsDerived": false,
    "IsWitness": false,
    "DisagreeingSubstrateCount": 0.0,
    "IsSubstrateContested": false
   },
   {
    "RulebookFieldId": "IssuedTokens.SubjectClaim",
    "TargetTable": "IssuedTokens",
    "FieldName": "SubjectClaim",
    "FieldType": "raw",
    "Datatype": "string",
    "Formula": null,
    "InventedForQuestion": null,
    "SemanticTypeIri": "urn:effortless:pko-extension#RulebookField",
    "Name": "IssuedTokens.SubjectClaim",
    "IsDerived": false,
    "IsWitness": false,
    "DisagreeingSubstrateCount": 0.0,
    "IsSubstrateContested": false
   },
   {
    "RulebookFieldId": "IssuedTokens.ClaimsSnapshot",
    "TargetTable": "IssuedTokens",
    "FieldName": "ClaimsSnapshot",
    "FieldType": "raw",
    "Datatype": "string",
    "Formula": null,
    "InventedForQuestion": null,
    "SemanticTypeIri": "urn:effortless:pko-extension#RulebookField",
    "Name": "IssuedTokens.ClaimsSnapshot",
    "IsDerived": false,
    "IsWitness": false,
    "DisagreeingSubstrateCount": 0.0,
    "IsSubstrateContested": false
   },
   {
    "RulebookFieldId": "IssuedTokens.IsDevMinted",
    "TargetTable": "IssuedTokens",
    "FieldName": "IsDevMinted",
    "FieldType": "calculated",
    "Datatype": "boolean",
    "Formula": "={{Issuer}} = \"dev-mint\"",
    "InventedForQuestion": null,
    "SemanticTypeIri": "urn:effortless:pko-extension#RulebookField",
    "Name": "IssuedTokens.IsDevMinted",
    "IsDerived": true,
    "IsWitness": false,
    "DisagreeingSubstrateCount": 0.0,
    "IsSubstrateContested": false
   },
   {
    "RulebookFieldId": "IssuedTokens.SemanticTypeIri",
    "TargetTable": "IssuedTokens",
    "FieldName": "SemanticTypeIri",
    "FieldType": "raw",
    "Datatype": "string",
    "Formula": null,
    "InventedForQuestion": null,
    "SemanticTypeIri": "urn:effortless:pko-extension#RulebookField",
    "Name": "IssuedTokens.SemanticTypeIri",
    "IsDerived": false,
    "IsWitness": false,
    "DisagreeingSubstrateCount": 0.0,
    "IsSubstrateContested": false
   },
   {
    "RulebookFieldId": "ProcessMinin</t>
  </si>
  <si>
    <t xml:space="preserve">gRuns.ProcessMiningRunId",
    "TargetTable": "ProcessMiningRuns",
    "FieldName": "ProcessMiningRunId",
    "FieldType": "raw",
    "Datatype": "string",
    "Formula": null,
    "InventedForQuestion": "q-steward-mining-drift",
    "SemanticTypeIri": "urn:effortless:pko-extension#RulebookField",
    "Name": "ProcessMiningRuns.ProcessMiningRunId",
    "IsDerived": false,
    "IsWitness": true,
    "DisagreeingSubstrateCount": 0.0,
    "IsSubstrateContested": false
   },
   {
    "RulebookFieldId": "ProcessMiningRuns.Name",
    "TargetTable": "ProcessMiningRuns",
    "FieldName": "Name",
    "FieldType": "calculated",
    "Datatype": "string",
    "Formula": "={{EventLogSource}} &amp; \" / \" &amp; {{MinedAt}}",
    "InventedForQuestion": "q-steward-mining-drift",
    "SemanticTypeIri": "urn:effortless:pko-extension#RulebookField",
    "Name": "ProcessMiningRuns.Name",
    "IsDerived": true,
    "IsWitness": true,
    "DisagreeingSubstrateCount": 0.0,
    "IsSubstrateContested": false
   },
   {
    "RulebookFieldId": "ProcessMiningRuns.ProcedureVersion",
    "TargetTable": "ProcessMiningRuns",
    "FieldName": "ProcedureVersion",
    "FieldType": "relationship",
    "Datatype": "string",
    "Formula": null,
    "InventedForQuestion": "q-steward-mining-drift",
    "SemanticTypeIri": "urn:effortless:pko-extension#RulebookField",
    "Name": "ProcessMiningRuns.ProcedureVersion",
    "IsDerived": false,
    "IsWitness": true,
    "DisagreeingSubstrateCount": 0.0,
    "IsSubstrateContested": false
   },
   {
    "RulebookFieldId": "ProcessMiningRuns.EventLogSource",
    "TargetTable": "ProcessMiningRuns",
    "FieldName": "EventLogSource",
    "FieldType": "raw",
    "Datatype": "string",
    "Formula": null,
    "InventedForQuestion": "q-steward-mining-drift",
    "SemanticTypeIri": "urn:effortless:pko-extension#RulebookField",
    "Name": "ProcessMiningRuns.EventLogSource",
    "IsDerived": false,
    "IsWitness": true,
    "DisagreeingSubstrateCount": 0.0,
    "IsSubstrateContested": false
   },
   {
    "RulebookFieldId": "ProcessMiningRuns.MinedAt",
    "TargetTable": "ProcessMiningRuns",
    "FieldName": "MinedAt",
    "FieldType": "raw",
    "Datatype": "datetime",
    "Formula": null,
    "InventedForQuestion": "q-steward-mining-drift",
    "SemanticTypeIri": "urn:effortless:pko-extension#RulebookField",
    "Name": "ProcessMiningRuns.MinedAt",
    "IsDerived": false,
    "IsWitness": true,
    "DisagreeingSubstrateCount": 0.0,
    "IsSubstrateContested": false
   },
   {
    "RulebookFieldId": "ProcessMiningRuns.DiscoveredVariantCount",
    "TargetTable": "ProcessMiningRuns",
    "FieldName": "DiscoveredVariantCount",
    "FieldType": "raw",
    "Datatype": "integer",
    "Formula": null,
    "InventedForQuestion": "q-steward-mining-drift",
    "SemanticTypeIri": "urn:effortless:pko-extension#RulebookField",
    "Name": "ProcessMiningRuns.DiscoveredVariantCount",
    "IsDerived": false,
    "IsWitness": true,
    "DisagreeingSubstrateCount": 0.0,
    "IsSubstrateContested": false
   },
   {
    "RulebookFieldId": "ProcessMiningRuns.ConformingVariantCount",
    "TargetTable": "ProcessMiningRuns",
    "FieldName": "ConformingVariantCount",
    "FieldType": "raw",
    "Datatype": "integer",
    "Formula": null,
    "InventedForQuestion": "q-steward-mining-drift",
    "SemanticTypeIri": "urn:effortless:pko-extension#RulebookField",
    "Name": "ProcessMiningRuns.ConformingVariantCount",
    "IsDerived": false,
    "IsWitness": true,
    "DisagreeingSubstrateCount": 0.0,
    "IsSubstrateContested": false
   },
   {
    "RulebookFieldId": "ProcessMiningRuns.DeviationDescription",
    "TargetTable": "ProcessMiningRuns",
    "FieldName": "DeviationDescription",
    "FieldType": "raw",
    "Datatype": "string",
    "Formula": null,
    "InventedForQuestion": "q-steward-mining-drift",
    "SemanticTypeIri": "urn:effortless:pko-extension#RulebookField",
    "Name": "ProcessMiningRuns.DeviationDescription",
    "IsDerived": false,
    "IsWitness": true,
    "DisagreeingSubstrateCount": 0.0,
    "IsSubstrateContested": false
   },
   {
    "RulebookFieldId": "ProcessMiningRuns.EvaluationContext",
    "TargetTable": "ProcessMiningRuns",
    "FieldName": "EvaluationContext",
    "FieldType": "relationship",
    "Datatype": "string",
    "Formula": null,
    "InventedForQuestion": "q-steward-mining-drift",
    "SemanticTypeIri": "urn:effortless:pko-extension#RulebookField",
    "Name": "ProcessMiningRuns.EvaluationContext",
    "IsDerived": false,
    "IsWitness": true,
    "DisagreeingSubstrateCount": 0.0,
    "IsSubstrateContested": false
   },
   {
    "RulebookFieldId": "ProcessMiningRuns.AsOfInstant",
    "TargetTable": "ProcessMiningRuns",
    "FieldName": "AsOfInstant",
    "FieldType": "lookup",
    "Datatype": "datetime",
    "Formula": "=INDEX(EvaluationContexts!{{AsOfInstant}}, MATCH({{EvaluationContext}}, EvaluationContexts!{{EvaluationContextId}}, 0))",
    "InventedForQuestion": "q-steward-mining-drift",
    "SemanticTypeIri": "urn:effortless:pko-extension#RulebookField",
    "Name": "ProcessMiningRuns.AsOfInstant",
    "IsDerived": true,
    "IsWitness": true,
    "DisagreeingSubstrateCount": 0.0,
    "IsSubstrateContested": false
   },
   {
    "RulebookFieldId": "ProcessMiningRuns.ConformanceRate",
    "TargetTable": "ProcessMiningRuns",
    "FieldName": "ConformanceRate",
    "FieldType": "calculated",
    "Datatype": "number",
    "Formula": "=IF({{DiscoveredVariantCount}} = 0, 0, {{ConformingVariantCount}} / {{DiscoveredVariantCount}})",
    "InventedForQuestion": "q-steward-mining-drift",
    "SemanticTypeIri": "urn:effortless:pko-extension#RulebookField",
    "Name": "ProcessMiningRuns.ConformanceRate",
    "IsDerived": true,
    "IsWitness": true,
    "DisagreeingSubstrateCount": 0.0,
    "IsSubstrateContested": false
   },
   {
    "RulebookFieldId": "ProcessMiningRuns.IsConformant",
    "TargetTable": "ProcessMiningRuns",
    "FieldName": "IsConformant",
    "FieldType": "calculated",
    "Datatype": "boolean",
    "Formula": "={{ConformanceRate}} &gt;= 0.8",
    "InventedForQuestion": "q-steward-mining-drift",
    "SemanticTypeIri": "urn:effortless:pko-extension#RulebookField",
    "Name": "ProcessMiningRuns.IsConformant",
    "IsDerived": true,
    "IsWitness": true,
    "DisagreeingSubstrateCount": 0.0,
    "IsSubstrateContested": false
   },
   {
    "RulebookFieldId": "ProcessMiningRuns.HasMajorDriftFromDocumentation",
    "TargetTable": "ProcessMiningRuns",
    "FieldName": "HasMajorDriftFromDocumentation",
    "FieldType": "calculated",
    "Datatype": "boolean",
    "Formula": "={{ConformanceRate}} &lt; 0.5",
    "InventedForQuestion": "q-steward-mining-drift",
    "SemanticTypeIri": "urn:effortless:pko-extension#RulebookField",
    "Name": "ProcessMiningRuns.HasMajorDriftFromDocumentation",
    "IsDerived": true,
    "IsWitness": true,
    "DisagreeingSubstrateCount": 0.0,
    "IsSubstrateContested": false
   },
   {
    "RulebookFieldId": "ProcessMiningRuns.DaysSinceMined",
    "TargetTable": "ProcessMiningRuns",
    "FieldName": "DaysSinceMined",
    "FieldType": "calculated",
    "Datatype": "integer",
    "Formula": "=DATETIME_DIFF({{AsOfInstant}}, {{MinedAt}}, \"days\")",
    "InventedForQuestion": "q-steward-mining-drift",
    "SemanticTypeIri": "urn:effortless:pko-extension#RulebookField",
    "Name": "ProcessMiningRuns.DaysSinceMined",
    "IsDerived": true,
    "IsWitness": true,
    "DisagreeingSubstrateCount": 0.0,
    "IsSubstrateContested": false
   },
   {
    "RulebookFieldId": "ProcessMiningRuns.IsStaleMiningEvidence",
    "TargetTable": "ProcessMiningRuns",
    "FieldName": "IsStaleMiningEvidence",
    "FieldType": "calculated",
    "Datatype": "boolean",
    "Formula": "={{DaysSinceMined}} &gt; 180",
    "InventedForQuestion": "q-steward-mining-drift",
    "SemanticTypeIri": "urn:effortless:pko-extension#RulebookField",
    "Name": "ProcessMiningRuns.IsStaleMiningEvidence",
    "IsDerived": true,
    "IsWitness": true,
    "DisagreeingSubstrateCount": 0.0,
    "IsSubstrateContested": false
   },
   {
    "RulebookFieldId": "ProcessMiningRuns.ProcedureVersionIsLive",
    "TargetTable": "ProcessMiningRuns",
    "FieldName": "ProcedureVersionIsLive",
    "FieldType": "lookup",
    "Datatype": "boolean",
    "Formula": "=INDEX(ProcedureVersions!{{IsLive}}, MATCH({{ProcedureVersion}}, ProcedureVersions!{{ProcedureVersionId}}, 0))",
    "InventedForQuestion": "q-steward-mining-drift",
    "SemanticTypeIri": "urn:effortless:pko-extension#RulebookField",
    "Name": "ProcessMiningRuns.ProcedureVersionIsLive",
    "IsDerived": true,
    "IsWitness": true,
    "DisagreeingSubstrateCount": 0.0,
    "IsSubstrateContested": false
   },
   {
    "RulebookFieldId": "ProcessMiningRuns.IsDriftOnLiveVersion",
    "TargetTable": "ProcessMiningRuns",
    "FieldName": "IsDriftOnLiveVersion",
    "FieldType": "calculated",
    "Datatype": "boolean",
    "Formula": "=AND({{HasMajorDriftFromDocumentation}}, {{ProcedureVersionIsLive}})",
    "InventedForQuestion": "q-steward-mining-drift",
    "SemanticTypeIri": "urn:effortless:pko-extension#RulebookField",
    "Name": "ProcessMiningRuns.IsDriftOnLiveVersion",
    "IsDerived": true,
    "IsWitness": true,
    "DisagreeingSubstrateCount": 0.0,
    "IsSubstrateContested": false
   },
   {
    "RulebookFieldId": "ProcessMiningRuns.DriftedMiningRunKey",
    "TargetTable": "ProcessMiningRuns",
    "FieldName": "DriftedMiningRunKey",
    "FieldType": "calculated",
    "Datatype": "string",
    "Formula": "=IF({{IsDriftOnLiveVersion}}, {{ProcedureVersion}}, \"\")",
    "InventedForQuestion": "q-steward-mining-drift",
    "SemanticTypeIri": "urn:effortless:pko-extension#RulebookField",
    "Name": "ProcessMiningRuns.DriftedMiningRunKey",
    "IsDerived": true,
    "IsWitness": true,
    "DisagreeingSubstrateCount": 0.0,
    "IsSubstrateContested": false
   },
   {
    "RulebookFieldId": "ProcessMiningRuns.SemanticTypeIri",
    "TargetTable": "ProcessMiningRuns",
    "FieldName": "SemanticTypeIri",
    "FieldType": "raw",
    "Datatype": "string",
    "Formula": null,
    "InventedForQuestion": "q-steward-mining-drift",
    "SemanticTypeIri": "urn:effortless:pko-extension#RulebookField",
    "Name": "ProcessMiningRuns.SemanticTypeIri",
    "IsDerived": false,
    "IsWitness": true,
    "DisagreeingSubstrateCount": 0.0,
    "IsSubstrateContested": false
   },
   {
    "RulebookFieldId": "Vocabularies.VocabularyId",
    "TargetTable": "Vocabularies",
    "FieldName": "VocabularyId",
    "FieldType": "raw",
    "Datatype": "string",
    "Formula": null,
    "InventedForQuestion": "q-authority-controlled-vocabulary",
    "SemanticTypeIri": "urn:effortless:pko-extension#RulebookField",
    "Name": "Vocabularies.VocabularyId",
    "IsDerived": false,
    "IsWitness": true,
    "DisagreeingSubstrateCount": 0.0,
    "IsSubstrateContested": false
   },
   {
    "RulebookFieldId": "Vocabularies.Name",
    "TargetTable": "Vocabularies",
    "FieldName": "Name",
    "FieldType": "calculated",
    "Datatype": "string",
    "Formula": "={{Title}}",
    "InventedForQuestion": "q-authority-controlled-vocabulary",
    "SemanticTypeIri": "urn:effortless:pko-extension#RulebookField",
    "Name": "Vocabularies.Name",
    "IsDerived": true,
    "IsWitness": true,
    "DisagreeingSubstrateCount": 0.0,
    "IsSubstrateContested": false
   },
   {
    "RulebookFieldId": "Vocabularies.Title",
    "TargetTable": "Vocabularies",
    "FieldName": "Title",
    "FieldType": "raw",
    "Datatype": "string",
    "Formula": null,
    "InventedForQuestion": "q-authority-controlled-vocabulary",
    "SemanticTypeIri": "urn:effortless:pko-extension#RulebookField",
    "Name": "Vocabularies.Title",
    "IsDerived": false,
    "IsWitness": true,
    "DisagreeingSubstrateCount": 0.0,
    "IsSubstrateContested": false
   },
   {
    "RulebookFieldId": "Vocabularies.SchemeUri",
    "TargetTable": "Vocabularies",
    "FieldName": "SchemeUri",
    "FieldType": "raw",
    "Datatype": "string",
    "Formula": null,
    "InventedForQuestion": "q-authority-controlled-vocabulary",
    "SemanticTypeIri": "urn:effortless:pko-extension#RulebookField",
    "Name": "Vocabularies.SchemeUri",
    "IsDerived": false,
    "IsWitness": true,
    "DisagreeingSubstrateCount": 0.0,
    "IsSubstrateContested": false
   },
   {
    "RulebookFieldId": "Vocabularies.GoverningRole",
    "TargetTable": "Vocabularies",
    "FieldName": "GoverningRole",
    "FieldType": "relationship",
    "Datatype": "string",
    "Formula": null,
    "InventedForQuestion": "q-authority-controlled-vocabulary",
    "SemanticTypeIri": "urn:effortless:pko-extension#RulebookField",
    "Name": "Vocabularies.GoverningRole",
    "IsDerived": false,
    "IsWitness": true,
    "DisagreeingSubstrateCount": 0.0,
    "IsSubstrateContested": false
   },
   {
    "RulebookFieldId": "Vocabularies.TermCount",
    "TargetTable": "Vocabularies",
    "FieldName": "TermCount",
    "FieldType": "aggregation",
    "Datatype": "number",
    "Formula": "=COUNTIFS(VocabularyTerms!{{Vocabulary}}, {{VocabularyId}})",
    "InventedForQuestion": "q-authority-controlled-vocabulary",
    "SemanticTypeIri": "urn:effortless:pko-extension#RulebookField",
    "Name": "Vocabularies.TermCount",
    "IsDerived": true,
    "IsWitness": true,
    "DisagreeingSubstrateCount": 0.0,
    "IsSubstrateContested": false
   },
   {
    "RulebookFieldId": "Vocabularies.OrphanTermCount",
    "TargetTable": "Vocabularies",
    "FieldName": "OrphanTermCount",
    "FieldType": "aggregation",
    "Datatype": "number",
    "Formula": "=COUNTIFS(VocabularyTerms!{{OrphanTermVocabularyKey}}, {{VocabularyId}})",
    "InventedForQuestion": "q-authority-controlled-vocabulary",
    "SemanticTypeIri": "urn:effortless:pko-extension#RulebookField",
    "Name": "Vocabularies.OrphanTermCount",
    "IsDerived": true,
    "IsWitness": true,
    "DisagreeingSubstrateCount": 0.0,
    "IsSubstrateContested": false
   },
   {
    "RulebookFieldId": "Vocabularies.HasOrphanTerms",
    "TargetTable": "Vocabularies",
    "FieldName": "HasOrphanTerms",
    "FieldType": "calculated",
    "Datatype": "boolean",
    "Formula": "={{OrphanTermCount}} &gt; 0",
    "InventedForQuestion": "q-authority-controlled-vocabulary",
    "SemanticTypeIri": "urn:effortless:pko-extension#RulebookField",
    "Name": "Vocabularies.HasOrphanTerms",
    "IsDerived": true,
    "IsWitness": true,
    "DisagreeingSubstrateCount": 0.0,
    "IsSubstrateContested": false
   },
   {
    "RulebookFieldId": "Vocabularies.SemanticTypeIri",
    "TargetTable": "Vocabularies",
    "FieldName": "SemanticTypeIri",
    "FieldType": "raw",
    "Datatype": "string",
    "Formula": null,
    "InventedForQuestion": "q-authority-controlled-vocabulary",
    "SemanticTypeIri": "urn:effortless:pko-extension#RulebookField",
    "Name": "Vocabularies.SemanticTypeIri",
    "IsDerived": false,
    "IsWitness": true,
    "DisagreeingSubstrateCount": 0.0,
    "IsSubstrateContested": false
   },
   {
    "RulebookFieldId": "VocabularyTerms.VocabularyTermId",
    "TargetTable": "VocabularyTerms",
    "FieldName": "VocabularyTermId",
    "FieldType": "raw",
    "Datatype": "string",
    "Formula": null,
    "InventedForQuestion": "q-authority-controlled-vocabulary",
    "SemanticTypeIri": "urn:effortless:pko-extension#RulebookField",
    "Name": "VocabularyTerms.VocabularyTermId",
    "IsDerived": false,
    "IsWitness": true,
    "DisagreeingSubstrateCount": 0.0,
    "IsSubstrateContested": false
   },
   {
    "RulebookFieldId": "VocabularyTerms.Name",
    "TargetTable": "VocabularyTerms",
    "FieldName": "Name",
    "FieldType": "calculated",
    "Datatype": "string",
    "Formula": "={{PrefLabel}}",
    "InventedForQuestion": "q-authority-controlled-vocabulary",
    "SemanticTypeIri": "urn:effortless:pko-extension#RulebookField",
    "Name": "VocabularyTerms.Name",
    "IsDerived": true,
    "IsWitness": true,
    "DisagreeingSubstrateCount": 0.0,
    "IsSubstrateContested": false
   },
   {
    "RulebookFieldId": "VocabularyTerms.Vocabulary",
    "TargetTable": "VocabularyTerms",
    "FieldName": "Vocabulary",
    "FieldType": "relationship",
    "Datatype": "string",
    "Formula": null,
    "InventedForQuestion": "q-authority-controlled-vocabulary",
    "SemanticTypeIri": "urn:effortless:pko-extension#RulebookField",
    "Name": "VocabularyTerms.Vocabulary",
    "IsDerived": false,
    "IsWitness": true,
    "DisagreeingSubstrateCount": 0.0,
    "IsSubstrateContested": false
   },
   {
    "RulebookFieldId": "VocabularyTerms.PrefLabel",
    "TargetTable": "VocabularyTerms",
    "FieldName": "PrefLabel",
    "FieldType": "raw",
    "Datatype": "string",
    "Formula": null,
    "InventedForQuestion": "q-authority-controlled-vocabulary",
    "SemanticTypeIri": "urn:effortless:pko-extension#RulebookField",
    "Name": "VocabularyTerms.PrefLabel",
    "IsDerived": false,
    "IsWitness": true,
    "DisagreeingSubstrateCount": 0.0,
    "IsSubstrateContested": false
   },
   {
    "RulebookFieldId": "VocabularyTerms.AltLabels",
    "TargetTable": "VocabularyTerms",
    "FieldName": "AltLabels",
    "FieldType": "raw",
    "Datatype": "string",
    "Formula": null,
    "InventedForQuestion": "q-authority-controlled-vocabulary",
    "SemanticTypeIri": "urn:effortless:pko-extension#RulebookField",
    "Name": "VocabularyTerms.AltLabels",
    "IsDerived": false,
    "IsWitness": true,
    "DisagreeingSubstrateCount": 0.0,
    "IsSubstrateContested": false
   },
   {
    "RulebookFieldId": "VocabularyTerms.Definition",
    "TargetTable": "VocabularyTerms",
    "FieldName": "Definition",
    "FieldType": "raw",
    "Datatype": "string",
    "Formula": null,
    "InventedForQuestion": "q-authority-controlled-vocabulary",
    "SemanticTypeIri": "urn:effortless:pko-extension#RulebookField",
    "Name": "VocabularyTerms.Definition",
    "IsDerived": false,
    "IsWitness": true,
    "DisagreeingSubstrateCount": 0.0,
    "IsSubstrateContested": false
   },
   {
    "RulebookFieldId": "VocabularyTerms.UsageCount",
    "TargetTable": "VocabularyTerms",
    "FieldName": "UsageCount",
    "FieldType": "aggregation",
    "Datatype": "number",
    "Formula": "=COUNTIFS(Requirements!{{ControlledTerm}}, {{VocabularyTermId}})",
    "InventedForQuestion": "q-authority-controlled-vocabulary",
    "SemanticTypeIri": "urn:effortless:pko-extension#RulebookField",
    "Name": "VocabularyTerms.UsageCount",
    "IsDerived": true,
    "IsWitness": true,
    "DisagreeingSubstrateCount": 0.0,
    "IsSubstrateContested": false
   },
   {
    "RulebookFieldId": "VocabularyTerms.IsOrphanTerm",
    "TargetTable": "VocabularyTerms",
    "FieldName": "IsOrphanTerm",
    "FieldType": "calculated",
    "Datatype": "boolean",
    "Formula": "={{UsageCount}} = 0",
    "InventedForQuestion": "q-authority-controlled-vocabulary",
    "SemanticTypeIri": "urn:effortless:pko-extension#RulebookField",
    "Name": "VocabularyTerms.IsOrphanTerm",
    "IsDerived": true,
    "IsWitness": true,
    "DisagreeingSubstrateCount": 0.0,
    "IsSubstrateContested": false
   },
   {
    "RulebookFieldId": "VocabularyTerms.IsWidelyAdoptedTerm",
    "TargetTable": "VocabularyTerms",
    "FieldName": "IsWidelyAdoptedTerm",
    "FieldType": "calculated",
    "Datatype": "boolean",
    "Formula": "={{UsageCount}} &gt;= 2",
    "InventedForQuestion": "q-authority-controlled-vocabulary",
    "SemanticTypeIri": "urn:effortless:pko-extension#RulebookField",
    "Name": "VocabularyTerms.IsWidelyAdoptedTerm",
    "IsDerived": true,
    "IsWitness": true,
    "DisagreeingSubstrateCount": 0.0,
    "IsSubstrateContested": false
   },
   {
    "RulebookFieldId": "VocabularyTerms.OrphanTermVocabularyKey",
    "TargetTable": "VocabularyTerms",
    "FieldName": "OrphanTermVocabularyKey",
    "FieldType": "calculated",
    "Datatype": "string",
    "Formula": "=IF({{IsOrphanTerm}}, {{Vocabulary}}, \"\")",
    "InventedForQuestion": "q-authority-controlled-vocabulary",
    "SemanticTypeIri": "urn:effortless:pko-extension#RulebookField",
    "Name": "VocabularyTerms.OrphanTermVocabularyKey",
    "IsDerived": true,
    "IsWitness": true,
    "DisagreeingSubstrateCount": 0.0,
    "IsSubstrateContested": false
   },
   {
    "RulebookFieldId": "VocabularyTerms.SemanticTypeIri",
    "TargetTable": "VocabularyTerms",
    "FieldName": "SemanticTypeIri",
    "FieldType": "raw",
    "Datatype": "string",
    "Formula": null,
    "InventedForQuestion": "q-authority-controlled-vocabulary",
    "SemanticTypeIri": "urn:effortless:pko-extension#RulebookField",
    "Name": "VocabularyTerms.SemanticTypeIri",
    "IsDerived": false,
    "IsWitness": true,
    "DisagreeingSubstrateCount": 0.0,
    "IsSubstrateContested": false
   },
   {
    "RulebookFieldId": "KnowledgeBrokerLinks.KnowledgeBrokerLinkId",
    "TargetTable": "KnowledgeBrokerLinks",
    "FieldName": "KnowledgeBrokerLinkId",
    "FieldType": "raw",
    "Datatype": "string",
    "Formula": null,
    "InventedForQuestion": "q-authority-knowledge-broker",
    "SemanticTypeIri": "urn:effortless:pko-extension#RulebookField",
    "Name": "KnowledgeBrokerLinks.KnowledgeBrokerLinkId",
    "IsDerived": false,
    "IsWitness": true,
    "DisagreeingSubstrateCount": 0.0,
    "IsSubstrateContested": false
   },
   {
    "RulebookFieldId": "KnowledgeBrokerLinks.Name",
    "TargetTable": "KnowledgeBrokerLinks",
    "FieldName": "Name",
    "FieldType": "calculated",
    "Datatype": "string",
    "Formula": "={{Seeker}} &amp; \" -&gt; \" &amp; {{Broker}}",
    "InventedForQuestion": "q-authority-knowledge-broker",
    "SemanticTypeIri": "urn:effortless:pko-extension#RulebookField",
    "Name": "KnowledgeBrokerLinks.Name",
    "IsDerived": true,
    "IsWitness": true,
    "DisagreeingSubstrateCount": 0.0,
    "IsSubstrateContested": false
   },
   {
    "RulebookFieldId": "KnowledgeBrokerLinks.Seeker",
    "TargetTable": "KnowledgeBrokerLinks",
    "FieldName": "Seeker",
    "FieldType": "relationship",
    "Datatype": "string",
    "Formula": null,
    "InventedForQuestion": "q-authority-knowledge-broker",
    "SemanticTypeIri": "urn:effortless:pko-extension#RulebookField",
    "Name": "KnowledgeBrokerLinks.Seeker",
    "IsDerived": false,
    "IsWitness": true,
    "DisagreeingSubstrateCount": 0.0,
    "IsSubstrateContested": false
   },
   {
    "RulebookFieldId": "KnowledgeBrokerLinks.Broker",
    "TargetTable": "KnowledgeBrokerLinks",
    "FieldName": "Broker",
    "FieldType": "relationship",
    "Datatype": "string",
    "Formula": null,
    "InventedForQuestion": "q-authority-knowledge-broker",
    "SemanticTypeIri": "urn:effortless:pko-extension#RulebookField",
    "Name": "KnowledgeBrokerLinks.Broker",
    "IsDerived": false,
    "IsWitness": true,
    "DisagreeingSubstrateCount": 0.0,
    "IsSubstrateContested": false
   },
   {
    "RulebookFieldId": "KnowledgeBrokerLinks.Topic",
    "TargetTable": "KnowledgeBrokerLinks",
    "FieldName": "Topic",
    "FieldType": "relationship",
    "Datatype": "string",
    "Formula": null,
    "InventedForQuestion": "q-authority-knowledge-broker",
    "SemanticTypeIri": "urn:effortless:pko-extension#RulebookField",
    "Name": "KnowledgeBrokerLinks.Topic",
    "IsDerived": false,
    "IsWitness": true,
    "DisagreeingSubstrateCount": 0.0,
    "IsSubstrateContested": false
   },
   {
    "RulebookFieldId": "KnowledgeBrokerLinks.Frequency",
    "TargetTable": "KnowledgeBrokerLinks",
    "FieldName": "Frequency",
    "FieldType": "raw",
    "Datatype": "string",
    "Formula": null,
    "InventedForQuestion": "q-authority-knowledge-broker",
    "SemanticTypeIri": "urn:effortless:pko-extension#RulebookField",
    "Name": "KnowledgeBrokerLinks.Frequency",
    "IsDerived": false,
    "IsWitness": true,
    "DisagreeingSubstrateCount": 0.0,
    "IsSubstrateContested": false
   },
   {
    "RulebookFieldId": "KnowledgeBrokerLinks.LastConsultedAt",
    "TargetTable": "KnowledgeBrokerLinks",
    "FieldName": "LastConsultedAt",
    "FieldType": "raw",
    "Datatype": "datetime",
    "Formula": null,
    "InventedForQuestion": "q-authority-knowledge-broker",
    "SemanticTypeIri": "urn:effortless:pko-extension#RulebookField",
    "Name": "KnowledgeBrokerLinks.LastConsultedAt",
    "IsDerived": false,
    "IsWitness": true,
    "DisagreeingSubstrateCount": 0.0,
    "IsSubstrateContested": false
   },
   {
    "RulebookFieldId": "KnowledgeBrokerLinks.EvaluationContext",
    "TargetTable": "KnowledgeBrokerLinks",
    "FieldName": "EvaluationContext",
    "FieldType": "relationship",
    "Datatype": "string",
    "Formula": null,
    "InventedForQuestion": "q-authority-knowledge-broker",
    "SemanticTypeIri": "urn:effortless:pko-extension#RulebookField",
    "Name": "KnowledgeBrokerLinks.EvaluationContext",
    "IsDerived": false,
    "IsWitness": true,
    "DisagreeingSubstrateCount": 0.0,
    "IsSubstrateContested": false
   },
   {
    "RulebookFieldId": "KnowledgeBrokerLinks.AsOfInstant",
    "TargetTable": "KnowledgeBrokerLinks",
    "FieldName": "AsOfInstant",
    "FieldType": "lookup",
    "Datatype": "datetime",
    "Formula": "=INDEX(EvaluationContexts!{{AsOfInstant}}, MATCH({{EvaluationContext}}, EvaluationContexts!{{EvaluationContextId}}, 0))",
    "InventedForQuestion": "q-authority-knowledge-broker",
    "SemanticTypeIri": "urn:effortless:pko-extension#RulebookField",
    "Name": "KnowledgeBrokerLinks.AsOfInstant",
    "IsDerived": true,
    "IsWitness": true,
    "DisagreeingSubstrateCount": 0.0,
    "IsSubstrateContested": false
   },
   {
    "RulebookFieldId": "KnowledgeBrokerLinks.DaysSinceConsulted",
    "TargetTable": "KnowledgeBrokerLinks",
    "FieldName": "DaysSinceConsulted",
    "FieldType": "calculated",
    "Datatype": "integer",
    "Formula": "=DATETIME_DIFF({{AsOfInstant}}, {{LastConsultedAt}}, \"days\")",
    "InventedForQuestion": "q-authority-knowledge-broker",
    "SemanticTypeIri": "urn:effortless:pko-extension#RulebookField",
    "Name": "KnowledgeBrokerLinks.DaysSinceConsulted",
    "IsDerived": true,
    "IsWitness": true,
    "DisagreeingSubstrateCount": 0.0,
    "IsSubstrateContested": false
   },
   {
    "RulebookFieldId": "KnowledgeBrokerLinks.IsActiveReliance",
    "TargetTable": "KnowledgeBrokerLinks",
    "FieldName": "IsActiveReliance",
    "FieldType": "calculated",
    "Datatype": "boolean",
    "Formula": "=AND(NOT({{Frequency}} = \"Rarely\"), {{DaysSinceConsulted}} &lt;= 180)",
    "InventedForQuestion": "q-authority-knowledge-broker",
    "SemanticTypeIri": "urn:effortless:pko-extension#RulebookField",
    "Name": "KnowledgeBrokerLinks.IsActiveReliance",
    "IsDerived": true,
    "IsWitness": true,
    "DisagreeingSubstrateCount": 0.0,
    "IsSubstrateContested": false
   },
   {
    "RulebookFieldId": "KnowledgeBrokerLinks.BrokerIsStillEngaged",
    "TargetTable": "KnowledgeBrokerLinks",
    "FieldName": "BrokerIsStillEngaged",
    "FieldType": "lookup",
    "Datatype": "boolean",
    "Formula": "=INDEX(Agents!{{IsStillEngaged}}, MATCH({{Broker}}, Agents!{{AgentId}}, 0))",
    "InventedForQuestion": "q-authority-knowledge-broker",
    "SemanticTypeIri": "urn:effortless:pko-extension#RulebookField",
    "Name": "KnowledgeBrokerLinks.BrokerIsStillEngaged",
    "IsDerived": true,
    "IsWitness": true,
    "DisagreeingSubstrateCount": 0.0,
    "IsSubstrateContested": false
   },
   {
    "RulebookFieldId": "KnowledgeBrokerLinks.IsAtRiskReliance",
    "TargetTable": "KnowledgeBrokerLinks",
    "FieldName": "IsAtRiskReliance",
    "FieldType": "calculated",
    "Datatype": "boolean",
    "Formula": "=AND({{IsActiveReliance}}, NOT({{BrokerIsStillEngaged}}))",
    "InventedForQuestion": "q-authority-knowledge-broker",
    "SemanticTypeIri": "urn:effortless:pko-extension#RulebookField",
    "Name": "KnowledgeBrokerLinks.IsAtRiskReliance",
    "IsDerived": true,
    "IsWitness": true,
    "DisagreeingSubstrateCount": 0.0,
    "IsSubstrateContested": false
   },
   {
    "RulebookFieldId": "KnowledgeBrokerLinks.ActiveRelianceBrokerKey",
    "TargetTable": "KnowledgeBrokerLinks",
    "FieldName": "ActiveRelianceBrokerKey",
    "FieldType": "calculated",
    "Datatype": "string",
    "Formula": "=IF({{IsActiveReliance}}, {{Broker}}, \"\")",
    "InventedForQuestion": "q-authority-knowledge-broker",
    "SemanticTypeIri": "urn:effortless:pko-extension#RulebookField",
    "Name": "KnowledgeBrokerLinks.ActiveRelianceBrokerKey",
    "IsDerived": true,
    "IsWitness": true,
    "DisagreeingSubstrateCount": 0.0,
    "IsSubstrateContested": false
   },
   {
    "RulebookFieldId": "KnowledgeBrokerLinks.AtRiskBrokerKey",
    "TargetTable": "KnowledgeBrokerLinks",
    "FieldName": "AtRiskBrokerKey",
    "FieldType": "calculated",
    "Datatype": "string",
    "Formula": "=IF({{IsAtRiskReliance}}, {{Broker}}, \"\")",
    "InventedForQuestion": "q-authority-knowledge-broker",
    "SemanticTypeIri": "urn:effortless:pko-extension#RulebookField",
    "Name": "KnowledgeBrokerLinks.AtRiskBrokerKey",
    "IsDerived": true,
    "IsWitness": true,
    "DisagreeingSubstrateCount": 0.0,
    "IsSubstrateContested": false
   },
   {
    "RulebookFieldId": "KnowledgeBrokerLinks.SemanticTypeIri",
    "TargetTable": "KnowledgeBrokerLinks",
    "FieldName": "SemanticTypeIri",
    "FieldType": "raw",
    "Datatype": "string",
    "Formula": null,
    "InventedForQuestion": "q-authority-knowledge-broker",
    "SemanticTypeIri": "urn:effortless:pko-extension#RulebookField",
    "Name": "KnowledgeBrokerLinks.SemanticTypeIri",
    "IsDerived": false,
    "IsWitness": true,
    "DisagreeingSubstrateCount": 0.0,
    "IsSubstrateContested": false
   },
   {
    "RulebookFieldId": "ConformanceSubstrates.ConformanceSubstrateId",
    "TargetTable": "ConformanceSubstrates",
    "FieldName": "ConformanceSubstrateId",
    "FieldType": "raw",
    "Datatype": "string",
    "Formula": null,
    "InventedForQuestion": null,
    "SemanticTypeIri": "urn:effortless:pko-extension#RulebookField",
    "Name": "ConformanceSubstrates.ConformanceSubstrateId",
    "IsDerived": false,
    "IsWitness": false,
    "DisagreeingSubstrateCount": 0.0,
    "IsSubstrateContested": false
   },
   {
    "RulebookFieldId": "ConformanceSubstrates.Name",
    "TargetTable": "ConformanceSubstrates",
    "FieldName": "Name",
    "FieldType": "calculated",
    "Datatype": "string",
    "Formula": "={{Label}}",
    "InventedForQuestion": null,
    "SemanticTypeIri": "urn:effortless:pko-extension#RulebookField",
    "Name": "ConformanceSubstrates.Name",
    "IsDerived": true,
    "IsWitness": false,
    "DisagreeingSubstrateCount": 0.0,
    "IsSubstrateContested": false
   },
   {
    "RulebookFieldId": "ConformanceSubstrates.Label",
    "TargetTable": "ConformanceSubstrates",
    "FieldName": "Label",
    "FieldType": "raw",
    "Datatype": "string",
    "Formula": null,
    "InventedForQuestion": null,
    "SemanticTypeIri": "urn:effortless:pko-extension#RulebookField",
    "Name": "ConformanceSubstrates.Label",
    "IsDerived": false,
    "IsWitness": false,
    "DisagreeingSubstrateCount": 0.0,
    "IsSubstrateContested": false
   },
   {
    "RulebookFieldId": "ConformanceSubstrates.Transpiler",
    "TargetTable": "ConformanceSubstrates",
    "FieldName": "Transpiler",
    "FieldType": "raw",
    "Datatype": "string",
    "Formula": null,
    "InventedForQuestion": null,
    "SemanticTypeIri": "urn:effortless:pko-extension#RulebookField",
    "Name": "ConformanceSubstrates.Transpiler",
    "IsDerived": false,
    "IsWitness": false,
    "DisagreeingSubstrateCount": 0.0,
    "IsSubstrateContested": false
   },
   {
    "RulebookFieldId": "ConformanceSubstrates.OutputFolder",
    "TargetTable": "ConformanceSubstrates",
    "FieldName": "OutputFolder",
    "FieldType": "raw",
    "Datatype": "string",
    "Formula": null,
    "InventedForQuestion": null,
    "SemanticTypeIri": "urn:effortless:pko-extension#RulebookField",
    "Name": "ConformanceSubstrates.OutputFolder",
    "IsDerived": false,
    "IsWitness": false,
    "DisagreeingSubstrateCount": 0.0,
    "IsSubstrateContested": false
   },
   {
    "RulebookFieldId": "ConformanceSubstrates.Engine",
    "TargetTable": "ConformanceSubstrates",
    "FieldName": "Engine",
    "FieldType": "raw",
    "Datatype": "string",
    "Formula": null,
    "InventedForQuestion": null,
    "SemanticTypeIri": "urn:effortless:pko-extension#RulebookField",
    "Name": "ConformanceSubstrates.Engine",
    "IsDerived": false,
    "IsWitness": false,
    "DisagreeingSubstrateCount": 0.0,
    "IsSubstrateContested": false
   },
   {
    "RulebookFieldId": "ConformanceSubstrates.HowItComputes",
    "TargetTable": "ConformanceSubstrates",
    "FieldName": "HowItComputes",
    "FieldType": "raw",
    "Datatype": "string",
    "Formula":</t>
  </si>
  <si>
    <t xml:space="preserve"> null,
    "InventedForQuestion": null,
    "SemanticTypeIri": "urn:effortless:pko-extension#RulebookField",
    "Name": "ConformanceSubstrates.HowItComputes",
    "IsDerived": false,
    "IsWitness": false,
    "DisagreeingSubstrateCount": 0.0,
    "IsSubstrateContested": false
   },
   {
    "RulebookFieldId": "ConformanceSubstrates.Role",
    "TargetTable": "ConformanceSubstrates",
    "FieldName": "Role",
    "FieldType": "raw",
    "Datatype": "string",
    "Formula": null,
    "InventedForQuestion": null,
    "SemanticTypeIri": "urn:effortless:pko-extension#RulebookField",
    "Name": "ConformanceSubstrates.Role",
    "IsDerived": false,
    "IsWitness": false,
    "DisagreeingSubstrateCount": 0.0,
    "IsSubstrateContested": false
   },
   {
    "RulebookFieldId": "ConformanceSubstrates.SortOrder",
    "TargetTable": "ConformanceSubstrates",
    "FieldName": "SortOrder",
    "FieldType": "raw",
    "Datatype": "number",
    "Formula": null,
    "InventedForQuestion": null,
    "SemanticTypeIri": "urn:effortless:pko-extension#RulebookField",
    "Name": "ConformanceSubstrates.SortOrder",
    "IsDerived": false,
    "IsWitness": false,
    "DisagreeingSubstrateCount": 0.0,
    "IsSubstrateContested": false
   },
   {
    "RulebookFieldId": "ConformanceSubstrates.IsGraded",
    "TargetTable": "ConformanceSubstrates",
    "FieldName": "IsGraded",
    "FieldType": "calculated",
    "Datatype": "boolean",
    "Formula": "={{Role}} = \"graded\"",
    "InventedForQuestion": "q-auditor-substrate-agreement",
    "SemanticTypeIri": "urn:effortless:pko-extension#RulebookField",
    "Name": "ConformanceSubstrates.IsGraded",
    "IsDerived": true,
    "IsWitness": true,
    "DisagreeingSubstrateCount": 0.0,
    "IsSubstrateContested": false
   },
   {
    "RulebookFieldId": "ConformanceSubstrates.RunCount",
    "TargetTable": "ConformanceSubstrates",
    "FieldName": "RunCount",
    "FieldType": "aggregation",
    "Datatype": "number",
    "Formula": "=COUNTIFS(SubstrateRunScores!{{Substrate}}, {{ConformanceSubstrateId}})",
    "InventedForQuestion": "q-auditor-substrate-agreement",
    "SemanticTypeIri": "urn:effortless:pko-extension#RulebookField",
    "Name": "ConformanceSubstrates.RunCount",
    "IsDerived": true,
    "IsWitness": true,
    "DisagreeingSubstrateCount": 0.0,
    "IsSubstrateContested": false
   },
   {
    "RulebookFieldId": "ConformanceSubstrates.LatestCellsTested",
    "TargetTable": "ConformanceSubstrates",
    "FieldName": "LatestCellsTested",
    "FieldType": "aggregation",
    "Datatype": "number",
    "Formula": "=SUMIFS(SubstrateRunScores!{{LatestCellsTested}}, SubstrateRunScores!{{Substrate}}, {{ConformanceSubstrateId}})",
    "InventedForQuestion": "q-auditor-substrate-agreement",
    "SemanticTypeIri": "urn:effortless:pko-extension#RulebookField",
    "Name": "ConformanceSubstrates.LatestCellsTested",
    "IsDerived": true,
    "IsWitness": true,
    "DisagreeingSubstrateCount": 0.0,
    "IsSubstrateContested": false
   },
   {
    "RulebookFieldId": "ConformanceSubstrates.LatestCellsPassed",
    "TargetTable": "ConformanceSubstrates",
    "FieldName": "LatestCellsPassed",
    "FieldType": "aggregation",
    "Datatype": "number",
    "Formula": "=SUMIFS(SubstrateRunScores!{{LatestCellsPassed}}, SubstrateRunScores!{{Substrate}}, {{ConformanceSubstrateId}})",
    "InventedForQuestion": "q-auditor-substrate-agreement",
    "SemanticTypeIri": "urn:effortless:pko-extension#RulebookField",
    "Name": "ConformanceSubstrates.LatestCellsPassed",
    "IsDerived": true,
    "IsWitness": true,
    "DisagreeingSubstrateCount": 0.0,
    "IsSubstrateContested": false
   },
   {
    "RulebookFieldId": "ConformanceSubstrates.LatestHarnessErrors",
    "TargetTable": "ConformanceSubstrates",
    "FieldName": "LatestHarnessErrors",
    "FieldType": "aggregation",
    "Datatype": "number",
    "Formula": "=SUMIFS(SubstrateRunScores!{{LatestErrorFlag}}, SubstrateRunScores!{{Substrate}}, {{ConformanceSubstrateId}})",
    "InventedForQuestion": "q-auditor-substrate-agreement",
    "SemanticTypeIri": "urn:effortless:pko-extension#RulebookField",
    "Name": "ConformanceSubstrates.LatestHarnessErrors",
    "IsDerived": true,
    "IsWitness": true,
    "DisagreeingSubstrateCount": 0.0,
    "IsSubstrateContested": false
   },
   {
    "RulebookFieldId": "ConformanceSubstrates.LatestCellsFailed",
    "TargetTable": "ConformanceSubstrates",
    "FieldName": "LatestCellsFailed",
    "FieldType": "calculated",
    "Datatype": "number",
    "Formula": "={{LatestCellsTested}} - {{LatestCellsPassed}}",
    "InventedForQuestion": "q-auditor-substrate-agreement",
    "SemanticTypeIri": "urn:effortless:pko-extension#RulebookField",
    "Name": "ConformanceSubstrates.LatestCellsFailed",
    "IsDerived": true,
    "IsWitness": true,
    "DisagreeingSubstrateCount": 0.0,
    "IsSubstrateContested": false
   },
   {
    "RulebookFieldId": "ConformanceSubstrates.LatestScore",
    "TargetTable": "ConformanceSubstrates",
    "FieldName": "LatestScore",
    "FieldType": "calculated",
    "Datatype": "number",
    "Formula": "=IF({{LatestCellsTested}} = 0, 0, ROUND(100 * {{LatestCellsPassed}} / {{LatestCellsTested}}, 2))",
    "InventedForQuestion": "q-auditor-substrate-agreement",
    "SemanticTypeIri": "urn:effortless:pko-extension#RulebookField",
    "Name": "ConformanceSubstrates.LatestScore",
    "IsDerived": true,
    "IsWitness": true,
    "DisagreeingSubstrateCount": 0.0,
    "IsSubstrateContested": false
   },
   {
    "RulebookFieldId": "ConformanceSubstrates.DisagreeingFieldCount",
    "TargetTable": "ConformanceSubstrates",
    "FieldName": "DisagreeingFieldCount",
    "FieldType": "aggregation",
    "Datatype": "number",
    "Formula": "=COUNTIFS(FieldDisagreements!{{Substrate}}, {{ConformanceSubstrateId}})",
    "InventedForQuestion": "q-auditor-substrate-agreement",
    "SemanticTypeIri": "urn:effortless:pko-extension#RulebookField",
    "Name": "ConformanceSubstrates.DisagreeingFieldCount",
    "IsDerived": true,
    "IsWitness": true,
    "DisagreeingSubstrateCount": 0.0,
    "IsSubstrateContested": false
   },
   {
    "RulebookFieldId": "ConformanceSubstrates.DisagreeingTableCount",
    "TargetTable": "ConformanceSubstrates",
    "FieldName": "DisagreeingTableCount",
    "FieldType": "aggregation",
    "Datatype": "number",
    "Formula": "=COUNTIFS(TableConformance!{{ImperfectSubstrateKey}}, {{ConformanceSubstrateId}})",
    "InventedForQuestion": "q-auditor-substrate-agreement",
    "SemanticTypeIri": "urn:effortless:pko-extension#RulebookField",
    "Name": "ConformanceSubstrates.DisagreeingTableCount",
    "IsDerived": true,
    "IsWitness": true,
    "DisagreeingSubstrateCount": 0.0,
    "IsSubstrateContested": false
   },
   {
    "RulebookFieldId": "ConformanceSubstrates.IsFullyConformant",
    "TargetTable": "ConformanceSubstrates",
    "FieldName": "IsFullyConformant",
    "FieldType": "calculated",
    "Datatype": "boolean",
    "Formula": "=AND({{LatestCellsTested}} &gt; 0, {{LatestCellsFailed}} = 0, {{LatestHarnessErrors}} = 0)",
    "InventedForQuestion": "q-auditor-substrate-agreement",
    "SemanticTypeIri": "urn:effortless:pko-extension#RulebookField",
    "Name": "ConformanceSubstrates.IsFullyConformant",
    "IsDerived": true,
    "IsWitness": true,
    "DisagreeingSubstrateCount": 0.0,
    "IsSubstrateContested": false
   },
   {
    "RulebookFieldId": "ConformanceSubstrates.SemanticTypeIri",
    "TargetTable": "ConformanceSubstrates",
    "FieldName": "SemanticTypeIri",
    "FieldType": "raw",
    "Datatype": "string",
    "Formula": null,
    "InventedForQuestion": null,
    "SemanticTypeIri": "urn:effortless:pko-extension#RulebookField",
    "Name": "ConformanceSubstrates.SemanticTypeIri",
    "IsDerived": false,
    "IsWitness": false,
    "DisagreeingSubstrateCount": 0.0,
    "IsSubstrateContested": false
   },
   {
    "RulebookFieldId": "ConformanceRuns.ConformanceRunId",
    "TargetTable": "ConformanceRuns",
    "FieldName": "ConformanceRunId",
    "FieldType": "raw",
    "Datatype": "string",
    "Formula": null,
    "InventedForQuestion": null,
    "SemanticTypeIri": "urn:effortless:pko-extension#RulebookField",
    "Name": "ConformanceRuns.ConformanceRunId",
    "IsDerived": false,
    "IsWitness": false,
    "DisagreeingSubstrateCount": 0.0,
    "IsSubstrateContested": false
   },
   {
    "RulebookFieldId": "ConformanceRuns.Name",
    "TargetTable": "ConformanceRuns",
    "FieldName": "Name",
    "FieldType": "calculated",
    "Datatype": "string",
    "Formula": "={{ConformanceRunId}}",
    "InventedForQuestion": null,
    "SemanticTypeIri": "urn:effortless:pko-extension#RulebookField",
    "Name": "ConformanceRuns.Name",
    "IsDerived": true,
    "IsWitness": false,
    "DisagreeingSubstrateCount": 0.0,
    "IsSubstrateContested": false
   },
   {
    "RulebookFieldId": "ConformanceRuns.RanOn",
    "TargetTable": "ConformanceRuns",
    "FieldName": "RanOn",
    "FieldType": "raw",
    "Datatype": "datetime",
    "Formula": null,
    "InventedForQuestion": null,
    "SemanticTypeIri": "urn:effortless:pko-extension#RulebookField",
    "Name": "ConformanceRuns.RanOn",
    "IsDerived": false,
    "IsWitness": false,
    "DisagreeingSubstrateCount": 0.0,
    "IsSubstrateContested": false
   },
   {
    "RulebookFieldId": "ConformanceRuns.RulebookCommit",
    "TargetTable": "ConformanceRuns",
    "FieldName": "RulebookCommit",
    "FieldType": "raw",
    "Datatype": "string",
    "Formula": null,
    "InventedForQuestion": null,
    "SemanticTypeIri": "urn:effortless:pko-extension#RulebookField",
    "Name": "ConformanceRuns.RulebookCommit",
    "IsDerived": false,
    "IsWitness": false,
    "DisagreeingSubstrateCount": 0.0,
    "IsSubstrateContested": false
   },
   {
    "RulebookFieldId": "ConformanceRuns.AnswerKeyAuthor",
    "TargetTable": "ConformanceRuns",
    "FieldName": "AnswerKeyAuthor",
    "FieldType": "relationship",
    "Datatype": "string",
    "Formula": null,
    "InventedForQuestion": null,
    "SemanticTypeIri": "urn:effortless:pko-extension#RulebookField",
    "Name": "ConformanceRuns.AnswerKeyAuthor",
    "IsDerived": false,
    "IsWitness": false,
    "DisagreeingSubstrateCount": 0.0,
    "IsSubstrateContested": false
   },
   {
    "RulebookFieldId": "ConformanceRuns.IsLatest",
    "TargetTable": "ConformanceRuns",
    "FieldName": "IsLatest",
    "FieldType": "raw",
    "Datatype": "boolean",
    "Formula": null,
    "InventedForQuestion": null,
    "SemanticTypeIri": "urn:effortless:pko-extension#RulebookField",
    "Name": "ConformanceRuns.IsLatest",
    "IsDerived": false,
    "IsWitness": false,
    "DisagreeingSubstrateCount": 0.0,
    "IsSubstrateContested": false
   },
   {
    "RulebookFieldId": "ConformanceRuns.Notes",
    "TargetTable": "ConformanceRuns",
    "FieldName": "Notes",
    "FieldType": "raw",
    "Datatype": "string",
    "Formula": null,
    "InventedForQuestion": null,
    "SemanticTypeIri": "urn:effortless:pko-extension#RulebookField",
    "Name": "ConformanceRuns.Notes",
    "IsDerived": false,
    "IsWitness": false,
    "DisagreeingSubstrateCount": 0.0,
    "IsSubstrateContested": false
   },
   {
    "RulebookFieldId": "ConformanceRuns.SubstrateCount",
    "TargetTable": "ConformanceRuns",
    "FieldName": "SubstrateCount",
    "FieldType": "aggregation",
    "Datatype": "number",
    "Formula": "=COUNTIFS(SubstrateRunScores!{{Run}}, {{ConformanceRunId}})",
    "InventedForQuestion": "q-auditor-substrate-agreement",
    "SemanticTypeIri": "urn:effortless:pko-extension#RulebookField",
    "Name": "ConformanceRuns.SubstrateCount",
    "IsDerived": true,
    "IsWitness": true,
    "DisagreeingSubstrateCount": 0.0,
    "IsSubstrateContested": false
   },
   {
    "RulebookFieldId": "ConformanceRuns.PerfectSubstrateCount",
    "TargetTable": "ConformanceRuns",
    "FieldName": "PerfectSubstrateCount",
    "FieldType": "aggregation",
    "Datatype": "number",
    "Formula": "=COUNTIFS(SubstrateRunScores!{{PerfectRunKey}}, {{ConformanceRunId}})",
    "InventedForQuestion": "q-auditor-substrate-agreement",
    "SemanticTypeIri": "urn:effortless:pko-extension#RulebookField",
    "Name": "ConformanceRuns.PerfectSubstrateCount",
    "IsDerived": true,
    "IsWitness": true,
    "DisagreeingSubstrateCount": 0.0,
    "IsSubstrateContested": false
   },
   {
    "RulebookFieldId": "ConformanceRuns.CellsTested",
    "TargetTable": "ConformanceRuns",
    "FieldName": "CellsTested",
    "FieldType": "aggregation",
    "Datatype": "number",
    "Formula": "=SUMIFS(SubstrateRunScores!{{CellsTested}}, SubstrateRunScores!{{Run}}, {{ConformanceRunId}})",
    "InventedForQuestion": "q-auditor-substrate-agreement",
    "SemanticTypeIri": "urn:effortless:pko-extension#RulebookField",
    "Name": "ConformanceRuns.CellsTested",
    "IsDerived": true,
    "IsWitness": true,
    "DisagreeingSubstrateCount": 0.0,
    "IsSubstrateContested": false
   },
   {
    "RulebookFieldId": "ConformanceRuns.CellsPassed",
    "TargetTable": "ConformanceRuns",
    "FieldName": "CellsPassed",
    "FieldType": "aggregation",
    "Datatype": "number",
    "Formula": "=SUMIFS(SubstrateRunScores!{{CellsPassed}}, SubstrateRunScores!{{Run}}, {{ConformanceRunId}})",
    "InventedForQuestion": "q-auditor-substrate-agreement",
    "SemanticTypeIri": "urn:effortless:pko-extension#RulebookField",
    "Name": "ConformanceRuns.CellsPassed",
    "IsDerived": true,
    "IsWitness": true,
    "DisagreeingSubstrateCount": 0.0,
    "IsSubstrateContested": false
   },
   {
    "RulebookFieldId": "ConformanceRuns.CellsFailed",
    "TargetTable": "ConformanceRuns",
    "FieldName": "CellsFailed",
    "FieldType": "calculated",
    "Datatype": "number",
    "Formula": "={{CellsTested}} - {{CellsPassed}}",
    "InventedForQuestion": "q-auditor-substrate-agreement",
    "SemanticTypeIri": "urn:effortless:pko-extension#RulebookField",
    "Name": "ConformanceRuns.CellsFailed",
    "IsDerived": true,
    "IsWitness": true,
    "DisagreeingSubstrateCount": 0.0,
    "IsSubstrateContested": false
   },
   {
    "RulebookFieldId": "ConformanceRuns.OverallScore",
    "TargetTable": "ConformanceRuns",
    "FieldName": "OverallScore",
    "FieldType": "calculated",
    "Datatype": "number",
    "Formula": "=IF({{CellsTested}} = 0, 0, ROUND(100 * {{CellsPassed}} / {{CellsTested}}, 2))",
    "InventedForQuestion": "q-auditor-substrate-agreement",
    "SemanticTypeIri": "urn:effortless:pko-extension#RulebookField",
    "Name": "ConformanceRuns.OverallScore",
    "IsDerived": true,
    "IsWitness": true,
    "DisagreeingSubstrateCount": 0.0,
    "IsSubstrateContested": false
   },
   {
    "RulebookFieldId": "ConformanceRuns.ImperfectSubstrateCount",
    "TargetTable": "ConformanceRuns",
    "FieldName": "ImperfectSubstrateCount",
    "FieldType": "calculated",
    "Datatype": "number",
    "Formula": "={{SubstrateCount}} - {{PerfectSubstrateCount}}",
    "InventedForQuestion": "q-auditor-substrate-agreement",
    "SemanticTypeIri": "urn:effortless:pko-extension#RulebookField",
    "Name": "ConformanceRuns.ImperfectSubstrateCount",
    "IsDerived": true,
    "IsWitness": true,
    "DisagreeingSubstrateCount": 0.0,
    "IsSubstrateContested": false
   },
   {
    "RulebookFieldId": "ConformanceRuns.IsFullyConformant",
    "TargetTable": "ConformanceRuns",
    "FieldName": "IsFullyConformant",
    "FieldType": "calculated",
    "Datatype": "boolean",
    "Formula": "=AND({{SubstrateCount}} &gt; 0, {{ImperfectSubstrateCount}} = 0)",
    "InventedForQuestion": "q-auditor-substrate-agreement",
    "SemanticTypeIri": "urn:effortless:pko-extension#RulebookField",
    "Name": "ConformanceRuns.IsFullyConformant",
    "IsDerived": true,
    "IsWitness": true,
    "DisagreeingSubstrateCount": 0.0,
    "IsSubstrateContested": false
   },
   {
    "RulebookFieldId": "ConformanceRuns.SemanticTypeIri",
    "TargetTable": "ConformanceRuns",
    "FieldName": "SemanticTypeIri",
    "FieldType": "raw",
    "Datatype": "string",
    "Formula": null,
    "InventedForQuestion": null,
    "SemanticTypeIri": "urn:effortless:pko-extension#RulebookField",
    "Name": "ConformanceRuns.SemanticTypeIri",
    "IsDerived": false,
    "IsWitness": false,
    "DisagreeingSubstrateCount": 0.0,
    "IsSubstrateContested": false
   },
   {
    "RulebookFieldId": "SubstrateRunScores.SubstrateRunScoreId",
    "TargetTable": "SubstrateRunScores",
    "FieldName": "SubstrateRunScoreId",
    "FieldType": "raw",
    "Datatype": "string",
    "Formula": null,
    "InventedForQuestion": null,
    "SemanticTypeIri": "urn:effortless:pko-extension#RulebookField",
    "Name": "SubstrateRunScores.SubstrateRunScoreId",
    "IsDerived": false,
    "IsWitness": false,
    "DisagreeingSubstrateCount": 0.0,
    "IsSubstrateContested": false
   },
   {
    "RulebookFieldId": "SubstrateRunScores.Name",
    "TargetTable": "SubstrateRunScores",
    "FieldName": "Name",
    "FieldType": "calculated",
    "Datatype": "string",
    "Formula": "=CONCAT({{Run}}, \" / \", {{Substrate}})",
    "InventedForQuestion": null,
    "SemanticTypeIri": "urn:effortless:pko-extension#RulebookField",
    "Name": "SubstrateRunScores.Name",
    "IsDerived": true,
    "IsWitness": false,
    "DisagreeingSubstrateCount": 0.0,
    "IsSubstrateContested": false
   },
   {
    "RulebookFieldId": "SubstrateRunScores.Run",
    "TargetTable": "SubstrateRunScores",
    "FieldName": "Run",
    "FieldType": "relationship",
    "Datatype": "string",
    "Formula": null,
    "InventedForQuestion": null,
    "SemanticTypeIri": "urn:effortless:pko-extension#RulebookField",
    "Name": "SubstrateRunScores.Run",
    "IsDerived": false,
    "IsWitness": false,
    "DisagreeingSubstrateCount": 0.0,
    "IsSubstrateContested": false
   },
   {
    "RulebookFieldId": "SubstrateRunScores.Substrate",
    "TargetTable": "SubstrateRunScores",
    "FieldName": "Substrate",
    "FieldType": "relationship",
    "Datatype": "string",
    "Formula": null,
    "InventedForQuestion": null,
    "SemanticTypeIri": "urn:effortless:pko-extension#RulebookField",
    "Name": "SubstrateRunScores.Substrate",
    "IsDerived": false,
    "IsWitness": false,
    "DisagreeingSubstrateCount": 0.0,
    "IsSubstrateContested": false
   },
   {
    "RulebookFieldId": "SubstrateRunScores.HarnessError",
    "TargetTable": "SubstrateRunScores",
    "FieldName": "HarnessError",
    "FieldType": "raw",
    "Datatype": "string",
    "Formula": null,
    "InventedForQuestion": null,
    "SemanticTypeIri": "urn:effortless:pko-extension#RulebookField",
    "Name": "SubstrateRunScores.HarnessError",
    "IsDerived": false,
    "IsWitness": false,
    "DisagreeingSubstrateCount": 0.0,
    "IsSubstrateContested": false
   },
   {
    "RulebookFieldId": "SubstrateRunScores.DurationSeconds",
    "TargetTable": "SubstrateRunScores",
    "FieldName": "DurationSeconds",
    "FieldType": "raw",
    "Datatype": "number",
    "Formula": null,
    "InventedForQuestion": null,
    "SemanticTypeIri": "urn:effortless:pko-extension#RulebookField",
    "Name": "SubstrateRunScores.DurationSeconds",
    "IsDerived": false,
    "IsWitness": false,
    "DisagreeingSubstrateCount": 0.0,
    "IsSubstrateContested": false
   },
   {
    "RulebookFieldId": "SubstrateRunScores.CellsTested",
    "TargetTable": "SubstrateRunScores",
    "FieldName": "CellsTested",
    "FieldType": "raw",
    "Datatype": "number",
    "Formula": null,
    "InventedForQuestion": null,
    "SemanticTypeIri": "urn:effortless:pko-extension#RulebookField",
    "Name": "SubstrateRunScores.CellsTested",
    "IsDerived": false,
    "IsWitness": false,
    "DisagreeingSubstrateCount": 0.0,
    "IsSubstrateContested": false
   },
   {
    "RulebookFieldId": "SubstrateRunScores.CellsPassed",
    "TargetTable": "SubstrateRunScores",
    "FieldName": "CellsPassed",
    "FieldType": "raw",
    "Datatype": "number",
    "Formula": null,
    "InventedForQuestion": null,
    "SemanticTypeIri": "urn:effortless:pko-extension#RulebookField",
    "Name": "SubstrateRunScores.CellsPassed",
    "IsDerived": false,
    "IsWitness": false,
    "DisagreeingSubstrateCount": 0.0,
    "IsSubstrateContested": false
   },
   {
    "RulebookFieldId": "SubstrateRunScores.CalculatedTested",
    "TargetTable": "SubstrateRunScores",
    "FieldName": "CalculatedTested",
    "FieldType": "raw",
    "Datatype": "number",
    "Formula": null,
    "InventedForQuestion": null,
    "SemanticTypeIri": "urn:effortless:pko-extension#RulebookField",
    "Name": "SubstrateRunScores.CalculatedTested",
    "IsDerived": false,
    "IsWitness": false,
    "DisagreeingSubstrateCount": 0.0,
    "IsSubstrateContested": false
   },
   {
    "RulebookFieldId": "SubstrateRunScores.CalculatedPassed",
    "TargetTable": "SubstrateRunScores",
    "FieldName": "CalculatedPassed",
    "FieldType": "raw",
    "Datatype": "number",
    "Formula": null,
    "InventedForQuestion": null,
    "SemanticTypeIri": "urn:effortless:pko-extension#RulebookField",
    "Name": "SubstrateRunScores.CalculatedPassed",
    "IsDerived": false,
    "IsWitness": false,
    "DisagreeingSubstrateCount": 0.0,
    "IsSubstrateContested": false
   },
   {
    "RulebookFieldId": "SubstrateRunScores.LookupTested",
    "TargetTable": "SubstrateRunScores",
    "FieldName": "LookupTested",
    "FieldType": "raw",
    "Datatype": "number",
    "Formula": null,
    "InventedForQuestion": null,
    "SemanticTypeIri": "urn:effortless:pko-extension#RulebookField",
    "Name": "SubstrateRunScores.LookupTested",
    "IsDerived": false,
    "IsWitness": false,
    "DisagreeingSubstrateCount": 0.0,
    "IsSubstrateContested": false
   },
   {
    "RulebookFieldId": "SubstrateRunScores.LookupPassed",
    "TargetTable": "SubstrateRunScores",
    "FieldName": "LookupPassed",
    "FieldType": "raw",
    "Datatype": "number",
    "Formula": null,
    "InventedForQuestion": null,
    "SemanticTypeIri": "urn:effortless:pko-extension#RulebookField",
    "Name": "SubstrateRunScores.LookupPassed",
    "IsDerived": false,
    "IsWitness": false,
    "DisagreeingSubstrateCount": 0.0,
    "IsSubstrateContested": false
   },
   {
    "RulebookFieldId": "SubstrateRunScores.AggregationTested",
    "TargetTable": "SubstrateRunScores",
    "FieldName": "AggregationTested",
    "FieldType": "raw",
    "Datatype": "number",
    "Formula": null,
    "InventedForQuestion": null,
    "SemanticTypeIri": "urn:effortless:pko-extension#RulebookField",
    "Name": "SubstrateRunScores.AggregationTested",
    "IsDerived": false,
    "IsWitness": false,
    "DisagreeingSubstrateCount": 0.0,
    "IsSubstrateContested": false
   },
   {
    "RulebookFieldId": "SubstrateRunScores.AggregationPassed",
    "TargetTable": "SubstrateRunScores",
    "FieldName": "AggregationPassed",
    "FieldType": "raw",
    "Datatype": "number",
    "Formula": null,
    "InventedForQuestion": null,
    "SemanticTypeIri": "urn:effortless:pko-extension#RulebookField",
    "Name": "SubstrateRunScores.AggregationPassed",
    "IsDerived": false,
    "IsWitness": false,
    "DisagreeingSubstrateCount": 0.0,
    "IsSubstrateContested": false
   },
   {
    "RulebookFieldId": "SubstrateRunScores.CellsFailed",
    "TargetTable": "SubstrateRunScores",
    "FieldName": "CellsFailed",
    "FieldType": "calculated",
    "Datatype": "number",
    "Formula": "={{CellsTested}} - {{CellsPassed}}",
    "InventedForQuestion": "q-auditor-substrate-agreement",
    "SemanticTypeIri": "urn:effortless:pko-extension#RulebookField",
    "Name": "SubstrateRunScores.CellsFailed",
    "IsDerived": true,
    "IsWitness": true,
    "DisagreeingSubstrateCount": 0.0,
    "IsSubstrateContested": false
   },
   {
    "RulebookFieldId": "SubstrateRunScores.Score",
    "TargetTable": "SubstrateRunScores",
    "FieldName": "Score",
    "FieldType": "calculated",
    "Datatype": "number",
    "Formula": "=IF({{CellsTested}} = 0, 0, ROUND(100 * {{CellsPassed}} / {{CellsTested}}, 2))",
    "InventedForQuestion": "q-auditor-substrate-agreement",
    "SemanticTypeIri": "urn:effortless:pko-extension#RulebookField",
    "Name": "SubstrateRunScores.Score",
    "IsDerived": true,
    "IsWitness": true,
    "DisagreeingSubstrateCount": 0.0,
    "IsSubstrateContested": false
   },
   {
    "RulebookFieldId": "SubstrateRunScores.CalculatedScore",
    "TargetTable": "SubstrateRunScores",
    "FieldName": "CalculatedScore",
    "FieldType": "calculated",
    "Datatype": "number",
    "Formula": "=IF({{CalculatedTested}} = 0, 0, ROUND(100 * {{CalculatedPassed}} / {{CalculatedTested}}, 2))",
    "InventedForQuestion": "q-auditor-substrate-agreement",
    "SemanticTypeIri": "urn:effortless:pko-extension#RulebookField",
    "Name": "SubstrateRunScores.CalculatedScore",
    "IsDerived": true,
    "IsWitness": true,
    "DisagreeingSubstrateCount": 0.0,
    "IsSubstrateContested": false
   },
   {
    "RulebookFieldId": "SubstrateRunScores.LookupScore",
    "TargetTable": "SubstrateRunScores",
    "FieldName": "LookupScore",
    "FieldType": "calculated",
    "Datatype": "number",
    "Formula": "=IF({{LookupTested}} = 0, 0, ROUND(100 * {{LookupPassed}} / {{LookupTested}}, 2))",
    "InventedForQuestion": "q-auditor-substrate-agreement",
    "SemanticTypeIri": "urn:effortless:pko-extension#RulebookField",
    "Name": "SubstrateRunScores.LookupScore",
    "IsDerived": true,
    "IsWitness": true,
    "DisagreeingSubstrateCount": 0.0,
    "IsSubstrateContested": false
   },
   {
    "RulebookFieldId": "SubstrateRunScores.AggregationScore",
    "TargetTable": "SubstrateRunScores",
    "FieldName": "AggregationScore",
    "FieldType": "calculated",
    "Datatype": "number",
    "Formula": "=IF({{AggregationTested}} = 0, 0, ROUND(100 * {{AggregationPassed}} / {{AggregationTested}}, 2))",
    "InventedForQuestion": "q-auditor-substrate-agreement",
    "SemanticTypeIri": "urn:effortless:pko-extension#RulebookField",
    "Name": "SubstrateRunScores.AggregationScore",
    "IsDerived": true,
    "IsWitness": true,
    "DisagreeingSubstrateCount": 0.0,
    "IsSubstrateContested": false
   },
   {
    "RulebookFieldId": "SubstrateRunScores.IsPerfect",
    "TargetTable": "SubstrateRunScores",
    "FieldName": "IsPerfect",
    "FieldType": "calculated",
    "Datatype": "boolean",
    "Formula": "=AND({{HarnessError}} = \"\", {{CellsTested}} &gt; 0, {{CellsFailed}} = 0)",
    "InventedForQuestion": "q-auditor-substrate-agreement",
    "SemanticTypeIri": "urn:effortless:pko-extension#RulebookField",
    "Name": "SubstrateRunScores.IsPerfect",
    "IsDerived": true,
    "IsWitness": true,
    "DisagreeingSubstrateCount": 0.0,
    "IsSubstrateContested": false
   },
   {
    "RulebookFieldId": "SubstrateRunScores.PerfectRunKey",
    "TargetTable": "SubstrateRunScores",
    "FieldName": "PerfectRunKey",
    "FieldType": "calculated",
    "Datatype": "string",
    "Formula": "=IF({{IsPerfect}}, {{Run}}, \"\")",
    "InventedForQuestion": "q-auditor-substrate-agreement",
    "SemanticTypeIri": "urn:effortless:pko-extension#RulebookField",
    "Name": "SubstrateRunScores.PerfectRunKey",
    "IsDerived": true,
    "IsWitness": true,
    "DisagreeingSubstrateCount": 0.0,
    "IsSubstrateContested": false
   },
   {
    "RulebookFieldId": "SubstrateRunScores.IsInLatestRun",
    "TargetTable": "SubstrateRunScores",
    "FieldName": "IsInLatestRun",
    "FieldType": "lookup",
    "Datatype": "boolean",
    "Formula": "=INDEX(ConformanceRuns!{{IsLatest}}, MATCH({{Run}}, ConformanceRuns!{{ConformanceRunId}}, 0))",
    "InventedForQuestion": "q-auditor-substrate-agreement",
    "SemanticTypeIri": "urn:effortless:pko-extension#RulebookField",
    "Name": "SubstrateRunScores.IsInLatestRun",
    "IsDerived": true,
    "IsWitness": true,
    "DisagreeingSubstrateCount": 0.0,
    "IsSubstrateContested": false
   },
   {
    "RulebookFieldId": "SubstrateRunScores.LatestCellsTested",
    "TargetTable": "SubstrateRunScores",
    "FieldName": "LatestCellsTested",
    "FieldType": "calculated",
    "Datatype": "number",
    "Formula": "=IF({{IsInLatestRun}}, {{CellsTested}}, 0)",
    "InventedForQuestion": "q-auditor-substrate-agreement",
    "SemanticTypeIri": "urn:effortless:pko-extension#RulebookField",
    "Name": "SubstrateRunScores.LatestCellsTested",
    "IsDerived": true,
    "IsWitness": true,
    "DisagreeingSubstrateCount": 0.0,
    "IsSubstrateContested": false
   },
   {
    "RulebookFieldId": "SubstrateRunScores.LatestCellsPassed",
    "TargetTable": "SubstrateRunScores",
    "FieldName": "LatestCellsPassed",
    "FieldType": "calculated",
    "Datatype": "number",
    "Formula": "=IF({{IsInLatestRun}}, {{CellsPassed}}, 0)",
    "InventedForQuestion": "q-auditor-substrate-agreement",
    "SemanticTypeIri": "urn:effortless:pko-extension#RulebookField",
    "Name": "SubstrateRunScores.LatestCellsPassed",
    "IsDerived": true,
    "IsWitness": true,
    "DisagreeingSubstrateCount": 0.0,
    "IsSubstrateContested": false
   },
   {
    "RulebookFieldId": "SubstrateRunScores.LatestErrorFlag",
    "TargetTable": "SubstrateRunScores",
    "FieldName": "LatestErrorFlag",
    "FieldType": "calculated",
    "Datatype": "number",
    "Formula": "=IF(AND({{IsInLatestRun}}, {{HarnessError}} &lt;&gt; \"\"), 1, 0)",
    "InventedForQuestion": "q-auditor-substrate-agreement",
    "SemanticTypeIri": "urn:effortless:pko-extension#RulebookField",
    "Name": "SubstrateRunScores.LatestErrorFlag",
    "IsDerived": true,
    "IsWitness": true,
    "DisagreeingSubstrateCount": 0.0,
    "IsSubstrateContested": false
   },
   {
    "RulebookFieldId": "SubstrateRunScores.SubstrateLabel",
    "TargetTable": "SubstrateRunScores",
    "FieldName": "SubstrateLabel",
    "FieldType": "lookup",
    "Datatype": "string",
    "Formula": "=INDEX(ConformanceSubstrates!{{Label}}, MATCH({{Substrate}}, ConformanceSubstrates!{{ConformanceSubstrateId}}, 0))",
    "InventedForQuestion": "q-auditor-substrate-agreement",
    "SemanticTypeIri": "urn:effortless:pko-extension#RulebookField",
    "Name": "SubstrateRunScores.SubstrateLabel",
    "IsDerived": true,
    "IsWitness": true,
    "DisagreeingSubstrateCount": 0.0,
    "IsSubstrateContested": false
   },
   {
    "RulebookFieldId": "SubstrateRunScores.SemanticTypeIri",
    "TargetTable": "SubstrateRunScores",
    "FieldName": "SemanticTypeIri",
    "FieldType": "raw",
    "Datatype": "string",
    "Formula": null,
    "InventedForQuestion": null,
    "SemanticTypeIri": "urn:effortless:pko-extension#RulebookField",
    "Name": "SubstrateRunScores.SemanticTypeIri",
    "IsDerived": false,
    "IsWitness": false,
    "DisagreeingSubstrateCount": 0.0,
    "IsSubstrateContested": false
   },
   {
    "RulebookFieldId": "TableConformance.TableConformanceId",
    "TargetTable": "TableConformance",
    "FieldName": "TableConformanceId",
    "FieldType": "raw",
    "Datatype": "string",
    "Formula": null,
    "InventedForQuestion": null,
    "SemanticTypeIri": "urn:effortless:pko-extension#RulebookField",
    "Name": "TableConformance.TableConformanceId",
    "IsDerived": false,
    "IsWitness": false,
    "DisagreeingSubstrateCount": 0.0,
    "IsSubstrateContested": false
   },
   {
    "RulebookFieldId": "TableConformance.Name",
    "TargetTable": "TableConformance",
    "FieldName": "Name",
    "FieldType": "calculated",
    "Datatype": "string",
    "Formula": "=CONCAT({{Substrate}}, \" / \", {{RulebookTable}})",
    "InventedForQuestion": null,
    "SemanticTypeIri": "urn:effortless:pko-extension#RulebookField",
    "Name": "TableConformance.Name",
    "IsDerived": true,
    "IsWitness": false,
    "DisagreeingSubstrateCount": 0.0,
    "IsSubstrateContested": false
   },
   {
    "RulebookFieldId": "TableConformance.Run",
    "TargetTable": "TableConformance",
    "FieldName": "Run",
    "FieldType": "relationship",
    "Datatype": "string",
    "Formula": null,
    "InventedForQuestion": null,
    "SemanticTypeIri": "urn:effortless:pko-extension#RulebookField",
    "Name": "TableConformance.Run",
    "IsDerived": false,
    "IsWitness": false,
    "DisagreeingSubstrateCount": 0.0,
    "IsSubstrateContested": false
   },
   {
    "RulebookFieldId": "TableConformance.Substrate",
    "TargetTable": "TableConformance",
    "FieldName": "Substrate",
    "FieldType": "relationship",
    "Datatype": "string",
    "Formula": null,
    "InventedForQuestion": null,
    "SemanticTypeIri": "urn:effortless:pko-extension#RulebookField",
    "Name": "TableConformance.Substrate",
    "IsDerived": false,
    "IsWitness": false,
    "DisagreeingSubstrateCount": 0.0,
    "IsSubstrateContested": false
   },
   {
    "RulebookFieldId": "TableConformance.RulebookTable",
    "TargetTable": "TableConformance",
    "FieldName": "RulebookTable",
    "FieldType": "relationshi</t>
  </si>
  <si>
    <t xml:space="preserve">p",
    "Datatype": "string",
    "Formula": null,
    "InventedForQuestion": null,
    "SemanticTypeIri": "urn:effortless:pko-extension#RulebookField",
    "Name": "TableConformance.RulebookTable",
    "IsDerived": false,
    "IsWitness": false,
    "DisagreeingSubstrateCount": 0.0,
    "IsSubstrateContested": false
   },
   {
    "RulebookFieldId": "TableConformance.RecordCount",
    "TargetTable": "TableConformance",
    "FieldName": "RecordCount",
    "FieldType": "raw",
    "Datatype": "number",
    "Formula": null,
    "InventedForQuestion": null,
    "SemanticTypeIri": "urn:effortless:pko-extension#RulebookField",
    "Name": "TableConformance.RecordCount",
    "IsDerived": false,
    "IsWitness": false,
    "DisagreeingSubstrateCount": 0.0,
    "IsSubstrateContested": false
   },
   {
    "RulebookFieldId": "TableConformance.DerivedFieldCount",
    "TargetTable": "TableConformance",
    "FieldName": "DerivedFieldCount",
    "FieldType": "raw",
    "Datatype": "number",
    "Formula": null,
    "InventedForQuestion": null,
    "SemanticTypeIri": "urn:effortless:pko-extension#RulebookField",
    "Name": "TableConformance.DerivedFieldCount",
    "IsDerived": false,
    "IsWitness": false,
    "DisagreeingSubstrateCount": 0.0,
    "IsSubstrateContested": false
   },
   {
    "RulebookFieldId": "TableConformance.CellsTested",
    "TargetTable": "TableConformance",
    "FieldName": "CellsTested",
    "FieldType": "raw",
    "Datatype": "number",
    "Formula": null,
    "InventedForQuestion": null,
    "SemanticTypeIri": "urn:effortless:pko-extension#RulebookField",
    "Name": "TableConformance.CellsTested",
    "IsDerived": false,
    "IsWitness": false,
    "DisagreeingSubstrateCount": 0.0,
    "IsSubstrateContested": false
   },
   {
    "RulebookFieldId": "TableConformance.CellsPassed",
    "TargetTable": "TableConformance",
    "FieldName": "CellsPassed",
    "FieldType": "raw",
    "Datatype": "number",
    "Formula": null,
    "InventedForQuestion": null,
    "SemanticTypeIri": "urn:effortless:pko-extension#RulebookField",
    "Name": "TableConformance.CellsPassed",
    "IsDerived": false,
    "IsWitness": false,
    "DisagreeingSubstrateCount": 0.0,
    "IsSubstrateContested": false
   },
   {
    "RulebookFieldId": "TableConformance.IsMissingAnswerFile",
    "TargetTable": "TableConformance",
    "FieldName": "IsMissingAnswerFile",
    "FieldType": "raw",
    "Datatype": "boolean",
    "Formula": null,
    "InventedForQuestion": null,
    "SemanticTypeIri": "urn:effortless:pko-extension#RulebookField",
    "Name": "TableConformance.IsMissingAnswerFile",
    "IsDerived": false,
    "IsWitness": false,
    "DisagreeingSubstrateCount": 0.0,
    "IsSubstrateContested": false
   },
   {
    "RulebookFieldId": "TableConformance.CellsFailed",
    "TargetTable": "TableConformance",
    "FieldName": "CellsFailed",
    "FieldType": "calculated",
    "Datatype": "number",
    "Formula": "={{CellsTested}} - {{CellsPassed}}",
    "InventedForQuestion": "q-auditor-substrate-agreement",
    "SemanticTypeIri": "urn:effortless:pko-extension#RulebookField",
    "Name": "TableConformance.CellsFailed",
    "IsDerived": true,
    "IsWitness": true,
    "DisagreeingSubstrateCount": 0.0,
    "IsSubstrateContested": false
   },
   {
    "RulebookFieldId": "TableConformance.Score",
    "TargetTable": "TableConformance",
    "FieldName": "Score",
    "FieldType": "calculated",
    "Datatype": "number",
    "Formula": "=IF({{CellsTested}} = 0, 0, ROUND(100 * {{CellsPassed}} / {{CellsTested}}, 2))",
    "InventedForQuestion": "q-auditor-substrate-agreement",
    "SemanticTypeIri": "urn:effortless:pko-extension#RulebookField",
    "Name": "TableConformance.Score",
    "IsDerived": true,
    "IsWitness": true,
    "DisagreeingSubstrateCount": 0.0,
    "IsSubstrateContested": false
   },
   {
    "RulebookFieldId": "TableConformance.IsPerfect",
    "TargetTable": "TableConformance",
    "FieldName": "IsPerfect",
    "FieldType": "calculated",
    "Datatype": "boolean",
    "Formula": "={{CellsFailed}} = 0",
    "InventedForQuestion": "q-auditor-substrate-agreement",
    "SemanticTypeIri": "urn:effortless:pko-extension#RulebookField",
    "Name": "TableConformance.IsPerfect",
    "IsDerived": true,
    "IsWitness": true,
    "DisagreeingSubstrateCount": 0.0,
    "IsSubstrateContested": false
   },
   {
    "RulebookFieldId": "TableConformance.ImperfectSubstrateKey",
    "TargetTable": "TableConformance",
    "FieldName": "ImperfectSubstrateKey",
    "FieldType": "calculated",
    "Datatype": "string",
    "Formula": "=IF({{IsPerfect}}, \"\", {{Substrate}})",
    "InventedForQuestion": "q-auditor-substrate-agreement",
    "SemanticTypeIri": "urn:effortless:pko-extension#RulebookField",
    "Name": "TableConformance.ImperfectSubstrateKey",
    "IsDerived": true,
    "IsWitness": true,
    "DisagreeingSubstrateCount": 0.0,
    "IsSubstrateContested": false
   },
   {
    "RulebookFieldId": "TableConformance.ImperfectTableKey",
    "TargetTable": "TableConformance",
    "FieldName": "ImperfectTableKey",
    "FieldType": "calculated",
    "Datatype": "string",
    "Formula": "=IF({{IsPerfect}}, \"\", {{RulebookTable}})",
    "InventedForQuestion": "q-auditor-substrate-agreement",
    "SemanticTypeIri": "urn:effortless:pko-extension#RulebookField",
    "Name": "TableConformance.ImperfectTableKey",
    "IsDerived": true,
    "IsWitness": true,
    "DisagreeingSubstrateCount": 0.0,
    "IsSubstrateContested": false
   },
   {
    "RulebookFieldId": "TableConformance.DisagreeingFieldCount",
    "TargetTable": "TableConformance",
    "FieldName": "DisagreeingFieldCount",
    "FieldType": "aggregation",
    "Datatype": "number",
    "Formula": "=COUNTIFS(FieldDisagreements!{{TableConformance}}, {{TableConformanceId}})",
    "InventedForQuestion": "q-auditor-substrate-agreement",
    "SemanticTypeIri": "urn:effortless:pko-extension#RulebookField",
    "Name": "TableConformance.DisagreeingFieldCount",
    "IsDerived": true,
    "IsWitness": true,
    "DisagreeingSubstrateCount": 0.0,
    "IsSubstrateContested": false
   },
   {
    "RulebookFieldId": "TableConformance.SubstrateLabel",
    "TargetTable": "TableConformance",
    "FieldName": "SubstrateLabel",
    "FieldType": "lookup",
    "Datatype": "string",
    "Formula": "=INDEX(ConformanceSubstrates!{{Label}}, MATCH({{Substrate}}, ConformanceSubstrates!{{ConformanceSubstrateId}}, 0))",
    "InventedForQuestion": "q-auditor-substrate-agreement",
    "SemanticTypeIri": "urn:effortless:pko-extension#RulebookField",
    "Name": "TableConformance.SubstrateLabel",
    "IsDerived": true,
    "IsWitness": true,
    "DisagreeingSubstrateCount": 0.0,
    "IsSubstrateContested": false
   },
   {
    "RulebookFieldId": "TableConformance.SubjectArea",
    "TargetTable": "TableConformance",
    "FieldName": "SubjectArea",
    "FieldType": "lookup",
    "Datatype": "string",
    "Formula": "=INDEX(RulebookTables!{{SubjectArea}}, MATCH({{RulebookTable}}, RulebookTables!{{RulebookTableId}}, 0))",
    "InventedForQuestion": "q-auditor-substrate-agreement",
    "SemanticTypeIri": "urn:effortless:pko-extension#RulebookField",
    "Name": "TableConformance.SubjectArea",
    "IsDerived": true,
    "IsWitness": true,
    "DisagreeingSubstrateCount": 0.0,
    "IsSubstrateContested": false
   },
   {
    "RulebookFieldId": "TableConformance.SemanticTypeIri",
    "TargetTable": "TableConformance",
    "FieldName": "SemanticTypeIri",
    "FieldType": "raw",
    "Datatype": "string",
    "Formula": null,
    "InventedForQuestion": null,
    "SemanticTypeIri": "urn:effortless:pko-extension#RulebookField",
    "Name": "TableConformance.SemanticTypeIri",
    "IsDerived": false,
    "IsWitness": false,
    "DisagreeingSubstrateCount": 0.0,
    "IsSubstrateContested": false
   },
   {
    "RulebookFieldId": "FieldDisagreements.FieldDisagreementId",
    "TargetTable": "FieldDisagreements",
    "FieldName": "FieldDisagreementId",
    "FieldType": "raw",
    "Datatype": "string",
    "Formula": null,
    "InventedForQuestion": null,
    "SemanticTypeIri": "urn:effortless:pko-extension#RulebookField",
    "Name": "FieldDisagreements.FieldDisagreementId",
    "IsDerived": false,
    "IsWitness": false,
    "DisagreeingSubstrateCount": 0.0,
    "IsSubstrateContested": false
   },
   {
    "RulebookFieldId": "FieldDisagreements.Name",
    "TargetTable": "FieldDisagreements",
    "FieldName": "Name",
    "FieldType": "calculated",
    "Datatype": "string",
    "Formula": "=CONCAT({{Substrate}}, \" / \", {{RulebookField}})",
    "InventedForQuestion": null,
    "SemanticTypeIri": "urn:effortless:pko-extension#RulebookField",
    "Name": "FieldDisagreements.Name",
    "IsDerived": true,
    "IsWitness": false,
    "DisagreeingSubstrateCount": 0.0,
    "IsSubstrateContested": false
   },
   {
    "RulebookFieldId": "FieldDisagreements.Substrate",
    "TargetTable": "FieldDisagreements",
    "FieldName": "Substrate",
    "FieldType": "relationship",
    "Datatype": "string",
    "Formula": null,
    "InventedForQuestion": null,
    "SemanticTypeIri": "urn:effortless:pko-extension#RulebookField",
    "Name": "FieldDisagreements.Substrate",
    "IsDerived": false,
    "IsWitness": false,
    "DisagreeingSubstrateCount": 0.0,
    "IsSubstrateContested": false
   },
   {
    "RulebookFieldId": "FieldDisagreements.RulebookField",
    "TargetTable": "FieldDisagreements",
    "FieldName": "RulebookField",
    "FieldType": "relationship",
    "Datatype": "string",
    "Formula": null,
    "InventedForQuestion": null,
    "SemanticTypeIri": "urn:effortless:pko-extension#RulebookField",
    "Name": "FieldDisagreements.RulebookField",
    "IsDerived": false,
    "IsWitness": false,
    "DisagreeingSubstrateCount": 0.0,
    "IsSubstrateContested": false
   },
   {
    "RulebookFieldId": "FieldDisagreements.TableConformance",
    "TargetTable": "FieldDisagreements",
    "FieldName": "TableConformance",
    "FieldType": "relationship",
    "Datatype": "string",
    "Formula": null,
    "InventedForQuestion": null,
    "SemanticTypeIri": "urn:effortless:pko-extension#RulebookField",
    "Name": "FieldDisagreements.TableConformance",
    "IsDerived": false,
    "IsWitness": false,
    "DisagreeingSubstrateCount": 0.0,
    "IsSubstrateContested": false
   },
   {
    "RulebookFieldId": "FieldDisagreements.FieldClass",
    "TargetTable": "FieldDisagreements",
    "FieldName": "FieldClass",
    "FieldType": "raw",
    "Datatype": "string",
    "Formula": null,
    "InventedForQuestion": null,
    "SemanticTypeIri": "urn:effortless:pko-extension#RulebookField",
    "Name": "FieldDisagreements.FieldClass",
    "IsDerived": false,
    "IsWitness": false,
    "DisagreeingSubstrateCount": 0.0,
    "IsSubstrateContested": false
   },
   {
    "RulebookFieldId": "FieldDisagreements.CellsFailed",
    "TargetTable": "FieldDisagreements",
    "FieldName": "CellsFailed",
    "FieldType": "raw",
    "Datatype": "number",
    "Formula": null,
    "InventedForQuestion": null,
    "SemanticTypeIri": "urn:effortless:pko-extension#RulebookField",
    "Name": "FieldDisagreements.CellsFailed",
    "IsDerived": false,
    "IsWitness": false,
    "DisagreeingSubstrateCount": 0.0,
    "IsSubstrateContested": false
   },
   {
    "RulebookFieldId": "FieldDisagreements.DominantReason",
    "TargetTable": "FieldDisagreements",
    "FieldName": "DominantReason",
    "FieldType": "raw",
    "Datatype": "string",
    "Formula": null,
    "InventedForQuestion": null,
    "SemanticTypeIri": "urn:effortless:pko-extension#RulebookField",
    "Name": "FieldDisagreements.DominantReason",
    "IsDerived": false,
    "IsWitness": false,
    "DisagreeingSubstrateCount": 0.0,
    "IsSubstrateContested": false
   },
   {
    "RulebookFieldId": "FieldDisagreements.SampledCellCount",
    "TargetTable": "FieldDisagreements",
    "FieldName": "SampledCellCount",
    "FieldType": "aggregation",
    "Datatype": "number",
    "Formula": "=COUNTIFS(CellDisagreements!{{FieldDisagreement}}, {{FieldDisagreementId}})",
    "InventedForQuestion": "q-auditor-substrate-agreement",
    "SemanticTypeIri": "urn:effortless:pko-extension#RulebookField",
    "Name": "FieldDisagreements.SampledCellCount",
    "IsDerived": true,
    "IsWitness": true,
    "DisagreeingSubstrateCount": 0.0,
    "IsSubstrateContested": false
   },
   {
    "RulebookFieldId": "FieldDisagreements.IsFullySampled",
    "TargetTable": "FieldDisagreements",
    "FieldName": "IsFullySampled",
    "FieldType": "calculated",
    "Datatype": "boolean",
    "Formula": "={{SampledCellCount}} = {{CellsFailed}}",
    "InventedForQuestion": "q-auditor-substrate-agreement",
    "SemanticTypeIri": "urn:effortless:pko-extension#RulebookField",
    "Name": "FieldDisagreements.IsFullySampled",
    "IsDerived": true,
    "IsWitness": true,
    "DisagreeingSubstrateCount": 0.0,
    "IsSubstrateContested": false
   },
   {
    "RulebookFieldId": "FieldDisagreements.Formula",
    "TargetTable": "FieldDisagreements",
    "FieldName": "Formula",
    "FieldType": "lookup",
    "Datatype": "string",
    "Formula": "=INDEX(RulebookFields!{{Formula}}, MATCH({{RulebookField}}, RulebookFields!{{RulebookFieldId}}, 0))",
    "InventedForQuestion": "q-auditor-substrate-agreement",
    "SemanticTypeIri": "urn:effortless:pko-extension#RulebookField",
    "Name": "FieldDisagreements.Formula",
    "IsDerived": true,
    "IsWitness": true,
    "DisagreeingSubstrateCount": 0.0,
    "IsSubstrateContested": false
   },
   {
    "RulebookFieldId": "FieldDisagreements.SubstrateLabel",
    "TargetTable": "FieldDisagreements",
    "FieldName": "SubstrateLabel",
    "FieldType": "lookup",
    "Datatype": "string",
    "Formula": "=INDEX(ConformanceSubstrates!{{Label}}, MATCH({{Substrate}}, ConformanceSubstrates!{{ConformanceSubstrateId}}, 0))",
    "InventedForQuestion": "q-auditor-substrate-agreement",
    "SemanticTypeIri": "urn:effortless:pko-extension#RulebookField",
    "Name": "FieldDisagreements.SubstrateLabel",
    "IsDerived": true,
    "IsWitness": true,
    "DisagreeingSubstrateCount": 0.0,
    "IsSubstrateContested": false
   },
   {
    "RulebookFieldId": "FieldDisagreements.SemanticTypeIri",
    "TargetTable": "FieldDisagreements",
    "FieldName": "SemanticTypeIri",
    "FieldType": "raw",
    "Datatype": "string",
    "Formula": null,
    "InventedForQuestion": null,
    "SemanticTypeIri": "urn:effortless:pko-extension#RulebookField",
    "Name": "FieldDisagreements.SemanticTypeIri",
    "IsDerived": false,
    "IsWitness": false,
    "DisagreeingSubstrateCount": 0.0,
    "IsSubstrateContested": false
   },
   {
    "RulebookFieldId": "CellDisagreements.CellDisagreementId",
    "TargetTable": "CellDisagreements",
    "FieldName": "CellDisagreementId",
    "FieldType": "raw",
    "Datatype": "string",
    "Formula": null,
    "InventedForQuestion": null,
    "SemanticTypeIri": "urn:effortless:pko-extension#RulebookField",
    "Name": "CellDisagreements.CellDisagreementId",
    "IsDerived": false,
    "IsWitness": false,
    "DisagreeingSubstrateCount": 0.0,
    "IsSubstrateContested": false
   },
   {
    "RulebookFieldId": "CellDisagreements.Name",
    "TargetTable": "CellDisagreements",
    "FieldName": "Name",
    "FieldType": "calculated",
    "Datatype": "string",
    "Formula": "=CONCAT({{FieldDisagreement}}, \" @ \", {{RecordId}})",
    "InventedForQuestion": null,
    "SemanticTypeIri": "urn:effortless:pko-extension#RulebookField",
    "Name": "CellDisagreements.Name",
    "IsDerived": true,
    "IsWitness": false,
    "DisagreeingSubstrateCount": 1.0,
    "IsSubstrateContested": true
   },
   {
    "RulebookFieldId": "CellDisagreements.FieldDisagreement",
    "TargetTable": "CellDisagreements",
    "FieldName": "FieldDisagreement",
    "FieldType": "relationship",
    "Datatype": "string",
    "Formula": null,
    "InventedForQuestion": null,
    "SemanticTypeIri": "urn:effortless:pko-extension#RulebookField",
    "Name": "CellDisagreements.FieldDisagreement",
    "IsDerived": false,
    "IsWitness": false,
    "DisagreeingSubstrateCount": 0.0,
    "IsSubstrateContested": false
   },
   {
    "RulebookFieldId": "CellDisagreements.RecordId",
    "TargetTable": "CellDisagreements",
    "FieldName": "RecordId",
    "FieldType": "raw",
    "Datatype": "string",
    "Formula": null,
    "InventedForQuestion": null,
    "SemanticTypeIri": "urn:effortless:pko-extension#RulebookField",
    "Name": "CellDisagreements.RecordId",
    "IsDerived": false,
    "IsWitness": false,
    "DisagreeingSubstrateCount": 0.0,
    "IsSubstrateContested": false
   },
   {
    "RulebookFieldId": "CellDisagreements.ExpectedValue",
    "TargetTable": "CellDisagreements",
    "FieldName": "ExpectedValue",
    "FieldType": "raw",
    "Datatype": "string",
    "Formula": null,
    "InventedForQuestion": null,
    "SemanticTypeIri": "urn:effortless:pko-extension#RulebookField",
    "Name": "CellDisagreements.ExpectedValue",
    "IsDerived": false,
    "IsWitness": false,
    "DisagreeingSubstrateCount": 0.0,
    "IsSubstrateContested": false
   },
   {
    "RulebookFieldId": "CellDisagreements.ActualValue",
    "TargetTable": "CellDisagreements",
    "FieldName": "ActualValue",
    "FieldType": "raw",
    "Datatype": "string",
    "Formula": null,
    "InventedForQuestion": null,
    "SemanticTypeIri": "urn:effortless:pko-extension#RulebookField",
    "Name": "CellDisagreements.ActualValue",
    "IsDerived": false,
    "IsWitness": false,
    "DisagreeingSubstrateCount": 0.0,
    "IsSubstrateContested": false
   },
   {
    "RulebookFieldId": "CellDisagreements.Reason",
    "TargetTable": "CellDisagreements",
    "FieldName": "Reason",
    "FieldType": "raw",
    "Datatype": "string",
    "Formula": null,
    "InventedForQuestion": null,
    "SemanticTypeIri": "urn:effortless:pko-extension#RulebookField",
    "Name": "CellDisagreements.Reason",
    "IsDerived": false,
    "IsWitness": false,
    "DisagreeingSubstrateCount": 0.0,
    "IsSubstrateContested": false
   },
   {
    "RulebookFieldId": "CellDisagreements.Substrate",
    "TargetTable": "CellDisagreements",
    "FieldName": "Substrate",
    "FieldType": "lookup",
    "Datatype": "string",
    "Formula": "=INDEX(FieldDisagreements!{{Substrate}}, MATCH({{FieldDisagreement}}, FieldDisagreements!{{FieldDisagreementId}}, 0))",
    "InventedForQuestion": "q-auditor-substrate-agreement",
    "SemanticTypeIri": "urn:effortless:pko-extension#RulebookField",
    "Name": "CellDisagreements.Substrate",
    "IsDerived": true,
    "IsWitness": true,
    "DisagreeingSubstrateCount": 0.0,
    "IsSubstrateContested": false
   },
   {
    "RulebookFieldId": "CellDisagreements.RulebookField",
    "TargetTable": "CellDisagreements",
    "FieldName": "RulebookField",
    "FieldType": "lookup",
    "Datatype": "string",
    "Formula": "=INDEX(FieldDisagreements!{{RulebookField}}, MATCH({{FieldDisagreement}}, FieldDisagreements!{{FieldDisagreementId}}, 0))",
    "InventedForQuestion": "q-auditor-substrate-agreement",
    "SemanticTypeIri": "urn:effortless:pko-extension#RulebookField",
    "Name": "CellDisagreements.RulebookField",
    "IsDerived": true,
    "IsWitness": true,
    "DisagreeingSubstrateCount": 0.0,
    "IsSubstrateContested": false
   },
   {
    "RulebookFieldId": "CellDisagreements.SemanticTypeIri",
    "TargetTable": "CellDisagreements",
    "FieldName": "SemanticTypeIri",
    "FieldType": "raw",
    "Datatype": "string",
    "Formula": null,
    "InventedForQuestion": null,
    "SemanticTypeIri": "urn:effortless:pko-extension#RulebookField",
    "Name": "CellDisagreements.SemanticTypeIri",
    "IsDerived": false,
    "IsWitness": false,
    "DisagreeingSubstrateCount": 0.0,
    "IsSubstrateContested": false
   }
  ]
 },
 "TestSuites": {
  "Description": "Groups of conformance checks. Rollups here are computed from TestCases, so the board's headline is itself a derived field.",
  "schema": [
   {
    "name": "TestSuiteId",
    "datatype": "string",
    "type": "raw",
    "nullable": false,
    "Description": "Stored logical identifier for one TestSuites row."
   },
   {
    "name": "Name",
    "datatype": "string",
    "type": "calculated",
    "nullable": true,
    "Description": "Human-readable calculated display alias for the TestSuites row.",
    "formula": "={{Label}}"
   },
   {
    "name": "Label",
    "datatype": "string",
    "type": "raw",
    "nullable": true,
    "Description": "Display name for this suite."
   },
   {
    "name": "TestCount",
    "datatype": "number",
    "type": "aggregation",
    "nullable": true,
    "Description": "How many checks belong to this suite.",
    "formula": "=COUNTIFS(TestCases!{{Suite}}, {{TestSuiteId}})"
   },
   {
    "name": "PassCount",
    "datatype": "number",
    "type": "aggregation",
    "nullable": true,
    "Description": "How many checks passed on the last run.",
    "formula": "=COUNTIFS(TestCases!{{PassingSuiteKey}}, {{TestSuiteId}})"
   },
   {
    "name": "BlockingFailCount",
    "datatype": "number",
    "type": "aggregation",
    "nullable": true,
    "Description": "How many blocking checks failed. This is the number that must be zero for the board to be green.",
    "formula": "=COUNTIFS(TestCases!{{NeedsAttentionSuiteKey}}, {{TestSuiteId}})"
   },
   {
    "name": "IsGreen",
    "datatype": "boolean",
    "type": "calculated",
    "nullable": true,
    "Description": "TRUE when no blocking check is failing. Advisory warnings do not break the board.",
    "formula": "={{BlockingFailCount}} = 0"
   },
   {
    "name": "SemanticTypeIri",
    "datatype": "string",
    "type": "raw",
    "nullable": true,
    "Description": "Extension class IRI."
   }
  ],
  "data": [
   {
    "TestSuiteId": "suite-structure",
    "Label": "Model structure",
    "SemanticTypeIri": "urn:effortless:pko-extension#TestSuite",
    "Name": "Model structure",
    "TestCount": 69,
    "PassCount": 69,
    "BlockingFailCount": 0,
    "IsGreen": true
   },
   {
    "TestSuiteId": "suite-substrate",
    "Label": "Substrate translation",
    "SemanticTypeIri": "urn:effortless:pko-extension#TestSuite",
    "Name": "Substrate translation",
    "TestCount": 993,
    "PassCount": 991,
    "BlockingFailCount": 0,
    "IsGreen": true
   },
   {
    "TestSuiteId": "suite-integrity",
    "Label": "Referential integrity",
    "SemanticTypeIri": "urn:effortless:pko-extension#TestSuite",
    "Name": "Referential integrity",
    "TestCount": 160,
    "PassCount": 160,
    "BlockingFailCount": 0,
    "IsGreen": true
   },
   {
    "TestSuiteId": "suite-witness",
    "Label": "Witness behaviour",
    "SemanticTypeIri": "urn:effortless:pko-extension#TestSuite",
    "Name": "Witness behaviour",
    "TestCount": 458,
    "PassCount": 225,
    "BlockingFailCount": 0,
    "IsGreen": true
   },
   {
    "TestSuiteId": "suite-provenance",
    "Label": "Question provenance",
    "SemanticTypeIri": "urn:effortless:pko-extension#TestSuite",
    "Name": "Question provenance",
    "TestCount": 107,
    "PassCount": 107,
    "BlockingFailCount": 0,
    "IsGreen": true
   },
   {
    "TestSuiteId": "suite-invariant",
    "Label": "Domain invariants",
    "SemanticTypeIri": "urn:effortless:pko-extension#TestSuite",
    "Name": "Domain invariants",
    "TestCount": 7,
    "PassCount": 7,
    "BlockingFailCount": 0,
    "IsGreen": true
   }
  ]
 },
 "TestCases": {
  "Description": "The conformance suite, as data. One row per check, naming what it checks and — where applicable — the role question whose answer it defends. tools/run_test_suite.py executes these rows and writes the outcome back; it invents no checks of its own.",
  "schema": [
   {
    "name": "TestCaseId",
    "datatype": "string",
    "type": "raw",
    "nullable": false,
    "Description": "Stored logical identifier for one TestCases row."
   },
   {
    "name": "Name",
    "datatype": "string",
    "type": "calculated",
    "nullable": true,
    "Description": "Human-readable calculated display alias for the TestCases row.",
    "formula": "={{TestKind}} &amp; \": \" &amp; {{Subject}}"
   },
   {
    "name": "TestKind",
    "datatype": "string",
    "type": "raw",
    "nullable": true,
    "Description": "What class of check this is. One of: structural (the rulebook's own shape), formula-translates (the transpiler emitted a real function, not a NULL stub), view-loads (the view exists and is queryable), fk-resolves (every FK value names a real row), witness-discriminates (a boolean witness can distinguish cases in this data), witness-fires (a specific witness reads TRUE on at least one row), provenance (every invented field traces to a question), catalog-sync (RulebookFields matches the real schemas), question-answered (a role question has at least one predicate answering it), invariant (a domain rule that must hold), remediation (a seeded violation was resolved in model rather than deleted)."
   },
   {
    "name": "Subject",
    "datatype": "string",
    "type": "raw",
    "nullable": true,
    "Description": "What is under test — a Table.Field, a table, a view, or a question id."
   },
   {
    "name": "TargetTable",
    "datatype": "string",
    "type": "raw",
    "nullable": true,
    "Description": "The table this check reads, when it reads one."
   },
   {
    "name": "TargetField",
    "datatype": "string",
    "type": "raw",
    "nullable": true,
    "Description": "The field this check reads, when it reads one."
   },
   {
    "name": "Assertion",
    "datatype": "string",
    "type": "raw",
    "nullable": true,
    "Description": "What must be true, stated so a human can judge the verdict without reading code."
   },
   {
    "name": "DefendsQuestion",
    "datatype": "string",
    "type": "relationship",
    "nullable": true,
    "Description": "The role question whose answer this check protects. Null for checks that defend the model's structure rather than a specific question.",
    "RelatedTo": "RoleQuestions"
   },
   {
    "name": "Suite",
    "datatype": "string",
    "type": "relationship",
    "nullable": true,
    "Description": "The suite this check belongs to.",
    "RelatedTo": "TestSuites"
   },
   {
    "name": "Severity",
    "datatype": "string",
    "type": "raw",
    "nullable": true,
    "Description": "blocking — a failure means the model is stating something false; advisory — a failure means the model cannot state something it should be able to. Vacuity is advisory by design: a witness that cannot fire on this seed is not necessarily wrong, and forcing it red would create pressure to fabricate data."
   },
   {
    "name": "IsBlocking",
    "datatype": "boolean",
    "type": "calculated",
    "nullable": true,
    "Description": "TRUE when a failure of this check means the model is asserting something false.",
    "formula": "={{Severity}} = \"blocking\""
   },
   {
    "name": "LastOutcome",
    "datatype": "string",
    "type": "raw",
    "nullable": true,
    "Description": "PASS, WARN, FAIL, or SKIP from the most recent run. Written by tools/run_test_suite.py from the substrate — never hand-edited."
   },
   {
    "name": "LastDetail",
    "datatype": "string",
    "type": "raw",
    "nullable": true,
    "Description": "The observed reading behind LastOutcome, e.g. a fire count or the error text."
   },
   {
    "name": "LastRunAt",
    "datatype": "datetime",
    "type": "raw",
    "nullable": true,
    "Description": "When this check last ran."
   },
   {
    "name": "IsPassing",
    "datatype": "boolean",
    "type": "calculated",
    "nullable": true,
    "Description": "TRUE when the last run passed outright.",
    "formula": "={{LastOutcome}} = \"PASS\""
   },
   {
    "name": "IsFailing",
    "datatype": "boolean",
    "type": "calculated",
    "nullable": true,
    "Description": "TRUE when the last run failed. A blocking failure means the model is asserting something false.",
    "formula": "={{LastOutcome}} = \"FAIL\""
   },
   {
    "name": "NeedsAttention",
    "datatype": "boolean",
    "type": "calculated",
    "nullable": true,
    "Description": "TRUE when this check failed and its failure means the model is wrong. This is the number that must be zero.",
    "formula": "=AND({{IsFailing}}, {{IsBlocking}})"
   },
   {
    "name": "PassingSuiteKey",
    "datatype": "string",
    "type": "calculated",
    "nullable": true,
    "Description": "Echoes the suite id only for checks that passed; empty otherwise. Single-criterion COUNTIFS key.",
    "formula": "=IF({{IsPassing}}, {{Suite}}, \"\")"
   },
   {
    "name": "NeedsAttentionSuiteKey",
    "datatype": "string",
    "type": "calculated",
    "nullable": true,
    "Description": "Echoes the suite id only for blocking checks that failed; empty otherwise. Single-criterion COUNTIFS key.",
    "formula": "=IF({{NeedsAttention}}, {{Suite}}, \"\")"
   },
   {
    "name": "SemanticTypeIri",
    "datatype": "string",
    "type": "raw",
    "nullable": true,
    "Description": "Extension class IRI."
   }
  ],
  "data": [
   {
    "TestCaseId": "tc-struct-rulebook_releases",
    "TestKind": "structural",
    "Subject": "RulebookReleases",
    "TargetTable": "RulebookReleases",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RulebookReleases",
    "IsBlocking": true,
    "IsPassing": true,
    "IsFailing": false,
    "NeedsAttention": false,
    "PassingSuiteKey": "suite-structure",
    "NeedsAttentionSuiteKey": null
   },
   {
    "TestCaseId": "tc-struct-ontology_profiles",
    "TestKind": "structural",
    "Subject": "OntologyProfiles",
    "TargetTable": "OntologyProfiles",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OntologyProfiles",
    "IsBlocking": true,
    "IsPassing": true,
    "IsFailing": false,
    "NeedsAttention": false,
    "PassingSuiteKey": "suite-structure",
    "NeedsAttentionSuiteKey": null
   },
   {
    "TestCaseId": "tc-struct-evaluation_contexts",
    "TestKind": "structural",
    "Subject": "EvaluationContexts",
    "TargetTable": "EvaluationContexts",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EvaluationContexts",
    "IsBlocking": true,
    "IsPassing": true,
    "IsFailing": false,
    "NeedsAttention": false,
    "PassingSuiteKey": "suite-structure",
    "NeedsAttentionSuiteKey": null
   },
   {
    "TestCaseId": "tc-struct-organizations",
    "TestKind": "structural",
    "Subject": "Organizations",
    "TargetTable": "Organizations",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Organizations",
    "IsBlocking": true,
    "IsPassing": true,
    "IsFailing": false,
    "NeedsAttention": false,
    "PassingSuiteKey": "suite-structure",
    "NeedsAttentionSuiteKey": null
   },
   {
    "TestCaseId": "tc-struct-agents",
    "TestKind": "structural",
    "Subject": "Agents",
    "TargetTable": "Agents",
    "TargetField": null,
    "Assertion": "Primary key first and non-nullable, and a calculated Name display alias exists.",
    "DefendsQuestion": null,
    "Suite": "suite-structure",
    "Severity": "blocking",
    "LastOutcome": "PASS",
    "LastDetail": "19 fields",
    "LastRunAt": "2026-07-20T03:06:49+00:00",
    "SemanticTypeIri": "urn:effortless:pko-extension#TestCase",
    "Name": "structural: Agents",
    "IsBlocking": true,
    "IsPassing": true,
    "IsFailing": false,
    "NeedsAttention": false,
    "PassingSuiteKey": "suite-structure",
    "N</t>
  </si>
  <si>
    <t xml:space="preserve">eedsAttentionSuiteKey": null
   },
   {
    "TestCaseId": "tc-struct-roles",
    "TestKind": "structural",
    "Subject": "Roles",
    "TargetTable": "Roles",
    "TargetField": null,
    "Assertion": "Primary key first and non-nullable, and a calculated Name display alias exists.",
    "DefendsQuestion": null,
    "Suite": "suite-structure",
    "Severity": "blocking",
    "LastOutcome": "PASS",
    "LastDetail": "24 fields",
    "LastRunAt": "2026-07-20T03:06:49+00:00",
    "SemanticTypeIri": "urn:effortless:pko-extension#TestCase",
    "Name": "structural: Roles",
    "IsBlocking": true,
    "IsPassing": true,
    "IsFailing": false,
    "NeedsAttention": false,
    "PassingSuiteKey": "suite-structure",
    "NeedsAttentionSuiteKey": null
   },
   {
    "TestCaseId": "tc-struct-role_assignments",
    "TestKind": "structural",
    "Subject": "RoleAssignments",
    "TargetTable": "RoleAssignments",
    "TargetField": null,
    "Assertion": "Primary key first and non-nullable, and a calculated Name display alias exists.",
    "DefendsQuestion": null,
    "Suite": "suite-structure",
    "Severity": "blocking",
    "LastOutcome": "PASS",
    "LastDetail": "65 fields",
    "LastRunAt": "2026-07-20T03:06:49+00:00",
    "SemanticTypeIri": "urn:effortless:pko-extension#TestCase",
    "Name": "structural: RoleAssignments",
    "IsBlocking": true,
    "IsPassing": true,
    "IsFailing": false,
    "NeedsAttention": false,
    "PassingSuiteKey": "suite-structure",
    "NeedsAttentionSuiteKey": null
   },
   {
    "TestCaseId": "tc-struct-communities_of_practice",
    "TestKind": "structural",
    "Subject": "CommunitiesOfPractice",
    "TargetTable": "CommunitiesOfPractice",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CommunitiesOfPractice",
    "IsBlocking": true,
    "IsPassing": true,
    "IsFailing": false,
    "NeedsAttention": false,
    "PassingSuiteKey": "suite-structure",
    "NeedsAttentionSuiteKey": null
   },
   {
    "TestCaseId": "tc-struct-mentorships",
    "TestKind": "structural",
    "Subject": "Mentorships",
    "TargetTable": "Mentorships",
    "TargetField": null,
    "Assertion": "Primary key first and non-nullable, and a calculated Name display alias exists.",
    "DefendsQuestion": null,
    "Suite": "suite-structure",
    "Severity": "blocking",
    "LastOutcome": "PASS",
    "LastDetail": "10 fields",
    "LastRunAt": "2026-07-20T03:06:49+00:00",
    "SemanticTypeIri": "urn:effortless:pko-extension#TestCase",
    "Name": "structural: Mentorships",
    "IsBlocking": true,
    "IsPassing": true,
    "IsFailing": false,
    "NeedsAttention": false,
    "PassingSuiteKey": "suite-structure",
    "NeedsAttentionSuiteKey": null
   },
   {
    "TestCaseId": "tc-struct-procedure_types",
    "TestKind": "structural",
    "Subject": "ProcedureTypes",
    "TargetTable": "ProcedureTypes",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ProcedureTypes",
    "IsBlocking": true,
    "IsPassing": true,
    "IsFailing": false,
    "NeedsAttention": false,
    "PassingSuiteKey": "suite-structure",
    "NeedsAttentionSuiteKey": null
   },
   {
    "TestCaseId": "tc-struct-procedures",
    "TestKind": "structural",
    "Subject": "Procedures",
    "TargetTable": "Procedures",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Procedures",
    "IsBlocking": true,
    "IsPassing": true,
    "IsFailing": false,
    "NeedsAttention": false,
    "PassingSuiteKey": "suite-structure",
    "NeedsAttentionSuiteKey": null
   },
   {
    "TestCaseId": "tc-struct-procedure_versions",
    "TestKind": "structural",
    "Subject": "ProcedureVersions",
    "TargetTable": "ProcedureVersions",
    "TargetField": null,
    "Assertion": "Primary key first and non-nullable, and a calculated Name display alias exists.",
    "DefendsQuestion": null,
    "Suite": "suite-structure",
    "Severity": "blocking",
    "LastOutcome": "PASS",
    "LastDetail": "83 fields",
    "LastRunAt": "2026-07-20T03:06:49+00:00",
    "SemanticTypeIri": "urn:effortless:pko-extension#TestCase",
    "Name": "structural: ProcedureVersions",
    "IsBlocking": true,
    "IsPassing": true,
    "IsFailing": false,
    "NeedsAttention": false,
    "PassingSuiteKey": "suite-structure",
    "NeedsAttentionSuiteKey": null
   },
   {
    "TestCaseId": "tc-struct-procedure_version_links",
    "TestKind": "structural",
    "Subject": "ProcedureVersionLinks",
    "TargetTable": "ProcedureVersionLinks",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ProcedureVersionLinks",
    "IsBlocking": true,
    "IsPassing": true,
    "IsFailing": false,
    "NeedsAttention": false,
    "PassingSuiteKey": "suite-structure",
    "NeedsAttentionSuiteKey": null
   },
   {
    "TestCaseId": "tc-struct-procedure_status_changes",
    "TestKind": "structural",
    "Subject": "ProcedureStatusChanges",
    "TargetTable": "ProcedureStatusChanges",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ProcedureStatusChanges",
    "IsBlocking": true,
    "IsPassing": true,
    "IsFailing": false,
    "NeedsAttention": false,
    "PassingSuiteKey": "suite-structure",
    "NeedsAttentionSuiteKey": null
   },
   {
    "TestCaseId": "tc-struct-steps",
    "TestKind": "structural",
    "Subject": "Steps",
    "TargetTable": "Steps",
    "TargetField": null,
    "Assertion": "Primary key first and non-nullable, and a calculated Name display alias exists.",
    "DefendsQuestion": null,
    "Suite": "suite-structure",
    "Severity": "blocking",
    "LastOutcome": "PASS",
    "LastDetail": "42 fields",
    "LastRunAt": "2026-07-20T03:06:49+00:00",
    "SemanticTypeIri": "urn:effortless:pko-extension#TestCase",
    "Name": "structural: Steps",
    "IsBlocking": true,
    "IsPassing": true,
    "IsFailing": false,
    "NeedsAttention": false,
    "PassingSuiteKey": "suite-structure",
    "NeedsAttentionSuiteKey": null
   },
   {
    "TestCaseId": "tc-struct-step_transitions",
    "TestKind": "structural",
    "Subject": "StepTransitions",
    "TargetTable": "StepTransitions",
    "TargetField": null,
    "Assertion": "Primary key first and non-nullable, and a calculated Name display alias exists.",
    "DefendsQuestion": null,
    "Suite": "suite-structure",
    "Severity": "blocking",
    "LastOutcome": "PASS",
    "LastDetail": "23 fields",
    "LastRunAt": "2026-07-20T03:06:49+00:00",
    "SemanticTypeIri": "urn:effortless:pko-extension#TestCase",
    "Name": "structural: StepTransitions",
    "IsBlocking": true,
    "IsPassing": true,
    "IsFailing": false,
    "NeedsAttention": false,
    "PassingSuiteKey": "suite-structure",
    "NeedsAttentionSuiteKey": null
   },
   {
    "TestCaseId": "tc-struct-actions",
    "TestKind": "structural",
    "Subject": "Actions",
    "TargetTable": "Actions",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Actions",
    "IsBlocking": true,
    "IsPassing": true,
    "IsFailing": false,
    "NeedsAttention": false,
    "PassingSuiteKey": "suite-structure",
    "NeedsAttentionSuiteKey": null
   },
   {
    "TestCaseId": "tc-struct-functions",
    "TestKind": "structural",
    "Subject": "Functions",
    "TargetTable": "Functions",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Functions",
    "IsBlocking": true,
    "IsPassing": true,
    "IsFailing": false,
    "NeedsAttention": false,
    "PassingSuiteKey": "suite-structure",
    "NeedsAttentionSuiteKey": null
   },
   {
    "TestCaseId": "tc-struct-tools",
    "TestKind": "structural",
    "Subject": "Tools",
    "TargetTable": "Tools",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Tools",
    "IsBlocking": true,
    "IsPassing": true,
    "IsFailing": false,
    "NeedsAttention": false,
    "PassingSuiteKey": "suite-structure",
    "NeedsAttentionSuiteKey": null
   },
   {
    "TestCaseId": "tc-struct-step_actions",
    "TestKind": "structural",
    "Subject": "StepActions",
    "TargetTable": "StepActions",
    "TargetField": null,
    "Assertion": "Primary key first and non-nullable, and a calculated Name display alias exists.",
    "DefendsQuestion": null,
    "Suite": "suite-structure",
    "Severity": "blocking",
    "LastOutcome": "PASS",
    "LastDetail": "4 fields",
    "LastRunAt": "2026-07-20T03:06:49+00:00",
    "SemanticTypeIri": "urn:effortless:pko-extension#TestCase",
    "Name": "structural: StepActions",
    "IsBlocking": true,
    "IsPassing": true,
    "IsFailing": false,
    "NeedsAttention": false,
    "PassingSuiteKey": "suite-structure",
    "NeedsAttentionSuiteKey": null
   },
   {
    "TestCaseId": "tc-struct-step_functions",
    "TestKind": "structural",
    "Subject": "StepFunctions",
    "TargetTable": "StepFunctions",
    "TargetField": null,
    "Assertion": "Primary key first and non-nullable, and a calculated Name display alias exists.",
    "DefendsQuestion": null,
    "Suite": "suite-structure",
    "Severity": "blocking",
    "LastOutcome": "PASS",
    "LastDetail": "4 fields",
    "LastRunAt": "2026-07-20T03:06:49+00:00",
    "SemanticTypeIri": "urn:effortless:pko-extension#TestCase",
    "Name": "structural: StepFunctions",
    "IsBlocking": true,
    "IsPassing": true,
    "IsFailing": false,
    "NeedsAttention": false,
    "PassingSuiteKey": "suite-structure",
    "NeedsAttentionSuiteKey": null
   },
   {
    "TestCaseId": "tc-struct-step_tools",
    "TestKind": "structural",
    "Subject": "StepTools",
    "TargetTable": "StepTools",
    "TargetField": null,
    "Assertion": "Primary key first and non-nullable, and a calculated Name display alias exists.",
    "DefendsQuestion": null,
    "Suite": "suite-structure",
    "Severity": "blocking",
    "LastOutcome": "PASS",
    "LastDetail": "4 fields",
    "LastRunAt": "2026-07-20T03:06:49+00:00",
    "SemanticTypeIri": "urn:effortless:pko-extension#TestCase",
    "Name": "structural: StepTools",
    "IsBlocking": true,
    "IsPassing": true,
    "IsFailing": false,
    "NeedsAttention": false,
    "PassingSuiteKey": "suite-structure",
    "NeedsAttentionSuiteKey": null
   },
   {
    "TestCaseId": "tc-struct-requirements",
    "TestKind": "structural",
    "Subject": "Requirements",
    "TargetTable": "Requirements",
    "TargetField": null,
    "Assertion": "Primary key first and non-nullable, and a calculated Name display alias exists.",
    "DefendsQuestion": null,
    "Suite": "suite-structure",
    "Severity": "blocking",
    "LastOutcome": "PASS",
    "LastDetail": "41 fields",
    "LastRunAt": "2026-07-20T03:06:49+00:00",
    "SemanticTypeIri": "urn:effortless:pko-extension#TestCase",
    "Name": "structural: Requirements",
    "IsBlocking": true,
    "IsPassing": true,
    "IsFailing": false,
    "NeedsAttention": false,
    "PassingSuiteKey": "suite-structure",
    "NeedsAttentionSuiteKey": null
   },
   {
    "TestCaseId": "tc-struct-step_requirements",
    "TestKind": "structural",
    "Subject": "StepRequirements",
    "TargetTable": "StepRequirements",
    "TargetField": null,
    "Assertion": "Primary key first and non-nullable, and a calculated Name display alias exists.",
    "DefendsQuestion": null,
    "Suite": "suite-structure",
    "Severity": "blocking",
    "LastOutcome": "PASS",
    "LastDetail": "13 fields",
    "LastRunAt": "2026-07-20T03:06:49+00:00",
    "SemanticTypeIri": "urn:effortless:pko-extension#TestCase",
    "Name": "structural: StepRequirements",
    "IsBlocking": true,
    "IsPassing": true,
    "IsFailing": false,
    "NeedsAttention": false,
    "PassingSuiteKey": "suite-structure",
    "NeedsAttentionSuiteKey": null
   },
   {
    "TestCaseId": "tc-struct-step_verifications",
    "TestKind": "structural",
    "Subject": "StepVerifications",
    "TargetTable": "StepVerifications",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StepVerifications",
    "IsBlocking": true,
    "IsPassing": true,
    "IsFailing": false,
    "NeedsAttention": false,
    "PassingSuiteKey": "suite-structure",
    "NeedsAttentionSuiteKey": null
   },
   {
    "TestCaseId": "tc-struct-rationales",
    "TestKind": "structural",
    "Subject": "Rationales",
    "TargetTable": "Rationales",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Rationales",
    "IsBlocking": true,
    "IsPassing": true,
    "IsFailing": false,
    "NeedsAttention": false,
    "PassingSuiteKey": "suite-structure",
    "NeedsAttentionSuiteKey": null
   },
   {
    "TestCaseId": "tc-struct-exceptions",
    "TestKind": "structural",
    "Subject": "Exceptions",
    "TargetTable": "Exceptions",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Exceptions",
    "IsBlocking": true,
    "IsPassing": true,
    "IsFailing": false,
    "NeedsAttention": false,
    "PassingSuiteKey": "suite-structure",
    "NeedsAttentionSuiteKey": null
   },
   {
    "TestCaseId": "tc-struct-resources",
    "TestKind": "structural",
    "Subject": "Resources",
    "TargetTable": "Resources",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Resources",
    "IsBlocking": true,
    "IsPassing": true,
    "IsFailing": false,
    "NeedsAttention": false,
    "PassingSuiteKey": "suite-structure",
    "NeedsAttentionSuiteKey": null
   },
   {
    "TestCaseId": "tc-struct-procedure_resources",
    "TestKind": "structural",
    "Subject": "ProcedureResources",
    "TargetTable": "ProcedureResources",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ProcedureResources",
    "IsBlocking": true,
    "IsPassing": true,
    "IsFailing": false,
    "NeedsAttention": false,
    "PassingSuiteKey": "suite-structure",
    "NeedsAttentionSuiteKey": null
   },
   {
    "TestCaseId": "tc-struct-elicitation_sessions",
    "TestKind": "structural",
    "Subject": "ElicitationSessions",
    "TargetTable": "ElicitationSessions",
    "TargetField": null,
    "Assertion": "Primary key first and non-nullable, and a calculated Name display alias exists.",
    "DefendsQuestion": null,
    "Suite": "suite-structure",
    "Severity": "blocking",
    "LastOutcome": "PASS",
    "LastDetail": "21 fields",
    "LastRunAt": "2026-07-20T03:06:49+00:00",
    "SemanticTypeIri": "urn:effortless:pko-extension#TestCase",
    "Name": "structural: ElicitationSessions",
    "IsBlocking": true,
    "IsPassing": true,
    "IsFailing": false,
    "NeedsAttention": false,
    "PassingSuiteKey": "suite-structure",
    "NeedsAttentionSuiteKey": null
   },
   {
    "TestCaseId": "tc-struct-knowledge_fragments",
    "TestKind": "structural",
    "Subject": "KnowledgeFragments",
    "TargetTable": "KnowledgeFragments",
    "TargetField": null,
    "Assertion": "Primary key first and non-nullable, and a calculated Name display alias exists.",
    "DefendsQuestion": null,
    "Suite": "suite-structure",
    "Severity": "blocking",
    "LastOutcome": "PASS",
    "LastDetail": "80 fields",
    "LastRunAt": "2026-07-20T03:06:49+00:00",
    "SemanticTypeIri": "urn:effortless:pko-extension#TestCase",
    "Name": "structural: KnowledgeFragments",
    "IsBlocking": true,
    "IsPassing": true,
    "IsFailing": false,
    "NeedsAttention": false,
    "PassingSuiteKey": "suite-structure",
    "NeedsAttentionSuiteKey": null
   },
   {
    "TestCaseId": "tc-struct-knowledge_gaps",
    "TestKind": "structural",
    "Subject": "KnowledgeGaps",
    "TargetTable": "KnowledgeGaps",
    "TargetField": null,
    "Assertion": "Primary key first and non-nullable, and a calculated Name display alias exists.",
    "DefendsQuestion": null,
    "Suite": "suite-structure",
    "Severity": "blocking",
    "LastOutcome": "PASS",
    "LastDetail": "28 fields",
    "LastRunAt": "2026-07-20T03:06:49+00:00",
    "SemanticTypeIri": "urn:effortless:pko-extension#TestCase",
    "Name": "structural: KnowledgeGaps",
    "IsBlocking": true,
    "IsPassing": true,
    "IsFailing": false,
    "NeedsAttention": false,
    "PassingSuiteKey": "suite-structure",
    "NeedsAttentionSuiteKey": null
   },
   {
    "TestCaseId": "tc-struct-f_a_qs",
    "TestKind": "structural",
    "Subject": "FAQs",
    "TargetTable": "FAQs",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FAQs",
    "IsBlocking": true,
    "IsPassing": true,
    "IsFailing": false,
    "NeedsAttention": false,
    "PassingSuiteKey": "suite-structure",
    "NeedsAttentionSuiteKey": null
   },
   {
    "TestCaseId": "tc-struct-explanations",
    "TestKind": "structural",
    "Subject": "Explanations",
    "TargetTable": "Explanations",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Explanations",
    "IsBlocking": true,
    "IsPassing": true,
    "IsFailing": false,
    "NeedsAttention": false,
    "PassingSuiteKey": "suite-structure",
    "NeedsAttentionSuiteKey": null
   },
   {
    "TestCaseId": "tc-struct-procedure_executions",
    "TestKind": "structural",
    "Subject": "ProcedureExecutions",
    "TargetTable": "ProcedureExecutions",
    "TargetField": null,
    "Assertion": "Primary key first and non-nullable, and a calculated Name display alias exists.",
    "DefendsQuestion": null,
    "Suite": "suite-structure",
    "Severity": "blocking",
    "LastOutcome": "PASS",
    "LastDetail": "78 fields",
    "LastRunAt": "2026-07-20T03:06:49+00:00",
    "SemanticTypeIri": "urn:effortless:pko-extension#TestCase",
    "Name": "structural: ProcedureExecutions",
    "IsBlocking": true,
    "IsPassing": true,
    "IsFailing": false,
    "NeedsAttention": false,
    "PassingSuiteKey": "suite-structure",
    "NeedsAttentionSuiteKey": null
   },
   {
    "TestCaseId": "tc-struct-step_executions",
    "TestKind": "structural",
    "Subject": "StepExecutions",
    "TargetTable": "StepExecutions",
    "TargetField": null,
    "Assertion": "Primary key first and non-nullable, and a calculated Name display alias exists.",
    "DefendsQuestion": null,
    "Suite": "suite-structure",
    "Severity": "blocking",
    "LastOutcome": "PASS",
    "LastDetail": "109 fields",
    "LastRunAt": "2026-07-20T03:06:49+00:00",
    "SemanticTypeIri": "urn:effortless:pko-extension#TestCase",
    "Name": "structural: StepExecutions",
    "IsBlocking": true,
    "IsPassing": true,
    "IsFailing": false,
    "NeedsAttention": false,
    "PassingSuiteKey": "suite-structure",
    "NeedsAttentionSuiteKey": null
   },
   {
    "TestCaseId": "tc-struct-requirement_satisfactions",
    "TestKind": "structural",
    "Subject": "RequirementSatisfactions",
    "TargetTable": "RequirementSatisfactions",
    "TargetField": null,
    "Assertion": "Primary key first and non-nullable, and a calculated Name display alias exists.",
    "DefendsQuestion": null,
    "Suite": "suite-structure",
    "Severity": "blocking",
    "LastOutcome": "PASS",
    "LastDetail": "46 fields",
    "LastRunAt": "2026-07-20T03:06:49+00:00",
    "SemanticTypeIri": "urn:effortless:pko-extension#TestCase",
    "Name": "structural: RequirementSatisfactions",
    "IsBlocking": true,
    "IsPassing": true,
    "IsFailing": false,
    "NeedsAttention": false,
    "PassingSuiteKey": "suite-structure",
    "NeedsAttentionSuiteKey": null
   },
   {
    "TestCaseId": "tc-struct-errors",
    "TestKind": "structural",
    "Subject": "Errors",
    "TargetTable": "Errors",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Errors",
    "IsBlocking": true,
    "IsPassing": true,
    "IsFailing": false,
    "NeedsAttention": false,
    "PassingSuiteKey": "suite-structure",
    "NeedsAttentionSuiteKey": null
   },
   {
    "TestCaseId": "tc-struct-issue_occurrences",
    "TestKind": "structural",
    "Subject": "IssueOccurrences",
    "TargetTable": "IssueOccurrences",
    "TargetField": null,
    "Assertion": "Primary key first and non-nullable, and a calculated Name display alias exists.",
    "DefendsQuestion": null,
    "Suite": "suite-structure",
    "Severity": "blocking",
    "LastOutcome": "PASS",
    "LastDetail": "12 fields",
    "LastRunAt": "2026-07-20T03:06:49+00:00",
    "SemanticTypeIri": "urn:effortless:pko-extension#TestCase",
    "Name": "structural: IssueOccurrences",
    "IsBlocking": true,
    "IsPassing": true,
    "IsFailing": false,
    "NeedsAttention": false,
    "PassingSuiteKey": "suite-structure",
    "NeedsAttentionSuiteKey": null
   },
   {
    "TestCaseId": "tc-struct-user_questions",
    "TestKind": "structural",
    "Subject": "UserQuestions",
    "TargetTable": "UserQuestions",
    "TargetField": null,
    "Assertion": "Primary key first and non-nullable, and a calculated Name display alias exists.",
    "DefendsQuestion": null,
    "Suite": "suite-structure",
    "Severity": "blocking",
    "LastOutcome": "PASS",
    "LastDetail": "10 fields",
    "LastRunAt": "2026-07-20T03:06:49+00:00",
    "SemanticTypeIri": "urn:effortless:pko-extension#TestCase",
    "Name": "structural: UserQuestions",
    "IsBlocking": true,
    "IsPassing": true,
    "IsFailing": false,
    "NeedsAttention": false,
    "PassingSuiteKey": "suite-structure",
    "NeedsAttentionSuiteKey": null
   },
   {
    "TestCaseId": "tc-struct-user_feedback",
    "TestKind": "structural",
    "Subject": "UserFeedback",
    "TargetTable": "UserFeedback",
    "TargetField": null,
    "Assertion": "Primary key first and non-nullable, and a calculated Name display alias exists.",
    "DefendsQuestion": null,
    "Suite": "suite-structure",
    "Severity": "blocking",
    "LastOutcome": "PASS",
    "LastDetail": "9 fields",
    "LastRunAt": "2026-07-20T03:06:49+00:00",
    "SemanticTypeIri": "urn:effortless:pko-extension#TestCase",
    "Name": "structural: UserFeedback",
    "IsBlocking": true,
    "IsPassing": true,
    "IsFailing": false,
    "NeedsAttention": false,
    "PassingSuiteKey": "suite-structure",
    "NeedsAttentionSuiteKey": null
   },
   {
    "TestCaseId": "tc-struct-stewardship_assignments",
    "TestKind": "structural",
    "Subject": "StewardshipAssignments",
    "TargetTable": "StewardshipAssignments",
    "TargetField": null,
    "Assertion": "Primary key first and non-nullable, and a calculated Name display alias exists.",
    "DefendsQuestion": null,
    "Suite": "suite-structure",
    "Severity": "blocking",
    "LastOutcome": "PASS",
    "LastDetail": "14 fields",
    "LastRunAt": "2026-07-20T03:06:49+00:00",
    "SemanticTypeIri": "urn:effortless:pko-extension#TestCase",
    "Name": "structural: StewardshipAssignments",
    "IsBlocking": true,
    "IsPassing": true,
    "IsFailing": false,
    "NeedsAttention": false,
    "PassingSuiteKey": "suite-structure",
    "NeedsAttentionSuiteKey": null
   },
   {
    "TestCaseId": "tc-struct-change_requests",
    "TestKind": "structural",
    "Subject": "ChangeRequests",
    "TargetTable": "ChangeRequests",
    "TargetField": null,
    "Assertion": "Primary key first and non-nullable, and a calculated Name display alias exists.",
    "DefendsQuestion": null,
    "Suite": "suite-structure",
    "Severity": "blocking",
    "LastOutcome": "PASS",
    "LastDetail": "45 fields",
    "LastRunAt": "2026-07-20T03:06:49+00:00",
    "SemanticTypeIri": "urn:effortless:pko-extension#TestCase",
    "Name": "structural: ChangeRequests",
    "IsBlocking": true,
    "IsPassing": true,
    "IsFailing": false,
    "NeedsAttention": false,
    "PassingSuiteKey": "suite-structure",
    "NeedsAttentionSuiteKey": null
   },
   {
    "TestCaseId": "tc-struct-review_events",
    "TestKind": "structural",
    "Subject": "ReviewEvents",
    "TargetTable": "ReviewEvents",
    "TargetField": null,
    "Assertion": "Primary key first and non-nullable, and a calculated Name display alias exists.",
    "DefendsQuestion": null,
    "Suite": "suite-structure",
    "Severity": "blocking",
    "LastOutcome": "PASS",
    "LastDetail": "20 fields",
    "LastRunAt": "2026-07-20T03:06:49+00:00",
    "SemanticTypeIri": "urn:effortless:pko-extension#TestCase",
    "Name": "structural: ReviewEvents",
    "IsBlocking": true,
    "IsPassing": true,
    "IsFailing": false,
    "NeedsAttention": false,
    "PassingSuiteKey": "suite-structure",
    "NeedsAttentionSuiteKey": null
   },
   {
    "TestCaseId": "tc-struct-learning_activities",
    "TestKind": "structural",
    "Subject": "LearningActivities",
    "TargetTable": "LearningActivities",
    "TargetField": null,
    "Assertion": "Primary key first and non-nullable, and a calculated Name display alias exists.",
    "DefendsQuestion": null,
    "Suite": "suite-structure",
    "Severity": "blocking",
    "LastOutcome": "PASS",
    "LastDetail": "10 fields",
    "LastRunAt": "2026-07-20T03:06:49+00:00",
    "SemanticTypeIri": "urn:effortless:pko-extension#TestCase",
    "Name": "structural: LearningActivities",
    "IsBlocking": true,
    "IsPassing": true,
    "IsFailing": false,
    "NeedsAttention": false,
    "PassingSuiteKey": "suite-structure",
    "NeedsAttentionSuiteKey": null
   },
   {
    "TestCaseId": "tc-struct-operational_bindings",
    "TestKind": "structural",
    "Subject": "OperationalBindings",
    "TargetTable": "OperationalBindings",
    "TargetField": null,
    "Assertion": "Primary key first and non-nullable, and a calculated Name display alias exists.",
    "DefendsQuestion": null,
    "Suite": "suite-structure",
    "Severity": "blocking",
    "LastOutcome": "PASS",
    "LastDetail": "22 fields",
    "LastRunAt": "2026-07-20T03:06:49+00:00",
    "SemanticTypeIri": "urn:effortless:pko-extension#TestCase",
    "Name": "structural: OperationalBindings",
    "IsBlocking": true,
    "IsPassing": true,
    "IsFailing": false,
    "NeedsAttention": false,
    "PassingSuiteKey": "suite-structure",
    "NeedsAttentionSuiteKey": null
   },
   {
    "TestCaseId": "tc-struct-communication_policies",
    "TestKind": "structural",
    "Subject": "CommunicationPolicies",
    "TargetTable": "CommunicationPolicies",
    "TargetField": null,
    "Assertion": "Primary key first and non-nullable, and a calculated Name display alias exists.",
    "DefendsQuestion": null,
    "Suite": "suite-structure",
    "Severity": "blocking",
    "LastOutcome": "PASS",
    "LastDetail": "22 fields",
    "LastRunAt": "2026-07-20T03:06:49+00:00",
    "SemanticTypeIri": "urn:effortless:pko-extension#TestCase",
    "Name": "structural: CommunicationPolicies",
    "IsBlocking": true,
    "IsPassing": true,
    "IsFailing": false,
    "NeedsAttention": false,
    "PassingSuiteKey": "suite-structure",
    "NeedsAttentionSuiteKey": null
   },
   {
    "TestCaseId": "tc-struct-message_templates",
    "TestKind": "structural",
    "Subject": "MessageTemplates",
    "TargetTable": "MessageTemplates",
    "TargetField": null,
    "Assertion": "Primary key first and non-nullable, and a calculated Name display alias exists.",
    "DefendsQuestion": null,
    "Suite": "suite-structure",
    "Severity": "blocking",
    "LastOutcome": "PASS",
    "LastDetail": "26 fields",
    "LastRunAt": "2026-07-20T03:06:49+00:00",
    "SemanticTypeIri": "urn:effortless:pko-extension#TestCase",
    "Name": "structural: MessageTemplates",
    "IsBlocking": true,
    "IsPassing": true,
    "IsFailing": false,
    "NeedsAttention": false,
    "PassingSuiteKey": "suite-structure",
    "NeedsAttentionSuiteKey": null
   },
   {
    "TestCaseId": "tc-struct-semantic_mappings",
    "TestKind": "structural",
    "Subject": "SemanticMappings",
    "TargetTable": "SemanticMappi</t>
  </si>
  <si>
    <t xml:space="preserve">ngs",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SemanticMappings",
    "IsBlocking": true,
    "IsPassing": true,
    "IsFailing": false,
    "NeedsAttention": false,
    "PassingSuiteKey": "suite-structure",
    "NeedsAttentionSuiteKey": null
   },
   {
    "TestCaseId": "tc-struct-witness_loops",
    "TestKind": "structural",
    "Subject": "WitnessLoops",
    "TargetTable": "WitnessLoops",
    "TargetField": null,
    "Assertion": "Primary key first and non-nullable, and a calculated Name display alias exists.",
    "DefendsQuestion": null,
    "Suite": "suite-structure",
    "Severity": "blocking",
    "LastOutcome": "PASS",
    "LastDetail": "13 fields",
    "LastRunAt": "2026-07-20T03:06:49+00:00",
    "SemanticTypeIri": "urn:effortless:pko-extension#TestCase",
    "Name": "structural: WitnessLoops",
    "IsBlocking": true,
    "IsPassing": true,
    "IsFailing": false,
    "NeedsAttention": false,
    "PassingSuiteKey": "suite-structure",
    "NeedsAttentionSuiteKey": null
   },
   {
    "TestCaseId": "tc-struct-role_questions",
    "TestKind": "structural",
    "Subject": "RoleQuestions",
    "TargetTable": "RoleQuestions",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RoleQuestions",
    "IsBlocking": true,
    "IsPassing": true,
    "IsFailing": false,
    "NeedsAttention": false,
    "PassingSuiteKey": "suite-structure",
    "NeedsAttentionSuiteKey": null
   },
   {
    "TestCaseId": "tc-struct-rulebook_fields",
    "TestKind": "structural",
    "Subject": "RulebookFields",
    "TargetTable": "RulebookFields",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RulebookFields",
    "IsBlocking": true,
    "IsPassing": true,
    "IsFailing": false,
    "NeedsAttention": false,
    "PassingSuiteKey": "suite-structure",
    "NeedsAttentionSuiteKey": null
   },
   {
    "TestCaseId": "tc-struct-test_suites",
    "TestKind": "structural",
    "Subject": "TestSuites",
    "TargetTable": "TestSuites",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TestSuites",
    "IsBlocking": true,
    "IsPassing": true,
    "IsFailing": false,
    "NeedsAttention": false,
    "PassingSuiteKey": "suite-structure",
    "NeedsAttentionSuiteKey": null
   },
   {
    "TestCaseId": "tc-struct-test_cases",
    "TestKind": "structural",
    "Subject": "TestCases",
    "TargetTable": "TestCases",
    "TargetField": null,
    "Assertion": "Primary key first and non-nullable, and a calculated Name display alias exists.",
    "DefendsQuestion": null,
    "Suite": "suite-structure",
    "Severity": "blocking",
    "LastOutcome": "PASS",
    "LastDetail": "20 fields",
    "LastRunAt": "2026-07-20T03:06:49+00:00",
    "SemanticTypeIri": "urn:effortless:pko-extension#TestCase",
    "Name": "structural: TestCases",
    "IsBlocking": true,
    "IsPassing": true,
    "IsFailing": false,
    "NeedsAttention": false,
    "PassingSuiteKey": "suite-structure",
    "NeedsAttentionSuiteKey": null
   },
   {
    "TestCaseId": "tc-struct-e_r_b_versions",
    "TestKind": "structural",
    "Subject": "ERBVersions",
    "TargetTable": "ERBVersions",
    "TargetField": null,
    "Assertion": "Primary key first and non-nullable, and a calculated Name display alias exists.",
    "DefendsQuestion": null,
    "Suite": "suite-structure",
    "Severity": "blocking",
    "LastOutcome": "PASS",
    "LastDetail": "7 fields",
    "LastRunAt": "2026-07-20T03:06:49+00:00",
    "SemanticTypeIri": "urn:effortless:pko-extension#TestCase",
    "Name": "structural: ERBVersions",
    "IsBlocking": true,
    "IsPassing": true,
    "IsFailing": false,
    "NeedsAttention": false,
    "PassingSuiteKey": "suite-structure",
    "NeedsAttentionSuiteKey": null
   },
   {
    "TestCaseId": "tc-struct-e_r_b_customizations",
    "TestKind": "structural",
    "Subject": "ERBCustomizations",
    "TargetTable": "ERBCustomizations",
    "TargetField": null,
    "Assertion": "Primary key first and non-nullable, and a calculated Name display alias exists.",
    "DefendsQuestion": null,
    "Suite": "suite-structure",
    "Severity": "blocking",
    "LastOutcome": "PASS",
    "LastDetail": "6 fields",
    "LastRunAt": "2026-07-20T03:06:49+00:00",
    "SemanticTypeIri": "urn:effortless:pko-extension#TestCase",
    "Name": "structural: ERBCustomizations",
    "IsBlocking": true,
    "IsPassing": true,
    "IsFailing": false,
    "NeedsAttention": false,
    "PassingSuiteKey": "suite-structure",
    "NeedsAttentionSuiteKey": null
   },
   {
    "TestCaseId": "tc-struct-__meta__",
    "TestKind": "structural",
    "Subject": "__meta__",
    "TargetTable": "__meta__",
    "TargetField": null,
    "Assertion": "Primary key first and non-nullable, and a calculated Name display alias exists.",
    "DefendsQuestion": null,
    "Suite": "suite-structure",
    "Severity": "blocking",
    "LastOutcome": "PASS",
    "LastDetail": "5 fields",
    "LastRunAt": "2026-07-20T03:06:49+00:00",
    "SemanticTypeIri": "urn:effortless:pko-extension#TestCase",
    "Name": "structural: __meta__",
    "IsBlocking": true,
    "IsPassing": true,
    "IsFailing": false,
    "NeedsAttention": false,
    "PassingSuiteKey": "suite-structure",
    "NeedsAttentionSuiteKey": null
   },
   {
    "TestCaseId": "tc-struct-exception_invocations",
    "TestKind": "structural",
    "Subject": "ExceptionInvocations",
    "TargetTable": "ExceptionInvocations",
    "TargetField": null,
    "Assertion": "Primary key first and non-nullable, and a calculated Name display alias exists.",
    "DefendsQuestion": null,
    "Suite": "suite-structure",
    "Severity": "blocking",
    "LastOutcome": "PASS",
    "LastDetail": "21 fields",
    "LastRunAt": "2026-07-20T03:06:49+00:00",
    "SemanticTypeIri": "urn:effortless:pko-extension#TestCase",
    "Name": "structural: ExceptionInvocations",
    "IsBlocking": true,
    "IsPassing": true,
    "IsFailing": false,
    "NeedsAttention": false,
    "PassingSuiteKey": "suite-structure",
    "NeedsAttentionSuiteKey": null
   },
   {
    "TestCaseId": "tc-struct-verification_outcomes",
    "TestKind": "structural",
    "Subject": "VerificationOutcomes",
    "TargetTable": "VerificationOutcomes",
    "TargetField": null,
    "Assertion": "Primary key first and non-nullable, and a calculated Name display alias exists.",
    "DefendsQuestion": null,
    "Suite": "suite-structure",
    "Severity": "blocking",
    "LastOutcome": "PASS",
    "LastDetail": "26 fields",
    "LastRunAt": "2026-07-20T03:06:49+00:00",
    "SemanticTypeIri": "urn:effortless:pko-extension#TestCase",
    "Name": "structural: VerificationOutcomes",
    "IsBlocking": true,
    "IsPassing": true,
    "IsFailing": false,
    "NeedsAttention": false,
    "PassingSuiteKey": "suite-structure",
    "NeedsAttentionSuiteKey": null
   },
   {
    "TestCaseId": "tc-struct-observed_transitions",
    "TestKind": "structural",
    "Subject": "ObservedTransitions",
    "TargetTable": "ObservedTransitions",
    "TargetField": null,
    "Assertion": "Primary key first and non-nullable, and a calculated Name display alias exists.",
    "DefendsQuestion": null,
    "Suite": "suite-structure",
    "Severity": "blocking",
    "LastOutcome": "PASS",
    "LastDetail": "8 fields",
    "LastRunAt": "2026-07-20T03:06:49+00:00",
    "SemanticTypeIri": "urn:effortless:pko-extension#TestCase",
    "Name": "structural: ObservedTransitions",
    "IsBlocking": true,
    "IsPassing": true,
    "IsFailing": false,
    "NeedsAttention": false,
    "PassingSuiteKey": "suite-structure",
    "NeedsAttentionSuiteKey": null
   },
   {
    "TestCaseId": "tc-struct-recipients",
    "TestKind": "structural",
    "Subject": "Recipients",
    "TargetTable": "Recipients",
    "TargetField": null,
    "Assertion": "Primary key first and non-nullable, and a calculated Name display alias exists.",
    "DefendsQuestion": null,
    "Suite": "suite-structure",
    "Severity": "blocking",
    "LastOutcome": "PASS",
    "LastDetail": "15 fields",
    "LastRunAt": "2026-07-20T03:06:49+00:00",
    "SemanticTypeIri": "urn:effortless:pko-extension#TestCase",
    "Name": "structural: Recipients",
    "IsBlocking": true,
    "IsPassing": true,
    "IsFailing": false,
    "NeedsAttention": false,
    "PassingSuiteKey": "suite-structure",
    "NeedsAttentionSuiteKey": null
   },
   {
    "TestCaseId": "tc-struct-message_deliveries",
    "TestKind": "structural",
    "Subject": "MessageDeliveries",
    "TargetTable": "MessageDeliveries",
    "TargetField": null,
    "Assertion": "Primary key first and non-nullable, and a calculated Name display alias exists.",
    "DefendsQuestion": null,
    "Suite": "suite-structure",
    "Severity": "blocking",
    "LastOutcome": "PASS",
    "LastDetail": "94 fields",
    "LastRunAt": "2026-07-20T03:06:49+00:00",
    "SemanticTypeIri": "urn:effortless:pko-extension#TestCase",
    "Name": "structural: MessageDeliveries",
    "IsBlocking": true,
    "IsPassing": true,
    "IsFailing": false,
    "NeedsAttention": false,
    "PassingSuiteKey": "suite-structure",
    "NeedsAttentionSuiteKey": null
   },
   {
    "TestCaseId": "tc-struct-template_approvals",
    "TestKind": "structural",
    "Subject": "TemplateApprovals",
    "TargetTable": "TemplateApprovals",
    "TargetField": null,
    "Assertion": "Primary key first and non-nullable, and a calculated Name display alias exists.",
    "DefendsQuestion": null,
    "Suite": "suite-structure",
    "Severity": "blocking",
    "LastOutcome": "PASS",
    "LastDetail": "15 fields",
    "LastRunAt": "2026-07-20T03:06:49+00:00",
    "SemanticTypeIri": "urn:effortless:pko-extension#TestCase",
    "Name": "structural: TemplateApprovals",
    "IsBlocking": true,
    "IsPassing": true,
    "IsFailing": false,
    "NeedsAttention": false,
    "PassingSuiteKey": "suite-structure",
    "NeedsAttentionSuiteKey": null
   },
   {
    "TestCaseId": "tc-struct-send_intents",
    "TestKind": "structural",
    "Subject": "SendIntents",
    "TargetTable": "SendIntents",
    "TargetField": null,
    "Assertion": "Primary key first and non-nullable, and a calculated Name display alias exists.",
    "DefendsQuestion": null,
    "Suite": "suite-structure",
    "Severity": "blocking",
    "LastOutcome": "PASS",
    "LastDetail": "100 fields",
    "LastRunAt": "2026-07-20T03:06:49+00:00",
    "SemanticTypeIri": "urn:effortless:pko-extension#TestCase",
    "Name": "structural: SendIntents",
    "IsBlocking": true,
    "IsPassing": true,
    "IsFailing": false,
    "NeedsAttention": false,
    "PassingSuiteKey": "suite-structure",
    "NeedsAttentionSuiteKey": null
   },
   {
    "TestCaseId": "tc-struct-agent_decision_records",
    "TestKind": "structural",
    "Subject": "AgentDecisionRecords",
    "TargetTable": "AgentDecisionRecords",
    "TargetField": null,
    "Assertion": "Primary key first and non-nullable, and a calculated Name display alias exists.",
    "DefendsQuestion": null,
    "Suite": "suite-structure",
    "Severity": "blocking",
    "LastOutcome": "PASS",
    "LastDetail": "40 fields",
    "LastRunAt": "2026-07-20T03:06:49+00:00",
    "SemanticTypeIri": "urn:effortless:pko-extension#TestCase",
    "Name": "structural: AgentDecisionRecords",
    "IsBlocking": true,
    "IsPassing": true,
    "IsFailing": false,
    "NeedsAttention": false,
    "PassingSuiteKey": "suite-structure",
    "NeedsAttentionSuiteKey": null
   },
   {
    "TestCaseId": "tc-struct-delivered_communications",
    "TestKind": "structural",
    "Subject": "DeliveredCommunications",
    "TargetTable": "DeliveredCommunications",
    "TargetField": null,
    "Assertion": "Primary key first and non-nullable, and a calculated Name display alias exists.",
    "DefendsQuestion": null,
    "Suite": "suite-structure",
    "Severity": "blocking",
    "LastOutcome": "PASS",
    "LastDetail": "18 fields",
    "LastRunAt": "2026-07-20T03:06:49+00:00",
    "SemanticTypeIri": "urn:effortless:pko-extension#TestCase",
    "Name": "structural: DeliveredCommunications",
    "IsBlocking": true,
    "IsPassing": true,
    "IsFailing": false,
    "NeedsAttention": false,
    "PassingSuiteKey": "suite-structure",
    "NeedsAttentionSuiteKey": null
   },
   {
    "TestCaseId": "tc-struct-authority_boundaries",
    "TestKind": "structural",
    "Subject": "AuthorityBoundaries",
    "TargetTable": "AuthorityBoundaries",
    "TargetField": null,
    "Assertion": "Primary key first and non-nullable, and a calculated Name display alias exists.",
    "DefendsQuestion": null,
    "Suite": "suite-structure",
    "Severity": "blocking",
    "LastOutcome": "PASS",
    "LastDetail": "33 fields",
    "LastRunAt": "2026-07-20T03:06:49+00:00",
    "SemanticTypeIri": "urn:effortless:pko-extension#TestCase",
    "Name": "structural: AuthorityBoundaries",
    "IsBlocking": true,
    "IsPassing": true,
    "IsFailing": false,
    "NeedsAttention": false,
    "PassingSuiteKey": "suite-structure",
    "NeedsAttentionSuiteKey": null
   },
   {
    "TestCaseId": "tc-struct-binding_observations",
    "TestKind": "structural",
    "Subject": "BindingObservations",
    "TargetTable": "BindingObservations",
    "TargetField": null,
    "Assertion": "Primary key first and non-nullable, and a calculated Name display alias exists.",
    "DefendsQuestion": null,
    "Suite": "suite-structure",
    "Severity": "blocking",
    "LastOutcome": "PASS",
    "LastDetail": "11 fields",
    "LastRunAt": "2026-07-20T03:06:49+00:00",
    "SemanticTypeIri": "urn:effortless:pko-extension#TestCase",
    "Name": "structural: BindingObservations",
    "IsBlocking": true,
    "IsPassing": true,
    "IsFailing": false,
    "NeedsAttention": false,
    "PassingSuiteKey": "suite-structure",
    "NeedsAttentionSuiteKey": null
   },
   {
    "TestCaseId": "tc-struct-attestations",
    "TestKind": "structural",
    "Subject": "Attestations",
    "TargetTable": "Attestations",
    "TargetField": null,
    "Assertion": "Primary key first and non-nullable, and a calculated Name display alias exists.",
    "DefendsQuestion": null,
    "Suite": "suite-structure",
    "Severity": "blocking",
    "LastOutcome": "PASS",
    "LastDetail": "12 fields",
    "LastRunAt": "2026-07-20T03:06:49+00:00",
    "SemanticTypeIri": "urn:effortless:pko-extension#TestCase",
    "Name": "structural: Attestations",
    "IsBlocking": true,
    "IsPassing": true,
    "IsFailing": false,
    "NeedsAttention": false,
    "PassingSuiteKey": "suite-structure",
    "NeedsAttentionSuiteKey": null
   },
   {
    "TestCaseId": "tc-xlate-rulebook_releases-name",
    "TestKind": "formula-translates",
    "Subject": "RulebookReleases.Name",
    "TargetTable": "RulebookReleases",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RulebookReleases.Name",
    "IsBlocking": true,
    "IsPassing": true,
    "IsFailing": false,
    "NeedsAttention": false,
    "PassingSuiteKey": "suite-substrate",
    "NeedsAttentionSuiteKey": null
   },
   {
    "TestCaseId": "tc-xlate-ontology_profiles-name",
    "TestKind": "formula-translates",
    "Subject": "OntologyProfiles.Name",
    "TargetTable": "OntologyProfiles",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OntologyProfiles.Name",
    "IsBlocking": true,
    "IsPassing": true,
    "IsFailing": false,
    "NeedsAttention": false,
    "PassingSuiteKey": "suite-substrate",
    "NeedsAttentionSuiteKey": null
   },
   {
    "TestCaseId": "tc-xlate-evaluation_contexts-name",
    "TestKind": "formula-translates",
    "Subject": "EvaluationContexts.Name",
    "TargetTable": "EvaluationContexts",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EvaluationContexts.Name",
    "IsBlocking": true,
    "IsPassing": true,
    "IsFailing": false,
    "NeedsAttention": false,
    "PassingSuiteKey": "suite-substrate",
    "NeedsAttentionSuiteKey": null
   },
   {
    "TestCaseId": "tc-xlate-organizations-name",
    "TestKind": "formula-translates",
    "Subject": "Organizations.Name",
    "TargetTable": "Organizations",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Organizations.Name",
    "IsBlocking": true,
    "IsPassing": true,
    "IsFailing": false,
    "NeedsAttention": false,
    "PassingSuiteKey": "suite-substrate",
    "NeedsAttentionSuiteKey": null
   },
   {
    "TestCaseId": "tc-xlate-agents-name",
    "TestKind": "formula-translates",
    "Subject": "Agents.Name",
    "TargetTable": "Agents",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Agents.Name",
    "IsBlocking": true,
    "IsPassing": true,
    "IsFailing": false,
    "NeedsAttention": false,
    "PassingSuiteKey": "suite-substrate",
    "NeedsAttentionSuiteKey": null
   },
   {
    "TestCaseId": "tc-xlate-agents-count_of_current_role_assignments",
    "TestKind": "formula-translates",
    "Subject": "Agents.CountOfCurrentRoleAssignments",
    "TargetTable": "Agents",
    "TargetField": "CountOfCurrentRoleAssignments",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Agents.CountOfCurrentRoleAssignments",
    "IsBlocking": true,
    "IsPassing": true,
    "IsFailing": false,
    "NeedsAttention": false,
    "PassingSuiteKey": "suite-substrate",
    "NeedsAttentionSuiteKey": null
   },
   {
    "TestCaseId": "tc-xlate-agents-is_still_engaged",
    "TestKind": "formula-translates",
    "Subject": "Agents.IsStillEngaged",
    "TargetTable": "Agents",
    "TargetField": "IsStillEngaged",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Agents.IsStillEngaged",
    "IsBlocking": true,
    "IsPassing": true,
    "IsFailing": false,
    "NeedsAttention": false,
    "PassingSuiteKey": "suite-substrate",
    "NeedsAttentionSuiteKey": null
   },
   {
    "TestCaseId": "tc-xlate-agents-decision_count",
    "TestKind": "formula-translates",
    "Subject": "Agents.DecisionCount",
    "TargetTable": "Agents",
    "TargetField": "DecisionCount",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Agents.DecisionCount",
    "IsBlocking": true,
    "IsPassing": true,
    "IsFailing": false,
    "NeedsAttention": false,
    "PassingSuiteKey": "suite-substrate",
    "NeedsAttentionSuiteKey": null
   },
   {
    "TestCaseId": "tc-xlate-agents-overridden_decision_count",
    "TestKind": "formula-translates",
    "Subject": "Agents.OverriddenDecisionCount",
    "TargetTable": "Agents",
    "TargetField": "OverriddenDecisionCount",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Agents.OverriddenDecisionCount",
    "IsBlocking": true,
    "IsPassing": true,
    "IsFailing": false,
    "NeedsAttention": false,
    "PassingSuiteKey": "suite-substrate",
    "NeedsAttentionSuiteKey": null
   },
   {
    "TestCaseId": "tc-xlate-agents-override_rate_percent",
    "TestKind": "formula-translates",
    "Subject": "Agents.OverrideRatePercent",
    "TargetTable": "Agents",
    "TargetField": "OverrideRatePercent",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Agents.OverrideRatePercent",
    "IsBlocking": true,
    "IsPassing": true,
    "IsFailing": false,
    "NeedsAttention": false,
    "PassingSuiteKey": "suite-substrate",
    "NeedsAttentionSuiteKey": null
   },
   {
    "TestCaseId": "tc-xlate-agents-is_non_human",
    "TestKind": "formula-translates",
    "Subject": "Agents.IsNonHuman",
    "TargetTable": "Agents",
    "TargetField": "IsNonHuman",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Agents.IsNonHuman",
    "IsBlocking": true,
    "IsPassing": true,
    "IsFailing": false,
    "NeedsAttention": false,
    "PassingSuiteKey": "suite-substrate",
    "NeedsAttentionSuiteKey": null
   },
   {
    "TestCaseId": "tc-xlate-agents-boundary_violation_count",
    "TestKind": "formula-translates",
    "Subject": "Agents.BoundaryViolationCount",
    "TargetTable": "Agents",
    "TargetField": "BoundaryViolationCount",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Agents.BoundaryViolationCount",
    "IsBlocking": true,
    "IsPassing": true,
    "IsFailing": false,
    "NeedsAttention": false,
    "PassingSuiteKey": "suite-substrate",
    "NeedsAttentionSuiteKey": null
   },
   {
    "TestCaseId": "tc-xlate-agents-is_operating_outside_boundary",
    "TestKind": "formula-translates",
    "Subject": "Agents.IsOperatingOutsideBoundary",
    "TargetTable": "Agents",
    "TargetField": "IsOperatingOutsideBoundary",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Agents.IsOperatingOutsideBoundary",
    "IsBlocking": true,
    "IsPassing": true,
    "IsFailing": false,
    "NeedsAttention": false,
    "PassingSuiteKey": "suite-substrate",
    "NeedsAttentionSuiteKey": null
   },
   {
    "TestCaseId": "tc-xlate-agents-draft_decision_count",
    "TestKind": "formula-translates",
    "Subject": "Agents.DraftDecisionCount",
    "TargetTable": "Agents",
    "TargetField": "DraftDecisionCount",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Agents.DraftDecisionCount",
    "IsBlocking": true,
    "IsPassing": true,
    "IsFailing": false,
    "NeedsAttention": false,
    "PassingSuiteKey": "suite-substrate",
    "NeedsAttentionSuiteKey": null
   },
   {
    "TestCaseId": "tc-xlate-agents-overridden_draft_count",
    "TestKind": "formula-translates",
    "Subject": "Agents.OverriddenDraftCount",
    "TargetTable": "Agents",
    "TargetField": "OverriddenDraftCount",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Agents.OverriddenDraftCount",
    "IsBlocking": true,
    "IsPassing": true,
    "IsFailing": false,
    "NeedsAttention": false,
    "PassingSuiteKey": "suite-substrate",
    "NeedsAttentionSuiteKey": null
   },
   {
    "TestCaseId": "tc-xlate-agents-draft_rewrite_rate_percent",
    "TestKind": "formula-translates",
    "Subject": "Agents.DraftRewriteRatePercent",
    "TargetTable": "Agents",
    "TargetField": "DraftRewriteRatePercent",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Agents.DraftRewriteRatePercent",
    "IsBlocking": true,
    "IsPassing": true,
    "IsFailing": false,
    "NeedsAttention": false,
    "PassingSuiteKey": "suite-substrate",
    "NeedsAttentionSuiteKey": null
   },
   {
    "TestCaseId": "tc-xlate-roles-name",
    "TestKind": "formula-translates",
    "Subject": "Roles.Name",
    "TargetTable": "Roles",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Roles.Name",
    "IsBlocking": true,
    "IsPassing": true,
    "IsFailing": false,
    "NeedsAttention": false,
    "PassingSuiteKey": "suite-substrate",
    "NeedsAttentionSuiteKey": null
   },
   {
    "TestCaseId": "tc-xlate-roles-current_agent_kind",
    "TestKind": "formula-translates",
    "Subject": "Roles.CurrentAgentKind",
    "TargetTable": "Roles",
    "TargetField": "CurrentAgentKind",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Roles.CurrentAgentKind",
    "IsBlocking": true,
    "IsPassing": true,
    "IsFailing": false,
    "NeedsAttention": false,
    "PassingSuiteKey": "suite-substrate",
    "NeedsAttentionSuiteKey": null
   },
   {
    "TestCaseId": "tc-xlate-roles-active_assignment_count",
    "TestKind": "formula-translates",
    "Subject": "Roles.ActiveAssignmentCount",
    "TargetTable": "Roles",
    "TargetField": "ActiveAssignmentCount",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Roles.ActiveAssignmentCount",
    "IsBlocking": true,
    "IsPassing": true,
    "IsFailing": false,
    "NeedsAttention": false,
    "PassingSuiteKey": "suite-substrate",
    "NeedsAttentionSuiteKey": null
   },
   {
    "TestCaseId": "tc-xlate-roles-currently_covered_assignment_count",
    "TestKind": "formula-translates",
    "Subject": "Roles.CurrentlyCoveredAssignmentCount",
    "TargetTable": "Roles",
    "TargetField": "CurrentlyCoveredAssignmentCount",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Roles.CurrentlyCoveredAssignmentCount",
    "IsBlocking": true,
    "IsPassing": true,
    "IsFailing": false,
    "NeedsAttention": false,
    "PassingSuiteKey": "suite-substrate",
    "NeedsAttentionSuiteKey": null
   },
   {
    "TestCaseId": "tc-xlate-roles-has_no_current_holder",
    "TestKind": "formula-translates",
    "Subject": "Roles.HasNoCurrentHolde</t>
  </si>
  <si>
    <t xml:space="preserve">r",
    "TargetTable": "Roles",
    "TargetField": "HasNoCurrentHolder",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Roles.HasNoCurrentHolder",
    "IsBlocking": true,
    "IsPassing": true,
    "IsFailing": false,
    "NeedsAttention": false,
    "PassingSuiteKey": "suite-substrate",
    "NeedsAttentionSuiteKey": null
   },
   {
    "TestCaseId": "tc-xlate-roles-count_of_awaited_decisions",
    "TestKind": "formula-translates",
    "Subject": "Roles.CountOfAwaitedDecisions",
    "TargetTable": "Roles",
    "TargetField": "CountOfAwaitedDecisions",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Roles.CountOfAwaitedDecisions",
    "IsBlocking": true,
    "IsPassing": true,
    "IsFailing": false,
    "NeedsAttention": false,
    "PassingSuiteKey": "suite-substrate",
    "NeedsAttentionSuiteKey": null
   },
   {
    "TestCaseId": "tc-xlate-roles-current_assignment_valid_from",
    "TestKind": "formula-translates",
    "Subject": "Roles.CurrentAssignmentValidFrom",
    "TargetTable": "Roles",
    "TargetField": "CurrentAssignmentValidFrom",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Roles.CurrentAssignmentValidFrom",
    "IsBlocking": true,
    "IsPassing": true,
    "IsFailing": false,
    "NeedsAttention": false,
    "PassingSuiteKey": "suite-substrate",
    "NeedsAttentionSuiteKey": null
   },
   {
    "TestCaseId": "tc-xlate-roles-is_non_human_held",
    "TestKind": "formula-translates",
    "Subject": "Roles.IsNonHumanHeld",
    "TargetTable": "Roles",
    "TargetField": "IsNonHumanHeld",
    "Assertion": "The transpiler emitted a real SQL function for this formula rather than a NULL stub.",
    "DefendsQuestion": "q-policy-ai-no-role-assignment",
    "Suite": "suite-substrate",
    "Severity": "blocking",
    "LastOutcome": "PASS",
    "LastDetail": "translated",
    "LastRunAt": "2026-07-20T03:06:49+00:00",
    "SemanticTypeIri": "urn:effortless:pko-extension#TestCase",
    "Name": "formula-translates: Roles.IsNonHumanHeld",
    "IsBlocking": true,
    "IsPassing": true,
    "IsFailing": false,
    "NeedsAttention": false,
    "PassingSuiteKey": "suite-substrate",
    "NeedsAttentionSuiteKey": null
   },
   {
    "TestCaseId": "tc-xlate-roles-is_ungoverned_non_human_role",
    "TestKind": "formula-translates",
    "Subject": "Roles.IsUngovernedNonHumanRole",
    "TargetTable": "Roles",
    "TargetField": "IsUngovernedNonHumanRole",
    "Assertion": "The transpiler emitted a real SQL function for this formula rather than a NULL stub.",
    "DefendsQuestion": "q-policy-ai-no-role-assignment",
    "Suite": "suite-substrate",
    "Severity": "blocking",
    "LastOutcome": "PASS",
    "LastDetail": "translated",
    "LastRunAt": "2026-07-20T03:06:49+00:00",
    "SemanticTypeIri": "urn:effortless:pko-extension#TestCase",
    "Name": "formula-translates: Roles.IsUngovernedNonHumanRole",
    "IsBlocking": true,
    "IsPassing": true,
    "IsFailing": false,
    "NeedsAttention": false,
    "PassingSuiteKey": "suite-substrate",
    "NeedsAttentionSuiteKey": null
   },
   {
    "TestCaseId": "tc-xlate-roles-departed_assignment_count",
    "TestKind": "formula-translates",
    "Subject": "Roles.DepartedAssignmentCount",
    "TargetTable": "Roles",
    "TargetField": "DepartedAssignmentCount",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Roles.DepartedAssignmentCount",
    "IsBlocking": true,
    "IsPassing": true,
    "IsFailing": false,
    "NeedsAttention": false,
    "PassingSuiteKey": "suite-substrate",
    "NeedsAttentionSuiteKey": null
   },
   {
    "TestCaseId": "tc-xlate-roles-has_lost_a_holder",
    "TestKind": "formula-translates",
    "Subject": "Roles.HasLostAHolder",
    "TargetTable": "Roles",
    "TargetField": "HasLostAHolder",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Roles.HasLostAHolder",
    "IsBlocking": true,
    "IsPassing": true,
    "IsFailing": false,
    "NeedsAttention": false,
    "PassingSuiteKey": "suite-substrate",
    "NeedsAttentionSuiteKey": null
   },
   {
    "TestCaseId": "tc-xlate-roles-is_vacated_role",
    "TestKind": "formula-translates",
    "Subject": "Roles.IsVacatedRole",
    "TargetTable": "Roles",
    "TargetField": "IsVacatedRole",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Roles.IsVacatedRole",
    "IsBlocking": true,
    "IsPassing": true,
    "IsFailing": false,
    "NeedsAttention": false,
    "PassingSuiteKey": "suite-substrate",
    "NeedsAttentionSuiteKey": null
   },
   {
    "TestCaseId": "tc-xlate-roles-ungrounded_boundary_count",
    "TestKind": "formula-translates",
    "Subject": "Roles.UngroundedBoundaryCount",
    "TargetTable": "Roles",
    "TargetField": "UngroundedBoundaryCount",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Roles.UngroundedBoundaryCount",
    "IsBlocking": true,
    "IsPassing": true,
    "IsFailing": false,
    "NeedsAttention": false,
    "PassingSuiteKey": "suite-substrate",
    "NeedsAttentionSuiteKey": null
   },
   {
    "TestCaseId": "tc-xlate-roles-is_governed_by_lapsed_authority",
    "TestKind": "formula-translates",
    "Subject": "Roles.IsGovernedByLapsedAuthority",
    "TargetTable": "Roles",
    "TargetField": "IsGovernedByLapsedAuthority",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Roles.IsGovernedByLapsedAuthority",
    "IsBlocking": true,
    "IsPassing": true,
    "IsFailing": false,
    "NeedsAttention": false,
    "PassingSuiteKey": "suite-substrate",
    "NeedsAttentionSuiteKey": null
   },
   {
    "TestCaseId": "tc-xlate-roles-unescalated_refusal_count",
    "TestKind": "formula-translates",
    "Subject": "Roles.UnescalatedRefusalCount",
    "TargetTable": "Roles",
    "TargetField": "UnescalatedRefusalCount",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Roles.UnescalatedRefusalCount",
    "IsBlocking": true,
    "IsPassing": true,
    "IsFailing": false,
    "NeedsAttention": false,
    "PassingSuiteKey": "suite-substrate",
    "NeedsAttentionSuiteKey": null
   },
   {
    "TestCaseId": "tc-xlate-roles-unauthorized_enforcement_assignment_count",
    "TestKind": "formula-translates",
    "Subject": "Roles.UnauthorizedEnforcementAssignmentCount",
    "TargetTable": "Roles",
    "TargetField": "UnauthorizedEnforcementAssignmentCount",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Roles.UnauthorizedEnforcementAssignmentCount",
    "IsBlocking": true,
    "IsPassing": true,
    "IsFailing": false,
    "NeedsAttention": false,
    "PassingSuiteKey": "suite-substrate",
    "NeedsAttentionSuiteKey": null
   },
   {
    "TestCaseId": "tc-xlate-roles-is_ungoverned_enforcement_role",
    "TestKind": "formula-translates",
    "Subject": "Roles.IsUngovernedEnforcementRole",
    "TargetTable": "Roles",
    "TargetField": "IsUngovernedEnforcementRole",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Roles.IsUngovernedEnforcementRole",
    "IsBlocking": true,
    "IsPassing": true,
    "IsFailing": false,
    "NeedsAttention": false,
    "PassingSuiteKey": "suite-substrate",
    "NeedsAttentionSuiteKey": null
   },
   {
    "TestCaseId": "tc-xlate-role_assignments-name",
    "TestKind": "formula-translates",
    "Subject": "RoleAssignments.Name",
    "TargetTable": "RoleAssignments",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RoleAssignments.Name",
    "IsBlocking": true,
    "IsPassing": true,
    "IsFailing": false,
    "NeedsAttention": false,
    "PassingSuiteKey": "suite-substrate",
    "NeedsAttentionSuiteKey": null
   },
   {
    "TestCaseId": "tc-xlate-role_assignments-as_of_instant",
    "TestKind": "formula-translates",
    "Subject": "RoleAssignments.AsOfInstant",
    "TargetTable": "RoleAssignments",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RoleAssignments.AsOfInstant",
    "IsBlocking": true,
    "IsPassing": true,
    "IsFailing": false,
    "NeedsAttention": false,
    "PassingSuiteKey": "suite-substrate",
    "NeedsAttentionSuiteKey": null
   },
   {
    "TestCaseId": "tc-xlate-role_assignments-is_current",
    "TestKind": "formula-translates",
    "Subject": "RoleAssignments.IsCurrent",
    "TargetTable": "RoleAssignments",
    "TargetField": "IsCurrent",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RoleAssignments.IsCurrent",
    "IsBlocking": true,
    "IsPassing": true,
    "IsFailing": false,
    "NeedsAttention": false,
    "PassingSuiteKey": "suite-substrate",
    "NeedsAttentionSuiteKey": null
   },
   {
    "TestCaseId": "tc-xlate-role_assignments-current_agent_key",
    "TestKind": "formula-translates",
    "Subject": "RoleAssignments.CurrentAgentKey",
    "TargetTable": "RoleAssignments",
    "TargetField": "CurrentAgentKey",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RoleAssignments.CurrentAgentKey",
    "IsBlocking": true,
    "IsPassing": true,
    "IsFailing": false,
    "NeedsAttention": false,
    "PassingSuiteKey": "suite-substrate",
    "NeedsAttentionSuiteKey": null
   },
   {
    "TestCaseId": "tc-xlate-role_assignments-is_currently_valid",
    "TestKind": "formula-translates",
    "Subject": "RoleAssignments.IsCurrentlyValid",
    "TargetTable": "RoleAssignments",
    "TargetField": "IsCurrentlyValid",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RoleAssignments.IsCurrentlyValid",
    "IsBlocking": true,
    "IsPassing": true,
    "IsFailing": false,
    "NeedsAttention": false,
    "PassingSuiteKey": "suite-substrate",
    "NeedsAttentionSuiteKey": null
   },
   {
    "TestCaseId": "tc-xlate-role_assignments-agent_role_key",
    "TestKind": "formula-translates",
    "Subject": "RoleAssignments.AgentRoleKey",
    "TargetTable": "RoleAssignments",
    "TargetField": "AgentRoleKey",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RoleAssignments.AgentRoleKey",
    "IsBlocking": true,
    "IsPassing": true,
    "IsFailing": false,
    "NeedsAttention": false,
    "PassingSuiteKey": "suite-substrate",
    "NeedsAttentionSuiteKey": null
   },
   {
    "TestCaseId": "tc-xlate-role_assignments-has_departed",
    "TestKind": "formula-translates",
    "Subject": "RoleAssignments.HasDeparted",
    "TargetTable": "RoleAssignments",
    "TargetField": "HasDeparted",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RoleAssignments.HasDeparted",
    "IsBlocking": true,
    "IsPassing": true,
    "IsFailing": false,
    "NeedsAttention": false,
    "PassingSuiteKey": "suite-substrate",
    "NeedsAttentionSuiteKey": null
   },
   {
    "TestCaseId": "tc-xlate-role_assignments-covers_now",
    "TestKind": "formula-translates",
    "Subject": "RoleAssignments.CoversNow",
    "TargetTable": "RoleAssignments",
    "TargetField": "CoversNow",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RoleAssignments.CoversNow",
    "IsBlocking": true,
    "IsPassing": true,
    "IsFailing": false,
    "NeedsAttention": false,
    "PassingSuiteKey": "suite-substrate",
    "NeedsAttentionSuiteKey": null
   },
   {
    "TestCaseId": "tc-xlate-role_assignments-role_when_covering",
    "TestKind": "formula-translates",
    "Subject": "RoleAssignments.RoleWhenCovering",
    "TargetTable": "RoleAssignments",
    "TargetField": "RoleWhenCovering",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RoleAssignments.RoleWhenCovering",
    "IsBlocking": true,
    "IsPassing": true,
    "IsFailing": false,
    "NeedsAttention": false,
    "PassingSuiteKey": "suite-substrate",
    "NeedsAttentionSuiteKey": null
   },
   {
    "TestCaseId": "tc-xlate-role_assignments-agent_kind",
    "TestKind": "formula-translates",
    "Subject": "RoleAssignments.AgentKind",
    "TargetTable": "RoleAssignments",
    "TargetField": "AgentKind",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RoleAssignments.AgentKind",
    "IsBlocking": true,
    "IsPassing": true,
    "IsFailing": false,
    "NeedsAttention": false,
    "PassingSuiteKey": "suite-substrate",
    "NeedsAttentionSuiteKey": null
   },
   {
    "TestCaseId": "tc-xlate-role_assignments-is_non_human_assignment",
    "TestKind": "formula-translates",
    "Subject": "RoleAssignments.IsNonHumanAssignment",
    "TargetTable": "RoleAssignments",
    "TargetField": "IsNonHumanAssignment",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RoleAssignments.IsNonHumanAssignment",
    "IsBlocking": true,
    "IsPassing": true,
    "IsFailing": false,
    "NeedsAttention": false,
    "PassingSuiteKey": "suite-substrate",
    "NeedsAttentionSuiteKey": null
   },
   {
    "TestCaseId": "tc-xlate-role_assignments-predecessor_agent_kind",
    "TestKind": "formula-translates",
    "Subject": "RoleAssignments.PredecessorAgentKind",
    "TargetTable": "RoleAssignments",
    "TargetField": "PredecessorAgentKind",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RoleAssignments.PredecessorAgentKind",
    "IsBlocking": true,
    "IsPassing": true,
    "IsFailing": false,
    "NeedsAttention": false,
    "PassingSuiteKey": "suite-substrate",
    "NeedsAttentionSuiteKey": null
   },
   {
    "TestCaseId": "tc-xlate-role_assignments-is_human_to_non_human_handover",
    "TestKind": "formula-translates",
    "Subject": "RoleAssignments.IsHumanToNonHumanHandover",
    "TargetTable": "RoleAssignments",
    "TargetField": "IsHumanToNonHumanHandover",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RoleAssignments.IsHumanToNonHumanHandover",
    "IsBlocking": true,
    "IsPassing": true,
    "IsFailing": false,
    "NeedsAttention": false,
    "PassingSuiteKey": "suite-substrate",
    "NeedsAttentionSuiteKey": null
   },
   {
    "TestCaseId": "tc-xlate-role_assignments-is_unauthorized_non_human_assignment",
    "TestKind": "formula-translates",
    "Subject": "RoleAssignments.IsUnauthorizedNonHumanAssignment",
    "TargetTable": "RoleAssignments",
    "TargetField": "IsUnauthorizedNonHumanAssignment",
    "Assertion": "The transpiler emitted a real SQL function for this formula rather than a NULL stub.",
    "DefendsQuestion": "q-variance-ai-authority-provenance",
    "Suite": "suite-substrate",
    "Severity": "blocking",
    "LastOutcome": "PASS",
    "LastDetail": "translated",
    "LastRunAt": "2026-07-20T03:06:49+00:00",
    "SemanticTypeIri": "urn:effortless:pko-extension#TestCase",
    "Name": "formula-translates: RoleAssignments.IsUnauthorizedNonHumanAssignment",
    "IsBlocking": true,
    "IsPassing": true,
    "IsFailing": false,
    "NeedsAttention": false,
    "PassingSuiteKey": "suite-substrate",
    "NeedsAttentionSuiteKey": null
   },
   {
    "TestCaseId": "tc-xlate-role_assignments-was_authorized_by_change_request",
    "TestKind": "formula-translates",
    "Subject": "RoleAssignments.WasAuthorizedByChangeRequest",
    "TargetTable": "RoleAssignments",
    "TargetField": "WasAuthorizedByChangeRequest",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RoleAssignments.WasAuthorizedByChangeRequest",
    "IsBlocking": true,
    "IsPassing": true,
    "IsFailing": false,
    "NeedsAttention": false,
    "PassingSuiteKey": "suite-substrate",
    "NeedsAttentionSuiteKey": null
   },
   {
    "TestCaseId": "tc-xlate-role_assignments-decision_count",
    "TestKind": "formula-translates",
    "Subject": "RoleAssignments.DecisionCount",
    "TargetTable": "RoleAssignments",
    "TargetField": "DecisionCount",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RoleAssignments.DecisionCount",
    "IsBlocking": true,
    "IsPassing": true,
    "IsFailing": false,
    "NeedsAttention": false,
    "PassingSuiteKey": "suite-substrate",
    "NeedsAttentionSuiteKey": null
   },
   {
    "TestCaseId": "tc-xlate-role_assignments-overridden_decision_count",
    "TestKind": "formula-translates",
    "Subject": "RoleAssignments.OverriddenDecisionCount",
    "TargetTable": "RoleAssignments",
    "TargetField": "OverriddenDecisionCount",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RoleAssignments.OverriddenDecisionCount",
    "IsBlocking": true,
    "IsPassing": true,
    "IsFailing": false,
    "NeedsAttention": false,
    "PassingSuiteKey": "suite-substrate",
    "NeedsAttentionSuiteKey": null
   },
   {
    "TestCaseId": "tc-xlate-role_assignments-override_rate_percent",
    "TestKind": "formula-translates",
    "Subject": "RoleAssignments.OverrideRatePercent",
    "TargetTable": "RoleAssignments",
    "TargetField": "OverrideRatePercent",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RoleAssignments.OverrideRatePercent",
    "IsBlocking": true,
    "IsPassing": true,
    "IsFailing": false,
    "NeedsAttention": false,
    "PassingSuiteKey": "suite-substrate",
    "NeedsAttentionSuiteKey": null
   },
   {
    "TestCaseId": "tc-xlate-role_assignments-predecessor_override_rate_percent",
    "TestKind": "formula-translates",
    "Subject": "RoleAssignments.PredecessorOverrideRatePercent",
    "TargetTable": "RoleAssignments",
    "TargetField": "PredecessorOverrideRatePercent",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RoleAssignments.PredecessorOverrideRatePercent",
    "IsBlocking": true,
    "IsPassing": true,
    "IsFailing": false,
    "NeedsAttention": false,
    "PassingSuiteKey": "suite-substrate",
    "NeedsAttentionSuiteKey": null
   },
   {
    "TestCaseId": "tc-xlate-role_assignments-quality_regressed_vs_predecessor",
    "TestKind": "formula-translates",
    "Subject": "RoleAssignments.QualityRegressedVsPredecessor",
    "TargetTable": "RoleAssignments",
    "TargetField": "QualityRegressedVsPredecessor",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RoleAssignments.QualityRegressedVsPredecessor",
    "IsBlocking": true,
    "IsPassing": true,
    "IsFailing": false,
    "NeedsAttention": false,
    "PassingSuiteKey": "suite-substrate",
    "NeedsAttentionSuiteKey": null
   },
   {
    "TestCaseId": "tc-xlate-role_assignments-departed_role_key",
    "TestKind": "formula-translates",
    "Subject": "RoleAssignments.DepartedRoleKey",
    "TargetTable": "RoleAssignments",
    "TargetField": "DepartedRoleKey",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RoleAssignments.DepartedRoleKey",
    "IsBlocking": true,
    "IsPassing": true,
    "IsFailing": false,
    "NeedsAttention": false,
    "PassingSuiteKey": "suite-substrate",
    "NeedsAttentionSuiteKey": null
   },
   {
    "TestCaseId": "tc-xlate-role_assignments-predecessor_decision_count",
    "TestKind": "formula-translates",
    "Subject": "RoleAssignments.PredecessorDecisionCount",
    "TargetTable": "RoleAssignments",
    "TargetField": "PredecessorDecisionCount",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RoleAssignments.PredecessorDecisionCount",
    "IsBlocking": true,
    "IsPassing": true,
    "IsFailing": false,
    "NeedsAttention": false,
    "PassingSuiteKey": "suite-substrate",
    "NeedsAttentionSuiteKey": null
   },
   {
    "TestCaseId": "tc-xlate-role_assignments-has_sufficient_sample",
    "TestKind": "formula-translates",
    "Subject": "RoleAssignments.HasSufficientSample",
    "TargetTable": "RoleAssignments",
    "TargetField": "HasSufficientSample",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RoleAssignments.HasSufficientSample",
    "IsBlocking": true,
    "IsPassing": true,
    "IsFailing": false,
    "NeedsAttention": false,
    "PassingSuiteKey": "suite-substrate",
    "NeedsAttentionSuiteKey": null
   },
   {
    "TestCaseId": "tc-xlate-role_assignments-predecessor_has_sufficient_sample",
    "TestKind": "formula-translates",
    "Subject": "RoleAssignments.PredecessorHasSufficientSample",
    "TargetTable": "RoleAssignments",
    "TargetField": "PredecessorHasSufficientSample",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RoleAssignments.PredecessorHasSufficientSample",
    "IsBlocking": true,
    "IsPassing": true,
    "IsFailing": false,
    "NeedsAttention": false,
    "PassingSuiteKey": "suite-substrate",
    "NeedsAttentionSuiteKey": null
   },
   {
    "TestCaseId": "tc-xlate-role_assignments-comparison_is_evidentially_sound",
    "TestKind": "formula-translates",
    "Subject": "RoleAssignments.ComparisonIsEvidentiallySound",
    "TargetTable": "RoleAssignments",
    "TargetField": "ComparisonIsEvident</t>
  </si>
  <si>
    <t xml:space="preserve">iallySound",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RoleAssignments.ComparisonIsEvidentiallySound",
    "IsBlocking": true,
    "IsPassing": true,
    "IsFailing": false,
    "NeedsAttention": false,
    "PassingSuiteKey": "suite-substrate",
    "NeedsAttentionSuiteKey": null
   },
   {
    "TestCaseId": "tc-xlate-role_assignments-single_override_swing_percent",
    "TestKind": "formula-translates",
    "Subject": "RoleAssignments.SingleOverrideSwingPercent",
    "TargetTable": "RoleAssignments",
    "TargetField": "SingleOverrideSwingPercent",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RoleAssignments.SingleOverrideSwingPercent",
    "IsBlocking": true,
    "IsPassing": true,
    "IsFailing": false,
    "NeedsAttention": false,
    "PassingSuiteKey": "suite-substrate",
    "NeedsAttentionSuiteKey": null
   },
   {
    "TestCaseId": "tc-xlate-role_assignments-quality_verdict_is_unsupported",
    "TestKind": "formula-translates",
    "Subject": "RoleAssignments.QualityVerdictIsUnsupported",
    "TargetTable": "RoleAssignments",
    "TargetField": "QualityVerdictIsUnsupported",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RoleAssignments.QualityVerdictIsUnsupported",
    "IsBlocking": true,
    "IsPassing": true,
    "IsFailing": false,
    "NeedsAttention": false,
    "PassingSuiteKey": "suite-substrate",
    "NeedsAttentionSuiteKey": null
   },
   {
    "TestCaseId": "tc-xlate-role_assignments-is_unmeasured_automation_handover",
    "TestKind": "formula-translates",
    "Subject": "RoleAssignments.IsUnmeasuredAutomationHandover",
    "TargetTable": "RoleAssignments",
    "TargetField": "IsUnmeasuredAutomationHandover",
    "Assertion": "The transpiler emitted a real SQL function for this formula rather than a NULL stub.",
    "DefendsQuestion": "q2-variance-comparison-is-statistically-empty",
    "Suite": "suite-substrate",
    "Severity": "blocking",
    "LastOutcome": "PASS",
    "LastDetail": "translated",
    "LastRunAt": "2026-07-20T03:06:49+00:00",
    "SemanticTypeIri": "urn:effortless:pko-extension#TestCase",
    "Name": "formula-translates: RoleAssignments.IsUnmeasuredAutomationHandover",
    "IsBlocking": true,
    "IsPassing": true,
    "IsFailing": false,
    "NeedsAttention": false,
    "PassingSuiteKey": "suite-substrate",
    "NeedsAttentionSuiteKey": null
   },
   {
    "TestCaseId": "tc-xlate-role_assignments-error_correction_count",
    "TestKind": "formula-translates",
    "Subject": "RoleAssignments.ErrorCorrectionCount",
    "TargetTable": "RoleAssignments",
    "TargetField": "ErrorCorrectionCount",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RoleAssignments.ErrorCorrectionCount",
    "IsBlocking": true,
    "IsPassing": true,
    "IsFailing": false,
    "NeedsAttention": false,
    "PassingSuiteKey": "suite-substrate",
    "NeedsAttentionSuiteKey": null
   },
   {
    "TestCaseId": "tc-xlate-role_assignments-error_rate_percent",
    "TestKind": "formula-translates",
    "Subject": "RoleAssignments.ErrorRatePercent",
    "TargetTable": "RoleAssignments",
    "TargetField": "ErrorRatePercent",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RoleAssignments.ErrorRatePercent",
    "IsBlocking": true,
    "IsPassing": true,
    "IsFailing": false,
    "NeedsAttention": false,
    "PassingSuiteKey": "suite-substrate",
    "NeedsAttentionSuiteKey": null
   },
   {
    "TestCaseId": "tc-xlate-role_assignments-has_dated_authorization",
    "TestKind": "formula-translates",
    "Subject": "RoleAssignments.HasDatedAuthorization",
    "TargetTable": "RoleAssignments",
    "TargetField": "HasDatedAuthorization",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RoleAssignments.HasDatedAuthorization",
    "IsBlocking": true,
    "IsPassing": true,
    "IsFailing": false,
    "NeedsAttention": false,
    "PassingSuiteKey": "suite-substrate",
    "NeedsAttentionSuiteKey": null
   },
   {
    "TestCaseId": "tc-xlate-role_assignments-days_since_authorization_review",
    "TestKind": "formula-translates",
    "Subject": "RoleAssignments.DaysSinceAuthorizationReview",
    "TargetTable": "RoleAssignments",
    "TargetField": "DaysSinceAuthorizationReview",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RoleAssignments.DaysSinceAuthorizationReview",
    "IsBlocking": true,
    "IsPassing": true,
    "IsFailing": false,
    "NeedsAttention": false,
    "PassingSuiteKey": "suite-substrate",
    "NeedsAttentionSuiteKey": null
   },
   {
    "TestCaseId": "tc-xlate-role_assignments-authorization_is_overdue_for_review",
    "TestKind": "formula-translates",
    "Subject": "RoleAssignments.AuthorizationIsOverdueForReview",
    "TargetTable": "RoleAssignments",
    "TargetField": "AuthorizationIsOverdueForReview",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RoleAssignments.AuthorizationIsOverdueForReview",
    "IsBlocking": true,
    "IsPassing": true,
    "IsFailing": false,
    "NeedsAttention": false,
    "PassingSuiteKey": "suite-substrate",
    "NeedsAttentionSuiteKey": null
   },
   {
    "TestCaseId": "tc-xlate-role_assignments-is_standing_unreviewed_automation",
    "TestKind": "formula-translates",
    "Subject": "RoleAssignments.IsStandingUnreviewedAutomation",
    "TargetTable": "RoleAssignments",
    "TargetField": "IsStandingUnreviewedAutomation",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RoleAssignments.IsStandingUnreviewedAutomation",
    "IsBlocking": true,
    "IsPassing": true,
    "IsFailing": false,
    "NeedsAttention": false,
    "PassingSuiteKey": "suite-substrate",
    "NeedsAttentionSuiteKey": null
   },
   {
    "TestCaseId": "tc-xlate-role_assignments-is_unconditioned_automation_handover",
    "TestKind": "formula-translates",
    "Subject": "RoleAssignments.IsUnconditionedAutomationHandover",
    "TargetTable": "RoleAssignments",
    "TargetField": "IsUnconditionedAutomationHandover",
    "Assertion": "The transpiler emitted a real SQL function for this formula rather than a NULL stub.",
    "DefendsQuestion": "q2-variance-handover-was-a-decision-somebody-made",
    "Suite": "suite-substrate",
    "Severity": "blocking",
    "LastOutcome": "PASS",
    "LastDetail": "translated",
    "LastRunAt": "2026-07-20T03:06:49+00:00",
    "SemanticTypeIri": "urn:effortless:pko-extension#TestCase",
    "Name": "formula-translates: RoleAssignments.IsUnconditionedAutomationHandover",
    "IsBlocking": true,
    "IsPassing": true,
    "IsFailing": false,
    "NeedsAttention": false,
    "PassingSuiteKey": "suite-substrate",
    "NeedsAttentionSuiteKey": null
   },
   {
    "TestCaseId": "tc-xlate-role_assignments-exceeds_tolerable_error_rate",
    "TestKind": "formula-translates",
    "Subject": "RoleAssignments.ExceedsTolerableErrorRate",
    "TargetTable": "RoleAssignments",
    "TargetField": "ExceedsTolerableErrorRate",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RoleAssignments.ExceedsTolerableErrorRate",
    "IsBlocking": true,
    "IsPassing": true,
    "IsFailing": false,
    "NeedsAttention": false,
    "PassingSuiteKey": "suite-substrate",
    "NeedsAttentionSuiteKey": null
   },
   {
    "TestCaseId": "tc-xlate-role_assignments-boundary_violation_count_for_assignment",
    "TestKind": "formula-translates",
    "Subject": "RoleAssignments.BoundaryViolationCountForAssignment",
    "TargetTable": "RoleAssignments",
    "TargetField": "BoundaryViolationCountForAssignment",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RoleAssignments.BoundaryViolationCountForAssignment",
    "IsBlocking": true,
    "IsPassing": true,
    "IsFailing": false,
    "NeedsAttention": false,
    "PassingSuiteKey": "suite-substrate",
    "NeedsAttentionSuiteKey": null
   },
   {
    "TestCaseId": "tc-xlate-role_assignments-has_any_boundary_violation",
    "TestKind": "formula-translates",
    "Subject": "RoleAssignments.HasAnyBoundaryViolation",
    "TargetTable": "RoleAssignments",
    "TargetField": "HasAnyBoundaryViolation",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RoleAssignments.HasAnyBoundaryViolation",
    "IsBlocking": true,
    "IsPassing": true,
    "IsFailing": false,
    "NeedsAttention": false,
    "PassingSuiteKey": "suite-substrate",
    "NeedsAttentionSuiteKey": null
   },
   {
    "TestCaseId": "tc-xlate-role_assignments-has_ungrounded_governing_boundary",
    "TestKind": "formula-translates",
    "Subject": "RoleAssignments.HasUngroundedGoverningBoundary",
    "TargetTable": "RoleAssignments",
    "TargetField": "HasUngroundedGoverningBoundary",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RoleAssignments.HasUngroundedGoverningBoundary",
    "IsBlocking": true,
    "IsPassing": true,
    "IsFailing": false,
    "NeedsAttention": false,
    "PassingSuiteKey": "suite-substrate",
    "NeedsAttentionSuiteKey": null
   },
   {
    "TestCaseId": "tc-xlate-role_assignments-suspension_condition_met",
    "TestKind": "formula-translates",
    "Subject": "RoleAssignments.SuspensionConditionMet",
    "TargetTable": "RoleAssignments",
    "TargetField": "SuspensionConditionMet",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RoleAssignments.SuspensionConditionMet",
    "IsBlocking": true,
    "IsPassing": true,
    "IsFailing": false,
    "NeedsAttention": false,
    "PassingSuiteKey": "suite-substrate",
    "NeedsAttentionSuiteKey": null
   },
   {
    "TestCaseId": "tc-xlate-role_assignments-is_operating_under_met_suspension_condition",
    "TestKind": "formula-translates",
    "Subject": "RoleAssignments.IsOperatingUnderMetSuspensionCondition",
    "TargetTable": "RoleAssignments",
    "TargetField": "IsOperatingUnderMetSuspensionCondition",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RoleAssignments.IsOperatingUnderMetSuspensionCondition",
    "IsBlocking": true,
    "IsPassing": true,
    "IsFailing": false,
    "NeedsAttention": false,
    "PassingSuiteKey": "suite-substrate",
    "NeedsAttentionSuiteKey": null
   },
   {
    "TestCaseId": "tc-xlate-role_assignments-has_declared_suspension_condition",
    "TestKind": "formula-translates",
    "Subject": "RoleAssignments.HasDeclaredSuspensionCondition",
    "TargetTable": "RoleAssignments",
    "TargetField": "HasDeclaredSuspensionCondition",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RoleAssignments.HasDeclaredSuspensionCondition",
    "IsBlocking": true,
    "IsPassing": true,
    "IsFailing": false,
    "NeedsAttention": false,
    "PassingSuiteKey": "suite-substrate",
    "NeedsAttentionSuiteKey": null
   },
   {
    "TestCaseId": "tc-xlate-role_assignments-has_approving_authority",
    "TestKind": "formula-translates",
    "Subject": "RoleAssignments.HasApprovingAuthority",
    "TargetTable": "RoleAssignments",
    "TargetField": "HasApprovingAuthority",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RoleAssignments.HasApprovingAuthority",
    "IsBlocking": true,
    "IsPassing": true,
    "IsFailing": false,
    "NeedsAttention": false,
    "PassingSuiteKey": "suite-substrate",
    "NeedsAttentionSuiteKey": null
   },
   {
    "TestCaseId": "tc-xlate-role_assignments-has_authorizing_change_request",
    "TestKind": "formula-translates",
    "Subject": "RoleAssignments.HasAuthorizingChangeRequest",
    "TargetTable": "RoleAssignments",
    "TargetField": "HasAuthorizingChangeRequest",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RoleAssignments.HasAuthorizingChangeRequest",
    "IsBlocking": true,
    "IsPassing": true,
    "IsFailing": false,
    "NeedsAttention": false,
    "PassingSuiteKey": "suite-substrate",
    "NeedsAttentionSuiteKey": null
   },
   {
    "TestCaseId": "tc-xlate-role_assignments-is_unauthorized_enforcement_agent",
    "TestKind": "formula-translates",
    "Subject": "RoleAssignments.IsUnauthorizedEnforcementAgent",
    "TargetTable": "RoleAssignments",
    "TargetField": "IsUnauthorizedEnforcementAgent",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RoleAssignments.IsUnauthorizedEnforcementAgent",
    "IsBlocking": true,
    "IsPassing": true,
    "IsFailing": false,
    "NeedsAttention": false,
    "PassingSuiteKey": "suite-substrate",
    "NeedsAttentionSuiteKey": null
   },
   {
    "TestCaseId": "tc-xlate-role_assignments-governance_evidence_count",
    "TestKind": "formula-translates",
    "Subject": "RoleAssignments.GovernanceEvidenceCount",
    "TargetTable": "RoleAssignments",
    "TargetField": "GovernanceEvidenceCount",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RoleAssignments.GovernanceEvidenceCount",
    "IsBlocking": true,
    "IsPassing": true,
    "IsFailing": false,
    "NeedsAttention": false,
    "PassingSuiteKey": "suite-substrate",
    "NeedsAttentionSuiteKey": null
   },
   {
    "TestCaseId": "tc-xlate-role_assignments-unauthorized_enforcement_role_key",
    "TestKind": "formula-translates",
    "Subject": "RoleAssignments.UnauthorizedEnforcementRoleKey",
    "TargetTable": "RoleAssignments",
    "TargetField": "UnauthorizedEnforcementRoleKey",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RoleAssignments.UnauthorizedEnforcementRoleKey",
    "IsBlocking": true,
    "IsPassing": true,
    "IsFailing": false,
    "NeedsAttention": false,
    "PassingSuiteKey": "suite-substrate",
    "NeedsAttentionSuiteKey": null
   },
   {
    "TestCaseId": "tc-xlate-communities_of_practice-name",
    "TestKind": "formula-translates",
    "Subject": "CommunitiesOfPractice.Name",
    "TargetTable": "CommunitiesOfPractice",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CommunitiesOfPractice.Name",
    "IsBlocking": true,
    "IsPassing": true,
    "IsFailing": false,
    "NeedsAttention": false,
    "PassingSuiteKey": "suite-substrate",
    "NeedsAttentionSuiteKey": null
   },
   {
    "TestCaseId": "tc-xlate-mentorships-name",
    "TestKind": "formula-translates",
    "Subject": "Mentorships.Name",
    "TargetTable": "Mentorships",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Mentorships.Name",
    "IsBlocking": true,
    "IsPassing": true,
    "IsFailing": false,
    "NeedsAttention": false,
    "PassingSuiteKey": "suite-substrate",
    "NeedsAttentionSuiteKey": null
   },
   {
    "TestCaseId": "tc-xlate-procedure_types-name",
    "TestKind": "formula-translates",
    "Subject": "ProcedureTypes.Name",
    "TargetTable": "ProcedureTypes",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ProcedureTypes.Name",
    "IsBlocking": true,
    "IsPassing": true,
    "IsFailing": false,
    "NeedsAttention": false,
    "PassingSuiteKey": "suite-substrate",
    "NeedsAttentionSuiteKey": null
   },
   {
    "TestCaseId": "tc-xlate-procedures-name",
    "TestKind": "formula-translates",
    "Subject": "Procedures.Name",
    "TargetTable": "Procedures",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Procedures.Name",
    "IsBlocking": true,
    "IsPassing": true,
    "IsFailing": false,
    "NeedsAttention": false,
    "PassingSuiteKey": "suite-substrate",
    "NeedsAttentionSuiteKey": null
   },
   {
    "TestCaseId": "tc-xlate-procedure_versions-name",
    "TestKind": "formula-translates",
    "Subject": "ProcedureVersions.Name",
    "TargetTable": "ProcedureVersions",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ProcedureVersions.Name",
    "IsBlocking": true,
    "IsPassing": true,
    "IsFailing": false,
    "NeedsAttention": false,
    "PassingSuiteKey": "suite-substrate",
    "NeedsAttentionSuiteKey": null
   },
   {
    "TestCaseId": "tc-xlate-procedure_versions-count_of_steps",
    "TestKind": "formula-translates",
    "Subject": "ProcedureVersions.CountOfSteps",
    "TargetTable": "ProcedureVersions",
    "TargetField": "CountOfSteps",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ProcedureVersions.CountOfSteps",
    "IsBlocking": true,
    "IsPassing": true,
    "IsFailing": false,
    "NeedsAttention": false,
    "PassingSuiteKey": "suite-substrate",
    "NeedsAttentionSuiteKey": null
   },
   {
    "TestCaseId": "tc-xlate-procedure_versions-count_of_open_knowledge_gaps",
    "TestKind": "formula-translates",
    "Subject": "ProcedureVersions.CountOfOpenKnowledgeGaps",
    "TargetTable": "ProcedureVersions",
    "TargetField": "CountOfOpenKnowledgeGaps",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ProcedureVersions.CountOfOpenKnowledgeGaps",
    "IsBlocking": true,
    "IsPassing": true,
    "IsFailing": false,
    "NeedsAttention": false,
    "PassingSuiteKey": "suite-substrate",
    "NeedsAttentionSuiteKey": null
   },
   {
    "TestCaseId": "tc-xlate-procedure_versions-is_ready_for_execution",
    "TestKind": "formula-translates",
    "Subject": "ProcedureVersions.IsReadyForExecution",
    "TargetTable": "ProcedureVersions",
    "TargetField": "IsReadyForExecution",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ProcedureVersions.IsReadyForExecution",
    "IsBlocking": true,
    "IsPassing": true,
    "IsFailing": false,
    "NeedsAttention": false,
    "PassingSuiteKey": "suite-substrate",
    "NeedsAttentionSuiteKey": null
   },
   {
    "TestCaseId": "tc-xlate-procedure_versions-specified_step_count",
    "TestKind": "formula-translates",
    "Subject": "ProcedureVersions.SpecifiedStepCount",
    "TargetTable": "ProcedureVersions",
    "TargetField": "SpecifiedStepCount",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ProcedureVersions.SpecifiedStepCount",
    "IsBlocking": true,
    "IsPassing": true,
    "IsFailing": false,
    "NeedsAttention": false,
    "PassingSuiteKey": "suite-substrate",
    "NeedsAttentionSuiteKey": null
   },
   {
    "TestCaseId": "tc-xlate-procedure_versions-overdue_review_count",
    "TestKind": "formula-translates",
    "Subject": "ProcedureVersions.OverdueReviewCount",
    "TargetTable": "ProcedureVersions",
    "TargetField": "OverdueReviewCount",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ProcedureVersions.OverdueReviewCount",
    "IsBlocking": true,
    "IsPassing": true,
    "IsFailing": false,
    "NeedsAttention": false,
    "PassingSuiteKey": "suite-substrate",
    "NeedsAttentionSuiteKey": null
   },
   {
    "TestCaseId": "tc-xlate-procedure_versions-open_change_request_count",
    "TestKind": "formula-translates",
    "Subject": "ProcedureVersions.OpenChangeRequestCount",
    "TargetTable": "ProcedureVersions",
    "TargetField": "OpenChangeRequestCount",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ProcedureVersions.OpenChangeRequestCount",
    "IsBlocking": true,
    "IsPassing": true,
    "IsFailing": false,
    "NeedsAttention": false,
    "PassingSuiteKey": "suite-substrate",
    "NeedsAttentionSuiteKey": null
   },
   {
    "TestCaseId": "tc-xlate-procedure_versions-open_high_severity_gap_count",
    "TestKind": "formula-translates",
    "Subject": "ProcedureVersions.OpenHighSeverityGapCount",
    "TargetTable": "ProcedureVersions",
    "TargetField": "OpenHighSeverityGapCount",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ProcedureVersions.OpenHighSeverityGapCount",
    "IsBlocking": true,
    "IsPassing": true,
    "IsFailing": false,
    "NeedsAttention": false,
    "PassingSuiteKey": "suite-substrate",
    "NeedsAttentionSuiteKey": null
   },
   {
    "TestCaseId": "tc-xlate-procedure_versions-is_fit_to_execute",
    "TestKind": "formula-translates",
    "Subject": "ProcedureVersions.IsFitToExecute",
    "TargetTable": "ProcedureVersions",
    "TargetField": "IsFitToExecute",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ProcedureVersions.IsFitToExecute",
    "IsBlocking": true,
    "IsPassing": true,
    "IsFailing": false,
    "NeedsAttention": false,
    "PassingSuiteKey": "suite-substrate",
    "NeedsAttentionSuiteKey": null
   },
   {
    "TestCaseId": "tc-xlate-procedure_versions-steward_review_cadence_days",
    "TestKind": "formula-translates",
    "Subject": "ProcedureVersions.StewardReviewCadenceDays",
    "TargetTable": "ProcedureVersions",
    "TargetField": "StewardReviewCadenceDays",
    "Assertion": "The transpiler emitted a real SQL function for this formula rather than a NULL stub.",
    "DefendsQuestion": "q-steward-cadence-breach"</t>
  </si>
  <si>
    <t xml:space="preserve">,
    "Suite": "suite-substrate",
    "Severity": "blocking",
    "LastOutcome": "PASS",
    "LastDetail": "translated",
    "LastRunAt": "2026-07-20T03:06:49+00:00",
    "SemanticTypeIri": "urn:effortless:pko-extension#TestCase",
    "Name": "formula-translates: ProcedureVersions.StewardReviewCadenceDays",
    "IsBlocking": true,
    "IsPassing": true,
    "IsFailing": false,
    "NeedsAttention": false,
    "PassingSuiteKey": "suite-substrate",
    "NeedsAttentionSuiteKey": null
   },
   {
    "TestCaseId": "tc-xlate-procedure_versions-count_of_stewardship_assignments",
    "TestKind": "formula-translates",
    "Subject": "ProcedureVersions.CountOfStewardshipAssignments",
    "TargetTable": "ProcedureVersions",
    "TargetField": "CountOfStewardshipAssignments",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ProcedureVersions.CountOfStewardshipAssignments",
    "IsBlocking": true,
    "IsPassing": true,
    "IsFailing": false,
    "NeedsAttention": false,
    "PassingSuiteKey": "suite-substrate",
    "NeedsAttentionSuiteKey": null
   },
   {
    "TestCaseId": "tc-xlate-procedure_versions-has_any_steward",
    "TestKind": "formula-translates",
    "Subject": "ProcedureVersions.HasAnySteward",
    "TargetTable": "ProcedureVersions",
    "TargetField": "HasAnySteward",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ProcedureVersions.HasAnySteward",
    "IsBlocking": true,
    "IsPassing": true,
    "IsFailing": false,
    "NeedsAttention": false,
    "PassingSuiteKey": "suite-substrate",
    "NeedsAttentionSuiteKey": null
   },
   {
    "TestCaseId": "tc-xlate-procedure_versions-is_live",
    "TestKind": "formula-translates",
    "Subject": "ProcedureVersions.IsLive",
    "TargetTable": "ProcedureVersions",
    "TargetField": "IsLive",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ProcedureVersions.IsLive",
    "IsBlocking": true,
    "IsPassing": true,
    "IsFailing": false,
    "NeedsAttention": false,
    "PassingSuiteKey": "suite-substrate",
    "NeedsAttentionSuiteKey": null
   },
   {
    "TestCaseId": "tc-xlate-procedure_versions-is_unstewarded",
    "TestKind": "formula-translates",
    "Subject": "ProcedureVersions.IsUnstewarded",
    "TargetTable": "ProcedureVersions",
    "TargetField": "IsUnstewarded",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ProcedureVersions.IsUnstewarded",
    "IsBlocking": true,
    "IsPassing": true,
    "IsFailing": false,
    "NeedsAttention": false,
    "PassingSuiteKey": "suite-substrate",
    "NeedsAttentionSuiteKey": null
   },
   {
    "TestCaseId": "tc-xlate-procedure_versions-is_live_and_unstewarded",
    "TestKind": "formula-translates",
    "Subject": "ProcedureVersions.IsLiveAndUnstewarded",
    "TargetTable": "ProcedureVersions",
    "TargetField": "IsLiveAndUnstewarded",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ProcedureVersions.IsLiveAndUnstewarded",
    "IsBlocking": true,
    "IsPassing": true,
    "IsFailing": false,
    "NeedsAttention": false,
    "PassingSuiteKey": "suite-substrate",
    "NeedsAttentionSuiteKey": null
   },
   {
    "TestCaseId": "tc-xlate-procedure_versions-count_of_open_blocking_gaps",
    "TestKind": "formula-translates",
    "Subject": "ProcedureVersions.CountOfOpenBlockingGaps",
    "TargetTable": "ProcedureVersions",
    "TargetField": "CountOfOpenBlockingGaps",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ProcedureVersions.CountOfOpenBlockingGaps",
    "IsBlocking": true,
    "IsPassing": true,
    "IsFailing": false,
    "NeedsAttention": false,
    "PassingSuiteKey": "suite-substrate",
    "NeedsAttentionSuiteKey": null
   },
   {
    "TestCaseId": "tc-xlate-procedure_versions-has_open_blocking_gap",
    "TestKind": "formula-translates",
    "Subject": "ProcedureVersions.HasOpenBlockingGap",
    "TargetTable": "ProcedureVersions",
    "TargetField": "HasOpenBlockingGap",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ProcedureVersions.HasOpenBlockingGap",
    "IsBlocking": true,
    "IsPassing": true,
    "IsFailing": false,
    "NeedsAttention": false,
    "PassingSuiteKey": "suite-substrate",
    "NeedsAttentionSuiteKey": null
   },
   {
    "TestCaseId": "tc-xlate-procedure_versions-is_live_with_blocking_gap",
    "TestKind": "formula-translates",
    "Subject": "ProcedureVersions.IsLiveWithBlockingGap",
    "TargetTable": "ProcedureVersions",
    "TargetField": "IsLiveWithBlockingGap",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ProcedureVersions.IsLiveWithBlockingGap",
    "IsBlocking": true,
    "IsPassing": true,
    "IsFailing": false,
    "NeedsAttention": false,
    "PassingSuiteKey": "suite-substrate",
    "NeedsAttentionSuiteKey": null
   },
   {
    "TestCaseId": "tc-xlate-procedure_versions-should_not_be_executable",
    "TestKind": "formula-translates",
    "Subject": "ProcedureVersions.ShouldNotBeExecutable",
    "TargetTable": "ProcedureVersions",
    "TargetField": "ShouldNotBeExecutable",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ProcedureVersions.ShouldNotBeExecutable",
    "IsBlocking": true,
    "IsPassing": true,
    "IsFailing": false,
    "NeedsAttention": false,
    "PassingSuiteKey": "suite-substrate",
    "NeedsAttentionSuiteKey": null
   },
   {
    "TestCaseId": "tc-xlate-procedure_versions-count_of_unapproved_reliance_fragments",
    "TestKind": "formula-translates",
    "Subject": "ProcedureVersions.CountOfUnapprovedRelianceFragments",
    "TargetTable": "ProcedureVersions",
    "TargetField": "CountOfUnapprovedRelianceFragments",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ProcedureVersions.CountOfUnapprovedRelianceFragments",
    "IsBlocking": true,
    "IsPassing": true,
    "IsFailing": false,
    "NeedsAttention": false,
    "PassingSuiteKey": "suite-substrate",
    "NeedsAttentionSuiteKey": null
   },
   {
    "TestCaseId": "tc-xlate-procedure_versions-runs_on_unapproved_knowledge",
    "TestKind": "formula-translates",
    "Subject": "ProcedureVersions.RunsOnUnapprovedKnowledge",
    "TargetTable": "ProcedureVersions",
    "TargetField": "RunsOnUnapprovedKnowledge",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ProcedureVersions.RunsOnUnapprovedKnowledge",
    "IsBlocking": true,
    "IsPassing": true,
    "IsFailing": false,
    "NeedsAttention": false,
    "PassingSuiteKey": "suite-substrate",
    "NeedsAttentionSuiteKey": null
   },
   {
    "TestCaseId": "tc-xlate-procedure_versions-count_of_overdue_gaps",
    "TestKind": "formula-translates",
    "Subject": "ProcedureVersions.CountOfOverdueGaps",
    "TargetTable": "ProcedureVersions",
    "TargetField": "CountOfOverdueGaps",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ProcedureVersions.CountOfOverdueGaps",
    "IsBlocking": true,
    "IsPassing": true,
    "IsFailing": false,
    "NeedsAttention": false,
    "PassingSuiteKey": "suite-substrate",
    "NeedsAttentionSuiteKey": null
   },
   {
    "TestCaseId": "tc-xlate-procedure_versions-count_of_change_requests",
    "TestKind": "formula-translates",
    "Subject": "ProcedureVersions.CountOfChangeRequests",
    "TargetTable": "ProcedureVersions",
    "TargetField": "CountOfChangeRequests",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ProcedureVersions.CountOfChangeRequests",
    "IsBlocking": true,
    "IsPassing": true,
    "IsFailing": false,
    "NeedsAttention": false,
    "PassingSuiteKey": "suite-substrate",
    "NeedsAttentionSuiteKey": null
   },
   {
    "TestCaseId": "tc-xlate-procedure_versions-count_of_review_events",
    "TestKind": "formula-translates",
    "Subject": "ProcedureVersions.CountOfReviewEvents",
    "TargetTable": "ProcedureVersions",
    "TargetField": "CountOfReviewEvents",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ProcedureVersions.CountOfReviewEvents",
    "IsBlocking": true,
    "IsPassing": true,
    "IsFailing": false,
    "NeedsAttention": false,
    "PassingSuiteKey": "suite-substrate",
    "NeedsAttentionSuiteKey": null
   },
   {
    "TestCaseId": "tc-xlate-procedure_versions-has_governance_record",
    "TestKind": "formula-translates",
    "Subject": "ProcedureVersions.HasGovernanceRecord",
    "TargetTable": "ProcedureVersions",
    "TargetField": "HasGovernanceRecord",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ProcedureVersions.HasGovernanceRecord",
    "IsBlocking": true,
    "IsPassing": true,
    "IsFailing": false,
    "NeedsAttention": false,
    "PassingSuiteKey": "suite-substrate",
    "NeedsAttentionSuiteKey": null
   },
   {
    "TestCaseId": "tc-xlate-procedure_versions-as_of_instant",
    "TestKind": "formula-translates",
    "Subject": "ProcedureVersions.AsOfInstant",
    "TargetTable": "ProcedureVersions",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ProcedureVersions.AsOfInstant",
    "IsBlocking": true,
    "IsPassing": true,
    "IsFailing": false,
    "NeedsAttention": false,
    "PassingSuiteKey": "suite-substrate",
    "NeedsAttentionSuiteKey": null
   },
   {
    "TestCaseId": "tc-xlate-procedure_versions-days_since_modified",
    "TestKind": "formula-translates",
    "Subject": "ProcedureVersions.DaysSinceModified",
    "TargetTable": "ProcedureVersions",
    "TargetField": "DaysSinceModified",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ProcedureVersions.DaysSinceModified",
    "IsBlocking": true,
    "IsPassing": true,
    "IsFailing": false,
    "NeedsAttention": false,
    "PassingSuiteKey": "suite-substrate",
    "NeedsAttentionSuiteKey": null
   },
   {
    "TestCaseId": "tc-xlate-procedure_versions-days_since_last_review",
    "TestKind": "formula-translates",
    "Subject": "ProcedureVersions.DaysSinceLastReview",
    "TargetTable": "ProcedureVersions",
    "TargetField": "DaysSinceLastReview",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ProcedureVersions.DaysSinceLastReview",
    "IsBlocking": true,
    "IsPassing": true,
    "IsFailing": false,
    "NeedsAttention": false,
    "PassingSuiteKey": "suite-substrate",
    "NeedsAttentionSuiteKey": null
   },
   {
    "TestCaseId": "tc-xlate-procedure_versions-was_modified_since_last_review",
    "TestKind": "formula-translates",
    "Subject": "ProcedureVersions.WasModifiedSinceLastReview",
    "TargetTable": "ProcedureVersions",
    "TargetField": "WasModifiedSinceLastReview",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ProcedureVersions.WasModifiedSinceLastReview",
    "IsBlocking": true,
    "IsPassing": true,
    "IsFailing": false,
    "NeedsAttention": false,
    "PassingSuiteKey": "suite-substrate",
    "NeedsAttentionSuiteKey": null
   },
   {
    "TestCaseId": "tc-xlate-procedure_versions-modifier_is_authority",
    "TestKind": "formula-translates",
    "Subject": "ProcedureVersions.ModifierIsAuthority",
    "TargetTable": "ProcedureVersions",
    "TargetField": "ModifierIsAuthority",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ProcedureVersions.ModifierIsAuthority",
    "IsBlocking": true,
    "IsPassing": true,
    "IsFailing": false,
    "NeedsAttention": false,
    "PassingSuiteKey": "suite-substrate",
    "NeedsAttentionSuiteKey": null
   },
   {
    "TestCaseId": "tc-xlate-procedure_versions-has_unwitnessed_change",
    "TestKind": "formula-translates",
    "Subject": "ProcedureVersions.HasUnwitnessedChange",
    "TargetTable": "ProcedureVersions",
    "TargetField": "HasUnwitnessedChange",
    "Assertion": "The transpiler emitted a real SQL function for this formula rather than a NULL stub.",
    "DefendsQuestion": "q-authority-unwitnessed-change",
    "Suite": "suite-substrate",
    "Severity": "blocking",
    "LastOutcome": "PASS",
    "LastDetail": "translated",
    "LastRunAt": "2026-07-20T03:06:49+00:00",
    "SemanticTypeIri": "urn:effortless:pko-extension#TestCase",
    "Name": "formula-translates: ProcedureVersions.HasUnwitnessedChange",
    "IsBlocking": true,
    "IsPassing": true,
    "IsFailing": false,
    "NeedsAttention": false,
    "PassingSuiteKey": "suite-substrate",
    "NeedsAttentionSuiteKey": null
   },
   {
    "TestCaseId": "tc-xlate-procedure_versions-count_of_stale_fragments",
    "TestKind": "formula-translates",
    "Subject": "ProcedureVersions.CountOfStaleFragments",
    "TargetTable": "ProcedureVersions",
    "TargetField": "CountOfStaleFragments",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ProcedureVersions.CountOfStaleFragments",
    "IsBlocking": true,
    "IsPassing": true,
    "IsFailing": false,
    "NeedsAttention": false,
    "PassingSuiteKey": "suite-substrate",
    "NeedsAttentionSuiteKey": null
   },
   {
    "TestCaseId": "tc-xlate-procedure_versions-knowledge_is_staler_than_cadence",
    "TestKind": "formula-translates",
    "Subject": "ProcedureVersions.KnowledgeIsStalerThanCadence",
    "TargetTable": "ProcedureVersions",
    "TargetField": "KnowledgeIsStalerThanCadence",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ProcedureVersions.KnowledgeIsStalerThanCadence",
    "IsBlocking": true,
    "IsPassing": true,
    "IsFailing": false,
    "NeedsAttention": false,
    "PassingSuiteKey": "suite-substrate",
    "NeedsAttentionSuiteKey": null
   },
   {
    "TestCaseId": "tc-xlate-procedure_versions-compound_fragile_fragment_count",
    "TestKind": "formula-translates",
    "Subject": "ProcedureVersions.CompoundFragileFragmentCount",
    "TargetTable": "ProcedureVersions",
    "TargetField": "CompoundFragileFragmentCount",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ProcedureVersions.CompoundFragileFragmentCount",
    "IsBlocking": true,
    "IsPassing": true,
    "IsFailing": false,
    "NeedsAttention": false,
    "PassingSuiteKey": "suite-substrate",
    "NeedsAttentionSuiteKey": null
   },
   {
    "TestCaseId": "tc-xlate-procedure_versions-rests_on_compound_fragile_knowledge",
    "TestKind": "formula-translates",
    "Subject": "ProcedureVersions.RestsOnCompoundFragileKnowledge",
    "TargetTable": "ProcedureVersions",
    "TargetField": "RestsOnCompoundFragileKnowledge",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ProcedureVersions.RestsOnCompoundFragileKnowledge",
    "IsBlocking": true,
    "IsPassing": true,
    "IsFailing": false,
    "NeedsAttention": false,
    "PassingSuiteKey": "suite-substrate",
    "NeedsAttentionSuiteKey": null
   },
   {
    "TestCaseId": "tc-xlate-procedure_versions-concentrated_witness_session_count",
    "TestKind": "formula-translates",
    "Subject": "ProcedureVersions.ConcentratedWitnessSessionCount",
    "TargetTable": "ProcedureVersions",
    "TargetField": "ConcentratedWitnessSessionCount",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ProcedureVersions.ConcentratedWitnessSessionCount",
    "IsBlocking": true,
    "IsPassing": true,
    "IsFailing": false,
    "NeedsAttention": false,
    "PassingSuiteKey": "suite-substrate",
    "NeedsAttentionSuiteKey": null
   },
   {
    "TestCaseId": "tc-xlate-procedure_versions-knowledge_base_is_concentrated",
    "TestKind": "formula-translates",
    "Subject": "ProcedureVersions.KnowledgeBaseIsConcentrated",
    "TargetTable": "ProcedureVersions",
    "TargetField": "KnowledgeBaseIsConcentrated",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ProcedureVersions.KnowledgeBaseIsConcentrated",
    "IsBlocking": true,
    "IsPassing": true,
    "IsFailing": false,
    "NeedsAttention": false,
    "PassingSuiteKey": "suite-substrate",
    "NeedsAttentionSuiteKey": null
   },
   {
    "TestCaseId": "tc-xlate-procedure_versions-machine_consumed_unapproved_count",
    "TestKind": "formula-translates",
    "Subject": "ProcedureVersions.MachineConsumedUnapprovedCount",
    "TargetTable": "ProcedureVersions",
    "TargetField": "MachineConsumedUnapprovedCount",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ProcedureVersions.MachineConsumedUnapprovedCount",
    "IsBlocking": true,
    "IsPassing": true,
    "IsFailing": false,
    "NeedsAttention": false,
    "PassingSuiteKey": "suite-substrate",
    "NeedsAttentionSuiteKey": null
   },
   {
    "TestCaseId": "tc-xlate-procedure_versions-feeds_unapproved_knowledge_to_machines",
    "TestKind": "formula-translates",
    "Subject": "ProcedureVersions.FeedsUnapprovedKnowledgeToMachines",
    "TargetTable": "ProcedureVersions",
    "TargetField": "FeedsUnapprovedKnowledgeToMachines",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ProcedureVersions.FeedsUnapprovedKnowledgeToMachines",
    "IsBlocking": true,
    "IsPassing": true,
    "IsFailing": false,
    "NeedsAttention": false,
    "PassingSuiteKey": "suite-substrate",
    "NeedsAttentionSuiteKey": null
   },
   {
    "TestCaseId": "tc-xlate-procedure_versions-genuinely_overdue_fragment_count",
    "TestKind": "formula-translates",
    "Subject": "ProcedureVersions.GenuinelyOverdueFragmentCount",
    "TargetTable": "ProcedureVersions",
    "TargetField": "GenuinelyOverdueFragmentCount",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ProcedureVersions.GenuinelyOverdueFragmentCount",
    "IsBlocking": true,
    "IsPassing": true,
    "IsFailing": false,
    "NeedsAttention": false,
    "PassingSuiteKey": "suite-substrate",
    "NeedsAttentionSuiteKey": null
   },
   {
    "TestCaseId": "tc-xlate-procedure_versions-awaited_decision_count",
    "TestKind": "formula-translates",
    "Subject": "ProcedureVersions.AwaitedDecisionCount",
    "TargetTable": "ProcedureVersions",
    "TargetField": "AwaitedDecisionCount",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ProcedureVersions.AwaitedDecisionCount",
    "IsBlocking": true,
    "IsPassing": true,
    "IsFailing": false,
    "NeedsAttention": false,
    "PassingSuiteKey": "suite-substrate",
    "NeedsAttentionSuiteKey": null
   },
   {
    "TestCaseId": "tc-xlate-procedure_versions-scoped_open_blocking_gap_count",
    "TestKind": "formula-translates",
    "Subject": "ProcedureVersions.ScopedOpenBlockingGapCount",
    "TargetTable": "ProcedureVersions",
    "TargetField": "ScopedOpenBlockingGapCount",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ProcedureVersions.ScopedOpenBlockingGapCount",
    "IsBlocking": true,
    "IsPassing": true,
    "IsFailing": false,
    "NeedsAttention": false,
    "PassingSuiteKey": "suite-substrate",
    "NeedsAttentionSuiteKey": null
   },
   {
    "TestCaseId": "tc-xlate-procedure_versions-is_blocked_on_pending_decision",
    "TestKind": "formula-translates",
    "Subject": "ProcedureVersions.IsBlockedOnPendingDecision",
    "TargetTable": "ProcedureVersions",
    "TargetField": "IsBlockedOnPendingDecision",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ProcedureVersions.IsBlockedOnPendingDecision",
    "IsBlocking": true,
    "IsPassing": true,
    "IsFailing": false,
    "NeedsAttention": false,
    "PassingSuiteKey": "suite-substrate",
    "NeedsAttentionSuiteKey": null
   },
   {
    "TestCaseId": "tc-xlate-procedure_versions-unexercised_human_gate_count",
    "TestKind": "formula-translates",
    "Subject": "ProcedureVersions.UnexercisedHumanGateCount",
    "TargetTable": "ProcedureVersions",
    "TargetField": "UnexercisedHumanGateCount",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ProcedureVersions.UnexercisedHumanGateCount",
    "IsBlocking": true,
    "IsPassing": true,
    "IsFailing": false,
    "NeedsAttention": false,
    "PassingSuiteKey": "suite-substrate",
    "NeedsAttentionSuiteKey": null
   },
   {
    "TestCaseId": "tc-xlate-procedure_versions-ai_boundary_is_unevidenced",
    "TestKind": "formula-translates",
    "Subject": "ProcedureVersions.AiBoundaryIsUnevidenced",
    "TargetTable": "ProcedureVersions",
    "TargetField": "AiBoundaryIsUnevidenced",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ProcedureVersions.AiBoundaryIsUnevidenced",
    "IsBlocking": true,
    "IsPassing": true,
    "IsFailing": false,
    "NeedsAttention": false,
    "PassingSuiteKey": "suite-substrate",
    "NeedsAttentionSuiteKey": null
   },
   {
    "TestCaseId": "tc-xlate-procedure_versions-load_bearing_unapproved_count",
    "TestKind": "formula-translates",
    "Subject": "ProcedureVersi</t>
  </si>
  <si>
    <t xml:space="preserve">ons.LoadBearingUnapprovedCount",
    "TargetTable": "ProcedureVersions",
    "TargetField": "LoadBearingUnapprovedCount",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ProcedureVersions.LoadBearingUnapprovedCount",
    "IsBlocking": true,
    "IsPassing": true,
    "IsFailing": false,
    "NeedsAttention": false,
    "PassingSuiteKey": "suite-substrate",
    "NeedsAttentionSuiteKey": null
   },
   {
    "TestCaseId": "tc-xlate-procedure_versions-unlanded_decision_count",
    "TestKind": "formula-translates",
    "Subject": "ProcedureVersions.UnlandedDecisionCount",
    "TargetTable": "ProcedureVersions",
    "TargetField": "UnlandedDecisionCount",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ProcedureVersions.UnlandedDecisionCount",
    "IsBlocking": true,
    "IsPassing": true,
    "IsFailing": false,
    "NeedsAttention": false,
    "PassingSuiteKey": "suite-substrate",
    "NeedsAttentionSuiteKey": null
   },
   {
    "TestCaseId": "tc-xlate-procedure_versions-unrehearsed_control_entry_count",
    "TestKind": "formula-translates",
    "Subject": "ProcedureVersions.UnrehearsedControlEntryCount",
    "TargetTable": "ProcedureVersions",
    "TargetField": "UnrehearsedControlEntryCount",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ProcedureVersions.UnrehearsedControlEntryCount",
    "IsBlocking": true,
    "IsPassing": true,
    "IsFailing": false,
    "NeedsAttention": false,
    "PassingSuiteKey": "suite-substrate",
    "NeedsAttentionSuiteKey": null
   },
   {
    "TestCaseId": "tc-xlate-procedure_versions-has_unrehearsed_control_entry",
    "TestKind": "formula-translates",
    "Subject": "ProcedureVersions.HasUnrehearsedControlEntry",
    "TargetTable": "ProcedureVersions",
    "TargetField": "HasUnrehearsedControlEntry",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ProcedureVersions.HasUnrehearsedControlEntry",
    "IsBlocking": true,
    "IsPassing": true,
    "IsFailing": false,
    "NeedsAttention": false,
    "PassingSuiteKey": "suite-substrate",
    "NeedsAttentionSuiteKey": null
   },
   {
    "TestCaseId": "tc-xlate-procedure_versions-is_live_with_unrehearsed_control",
    "TestKind": "formula-translates",
    "Subject": "ProcedureVersions.IsLiveWithUnrehearsedControl",
    "TargetTable": "ProcedureVersions",
    "TargetField": "IsLiveWithUnrehearsedControl",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ProcedureVersions.IsLiveWithUnrehearsedControl",
    "IsBlocking": true,
    "IsPassing": true,
    "IsFailing": false,
    "NeedsAttention": false,
    "PassingSuiteKey": "suite-substrate",
    "NeedsAttentionSuiteKey": null
   },
   {
    "TestCaseId": "tc-xlate-procedure_versions-cadence_breach_count",
    "TestKind": "formula-translates",
    "Subject": "ProcedureVersions.CadenceBreachCount",
    "TargetTable": "ProcedureVersions",
    "TargetField": "CadenceBreachCount",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ProcedureVersions.CadenceBreachCount",
    "IsBlocking": true,
    "IsPassing": true,
    "IsFailing": false,
    "NeedsAttention": false,
    "PassingSuiteKey": "suite-substrate",
    "NeedsAttentionSuiteKey": null
   },
   {
    "TestCaseId": "tc-xlate-procedure_versions-is_in_cadence_breach",
    "TestKind": "formula-translates",
    "Subject": "ProcedureVersions.IsInCadenceBreach",
    "TargetTable": "ProcedureVersions",
    "TargetField": "IsInCadenceBreach",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ProcedureVersions.IsInCadenceBreach",
    "IsBlocking": true,
    "IsPassing": true,
    "IsFailing": false,
    "NeedsAttention": false,
    "PassingSuiteKey": "suite-substrate",
    "NeedsAttentionSuiteKey": null
   },
   {
    "TestCaseId": "tc-xlate-procedure_versions-has_decision_in_flight",
    "TestKind": "formula-translates",
    "Subject": "ProcedureVersions.HasDecisionInFlight",
    "TargetTable": "ProcedureVersions",
    "TargetField": "HasDecisionInFlight",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ProcedureVersions.HasDecisionInFlight",
    "IsBlocking": true,
    "IsPassing": true,
    "IsFailing": false,
    "NeedsAttention": false,
    "PassingSuiteKey": "suite-substrate",
    "NeedsAttentionSuiteKey": null
   },
   {
    "TestCaseId": "tc-xlate-procedure_versions-is_unremediated_cadence_breach",
    "TestKind": "formula-translates",
    "Subject": "ProcedureVersions.IsUnremediatedCadenceBreach",
    "TargetTable": "ProcedureVersions",
    "TargetField": "IsUnremediatedCadenceBreach",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ProcedureVersions.IsUnremediatedCadenceBreach",
    "IsBlocking": true,
    "IsPassing": true,
    "IsFailing": false,
    "NeedsAttention": false,
    "PassingSuiteKey": "suite-substrate",
    "NeedsAttentionSuiteKey": null
   },
   {
    "TestCaseId": "tc-xlate-procedure_versions-is_managed_cadence_breach",
    "TestKind": "formula-translates",
    "Subject": "ProcedureVersions.IsManagedCadenceBreach",
    "TargetTable": "ProcedureVersions",
    "TargetField": "IsManagedCadenceBreach",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ProcedureVersions.IsManagedCadenceBreach",
    "IsBlocking": true,
    "IsPassing": true,
    "IsFailing": false,
    "NeedsAttention": false,
    "PassingSuiteKey": "suite-substrate",
    "NeedsAttentionSuiteKey": null
   },
   {
    "TestCaseId": "tc-xlate-procedure_versions-governance_is_silent",
    "TestKind": "formula-translates",
    "Subject": "ProcedureVersions.GovernanceIsSilent",
    "TargetTable": "ProcedureVersions",
    "TargetField": "GovernanceIsSilent",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ProcedureVersions.GovernanceIsSilent",
    "IsBlocking": true,
    "IsPassing": true,
    "IsFailing": false,
    "NeedsAttention": false,
    "PassingSuiteKey": "suite-substrate",
    "NeedsAttentionSuiteKey": null
   },
   {
    "TestCaseId": "tc-xlate-procedure_versions-valid_fragment_count",
    "TestKind": "formula-translates",
    "Subject": "ProcedureVersions.ValidFragmentCount",
    "TargetTable": "ProcedureVersions",
    "TargetField": "ValidFragmentCount",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ProcedureVersions.ValidFragmentCount",
    "IsBlocking": true,
    "IsPassing": true,
    "IsFailing": false,
    "NeedsAttention": false,
    "PassingSuiteKey": "suite-substrate",
    "NeedsAttentionSuiteKey": null
   },
   {
    "TestCaseId": "tc-xlate-procedure_versions-still_owns_valid_knowledge",
    "TestKind": "formula-translates",
    "Subject": "ProcedureVersions.StillOwnsValidKnowledge",
    "TargetTable": "ProcedureVersions",
    "TargetField": "StillOwnsValidKnowledge",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ProcedureVersions.StillOwnsValidKnowledge",
    "IsBlocking": true,
    "IsPassing": true,
    "IsFailing": false,
    "NeedsAttention": false,
    "PassingSuiteKey": "suite-substrate",
    "NeedsAttentionSuiteKey": null
   },
   {
    "TestCaseId": "tc-xlate-procedure_versions-incoming_supersession_count",
    "TestKind": "formula-translates",
    "Subject": "ProcedureVersions.IncomingSupersessionCount",
    "TargetTable": "ProcedureVersions",
    "TargetField": "IncomingSupersessionCount",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ProcedureVersions.IncomingSupersessionCount",
    "IsBlocking": true,
    "IsPassing": true,
    "IsFailing": false,
    "NeedsAttention": false,
    "PassingSuiteKey": "suite-substrate",
    "NeedsAttentionSuiteKey": null
   },
   {
    "TestCaseId": "tc-xlate-procedure_versions-is_still_referenced",
    "TestKind": "formula-translates",
    "Subject": "ProcedureVersions.IsStillReferenced",
    "TargetTable": "ProcedureVersions",
    "TargetField": "IsStillReferenced",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ProcedureVersions.IsStillReferenced",
    "IsBlocking": true,
    "IsPassing": true,
    "IsFailing": false,
    "NeedsAttention": false,
    "PassingSuiteKey": "suite-substrate",
    "NeedsAttentionSuiteKey": null
   },
   {
    "TestCaseId": "tc-xlate-procedure_versions-is_load_bearing_orphan",
    "TestKind": "formula-translates",
    "Subject": "ProcedureVersions.IsLoadBearingOrphan",
    "TargetTable": "ProcedureVersions",
    "TargetField": "IsLoadBearingOrphan",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ProcedureVersions.IsLoadBearingOrphan",
    "IsBlocking": true,
    "IsPassing": true,
    "IsFailing": false,
    "NeedsAttention": false,
    "PassingSuiteKey": "suite-substrate",
    "NeedsAttentionSuiteKey": null
   },
   {
    "TestCaseId": "tc-xlate-procedure_versions-is_cleanly_retired",
    "TestKind": "formula-translates",
    "Subject": "ProcedureVersions.IsCleanlyRetired",
    "TargetTable": "ProcedureVersions",
    "TargetField": "IsCleanlyRetired",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ProcedureVersions.IsCleanlyRetired",
    "IsBlocking": true,
    "IsPassing": true,
    "IsFailing": false,
    "NeedsAttention": false,
    "PassingSuiteKey": "suite-substrate",
    "NeedsAttentionSuiteKey": null
   },
   {
    "TestCaseId": "tc-xlate-procedure_versions-stalled_implementation_count",
    "TestKind": "formula-translates",
    "Subject": "ProcedureVersions.StalledImplementationCount",
    "TargetTable": "ProcedureVersions",
    "TargetField": "StalledImplementationCount",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ProcedureVersions.StalledImplementationCount",
    "IsBlocking": true,
    "IsPassing": true,
    "IsFailing": false,
    "NeedsAttention": false,
    "PassingSuiteKey": "suite-substrate",
    "NeedsAttentionSuiteKey": null
   },
   {
    "TestCaseId": "tc-xlate-procedure_versions-is_held_unfit_by_landed_decisions",
    "TestKind": "formula-translates",
    "Subject": "ProcedureVersions.IsHeldUnfitByLandedDecisions",
    "TargetTable": "ProcedureVersions",
    "TargetField": "IsHeldUnfitByLandedDecisions",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ProcedureVersions.IsHeldUnfitByLandedDecisions",
    "IsBlocking": true,
    "IsPassing": true,
    "IsFailing": false,
    "NeedsAttention": false,
    "PassingSuiteKey": "suite-substrate",
    "NeedsAttentionSuiteKey": null
   },
   {
    "TestCaseId": "tc-xlate-procedure_versions-undeclared_control_kind_count",
    "TestKind": "formula-translates",
    "Subject": "ProcedureVersions.UndeclaredControlKindCount",
    "TargetTable": "ProcedureVersions",
    "TargetField": "UndeclaredControlKindCount",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ProcedureVersions.UndeclaredControlKindCount",
    "IsBlocking": true,
    "IsPassing": true,
    "IsFailing": false,
    "NeedsAttention": false,
    "PassingSuiteKey": "suite-substrate",
    "NeedsAttentionSuiteKey": null
   },
   {
    "TestCaseId": "tc-xlate-procedure_versions-control_taxonomy_is_incomplete",
    "TestKind": "formula-translates",
    "Subject": "ProcedureVersions.ControlTaxonomyIsIncomplete",
    "TargetTable": "ProcedureVersions",
    "TargetField": "ControlTaxonomyIsIncomplete",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ProcedureVersions.ControlTaxonomyIsIncomplete",
    "IsBlocking": true,
    "IsPassing": true,
    "IsFailing": false,
    "NeedsAttention": false,
    "PassingSuiteKey": "suite-substrate",
    "NeedsAttentionSuiteKey": null
   },
   {
    "TestCaseId": "tc-xlate-procedure_versions-has_approved_change_request",
    "TestKind": "formula-translates",
    "Subject": "ProcedureVersions.HasApprovedChangeRequest",
    "TargetTable": "ProcedureVersions",
    "TargetField": "HasApprovedChangeRequest",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ProcedureVersions.HasApprovedChangeRequest",
    "IsBlocking": true,
    "IsPassing": true,
    "IsFailing": false,
    "NeedsAttention": false,
    "PassingSuiteKey": "suite-substrate",
    "NeedsAttentionSuiteKey": null
   },
   {
    "TestCaseId": "tc-xlate-procedure_versions-approved_change_request_count",
    "TestKind": "formula-translates",
    "Subject": "ProcedureVersions.ApprovedChangeRequestCount",
    "TargetTable": "ProcedureVersions",
    "TargetField": "ApprovedChangeRequestCount",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ProcedureVersions.ApprovedChangeRequestCount",
    "IsBlocking": true,
    "IsPassing": true,
    "IsFailing": false,
    "NeedsAttention": false,
    "PassingSuiteKey": "suite-substrate",
    "NeedsAttentionSuiteKey": null
   },
   {
    "TestCaseId": "tc-xlate-procedure_versions-unwatched_unowned_control_count",
    "TestKind": "formula-translates",
    "Subject": "ProcedureVersions.UnwatchedUnownedControlCount",
    "TargetTable": "ProcedureVersions",
    "TargetField": "UnwatchedUnownedControlCount",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ProcedureVersions.UnwatchedUnownedControlCount",
    "IsBlocking": true,
    "IsPassing": true,
    "IsFailing": false,
    "NeedsAttention": false,
    "PassingSuiteKey": "suite-substrate",
    "NeedsAttentionSuiteKey": null
   },
   {
    "TestCaseId": "tc-xlate-procedure_version_links-name",
    "TestKind": "formula-translates",
    "Subject": "ProcedureVersionLinks.Name",
    "TargetTable": "ProcedureVersionLinks",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ProcedureVersionLinks.Name",
    "IsBlocking": true,
    "IsPassing": true,
    "IsFailing": false,
    "NeedsAttention": false,
    "PassingSuiteKey": "suite-substrate",
    "NeedsAttentionSuiteKey": null
   },
   {
    "TestCaseId": "tc-xlate-procedure_version_links-superseded_version_key",
    "TestKind": "formula-translates",
    "Subject": "ProcedureVersionLinks.SupersededVersionKey",
    "TargetTable": "ProcedureVersionLinks",
    "TargetField": "SupersededVersionKey",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ProcedureVersionLinks.SupersededVersionKey",
    "IsBlocking": true,
    "IsPassing": true,
    "IsFailing": false,
    "NeedsAttention": false,
    "PassingSuiteKey": "suite-substrate",
    "NeedsAttentionSuiteKey": null
   },
   {
    "TestCaseId": "tc-xlate-procedure_status_changes-name",
    "TestKind": "formula-translates",
    "Subject": "ProcedureStatusChanges.Name",
    "TargetTable": "ProcedureStatusChanges",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ProcedureStatusChanges.Name",
    "IsBlocking": true,
    "IsPassing": true,
    "IsFailing": false,
    "NeedsAttention": false,
    "PassingSuiteKey": "suite-substrate",
    "NeedsAttentionSuiteKey": null
   },
   {
    "TestCaseId": "tc-xlate-steps-name",
    "TestKind": "formula-translates",
    "Subject": "Steps.Name",
    "TargetTable": "Steps",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Steps.Name",
    "IsBlocking": true,
    "IsPassing": true,
    "IsFailing": false,
    "NeedsAttention": false,
    "PassingSuiteKey": "suite-substrate",
    "NeedsAttentionSuiteKey": null
   },
   {
    "TestCaseId": "tc-xlate-steps-assigned_role_label",
    "TestKind": "formula-translates",
    "Subject": "Steps.AssignedRoleLabel",
    "TargetTable": "Steps",
    "TargetField": "AssignedRoleLabel",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Steps.AssignedRoleLabel",
    "IsBlocking": true,
    "IsPassing": true,
    "IsFailing": false,
    "NeedsAttention": false,
    "PassingSuiteKey": "suite-substrate",
    "NeedsAttentionSuiteKey": null
   },
   {
    "TestCaseId": "tc-xlate-steps-assigned_agent_kind",
    "TestKind": "formula-translates",
    "Subject": "Steps.AssignedAgentKind",
    "TargetTable": "Steps",
    "TargetField": "AssignedAgentKind",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Steps.AssignedAgentKind",
    "IsBlocking": true,
    "IsPassing": true,
    "IsFailing": false,
    "NeedsAttention": false,
    "PassingSuiteKey": "suite-substrate",
    "NeedsAttentionSuiteKey": null
   },
   {
    "TestCaseId": "tc-xlate-steps-blocking_requirement_count",
    "TestKind": "formula-translates",
    "Subject": "Steps.BlockingRequirementCount",
    "TargetTable": "Steps",
    "TargetField": "BlockingRequirementCount",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Steps.BlockingRequirementCount",
    "IsBlocking": true,
    "IsPassing": true,
    "IsFailing": false,
    "NeedsAttention": false,
    "PassingSuiteKey": "suite-substrate",
    "NeedsAttentionSuiteKey": null
   },
   {
    "TestCaseId": "tc-xlate-steps-stale_binding_count",
    "TestKind": "formula-translates",
    "Subject": "Steps.StaleBindingCount",
    "TargetTable": "Steps",
    "TargetField": "StaleBindingCount",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Steps.StaleBindingCount",
    "IsBlocking": true,
    "IsPassing": true,
    "IsFailing": false,
    "NeedsAttention": false,
    "PassingSuiteKey": "suite-substrate",
    "NeedsAttentionSuiteKey": null
   },
   {
    "TestCaseId": "tc-xlate-steps-authoritative_stale_count",
    "TestKind": "formula-translates",
    "Subject": "Steps.AuthoritativeStaleCount",
    "TargetTable": "Steps",
    "TargetField": "AuthoritativeStaleCount",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Steps.AuthoritativeStaleCount",
    "IsBlocking": true,
    "IsPassing": true,
    "IsFailing": false,
    "NeedsAttention": false,
    "PassingSuiteKey": "suite-substrate",
    "NeedsAttentionSuiteKey": null
   },
   {
    "TestCaseId": "tc-xlate-steps-available_exception_count",
    "TestKind": "formula-translates",
    "Subject": "Steps.AvailableExceptionCount",
    "TargetTable": "Steps",
    "TargetField": "AvailableExceptionCount",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Steps.AvailableExceptionCount",
    "IsBlocking": true,
    "IsPassing": true,
    "IsFailing": false,
    "NeedsAttention": false,
    "PassingSuiteKey": "suite-substrate",
    "NeedsAttentionSuiteKey": null
   },
   {
    "TestCaseId": "tc-xlate-steps-declared_verification_count",
    "TestKind": "formula-translates",
    "Subject": "Steps.DeclaredVerificationCount",
    "TargetTable": "Steps",
    "TargetField": "DeclaredVerificationCount",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Steps.DeclaredVerificationCount",
    "IsBlocking": true,
    "IsPassing": true,
    "IsFailing": false,
    "NeedsAttention": false,
    "PassingSuiteKey": "suite-substrate",
    "NeedsAttentionSuiteKey": null
   },
   {
    "TestCaseId": "tc-xlate-steps-is_preparation_step",
    "TestKind": "formula-translates",
    "Subject": "Steps.IsPreparationStep",
    "TargetTable": "Steps",
    "TargetField": "IsPreparationStep",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Steps.IsPreparationStep",
    "IsBlocking": true,
    "IsPassing": true,
    "IsFailing": false,
    "NeedsAttention": false,
    "PassingSuiteKey": "suite-substrate",
    "NeedsAttentionSuiteKey": null
   },
   {
    "TestCaseId": "tc-xlate-steps-is_approval_step",
    "TestKind": "formula-translates",
    "Subject": "Steps.IsApprovalStep",
    "TargetTable": "Steps",
    "TargetField": "IsApprovalStep",
    "Assertion": "The transpiler emitted a real SQL function for this formula rather than a NULL stub.",
    "DefendsQuestion": "q-controller-separation-of-duties",
    "Suite": "suite-substrate",
    "Severity": "blocking",
    "LastOutcome": "PASS",
    "LastDetail": "translated"</t>
  </si>
  <si>
    <t xml:space="preserve">,
    "LastRunAt": "2026-07-20T03:06:49+00:00",
    "SemanticTypeIri": "urn:effortless:pko-extension#TestCase",
    "Name": "formula-translates: Steps.IsApprovalStep",
    "IsBlocking": true,
    "IsPassing": true,
    "IsFailing": false,
    "NeedsAttention": false,
    "PassingSuiteKey": "suite-substrate",
    "NeedsAttentionSuiteKey": null
   },
   {
    "TestCaseId": "tc-xlate-steps-stale_authoritative_binding_count",
    "TestKind": "formula-translates",
    "Subject": "Steps.StaleAuthoritativeBindingCount",
    "TargetTable": "Steps",
    "TargetField": "StaleAuthoritativeBindingCount",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Steps.StaleAuthoritativeBindingCount",
    "IsBlocking": true,
    "IsPassing": true,
    "IsFailing": false,
    "NeedsAttention": false,
    "PassingSuiteKey": "suite-substrate",
    "NeedsAttentionSuiteKey": null
   },
   {
    "TestCaseId": "tc-xlate-steps-inputs_are_fresh",
    "TestKind": "formula-translates",
    "Subject": "Steps.InputsAreFresh",
    "TargetTable": "Steps",
    "TargetField": "InputsAreFresh",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Steps.InputsAreFresh",
    "IsBlocking": true,
    "IsPassing": true,
    "IsFailing": false,
    "NeedsAttention": false,
    "PassingSuiteKey": "suite-substrate",
    "NeedsAttentionSuiteKey": null
   },
   {
    "TestCaseId": "tc-xlate-steps-is_software_assigned",
    "TestKind": "formula-translates",
    "Subject": "Steps.IsSoftwareAssigned",
    "TargetTable": "Steps",
    "TargetField": "IsSoftwareAssigned",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Steps.IsSoftwareAssigned",
    "IsBlocking": true,
    "IsPassing": true,
    "IsFailing": false,
    "NeedsAttention": false,
    "PassingSuiteKey": "suite-substrate",
    "NeedsAttentionSuiteKey": null
   },
   {
    "TestCaseId": "tc-xlate-steps-is_human_approval_gate",
    "TestKind": "formula-translates",
    "Subject": "Steps.IsHumanApprovalGate",
    "TargetTable": "Steps",
    "TargetField": "IsHumanApprovalGate",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Steps.IsHumanApprovalGate",
    "IsBlocking": true,
    "IsPassing": true,
    "IsFailing": false,
    "NeedsAttention": false,
    "PassingSuiteKey": "suite-substrate",
    "NeedsAttentionSuiteKey": null
   },
   {
    "TestCaseId": "tc-xlate-steps-gate_held_by_human",
    "TestKind": "formula-translates",
    "Subject": "Steps.GateHeldByHuman",
    "TargetTable": "Steps",
    "TargetField": "GateHeldByHuman",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Steps.GateHeldByHuman",
    "IsBlocking": true,
    "IsPassing": true,
    "IsFailing": false,
    "NeedsAttention": false,
    "PassingSuiteKey": "suite-substrate",
    "NeedsAttentionSuiteKey": null
   },
   {
    "TestCaseId": "tc-xlate-steps-binding_boundary_count",
    "TestKind": "formula-translates",
    "Subject": "Steps.BindingBoundaryCount",
    "TargetTable": "Steps",
    "TargetField": "BindingBoundaryCount",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Steps.BindingBoundaryCount",
    "IsBlocking": true,
    "IsPassing": true,
    "IsFailing": false,
    "NeedsAttention": false,
    "PassingSuiteKey": "suite-substrate",
    "NeedsAttentionSuiteKey": null
   },
   {
    "TestCaseId": "tc-xlate-steps-assigned_role_is_ungoverned",
    "TestKind": "formula-translates",
    "Subject": "Steps.AssignedRoleIsUngoverned",
    "TargetTable": "Steps",
    "TargetField": "AssignedRoleIsUngoverned",
    "Assertion": "The transpiler emitted a real SQL function for this formula rather than a NULL stub.",
    "DefendsQuestion": "q-policy-ai-no-role-assignment",
    "Suite": "suite-substrate",
    "Severity": "blocking",
    "LastOutcome": "PASS",
    "LastDetail": "translated",
    "LastRunAt": "2026-07-20T03:06:49+00:00",
    "SemanticTypeIri": "urn:effortless:pko-extension#TestCase",
    "Name": "formula-translates: Steps.AssignedRoleIsUngoverned",
    "IsBlocking": true,
    "IsPassing": true,
    "IsFailing": false,
    "NeedsAttention": false,
    "PassingSuiteKey": "suite-substrate",
    "NeedsAttentionSuiteKey": null
   },
   {
    "TestCaseId": "tc-xlate-steps-unusable_binding_count",
    "TestKind": "formula-translates",
    "Subject": "Steps.UnusableBindingCount",
    "TargetTable": "Steps",
    "TargetField": "UnusableBindingCount",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Steps.UnusableBindingCount",
    "IsBlocking": true,
    "IsPassing": true,
    "IsFailing": false,
    "NeedsAttention": false,
    "PassingSuiteKey": "suite-substrate",
    "NeedsAttentionSuiteKey": null
   },
   {
    "TestCaseId": "tc-xlate-steps-all_sources_usable",
    "TestKind": "formula-translates",
    "Subject": "Steps.AllSourcesUsable",
    "TargetTable": "Steps",
    "TargetField": "AllSourcesUsable",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Steps.AllSourcesUsable",
    "IsBlocking": true,
    "IsPassing": true,
    "IsFailing": false,
    "NeedsAttention": false,
    "PassingSuiteKey": "suite-substrate",
    "NeedsAttentionSuiteKey": null
   },
   {
    "TestCaseId": "tc-xlate-steps-unwarranted_boundary_count",
    "TestKind": "formula-translates",
    "Subject": "Steps.UnwarrantedBoundaryCount",
    "TargetTable": "Steps",
    "TargetField": "UnwarrantedBoundaryCount",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Steps.UnwarrantedBoundaryCount",
    "IsBlocking": true,
    "IsPassing": true,
    "IsFailing": false,
    "NeedsAttention": false,
    "PassingSuiteKey": "suite-substrate",
    "NeedsAttentionSuiteKey": null
   },
   {
    "TestCaseId": "tc-xlate-steps-is_governed_by_unwarranted_boundary",
    "TestKind": "formula-translates",
    "Subject": "Steps.IsGovernedByUnwarrantedBoundary",
    "TargetTable": "Steps",
    "TargetField": "IsGovernedByUnwarrantedBoundary",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Steps.IsGovernedByUnwarrantedBoundary",
    "IsBlocking": true,
    "IsPassing": true,
    "IsFailing": false,
    "NeedsAttention": false,
    "PassingSuiteKey": "suite-substrate",
    "NeedsAttentionSuiteKey": null
   },
   {
    "TestCaseId": "tc-xlate-steps-software_execution_count",
    "TestKind": "formula-translates",
    "Subject": "Steps.SoftwareExecutionCount",
    "TargetTable": "Steps",
    "TargetField": "SoftwareExecutionCount",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Steps.SoftwareExecutionCount",
    "IsBlocking": true,
    "IsPassing": true,
    "IsFailing": false,
    "NeedsAttention": false,
    "PassingSuiteKey": "suite-substrate",
    "NeedsAttentionSuiteKey": null
   },
   {
    "TestCaseId": "tc-xlate-steps-has_been_approached_by_software",
    "TestKind": "formula-translates",
    "Subject": "Steps.HasBeenApproachedBySoftware",
    "TargetTable": "Steps",
    "TargetField": "HasBeenApproachedBySoftware",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Steps.HasBeenApproachedBySoftware",
    "IsBlocking": true,
    "IsPassing": true,
    "IsFailing": false,
    "NeedsAttention": false,
    "PassingSuiteKey": "suite-substrate",
    "NeedsAttentionSuiteKey": null
   },
   {
    "TestCaseId": "tc-xlate-steps-is_unexercised_human_gate",
    "TestKind": "formula-translates",
    "Subject": "Steps.IsUnexercisedHumanGate",
    "TargetTable": "Steps",
    "TargetField": "IsUnexercisedHumanGate",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Steps.IsUnexercisedHumanGate",
    "IsBlocking": true,
    "IsPassing": true,
    "IsFailing": false,
    "NeedsAttention": false,
    "PassingSuiteKey": "suite-substrate",
    "NeedsAttentionSuiteKey": null
   },
   {
    "TestCaseId": "tc-xlate-steps-is_demonstrated_human_gate",
    "TestKind": "formula-translates",
    "Subject": "Steps.IsDemonstratedHumanGate",
    "TargetTable": "Steps",
    "TargetField": "IsDemonstratedHumanGate",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Steps.IsDemonstratedHumanGate",
    "IsBlocking": true,
    "IsPassing": true,
    "IsFailing": false,
    "NeedsAttention": false,
    "PassingSuiteKey": "suite-substrate",
    "NeedsAttentionSuiteKey": null
   },
   {
    "TestCaseId": "tc-xlate-steps-unexercised_gate_version_key",
    "TestKind": "formula-translates",
    "Subject": "Steps.UnexercisedGateVersionKey",
    "TargetTable": "Steps",
    "TargetField": "UnexercisedGateVersionKey",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Steps.UnexercisedGateVersionKey",
    "IsBlocking": true,
    "IsPassing": true,
    "IsFailing": false,
    "NeedsAttention": false,
    "PassingSuiteKey": "suite-substrate",
    "NeedsAttentionSuiteKey": null
   },
   {
    "TestCaseId": "tc-xlate-steps-has_declared_control_kind",
    "TestKind": "formula-translates",
    "Subject": "Steps.HasDeclaredControlKind",
    "TargetTable": "Steps",
    "TargetField": "HasDeclaredControlKind",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Steps.HasDeclaredControlKind",
    "IsBlocking": true,
    "IsPassing": true,
    "IsFailing": false,
    "NeedsAttention": false,
    "PassingSuiteKey": "suite-substrate",
    "NeedsAttentionSuiteKey": null
   },
   {
    "TestCaseId": "tc-xlate-steps-undeclared_control_version_key",
    "TestKind": "formula-translates",
    "Subject": "Steps.UndeclaredControlVersionKey",
    "TargetTable": "Steps",
    "TargetField": "UndeclaredControlVersionKey",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Steps.UndeclaredControlVersionKey",
    "IsBlocking": true,
    "IsPassing": true,
    "IsFailing": false,
    "NeedsAttention": false,
    "PassingSuiteKey": "suite-substrate",
    "NeedsAttentionSuiteKey": null
   },
   {
    "TestCaseId": "tc-xlate-steps-approval_step_is_software_assigned",
    "TestKind": "formula-translates",
    "Subject": "Steps.ApprovalStepIsSoftwareAssigned",
    "TargetTable": "Steps",
    "TargetField": "ApprovalStepIsSoftwareAssigned",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Steps.ApprovalStepIsSoftwareAssigned",
    "IsBlocking": true,
    "IsPassing": true,
    "IsFailing": false,
    "NeedsAttention": false,
    "PassingSuiteKey": "suite-substrate",
    "NeedsAttentionSuiteKey": null
   },
   {
    "TestCaseId": "tc-xlate-steps-unwitnessed_blocking_count",
    "TestKind": "formula-translates",
    "Subject": "Steps.UnwitnessedBlockingCount",
    "TargetTable": "Steps",
    "TargetField": "UnwitnessedBlockingCount",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Steps.UnwitnessedBlockingCount",
    "IsBlocking": true,
    "IsPassing": true,
    "IsFailing": false,
    "NeedsAttention": false,
    "PassingSuiteKey": "suite-substrate",
    "NeedsAttentionSuiteKey": null
   },
   {
    "TestCaseId": "tc-xlate-step_transitions-name",
    "TestKind": "formula-translates",
    "Subject": "StepTransitions.Name",
    "TargetTable": "StepTransitions",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StepTransitions.Name",
    "IsBlocking": true,
    "IsPassing": true,
    "IsFailing": false,
    "NeedsAttention": false,
    "PassingSuiteKey": "suite-substrate",
    "NeedsAttentionSuiteKey": null
   },
   {
    "TestCaseId": "tc-xlate-step_transitions-is_recovery_path",
    "TestKind": "formula-translates",
    "Subject": "StepTransitions.IsRecoveryPath",
    "TargetTable": "StepTransitions",
    "TargetField": "IsRecoveryPath",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StepTransitions.IsRecoveryPath",
    "IsBlocking": true,
    "IsPassing": true,
    "IsFailing": false,
    "NeedsAttention": false,
    "PassingSuiteKey": "suite-substrate",
    "NeedsAttentionSuiteKey": null
   },
   {
    "TestCaseId": "tc-xlate-step_transitions-count_of_from_step_executions",
    "TestKind": "formula-translates",
    "Subject": "StepTransitions.CountOfFromStepExecutions",
    "TargetTable": "StepTransitions",
    "TargetField": "CountOfFromStepExecutions",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StepTransitions.CountOfFromStepExecutions",
    "IsBlocking": true,
    "IsPassing": true,
    "IsFailing": false,
    "NeedsAttention": false,
    "PassingSuiteKey": "suite-substrate",
    "NeedsAttentionSuiteKey": null
   },
   {
    "TestCaseId": "tc-xlate-step_transitions-count_of_to_step_executions",
    "TestKind": "formula-translates",
    "Subject": "StepTransitions.CountOfToStepExecutions",
    "TargetTable": "StepTransitions",
    "TargetField": "CountOfToStepExecutions",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StepTransitions.CountOfToStepExecutions",
    "IsBlocking": true,
    "IsPassing": true,
    "IsFailing": false,
    "NeedsAttention": false,
    "PassingSuiteKey": "suite-substrate",
    "NeedsAttentionSuiteKey": null
   },
   {
    "TestCaseId": "tc-xlate-step_transitions-has_reachable_origin",
    "TestKind": "formula-translates",
    "Subject": "StepTransitions.HasReachableOrigin",
    "TargetTable": "StepTransitions",
    "TargetField": "HasReachableOrigin",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StepTransitions.HasReachableOrigin",
    "IsBlocking": true,
    "IsPassing": true,
    "IsFailing": false,
    "NeedsAttention": false,
    "PassingSuiteKey": "suite-substrate",
    "NeedsAttentionSuiteKey": null
   },
   {
    "TestCaseId": "tc-xlate-step_transitions-has_reachable_target",
    "TestKind": "formula-translates",
    "Subject": "StepTransitions.HasReachableTarget",
    "TargetTable": "StepTransitions",
    "TargetField": "HasReachableTarget",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StepTransitions.HasReachableTarget",
    "IsBlocking": true,
    "IsPassing": true,
    "IsFailing": false,
    "NeedsAttention": false,
    "PassingSuiteKey": "suite-substrate",
    "NeedsAttentionSuiteKey": null
   },
   {
    "TestCaseId": "tc-xlate-step_transitions-is_never_exercised",
    "TestKind": "formula-translates",
    "Subject": "StepTransitions.IsNeverExercised",
    "TargetTable": "StepTransitions",
    "TargetField": "IsNeverExercised",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StepTransitions.IsNeverExercised",
    "IsBlocking": true,
    "IsPassing": true,
    "IsFailing": false,
    "NeedsAttention": false,
    "PassingSuiteKey": "suite-substrate",
    "NeedsAttentionSuiteKey": null
   },
   {
    "TestCaseId": "tc-xlate-step_transitions-is_untested_recovery_path",
    "TestKind": "formula-translates",
    "Subject": "StepTransitions.IsUntestedRecoveryPath",
    "TargetTable": "StepTransitions",
    "TargetField": "IsUntestedRecoveryPath",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StepTransitions.IsUntestedRecoveryPath",
    "IsBlocking": true,
    "IsPassing": true,
    "IsFailing": false,
    "NeedsAttention": false,
    "PassingSuiteKey": "suite-substrate",
    "NeedsAttentionSuiteKey": null
   },
   {
    "TestCaseId": "tc-xlate-step_transitions-count_of_observed_traversals",
    "TestKind": "formula-translates",
    "Subject": "StepTransitions.CountOfObservedTraversals",
    "TargetTable": "StepTransitions",
    "TargetField": "CountOfObservedTraversals",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StepTransitions.CountOfObservedTraversals",
    "IsBlocking": true,
    "IsPassing": true,
    "IsFailing": false,
    "NeedsAttention": false,
    "PassingSuiteKey": "suite-substrate",
    "NeedsAttentionSuiteKey": null
   },
   {
    "TestCaseId": "tc-xlate-step_transitions-has_been_traversed",
    "TestKind": "formula-translates",
    "Subject": "StepTransitions.HasBeenTraversed",
    "TargetTable": "StepTransitions",
    "TargetField": "HasBeenTraversed",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StepTransitions.HasBeenTraversed",
    "IsBlocking": true,
    "IsPassing": true,
    "IsFailing": false,
    "NeedsAttention": false,
    "PassingSuiteKey": "suite-substrate",
    "NeedsAttentionSuiteKey": null
   },
   {
    "TestCaseId": "tc-xlate-step_transitions-is_unwalked_recovery_path",
    "TestKind": "formula-translates",
    "Subject": "StepTransitions.IsUnwalkedRecoveryPath",
    "TargetTable": "StepTransitions",
    "TargetField": "IsUnwalkedRecoveryPath",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StepTransitions.IsUnwalkedRecoveryPath",
    "IsBlocking": true,
    "IsPassing": true,
    "IsFailing": false,
    "NeedsAttention": false,
    "PassingSuiteKey": "suite-substrate",
    "NeedsAttentionSuiteKey": null
   },
   {
    "TestCaseId": "tc-xlate-step_transitions-target_blocking_requirement_count",
    "TestKind": "formula-translates",
    "Subject": "StepTransitions.TargetBlockingRequirementCount",
    "TargetTable": "StepTransitions",
    "TargetField": "TargetBlockingRequirementCount",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StepTransitions.TargetBlockingRequirementCount",
    "IsBlocking": true,
    "IsPassing": true,
    "IsFailing": false,
    "NeedsAttention": false,
    "PassingSuiteKey": "suite-substrate",
    "NeedsAttentionSuiteKey": null
   },
   {
    "TestCaseId": "tc-xlate-step_transitions-target_carries_blocking_control",
    "TestKind": "formula-translates",
    "Subject": "StepTransitions.TargetCarriesBlockingControl",
    "TargetTable": "StepTransitions",
    "TargetField": "TargetCarriesBlockingControl",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StepTransitions.TargetCarriesBlockingControl",
    "IsBlocking": true,
    "IsPassing": true,
    "IsFailing": false,
    "NeedsAttention": false,
    "PassingSuiteKey": "suite-substrate",
    "NeedsAttentionSuiteKey": null
   },
   {
    "TestCaseId": "tc-xlate-step_transitions-is_unrehearsed_control_entry",
    "TestKind": "formula-translates",
    "Subject": "StepTransitions.IsUnrehearsedControlEntry",
    "TargetTable": "StepTransitions",
    "TargetField": "IsUnrehearsedControlEntry",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StepTransitions.IsUnrehearsedControlEntry",
    "IsBlocking": true,
    "IsPassing": true,
    "IsFailing": false,
    "NeedsAttention": false,
    "PassingSuiteKey": "suite-substrate",
    "NeedsAttentionSuiteKey": null
   },
   {
    "TestCaseId": "tc-xlate-step_transitions-unrehearsed_control_version_key",
    "TestKind": "formula-translates",
    "Subject": "StepTransitions.UnrehearsedControlVersionKey",
    "TargetTable": "StepTransitions",
    "TargetField": "UnrehearsedControlVersionKey",
    "Assertion": "The transpiler emitted a real SQL function for this formula rather than a NULL stub.",
    "DefendsQuestion": "q2-steward-recovery-path-is-load-bearing",
    "Suite": "suite-substrate",
    "Severity": "blocking",
    "LastOutcome": "PASS",
    "LastDetail": "translated",
    "LastRunAt": "2026-07-20T03:06:49+00:00",
    "SemanticTypeIri": "urn:effortless:pko-extension#TestCase",
    "Name": "formula-translates: StepTransitions.UnrehearsedControlVersionKey",
    "IsBlocking": true,
    "IsPassing": true,
    "IsFailing": false,
    "NeedsAttention": false,
    "PassingSuiteKey": "suite-substrate",
    "NeedsAttentionSuiteKey": null
   },
   {
    "TestCaseId": "tc-xlate-actions-name",
    "TestKind": "formula-translates",
    "Subject": "Actions.Name",
    "TargetTable": "Actions",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Actions.Name",
    "IsBlocking": true,
    "IsPassing": true,
    "IsFailing": false,
    "NeedsAttention": false,
    "PassingSuiteKey": "suite-substrate",
    "NeedsAttentionSuiteKey": null
   },
   {
    "TestCaseId": "tc-xlate-functions-name",
    "TestKind": "formula-translates",
    "Subject": "Functions.Name",
    "TargetTable": "Functions",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Functions.Name",
    "IsBlocking": true,
    "IsPassing": true,
    "IsFailing": false,
    "NeedsAttention": false,
    "PassingSuiteKey": "suite-substrat</t>
  </si>
  <si>
    <t xml:space="preserve">e",
    "NeedsAttentionSuiteKey": null
   },
   {
    "TestCaseId": "tc-xlate-tools-name",
    "TestKind": "formula-translates",
    "Subject": "Tools.Name",
    "TargetTable": "Tools",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Tools.Name",
    "IsBlocking": true,
    "IsPassing": true,
    "IsFailing": false,
    "NeedsAttention": false,
    "PassingSuiteKey": "suite-substrate",
    "NeedsAttentionSuiteKey": null
   },
   {
    "TestCaseId": "tc-xlate-step_actions-name",
    "TestKind": "formula-translates",
    "Subject": "StepActions.Name",
    "TargetTable": "StepActions",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StepActions.Name",
    "IsBlocking": true,
    "IsPassing": true,
    "IsFailing": false,
    "NeedsAttention": false,
    "PassingSuiteKey": "suite-substrate",
    "NeedsAttentionSuiteKey": null
   },
   {
    "TestCaseId": "tc-xlate-step_functions-name",
    "TestKind": "formula-translates",
    "Subject": "StepFunctions.Name",
    "TargetTable": "StepFunctions",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StepFunctions.Name",
    "IsBlocking": true,
    "IsPassing": true,
    "IsFailing": false,
    "NeedsAttention": false,
    "PassingSuiteKey": "suite-substrate",
    "NeedsAttentionSuiteKey": null
   },
   {
    "TestCaseId": "tc-xlate-step_tools-name",
    "TestKind": "formula-translates",
    "Subject": "StepTools.Name",
    "TargetTable": "StepTools",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StepTools.Name",
    "IsBlocking": true,
    "IsPassing": true,
    "IsFailing": false,
    "NeedsAttention": false,
    "PassingSuiteKey": "suite-substrate",
    "NeedsAttentionSuiteKey": null
   },
   {
    "TestCaseId": "tc-xlate-requirements-name",
    "TestKind": "formula-translates",
    "Subject": "Requirements.Name",
    "TargetTable": "Requirements",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Requirements.Name",
    "IsBlocking": true,
    "IsPassing": true,
    "IsFailing": false,
    "NeedsAttention": false,
    "PassingSuiteKey": "suite-substrate",
    "NeedsAttentionSuiteKey": null
   },
   {
    "TestCaseId": "tc-xlate-requirements-satisfaction_record_count",
    "TestKind": "formula-translates",
    "Subject": "Requirements.SatisfactionRecordCount",
    "TargetTable": "Requirements",
    "TargetField": "SatisfactionRecordCount",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Requirements.SatisfactionRecordCount",
    "IsBlocking": true,
    "IsPassing": true,
    "IsFailing": false,
    "NeedsAttention": false,
    "PassingSuiteKey": "suite-substrate",
    "NeedsAttentionSuiteKey": null
   },
   {
    "TestCaseId": "tc-xlate-requirements-step_binding_count",
    "TestKind": "formula-translates",
    "Subject": "Requirements.StepBindingCount",
    "TargetTable": "Requirements",
    "TargetField": "StepBindingCount",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Requirements.StepBindingCount",
    "IsBlocking": true,
    "IsPassing": true,
    "IsFailing": false,
    "NeedsAttention": false,
    "PassingSuiteKey": "suite-substrate",
    "NeedsAttentionSuiteKey": null
   },
   {
    "TestCaseId": "tc-xlate-requirements-is_bound_to_any_step",
    "TestKind": "formula-translates",
    "Subject": "Requirements.IsBoundToAnyStep",
    "TargetTable": "Requirements",
    "TargetField": "IsBoundToAnyStep",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Requirements.IsBoundToAnyStep",
    "IsBlocking": true,
    "IsPassing": true,
    "IsFailing": false,
    "NeedsAttention": false,
    "PassingSuiteKey": "suite-substrate",
    "NeedsAttentionSuiteKey": null
   },
   {
    "TestCaseId": "tc-xlate-requirements-has_ever_been_evaluated",
    "TestKind": "formula-translates",
    "Subject": "Requirements.HasEverBeenEvaluated",
    "TargetTable": "Requirements",
    "TargetField": "HasEverBeenEvaluated",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Requirements.HasEverBeenEvaluated",
    "IsBlocking": true,
    "IsPassing": true,
    "IsFailing": false,
    "NeedsAttention": false,
    "PassingSuiteKey": "suite-substrate",
    "NeedsAttentionSuiteKey": null
   },
   {
    "TestCaseId": "tc-xlate-requirements-negative_outcome_count",
    "TestKind": "formula-translates",
    "Subject": "Requirements.NegativeOutcomeCount",
    "TargetTable": "Requirements",
    "TargetField": "NegativeOutcomeCount",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Requirements.NegativeOutcomeCount",
    "IsBlocking": true,
    "IsPassing": true,
    "IsFailing": false,
    "NeedsAttention": false,
    "PassingSuiteKey": "suite-substrate",
    "NeedsAttentionSuiteKey": null
   },
   {
    "TestCaseId": "tc-xlate-requirements-is_inoperative_control",
    "TestKind": "formula-translates",
    "Subject": "Requirements.IsInoperativeControl",
    "TargetTable": "Requirements",
    "TargetField": "IsInoperativeControl",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Requirements.IsInoperativeControl",
    "IsBlocking": true,
    "IsPassing": true,
    "IsFailing": false,
    "NeedsAttention": false,
    "PassingSuiteKey": "suite-substrate",
    "NeedsAttentionSuiteKey": null
   },
   {
    "TestCaseId": "tc-xlate-requirements-is_decorative_control",
    "TestKind": "formula-translates",
    "Subject": "Requirements.IsDecorativeControl",
    "TargetTable": "Requirements",
    "TargetField": "IsDecorativeControl",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Requirements.IsDecorativeControl",
    "IsBlocking": true,
    "IsPassing": true,
    "IsFailing": false,
    "NeedsAttention": false,
    "PassingSuiteKey": "suite-substrate",
    "NeedsAttentionSuiteKey": null
   },
   {
    "TestCaseId": "tc-xlate-requirements-has_ever_produced_negative",
    "TestKind": "formula-translates",
    "Subject": "Requirements.HasEverProducedNegative",
    "TargetTable": "Requirements",
    "TargetField": "HasEverProducedNegative",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Requirements.HasEverProducedNegative",
    "IsBlocking": true,
    "IsPassing": true,
    "IsFailing": false,
    "NeedsAttention": false,
    "PassingSuiteKey": "suite-substrate",
    "NeedsAttentionSuiteKey": null
   },
   {
    "TestCaseId": "tc-xlate-requirements-is_unfalsified_control",
    "TestKind": "formula-translates",
    "Subject": "Requirements.IsUnfalsifiedControl",
    "TargetTable": "Requirements",
    "TargetField": "IsUnfalsifiedControl",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Requirements.IsUnfalsifiedControl",
    "IsBlocking": true,
    "IsPassing": true,
    "IsFailing": false,
    "NeedsAttention": false,
    "PassingSuiteKey": "suite-substrate",
    "NeedsAttentionSuiteKey": null
   },
   {
    "TestCaseId": "tc-xlate-requirements-claims_a_witness_field",
    "TestKind": "formula-translates",
    "Subject": "Requirements.ClaimsAWitnessField",
    "TargetTable": "Requirements",
    "TargetField": "ClaimsAWitnessField",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Requirements.ClaimsAWitnessField",
    "IsBlocking": true,
    "IsPassing": true,
    "IsFailing": false,
    "NeedsAttention": false,
    "PassingSuiteKey": "suite-substrate",
    "NeedsAttentionSuiteKey": null
   },
   {
    "TestCaseId": "tc-xlate-requirements-named_witness_field_exists",
    "TestKind": "formula-translates",
    "Subject": "Requirements.NamedWitnessFieldExists",
    "TargetTable": "Requirements",
    "TargetField": "NamedWitnessFieldExists",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Requirements.NamedWitnessFieldExists",
    "IsBlocking": true,
    "IsPassing": true,
    "IsFailing": false,
    "NeedsAttention": false,
    "PassingSuiteKey": "suite-substrate",
    "NeedsAttentionSuiteKey": null
   },
   {
    "TestCaseId": "tc-xlate-requirements-derived_has_computed_witness",
    "TestKind": "formula-translates",
    "Subject": "Requirements.DerivedHasComputedWitness",
    "TargetTable": "Requirements",
    "TargetField": "DerivedHasComputedWitness",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Requirements.DerivedHasComputedWitness",
    "IsBlocking": true,
    "IsPassing": true,
    "IsFailing": false,
    "NeedsAttention": false,
    "PassingSuiteKey": "suite-substrate",
    "NeedsAttentionSuiteKey": null
   },
   {
    "TestCaseId": "tc-xlate-requirements-witness_claim_is_unverified",
    "TestKind": "formula-translates",
    "Subject": "Requirements.WitnessClaimIsUnverified",
    "TargetTable": "Requirements",
    "TargetField": "WitnessClaimIsUnverified",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Requirements.WitnessClaimIsUnverified",
    "IsBlocking": true,
    "IsPassing": true,
    "IsFailing": false,
    "NeedsAttention": false,
    "PassingSuiteKey": "suite-substrate",
    "NeedsAttentionSuiteKey": null
   },
   {
    "TestCaseId": "tc-xlate-requirements-is_unwitnessed_blocking_control",
    "TestKind": "formula-translates",
    "Subject": "Requirements.IsUnwitnessedBlockingControl",
    "TargetTable": "Requirements",
    "TargetField": "IsUnwitnessedBlockingControl",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Requirements.IsUnwitnessedBlockingControl",
    "IsBlocking": true,
    "IsPassing": true,
    "IsFailing": false,
    "NeedsAttention": false,
    "PassingSuiteKey": "suite-substrate",
    "NeedsAttentionSuiteKey": null
   },
   {
    "TestCaseId": "tc-xlate-requirements-witness_fire_count",
    "TestKind": "formula-translates",
    "Subject": "Requirements.WitnessFireCount",
    "TargetTable": "Requirements",
    "TargetField": "WitnessFireCount",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Requirements.WitnessFireCount",
    "IsBlocking": true,
    "IsPassing": true,
    "IsFailing": false,
    "NeedsAttention": false,
    "PassingSuiteKey": "suite-substrate",
    "NeedsAttentionSuiteKey": null
   },
   {
    "TestCaseId": "tc-xlate-requirements-witness_has_never_fired",
    "TestKind": "formula-translates",
    "Subject": "Requirements.WitnessHasNeverFired",
    "TargetTable": "Requirements",
    "TargetField": "WitnessHasNeverFired",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Requirements.WitnessHasNeverFired",
    "IsBlocking": true,
    "IsPassing": true,
    "IsFailing": false,
    "NeedsAttention": false,
    "PassingSuiteKey": "suite-substrate",
    "NeedsAttentionSuiteKey": null
   },
   {
    "TestCaseId": "tc-xlate-requirements-evaluation_sample_size",
    "TestKind": "formula-translates",
    "Subject": "Requirements.EvaluationSampleSize",
    "TargetTable": "Requirements",
    "TargetField": "EvaluationSampleSize",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Requirements.EvaluationSampleSize",
    "IsBlocking": true,
    "IsPassing": true,
    "IsFailing": false,
    "NeedsAttention": false,
    "PassingSuiteKey": "suite-substrate",
    "NeedsAttentionSuiteKey": null
   },
   {
    "TestCaseId": "tc-xlate-requirements-has_meaningful_sample",
    "TestKind": "formula-translates",
    "Subject": "Requirements.HasMeaningfulSample",
    "TargetTable": "Requirements",
    "TargetField": "HasMeaningfulSample",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Requirements.HasMeaningfulSample",
    "IsBlocking": true,
    "IsPassing": true,
    "IsFailing": false,
    "NeedsAttention": false,
    "PassingSuiteKey": "suite-substrate",
    "NeedsAttentionSuiteKey": null
   },
   {
    "TestCaseId": "tc-xlate-requirements-is_untested_witness",
    "TestKind": "formula-translates",
    "Subject": "Requirements.IsUntestedWitness",
    "TargetTable": "Requirements",
    "TargetField": "IsUntestedWitness",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Requirements.IsUntestedWitness",
    "IsBlocking": true,
    "IsPassing": true,
    "IsFailing": false,
    "NeedsAttention": false,
    "PassingSuiteKey": "suite-substrate",
    "NeedsAttentionSuiteKey": null
   },
   {
    "TestCaseId": "tc-xlate-requirements-is_evidenced_holding_control",
    "TestKind": "formula-translates",
    "Subject": "Requirements.IsEvidencedHoldingControl",
    "TargetTable": "Requirements",
    "TargetField": "IsEvidencedHoldingControl",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Requirements.IsEvidencedHoldingControl",
    "IsBlocking": true,
    "IsPassing": true,
    "IsFailing": false,
    "NeedsAttention": false,
    "PassingSuiteKey": "suite-substrate",
    "NeedsAttentionSuiteKey": null
   },
   {
    "TestCaseId": "tc-xlate-requirements-control_assurance_state",
    "TestKind": "formula-translates",
    "Subject": "Requirements.ControlAssuranceState",
    "TargetTable": "Requirements",
    "TargetField": "ControlAssuranceState",
    "Assertion": "The transpiler emitted a real SQL function for this formula rather than a NULL stub.",
    "DefendsQuestion": "q2-ctl-witness-never-fired",
    "Suite": "suite-substrate",
    "Severity": "blocking",
    "LastOutcome": "PASS",
    "LastDetail": "translated",
    "LastRunAt": "2026-07-20T03:06:49+00:00",
    "SemanticTypeIri": "urn:effortless:pko-extension#TestCase",
    "Name": "formula-translates: Requirements.ControlAssuranceState",
    "IsBlocking": true,
    "IsPassing": true,
    "IsFailing": false,
    "NeedsAttention": false,
    "PassingSuiteKey": "suite-substrate",
    "NeedsAttentionSuiteKey": null
   },
   {
    "TestCaseId": "tc-xlate-requirements-unexercised_binding_count",
    "TestKind": "formula-translates",
    "Subject": "Requirements.UnexercisedBindingCount",
    "TargetTable": "Requirements",
    "TargetField": "UnexercisedBindingCount",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Requirements.UnexercisedBindingCount",
    "IsBlocking": true,
    "IsPassing": true,
    "IsFailing": false,
    "NeedsAttention": false,
    "PassingSuiteKey": "suite-substrate",
    "NeedsAttentionSuiteKey": null
   },
   {
    "TestCaseId": "tc-xlate-requirements-witness_is_partially_scoped",
    "TestKind": "formula-translates",
    "Subject": "Requirements.WitnessIsPartiallyScoped",
    "TargetTable": "Requirements",
    "TargetField": "WitnessIsPartiallyScoped",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Requirements.WitnessIsPartiallyScoped",
    "IsBlocking": true,
    "IsPassing": true,
    "IsFailing": false,
    "NeedsAttention": false,
    "PassingSuiteKey": "suite-substrate",
    "NeedsAttentionSuiteKey": null
   },
   {
    "TestCaseId": "tc-xlate-requirements-accountable_agent",
    "TestKind": "formula-translates",
    "Subject": "Requirements.AccountableAgent",
    "TargetTable": "Requirements",
    "TargetField": "AccountableAgent",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Requirements.AccountableAgent",
    "IsBlocking": true,
    "IsPassing": true,
    "IsFailing": false,
    "NeedsAttention": false,
    "PassingSuiteKey": "suite-substrate",
    "NeedsAttentionSuiteKey": null
   },
   {
    "TestCaseId": "tc-xlate-requirements-has_named_owner",
    "TestKind": "formula-translates",
    "Subject": "Requirements.HasNamedOwner",
    "TargetTable": "Requirements",
    "TargetField": "HasNamedOwner",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Requirements.HasNamedOwner",
    "IsBlocking": true,
    "IsPassing": true,
    "IsFailing": false,
    "NeedsAttention": false,
    "PassingSuiteKey": "suite-substrate",
    "NeedsAttentionSuiteKey": null
   },
   {
    "TestCaseId": "tc-xlate-requirements-is_orphaned_blocking_control",
    "TestKind": "formula-translates",
    "Subject": "Requirements.IsOrphanedBlockingControl",
    "TargetTable": "Requirements",
    "TargetField": "IsOrphanedBlockingControl",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Requirements.IsOrphanedBlockingControl",
    "IsBlocking": true,
    "IsPassing": true,
    "IsFailing": false,
    "NeedsAttention": false,
    "PassingSuiteKey": "suite-substrate",
    "NeedsAttentionSuiteKey": null
   },
   {
    "TestCaseId": "tc-xlate-requirements-is_unwatched_and_unowned",
    "TestKind": "formula-translates",
    "Subject": "Requirements.IsUnwatchedAndUnowned",
    "TargetTable": "Requirements",
    "TargetField": "IsUnwatchedAndUnowned",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Requirements.IsUnwatchedAndUnowned",
    "IsBlocking": true,
    "IsPassing": true,
    "IsFailing": false,
    "NeedsAttention": false,
    "PassingSuiteKey": "suite-substrate",
    "NeedsAttentionSuiteKey": null
   },
   {
    "TestCaseId": "tc-xlate-requirements-attestation_exposure_note",
    "TestKind": "formula-translates",
    "Subject": "Requirements.AttestationExposureNote",
    "TargetTable": "Requirements",
    "TargetField": "AttestationExposureNote",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Requirements.AttestationExposureNote",
    "IsBlocking": true,
    "IsPassing": true,
    "IsFailing": false,
    "NeedsAttention": false,
    "PassingSuiteKey": "suite-substrate",
    "NeedsAttentionSuiteKey": null
   },
   {
    "TestCaseId": "tc-xlate-requirements-unwatched_unowned_flag",
    "TestKind": "formula-translates",
    "Subject": "Requirements.UnwatchedUnownedFlag",
    "TargetTable": "Requirements",
    "TargetField": "UnwatchedUnownedFlag",
    "Assertion": "The transpiler emitted a real SQL function for this formula rather than a NULL stub.",
    "DefendsQuestion": "q2-cfo-controls-nobody-is-watching",
    "Suite": "suite-substrate",
    "Severity": "blocking",
    "LastOutcome": "PASS",
    "LastDetail": "translated",
    "LastRunAt": "2026-07-20T03:06:49+00:00",
    "SemanticTypeIri": "urn:effortless:pko-extension#TestCase",
    "Name": "formula-translates: Requirements.UnwatchedUnownedFlag",
    "IsBlocking": true,
    "IsPassing": true,
    "IsFailing": false,
    "NeedsAttention": false,
    "PassingSuiteKey": "suite-substrate",
    "NeedsAttentionSuiteKey": null
   },
   {
    "TestCaseId": "tc-xlate-step_requirements-name",
    "TestKind": "formula-translates",
    "Subject": "StepRequirements.Name",
    "TargetTable": "StepRequirements",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StepRequirements.Name",
    "IsBlocking": true,
    "IsPassing": true,
    "IsFailing": false,
    "NeedsAttention": false,
    "PassingSuiteKey": "suite-substrate",
    "NeedsAttentionSuiteKey": null
   },
   {
    "TestCaseId": "tc-xlate-step_requirements-requirement_is_blocking",
    "TestKind": "formula-translates",
    "Subject": "StepRequirements.RequirementIsBlocking",
    "TargetTable": "StepRequirements",
    "TargetField": "RequirementIsBlocking",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StepRequirements.RequirementIsBlocking",
    "IsBlocking": true,
    "IsPassing": true,
    "IsFailing": false,
    "NeedsAttention": false,
    "PassingSuiteKey": "suite-substrate",
    "NeedsAttentionSuiteKey": null
   },
   {
    "TestCaseId": "tc-xlate-step_requirements-blocking_step_key",
    "TestKind": "formula-translates",
    "Subject": "StepRequirements.BlockingStepKey",
    "TargetTable": "StepRequirements",
    "TargetField": "BlockingStepKey",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StepRequirements.BlockingStepKey",
    "IsBlocking": true,
    "IsPassing": true,
    "IsFailing": false,
    "NeedsAttention": false,
    "PassingSuiteKey": "suite-substrate",
    "NeedsAttentionSuiteKey": null
   },
   {
    "TestCaseId": "tc-xlate-step_requirements-step_when_blocking",
    "TestKind": "formula-translates",
    "Subject": "StepRequirements.StepWhenBlocking",
    "TargetTable": "StepRequirements",
    "TargetField": "StepWhenBlocking",
    "Assertion": "The transpiler emitted a real SQL function for this formula rather than a NULL stub.",
    "DefendsQuestion": "q-close-auto-blocking-requirements-evaluated",
    "Suite": "suite-substrate",
    "Severity": </t>
  </si>
  <si>
    <t xml:space="preserve">"blocking",
    "LastOutcome": "PASS",
    "LastDetail": "translated",
    "LastRunAt": "2026-07-20T03:06:49+00:00",
    "SemanticTypeIri": "urn:effortless:pko-extension#TestCase",
    "Name": "formula-translates: StepRequirements.StepWhenBlocking",
    "IsBlocking": true,
    "IsPassing": true,
    "IsFailing": false,
    "NeedsAttention": false,
    "PassingSuiteKey": "suite-substrate",
    "NeedsAttentionSuiteKey": null
   },
   {
    "TestCaseId": "tc-xlate-step_requirements-requirement_lacks_witness",
    "TestKind": "formula-translates",
    "Subject": "StepRequirements.RequirementLacksWitness",
    "TargetTable": "StepRequirements",
    "TargetField": "RequirementLacksWitness",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StepRequirements.RequirementLacksWitness",
    "IsBlocking": true,
    "IsPassing": true,
    "IsFailing": false,
    "NeedsAttention": false,
    "PassingSuiteKey": "suite-substrate",
    "NeedsAttentionSuiteKey": null
   },
   {
    "TestCaseId": "tc-xlate-step_requirements-unwitnessed_step_key",
    "TestKind": "formula-translates",
    "Subject": "StepRequirements.UnwitnessedStepKey",
    "TargetTable": "StepRequirements",
    "TargetField": "UnwitnessedStepKey",
    "Assertion": "The transpiler emitted a real SQL function for this formula rather than a NULL stub.",
    "DefendsQuestion": "q2-fa-witness-coverage-of-my-steps",
    "Suite": "suite-substrate",
    "Severity": "blocking",
    "LastOutcome": "PASS",
    "LastDetail": "translated",
    "LastRunAt": "2026-07-20T03:06:49+00:00",
    "SemanticTypeIri": "urn:effortless:pko-extension#TestCase",
    "Name": "formula-translates: StepRequirements.UnwitnessedStepKey",
    "IsBlocking": true,
    "IsPassing": true,
    "IsFailing": false,
    "NeedsAttention": false,
    "PassingSuiteKey": "suite-substrate",
    "NeedsAttentionSuiteKey": null
   },
   {
    "TestCaseId": "tc-xlate-step_requirements-satisfaction_count_for_binding",
    "TestKind": "formula-translates",
    "Subject": "StepRequirements.SatisfactionCountForBinding",
    "TargetTable": "StepRequirements",
    "TargetField": "SatisfactionCountForBinding",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StepRequirements.SatisfactionCountForBinding",
    "IsBlocking": true,
    "IsPassing": true,
    "IsFailing": false,
    "NeedsAttention": false,
    "PassingSuiteKey": "suite-substrate",
    "NeedsAttentionSuiteKey": null
   },
   {
    "TestCaseId": "tc-xlate-step_requirements-binding_was_ever_exercised",
    "TestKind": "formula-translates",
    "Subject": "StepRequirements.BindingWasEverExercised",
    "TargetTable": "StepRequirements",
    "TargetField": "BindingWasEverExercised",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StepRequirements.BindingWasEverExercised",
    "IsBlocking": true,
    "IsPassing": true,
    "IsFailing": false,
    "NeedsAttention": false,
    "PassingSuiteKey": "suite-substrate",
    "NeedsAttentionSuiteKey": null
   },
   {
    "TestCaseId": "tc-xlate-step_requirements-is_unexercised_blocking_binding",
    "TestKind": "formula-translates",
    "Subject": "StepRequirements.IsUnexercisedBlockingBinding",
    "TargetTable": "StepRequirements",
    "TargetField": "IsUnexercisedBlockingBinding",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StepRequirements.IsUnexercisedBlockingBinding",
    "IsBlocking": true,
    "IsPassing": true,
    "IsFailing": false,
    "NeedsAttention": false,
    "PassingSuiteKey": "suite-substrate",
    "NeedsAttentionSuiteKey": null
   },
   {
    "TestCaseId": "tc-xlate-step_requirements-unexercised_binding_requirement_key",
    "TestKind": "formula-translates",
    "Subject": "StepRequirements.UnexercisedBindingRequirementKey",
    "TargetTable": "StepRequirements",
    "TargetField": "UnexercisedBindingRequirementKey",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StepRequirements.UnexercisedBindingRequirementKey",
    "IsBlocking": true,
    "IsPassing": true,
    "IsFailing": false,
    "NeedsAttention": false,
    "PassingSuiteKey": "suite-substrate",
    "NeedsAttentionSuiteKey": null
   },
   {
    "TestCaseId": "tc-xlate-step_verifications-name",
    "TestKind": "formula-translates",
    "Subject": "StepVerifications.Name",
    "TargetTable": "StepVerifications",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StepVerifications.Name",
    "IsBlocking": true,
    "IsPassing": true,
    "IsFailing": false,
    "NeedsAttention": false,
    "PassingSuiteKey": "suite-substrate",
    "NeedsAttentionSuiteKey": null
   },
   {
    "TestCaseId": "tc-xlate-rationales-name",
    "TestKind": "formula-translates",
    "Subject": "Rationales.Name",
    "TargetTable": "Rationales",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Rationales.Name",
    "IsBlocking": true,
    "IsPassing": true,
    "IsFailing": false,
    "NeedsAttention": false,
    "PassingSuiteKey": "suite-substrate",
    "NeedsAttentionSuiteKey": null
   },
   {
    "TestCaseId": "tc-xlate-exceptions-name",
    "TestKind": "formula-translates",
    "Subject": "Exceptions.Name",
    "TargetTable": "Exceptions",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Exceptions.Name",
    "IsBlocking": true,
    "IsPassing": true,
    "IsFailing": false,
    "NeedsAttention": false,
    "PassingSuiteKey": "suite-substrate",
    "NeedsAttentionSuiteKey": null
   },
   {
    "TestCaseId": "tc-xlate-exceptions-active_exception_step_key",
    "TestKind": "formula-translates",
    "Subject": "Exceptions.ActiveExceptionStepKey",
    "TargetTable": "Exceptions",
    "TargetField": "ActiveExceptionStepKey",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Exceptions.ActiveExceptionStepKey",
    "IsBlocking": true,
    "IsPassing": true,
    "IsFailing": false,
    "NeedsAttention": false,
    "PassingSuiteKey": "suite-substrate",
    "NeedsAttentionSuiteKey": null
   },
   {
    "TestCaseId": "tc-xlate-resources-name",
    "TestKind": "formula-translates",
    "Subject": "Resources.Name",
    "TargetTable": "Resources",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Resources.Name",
    "IsBlocking": true,
    "IsPassing": true,
    "IsFailing": false,
    "NeedsAttention": false,
    "PassingSuiteKey": "suite-substrate",
    "NeedsAttentionSuiteKey": null
   },
   {
    "TestCaseId": "tc-xlate-resources-is_approved_source",
    "TestKind": "formula-translates",
    "Subject": "Resources.IsApprovedSource",
    "TargetTable": "Resources",
    "TargetField": "IsApprovedSource",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Resources.IsApprovedSource",
    "IsBlocking": true,
    "IsPassing": true,
    "IsFailing": false,
    "NeedsAttention": false,
    "PassingSuiteKey": "suite-substrate",
    "NeedsAttentionSuiteKey": null
   },
   {
    "TestCaseId": "tc-xlate-procedure_resources-name",
    "TestKind": "formula-translates",
    "Subject": "ProcedureResources.Name",
    "TargetTable": "ProcedureResources",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ProcedureResources.Name",
    "IsBlocking": true,
    "IsPassing": true,
    "IsFailing": false,
    "NeedsAttention": false,
    "PassingSuiteKey": "suite-substrate",
    "NeedsAttentionSuiteKey": null
   },
   {
    "TestCaseId": "tc-xlate-procedure_resources-relation_iri",
    "TestKind": "formula-translates",
    "Subject": "ProcedureResources.RelationIri",
    "TargetTable": "ProcedureResources",
    "TargetField": "RelationIri",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ProcedureResources.RelationIri",
    "IsBlocking": true,
    "IsPassing": true,
    "IsFailing": false,
    "NeedsAttention": false,
    "PassingSuiteKey": "suite-substrate",
    "NeedsAttentionSuiteKey": null
   },
   {
    "TestCaseId": "tc-xlate-elicitation_sessions-name",
    "TestKind": "formula-translates",
    "Subject": "ElicitationSessions.Name",
    "TargetTable": "ElicitationSessions",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ElicitationSessions.Name",
    "IsBlocking": true,
    "IsPassing": true,
    "IsFailing": false,
    "NeedsAttention": false,
    "PassingSuiteKey": "suite-substrate",
    "NeedsAttentionSuiteKey": null
   },
   {
    "TestCaseId": "tc-xlate-elicitation_sessions-as_of_instant",
    "TestKind": "formula-translates",
    "Subject": "ElicitationSessions.AsOfInstant",
    "TargetTable": "ElicitationSessions",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ElicitationSessions.AsOfInstant",
    "IsBlocking": true,
    "IsPassing": true,
    "IsFailing": false,
    "NeedsAttention": false,
    "PassingSuiteKey": "suite-substrate",
    "NeedsAttentionSuiteKey": null
   },
   {
    "TestCaseId": "tc-xlate-elicitation_sessions-days_since_elicited",
    "TestKind": "formula-translates",
    "Subject": "ElicitationSessions.DaysSinceElicited",
    "TargetTable": "ElicitationSessions",
    "TargetField": "DaysSinceElicited",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ElicitationSessions.DaysSinceElicited",
    "IsBlocking": true,
    "IsPassing": true,
    "IsFailing": false,
    "NeedsAttention": false,
    "PassingSuiteKey": "suite-substrate",
    "NeedsAttentionSuiteKey": null
   },
   {
    "TestCaseId": "tc-xlate-elicitation_sessions-is_single_witness_method",
    "TestKind": "formula-translates",
    "Subject": "ElicitationSessions.IsSingleWitnessMethod",
    "TargetTable": "ElicitationSessions",
    "TargetField": "IsSingleWitnessMethod",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ElicitationSessions.IsSingleWitnessMethod",
    "IsBlocking": true,
    "IsPassing": true,
    "IsFailing": false,
    "NeedsAttention": false,
    "PassingSuiteKey": "suite-substrate",
    "NeedsAttentionSuiteKey": null
   },
   {
    "TestCaseId": "tc-xlate-elicitation_sessions-practitioner_is_still_engaged",
    "TestKind": "formula-translates",
    "Subject": "ElicitationSessions.PractitionerIsStillEngaged",
    "TargetTable": "ElicitationSessions",
    "TargetField": "PractitionerIsStillEngaged",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ElicitationSessions.PractitionerIsStillEngaged",
    "IsBlocking": true,
    "IsPassing": true,
    "IsFailing": false,
    "NeedsAttention": false,
    "PassingSuiteKey": "suite-substrate",
    "NeedsAttentionSuiteKey": null
   },
   {
    "TestCaseId": "tc-xlate-elicitation_sessions-valid_fragments_produced",
    "TestKind": "formula-translates",
    "Subject": "ElicitationSessions.ValidFragmentsProduced",
    "TargetTable": "ElicitationSessions",
    "TargetField": "ValidFragmentsProduced",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ElicitationSessions.ValidFragmentsProduced",
    "IsBlocking": true,
    "IsPassing": true,
    "IsFailing": false,
    "NeedsAttention": false,
    "PassingSuiteKey": "suite-substrate",
    "NeedsAttentionSuiteKey": null
   },
   {
    "TestCaseId": "tc-xlate-elicitation_sessions-is_high_yield_session",
    "TestKind": "formula-translates",
    "Subject": "ElicitationSessions.IsHighYieldSession",
    "TargetTable": "ElicitationSessions",
    "TargetField": "IsHighYieldSession",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ElicitationSessions.IsHighYieldSession",
    "IsBlocking": true,
    "IsPassing": true,
    "IsFailing": false,
    "NeedsAttention": false,
    "PassingSuiteKey": "suite-substrate",
    "NeedsAttentionSuiteKey": null
   },
   {
    "TestCaseId": "tc-xlate-elicitation_sessions-is_concentrated_single_witness",
    "TestKind": "formula-translates",
    "Subject": "ElicitationSessions.IsConcentratedSingleWitness",
    "TargetTable": "ElicitationSessions",
    "TargetField": "IsConcentratedSingleWitness",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ElicitationSessions.IsConcentratedSingleWitness",
    "IsBlocking": true,
    "IsPassing": true,
    "IsFailing": false,
    "NeedsAttention": false,
    "PassingSuiteKey": "suite-substrate",
    "NeedsAttentionSuiteKey": null
   },
   {
    "TestCaseId": "tc-xlate-elicitation_sessions-is_stale_concentrated_witness",
    "TestKind": "formula-translates",
    "Subject": "ElicitationSessions.IsStaleConcentratedWitness",
    "TargetTable": "ElicitationSessions",
    "TargetField": "IsStaleConcentratedWitness",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ElicitationSessions.IsStaleConcentratedWitness",
    "IsBlocking": true,
    "IsPassing": true,
    "IsFailing": false,
    "NeedsAttention": false,
    "PassingSuiteKey": "suite-substrate",
    "NeedsAttentionSuiteKey": null
   },
   {
    "TestCaseId": "tc-xlate-elicitation_sessions-concentrated_session_version_key",
    "TestKind": "formula-translates",
    "Subject": "ElicitationSessions.ConcentratedSessionVersionKey",
    "TargetTable": "ElicitationSessions",
    "TargetField": "ConcentratedSessionVersionKey",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ElicitationSessions.ConcentratedSessionVersionKey",
    "IsBlocking": true,
    "IsPassing": true,
    "IsFailing": false,
    "NeedsAttention": false,
    "PassingSuiteKey": "suite-substrate",
    "NeedsAttentionSuiteKey": null
   },
   {
    "TestCaseId": "tc-xlate-knowledge_fragments-name",
    "TestKind": "formula-translates",
    "Subject": "KnowledgeFragments.Name",
    "TargetTable": "KnowledgeFragments",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KnowledgeFragments.Name",
    "IsBlocking": true,
    "IsPassing": true,
    "IsFailing": false,
    "NeedsAttention": false,
    "PassingSuiteKey": "suite-substrate",
    "NeedsAttentionSuiteKey": null
   },
   {
    "TestCaseId": "tc-xlate-knowledge_fragments-as_of_instant",
    "TestKind": "formula-translates",
    "Subject": "KnowledgeFragments.AsOfInstant",
    "TargetTable": "KnowledgeFragments",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KnowledgeFragments.AsOfInstant",
    "IsBlocking": true,
    "IsPassing": true,
    "IsFailing": false,
    "NeedsAttention": false,
    "PassingSuiteKey": "suite-substrate",
    "NeedsAttentionSuiteKey": null
   },
   {
    "TestCaseId": "tc-xlate-knowledge_fragments-is_currently_valid",
    "TestKind": "formula-translates",
    "Subject": "KnowledgeFragments.IsCurrentlyValid",
    "TargetTable": "KnowledgeFragments",
    "TargetField": "IsCurrentlyValid",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KnowledgeFragments.IsCurrentlyValid",
    "IsBlocking": true,
    "IsPassing": true,
    "IsFailing": false,
    "NeedsAttention": false,
    "PassingSuiteKey": "suite-substrate",
    "NeedsAttentionSuiteKey": null
   },
   {
    "TestCaseId": "tc-xlate-knowledge_fragments-source_agent_is_still_engaged",
    "TestKind": "formula-translates",
    "Subject": "KnowledgeFragments.SourceAgentIsStillEngaged",
    "TargetTable": "KnowledgeFragments",
    "TargetField": "SourceAgentIsStillEngaged",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KnowledgeFragments.SourceAgentIsStillEngaged",
    "IsBlocking": true,
    "IsPassing": true,
    "IsFailing": false,
    "NeedsAttention": false,
    "PassingSuiteKey": "suite-substrate",
    "NeedsAttentionSuiteKey": null
   },
   {
    "TestCaseId": "tc-xlate-knowledge_fragments-source_agent_kind",
    "TestKind": "formula-translates",
    "Subject": "KnowledgeFragments.SourceAgentKind",
    "TargetTable": "KnowledgeFragments",
    "TargetField": "SourceAgentKind",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KnowledgeFragments.SourceAgentKind",
    "IsBlocking": true,
    "IsPassing": true,
    "IsFailing": false,
    "NeedsAttention": false,
    "PassingSuiteKey": "suite-substrate",
    "NeedsAttentionSuiteKey": null
   },
   {
    "TestCaseId": "tc-xlate-knowledge_fragments-has_human_source",
    "TestKind": "formula-translates",
    "Subject": "KnowledgeFragments.HasHumanSource",
    "TargetTable": "KnowledgeFragments",
    "TargetField": "HasHumanSource",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KnowledgeFragments.HasHumanSource",
    "IsBlocking": true,
    "IsPassing": true,
    "IsFailing": false,
    "NeedsAttention": false,
    "PassingSuiteKey": "suite-substrate",
    "NeedsAttentionSuiteKey": null
   },
   {
    "TestCaseId": "tc-xlate-knowledge_fragments-has_orphaned_provenance",
    "TestKind": "formula-translates",
    "Subject": "KnowledgeFragments.HasOrphanedProvenance",
    "TargetTable": "KnowledgeFragments",
    "TargetField": "HasOrphanedProvenance",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KnowledgeFragments.HasOrphanedProvenance",
    "IsBlocking": true,
    "IsPassing": true,
    "IsFailing": false,
    "NeedsAttention": false,
    "PassingSuiteKey": "suite-substrate",
    "NeedsAttentionSuiteKey": null
   },
   {
    "TestCaseId": "tc-xlate-knowledge_fragments-is_undefendable_tacit_claim",
    "TestKind": "formula-translates",
    "Subject": "KnowledgeFragments.IsUndefendableTacitClaim",
    "TargetTable": "KnowledgeFragments",
    "TargetField": "IsUndefendableTacitClaim",
    "Assertion": "The transpiler emitted a real SQL function for this formula rather than a NULL stub.",
    "DefendsQuestion": "q-authority-orphaned-provenance",
    "Suite": "suite-substrate",
    "Severity": "blocking",
    "LastOutcome": "PASS",
    "LastDetail": "translated",
    "LastRunAt": "2026-07-20T03:06:49+00:00",
    "SemanticTypeIri": "urn:effortless:pko-extension#TestCase",
    "Name": "formula-translates: KnowledgeFragments.IsUndefendableTacitClaim",
    "IsBlocking": true,
    "IsPassing": true,
    "IsFailing": false,
    "NeedsAttention": false,
    "PassingSuiteKey": "suite-substrate",
    "NeedsAttentionSuiteKey": null
   },
   {
    "TestCaseId": "tc-xlate-knowledge_fragments-is_approved",
    "TestKind": "formula-translates",
    "Subject": "KnowledgeFragments.IsApproved",
    "TargetTable": "KnowledgeFragments",
    "TargetField": "IsApproved",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KnowledgeFragments.IsApproved",
    "IsBlocking": true,
    "IsPassing": true,
    "IsFailing": false,
    "NeedsAttention": false,
    "PassingSuiteKey": "suite-substrate",
    "NeedsAttentionSuiteKey": null
   },
   {
    "TestCaseId": "tc-xlate-knowledge_fragments-is_within_validity_window",
    "TestKind": "formula-translates",
    "Subject": "KnowledgeFragments.IsWithinValidityWindow",
    "TargetTable": "KnowledgeFragments",
    "TargetField": "IsWithinValidityWindow",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KnowledgeFragments.IsWithinValidityWindow",
    "IsBlocking": true,
    "IsPassing": true,
    "IsFailing": false,
    "NeedsAttention": false,
    "PassingSuiteKey": "suite-substrate",
    "NeedsAttentionSuiteKey": null
   },
   {
    "TestCaseId": "tc-xlate-knowledge_fragments-is_relied_upon",
    "TestKind": "formula-translates",
    "Subject": "KnowledgeFragments.IsReliedUpon",
    "TargetTable": "KnowledgeFragments",
    "TargetField": "IsReliedUpon",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KnowledgeFragments.IsReliedUpon",
    "IsBlocking": true,
    "IsPassing": true,
    "IsFailing": false,
    "NeedsAttention": false,
    "PassingSuiteKey": "suite-substrate",
    "NeedsAttentionSuiteKey": null
   },
   {
    "TestCaseId": "tc-xlate-knowledge_fragments-step_procedure_version_status",
    "TestKind": "formula-translates",
    "Subject": "KnowledgeFragments.StepProcedureVersionStatus",
    "TargetTable": "KnowledgeFragments",
    "TargetField": "StepProcedureVersionStatus",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KnowledgeFragments.StepProcedureVersionStatus",
    "IsBlocking": true,
    "IsPassing": true,
    "IsFailing": false,
    "NeedsAttention": false,
    "PassingSuiteKey": "suite-substrate",
    "NeedsAttentionSuiteKey": null
   },
   {
    "TestCaseId": "tc-xlate-knowledge_fragments-is_attached_to_live_version",
    "TestKind": "formula-translates",
    "Subject": "KnowledgeFragments.IsAttachedToLiveVersion",
    "TargetTable": "KnowledgeFragments",
    "TargetField": "IsAttachedToLiveVersion",
    "Assertion": "The transpiler emitted a real SQL function for this formula rather than a NULL stub.",
    "DefendsQuestion": "q-authority-non-approved-dependency",
    "Suite": "suite-substrate",
  </t>
  </si>
  <si>
    <t xml:space="preserve">  "Severity": "blocking",
    "LastOutcome": "PASS",
    "LastDetail": "translated",
    "LastRunAt": "2026-07-20T03:06:49+00:00",
    "SemanticTypeIri": "urn:effortless:pko-extension#TestCase",
    "Name": "formula-translates: KnowledgeFragments.IsAttachedToLiveVersion",
    "IsBlocking": true,
    "IsPassing": true,
    "IsFailing": false,
    "NeedsAttention": false,
    "PassingSuiteKey": "suite-substrate",
    "NeedsAttentionSuiteKey": null
   },
   {
    "TestCaseId": "tc-xlate-knowledge_fragments-is_unapproved_but_relied_on",
    "TestKind": "formula-translates",
    "Subject": "KnowledgeFragments.IsUnapprovedButReliedOn",
    "TargetTable": "KnowledgeFragments",
    "TargetField": "IsUnapprovedButReliedOn",
    "Assertion": "The transpiler emitted a real SQL function for this formula rather than a NULL stub.",
    "DefendsQuestion": "q-authority-non-approved-dependency",
    "Suite": "suite-substrate",
    "Severity": "blocking",
    "LastOutcome": "PASS",
    "LastDetail": "translated",
    "LastRunAt": "2026-07-20T03:06:49+00:00",
    "SemanticTypeIri": "urn:effortless:pko-extension#TestCase",
    "Name": "formula-translates: KnowledgeFragments.IsUnapprovedButReliedOn",
    "IsBlocking": true,
    "IsPassing": true,
    "IsFailing": false,
    "NeedsAttention": false,
    "PassingSuiteKey": "suite-substrate",
    "NeedsAttentionSuiteKey": null
   },
   {
    "TestCaseId": "tc-xlate-knowledge_fragments-evidence_age_days",
    "TestKind": "formula-translates",
    "Subject": "KnowledgeFragments.EvidenceAgeDays",
    "TargetTable": "KnowledgeFragments",
    "TargetField": "EvidenceAgeDays",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KnowledgeFragments.EvidenceAgeDays",
    "IsBlocking": true,
    "IsPassing": true,
    "IsFailing": false,
    "NeedsAttention": false,
    "PassingSuiteKey": "suite-substrate",
    "NeedsAttentionSuiteKey": null
   },
   {
    "TestCaseId": "tc-xlate-knowledge_fragments-has_recorded_elicitation",
    "TestKind": "formula-translates",
    "Subject": "KnowledgeFragments.HasRecordedElicitation",
    "TargetTable": "KnowledgeFragments",
    "TargetField": "HasRecordedElicitation",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KnowledgeFragments.HasRecordedElicitation",
    "IsBlocking": true,
    "IsPassing": true,
    "IsFailing": false,
    "NeedsAttention": false,
    "PassingSuiteKey": "suite-substrate",
    "NeedsAttentionSuiteKey": null
   },
   {
    "TestCaseId": "tc-xlate-knowledge_fragments-is_from_single_witness",
    "TestKind": "formula-translates",
    "Subject": "KnowledgeFragments.IsFromSingleWitness",
    "TargetTable": "KnowledgeFragments",
    "TargetField": "IsFromSingleWitness",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KnowledgeFragments.IsFromSingleWitness",
    "IsBlocking": true,
    "IsPassing": true,
    "IsFailing": false,
    "NeedsAttention": false,
    "PassingSuiteKey": "suite-substrate",
    "NeedsAttentionSuiteKey": null
   },
   {
    "TestCaseId": "tc-xlate-knowledge_fragments-evidence_expiry_days",
    "TestKind": "formula-translates",
    "Subject": "KnowledgeFragments.EvidenceExpiryDays",
    "TargetTable": "KnowledgeFragments",
    "TargetField": "EvidenceExpiryDays",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KnowledgeFragments.EvidenceExpiryDays",
    "IsBlocking": true,
    "IsPassing": true,
    "IsFailing": false,
    "NeedsAttention": false,
    "PassingSuiteKey": "suite-substrate",
    "NeedsAttentionSuiteKey": null
   },
   {
    "TestCaseId": "tc-xlate-knowledge_fragments-evidence_has_expired",
    "TestKind": "formula-translates",
    "Subject": "KnowledgeFragments.EvidenceHasExpired",
    "TargetTable": "KnowledgeFragments",
    "TargetField": "EvidenceHasExpired",
    "Assertion": "The transpiler emitted a real SQL function for this formula rather than a NULL stub.",
    "DefendsQuestion": "q-authority-stale-elicitation",
    "Suite": "suite-substrate",
    "Severity": "blocking",
    "LastOutcome": "PASS",
    "LastDetail": "translated",
    "LastRunAt": "2026-07-20T03:06:49+00:00",
    "SemanticTypeIri": "urn:effortless:pko-extension#TestCase",
    "Name": "formula-translates: KnowledgeFragments.EvidenceHasExpired",
    "IsBlocking": true,
    "IsPassing": true,
    "IsFailing": false,
    "NeedsAttention": false,
    "PassingSuiteKey": "suite-substrate",
    "NeedsAttentionSuiteKey": null
   },
   {
    "TestCaseId": "tc-xlate-knowledge_fragments-owner_agent",
    "TestKind": "formula-translates",
    "Subject": "KnowledgeFragments.OwnerAgent",
    "TargetTable": "KnowledgeFragments",
    "TargetField": "OwnerAgent",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KnowledgeFragments.OwnerAgent",
    "IsBlocking": true,
    "IsPassing": true,
    "IsFailing": false,
    "NeedsAttention": false,
    "PassingSuiteKey": "suite-substrate",
    "NeedsAttentionSuiteKey": null
   },
   {
    "TestCaseId": "tc-xlate-knowledge_fragments-is_awaiting_approval",
    "TestKind": "formula-translates",
    "Subject": "KnowledgeFragments.IsAwaitingApproval",
    "TargetTable": "KnowledgeFragments",
    "TargetField": "IsAwaitingApproval",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KnowledgeFragments.IsAwaitingApproval",
    "IsBlocking": true,
    "IsPassing": true,
    "IsFailing": false,
    "NeedsAttention": false,
    "PassingSuiteKey": "suite-substrate",
    "NeedsAttentionSuiteKey": null
   },
   {
    "TestCaseId": "tc-xlate-knowledge_fragments-owner_is_me",
    "TestKind": "formula-translates",
    "Subject": "KnowledgeFragments.OwnerIsMe",
    "TargetTable": "KnowledgeFragments",
    "TargetField": "OwnerIsMe",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KnowledgeFragments.OwnerIsMe",
    "IsBlocking": true,
    "IsPassing": true,
    "IsFailing": false,
    "NeedsAttention": false,
    "PassingSuiteKey": "suite-substrate",
    "NeedsAttentionSuiteKey": null
   },
   {
    "TestCaseId": "tc-xlate-knowledge_fragments-is_my_unfinished_approval",
    "TestKind": "formula-translates",
    "Subject": "KnowledgeFragments.IsMyUnfinishedApproval",
    "TargetTable": "KnowledgeFragments",
    "TargetField": "IsMyUnfinishedApproval",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KnowledgeFragments.IsMyUnfinishedApproval",
    "IsBlocking": true,
    "IsPassing": true,
    "IsFailing": false,
    "NeedsAttention": false,
    "PassingSuiteKey": "suite-substrate",
    "NeedsAttentionSuiteKey": null
   },
   {
    "TestCaseId": "tc-xlate-knowledge_fragments-is_invoked_by_an_exception",
    "TestKind": "formula-translates",
    "Subject": "KnowledgeFragments.IsInvokedByAnException",
    "TargetTable": "KnowledgeFragments",
    "TargetField": "IsInvokedByAnException",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KnowledgeFragments.IsInvokedByAnException",
    "IsBlocking": true,
    "IsPassing": true,
    "IsFailing": false,
    "NeedsAttention": false,
    "PassingSuiteKey": "suite-substrate",
    "NeedsAttentionSuiteKey": null
   },
   {
    "TestCaseId": "tc-xlate-knowledge_fragments-has_operational_reliance",
    "TestKind": "formula-translates",
    "Subject": "KnowledgeFragments.HasOperationalReliance",
    "TargetTable": "KnowledgeFragments",
    "TargetField": "HasOperationalReliance",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KnowledgeFragments.HasOperationalReliance",
    "IsBlocking": true,
    "IsPassing": true,
    "IsFailing": false,
    "NeedsAttention": false,
    "PassingSuiteKey": "suite-substrate",
    "NeedsAttentionSuiteKey": null
   },
   {
    "TestCaseId": "tc-xlate-knowledge_fragments-is_unapproved_and_operationally_live",
    "TestKind": "formula-translates",
    "Subject": "KnowledgeFragments.IsUnapprovedAndOperationallyLive",
    "TargetTable": "KnowledgeFragments",
    "TargetField": "IsUnapprovedAndOperationallyLive",
    "Assertion": "The transpiler emitted a real SQL function for this formula rather than a NULL stub.",
    "DefendsQuestion": "q-hr-unapproved-knowledge-in-my-name",
    "Suite": "suite-substrate",
    "Severity": "blocking",
    "LastOutcome": "PASS",
    "LastDetail": "translated",
    "LastRunAt": "2026-07-20T03:06:49+00:00",
    "SemanticTypeIri": "urn:effortless:pko-extension#TestCase",
    "Name": "formula-translates: KnowledgeFragments.IsUnapprovedAndOperationallyLive",
    "IsBlocking": true,
    "IsPassing": true,
    "IsFailing": false,
    "NeedsAttention": false,
    "PassingSuiteKey": "suite-substrate",
    "NeedsAttentionSuiteKey": null
   },
   {
    "TestCaseId": "tc-xlate-knowledge_fragments-age_days",
    "TestKind": "formula-translates",
    "Subject": "KnowledgeFragments.AgeDays",
    "TargetTable": "KnowledgeFragments",
    "TargetField": "AgeDays",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KnowledgeFragments.AgeDays",
    "IsBlocking": true,
    "IsPassing": true,
    "IsFailing": false,
    "NeedsAttention": false,
    "PassingSuiteKey": "suite-substrate",
    "NeedsAttentionSuiteKey": null
   },
   {
    "TestCaseId": "tc-xlate-knowledge_fragments-is_low_confidence",
    "TestKind": "formula-translates",
    "Subject": "KnowledgeFragments.IsLowConfidence",
    "TargetTable": "KnowledgeFragments",
    "TargetField": "IsLowConfidence",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KnowledgeFragments.IsLowConfidence",
    "IsBlocking": true,
    "IsPassing": true,
    "IsFailing": false,
    "NeedsAttention": false,
    "PassingSuiteKey": "suite-substrate",
    "NeedsAttentionSuiteKey": null
   },
   {
    "TestCaseId": "tc-xlate-knowledge_fragments-owning_version_cadence_days",
    "TestKind": "formula-translates",
    "Subject": "KnowledgeFragments.OwningVersionCadenceDays",
    "TargetTable": "KnowledgeFragments",
    "TargetField": "OwningVersionCadenceDays",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KnowledgeFragments.OwningVersionCadenceDays",
    "IsBlocking": true,
    "IsPassing": true,
    "IsFailing": false,
    "NeedsAttention": false,
    "PassingSuiteKey": "suite-substrate",
    "NeedsAttentionSuiteKey": null
   },
   {
    "TestCaseId": "tc-xlate-knowledge_fragments-exceeds_owning_cadence",
    "TestKind": "formula-translates",
    "Subject": "KnowledgeFragments.ExceedsOwningCadence",
    "TargetTable": "KnowledgeFragments",
    "TargetField": "ExceedsOwningCadence",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KnowledgeFragments.ExceedsOwningCadence",
    "IsBlocking": true,
    "IsPassing": true,
    "IsFailing": false,
    "NeedsAttention": false,
    "PassingSuiteKey": "suite-substrate",
    "NeedsAttentionSuiteKey": null
   },
   {
    "TestCaseId": "tc-xlate-knowledge_fragments-is_aging_low_confidence_claim",
    "TestKind": "formula-translates",
    "Subject": "KnowledgeFragments.IsAgingLowConfidenceClaim",
    "TargetTable": "KnowledgeFragments",
    "TargetField": "IsAgingLowConfidenceClaim",
    "Assertion": "The transpiler emitted a real SQL function for this formula rather than a NULL stub.",
    "DefendsQuestion": "q-hr-policy-knowledge-half-life",
    "Suite": "suite-substrate",
    "Severity": "blocking",
    "LastOutcome": "PASS",
    "LastDetail": "translated",
    "LastRunAt": "2026-07-20T03:06:49+00:00",
    "SemanticTypeIri": "urn:effortless:pko-extension#TestCase",
    "Name": "formula-translates: KnowledgeFragments.IsAgingLowConfidenceClaim",
    "IsBlocking": true,
    "IsPassing": true,
    "IsFailing": false,
    "NeedsAttention": false,
    "PassingSuiteKey": "suite-substrate",
    "NeedsAttentionSuiteKey": null
   },
   {
    "TestCaseId": "tc-xlate-knowledge_fragments-owner_role_agent_kind",
    "TestKind": "formula-translates",
    "Subject": "KnowledgeFragments.OwnerRoleAgentKind",
    "TargetTable": "KnowledgeFragments",
    "TargetField": "OwnerRoleAgentKind",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KnowledgeFragments.OwnerRoleAgentKind",
    "IsBlocking": true,
    "IsPassing": true,
    "IsFailing": false,
    "NeedsAttention": false,
    "PassingSuiteKey": "suite-substrate",
    "NeedsAttentionSuiteKey": null
   },
   {
    "TestCaseId": "tc-xlate-knowledge_fragments-is_human_owned",
    "TestKind": "formula-translates",
    "Subject": "KnowledgeFragments.IsHumanOwned",
    "TargetTable": "KnowledgeFragments",
    "TargetField": "IsHumanOwned",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KnowledgeFragments.IsHumanOwned",
    "IsBlocking": true,
    "IsPassing": true,
    "IsFailing": false,
    "NeedsAttention": false,
    "PassingSuiteKey": "suite-substrate",
    "NeedsAttentionSuiteKey": null
   },
   {
    "TestCaseId": "tc-xlate-knowledge_fragments-is_ai_validated_by_ai",
    "TestKind": "formula-translates",
    "Subject": "KnowledgeFragments.IsAiValidatedByAi",
    "TargetTable": "KnowledgeFragments",
    "TargetField": "IsAiValidatedByAi",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KnowledgeFragments.IsAiValidatedByAi",
    "IsBlocking": true,
    "IsPassing": true,
    "IsFailing": false,
    "NeedsAttention": false,
    "PassingSuiteKey": "suite-substrate",
    "NeedsAttentionSuiteKey": null
   },
   {
    "TestCaseId": "tc-xlate-knowledge_fragments-review_cadence_days",
    "TestKind": "formula-translates",
    "Subject": "KnowledgeFragments.ReviewCadenceDays",
    "TargetTable": "KnowledgeFragments",
    "TargetField": "ReviewCadenceDays",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KnowledgeFragments.ReviewCadenceDays",
    "IsBlocking": true,
    "IsPassing": true,
    "IsFailing": false,
    "NeedsAttention": false,
    "PassingSuiteKey": "suite-substrate",
    "NeedsAttentionSuiteKey": null
   },
   {
    "TestCaseId": "tc-xlate-knowledge_fragments-is_overdue_for_review",
    "TestKind": "formula-translates",
    "Subject": "KnowledgeFragments.IsOverdueForReview",
    "TargetTable": "KnowledgeFragments",
    "TargetField": "IsOverdueForReview",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KnowledgeFragments.IsOverdueForReview",
    "IsBlocking": true,
    "IsPassing": true,
    "IsFailing": false,
    "NeedsAttention": false,
    "PassingSuiteKey": "suite-substrate",
    "NeedsAttentionSuiteKey": null
   },
   {
    "TestCaseId": "tc-xlate-knowledge_fragments-predates_current_role_holder",
    "TestKind": "formula-translates",
    "Subject": "KnowledgeFragments.PredatesCurrentRoleHolder",
    "TargetTable": "KnowledgeFragments",
    "TargetField": "PredatesCurrentRoleHolder",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KnowledgeFragments.PredatesCurrentRoleHolder",
    "IsBlocking": true,
    "IsPassing": true,
    "IsFailing": false,
    "NeedsAttention": false,
    "PassingSuiteKey": "suite-substrate",
    "NeedsAttentionSuiteKey": null
   },
   {
    "TestCaseId": "tc-xlate-knowledge_fragments-owner_role_assignment_valid_from",
    "TestKind": "formula-translates",
    "Subject": "KnowledgeFragments.OwnerRoleAssignmentValidFrom",
    "TargetTable": "KnowledgeFragments",
    "TargetField": "OwnerRoleAssignmentValidFrom",
    "Assertion": "The transpiler emitted a real SQL function for this formula rather than a NULL stub.",
    "DefendsQuestion": "q-variance-ai-knowledge-currency",
    "Suite": "suite-substrate",
    "Severity": "blocking",
    "LastOutcome": "PASS",
    "LastDetail": "translated",
    "LastRunAt": "2026-07-20T03:06:49+00:00",
    "SemanticTypeIri": "urn:effortless:pko-extension#TestCase",
    "Name": "formula-translates: KnowledgeFragments.OwnerRoleAssignmentValidFrom",
    "IsBlocking": true,
    "IsPassing": true,
    "IsFailing": false,
    "NeedsAttention": false,
    "PassingSuiteKey": "suite-substrate",
    "NeedsAttentionSuiteKey": null
   },
   {
    "TestCaseId": "tc-xlate-knowledge_fragments-fragility_signal_count",
    "TestKind": "formula-translates",
    "Subject": "KnowledgeFragments.FragilitySignalCount",
    "TargetTable": "KnowledgeFragments",
    "TargetField": "FragilitySignalCount",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KnowledgeFragments.FragilitySignalCount",
    "IsBlocking": true,
    "IsPassing": true,
    "IsFailing": false,
    "NeedsAttention": false,
    "PassingSuiteKey": "suite-substrate",
    "NeedsAttentionSuiteKey": null
   },
   {
    "TestCaseId": "tc-xlate-knowledge_fragments-is_compound_fragile",
    "TestKind": "formula-translates",
    "Subject": "KnowledgeFragments.IsCompoundFragile",
    "TargetTable": "KnowledgeFragments",
    "TargetField": "IsCompoundFragile",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KnowledgeFragments.IsCompoundFragile",
    "IsBlocking": true,
    "IsPassing": true,
    "IsFailing": false,
    "NeedsAttention": false,
    "PassingSuiteKey": "suite-substrate",
    "NeedsAttentionSuiteKey": null
   },
   {
    "TestCaseId": "tc-xlate-knowledge_fragments-is_single_point_of_failure",
    "TestKind": "formula-translates",
    "Subject": "KnowledgeFragments.IsSinglePointOfFailure",
    "TargetTable": "KnowledgeFragments",
    "TargetField": "IsSinglePointOfFailure",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KnowledgeFragments.IsSinglePointOfFailure",
    "IsBlocking": true,
    "IsPassing": true,
    "IsFailing": false,
    "NeedsAttention": false,
    "PassingSuiteKey": "suite-substrate",
    "NeedsAttentionSuiteKey": null
   },
   {
    "TestCaseId": "tc-xlate-knowledge_fragments-is_expiring_single_point_of_failure",
    "TestKind": "formula-translates",
    "Subject": "KnowledgeFragments.IsExpiringSinglePointOfFailure",
    "TargetTable": "KnowledgeFragments",
    "TargetField": "IsExpiringSinglePointOfFailure",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KnowledgeFragments.IsExpiringSinglePointOfFailure",
    "IsBlocking": true,
    "IsPassing": true,
    "IsFailing": false,
    "NeedsAttention": false,
    "PassingSuiteKey": "suite-substrate",
    "NeedsAttentionSuiteKey": null
   },
   {
    "TestCaseId": "tc-xlate-knowledge_fragments-compound_fragile_version_key",
    "TestKind": "formula-translates",
    "Subject": "KnowledgeFragments.CompoundFragileVersionKey",
    "TargetTable": "KnowledgeFragments",
    "TargetField": "CompoundFragileVersionKey",
    "Assertion": "The transpiler emitted a real SQL function for this formula rather than a NULL stub.",
    "DefendsQuestion": "q2-authority-compound-fragility",
    "Suite": "suite-substrate",
    "Severity": "blocking",
    "LastOutcome": "PASS",
    "LastDetail": "translated",
    "LastRunAt": "2026-07-20T03:06:49+00:00",
    "SemanticTypeIri": "urn:effortless:pko-extension#TestCase",
    "Name": "formula-translates: KnowledgeFragments.CompoundFragileVersionKey",
    "IsBlocking": true,
    "IsPassing": true,
    "IsFailing": false,
    "NeedsAttention": false,
    "PassingSuiteKey": "suite-substrate",
    "NeedsAttentionSuiteKey": null
   },
   {
    "TestCaseId": "tc-xlate-knowledge_fragments-valid_fragment_session_key",
    "TestKind": "formula-translates",
    "Subject": "KnowledgeFragments.ValidFragmentSessionKey",
    "TargetTable": "KnowledgeFragments",
    "TargetField": "ValidFragmentSessionKey",
    "Assertion": "The transpiler emitted a real SQL function for this formula rather than a NULL stub.",
    "DefendsQuestion": "q2-authority-elicitation-method-monoculture",
    "Suite": "suite-substrate",
    "Severity": "blocking",
    "LastOutcome": "PASS",
    "LastDetail": "translated",
    "LastRunAt": "2026-07-20T03:06:49+00:00",
    "SemanticTypeIri": "urn:effortless:pko-extension#TestCase",
    "Name": "formula-translates: KnowledgeFragments.ValidFragmentSessionKey",
    "IsBlocking": true,
    "IsPassing": true,
    "IsFailing": false,
    "NeedsAttention": false,
    "PassingSuiteKey": "suite-substrate",
    "NeedsAttentionSuiteKey": null
   },
   {
    "TestCaseId": "tc-xlate-knowledge_fragments-consuming_step_is_software_assigned",
    "TestKind": "formula-translates",
    "Subject": "KnowledgeFragments.ConsumingStepIsSoftwareAssigned",
    "TargetTable": "KnowledgeFragments",
    "TargetField": "ConsumingStepIsSoftwareAssigned",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KnowledgeFragments.ConsumingStepIsSoftwareAssigned",
    "IsBlocking": true,
    "IsPassing": true,
    "IsFailing": false,
    "NeedsAttention": false,
    "PassingSuiteKey": "suite-substrate",
    "NeedsAttentionSuiteKey": null
   },
   {
    "TestCaseId": "tc-xlate-knowledge_fragments-consuming_step_agent_kind",
    "TestKind": "formula-translates",
    "Subject": "KnowledgeFragments.ConsumingStepAgentKind",
    "TargetTable": "KnowledgeFragments",
    "TargetField": "ConsumingStepAgentKind",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KnowledgeFragments.ConsumingStepAgentKind",
    "IsBlocking": true,
    "IsPassing": true,
    "IsFailing": false,
    "NeedsAttention": false,
    "PassingSuiteKey": "suite-substrate",
    "NeedsAttentionSuiteKey": null
   },
   {
    "TestCaseId": "tc-xlate-knowledge_fragments-is_unapproved_and_machine_consumed",
    "TestKind": "formula-translates",
    "Subject": "KnowledgeFragments.IsUnapprovedAndMachineConsumed",
    "TargetTable": "KnowledgeFragments",
    "TargetField": "IsUnapprovedAndMachineConsumed",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KnowledgeFragments.IsUnapprovedAndMachineConsumed",
    "IsBlocking": true,
    "IsPassing": true,
    "IsFailing": false,
    "NeedsAttention": false,
    "PassingSuiteKey": "suite-substrate",
    "NeedsAttentionSuiteKey": null
   },
   {
    "TestCaseId": "tc-xlate-knowledge_fragments-is_unapproved_and_human_consumed",
    "TestKind": "formula-translates",
    "Subject": "KnowledgeFragments.IsUnapprovedAndHumanConsumed",
    "TargetTable": "KnowledgeFragments",
    "TargetField": "IsUnapprovedAndHumanConsumed",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KnowledgeFragments.IsUnapprovedAndHumanConsumed",
    "IsBlocking": true,
    "IsPassing": true,
    "IsFailing": false,
    "NeedsAttention": false,
    "PassingSuiteKey": "suite-substrate",
    "NeedsAttentionSuiteKey": null
   },
   {
    "TestCaseId": "tc-xlate-knowledge_fragments-machine_consumed_unapproved_version_key",
    "TestKind": "formula-translates",
    "Subject": "KnowledgeFragments.MachineConsumedUnapprovedVersionKey",
    "TargetTable": "KnowledgeFragments",
    "TargetField": "MachineCon</t>
  </si>
  <si>
    <t xml:space="preserve">sumedUnapprovedVersionKey",
    "Assertion": "The transpiler emitted a real SQL function for this formula rather than a NULL stub.",
    "DefendsQuestion": "q2-authority-unapproved-knowledge-reaching-machines",
    "Suite": "suite-substrate",
    "Severity": "blocking",
    "LastOutcome": "PASS",
    "LastDetail": "translated",
    "LastRunAt": "2026-07-20T03:06:49+00:00",
    "SemanticTypeIri": "urn:effortless:pko-extension#TestCase",
    "Name": "formula-translates: KnowledgeFragments.MachineConsumedUnapprovedVersionKey",
    "IsBlocking": true,
    "IsPassing": true,
    "IsFailing": false,
    "NeedsAttention": false,
    "PassingSuiteKey": "suite-substrate",
    "NeedsAttentionSuiteKey": null
   },
   {
    "TestCaseId": "tc-xlate-knowledge_fragments-has_review_record",
    "TestKind": "formula-translates",
    "Subject": "KnowledgeFragments.HasReviewRecord",
    "TargetTable": "KnowledgeFragments",
    "TargetField": "HasReviewRecord",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KnowledgeFragments.HasReviewRecord",
    "IsBlocking": true,
    "IsPassing": true,
    "IsFailing": false,
    "NeedsAttention": false,
    "PassingSuiteKey": "suite-substrate",
    "NeedsAttentionSuiteKey": null
   },
   {
    "TestCaseId": "tc-xlate-knowledge_fragments-days_since_actual_review",
    "TestKind": "formula-translates",
    "Subject": "KnowledgeFragments.DaysSinceActualReview",
    "TargetTable": "KnowledgeFragments",
    "TargetField": "DaysSinceActualReview",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KnowledgeFragments.DaysSinceActualReview",
    "IsBlocking": true,
    "IsPassing": true,
    "IsFailing": false,
    "NeedsAttention": false,
    "PassingSuiteKey": "suite-substrate",
    "NeedsAttentionSuiteKey": null
   },
   {
    "TestCaseId": "tc-xlate-knowledge_fragments-is_unreviewed_since_authoring",
    "TestKind": "formula-translates",
    "Subject": "KnowledgeFragments.IsUnreviewedSinceAuthoring",
    "TargetTable": "KnowledgeFragments",
    "TargetField": "IsUnreviewedSinceAuthoring",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KnowledgeFragments.IsUnreviewedSinceAuthoring",
    "IsBlocking": true,
    "IsPassing": true,
    "IsFailing": false,
    "NeedsAttention": false,
    "PassingSuiteKey": "suite-substrate",
    "NeedsAttentionSuiteKey": null
   },
   {
    "TestCaseId": "tc-xlate-knowledge_fragments-is_genuinely_overdue",
    "TestKind": "formula-translates",
    "Subject": "KnowledgeFragments.IsGenuinelyOverdue",
    "TargetTable": "KnowledgeFragments",
    "TargetField": "IsGenuinelyOverdue",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KnowledgeFragments.IsGenuinelyOverdue",
    "IsBlocking": true,
    "IsPassing": true,
    "IsFailing": false,
    "NeedsAttention": false,
    "PassingSuiteKey": "suite-substrate",
    "NeedsAttentionSuiteKey": null
   },
   {
    "TestCaseId": "tc-xlate-knowledge_fragments-review_recency_is_inferred",
    "TestKind": "formula-translates",
    "Subject": "KnowledgeFragments.ReviewRecencyIsInferred",
    "TargetTable": "KnowledgeFragments",
    "TargetField": "ReviewRecencyIsInferred",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KnowledgeFragments.ReviewRecencyIsInferred",
    "IsBlocking": true,
    "IsPassing": true,
    "IsFailing": false,
    "NeedsAttention": false,
    "PassingSuiteKey": "suite-substrate",
    "NeedsAttentionSuiteKey": null
   },
   {
    "TestCaseId": "tc-xlate-knowledge_fragments-inference_disagrees_with_record",
    "TestKind": "formula-translates",
    "Subject": "KnowledgeFragments.InferenceDisagreesWithRecord",
    "TargetTable": "KnowledgeFragments",
    "TargetField": "InferenceDisagreesWithRecord",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KnowledgeFragments.InferenceDisagreesWithRecord",
    "IsBlocking": true,
    "IsPassing": true,
    "IsFailing": false,
    "NeedsAttention": false,
    "PassingSuiteKey": "suite-substrate",
    "NeedsAttentionSuiteKey": null
   },
   {
    "TestCaseId": "tc-xlate-knowledge_fragments-genuinely_overdue_version_key",
    "TestKind": "formula-translates",
    "Subject": "KnowledgeFragments.GenuinelyOverdueVersionKey",
    "TargetTable": "KnowledgeFragments",
    "TargetField": "GenuinelyOverdueVersionKey",
    "Assertion": "The transpiler emitted a real SQL function for this formula rather than a NULL stub.",
    "DefendsQuestion": "q2-authority-review-date-is-inferred-not-recorded",
    "Suite": "suite-substrate",
    "Severity": "blocking",
    "LastOutcome": "PASS",
    "LastDetail": "translated",
    "LastRunAt": "2026-07-20T03:06:49+00:00",
    "SemanticTypeIri": "urn:effortless:pko-extension#TestCase",
    "Name": "formula-translates: KnowledgeFragments.GenuinelyOverdueVersionKey",
    "IsBlocking": true,
    "IsPassing": true,
    "IsFailing": false,
    "NeedsAttention": false,
    "PassingSuiteKey": "suite-substrate",
    "NeedsAttentionSuiteKey": null
   },
   {
    "TestCaseId": "tc-xlate-knowledge_fragments-ratified_boundary_count",
    "TestKind": "formula-translates",
    "Subject": "KnowledgeFragments.RatifiedBoundaryCount",
    "TargetTable": "KnowledgeFragments",
    "TargetField": "RatifiedBoundaryCount",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KnowledgeFragments.RatifiedBoundaryCount",
    "IsBlocking": true,
    "IsPassing": true,
    "IsFailing": false,
    "NeedsAttention": false,
    "PassingSuiteKey": "suite-substrate",
    "NeedsAttentionSuiteKey": null
   },
   {
    "TestCaseId": "tc-xlate-knowledge_fragments-reliance_surface_count",
    "TestKind": "formula-translates",
    "Subject": "KnowledgeFragments.RelianceSurfaceCount",
    "TargetTable": "KnowledgeFragments",
    "TargetField": "RelianceSurfaceCount",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KnowledgeFragments.RelianceSurfaceCount",
    "IsBlocking": true,
    "IsPassing": true,
    "IsFailing": false,
    "NeedsAttention": false,
    "PassingSuiteKey": "suite-substrate",
    "NeedsAttentionSuiteKey": null
   },
   {
    "TestCaseId": "tc-xlate-knowledge_fragments-days_awaiting_my_approval",
    "TestKind": "formula-translates",
    "Subject": "KnowledgeFragments.DaysAwaitingMyApproval",
    "TargetTable": "KnowledgeFragments",
    "TargetField": "DaysAwaitingMyApproval",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KnowledgeFragments.DaysAwaitingMyApproval",
    "IsBlocking": true,
    "IsPassing": true,
    "IsFailing": false,
    "NeedsAttention": false,
    "PassingSuiteKey": "suite-substrate",
    "NeedsAttentionSuiteKey": null
   },
   {
    "TestCaseId": "tc-xlate-knowledge_fragments-is_high_blast_radius_unapproved",
    "TestKind": "formula-translates",
    "Subject": "KnowledgeFragments.IsHighBlastRadiusUnapproved",
    "TargetTable": "KnowledgeFragments",
    "TargetField": "IsHighBlastRadiusUnapproved",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KnowledgeFragments.IsHighBlastRadiusUnapproved",
    "IsBlocking": true,
    "IsPassing": true,
    "IsFailing": false,
    "NeedsAttention": false,
    "PassingSuiteKey": "suite-substrate",
    "NeedsAttentionSuiteKey": null
   },
   {
    "TestCaseId": "tc-xlate-knowledge_fragments-is_long_unapproved",
    "TestKind": "formula-translates",
    "Subject": "KnowledgeFragments.IsLongUnapproved",
    "TargetTable": "KnowledgeFragments",
    "TargetField": "IsLongUnapproved",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KnowledgeFragments.IsLongUnapproved",
    "IsBlocking": true,
    "IsPassing": true,
    "IsFailing": false,
    "NeedsAttention": false,
    "PassingSuiteKey": "suite-substrate",
    "NeedsAttentionSuiteKey": null
   },
   {
    "TestCaseId": "tc-xlate-knowledge_fragments-unapproved_load_bearing_version_key",
    "TestKind": "formula-translates",
    "Subject": "KnowledgeFragments.UnapprovedLoadBearingVersionKey",
    "TargetTable": "KnowledgeFragments",
    "TargetField": "UnapprovedLoadBearingVersionKey",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KnowledgeFragments.UnapprovedLoadBearingVersionKey",
    "IsBlocking": true,
    "IsPassing": true,
    "IsFailing": false,
    "NeedsAttention": false,
    "PassingSuiteKey": "suite-substrate",
    "NeedsAttentionSuiteKey": null
   },
   {
    "TestCaseId": "tc-xlate-knowledge_fragments-owner_role_is_vacated",
    "TestKind": "formula-translates",
    "Subject": "KnowledgeFragments.OwnerRoleIsVacated",
    "TargetTable": "KnowledgeFragments",
    "TargetField": "OwnerRoleIsVacated",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KnowledgeFragments.OwnerRoleIsVacated",
    "IsBlocking": true,
    "IsPassing": true,
    "IsFailing": false,
    "NeedsAttention": false,
    "PassingSuiteKey": "suite-substrate",
    "NeedsAttentionSuiteKey": null
   },
   {
    "TestCaseId": "tc-xlate-knowledge_fragments-is_orphaned_by_role",
    "TestKind": "formula-translates",
    "Subject": "KnowledgeFragments.IsOrphanedByRole",
    "TargetTable": "KnowledgeFragments",
    "TargetField": "IsOrphanedByRole",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KnowledgeFragments.IsOrphanedByRole",
    "IsBlocking": true,
    "IsPassing": true,
    "IsFailing": false,
    "NeedsAttention": false,
    "PassingSuiteKey": "suite-substrate",
    "NeedsAttentionSuiteKey": null
   },
   {
    "TestCaseId": "tc-xlate-knowledge_fragments-valid_fragment_version_key",
    "TestKind": "formula-translates",
    "Subject": "KnowledgeFragments.ValidFragmentVersionKey",
    "TargetTable": "KnowledgeFragments",
    "TargetField": "ValidFragmentVersionKey",
    "Assertion": "The transpiler emitted a real SQL function for this formula rather than a NULL stub.",
    "DefendsQuestion": "q2-steward-unstewarded-version-still-referenced",
    "Suite": "suite-substrate",
    "Severity": "blocking",
    "LastOutcome": "PASS",
    "LastDetail": "translated",
    "LastRunAt": "2026-07-20T03:06:49+00:00",
    "SemanticTypeIri": "urn:effortless:pko-extension#TestCase",
    "Name": "formula-translates: KnowledgeFragments.ValidFragmentVersionKey",
    "IsBlocking": true,
    "IsPassing": true,
    "IsFailing": false,
    "NeedsAttention": false,
    "PassingSuiteKey": "suite-substrate",
    "NeedsAttentionSuiteKey": null
   },
   {
    "TestCaseId": "tc-xlate-knowledge_gaps-name",
    "TestKind": "formula-translates",
    "Subject": "KnowledgeGaps.Name",
    "TargetTable": "KnowledgeGaps",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KnowledgeGaps.Name",
    "IsBlocking": true,
    "IsPassing": true,
    "IsFailing": false,
    "NeedsAttention": false,
    "PassingSuiteKey": "suite-substrate",
    "NeedsAttentionSuiteKey": null
   },
   {
    "TestCaseId": "tc-xlate-knowledge_gaps-is_open",
    "TestKind": "formula-translates",
    "Subject": "KnowledgeGaps.IsOpen",
    "TargetTable": "KnowledgeGaps",
    "TargetField": "IsOpen",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KnowledgeGaps.IsOpen",
    "IsBlocking": true,
    "IsPassing": true,
    "IsFailing": false,
    "NeedsAttention": false,
    "PassingSuiteKey": "suite-substrate",
    "NeedsAttentionSuiteKey": null
   },
   {
    "TestCaseId": "tc-xlate-knowledge_gaps-open_gap_version_key",
    "TestKind": "formula-translates",
    "Subject": "KnowledgeGaps.OpenGapVersionKey",
    "TargetTable": "KnowledgeGaps",
    "TargetField": "OpenGapVersionKey",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KnowledgeGaps.OpenGapVersionKey",
    "IsBlocking": true,
    "IsPassing": true,
    "IsFailing": false,
    "NeedsAttention": false,
    "PassingSuiteKey": "suite-substrate",
    "NeedsAttentionSuiteKey": null
   },
   {
    "TestCaseId": "tc-xlate-knowledge_gaps-is_blocking",
    "TestKind": "formula-translates",
    "Subject": "KnowledgeGaps.IsBlocking",
    "TargetTable": "KnowledgeGaps",
    "TargetField": "IsBlocking",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KnowledgeGaps.IsBlocking",
    "IsBlocking": true,
    "IsPassing": true,
    "IsFailing": false,
    "NeedsAttention": false,
    "PassingSuiteKey": "suite-substrate",
    "NeedsAttentionSuiteKey": null
   },
   {
    "TestCaseId": "tc-xlate-knowledge_gaps-is_open_and_blocking",
    "TestKind": "formula-translates",
    "Subject": "KnowledgeGaps.IsOpenAndBlocking",
    "TargetTable": "KnowledgeGaps",
    "TargetField": "IsOpenAndBlocking",
    "Assertion": "The transpiler emitted a real SQL function for this formula rather than a NULL stub.",
    "DefendsQuestion": "q-steward-published-with-blocking-gap",
    "Suite": "suite-substrate",
    "Severity": "blocking",
    "LastOutcome": "PASS",
    "LastDetail": "translated",
    "LastRunAt": "2026-07-20T03:06:49+00:00",
    "SemanticTypeIri": "urn:effortless:pko-extension#TestCase",
    "Name": "formula-translates: KnowledgeGaps.IsOpenAndBlocking",
    "IsBlocking": true,
    "IsPassing": true,
    "IsFailing": false,
    "NeedsAttention": false,
    "PassingSuiteKey": "suite-substrate",
    "NeedsAttentionSuiteKey": null
   },
   {
    "TestCaseId": "tc-xlate-knowledge_gaps-as_of_instant",
    "TestKind": "formula-translates",
    "Subject": "KnowledgeGaps.AsOfInstant",
    "TargetTable": "KnowledgeGaps",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KnowledgeGaps.AsOfInstant",
    "IsBlocking": true,
    "IsPassing": true,
    "IsFailing": false,
    "NeedsAttention": false,
    "PassingSuiteKey": "suite-substrate",
    "NeedsAttentionSuiteKey": null
   },
   {
    "TestCaseId": "tc-xlate-knowledge_gaps-days_open",
    "TestKind": "formula-translates",
    "Subject": "KnowledgeGaps.DaysOpen",
    "TargetTable": "KnowledgeGaps",
    "TargetField": "DaysOpen",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KnowledgeGaps.DaysOpen",
    "IsBlocking": true,
    "IsPassing": true,
    "IsFailing": false,
    "NeedsAttention": false,
    "PassingSuiteKey": "suite-substrate",
    "NeedsAttentionSuiteKey": null
   },
   {
    "TestCaseId": "tc-xlate-knowledge_gaps-tolerance_days",
    "TestKind": "formula-translates",
    "Subject": "KnowledgeGaps.ToleranceDays",
    "TargetTable": "KnowledgeGaps",
    "TargetField": "ToleranceDays",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KnowledgeGaps.ToleranceDays",
    "IsBlocking": true,
    "IsPassing": true,
    "IsFailing": false,
    "NeedsAttention": false,
    "PassingSuiteKey": "suite-substrate",
    "NeedsAttentionSuiteKey": null
   },
   {
    "TestCaseId": "tc-xlate-knowledge_gaps-is_overdue_gap",
    "TestKind": "formula-translates",
    "Subject": "KnowledgeGaps.IsOverdueGap",
    "TargetTable": "KnowledgeGaps",
    "TargetField": "IsOverdueGap",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KnowledgeGaps.IsOverdueGap",
    "IsBlocking": true,
    "IsPassing": true,
    "IsFailing": false,
    "NeedsAttention": false,
    "PassingSuiteKey": "suite-substrate",
    "NeedsAttentionSuiteKey": null
   },
   {
    "TestCaseId": "tc-xlate-knowledge_gaps-owner_agent",
    "TestKind": "formula-translates",
    "Subject": "KnowledgeGaps.OwnerAgent",
    "TargetTable": "KnowledgeGaps",
    "TargetField": "OwnerAgent",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KnowledgeGaps.OwnerAgent",
    "IsBlocking": true,
    "IsPassing": true,
    "IsFailing": false,
    "NeedsAttention": false,
    "PassingSuiteKey": "suite-substrate",
    "NeedsAttentionSuiteKey": null
   },
   {
    "TestCaseId": "tc-xlate-knowledge_gaps-owner_is_still_engaged",
    "TestKind": "formula-translates",
    "Subject": "KnowledgeGaps.OwnerIsStillEngaged",
    "TargetTable": "KnowledgeGaps",
    "TargetField": "OwnerIsStillEngaged",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KnowledgeGaps.OwnerIsStillEngaged",
    "IsBlocking": true,
    "IsPassing": true,
    "IsFailing": false,
    "NeedsAttention": false,
    "PassingSuiteKey": "suite-substrate",
    "NeedsAttentionSuiteKey": null
   },
   {
    "TestCaseId": "tc-xlate-knowledge_gaps-has_resolution_plan",
    "TestKind": "formula-translates",
    "Subject": "KnowledgeGaps.HasResolutionPlan",
    "TargetTable": "KnowledgeGaps",
    "TargetField": "HasResolutionPlan",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KnowledgeGaps.HasResolutionPlan",
    "IsBlocking": true,
    "IsPassing": true,
    "IsFailing": false,
    "NeedsAttention": false,
    "PassingSuiteKey": "suite-substrate",
    "NeedsAttentionSuiteKey": null
   },
   {
    "TestCaseId": "tc-xlate-knowledge_gaps-is_abandoned_unknown",
    "TestKind": "formula-translates",
    "Subject": "KnowledgeGaps.IsAbandonedUnknown",
    "TargetTable": "KnowledgeGaps",
    "TargetField": "IsAbandonedUnknown",
    "Assertion": "The transpiler emitted a real SQL function for this formula rather than a NULL stub.",
    "DefendsQuestion": "q-authority-known-unknowns",
    "Suite": "suite-substrate",
    "Severity": "blocking",
    "LastOutcome": "PASS",
    "LastDetail": "translated",
    "LastRunAt": "2026-07-20T03:06:49+00:00",
    "SemanticTypeIri": "urn:effortless:pko-extension#TestCase",
    "Name": "formula-translates: KnowledgeGaps.IsAbandonedUnknown",
    "IsBlocking": true,
    "IsPassing": true,
    "IsFailing": false,
    "NeedsAttention": false,
    "PassingSuiteKey": "suite-substrate",
    "NeedsAttentionSuiteKey": null
   },
   {
    "TestCaseId": "tc-xlate-knowledge_gaps-open_blocking_gap_version_key",
    "TestKind": "formula-translates",
    "Subject": "KnowledgeGaps.OpenBlockingGapVersionKey",
    "TargetTable": "KnowledgeGaps",
    "TargetField": "OpenBlockingGapVersionKey",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KnowledgeGaps.OpenBlockingGapVersionKey",
    "IsBlocking": true,
    "IsPassing": true,
    "IsFailing": false,
    "NeedsAttention": false,
    "PassingSuiteKey": "suite-substrate",
    "NeedsAttentionSuiteKey": null
   },
   {
    "TestCaseId": "tc-xlate-knowledge_gaps-owner_role_is_vacated",
    "TestKind": "formula-translates",
    "Subject": "KnowledgeGaps.OwnerRoleIsVacated",
    "TargetTable": "KnowledgeGaps",
    "TargetField": "OwnerRoleIsVacated",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KnowledgeGaps.OwnerRoleIsVacated",
    "IsBlocking": true,
    "IsPassing": true,
    "IsFailing": false,
    "NeedsAttention": false,
    "PassingSuiteKey": "suite-substrate",
    "NeedsAttentionSuiteKey": null
   },
   {
    "TestCaseId": "tc-xlate-knowledge_gaps-is_ownerless_open_gap",
    "TestKind": "formula-translates",
    "Subject": "KnowledgeGaps.IsOwnerlessOpenGap",
    "TargetTable": "KnowledgeGaps",
    "TargetField": "IsOwnerlessOpenGap",
    "Assertion": "The transpiler emitted a real SQL function for this formula rather than a NULL stub.",
    "DefendsQuestion": "q2-hr-departed-holder-left-claims-behind",
    "Suite": "suite-substrate",
    "Severity": "blocking",
    "LastOutcome": "PASS",
    "LastDetail": "translated",
    "LastRunAt": "2026-07-20T03:06:49+00:00",
    "SemanticTypeIri": "urn:effortless:pko-extension#TestCase",
    "Name": "formula-translates: KnowledgeGaps.IsOwnerlessOpenGap",
    "IsBlocking": true,
    "IsPassing": true,
    "IsFailing": false,
    "NeedsAttention": false,
    "PassingSuiteKey": "suite-substrate",
    "NeedsAttentionSuiteKey": null
   },
   {
    "TestCaseId": "tc-xlate-f_a_qs-name",
    "TestKind": "formula-translates",
    "Subject": "FAQs.Name",
    "TargetTable": "FAQs",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FAQs.Name",
    "IsBlocking": true,
    "IsPassing": true,
    "IsFailing": false,
    "NeedsAttention": false,
    "PassingSuiteKey": "suite-substrate",
    "NeedsAttentionSuiteKey": null
   },
   {
    "TestCaseId": "tc-xlate-explanations-name",
    "TestKind": "formula-translates",
    "Subject": "Explanations.Name",
    "TargetTable": "Explanations",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Explanations.Name",
    "IsBlocking": true,
    "IsPassing": true,
    "IsFailing": false,
    "NeedsAttention": false,
    "PassingSuiteKey": "suite-substrate",
    "NeedsAttentionSuiteKey": null
   },
   {
    "TestCaseId": "tc-xlate-procedure_executions-name",
    "TestKind": "formula-translates",
    "Subject": "ProcedureExecutions.Name",
    "TargetTable": "ProcedureExecutions",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ProcedureExecutions.Name",
    "IsBlocking": true,
    "IsPassing": true,
    "IsFailing": false,
    "NeedsAttention": false,
    "PassingSuiteKey": "suite-substrate",
    "NeedsAttentionSuiteKey": null
   },
   {
    "TestCaseId": "tc-xlate-procedure_executions-expected_step_count",
    "TestKind": "formula-translates",
    "Subject": "ProcedureExecutions.ExpectedStepCount",
    "TargetTable": "ProcedureExecutions",
    "TargetField": "ExpectedStepCount",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ProcedureExecutions.ExpectedStepCount",
    "IsBlocking": true,
    "IsPassing": true,
    "IsFailing": false,
    "NeedsAttention": false,
    "PassingSuiteKey": "suite-substrate",
    "NeedsAttentionSuiteKey": null
   },
   {
    "TestCaseId": "tc-xlate-procedure_executions-completed_step_count",
    "TestKind": "formula-translates",
    "Subject": "ProcedureExecutions.Complete</t>
  </si>
  <si>
    <t xml:space="preserve">dStepCount",
    "TargetTable": "ProcedureExecutions",
    "TargetField": "CompletedStepCount",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ProcedureExecutions.CompletedStepCount",
    "IsBlocking": true,
    "IsPassing": true,
    "IsFailing": false,
    "NeedsAttention": false,
    "PassingSuiteKey": "suite-substrate",
    "NeedsAttentionSuiteKey": null
   },
   {
    "TestCaseId": "tc-xlate-procedure_executions-control_breach_count",
    "TestKind": "formula-translates",
    "Subject": "ProcedureExecutions.ControlBreachCount",
    "TargetTable": "ProcedureExecutions",
    "TargetField": "ControlBreachCount",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ProcedureExecutions.ControlBreachCount",
    "IsBlocking": true,
    "IsPassing": true,
    "IsFailing": false,
    "NeedsAttention": false,
    "PassingSuiteKey": "suite-substrate",
    "NeedsAttentionSuiteKey": null
   },
   {
    "TestCaseId": "tc-xlate-procedure_executions-late_step_count",
    "TestKind": "formula-translates",
    "Subject": "ProcedureExecutions.LateStepCount",
    "TargetTable": "ProcedureExecutions",
    "TargetField": "LateStepCount",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ProcedureExecutions.LateStepCount",
    "IsBlocking": true,
    "IsPassing": true,
    "IsFailing": false,
    "NeedsAttention": false,
    "PassingSuiteKey": "suite-substrate",
    "NeedsAttentionSuiteKey": null
   },
   {
    "TestCaseId": "tc-xlate-procedure_executions-is_structurally_complete",
    "TestKind": "formula-translates",
    "Subject": "ProcedureExecutions.IsStructurallyComplete",
    "TargetTable": "ProcedureExecutions",
    "TargetField": "IsStructurallyComplete",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ProcedureExecutions.IsStructurallyComplete",
    "IsBlocking": true,
    "IsPassing": true,
    "IsFailing": false,
    "NeedsAttention": false,
    "PassingSuiteKey": "suite-substrate",
    "NeedsAttentionSuiteKey": null
   },
   {
    "TestCaseId": "tc-xlate-procedure_executions-diverged_from_specification",
    "TestKind": "formula-translates",
    "Subject": "ProcedureExecutions.DivergedFromSpecification",
    "TargetTable": "ProcedureExecutions",
    "TargetField": "DivergedFromSpecification",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ProcedureExecutions.DivergedFromSpecification",
    "IsBlocking": true,
    "IsPassing": true,
    "IsFailing": false,
    "NeedsAttention": false,
    "PassingSuiteKey": "suite-substrate",
    "NeedsAttentionSuiteKey": null
   },
   {
    "TestCaseId": "tc-xlate-procedure_executions-all_blocking_controls_evaluated",
    "TestKind": "formula-translates",
    "Subject": "ProcedureExecutions.AllBlockingControlsEvaluated",
    "TargetTable": "ProcedureExecutions",
    "TargetField": "AllBlockingControlsEvaluated",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ProcedureExecutions.AllBlockingControlsEvaluated",
    "IsBlocking": true,
    "IsPassing": true,
    "IsFailing": false,
    "NeedsAttention": false,
    "PassingSuiteKey": "suite-substrate",
    "NeedsAttentionSuiteKey": null
   },
   {
    "TestCaseId": "tc-xlate-procedure_executions-unevaluated_blocking_total",
    "TestKind": "formula-translates",
    "Subject": "ProcedureExecutions.UnevaluatedBlockingTotal",
    "TargetTable": "ProcedureExecutions",
    "TargetField": "UnevaluatedBlockingTotal",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ProcedureExecutions.UnevaluatedBlockingTotal",
    "IsBlocking": true,
    "IsPassing": true,
    "IsFailing": false,
    "NeedsAttention": false,
    "PassingSuiteKey": "suite-substrate",
    "NeedsAttentionSuiteKey": null
   },
   {
    "TestCaseId": "tc-xlate-procedure_executions-separation_of_duties_held",
    "TestKind": "formula-translates",
    "Subject": "ProcedureExecutions.SeparationOfDutiesHeld",
    "TargetTable": "ProcedureExecutions",
    "TargetField": "SeparationOfDutiesHeld",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ProcedureExecutions.SeparationOfDutiesHeld",
    "IsBlocking": true,
    "IsPassing": true,
    "IsFailing": false,
    "NeedsAttention": false,
    "PassingSuiteKey": "suite-substrate",
    "NeedsAttentionSuiteKey": null
   },
   {
    "TestCaseId": "tc-xlate-procedure_executions-separation_violation_count",
    "TestKind": "formula-translates",
    "Subject": "ProcedureExecutions.SeparationViolationCount",
    "TargetTable": "ProcedureExecutions",
    "TargetField": "SeparationViolationCount",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ProcedureExecutions.SeparationViolationCount",
    "IsBlocking": true,
    "IsPassing": true,
    "IsFailing": false,
    "NeedsAttention": false,
    "PassingSuiteKey": "suite-substrate",
    "NeedsAttentionSuiteKey": null
   },
   {
    "TestCaseId": "tc-xlate-procedure_executions-is_attestation_ready",
    "TestKind": "formula-translates",
    "Subject": "ProcedureExecutions.IsAttestationReady",
    "TargetTable": "ProcedureExecutions",
    "TargetField": "IsAttestationReady",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ProcedureExecutions.IsAttestationReady",
    "IsBlocking": true,
    "IsPassing": true,
    "IsFailing": false,
    "NeedsAttention": false,
    "PassingSuiteKey": "suite-substrate",
    "NeedsAttentionSuiteKey": null
   },
   {
    "TestCaseId": "tc-xlate-procedure_executions-attestation_blocker_summary",
    "TestKind": "formula-translates",
    "Subject": "ProcedureExecutions.AttestationBlockerSummary",
    "TargetTable": "ProcedureExecutions",
    "TargetField": "AttestationBlockerSummary",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ProcedureExecutions.AttestationBlockerSummary",
    "IsBlocking": true,
    "IsPassing": true,
    "IsFailing": false,
    "NeedsAttention": false,
    "PassingSuiteKey": "suite-substrate",
    "NeedsAttentionSuiteKey": null
   },
   {
    "TestCaseId": "tc-xlate-procedure_executions-executed_version_is_fit",
    "TestKind": "formula-translates",
    "Subject": "ProcedureExecutions.ExecutedVersionIsFit",
    "TargetTable": "ProcedureExecutions",
    "TargetField": "ExecutedVersionIsFit",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ProcedureExecutions.ExecutedVersionIsFit",
    "IsBlocking": true,
    "IsPassing": true,
    "IsFailing": false,
    "NeedsAttention": false,
    "PassingSuiteKey": "suite-substrate",
    "NeedsAttentionSuiteKey": null
   },
   {
    "TestCaseId": "tc-xlate-procedure_executions-signed_against_unfit_version",
    "TestKind": "formula-translates",
    "Subject": "ProcedureExecutions.SignedAgainstUnfitVersion",
    "TargetTable": "ProcedureExecutions",
    "TargetField": "SignedAgainstUnfitVersion",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ProcedureExecutions.SignedAgainstUnfitVersion",
    "IsBlocking": true,
    "IsPassing": true,
    "IsFailing": false,
    "NeedsAttention": false,
    "PassingSuiteKey": "suite-substrate",
    "NeedsAttentionSuiteKey": null
   },
   {
    "TestCaseId": "tc-xlate-procedure_executions-asserted_only_control_count",
    "TestKind": "formula-translates",
    "Subject": "ProcedureExecutions.AssertedOnlyControlCount",
    "TargetTable": "ProcedureExecutions",
    "TargetField": "AssertedOnlyControlCount",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ProcedureExecutions.AssertedOnlyControlCount",
    "IsBlocking": true,
    "IsPassing": true,
    "IsFailing": false,
    "NeedsAttention": false,
    "PassingSuiteKey": "suite-substrate",
    "NeedsAttentionSuiteKey": null
   },
   {
    "TestCaseId": "tc-xlate-procedure_executions-assurance_is_mostly_asserted",
    "TestKind": "formula-translates",
    "Subject": "ProcedureExecutions.AssuranceIsMostlyAsserted",
    "TargetTable": "ProcedureExecutions",
    "TargetField": "AssuranceIsMostlyAsserted",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ProcedureExecutions.AssuranceIsMostlyAsserted",
    "IsBlocking": true,
    "IsPassing": true,
    "IsFailing": false,
    "NeedsAttention": false,
    "PassingSuiteKey": "suite-substrate",
    "NeedsAttentionSuiteKey": null
   },
   {
    "TestCaseId": "tc-xlate-procedure_executions-unreachable_handling_failure_count",
    "TestKind": "formula-translates",
    "Subject": "ProcedureExecutions.UnreachableHandlingFailureCount",
    "TargetTable": "ProcedureExecutions",
    "TargetField": "UnreachableHandlingFailureCount",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ProcedureExecutions.UnreachableHandlingFailureCount",
    "IsBlocking": true,
    "IsPassing": true,
    "IsFailing": false,
    "NeedsAttention": false,
    "PassingSuiteKey": "suite-substrate",
    "NeedsAttentionSuiteKey": null
   },
   {
    "TestCaseId": "tc-xlate-procedure_executions-retention_breach_count",
    "TestKind": "formula-translates",
    "Subject": "ProcedureExecutions.RetentionBreachCount",
    "TargetTable": "ProcedureExecutions",
    "TargetField": "RetentionBreachCount",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ProcedureExecutions.RetentionBreachCount",
    "IsBlocking": true,
    "IsPassing": true,
    "IsFailing": false,
    "NeedsAttention": false,
    "PassingSuiteKey": "suite-substrate",
    "NeedsAttentionSuiteKey": null
   },
   {
    "TestCaseId": "tc-xlate-procedure_executions-cleared_legal_review_count",
    "TestKind": "formula-translates",
    "Subject": "ProcedureExecutions.ClearedLegalReviewCount",
    "TargetTable": "ProcedureExecutions",
    "TargetField": "ClearedLegalReviewCount",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ProcedureExecutions.ClearedLegalReviewCount",
    "IsBlocking": true,
    "IsPassing": true,
    "IsFailing": false,
    "NeedsAttention": false,
    "PassingSuiteKey": "suite-substrate",
    "NeedsAttentionSuiteKey": null
   },
   {
    "TestCaseId": "tc-xlate-procedure_executions-has_cleared_legal_review",
    "TestKind": "formula-translates",
    "Subject": "ProcedureExecutions.HasClearedLegalReview",
    "TargetTable": "ProcedureExecutions",
    "TargetField": "HasClearedLegalReview",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ProcedureExecutions.HasClearedLegalReview",
    "IsBlocking": true,
    "IsPassing": true,
    "IsFailing": false,
    "NeedsAttention": false,
    "PassingSuiteKey": "suite-substrate",
    "NeedsAttentionSuiteKey": null
   },
   {
    "TestCaseId": "tc-xlate-procedure_executions-abandoned_failure_count",
    "TestKind": "formula-translates",
    "Subject": "ProcedureExecutions.AbandonedFailureCount",
    "TargetTable": "ProcedureExecutions",
    "TargetField": "AbandonedFailureCount",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ProcedureExecutions.AbandonedFailureCount",
    "IsBlocking": true,
    "IsPassing": true,
    "IsFailing": false,
    "NeedsAttention": false,
    "PassingSuiteKey": "suite-substrate",
    "NeedsAttentionSuiteKey": null
   },
   {
    "TestCaseId": "tc-xlate-procedure_executions-delivered_count",
    "TestKind": "formula-translates",
    "Subject": "ProcedureExecutions.DeliveredCount",
    "TargetTable": "ProcedureExecutions",
    "TargetField": "DeliveredCount",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ProcedureExecutions.DeliveredCount",
    "IsBlocking": true,
    "IsPassing": true,
    "IsFailing": false,
    "NeedsAttention": false,
    "PassingSuiteKey": "suite-substrate",
    "NeedsAttentionSuiteKey": null
   },
   {
    "TestCaseId": "tc-xlate-procedure_executions-total_delivery_attempt_count",
    "TestKind": "formula-translates",
    "Subject": "ProcedureExecutions.TotalDeliveryAttemptCount",
    "TargetTable": "ProcedureExecutions",
    "TargetField": "TotalDeliveryAttemptCount",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ProcedureExecutions.TotalDeliveryAttemptCount",
    "IsBlocking": true,
    "IsPassing": true,
    "IsFailing": false,
    "NeedsAttention": false,
    "PassingSuiteKey": "suite-substrate",
    "NeedsAttentionSuiteKey": null
   },
   {
    "TestCaseId": "tc-xlate-procedure_executions-has_abandoned_failures",
    "TestKind": "formula-translates",
    "Subject": "ProcedureExecutions.HasAbandonedFailures",
    "TargetTable": "ProcedureExecutions",
    "TargetField": "HasAbandonedFailures",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ProcedureExecutions.HasAbandonedFailures",
    "IsBlocking": true,
    "IsPassing": true,
    "IsFailing": false,
    "NeedsAttention": false,
    "PassingSuiteKey": "suite-substrate",
    "NeedsAttentionSuiteKey": null
   },
   {
    "TestCaseId": "tc-xlate-procedure_executions-mishandled_refusal_count",
    "TestKind": "formula-translates",
    "Subject": "ProcedureExecutions.MishandledRefusalCount",
    "TargetTable": "ProcedureExecutions",
    "TargetField": "MishandledRefusalCount",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ProcedureExecutions.MishandledRefusalCount",
    "IsBlocking": true,
    "IsPassing": true,
    "IsFailing": false,
    "NeedsAttention": false,
    "PassingSuiteKey": "suite-substrate",
    "NeedsAttentionSuiteKey": null
   },
   {
    "TestCaseId": "tc-xlate-procedure_executions-unclean_step_count",
    "TestKind": "formula-translates",
    "Subject": "ProcedureExecutions.UncleanStepCount",
    "TargetTable": "ProcedureExecutions",
    "TargetField": "UncleanStepCount",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ProcedureExecutions.UncleanStepCount",
    "IsBlocking": true,
    "IsPassing": true,
    "IsFailing": false,
    "NeedsAttention": false,
    "PassingSuiteKey": "suite-substrate",
    "NeedsAttentionSuiteKey": null
   },
   {
    "TestCaseId": "tc-xlate-procedure_executions-ran_clean",
    "TestKind": "formula-translates",
    "Subject": "ProcedureExecutions.RanClean",
    "TargetTable": "ProcedureExecutions",
    "TargetField": "RanClean",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ProcedureExecutions.RanClean",
    "IsBlocking": true,
    "IsPassing": true,
    "IsFailing": false,
    "NeedsAttention": false,
    "PassingSuiteKey": "suite-substrate",
    "NeedsAttentionSuiteKey": null
   },
   {
    "TestCaseId": "tc-xlate-procedure_executions-count_of_approval_executions",
    "TestKind": "formula-translates",
    "Subject": "ProcedureExecutions.CountOfApprovalExecutions",
    "TargetTable": "ProcedureExecutions",
    "TargetField": "CountOfApprovalExecutions",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ProcedureExecutions.CountOfApprovalExecutions",
    "IsBlocking": true,
    "IsPassing": true,
    "IsFailing": false,
    "NeedsAttention": false,
    "PassingSuiteKey": "suite-substrate",
    "NeedsAttentionSuiteKey": null
   },
   {
    "TestCaseId": "tc-xlate-procedure_executions-has_human_approval",
    "TestKind": "formula-translates",
    "Subject": "ProcedureExecutions.HasHumanApproval",
    "TargetTable": "ProcedureExecutions",
    "TargetField": "HasHumanApproval",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ProcedureExecutions.HasHumanApproval",
    "IsBlocking": true,
    "IsPassing": true,
    "IsFailing": false,
    "NeedsAttention": false,
    "PassingSuiteKey": "suite-substrate",
    "NeedsAttentionSuiteKey": null
   },
   {
    "TestCaseId": "tc-xlate-procedure_executions-count_of_delivery_executions",
    "TestKind": "formula-translates",
    "Subject": "ProcedureExecutions.CountOfDeliveryExecutions",
    "TargetTable": "ProcedureExecutions",
    "TargetField": "CountOfDeliveryExecutions",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ProcedureExecutions.CountOfDeliveryExecutions",
    "IsBlocking": true,
    "IsPassing": true,
    "IsFailing": false,
    "NeedsAttention": false,
    "PassingSuiteKey": "suite-substrate",
    "NeedsAttentionSuiteKey": null
   },
   {
    "TestCaseId": "tc-xlate-procedure_executions-has_delivered",
    "TestKind": "formula-translates",
    "Subject": "ProcedureExecutions.HasDelivered",
    "TargetTable": "ProcedureExecutions",
    "TargetField": "HasDelivered",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ProcedureExecutions.HasDelivered",
    "IsBlocking": true,
    "IsPassing": true,
    "IsFailing": false,
    "NeedsAttention": false,
    "PassingSuiteKey": "suite-substrate",
    "NeedsAttentionSuiteKey": null
   },
   {
    "TestCaseId": "tc-xlate-procedure_executions-delivered_without_approval",
    "TestKind": "formula-translates",
    "Subject": "ProcedureExecutions.DeliveredWithoutApproval",
    "TargetTable": "ProcedureExecutions",
    "TargetField": "DeliveredWithoutApproval",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ProcedureExecutions.DeliveredWithoutApproval",
    "IsBlocking": true,
    "IsPassing": true,
    "IsFailing": false,
    "NeedsAttention": false,
    "PassingSuiteKey": "suite-substrate",
    "NeedsAttentionSuiteKey": null
   },
   {
    "TestCaseId": "tc-xlate-procedure_executions-invalid_approval_count",
    "TestKind": "formula-translates",
    "Subject": "ProcedureExecutions.InvalidApprovalCount",
    "TargetTable": "ProcedureExecutions",
    "TargetField": "InvalidApprovalCount",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ProcedureExecutions.InvalidApprovalCount",
    "IsBlocking": true,
    "IsPassing": true,
    "IsFailing": false,
    "NeedsAttention": false,
    "PassingSuiteKey": "suite-substrate",
    "NeedsAttentionSuiteKey": null
   },
   {
    "TestCaseId": "tc-xlate-procedure_executions-approval_chain_is_complete",
    "TestKind": "formula-translates",
    "Subject": "ProcedureExecutions.ApprovalChainIsComplete",
    "TargetTable": "ProcedureExecutions",
    "TargetField": "ApprovalChainIsComplete",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ProcedureExecutions.ApprovalChainIsComplete",
    "IsBlocking": true,
    "IsPassing": true,
    "IsFailing": false,
    "NeedsAttention": false,
    "PassingSuiteKey": "suite-substrate",
    "NeedsAttentionSuiteKey": null
   },
   {
    "TestCaseId": "tc-xlate-procedure_executions-vacuously_clean_step_count",
    "TestKind": "formula-translates",
    "Subject": "ProcedureExecutions.VacuouslyCleanStepCount",
    "TargetTable": "ProcedureExecutions",
    "TargetField": "VacuouslyCleanStepCount",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ProcedureExecutions.VacuouslyCleanStepCount",
    "IsBlocking": true,
    "IsPassing": true,
    "IsFailing": false,
    "NeedsAttention": false,
    "PassingSuiteKey": "suite-substrate",
    "NeedsAttentionSuiteKey": null
   },
   {
    "TestCaseId": "tc-xlate-procedure_executions-preparation_step_count",
    "TestKind": "formula-translates",
    "Subject": "ProcedureExecutions.PreparationStepCount",
    "TargetTable": "ProcedureExecutions",
    "TargetField": "PreparationStepCount",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ProcedureExecutions.PreparationStepCount",
    "IsBlocking": true,
    "IsPassing": true,
    "IsFailing": false,
    "NeedsAttention": false,
    "PassingSuiteKey": "suite-substrate",
    "NeedsAttentionSuiteKey": null
   },
   {
    "TestCaseId": "tc-xlate-procedure_executions-approval_step_count",
    "TestKind": "formula-translates",
    "Subject": "ProcedureExecutions.ApprovalStepCount",
    "TargetTable": "ProcedureExecutions",
    "TargetField": "ApprovalStepCount",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ProcedureExecutions.ApprovalStepCount",
    "IsBlocking": true,
    "IsPassing": true,
    "IsFailing": false,
    "NeedsAttention": false,
    "PassingSuiteKey": "suite-substrate",
    "NeedsAttentionSuiteKey": null
   },
   {
    "TestCaseI</t>
  </si>
  <si>
    <t xml:space="preserve">d": "tc-xlate-procedure_executions-separation_was_testable",
    "TestKind": "formula-translates",
    "Subject": "ProcedureExecutions.SeparationWasTestable",
    "TargetTable": "ProcedureExecutions",
    "TargetField": "SeparationWasTestable",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ProcedureExecutions.SeparationWasTestable",
    "IsBlocking": true,
    "IsPassing": true,
    "IsFailing": false,
    "NeedsAttention": false,
    "PassingSuiteKey": "suite-substrate",
    "NeedsAttentionSuiteKey": null
   },
   {
    "TestCaseId": "tc-xlate-procedure_executions-separation_held_under_test",
    "TestKind": "formula-translates",
    "Subject": "ProcedureExecutions.SeparationHeldUnderTest",
    "TargetTable": "ProcedureExecutions",
    "TargetField": "SeparationHeldUnderTest",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ProcedureExecutions.SeparationHeldUnderTest",
    "IsBlocking": true,
    "IsPassing": true,
    "IsFailing": false,
    "NeedsAttention": false,
    "PassingSuiteKey": "suite-substrate",
    "NeedsAttentionSuiteKey": null
   },
   {
    "TestCaseId": "tc-xlate-procedure_executions-separation_is_vacuously_green",
    "TestKind": "formula-translates",
    "Subject": "ProcedureExecutions.SeparationIsVacuouslyGreen",
    "TargetTable": "ProcedureExecutions",
    "TargetField": "SeparationIsVacuouslyGreen",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ProcedureExecutions.SeparationIsVacuouslyGreen",
    "IsBlocking": true,
    "IsPassing": true,
    "IsFailing": false,
    "NeedsAttention": false,
    "PassingSuiteKey": "suite-substrate",
    "NeedsAttentionSuiteKey": null
   },
   {
    "TestCaseId": "tc-xlate-procedure_executions-separation_assurance_note",
    "TestKind": "formula-translates",
    "Subject": "ProcedureExecutions.SeparationAssuranceNote",
    "TargetTable": "ProcedureExecutions",
    "TargetField": "SeparationAssuranceNote",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ProcedureExecutions.SeparationAssuranceNote",
    "IsBlocking": true,
    "IsPassing": true,
    "IsFailing": false,
    "NeedsAttention": false,
    "PassingSuiteKey": "suite-substrate",
    "NeedsAttentionSuiteKey": null
   },
   {
    "TestCaseId": "tc-xlate-procedure_executions-ungoverned_divergence_count",
    "TestKind": "formula-translates",
    "Subject": "ProcedureExecutions.UngovernedDivergenceCount",
    "TargetTable": "ProcedureExecutions",
    "TargetField": "UngovernedDivergenceCount",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ProcedureExecutions.UngovernedDivergenceCount",
    "IsBlocking": true,
    "IsPassing": true,
    "IsFailing": false,
    "NeedsAttention": false,
    "PassingSuiteKey": "suite-substrate",
    "NeedsAttentionSuiteKey": null
   },
   {
    "TestCaseId": "tc-xlate-procedure_executions-divergence_was_fully_governed",
    "TestKind": "formula-translates",
    "Subject": "ProcedureExecutions.DivergenceWasFullyGoverned",
    "TargetTable": "ProcedureExecutions",
    "TargetField": "DivergenceWasFullyGoverned",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ProcedureExecutions.DivergenceWasFullyGoverned",
    "IsBlocking": true,
    "IsPassing": true,
    "IsFailing": false,
    "NeedsAttention": false,
    "PassingSuiteKey": "suite-substrate",
    "NeedsAttentionSuiteKey": null
   },
   {
    "TestCaseId": "tc-xlate-procedure_executions-computedly_witnessed_control_count",
    "TestKind": "formula-translates",
    "Subject": "ProcedureExecutions.ComputedlyWitnessedControlCount",
    "TargetTable": "ProcedureExecutions",
    "TargetField": "ComputedlyWitnessedControlCount",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ProcedureExecutions.ComputedlyWitnessedControlCount",
    "IsBlocking": true,
    "IsPassing": true,
    "IsFailing": false,
    "NeedsAttention": false,
    "PassingSuiteKey": "suite-substrate",
    "NeedsAttentionSuiteKey": null
   },
   {
    "TestCaseId": "tc-xlate-procedure_executions-evaluated_control_count",
    "TestKind": "formula-translates",
    "Subject": "ProcedureExecutions.EvaluatedControlCount",
    "TargetTable": "ProcedureExecutions",
    "TargetField": "EvaluatedControlCount",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ProcedureExecutions.EvaluatedControlCount",
    "IsBlocking": true,
    "IsPassing": true,
    "IsFailing": false,
    "NeedsAttention": false,
    "PassingSuiteKey": "suite-substrate",
    "NeedsAttentionSuiteKey": null
   },
   {
    "TestCaseId": "tc-xlate-procedure_executions-computed_assurance_ratio",
    "TestKind": "formula-translates",
    "Subject": "ProcedureExecutions.ComputedAssuranceRatio",
    "TargetTable": "ProcedureExecutions",
    "TargetField": "ComputedAssuranceRatio",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ProcedureExecutions.ComputedAssuranceRatio",
    "IsBlocking": true,
    "IsPassing": true,
    "IsFailing": false,
    "NeedsAttention": false,
    "PassingSuiteKey": "suite-substrate",
    "NeedsAttentionSuiteKey": null
   },
   {
    "TestCaseId": "tc-xlate-procedure_executions-interested_party_assertion_count",
    "TestKind": "formula-translates",
    "Subject": "ProcedureExecutions.InterestedPartyAssertionCount",
    "TargetTable": "ProcedureExecutions",
    "TargetField": "InterestedPartyAssertionCount",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ProcedureExecutions.InterestedPartyAssertionCount",
    "IsBlocking": true,
    "IsPassing": true,
    "IsFailing": false,
    "NeedsAttention": false,
    "PassingSuiteKey": "suite-substrate",
    "NeedsAttentionSuiteKey": null
   },
   {
    "TestCaseId": "tc-xlate-procedure_executions-assurance_grade",
    "TestKind": "formula-translates",
    "Subject": "ProcedureExecutions.AssuranceGrade",
    "TargetTable": "ProcedureExecutions",
    "TargetField": "AssuranceGrade",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ProcedureExecutions.AssuranceGrade",
    "IsBlocking": true,
    "IsPassing": true,
    "IsFailing": false,
    "NeedsAttention": false,
    "PassingSuiteKey": "suite-substrate",
    "NeedsAttentionSuiteKey": null
   },
   {
    "TestCaseId": "tc-xlate-procedure_executions-attestation_would_be_weakly_based",
    "TestKind": "formula-translates",
    "Subject": "ProcedureExecutions.AttestationWouldBeWeaklyBased",
    "TargetTable": "ProcedureExecutions",
    "TargetField": "AttestationWouldBeWeaklyBased",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ProcedureExecutions.AttestationWouldBeWeaklyBased",
    "IsBlocking": true,
    "IsPassing": true,
    "IsFailing": false,
    "NeedsAttention": false,
    "PassingSuiteKey": "suite-substrate",
    "NeedsAttentionSuiteKey": null
   },
   {
    "TestCaseId": "tc-xlate-procedure_executions-independent_human_observation_count",
    "TestKind": "formula-translates",
    "Subject": "ProcedureExecutions.IndependentHumanObservationCount",
    "TargetTable": "ProcedureExecutions",
    "TargetField": "IndependentHumanObservationCount",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ProcedureExecutions.IndependentHumanObservationCount",
    "IsBlocking": true,
    "IsPassing": true,
    "IsFailing": false,
    "NeedsAttention": false,
    "PassingSuiteKey": "suite-substrate",
    "NeedsAttentionSuiteKey": null
   },
   {
    "TestCaseId": "tc-xlate-procedure_executions-has_any_independent_observation",
    "TestKind": "formula-translates",
    "Subject": "ProcedureExecutions.HasAnyIndependentObservation",
    "TargetTable": "ProcedureExecutions",
    "TargetField": "HasAnyIndependentObservation",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ProcedureExecutions.HasAnyIndependentObservation",
    "IsBlocking": true,
    "IsPassing": true,
    "IsFailing": false,
    "NeedsAttention": false,
    "PassingSuiteKey": "suite-substrate",
    "NeedsAttentionSuiteKey": null
   },
   {
    "TestCaseId": "tc-xlate-procedure_executions-self_attested_approval_count",
    "TestKind": "formula-translates",
    "Subject": "ProcedureExecutions.SelfAttestedApprovalCount",
    "TargetTable": "ProcedureExecutions",
    "TargetField": "SelfAttestedApprovalCount",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ProcedureExecutions.SelfAttestedApprovalCount",
    "IsBlocking": true,
    "IsPassing": true,
    "IsFailing": false,
    "NeedsAttention": false,
    "PassingSuiteKey": "suite-substrate",
    "NeedsAttentionSuiteKey": null
   },
   {
    "TestCaseId": "tc-xlate-procedure_executions-assurance_chain_is_circular",
    "TestKind": "formula-translates",
    "Subject": "ProcedureExecutions.AssuranceChainIsCircular",
    "TargetTable": "ProcedureExecutions",
    "TargetField": "AssuranceChainIsCircular",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ProcedureExecutions.AssuranceChainIsCircular",
    "IsBlocking": true,
    "IsPassing": true,
    "IsFailing": false,
    "NeedsAttention": false,
    "PassingSuiteKey": "suite-substrate",
    "NeedsAttentionSuiteKey": null
   },
   {
    "TestCaseId": "tc-xlate-procedure_executions-latest_attestation_instant",
    "TestKind": "formula-translates",
    "Subject": "ProcedureExecutions.LatestAttestationInstant",
    "TargetTable": "ProcedureExecutions",
    "TargetField": "LatestAttestationInstant",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ProcedureExecutions.LatestAttestationInstant",
    "IsBlocking": true,
    "IsPassing": true,
    "IsFailing": false,
    "NeedsAttention": false,
    "PassingSuiteKey": "suite-substrate",
    "NeedsAttentionSuiteKey": null
   },
   {
    "TestCaseId": "tc-xlate-procedure_executions-has_been_attested",
    "TestKind": "formula-translates",
    "Subject": "ProcedureExecutions.HasBeenAttested",
    "TargetTable": "ProcedureExecutions",
    "TargetField": "HasBeenAttested",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ProcedureExecutions.HasBeenAttested",
    "IsBlocking": true,
    "IsPassing": true,
    "IsFailing": false,
    "NeedsAttention": false,
    "PassingSuiteKey": "suite-substrate",
    "NeedsAttentionSuiteKey": null
   },
   {
    "TestCaseId": "tc-xlate-procedure_executions-attestation_count",
    "TestKind": "formula-translates",
    "Subject": "ProcedureExecutions.AttestationCount",
    "TargetTable": "ProcedureExecutions",
    "TargetField": "AttestationCount",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ProcedureExecutions.AttestationCount",
    "IsBlocking": true,
    "IsPassing": true,
    "IsFailing": false,
    "NeedsAttention": false,
    "PassingSuiteKey": "suite-substrate",
    "NeedsAttentionSuiteKey": null
   },
   {
    "TestCaseId": "tc-xlate-procedure_executions-post_attestation_score_count",
    "TestKind": "formula-translates",
    "Subject": "ProcedureExecutions.PostAttestationScoreCount",
    "TargetTable": "ProcedureExecutions",
    "TargetField": "PostAttestationScoreCount",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ProcedureExecutions.PostAttestationScoreCount",
    "IsBlocking": true,
    "IsPassing": true,
    "IsFailing": false,
    "NeedsAttention": false,
    "PassingSuiteKey": "suite-substrate",
    "NeedsAttentionSuiteKey": null
   },
   {
    "TestCaseId": "tc-xlate-procedure_executions-basis_changed_after_signature",
    "TestKind": "formula-translates",
    "Subject": "ProcedureExecutions.BasisChangedAfterSignature",
    "TargetTable": "ProcedureExecutions",
    "TargetField": "BasisChangedAfterSignature",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ProcedureExecutions.BasisChangedAfterSignature",
    "IsBlocking": true,
    "IsPassing": true,
    "IsFailing": false,
    "NeedsAttention": false,
    "PassingSuiteKey": "suite-substrate",
    "NeedsAttentionSuiteKey": null
   },
   {
    "TestCaseId": "tc-xlate-procedure_executions-requires_re_attestation",
    "TestKind": "formula-translates",
    "Subject": "ProcedureExecutions.RequiresReAttestation",
    "TargetTable": "ProcedureExecutions",
    "TargetField": "RequiresReAttestation",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ProcedureExecutions.RequiresReAttestation",
    "IsBlocking": true,
    "IsPassing": true,
    "IsFailing": false,
    "NeedsAttention": false,
    "PassingSuiteKey": "suite-substrate",
    "NeedsAttentionSuiteKey": null
   },
   {
    "TestCaseId": "tc-xlate-procedure_executions-intended_recipient_count",
    "TestKind": "formula-translates",
    "Subject": "ProcedureExecutions.IntendedRecipientCount",
    "TargetTable": "ProcedureExecutions",
    "TargetField": "IntendedRecipientCount",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ProcedureExecutions.IntendedRecipientCount",
    "IsBlocking": true,
    "IsPassing": true,
    "IsFailing": false,
    "NeedsAttention": false,
    "PassingSuiteKey": "suite-substrate",
    "NeedsAttentionSuiteKey": null
   },
   {
    "TestCaseId": "tc-xlate-procedure_executions-reached_recipient_count",
    "TestKind": "formula-translates",
    "Subject": "ProcedureExecutions.ReachedRecipientCount",
    "TargetTable": "ProcedureExecutions",
    "TargetField": "ReachedRecipientCount",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ProcedureExecutions.ReachedRecipientCount",
    "IsBlocking": true,
    "IsPassing": true,
    "IsFailing": false,
    "NeedsAttention": false,
    "PassingSuiteKey": "suite-substrate",
    "NeedsAttentionSuiteKey": null
   },
   {
    "TestCaseId": "tc-xlate-procedure_executions-silently_dropped_count",
    "TestKind": "formula-translates",
    "Subject": "ProcedureExecutions.SilentlyDroppedCount",
    "TargetTable": "ProcedureExecutions",
    "TargetField": "SilentlyDroppedCount",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ProcedureExecutions.SilentlyDroppedCount",
    "IsBlocking": true,
    "IsPassing": true,
    "IsFailing": false,
    "NeedsAttention": false,
    "PassingSuiteKey": "suite-substrate",
    "NeedsAttentionSuiteKey": null
   },
   {
    "TestCaseId": "tc-xlate-procedure_executions-delivery_yield_percent",
    "TestKind": "formula-translates",
    "Subject": "ProcedureExecutions.DeliveryYieldPercent",
    "TargetTable": "ProcedureExecutions",
    "TargetField": "DeliveryYieldPercent",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ProcedureExecutions.DeliveryYieldPercent",
    "IsBlocking": true,
    "IsPassing": true,
    "IsFailing": false,
    "NeedsAttention": false,
    "PassingSuiteKey": "suite-substrate",
    "NeedsAttentionSuiteKey": null
   },
   {
    "TestCaseId": "tc-xlate-procedure_executions-campaign_silently_lost_audience",
    "TestKind": "formula-translates",
    "Subject": "ProcedureExecutions.CampaignSilentlyLostAudience",
    "TargetTable": "ProcedureExecutions",
    "TargetField": "CampaignSilentlyLostAudience",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ProcedureExecutions.CampaignSilentlyLostAudience",
    "IsBlocking": true,
    "IsPassing": true,
    "IsFailing": false,
    "NeedsAttention": false,
    "PassingSuiteKey": "suite-substrate",
    "NeedsAttentionSuiteKey": null
   },
   {
    "TestCaseId": "tc-xlate-procedure_executions-unrecorded_refusal_count",
    "TestKind": "formula-translates",
    "Subject": "ProcedureExecutions.UnrecordedRefusalCount",
    "TargetTable": "ProcedureExecutions",
    "TargetField": "UnrecordedRefusalCount",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ProcedureExecutions.UnrecordedRefusalCount",
    "IsBlocking": true,
    "IsPassing": true,
    "IsFailing": false,
    "NeedsAttention": false,
    "PassingSuiteKey": "suite-substrate",
    "NeedsAttentionSuiteKey": null
   },
   {
    "TestCaseId": "tc-xlate-procedure_executions-has_unrecorded_refusals",
    "TestKind": "formula-translates",
    "Subject": "ProcedureExecutions.HasUnrecordedRefusals",
    "TargetTable": "ProcedureExecutions",
    "TargetField": "HasUnrecordedRefusals",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ProcedureExecutions.HasUnrecordedRefusals",
    "IsBlocking": true,
    "IsPassing": true,
    "IsFailing": false,
    "NeedsAttention": false,
    "PassingSuiteKey": "suite-substrate",
    "NeedsAttentionSuiteKey": null
   },
   {
    "TestCaseId": "tc-xlate-procedure_executions-independently_confirmed_intent_count",
    "TestKind": "formula-translates",
    "Subject": "ProcedureExecutions.IndependentlyConfirmedIntentCount",
    "TargetTable": "ProcedureExecutions",
    "TargetField": "IndependentlyConfirmedIntentCount",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ProcedureExecutions.IndependentlyConfirmedIntentCount",
    "IsBlocking": true,
    "IsPassing": true,
    "IsFailing": false,
    "NeedsAttention": false,
    "PassingSuiteKey": "suite-substrate",
    "NeedsAttentionSuiteKey": null
   },
   {
    "TestCaseId": "tc-xlate-procedure_executions-send_decisions_are_entirely_self_witnessed",
    "TestKind": "formula-translates",
    "Subject": "ProcedureExecutions.SendDecisionsAreEntirelySelfWitnessed",
    "TargetTable": "ProcedureExecutions",
    "TargetField": "SendDecisionsAreEntirelySelfWitnessed",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ProcedureExecutions.SendDecisionsAreEntirelySelfWitnessed",
    "IsBlocking": true,
    "IsPassing": true,
    "IsFailing": false,
    "NeedsAttention": false,
    "PassingSuiteKey": "suite-substrate",
    "NeedsAttentionSuiteKey": null
   },
   {
    "TestCaseId": "tc-xlate-step_executions-name",
    "TestKind": "formula-translates",
    "Subject": "StepExecutions.Name",
    "TargetTable": "StepExecutions",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StepExecutions.Name",
    "IsBlocking": true,
    "IsPassing": true,
    "IsFailing": false,
    "NeedsAttention": false,
    "PassingSuiteKey": "suite-substrate",
    "NeedsAttentionSuiteKey": null
   },
   {
    "TestCaseId": "tc-xlate-step_executions-actual_duration_minutes",
    "TestKind": "formula-translates",
    "Subject": "StepExecutions.ActualDurationMinutes",
    "TargetTable": "StepExecutions",
    "TargetField": "ActualDurationMinutes",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StepExecutions.ActualDurationMinutes",
    "IsBlocking": true,
    "IsPassing": true,
    "IsFailing": false,
    "NeedsAttention": false,
    "PassingSuiteKey": "suite-substrate",
    "NeedsAttentionSuiteKey": null
   },
   {
    "TestCaseId": "tc-xlate-step_executions-expected_duration_minutes",
    "TestKind": "formula-translates",
    "Subject": "StepExecutions.ExpectedDurationMinutes",
    "TargetTable": "StepExecutions",
    "TargetField": "ExpectedDurationMinutes",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StepExecutions.ExpectedDurationMinutes",
    "IsBlocking": true,
    "IsPassing": true,
    "IsFailing": false,
    "NeedsAttention": false,
    "PassingSuiteKey": "suite-substrate",
    "NeedsAttentionSuiteKey": null
   },
   {
    "TestCaseId": "tc-xlate-step_executions-is_late",
    "TestKind": "formula-translates",
    "Subject": "StepExecutions.IsLate",
    "TargetTable": "StepExecutions",
    "TargetField": "IsLate",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StepExecutions.IsLate",
    "IsBlocking": true,
    "IsPassing": true,
    "IsFailing": false,
    "NeedsAttention": false,
    "PassingSuiteKey": "suite-substrate",
    "NeedsAttentionSuiteKey": null
   },
   {
    "TestCaseId": "tc-xlate-step_executions-blocking_unmet_count",
    "TestKind": "formula-translates",
    "Subject": "StepExecutions.BlockingUnmetCount",
    "TargetTable": "StepExecutions",
    "TargetField": "BlockingUnmetCount",
    "Assertion": "The transpiler emitted a real SQL function for this formula rather than a NULL stub.",
    "DefendsQuestion": "q-analyst-blocking-unmet-on-my-step",
    "Suite": "suite-substrate",
    "Severity": "blocking",
    "LastOutcome": "PASS",</t>
  </si>
  <si>
    <t xml:space="preserve">
    "LastDetail": "translated",
    "LastRunAt": "2026-07-20T03:06:49+00:00",
    "SemanticTypeIri": "urn:effortless:pko-extension#TestCase",
    "Name": "formula-translates: StepExecutions.BlockingUnmetCount",
    "IsBlocking": true,
    "IsPassing": true,
    "IsFailing": false,
    "NeedsAttention": false,
    "PassingSuiteKey": "suite-substrate",
    "NeedsAttentionSuiteKey": null
   },
   {
    "TestCaseId": "tc-xlate-step_executions-blocking_unmet_count_safe",
    "TestKind": "formula-translates",
    "Subject": "StepExecutions.BlockingUnmetCountSafe",
    "TargetTable": "StepExecutions",
    "TargetField": "BlockingUnmetCountSafe",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StepExecutions.BlockingUnmetCountSafe",
    "IsBlocking": true,
    "IsPassing": true,
    "IsFailing": false,
    "NeedsAttention": false,
    "PassingSuiteKey": "suite-substrate",
    "NeedsAttentionSuiteKey": null
   },
   {
    "TestCaseId": "tc-xlate-step_executions-proceeded_past_blocking_control",
    "TestKind": "formula-translates",
    "Subject": "StepExecutions.ProceededPastBlockingControl",
    "TargetTable": "StepExecutions",
    "TargetField": "ProceededPastBlockingControl",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StepExecutions.ProceededPastBlockingControl",
    "IsBlocking": true,
    "IsPassing": true,
    "IsFailing": false,
    "NeedsAttention": false,
    "PassingSuiteKey": "suite-substrate",
    "NeedsAttentionSuiteKey": null
   },
   {
    "TestCaseId": "tc-xlate-step_executions-expected_blocking_count",
    "TestKind": "formula-translates",
    "Subject": "StepExecutions.ExpectedBlockingCount",
    "TargetTable": "StepExecutions",
    "TargetField": "ExpectedBlockingCount",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StepExecutions.ExpectedBlockingCount",
    "IsBlocking": true,
    "IsPassing": true,
    "IsFailing": false,
    "NeedsAttention": false,
    "PassingSuiteKey": "suite-substrate",
    "NeedsAttentionSuiteKey": null
   },
   {
    "TestCaseId": "tc-xlate-step_executions-evaluated_blocking_count",
    "TestKind": "formula-translates",
    "Subject": "StepExecutions.EvaluatedBlockingCount",
    "TargetTable": "StepExecutions",
    "TargetField": "EvaluatedBlockingCount",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StepExecutions.EvaluatedBlockingCount",
    "IsBlocking": true,
    "IsPassing": true,
    "IsFailing": false,
    "NeedsAttention": false,
    "PassingSuiteKey": "suite-substrate",
    "NeedsAttentionSuiteKey": null
   },
   {
    "TestCaseId": "tc-xlate-step_executions-unevaluated_blocking_count",
    "TestKind": "formula-translates",
    "Subject": "StepExecutions.UnevaluatedBlockingCount",
    "TargetTable": "StepExecutions",
    "TargetField": "UnevaluatedBlockingCount",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StepExecutions.UnevaluatedBlockingCount",
    "IsBlocking": true,
    "IsPassing": true,
    "IsFailing": false,
    "NeedsAttention": false,
    "PassingSuiteKey": "suite-substrate",
    "NeedsAttentionSuiteKey": null
   },
   {
    "TestCaseId": "tc-xlate-step_executions-has_unevaluated_blocking_control",
    "TestKind": "formula-translates",
    "Subject": "StepExecutions.HasUnevaluatedBlockingControl",
    "TargetTable": "StepExecutions",
    "TargetField": "HasUnevaluatedBlockingControl",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StepExecutions.HasUnevaluatedBlockingControl",
    "IsBlocking": true,
    "IsPassing": true,
    "IsFailing": false,
    "NeedsAttention": false,
    "PassingSuiteKey": "suite-substrate",
    "NeedsAttentionSuiteKey": null
   },
   {
    "TestCaseId": "tc-xlate-step_executions-stale_authoritative_source_count",
    "TestKind": "formula-translates",
    "Subject": "StepExecutions.StaleAuthoritativeSourceCount",
    "TargetTable": "StepExecutions",
    "TargetField": "StaleAuthoritativeSourceCount",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StepExecutions.StaleAuthoritativeSourceCount",
    "IsBlocking": true,
    "IsPassing": true,
    "IsFailing": false,
    "NeedsAttention": false,
    "PassingSuiteKey": "suite-substrate",
    "NeedsAttentionSuiteKey": null
   },
   {
    "TestCaseId": "tc-xlate-step_executions-ran_on_stale_authoritative_source",
    "TestKind": "formula-translates",
    "Subject": "StepExecutions.RanOnStaleAuthoritativeSource",
    "TargetTable": "StepExecutions",
    "TargetField": "RanOnStaleAuthoritativeSource",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StepExecutions.RanOnStaleAuthoritativeSource",
    "IsBlocking": true,
    "IsPassing": true,
    "IsFailing": false,
    "NeedsAttention": false,
    "PassingSuiteKey": "suite-substrate",
    "NeedsAttentionSuiteKey": null
   },
   {
    "TestCaseId": "tc-xlate-step_executions-has_deviation_note",
    "TestKind": "formula-translates",
    "Subject": "StepExecutions.HasDeviationNote",
    "TargetTable": "StepExecutions",
    "TargetField": "HasDeviationNote",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StepExecutions.HasDeviationNote",
    "IsBlocking": true,
    "IsPassing": true,
    "IsFailing": false,
    "NeedsAttention": false,
    "PassingSuiteKey": "suite-substrate",
    "NeedsAttentionSuiteKey": null
   },
   {
    "TestCaseId": "tc-xlate-step_executions-is_late_and_unexplained",
    "TestKind": "formula-translates",
    "Subject": "StepExecutions.IsLateAndUnexplained",
    "TargetTable": "StepExecutions",
    "TargetField": "IsLateAndUnexplained",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StepExecutions.IsLateAndUnexplained",
    "IsBlocking": true,
    "IsPassing": true,
    "IsFailing": false,
    "NeedsAttention": false,
    "PassingSuiteKey": "suite-substrate",
    "NeedsAttentionSuiteKey": null
   },
   {
    "TestCaseId": "tc-xlate-step_executions-available_exception_count_for_step",
    "TestKind": "formula-translates",
    "Subject": "StepExecutions.AvailableExceptionCountForStep",
    "TargetTable": "StepExecutions",
    "TargetField": "AvailableExceptionCountForStep",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StepExecutions.AvailableExceptionCountForStep",
    "IsBlocking": true,
    "IsPassing": true,
    "IsFailing": false,
    "NeedsAttention": false,
    "PassingSuiteKey": "suite-substrate",
    "NeedsAttentionSuiteKey": null
   },
   {
    "TestCaseId": "tc-xlate-step_executions-had_uninvoked_exception_available",
    "TestKind": "formula-translates",
    "Subject": "StepExecutions.HadUninvokedExceptionAvailable",
    "TargetTable": "StepExecutions",
    "TargetField": "HadUninvokedExceptionAvailable",
    "Assertion": "The transpiler emitted a real SQL function for this formula rather than a NULL stub.",
    "DefendsQuestion": "q-analyst-my-late-steps-unexplained",
    "Suite": "suite-substrate",
    "Severity": "blocking",
    "LastOutcome": "PASS",
    "LastDetail": "translated",
    "LastRunAt": "2026-07-20T03:06:49+00:00",
    "SemanticTypeIri": "urn:effortless:pko-extension#TestCase",
    "Name": "formula-translates: StepExecutions.HadUninvokedExceptionAvailable",
    "IsBlocking": true,
    "IsPassing": true,
    "IsFailing": false,
    "NeedsAttention": false,
    "PassingSuiteKey": "suite-substrate",
    "NeedsAttentionSuiteKey": null
   },
   {
    "TestCaseId": "tc-xlate-step_executions-expected_verification_count",
    "TestKind": "formula-translates",
    "Subject": "StepExecutions.ExpectedVerificationCount",
    "TargetTable": "StepExecutions",
    "TargetField": "ExpectedVerificationCount",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StepExecutions.ExpectedVerificationCount",
    "IsBlocking": true,
    "IsPassing": true,
    "IsFailing": false,
    "NeedsAttention": false,
    "PassingSuiteKey": "suite-substrate",
    "NeedsAttentionSuiteKey": null
   },
   {
    "TestCaseId": "tc-xlate-step_executions-performed_verification_count",
    "TestKind": "formula-translates",
    "Subject": "StepExecutions.PerformedVerificationCount",
    "TargetTable": "StepExecutions",
    "TargetField": "PerformedVerificationCount",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StepExecutions.PerformedVerificationCount",
    "IsBlocking": true,
    "IsPassing": true,
    "IsFailing": false,
    "NeedsAttention": false,
    "PassingSuiteKey": "suite-substrate",
    "NeedsAttentionSuiteKey": null
   },
   {
    "TestCaseId": "tc-xlate-step_executions-skipped_verification_count",
    "TestKind": "formula-translates",
    "Subject": "StepExecutions.SkippedVerificationCount",
    "TargetTable": "StepExecutions",
    "TargetField": "SkippedVerificationCount",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StepExecutions.SkippedVerificationCount",
    "IsBlocking": true,
    "IsPassing": true,
    "IsFailing": false,
    "NeedsAttention": false,
    "PassingSuiteKey": "suite-substrate",
    "NeedsAttentionSuiteKey": null
   },
   {
    "TestCaseId": "tc-xlate-step_executions-has_skipped_verification",
    "TestKind": "formula-translates",
    "Subject": "StepExecutions.HasSkippedVerification",
    "TargetTable": "StepExecutions",
    "TargetField": "HasSkippedVerification",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StepExecutions.HasSkippedVerification",
    "IsBlocking": true,
    "IsPassing": true,
    "IsFailing": false,
    "NeedsAttention": false,
    "PassingSuiteKey": "suite-substrate",
    "NeedsAttentionSuiteKey": null
   },
   {
    "TestCaseId": "tc-xlate-step_executions-claims_pass_without_evidence",
    "TestKind": "formula-translates",
    "Subject": "StepExecutions.ClaimsPassWithoutEvidence",
    "TargetTable": "StepExecutions",
    "TargetField": "ClaimsPassWithoutEvidence",
    "Assertion": "The transpiler emitted a real SQL function for this formula rather than a NULL stub.",
    "DefendsQuestion": "q-analyst-verification-declared-never-performed",
    "Suite": "suite-substrate",
    "Severity": "blocking",
    "LastOutcome": "PASS",
    "LastDetail": "translated",
    "LastRunAt": "2026-07-20T03:06:49+00:00",
    "SemanticTypeIri": "urn:effortless:pko-extension#TestCase",
    "Name": "formula-translates: StepExecutions.ClaimsPassWithoutEvidence",
    "IsBlocking": true,
    "IsPassing": true,
    "IsFailing": false,
    "NeedsAttention": false,
    "PassingSuiteKey": "suite-substrate",
    "NeedsAttentionSuiteKey": null
   },
   {
    "TestCaseId": "tc-xlate-step_executions-step_is_preparation",
    "TestKind": "formula-translates",
    "Subject": "StepExecutions.StepIsPreparation",
    "TargetTable": "StepExecutions",
    "TargetField": "StepIsPreparation",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StepExecutions.StepIsPreparation",
    "IsBlocking": true,
    "IsPassing": true,
    "IsFailing": false,
    "NeedsAttention": false,
    "PassingSuiteKey": "suite-substrate",
    "NeedsAttentionSuiteKey": null
   },
   {
    "TestCaseId": "tc-xlate-step_executions-step_is_approval",
    "TestKind": "formula-translates",
    "Subject": "StepExecutions.StepIsApproval",
    "TargetTable": "StepExecutions",
    "TargetField": "StepIsApproval",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StepExecutions.StepIsApproval",
    "IsBlocking": true,
    "IsPassing": true,
    "IsFailing": false,
    "NeedsAttention": false,
    "PassingSuiteKey": "suite-substrate",
    "NeedsAttentionSuiteKey": null
   },
   {
    "TestCaseId": "tc-xlate-step_executions-preparer_agent_key",
    "TestKind": "formula-translates",
    "Subject": "StepExecutions.PreparerAgentKey",
    "TargetTable": "StepExecutions",
    "TargetField": "PreparerAgentKey",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StepExecutions.PreparerAgentKey",
    "IsBlocking": true,
    "IsPassing": true,
    "IsFailing": false,
    "NeedsAttention": false,
    "PassingSuiteKey": "suite-substrate",
    "NeedsAttentionSuiteKey": null
   },
   {
    "TestCaseId": "tc-xlate-step_executions-approver_agent_key",
    "TestKind": "formula-translates",
    "Subject": "StepExecutions.ApproverAgentKey",
    "TargetTable": "StepExecutions",
    "TargetField": "ApproverAgentKey",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StepExecutions.ApproverAgentKey",
    "IsBlocking": true,
    "IsPassing": true,
    "IsFailing": false,
    "NeedsAttention": false,
    "PassingSuiteKey": "suite-substrate",
    "NeedsAttentionSuiteKey": null
   },
   {
    "TestCaseId": "tc-xlate-step_executions-prepared_by_this_agent_count",
    "TestKind": "formula-translates",
    "Subject": "StepExecutions.PreparedByThisAgentCount",
    "TargetTable": "StepExecutions",
    "TargetField": "PreparedByThisAgentCount",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StepExecutions.PreparedByThisAgentCount",
    "IsBlocking": true,
    "IsPassing": true,
    "IsFailing": false,
    "NeedsAttention": false,
    "PassingSuiteKey": "suite-substrate",
    "NeedsAttentionSuiteKey": null
   },
   {
    "TestCaseId": "tc-xlate-step_executions-violates_separation_of_duties",
    "TestKind": "formula-translates",
    "Subject": "StepExecutions.ViolatesSeparationOfDuties",
    "TargetTable": "StepExecutions",
    "TargetField": "ViolatesSeparationOfDuties",
    "Assertion": "The transpiler emitted a real SQL function for this formula rather than a NULL stub.",
    "DefendsQuestion": "q-controller-separation-of-duties",
    "Suite": "suite-substrate",
    "Severity": "blocking",
    "LastOutcome": "PASS",
    "LastDetail": "translated",
    "LastRunAt": "2026-07-20T03:06:49+00:00",
    "SemanticTypeIri": "urn:effortless:pko-extension#TestCase",
    "Name": "formula-translates: StepExecutions.ViolatesSeparationOfDuties",
    "IsBlocking": true,
    "IsPassing": true,
    "IsFailing": false,
    "NeedsAttention": false,
    "PassingSuiteKey": "suite-substrate",
    "NeedsAttentionSuiteKey": null
   },
   {
    "TestCaseId": "tc-xlate-step_executions-required_role_for_step",
    "TestKind": "formula-translates",
    "Subject": "StepExecutions.RequiredRoleForStep",
    "TargetTable": "StepExecutions",
    "TargetField": "RequiredRoleForStep",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StepExecutions.RequiredRoleForStep",
    "IsBlocking": true,
    "IsPassing": true,
    "IsFailing": false,
    "NeedsAttention": false,
    "PassingSuiteKey": "suite-substrate",
    "NeedsAttentionSuiteKey": null
   },
   {
    "TestCaseId": "tc-xlate-step_executions-executor_role_key",
    "TestKind": "formula-translates",
    "Subject": "StepExecutions.ExecutorRoleKey",
    "TargetTable": "StepExecutions",
    "TargetField": "ExecutorRoleKey",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StepExecutions.ExecutorRoleKey",
    "IsBlocking": true,
    "IsPassing": true,
    "IsFailing": false,
    "NeedsAttention": false,
    "PassingSuiteKey": "suite-substrate",
    "NeedsAttentionSuiteKey": null
   },
   {
    "TestCaseId": "tc-xlate-step_executions-executor_authority_count",
    "TestKind": "formula-translates",
    "Subject": "StepExecutions.ExecutorAuthorityCount",
    "TargetTable": "StepExecutions",
    "TargetField": "ExecutorAuthorityCount",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StepExecutions.ExecutorAuthorityCount",
    "IsBlocking": true,
    "IsPassing": true,
    "IsFailing": false,
    "NeedsAttention": false,
    "PassingSuiteKey": "suite-substrate",
    "NeedsAttentionSuiteKey": null
   },
   {
    "TestCaseId": "tc-xlate-step_executions-executor_held_required_role",
    "TestKind": "formula-translates",
    "Subject": "StepExecutions.ExecutorHeldRequiredRole",
    "TargetTable": "StepExecutions",
    "TargetField": "ExecutorHeldRequiredRole",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StepExecutions.ExecutorHeldRequiredRole",
    "IsBlocking": true,
    "IsPassing": true,
    "IsFailing": false,
    "NeedsAttention": false,
    "PassingSuiteKey": "suite-substrate",
    "NeedsAttentionSuiteKey": null
   },
   {
    "TestCaseId": "tc-xlate-step_executions-is_unauthorized_approval",
    "TestKind": "formula-translates",
    "Subject": "StepExecutions.IsUnauthorizedApproval",
    "TargetTable": "StepExecutions",
    "TargetField": "IsUnauthorizedApproval",
    "Assertion": "The transpiler emitted a real SQL function for this formula rather than a NULL stub.",
    "DefendsQuestion": "q-controller-approval-authority-valid",
    "Suite": "suite-substrate",
    "Severity": "blocking",
    "LastOutcome": "PASS",
    "LastDetail": "translated",
    "LastRunAt": "2026-07-20T03:06:49+00:00",
    "SemanticTypeIri": "urn:effortless:pko-extension#TestCase",
    "Name": "formula-translates: StepExecutions.IsUnauthorizedApproval",
    "IsBlocking": true,
    "IsPassing": true,
    "IsFailing": false,
    "NeedsAttention": false,
    "PassingSuiteKey": "suite-substrate",
    "NeedsAttentionSuiteKey": null
   },
   {
    "TestCaseId": "tc-xlate-step_executions-completed_execution_key",
    "TestKind": "formula-translates",
    "Subject": "StepExecutions.CompletedExecutionKey",
    "TargetTable": "StepExecutions",
    "TargetField": "CompletedExecutionKey",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StepExecutions.CompletedExecutionKey",
    "IsBlocking": true,
    "IsPassing": true,
    "IsFailing": false,
    "NeedsAttention": false,
    "PassingSuiteKey": "suite-substrate",
    "NeedsAttentionSuiteKey": null
   },
   {
    "TestCaseId": "tc-xlate-step_executions-control_breach_execution_key",
    "TestKind": "formula-translates",
    "Subject": "StepExecutions.ControlBreachExecutionKey",
    "TargetTable": "StepExecutions",
    "TargetField": "ControlBreachExecutionKey",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StepExecutions.ControlBreachExecutionKey",
    "IsBlocking": true,
    "IsPassing": true,
    "IsFailing": false,
    "NeedsAttention": false,
    "PassingSuiteKey": "suite-substrate",
    "NeedsAttentionSuiteKey": null
   },
   {
    "TestCaseId": "tc-xlate-step_executions-late_execution_key",
    "TestKind": "formula-translates",
    "Subject": "StepExecutions.LateExecutionKey",
    "TargetTable": "StepExecutions",
    "TargetField": "LateExecutionKey",
    "Assertion": "The transpiler emitted a real SQL function for this formula rather than a NULL stub.",
    "DefendsQuestion": "q-controller-execution-diverged-from-spec",
    "Suite": "suite-substrate",
    "Severity": "blocking",
    "LastOutcome": "PASS",
    "LastDetail": "translated",
    "LastRunAt": "2026-07-20T03:06:49+00:00",
    "SemanticTypeIri": "urn:effortless:pko-extension#TestCase",
    "Name": "formula-translates: StepExecutions.LateExecutionKey",
    "IsBlocking": true,
    "IsPassing": true,
    "IsFailing": false,
    "NeedsAttention": false,
    "PassingSuiteKey": "suite-substrate",
    "NeedsAttentionSuiteKey": null
   },
   {
    "TestCaseId": "tc-xlate-step_executions-executor_agent_kind",
    "TestKind": "formula-translates",
    "Subject": "StepExecutions.ExecutorAgentKind",
    "TargetTable": "StepExecutions",
    "TargetField": "ExecutorAgentKind",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StepExecutions.ExecutorAgentKind",
    "IsBlocking": true,
    "IsPassing": true,
    "IsFailing": false,
    "NeedsAttention": false,
    "PassingSuiteKey": "suite-substrate",
    "NeedsAttentionSuiteKey": null
   },
   {
    "TestCaseId": "tc-xlate-step_executions-executor_is_human",
    "TestKind": "formula-translates",
    "Subject": "StepExecutions.ExecutorIsHuman",
    "TargetTable": "StepExecutions",
    "TargetField": "ExecutorIsHuman",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StepExecutions.ExecutorIsHuman",
    "IsBlocking": true,
    "IsPassing": true,
    "IsFailing": false,
    "NeedsAttention": false,
    "PassingSuiteKey": "suite-substrate",
    "NeedsAttentionSuiteKey": null
   },
   {
    "TestCaseId": "tc-xlate-step_executions-step_requires_human_confirmation",
    "TestKind": "formula-translates",
    "Subject": "StepExecutions.StepRequiresHumanConfirmation",
    "TargetTable": "StepExecutions",
    "TargetField": "StepRequiresHumanConfirmation",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StepExecutions.StepRequiresHumanConfirmation",
    "IsBlocking": true,
    "IsPassing": true,
    "IsFailing": false,
    "NeedsAttention": false,
    "PassingSuiteKey": "suite-substrate",
    "NeedsAttentionSuiteKey": null
   },
   {
    "TestCaseId": "tc-xlate-step_executions-non_human_ran_human_step",
    "TestKind": "formula-translates",
    "Subject": "StepExecutions.NonHumanRanHumanStep",
    "TargetTable": "StepExecutions",
    "TargetField": "NonHumanRanHumanStep",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StepExecutions.NonHumanRanHumanStep",
    "IsBlocking": true,
    "IsPassing": true,
    "IsFailing": false,
    "NeedsAttention": false,
    "PassingSuiteKey": "suite-substrate",
    "NeedsAttentionSuiteKey": null
   },
   {
    "TestCaseId": "tc-xlate-step_executions-non_human_approval",
    "TestKind": "formula-translates",
    "Subject": "StepExecutions.NonHumanApproval",
    "TargetTable": "StepExecutions",
    "TargetField": "NonHumanApproval",
    "Assertion": "The transpiler emitted a real SQL function for this formula rather than a NULL stub.",
    "DefendsQuestion": "q-controller-ai-agent-approved-meaning",
    "Suite": "suite-substrate",
    "Severity": "blocking",
    "LastOutcome": "PASS",
    "LastDetail": "translated",
    "LastRunAt": "2026-07-20T03:06:49+00:00",
    "SemanticTypeIri": "u</t>
  </si>
  <si>
    <t xml:space="preserve">rn:effortless:pko-extension#TestCase",
    "Name": "formula-translates: StepExecutions.NonHumanApproval",
    "IsBlocking": true,
    "IsPassing": true,
    "IsFailing": false,
    "NeedsAttention": false,
    "PassingSuiteKey": "suite-substrate",
    "NeedsAttentionSuiteKey": null
   },
   {
    "TestCaseId": "tc-xlate-step_executions-unevaluated_blocking_execution_key",
    "TestKind": "formula-translates",
    "Subject": "StepExecutions.UnevaluatedBlockingExecutionKey",
    "TargetTable": "StepExecutions",
    "TargetField": "UnevaluatedBlockingExecutionKey",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StepExecutions.UnevaluatedBlockingExecutionKey",
    "IsBlocking": true,
    "IsPassing": true,
    "IsFailing": false,
    "NeedsAttention": false,
    "PassingSuiteKey": "suite-substrate",
    "NeedsAttentionSuiteKey": null
   },
   {
    "TestCaseId": "tc-xlate-step_executions-separation_violation_execution_key",
    "TestKind": "formula-translates",
    "Subject": "StepExecutions.SeparationViolationExecutionKey",
    "TargetTable": "StepExecutions",
    "TargetField": "SeparationViolationExecutionKey",
    "Assertion": "The transpiler emitted a real SQL function for this formula rather than a NULL stub.",
    "DefendsQuestion": "q-cfo-can-i-sign",
    "Suite": "suite-substrate",
    "Severity": "blocking",
    "LastOutcome": "PASS",
    "LastDetail": "translated",
    "LastRunAt": "2026-07-20T03:06:49+00:00",
    "SemanticTypeIri": "urn:effortless:pko-extension#TestCase",
    "Name": "formula-translates: StepExecutions.SeparationViolationExecutionKey",
    "IsBlocking": true,
    "IsPassing": true,
    "IsFailing": false,
    "NeedsAttention": false,
    "PassingSuiteKey": "suite-substrate",
    "NeedsAttentionSuiteKey": null
   },
   {
    "TestCaseId": "tc-xlate-step_executions-self_witnessed_verification_count",
    "TestKind": "formula-translates",
    "Subject": "StepExecutions.SelfWitnessedVerificationCount",
    "TargetTable": "StepExecutions",
    "TargetField": "SelfWitnessedVerificationCount",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StepExecutions.SelfWitnessedVerificationCount",
    "IsBlocking": true,
    "IsPassing": true,
    "IsFailing": false,
    "NeedsAttention": false,
    "PassingSuiteKey": "suite-substrate",
    "NeedsAttentionSuiteKey": null
   },
   {
    "TestCaseId": "tc-xlate-step_executions-unbacked_verification_count",
    "TestKind": "formula-translates",
    "Subject": "StepExecutions.UnbackedVerificationCount",
    "TargetTable": "StepExecutions",
    "TargetField": "UnbackedVerificationCount",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StepExecutions.UnbackedVerificationCount",
    "IsBlocking": true,
    "IsPassing": true,
    "IsFailing": false,
    "NeedsAttention": false,
    "PassingSuiteKey": "suite-substrate",
    "NeedsAttentionSuiteKey": null
   },
   {
    "TestCaseId": "tc-xlate-step_executions-approval_rests_on_self_attestation",
    "TestKind": "formula-translates",
    "Subject": "StepExecutions.ApprovalRestsOnSelfAttestation",
    "TargetTable": "StepExecutions",
    "TargetField": "ApprovalRestsOnSelfAttestation",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StepExecutions.ApprovalRestsOnSelfAttestation",
    "IsBlocking": true,
    "IsPassing": true,
    "IsFailing": false,
    "NeedsAttention": false,
    "PassingSuiteKey": "suite-substrate",
    "NeedsAttentionSuiteKey": null
   },
   {
    "TestCaseId": "tc-xlate-step_executions-exception_invocation_count",
    "TestKind": "formula-translates",
    "Subject": "StepExecutions.ExceptionInvocationCount",
    "TargetTable": "StepExecutions",
    "TargetField": "ExceptionInvocationCount",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StepExecutions.ExceptionInvocationCount",
    "IsBlocking": true,
    "IsPassing": true,
    "IsFailing": false,
    "NeedsAttention": false,
    "PassingSuiteKey": "suite-substrate",
    "NeedsAttentionSuiteKey": null
   },
   {
    "TestCaseId": "tc-xlate-step_executions-ran_under_exception",
    "TestKind": "formula-translates",
    "Subject": "StepExecutions.RanUnderException",
    "TargetTable": "StepExecutions",
    "TargetField": "RanUnderException",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StepExecutions.RanUnderException",
    "IsBlocking": true,
    "IsPassing": true,
    "IsFailing": false,
    "NeedsAttention": false,
    "PassingSuiteKey": "suite-substrate",
    "NeedsAttentionSuiteKey": null
   },
   {
    "TestCaseId": "tc-xlate-step_executions-is_completed",
    "TestKind": "formula-translates",
    "Subject": "StepExecutions.IsCompleted",
    "TargetTable": "StepExecutions",
    "TargetField": "IsCompleted",
    "Assertion": "The transpiler emitted a real SQL function for this formula rather than a NULL stub.",
    "DefendsQuestion": "q-steward-untested-fallbacks",
    "Suite": "suite-substrate",
    "Severity": "blocking",
    "LastOutcome": "PASS",
    "LastDetail": "translated",
    "LastRunAt": "2026-07-20T03:06:49+00:00",
    "SemanticTypeIri": "urn:effortless:pko-extension#TestCase",
    "Name": "formula-translates: StepExecutions.IsCompleted",
    "IsBlocking": true,
    "IsPassing": true,
    "IsFailing": false,
    "NeedsAttention": false,
    "PassingSuiteKey": "suite-substrate",
    "NeedsAttentionSuiteKey": null
   },
   {
    "TestCaseId": "tc-xlate-step_executions-is_verification_passed",
    "TestKind": "formula-translates",
    "Subject": "StepExecutions.IsVerificationPassed",
    "TargetTable": "StepExecutions",
    "TargetField": "IsVerificationPassed",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StepExecutions.IsVerificationPassed",
    "IsBlocking": true,
    "IsPassing": true,
    "IsFailing": false,
    "NeedsAttention": false,
    "PassingSuiteKey": "suite-substrate",
    "NeedsAttentionSuiteKey": null
   },
   {
    "TestCaseId": "tc-xlate-step_executions-is_legal_review_step",
    "TestKind": "formula-translates",
    "Subject": "StepExecutions.IsLegalReviewStep",
    "TargetTable": "StepExecutions",
    "TargetField": "IsLegalReviewStep",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StepExecutions.IsLegalReviewStep",
    "IsBlocking": true,
    "IsPassing": true,
    "IsFailing": false,
    "NeedsAttention": false,
    "PassingSuiteKey": "suite-substrate",
    "NeedsAttentionSuiteKey": null
   },
   {
    "TestCaseId": "tc-xlate-step_executions-cleared_legal_review_key",
    "TestKind": "formula-translates",
    "Subject": "StepExecutions.ClearedLegalReviewKey",
    "TargetTable": "StepExecutions",
    "TargetField": "ClearedLegalReviewKey",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StepExecutions.ClearedLegalReviewKey",
    "IsBlocking": true,
    "IsPassing": true,
    "IsFailing": false,
    "NeedsAttention": false,
    "PassingSuiteKey": "suite-substrate",
    "NeedsAttentionSuiteKey": null
   },
   {
    "TestCaseId": "tc-xlate-step_executions-assigned_role",
    "TestKind": "formula-translates",
    "Subject": "StepExecutions.AssignedRole",
    "TargetTable": "StepExecutions",
    "TargetField": "AssignedRole",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StepExecutions.AssignedRole",
    "IsBlocking": true,
    "IsPassing": true,
    "IsFailing": false,
    "NeedsAttention": false,
    "PassingSuiteKey": "suite-substrate",
    "NeedsAttentionSuiteKey": null
   },
   {
    "TestCaseId": "tc-xlate-step_executions-role_current_agent",
    "TestKind": "formula-translates",
    "Subject": "StepExecutions.RoleCurrentAgent",
    "TargetTable": "StepExecutions",
    "TargetField": "RoleCurrentAgent",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StepExecutions.RoleCurrentAgent",
    "IsBlocking": true,
    "IsPassing": true,
    "IsFailing": false,
    "NeedsAttention": false,
    "PassingSuiteKey": "suite-substrate",
    "NeedsAttentionSuiteKey": null
   },
   {
    "TestCaseId": "tc-xlate-step_executions-executor_is_designated_agent",
    "TestKind": "formula-translates",
    "Subject": "StepExecutions.ExecutorIsDesignatedAgent",
    "TargetTable": "StepExecutions",
    "TargetField": "ExecutorIsDesignatedAgent",
    "Assertion": "The transpiler emitted a real SQL function for this formula rather than a NULL stub.",
    "DefendsQuestion": "q-close-auto-authority-current",
    "Suite": "suite-substrate",
    "Severity": "blocking",
    "LastOutcome": "PASS",
    "LastDetail": "translated",
    "LastRunAt": "2026-07-20T03:06:49+00:00",
    "SemanticTypeIri": "urn:effortless:pko-extension#TestCase",
    "Name": "formula-translates: StepExecutions.ExecutorIsDesignatedAgent",
    "IsBlocking": true,
    "IsPassing": true,
    "IsFailing": false,
    "NeedsAttention": false,
    "PassingSuiteKey": "suite-substrate",
    "NeedsAttentionSuiteKey": null
   },
   {
    "TestCaseId": "tc-xlate-step_executions-inputs_were_fresh_at_run",
    "TestKind": "formula-translates",
    "Subject": "StepExecutions.InputsWereFreshAtRun",
    "TargetTable": "StepExecutions",
    "TargetField": "InputsWereFreshAtRun",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StepExecutions.InputsWereFreshAtRun",
    "IsBlocking": true,
    "IsPassing": true,
    "IsFailing": false,
    "NeedsAttention": false,
    "PassingSuiteKey": "suite-substrate",
    "NeedsAttentionSuiteKey": null
   },
   {
    "TestCaseId": "tc-xlate-step_executions-ran_on_stale_inputs",
    "TestKind": "formula-translates",
    "Subject": "StepExecutions.RanOnStaleInputs",
    "TargetTable": "StepExecutions",
    "TargetField": "RanOnStaleInputs",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StepExecutions.RanOnStaleInputs",
    "IsBlocking": true,
    "IsPassing": true,
    "IsFailing": false,
    "NeedsAttention": false,
    "PassingSuiteKey": "suite-substrate",
    "NeedsAttentionSuiteKey": null
   },
   {
    "TestCaseId": "tc-xlate-step_executions-unresolved_issue_count",
    "TestKind": "formula-translates",
    "Subject": "StepExecutions.UnresolvedIssueCount",
    "TargetTable": "StepExecutions",
    "TargetField": "UnresolvedIssueCount",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StepExecutions.UnresolvedIssueCount",
    "IsBlocking": true,
    "IsPassing": true,
    "IsFailing": false,
    "NeedsAttention": false,
    "PassingSuiteKey": "suite-substrate",
    "NeedsAttentionSuiteKey": null
   },
   {
    "TestCaseId": "tc-xlate-step_executions-has_deviation",
    "TestKind": "formula-translates",
    "Subject": "StepExecutions.HasDeviation",
    "TargetTable": "StepExecutions",
    "TargetField": "HasDeviation",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StepExecutions.HasDeviation",
    "IsBlocking": true,
    "IsPassing": true,
    "IsFailing": false,
    "NeedsAttention": false,
    "PassingSuiteKey": "suite-substrate",
    "NeedsAttentionSuiteKey": null
   },
   {
    "TestCaseId": "tc-xlate-step_executions-is_clean",
    "TestKind": "formula-translates",
    "Subject": "StepExecutions.IsClean",
    "TargetTable": "StepExecutions",
    "TargetField": "IsClean",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StepExecutions.IsClean",
    "IsBlocking": true,
    "IsPassing": true,
    "IsFailing": false,
    "NeedsAttention": false,
    "PassingSuiteKey": "suite-substrate",
    "NeedsAttentionSuiteKey": null
   },
   {
    "TestCaseId": "tc-xlate-step_executions-procedure_execution_when_unclean",
    "TestKind": "formula-translates",
    "Subject": "StepExecutions.ProcedureExecutionWhenUnclean",
    "TargetTable": "StepExecutions",
    "TargetField": "ProcedureExecutionWhenUnclean",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StepExecutions.ProcedureExecutionWhenUnclean",
    "IsBlocking": true,
    "IsPassing": true,
    "IsFailing": false,
    "NeedsAttention": false,
    "PassingSuiteKey": "suite-substrate",
    "NeedsAttentionSuiteKey": null
   },
   {
    "TestCaseId": "tc-xlate-step_executions-evaluated_requirement_count",
    "TestKind": "formula-translates",
    "Subject": "StepExecutions.EvaluatedRequirementCount",
    "TargetTable": "StepExecutions",
    "TargetField": "EvaluatedRequirementCount",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StepExecutions.EvaluatedRequirementCount",
    "IsBlocking": true,
    "IsPassing": true,
    "IsFailing": false,
    "NeedsAttention": false,
    "PassingSuiteKey": "suite-substrate",
    "NeedsAttentionSuiteKey": null
   },
   {
    "TestCaseId": "tc-xlate-step_executions-required_blocking_count",
    "TestKind": "formula-translates",
    "Subject": "StepExecutions.RequiredBlockingCount",
    "TargetTable": "StepExecutions",
    "TargetField": "RequiredBlockingCount",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StepExecutions.RequiredBlockingCount",
    "IsBlocking": true,
    "IsPassing": true,
    "IsFailing": false,
    "NeedsAttention": false,
    "PassingSuiteKey": "suite-substrate",
    "NeedsAttentionSuiteKey": null
   },
   {
    "TestCaseId": "tc-xlate-step_executions-has_unevaluated_blocking_requirement",
    "TestKind": "formula-translates",
    "Subject": "StepExecutions.HasUnevaluatedBlockingRequirement",
    "TargetTable": "StepExecutions",
    "TargetField": "HasUnevaluatedBlockingRequirement",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StepExecutions.HasUnevaluatedBlockingRequirement",
    "IsBlocking": true,
    "IsPassing": true,
    "IsFailing": false,
    "NeedsAttention": false,
    "PassingSuiteKey": "suite-substrate",
    "NeedsAttentionSuiteKey": null
   },
   {
    "TestCaseId": "tc-xlate-step_executions-executing_agent_kind",
    "TestKind": "formula-translates",
    "Subject": "StepExecutions.ExecutingAgentKind",
    "TargetTable": "StepExecutions",
    "TargetField": "ExecutingAgentKind",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StepExecutions.ExecutingAgentKind",
    "IsBlocking": true,
    "IsPassing": true,
    "IsFailing": false,
    "NeedsAttention": false,
    "PassingSuiteKey": "suite-substrate",
    "NeedsAttentionSuiteKey": null
   },
   {
    "TestCaseId": "tc-xlate-step_executions-was_executed_by_software",
    "TestKind": "formula-translates",
    "Subject": "StepExecutions.WasExecutedBySoftware",
    "TargetTable": "StepExecutions",
    "TargetField": "WasExecutedBySoftware",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StepExecutions.WasExecutedBySoftware",
    "IsBlocking": true,
    "IsPassing": true,
    "IsFailing": false,
    "NeedsAttention": false,
    "PassingSuiteKey": "suite-substrate",
    "NeedsAttentionSuiteKey": null
   },
   {
    "TestCaseId": "tc-xlate-step_executions-step_is_software_assigned",
    "TestKind": "formula-translates",
    "Subject": "StepExecutions.StepIsSoftwareAssigned",
    "TargetTable": "StepExecutions",
    "TargetField": "StepIsSoftwareAssigned",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StepExecutions.StepIsSoftwareAssigned",
    "IsBlocking": true,
    "IsPassing": true,
    "IsFailing": false,
    "NeedsAttention": false,
    "PassingSuiteKey": "suite-substrate",
    "NeedsAttentionSuiteKey": null
   },
   {
    "TestCaseId": "tc-xlate-step_executions-software_did_human_work",
    "TestKind": "formula-translates",
    "Subject": "StepExecutions.SoftwareDidHumanWork",
    "TargetTable": "StepExecutions",
    "TargetField": "SoftwareDidHumanWork",
    "Assertion": "The transpiler emitted a real SQL function for this formula rather than a NULL stub.",
    "DefendsQuestion": "q-hr-ai-authored-commitments",
    "Suite": "suite-substrate",
    "Severity": "blocking",
    "LastOutcome": "PASS",
    "LastDetail": "translated",
    "LastRunAt": "2026-07-20T03:06:49+00:00",
    "SemanticTypeIri": "urn:effortless:pko-extension#TestCase",
    "Name": "formula-translates: StepExecutions.SoftwareDidHumanWork",
    "IsBlocking": true,
    "IsPassing": true,
    "IsFailing": false,
    "NeedsAttention": false,
    "PassingSuiteKey": "suite-substrate",
    "NeedsAttentionSuiteKey": null
   },
   {
    "TestCaseId": "tc-xlate-step_executions-is_approval_execution",
    "TestKind": "formula-translates",
    "Subject": "StepExecutions.IsApprovalExecution",
    "TargetTable": "StepExecutions",
    "TargetField": "IsApprovalExecution",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StepExecutions.IsApprovalExecution",
    "IsBlocking": true,
    "IsPassing": true,
    "IsFailing": false,
    "NeedsAttention": false,
    "PassingSuiteKey": "suite-substrate",
    "NeedsAttentionSuiteKey": null
   },
   {
    "TestCaseId": "tc-xlate-step_executions-is_verified",
    "TestKind": "formula-translates",
    "Subject": "StepExecutions.IsVerified",
    "TargetTable": "StepExecutions",
    "TargetField": "IsVerified",
    "Assertion": "The transpiler emitted a real SQL function for this formula rather than a NULL stub.",
    "DefendsQuestion": "q-hr-what-was-actually-sent",
    "Suite": "suite-substrate",
    "Severity": "blocking",
    "LastOutcome": "PASS",
    "LastDetail": "translated",
    "LastRunAt": "2026-07-20T03:06:49+00:00",
    "SemanticTypeIri": "urn:effortless:pko-extension#TestCase",
    "Name": "formula-translates: StepExecutions.IsVerified",
    "IsBlocking": true,
    "IsPassing": true,
    "IsFailing": false,
    "NeedsAttention": false,
    "PassingSuiteKey": "suite-substrate",
    "NeedsAttentionSuiteKey": null
   },
   {
    "TestCaseId": "tc-xlate-step_executions-unconfirmed_non_human_decision_count",
    "TestKind": "formula-translates",
    "Subject": "StepExecutions.UnconfirmedNonHumanDecisionCount",
    "TargetTable": "StepExecutions",
    "TargetField": "UnconfirmedNonHumanDecisionCount",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StepExecutions.UnconfirmedNonHumanDecisionCount",
    "IsBlocking": true,
    "IsPassing": true,
    "IsFailing": false,
    "NeedsAttention": false,
    "PassingSuiteKey": "suite-substrate",
    "NeedsAttentionSuiteKey": null
   },
   {
    "TestCaseId": "tc-xlate-step_executions-requires_human_confirmation",
    "TestKind": "formula-translates",
    "Subject": "StepExecutions.RequiresHumanConfirmation",
    "TargetTable": "StepExecutions",
    "TargetField": "RequiresHumanConfirmation",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StepExecutions.RequiresHumanConfirmation",
    "IsBlocking": true,
    "IsPassing": true,
    "IsFailing": false,
    "NeedsAttention": false,
    "PassingSuiteKey": "suite-substrate",
    "NeedsAttentionSuiteKey": null
   },
   {
    "TestCaseId": "tc-xlate-step_executions-human_confirmation_missing",
    "TestKind": "formula-translates",
    "Subject": "StepExecutions.HumanConfirmationMissing",
    "TargetTable": "StepExecutions",
    "TargetField": "HumanConfirmationMissing",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StepExecutions.HumanConfirmationMissing",
    "IsBlocking": true,
    "IsPassing": true,
    "IsFailing": false,
    "NeedsAttention": false,
    "PassingSuiteKey": "suite-substrate",
    "NeedsAttentionSuiteKey": null
   },
   {
    "TestCaseId": "tc-xlate-step_executions-drafted_from_unusable_source",
    "TestKind": "formula-translates",
    "Subject": "StepExecutions.DraftedFromUnusableSource",
    "TargetTable": "StepExecutions",
    "TargetField": "DraftedFromUnusableSource",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StepExecutions.DraftedFromUnusableSource",
    "IsBlocking": true,
    "IsPassing": true,
    "IsFailing": false,
    "NeedsAttention": false,
    "PassingSuiteKey": "suite-substrate",
    "NeedsAttentionSuiteKey": null
   },
   {
    "TestCaseId": "tc-xlate-step_executions-inputs_were_usable",
    "TestKind": "formula-translates",
    "Subject": "StepExecutions.InputsWereUsable",
    "TargetTable": "StepExecutions",
    "TargetField": "InputsWereUsable",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StepExecutions.InputsWereUsable",
    "IsBlocking": true,
    "IsPassing": true,
    "IsFailing": false,
    "NeedsAttention": false,
    "PassingSuiteKey": "suite-substrate",
    "NeedsAttentionSuiteKey": null
   },
   {
    "TestCaseId": "tc-xlate-step_executions-software_execution_step_key",
    "TestKind": "formula-translates",
    "Subject": "StepExecutions.SoftwareExecutionStepKey",
    "TargetTable": "StepExecutions",
    "TargetField": "SoftwareExecutionStepKey",
    "Assertion": "The transpiler emitted a real SQL function for this formula rather than a NULL stub.",
    "DefendsQuestion": "q2-hr-ai-boundary-holds-only-where-tested",
    "Suite": "suite-substrate",
    "Severity": "blocking",
    "LastOutcome": "PASS",
    "LastDetail": "translated",
    "LastRunAt": "2026-07-20T03:06:49+00:00",
    "SemanticTypeIri": "urn:effortless:pko-extension#TestCase",
    "Name": "formula-translates: StepExecutions.SoftwareExecutionStepKey",
    "IsBlocking": true,
    "IsPassing": true,
    "IsFailing": false,
    "NeedsAttention": false,
    "PassingSuiteKey": "suite-substrate",
    "NeedsAttentionSuiteKey": null
   },
   {
    "TestCaseId": "tc-xlate-step_executions-step_control_kind",
    "TestKind": "formula-translates",
    "Subject": "StepExecutions.StepControlKind",
    "TargetTable": "StepExecutions",
    "TargetField": "StepControlKind",
    "Assertion": "The transpiler emitted a real SQL function for this formula rather than a NULL stub.",
    "DefendsQuestion": "q2-steward-control-kind-instead-of-hardcoded-ids",
    "Suite": "suite-substrate",
    "Severity": "blocking",
    "LastOutcome": "PASS",
    "LastDetail": "translated",
    "LastRunAt": "2026-07-20T03:06:49+00:00",
    "SemanticTypeIri": "urn:effortless:pko-extension#TestCase",
    "Name": "formula-translates: StepExecutions.StepControlKind",
    "IsBlocking": true,
    "IsPassing": true,
    "IsFailing": false,
    "NeedsAttention": false,
    "PassingSuiteKey": "suite-substrate",
    "NeedsAttentionSuiteKey": null
   },
   {
    "TestCaseId": "tc-xlate-step_executions-unfalsified_clearance_count",
    "TestKind": "formula-translates",
    "Subject": "StepExecut</t>
  </si>
  <si>
    <t xml:space="preserve">ions.UnfalsifiedClearanceCount",
    "TargetTable": "StepExecutions",
    "TargetField": "UnfalsifiedClearanceCount",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StepExecutions.UnfalsifiedClearanceCount",
    "IsBlocking": true,
    "IsPassing": true,
    "IsFailing": false,
    "NeedsAttention": false,
    "PassingSuiteKey": "suite-substrate",
    "NeedsAttentionSuiteKey": null
   },
   {
    "TestCaseId": "tc-xlate-step_executions-all_clearances_are_unfalsified",
    "TestKind": "formula-translates",
    "Subject": "StepExecutions.AllClearancesAreUnfalsified",
    "TargetTable": "StepExecutions",
    "TargetField": "AllClearancesAreUnfalsified",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StepExecutions.AllClearancesAreUnfalsified",
    "IsBlocking": true,
    "IsPassing": true,
    "IsFailing": false,
    "NeedsAttention": false,
    "PassingSuiteKey": "suite-substrate",
    "NeedsAttentionSuiteKey": null
   },
   {
    "TestCaseId": "tc-xlate-step_executions-stale_at_run_count",
    "TestKind": "formula-translates",
    "Subject": "StepExecutions.StaleAtRunCount",
    "TargetTable": "StepExecutions",
    "TargetField": "StaleAtRunCount",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StepExecutions.StaleAtRunCount",
    "IsBlocking": true,
    "IsPassing": true,
    "IsFailing": false,
    "NeedsAttention": false,
    "PassingSuiteKey": "suite-substrate",
    "NeedsAttentionSuiteKey": null
   },
   {
    "TestCaseId": "tc-xlate-step_executions-was_stale_when_i_ran_it",
    "TestKind": "formula-translates",
    "Subject": "StepExecutions.WasStaleWhenIRanIt",
    "TargetTable": "StepExecutions",
    "TargetField": "WasStaleWhenIRanIt",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StepExecutions.WasStaleWhenIRanIt",
    "IsBlocking": true,
    "IsPassing": true,
    "IsFailing": false,
    "NeedsAttention": false,
    "PassingSuiteKey": "suite-substrate",
    "NeedsAttentionSuiteKey": null
   },
   {
    "TestCaseId": "tc-xlate-step_executions-staleness_answer_is_tense_dependent",
    "TestKind": "formula-translates",
    "Subject": "StepExecutions.StalenessAnswerIsTenseDependent",
    "TargetTable": "StepExecutions",
    "TargetField": "StalenessAnswerIsTenseDependent",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StepExecutions.StalenessAnswerIsTenseDependent",
    "IsBlocking": true,
    "IsPassing": true,
    "IsFailing": false,
    "NeedsAttention": false,
    "PassingSuiteKey": "suite-substrate",
    "NeedsAttentionSuiteKey": null
   },
   {
    "TestCaseId": "tc-xlate-step_executions-has_any_declared_check",
    "TestKind": "formula-translates",
    "Subject": "StepExecutions.HasAnyDeclaredCheck",
    "TargetTable": "StepExecutions",
    "TargetField": "HasAnyDeclaredCheck",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StepExecutions.HasAnyDeclaredCheck",
    "IsBlocking": true,
    "IsPassing": true,
    "IsFailing": false,
    "NeedsAttention": false,
    "PassingSuiteKey": "suite-substrate",
    "NeedsAttentionSuiteKey": null
   },
   {
    "TestCaseId": "tc-xlate-step_executions-performed_check_count",
    "TestKind": "formula-translates",
    "Subject": "StepExecutions.PerformedCheckCount",
    "TargetTable": "StepExecutions",
    "TargetField": "PerformedCheckCount",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StepExecutions.PerformedCheckCount",
    "IsBlocking": true,
    "IsPassing": true,
    "IsFailing": false,
    "NeedsAttention": false,
    "PassingSuiteKey": "suite-substrate",
    "NeedsAttentionSuiteKey": null
   },
   {
    "TestCaseId": "tc-xlate-step_executions-declared_check_count",
    "TestKind": "formula-translates",
    "Subject": "StepExecutions.DeclaredCheckCount",
    "TargetTable": "StepExecutions",
    "TargetField": "DeclaredCheckCount",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StepExecutions.DeclaredCheckCount",
    "IsBlocking": true,
    "IsPassing": true,
    "IsFailing": false,
    "NeedsAttention": false,
    "PassingSuiteKey": "suite-substrate",
    "NeedsAttentionSuiteKey": null
   },
   {
    "TestCaseId": "tc-xlate-step_executions-is_unchecked_by_design",
    "TestKind": "formula-translates",
    "Subject": "StepExecutions.IsUncheckedByDesign",
    "TargetTable": "StepExecutions",
    "TargetField": "IsUncheckedByDesign",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StepExecutions.IsUncheckedByDesign",
    "IsBlocking": true,
    "IsPassing": true,
    "IsFailing": false,
    "NeedsAttention": false,
    "PassingSuiteKey": "suite-substrate",
    "NeedsAttentionSuiteKey": null
   },
   {
    "TestCaseId": "tc-xlate-step_executions-is_vacuously_clean",
    "TestKind": "formula-translates",
    "Subject": "StepExecutions.IsVacuouslyClean",
    "TargetTable": "StepExecutions",
    "TargetField": "IsVacuouslyClean",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StepExecutions.IsVacuouslyClean",
    "IsBlocking": true,
    "IsPassing": true,
    "IsFailing": false,
    "NeedsAttention": false,
    "PassingSuiteKey": "suite-substrate",
    "NeedsAttentionSuiteKey": null
   },
   {
    "TestCaseId": "tc-xlate-step_executions-is_substantively_clean",
    "TestKind": "formula-translates",
    "Subject": "StepExecutions.IsSubstantivelyClean",
    "TargetTable": "StepExecutions",
    "TargetField": "IsSubstantivelyClean",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StepExecutions.IsSubstantivelyClean",
    "IsBlocking": true,
    "IsPassing": true,
    "IsFailing": false,
    "NeedsAttention": false,
    "PassingSuiteKey": "suite-substrate",
    "NeedsAttentionSuiteKey": null
   },
   {
    "TestCaseId": "tc-xlate-step_executions-vacuously_clean_execution_key",
    "TestKind": "formula-translates",
    "Subject": "StepExecutions.VacuouslyCleanExecutionKey",
    "TargetTable": "StepExecutions",
    "TargetField": "VacuouslyCleanExecutionKey",
    "Assertion": "The transpiler emitted a real SQL function for this formula rather than a NULL stub.",
    "DefendsQuestion": "q2-fa-clean-but-uncovered",
    "Suite": "suite-substrate",
    "Severity": "blocking",
    "LastOutcome": "PASS",
    "LastDetail": "translated",
    "LastRunAt": "2026-07-20T03:06:49+00:00",
    "SemanticTypeIri": "urn:effortless:pko-extension#TestCase",
    "Name": "formula-translates: StepExecutions.VacuouslyCleanExecutionKey",
    "IsBlocking": true,
    "IsPassing": true,
    "IsFailing": false,
    "NeedsAttention": false,
    "PassingSuiteKey": "suite-substrate",
    "NeedsAttentionSuiteKey": null
   },
   {
    "TestCaseId": "tc-xlate-step_executions-uncorroborated_pass_count",
    "TestKind": "formula-translates",
    "Subject": "StepExecutions.UncorroboratedPassCount",
    "TargetTable": "StepExecutions",
    "TargetField": "UncorroboratedPassCount",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StepExecutions.UncorroboratedPassCount",
    "IsBlocking": true,
    "IsPassing": true,
    "IsFailing": false,
    "NeedsAttention": false,
    "PassingSuiteKey": "suite-substrate",
    "NeedsAttentionSuiteKey": null
   },
   {
    "TestCaseId": "tc-xlate-step_executions-evidence_position_is_weak",
    "TestKind": "formula-translates",
    "Subject": "StepExecutions.EvidencePositionIsWeak",
    "TargetTable": "StepExecutions",
    "TargetField": "EvidencePositionIsWeak",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StepExecutions.EvidencePositionIsWeak",
    "IsBlocking": true,
    "IsPassing": true,
    "IsFailing": false,
    "NeedsAttention": false,
    "PassingSuiteKey": "suite-substrate",
    "NeedsAttentionSuiteKey": null
   },
   {
    "TestCaseId": "tc-xlate-step_executions-preparation_execution_key",
    "TestKind": "formula-translates",
    "Subject": "StepExecutions.PreparationExecutionKey",
    "TargetTable": "StepExecutions",
    "TargetField": "PreparationExecutionKey",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StepExecutions.PreparationExecutionKey",
    "IsBlocking": true,
    "IsPassing": true,
    "IsFailing": false,
    "NeedsAttention": false,
    "PassingSuiteKey": "suite-substrate",
    "NeedsAttentionSuiteKey": null
   },
   {
    "TestCaseId": "tc-xlate-step_executions-approval_execution_key",
    "TestKind": "formula-translates",
    "Subject": "StepExecutions.ApprovalExecutionKey",
    "TargetTable": "StepExecutions",
    "TargetField": "ApprovalExecutionKey",
    "Assertion": "The transpiler emitted a real SQL function for this formula rather than a NULL stub.",
    "DefendsQuestion": "q2-ctl-separation-held-or-untested",
    "Suite": "suite-substrate",
    "Severity": "blocking",
    "LastOutcome": "PASS",
    "LastDetail": "translated",
    "LastRunAt": "2026-07-20T03:06:49+00:00",
    "SemanticTypeIri": "urn:effortless:pko-extension#TestCase",
    "Name": "formula-translates: StepExecutions.ApprovalExecutionKey",
    "IsBlocking": true,
    "IsPassing": true,
    "IsFailing": false,
    "NeedsAttention": false,
    "PassingSuiteKey": "suite-substrate",
    "NeedsAttentionSuiteKey": null
   },
   {
    "TestCaseId": "tc-xlate-step_executions-has_governing_instrument",
    "TestKind": "formula-translates",
    "Subject": "StepExecutions.HasGoverningInstrument",
    "TargetTable": "StepExecutions",
    "TargetField": "HasGoverningInstrument",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StepExecutions.HasGoverningInstrument",
    "IsBlocking": true,
    "IsPassing": true,
    "IsFailing": false,
    "NeedsAttention": false,
    "PassingSuiteKey": "suite-substrate",
    "NeedsAttentionSuiteKey": null
   },
   {
    "TestCaseId": "tc-xlate-step_executions-has_approved_change_coverage",
    "TestKind": "formula-translates",
    "Subject": "StepExecutions.HasApprovedChangeCoverage",
    "TargetTable": "StepExecutions",
    "TargetField": "HasApprovedChangeCoverage",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StepExecutions.HasApprovedChangeCoverage",
    "IsBlocking": true,
    "IsPassing": true,
    "IsFailing": false,
    "NeedsAttention": false,
    "PassingSuiteKey": "suite-substrate",
    "NeedsAttentionSuiteKey": null
   },
   {
    "TestCaseId": "tc-xlate-step_executions-version_of_step",
    "TestKind": "formula-translates",
    "Subject": "StepExecutions.VersionOfStep",
    "TargetTable": "StepExecutions",
    "TargetField": "VersionOfStep",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StepExecutions.VersionOfStep",
    "IsBlocking": true,
    "IsPassing": true,
    "IsFailing": false,
    "NeedsAttention": false,
    "PassingSuiteKey": "suite-substrate",
    "NeedsAttentionSuiteKey": null
   },
   {
    "TestCaseId": "tc-xlate-step_executions-is_ungoverned_divergence",
    "TestKind": "formula-translates",
    "Subject": "StepExecutions.IsUngovernedDivergence",
    "TargetTable": "StepExecutions",
    "TargetField": "IsUngovernedDivergence",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StepExecutions.IsUngovernedDivergence",
    "IsBlocking": true,
    "IsPassing": true,
    "IsFailing": false,
    "NeedsAttention": false,
    "PassingSuiteKey": "suite-substrate",
    "NeedsAttentionSuiteKey": null
   },
   {
    "TestCaseId": "tc-xlate-step_executions-ungoverned_divergence_execution_key",
    "TestKind": "formula-translates",
    "Subject": "StepExecutions.UngovernedDivergenceExecutionKey",
    "TargetTable": "StepExecutions",
    "TargetField": "UngovernedDivergenceExecutionKey",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StepExecutions.UngovernedDivergenceExecutionKey",
    "IsBlocking": true,
    "IsPassing": true,
    "IsFailing": false,
    "NeedsAttention": false,
    "PassingSuiteKey": "suite-substrate",
    "NeedsAttentionSuiteKey": null
   },
   {
    "TestCaseId": "tc-xlate-step_executions-self_attested_approval_execution_key",
    "TestKind": "formula-translates",
    "Subject": "StepExecutions.SelfAttestedApprovalExecutionKey",
    "TargetTable": "StepExecutions",
    "TargetField": "SelfAttestedApprovalExecutionKey",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StepExecutions.SelfAttestedApprovalExecutionKey",
    "IsBlocking": true,
    "IsPassing": true,
    "IsFailing": false,
    "NeedsAttention": false,
    "PassingSuiteKey": "suite-substrate",
    "NeedsAttentionSuiteKey": null
   },
   {
    "TestCaseId": "tc-xlate-requirement_satisfactions-name",
    "TestKind": "formula-translates",
    "Subject": "RequirementSatisfactions.Name",
    "TargetTable": "RequirementSatisfactions",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RequirementSatisfactions.Name",
    "IsBlocking": true,
    "IsPassing": true,
    "IsFailing": false,
    "NeedsAttention": false,
    "PassingSuiteKey": "suite-substrate",
    "NeedsAttentionSuiteKey": null
   },
   {
    "TestCaseId": "tc-xlate-requirement_satisfactions-requirement_is_blocking",
    "TestKind": "formula-translates",
    "Subject": "RequirementSatisfactions.RequirementIsBlocking",
    "TargetTable": "RequirementSatisfactions",
    "TargetField": "RequirementIsBlocking",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RequirementSatisfactions.RequirementIsBlocking",
    "IsBlocking": true,
    "IsPassing": true,
    "IsFailing": false,
    "NeedsAttention": false,
    "PassingSuiteKey": "suite-substrate",
    "NeedsAttentionSuiteKey": null
   },
   {
    "TestCaseId": "tc-xlate-requirement_satisfactions-is_fully_satisfied",
    "TestKind": "formula-translates",
    "Subject": "RequirementSatisfactions.IsFullySatisfied",
    "TargetTable": "RequirementSatisfactions",
    "TargetField": "IsFullySatisfied",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RequirementSatisfactions.IsFullySatisfied",
    "IsBlocking": true,
    "IsPassing": true,
    "IsFailing": false,
    "NeedsAttention": false,
    "PassingSuiteKey": "suite-substrate",
    "NeedsAttentionSuiteKey": null
   },
   {
    "TestCaseId": "tc-xlate-requirement_satisfactions-is_blocking_and_unmet",
    "TestKind": "formula-translates",
    "Subject": "RequirementSatisfactions.IsBlockingAndUnmet",
    "TargetTable": "RequirementSatisfactions",
    "TargetField": "IsBlockingAndUnmet",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RequirementSatisfactions.IsBlockingAndUnmet",
    "IsBlocking": true,
    "IsPassing": true,
    "IsFailing": false,
    "NeedsAttention": false,
    "PassingSuiteKey": "suite-substrate",
    "NeedsAttentionSuiteKey": null
   },
   {
    "TestCaseId": "tc-xlate-requirement_satisfactions-blocking_unmet_step_key",
    "TestKind": "formula-translates",
    "Subject": "RequirementSatisfactions.BlockingUnmetStepKey",
    "TargetTable": "RequirementSatisfactions",
    "TargetField": "BlockingUnmetStepKey",
    "Assertion": "The transpiler emitted a real SQL function for this formula rather than a NULL stub.",
    "DefendsQuestion": "q-analyst-blocking-unmet-on-my-step",
    "Suite": "suite-substrate",
    "Severity": "blocking",
    "LastOutcome": "PASS",
    "LastDetail": "translated",
    "LastRunAt": "2026-07-20T03:06:49+00:00",
    "SemanticTypeIri": "urn:effortless:pko-extension#TestCase",
    "Name": "formula-translates: RequirementSatisfactions.BlockingUnmetStepKey",
    "IsBlocking": true,
    "IsPassing": true,
    "IsFailing": false,
    "NeedsAttention": false,
    "PassingSuiteKey": "suite-substrate",
    "NeedsAttentionSuiteKey": null
   },
   {
    "TestCaseId": "tc-xlate-requirement_satisfactions-blocking_satisfaction_step_key",
    "TestKind": "formula-translates",
    "Subject": "RequirementSatisfactions.BlockingSatisfactionStepKey",
    "TargetTable": "RequirementSatisfactions",
    "TargetField": "BlockingSatisfactionStepKey",
    "Assertion": "The transpiler emitted a real SQL function for this formula rather than a NULL stub.",
    "DefendsQuestion": "q-analyst-blocking-never-evaluated",
    "Suite": "suite-substrate",
    "Severity": "blocking",
    "LastOutcome": "PASS",
    "LastDetail": "translated",
    "LastRunAt": "2026-07-20T03:06:49+00:00",
    "SemanticTypeIri": "urn:effortless:pko-extension#TestCase",
    "Name": "formula-translates: RequirementSatisfactions.BlockingSatisfactionStepKey",
    "IsBlocking": true,
    "IsPassing": true,
    "IsFailing": false,
    "NeedsAttention": false,
    "PassingSuiteKey": "suite-substrate",
    "NeedsAttentionSuiteKey": null
   },
   {
    "TestCaseId": "tc-xlate-requirement_satisfactions-negative_outcome_requirement_key",
    "TestKind": "formula-translates",
    "Subject": "RequirementSatisfactions.NegativeOutcomeRequirementKey",
    "TargetTable": "RequirementSatisfactions",
    "TargetField": "NegativeOutcomeRequirementKey",
    "Assertion": "The transpiler emitted a real SQL function for this formula rather than a NULL stub.",
    "DefendsQuestion": "q-controller-blocking-control-inoperative",
    "Suite": "suite-substrate",
    "Severity": "blocking",
    "LastOutcome": "PASS",
    "LastDetail": "translated",
    "LastRunAt": "2026-07-20T03:06:49+00:00",
    "SemanticTypeIri": "urn:effortless:pko-extension#TestCase",
    "Name": "formula-translates: RequirementSatisfactions.NegativeOutcomeRequirementKey",
    "IsBlocking": true,
    "IsPassing": true,
    "IsFailing": false,
    "NeedsAttention": false,
    "PassingSuiteKey": "suite-substrate",
    "NeedsAttentionSuiteKey": null
   },
   {
    "TestCaseId": "tc-xlate-requirement_satisfactions-evaluator_agent_kind",
    "TestKind": "formula-translates",
    "Subject": "RequirementSatisfactions.EvaluatorAgentKind",
    "TargetTable": "RequirementSatisfactions",
    "TargetField": "EvaluatorAgentKind",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RequirementSatisfactions.EvaluatorAgentKind",
    "IsBlocking": true,
    "IsPassing": true,
    "IsFailing": false,
    "NeedsAttention": false,
    "PassingSuiteKey": "suite-substrate",
    "NeedsAttentionSuiteKey": null
   },
   {
    "TestCaseId": "tc-xlate-requirement_satisfactions-non_human_evaluated_human_control",
    "TestKind": "formula-translates",
    "Subject": "RequirementSatisfactions.NonHumanEvaluatedHumanControl",
    "TargetTable": "RequirementSatisfactions",
    "TargetField": "NonHumanEvaluatedHumanControl",
    "Assertion": "The transpiler emitted a real SQL function for this formula rather than a NULL stub.",
    "DefendsQuestion": "q-controller-ai-agent-approved-meaning",
    "Suite": "suite-substrate",
    "Severity": "blocking",
    "LastOutcome": "PASS",
    "LastDetail": "translated",
    "LastRunAt": "2026-07-20T03:06:49+00:00",
    "SemanticTypeIri": "urn:effortless:pko-extension#TestCase",
    "Name": "formula-translates: RequirementSatisfactions.NonHumanEvaluatedHumanControl",
    "IsBlocking": true,
    "IsPassing": true,
    "IsFailing": false,
    "NeedsAttention": false,
    "PassingSuiteKey": "suite-substrate",
    "NeedsAttentionSuiteKey": null
   },
   {
    "TestCaseId": "tc-xlate-requirement_satisfactions-requirement_has_computed_witness",
    "TestKind": "formula-translates",
    "Subject": "RequirementSatisfactions.RequirementHasComputedWitness",
    "TargetTable": "RequirementSatisfactions",
    "TargetField": "RequirementHasComputedWitness",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RequirementSatisfactions.RequirementHasComputedWitness",
    "IsBlocking": true,
    "IsPassing": true,
    "IsFailing": false,
    "NeedsAttention": false,
    "PassingSuiteKey": "suite-substrate",
    "NeedsAttentionSuiteKey": null
   },
   {
    "TestCaseId": "tc-xlate-requirement_satisfactions-is_asserted_only",
    "TestKind": "formula-translates",
    "Subject": "RequirementSatisfactions.IsAssertedOnly",
    "TargetTable": "RequirementSatisfactions",
    "TargetField": "IsAssertedOnly",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RequirementSatisfactions.IsAssertedOnly",
    "IsBlocking": true,
    "IsPassing": true,
    "IsFailing": false,
    "NeedsAttention": false,
    "PassingSuiteKey": "suite-substrate",
    "NeedsAttentionSuiteKey": null
   },
   {
    "TestCaseId": "tc-xlate-requirement_satisfactions-asserted_only_execution_key",
    "TestKind": "formula-translates",
    "Subject": "RequirementSatisfactions.AssertedOnlyExecutionKey",
    "TargetTable": "RequirementSatisfactions",
    "TargetField": "AssertedOnlyExecutionKey",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RequirementSatisfactions.AssertedOnlyExecutionKey",
    "IsBlocking": true,
    "IsPassing": true,
    "IsFailing": false,
    "NeedsAttention": false,
    "PassingSuiteKey": "suite-substrate",
    "NeedsAttentionSuiteKey": null
   },
   {
    "TestCaseId": "tc-xlate-requirement_satisfactions-parent_procedure_execution",
    "TestKind": "formula-translates",
    "Subject": "RequirementSatisfactions.ParentProcedureExecution",
    "TargetTable": "RequirementSatisfactions",
    "TargetField": "ParentProcedureExecution",
    "Assertion": "The transpiler emitted a real SQL function for this formula rather than a NULL stub.",
    "DefendsQuestion": "q-cfo-am-i-being-told-everything",
    "Suite": "suite-substrate",
    "Severity": "blocking",
    "LastOutcome": "PASS",
    "LastDetail": "translated",
    "LastRunAt": "2026-07-20T03:06:49+00:00",
    "SemanticTypeIri": "urn:effortless:pko-extension#TestCase",
    "Name": "formula-translates: RequirementSatisfactions.ParentProcedureExecution",
    "IsBlocking": true,
    "IsPassing": true,
    "IsFailing": false,
    "NeedsAttention": false,
    "PassingSuiteKey": "suite-substrate",
    "NeedsAttentionSuiteKey": null
   },
   {
    "TestCaseId": "tc-xlate-requirement_satisfactions-step_execution_when_scored",
    "TestKind": "formula-translates",
    "Subject": "RequirementSatisfactions.StepExecutionWhenScored",
    "TargetTable": "RequirementSatisfactions",
    "TargetField": "StepExecutionWhenScored",
    "Assertion": "The transpiler emitted a real SQL function for this formula rather than a NULL stub.",
    "DefendsQuestion": "q-close-auto-blocking-requirements-evaluated",
    "Suite": "suite-substrate",
    "Severity": "blocking",
    "LastOutcome": "PASS",
    "LastDetail": "translated",
    "LastRunAt": "2026-07-20T03:06:49+00:00",
    "SemanticTypeIri": "urn:effortless:pko-extension#TestCase",
    "Name": "formula-translates: RequirementSatisfactions.StepExecutionWhenScored",
    "IsBlocking": true,
    "IsPassing": true,
    "IsFailing": false,
    "NeedsAttention": false,
    "PassingSuiteKey": "suit</t>
  </si>
  <si>
    <t xml:space="preserve">e-substrate",
    "NeedsAttentionSuiteKey": null
   },
   {
    "TestCaseId": "tc-xlate-requirement_satisfactions-is_human_evaluated",
    "TestKind": "formula-translates",
    "Subject": "RequirementSatisfactions.IsHumanEvaluated",
    "TargetTable": "RequirementSatisfactions",
    "TargetField": "IsHumanEvaluated",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RequirementSatisfactions.IsHumanEvaluated",
    "IsBlocking": true,
    "IsPassing": true,
    "IsFailing": false,
    "NeedsAttention": false,
    "PassingSuiteKey": "suite-substrate",
    "NeedsAttentionSuiteKey": null
   },
   {
    "TestCaseId": "tc-xlate-requirement_satisfactions-requirement_is_approval_type",
    "TestKind": "formula-translates",
    "Subject": "RequirementSatisfactions.RequirementIsApprovalType",
    "TargetTable": "RequirementSatisfactions",
    "TargetField": "RequirementIsApprovalType",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RequirementSatisfactions.RequirementIsApprovalType",
    "IsBlocking": true,
    "IsPassing": true,
    "IsFailing": false,
    "NeedsAttention": false,
    "PassingSuiteKey": "suite-substrate",
    "NeedsAttentionSuiteKey": null
   },
   {
    "TestCaseId": "tc-xlate-requirement_satisfactions-is_invalid_approval",
    "TestKind": "formula-translates",
    "Subject": "RequirementSatisfactions.IsInvalidApproval",
    "TargetTable": "RequirementSatisfactions",
    "TargetField": "IsInvalidApproval",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RequirementSatisfactions.IsInvalidApproval",
    "IsBlocking": true,
    "IsPassing": true,
    "IsFailing": false,
    "NeedsAttention": false,
    "PassingSuiteKey": "suite-substrate",
    "NeedsAttentionSuiteKey": null
   },
   {
    "TestCaseId": "tc-xlate-requirement_satisfactions-procedure_execution_of_satisfaction",
    "TestKind": "formula-translates",
    "Subject": "RequirementSatisfactions.ProcedureExecutionOfSatisfaction",
    "TargetTable": "RequirementSatisfactions",
    "TargetField": "ProcedureExecutionOfSatisfaction",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RequirementSatisfactions.ProcedureExecutionOfSatisfaction",
    "IsBlocking": true,
    "IsPassing": true,
    "IsFailing": false,
    "NeedsAttention": false,
    "PassingSuiteKey": "suite-substrate",
    "NeedsAttentionSuiteKey": null
   },
   {
    "TestCaseId": "tc-xlate-requirement_satisfactions-run_when_invalid_approval",
    "TestKind": "formula-translates",
    "Subject": "RequirementSatisfactions.RunWhenInvalidApproval",
    "TargetTable": "RequirementSatisfactions",
    "TargetField": "RunWhenInvalidApproval",
    "Assertion": "The transpiler emitted a real SQL function for this formula rather than a NULL stub.",
    "DefendsQuestion": "q-policy-ai-approval-chain-complete",
    "Suite": "suite-substrate",
    "Severity": "blocking",
    "LastOutcome": "PASS",
    "LastDetail": "translated",
    "LastRunAt": "2026-07-20T03:06:49+00:00",
    "SemanticTypeIri": "urn:effortless:pko-extension#TestCase",
    "Name": "formula-translates: RequirementSatisfactions.RunWhenInvalidApproval",
    "IsBlocking": true,
    "IsPassing": true,
    "IsFailing": false,
    "NeedsAttention": false,
    "PassingSuiteKey": "suite-substrate",
    "NeedsAttentionSuiteKey": null
   },
   {
    "TestCaseId": "tc-xlate-requirement_satisfactions-requirement_is_unfalsified",
    "TestKind": "formula-translates",
    "Subject": "RequirementSatisfactions.RequirementIsUnfalsified",
    "TargetTable": "RequirementSatisfactions",
    "TargetField": "RequirementIsUnfalsified",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RequirementSatisfactions.RequirementIsUnfalsified",
    "IsBlocking": true,
    "IsPassing": true,
    "IsFailing": false,
    "NeedsAttention": false,
    "PassingSuiteKey": "suite-substrate",
    "NeedsAttentionSuiteKey": null
   },
   {
    "TestCaseId": "tc-xlate-requirement_satisfactions-is_clearance_by_unfalsified_control",
    "TestKind": "formula-translates",
    "Subject": "RequirementSatisfactions.IsClearanceByUnfalsifiedControl",
    "TargetTable": "RequirementSatisfactions",
    "TargetField": "IsClearanceByUnfalsifiedControl",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RequirementSatisfactions.IsClearanceByUnfalsifiedControl",
    "IsBlocking": true,
    "IsPassing": true,
    "IsFailing": false,
    "NeedsAttention": false,
    "PassingSuiteKey": "suite-substrate",
    "NeedsAttentionSuiteKey": null
   },
   {
    "TestCaseId": "tc-xlate-requirement_satisfactions-unfalsified_clearance_step_key",
    "TestKind": "formula-translates",
    "Subject": "RequirementSatisfactions.UnfalsifiedClearanceStepKey",
    "TargetTable": "RequirementSatisfactions",
    "TargetField": "UnfalsifiedClearanceStepKey",
    "Assertion": "The transpiler emitted a real SQL function for this formula rather than a NULL stub.",
    "DefendsQuestion": "q2-fa-cleared-by-mute-control",
    "Suite": "suite-substrate",
    "Severity": "blocking",
    "LastOutcome": "PASS",
    "LastDetail": "translated",
    "LastRunAt": "2026-07-20T03:06:49+00:00",
    "SemanticTypeIri": "urn:effortless:pko-extension#TestCase",
    "Name": "formula-translates: RequirementSatisfactions.UnfalsifiedClearanceStepKey",
    "IsBlocking": true,
    "IsPassing": true,
    "IsFailing": false,
    "NeedsAttention": false,
    "PassingSuiteKey": "suite-substrate",
    "NeedsAttentionSuiteKey": null
   },
   {
    "TestCaseId": "tc-xlate-requirement_satisfactions-spec_step_of_execution",
    "TestKind": "formula-translates",
    "Subject": "RequirementSatisfactions.SpecStepOfExecution",
    "TargetTable": "RequirementSatisfactions",
    "TargetField": "SpecStepOfExecution",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RequirementSatisfactions.SpecStepOfExecution",
    "IsBlocking": true,
    "IsPassing": true,
    "IsFailing": false,
    "NeedsAttention": false,
    "PassingSuiteKey": "suite-substrate",
    "NeedsAttentionSuiteKey": null
   },
   {
    "TestCaseId": "tc-xlate-requirement_satisfactions-binding_key",
    "TestKind": "formula-translates",
    "Subject": "RequirementSatisfactions.BindingKey",
    "TargetTable": "RequirementSatisfactions",
    "TargetField": "BindingKey",
    "Assertion": "The transpiler emitted a real SQL function for this formula rather than a NULL stub.",
    "DefendsQuestion": "q2-ctl-witness-scope-vs-binding",
    "Suite": "suite-substrate",
    "Severity": "blocking",
    "LastOutcome": "PASS",
    "LastDetail": "translated",
    "LastRunAt": "2026-07-20T03:06:49+00:00",
    "SemanticTypeIri": "urn:effortless:pko-extension#TestCase",
    "Name": "formula-translates: RequirementSatisfactions.BindingKey",
    "IsBlocking": true,
    "IsPassing": true,
    "IsFailing": false,
    "NeedsAttention": false,
    "PassingSuiteKey": "suite-substrate",
    "NeedsAttentionSuiteKey": null
   },
   {
    "TestCaseId": "tc-xlate-requirement_satisfactions-scored_step_executor_agent",
    "TestKind": "formula-translates",
    "Subject": "RequirementSatisfactions.ScoredStepExecutorAgent",
    "TargetTable": "RequirementSatisfactions",
    "TargetField": "ScoredStepExecutorAgent",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RequirementSatisfactions.ScoredStepExecutorAgent",
    "IsBlocking": true,
    "IsPassing": true,
    "IsFailing": false,
    "NeedsAttention": false,
    "PassingSuiteKey": "suite-substrate",
    "NeedsAttentionSuiteKey": null
   },
   {
    "TestCaseId": "tc-xlate-requirement_satisfactions-evaluator_is_step_executor",
    "TestKind": "formula-translates",
    "Subject": "RequirementSatisfactions.EvaluatorIsStepExecutor",
    "TargetTable": "RequirementSatisfactions",
    "TargetField": "EvaluatorIsStepExecutor",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RequirementSatisfactions.EvaluatorIsStepExecutor",
    "IsBlocking": true,
    "IsPassing": true,
    "IsFailing": false,
    "NeedsAttention": false,
    "PassingSuiteKey": "suite-substrate",
    "NeedsAttentionSuiteKey": null
   },
   {
    "TestCaseId": "tc-xlate-requirement_satisfactions-run_owner_agent",
    "TestKind": "formula-translates",
    "Subject": "RequirementSatisfactions.RunOwnerAgent",
    "TargetTable": "RequirementSatisfactions",
    "TargetField": "RunOwnerAgent",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RequirementSatisfactions.RunOwnerAgent",
    "IsBlocking": true,
    "IsPassing": true,
    "IsFailing": false,
    "NeedsAttention": false,
    "PassingSuiteKey": "suite-substrate",
    "NeedsAttentionSuiteKey": null
   },
   {
    "TestCaseId": "tc-xlate-requirement_satisfactions-evaluator_owns_the_run",
    "TestKind": "formula-translates",
    "Subject": "RequirementSatisfactions.EvaluatorOwnsTheRun",
    "TargetTable": "RequirementSatisfactions",
    "TargetField": "EvaluatorOwnsTheRun",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RequirementSatisfactions.EvaluatorOwnsTheRun",
    "IsBlocking": true,
    "IsPassing": true,
    "IsFailing": false,
    "NeedsAttention": false,
    "PassingSuiteKey": "suite-substrate",
    "NeedsAttentionSuiteKey": null
   },
   {
    "TestCaseId": "tc-xlate-requirement_satisfactions-is_interested_party_assertion",
    "TestKind": "formula-translates",
    "Subject": "RequirementSatisfactions.IsInterestedPartyAssertion",
    "TargetTable": "RequirementSatisfactions",
    "TargetField": "IsInterestedPartyAssertion",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RequirementSatisfactions.IsInterestedPartyAssertion",
    "IsBlocking": true,
    "IsPassing": true,
    "IsFailing": false,
    "NeedsAttention": false,
    "PassingSuiteKey": "suite-substrate",
    "NeedsAttentionSuiteKey": null
   },
   {
    "TestCaseId": "tc-xlate-requirement_satisfactions-has_written_evidence",
    "TestKind": "formula-translates",
    "Subject": "RequirementSatisfactions.HasWrittenEvidence",
    "TargetTable": "RequirementSatisfactions",
    "TargetField": "HasWrittenEvidence",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RequirementSatisfactions.HasWrittenEvidence",
    "IsBlocking": true,
    "IsPassing": true,
    "IsFailing": false,
    "NeedsAttention": false,
    "PassingSuiteKey": "suite-substrate",
    "NeedsAttentionSuiteKey": null
   },
   {
    "TestCaseId": "tc-xlate-requirement_satisfactions-is_bare_assertion",
    "TestKind": "formula-translates",
    "Subject": "RequirementSatisfactions.IsBareAssertion",
    "TargetTable": "RequirementSatisfactions",
    "TargetField": "IsBareAssertion",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RequirementSatisfactions.IsBareAssertion",
    "IsBlocking": true,
    "IsPassing": true,
    "IsFailing": false,
    "NeedsAttention": false,
    "PassingSuiteKey": "suite-substrate",
    "NeedsAttentionSuiteKey": null
   },
   {
    "TestCaseId": "tc-xlate-requirement_satisfactions-interested_assertion_execution_key",
    "TestKind": "formula-translates",
    "Subject": "RequirementSatisfactions.InterestedAssertionExecutionKey",
    "TargetTable": "RequirementSatisfactions",
    "TargetField": "InterestedAssertionExecutionKey",
    "Assertion": "The transpiler emitted a real SQL function for this formula rather than a NULL stub.",
    "DefendsQuestion": "q2-ctl-asserted-controls-by-who",
    "Suite": "suite-substrate",
    "Severity": "blocking",
    "LastOutcome": "PASS",
    "LastDetail": "translated",
    "LastRunAt": "2026-07-20T03:06:49+00:00",
    "SemanticTypeIri": "urn:effortless:pko-extension#TestCase",
    "Name": "formula-translates: RequirementSatisfactions.InterestedAssertionExecutionKey",
    "IsBlocking": true,
    "IsPassing": true,
    "IsFailing": false,
    "NeedsAttention": false,
    "PassingSuiteKey": "suite-substrate",
    "NeedsAttentionSuiteKey": null
   },
   {
    "TestCaseId": "tc-xlate-requirement_satisfactions-is_computedly_witnessed",
    "TestKind": "formula-translates",
    "Subject": "RequirementSatisfactions.IsComputedlyWitnessed",
    "TargetTable": "RequirementSatisfactions",
    "TargetField": "IsComputedlyWitnessed",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RequirementSatisfactions.IsComputedlyWitnessed",
    "IsBlocking": true,
    "IsPassing": true,
    "IsFailing": false,
    "NeedsAttention": false,
    "PassingSuiteKey": "suite-substrate",
    "NeedsAttentionSuiteKey": null
   },
   {
    "TestCaseId": "tc-xlate-requirement_satisfactions-computed_witness_execution_key",
    "TestKind": "formula-translates",
    "Subject": "RequirementSatisfactions.ComputedWitnessExecutionKey",
    "TargetTable": "RequirementSatisfactions",
    "TargetField": "ComputedWitnessExecutionKey",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RequirementSatisfactions.ComputedWitnessExecutionKey",
    "IsBlocking": true,
    "IsPassing": true,
    "IsFailing": false,
    "NeedsAttention": false,
    "PassingSuiteKey": "suite-substrate",
    "NeedsAttentionSuiteKey": null
   },
   {
    "TestCaseId": "tc-xlate-requirement_satisfactions-step_executor_agent",
    "TestKind": "formula-translates",
    "Subject": "RequirementSatisfactions.StepExecutorAgent",
    "TargetTable": "RequirementSatisfactions",
    "TargetField": "StepExecutorAgent",
    "Assertion": "The transpiler emitted a real SQL function for this formula rather than a NULL stub.",
    "DefendsQuestion": "q2-cfo-quality-of-a-green-attestation",
    "Suite": "suite-substrate",
    "Severity": "blocking",
    "LastOutcome": "PASS",
    "LastDetail": "translated",
    "LastRunAt": "2026-07-20T03:06:49+00:00",
    "SemanticTypeIri": "urn:effortless:pko-extension#TestCase",
    "Name": "formula-translates: RequirementSatisfactions.StepExecutorAgent",
    "IsBlocking": true,
    "IsPassing": true,
    "IsFailing": false,
    "NeedsAttention": false,
    "PassingSuiteKey": "suite-substrate",
    "NeedsAttentionSuiteKey": null
   },
   {
    "TestCaseId": "tc-xlate-requirement_satisfactions-was_scored_after_attestation",
    "TestKind": "formula-translates",
    "Subject": "RequirementSatisfactions.WasScoredAfterAttestation",
    "TargetTable": "RequirementSatisfactions",
    "TargetField": "WasScoredAfterAttestation",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RequirementSatisfactions.WasScoredAfterAttestation",
    "IsBlocking": true,
    "IsPassing": true,
    "IsFailing": false,
    "NeedsAttention": false,
    "PassingSuiteKey": "suite-substrate",
    "NeedsAttentionSuiteKey": null
   },
   {
    "TestCaseId": "tc-xlate-requirement_satisfactions-attestation_instant_for_run",
    "TestKind": "formula-translates",
    "Subject": "RequirementSatisfactions.AttestationInstantForRun",
    "TargetTable": "RequirementSatisfactions",
    "TargetField": "AttestationInstantForRun",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RequirementSatisfactions.AttestationInstantForRun",
    "IsBlocking": true,
    "IsPassing": true,
    "IsFailing": false,
    "NeedsAttention": false,
    "PassingSuiteKey": "suite-substrate",
    "NeedsAttentionSuiteKey": null
   },
   {
    "TestCaseId": "tc-xlate-requirement_satisfactions-post_attestation_score_execution_key",
    "TestKind": "formula-translates",
    "Subject": "RequirementSatisfactions.PostAttestationScoreExecutionKey",
    "TargetTable": "RequirementSatisfactions",
    "TargetField": "PostAttestationScoreExecutionKey",
    "Assertion": "The transpiler emitted a real SQL function for this formula rather than a NULL stub.",
    "DefendsQuestion": "q2-cfo-what-changed-since-i-signed",
    "Suite": "suite-substrate",
    "Severity": "blocking",
    "LastOutcome": "PASS",
    "LastDetail": "translated",
    "LastRunAt": "2026-07-20T03:06:49+00:00",
    "SemanticTypeIri": "urn:effortless:pko-extension#TestCase",
    "Name": "formula-translates: RequirementSatisfactions.PostAttestationScoreExecutionKey",
    "IsBlocking": true,
    "IsPassing": true,
    "IsFailing": false,
    "NeedsAttention": false,
    "PassingSuiteKey": "suite-substrate",
    "NeedsAttentionSuiteKey": null
   },
   {
    "TestCaseId": "tc-xlate-errors-name",
    "TestKind": "formula-translates",
    "Subject": "Errors.Name",
    "TargetTable": "Errors",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Errors.Name",
    "IsBlocking": true,
    "IsPassing": true,
    "IsFailing": false,
    "NeedsAttention": false,
    "PassingSuiteKey": "suite-substrate",
    "NeedsAttentionSuiteKey": null
   },
   {
    "TestCaseId": "tc-xlate-issue_occurrences-name",
    "TestKind": "formula-translates",
    "Subject": "IssueOccurrences.Name",
    "TargetTable": "IssueOccurrences",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IssueOccurrences.Name",
    "IsBlocking": true,
    "IsPassing": true,
    "IsFailing": false,
    "NeedsAttention": false,
    "PassingSuiteKey": "suite-substrate",
    "NeedsAttentionSuiteKey": null
   },
   {
    "TestCaseId": "tc-xlate-issue_occurrences-is_unresolved",
    "TestKind": "formula-translates",
    "Subject": "IssueOccurrences.IsUnresolved",
    "TargetTable": "IssueOccurrences",
    "TargetField": "IsUnresolved",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IssueOccurrences.IsUnresolved",
    "IsBlocking": true,
    "IsPassing": true,
    "IsFailing": false,
    "NeedsAttention": false,
    "PassingSuiteKey": "suite-substrate",
    "NeedsAttentionSuiteKey": null
   },
   {
    "TestCaseId": "tc-xlate-issue_occurrences-step_execution_when_unresolved",
    "TestKind": "formula-translates",
    "Subject": "IssueOccurrences.StepExecutionWhenUnresolved",
    "TargetTable": "IssueOccurrences",
    "TargetField": "StepExecutionWhenUnresolved",
    "Assertion": "The transpiler emitted a real SQL function for this formula rather than a NULL stub.",
    "DefendsQuestion": "q-close-auto-last-run-clean",
    "Suite": "suite-substrate",
    "Severity": "blocking",
    "LastOutcome": "PASS",
    "LastDetail": "translated",
    "LastRunAt": "2026-07-20T03:06:49+00:00",
    "SemanticTypeIri": "urn:effortless:pko-extension#TestCase",
    "Name": "formula-translates: IssueOccurrences.StepExecutionWhenUnresolved",
    "IsBlocking": true,
    "IsPassing": true,
    "IsFailing": false,
    "NeedsAttention": false,
    "PassingSuiteKey": "suite-substrate",
    "NeedsAttentionSuiteKey": null
   },
   {
    "TestCaseId": "tc-xlate-user_questions-name",
    "TestKind": "formula-translates",
    "Subject": "UserQuestions.Name",
    "TargetTable": "UserQuestions",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UserQuestions.Name",
    "IsBlocking": true,
    "IsPassing": true,
    "IsFailing": false,
    "NeedsAttention": false,
    "PassingSuiteKey": "suite-substrate",
    "NeedsAttentionSuiteKey": null
   },
   {
    "TestCaseId": "tc-xlate-user_feedback-name",
    "TestKind": "formula-translates",
    "Subject": "UserFeedback.Name",
    "TargetTable": "UserFeedback",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UserFeedback.Name",
    "IsBlocking": true,
    "IsPassing": true,
    "IsFailing": false,
    "NeedsAttention": false,
    "PassingSuiteKey": "suite-substrate",
    "NeedsAttentionSuiteKey": null
   },
   {
    "TestCaseId": "tc-xlate-stewardship_assignments-name",
    "TestKind": "formula-translates",
    "Subject": "StewardshipAssignments.Name",
    "TargetTable": "StewardshipAssignments",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StewardshipAssignments.Name",
    "IsBlocking": true,
    "IsPassing": true,
    "IsFailing": false,
    "NeedsAttention": false,
    "PassingSuiteKey": "suite-substrate",
    "NeedsAttentionSuiteKey": null
   },
   {
    "TestCaseId": "tc-xlate-stewardship_assignments-count_of_review_events",
    "TestKind": "formula-translates",
    "Subject": "StewardshipAssignments.CountOfReviewEvents",
    "TargetTable": "StewardshipAssignments",
    "TargetField": "CountOfReviewEvents",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StewardshipAssignments.CountOfReviewEvents",
    "IsBlocking": true,
    "IsPassing": true,
    "IsFailing": false,
    "NeedsAttention": false,
    "PassingSuiteKey": "suite-substrate",
    "NeedsAttentionSuiteKey": null
   },
   {
    "TestCaseId": "tc-xlate-stewardship_assignments-has_ever_been_reviewed",
    "TestKind": "formula-translates",
    "Subject": "StewardshipAssignments.HasEverBeenReviewed",
    "TargetTable": "StewardshipAssignments",
    "TargetField": "HasEverBeenReviewed",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StewardshipAssignments.HasEverBeenReviewed",
    "IsBlocking": true,
    "IsPassing": true,
    "IsFailing": false,
    "NeedsAttention": false,
    "PassingSuiteKey": "suite-substrate",
    "NeedsAttentionSuiteKey": null
   },
   {
    "TestCaseId": "tc-xlate-stewardship_assignments-as_of_instant",
    "TestKind": "formula-translates",
    "Subject": "StewardshipAssignments.AsOfInstant",
    "TargetTable": "StewardshipAssignments",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StewardshipAssignments.AsOfInstant",
    "IsBlocking": true,
    "IsPassing": true,
    "IsFailing": false,
    "NeedsAttention": false,
    "PassingSuiteKey": "suite-substrate",
    "NeedsAttentionSuiteKey": null
   },
   {
    "TestCaseId": "tc-xlate-stewardship_assignments-is_current_assignment",
    "TestKind": "formula-translates",
    "Subject": "StewardshipAssignments.IsCurrentAssignment",
    "TargetTable": "StewardshipAssignments",
    "TargetField": "IsCurrentAssignment",
    "Assertion": "The transpiler emitted a real SQL function for this formula rather than a NULL stub.",
    "DefendsQuestion": "q-steward-orphan-versions",
    "Suite": "suite-substrate",
    "Severity": "blocking",
    "LastOutcome": "PASS",
    "LastDetail": "translated",
    "LastRunAt": "2026-07-20T03:06:49+00:00",
    "SemanticTypeIri": "urn:effortless:pko-extension#TestCase",
    "Name": "formula-translates: StewardshipAssignments.IsCurrentAssignment",
    "IsBlocking": true,
    "IsPassing": true,
    "IsFailing": false,
    "NeedsAttention": false,
    "PassingSuiteKey": "suite-substrate",
    "NeedsAttentionSuiteKey": null
   },
   {
    "TestCaseId": "tc-xlate-change_requests-name",
    "TestKind": "formula-translates",
    "Subject": "ChangeRequests.Name",
    "TargetTable": "ChangeRequests",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ChangeRequests.Name",
    "IsBlocking": true,
    "IsPassing": true,
    "IsFailing": false,
    "</t>
  </si>
  <si>
    <t xml:space="preserve">NeedsAttention": false,
    "PassingSuiteKey": "suite-substrate",
    "NeedsAttentionSuiteKey": null
   },
   {
    "TestCaseId": "tc-xlate-change_requests-is_open",
    "TestKind": "formula-translates",
    "Subject": "ChangeRequests.IsOpen",
    "TargetTable": "ChangeRequests",
    "TargetField": "IsOpen",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ChangeRequests.IsOpen",
    "IsBlocking": true,
    "IsPassing": true,
    "IsFailing": false,
    "NeedsAttention": false,
    "PassingSuiteKey": "suite-substrate",
    "NeedsAttentionSuiteKey": null
   },
   {
    "TestCaseId": "tc-xlate-change_requests-open_change_version_key",
    "TestKind": "formula-translates",
    "Subject": "ChangeRequests.OpenChangeVersionKey",
    "TargetTable": "ChangeRequests",
    "TargetField": "OpenChangeVersionKey",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ChangeRequests.OpenChangeVersionKey",
    "IsBlocking": true,
    "IsPassing": true,
    "IsFailing": false,
    "NeedsAttention": false,
    "PassingSuiteKey": "suite-substrate",
    "NeedsAttentionSuiteKey": null
   },
   {
    "TestCaseId": "tc-xlate-change_requests-is_decided",
    "TestKind": "formula-translates",
    "Subject": "ChangeRequests.IsDecided",
    "TargetTable": "ChangeRequests",
    "TargetField": "IsDecided",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ChangeRequests.IsDecided",
    "IsBlocking": true,
    "IsPassing": true,
    "IsFailing": false,
    "NeedsAttention": false,
    "PassingSuiteKey": "suite-substrate",
    "NeedsAttentionSuiteKey": null
   },
   {
    "TestCaseId": "tc-xlate-change_requests-as_of_instant",
    "TestKind": "formula-translates",
    "Subject": "ChangeRequests.AsOfInstant",
    "TargetTable": "ChangeRequests",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ChangeRequests.AsOfInstant",
    "IsBlocking": true,
    "IsPassing": true,
    "IsFailing": false,
    "NeedsAttention": false,
    "PassingSuiteKey": "suite-substrate",
    "NeedsAttentionSuiteKey": null
   },
   {
    "TestCaseId": "tc-xlate-change_requests-days_pending",
    "TestKind": "formula-translates",
    "Subject": "ChangeRequests.DaysPending",
    "TargetTable": "ChangeRequests",
    "TargetField": "DaysPending",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ChangeRequests.DaysPending",
    "IsBlocking": true,
    "IsPassing": true,
    "IsFailing": false,
    "NeedsAttention": false,
    "PassingSuiteKey": "suite-substrate",
    "NeedsAttentionSuiteKey": null
   },
   {
    "TestCaseId": "tc-xlate-change_requests-is_still_pending",
    "TestKind": "formula-translates",
    "Subject": "ChangeRequests.IsStillPending",
    "TargetTable": "ChangeRequests",
    "TargetField": "IsStillPending",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ChangeRequests.IsStillPending",
    "IsBlocking": true,
    "IsPassing": true,
    "IsFailing": false,
    "NeedsAttention": false,
    "PassingSuiteKey": "suite-substrate",
    "NeedsAttentionSuiteKey": null
   },
   {
    "TestCaseId": "tc-xlate-change_requests-is_stalled",
    "TestKind": "formula-translates",
    "Subject": "ChangeRequests.IsStalled",
    "TargetTable": "ChangeRequests",
    "TargetField": "IsStalled",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ChangeRequests.IsStalled",
    "IsBlocking": true,
    "IsPassing": true,
    "IsFailing": false,
    "NeedsAttention": false,
    "PassingSuiteKey": "suite-substrate",
    "NeedsAttentionSuiteKey": null
   },
   {
    "TestCaseId": "tc-xlate-change_requests-authority_agent",
    "TestKind": "formula-translates",
    "Subject": "ChangeRequests.AuthorityAgent",
    "TargetTable": "ChangeRequests",
    "TargetField": "AuthorityAgent",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ChangeRequests.AuthorityAgent",
    "IsBlocking": true,
    "IsPassing": true,
    "IsFailing": false,
    "NeedsAttention": false,
    "PassingSuiteKey": "suite-substrate",
    "NeedsAttentionSuiteKey": null
   },
   {
    "TestCaseId": "tc-xlate-change_requests-requester_is_authority",
    "TestKind": "formula-translates",
    "Subject": "ChangeRequests.RequesterIsAuthority",
    "TargetTable": "ChangeRequests",
    "TargetField": "RequesterIsAuthority",
    "Assertion": "The transpiler emitted a real SQL function for this formula rather than a NULL stub.",
    "DefendsQuestion": "q-steward-stalled-change-requests",
    "Suite": "suite-substrate",
    "Severity": "blocking",
    "LastOutcome": "PASS",
    "LastDetail": "translated",
    "LastRunAt": "2026-07-20T03:06:49+00:00",
    "SemanticTypeIri": "urn:effortless:pko-extension#TestCase",
    "Name": "formula-translates: ChangeRequests.RequesterIsAuthority",
    "IsBlocking": true,
    "IsPassing": true,
    "IsFailing": false,
    "NeedsAttention": false,
    "PassingSuiteKey": "suite-substrate",
    "NeedsAttentionSuiteKey": null
   },
   {
    "TestCaseId": "tc-xlate-change_requests-awaits_authority_decision",
    "TestKind": "formula-translates",
    "Subject": "ChangeRequests.AwaitsAuthorityDecision",
    "TargetTable": "ChangeRequests",
    "TargetField": "AwaitsAuthorityDecision",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ChangeRequests.AwaitsAuthorityDecision",
    "IsBlocking": true,
    "IsPassing": true,
    "IsFailing": false,
    "NeedsAttention": false,
    "PassingSuiteKey": "suite-substrate",
    "NeedsAttentionSuiteKey": null
   },
   {
    "TestCaseId": "tc-xlate-change_requests-authority_role_label",
    "TestKind": "formula-translates",
    "Subject": "ChangeRequests.AuthorityRoleLabel",
    "TargetTable": "ChangeRequests",
    "TargetField": "AuthorityRoleLabel",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ChangeRequests.AuthorityRoleLabel",
    "IsBlocking": true,
    "IsPassing": true,
    "IsFailing": false,
    "NeedsAttention": false,
    "PassingSuiteKey": "suite-substrate",
    "NeedsAttentionSuiteKey": null
   },
   {
    "TestCaseId": "tc-xlate-change_requests-touches_live_version",
    "TestKind": "formula-translates",
    "Subject": "ChangeRequests.TouchesLiveVersion",
    "TargetTable": "ChangeRequests",
    "TargetField": "TouchesLiveVersion",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ChangeRequests.TouchesLiveVersion",
    "IsBlocking": true,
    "IsPassing": true,
    "IsFailing": false,
    "NeedsAttention": false,
    "PassingSuiteKey": "suite-substrate",
    "NeedsAttentionSuiteKey": null
   },
   {
    "TestCaseId": "tc-xlate-change_requests-is_live_decision_backlog",
    "TestKind": "formula-translates",
    "Subject": "ChangeRequests.IsLiveDecisionBacklog",
    "TargetTable": "ChangeRequests",
    "TargetField": "IsLiveDecisionBacklog",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ChangeRequests.IsLiveDecisionBacklog",
    "IsBlocking": true,
    "IsPassing": true,
    "IsFailing": false,
    "NeedsAttention": false,
    "PassingSuiteKey": "suite-substrate",
    "NeedsAttentionSuiteKey": null
   },
   {
    "TestCaseId": "tc-xlate-change_requests-blocks_an_open_gap",
    "TestKind": "formula-translates",
    "Subject": "ChangeRequests.BlocksAnOpenGap",
    "TargetTable": "ChangeRequests",
    "TargetField": "BlocksAnOpenGap",
    "Assertion": "The transpiler emitted a real SQL function for this formula rather than a NULL stub.",
    "DefendsQuestion": "q-hr-authority-without-review",
    "Suite": "suite-substrate",
    "Severity": "blocking",
    "LastOutcome": "PASS",
    "LastDetail": "translated",
    "LastRunAt": "2026-07-20T03:06:49+00:00",
    "SemanticTypeIri": "urn:effortless:pko-extension#TestCase",
    "Name": "formula-translates: ChangeRequests.BlocksAnOpenGap",
    "IsBlocking": true,
    "IsPassing": true,
    "IsFailing": false,
    "NeedsAttention": false,
    "PassingSuiteKey": "suite-substrate",
    "NeedsAttentionSuiteKey": null
   },
   {
    "TestCaseId": "tc-xlate-change_requests-backlog_version_key",
    "TestKind": "formula-translates",
    "Subject": "ChangeRequests.BacklogVersionKey",
    "TargetTable": "ChangeRequests",
    "TargetField": "BacklogVersionKey",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ChangeRequests.BacklogVersionKey",
    "IsBlocking": true,
    "IsPassing": true,
    "IsFailing": false,
    "NeedsAttention": false,
    "PassingSuiteKey": "suite-substrate",
    "NeedsAttentionSuiteKey": null
   },
   {
    "TestCaseId": "tc-xlate-change_requests-is_my_pending_decision",
    "TestKind": "formula-translates",
    "Subject": "ChangeRequests.IsMyPendingDecision",
    "TargetTable": "ChangeRequests",
    "TargetField": "IsMyPendingDecision",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ChangeRequests.IsMyPendingDecision",
    "IsBlocking": true,
    "IsPassing": true,
    "IsFailing": false,
    "NeedsAttention": false,
    "PassingSuiteKey": "suite-substrate",
    "NeedsAttentionSuiteKey": null
   },
   {
    "TestCaseId": "tc-xlate-change_requests-is_my_blocking_backlog",
    "TestKind": "formula-translates",
    "Subject": "ChangeRequests.IsMyBlockingBacklog",
    "TargetTable": "ChangeRequests",
    "TargetField": "IsMyBlockingBacklog",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ChangeRequests.IsMyBlockingBacklog",
    "IsBlocking": true,
    "IsPassing": true,
    "IsFailing": false,
    "NeedsAttention": false,
    "PassingSuiteKey": "suite-substrate",
    "NeedsAttentionSuiteKey": null
   },
   {
    "TestCaseId": "tc-xlate-change_requests-is_my_overdue_backlog",
    "TestKind": "formula-translates",
    "Subject": "ChangeRequests.IsMyOverdueBacklog",
    "TargetTable": "ChangeRequests",
    "TargetField": "IsMyOverdueBacklog",
    "Assertion": "The transpiler emitted a real SQL function for this formula rather than a NULL stub.",
    "DefendsQuestion": "q2-hr-my-backlog-is-someone-elses-block",
    "Suite": "suite-substrate",
    "Severity": "blocking",
    "LastOutcome": "PASS",
    "LastDetail": "translated",
    "LastRunAt": "2026-07-20T03:06:49+00:00",
    "SemanticTypeIri": "urn:effortless:pko-extension#TestCase",
    "Name": "formula-translates: ChangeRequests.IsMyOverdueBacklog",
    "IsBlocking": true,
    "IsPassing": true,
    "IsFailing": false,
    "NeedsAttention": false,
    "PassingSuiteKey": "suite-substrate",
    "NeedsAttentionSuiteKey": null
   },
   {
    "TestCaseId": "tc-xlate-change_requests-is_implemented",
    "TestKind": "formula-translates",
    "Subject": "ChangeRequests.IsImplemented",
    "TargetTable": "ChangeRequests",
    "TargetField": "IsImplemented",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ChangeRequests.IsImplemented",
    "IsBlocking": true,
    "IsPassing": true,
    "IsFailing": false,
    "NeedsAttention": false,
    "PassingSuiteKey": "suite-substrate",
    "NeedsAttentionSuiteKey": null
   },
   {
    "TestCaseId": "tc-xlate-change_requests-is_my_decided_request",
    "TestKind": "formula-translates",
    "Subject": "ChangeRequests.IsMyDecidedRequest",
    "TargetTable": "ChangeRequests",
    "TargetField": "IsMyDecidedRequest",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ChangeRequests.IsMyDecidedRequest",
    "IsBlocking": true,
    "IsPassing": true,
    "IsFailing": false,
    "NeedsAttention": false,
    "PassingSuiteKey": "suite-substrate",
    "NeedsAttentionSuiteKey": null
   },
   {
    "TestCaseId": "tc-xlate-change_requests-is_my_decided_but_unlanded",
    "TestKind": "formula-translates",
    "Subject": "ChangeRequests.IsMyDecidedButUnlanded",
    "TargetTable": "ChangeRequests",
    "TargetField": "IsMyDecidedButUnlanded",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ChangeRequests.IsMyDecidedButUnlanded",
    "IsBlocking": true,
    "IsPassing": true,
    "IsFailing": false,
    "NeedsAttention": false,
    "PassingSuiteKey": "suite-substrate",
    "NeedsAttentionSuiteKey": null
   },
   {
    "TestCaseId": "tc-xlate-change_requests-decision_latency_days",
    "TestKind": "formula-translates",
    "Subject": "ChangeRequests.DecisionLatencyDays",
    "TargetTable": "ChangeRequests",
    "TargetField": "DecisionLatencyDays",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ChangeRequests.DecisionLatencyDays",
    "IsBlocking": true,
    "IsPassing": true,
    "IsFailing": false,
    "NeedsAttention": false,
    "PassingSuiteKey": "suite-substrate",
    "NeedsAttentionSuiteKey": null
   },
   {
    "TestCaseId": "tc-xlate-change_requests-implementation_latency_days",
    "TestKind": "formula-translates",
    "Subject": "ChangeRequests.ImplementationLatencyDays",
    "TargetTable": "ChangeRequests",
    "TargetField": "ImplementationLatencyDays",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ChangeRequests.ImplementationLatencyDays",
    "IsBlocking": true,
    "IsPassing": true,
    "IsFailing": false,
    "NeedsAttention": false,
    "PassingSuiteKey": "suite-substrate",
    "NeedsAttentionSuiteKey": null
   },
   {
    "TestCaseId": "tc-xlate-change_requests-delay_is_downstream_of_me",
    "TestKind": "formula-translates",
    "Subject": "ChangeRequests.DelayIsDownstreamOfMe",
    "TargetTable": "ChangeRequests",
    "TargetField": "DelayIsDownstreamOfMe",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ChangeRequests.DelayIsDownstreamOfMe",
    "IsBlocking": true,
    "IsPassing": true,
    "IsFailing": false,
    "NeedsAttention": false,
    "PassingSuiteKey": "suite-substrate",
    "NeedsAttentionSuiteKey": null
   },
   {
    "TestCaseId": "tc-xlate-change_requests-unlanded_version_key",
    "TestKind": "formula-translates",
    "Subject": "ChangeRequests.UnlandedVersionKey",
    "TargetTable": "ChangeRequests",
    "TargetField": "UnlandedVersionKey",
    "Assertion": "The transpiler emitted a real SQL function for this formula rather than a NULL stub.",
    "DefendsQuestion": "q2-hr-my-approvals-never-read-as-done",
    "Suite": "suite-substrate",
    "Severity": "blocking",
    "LastOutcome": "PASS",
    "LastDetail": "translated",
    "LastRunAt": "2026-07-20T03:06:49+00:00",
    "SemanticTypeIri": "urn:effortless:pko-extension#TestCase",
    "Name": "formula-translates: ChangeRequests.UnlandedVersionKey",
    "IsBlocking": true,
    "IsPassing": true,
    "IsFailing": false,
    "NeedsAttention": false,
    "PassingSuiteKey": "suite-substrate",
    "NeedsAttentionSuiteKey": null
   },
   {
    "TestCaseId": "tc-xlate-change_requests-is_approved_not_implemented",
    "TestKind": "formula-translates",
    "Subject": "ChangeRequests.IsApprovedNotImplemented",
    "TargetTable": "ChangeRequests",
    "TargetField": "IsApprovedNotImplemented",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ChangeRequests.IsApprovedNotImplemented",
    "IsBlocking": true,
    "IsPassing": true,
    "IsFailing": false,
    "NeedsAttention": false,
    "PassingSuiteKey": "suite-substrate",
    "NeedsAttentionSuiteKey": null
   },
   {
    "TestCaseId": "tc-xlate-change_requests-days_since_approval",
    "TestKind": "formula-translates",
    "Subject": "ChangeRequests.DaysSinceApproval",
    "TargetTable": "ChangeRequests",
    "TargetField": "DaysSinceApproval",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ChangeRequests.DaysSinceApproval",
    "IsBlocking": true,
    "IsPassing": true,
    "IsFailing": false,
    "NeedsAttention": false,
    "PassingSuiteKey": "suite-substrate",
    "NeedsAttentionSuiteKey": null
   },
   {
    "TestCaseId": "tc-xlate-change_requests-is_stalled_implementation",
    "TestKind": "formula-translates",
    "Subject": "ChangeRequests.IsStalledImplementation",
    "TargetTable": "ChangeRequests",
    "TargetField": "IsStalledImplementation",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ChangeRequests.IsStalledImplementation",
    "IsBlocking": true,
    "IsPassing": true,
    "IsFailing": false,
    "NeedsAttention": false,
    "PassingSuiteKey": "suite-substrate",
    "NeedsAttentionSuiteKey": null
   },
   {
    "TestCaseId": "tc-xlate-change_requests-stalled_implementation_version_key",
    "TestKind": "formula-translates",
    "Subject": "ChangeRequests.StalledImplementationVersionKey",
    "TargetTable": "ChangeRequests",
    "TargetField": "StalledImplementationVersionKey",
    "Assertion": "The transpiler emitted a real SQL function for this formula rather than a NULL stub.",
    "DefendsQuestion": "q2-steward-approved-cr-never-lands",
    "Suite": "suite-substrate",
    "Severity": "blocking",
    "LastOutcome": "PASS",
    "LastDetail": "translated",
    "LastRunAt": "2026-07-20T03:06:49+00:00",
    "SemanticTypeIri": "urn:effortless:pko-extension#TestCase",
    "Name": "formula-translates: ChangeRequests.StalledImplementationVersionKey",
    "IsBlocking": true,
    "IsPassing": true,
    "IsFailing": false,
    "NeedsAttention": false,
    "PassingSuiteKey": "suite-substrate",
    "NeedsAttentionSuiteKey": null
   },
   {
    "TestCaseId": "tc-xlate-change_requests-approved_version_key",
    "TestKind": "formula-translates",
    "Subject": "ChangeRequests.ApprovedVersionKey",
    "TargetTable": "ChangeRequests",
    "TargetField": "ApprovedVersionKey",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ChangeRequests.ApprovedVersionKey",
    "IsBlocking": true,
    "IsPassing": true,
    "IsFailing": false,
    "NeedsAttention": false,
    "PassingSuiteKey": "suite-substrate",
    "NeedsAttentionSuiteKey": null
   },
   {
    "TestCaseId": "tc-xlate-change_requests-is_approved_decision",
    "TestKind": "formula-translates",
    "Subject": "ChangeRequests.IsApprovedDecision",
    "TargetTable": "ChangeRequests",
    "TargetField": "IsApprovedDecision",
    "Assertion": "The transpiler emitted a real SQL function for this formula rather than a NULL stub.",
    "DefendsQuestion": "q2-ctl-divergence-that-nobody-governed",
    "Suite": "suite-substrate",
    "Severity": "blocking",
    "LastOutcome": "PASS",
    "LastDetail": "translated",
    "LastRunAt": "2026-07-20T03:06:49+00:00",
    "SemanticTypeIri": "urn:effortless:pko-extension#TestCase",
    "Name": "formula-translates: ChangeRequests.IsApprovedDecision",
    "IsBlocking": true,
    "IsPassing": true,
    "IsFailing": false,
    "NeedsAttention": false,
    "PassingSuiteKey": "suite-substrate",
    "NeedsAttentionSuiteKey": null
   },
   {
    "TestCaseId": "tc-xlate-review_events-name",
    "TestKind": "formula-translates",
    "Subject": "ReviewEvents.Name",
    "TargetTable": "ReviewEvents",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ReviewEvents.Name",
    "IsBlocking": true,
    "IsPassing": true,
    "IsFailing": false,
    "NeedsAttention": false,
    "PassingSuiteKey": "suite-substrate",
    "NeedsAttentionSuiteKey": null
   },
   {
    "TestCaseId": "tc-xlate-review_events-as_of_instant",
    "TestKind": "formula-translates",
    "Subject": "ReviewEvents.AsOfInstant",
    "TargetTable": "ReviewEvents",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ReviewEvents.AsOfInstant",
    "IsBlocking": true,
    "IsPassing": true,
    "IsFailing": false,
    "NeedsAttention": false,
    "PassingSuiteKey": "suite-substrate",
    "NeedsAttentionSuiteKey": null
   },
   {
    "TestCaseId": "tc-xlate-review_events-is_overdue",
    "TestKind": "formula-translates",
    "Subject": "ReviewEvents.IsOverdue",
    "TargetTable": "ReviewEvents",
    "TargetField": "IsOverdue",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ReviewEvents.IsOverdue",
    "IsBlocking": true,
    "IsPassing": true,
    "IsFailing": false,
    "NeedsAttention": false,
    "PassingSuiteKey": "suite-substrate",
    "NeedsAttentionSuiteKey": null
   },
   {
    "TestCaseId": "tc-xlate-review_events-overdue_version_key",
    "TestKind": "formula-translates",
    "Subject": "ReviewEvents.OverdueVersionKey",
    "TargetTable": "ReviewEvents",
    "TargetField": "OverdueVersionKey",
    "Assertion": "The transpiler emitted a real SQL function for this formula rather than a NULL stub.",
    "DefendsQuestion": "q-cfo-approving-on-unfit-version",
    "Suite": "suite-substrate",
    "Severity": "blocking",
    "LastOutcome": "PASS",
    "LastDetail": "translated",
    "LastRunAt": "2026-07-20T03:06:49+00:00",
    "SemanticTypeIri": "urn:effortless:pko-extension#TestCase",
    "Name": "formula-translates: ReviewEvents.OverdueVersionKey",
    "IsBlocking": true,
    "IsPassing": true,
    "IsFailing": false,
    "NeedsAttention": false,
    "PassingSuiteKey": "suite-substrate",
    "NeedsAttentionSuiteKey": null
   },
   {
    "TestCaseId": "tc-xlate-review_events-promised_cadence_days",
    "TestKind": "formula-translates",
    "Subject": "ReviewEvents.PromisedCadenceDays",
    "TargetTable": "ReviewEvents",
    "TargetField": "PromisedCadenceDays",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ReviewEvents.PromisedCadenceDays",
    "IsBlocking": true,
    "IsPassing": true,
    "IsFailing": false,
    "NeedsAttention": false,
    "PassingSuiteKey": "suite-substrate",
    "NeedsAttentionSuiteKey": null
   },
   {
    "TestCaseId": "tc-xlate-review_events-days_since_reviewed",
    "TestKind": "formula-translates",
    "Subject": "ReviewEvents.DaysSinceReviewed",
    "TargetTable": "ReviewEvents",
    "TargetField": "DaysSinceReviewed",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ReviewEvents.DaysSinceReviewed",
    "IsBlocking": true,
    "IsPassing": true,
    "IsFailing": false,
    "NeedsAttention": false,
    "PassingSuiteKey": "suite-substrate",
    "NeedsAttentionSuiteKey": null
   },
   {
    "TestCaseId": "tc-xlate-review_events-exceeds_promised_cadence",
    "TestKind": "formula-translates",
    "Subject": "ReviewEvents.ExceedsPromisedCadence",
    "TargetTable": "ReviewEvents",
    "Targe</t>
  </si>
  <si>
    <t xml:space="preserve">tField": "ExceedsPromisedCadence",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ReviewEvents.ExceedsPromisedCadence",
    "IsBlocking": true,
    "IsPassing": true,
    "IsFailing": false,
    "NeedsAttention": false,
    "PassingSuiteKey": "suite-substrate",
    "NeedsAttentionSuiteKey": null
   },
   {
    "TestCaseId": "tc-xlate-review_events-cadence_drift_days",
    "TestKind": "formula-translates",
    "Subject": "ReviewEvents.CadenceDriftDays",
    "TargetTable": "ReviewEvents",
    "TargetField": "CadenceDriftDays",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ReviewEvents.CadenceDriftDays",
    "IsBlocking": true,
    "IsPassing": true,
    "IsFailing": false,
    "NeedsAttention": false,
    "PassingSuiteKey": "suite-substrate",
    "NeedsAttentionSuiteKey": null
   },
   {
    "TestCaseId": "tc-xlate-review_events-promise_and_behavior_disagree",
    "TestKind": "formula-translates",
    "Subject": "ReviewEvents.PromiseAndBehaviorDisagree",
    "TargetTable": "ReviewEvents",
    "TargetField": "PromiseAndBehaviorDisagree",
    "Assertion": "The transpiler emitted a real SQL function for this formula rather than a NULL stub.",
    "DefendsQuestion": "q-steward-cadence-breach",
    "Suite": "suite-substrate",
    "Severity": "blocking",
    "LastOutcome": "PASS",
    "LastDetail": "translated",
    "LastRunAt": "2026-07-20T03:06:49+00:00",
    "SemanticTypeIri": "urn:effortless:pko-extension#TestCase",
    "Name": "formula-translates: ReviewEvents.PromiseAndBehaviorDisagree",
    "IsBlocking": true,
    "IsPassing": true,
    "IsFailing": false,
    "NeedsAttention": false,
    "PassingSuiteKey": "suite-substrate",
    "NeedsAttentionSuiteKey": null
   },
   {
    "TestCaseId": "tc-xlate-review_events-cadence_breach_version_key",
    "TestKind": "formula-translates",
    "Subject": "ReviewEvents.CadenceBreachVersionKey",
    "TargetTable": "ReviewEvents",
    "TargetField": "CadenceBreachVersionKey",
    "Assertion": "The transpiler emitted a real SQL function for this formula rather than a NULL stub.",
    "DefendsQuestion": "q2-steward-cadence-breach-is-unremediated",
    "Suite": "suite-substrate",
    "Severity": "blocking",
    "LastOutcome": "PASS",
    "LastDetail": "translated",
    "LastRunAt": "2026-07-20T03:06:49+00:00",
    "SemanticTypeIri": "urn:effortless:pko-extension#TestCase",
    "Name": "formula-translates: ReviewEvents.CadenceBreachVersionKey",
    "IsBlocking": true,
    "IsPassing": true,
    "IsFailing": false,
    "NeedsAttention": false,
    "PassingSuiteKey": "suite-substrate",
    "NeedsAttentionSuiteKey": null
   },
   {
    "TestCaseId": "tc-xlate-learning_activities-name",
    "TestKind": "formula-translates",
    "Subject": "LearningActivities.Name",
    "TargetTable": "LearningActivities",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LearningActivities.Name",
    "IsBlocking": true,
    "IsPassing": true,
    "IsFailing": false,
    "NeedsAttention": false,
    "PassingSuiteKey": "suite-substrate",
    "NeedsAttentionSuiteKey": null
   },
   {
    "TestCaseId": "tc-xlate-operational_bindings-name",
    "TestKind": "formula-translates",
    "Subject": "OperationalBindings.Name",
    "TargetTable": "OperationalBindings",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OperationalBindings.Name",
    "IsBlocking": true,
    "IsPassing": true,
    "IsFailing": false,
    "NeedsAttention": false,
    "PassingSuiteKey": "suite-substrate",
    "NeedsAttentionSuiteKey": null
   },
   {
    "TestCaseId": "tc-xlate-operational_bindings-as_of_instant",
    "TestKind": "formula-translates",
    "Subject": "OperationalBindings.AsOfInstant",
    "TargetTable": "OperationalBindings",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OperationalBindings.AsOfInstant",
    "IsBlocking": true,
    "IsPassing": true,
    "IsFailing": false,
    "NeedsAttention": false,
    "PassingSuiteKey": "suite-substrate",
    "NeedsAttentionSuiteKey": null
   },
   {
    "TestCaseId": "tc-xlate-operational_bindings-age_minutes",
    "TestKind": "formula-translates",
    "Subject": "OperationalBindings.AgeMinutes",
    "TargetTable": "OperationalBindings",
    "TargetField": "AgeMinutes",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OperationalBindings.AgeMinutes",
    "IsBlocking": true,
    "IsPassing": true,
    "IsFailing": false,
    "NeedsAttention": false,
    "PassingSuiteKey": "suite-substrate",
    "NeedsAttentionSuiteKey": null
   },
   {
    "TestCaseId": "tc-xlate-operational_bindings-is_fresh",
    "TestKind": "formula-translates",
    "Subject": "OperationalBindings.IsFresh",
    "TargetTable": "OperationalBindings",
    "TargetField": "IsFresh",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OperationalBindings.IsFresh",
    "IsBlocking": true,
    "IsPassing": true,
    "IsFailing": false,
    "NeedsAttention": false,
    "PassingSuiteKey": "suite-substrate",
    "NeedsAttentionSuiteKey": null
   },
   {
    "TestCaseId": "tc-xlate-operational_bindings-stale_binding_step_key",
    "TestKind": "formula-translates",
    "Subject": "OperationalBindings.StaleBindingStepKey",
    "TargetTable": "OperationalBindings",
    "TargetField": "StaleBindingStepKey",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OperationalBindings.StaleBindingStepKey",
    "IsBlocking": true,
    "IsPassing": true,
    "IsFailing": false,
    "NeedsAttention": false,
    "PassingSuiteKey": "suite-substrate",
    "NeedsAttentionSuiteKey": null
   },
   {
    "TestCaseId": "tc-xlate-operational_bindings-authoritative_stale_step_key",
    "TestKind": "formula-translates",
    "Subject": "OperationalBindings.AuthoritativeStaleStepKey",
    "TargetTable": "OperationalBindings",
    "TargetField": "AuthoritativeStaleStepKey",
    "Assertion": "The transpiler emitted a real SQL function for this formula rather than a NULL stub.",
    "DefendsQuestion": "q-analyst-evidence-binding-stale",
    "Suite": "suite-substrate",
    "Severity": "blocking",
    "LastOutcome": "PASS",
    "LastDetail": "translated",
    "LastRunAt": "2026-07-20T03:06:49+00:00",
    "SemanticTypeIri": "urn:effortless:pko-extension#TestCase",
    "Name": "formula-translates: OperationalBindings.AuthoritativeStaleStepKey",
    "IsBlocking": true,
    "IsPassing": true,
    "IsFailing": false,
    "NeedsAttention": false,
    "PassingSuiteKey": "suite-substrate",
    "NeedsAttentionSuiteKey": null
   },
   {
    "TestCaseId": "tc-xlate-operational_bindings-is_stale_and_authoritative",
    "TestKind": "formula-translates",
    "Subject": "OperationalBindings.IsStaleAndAuthoritative",
    "TargetTable": "OperationalBindings",
    "TargetField": "IsStaleAndAuthoritative",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OperationalBindings.IsStaleAndAuthoritative",
    "IsBlocking": true,
    "IsPassing": true,
    "IsFailing": false,
    "NeedsAttention": false,
    "PassingSuiteKey": "suite-substrate",
    "NeedsAttentionSuiteKey": null
   },
   {
    "TestCaseId": "tc-xlate-operational_bindings-step_when_stale",
    "TestKind": "formula-translates",
    "Subject": "OperationalBindings.StepWhenStale",
    "TargetTable": "OperationalBindings",
    "TargetField": "StepWhenStale",
    "Assertion": "The transpiler emitted a real SQL function for this formula rather than a NULL stub.",
    "DefendsQuestion": "q-close-auto-input-freshness",
    "Suite": "suite-substrate",
    "Severity": "blocking",
    "LastOutcome": "PASS",
    "LastDetail": "translated",
    "LastRunAt": "2026-07-20T03:06:49+00:00",
    "SemanticTypeIri": "urn:effortless:pko-extension#TestCase",
    "Name": "formula-translates: OperationalBindings.StepWhenStale",
    "IsBlocking": true,
    "IsPassing": true,
    "IsFailing": false,
    "NeedsAttention": false,
    "PassingSuiteKey": "suite-substrate",
    "NeedsAttentionSuiteKey": null
   },
   {
    "TestCaseId": "tc-xlate-operational_bindings-resource_is_approved",
    "TestKind": "formula-translates",
    "Subject": "OperationalBindings.ResourceIsApproved",
    "TargetTable": "OperationalBindings",
    "TargetField": "ResourceIsApproved",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OperationalBindings.ResourceIsApproved",
    "IsBlocking": true,
    "IsPassing": true,
    "IsFailing": false,
    "NeedsAttention": false,
    "PassingSuiteKey": "suite-substrate",
    "NeedsAttentionSuiteKey": null
   },
   {
    "TestCaseId": "tc-xlate-operational_bindings-is_usable_for_drafting",
    "TestKind": "formula-translates",
    "Subject": "OperationalBindings.IsUsableForDrafting",
    "TargetTable": "OperationalBindings",
    "TargetField": "IsUsableForDrafting",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OperationalBindings.IsUsableForDrafting",
    "IsBlocking": true,
    "IsPassing": true,
    "IsFailing": false,
    "NeedsAttention": false,
    "PassingSuiteKey": "suite-substrate",
    "NeedsAttentionSuiteKey": null
   },
   {
    "TestCaseId": "tc-xlate-operational_bindings-step_when_unusable",
    "TestKind": "formula-translates",
    "Subject": "OperationalBindings.StepWhenUnusable",
    "TargetTable": "OperationalBindings",
    "TargetField": "StepWhenUnusable",
    "Assertion": "The transpiler emitted a real SQL function for this formula rather than a NULL stub.",
    "DefendsQuestion": "q-policy-ai-source-approval",
    "Suite": "suite-substrate",
    "Severity": "blocking",
    "LastOutcome": "PASS",
    "LastDetail": "translated",
    "LastRunAt": "2026-07-20T03:06:49+00:00",
    "SemanticTypeIri": "urn:effortless:pko-extension#TestCase",
    "Name": "formula-translates: OperationalBindings.StepWhenUnusable",
    "IsBlocking": true,
    "IsPassing": true,
    "IsFailing": false,
    "NeedsAttention": false,
    "PassingSuiteKey": "suite-substrate",
    "NeedsAttentionSuiteKey": null
   },
   {
    "TestCaseId": "tc-xlate-communication_policies-name",
    "TestKind": "formula-translates",
    "Subject": "CommunicationPolicies.Name",
    "TargetTable": "CommunicationPolicies",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CommunicationPolicies.Name",
    "IsBlocking": true,
    "IsPassing": true,
    "IsFailing": false,
    "NeedsAttention": false,
    "PassingSuiteKey": "suite-substrate",
    "NeedsAttentionSuiteKey": null
   },
   {
    "TestCaseId": "tc-xlate-communication_policies-consent_violation_count",
    "TestKind": "formula-translates",
    "Subject": "CommunicationPolicies.ConsentViolationCount",
    "TargetTable": "CommunicationPolicies",
    "TargetField": "ConsentViolationCount",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CommunicationPolicies.ConsentViolationCount",
    "IsBlocking": true,
    "IsPassing": true,
    "IsFailing": false,
    "NeedsAttention": false,
    "PassingSuiteKey": "suite-substrate",
    "NeedsAttentionSuiteKey": null
   },
   {
    "TestCaseId": "tc-xlate-communication_policies-quiet_hours_violation_count",
    "TestKind": "formula-translates",
    "Subject": "CommunicationPolicies.QuietHoursViolationCount",
    "TargetTable": "CommunicationPolicies",
    "TargetField": "QuietHoursViolationCount",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CommunicationPolicies.QuietHoursViolationCount",
    "IsBlocking": true,
    "IsPassing": true,
    "IsFailing": false,
    "NeedsAttention": false,
    "PassingSuiteKey": "suite-substrate",
    "NeedsAttentionSuiteKey": null
   },
   {
    "TestCaseId": "tc-xlate-communication_policies-is_active_policy",
    "TestKind": "formula-translates",
    "Subject": "CommunicationPolicies.IsActivePolicy",
    "TargetTable": "CommunicationPolicies",
    "TargetField": "IsActivePolicy",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CommunicationPolicies.IsActivePolicy",
    "IsBlocking": true,
    "IsPassing": true,
    "IsFailing": false,
    "NeedsAttention": false,
    "PassingSuiteKey": "suite-substrate",
    "NeedsAttentionSuiteKey": null
   },
   {
    "TestCaseId": "tc-xlate-message_templates-name",
    "TestKind": "formula-translates",
    "Subject": "MessageTemplates.Name",
    "TargetTable": "MessageTemplates",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MessageTemplates.Name",
    "IsBlocking": true,
    "IsPassing": true,
    "IsFailing": false,
    "NeedsAttention": false,
    "PassingSuiteKey": "suite-substrate",
    "NeedsAttentionSuiteKey": null
   },
   {
    "TestCaseId": "tc-xlate-message_templates-policy_max_message_length",
    "TestKind": "formula-translates",
    "Subject": "MessageTemplates.PolicyMaxMessageLength",
    "TargetTable": "MessageTemplates",
    "TargetField": "PolicyMaxMessageLength",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MessageTemplates.PolicyMaxMessageLength",
    "IsBlocking": true,
    "IsPassing": true,
    "IsFailing": false,
    "NeedsAttention": false,
    "PassingSuiteKey": "suite-substrate",
    "NeedsAttentionSuiteKey": null
   },
   {
    "TestCaseId": "tc-xlate-message_templates-policy_max_segments",
    "TestKind": "formula-translates",
    "Subject": "MessageTemplates.PolicyMaxSegments",
    "TargetTable": "MessageTemplates",
    "TargetField": "PolicyMaxSegments",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MessageTemplates.PolicyMaxSegments",
    "IsBlocking": true,
    "IsPassing": true,
    "IsFailing": false,
    "NeedsAttention": false,
    "PassingSuiteKey": "suite-substrate",
    "NeedsAttentionSuiteKey": null
   },
   {
    "TestCaseId": "tc-xlate-message_templates-body_template_length",
    "TestKind": "formula-translates",
    "Subject": "MessageTemplates.BodyTemplateLength",
    "TargetTable": "MessageTemplates",
    "TargetField": "BodyTemplateLength",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MessageTemplates.BodyTemplateLength",
    "IsBlocking": true,
    "IsPassing": true,
    "IsFailing": false,
    "NeedsAttention": false,
    "PassingSuiteKey": "suite-substrate",
    "NeedsAttentionSuiteKey": null
   },
   {
    "TestCaseId": "tc-xlate-message_templates-is_template_over_length",
    "TestKind": "formula-translates",
    "Subject": "MessageTemplates.IsTemplateOverLength",
    "TargetTable": "MessageTemplates",
    "TargetField": "IsTemplateOverLength",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MessageTemplates.IsTemplateOverLength",
    "IsBlocking": true,
    "IsPassing": true,
    "IsFailing": false,
    "NeedsAttention": false,
    "PassingSuiteKey": "suite-substrate",
    "NeedsAttentionSuiteKey": null
   },
   {
    "TestCaseId": "tc-xlate-message_templates-valid_approval_count",
    "TestKind": "formula-translates",
    "Subject": "MessageTemplates.ValidApprovalCount",
    "TargetTable": "MessageTemplates",
    "TargetField": "ValidApprovalCount",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MessageTemplates.ValidApprovalCount",
    "IsBlocking": true,
    "IsPassing": true,
    "IsFailing": false,
    "NeedsAttention": false,
    "PassingSuiteKey": "suite-substrate",
    "NeedsAttentionSuiteKey": null
   },
   {
    "TestCaseId": "tc-xlate-message_templates-has_valid_approval",
    "TestKind": "formula-translates",
    "Subject": "MessageTemplates.HasValidApproval",
    "TargetTable": "MessageTemplates",
    "TargetField": "HasValidApproval",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MessageTemplates.HasValidApproval",
    "IsBlocking": true,
    "IsPassing": true,
    "IsFailing": false,
    "NeedsAttention": false,
    "PassingSuiteKey": "suite-substrate",
    "NeedsAttentionSuiteKey": null
   },
   {
    "TestCaseId": "tc-xlate-message_templates-is_claiming_unbacked_approval",
    "TestKind": "formula-translates",
    "Subject": "MessageTemplates.IsClaimingUnbackedApproval",
    "TargetTable": "MessageTemplates",
    "TargetField": "IsClaimingUnbackedApproval",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MessageTemplates.IsClaimingUnbackedApproval",
    "IsBlocking": true,
    "IsPassing": true,
    "IsFailing": false,
    "NeedsAttention": false,
    "PassingSuiteKey": "suite-substrate",
    "NeedsAttentionSuiteKey": null
   },
   {
    "TestCaseId": "tc-xlate-message_templates-last_approved_body_hash",
    "TestKind": "formula-translates",
    "Subject": "MessageTemplates.LastApprovedBodyHash",
    "TargetTable": "MessageTemplates",
    "TargetField": "LastApprovedBodyHash",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MessageTemplates.LastApprovedBodyHash",
    "IsBlocking": true,
    "IsPassing": true,
    "IsFailing": false,
    "NeedsAttention": false,
    "PassingSuiteKey": "suite-substrate",
    "NeedsAttentionSuiteKey": null
   },
   {
    "TestCaseId": "tc-xlate-message_templates-has_body_drifted",
    "TestKind": "formula-translates",
    "Subject": "MessageTemplates.HasBodyDrifted",
    "TargetTable": "MessageTemplates",
    "TargetField": "HasBodyDrifted",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MessageTemplates.HasBodyDrifted",
    "IsBlocking": true,
    "IsPassing": true,
    "IsFailing": false,
    "NeedsAttention": false,
    "PassingSuiteKey": "suite-substrate",
    "NeedsAttentionSuiteKey": null
   },
   {
    "TestCaseId": "tc-xlate-message_templates-is_sendable_under_approval",
    "TestKind": "formula-translates",
    "Subject": "MessageTemplates.IsSendableUnderApproval",
    "TargetTable": "MessageTemplates",
    "TargetField": "IsSendableUnderApproval",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MessageTemplates.IsSendableUnderApproval",
    "IsBlocking": true,
    "IsPassing": true,
    "IsFailing": false,
    "NeedsAttention": false,
    "PassingSuiteKey": "suite-substrate",
    "NeedsAttentionSuiteKey": null
   },
   {
    "TestCaseId": "tc-xlate-message_templates-drifted_send_count",
    "TestKind": "formula-translates",
    "Subject": "MessageTemplates.DriftedSendCount",
    "TargetTable": "MessageTemplates",
    "TargetField": "DriftedSendCount",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MessageTemplates.DriftedSendCount",
    "IsBlocking": true,
    "IsPassing": true,
    "IsFailing": false,
    "NeedsAttention": false,
    "PassingSuiteKey": "suite-substrate",
    "NeedsAttentionSuiteKey": null
   },
   {
    "TestCaseId": "tc-xlate-message_templates-unanswered_delivery_count",
    "TestKind": "formula-translates",
    "Subject": "MessageTemplates.UnansweredDeliveryCount",
    "TargetTable": "MessageTemplates",
    "TargetField": "UnansweredDeliveryCount",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MessageTemplates.UnansweredDeliveryCount",
    "IsBlocking": true,
    "IsPassing": true,
    "IsFailing": false,
    "NeedsAttention": false,
    "PassingSuiteKey": "suite-substrate",
    "NeedsAttentionSuiteKey": null
   },
   {
    "TestCaseId": "tc-xlate-message_templates-transmitted_delivery_count",
    "TestKind": "formula-translates",
    "Subject": "MessageTemplates.TransmittedDeliveryCount",
    "TargetTable": "MessageTemplates",
    "TargetField": "TransmittedDeliveryCount",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MessageTemplates.TransmittedDeliveryCount",
    "IsBlocking": true,
    "IsPassing": true,
    "IsFailing": false,
    "NeedsAttention": false,
    "PassingSuiteKey": "suite-substrate",
    "NeedsAttentionSuiteKey": null
   },
   {
    "TestCaseId": "tc-xlate-message_templates-template_draws_no_response",
    "TestKind": "formula-translates",
    "Subject": "MessageTemplates.TemplateDrawsNoResponse",
    "TargetTable": "MessageTemplates",
    "TargetField": "TemplateDrawsNoResponse",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MessageTemplates.TemplateDrawsNoResponse",
    "IsBlocking": true,
    "IsPassing": true,
    "IsFailing": false,
    "NeedsAttention": false,
    "PassingSuiteKey": "suite-substrate",
    "NeedsAttentionSuiteKey": null
   },
   {
    "TestCaseId": "tc-xlate-message_templates-last_approval_at",
    "TestKind": "formula-translates",
    "Subject": "MessageTemplates.LastApprovalAt",
    "TargetTable": "MessageTemplates",
    "TargetField": "LastApprovalAt",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MessageTemplates.LastApprovalAt",
    "IsBlocking": true,
    "IsPassing": true,
    "IsFailing": false,
    "NeedsAttention": false,
    "PassingSuiteKey": "suite-substrate",
    "NeedsAttentionSuiteKey": null
   },
   {
    "TestCaseId": "tc-xlate-semantic_mappings-name",
    "TestKind": "formula-translates",
    "Subject": "SemanticMappings.Name",
    "TargetTable": "SemanticMappings",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SemanticMappings.Name",
    "IsBlocking": true,
    "IsPassing": true,
    "IsFailing": false,
    "NeedsAttention": false,
    "PassingSuiteKey": "suite-substrate",
    "NeedsAttentionSuiteKey": null
   },
   {
    "TestCaseId": "tc-xlate-witness_loops-name",
    "TestKind": "formula-translates",
    "Subject": "WitnessLoops.Name",
    "TargetTable": "WitnessLoops",
    "TargetField": "Name",
    "Assertion": "The transpiler emitted a real SQL function for this formula rather than a NULL stub.",
    "DefendsQuestion": null,
    "Suite": "suite-substrate"</t>
  </si>
  <si>
    <t xml:space="preserve">,
    "Severity": "blocking",
    "LastOutcome": "PASS",
    "LastDetail": "translated",
    "LastRunAt": "2026-07-20T03:06:49+00:00",
    "SemanticTypeIri": "urn:effortless:pko-extension#TestCase",
    "Name": "formula-translates: WitnessLoops.Name",
    "IsBlocking": true,
    "IsPassing": true,
    "IsFailing": false,
    "NeedsAttention": false,
    "PassingSuiteKey": "suite-substrate",
    "NeedsAttentionSuiteKey": null
   },
   {
    "TestCaseId": "tc-xlate-witness_loops-question_count",
    "TestKind": "formula-translates",
    "Subject": "WitnessLoops.QuestionCount",
    "TargetTable": "WitnessLoops",
    "TargetField": "QuestionCount",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WitnessLoops.QuestionCount",
    "IsBlocking": true,
    "IsPassing": true,
    "IsFailing": false,
    "NeedsAttention": false,
    "PassingSuiteKey": "suite-substrate",
    "NeedsAttentionSuiteKey": null
   },
   {
    "TestCaseId": "tc-xlate-witness_loops-is_complete",
    "TestKind": "formula-translates",
    "Subject": "WitnessLoops.IsComplete",
    "TargetTable": "WitnessLoops",
    "TargetField": "IsComplete",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WitnessLoops.IsComplete",
    "IsBlocking": true,
    "IsPassing": true,
    "IsFailing": false,
    "NeedsAttention": false,
    "PassingSuiteKey": "suite-substrate",
    "NeedsAttentionSuiteKey": null
   },
   {
    "TestCaseId": "tc-xlate-role_questions-name",
    "TestKind": "formula-translates",
    "Subject": "RoleQuestions.Name",
    "TargetTable": "RoleQuestions",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RoleQuestions.Name",
    "IsBlocking": true,
    "IsPassing": true,
    "IsFailing": false,
    "NeedsAttention": false,
    "PassingSuiteKey": "suite-substrate",
    "NeedsAttentionSuiteKey": null
   },
   {
    "TestCaseId": "tc-xlate-role_questions-predicate_count",
    "TestKind": "formula-translates",
    "Subject": "RoleQuestions.PredicateCount",
    "TargetTable": "RoleQuestions",
    "TargetField": "PredicateCount",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RoleQuestions.PredicateCount",
    "IsBlocking": true,
    "IsPassing": true,
    "IsFailing": false,
    "NeedsAttention": false,
    "PassingSuiteKey": "suite-substrate",
    "NeedsAttentionSuiteKey": null
   },
   {
    "TestCaseId": "tc-xlate-role_questions-is_answered",
    "TestKind": "formula-translates",
    "Subject": "RoleQuestions.IsAnswered",
    "TargetTable": "RoleQuestions",
    "TargetField": "IsAnswered",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RoleQuestions.IsAnswered",
    "IsBlocking": true,
    "IsPassing": true,
    "IsFailing": false,
    "NeedsAttention": false,
    "PassingSuiteKey": "suite-substrate",
    "NeedsAttentionSuiteKey": null
   },
   {
    "TestCaseId": "tc-xlate-rulebook_fields-name",
    "TestKind": "formula-translates",
    "Subject": "RulebookFields.Name",
    "TargetTable": "RulebookFields",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RulebookFields.Name",
    "IsBlocking": true,
    "IsPassing": true,
    "IsFailing": false,
    "NeedsAttention": false,
    "PassingSuiteKey": "suite-substrate",
    "NeedsAttentionSuiteKey": null
   },
   {
    "TestCaseId": "tc-xlate-rulebook_fields-is_derived",
    "TestKind": "formula-translates",
    "Subject": "RulebookFields.IsDerived",
    "TargetTable": "RulebookFields",
    "TargetField": "IsDerived",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RulebookFields.IsDerived",
    "IsBlocking": true,
    "IsPassing": true,
    "IsFailing": false,
    "NeedsAttention": false,
    "PassingSuiteKey": "suite-substrate",
    "NeedsAttentionSuiteKey": null
   },
   {
    "TestCaseId": "tc-xlate-rulebook_fields-is_witness",
    "TestKind": "formula-translates",
    "Subject": "RulebookFields.IsWitness",
    "TargetTable": "RulebookFields",
    "TargetField": "IsWitness",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RulebookFields.IsWitness",
    "IsBlocking": true,
    "IsPassing": true,
    "IsFailing": false,
    "NeedsAttention": false,
    "PassingSuiteKey": "suite-substrate",
    "NeedsAttentionSuiteKey": null
   },
   {
    "TestCaseId": "tc-xlate-test_suites-name",
    "TestKind": "formula-translates",
    "Subject": "TestSuites.Name",
    "TargetTable": "TestSuites",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TestSuites.Name",
    "IsBlocking": true,
    "IsPassing": true,
    "IsFailing": false,
    "NeedsAttention": false,
    "PassingSuiteKey": "suite-substrate",
    "NeedsAttentionSuiteKey": null
   },
   {
    "TestCaseId": "tc-xlate-test_suites-test_count",
    "TestKind": "formula-translates",
    "Subject": "TestSuites.TestCount",
    "TargetTable": "TestSuites",
    "TargetField": "TestCount",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TestSuites.TestCount",
    "IsBlocking": true,
    "IsPassing": true,
    "IsFailing": false,
    "NeedsAttention": false,
    "PassingSuiteKey": "suite-substrate",
    "NeedsAttentionSuiteKey": null
   },
   {
    "TestCaseId": "tc-xlate-test_suites-pass_count",
    "TestKind": "formula-translates",
    "Subject": "TestSuites.PassCount",
    "TargetTable": "TestSuites",
    "TargetField": "PassCount",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TestSuites.PassCount",
    "IsBlocking": true,
    "IsPassing": true,
    "IsFailing": false,
    "NeedsAttention": false,
    "PassingSuiteKey": "suite-substrate",
    "NeedsAttentionSuiteKey": null
   },
   {
    "TestCaseId": "tc-xlate-test_suites-blocking_fail_count",
    "TestKind": "formula-translates",
    "Subject": "TestSuites.BlockingFailCount",
    "TargetTable": "TestSuites",
    "TargetField": "BlockingFailCount",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TestSuites.BlockingFailCount",
    "IsBlocking": true,
    "IsPassing": true,
    "IsFailing": false,
    "NeedsAttention": false,
    "PassingSuiteKey": "suite-substrate",
    "NeedsAttentionSuiteKey": null
   },
   {
    "TestCaseId": "tc-xlate-test_suites-is_green",
    "TestKind": "formula-translates",
    "Subject": "TestSuites.IsGreen",
    "TargetTable": "TestSuites",
    "TargetField": "IsGreen",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TestSuites.IsGreen",
    "IsBlocking": true,
    "IsPassing": true,
    "IsFailing": false,
    "NeedsAttention": false,
    "PassingSuiteKey": "suite-substrate",
    "NeedsAttentionSuiteKey": null
   },
   {
    "TestCaseId": "tc-xlate-test_cases-name",
    "TestKind": "formula-translates",
    "Subject": "TestCases.Name",
    "TargetTable": "TestCases",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TestCases.Name",
    "IsBlocking": true,
    "IsPassing": true,
    "IsFailing": false,
    "NeedsAttention": false,
    "PassingSuiteKey": "suite-substrate",
    "NeedsAttentionSuiteKey": null
   },
   {
    "TestCaseId": "tc-xlate-test_cases-is_blocking",
    "TestKind": "formula-translates",
    "Subject": "TestCases.IsBlocking",
    "TargetTable": "TestCases",
    "TargetField": "IsBlocking",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TestCases.IsBlocking",
    "IsBlocking": true,
    "IsPassing": true,
    "IsFailing": false,
    "NeedsAttention": false,
    "PassingSuiteKey": "suite-substrate",
    "NeedsAttentionSuiteKey": null
   },
   {
    "TestCaseId": "tc-xlate-test_cases-is_passing",
    "TestKind": "formula-translates",
    "Subject": "TestCases.IsPassing",
    "TargetTable": "TestCases",
    "TargetField": "IsPassing",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TestCases.IsPassing",
    "IsBlocking": true,
    "IsPassing": true,
    "IsFailing": false,
    "NeedsAttention": false,
    "PassingSuiteKey": "suite-substrate",
    "NeedsAttentionSuiteKey": null
   },
   {
    "TestCaseId": "tc-xlate-test_cases-is_failing",
    "TestKind": "formula-translates",
    "Subject": "TestCases.IsFailing",
    "TargetTable": "TestCases",
    "TargetField": "IsFailing",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TestCases.IsFailing",
    "IsBlocking": true,
    "IsPassing": true,
    "IsFailing": false,
    "NeedsAttention": false,
    "PassingSuiteKey": "suite-substrate",
    "NeedsAttentionSuiteKey": null
   },
   {
    "TestCaseId": "tc-xlate-test_cases-needs_attention",
    "TestKind": "formula-translates",
    "Subject": "TestCases.NeedsAttention",
    "TargetTable": "TestCases",
    "TargetField": "NeedsAttention",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TestCases.NeedsAttention",
    "IsBlocking": true,
    "IsPassing": true,
    "IsFailing": false,
    "NeedsAttention": false,
    "PassingSuiteKey": "suite-substrate",
    "NeedsAttentionSuiteKey": null
   },
   {
    "TestCaseId": "tc-xlate-test_cases-passing_suite_key",
    "TestKind": "formula-translates",
    "Subject": "TestCases.PassingSuiteKey",
    "TargetTable": "TestCases",
    "TargetField": "PassingSuiteKey",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TestCases.PassingSuiteKey",
    "IsBlocking": true,
    "IsPassing": true,
    "IsFailing": false,
    "NeedsAttention": false,
    "PassingSuiteKey": "suite-substrate",
    "NeedsAttentionSuiteKey": null
   },
   {
    "TestCaseId": "tc-xlate-test_cases-needs_attention_suite_key",
    "TestKind": "formula-translates",
    "Subject": "TestCases.NeedsAttentionSuiteKey",
    "TargetTable": "TestCases",
    "TargetField": "NeedsAttentionSuiteKey",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TestCases.NeedsAttentionSuiteKey",
    "IsBlocking": true,
    "IsPassing": true,
    "IsFailing": false,
    "NeedsAttention": false,
    "PassingSuiteKey": "suite-substrate",
    "NeedsAttentionSuiteKey": null
   },
   {
    "TestCaseId": "tc-xlate-__meta__-name",
    "TestKind": "formula-translates",
    "Subject": "__meta__.Name",
    "TargetTable": "__meta__",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__meta__.Name",
    "IsBlocking": true,
    "IsPassing": true,
    "IsFailing": false,
    "NeedsAttention": false,
    "PassingSuiteKey": "suite-substrate",
    "NeedsAttentionSuiteKey": null
   },
   {
    "TestCaseId": "tc-xlate-exception_invocations-name",
    "TestKind": "formula-translates",
    "Subject": "ExceptionInvocations.Name",
    "TargetTable": "ExceptionInvocations",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ExceptionInvocations.Name",
    "IsBlocking": true,
    "IsPassing": true,
    "IsFailing": false,
    "NeedsAttention": false,
    "PassingSuiteKey": "suite-substrate",
    "NeedsAttentionSuiteKey": null
   },
   {
    "TestCaseId": "tc-xlate-exception_invocations-expected_handling",
    "TestKind": "formula-translates",
    "Subject": "ExceptionInvocations.ExpectedHandling",
    "TargetTable": "ExceptionInvocations",
    "TargetField": "ExpectedHandling",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ExceptionInvocations.ExpectedHandling",
    "IsBlocking": true,
    "IsPassing": true,
    "IsFailing": false,
    "NeedsAttention": false,
    "PassingSuiteKey": "suite-substrate",
    "NeedsAttentionSuiteKey": null
   },
   {
    "TestCaseId": "tc-xlate-exception_invocations-required_approval_role",
    "TestKind": "formula-translates",
    "Subject": "ExceptionInvocations.RequiredApprovalRole",
    "TargetTable": "ExceptionInvocations",
    "TargetField": "RequiredApprovalRole",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ExceptionInvocations.RequiredApprovalRole",
    "IsBlocking": true,
    "IsPassing": true,
    "IsFailing": false,
    "NeedsAttention": false,
    "PassingSuiteKey": "suite-substrate",
    "NeedsAttentionSuiteKey": null
   },
   {
    "TestCaseId": "tc-xlate-exception_invocations-required_approval_role_holder",
    "TestKind": "formula-translates",
    "Subject": "ExceptionInvocations.RequiredApprovalRoleHolder",
    "TargetTable": "ExceptionInvocations",
    "TargetField": "RequiredApprovalRoleHolder",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ExceptionInvocations.RequiredApprovalRoleHolder",
    "IsBlocking": true,
    "IsPassing": true,
    "IsFailing": false,
    "NeedsAttention": false,
    "PassingSuiteKey": "suite-substrate",
    "NeedsAttentionSuiteKey": null
   },
   {
    "TestCaseId": "tc-xlate-exception_invocations-approval_role_matches",
    "TestKind": "formula-translates",
    "Subject": "ExceptionInvocations.ApprovalRoleMatches",
    "TargetTable": "ExceptionInvocations",
    "TargetField": "ApprovalRoleMatches",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ExceptionInvocations.ApprovalRoleMatches",
    "IsBlocking": true,
    "IsPassing": true,
    "IsFailing": false,
    "NeedsAttention": false,
    "PassingSuiteKey": "suite-substrate",
    "NeedsAttentionSuiteKey": null
   },
   {
    "TestCaseId": "tc-xlate-exception_invocations-is_approved",
    "TestKind": "formula-translates",
    "Subject": "ExceptionInvocations.IsApproved",
    "TargetTable": "ExceptionInvocations",
    "TargetField": "IsApproved",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ExceptionInvocations.IsApproved",
    "IsBlocking": true,
    "IsPassing": true,
    "IsFailing": false,
    "NeedsAttention": false,
    "PassingSuiteKey": "suite-substrate",
    "NeedsAttentionSuiteKey": null
   },
   {
    "TestCaseId": "tc-xlate-exception_invocations-is_improperly_approved",
    "TestKind": "formula-translates",
    "Subject": "ExceptionInvocations.IsImproperlyApproved",
    "TargetTable": "ExceptionInvocations",
    "TargetField": "IsImproperlyApproved",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ExceptionInvocations.IsImproperlyApproved",
    "IsBlocking": true,
    "IsPassing": true,
    "IsFailing": false,
    "NeedsAttention": false,
    "PassingSuiteKey": "suite-substrate",
    "NeedsAttentionSuiteKey": null
   },
   {
    "TestCaseId": "tc-xlate-exception_invocations-invoker_agent_kind",
    "TestKind": "formula-translates",
    "Subject": "ExceptionInvocations.InvokerAgentKind",
    "TargetTable": "ExceptionInvocations",
    "TargetField": "InvokerAgentKind",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ExceptionInvocations.InvokerAgentKind",
    "IsBlocking": true,
    "IsPassing": true,
    "IsFailing": false,
    "NeedsAttention": false,
    "PassingSuiteKey": "suite-substrate",
    "NeedsAttentionSuiteKey": null
   },
   {
    "TestCaseId": "tc-xlate-exception_invocations-invoker_also_prepared_key",
    "TestKind": "formula-translates",
    "Subject": "ExceptionInvocations.InvokerAlsoPreparedKey",
    "TargetTable": "ExceptionInvocations",
    "TargetField": "InvokerAlsoPreparedKey",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ExceptionInvocations.InvokerAlsoPreparedKey",
    "IsBlocking": true,
    "IsPassing": true,
    "IsFailing": false,
    "NeedsAttention": false,
    "PassingSuiteKey": "suite-substrate",
    "NeedsAttentionSuiteKey": null
   },
   {
    "TestCaseId": "tc-xlate-exception_invocations-parent_procedure_execution",
    "TestKind": "formula-translates",
    "Subject": "ExceptionInvocations.ParentProcedureExecution",
    "TargetTable": "ExceptionInvocations",
    "TargetField": "ParentProcedureExecution",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ExceptionInvocations.ParentProcedureExecution",
    "IsBlocking": true,
    "IsPassing": true,
    "IsFailing": false,
    "NeedsAttention": false,
    "PassingSuiteKey": "suite-substrate",
    "NeedsAttentionSuiteKey": null
   },
   {
    "TestCaseId": "tc-xlate-exception_invocations-approver_prepared_count",
    "TestKind": "formula-translates",
    "Subject": "ExceptionInvocations.ApproverPreparedCount",
    "TargetTable": "ExceptionInvocations",
    "TargetField": "ApproverPreparedCount",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ExceptionInvocations.ApproverPreparedCount",
    "IsBlocking": true,
    "IsPassing": true,
    "IsFailing": false,
    "NeedsAttention": false,
    "PassingSuiteKey": "suite-substrate",
    "NeedsAttentionSuiteKey": null
   },
   {
    "TestCaseId": "tc-xlate-exception_invocations-delegated_to_preparer",
    "TestKind": "formula-translates",
    "Subject": "ExceptionInvocations.DelegatedToPreparer",
    "TargetTable": "ExceptionInvocations",
    "TargetField": "DelegatedToPreparer",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ExceptionInvocations.DelegatedToPreparer",
    "IsBlocking": true,
    "IsPassing": true,
    "IsFailing": false,
    "NeedsAttention": false,
    "PassingSuiteKey": "suite-substrate",
    "NeedsAttentionSuiteKey": null
   },
   {
    "TestCaseId": "tc-xlate-exception_invocations-is_ungoverned_invocation",
    "TestKind": "formula-translates",
    "Subject": "ExceptionInvocations.IsUngovernedInvocation",
    "TargetTable": "ExceptionInvocations",
    "TargetField": "IsUngovernedInvocation",
    "Assertion": "The transpiler emitted a real SQL function for this formula rather than a NULL stub.",
    "DefendsQuestion": "q-cfo-who-actually-held-authority",
    "Suite": "suite-substrate",
    "Severity": "blocking",
    "LastOutcome": "PASS",
    "LastDetail": "translated",
    "LastRunAt": "2026-07-20T03:06:49+00:00",
    "SemanticTypeIri": "urn:effortless:pko-extension#TestCase",
    "Name": "formula-translates: ExceptionInvocations.IsUngovernedInvocation",
    "IsBlocking": true,
    "IsPassing": true,
    "IsFailing": false,
    "NeedsAttention": false,
    "PassingSuiteKey": "suite-substrate",
    "NeedsAttentionSuiteKey": null
   },
   {
    "TestCaseId": "tc-xlate-verification_outcomes-name",
    "TestKind": "formula-translates",
    "Subject": "VerificationOutcomes.Name",
    "TargetTable": "VerificationOutcomes",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VerificationOutcomes.Name",
    "IsBlocking": true,
    "IsPassing": true,
    "IsFailing": false,
    "NeedsAttention": false,
    "PassingSuiteKey": "suite-substrate",
    "NeedsAttentionSuiteKey": null
   },
   {
    "TestCaseId": "tc-xlate-verification_outcomes-expected_signal_value",
    "TestKind": "formula-translates",
    "Subject": "VerificationOutcomes.ExpectedSignalValue",
    "TargetTable": "VerificationOutcomes",
    "TargetField": "ExpectedSignalValue",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VerificationOutcomes.ExpectedSignalValue",
    "IsBlocking": true,
    "IsPassing": true,
    "IsFailing": false,
    "NeedsAttention": false,
    "PassingSuiteKey": "suite-substrate",
    "NeedsAttentionSuiteKey": null
   },
   {
    "TestCaseId": "tc-xlate-verification_outcomes-signal_identifier",
    "TestKind": "formula-translates",
    "Subject": "VerificationOutcomes.SignalIdentifier",
    "TargetTable": "VerificationOutcomes",
    "TargetField": "SignalIdentifier",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VerificationOutcomes.SignalIdentifier",
    "IsBlocking": true,
    "IsPassing": true,
    "IsFailing": false,
    "NeedsAttention": false,
    "PassingSuiteKey": "suite-substrate",
    "NeedsAttentionSuiteKey": null
   },
   {
    "TestCaseId": "tc-xlate-verification_outcomes-signal_matches_expected",
    "TestKind": "formula-translates",
    "Subject": "VerificationOutcomes.SignalMatchesExpected",
    "TargetTable": "VerificationOutcomes",
    "TargetField": "SignalMatchesExpected",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VerificationOutcomes.SignalMatchesExpected",
    "IsBlocking": true,
    "IsPassing": true,
    "IsFailing": false,
    "NeedsAttention": false,
    "PassingSuiteKey": "suite-substrate",
    "NeedsAttentionSuiteKey": null
   },
   {
    "TestCaseId": "tc-xlate-verification_outcomes-has_evidence",
    "TestKind": "formula-translates",
    "Subject": "VerificationOutcomes.HasEvidence",
    "TargetTable": "VerificationOutcomes",
    "TargetField": "HasEvidence",
    "Assertion": "The transp</t>
  </si>
  <si>
    <t xml:space="preserve">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VerificationOutcomes.HasEvidence",
    "IsBlocking": true,
    "IsPassing": true,
    "IsFailing": false,
    "NeedsAttention": false,
    "PassingSuiteKey": "suite-substrate",
    "NeedsAttentionSuiteKey": null
   },
   {
    "TestCaseId": "tc-xlate-verification_outcomes-is_unbacked_observation",
    "TestKind": "formula-translates",
    "Subject": "VerificationOutcomes.IsUnbackedObservation",
    "TargetTable": "VerificationOutcomes",
    "TargetField": "IsUnbackedObservation",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VerificationOutcomes.IsUnbackedObservation",
    "IsBlocking": true,
    "IsPassing": true,
    "IsFailing": false,
    "NeedsAttention": false,
    "PassingSuiteKey": "suite-substrate",
    "NeedsAttentionSuiteKey": null
   },
   {
    "TestCaseId": "tc-xlate-verification_outcomes-is_self_witnessed",
    "TestKind": "formula-translates",
    "Subject": "VerificationOutcomes.IsSelfWitnessed",
    "TargetTable": "VerificationOutcomes",
    "TargetField": "IsSelfWitnessed",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VerificationOutcomes.IsSelfWitnessed",
    "IsBlocking": true,
    "IsPassing": true,
    "IsFailing": false,
    "NeedsAttention": false,
    "PassingSuiteKey": "suite-substrate",
    "NeedsAttentionSuiteKey": null
   },
   {
    "TestCaseId": "tc-xlate-verification_outcomes-step_executor_agent",
    "TestKind": "formula-translates",
    "Subject": "VerificationOutcomes.StepExecutorAgent",
    "TargetTable": "VerificationOutcomes",
    "TargetField": "StepExecutorAgent",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VerificationOutcomes.StepExecutorAgent",
    "IsBlocking": true,
    "IsPassing": true,
    "IsFailing": false,
    "NeedsAttention": false,
    "PassingSuiteKey": "suite-substrate",
    "NeedsAttentionSuiteKey": null
   },
   {
    "TestCaseId": "tc-xlate-verification_outcomes-self_witnessed_step_key",
    "TestKind": "formula-translates",
    "Subject": "VerificationOutcomes.SelfWitnessedStepKey",
    "TargetTable": "VerificationOutcomes",
    "TargetField": "SelfWitnessedStepKey",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VerificationOutcomes.SelfWitnessedStepKey",
    "IsBlocking": true,
    "IsPassing": true,
    "IsFailing": false,
    "NeedsAttention": false,
    "PassingSuiteKey": "suite-substrate",
    "NeedsAttentionSuiteKey": null
   },
   {
    "TestCaseId": "tc-xlate-verification_outcomes-unbacked_step_key",
    "TestKind": "formula-translates",
    "Subject": "VerificationOutcomes.UnbackedStepKey",
    "TargetTable": "VerificationOutcomes",
    "TargetField": "UnbackedStepKey",
    "Assertion": "The transpiler emitted a real SQL function for this formula rather than a NULL stub.",
    "DefendsQuestion": "q-cfo-approval-was-actually-verified",
    "Suite": "suite-substrate",
    "Severity": "blocking",
    "LastOutcome": "PASS",
    "LastDetail": "translated",
    "LastRunAt": "2026-07-20T03:06:49+00:00",
    "SemanticTypeIri": "urn:effortless:pko-extension#TestCase",
    "Name": "formula-translates: VerificationOutcomes.UnbackedStepKey",
    "IsBlocking": true,
    "IsPassing": true,
    "IsFailing": false,
    "NeedsAttention": false,
    "PassingSuiteKey": "suite-substrate",
    "NeedsAttentionSuiteKey": null
   },
   {
    "TestCaseId": "tc-xlate-verification_outcomes-is_self_witnessed_and_unbacked",
    "TestKind": "formula-translates",
    "Subject": "VerificationOutcomes.IsSelfWitnessedAndUnbacked",
    "TargetTable": "VerificationOutcomes",
    "TargetField": "IsSelfWitnessedAndUnbacked",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VerificationOutcomes.IsSelfWitnessedAndUnbacked",
    "IsBlocking": true,
    "IsPassing": true,
    "IsFailing": false,
    "NeedsAttention": false,
    "PassingSuiteKey": "suite-substrate",
    "NeedsAttentionSuiteKey": null
   },
   {
    "TestCaseId": "tc-xlate-verification_outcomes-is_uncorroborated_pass",
    "TestKind": "formula-translates",
    "Subject": "VerificationOutcomes.IsUncorroboratedPass",
    "TargetTable": "VerificationOutcomes",
    "TargetField": "IsUncorroboratedPass",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VerificationOutcomes.IsUncorroboratedPass",
    "IsBlocking": true,
    "IsPassing": true,
    "IsFailing": false,
    "NeedsAttention": false,
    "PassingSuiteKey": "suite-substrate",
    "NeedsAttentionSuiteKey": null
   },
   {
    "TestCaseId": "tc-xlate-verification_outcomes-uncorroborated_pass_step_key",
    "TestKind": "formula-translates",
    "Subject": "VerificationOutcomes.UncorroboratedPassStepKey",
    "TargetTable": "VerificationOutcomes",
    "TargetField": "UncorroboratedPassStepKey",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VerificationOutcomes.UncorroboratedPassStepKey",
    "IsBlocking": true,
    "IsPassing": true,
    "IsFailing": false,
    "NeedsAttention": false,
    "PassingSuiteKey": "suite-substrate",
    "NeedsAttentionSuiteKey": null
   },
   {
    "TestCaseId": "tc-xlate-verification_outcomes-observer_is_non_human",
    "TestKind": "formula-translates",
    "Subject": "VerificationOutcomes.ObserverIsNonHuman",
    "TargetTable": "VerificationOutcomes",
    "TargetField": "ObserverIsNonHuman",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VerificationOutcomes.ObserverIsNonHuman",
    "IsBlocking": true,
    "IsPassing": true,
    "IsFailing": false,
    "NeedsAttention": false,
    "PassingSuiteKey": "suite-substrate",
    "NeedsAttentionSuiteKey": null
   },
   {
    "TestCaseId": "tc-xlate-verification_outcomes-observer_is_independent_of_executor",
    "TestKind": "formula-translates",
    "Subject": "VerificationOutcomes.ObserverIsIndependentOfExecutor",
    "TargetTable": "VerificationOutcomes",
    "TargetField": "ObserverIsIndependentOfExecutor",
    "Assertion": "The transpiler emitted a real SQL function for this formula rather than a NULL stub.",
    "DefendsQuestion": "q2-fa-my-own-evidence-quality",
    "Suite": "suite-substrate",
    "Severity": "blocking",
    "LastOutcome": "PASS",
    "LastDetail": "translated",
    "LastRunAt": "2026-07-20T03:06:49+00:00",
    "SemanticTypeIri": "urn:effortless:pko-extension#TestCase",
    "Name": "formula-translates: VerificationOutcomes.ObserverIsIndependentOfExecutor",
    "IsBlocking": true,
    "IsPassing": true,
    "IsFailing": false,
    "NeedsAttention": false,
    "PassingSuiteKey": "suite-substrate",
    "NeedsAttentionSuiteKey": null
   },
   {
    "TestCaseId": "tc-xlate-verification_outcomes-is_independent_human_observation",
    "TestKind": "formula-translates",
    "Subject": "VerificationOutcomes.IsIndependentHumanObservation",
    "TargetTable": "VerificationOutcomes",
    "TargetField": "IsIndependentHumanObservation",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VerificationOutcomes.IsIndependentHumanObservation",
    "IsBlocking": true,
    "IsPassing": true,
    "IsFailing": false,
    "NeedsAttention": false,
    "PassingSuiteKey": "suite-substrate",
    "NeedsAttentionSuiteKey": null
   },
   {
    "TestCaseId": "tc-xlate-verification_outcomes-independent_observation_execution_key",
    "TestKind": "formula-translates",
    "Subject": "VerificationOutcomes.IndependentObservationExecutionKey",
    "TargetTable": "VerificationOutcomes",
    "TargetField": "IndependentObservationExecutionKey",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VerificationOutcomes.IndependentObservationExecutionKey",
    "IsBlocking": true,
    "IsPassing": true,
    "IsFailing": false,
    "NeedsAttention": false,
    "PassingSuiteKey": "suite-substrate",
    "NeedsAttentionSuiteKey": null
   },
   {
    "TestCaseId": "tc-xlate-verification_outcomes-parent_procedure_execution_of_outcome",
    "TestKind": "formula-translates",
    "Subject": "VerificationOutcomes.ParentProcedureExecutionOfOutcome",
    "TargetTable": "VerificationOutcomes",
    "TargetField": "ParentProcedureExecutionOfOutcome",
    "Assertion": "The transpiler emitted a real SQL function for this formula rather than a NULL stub.",
    "DefendsQuestion": "q2-cfo-who-witnessed-the-witnesses",
    "Suite": "suite-substrate",
    "Severity": "blocking",
    "LastOutcome": "PASS",
    "LastDetail": "translated",
    "LastRunAt": "2026-07-20T03:06:49+00:00",
    "SemanticTypeIri": "urn:effortless:pko-extension#TestCase",
    "Name": "formula-translates: VerificationOutcomes.ParentProcedureExecutionOfOutcome",
    "IsBlocking": true,
    "IsPassing": true,
    "IsFailing": false,
    "NeedsAttention": false,
    "PassingSuiteKey": "suite-substrate",
    "NeedsAttentionSuiteKey": null
   },
   {
    "TestCaseId": "tc-xlate-observed_transitions-name",
    "TestKind": "formula-translates",
    "Subject": "ObservedTransitions.Name",
    "TargetTable": "ObservedTransitions",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ObservedTransitions.Name",
    "IsBlocking": true,
    "IsPassing": true,
    "IsFailing": false,
    "NeedsAttention": false,
    "PassingSuiteKey": "suite-substrate",
    "NeedsAttentionSuiteKey": null
   },
   {
    "TestCaseId": "tc-xlate-recipients-name",
    "TestKind": "formula-translates",
    "Subject": "Recipients.Name",
    "TargetTable": "Recipients",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Recipients.Name",
    "IsBlocking": true,
    "IsPassing": true,
    "IsFailing": false,
    "NeedsAttention": false,
    "PassingSuiteKey": "suite-substrate",
    "NeedsAttentionSuiteKey": null
   },
   {
    "TestCaseId": "tc-xlate-recipients-has_sms_consent",
    "TestKind": "formula-translates",
    "Subject": "Recipients.HasSmsConsent",
    "TargetTable": "Recipients",
    "TargetField": "HasSmsConsent",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Recipients.HasSmsConsent",
    "IsBlocking": true,
    "IsPassing": true,
    "IsFailing": false,
    "NeedsAttention": false,
    "PassingSuiteKey": "suite-substrate",
    "NeedsAttentionSuiteKey": null
   },
   {
    "TestCaseId": "tc-xlate-recipients-is_email_reachable",
    "TestKind": "formula-translates",
    "Subject": "Recipients.IsEmailReachable",
    "TargetTable": "Recipients",
    "TargetField": "IsEmailReachable",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Recipients.IsEmailReachable",
    "IsBlocking": true,
    "IsPassing": true,
    "IsFailing": false,
    "NeedsAttention": false,
    "PassingSuiteKey": "suite-substrate",
    "NeedsAttentionSuiteKey": null
   },
   {
    "TestCaseId": "tc-xlate-recipients-is_sms_reachable",
    "TestKind": "formula-translates",
    "Subject": "Recipients.IsSmsReachable",
    "TargetTable": "Recipients",
    "TargetField": "IsSmsReachable",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Recipients.IsSmsReachable",
    "IsBlocking": true,
    "IsPassing": true,
    "IsFailing": false,
    "NeedsAttention": false,
    "PassingSuiteKey": "suite-substrate",
    "NeedsAttentionSuiteKey": null
   },
   {
    "TestCaseId": "tc-xlate-recipients-is_unreachable",
    "TestKind": "formula-translates",
    "Subject": "Recipients.IsUnreachable",
    "TargetTable": "Recipients",
    "TargetField": "IsUnreachable",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Recipients.IsUnreachable",
    "IsBlocking": true,
    "IsPassing": true,
    "IsFailing": false,
    "NeedsAttention": false,
    "PassingSuiteKey": "suite-substrate",
    "NeedsAttentionSuiteKey": null
   },
   {
    "TestCaseId": "tc-xlate-recipients-is_communicationally_stranded",
    "TestKind": "formula-translates",
    "Subject": "Recipients.IsCommunicationallyStranded",
    "TargetTable": "Recipients",
    "TargetField": "IsCommunicationallyStranded",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Recipients.IsCommunicationallyStranded",
    "IsBlocking": true,
    "IsPassing": true,
    "IsFailing": false,
    "NeedsAttention": false,
    "PassingSuiteKey": "suite-substrate",
    "NeedsAttentionSuiteKey": null
   },
   {
    "TestCaseId": "tc-xlate-message_deliveries-name",
    "TestKind": "formula-translates",
    "Subject": "MessageDeliveries.Name",
    "TargetTable": "MessageDeliveries",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MessageDeliveries.Name",
    "IsBlocking": true,
    "IsPassing": true,
    "IsFailing": false,
    "NeedsAttention": false,
    "PassingSuiteKey": "suite-substrate",
    "NeedsAttentionSuiteKey": null
   },
   {
    "TestCaseId": "tc-xlate-message_deliveries-policy_channel",
    "TestKind": "formula-translates",
    "Subject": "MessageDeliveries.PolicyChannel",
    "TargetTable": "MessageDeliveries",
    "TargetField": "PolicyChannel",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MessageDeliveries.PolicyChannel",
    "IsBlocking": true,
    "IsPassing": true,
    "IsFailing": false,
    "NeedsAttention": false,
    "PassingSuiteKey": "suite-substrate",
    "NeedsAttentionSuiteKey": null
   },
   {
    "TestCaseId": "tc-xlate-message_deliveries-channel_name",
    "TestKind": "formula-translates",
    "Subject": "MessageDeliveries.ChannelName",
    "TargetTable": "MessageDeliveries",
    "TargetField": "ChannelName",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MessageDeliveries.ChannelName",
    "IsBlocking": true,
    "IsPassing": true,
    "IsFailing": false,
    "NeedsAttention": false,
    "PassingSuiteKey": "suite-substrate",
    "NeedsAttentionSuiteKey": null
   },
   {
    "TestCaseId": "tc-xlate-message_deliveries-policy_requires_consent",
    "TestKind": "formula-translates",
    "Subject": "MessageDeliveries.PolicyRequiresConsent",
    "TargetTable": "MessageDeliveries",
    "TargetField": "PolicyRequiresConsent",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MessageDeliveries.PolicyRequiresConsent",
    "IsBlocking": true,
    "IsPassing": true,
    "IsFailing": false,
    "NeedsAttention": false,
    "PassingSuiteKey": "suite-substrate",
    "NeedsAttentionSuiteKey": null
   },
   {
    "TestCaseId": "tc-xlate-message_deliveries-recipient_has_sms_consent",
    "TestKind": "formula-translates",
    "Subject": "MessageDeliveries.RecipientHasSmsConsent",
    "TargetTable": "MessageDeliveries",
    "TargetField": "RecipientHasSmsConsent",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MessageDeliveries.RecipientHasSmsConsent",
    "IsBlocking": true,
    "IsPassing": true,
    "IsFailing": false,
    "NeedsAttention": false,
    "PassingSuiteKey": "suite-substrate",
    "NeedsAttentionSuiteKey": null
   },
   {
    "TestCaseId": "tc-xlate-message_deliveries-was_actually_transmitted",
    "TestKind": "formula-translates",
    "Subject": "MessageDeliveries.WasActuallyTransmitted",
    "TargetTable": "MessageDeliveries",
    "TargetField": "WasActuallyTransmitted",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MessageDeliveries.WasActuallyTransmitted",
    "IsBlocking": true,
    "IsPassing": true,
    "IsFailing": false,
    "NeedsAttention": false,
    "PassingSuiteKey": "suite-substrate",
    "NeedsAttentionSuiteKey": null
   },
   {
    "TestCaseId": "tc-xlate-message_deliveries-is_consent_violation",
    "TestKind": "formula-translates",
    "Subject": "MessageDeliveries.IsConsentViolation",
    "TargetTable": "MessageDeliveries",
    "TargetField": "IsConsentViolation",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MessageDeliveries.IsConsentViolation",
    "IsBlocking": true,
    "IsPassing": true,
    "IsFailing": false,
    "NeedsAttention": false,
    "PassingSuiteKey": "suite-substrate",
    "NeedsAttentionSuiteKey": null
   },
   {
    "TestCaseId": "tc-xlate-message_deliveries-consent_violation_policy_key",
    "TestKind": "formula-translates",
    "Subject": "MessageDeliveries.ConsentViolationPolicyKey",
    "TargetTable": "MessageDeliveries",
    "TargetField": "ConsentViolationPolicyKey",
    "Assertion": "The transpiler emitted a real SQL function for this formula rather than a NULL stub.",
    "DefendsQuestion": "q-counsel-sms-without-consent",
    "Suite": "suite-substrate",
    "Severity": "blocking",
    "LastOutcome": "PASS",
    "LastDetail": "translated",
    "LastRunAt": "2026-07-20T03:06:49+00:00",
    "SemanticTypeIri": "urn:effortless:pko-extension#TestCase",
    "Name": "formula-translates: MessageDeliveries.ConsentViolationPolicyKey",
    "IsBlocking": true,
    "IsPassing": true,
    "IsFailing": false,
    "NeedsAttention": false,
    "PassingSuiteKey": "suite-substrate",
    "NeedsAttentionSuiteKey": null
   },
   {
    "TestCaseId": "tc-xlate-message_deliveries-policy_quiet_hours_start_hour",
    "TestKind": "formula-translates",
    "Subject": "MessageDeliveries.PolicyQuietHoursStartHour",
    "TargetTable": "MessageDeliveries",
    "TargetField": "PolicyQuietHoursStartHour",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MessageDeliveries.PolicyQuietHoursStartHour",
    "IsBlocking": true,
    "IsPassing": true,
    "IsFailing": false,
    "NeedsAttention": false,
    "PassingSuiteKey": "suite-substrate",
    "NeedsAttentionSuiteKey": null
   },
   {
    "TestCaseId": "tc-xlate-message_deliveries-policy_quiet_hours_end_hour",
    "TestKind": "formula-translates",
    "Subject": "MessageDeliveries.PolicyQuietHoursEndHour",
    "TargetTable": "MessageDeliveries",
    "TargetField": "PolicyQuietHoursEndHour",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MessageDeliveries.PolicyQuietHoursEndHour",
    "IsBlocking": true,
    "IsPassing": true,
    "IsFailing": false,
    "NeedsAttention": false,
    "PassingSuiteKey": "suite-substrate",
    "NeedsAttentionSuiteKey": null
   },
   {
    "TestCaseId": "tc-xlate-message_deliveries-policy_has_quiet_hours",
    "TestKind": "formula-translates",
    "Subject": "MessageDeliveries.PolicyHasQuietHours",
    "TargetTable": "MessageDeliveries",
    "TargetField": "PolicyHasQuietHours",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MessageDeliveries.PolicyHasQuietHours",
    "IsBlocking": true,
    "IsPassing": true,
    "IsFailing": false,
    "NeedsAttention": false,
    "PassingSuiteKey": "suite-substrate",
    "NeedsAttentionSuiteKey": null
   },
   {
    "TestCaseId": "tc-xlate-message_deliveries-quiet_window_wraps_midnight",
    "TestKind": "formula-translates",
    "Subject": "MessageDeliveries.QuietWindowWrapsMidnight",
    "TargetTable": "MessageDeliveries",
    "TargetField": "QuietWindowWrapsMidnight",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MessageDeliveries.QuietWindowWrapsMidnight",
    "IsBlocking": true,
    "IsPassing": true,
    "IsFailing": false,
    "NeedsAttention": false,
    "PassingSuiteKey": "suite-substrate",
    "NeedsAttentionSuiteKey": null
   },
   {
    "TestCaseId": "tc-xlate-message_deliveries-is_inside_quiet_window",
    "TestKind": "formula-translates",
    "Subject": "MessageDeliveries.IsInsideQuietWindow",
    "TargetTable": "MessageDeliveries",
    "TargetField": "IsInsideQuietWindow",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MessageDeliveries.IsInsideQuietWindow",
    "IsBlocking": true,
    "IsPassing": true,
    "IsFailing": false,
    "NeedsAttention": false,
    "PassingSuiteKey": "suite-substrate",
    "NeedsAttentionSuiteKey": null
   },
   {
    "TestCaseId": "tc-xlate-message_deliveries-is_quiet_hours_violation",
    "TestKind": "formula-translates",
    "Subject": "MessageDeliveries.IsQuietHoursViolation",
    "TargetTable": "MessageDeliveries",
    "TargetField": "IsQuietHoursViolation",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MessageDeliveries.IsQuietHoursViolation",
    "IsBlocking": true,
    "IsPassing": true,
    "IsFailing": false,
    "NeedsAttention": false,
    "PassingSuiteKey": "suite-substrate",
    "NeedsAttentionSuiteKey": null
   },
   {
    "TestCaseId": "tc-xlate-message_deliveries-quiet_hours_violation_policy_key",
    "TestKind": "formula-translates",
    "Subject": "MessageDeliveries.QuietHoursViolationPolicyKey",
    "TargetTable": "MessageDeliveries",
    "TargetField": "QuietHoursViolationPolicyKey",
    "Assertion": "The transpiler emitted a real SQL function for this formula rather than a NULL stub.",
    "DefendsQuestion": "q-counsel-quiet-hours-breach",
    "Suite": "suite-substrate",
    "Severity": "blocking",
    "LastOutcome": "PASS",
    "LastDetail": "translated",
    "LastRunAt": "2026-07-20T03:06:49+00:00",
    "SemanticTypeIri": "urn:effortless:pko-extension#TestCase",
    "Name": "formula-translates: MessageDeliveries.QuietHoursViolationPolicyKey",
    "IsBlocking": true,
    "IsPassing": true,
    "IsFailing": false,
    "NeedsAttention": false,
    "PassingSuiteKey": "suite-substrate",
    "NeedsAttentionSuiteKey": null
   },
   {
    "TestCaseId": "tc-xlate-message_deliveries-recipient_is_unreachable",
    "TestKind": "formula-translates",
    "Subject": "MessageDeliveries.RecipientIsUnreachable",
    "TargetTable": "MessageDeliveries",
    "TargetField": "RecipientIsUnreachable",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MessageDeliveries.RecipientIsUnreachable",
    "IsBlocking": true,
    "IsPassing": true,
    "IsFailing": false,
    "Needs</t>
  </si>
  <si>
    <t xml:space="preserve">Attention": false,
    "PassingSuiteKey": "suite-substrate",
    "NeedsAttentionSuiteKey": null
   },
   {
    "TestCaseId": "tc-xlate-message_deliveries-is_acknowledged",
    "TestKind": "formula-translates",
    "Subject": "MessageDeliveries.IsAcknowledged",
    "TargetTable": "MessageDeliveries",
    "TargetField": "IsAcknowledged",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MessageDeliveries.IsAcknowledged",
    "IsBlocking": true,
    "IsPassing": true,
    "IsFailing": false,
    "NeedsAttention": false,
    "PassingSuiteKey": "suite-substrate",
    "NeedsAttentionSuiteKey": null
   },
   {
    "TestCaseId": "tc-xlate-message_deliveries-invoked_exception_condition",
    "TestKind": "formula-translates",
    "Subject": "MessageDeliveries.InvokedExceptionCondition",
    "TargetTable": "MessageDeliveries",
    "TargetField": "InvokedExceptionCondition",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MessageDeliveries.InvokedExceptionCondition",
    "IsBlocking": true,
    "IsPassing": true,
    "IsFailing": false,
    "NeedsAttention": false,
    "PassingSuiteKey": "suite-substrate",
    "NeedsAttentionSuiteKey": null
   },
   {
    "TestCaseId": "tc-xlate-message_deliveries-has_unreachable_exception_invoked",
    "TestKind": "formula-translates",
    "Subject": "MessageDeliveries.HasUnreachableExceptionInvoked",
    "TargetTable": "MessageDeliveries",
    "TargetField": "HasUnreachableExceptionInvoked",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MessageDeliveries.HasUnreachableExceptionInvoked",
    "IsBlocking": true,
    "IsPassing": true,
    "IsFailing": false,
    "NeedsAttention": false,
    "PassingSuiteKey": "suite-substrate",
    "NeedsAttentionSuiteKey": null
   },
   {
    "TestCaseId": "tc-xlate-message_deliveries-is_fabricated_acknowledgement",
    "TestKind": "formula-translates",
    "Subject": "MessageDeliveries.IsFabricatedAcknowledgement",
    "TargetTable": "MessageDeliveries",
    "TargetField": "IsFabricatedAcknowledgement",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MessageDeliveries.IsFabricatedAcknowledgement",
    "IsBlocking": true,
    "IsPassing": true,
    "IsFailing": false,
    "NeedsAttention": false,
    "PassingSuiteKey": "suite-substrate",
    "NeedsAttentionSuiteKey": null
   },
   {
    "TestCaseId": "tc-xlate-message_deliveries-is_unhandled_unreachable",
    "TestKind": "formula-translates",
    "Subject": "MessageDeliveries.IsUnhandledUnreachable",
    "TargetTable": "MessageDeliveries",
    "TargetField": "IsUnhandledUnreachable",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MessageDeliveries.IsUnhandledUnreachable",
    "IsBlocking": true,
    "IsPassing": true,
    "IsFailing": false,
    "NeedsAttention": false,
    "PassingSuiteKey": "suite-substrate",
    "NeedsAttentionSuiteKey": null
   },
   {
    "TestCaseId": "tc-xlate-message_deliveries-unreachable_failure_key",
    "TestKind": "formula-translates",
    "Subject": "MessageDeliveries.UnreachableFailureKey",
    "TargetTable": "MessageDeliveries",
    "TargetField": "UnreachableFailureKey",
    "Assertion": "The transpiler emitted a real SQL function for this formula rather than a NULL stub.",
    "DefendsQuestion": "q-counsel-unreachable-not-acknowledged",
    "Suite": "suite-substrate",
    "Severity": "blocking",
    "LastOutcome": "PASS",
    "LastDetail": "translated",
    "LastRunAt": "2026-07-20T03:06:49+00:00",
    "SemanticTypeIri": "urn:effortless:pko-extension#TestCase",
    "Name": "formula-translates: MessageDeliveries.UnreachableFailureKey",
    "IsBlocking": true,
    "IsPassing": true,
    "IsFailing": false,
    "NeedsAttention": false,
    "PassingSuiteKey": "suite-substrate",
    "NeedsAttentionSuiteKey": null
   },
   {
    "TestCaseId": "tc-xlate-message_deliveries-policy_retention_days",
    "TestKind": "formula-translates",
    "Subject": "MessageDeliveries.PolicyRetentionDays",
    "TargetTable": "MessageDeliveries",
    "TargetField": "PolicyRetentionDays",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MessageDeliveries.PolicyRetentionDays",
    "IsBlocking": true,
    "IsPassing": true,
    "IsFailing": false,
    "NeedsAttention": false,
    "PassingSuiteKey": "suite-substrate",
    "NeedsAttentionSuiteKey": null
   },
   {
    "TestCaseId": "tc-xlate-message_deliveries-as_of_instant",
    "TestKind": "formula-translates",
    "Subject": "MessageDeliveries.AsOfInstant",
    "TargetTable": "MessageDeliveries",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MessageDeliveries.AsOfInstant",
    "IsBlocking": true,
    "IsPassing": true,
    "IsFailing": false,
    "NeedsAttention": false,
    "PassingSuiteKey": "suite-substrate",
    "NeedsAttentionSuiteKey": null
   },
   {
    "TestCaseId": "tc-xlate-message_deliveries-age_days",
    "TestKind": "formula-translates",
    "Subject": "MessageDeliveries.AgeDays",
    "TargetTable": "MessageDeliveries",
    "TargetField": "AgeDays",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MessageDeliveries.AgeDays",
    "IsBlocking": true,
    "IsPassing": true,
    "IsFailing": false,
    "NeedsAttention": false,
    "PassingSuiteKey": "suite-substrate",
    "NeedsAttentionSuiteKey": null
   },
   {
    "TestCaseId": "tc-xlate-message_deliveries-is_within_retention_window",
    "TestKind": "formula-translates",
    "Subject": "MessageDeliveries.IsWithinRetentionWindow",
    "TargetTable": "MessageDeliveries",
    "TargetField": "IsWithinRetentionWindow",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MessageDeliveries.IsWithinRetentionWindow",
    "IsBlocking": true,
    "IsPassing": true,
    "IsFailing": false,
    "NeedsAttention": false,
    "PassingSuiteKey": "suite-substrate",
    "NeedsAttentionSuiteKey": null
   },
   {
    "TestCaseId": "tc-xlate-message_deliveries-has_rendered_body",
    "TestKind": "formula-translates",
    "Subject": "MessageDeliveries.HasRenderedBody",
    "TargetTable": "MessageDeliveries",
    "TargetField": "HasRenderedBody",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MessageDeliveries.HasRenderedBody",
    "IsBlocking": true,
    "IsPassing": true,
    "IsFailing": false,
    "NeedsAttention": false,
    "PassingSuiteKey": "suite-substrate",
    "NeedsAttentionSuiteKey": null
   },
   {
    "TestCaseId": "tc-xlate-message_deliveries-is_evidence_required",
    "TestKind": "formula-translates",
    "Subject": "MessageDeliveries.IsEvidenceRequired",
    "TargetTable": "MessageDeliveries",
    "TargetField": "IsEvidenceRequired",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MessageDeliveries.IsEvidenceRequired",
    "IsBlocking": true,
    "IsPassing": true,
    "IsFailing": false,
    "NeedsAttention": false,
    "PassingSuiteKey": "suite-substrate",
    "NeedsAttentionSuiteKey": null
   },
   {
    "TestCaseId": "tc-xlate-message_deliveries-is_retention_breach",
    "TestKind": "formula-translates",
    "Subject": "MessageDeliveries.IsRetentionBreach",
    "TargetTable": "MessageDeliveries",
    "TargetField": "IsRetentionBreach",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MessageDeliveries.IsRetentionBreach",
    "IsBlocking": true,
    "IsPassing": true,
    "IsFailing": false,
    "NeedsAttention": false,
    "PassingSuiteKey": "suite-substrate",
    "NeedsAttentionSuiteKey": null
   },
   {
    "TestCaseId": "tc-xlate-message_deliveries-retention_breach_execution_key",
    "TestKind": "formula-translates",
    "Subject": "MessageDeliveries.RetentionBreachExecutionKey",
    "TargetTable": "MessageDeliveries",
    "TargetField": "RetentionBreachExecutionKey",
    "Assertion": "The transpiler emitted a real SQL function for this formula rather than a NULL stub.",
    "DefendsQuestion": "q-counsel-retention-evidence",
    "Suite": "suite-substrate",
    "Severity": "blocking",
    "LastOutcome": "PASS",
    "LastDetail": "translated",
    "LastRunAt": "2026-07-20T03:06:49+00:00",
    "SemanticTypeIri": "urn:effortless:pko-extension#TestCase",
    "Name": "formula-translates: MessageDeliveries.RetentionBreachExecutionKey",
    "IsBlocking": true,
    "IsPassing": true,
    "IsFailing": false,
    "NeedsAttention": false,
    "PassingSuiteKey": "suite-substrate",
    "NeedsAttentionSuiteKey": null
   },
   {
    "TestCaseId": "tc-xlate-message_deliveries-sending_step_execution_step",
    "TestKind": "formula-translates",
    "Subject": "MessageDeliveries.SendingStepExecutionStep",
    "TargetTable": "MessageDeliveries",
    "TargetField": "SendingStepExecutionStep",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MessageDeliveries.SendingStepExecutionStep",
    "IsBlocking": true,
    "IsPassing": true,
    "IsFailing": false,
    "NeedsAttention": false,
    "PassingSuiteKey": "suite-substrate",
    "NeedsAttentionSuiteKey": null
   },
   {
    "TestCaseId": "tc-xlate-message_deliveries-execution_has_cleared_legal_review",
    "TestKind": "formula-translates",
    "Subject": "MessageDeliveries.ExecutionHasClearedLegalReview",
    "TargetTable": "MessageDeliveries",
    "TargetField": "ExecutionHasClearedLegalReview",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MessageDeliveries.ExecutionHasClearedLegalReview",
    "IsBlocking": true,
    "IsPassing": true,
    "IsFailing": false,
    "NeedsAttention": false,
    "PassingSuiteKey": "suite-substrate",
    "NeedsAttentionSuiteKey": null
   },
   {
    "TestCaseId": "tc-xlate-message_deliveries-is_unreviewed_send",
    "TestKind": "formula-translates",
    "Subject": "MessageDeliveries.IsUnreviewedSend",
    "TargetTable": "MessageDeliveries",
    "TargetField": "IsUnreviewedSend",
    "Assertion": "The transpiler emitted a real SQL function for this formula rather than a NULL stub.",
    "DefendsQuestion": "q-counsel-legal-review-gated-send",
    "Suite": "suite-substrate",
    "Severity": "blocking",
    "LastOutcome": "PASS",
    "LastDetail": "translated",
    "LastRunAt": "2026-07-20T03:06:49+00:00",
    "SemanticTypeIri": "urn:effortless:pko-extension#TestCase",
    "Name": "formula-translates: MessageDeliveries.IsUnreviewedSend",
    "IsBlocking": true,
    "IsPassing": true,
    "IsFailing": false,
    "NeedsAttention": false,
    "PassingSuiteKey": "suite-substrate",
    "NeedsAttentionSuiteKey": null
   },
   {
    "TestCaseId": "tc-xlate-message_deliveries-rendered_body_length",
    "TestKind": "formula-translates",
    "Subject": "MessageDeliveries.RenderedBodyLength",
    "TargetTable": "MessageDeliveries",
    "TargetField": "RenderedBodyLength",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MessageDeliveries.RenderedBodyLength",
    "IsBlocking": true,
    "IsPassing": true,
    "IsFailing": false,
    "NeedsAttention": false,
    "PassingSuiteKey": "suite-substrate",
    "NeedsAttentionSuiteKey": null
   },
   {
    "TestCaseId": "tc-xlate-message_deliveries-policy_max_message_length_at_send",
    "TestKind": "formula-translates",
    "Subject": "MessageDeliveries.PolicyMaxMessageLengthAtSend",
    "TargetTable": "MessageDeliveries",
    "TargetField": "PolicyMaxMessageLengthAtSend",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MessageDeliveries.PolicyMaxMessageLengthAtSend",
    "IsBlocking": true,
    "IsPassing": true,
    "IsFailing": false,
    "NeedsAttention": false,
    "PassingSuiteKey": "suite-substrate",
    "NeedsAttentionSuiteKey": null
   },
   {
    "TestCaseId": "tc-xlate-message_deliveries-segment_count",
    "TestKind": "formula-translates",
    "Subject": "MessageDeliveries.SegmentCount",
    "TargetTable": "MessageDeliveries",
    "TargetField": "SegmentCount",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MessageDeliveries.SegmentCount",
    "IsBlocking": true,
    "IsPassing": true,
    "IsFailing": false,
    "NeedsAttention": false,
    "PassingSuiteKey": "suite-substrate",
    "NeedsAttentionSuiteKey": null
   },
   {
    "TestCaseId": "tc-xlate-message_deliveries-policy_max_segments_at_send",
    "TestKind": "formula-translates",
    "Subject": "MessageDeliveries.PolicyMaxSegmentsAtSend",
    "TargetTable": "MessageDeliveries",
    "TargetField": "PolicyMaxSegmentsAtSend",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MessageDeliveries.PolicyMaxSegmentsAtSend",
    "IsBlocking": true,
    "IsPassing": true,
    "IsFailing": false,
    "NeedsAttention": false,
    "PassingSuiteKey": "suite-substrate",
    "NeedsAttentionSuiteKey": null
   },
   {
    "TestCaseId": "tc-xlate-message_deliveries-is_over_segment_limit",
    "TestKind": "formula-translates",
    "Subject": "MessageDeliveries.IsOverSegmentLimit",
    "TargetTable": "MessageDeliveries",
    "TargetField": "IsOverSegmentLimit",
    "Assertion": "The transpiler emitted a real SQL function for this formula rather than a NULL stub.",
    "DefendsQuestion": "q-comms-oversized-sms",
    "Suite": "suite-substrate",
    "Severity": "blocking",
    "LastOutcome": "PASS",
    "LastDetail": "translated",
    "LastRunAt": "2026-07-20T03:06:49+00:00",
    "SemanticTypeIri": "urn:effortless:pko-extension#TestCase",
    "Name": "formula-translates: MessageDeliveries.IsOverSegmentLimit",
    "IsBlocking": true,
    "IsPassing": true,
    "IsFailing": false,
    "NeedsAttention": false,
    "PassingSuiteKey": "suite-substrate",
    "NeedsAttentionSuiteKey": null
   },
   {
    "TestCaseId": "tc-xlate-message_deliveries-template_has_valid_approval",
    "TestKind": "formula-translates",
    "Subject": "MessageDeliveries.TemplateHasValidApproval",
    "TargetTable": "MessageDeliveries",
    "TargetField": "TemplateHasValidApproval",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MessageDeliveries.TemplateHasValidApproval",
    "IsBlocking": true,
    "IsPassing": true,
    "IsFailing": false,
    "NeedsAttention": false,
    "PassingSuiteKey": "suite-substrate",
    "NeedsAttentionSuiteKey": null
   },
   {
    "TestCaseId": "tc-xlate-message_deliveries-is_unapproved_send",
    "TestKind": "formula-translates",
    "Subject": "MessageDeliveries.IsUnapprovedSend",
    "TargetTable": "MessageDeliveries",
    "TargetField": "IsUnapprovedSend",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MessageDeliveries.IsUnapprovedSend",
    "IsBlocking": true,
    "IsPassing": true,
    "IsFailing": false,
    "NeedsAttention": false,
    "PassingSuiteKey": "suite-substrate",
    "NeedsAttentionSuiteKey": null
   },
   {
    "TestCaseId": "tc-xlate-message_deliveries-policy_required_opt_out_phrase",
    "TestKind": "formula-translates",
    "Subject": "MessageDeliveries.PolicyRequiredOptOutPhrase",
    "TargetTable": "MessageDeliveries",
    "TargetField": "PolicyRequiredOptOutPhrase",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MessageDeliveries.PolicyRequiredOptOutPhrase",
    "IsBlocking": true,
    "IsPassing": true,
    "IsFailing": false,
    "NeedsAttention": false,
    "PassingSuiteKey": "suite-substrate",
    "NeedsAttentionSuiteKey": null
   },
   {
    "TestCaseId": "tc-xlate-message_deliveries-policy_requires_opt_out",
    "TestKind": "formula-translates",
    "Subject": "MessageDeliveries.PolicyRequiresOptOut",
    "TargetTable": "MessageDeliveries",
    "TargetField": "PolicyRequiresOptOut",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MessageDeliveries.PolicyRequiresOptOut",
    "IsBlocking": true,
    "IsPassing": true,
    "IsFailing": false,
    "NeedsAttention": false,
    "PassingSuiteKey": "suite-substrate",
    "NeedsAttentionSuiteKey": null
   },
   {
    "TestCaseId": "tc-xlate-message_deliveries-opt_out_phrase_position",
    "TestKind": "formula-translates",
    "Subject": "MessageDeliveries.OptOutPhrasePosition",
    "TargetTable": "MessageDeliveries",
    "TargetField": "OptOutPhrasePosition",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MessageDeliveries.OptOutPhrasePosition",
    "IsBlocking": true,
    "IsPassing": true,
    "IsFailing": false,
    "NeedsAttention": false,
    "PassingSuiteKey": "suite-substrate",
    "NeedsAttentionSuiteKey": null
   },
   {
    "TestCaseId": "tc-xlate-message_deliveries-has_opt_out_phrase",
    "TestKind": "formula-translates",
    "Subject": "MessageDeliveries.HasOptOutPhrase",
    "TargetTable": "MessageDeliveries",
    "TargetField": "HasOptOutPhrase",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MessageDeliveries.HasOptOutPhrase",
    "IsBlocking": true,
    "IsPassing": true,
    "IsFailing": false,
    "NeedsAttention": false,
    "PassingSuiteKey": "suite-substrate",
    "NeedsAttentionSuiteKey": null
   },
   {
    "TestCaseId": "tc-xlate-message_deliveries-is_opt_out_in_first_segment",
    "TestKind": "formula-translates",
    "Subject": "MessageDeliveries.IsOptOutInFirstSegment",
    "TargetTable": "MessageDeliveries",
    "TargetField": "IsOptOutInFirstSegment",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MessageDeliveries.IsOptOutInFirstSegment",
    "IsBlocking": true,
    "IsPassing": true,
    "IsFailing": false,
    "NeedsAttention": false,
    "PassingSuiteKey": "suite-substrate",
    "NeedsAttentionSuiteKey": null
   },
   {
    "TestCaseId": "tc-xlate-message_deliveries-is_missing_required_opt_out",
    "TestKind": "formula-translates",
    "Subject": "MessageDeliveries.IsMissingRequiredOptOut",
    "TargetTable": "MessageDeliveries",
    "TargetField": "IsMissingRequiredOptOut",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MessageDeliveries.IsMissingRequiredOptOut",
    "IsBlocking": true,
    "IsPassing": true,
    "IsFailing": false,
    "NeedsAttention": false,
    "PassingSuiteKey": "suite-substrate",
    "NeedsAttentionSuiteKey": null
   },
   {
    "TestCaseId": "tc-xlate-message_deliveries-is_opt_out_at_risk_of_truncation",
    "TestKind": "formula-translates",
    "Subject": "MessageDeliveries.IsOptOutAtRiskOfTruncation",
    "TargetTable": "MessageDeliveries",
    "TargetField": "IsOptOutAtRiskOfTruncation",
    "Assertion": "The transpiler emitted a real SQL function for this formula rather than a NULL stub.",
    "DefendsQuestion": "q-comms-optout-present",
    "Suite": "suite-substrate",
    "Severity": "blocking",
    "LastOutcome": "PASS",
    "LastDetail": "translated",
    "LastRunAt": "2026-07-20T03:06:49+00:00",
    "SemanticTypeIri": "urn:effortless:pko-extension#TestCase",
    "Name": "formula-translates: MessageDeliveries.IsOptOutAtRiskOfTruncation",
    "IsBlocking": true,
    "IsPassing": true,
    "IsFailing": false,
    "NeedsAttention": false,
    "PassingSuiteKey": "suite-substrate",
    "NeedsAttentionSuiteKey": null
   },
   {
    "TestCaseId": "tc-xlate-message_deliveries-is_failed_delivery",
    "TestKind": "formula-translates",
    "Subject": "MessageDeliveries.IsFailedDelivery",
    "TargetTable": "MessageDeliveries",
    "TargetField": "IsFailedDelivery",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MessageDeliveries.IsFailedDelivery",
    "IsBlocking": true,
    "IsPassing": true,
    "IsFailing": false,
    "NeedsAttention": false,
    "PassingSuiteKey": "suite-substrate",
    "NeedsAttentionSuiteKey": null
   },
   {
    "TestCaseId": "tc-xlate-message_deliveries-is_suppressed",
    "TestKind": "formula-translates",
    "Subject": "MessageDeliveries.IsSuppressed",
    "TargetTable": "MessageDeliveries",
    "TargetField": "IsSuppressed",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MessageDeliveries.IsSuppressed",
    "IsBlocking": true,
    "IsPassing": true,
    "IsFailing": false,
    "NeedsAttention": false,
    "PassingSuiteKey": "suite-substrate",
    "NeedsAttentionSuiteKey": null
   },
   {
    "TestCaseId": "tc-xlate-message_deliveries-is_triaged",
    "TestKind": "formula-translates",
    "Subject": "MessageDeliveries.IsTriaged",
    "TargetTable": "MessageDeliveries",
    "TargetField": "IsTriaged",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MessageDeliveries.IsTriaged",
    "IsBlocking": true,
    "IsPassing": true,
    "IsFailing": false,
    "NeedsAttention": false,
    "PassingSuiteKey": "suite-substrate",
    "NeedsAttentionSuiteKey": null
   },
   {
    "TestCaseId": "tc-xlate-message_deliveries-is_abandoned_failure",
    "TestKind": "formula-translates",
    "Subject": "MessageDeliveries.IsAbandonedFailure",
    "TargetTable": "MessageDeliveries",
    "TargetField": "IsAbandonedFailure",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MessageDeliveries.IsAbandonedFailure",
    "IsBlocking": true,
    "IsPassing": true,
    "IsFailing": false,
    "NeedsAttention": false,
    "PassingSuiteKey": "suite-substrate",
    "NeedsAttentionSuiteKey": null
   },
   {
    "TestCaseId": "tc-xlate-message_deliveries-abandoned_failure_execution_key",
    "TestKind": "formula-translates",
    "Subject": "MessageDeliveries.AbandonedFailureExecutionKey",
    "TargetTable": "MessageDeliveries",
    "TargetField": "AbandonedFailureExecutionKey",
    "Assertion":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MessageDeliveries.AbandonedFailureExecutionKey",
    "IsBlocking": true,
    "IsPassing": true,
    "IsFailing": false,
    "NeedsAttention": false,
    "PassingSuiteKey": "suite-substrate",
    "NeedsAttentionSuiteKey": null
   },
   {
    "TestCaseId": "tc-xlate-message_deliveries-reached_execution_key",
    "TestKind": "formula-translates",
    "Subject": "MessageDeliveries.ReachedExecutionKey",
    "TargetTable": "MessageDeliveries",
    "TargetField": "ReachedExecutionKey",
    "Assertion":</t>
  </si>
  <si>
    <t xml:space="preserve"> "The transpiler emitted a real SQL function for this formula rather than a NULL stub.",
    "DefendsQuestion": "q-comms-deliverability",
    "Suite": "suite-substrate",
    "Severity": "blocking",
    "LastOutcome": "PASS",
    "LastDetail": "translated",
    "LastRunAt": "2026-07-20T03:06:49+00:00",
    "SemanticTypeIri": "urn:effortless:pko-extension#TestCase",
    "Name": "formula-translates: MessageDeliveries.ReachedExecutionKey",
    "IsBlocking": true,
    "IsPassing": true,
    "IsFailing": false,
    "NeedsAttention": false,
    "PassingSuiteKey": "suite-substrate",
    "NeedsAttentionSuiteKey": null
   },
   {
    "TestCaseId": "tc-xlate-message_deliveries-template_was_sendable",
    "TestKind": "formula-translates",
    "Subject": "MessageDeliveries.TemplateWasSendable",
    "TargetTable": "MessageDeliveries",
    "TargetField": "TemplateWasSendable",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MessageDeliveries.TemplateWasSendable",
    "IsBlocking": true,
    "IsPassing": true,
    "IsFailing": false,
    "NeedsAttention": false,
    "PassingSuiteKey": "suite-substrate",
    "NeedsAttentionSuiteKey": null
   },
   {
    "TestCaseId": "tc-xlate-message_deliveries-is_drifted_send",
    "TestKind": "formula-translates",
    "Subject": "MessageDeliveries.IsDriftedSend",
    "TargetTable": "MessageDeliveries",
    "TargetField": "IsDriftedSend",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MessageDeliveries.IsDriftedSend",
    "IsBlocking": true,
    "IsPassing": true,
    "IsFailing": false,
    "NeedsAttention": false,
    "PassingSuiteKey": "suite-substrate",
    "NeedsAttentionSuiteKey": null
   },
   {
    "TestCaseId": "tc-xlate-message_deliveries-drifted_send_template_key",
    "TestKind": "formula-translates",
    "Subject": "MessageDeliveries.DriftedSendTemplateKey",
    "TargetTable": "MessageDeliveries",
    "TargetField": "DriftedSendTemplateKey",
    "Assertion": "The transpiler emitted a real SQL function for this formula rather than a NULL stub.",
    "DefendsQuestion": "q-comms-template-drift",
    "Suite": "suite-substrate",
    "Severity": "blocking",
    "LastOutcome": "PASS",
    "LastDetail": "translated",
    "LastRunAt": "2026-07-20T03:06:49+00:00",
    "SemanticTypeIri": "urn:effortless:pko-extension#TestCase",
    "Name": "formula-translates: MessageDeliveries.DriftedSendTemplateKey",
    "IsBlocking": true,
    "IsPassing": true,
    "IsFailing": false,
    "NeedsAttention": false,
    "PassingSuiteKey": "suite-substrate",
    "NeedsAttentionSuiteKey": null
   },
   {
    "TestCaseId": "tc-xlate-message_deliveries-was_sent_outside_business_hours",
    "TestKind": "formula-translates",
    "Subject": "MessageDeliveries.WasSentOutsideBusinessHours",
    "TargetTable": "MessageDeliveries",
    "TargetField": "WasSentOutsideBusinessHours",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MessageDeliveries.WasSentOutsideBusinessHours",
    "IsBlocking": true,
    "IsPassing": true,
    "IsFailing": false,
    "NeedsAttention": false,
    "PassingSuiteKey": "suite-substrate",
    "NeedsAttentionSuiteKey": null
   },
   {
    "TestCaseId": "tc-xlate-message_deliveries-was_delivered_and_unanswered",
    "TestKind": "formula-translates",
    "Subject": "MessageDeliveries.WasDeliveredAndUnanswered",
    "TargetTable": "MessageDeliveries",
    "TargetField": "WasDeliveredAndUnanswered",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MessageDeliveries.WasDeliveredAndUnanswered",
    "IsBlocking": true,
    "IsPassing": true,
    "IsFailing": false,
    "NeedsAttention": false,
    "PassingSuiteKey": "suite-substrate",
    "NeedsAttentionSuiteKey": null
   },
   {
    "TestCaseId": "tc-xlate-message_deliveries-is_poorly_timed_unanswered",
    "TestKind": "formula-translates",
    "Subject": "MessageDeliveries.IsPoorlyTimedUnanswered",
    "TargetTable": "MessageDeliveries",
    "TargetField": "IsPoorlyTimedUnanswered",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MessageDeliveries.IsPoorlyTimedUnanswered",
    "IsBlocking": true,
    "IsPassing": true,
    "IsFailing": false,
    "NeedsAttention": false,
    "PassingSuiteKey": "suite-substrate",
    "NeedsAttentionSuiteKey": null
   },
   {
    "TestCaseId": "tc-xlate-message_deliveries-is_well_timed_unanswered",
    "TestKind": "formula-translates",
    "Subject": "MessageDeliveries.IsWellTimedUnanswered",
    "TargetTable": "MessageDeliveries",
    "TargetField": "IsWellTimedUnanswered",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MessageDeliveries.IsWellTimedUnanswered",
    "IsBlocking": true,
    "IsPassing": true,
    "IsFailing": false,
    "NeedsAttention": false,
    "PassingSuiteKey": "suite-substrate",
    "NeedsAttentionSuiteKey": null
   },
   {
    "TestCaseId": "tc-xlate-message_deliveries-unanswered_template_key",
    "TestKind": "formula-translates",
    "Subject": "MessageDeliveries.UnansweredTemplateKey",
    "TargetTable": "MessageDeliveries",
    "TargetField": "UnansweredTemplateKey",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MessageDeliveries.UnansweredTemplateKey",
    "IsBlocking": true,
    "IsPassing": true,
    "IsFailing": false,
    "NeedsAttention": false,
    "PassingSuiteKey": "suite-substrate",
    "NeedsAttentionSuiteKey": null
   },
   {
    "TestCaseId": "tc-xlate-message_deliveries-transmitted_template_key",
    "TestKind": "formula-translates",
    "Subject": "MessageDeliveries.TransmittedTemplateKey",
    "TargetTable": "MessageDeliveries",
    "TargetField": "TransmittedTemplateKey",
    "Assertion": "The transpiler emitted a real SQL function for this formula rather than a NULL stub.",
    "DefendsQuestion": "q2-comms-message-nobody-answered",
    "Suite": "suite-substrate",
    "Severity": "blocking",
    "LastOutcome": "PASS",
    "LastDetail": "translated",
    "LastRunAt": "2026-07-20T03:06:49+00:00",
    "SemanticTypeIri": "urn:effortless:pko-extension#TestCase",
    "Name": "formula-translates: MessageDeliveries.TransmittedTemplateKey",
    "IsBlocking": true,
    "IsPassing": true,
    "IsFailing": false,
    "NeedsAttention": false,
    "PassingSuiteKey": "suite-substrate",
    "NeedsAttentionSuiteKey": null
   },
   {
    "TestCaseId": "tc-xlate-message_deliveries-approval_preceded_send",
    "TestKind": "formula-translates",
    "Subject": "MessageDeliveries.ApprovalPrecededSend",
    "TargetTable": "MessageDeliveries",
    "TargetField": "ApprovalPrecededSend",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MessageDeliveries.ApprovalPrecededSend",
    "IsBlocking": true,
    "IsPassing": true,
    "IsFailing": false,
    "NeedsAttention": false,
    "PassingSuiteKey": "suite-substrate",
    "NeedsAttentionSuiteKey": null
   },
   {
    "TestCaseId": "tc-xlate-message_deliveries-has_frozen_approval_evidence",
    "TestKind": "formula-translates",
    "Subject": "MessageDeliveries.HasFrozenApprovalEvidence",
    "TargetTable": "MessageDeliveries",
    "TargetField": "HasFrozenApprovalEvidence",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MessageDeliveries.HasFrozenApprovalEvidence",
    "IsBlocking": true,
    "IsPassing": true,
    "IsFailing": false,
    "NeedsAttention": false,
    "PassingSuiteKey": "suite-substrate",
    "NeedsAttentionSuiteKey": null
   },
   {
    "TestCaseId": "tc-xlate-message_deliveries-provenance_is_live_derived",
    "TestKind": "formula-translates",
    "Subject": "MessageDeliveries.ProvenanceIsLiveDerived",
    "TargetTable": "MessageDeliveries",
    "TargetField": "ProvenanceIsLiveDerived",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MessageDeliveries.ProvenanceIsLiveDerived",
    "IsBlocking": true,
    "IsPassing": true,
    "IsFailing": false,
    "NeedsAttention": false,
    "PassingSuiteKey": "suite-substrate",
    "NeedsAttentionSuiteKey": null
   },
   {
    "TestCaseId": "tc-xlate-message_deliveries-current_last_approval_at",
    "TestKind": "formula-translates",
    "Subject": "MessageDeliveries.CurrentLastApprovalAt",
    "TargetTable": "MessageDeliveries",
    "TargetField": "CurrentLastApprovalAt",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MessageDeliveries.CurrentLastApprovalAt",
    "IsBlocking": true,
    "IsPassing": true,
    "IsFailing": false,
    "NeedsAttention": false,
    "PassingSuiteKey": "suite-substrate",
    "NeedsAttentionSuiteKey": null
   },
   {
    "TestCaseId": "tc-xlate-message_deliveries-template_reapproved_since_send",
    "TestKind": "formula-translates",
    "Subject": "MessageDeliveries.TemplateReapprovedSinceSend",
    "TargetTable": "MessageDeliveries",
    "TargetField": "TemplateReapprovedSinceSend",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MessageDeliveries.TemplateReapprovedSinceSend",
    "IsBlocking": true,
    "IsPassing": true,
    "IsFailing": false,
    "NeedsAttention": false,
    "PassingSuiteKey": "suite-substrate",
    "NeedsAttentionSuiteKey": null
   },
   {
    "TestCaseId": "tc-xlate-message_deliveries-is_unprovable_approval_claim",
    "TestKind": "formula-translates",
    "Subject": "MessageDeliveries.IsUnprovableApprovalClaim",
    "TargetTable": "MessageDeliveries",
    "TargetField": "IsUnprovableApprovalClaim",
    "Assertion": "The transpiler emitted a real SQL function for this formula rather than a NULL stub.",
    "DefendsQuestion": "q2-comms-freeze-what-i-approved",
    "Suite": "suite-substrate",
    "Severity": "blocking",
    "LastOutcome": "PASS",
    "LastDetail": "translated",
    "LastRunAt": "2026-07-20T03:06:49+00:00",
    "SemanticTypeIri": "urn:effortless:pko-extension#TestCase",
    "Name": "formula-translates: MessageDeliveries.IsUnprovableApprovalClaim",
    "IsBlocking": true,
    "IsPassing": true,
    "IsFailing": false,
    "NeedsAttention": false,
    "PassingSuiteKey": "suite-substrate",
    "NeedsAttentionSuiteKey": null
   },
   {
    "TestCaseId": "tc-xlate-message_deliveries-has_sent_reminder",
    "TestKind": "formula-translates",
    "Subject": "MessageDeliveries.HasSentReminder",
    "TargetTable": "MessageDeliveries",
    "TargetField": "HasSentReminder",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MessageDeliveries.HasSentReminder",
    "IsBlocking": true,
    "IsPassing": true,
    "IsFailing": false,
    "NeedsAttention": false,
    "PassingSuiteKey": "suite-substrate",
    "NeedsAttentionSuiteKey": null
   },
   {
    "TestCaseId": "tc-xlate-message_deliveries-acknowledgement_is_outstanding",
    "TestKind": "formula-translates",
    "Subject": "MessageDeliveries.AcknowledgementIsOutstanding",
    "TargetTable": "MessageDeliveries",
    "TargetField": "AcknowledgementIsOutstanding",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MessageDeliveries.AcknowledgementIsOutstanding",
    "IsBlocking": true,
    "IsPassing": true,
    "IsFailing": false,
    "NeedsAttention": false,
    "PassingSuiteKey": "suite-substrate",
    "NeedsAttentionSuiteKey": null
   },
   {
    "TestCaseId": "tc-xlate-message_deliveries-outstanding_age_days",
    "TestKind": "formula-translates",
    "Subject": "MessageDeliveries.OutstandingAgeDays",
    "TargetTable": "MessageDeliveries",
    "TargetField": "OutstandingAgeDays",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MessageDeliveries.OutstandingAgeDays",
    "IsBlocking": true,
    "IsPassing": true,
    "IsFailing": false,
    "NeedsAttention": false,
    "PassingSuiteKey": "suite-substrate",
    "NeedsAttentionSuiteKey": null
   },
   {
    "TestCaseId": "tc-xlate-message_deliveries-is_unchased_acknowledgement",
    "TestKind": "formula-translates",
    "Subject": "MessageDeliveries.IsUnchasedAcknowledgement",
    "TargetTable": "MessageDeliveries",
    "TargetField": "IsUnchasedAcknowledgement",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MessageDeliveries.IsUnchasedAcknowledgement",
    "IsBlocking": true,
    "IsPassing": true,
    "IsFailing": false,
    "NeedsAttention": false,
    "PassingSuiteKey": "suite-substrate",
    "NeedsAttentionSuiteKey": null
   },
   {
    "TestCaseId": "tc-xlate-message_deliveries-is_exhausted_follow_up",
    "TestKind": "formula-translates",
    "Subject": "MessageDeliveries.IsExhaustedFollowUp",
    "TargetTable": "MessageDeliveries",
    "TargetField": "IsExhaustedFollowUp",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MessageDeliveries.IsExhaustedFollowUp",
    "IsBlocking": true,
    "IsPassing": true,
    "IsFailing": false,
    "NeedsAttention": false,
    "PassingSuiteKey": "suite-substrate",
    "NeedsAttentionSuiteKey": null
   },
   {
    "TestCaseId": "tc-xlate-message_deliveries-needs_human_escalation",
    "TestKind": "formula-translates",
    "Subject": "MessageDeliveries.NeedsHumanEscalation",
    "TargetTable": "MessageDeliveries",
    "TargetField": "NeedsHumanEscalation",
    "Assertion": "The transpiler emitted a real SQL function for this formula rather than a NULL stub.",
    "DefendsQuestion": "q2-publisher-obligation-after-send",
    "Suite": "suite-substrate",
    "Severity": "blocking",
    "LastOutcome": "PASS",
    "LastDetail": "translated",
    "LastRunAt": "2026-07-20T03:06:49+00:00",
    "SemanticTypeIri": "urn:effortless:pko-extension#TestCase",
    "Name": "formula-translates: MessageDeliveries.NeedsHumanEscalation",
    "IsBlocking": true,
    "IsPassing": true,
    "IsFailing": false,
    "NeedsAttention": false,
    "PassingSuiteKey": "suite-substrate",
    "NeedsAttentionSuiteKey": null
   },
   {
    "TestCaseId": "tc-xlate-template_approvals-name",
    "TestKind": "formula-translates",
    "Subject": "TemplateApprovals.Name",
    "TargetTable": "TemplateApprovals",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TemplateApprovals.Name",
    "IsBlocking": true,
    "IsPassing": true,
    "IsFailing": false,
    "NeedsAttention": false,
    "PassingSuiteKey": "suite-substrate",
    "NeedsAttentionSuiteKey": null
   },
   {
    "TestCaseId": "tc-xlate-template_approvals-is_approval_decision",
    "TestKind": "formula-translates",
    "Subject": "TemplateApprovals.IsApprovalDecision",
    "TargetTable": "TemplateApprovals",
    "TargetField": "IsApprovalDecision",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TemplateApprovals.IsApprovalDecision",
    "IsBlocking": true,
    "IsPassing": true,
    "IsFailing": false,
    "NeedsAttention": false,
    "PassingSuiteKey": "suite-substrate",
    "NeedsAttentionSuiteKey": null
   },
   {
    "TestCaseId": "tc-xlate-template_approvals-template_policy",
    "TestKind": "formula-translates",
    "Subject": "TemplateApprovals.TemplatePolicy",
    "TargetTable": "TemplateApprovals",
    "TargetField": "TemplatePolicy",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TemplateApprovals.TemplatePolicy",
    "IsBlocking": true,
    "IsPassing": true,
    "IsFailing": false,
    "NeedsAttention": false,
    "PassingSuiteKey": "suite-substrate",
    "NeedsAttentionSuiteKey": null
   },
   {
    "TestCaseId": "tc-xlate-template_approvals-required_approval_role",
    "TestKind": "formula-translates",
    "Subject": "TemplateApprovals.RequiredApprovalRole",
    "TargetTable": "TemplateApprovals",
    "TargetField": "RequiredApprovalRole",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TemplateApprovals.RequiredApprovalRole",
    "IsBlocking": true,
    "IsPassing": true,
    "IsFailing": false,
    "NeedsAttention": false,
    "PassingSuiteKey": "suite-substrate",
    "NeedsAttentionSuiteKey": null
   },
   {
    "TestCaseId": "tc-xlate-template_approvals-is_decided_by_required_role",
    "TestKind": "formula-translates",
    "Subject": "TemplateApprovals.IsDecidedByRequiredRole",
    "TargetTable": "TemplateApprovals",
    "TargetField": "IsDecidedByRequiredRole",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TemplateApprovals.IsDecidedByRequiredRole",
    "IsBlocking": true,
    "IsPassing": true,
    "IsFailing": false,
    "NeedsAttention": false,
    "PassingSuiteKey": "suite-substrate",
    "NeedsAttentionSuiteKey": null
   },
   {
    "TestCaseId": "tc-xlate-template_approvals-valid_approval_template_key",
    "TestKind": "formula-translates",
    "Subject": "TemplateApprovals.ValidApprovalTemplateKey",
    "TargetTable": "TemplateApprovals",
    "TargetField": "ValidApprovalTemplateKey",
    "Assertion": "The transpiler emitted a real SQL function for this formula rather than a NULL stub.",
    "DefendsQuestion": "q-comms-approval-authority",
    "Suite": "suite-substrate",
    "Severity": "blocking",
    "LastOutcome": "PASS",
    "LastDetail": "translated",
    "LastRunAt": "2026-07-20T03:06:49+00:00",
    "SemanticTypeIri": "urn:effortless:pko-extension#TestCase",
    "Name": "formula-translates: TemplateApprovals.ValidApprovalTemplateKey",
    "IsBlocking": true,
    "IsPassing": true,
    "IsFailing": false,
    "NeedsAttention": false,
    "PassingSuiteKey": "suite-substrate",
    "NeedsAttentionSuiteKey": null
   },
   {
    "TestCaseId": "tc-xlate-send_intents-name",
    "TestKind": "formula-translates",
    "Subject": "SendIntents.Name",
    "TargetTable": "SendIntents",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SendIntents.Name",
    "IsBlocking": true,
    "IsPassing": true,
    "IsFailing": false,
    "NeedsAttention": false,
    "PassingSuiteKey": "suite-substrate",
    "NeedsAttentionSuiteKey": null
   },
   {
    "TestCaseId": "tc-xlate-send_intents-intent_policy",
    "TestKind": "formula-translates",
    "Subject": "SendIntents.IntentPolicy",
    "TargetTable": "SendIntents",
    "TargetField": "IntentPolicy",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SendIntents.IntentPolicy",
    "IsBlocking": true,
    "IsPassing": true,
    "IsFailing": false,
    "NeedsAttention": false,
    "PassingSuiteKey": "suite-substrate",
    "NeedsAttentionSuiteKey": null
   },
   {
    "TestCaseId": "tc-xlate-send_intents-intent_channel",
    "TestKind": "formula-translates",
    "Subject": "SendIntents.IntentChannel",
    "TargetTable": "SendIntents",
    "TargetField": "IntentChannel",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SendIntents.IntentChannel",
    "IsBlocking": true,
    "IsPassing": true,
    "IsFailing": false,
    "NeedsAttention": false,
    "PassingSuiteKey": "suite-substrate",
    "NeedsAttentionSuiteKey": null
   },
   {
    "TestCaseId": "tc-xlate-send_intents-policy_is_active",
    "TestKind": "formula-translates",
    "Subject": "SendIntents.PolicyIsActive",
    "TargetTable": "SendIntents",
    "TargetField": "PolicyIsActive",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SendIntents.PolicyIsActive",
    "IsBlocking": true,
    "IsPassing": true,
    "IsFailing": false,
    "NeedsAttention": false,
    "PassingSuiteKey": "suite-substrate",
    "NeedsAttentionSuiteKey": null
   },
   {
    "TestCaseId": "tc-xlate-send_intents-intent_requires_consent",
    "TestKind": "formula-translates",
    "Subject": "SendIntents.IntentRequiresConsent",
    "TargetTable": "SendIntents",
    "TargetField": "IntentRequiresConsent",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SendIntents.IntentRequiresConsent",
    "IsBlocking": true,
    "IsPassing": true,
    "IsFailing": false,
    "NeedsAttention": false,
    "PassingSuiteKey": "suite-substrate",
    "NeedsAttentionSuiteKey": null
   },
   {
    "TestCaseId": "tc-xlate-send_intents-recipient_has_channel_consent",
    "TestKind": "formula-translates",
    "Subject": "SendIntents.RecipientHasChannelConsent",
    "TargetTable": "SendIntents",
    "TargetField": "RecipientHasChannelConsent",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SendIntents.RecipientHasChannelConsent",
    "IsBlocking": true,
    "IsPassing": true,
    "IsFailing": false,
    "NeedsAttention": false,
    "PassingSuiteKey": "suite-substrate",
    "NeedsAttentionSuiteKey": null
   },
   {
    "TestCaseId": "tc-xlate-send_intents-consent_gate_passed",
    "TestKind": "formula-translates",
    "Subject": "SendIntents.ConsentGatePassed",
    "TargetTable": "SendIntents",
    "TargetField": "ConsentGatePassed",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SendIntents.ConsentGatePassed",
    "IsBlocking": true,
    "IsPassing": true,
    "IsFailing": false,
    "NeedsAttention": false,
    "PassingSuiteKey": "suite-substrate",
    "NeedsAttentionSuiteKey": null
   },
   {
    "TestCaseId": "tc-xlate-send_intents-recipient_is_sms_reachable",
    "TestKind": "formula-translates",
    "Subject": "SendIntents.RecipientIsSmsReachable",
    "TargetTable": "SendIntents",
    "TargetField": "RecipientIsSmsReachable",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SendIntents.RecipientIsSmsReachable",
    "IsBlocking": true,
    "IsPassing": true,
    "IsFailing": false,
    "NeedsAttention": false,
    "PassingSuiteKey": "suite-substrate",
    "NeedsAttentionSuiteKey": null
   },
   {
    "TestCaseId": "tc-xlate-send_intents-recipient_is_email_reachable",
    "TestKind": "formula-translates",
    "Subject": "SendIntents.RecipientIsEmailReachable",
    "TargetTable": "SendIntents",
    "TargetField": "RecipientIsEmailReachable",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SendIntents.RecipientIsEmailReachable",
    "IsBlocking": true,
    "IsPassing": true,
    "IsFailing": false,
    "NeedsAttention": false,
    "PassingSuiteKey": "su</t>
  </si>
  <si>
    <t xml:space="preserve">ite-substrate",
    "NeedsAttentionSuiteKey": null
   },
   {
    "TestCaseId": "tc-xlate-send_intents-reachability_gate_passed",
    "TestKind": "formula-translates",
    "Subject": "SendIntents.ReachabilityGatePassed",
    "TargetTable": "SendIntents",
    "TargetField": "ReachabilityGatePassed",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SendIntents.ReachabilityGatePassed",
    "IsBlocking": true,
    "IsPassing": true,
    "IsFailing": false,
    "NeedsAttention": false,
    "PassingSuiteKey": "suite-substrate",
    "NeedsAttentionSuiteKey": null
   },
   {
    "TestCaseId": "tc-xlate-send_intents-permission_gate_passed",
    "TestKind": "formula-translates",
    "Subject": "SendIntents.PermissionGatePassed",
    "TargetTable": "SendIntents",
    "TargetField": "PermissionGatePassed",
    "Assertion": "The transpiler emitted a real SQL function for this formula rather than a NULL stub.",
    "DefendsQuestion": "q-publisher-may-i-transmit",
    "Suite": "suite-substrate",
    "Severity": "blocking",
    "LastOutcome": "PASS",
    "LastDetail": "translated",
    "LastRunAt": "2026-07-20T03:06:49+00:00",
    "SemanticTypeIri": "urn:effortless:pko-extension#TestCase",
    "Name": "formula-translates: SendIntents.PermissionGatePassed",
    "IsBlocking": true,
    "IsPassing": true,
    "IsFailing": false,
    "NeedsAttention": false,
    "PassingSuiteKey": "suite-substrate",
    "NeedsAttentionSuiteKey": null
   },
   {
    "TestCaseId": "tc-xlate-send_intents-intent_quiet_start_hour",
    "TestKind": "formula-translates",
    "Subject": "SendIntents.IntentQuietStartHour",
    "TargetTable": "SendIntents",
    "TargetField": "IntentQuietStartHour",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SendIntents.IntentQuietStartHour",
    "IsBlocking": true,
    "IsPassing": true,
    "IsFailing": false,
    "NeedsAttention": false,
    "PassingSuiteKey": "suite-substrate",
    "NeedsAttentionSuiteKey": null
   },
   {
    "TestCaseId": "tc-xlate-send_intents-intent_quiet_end_hour",
    "TestKind": "formula-translates",
    "Subject": "SendIntents.IntentQuietEndHour",
    "TargetTable": "SendIntents",
    "TargetField": "IntentQuietEndHour",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SendIntents.IntentQuietEndHour",
    "IsBlocking": true,
    "IsPassing": true,
    "IsFailing": false,
    "NeedsAttention": false,
    "PassingSuiteKey": "suite-substrate",
    "NeedsAttentionSuiteKey": null
   },
   {
    "TestCaseId": "tc-xlate-send_intents-intent_policy_has_quiet_hours",
    "TestKind": "formula-translates",
    "Subject": "SendIntents.IntentPolicyHasQuietHours",
    "TargetTable": "SendIntents",
    "TargetField": "IntentPolicyHasQuietHours",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SendIntents.IntentPolicyHasQuietHours",
    "IsBlocking": true,
    "IsPassing": true,
    "IsFailing": false,
    "NeedsAttention": false,
    "PassingSuiteKey": "suite-substrate",
    "NeedsAttentionSuiteKey": null
   },
   {
    "TestCaseId": "tc-xlate-send_intents-intent_quiet_window_wraps",
    "TestKind": "formula-translates",
    "Subject": "SendIntents.IntentQuietWindowWraps",
    "TargetTable": "SendIntents",
    "TargetField": "IntentQuietWindowWraps",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SendIntents.IntentQuietWindowWraps",
    "IsBlocking": true,
    "IsPassing": true,
    "IsFailing": false,
    "NeedsAttention": false,
    "PassingSuiteKey": "suite-substrate",
    "NeedsAttentionSuiteKey": null
   },
   {
    "TestCaseId": "tc-xlate-send_intents-intent_is_inside_quiet_window",
    "TestKind": "formula-translates",
    "Subject": "SendIntents.IntentIsInsideQuietWindow",
    "TargetTable": "SendIntents",
    "TargetField": "IntentIsInsideQuietWindow",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SendIntents.IntentIsInsideQuietWindow",
    "IsBlocking": true,
    "IsPassing": true,
    "IsFailing": false,
    "NeedsAttention": false,
    "PassingSuiteKey": "suite-substrate",
    "NeedsAttentionSuiteKey": null
   },
   {
    "TestCaseId": "tc-xlate-send_intents-timing_gate_passed",
    "TestKind": "formula-translates",
    "Subject": "SendIntents.TimingGatePassed",
    "TargetTable": "SendIntents",
    "TargetField": "TimingGatePassed",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SendIntents.TimingGatePassed",
    "IsBlocking": true,
    "IsPassing": true,
    "IsFailing": false,
    "NeedsAttention": false,
    "PassingSuiteKey": "suite-substrate",
    "NeedsAttentionSuiteKey": null
   },
   {
    "TestCaseId": "tc-xlate-send_intents-hours_until_window_opens",
    "TestKind": "formula-translates",
    "Subject": "SendIntents.HoursUntilWindowOpens",
    "TargetTable": "SendIntents",
    "TargetField": "HoursUntilWindowOpens",
    "Assertion": "The transpiler emitted a real SQL function for this formula rather than a NULL stub.",
    "DefendsQuestion": "q-publisher-may-i-transmit-now",
    "Suite": "suite-substrate",
    "Severity": "blocking",
    "LastOutcome": "PASS",
    "LastDetail": "translated",
    "LastRunAt": "2026-07-20T03:06:49+00:00",
    "SemanticTypeIri": "urn:effortless:pko-extension#TestCase",
    "Name": "formula-translates: SendIntents.HoursUntilWindowOpens",
    "IsBlocking": true,
    "IsPassing": true,
    "IsFailing": false,
    "NeedsAttention": false,
    "PassingSuiteKey": "suite-substrate",
    "NeedsAttentionSuiteKey": null
   },
   {
    "TestCaseId": "tc-xlate-send_intents-intent_max_message_length",
    "TestKind": "formula-translates",
    "Subject": "SendIntents.IntentMaxMessageLength",
    "TargetTable": "SendIntents",
    "TargetField": "IntentMaxMessageLength",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SendIntents.IntentMaxMessageLength",
    "IsBlocking": true,
    "IsPassing": true,
    "IsFailing": false,
    "NeedsAttention": false,
    "PassingSuiteKey": "suite-substrate",
    "NeedsAttentionSuiteKey": null
   },
   {
    "TestCaseId": "tc-xlate-send_intents-intent_max_segments",
    "TestKind": "formula-translates",
    "Subject": "SendIntents.IntentMaxSegments",
    "TargetTable": "SendIntents",
    "TargetField": "IntentMaxSegments",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SendIntents.IntentMaxSegments",
    "IsBlocking": true,
    "IsPassing": true,
    "IsFailing": false,
    "NeedsAttention": false,
    "PassingSuiteKey": "suite-substrate",
    "NeedsAttentionSuiteKey": null
   },
   {
    "TestCaseId": "tc-xlate-send_intents-length_gate_passed",
    "TestKind": "formula-translates",
    "Subject": "SendIntents.LengthGatePassed",
    "TargetTable": "SendIntents",
    "TargetField": "LengthGatePassed",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SendIntents.LengthGatePassed",
    "IsBlocking": true,
    "IsPassing": true,
    "IsFailing": false,
    "NeedsAttention": false,
    "PassingSuiteKey": "suite-substrate",
    "NeedsAttentionSuiteKey": null
   },
   {
    "TestCaseId": "tc-xlate-send_intents-intent_required_opt_out_phrase",
    "TestKind": "formula-translates",
    "Subject": "SendIntents.IntentRequiredOptOutPhrase",
    "TargetTable": "SendIntents",
    "TargetField": "IntentRequiredOptOutPhrase",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SendIntents.IntentRequiredOptOutPhrase",
    "IsBlocking": true,
    "IsPassing": true,
    "IsFailing": false,
    "NeedsAttention": false,
    "PassingSuiteKey": "suite-substrate",
    "NeedsAttentionSuiteKey": null
   },
   {
    "TestCaseId": "tc-xlate-send_intents-opt_out_gate_passed",
    "TestKind": "formula-translates",
    "Subject": "SendIntents.OptOutGatePassed",
    "TargetTable": "SendIntents",
    "TargetField": "OptOutGatePassed",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SendIntents.OptOutGatePassed",
    "IsBlocking": true,
    "IsPassing": true,
    "IsFailing": false,
    "NeedsAttention": false,
    "PassingSuiteKey": "suite-substrate",
    "NeedsAttentionSuiteKey": null
   },
   {
    "TestCaseId": "tc-xlate-send_intents-content_gate_passed",
    "TestKind": "formula-translates",
    "Subject": "SendIntents.ContentGatePassed",
    "TargetTable": "SendIntents",
    "TargetField": "ContentGatePassed",
    "Assertion": "The transpiler emitted a real SQL function for this formula rather than a NULL stub.",
    "DefendsQuestion": "q-publisher-is-this-content-permitted",
    "Suite": "suite-substrate",
    "Severity": "blocking",
    "LastOutcome": "PASS",
    "LastDetail": "translated",
    "LastRunAt": "2026-07-20T03:06:49+00:00",
    "SemanticTypeIri": "urn:effortless:pko-extension#TestCase",
    "Name": "formula-translates: SendIntents.ContentGatePassed",
    "IsBlocking": true,
    "IsPassing": true,
    "IsFailing": false,
    "NeedsAttention": false,
    "PassingSuiteKey": "suite-substrate",
    "NeedsAttentionSuiteKey": null
   },
   {
    "TestCaseId": "tc-xlate-send_intents-template_is_sendable",
    "TestKind": "formula-translates",
    "Subject": "SendIntents.TemplateIsSendable",
    "TargetTable": "SendIntents",
    "TargetField": "TemplateIsSendable",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SendIntents.TemplateIsSendable",
    "IsBlocking": true,
    "IsPassing": true,
    "IsFailing": false,
    "NeedsAttention": false,
    "PassingSuiteKey": "suite-substrate",
    "NeedsAttentionSuiteKey": null
   },
   {
    "TestCaseId": "tc-xlate-send_intents-execution_has_legal_clearance",
    "TestKind": "formula-translates",
    "Subject": "SendIntents.ExecutionHasLegalClearance",
    "TargetTable": "SendIntents",
    "TargetField": "ExecutionHasLegalClearance",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SendIntents.ExecutionHasLegalClearance",
    "IsBlocking": true,
    "IsPassing": true,
    "IsFailing": false,
    "NeedsAttention": false,
    "PassingSuiteKey": "suite-substrate",
    "NeedsAttentionSuiteKey": null
   },
   {
    "TestCaseId": "tc-xlate-send_intents-intent_approval_role",
    "TestKind": "formula-translates",
    "Subject": "SendIntents.IntentApprovalRole",
    "TargetTable": "SendIntents",
    "TargetField": "IntentApprovalRole",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SendIntents.IntentApprovalRole",
    "IsBlocking": true,
    "IsPassing": true,
    "IsFailing": false,
    "NeedsAttention": false,
    "PassingSuiteKey": "suite-substrate",
    "NeedsAttentionSuiteKey": null
   },
   {
    "TestCaseId": "tc-xlate-send_intents-approval_role_agent_kind",
    "TestKind": "formula-translates",
    "Subject": "SendIntents.ApprovalRoleAgentKind",
    "TargetTable": "SendIntents",
    "TargetField": "ApprovalRoleAgentKind",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SendIntents.ApprovalRoleAgentKind",
    "IsBlocking": true,
    "IsPassing": true,
    "IsFailing": false,
    "NeedsAttention": false,
    "PassingSuiteKey": "suite-substrate",
    "NeedsAttentionSuiteKey": null
   },
   {
    "TestCaseId": "tc-xlate-send_intents-approval_is_human",
    "TestKind": "formula-translates",
    "Subject": "SendIntents.ApprovalIsHuman",
    "TargetTable": "SendIntents",
    "TargetField": "ApprovalIsHuman",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SendIntents.ApprovalIsHuman",
    "IsBlocking": true,
    "IsPassing": true,
    "IsFailing": false,
    "NeedsAttention": false,
    "PassingSuiteKey": "suite-substrate",
    "NeedsAttentionSuiteKey": null
   },
   {
    "TestCaseId": "tc-xlate-send_intents-authorization_gate_passed",
    "TestKind": "formula-translates",
    "Subject": "SendIntents.AuthorizationGatePassed",
    "TargetTable": "SendIntents",
    "TargetField": "AuthorizationGatePassed",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SendIntents.AuthorizationGatePassed",
    "IsBlocking": true,
    "IsPassing": true,
    "IsFailing": false,
    "NeedsAttention": false,
    "PassingSuiteKey": "suite-substrate",
    "NeedsAttentionSuiteKey": null
   },
   {
    "TestCaseId": "tc-xlate-send_intents-is_cleared_to_send",
    "TestKind": "formula-translates",
    "Subject": "SendIntents.IsClearedToSend",
    "TargetTable": "SendIntents",
    "TargetField": "IsClearedToSend",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SendIntents.IsClearedToSend",
    "IsBlocking": true,
    "IsPassing": true,
    "IsFailing": false,
    "NeedsAttention": false,
    "PassingSuiteKey": "suite-substrate",
    "NeedsAttentionSuiteKey": null
   },
   {
    "TestCaseId": "tc-xlate-send_intents-blocking_gate_name",
    "TestKind": "formula-translates",
    "Subject": "SendIntents.BlockingGateName",
    "TargetTable": "SendIntents",
    "TargetField": "BlockingGateName",
    "Assertion": "The transpiler emitted a real SQL function for this formula rather than a NULL stub.",
    "DefendsQuestion": "q-publisher-am-i-authorized-to-act",
    "Suite": "suite-substrate",
    "Severity": "blocking",
    "LastOutcome": "PASS",
    "LastDetail": "translated",
    "LastRunAt": "2026-07-20T03:06:49+00:00",
    "SemanticTypeIri": "urn:effortless:pko-extension#TestCase",
    "Name": "formula-translates: SendIntents.BlockingGateName",
    "IsBlocking": true,
    "IsPassing": true,
    "IsFailing": false,
    "NeedsAttention": false,
    "PassingSuiteKey": "suite-substrate",
    "NeedsAttentionSuiteKey": null
   },
   {
    "TestCaseId": "tc-xlate-send_intents-has_resulting_delivery",
    "TestKind": "formula-translates",
    "Subject": "SendIntents.HasResultingDelivery",
    "TargetTable": "SendIntents",
    "TargetField": "HasResultingDelivery",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SendIntents.HasResultingDelivery",
    "IsBlocking": true,
    "IsPassing": true,
    "IsFailing": false,
    "NeedsAttention": false,
    "PassingSuiteKey": "suite-substrate",
    "NeedsAttentionSuiteKey": null
   },
   {
    "TestCaseId": "tc-xlate-send_intents-resulting_delivery_was_transmitted",
    "TestKind": "formula-translates",
    "Subject": "SendIntents.ResultingDeliveryWasTransmitted",
    "TargetTable": "SendIntents",
    "TargetField": "ResultingDeliveryWasTransmitted",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SendIntents.ResultingDeliveryWasTransmitted",
    "IsBlocking": true,
    "IsPassing": true,
    "IsFailing": false,
    "NeedsAttention": false,
    "PassingSuiteKey": "suite-substrate",
    "NeedsAttentionSuiteKey": null
   },
   {
    "TestCaseId": "tc-xlate-send_intents-is_overridden_refusal",
    "TestKind": "formula-translates",
    "Subject": "SendIntents.IsOverriddenRefusal",
    "TargetTable": "SendIntents",
    "TargetField": "IsOverriddenRefusal",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SendIntents.IsOverriddenRefusal",
    "IsBlocking": true,
    "IsPassing": true,
    "IsFailing": false,
    "NeedsAttention": false,
    "PassingSuiteKey": "suite-substrate",
    "NeedsAttentionSuiteKey": null
   },
   {
    "TestCaseId": "tc-xlate-send_intents-is_silently_dropped",
    "TestKind": "formula-translates",
    "Subject": "SendIntents.IsSilentlyDropped",
    "TargetTable": "SendIntents",
    "TargetField": "IsSilentlyDropped",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SendIntents.IsSilentlyDropped",
    "IsBlocking": true,
    "IsPassing": true,
    "IsFailing": false,
    "NeedsAttention": false,
    "PassingSuiteKey": "suite-substrate",
    "NeedsAttentionSuiteKey": null
   },
   {
    "TestCaseId": "tc-xlate-send_intents-resulting_delivery_exception",
    "TestKind": "formula-translates",
    "Subject": "SendIntents.ResultingDeliveryException",
    "TargetTable": "SendIntents",
    "TargetField": "ResultingDeliveryException",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SendIntents.ResultingDeliveryException",
    "IsBlocking": true,
    "IsPassing": true,
    "IsFailing": false,
    "NeedsAttention": false,
    "PassingSuiteKey": "suite-substrate",
    "NeedsAttentionSuiteKey": null
   },
   {
    "TestCaseId": "tc-xlate-send_intents-refusal_cited_an_exception",
    "TestKind": "formula-translates",
    "Subject": "SendIntents.RefusalCitedAnException",
    "TargetTable": "SendIntents",
    "TargetField": "RefusalCitedAnException",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SendIntents.RefusalCitedAnException",
    "IsBlocking": true,
    "IsPassing": true,
    "IsFailing": false,
    "NeedsAttention": false,
    "PassingSuiteKey": "suite-substrate",
    "NeedsAttentionSuiteKey": null
   },
   {
    "TestCaseId": "tc-xlate-send_intents-is_properly_handled_refusal",
    "TestKind": "formula-translates",
    "Subject": "SendIntents.IsProperlyHandledRefusal",
    "TargetTable": "SendIntents",
    "TargetField": "IsProperlyHandledRefusal",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SendIntents.IsProperlyHandledRefusal",
    "IsBlocking": true,
    "IsPassing": true,
    "IsFailing": false,
    "NeedsAttention": false,
    "PassingSuiteKey": "suite-substrate",
    "NeedsAttentionSuiteKey": null
   },
   {
    "TestCaseId": "tc-xlate-send_intents-refusal_failure_execution_key",
    "TestKind": "formula-translates",
    "Subject": "SendIntents.RefusalFailureExecutionKey",
    "TargetTable": "SendIntents",
    "TargetField": "RefusalFailureExecutionKey",
    "Assertion": "The transpiler emitted a real SQL function for this formula rather than a NULL stub.",
    "DefendsQuestion": "q-publisher-refusal-was-honored",
    "Suite": "suite-substrate",
    "Severity": "blocking",
    "LastOutcome": "PASS",
    "LastDetail": "translated",
    "LastRunAt": "2026-07-20T03:06:49+00:00",
    "SemanticTypeIri": "urn:effortless:pko-extension#TestCase",
    "Name": "formula-translates: SendIntents.RefusalFailureExecutionKey",
    "IsBlocking": true,
    "IsPassing": true,
    "IsFailing": false,
    "NeedsAttention": false,
    "PassingSuiteKey": "suite-substrate",
    "NeedsAttentionSuiteKey": null
   },
   {
    "TestCaseId": "tc-xlate-send_intents-intent_execution_key",
    "TestKind": "formula-translates",
    "Subject": "SendIntents.IntentExecutionKey",
    "TargetTable": "SendIntents",
    "TargetField": "IntentExecutionKey",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SendIntents.IntentExecutionKey",
    "IsBlocking": true,
    "IsPassing": true,
    "IsFailing": false,
    "NeedsAttention": false,
    "PassingSuiteKey": "suite-substrate",
    "NeedsAttentionSuiteKey": null
   },
   {
    "TestCaseId": "tc-xlate-send_intents-delivered_intent_execution_key",
    "TestKind": "formula-translates",
    "Subject": "SendIntents.DeliveredIntentExecutionKey",
    "TargetTable": "SendIntents",
    "TargetField": "DeliveredIntentExecutionKey",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SendIntents.DeliveredIntentExecutionKey",
    "IsBlocking": true,
    "IsPassing": true,
    "IsFailing": false,
    "NeedsAttention": false,
    "PassingSuiteKey": "suite-substrate",
    "NeedsAttentionSuiteKey": null
   },
   {
    "TestCaseId": "tc-xlate-send_intents-dropped_intent_execution_key",
    "TestKind": "formula-translates",
    "Subject": "SendIntents.DroppedIntentExecutionKey",
    "TargetTable": "SendIntents",
    "TargetField": "DroppedIntentExecutionKey",
    "Assertion": "The transpiler emitted a real SQL function for this formula rather than a NULL stub.",
    "DefendsQuestion": "q2-comms-approval-to-delivery-yield",
    "Suite": "suite-substrate",
    "Severity": "blocking",
    "LastOutcome": "PASS",
    "LastDetail": "translated",
    "LastRunAt": "2026-07-20T03:06:49+00:00",
    "SemanticTypeIri": "urn:effortless:pko-extension#TestCase",
    "Name": "formula-translates: SendIntents.DroppedIntentExecutionKey",
    "IsBlocking": true,
    "IsPassing": true,
    "IsFailing": false,
    "NeedsAttention": false,
    "PassingSuiteKey": "suite-substrate",
    "NeedsAttentionSuiteKey": null
   },
   {
    "TestCaseId": "tc-xlate-send_intents-my_approval_was_in_force",
    "TestKind": "formula-translates",
    "Subject": "SendIntents.MyApprovalWasInForce",
    "TargetTable": "SendIntents",
    "TargetField": "MyApprovalWasInForce",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SendIntents.MyApprovalWasInForce",
    "IsBlocking": true,
    "IsPassing": true,
    "IsFailing": false,
    "NeedsAttention": false,
    "PassingSuiteKey": "suite-substrate",
    "NeedsAttentionSuiteKey": null
   },
   {
    "TestCaseId": "tc-xlate-send_intents-refused_on_approved_content",
    "TestKind": "formula-translates",
    "Subject": "SendIntents.RefusedOnApprovedContent",
    "TargetTable": "SendIntents",
    "TargetField": "RefusedOnApprovedContent",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SendIntents.RefusedOnApprovedContent",
    "IsBlocking": true,
    "IsPassing": true,
    "IsFailing": false,
    "NeedsAttention": false,
    "PassingSuiteKey": "suite-substrate",
    "NeedsAttentionSuiteKey": null
   },
   {
    "TestCaseId": "tc-xlate-send_intents-refused_on_opt_out_only",
    "TestKind": "formula-translates",
    "Subject": "SendIntents.RefusedOnOptOutOnly",
    "TargetTable": "SendIntents",
    "TargetField": "RefusedOnOptOutOnly",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SendIntents.RefusedOnOptOutOnly",
    "IsBlocking": true,
    "IsPassing": true,
    "IsFailing": false,
    "Need</t>
  </si>
  <si>
    <t xml:space="preserve">sAttention": false,
    "PassingSuiteKey": "suite-substrate",
    "NeedsAttentionSuiteKey": null
   },
   {
    "TestCaseId": "tc-xlate-send_intents-refusal_was_on_my_rules",
    "TestKind": "formula-translates",
    "Subject": "SendIntents.RefusalWasOnMyRules",
    "TargetTable": "SendIntents",
    "TargetField": "RefusalWasOnMyRules",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SendIntents.RefusalWasOnMyRules",
    "IsBlocking": true,
    "IsPassing": true,
    "IsFailing": false,
    "NeedsAttention": false,
    "PassingSuiteKey": "suite-substrate",
    "NeedsAttentionSuiteKey": null
   },
   {
    "TestCaseId": "tc-xlate-send_intents-refusal_was_outside_my_control",
    "TestKind": "formula-translates",
    "Subject": "SendIntents.RefusalWasOutsideMyControl",
    "TargetTable": "SendIntents",
    "TargetField": "RefusalWasOutsideMyControl",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SendIntents.RefusalWasOutsideMyControl",
    "IsBlocking": true,
    "IsPassing": true,
    "IsFailing": false,
    "NeedsAttention": false,
    "PassingSuiteKey": "suite-substrate",
    "NeedsAttentionSuiteKey": null
   },
   {
    "TestCaseId": "tc-xlate-send_intents-is_unreported_refusal_on_my_rules",
    "TestKind": "formula-translates",
    "Subject": "SendIntents.IsUnreportedRefusalOnMyRules",
    "TargetTable": "SendIntents",
    "TargetField": "IsUnreportedRefusalOnMyRules",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SendIntents.IsUnreportedRefusalOnMyRules",
    "IsBlocking": true,
    "IsPassing": true,
    "IsFailing": false,
    "NeedsAttention": false,
    "PassingSuiteKey": "suite-substrate",
    "NeedsAttentionSuiteKey": null
   },
   {
    "TestCaseId": "tc-xlate-send_intents-is_approval_overridden_silently",
    "TestKind": "formula-translates",
    "Subject": "SendIntents.IsApprovalOverriddenSilently",
    "TargetTable": "SendIntents",
    "TargetField": "IsApprovalOverriddenSilently",
    "Assertion": "The transpiler emitted a real SQL function for this formula rather than a NULL stub.",
    "DefendsQuestion": "q2-comms-my-approval-was-consumed-correctly",
    "Suite": "suite-substrate",
    "Severity": "blocking",
    "LastOutcome": "PASS",
    "LastDetail": "translated",
    "LastRunAt": "2026-07-20T03:06:49+00:00",
    "SemanticTypeIri": "urn:effortless:pko-extension#TestCase",
    "Name": "formula-translates: SendIntents.IsApprovalOverriddenSilently",
    "IsBlocking": true,
    "IsPassing": true,
    "IsFailing": false,
    "NeedsAttention": false,
    "PassingSuiteKey": "suite-substrate",
    "NeedsAttentionSuiteKey": null
   },
   {
    "TestCaseId": "tc-xlate-send_intents-has_alternate_channel_attempt",
    "TestKind": "formula-translates",
    "Subject": "SendIntents.HasAlternateChannelAttempt",
    "TargetTable": "SendIntents",
    "TargetField": "HasAlternateChannelAttempt",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SendIntents.HasAlternateChannelAttempt",
    "IsBlocking": true,
    "IsPassing": true,
    "IsFailing": false,
    "NeedsAttention": false,
    "PassingSuiteKey": "suite-substrate",
    "NeedsAttentionSuiteKey": null
   },
   {
    "TestCaseId": "tc-xlate-send_intents-alternate_attempt_was_cleared",
    "TestKind": "formula-translates",
    "Subject": "SendIntents.AlternateAttemptWasCleared",
    "TargetTable": "SendIntents",
    "TargetField": "AlternateAttemptWasCleared",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SendIntents.AlternateAttemptWasCleared",
    "IsBlocking": true,
    "IsPassing": true,
    "IsFailing": false,
    "NeedsAttention": false,
    "PassingSuiteKey": "suite-substrate",
    "NeedsAttentionSuiteKey": null
   },
   {
    "TestCaseId": "tc-xlate-send_intents-is_refused_with_no_alternative",
    "TestKind": "formula-translates",
    "Subject": "SendIntents.IsRefusedWithNoAlternative",
    "TargetTable": "SendIntents",
    "TargetField": "IsRefusedWithNoAlternative",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SendIntents.IsRefusedWithNoAlternative",
    "IsBlocking": true,
    "IsPassing": true,
    "IsFailing": false,
    "NeedsAttention": false,
    "PassingSuiteKey": "suite-substrate",
    "NeedsAttentionSuiteKey": null
   },
   {
    "TestCaseId": "tc-xlate-send_intents-exception_prescribed_an_alternative",
    "TestKind": "formula-translates",
    "Subject": "SendIntents.ExceptionPrescribedAnAlternative",
    "TargetTable": "SendIntents",
    "TargetField": "ExceptionPrescribedAnAlternative",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SendIntents.ExceptionPrescribedAnAlternative",
    "IsBlocking": true,
    "IsPassing": true,
    "IsFailing": false,
    "NeedsAttention": false,
    "PassingSuiteKey": "suite-substrate",
    "NeedsAttentionSuiteKey": null
   },
   {
    "TestCaseId": "tc-xlate-send_intents-prescribed_handling_was_performed",
    "TestKind": "formula-translates",
    "Subject": "SendIntents.PrescribedHandlingWasPerformed",
    "TargetTable": "SendIntents",
    "TargetField": "PrescribedHandlingWasPerformed",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SendIntents.PrescribedHandlingWasPerformed",
    "IsBlocking": true,
    "IsPassing": true,
    "IsFailing": false,
    "NeedsAttention": false,
    "PassingSuiteKey": "suite-substrate",
    "NeedsAttentionSuiteKey": null
   },
   {
    "TestCaseId": "tc-xlate-send_intents-is_suppression_without_remedy",
    "TestKind": "formula-translates",
    "Subject": "SendIntents.IsSuppressionWithoutRemedy",
    "TargetTable": "SendIntents",
    "TargetField": "IsSuppressionWithoutRemedy",
    "Assertion": "The transpiler emitted a real SQL function for this formula rather than a NULL stub.",
    "DefendsQuestion": "q2-comms-suppression-is-a-communication",
    "Suite": "suite-substrate",
    "Severity": "blocking",
    "LastOutcome": "PASS",
    "LastDetail": "translated",
    "LastRunAt": "2026-07-20T03:06:49+00:00",
    "SemanticTypeIri": "urn:effortless:pko-extension#TestCase",
    "Name": "formula-translates: SendIntents.IsSuppressionWithoutRemedy",
    "IsBlocking": true,
    "IsPassing": true,
    "IsFailing": false,
    "NeedsAttention": false,
    "PassingSuiteKey": "suite-substrate",
    "NeedsAttentionSuiteKey": null
   },
   {
    "TestCaseId": "tc-xlate-send_intents-has_durable_refusal_record",
    "TestKind": "formula-translates",
    "Subject": "SendIntents.HasDurableRefusalRecord",
    "TargetTable": "SendIntents",
    "TargetField": "HasDurableRefusalRecord",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SendIntents.HasDurableRefusalRecord",
    "IsBlocking": true,
    "IsPassing": true,
    "IsFailing": false,
    "NeedsAttention": false,
    "PassingSuiteKey": "suite-substrate",
    "NeedsAttentionSuiteKey": null
   },
   {
    "TestCaseId": "tc-xlate-send_intents-refusal_was_escalated",
    "TestKind": "formula-translates",
    "Subject": "SendIntents.RefusalWasEscalated",
    "TargetTable": "SendIntents",
    "TargetField": "RefusalWasEscalated",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SendIntents.RefusalWasEscalated",
    "IsBlocking": true,
    "IsPassing": true,
    "IsFailing": false,
    "NeedsAttention": false,
    "PassingSuiteKey": "suite-substrate",
    "NeedsAttentionSuiteKey": null
   },
   {
    "TestCaseId": "tc-xlate-send_intents-is_unrecorded_refusal",
    "TestKind": "formula-translates",
    "Subject": "SendIntents.IsUnrecordedRefusal",
    "TargetTable": "SendIntents",
    "TargetField": "IsUnrecordedRefusal",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SendIntents.IsUnrecordedRefusal",
    "IsBlocking": true,
    "IsPassing": true,
    "IsFailing": false,
    "NeedsAttention": false,
    "PassingSuiteKey": "suite-substrate",
    "NeedsAttentionSuiteKey": null
   },
   {
    "TestCaseId": "tc-xlate-send_intents-is_unescalated_refusal",
    "TestKind": "formula-translates",
    "Subject": "SendIntents.IsUnescalatedRefusal",
    "TargetTable": "SendIntents",
    "TargetField": "IsUnescalatedRefusal",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SendIntents.IsUnescalatedRefusal",
    "IsBlocking": true,
    "IsPassing": true,
    "IsFailing": false,
    "NeedsAttention": false,
    "PassingSuiteKey": "suite-substrate",
    "NeedsAttentionSuiteKey": null
   },
   {
    "TestCaseId": "tc-xlate-send_intents-unescalated_refusal_role_key",
    "TestKind": "formula-translates",
    "Subject": "SendIntents.UnescalatedRefusalRoleKey",
    "TargetTable": "SendIntents",
    "TargetField": "UnescalatedRefusalRoleKey",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SendIntents.UnescalatedRefusalRoleKey",
    "IsBlocking": true,
    "IsPassing": true,
    "IsFailing": false,
    "NeedsAttention": false,
    "PassingSuiteKey": "suite-substrate",
    "NeedsAttentionSuiteKey": null
   },
   {
    "TestCaseId": "tc-xlate-send_intents-unrecorded_refusal_execution_key",
    "TestKind": "formula-translates",
    "Subject": "SendIntents.UnrecordedRefusalExecutionKey",
    "TargetTable": "SendIntents",
    "TargetField": "UnrecordedRefusalExecutionKey",
    "Assertion": "The transpiler emitted a real SQL function for this formula rather than a NULL stub.",
    "DefendsQuestion": "q2-publisher-every-refusal-leaves-a-record",
    "Suite": "suite-substrate",
    "Severity": "blocking",
    "LastOutcome": "PASS",
    "LastDetail": "translated",
    "LastRunAt": "2026-07-20T03:06:49+00:00",
    "SemanticTypeIri": "urn:effortless:pko-extension#TestCase",
    "Name": "formula-translates: SendIntents.UnrecordedRefusalExecutionKey",
    "IsBlocking": true,
    "IsPassing": true,
    "IsFailing": false,
    "NeedsAttention": false,
    "PassingSuiteKey": "suite-substrate",
    "NeedsAttentionSuiteKey": null
   },
   {
    "TestCaseId": "tc-xlate-send_intents-was_deferred_on_timing",
    "TestKind": "formula-translates",
    "Subject": "SendIntents.WasDeferredOnTiming",
    "TargetTable": "SendIntents",
    "TargetField": "WasDeferredOnTiming",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SendIntents.WasDeferredOnTiming",
    "IsBlocking": true,
    "IsPassing": true,
    "IsFailing": false,
    "NeedsAttention": false,
    "PassingSuiteKey": "suite-substrate",
    "NeedsAttentionSuiteKey": null
   },
   {
    "TestCaseId": "tc-xlate-send_intents-as_of_instant",
    "TestKind": "formula-translates",
    "Subject": "SendIntents.AsOfInstant",
    "TargetTable": "SendIntents",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SendIntents.AsOfInstant",
    "IsBlocking": true,
    "IsPassing": true,
    "IsFailing": false,
    "NeedsAttention": false,
    "PassingSuiteKey": "suite-substrate",
    "NeedsAttentionSuiteKey": null
   },
   {
    "TestCaseId": "tc-xlate-send_intents-window_has_since_reopened",
    "TestKind": "formula-translates",
    "Subject": "SendIntents.WindowHasSinceReopened",
    "TargetTable": "SendIntents",
    "TargetField": "WindowHasSinceReopened",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SendIntents.WindowHasSinceReopened",
    "IsBlocking": true,
    "IsPassing": true,
    "IsFailing": false,
    "NeedsAttention": false,
    "PassingSuiteKey": "suite-substrate",
    "NeedsAttentionSuiteKey": null
   },
   {
    "TestCaseId": "tc-xlate-send_intents-has_retry_attempt",
    "TestKind": "formula-translates",
    "Subject": "SendIntents.HasRetryAttempt",
    "TargetTable": "SendIntents",
    "TargetField": "HasRetryAttempt",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SendIntents.HasRetryAttempt",
    "IsBlocking": true,
    "IsPassing": true,
    "IsFailing": false,
    "NeedsAttention": false,
    "PassingSuiteKey": "suite-substrate",
    "NeedsAttentionSuiteKey": null
   },
   {
    "TestCaseId": "tc-xlate-send_intents-retry_was_cleared",
    "TestKind": "formula-translates",
    "Subject": "SendIntents.RetryWasCleared",
    "TargetTable": "SendIntents",
    "TargetField": "RetryWasCleared",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SendIntents.RetryWasCleared",
    "IsBlocking": true,
    "IsPassing": true,
    "IsFailing": false,
    "NeedsAttention": false,
    "PassingSuiteKey": "suite-substrate",
    "NeedsAttentionSuiteKey": null
   },
   {
    "TestCaseId": "tc-xlate-send_intents-is_abandoned_deferral",
    "TestKind": "formula-translates",
    "Subject": "SendIntents.IsAbandonedDeferral",
    "TargetTable": "SendIntents",
    "TargetField": "IsAbandonedDeferral",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SendIntents.IsAbandonedDeferral",
    "IsBlocking": true,
    "IsPassing": true,
    "IsFailing": false,
    "NeedsAttention": false,
    "PassingSuiteKey": "suite-substrate",
    "NeedsAttentionSuiteKey": null
   },
   {
    "TestCaseId": "tc-xlate-send_intents-deferral_age_hours",
    "TestKind": "formula-translates",
    "Subject": "SendIntents.DeferralAgeHours",
    "TargetTable": "SendIntents",
    "TargetField": "DeferralAgeHours",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SendIntents.DeferralAgeHours",
    "IsBlocking": true,
    "IsPassing": true,
    "IsFailing": false,
    "NeedsAttention": false,
    "PassingSuiteKey": "suite-substrate",
    "NeedsAttentionSuiteKey": null
   },
   {
    "TestCaseId": "tc-xlate-send_intents-is_stale_deferral",
    "TestKind": "formula-translates",
    "Subject": "SendIntents.IsStaleDeferral",
    "TargetTable": "SendIntents",
    "TargetField": "IsStaleDeferral",
    "Assertion": "The transpiler emitted a real SQL function for this formula rather than a NULL stub.",
    "DefendsQuestion": "q2-publisher-deferred-not-cancelled",
    "Suite": "suite-substrate",
    "Severity": "blocking",
    "LastOutcome": "PASS",
    "LastDetail": "translated",
    "LastRunAt": "2026-07-20T03:06:49+00:00",
    "SemanticTypeIri": "urn:effortless:pko-extension#TestCase",
    "Name": "formula-translates: SendIntents.IsStaleDeferral",
    "IsBlocking": true,
    "IsPassing": true,
    "IsFailing": false,
    "NeedsAttention": false,
    "PassingSuiteKey": "suite-substrate",
    "NeedsAttentionSuiteKey": null
   },
   {
    "TestCaseId": "tc-xlate-send_intents-enforced_by_unauthorized_agent",
    "TestKind": "formula-translates",
    "Subject": "SendIntents.EnforcedByUnauthorizedAgent",
    "TargetTable": "SendIntents",
    "TargetField": "EnforcedByUnauthorizedAgent",
    "Assertion": "The transpiler emitted a real SQL function for this formula rather than a NULL stub.",
    "DefendsQuestion": "q2-publisher-my-own-authorization",
    "Suite": "suite-substrate",
    "Severity": "blocking",
    "LastOutcome": "PASS",
    "LastDetail": "translated",
    "LastRunAt": "2026-07-20T03:06:49+00:00",
    "SemanticTypeIri": "urn:effortless:pko-extension#TestCase",
    "Name": "formula-translates: SendIntents.EnforcedByUnauthorizedAgent",
    "IsBlocking": true,
    "IsPassing": true,
    "IsFailing": false,
    "NeedsAttention": false,
    "PassingSuiteKey": "suite-substrate",
    "NeedsAttentionSuiteKey": null
   },
   {
    "TestCaseId": "tc-xlate-send_intents-consent_input_was_resolvable",
    "TestKind": "formula-translates",
    "Subject": "SendIntents.ConsentInputWasResolvable",
    "TargetTable": "SendIntents",
    "TargetField": "ConsentInputWasResolvable",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SendIntents.ConsentInputWasResolvable",
    "IsBlocking": true,
    "IsPassing": true,
    "IsFailing": false,
    "NeedsAttention": false,
    "PassingSuiteKey": "suite-substrate",
    "NeedsAttentionSuiteKey": null
   },
   {
    "TestCaseId": "tc-xlate-send_intents-recipient_consent_status_raw",
    "TestKind": "formula-translates",
    "Subject": "SendIntents.RecipientConsentStatusRaw",
    "TargetTable": "SendIntents",
    "TargetField": "RecipientConsentStatusRaw",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SendIntents.RecipientConsentStatusRaw",
    "IsBlocking": true,
    "IsPassing": true,
    "IsFailing": false,
    "NeedsAttention": false,
    "PassingSuiteKey": "suite-substrate",
    "NeedsAttentionSuiteKey": null
   },
   {
    "TestCaseId": "tc-xlate-send_intents-policy_input_was_resolvable",
    "TestKind": "formula-translates",
    "Subject": "SendIntents.PolicyInputWasResolvable",
    "TargetTable": "SendIntents",
    "TargetField": "PolicyInputWasResolvable",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SendIntents.PolicyInputWasResolvable",
    "IsBlocking": true,
    "IsPassing": true,
    "IsFailing": false,
    "NeedsAttention": false,
    "PassingSuiteKey": "suite-substrate",
    "NeedsAttentionSuiteKey": null
   },
   {
    "TestCaseId": "tc-xlate-send_intents-all_gate_inputs_resolved",
    "TestKind": "formula-translates",
    "Subject": "SendIntents.AllGateInputsResolved",
    "TargetTable": "SendIntents",
    "TargetField": "AllGateInputsResolved",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SendIntents.AllGateInputsResolved",
    "IsBlocking": true,
    "IsPassing": true,
    "IsFailing": false,
    "NeedsAttention": false,
    "PassingSuiteKey": "suite-substrate",
    "NeedsAttentionSuiteKey": null
   },
   {
    "TestCaseId": "tc-xlate-send_intents-is_unevaluable_refusal",
    "TestKind": "formula-translates",
    "Subject": "SendIntents.IsUnevaluableRefusal",
    "TargetTable": "SendIntents",
    "TargetField": "IsUnevaluableRefusal",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SendIntents.IsUnevaluableRefusal",
    "IsBlocking": true,
    "IsPassing": true,
    "IsFailing": false,
    "NeedsAttention": false,
    "PassingSuiteKey": "suite-substrate",
    "NeedsAttentionSuiteKey": null
   },
   {
    "TestCaseId": "tc-xlate-send_intents-is_self_witnessed_decision",
    "TestKind": "formula-translates",
    "Subject": "SendIntents.IsSelfWitnessedDecision",
    "TargetTable": "SendIntents",
    "TargetField": "IsSelfWitnessedDecision",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SendIntents.IsSelfWitnessedDecision",
    "IsBlocking": true,
    "IsPassing": true,
    "IsFailing": false,
    "NeedsAttention": false,
    "PassingSuiteKey": "suite-substrate",
    "NeedsAttentionSuiteKey": null
   },
   {
    "TestCaseId": "tc-xlate-send_intents-is_independently_confirmed",
    "TestKind": "formula-translates",
    "Subject": "SendIntents.IsIndependentlyConfirmed",
    "TargetTable": "SendIntents",
    "TargetField": "IsIndependentlyConfirmed",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SendIntents.IsIndependentlyConfirmed",
    "IsBlocking": true,
    "IsPassing": true,
    "IsFailing": false,
    "NeedsAttention": false,
    "PassingSuiteKey": "suite-substrate",
    "NeedsAttentionSuiteKey": null
   },
   {
    "TestCaseId": "tc-xlate-send_intents-independently_confirmed_execution_key",
    "TestKind": "formula-translates",
    "Subject": "SendIntents.IndependentlyConfirmedExecutionKey",
    "TargetTable": "SendIntents",
    "TargetField": "IndependentlyConfirmedExecutionKey",
    "Assertion": "The transpiler emitted a real SQL function for this formula rather than a NULL stub.",
    "DefendsQuestion": "q2-publisher-am-i-the-only-witness",
    "Suite": "suite-substrate",
    "Severity": "blocking",
    "LastOutcome": "PASS",
    "LastDetail": "translated",
    "LastRunAt": "2026-07-20T03:06:49+00:00",
    "SemanticTypeIri": "urn:effortless:pko-extension#TestCase",
    "Name": "formula-translates: SendIntents.IndependentlyConfirmedExecutionKey",
    "IsBlocking": true,
    "IsPassing": true,
    "IsFailing": false,
    "NeedsAttention": false,
    "PassingSuiteKey": "suite-substrate",
    "NeedsAttentionSuiteKey": null
   },
   {
    "TestCaseId": "tc-xlate-agent_decision_records-name",
    "TestKind": "formula-translates",
    "Subject": "AgentDecisionRecords.Name",
    "TargetTable": "AgentDecisionRecords",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AgentDecisionRecords.Name",
    "IsBlocking": true,
    "IsPassing": true,
    "IsFailing": false,
    "NeedsAttention": false,
    "PassingSuiteKey": "suite-substrate",
    "NeedsAttentionSuiteKey": null
   },
   {
    "TestCaseId": "tc-xlate-agent_decision_records-was_overridden",
    "TestKind": "formula-translates",
    "Subject": "AgentDecisionRecords.WasOverridden",
    "TargetTable": "AgentDecisionRecords",
    "TargetField": "WasOverridden",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AgentDecisionRecords.WasOverridden",
    "IsBlocking": true,
    "IsPassing": true,
    "IsFailing": false,
    "NeedsAttention": false,
    "PassingSuiteKey": "suite-substrate",
    "NeedsAttentionSuiteKey": null
   },
   {
    "TestCaseId": "tc-xlate-agent_decision_records-was_reviewed",
    "TestKind": "formula-translates",
    "Subject": "AgentDecisionRecords.WasReviewed",
    "TargetTable": "AgentDecisionRecords",
    "TargetField": "WasReviewed",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AgentDecisionRecords.WasReviewed",
    "IsBlocking": true,
    "IsPassing": true,
    "IsFailing": false,
    "NeedsAttention": false,
    "PassingSuiteKey": "suite-substrate",
    "NeedsAttentionSuiteKey": null
   },
   {
    "TestCaseId": "tc-xlate-agent_decision_records-deciding_agent_kind",
    "TestKind": "formula-translates",
    "Subject": "AgentDecisionRecords.DecidingAgentKind",
    "TargetTable": "AgentDecisionRecords",
    "TargetField": "DecidingAgentKind",
    "Assertion": "The transpiler emitted a real SQL function for this formula rather than a NULL stub.",
    "DefendsQuestion": "q-close-auto-human-override-drift",
    "Su</t>
  </si>
  <si>
    <t xml:space="preserve">ite": "suite-substrate",
    "Severity": "blocking",
    "LastOutcome": "PASS",
    "LastDetail": "translated",
    "LastRunAt": "2026-07-20T03:06:49+00:00",
    "SemanticTypeIri": "urn:effortless:pko-extension#TestCase",
    "Name": "formula-translates: AgentDecisionRecords.DecidingAgentKind",
    "IsBlocking": true,
    "IsPassing": true,
    "IsFailing": false,
    "NeedsAttention": false,
    "PassingSuiteKey": "suite-substrate",
    "NeedsAttentionSuiteKey": null
   },
   {
    "TestCaseId": "tc-xlate-agent_decision_records-deciding_agent_when_overridden",
    "TestKind": "formula-translates",
    "Subject": "AgentDecisionRecords.DecidingAgentWhenOverridden",
    "TargetTable": "AgentDecisionRecords",
    "TargetField": "DecidingAgentWhenOverridden",
    "Assertion": "The transpiler emitted a real SQL function for this formula rather than a NULL stub.",
    "DefendsQuestion": "q-close-auto-human-override-drift",
    "Suite": "suite-substrate",
    "Severity": "blocking",
    "LastOutcome": "PASS",
    "LastDetail": "translated",
    "LastRunAt": "2026-07-20T03:06:49+00:00",
    "SemanticTypeIri": "urn:effortless:pko-extension#TestCase",
    "Name": "formula-translates: AgentDecisionRecords.DecidingAgentWhenOverridden",
    "IsBlocking": true,
    "IsPassing": true,
    "IsFailing": false,
    "NeedsAttention": false,
    "PassingSuiteKey": "suite-substrate",
    "NeedsAttentionSuiteKey": null
   },
   {
    "TestCaseId": "tc-xlate-agent_decision_records-role_assignment_when_scored",
    "TestKind": "formula-translates",
    "Subject": "AgentDecisionRecords.RoleAssignmentWhenScored",
    "TargetTable": "AgentDecisionRecords",
    "TargetField": "RoleAssignmentWhenScored",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AgentDecisionRecords.RoleAssignmentWhenScored",
    "IsBlocking": true,
    "IsPassing": true,
    "IsFailing": false,
    "NeedsAttention": false,
    "PassingSuiteKey": "suite-substrate",
    "NeedsAttentionSuiteKey": null
   },
   {
    "TestCaseId": "tc-xlate-agent_decision_records-role_assignment_when_overridden",
    "TestKind": "formula-translates",
    "Subject": "AgentDecisionRecords.RoleAssignmentWhenOverridden",
    "TargetTable": "AgentDecisionRecords",
    "TargetField": "RoleAssignmentWhenOverridden",
    "Assertion": "The transpiler emitted a real SQL function for this formula rather than a NULL stub.",
    "DefendsQuestion": "q-variance-ai-quality-vs-human-baseline",
    "Suite": "suite-substrate",
    "Severity": "blocking",
    "LastOutcome": "PASS",
    "LastDetail": "translated",
    "LastRunAt": "2026-07-20T03:06:49+00:00",
    "SemanticTypeIri": "urn:effortless:pko-extension#TestCase",
    "Name": "formula-translates: AgentDecisionRecords.RoleAssignmentWhenOverridden",
    "IsBlocking": true,
    "IsPassing": true,
    "IsFailing": false,
    "NeedsAttention": false,
    "PassingSuiteKey": "suite-substrate",
    "NeedsAttentionSuiteKey": null
   },
   {
    "TestCaseId": "tc-xlate-agent_decision_records-step_of_decision",
    "TestKind": "formula-translates",
    "Subject": "AgentDecisionRecords.StepOfDecision",
    "TargetTable": "AgentDecisionRecords",
    "TargetField": "StepOfDecision",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AgentDecisionRecords.StepOfDecision",
    "IsBlocking": true,
    "IsPassing": true,
    "IsFailing": false,
    "NeedsAttention": false,
    "PassingSuiteKey": "suite-substrate",
    "NeedsAttentionSuiteKey": null
   },
   {
    "TestCaseId": "tc-xlate-agent_decision_records-boundary_match_key",
    "TestKind": "formula-translates",
    "Subject": "AgentDecisionRecords.BoundaryMatchKey",
    "TargetTable": "AgentDecisionRecords",
    "TargetField": "BoundaryMatchKey",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AgentDecisionRecords.BoundaryMatchKey",
    "IsBlocking": true,
    "IsPassing": true,
    "IsFailing": false,
    "NeedsAttention": false,
    "PassingSuiteKey": "suite-substrate",
    "NeedsAttentionSuiteKey": null
   },
   {
    "TestCaseId": "tc-xlate-agent_decision_records-matching_boundary_count",
    "TestKind": "formula-translates",
    "Subject": "AgentDecisionRecords.MatchingBoundaryCount",
    "TargetTable": "AgentDecisionRecords",
    "TargetField": "MatchingBoundaryCount",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AgentDecisionRecords.MatchingBoundaryCount",
    "IsBlocking": true,
    "IsPassing": true,
    "IsFailing": false,
    "NeedsAttention": false,
    "PassingSuiteKey": "suite-substrate",
    "NeedsAttentionSuiteKey": null
   },
   {
    "TestCaseId": "tc-xlate-agent_decision_records-violated_authority_boundary",
    "TestKind": "formula-translates",
    "Subject": "AgentDecisionRecords.ViolatedAuthorityBoundary",
    "TargetTable": "AgentDecisionRecords",
    "TargetField": "ViolatedAuthorityBoundary",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AgentDecisionRecords.ViolatedAuthorityBoundary",
    "IsBlocking": true,
    "IsPassing": true,
    "IsFailing": false,
    "NeedsAttention": false,
    "PassingSuiteKey": "suite-substrate",
    "NeedsAttentionSuiteKey": null
   },
   {
    "TestCaseId": "tc-xlate-agent_decision_records-reviewer_agent_kind",
    "TestKind": "formula-translates",
    "Subject": "AgentDecisionRecords.ReviewerAgentKind",
    "TargetTable": "AgentDecisionRecords",
    "TargetField": "ReviewerAgentKind",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AgentDecisionRecords.ReviewerAgentKind",
    "IsBlocking": true,
    "IsPassing": true,
    "IsFailing": false,
    "NeedsAttention": false,
    "PassingSuiteKey": "suite-substrate",
    "NeedsAttentionSuiteKey": null
   },
   {
    "TestCaseId": "tc-xlate-agent_decision_records-has_human_confirmation",
    "TestKind": "formula-translates",
    "Subject": "AgentDecisionRecords.HasHumanConfirmation",
    "TargetTable": "AgentDecisionRecords",
    "TargetField": "HasHumanConfirmation",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AgentDecisionRecords.HasHumanConfirmation",
    "IsBlocking": true,
    "IsPassing": true,
    "IsFailing": false,
    "NeedsAttention": false,
    "PassingSuiteKey": "suite-substrate",
    "NeedsAttentionSuiteKey": null
   },
   {
    "TestCaseId": "tc-xlate-agent_decision_records-needs_human_confirmation",
    "TestKind": "formula-translates",
    "Subject": "AgentDecisionRecords.NeedsHumanConfirmation",
    "TargetTable": "AgentDecisionRecords",
    "TargetField": "NeedsHumanConfirmation",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AgentDecisionRecords.NeedsHumanConfirmation",
    "IsBlocking": true,
    "IsPassing": true,
    "IsFailing": false,
    "NeedsAttention": false,
    "PassingSuiteKey": "suite-substrate",
    "NeedsAttentionSuiteKey": null
   },
   {
    "TestCaseId": "tc-xlate-agent_decision_records-is_unconfirmed_non_human_decision",
    "TestKind": "formula-translates",
    "Subject": "AgentDecisionRecords.IsUnconfirmedNonHumanDecision",
    "TargetTable": "AgentDecisionRecords",
    "TargetField": "IsUnconfirmedNonHumanDecision",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AgentDecisionRecords.IsUnconfirmedNonHumanDecision",
    "IsBlocking": true,
    "IsPassing": true,
    "IsFailing": false,
    "NeedsAttention": false,
    "PassingSuiteKey": "suite-substrate",
    "NeedsAttentionSuiteKey": null
   },
   {
    "TestCaseId": "tc-xlate-agent_decision_records-step_execution_when_unconfirmed",
    "TestKind": "formula-translates",
    "Subject": "AgentDecisionRecords.StepExecutionWhenUnconfirmed",
    "TargetTable": "AgentDecisionRecords",
    "TargetField": "StepExecutionWhenUnconfirmed",
    "Assertion": "The transpiler emitted a real SQL function for this formula rather than a NULL stub.",
    "DefendsQuestion": "q-variance-ai-human-confirmation-present",
    "Suite": "suite-substrate",
    "Severity": "blocking",
    "LastOutcome": "PASS",
    "LastDetail": "translated",
    "LastRunAt": "2026-07-20T03:06:49+00:00",
    "SemanticTypeIri": "urn:effortless:pko-extension#TestCase",
    "Name": "formula-translates: AgentDecisionRecords.StepExecutionWhenUnconfirmed",
    "IsBlocking": true,
    "IsPassing": true,
    "IsFailing": false,
    "NeedsAttention": false,
    "PassingSuiteKey": "suite-substrate",
    "NeedsAttentionSuiteKey": null
   },
   {
    "TestCaseId": "tc-xlate-agent_decision_records-agent_when_boundary_violated",
    "TestKind": "formula-translates",
    "Subject": "AgentDecisionRecords.AgentWhenBoundaryViolated",
    "TargetTable": "AgentDecisionRecords",
    "TargetField": "AgentWhenBoundaryViolated",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AgentDecisionRecords.AgentWhenBoundaryViolated",
    "IsBlocking": true,
    "IsPassing": true,
    "IsFailing": false,
    "NeedsAttention": false,
    "PassingSuiteKey": "suite-substrate",
    "NeedsAttentionSuiteKey": null
   },
   {
    "TestCaseId": "tc-xlate-agent_decision_records-review_latency_minutes",
    "TestKind": "formula-translates",
    "Subject": "AgentDecisionRecords.ReviewLatencyMinutes",
    "TargetTable": "AgentDecisionRecords",
    "TargetField": "ReviewLatencyMinutes",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AgentDecisionRecords.ReviewLatencyMinutes",
    "IsBlocking": true,
    "IsPassing": true,
    "IsFailing": false,
    "NeedsAttention": false,
    "PassingSuiteKey": "suite-substrate",
    "NeedsAttentionSuiteKey": null
   },
   {
    "TestCaseId": "tc-xlate-agent_decision_records-is_draft_kind",
    "TestKind": "formula-translates",
    "Subject": "AgentDecisionRecords.IsDraftKind",
    "TargetTable": "AgentDecisionRecords",
    "TargetField": "IsDraftKind",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AgentDecisionRecords.IsDraftKind",
    "IsBlocking": true,
    "IsPassing": true,
    "IsFailing": false,
    "NeedsAttention": false,
    "PassingSuiteKey": "suite-substrate",
    "NeedsAttentionSuiteKey": null
   },
   {
    "TestCaseId": "tc-xlate-agent_decision_records-agent_when_draft_overridden",
    "TestKind": "formula-translates",
    "Subject": "AgentDecisionRecords.AgentWhenDraftOverridden",
    "TargetTable": "AgentDecisionRecords",
    "TargetField": "AgentWhenDraftOverridden",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AgentDecisionRecords.AgentWhenDraftOverridden",
    "IsBlocking": true,
    "IsPassing": true,
    "IsFailing": false,
    "NeedsAttention": false,
    "PassingSuiteKey": "suite-substrate",
    "NeedsAttentionSuiteKey": null
   },
   {
    "TestCaseId": "tc-xlate-agent_decision_records-agent_when_draft",
    "TestKind": "formula-translates",
    "Subject": "AgentDecisionRecords.AgentWhenDraft",
    "TargetTable": "AgentDecisionRecords",
    "TargetField": "AgentWhenDraft",
    "Assertion": "The transpiler emitted a real SQL function for this formula rather than a NULL stub.",
    "DefendsQuestion": "q-policy-ai-downstream-rewrite",
    "Suite": "suite-substrate",
    "Severity": "blocking",
    "LastOutcome": "PASS",
    "LastDetail": "translated",
    "LastRunAt": "2026-07-20T03:06:49+00:00",
    "SemanticTypeIri": "urn:effortless:pko-extension#TestCase",
    "Name": "formula-translates: AgentDecisionRecords.AgentWhenDraft",
    "IsBlocking": true,
    "IsPassing": true,
    "IsFailing": false,
    "NeedsAttention": false,
    "PassingSuiteKey": "suite-substrate",
    "NeedsAttentionSuiteKey": null
   },
   {
    "TestCaseId": "tc-xlate-agent_decision_records-is_error_correction",
    "TestKind": "formula-translates",
    "Subject": "AgentDecisionRecords.IsErrorCorrection",
    "TargetTable": "AgentDecisionRecords",
    "TargetField": "IsErrorCorrection",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AgentDecisionRecords.IsErrorCorrection",
    "IsBlocking": true,
    "IsPassing": true,
    "IsFailing": false,
    "NeedsAttention": false,
    "PassingSuiteKey": "suite-substrate",
    "NeedsAttentionSuiteKey": null
   },
   {
    "TestCaseId": "tc-xlate-agent_decision_records-is_reserved_judgment_override",
    "TestKind": "formula-translates",
    "Subject": "AgentDecisionRecords.IsReservedJudgmentOverride",
    "TargetTable": "AgentDecisionRecords",
    "TargetField": "IsReservedJudgmentOverride",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AgentDecisionRecords.IsReservedJudgmentOverride",
    "IsBlocking": true,
    "IsPassing": true,
    "IsFailing": false,
    "NeedsAttention": false,
    "PassingSuiteKey": "suite-substrate",
    "NeedsAttentionSuiteKey": null
   },
   {
    "TestCaseId": "tc-xlate-agent_decision_records-override_reason_is_recorded",
    "TestKind": "formula-translates",
    "Subject": "AgentDecisionRecords.OverrideReasonIsRecorded",
    "TargetTable": "AgentDecisionRecords",
    "TargetField": "OverrideReasonIsRecorded",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AgentDecisionRecords.OverrideReasonIsRecorded",
    "IsBlocking": true,
    "IsPassing": true,
    "IsFailing": false,
    "NeedsAttention": false,
    "PassingSuiteKey": "suite-substrate",
    "NeedsAttentionSuiteKey": null
   },
   {
    "TestCaseId": "tc-xlate-agent_decision_records-is_unexplained_override",
    "TestKind": "formula-translates",
    "Subject": "AgentDecisionRecords.IsUnexplainedOverride",
    "TargetTable": "AgentDecisionRecords",
    "TargetField": "IsUnexplainedOverride",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AgentDecisionRecords.IsUnexplainedOverride",
    "IsBlocking": true,
    "IsPassing": true,
    "IsFailing": false,
    "NeedsAttention": false,
    "PassingSuiteKey": "suite-substrate",
    "NeedsAttentionSuiteKey": null
   },
   {
    "TestCaseId": "tc-xlate-agent_decision_records-error_correction_role_assignment_key",
    "TestKind": "formula-translates",
    "Subject": "AgentDecisionRecords.ErrorCorrectionRoleAssignmentKey",
    "TargetTable": "AgentDecisionRecords",
    "TargetField": "ErrorCorrectionRoleAssignmentKey",
    "Assertion": "The transpiler emitted a real SQL function for this formula rather than a NULL stub.",
    "DefendsQuestion": "q2-variance-override-signal-vs-noise",
    "Suite": "suite-substrate",
    "Severity": "blocking",
    "LastOutcome": "PASS",
    "LastDetail": "translated",
    "LastRunAt": "2026-07-20T03:06:49+00:00",
    "SemanticTypeIri": "urn:effortless:pko-extension#TestCase",
    "Name": "formula-translates: AgentDecisionRecords.ErrorCorrectionRoleAssignmentKey",
    "IsBlocking": true,
    "IsPassing": true,
    "IsFailing": false,
    "NeedsAttention": false,
    "PassingSuiteKey": "suite-substrate",
    "NeedsAttentionSuiteKey": null
   },
   {
    "TestCaseId": "tc-xlate-agent_decision_records-boundary_violation_role_assignment_key",
    "TestKind": "formula-translates",
    "Subject": "AgentDecisionRecords.BoundaryViolationRoleAssignmentKey",
    "TargetTable": "AgentDecisionRecords",
    "TargetField": "BoundaryViolationRoleAssignmentKey",
    "Assertion": "The transpiler emitted a real SQL function for this formula rather than a NULL stub.",
    "DefendsQuestion": "q2-variance-what-would-make-me-stop",
    "Suite": "suite-substrate",
    "Severity": "blocking",
    "LastOutcome": "PASS",
    "LastDetail": "translated",
    "LastRunAt": "2026-07-20T03:06:49+00:00",
    "SemanticTypeIri": "urn:effortless:pko-extension#TestCase",
    "Name": "formula-translates: AgentDecisionRecords.BoundaryViolationRoleAssignmentKey",
    "IsBlocking": true,
    "IsPassing": true,
    "IsFailing": false,
    "NeedsAttention": false,
    "PassingSuiteKey": "suite-substrate",
    "NeedsAttentionSuiteKey": null
   },
   {
    "TestCaseId": "tc-xlate-delivered_communications-name",
    "TestKind": "formula-translates",
    "Subject": "DeliveredCommunications.Name",
    "TargetTable": "DeliveredCommunications",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DeliveredCommunications.Name",
    "IsBlocking": true,
    "IsPassing": true,
    "IsFailing": false,
    "NeedsAttention": false,
    "PassingSuiteKey": "suite-substrate",
    "NeedsAttentionSuiteKey": null
   },
   {
    "TestCaseId": "tc-xlate-delivered_communications-has_authorization",
    "TestKind": "formula-translates",
    "Subject": "DeliveredCommunications.HasAuthorization",
    "TargetTable": "DeliveredCommunications",
    "TargetField": "HasAuthorization",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DeliveredCommunications.HasAuthorization",
    "IsBlocking": true,
    "IsPassing": true,
    "IsFailing": false,
    "NeedsAttention": false,
    "PassingSuiteKey": "suite-substrate",
    "NeedsAttentionSuiteKey": null
   },
   {
    "TestCaseId": "tc-xlate-delivered_communications-content_matches_approval",
    "TestKind": "formula-translates",
    "Subject": "DeliveredCommunications.ContentMatchesApproval",
    "TargetTable": "DeliveredCommunications",
    "TargetField": "ContentMatchesApproval",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DeliveredCommunications.ContentMatchesApproval",
    "IsBlocking": true,
    "IsPassing": true,
    "IsFailing": false,
    "NeedsAttention": false,
    "PassingSuiteKey": "suite-substrate",
    "NeedsAttentionSuiteKey": null
   },
   {
    "TestCaseId": "tc-xlate-delivered_communications-authorized_at",
    "TestKind": "formula-translates",
    "Subject": "DeliveredCommunications.AuthorizedAt",
    "TargetTable": "DeliveredCommunications",
    "TargetField": "AuthorizedAt",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DeliveredCommunications.AuthorizedAt",
    "IsBlocking": true,
    "IsPassing": true,
    "IsFailing": false,
    "NeedsAttention": false,
    "PassingSuiteKey": "suite-substrate",
    "NeedsAttentionSuiteKey": null
   },
   {
    "TestCaseId": "tc-xlate-delivered_communications-was_approved_before_sending",
    "TestKind": "formula-translates",
    "Subject": "DeliveredCommunications.WasApprovedBeforeSending",
    "TargetTable": "DeliveredCommunications",
    "TargetField": "WasApprovedBeforeSending",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DeliveredCommunications.WasApprovedBeforeSending",
    "IsBlocking": true,
    "IsPassing": true,
    "IsFailing": false,
    "NeedsAttention": false,
    "PassingSuiteKey": "suite-substrate",
    "NeedsAttentionSuiteKey": null
   },
   {
    "TestCaseId": "tc-xlate-delivered_communications-is_defensible",
    "TestKind": "formula-translates",
    "Subject": "DeliveredCommunications.IsDefensible",
    "TargetTable": "DeliveredCommunications",
    "TargetField": "IsDefensible",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DeliveredCommunications.IsDefensible",
    "IsBlocking": true,
    "IsPassing": true,
    "IsFailing": false,
    "NeedsAttention": false,
    "PassingSuiteKey": "suite-substrate",
    "NeedsAttentionSuiteKey": null
   },
   {
    "TestCaseId": "tc-xlate-authority_boundaries-name",
    "TestKind": "formula-translates",
    "Subject": "AuthorityBoundaries.Name",
    "TargetTable": "AuthorityBoundaries",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AuthorityBoundaries.Name",
    "IsBlocking": true,
    "IsPassing": true,
    "IsFailing": false,
    "NeedsAttention": false,
    "PassingSuiteKey": "suite-substrate",
    "NeedsAttentionSuiteKey": null
   },
   {
    "TestCaseId": "tc-xlate-authority_boundaries-as_of_instant",
    "TestKind": "formula-translates",
    "Subject": "AuthorityBoundaries.AsOfInstant",
    "TargetTable": "AuthorityBoundaries",
    "TargetField": "AsOfInstant",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AuthorityBoundaries.AsOfInstant",
    "IsBlocking": true,
    "IsPassing": true,
    "IsFailing": false,
    "NeedsAttention": false,
    "PassingSuiteKey": "suite-substrate",
    "NeedsAttentionSuiteKey": null
   },
   {
    "TestCaseId": "tc-xlate-authority_boundaries-is_currently_binding",
    "TestKind": "formula-translates",
    "Subject": "AuthorityBoundaries.IsCurrentlyBinding",
    "TargetTable": "AuthorityBoundaries",
    "TargetField": "IsCurrentlyBinding",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AuthorityBoundaries.IsCurrentlyBinding",
    "IsBlocking": true,
    "IsPassing": true,
    "IsFailing": false,
    "NeedsAttention": false,
    "PassingSuiteKey": "suite-substrate",
    "NeedsAttentionSuiteKey": null
   },
   {
    "TestCaseId": "tc-xlate-authority_boundaries-ratifying_fragment_is_valid",
    "TestKind": "formula-translates",
    "Subject": "AuthorityBoundaries.RatifyingFragmentIsValid",
    "TargetTable": "AuthorityBoundaries",
    "TargetField": "RatifyingFragmentIsValid",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AuthorityBoundaries.RatifyingFragmentIsValid",
    "IsBlocking": true,
    "IsPassing": true,
    "IsFailing": false,
    "NeedsAttention": false,
    "PassingSuiteKey": "suite-substrate",
    "NeedsAttentionSuiteKey": null
   },
   {
    "TestCaseId": "tc-xlate-authority_boundaries-step_when_binding",
    "TestKind": "formula-translates",
    "Subject": "AuthorityBoundaries.StepWhenBinding",
    "TargetTable": "AuthorityBoundaries",
    "TargetField": "StepWhenBinding",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AuthorityBoundaries.StepWhenBinding",
    "IsBlocking": true,
    "IsPassing": true,
    "IsFailing": false,
    "NeedsAttention": false,
    "PassingSuiteKey": "suite-substrate",
    "NeedsAttentionSuiteKey": null
   },
   {
    "TestCaseId": "tc-xlate-authority_boundaries-boundary_match_key",
    "TestKind": "formula-translates",
    "Subject": "AuthorityBoundaries.BoundaryMatchKey",
    "TargetTable": "AuthorityBoundaries",
    "TargetField": "BoundaryMatchKey",
    "Assertion": "The transpiler emitted a real SQL function for this formula rather than a NULL stub.",
    "DefendsQuestion": "q-variance-ai-boundary-compliance",
    "Suite": "suite-substrate",
    "Severity": "blocking",
    "LastOutcome": "PASS",
    "LastDetail": "translated",
    "LastRunAt": "2026-07-20T03:06:49+00:00",
    "SemanticTypeIri": "urn:effortless:pko-extension#TestCase",
    "Name": "formula-translates: AuthorityBoundaries.BoundaryMatchKey",
    "IsBlocking": true,
    "IsPassing": true,
    "IsFailing": false,
    "NeedsAttention": false,
    "PassingSuiteKey": "suite-substrate",
    "NeedsAttentionSuiteKey": null
   },
   {
    "TestCaseId": "tc-xlate-authority_boundaries-violation_count",
    "TestKind": "formula-translates",
    "Subject": "AuthorityBoundaries.ViolationCount",
    "TargetTable": "AuthorityBoundaries",
    "TargetField": "ViolationCount",
    "Assertion": "The transpiler emitted a rea</t>
  </si>
  <si>
    <t xml:space="preserve">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AuthorityBoundaries.ViolationCount",
    "IsBlocking": true,
    "IsPassing": true,
    "IsFailing": false,
    "NeedsAttention": false,
    "PassingSuiteKey": "suite-substrate",
    "NeedsAttentionSuiteKey": null
   },
   {
    "TestCaseId": "tc-xlate-authority_boundaries-is_untested",
    "TestKind": "formula-translates",
    "Subject": "AuthorityBoundaries.IsUntested",
    "TargetTable": "AuthorityBoundaries",
    "TargetField": "IsUntested",
    "Assertion": "The transpiler emitted a real SQL function for this formula rather than a NULL stub.",
    "DefendsQuestion": "q-policy-ai-commitment-boundary",
    "Suite": "suite-substrate",
    "Severity": "blocking",
    "LastOutcome": "PASS",
    "LastDetail": "translated",
    "LastRunAt": "2026-07-20T03:06:49+00:00",
    "SemanticTypeIri": "urn:effortless:pko-extension#TestCase",
    "Name": "formula-translates: AuthorityBoundaries.IsUntested",
    "IsBlocking": true,
    "IsPassing": true,
    "IsFailing": false,
    "NeedsAttention": false,
    "PassingSuiteKey": "suite-substrate",
    "NeedsAttentionSuiteKey": null
   },
   {
    "TestCaseId": "tc-xlate-authority_boundaries-has_ratifying_fragment",
    "TestKind": "formula-translates",
    "Subject": "AuthorityBoundaries.HasRatifyingFragment",
    "TargetTable": "AuthorityBoundaries",
    "TargetField": "HasRatifyingFragment",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AuthorityBoundaries.HasRatifyingFragment",
    "IsBlocking": true,
    "IsPassing": true,
    "IsFailing": false,
    "NeedsAttention": false,
    "PassingSuiteKey": "suite-substrate",
    "NeedsAttentionSuiteKey": null
   },
   {
    "TestCaseId": "tc-xlate-authority_boundaries-is_unwarranted",
    "TestKind": "formula-translates",
    "Subject": "AuthorityBoundaries.IsUnwarranted",
    "TargetTable": "AuthorityBoundaries",
    "TargetField": "IsUnwarranted",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AuthorityBoundaries.IsUnwarranted",
    "IsBlocking": true,
    "IsPassing": true,
    "IsFailing": false,
    "NeedsAttention": false,
    "PassingSuiteKey": "suite-substrate",
    "NeedsAttentionSuiteKey": null
   },
   {
    "TestCaseId": "tc-xlate-authority_boundaries-ratifying_fragment_is_overdue",
    "TestKind": "formula-translates",
    "Subject": "AuthorityBoundaries.RatifyingFragmentIsOverdue",
    "TargetTable": "AuthorityBoundaries",
    "TargetField": "RatifyingFragmentIsOverdue",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AuthorityBoundaries.RatifyingFragmentIsOverdue",
    "IsBlocking": true,
    "IsPassing": true,
    "IsFailing": false,
    "NeedsAttention": false,
    "PassingSuiteKey": "suite-substrate",
    "NeedsAttentionSuiteKey": null
   },
   {
    "TestCaseId": "tc-xlate-authority_boundaries-ratifying_fragment_is_single_witness",
    "TestKind": "formula-translates",
    "Subject": "AuthorityBoundaries.RatifyingFragmentIsSingleWitness",
    "TargetTable": "AuthorityBoundaries",
    "TargetField": "RatifyingFragmentIsSingleWitness",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AuthorityBoundaries.RatifyingFragmentIsSingleWitness",
    "IsBlocking": true,
    "IsPassing": true,
    "IsFailing": false,
    "NeedsAttention": false,
    "PassingSuiteKey": "suite-substrate",
    "NeedsAttentionSuiteKey": null
   },
   {
    "TestCaseId": "tc-xlate-authority_boundaries-warrant_is_thin",
    "TestKind": "formula-translates",
    "Subject": "AuthorityBoundaries.WarrantIsThin",
    "TargetTable": "AuthorityBoundaries",
    "TargetField": "WarrantIsThin",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AuthorityBoundaries.WarrantIsThin",
    "IsBlocking": true,
    "IsPassing": true,
    "IsFailing": false,
    "NeedsAttention": false,
    "PassingSuiteKey": "suite-substrate",
    "NeedsAttentionSuiteKey": null
   },
   {
    "TestCaseId": "tc-xlate-authority_boundaries-is_unwarranted_and_untested",
    "TestKind": "formula-translates",
    "Subject": "AuthorityBoundaries.IsUnwarrantedAndUntested",
    "TargetTable": "AuthorityBoundaries",
    "TargetField": "IsUnwarrantedAndUntested",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AuthorityBoundaries.IsUnwarrantedAndUntested",
    "IsBlocking": true,
    "IsPassing": true,
    "IsFailing": false,
    "NeedsAttention": false,
    "PassingSuiteKey": "suite-substrate",
    "NeedsAttentionSuiteKey": null
   },
   {
    "TestCaseId": "tc-xlate-authority_boundaries-unwarranted_boundary_step_key",
    "TestKind": "formula-translates",
    "Subject": "AuthorityBoundaries.UnwarrantedBoundaryStepKey",
    "TargetTable": "AuthorityBoundaries",
    "TargetField": "UnwarrantedBoundaryStepKey",
    "Assertion": "The transpiler emitted a real SQL function for this formula rather than a NULL stub.",
    "DefendsQuestion": "q2-authority-boundary-rests-on-expired-claim",
    "Suite": "suite-substrate",
    "Severity": "blocking",
    "LastOutcome": "PASS",
    "LastDetail": "translated",
    "LastRunAt": "2026-07-20T03:06:49+00:00",
    "SemanticTypeIri": "urn:effortless:pko-extension#TestCase",
    "Name": "formula-translates: AuthorityBoundaries.UnwarrantedBoundaryStepKey",
    "IsBlocking": true,
    "IsPassing": true,
    "IsFailing": false,
    "NeedsAttention": false,
    "PassingSuiteKey": "suite-substrate",
    "NeedsAttentionSuiteKey": null
   },
   {
    "TestCaseId": "tc-xlate-authority_boundaries-ratifying_fragment_key",
    "TestKind": "formula-translates",
    "Subject": "AuthorityBoundaries.RatifyingFragmentKey",
    "TargetTable": "AuthorityBoundaries",
    "TargetField": "RatifyingFragmentKey",
    "Assertion": "The transpiler emitted a real SQL function for this formula rather than a NULL stub.",
    "DefendsQuestion": "q2-hr-my-unapproved-claim-is-load-bearing",
    "Suite": "suite-substrate",
    "Severity": "blocking",
    "LastOutcome": "PASS",
    "LastDetail": "translated",
    "LastRunAt": "2026-07-20T03:06:49+00:00",
    "SemanticTypeIri": "urn:effortless:pko-extension#TestCase",
    "Name": "formula-translates: AuthorityBoundaries.RatifyingFragmentKey",
    "IsBlocking": true,
    "IsPassing": true,
    "IsFailing": false,
    "NeedsAttention": false,
    "PassingSuiteKey": "suite-substrate",
    "NeedsAttentionSuiteKey": null
   },
   {
    "TestCaseId": "tc-xlate-authority_boundaries-ratifying_fragment_status",
    "TestKind": "formula-translates",
    "Subject": "AuthorityBoundaries.RatifyingFragmentStatus",
    "TargetTable": "AuthorityBoundaries",
    "TargetField": "RatifyingFragmentStatus",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AuthorityBoundaries.RatifyingFragmentStatus",
    "IsBlocking": true,
    "IsPassing": true,
    "IsFailing": false,
    "NeedsAttention": false,
    "PassingSuiteKey": "suite-substrate",
    "NeedsAttentionSuiteKey": null
   },
   {
    "TestCaseId": "tc-xlate-authority_boundaries-ratification_lapsed",
    "TestKind": "formula-translates",
    "Subject": "AuthorityBoundaries.RatificationLapsed",
    "TargetTable": "AuthorityBoundaries",
    "TargetField": "RatificationLapsed",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AuthorityBoundaries.RatificationLapsed",
    "IsBlocking": true,
    "IsPassing": true,
    "IsFailing": false,
    "NeedsAttention": false,
    "PassingSuiteKey": "suite-substrate",
    "NeedsAttentionSuiteKey": null
   },
   {
    "TestCaseId": "tc-xlate-authority_boundaries-binds_despite_lapsed_ratification",
    "TestKind": "formula-translates",
    "Subject": "AuthorityBoundaries.BindsDespiteLapsedRatification",
    "TargetTable": "AuthorityBoundaries",
    "TargetField": "BindsDespiteLapsedRatification",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AuthorityBoundaries.BindsDespiteLapsedRatification",
    "IsBlocking": true,
    "IsPassing": true,
    "IsFailing": false,
    "NeedsAttention": false,
    "PassingSuiteKey": "suite-substrate",
    "NeedsAttentionSuiteKey": null
   },
   {
    "TestCaseId": "tc-xlate-authority_boundaries-is_ungrounded_and_untested",
    "TestKind": "formula-translates",
    "Subject": "AuthorityBoundaries.IsUngroundedAndUntested",
    "TargetTable": "AuthorityBoundaries",
    "TargetField": "IsUngroundedAndUntested",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AuthorityBoundaries.IsUngroundedAndUntested",
    "IsBlocking": true,
    "IsPassing": true,
    "IsFailing": false,
    "NeedsAttention": false,
    "PassingSuiteKey": "suite-substrate",
    "NeedsAttentionSuiteKey": null
   },
   {
    "TestCaseId": "tc-xlate-authority_boundaries-constrained_role_assignment_key",
    "TestKind": "formula-translates",
    "Subject": "AuthorityBoundaries.ConstrainedRoleAssignmentKey",
    "TargetTable": "AuthorityBoundaries",
    "TargetField": "ConstrainedRoleAssignmentKey",
    "Assertion": "The transpiler emitted a real SQL function for this formula rather than a NULL stub.",
    "DefendsQuestion": "q2-variance-boundary-rests-on-expired-knowledge",
    "Suite": "suite-substrate",
    "Severity": "blocking",
    "LastOutcome": "PASS",
    "LastDetail": "translated",
    "LastRunAt": "2026-07-20T03:06:49+00:00",
    "SemanticTypeIri": "urn:effortless:pko-extension#TestCase",
    "Name": "formula-translates: AuthorityBoundaries.ConstrainedRoleAssignmentKey",
    "IsBlocking": true,
    "IsPassing": true,
    "IsFailing": false,
    "NeedsAttention": false,
    "PassingSuiteKey": "suite-substrate",
    "NeedsAttentionSuiteKey": null
   },
   {
    "TestCaseId": "tc-xlate-binding_observations-name",
    "TestKind": "formula-translates",
    "Subject": "BindingObservations.Name",
    "TargetTable": "BindingObservations",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BindingObservations.Name",
    "IsBlocking": true,
    "IsPassing": true,
    "IsFailing": false,
    "NeedsAttention": false,
    "PassingSuiteKey": "suite-substrate",
    "NeedsAttentionSuiteKey": null
   },
   {
    "TestCaseId": "tc-xlate-binding_observations-sla_minutes_at_run",
    "TestKind": "formula-translates",
    "Subject": "BindingObservations.SlaMinutesAtRun",
    "TargetTable": "BindingObservations",
    "TargetField": "SlaMinutesAtRun",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BindingObservations.SlaMinutesAtRun",
    "IsBlocking": true,
    "IsPassing": true,
    "IsFailing": false,
    "NeedsAttention": false,
    "PassingSuiteKey": "suite-substrate",
    "NeedsAttentionSuiteKey": null
   },
   {
    "TestCaseId": "tc-xlate-binding_observations-age_at_run_minutes",
    "TestKind": "formula-translates",
    "Subject": "BindingObservations.AgeAtRunMinutes",
    "TargetTable": "BindingObservations",
    "TargetField": "AgeAtRunMinutes",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BindingObservations.AgeAtRunMinutes",
    "IsBlocking": true,
    "IsPassing": true,
    "IsFailing": false,
    "NeedsAttention": false,
    "PassingSuiteKey": "suite-substrate",
    "NeedsAttentionSuiteKey": null
   },
   {
    "TestCaseId": "tc-xlate-binding_observations-was_stale_at_run",
    "TestKind": "formula-translates",
    "Subject": "BindingObservations.WasStaleAtRun",
    "TargetTable": "BindingObservations",
    "TargetField": "WasStaleAtRun",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BindingObservations.WasStaleAtRun",
    "IsBlocking": true,
    "IsPassing": true,
    "IsFailing": false,
    "NeedsAttention": false,
    "PassingSuiteKey": "suite-substrate",
    "NeedsAttentionSuiteKey": null
   },
   {
    "TestCaseId": "tc-xlate-binding_observations-is_authoritative_binding",
    "TestKind": "formula-translates",
    "Subject": "BindingObservations.IsAuthoritativeBinding",
    "TargetTable": "BindingObservations",
    "TargetField": "IsAuthoritativeBinding",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BindingObservations.IsAuthoritativeBinding",
    "IsBlocking": true,
    "IsPassing": true,
    "IsFailing": false,
    "NeedsAttention": false,
    "PassingSuiteKey": "suite-substrate",
    "NeedsAttentionSuiteKey": null
   },
   {
    "TestCaseId": "tc-xlate-binding_observations-stale_at_run_step_key",
    "TestKind": "formula-translates",
    "Subject": "BindingObservations.StaleAtRunStepKey",
    "TargetTable": "BindingObservations",
    "TargetField": "StaleAtRunStepKey",
    "Assertion": "The transpiler emitted a real SQL function for this formula rather than a NULL stub.",
    "DefendsQuestion": "q2-fa-stale-then-vs-stale-now",
    "Suite": "suite-substrate",
    "Severity": "blocking",
    "LastOutcome": "PASS",
    "LastDetail": "translated",
    "LastRunAt": "2026-07-20T03:06:49+00:00",
    "SemanticTypeIri": "urn:effortless:pko-extension#TestCase",
    "Name": "formula-translates: BindingObservations.StaleAtRunStepKey",
    "IsBlocking": true,
    "IsPassing": true,
    "IsFailing": false,
    "NeedsAttention": false,
    "PassingSuiteKey": "suite-substrate",
    "NeedsAttentionSuiteKey": null
   },
   {
    "TestCaseId": "tc-xlate-attestations-name",
    "TestKind": "formula-translates",
    "Subject": "Attestations.Name",
    "TargetTable": "Attestations",
    "TargetField": "Name",
    "Assertion": "The transpiler emitted a real SQL function for this formula rather than a NULL stub.",
    "DefendsQuestion": null,
    "Suite": "suite-substrate",
    "Severity": "blocking",
    "LastOutcome": "PASS",
    "LastDetail": "translated",
    "LastRunAt": "2026-07-20T03:06:49+00:00",
    "SemanticTypeIri": "urn:effortless:pko-extension#TestCase",
    "Name": "formula-translates: Attestations.Name",
    "IsBlocking": true,
    "IsPassing": true,
    "IsFailing": false,
    "NeedsAttention": false,
    "PassingSuiteKey": "suite-substrate",
    "NeedsAttentionSuiteKey": null
   },
   {
    "TestCaseId": "tc-xlate-attestations-version_is_fit_now",
    "TestKind": "formula-translates",
    "Subject": "Attestations.VersionIsFitNow",
    "TargetTable": "Attestations",
    "TargetField": "VersionIsFitNow",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Attestations.VersionIsFitNow",
    "IsBlocking": true,
    "IsPassing": true,
    "IsFailing": false,
    "NeedsAttention": false,
    "PassingSuiteKey": "suite-substrate",
    "NeedsAttentionSuiteKey": null
   },
   {
    "TestCaseId": "tc-xlate-attestations-fitness_verdict_has_drifted",
    "TestKind": "formula-translates",
    "Subject": "Attestations.FitnessVerdictHasDrifted",
    "TargetTable": "Attestations",
    "TargetField": "FitnessVerdictHasDrifted",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Attestations.FitnessVerdictHasDrifted",
    "IsBlocking": true,
    "IsPassing": true,
    "IsFailing": false,
    "NeedsAttention": false,
    "PassingSuiteKey": "suite-substrate",
    "NeedsAttentionSuiteKey": null
   },
   {
    "TestCaseId": "tc-xlate-attestations-assurance_grade_now",
    "TestKind": "formula-translates",
    "Subject": "Attestations.AssuranceGradeNow",
    "TargetTable": "Attestations",
    "TargetField": "AssuranceGradeNow",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Attestations.AssuranceGradeNow",
    "IsBlocking": true,
    "IsPassing": true,
    "IsFailing": false,
    "NeedsAttention": false,
    "PassingSuiteKey": "suite-substrate",
    "NeedsAttentionSuiteKey": null
   },
   {
    "TestCaseId": "tc-xlate-attestations-assurance_grade_has_drifted",
    "TestKind": "formula-translates",
    "Subject": "Attestations.AssuranceGradeHasDrifted",
    "TargetTable": "Attestations",
    "TargetField": "AssuranceGradeHasDrifted",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Attestations.AssuranceGradeHasDrifted",
    "IsBlocking": true,
    "IsPassing": true,
    "IsFailing": false,
    "NeedsAttention": false,
    "PassingSuiteKey": "suite-substrate",
    "NeedsAttentionSuiteKey": null
   },
   {
    "TestCaseId": "tc-xlate-attestations-would_not_survive_restatement",
    "TestKind": "formula-translates",
    "Subject": "Attestations.WouldNotSurviveRestatement",
    "TargetTable": "Attestations",
    "TargetField": "WouldNotSurviveRestatement",
    "Assertion": "The transpiler emitted a real SQL function for this formula rather than a NULL stub.",
    "DefendsQuestion": "q2-cfo-would-it-survive-restatement",
    "Suite": "suite-substrate",
    "Severity": "blocking",
    "LastOutcome": "PASS",
    "LastDetail": "translated",
    "LastRunAt": "2026-07-20T03:06:49+00:00",
    "SemanticTypeIri": "urn:effortless:pko-extension#TestCase",
    "Name": "formula-translates: Attestations.WouldNotSurviveRestatement",
    "IsBlocking": true,
    "IsPassing": true,
    "IsFailing": false,
    "NeedsAttention": false,
    "PassingSuiteKey": "suite-substrate",
    "NeedsAttentionSuiteKey": null
   },
   {
    "TestCaseId": "tc-view-rulebook_releases",
    "TestKind": "view-loads",
    "Subject": "vw_rulebook_releases",
    "TargetTable": "RulebookReleases",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vw_rulebook_releases",
    "IsBlocking": true,
    "IsPassing": true,
    "IsFailing": false,
    "NeedsAttention": false,
    "PassingSuiteKey": "suite-substrate",
    "NeedsAttentionSuiteKey": null
   },
   {
    "TestCaseId": "tc-view-ontology_profiles",
    "TestKind": "view-loads",
    "Subject": "vw_ontology_profiles",
    "TargetTable": "OntologyProfiles",
    "TargetField": null,
    "Assertion": "The view exists and answers a SELECT without error.",
    "DefendsQuestion": null,
    "Suite": "suite-substrate",
    "Severity": "blocking",
    "LastOutcome": "PASS",
    "LastDetail": "11 rows, all columns readable",
    "LastRunAt": "2026-07-20T03:06:49+00:00",
    "SemanticTypeIri": "urn:effortless:pko-extension#TestCase",
    "Name": "view-loads: vw_ontology_profiles",
    "IsBlocking": true,
    "IsPassing": true,
    "IsFailing": false,
    "NeedsAttention": false,
    "PassingSuiteKey": "suite-substrate",
    "NeedsAttentionSuiteKey": null
   },
   {
    "TestCaseId": "tc-view-evaluation_contexts",
    "TestKind": "view-loads",
    "Subject": "vw_evaluation_contexts",
    "TargetTable": "EvaluationContexts",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vw_evaluation_contexts",
    "IsBlocking": true,
    "IsPassing": true,
    "IsFailing": false,
    "NeedsAttention": false,
    "PassingSuiteKey": "suite-substrate",
    "NeedsAttentionSuiteKey": null
   },
   {
    "TestCaseId": "tc-view-organizations",
    "TestKind": "view-loads",
    "Subject": "vw_organizations",
    "TargetTable": "Organizations",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vw_organizations",
    "IsBlocking": true,
    "IsPassing": true,
    "IsFailing": false,
    "NeedsAttention": false,
    "PassingSuiteKey": "suite-substrate",
    "NeedsAttentionSuiteKey": null
   },
   {
    "TestCaseId": "tc-view-agents",
    "TestKind": "view-loads",
    "Subject": "vw_agents",
    "TargetTable": "Agents",
    "TargetField": null,
    "Assertion": "The view exists and answers a SELECT without error.",
    "DefendsQuestion": null,
    "Suite": "suite-substrate",
    "Severity": "blocking",
    "LastOutcome": "PASS",
    "LastDetail": "10 rows, all columns readable",
    "LastRunAt": "2026-07-20T03:06:49+00:00",
    "SemanticTypeIri": "urn:effortless:pko-extension#TestCase",
    "Name": "view-loads: vw_agents",
    "IsBlocking": true,
    "IsPassing": true,
    "IsFailing": false,
    "NeedsAttention": false,
    "PassingSuiteKey": "suite-substrate",
    "NeedsAttentionSuiteKey": null
   },
   {
    "TestCaseId": "tc-view-roles",
    "TestKind": "view-loads",
    "Subject": "vw_roles",
    "TargetTable": "Roles",
    "TargetField": null,
    "Assertion": "The view exists and answers a SELECT without error.",
    "DefendsQuestion": null,
    "Suite": "suite-substrate",
    "Severity": "blocking",
    "LastOutcome": "PASS",
    "LastDetail": "12 rows, all columns readable",
    "LastRunAt": "2026-07-20T03:06:49+00:00",
    "SemanticTypeIri": "urn:effortless:pko-extension#TestCase",
    "Name": "view-loads: vw_roles",
    "IsBlocking": true,
    "IsPassing": true,
    "IsFailing": false,
    "NeedsAttention": false,
    "PassingSuiteKey": "suite-substrate",
    "NeedsAttentionSuiteKey": null
   },
   {
    "TestCaseId": "tc-view-role_assignments",
    "TestKind": "view-loads",
    "Subject": "vw_role_assignments",
    "TargetTable": "RoleAssignments",
    "TargetField": null,
    "Assertion": "The view exists and answers a SELECT without error.",
    "DefendsQuestion": null,
    "Suite": "suite-substrate",
    "Severity": "blocking",
    "LastOutcome": "PASS",
    "LastDetail": "13 rows, all columns readable",
    "LastRunAt": "2026-07-20T03:06:49+00:00",
    "SemanticTypeIri": "urn:effortless:pko-extension#TestCase",
    "Name": "view-loads: vw_role_assignments",
    "IsBlocking": true,
    "IsPassing": true,
    "IsFailing": false,
    "NeedsAttention": false,
    "PassingSuiteKey": "suite-substrate",
    "NeedsAttentionSuiteKey": null
   },
   {
    "TestCaseId": "tc-view-communities_of_practice",
    "TestKind": "view-loads",
    "Subject": "vw_communities_of_practice",
    "TargetTable": "CommunitiesOfPractice",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vw_communities_of_practice",
    "IsBlocking": true,
    "IsPassing": true,
    "IsFailing": false,
    "NeedsAttention": false,
    "PassingSuiteKey": "suite-substrate",
    "NeedsAttentionSuiteKey": null
   },
   {
    "TestCaseId": "tc-view-mentorships",
    "TestKind": "view-loads",
    "Subject": "vw_mentorships",
    "TargetTable": "Mentorships",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vw_mentorships",
    "IsBlocking": true,
    "IsPassing": true,
    "IsFailing": false,
    "NeedsAttention": false,
    "PassingSuiteKey": "suite-substrate",
    "NeedsAttentionSuiteKey": null
   },
   {
    "TestCaseId": "tc-view-procedure_types",
    "TestKind": "view-loads",
    "Subject": "vw_procedure_types",
    "TargetTable": "ProcedureTypes",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vw_procedure_types",
    "IsBlocking": true,
    "IsPassing": true,
    "IsFailing": false,
    "NeedsAttention": false,
    "PassingSuiteKey": "suite-substrate",
    "NeedsAttentionSuiteKey": null
   },
   {
    "TestCaseId": "tc-view-procedures",
    "TestKind": "view-loads",
    "Subject": "vw_procedures",
    "TargetTable": "Procedures",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vw_procedures",
    "IsBlocking": true,
    "IsPassing": true,
    "IsFailing": false,
    "NeedsAttention": false,
    "PassingSuiteKey": "suite-substrate",
    "NeedsAttentionSuiteKey": null
   },
   {
    "TestCaseId": "tc-view-procedure_versions",
    "TestKind": "view-loads",
    "Subject": "vw_procedure_versions",
    "TargetTable": "ProcedureVersions",
    "TargetField": null,
    "Assertion": "The view exists and answers a SELECT without error.",
    "DefendsQuestion": null,
    "Suite": "suite-substrate",
    "Sev</t>
  </si>
  <si>
    <t xml:space="preserve">erity": "blocking",
    "LastOutcome": "PASS",
    "LastDetail": "3 rows, all columns readable",
    "LastRunAt": "2026-07-20T03:06:49+00:00",
    "SemanticTypeIri": "urn:effortless:pko-extension#TestCase",
    "Name": "view-loads: vw_procedure_versions",
    "IsBlocking": true,
    "IsPassing": true,
    "IsFailing": false,
    "NeedsAttention": false,
    "PassingSuiteKey": "suite-substrate",
    "NeedsAttentionSuiteKey": null
   },
   {
    "TestCaseId": "tc-view-procedure_version_links",
    "TestKind": "view-loads",
    "Subject": "vw_procedure_version_links",
    "TargetTable": "ProcedureVersionLinks",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vw_procedure_version_links",
    "IsBlocking": true,
    "IsPassing": true,
    "IsFailing": false,
    "NeedsAttention": false,
    "PassingSuiteKey": "suite-substrate",
    "NeedsAttentionSuiteKey": null
   },
   {
    "TestCaseId": "tc-view-procedure_status_changes",
    "TestKind": "view-loads",
    "Subject": "vw_procedure_status_changes",
    "TargetTable": "ProcedureStatusChanges",
    "TargetField": null,
    "Assertion": "The view exists and answers a SELECT without error.",
    "DefendsQuestion": null,
    "Suite": "suite-substrate",
    "Severity": "blocking",
    "LastOutcome": "PASS",
    "LastDetail": "5 rows, all columns readable",
    "LastRunAt": "2026-07-20T03:06:49+00:00",
    "SemanticTypeIri": "urn:effortless:pko-extension#TestCase",
    "Name": "view-loads: vw_procedure_status_changes",
    "IsBlocking": true,
    "IsPassing": true,
    "IsFailing": false,
    "NeedsAttention": false,
    "PassingSuiteKey": "suite-substrate",
    "NeedsAttentionSuiteKey": null
   },
   {
    "TestCaseId": "tc-view-steps",
    "TestKind": "view-loads",
    "Subject": "vw_steps",
    "TargetTable": "Steps",
    "TargetField": null,
    "Assertion": "The view exists and answers a SELECT without error.",
    "DefendsQuestion": null,
    "Suite": "suite-substrate",
    "Severity": "blocking",
    "LastOutcome": "PASS",
    "LastDetail": "17 rows, all columns readable",
    "LastRunAt": "2026-07-20T03:06:49+00:00",
    "SemanticTypeIri": "urn:effortless:pko-extension#TestCase",
    "Name": "view-loads: vw_steps",
    "IsBlocking": true,
    "IsPassing": true,
    "IsFailing": false,
    "NeedsAttention": false,
    "PassingSuiteKey": "suite-substrate",
    "NeedsAttentionSuiteKey": null
   },
   {
    "TestCaseId": "tc-view-step_transitions",
    "TestKind": "view-loads",
    "Subject": "vw_step_transitions",
    "TargetTable": "StepTransitions",
    "TargetField": null,
    "Assertion": "The view exists and answers a SELECT without error.",
    "DefendsQuestion": null,
    "Suite": "suite-substrate",
    "Severity": "blocking",
    "LastOutcome": "PASS",
    "LastDetail": "19 rows, all columns readable",
    "LastRunAt": "2026-07-20T03:06:49+00:00",
    "SemanticTypeIri": "urn:effortless:pko-extension#TestCase",
    "Name": "view-loads: vw_step_transitions",
    "IsBlocking": true,
    "IsPassing": true,
    "IsFailing": false,
    "NeedsAttention": false,
    "PassingSuiteKey": "suite-substrate",
    "NeedsAttentionSuiteKey": null
   },
   {
    "TestCaseId": "tc-view-actions",
    "TestKind": "view-loads",
    "Subject": "vw_actions",
    "TargetTable": "Actions",
    "TargetField": null,
    "Assertion": "The view exists and answers a SELECT without error.",
    "DefendsQuestion": null,
    "Suite": "suite-substrate",
    "Severity": "blocking",
    "LastOutcome": "PASS",
    "LastDetail": "9 rows, all columns readable",
    "LastRunAt": "2026-07-20T03:06:49+00:00",
    "SemanticTypeIri": "urn:effortless:pko-extension#TestCase",
    "Name": "view-loads: vw_actions",
    "IsBlocking": true,
    "IsPassing": true,
    "IsFailing": false,
    "NeedsAttention": false,
    "PassingSuiteKey": "suite-substrate",
    "NeedsAttentionSuiteKey": null
   },
   {
    "TestCaseId": "tc-view-functions",
    "TestKind": "view-loads",
    "Subject": "vw_functions",
    "TargetTable": "Functions",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vw_functions",
    "IsBlocking": true,
    "IsPassing": true,
    "IsFailing": false,
    "NeedsAttention": false,
    "PassingSuiteKey": "suite-substrate",
    "NeedsAttentionSuiteKey": null
   },
   {
    "TestCaseId": "tc-view-tools",
    "TestKind": "view-loads",
    "Subject": "vw_tools",
    "TargetTable": "Tools",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vw_tools",
    "IsBlocking": true,
    "IsPassing": true,
    "IsFailing": false,
    "NeedsAttention": false,
    "PassingSuiteKey": "suite-substrate",
    "NeedsAttentionSuiteKey": null
   },
   {
    "TestCaseId": "tc-view-step_actions",
    "TestKind": "view-loads",
    "Subject": "vw_step_actions",
    "TargetTable": "StepActions",
    "TargetField": null,
    "Assertion": "The view exists and answers a SELECT without error.",
    "DefendsQuestion": null,
    "Suite": "suite-substrate",
    "Severity": "blocking",
    "LastOutcome": "PASS",
    "LastDetail": "9 rows, all columns readable",
    "LastRunAt": "2026-07-20T03:06:49+00:00",
    "SemanticTypeIri": "urn:effortless:pko-extension#TestCase",
    "Name": "view-loads: vw_step_actions",
    "IsBlocking": true,
    "IsPassing": true,
    "IsFailing": false,
    "NeedsAttention": false,
    "PassingSuiteKey": "suite-substrate",
    "NeedsAttentionSuiteKey": null
   },
   {
    "TestCaseId": "tc-view-step_functions",
    "TestKind": "view-loads",
    "Subject": "vw_step_functions",
    "TargetTable": "StepFunctions",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vw_step_functions",
    "IsBlocking": true,
    "IsPassing": true,
    "IsFailing": false,
    "NeedsAttention": false,
    "PassingSuiteKey": "suite-substrate",
    "NeedsAttentionSuiteKey": null
   },
   {
    "TestCaseId": "tc-view-step_tools",
    "TestKind": "view-loads",
    "Subject": "vw_step_tools",
    "TargetTable": "StepTools",
    "TargetField": null,
    "Assertion": "The view exists and answers a SELECT without error.",
    "DefendsQuestion": null,
    "Suite": "suite-substrate",
    "Severity": "blocking",
    "LastOutcome": "PASS",
    "LastDetail": "10 rows, all columns readable",
    "LastRunAt": "2026-07-20T03:06:49+00:00",
    "SemanticTypeIri": "urn:effortless:pko-extension#TestCase",
    "Name": "view-loads: vw_step_tools",
    "IsBlocking": true,
    "IsPassing": true,
    "IsFailing": false,
    "NeedsAttention": false,
    "PassingSuiteKey": "suite-substrate",
    "NeedsAttentionSuiteKey": null
   },
   {
    "TestCaseId": "tc-view-requirements",
    "TestKind": "view-loads",
    "Subject": "vw_requirements",
    "TargetTable": "Requirements",
    "TargetField": null,
    "Assertion": "The view exists and answers a SELECT without error.",
    "DefendsQuestion": null,
    "Suite": "suite-substrate",
    "Severity": "blocking",
    "LastOutcome": "PASS",
    "LastDetail": "13 rows, all columns readable",
    "LastRunAt": "2026-07-20T03:06:49+00:00",
    "SemanticTypeIri": "urn:effortless:pko-extension#TestCase",
    "Name": "view-loads: vw_requirements",
    "IsBlocking": true,
    "IsPassing": true,
    "IsFailing": false,
    "NeedsAttention": false,
    "PassingSuiteKey": "suite-substrate",
    "NeedsAttentionSuiteKey": null
   },
   {
    "TestCaseId": "tc-view-step_requirements",
    "TestKind": "view-loads",
    "Subject": "vw_step_requirements",
    "TargetTable": "StepRequirements",
    "TargetField": null,
    "Assertion": "The view exists and answers a SELECT without error.",
    "DefendsQuestion": null,
    "Suite": "suite-substrate",
    "Severity": "blocking",
    "LastOutcome": "PASS",
    "LastDetail": "15 rows, all columns readable",
    "LastRunAt": "2026-07-20T03:06:49+00:00",
    "SemanticTypeIri": "urn:effortless:pko-extension#TestCase",
    "Name": "view-loads: vw_step_requirements",
    "IsBlocking": true,
    "IsPassing": true,
    "IsFailing": false,
    "NeedsAttention": false,
    "PassingSuiteKey": "suite-substrate",
    "NeedsAttentionSuiteKey": null
   },
   {
    "TestCaseId": "tc-view-step_verifications",
    "TestKind": "view-loads",
    "Subject": "vw_step_verifications",
    "TargetTable": "StepVerifications",
    "TargetField": null,
    "Assertion": "The view exists and answers a SELECT without error.",
    "DefendsQuestion": null,
    "Suite": "suite-substrate",
    "Severity": "blocking",
    "LastOutcome": "PASS",
    "LastDetail": "11 rows, all columns readable",
    "LastRunAt": "2026-07-20T03:06:49+00:00",
    "SemanticTypeIri": "urn:effortless:pko-extension#TestCase",
    "Name": "view-loads: vw_step_verifications",
    "IsBlocking": true,
    "IsPassing": true,
    "IsFailing": false,
    "NeedsAttention": false,
    "PassingSuiteKey": "suite-substrate",
    "NeedsAttentionSuiteKey": null
   },
   {
    "TestCaseId": "tc-view-rationales",
    "TestKind": "view-loads",
    "Subject": "vw_rationales",
    "TargetTable": "Rationales",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vw_rationales",
    "IsBlocking": true,
    "IsPassing": true,
    "IsFailing": false,
    "NeedsAttention": false,
    "PassingSuiteKey": "suite-substrate",
    "NeedsAttentionSuiteKey": null
   },
   {
    "TestCaseId": "tc-view-exceptions",
    "TestKind": "view-loads",
    "Subject": "vw_exceptions",
    "TargetTable": "Exceptions",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vw_exceptions",
    "IsBlocking": true,
    "IsPassing": true,
    "IsFailing": false,
    "NeedsAttention": false,
    "PassingSuiteKey": "suite-substrate",
    "NeedsAttentionSuiteKey": null
   },
   {
    "TestCaseId": "tc-view-resources",
    "TestKind": "view-loads",
    "Subject": "vw_resources",
    "TargetTable": "Resources",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vw_resources",
    "IsBlocking": true,
    "IsPassing": true,
    "IsFailing": false,
    "NeedsAttention": false,
    "PassingSuiteKey": "suite-substrate",
    "NeedsAttentionSuiteKey": null
   },
   {
    "TestCaseId": "tc-view-procedure_resources",
    "TestKind": "view-loads",
    "Subject": "vw_procedure_resources",
    "TargetTable": "ProcedureResources",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vw_procedure_resources",
    "IsBlocking": true,
    "IsPassing": true,
    "IsFailing": false,
    "NeedsAttention": false,
    "PassingSuiteKey": "suite-substrate",
    "NeedsAttentionSuiteKey": null
   },
   {
    "TestCaseId": "tc-view-elicitation_sessions",
    "TestKind": "view-loads",
    "Subject": "vw_elicitation_sessions",
    "TargetTable": "ElicitationSessions",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vw_elicitation_sessions",
    "IsBlocking": true,
    "IsPassing": true,
    "IsFailing": false,
    "NeedsAttention": false,
    "PassingSuiteKey": "suite-substrate",
    "NeedsAttentionSuiteKey": null
   },
   {
    "TestCaseId": "tc-view-knowledge_fragments",
    "TestKind": "view-loads",
    "Subject": "vw_knowledge_fragments",
    "TargetTable": "KnowledgeFragments",
    "TargetField": null,
    "Assertion": "The view exists and answers a SELECT without error.",
    "DefendsQuestion": null,
    "Suite": "suite-substrate",
    "Severity": "blocking",
    "LastOutcome": "PASS",
    "LastDetail": "7 rows, all columns readable",
    "LastRunAt": "2026-07-20T03:06:49+00:00",
    "SemanticTypeIri": "urn:effortless:pko-extension#TestCase",
    "Name": "view-loads: vw_knowledge_fragments",
    "IsBlocking": true,
    "IsPassing": true,
    "IsFailing": false,
    "NeedsAttention": false,
    "PassingSuiteKey": "suite-substrate",
    "NeedsAttentionSuiteKey": null
   },
   {
    "TestCaseId": "tc-view-knowledge_gaps",
    "TestKind": "view-loads",
    "Subject": "vw_knowledge_gaps",
    "TargetTable": "KnowledgeGaps",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vw_knowledge_gaps",
    "IsBlocking": true,
    "IsPassing": true,
    "IsFailing": false,
    "NeedsAttention": false,
    "PassingSuiteKey": "suite-substrate",
    "NeedsAttentionSuiteKey": null
   },
   {
    "TestCaseId": "tc-view-f_a_qs",
    "TestKind": "view-loads",
    "Subject": "vw_f_a_qs",
    "TargetTable": "FAQs",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vw_f_a_qs",
    "IsBlocking": true,
    "IsPassing": true,
    "IsFailing": false,
    "NeedsAttention": false,
    "PassingSuiteKey": "suite-substrate",
    "NeedsAttentionSuiteKey": null
   },
   {
    "TestCaseId": "tc-view-explanations",
    "TestKind": "view-loads",
    "Subject": "vw_explanations",
    "TargetTable": "Explanations",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vw_explanations",
    "IsBlocking": true,
    "IsPassing": true,
    "IsFailing": false,
    "NeedsAttention": false,
    "PassingSuiteKey": "suite-substrate",
    "NeedsAttentionSuiteKey": null
   },
   {
    "TestCaseId": "tc-view-procedure_executions",
    "TestKind": "view-loads",
    "Subject": "vw_procedure_executions",
    "TargetTable": "ProcedureExecutions",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vw_procedure_executions",
    "IsBlocking": true,
    "IsPassing": true,
    "IsFailing": false,
    "NeedsAttention": false,
    "PassingSuiteKey": "suite-substrate",
    "NeedsAttentionSuiteKey": null
   },
   {
    "TestCaseId": "tc-view-step_executions",
    "TestKind": "view-loads",
    "Subject": "vw_step_executions",
    "TargetTable": "StepExecutions",
    "TargetField": null,
    "Assertion": "The view exists and answers a SELECT without error.",
    "DefendsQuestion": null,
    "Suite": "suite-substrate",
    "Severity": "blocking",
    "LastOutcome": "PASS",
    "LastDetail": "12 rows, all columns readable",
    "LastRunAt": "2026-07-20T03:06:49+00:00",
    "SemanticTypeIri": "urn:effortless:pko-extension#TestCase",
    "Name": "view-loads: vw_step_executions",
    "IsBlocking": true,
    "IsPassing": true,
    "IsFailing": false,
    "NeedsAttention": false,
    "PassingSuiteKey": "suite-substrate",
    "NeedsAttentionSuiteKey": null
   },
   {
    "TestCaseId": "tc-view-requirement_satisfactions",
    "TestKind": "view-loads",
    "Subject": "vw_requirement_satisfactions",
    "TargetTable": "RequirementSatisfactions",
    "TargetField": null,
    "Assertion": "The view exists and answers a SELECT without error.",
    "DefendsQuestion": null,
    "Suite": "suite-substrate",
    "Severity": "blocking",
    "LastOutcome": "PASS",
    "LastDetail": "8 rows, all columns readable",
    "LastRunAt": "2026-07-20T03:06:49+00:00",
    "SemanticTypeIri": "urn:effortless:pko-extension#TestCase",
    "Name": "view-loads: vw_requirement_satisfactions",
    "IsBlocking": true,
    "IsPassing": true,
    "IsFailing": false,
    "NeedsAttention": false,
    "PassingSuiteKey": "suite-substrate",
    "NeedsAttentionSuiteKey": null
   },
   {
    "TestCaseId": "tc-view-errors",
    "TestKind": "view-loads",
    "Subject": "vw_errors",
    "TargetTable": "Errors",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vw_errors",
    "IsBlocking": true,
    "IsPassing": true,
    "IsFailing": false,
    "NeedsAttention": false,
    "PassingSuiteKey": "suite-substrate",
    "NeedsAttentionSuiteKey": null
   },
   {
    "TestCaseId": "tc-view-issue_occurrences",
    "TestKind": "view-loads",
    "Subject": "vw_issue_occurrences",
    "TargetTable": "IssueOccurrences",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vw_issue_occurrences",
    "IsBlocking": true,
    "IsPassing": true,
    "IsFailing": false,
    "NeedsAttention": false,
    "PassingSuiteKey": "suite-substrate",
    "NeedsAttentionSuiteKey": null
   },
   {
    "TestCaseId": "tc-view-user_questions",
    "TestKind": "view-loads",
    "Subject": "vw_user_questions",
    "TargetTable": "UserQuestions",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vw_user_questions",
    "IsBlocking": true,
    "IsPassing": true,
    "IsFailing": false,
    "NeedsAttention": false,
    "PassingSuiteKey": "suite-substrate",
    "NeedsAttentionSuiteKey": null
   },
   {
    "TestCaseId": "tc-view-user_feedback",
    "TestKind": "view-loads",
    "Subject": "vw_user_feedback",
    "TargetTable": "UserFeedback",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vw_user_feedback",
    "IsBlocking": true,
    "IsPassing": true,
    "IsFailing": false,
    "NeedsAttention": false,
    "PassingSuiteKey": "suite-substrate",
    "NeedsAttentionSuiteKey": null
   },
   {
    "TestCaseId": "tc-view-stewardship_assignments",
    "TestKind": "view-loads",
    "Subject": "vw_stewardship_assignments",
    "TargetTable": "StewardshipAssignments",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vw_stewardship_assignments",
    "IsBlocking": true,
    "IsPassing": true,
    "IsFailing": false,
    "NeedsAttention": false,
    "PassingSuiteKey": "suite-substrate",
    "NeedsAttentionSuiteKey": null
   },
   {
    "TestCaseId": "tc-view-change_requests",
    "TestKind": "view-loads",
    "Subject": "vw_change_requests",
    "TargetTable": "ChangeRequests",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vw_change_requests",
    "IsBlocking": true,
    "IsPassing": true,
    "IsFailing": false,
    "NeedsAttention": false,
    "PassingSuiteKey": "suite-substrate",
    "NeedsAttentionSuiteKey": null
   },
   {
    "TestCaseId": "tc-view-review_events",
    "TestKind": "view-loads",
    "Subject": "vw_review_events",
    "TargetTable": "ReviewEvents",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vw_review_events",
    "IsBlocking": true,
    "IsPassing": true,
    "IsFailing": false,
    "NeedsAttention": false,
    "PassingSuiteKey": "suite-substrate",
    "NeedsAttentionSuiteKey": null
   },
   {
    "TestCaseId": "tc-view-learning_activities",
    "TestKind": "view-loads",
    "Subject": "vw_learning_activities",
    "TargetTable": "LearningActivities",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vw_learning_activities",
    "IsBlocking": true,
    "IsPassing": true,
    "IsFailing": false,
    "NeedsAttention": false,
    "PassingSuiteKey": "suite-substrate",
    "NeedsAttentionSuiteKey": null
   },
   {
    "TestCaseId": "tc-view-operational_bindings",
    "TestKind": "view-loads",
    "Subject": "vw_operational_bindings",
    "TargetTable": "OperationalBindings",
    "TargetField": null,
    "Assertion": "The view exists and answers a SELECT without error.",
    "DefendsQuestion": null,
    "Suite": "suite-substrate",
    "Severity": "blocking",
    "LastOutcome": "PASS",
    "LastDetail": "5 rows, all columns readable",
    "LastRunAt": "2026-07-20T03:06:49+00:00",
    "SemanticTypeIri": "urn:effortless:pko-extension#TestCase",
    "Name": "view-loads: vw_operational_bindings",
    "IsBlocking": true,
    "IsPassing": true,
    "IsFailing": false,
    "NeedsAttention": false,
    "PassingSuiteKey": "suite-substrate",
    "NeedsAttentionSuiteKey": null
   },
   {
    "TestCaseId": "tc-view-communication_policies",
    "TestKind": "view-loads",
    "Subject": "vw_communication_policies",
    "TargetTable": "CommunicationPolicies",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vw_communication_policies",
    "IsBlocking": true,
    "IsPassing": true,
    "IsFailing": false,
    "NeedsAttention": false,
    "PassingSuiteKey": "suite-substrate",
    "NeedsAttentionSuiteKey": null
   },
   {
    "TestCaseId": "tc-view-message_templates",
    "TestKind": "view-loads",
    "Subject": "vw_message_templates",
    "TargetTable": "MessageTemplates",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vw_message_templates",
    "IsBlocking": true,
    "IsPassing": true,
    "IsFailing": false,
    "NeedsAttention": false,
    "PassingSuiteKey": "suite-substrate",
    "NeedsAttentionSuiteKey": null
   },
   {
    "TestCaseId": "tc-view-semantic_mappings",
    "TestKind": "view-loads",
    "Subject": "vw_semantic_mappings",
    "TargetTable": "SemanticMappings",
    "TargetField": null,
    "Assertion": "The view exists and answers a SELECT without error.",
    "DefendsQuestion": null,
    "Suite": "suite-substrate",
    "Severity": "blocking",
    "LastOutcome": "PASS",
    "LastDetail": "32 rows, all columns readable",
    "LastRunAt": "2026-07-20T03:06:49+00:00",
    "SemanticTypeIri": "urn:effortless:pko-extension#TestCase",
    "Name": "view-loads: vw_semantic_mappings",
    "IsBlocking": true,
    "IsPassing": true,
    "IsFailing": false,
    "NeedsAttention": false,
    "PassingSuiteKey": "suite-substrate",
    "NeedsAttentionSuiteKey": null
   },
   {
    "TestCaseId": "tc-view-witness_loops",
    "TestKind": "view-loads",
    "Subject": "vw_witness_loops",
    "TargetTable": "WitnessLoops",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vw_witness_loops",
    "IsBlocking": true,
    "IsPassing": true,
    "IsFailing": false,
    "NeedsAttention": false,
    "PassingSuiteKey": "suite-substrate",
    "NeedsAttentionSuiteKey": null
   },
   {
    "TestCaseId": "tc-view-role_questions",
    "TestKind": "view-loads",
    "Subject": "vw_role_questions",
    "TargetTable": "RoleQuestions",
    "TargetField": null,
    "Assertion": "The view exists and answers a SELECT without error.",
    "DefendsQuestion": null,
    "Suite": "suite-substrate",
    "Severity": "blocking",
    "LastOutcome": "PASS",
    "LastDetail": "105 rows, all columns readable",
    "LastRunAt": "2026-07-20T03:06:49+00:00",
    "SemanticTypeIri": "urn:effortless:pko-extension#TestCase",
    "Name": "view-loads: vw_role_questions",
    "IsBlocking": true,
    "IsPassing": true,
    "IsFailing": false,
    "NeedsAttention": false,
    "PassingSuiteKey": "suite-substrate",
    "NeedsAttentionSuiteKey": null
   },
   {
    "TestCaseId": "tc-view-rulebook_fields",
    "TestKind": "view-loads",
    "Subject": "vw_rulebook_fields",
    "TargetTable": "RulebookFields",
    "TargetField": null,
    "Assertion": "The view exists and answers a SELECT without error.",
    "DefendsQuestion": null,
    "Suite": "suite-substrate",
    "Severity": "blocking",
    "LastOutcome": "PASS",
    "LastDetail": "1521 rows, all columns readable",
    "LastRunAt": "2026-07-20T03:06:49+00:00",
    "SemanticTypeIri": "urn:effortless:pko-extension#TestCase",
    "Name": "view-loads: vw_rulebook_fields",
    "IsBlocking": true,
    "IsPassing": true,
    "IsFailing": false,
    "NeedsAttention": false,
    "PassingSuiteKey": "suite-substrate",
    "NeedsAttentionSuiteKey": null
   },
   {
    "TestCaseId": "tc-view-test_suites",
    "TestKind": "view-loads",
    "Subject": "vw_test_suites",
    "TargetTable": "TestSuites",
    "TargetField": null,
    "Assertion": "The view exists and answers a SELECT without error.",
    "DefendsQuestion": null,
    "Suite": "suite-substrate",
    "Severity": "blocking",
    "LastOutcome": "PASS",
    "LastDetail": "6 rows, all columns readable",
    "LastRunAt": "2026-07-20T03:06:49+00:00",
    "SemanticTypeIri": "urn:effortless:pko-extension#TestCase",
    "Name": "view-loads: vw_test_suites",
    "IsBlocking": true,
    "IsPassing": true,
    "IsFailing": false,
    "NeedsAttention": false,
    "PassingSuiteKey": "suite-substrate",
    "NeedsAttentionSuiteKey": null
   },
   {
    "TestCaseId": "tc-view-test_cases",
    "TestKind": "view-loads",
    "Subject": "vw_test_cases",
    "TargetTable": "TestCases",
    "TargetField": null,
    "Assertion": "The view exists and answers a SELECT without error.",
    "DefendsQuestion": null,
    "Suite": "suite-substrate",
    "Severity": "blocking",
    "LastOutcome": "PASS",
    "LastDetail": "1794 rows, all columns readable",
    "LastRunAt": "2026-07-20T03:06:49+00:00",
    "SemanticTypeIri": "urn:effortless:pko-extension#TestCase",
    "Name": "view-loads: vw_test_cases",
    "IsBlocking": true,
    "IsPassing": true,
    "IsFailing": false,
    "NeedsAttention": false,
    "PassingSuiteKey": "suite-substrate",
    "NeedsAttentionSuiteKey": null
   },
   {
    "TestCaseId": "tc-view-e_r_b_versions",
    "TestKind": "view-loads",
    "Subject": "vw_e_r_b_versions",
    "TargetTable": "ERBVersions",
    "TargetField": null,
    "Assertion": "The view exists and answers a SELECT without error.",
    "DefendsQuestion": null,
    "Suite": "suite-substrate",
    "Severity": "blocking",
    "LastOutcome": "SKIP",
    "LastDetail": "bookkeeping table, intentionally not a view",
    "LastRunAt": "2026-07-20T03:06:49+00:00",
    "SemanticTypeIri": "urn:effortless:pko-extension#TestCase",
    "Name": "view-loads: vw_e_r_b_versions",
    "IsBlocking": true,
    "IsPassing": false,
   </t>
  </si>
  <si>
    <t xml:space="preserve"> "IsFailing": false,
    "NeedsAttention": false,
    "PassingSuiteKey": null,
    "NeedsAttentionSuiteKey": null
   },
   {
    "TestCaseId": "tc-view-e_r_b_customizations",
    "TestKind": "view-loads",
    "Subject": "vw_e_r_b_customizations",
    "TargetTable": "ERBCustomizations",
    "TargetField": null,
    "Assertion": "The view exists and answers a SELECT without error.",
    "DefendsQuestion": null,
    "Suite": "suite-substrate",
    "Severity": "blocking",
    "LastOutcome": "SKIP",
    "LastDetail": "bookkeeping table, intentionally not a view",
    "LastRunAt": "2026-07-20T03:06:49+00:00",
    "SemanticTypeIri": "urn:effortless:pko-extension#TestCase",
    "Name": "view-loads: vw_e_r_b_customizations",
    "IsBlocking": true,
    "IsPassing": false,
    "IsFailing": false,
    "NeedsAttention": false,
    "PassingSuiteKey": null,
    "NeedsAttentionSuiteKey": null
   },
   {
    "TestCaseId": "tc-view-exception_invocations",
    "TestKind": "view-loads",
    "Subject": "vw_exception_invocations",
    "TargetTable": "ExceptionInvocations",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vw_exception_invocations",
    "IsBlocking": true,
    "IsPassing": true,
    "IsFailing": false,
    "NeedsAttention": false,
    "PassingSuiteKey": "suite-substrate",
    "NeedsAttentionSuiteKey": null
   },
   {
    "TestCaseId": "tc-view-verification_outcomes",
    "TestKind": "view-loads",
    "Subject": "vw_verification_outcomes",
    "TargetTable": "VerificationOutcomes",
    "TargetField": null,
    "Assertion": "The view exists and answers a SELECT without error.",
    "DefendsQuestion": null,
    "Suite": "suite-substrate",
    "Severity": "blocking",
    "LastOutcome": "PASS",
    "LastDetail": "4 rows, all columns readable",
    "LastRunAt": "2026-07-20T03:06:49+00:00",
    "SemanticTypeIri": "urn:effortless:pko-extension#TestCase",
    "Name": "view-loads: vw_verification_outcomes",
    "IsBlocking": true,
    "IsPassing": true,
    "IsFailing": false,
    "NeedsAttention": false,
    "PassingSuiteKey": "suite-substrate",
    "NeedsAttentionSuiteKey": null
   },
   {
    "TestCaseId": "tc-view-observed_transitions",
    "TestKind": "view-loads",
    "Subject": "vw_observed_transitions",
    "TargetTable": "ObservedTransitions",
    "TargetField": null,
    "Assertion": "The view exists and answers a SELECT without error.",
    "DefendsQuestion": null,
    "Suite": "suite-substrate",
    "Severity": "blocking",
    "LastOutcome": "PASS",
    "LastDetail": "10 rows, all columns readable",
    "LastRunAt": "2026-07-20T03:06:49+00:00",
    "SemanticTypeIri": "urn:effortless:pko-extension#TestCase",
    "Name": "view-loads: vw_observed_transitions",
    "IsBlocking": true,
    "IsPassing": true,
    "IsFailing": false,
    "NeedsAttention": false,
    "PassingSuiteKey": "suite-substrate",
    "NeedsAttentionSuiteKey": null
   },
   {
    "TestCaseId": "tc-view-recipients",
    "TestKind": "view-loads",
    "Subject": "vw_recipients",
    "TargetTable": "Recipients",
    "TargetField": null,
    "Assertion": "The view exists and answers a SELECT without error.",
    "DefendsQuestion": null,
    "Suite": "suite-substrate",
    "Severity": "blocking",
    "LastOutcome": "PASS",
    "LastDetail": "5 rows, all columns readable",
    "LastRunAt": "2026-07-20T03:06:49+00:00",
    "SemanticTypeIri": "urn:effortless:pko-extension#TestCase",
    "Name": "view-loads: vw_recipients",
    "IsBlocking": true,
    "IsPassing": true,
    "IsFailing": false,
    "NeedsAttention": false,
    "PassingSuiteKey": "suite-substrate",
    "NeedsAttentionSuiteKey": null
   },
   {
    "TestCaseId": "tc-view-message_deliveries",
    "TestKind": "view-loads",
    "Subject": "vw_message_deliveries",
    "TargetTable": "MessageDeliveries",
    "TargetField": null,
    "Assertion": "The view exists and answers a SELECT without error.",
    "DefendsQuestion": null,
    "Suite": "suite-substrate",
    "Severity": "blocking",
    "LastOutcome": "PASS",
    "LastDetail": "6 rows, all columns readable",
    "LastRunAt": "2026-07-20T03:06:49+00:00",
    "SemanticTypeIri": "urn:effortless:pko-extension#TestCase",
    "Name": "view-loads: vw_message_deliveries",
    "IsBlocking": true,
    "IsPassing": true,
    "IsFailing": false,
    "NeedsAttention": false,
    "PassingSuiteKey": "suite-substrate",
    "NeedsAttentionSuiteKey": null
   },
   {
    "TestCaseId": "tc-view-template_approvals",
    "TestKind": "view-loads",
    "Subject": "vw_template_approvals",
    "TargetTable": "TemplateApprovals",
    "TargetField": null,
    "Assertion": "The view exists and answers a SELECT without error.",
    "DefendsQuestion": null,
    "Suite": "suite-substrate",
    "Severity": "blocking",
    "LastOutcome": "PASS",
    "LastDetail": "2 rows, all columns readable",
    "LastRunAt": "2026-07-20T03:06:49+00:00",
    "SemanticTypeIri": "urn:effortless:pko-extension#TestCase",
    "Name": "view-loads: vw_template_approvals",
    "IsBlocking": true,
    "IsPassing": true,
    "IsFailing": false,
    "NeedsAttention": false,
    "PassingSuiteKey": "suite-substrate",
    "NeedsAttentionSuiteKey": null
   },
   {
    "TestCaseId": "tc-view-send_intents",
    "TestKind": "view-loads",
    "Subject": "vw_send_intents",
    "TargetTable": "SendIntents",
    "TargetField": null,
    "Assertion": "The view exists and answers a SELECT without error.",
    "DefendsQuestion": null,
    "Suite": "suite-substrate",
    "Severity": "blocking",
    "LastOutcome": "PASS",
    "LastDetail": "7 rows, all columns readable",
    "LastRunAt": "2026-07-20T03:06:49+00:00",
    "SemanticTypeIri": "urn:effortless:pko-extension#TestCase",
    "Name": "view-loads: vw_send_intents",
    "IsBlocking": true,
    "IsPassing": true,
    "IsFailing": false,
    "NeedsAttention": false,
    "PassingSuiteKey": "suite-substrate",
    "NeedsAttentionSuiteKey": null
   },
   {
    "TestCaseId": "tc-view-agent_decision_records",
    "TestKind": "view-loads",
    "Subject": "vw_agent_decision_records",
    "TargetTable": "AgentDecisionRecords",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vw_agent_decision_records",
    "IsBlocking": true,
    "IsPassing": true,
    "IsFailing": false,
    "NeedsAttention": false,
    "PassingSuiteKey": "suite-substrate",
    "NeedsAttentionSuiteKey": null
   },
   {
    "TestCaseId": "tc-view-delivered_communications",
    "TestKind": "view-loads",
    "Subject": "vw_delivered_communications",
    "TargetTable": "DeliveredCommunications",
    "TargetField": null,
    "Assertion": "The view exists and answers a SELECT without error.",
    "DefendsQuestion": null,
    "Suite": "suite-substrate",
    "Severity": "blocking",
    "LastOutcome": "PASS",
    "LastDetail": "1 rows, all columns readable",
    "LastRunAt": "2026-07-20T03:06:49+00:00",
    "SemanticTypeIri": "urn:effortless:pko-extension#TestCase",
    "Name": "view-loads: vw_delivered_communications",
    "IsBlocking": true,
    "IsPassing": true,
    "IsFailing": false,
    "NeedsAttention": false,
    "PassingSuiteKey": "suite-substrate",
    "NeedsAttentionSuiteKey": null
   },
   {
    "TestCaseId": "tc-view-authority_boundaries",
    "TestKind": "view-loads",
    "Subject": "vw_authority_boundaries",
    "TargetTable": "AuthorityBoundaries",
    "TargetField": null,
    "Assertion": "The view exists and answers a SELECT without error.",
    "DefendsQuestion": null,
    "Suite": "suite-substrate",
    "Severity": "blocking",
    "LastOutcome": "PASS",
    "LastDetail": "3 rows, all columns readable",
    "LastRunAt": "2026-07-20T03:06:49+00:00",
    "SemanticTypeIri": "urn:effortless:pko-extension#TestCase",
    "Name": "view-loads: vw_authority_boundaries",
    "IsBlocking": true,
    "IsPassing": true,
    "IsFailing": false,
    "NeedsAttention": false,
    "PassingSuiteKey": "suite-substrate",
    "NeedsAttentionSuiteKey": null
   },
   {
    "TestCaseId": "tc-view-binding_observations",
    "TestKind": "view-loads",
    "Subject": "vw_binding_observations",
    "TargetTable": "BindingObservations",
    "TargetField": null,
    "Assertion": "The view exists and answers a SELECT without error.",
    "DefendsQuestion": null,
    "Suite": "suite-substrate",
    "Severity": "blocking",
    "LastOutcome": "PASS",
    "LastDetail": "0 rows, all columns readable",
    "LastRunAt": "2026-07-20T03:06:49+00:00",
    "SemanticTypeIri": "urn:effortless:pko-extension#TestCase",
    "Name": "view-loads: vw_binding_observations",
    "IsBlocking": true,
    "IsPassing": true,
    "IsFailing": false,
    "NeedsAttention": false,
    "PassingSuiteKey": "suite-substrate",
    "NeedsAttentionSuiteKey": null
   },
   {
    "TestCaseId": "tc-view-attestations",
    "TestKind": "view-loads",
    "Subject": "vw_attestations",
    "TargetTable": "Attestations",
    "TargetField": null,
    "Assertion": "The view exists and answers a SELECT without error.",
    "DefendsQuestion": null,
    "Suite": "suite-substrate",
    "Severity": "blocking",
    "LastOutcome": "PASS",
    "LastDetail": "0 rows, all columns readable",
    "LastRunAt": "2026-07-20T03:06:49+00:00",
    "SemanticTypeIri": "urn:effortless:pko-extension#TestCase",
    "Name": "view-loads: vw_attestations",
    "IsBlocking": true,
    "IsPassing": true,
    "IsFailing": false,
    "NeedsAttention": false,
    "PassingSuiteKey": "suite-substrate",
    "NeedsAttentionSuiteKey": null
   },
   {
    "TestCaseId": "tc-fk-agents-organization",
    "TestKind": "fk-resolves",
    "Subject": "Agents.Organization -&gt; Organizations",
    "TargetTable": "Agents",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Agents.Organization -&gt; Organizations",
    "IsBlocking": true,
    "IsPassing": true,
    "IsFailing": false,
    "NeedsAttention": false,
    "PassingSuiteKey": "suite-integrity",
    "NeedsAttentionSuiteKey": null
   },
   {
    "TestCaseId": "tc-fk-roles-organization",
    "TestKind": "fk-resolves",
    "Subject": "Roles.Organization -&gt; Organizations",
    "TargetTable": "Roles",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Roles.Organization -&gt; Organizations",
    "IsBlocking": true,
    "IsPassing": true,
    "IsFailing": false,
    "NeedsAttention": false,
    "PassingSuiteKey": "suite-integrity",
    "NeedsAttentionSuiteKey": null
   },
   {
    "TestCaseId": "tc-fk-roles-current_agent",
    "TestKind": "fk-resolves",
    "Subject": "Roles.CurrentAgent -&gt; Agents",
    "TargetTable": "Roles",
    "TargetField": "CurrentAgent",
    "Assertion": "Every non-null value resolves to an existing Agents row.",
    "DefendsQuestion": null,
    "Suite": "suite-integrity",
    "Severity": "blocking",
    "LastOutcome": "PASS",
    "LastDetail": "all values resolve",
    "LastRunAt": "2026-07-20T03:06:49+00:00",
    "SemanticTypeIri": "urn:effortless:pko-extension#TestCase",
    "Name": "fk-resolves: Roles.CurrentAgent -&gt; Agents",
    "IsBlocking": true,
    "IsPassing": true,
    "IsFailing": false,
    "NeedsAttention": false,
    "PassingSuiteKey": "suite-integrity",
    "NeedsAttentionSuiteKey": null
   },
   {
    "TestCaseId": "tc-fk-role_assignments-role",
    "TestKind": "fk-resolves",
    "Subject": "RoleAssignments.Role -&gt; Roles",
    "TargetTable": "RoleAssignments",
    "TargetField": "Role",
    "Assertion": "Every non-null value resolves to an existing Roles row.",
    "DefendsQuestion": null,
    "Suite": "suite-integrity",
    "Severity": "blocking",
    "LastOutcome": "PASS",
    "LastDetail": "all values resolve",
    "LastRunAt": "2026-07-20T03:06:49+00:00",
    "SemanticTypeIri": "urn:effortless:pko-extension#TestCase",
    "Name": "fk-resolves: RoleAssignments.Role -&gt; Roles",
    "IsBlocking": true,
    "IsPassing": true,
    "IsFailing": false,
    "NeedsAttention": false,
    "PassingSuiteKey": "suite-integrity",
    "NeedsAttentionSuiteKey": null
   },
   {
    "TestCaseId": "tc-fk-role_assignments-agent",
    "TestKind": "fk-resolves",
    "Subject": "RoleAssignments.Agent -&gt; Agents",
    "TargetTable": "RoleAssignments",
    "TargetField": "Agent",
    "Assertion": "Every non-null value resolves to an existing Agents row.",
    "DefendsQuestion": null,
    "Suite": "suite-integrity",
    "Severity": "blocking",
    "LastOutcome": "PASS",
    "LastDetail": "all values resolve",
    "LastRunAt": "2026-07-20T03:06:49+00:00",
    "SemanticTypeIri": "urn:effortless:pko-extension#TestCase",
    "Name": "fk-resolves: RoleAssignments.Agent -&gt; Agents",
    "IsBlocking": true,
    "IsPassing": true,
    "IsFailing": false,
    "NeedsAttention": false,
    "PassingSuiteKey": "suite-integrity",
    "NeedsAttentionSuiteKey": null
   },
   {
    "TestCaseId": "tc-fk-role_assignments-evaluation_context",
    "TestKind": "fk-resolves",
    "Subject": "RoleAssignments.EvaluationContext -&gt; EvaluationContexts",
    "TargetTable": "RoleAssignments",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RoleAssignments.EvaluationContext -&gt; EvaluationContexts",
    "IsBlocking": true,
    "IsPassing": true,
    "IsFailing": false,
    "NeedsAttention": false,
    "PassingSuiteKey": "suite-integrity",
    "NeedsAttentionSuiteKey": null
   },
   {
    "TestCaseId": "tc-fk-role_assignments-supersedes_assignment",
    "TestKind": "fk-resolves",
    "Subject": "RoleAssignments.SupersedesAssignment -&gt; RoleAssignments",
    "TargetTable": "RoleAssignments",
    "TargetField": "SupersedesAssignment",
    "Assertion": "Every non-null value resolves to an existing RoleAssignments row.",
    "DefendsQuestion": null,
    "Suite": "suite-integrity",
    "Severity": "blocking",
    "LastOutcome": "PASS",
    "LastDetail": "all values resolve",
    "LastRunAt": "2026-07-20T03:06:49+00:00",
    "SemanticTypeIri": "urn:effortless:pko-extension#TestCase",
    "Name": "fk-resolves: RoleAssignments.SupersedesAssignment -&gt; RoleAssignments",
    "IsBlocking": true,
    "IsPassing": true,
    "IsFailing": false,
    "NeedsAttention": false,
    "PassingSuiteKey": "suite-integrity",
    "NeedsAttentionSuiteKey": null
   },
   {
    "TestCaseId": "tc-fk-role_assignments-approving_authority_role",
    "TestKind": "fk-resolves",
    "Subject": "RoleAssignments.ApprovingAuthorityRole -&gt; Roles",
    "TargetTable": "RoleAssignments",
    "TargetField": "ApprovingAuthorityRole",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RoleAssignments.ApprovingAuthorityRole -&gt; Roles",
    "IsBlocking": true,
    "IsPassing": true,
    "IsFailing": false,
    "NeedsAttention": false,
    "PassingSuiteKey": "suite-integrity",
    "NeedsAttentionSuiteKey": null
   },
   {
    "TestCaseId": "tc-fk-role_assignments-authorizing_change_request",
    "TestKind": "fk-resolves",
    "Subject": "RoleAssignments.AuthorizingChangeRequest -&gt; ChangeRequests",
    "TargetTable": "RoleAssignments",
    "TargetField": "AuthorizingChangeRequest",
    "Assertion": "Every non-null value resolves to an existing ChangeRequests row.",
    "DefendsQuestion": null,
    "Suite": "suite-integrity",
    "Severity": "blocking",
    "LastOutcome": "PASS",
    "LastDetail": "all values resolve",
    "LastRunAt": "2026-07-20T03:06:49+00:00",
    "SemanticTypeIri": "urn:effortless:pko-extension#TestCase",
    "Name": "fk-resolves: RoleAssignments.AuthorizingChangeRequest -&gt; ChangeRequests",
    "IsBlocking": true,
    "IsPassing": true,
    "IsFailing": false,
    "NeedsAttention": false,
    "PassingSuiteKey": "suite-integrity",
    "NeedsAttentionSuiteKey": null
   },
   {
    "TestCaseId": "tc-fk-communities_of_practice-organization",
    "TestKind": "fk-resolves",
    "Subject": "CommunitiesOfPractice.Organization -&gt; Organizations",
    "TargetTable": "CommunitiesOfPractice",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CommunitiesOfPractice.Organization -&gt; Organizations",
    "IsBlocking": true,
    "IsPassing": true,
    "IsFailing": false,
    "NeedsAttention": false,
    "PassingSuiteKey": "suite-integrity",
    "NeedsAttentionSuiteKey": null
   },
   {
    "TestCaseId": "tc-fk-communities_of_practice-steward_role",
    "TestKind": "fk-resolves",
    "Subject": "CommunitiesOfPractice.StewardRole -&gt; Roles",
    "TargetTable": "CommunitiesOfPractice",
    "TargetField": "StewardRole",
    "Assertion": "Every non-null value resolves to an existing Roles row.",
    "DefendsQuestion": null,
    "Suite": "suite-integrity",
    "Severity": "blocking",
    "LastOutcome": "PASS",
    "LastDetail": "all values resolve",
    "LastRunAt": "2026-07-20T03:06:49+00:00",
    "SemanticTypeIri": "urn:effortless:pko-extension#TestCase",
    "Name": "fk-resolves: CommunitiesOfPractice.StewardRole -&gt; Roles",
    "IsBlocking": true,
    "IsPassing": true,
    "IsFailing": false,
    "NeedsAttention": false,
    "PassingSuiteKey": "suite-integrity",
    "NeedsAttentionSuiteKey": null
   },
   {
    "TestCaseId": "tc-fk-mentorships-community_of_practice",
    "TestKind": "fk-resolves",
    "Subject": "Mentorships.CommunityOfPractice -&gt; CommunitiesOfPractice",
    "TargetTable": "Mentorships",
    "TargetField": "CommunityOfPractice",
    "Assertion": "Every non-null value resolves to an existing CommunitiesOfPractice row.",
    "DefendsQuestion": null,
    "Suite": "suite-integrity",
    "Severity": "blocking",
    "LastOutcome": "PASS",
    "LastDetail": "all values resolve",
    "LastRunAt": "2026-07-20T03:06:49+00:00",
    "SemanticTypeIri": "urn:effortless:pko-extension#TestCase",
    "Name": "fk-resolves: Mentorships.CommunityOfPractice -&gt; CommunitiesOfPractice",
    "IsBlocking": true,
    "IsPassing": true,
    "IsFailing": false,
    "NeedsAttention": false,
    "PassingSuiteKey": "suite-integrity",
    "NeedsAttentionSuiteKey": null
   },
   {
    "TestCaseId": "tc-fk-mentorships-mentor_agent",
    "TestKind": "fk-resolves",
    "Subject": "Mentorships.MentorAgent -&gt; Agents",
    "TargetTable": "Mentorships",
    "TargetField": "MentorAgent",
    "Assertion": "Every non-null value resolves to an existing Agents row.",
    "DefendsQuestion": null,
    "Suite": "suite-integrity",
    "Severity": "blocking",
    "LastOutcome": "PASS",
    "LastDetail": "all values resolve",
    "LastRunAt": "2026-07-20T03:06:49+00:00",
    "SemanticTypeIri": "urn:effortless:pko-extension#TestCase",
    "Name": "fk-resolves: Mentorships.MentorAgent -&gt; Agents",
    "IsBlocking": true,
    "IsPassing": true,
    "IsFailing": false,
    "NeedsAttention": false,
    "PassingSuiteKey": "suite-integrity",
    "NeedsAttentionSuiteKey": null
   },
   {
    "TestCaseId": "tc-fk-mentorships-learner_agent",
    "TestKind": "fk-resolves",
    "Subject": "Mentorships.LearnerAgent -&gt; Agents",
    "TargetTable": "Mentorships",
    "TargetField": "LearnerAgent",
    "Assertion": "Every non-null value resolves to an existing Agents row.",
    "DefendsQuestion": null,
    "Suite": "suite-integrity",
    "Severity": "blocking",
    "LastOutcome": "PASS",
    "LastDetail": "all values resolve",
    "LastRunAt": "2026-07-20T03:06:49+00:00",
    "SemanticTypeIri": "urn:effortless:pko-extension#TestCase",
    "Name": "fk-resolves: Mentorships.LearnerAgent -&gt; Agents",
    "IsBlocking": true,
    "IsPassing": true,
    "IsFailing": false,
    "NeedsAttention": false,
    "PassingSuiteKey": "suite-integrity",
    "NeedsAttentionSuiteKey": null
   },
   {
    "TestCaseId": "tc-fk-procedures-procedure_type",
    "TestKind": "fk-resolves",
    "Subject": "Procedures.ProcedureType -&gt; ProcedureTypes",
    "TargetTable": "Procedures",
    "TargetField": "ProcedureType",
    "Assertion": "Every non-null value resolves to an existing ProcedureTypes row.",
    "DefendsQuestion": null,
    "Suite": "suite-integrity",
    "Severity": "blocking",
    "LastOutcome": "PASS",
    "LastDetail": "all values resolve",
    "LastRunAt": "2026-07-20T03:06:49+00:00",
    "SemanticTypeIri": "urn:effortless:pko-extension#TestCase",
    "Name": "fk-resolves: Procedures.ProcedureType -&gt; ProcedureTypes",
    "IsBlocking": true,
    "IsPassing": true,
    "IsFailing": false,
    "NeedsAttention": false,
    "PassingSuiteKey": "suite-integrity",
    "NeedsAttentionSuiteKey": null
   },
   {
    "TestCaseId": "tc-fk-procedures-owner_organization",
    "TestKind": "fk-resolves",
    "Subject": "Procedures.OwnerOrganization -&gt; Organizations",
    "TargetTable": "Procedures",
    "TargetField": "OwnerOrganization",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Procedures.OwnerOrganization -&gt; Organizations",
    "IsBlocking": true,
    "IsPassing": true,
    "IsFailing": false,
    "NeedsAttention": false,
    "PassingSuiteKey": "suite-integrity",
    "NeedsAttentionSuiteKey": null
   },
   {
    "TestCaseId": "tc-fk-procedures-adopted_by_organization",
    "TestKind": "fk-resolves",
    "Subject": "Procedures.AdoptedByOrganization -&gt; Organizations",
    "TargetTable": "Procedures",
    "TargetField": "AdoptedByOrganization",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Procedures.AdoptedByOrganization -&gt; Organizations",
    "IsBlocking": true,
    "IsPassing": true,
    "IsFailing": false,
    "NeedsAttention": false,
    "PassingSuiteKey": "suite-integrity",
    "NeedsAttentionSuiteKey": null
   },
   {
    "TestCaseId": "tc-fk-procedure_versions-procedure",
    "TestKind": "fk-resolves",
    "Subject": "ProcedureVersions.Procedure -&gt; Procedures",
    "TargetTable": "ProcedureVersions",
    "TargetField": "Procedure",
    "Assertion": "Every non-null value resolves to an existing Procedures row.",
    "DefendsQuestion": null,
    "Suite": "suite-integrity",
    "Severity": "blocking",
    "LastOutcome": "PASS",
    "LastDetail": "all values resolve",
    "LastRunAt": "2026-07-20T03:06:49+00:00",
    "SemanticTypeIri": "urn:effortless:pko-extension#TestCase",
    "Name": "fk-resolves: ProcedureVersions.Procedure -&gt; Procedures",
    "IsBlocking": true,
    "IsPassing": true,
    "IsFailing": false,
    "NeedsAttention": false,
    "PassingSuiteKey": "suite-integrity",
    "NeedsAttentionSuiteKey": null
   },
   {
    "TestCaseId": "tc-fk-procedure_versions-created_by_agent",
    "TestKind": "fk-resolves",
    "Subject": "ProcedureVersions.CreatedByAgent -&gt; Agents",
    "TargetTable": "ProcedureVersions",
    "TargetField": "CreatedByAgent",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ProcedureVersions.CreatedByAgent -&gt; Agents",
    "IsBlocking": true,
    "IsPassing": true,
    "IsFailing": false,
    "NeedsAttention": false,
    "PassingSuiteKey": "suite-integrity",
    "NeedsAttentionSuiteKey": null
   },
   {
    "TestCaseId": "tc-fk-procedure_versions-modified_by_agent",
    "TestKind": "fk-resolves",
    "Subject": "ProcedureVersions.ModifiedByAgent -&gt; Agents",
    "TargetTable": "ProcedureVersions",
    "TargetField": "ModifiedByAgent",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ProcedureVersions.ModifiedByAgent -&gt; Agents",
    "IsBlocking": true,
    "IsPassing": true,
    "IsFailing": false,
    "NeedsAttention": false,
    "PassingSuiteKey": "suite-integrity",
    "NeedsAttentionSuiteKey": null
   },
   {
    "TestCaseId": "tc-fk-procedure_versions-evaluation_context",
    "TestKind": "fk-resolves",
    "Subject": "ProcedureVersions.EvaluationContext -&gt; EvaluationContexts",
    "TargetTable": "ProcedureVersions",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ProcedureVersions.EvaluationContext -&gt; EvaluationContexts",
    "IsBlocking": true,
    "IsPassing": true,
    "IsFailing": false,
    "NeedsAttention": false,
    "PassingSuiteKey": "suite-integrity",
    "NeedsAttentionSuiteKey": null
   },
   {
    "TestCaseId": "tc-fk-procedure_version_links-previous_procedure_version",
    "TestKind": "fk-resolves",
    "Subject": "ProcedureVersionLinks.PreviousProcedureVersion -&gt; ProcedureVersions",
    "TargetTable": "ProcedureVersionLinks",
    "TargetField": "PreviousProcedureVersion",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ProcedureVersionLinks.PreviousProcedureVersion -&gt; ProcedureVersions",
    "IsBlocking": true,
    "IsPassing": true,
    "IsFailing": false,
    "NeedsAttention": false,
    "PassingSuiteKey": "suite-integrity",
    "NeedsAttentionSuiteKey": null
   },
   {
    "TestCaseId": "tc-fk-procedure_version_links-next_procedure_version",
    "TestKind": "fk-resolves",
    "Subject": "ProcedureVersionLinks.NextProcedureVersion -&gt; ProcedureVersions",
    "TargetTable": "ProcedureVersionLinks",
    "TargetField": "NextProcedureVersion",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ProcedureVersionLinks.NextProcedureVersion -&gt; ProcedureVersions",
    "IsBlocking": true,
    "IsPassing": true,
    "IsFailing": false,
    "NeedsAttention": false,
    "PassingSuiteKey": "suite-integrity",
    "NeedsAttentionSuiteKey": null
   },
   {
    "TestCaseId": "tc-fk-procedure_status_changes-procedure_version",
    "TestKind": "fk-resolves",
    "Subject": "ProcedureStatusChanges.ProcedureVersion -&gt; ProcedureVersions",
    "TargetTable": "ProcedureStatusChanges",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ProcedureStatusChanges.ProcedureVersion -&gt; ProcedureVersions",
    "IsBlocking": true,
    "IsPassing": true,
    "IsFailing": false,
    "NeedsAttention": false,
    "PassingSuiteKey": "suite-integrity",
    "NeedsAttentionSuiteKey": null
   },
   {
    "TestCaseId": "tc-fk-procedure_status_changes-changed_by_agent",
    "TestKind": "fk-resolves",
    "Subject": "ProcedureStatusChanges.ChangedByAgent -&gt; Agents",
    "TargetTable": "ProcedureStatusChanges",
    "TargetField": "ChangedByAgent",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ProcedureStatusChanges.ChangedByAgent -&gt; Agents",
    "IsBlocking": true,
    "IsPassing": true,
    "IsFailing": false,
    "NeedsAttention": false,
    "PassingSuiteKey": "suite-integrity",
    "NeedsAttentionSuiteKey": null
   },
   {
    "TestCaseId": "tc-fk-steps-procedure_version",
    "TestKind": "fk-resolves",
    "Subject": "Steps.ProcedureVersion -&gt; ProcedureVersions",
    "TargetTable": "Steps",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Steps.ProcedureVersion -&gt; ProcedureVersions",
    "IsBlocking": true,
    "IsPassing": true,
    "IsFailing": false,
    "NeedsAttention": false,
    "PassingSuiteKey": "suite-integrity",
    "NeedsAttentionSuiteKey": null
   },
   {
    "TestCaseId": "tc-fk-steps-assigned_role",
    "TestKind": "fk-resolves",
    "Subject": "Steps.AssignedRole -&gt; Roles",
    "TargetTable": "Steps",
    "TargetField": "AssignedRole",
    "Assertion": "Every non-null value resolves to an existing Roles row.",
    "DefendsQuestion": null,
    "Suite": "suite-integrity",
    "Severity": "blocking",
    "LastOutcome": "PASS",
    "LastDetail": "all values resolve",
    "LastRunAt": "2026-07-20T03:06:49+00:00",
    "SemanticTypeIri": "urn:effortless:pko-extension#TestCase",
    "Name": "fk-resolves: Steps.AssignedRole -&gt; Roles",
    "IsBlocking": true,
    "IsPassing": true,
    "IsFailing": false,
    "NeedsAttention": false,
    "PassingSuiteKey": "suite-integrity",
    "NeedsA</t>
  </si>
  <si>
    <t xml:space="preserve">ttentionSuiteKey": null
   },
   {
    "TestCaseId": "tc-fk-step_transitions-procedure_version",
    "TestKind": "fk-resolves",
    "Subject": "StepTransitions.ProcedureVersion -&gt; ProcedureVersions",
    "TargetTable": "StepTransitions",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StepTransitions.ProcedureVersion -&gt; ProcedureVersions",
    "IsBlocking": true,
    "IsPassing": true,
    "IsFailing": false,
    "NeedsAttention": false,
    "PassingSuiteKey": "suite-integrity",
    "NeedsAttentionSuiteKey": null
   },
   {
    "TestCaseId": "tc-fk-step_transitions-from_step",
    "TestKind": "fk-resolves",
    "Subject": "StepTransitions.FromStep -&gt; Steps",
    "TargetTable": "StepTransitions",
    "TargetField": "FromStep",
    "Assertion": "Every non-null value resolves to an existing Steps row.",
    "DefendsQuestion": null,
    "Suite": "suite-integrity",
    "Severity": "blocking",
    "LastOutcome": "PASS",
    "LastDetail": "all values resolve",
    "LastRunAt": "2026-07-20T03:06:49+00:00",
    "SemanticTypeIri": "urn:effortless:pko-extension#TestCase",
    "Name": "fk-resolves: StepTransitions.FromStep -&gt; Steps",
    "IsBlocking": true,
    "IsPassing": true,
    "IsFailing": false,
    "NeedsAttention": false,
    "PassingSuiteKey": "suite-integrity",
    "NeedsAttentionSuiteKey": null
   },
   {
    "TestCaseId": "tc-fk-step_transitions-to_step",
    "TestKind": "fk-resolves",
    "Subject": "StepTransitions.ToStep -&gt; Steps",
    "TargetTable": "StepTransitions",
    "TargetField": "ToStep",
    "Assertion": "Every non-null value resolves to an existing Steps row.",
    "DefendsQuestion": null,
    "Suite": "suite-integrity",
    "Severity": "blocking",
    "LastOutcome": "PASS",
    "LastDetail": "all values resolve",
    "LastRunAt": "2026-07-20T03:06:49+00:00",
    "SemanticTypeIri": "urn:effortless:pko-extension#TestCase",
    "Name": "fk-resolves: StepTransitions.ToStep -&gt; Steps",
    "IsBlocking": true,
    "IsPassing": true,
    "IsFailing": false,
    "NeedsAttention": false,
    "PassingSuiteKey": "suite-integrity",
    "NeedsAttentionSuiteKey": null
   },
   {
    "TestCaseId": "tc-fk-step_actions-step",
    "TestKind": "fk-resolves",
    "Subject": "StepActions.Step -&gt; Steps",
    "TargetTable": "StepActions",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StepActions.Step -&gt; Steps",
    "IsBlocking": true,
    "IsPassing": true,
    "IsFailing": false,
    "NeedsAttention": false,
    "PassingSuiteKey": "suite-integrity",
    "NeedsAttentionSuiteKey": null
   },
   {
    "TestCaseId": "tc-fk-step_actions-action",
    "TestKind": "fk-resolves",
    "Subject": "StepActions.Action -&gt; Actions",
    "TargetTable": "StepActions",
    "TargetField": "Action",
    "Assertion": "Every non-null value resolves to an existing Actions row.",
    "DefendsQuestion": null,
    "Suite": "suite-integrity",
    "Severity": "blocking",
    "LastOutcome": "PASS",
    "LastDetail": "all values resolve",
    "LastRunAt": "2026-07-20T03:06:49+00:00",
    "SemanticTypeIri": "urn:effortless:pko-extension#TestCase",
    "Name": "fk-resolves: StepActions.Action -&gt; Actions",
    "IsBlocking": true,
    "IsPassing": true,
    "IsFailing": false,
    "NeedsAttention": false,
    "PassingSuiteKey": "suite-integrity",
    "NeedsAttentionSuiteKey": null
   },
   {
    "TestCaseId": "tc-fk-step_functions-step",
    "TestKind": "fk-resolves",
    "Subject": "StepFunctions.Step -&gt; Steps",
    "TargetTable": "StepFunctions",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StepFunctions.Step -&gt; Steps",
    "IsBlocking": true,
    "IsPassing": true,
    "IsFailing": false,
    "NeedsAttention": false,
    "PassingSuiteKey": "suite-integrity",
    "NeedsAttentionSuiteKey": null
   },
   {
    "TestCaseId": "tc-fk-step_functions-function",
    "TestKind": "fk-resolves",
    "Subject": "StepFunctions.Function -&gt; Functions",
    "TargetTable": "StepFunctions",
    "TargetField": "Function",
    "Assertion": "Every non-null value resolves to an existing Functions row.",
    "DefendsQuestion": null,
    "Suite": "suite-integrity",
    "Severity": "blocking",
    "LastOutcome": "PASS",
    "LastDetail": "all values resolve",
    "LastRunAt": "2026-07-20T03:06:49+00:00",
    "SemanticTypeIri": "urn:effortless:pko-extension#TestCase",
    "Name": "fk-resolves: StepFunctions.Function -&gt; Functions",
    "IsBlocking": true,
    "IsPassing": true,
    "IsFailing": false,
    "NeedsAttention": false,
    "PassingSuiteKey": "suite-integrity",
    "NeedsAttentionSuiteKey": null
   },
   {
    "TestCaseId": "tc-fk-step_tools-step",
    "TestKind": "fk-resolves",
    "Subject": "StepTools.Step -&gt; Steps",
    "TargetTable": "StepTools",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StepTools.Step -&gt; Steps",
    "IsBlocking": true,
    "IsPassing": true,
    "IsFailing": false,
    "NeedsAttention": false,
    "PassingSuiteKey": "suite-integrity",
    "NeedsAttentionSuiteKey": null
   },
   {
    "TestCaseId": "tc-fk-step_tools-tool",
    "TestKind": "fk-resolves",
    "Subject": "StepTools.Tool -&gt; Tools",
    "TargetTable": "StepTools",
    "TargetField": "Tool",
    "Assertion": "Every non-null value resolves to an existing Tools row.",
    "DefendsQuestion": null,
    "Suite": "suite-integrity",
    "Severity": "blocking",
    "LastOutcome": "PASS",
    "LastDetail": "all values resolve",
    "LastRunAt": "2026-07-20T03:06:49+00:00",
    "SemanticTypeIri": "urn:effortless:pko-extension#TestCase",
    "Name": "fk-resolves: StepTools.Tool -&gt; Tools",
    "IsBlocking": true,
    "IsPassing": true,
    "IsFailing": false,
    "NeedsAttention": false,
    "PassingSuiteKey": "suite-integrity",
    "NeedsAttentionSuiteKey": null
   },
   {
    "TestCaseId": "tc-fk-requirements-accountable_role",
    "TestKind": "fk-resolves",
    "Subject": "Requirements.AccountableRole -&gt; Roles",
    "TargetTable": "Requirements",
    "TargetField": "AccountableRole",
    "Assertion": "Every non-null value resolves to an existing Roles row.",
    "DefendsQuestion": null,
    "Suite": "suite-integrity",
    "Severity": "blocking",
    "LastOutcome": "PASS",
    "LastDetail": "all values resolve",
    "LastRunAt": "2026-07-20T03:06:49+00:00",
    "SemanticTypeIri": "urn:effortless:pko-extension#TestCase",
    "Name": "fk-resolves: Requirements.AccountableRole -&gt; Roles",
    "IsBlocking": true,
    "IsPassing": true,
    "IsFailing": false,
    "NeedsAttention": false,
    "PassingSuiteKey": "suite-integrity",
    "NeedsAttentionSuiteKey": null
   },
   {
    "TestCaseId": "tc-fk-step_requirements-step",
    "TestKind": "fk-resolves",
    "Subject": "StepRequirements.Step -&gt; Steps",
    "TargetTable": "StepRequirements",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StepRequirements.Step -&gt; Steps",
    "IsBlocking": true,
    "IsPassing": true,
    "IsFailing": false,
    "NeedsAttention": false,
    "PassingSuiteKey": "suite-integrity",
    "NeedsAttentionSuiteKey": null
   },
   {
    "TestCaseId": "tc-fk-step_requirements-requirement",
    "TestKind": "fk-resolves",
    "Subject": "StepRequirements.Requirement -&gt; Requirements",
    "TargetTable": "StepRequirements",
    "TargetField": "Requirement",
    "Assertion": "Every non-null value resolves to an existing Requirements row.",
    "DefendsQuestion": null,
    "Suite": "suite-integrity",
    "Severity": "blocking",
    "LastOutcome": "PASS",
    "LastDetail": "all values resolve",
    "LastRunAt": "2026-07-20T03:06:49+00:00",
    "SemanticTypeIri": "urn:effortless:pko-extension#TestCase",
    "Name": "fk-resolves: StepRequirements.Requirement -&gt; Requirements",
    "IsBlocking": true,
    "IsPassing": true,
    "IsFailing": false,
    "NeedsAttention": false,
    "PassingSuiteKey": "suite-integrity",
    "NeedsAttentionSuiteKey": null
   },
   {
    "TestCaseId": "tc-fk-step_verifications-step",
    "TestKind": "fk-resolves",
    "Subject": "StepVerifications.Step -&gt; Steps",
    "TargetTable": "StepVerifications",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StepVerifications.Step -&gt; Steps",
    "IsBlocking": true,
    "IsPassing": true,
    "IsFailing": false,
    "NeedsAttention": false,
    "PassingSuiteKey": "suite-integrity",
    "NeedsAttentionSuiteKey": null
   },
   {
    "TestCaseId": "tc-fk-rationales-procedure_version",
    "TestKind": "fk-resolves",
    "Subject": "Rationales.ProcedureVersion -&gt; ProcedureVersions",
    "TargetTable": "Rationales",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Rationales.ProcedureVersion -&gt; ProcedureVersions",
    "IsBlocking": true,
    "IsPassing": true,
    "IsFailing": false,
    "NeedsAttention": false,
    "PassingSuiteKey": "suite-integrity",
    "NeedsAttentionSuiteKey": null
   },
   {
    "TestCaseId": "tc-fk-rationales-step",
    "TestKind": "fk-resolves",
    "Subject": "Rationales.Step -&gt; Steps",
    "TargetTable": "Rationales",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Rationales.Step -&gt; Steps",
    "IsBlocking": true,
    "IsPassing": true,
    "IsFailing": false,
    "NeedsAttention": false,
    "PassingSuiteKey": "suite-integrity",
    "NeedsAttentionSuiteKey": null
   },
   {
    "TestCaseId": "tc-fk-rationales-authority_role",
    "TestKind": "fk-resolves",
    "Subject": "Rationales.AuthorityRole -&gt; Roles",
    "TargetTable": "Rationales",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Rationales.AuthorityRole -&gt; Roles",
    "IsBlocking": true,
    "IsPassing": true,
    "IsFailing": false,
    "NeedsAttention": false,
    "PassingSuiteKey": "suite-integrity",
    "NeedsAttentionSuiteKey": null
   },
   {
    "TestCaseId": "tc-fk-exceptions-procedure_version",
    "TestKind": "fk-resolves",
    "Subject": "Exceptions.ProcedureVersion -&gt; ProcedureVersions",
    "TargetTable": "Exceptions",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Exceptions.ProcedureVersion -&gt; ProcedureVersions",
    "IsBlocking": true,
    "IsPassing": true,
    "IsFailing": false,
    "NeedsAttention": false,
    "PassingSuiteKey": "suite-integrity",
    "NeedsAttentionSuiteKey": null
   },
   {
    "TestCaseId": "tc-fk-exceptions-trigger_step",
    "TestKind": "fk-resolves",
    "Subject": "Exceptions.TriggerStep -&gt; Steps",
    "TargetTable": "Exceptions",
    "TargetField": "TriggerStep",
    "Assertion": "Every non-null value resolves to an existing Steps row.",
    "DefendsQuestion": null,
    "Suite": "suite-integrity",
    "Severity": "blocking",
    "LastOutcome": "PASS",
    "LastDetail": "all values resolve",
    "LastRunAt": "2026-07-20T03:06:49+00:00",
    "SemanticTypeIri": "urn:effortless:pko-extension#TestCase",
    "Name": "fk-resolves: Exceptions.TriggerStep -&gt; Steps",
    "IsBlocking": true,
    "IsPassing": true,
    "IsFailing": false,
    "NeedsAttention": false,
    "PassingSuiteKey": "suite-integrity",
    "NeedsAttentionSuiteKey": null
   },
   {
    "TestCaseId": "tc-fk-exceptions-approval_role",
    "TestKind": "fk-resolves",
    "Subject": "Exceptions.ApprovalRole -&gt; Roles",
    "TargetTable": "Exceptions",
    "TargetField": "ApprovalRole",
    "Assertion": "Every non-null value resolves to an existing Roles row.",
    "DefendsQuestion": null,
    "Suite": "suite-integrity",
    "Severity": "blocking",
    "LastOutcome": "PASS",
    "LastDetail": "all values resolve",
    "LastRunAt": "2026-07-20T03:06:49+00:00",
    "SemanticTypeIri": "urn:effortless:pko-extension#TestCase",
    "Name": "fk-resolves: Exceptions.ApprovalRole -&gt; Roles",
    "IsBlocking": true,
    "IsPassing": true,
    "IsFailing": false,
    "NeedsAttention": false,
    "PassingSuiteKey": "suite-integrity",
    "NeedsAttentionSuiteKey": null
   },
   {
    "TestCaseId": "tc-fk-exceptions-fallback_role",
    "TestKind": "fk-resolves",
    "Subject": "Exceptions.FallbackRole -&gt; Roles",
    "TargetTable": "Exceptions",
    "TargetField": "FallbackRole",
    "Assertion": "Every non-null value resolves to an existing Roles row.",
    "DefendsQuestion": null,
    "Suite": "suite-integrity",
    "Severity": "blocking",
    "LastOutcome": "PASS",
    "LastDetail": "all values resolve",
    "LastRunAt": "2026-07-20T03:06:49+00:00",
    "SemanticTypeIri": "urn:effortless:pko-extension#TestCase",
    "Name": "fk-resolves: Exceptions.FallbackRole -&gt; Roles",
    "IsBlocking": true,
    "IsPassing": true,
    "IsFailing": false,
    "NeedsAttention": false,
    "PassingSuiteKey": "suite-integrity",
    "NeedsAttentionSuiteKey": null
   },
   {
    "TestCaseId": "tc-fk-procedure_resources-procedure_version",
    "TestKind": "fk-resolves",
    "Subject": "ProcedureResources.ProcedureVersion -&gt; ProcedureVersions",
    "TargetTable": "ProcedureResources",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ProcedureResources.ProcedureVersion -&gt; ProcedureVersions",
    "IsBlocking": true,
    "IsPassing": true,
    "IsFailing": false,
    "NeedsAttention": false,
    "PassingSuiteKey": "suite-integrity",
    "NeedsAttentionSuiteKey": null
   },
   {
    "TestCaseId": "tc-fk-procedure_resources-resource",
    "TestKind": "fk-resolves",
    "Subject": "ProcedureResources.Resource -&gt; Resources",
    "TargetTable": "ProcedureResources",
    "TargetField": "Resource",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ProcedureResources.Resource -&gt; Resources",
    "IsBlocking": true,
    "IsPassing": true,
    "IsFailing": false,
    "NeedsAttention": false,
    "PassingSuiteKey": "suite-integrity",
    "NeedsAttentionSuiteKey": null
   },
   {
    "TestCaseId": "tc-fk-elicitation_sessions-procedure_version",
    "TestKind": "fk-resolves",
    "Subject": "ElicitationSessions.ProcedureVersion -&gt; ProcedureVersions",
    "TargetTable": "ElicitationSessions",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ElicitationSessions.ProcedureVersion -&gt; ProcedureVersions",
    "IsBlocking": true,
    "IsPassing": true,
    "IsFailing": false,
    "NeedsAttention": false,
    "PassingSuiteKey": "suite-integrity",
    "NeedsAttentionSuiteKey": null
   },
   {
    "TestCaseId": "tc-fk-elicitation_sessions-practitioner_agent",
    "TestKind": "fk-resolves",
    "Subject": "ElicitationSessions.PractitionerAgent -&gt; Agents",
    "TargetTable": "ElicitationSessions",
    "TargetField": "PractitionerAgent",
    "Assertion": "Every non-null value resolves to an existing Agents row.",
    "DefendsQuestion": null,
    "Suite": "suite-integrity",
    "Severity": "blocking",
    "LastOutcome": "PASS",
    "LastDetail": "all values resolve",
    "LastRunAt": "2026-07-20T03:06:49+00:00",
    "SemanticTypeIri": "urn:effortless:pko-extension#TestCase",
    "Name": "fk-resolves: ElicitationSessions.PractitionerAgent -&gt; Agents",
    "IsBlocking": true,
    "IsPassing": true,
    "IsFailing": false,
    "NeedsAttention": false,
    "PassingSuiteKey": "suite-integrity",
    "NeedsAttentionSuiteKey": null
   },
   {
    "TestCaseId": "tc-fk-elicitation_sessions-facilitator_agent",
    "TestKind": "fk-resolves",
    "Subject": "ElicitationSessions.FacilitatorAgent -&gt; Agents",
    "TargetTable": "ElicitationSessions",
    "TargetField": "FacilitatorAgent",
    "Assertion": "Every non-null value resolves to an existing Agents row.",
    "DefendsQuestion": null,
    "Suite": "suite-integrity",
    "Severity": "blocking",
    "LastOutcome": "PASS",
    "LastDetail": "all values resolve",
    "LastRunAt": "2026-07-20T03:06:49+00:00",
    "SemanticTypeIri": "urn:effortless:pko-extension#TestCase",
    "Name": "fk-resolves: ElicitationSessions.FacilitatorAgent -&gt; Agents",
    "IsBlocking": true,
    "IsPassing": true,
    "IsFailing": false,
    "NeedsAttention": false,
    "PassingSuiteKey": "suite-integrity",
    "NeedsAttentionSuiteKey": null
   },
   {
    "TestCaseId": "tc-fk-elicitation_sessions-evaluation_context",
    "TestKind": "fk-resolves",
    "Subject": "ElicitationSessions.EvaluationContext -&gt; EvaluationContexts",
    "TargetTable": "ElicitationSessions",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ElicitationSessions.EvaluationContext -&gt; EvaluationContexts",
    "IsBlocking": true,
    "IsPassing": true,
    "IsFailing": false,
    "NeedsAttention": false,
    "PassingSuiteKey": "suite-integrity",
    "NeedsAttentionSuiteKey": null
   },
   {
    "TestCaseId": "tc-fk-knowledge_fragments-procedure_version",
    "TestKind": "fk-resolves",
    "Subject": "KnowledgeFragments.ProcedureVersion -&gt; ProcedureVersions",
    "TargetTable": "KnowledgeFragments",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KnowledgeFragments.ProcedureVersion -&gt; ProcedureVersions",
    "IsBlocking": true,
    "IsPassing": true,
    "IsFailing": false,
    "NeedsAttention": false,
    "PassingSuiteKey": "suite-integrity",
    "NeedsAttentionSuiteKey": null
   },
   {
    "TestCaseId": "tc-fk-knowledge_fragments-step",
    "TestKind": "fk-resolves",
    "Subject": "KnowledgeFragments.Step -&gt; Steps",
    "TargetTable": "KnowledgeFragments",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KnowledgeFragments.Step -&gt; Steps",
    "IsBlocking": true,
    "IsPassing": true,
    "IsFailing": false,
    "NeedsAttention": false,
    "PassingSuiteKey": "suite-integrity",
    "NeedsAttentionSuiteKey": null
   },
   {
    "TestCaseId": "tc-fk-knowledge_fragments-elicitation_session",
    "TestKind": "fk-resolves",
    "Subject": "KnowledgeFragments.ElicitationSession -&gt; ElicitationSessions",
    "TargetTable": "KnowledgeFragments",
    "TargetField": "ElicitationSession",
    "Assertion": "Every non-null value resolves to an existing ElicitationSessions row.",
    "DefendsQuestion": null,
    "Suite": "suite-integrity",
    "Severity": "blocking",
    "LastOutcome": "PASS",
    "LastDetail": "all values resolve",
    "LastRunAt": "2026-07-20T03:06:49+00:00",
    "SemanticTypeIri": "urn:effortless:pko-extension#TestCase",
    "Name": "fk-resolves: KnowledgeFragments.ElicitationSession -&gt; ElicitationSessions",
    "IsBlocking": true,
    "IsPassing": true,
    "IsFailing": false,
    "NeedsAttention": false,
    "PassingSuiteKey": "suite-integrity",
    "NeedsAttentionSuiteKey": null
   },
   {
    "TestCaseId": "tc-fk-knowledge_fragments-source_agent",
    "TestKind": "fk-resolves",
    "Subject": "KnowledgeFragments.SourceAgent -&gt; Agents",
    "TargetTable": "KnowledgeFragments",
    "TargetField": "SourceAgent",
    "Assertion": "Every non-null value resolves to an existing Agents row.",
    "DefendsQuestion": null,
    "Suite": "suite-integrity",
    "Severity": "blocking",
    "LastOutcome": "PASS",
    "LastDetail": "all values resolve",
    "LastRunAt": "2026-07-20T03:06:49+00:00",
    "SemanticTypeIri": "urn:effortless:pko-extension#TestCase",
    "Name": "fk-resolves: KnowledgeFragments.SourceAgent -&gt; Agents",
    "IsBlocking": true,
    "IsPassing": true,
    "IsFailing": false,
    "NeedsAttention": false,
    "PassingSuiteKey": "suite-integrity",
    "NeedsAttentionSuiteKey": null
   },
   {
    "TestCaseId": "tc-fk-knowledge_fragments-owner_role",
    "TestKind": "fk-resolves",
    "Subject": "KnowledgeFragments.OwnerRole -&gt; Roles",
    "TargetTable": "KnowledgeFragments",
    "TargetField": "OwnerRole",
    "Assertion": "Every non-null value resolves to an existing Roles row.",
    "DefendsQuestion": null,
    "Suite": "suite-integrity",
    "Severity": "blocking",
    "LastOutcome": "PASS",
    "LastDetail": "all values resolve",
    "LastRunAt": "2026-07-20T03:06:49+00:00",
    "SemanticTypeIri": "urn:effortless:pko-extension#TestCase",
    "Name": "fk-resolves: KnowledgeFragments.OwnerRole -&gt; Roles",
    "IsBlocking": true,
    "IsPassing": true,
    "IsFailing": false,
    "NeedsAttention": false,
    "PassingSuiteKey": "suite-integrity",
    "NeedsAttentionSuiteKey": null
   },
   {
    "TestCaseId": "tc-fk-knowledge_fragments-evaluation_context",
    "TestKind": "fk-resolves",
    "Subject": "KnowledgeFragments.EvaluationContext -&gt; EvaluationContexts",
    "TargetTable": "KnowledgeFragments",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KnowledgeFragments.EvaluationContext -&gt; EvaluationContexts",
    "IsBlocking": true,
    "IsPassing": true,
    "IsFailing": false,
    "NeedsAttention": false,
    "PassingSuiteKey": "suite-integrity",
    "NeedsAttentionSuiteKey": null
   },
   {
    "TestCaseId": "tc-fk-knowledge_gaps-procedure_version",
    "TestKind": "fk-resolves",
    "Subject": "KnowledgeGaps.ProcedureVersion -&gt; ProcedureVersions",
    "TargetTable": "KnowledgeGaps",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KnowledgeGaps.ProcedureVersion -&gt; ProcedureVersions",
    "IsBlocking": true,
    "IsPassing": true,
    "IsFailing": false,
    "NeedsAttention": false,
    "PassingSuiteKey": "suite-integrity",
    "NeedsAttentionSuiteKey": null
   },
   {
    "TestCaseId": "tc-fk-knowledge_gaps-step",
    "TestKind": "fk-resolves",
    "Subject": "KnowledgeGaps.Step -&gt; Steps",
    "TargetTable": "KnowledgeGaps",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KnowledgeGaps.Step -&gt; Steps",
    "IsBlocking": true,
    "IsPassing": true,
    "IsFailing": false,
    "NeedsAttention": false,
    "PassingSuiteKey": "suite-integrity",
    "NeedsAttentionSuiteKey": null
   },
   {
    "TestCaseId": "tc-fk-knowledge_gaps-owner_role",
    "TestKind": "fk-resolves",
    "Subject": "KnowledgeGaps.OwnerRole -&gt; Roles",
    "TargetTable": "KnowledgeGaps",
    "TargetField": "OwnerRole",
    "Assertion": "Every non-null value resolves to an existing Roles row.",
    "DefendsQuestion": null,
    "Suite": "suite-integrity",
    "Severity": "blocking",
    "LastOutcome": "PASS",
    "LastDetail": "all values resolve",
    "LastRunAt": "2026-07-20T03:06:49+00:00",
    "SemanticTypeIri": "urn:effortless:pko-extension#TestCase",
    "Name": "fk-resolves: KnowledgeGaps.OwnerRole -&gt; Roles",
    "IsBlocking": true,
    "IsPassing": true,
    "IsFailing": false,
    "NeedsAttention": false,
    "PassingSuiteKey": "suite-integrity",
    "NeedsAttentionSuiteKey": null
   },
   {
    "TestCaseId": "tc-fk-knowledge_gaps-evaluation_context",
    "TestKind": "fk-resolves",
    "Subject": "KnowledgeGaps.EvaluationContext -&gt; EvaluationContexts",
    "TargetTable": "KnowledgeGaps",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KnowledgeGaps.EvaluationContext -&gt; EvaluationContexts",
    "IsBlocking": true,
    "IsPassing": true,
    "IsFailing": false,
    "NeedsAttention": false,
    "PassingSuiteKey": "suite-integrity",
    "NeedsAttentionSuiteKey": null
   },
   {
    "TestCaseId": "tc-fk-f_a_qs-procedure_version",
    "TestKind": "fk-resolves",
    "Subject": "FAQs.ProcedureVersion -&gt; ProcedureVersions",
    "TargetTable": "FAQs",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FAQs.ProcedureVersion -&gt; ProcedureVersions",
    "IsBlocking": true,
    "IsPassing": true,
    "IsFailing": false,
    "NeedsAttention": false,
    "PassingSuiteKey": "suite-integrity",
    "NeedsAttentionSuiteKey": null
   },
   {
    "TestCaseId": "tc-fk-f_a_qs-step",
    "TestKind": "fk-resolves",
    "Subject": "FAQs.Step -&gt; Steps",
    "TargetTable": "FAQs",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FAQs.Step -&gt; Steps",
    "IsBlocking": true,
    "IsPassing": true,
    "IsFailing": false,
    "NeedsAttention": false,
    "PassingSuiteKey": "suite-integrity",
    "NeedsAttentionSuiteKey": null
   },
   {
    "TestCaseId": "tc-fk-explanations-procedure_version",
    "TestKind": "fk-resolves",
    "Subject": "Explanations.ProcedureVersion -&gt; ProcedureVersions",
    "TargetTable": "Explanations",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Explanations.ProcedureVersion -&gt; ProcedureVersions",
    "IsBlocking": true,
    "IsPassing": true,
    "IsFailing": false,
    "NeedsAttention": false,
    "PassingSuiteKey": "suite-integrity",
    "NeedsAttentionSuiteKey": null
   },
   {
    "TestCaseId": "tc-fk-explanations-step",
    "TestKind": "fk-resolves",
    "Subject": "Explanations.Step -&gt; Steps",
    "TargetTable": "Explanations",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Explanations.Step -&gt; Steps",
    "IsBlocking": true,
    "IsPassing": true,
    "IsFailing": false,
    "NeedsAttention": false,
    "PassingSuiteKey": "suite-integrity",
    "NeedsAttentionSuiteKey": null
   },
   {
    "TestCaseId": "tc-fk-procedure_executions-procedure_version",
    "T</t>
  </si>
  <si>
    <t xml:space="preserve">estKind": "fk-resolves",
    "Subject": "ProcedureExecutions.ProcedureVersion -&gt; ProcedureVersions",
    "TargetTable": "ProcedureExecutions",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ProcedureExecutions.ProcedureVersion -&gt; ProcedureVersions",
    "IsBlocking": true,
    "IsPassing": true,
    "IsFailing": false,
    "NeedsAttention": false,
    "PassingSuiteKey": "suite-integrity",
    "NeedsAttentionSuiteKey": null
   },
   {
    "TestCaseId": "tc-fk-procedure_executions-executed_by_agent",
    "TestKind": "fk-resolves",
    "Subject": "ProcedureExecutions.ExecutedByAgent -&gt; Agents",
    "TargetTable": "ProcedureExecutions",
    "TargetField": "ExecutedByAgent",
    "Assertion": "Every non-null value resolves to an existing Agents row.",
    "DefendsQuestion": null,
    "Suite": "suite-integrity",
    "Severity": "blocking",
    "LastOutcome": "PASS",
    "LastDetail": "all values resolve",
    "LastRunAt": "2026-07-20T03:06:49+00:00",
    "SemanticTypeIri": "urn:effortless:pko-extension#TestCase",
    "Name": "fk-resolves: ProcedureExecutions.ExecutedByAgent -&gt; Agents",
    "IsBlocking": true,
    "IsPassing": true,
    "IsFailing": false,
    "NeedsAttention": false,
    "PassingSuiteKey": "suite-integrity",
    "NeedsAttentionSuiteKey": null
   },
   {
    "TestCaseId": "tc-fk-step_executions-procedure_execution",
    "TestKind": "fk-resolves",
    "Subject": "StepExecutions.ProcedureExecution -&gt; ProcedureExecutions",
    "TargetTable": "StepExecutions",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StepExecutions.ProcedureExecution -&gt; ProcedureExecutions",
    "IsBlocking": true,
    "IsPassing": true,
    "IsFailing": false,
    "NeedsAttention": false,
    "PassingSuiteKey": "suite-integrity",
    "NeedsAttentionSuiteKey": null
   },
   {
    "TestCaseId": "tc-fk-step_executions-step",
    "TestKind": "fk-resolves",
    "Subject": "StepExecutions.Step -&gt; Steps",
    "TargetTable": "StepExecutions",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StepExecutions.Step -&gt; Steps",
    "IsBlocking": true,
    "IsPassing": true,
    "IsFailing": false,
    "NeedsAttention": false,
    "PassingSuiteKey": "suite-integrity",
    "NeedsAttentionSuiteKey": null
   },
   {
    "TestCaseId": "tc-fk-step_executions-executed_by_agent",
    "TestKind": "fk-resolves",
    "Subject": "StepExecutions.ExecutedByAgent -&gt; Agents",
    "TargetTable": "StepExecutions",
    "TargetField": "ExecutedByAgent",
    "Assertion": "Every non-null value resolves to an existing Agents row.",
    "DefendsQuestion": null,
    "Suite": "suite-integrity",
    "Severity": "blocking",
    "LastOutcome": "PASS",
    "LastDetail": "all values resolve",
    "LastRunAt": "2026-07-20T03:06:49+00:00",
    "SemanticTypeIri": "urn:effortless:pko-extension#TestCase",
    "Name": "fk-resolves: StepExecutions.ExecutedByAgent -&gt; Agents",
    "IsBlocking": true,
    "IsPassing": true,
    "IsFailing": false,
    "NeedsAttention": false,
    "PassingSuiteKey": "suite-integrity",
    "NeedsAttentionSuiteKey": null
   },
   {
    "TestCaseId": "tc-fk-requirement_satisfactions-step_execution",
    "TestKind": "fk-resolves",
    "Subject": "RequirementSatisfactions.StepExecution -&gt; StepExecutions",
    "TargetTable": "RequirementSatisfactions",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RequirementSatisfactions.StepExecution -&gt; StepExecutions",
    "IsBlocking": true,
    "IsPassing": true,
    "IsFailing": false,
    "NeedsAttention": false,
    "PassingSuiteKey": "suite-integrity",
    "NeedsAttentionSuiteKey": null
   },
   {
    "TestCaseId": "tc-fk-requirement_satisfactions-requirement",
    "TestKind": "fk-resolves",
    "Subject": "RequirementSatisfactions.Requirement -&gt; Requirements",
    "TargetTable": "RequirementSatisfactions",
    "TargetField": "Requirement",
    "Assertion": "Every non-null value resolves to an existing Requirements row.",
    "DefendsQuestion": null,
    "Suite": "suite-integrity",
    "Severity": "blocking",
    "LastOutcome": "PASS",
    "LastDetail": "all values resolve",
    "LastRunAt": "2026-07-20T03:06:49+00:00",
    "SemanticTypeIri": "urn:effortless:pko-extension#TestCase",
    "Name": "fk-resolves: RequirementSatisfactions.Requirement -&gt; Requirements",
    "IsBlocking": true,
    "IsPassing": true,
    "IsFailing": false,
    "NeedsAttention": false,
    "PassingSuiteKey": "suite-integrity",
    "NeedsAttentionSuiteKey": null
   },
   {
    "TestCaseId": "tc-fk-requirement_satisfactions-evaluated_by_agent",
    "TestKind": "fk-resolves",
    "Subject": "RequirementSatisfactions.EvaluatedByAgent -&gt; Agents",
    "TargetTable": "RequirementSatisfactions",
    "TargetField": "EvaluatedByAgent",
    "Assertion": "Every non-null value resolves to an existing Agents row.",
    "DefendsQuestion": null,
    "Suite": "suite-integrity",
    "Severity": "blocking",
    "LastOutcome": "PASS",
    "LastDetail": "all values resolve",
    "LastRunAt": "2026-07-20T03:06:49+00:00",
    "SemanticTypeIri": "urn:effortless:pko-extension#TestCase",
    "Name": "fk-resolves: RequirementSatisfactions.EvaluatedByAgent -&gt; Agents",
    "IsBlocking": true,
    "IsPassing": true,
    "IsFailing": false,
    "NeedsAttention": false,
    "PassingSuiteKey": "suite-integrity",
    "NeedsAttentionSuiteKey": null
   },
   {
    "TestCaseId": "tc-fk-issue_occurrences-step_execution",
    "TestKind": "fk-resolves",
    "Subject": "IssueOccurrences.StepExecution -&gt; StepExecutions",
    "TargetTable": "IssueOccurrences",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IssueOccurrences.StepExecution -&gt; StepExecutions",
    "IsBlocking": true,
    "IsPassing": true,
    "IsFailing": false,
    "NeedsAttention": false,
    "PassingSuiteKey": "suite-integrity",
    "NeedsAttentionSuiteKey": null
   },
   {
    "TestCaseId": "tc-fk-issue_occurrences-error",
    "TestKind": "fk-resolves",
    "Subject": "IssueOccurrences.Error -&gt; Errors",
    "TargetTable": "IssueOccurrences",
    "TargetField": "Error",
    "Assertion": "Every non-null value resolves to an existing Errors row.",
    "DefendsQuestion": null,
    "Suite": "suite-integrity",
    "Severity": "blocking",
    "LastOutcome": "PASS",
    "LastDetail": "all values resolve",
    "LastRunAt": "2026-07-20T03:06:49+00:00",
    "SemanticTypeIri": "urn:effortless:pko-extension#TestCase",
    "Name": "fk-resolves: IssueOccurrences.Error -&gt; Errors",
    "IsBlocking": true,
    "IsPassing": true,
    "IsFailing": false,
    "NeedsAttention": false,
    "PassingSuiteKey": "suite-integrity",
    "NeedsAttentionSuiteKey": null
   },
   {
    "TestCaseId": "tc-fk-issue_occurrences-encountered_by_agent",
    "TestKind": "fk-resolves",
    "Subject": "IssueOccurrences.EncounteredByAgent -&gt; Agents",
    "TargetTable": "IssueOccurrences",
    "TargetField": "EncounteredByAgent",
    "Assertion": "Every non-null value resolves to an existing Agents row.",
    "DefendsQuestion": null,
    "Suite": "suite-integrity",
    "Severity": "blocking",
    "LastOutcome": "PASS",
    "LastDetail": "all values resolve",
    "LastRunAt": "2026-07-20T03:06:49+00:00",
    "SemanticTypeIri": "urn:effortless:pko-extension#TestCase",
    "Name": "fk-resolves: IssueOccurrences.EncounteredByAgent -&gt; Agents",
    "IsBlocking": true,
    "IsPassing": true,
    "IsFailing": false,
    "NeedsAttention": false,
    "PassingSuiteKey": "suite-integrity",
    "NeedsAttentionSuiteKey": null
   },
   {
    "TestCaseId": "tc-fk-user_questions-step_execution",
    "TestKind": "fk-resolves",
    "Subject": "UserQuestions.StepExecution -&gt; StepExecutions",
    "TargetTable": "UserQuestions",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UserQuestions.StepExecution -&gt; StepExecutions",
    "IsBlocking": true,
    "IsPassing": true,
    "IsFailing": false,
    "NeedsAttention": false,
    "PassingSuiteKey": "suite-integrity",
    "NeedsAttentionSuiteKey": null
   },
   {
    "TestCaseId": "tc-fk-user_questions-asked_by_agent",
    "TestKind": "fk-resolves",
    "Subject": "UserQuestions.AskedByAgent -&gt; Agents",
    "TargetTable": "UserQuestions",
    "TargetField": "AskedByAgent",
    "Assertion": "Every non-null value resolves to an existing Agents row.",
    "DefendsQuestion": null,
    "Suite": "suite-integrity",
    "Severity": "blocking",
    "LastOutcome": "PASS",
    "LastDetail": "all values resolve",
    "LastRunAt": "2026-07-20T03:06:49+00:00",
    "SemanticTypeIri": "urn:effortless:pko-extension#TestCase",
    "Name": "fk-resolves: UserQuestions.AskedByAgent -&gt; Agents",
    "IsBlocking": true,
    "IsPassing": true,
    "IsFailing": false,
    "NeedsAttention": false,
    "PassingSuiteKey": "suite-integrity",
    "NeedsAttentionSuiteKey": null
   },
   {
    "TestCaseId": "tc-fk-user_questions-resolved_by_faq",
    "TestKind": "fk-resolves",
    "Subject": "UserQuestions.ResolvedByFaq -&gt; FAQs",
    "TargetTable": "UserQuestions",
    "TargetField": "ResolvedByFaq",
    "Assertion": "Every non-null value resolves to an existing FAQs row.",
    "DefendsQuestion": null,
    "Suite": "suite-integrity",
    "Severity": "blocking",
    "LastOutcome": "PASS",
    "LastDetail": "all values resolve",
    "LastRunAt": "2026-07-20T03:06:49+00:00",
    "SemanticTypeIri": "urn:effortless:pko-extension#TestCase",
    "Name": "fk-resolves: UserQuestions.ResolvedByFaq -&gt; FAQs",
    "IsBlocking": true,
    "IsPassing": true,
    "IsFailing": false,
    "NeedsAttention": false,
    "PassingSuiteKey": "suite-integrity",
    "NeedsAttentionSuiteKey": null
   },
   {
    "TestCaseId": "tc-fk-user_questions-addressed_by_resource",
    "TestKind": "fk-resolves",
    "Subject": "UserQuestions.AddressedByResource -&gt; Resources",
    "TargetTable": "UserQuestions",
    "TargetField": "AddressedByResource",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UserQuestions.AddressedByResource -&gt; Resources",
    "IsBlocking": true,
    "IsPassing": true,
    "IsFailing": false,
    "NeedsAttention": false,
    "PassingSuiteKey": "suite-integrity",
    "NeedsAttentionSuiteKey": null
   },
   {
    "TestCaseId": "tc-fk-user_feedback-procedure_execution",
    "TestKind": "fk-resolves",
    "Subject": "UserFeedback.ProcedureExecution -&gt; ProcedureExecutions",
    "TargetTable": "UserFeedback",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UserFeedback.ProcedureExecution -&gt; ProcedureExecutions",
    "IsBlocking": true,
    "IsPassing": true,
    "IsFailing": false,
    "NeedsAttention": false,
    "PassingSuiteKey": "suite-integrity",
    "NeedsAttentionSuiteKey": null
   },
   {
    "TestCaseId": "tc-fk-user_feedback-provided_by_agent",
    "TestKind": "fk-resolves",
    "Subject": "UserFeedback.ProvidedByAgent -&gt; Agents",
    "TargetTable": "UserFeedback",
    "TargetField": "ProvidedByAgent",
    "Assertion": "Every non-null value resolves to an existing Agents row.",
    "DefendsQuestion": null,
    "Suite": "suite-integrity",
    "Severity": "blocking",
    "LastOutcome": "PASS",
    "LastDetail": "all values resolve",
    "LastRunAt": "2026-07-20T03:06:49+00:00",
    "SemanticTypeIri": "urn:effortless:pko-extension#TestCase",
    "Name": "fk-resolves: UserFeedback.ProvidedByAgent -&gt; Agents",
    "IsBlocking": true,
    "IsPassing": true,
    "IsFailing": false,
    "NeedsAttention": false,
    "PassingSuiteKey": "suite-integrity",
    "NeedsAttentionSuiteKey": null
   },
   {
    "TestCaseId": "tc-fk-stewardship_assignments-procedure_version",
    "TestKind": "fk-resolves",
    "Subject": "StewardshipAssignments.ProcedureVersion -&gt; ProcedureVersions",
    "TargetTable": "StewardshipAssignments",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StewardshipAssignments.ProcedureVersion -&gt; ProcedureVersions",
    "IsBlocking": true,
    "IsPassing": true,
    "IsFailing": false,
    "NeedsAttention": false,
    "PassingSuiteKey": "suite-integrity",
    "NeedsAttentionSuiteKey": null
   },
   {
    "TestCaseId": "tc-fk-stewardship_assignments-steward_role",
    "TestKind": "fk-resolves",
    "Subject": "StewardshipAssignments.StewardRole -&gt; Roles",
    "TargetTable": "StewardshipAssignments",
    "TargetField": "StewardRole",
    "Assertion": "Every non-null value resolves to an existing Roles row.",
    "DefendsQuestion": null,
    "Suite": "suite-integrity",
    "Severity": "blocking",
    "LastOutcome": "PASS",
    "LastDetail": "all values resolve",
    "LastRunAt": "2026-07-20T03:06:49+00:00",
    "SemanticTypeIri": "urn:effortless:pko-extension#TestCase",
    "Name": "fk-resolves: StewardshipAssignments.StewardRole -&gt; Roles",
    "IsBlocking": true,
    "IsPassing": true,
    "IsFailing": false,
    "NeedsAttention": false,
    "PassingSuiteKey": "suite-integrity",
    "NeedsAttentionSuiteKey": null
   },
   {
    "TestCaseId": "tc-fk-stewardship_assignments-authority_role",
    "TestKind": "fk-resolves",
    "Subject": "StewardshipAssignments.AuthorityRole -&gt; Roles",
    "TargetTable": "StewardshipAssignments",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StewardshipAssignments.AuthorityRole -&gt; Roles",
    "IsBlocking": true,
    "IsPassing": true,
    "IsFailing": false,
    "NeedsAttention": false,
    "PassingSuiteKey": "suite-integrity",
    "NeedsAttentionSuiteKey": null
   },
   {
    "TestCaseId": "tc-fk-stewardship_assignments-evaluation_context",
    "TestKind": "fk-resolves",
    "Subject": "StewardshipAssignments.EvaluationContext -&gt; EvaluationContexts",
    "TargetTable": "StewardshipAssignments",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StewardshipAssignments.EvaluationContext -&gt; EvaluationContexts",
    "IsBlocking": true,
    "IsPassing": true,
    "IsFailing": false,
    "NeedsAttention": false,
    "PassingSuiteKey": "suite-integrity",
    "NeedsAttentionSuiteKey": null
   },
   {
    "TestCaseId": "tc-fk-change_requests-procedure_version",
    "TestKind": "fk-resolves",
    "Subject": "ChangeRequests.ProcedureVersion -&gt; ProcedureVersions",
    "TargetTable": "ChangeRequests",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ChangeRequests.ProcedureVersion -&gt; ProcedureVersions",
    "IsBlocking": true,
    "IsPassing": true,
    "IsFailing": false,
    "NeedsAttention": false,
    "PassingSuiteKey": "suite-integrity",
    "NeedsAttentionSuiteKey": null
   },
   {
    "TestCaseId": "tc-fk-change_requests-requested_by_agent",
    "TestKind": "fk-resolves",
    "Subject": "ChangeRequests.RequestedByAgent -&gt; Agents",
    "TargetTable": "ChangeRequests",
    "TargetField": "RequestedByAgent",
    "Assertion": "Every non-null value resolves to an existing Agents row.",
    "DefendsQuestion": null,
    "Suite": "suite-integrity",
    "Severity": "blocking",
    "LastOutcome": "PASS",
    "LastDetail": "all values resolve",
    "LastRunAt": "2026-07-20T03:06:49+00:00",
    "SemanticTypeIri": "urn:effortless:pko-extension#TestCase",
    "Name": "fk-resolves: ChangeRequests.RequestedByAgent -&gt; Agents",
    "IsBlocking": true,
    "IsPassing": true,
    "IsFailing": false,
    "NeedsAttention": false,
    "PassingSuiteKey": "suite-integrity",
    "NeedsAttentionSuiteKey": null
   },
   {
    "TestCaseId": "tc-fk-change_requests-authority_role",
    "TestKind": "fk-resolves",
    "Subject": "ChangeRequests.AuthorityRole -&gt; Roles",
    "TargetTable": "ChangeRequests",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ChangeRequests.AuthorityRole -&gt; Roles",
    "IsBlocking": true,
    "IsPassing": true,
    "IsFailing": false,
    "NeedsAttention": false,
    "PassingSuiteKey": "suite-integrity",
    "NeedsAttentionSuiteKey": null
   },
   {
    "TestCaseId": "tc-fk-change_requests-evaluation_context",
    "TestKind": "fk-resolves",
    "Subject": "ChangeRequests.EvaluationContext -&gt; EvaluationContexts",
    "TargetTable": "ChangeRequests",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ChangeRequests.EvaluationContext -&gt; EvaluationContexts",
    "IsBlocking": true,
    "IsPassing": true,
    "IsFailing": false,
    "NeedsAttention": false,
    "PassingSuiteKey": "suite-integrity",
    "NeedsAttentionSuiteKey": null
   },
   {
    "TestCaseId": "tc-fk-review_events-procedure_version",
    "TestKind": "fk-resolves",
    "Subject": "ReviewEvents.ProcedureVersion -&gt; ProcedureVersions",
    "TargetTable": "ReviewEvents",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ReviewEvents.ProcedureVersion -&gt; ProcedureVersions",
    "IsBlocking": true,
    "IsPassing": true,
    "IsFailing": false,
    "NeedsAttention": false,
    "PassingSuiteKey": "suite-integrity",
    "NeedsAttentionSuiteKey": null
   },
   {
    "TestCaseId": "tc-fk-review_events-reviewed_by_agent",
    "TestKind": "fk-resolves",
    "Subject": "ReviewEvents.ReviewedByAgent -&gt; Agents",
    "TargetTable": "ReviewEvents",
    "TargetField": "ReviewedByAgent",
    "Assertion": "Every non-null value resolves to an existing Agents row.",
    "DefendsQuestion": null,
    "Suite": "suite-integrity",
    "Severity": "blocking",
    "LastOutcome": "PASS",
    "LastDetail": "all values resolve",
    "LastRunAt": "2026-07-20T03:06:49+00:00",
    "SemanticTypeIri": "urn:effortless:pko-extension#TestCase",
    "Name": "fk-resolves: ReviewEvents.ReviewedByAgent -&gt; Agents",
    "IsBlocking": true,
    "IsPassing": true,
    "IsFailing": false,
    "NeedsAttention": false,
    "PassingSuiteKey": "suite-integrity",
    "NeedsAttentionSuiteKey": null
   },
   {
    "TestCaseId": "tc-fk-review_events-related_change_request",
    "TestKind": "fk-resolves",
    "Subject": "ReviewEvents.RelatedChangeRequest -&gt; ChangeRequests",
    "TargetTable": "ReviewEvents",
    "TargetField": "RelatedChangeRequest",
    "Assertion": "Every non-null value resolves to an existing ChangeRequests row.",
    "DefendsQuestion": null,
    "Suite": "suite-integrity",
    "Severity": "blocking",
    "LastOutcome": "PASS",
    "LastDetail": "all values resolve",
    "LastRunAt": "2026-07-20T03:06:49+00:00",
    "SemanticTypeIri": "urn:effortless:pko-extension#TestCase",
    "Name": "fk-resolves: ReviewEvents.RelatedChangeRequest -&gt; ChangeRequests",
    "IsBlocking": true,
    "IsPassing": true,
    "IsFailing": false,
    "NeedsAttention": false,
    "PassingSuiteKey": "suite-integrity",
    "NeedsAttentionSuiteKey": null
   },
   {
    "TestCaseId": "tc-fk-review_events-evaluation_context",
    "TestKind": "fk-resolves",
    "Subject": "ReviewEvents.EvaluationContext -&gt; EvaluationContexts",
    "TargetTable": "ReviewEvents",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ReviewEvents.EvaluationContext -&gt; EvaluationContexts",
    "IsBlocking": true,
    "IsPassing": true,
    "IsFailing": false,
    "NeedsAttention": false,
    "PassingSuiteKey": "suite-integrity",
    "NeedsAttentionSuiteKey": null
   },
   {
    "TestCaseId": "tc-fk-learning_activities-community_of_practice",
    "TestKind": "fk-resolves",
    "Subject": "LearningActivities.CommunityOfPractice -&gt; CommunitiesOfPractice",
    "TargetTable": "LearningActivities",
    "TargetField": "CommunityOfPractice",
    "Assertion": "Every non-null value resolves to an existing CommunitiesOfPractice row.",
    "DefendsQuestion": null,
    "Suite": "suite-integrity",
    "Severity": "blocking",
    "LastOutcome": "PASS",
    "LastDetail": "all values resolve",
    "LastRunAt": "2026-07-20T03:06:49+00:00",
    "SemanticTypeIri": "urn:effortless:pko-extension#TestCase",
    "Name": "fk-resolves: LearningActivities.CommunityOfPractice -&gt; CommunitiesOfPractice",
    "IsBlocking": true,
    "IsPassing": true,
    "IsFailing": false,
    "NeedsAttention": false,
    "PassingSuiteKey": "suite-integrity",
    "NeedsAttentionSuiteKey": null
   },
   {
    "TestCaseId": "tc-fk-learning_activities-procedure_version",
    "TestKind": "fk-resolves",
    "Subject": "LearningActivities.ProcedureVersion -&gt; ProcedureVersions",
    "TargetTable": "LearningActivities",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LearningActivities.ProcedureVersion -&gt; ProcedureVersions",
    "IsBlocking": true,
    "IsPassing": true,
    "IsFailing": false,
    "NeedsAttention": false,
    "PassingSuiteKey": "suite-integrity",
    "NeedsAttentionSuiteKey": null
   },
   {
    "TestCaseId": "tc-fk-learning_activities-facilitator_agent",
    "TestKind": "fk-resolves",
    "Subject": "LearningActivities.FacilitatorAgent -&gt; Agents",
    "TargetTable": "LearningActivities",
    "TargetField": "FacilitatorAgent",
    "Assertion": "Every non-null value resolves to an existing Agents row.",
    "DefendsQuestion": null,
    "Suite": "suite-integrity",
    "Severity": "blocking",
    "LastOutcome": "PASS",
    "LastDetail": "all values resolve",
    "LastRunAt": "2026-07-20T03:06:49+00:00",
    "SemanticTypeIri": "urn:effortless:pko-extension#TestCase",
    "Name": "fk-resolves: LearningActivities.FacilitatorAgent -&gt; Agents",
    "IsBlocking": true,
    "IsPassing": true,
    "IsFailing": false,
    "NeedsAttention": false,
    "PassingSuiteKey": "suite-integrity",
    "NeedsAttentionSuiteKey": null
   },
   {
    "TestCaseId": "tc-fk-learning_activities-evidence_resource",
    "TestKind": "fk-resolves",
    "Subject": "LearningActivities.EvidenceResource -&gt; Resources",
    "TargetTable": "LearningActivities",
    "TargetField": "EvidenceResource",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LearningActivities.EvidenceResource -&gt; Resources",
    "IsBlocking": true,
    "IsPassing": true,
    "IsFailing": false,
    "NeedsAttention": false,
    "PassingSuiteKey": "suite-integrity",
    "NeedsAttentionSuiteKey": null
   },
   {
    "TestCaseId": "tc-fk-operational_bindings-procedure_version",
    "TestKind": "fk-resolves",
    "Subject": "OperationalBindings.ProcedureVersion -&gt; ProcedureVersions",
    "TargetTable": "OperationalBindings",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OperationalBindings.ProcedureVersion -&gt; ProcedureVersions",
    "IsBlocking": true,
    "IsPassing": true,
    "IsFailing": false,
    "NeedsAttention": false,
    "PassingSuiteKey": "suite-integrity",
    "NeedsAttentionSuiteKey": null
   },
   {
    "TestCaseId": "tc-fk-operational_bindings-step",
    "TestKind": "fk-resolves",
    "Subject": "OperationalBindings.Step -&gt; Steps",
    "TargetTable": "OperationalBindings",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OperationalBindings.Step -&gt; Steps",
    "IsBlocking": true,
    "IsPassing": true,
    "IsFailing": false,
    "NeedsAttention": false,
    "PassingSuiteKey": "suite-integrity",
    "NeedsAttentionSuiteKey": null
   },
   {
    "TestCaseId": "tc-fk-operational_bindings-resource",
    "TestKind": "fk-resolves",
    "Subject": "OperationalBindings.Resource -&gt; Resources",
    "TargetTable": "OperationalBindings",
    "TargetField": "Resource",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OperationalBindings.Resource -&gt; Resources",
    "IsBlocking": true,
    "IsPassing": true,
    "IsFailing": false,
    "NeedsAttention": false,
    "PassingSuiteKey": "suite-integrity",
    "NeedsAttentionSuiteKey": null
   },
   {
    "TestCaseId": "tc-fk-operational_bindings-evaluation_context",
    "TestKind": "fk-resolves",
    "Subject": "OperationalBindings.EvaluationContext -&gt; EvaluationContexts",
    "TargetTable": "OperationalBindings",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OperationalBindings.EvaluationContext -&gt; EvaluationContexts",
    "IsBlocking": true,
    "IsPassing": true,
    "IsFailing": false,
    "NeedsAttention": false,
    "PassingSuiteKey": "suite-integrity",
    "NeedsAttentionSuiteKey": null
   },
   {
    "TestCaseId": "tc-fk-communication_policies-procedure_version",
    "TestKind": "fk-resolves",
    "Subject": "CommunicationPolicies.ProcedureVersion -&gt; ProcedureVersions",
    "TargetTable": "CommunicationPolicies",
    "TargetField": "ProcedureVersion",
    "Assertion": "Every non-null value resolves to an existing ProcedureVersions row.",
    "DefendsQuestion": null,
    "Suite": "suite-integrity",
    "Severity": "blocking",
    "LastOutcome": "PASS",
    "LastDetail": "all values resolve",
    "LastRunAt": "2026-07-20T03:06:49+00:00",
    "SemanticTypeIri": "urn:effortless:pko-extension#TestCase",
    "Name": "fk-resolves: CommunicationPolicies.ProcedureVersion -&gt; ProcedureVersions",
    "IsBlocking": true,
    "IsPassing": true,
    "IsFailing": false,
    "NeedsAttention": false,
    "PassingSuiteKey": "suite-integrity",
    "NeedsAttentionSuiteKey": null
   },
   {
    "TestCaseId": "tc-fk-communication_policies-approval_role",
    "TestKind": "fk-resolves",
    "Subject": "CommunicationPolicies.ApprovalRole -&gt; Roles",
    "TargetTable": "CommunicationPolicies",
    "TargetField": "ApprovalRole",
    "Assertion": "Every non-null value resolves to an existing Roles row.",
    "DefendsQuestion": null,
    "Suite": "suite-integrity",
    "Severity": "blocking",
    "LastOutcome": "PASS",
    "LastDetail": "all values resolve",
    "LastRunAt": "2026-07-20T03:06:49+00:00",
    "SemanticT</t>
  </si>
  <si>
    <t xml:space="preserve">ypeIri": "urn:effortless:pko-extension#TestCase",
    "Name": "fk-resolves: CommunicationPolicies.ApprovalRole -&gt; Roles",
    "IsBlocking": true,
    "IsPassing": true,
    "IsFailing": false,
    "NeedsAttention": false,
    "PassingSuiteKey": "suite-integrity",
    "NeedsAttentionSuiteKey": null
   },
   {
    "TestCaseId": "tc-fk-message_templates-communication_policy",
    "TestKind": "fk-resolves",
    "Subject": "MessageTemplates.CommunicationPolicy -&gt; CommunicationPolicies",
    "TargetTable": "MessageTemplates",
    "TargetField": "CommunicationPolicy",
    "Assertion": "Every non-null value resolves to an existing CommunicationPolicies row.",
    "DefendsQuestion": null,
    "Suite": "suite-integrity",
    "Severity": "blocking",
    "LastOutcome": "PASS",
    "LastDetail": "all values resolve",
    "LastRunAt": "2026-07-20T03:06:49+00:00",
    "SemanticTypeIri": "urn:effortless:pko-extension#TestCase",
    "Name": "fk-resolves: MessageTemplates.CommunicationPolicy -&gt; CommunicationPolicies",
    "IsBlocking": true,
    "IsPassing": true,
    "IsFailing": false,
    "NeedsAttention": false,
    "PassingSuiteKey": "suite-integrity",
    "NeedsAttentionSuiteKey": null
   },
   {
    "TestCaseId": "tc-fk-message_templates-resource",
    "TestKind": "fk-resolves",
    "Subject": "MessageTemplates.Resource -&gt; Resources",
    "TargetTable": "MessageTemplates",
    "TargetField": "Resource",
    "Assertion": "Every non-null value resolves to an existing Resources row.",
    "DefendsQuestion": null,
    "Suite": "suite-integrity",
    "Severity": "blocking",
    "LastOutcome": "PASS",
    "LastDetail": "all values resolve",
    "LastRunAt": "2026-07-20T03:06:49+00:00",
    "SemanticTypeIri": "urn:effortless:pko-extension#TestCase",
    "Name": "fk-resolves: MessageTemplates.Resource -&gt; Resources",
    "IsBlocking": true,
    "IsPassing": true,
    "IsFailing": false,
    "NeedsAttention": false,
    "PassingSuiteKey": "suite-integrity",
    "NeedsAttentionSuiteKey": null
   },
   {
    "TestCaseId": "tc-fk-semantic_mappings-ontology_profile",
    "TestKind": "fk-resolves",
    "Subject": "SemanticMappings.OntologyProfile -&gt; OntologyProfiles",
    "TargetTable": "SemanticMappings",
    "TargetField": "OntologyProfile",
    "Assertion": "Every non-null value resolves to an existing OntologyProfiles row.",
    "DefendsQuestion": null,
    "Suite": "suite-integrity",
    "Severity": "blocking",
    "LastOutcome": "PASS",
    "LastDetail": "all values resolve",
    "LastRunAt": "2026-07-20T03:06:49+00:00",
    "SemanticTypeIri": "urn:effortless:pko-extension#TestCase",
    "Name": "fk-resolves: SemanticMappings.OntologyProfile -&gt; OntologyProfiles",
    "IsBlocking": true,
    "IsPassing": true,
    "IsFailing": false,
    "NeedsAttention": false,
    "PassingSuiteKey": "suite-integrity",
    "NeedsAttentionSuiteKey": null
   },
   {
    "TestCaseId": "tc-fk-role_questions-asking_role",
    "TestKind": "fk-resolves",
    "Subject": "RoleQuestions.AskingRole -&gt; Roles",
    "TargetTable": "RoleQuestions",
    "TargetField": "AskingRole",
    "Assertion": "Every non-null value resolves to an existing Roles row.",
    "DefendsQuestion": null,
    "Suite": "suite-integrity",
    "Severity": "blocking",
    "LastOutcome": "PASS",
    "LastDetail": "all values resolve",
    "LastRunAt": "2026-07-20T03:06:49+00:00",
    "SemanticTypeIri": "urn:effortless:pko-extension#TestCase",
    "Name": "fk-resolves: RoleQuestions.AskingRole -&gt; Roles",
    "IsBlocking": true,
    "IsPassing": true,
    "IsFailing": false,
    "NeedsAttention": false,
    "PassingSuiteKey": "suite-integrity",
    "NeedsAttentionSuiteKey": null
   },
   {
    "TestCaseId": "tc-fk-role_questions-witness_loop",
    "TestKind": "fk-resolves",
    "Subject": "RoleQuestions.WitnessLoop -&gt; WitnessLoops",
    "TargetTable": "RoleQuestions",
    "TargetField": "WitnessLoop",
    "Assertion": "Every non-null value resolves to an existing WitnessLoops row.",
    "DefendsQuestion": null,
    "Suite": "suite-integrity",
    "Severity": "blocking",
    "LastOutcome": "PASS",
    "LastDetail": "all values resolve",
    "LastRunAt": "2026-07-20T03:06:49+00:00",
    "SemanticTypeIri": "urn:effortless:pko-extension#TestCase",
    "Name": "fk-resolves: RoleQuestions.WitnessLoop -&gt; WitnessLoops",
    "IsBlocking": true,
    "IsPassing": true,
    "IsFailing": false,
    "NeedsAttention": false,
    "PassingSuiteKey": "suite-integrity",
    "NeedsAttentionSuiteKey": null
   },
   {
    "TestCaseId": "tc-fk-rulebook_fields-invented_for_question",
    "TestKind": "fk-resolves",
    "Subject": "RulebookFields.InventedForQuestion -&gt; RoleQuestions",
    "TargetTable": "RulebookFields",
    "TargetField": "InventedForQuestion",
    "Assertion": "Every non-null value resolves to an existing RoleQuestions row.",
    "DefendsQuestion": null,
    "Suite": "suite-integrity",
    "Severity": "blocking",
    "LastOutcome": "PASS",
    "LastDetail": "all values resolve",
    "LastRunAt": "2026-07-20T03:06:49+00:00",
    "SemanticTypeIri": "urn:effortless:pko-extension#TestCase",
    "Name": "fk-resolves: RulebookFields.InventedForQuestion -&gt; RoleQuestions",
    "IsBlocking": true,
    "IsPassing": true,
    "IsFailing": false,
    "NeedsAttention": false,
    "PassingSuiteKey": "suite-integrity",
    "NeedsAttentionSuiteKey": null
   },
   {
    "TestCaseId": "tc-fk-test_cases-defends_question",
    "TestKind": "fk-resolves",
    "Subject": "TestCases.DefendsQuestion -&gt; RoleQuestions",
    "TargetTable": "TestCases",
    "TargetField": "DefendsQuestion",
    "Assertion": "Every non-null value resolves to an existing RoleQuestions row.",
    "DefendsQuestion": null,
    "Suite": "suite-integrity",
    "Severity": "blocking",
    "LastOutcome": "PASS",
    "LastDetail": "all values resolve",
    "LastRunAt": "2026-07-20T03:06:49+00:00",
    "SemanticTypeIri": "urn:effortless:pko-extension#TestCase",
    "Name": "fk-resolves: TestCases.DefendsQuestion -&gt; RoleQuestions",
    "IsBlocking": true,
    "IsPassing": true,
    "IsFailing": false,
    "NeedsAttention": false,
    "PassingSuiteKey": "suite-integrity",
    "NeedsAttentionSuiteKey": null
   },
   {
    "TestCaseId": "tc-fk-test_cases-suite",
    "TestKind": "fk-resolves",
    "Subject": "TestCases.Suite -&gt; TestSuites",
    "TargetTable": "TestCases",
    "TargetField": "Suite",
    "Assertion": "Every non-null value resolves to an existing TestSuites row.",
    "DefendsQuestion": null,
    "Suite": "suite-integrity",
    "Severity": "blocking",
    "LastOutcome": "PASS",
    "LastDetail": "all values resolve",
    "LastRunAt": "2026-07-20T03:06:49+00:00",
    "SemanticTypeIri": "urn:effortless:pko-extension#TestCase",
    "Name": "fk-resolves: TestCases.Suite -&gt; TestSuites",
    "IsBlocking": true,
    "IsPassing": true,
    "IsFailing": false,
    "NeedsAttention": false,
    "PassingSuiteKey": "suite-integrity",
    "NeedsAttentionSuiteKey": null
   },
   {
    "TestCaseId": "tc-fk-exception_invocations-step_execution",
    "TestKind": "fk-resolves",
    "Subject": "ExceptionInvocations.StepExecution -&gt; StepExecutions",
    "TargetTable": "ExceptionInvocations",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ExceptionInvocations.StepExecution -&gt; StepExecutions",
    "IsBlocking": true,
    "IsPassing": true,
    "IsFailing": false,
    "NeedsAttention": false,
    "PassingSuiteKey": "suite-integrity",
    "NeedsAttentionSuiteKey": null
   },
   {
    "TestCaseId": "tc-fk-exception_invocations-exception",
    "TestKind": "fk-resolves",
    "Subject": "ExceptionInvocations.Exception -&gt; Exceptions",
    "TargetTable": "ExceptionInvocations",
    "TargetField": "Exception",
    "Assertion": "Every non-null value resolves to an existing Exceptions row.",
    "DefendsQuestion": null,
    "Suite": "suite-integrity",
    "Severity": "blocking",
    "LastOutcome": "PASS",
    "LastDetail": "all values resolve",
    "LastRunAt": "2026-07-20T03:06:49+00:00",
    "SemanticTypeIri": "urn:effortless:pko-extension#TestCase",
    "Name": "fk-resolves: ExceptionInvocations.Exception -&gt; Exceptions",
    "IsBlocking": true,
    "IsPassing": true,
    "IsFailing": false,
    "NeedsAttention": false,
    "PassingSuiteKey": "suite-integrity",
    "NeedsAttentionSuiteKey": null
   },
   {
    "TestCaseId": "tc-fk-exception_invocations-invoked_by_agent",
    "TestKind": "fk-resolves",
    "Subject": "ExceptionInvocations.InvokedByAgent -&gt; Agents",
    "TargetTable": "ExceptionInvocations",
    "TargetField": "InvokedByAgent",
    "Assertion": "Every non-null value resolves to an existing Agents row.",
    "DefendsQuestion": null,
    "Suite": "suite-integrity",
    "Severity": "blocking",
    "LastOutcome": "PASS",
    "LastDetail": "all values resolve",
    "LastRunAt": "2026-07-20T03:06:49+00:00",
    "SemanticTypeIri": "urn:effortless:pko-extension#TestCase",
    "Name": "fk-resolves: ExceptionInvocations.InvokedByAgent -&gt; Agents",
    "IsBlocking": true,
    "IsPassing": true,
    "IsFailing": false,
    "NeedsAttention": false,
    "PassingSuiteKey": "suite-integrity",
    "NeedsAttentionSuiteKey": null
   },
   {
    "TestCaseId": "tc-fk-exception_invocations-approved_by_agent",
    "TestKind": "fk-resolves",
    "Subject": "ExceptionInvocations.ApprovedByAgent -&gt; Agents",
    "TargetTable": "ExceptionInvocations",
    "TargetField": "ApprovedByAgent",
    "Assertion": "Every non-null value resolves to an existing Agents row.",
    "DefendsQuestion": null,
    "Suite": "suite-integrity",
    "Severity": "blocking",
    "LastOutcome": "PASS",
    "LastDetail": "all values resolve",
    "LastRunAt": "2026-07-20T03:06:49+00:00",
    "SemanticTypeIri": "urn:effortless:pko-extension#TestCase",
    "Name": "fk-resolves: ExceptionInvocations.ApprovedByAgent -&gt; Agents",
    "IsBlocking": true,
    "IsPassing": true,
    "IsFailing": false,
    "NeedsAttention": false,
    "PassingSuiteKey": "suite-integrity",
    "NeedsAttentionSuiteKey": null
   },
   {
    "TestCaseId": "tc-fk-verification_outcomes-step_execution",
    "TestKind": "fk-resolves",
    "Subject": "VerificationOutcomes.StepExecution -&gt; StepExecutions",
    "TargetTable": "VerificationOutcomes",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VerificationOutcomes.StepExecution -&gt; StepExecutions",
    "IsBlocking": true,
    "IsPassing": true,
    "IsFailing": false,
    "NeedsAttention": false,
    "PassingSuiteKey": "suite-integrity",
    "NeedsAttentionSuiteKey": null
   },
   {
    "TestCaseId": "tc-fk-verification_outcomes-step_verification",
    "TestKind": "fk-resolves",
    "Subject": "VerificationOutcomes.StepVerification -&gt; StepVerifications",
    "TargetTable": "VerificationOutcomes",
    "TargetField": "StepVerification",
    "Assertion": "Every non-null value resolves to an existing StepVerifications row.",
    "DefendsQuestion": null,
    "Suite": "suite-integrity",
    "Severity": "blocking",
    "LastOutcome": "PASS",
    "LastDetail": "all values resolve",
    "LastRunAt": "2026-07-20T03:06:49+00:00",
    "SemanticTypeIri": "urn:effortless:pko-extension#TestCase",
    "Name": "fk-resolves: VerificationOutcomes.StepVerification -&gt; StepVerifications",
    "IsBlocking": true,
    "IsPassing": true,
    "IsFailing": false,
    "NeedsAttention": false,
    "PassingSuiteKey": "suite-integrity",
    "NeedsAttentionSuiteKey": null
   },
   {
    "TestCaseId": "tc-fk-verification_outcomes-observed_by_agent",
    "TestKind": "fk-resolves",
    "Subject": "VerificationOutcomes.ObservedByAgent -&gt; Agents",
    "TargetTable": "VerificationOutcomes",
    "TargetField": "ObservedByAgent",
    "Assertion": "Every non-null value resolves to an existing Agents row.",
    "DefendsQuestion": null,
    "Suite": "suite-integrity",
    "Severity": "blocking",
    "LastOutcome": "PASS",
    "LastDetail": "all values resolve",
    "LastRunAt": "2026-07-20T03:06:49+00:00",
    "SemanticTypeIri": "urn:effortless:pko-extension#TestCase",
    "Name": "fk-resolves: VerificationOutcomes.ObservedByAgent -&gt; Agents",
    "IsBlocking": true,
    "IsPassing": true,
    "IsFailing": false,
    "NeedsAttention": false,
    "PassingSuiteKey": "suite-integrity",
    "NeedsAttentionSuiteKey": null
   },
   {
    "TestCaseId": "tc-fk-observed_transitions-procedure_execution",
    "TestKind": "fk-resolves",
    "Subject": "ObservedTransitions.ProcedureExecution -&gt; ProcedureExecutions",
    "TargetTable": "ObservedTransitions",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ObservedTransitions.ProcedureExecution -&gt; ProcedureExecutions",
    "IsBlocking": true,
    "IsPassing": true,
    "IsFailing": false,
    "NeedsAttention": false,
    "PassingSuiteKey": "suite-integrity",
    "NeedsAttentionSuiteKey": null
   },
   {
    "TestCaseId": "tc-fk-observed_transitions-step_transition",
    "TestKind": "fk-resolves",
    "Subject": "ObservedTransitions.StepTransition -&gt; StepTransitions",
    "TargetTable": "ObservedTransitions",
    "TargetField": "StepTransition",
    "Assertion": "Every non-null value resolves to an existing StepTransitions row.",
    "DefendsQuestion": null,
    "Suite": "suite-integrity",
    "Severity": "blocking",
    "LastOutcome": "PASS",
    "LastDetail": "all values resolve",
    "LastRunAt": "2026-07-20T03:06:49+00:00",
    "SemanticTypeIri": "urn:effortless:pko-extension#TestCase",
    "Name": "fk-resolves: ObservedTransitions.StepTransition -&gt; StepTransitions",
    "IsBlocking": true,
    "IsPassing": true,
    "IsFailing": false,
    "NeedsAttention": false,
    "PassingSuiteKey": "suite-integrity",
    "NeedsAttentionSuiteKey": null
   },
   {
    "TestCaseId": "tc-fk-observed_transitions-arriving_step_execution",
    "TestKind": "fk-resolves",
    "Subject": "ObservedTransitions.ArrivingStepExecution -&gt; StepExecutions",
    "TargetTable": "ObservedTransitions",
    "TargetField": "ArrivingStepExecution",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ObservedTransitions.ArrivingStepExecution -&gt; StepExecutions",
    "IsBlocking": true,
    "IsPassing": true,
    "IsFailing": false,
    "NeedsAttention": false,
    "PassingSuiteKey": "suite-integrity",
    "NeedsAttentionSuiteKey": null
   },
   {
    "TestCaseId": "tc-fk-recipients-organization",
    "TestKind": "fk-resolves",
    "Subject": "Recipients.Organization -&gt; Organizations",
    "TargetTable": "Recipients",
    "TargetField": "Organization",
    "Assertion": "Every non-null value resolves to an existing Organizations row.",
    "DefendsQuestion": null,
    "Suite": "suite-integrity",
    "Severity": "blocking",
    "LastOutcome": "PASS",
    "LastDetail": "all values resolve",
    "LastRunAt": "2026-07-20T03:06:49+00:00",
    "SemanticTypeIri": "urn:effortless:pko-extension#TestCase",
    "Name": "fk-resolves: Recipients.Organization -&gt; Organizations",
    "IsBlocking": true,
    "IsPassing": true,
    "IsFailing": false,
    "NeedsAttention": false,
    "PassingSuiteKey": "suite-integrity",
    "NeedsAttentionSuiteKey": null
   },
   {
    "TestCaseId": "tc-fk-recipients-consent_binding",
    "TestKind": "fk-resolves",
    "Subject": "Recipients.ConsentBinding -&gt; OperationalBindings",
    "TargetTable": "Recipients",
    "TargetField": "ConsentBinding",
    "Assertion": "Every non-null value resolves to an existing OperationalBindings row.",
    "DefendsQuestion": null,
    "Suite": "suite-integrity",
    "Severity": "blocking",
    "LastOutcome": "PASS",
    "LastDetail": "all values resolve",
    "LastRunAt": "2026-07-20T03:06:49+00:00",
    "SemanticTypeIri": "urn:effortless:pko-extension#TestCase",
    "Name": "fk-resolves: Recipients.ConsentBinding -&gt; OperationalBindings",
    "IsBlocking": true,
    "IsPassing": true,
    "IsFailing": false,
    "NeedsAttention": false,
    "PassingSuiteKey": "suite-integrity",
    "NeedsAttentionSuiteKey": null
   },
   {
    "TestCaseId": "tc-fk-message_deliveries-procedure_execution",
    "TestKind": "fk-resolves",
    "Subject": "MessageDeliveries.ProcedureExecution -&gt; ProcedureExecutions",
    "TargetTable": "MessageDeliveries",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MessageDeliveries.ProcedureExecution -&gt; ProcedureExecutions",
    "IsBlocking": true,
    "IsPassing": true,
    "IsFailing": false,
    "NeedsAttention": false,
    "PassingSuiteKey": "suite-integrity",
    "NeedsAttentionSuiteKey": null
   },
   {
    "TestCaseId": "tc-fk-message_deliveries-step_execution",
    "TestKind": "fk-resolves",
    "Subject": "MessageDeliveries.StepExecution -&gt; StepExecutions",
    "TargetTable": "MessageDeliveries",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MessageDeliveries.StepExecution -&gt; StepExecutions",
    "IsBlocking": true,
    "IsPassing": true,
    "IsFailing": false,
    "NeedsAttention": false,
    "PassingSuiteKey": "suite-integrity",
    "NeedsAttentionSuiteKey": null
   },
   {
    "TestCaseId": "tc-fk-message_deliveries-recipient",
    "TestKind": "fk-resolves",
    "Subject": "MessageDeliveries.Recipient -&gt; Recipients",
    "TargetTable": "MessageDeliveries",
    "TargetField": "Recipient",
    "Assertion": "Every non-null value resolves to an existing Recipients row.",
    "DefendsQuestion": null,
    "Suite": "suite-integrity",
    "Severity": "blocking",
    "LastOutcome": "PASS",
    "LastDetail": "all values resolve",
    "LastRunAt": "2026-07-20T03:06:49+00:00",
    "SemanticTypeIri": "urn:effortless:pko-extension#TestCase",
    "Name": "fk-resolves: MessageDeliveries.Recipient -&gt; Recipients",
    "IsBlocking": true,
    "IsPassing": true,
    "IsFailing": false,
    "NeedsAttention": false,
    "PassingSuiteKey": "suite-integrity",
    "NeedsAttentionSuiteKey": null
   },
   {
    "TestCaseId": "tc-fk-message_deliveries-message_template",
    "TestKind": "fk-resolves",
    "Subject": "MessageDeliveries.MessageTemplate -&gt; MessageTemplates",
    "TargetTable": "MessageDeliveries",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MessageDeliveries.MessageTemplate -&gt; MessageTemplates",
    "IsBlocking": true,
    "IsPassing": true,
    "IsFailing": false,
    "NeedsAttention": false,
    "PassingSuiteKey": "suite-integrity",
    "NeedsAttentionSuiteKey": null
   },
   {
    "TestCaseId": "tc-fk-message_deliveries-sent_by_agent",
    "TestKind": "fk-resolves",
    "Subject": "MessageDeliveries.SentByAgent -&gt; Agents",
    "TargetTable": "MessageDeliveries",
    "TargetField": "SentByAgent",
    "Assertion": "Every non-null value resolves to an existing Agents row.",
    "DefendsQuestion": null,
    "Suite": "suite-integrity",
    "Severity": "blocking",
    "LastOutcome": "PASS",
    "LastDetail": "all values resolve",
    "LastRunAt": "2026-07-20T03:06:49+00:00",
    "SemanticTypeIri": "urn:effortless:pko-extension#TestCase",
    "Name": "fk-resolves: MessageDeliveries.SentByAgent -&gt; Agents",
    "IsBlocking": true,
    "IsPassing": true,
    "IsFailing": false,
    "NeedsAttention": false,
    "PassingSuiteKey": "suite-integrity",
    "NeedsAttentionSuiteKey": null
   },
   {
    "TestCaseId": "tc-fk-message_deliveries-invoked_exception",
    "TestKind": "fk-resolves",
    "Subject": "MessageDeliveries.InvokedException -&gt; Exceptions",
    "TargetTable": "MessageDeliveries",
    "TargetField": "InvokedException",
    "Assertion": "Every non-null value resolves to an existing Exceptions row.",
    "DefendsQuestion": null,
    "Suite": "suite-integrity",
    "Severity": "blocking",
    "LastOutcome": "PASS",
    "LastDetail": "all values resolve",
    "LastRunAt": "2026-07-20T03:06:49+00:00",
    "SemanticTypeIri": "urn:effortless:pko-extension#TestCase",
    "Name": "fk-resolves: MessageDeliveries.InvokedException -&gt; Exceptions",
    "IsBlocking": true,
    "IsPassing": true,
    "IsFailing": false,
    "NeedsAttention": false,
    "PassingSuiteKey": "suite-integrity",
    "NeedsAttentionSuiteKey": null
   },
   {
    "TestCaseId": "tc-fk-message_deliveries-evaluation_context",
    "TestKind": "fk-resolves",
    "Subject": "MessageDeliveries.EvaluationContext -&gt; EvaluationContexts",
    "TargetTable": "MessageDeliveries",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MessageDeliveries.EvaluationContext -&gt; EvaluationContexts",
    "IsBlocking": true,
    "IsPassing": true,
    "IsFailing": false,
    "NeedsAttention": false,
    "PassingSuiteKey": "suite-integrity",
    "NeedsAttentionSuiteKey": null
   },
   {
    "TestCaseId": "tc-fk-template_approvals-message_template",
    "TestKind": "fk-resolves",
    "Subject": "TemplateApprovals.MessageTemplate -&gt; MessageTemplates",
    "TargetTable": "TemplateApprovals",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TemplateApprovals.MessageTemplate -&gt; MessageTemplates",
    "IsBlocking": true,
    "IsPassing": true,
    "IsFailing": false,
    "NeedsAttention": false,
    "PassingSuiteKey": "suite-integrity",
    "NeedsAttentionSuiteKey": null
   },
   {
    "TestCaseId": "tc-fk-template_approvals-decided_by_agent",
    "TestKind": "fk-resolves",
    "Subject": "TemplateApprovals.DecidedByAgent -&gt; Agents",
    "TargetTable": "TemplateApprovals",
    "TargetField": "DecidedByAgent",
    "Assertion": "Every non-null value resolves to an existing Agents row.",
    "DefendsQuestion": null,
    "Suite": "suite-integrity",
    "Severity": "blocking",
    "LastOutcome": "PASS",
    "LastDetail": "all values resolve",
    "LastRunAt": "2026-07-20T03:06:49+00:00",
    "SemanticTypeIri": "urn:effortless:pko-extension#TestCase",
    "Name": "fk-resolves: TemplateApprovals.DecidedByAgent -&gt; Agents",
    "IsBlocking": true,
    "IsPassing": true,
    "IsFailing": false,
    "NeedsAttention": false,
    "PassingSuiteKey": "suite-integrity",
    "NeedsAttentionSuiteKey": null
   },
   {
    "TestCaseId": "tc-fk-template_approvals-decided_in_role",
    "TestKind": "fk-resolves",
    "Subject": "TemplateApprovals.DecidedInRole -&gt; Roles",
    "TargetTable": "TemplateApprovals",
    "TargetField": "DecidedInRole",
    "Assertion": "Every non-null value resolves to an existing Roles row.",
    "DefendsQuestion": null,
    "Suite": "suite-integrity",
    "Severity": "blocking",
    "LastOutcome": "PASS",
    "LastDetail": "all values resolve",
    "LastRunAt": "2026-07-20T03:06:49+00:00",
    "SemanticTypeIri": "urn:effortless:pko-extension#TestCase",
    "Name": "fk-resolves: TemplateApprovals.DecidedInRole -&gt; Roles",
    "IsBlocking": true,
    "IsPassing": true,
    "IsFailing": false,
    "NeedsAttention": false,
    "PassingSuiteKey": "suite-integrity",
    "NeedsAttentionSuiteKey": null
   },
   {
    "TestCaseId": "tc-fk-send_intents-procedure_execution",
    "TestKind": "fk-resolves",
    "Subject": "SendIntents.ProcedureExecution -&gt; ProcedureExecutions",
    "TargetTable": "SendIntents",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SendIntents.ProcedureExecution -&gt; ProcedureExecutions",
    "IsBlocking": true,
    "IsPassing": true,
    "IsFailing": false,
    "NeedsAttention": false,
    "PassingSuiteKey": "suite-integrity",
    "NeedsAttentionSuiteKey": null
   },
   {
    "TestCaseId": "tc-fk-send_intents-step_execution",
    "TestKind": "fk-resolves",
    "Subject": "SendIntents.StepExecution -&gt; StepExecutions",
    "TargetTable": "SendIntents",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SendIntents.StepExecution -&gt; StepExecutions",
    "IsBlocking": true,
    "IsPassing": true,
    "IsFailing": false,
    "NeedsAttention": false,
    "PassingSuiteKey": "suite-integrity",
    "NeedsAttentionSuiteKey": null
   },
   {
    "TestCaseId": "tc-fk-send_intents-recipient",
    "TestKind": "fk-resolves",
    "Subject": "SendIntents.Recipient -&gt; Recipients",
    "TargetTable": "SendIntents",
    "TargetField": "Recipient",
    "Assertion": "Every non-null value resolves to an existing Recipients row.",
    "DefendsQuestion": null,
    "Suite": "suite-integrity",
    "Severity": "blocking",
    "LastOutcome": "PASS",
    "LastDetail": "all values resolve",
    "LastRunAt": "2026-07-20T03:06:49+00:00",
    "SemanticTypeIri": "urn:effortless:pko-extension#TestCase",
    "Name": "fk-resolves: SendIntents.Recipient -&gt; Recipients",
    "IsBlocking": true,
    "IsPassing": true,
    "IsFailing": false,
    "NeedsAttention": false,
    "PassingSuiteKey": "suite-integrity",
    "NeedsAttentionSuiteKey": null
   },
   {
    "TestCaseId": "tc-fk-send_intents-message_template",
    "TestKind": "fk-resolves",
    "Subject": "SendIntents.MessageTemplate -&gt; MessageTemplates",
    "TargetTable": "SendIntents",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SendIntents.MessageTemplate -&gt; MessageTemplates",
    "IsBlocking": true,
    "IsPassing": true,
    "IsFailing": false,
    "NeedsAttention": false,
    "PassingSuiteKey": "suite-integrity",
    "NeedsAttentionSuiteKey": null
   },
   {
    "TestCaseId": "tc-fk-send_intents-resulting_delivery",
    "TestKind": "fk-resolves",
    "Subject": "SendIntents.ResultingDelivery -&gt; MessageDeliveries",
    "TargetTable": "SendIntents",
    "TargetField": "ResultingDelivery",
    "Assertion": "Every non-null value resolves to an existing MessageDeliveries row.",
    "DefendsQuestion": null,
    "Suite": "suite-integrity",
    "Severity": "blocking",
    "LastOutcome": "PASS",
    "LastDetail": "all values resolve",
    "LastRunAt": "2026-07-20T03:06:49+00:00",
    "SemanticTypeIri": "urn:effortless:pko-extension#TestCase",
    "Name": "fk-resolves: SendIntents.ResultingDelivery -&gt; MessageDeliveries",
    "IsBlocking": true,
    "IsPassing": true,
    "IsFailing": false,
    "NeedsAttention": false,
    "PassingSuiteKey": "suite-integrity",
    "NeedsAttentionSuiteKey": null
   },
   {
    "TestCaseId": "tc-fk-send_intents-refusal_notified_role",
    "TestKind": "fk-resolves",
    "Subject": "SendIntents.RefusalNotifiedRole -&gt; Roles",
    "TargetTable": "SendIntents",
    "TargetField": "RefusalNotifiedRole",
    "Assertion": "Every non-null value resolves to an existing Roles row.",
    "DefendsQuestion": null,
    "Suite": "suite-integrity",
    "Severity": "blocking",
    "LastOutcome": "PASS",
    "LastDetail": "all values resolve",
    "LastRunAt": "2026-07-20T03:06:49+00:00",
    "SemanticTypeIri": "urn:effortless:pko-extension#TestCase",
    "Name": "fk-resolves: SendIntents.RefusalNotifiedRole -&gt; Roles",
    "IsBlocking": true,
    "IsPassing": true,
    "IsFailing": false,
    "NeedsAttention": false,
    "PassingSuiteKey": "suite-integrity",
    "NeedsAttentionSuiteKey": null
   },
   {
    "TestCaseId": "tc-fk-send_intents-evaluation_context",
    "TestKind": "fk-resolves",
    "Subject": "SendIntents.EvaluationContext -&gt; EvaluationContexts",
    "TargetTable": "SendIntents",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SendIntents.EvaluationContext -&gt; EvaluationContexts",
    "IsBlocking": true,
    "IsPassing": true,
    "IsFailing": false,
    "NeedsAttention": false,
    "PassingSuiteKey": "suite-integrity",
    "NeedsAttentionSuiteKey": null
   },
   {
    "TestCaseId": "tc-fk-agent_decision_records-step_execution",
    "TestKind": "fk-resolves",
    "Subject": "AgentDecisionRecords.StepExecution -&gt; StepExecutions",
    "TargetTable": "AgentDecisionRecords",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AgentDecisionRecords.StepExecution -&gt; StepExecutions",
    "IsBlocking": true,
    "IsPassing": true,
    "IsFailing": false,
    "NeedsAttention": false,
    "PassingSuiteKey": "suite-integrity",
    "NeedsAttentionSuiteKey": null
   },
   {
    "TestCaseId": "tc-fk-agent_decision_records-deciding_agent",
    "TestKind": "fk-resolves",
    "Subject": "AgentDecisionRecords.DecidingAgent -&gt; Agents",
    "TargetTable": "AgentDecisionRecords",
    "TargetField": "Deciding</t>
  </si>
  <si>
    <t xml:space="preserve">Agent",
    "Assertion": "Every non-null value resolves to an existing Agents row.",
    "DefendsQuestion": null,
    "Suite": "suite-integrity",
    "Severity": "blocking",
    "LastOutcome": "PASS",
    "LastDetail": "all values resolve",
    "LastRunAt": "2026-07-20T03:06:49+00:00",
    "SemanticTypeIri": "urn:effortless:pko-extension#TestCase",
    "Name": "fk-resolves: AgentDecisionRecords.DecidingAgent -&gt; Agents",
    "IsBlocking": true,
    "IsPassing": true,
    "IsFailing": false,
    "NeedsAttention": false,
    "PassingSuiteKey": "suite-integrity",
    "NeedsAttentionSuiteKey": null
   },
   {
    "TestCaseId": "tc-fk-agent_decision_records-reviewed_by_agent",
    "TestKind": "fk-resolves",
    "Subject": "AgentDecisionRecords.ReviewedByAgent -&gt; Agents",
    "TargetTable": "AgentDecisionRecords",
    "TargetField": "ReviewedByAgent",
    "Assertion": "Every non-null value resolves to an existing Agents row.",
    "DefendsQuestion": null,
    "Suite": "suite-integrity",
    "Severity": "blocking",
    "LastOutcome": "PASS",
    "LastDetail": "all values resolve",
    "LastRunAt": "2026-07-20T03:06:49+00:00",
    "SemanticTypeIri": "urn:effortless:pko-extension#TestCase",
    "Name": "fk-resolves: AgentDecisionRecords.ReviewedByAgent -&gt; Agents",
    "IsBlocking": true,
    "IsPassing": true,
    "IsFailing": false,
    "NeedsAttention": false,
    "PassingSuiteKey": "suite-integrity",
    "NeedsAttentionSuiteKey": null
   },
   {
    "TestCaseId": "tc-fk-agent_decision_records-under_role_assignment",
    "TestKind": "fk-resolves",
    "Subject": "AgentDecisionRecords.UnderRoleAssignment -&gt; RoleAssignments",
    "TargetTable": "AgentDecisionRecords",
    "TargetField": "UnderRoleAssignment",
    "Assertion": "Every non-null value resolves to an existing RoleAssignments row.",
    "DefendsQuestion": null,
    "Suite": "suite-integrity",
    "Severity": "blocking",
    "LastOutcome": "PASS",
    "LastDetail": "all values resolve",
    "LastRunAt": "2026-07-20T03:06:49+00:00",
    "SemanticTypeIri": "urn:effortless:pko-extension#TestCase",
    "Name": "fk-resolves: AgentDecisionRecords.UnderRoleAssignment -&gt; RoleAssignments",
    "IsBlocking": true,
    "IsPassing": true,
    "IsFailing": false,
    "NeedsAttention": false,
    "PassingSuiteKey": "suite-integrity",
    "NeedsAttentionSuiteKey": null
   },
   {
    "TestCaseId": "tc-fk-delivered_communications-procedure_execution",
    "TestKind": "fk-resolves",
    "Subject": "DeliveredCommunications.ProcedureExecution -&gt; ProcedureExecutions",
    "TargetTable": "DeliveredCommunications",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DeliveredCommunications.ProcedureExecution -&gt; ProcedureExecutions",
    "IsBlocking": true,
    "IsPassing": true,
    "IsFailing": false,
    "NeedsAttention": false,
    "PassingSuiteKey": "suite-integrity",
    "NeedsAttentionSuiteKey": null
   },
   {
    "TestCaseId": "tc-fk-delivered_communications-sending_step_execution",
    "TestKind": "fk-resolves",
    "Subject": "DeliveredCommunications.SendingStepExecution -&gt; StepExecutions",
    "TargetTable": "DeliveredCommunications",
    "TargetField": "SendingStepExecution",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DeliveredCommunications.SendingStepExecution -&gt; StepExecutions",
    "IsBlocking": true,
    "IsPassing": true,
    "IsFailing": false,
    "NeedsAttention": false,
    "PassingSuiteKey": "suite-integrity",
    "NeedsAttentionSuiteKey": null
   },
   {
    "TestCaseId": "tc-fk-delivered_communications-authorizing_step_execution",
    "TestKind": "fk-resolves",
    "Subject": "DeliveredCommunications.AuthorizingStepExecution -&gt; StepExecutions",
    "TargetTable": "DeliveredCommunications",
    "TargetField": "AuthorizingStepExecution",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DeliveredCommunications.AuthorizingStepExecution -&gt; StepExecutions",
    "IsBlocking": true,
    "IsPassing": true,
    "IsFailing": false,
    "NeedsAttention": false,
    "PassingSuiteKey": "suite-integrity",
    "NeedsAttentionSuiteKey": null
   },
   {
    "TestCaseId": "tc-fk-delivered_communications-message_template",
    "TestKind": "fk-resolves",
    "Subject": "DeliveredCommunications.MessageTemplate -&gt; MessageTemplates",
    "TargetTable": "DeliveredCommunications",
    "TargetField": "MessageTemplate",
    "Assertion": "Every non-null value resolves to an existing MessageTemplates row.",
    "DefendsQuestion": null,
    "Suite": "suite-integrity",
    "Severity": "blocking",
    "LastOutcome": "PASS",
    "LastDetail": "all values resolve",
    "LastRunAt": "2026-07-20T03:06:49+00:00",
    "SemanticTypeIri": "urn:effortless:pko-extension#TestCase",
    "Name": "fk-resolves: DeliveredCommunications.MessageTemplate -&gt; MessageTemplates",
    "IsBlocking": true,
    "IsPassing": true,
    "IsFailing": false,
    "NeedsAttention": false,
    "PassingSuiteKey": "suite-integrity",
    "NeedsAttentionSuiteKey": null
   },
   {
    "TestCaseId": "tc-fk-authority_boundaries-step",
    "TestKind": "fk-resolves",
    "Subject": "AuthorityBoundaries.Step -&gt; Steps",
    "TargetTable": "AuthorityBoundaries",
    "TargetField": "Step",
    "Assertion": "Every non-null value resolves to an existing Steps row.",
    "DefendsQuestion": null,
    "Suite": "suite-integrity",
    "Severity": "blocking",
    "LastOutcome": "PASS",
    "LastDetail": "all values resolve",
    "LastRunAt": "2026-07-20T03:06:49+00:00",
    "SemanticTypeIri": "urn:effortless:pko-extension#TestCase",
    "Name": "fk-resolves: AuthorityBoundaries.Step -&gt; Steps",
    "IsBlocking": true,
    "IsPassing": true,
    "IsFailing": false,
    "NeedsAttention": false,
    "PassingSuiteKey": "suite-integrity",
    "NeedsAttentionSuiteKey": null
   },
   {
    "TestCaseId": "tc-fk-authority_boundaries-ratified_by_knowledge_fragment",
    "TestKind": "fk-resolves",
    "Subject": "AuthorityBoundaries.RatifiedByKnowledgeFragment -&gt; KnowledgeFragments",
    "TargetTable": "AuthorityBoundaries",
    "TargetField": "RatifiedByKnowledgeFragment",
    "Assertion": "Every non-null value resolves to an existing KnowledgeFragments row.",
    "DefendsQuestion": null,
    "Suite": "suite-integrity",
    "Severity": "blocking",
    "LastOutcome": "PASS",
    "LastDetail": "all values resolve",
    "LastRunAt": "2026-07-20T03:06:49+00:00",
    "SemanticTypeIri": "urn:effortless:pko-extension#TestCase",
    "Name": "fk-resolves: AuthorityBoundaries.RatifiedByKnowledgeFragment -&gt; KnowledgeFragments",
    "IsBlocking": true,
    "IsPassing": true,
    "IsFailing": false,
    "NeedsAttention": false,
    "PassingSuiteKey": "suite-integrity",
    "NeedsAttentionSuiteKey": null
   },
   {
    "TestCaseId": "tc-fk-authority_boundaries-enforcing_requirement",
    "TestKind": "fk-resolves",
    "Subject": "AuthorityBoundaries.EnforcingRequirement -&gt; Requirements",
    "TargetTable": "AuthorityBoundaries",
    "TargetField": "EnforcingRequirement",
    "Assertion": "Every non-null value resolves to an existing Requirements row.",
    "DefendsQuestion": null,
    "Suite": "suite-integrity",
    "Severity": "blocking",
    "LastOutcome": "PASS",
    "LastDetail": "all values resolve",
    "LastRunAt": "2026-07-20T03:06:49+00:00",
    "SemanticTypeIri": "urn:effortless:pko-extension#TestCase",
    "Name": "fk-resolves: AuthorityBoundaries.EnforcingRequirement -&gt; Requirements",
    "IsBlocking": true,
    "IsPassing": true,
    "IsFailing": false,
    "NeedsAttention": false,
    "PassingSuiteKey": "suite-integrity",
    "NeedsAttentionSuiteKey": null
   },
   {
    "TestCaseId": "tc-fk-authority_boundaries-authority_role",
    "TestKind": "fk-resolves",
    "Subject": "AuthorityBoundaries.AuthorityRole -&gt; Roles",
    "TargetTable": "AuthorityBoundaries",
    "TargetField": "AuthorityRole",
    "Assertion": "Every non-null value resolves to an existing Roles row.",
    "DefendsQuestion": null,
    "Suite": "suite-integrity",
    "Severity": "blocking",
    "LastOutcome": "PASS",
    "LastDetail": "all values resolve",
    "LastRunAt": "2026-07-20T03:06:49+00:00",
    "SemanticTypeIri": "urn:effortless:pko-extension#TestCase",
    "Name": "fk-resolves: AuthorityBoundaries.AuthorityRole -&gt; Roles",
    "IsBlocking": true,
    "IsPassing": true,
    "IsFailing": false,
    "NeedsAttention": false,
    "PassingSuiteKey": "suite-integrity",
    "NeedsAttentionSuiteKey": null
   },
   {
    "TestCaseId": "tc-fk-authority_boundaries-evaluation_context",
    "TestKind": "fk-resolves",
    "Subject": "AuthorityBoundaries.EvaluationContext -&gt; EvaluationContexts",
    "TargetTable": "AuthorityBoundaries",
    "TargetField": "EvaluationContext",
    "Assertion": "Every non-null value resolves to an existing EvaluationContexts row.",
    "DefendsQuestion": null,
    "Suite": "suite-integrity",
    "Severity": "blocking",
    "LastOutcome": "PASS",
    "LastDetail": "all values resolve",
    "LastRunAt": "2026-07-20T03:06:49+00:00",
    "SemanticTypeIri": "urn:effortless:pko-extension#TestCase",
    "Name": "fk-resolves: AuthorityBoundaries.EvaluationContext -&gt; EvaluationContexts",
    "IsBlocking": true,
    "IsPassing": true,
    "IsFailing": false,
    "NeedsAttention": false,
    "PassingSuiteKey": "suite-integrity",
    "NeedsAttentionSuiteKey": null
   },
   {
    "TestCaseId": "tc-fk-binding_observations-step_execution",
    "TestKind": "fk-resolves",
    "Subject": "BindingObservations.StepExecution -&gt; StepExecutions",
    "TargetTable": "BindingObservations",
    "TargetField": "StepExecution",
    "Assertion": "Every non-null value resolves to an existing StepExecutions row.",
    "DefendsQuestion": null,
    "Suite": "suite-integrity",
    "Severity": "blocking",
    "LastOutcome": "PASS",
    "LastDetail": "all values resolve",
    "LastRunAt": "2026-07-20T03:06:49+00:00",
    "SemanticTypeIri": "urn:effortless:pko-extension#TestCase",
    "Name": "fk-resolves: BindingObservations.StepExecution -&gt; StepExecutions",
    "IsBlocking": true,
    "IsPassing": true,
    "IsFailing": false,
    "NeedsAttention": false,
    "PassingSuiteKey": "suite-integrity",
    "NeedsAttentionSuiteKey": null
   },
   {
    "TestCaseId": "tc-fk-binding_observations-operational_binding",
    "TestKind": "fk-resolves",
    "Subject": "BindingObservations.OperationalBinding -&gt; OperationalBindings",
    "TargetTable": "BindingObservations",
    "TargetField": "OperationalBinding",
    "Assertion": "Every non-null value resolves to an existing OperationalBindings row.",
    "DefendsQuestion": null,
    "Suite": "suite-integrity",
    "Severity": "blocking",
    "LastOutcome": "PASS",
    "LastDetail": "all values resolve",
    "LastRunAt": "2026-07-20T03:06:49+00:00",
    "SemanticTypeIri": "urn:effortless:pko-extension#TestCase",
    "Name": "fk-resolves: BindingObservations.OperationalBinding -&gt; OperationalBindings",
    "IsBlocking": true,
    "IsPassing": true,
    "IsFailing": false,
    "NeedsAttention": false,
    "PassingSuiteKey": "suite-integrity",
    "NeedsAttentionSuiteKey": null
   },
   {
    "TestCaseId": "tc-fk-attestations-procedure_execution",
    "TestKind": "fk-resolves",
    "Subject": "Attestations.ProcedureExecution -&gt; ProcedureExecutions",
    "TargetTable": "Attestations",
    "TargetField": "ProcedureExecution",
    "Assertion": "Every non-null value resolves to an existing ProcedureExecutions row.",
    "DefendsQuestion": null,
    "Suite": "suite-integrity",
    "Severity": "blocking",
    "LastOutcome": "PASS",
    "LastDetail": "all values resolve",
    "LastRunAt": "2026-07-20T03:06:49+00:00",
    "SemanticTypeIri": "urn:effortless:pko-extension#TestCase",
    "Name": "fk-resolves: Attestations.ProcedureExecution -&gt; ProcedureExecutions",
    "IsBlocking": true,
    "IsPassing": true,
    "IsFailing": false,
    "NeedsAttention": false,
    "PassingSuiteKey": "suite-integrity",
    "NeedsAttentionSuiteKey": null
   },
   {
    "TestCaseId": "tc-fk-attestations-signed_by_agent",
    "TestKind": "fk-resolves",
    "Subject": "Attestations.SignedByAgent -&gt; Agents",
    "TargetTable": "Attestations",
    "TargetField": "SignedByAgent",
    "Assertion": "Every non-null value resolves to an existing Agents row.",
    "DefendsQuestion": null,
    "Suite": "suite-integrity",
    "Severity": "blocking",
    "LastOutcome": "PASS",
    "LastDetail": "all values resolve",
    "LastRunAt": "2026-07-20T03:06:49+00:00",
    "SemanticTypeIri": "urn:effortless:pko-extension#TestCase",
    "Name": "fk-resolves: Attestations.SignedByAgent -&gt; Agents",
    "IsBlocking": true,
    "IsPassing": true,
    "IsFailing": false,
    "NeedsAttention": false,
    "PassingSuiteKey": "suite-integrity",
    "NeedsAttentionSuiteKey": null
   },
   {
    "TestCaseId": "tc-witness-agents-is_still_engaged",
    "TestKind": "witness-discriminates",
    "Subject": "Agents.IsStillEngaged",
    "TargetTable": "Agents",
    "TargetField": "IsStillEngaged",
    "Assertion": "Reads both TRUE and FALSE across the seed data, so it can distinguish cases.",
    "DefendsQuestion": "q-authority-orphaned-provenance",
    "Suite": "suite-witness",
    "Severity": "advisory",
    "LastOutcome": "WARN",
    "LastDetail": "always true (10/10)",
    "LastRunAt": "2026-07-20T03:06:49+00:00",
    "SemanticTypeIri": "urn:effortless:pko-extension#TestCase",
    "Name": "witness-discriminates: Agents.IsStillEngaged",
    "IsBlocking": false,
    "IsPassing": false,
    "IsFailing": false,
    "NeedsAttention": false,
    "PassingSuiteKey": null,
    "NeedsAttentionSuiteKey": null
   },
   {
    "TestCaseId": "tc-witness-agents-is_non_human",
    "TestKind": "witness-discriminates",
    "Subject": "Agents.IsNonHuman",
    "TargetTable": "Agents",
    "TargetField": "IsNonHuman",
    "Assertion": "Reads both TRUE and FALSE across the seed data, so it can distinguish cases.",
    "DefendsQuestion": "q-close-auto-human-override-drift",
    "Suite": "suite-witness",
    "Severity": "advisory",
    "LastOutcome": "PASS",
    "LastDetail": "4 true / 6 false",
    "LastRunAt": "2026-07-20T03:06:49+00:00",
    "SemanticTypeIri": "urn:effortless:pko-extension#TestCase",
    "Name": "witness-discriminates: Agents.IsNonHuman",
    "IsBlocking": false,
    "IsPassing": true,
    "IsFailing": false,
    "NeedsAttention": false,
    "PassingSuiteKey": "suite-witness",
    "NeedsAttentionSuiteKey": null
   },
   {
    "TestCaseId": "tc-witness-agents-is_operating_outside_boundary",
    "TestKind": "witness-discriminates",
    "Subject": "Agents.IsOperatingOutsideBoundary",
    "TargetTable": "Agents",
    "TargetField": "IsOperatingOutsideBoundary",
    "Assertion": "Reads both TRUE and FALSE across the seed data, so it can distinguish cases.",
    "DefendsQuestion": "q-policy-ai-commitment-boundary",
    "Suite": "suite-witness",
    "Severity": "advisory",
    "LastOutcome": "WARN",
    "LastDetail": "never true (10/10 false)",
    "LastRunAt": "2026-07-20T03:06:49+00:00",
    "SemanticTypeIri": "urn:effortless:pko-extension#TestCase",
    "Name": "witness-discriminates: Agents.IsOperatingOutsideBoundary",
    "IsBlocking": false,
    "IsPassing": false,
    "IsFailing": false,
    "NeedsAttention": false,
    "PassingSuiteKey": null,
    "NeedsAttentionSuiteKey": null
   },
   {
    "TestCaseId": "tc-witness-roles-has_no_current_holder",
    "TestKind": "witness-discriminates",
    "Subject": "Roles.HasNoCurrentHolder",
    "TargetTable": "Roles",
    "TargetField": "HasNoCurrentHolder",
    "Assertion": "Reads both TRUE and FALSE across the seed data, so it can distinguish cases.",
    "DefendsQuestion": "q-close-auto-authority-current",
    "Suite": "suite-witness",
    "Severity": "advisory",
    "LastOutcome": "WARN",
    "LastDetail": "never true (12/12 false)",
    "LastRunAt": "2026-07-20T03:06:49+00:00",
    "SemanticTypeIri": "urn:effortless:pko-extension#TestCase",
    "Name": "witness-discriminates: Roles.HasNoCurrentHolder",
    "IsBlocking": false,
    "IsPassing": false,
    "IsFailing": false,
    "NeedsAttention": false,
    "PassingSuiteKey": null,
    "NeedsAttentionSuiteKey": null
   },
   {
    "TestCaseId": "tc-witness-roles-is_non_human_held",
    "TestKind": "witness-discriminates",
    "Subject": "Roles.IsNonHumanHeld",
    "TargetTable": "Roles",
    "TargetField": "IsNonHumanHeld",
    "Assertion": "Reads both TRUE and FALSE across the seed data, so it can distinguish cases.",
    "DefendsQuestion": "q-policy-ai-no-role-assignment",
    "Suite": "suite-witness",
    "Severity": "advisory",
    "LastOutcome": "PASS",
    "LastDetail": "4 true / 8 false",
    "LastRunAt": "2026-07-20T03:06:49+00:00",
    "SemanticTypeIri": "urn:effortless:pko-extension#TestCase",
    "Name": "witness-discriminates: Roles.IsNonHumanHeld",
    "IsBlocking": false,
    "IsPassing": true,
    "IsFailing": false,
    "NeedsAttention": false,
    "PassingSuiteKey": "suite-witness",
    "NeedsAttentionSuiteKey": null
   },
   {
    "TestCaseId": "tc-witness-roles-is_ungoverned_non_human_role",
    "TestKind": "witness-discriminates",
    "Subject": "Roles.IsUngovernedNonHumanRole",
    "TargetTable": "Roles",
    "TargetField": "IsUngovernedNonHumanRole",
    "Assertion": "Reads both TRUE and FALSE across the seed data, so it can distinguish cases.",
    "DefendsQuestion": "q-policy-ai-no-role-assignment",
    "Suite": "suite-witness",
    "Severity": "advisory",
    "LastOutcome": "WARN",
    "LastDetail": "never true (12/12 false)",
    "LastRunAt": "2026-07-20T03:06:49+00:00",
    "SemanticTypeIri": "urn:effortless:pko-extension#TestCase",
    "Name": "witness-discriminates: Roles.IsUngovernedNonHumanRole",
    "IsBlocking": false,
    "IsPassing": false,
    "IsFailing": false,
    "NeedsAttention": false,
    "PassingSuiteKey": null,
    "NeedsAttentionSuiteKey": null
   },
   {
    "TestCaseId": "tc-witness-roles-has_lost_a_holder",
    "TestKind": "witness-discriminates",
    "Subject": "Roles.HasLostAHolder",
    "TargetTable": "Roles",
    "TargetField": "HasLostAHolder",
    "Assertion": "Reads both TRUE and FALSE across the seed data, so it can distinguish cases.",
    "DefendsQuestion": "q2-hr-departed-holder-left-claims-behind",
    "Suite": "suite-witness",
    "Severity": "advisory",
    "LastOutcome": "PASS",
    "LastDetail": "1 true / 11 false",
    "LastRunAt": "2026-07-20T03:06:49+00:00",
    "SemanticTypeIri": "urn:effortless:pko-extension#TestCase",
    "Name": "witness-discriminates: Roles.HasLostAHolder",
    "IsBlocking": false,
    "IsPassing": true,
    "IsFailing": false,
    "NeedsAttention": false,
    "PassingSuiteKey": "suite-witness",
    "NeedsAttentionSuiteKey": null
   },
   {
    "TestCaseId": "tc-witness-roles-is_vacated_role",
    "TestKind": "witness-discriminates",
    "Subject": "Roles.IsVacatedRole",
    "TargetTable": "Roles",
    "TargetField": "IsVacatedRole",
    "Assertion": "Reads both TRUE and FALSE across the seed data, so it can distinguish cases.",
    "DefendsQuestion": "q2-hr-departed-holder-left-claims-behind",
    "Suite": "suite-witness",
    "Severity": "advisory",
    "LastOutcome": "WARN",
    "LastDetail": "never true (12/12 false)",
    "LastRunAt": "2026-07-20T03:06:49+00:00",
    "SemanticTypeIri": "urn:effortless:pko-extension#TestCase",
    "Name": "witness-discriminates: Roles.IsVacatedRole",
    "IsBlocking": false,
    "IsPassing": false,
    "IsFailing": false,
    "NeedsAttention": false,
    "PassingSuiteKey": null,
    "NeedsAttentionSuiteKey": null
   },
   {
    "TestCaseId": "tc-witness-roles-is_governed_by_lapsed_authority",
    "TestKind": "witness-discriminates",
    "Subject": "Roles.IsGovernedByLapsedAuthority",
    "TargetTable": "Roles",
    "TargetField": "IsGovernedByLapsedAuthority",
    "Assertion": "Reads both TRUE and FALSE across the seed data, so it can distinguish cases.",
    "DefendsQuestion": "q2-variance-boundary-rests-on-expired-knowledge",
    "Suite": "suite-witness",
    "Severity": "advisory",
    "LastOutcome": "WARN",
    "LastDetail": "never true (12/12 false)",
    "LastRunAt": "2026-07-20T03:06:49+00:00",
    "SemanticTypeIri": "urn:effortless:pko-extension#TestCase",
    "Name": "witness-discriminates: Roles.IsGovernedByLapsedAuthority",
    "IsBlocking": false,
    "IsPassing": false,
    "IsFailing": false,
    "NeedsAttention": false,
    "PassingSuiteKey": null,
    "NeedsAttentionSuiteKey": null
   },
   {
    "TestCaseId": "tc-witness-roles-is_ungoverned_enforcement_role",
    "TestKind": "witness-discriminates",
    "Subject": "Roles.IsUngovernedEnforcementRole",
    "TargetTable": "Roles",
    "TargetField": "IsUngovernedEnforcementRole",
    "Assertion": "Reads both TRUE and FALSE across the seed data, so it can distinguish cases.",
    "DefendsQuestion": "q2-publisher-my-own-authorization",
    "Suite": "suite-witness",
    "Severity": "advisory",
    "LastOutcome": "PASS",
    "LastDetail": "3 true / 9 false",
    "LastRunAt": "2026-07-20T03:06:49+00:00",
    "SemanticTypeIri": "urn:effortless:pko-extension#TestCase",
    "Name": "witness-discriminates: Roles.IsUngovernedEnforcementRole",
    "IsBlocking": false,
    "IsPassing": true,
    "IsFailing": false,
    "NeedsAttention": false,
    "PassingSuiteKey": "suite-witness",
    "NeedsAttentionSuiteKey": null
   },
   {
    "TestCaseId": "tc-witness-role_assignments-is_current",
    "TestKind": "witness-discriminates",
    "Subject": "RoleAssignments.IsCurrent",
    "TargetTable": "RoleAssignments",
    "TargetField": "IsCurrent",
    "Assertion": "Reads both TRUE and FALSE across the seed data, so it can distinguish cases.",
    "DefendsQuestion": null,
    "Suite": "suite-witness",
    "Severity": "advisory",
    "LastOutcome": "PASS",
    "LastDetail": "12 true / 1 false",
    "LastRunAt": "2026-07-20T03:06:49+00:00",
    "SemanticTypeIri": "urn:effortless:pko-extension#TestCase",
    "Name": "witness-discriminates: RoleAssignments.IsCurrent",
    "IsBlocking": false,
    "IsPassing": true,
    "IsFailing": false,
    "NeedsAttention": false,
    "PassingSuiteKey": "suite-witness",
    "NeedsAttentionSuiteKey": null
   },
   {
    "TestCaseId": "tc-witness-role_assignments-is_currently_valid",
    "TestKind": "witness-discriminates",
    "Subject": "RoleAssignments.IsCurrentlyValid",
    "TargetTable": "RoleAssignments",
    "TargetField": "IsCurrentlyValid",
    "Assertion": "Reads both TRUE and FALSE across the seed data, so it can distinguish cases.",
    "DefendsQuestion": "q-controller-approval-authority-valid",
    "Suite": "suite-witness",
    "Severity": "advisory",
    "LastOutcome": "PASS",
    "LastDetail": "12 true / 1 false",
    "LastRunAt": "2026-07-20T03:06:49+00:00",
    "SemanticTypeIri": "urn:effortless:pko-extension#TestCase",
    "Name": "witness-discriminates: RoleAssignments.IsCurrentlyValid",
    "IsBlocking": false,
    "IsPassing": true,
    "IsFailing": false,
    "NeedsAttention": false,
    "PassingSuiteKey": "suite-witness",
    "NeedsAttentionSuiteKey": null
   },
   {
    "TestCaseId": "tc-witness-role_assignments-has_departed",
    "TestKind": "witness-discriminates",
    "Subject": "RoleAssignments.HasDeparted",
    "TargetTable": "RoleAssignments",
    "TargetField": "HasDeparted",
    "Assertion": "Reads both TRUE and FALSE across the seed data, so it can distinguish cases.",
    "DefendsQuestion": "q-authority-orphaned-provenance",
    "Suite": "suite-witness",
    "Severity": "advisory",
    "LastOutcome": "PASS",
    "LastDetail": "1 true / 12 false",
    "LastRunAt": "2026-07-20T03:06:49+00:00",
    "SemanticTypeIri": "urn:effortless:pko-extension#TestCase",
    "Name": "witness-discriminates: RoleAssignments.HasDeparted",
    "IsBlocking": false,
    "IsPassing": true,
    "IsFailing": false,
    "NeedsAttention": false,
    "PassingSuiteKey": "suite-witness",
    "NeedsAttentionSuiteKey": null
   },
   {
    "TestCaseId": "tc-witness-role_assignments-covers_now",
    "TestKind": "witness-discriminates",
    "Subject": "RoleAssignments.CoversNow",
    "TargetTable": "RoleAssignments",
    "TargetField": "CoversNow",
    "Assertion": "Reads both TRUE and FALSE across the seed data, so it can distinguish cases.",
    "DefendsQuestion": "q-close-auto-authority-current",
    "Suite": "suite-witness",
    "Severity": "advisory",
    "LastOutcome": "PASS",
    "LastDetail": "12 true / 1 false",
    "LastRunAt": "2026-07-20T03:06:49+00:00",
    "SemanticTypeIri": "urn:effortless:pko-extension#TestCase",
    "Name": "witness-discriminates: RoleAssignments.CoversNow",
    "IsBlocking": false,
    "IsPassing": true,
    "IsFailing": false,
    "NeedsAttention": false,
    "PassingSuiteKey": "suite-witness",
    "NeedsAttentionSuiteKey": null
   },
   {
    "TestCaseId": "tc-witness-role_assignments-is_non_human_assignment",
    "TestKind": "witness-discriminates",
    "Subject": "RoleAssignments.IsNonHumanAssignment",
    "TargetTable": "RoleAssignments",
    "TargetField": "IsNonHumanAssignment",
    "Assertion": "Reads both TRUE and FALSE across the seed data, so it can distinguish cases.",
    "DefendsQuestion": "q-variance-ai-authority-provenance",
    "Suite": "suite-witness",
    "Severity": "advisory",
    "LastOutcome": "PASS",
    "LastDetail": "4 true / 9 false",
    "LastRunAt": "2026-07-20T03:06:49+00:00",
    "SemanticTypeIri": "urn:effortless:pko-extension#TestCase",
    "Name": "witness-discriminates: RoleAssignments.IsNonHumanAssignment",
    "IsBlocking": false,
    "IsPassing": true,
    "IsFailing": false,
    "NeedsAttention": false,
    "PassingSuiteKey": "suite-witness",
    "NeedsAttentionSuiteKey": null
   },
   {
    "TestCaseId": "tc-witness-role_assignments-is_human_to_non_human_handover",
    "TestKind": "witness-discriminates",
    "Subject": "RoleAssignments.IsHumanToNonHumanHandover",
    "TargetTable": "RoleAssignments",
    "TargetField": "IsHumanToNonHumanHandover",
    "Assertion": "Reads both TRUE and FALSE across the seed data, so it can distinguish cases.",
    "DefendsQuestion": "q-variance-ai-authority-provenance",
    "Suite": "suite-witness",
    "Severity": "advisory",
    "LastOutcome": "PASS",
    "LastDetail": "1 true / 9 false",
    "LastRunAt": "2026-07-20T03:06:49+00:00",
    "SemanticTypeIri": "urn:effortless:pko-extension#TestCase",
    "Name": "witness-discriminates: RoleAssignments.IsHumanToNonHumanHandover",
    "IsBlocking": false,
    "IsPassing": true,
    "IsFailing": false,
    "NeedsAttention": false,
    "PassingSuiteKey": "suite-witness",
    "NeedsAttentionSuiteKey": null
   },
   {
    "TestCaseId": "tc-witness-role_assignments-is_unauthorized_non_human_assignment",
    "TestKind": "witness-discriminates",
    "Subject": "RoleAssignments.IsUnauthorizedNonHumanAssignment",
    "TargetTable": "RoleAssignments",
    "TargetField": "IsUnauthorizedNonHumanAssignment",
    "Assertion": "Reads both TRUE and FALSE across the seed data, so it can distinguish cases.",
    "DefendsQuestion": "q-variance-ai-authority-provenance",
    "Suite": "suite-witness",
    "Severity": "advisory",
    "LastOutcome": "PASS",
    "LastDetail": "3 true / 10 false",
    "LastRunAt": "2026-07-20T03:06:49+00:00",
    "SemanticTypeIri": "urn:effortless:pko-extension#TestCase",
    "Name": "witness-discriminates: RoleAssignments.IsUnauthorizedNonHumanAssignment",
    "IsBlocking": false,
    "IsPassing": true,
    "IsFailing": false,
    "NeedsAttention": false,
    "PassingSuiteKey": "suite-witness",
    "NeedsAttentionSuiteKey": null
   },
   {
    "TestCaseId": "tc-witness-role_assignments-was_authorized_by_change_request",
    "TestKind": "witness-discriminates",
    "Subject": "RoleAssignments.WasAuthorizedByChangeRequest",
    "TargetTable": "RoleAssignments",
    "TargetField": "WasAuthorizedByChangeRequest",
    "Assertion": "Reads both TRUE and FALSE across the seed data, so it can distinguish cases.",
    "DefendsQuestion": null,
    "Suite": "suite-witness",
    "Severity": "advisory",
    "LastOutcome": "WARN",
    "LastDetail": "never true (13/13 false)",
    "LastRunAt": "2026-07-20T03:06:49+00:00",
    "SemanticTypeIri": "urn:effortless:pko-extension#TestCase",
    "Name": "witness-discriminates: RoleAssignments.WasAuthorizedByChangeRequest",
    "IsBlocking": false,
    "IsPassing": false,
    "IsFailing": false,
    "NeedsAttention": false,
    "PassingSuiteKey": null,
    "NeedsAttentionSuiteKey": null
   },
   {
    "TestCaseId": "tc-witness-role_assignments-quality_regressed_vs_predecessor",
    "TestKind": "witness-discriminates",
    "Subject": "RoleAssignments.QualityRegressedVsPredecessor",
    "TargetTable": "RoleAssignments",
    "TargetField": "QualityRegressedVsPredecessor",
    "Assertion": "Reads both TRUE and FALSE across the seed data, so it can distinguish cases.",
    "DefendsQuestion": "q-variance-ai-quality-vs-human-baseline",
    "Suite": "suite-witness",
    "Severity": "advisory",
    "LastOutcome": "WARN",
    "LastDetail": "never true (13/13 false)",
    "LastRunAt": "2026-07-20T03:06:49+00:00",
    "SemanticTypeIri": "urn:effortless:pko-extension#TestCase",
    "Name": "witness-discriminates: RoleAssignments.QualityRegressedVsPredecessor",
    "IsBlocking": false,
    "IsPassing": false,
    "IsFailing": false,
    "NeedsAttention": false,
    "PassingSuiteKey": null,
    "NeedsAttentionSuiteKey": null
   },
   {
    "TestCaseId": "tc-witness-role_assignments-has_sufficient_sample",
    "TestKind": "witness-discriminates",
    "Subject": "RoleAssignments.HasSufficientSample",
    "TargetTable": "RoleAssignments",
    "TargetField": "HasSufficientSample",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RoleAssignments.HasSufficientSample",
    "IsBlocking": false,
    "IsPassing": false,
    "IsFailing": false,
    "NeedsAttention": false,
    "PassingSuiteKey": null,
    "NeedsAttentionSuiteKey": null
   },
   {
    "TestCaseId": "tc-witness-role_assignments-predecessor_has_sufficient_sample",
    "TestKind": "witness-discriminates",
    "Subject": "RoleAssignments.PredecessorHasSufficientSample",
    "TargetTable": "RoleAssignments",
    "TargetField": "PredecessorHasSufficientSample",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RoleAssignments.PredecessorHasSufficientSample",
    "IsBlocking": false,
    "IsPassing": false,
    "IsFailing": false,
    "NeedsAttention": false,
    "PassingSuiteKey": null,
    "NeedsAttentionSuiteKey": null
   },
   {
    "TestCaseId": "tc-witness-role_assignments-comparison_is_evidentially_sound",
    "TestKind": "witness-discriminates",
    "Subject": "RoleAssignments.ComparisonIsEvidentiallySound",
    "TargetTable": "RoleAssignments",
    "TargetField": "ComparisonIsEvidentiallySound",
    "Assertion": "Reads both TRUE and FALSE across the seed data, so it can distinguish cases.",
    "DefendsQuestion": "q2-variance-comparison-is-statistically-empty",
    "Suite": "suite-witness",
    "Severity": "advisory",
    "LastOutcome": "WARN"</t>
  </si>
  <si>
    <t xml:space="preserve">,
    "LastDetail": "never true (0/13 false)",
    "LastRunAt": "2026-07-20T03:06:49+00:00",
    "SemanticTypeIri": "urn:effortless:pko-extension#TestCase",
    "Name": "witness-discriminates: RoleAssignments.ComparisonIsEvidentiallySound",
    "IsBlocking": false,
    "IsPassing": false,
    "IsFailing": false,
    "NeedsAttention": false,
    "PassingSuiteKey": null,
    "NeedsAttentionSuiteKey": null
   },
   {
    "TestCaseId": "tc-witness-role_assignments-quality_verdict_is_unsupported",
    "TestKind": "witness-discriminates",
    "Subject": "RoleAssignments.QualityVerdictIsUnsupported",
    "TargetTable": "RoleAssignments",
    "TargetField": "QualityVerdictIsUnsupported",
    "Assertion": "Reads both TRUE and FALSE across the seed data, so it can distinguish cases.",
    "DefendsQuestion": "q2-variance-comparison-is-statistically-empty",
    "Suite": "suite-witness",
    "Severity": "advisory",
    "LastOutcome": "WARN",
    "LastDetail": "never true (0/13 false)",
    "LastRunAt": "2026-07-20T03:06:49+00:00",
    "SemanticTypeIri": "urn:effortless:pko-extension#TestCase",
    "Name": "witness-discriminates: RoleAssignments.QualityVerdictIsUnsupported",
    "IsBlocking": false,
    "IsPassing": false,
    "IsFailing": false,
    "NeedsAttention": false,
    "PassingSuiteKey": null,
    "NeedsAttentionSuiteKey": null
   },
   {
    "TestCaseId": "tc-witness-role_assignments-is_unmeasured_automation_handover",
    "TestKind": "witness-discriminates",
    "Subject": "RoleAssignments.IsUnmeasuredAutomationHandover",
    "TargetTable": "RoleAssignments",
    "TargetField": "IsUnmeasuredAutomationHandover",
    "Assertion": "Reads both TRUE and FALSE across the seed data, so it can distinguish cases.",
    "DefendsQuestion": "q2-variance-comparison-is-statistically-empty",
    "Suite": "suite-witness",
    "Severity": "advisory",
    "LastOutcome": "WARN",
    "LastDetail": "never true (9/13 false)",
    "LastRunAt": "2026-07-20T03:06:49+00:00",
    "SemanticTypeIri": "urn:effortless:pko-extension#TestCase",
    "Name": "witness-discriminates: RoleAssignments.IsUnmeasuredAutomationHandover",
    "IsBlocking": false,
    "IsPassing": false,
    "IsFailing": false,
    "NeedsAttention": false,
    "PassingSuiteKey": null,
    "NeedsAttentionSuiteKey": null
   },
   {
    "TestCaseId": "tc-witness-role_assignments-has_dated_authorization",
    "TestKind": "witness-discriminates",
    "Subject": "RoleAssignments.HasDatedAuthorization",
    "TargetTable": "RoleAssignments",
    "TargetField": "HasDatedAuthorization",
    "Assertion": "Reads both TRUE and FALSE across the seed data, so it can distinguish cases.",
    "DefendsQuestion": "q2-variance-handover-was-a-decision-somebody-made",
    "Suite": "suite-witness",
    "Severity": "advisory",
    "LastOutcome": "WARN",
    "LastDetail": "never true (13/13 false)",
    "LastRunAt": "2026-07-20T03:06:49+00:00",
    "SemanticTypeIri": "urn:effortless:pko-extension#TestCase",
    "Name": "witness-discriminates: RoleAssignments.HasDatedAuthorization",
    "IsBlocking": false,
    "IsPassing": false,
    "IsFailing": false,
    "NeedsAttention": false,
    "PassingSuiteKey": null,
    "NeedsAttentionSuiteKey": null
   },
   {
    "TestCaseId": "tc-witness-role_assignments-authorization_is_overdue_for_review",
    "TestKind": "witness-discriminates",
    "Subject": "RoleAssignments.AuthorizationIsOverdueForReview",
    "TargetTable": "RoleAssignments",
    "TargetField": "AuthorizationIsOverdueForReview",
    "Assertion": "Reads both TRUE and FALSE across the seed data, so it can distinguish cases.",
    "DefendsQuestion": "q2-variance-handover-was-a-decision-somebody-made",
    "Suite": "suite-witness",
    "Severity": "advisory",
    "LastOutcome": "WARN",
    "LastDetail": "never true (0/13 false)",
    "LastRunAt": "2026-07-20T03:06:49+00:00",
    "SemanticTypeIri": "urn:effortless:pko-extension#TestCase",
    "Name": "witness-discriminates: RoleAssignments.AuthorizationIsOverdueForReview",
    "IsBlocking": false,
    "IsPassing": false,
    "IsFailing": false,
    "NeedsAttention": false,
    "PassingSuiteKey": null,
    "NeedsAttentionSuiteKey": null
   },
   {
    "TestCaseId": "tc-witness-role_assignments-is_standing_unreviewed_automation",
    "TestKind": "witness-discriminates",
    "Subject": "RoleAssignments.IsStandingUnreviewedAutomation",
    "TargetTable": "RoleAssignments",
    "TargetField": "IsStandingUnreviewedAutomation",
    "Assertion": "Reads both TRUE and FALSE across the seed data, so it can distinguish cases.",
    "DefendsQuestion": "q2-variance-handover-was-a-decision-somebody-made",
    "Suite": "suite-witness",
    "Severity": "advisory",
    "LastOutcome": "WARN",
    "LastDetail": "never true (9/13 false)",
    "LastRunAt": "2026-07-20T03:06:49+00:00",
    "SemanticTypeIri": "urn:effortless:pko-extension#TestCase",
    "Name": "witness-discriminates: RoleAssignments.IsStandingUnreviewedAutomation",
    "IsBlocking": false,
    "IsPassing": false,
    "IsFailing": false,
    "NeedsAttention": false,
    "PassingSuiteKey": null,
    "NeedsAttentionSuiteKey": null
   },
   {
    "TestCaseId": "tc-witness-role_assignments-is_unconditioned_automation_handover",
    "TestKind": "witness-discriminates",
    "Subject": "RoleAssignments.IsUnconditionedAutomationHandover",
    "TargetTable": "RoleAssignments",
    "TargetField": "IsUnconditionedAutomationHandover",
    "Assertion": "Reads both TRUE and FALSE across the seed data, so it can distinguish cases.",
    "DefendsQuestion": "q2-variance-handover-was-a-decision-somebody-made",
    "Suite": "suite-witness",
    "Severity": "advisory",
    "LastOutcome": "WARN",
    "LastDetail": "never true (9/13 false)",
    "LastRunAt": "2026-07-20T03:06:49+00:00",
    "SemanticTypeIri": "urn:effortless:pko-extension#TestCase",
    "Name": "witness-discriminates: RoleAssignments.IsUnconditionedAutomationHandover",
    "IsBlocking": false,
    "IsPassing": false,
    "IsFailing": false,
    "NeedsAttention": false,
    "PassingSuiteKey": null,
    "NeedsAttentionSuiteKey": null
   },
   {
    "TestCaseId": "tc-witness-role_assignments-exceeds_tolerable_error_rate",
    "TestKind": "witness-discriminates",
    "Subject": "RoleAssignments.ExceedsTolerableErrorRate",
    "TargetTable": "RoleAssignments",
    "TargetField": "ExceedsTolerableErrorRate",
    "Assertion": "Reads both TRUE and FALSE across the seed data, so it can distinguish cases.",
    "DefendsQuestion": "q2-variance-what-would-make-me-stop",
    "Suite": "suite-witness",
    "Severity": "advisory",
    "LastOutcome": "WARN",
    "LastDetail": "never true (0/13 false)",
    "LastRunAt": "2026-07-20T03:06:49+00:00",
    "SemanticTypeIri": "urn:effortless:pko-extension#TestCase",
    "Name": "witness-discriminates: RoleAssignments.ExceedsTolerableErrorRate",
    "IsBlocking": false,
    "IsPassing": false,
    "IsFailing": false,
    "NeedsAttention": false,
    "PassingSuiteKey": null,
    "NeedsAttentionSuiteKey": null
   },
   {
    "TestCaseId": "tc-witness-role_assignments-has_any_boundary_violation",
    "TestKind": "witness-discriminates",
    "Subject": "RoleAssignments.HasAnyBoundaryViolation",
    "TargetTable": "RoleAssignments",
    "TargetField": "HasAnyBoundaryViolation",
    "Assertion": "Reads both TRUE and FALSE across the seed data, so it can distinguish cases.",
    "DefendsQuestion": "q2-variance-what-would-make-me-stop",
    "Suite": "suite-witness",
    "Severity": "advisory",
    "LastOutcome": "WARN",
    "LastDetail": "never true (13/13 false)",
    "LastRunAt": "2026-07-20T03:06:49+00:00",
    "SemanticTypeIri": "urn:effortless:pko-extension#TestCase",
    "Name": "witness-discriminates: RoleAssignments.HasAnyBoundaryViolation",
    "IsBlocking": false,
    "IsPassing": false,
    "IsFailing": false,
    "NeedsAttention": false,
    "PassingSuiteKey": null,
    "NeedsAttentionSuiteKey": null
   },
   {
    "TestCaseId": "tc-witness-role_assignments-has_ungrounded_governing_boundary",
    "TestKind": "witness-discriminates",
    "Subject": "RoleAssignments.HasUngroundedGoverningBoundary",
    "TargetTable": "RoleAssignments",
    "TargetField": "HasUngroundedGoverningBoundary",
    "Assertion": "Reads both TRUE and FALSE across the seed data, so it can distinguish cases.",
    "DefendsQuestion": "q2-variance-what-would-make-me-stop",
    "Suite": "suite-witness",
    "Severity": "advisory",
    "LastOutcome": "WARN",
    "LastDetail": "never true (13/13 false)",
    "LastRunAt": "2026-07-20T03:06:49+00:00",
    "SemanticTypeIri": "urn:effortless:pko-extension#TestCase",
    "Name": "witness-discriminates: RoleAssignments.HasUngroundedGoverningBoundary",
    "IsBlocking": false,
    "IsPassing": false,
    "IsFailing": false,
    "NeedsAttention": false,
    "PassingSuiteKey": null,
    "NeedsAttentionSuiteKey": null
   },
   {
    "TestCaseId": "tc-witness-role_assignments-suspension_condition_met",
    "TestKind": "witness-discriminates",
    "Subject": "RoleAssignments.SuspensionConditionMet",
    "TargetTable": "RoleAssignments",
    "TargetField": "SuspensionConditionMet",
    "Assertion": "Reads both TRUE and FALSE across the seed data, so it can distinguish cases.",
    "DefendsQuestion": "q2-variance-what-would-make-me-stop",
    "Suite": "suite-witness",
    "Severity": "advisory",
    "LastOutcome": "WARN",
    "LastDetail": "never true (0/13 false)",
    "LastRunAt": "2026-07-20T03:06:49+00:00",
    "SemanticTypeIri": "urn:effortless:pko-extension#TestCase",
    "Name": "witness-discriminates: RoleAssignments.SuspensionConditionMet",
    "IsBlocking": false,
    "IsPassing": false,
    "IsFailing": false,
    "NeedsAttention": false,
    "PassingSuiteKey": null,
    "NeedsAttentionSuiteKey": null
   },
   {
    "TestCaseId": "tc-witness-role_assignments-is_operating_under_met_suspension_condition",
    "TestKind": "witness-discriminates",
    "Subject": "RoleAssignments.IsOperatingUnderMetSuspensionCondition",
    "TargetTable": "RoleAssignments",
    "TargetField": "IsOperatingUnderMetSuspensionCondition",
    "Assertion": "Reads both TRUE and FALSE across the seed data, so it can distinguish cases.",
    "DefendsQuestion": "q2-variance-what-would-make-me-stop",
    "Suite": "suite-witness",
    "Severity": "advisory",
    "LastOutcome": "WARN",
    "LastDetail": "never true (9/13 false)",
    "LastRunAt": "2026-07-20T03:06:49+00:00",
    "SemanticTypeIri": "urn:effortless:pko-extension#TestCase",
    "Name": "witness-discriminates: RoleAssignments.IsOperatingUnderMetSuspensionCondition",
    "IsBlocking": false,
    "IsPassing": false,
    "IsFailing": false,
    "NeedsAttention": false,
    "PassingSuiteKey": null,
    "NeedsAttentionSuiteKey": null
   },
   {
    "TestCaseId": "tc-witness-role_assignments-has_declared_suspension_condition",
    "TestKind": "witness-discriminates",
    "Subject": "RoleAssignments.HasDeclaredSuspensionCondition",
    "TargetTable": "RoleAssignments",
    "TargetField": "HasDeclaredSuspensionCondition",
    "Assertion": "Reads both TRUE and FALSE across the seed data, so it can distinguish cases.",
    "DefendsQuestion": "q2-variance-what-would-make-me-stop",
    "Suite": "suite-witness",
    "Severity": "advisory",
    "LastOutcome": "WARN",
    "LastDetail": "never true (0/13 false)",
    "LastRunAt": "2026-07-20T03:06:49+00:00",
    "SemanticTypeIri": "urn:effortless:pko-extension#TestCase",
    "Name": "witness-discriminates: RoleAssignments.HasDeclaredSuspensionCondition",
    "IsBlocking": false,
    "IsPassing": false,
    "IsFailing": false,
    "NeedsAttention": false,
    "PassingSuiteKey": null,
    "NeedsAttentionSuiteKey": null
   },
   {
    "TestCaseId": "tc-witness-role_assignments-has_approving_authority",
    "TestKind": "witness-discriminates",
    "Subject": "RoleAssignments.HasApprovingAuthority",
    "TargetTable": "RoleAssignments",
    "TargetField": "HasApprovingAuthority",
    "Assertion": "Reads both TRUE and FALSE across the seed data, so it can distinguish cases.",
    "DefendsQuestion": "q2-publisher-my-own-authorization",
    "Suite": "suite-witness",
    "Severity": "advisory",
    "LastOutcome": "PASS",
    "LastDetail": "1 true / 12 false",
    "LastRunAt": "2026-07-20T03:06:49+00:00",
    "SemanticTypeIri": "urn:effortless:pko-extension#TestCase",
    "Name": "witness-discriminates: RoleAssignments.HasApprovingAuthority",
    "IsBlocking": false,
    "IsPassing": true,
    "IsFailing": false,
    "NeedsAttention": false,
    "PassingSuiteKey": "suite-witness",
    "NeedsAttentionSuiteKey": null
   },
   {
    "TestCaseId": "tc-witness-role_assignments-has_authorizing_change_request",
    "TestKind": "witness-discriminates",
    "Subject": "RoleAssignments.HasAuthorizingChangeRequest",
    "TargetTable": "RoleAssignments",
    "TargetField": "HasAuthorizingChangeRequest",
    "Assertion": "Reads both TRUE and FALSE across the seed data, so it can distinguish cases.",
    "DefendsQuestion": "q2-publisher-my-own-authorization",
    "Suite": "suite-witness",
    "Severity": "advisory",
    "LastOutcome": "WARN",
    "LastDetail": "never true (13/13 false)",
    "LastRunAt": "2026-07-20T03:06:49+00:00",
    "SemanticTypeIri": "urn:effortless:pko-extension#TestCase",
    "Name": "witness-discriminates: RoleAssignments.HasAuthorizingChangeRequest",
    "IsBlocking": false,
    "IsPassing": false,
    "IsFailing": false,
    "NeedsAttention": false,
    "PassingSuiteKey": null,
    "NeedsAttentionSuiteKey": null
   },
   {
    "TestCaseId": "tc-witness-role_assignments-is_unauthorized_enforcement_agent",
    "TestKind": "witness-discriminates",
    "Subject": "RoleAssignments.IsUnauthorizedEnforcementAgent",
    "TargetTable": "RoleAssignments",
    "TargetField": "IsUnauthorizedEnforcementAgent",
    "Assertion": "Reads both TRUE and FALSE across the seed data, so it can distinguish cases.",
    "DefendsQuestion": "q2-publisher-my-own-authorization",
    "Suite": "suite-witness",
    "Severity": "advisory",
    "LastOutcome": "WARN",
    "LastDetail": "never true (13/13 false)",
    "LastRunAt": "2026-07-20T03:06:49+00:00",
    "SemanticTypeIri": "urn:effortless:pko-extension#TestCase",
    "Name": "witness-discriminates: RoleAssignments.IsUnauthorizedEnforcementAgent",
    "IsBlocking": false,
    "IsPassing": false,
    "IsFailing": false,
    "NeedsAttention": false,
    "PassingSuiteKey": null,
    "NeedsAttentionSuiteKey": null
   },
   {
    "TestCaseId": "tc-witness-procedure_versions-is_ready_for_execution",
    "TestKind": "witness-discriminates",
    "Subject": "ProcedureVersions.IsReadyForExecution",
    "TargetTable": "ProcedureVersions",
    "TargetField": "IsReadyForExecution",
    "Assertion": "Reads both TRUE and FALSE across the seed data, so it can distinguish cases.",
    "DefendsQuestion": null,
    "Suite": "suite-witness",
    "Severity": "advisory",
    "LastOutcome": "PASS",
    "LastDetail": "1 true / 2 false",
    "LastRunAt": "2026-07-20T03:06:49+00:00",
    "SemanticTypeIri": "urn:effortless:pko-extension#TestCase",
    "Name": "witness-discriminates: ProcedureVersions.IsReadyForExecution",
    "IsBlocking": false,
    "IsPassing": true,
    "IsFailing": false,
    "NeedsAttention": false,
    "PassingSuiteKey": "suite-witness",
    "NeedsAttentionSuiteKey": null
   },
   {
    "TestCaseId": "tc-witness-procedure_versions-is_fit_to_execute",
    "TestKind": "witness-discriminates",
    "Subject": "ProcedureVersions.IsFitToExecute",
    "TargetTable": "ProcedureVersions",
    "TargetField": "IsFitToExecute",
    "Assertion": "Reads both TRUE and FALSE across the seed data, so it can distinguish cases.",
    "DefendsQuestion": "q-cfo-approving-on-unfit-version",
    "Suite": "suite-witness",
    "Severity": "advisory",
    "LastOutcome": "WARN",
    "LastDetail": "never true (3/3 false)",
    "LastRunAt": "2026-07-20T03:06:49+00:00",
    "SemanticTypeIri": "urn:effortless:pko-extension#TestCase",
    "Name": "witness-discriminates: ProcedureVersions.IsFitToExecute",
    "IsBlocking": false,
    "IsPassing": false,
    "IsFailing": false,
    "NeedsAttention": false,
    "PassingSuiteKey": null,
    "NeedsAttentionSuiteKey": null
   },
   {
    "TestCaseId": "tc-witness-procedure_versions-has_any_steward",
    "TestKind": "witness-discriminates",
    "Subject": "ProcedureVersions.HasAnySteward",
    "TargetTable": "ProcedureVersions",
    "TargetField": "HasAnySteward",
    "Assertion": "Reads both TRUE and FALSE across the seed data, so it can distinguish cases.",
    "DefendsQuestion": "q-steward-orphan-versions",
    "Suite": "suite-witness",
    "Severity": "advisory",
    "LastOutcome": "PASS",
    "LastDetail": "2 true / 1 false",
    "LastRunAt": "2026-07-20T03:06:49+00:00",
    "SemanticTypeIri": "urn:effortless:pko-extension#TestCase",
    "Name": "witness-discriminates: ProcedureVersions.HasAnySteward",
    "IsBlocking": false,
    "IsPassing": true,
    "IsFailing": false,
    "NeedsAttention": false,
    "PassingSuiteKey": "suite-witness",
    "NeedsAttentionSuiteKey": null
   },
   {
    "TestCaseId": "tc-witness-procedure_versions-is_live",
    "TestKind": "witness-discriminates",
    "Subject": "ProcedureVersions.IsLive",
    "TargetTable": "ProcedureVersions",
    "TargetField": "IsLive",
    "Assertion": "Reads both TRUE and FALSE across the seed data, so it can distinguish cases.",
    "DefendsQuestion": "q-steward-orphan-versions",
    "Suite": "suite-witness",
    "Severity": "advisory",
    "LastOutcome": "PASS",
    "LastDetail": "2 true / 1 false",
    "LastRunAt": "2026-07-20T03:06:49+00:00",
    "SemanticTypeIri": "urn:effortless:pko-extension#TestCase",
    "Name": "witness-discriminates: ProcedureVersions.IsLive",
    "IsBlocking": false,
    "IsPassing": true,
    "IsFailing": false,
    "NeedsAttention": false,
    "PassingSuiteKey": "suite-witness",
    "NeedsAttentionSuiteKey": null
   },
   {
    "TestCaseId": "tc-witness-procedure_versions-is_unstewarded",
    "TestKind": "witness-discriminates",
    "Subject": "ProcedureVersions.IsUnstewarded",
    "TargetTable": "ProcedureVersions",
    "TargetField": "IsUnstewarded",
    "Assertion": "Reads both TRUE and FALSE across the seed data, so it can distinguish cases.",
    "DefendsQuestion": "q-steward-orphan-versions",
    "Suite": "suite-witness",
    "Severity": "advisory",
    "LastOutcome": "PASS",
    "LastDetail": "1 true / 2 false",
    "LastRunAt": "2026-07-20T03:06:49+00:00",
    "SemanticTypeIri": "urn:effortless:pko-extension#TestCase",
    "Name": "witness-discriminates: ProcedureVersions.IsUnstewarded",
    "IsBlocking": false,
    "IsPassing": true,
    "IsFailing": false,
    "NeedsAttention": false,
    "PassingSuiteKey": "suite-witness",
    "NeedsAttentionSuiteKey": null
   },
   {
    "TestCaseId": "tc-witness-procedure_versions-is_live_and_unstewarded",
    "TestKind": "witness-discriminates",
    "Subject": "ProcedureVersions.IsLiveAndUnstewarded",
    "TargetTable": "ProcedureVersions",
    "TargetField": "IsLiveAndUnstewarded",
    "Assertion": "Reads both TRUE and FALSE across the seed data, so it can distinguish cases.",
    "DefendsQuestion": "q-steward-orphan-versions",
    "Suite": "suite-witness",
    "Severity": "advisory",
    "LastOutcome": "WARN",
    "LastDetail": "never true (3/3 false)",
    "LastRunAt": "2026-07-20T03:06:49+00:00",
    "SemanticTypeIri": "urn:effortless:pko-extension#TestCase",
    "Name": "witness-discriminates: ProcedureVersions.IsLiveAndUnstewarded",
    "IsBlocking": false,
    "IsPassing": false,
    "IsFailing": false,
    "NeedsAttention": false,
    "PassingSuiteKey": null,
    "NeedsAttentionSuiteKey": null
   },
   {
    "TestCaseId": "tc-witness-procedure_versions-has_open_blocking_gap",
    "TestKind": "witness-discriminates",
    "Subject": "ProcedureVersions.HasOpenBlockingGap",
    "TargetTable": "ProcedureVersions",
    "TargetField": "HasOpenBlockingGap",
    "Assertion": "Reads both TRUE and FALSE across the seed data, so it can distinguish cases.",
    "DefendsQuestion": "q-steward-published-with-blocking-gap",
    "Suite": "suite-witness",
    "Severity": "advisory",
    "LastOutcome": "WARN",
    "LastDetail": "never true (3/3 false)",
    "LastRunAt": "2026-07-20T03:06:49+00:00",
    "SemanticTypeIri": "urn:effortless:pko-extension#TestCase",
    "Name": "witness-discriminates: ProcedureVersions.HasOpenBlockingGap",
    "IsBlocking": false,
    "IsPassing": false,
    "IsFailing": false,
    "NeedsAttention": false,
    "PassingSuiteKey": null,
    "NeedsAttentionSuiteKey": null
   },
   {
    "TestCaseId": "tc-witness-procedure_versions-is_live_with_blocking_gap",
    "TestKind": "witness-discriminates",
    "Subject": "ProcedureVersions.IsLiveWithBlockingGap",
    "TargetTable": "ProcedureVersions",
    "TargetField": "IsLiveWithBlockingGap",
    "Assertion": "Reads both TRUE and FALSE across the seed data, so it can distinguish cases.",
    "DefendsQuestion": "q-steward-published-with-blocking-gap",
    "Suite": "suite-witness",
    "Severity": "advisory",
    "LastOutcome": "WARN",
    "LastDetail": "never true (3/3 false)",
    "LastRunAt": "2026-07-20T03:06:49+00:00",
    "SemanticTypeIri": "urn:effortless:pko-extension#TestCase",
    "Name": "witness-discriminates: ProcedureVersions.IsLiveWithBlockingGap",
    "IsBlocking": false,
    "IsPassing": false,
    "IsFailing": false,
    "NeedsAttention": false,
    "PassingSuiteKey": null,
    "NeedsAttentionSuiteKey": null
   },
   {
    "TestCaseId": "tc-witness-procedure_versions-should_not_be_executable",
    "TestKind": "witness-discriminates",
    "Subject": "ProcedureVersions.ShouldNotBeExecutable",
    "TargetTable": "ProcedureVersions",
    "TargetField": "ShouldNotBeExecutable",
    "Assertion": "Reads both TRUE and FALSE across the seed data, so it can distinguish cases.",
    "DefendsQuestion": "q-steward-published-with-blocking-gap",
    "Suite": "suite-witness",
    "Severity": "advisory",
    "LastOutcome": "WARN",
    "LastDetail": "never true (3/3 false)",
    "LastRunAt": "2026-07-20T03:06:49+00:00",
    "SemanticTypeIri": "urn:effortless:pko-extension#TestCase",
    "Name": "witness-discriminates: ProcedureVersions.ShouldNotBeExecutable",
    "IsBlocking": false,
    "IsPassing": false,
    "IsFailing": false,
    "NeedsAttention": false,
    "PassingSuiteKey": null,
    "NeedsAttentionSuiteKey": null
   },
   {
    "TestCaseId": "tc-witness-procedure_versions-runs_on_unapproved_knowledge",
    "TestKind": "witness-discriminates",
    "Subject": "ProcedureVersions.RunsOnUnapprovedKnowledge",
    "TargetTable": "ProcedureVersions",
    "TargetField": "RunsOnUnapprovedKnowledge",
    "Assertion": "Reads both TRUE and FALSE across the seed data, so it can distinguish cases.",
    "DefendsQuestion": "q-authority-non-approved-dependency",
    "Suite": "suite-witness",
    "Severity": "advisory",
    "LastOutcome": "WARN",
    "LastDetail": "always true (3/3)",
    "LastRunAt": "2026-07-20T03:06:49+00:00",
    "SemanticTypeIri": "urn:effortless:pko-extension#TestCase",
    "Name": "witness-discriminates: ProcedureVersions.RunsOnUnapprovedKnowledge",
    "IsBlocking": false,
    "IsPassing": false,
    "IsFailing": false,
    "NeedsAttention": false,
    "PassingSuiteKey": null,
    "NeedsAttentionSuiteKey": null
   },
   {
    "TestCaseId": "tc-witness-procedure_versions-has_governance_record",
    "TestKind": "witness-discriminates",
    "Subject": "ProcedureVersions.HasGovernanceRecord",
    "TargetTable": "ProcedureVersions",
    "TargetField": "HasGovernanceRecord",
    "Assertion": "Reads both TRUE and FALSE across the seed data, so it can distinguish cases.",
    "DefendsQuestion": "q-authority-unwitnessed-change",
    "Suite": "suite-witness",
    "Severity": "advisory",
    "LastOutcome": "PASS",
    "LastDetail": "2 true / 1 false",
    "LastRunAt": "2026-07-20T03:06:49+00:00",
    "SemanticTypeIri": "urn:effortless:pko-extension#TestCase",
    "Name": "witness-discriminates: ProcedureVersions.HasGovernanceRecord",
    "IsBlocking": false,
    "IsPassing": true,
    "IsFailing": false,
    "NeedsAttention": false,
    "PassingSuiteKey": "suite-witness",
    "NeedsAttentionSuiteKey": null
   },
   {
    "TestCaseId": "tc-witness-procedure_versions-was_modified_since_last_review",
    "TestKind": "witness-discriminates",
    "Subject": "ProcedureVersions.WasModifiedSinceLastReview",
    "TargetTable": "ProcedureVersions",
    "TargetField": "WasModifiedSinceLastReview",
    "Assertion": "Reads both TRUE and FALSE across the seed data, so it can distinguish cases.",
    "DefendsQuestion": "q-authority-unwitnessed-change",
    "Suite": "suite-witness",
    "Severity": "advisory",
    "LastOutcome": "WARN",
    "LastDetail": "never true (2/3 false)",
    "LastRunAt": "2026-07-20T03:06:49+00:00",
    "SemanticTypeIri": "urn:effortless:pko-extension#TestCase",
    "Name": "witness-discriminates: ProcedureVersions.WasModifiedSinceLastReview",
    "IsBlocking": false,
    "IsPassing": false,
    "IsFailing": false,
    "NeedsAttention": false,
    "PassingSuiteKey": null,
    "NeedsAttentionSuiteKey": null
   },
   {
    "TestCaseId": "tc-witness-procedure_versions-has_unwitnessed_change",
    "TestKind": "witness-discriminates",
    "Subject": "ProcedureVersions.HasUnwitnessedChange",
    "TargetTable": "ProcedureVersions",
    "TargetField": "HasUnwitnessedChange",
    "Assertion": "Reads both TRUE and FALSE across the seed data, so it can distinguish cases.",
    "DefendsQuestion": "q-authority-unwitnessed-change",
    "Suite": "suite-witness",
    "Severity": "advisory",
    "LastOutcome": "WARN",
    "LastDetail": "never true (3/3 false)",
    "LastRunAt": "2026-07-20T03:06:49+00:00",
    "SemanticTypeIri": "urn:effortless:pko-extension#TestCase",
    "Name": "witness-discriminates: ProcedureVersions.HasUnwitnessedChange",
    "IsBlocking": false,
    "IsPassing": false,
    "IsFailing": false,
    "NeedsAttention": false,
    "PassingSuiteKey": null,
    "NeedsAttentionSuiteKey": null
   },
   {
    "TestCaseId": "tc-witness-procedure_versions-knowledge_is_staler_than_cadence",
    "TestKind": "witness-discriminates",
    "Subject": "ProcedureVersions.KnowledgeIsStalerThanCadence",
    "TargetTable": "ProcedureVersions",
    "TargetField": "KnowledgeIsStalerThanCadence",
    "Assertion": "Reads both TRUE and FALSE across the seed data, so it can distinguish cases.",
    "DefendsQuestion": "q-hr-policy-knowledge-half-life",
    "Suite": "suite-witness",
    "Severity": "advisory",
    "LastOutcome": "WARN",
    "LastDetail": "always true (3/3)",
    "LastRunAt": "2026-07-20T03:06:49+00:00",
    "SemanticTypeIri": "urn:effortless:pko-extension#TestCase",
    "Name": "witness-discriminates: ProcedureVersions.KnowledgeIsStalerThanCadence",
    "IsBlocking": false,
    "IsPassing": false,
    "IsFailing": false,
    "NeedsAttention": false,
    "PassingSuiteKey": null,
    "NeedsAttentionSuiteKey": null
   },
   {
    "TestCaseId": "tc-witness-procedure_versions-rests_on_compound_fragile_knowledge",
    "TestKind": "witness-discriminates",
    "Subject": "ProcedureVersions.RestsOnCompoundFragileKnowledge",
    "TargetTable": "ProcedureVersions",
    "TargetField": "RestsOnCompoundFragileKnowledge",
    "Assertion": "Reads both TRUE and FALSE across the seed data, so it can distinguish cases.",
    "DefendsQuestion": "q2-authority-compound-fragility",
    "Suite": "suite-witness",
    "Severity": "advisory",
    "LastOutcome": "PASS",
    "LastDetail": "1 true / 2 false",
    "LastRunAt": "2026-07-20T03:06:49+00:00",
    "SemanticTypeIri": "urn:effortless:pko-extension#TestCase",
    "Name": "witness-discriminates: ProcedureVersions.RestsOnCompoundFragileKnowledge",
    "IsBlocking": false,
    "IsPassing": true,
    "IsFailing": false,
    "NeedsAttention": false,
    "PassingSuiteKey": "suite-witness",
    "NeedsAttentionSuiteKey": null
   },
   {
    "TestCaseId": "tc-witness-procedure_versions-knowledge_base_is_concentrated",
    "TestKind": "witness-discriminates",
    "Subject": "ProcedureVersions.KnowledgeBaseIsConcentrated",
    "TargetTable": "ProcedureVersions",
    "TargetField": "KnowledgeBaseIsConcentrated",
    "Assertion": "Reads both TRUE and FALSE across the seed data, so it can distinguish cases.",
    "DefendsQuestion": "q2-authority-elicitation-method-monoculture",
    "Suite": "suite-witness",
    "Severity": "advisory",
    "LastOutcome": "PASS",
    "LastDetail": "1 true / 2 false",
    "LastRunAt": "2026-07-20T03:06:49+00:00",
    "SemanticTypeIri": "urn:effortless:pko-extension#TestCase",
    "Name": "witness-discriminates: ProcedureVersions.KnowledgeBaseIsConcentrated",
    "IsBlocking": false,
    "IsPassing": true,
    "IsFailing": false,
    "NeedsAttention": false,
    "PassingSuiteKey": "suite-witness",
    "NeedsAttentionSuiteKey": null
   },
   {
    "TestCaseId": "tc-witness-procedure_versions-feeds_unapproved_knowledge_to_machines",
    "TestKind": "witness-discriminates",
    "Subject": "ProcedureVersions.FeedsUnapprovedKnowledgeToMachines",
    "TargetTable": "ProcedureVersions",
    "TargetField": "FeedsUnapprovedKnowledgeToMachines",
    "Assertion": "Reads both TRUE and FALSE across the seed data, so it can distinguish cases.",
    "DefendsQuestion": "q2-authority-unapproved-knowledge-reaching-machines",
    "Suite": "suite-witness",
    "Severity": "advisory",
    "LastOutcome": "PASS",
    "LastDetail": "1 true / 2 false",
    "LastRunAt": "2026-07-20T03:06:49+00:00",
    "SemanticTypeIri": "urn:effortless:pko-extension#TestCase",
    "Name": "witness-discriminates: ProcedureVersions.FeedsUnapprovedKnowledgeToMachines",
    "IsBlocking": false,
    "IsPassing": true,
    "IsFailing": false,
    "NeedsAttention": false,
    "PassingSuiteKey": "suite-witness",
    "NeedsAttentionSuiteKey": null
   },
   {
    "TestCaseId": "tc-witness-procedure_versions-is_blocked_on_pending_decision",
    "TestKind": "witness-discriminates",
    "Subject": "ProcedureVersions.IsBlockedOnPendingDecision",
    "TargetTable": "ProcedureVersions",
    "TargetField": "IsBlockedOnPendingDecision",
    "Assertion": "Reads both TRUE and FALSE across the seed data, so it can distinguish cases.",
    "DefendsQuestion": "q2-hr-my-backlog-is-someone-elses-block",
    "Suite": "suite-witness",
    "Severity": "advisory",
    "LastOutcome": "WARN",
    "LastDetail": "never true (3/3 false)",
    "LastRunAt": "2026-07-20T03:06:49+00:00",
    "SemanticTypeIri": "urn:effortless:pko-extension#TestCase",
    "Name": "witness-discriminates: ProcedureVersions.IsBlockedOnPendingDecision",
    "IsBlocking": false,
    "IsPassing": false,
    "IsFailing": false,
    "NeedsAttention": false,
    "PassingSuiteKey": null,
    "NeedsAttentionSuiteKey": null
   },
   {
    "TestCaseId": "tc-witness-procedure_versions-ai_boundary_is_unevidenced",
    "TestKind": "witness-discriminates",
    "Subject": "ProcedureVersions.AiBoundaryIsUnevidenced",
    "TargetTable": "ProcedureVersions",
    "TargetField": "AiBoundaryIsUnevidenced",
    "Assertion": "Reads both TRUE and FALSE across the seed data, so it can distinguish cases.",
    "DefendsQuestion": "q2-hr-ai-boundary-holds-only-where-tested",
    "Suite": "suite-witness",
    "Severity": "advisory",
    "LastOutcome": "PASS",
    "LastDetail": "2 true / 1 false",
    "LastRunAt": "2026-07-20T03:06:49+00:00",
    "SemanticTypeIri": "urn:effortless:pko-extension#TestCase",
    "Name": "witness-discriminates: ProcedureVersions.AiBoundaryIsUnevidenced",
    "IsBlocking": false,
    "IsPassing": true,
    "IsFailing": false,
    "NeedsAttention": false,
    "PassingSuiteKey": "suite-witness",
    "NeedsAttentionSuiteKey": null
   },
   {
    "TestCaseId": "tc-witness-procedure_versions-has_unrehearsed_control_entry",
    "TestKind": "witness-discriminates",
    "Subject": "ProcedureVersions.HasUnrehearsedControlEntry",
    "TargetTable": "ProcedureVersions",
    "TargetField": "HasUnrehearsedControlEntry",
    "Assertion": "Reads both TRUE and FALSE across the seed data, so it can distinguish cases.",
    "DefendsQuestion": "q2-steward-recovery-path-is-load-bearing",
    "Suite": "suite-witness",
    "Severity": "advisory",
    "LastOutcome": "PASS",
    "LastDetail": "2 true / 1 false",
    "LastRunAt": "2026-07-20T03:06:49+00:00",
    "SemanticTypeIri": "urn:effortless:pko-extension#TestCase",
    "Name": "witness-discriminates: ProcedureVersions.HasUnrehearsedControlEntry",
    "IsBlocking": false,
    "IsPassing": true,
    "IsFailing": false,
    "NeedsAttention": false,
    "PassingSuiteKey": "suite-witness",
    "NeedsAttentionSuiteKey": null
   },
   {
    "TestCaseId": "tc-witnes</t>
  </si>
  <si>
    <t xml:space="preserve">s-procedure_versions-is_live_with_unrehearsed_control",
    "TestKind": "witness-discriminates",
    "Subject": "ProcedureVersions.IsLiveWithUnrehearsedControl",
    "TargetTable": "ProcedureVersions",
    "TargetField": "IsLiveWithUnrehearsedControl",
    "Assertion": "Reads both TRUE and FALSE across the seed data, so it can distinguish cases.",
    "DefendsQuestion": "q2-steward-recovery-path-is-load-bearing",
    "Suite": "suite-witness",
    "Severity": "advisory",
    "LastOutcome": "PASS",
    "LastDetail": "2 true / 1 false",
    "LastRunAt": "2026-07-20T03:06:49+00:00",
    "SemanticTypeIri": "urn:effortless:pko-extension#TestCase",
    "Name": "witness-discriminates: ProcedureVersions.IsLiveWithUnrehearsedControl",
    "IsBlocking": false,
    "IsPassing": true,
    "IsFailing": false,
    "NeedsAttention": false,
    "PassingSuiteKey": "suite-witness",
    "NeedsAttentionSuiteKey": null
   },
   {
    "TestCaseId": "tc-witness-procedure_versions-is_in_cadence_breach",
    "TestKind": "witness-discriminates",
    "Subject": "ProcedureVersions.IsInCadenceBreach",
    "TargetTable": "ProcedureVersions",
    "TargetField": "IsInCadenceBreach",
    "Assertion": "Reads both TRUE and FALSE across the seed data, so it can distinguish cases.",
    "DefendsQuestion": "q2-steward-cadence-breach-is-unremediated",
    "Suite": "suite-witness",
    "Severity": "advisory",
    "LastOutcome": "PASS",
    "LastDetail": "1 true / 2 false",
    "LastRunAt": "2026-07-20T03:06:49+00:00",
    "SemanticTypeIri": "urn:effortless:pko-extension#TestCase",
    "Name": "witness-discriminates: ProcedureVersions.IsInCadenceBreach",
    "IsBlocking": false,
    "IsPassing": true,
    "IsFailing": false,
    "NeedsAttention": false,
    "PassingSuiteKey": "suite-witness",
    "NeedsAttentionSuiteKey": null
   },
   {
    "TestCaseId": "tc-witness-procedure_versions-has_decision_in_flight",
    "TestKind": "witness-discriminates",
    "Subject": "ProcedureVersions.HasDecisionInFlight",
    "TargetTable": "ProcedureVersions",
    "TargetField": "HasDecisionInFlight",
    "Assertion": "Reads both TRUE and FALSE across the seed data, so it can distinguish cases.",
    "DefendsQuestion": "q2-steward-cadence-breach-is-unremediated",
    "Suite": "suite-witness",
    "Severity": "advisory",
    "LastOutcome": "PASS",
    "LastDetail": "1 true / 2 false",
    "LastRunAt": "2026-07-20T03:06:49+00:00",
    "SemanticTypeIri": "urn:effortless:pko-extension#TestCase",
    "Name": "witness-discriminates: ProcedureVersions.HasDecisionInFlight",
    "IsBlocking": false,
    "IsPassing": true,
    "IsFailing": false,
    "NeedsAttention": false,
    "PassingSuiteKey": "suite-witness",
    "NeedsAttentionSuiteKey": null
   },
   {
    "TestCaseId": "tc-witness-procedure_versions-is_unremediated_cadence_breach",
    "TestKind": "witness-discriminates",
    "Subject": "ProcedureVersions.IsUnremediatedCadenceBreach",
    "TargetTable": "ProcedureVersions",
    "TargetField": "IsUnremediatedCadenceBreach",
    "Assertion": "Reads both TRUE and FALSE across the seed data, so it can distinguish cases.",
    "DefendsQuestion": "q2-steward-cadence-breach-is-unremediated",
    "Suite": "suite-witness",
    "Severity": "advisory",
    "LastOutcome": "PASS",
    "LastDetail": "1 true / 2 false",
    "LastRunAt": "2026-07-20T03:06:49+00:00",
    "SemanticTypeIri": "urn:effortless:pko-extension#TestCase",
    "Name": "witness-discriminates: ProcedureVersions.IsUnremediatedCadenceBreach",
    "IsBlocking": false,
    "IsPassing": true,
    "IsFailing": false,
    "NeedsAttention": false,
    "PassingSuiteKey": "suite-witness",
    "NeedsAttentionSuiteKey": null
   },
   {
    "TestCaseId": "tc-witness-procedure_versions-is_managed_cadence_breach",
    "TestKind": "witness-discriminates",
    "Subject": "ProcedureVersions.IsManagedCadenceBreach",
    "TargetTable": "ProcedureVersions",
    "TargetField": "IsManagedCadenceBreach",
    "Assertion": "Reads both TRUE and FALSE across the seed data, so it can distinguish cases.",
    "DefendsQuestion": "q2-steward-cadence-breach-is-unremediated",
    "Suite": "suite-witness",
    "Severity": "advisory",
    "LastOutcome": "WARN",
    "LastDetail": "never true (3/3 false)",
    "LastRunAt": "2026-07-20T03:06:49+00:00",
    "SemanticTypeIri": "urn:effortless:pko-extension#TestCase",
    "Name": "witness-discriminates: ProcedureVersions.IsManagedCadenceBreach",
    "IsBlocking": false,
    "IsPassing": false,
    "IsFailing": false,
    "NeedsAttention": false,
    "PassingSuiteKey": null,
    "NeedsAttentionSuiteKey": null
   },
   {
    "TestCaseId": "tc-witness-procedure_versions-governance_is_silent",
    "TestKind": "witness-discriminates",
    "Subject": "ProcedureVersions.GovernanceIsSilent",
    "TargetTable": "ProcedureVersions",
    "TargetField": "GovernanceIsSilent",
    "Assertion": "Reads both TRUE and FALSE across the seed data, so it can distinguish cases.",
    "DefendsQuestion": "q2-steward-cadence-breach-is-unremediated",
    "Suite": "suite-witness",
    "Severity": "advisory",
    "LastOutcome": "WARN",
    "LastDetail": "never true (3/3 false)",
    "LastRunAt": "2026-07-20T03:06:49+00:00",
    "SemanticTypeIri": "urn:effortless:pko-extension#TestCase",
    "Name": "witness-discriminates: ProcedureVersions.GovernanceIsSilent",
    "IsBlocking": false,
    "IsPassing": false,
    "IsFailing": false,
    "NeedsAttention": false,
    "PassingSuiteKey": null,
    "NeedsAttentionSuiteKey": null
   },
   {
    "TestCaseId": "tc-witness-procedure_versions-still_owns_valid_knowledge",
    "TestKind": "witness-discriminates",
    "Subject": "ProcedureVersions.StillOwnsValidKnowledge",
    "TargetTable": "ProcedureVersions",
    "TargetField": "StillOwnsValidKnowledge",
    "Assertion": "Reads both TRUE and FALSE across the seed data, so it can distinguish cases.",
    "DefendsQuestion": "q2-steward-unstewarded-version-still-referenced",
    "Suite": "suite-witness",
    "Severity": "advisory",
    "LastOutcome": "PASS",
    "LastDetail": "2 true / 1 false",
    "LastRunAt": "2026-07-20T03:06:49+00:00",
    "SemanticTypeIri": "urn:effortless:pko-extension#TestCase",
    "Name": "witness-discriminates: ProcedureVersions.StillOwnsValidKnowledge",
    "IsBlocking": false,
    "IsPassing": true,
    "IsFailing": false,
    "NeedsAttention": false,
    "PassingSuiteKey": "suite-witness",
    "NeedsAttentionSuiteKey": null
   },
   {
    "TestCaseId": "tc-witness-procedure_versions-is_still_referenced",
    "TestKind": "witness-discriminates",
    "Subject": "ProcedureVersions.IsStillReferenced",
    "TargetTable": "ProcedureVersions",
    "TargetField": "IsStillReferenced",
    "Assertion": "Reads both TRUE and FALSE across the seed data, so it can distinguish cases.",
    "DefendsQuestion": "q2-steward-unstewarded-version-still-referenced",
    "Suite": "suite-witness",
    "Severity": "advisory",
    "LastOutcome": "PASS",
    "LastDetail": "1 true / 2 false",
    "LastRunAt": "2026-07-20T03:06:49+00:00",
    "SemanticTypeIri": "urn:effortless:pko-extension#TestCase",
    "Name": "witness-discriminates: ProcedureVersions.IsStillReferenced",
    "IsBlocking": false,
    "IsPassing": true,
    "IsFailing": false,
    "NeedsAttention": false,
    "PassingSuiteKey": "suite-witness",
    "NeedsAttentionSuiteKey": null
   },
   {
    "TestCaseId": "tc-witness-procedure_versions-is_load_bearing_orphan",
    "TestKind": "witness-discriminates",
    "Subject": "ProcedureVersions.IsLoadBearingOrphan",
    "TargetTable": "ProcedureVersions",
    "TargetField": "IsLoadBearingOrphan",
    "Assertion": "Reads both TRUE and FALSE across the seed data, so it can distinguish cases.",
    "DefendsQuestion": "q2-steward-unstewarded-version-still-referenced",
    "Suite": "suite-witness",
    "Severity": "advisory",
    "LastOutcome": "PASS",
    "LastDetail": "1 true / 2 false",
    "LastRunAt": "2026-07-20T03:06:49+00:00",
    "SemanticTypeIri": "urn:effortless:pko-extension#TestCase",
    "Name": "witness-discriminates: ProcedureVersions.IsLoadBearingOrphan",
    "IsBlocking": false,
    "IsPassing": true,
    "IsFailing": false,
    "NeedsAttention": false,
    "PassingSuiteKey": "suite-witness",
    "NeedsAttentionSuiteKey": null
   },
   {
    "TestCaseId": "tc-witness-procedure_versions-is_cleanly_retired",
    "TestKind": "witness-discriminates",
    "Subject": "ProcedureVersions.IsCleanlyRetired",
    "TargetTable": "ProcedureVersions",
    "TargetField": "IsCleanlyRetired",
    "Assertion": "Reads both TRUE and FALSE across the seed data, so it can distinguish cases.",
    "DefendsQuestion": "q2-steward-unstewarded-version-still-referenced",
    "Suite": "suite-witness",
    "Severity": "advisory",
    "LastOutcome": "WARN",
    "LastDetail": "never true (3/3 false)",
    "LastRunAt": "2026-07-20T03:06:49+00:00",
    "SemanticTypeIri": "urn:effortless:pko-extension#TestCase",
    "Name": "witness-discriminates: ProcedureVersions.IsCleanlyRetired",
    "IsBlocking": false,
    "IsPassing": false,
    "IsFailing": false,
    "NeedsAttention": false,
    "PassingSuiteKey": null,
    "NeedsAttentionSuiteKey": null
   },
   {
    "TestCaseId": "tc-witness-procedure_versions-is_held_unfit_by_landed_decisions",
    "TestKind": "witness-discriminates",
    "Subject": "ProcedureVersions.IsHeldUnfitByLandedDecisions",
    "TargetTable": "ProcedureVersions",
    "TargetField": "IsHeldUnfitByLandedDecisions",
    "Assertion": "Reads both TRUE and FALSE across the seed data, so it can distinguish cases.",
    "DefendsQuestion": "q2-steward-approved-cr-never-lands",
    "Suite": "suite-witness",
    "Severity": "advisory",
    "LastOutcome": "WARN",
    "LastDetail": "never true (3/3 false)",
    "LastRunAt": "2026-07-20T03:06:49+00:00",
    "SemanticTypeIri": "urn:effortless:pko-extension#TestCase",
    "Name": "witness-discriminates: ProcedureVersions.IsHeldUnfitByLandedDecisions",
    "IsBlocking": false,
    "IsPassing": false,
    "IsFailing": false,
    "NeedsAttention": false,
    "PassingSuiteKey": null,
    "NeedsAttentionSuiteKey": null
   },
   {
    "TestCaseId": "tc-witness-procedure_versions-control_taxonomy_is_incomplete",
    "TestKind": "witness-discriminates",
    "Subject": "ProcedureVersions.ControlTaxonomyIsIncomplete",
    "TargetTable": "ProcedureVersions",
    "TargetField": "ControlTaxonomyIsIncomplete",
    "Assertion": "Reads both TRUE and FALSE across the seed data, so it can distinguish cases.",
    "DefendsQuestion": "q2-steward-control-kind-instead-of-hardcoded-ids",
    "Suite": "suite-witness",
    "Severity": "advisory",
    "LastOutcome": "WARN",
    "LastDetail": "never true (3/3 false)",
    "LastRunAt": "2026-07-20T03:06:49+00:00",
    "SemanticTypeIri": "urn:effortless:pko-extension#TestCase",
    "Name": "witness-discriminates: ProcedureVersions.ControlTaxonomyIsIncomplete",
    "IsBlocking": false,
    "IsPassing": false,
    "IsFailing": false,
    "NeedsAttention": false,
    "PassingSuiteKey": null,
    "NeedsAttentionSuiteKey": null
   },
   {
    "TestCaseId": "tc-witness-procedure_versions-has_approved_change_request",
    "TestKind": "witness-discriminates",
    "Subject": "ProcedureVersions.HasApprovedChangeRequest",
    "TargetTable": "ProcedureVersions",
    "TargetField": "HasApprovedChangeRequest",
    "Assertion": "Reads both TRUE and FALSE across the seed data, so it can distinguish cases.",
    "DefendsQuestion": "q2-ctl-divergence-that-nobody-governed",
    "Suite": "suite-witness",
    "Severity": "advisory",
    "LastOutcome": "PASS",
    "LastDetail": "1 true / 2 false",
    "LastRunAt": "2026-07-20T03:06:49+00:00",
    "SemanticTypeIri": "urn:effortless:pko-extension#TestCase",
    "Name": "witness-discriminates: ProcedureVersions.HasApprovedChangeRequest",
    "IsBlocking": false,
    "IsPassing": true,
    "IsFailing": false,
    "NeedsAttention": false,
    "PassingSuiteKey": "suite-witness",
    "NeedsAttentionSuiteKey": null
   },
   {
    "TestCaseId": "tc-witness-steps-is_preparation_step",
    "TestKind": "witness-discriminates",
    "Subject": "Steps.IsPreparationStep",
    "TargetTable": "Steps",
    "TargetField": "IsPreparationStep",
    "Assertion": "Reads both TRUE and FALSE across the seed data, so it can distinguish cases.",
    "DefendsQuestion": "q-controller-separation-of-duties",
    "Suite": "suite-witness",
    "Severity": "advisory",
    "LastOutcome": "PASS",
    "LastDetail": "2 true / 15 false",
    "LastRunAt": "2026-07-20T03:06:49+00:00",
    "SemanticTypeIri": "urn:effortless:pko-extension#TestCase",
    "Name": "witness-discriminates: Steps.IsPreparationStep",
    "IsBlocking": false,
    "IsPassing": true,
    "IsFailing": false,
    "NeedsAttention": false,
    "PassingSuiteKey": "suite-witness",
    "NeedsAttentionSuiteKey": null
   },
   {
    "TestCaseId": "tc-witness-steps-is_approval_step",
    "TestKind": "witness-discriminates",
    "Subject": "Steps.IsApprovalStep",
    "TargetTable": "Steps",
    "TargetField": "IsApprovalStep",
    "Assertion": "Reads both TRUE and FALSE across the seed data, so it can distinguish cases.",
    "DefendsQuestion": "q-controller-separation-of-duties",
    "Suite": "suite-witness",
    "Severity": "advisory",
    "LastOutcome": "PASS",
    "LastDetail": "2 true / 15 false",
    "LastRunAt": "2026-07-20T03:06:49+00:00",
    "SemanticTypeIri": "urn:effortless:pko-extension#TestCase",
    "Name": "witness-discriminates: Steps.IsApprovalStep",
    "IsBlocking": false,
    "IsPassing": true,
    "IsFailing": false,
    "NeedsAttention": false,
    "PassingSuiteKey": "suite-witness",
    "NeedsAttentionSuiteKey": null
   },
   {
    "TestCaseId": "tc-witness-steps-inputs_are_fresh",
    "TestKind": "witness-discriminates",
    "Subject": "Steps.InputsAreFresh",
    "TargetTable": "Steps",
    "TargetField": "InputsAreFresh",
    "Assertion": "Reads both TRUE and FALSE across the seed data, so it can distinguish cases.",
    "DefendsQuestion": "q-close-auto-input-freshness",
    "Suite": "suite-witness",
    "Severity": "advisory",
    "LastOutcome": "PASS",
    "LastDetail": "14 true / 3 false",
    "LastRunAt": "2026-07-20T03:06:49+00:00",
    "SemanticTypeIri": "urn:effortless:pko-extension#TestCase",
    "Name": "witness-discriminates: Steps.InputsAreFresh",
    "IsBlocking": false,
    "IsPassing": true,
    "IsFailing": false,
    "NeedsAttention": false,
    "PassingSuiteKey": "suite-witness",
    "NeedsAttentionSuiteKey": null
   },
   {
    "TestCaseId": "tc-witness-steps-is_software_assigned",
    "TestKind": "witness-discriminates",
    "Subject": "Steps.IsSoftwareAssigned",
    "TargetTable": "Steps",
    "TargetField": "IsSoftwareAssigned",
    "Assertion": "Reads both TRUE and FALSE across the seed data, so it can distinguish cases.",
    "DefendsQuestion": "q-hr-ai-authored-commitments",
    "Suite": "suite-witness",
    "Severity": "advisory",
    "LastOutcome": "PASS",
    "LastDetail": "8 true / 9 false",
    "LastRunAt": "2026-07-20T03:06:49+00:00",
    "SemanticTypeIri": "urn:effortless:pko-extension#TestCase",
    "Name": "witness-discriminates: Steps.IsSoftwareAssigned",
    "IsBlocking": false,
    "IsPassing": true,
    "IsFailing": false,
    "NeedsAttention": false,
    "PassingSuiteKey": "suite-witness",
    "NeedsAttentionSuiteKey": null
   },
   {
    "TestCaseId": "tc-witness-steps-is_human_approval_gate",
    "TestKind": "witness-discriminates",
    "Subject": "Steps.IsHumanApprovalGate",
    "TargetTable": "Steps",
    "TargetField": "IsHumanApprovalGate",
    "Assertion": "Reads both TRUE and FALSE across the seed data, so it can distinguish cases.",
    "DefendsQuestion": "q-hr-ai-authored-commitments",
    "Suite": "suite-witness",
    "Severity": "advisory",
    "LastOutcome": "PASS",
    "LastDetail": "2 true / 15 false",
    "LastRunAt": "2026-07-20T03:06:49+00:00",
    "SemanticTypeIri": "urn:effortless:pko-extension#TestCase",
    "Name": "witness-discriminates: Steps.IsHumanApprovalGate",
    "IsBlocking": false,
    "IsPassing": true,
    "IsFailing": false,
    "NeedsAttention": false,
    "PassingSuiteKey": "suite-witness",
    "NeedsAttentionSuiteKey": null
   },
   {
    "TestCaseId": "tc-witness-steps-gate_held_by_human",
    "TestKind": "witness-discriminates",
    "Subject": "Steps.GateHeldByHuman",
    "TargetTable": "Steps",
    "TargetField": "GateHeldByHuman",
    "Assertion": "Reads both TRUE and FALSE across the seed data, so it can distinguish cases.",
    "DefendsQuestion": "q-hr-ai-authored-commitments",
    "Suite": "suite-witness",
    "Severity": "advisory",
    "LastOutcome": "PASS",
    "LastDetail": "2 true / 15 false",
    "LastRunAt": "2026-07-20T03:06:49+00:00",
    "SemanticTypeIri": "urn:effortless:pko-extension#TestCase",
    "Name": "witness-discriminates: Steps.GateHeldByHuman",
    "IsBlocking": false,
    "IsPassing": true,
    "IsFailing": false,
    "NeedsAttention": false,
    "PassingSuiteKey": "suite-witness",
    "NeedsAttentionSuiteKey": null
   },
   {
    "TestCaseId": "tc-witness-steps-assigned_role_is_ungoverned",
    "TestKind": "witness-discriminates",
    "Subject": "Steps.AssignedRoleIsUngoverned",
    "TargetTable": "Steps",
    "TargetField": "AssignedRoleIsUngoverned",
    "Assertion": "Reads both TRUE and FALSE across the seed data, so it can distinguish cases.",
    "DefendsQuestion": "q-policy-ai-no-role-assignment",
    "Suite": "suite-witness",
    "Severity": "advisory",
    "LastOutcome": "WARN",
    "LastDetail": "never true (17/17 false)",
    "LastRunAt": "2026-07-20T03:06:49+00:00",
    "SemanticTypeIri": "urn:effortless:pko-extension#TestCase",
    "Name": "witness-discriminates: Steps.AssignedRoleIsUngoverned",
    "IsBlocking": false,
    "IsPassing": false,
    "IsFailing": false,
    "NeedsAttention": false,
    "PassingSuiteKey": null,
    "NeedsAttentionSuiteKey": null
   },
   {
    "TestCaseId": "tc-witness-steps-all_sources_usable",
    "TestKind": "witness-discriminates",
    "Subject": "Steps.AllSourcesUsable",
    "TargetTable": "Steps",
    "TargetField": "AllSourcesUsable",
    "Assertion": "Reads both TRUE and FALSE across the seed data, so it can distinguish cases.",
    "DefendsQuestion": "q-policy-ai-source-approval",
    "Suite": "suite-witness",
    "Severity": "advisory",
    "LastOutcome": "PASS",
    "LastDetail": "14 true / 3 false",
    "LastRunAt": "2026-07-20T03:06:49+00:00",
    "SemanticTypeIri": "urn:effortless:pko-extension#TestCase",
    "Name": "witness-discriminates: Steps.AllSourcesUsable",
    "IsBlocking": false,
    "IsPassing": true,
    "IsFailing": false,
    "NeedsAttention": false,
    "PassingSuiteKey": "suite-witness",
    "NeedsAttentionSuiteKey": null
   },
   {
    "TestCaseId": "tc-witness-steps-is_governed_by_unwarranted_boundary",
    "TestKind": "witness-discriminates",
    "Subject": "Steps.IsGovernedByUnwarrantedBoundary",
    "TargetTable": "Steps",
    "TargetField": "IsGovernedByUnwarrantedBoundary",
    "Assertion": "Reads both TRUE and FALSE across the seed data, so it can distinguish cases.",
    "DefendsQuestion": "q2-authority-boundary-rests-on-expired-claim",
    "Suite": "suite-witness",
    "Severity": "advisory",
    "LastOutcome": "PASS",
    "LastDetail": "1 true / 16 false",
    "LastRunAt": "2026-07-20T03:06:49+00:00",
    "SemanticTypeIri": "urn:effortless:pko-extension#TestCase",
    "Name": "witness-discriminates: Steps.IsGovernedByUnwarrantedBoundary",
    "IsBlocking": false,
    "IsPassing": true,
    "IsFailing": false,
    "NeedsAttention": false,
    "PassingSuiteKey": "suite-witness",
    "NeedsAttentionSuiteKey": null
   },
   {
    "TestCaseId": "tc-witness-steps-has_been_approached_by_software",
    "TestKind": "witness-discriminates",
    "Subject": "Steps.HasBeenApproachedBySoftware",
    "TargetTable": "Steps",
    "TargetField": "HasBeenApproachedBySoftware",
    "Assertion": "Reads both TRUE and FALSE across the seed data, so it can distinguish cases.",
    "DefendsQuestion": "q2-hr-ai-boundary-holds-only-where-tested",
    "Suite": "suite-witness",
    "Severity": "advisory",
    "LastOutcome": "PASS",
    "LastDetail": "5 true / 12 false",
    "LastRunAt": "2026-07-20T03:06:49+00:00",
    "SemanticTypeIri": "urn:effortless:pko-extension#TestCase",
    "Name": "witness-discriminates: Steps.HasBeenApproachedBySoftware",
    "IsBlocking": false,
    "IsPassing": true,
    "IsFailing": false,
    "NeedsAttention": false,
    "PassingSuiteKey": "suite-witness",
    "NeedsAttentionSuiteKey": null
   },
   {
    "TestCaseId": "tc-witness-steps-is_unexercised_human_gate",
    "TestKind": "witness-discriminates",
    "Subject": "Steps.IsUnexercisedHumanGate",
    "TargetTable": "Steps",
    "TargetField": "IsUnexercisedHumanGate",
    "Assertion": "Reads both TRUE and FALSE across the seed data, so it can distinguish cases.",
    "DefendsQuestion": "q2-hr-ai-boundary-holds-only-where-tested",
    "Suite": "suite-witness",
    "Severity": "advisory",
    "LastOutcome": "PASS",
    "LastDetail": "2 true / 15 false",
    "LastRunAt": "2026-07-20T03:06:49+00:00",
    "SemanticTypeIri": "urn:effortless:pko-extension#TestCase",
    "Name": "witness-discriminates: Steps.IsUnexercisedHumanGate",
    "IsBlocking": false,
    "IsPassing": true,
    "IsFailing": false,
    "NeedsAttention": false,
    "PassingSuiteKey": "suite-witness",
    "NeedsAttentionSuiteKey": null
   },
   {
    "TestCaseId": "tc-witness-steps-is_demonstrated_human_gate",
    "TestKind": "witness-discriminates",
    "Subject": "Steps.IsDemonstratedHumanGate",
    "TargetTable": "Steps",
    "TargetField": "IsDemonstratedHumanGate",
    "Assertion": "Reads both TRUE and FALSE across the seed data, so it can distinguish cases.",
    "DefendsQuestion": "q2-hr-ai-boundary-holds-only-where-tested",
    "Suite": "suite-witness",
    "Severity": "advisory",
    "LastOutcome": "WARN",
    "LastDetail": "never true (17/17 false)",
    "LastRunAt": "2026-07-20T03:06:49+00:00",
    "SemanticTypeIri": "urn:effortless:pko-extension#TestCase",
    "Name": "witness-discriminates: Steps.IsDemonstratedHumanGate",
    "IsBlocking": false,
    "IsPassing": false,
    "IsFailing": false,
    "NeedsAttention": false,
    "PassingSuiteKey": null,
    "NeedsAttentionSuiteKey": null
   },
   {
    "TestCaseId": "tc-witness-steps-has_declared_control_kind",
    "TestKind": "witness-discriminates",
    "Subject": "Steps.HasDeclaredControlKind",
    "TargetTable": "Steps",
    "TargetField": "HasDeclaredControlKind",
    "Assertion": "Reads both TRUE and FALSE across the seed data, so it can distinguish cases.",
    "DefendsQuestion": "q2-steward-control-kind-instead-of-hardcoded-ids",
    "Suite": "suite-witness",
    "Severity": "advisory",
    "LastOutcome": "WARN",
    "LastDetail": "always true (17/17)",
    "LastRunAt": "2026-07-20T03:06:49+00:00",
    "SemanticTypeIri": "urn:effortless:pko-extension#TestCase",
    "Name": "witness-discriminates: Steps.HasDeclaredControlKind",
    "IsBlocking": false,
    "IsPassing": false,
    "IsFailing": false,
    "NeedsAttention": false,
    "PassingSuiteKey": null,
    "NeedsAttentionSuiteKey": null
   },
   {
    "TestCaseId": "tc-witness-steps-approval_step_is_software_assigned",
    "TestKind": "witness-discriminates",
    "Subject": "Steps.ApprovalStepIsSoftwareAssigned",
    "TargetTable": "Steps",
    "TargetField": "ApprovalStepIsSoftwareAssigned",
    "Assertion": "Reads both TRUE and FALSE across the seed data, so it can distinguish cases.",
    "DefendsQuestion": "q2-steward-control-kind-instead-of-hardcoded-ids",
    "Suite": "suite-witness",
    "Severity": "advisory",
    "LastOutcome": "WARN",
    "LastDetail": "never true (17/17 false)",
    "LastRunAt": "2026-07-20T03:06:49+00:00",
    "SemanticTypeIri": "urn:effortless:pko-extension#TestCase",
    "Name": "witness-discriminates: Steps.ApprovalStepIsSoftwareAssigned",
    "IsBlocking": false,
    "IsPassing": false,
    "IsFailing": false,
    "NeedsAttention": false,
    "PassingSuiteKey": null,
    "NeedsAttentionSuiteKey": null
   },
   {
    "TestCaseId": "tc-witness-step_transitions-is_recovery_path",
    "TestKind": "witness-discriminates",
    "Subject": "StepTransitions.IsRecoveryPath",
    "TargetTable": "StepTransitions",
    "TargetField": "IsRecoveryPath",
    "Assertion": "Reads both TRUE and FALSE across the seed data, so it can distinguish cases.",
    "DefendsQuestion": "q-steward-untested-fallbacks",
    "Suite": "suite-witness",
    "Severity": "advisory",
    "LastOutcome": "PASS",
    "LastDetail": "4 true / 15 false",
    "LastRunAt": "2026-07-20T03:06:49+00:00",
    "SemanticTypeIri": "urn:effortless:pko-extension#TestCase",
    "Name": "witness-discriminates: StepTransitions.IsRecoveryPath",
    "IsBlocking": false,
    "IsPassing": true,
    "IsFailing": false,
    "NeedsAttention": false,
    "PassingSuiteKey": "suite-witness",
    "NeedsAttentionSuiteKey": null
   },
   {
    "TestCaseId": "tc-witness-step_transitions-has_reachable_origin",
    "TestKind": "witness-discriminates",
    "Subject": "StepTransitions.HasReachableOrigin",
    "TargetTable": "StepTransitions",
    "TargetField": "HasReachableOrigin",
    "Assertion": "Reads both TRUE and FALSE across the seed data, so it can distinguish cases.",
    "DefendsQuestion": "q-steward-untested-fallbacks",
    "Suite": "suite-witness",
    "Severity": "advisory",
    "LastOutcome": "PASS",
    "LastDetail": "14 true / 5 false",
    "LastRunAt": "2026-07-20T03:06:49+00:00",
    "SemanticTypeIri": "urn:effortless:pko-extension#TestCase",
    "Name": "witness-discriminates: StepTransitions.HasReachableOrigin",
    "IsBlocking": false,
    "IsPassing": true,
    "IsFailing": false,
    "NeedsAttention": false,
    "PassingSuiteKey": "suite-witness",
    "NeedsAttentionSuiteKey": null
   },
   {
    "TestCaseId": "tc-witness-step_transitions-has_reachable_target",
    "TestKind": "witness-discriminates",
    "Subject": "StepTransitions.HasReachableTarget",
    "TargetTable": "StepTransitions",
    "TargetField": "HasReachableTarget",
    "Assertion": "Reads both TRUE and FALSE across the seed data, so it can distinguish cases.",
    "DefendsQuestion": "q-steward-untested-fallbacks",
    "Suite": "suite-witness",
    "Severity": "advisory",
    "LastOutcome": "PASS",
    "LastDetail": "13 true / 6 false",
    "LastRunAt": "2026-07-20T03:06:49+00:00",
    "SemanticTypeIri": "urn:effortless:pko-extension#TestCase",
    "Name": "witness-discriminates: StepTransitions.HasReachableTarget",
    "IsBlocking": false,
    "IsPassing": true,
    "IsFailing": false,
    "NeedsAttention": false,
    "PassingSuiteKey": "suite-witness",
    "NeedsAttentionSuiteKey": null
   },
   {
    "TestCaseId": "tc-witness-step_transitions-is_never_exercised",
    "TestKind": "witness-discriminates",
    "Subject": "StepTransitions.IsNeverExercised",
    "TargetTable": "StepTransitions",
    "TargetField": "IsNeverExercised",
    "Assertion": "Reads both TRUE and FALSE across the seed data, so it can distinguish cases.",
    "DefendsQuestion": "q-steward-untested-fallbacks",
    "Suite": "suite-witness",
    "Severity": "advisory",
    "LastOutcome": "PASS",
    "LastDetail": "6 true / 13 false",
    "LastRunAt": "2026-07-20T03:06:49+00:00",
    "SemanticTypeIri": "urn:effortless:pko-extension#TestCase",
    "Name": "witness-discriminates: StepTransitions.IsNeverExercised",
    "IsBlocking": false,
    "IsPassing": true,
    "IsFailing": false,
    "NeedsAttention": false,
    "PassingSuiteKey": "suite-witness",
    "NeedsAttentionSuiteKey": null
   },
   {
    "TestCaseId": "tc-witness-step_transitions-is_untested_recovery_path",
    "TestKind": "witness-discriminates",
    "Subject": "StepTransitions.IsUntestedRecoveryPath",
    "TargetTable": "StepTransitions",
    "TargetField": "IsUntestedRecoveryPath",
    "Assertion": "Reads both TRUE and FALSE across the seed data, so it can distinguish cases.",
    "DefendsQuestion": "q-steward-untested-fallbacks",
    "Suite": "suite-witness",
    "Severity": "advisory",
    "LastOutcome": "PASS",
    "LastDetail": "1 true / 18 false",
    "LastRunAt": "2026-07-20T03:06:49+00:00",
    "SemanticTypeIri": "urn:effortless:pko-extension#TestCase",
    "Name": "witness-discriminates: StepTransitions.IsUntestedRecoveryPath",
    "IsBlocking": false,
    "IsPassing": true,
    "IsFailing": false,
    "NeedsAttention": false,
    "PassingSuiteKey": "suite-witness",
    "NeedsAttentionSuiteKey": null
   },
   {
    "TestCaseId": "tc-witness-step_transitions-has_been_traversed",
    "TestKind": "witness-discriminates",
    "Subject": "StepTransitions.HasBeenTraversed",
    "TargetTable": "StepTransitions",
    "TargetField": "HasBeenTraversed",
    "Assertion": "Reads both TRUE and FALSE across the seed data, so it can distinguish cases.",
    "DefendsQuestion": "q-steward-untested-fallbacks",
    "Suite": "suite-witness",
    "Severity": "advisory",
    "LastOutcome": "PASS",
    "LastDetail": "10 true / 9 false",
    "LastRunAt": "2026-07-20T03:06:49+00:00",
    "SemanticTypeIri": "urn:effortless:pko-extension#TestCase",
    "Name": "witness-discriminates: StepTransitions.HasBeenTraversed",
    "IsBlocking": false,
    "IsPassing": true,
    "IsFailing": false,
    "NeedsAttention": false,
    "PassingSuiteKey": "suite-witness",
    "NeedsAttentionSuiteKey": null
   },
   {
    "TestCaseId": "tc-witness-step_transitions-is_unwalked_recovery_path",
    "TestKind": "witness-discriminates",
    "Subject": "StepTransitions.IsUnwalkedRecoveryPath",
    "TargetTable": "StepTransitions",
    "TargetField": "IsUnwalkedRecoveryPath",
    "Assertion": "Reads both TRUE and FALSE across the seed data, so it can distinguish cases.",
    "DefendsQuestion": "q-steward-untested-fallbacks",
    "Suite": "suite-witness",
    "Severity": "advisory",
    "LastOutcome": "PASS",
    "LastDetail": "4 true / 15 false",
    "LastRunAt": "2026-07-20T03:06:49+00:00",
    "SemanticTypeIri": "urn:effortless:pko-extension#TestCase",
    "Name": "witness-discriminates: StepTransitions.IsUnwalkedRecoveryPath",
    "IsBlocking": false,
    "IsPassing": true,
    "IsFailing": false,
    "NeedsAttention": false,
    "PassingSuiteKey": "suite-witness",
    "NeedsAttentionSuiteKey": null
   },
   {
    "TestCaseId": "tc-witness-step_transitions-target_carries_blocking_control",
    "TestKind": "witness-discriminates",
    "Subject": "StepTransitions.TargetCarriesBlockingControl",
    "TargetTable": "StepTransitions",
    "TargetField": "TargetCarriesBlockingControl",
    "Assertion": "Reads both TRUE and FALSE across the seed data, so it can distinguish cases.",
    "DefendsQuestion": "q2-steward-recovery-path-is-load-bearing",
    "Suite": "suite-witness",
    "Severity": "advisory",
    "LastOutcome": "PASS",
    "LastDetail": "13 true / 6 false",
    "LastRunAt": "2026-07-20T03:06:49+00:00",
    "SemanticTypeIri": "urn:effortless:pko-extension#TestCase",
    "Name": "witness-discriminates: StepTransitions.TargetCarriesBlockingControl",
    "IsBlocking": false,
    "IsPassing": true,
    "IsFailing": false,
    "NeedsAttention": false,
    "PassingSuiteKey": "suite-witness",
    "NeedsAttentionSuiteKey": null
   },
   {
    "TestCaseId": "tc-witness-step_transitions-is_unrehearsed_control_entry",
    "TestKind": "witness-discriminates",
    "Subject": "StepTransitions.IsUnrehearsedControlEntry",
    "TargetTable": "StepTransitions",
    "TargetField": "IsUnrehearsedControlEntry",
    "Assertion": "Reads both TRUE and FALSE across the seed data, so it can distinguish cases.",
    "DefendsQuestion": "q2-steward-recovery-path-is-load-bearing",
    "Suite": "suite-witness",
    "Severity": "advisory",
    "LastOutcome": "PASS",
    "LastDetail": "3 true / 16 false",
    "LastRunAt": "2026-07-20T03:06:49+00:00",
    "SemanticTypeIri": "urn:effortless:pko-extension#TestCase",
    "Name": "witness-discriminates: StepTransitions.IsUnrehearsedControlEntry",
    "IsBlocking": false,
    "IsPassing": true,
    "IsFailing": false,
    "NeedsAttention": false,
    "PassingSuiteKey": "suite-witness",
    "NeedsAttentionSuiteKey": null
   },
   {
    "TestCaseId": "tc-witness-requirements-is_bound_to_any_step",
    "TestKind": "witness-discriminates",
    "Subject": "Requirements.IsBoundToAnyStep",
    "TargetTable": "Requirements",
    "TargetField": "IsBoundToAnyStep",
    "Assertion": "Reads both TRUE and FALSE across the seed data, so it can distinguish cases.",
    "DefendsQuestion": "q-controller-blocking-control-inoperative",
    "Suite": "suite-witness",
    "Severity": "advisory",
    "LastOutcome": "WARN",
    "LastDetail": "always true (13/13)",
    "LastRun</t>
  </si>
  <si>
    <t xml:space="preserve">At": "2026-07-20T03:06:49+00:00",
    "SemanticTypeIri": "urn:effortless:pko-extension#TestCase",
    "Name": "witness-discriminates: Requirements.IsBoundToAnyStep",
    "IsBlocking": false,
    "IsPassing": false,
    "IsFailing": false,
    "NeedsAttention": false,
    "PassingSuiteKey": null,
    "NeedsAttentionSuiteKey": null
   },
   {
    "TestCaseId": "tc-witness-requirements-has_ever_been_evaluated",
    "TestKind": "witness-discriminates",
    "Subject": "Requirements.HasEverBeenEvaluated",
    "TargetTable": "Requirements",
    "TargetField": "HasEverBeenEvaluated",
    "Assertion": "Reads both TRUE and FALSE across the seed data, so it can distinguish cases.",
    "DefendsQuestion": "q-controller-blocking-control-inoperative",
    "Suite": "suite-witness",
    "Severity": "advisory",
    "LastOutcome": "PASS",
    "LastDetail": "7 true / 6 false",
    "LastRunAt": "2026-07-20T03:06:49+00:00",
    "SemanticTypeIri": "urn:effortless:pko-extension#TestCase",
    "Name": "witness-discriminates: Requirements.HasEverBeenEvaluated",
    "IsBlocking": false,
    "IsPassing": true,
    "IsFailing": false,
    "NeedsAttention": false,
    "PassingSuiteKey": "suite-witness",
    "NeedsAttentionSuiteKey": null
   },
   {
    "TestCaseId": "tc-witness-requirements-is_inoperative_control",
    "TestKind": "witness-discriminates",
    "Subject": "Requirements.IsInoperativeControl",
    "TargetTable": "Requirements",
    "TargetField": "IsInoperativeControl",
    "Assertion": "Reads both TRUE and FALSE across the seed data, so it can distinguish cases.",
    "DefendsQuestion": "q-controller-blocking-control-inoperative",
    "Suite": "suite-witness",
    "Severity": "advisory",
    "LastOutcome": "PASS",
    "LastDetail": "6 true / 7 false",
    "LastRunAt": "2026-07-20T03:06:49+00:00",
    "SemanticTypeIri": "urn:effortless:pko-extension#TestCase",
    "Name": "witness-discriminates: Requirements.IsInoperativeControl",
    "IsBlocking": false,
    "IsPassing": true,
    "IsFailing": false,
    "NeedsAttention": false,
    "PassingSuiteKey": "suite-witness",
    "NeedsAttentionSuiteKey": null
   },
   {
    "TestCaseId": "tc-witness-requirements-is_decorative_control",
    "TestKind": "witness-discriminates",
    "Subject": "Requirements.IsDecorativeControl",
    "TargetTable": "Requirements",
    "TargetField": "IsDecorativeControl",
    "Assertion": "Reads both TRUE and FALSE across the seed data, so it can distinguish cases.",
    "DefendsQuestion": "q-controller-blocking-control-inoperative",
    "Suite": "suite-witness",
    "Severity": "advisory",
    "LastOutcome": "WARN",
    "LastDetail": "never true (13/13 false)",
    "LastRunAt": "2026-07-20T03:06:49+00:00",
    "SemanticTypeIri": "urn:effortless:pko-extension#TestCase",
    "Name": "witness-discriminates: Requirements.IsDecorativeControl",
    "IsBlocking": false,
    "IsPassing": false,
    "IsFailing": false,
    "NeedsAttention": false,
    "PassingSuiteKey": null,
    "NeedsAttentionSuiteKey": null
   },
   {
    "TestCaseId": "tc-witness-requirements-has_ever_produced_negative",
    "TestKind": "witness-discriminates",
    "Subject": "Requirements.HasEverProducedNegative",
    "TargetTable": "Requirements",
    "TargetField": "HasEverProducedNegative",
    "Assertion": "Reads both TRUE and FALSE across the seed data, so it can distinguish cases.",
    "DefendsQuestion": "q2-fa-cleared-by-mute-control",
    "Suite": "suite-witness",
    "Severity": "advisory",
    "LastOutcome": "PASS",
    "LastDetail": "1 true / 12 false",
    "LastRunAt": "2026-07-20T03:06:49+00:00",
    "SemanticTypeIri": "urn:effortless:pko-extension#TestCase",
    "Name": "witness-discriminates: Requirements.HasEverProducedNegative",
    "IsBlocking": false,
    "IsPassing": true,
    "IsFailing": false,
    "NeedsAttention": false,
    "PassingSuiteKey": "suite-witness",
    "NeedsAttentionSuiteKey": null
   },
   {
    "TestCaseId": "tc-witness-requirements-is_unfalsified_control",
    "TestKind": "witness-discriminates",
    "Subject": "Requirements.IsUnfalsifiedControl",
    "TargetTable": "Requirements",
    "TargetField": "IsUnfalsifiedControl",
    "Assertion": "Reads both TRUE and FALSE across the seed data, so it can distinguish cases.",
    "DefendsQuestion": "q2-fa-cleared-by-mute-control",
    "Suite": "suite-witness",
    "Severity": "advisory",
    "LastOutcome": "PASS",
    "LastDetail": "6 true / 7 false",
    "LastRunAt": "2026-07-20T03:06:49+00:00",
    "SemanticTypeIri": "urn:effortless:pko-extension#TestCase",
    "Name": "witness-discriminates: Requirements.IsUnfalsifiedControl",
    "IsBlocking": false,
    "IsPassing": true,
    "IsFailing": false,
    "NeedsAttention": false,
    "PassingSuiteKey": "suite-witness",
    "NeedsAttentionSuiteKey": null
   },
   {
    "TestCaseId": "tc-witness-requirements-claims_a_witness_field",
    "TestKind": "witness-discriminates",
    "Subject": "Requirements.ClaimsAWitnessField",
    "TargetTable": "Requirements",
    "TargetField": "ClaimsAWitnessField",
    "Assertion": "Reads both TRUE and FALSE across the seed data, so it can distinguish cases.",
    "DefendsQuestion": "q2-fa-witness-coverage-of-my-steps",
    "Suite": "suite-witness",
    "Severity": "advisory",
    "LastOutcome": "PASS",
    "LastDetail": "4 true / 9 false",
    "LastRunAt": "2026-07-20T03:06:49+00:00",
    "SemanticTypeIri": "urn:effortless:pko-extension#TestCase",
    "Name": "witness-discriminates: Requirements.ClaimsAWitnessField",
    "IsBlocking": false,
    "IsPassing": true,
    "IsFailing": false,
    "NeedsAttention": false,
    "PassingSuiteKey": "suite-witness",
    "NeedsAttentionSuiteKey": null
   },
   {
    "TestCaseId": "tc-witness-requirements-named_witness_field_exists",
    "TestKind": "witness-discriminates",
    "Subject": "Requirements.NamedWitnessFieldExists",
    "TargetTable": "Requirements",
    "TargetField": "NamedWitnessFieldExists",
    "Assertion": "Reads both TRUE and FALSE across the seed data, so it can distinguish cases.",
    "DefendsQuestion": "q2-fa-witness-coverage-of-my-steps",
    "Suite": "suite-witness",
    "Severity": "advisory",
    "LastOutcome": "WARN",
    "LastDetail": "always true (4/13)",
    "LastRunAt": "2026-07-20T03:06:49+00:00",
    "SemanticTypeIri": "urn:effortless:pko-extension#TestCase",
    "Name": "witness-discriminates: Requirements.NamedWitnessFieldExists",
    "IsBlocking": false,
    "IsPassing": false,
    "IsFailing": false,
    "NeedsAttention": false,
    "PassingSuiteKey": null,
    "NeedsAttentionSuiteKey": null
   },
   {
    "TestCaseId": "tc-witness-requirements-derived_has_computed_witness",
    "TestKind": "witness-discriminates",
    "Subject": "Requirements.DerivedHasComputedWitness",
    "TargetTable": "Requirements",
    "TargetField": "DerivedHasComputedWitness",
    "Assertion": "Reads both TRUE and FALSE across the seed data, so it can distinguish cases.",
    "DefendsQuestion": "q2-fa-witness-coverage-of-my-steps",
    "Suite": "suite-witness",
    "Severity": "advisory",
    "LastOutcome": "PASS",
    "LastDetail": "4 true / 9 false",
    "LastRunAt": "2026-07-20T03:06:49+00:00",
    "SemanticTypeIri": "urn:effortless:pko-extension#TestCase",
    "Name": "witness-discriminates: Requirements.DerivedHasComputedWitness",
    "IsBlocking": false,
    "IsPassing": true,
    "IsFailing": false,
    "NeedsAttention": false,
    "PassingSuiteKey": "suite-witness",
    "NeedsAttentionSuiteKey": null
   },
   {
    "TestCaseId": "tc-witness-requirements-witness_claim_is_unverified",
    "TestKind": "witness-discriminates",
    "Subject": "Requirements.WitnessClaimIsUnverified",
    "TargetTable": "Requirements",
    "TargetField": "WitnessClaimIsUnverified",
    "Assertion": "Reads both TRUE and FALSE across the seed data, so it can distinguish cases.",
    "DefendsQuestion": "q2-fa-witness-coverage-of-my-steps",
    "Suite": "suite-witness",
    "Severity": "advisory",
    "LastOutcome": "WARN",
    "LastDetail": "never true (13/13 false)",
    "LastRunAt": "2026-07-20T03:06:49+00:00",
    "SemanticTypeIri": "urn:effortless:pko-extension#TestCase",
    "Name": "witness-discriminates: Requirements.WitnessClaimIsUnverified",
    "IsBlocking": false,
    "IsPassing": false,
    "IsFailing": false,
    "NeedsAttention": false,
    "PassingSuiteKey": null,
    "NeedsAttentionSuiteKey": null
   },
   {
    "TestCaseId": "tc-witness-requirements-is_unwitnessed_blocking_control",
    "TestKind": "witness-discriminates",
    "Subject": "Requirements.IsUnwitnessedBlockingControl",
    "TargetTable": "Requirements",
    "TargetField": "IsUnwitnessedBlockingControl",
    "Assertion": "Reads both TRUE and FALSE across the seed data, so it can distinguish cases.",
    "DefendsQuestion": "q2-fa-witness-coverage-of-my-steps",
    "Suite": "suite-witness",
    "Severity": "advisory",
    "LastOutcome": "PASS",
    "LastDetail": "9 true / 4 false",
    "LastRunAt": "2026-07-20T03:06:49+00:00",
    "SemanticTypeIri": "urn:effortless:pko-extension#TestCase",
    "Name": "witness-discriminates: Requirements.IsUnwitnessedBlockingControl",
    "IsBlocking": false,
    "IsPassing": true,
    "IsFailing": false,
    "NeedsAttention": false,
    "PassingSuiteKey": "suite-witness",
    "NeedsAttentionSuiteKey": null
   },
   {
    "TestCaseId": "tc-witness-requirements-witness_has_never_fired",
    "TestKind": "witness-discriminates",
    "Subject": "Requirements.WitnessHasNeverFired",
    "TargetTable": "Requirements",
    "TargetField": "WitnessHasNeverFired",
    "Assertion": "Reads both TRUE and FALSE across the seed data, so it can distinguish cases.",
    "DefendsQuestion": "q2-ctl-witness-never-fired",
    "Suite": "suite-witness",
    "Severity": "advisory",
    "LastOutcome": "PASS",
    "LastDetail": "3 true / 10 false",
    "LastRunAt": "2026-07-20T03:06:49+00:00",
    "SemanticTypeIri": "urn:effortless:pko-extension#TestCase",
    "Name": "witness-discriminates: Requirements.WitnessHasNeverFired",
    "IsBlocking": false,
    "IsPassing": true,
    "IsFailing": false,
    "NeedsAttention": false,
    "PassingSuiteKey": "suite-witness",
    "NeedsAttentionSuiteKey": null
   },
   {
    "TestCaseId": "tc-witness-requirements-has_meaningful_sample",
    "TestKind": "witness-discriminates",
    "Subject": "Requirements.HasMeaningfulSample",
    "TargetTable": "Requirements",
    "TargetField": "HasMeaningfulSample",
    "Assertion": "Reads both TRUE and FALSE across the seed data, so it can distinguish cases.",
    "DefendsQuestion": "q2-ctl-witness-never-fired",
    "Suite": "suite-witness",
    "Severity": "advisory",
    "LastOutcome": "WARN",
    "LastDetail": "never true (0/13 false)",
    "LastRunAt": "2026-07-20T03:06:49+00:00",
    "SemanticTypeIri": "urn:effortless:pko-extension#TestCase",
    "Name": "witness-discriminates: Requirements.HasMeaningfulSample",
    "IsBlocking": false,
    "IsPassing": false,
    "IsFailing": false,
    "NeedsAttention": false,
    "PassingSuiteKey": null,
    "NeedsAttentionSuiteKey": null
   },
   {
    "TestCaseId": "tc-witness-requirements-is_untested_witness",
    "TestKind": "witness-discriminates",
    "Subject": "Requirements.IsUntestedWitness",
    "TargetTable": "Requirements",
    "TargetField": "IsUntestedWitness",
    "Assertion": "Reads both TRUE and FALSE across the seed data, so it can distinguish cases.",
    "DefendsQuestion": "q2-ctl-witness-never-fired",
    "Suite": "suite-witness",
    "Severity": "advisory",
    "LastOutcome": "WARN",
    "LastDetail": "never true (10/13 false)",
    "LastRunAt": "2026-07-20T03:06:49+00:00",
    "SemanticTypeIri": "urn:effortless:pko-extension#TestCase",
    "Name": "witness-discriminates: Requirements.IsUntestedWitness",
    "IsBlocking": false,
    "IsPassing": false,
    "IsFailing": false,
    "NeedsAttention": false,
    "PassingSuiteKey": null,
    "NeedsAttentionSuiteKey": null
   },
   {
    "TestCaseId": "tc-witness-requirements-is_evidenced_holding_control",
    "TestKind": "witness-discriminates",
    "Subject": "Requirements.IsEvidencedHoldingControl",
    "TargetTable": "Requirements",
    "TargetField": "IsEvidencedHoldingControl",
    "Assertion": "Reads both TRUE and FALSE across the seed data, so it can distinguish cases.",
    "DefendsQuestion": "q2-ctl-witness-never-fired",
    "Suite": "suite-witness",
    "Severity": "advisory",
    "LastOutcome": "WARN",
    "LastDetail": "never true (10/13 false)",
    "LastRunAt": "2026-07-20T03:06:49+00:00",
    "SemanticTypeIri": "urn:effortless:pko-extension#TestCase",
    "Name": "witness-discriminates: Requirements.IsEvidencedHoldingControl",
    "IsBlocking": false,
    "IsPassing": false,
    "IsFailing": false,
    "NeedsAttention": false,
    "PassingSuiteKey": null,
    "NeedsAttentionSuiteKey": null
   },
   {
    "TestCaseId": "tc-witness-requirements-witness_is_partially_scoped",
    "TestKind": "witness-discriminates",
    "Subject": "Requirements.WitnessIsPartiallyScoped",
    "TargetTable": "Requirements",
    "TargetField": "WitnessIsPartiallyScoped",
    "Assertion": "Reads both TRUE and FALSE across the seed data, so it can distinguish cases.",
    "DefendsQuestion": "q2-ctl-witness-scope-vs-binding",
    "Suite": "suite-witness",
    "Severity": "advisory",
    "LastOutcome": "PASS",
    "LastDetail": "4 true / 9 false",
    "LastRunAt": "2026-07-20T03:06:49+00:00",
    "SemanticTypeIri": "urn:effortless:pko-extension#TestCase",
    "Name": "witness-discriminates: Requirements.WitnessIsPartiallyScoped",
    "IsBlocking": false,
    "IsPassing": true,
    "IsFailing": false,
    "NeedsAttention": false,
    "PassingSuiteKey": "suite-witness",
    "NeedsAttentionSuiteKey": null
   },
   {
    "TestCaseId": "tc-witness-requirements-has_named_owner",
    "TestKind": "witness-discriminates",
    "Subject": "Requirements.HasNamedOwner",
    "TargetTable": "Requirements",
    "TargetField": "HasNamedOwner",
    "Assertion": "Reads both TRUE and FALSE across the seed data, so it can distinguish cases.",
    "DefendsQuestion": "q2-cfo-controls-nobody-is-watching",
    "Suite": "suite-witness",
    "Severity": "advisory",
    "LastOutcome": "WARN",
    "LastDetail": "never true (13/13 false)",
    "LastRunAt": "2026-07-20T03:06:49+00:00",
    "SemanticTypeIri": "urn:effortless:pko-extension#TestCase",
    "Name": "witness-discriminates: Requirements.HasNamedOwner",
    "IsBlocking": false,
    "IsPassing": false,
    "IsFailing": false,
    "NeedsAttention": false,
    "PassingSuiteKey": null,
    "NeedsAttentionSuiteKey": null
   },
   {
    "TestCaseId": "tc-witness-requirements-is_orphaned_blocking_control",
    "TestKind": "witness-discriminates",
    "Subject": "Requirements.IsOrphanedBlockingControl",
    "TargetTable": "Requirements",
    "TargetField": "IsOrphanedBlockingControl",
    "Assertion": "Reads both TRUE and FALSE across the seed data, so it can distinguish cases.",
    "DefendsQuestion": "q2-cfo-controls-nobody-is-watching",
    "Suite": "suite-witness",
    "Severity": "advisory",
    "LastOutcome": "WARN",
    "LastDetail": "always true (13/13)",
    "LastRunAt": "2026-07-20T03:06:49+00:00",
    "SemanticTypeIri": "urn:effortless:pko-extension#TestCase",
    "Name": "witness-discriminates: Requirements.IsOrphanedBlockingControl",
    "IsBlocking": false,
    "IsPassing": false,
    "IsFailing": false,
    "NeedsAttention": false,
    "PassingSuiteKey": null,
    "NeedsAttentionSuiteKey": null
   },
   {
    "TestCaseId": "tc-witness-requirements-is_unwatched_and_unowned",
    "TestKind": "witness-discriminates",
    "Subject": "Requirements.IsUnwatchedAndUnowned",
    "TargetTable": "Requirements",
    "TargetField": "IsUnwatchedAndUnowned",
    "Assertion": "Reads both TRUE and FALSE across the seed data, so it can distinguish cases.",
    "DefendsQuestion": "q2-cfo-controls-nobody-is-watching",
    "Suite": "suite-witness",
    "Severity": "advisory",
    "LastOutcome": "PASS",
    "LastDetail": "9 true / 4 false",
    "LastRunAt": "2026-07-20T03:06:49+00:00",
    "SemanticTypeIri": "urn:effortless:pko-extension#TestCase",
    "Name": "witness-discriminates: Requirements.IsUnwatchedAndUnowned",
    "IsBlocking": false,
    "IsPassing": true,
    "IsFailing": false,
    "NeedsAttention": false,
    "PassingSuiteKey": "suite-witness",
    "NeedsAttentionSuiteKey": null
   },
   {
    "TestCaseId": "tc-witness-step_requirements-requirement_is_blocking",
    "TestKind": "witness-discriminates",
    "Subject": "StepRequirements.RequirementIsBlocking",
    "TargetTable": "StepRequirements",
    "TargetField": "RequirementIsBlocking",
    "Assertion": "Reads both TRUE and FALSE across the seed data, so it can distinguish cases.",
    "DefendsQuestion": "q-analyst-blocking-never-evaluated",
    "Suite": "suite-witness",
    "Severity": "advisory",
    "LastOutcome": "WARN",
    "LastDetail": "always true (15/15)",
    "LastRunAt": "2026-07-20T03:06:49+00:00",
    "SemanticTypeIri": "urn:effortless:pko-extension#TestCase",
    "Name": "witness-discriminates: StepRequirements.RequirementIsBlocking",
    "IsBlocking": false,
    "IsPassing": false,
    "IsFailing": false,
    "NeedsAttention": false,
    "PassingSuiteKey": null,
    "NeedsAttentionSuiteKey": null
   },
   {
    "TestCaseId": "tc-witness-step_requirements-requirement_lacks_witness",
    "TestKind": "witness-discriminates",
    "Subject": "StepRequirements.RequirementLacksWitness",
    "TargetTable": "StepRequirements",
    "TargetField": "RequirementLacksWitness",
    "Assertion": "Reads both TRUE and FALSE across the seed data, so it can distinguish cases.",
    "DefendsQuestion": "q2-fa-witness-coverage-of-my-steps",
    "Suite": "suite-witness",
    "Severity": "advisory",
    "LastOutcome": "PASS",
    "LastDetail": "10 true / 5 false",
    "LastRunAt": "2026-07-20T03:06:49+00:00",
    "SemanticTypeIri": "urn:effortless:pko-extension#TestCase",
    "Name": "witness-discriminates: StepRequirements.RequirementLacksWitness",
    "IsBlocking": false,
    "IsPassing": true,
    "IsFailing": false,
    "NeedsAttention": false,
    "PassingSuiteKey": "suite-witness",
    "NeedsAttentionSuiteKey": null
   },
   {
    "TestCaseId": "tc-witness-step_requirements-binding_was_ever_exercised",
    "TestKind": "witness-discriminates",
    "Subject": "StepRequirements.BindingWasEverExercised",
    "TargetTable": "StepRequirements",
    "TargetField": "BindingWasEverExercised",
    "Assertion": "Reads both TRUE and FALSE across the seed data, so it can distinguish cases.",
    "DefendsQuestion": "q2-ctl-witness-scope-vs-binding",
    "Suite": "suite-witness",
    "Severity": "advisory",
    "LastOutcome": "WARN",
    "LastDetail": "never true (15/15 false)",
    "LastRunAt": "2026-07-20T03:06:49+00:00",
    "SemanticTypeIri": "urn:effortless:pko-extension#TestCase",
    "Name": "witness-discriminates: StepRequirements.BindingWasEverExercised",
    "IsBlocking": false,
    "IsPassing": false,
    "IsFailing": false,
    "NeedsAttention": false,
    "PassingSuiteKey": null,
    "NeedsAttentionSuiteKey": null
   },
   {
    "TestCaseId": "tc-witness-step_requirements-is_unexercised_blocking_binding",
    "TestKind": "witness-discriminates",
    "Subject": "StepRequirements.IsUnexercisedBlockingBinding",
    "TargetTable": "StepRequirements",
    "TargetField": "IsUnexercisedBlockingBinding",
    "Assertion": "Reads both TRUE and FALSE across the seed data, so it can distinguish cases.",
    "DefendsQuestion": "q2-ctl-witness-scope-vs-binding",
    "Suite": "suite-witness",
    "Severity": "advisory",
    "LastOutcome": "WARN",
    "LastDetail": "always true (15/15)",
    "LastRunAt": "2026-07-20T03:06:49+00:00",
    "SemanticTypeIri": "urn:effortless:pko-extension#TestCase",
    "Name": "witness-discriminates: StepRequirements.IsUnexercisedBlockingBinding",
    "IsBlocking": false,
    "IsPassing": false,
    "IsFailing": false,
    "NeedsAttention": false,
    "PassingSuiteKey": null,
    "NeedsAttentionSuiteKey": null
   },
   {
    "TestCaseId": "tc-witness-resources-is_approved_source",
    "TestKind": "witness-discriminates",
    "Subject": "Resources.IsApprovedSource",
    "TargetTable": "Resources",
    "TargetField": "IsApprovedSource",
    "Assertion": "Reads both TRUE and FALSE across the seed data, so it can distinguish cases.",
    "DefendsQuestion": "q-policy-ai-source-approval",
    "Suite": "suite-witness",
    "Severity": "advisory",
    "LastOutcome": "WARN",
    "LastDetail": "never true (0/8 false)",
    "LastRunAt": "2026-07-20T03:06:49+00:00",
    "SemanticTypeIri": "urn:effortless:pko-extension#TestCase",
    "Name": "witness-discriminates: Resources.IsApprovedSource",
    "IsBlocking": false,
    "IsPassing": false,
    "IsFailing": false,
    "NeedsAttention": false,
    "PassingSuiteKey": null,
    "NeedsAttentionSuiteKey": null
   },
   {
    "TestCaseId": "tc-witness-elicitation_sessions-is_single_witness_method",
    "TestKind": "witness-discriminates",
    "Subject": "ElicitationSessions.IsSingleWitnessMethod",
    "TargetTable": "ElicitationSessions",
    "TargetField": "IsSingleWitnessMethod",
    "Assertion": "Reads both TRUE and FALSE across the seed data, so it can distinguish cases.",
    "DefendsQuestion": "q-authority-stale-elicitation",
    "Suite": "suite-witness",
    "Severity": "advisory",
    "LastOutcome": "PASS",
    "LastDetail": "2 true / 1 false",
    "LastRunAt": "2026-07-20T03:06:49+00:00",
    "SemanticTypeIri": "urn:effortless:pko-extension#TestCase",
    "Name": "witness-discriminates: ElicitationSessions.IsSingleWitnessMethod",
    "IsBlocking": false,
    "IsPassing": true,
    "IsFailing": false,
    "NeedsAttention": false,
    "PassingSuiteKey": "suite-witness",
    "NeedsAttentionSuiteKey": null
   },
   {
    "TestCaseId": "tc-witness-elicitation_sessions-practitioner_is_still_engaged",
    "TestKind": "witness-discriminates",
    "Subject": "ElicitationSessions.PractitionerIsStillEngaged",
    "TargetTable": "ElicitationSessions",
    "TargetField": "PractitionerIsStillEngaged",
    "Assertion": "Reads both TRUE and FALSE across the seed data, so it can distinguish cases.",
    "DefendsQuestion": "q-authority-stale-elicitation",
    "Suite": "suite-witness",
    "Severity": "advisory",
    "LastOutcome": "WARN",
    "LastDetail": "always true (3/3)",
    "LastRunAt": "2026-07-20T03:06:49+00:00",
    "SemanticTypeIri": "urn:effortless:pko-extension#TestCase",
    "Name": "witness-discriminates: ElicitationSessions.PractitionerIsStillEngaged",
    "IsBlocking": false,
    "IsPassing": false,
    "IsFailing": false,
    "NeedsAttention": false,
    "PassingSuiteKey": null,
    "NeedsAttentionSuiteKey": null
   },
   {
    "TestCaseId": "tc-witness-elicitation_sessions-is_high_yield_session",
    "TestKind": "witness-discriminates",
    "Subject": "ElicitationSessions.IsHighYieldSession",
    "TargetTable": "ElicitationSessions",
    "TargetField": "IsHighYieldSession",
    "Assertion": "Reads both TRUE and FALSE across the seed data, so it can distinguish cases.",
    "DefendsQuestion": "q2-authority-elicitation-method-monoculture",
    "Suite": "suite-witness",
    "Severity": "advisory",
    "LastOutcome": "PASS",
    "LastDetail": "1 true / 2 false",
    "LastRunAt": "2026-07-20T03:06:49+00:00",
    "SemanticTypeIri": "urn:effortless:pko-extension#TestCase",
    "Name": "witness-discriminates: ElicitationSessions.IsHighYieldSession",
    "IsBlocking": false,
    "IsPassing": true,
    "IsFailing": false,
    "NeedsAttention": false,
    "PassingSuiteKey": "suite-witness",
    "NeedsAttentionSuiteKey": null
   },
   {
    "TestCaseId": "tc-witness-elicitation_sessions-is_concentrated_single_witness",
    "TestKind": "witness-discriminates",
    "Subject": "ElicitationSessions.IsConcentratedSingleWitness",
    "TargetTable": "ElicitationSessions",
    "TargetField": "IsConcentratedSingleWitness",
    "Assertion": "Reads both TRUE and FALSE across the seed data, so it can distinguish cases.",
    "DefendsQuestion": "q2-authority-elicitation-method-monoculture",
    "Suite": "suite-witness",
    "Severity": "advisory",
    "LastOutcome": "PASS",
    "LastDetail": "1 true / 2 false",
    "LastRunAt": "2026-07-20T03:06:49+00:00",
    "SemanticTypeIri": "urn:effortless:pko-extension#TestCase",
    "Name": "witness-discriminates: ElicitationSessions.IsConcentratedSingleWitness",
    "IsBlocking": false,
    "IsPassing": true,
    "IsFailing": false,
    "NeedsAttention": false,
    "PassingSuiteKey": "suite-witness",
    "NeedsAttentionSuiteKey": null
   },
   {
    "TestCaseId": "tc-witness-elicitation_sessions-is_stale_concentrated_witness",
    "TestKind": "witness-discriminates",
    "Subject": "ElicitationSessions.IsStaleConcentratedWitness",
    "TargetTable": "ElicitationSessions",
    "TargetField": "IsStaleConcentratedWitness",
    "Assertion": "Reads both TRUE and FALSE across the seed data, so it can distinguish cases.",
    "DefendsQuestion": "q2-authority-elicitation-method-monoculture",
    "Suite": "suite-witness",
    "Severity": "advisory",
    "LastOutcome": "WARN",
    "LastDetail": "never true (3/3 false)",
    "LastRunAt": "2026-07-20T03:06:49+00:00",
    "SemanticTypeIri": "urn:effortless:pko-extension#TestCase",
    "Name": "witness-discriminates: ElicitationSessions.IsStaleConcentratedWitness",
    "IsBlocking": false,
    "IsPassing": false,
    "IsFailing": false,
    "NeedsAttention": false,
    "PassingSuiteKey": null,
    "NeedsAttentionSuiteKey": null
   },
   {
    "TestCaseId": "tc-witness-knowledge_fragments-is_currently_valid",
    "TestKind": "witness-discriminates",
    "Subject": "KnowledgeFragments.IsCurrentlyValid",
    "TargetTable": "KnowledgeFragments",
    "TargetField": "IsCurrentlyValid",
    "Assertion": "Reads both TRUE and FALSE across the seed data, so it can distinguish cases.",
    "DefendsQuestion": null,
    "Suite": "suite-witness",
    "Severity": "advisory",
    "LastOutcome": "PASS",
    "LastDetail": "6 true / 1 false",
    "LastRunAt": "2026-07-20T03:06:49+00:00",
    "SemanticTypeIri": "urn:effortless:pko-extension#TestCase",
    "Name": "witness-discriminates: KnowledgeFragments.IsCurrentlyValid",
    "IsBlocking": false,
    "IsPassing": true,
    "IsFailing": false,
    "NeedsAttention": false,
    "PassingSuiteKey": "suite-witness",
    "NeedsAttentionSuiteKey": null
   },
   {
    "TestCaseId": "tc-witness-knowledge_fragments-source_agent_is_still_engaged",
    "TestKind": "witness-discriminates",
    "Subject": "KnowledgeFragments.SourceAgentIsStillEngaged",
    "TargetTable": "KnowledgeFragments",
    "TargetField": "SourceAgentIsStillEngaged",
    "Assertion": "Reads both TRUE and FALSE across the seed data, so it can distinguish cases.",
    "DefendsQuestion": "q-authority-orphaned-provenance",
    "Suite": "suite-witness",
    "Severity": "advisory",
    "LastOutcome": "WARN",
    "LastDetail": "always true (7/7)",
    "LastRunAt": "2026-07-20T03:06:49+00:00",
    "SemanticTypeIri": "urn:effortless:pko-extension#TestCase",
    "Name": "witness-discriminates: KnowledgeFragments.SourceAgentIsStillEngaged",
    "IsBlocking": false,
    "IsPassing": false,
    "IsFailing": false,
    "NeedsAttention": false,
    "PassingSuiteKey": null,
    "NeedsAttentionSuiteKey": null
   },
   {
    "TestCaseId": "tc-witness-knowledge_fragments-has_human_source",
    "TestKind": "witness-discriminates",
    "Subject": "KnowledgeFragments.HasHumanSource",
    "TargetTable": "KnowledgeFragments",
    "TargetField": "HasHumanSource",
    "Assertion": "Reads both TRUE and FALSE across the seed data, so it can distinguish cases.",
    "DefendsQuestion": "q-authority-orphaned-provenance",
    "Suite": "suite-witness",
    "Severity": "advisory",
    "LastOutcome": "WARN",
    "LastDetail": "always true (7/7)",
    "LastRunAt": "2026-07-20T03:06:49+00:00",
    "SemanticTypeIri": "urn:effortless:pko-extension#TestCase",
    "Name": "witness-discriminates: KnowledgeFragments.HasHumanSource",
    "IsBlocking": false,
    "IsPassing": false,
    "IsFailing": false,
    "NeedsAttention": false,
    "PassingSuiteKey": null,
    "NeedsAttentionSuiteKey": null
   },
   {
    "TestCaseId": "tc-witness-knowledge_fragments-has_orphaned_provenance",
    "TestKind": "witness-discriminates",
    "Subject": "KnowledgeFragments.HasOrphanedProvenance",
    "TargetTable": "KnowledgeFragments",
    "TargetField": "HasOrphanedProvenance",
    "Assertion": "Reads both TRUE and FALSE across the seed data, so it can distinguish cases.",
    "DefendsQuestion": "q-authority-orphaned-provenance",
    "Suite": "suite-witness",
    "Severity": "advisory",
    "LastOutcome": "WARN",
    "LastDetail": "never true (7/7 false)",
    "LastRunAt": "2026-07-20T03:06:49+00:00",
    "SemanticTypeIri": "urn:effortless:pko-extension#TestCase",
    "Name": "witness-discriminates: KnowledgeFragments.HasOrphanedProvenance",
    "IsBlocking": false,
    "IsPassing": false,
    "IsFailing": false,
    "NeedsAttention": false,
    "PassingSuiteKey": null,
    "NeedsAttentionSuiteKey": null
   },
   {
    "TestCaseId": "tc-witness-knowledge_fragments-is_undefendable_tacit_claim",
    "TestKind": "witness-discriminates",
    "Subject": "KnowledgeFragments.IsUndefendableTacitClaim",
    "TargetTable": "KnowledgeFragments",
    "TargetField": "IsUndefendableTacitClaim",
    "Assertion": "Reads both TRUE and FALSE across the seed data, so it can distinguish cases.",
    "DefendsQuestion": "q-authority-orphaned-provenance",
    "Suite": "suite-witness",
    "Severity": "advisory",
    "LastOutcome": "WARN",
    "LastDetail": "never true (7/7 false)",
    "LastRunAt": "2026-07-20T03:06:49+00:00",
    "SemanticTypeIri": "urn:effortless:pko-extension#TestCase",
    "Name": "witness-discriminates: KnowledgeFragments.IsUndefendableTacitClaim",
    "IsBlocking": false,
    "IsPassing": false,
    "IsFailing": false,
    "NeedsAttention": false,
    "PassingSuiteKey": null,
    "NeedsAttentionSuiteKey": null
   },
   {
    "TestCaseId": "tc-witness-knowledge_fragments-is_approved",
    "TestKind": "witness-discriminates",
    "Subject": "KnowledgeFragments.IsApproved",
    "TargetTable": "KnowledgeFragments",
    "TargetField": "IsApproved",
    "Assertion": "Reads both TRUE and FALSE across the seed data, so it can distinguish cases.",
    "DefendsQuestion": "q-authority-non-approved-dependency",
    "Suite": "suite-witness",
    "Severity": "advisory",
    "LastOutcome": "PASS",
    "LastDetail": "6 true / 1 false",
    "LastRunAt": "2026-07-20T03:06:49+00:00",
    "SemanticTypeIri": "urn:effortless:pko-extension#TestCase",
    "Name": "witness-discriminates: KnowledgeFragments.IsApproved",
    "IsBlocking": false,
    "IsPassing": true,
    "IsFailing": false,
    "NeedsAttention": false,
    "PassingSuiteKey": "suite-witness",
    "NeedsAttentionSuiteKey": null
   },
   {
    "TestCaseId": "tc-witness-knowledge_fragments-is_within_validity_window",
    "TestKind": "witness-discriminates",
    "Subject": "KnowledgeFragments.IsWithinValidityWindow",
    "TargetTable": "KnowledgeFragments",
    "TargetField": "IsWithinValidityWindow",
    "Assertion": "Reads both TRUE and FALSE across the seed data, so it can distinguish cases.",
    "DefendsQuestion": "q-authority-non-approved-dependency",
    "Suite": "suite-witness",
    "Severity": "advisory",
    "LastOutcome": "WARN",
    "LastDetail": "always true (7/7)",
    "LastRunAt": "2026-07-20T03:06:49+00:00",
    "SemanticTypeIri": "urn:effortless:pko-extension#TestCase",
    "Name": "witness-discriminates: KnowledgeFragments.IsWithinValidityWindow",
    "IsBlocking": false,
    "IsPassing": false,
    "IsFailing": false,
    "NeedsAttention": false,
    "PassingSuiteKey": null,
    "NeedsAttentionSuiteKey": null
   },
   {
    "TestCaseId": "tc-witness-knowledge_fragments-is_relied_upon",
    "TestKind": "witness-discriminates",
    "Subject": "KnowledgeFragments.IsReliedUpon",
    "TargetTable": "KnowledgeFragments",
    "TargetField": "IsReliedUpon",
    "Assertion": "Reads both TRUE and FALSE across the seed data, so it can distinguish cases.",
    "DefendsQuestion": "q-authority-non-approved-dependency",
    "Suite": "suite-witness",
    "Severity": "advisory",
    "LastOutcome": "WARN",
    "LastDetail": "always true (7/7)",
    "LastRunAt": "2026-07-20T03:06:49+00:00",
    "SemanticTypeIri": "urn:effortless:pko-extension#TestCase",
    "Name": "witness-discriminates: KnowledgeFragments.IsReliedUpon",
    "IsBlocking": false,
    "IsPassing": false,
    "IsFailing": false,
    "NeedsAttention": false,
    "PassingSuiteKey": null,
    "NeedsAttentionSuiteKey": null
   },
   {
    "Tes</t>
  </si>
  <si>
    <t xml:space="preserve">tCaseId": "tc-witness-knowledge_fragments-is_attached_to_live_version",
    "TestKind": "witness-discriminates",
    "Subject": "KnowledgeFragments.IsAttachedToLiveVersion",
    "TargetTable": "KnowledgeFragments",
    "TargetField": "IsAttachedToLiveVersion",
    "Assertion": "Reads both TRUE and FALSE across the seed data, so it can distinguish cases.",
    "DefendsQuestion": "q-authority-non-approved-dependency",
    "Suite": "suite-witness",
    "Severity": "advisory",
    "LastOutcome": "WARN",
    "LastDetail": "always true (7/7)",
    "LastRunAt": "2026-07-20T03:06:49+00:00",
    "SemanticTypeIri": "urn:effortless:pko-extension#TestCase",
    "Name": "witness-discriminates: KnowledgeFragments.IsAttachedToLiveVersion",
    "IsBlocking": false,
    "IsPassing": false,
    "IsFailing": false,
    "NeedsAttention": false,
    "PassingSuiteKey": null,
    "NeedsAttentionSuiteKey": null
   },
   {
    "TestCaseId": "tc-witness-knowledge_fragments-is_unapproved_but_relied_on",
    "TestKind": "witness-discriminates",
    "Subject": "KnowledgeFragments.IsUnapprovedButReliedOn",
    "TargetTable": "KnowledgeFragments",
    "TargetField": "IsUnapprovedButReliedOn",
    "Assertion": "Reads both TRUE and FALSE across the seed data, so it can distinguish cases.",
    "DefendsQuestion": "q-authority-non-approved-dependency",
    "Suite": "suite-witness",
    "Severity": "advisory",
    "LastOutcome": "PASS",
    "LastDetail": "1 true / 6 false",
    "LastRunAt": "2026-07-20T03:06:49+00:00",
    "SemanticTypeIri": "urn:effortless:pko-extension#TestCase",
    "Name": "witness-discriminates: KnowledgeFragments.IsUnapprovedButReliedOn",
    "IsBlocking": false,
    "IsPassing": true,
    "IsFailing": false,
    "NeedsAttention": false,
    "PassingSuiteKey": "suite-witness",
    "NeedsAttentionSuiteKey": null
   },
   {
    "TestCaseId": "tc-witness-knowledge_fragments-has_recorded_elicitation",
    "TestKind": "witness-discriminates",
    "Subject": "KnowledgeFragments.HasRecordedElicitation",
    "TargetTable": "KnowledgeFragments",
    "TargetField": "HasRecordedElicitation",
    "Assertion": "Reads both TRUE and FALSE across the seed data, so it can distinguish cases.",
    "DefendsQuestion": "q-authority-stale-elicitation",
    "Suite": "suite-witness",
    "Severity": "advisory",
    "LastOutcome": "PASS",
    "LastDetail": "6 true / 1 false",
    "LastRunAt": "2026-07-20T03:06:49+00:00",
    "SemanticTypeIri": "urn:effortless:pko-extension#TestCase",
    "Name": "witness-discriminates: KnowledgeFragments.HasRecordedElicitation",
    "IsBlocking": false,
    "IsPassing": true,
    "IsFailing": false,
    "NeedsAttention": false,
    "PassingSuiteKey": "suite-witness",
    "NeedsAttentionSuiteKey": null
   },
   {
    "TestCaseId": "tc-witness-knowledge_fragments-is_from_single_witness",
    "TestKind": "witness-discriminates",
    "Subject": "KnowledgeFragments.IsFromSingleWitness",
    "TargetTable": "KnowledgeFragments",
    "TargetField": "IsFromSingleWitness",
    "Assertion": "Reads both TRUE and FALSE across the seed data, so it can distinguish cases.",
    "DefendsQuestion": "q-authority-stale-elicitation",
    "Suite": "suite-witness",
    "Severity": "advisory",
    "LastOutcome": "PASS",
    "LastDetail": "4 true / 2 false",
    "LastRunAt": "2026-07-20T03:06:49+00:00",
    "SemanticTypeIri": "urn:effortless:pko-extension#TestCase",
    "Name": "witness-discriminates: KnowledgeFragments.IsFromSingleWitness",
    "IsBlocking": false,
    "IsPassing": true,
    "IsFailing": false,
    "NeedsAttention": false,
    "PassingSuiteKey": "suite-witness",
    "NeedsAttentionSuiteKey": null
   },
   {
    "TestCaseId": "tc-witness-knowledge_fragments-evidence_has_expired",
    "TestKind": "witness-discriminates",
    "Subject": "KnowledgeFragments.EvidenceHasExpired",
    "TargetTable": "KnowledgeFragments",
    "TargetField": "EvidenceHasExpired",
    "Assertion": "Reads both TRUE and FALSE across the seed data, so it can distinguish cases.",
    "DefendsQuestion": "q-authority-stale-elicitation",
    "Suite": "suite-witness",
    "Severity": "advisory",
    "LastOutcome": "WARN",
    "LastDetail": "never true (7/7 false)",
    "LastRunAt": "2026-07-20T03:06:49+00:00",
    "SemanticTypeIri": "urn:effortless:pko-extension#TestCase",
    "Name": "witness-discriminates: KnowledgeFragments.EvidenceHasExpired",
    "IsBlocking": false,
    "IsPassing": false,
    "IsFailing": false,
    "NeedsAttention": false,
    "PassingSuiteKey": null,
    "NeedsAttentionSuiteKey": null
   },
   {
    "TestCaseId": "tc-witness-knowledge_fragments-is_awaiting_approval",
    "TestKind": "witness-discriminates",
    "Subject": "KnowledgeFragments.IsAwaitingApproval",
    "TargetTable": "KnowledgeFragments",
    "TargetField": "IsAwaitingApproval",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KnowledgeFragments.IsAwaitingApproval",
    "IsBlocking": false,
    "IsPassing": true,
    "IsFailing": false,
    "NeedsAttention": false,
    "PassingSuiteKey": "suite-witness",
    "NeedsAttentionSuiteKey": null
   },
   {
    "TestCaseId": "tc-witness-knowledge_fragments-owner_is_me",
    "TestKind": "witness-discriminates",
    "Subject": "KnowledgeFragments.OwnerIsMe",
    "TargetTable": "KnowledgeFragments",
    "TargetField": "OwnerIsMe",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KnowledgeFragments.OwnerIsMe",
    "IsBlocking": false,
    "IsPassing": true,
    "IsFailing": false,
    "NeedsAttention": false,
    "PassingSuiteKey": "suite-witness",
    "NeedsAttentionSuiteKey": null
   },
   {
    "TestCaseId": "tc-witness-knowledge_fragments-is_my_unfinished_approval",
    "TestKind": "witness-discriminates",
    "Subject": "KnowledgeFragments.IsMyUnfinishedApproval",
    "TargetTable": "KnowledgeFragments",
    "TargetField": "IsMyUnfinishedApproval",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KnowledgeFragments.IsMyUnfinishedApproval",
    "IsBlocking": false,
    "IsPassing": true,
    "IsFailing": false,
    "NeedsAttention": false,
    "PassingSuiteKey": "suite-witness",
    "NeedsAttentionSuiteKey": null
   },
   {
    "TestCaseId": "tc-witness-knowledge_fragments-has_operational_reliance",
    "TestKind": "witness-discriminates",
    "Subject": "KnowledgeFragments.HasOperationalReliance",
    "TargetTable": "KnowledgeFragments",
    "TargetField": "HasOperationalReliance",
    "Assertion": "Reads both TRUE and FALSE across the seed data, so it can distinguish cases.",
    "DefendsQuestion": "q-hr-unapproved-knowledge-in-my-name",
    "Suite": "suite-witness",
    "Severity": "advisory",
    "LastOutcome": "PASS",
    "LastDetail": "2 true / 5 false",
    "LastRunAt": "2026-07-20T03:06:49+00:00",
    "SemanticTypeIri": "urn:effortless:pko-extension#TestCase",
    "Name": "witness-discriminates: KnowledgeFragments.HasOperationalReliance",
    "IsBlocking": false,
    "IsPassing": true,
    "IsFailing": false,
    "NeedsAttention": false,
    "PassingSuiteKey": "suite-witness",
    "NeedsAttentionSuiteKey": null
   },
   {
    "TestCaseId": "tc-witness-knowledge_fragments-is_unapproved_and_operationally_live",
    "TestKind": "witness-discriminates",
    "Subject": "KnowledgeFragments.IsUnapprovedAndOperationallyLive",
    "TargetTable": "KnowledgeFragments",
    "TargetField": "IsUnapprovedAndOperationallyLive",
    "Assertion": "Reads both TRUE and FALSE across the seed data, so it can distinguish cases.",
    "DefendsQuestion": "q-hr-unapproved-knowledge-in-my-name",
    "Suite": "suite-witness",
    "Severity": "advisory",
    "LastOutcome": "PASS",
    "LastDetail": "1 true / 6 false",
    "LastRunAt": "2026-07-20T03:06:49+00:00",
    "SemanticTypeIri": "urn:effortless:pko-extension#TestCase",
    "Name": "witness-discriminates: KnowledgeFragments.IsUnapprovedAndOperationallyLive",
    "IsBlocking": false,
    "IsPassing": true,
    "IsFailing": false,
    "NeedsAttention": false,
    "PassingSuiteKey": "suite-witness",
    "NeedsAttentionSuiteKey": null
   },
   {
    "TestCaseId": "tc-witness-knowledge_fragments-is_low_confidence",
    "TestKind": "witness-discriminates",
    "Subject": "KnowledgeFragments.IsLowConfidence",
    "TargetTable": "KnowledgeFragments",
    "TargetField": "IsLowConfidence",
    "Assertion": "Reads both TRUE and FALSE across the seed data, so it can distinguish cases.",
    "DefendsQuestion": "q-hr-policy-knowledge-half-life",
    "Suite": "suite-witness",
    "Severity": "advisory",
    "LastOutcome": "PASS",
    "LastDetail": "2 true / 5 false",
    "LastRunAt": "2026-07-20T03:06:49+00:00",
    "SemanticTypeIri": "urn:effortless:pko-extension#TestCase",
    "Name": "witness-discriminates: KnowledgeFragments.IsLowConfidence",
    "IsBlocking": false,
    "IsPassing": true,
    "IsFailing": false,
    "NeedsAttention": false,
    "PassingSuiteKey": "suite-witness",
    "NeedsAttentionSuiteKey": null
   },
   {
    "TestCaseId": "tc-witness-knowledge_fragments-exceeds_owning_cadence",
    "TestKind": "witness-discriminates",
    "Subject": "KnowledgeFragments.ExceedsOwningCadence",
    "TargetTable": "KnowledgeFragments",
    "TargetField": "ExceedsOwningCadence",
    "Assertion": "Reads both TRUE and FALSE across the seed data, so it can distinguish cases.",
    "DefendsQuestion": "q-hr-policy-knowledge-half-life",
    "Suite": "suite-witness",
    "Severity": "advisory",
    "LastOutcome": "WARN",
    "LastDetail": "always true (7/7)",
    "LastRunAt": "2026-07-20T03:06:49+00:00",
    "SemanticTypeIri": "urn:effortless:pko-extension#TestCase",
    "Name": "witness-discriminates: KnowledgeFragments.ExceedsOwningCadence",
    "IsBlocking": false,
    "IsPassing": false,
    "IsFailing": false,
    "NeedsAttention": false,
    "PassingSuiteKey": null,
    "NeedsAttentionSuiteKey": null
   },
   {
    "TestCaseId": "tc-witness-knowledge_fragments-is_aging_low_confidence_claim",
    "TestKind": "witness-discriminates",
    "Subject": "KnowledgeFragments.IsAgingLowConfidenceClaim",
    "TargetTable": "KnowledgeFragments",
    "TargetField": "IsAgingLowConfidenceClaim",
    "Assertion": "Reads both TRUE and FALSE across the seed data, so it can distinguish cases.",
    "DefendsQuestion": "q-hr-policy-knowledge-half-life",
    "Suite": "suite-witness",
    "Severity": "advisory",
    "LastOutcome": "PASS",
    "LastDetail": "2 true / 5 false",
    "LastRunAt": "2026-07-20T03:06:49+00:00",
    "SemanticTypeIri": "urn:effortless:pko-extension#TestCase",
    "Name": "witness-discriminates: KnowledgeFragments.IsAgingLowConfidenceClaim",
    "IsBlocking": false,
    "IsPassing": true,
    "IsFailing": false,
    "NeedsAttention": false,
    "PassingSuiteKey": "suite-witness",
    "NeedsAttentionSuiteKey": null
   },
   {
    "TestCaseId": "tc-witness-knowledge_fragments-is_human_owned",
    "TestKind": "witness-discriminates",
    "Subject": "KnowledgeFragments.IsHumanOwned",
    "TargetTable": "KnowledgeFragments",
    "TargetField": "IsHumanOwned",
    "Assertion": "Reads both TRUE and FALSE across the seed data, so it can distinguish cases.",
    "DefendsQuestion": "q-variance-ai-knowledge-currency",
    "Suite": "suite-witness",
    "Severity": "advisory",
    "LastOutcome": "WARN",
    "LastDetail": "always true (7/7)",
    "LastRunAt": "2026-07-20T03:06:49+00:00",
    "SemanticTypeIri": "urn:effortless:pko-extension#TestCase",
    "Name": "witness-discriminates: KnowledgeFragments.IsHumanOwned",
    "IsBlocking": false,
    "IsPassing": false,
    "IsFailing": false,
    "NeedsAttention": false,
    "PassingSuiteKey": null,
    "NeedsAttentionSuiteKey": null
   },
   {
    "TestCaseId": "tc-witness-knowledge_fragments-is_ai_validated_by_ai",
    "TestKind": "witness-discriminates",
    "Subject": "KnowledgeFragments.IsAiValidatedByAi",
    "TargetTable": "KnowledgeFragments",
    "TargetField": "IsAiValidatedByAi",
    "Assertion": "Reads both TRUE and FALSE across the seed data, so it can distinguish cases.",
    "DefendsQuestion": "q-variance-ai-knowledge-currency",
    "Suite": "suite-witness",
    "Severity": "advisory",
    "LastOutcome": "WARN",
    "LastDetail": "never true (7/7 false)",
    "LastRunAt": "2026-07-20T03:06:49+00:00",
    "SemanticTypeIri": "urn:effortless:pko-extension#TestCase",
    "Name": "witness-discriminates: KnowledgeFragments.IsAiValidatedByAi",
    "IsBlocking": false,
    "IsPassing": false,
    "IsFailing": false,
    "NeedsAttention": false,
    "PassingSuiteKey": null,
    "NeedsAttentionSuiteKey": null
   },
   {
    "TestCaseId": "tc-witness-knowledge_fragments-is_overdue_for_review",
    "TestKind": "witness-discriminates",
    "Subject": "KnowledgeFragments.IsOverdueForReview",
    "TargetTable": "KnowledgeFragments",
    "TargetField": "IsOverdueForReview",
    "Assertion": "Reads both TRUE and FALSE across the seed data, so it can distinguish cases.",
    "DefendsQuestion": "q-variance-ai-knowledge-currency",
    "Suite": "suite-witness",
    "Severity": "advisory",
    "LastOutcome": "PASS",
    "LastDetail": "6 true / 1 false",
    "LastRunAt": "2026-07-20T03:06:49+00:00",
    "SemanticTypeIri": "urn:effortless:pko-extension#TestCase",
    "Name": "witness-discriminates: KnowledgeFragments.IsOverdueForReview",
    "IsBlocking": false,
    "IsPassing": true,
    "IsFailing": false,
    "NeedsAttention": false,
    "PassingSuiteKey": "suite-witness",
    "NeedsAttentionSuiteKey": null
   },
   {
    "TestCaseId": "tc-witness-knowledge_fragments-predates_current_role_holder",
    "TestKind": "witness-discriminates",
    "Subject": "KnowledgeFragments.PredatesCurrentRoleHolder",
    "TargetTable": "KnowledgeFragments",
    "TargetField": "PredatesCurrentRoleHolder",
    "Assertion": "Reads both TRUE and FALSE across the seed data, so it can distinguish cases.",
    "DefendsQuestion": "q-variance-ai-knowledge-currency",
    "Suite": "suite-witness",
    "Severity": "advisory",
    "LastOutcome": "WARN",
    "LastDetail": "never true (7/7 false)",
    "LastRunAt": "2026-07-20T03:06:49+00:00",
    "SemanticTypeIri": "urn:effortless:pko-extension#TestCase",
    "Name": "witness-discriminates: KnowledgeFragments.PredatesCurrentRoleHolder",
    "IsBlocking": false,
    "IsPassing": false,
    "IsFailing": false,
    "NeedsAttention": false,
    "PassingSuiteKey": null,
    "NeedsAttentionSuiteKey": null
   },
   {
    "TestCaseId": "tc-witness-knowledge_fragments-is_compound_fragile",
    "TestKind": "witness-discriminates",
    "Subject": "KnowledgeFragments.IsCompoundFragile",
    "TargetTable": "KnowledgeFragments",
    "TargetField": "IsCompoundFragile",
    "Assertion": "Reads both TRUE and FALSE across the seed data, so it can distinguish cases.",
    "DefendsQuestion": "q2-authority-compound-fragility",
    "Suite": "suite-witness",
    "Severity": "advisory",
    "LastOutcome": "PASS",
    "LastDetail": "1 true / 6 false",
    "LastRunAt": "2026-07-20T03:06:49+00:00",
    "SemanticTypeIri": "urn:effortless:pko-extension#TestCase",
    "Name": "witness-discriminates: KnowledgeFragments.IsCompoundFragile",
    "IsBlocking": false,
    "IsPassing": true,
    "IsFailing": false,
    "NeedsAttention": false,
    "PassingSuiteKey": "suite-witness",
    "NeedsAttentionSuiteKey": null
   },
   {
    "TestCaseId": "tc-witness-knowledge_fragments-is_single_point_of_failure",
    "TestKind": "witness-discriminates",
    "Subject": "KnowledgeFragments.IsSinglePointOfFailure",
    "TargetTable": "KnowledgeFragments",
    "TargetField": "IsSinglePointOfFailure",
    "Assertion": "Reads both TRUE and FALSE across the seed data, so it can distinguish cases.",
    "DefendsQuestion": "q2-authority-compound-fragility",
    "Suite": "suite-witness",
    "Severity": "advisory",
    "LastOutcome": "WARN",
    "LastDetail": "never true (7/7 false)",
    "LastRunAt": "2026-07-20T03:06:49+00:00",
    "SemanticTypeIri": "urn:effortless:pko-extension#TestCase",
    "Name": "witness-discriminates: KnowledgeFragments.IsSinglePointOfFailure",
    "IsBlocking": false,
    "IsPassing": false,
    "IsFailing": false,
    "NeedsAttention": false,
    "PassingSuiteKey": null,
    "NeedsAttentionSuiteKey": null
   },
   {
    "TestCaseId": "tc-witness-knowledge_fragments-is_expiring_single_point_of_failure",
    "TestKind": "witness-discriminates",
    "Subject": "KnowledgeFragments.IsExpiringSinglePointOfFailure",
    "TargetTable": "KnowledgeFragments",
    "TargetField": "IsExpiringSinglePointOfFailure",
    "Assertion": "Reads both TRUE and FALSE across the seed data, so it can distinguish cases.",
    "DefendsQuestion": "q2-authority-compound-fragility",
    "Suite": "suite-witness",
    "Severity": "advisory",
    "LastOutcome": "WARN",
    "LastDetail": "never true (7/7 false)",
    "LastRunAt": "2026-07-20T03:06:49+00:00",
    "SemanticTypeIri": "urn:effortless:pko-extension#TestCase",
    "Name": "witness-discriminates: KnowledgeFragments.IsExpiringSinglePointOfFailure",
    "IsBlocking": false,
    "IsPassing": false,
    "IsFailing": false,
    "NeedsAttention": false,
    "PassingSuiteKey": null,
    "NeedsAttentionSuiteKey": null
   },
   {
    "TestCaseId": "tc-witness-knowledge_fragments-consuming_step_is_software_assigned",
    "TestKind": "witness-discriminates",
    "Subject": "KnowledgeFragments.ConsumingStepIsSoftwareAssigned",
    "TargetTable": "KnowledgeFragments",
    "TargetField": "ConsumingStepIsSoftwareAssigned",
    "Assertion": "Reads both TRUE and FALSE across the seed data, so it can distinguish cases.",
    "DefendsQuestion": "q2-authority-unapproved-knowledge-reaching-machines",
    "Suite": "suite-witness",
    "Severity": "advisory",
    "LastOutcome": "PASS",
    "LastDetail": "6 true / 1 false",
    "LastRunAt": "2026-07-20T03:06:49+00:00",
    "SemanticTypeIri": "urn:effortless:pko-extension#TestCase",
    "Name": "witness-discriminates: KnowledgeFragments.ConsumingStepIsSoftwareAssigned",
    "IsBlocking": false,
    "IsPassing": true,
    "IsFailing": false,
    "NeedsAttention": false,
    "PassingSuiteKey": "suite-witness",
    "NeedsAttentionSuiteKey": null
   },
   {
    "TestCaseId": "tc-witness-knowledge_fragments-is_unapproved_and_machine_consumed",
    "TestKind": "witness-discriminates",
    "Subject": "KnowledgeFragments.IsUnapprovedAndMachineConsumed",
    "TargetTable": "KnowledgeFragments",
    "TargetField": "IsUnapprovedAndMachineConsumed",
    "Assertion": "Reads both TRUE and FALSE across the seed data, so it can distinguish cases.",
    "DefendsQuestion": "q2-authority-unapproved-knowledge-reaching-machines",
    "Suite": "suite-witness",
    "Severity": "advisory",
    "LastOutcome": "PASS",
    "LastDetail": "1 true / 6 false",
    "LastRunAt": "2026-07-20T03:06:49+00:00",
    "SemanticTypeIri": "urn:effortless:pko-extension#TestCase",
    "Name": "witness-discriminates: KnowledgeFragments.IsUnapprovedAndMachineConsumed",
    "IsBlocking": false,
    "IsPassing": true,
    "IsFailing": false,
    "NeedsAttention": false,
    "PassingSuiteKey": "suite-witness",
    "NeedsAttentionSuiteKey": null
   },
   {
    "TestCaseId": "tc-witness-knowledge_fragments-is_unapproved_and_human_consumed",
    "TestKind": "witness-discriminates",
    "Subject": "KnowledgeFragments.IsUnapprovedAndHumanConsumed",
    "TargetTable": "KnowledgeFragments",
    "TargetField": "IsUnapprovedAndHumanConsumed",
    "Assertion": "Reads both TRUE and FALSE across the seed data, so it can distinguish cases.",
    "DefendsQuestion": "q2-authority-unapproved-knowledge-reaching-machines",
    "Suite": "suite-witness",
    "Severity": "advisory",
    "LastOutcome": "WARN",
    "LastDetail": "never true (7/7 false)",
    "LastRunAt": "2026-07-20T03:06:49+00:00",
    "SemanticTypeIri": "urn:effortless:pko-extension#TestCase",
    "Name": "witness-discriminates: KnowledgeFragments.IsUnapprovedAndHumanConsumed",
    "IsBlocking": false,
    "IsPassing": false,
    "IsFailing": false,
    "NeedsAttention": false,
    "PassingSuiteKey": null,
    "NeedsAttentionSuiteKey": null
   },
   {
    "TestCaseId": "tc-witness-knowledge_fragments-has_review_record",
    "TestKind": "witness-discriminates",
    "Subject": "KnowledgeFragments.HasReviewRecord",
    "TargetTable": "KnowledgeFragments",
    "TargetField": "HasReviewRecord",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KnowledgeFragments.HasReviewRecord",
    "IsBlocking": false,
    "IsPassing": true,
    "IsFailing": false,
    "NeedsAttention": false,
    "PassingSuiteKey": "suite-witness",
    "NeedsAttentionSuiteKey": null
   },
   {
    "TestCaseId": "tc-witness-knowledge_fragments-is_unreviewed_since_authoring",
    "TestKind": "witness-discriminates",
    "Subject": "KnowledgeFragments.IsUnreviewedSinceAuthoring",
    "TargetTable": "KnowledgeFragments",
    "TargetField": "IsUnreviewedSinceAuthoring",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KnowledgeFragments.IsUnreviewedSinceAuthoring",
    "IsBlocking": false,
    "IsPassing": true,
    "IsFailing": false,
    "NeedsAttention": false,
    "PassingSuiteKey": "suite-witness",
    "NeedsAttentionSuiteKey": null
   },
   {
    "TestCaseId": "tc-witness-knowledge_fragments-is_genuinely_overdue",
    "TestKind": "witness-discriminates",
    "Subject": "KnowledgeFragments.IsGenuinelyOverdue",
    "TargetTable": "KnowledgeFragments",
    "TargetField": "IsGenuinelyOverdue",
    "Assertion": "Reads both TRUE and FALSE across the seed data, so it can distinguish cases.",
    "DefendsQuestion": "q2-authority-review-date-is-inferred-not-recorded",
    "Suite": "suite-witness",
    "Severity": "advisory",
    "LastOutcome": "WARN",
    "LastDetail": "never true (7/7 false)",
    "LastRunAt": "2026-07-20T03:06:49+00:00",
    "SemanticTypeIri": "urn:effortless:pko-extension#TestCase",
    "Name": "witness-discriminates: KnowledgeFragments.IsGenuinelyOverdue",
    "IsBlocking": false,
    "IsPassing": false,
    "IsFailing": false,
    "NeedsAttention": false,
    "PassingSuiteKey": null,
    "NeedsAttentionSuiteKey": null
   },
   {
    "TestCaseId": "tc-witness-knowledge_fragments-review_recency_is_inferred",
    "TestKind": "witness-discriminates",
    "Subject": "KnowledgeFragments.ReviewRecencyIsInferred",
    "TargetTable": "KnowledgeFragments",
    "TargetField": "ReviewRecencyIsInferred",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KnowledgeFragments.ReviewRecencyIsInferred",
    "IsBlocking": false,
    "IsPassing": true,
    "IsFailing": false,
    "NeedsAttention": false,
    "PassingSuiteKey": "suite-witness",
    "NeedsAttentionSuiteKey": null
   },
   {
    "TestCaseId": "tc-witness-knowledge_fragments-inference_disagrees_with_record",
    "TestKind": "witness-discriminates",
    "Subject": "KnowledgeFragments.InferenceDisagreesWithRecord",
    "TargetTable": "KnowledgeFragments",
    "TargetField": "InferenceDisagreesWithRecord",
    "Assertion": "Reads both TRUE and FALSE across the seed data, so it can distinguish cases.",
    "DefendsQuestion": "q2-authority-review-date-is-inferred-not-recorded",
    "Suite": "suite-witness",
    "Severity": "advisory",
    "LastOutcome": "PASS",
    "LastDetail": "3 true / 4 false",
    "LastRunAt": "2026-07-20T03:06:49+00:00",
    "SemanticTypeIri": "urn:effortless:pko-extension#TestCase",
    "Name": "witness-discriminates: KnowledgeFragments.InferenceDisagreesWithRecord",
    "IsBlocking": false,
    "IsPassing": true,
    "IsFailing": false,
    "NeedsAttention": false,
    "PassingSuiteKey": "suite-witness",
    "NeedsAttentionSuiteKey": null
   },
   {
    "TestCaseId": "tc-witness-knowledge_fragments-is_high_blast_radius_unapproved",
    "TestKind": "witness-discriminates",
    "Subject": "KnowledgeFragments.IsHighBlastRadiusUnapproved",
    "TargetTable": "KnowledgeFragments",
    "TargetField": "IsHighBlastRadiusUnapproved",
    "Assertion": "Reads both TRUE and FALSE across the seed data, so it can distinguish cases.",
    "DefendsQuestion": "q2-hr-my-unapproved-claim-is-load-bearing",
    "Suite": "suite-witness",
    "Severity": "advisory",
    "LastOutcome": "WARN",
    "LastDetail": "never true (7/7 false)",
    "LastRunAt": "2026-07-20T03:06:49+00:00",
    "SemanticTypeIri": "urn:effortless:pko-extension#TestCase",
    "Name": "witness-discriminates: KnowledgeFragments.IsHighBlastRadiusUnapproved",
    "IsBlocking": false,
    "IsPassing": false,
    "IsFailing": false,
    "NeedsAttention": false,
    "PassingSuiteKey": null,
    "NeedsAttentionSuiteKey": null
   },
   {
    "TestCaseId": "tc-witness-knowledge_fragments-is_long_unapproved",
    "TestKind": "witness-discriminates",
    "Subject": "KnowledgeFragments.IsLongUnapproved",
    "TargetTable": "KnowledgeFragments",
    "TargetField": "IsLongUnapproved",
    "Assertion": "Reads both TRUE and FALSE across the seed data, so it can distinguish cases.",
    "DefendsQuestion": "q2-hr-my-unapproved-claim-is-load-bearing",
    "Suite": "suite-witness",
    "Severity": "advisory",
    "LastOutcome": "PASS",
    "LastDetail": "1 true / 6 false",
    "LastRunAt": "2026-07-20T03:06:49+00:00",
    "SemanticTypeIri": "urn:effortless:pko-extension#TestCase",
    "Name": "witness-discriminates: KnowledgeFragments.IsLongUnapproved",
    "IsBlocking": false,
    "IsPassing": true,
    "IsFailing": false,
    "NeedsAttention": false,
    "PassingSuiteKey": "suite-witness",
    "NeedsAttentionSuiteKey": null
   },
   {
    "TestCaseId": "tc-witness-knowledge_fragments-owner_role_is_vacated",
    "TestKind": "witness-discriminates",
    "Subject": "KnowledgeFragments.OwnerRoleIsVacated",
    "TargetTable": "KnowledgeFragments",
    "TargetField": "OwnerRoleIsVacated",
    "Assertion": "Reads both TRUE and FALSE across the seed data, so it can distinguish cases.",
    "DefendsQuestion": "q2-hr-departed-holder-left-claims-behind",
    "Suite": "suite-witness",
    "Severity": "advisory",
    "LastOutcome": "WARN",
    "LastDetail": "never true (7/7 false)",
    "LastRunAt": "2026-07-20T03:06:49+00:00",
    "SemanticTypeIri": "urn:effortless:pko-extension#TestCase",
    "Name": "witness-discriminates: KnowledgeFragments.OwnerRoleIsVacated",
    "IsBlocking": false,
    "IsPassing": false,
    "IsFailing": false,
    "NeedsAttention": false,
    "PassingSuiteKey": null,
    "NeedsAttentionSuiteKey": null
   },
   {
    "TestCaseId": "tc-witness-knowledge_fragments-is_orphaned_by_role",
    "TestKind": "witness-discriminates",
    "Subject": "KnowledgeFragments.IsOrphanedByRole",
    "TargetTable": "KnowledgeFragments",
    "TargetField": "IsOrphanedByRole",
    "Assertion": "Reads both TRUE and FALSE across the seed data, so it can distinguish cases.",
    "DefendsQuestion": "q2-hr-departed-holder-left-claims-behind",
    "Suite": "suite-witness",
    "Severity": "advisory",
    "LastOutcome": "WARN",
    "LastDetail": "never true (7/7 false)",
    "LastRunAt": "2026-07-20T03:06:49+00:00",
    "SemanticTypeIri": "urn:effortless:pko-extension#TestCase",
    "Name": "witness-discriminates: KnowledgeFragments.IsOrphanedByRole",
    "IsBlocking": false,
    "IsPassing": false,
    "IsFailing": false,
    "NeedsAttention": false,
    "PassingSuiteKey": null,
    "NeedsAttentionSuiteKey": null
   },
   {
    "TestCaseId": "tc-witness-knowledge_gaps-is_open",
    "TestKind": "witness-discriminates",
    "Subject": "KnowledgeGaps.IsOpen",
    "TargetTable": "KnowledgeGaps",
    "TargetField": "IsOpen",
    "Assertion": "Reads both TRUE and FALSE across the seed data, so it can distinguish cases.",
    "DefendsQuestion": null,
    "Suite": "suite-witness",
    "Severity": "advisory",
    "LastOutcome": "PASS",
    "LastDetail": "1 true / 7 false",
    "LastRunAt": "2026-07-20T03:06:49+00:00",
    "SemanticTypeIri": "urn:effortless:pko-extension#TestCase",
    "Name": "witness-discriminates: KnowledgeGaps.IsOpen",
    "IsBlocking": false,
    "IsPassing": true,
    "IsFailing": false,
    "NeedsAttention": false,
    "PassingSuiteKey": "suite-witness",
    "NeedsAttentionSuiteKey": null
   },
   {
    "TestCaseId": "tc-witness-knowledge_gaps-is_blocking",
    "TestKind": "witness-discriminates",
    "Subject": "KnowledgeGaps.IsBlocking",
    "TargetTable": "KnowledgeGaps",
    "TargetField": "IsBlocking",
    "Assertion": "Reads both TRUE and FALSE across the seed data, so it can distinguish cases.",
    "DefendsQuestion": "q-steward-published-with-blocking-gap",
    "Suite": "suite-witness",
    "Severity": "advisory",
    "LastOutcome": "PASS",
    "LastDetail": "5 true / 3 false",
    "LastRunAt": "2026-07-20T03:06:49+00:00",
    "SemanticTypeIri": "urn:effortless:pko-extension#TestCase",
    "Name": "witness-discriminates: KnowledgeGaps.IsBlocking",
    "IsBlocking": false,
    "IsPassing": true,
    "IsFailing": false,
    "NeedsAttention": false,
    "PassingSuiteKey": "suite-witness",
    "NeedsAttentionSuiteKey": null
   },
   {
    "TestCaseId": "tc-witness-knowledge_gaps-is_open_and_blocking",
    "TestKind": "witness-discriminates",
    "Subject": "KnowledgeGaps.IsOpenAndBlocking",
    "TargetTable": "KnowledgeGaps",
    "TargetField": "IsOpenAndBlocking",
    "Assertion": "Reads both TRUE and FALSE across the seed data, so it can distinguish cases.",
    "DefendsQuestion": "q-steward-published-with-blocking-gap",
    "Suite": "suite-witness",
    "Severity": "advisory",
    "LastOutcome": "WARN",
    "LastDetail": "never true (8/8 false)",
    "LastRunAt": "2026-07-20T03:06:49+00:00",
    "SemanticTypeIri": "urn:effortless:pko-extension#TestCase",
    "Name": "witness-discriminates: KnowledgeGaps.IsOpenAndBlocking",
    "IsBlocking": false,
    "IsPassing": false,
    "IsFailing": false,
    "NeedsAttention": false,
    "PassingSuiteKey": null,
    "NeedsAttentionSuiteKey": null
   },
   {
    "TestCaseId": "tc-witness-knowledge_gaps-is_overdue_gap",
    "TestKind": "witness-discriminates",
    "Subject": "KnowledgeGaps.IsOverdueGap",
    "TargetTable": "KnowledgeGaps",
    "TargetField": "IsOverdueGap",
    "Assertion": "Reads both TRUE and FALSE across the seed data, so it can distinguish cases.",
    "DefendsQuestion": "q-authority-known-unknowns",
    "Suite": "suite-witness",
    "Severity": "advisory",
    "LastOutcome": "WARN",
    "LastDetail": "never true (8/8 false)",
    "LastRunAt": "2026-07-20T03:06:49+00:00",
    "SemanticTypeIri": "urn:effortless:pko-extension#TestCase",
    "Name": "witness-discriminates: KnowledgeGaps.IsOverdueGap",
    "IsBlocking": false,
    "IsPassing": f</t>
  </si>
  <si>
    <t xml:space="preserve">alse,
    "IsFailing": false,
    "NeedsAttention": false,
    "PassingSuiteKey": null,
    "NeedsAttentionSuiteKey": null
   },
   {
    "TestCaseId": "tc-witness-knowledge_gaps-owner_is_still_engaged",
    "TestKind": "witness-discriminates",
    "Subject": "KnowledgeGaps.OwnerIsStillEngaged",
    "TargetTable": "KnowledgeGaps",
    "TargetField": "OwnerIsStillEngaged",
    "Assertion": "Reads both TRUE and FALSE across the seed data, so it can distinguish cases.",
    "DefendsQuestion": "q-authority-known-unknowns",
    "Suite": "suite-witness",
    "Severity": "advisory",
    "LastOutcome": "WARN",
    "LastDetail": "always true (8/8)",
    "LastRunAt": "2026-07-20T03:06:49+00:00",
    "SemanticTypeIri": "urn:effortless:pko-extension#TestCase",
    "Name": "witness-discriminates: KnowledgeGaps.OwnerIsStillEngaged",
    "IsBlocking": false,
    "IsPassing": false,
    "IsFailing": false,
    "NeedsAttention": false,
    "PassingSuiteKey": null,
    "NeedsAttentionSuiteKey": null
   },
   {
    "TestCaseId": "tc-witness-knowledge_gaps-has_resolution_plan",
    "TestKind": "witness-discriminates",
    "Subject": "KnowledgeGaps.HasResolutionPlan",
    "TargetTable": "KnowledgeGaps",
    "TargetField": "HasResolutionPlan",
    "Assertion": "Reads both TRUE and FALSE across the seed data, so it can distinguish cases.",
    "DefendsQuestion": "q-authority-known-unknowns",
    "Suite": "suite-witness",
    "Severity": "advisory",
    "LastOutcome": "WARN",
    "LastDetail": "always true (8/8)",
    "LastRunAt": "2026-07-20T03:06:49+00:00",
    "SemanticTypeIri": "urn:effortless:pko-extension#TestCase",
    "Name": "witness-discriminates: KnowledgeGaps.HasResolutionPlan",
    "IsBlocking": false,
    "IsPassing": false,
    "IsFailing": false,
    "NeedsAttention": false,
    "PassingSuiteKey": null,
    "NeedsAttentionSuiteKey": null
   },
   {
    "TestCaseId": "tc-witness-knowledge_gaps-is_abandoned_unknown",
    "TestKind": "witness-discriminates",
    "Subject": "KnowledgeGaps.IsAbandonedUnknown",
    "TargetTable": "KnowledgeGaps",
    "TargetField": "IsAbandonedUnknown",
    "Assertion": "Reads both TRUE and FALSE across the seed data, so it can distinguish cases.",
    "DefendsQuestion": "q-authority-known-unknowns",
    "Suite": "suite-witness",
    "Severity": "advisory",
    "LastOutcome": "WARN",
    "LastDetail": "never true (8/8 false)",
    "LastRunAt": "2026-07-20T03:06:49+00:00",
    "SemanticTypeIri": "urn:effortless:pko-extension#TestCase",
    "Name": "witness-discriminates: KnowledgeGaps.IsAbandonedUnknown",
    "IsBlocking": false,
    "IsPassing": false,
    "IsFailing": false,
    "NeedsAttention": false,
    "PassingSuiteKey": null,
    "NeedsAttentionSuiteKey": null
   },
   {
    "TestCaseId": "tc-witness-knowledge_gaps-owner_role_is_vacated",
    "TestKind": "witness-discriminates",
    "Subject": "KnowledgeGaps.OwnerRoleIsVacated",
    "TargetTable": "KnowledgeGaps",
    "TargetField": "OwnerRoleIsVacated",
    "Assertion": "Reads both TRUE and FALSE across the seed data, so it can distinguish cases.",
    "DefendsQuestion": "q2-hr-departed-holder-left-claims-behind",
    "Suite": "suite-witness",
    "Severity": "advisory",
    "LastOutcome": "WARN",
    "LastDetail": "never true (8/8 false)",
    "LastRunAt": "2026-07-20T03:06:49+00:00",
    "SemanticTypeIri": "urn:effortless:pko-extension#TestCase",
    "Name": "witness-discriminates: KnowledgeGaps.OwnerRoleIsVacated",
    "IsBlocking": false,
    "IsPassing": false,
    "IsFailing": false,
    "NeedsAttention": false,
    "PassingSuiteKey": null,
    "NeedsAttentionSuiteKey": null
   },
   {
    "TestCaseId": "tc-witness-knowledge_gaps-is_ownerless_open_gap",
    "TestKind": "witness-discriminates",
    "Subject": "KnowledgeGaps.IsOwnerlessOpenGap",
    "TargetTable": "KnowledgeGaps",
    "TargetField": "IsOwnerlessOpenGap",
    "Assertion": "Reads both TRUE and FALSE across the seed data, so it can distinguish cases.",
    "DefendsQuestion": "q2-hr-departed-holder-left-claims-behind",
    "Suite": "suite-witness",
    "Severity": "advisory",
    "LastOutcome": "WARN",
    "LastDetail": "never true (8/8 false)",
    "LastRunAt": "2026-07-20T03:06:49+00:00",
    "SemanticTypeIri": "urn:effortless:pko-extension#TestCase",
    "Name": "witness-discriminates: KnowledgeGaps.IsOwnerlessOpenGap",
    "IsBlocking": false,
    "IsPassing": false,
    "IsFailing": false,
    "NeedsAttention": false,
    "PassingSuiteKey": null,
    "NeedsAttentionSuiteKey": null
   },
   {
    "TestCaseId": "tc-witness-procedure_executions-is_structurally_complete",
    "TestKind": "witness-discriminates",
    "Subject": "ProcedureExecutions.IsStructurallyComplete",
    "TargetTable": "ProcedureExecutions",
    "TargetField": "IsStructurallyComplete",
    "Assertion": "Reads both TRUE and FALSE across the seed data, so it can distinguish cases.",
    "DefendsQuestion": "q-controller-execution-diverged-from-spec",
    "Suite": "suite-witness",
    "Severity": "advisory",
    "LastOutcome": "PASS",
    "LastDetail": "1 true / 1 false",
    "LastRunAt": "2026-07-20T03:06:49+00:00",
    "SemanticTypeIri": "urn:effortless:pko-extension#TestCase",
    "Name": "witness-discriminates: ProcedureExecutions.IsStructurallyComplete",
    "IsBlocking": false,
    "IsPassing": true,
    "IsFailing": false,
    "NeedsAttention": false,
    "PassingSuiteKey": "suite-witness",
    "NeedsAttentionSuiteKey": null
   },
   {
    "TestCaseId": "tc-witness-procedure_executions-diverged_from_specification",
    "TestKind": "witness-discriminates",
    "Subject": "ProcedureExecutions.DivergedFromSpecification",
    "TargetTable": "ProcedureExecutions",
    "TargetField": "DivergedFromSpecification",
    "Assertion": "Reads both TRUE and FALSE across the seed data, so it can distinguish cases.",
    "DefendsQuestion": "q-controller-execution-diverged-from-spec",
    "Suite": "suite-witness",
    "Severity": "advisory",
    "LastOutcome": "WARN",
    "LastDetail": "always true (2/2)",
    "LastRunAt": "2026-07-20T03:06:49+00:00",
    "SemanticTypeIri": "urn:effortless:pko-extension#TestCase",
    "Name": "witness-discriminates: ProcedureExecutions.DivergedFromSpecification",
    "IsBlocking": false,
    "IsPassing": false,
    "IsFailing": false,
    "NeedsAttention": false,
    "PassingSuiteKey": null,
    "NeedsAttentionSuiteKey": null
   },
   {
    "TestCaseId": "tc-witness-procedure_executions-all_blocking_controls_evaluated",
    "TestKind": "witness-discriminates",
    "Subject": "ProcedureExecutions.AllBlockingControlsEvaluated",
    "TargetTable": "ProcedureExecutions",
    "TargetField": "AllBlockingControlsEvaluated",
    "Assertion": "Reads both TRUE and FALSE across the seed data, so it can distinguish cases.",
    "DefendsQuestion": "q-cfo-can-i-sign",
    "Suite": "suite-witness",
    "Severity": "advisory",
    "LastOutcome": "WARN",
    "LastDetail": "always true (2/2)",
    "LastRunAt": "2026-07-20T03:06:49+00:00",
    "SemanticTypeIri": "urn:effortless:pko-extension#TestCase",
    "Name": "witness-discriminates: ProcedureExecutions.AllBlockingControlsEvaluated",
    "IsBlocking": false,
    "IsPassing": false,
    "IsFailing": false,
    "NeedsAttention": false,
    "PassingSuiteKey": null,
    "NeedsAttentionSuiteKey": null
   },
   {
    "TestCaseId": "tc-witness-procedure_executions-separation_of_duties_held",
    "TestKind": "witness-discriminates",
    "Subject": "ProcedureExecutions.SeparationOfDutiesHeld",
    "TargetTable": "ProcedureExecutions",
    "TargetField": "SeparationOfDutiesHeld",
    "Assertion": "Reads both TRUE and FALSE across the seed data, so it can distinguish cases.",
    "DefendsQuestion": "q-cfo-can-i-sign",
    "Suite": "suite-witness",
    "Severity": "advisory",
    "LastOutcome": "WARN",
    "LastDetail": "always true (2/2)",
    "LastRunAt": "2026-07-20T03:06:49+00:00",
    "SemanticTypeIri": "urn:effortless:pko-extension#TestCase",
    "Name": "witness-discriminates: ProcedureExecutions.SeparationOfDutiesHeld",
    "IsBlocking": false,
    "IsPassing": false,
    "IsFailing": false,
    "NeedsAttention": false,
    "PassingSuiteKey": null,
    "NeedsAttentionSuiteKey": null
   },
   {
    "TestCaseId": "tc-witness-procedure_executions-is_attestation_ready",
    "TestKind": "witness-discriminates",
    "Subject": "ProcedureExecutions.IsAttestationReady",
    "TargetTable": "ProcedureExecutions",
    "TargetField": "IsAttestationReady",
    "Assertion": "Reads both TRUE and FALSE across the seed data, so it can distinguish cases.",
    "DefendsQuestion": "q-cfo-can-i-sign",
    "Suite": "suite-witness",
    "Severity": "advisory",
    "LastOutcome": "WARN",
    "LastDetail": "never true (2/2 false)",
    "LastRunAt": "2026-07-20T03:06:49+00:00",
    "SemanticTypeIri": "urn:effortless:pko-extension#TestCase",
    "Name": "witness-discriminates: ProcedureExecutions.IsAttestationReady",
    "IsBlocking": false,
    "IsPassing": false,
    "IsFailing": false,
    "NeedsAttention": false,
    "PassingSuiteKey": null,
    "NeedsAttentionSuiteKey": null
   },
   {
    "TestCaseId": "tc-witness-procedure_executions-executed_version_is_fit",
    "TestKind": "witness-discriminates",
    "Subject": "ProcedureExecutions.ExecutedVersionIsFit",
    "TargetTable": "ProcedureExecutions",
    "TargetField": "ExecutedVersionIsFit",
    "Assertion": "Reads both TRUE and FALSE across the seed data, so it can distinguish cases.",
    "DefendsQuestion": "q-cfo-approving-on-unfit-version",
    "Suite": "suite-witness",
    "Severity": "advisory",
    "LastOutcome": "WARN",
    "LastDetail": "never true (2/2 false)",
    "LastRunAt": "2026-07-20T03:06:49+00:00",
    "SemanticTypeIri": "urn:effortless:pko-extension#TestCase",
    "Name": "witness-discriminates: ProcedureExecutions.ExecutedVersionIsFit",
    "IsBlocking": false,
    "IsPassing": false,
    "IsFailing": false,
    "NeedsAttention": false,
    "PassingSuiteKey": null,
    "NeedsAttentionSuiteKey": null
   },
   {
    "TestCaseId": "tc-witness-procedure_executions-signed_against_unfit_version",
    "TestKind": "witness-discriminates",
    "Subject": "ProcedureExecutions.SignedAgainstUnfitVersion",
    "TargetTable": "ProcedureExecutions",
    "TargetField": "SignedAgainstUnfitVersion",
    "Assertion": "Reads both TRUE and FALSE across the seed data, so it can distinguish cases.",
    "DefendsQuestion": "q-cfo-approving-on-unfit-version",
    "Suite": "suite-witness",
    "Severity": "advisory",
    "LastOutcome": "PASS",
    "LastDetail": "1 true / 1 false",
    "LastRunAt": "2026-07-20T03:06:49+00:00",
    "SemanticTypeIri": "urn:effortless:pko-extension#TestCase",
    "Name": "witness-discriminates: ProcedureExecutions.SignedAgainstUnfitVersion",
    "IsBlocking": false,
    "IsPassing": true,
    "IsFailing": false,
    "NeedsAttention": false,
    "PassingSuiteKey": "suite-witness",
    "NeedsAttentionSuiteKey": null
   },
   {
    "TestCaseId": "tc-witness-procedure_executions-assurance_is_mostly_asserted",
    "TestKind": "witness-discriminates",
    "Subject": "ProcedureExecutions.AssuranceIsMostlyAsserted",
    "TargetTable": "ProcedureExecutions",
    "TargetField": "AssuranceIsMostlyAsserted",
    "Assertion": "Reads both TRUE and FALSE across the seed data, so it can distinguish cases.",
    "DefendsQuestion": "q-cfo-am-i-being-told-everything",
    "Suite": "suite-witness",
    "Severity": "advisory",
    "LastOutcome": "WARN",
    "LastDetail": "always true (2/2)",
    "LastRunAt": "2026-07-20T03:06:49+00:00",
    "SemanticTypeIri": "urn:effortless:pko-extension#TestCase",
    "Name": "witness-discriminates: ProcedureExecutions.AssuranceIsMostlyAsserted",
    "IsBlocking": false,
    "IsPassing": false,
    "IsFailing": false,
    "NeedsAttention": false,
    "PassingSuiteKey": null,
    "NeedsAttentionSuiteKey": null
   },
   {
    "TestCaseId": "tc-witness-procedure_executions-has_cleared_legal_review",
    "TestKind": "witness-discriminates",
    "Subject": "ProcedureExecutions.HasClearedLegalReview",
    "TargetTable": "ProcedureExecutions",
    "TargetField": "HasClearedLegalReview",
    "Assertion": "Reads both TRUE and FALSE across the seed data, so it can distinguish cases.",
    "DefendsQuestion": "q-counsel-legal-review-gated-send",
    "Suite": "suite-witness",
    "Severity": "advisory",
    "LastOutcome": "PASS",
    "LastDetail": "1 true / 1 false",
    "LastRunAt": "2026-07-20T03:06:49+00:00",
    "SemanticTypeIri": "urn:effortless:pko-extension#TestCase",
    "Name": "witness-discriminates: ProcedureExecutions.HasClearedLegalReview",
    "IsBlocking": false,
    "IsPassing": true,
    "IsFailing": false,
    "NeedsAttention": false,
    "PassingSuiteKey": "suite-witness",
    "NeedsAttentionSuiteKey": null
   },
   {
    "TestCaseId": "tc-witness-procedure_executions-has_abandoned_failures",
    "TestKind": "witness-discriminates",
    "Subject": "ProcedureExecutions.HasAbandonedFailures",
    "TargetTable": "ProcedureExecutions",
    "TargetField": "HasAbandonedFailures",
    "Assertion": "Reads both TRUE and FALSE across the seed data, so it can distinguish cases.",
    "DefendsQuestion": "q-comms-deliverability",
    "Suite": "suite-witness",
    "Severity": "advisory",
    "LastOutcome": "WARN",
    "LastDetail": "never true (2/2 false)",
    "LastRunAt": "2026-07-20T03:06:49+00:00",
    "SemanticTypeIri": "urn:effortless:pko-extension#TestCase",
    "Name": "witness-discriminates: ProcedureExecutions.HasAbandonedFailures",
    "IsBlocking": false,
    "IsPassing": false,
    "IsFailing": false,
    "NeedsAttention": false,
    "PassingSuiteKey": null,
    "NeedsAttentionSuiteKey": null
   },
   {
    "TestCaseId": "tc-witness-procedure_executions-ran_clean",
    "TestKind": "witness-discriminates",
    "Subject": "ProcedureExecutions.RanClean",
    "TargetTable": "ProcedureExecutions",
    "TargetField": "RanClean",
    "Assertion": "Reads both TRUE and FALSE across the seed data, so it can distinguish cases.",
    "DefendsQuestion": "q-close-auto-last-run-clean",
    "Suite": "suite-witness",
    "Severity": "advisory",
    "LastOutcome": "WARN",
    "LastDetail": "never true (2/2 false)",
    "LastRunAt": "2026-07-20T03:06:49+00:00",
    "SemanticTypeIri": "urn:effortless:pko-extension#TestCase",
    "Name": "witness-discriminates: ProcedureExecutions.RanClean",
    "IsBlocking": false,
    "IsPassing": false,
    "IsFailing": false,
    "NeedsAttention": false,
    "PassingSuiteKey": null,
    "NeedsAttentionSuiteKey": null
   },
   {
    "TestCaseId": "tc-witness-procedure_executions-has_human_approval",
    "TestKind": "witness-discriminates",
    "Subject": "ProcedureExecutions.HasHumanApproval",
    "TargetTable": "ProcedureExecutions",
    "TargetField": "HasHumanApproval",
    "Assertion": "Reads both TRUE and FALSE across the seed data, so it can distinguish cases.",
    "DefendsQuestion": "q-hr-what-was-actually-sent",
    "Suite": "suite-witness",
    "Severity": "advisory",
    "LastOutcome": "WARN",
    "LastDetail": "always true (2/2)",
    "LastRunAt": "2026-07-20T03:06:49+00:00",
    "SemanticTypeIri": "urn:effortless:pko-extension#TestCase",
    "Name": "witness-discriminates: ProcedureExecutions.HasHumanApproval",
    "IsBlocking": false,
    "IsPassing": false,
    "IsFailing": false,
    "NeedsAttention": false,
    "PassingSuiteKey": null,
    "NeedsAttentionSuiteKey": null
   },
   {
    "TestCaseId": "tc-witness-procedure_executions-has_delivered",
    "TestKind": "witness-discriminates",
    "Subject": "ProcedureExecutions.HasDelivered",
    "TargetTable": "ProcedureExecutions",
    "TargetField": "HasDelivered",
    "Assertion": "Reads both TRUE and FALSE across the seed data, so it can distinguish cases.",
    "DefendsQuestion": "q-hr-what-was-actually-sent",
    "Suite": "suite-witness",
    "Severity": "advisory",
    "LastOutcome": "WARN",
    "LastDetail": "never true (2/2 false)",
    "LastRunAt": "2026-07-20T03:06:49+00:00",
    "SemanticTypeIri": "urn:effortless:pko-extension#TestCase",
    "Name": "witness-discriminates: ProcedureExecutions.HasDelivered",
    "IsBlocking": false,
    "IsPassing": false,
    "IsFailing": false,
    "NeedsAttention": false,
    "PassingSuiteKey": null,
    "NeedsAttentionSuiteKey": null
   },
   {
    "TestCaseId": "tc-witness-procedure_executions-delivered_without_approval",
    "TestKind": "witness-discriminates",
    "Subject": "ProcedureExecutions.DeliveredWithoutApproval",
    "TargetTable": "ProcedureExecutions",
    "TargetField": "DeliveredWithoutApproval",
    "Assertion": "Reads both TRUE and FALSE across the seed data, so it can distinguish cases.",
    "DefendsQuestion": "q-hr-what-was-actually-sent",
    "Suite": "suite-witness",
    "Severity": "advisory",
    "LastOutcome": "WARN",
    "LastDetail": "never true (2/2 false)",
    "LastRunAt": "2026-07-20T03:06:49+00:00",
    "SemanticTypeIri": "urn:effortless:pko-extension#TestCase",
    "Name": "witness-discriminates: ProcedureExecutions.DeliveredWithoutApproval",
    "IsBlocking": false,
    "IsPassing": false,
    "IsFailing": false,
    "NeedsAttention": false,
    "PassingSuiteKey": null,
    "NeedsAttentionSuiteKey": null
   },
   {
    "TestCaseId": "tc-witness-procedure_executions-approval_chain_is_complete",
    "TestKind": "witness-discriminates",
    "Subject": "ProcedureExecutions.ApprovalChainIsComplete",
    "TargetTable": "ProcedureExecutions",
    "TargetField": "ApprovalChainIsComplete",
    "Assertion": "Reads both TRUE and FALSE across the seed data, so it can distinguish cases.",
    "DefendsQuestion": "q-policy-ai-approval-chain-complete",
    "Suite": "suite-witness",
    "Severity": "advisory",
    "LastOutcome": "WARN",
    "LastDetail": "always true (2/2)",
    "LastRunAt": "2026-07-20T03:06:49+00:00",
    "SemanticTypeIri": "urn:effortless:pko-extension#TestCase",
    "Name": "witness-discriminates: ProcedureExecutions.ApprovalChainIsComplete",
    "IsBlocking": false,
    "IsPassing": false,
    "IsFailing": false,
    "NeedsAttention": false,
    "PassingSuiteKey": null,
    "NeedsAttentionSuiteKey": null
   },
   {
    "TestCaseId": "tc-witness-procedure_executions-separation_was_testable",
    "TestKind": "witness-discriminates",
    "Subject": "ProcedureExecutions.SeparationWasTestable",
    "TargetTable": "ProcedureExecutions",
    "TargetField": "SeparationWasTestable",
    "Assertion": "Reads both TRUE and FALSE across the seed data, so it can distinguish cases.",
    "DefendsQuestion": "q2-ctl-separation-held-or-untested",
    "Suite": "suite-witness",
    "Severity": "advisory",
    "LastOutcome": "PASS",
    "LastDetail": "1 true / 1 false",
    "LastRunAt": "2026-07-20T03:06:49+00:00",
    "SemanticTypeIri": "urn:effortless:pko-extension#TestCase",
    "Name": "witness-discriminates: ProcedureExecutions.SeparationWasTestable",
    "IsBlocking": false,
    "IsPassing": true,
    "IsFailing": false,
    "NeedsAttention": false,
    "PassingSuiteKey": "suite-witness",
    "NeedsAttentionSuiteKey": null
   },
   {
    "TestCaseId": "tc-witness-procedure_executions-separation_held_under_test",
    "TestKind": "witness-discriminates",
    "Subject": "ProcedureExecutions.SeparationHeldUnderTest",
    "TargetTable": "ProcedureExecutions",
    "TargetField": "SeparationHeldUnderTest",
    "Assertion": "Reads both TRUE and FALSE across the seed data, so it can distinguish cases.",
    "DefendsQuestion": "q2-ctl-separation-held-or-untested",
    "Suite": "suite-witness",
    "Severity": "advisory",
    "LastOutcome": "PASS",
    "LastDetail": "1 true / 1 false",
    "LastRunAt": "2026-07-20T03:06:49+00:00",
    "SemanticTypeIri": "urn:effortless:pko-extension#TestCase",
    "Name": "witness-discriminates: ProcedureExecutions.SeparationHeldUnderTest",
    "IsBlocking": false,
    "IsPassing": true,
    "IsFailing": false,
    "NeedsAttention": false,
    "PassingSuiteKey": "suite-witness",
    "NeedsAttentionSuiteKey": null
   },
   {
    "TestCaseId": "tc-witness-procedure_executions-separation_is_vacuously_green",
    "TestKind": "witness-discriminates",
    "Subject": "ProcedureExecutions.SeparationIsVacuouslyGreen",
    "TargetTable": "ProcedureExecutions",
    "TargetField": "SeparationIsVacuouslyGreen",
    "Assertion": "Reads both TRUE and FALSE across the seed data, so it can distinguish cases.",
    "DefendsQuestion": "q2-ctl-separation-held-or-untested",
    "Suite": "suite-witness",
    "Severity": "advisory",
    "LastOutcome": "PASS",
    "LastDetail": "1 true / 1 false",
    "LastRunAt": "2026-07-20T03:06:49+00:00",
    "SemanticTypeIri": "urn:effortless:pko-extension#TestCase",
    "Name": "witness-discriminates: ProcedureExecutions.SeparationIsVacuouslyGreen",
    "IsBlocking": false,
    "IsPassing": true,
    "IsFailing": false,
    "NeedsAttention": false,
    "PassingSuiteKey": "suite-witness",
    "NeedsAttentionSuiteKey": null
   },
   {
    "TestCaseId": "tc-witness-procedure_executions-divergence_was_fully_governed",
    "TestKind": "witness-discriminates",
    "Subject": "ProcedureExecutions.DivergenceWasFullyGoverned",
    "TargetTable": "ProcedureExecutions",
    "TargetField": "DivergenceWasFullyGoverned",
    "Assertion": "Reads both TRUE and FALSE across the seed data, so it can distinguish cases.",
    "DefendsQuestion": "q2-ctl-divergence-that-nobody-governed",
    "Suite": "suite-witness",
    "Severity": "advisory",
    "LastOutcome": "PASS",
    "LastDetail": "1 true / 1 false",
    "LastRunAt": "2026-07-20T03:06:49+00:00",
    "SemanticTypeIri": "urn:effortless:pko-extension#TestCase",
    "Name": "witness-discriminates: ProcedureExecutions.DivergenceWasFullyGoverned",
    "IsBlocking": false,
    "IsPassing": true,
    "IsFailing": false,
    "NeedsAttention": false,
    "PassingSuiteKey": "suite-witness",
    "NeedsAttentionSuiteKey": null
   },
   {
    "TestCaseId": "tc-witness-procedure_executions-attestation_would_be_weakly_based",
    "TestKind": "witness-discriminates",
    "Subject": "ProcedureExecutions.AttestationWouldBeWeaklyBased",
    "TargetTable": "ProcedureExecutions",
    "TargetField": "AttestationWouldBeWeaklyBased",
    "Assertion": "Reads both TRUE and FALSE across the seed data, so it can distinguish cases.",
    "DefendsQuestion": "q2-cfo-quality-of-a-green-attestation",
    "Suite": "suite-witness",
    "Severity": "advisory",
    "LastOutcome": "WARN",
    "LastDetail": "never true (2/2 false)",
    "LastRunAt": "2026-07-20T03:06:49+00:00",
    "SemanticTypeIri": "urn:effortless:pko-extension#TestCase",
    "Name": "witness-discriminates: ProcedureExecutions.AttestationWouldBeWeaklyBased",
    "IsBlocking": false,
    "IsPassing": false,
    "IsFailing": false,
    "NeedsAttention": false,
    "PassingSuiteKey": null,
    "NeedsAttentionSuiteKey": null
   },
   {
    "TestCaseId": "tc-witness-procedure_executions-has_any_independent_observation",
    "TestKind": "witness-discriminates",
    "Subject": "ProcedureExecutions.HasAnyIndependentObservation",
    "TargetTable": "ProcedureExecutions",
    "TargetField": "HasAnyIndependentObservation",
    "Assertion": "Reads both TRUE and FALSE across the seed data, so it can distinguish cases.",
    "DefendsQuestion": "q2-cfo-who-witnessed-the-witnesses",
    "Suite": "suite-witness",
    "Severity": "advisory",
    "LastOutcome": "PASS",
    "LastDetail": "1 true / 1 false",
    "LastRunAt": "2026-07-20T03:06:49+00:00",
    "SemanticTypeIri": "urn:effortless:pko-extension#TestCase",
    "Name": "witness-discriminates: ProcedureExecutions.HasAnyIndependentObservation",
    "IsBlocking": false,
    "IsPassing": true,
    "IsFailing": false,
    "NeedsAttention": false,
    "PassingSuiteKey": "suite-witness",
    "NeedsAttentionSuiteKey": null
   },
   {
    "TestCaseId": "tc-witness-procedure_executions-assurance_chain_is_circular",
    "TestKind": "witness-discriminates",
    "Subject": "ProcedureExecutions.AssuranceChainIsCircular",
    "TargetTable": "ProcedureExecutions",
    "TargetField": "AssuranceChainIsCircular",
    "Assertion": "Reads both TRUE and FALSE across the seed data, so it can distinguish cases.",
    "DefendsQuestion": "q2-cfo-who-witnessed-the-witnesses",
    "Suite": "suite-witness",
    "Severity": "advisory",
    "LastOutcome": "WARN",
    "LastDetail": "never true (2/2 false)",
    "LastRunAt": "2026-07-20T03:06:49+00:00",
    "SemanticTypeIri": "urn:effortless:pko-extension#TestCase",
    "Name": "witness-discriminates: ProcedureExecutions.AssuranceChainIsCircular",
    "IsBlocking": false,
    "IsPassing": false,
    "IsFailing": false,
    "NeedsAttention": false,
    "PassingSuiteKey": null,
    "NeedsAttentionSuiteKey": null
   },
   {
    "TestCaseId": "tc-witness-procedure_executions-has_been_attested",
    "TestKind": "witness-discriminates",
    "Subject": "ProcedureExecutions.HasBeenAttested",
    "TargetTable": "ProcedureExecutions",
    "TargetField": "HasBeenAttested",
    "Assertion": "Reads both TRUE and FALSE across the seed data, so it can distinguish cases.",
    "DefendsQuestion": "q2-cfo-what-changed-since-i-signed",
    "Suite": "suite-witness",
    "Severity": "advisory",
    "LastOutcome": "WARN",
    "LastDetail": "never true (2/2 false)",
    "LastRunAt": "2026-07-20T03:06:49+00:00",
    "SemanticTypeIri": "urn:effortless:pko-extension#TestCase",
    "Name": "witness-discriminates: ProcedureExecutions.HasBeenAttested",
    "IsBlocking": false,
    "IsPassing": false,
    "IsFailing": false,
    "NeedsAttention": false,
    "PassingSuiteKey": null,
    "NeedsAttentionSuiteKey": null
   },
   {
    "TestCaseId": "tc-witness-procedure_executions-basis_changed_after_signature",
    "TestKind": "witness-discriminates",
    "Subject": "ProcedureExecutions.BasisChangedAfterSignature",
    "TargetTable": "ProcedureExecutions",
    "TargetField": "BasisChangedAfterSignature",
    "Assertion": "Reads both TRUE and FALSE across the seed data, so it can distinguish cases.",
    "DefendsQuestion": "q2-cfo-what-changed-since-i-signed",
    "Suite": "suite-witness",
    "Severity": "advisory",
    "LastOutcome": "WARN",
    "LastDetail": "never true (2/2 false)",
    "LastRunAt": "2026-07-20T03:06:49+00:00",
    "SemanticTypeIri": "urn:effortless:pko-extension#TestCase",
    "Name": "witness-discriminates: ProcedureExecutions.BasisChangedAfterSignature",
    "IsBlocking": false,
    "IsPassing": false,
    "IsFailing": false,
    "NeedsAttention": false,
    "PassingSuiteKey": null,
    "NeedsAttentionSuiteKey": null
   },
   {
    "TestCaseId": "tc-witness-procedure_executions-requires_re_attestation",
    "TestKind": "witness-discriminates",
    "Subject": "ProcedureExecutions.RequiresReAttestation",
    "TargetTable": "ProcedureExecutions",
    "TargetField": "RequiresReAttestation",
    "Assertion": "Reads both TRUE and FALSE across the seed data, so it can distinguish cases.",
    "DefendsQuestion": "q2-cfo-what-changed-since-i-signed",
    "Suite": "suite-witness",
    "Severity": "advisory",
    "LastOutcome": "WARN",
    "LastDetail": "never true (2/2 false)",
    "LastRunAt": "2026-07-20T03:06:49+00:00",
    "SemanticTypeIri": "urn:effortless:pko-extension#TestCase",
    "Name": "witness-discriminates: ProcedureExecutions.RequiresReAttestation",
    "IsBlocking": false,
    "IsPassing": false,
    "IsFailing": false,
    "NeedsAttention": false,
    "PassingSuiteKey": null,
    "NeedsAttentionSuiteKey": null
   },
   {
    "TestCaseId": "tc-witness-procedure_executions-campaign_silently_lost_audience",
    "TestKind": "witness-discriminates",
    "Subject": "ProcedureExecutions.CampaignSilentlyLostAudience",
    "TargetTable": "ProcedureExecutions",
    "TargetField": "CampaignSilentlyLostAudience",
    "Assertion": "Reads both TRUE and FALSE across the seed data, so it can distinguish cases.",
    "DefendsQuestion": "q2-comms-approval-to-delivery-yield",
    "Suite": "suite-witness",
    "Severity": "advisory",
    "LastOutcome": "PASS",
    "LastDetail": "1 true / 1 false",
    "LastRunAt": "2026-07-20T03:06:49+00:00",
    "SemanticTypeIri": "urn:effortless:pko-extension#TestCase",
    "Name": "witness-discriminates: ProcedureExecutions.CampaignSilentlyLostAudience",
    "IsBlocking": false,
    "IsPassing": true,
    "IsFailing": false,
    "NeedsAttention": false,
    "PassingSuiteKey": "suite-witness",
    "NeedsAttentionSuiteKey": null
   },
   {
    "TestCaseId": "tc-witness-procedure_executions-has_unrecorded_refusals",
    "TestKind": "witness-discriminates",
    "Subject": "ProcedureExecutions.HasUnrecordedRefusals",
    "TargetTable": "ProcedureExecutions",
    "TargetField": "HasUnrecordedRefusals",
    "Assertion": "Reads both TRUE and FALSE across the seed data, so it can distinguish cases.",
    "DefendsQuestion": "q2-publisher-every-refusal-leaves-a-record",
    "Suite": "suite-witness",
    "Severity": "advisory",
    "LastOutcome": "PASS",
    "LastDetail": "1 true / 1 false",
    "LastRunAt": "2026-07-20T03:06:49+00:00",
    "SemanticTypeIri": "urn:effortless:pko-extension#TestCase",
    "Name": "witness-discriminates: ProcedureExecutions.HasUnrecordedRefusals",
    "IsBlocking": false,
    "IsPassing": true,
    "IsFailing": false,
    "NeedsAttention": false,
    "PassingSuiteKey": "suite-witness",
    "NeedsAttentionSuiteKey": null
   },
   {
    "TestCaseId": "tc-witness-procedure_executions-send_decisions_are_entirely_self_witnessed",
    "TestKind": "witness-discriminates",
    "Subject": "ProcedureExecutions.SendDecisionsAreEntirelySelfWitnessed",
    "TargetTable": "ProcedureExecutions",
    "TargetField": "SendDecisionsAreEntirelySelfWitnessed",
    "Assertion": "Reads both TRUE and FALSE across the seed data, so it can distinguish cases.",
    "DefendsQuestion": "q2-publisher-am-i-the-only-witness",
    "Suite": "suite-witness",
    "Severity": "advisory",
    "LastOutcome": "WARN",
    "LastDetail": "never true (2/2 false)",
    "LastRunAt": "2026-07-20T03:06:49+00:00",
    "SemanticTypeIri": "urn:effortless:pko-extension#TestCase",
    "Name": "witness-discriminates: ProcedureExecutions.SendDecisionsAreEntirelySelfWitnessed",
    "IsBlocking": false,
    "IsPassing": false,
    "IsFailing": false,
    "NeedsAttention": false,
    "PassingSuiteKey": null,
    "NeedsAttentionSuiteKey": null
   },
   {
    "TestCaseId": "tc-witness-step_executions-is_late",
    "TestKind": "witness-discriminates",
    "Subject": "StepExecutions.IsLate",
    "TargetTable": "StepExecutions",
    "TargetField": "IsLate",
    "Assertion": "Reads both TRUE and FALSE across the seed data, so it can distinguish cases.",
    "DefendsQuestion": null,
    "Suite": "suite-witness",
    "Severity": "advisory",
    "LastOutcome": "PASS",
    "LastDetail": "7 true / 5 false",
    "LastRunAt": "2026-07-20T03:06:49+00:00",
    "SemanticTypeIri": "urn:effortless:pko-extension#TestCase",
    "Name": "witness-discriminates: StepExecutions.IsLate",
    "IsBlocking": false,
    "IsPassing": true,
    "IsFailing": false,
    "NeedsAttention": false,
    "PassingSuiteKey": "suite-witness",
    "NeedsAttentionSuiteKey": null
   },
   {
    "TestCaseId": "tc-witness-step_executions-proceeded_past_blocking_control",
    "TestKind": "witness-discriminates",
    "Subject": "StepExecutions.ProceededPastBlockingControl",
    "TargetTable": "StepExecutions",
    "TargetField": "ProceededPastBlockingControl",
    "Assertion": "Reads both TRUE and FALSE across the seed data, so it can distinguish cases.",
    "DefendsQuestion": "q-analyst-blocking-unmet-on-my-step",
    "Suite": "suite-witness",
    "Severity": "advisory",
    "LastOutcome": "PASS",
    "LastDetail": "1 true / 11 false",
    "LastRunAt": "2026-07-20T03:06:49+00:00",
    "SemanticTypeIri": "urn:effortless:pko-extension#TestCase",
    "Name": "witness-discriminates: StepExecutions.ProceededPastBlockingControl",
    "IsBlocking": false,
    "IsPassing": true,
    "IsFailing": false,
    "NeedsAttention": false,
    "PassingSuiteKey": "suite-witness",
    "NeedsAttentionSuiteKey": null
   },
   {
    "TestCaseId": "tc-witness-step_executions-has_unevaluated_blocking_control",
    "TestKind": "witness-discriminates",
    "Subject": "StepExecutions.HasUnevaluatedBlockingControl",
    "TargetTable": "StepExecutions",
    "TargetField": "HasUnevaluatedBlockingControl",
    "Assertion": "Reads both TRUE and FALSE across the seed data, so it can distinguish cases.",
    "DefendsQuestion": "q-analyst-blocking-never-evaluated",
    "Suite": "suite-witness",
    "Severity": "advisory",
    "LastOutcome": "WARN",
    "LastDetail": "never true (12/12 false)",
    "LastRunAt": "2026-07-20T03:06:49+00:00",
    "SemanticTypeIri": "urn:effortless:pko-ext</t>
  </si>
  <si>
    <t xml:space="preserve">ension#TestCase",
    "Name": "witness-discriminates: StepExecutions.HasUnevaluatedBlockingControl",
    "IsBlocking": false,
    "IsPassing": false,
    "IsFailing": false,
    "NeedsAttention": false,
    "PassingSuiteKey": null,
    "NeedsAttentionSuiteKey": null
   },
   {
    "TestCaseId": "tc-witness-step_executions-ran_on_stale_authoritative_source",
    "TestKind": "witness-discriminates",
    "Subject": "StepExecutions.RanOnStaleAuthoritativeSource",
    "TargetTable": "StepExecutions",
    "TargetField": "RanOnStaleAuthoritativeSource",
    "Assertion": "Reads both TRUE and FALSE across the seed data, so it can distinguish cases.",
    "DefendsQuestion": "q-analyst-evidence-binding-stale",
    "Suite": "suite-witness",
    "Severity": "advisory",
    "LastOutcome": "PASS",
    "LastDetail": "2 true / 10 false",
    "LastRunAt": "2026-07-20T03:06:49+00:00",
    "SemanticTypeIri": "urn:effortless:pko-extension#TestCase",
    "Name": "witness-discriminates: StepExecutions.RanOnStaleAuthoritativeSource",
    "IsBlocking": false,
    "IsPassing": true,
    "IsFailing": false,
    "NeedsAttention": false,
    "PassingSuiteKey": "suite-witness",
    "NeedsAttentionSuiteKey": null
   },
   {
    "TestCaseId": "tc-witness-step_executions-has_deviation_note",
    "TestKind": "witness-discriminates",
    "Subject": "StepExecutions.HasDeviationNote",
    "TargetTable": "StepExecutions",
    "TargetField": "HasDeviationNote",
    "Assertion": "Reads both TRUE and FALSE across the seed data, so it can distinguish cases.",
    "DefendsQuestion": "q-analyst-my-late-steps-unexplained",
    "Suite": "suite-witness",
    "Severity": "advisory",
    "LastOutcome": "PASS",
    "LastDetail": "4 true / 8 false",
    "LastRunAt": "2026-07-20T03:06:49+00:00",
    "SemanticTypeIri": "urn:effortless:pko-extension#TestCase",
    "Name": "witness-discriminates: StepExecutions.HasDeviationNote",
    "IsBlocking": false,
    "IsPassing": true,
    "IsFailing": false,
    "NeedsAttention": false,
    "PassingSuiteKey": "suite-witness",
    "NeedsAttentionSuiteKey": null
   },
   {
    "TestCaseId": "tc-witness-step_executions-is_late_and_unexplained",
    "TestKind": "witness-discriminates",
    "Subject": "StepExecutions.IsLateAndUnexplained",
    "TargetTable": "StepExecutions",
    "TargetField": "IsLateAndUnexplained",
    "Assertion": "Reads both TRUE and FALSE across the seed data, so it can distinguish cases.",
    "DefendsQuestion": "q-analyst-my-late-steps-unexplained",
    "Suite": "suite-witness",
    "Severity": "advisory",
    "LastOutcome": "PASS",
    "LastDetail": "3 true / 9 false",
    "LastRunAt": "2026-07-20T03:06:49+00:00",
    "SemanticTypeIri": "urn:effortless:pko-extension#TestCase",
    "Name": "witness-discriminates: StepExecutions.IsLateAndUnexplained",
    "IsBlocking": false,
    "IsPassing": true,
    "IsFailing": false,
    "NeedsAttention": false,
    "PassingSuiteKey": "suite-witness",
    "NeedsAttentionSuiteKey": null
   },
   {
    "TestCaseId": "tc-witness-step_executions-had_uninvoked_exception_available",
    "TestKind": "witness-discriminates",
    "Subject": "StepExecutions.HadUninvokedExceptionAvailable",
    "TargetTable": "StepExecutions",
    "TargetField": "HadUninvokedExceptionAvailable",
    "Assertion": "Reads both TRUE and FALSE across the seed data, so it can distinguish cases.",
    "DefendsQuestion": "q-analyst-my-late-steps-unexplained",
    "Suite": "suite-witness",
    "Severity": "advisory",
    "LastOutcome": "WARN",
    "LastDetail": "never true (12/12 false)",
    "LastRunAt": "2026-07-20T03:06:49+00:00",
    "SemanticTypeIri": "urn:effortless:pko-extension#TestCase",
    "Name": "witness-discriminates: StepExecutions.HadUninvokedExceptionAvailable",
    "IsBlocking": false,
    "IsPassing": false,
    "IsFailing": false,
    "NeedsAttention": false,
    "PassingSuiteKey": null,
    "NeedsAttentionSuiteKey": null
   },
   {
    "TestCaseId": "tc-witness-step_executions-has_skipped_verification",
    "TestKind": "witness-discriminates",
    "Subject": "StepExecutions.HasSkippedVerification",
    "TargetTable": "StepExecutions",
    "TargetField": "HasSkippedVerification",
    "Assertion": "Reads both TRUE and FALSE across the seed data, so it can distinguish cases.",
    "DefendsQuestion": "q-analyst-verification-declared-never-performed",
    "Suite": "suite-witness",
    "Severity": "advisory",
    "LastOutcome": "PASS",
    "LastDetail": "3 true / 9 false",
    "LastRunAt": "2026-07-20T03:06:49+00:00",
    "SemanticTypeIri": "urn:effortless:pko-extension#TestCase",
    "Name": "witness-discriminates: StepExecutions.HasSkippedVerification",
    "IsBlocking": false,
    "IsPassing": true,
    "IsFailing": false,
    "NeedsAttention": false,
    "PassingSuiteKey": "suite-witness",
    "NeedsAttentionSuiteKey": null
   },
   {
    "TestCaseId": "tc-witness-step_executions-claims_pass_without_evidence",
    "TestKind": "witness-discriminates",
    "Subject": "StepExecutions.ClaimsPassWithoutEvidence",
    "TargetTable": "StepExecutions",
    "TargetField": "ClaimsPassWithoutEvidence",
    "Assertion": "Reads both TRUE and FALSE across the seed data, so it can distinguish cases.",
    "DefendsQuestion": "q-analyst-verification-declared-never-performed",
    "Suite": "suite-witness",
    "Severity": "advisory",
    "LastOutcome": "PASS",
    "LastDetail": "3 true / 9 false",
    "LastRunAt": "2026-07-20T03:06:49+00:00",
    "SemanticTypeIri": "urn:effortless:pko-extension#TestCase",
    "Name": "witness-discriminates: StepExecutions.ClaimsPassWithoutEvidence",
    "IsBlocking": false,
    "IsPassing": true,
    "IsFailing": false,
    "NeedsAttention": false,
    "PassingSuiteKey": "suite-witness",
    "NeedsAttentionSuiteKey": null
   },
   {
    "TestCaseId": "tc-witness-step_executions-step_is_preparation",
    "TestKind": "witness-discriminates",
    "Subject": "StepExecutions.StepIsPreparation",
    "TargetTable": "StepExecutions",
    "TargetField": "StepIsPreparation",
    "Assertion": "Reads both TRUE and FALSE across the seed data, so it can distinguish cases.",
    "DefendsQuestion": "q-controller-separation-of-duties",
    "Suite": "suite-witness",
    "Severity": "advisory",
    "LastOutcome": "PASS",
    "LastDetail": "2 true / 10 false",
    "LastRunAt": "2026-07-20T03:06:49+00:00",
    "SemanticTypeIri": "urn:effortless:pko-extension#TestCase",
    "Name": "witness-discriminates: StepExecutions.StepIsPreparation",
    "IsBlocking": false,
    "IsPassing": true,
    "IsFailing": false,
    "NeedsAttention": false,
    "PassingSuiteKey": "suite-witness",
    "NeedsAttentionSuiteKey": null
   },
   {
    "TestCaseId": "tc-witness-step_executions-step_is_approval",
    "TestKind": "witness-discriminates",
    "Subject": "StepExecutions.StepIsApproval",
    "TargetTable": "StepExecutions",
    "TargetField": "StepIsApproval",
    "Assertion": "Reads both TRUE and FALSE across the seed data, so it can distinguish cases.",
    "DefendsQuestion": "q-controller-separation-of-duties",
    "Suite": "suite-witness",
    "Severity": "advisory",
    "LastOutcome": "PASS",
    "LastDetail": "2 true / 10 false",
    "LastRunAt": "2026-07-20T03:06:49+00:00",
    "SemanticTypeIri": "urn:effortless:pko-extension#TestCase",
    "Name": "witness-discriminates: StepExecutions.StepIsApproval",
    "IsBlocking": false,
    "IsPassing": true,
    "IsFailing": false,
    "NeedsAttention": false,
    "PassingSuiteKey": "suite-witness",
    "NeedsAttentionSuiteKey": null
   },
   {
    "TestCaseId": "tc-witness-step_executions-violates_separation_of_duties",
    "TestKind": "witness-discriminates",
    "Subject": "StepExecutions.ViolatesSeparationOfDuties",
    "TargetTable": "StepExecutions",
    "TargetField": "ViolatesSeparationOfDuties",
    "Assertion": "Reads both TRUE and FALSE across the seed data, so it can distinguish cases.",
    "DefendsQuestion": "q-controller-separation-of-duties",
    "Suite": "suite-witness",
    "Severity": "advisory",
    "LastOutcome": "WARN",
    "LastDetail": "never true (12/12 false)",
    "LastRunAt": "2026-07-20T03:06:49+00:00",
    "SemanticTypeIri": "urn:effortless:pko-extension#TestCase",
    "Name": "witness-discriminates: StepExecutions.ViolatesSeparationOfDuties",
    "IsBlocking": false,
    "IsPassing": false,
    "IsFailing": false,
    "NeedsAttention": false,
    "PassingSuiteKey": null,
    "NeedsAttentionSuiteKey": null
   },
   {
    "TestCaseId": "tc-witness-step_executions-executor_held_required_role",
    "TestKind": "witness-discriminates",
    "Subject": "StepExecutions.ExecutorHeldRequiredRole",
    "TargetTable": "StepExecutions",
    "TargetField": "ExecutorHeldRequiredRole",
    "Assertion": "Reads both TRUE and FALSE across the seed data, so it can distinguish cases.",
    "DefendsQuestion": "q-controller-approval-authority-valid",
    "Suite": "suite-witness",
    "Severity": "advisory",
    "LastOutcome": "WARN",
    "LastDetail": "always true (12/12)",
    "LastRunAt": "2026-07-20T03:06:49+00:00",
    "SemanticTypeIri": "urn:effortless:pko-extension#TestCase",
    "Name": "witness-discriminates: StepExecutions.ExecutorHeldRequiredRole",
    "IsBlocking": false,
    "IsPassing": false,
    "IsFailing": false,
    "NeedsAttention": false,
    "PassingSuiteKey": null,
    "NeedsAttentionSuiteKey": null
   },
   {
    "TestCaseId": "tc-witness-step_executions-is_unauthorized_approval",
    "TestKind": "witness-discriminates",
    "Subject": "StepExecutions.IsUnauthorizedApproval",
    "TargetTable": "StepExecutions",
    "TargetField": "IsUnauthorizedApproval",
    "Assertion": "Reads both TRUE and FALSE across the seed data, so it can distinguish cases.",
    "DefendsQuestion": "q-controller-approval-authority-valid",
    "Suite": "suite-witness",
    "Severity": "advisory",
    "LastOutcome": "WARN",
    "LastDetail": "never true (12/12 false)",
    "LastRunAt": "2026-07-20T03:06:49+00:00",
    "SemanticTypeIri": "urn:effortless:pko-extension#TestCase",
    "Name": "witness-discriminates: StepExecutions.IsUnauthorizedApproval",
    "IsBlocking": false,
    "IsPassing": false,
    "IsFailing": false,
    "NeedsAttention": false,
    "PassingSuiteKey": null,
    "NeedsAttentionSuiteKey": null
   },
   {
    "TestCaseId": "tc-witness-step_executions-executor_is_human",
    "TestKind": "witness-discriminates",
    "Subject": "StepExecutions.ExecutorIsHuman",
    "TargetTable": "StepExecutions",
    "TargetField": "ExecutorIsHuman",
    "Assertion": "Reads both TRUE and FALSE across the seed data, so it can distinguish cases.",
    "DefendsQuestion": "q-controller-ai-agent-approved-meaning",
    "Suite": "suite-witness",
    "Severity": "advisory",
    "LastOutcome": "PASS",
    "LastDetail": "7 true / 5 false",
    "LastRunAt": "2026-07-20T03:06:49+00:00",
    "SemanticTypeIri": "urn:effortless:pko-extension#TestCase",
    "Name": "witness-discriminates: StepExecutions.ExecutorIsHuman",
    "IsBlocking": false,
    "IsPassing": true,
    "IsFailing": false,
    "NeedsAttention": false,
    "PassingSuiteKey": "suite-witness",
    "NeedsAttentionSuiteKey": null
   },
   {
    "TestCaseId": "tc-witness-step_executions-step_requires_human_confirmation",
    "TestKind": "witness-discriminates",
    "Subject": "StepExecutions.StepRequiresHumanConfirmation",
    "TargetTable": "StepExecutions",
    "TargetField": "StepRequiresHumanConfirmation",
    "Assertion": "Reads both TRUE and FALSE across the seed data, so it can distinguish cases.",
    "DefendsQuestion": "q-controller-ai-agent-approved-meaning",
    "Suite": "suite-witness",
    "Severity": "advisory",
    "LastOutcome": "PASS",
    "LastDetail": "3 true / 9 false",
    "LastRunAt": "2026-07-20T03:06:49+00:00",
    "SemanticTypeIri": "urn:effortless:pko-extension#TestCase",
    "Name": "witness-discriminates: StepExecutions.StepRequiresHumanConfirmation",
    "IsBlocking": false,
    "IsPassing": true,
    "IsFailing": false,
    "NeedsAttention": false,
    "PassingSuiteKey": "suite-witness",
    "NeedsAttentionSuiteKey": null
   },
   {
    "TestCaseId": "tc-witness-step_executions-non_human_ran_human_step",
    "TestKind": "witness-discriminates",
    "Subject": "StepExecutions.NonHumanRanHumanStep",
    "TargetTable": "StepExecutions",
    "TargetField": "NonHumanRanHumanStep",
    "Assertion": "Reads both TRUE and FALSE across the seed data, so it can distinguish cases.",
    "DefendsQuestion": "q-controller-ai-agent-approved-meaning",
    "Suite": "suite-witness",
    "Severity": "advisory",
    "LastOutcome": "WARN",
    "LastDetail": "never true (12/12 false)",
    "LastRunAt": "2026-07-20T03:06:49+00:00",
    "SemanticTypeIri": "urn:effortless:pko-extension#TestCase",
    "Name": "witness-discriminates: StepExecutions.NonHumanRanHumanStep",
    "IsBlocking": false,
    "IsPassing": false,
    "IsFailing": false,
    "NeedsAttention": false,
    "PassingSuiteKey": null,
    "NeedsAttentionSuiteKey": null
   },
   {
    "TestCaseId": "tc-witness-step_executions-non_human_approval",
    "TestKind": "witness-discriminates",
    "Subject": "StepExecutions.NonHumanApproval",
    "TargetTable": "StepExecutions",
    "TargetField": "NonHumanApproval",
    "Assertion": "Reads both TRUE and FALSE across the seed data, so it can distinguish cases.",
    "DefendsQuestion": "q-controller-ai-agent-approved-meaning",
    "Suite": "suite-witness",
    "Severity": "advisory",
    "LastOutcome": "WARN",
    "LastDetail": "never true (12/12 false)",
    "LastRunAt": "2026-07-20T03:06:49+00:00",
    "SemanticTypeIri": "urn:effortless:pko-extension#TestCase",
    "Name": "witness-discriminates: StepExecutions.NonHumanApproval",
    "IsBlocking": false,
    "IsPassing": false,
    "IsFailing": false,
    "NeedsAttention": false,
    "PassingSuiteKey": null,
    "NeedsAttentionSuiteKey": null
   },
   {
    "TestCaseId": "tc-witness-step_executions-approval_rests_on_self_attestation",
    "TestKind": "witness-discriminates",
    "Subject": "StepExecutions.ApprovalRestsOnSelfAttestation",
    "TargetTable": "StepExecutions",
    "TargetField": "ApprovalRestsOnSelfAttestation",
    "Assertion": "Reads both TRUE and FALSE across the seed data, so it can distinguish cases.",
    "DefendsQuestion": "q-cfo-approval-was-actually-verified",
    "Suite": "suite-witness",
    "Severity": "advisory",
    "LastOutcome": "PASS",
    "LastDetail": "2 true / 10 false",
    "LastRunAt": "2026-07-20T03:06:49+00:00",
    "SemanticTypeIri": "urn:effortless:pko-extension#TestCase",
    "Name": "witness-discriminates: StepExecutions.ApprovalRestsOnSelfAttestation",
    "IsBlocking": false,
    "IsPassing": true,
    "IsFailing": false,
    "NeedsAttention": false,
    "PassingSuiteKey": "suite-witness",
    "NeedsAttentionSuiteKey": null
   },
   {
    "TestCaseId": "tc-witness-step_executions-ran_under_exception",
    "TestKind": "witness-discriminates",
    "Subject": "StepExecutions.RanUnderException",
    "TargetTable": "StepExecutions",
    "TargetField": "RanUnderException",
    "Assertion": "Reads both TRUE and FALSE across the seed data, so it can distinguish cases.",
    "DefendsQuestion": "q-cfo-who-actually-held-authority",
    "Suite": "suite-witness",
    "Severity": "advisory",
    "LastOutcome": "PASS",
    "LastDetail": "1 true / 11 false",
    "LastRunAt": "2026-07-20T03:06:49+00:00",
    "SemanticTypeIri": "urn:effortless:pko-extension#TestCase",
    "Name": "witness-discriminates: StepExecutions.RanUnderException",
    "IsBlocking": false,
    "IsPassing": true,
    "IsFailing": false,
    "NeedsAttention": false,
    "PassingSuiteKey": "suite-witness",
    "NeedsAttentionSuiteKey": null
   },
   {
    "TestCaseId": "tc-witness-step_executions-is_completed",
    "TestKind": "witness-discriminates",
    "Subject": "StepExecutions.IsCompleted",
    "TargetTable": "StepExecutions",
    "TargetField": "IsCompleted",
    "Assertion": "Reads both TRUE and FALSE across the seed data, so it can distinguish cases.",
    "DefendsQuestion": "q-steward-untested-fallbacks",
    "Suite": "suite-witness",
    "Severity": "advisory",
    "LastOutcome": "WARN",
    "LastDetail": "always true (12/12)",
    "LastRunAt": "2026-07-20T03:06:49+00:00",
    "SemanticTypeIri": "urn:effortless:pko-extension#TestCase",
    "Name": "witness-discriminates: StepExecutions.IsCompleted",
    "IsBlocking": false,
    "IsPassing": false,
    "IsFailing": false,
    "NeedsAttention": false,
    "PassingSuiteKey": null,
    "NeedsAttentionSuiteKey": null
   },
   {
    "TestCaseId": "tc-witness-step_executions-is_verification_passed",
    "TestKind": "witness-discriminates",
    "Subject": "StepExecutions.IsVerificationPassed",
    "TargetTable": "StepExecutions",
    "TargetField": "IsVerificationPassed",
    "Assertion": "Reads both TRUE and FALSE across the seed data, so it can distinguish cases.",
    "DefendsQuestion": "q-counsel-legal-review-gated-send",
    "Suite": "suite-witness",
    "Severity": "advisory",
    "LastOutcome": "PASS",
    "LastDetail": "11 true / 1 false",
    "LastRunAt": "2026-07-20T03:06:49+00:00",
    "SemanticTypeIri": "urn:effortless:pko-extension#TestCase",
    "Name": "witness-discriminates: StepExecutions.IsVerificationPassed",
    "IsBlocking": false,
    "IsPassing": true,
    "IsFailing": false,
    "NeedsAttention": false,
    "PassingSuiteKey": "suite-witness",
    "NeedsAttentionSuiteKey": null
   },
   {
    "TestCaseId": "tc-witness-step_executions-is_legal_review_step",
    "TestKind": "witness-discriminates",
    "Subject": "StepExecutions.IsLegalReviewStep",
    "TargetTable": "StepExecutions",
    "TargetField": "IsLegalReviewStep",
    "Assertion": "Reads both TRUE and FALSE across the seed data, so it can distinguish cases.",
    "DefendsQuestion": "q-counsel-legal-review-gated-send",
    "Suite": "suite-witness",
    "Severity": "advisory",
    "LastOutcome": "PASS",
    "LastDetail": "1 true / 11 false",
    "LastRunAt": "2026-07-20T03:06:49+00:00",
    "SemanticTypeIri": "urn:effortless:pko-extension#TestCase",
    "Name": "witness-discriminates: StepExecutions.IsLegalReviewStep",
    "IsBlocking": false,
    "IsPassing": true,
    "IsFailing": false,
    "NeedsAttention": false,
    "PassingSuiteKey": "suite-witness",
    "NeedsAttentionSuiteKey": null
   },
   {
    "TestCaseId": "tc-witness-step_executions-executor_is_designated_agent",
    "TestKind": "witness-discriminates",
    "Subject": "StepExecutions.ExecutorIsDesignatedAgent",
    "TargetTable": "StepExecutions",
    "TargetField": "ExecutorIsDesignatedAgent",
    "Assertion": "Reads both TRUE and FALSE across the seed data, so it can distinguish cases.",
    "DefendsQuestion": "q-close-auto-authority-current",
    "Suite": "suite-witness",
    "Severity": "advisory",
    "LastOutcome": "WARN",
    "LastDetail": "always true (12/12)",
    "LastRunAt": "2026-07-20T03:06:49+00:00",
    "SemanticTypeIri": "urn:effortless:pko-extension#TestCase",
    "Name": "witness-discriminates: StepExecutions.ExecutorIsDesignatedAgent",
    "IsBlocking": false,
    "IsPassing": false,
    "IsFailing": false,
    "NeedsAttention": false,
    "PassingSuiteKey": null,
    "NeedsAttentionSuiteKey": null
   },
   {
    "TestCaseId": "tc-witness-step_executions-inputs_were_fresh_at_run",
    "TestKind": "witness-discriminates",
    "Subject": "StepExecutions.InputsWereFreshAtRun",
    "TargetTable": "StepExecutions",
    "TargetField": "InputsWereFreshAtRun",
    "Assertion": "Reads both TRUE and FALSE across the seed data, so it can distinguish cases.",
    "DefendsQuestion": "q-close-auto-input-freshness",
    "Suite": "suite-witness",
    "Severity": "advisory",
    "LastOutcome": "PASS",
    "LastDetail": "10 true / 2 false",
    "LastRunAt": "2026-07-20T03:06:49+00:00",
    "SemanticTypeIri": "urn:effortless:pko-extension#TestCase",
    "Name": "witness-discriminates: StepExecutions.InputsWereFreshAtRun",
    "IsBlocking": false,
    "IsPassing": true,
    "IsFailing": false,
    "NeedsAttention": false,
    "PassingSuiteKey": "suite-witness",
    "NeedsAttentionSuiteKey": null
   },
   {
    "TestCaseId": "tc-witness-step_executions-ran_on_stale_inputs",
    "TestKind": "witness-discriminates",
    "Subject": "StepExecutions.RanOnStaleInputs",
    "TargetTable": "StepExecutions",
    "TargetField": "RanOnStaleInputs",
    "Assertion": "Reads both TRUE and FALSE across the seed data, so it can distinguish cases.",
    "DefendsQuestion": "q-close-auto-input-freshness",
    "Suite": "suite-witness",
    "Severity": "advisory",
    "LastOutcome": "PASS",
    "LastDetail": "2 true / 10 false",
    "LastRunAt": "2026-07-20T03:06:49+00:00",
    "SemanticTypeIri": "urn:effortless:pko-extension#TestCase",
    "Name": "witness-discriminates: StepExecutions.RanOnStaleInputs",
    "IsBlocking": false,
    "IsPassing": true,
    "IsFailing": false,
    "NeedsAttention": false,
    "PassingSuiteKey": "suite-witness",
    "NeedsAttentionSuiteKey": null
   },
   {
    "TestCaseId": "tc-witness-step_executions-has_deviation",
    "TestKind": "witness-discriminates",
    "Subject": "StepExecutions.HasDeviation",
    "TargetTable": "StepExecutions",
    "TargetField": "HasDeviation",
    "Assertion": "Reads both TRUE and FALSE across the seed data, so it can distinguish cases.",
    "DefendsQuestion": "q-close-auto-last-run-clean",
    "Suite": "suite-witness",
    "Severity": "advisory",
    "LastOutcome": "PASS",
    "LastDetail": "4 true / 8 false",
    "LastRunAt": "2026-07-20T03:06:49+00:00",
    "SemanticTypeIri": "urn:effortless:pko-extension#TestCase",
    "Name": "witness-discriminates: StepExecutions.HasDeviation",
    "IsBlocking": false,
    "IsPassing": true,
    "IsFailing": false,
    "NeedsAttention": false,
    "PassingSuiteKey": "suite-witness",
    "NeedsAttentionSuiteKey": null
   },
   {
    "TestCaseId": "tc-witness-step_executions-is_clean",
    "TestKind": "witness-discriminates",
    "Subject": "StepExecutions.IsClean",
    "TargetTable": "StepExecutions",
    "TargetField": "IsClean",
    "Assertion": "Reads both TRUE and FALSE across the seed data, so it can distinguish cases.",
    "DefendsQuestion": "q-close-auto-last-run-clean",
    "Suite": "suite-witness",
    "Severity": "advisory",
    "LastOutcome": "PASS",
    "LastDetail": "5 true / 7 false",
    "LastRunAt": "2026-07-20T03:06:49+00:00",
    "SemanticTypeIri": "urn:effortless:pko-extension#TestCase",
    "Name": "witness-discriminates: StepExecutions.IsClean",
    "IsBlocking": false,
    "IsPassing": true,
    "IsFailing": false,
    "NeedsAttention": false,
    "PassingSuiteKey": "suite-witness",
    "NeedsAttentionSuiteKey": null
   },
   {
    "TestCaseId": "tc-witness-step_executions-has_unevaluated_blocking_requirement",
    "TestKind": "witness-discriminates",
    "Subject": "StepExecutions.HasUnevaluatedBlockingRequirement",
    "TargetTable": "StepExecutions",
    "TargetField": "HasUnevaluatedBlockingRequirement",
    "Assertion": "Reads both TRUE and FALSE across the seed data, so it can distinguish cases.",
    "DefendsQuestion": "q-close-auto-blocking-requirements-evaluated",
    "Suite": "suite-witness",
    "Severity": "advisory",
    "LastOutcome": "WARN",
    "LastDetail": "never true (12/12 false)",
    "LastRunAt": "2026-07-20T03:06:49+00:00",
    "SemanticTypeIri": "urn:effortless:pko-extension#TestCase",
    "Name": "witness-discriminates: StepExecutions.HasUnevaluatedBlockingRequirement",
    "IsBlocking": false,
    "IsPassing": false,
    "IsFailing": false,
    "NeedsAttention": false,
    "PassingSuiteKey": null,
    "NeedsAttentionSuiteKey": null
   },
   {
    "TestCaseId": "tc-witness-step_executions-was_executed_by_software",
    "TestKind": "witness-discriminates",
    "Subject": "StepExecutions.WasExecutedBySoftware",
    "TargetTable": "StepExecutions",
    "TargetField": "WasExecutedBySoftware",
    "Assertion": "Reads both TRUE and FALSE across the seed data, so it can distinguish cases.",
    "DefendsQuestion": "q-hr-ai-authored-commitments",
    "Suite": "suite-witness",
    "Severity": "advisory",
    "LastOutcome": "PASS",
    "LastDetail": "5 true / 7 false",
    "LastRunAt": "2026-07-20T03:06:49+00:00",
    "SemanticTypeIri": "urn:effortless:pko-extension#TestCase",
    "Name": "witness-discriminates: StepExecutions.WasExecutedBySoftware",
    "IsBlocking": false,
    "IsPassing": true,
    "IsFailing": false,
    "NeedsAttention": false,
    "PassingSuiteKey": "suite-witness",
    "NeedsAttentionSuiteKey": null
   },
   {
    "TestCaseId": "tc-witness-step_executions-step_is_software_assigned",
    "TestKind": "witness-discriminates",
    "Subject": "StepExecutions.StepIsSoftwareAssigned",
    "TargetTable": "StepExecutions",
    "TargetField": "StepIsSoftwareAssigned",
    "Assertion": "Reads both TRUE and FALSE across the seed data, so it can distinguish cases.",
    "DefendsQuestion": "q-hr-ai-authored-commitments",
    "Suite": "suite-witness",
    "Severity": "advisory",
    "LastOutcome": "PASS",
    "LastDetail": "5 true / 7 false",
    "LastRunAt": "2026-07-20T03:06:49+00:00",
    "SemanticTypeIri": "urn:effortless:pko-extension#TestCase",
    "Name": "witness-discriminates: StepExecutions.StepIsSoftwareAssigned",
    "IsBlocking": false,
    "IsPassing": true,
    "IsFailing": false,
    "NeedsAttention": false,
    "PassingSuiteKey": "suite-witness",
    "NeedsAttentionSuiteKey": null
   },
   {
    "TestCaseId": "tc-witness-step_executions-software_did_human_work",
    "TestKind": "witness-discriminates",
    "Subject": "StepExecutions.SoftwareDidHumanWork",
    "TargetTable": "StepExecutions",
    "TargetField": "SoftwareDidHumanWork",
    "Assertion": "Reads both TRUE and FALSE across the seed data, so it can distinguish cases.",
    "DefendsQuestion": "q-hr-ai-authored-commitments",
    "Suite": "suite-witness",
    "Severity": "advisory",
    "LastOutcome": "WARN",
    "LastDetail": "never true (12/12 false)",
    "LastRunAt": "2026-07-20T03:06:49+00:00",
    "SemanticTypeIri": "urn:effortless:pko-extension#TestCase",
    "Name": "witness-discriminates: StepExecutions.SoftwareDidHumanWork",
    "IsBlocking": false,
    "IsPassing": false,
    "IsFailing": false,
    "NeedsAttention": false,
    "PassingSuiteKey": null,
    "NeedsAttentionSuiteKey": null
   },
   {
    "TestCaseId": "tc-witness-step_executions-is_approval_execution",
    "TestKind": "witness-discriminates",
    "Subject": "StepExecutions.IsApprovalExecution",
    "TargetTable": "StepExecutions",
    "TargetField": "IsApprovalExecution",
    "Assertion": "Reads both TRUE and FALSE across the seed data, so it can distinguish cases.",
    "DefendsQuestion": "q-hr-what-was-actually-sent",
    "Suite": "suite-witness",
    "Severity": "advisory",
    "LastOutcome": "PASS",
    "LastDetail": "1 true / 11 false",
    "LastRunAt": "2026-07-20T03:06:49+00:00",
    "SemanticTypeIri": "urn:effortless:pko-extension#TestCase",
    "Name": "witness-discriminates: StepExecutions.IsApprovalExecution",
    "IsBlocking": false,
    "IsPassing": true,
    "IsFailing": false,
    "NeedsAttention": false,
    "PassingSuiteKey": "suite-witness",
    "NeedsAttentionSuiteKey": null
   },
   {
    "TestCaseId": "tc-witness-step_executions-is_verified",
    "TestKind": "witness-discriminates",
    "Subject": "StepExecutions.IsVerified",
    "TargetTable": "StepExecutions",
    "TargetField": "IsVerified",
    "Assertion": "Reads both TRUE and FALSE across the seed data, so it can distinguish cases.",
    "DefendsQuestion": "q-hr-what-was-actually-sent",
    "Suite": "suite-witness",
    "Severity": "advisory",
    "LastOutcome": "WARN",
    "LastDetail": "always true (12/12)",
    "LastRunAt": "2026-07-20T03:06:49+00:00",
    "SemanticTypeIri": "urn:effortless:pko-extension#TestCase",
    "Name": "witness-discriminates: StepExecutions.IsVerified",
    "IsBlocking": false,
    "IsPassing": false,
    "IsFailing": false,
    "NeedsAttention": false,
    "PassingSuiteKey": null,
    "NeedsAttentionSuiteKey": null
   },
   {
    "TestCaseId": "tc-witness-step_executions-requires_human_confirmation",
    "TestKind": "witness-discriminates",
    "Subject": "StepExecutions.RequiresHumanConfirmation",
    "TargetTable": "StepExecutions",
    "TargetField": "RequiresHumanConfirmation",
    "Assertion": "Reads both TRUE and FALSE across the seed data, so it can distinguish cases.",
    "DefendsQuestion": "q-variance-ai-human-confirmation-present",
    "Suite": "suite-witness",
    "Severity": "advisory",
    "LastOutcome": "PASS",
    "LastDetail": "3 true / 9 false",
    "LastRunAt": "2026-07-20T03:06:49+00:00",
    "SemanticTypeIri": "urn:effortless:pko-extension#TestCase",
    "Name": "witness-discriminates: StepExecutions.RequiresHumanConfirmation",
    "IsBlocking": false,
    "IsPassing": true,
    "IsFailing": false,
    "NeedsAttention": false,
    "PassingSuiteKey": "suite-witness",
    "NeedsAttentionSuiteKey": null
   },
   {
    "TestCaseId": "tc-witness-step_executions-human_confirmation_missing",
    "TestKind": "witness-discriminates",
    "Subject": "StepExecutions.HumanConfirmationMissing",
    "TargetTable": "StepExecutions",
    "TargetField": "HumanConfirmationMissing",
    "Assertion": "Reads both TRUE and FALSE across the seed data, so it can distinguish cases.",
    "DefendsQuestion": "q-variance-ai-human-confirmation-present",
    "Suite": "suite-witness",
    "Severity": "advisory",
    "LastOutcome": "WARN",
    "LastDetail": "never true (12/12 false)",
    "LastRunAt": "2026-07-20T03:06:49+00:00",
    "SemanticTypeIri": "urn:effortless:pko-extension#TestCase",
    "Name": "witness-discriminates: StepExecutions.HumanConfirmationMissing",
    "IsBlocking": false,
    "IsPassing": false,
    "IsFailing": false,
    "NeedsAttention": false,
    "PassingSuiteKey": null,
    "NeedsAttentionSuiteKey": null
   },
   {
    "TestCaseId": "tc-witness-step_executions-drafted_from_unusable_source",
    "TestKind": "witness-discriminates",
    "Subject": "StepExecutions.DraftedFromUnusableSource",
    "TargetTable": "StepExecutions",
    "TargetField": "DraftedFromUnusableSource",
    "Assertion": "Reads both TRUE and FALSE across the seed data, so it can distinguish cases.",
    "DefendsQuestion": "q-policy-ai-source-approval",
    "Suite": "suite-witness",
    "Severity": "advisory",
    "LastOutcome": "PASS",
    "LastDetail": "2 true / 10 false",
    "LastRunAt": "2026-07-20T03:06:49+00:00",
    "SemanticTypeIri": "urn:effortless:pko-extension#TestCase",
    "Name": "witness-discriminates: StepExecutions.DraftedFromUnusableSource",
    "IsBlocking": false,
    "IsPassing": true,
    "IsFailing": false,
    "NeedsAttention": false,
    "PassingSuiteKey": "suite-witness",
    "NeedsAttentionSuiteKey": null
   },
   {
    "TestCaseId": "tc-witness-step_executions-inputs_were_usable",
    "TestKind": "witness-discriminates",
    "Subject": "StepExecutions.InputsWereUsable",
    "TargetTable": "StepExecutions",
    "TargetField": "InputsWereUsable",
    "Assertion": "Reads both TRUE and FALSE across the seed data, so it can distinguish cases.",
    "DefendsQuestion": "q-policy-ai-source-approval",
    "Suite": "suite-witness",
    "Severity": "advisory",
    "LastOutcome": "PASS",
    "LastDetail": "10 true / 2 false",
    "LastRunAt": "2026-07-20T03:06:49+00:00",
    "SemanticTypeIri": "urn:effortless:pko-extension#TestCase",
    "Name": "witness-discriminates: StepExecutions.InputsWereUsable",
    "IsBlocking": false,
    "IsPassing": true,
    "IsFailing": false,
    "NeedsAttention": false,
    "PassingSuiteKey": "suite-witness",
    "NeedsAttentionSuiteKey": null
   },
   {
    "TestCaseId": "tc-witness-step_executions-all_clearances_are_unfalsified",
    "TestKind": "witness-discriminates",
    "Subject": "StepExecutions.AllClearancesAreUnfalsified",
    "TargetTable": "StepExecutions",
    "TargetField": "AllClearancesAreUnfalsified",
    "Assertion": "Reads both TRUE and FALSE across the seed data, so it can distinguish cases.",
    "DefendsQuestion": "q2-fa-cleared-by-mute-control",
    "Suite": "suite-witness",
    "Severity": "advisory",
    "LastOutcome": "PASS",
    "LastDetail": "5 true / 7 false",
    "LastRunAt": "2026-07-20T03:06:49+00:00",
    "SemanticTypeIri": "urn:effortless:pko-extension#TestCase",
    "Name": "witness-discriminates: StepExecutions.AllClearancesAreUnfalsified",
    "IsBlocking": false,
    "IsPassing": true,
    "IsFailing": false,
    "NeedsAttention": false,
    "PassingSuiteKey": "suite-witness",
    "NeedsAttentionSuiteKey": null
   },
   {
    "TestCaseId": "tc-witness-step_executions-was_stale_when_i_ran_it",
    "TestKind": "witness-discrimin</t>
  </si>
  <si>
    <t xml:space="preserve">ates",
    "Subject": "StepExecutions.WasStaleWhenIRanIt",
    "TargetTable": "StepExecutions",
    "TargetField": "WasStaleWhenIRanIt",
    "Assertion": "Reads both TRUE and FALSE across the seed data, so it can distinguish cases.",
    "DefendsQuestion": "q2-fa-stale-then-vs-stale-now",
    "Suite": "suite-witness",
    "Severity": "advisory",
    "LastOutcome": "WARN",
    "LastDetail": "never true (12/12 false)",
    "LastRunAt": "2026-07-20T03:06:49+00:00",
    "SemanticTypeIri": "urn:effortless:pko-extension#TestCase",
    "Name": "witness-discriminates: StepExecutions.WasStaleWhenIRanIt",
    "IsBlocking": false,
    "IsPassing": false,
    "IsFailing": false,
    "NeedsAttention": false,
    "PassingSuiteKey": null,
    "NeedsAttentionSuiteKey": null
   },
   {
    "TestCaseId": "tc-witness-step_executions-staleness_answer_is_tense_dependent",
    "TestKind": "witness-discriminates",
    "Subject": "StepExecutions.StalenessAnswerIsTenseDependent",
    "TargetTable": "StepExecutions",
    "TargetField": "StalenessAnswerIsTenseDependent",
    "Assertion": "Reads both TRUE and FALSE across the seed data, so it can distinguish cases.",
    "DefendsQuestion": "q2-fa-stale-then-vs-stale-now",
    "Suite": "suite-witness",
    "Severity": "advisory",
    "LastOutcome": "PASS",
    "LastDetail": "2 true / 10 false",
    "LastRunAt": "2026-07-20T03:06:49+00:00",
    "SemanticTypeIri": "urn:effortless:pko-extension#TestCase",
    "Name": "witness-discriminates: StepExecutions.StalenessAnswerIsTenseDependent",
    "IsBlocking": false,
    "IsPassing": true,
    "IsFailing": false,
    "NeedsAttention": false,
    "PassingSuiteKey": "suite-witness",
    "NeedsAttentionSuiteKey": null
   },
   {
    "TestCaseId": "tc-witness-step_executions-has_any_declared_check",
    "TestKind": "witness-discriminates",
    "Subject": "StepExecutions.HasAnyDeclaredCheck",
    "TargetTable": "StepExecutions",
    "TargetField": "HasAnyDeclaredCheck",
    "Assertion": "Reads both TRUE and FALSE across the seed data, so it can distinguish cases.",
    "DefendsQuestion": "q2-fa-clean-but-uncovered",
    "Suite": "suite-witness",
    "Severity": "advisory",
    "LastOutcome": "PASS",
    "LastDetail": "8 true / 4 false",
    "LastRunAt": "2026-07-20T03:06:49+00:00",
    "SemanticTypeIri": "urn:effortless:pko-extension#TestCase",
    "Name": "witness-discriminates: StepExecutions.HasAnyDeclaredCheck",
    "IsBlocking": false,
    "IsPassing": true,
    "IsFailing": false,
    "NeedsAttention": false,
    "PassingSuiteKey": "suite-witness",
    "NeedsAttentionSuiteKey": null
   },
   {
    "TestCaseId": "tc-witness-step_executions-is_unchecked_by_design",
    "TestKind": "witness-discriminates",
    "Subject": "StepExecutions.IsUncheckedByDesign",
    "TargetTable": "StepExecutions",
    "TargetField": "IsUncheckedByDesign",
    "Assertion": "Reads both TRUE and FALSE across the seed data, so it can distinguish cases.",
    "DefendsQuestion": "q2-fa-clean-but-uncovered",
    "Suite": "suite-witness",
    "Severity": "advisory",
    "LastOutcome": "PASS",
    "LastDetail": "4 true / 8 false",
    "LastRunAt": "2026-07-20T03:06:49+00:00",
    "SemanticTypeIri": "urn:effortless:pko-extension#TestCase",
    "Name": "witness-discriminates: StepExecutions.IsUncheckedByDesign",
    "IsBlocking": false,
    "IsPassing": true,
    "IsFailing": false,
    "NeedsAttention": false,
    "PassingSuiteKey": "suite-witness",
    "NeedsAttentionSuiteKey": null
   },
   {
    "TestCaseId": "tc-witness-step_executions-is_vacuously_clean",
    "TestKind": "witness-discriminates",
    "Subject": "StepExecutions.IsVacuouslyClean",
    "TargetTable": "StepExecutions",
    "TargetField": "IsVacuouslyClean",
    "Assertion": "Reads both TRUE and FALSE across the seed data, so it can distinguish cases.",
    "DefendsQuestion": "q2-fa-clean-but-uncovered",
    "Suite": "suite-witness",
    "Severity": "advisory",
    "LastOutcome": "PASS",
    "LastDetail": "2 true / 10 false",
    "LastRunAt": "2026-07-20T03:06:49+00:00",
    "SemanticTypeIri": "urn:effortless:pko-extension#TestCase",
    "Name": "witness-discriminates: StepExecutions.IsVacuouslyClean",
    "IsBlocking": false,
    "IsPassing": true,
    "IsFailing": false,
    "NeedsAttention": false,
    "PassingSuiteKey": "suite-witness",
    "NeedsAttentionSuiteKey": null
   },
   {
    "TestCaseId": "tc-witness-step_executions-is_substantively_clean",
    "TestKind": "witness-discriminates",
    "Subject": "StepExecutions.IsSubstantivelyClean",
    "TargetTable": "StepExecutions",
    "TargetField": "IsSubstantivelyClean",
    "Assertion": "Reads both TRUE and FALSE across the seed data, so it can distinguish cases.",
    "DefendsQuestion": "q2-fa-clean-but-uncovered",
    "Suite": "suite-witness",
    "Severity": "advisory",
    "LastOutcome": "PASS",
    "LastDetail": "1 true / 11 false",
    "LastRunAt": "2026-07-20T03:06:49+00:00",
    "SemanticTypeIri": "urn:effortless:pko-extension#TestCase",
    "Name": "witness-discriminates: StepExecutions.IsSubstantivelyClean",
    "IsBlocking": false,
    "IsPassing": true,
    "IsFailing": false,
    "NeedsAttention": false,
    "PassingSuiteKey": "suite-witness",
    "NeedsAttentionSuiteKey": null
   },
   {
    "TestCaseId": "tc-witness-step_executions-evidence_position_is_weak",
    "TestKind": "witness-discriminates",
    "Subject": "StepExecutions.EvidencePositionIsWeak",
    "TargetTable": "StepExecutions",
    "TargetField": "EvidencePositionIsWeak",
    "Assertion": "Reads both TRUE and FALSE across the seed data, so it can distinguish cases.",
    "DefendsQuestion": "q2-fa-my-own-evidence-quality",
    "Suite": "suite-witness",
    "Severity": "advisory",
    "LastOutcome": "PASS",
    "LastDetail": "1 true / 11 false",
    "LastRunAt": "2026-07-20T03:06:49+00:00",
    "SemanticTypeIri": "urn:effortless:pko-extension#TestCase",
    "Name": "witness-discriminates: StepExecutions.EvidencePositionIsWeak",
    "IsBlocking": false,
    "IsPassing": true,
    "IsFailing": false,
    "NeedsAttention": false,
    "PassingSuiteKey": "suite-witness",
    "NeedsAttentionSuiteKey": null
   },
   {
    "TestCaseId": "tc-witness-step_executions-has_governing_instrument",
    "TestKind": "witness-discriminates",
    "Subject": "StepExecutions.HasGoverningInstrument",
    "TargetTable": "StepExecutions",
    "TargetField": "HasGoverningInstrument",
    "Assertion": "Reads both TRUE and FALSE across the seed data, so it can distinguish cases.",
    "DefendsQuestion": "q2-ctl-divergence-that-nobody-governed",
    "Suite": "suite-witness",
    "Severity": "advisory",
    "LastOutcome": "PASS",
    "LastDetail": "8 true / 4 false",
    "LastRunAt": "2026-07-20T03:06:49+00:00",
    "SemanticTypeIri": "urn:effortless:pko-extension#TestCase",
    "Name": "witness-discriminates: StepExecutions.HasGoverningInstrument",
    "IsBlocking": false,
    "IsPassing": true,
    "IsFailing": false,
    "NeedsAttention": false,
    "PassingSuiteKey": "suite-witness",
    "NeedsAttentionSuiteKey": null
   },
   {
    "TestCaseId": "tc-witness-step_executions-has_approved_change_coverage",
    "TestKind": "witness-discriminates",
    "Subject": "StepExecutions.HasApprovedChangeCoverage",
    "TargetTable": "StepExecutions",
    "TargetField": "HasApprovedChangeCoverage",
    "Assertion": "Reads both TRUE and FALSE across the seed data, so it can distinguish cases.",
    "DefendsQuestion": "q2-ctl-divergence-that-nobody-governed",
    "Suite": "suite-witness",
    "Severity": "advisory",
    "LastOutcome": "PASS",
    "LastDetail": "8 true / 4 false",
    "LastRunAt": "2026-07-20T03:06:49+00:00",
    "SemanticTypeIri": "urn:effortless:pko-extension#TestCase",
    "Name": "witness-discriminates: StepExecutions.HasApprovedChangeCoverage",
    "IsBlocking": false,
    "IsPassing": true,
    "IsFailing": false,
    "NeedsAttention": false,
    "PassingSuiteKey": "suite-witness",
    "NeedsAttentionSuiteKey": null
   },
   {
    "TestCaseId": "tc-witness-step_executions-is_ungoverned_divergence",
    "TestKind": "witness-discriminates",
    "Subject": "StepExecutions.IsUngovernedDivergence",
    "TargetTable": "StepExecutions",
    "TargetField": "IsUngovernedDivergence",
    "Assertion": "Reads both TRUE and FALSE across the seed data, so it can distinguish cases.",
    "DefendsQuestion": "q2-ctl-divergence-that-nobody-governed",
    "Suite": "suite-witness",
    "Severity": "advisory",
    "LastOutcome": "PASS",
    "LastDetail": "2 true / 10 false",
    "LastRunAt": "2026-07-20T03:06:49+00:00",
    "SemanticTypeIri": "urn:effortless:pko-extension#TestCase",
    "Name": "witness-discriminates: StepExecutions.IsUngovernedDivergence",
    "IsBlocking": false,
    "IsPassing": true,
    "IsFailing": false,
    "NeedsAttention": false,
    "PassingSuiteKey": "suite-witness",
    "NeedsAttentionSuiteKey": null
   },
   {
    "TestCaseId": "tc-witness-requirement_satisfactions-requirement_is_blocking",
    "TestKind": "witness-discriminates",
    "Subject": "RequirementSatisfactions.RequirementIsBlocking",
    "TargetTable": "RequirementSatisfactions",
    "TargetField": "RequirementIsBlocking",
    "Assertion": "Reads both TRUE and FALSE across the seed data, so it can distinguish cases.",
    "DefendsQuestion": "q-analyst-blocking-unmet-on-my-step",
    "Suite": "suite-witness",
    "Severity": "advisory",
    "LastOutcome": "WARN",
    "LastDetail": "always true (8/8)",
    "LastRunAt": "2026-07-20T03:06:49+00:00",
    "SemanticTypeIri": "urn:effortless:pko-extension#TestCase",
    "Name": "witness-discriminates: RequirementSatisfactions.RequirementIsBlocking",
    "IsBlocking": false,
    "IsPassing": false,
    "IsFailing": false,
    "NeedsAttention": false,
    "PassingSuiteKey": null,
    "NeedsAttentionSuiteKey": null
   },
   {
    "TestCaseId": "tc-witness-requirement_satisfactions-is_fully_satisfied",
    "TestKind": "witness-discriminates",
    "Subject": "RequirementSatisfactions.IsFullySatisfied",
    "TargetTable": "RequirementSatisfactions",
    "TargetField": "IsFullySatisfied",
    "Assertion": "Reads both TRUE and FALSE across the seed data, so it can distinguish cases.",
    "DefendsQuestion": "q-analyst-blocking-unmet-on-my-step",
    "Suite": "suite-witness",
    "Severity": "advisory",
    "LastOutcome": "PASS",
    "LastDetail": "7 true / 1 false",
    "LastRunAt": "2026-07-20T03:06:49+00:00",
    "SemanticTypeIri": "urn:effortless:pko-extension#TestCase",
    "Name": "witness-discriminates: RequirementSatisfactions.IsFullySatisfied",
    "IsBlocking": false,
    "IsPassing": true,
    "IsFailing": false,
    "NeedsAttention": false,
    "PassingSuiteKey": "suite-witness",
    "NeedsAttentionSuiteKey": null
   },
   {
    "TestCaseId": "tc-witness-requirement_satisfactions-is_blocking_and_unmet",
    "TestKind": "witness-discriminates",
    "Subject": "RequirementSatisfactions.IsBlockingAndUnmet",
    "TargetTable": "RequirementSatisfactions",
    "TargetField": "IsBlockingAndUnmet",
    "Assertion": "Reads both TRUE and FALSE across the seed data, so it can distinguish cases.",
    "DefendsQuestion": "q-analyst-blocking-unmet-on-my-step",
    "Suite": "suite-witness",
    "Severity": "advisory",
    "LastOutcome": "PASS",
    "LastDetail": "1 true / 7 false",
    "LastRunAt": "2026-07-20T03:06:49+00:00",
    "SemanticTypeIri": "urn:effortless:pko-extension#TestCase",
    "Name": "witness-discriminates: RequirementSatisfactions.IsBlockingAndUnmet",
    "IsBlocking": false,
    "IsPassing": true,
    "IsFailing": false,
    "NeedsAttention": false,
    "PassingSuiteKey": "suite-witness",
    "NeedsAttentionSuiteKey": null
   },
   {
    "TestCaseId": "tc-witness-requirement_satisfactions-non_human_evaluated_human_control",
    "TestKind": "witness-discriminates",
    "Subject": "RequirementSatisfactions.NonHumanEvaluatedHumanControl",
    "TargetTable": "RequirementSatisfactions",
    "TargetField": "NonHumanEvaluatedHumanControl",
    "Assertion": "Reads both TRUE and FALSE across the seed data, so it can distinguish cases.",
    "DefendsQuestion": "q-controller-ai-agent-approved-meaning",
    "Suite": "suite-witness",
    "Severity": "advisory",
    "LastOutcome": "WARN",
    "LastDetail": "never true (8/8 false)",
    "LastRunAt": "2026-07-20T03:06:49+00:00",
    "SemanticTypeIri": "urn:effortless:pko-extension#TestCase",
    "Name": "witness-discriminates: RequirementSatisfactions.NonHumanEvaluatedHumanControl",
    "IsBlocking": false,
    "IsPassing": false,
    "IsFailing": false,
    "NeedsAttention": false,
    "PassingSuiteKey": null,
    "NeedsAttentionSuiteKey": null
   },
   {
    "TestCaseId": "tc-witness-requirement_satisfactions-requirement_has_computed_witness",
    "TestKind": "witness-discriminates",
    "Subject": "RequirementSatisfactions.RequirementHasComputedWitness",
    "TargetTable": "RequirementSatisfactions",
    "TargetField": "RequirementHasComputedWitness",
    "Assertion": "Reads both TRUE and FALSE across the seed data, so it can distinguish cases.",
    "DefendsQuestion": "q-cfo-am-i-being-told-everything",
    "Suite": "suite-witness",
    "Severity": "advisory",
    "LastOutcome": "PASS",
    "LastDetail": "5 true / 3 false",
    "LastRunAt": "2026-07-20T03:06:49+00:00",
    "SemanticTypeIri": "urn:effortless:pko-extension#TestCase",
    "Name": "witness-discriminates: RequirementSatisfactions.RequirementHasComputedWitness",
    "IsBlocking": false,
    "IsPassing": true,
    "IsFailing": false,
    "NeedsAttention": false,
    "PassingSuiteKey": "suite-witness",
    "NeedsAttentionSuiteKey": null
   },
   {
    "TestCaseId": "tc-witness-requirement_satisfactions-is_asserted_only",
    "TestKind": "witness-discriminates",
    "Subject": "RequirementSatisfactions.IsAssertedOnly",
    "TargetTable": "RequirementSatisfactions",
    "TargetField": "IsAssertedOnly",
    "Assertion": "Reads both TRUE and FALSE across the seed data, so it can distinguish cases.",
    "DefendsQuestion": "q-cfo-am-i-being-told-everything",
    "Suite": "suite-witness",
    "Severity": "advisory",
    "LastOutcome": "PASS",
    "LastDetail": "3 true / 5 false",
    "LastRunAt": "2026-07-20T03:06:49+00:00",
    "SemanticTypeIri": "urn:effortless:pko-extension#TestCase",
    "Name": "witness-discriminates: RequirementSatisfactions.IsAssertedOnly",
    "IsBlocking": false,
    "IsPassing": true,
    "IsFailing": false,
    "NeedsAttention": false,
    "PassingSuiteKey": "suite-witness",
    "NeedsAttentionSuiteKey": null
   },
   {
    "TestCaseId": "tc-witness-requirement_satisfactions-is_human_evaluated",
    "TestKind": "witness-discriminates",
    "Subject": "RequirementSatisfactions.IsHumanEvaluated",
    "TargetTable": "RequirementSatisfactions",
    "TargetField": "IsHumanEvaluated",
    "Assertion": "Reads both TRUE and FALSE across the seed data, so it can distinguish cases.",
    "DefendsQuestion": "q-policy-ai-approval-chain-complete",
    "Suite": "suite-witness",
    "Severity": "advisory",
    "LastOutcome": "WARN",
    "LastDetail": "always true (8/8)",
    "LastRunAt": "2026-07-20T03:06:49+00:00",
    "SemanticTypeIri": "urn:effortless:pko-extension#TestCase",
    "Name": "witness-discriminates: RequirementSatisfactions.IsHumanEvaluated",
    "IsBlocking": false,
    "IsPassing": false,
    "IsFailing": false,
    "NeedsAttention": false,
    "PassingSuiteKey": null,
    "NeedsAttentionSuiteKey": null
   },
   {
    "TestCaseId": "tc-witness-requirement_satisfactions-is_invalid_approval",
    "TestKind": "witness-discriminates",
    "Subject": "RequirementSatisfactions.IsInvalidApproval",
    "TargetTable": "RequirementSatisfactions",
    "TargetField": "IsInvalidApproval",
    "Assertion": "Reads both TRUE and FALSE across the seed data, so it can distinguish cases.",
    "DefendsQuestion": "q-policy-ai-approval-chain-complete",
    "Suite": "suite-witness",
    "Severity": "advisory",
    "LastOutcome": "WARN",
    "LastDetail": "never true (8/8 false)",
    "LastRunAt": "2026-07-20T03:06:49+00:00",
    "SemanticTypeIri": "urn:effortless:pko-extension#TestCase",
    "Name": "witness-discriminates: RequirementSatisfactions.IsInvalidApproval",
    "IsBlocking": false,
    "IsPassing": false,
    "IsFailing": false,
    "NeedsAttention": false,
    "PassingSuiteKey": null,
    "NeedsAttentionSuiteKey": null
   },
   {
    "TestCaseId": "tc-witness-requirement_satisfactions-requirement_is_unfalsified",
    "TestKind": "witness-discriminates",
    "Subject": "RequirementSatisfactions.RequirementIsUnfalsified",
    "TargetTable": "RequirementSatisfactions",
    "TargetField": "RequirementIsUnfalsified",
    "Assertion": "Reads both TRUE and FALSE across the seed data, so it can distinguish cases.",
    "DefendsQuestion": "q2-fa-cleared-by-mute-control",
    "Suite": "suite-witness",
    "Severity": "advisory",
    "LastOutcome": "PASS",
    "LastDetail": "6 true / 2 false",
    "LastRunAt": "2026-07-20T03:06:49+00:00",
    "SemanticTypeIri": "urn:effortless:pko-extension#TestCase",
    "Name": "witness-discriminates: RequirementSatisfactions.RequirementIsUnfalsified",
    "IsBlocking": false,
    "IsPassing": true,
    "IsFailing": false,
    "NeedsAttention": false,
    "PassingSuiteKey": "suite-witness",
    "NeedsAttentionSuiteKey": null
   },
   {
    "TestCaseId": "tc-witness-requirement_satisfactions-is_clearance_by_unfalsified_control",
    "TestKind": "witness-discriminates",
    "Subject": "RequirementSatisfactions.IsClearanceByUnfalsifiedControl",
    "TargetTable": "RequirementSatisfactions",
    "TargetField": "IsClearanceByUnfalsifiedControl",
    "Assertion": "Reads both TRUE and FALSE across the seed data, so it can distinguish cases.",
    "DefendsQuestion": "q2-fa-cleared-by-mute-control",
    "Suite": "suite-witness",
    "Severity": "advisory",
    "LastOutcome": "PASS",
    "LastDetail": "6 true / 2 false",
    "LastRunAt": "2026-07-20T03:06:49+00:00",
    "SemanticTypeIri": "urn:effortless:pko-extension#TestCase",
    "Name": "witness-discriminates: RequirementSatisfactions.IsClearanceByUnfalsifiedControl",
    "IsBlocking": false,
    "IsPassing": true,
    "IsFailing": false,
    "NeedsAttention": false,
    "PassingSuiteKey": "suite-witness",
    "NeedsAttentionSuiteKey": null
   },
   {
    "TestCaseId": "tc-witness-requirement_satisfactions-evaluator_is_step_executor",
    "TestKind": "witness-discriminates",
    "Subject": "RequirementSatisfactions.EvaluatorIsStepExecutor",
    "TargetTable": "RequirementSatisfactions",
    "TargetField": "EvaluatorIsStepExecutor",
    "Assertion": "Reads both TRUE and FALSE across the seed data, so it can distinguish cases.",
    "DefendsQuestion": "q2-ctl-asserted-controls-by-who",
    "Suite": "suite-witness",
    "Severity": "advisory",
    "LastOutcome": "PASS",
    "LastDetail": "2 true / 6 false",
    "LastRunAt": "2026-07-20T03:06:49+00:00",
    "SemanticTypeIri": "urn:effortless:pko-extension#TestCase",
    "Name": "witness-discriminates: RequirementSatisfactions.EvaluatorIsStepExecutor",
    "IsBlocking": false,
    "IsPassing": true,
    "IsFailing": false,
    "NeedsAttention": false,
    "PassingSuiteKey": "suite-witness",
    "NeedsAttentionSuiteKey": null
   },
   {
    "TestCaseId": "tc-witness-requirement_satisfactions-evaluator_owns_the_run",
    "TestKind": "witness-discriminates",
    "Subject": "RequirementSatisfactions.EvaluatorOwnsTheRun",
    "TargetTable": "RequirementSatisfactions",
    "TargetField": "EvaluatorOwnsTheRun",
    "Assertion": "Reads both TRUE and FALSE across the seed data, so it can distinguish cases.",
    "DefendsQuestion": "q2-ctl-asserted-controls-by-who",
    "Suite": "suite-witness",
    "Severity": "advisory",
    "LastOutcome": "PASS",
    "LastDetail": "5 true / 3 false",
    "LastRunAt": "2026-07-20T03:06:49+00:00",
    "SemanticTypeIri": "urn:effortless:pko-extension#TestCase",
    "Name": "witness-discriminates: RequirementSatisfactions.EvaluatorOwnsTheRun",
    "IsBlocking": false,
    "IsPassing": true,
    "IsFailing": false,
    "NeedsAttention": false,
    "PassingSuiteKey": "suite-witness",
    "NeedsAttentionSuiteKey": null
   },
   {
    "TestCaseId": "tc-witness-requirement_satisfactions-is_interested_party_assertion",
    "TestKind": "witness-discriminates",
    "Subject": "RequirementSatisfactions.IsInterestedPartyAssertion",
    "TargetTable": "RequirementSatisfactions",
    "TargetField": "IsInterestedPartyAssertion",
    "Assertion": "Reads both TRUE and FALSE across the seed data, so it can distinguish cases.",
    "DefendsQuestion": "q2-ctl-asserted-controls-by-who",
    "Suite": "suite-witness",
    "Severity": "advisory",
    "LastOutcome": "PASS",
    "LastDetail": "3 true / 5 false",
    "LastRunAt": "2026-07-20T03:06:49+00:00",
    "SemanticTypeIri": "urn:effortless:pko-extension#TestCase",
    "Name": "witness-discriminates: RequirementSatisfactions.IsInterestedPartyAssertion",
    "IsBlocking": false,
    "IsPassing": true,
    "IsFailing": false,
    "NeedsAttention": false,
    "PassingSuiteKey": "suite-witness",
    "NeedsAttentionSuiteKey": null
   },
   {
    "TestCaseId": "tc-witness-requirement_satisfactions-has_written_evidence",
    "TestKind": "witness-discriminates",
    "Subject": "RequirementSatisfactions.HasWrittenEvidence",
    "TargetTable": "RequirementSatisfactions",
    "TargetField": "HasWrittenEvidence",
    "Assertion": "Reads both TRUE and FALSE across the seed data, so it can distinguish cases.",
    "DefendsQuestion": "q2-ctl-asserted-controls-by-who",
    "Suite": "suite-witness",
    "Severity": "advisory",
    "LastOutcome": "WARN",
    "LastDetail": "always true (8/8)",
    "LastRunAt": "2026-07-20T03:06:49+00:00",
    "SemanticTypeIri": "urn:effortless:pko-extension#TestCase",
    "Name": "witness-discriminates: RequirementSatisfactions.HasWrittenEvidence",
    "IsBlocking": false,
    "IsPassing": false,
    "IsFailing": false,
    "NeedsAttention": false,
    "PassingSuiteKey": null,
    "NeedsAttentionSuiteKey": null
   },
   {
    "TestCaseId": "tc-witness-requirement_satisfactions-is_bare_assertion",
    "TestKind": "witness-discriminates",
    "Subject": "RequirementSatisfactions.IsBareAssertion",
    "TargetTable": "RequirementSatisfactions",
    "TargetField": "IsBareAssertion",
    "Assertion": "Reads both TRUE and FALSE across the seed data, so it can distinguish cases.",
    "DefendsQuestion": "q2-ctl-asserted-controls-by-who",
    "Suite": "suite-witness",
    "Severity": "advisory",
    "LastOutcome": "WARN",
    "LastDetail": "never true (8/8 false)",
    "LastRunAt": "2026-07-20T03:06:49+00:00",
    "SemanticTypeIri": "urn:effortless:pko-extension#TestCase",
    "Name": "witness-discriminates: RequirementSatisfactions.IsBareAssertion",
    "IsBlocking": false,
    "IsPassing": false,
    "IsFailing": false,
    "NeedsAttention": false,
    "PassingSuiteKey": null,
    "NeedsAttentionSuiteKey": null
   },
   {
    "TestCaseId": "tc-witness-requirement_satisfactions-is_computedly_witnessed",
    "TestKind": "witness-discriminates",
    "Subject": "RequirementSatisfactions.IsComputedlyWitnessed",
    "TargetTable": "RequirementSatisfactions",
    "TargetField": "IsComputedlyWitnessed",
    "Assertion": "Reads both TRUE and FALSE across the seed data, so it can distinguish cases.",
    "DefendsQuestion": "q2-cfo-quality-of-a-green-attestation",
    "Suite": "suite-witness",
    "Severity": "advisory",
    "LastOutcome": "PASS",
    "LastDetail": "5 true / 3 false",
    "LastRunAt": "2026-07-20T03:06:49+00:00",
    "SemanticTypeIri": "urn:effortless:pko-extension#TestCase",
    "Name": "witness-discriminates: RequirementSatisfactions.IsComputedlyWitnessed",
    "IsBlocking": false,
    "IsPassing": true,
    "IsFailing": false,
    "NeedsAttention": false,
    "PassingSuiteKey": "suite-witness",
    "NeedsAttentionSuiteKey": null
   },
   {
    "TestCaseId": "tc-witness-requirement_satisfactions-was_scored_after_attestation",
    "TestKind": "witness-discriminates",
    "Subject": "RequirementSatisfactions.WasScoredAfterAttestation",
    "TargetTable": "RequirementSatisfactions",
    "TargetField": "WasScoredAfterAttestation",
    "Assertion": "Reads both TRUE and FALSE across the seed data, so it can distinguish cases.",
    "DefendsQuestion": "q2-cfo-what-changed-since-i-signed",
    "Suite": "suite-witness",
    "Severity": "advisory",
    "LastOutcome": "WARN",
    "LastDetail": "never true (0/8 false)",
    "LastRunAt": "2026-07-20T03:06:49+00:00",
    "SemanticTypeIri": "urn:effortless:pko-extension#TestCase",
    "Name": "witness-discriminates: RequirementSatisfactions.WasScoredAfterAttestation",
    "IsBlocking": false,
    "IsPassing": false,
    "IsFailing": false,
    "NeedsAttention": false,
    "PassingSuiteKey": null,
    "NeedsAttentionSuiteKey": null
   },
   {
    "TestCaseId": "tc-witness-issue_occurrences-is_unresolved",
    "TestKind": "witness-discriminates",
    "Subject": "IssueOccurrences.IsUnresolved",
    "TargetTable": "IssueOccurrences",
    "TargetField": "IsUnresolved",
    "Assertion": "Reads both TRUE and FALSE across the seed data, so it can distinguish cases.",
    "DefendsQuestion": "q-close-auto-last-run-clean",
    "Suite": "suite-witness",
    "Severity": "advisory",
    "LastOutcome": "PASS",
    "LastDetail": "1 true / 1 false",
    "LastRunAt": "2026-07-20T03:06:49+00:00",
    "SemanticTypeIri": "urn:effortless:pko-extension#TestCase",
    "Name": "witness-discriminates: IssueOccurrences.IsUnresolved",
    "IsBlocking": false,
    "IsPassing": true,
    "IsFailing": false,
    "NeedsAttention": false,
    "PassingSuiteKey": "suite-witness",
    "NeedsAttentionSuiteKey": null
   },
   {
    "TestCaseId": "tc-witness-stewardship_assignments-has_ever_been_reviewed",
    "TestKind": "witness-discriminates",
    "Subject": "StewardshipAssignments.HasEverBeenReviewed",
    "TargetTable": "StewardshipAssignments",
    "TargetField": "HasEverBeenReviewed",
    "Assertion": "Reads both TRUE and FALSE across the seed data, so it can distinguish cases.",
    "DefendsQuestion": "q-steward-cadence-breach",
    "Suite": "suite-witness",
    "Severity": "advisory",
    "LastOutcome": "WARN",
    "LastDetail": "always true (2/2)",
    "LastRunAt": "2026-07-20T03:06:49+00:00",
    "SemanticTypeIri": "urn:effortless:pko-extension#TestCase",
    "Name": "witness-discriminates: StewardshipAssignments.HasEverBeenReviewed",
    "IsBlocking": false,
    "IsPassing": false,
    "IsFailing": false,
    "NeedsAttention": false,
    "PassingSuiteKey": null,
    "NeedsAttentionSuiteKey": null
   },
   {
    "TestCaseId": "tc-witness-stewardship_assignments-is_current_assignment",
    "TestKind": "witness-discriminates",
    "Subject": "StewardshipAssignments.IsCurrentAssignment",
    "TargetTable": "StewardshipAssignments",
    "TargetField": "IsCurrentAssignment",
    "Assertion": "Reads both TRUE and FALSE across the seed data, so it can distinguish cases.",
    "DefendsQuestion": "q-steward-orphan-versions",
    "Suite": "suite-witness",
    "Severity": "advisory",
    "LastOutcome": "WARN",
    "LastDetail": "always true (2/2)",
    "LastRunAt": "2026-07-20T03:06:49+00:00",
    "SemanticTypeIri": "urn:effortless:pko-extension#TestCase",
    "Name": "witness-discriminates: StewardshipAssignments.IsCurrentAssignment",
    "IsBlocking": false,
    "IsPassing": false,
    "IsFailing": false,
    "NeedsAttention": false,
    "PassingSuiteKey": null,
    "NeedsAttentionSuiteKey": null
   },
   {
    "TestCaseId": "tc-witness-change_requests-is_open",
    "TestKind": "witness-discriminates",
    "Subject": "ChangeRequests.IsOpen",
    "TargetTable": "ChangeRequests",
    "TargetField": "IsOpen",
    "Assertion": "Reads both TRUE and FALSE across the seed data, so it can distinguish cases.",
    "DefendsQuestion": null,
    "Suite": "suite-witness",
    "Severity": "advisory",
    "LastOutcome": "PASS",
    "LastDetail": "1 true / 1 false",
    "LastRunAt": "2026-07-20T03:06:49+00:00",
    "SemanticTypeIri": "urn:effortless:pko-extension#TestCase",
    "Name": "witness-discriminates: ChangeRequests.IsOpen",
    "IsBlocking": false,
    "IsPassing": true,
    "IsFailing": false,
    "NeedsAttention": false,
    "PassingSuiteKey": "suite-witness",
    "NeedsAttentionSuiteKey": null
   },
   {
    "TestCaseId": "tc-witness-change_requests-is_decided",
    "TestKind": "witness-discriminates",
    "Subject": "ChangeRequests.IsDecided",
    "TargetTable": "ChangeRequests",
    "TargetField": "IsDecided",
    "Assertion": "Reads both TRUE and FALSE across the seed data, so it can distinguish cases.",
    "DefendsQuestion": "q-steward-stalled-change-requests",
    "Suite": "suite-witness",
    "Severity": "advisory",
    "LastOutcome": "PASS",
    "LastDetail": "1 true / 1 false",
    "LastRunAt": "2026-07-20T03:06:49+00:00",
    "SemanticTypeIri": "urn:effortless:pko-extension#TestCase",
    "Name": "witness-discriminates: ChangeRequests.IsDecided",
    "IsBlocking": false,
    "IsPassing": true,
    "IsFailing": false,
    "NeedsAttention": false,
    "PassingSuiteKey": "suite-witness",
    "NeedsAttentionSuiteKey": null
   },
   {
    "TestCaseId": "tc-witness-change_requests-is_still_pending",
    "TestKind": "witness-discriminates",
    "Subject": "ChangeRequests.IsStillPending",
    "TargetTable": "ChangeRequests",
    "TargetField": "IsStillPending",
    "Assertion": "Reads both TRUE and FALSE across the seed data, so it can distinguish cases.",
    "DefendsQuestion": "q-steward-stalled-change-requests",
    "Suite": "suite-witness",
    "Severity": "advisory",
    "LastOutcome": "PASS",
    "LastDetail": "1 true / 1 false",
    "LastRunAt": "2026-07-20T03:06:49+00:00",
    "SemanticTypeIri": "urn:effortless:pko-extension#TestCase",
    "Name": "witness-discriminates: ChangeRequests.IsStillPending",
    "IsBlocking": false,
    "IsPassing": true,
    "IsFailing": false,
    "NeedsAttention": false,
    "PassingSuiteKey": "suite-witness",
    "NeedsAttentionSuiteKey": null
   },
   {
    "TestCaseId": "tc-witness-change_requests-is_stalled",
    "TestKind": "witness-discriminates",
    "Subject": "ChangeRequests.IsStalled",
    "TargetTable": "ChangeRequests",
    "TargetField": "IsStalled",
    "Assertion": "Reads both TRUE and FALSE across the seed data, so it can distinguish cases.",
    "DefendsQuestion": "q-steward-stalled-change-requests",
    "Suite": "suite-witness",
    "Severity": "advisory",
    "LastOutcome": "WARN",
    "LastDetail": "never true (2/2 false)",
    "LastRunAt": "2026-07-20T03:06:49+00:00",
    "SemanticTypeIri": "urn:effortless:pko-extension#TestCase",
    "Name": "witness-discriminates: ChangeRequests.IsStalled",
    "IsBlocking": false,
    "IsPassing": false,
    "IsFailing": false,
    "NeedsAttention": false,
    "PassingSuiteKey": null,
    "NeedsAttentionSuiteKey": null
   },
   {
    "TestCaseId": "tc-witness-change_requests-requester_is_authority",
    "TestKind": "witness-discriminates",
    "Subject": "ChangeRequests.RequesterIsAuthority",
    "TargetTable": "ChangeRequests",
    "TargetField": "RequesterIsAuthority",
    "Assertion": "Reads both TRUE and FALSE across the seed data, so it can distinguish cases.",
    "DefendsQuestion": "q-steward-stalled-change-requests",
    "Suite": "suite-witness",
    "Severity": "advisory",
    "LastOutcome": "WARN",
    "LastDetail": "never true (2/2 false)",
    "LastRunAt": "2026-07-20T03:06:49+00:00",
    "SemanticTypeIri": "urn:effortless:pko-extension#TestCase",
    "Name": "witness-discriminates: ChangeRequests.RequesterIsAuthority",
    "IsBlocking": false,
    "IsPassing": false,
    "IsFailing": false,
    "NeedsAttention": false,
    "PassingSuiteKey": null,
    "NeedsAttentionSuiteKey": null
   },
   {
    "TestCaseId": "tc-witness-change_requests-awaits_authority_decision",
    "TestKind": "witness-discriminates",
    "Subject": "ChangeRequests.AwaitsAuthorityDecision",
    "TargetTable": "ChangeRequests",
    "TargetField": "AwaitsAuthorityDecision",
    "Assertion": "Reads both TRUE and FALSE across the seed data, so it can distinguish cases.",
    "DefendsQuestion": "q-hr-authority-without-review",
    "Suite": "suite-witness",
    "Severity": "advisory",
    "LastOutcome": "PASS",
    "LastDetail": "1 true / 1 false",
    "LastRunAt": "2026-07-20T03:06:49+00:00",
    "SemanticTypeIri": "urn:effortless:pko-extension#TestCase",
    "Name": "witness-discriminates: ChangeRequests.AwaitsAuthorityDecision",
    "IsBlocking": false,
    "IsPassing": true,
    "IsFailing": false,
    "NeedsAttention": false,
    "PassingSuiteKey": "suite-witness",
    "NeedsAttentionSuiteKey": null
   },
   {
    "TestCaseId": </t>
  </si>
  <si>
    <t xml:space="preserve">"tc-witness-change_requests-touches_live_version",
    "TestKind": "witness-discriminates",
    "Subject": "ChangeRequests.TouchesLiveVersion",
    "TargetTable": "ChangeRequests",
    "TargetField": "TouchesLiveVersion",
    "Assertion": "Reads both TRUE and FALSE across the seed data, so it can distinguish cases.",
    "DefendsQuestion": "q-hr-authority-without-review",
    "Suite": "suite-witness",
    "Severity": "advisory",
    "LastOutcome": "WARN",
    "LastDetail": "always true (2/2)",
    "LastRunAt": "2026-07-20T03:06:49+00:00",
    "SemanticTypeIri": "urn:effortless:pko-extension#TestCase",
    "Name": "witness-discriminates: ChangeRequests.TouchesLiveVersion",
    "IsBlocking": false,
    "IsPassing": false,
    "IsFailing": false,
    "NeedsAttention": false,
    "PassingSuiteKey": null,
    "NeedsAttentionSuiteKey": null
   },
   {
    "TestCaseId": "tc-witness-change_requests-is_live_decision_backlog",
    "TestKind": "witness-discriminates",
    "Subject": "ChangeRequests.IsLiveDecisionBacklog",
    "TargetTable": "ChangeRequests",
    "TargetField": "IsLiveDecisionBacklog",
    "Assertion": "Reads both TRUE and FALSE across the seed data, so it can distinguish cases.",
    "DefendsQuestion": "q-hr-authority-without-review",
    "Suite": "suite-witness",
    "Severity": "advisory",
    "LastOutcome": "PASS",
    "LastDetail": "1 true / 1 false",
    "LastRunAt": "2026-07-20T03:06:49+00:00",
    "SemanticTypeIri": "urn:effortless:pko-extension#TestCase",
    "Name": "witness-discriminates: ChangeRequests.IsLiveDecisionBacklog",
    "IsBlocking": false,
    "IsPassing": true,
    "IsFailing": false,
    "NeedsAttention": false,
    "PassingSuiteKey": "suite-witness",
    "NeedsAttentionSuiteKey": null
   },
   {
    "TestCaseId": "tc-witness-change_requests-blocks_an_open_gap",
    "TestKind": "witness-discriminates",
    "Subject": "ChangeRequests.BlocksAnOpenGap",
    "TargetTable": "ChangeRequests",
    "TargetField": "BlocksAnOpenGap",
    "Assertion": "Reads both TRUE and FALSE across the seed data, so it can distinguish cases.",
    "DefendsQuestion": "q-hr-authority-without-review",
    "Suite": "suite-witness",
    "Severity": "advisory",
    "LastOutcome": "PASS",
    "LastDetail": "1 true / 1 false",
    "LastRunAt": "2026-07-20T03:06:49+00:00",
    "SemanticTypeIri": "urn:effortless:pko-extension#TestCase",
    "Name": "witness-discriminates: ChangeRequests.BlocksAnOpenGap",
    "IsBlocking": false,
    "IsPassing": true,
    "IsFailing": false,
    "NeedsAttention": false,
    "PassingSuiteKey": "suite-witness",
    "NeedsAttentionSuiteKey": null
   },
   {
    "TestCaseId": "tc-witness-change_requests-is_my_pending_decision",
    "TestKind": "witness-discriminates",
    "Subject": "ChangeRequests.IsMyPendingDecision",
    "TargetTable": "ChangeRequests",
    "TargetField": "IsMyPendingDecision",
    "Assertion": "Reads both TRUE and FALSE across the seed data, so it can distinguish cases.",
    "DefendsQuestion": "q2-hr-my-backlog-is-someone-elses-block",
    "Suite": "suite-witness",
    "Severity": "advisory",
    "LastOutcome": "PASS",
    "LastDetail": "1 true / 1 false",
    "LastRunAt": "2026-07-20T03:06:49+00:00",
    "SemanticTypeIri": "urn:effortless:pko-extension#TestCase",
    "Name": "witness-discriminates: ChangeRequests.IsMyPendingDecision",
    "IsBlocking": false,
    "IsPassing": true,
    "IsFailing": false,
    "NeedsAttention": false,
    "PassingSuiteKey": "suite-witness",
    "NeedsAttentionSuiteKey": null
   },
   {
    "TestCaseId": "tc-witness-change_requests-is_my_blocking_backlog",
    "TestKind": "witness-discriminates",
    "Subject": "ChangeRequests.IsMyBlockingBacklog",
    "TargetTable": "ChangeRequests",
    "TargetField": "IsMyBlockingBacklog",
    "Assertion": "Reads both TRUE and FALSE across the seed data, so it can distinguish cases.",
    "DefendsQuestion": "q2-hr-my-backlog-is-someone-elses-block",
    "Suite": "suite-witness",
    "Severity": "advisory",
    "LastOutcome": "PASS",
    "LastDetail": "1 true / 1 false",
    "LastRunAt": "2026-07-20T03:06:49+00:00",
    "SemanticTypeIri": "urn:effortless:pko-extension#TestCase",
    "Name": "witness-discriminates: ChangeRequests.IsMyBlockingBacklog",
    "IsBlocking": false,
    "IsPassing": true,
    "IsFailing": false,
    "NeedsAttention": false,
    "PassingSuiteKey": "suite-witness",
    "NeedsAttentionSuiteKey": null
   },
   {
    "TestCaseId": "tc-witness-change_requests-is_my_overdue_backlog",
    "TestKind": "witness-discriminates",
    "Subject": "ChangeRequests.IsMyOverdueBacklog",
    "TargetTable": "ChangeRequests",
    "TargetField": "IsMyOverdueBacklog",
    "Assertion": "Reads both TRUE and FALSE across the seed data, so it can distinguish cases.",
    "DefendsQuestion": "q2-hr-my-backlog-is-someone-elses-block",
    "Suite": "suite-witness",
    "Severity": "advisory",
    "LastOutcome": "WARN",
    "LastDetail": "never true (2/2 false)",
    "LastRunAt": "2026-07-20T03:06:49+00:00",
    "SemanticTypeIri": "urn:effortless:pko-extension#TestCase",
    "Name": "witness-discriminates: ChangeRequests.IsMyOverdueBacklog",
    "IsBlocking": false,
    "IsPassing": false,
    "IsFailing": false,
    "NeedsAttention": false,
    "PassingSuiteKey": null,
    "NeedsAttentionSuiteKey": null
   },
   {
    "TestCaseId": "tc-witness-change_requests-is_implemented",
    "TestKind": "witness-discriminates",
    "Subject": "ChangeRequests.IsImplemented",
    "TargetTable": "ChangeRequests",
    "TargetField": "IsImplemented",
    "Assertion": "Reads both TRUE and FALSE across the seed data, so it can distinguish cases.",
    "DefendsQuestion": "q2-hr-my-approvals-never-read-as-done",
    "Suite": "suite-witness",
    "Severity": "advisory",
    "LastOutcome": "PASS",
    "LastDetail": "1 true / 1 false",
    "LastRunAt": "2026-07-20T03:06:49+00:00",
    "SemanticTypeIri": "urn:effortless:pko-extension#TestCase",
    "Name": "witness-discriminates: ChangeRequests.IsImplemented",
    "IsBlocking": false,
    "IsPassing": true,
    "IsFailing": false,
    "NeedsAttention": false,
    "PassingSuiteKey": "suite-witness",
    "NeedsAttentionSuiteKey": null
   },
   {
    "TestCaseId": "tc-witness-change_requests-is_my_decided_request",
    "TestKind": "witness-discriminates",
    "Subject": "ChangeRequests.IsMyDecidedRequest",
    "TargetTable": "ChangeRequests",
    "TargetField": "IsMyDecidedRequest",
    "Assertion": "Reads both TRUE and FALSE across the seed data, so it can distinguish cases.",
    "DefendsQuestion": "q2-hr-my-approvals-never-read-as-done",
    "Suite": "suite-witness",
    "Severity": "advisory",
    "LastOutcome": "WARN",
    "LastDetail": "never true (2/2 false)",
    "LastRunAt": "2026-07-20T03:06:49+00:00",
    "SemanticTypeIri": "urn:effortless:pko-extension#TestCase",
    "Name": "witness-discriminates: ChangeRequests.IsMyDecidedRequest",
    "IsBlocking": false,
    "IsPassing": false,
    "IsFailing": false,
    "NeedsAttention": false,
    "PassingSuiteKey": null,
    "NeedsAttentionSuiteKey": null
   },
   {
    "TestCaseId": "tc-witness-change_requests-is_my_decided_but_unlanded",
    "TestKind": "witness-discriminates",
    "Subject": "ChangeRequests.IsMyDecidedButUnlanded",
    "TargetTable": "ChangeRequests",
    "TargetField": "IsMyDecidedButUnlanded",
    "Assertion": "Reads both TRUE and FALSE across the seed data, so it can distinguish cases.",
    "DefendsQuestion": "q2-hr-my-approvals-never-read-as-done",
    "Suite": "suite-witness",
    "Severity": "advisory",
    "LastOutcome": "WARN",
    "LastDetail": "never true (2/2 false)",
    "LastRunAt": "2026-07-20T03:06:49+00:00",
    "SemanticTypeIri": "urn:effortless:pko-extension#TestCase",
    "Name": "witness-discriminates: ChangeRequests.IsMyDecidedButUnlanded",
    "IsBlocking": false,
    "IsPassing": false,
    "IsFailing": false,
    "NeedsAttention": false,
    "PassingSuiteKey": null,
    "NeedsAttentionSuiteKey": null
   },
   {
    "TestCaseId": "tc-witness-change_requests-delay_is_downstream_of_me",
    "TestKind": "witness-discriminates",
    "Subject": "ChangeRequests.DelayIsDownstreamOfMe",
    "TargetTable": "ChangeRequests",
    "TargetField": "DelayIsDownstreamOfMe",
    "Assertion": "Reads both TRUE and FALSE across the seed data, so it can distinguish cases.",
    "DefendsQuestion": "q2-hr-my-approvals-never-read-as-done",
    "Suite": "suite-witness",
    "Severity": "advisory",
    "LastOutcome": "WARN",
    "LastDetail": "never true (2/2 false)",
    "LastRunAt": "2026-07-20T03:06:49+00:00",
    "SemanticTypeIri": "urn:effortless:pko-extension#TestCase",
    "Name": "witness-discriminates: ChangeRequests.DelayIsDownstreamOfMe",
    "IsBlocking": false,
    "IsPassing": false,
    "IsFailing": false,
    "NeedsAttention": false,
    "PassingSuiteKey": null,
    "NeedsAttentionSuiteKey": null
   },
   {
    "TestCaseId": "tc-witness-change_requests-is_approved_not_implemented",
    "TestKind": "witness-discriminates",
    "Subject": "ChangeRequests.IsApprovedNotImplemented",
    "TargetTable": "ChangeRequests",
    "TargetField": "IsApprovedNotImplemented",
    "Assertion": "Reads both TRUE and FALSE across the seed data, so it can distinguish cases.",
    "DefendsQuestion": "q2-steward-approved-cr-never-lands",
    "Suite": "suite-witness",
    "Severity": "advisory",
    "LastOutcome": "WARN",
    "LastDetail": "never true (2/2 false)",
    "LastRunAt": "2026-07-20T03:06:49+00:00",
    "SemanticTypeIri": "urn:effortless:pko-extension#TestCase",
    "Name": "witness-discriminates: ChangeRequests.IsApprovedNotImplemented",
    "IsBlocking": false,
    "IsPassing": false,
    "IsFailing": false,
    "NeedsAttention": false,
    "PassingSuiteKey": null,
    "NeedsAttentionSuiteKey": null
   },
   {
    "TestCaseId": "tc-witness-change_requests-is_stalled_implementation",
    "TestKind": "witness-discriminates",
    "Subject": "ChangeRequests.IsStalledImplementation",
    "TargetTable": "ChangeRequests",
    "TargetField": "IsStalledImplementation",
    "Assertion": "Reads both TRUE and FALSE across the seed data, so it can distinguish cases.",
    "DefendsQuestion": "q2-steward-approved-cr-never-lands",
    "Suite": "suite-witness",
    "Severity": "advisory",
    "LastOutcome": "WARN",
    "LastDetail": "never true (2/2 false)",
    "LastRunAt": "2026-07-20T03:06:49+00:00",
    "SemanticTypeIri": "urn:effortless:pko-extension#TestCase",
    "Name": "witness-discriminates: ChangeRequests.IsStalledImplementation",
    "IsBlocking": false,
    "IsPassing": false,
    "IsFailing": false,
    "NeedsAttention": false,
    "PassingSuiteKey": null,
    "NeedsAttentionSuiteKey": null
   },
   {
    "TestCaseId": "tc-witness-change_requests-is_approved_decision",
    "TestKind": "witness-discriminates",
    "Subject": "ChangeRequests.IsApprovedDecision",
    "TargetTable": "ChangeRequests",
    "TargetField": "IsApprovedDecision",
    "Assertion": "Reads both TRUE and FALSE across the seed data, so it can distinguish cases.",
    "DefendsQuestion": "q2-ctl-divergence-that-nobody-governed",
    "Suite": "suite-witness",
    "Severity": "advisory",
    "LastOutcome": "PASS",
    "LastDetail": "1 true / 1 false",
    "LastRunAt": "2026-07-20T03:06:49+00:00",
    "SemanticTypeIri": "urn:effortless:pko-extension#TestCase",
    "Name": "witness-discriminates: ChangeRequests.IsApprovedDecision",
    "IsBlocking": false,
    "IsPassing": true,
    "IsFailing": false,
    "NeedsAttention": false,
    "PassingSuiteKey": "suite-witness",
    "NeedsAttentionSuiteKey": null
   },
   {
    "TestCaseId": "tc-witness-review_events-is_overdue",
    "TestKind": "witness-discriminates",
    "Subject": "ReviewEvents.IsOverdue",
    "TargetTable": "ReviewEvents",
    "TargetField": "IsOverdue",
    "Assertion": "Reads both TRUE and FALSE across the seed data, so it can distinguish cases.",
    "DefendsQuestion": null,
    "Suite": "suite-witness",
    "Severity": "advisory",
    "LastOutcome": "PASS",
    "LastDetail": "1 true / 2 false",
    "LastRunAt": "2026-07-20T03:06:49+00:00",
    "SemanticTypeIri": "urn:effortless:pko-extension#TestCase",
    "Name": "witness-discriminates: ReviewEvents.IsOverdue",
    "IsBlocking": false,
    "IsPassing": true,
    "IsFailing": false,
    "NeedsAttention": false,
    "PassingSuiteKey": "suite-witness",
    "NeedsAttentionSuiteKey": null
   },
   {
    "TestCaseId": "tc-witness-review_events-exceeds_promised_cadence",
    "TestKind": "witness-discriminates",
    "Subject": "ReviewEvents.ExceedsPromisedCadence",
    "TargetTable": "ReviewEvents",
    "TargetField": "ExceedsPromisedCadence",
    "Assertion": "Reads both TRUE and FALSE across the seed data, so it can distinguish cases.",
    "DefendsQuestion": "q-steward-cadence-breach",
    "Suite": "suite-witness",
    "Severity": "advisory",
    "LastOutcome": "PASS",
    "LastDetail": "1 true / 2 false",
    "LastRunAt": "2026-07-20T03:06:49+00:00",
    "SemanticTypeIri": "urn:effortless:pko-extension#TestCase",
    "Name": "witness-discriminates: ReviewEvents.ExceedsPromisedCadence",
    "IsBlocking": false,
    "IsPassing": true,
    "IsFailing": false,
    "NeedsAttention": false,
    "PassingSuiteKey": "suite-witness",
    "NeedsAttentionSuiteKey": null
   },
   {
    "TestCaseId": "tc-witness-review_events-promise_and_behavior_disagree",
    "TestKind": "witness-discriminates",
    "Subject": "ReviewEvents.PromiseAndBehaviorDisagree",
    "TargetTable": "ReviewEvents",
    "TargetField": "PromiseAndBehaviorDisagree",
    "Assertion": "Reads both TRUE and FALSE across the seed data, so it can distinguish cases.",
    "DefendsQuestion": "q-steward-cadence-breach",
    "Suite": "suite-witness",
    "Severity": "advisory",
    "LastOutcome": "WARN",
    "LastDetail": "never true (3/3 false)",
    "LastRunAt": "2026-07-20T03:06:49+00:00",
    "SemanticTypeIri": "urn:effortless:pko-extension#TestCase",
    "Name": "witness-discriminates: ReviewEvents.PromiseAndBehaviorDisagree",
    "IsBlocking": false,
    "IsPassing": false,
    "IsFailing": false,
    "NeedsAttention": false,
    "PassingSuiteKey": null,
    "NeedsAttentionSuiteKey": null
   },
   {
    "TestCaseId": "tc-witness-operational_bindings-is_fresh",
    "TestKind": "witness-discriminates",
    "Subject": "OperationalBindings.IsFresh",
    "TargetTable": "OperationalBindings",
    "TargetField": "IsFresh",
    "Assertion": "Reads both TRUE and FALSE across the seed data, so it can distinguish cases.",
    "DefendsQuestion": null,
    "Suite": "suite-witness",
    "Severity": "advisory",
    "LastOutcome": "PASS",
    "LastDetail": "2 true / 3 false",
    "LastRunAt": "2026-07-20T03:06:49+00:00",
    "SemanticTypeIri": "urn:effortless:pko-extension#TestCase",
    "Name": "witness-discriminates: OperationalBindings.IsFresh",
    "IsBlocking": false,
    "IsPassing": true,
    "IsFailing": false,
    "NeedsAttention": false,
    "PassingSuiteKey": "suite-witness",
    "NeedsAttentionSuiteKey": null
   },
   {
    "TestCaseId": "tc-witness-operational_bindings-is_stale_and_authoritative",
    "TestKind": "witness-discriminates",
    "Subject": "OperationalBindings.IsStaleAndAuthoritative",
    "TargetTable": "OperationalBindings",
    "TargetField": "IsStaleAndAuthoritative",
    "Assertion": "Reads both TRUE and FALSE across the seed data, so it can distinguish cases.",
    "DefendsQuestion": "q-close-auto-input-freshness",
    "Suite": "suite-witness",
    "Severity": "advisory",
    "LastOutcome": "PASS",
    "LastDetail": "3 true / 2 false",
    "LastRunAt": "2026-07-20T03:06:49+00:00",
    "SemanticTypeIri": "urn:effortless:pko-extension#TestCase",
    "Name": "witness-discriminates: OperationalBindings.IsStaleAndAuthoritative",
    "IsBlocking": false,
    "IsPassing": true,
    "IsFailing": false,
    "NeedsAttention": false,
    "PassingSuiteKey": "suite-witness",
    "NeedsAttentionSuiteKey": null
   },
   {
    "TestCaseId": "tc-witness-operational_bindings-resource_is_approved",
    "TestKind": "witness-discriminates",
    "Subject": "OperationalBindings.ResourceIsApproved",
    "TargetTable": "OperationalBindings",
    "TargetField": "ResourceIsApproved",
    "Assertion": "Reads both TRUE and FALSE across the seed data, so it can distinguish cases.",
    "DefendsQuestion": "q-policy-ai-source-approval",
    "Suite": "suite-witness",
    "Severity": "advisory",
    "LastOutcome": "WARN",
    "LastDetail": "never true (0/5 false)",
    "LastRunAt": "2026-07-20T03:06:49+00:00",
    "SemanticTypeIri": "urn:effortless:pko-extension#TestCase",
    "Name": "witness-discriminates: OperationalBindings.ResourceIsApproved",
    "IsBlocking": false,
    "IsPassing": false,
    "IsFailing": false,
    "NeedsAttention": false,
    "PassingSuiteKey": null,
    "NeedsAttentionSuiteKey": null
   },
   {
    "TestCaseId": "tc-witness-operational_bindings-is_usable_for_drafting",
    "TestKind": "witness-discriminates",
    "Subject": "OperationalBindings.IsUsableForDrafting",
    "TargetTable": "OperationalBindings",
    "TargetField": "IsUsableForDrafting",
    "Assertion": "Reads both TRUE and FALSE across the seed data, so it can distinguish cases.",
    "DefendsQuestion": "q-policy-ai-source-approval",
    "Suite": "suite-witness",
    "Severity": "advisory",
    "LastOutcome": "WARN",
    "LastDetail": "never true (3/5 false)",
    "LastRunAt": "2026-07-20T03:06:49+00:00",
    "SemanticTypeIri": "urn:effortless:pko-extension#TestCase",
    "Name": "witness-discriminates: OperationalBindings.IsUsableForDrafting",
    "IsBlocking": false,
    "IsPassing": false,
    "IsFailing": false,
    "NeedsAttention": false,
    "PassingSuiteKey": null,
    "NeedsAttentionSuiteKey": null
   },
   {
    "TestCaseId": "tc-witness-communication_policies-is_active_policy",
    "TestKind": "witness-discriminates",
    "Subject": "CommunicationPolicies.IsActivePolicy",
    "TargetTable": "CommunicationPolicies",
    "TargetField": "IsActivePolicy",
    "Assertion": "Reads both TRUE and FALSE across the seed data, so it can distinguish cases.",
    "DefendsQuestion": "q-publisher-may-i-transmit",
    "Suite": "suite-witness",
    "Severity": "advisory",
    "LastOutcome": "WARN",
    "LastDetail": "always true (2/2)",
    "LastRunAt": "2026-07-20T03:06:49+00:00",
    "SemanticTypeIri": "urn:effortless:pko-extension#TestCase",
    "Name": "witness-discriminates: CommunicationPolicies.IsActivePolicy",
    "IsBlocking": false,
    "IsPassing": false,
    "IsFailing": false,
    "NeedsAttention": false,
    "PassingSuiteKey": null,
    "NeedsAttentionSuiteKey": null
   },
   {
    "TestCaseId": "tc-witness-message_templates-is_template_over_length",
    "TestKind": "witness-discriminates",
    "Subject": "MessageTemplates.IsTemplateOverLength",
    "TargetTable": "MessageTemplates",
    "TargetField": "IsTemplateOverLength",
    "Assertion": "Reads both TRUE and FALSE across the seed data, so it can distinguish cases.",
    "DefendsQuestion": "q-comms-oversized-sms",
    "Suite": "suite-witness",
    "Severity": "advisory",
    "LastOutcome": "WARN",
    "LastDetail": "never true (2/2 false)",
    "LastRunAt": "2026-07-20T03:06:49+00:00",
    "SemanticTypeIri": "urn:effortless:pko-extension#TestCase",
    "Name": "witness-discriminates: MessageTemplates.IsTemplateOverLength",
    "IsBlocking": false,
    "IsPassing": false,
    "IsFailing": false,
    "NeedsAttention": false,
    "PassingSuiteKey": null,
    "NeedsAttentionSuiteKey": null
   },
   {
    "TestCaseId": "tc-witness-message_templates-has_valid_approval",
    "TestKind": "witness-discriminates",
    "Subject": "MessageTemplates.HasValidApproval",
    "TargetTable": "MessageTemplates",
    "TargetField": "HasValidApproval",
    "Assertion": "Reads both TRUE and FALSE across the seed data, so it can distinguish cases.",
    "DefendsQuestion": "q-comms-approval-authority",
    "Suite": "suite-witness",
    "Severity": "advisory",
    "LastOutcome": "WARN",
    "LastDetail": "always true (2/2)",
    "LastRunAt": "2026-07-20T03:06:49+00:00",
    "SemanticTypeIri": "urn:effortless:pko-extension#TestCase",
    "Name": "witness-discriminates: MessageTemplates.HasValidApproval",
    "IsBlocking": false,
    "IsPassing": false,
    "IsFailing": false,
    "NeedsAttention": false,
    "PassingSuiteKey": null,
    "NeedsAttentionSuiteKey": null
   },
   {
    "TestCaseId": "tc-witness-message_templates-is_claiming_unbacked_approval",
    "TestKind": "witness-discriminates",
    "Subject": "MessageTemplates.IsClaimingUnbackedApproval",
    "TargetTable": "MessageTemplates",
    "TargetField": "IsClaimingUnbackedApproval",
    "Assertion": "Reads both TRUE and FALSE across the seed data, so it can distinguish cases.",
    "DefendsQuestion": "q-comms-approval-authority",
    "Suite": "suite-witness",
    "Severity": "advisory",
    "LastOutcome": "WARN",
    "LastDetail": "never true (2/2 false)",
    "LastRunAt": "2026-07-20T03:06:49+00:00",
    "SemanticTypeIri": "urn:effortless:pko-extension#TestCase",
    "Name": "witness-discriminates: MessageTemplates.IsClaimingUnbackedApproval",
    "IsBlocking": false,
    "IsPassing": false,
    "IsFailing": false,
    "NeedsAttention": false,
    "PassingSuiteKey": null,
    "NeedsAttentionSuiteKey": null
   },
   {
    "TestCaseId": "tc-witness-message_templates-has_body_drifted",
    "TestKind": "witness-discriminates",
    "Subject": "MessageTemplates.HasBodyDrifted",
    "TargetTable": "MessageTemplates",
    "TargetField": "HasBodyDrifted",
    "Assertion": "Reads both TRUE and FALSE across the seed data, so it can distinguish cases.",
    "DefendsQuestion": "q-comms-template-drift",
    "Suite": "suite-witness",
    "Severity": "advisory",
    "LastOutcome": "WARN",
    "LastDetail": "never true (2/2 false)",
    "LastRunAt": "2026-07-20T03:06:49+00:00",
    "SemanticTypeIri": "urn:effortless:pko-extension#TestCase",
    "Name": "witness-discriminates: MessageTemplates.HasBodyDrifted",
    "IsBlocking": false,
    "IsPassing": false,
    "IsFailing": false,
    "NeedsAttention": false,
    "PassingSuiteKey": null,
    "NeedsAttentionSuiteKey": null
   },
   {
    "TestCaseId": "tc-witness-message_templates-is_sendable_under_approval",
    "TestKind": "witness-discriminates",
    "Subject": "MessageTemplates.IsSendableUnderApproval",
    "TargetTable": "MessageTemplates",
    "TargetField": "IsSendableUnderApproval",
    "Assertion": "Reads both TRUE and FALSE across the seed data, so it can distinguish cases.",
    "DefendsQuestion": "q-comms-template-drift",
    "Suite": "suite-witness",
    "Severity": "advisory",
    "LastOutcome": "WARN",
    "LastDetail": "always true (2/2)",
    "LastRunAt": "2026-07-20T03:06:49+00:00",
    "SemanticTypeIri": "urn:effortless:pko-extension#TestCase",
    "Name": "witness-discriminates: MessageTemplates.IsSendableUnderApproval",
    "IsBlocking": false,
    "IsPassing": false,
    "IsFailing": false,
    "NeedsAttention": false,
    "PassingSuiteKey": null,
    "NeedsAttentionSuiteKey": null
   },
   {
    "TestCaseId": "tc-witness-message_templates-template_draws_no_response",
    "TestKind": "witness-discriminates",
    "Subject": "MessageTemplates.TemplateDrawsNoResponse",
    "TargetTable": "MessageTemplates",
    "TargetField": "TemplateDrawsNoResponse",
    "Assertion": "Reads both TRUE and FALSE across the seed data, so it can distinguish cases.",
    "DefendsQuestion": "q2-comms-message-nobody-answered",
    "Suite": "suite-witness",
    "Severity": "advisory",
    "LastOutcome": "PASS",
    "LastDetail": "1 true / 1 false",
    "LastRunAt": "2026-07-20T03:06:49+00:00",
    "SemanticTypeIri": "urn:effortless:pko-extension#TestCase",
    "Name": "witness-discriminates: MessageTemplates.TemplateDrawsNoResponse",
    "IsBlocking": false,
    "IsPassing": true,
    "IsFailing": false,
    "NeedsAttention": false,
    "PassingSuiteKey": "suite-witness",
    "NeedsAttentionSuiteKey": null
   },
   {
    "TestCaseId": "tc-witness-exception_invocations-approval_role_matches",
    "TestKind": "witness-discriminates",
    "Subject": "ExceptionInvocations.ApprovalRoleMatches",
    "TargetTable": "ExceptionInvocations",
    "TargetField": "ApprovalRoleMatches",
    "Assertion": "Reads both TRUE and FALSE across the seed data, so it can distinguish cases.",
    "DefendsQuestion": null,
    "Suite": "suite-witness",
    "Severity": "advisory",
    "LastOutcome": "WARN",
    "LastDetail": "always true (1/1)",
    "LastRunAt": "2026-07-20T03:06:49+00:00",
    "SemanticTypeIri": "urn:effortless:pko-extension#TestCase",
    "Name": "witness-discriminates: ExceptionInvocations.ApprovalRoleMatches",
    "IsBlocking": false,
    "IsPassing": false,
    "IsFailing": false,
    "NeedsAttention": false,
    "PassingSuiteKey": null,
    "NeedsAttentionSuiteKey": null
   },
   {
    "TestCaseId": "tc-witness-exception_invocations-is_approved",
    "TestKind": "witness-discriminates",
    "Subject": "ExceptionInvocations.IsApproved",
    "TargetTable": "ExceptionInvocations",
    "TargetField": "IsApproved",
    "Assertion": "Reads both TRUE and FALSE across the seed data, so it can distinguish cases.",
    "DefendsQuestion": null,
    "Suite": "suite-witness",
    "Severity": "advisory",
    "LastOutcome": "WARN",
    "LastDetail": "always true (1/1)",
    "LastRunAt": "2026-07-20T03:06:49+00:00",
    "SemanticTypeIri": "urn:effortless:pko-extension#TestCase",
    "Name": "witness-discriminates: ExceptionInvocations.IsApproved",
    "IsBlocking": false,
    "IsPassing": false,
    "IsFailing": false,
    "NeedsAttention": false,
    "PassingSuiteKey": null,
    "NeedsAttentionSuiteKey": null
   },
   {
    "TestCaseId": "tc-witness-exception_invocations-is_improperly_approved",
    "TestKind": "witness-discriminates",
    "Subject": "ExceptionInvocations.IsImproperlyApproved",
    "TargetTable": "ExceptionInvocations",
    "TargetField": "IsImproperlyApproved",
    "Assertion": "Reads both TRUE and FALSE across the seed data, so it can distinguish cases.",
    "DefendsQuestion": null,
    "Suite": "suite-witness",
    "Severity": "advisory",
    "LastOutcome": "WARN",
    "LastDetail": "never true (1/1 false)",
    "LastRunAt": "2026-07-20T03:06:49+00:00",
    "SemanticTypeIri": "urn:effortless:pko-extension#TestCase",
    "Name": "witness-discriminates: ExceptionInvocations.IsImproperlyApproved",
    "IsBlocking": false,
    "IsPassing": false,
    "IsFailing": false,
    "NeedsAttention": false,
    "PassingSuiteKey": null,
    "NeedsAttentionSuiteKey": null
   },
   {
    "TestCaseId": "tc-witness-exception_invocations-delegated_to_preparer",
    "TestKind": "witness-discriminates",
    "Subject": "ExceptionInvocations.DelegatedToPreparer",
    "TargetTable": "ExceptionInvocations",
    "TargetField": "DelegatedToPreparer",
    "Assertion": "Reads both TRUE and FALSE across the seed data, so it can distinguish cases.",
    "DefendsQuestion": "q-cfo-who-actually-held-authority",
    "Suite": "suite-witness",
    "Severity": "advisory",
    "LastOutcome": "WARN",
    "LastDetail": "never true (1/1 false)",
    "LastRunAt": "2026-07-20T03:06:49+00:00",
    "SemanticTypeIri": "urn:effortless:pko-extension#TestCase",
    "Name": "witness-discriminates: ExceptionInvocations.DelegatedToPreparer",
    "IsBlocking": false,
    "IsPassing": false,
    "IsFailing": false,
    "NeedsAttention": false,
    "PassingSuiteKey": null,
    "NeedsAttentionSuiteKey": null
   },
   {
    "TestCaseId": "tc-witness-exception_invocations-is_ungoverned_invocation",
    "TestKind": "witness-discriminates",
    "Subject": "ExceptionInvocations.IsUngovernedInvocation",
    "TargetTable": "ExceptionInvocations",
    "TargetField": "IsUngovernedInvocation",
    "Assertion": "Reads both TRUE and FALSE across the seed data, so it can distinguish cases.",
    "DefendsQuestion": "q-cfo-who-actually-held-authority",
    "Suite": "suite-witness",
    "Severity": "advisory",
    "LastOutcome": "WARN",
    "LastDetail": "never true (1/1 false)",
    "LastRunAt": "2026-07-20T03:06:49+00:00",
    "SemanticTypeIri": "urn:effortless:pko-extension#TestCase",
    "Name": "witness-discriminates: ExceptionInvocations.IsUngovernedInvocation",
    "IsBlocking": false,
    "IsPassing": false,
    "IsFailing": false,
    "NeedsAttention": false,
    "PassingSuiteKey": null,
    "NeedsAttentionSuiteKey": null
   },
   {
    "TestCaseId": "tc-witness-verification_outcomes-signal_matches_expected",
    "TestKind": "witness-discriminates",
    "Subject": "VerificationOutcomes.SignalMatchesExpected",
    "TargetTable": "VerificationOutcomes",
    "TargetField": "SignalMatchesExpected",
    "Assertion": "Reads both TRUE and FALSE across the seed data, so it can distinguish cases.",
    "DefendsQuestion": null,
    "Suite": "suite-witness",
    "Severity": "advisory",
    "LastOutcome": "PASS",
    "LastDetail": "3 true / 1 false",
    "LastRunAt": "2026-07-20T03:06:49+00:00",
    "SemanticTypeIri": "urn:effortless:pko-extension#TestCase",
    "Name": "witness-discriminates: VerificationOutcomes.SignalMatchesExpected",
    "IsBlocking": false,
    "IsPassing": true,
    "IsFailing": false,
    "NeedsAttention": false,
    "PassingSuiteKey": "suite-witness",
    "NeedsAttentionSuiteKey": null
   },
   {
    "TestCaseId": "tc-witness-verification_outcomes-has_evidence",
    "TestKind": "witness-discriminates",
    "Subject": "VerificationOutcomes.HasEvidence",
    "TargetTable": "VerificationOutcomes",
    "TargetField": "HasEvidence",
    "Assertion": "Reads both TRUE and FALSE across the seed data, so it can distinguish cases.",
    "DefendsQuestion": null,
    "Suite": "suite-witness",
    "Severity": "advisory",
    "LastOutcome": "PASS",
    "LastDetail": "3 true / 1 false",
    "LastRunAt": "2026-07-20T03:06:49+00:00",
    "SemanticTypeIri": "urn:effortless:pko-extension#TestCase",
    "Name": "witness-discriminates: VerificationOutcomes.HasEvidence",
    "IsBlocking": false,
    "IsPassing": true,
    "IsFailing": false,
    "NeedsAttention": false,
    "PassingSuiteKey": "suite-witness",
    "NeedsAttentionSuiteKey": null
   },
   {
    "TestCaseId": "tc-witness-verification_outcomes-is_unbacked_observation",
    "TestKind": "witness-discriminates",
    "Subject": "VerificationOutcomes.IsUnbackedObservation",
    "TargetTable": "VerificationOutcomes",
    "TargetField": "IsUnbackedObservation",
    "Assertion": "Reads both TRUE and FALSE across the seed data, so it can distinguish cases.",
    "DefendsQuestion": null,
    "Suite": "suite-witness",
    "Severity": "advisory",
    "LastOutcome": "PASS",
    "LastDetail": "1 true / 3 false",
    "LastRunAt": "2026-07-20T03:06:49+00:00",
    "SemanticTypeIri": "urn:effortless:pko-extension#TestCase",
    "Name": "witness-discriminates: VerificationOutcomes.IsUnbackedObservation",
    "IsBlocking": false,
    "IsPassing": true,
    "IsFailing": false,
    "NeedsAttention": false,
    "PassingSuiteKey": "suite-witness",
    "NeedsAttentionSuiteKey": null
   },
   {
    "TestCaseId": "tc-witness-verification_outcomes-is_self_witnessed",
    "TestKind": "witness-discriminates",
    "Subject": "VerificationOutcomes.IsSelfWitnessed",
    "TargetTable": "VerificationOutcomes",
    "TargetField": "IsSelfWitnessed",
    "Assertion": "Reads both TRUE and FALSE across the seed data, so it can distinguish cases.",
    "DefendsQuestion": "q-cfo-approval-was-actually-verified",
    "Suite": "suite-witness",
    "Severity": "advisory",
    "LastOutcome": "PASS",
    "LastDetail": "3 true / 1 false",
    "LastRunAt": "2026-07-20T03:06:49+00:00",
    "SemanticTypeIri": "urn:effortless:pko-extension#TestCase",
    "Name": "witness-discriminates: VerificationOutcomes.IsSelfWitnessed",
    "IsBlocking": false,
    "IsPassing": true,
    "IsFailing": false,
    "NeedsAttention": false,
    "PassingSuiteKey": "suite-witness",
    "NeedsAttentionSuiteKey": null
   },
   {
    "TestCaseId": "tc-witness-verification_outcomes-is_self_witnessed_and_unbacked",
    "TestKind": "witness-discriminates",
    "Subject": "VerificationOutcomes.IsSelfWitnessedAndUnbacked",
    "TargetTable": "VerificationOutcomes",
    "TargetField": "IsSelfWitnessedAndUnbacked",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VerificationOutcomes.IsSelfWitnessedAndUnbacked",
    "IsBl</t>
  </si>
  <si>
    <t xml:space="preserve">ocking": false,
    "IsPassing": true,
    "IsFailing": false,
    "NeedsAttention": false,
    "PassingSuiteKey": "suite-witness",
    "NeedsAttentionSuiteKey": null
   },
   {
    "TestCaseId": "tc-witness-verification_outcomes-is_uncorroborated_pass",
    "TestKind": "witness-discriminates",
    "Subject": "VerificationOutcomes.IsUncorroboratedPass",
    "TargetTable": "VerificationOutcomes",
    "TargetField": "IsUncorroboratedPass",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VerificationOutcomes.IsUncorroboratedPass",
    "IsBlocking": false,
    "IsPassing": true,
    "IsFailing": false,
    "NeedsAttention": false,
    "PassingSuiteKey": "suite-witness",
    "NeedsAttentionSuiteKey": null
   },
   {
    "TestCaseId": "tc-witness-verification_outcomes-observer_is_non_human",
    "TestKind": "witness-discriminates",
    "Subject": "VerificationOutcomes.ObserverIsNonHuman",
    "TargetTable": "VerificationOutcomes",
    "TargetField": "ObserverIsNonHuman",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VerificationOutcomes.ObserverIsNonHuman",
    "IsBlocking": false,
    "IsPassing": true,
    "IsFailing": false,
    "NeedsAttention": false,
    "PassingSuiteKey": "suite-witness",
    "NeedsAttentionSuiteKey": null
   },
   {
    "TestCaseId": "tc-witness-verification_outcomes-observer_is_independent_of_executor",
    "TestKind": "witness-discriminates",
    "Subject": "VerificationOutcomes.ObserverIsIndependentOfExecutor",
    "TargetTable": "VerificationOutcomes",
    "TargetField": "ObserverIsIndependentOfExecutor",
    "Assertion": "Reads both TRUE and FALSE across the seed data, so it can distinguish cases.",
    "DefendsQuestion": "q2-fa-my-own-evidence-quality",
    "Suite": "suite-witness",
    "Severity": "advisory",
    "LastOutcome": "PASS",
    "LastDetail": "1 true / 3 false",
    "LastRunAt": "2026-07-20T03:06:49+00:00",
    "SemanticTypeIri": "urn:effortless:pko-extension#TestCase",
    "Name": "witness-discriminates: VerificationOutcomes.ObserverIsIndependentOfExecutor",
    "IsBlocking": false,
    "IsPassing": true,
    "IsFailing": false,
    "NeedsAttention": false,
    "PassingSuiteKey": "suite-witness",
    "NeedsAttentionSuiteKey": null
   },
   {
    "TestCaseId": "tc-witness-verification_outcomes-is_independent_human_observation",
    "TestKind": "witness-discriminates",
    "Subject": "VerificationOutcomes.IsIndependentHumanObservation",
    "TargetTable": "VerificationOutcomes",
    "TargetField": "IsIndependentHumanObservation",
    "Assertion": "Reads both TRUE and FALSE across the seed data, so it can distinguish cases.",
    "DefendsQuestion": "q2-cfo-who-witnessed-the-witnesses",
    "Suite": "suite-witness",
    "Severity": "advisory",
    "LastOutcome": "PASS",
    "LastDetail": "1 true / 3 false",
    "LastRunAt": "2026-07-20T03:06:49+00:00",
    "SemanticTypeIri": "urn:effortless:pko-extension#TestCase",
    "Name": "witness-discriminates: VerificationOutcomes.IsIndependentHumanObservation",
    "IsBlocking": false,
    "IsPassing": true,
    "IsFailing": false,
    "NeedsAttention": false,
    "PassingSuiteKey": "suite-witness",
    "NeedsAttentionSuiteKey": null
   },
   {
    "TestCaseId": "tc-witness-recipients-has_sms_consent",
    "TestKind": "witness-discriminates",
    "Subject": "Recipients.HasSmsConsent",
    "TargetTable": "Recipients",
    "TargetField": "HasSmsConsent",
    "Assertion": "Reads both TRUE and FALSE across the seed data, so it can distinguish cases.",
    "DefendsQuestion": null,
    "Suite": "suite-witness",
    "Severity": "advisory",
    "LastOutcome": "PASS",
    "LastDetail": "3 true / 2 false",
    "LastRunAt": "2026-07-20T03:06:49+00:00",
    "SemanticTypeIri": "urn:effortless:pko-extension#TestCase",
    "Name": "witness-discriminates: Recipients.HasSmsConsent",
    "IsBlocking": false,
    "IsPassing": true,
    "IsFailing": false,
    "NeedsAttention": false,
    "PassingSuiteKey": "suite-witness",
    "NeedsAttentionSuiteKey": null
   },
   {
    "TestCaseId": "tc-witness-recipients-is_email_reachable",
    "TestKind": "witness-discriminates",
    "Subject": "Recipients.IsEmailReachable",
    "TargetTable": "Recipients",
    "TargetField": "IsEmailReachable",
    "Assertion": "Reads both TRUE and FALSE across the seed data, so it can distinguish cases.",
    "DefendsQuestion": null,
    "Suite": "suite-witness",
    "Severity": "advisory",
    "LastOutcome": "WARN",
    "LastDetail": "always true (5/5)",
    "LastRunAt": "2026-07-20T03:06:49+00:00",
    "SemanticTypeIri": "urn:effortless:pko-extension#TestCase",
    "Name": "witness-discriminates: Recipients.IsEmailReachable",
    "IsBlocking": false,
    "IsPassing": false,
    "IsFailing": false,
    "NeedsAttention": false,
    "PassingSuiteKey": null,
    "NeedsAttentionSuiteKey": null
   },
   {
    "TestCaseId": "tc-witness-recipients-is_sms_reachable",
    "TestKind": "witness-discriminates",
    "Subject": "Recipients.IsSmsReachable",
    "TargetTable": "Recipients",
    "TargetField": "IsSmsReachable",
    "Assertion": "Reads both TRUE and FALSE across the seed data, so it can distinguish cases.",
    "DefendsQuestion": null,
    "Suite": "suite-witness",
    "Severity": "advisory",
    "LastOutcome": "PASS",
    "LastDetail": "4 true / 1 false",
    "LastRunAt": "2026-07-20T03:06:49+00:00",
    "SemanticTypeIri": "urn:effortless:pko-extension#TestCase",
    "Name": "witness-discriminates: Recipients.IsSmsReachable",
    "IsBlocking": false,
    "IsPassing": true,
    "IsFailing": false,
    "NeedsAttention": false,
    "PassingSuiteKey": "suite-witness",
    "NeedsAttentionSuiteKey": null
   },
   {
    "TestCaseId": "tc-witness-recipients-is_unreachable",
    "TestKind": "witness-discriminates",
    "Subject": "Recipients.IsUnreachable",
    "TargetTable": "Recipients",
    "TargetField": "IsUnreachable",
    "Assertion": "Reads both TRUE and FALSE across the seed data, so it can distinguish cases.",
    "DefendsQuestion": null,
    "Suite": "suite-witness",
    "Severity": "advisory",
    "LastOutcome": "WARN",
    "LastDetail": "never true (5/5 false)",
    "LastRunAt": "2026-07-20T03:06:49+00:00",
    "SemanticTypeIri": "urn:effortless:pko-extension#TestCase",
    "Name": "witness-discriminates: Recipients.IsUnreachable",
    "IsBlocking": false,
    "IsPassing": false,
    "IsFailing": false,
    "NeedsAttention": false,
    "PassingSuiteKey": null,
    "NeedsAttentionSuiteKey": null
   },
   {
    "TestCaseId": "tc-witness-recipients-is_communicationally_stranded",
    "TestKind": "witness-discriminates",
    "Subject": "Recipients.IsCommunicationallyStranded",
    "TargetTable": "Recipients",
    "TargetField": "IsCommunicationallyStranded",
    "Assertion": "Reads both TRUE and FALSE across the seed data, so it can distinguish cases.",
    "DefendsQuestion": "q2-comms-suppression-is-a-communication",
    "Suite": "suite-witness",
    "Severity": "advisory",
    "LastOutcome": "WARN",
    "LastDetail": "never true (5/5 false)",
    "LastRunAt": "2026-07-20T03:06:49+00:00",
    "SemanticTypeIri": "urn:effortless:pko-extension#TestCase",
    "Name": "witness-discriminates: Recipients.IsCommunicationallyStranded",
    "IsBlocking": false,
    "IsPassing": false,
    "IsFailing": false,
    "NeedsAttention": false,
    "PassingSuiteKey": null,
    "NeedsAttentionSuiteKey": null
   },
   {
    "TestCaseId": "tc-witness-message_deliveries-policy_requires_consent",
    "TestKind": "witness-discriminates",
    "Subject": "MessageDeliveries.PolicyRequiresConsent",
    "TargetTable": "MessageDeliveries",
    "TargetField": "PolicyRequiresConsent",
    "Assertion": "Reads both TRUE and FALSE across the seed data, so it can distinguish cases.",
    "DefendsQuestion": "q-counsel-sms-without-consent",
    "Suite": "suite-witness",
    "Severity": "advisory",
    "LastOutcome": "PASS",
    "LastDetail": "4 true / 2 false",
    "LastRunAt": "2026-07-20T03:06:49+00:00",
    "SemanticTypeIri": "urn:effortless:pko-extension#TestCase",
    "Name": "witness-discriminates: MessageDeliveries.PolicyRequiresConsent",
    "IsBlocking": false,
    "IsPassing": true,
    "IsFailing": false,
    "NeedsAttention": false,
    "PassingSuiteKey": "suite-witness",
    "NeedsAttentionSuiteKey": null
   },
   {
    "TestCaseId": "tc-witness-message_deliveries-recipient_has_sms_consent",
    "TestKind": "witness-discriminates",
    "Subject": "MessageDeliveries.RecipientHasSmsConsent",
    "TargetTable": "MessageDeliveries",
    "TargetField": "RecipientHasSmsConsent",
    "Assertion": "Reads both TRUE and FALSE across the seed data, so it can distinguish cases.",
    "DefendsQuestion": "q-counsel-sms-without-consent",
    "Suite": "suite-witness",
    "Severity": "advisory",
    "LastOutcome": "PASS",
    "LastDetail": "4 true / 2 false",
    "LastRunAt": "2026-07-20T03:06:49+00:00",
    "SemanticTypeIri": "urn:effortless:pko-extension#TestCase",
    "Name": "witness-discriminates: MessageDeliveries.RecipientHasSmsConsent",
    "IsBlocking": false,
    "IsPassing": true,
    "IsFailing": false,
    "NeedsAttention": false,
    "PassingSuiteKey": "suite-witness",
    "NeedsAttentionSuiteKey": null
   },
   {
    "TestCaseId": "tc-witness-message_deliveries-was_actually_transmitted",
    "TestKind": "witness-discriminates",
    "Subject": "MessageDeliveries.WasActuallyTransmitted",
    "TargetTable": "MessageDeliveries",
    "TargetField": "WasActuallyTransmitted",
    "Assertion": "Reads both TRUE and FALSE across the seed data, so it can distinguish cases.",
    "DefendsQuestion": "q-counsel-sms-without-consent",
    "Suite": "suite-witness",
    "Severity": "advisory",
    "LastOutcome": "PASS",
    "LastDetail": "4 true / 2 false",
    "LastRunAt": "2026-07-20T03:06:49+00:00",
    "SemanticTypeIri": "urn:effortless:pko-extension#TestCase",
    "Name": "witness-discriminates: MessageDeliveries.WasActuallyTransmitted",
    "IsBlocking": false,
    "IsPassing": true,
    "IsFailing": false,
    "NeedsAttention": false,
    "PassingSuiteKey": "suite-witness",
    "NeedsAttentionSuiteKey": null
   },
   {
    "TestCaseId": "tc-witness-message_deliveries-is_consent_violation",
    "TestKind": "witness-discriminates",
    "Subject": "MessageDeliveries.IsConsentViolation",
    "TargetTable": "MessageDeliveries",
    "TargetField": "IsConsentViolation",
    "Assertion": "Reads both TRUE and FALSE across the seed data, so it can distinguish cases.",
    "DefendsQuestion": "q-counsel-sms-without-consent",
    "Suite": "suite-witness",
    "Severity": "advisory",
    "LastOutcome": "WARN",
    "LastDetail": "never true (6/6 false)",
    "LastRunAt": "2026-07-20T03:06:49+00:00",
    "SemanticTypeIri": "urn:effortless:pko-extension#TestCase",
    "Name": "witness-discriminates: MessageDeliveries.IsConsentViolation",
    "IsBlocking": false,
    "IsPassing": false,
    "IsFailing": false,
    "NeedsAttention": false,
    "PassingSuiteKey": null,
    "NeedsAttentionSuiteKey": null
   },
   {
    "TestCaseId": "tc-witness-message_deliveries-policy_has_quiet_hours",
    "TestKind": "witness-discriminates",
    "Subject": "MessageDeliveries.PolicyHasQuietHours",
    "TargetTable": "MessageDeliveries",
    "TargetField": "PolicyHasQuietHours",
    "Assertion": "Reads both TRUE and FALSE across the seed data, so it can distinguish cases.",
    "DefendsQuestion": "q-counsel-quiet-hours-breach",
    "Suite": "suite-witness",
    "Severity": "advisory",
    "LastOutcome": "PASS",
    "LastDetail": "4 true / 2 false",
    "LastRunAt": "2026-07-20T03:06:49+00:00",
    "SemanticTypeIri": "urn:effortless:pko-extension#TestCase",
    "Name": "witness-discriminates: MessageDeliveries.PolicyHasQuietHours",
    "IsBlocking": false,
    "IsPassing": true,
    "IsFailing": false,
    "NeedsAttention": false,
    "PassingSuiteKey": "suite-witness",
    "NeedsAttentionSuiteKey": null
   },
   {
    "TestCaseId": "tc-witness-message_deliveries-quiet_window_wraps_midnight",
    "TestKind": "witness-discriminates",
    "Subject": "MessageDeliveries.QuietWindowWrapsMidnight",
    "TargetTable": "MessageDeliveries",
    "TargetField": "QuietWindowWrapsMidnight",
    "Assertion": "Reads both TRUE and FALSE across the seed data, so it can distinguish cases.",
    "DefendsQuestion": "q-counsel-quiet-hours-breach",
    "Suite": "suite-witness",
    "Severity": "advisory",
    "LastOutcome": "PASS",
    "LastDetail": "4 true / 2 false",
    "LastRunAt": "2026-07-20T03:06:49+00:00",
    "SemanticTypeIri": "urn:effortless:pko-extension#TestCase",
    "Name": "witness-discriminates: MessageDeliveries.QuietWindowWrapsMidnight",
    "IsBlocking": false,
    "IsPassing": true,
    "IsFailing": false,
    "NeedsAttention": false,
    "PassingSuiteKey": "suite-witness",
    "NeedsAttentionSuiteKey": null
   },
   {
    "TestCaseId": "tc-witness-message_deliveries-is_inside_quiet_window",
    "TestKind": "witness-discriminates",
    "Subject": "MessageDeliveries.IsInsideQuietWindow",
    "TargetTable": "MessageDeliveries",
    "TargetField": "IsInsideQuietWindow",
    "Assertion": "Reads both TRUE and FALSE across the seed data, so it can distinguish cases.",
    "DefendsQuestion": "q-counsel-quiet-hours-breach",
    "Suite": "suite-witness",
    "Severity": "advisory",
    "LastOutcome": "PASS",
    "LastDetail": "1 true / 5 false",
    "LastRunAt": "2026-07-20T03:06:49+00:00",
    "SemanticTypeIri": "urn:effortless:pko-extension#TestCase",
    "Name": "witness-discriminates: MessageDeliveries.IsInsideQuietWindow",
    "IsBlocking": false,
    "IsPassing": true,
    "IsFailing": false,
    "NeedsAttention": false,
    "PassingSuiteKey": "suite-witness",
    "NeedsAttentionSuiteKey": null
   },
   {
    "TestCaseId": "tc-witness-message_deliveries-is_quiet_hours_violation",
    "TestKind": "witness-discriminates",
    "Subject": "MessageDeliveries.IsQuietHoursViolation",
    "TargetTable": "MessageDeliveries",
    "TargetField": "IsQuietHoursViolation",
    "Assertion": "Reads both TRUE and FALSE across the seed data, so it can distinguish cases.",
    "DefendsQuestion": "q-counsel-quiet-hours-breach",
    "Suite": "suite-witness",
    "Severity": "advisory",
    "LastOutcome": "PASS",
    "LastDetail": "1 true / 5 false",
    "LastRunAt": "2026-07-20T03:06:49+00:00",
    "SemanticTypeIri": "urn:effortless:pko-extension#TestCase",
    "Name": "witness-discriminates: MessageDeliveries.IsQuietHoursViolation",
    "IsBlocking": false,
    "IsPassing": true,
    "IsFailing": false,
    "NeedsAttention": false,
    "PassingSuiteKey": "suite-witness",
    "NeedsAttentionSuiteKey": null
   },
   {
    "TestCaseId": "tc-witness-message_deliveries-recipient_is_unreachable",
    "TestKind": "witness-discriminates",
    "Subject": "MessageDeliveries.RecipientIsUnreachable",
    "TargetTable": "MessageDeliveries",
    "TargetField": "RecipientIsUnreachable",
    "Assertion": "Reads both TRUE and FALSE across the seed data, so it can distinguish cases.",
    "DefendsQuestion": "q-counsel-unreachable-not-acknowledged",
    "Suite": "suite-witness",
    "Severity": "advisory",
    "LastOutcome": "WARN",
    "LastDetail": "never true (6/6 false)",
    "LastRunAt": "2026-07-20T03:06:49+00:00",
    "SemanticTypeIri": "urn:effortless:pko-extension#TestCase",
    "Name": "witness-discriminates: MessageDeliveries.RecipientIsUnreachable",
    "IsBlocking": false,
    "IsPassing": false,
    "IsFailing": false,
    "NeedsAttention": false,
    "PassingSuiteKey": null,
    "NeedsAttentionSuiteKey": null
   },
   {
    "TestCaseId": "tc-witness-message_deliveries-is_acknowledged",
    "TestKind": "witness-discriminates",
    "Subject": "MessageDeliveries.IsAcknowledged",
    "TargetTable": "MessageDeliveries",
    "TargetField": "IsAcknowledged",
    "Assertion": "Reads both TRUE and FALSE across the seed data, so it can distinguish cases.",
    "DefendsQuestion": "q-counsel-unreachable-not-acknowledged",
    "Suite": "suite-witness",
    "Severity": "advisory",
    "LastOutcome": "PASS",
    "LastDetail": "1 true / 5 false",
    "LastRunAt": "2026-07-20T03:06:49+00:00",
    "SemanticTypeIri": "urn:effortless:pko-extension#TestCase",
    "Name": "witness-discriminates: MessageDeliveries.IsAcknowledged",
    "IsBlocking": false,
    "IsPassing": true,
    "IsFailing": false,
    "NeedsAttention": false,
    "PassingSuiteKey": "suite-witness",
    "NeedsAttentionSuiteKey": null
   },
   {
    "TestCaseId": "tc-witness-message_deliveries-has_unreachable_exception_invoked",
    "TestKind": "witness-discriminates",
    "Subject": "MessageDeliveries.HasUnreachableExceptionInvoked",
    "TargetTable": "MessageDeliveries",
    "TargetField": "HasUnreachableExceptionInvoked",
    "Assertion": "Reads both TRUE and FALSE across the seed data, so it can distinguish cases.",
    "DefendsQuestion": "q-counsel-unreachable-not-acknowledged",
    "Suite": "suite-witness",
    "Severity": "advisory",
    "LastOutcome": "PASS",
    "LastDetail": "1 true / 2 false",
    "LastRunAt": "2026-07-20T03:06:49+00:00",
    "SemanticTypeIri": "urn:effortless:pko-extension#TestCase",
    "Name": "witness-discriminates: MessageDeliveries.HasUnreachableExceptionInvoked",
    "IsBlocking": false,
    "IsPassing": true,
    "IsFailing": false,
    "NeedsAttention": false,
    "PassingSuiteKey": "suite-witness",
    "NeedsAttentionSuiteKey": null
   },
   {
    "TestCaseId": "tc-witness-message_deliveries-is_fabricated_acknowledgement",
    "TestKind": "witness-discriminates",
    "Subject": "MessageDeliveries.IsFabricatedAcknowledgement",
    "TargetTable": "MessageDeliveries",
    "TargetField": "IsFabricatedAcknowledgement",
    "Assertion": "Reads both TRUE and FALSE across the seed data, so it can distinguish cases.",
    "DefendsQuestion": "q-counsel-unreachable-not-acknowledged",
    "Suite": "suite-witness",
    "Severity": "advisory",
    "LastOutcome": "WARN",
    "LastDetail": "never true (6/6 false)",
    "LastRunAt": "2026-07-20T03:06:49+00:00",
    "SemanticTypeIri": "urn:effortless:pko-extension#TestCase",
    "Name": "witness-discriminates: MessageDeliveries.IsFabricatedAcknowledgement",
    "IsBlocking": false,
    "IsPassing": false,
    "IsFailing": false,
    "NeedsAttention": false,
    "PassingSuiteKey": null,
    "NeedsAttentionSuiteKey": null
   },
   {
    "TestCaseId": "tc-witness-message_deliveries-is_unhandled_unreachable",
    "TestKind": "witness-discriminates",
    "Subject": "MessageDeliveries.IsUnhandledUnreachable",
    "TargetTable": "MessageDeliveries",
    "TargetField": "IsUnhandledUnreachable",
    "Assertion": "Reads both TRUE and FALSE across the seed data, so it can distinguish cases.",
    "DefendsQuestion": "q-counsel-unreachable-not-acknowledged",
    "Suite": "suite-witness",
    "Severity": "advisory",
    "LastOutcome": "WARN",
    "LastDetail": "never true (6/6 false)",
    "LastRunAt": "2026-07-20T03:06:49+00:00",
    "SemanticTypeIri": "urn:effortless:pko-extension#TestCase",
    "Name": "witness-discriminates: MessageDeliveries.IsUnhandledUnreachable",
    "IsBlocking": false,
    "IsPassing": false,
    "IsFailing": false,
    "NeedsAttention": false,
    "PassingSuiteKey": null,
    "NeedsAttentionSuiteKey": null
   },
   {
    "TestCaseId": "tc-witness-message_deliveries-is_within_retention_window",
    "TestKind": "witness-discriminates",
    "Subject": "MessageDeliveries.IsWithinRetentionWindow",
    "TargetTable": "MessageDeliveries",
    "TargetField": "IsWithinRetentionWindow",
    "Assertion": "Reads both TRUE and FALSE across the seed data, so it can distinguish cases.",
    "DefendsQuestion": "q-counsel-retention-evidence",
    "Suite": "suite-witness",
    "Severity": "advisory",
    "LastOutcome": "WARN",
    "LastDetail": "always true (6/6)",
    "LastRunAt": "2026-07-20T03:06:49+00:00",
    "SemanticTypeIri": "urn:effortless:pko-extension#TestCase",
    "Name": "witness-discriminates: MessageDeliveries.IsWithinRetentionWindow",
    "IsBlocking": false,
    "IsPassing": false,
    "IsFailing": false,
    "NeedsAttention": false,
    "PassingSuiteKey": null,
    "NeedsAttentionSuiteKey": null
   },
   {
    "TestCaseId": "tc-witness-message_deliveries-has_rendered_body",
    "TestKind": "witness-discriminates",
    "Subject": "MessageDeliveries.HasRenderedBody",
    "TargetTable": "MessageDeliveries",
    "TargetField": "HasRenderedBody",
    "Assertion": "Reads both TRUE and FALSE across the seed data, so it can distinguish cases.",
    "DefendsQuestion": "q-counsel-retention-evidence",
    "Suite": "suite-witness",
    "Severity": "advisory",
    "LastOutcome": "WARN",
    "LastDetail": "always true (6/6)",
    "LastRunAt": "2026-07-20T03:06:49+00:00",
    "SemanticTypeIri": "urn:effortless:pko-extension#TestCase",
    "Name": "witness-discriminates: MessageDeliveries.HasRenderedBody",
    "IsBlocking": false,
    "IsPassing": false,
    "IsFailing": false,
    "NeedsAttention": false,
    "PassingSuiteKey": null,
    "NeedsAttentionSuiteKey": null
   },
   {
    "TestCaseId": "tc-witness-message_deliveries-is_evidence_required",
    "TestKind": "witness-discriminates",
    "Subject": "MessageDeliveries.IsEvidenceRequired",
    "TargetTable": "MessageDeliveries",
    "TargetField": "IsEvidenceRequired",
    "Assertion": "Reads both TRUE and FALSE across the seed data, so it can distinguish cases.",
    "DefendsQuestion": "q-counsel-retention-evidence",
    "Suite": "suite-witness",
    "Severity": "advisory",
    "LastOutcome": "PASS",
    "LastDetail": "4 true / 2 false",
    "LastRunAt": "2026-07-20T03:06:49+00:00",
    "SemanticTypeIri": "urn:effortless:pko-extension#TestCase",
    "Name": "witness-discriminates: MessageDeliveries.IsEvidenceRequired",
    "IsBlocking": false,
    "IsPassing": true,
    "IsFailing": false,
    "NeedsAttention": false,
    "PassingSuiteKey": "suite-witness",
    "NeedsAttentionSuiteKey": null
   },
   {
    "TestCaseId": "tc-witness-message_deliveries-is_retention_breach",
    "TestKind": "witness-discriminates",
    "Subject": "MessageDeliveries.IsRetentionBreach",
    "TargetTable": "MessageDeliveries",
    "TargetField": "IsRetentionBreach",
    "Assertion": "Reads both TRUE and FALSE across the seed data, so it can distinguish cases.",
    "DefendsQuestion": "q-counsel-retention-evidence",
    "Suite": "suite-witness",
    "Severity": "advisory",
    "LastOutcome": "WARN",
    "LastDetail": "never true (6/6 false)",
    "LastRunAt": "2026-07-20T03:06:49+00:00",
    "SemanticTypeIri": "urn:effortless:pko-extension#TestCase",
    "Name": "witness-discriminates: MessageDeliveries.IsRetentionBreach",
    "IsBlocking": false,
    "IsPassing": false,
    "IsFailing": false,
    "NeedsAttention": false,
    "PassingSuiteKey": null,
    "NeedsAttentionSuiteKey": null
   },
   {
    "TestCaseId": "tc-witness-message_deliveries-execution_has_cleared_legal_review",
    "TestKind": "witness-discriminates",
    "Subject": "MessageDeliveries.ExecutionHasClearedLegalReview",
    "TargetTable": "MessageDeliveries",
    "TargetField": "ExecutionHasClearedLegalReview",
    "Assertion": "Reads both TRUE and FALSE across the seed data, so it can distinguish cases.",
    "DefendsQuestion": "q-counsel-legal-review-gated-send",
    "Suite": "suite-witness",
    "Severity": "advisory",
    "LastOutcome": "WARN",
    "LastDetail": "always true (6/6)",
    "LastRunAt": "2026-07-20T03:06:49+00:00",
    "SemanticTypeIri": "urn:effortless:pko-extension#TestCase",
    "Name": "witness-discriminates: MessageDeliveries.ExecutionHasClearedLegalReview",
    "IsBlocking": false,
    "IsPassing": false,
    "IsFailing": false,
    "NeedsAttention": false,
    "PassingSuiteKey": null,
    "NeedsAttentionSuiteKey": null
   },
   {
    "TestCaseId": "tc-witness-message_deliveries-is_unreviewed_send",
    "TestKind": "witness-discriminates",
    "Subject": "MessageDeliveries.IsUnreviewedSend",
    "TargetTable": "MessageDeliveries",
    "TargetField": "IsUnreviewedSend",
    "Assertion": "Reads both TRUE and FALSE across the seed data, so it can distinguish cases.",
    "DefendsQuestion": "q-counsel-legal-review-gated-send",
    "Suite": "suite-witness",
    "Severity": "advisory",
    "LastOutcome": "WARN",
    "LastDetail": "never true (6/6 false)",
    "LastRunAt": "2026-07-20T03:06:49+00:00",
    "SemanticTypeIri": "urn:effortless:pko-extension#TestCase",
    "Name": "witness-discriminates: MessageDeliveries.IsUnreviewedSend",
    "IsBlocking": false,
    "IsPassing": false,
    "IsFailing": false,
    "NeedsAttention": false,
    "PassingSuiteKey": null,
    "NeedsAttentionSuiteKey": null
   },
   {
    "TestCaseId": "tc-witness-message_deliveries-is_over_segment_limit",
    "TestKind": "witness-discriminates",
    "Subject": "MessageDeliveries.IsOverSegmentLimit",
    "TargetTable": "MessageDeliveries",
    "TargetField": "IsOverSegmentLimit",
    "Assertion": "Reads both TRUE and FALSE across the seed data, so it can distinguish cases.",
    "DefendsQuestion": "q-comms-oversized-sms",
    "Suite": "suite-witness",
    "Severity": "advisory",
    "LastOutcome": "WARN",
    "LastDetail": "never true (6/6 false)",
    "LastRunAt": "2026-07-20T03:06:49+00:00",
    "SemanticTypeIri": "urn:effortless:pko-extension#TestCase",
    "Name": "witness-discriminates: MessageDeliveries.IsOverSegmentLimit",
    "IsBlocking": false,
    "IsPassing": false,
    "IsFailing": false,
    "NeedsAttention": false,
    "PassingSuiteKey": null,
    "NeedsAttentionSuiteKey": null
   },
   {
    "TestCaseId": "tc-witness-message_deliveries-template_has_valid_approval",
    "TestKind": "witness-discriminates",
    "Subject": "MessageDeliveries.TemplateHasValidApproval",
    "TargetTable": "MessageDeliveries",
    "TargetField": "TemplateHasValidApproval",
    "Assertion": "Reads both TRUE and FALSE across the seed data, so it can distinguish cases.",
    "DefendsQuestion": "q-comms-approval-authority",
    "Suite": "suite-witness",
    "Severity": "advisory",
    "LastOutcome": "WARN",
    "LastDetail": "always true (6/6)",
    "LastRunAt": "2026-07-20T03:06:49+00:00",
    "SemanticTypeIri": "urn:effortless:pko-extension#TestCase",
    "Name": "witness-discriminates: MessageDeliveries.TemplateHasValidApproval",
    "IsBlocking": false,
    "IsPassing": false,
    "IsFailing": false,
    "NeedsAttention": false,
    "PassingSuiteKey": null,
    "NeedsAttentionSuiteKey": null
   },
   {
    "TestCaseId": "tc-witness-message_deliveries-is_unapproved_send",
    "TestKind": "witness-discriminates",
    "Subject": "MessageDeliveries.IsUnapprovedSend",
    "TargetTable": "MessageDeliveries",
    "TargetField": "IsUnapprovedSend",
    "Assertion": "Reads both TRUE and FALSE across the seed data, so it can distinguish cases.",
    "DefendsQuestion": "q-comms-approval-authority",
    "Suite": "suite-witness",
    "Severity": "advisory",
    "LastOutcome": "WARN",
    "LastDetail": "never true (6/6 false)",
    "LastRunAt": "2026-07-20T03:06:49+00:00",
    "SemanticTypeIri": "urn:effortless:pko-extension#TestCase",
    "Name": "witness-discriminates: MessageDeliveries.IsUnapprovedSend",
    "IsBlocking": false,
    "IsPassing": false,
    "IsFailing": false,
    "NeedsAttention": false,
    "PassingSuiteKey": null,
    "NeedsAttentionSuiteKey": null
   },
   {
    "TestCaseId": "tc-witness-message_deliveries-policy_requires_opt_out",
    "TestKind": "witness-discriminates",
    "Subject": "MessageDeliveries.PolicyRequiresOptOut",
    "TargetTable": "MessageDeliveries",
    "TargetField": "PolicyRequiresOptOut",
    "Assertion": "Reads both TRUE and FALSE across the seed data, so it can distinguish cases.",
    "DefendsQuestion": "q-comms-optout-present",
    "Suite": "suite-witness",
    "Severity": "advisory",
    "LastOutcome": "PASS",
    "LastDetail": "4 true / 2 false",
    "LastRunAt": "2026-07-20T03:06:49+00:00",
    "SemanticTypeIri": "urn:effortless:pko-extension#TestCase",
    "Name": "witness-discriminates: MessageDeliveries.PolicyRequiresOptOut",
    "IsBlocking": false,
    "IsPassing": true,
    "IsFailing": false,
    "NeedsAttention": false,
    "PassingSuiteKey": "suite-witness",
    "NeedsAttentionSuiteKey": null
   },
   {
    "TestCaseId": "tc-witness-message_deliveries-has_opt_out_phrase",
    "TestKind": "witness-discriminates",
    "Subject": "MessageDeliveries.HasOptOutPhrase",
    "TargetTable": "MessageDeliveries",
    "TargetField": "HasOptOutPhrase",
    "Assertion": "Reads both TRUE and FALSE across the seed data, so it can distinguish cases.",
    "DefendsQuestion": "q-comms-optout-present",
    "Suite": "suite-witness",
    "Severity": "advisory",
    "LastOutcome": "PASS",
    "LastDetail": "3 true / 1 false",
    "LastRunAt": "2026-07-20T03:06:49+00:00",
    "SemanticTypeIri": "urn:effortless:pko-extension#TestCase",
    "Name": "witness-discriminates: MessageDeliveries.HasOptOutPhrase",
    "IsBlocking": false,
    "IsPassing": true,
    "IsFailing": false,
    "NeedsAttention": false,
    "PassingSuiteKey": "suite-witness",
    "NeedsAttentionSuiteKey": null
   },
   {
    "TestCaseId": "tc-witness-message_deliveries-is_opt_out_in_first_segment",
    "TestKind": "witness-discriminates",
    "Subject": "MessageDeliveries.IsOptOutInFirstSegment",
    "TargetTable": "MessageDeliveries",
    "TargetField": "IsOptOutInFirstSegment",
    "Assertion": "Reads both TRUE and FALSE across the seed data, so it can distinguish cases.",
    "DefendsQuestion": "q-comms-optout-present",
    "Suite": "suite-witness",
    "Severity": "advisory",
    "LastOutcome": "PASS",
    "LastDetail": "3 true / 1 false",
    "LastRunAt": "2026-07-20T03:06:49+00:00",
    "SemanticTypeIri": "urn:effortless:pko-extension#TestCase",
    "Name": "witness-discriminates: MessageDeliveries.IsOptOutInFirstSegment",
    "IsBlocking": false,
    "IsPassing": true,
    "IsFailing": false,
    "NeedsAttention": false,
    "PassingSuiteKey": "suite-witness",
    "NeedsAttentionSuiteKey": null
   },
   {
    "TestCaseId": "tc-witness-message_deliveries-is_missing_required_opt_out",
    "TestKind": "witness-discriminates",
    "Subject": "MessageDeliveries.IsMissingRequiredOptOut",
    "TargetTable": "MessageDeliveries",
    "TargetField": "IsMissingRequiredOptOut",
    "Assertion": "Reads both TRUE and FALSE across the seed data, so it can distinguish cases.",
    "DefendsQuestion": "q-comms-optout-present",
    "Suite": "suite-witness",
    "Severity": "advisory",
    "LastOutcome": "PASS",
    "LastDetail": "1 true / 5 false",
    "LastRunAt": "2026-07-20T03:06:49+00:00",
    "SemanticTypeIri": "urn:effortless:pko-extension#TestCase",
    "Name": "witness-discriminates: MessageDeliveries.IsMissingRequiredOptOut",
    "IsBlocking": false,
    "IsPassing": true,
    "IsFailing": false,
    "NeedsAttention": false,
    "PassingSuiteKey": "suite-witness",
    "NeedsAttentionSuiteKey": null
   },
   {
    "TestCaseId": "tc-witness-message_deliveries-is_opt_out_at_risk_of_truncation",
    "TestKind": "witness-discriminates",
    "Subject": "MessageDeliveries.IsOptOutAtRiskOfTruncation",
    "TargetTable": "MessageDeliveries",
    "TargetField": "IsOptOutAtRiskOfTruncation",
    "Assertion": "Reads both TRUE and FALSE across the seed data, so it can distinguish cases.",
    "DefendsQuestion": "q-comms-optout-present",
    "Suite": "suite-witness",
    "Severity": "advisory",
    "LastOutcome": "WARN",
    "LastDetail": "never true (6/6 false)",
    "LastRunAt": "2026-07-20T03:06:49+00:00",
    "SemanticTypeIri": "urn:effortless:pko-extension#TestCase",
    "Name": "witness-discriminates: MessageDeliveries.IsOptOutAtRiskOfTruncation",
    "IsBlocking": false,
    "IsPassing": false,
    "IsFailing": false,
    "NeedsAttention": false,
    "PassingSuiteKey": null,
    "NeedsAttentionSuiteKey": null
   },
   {
    "TestCaseId": "tc-witness-message_deliveries-is_failed_delivery",
    "TestKind": "witness-discriminates",
    "Subject": "MessageDeliveries.IsFailedDelivery",
    </t>
  </si>
  <si>
    <t xml:space="preserve">"TargetTable": "MessageDeliveries",
    "TargetField": "IsFailedDelivery",
    "Assertion": "Reads both TRUE and FALSE across the seed data, so it can distinguish cases.",
    "DefendsQuestion": "q-comms-deliverability",
    "Suite": "suite-witness",
    "Severity": "advisory",
    "LastOutcome": "PASS",
    "LastDetail": "1 true / 5 false",
    "LastRunAt": "2026-07-20T03:06:49+00:00",
    "SemanticTypeIri": "urn:effortless:pko-extension#TestCase",
    "Name": "witness-discriminates: MessageDeliveries.IsFailedDelivery",
    "IsBlocking": false,
    "IsPassing": true,
    "IsFailing": false,
    "NeedsAttention": false,
    "PassingSuiteKey": "suite-witness",
    "NeedsAttentionSuiteKey": null
   },
   {
    "TestCaseId": "tc-witness-message_deliveries-is_suppressed",
    "TestKind": "witness-discriminates",
    "Subject": "MessageDeliveries.IsSuppressed",
    "TargetTable": "MessageDeliveries",
    "TargetField": "IsSuppressed",
    "Assertion": "Reads both TRUE and FALSE across the seed data, so it can distinguish cases.",
    "DefendsQuestion": "q-comms-deliverability",
    "Suite": "suite-witness",
    "Severity": "advisory",
    "LastOutcome": "PASS",
    "LastDetail": "1 true / 5 false",
    "LastRunAt": "2026-07-20T03:06:49+00:00",
    "SemanticTypeIri": "urn:effortless:pko-extension#TestCase",
    "Name": "witness-discriminates: MessageDeliveries.IsSuppressed",
    "IsBlocking": false,
    "IsPassing": true,
    "IsFailing": false,
    "NeedsAttention": false,
    "PassingSuiteKey": "suite-witness",
    "NeedsAttentionSuiteKey": null
   },
   {
    "TestCaseId": "tc-witness-message_deliveries-is_triaged",
    "TestKind": "witness-discriminates",
    "Subject": "MessageDeliveries.IsTriaged",
    "TargetTable": "MessageDeliveries",
    "TargetField": "IsTriaged",
    "Assertion": "Reads both TRUE and FALSE across the seed data, so it can distinguish cases.",
    "DefendsQuestion": "q-comms-deliverability",
    "Suite": "suite-witness",
    "Severity": "advisory",
    "LastOutcome": "PASS",
    "LastDetail": "3 true / 3 false",
    "LastRunAt": "2026-07-20T03:06:49+00:00",
    "SemanticTypeIri": "urn:effortless:pko-extension#TestCase",
    "Name": "witness-discriminates: MessageDeliveries.IsTriaged",
    "IsBlocking": false,
    "IsPassing": true,
    "IsFailing": false,
    "NeedsAttention": false,
    "PassingSuiteKey": "suite-witness",
    "NeedsAttentionSuiteKey": null
   },
   {
    "TestCaseId": "tc-witness-message_deliveries-is_abandoned_failure",
    "TestKind": "witness-discriminates",
    "Subject": "MessageDeliveries.IsAbandonedFailure",
    "TargetTable": "MessageDeliveries",
    "TargetField": "IsAbandonedFailure",
    "Assertion": "Reads both TRUE and FALSE across the seed data, so it can distinguish cases.",
    "DefendsQuestion": "q-comms-deliverability",
    "Suite": "suite-witness",
    "Severity": "advisory",
    "LastOutcome": "WARN",
    "LastDetail": "never true (6/6 false)",
    "LastRunAt": "2026-07-20T03:06:49+00:00",
    "SemanticTypeIri": "urn:effortless:pko-extension#TestCase",
    "Name": "witness-discriminates: MessageDeliveries.IsAbandonedFailure",
    "IsBlocking": false,
    "IsPassing": false,
    "IsFailing": false,
    "NeedsAttention": false,
    "PassingSuiteKey": null,
    "NeedsAttentionSuiteKey": null
   },
   {
    "TestCaseId": "tc-witness-message_deliveries-template_was_sendable",
    "TestKind": "witness-discriminates",
    "Subject": "MessageDeliveries.TemplateWasSendable",
    "TargetTable": "MessageDeliveries",
    "TargetField": "TemplateWasSendable",
    "Assertion": "Reads both TRUE and FALSE across the seed data, so it can distinguish cases.",
    "DefendsQuestion": "q-comms-template-drift",
    "Suite": "suite-witness",
    "Severity": "advisory",
    "LastOutcome": "WARN",
    "LastDetail": "always true (6/6)",
    "LastRunAt": "2026-07-20T03:06:49+00:00",
    "SemanticTypeIri": "urn:effortless:pko-extension#TestCase",
    "Name": "witness-discriminates: MessageDeliveries.TemplateWasSendable",
    "IsBlocking": false,
    "IsPassing": false,
    "IsFailing": false,
    "NeedsAttention": false,
    "PassingSuiteKey": null,
    "NeedsAttentionSuiteKey": null
   },
   {
    "TestCaseId": "tc-witness-message_deliveries-is_drifted_send",
    "TestKind": "witness-discriminates",
    "Subject": "MessageDeliveries.IsDriftedSend",
    "TargetTable": "MessageDeliveries",
    "TargetField": "IsDriftedSend",
    "Assertion": "Reads both TRUE and FALSE across the seed data, so it can distinguish cases.",
    "DefendsQuestion": "q-comms-template-drift",
    "Suite": "suite-witness",
    "Severity": "advisory",
    "LastOutcome": "WARN",
    "LastDetail": "never true (6/6 false)",
    "LastRunAt": "2026-07-20T03:06:49+00:00",
    "SemanticTypeIri": "urn:effortless:pko-extension#TestCase",
    "Name": "witness-discriminates: MessageDeliveries.IsDriftedSend",
    "IsBlocking": false,
    "IsPassing": false,
    "IsFailing": false,
    "NeedsAttention": false,
    "PassingSuiteKey": null,
    "NeedsAttentionSuiteKey": null
   },
   {
    "TestCaseId": "tc-witness-message_deliveries-was_sent_outside_business_hours",
    "TestKind": "witness-discriminates",
    "Subject": "MessageDeliveries.WasSentOutsideBusinessHours",
    "TargetTable": "MessageDeliveries",
    "TargetField": "WasSentOutsideBusinessHours",
    "Assertion": "Reads both TRUE and FALSE across the seed data, so it can distinguish cases.",
    "DefendsQuestion": "q2-comms-message-nobody-answered",
    "Suite": "suite-witness",
    "Severity": "advisory",
    "LastOutcome": "PASS",
    "LastDetail": "1 true / 5 false",
    "LastRunAt": "2026-07-20T03:06:49+00:00",
    "SemanticTypeIri": "urn:effortless:pko-extension#TestCase",
    "Name": "witness-discriminates: MessageDeliveries.WasSentOutsideBusinessHours",
    "IsBlocking": false,
    "IsPassing": true,
    "IsFailing": false,
    "NeedsAttention": false,
    "PassingSuiteKey": "suite-witness",
    "NeedsAttentionSuiteKey": null
   },
   {
    "TestCaseId": "tc-witness-message_deliveries-was_delivered_and_unanswered",
    "TestKind": "witness-discriminates",
    "Subject": "MessageDeliveries.WasDeliveredAndUnanswered",
    "TargetTable": "MessageDeliveries",
    "TargetField": "WasDeliveredAndUnanswered",
    "Assertion": "Reads both TRUE and FALSE across the seed data, so it can distinguish cases.",
    "DefendsQuestion": "q2-comms-message-nobody-answered",
    "Suite": "suite-witness",
    "Severity": "advisory",
    "LastOutcome": "PASS",
    "LastDetail": "3 true / 3 false",
    "LastRunAt": "2026-07-20T03:06:49+00:00",
    "SemanticTypeIri": "urn:effortless:pko-extension#TestCase",
    "Name": "witness-discriminates: MessageDeliveries.WasDeliveredAndUnanswered",
    "IsBlocking": false,
    "IsPassing": true,
    "IsFailing": false,
    "NeedsAttention": false,
    "PassingSuiteKey": "suite-witness",
    "NeedsAttentionSuiteKey": null
   },
   {
    "TestCaseId": "tc-witness-message_deliveries-is_poorly_timed_unanswered",
    "TestKind": "witness-discriminates",
    "Subject": "MessageDeliveries.IsPoorlyTimedUnanswered",
    "TargetTable": "MessageDeliveries",
    "TargetField": "IsPoorlyTimedUnanswered",
    "Assertion": "Reads both TRUE and FALSE across the seed data, so it can distinguish cases.",
    "DefendsQuestion": "q2-comms-message-nobody-answered",
    "Suite": "suite-witness",
    "Severity": "advisory",
    "LastOutcome": "PASS",
    "LastDetail": "1 true / 5 false",
    "LastRunAt": "2026-07-20T03:06:49+00:00",
    "SemanticTypeIri": "urn:effortless:pko-extension#TestCase",
    "Name": "witness-discriminates: MessageDeliveries.IsPoorlyTimedUnanswered",
    "IsBlocking": false,
    "IsPassing": true,
    "IsFailing": false,
    "NeedsAttention": false,
    "PassingSuiteKey": "suite-witness",
    "NeedsAttentionSuiteKey": null
   },
   {
    "TestCaseId": "tc-witness-message_deliveries-is_well_timed_unanswered",
    "TestKind": "witness-discriminates",
    "Subject": "MessageDeliveries.IsWellTimedUnanswered",
    "TargetTable": "MessageDeliveries",
    "TargetField": "IsWellTimedUnanswered",
    "Assertion": "Reads both TRUE and FALSE across the seed data, so it can distinguish cases.",
    "DefendsQuestion": "q2-comms-message-nobody-answered",
    "Suite": "suite-witness",
    "Severity": "advisory",
    "LastOutcome": "PASS",
    "LastDetail": "2 true / 4 false",
    "LastRunAt": "2026-07-20T03:06:49+00:00",
    "SemanticTypeIri": "urn:effortless:pko-extension#TestCase",
    "Name": "witness-discriminates: MessageDeliveries.IsWellTimedUnanswered",
    "IsBlocking": false,
    "IsPassing": true,
    "IsFailing": false,
    "NeedsAttention": false,
    "PassingSuiteKey": "suite-witness",
    "NeedsAttentionSuiteKey": null
   },
   {
    "TestCaseId": "tc-witness-message_deliveries-approval_preceded_send",
    "TestKind": "witness-discriminates",
    "Subject": "MessageDeliveries.ApprovalPrecededSend",
    "TargetTable": "MessageDeliveries",
    "TargetField": "ApprovalPrecededSend",
    "Assertion": "Reads both TRUE and FALSE across the seed data, so it can distinguish cases.",
    "DefendsQuestion": "q2-comms-freeze-what-i-approved",
    "Suite": "suite-witness",
    "Severity": "advisory",
    "LastOutcome": "WARN",
    "LastDetail": "never true (6/6 false)",
    "LastRunAt": "2026-07-20T03:06:49+00:00",
    "SemanticTypeIri": "urn:effortless:pko-extension#TestCase",
    "Name": "witness-discriminates: MessageDeliveries.ApprovalPrecededSend",
    "IsBlocking": false,
    "IsPassing": false,
    "IsFailing": false,
    "NeedsAttention": false,
    "PassingSuiteKey": null,
    "NeedsAttentionSuiteKey": null
   },
   {
    "TestCaseId": "tc-witness-message_deliveries-has_frozen_approval_evidence",
    "TestKind": "witness-discriminates",
    "Subject": "MessageDeliveries.HasFrozenApprovalEvidence",
    "TargetTable": "MessageDeliveries",
    "TargetField": "HasFrozenApprovalEvidence",
    "Assertion": "Reads both TRUE and FALSE across the seed data, so it can distinguish cases.",
    "DefendsQuestion": "q2-comms-freeze-what-i-approved",
    "Suite": "suite-witness",
    "Severity": "advisory",
    "LastOutcome": "WARN",
    "LastDetail": "never true (6/6 false)",
    "LastRunAt": "2026-07-20T03:06:49+00:00",
    "SemanticTypeIri": "urn:effortless:pko-extension#TestCase",
    "Name": "witness-discriminates: MessageDeliveries.HasFrozenApprovalEvidence",
    "IsBlocking": false,
    "IsPassing": false,
    "IsFailing": false,
    "NeedsAttention": false,
    "PassingSuiteKey": null,
    "NeedsAttentionSuiteKey": null
   },
   {
    "TestCaseId": "tc-witness-message_deliveries-provenance_is_live_derived",
    "TestKind": "witness-discriminates",
    "Subject": "MessageDeliveries.ProvenanceIsLiveDerived",
    "TargetTable": "MessageDeliveries",
    "TargetField": "ProvenanceIsLiveDerived",
    "Assertion": "Reads both TRUE and FALSE across the seed data, so it can distinguish cases.",
    "DefendsQuestion": "q2-comms-freeze-what-i-approved",
    "Suite": "suite-witness",
    "Severity": "advisory",
    "LastOutcome": "WARN",
    "LastDetail": "always true (6/6)",
    "LastRunAt": "2026-07-20T03:06:49+00:00",
    "SemanticTypeIri": "urn:effortless:pko-extension#TestCase",
    "Name": "witness-discriminates: MessageDeliveries.ProvenanceIsLiveDerived",
    "IsBlocking": false,
    "IsPassing": false,
    "IsFailing": false,
    "NeedsAttention": false,
    "PassingSuiteKey": null,
    "NeedsAttentionSuiteKey": null
   },
   {
    "TestCaseId": "tc-witness-message_deliveries-template_reapproved_since_send",
    "TestKind": "witness-discriminates",
    "Subject": "MessageDeliveries.TemplateReapprovedSinceSend",
    "TargetTable": "MessageDeliveries",
    "TargetField": "TemplateReapprovedSinceSend",
    "Assertion": "Reads both TRUE and FALSE across the seed data, so it can distinguish cases.",
    "DefendsQuestion": "q2-comms-freeze-what-i-approved",
    "Suite": "suite-witness",
    "Severity": "advisory",
    "LastOutcome": "PASS",
    "LastDetail": "4 true / 2 false",
    "LastRunAt": "2026-07-20T03:06:49+00:00",
    "SemanticTypeIri": "urn:effortless:pko-extension#TestCase",
    "Name": "witness-discriminates: MessageDeliveries.TemplateReapprovedSinceSend",
    "IsBlocking": false,
    "IsPassing": true,
    "IsFailing": false,
    "NeedsAttention": false,
    "PassingSuiteKey": "suite-witness",
    "NeedsAttentionSuiteKey": null
   },
   {
    "TestCaseId": "tc-witness-message_deliveries-is_unprovable_approval_claim",
    "TestKind": "witness-discriminates",
    "Subject": "MessageDeliveries.IsUnprovableApprovalClaim",
    "TargetTable": "MessageDeliveries",
    "TargetField": "IsUnprovableApprovalClaim",
    "Assertion": "Reads both TRUE and FALSE across the seed data, so it can distinguish cases.",
    "DefendsQuestion": "q2-comms-freeze-what-i-approved",
    "Suite": "suite-witness",
    "Severity": "advisory",
    "LastOutcome": "PASS",
    "LastDetail": "4 true / 2 false",
    "LastRunAt": "2026-07-20T03:06:49+00:00",
    "SemanticTypeIri": "urn:effortless:pko-extension#TestCase",
    "Name": "witness-discriminates: MessageDeliveries.IsUnprovableApprovalClaim",
    "IsBlocking": false,
    "IsPassing": true,
    "IsFailing": false,
    "NeedsAttention": false,
    "PassingSuiteKey": "suite-witness",
    "NeedsAttentionSuiteKey": null
   },
   {
    "TestCaseId": "tc-witness-message_deliveries-has_sent_reminder",
    "TestKind": "witness-discriminates",
    "Subject": "MessageDeliveries.HasSentReminder",
    "TargetTable": "MessageDeliveries",
    "TargetField": "HasSentReminder",
    "Assertion": "Reads both TRUE and FALSE across the seed data, so it can distinguish cases.",
    "DefendsQuestion": "q2-publisher-obligation-after-send",
    "Suite": "suite-witness",
    "Severity": "advisory",
    "LastOutcome": "WARN",
    "LastDetail": "never true (0/6 false)",
    "LastRunAt": "2026-07-20T03:06:49+00:00",
    "SemanticTypeIri": "urn:effortless:pko-extension#TestCase",
    "Name": "witness-discriminates: MessageDeliveries.HasSentReminder",
    "IsBlocking": false,
    "IsPassing": false,
    "IsFailing": false,
    "NeedsAttention": false,
    "PassingSuiteKey": null,
    "NeedsAttentionSuiteKey": null
   },
   {
    "TestCaseId": "tc-witness-message_deliveries-acknowledgement_is_outstanding",
    "TestKind": "witness-discriminates",
    "Subject": "MessageDeliveries.AcknowledgementIsOutstanding",
    "TargetTable": "MessageDeliveries",
    "TargetField": "AcknowledgementIsOutstanding",
    "Assertion": "Reads both TRUE and FALSE across the seed data, so it can distinguish cases.",
    "DefendsQuestion": "q2-publisher-obligation-after-send",
    "Suite": "suite-witness",
    "Severity": "advisory",
    "LastOutcome": "PASS",
    "LastDetail": "3 true / 3 false",
    "LastRunAt": "2026-07-20T03:06:49+00:00",
    "SemanticTypeIri": "urn:effortless:pko-extension#TestCase",
    "Name": "witness-discriminates: MessageDeliveries.AcknowledgementIsOutstanding",
    "IsBlocking": false,
    "IsPassing": true,
    "IsFailing": false,
    "NeedsAttention": false,
    "PassingSuiteKey": "suite-witness",
    "NeedsAttentionSuiteKey": null
   },
   {
    "TestCaseId": "tc-witness-message_deliveries-is_unchased_acknowledgement",
    "TestKind": "witness-discriminates",
    "Subject": "MessageDeliveries.IsUnchasedAcknowledgement",
    "TargetTable": "MessageDeliveries",
    "TargetField": "IsUnchasedAcknowledgement",
    "Assertion": "Reads both TRUE and FALSE across the seed data, so it can distinguish cases.",
    "DefendsQuestion": "q2-publisher-obligation-after-send",
    "Suite": "suite-witness",
    "Severity": "advisory",
    "LastOutcome": "WARN",
    "LastDetail": "never true (6/6 false)",
    "LastRunAt": "2026-07-20T03:06:49+00:00",
    "SemanticTypeIri": "urn:effortless:pko-extension#TestCase",
    "Name": "witness-discriminates: MessageDeliveries.IsUnchasedAcknowledgement",
    "IsBlocking": false,
    "IsPassing": false,
    "IsFailing": false,
    "NeedsAttention": false,
    "PassingSuiteKey": null,
    "NeedsAttentionSuiteKey": null
   },
   {
    "TestCaseId": "tc-witness-message_deliveries-is_exhausted_follow_up",
    "TestKind": "witness-discriminates",
    "Subject": "MessageDeliveries.IsExhaustedFollowUp",
    "TargetTable": "MessageDeliveries",
    "TargetField": "IsExhaustedFollowUp",
    "Assertion": "Reads both TRUE and FALSE across the seed data, so it can distinguish cases.",
    "DefendsQuestion": "q2-publisher-obligation-after-send",
    "Suite": "suite-witness",
    "Severity": "advisory",
    "LastOutcome": "WARN",
    "LastDetail": "never true (3/6 false)",
    "LastRunAt": "2026-07-20T03:06:49+00:00",
    "SemanticTypeIri": "urn:effortless:pko-extension#TestCase",
    "Name": "witness-discriminates: MessageDeliveries.IsExhaustedFollowUp",
    "IsBlocking": false,
    "IsPassing": false,
    "IsFailing": false,
    "NeedsAttention": false,
    "PassingSuiteKey": null,
    "NeedsAttentionSuiteKey": null
   },
   {
    "TestCaseId": "tc-witness-message_deliveries-needs_human_escalation",
    "TestKind": "witness-discriminates",
    "Subject": "MessageDeliveries.NeedsHumanEscalation",
    "TargetTable": "MessageDeliveries",
    "TargetField": "NeedsHumanEscalation",
    "Assertion": "Reads both TRUE and FALSE across the seed data, so it can distinguish cases.",
    "DefendsQuestion": "q2-publisher-obligation-after-send",
    "Suite": "suite-witness",
    "Severity": "advisory",
    "LastOutcome": "WARN",
    "LastDetail": "never true (3/6 false)",
    "LastRunAt": "2026-07-20T03:06:49+00:00",
    "SemanticTypeIri": "urn:effortless:pko-extension#TestCase",
    "Name": "witness-discriminates: MessageDeliveries.NeedsHumanEscalation",
    "IsBlocking": false,
    "IsPassing": false,
    "IsFailing": false,
    "NeedsAttention": false,
    "PassingSuiteKey": null,
    "NeedsAttentionSuiteKey": null
   },
   {
    "TestCaseId": "tc-witness-template_approvals-is_approval_decision",
    "TestKind": "witness-discriminates",
    "Subject": "TemplateApprovals.IsApprovalDecision",
    "TargetTable": "TemplateApprovals",
    "TargetField": "IsApprovalDecision",
    "Assertion": "Reads both TRUE and FALSE across the seed data, so it can distinguish cases.",
    "DefendsQuestion": "q-comms-approval-authority",
    "Suite": "suite-witness",
    "Severity": "advisory",
    "LastOutcome": "WARN",
    "LastDetail": "always true (2/2)",
    "LastRunAt": "2026-07-20T03:06:49+00:00",
    "SemanticTypeIri": "urn:effortless:pko-extension#TestCase",
    "Name": "witness-discriminates: TemplateApprovals.IsApprovalDecision",
    "IsBlocking": false,
    "IsPassing": false,
    "IsFailing": false,
    "NeedsAttention": false,
    "PassingSuiteKey": null,
    "NeedsAttentionSuiteKey": null
   },
   {
    "TestCaseId": "tc-witness-template_approvals-is_decided_by_required_role",
    "TestKind": "witness-discriminates",
    "Subject": "TemplateApprovals.IsDecidedByRequiredRole",
    "TargetTable": "TemplateApprovals",
    "TargetField": "IsDecidedByRequiredRole",
    "Assertion": "Reads both TRUE and FALSE across the seed data, so it can distinguish cases.",
    "DefendsQuestion": "q-comms-approval-authority",
    "Suite": "suite-witness",
    "Severity": "advisory",
    "LastOutcome": "WARN",
    "LastDetail": "always true (2/2)",
    "LastRunAt": "2026-07-20T03:06:49+00:00",
    "SemanticTypeIri": "urn:effortless:pko-extension#TestCase",
    "Name": "witness-discriminates: TemplateApprovals.IsDecidedByRequiredRole",
    "IsBlocking": false,
    "IsPassing": false,
    "IsFailing": false,
    "NeedsAttention": false,
    "PassingSuiteKey": null,
    "NeedsAttentionSuiteKey": null
   },
   {
    "TestCaseId": "tc-witness-send_intents-policy_is_active",
    "TestKind": "witness-discriminates",
    "Subject": "SendIntents.PolicyIsActive",
    "TargetTable": "SendIntents",
    "TargetField": "PolicyIsActive",
    "Assertion": "Reads both TRUE and FALSE across the seed data, so it can distinguish cases.",
    "DefendsQuestion": "q-publisher-may-i-transmit",
    "Suite": "suite-witness",
    "Severity": "advisory",
    "LastOutcome": "WARN",
    "LastDetail": "always true (7/7)",
    "LastRunAt": "2026-07-20T03:06:49+00:00",
    "SemanticTypeIri": "urn:effortless:pko-extension#TestCase",
    "Name": "witness-discriminates: SendIntents.PolicyIsActive",
    "IsBlocking": false,
    "IsPassing": false,
    "IsFailing": false,
    "NeedsAttention": false,
    "PassingSuiteKey": null,
    "NeedsAttentionSuiteKey": null
   },
   {
    "TestCaseId": "tc-witness-send_intents-intent_requires_consent",
    "TestKind": "witness-discriminates",
    "Subject": "SendIntents.IntentRequiresConsent",
    "TargetTable": "SendIntents",
    "TargetField": "IntentRequiresConsent",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SendIntents.IntentRequiresConsent",
    "IsBlocking": false,
    "IsPassing": true,
    "IsFailing": false,
    "NeedsAttention": false,
    "PassingSuiteKey": "suite-witness",
    "NeedsAttentionSuiteKey": null
   },
   {
    "TestCaseId": "tc-witness-send_intents-recipient_has_channel_consent",
    "TestKind": "witness-discriminates",
    "Subject": "SendIntents.RecipientHasChannelConsent",
    "TargetTable": "SendIntents",
    "TargetField": "RecipientHasChannelConsent",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SendIntents.RecipientHasChannelConsent",
    "IsBlocking": false,
    "IsPassing": true,
    "IsFailing": false,
    "NeedsAttention": false,
    "PassingSuiteKey": "suite-witness",
    "NeedsAttentionSuiteKey": null
   },
   {
    "TestCaseId": "tc-witness-send_intents-consent_gate_passed",
    "TestKind": "witness-discriminates",
    "Subject": "SendIntents.ConsentGatePassed",
    "TargetTable": "SendIntents",
    "TargetField": "ConsentGatePassed",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SendIntents.ConsentGatePassed",
    "IsBlocking": false,
    "IsPassing": true,
    "IsFailing": false,
    "NeedsAttention": false,
    "PassingSuiteKey": "suite-witness",
    "NeedsAttentionSuiteKey": null
   },
   {
    "TestCaseId": "tc-witness-send_intents-recipient_is_sms_reachable",
    "TestKind": "witness-discriminates",
    "Subject": "SendIntents.RecipientIsSmsReachable",
    "TargetTable": "SendIntents",
    "TargetField": "RecipientIsSmsReachable",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SendIntents.RecipientIsSmsReachable",
    "IsBlocking": false,
    "IsPassing": true,
    "IsFailing": false,
    "NeedsAttention": false,
    "PassingSuiteKey": "suite-witness",
    "NeedsAttentionSuiteKey": null
   },
   {
    "TestCaseId": "tc-witness-send_intents-recipient_is_email_reachable",
    "TestKind": "witness-discriminates",
    "Subject": "SendIntents.RecipientIsEmailReachable",
    "TargetTable": "SendIntents",
    "TargetField": "RecipientIsEmailReachable",
    "Assertion": "Reads both TRUE and FALSE across the seed data, so it can distinguish cases.",
    "DefendsQuestion": "q-publisher-may-i-transmit",
    "Suite": "suite-witness",
    "Severity": "advisory",
    "LastOutcome": "WARN",
    "LastDetail": "always true (7/7)",
    "LastRunAt": "2026-07-20T03:06:49+00:00",
    "SemanticTypeIri": "urn:effortless:pko-extension#TestCase",
    "Name": "witness-discriminates: SendIntents.RecipientIsEmailReachable",
    "IsBlocking": false,
    "IsPassing": false,
    "IsFailing": false,
    "NeedsAttention": false,
    "PassingSuiteKey": null,
    "NeedsAttentionSuiteKey": null
   },
   {
    "TestCaseId": "tc-witness-send_intents-reachability_gate_passed",
    "TestKind": "witness-discriminates",
    "Subject": "SendIntents.ReachabilityGatePassed",
    "TargetTable": "SendIntents",
    "TargetField": "ReachabilityGatePassed",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SendIntents.ReachabilityGatePassed",
    "IsBlocking": false,
    "IsPassing": true,
    "IsFailing": false,
    "NeedsAttention": false,
    "PassingSuiteKey": "suite-witness",
    "NeedsAttentionSuiteKey": null
   },
   {
    "TestCaseId": "tc-witness-send_intents-permission_gate_passed",
    "TestKind": "witness-discriminates",
    "Subject": "SendIntents.PermissionGatePassed",
    "TargetTable": "SendIntents",
    "TargetField": "PermissionGatePassed",
    "Assertion": "Reads both TRUE and FALSE across the seed data, so it can distinguish cases.",
    "DefendsQuestion": "q-publisher-may-i-transmit",
    "Suite": "suite-witness",
    "Severity": "advisory",
    "LastOutcome": "PASS",
    "LastDetail": "6 true / 1 false",
    "LastRunAt": "2026-07-20T03:06:49+00:00",
    "SemanticTypeIri": "urn:effortless:pko-extension#TestCase",
    "Name": "witness-discriminates: SendIntents.PermissionGatePassed",
    "IsBlocking": false,
    "IsPassing": true,
    "IsFailing": false,
    "NeedsAttention": false,
    "PassingSuiteKey": "suite-witness",
    "NeedsAttentionSuiteKey": null
   },
   {
    "TestCaseId": "tc-witness-send_intents-intent_policy_has_quiet_hours",
    "TestKind": "witness-discriminates",
    "Subject": "SendIntents.IntentPolicyHasQuietHours",
    "TargetTable": "SendIntents",
    "TargetField": "IntentPolicyHasQuietHours",
    "Assertion": "Reads both TRUE and FALSE across the seed data, so it can distinguish cases.",
    "DefendsQuestion": "q-publisher-may-i-transmit-now",
    "Suite": "suite-witness",
    "Severity": "advisory",
    "LastOutcome": "PASS",
    "LastDetail": "6 true / 1 false",
    "LastRunAt": "2026-07-20T03:06:49+00:00",
    "SemanticTypeIri": "urn:effortless:pko-extension#TestCase",
    "Name": "witness-discriminates: SendIntents.IntentPolicyHasQuietHours",
    "IsBlocking": false,
    "IsPassing": true,
    "IsFailing": false,
    "NeedsAttention": false,
    "PassingSuiteKey": "suite-witness",
    "NeedsAttentionSuiteKey": null
   },
   {
    "TestCaseId": "tc-witness-send_intents-intent_quiet_window_wraps",
    "TestKind": "witness-discriminates",
    "Subject": "SendIntents.IntentQuietWindowWraps",
    "TargetTable": "SendIntents",
    "TargetField": "IntentQuietWindowWraps",
    "Assertion": "Reads both TRUE and FALSE across the seed data, so it can distinguish cases.",
    "DefendsQuestion": "q-publisher-may-i-transmit-now",
    "Suite": "suite-witness",
    "Severity": "advisory",
    "LastOutcome": "PASS",
    "LastDetail": "6 true / 1 false",
    "LastRunAt": "2026-07-20T03:06:49+00:00",
    "SemanticTypeIri": "urn:effortless:pko-extension#TestCase",
    "Name": "witness-discriminates: SendIntents.IntentQuietWindowWraps",
    "IsBlocking": false,
    "IsPassing": true,
    "IsFailing": false,
    "NeedsAttention": false,
    "PassingSuiteKey": "suite-witness",
    "NeedsAttentionSuiteKey": null
   },
   {
    "TestCaseId": "tc-witness-send_intents-intent_is_inside_quiet_window",
    "TestKind": "witness-discriminates",
    "Subject": "SendIntents.IntentIsInsideQuietWindow",
    "TargetTable": "SendIntents",
    "TargetField": "IntentIsInsideQuietWindow",
    "Assertion": "Reads both TRUE and FALSE across the seed data, so it can distinguish cases.",
    "DefendsQuestion": "q-publisher-may-i-transmit-now",
    "Suite": "suite-witness",
    "Severity": "advisory",
    "LastOutcome": "PASS",
    "LastDetail": "1 true / 6 false",
    "LastRunAt": "2026-07-20T03:06:49+00:00",
    "SemanticTypeIri": "urn:effortless:pko-extension#TestCase",
    "Name": "witness-discriminates: SendIntents.IntentIsInsideQuietWindow",
    "IsBlocking": false,
    "IsPassing": true,
    "IsFailing": false,
    "NeedsAttention": false,
    "PassingSuiteKey": "suite-witness",
    "NeedsAttentionSuiteKey": null
   },
   {
    "TestCaseId": "tc-witness-send_intents-timing_gate_passed",
    "TestKind": "witness-discriminates",
    "Subject": "SendIntents.TimingGatePassed",
    "TargetTable": "SendIntents",
    "TargetField": "TimingGatePassed",
    "Assertion": "Reads both TRUE and FALSE across the seed data, so it can distinguish cases.",
    "DefendsQuestion": "q-publisher-may-i-transmit-now",
    "Suite": "suite-witness",
    "Severity": "advisory",
    "LastOutcome": "PASS",
    "LastDetail": "6 true / 1 false",
    "LastRunAt": "2026-07-20T03:06:49+00:00",
    "SemanticTypeIri": "urn:effortless:pko-extension#TestCase",
    "Name": "witness-discriminates: SendIntents.TimingGatePassed",
    "IsBlocking": false,
    "IsPassing": true,
    "IsFailing": false,
    "NeedsAttention": false,
    "PassingSuiteKey": "suite-witness",
    "NeedsAttentionSuiteKey": null
   },
   {
    "TestCaseId": "tc-witness-send_intents-length_gate_passed",
    "TestKind": "witness-discriminates",
    "Subject": "SendIntents.LengthGatePassed",
    "TargetTable": "SendIntents",
    "TargetField": "LengthGatePassed",
    "Assertion": "Reads both TRUE and FALSE across the seed data, so it can distinguish cases.",
    "DefendsQuestion": "q-publisher-is-this-content-permitted",
    "Suite": "suite-witness",
    "Severity": "advisory",
    "LastOutcome": "WARN",
    "LastDetail": "always true (7/7)",
    "LastRunAt": "2026-07-20T03:06:49+00:00",
    "SemanticTypeIri": "urn:effortless:pko-extension#TestCase",
    "Name": "witness-discriminates: SendIntents.LengthGatePassed",
    "IsBlocking": false,
    "IsPassing": false,
    "IsFailing": false,
    "NeedsAttention": false,
    "PassingSuiteKey": null,
    "NeedsAttentionSuiteKey": null
   },
   {
    "TestCaseId": "tc-witness-send_intents-opt_out_gate_passed",
    "TestKind": "witness-discriminates",
    "Subject": "SendIntents.OptOutGatePassed",
    "TargetTable": "SendIntents",
    "TargetField": "OptOutGatePassed",
    "Assertion": "Reads both TRUE and FALSE across the seed data, so it can distinguish cases.",
    "DefendsQuestion": "q-publisher-is-this-content-permitted",
    "Suite": "suite-witness",
    "Severity": "advisory",
    "LastOutcome": "PASS",
    "LastDetail": "5 true / 2 false",
    "LastRunAt": "2026-07-20T03:06:49+00:00",
    "SemanticTypeIri": "urn:effortless:pko-extension#TestCase",
    "Name": "witness-discriminates: SendIntents.OptOutGatePassed",
    "IsBlocking": false,
    "IsPassing": true,
    "IsFailing": false,
    "NeedsAttention": false,
    "PassingSuiteKey": "suite-witness",
    "NeedsAttentionSuiteKey": null
   },
   {
    "TestCaseId": "tc-witness-send_intents-content_gate_passed",
    "TestKind": "witness-discriminates",
    "Subject": "SendIntents.ContentGatePassed",
    "TargetTable": "SendIntents",
    "TargetField": "ContentGatePassed",
    "Assertion": "Reads both TRUE and FALSE across the seed data, so it can distinguish cases.",
    "DefendsQuestion": "q-publisher-is-this-content-permitted",
    "Suite": "suite-witness",
    "Severity": "advisory",
    "LastOutcome": "PASS",
    "LastDetail": "5 true / 2 false",
    "LastRunAt": "2026-07-20T03:06:49+00:00",
    "SemanticTypeIri": "urn:effortless:pko-extension#TestCase",
    "Name": "witness-discriminates: SendIntents.ContentGatePassed",
    "I</t>
  </si>
  <si>
    <t xml:space="preserve">sBlocking": false,
    "IsPassing": true,
    "IsFailing": false,
    "NeedsAttention": false,
    "PassingSuiteKey": "suite-witness",
    "NeedsAttentionSuiteKey": null
   },
   {
    "TestCaseId": "tc-witness-send_intents-template_is_sendable",
    "TestKind": "witness-discriminates",
    "Subject": "SendIntents.TemplateIsSendable",
    "TargetTable": "SendIntents",
    "TargetField": "TemplateIsSendable",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SendIntents.TemplateIsSendable",
    "IsBlocking": false,
    "IsPassing": false,
    "IsFailing": false,
    "NeedsAttention": false,
    "PassingSuiteKey": null,
    "NeedsAttentionSuiteKey": null
   },
   {
    "TestCaseId": "tc-witness-send_intents-execution_has_legal_clearance",
    "TestKind": "witness-discriminates",
    "Subject": "SendIntents.ExecutionHasLegalClearance",
    "TargetTable": "SendIntents",
    "TargetField": "ExecutionHasLegalClearance",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SendIntents.ExecutionHasLegalClearance",
    "IsBlocking": false,
    "IsPassing": false,
    "IsFailing": false,
    "NeedsAttention": false,
    "PassingSuiteKey": null,
    "NeedsAttentionSuiteKey": null
   },
   {
    "TestCaseId": "tc-witness-send_intents-approval_is_human",
    "TestKind": "witness-discriminates",
    "Subject": "SendIntents.ApprovalIsHuman",
    "TargetTable": "SendIntents",
    "TargetField": "ApprovalIsHuman",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SendIntents.ApprovalIsHuman",
    "IsBlocking": false,
    "IsPassing": false,
    "IsFailing": false,
    "NeedsAttention": false,
    "PassingSuiteKey": null,
    "NeedsAttentionSuiteKey": null
   },
   {
    "TestCaseId": "tc-witness-send_intents-authorization_gate_passed",
    "TestKind": "witness-discriminates",
    "Subject": "SendIntents.AuthorizationGatePassed",
    "TargetTable": "SendIntents",
    "TargetField": "AuthorizationGatePassed",
    "Assertion": "Reads both TRUE and FALSE across the seed data, so it can distinguish cases.",
    "DefendsQuestion": "q-publisher-am-i-authorized-to-act",
    "Suite": "suite-witness",
    "Severity": "advisory",
    "LastOutcome": "WARN",
    "LastDetail": "always true (7/7)",
    "LastRunAt": "2026-07-20T03:06:49+00:00",
    "SemanticTypeIri": "urn:effortless:pko-extension#TestCase",
    "Name": "witness-discriminates: SendIntents.AuthorizationGatePassed",
    "IsBlocking": false,
    "IsPassing": false,
    "IsFailing": false,
    "NeedsAttention": false,
    "PassingSuiteKey": null,
    "NeedsAttentionSuiteKey": null
   },
   {
    "TestCaseId": "tc-witness-send_intents-is_cleared_to_send",
    "TestKind": "witness-discriminates",
    "Subject": "SendIntents.IsClearedToSend",
    "TargetTable": "SendIntents",
    "TargetField": "IsClearedToSend",
    "Assertion": "Reads both TRUE and FALSE across the seed data, so it can distinguish cases.",
    "DefendsQuestion": "q-publisher-am-i-authorized-to-act",
    "Suite": "suite-witness",
    "Severity": "advisory",
    "LastOutcome": "PASS",
    "LastDetail": "3 true / 4 false",
    "LastRunAt": "2026-07-20T03:06:49+00:00",
    "SemanticTypeIri": "urn:effortless:pko-extension#TestCase",
    "Name": "witness-discriminates: SendIntents.IsClearedToSend",
    "IsBlocking": false,
    "IsPassing": true,
    "IsFailing": false,
    "NeedsAttention": false,
    "PassingSuiteKey": "suite-witness",
    "NeedsAttentionSuiteKey": null
   },
   {
    "TestCaseId": "tc-witness-send_intents-has_resulting_delivery",
    "TestKind": "witness-discriminates",
    "Subject": "SendIntents.HasResultingDelivery",
    "TargetTable": "SendIntents",
    "TargetField": "HasResultingDelivery",
    "Assertion": "Reads both TRUE and FALSE across the seed data, so it can distinguish cases.",
    "DefendsQuestion": "q-publisher-refusal-was-honored",
    "Suite": "suite-witness",
    "Severity": "advisory",
    "LastOutcome": "PASS",
    "LastDetail": "2 true / 5 false",
    "LastRunAt": "2026-07-20T03:06:49+00:00",
    "SemanticTypeIri": "urn:effortless:pko-extension#TestCase",
    "Name": "witness-discriminates: SendIntents.HasResultingDelivery",
    "IsBlocking": false,
    "IsPassing": true,
    "IsFailing": false,
    "NeedsAttention": false,
    "PassingSuiteKey": "suite-witness",
    "NeedsAttentionSuiteKey": null
   },
   {
    "TestCaseId": "tc-witness-send_intents-resulting_delivery_was_transmitted",
    "TestKind": "witness-discriminates",
    "Subject": "SendIntents.ResultingDeliveryWasTransmitted",
    "TargetTable": "SendIntents",
    "TargetField": "ResultingDeliveryWasTransmitted",
    "Assertion": "Reads both TRUE and FALSE across the seed data, so it can distinguish cases.",
    "DefendsQuestion": "q-publisher-refusal-was-honored",
    "Suite": "suite-witness",
    "Severity": "advisory",
    "LastOutcome": "WARN",
    "LastDetail": "always true (2/7)",
    "LastRunAt": "2026-07-20T03:06:49+00:00",
    "SemanticTypeIri": "urn:effortless:pko-extension#TestCase",
    "Name": "witness-discriminates: SendIntents.ResultingDeliveryWasTransmitted",
    "IsBlocking": false,
    "IsPassing": false,
    "IsFailing": false,
    "NeedsAttention": false,
    "PassingSuiteKey": null,
    "NeedsAttentionSuiteKey": null
   },
   {
    "TestCaseId": "tc-witness-send_intents-is_overridden_refusal",
    "TestKind": "witness-discriminates",
    "Subject": "SendIntents.IsOverriddenRefusal",
    "TargetTable": "SendIntents",
    "TargetField": "IsOverriddenRefusal",
    "Assertion": "Reads both TRUE and FALSE across the seed data, so it can distinguish cases.",
    "DefendsQuestion": "q-publisher-refusal-was-honored",
    "Suite": "suite-witness",
    "Severity": "advisory",
    "LastOutcome": "WARN",
    "LastDetail": "never true (7/7 false)",
    "LastRunAt": "2026-07-20T03:06:49+00:00",
    "SemanticTypeIri": "urn:effortless:pko-extension#TestCase",
    "Name": "witness-discriminates: SendIntents.IsOverriddenRefusal",
    "IsBlocking": false,
    "IsPassing": false,
    "IsFailing": false,
    "NeedsAttention": false,
    "PassingSuiteKey": null,
    "NeedsAttentionSuiteKey": null
   },
   {
    "TestCaseId": "tc-witness-send_intents-is_silently_dropped",
    "TestKind": "witness-discriminates",
    "Subject": "SendIntents.IsSilentlyDropped",
    "TargetTable": "SendIntents",
    "TargetField": "IsSilentlyDropped",
    "Assertion": "Reads both TRUE and FALSE across the seed data, so it can distinguish cases.",
    "DefendsQuestion": "q-publisher-refusal-was-honored",
    "Suite": "suite-witness",
    "Severity": "advisory",
    "LastOutcome": "PASS",
    "LastDetail": "4 true / 3 false",
    "LastRunAt": "2026-07-20T03:06:49+00:00",
    "SemanticTypeIri": "urn:effortless:pko-extension#TestCase",
    "Name": "witness-discriminates: SendIntents.IsSilentlyDropped",
    "IsBlocking": false,
    "IsPassing": true,
    "IsFailing": false,
    "NeedsAttention": false,
    "PassingSuiteKey": "suite-witness",
    "NeedsAttentionSuiteKey": null
   },
   {
    "TestCaseId": "tc-witness-send_intents-refusal_cited_an_exception",
    "TestKind": "witness-discriminates",
    "Subject": "SendIntents.RefusalCitedAnException",
    "TargetTable": "SendIntents",
    "TargetField": "RefusalCitedAnException",
    "Assertion": "Reads both TRUE and FALSE across the seed data, so it can distinguish cases.",
    "DefendsQuestion": "q-publisher-refusal-was-honored",
    "Suite": "suite-witness",
    "Severity": "advisory",
    "LastOutcome": "WARN",
    "LastDetail": "never true (7/7 false)",
    "LastRunAt": "2026-07-20T03:06:49+00:00",
    "SemanticTypeIri": "urn:effortless:pko-extension#TestCase",
    "Name": "witness-discriminates: SendIntents.RefusalCitedAnException",
    "IsBlocking": false,
    "IsPassing": false,
    "IsFailing": false,
    "NeedsAttention": false,
    "PassingSuiteKey": null,
    "NeedsAttentionSuiteKey": null
   },
   {
    "TestCaseId": "tc-witness-send_intents-is_properly_handled_refusal",
    "TestKind": "witness-discriminates",
    "Subject": "SendIntents.IsProperlyHandledRefusal",
    "TargetTable": "SendIntents",
    "TargetField": "IsProperlyHandledRefusal",
    "Assertion": "Reads both TRUE and FALSE across the seed data, so it can distinguish cases.",
    "DefendsQuestion": "q-publisher-refusal-was-honored",
    "Suite": "suite-witness",
    "Severity": "advisory",
    "LastOutcome": "WARN",
    "LastDetail": "never true (7/7 false)",
    "LastRunAt": "2026-07-20T03:06:49+00:00",
    "SemanticTypeIri": "urn:effortless:pko-extension#TestCase",
    "Name": "witness-discriminates: SendIntents.IsProperlyHandledRefusal",
    "IsBlocking": false,
    "IsPassing": false,
    "IsFailing": false,
    "NeedsAttention": false,
    "PassingSuiteKey": null,
    "NeedsAttentionSuiteKey": null
   },
   {
    "TestCaseId": "tc-witness-send_intents-my_approval_was_in_force",
    "TestKind": "witness-discriminates",
    "Subject": "SendIntents.MyApprovalWasInForce",
    "TargetTable": "SendIntents",
    "TargetField": "MyApprovalWasInForce",
    "Assertion": "Reads both TRUE and FALSE across the seed data, so it can distinguish cases.",
    "DefendsQuestion": "q2-comms-my-approval-was-consumed-correctly",
    "Suite": "suite-witness",
    "Severity": "advisory",
    "LastOutcome": "WARN",
    "LastDetail": "always true (7/7)",
    "LastRunAt": "2026-07-20T03:06:49+00:00",
    "SemanticTypeIri": "urn:effortless:pko-extension#TestCase",
    "Name": "witness-discriminates: SendIntents.MyApprovalWasInForce",
    "IsBlocking": false,
    "IsPassing": false,
    "IsFailing": false,
    "NeedsAttention": false,
    "PassingSuiteKey": null,
    "NeedsAttentionSuiteKey": null
   },
   {
    "TestCaseId": "tc-witness-send_intents-refused_on_approved_content",
    "TestKind": "witness-discriminates",
    "Subject": "SendIntents.RefusedOnApprovedContent",
    "TargetTable": "SendIntents",
    "TargetField": "RefusedOnApprovedContent",
    "Assertion": "Reads both TRUE and FALSE across the seed data, so it can distinguish cases.",
    "DefendsQuestion": "q2-comms-my-approval-was-consumed-correctly",
    "Suite": "suite-witness",
    "Severity": "advisory",
    "LastOutcome": "PASS",
    "LastDetail": "2 true / 5 false",
    "LastRunAt": "2026-07-20T03:06:49+00:00",
    "SemanticTypeIri": "urn:effortless:pko-extension#TestCase",
    "Name": "witness-discriminates: SendIntents.RefusedOnApprovedContent",
    "IsBlocking": false,
    "IsPassing": true,
    "IsFailing": false,
    "NeedsAttention": false,
    "PassingSuiteKey": "suite-witness",
    "NeedsAttentionSuiteKey": null
   },
   {
    "TestCaseId": "tc-witness-send_intents-refused_on_opt_out_only",
    "TestKind": "witness-discriminates",
    "Subject": "SendIntents.RefusedOnOptOutOnly",
    "TargetTable": "SendIntents",
    "TargetField": "RefusedOnOptOutOnly",
    "Assertion": "Reads both TRUE and FALSE across the seed data, so it can distinguish cases.",
    "DefendsQuestion": "q2-comms-my-approval-was-consumed-correctly",
    "Suite": "suite-witness",
    "Severity": "advisory",
    "LastOutcome": "PASS",
    "LastDetail": "2 true / 5 false",
    "LastRunAt": "2026-07-20T03:06:49+00:00",
    "SemanticTypeIri": "urn:effortless:pko-extension#TestCase",
    "Name": "witness-discriminates: SendIntents.RefusedOnOptOutOnly",
    "IsBlocking": false,
    "IsPassing": true,
    "IsFailing": false,
    "NeedsAttention": false,
    "PassingSuiteKey": "suite-witness",
    "NeedsAttentionSuiteKey": null
   },
   {
    "TestCaseId": "tc-witness-send_intents-refusal_was_on_my_rules",
    "TestKind": "witness-discriminates",
    "Subject": "SendIntents.RefusalWasOnMyRules",
    "TargetTable": "SendIntents",
    "TargetField": "RefusalWasOnMyRules",
    "Assertion": "Reads both TRUE and FALSE across the seed data, so it can distinguish cases.",
    "DefendsQuestion": "q2-comms-my-approval-was-consumed-correctly",
    "Suite": "suite-witness",
    "Severity": "advisory",
    "LastOutcome": "PASS",
    "LastDetail": "3 true / 4 false",
    "LastRunAt": "2026-07-20T03:06:49+00:00",
    "SemanticTypeIri": "urn:effortless:pko-extension#TestCase",
    "Name": "witness-discriminates: SendIntents.RefusalWasOnMyRules",
    "IsBlocking": false,
    "IsPassing": true,
    "IsFailing": false,
    "NeedsAttention": false,
    "PassingSuiteKey": "suite-witness",
    "NeedsAttentionSuiteKey": null
   },
   {
    "TestCaseId": "tc-witness-send_intents-refusal_was_outside_my_control",
    "TestKind": "witness-discriminates",
    "Subject": "SendIntents.RefusalWasOutsideMyControl",
    "TargetTable": "SendIntents",
    "TargetField": "RefusalWasOutsideMyControl",
    "Assertion": "Reads both TRUE and FALSE across the seed data, so it can distinguish cases.",
    "DefendsQuestion": "q2-comms-my-approval-was-consumed-correctly",
    "Suite": "suite-witness",
    "Severity": "advisory",
    "LastOutcome": "PASS",
    "LastDetail": "1 true / 6 false",
    "LastRunAt": "2026-07-20T03:06:49+00:00",
    "SemanticTypeIri": "urn:effortless:pko-extension#TestCase",
    "Name": "witness-discriminates: SendIntents.RefusalWasOutsideMyControl",
    "IsBlocking": false,
    "IsPassing": true,
    "IsFailing": false,
    "NeedsAttention": false,
    "PassingSuiteKey": "suite-witness",
    "NeedsAttentionSuiteKey": null
   },
   {
    "TestCaseId": "tc-witness-send_intents-is_unreported_refusal_on_my_rules",
    "TestKind": "witness-discriminates",
    "Subject": "SendIntents.IsUnreportedRefusalOnMyRules",
    "TargetTable": "SendIntents",
    "TargetField": "IsUnreportedRefusalOnMyRules",
    "Assertion": "Reads both TRUE and FALSE across the seed data, so it can distinguish cases.",
    "DefendsQuestion": "q2-comms-my-approval-was-consumed-correctly",
    "Suite": "suite-witness",
    "Severity": "advisory",
    "LastOutcome": "PASS",
    "LastDetail": "3 true / 4 false",
    "LastRunAt": "2026-07-20T03:06:49+00:00",
    "SemanticTypeIri": "urn:effortless:pko-extension#TestCase",
    "Name": "witness-discriminates: SendIntents.IsUnreportedRefusalOnMyRules",
    "IsBlocking": false,
    "IsPassing": true,
    "IsFailing": false,
    "NeedsAttention": false,
    "PassingSuiteKey": "suite-witness",
    "NeedsAttentionSuiteKey": null
   },
   {
    "TestCaseId": "tc-witness-send_intents-is_approval_overridden_silently",
    "TestKind": "witness-discriminates",
    "Subject": "SendIntents.IsApprovalOverriddenSilently",
    "TargetTable": "SendIntents",
    "TargetField": "IsApprovalOverriddenSilently",
    "Assertion": "Reads both TRUE and FALSE across the seed data, so it can distinguish cases.",
    "DefendsQuestion": "q2-comms-my-approval-was-consumed-correctly",
    "Suite": "suite-witness",
    "Severity": "advisory",
    "LastOutcome": "PASS",
    "LastDetail": "2 true / 5 false",
    "LastRunAt": "2026-07-20T03:06:49+00:00",
    "SemanticTypeIri": "urn:effortless:pko-extension#TestCase",
    "Name": "witness-discriminates: SendIntents.IsApprovalOverriddenSilently",
    "IsBlocking": false,
    "IsPassing": true,
    "IsFailing": false,
    "NeedsAttention": false,
    "PassingSuiteKey": "suite-witness",
    "NeedsAttentionSuiteKey": null
   },
   {
    "TestCaseId": "tc-witness-send_intents-has_alternate_channel_attempt",
    "TestKind": "witness-discriminates",
    "Subject": "SendIntents.HasAlternateChannelAttempt",
    "TargetTable": "SendIntents",
    "TargetField": "HasAlternateChannelAttempt",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SendIntents.HasAlternateChannelAttempt",
    "IsBlocking": false,
    "IsPassing": false,
    "IsFailing": false,
    "NeedsAttention": false,
    "PassingSuiteKey": null,
    "NeedsAttentionSuiteKey": null
   },
   {
    "TestCaseId": "tc-witness-send_intents-alternate_attempt_was_cleared",
    "TestKind": "witness-discriminates",
    "Subject": "SendIntents.AlternateAttemptWasCleared",
    "TargetTable": "SendIntents",
    "TargetField": "AlternateAttemptWasCleared",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SendIntents.AlternateAttemptWasCleared",
    "IsBlocking": false,
    "IsPassing": false,
    "IsFailing": false,
    "NeedsAttention": false,
    "PassingSuiteKey": null,
    "NeedsAttentionSuiteKey": null
   },
   {
    "TestCaseId": "tc-witness-send_intents-is_refused_with_no_alternative",
    "TestKind": "witness-discriminates",
    "Subject": "SendIntents.IsRefusedWithNoAlternative",
    "TargetTable": "SendIntents",
    "TargetField": "IsRefusedWithNoAlternative",
    "Assertion": "Reads both TRUE and FALSE across the seed data, so it can distinguish cases.",
    "DefendsQuestion": "q2-comms-suppression-is-a-communication",
    "Suite": "suite-witness",
    "Severity": "advisory",
    "LastOutcome": "PASS",
    "LastDetail": "4 true / 3 false",
    "LastRunAt": "2026-07-20T03:06:49+00:00",
    "SemanticTypeIri": "urn:effortless:pko-extension#TestCase",
    "Name": "witness-discriminates: SendIntents.IsRefusedWithNoAlternative",
    "IsBlocking": false,
    "IsPassing": true,
    "IsFailing": false,
    "NeedsAttention": false,
    "PassingSuiteKey": "suite-witness",
    "NeedsAttentionSuiteKey": null
   },
   {
    "TestCaseId": "tc-witness-send_intents-exception_prescribed_an_alternative",
    "TestKind": "witness-discriminates",
    "Subject": "SendIntents.ExceptionPrescribedAnAlternative",
    "TargetTable": "SendIntents",
    "TargetField": "ExceptionPrescribedAnAlternative",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SendIntents.ExceptionPrescribedAnAlternative",
    "IsBlocking": false,
    "IsPassing": false,
    "IsFailing": false,
    "NeedsAttention": false,
    "PassingSuiteKey": null,
    "NeedsAttentionSuiteKey": null
   },
   {
    "TestCaseId": "tc-witness-send_intents-prescribed_handling_was_performed",
    "TestKind": "witness-discriminates",
    "Subject": "SendIntents.PrescribedHandlingWasPerformed",
    "TargetTable": "SendIntents",
    "TargetField": "PrescribedHandlingWasPerformed",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SendIntents.PrescribedHandlingWasPerformed",
    "IsBlocking": false,
    "IsPassing": false,
    "IsFailing": false,
    "NeedsAttention": false,
    "PassingSuiteKey": null,
    "NeedsAttentionSuiteKey": null
   },
   {
    "TestCaseId": "tc-witness-send_intents-is_suppression_without_remedy",
    "TestKind": "witness-discriminates",
    "Subject": "SendIntents.IsSuppressionWithoutRemedy",
    "TargetTable": "SendIntents",
    "TargetField": "IsSuppressionWithoutRemedy",
    "Assertion": "Reads both TRUE and FALSE across the seed data, so it can distinguish cases.",
    "DefendsQuestion": "q2-comms-suppression-is-a-communication",
    "Suite": "suite-witness",
    "Severity": "advisory",
    "LastOutcome": "WARN",
    "LastDetail": "never true (7/7 false)",
    "LastRunAt": "2026-07-20T03:06:49+00:00",
    "SemanticTypeIri": "urn:effortless:pko-extension#TestCase",
    "Name": "witness-discriminates: SendIntents.IsSuppressionWithoutRemedy",
    "IsBlocking": false,
    "IsPassing": false,
    "IsFailing": false,
    "NeedsAttention": false,
    "PassingSuiteKey": null,
    "NeedsAttentionSuiteKey": null
   },
   {
    "TestCaseId": "tc-witness-send_intents-has_durable_refusal_record",
    "TestKind": "witness-discriminates",
    "Subject": "SendIntents.HasDurableRefusalRecord",
    "TargetTable": "SendIntents",
    "TargetField": "HasDurableRefusalRecord",
    "Assertion": "Reads both TRUE and FALSE across the seed data, so it can distinguish cases.",
    "DefendsQuestion": "q2-publisher-every-refusal-leaves-a-record",
    "Suite": "suite-witness",
    "Severity": "advisory",
    "LastOutcome": "WARN",
    "LastDetail": "never true (7/7 false)",
    "LastRunAt": "2026-07-20T03:06:49+00:00",
    "SemanticTypeIri": "urn:effortless:pko-extension#TestCase",
    "Name": "witness-discriminates: SendIntents.HasDurableRefusalRecord",
    "IsBlocking": false,
    "IsPassing": false,
    "IsFailing": false,
    "NeedsAttention": false,
    "PassingSuiteKey": null,
    "NeedsAttentionSuiteKey": null
   },
   {
    "TestCaseId": "tc-witness-send_intents-refusal_was_escalated",
    "TestKind": "witness-discriminates",
    "Subject": "SendIntents.RefusalWasEscalated",
    "TargetTable": "SendIntents",
    "TargetField": "RefusalWasEscalated",
    "Assertion": "Reads both TRUE and FALSE across the seed data, so it can distinguish cases.",
    "DefendsQuestion": "q2-publisher-every-refusal-leaves-a-record",
    "Suite": "suite-witness",
    "Severity": "advisory",
    "LastOutcome": "WARN",
    "LastDetail": "never true (7/7 false)",
    "LastRunAt": "2026-07-20T03:06:49+00:00",
    "SemanticTypeIri": "urn:effortless:pko-extension#TestCase",
    "Name": "witness-discriminates: SendIntents.RefusalWasEscalated",
    "IsBlocking": false,
    "IsPassing": false,
    "IsFailing": false,
    "NeedsAttention": false,
    "PassingSuiteKey": null,
    "NeedsAttentionSuiteKey": null
   },
   {
    "TestCaseId": "tc-witness-send_intents-is_unrecorded_refusal",
    "TestKind": "witness-discriminates",
    "Subject": "SendIntents.IsUnrecordedRefusal",
    "TargetTable": "SendIntents",
    "TargetField": "IsUnrecordedRefusal",
    "Assertion": "Reads both TRUE and FALSE across the seed data, so it can distinguish cases.",
    "DefendsQuestion": "q2-publisher-every-refusal-leaves-a-record",
    "Suite": "suite-witness",
    "Severity": "advisory",
    "LastOutcome": "PASS",
    "LastDetail": "4 true / 3 false",
    "LastRunAt": "2026-07-20T03:06:49+00:00",
    "SemanticTypeIri": "urn:effortless:pko-extension#TestCase",
    "Name": "witness-discriminates: SendIntents.IsUnrecordedRefusal",
    "IsBlocking": false,
    "IsPassing": true,
    "IsFailing": false,
    "NeedsAttention": false,
    "PassingSuiteKey": "suite-witness",
    "NeedsAttentionSuiteKey": null
   },
   {
    "TestCaseId": "tc-witness-send_intents-is_unescalated_refusal",
    "TestKind": "witness-discriminates",
    "Subject": "SendIntents.IsUnescalatedRefusal",
    "TargetTable": "SendIntents",
    "TargetField": "IsUnescalatedRefusal",
    "Assertion": "Reads both TRUE and FALSE across the seed data, so it can distinguish cases.",
    "DefendsQuestion": "q2-publisher-every-refusal-leaves-a-record",
    "Suite": "suite-witness",
    "Severity": "advisory",
    "LastOutcome": "PASS",
    "LastDetail": "4 true / 3 false",
    "LastRunAt": "2026-07-20T03:06:49+00:00",
    "SemanticTypeIri": "urn:effortless:pko-extension#TestCase",
    "Name": "witness-discriminates: SendIntents.IsUnescalatedRefusal",
    "IsBlocking": false,
    "IsPassing": true,
    "IsFailing": false,
    "NeedsAttention": false,
    "PassingSuiteKey": "suite-witness",
    "NeedsAttentionSuiteKey": null
   },
   {
    "TestCaseId": "tc-witness-send_intents-was_deferred_on_timing",
    "TestKind": "witness-discriminates",
    "Subject": "SendIntents.WasDeferredOnTiming",
    "TargetTable": "SendIntents",
    "TargetField": "WasDeferredOnTiming",
    "Assertion": "Reads both TRUE and FALSE across the seed data, so it can distinguish cases.",
    "DefendsQuestion": "q2-publisher-deferred-not-cancelled",
    "Suite": "suite-witness",
    "Severity": "advisory",
    "LastOutcome": "PASS",
    "LastDetail": "1 true / 6 false",
    "LastRunAt": "2026-07-20T03:06:49+00:00",
    "SemanticTypeIri": "urn:effortless:pko-extension#TestCase",
    "Name": "witness-discriminates: SendIntents.WasDeferredOnTiming",
    "IsBlocking": false,
    "IsPassing": true,
    "IsFailing": false,
    "NeedsAttention": false,
    "PassingSuiteKey": "suite-witness",
    "NeedsAttentionSuiteKey": null
   },
   {
    "TestCaseId": "tc-witness-send_intents-window_has_since_reopened",
    "TestKind": "witness-discriminates",
    "Subject": "SendIntents.WindowHasSinceReopened",
    "TargetTable": "SendIntents",
    "TargetField": "WindowHasSinceReopened",
    "Assertion": "Reads both TRUE and FALSE across the seed data, so it can distinguish cases.",
    "DefendsQuestion": "q2-publisher-deferred-not-cancelled",
    "Suite": "suite-witness",
    "Severity": "advisory",
    "LastOutcome": "PASS",
    "LastDetail": "1 true / 6 false",
    "LastRunAt": "2026-07-20T03:06:49+00:00",
    "SemanticTypeIri": "urn:effortless:pko-extension#TestCase",
    "Name": "witness-discriminates: SendIntents.WindowHasSinceReopened",
    "IsBlocking": false,
    "IsPassing": true,
    "IsFailing": false,
    "NeedsAttention": false,
    "PassingSuiteKey": "suite-witness",
    "NeedsAttentionSuiteKey": null
   },
   {
    "TestCaseId": "tc-witness-send_intents-has_retry_attempt",
    "TestKind": "witness-discriminates",
    "Subject": "SendIntents.HasRetryAttempt",
    "TargetTable": "SendIntents",
    "TargetField": "HasRetryAttempt",
    "Assertion": "Reads both TRUE and FALSE across the seed data, so it can distinguish cases.",
    "DefendsQuestion": "q2-publisher-deferred-not-cancelled",
    "Suite": "suite-witness",
    "Severity": "advisory",
    "LastOutcome": "WARN",
    "LastDetail": "never true (7/7 false)",
    "LastRunAt": "2026-07-20T03:06:49+00:00",
    "SemanticTypeIri": "urn:effortless:pko-extension#TestCase",
    "Name": "witness-discriminates: SendIntents.HasRetryAttempt",
    "IsBlocking": false,
    "IsPassing": false,
    "IsFailing": false,
    "NeedsAttention": false,
    "PassingSuiteKey": null,
    "NeedsAttentionSuiteKey": null
   },
   {
    "TestCaseId": "tc-witness-send_intents-retry_was_cleared",
    "TestKind": "witness-discriminates",
    "Subject": "SendIntents.RetryWasCleared",
    "TargetTable": "SendIntents",
    "TargetField": "RetryWasCleared",
    "Assertion": "Reads both TRUE and FALSE across the seed data, so it can distinguish cases.",
    "DefendsQuestion": "q2-publisher-deferred-not-cancelled",
    "Suite": "suite-witness",
    "Severity": "advisory",
    "LastOutcome": "WARN",
    "LastDetail": "never true (7/7 false)",
    "LastRunAt": "2026-07-20T03:06:49+00:00",
    "SemanticTypeIri": "urn:effortless:pko-extension#TestCase",
    "Name": "witness-discriminates: SendIntents.RetryWasCleared",
    "IsBlocking": false,
    "IsPassing": false,
    "IsFailing": false,
    "NeedsAttention": false,
    "PassingSuiteKey": null,
    "NeedsAttentionSuiteKey": null
   },
   {
    "TestCaseId": "tc-witness-send_intents-is_abandoned_deferral",
    "TestKind": "witness-discriminates",
    "Subject": "SendIntents.IsAbandonedDeferral",
    "TargetTable": "SendIntents",
    "TargetField": "IsAbandonedDeferral",
    "Assertion": "Reads both TRUE and FALSE across the seed data, so it can distinguish cases.",
    "DefendsQuestion": "q2-publisher-deferred-not-cancelled",
    "Suite": "suite-witness",
    "Severity": "advisory",
    "LastOutcome": "PASS",
    "LastDetail": "1 true / 6 false",
    "LastRunAt": "2026-07-20T03:06:49+00:00",
    "SemanticTypeIri": "urn:effortless:pko-extension#TestCase",
    "Name": "witness-discriminates: SendIntents.IsAbandonedDeferral",
    "IsBlocking": false,
    "IsPassing": true,
    "IsFailing": false,
    "NeedsAttention": false,
    "PassingSuiteKey": "suite-witness",
    "NeedsAttentionSuiteKey": null
   },
   {
    "TestCaseId": "tc-witness-send_intents-is_stale_deferral",
    "TestKind": "witness-discriminates",
    "Subject": "SendIntents.IsStaleDeferral",
    "TargetTable": "SendIntents",
    "TargetField": "IsStaleDeferral",
    "Assertion": "Reads both TRUE and FALSE across the seed data, so it can distinguish cases.",
    "DefendsQuestion": "q2-publisher-deferred-not-cancelled",
    "Suite": "suite-witness",
    "Severity": "advisory",
    "LastOutcome": "WARN",
    "LastDetail": "never true (7/7 false)",
    "LastRunAt": "2026-07-20T03:06:49+00:00",
    "SemanticTypeIri": "urn:effortless:pko-extension#TestCase",
    "Name": "witness-discriminates: SendIntents.IsStaleDeferral",
    "IsBlocking": false,
    "IsPassing": false,
    "IsFailing": false,
    "NeedsAttention": false,
    "PassingSuiteKey": null,
    "NeedsAttentionSuiteKey": null
   },
   {
    "TestCaseId": "tc-witness-send_intents-enforced_by_unauthorized_agent",
    "TestKind": "witness-discriminates",
    "Subject": "SendIntents.EnforcedByUnauthorizedAgent",
    "TargetTable": "SendIntents",
    "TargetField": "EnforcedByUnauthorizedAgent",
    "Assertion": "Reads both TRUE and FALSE across the seed data, so it can distinguish cases.",
    "DefendsQuestion": "q2-publisher-my-own-authorization",
    "Suite": "suite-witness",
    "Severity": "advisory",
    "LastOutcome": "WARN",
    "LastDetail": "never true (7/7 false)",
    "LastRunAt": "2026-07-20T03:06:49+00:00",
    "SemanticTypeIri": "urn:effortless:pko-extension#TestCase",
    "Name": "witness-discriminates: SendIntents.EnforcedByUnauthorizedAgent",
    "IsBlocking": false,
    "IsPassing": false,
    "IsFailing": false,
    "NeedsAttention": false,
    "PassingSuiteKey": null,
    "NeedsAttentionSuiteKey": null
   },
   {
    "TestCaseId": "tc-witness-send_intents-consent_input_was_resolvable",
    "TestKind": "witness-discriminates",
    "Subject": "SendIntents.ConsentInputWasResolvable",
    "TargetTable": "SendIntents",
    "TargetField": "ConsentInputWasResolvable",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SendIntents.ConsentInputWasResolvable",
    "IsBlocking": false,
    "IsPassing": false,
    "IsFailing": false,
    "NeedsAttention": false,
    "PassingSuiteKey": null,
    "NeedsAttentionSuiteKey": null
   },
   {
    "TestCaseId": "tc-witness-send_intents-policy_input_was_resolvable",
    "TestKind": "witness-discriminates",
    "Subject": "SendIntents.PolicyInputWasResolvable",
    "TargetTable": "SendIntents",
    "TargetField": "PolicyInputWasResolvable",
    "Assertion": "Reads both TRUE and FALSE across the seed data, so it can distinguish cases.",
    </t>
  </si>
  <si>
    <t xml:space="preserve">"DefendsQuestion": "q2-publisher-am-i-the-only-witness",
    "Suite": "suite-witness",
    "Severity": "advisory",
    "LastOutcome": "WARN",
    "LastDetail": "always true (7/7)",
    "LastRunAt": "2026-07-20T03:06:49+00:00",
    "SemanticTypeIri": "urn:effortless:pko-extension#TestCase",
    "Name": "witness-discriminates: SendIntents.PolicyInputWasResolvable",
    "IsBlocking": false,
    "IsPassing": false,
    "IsFailing": false,
    "NeedsAttention": false,
    "PassingSuiteKey": null,
    "NeedsAttentionSuiteKey": null
   },
   {
    "TestCaseId": "tc-witness-send_intents-all_gate_inputs_resolved",
    "TestKind": "witness-discriminates",
    "Subject": "SendIntents.AllGateInputsResolved",
    "TargetTable": "SendIntents",
    "TargetField": "AllGateInputsResolved",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SendIntents.AllGateInputsResolved",
    "IsBlocking": false,
    "IsPassing": false,
    "IsFailing": false,
    "NeedsAttention": false,
    "PassingSuiteKey": null,
    "NeedsAttentionSuiteKey": null
   },
   {
    "TestCaseId": "tc-witness-send_intents-is_unevaluable_refusal",
    "TestKind": "witness-discriminates",
    "Subject": "SendIntents.IsUnevaluableRefusal",
    "TargetTable": "SendIntents",
    "TargetField": "IsUnevaluableRefusal",
    "Assertion": "Reads both TRUE and FALSE across the seed data, so it can distinguish cases.",
    "DefendsQuestion": "q2-publisher-am-i-the-only-witness",
    "Suite": "suite-witness",
    "Severity": "advisory",
    "LastOutcome": "WARN",
    "LastDetail": "never true (7/7 false)",
    "LastRunAt": "2026-07-20T03:06:49+00:00",
    "SemanticTypeIri": "urn:effortless:pko-extension#TestCase",
    "Name": "witness-discriminates: SendIntents.IsUnevaluableRefusal",
    "IsBlocking": false,
    "IsPassing": false,
    "IsFailing": false,
    "NeedsAttention": false,
    "PassingSuiteKey": null,
    "NeedsAttentionSuiteKey": null
   },
   {
    "TestCaseId": "tc-witness-send_intents-is_self_witnessed_decision",
    "TestKind": "witness-discriminates",
    "Subject": "SendIntents.IsSelfWitnessedDecision",
    "TargetTable": "SendIntents",
    "TargetField": "IsSelfWitnessedDecision",
    "Assertion": "Reads both TRUE and FALSE across the seed data, so it can distinguish cases.",
    "DefendsQuestion": "q2-publisher-am-i-the-only-witness",
    "Suite": "suite-witness",
    "Severity": "advisory",
    "LastOutcome": "WARN",
    "LastDetail": "always true (7/7)",
    "LastRunAt": "2026-07-20T03:06:49+00:00",
    "SemanticTypeIri": "urn:effortless:pko-extension#TestCase",
    "Name": "witness-discriminates: SendIntents.IsSelfWitnessedDecision",
    "IsBlocking": false,
    "IsPassing": false,
    "IsFailing": false,
    "NeedsAttention": false,
    "PassingSuiteKey": null,
    "NeedsAttentionSuiteKey": null
   },
   {
    "TestCaseId": "tc-witness-send_intents-is_independently_confirmed",
    "TestKind": "witness-discriminates",
    "Subject": "SendIntents.IsIndependentlyConfirmed",
    "TargetTable": "SendIntents",
    "TargetField": "IsIndependentlyConfirmed",
    "Assertion": "Reads both TRUE and FALSE across the seed data, so it can distinguish cases.",
    "DefendsQuestion": "q2-publisher-am-i-the-only-witness",
    "Suite": "suite-witness",
    "Severity": "advisory",
    "LastOutcome": "PASS",
    "LastDetail": "2 true / 5 false",
    "LastRunAt": "2026-07-20T03:06:49+00:00",
    "SemanticTypeIri": "urn:effortless:pko-extension#TestCase",
    "Name": "witness-discriminates: SendIntents.IsIndependentlyConfirmed",
    "IsBlocking": false,
    "IsPassing": true,
    "IsFailing": false,
    "NeedsAttention": false,
    "PassingSuiteKey": "suite-witness",
    "NeedsAttentionSuiteKey": null
   },
   {
    "TestCaseId": "tc-witness-agent_decision_records-was_overridden",
    "TestKind": "witness-discriminates",
    "Subject": "AgentDecisionRecords.WasOverridden",
    "TargetTable": "AgentDecisionRecords",
    "TargetField": "WasOverridden",
    "Assertion": "Reads both TRUE and FALSE across the seed data, so it can distinguish cases.",
    "DefendsQuestion": "q-close-auto-human-override-drift",
    "Suite": "suite-witness",
    "Severity": "advisory",
    "LastOutcome": "PASS",
    "LastDetail": "1 true / 2 false",
    "LastRunAt": "2026-07-20T03:06:49+00:00",
    "SemanticTypeIri": "urn:effortless:pko-extension#TestCase",
    "Name": "witness-discriminates: AgentDecisionRecords.WasOverridden",
    "IsBlocking": false,
    "IsPassing": true,
    "IsFailing": false,
    "NeedsAttention": false,
    "PassingSuiteKey": "suite-witness",
    "NeedsAttentionSuiteKey": null
   },
   {
    "TestCaseId": "tc-witness-agent_decision_records-was_reviewed",
    "TestKind": "witness-discriminates",
    "Subject": "AgentDecisionRecords.WasReviewed",
    "TargetTable": "AgentDecisionRecords",
    "TargetField": "WasReviewed",
    "Assertion": "Reads both TRUE and FALSE across the seed data, so it can distinguish cases.",
    "DefendsQuestion": "q-close-auto-human-override-drift",
    "Suite": "suite-witness",
    "Severity": "advisory",
    "LastOutcome": "WARN",
    "LastDetail": "always true (3/3)",
    "LastRunAt": "2026-07-20T03:06:49+00:00",
    "SemanticTypeIri": "urn:effortless:pko-extension#TestCase",
    "Name": "witness-discriminates: AgentDecisionRecords.WasReviewed",
    "IsBlocking": false,
    "IsPassing": false,
    "IsFailing": false,
    "NeedsAttention": false,
    "PassingSuiteKey": null,
    "NeedsAttentionSuiteKey": null
   },
   {
    "TestCaseId": "tc-witness-agent_decision_records-violated_authority_boundary",
    "TestKind": "witness-discriminates",
    "Subject": "AgentDecisionRecords.ViolatedAuthorityBoundary",
    "TargetTable": "AgentDecisionRecords",
    "TargetField": "ViolatedAuthorityBoundary",
    "Assertion": "Reads both TRUE and FALSE across the seed data, so it can distinguish cases.",
    "DefendsQuestion": "q-variance-ai-boundary-compliance",
    "Suite": "suite-witness",
    "Severity": "advisory",
    "LastOutcome": "WARN",
    "LastDetail": "never true (3/3 false)",
    "LastRunAt": "2026-07-20T03:06:49+00:00",
    "SemanticTypeIri": "urn:effortless:pko-extension#TestCase",
    "Name": "witness-discriminates: AgentDecisionRecords.ViolatedAuthorityBoundary",
    "IsBlocking": false,
    "IsPassing": false,
    "IsFailing": false,
    "NeedsAttention": false,
    "PassingSuiteKey": null,
    "NeedsAttentionSuiteKey": null
   },
   {
    "TestCaseId": "tc-witness-agent_decision_records-has_human_confirmation",
    "TestKind": "witness-discriminates",
    "Subject": "AgentDecisionRecords.HasHumanConfirmation",
    "TargetTable": "AgentDecisionRecords",
    "TargetField": "HasHumanConfirmation",
    "Assertion": "Reads both TRUE and FALSE across the seed data, so it can distinguish cases.",
    "DefendsQuestion": "q-variance-ai-human-confirmation-present",
    "Suite": "suite-witness",
    "Severity": "advisory",
    "LastOutcome": "WARN",
    "LastDetail": "always true (3/3)",
    "LastRunAt": "2026-07-20T03:06:49+00:00",
    "SemanticTypeIri": "urn:effortless:pko-extension#TestCase",
    "Name": "witness-discriminates: AgentDecisionRecords.HasHumanConfirmation",
    "IsBlocking": false,
    "IsPassing": false,
    "IsFailing": false,
    "NeedsAttention": false,
    "PassingSuiteKey": null,
    "NeedsAttentionSuiteKey": null
   },
   {
    "TestCaseId": "tc-witness-agent_decision_records-needs_human_confirmation",
    "TestKind": "witness-discriminates",
    "Subject": "AgentDecisionRecords.NeedsHumanConfirmation",
    "TargetTable": "AgentDecisionRecords",
    "TargetField": "NeedsHumanConfirmation",
    "Assertion": "Reads both TRUE and FALSE across the seed data, so it can distinguish cases.",
    "DefendsQuestion": "q-variance-ai-human-confirmation-present",
    "Suite": "suite-witness",
    "Severity": "advisory",
    "LastOutcome": "WARN",
    "LastDetail": "always true (3/3)",
    "LastRunAt": "2026-07-20T03:06:49+00:00",
    "SemanticTypeIri": "urn:effortless:pko-extension#TestCase",
    "Name": "witness-discriminates: AgentDecisionRecords.NeedsHumanConfirmation",
    "IsBlocking": false,
    "IsPassing": false,
    "IsFailing": false,
    "NeedsAttention": false,
    "PassingSuiteKey": null,
    "NeedsAttentionSuiteKey": null
   },
   {
    "TestCaseId": "tc-witness-agent_decision_records-is_unconfirmed_non_human_decision",
    "TestKind": "witness-discriminates",
    "Subject": "AgentDecisionRecords.IsUnconfirmedNonHumanDecision",
    "TargetTable": "AgentDecisionRecords",
    "TargetField": "IsUnconfirmedNonHumanDecision",
    "Assertion": "Reads both TRUE and FALSE across the seed data, so it can distinguish cases.",
    "DefendsQuestion": "q-variance-ai-human-confirmation-present",
    "Suite": "suite-witness",
    "Severity": "advisory",
    "LastOutcome": "WARN",
    "LastDetail": "never true (3/3 false)",
    "LastRunAt": "2026-07-20T03:06:49+00:00",
    "SemanticTypeIri": "urn:effortless:pko-extension#TestCase",
    "Name": "witness-discriminates: AgentDecisionRecords.IsUnconfirmedNonHumanDecision",
    "IsBlocking": false,
    "IsPassing": false,
    "IsFailing": false,
    "NeedsAttention": false,
    "PassingSuiteKey": null,
    "NeedsAttentionSuiteKey": null
   },
   {
    "TestCaseId": "tc-witness-agent_decision_records-is_draft_kind",
    "TestKind": "witness-discriminates",
    "Subject": "AgentDecisionRecords.IsDraftKind",
    "TargetTable": "AgentDecisionRecords",
    "TargetField": "IsDraftKind",
    "Assertion": "Reads both TRUE and FALSE across the seed data, so it can distinguish cases.",
    "DefendsQuestion": "q-policy-ai-downstream-rewrite",
    "Suite": "suite-witness",
    "Severity": "advisory",
    "LastOutcome": "WARN",
    "LastDetail": "never true (3/3 false)",
    "LastRunAt": "2026-07-20T03:06:49+00:00",
    "SemanticTypeIri": "urn:effortless:pko-extension#TestCase",
    "Name": "witness-discriminates: AgentDecisionRecords.IsDraftKind",
    "IsBlocking": false,
    "IsPassing": false,
    "IsFailing": false,
    "NeedsAttention": false,
    "PassingSuiteKey": null,
    "NeedsAttentionSuiteKey": null
   },
   {
    "TestCaseId": "tc-witness-agent_decision_records-is_error_correction",
    "TestKind": "witness-discriminates",
    "Subject": "AgentDecisionRecords.IsErrorCorrection",
    "TargetTable": "AgentDecisionRecords",
    "TargetField": "IsErrorCorrection",
    "Assertion": "Reads both TRUE and FALSE across the seed data, so it can distinguish cases.",
    "DefendsQuestion": "q2-variance-override-signal-vs-noise",
    "Suite": "suite-witness",
    "Severity": "advisory",
    "LastOutcome": "WARN",
    "LastDetail": "never true (2/3 false)",
    "LastRunAt": "2026-07-20T03:06:49+00:00",
    "SemanticTypeIri": "urn:effortless:pko-extension#TestCase",
    "Name": "witness-discriminates: AgentDecisionRecords.IsErrorCorrection",
    "IsBlocking": false,
    "IsPassing": false,
    "IsFailing": false,
    "NeedsAttention": false,
    "PassingSuiteKey": null,
    "NeedsAttentionSuiteKey": null
   },
   {
    "TestCaseId": "tc-witness-agent_decision_records-is_reserved_judgment_override",
    "TestKind": "witness-discriminates",
    "Subject": "AgentDecisionRecords.IsReservedJudgmentOverride",
    "TargetTable": "AgentDecisionRecords",
    "TargetField": "IsReservedJudgmentOverride",
    "Assertion": "Reads both TRUE and FALSE across the seed data, so it can distinguish cases.",
    "DefendsQuestion": "q2-variance-override-signal-vs-noise",
    "Suite": "suite-witness",
    "Severity": "advisory",
    "LastOutcome": "WARN",
    "LastDetail": "never true (2/3 false)",
    "LastRunAt": "2026-07-20T03:06:49+00:00",
    "SemanticTypeIri": "urn:effortless:pko-extension#TestCase",
    "Name": "witness-discriminates: AgentDecisionRecords.IsReservedJudgmentOverride",
    "IsBlocking": false,
    "IsPassing": false,
    "IsFailing": false,
    "NeedsAttention": false,
    "PassingSuiteKey": null,
    "NeedsAttentionSuiteKey": null
   },
   {
    "TestCaseId": "tc-witness-agent_decision_records-override_reason_is_recorded",
    "TestKind": "witness-discriminates",
    "Subject": "AgentDecisionRecords.OverrideReasonIsRecorded",
    "TargetTable": "AgentDecisionRecords",
    "TargetField": "OverrideReasonIsRecorded",
    "Assertion": "Reads both TRUE and FALSE across the seed data, so it can distinguish cases.",
    "DefendsQuestion": "q2-variance-override-signal-vs-noise",
    "Suite": "suite-witness",
    "Severity": "advisory",
    "LastOutcome": "WARN",
    "LastDetail": "never true (3/3 false)",
    "LastRunAt": "2026-07-20T03:06:49+00:00",
    "SemanticTypeIri": "urn:effortless:pko-extension#TestCase",
    "Name": "witness-discriminates: AgentDecisionRecords.OverrideReasonIsRecorded",
    "IsBlocking": false,
    "IsPassing": false,
    "IsFailing": false,
    "NeedsAttention": false,
    "PassingSuiteKey": null,
    "NeedsAttentionSuiteKey": null
   },
   {
    "TestCaseId": "tc-witness-agent_decision_records-is_unexplained_override",
    "TestKind": "witness-discriminates",
    "Subject": "AgentDecisionRecords.IsUnexplainedOverride",
    "TargetTable": "AgentDecisionRecords",
    "TargetField": "IsUnexplainedOverride",
    "Assertion": "Reads both TRUE and FALSE across the seed data, so it can distinguish cases.",
    "DefendsQuestion": "q2-variance-override-signal-vs-noise",
    "Suite": "suite-witness",
    "Severity": "advisory",
    "LastOutcome": "PASS",
    "LastDetail": "1 true / 2 false",
    "LastRunAt": "2026-07-20T03:06:49+00:00",
    "SemanticTypeIri": "urn:effortless:pko-extension#TestCase",
    "Name": "witness-discriminates: AgentDecisionRecords.IsUnexplainedOverride",
    "IsBlocking": false,
    "IsPassing": true,
    "IsFailing": false,
    "NeedsAttention": false,
    "PassingSuiteKey": "suite-witness",
    "NeedsAttentionSuiteKey": null
   },
   {
    "TestCaseId": "tc-witness-delivered_communications-has_authorization",
    "TestKind": "witness-discriminates",
    "Subject": "DeliveredCommunications.HasAuthorization",
    "TargetTable": "DeliveredCommunications",
    "TargetField": "HasAuthorization",
    "Assertion": "Reads both TRUE and FALSE across the seed data, so it can distinguish cases.",
    "DefendsQuestion": null,
    "Suite": "suite-witness",
    "Severity": "advisory",
    "LastOutcome": "WARN",
    "LastDetail": "never true (1/1 false)",
    "LastRunAt": "2026-07-20T03:06:49+00:00",
    "SemanticTypeIri": "urn:effortless:pko-extension#TestCase",
    "Name": "witness-discriminates: DeliveredCommunications.HasAuthorization",
    "IsBlocking": false,
    "IsPassing": false,
    "IsFailing": false,
    "NeedsAttention": false,
    "PassingSuiteKey": null,
    "NeedsAttentionSuiteKey": null
   },
   {
    "TestCaseId": "tc-witness-delivered_communications-content_matches_approval",
    "TestKind": "witness-discriminates",
    "Subject": "DeliveredCommunications.ContentMatchesApproval",
    "TargetTable": "DeliveredCommunications",
    "TargetField": "ContentMatchesApproval",
    "Assertion": "Reads both TRUE and FALSE across the seed data, so it can distinguish cases.",
    "DefendsQuestion": null,
    "Suite": "suite-witness",
    "Severity": "advisory",
    "LastOutcome": "WARN",
    "LastDetail": "never true (0/1 false)",
    "LastRunAt": "2026-07-20T03:06:49+00:00",
    "SemanticTypeIri": "urn:effortless:pko-extension#TestCase",
    "Name": "witness-discriminates: DeliveredCommunications.ContentMatchesApproval",
    "IsBlocking": false,
    "IsPassing": false,
    "IsFailing": false,
    "NeedsAttention": false,
    "PassingSuiteKey": null,
    "NeedsAttentionSuiteKey": null
   },
   {
    "TestCaseId": "tc-witness-delivered_communications-was_approved_before_sending",
    "TestKind": "witness-discriminates",
    "Subject": "DeliveredCommunications.WasApprovedBeforeSending",
    "TargetTable": "DeliveredCommunications",
    "TargetField": "WasApprovedBeforeSending",
    "Assertion": "Reads both TRUE and FALSE across the seed data, so it can distinguish cases.",
    "DefendsQuestion": null,
    "Suite": "suite-witness",
    "Severity": "advisory",
    "LastOutcome": "WARN",
    "LastDetail": "never true (0/1 false)",
    "LastRunAt": "2026-07-20T03:06:49+00:00",
    "SemanticTypeIri": "urn:effortless:pko-extension#TestCase",
    "Name": "witness-discriminates: DeliveredCommunications.WasApprovedBeforeSending",
    "IsBlocking": false,
    "IsPassing": false,
    "IsFailing": false,
    "NeedsAttention": false,
    "PassingSuiteKey": null,
    "NeedsAttentionSuiteKey": null
   },
   {
    "TestCaseId": "tc-witness-delivered_communications-is_defensible",
    "TestKind": "witness-discriminates",
    "Subject": "DeliveredCommunications.IsDefensible",
    "TargetTable": "DeliveredCommunications",
    "TargetField": "IsDefensible",
    "Assertion": "Reads both TRUE and FALSE across the seed data, so it can distinguish cases.",
    "DefendsQuestion": null,
    "Suite": "suite-witness",
    "Severity": "advisory",
    "LastOutcome": "WARN",
    "LastDetail": "never true (1/1 false)",
    "LastRunAt": "2026-07-20T03:06:49+00:00",
    "SemanticTypeIri": "urn:effortless:pko-extension#TestCase",
    "Name": "witness-discriminates: DeliveredCommunications.IsDefensible",
    "IsBlocking": false,
    "IsPassing": false,
    "IsFailing": false,
    "NeedsAttention": false,
    "PassingSuiteKey": null,
    "NeedsAttentionSuiteKey": null
   },
   {
    "TestCaseId": "tc-witness-authority_boundaries-is_currently_binding",
    "TestKind": "witness-discriminates",
    "Subject": "AuthorityBoundaries.IsCurrentlyBinding",
    "TargetTable": "AuthorityBoundaries",
    "TargetField": "IsCurrentlyBinding",
    "Assertion": "Reads both TRUE and FALSE across the seed data, so it can distinguish cases.",
    "DefendsQuestion": "q-variance-ai-boundary-compliance",
    "Suite": "suite-witness",
    "Severity": "advisory",
    "LastOutcome": "WARN",
    "LastDetail": "always true (3/3)",
    "LastRunAt": "2026-07-20T03:06:49+00:00",
    "SemanticTypeIri": "urn:effortless:pko-extension#TestCase",
    "Name": "witness-discriminates: AuthorityBoundaries.IsCurrentlyBinding",
    "IsBlocking": false,
    "IsPassing": false,
    "IsFailing": false,
    "NeedsAttention": false,
    "PassingSuiteKey": null,
    "NeedsAttentionSuiteKey": null
   },
   {
    "TestCaseId": "tc-witness-authority_boundaries-ratifying_fragment_is_valid",
    "TestKind": "witness-discriminates",
    "Subject": "AuthorityBoundaries.RatifyingFragmentIsValid",
    "TargetTable": "AuthorityBoundaries",
    "TargetField": "RatifyingFragmentIsValid",
    "Assertion": "Reads both TRUE and FALSE across the seed data, so it can distinguish cases.",
    "DefendsQuestion": "q-variance-ai-boundary-compliance",
    "Suite": "suite-witness",
    "Severity": "advisory",
    "LastOutcome": "WARN",
    "LastDetail": "always true (2/3)",
    "LastRunAt": "2026-07-20T03:06:49+00:00",
    "SemanticTypeIri": "urn:effortless:pko-extension#TestCase",
    "Name": "witness-discriminates: AuthorityBoundaries.RatifyingFragmentIsValid",
    "IsBlocking": false,
    "IsPassing": false,
    "IsFailing": false,
    "NeedsAttention": false,
    "PassingSuiteKey": null,
    "NeedsAttentionSuiteKey": null
   },
   {
    "TestCaseId": "tc-witness-authority_boundaries-is_untested",
    "TestKind": "witness-discriminates",
    "Subject": "AuthorityBoundaries.IsUntested",
    "TargetTable": "AuthorityBoundaries",
    "TargetField": "IsUntested",
    "Assertion": "Reads both TRUE and FALSE across the seed data, so it can distinguish cases.",
    "DefendsQuestion": "q-policy-ai-commitment-boundary",
    "Suite": "suite-witness",
    "Severity": "advisory",
    "LastOutcome": "WARN",
    "LastDetail": "always true (3/3)",
    "LastRunAt": "2026-07-20T03:06:49+00:00",
    "SemanticTypeIri": "urn:effortless:pko-extension#TestCase",
    "Name": "witness-discriminates: AuthorityBoundaries.IsUntested",
    "IsBlocking": false,
    "IsPassing": false,
    "IsFailing": false,
    "NeedsAttention": false,
    "PassingSuiteKey": null,
    "NeedsAttentionSuiteKey": null
   },
   {
    "TestCaseId": "tc-witness-authority_boundaries-has_ratifying_fragment",
    "TestKind": "witness-discriminates",
    "Subject": "AuthorityBoundaries.HasRatifyingFragment",
    "TargetTable": "AuthorityBoundaries",
    "TargetField": "HasRatifyingFragment",
    "Assertion": "Reads both TRUE and FALSE across the seed data, so it can distinguish cases.",
    "DefendsQuestion": null,
    "Suite": "suite-witness",
    "Severity": "advisory",
    "LastOutcome": "PASS",
    "LastDetail": "2 true / 1 false",
    "LastRunAt": "2026-07-20T03:06:49+00:00",
    "SemanticTypeIri": "urn:effortless:pko-extension#TestCase",
    "Name": "witness-discriminates: AuthorityBoundaries.HasRatifyingFragment",
    "IsBlocking": false,
    "IsPassing": true,
    "IsFailing": false,
    "NeedsAttention": false,
    "PassingSuiteKey": "suite-witness",
    "NeedsAttentionSuiteKey": null
   },
   {
    "TestCaseId": "tc-witness-authority_boundaries-is_unwarranted",
    "TestKind": "witness-discriminates",
    "Subject": "AuthorityBoundaries.IsUnwarranted",
    "TargetTable": "AuthorityBoundaries",
    "TargetField": "IsUnwarranted",
    "Assertion": "Reads both TRUE and FALSE across the seed data, so it can distinguish cases.",
    "DefendsQuestion": "q2-authority-boundary-rests-on-expired-claim",
    "Suite": "suite-witness",
    "Severity": "advisory",
    "LastOutcome": "PASS",
    "LastDetail": "1 true / 2 false",
    "LastRunAt": "2026-07-20T03:06:49+00:00",
    "SemanticTypeIri": "urn:effortless:pko-extension#TestCase",
    "Name": "witness-discriminates: AuthorityBoundaries.IsUnwarranted",
    "IsBlocking": false,
    "IsPassing": true,
    "IsFailing": false,
    "NeedsAttention": false,
    "PassingSuiteKey": "suite-witness",
    "NeedsAttentionSuiteKey": null
   },
   {
    "TestCaseId": "tc-witness-authority_boundaries-ratifying_fragment_is_overdue",
    "TestKind": "witness-discriminates",
    "Subject": "AuthorityBoundaries.RatifyingFragmentIsOverdue",
    "TargetTable": "AuthorityBoundaries",
    "TargetField": "RatifyingFragmentIsOverdue",
    "Assertion": "Reads both TRUE and FALSE across the seed data, so it can distinguish cases.",
    "DefendsQuestion": "q2-authority-boundary-rests-on-expired-claim",
    "Suite": "suite-witness",
    "Severity": "advisory",
    "LastOutcome": "WARN",
    "LastDetail": "always true (2/3)",
    "LastRunAt": "2026-07-20T03:06:49+00:00",
    "SemanticTypeIri": "urn:effortless:pko-extension#TestCase",
    "Name": "witness-discriminates: AuthorityBoundaries.RatifyingFragmentIsOverdue",
    "IsBlocking": false,
    "IsPassing": false,
    "IsFailing": false,
    "NeedsAttention": false,
    "PassingSuiteKey": null,
    "NeedsAttentionSuiteKey": null
   },
   {
    "TestCaseId": "tc-witness-authority_boundaries-ratifying_fragment_is_single_witness",
    "TestKind": "witness-discriminates",
    "Subject": "AuthorityBoundaries.RatifyingFragmentIsSingleWitness",
    "TargetTable": "AuthorityBoundaries",
    "TargetField": "RatifyingFragmentIsSingleWitness",
    "Assertion": "Reads both TRUE and FALSE across the seed data, so it can distinguish cases.",
    "DefendsQuestion": "q2-authority-boundary-rests-on-expired-claim",
    "Suite": "suite-witness",
    "Severity": "advisory",
    "LastOutcome": "WARN",
    "LastDetail": "always true (2/3)",
    "LastRunAt": "2026-07-20T03:06:49+00:00",
    "SemanticTypeIri": "urn:effortless:pko-extension#TestCase",
    "Name": "witness-discriminates: AuthorityBoundaries.RatifyingFragmentIsSingleWitness",
    "IsBlocking": false,
    "IsPassing": false,
    "IsFailing": false,
    "NeedsAttention": false,
    "PassingSuiteKey": null,
    "NeedsAttentionSuiteKey": null
   },
   {
    "TestCaseId": "tc-witness-authority_boundaries-warrant_is_thin",
    "TestKind": "witness-discriminates",
    "Subject": "AuthorityBoundaries.WarrantIsThin",
    "TargetTable": "AuthorityBoundaries",
    "TargetField": "WarrantIsThin",
    "Assertion": "Reads both TRUE and FALSE across the seed data, so it can distinguish cases.",
    "DefendsQuestion": "q2-authority-boundary-rests-on-expired-claim",
    "Suite": "suite-witness",
    "Severity": "advisory",
    "LastOutcome": "WARN",
    "LastDetail": "always true (2/3)",
    "LastRunAt": "2026-07-20T03:06:49+00:00",
    "SemanticTypeIri": "urn:effortless:pko-extension#TestCase",
    "Name": "witness-discriminates: AuthorityBoundaries.WarrantIsThin",
    "IsBlocking": false,
    "IsPassing": false,
    "IsFailing": false,
    "NeedsAttention": false,
    "PassingSuiteKey": null,
    "NeedsAttentionSuiteKey": null
   },
   {
    "TestCaseId": "tc-witness-authority_boundaries-is_unwarranted_and_untested",
    "TestKind": "witness-discriminates",
    "Subject": "AuthorityBoundaries.IsUnwarrantedAndUntested",
    "TargetTable": "AuthorityBoundaries",
    "TargetField": "IsUnwarrantedAndUntested",
    "Assertion": "Reads both TRUE and FALSE across the seed data, so it can distinguish cases.",
    "DefendsQuestion": "q2-authority-boundary-rests-on-expired-claim",
    "Suite": "suite-witness",
    "Severity": "advisory",
    "LastOutcome": "PASS",
    "LastDetail": "1 true / 2 false",
    "LastRunAt": "2026-07-20T03:06:49+00:00",
    "SemanticTypeIri": "urn:effortless:pko-extension#TestCase",
    "Name": "witness-discriminates: AuthorityBoundaries.IsUnwarrantedAndUntested",
    "IsBlocking": false,
    "IsPassing": true,
    "IsFailing": false,
    "NeedsAttention": false,
    "PassingSuiteKey": "suite-witness",
    "NeedsAttentionSuiteKey": null
   },
   {
    "TestCaseId": "tc-witness-authority_boundaries-ratification_lapsed",
    "TestKind": "witness-discriminates",
    "Subject": "AuthorityBoundaries.RatificationLapsed",
    "TargetTable": "AuthorityBoundaries",
    "TargetField": "RatificationLapsed",
    "Assertion": "Reads both TRUE and FALSE across the seed data, so it can distinguish cases.",
    "DefendsQuestion": "q2-variance-boundary-rests-on-expired-knowledge",
    "Suite": "suite-witness",
    "Severity": "advisory",
    "LastOutcome": "WARN",
    "LastDetail": "never true (3/3 false)",
    "LastRunAt": "2026-07-20T03:06:49+00:00",
    "SemanticTypeIri": "urn:effortless:pko-extension#TestCase",
    "Name": "witness-discriminates: AuthorityBoundaries.RatificationLapsed",
    "IsBlocking": false,
    "IsPassing": false,
    "IsFailing": false,
    "NeedsAttention": false,
    "PassingSuiteKey": null,
    "NeedsAttentionSuiteKey": null
   },
   {
    "TestCaseId": "tc-witness-authority_boundaries-binds_despite_lapsed_ratification",
    "TestKind": "witness-discriminates",
    "Subject": "AuthorityBoundaries.BindsDespiteLapsedRatification",
    "TargetTable": "AuthorityBoundaries",
    "TargetField": "BindsDespiteLapsedRatification",
    "Assertion": "Reads both TRUE and FALSE across the seed data, so it can distinguish cases.",
    "DefendsQuestion": "q2-variance-boundary-rests-on-expired-knowledge",
    "Suite": "suite-witness",
    "Severity": "advisory",
    "LastOutcome": "WARN",
    "LastDetail": "never true (3/3 false)",
    "LastRunAt": "2026-07-20T03:06:49+00:00",
    "SemanticTypeIri": "urn:effortless:pko-extension#TestCase",
    "Name": "witness-discriminates: AuthorityBoundaries.BindsDespiteLapsedRatification",
    "IsBlocking": false,
    "IsPassing": false,
    "IsFailing": false,
    "NeedsAttention": false,
    "PassingSuiteKey": null,
    "NeedsAttentionSuiteKey": null
   },
   {
    "TestCaseId": "tc-witness-authority_boundaries-is_ungrounded_and_untested",
    "TestKind": "witness-discriminates",
    "Subject": "AuthorityBoundaries.IsUngroundedAndUntested",
    "TargetTable": "AuthorityBoundaries",
    "TargetField": "IsUngroundedAndUntested",
    "Assertion": "Reads both TRUE and FALSE across the seed data, so it can distinguish cases.",
    "DefendsQuestion": "q2-variance-boundary-rests-on-expired-knowledge",
    "Suite": "suite-witness",
    "Severity": "advisory",
    "LastOutcome": "WARN",
    "LastDetail": "never true (3/3 false)",
    "LastRunAt": "2026-07-20T03:06:49+00:00",
    "SemanticTypeIri": "urn:effortless:pko-extension#TestCase",
    "Name": "witness-discriminates: AuthorityBoundaries.IsUngroundedAndUntested",
    "IsBlocking": false,
    "IsPassing": false,
    "IsFailing": false,
    "NeedsAttention": false,
    "PassingSuiteKey": null,
    "NeedsAttentionSuiteKey": null
   },
   {
    "TestCaseId": "tc-witness-binding_observations-was_stale_at_run",
    "TestKind": "witness-discriminates",
    "Subject": "BindingObservations.WasStaleAtRun",
    "TargetTable": "BindingObservations",
    "TargetField": "WasStaleAtRun",
    "Assertion": "Reads both TRUE and FALSE across the seed data, so it can distinguish cases.",
    "DefendsQuestion": "q2-fa-stale-then-vs-stale-now",
    "Suite": "suite-witness",
    "Severity": "advisory",
    "LastOutcome": "WARN",
    "LastDetail": "no rows to witness",
    "LastRunAt": "2026-07-20T03:06:49+00:00",
    "SemanticTypeIri": "urn:effortless:pko-extension#TestCase",
    "Name": "witness-discriminates: BindingObservations.WasStaleAtRun",
    "IsBlocking": false,
    "IsPassing": false,
    "IsFailing": false,
    "NeedsAttention": false,
    "PassingSuiteKey": null,
    "NeedsAttentionSuiteKey": null
   },
   {
    "TestCaseId": "tc-witness-binding_observations-is_authoritative_binding",
    "TestKind": "witness-discriminates",
    "Subject": "BindingObservations.IsAuthoritativeBinding",
    "TargetTable": "BindingObservations",
    "TargetField": "IsAuthoritativeBinding",
    "Assertion": "Reads both TRUE and FALSE across the seed data, so it can distinguish cases.",
    "DefendsQuestion": "q2-fa-stale-then-vs-stale-now",
    "Suite": "suite-witness",
    "Severity": "advisory",
    "LastOutcome": "WARN",
    "LastDetail": "no rows to witness",
    "LastRunAt": "2026-07-20T03:06:49+00:00",
    "SemanticTypeIri": "urn:effortless:pko-extension#TestCase",
    "Name": "witness-discriminates: BindingObservations.IsAuthoritativeBinding",
    "IsBlocking": false,
    "IsPassing": false,
    "IsFailing": false,
    "NeedsAttention": false,
    "PassingSuiteKey": null,
    "NeedsAttentionSuiteKey": null
   },
   {
    "TestCaseId": "tc-witness-attestations-version_is_fit_now",
    "TestKind": "witness-discriminates",
    "Subject": "Attestations.VersionIsFitNow",
    "TargetTable": "Attestations",
    "TargetField": "VersionIsFitNow",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Attestations.VersionIsFitNow",
    "IsBlocking": false,
    "IsPassing": false,
    "IsFailing": false,
    "NeedsAttention": false,
    "PassingSuiteKey": null,
    "NeedsAttentionSuiteKey": null
   },
   {
    "TestCaseId": "tc-witness-attestations-fitness_verdict_has_drifted",
    "TestKind": "witness-discriminates",
    "Subject": "Attestations.FitnessVerdictHasDrifted",
    "TargetTable": "Attestations",
    "TargetField": "FitnessVerdictHasDrifted",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Attestations.FitnessVerdictHasDrifted",
    "IsBlocking": false,
    "IsPassing": false,
    "IsFailing": false,
    "NeedsAttention": false,
    "PassingSuiteKey": null,
    "NeedsAttentionSuiteKey": null
   },
   {
    "TestCaseId": "tc-witness-attestations-assurance_grade_has_drifted",
    "TestKind": "witness-discriminates",
    "Subject": "Attestations.AssuranceGradeHasDrifted",
    "TargetTable": "Attestations",
    "TargetField": "AssuranceGradeHasDrifted",
    "Assertion": "Reads both TRUE and FALSE across the seed data, so it can distinguish cases.",
    "DefendsQuestion": "q2-cfo</t>
  </si>
  <si>
    <t xml:space="preserve">-would-it-survive-restatement",
    "Suite": "suite-witness",
    "Severity": "advisory",
    "LastOutcome": "WARN",
    "LastDetail": "no rows to witness",
    "LastRunAt": "2026-07-20T03:06:49+00:00",
    "SemanticTypeIri": "urn:effortless:pko-extension#TestCase",
    "Name": "witness-discriminates: Attestations.AssuranceGradeHasDrifted",
    "IsBlocking": false,
    "IsPassing": false,
    "IsFailing": false,
    "NeedsAttention": false,
    "PassingSuiteKey": null,
    "NeedsAttentionSuiteKey": null
   },
   {
    "TestCaseId": "tc-witness-attestations-would_not_survive_restatement",
    "TestKind": "witness-discriminates",
    "Subject": "Attestations.WouldNotSurviveRestatement",
    "TargetTable": "Attestations",
    "TargetField": "WouldNotSurviveRestatement",
    "Assertion": "Reads both TRUE and FALSE across the seed data, so it can distinguish cases.",
    "DefendsQuestion": "q2-cfo-would-it-survive-restatement",
    "Suite": "suite-witness",
    "Severity": "advisory",
    "LastOutcome": "WARN",
    "LastDetail": "no rows to witness",
    "LastRunAt": "2026-07-20T03:06:49+00:00",
    "SemanticTypeIri": "urn:effortless:pko-extension#TestCase",
    "Name": "witness-discriminates: Attestations.WouldNotSurviveRestatement",
    "IsBlocking": false,
    "IsPassing": false,
    "IsFailing": false,
    "NeedsAttention": false,
    "PassingSuiteKey": null,
    "NeedsAttentionSuiteKey": null
   },
   {
    "TestCaseId": "tc-answered-q-analyst-blocking-unmet-on-my-step",
    "TestKind": "question-answered",
    "Subject": "q-analyst-blocking-unmet-on-my-step",
    "TargetTable": null,
    "TargetField": null,
    "Assertion": "At least one predicate exists to answer this question.",
    "DefendsQuestion": "q-analyst-blocking-unmet-on-my-step",
    "Suite": "suite-provenance",
    "Severity": "blocking",
    "LastOutcome": "PASS",
    "LastDetail": "7 predicates",
    "LastRunAt": "2026-07-20T03:06:49+00:00",
    "SemanticTypeIri": "urn:effortless:pko-extension#TestCase",
    "Name": "question-answered: q-analyst-blocking-unmet-on-my-step",
    "IsBlocking": true,
    "IsPassing": true,
    "IsFailing": false,
    "NeedsAttention": false,
    "PassingSuiteKey": "suite-provenance",
    "NeedsAttentionSuiteKey": null
   },
   {
    "TestCaseId": "tc-answered-q-analyst-blocking-never-evaluated",
    "TestKind": "question-answered",
    "Subject": "q-analyst-blocking-never-evaluated",
    "TargetTable": null,
    "TargetField": null,
    "Assertion": "At least one predicate exists to answer this question.",
    "DefendsQuestion": "q-analyst-blocking-never-evaluated",
    "Suite": "suite-provenance",
    "Severity": "blocking",
    "LastOutcome": "PASS",
    "LastDetail": "8 predicates",
    "LastRunAt": "2026-07-20T03:06:49+00:00",
    "SemanticTypeIri": "urn:effortless:pko-extension#TestCase",
    "Name": "question-answered: q-analyst-blocking-never-evaluated",
    "IsBlocking": true,
    "IsPassing": true,
    "IsFailing": false,
    "NeedsAttention": false,
    "PassingSuiteKey": "suite-provenance",
    "NeedsAttentionSuiteKey": null
   },
   {
    "TestCaseId": "tc-answered-q-analyst-evidence-binding-stale",
    "TestKind": "question-answered",
    "Subject": "q-analyst-evidence-binding-stale",
    "TargetTable": null,
    "TargetField": null,
    "Assertion": "At least one predicate exists to answer this question.",
    "DefendsQuestion": "q-analyst-evidence-binding-stale",
    "Suite": "suite-provenance",
    "Severity": "blocking",
    "LastOutcome": "PASS",
    "LastDetail": "6 predicates",
    "LastRunAt": "2026-07-20T03:06:49+00:00",
    "SemanticTypeIri": "urn:effortless:pko-extension#TestCase",
    "Name": "question-answered: q-analyst-evidence-binding-stale",
    "IsBlocking": true,
    "IsPassing": true,
    "IsFailing": false,
    "NeedsAttention": false,
    "PassingSuiteKey": "suite-provenance",
    "NeedsAttentionSuiteKey": null
   },
   {
    "TestCaseId": "tc-answered-q-analyst-my-late-steps-unexplained",
    "TestKind": "question-answered",
    "Subject": "q-analyst-my-late-steps-unexplained",
    "TargetTable": null,
    "TargetField": null,
    "Assertion": "At least one predicate exists to answer this question.",
    "DefendsQuestion": "q-analyst-my-late-steps-unexplained",
    "Suite": "suite-provenance",
    "Severity": "blocking",
    "LastOutcome": "PASS",
    "LastDetail": "6 predicates",
    "LastRunAt": "2026-07-20T03:06:49+00:00",
    "SemanticTypeIri": "urn:effortless:pko-extension#TestCase",
    "Name": "question-answered: q-analyst-my-late-steps-unexplained",
    "IsBlocking": true,
    "IsPassing": true,
    "IsFailing": false,
    "NeedsAttention": false,
    "PassingSuiteKey": "suite-provenance",
    "NeedsAttentionSuiteKey": null
   },
   {
    "TestCaseId": "tc-answered-q-analyst-verification-declared-never-performed",
    "TestKind": "question-answered",
    "Subject": "q-analyst-verification-declared-never-performed",
    "TargetTable": null,
    "TargetField": null,
    "Assertion": "At least one predicate exists to answer this question.",
    "DefendsQuestion": "q-analyst-verification-declared-never-performed",
    "Suite": "suite-provenance",
    "Severity": "blocking",
    "LastOutcome": "PASS",
    "LastDetail": "6 predicates",
    "LastRunAt": "2026-07-20T03:06:49+00:00",
    "SemanticTypeIri": "urn:effortless:pko-extension#TestCase",
    "Name": "question-answered: q-analyst-verification-declared-never-performed",
    "IsBlocking": true,
    "IsPassing": true,
    "IsFailing": false,
    "NeedsAttention": false,
    "PassingSuiteKey": "suite-provenance",
    "NeedsAttentionSuiteKey": null
   },
   {
    "TestCaseId": "tc-answered-q-controller-separation-of-duties",
    "TestKind": "question-answered",
    "Subject": "q-controller-separation-of-duties",
    "TargetTable": null,
    "TargetField": null,
    "Assertion": "At least one predicate exists to answer this question.",
    "DefendsQuestion": "q-controller-separation-of-duties",
    "Suite": "suite-provenance",
    "Severity": "blocking",
    "LastOutcome": "PASS",
    "LastDetail": "8 predicates",
    "LastRunAt": "2026-07-20T03:06:49+00:00",
    "SemanticTypeIri": "urn:effortless:pko-extension#TestCase",
    "Name": "question-answered: q-controller-separation-of-duties",
    "IsBlocking": true,
    "IsPassing": true,
    "IsFailing": false,
    "NeedsAttention": false,
    "PassingSuiteKey": "suite-provenance",
    "NeedsAttentionSuiteKey": null
   },
   {
    "TestCaseId": "tc-answered-q-controller-approval-authority-valid",
    "TestKind": "question-answered",
    "Subject": "q-controller-approval-authority-valid",
    "TargetTable": null,
    "TargetField": null,
    "Assertion": "At least one predicate exists to answer this question.",
    "DefendsQuestion": "q-controller-approval-authority-valid",
    "Suite": "suite-provenance",
    "Severity": "blocking",
    "LastOutcome": "PASS",
    "LastDetail": "7 predicates",
    "LastRunAt": "2026-07-20T03:06:49+00:00",
    "SemanticTypeIri": "urn:effortless:pko-extension#TestCase",
    "Name": "question-answered: q-controller-approval-authority-valid",
    "IsBlocking": true,
    "IsPassing": true,
    "IsFailing": false,
    "NeedsAttention": false,
    "PassingSuiteKey": "suite-provenance",
    "NeedsAttentionSuiteKey": null
   },
   {
    "TestCaseId": "tc-answered-q-controller-blocking-control-inoperative",
    "TestKind": "question-answered",
    "Subject": "q-controller-blocking-control-inoperative",
    "TargetTable": null,
    "TargetField": null,
    "Assertion": "At least one predicate exists to answer this question.",
    "DefendsQuestion": "q-controller-blocking-control-inoperative",
    "Suite": "suite-provenance",
    "Severity": "blocking",
    "LastOutcome": "PASS",
    "LastDetail": "8 predicates",
    "LastRunAt": "2026-07-20T03:06:49+00:00",
    "SemanticTypeIri": "urn:effortless:pko-extension#TestCase",
    "Name": "question-answered: q-controller-blocking-control-inoperative",
    "IsBlocking": true,
    "IsPassing": true,
    "IsFailing": false,
    "NeedsAttention": false,
    "PassingSuiteKey": "suite-provenance",
    "NeedsAttentionSuiteKey": null
   },
   {
    "TestCaseId": "tc-answered-q-controller-execution-diverged-from-spec",
    "TestKind": "question-answered",
    "Subject": "q-controller-execution-diverged-from-spec",
    "TargetTable": null,
    "TargetField": null,
    "Assertion": "At least one predicate exists to answer this question.",
    "DefendsQuestion": "q-controller-execution-diverged-from-spec",
    "Suite": "suite-provenance",
    "Severity": "blocking",
    "LastOutcome": "PASS",
    "LastDetail": "10 predicates",
    "LastRunAt": "2026-07-20T03:06:49+00:00",
    "SemanticTypeIri": "urn:effortless:pko-extension#TestCase",
    "Name": "question-answered: q-controller-execution-diverged-from-spec",
    "IsBlocking": true,
    "IsPassing": true,
    "IsFailing": false,
    "NeedsAttention": false,
    "PassingSuiteKey": "suite-provenance",
    "NeedsAttentionSuiteKey": null
   },
   {
    "TestCaseId": "tc-answered-q-controller-ai-agent-approved-meaning",
    "TestKind": "question-answered",
    "Subject": "q-controller-ai-agent-approved-meaning",
    "TargetTable": null,
    "TargetField": null,
    "Assertion": "At least one predicate exists to answer this question.",
    "DefendsQuestion": "q-controller-ai-agent-approved-meaning",
    "Suite": "suite-provenance",
    "Severity": "blocking",
    "LastOutcome": "PASS",
    "LastDetail": "7 predicates",
    "LastRunAt": "2026-07-20T03:06:49+00:00",
    "SemanticTypeIri": "urn:effortless:pko-extension#TestCase",
    "Name": "question-answered: q-controller-ai-agent-approved-meaning",
    "IsBlocking": true,
    "IsPassing": true,
    "IsFailing": false,
    "NeedsAttention": false,
    "PassingSuiteKey": "suite-provenance",
    "NeedsAttentionSuiteKey": null
   },
   {
    "TestCaseId": "tc-answered-q-cfo-can-i-sign",
    "TestKind": "question-answered",
    "Subject": "q-cfo-can-i-sign",
    "TargetTable": null,
    "TargetField": null,
    "Assertion": "At least one predicate exists to answer this question.",
    "DefendsQuestion": "q-cfo-can-i-sign",
    "Suite": "suite-provenance",
    "Severity": "blocking",
    "LastOutcome": "PASS",
    "LastDetail": "8 predicates",
    "LastRunAt": "2026-07-20T03:06:49+00:00",
    "SemanticTypeIri": "urn:effortless:pko-extension#TestCase",
    "Name": "question-answered: q-cfo-can-i-sign",
    "IsBlocking": true,
    "IsPassing": true,
    "IsFailing": false,
    "NeedsAttention": false,
    "PassingSuiteKey": "suite-provenance",
    "NeedsAttentionSuiteKey": null
   },
   {
    "TestCaseId": "tc-answered-q-cfo-approving-on-unfit-version",
    "TestKind": "question-answered",
    "Subject": "q-cfo-approving-on-unfit-version",
    "TargetTable": null,
    "TargetField": null,
    "Assertion": "At least one predicate exists to answer this question.",
    "DefendsQuestion": "q-cfo-approving-on-unfit-version",
    "Suite": "suite-provenance",
    "Severity": "blocking",
    "LastOutcome": "PASS",
    "LastDetail": "9 predicates",
    "LastRunAt": "2026-07-20T03:06:49+00:00",
    "SemanticTypeIri": "urn:effortless:pko-extension#TestCase",
    "Name": "question-answered: q-cfo-approving-on-unfit-version",
    "IsBlocking": true,
    "IsPassing": true,
    "IsFailing": false,
    "NeedsAttention": false,
    "PassingSuiteKey": "suite-provenance",
    "NeedsAttentionSuiteKey": null
   },
   {
    "TestCaseId": "tc-answered-q-cfo-approval-was-actually-verified",
    "TestKind": "question-answered",
    "Subject": "q-cfo-approval-was-actually-verified",
    "TargetTable": null,
    "TargetField": null,
    "Assertion": "At least one predicate exists to answer this question.",
    "DefendsQuestion": "q-cfo-approval-was-actually-verified",
    "Suite": "suite-provenance",
    "Severity": "blocking",
    "LastOutcome": "PASS",
    "LastDetail": "7 predicates",
    "LastRunAt": "2026-07-20T03:06:49+00:00",
    "SemanticTypeIri": "urn:effortless:pko-extension#TestCase",
    "Name": "question-answered: q-cfo-approval-was-actually-verified",
    "IsBlocking": true,
    "IsPassing": true,
    "IsFailing": false,
    "NeedsAttention": false,
    "PassingSuiteKey": "suite-provenance",
    "NeedsAttentionSuiteKey": null
   },
   {
    "TestCaseId": "tc-answered-q-cfo-who-actually-held-authority",
    "TestKind": "question-answered",
    "Subject": "q-cfo-who-actually-held-authority",
    "TargetTable": null,
    "TargetField": null,
    "Assertion": "At least one predicate exists to answer this question.",
    "DefendsQuestion": "q-cfo-who-actually-held-authority",
    "Suite": "suite-provenance",
    "Severity": "blocking",
    "LastOutcome": "PASS",
    "LastDetail": "8 predicates",
    "LastRunAt": "2026-07-20T03:06:49+00:00",
    "SemanticTypeIri": "urn:effortless:pko-extension#TestCase",
    "Name": "question-answered: q-cfo-who-actually-held-authority",
    "IsBlocking": true,
    "IsPassing": true,
    "IsFailing": false,
    "NeedsAttention": false,
    "PassingSuiteKey": "suite-provenance",
    "NeedsAttentionSuiteKey": null
   },
   {
    "TestCaseId": "tc-answered-q-cfo-am-i-being-told-everything",
    "TestKind": "question-answered",
    "Subject": "q-cfo-am-i-being-told-everything",
    "TargetTable": null,
    "TargetField": null,
    "Assertion": "At least one predicate exists to answer this question.",
    "DefendsQuestion": "q-cfo-am-i-being-told-everything",
    "Suite": "suite-provenance",
    "Severity": "blocking",
    "LastOutcome": "PASS",
    "LastDetail": "8 predicates",
    "LastRunAt": "2026-07-20T03:06:49+00:00",
    "SemanticTypeIri": "urn:effortless:pko-extension#TestCase",
    "Name": "question-answered: q-cfo-am-i-being-told-everything",
    "IsBlocking": true,
    "IsPassing": true,
    "IsFailing": false,
    "NeedsAttention": false,
    "PassingSuiteKey": "suite-provenance",
    "NeedsAttentionSuiteKey": null
   },
   {
    "TestCaseId": "tc-answered-q-steward-cadence-breach",
    "TestKind": "question-answered",
    "Subject": "q-steward-cadence-breach",
    "TargetTable": null,
    "TargetField": null,
    "Assertion": "At least one predicate exists to answer this question.",
    "DefendsQuestion": "q-steward-cadence-breach",
    "Suite": "suite-provenance",
    "Severity": "blocking",
    "LastOutcome": "PASS",
    "LastDetail": "8 predicates",
    "LastRunAt": "2026-07-20T03:06:49+00:00",
    "SemanticTypeIri": "urn:effortless:pko-extension#TestCase",
    "Name": "question-answered: q-steward-cadence-breach",
    "IsBlocking": true,
    "IsPassing": true,
    "IsFailing": false,
    "NeedsAttention": false,
    "PassingSuiteKey": "suite-provenance",
    "NeedsAttentionSuiteKey": null
   },
   {
    "TestCaseId": "tc-answered-q-steward-orphan-versions",
    "TestKind": "question-answered",
    "Subject": "q-steward-orphan-versions",
    "TargetTable": null,
    "TargetField": null,
    "Assertion": "At least one predicate exists to answer this question.",
    "DefendsQuestion": "q-steward-orphan-versions",
    "Suite": "suite-provenance",
    "Severity": "blocking",
    "LastOutcome": "PASS",
    "LastDetail": "6 predicates",
    "LastRunAt": "2026-07-20T03:06:49+00:00",
    "SemanticTypeIri": "urn:effortless:pko-extension#TestCase",
    "Name": "question-answered: q-steward-orphan-versions",
    "IsBlocking": true,
    "IsPassing": true,
    "IsFailing": false,
    "NeedsAttention": false,
    "PassingSuiteKey": "suite-provenance",
    "NeedsAttentionSuiteKey": null
   },
   {
    "TestCaseId": "tc-answered-q-steward-untested-fallbacks",
    "TestKind": "question-answered",
    "Subject": "q-steward-untested-fallbacks",
    "TargetTable": null,
    "TargetField": null,
    "Assertion": "At least one predicate exists to answer this question.",
    "DefendsQuestion": "q-steward-untested-fallbacks",
    "Suite": "suite-provenance",
    "Severity": "blocking",
    "LastOutcome": "PASS",
    "LastDetail": "11 predicates",
    "LastRunAt": "2026-07-20T03:06:49+00:00",
    "SemanticTypeIri": "urn:effortless:pko-extension#TestCase",
    "Name": "question-answered: q-steward-untested-fallbacks",
    "IsBlocking": true,
    "IsPassing": true,
    "IsFailing": false,
    "NeedsAttention": false,
    "PassingSuiteKey": "suite-provenance",
    "NeedsAttentionSuiteKey": null
   },
   {
    "TestCaseId": "tc-answered-q-steward-published-with-blocking-gap",
    "TestKind": "question-answered",
    "Subject": "q-steward-published-with-blocking-gap",
    "TargetTable": null,
    "TargetField": null,
    "Assertion": "At least one predicate exists to answer this question.",
    "DefendsQuestion": "q-steward-published-with-blocking-gap",
    "Suite": "suite-provenance",
    "Severity": "blocking",
    "LastOutcome": "PASS",
    "LastDetail": "6 predicates",
    "LastRunAt": "2026-07-20T03:06:49+00:00",
    "SemanticTypeIri": "urn:effortless:pko-extension#TestCase",
    "Name": "question-answered: q-steward-published-with-blocking-gap",
    "IsBlocking": true,
    "IsPassing": true,
    "IsFailing": false,
    "NeedsAttention": false,
    "PassingSuiteKey": "suite-provenance",
    "NeedsAttentionSuiteKey": null
   },
   {
    "TestCaseId": "tc-answered-q-steward-stalled-change-requests",
    "TestKind": "question-answered",
    "Subject": "q-steward-stalled-change-requests",
    "TargetTable": null,
    "TargetField": null,
    "Assertion": "At least one predicate exists to answer this question.",
    "DefendsQuestion": "q-steward-stalled-change-requests",
    "Suite": "suite-provenance",
    "Severity": "blocking",
    "LastOutcome": "PASS",
    "LastDetail": "6 predicates",
    "LastRunAt": "2026-07-20T03:06:49+00:00",
    "SemanticTypeIri": "urn:effortless:pko-extension#TestCase",
    "Name": "question-answered: q-steward-stalled-change-requests",
    "IsBlocking": true,
    "IsPassing": true,
    "IsFailing": false,
    "NeedsAttention": false,
    "PassingSuiteKey": "suite-provenance",
    "NeedsAttentionSuiteKey": null
   },
   {
    "TestCaseId": "tc-answered-q-authority-orphaned-provenance",
    "TestKind": "question-answered",
    "Subject": "q-authority-orphaned-provenance",
    "TargetTable": null,
    "TargetField": null,
    "Assertion": "At least one predicate exists to answer this question.",
    "DefendsQuestion": "q-authority-orphaned-provenance",
    "Suite": "suite-provenance",
    "Severity": "blocking",
    "LastOutcome": "PASS",
    "LastDetail": "8 predicates",
    "LastRunAt": "2026-07-20T03:06:49+00:00",
    "SemanticTypeIri": "urn:effortless:pko-extension#TestCase",
    "Name": "question-answered: q-authority-orphaned-provenance",
    "IsBlocking": true,
    "IsPassing": true,
    "IsFailing": false,
    "NeedsAttention": false,
    "PassingSuiteKey": "suite-provenance",
    "NeedsAttentionSuiteKey": null
   },
   {
    "TestCaseId": "tc-answered-q-authority-non-approved-dependency",
    "TestKind": "question-answered",
    "Subject": "q-authority-non-approved-dependency",
    "TargetTable": null,
    "TargetField": null,
    "Assertion": "At least one predicate exists to answer this question.",
    "DefendsQuestion": "q-authority-non-approved-dependency",
    "Suite": "suite-provenance",
    "Severity": "blocking",
    "LastOutcome": "PASS",
    "LastDetail": "8 predicates",
    "LastRunAt": "2026-07-20T03:06:49+00:00",
    "SemanticTypeIri": "urn:effortless:pko-extension#TestCase",
    "Name": "question-answered: q-authority-non-approved-dependency",
    "IsBlocking": true,
    "IsPassing": true,
    "IsFailing": false,
    "NeedsAttention": false,
    "PassingSuiteKey": "suite-provenance",
    "NeedsAttentionSuiteKey": null
   },
   {
    "TestCaseId": "tc-answered-q-authority-stale-elicitation",
    "TestKind": "question-answered",
    "Subject": "q-authority-stale-elicitation",
    "TargetTable": null,
    "TargetField": null,
    "Assertion": "At least one predicate exists to answer this question.",
    "DefendsQuestion": "q-authority-stale-elicitation",
    "Suite": "suite-provenance",
    "Severity": "blocking",
    "LastOutcome": "PASS",
    "LastDetail": "8 predicates",
    "LastRunAt": "2026-07-20T03:06:49+00:00",
    "SemanticTypeIri": "urn:effortless:pko-extension#TestCase",
    "Name": "question-answered: q-authority-stale-elicitation",
    "IsBlocking": true,
    "IsPassing": true,
    "IsFailing": false,
    "NeedsAttention": false,
    "PassingSuiteKey": "suite-provenance",
    "NeedsAttentionSuiteKey": null
   },
   {
    "TestCaseId": "tc-answered-q-authority-known-unknowns",
    "TestKind": "question-answered",
    "Subject": "q-authority-known-unknowns",
    "TargetTable": null,
    "TargetField": null,
    "Assertion": "At least one predicate exists to answer this question.",
    "DefendsQuestion": "q-authority-known-unknowns",
    "Suite": "suite-provenance",
    "Severity": "blocking",
    "LastOutcome": "PASS",
    "LastDetail": "8 predicates",
    "LastRunAt": "2026-07-20T03:06:49+00:00",
    "SemanticTypeIri": "urn:effortless:pko-extension#TestCase",
    "Name": "question-answered: q-authority-known-unknowns",
    "IsBlocking": true,
    "IsPassing": true,
    "IsFailing": false,
    "NeedsAttention": false,
    "PassingSuiteKey": "suite-provenance",
    "NeedsAttentionSuiteKey": null
   },
   {
    "TestCaseId": "tc-answered-q-authority-unwitnessed-change",
    "TestKind": "question-answered",
    "Subject": "q-authority-unwitnessed-change",
    "TargetTable": null,
    "TargetField": null,
    "Assertion": "At least one predicate exists to answer this question.",
    "DefendsQuestion": "q-authority-unwitnessed-change",
    "Suite": "suite-provenance",
    "Severity": "blocking",
    "LastOutcome": "PASS",
    "LastDetail": "8 predicates",
    "LastRunAt": "2026-07-20T03:06:49+00:00",
    "SemanticTypeIri": "urn:effortless:pko-extension#TestCase",
    "Name": "question-answered: q-authority-unwitnessed-change",
    "IsBlocking": true,
    "IsPassing": true,
    "IsFailing": false,
    "NeedsAttention": false,
    "PassingSuiteKey": "suite-provenance",
    "NeedsAttentionSuiteKey": null
   },
   {
    "TestCaseId": "tc-answered-q-counsel-sms-without-consent",
    "TestKind": "question-answered",
    "Subject": "q-counsel-sms-without-consent",
    "TargetTable": null,
    "TargetField": null,
    "Assertion": "At least one predicate exists to answer this question.",
    "DefendsQuestion": "q-counsel-sms-without-consent",
    "Suite": "suite-provenance",
    "Severity": "blocking",
    "LastOutcome": "PASS",
    "LastDetail": "8 predicates",
    "LastRunAt": "2026-07-20T03:06:49+00:00",
    "SemanticTypeIri": "urn:effortless:pko-extension#TestCase",
    "Name": "question-answered: q-counsel-sms-without-consent",
    "IsBlocking": true,
    "IsPassing": true,
    "IsFailing": false,
    "NeedsAttention": false,
    "PassingSuiteKey": "suite-provenance",
    "NeedsAttentionSuiteKey": null
   },
   {
    "TestCaseId": "tc-answered-q-counsel-quiet-hours-breach",
    "TestKind": "question-answered",
    "Subject": "q-counsel-quiet-hours-breach",
    "TargetTable": null,
    "TargetField": null,
    "Assertion": "At least one predicate exists to answer this question.",
    "DefendsQuestion": "q-counsel-quiet-hours-breach",
    "Suite": "suite-provenance",
    "Severity": "blocking",
    "LastOutcome": "PASS",
    "LastDetail": "10 predicates",
    "LastRunAt": "2026-07-20T03:06:49+00:00",
    "SemanticTypeIri": "urn:effortless:pko-extension#TestCase",
    "Name": "question-answered: q-counsel-quiet-hours-breach",
    "IsBlocking": true,
    "IsPassing": true,
    "IsFailing": false,
    "NeedsAttention": false,
    "PassingSuiteKey": "suite-provenance",
    "NeedsAttentionSuiteKey": null
   },
   {
    "TestCaseId": "tc-answered-q-counsel-unreachable-not-acknowledged",
    "TestKind": "question-answered",
    "Subject": "q-counsel-unreachable-not-acknowledged",
    "TargetTable": null,
    "TargetField": null,
    "Assertion": "At least one predicate exists to answer this question.",
    "DefendsQuestion": "q-counsel-unreachable-not-acknowledged",
    "Suite": "suite-provenance",
    "Severity": "blocking",
    "LastOutcome": "PASS",
    "LastDetail": "8 predicates",
    "LastRunAt": "2026-07-20T03:06:49+00:00",
    "SemanticTypeIri": "urn:effortless:pko-extension#TestCase",
    "Name": "question-answered: q-counsel-unreachable-not-acknowledged",
    "IsBlocking": true,
    "IsPassing": true,
    "IsFailing": false,
    "NeedsAttention": false,
    "PassingSuiteKey": "suite-provenance",
    "NeedsAttentionSuiteKey": null
   },
   {
    "TestCaseId": "tc-answered-q-counsel-retention-evidence",
    "TestKind": "question-answered",
    "Subject": "q-counsel-retention-evidence",
    "TargetTable": null,
    "TargetField": null,
    "Assertion": "At least one predicate exists to answer this question.",
    "DefendsQuestion": "q-counsel-retention-evidence",
    "Suite": "suite-provenance",
    "Severity": "blocking",
    "LastOutcome": "PASS",
    "LastDetail": "8 predicates",
    "LastRunAt": "2026-07-20T03:06:49+00:00",
    "SemanticTypeIri": "urn:effortless:pko-extension#TestCase",
    "Name": "question-answered: q-counsel-retention-evidence",
    "IsBlocking": true,
    "IsPassing": true,
    "IsFailing": false,
    "NeedsAttention": false,
    "PassingSuiteKey": "suite-provenance",
    "NeedsAttentionSuiteKey": null
   },
   {
    "TestCaseId": "tc-answered-q-counsel-legal-review-gated-send",
    "TestKind": "question-answered",
    "Subject": "q-counsel-legal-review-gated-send",
    "TargetTable": null,
    "TargetField": null,
    "Assertion": "At least one predicate exists to answer this question.",
    "DefendsQuestion": "q-counsel-legal-review-gated-send",
    "Suite": "suite-provenance",
    "Severity": "blocking",
    "LastOutcome": "PASS",
    "LastDetail": "8 predicates",
    "LastRunAt": "2026-07-20T03:06:49+00:00",
    "SemanticTypeIri": "urn:effortless:pko-extension#TestCase",
    "Name": "question-answered: q-counsel-legal-review-gated-send",
    "IsBlocking": true,
    "IsPassing": true,
    "IsFailing": false,
    "NeedsAttention": false,
    "PassingSuiteKey": "suite-provenance",
    "NeedsAttentionSuiteKey": null
   },
   {
    "TestCaseId": "tc-answered-q-comms-oversized-sms",
    "TestKind": "question-answered",
    "Subject": "q-comms-oversized-sms",
    "TargetTable": null,
    "TargetField": null,
    "Assertion": "At least one predicate exists to answer this question.",
    "DefendsQuestion": "q-comms-oversized-sms",
    "Suite": "suite-provenance",
    "Severity": "blocking",
    "LastOutcome": "PASS",
    "LastDetail": "9 predicates",
    "LastRunAt": "2026-07-20T03:06:49+00:00",
    "SemanticTypeIri": "urn:effortless:pko-extension#TestCase",
    "Name": "question-answered: q-comms-oversized-sms",
    "IsBlocking": true,
    "IsPassing": true,
    "IsFailing": false,
    "NeedsAttention": false,
    "PassingSuiteKey": "suite-provenance",
    "NeedsAttentionSuiteKey": null
   },
   {
    "TestCaseId": "tc-answered-q-comms-approval-authority",
    "TestKind": "question-answered",
    "Subject": "q-comms-approval-authority",
    "TargetTable": null,
    "TargetField": null,
    "Assertion": "At least one predicate exists to answer this question.",
    "DefendsQuestion": "q-comms-approval-authority",
    "Suite": "suite-provenance",
    "Severity": "blocking",
    "LastOutcome": "PASS",
    "LastDetail": "10 predicates",
    "LastRunAt": "2026-07-20T03:06:49+00:00",
    "SemanticTypeIri": "urn:effortless:pko-extension#TestCase",
    "Name": "question-answered: q-comms-approval-authority",
    "IsBlocking": true,
    "IsPassing": true,
    "IsFailing": false,
    "NeedsAttention": false,
    "PassingSuiteKey": "suite-provenance",
    "NeedsAttentionSuiteKey": null
   },
   {
    "TestCaseId": "tc-answered-q-comms-optout-present",
    "TestKind": "question-answered",
    "Subject": "q-comms-optout-present",
    "TargetTable": null,
    "TargetField": null,
    "Assertion": "At least one predicate exists to answer this question.",
    "DefendsQuestion": "q-comms-optout-present",
    "Suite": "suite-provenance",
    "Severity": "blocking",
    "LastOutcome": "PASS",
    "LastDetail": "8 predicates",
    "LastRunAt": "2026-07-20T03:06:49+00:00",
    "SemanticTypeIri": "urn:effortless:pko-extension#TestCase",
    "Name": "question-answered: q-comms-optout-present",
    "IsBlocking": true,
    "IsPassing": true,
    "IsFailing": false,
    "NeedsAttention": false,
    "PassingSuiteKey": "suite-provenance",
    "NeedsAttentionSuiteKey": null
   },
   {
    "TestCaseId": "tc-answered-q-comms-deliverability",
    "TestKind": "question-answered",
    "Subject": "q-comms-deliverability",
    "TargetTable": null,
    "TargetField": null,
    "Assertion": "At least one predicate exists to answer this question.",
    "DefendsQuestion": "q-comms-deliverability",
    "Suite": "suite-provenance",
    "Severity": "blocking",
    "LastOutcome": "PASS",
    "LastDetail": "10 predicates",
    "LastRunAt": "2026-07-20T03:06:49+00:00",
    "SemanticTypeIri": "urn:effortless:pko-extension#TestCase",
    "Name": "question-answered: q-comms-deliverability",
    "IsBlocking": true,
    "IsPassing": true,
    "IsFailing": false,
    "NeedsAttention": false,
    "PassingSuiteKey": "suite-provenance",
    "NeedsAttentionSuiteKey": null
   },
   {
    "TestCaseId": "tc-answered-q-comms-template-drift",
    "TestKind": "question-answered",
    "Subject": "q-comms-template-drift",
    "TargetTable": null,
    "TargetField": null,
    "Assertion": "At least one predicate exists to answer this question.",
    "DefendsQuestion": "q-comms-template-drift",
    "Suite": "suite-provenance",
    "Severity": "blocking",
    "LastOutcome": "PASS",
    "LastDetail": "9 predicates",
    "LastRunAt": "2026-07-20T03:06:49+00:00",
    "SemanticTypeIri": "urn:effortless:pko-extension#TestCase",
    "Name": "question-answered: q-comms-template-drift",
    "IsBlocking": true,
    "IsPassing": true,
    "IsFailing": false,
    "NeedsAttention": false,
    "PassingSuiteKey": "suite-provenance",
    "NeedsAttentionSuiteKey": null
   },
   {
    "TestCaseId": "tc-answered-q-publisher-may-i-transmit",
    "TestKind": "question-answered",
    "Subject": "q-publisher-may-i-transmit",
    "TargetTable": null,
    "TargetField": null,
    "Assertion": "At least one predicate exists to answer this question.",
    "DefendsQuestion": "q-publisher-may-i-transmit",
    "Suite": "suite-provenance",
    "Severity": "blocking",
    "LastOutcome": "PASS",
    "LastDetail": "11 predicates",
    "LastRunAt": "2026-07-20T03:06:49+00:00",
    "SemanticTypeIri": "urn:effortless:pko-extension#TestCase",
    "Name": "question-answered: q-publisher-may-i-transmit",
    "IsBlocking": true,
    "IsPassing": true,
    "IsFailing": false,
    "NeedsAttention": false,
    "PassingSuiteKey": "suite-provenance",
    "NeedsAttentionSuiteKey": null
   },
   {
    "TestCaseId": "tc-answered-q-publisher-may-i-transmit-now",
    "TestKind": "question-answered",
    "Subject": "q-publisher-may-i-transmit-now",
    "TargetTable": null,
    "TargetField": null,
    "Assertion": "At least one predicate exists to answer this question.",
    "DefendsQuestion": "q-publisher-may-i-transmit-now",
    "Suite": "suite-provenance",
    "Severity": "blocking",
    "LastOutcome": "PASS",
    "LastDetail": "7 predicates",
    "LastRunAt": "2026-07-20T03:06:49+00:00",
    "SemanticTypeIri": "urn:effortless:pko-extension#TestCase",
    "Name": "question-answered: q-publisher-may-i-transmit-now",
    "IsBlocking": true,
    "IsPassing": true,
    "IsFailing": false,
    "NeedsAttention": false,
    "PassingSuiteKey": "suite-provenance",
    "NeedsAttentionSuiteKey": null
   },
   {
    "TestCaseId": "tc-answered-q-publisher-is-this-content-permitted",
    "TestKind": "question-answered",
    "Subject": "q-publisher-is-this-content-permitted",
    "TargetTable": null,
    "TargetField": null,
    "Assertion": "At least one predicate exists to answer this question.",
    "DefendsQuestion": "q-publisher-is-this-content-permitted",
    "Suite": "suite-provenance",
    "Severity": "blocking",
    "LastOutcome": "PASS",
    "LastDetail": "9 predicates",
    "LastRunAt": "2026-07-20T03:06:49+00:00",
    "SemanticTypeIri": "urn:effortless:pko-extension#TestCase",
    "Name": "question-answered: q-publisher-is-this-content-permitted",
    "IsBlocking": true,
    "IsPassing": true,
    "IsFailing": false,
    "NeedsAttention": false,
    "PassingSuiteKey": "suite-provenance",
    "NeedsAttentionSuiteKey": null
   },
   {
    "TestCaseId": "tc-answered-q-publisher-am-i-authorized-to-act",
    "TestKind"</t>
  </si>
  <si>
    <t xml:space="preserve">: "question-answered",
    "Subject": "q-publisher-am-i-authorized-to-act",
    "TargetTable": null,
    "TargetField": null,
    "Assertion": "At least one predicate exists to answer this question.",
    "DefendsQuestion": "q-publisher-am-i-authorized-to-act",
    "Suite": "suite-provenance",
    "Severity": "blocking",
    "LastOutcome": "PASS",
    "LastDetail": "8 predicates",
    "LastRunAt": "2026-07-20T03:06:49+00:00",
    "SemanticTypeIri": "urn:effortless:pko-extension#TestCase",
    "Name": "question-answered: q-publisher-am-i-authorized-to-act",
    "IsBlocking": true,
    "IsPassing": true,
    "IsFailing": false,
    "NeedsAttention": false,
    "PassingSuiteKey": "suite-provenance",
    "NeedsAttentionSuiteKey": null
   },
   {
    "TestCaseId": "tc-answered-q-publisher-refusal-was-honored",
    "TestKind": "question-answered",
    "Subject": "q-publisher-refusal-was-honored",
    "TargetTable": null,
    "TargetField": null,
    "Assertion": "At least one predicate exists to answer this question.",
    "DefendsQuestion": "q-publisher-refusal-was-honored",
    "Suite": "suite-provenance",
    "Severity": "blocking",
    "LastOutcome": "PASS",
    "LastDetail": "9 predicates",
    "LastRunAt": "2026-07-20T03:06:49+00:00",
    "SemanticTypeIri": "urn:effortless:pko-extension#TestCase",
    "Name": "question-answered: q-publisher-refusal-was-honored",
    "IsBlocking": true,
    "IsPassing": true,
    "IsFailing": false,
    "NeedsAttention": false,
    "PassingSuiteKey": "suite-provenance",
    "NeedsAttentionSuiteKey": null
   },
   {
    "TestCaseId": "tc-answered-q-close-auto-authority-current",
    "TestKind": "question-answered",
    "Subject": "q-close-auto-authority-current",
    "TargetTable": null,
    "TargetField": null,
    "Assertion": "At least one predicate exists to answer this question.",
    "DefendsQuestion": "q-close-auto-authority-current",
    "Suite": "suite-provenance",
    "Severity": "blocking",
    "LastOutcome": "PASS",
    "LastDetail": "8 predicates",
    "LastRunAt": "2026-07-20T03:06:49+00:00",
    "SemanticTypeIri": "urn:effortless:pko-extension#TestCase",
    "Name": "question-answered: q-close-auto-authority-current",
    "IsBlocking": true,
    "IsPassing": true,
    "IsFailing": false,
    "NeedsAttention": false,
    "PassingSuiteKey": "suite-provenance",
    "NeedsAttentionSuiteKey": null
   },
   {
    "TestCaseId": "tc-answered-q-close-auto-input-freshness",
    "TestKind": "question-answered",
    "Subject": "q-close-auto-input-freshness",
    "TargetTable": null,
    "TargetField": null,
    "Assertion": "At least one predicate exists to answer this question.",
    "DefendsQuestion": "q-close-auto-input-freshness",
    "Suite": "suite-provenance",
    "Severity": "blocking",
    "LastOutcome": "PASS",
    "LastDetail": "6 predicates",
    "LastRunAt": "2026-07-20T03:06:49+00:00",
    "SemanticTypeIri": "urn:effortless:pko-extension#TestCase",
    "Name": "question-answered: q-close-auto-input-freshness",
    "IsBlocking": true,
    "IsPassing": true,
    "IsFailing": false,
    "NeedsAttention": false,
    "PassingSuiteKey": "suite-provenance",
    "NeedsAttentionSuiteKey": null
   },
   {
    "TestCaseId": "tc-answered-q-close-auto-last-run-clean",
    "TestKind": "question-answered",
    "Subject": "q-close-auto-last-run-clean",
    "TargetTable": null,
    "TargetField": null,
    "Assertion": "At least one predicate exists to answer this question.",
    "DefendsQuestion": "q-close-auto-last-run-clean",
    "Suite": "suite-provenance",
    "Severity": "blocking",
    "LastOutcome": "PASS",
    "LastDetail": "8 predicates",
    "LastRunAt": "2026-07-20T03:06:49+00:00",
    "SemanticTypeIri": "urn:effortless:pko-extension#TestCase",
    "Name": "question-answered: q-close-auto-last-run-clean",
    "IsBlocking": true,
    "IsPassing": true,
    "IsFailing": false,
    "NeedsAttention": false,
    "PassingSuiteKey": "suite-provenance",
    "NeedsAttentionSuiteKey": null
   },
   {
    "TestCaseId": "tc-answered-q-close-auto-blocking-requirements-evaluated",
    "TestKind": "question-answered",
    "Subject": "q-close-auto-blocking-requirements-evaluated",
    "TargetTable": null,
    "TargetField": null,
    "Assertion": "At least one predicate exists to answer this question.",
    "DefendsQuestion": "q-close-auto-blocking-requirements-evaluated",
    "Suite": "suite-provenance",
    "Severity": "blocking",
    "LastOutcome": "PASS",
    "LastDetail": "5 predicates",
    "LastRunAt": "2026-07-20T03:06:49+00:00",
    "SemanticTypeIri": "urn:effortless:pko-extension#TestCase",
    "Name": "question-answered: q-close-auto-blocking-requirements-evaluated",
    "IsBlocking": true,
    "IsPassing": true,
    "IsFailing": false,
    "NeedsAttention": false,
    "PassingSuiteKey": "suite-provenance",
    "NeedsAttentionSuiteKey": null
   },
   {
    "TestCaseId": "tc-answered-q-close-auto-human-override-drift",
    "TestKind": "question-answered",
    "Subject": "q-close-auto-human-override-drift",
    "TargetTable": null,
    "TargetField": null,
    "Assertion": "At least one predicate exists to answer this question.",
    "DefendsQuestion": "q-close-auto-human-override-drift",
    "Suite": "suite-provenance",
    "Severity": "blocking",
    "LastOutcome": "PASS",
    "LastDetail": "8 predicates",
    "LastRunAt": "2026-07-20T03:06:49+00:00",
    "SemanticTypeIri": "urn:effortless:pko-extension#TestCase",
    "Name": "question-answered: q-close-auto-human-override-drift",
    "IsBlocking": true,
    "IsPassing": true,
    "IsFailing": false,
    "NeedsAttention": false,
    "PassingSuiteKey": "suite-provenance",
    "NeedsAttentionSuiteKey": null
   },
   {
    "TestCaseId": "tc-answered-q-hr-authority-without-review",
    "TestKind": "question-answered",
    "Subject": "q-hr-authority-without-review",
    "TargetTable": null,
    "TargetField": null,
    "Assertion": "At least one predicate exists to answer this question.",
    "DefendsQuestion": "q-hr-authority-without-review",
    "Suite": "suite-provenance",
    "Severity": "blocking",
    "LastOutcome": "PASS",
    "LastDetail": "6 predicates",
    "LastRunAt": "2026-07-20T03:06:49+00:00",
    "SemanticTypeIri": "urn:effortless:pko-extension#TestCase",
    "Name": "question-answered: q-hr-authority-without-review",
    "IsBlocking": true,
    "IsPassing": true,
    "IsFailing": false,
    "NeedsAttention": false,
    "PassingSuiteKey": "suite-provenance",
    "NeedsAttentionSuiteKey": null
   },
   {
    "TestCaseId": "tc-answered-q-hr-ai-authored-commitments",
    "TestKind": "question-answered",
    "Subject": "q-hr-ai-authored-commitments",
    "TargetTable": null,
    "TargetField": null,
    "Assertion": "At least one predicate exists to answer this question.",
    "DefendsQuestion": "q-hr-ai-authored-commitments",
    "Suite": "suite-provenance",
    "Severity": "blocking",
    "LastOutcome": "PASS",
    "LastDetail": "7 predicates",
    "LastRunAt": "2026-07-20T03:06:49+00:00",
    "SemanticTypeIri": "urn:effortless:pko-extension#TestCase",
    "Name": "question-answered: q-hr-ai-authored-commitments",
    "IsBlocking": true,
    "IsPassing": true,
    "IsFailing": false,
    "NeedsAttention": false,
    "PassingSuiteKey": "suite-provenance",
    "NeedsAttentionSuiteKey": null
   },
   {
    "TestCaseId": "tc-answered-q-hr-unapproved-knowledge-in-my-name",
    "TestKind": "question-answered",
    "Subject": "q-hr-unapproved-knowledge-in-my-name",
    "TargetTable": null,
    "TargetField": null,
    "Assertion": "At least one predicate exists to answer this question.",
    "DefendsQuestion": "q-hr-unapproved-knowledge-in-my-name",
    "Suite": "suite-provenance",
    "Severity": "blocking",
    "LastOutcome": "PASS",
    "LastDetail": "7 predicates",
    "LastRunAt": "2026-07-20T03:06:49+00:00",
    "SemanticTypeIri": "urn:effortless:pko-extension#TestCase",
    "Name": "question-answered: q-hr-unapproved-knowledge-in-my-name",
    "IsBlocking": true,
    "IsPassing": true,
    "IsFailing": false,
    "NeedsAttention": false,
    "PassingSuiteKey": "suite-provenance",
    "NeedsAttentionSuiteKey": null
   },
   {
    "TestCaseId": "tc-answered-q-hr-what-was-actually-sent",
    "TestKind": "question-answered",
    "Subject": "q-hr-what-was-actually-sent",
    "TargetTable": null,
    "TargetField": null,
    "Assertion": "At least one predicate exists to answer this question.",
    "DefendsQuestion": "q-hr-what-was-actually-sent",
    "Suite": "suite-provenance",
    "Severity": "blocking",
    "LastOutcome": "PASS",
    "LastDetail": "7 predicates",
    "LastRunAt": "2026-07-20T03:06:49+00:00",
    "SemanticTypeIri": "urn:effortless:pko-extension#TestCase",
    "Name": "question-answered: q-hr-what-was-actually-sent",
    "IsBlocking": true,
    "IsPassing": true,
    "IsFailing": false,
    "NeedsAttention": false,
    "PassingSuiteKey": "suite-provenance",
    "NeedsAttentionSuiteKey": null
   },
   {
    "TestCaseId": "tc-answered-q-hr-policy-knowledge-half-life",
    "TestKind": "question-answered",
    "Subject": "q-hr-policy-knowledge-half-life",
    "TargetTable": null,
    "TargetField": null,
    "Assertion": "At least one predicate exists to answer this question.",
    "DefendsQuestion": "q-hr-policy-knowledge-half-life",
    "Suite": "suite-provenance",
    "Severity": "blocking",
    "LastOutcome": "PASS",
    "LastDetail": "7 predicates",
    "LastRunAt": "2026-07-20T03:06:49+00:00",
    "SemanticTypeIri": "urn:effortless:pko-extension#TestCase",
    "Name": "question-answered: q-hr-policy-knowledge-half-life",
    "IsBlocking": true,
    "IsPassing": true,
    "IsFailing": false,
    "NeedsAttention": false,
    "PassingSuiteKey": "suite-provenance",
    "NeedsAttentionSuiteKey": null
   },
   {
    "TestCaseId": "tc-answered-q-variance-ai-authority-provenance",
    "TestKind": "question-answered",
    "Subject": "q-variance-ai-authority-provenance",
    "TargetTable": null,
    "TargetField": null,
    "Assertion": "At least one predicate exists to answer this question.",
    "DefendsQuestion": "q-variance-ai-authority-provenance",
    "Suite": "suite-provenance",
    "Severity": "blocking",
    "LastOutcome": "PASS",
    "LastDetail": "8 predicates",
    "LastRunAt": "2026-07-20T03:06:49+00:00",
    "SemanticTypeIri": "urn:effortless:pko-extension#TestCase",
    "Name": "question-answered: q-variance-ai-authority-provenance",
    "IsBlocking": true,
    "IsPassing": true,
    "IsFailing": false,
    "NeedsAttention": false,
    "PassingSuiteKey": "suite-provenance",
    "NeedsAttentionSuiteKey": null
   },
   {
    "TestCaseId": "tc-answered-q-variance-ai-quality-vs-human-baseline",
    "TestKind": "question-answered",
    "Subject": "q-variance-ai-quality-vs-human-baseline",
    "TargetTable": null,
    "TargetField": null,
    "Assertion": "At least one predicate exists to answer this question.",
    "DefendsQuestion": "q-variance-ai-quality-vs-human-baseline",
    "Suite": "suite-provenance",
    "Severity": "blocking",
    "LastOutcome": "PASS",
    "LastDetail": "7 predicates",
    "LastRunAt": "2026-07-20T03:06:49+00:00",
    "SemanticTypeIri": "urn:effortless:pko-extension#TestCase",
    "Name": "question-answered: q-variance-ai-quality-vs-human-baseline",
    "IsBlocking": true,
    "IsPassing": true,
    "IsFailing": false,
    "NeedsAttention": false,
    "PassingSuiteKey": "suite-provenance",
    "NeedsAttentionSuiteKey": null
   },
   {
    "TestCaseId": "tc-answered-q-variance-ai-boundary-compliance",
    "TestKind": "question-answered",
    "Subject": "q-variance-ai-boundary-compliance",
    "TargetTable": null,
    "TargetField": null,
    "Assertion": "At least one predicate exists to answer this question.",
    "DefendsQuestion": "q-variance-ai-boundary-compliance",
    "Suite": "suite-provenance",
    "Severity": "blocking",
    "LastOutcome": "PASS",
    "LastDetail": "9 predicates",
    "LastRunAt": "2026-07-20T03:06:49+00:00",
    "SemanticTypeIri": "urn:effortless:pko-extension#TestCase",
    "Name": "question-answered: q-variance-ai-boundary-compliance",
    "IsBlocking": true,
    "IsPassing": true,
    "IsFailing": false,
    "NeedsAttention": false,
    "PassingSuiteKey": "suite-provenance",
    "NeedsAttentionSuiteKey": null
   },
   {
    "TestCaseId": "tc-answered-q-variance-ai-human-confirmation-present",
    "TestKind": "question-answered",
    "Subject": "q-variance-ai-human-confirmation-present",
    "TargetTable": null,
    "TargetField": null,
    "Assertion": "At least one predicate exists to answer this question.",
    "DefendsQuestion": "q-variance-ai-human-confirmation-present",
    "Suite": "suite-provenance",
    "Severity": "blocking",
    "LastOutcome": "PASS",
    "LastDetail": "8 predicates",
    "LastRunAt": "2026-07-20T03:06:49+00:00",
    "SemanticTypeIri": "urn:effortless:pko-extension#TestCase",
    "Name": "question-answered: q-variance-ai-human-confirmation-present",
    "IsBlocking": true,
    "IsPassing": true,
    "IsFailing": false,
    "NeedsAttention": false,
    "PassingSuiteKey": "suite-provenance",
    "NeedsAttentionSuiteKey": null
   },
   {
    "TestCaseId": "tc-answered-q-variance-ai-knowledge-currency",
    "TestKind": "question-answered",
    "Subject": "q-variance-ai-knowledge-currency",
    "TargetTable": null,
    "TargetField": null,
    "Assertion": "At least one predicate exists to answer this question.",
    "DefendsQuestion": "q-variance-ai-knowledge-currency",
    "Suite": "suite-provenance",
    "Severity": "blocking",
    "LastOutcome": "PASS",
    "LastDetail": "8 predicates",
    "LastRunAt": "2026-07-20T03:06:49+00:00",
    "SemanticTypeIri": "urn:effortless:pko-extension#TestCase",
    "Name": "question-answered: q-variance-ai-knowledge-currency",
    "IsBlocking": true,
    "IsPassing": true,
    "IsFailing": false,
    "NeedsAttention": false,
    "PassingSuiteKey": "suite-provenance",
    "NeedsAttentionSuiteKey": null
   },
   {
    "TestCaseId": "tc-answered-q-policy-ai-no-role-assignment",
    "TestKind": "question-answered",
    "Subject": "q-policy-ai-no-role-assignment",
    "TargetTable": null,
    "TargetField": null,
    "Assertion": "At least one predicate exists to answer this question.",
    "DefendsQuestion": "q-policy-ai-no-role-assignment",
    "Suite": "suite-provenance",
    "Severity": "blocking",
    "LastOutcome": "PASS",
    "LastDetail": "3 predicates",
    "LastRunAt": "2026-07-20T03:06:49+00:00",
    "SemanticTypeIri": "urn:effortless:pko-extension#TestCase",
    "Name": "question-answered: q-policy-ai-no-role-assignment",
    "IsBlocking": true,
    "IsPassing": true,
    "IsFailing": false,
    "NeedsAttention": false,
    "PassingSuiteKey": "suite-provenance",
    "NeedsAttentionSuiteKey": null
   },
   {
    "TestCaseId": "tc-answered-q-policy-ai-source-approval",
    "TestKind": "question-answered",
    "Subject": "q-policy-ai-source-approval",
    "TargetTable": null,
    "TargetField": null,
    "Assertion": "At least one predicate exists to answer this question.",
    "DefendsQuestion": "q-policy-ai-source-approval",
    "Suite": "suite-provenance",
    "Severity": "blocking",
    "LastOutcome": "PASS",
    "LastDetail": "9 predicates",
    "LastRunAt": "2026-07-20T03:06:49+00:00",
    "SemanticTypeIri": "urn:effortless:pko-extension#TestCase",
    "Name": "question-answered: q-policy-ai-source-approval",
    "IsBlocking": true,
    "IsPassing": true,
    "IsFailing": false,
    "NeedsAttention": false,
    "PassingSuiteKey": "suite-provenance",
    "NeedsAttentionSuiteKey": null
   },
   {
    "TestCaseId": "tc-answered-q-policy-ai-commitment-boundary",
    "TestKind": "question-answered",
    "Subject": "q-policy-ai-commitment-boundary",
    "TargetTable": null,
    "TargetField": null,
    "Assertion": "At least one predicate exists to answer this question.",
    "DefendsQuestion": "q-policy-ai-commitment-boundary",
    "Suite": "suite-provenance",
    "Severity": "blocking",
    "LastOutcome": "PASS",
    "LastDetail": "5 predicates",
    "LastRunAt": "2026-07-20T03:06:49+00:00",
    "SemanticTypeIri": "urn:effortless:pko-extension#TestCase",
    "Name": "question-answered: q-policy-ai-commitment-boundary",
    "IsBlocking": true,
    "IsPassing": true,
    "IsFailing": false,
    "NeedsAttention": false,
    "PassingSuiteKey": "suite-provenance",
    "NeedsAttentionSuiteKey": null
   },
   {
    "TestCaseId": "tc-answered-q-policy-ai-downstream-rewrite",
    "TestKind": "question-answered",
    "Subject": "q-policy-ai-downstream-rewrite",
    "TargetTable": null,
    "TargetField": null,
    "Assertion": "At least one predicate exists to answer this question.",
    "DefendsQuestion": "q-policy-ai-downstream-rewrite",
    "Suite": "suite-provenance",
    "Severity": "blocking",
    "LastOutcome": "PASS",
    "LastDetail": "7 predicates",
    "LastRunAt": "2026-07-20T03:06:49+00:00",
    "SemanticTypeIri": "urn:effortless:pko-extension#TestCase",
    "Name": "question-answered: q-policy-ai-downstream-rewrite",
    "IsBlocking": true,
    "IsPassing": true,
    "IsFailing": false,
    "NeedsAttention": false,
    "PassingSuiteKey": "suite-provenance",
    "NeedsAttentionSuiteKey": null
   },
   {
    "TestCaseId": "tc-answered-q-policy-ai-approval-chain-complete",
    "TestKind": "question-answered",
    "Subject": "q-policy-ai-approval-chain-complete",
    "TargetTable": null,
    "TargetField": null,
    "Assertion": "At least one predicate exists to answer this question.",
    "DefendsQuestion": "q-policy-ai-approval-chain-complete",
    "Suite": "suite-provenance",
    "Severity": "blocking",
    "LastOutcome": "PASS",
    "LastDetail": "7 predicates",
    "LastRunAt": "2026-07-20T03:06:49+00:00",
    "SemanticTypeIri": "urn:effortless:pko-extension#TestCase",
    "Name": "question-answered: q-policy-ai-approval-chain-complete",
    "IsBlocking": true,
    "IsPassing": true,
    "IsFailing": false,
    "NeedsAttention": false,
    "PassingSuiteKey": "suite-provenance",
    "NeedsAttentionSuiteKey": null
   },
   {
    "TestCaseId": "tc-answered-q2-authority-compound-fragility",
    "TestKind": "question-answered",
    "Subject": "q2-authority-compound-fragility",
    "TargetTable": null,
    "TargetField": null,
    "Assertion": "At least one predicate exists to answer this question.",
    "DefendsQuestion": "q2-authority-compound-fragility",
    "Suite": "suite-provenance",
    "Severity": "blocking",
    "LastOutcome": "PASS",
    "LastDetail": "7 predicates",
    "LastRunAt": "2026-07-20T03:06:49+00:00",
    "SemanticTypeIri": "urn:effortless:pko-extension#TestCase",
    "Name": "question-answered: q2-authority-compound-fragility",
    "IsBlocking": true,
    "IsPassing": true,
    "IsFailing": false,
    "NeedsAttention": false,
    "PassingSuiteKey": "suite-provenance",
    "NeedsAttentionSuiteKey": null
   },
   {
    "TestCaseId": "tc-answered-q2-authority-boundary-rests-on-expired-claim",
    "TestKind": "question-answered",
    "Subject": "q2-authority-boundary-rests-on-expired-claim",
    "TargetTable": null,
    "TargetField": null,
    "Assertion": "At least one predicate exists to answer this question.",
    "DefendsQuestion": "q2-authority-boundary-rests-on-expired-claim",
    "Suite": "suite-provenance",
    "Severity": "blocking",
    "LastOutcome": "PASS",
    "LastDetail": "8 predicates",
    "LastRunAt": "2026-07-20T03:06:49+00:00",
    "SemanticTypeIri": "urn:effortless:pko-extension#TestCase",
    "Name": "question-answered: q2-authority-boundary-rests-on-expired-claim",
    "IsBlocking": true,
    "IsPassing": true,
    "IsFailing": false,
    "NeedsAttention": false,
    "PassingSuiteKey": "suite-provenance",
    "NeedsAttentionSuiteKey": null
   },
   {
    "TestCaseId": "tc-answered-q2-authority-elicitation-method-monoculture",
    "TestKind": "question-answered",
    "Subject": "q2-authority-elicitation-method-monoculture",
    "TargetTable": null,
    "TargetField": null,
    "Assertion": "At least one predicate exists to answer this question.",
    "DefendsQuestion": "q2-authority-elicitation-method-monoculture",
    "Suite": "suite-provenance",
    "Severity": "blocking",
    "LastOutcome": "PASS",
    "LastDetail": "8 predicates",
    "LastRunAt": "2026-07-20T03:06:49+00:00",
    "SemanticTypeIri": "urn:effortless:pko-extension#TestCase",
    "Name": "question-answered: q2-authority-elicitation-method-monoculture",
    "IsBlocking": true,
    "IsPassing": true,
    "IsFailing": false,
    "NeedsAttention": false,
    "PassingSuiteKey": "suite-provenance",
    "NeedsAttentionSuiteKey": null
   },
   {
    "TestCaseId": "tc-answered-q2-authority-unapproved-knowledge-reaching-machines",
    "TestKind": "question-answered",
    "Subject": "q2-authority-unapproved-knowledge-reaching-machines",
    "TargetTable": null,
    "TargetField": null,
    "Assertion": "At least one predicate exists to answer this question.",
    "DefendsQuestion": "q2-authority-unapproved-knowledge-reaching-machines",
    "Suite": "suite-provenance",
    "Severity": "blocking",
    "LastOutcome": "PASS",
    "LastDetail": "7 predicates",
    "LastRunAt": "2026-07-20T03:06:49+00:00",
    "SemanticTypeIri": "urn:effortless:pko-extension#TestCase",
    "Name": "question-answered: q2-authority-unapproved-knowledge-reaching-machines",
    "IsBlocking": true,
    "IsPassing": true,
    "IsFailing": false,
    "NeedsAttention": false,
    "PassingSuiteKey": "suite-provenance",
    "NeedsAttentionSuiteKey": null
   },
   {
    "TestCaseId": "tc-answered-q2-authority-review-date-is-inferred-not-recorded",
    "TestKind": "question-answered",
    "Subject": "q2-authority-review-date-is-inferred-not-recorded",
    "TargetTable": null,
    "TargetField": null,
    "Assertion": "At least one predicate exists to answer this question.",
    "DefendsQuestion": "q2-authority-review-date-is-inferred-not-recorded",
    "Suite": "suite-provenance",
    "Severity": "blocking",
    "LastOutcome": "PASS",
    "LastDetail": "8 predicates",
    "LastRunAt": "2026-07-20T03:06:49+00:00",
    "SemanticTypeIri": "urn:effortless:pko-extension#TestCase",
    "Name": "question-answered: q2-authority-review-date-is-inferred-not-recorded",
    "IsBlocking": true,
    "IsPassing": true,
    "IsFailing": false,
    "NeedsAttention": false,
    "PassingSuiteKey": "suite-provenance",
    "NeedsAttentionSuiteKey": null
   },
   {
    "TestCaseId": "tc-answered-q2-hr-my-backlog-is-someone-elses-block",
    "TestKind": "question-answered",
    "Subject": "q2-hr-my-backlog-is-someone-elses-block",
    "TargetTable": null,
    "TargetField": null,
    "Assertion": "At least one predicate exists to answer this question.",
    "DefendsQuestion": "q2-hr-my-backlog-is-someone-elses-block",
    "Suite": "suite-provenance",
    "Severity": "blocking",
    "LastOutcome": "PASS",
    "LastDetail": "8 predicates",
    "LastRunAt": "2026-07-20T03:06:49+00:00",
    "SemanticTypeIri": "urn:effortless:pko-extension#TestCase",
    "Name": "question-answered: q2-hr-my-backlog-is-someone-elses-block",
    "IsBlocking": true,
    "IsPassing": true,
    "IsFailing": false,
    "NeedsAttention": false,
    "PassingSuiteKey": "suite-provenance",
    "NeedsAttentionSuiteKey": null
   },
   {
    "TestCaseId": "tc-answered-q2-hr-ai-boundary-holds-only-where-tested",
    "TestKind": "question-answered",
    "Subject": "q2-hr-ai-boundary-holds-only-where-tested",
    "TargetTable": null,
    "TargetField": null,
    "Assertion": "At least one predicate exists to answer this question.",
    "DefendsQuestion": "q2-hr-ai-boundary-holds-only-where-tested",
    "Suite": "suite-provenance",
    "Severity": "blocking",
    "LastOutcome": "PASS",
    "LastDetail": "8 predicates",
    "LastRunAt": "2026-07-20T03:06:49+00:00",
    "SemanticTypeIri": "urn:effortless:pko-extension#TestCase",
    "Name": "question-answered: q2-hr-ai-boundary-holds-only-where-tested",
    "IsBlocking": true,
    "IsPassing": true,
    "IsFailing": false,
    "NeedsAttention": false,
    "PassingSuiteKey": "suite-provenance",
    "NeedsAttentionSuiteKey": null
   },
   {
    "TestCaseId": "tc-answered-q2-hr-my-unapproved-claim-is-load-bearing",
    "TestKind": "question-answered",
    "Subject": "q2-hr-my-unapproved-claim-is-load-bearing",
    "TargetTable": null,
    "TargetField": null,
    "Assertion": "At least one predicate exists to answer this question.",
    "DefendsQuestion": "q2-hr-my-unapproved-claim-is-load-bearing",
    "Suite": "suite-provenance",
    "Severity": "blocking",
    "LastOutcome": "PASS",
    "LastDetail": "8 predicates",
    "LastRunAt": "2026-07-20T03:06:49+00:00",
    "SemanticTypeIri": "urn:effortless:pko-extension#TestCase",
    "Name": "question-answered: q2-hr-my-unapproved-claim-is-load-bearing",
    "IsBlocking": true,
    "IsPassing": true,
    "IsFailing": false,
    "NeedsAttention": false,
    "PassingSuiteKey": "suite-provenance",
    "NeedsAttentionSuiteKey": null
   },
   {
    "TestCaseId": "tc-answered-q2-hr-my-approvals-never-read-as-done",
    "TestKind": "question-answered",
    "Subject": "q2-hr-my-approvals-never-read-as-done",
    "TargetTable": null,
    "TargetField": null,
    "Assertion": "At least one predicate exists to answer this question.",
    "DefendsQuestion": "q2-hr-my-approvals-never-read-as-done",
    "Suite": "suite-provenance",
    "Severity": "blocking",
    "LastOutcome": "PASS",
    "LastDetail": "8 predicates",
    "LastRunAt": "2026-07-20T03:06:49+00:00",
    "SemanticTypeIri": "urn:effortless:pko-extension#TestCase",
    "Name": "question-answered: q2-hr-my-approvals-never-read-as-done",
    "IsBlocking": true,
    "IsPassing": true,
    "IsFailing": false,
    "NeedsAttention": false,
    "PassingSuiteKey": "suite-provenance",
    "NeedsAttentionSuiteKey": null
   },
   {
    "TestCaseId": "tc-answered-q2-hr-departed-holder-left-claims-behind",
    "TestKind": "question-answered",
    "Subject": "q2-hr-departed-holder-left-claims-behind",
    "TargetTable": null,
    "TargetField": null,
    "Assertion": "At least one predicate exists to answer this question.",
    "DefendsQuestion": "q2-hr-departed-holder-left-claims-behind",
    "Suite": "suite-provenance",
    "Severity": "blocking",
    "LastOutcome": "PASS",
    "LastDetail": "8 predicates",
    "LastRunAt": "2026-07-20T03:06:49+00:00",
    "SemanticTypeIri": "urn:effortless:pko-extension#TestCase",
    "Name": "question-answered: q2-hr-departed-holder-left-claims-behind",
    "IsBlocking": true,
    "IsPassing": true,
    "IsFailing": false,
    "NeedsAttention": false,
    "PassingSuiteKey": "suite-provenance",
    "NeedsAttentionSuiteKey": null
   },
   {
    "TestCaseId": "tc-answered-q2-steward-recovery-path-is-load-bearing",
    "TestKind": "question-answered",
    "Subject": "q2-steward-recovery-path-is-load-bearing",
    "TargetTable": null,
    "TargetField": null,
    "Assertion": "At least one predicate exists to answer this question.",
    "DefendsQuestion": "q2-steward-recovery-path-is-load-bearing",
    "Suite": "suite-provenance",
    "Severity": "blocking",
    "LastOutcome": "PASS",
    "LastDetail": "7 predicates",
    "LastRunAt": "2026-07-20T03:06:49+00:00",
    "SemanticTypeIri": "urn:effortless:pko-extension#TestCase",
    "Name": "question-answered: q2-steward-recovery-path-is-load-bearing",
    "IsBlocking": true,
    "IsPassing": true,
    "IsFailing": false,
    "NeedsAttention": false,
    "PassingSuiteKey": "suite-provenance",
    "NeedsAttentionSuiteKey": null
   },
   {
    "TestCaseId": "tc-answered-q2-steward-cadence-breach-is-unremediated",
    "TestKind": "question-answered",
    "Subject": "q2-steward-cadence-breach-is-unremediated",
    "TargetTable": null,
    "TargetField": null,
    "Assertion": "At least one predicate exists to answer this question.",
    "DefendsQuestion": "q2-steward-cadence-breach-is-unremediated",
    "Suite": "suite-provenance",
    "Severity": "blocking",
    "LastOutcome": "PASS",
    "LastDetail": "7 predicates",
    "LastRunAt": "2026-07-20T03:06:49+00:00",
    "SemanticTypeIri": "urn:effortless:pko-extension#TestCase",
    "Name": "question-answered: q2-steward-cadence-breach-is-unremediated",
    "IsBlocking": true,
    "IsPassing": true,
    "IsFailing": false,
    "NeedsAttention": false,
    "PassingSuiteKey": "suite-provenance",
    "NeedsAttentionSuiteKey": null
   },
   {
    "TestCaseId": "tc-answered-q2-steward-unstewarded-version-still-referenced",
    "TestKind": "question-answered",
    "Subject": "q2-steward-unstewarded-version-still-referenced",
    "TargetTable": null,
    "TargetField": null,
    "Assertion": "At least one predicate exists to answer this question.",
    "DefendsQuestion": "q2-steward-unstewarded-version-still-referenced",
    "Suite": "suite-provenance",
    "Severity": "blocking",
    "LastOutcome": "PASS",
    "LastDetail": "8 predicates",
    "LastRunAt": "2026-07-20T03:06:49+00:00",
    "SemanticTypeIri": "urn:effortless:pko-extension#TestCase",
    "Name": "question-answered: q2-steward-unstewarded-version-still-referenced",
    "IsBlocking": true,
    "IsPassing": true,
    "IsFailing": false,
    "NeedsAttention": false,
    "PassingSuiteKey": "suite-provenance",
    "NeedsAttentionSuiteKey": null
   },
   {
    "TestCaseId": "tc-answered-q2-steward-approved-cr-never-lands",
    "TestKind": "question-answered",
    "Subject": "q2-steward-approved-cr-never-lands",
    "TargetTable": null,
    "TargetField": null,
    "Assertion": "At least one predicate exists to answer this question.",
    "DefendsQuestion": "q2-steward-approved-cr-never-lands",
    "Suite": "suite-provenance",
    "Severity": "blocking",
    "LastOutcome": "PASS",
    "LastDetail": "6 predicates",
    "LastRunAt": "2026-07-20T03:06:49+00:00",
    "SemanticTypeIri": "urn:effortless:pko-extension#TestCase",
    "Name": "question-answered: q2-steward-approved-cr-never-lands",
    "IsBlocking": true,
    "IsPassing": true,
    "IsFailing": false,
    "NeedsAttention": false,
    "PassingSuiteKey": "suite-provenance",
    "NeedsAttentionSuiteKey": null
   },
   {
    "TestCaseId": "tc-answered-q2-steward-control-kind-instead-of-hardcoded-ids",
    "TestKind": "question-answered",
    "Subject": "q2-steward-control-kind-instead-of-hardcoded-ids",
    "TargetTable": null,
    "TargetField": null,
    "Assertion": "At least one predicate exists to answer this question.",
    "DefendsQuestion": "q2-steward-control-kind-instead-of-hardcoded-ids",
    "Suite": "suite-provenance",
    "Severity": "blocking",
    "LastOutcome": "PASS",
    "LastDetail": "6 predicates",
    "LastRunAt": "2026-07-20T03:06:49+00:00",
    "SemanticTypeIri": "urn:effortless:pko-extension#TestCase",
    "Name": "question-answered: q2-steward-control-kind-instead-of-hardcoded-ids",
    "IsBlocking": true,
    "IsPassing": true,
    "IsFailing": false,
    "NeedsAttention": false,
    "PassingSuiteKey": "suite-provenance",
    "NeedsAttentionSuiteKey": null
   },
   {
    "TestCaseId": "tc-answered-q2-fa-cleared-by-mute-control",
    "TestKind": "question-answered",
    "Subject": "q2-fa-cleared-by-mute-control",
    "TargetTable": null,
    "TargetField": null,
    "Assertion": "At least one predicate exists to answer this question.",
    "DefendsQuestion": "q2-fa-cleared-by-mute-control",
    "Suite": "suite-provenance",
    "Severity": "blocking",
    "LastOutcome": "PASS",
    "LastDetail": "7 predicates",
    "LastRunAt": "2026-07-20T03:06:49+00:00",
    "SemanticTypeIri": "urn:effortless:pko-extension#TestCase",
    "Name": "question-answered: q2-fa-cleared-by-mute-control",
    "IsBlocking": true,
    "IsPassing": true,
    "IsFailing": false,
    "NeedsAttention": false,
    "PassingSuiteKey": "suite-provenance",
    "NeedsAttentionSuiteKey": null
   },
   {
    "TestCaseId": "tc-answered-q2-fa-stale-then-vs-stale-now",
    "TestKind": "question-answered",
    "Subject": "q2-fa-stale-then-vs-stale-now",
    "TargetTable": null,
    "TargetField": null,
    "Assertion": "At least one predicate exists to answer this question.",
    "DefendsQuestion": "q2-fa-stale-then-vs-stale-now",
    "Suite": "suite-provenance",
    "Severity": "blocking",
    "LastOutcome": "PASS",
    "LastDetail": "13 predicates",
    "LastRunAt": "2026-07-20T03:06:49+00:00",
    "SemanticTypeIri": "urn:effortless:pko-extension#TestCase",
    "Name": "question-answered: q2-fa-stale-then-vs-stale-now",
    "IsBlocking": true,
    "IsPassing": true,
    "IsFailing": false,
    "NeedsAttention": false,
    "PassingSuiteKey": "suite-provenance",
    "NeedsAttentionSuiteKey": null
   },
   {
    "TestCaseId": "tc-answered-q2-fa-witness-coverage-</t>
  </si>
  <si>
    <t xml:space="preserve">of-my-steps",
    "TestKind": "question-answered",
    "Subject": "q2-fa-witness-coverage-of-my-steps",
    "TargetTable": null,
    "TargetField": null,
    "Assertion": "At least one predicate exists to answer this question.",
    "DefendsQuestion": "q2-fa-witness-coverage-of-my-steps",
    "Suite": "suite-provenance",
    "Severity": "blocking",
    "LastOutcome": "PASS",
    "LastDetail": "8 predicates",
    "LastRunAt": "2026-07-20T03:06:49+00:00",
    "SemanticTypeIri": "urn:effortless:pko-extension#TestCase",
    "Name": "question-answered: q2-fa-witness-coverage-of-my-steps",
    "IsBlocking": true,
    "IsPassing": true,
    "IsFailing": false,
    "NeedsAttention": false,
    "PassingSuiteKey": "suite-provenance",
    "NeedsAttentionSuiteKey": null
   },
   {
    "TestCaseId": "tc-answered-q2-fa-clean-but-uncovered",
    "TestKind": "question-answered",
    "Subject": "q2-fa-clean-but-uncovered",
    "TargetTable": null,
    "TargetField": null,
    "Assertion": "At least one predicate exists to answer this question.",
    "DefendsQuestion": "q2-fa-clean-but-uncovered",
    "Suite": "suite-provenance",
    "Severity": "blocking",
    "LastOutcome": "PASS",
    "LastDetail": "8 predicates",
    "LastRunAt": "2026-07-20T03:06:49+00:00",
    "SemanticTypeIri": "urn:effortless:pko-extension#TestCase",
    "Name": "question-answered: q2-fa-clean-but-uncovered",
    "IsBlocking": true,
    "IsPassing": true,
    "IsFailing": false,
    "NeedsAttention": false,
    "PassingSuiteKey": "suite-provenance",
    "NeedsAttentionSuiteKey": null
   },
   {
    "TestCaseId": "tc-answered-q2-fa-my-own-evidence-quality",
    "TestKind": "question-answered",
    "Subject": "q2-fa-my-own-evidence-quality",
    "TargetTable": null,
    "TargetField": null,
    "Assertion": "At least one predicate exists to answer this question.",
    "DefendsQuestion": "q2-fa-my-own-evidence-quality",
    "Suite": "suite-provenance",
    "Severity": "blocking",
    "LastOutcome": "PASS",
    "LastDetail": "7 predicates",
    "LastRunAt": "2026-07-20T03:06:49+00:00",
    "SemanticTypeIri": "urn:effortless:pko-extension#TestCase",
    "Name": "question-answered: q2-fa-my-own-evidence-quality",
    "IsBlocking": true,
    "IsPassing": true,
    "IsFailing": false,
    "NeedsAttention": false,
    "PassingSuiteKey": "suite-provenance",
    "NeedsAttentionSuiteKey": null
   },
   {
    "TestCaseId": "tc-answered-q2-ctl-witness-never-fired",
    "TestKind": "question-answered",
    "Subject": "q2-ctl-witness-never-fired",
    "TargetTable": null,
    "TargetField": null,
    "Assertion": "At least one predicate exists to answer this question.",
    "DefendsQuestion": "q2-ctl-witness-never-fired",
    "Suite": "suite-provenance",
    "Severity": "blocking",
    "LastOutcome": "PASS",
    "LastDetail": "8 predicates",
    "LastRunAt": "2026-07-20T03:06:49+00:00",
    "SemanticTypeIri": "urn:effortless:pko-extension#TestCase",
    "Name": "question-answered: q2-ctl-witness-never-fired",
    "IsBlocking": true,
    "IsPassing": true,
    "IsFailing": false,
    "NeedsAttention": false,
    "PassingSuiteKey": "suite-provenance",
    "NeedsAttentionSuiteKey": null
   },
   {
    "TestCaseId": "tc-answered-q2-ctl-witness-scope-vs-binding",
    "TestKind": "question-answered",
    "Subject": "q2-ctl-witness-scope-vs-binding",
    "TargetTable": null,
    "TargetField": null,
    "Assertion": "At least one predicate exists to answer this question.",
    "DefendsQuestion": "q2-ctl-witness-scope-vs-binding",
    "Suite": "suite-provenance",
    "Severity": "blocking",
    "LastOutcome": "PASS",
    "LastDetail": "8 predicates",
    "LastRunAt": "2026-07-20T03:06:49+00:00",
    "SemanticTypeIri": "urn:effortless:pko-extension#TestCase",
    "Name": "question-answered: q2-ctl-witness-scope-vs-binding",
    "IsBlocking": true,
    "IsPassing": true,
    "IsFailing": false,
    "NeedsAttention": false,
    "PassingSuiteKey": "suite-provenance",
    "NeedsAttentionSuiteKey": null
   },
   {
    "TestCaseId": "tc-answered-q2-ctl-separation-held-or-untested",
    "TestKind": "question-answered",
    "Subject": "q2-ctl-separation-held-or-untested",
    "TargetTable": null,
    "TargetField": null,
    "Assertion": "At least one predicate exists to answer this question.",
    "DefendsQuestion": "q2-ctl-separation-held-or-untested",
    "Suite": "suite-provenance",
    "Severity": "blocking",
    "LastOutcome": "PASS",
    "LastDetail": "8 predicates",
    "LastRunAt": "2026-07-20T03:06:49+00:00",
    "SemanticTypeIri": "urn:effortless:pko-extension#TestCase",
    "Name": "question-answered: q2-ctl-separation-held-or-untested",
    "IsBlocking": true,
    "IsPassing": true,
    "IsFailing": false,
    "NeedsAttention": false,
    "PassingSuiteKey": "suite-provenance",
    "NeedsAttentionSuiteKey": null
   },
   {
    "TestCaseId": "tc-answered-q2-ctl-asserted-controls-by-who",
    "TestKind": "question-answered",
    "Subject": "q2-ctl-asserted-controls-by-who",
    "TargetTable": null,
    "TargetField": null,
    "Assertion": "At least one predicate exists to answer this question.",
    "DefendsQuestion": "q2-ctl-asserted-controls-by-who",
    "Suite": "suite-provenance",
    "Severity": "blocking",
    "LastOutcome": "PASS",
    "LastDetail": "8 predicates",
    "LastRunAt": "2026-07-20T03:06:49+00:00",
    "SemanticTypeIri": "urn:effortless:pko-extension#TestCase",
    "Name": "question-answered: q2-ctl-asserted-controls-by-who",
    "IsBlocking": true,
    "IsPassing": true,
    "IsFailing": false,
    "NeedsAttention": false,
    "PassingSuiteKey": "suite-provenance",
    "NeedsAttentionSuiteKey": null
   },
   {
    "TestCaseId": "tc-answered-q2-ctl-divergence-that-nobody-governed",
    "TestKind": "question-answered",
    "Subject": "q2-ctl-divergence-that-nobody-governed",
    "TargetTable": null,
    "TargetField": null,
    "Assertion": "At least one predicate exists to answer this question.",
    "DefendsQuestion": "q2-ctl-divergence-that-nobody-governed",
    "Suite": "suite-provenance",
    "Severity": "blocking",
    "LastOutcome": "PASS",
    "LastDetail": "11 predicates",
    "LastRunAt": "2026-07-20T03:06:49+00:00",
    "SemanticTypeIri": "urn:effortless:pko-extension#TestCase",
    "Name": "question-answered: q2-ctl-divergence-that-nobody-governed",
    "IsBlocking": true,
    "IsPassing": true,
    "IsFailing": false,
    "NeedsAttention": false,
    "PassingSuiteKey": "suite-provenance",
    "NeedsAttentionSuiteKey": null
   },
   {
    "TestCaseId": "tc-answered-q2-cfo-quality-of-a-green-attestation",
    "TestKind": "question-answered",
    "Subject": "q2-cfo-quality-of-a-green-attestation",
    "TargetTable": null,
    "TargetField": null,
    "Assertion": "At least one predicate exists to answer this question.",
    "DefendsQuestion": "q2-cfo-quality-of-a-green-attestation",
    "Suite": "suite-provenance",
    "Severity": "blocking",
    "LastOutcome": "PASS",
    "LastDetail": "9 predicates",
    "LastRunAt": "2026-07-20T03:06:49+00:00",
    "SemanticTypeIri": "urn:effortless:pko-extension#TestCase",
    "Name": "question-answered: q2-cfo-quality-of-a-green-attestation",
    "IsBlocking": true,
    "IsPassing": true,
    "IsFailing": false,
    "NeedsAttention": false,
    "PassingSuiteKey": "suite-provenance",
    "NeedsAttentionSuiteKey": null
   },
   {
    "TestCaseId": "tc-answered-q2-cfo-would-it-survive-restatement",
    "TestKind": "question-answered",
    "Subject": "q2-cfo-would-it-survive-restatement",
    "TargetTable": null,
    "TargetField": null,
    "Assertion": "At least one predicate exists to answer this question.",
    "DefendsQuestion": "q2-cfo-would-it-survive-restatement",
    "Suite": "suite-provenance",
    "Severity": "blocking",
    "LastOutcome": "PASS",
    "LastDetail": "11 predicates",
    "LastRunAt": "2026-07-20T03:06:49+00:00",
    "SemanticTypeIri": "urn:effortless:pko-extension#TestCase",
    "Name": "question-answered: q2-cfo-would-it-survive-restatement",
    "IsBlocking": true,
    "IsPassing": true,
    "IsFailing": false,
    "NeedsAttention": false,
    "PassingSuiteKey": "suite-provenance",
    "NeedsAttentionSuiteKey": null
   },
   {
    "TestCaseId": "tc-answered-q2-cfo-who-witnessed-the-witnesses",
    "TestKind": "question-answered",
    "Subject": "q2-cfo-who-witnessed-the-witnesses",
    "TargetTable": null,
    "TargetField": null,
    "Assertion": "At least one predicate exists to answer this question.",
    "DefendsQuestion": "q2-cfo-who-witnessed-the-witnesses",
    "Suite": "suite-provenance",
    "Severity": "blocking",
    "LastOutcome": "PASS",
    "LastDetail": "8 predicates",
    "LastRunAt": "2026-07-20T03:06:49+00:00",
    "SemanticTypeIri": "urn:effortless:pko-extension#TestCase",
    "Name": "question-answered: q2-cfo-who-witnessed-the-witnesses",
    "IsBlocking": true,
    "IsPassing": true,
    "IsFailing": false,
    "NeedsAttention": false,
    "PassingSuiteKey": "suite-provenance",
    "NeedsAttentionSuiteKey": null
   },
   {
    "TestCaseId": "tc-answered-q2-cfo-controls-nobody-is-watching",
    "TestKind": "question-answered",
    "Subject": "q2-cfo-controls-nobody-is-watching",
    "TargetTable": null,
    "TargetField": null,
    "Assertion": "At least one predicate exists to answer this question.",
    "DefendsQuestion": "q2-cfo-controls-nobody-is-watching",
    "Suite": "suite-provenance",
    "Severity": "blocking",
    "LastOutcome": "PASS",
    "LastDetail": "8 predicates",
    "LastRunAt": "2026-07-20T03:06:49+00:00",
    "SemanticTypeIri": "urn:effortless:pko-extension#TestCase",
    "Name": "question-answered: q2-cfo-controls-nobody-is-watching",
    "IsBlocking": true,
    "IsPassing": true,
    "IsFailing": false,
    "NeedsAttention": false,
    "PassingSuiteKey": "suite-provenance",
    "NeedsAttentionSuiteKey": null
   },
   {
    "TestCaseId": "tc-answered-q2-cfo-what-changed-since-i-signed",
    "TestKind": "question-answered",
    "Subject": "q2-cfo-what-changed-since-i-signed",
    "TargetTable": null,
    "TargetField": null,
    "Assertion": "At least one predicate exists to answer this question.",
    "DefendsQuestion": "q2-cfo-what-changed-since-i-signed",
    "Suite": "suite-provenance",
    "Severity": "blocking",
    "LastOutcome": "PASS",
    "LastDetail": "9 predicates",
    "LastRunAt": "2026-07-20T03:06:49+00:00",
    "SemanticTypeIri": "urn:effortless:pko-extension#TestCase",
    "Name": "question-answered: q2-cfo-what-changed-since-i-signed",
    "IsBlocking": true,
    "IsPassing": true,
    "IsFailing": false,
    "NeedsAttention": false,
    "PassingSuiteKey": "suite-provenance",
    "NeedsAttentionSuiteKey": null
   },
   {
    "TestCaseId": "tc-answered-q2-comms-approval-to-delivery-yield",
    "TestKind": "question-answered",
    "Subject": "q2-comms-approval-to-delivery-yield",
    "TargetTable": null,
    "TargetField": null,
    "Assertion": "At least one predicate exists to answer this question.",
    "DefendsQuestion": "q2-comms-approval-to-delivery-yield",
    "Suite": "suite-provenance",
    "Severity": "blocking",
    "LastOutcome": "PASS",
    "LastDetail": "8 predicates",
    "LastRunAt": "2026-07-20T03:06:49+00:00",
    "SemanticTypeIri": "urn:effortless:pko-extension#TestCase",
    "Name": "question-answered: q2-comms-approval-to-delivery-yield",
    "IsBlocking": true,
    "IsPassing": true,
    "IsFailing": false,
    "NeedsAttention": false,
    "PassingSuiteKey": "suite-provenance",
    "NeedsAttentionSuiteKey": null
   },
   {
    "TestCaseId": "tc-answered-q2-comms-message-nobody-answered",
    "TestKind": "question-answered",
    "Subject": "q2-comms-message-nobody-answered",
    "TargetTable": null,
    "TargetField": null,
    "Assertion": "At least one predicate exists to answer this question.",
    "DefendsQuestion": "q2-comms-message-nobody-answered",
    "Suite": "suite-provenance",
    "Severity": "blocking",
    "LastOutcome": "PASS",
    "LastDetail": "9 predicates",
    "LastRunAt": "2026-07-20T03:06:49+00:00",
    "SemanticTypeIri": "urn:effortless:pko-extension#TestCase",
    "Name": "question-answered: q2-comms-message-nobody-answered",
    "IsBlocking": true,
    "IsPassing": true,
    "IsFailing": false,
    "NeedsAttention": false,
    "PassingSuiteKey": "suite-provenance",
    "NeedsAttentionSuiteKey": null
   },
   {
    "TestCaseId": "tc-answered-q2-comms-my-approval-was-consumed-correctly",
    "TestKind": "question-answered",
    "Subject": "q2-comms-my-approval-was-consumed-correctly",
    "TargetTable": null,
    "TargetField": null,
    "Assertion": "At least one predicate exists to answer this question.",
    "DefendsQuestion": "q2-comms-my-approval-was-consumed-correctly",
    "Suite": "suite-provenance",
    "Severity": "blocking",
    "LastOutcome": "PASS",
    "LastDetail": "8 predicates",
    "LastRunAt": "2026-07-20T03:06:49+00:00",
    "SemanticTypeIri": "urn:effortless:pko-extension#TestCase",
    "Name": "question-answered: q2-comms-my-approval-was-consumed-correctly",
    "IsBlocking": true,
    "IsPassing": true,
    "IsFailing": false,
    "NeedsAttention": false,
    "PassingSuiteKey": "suite-provenance",
    "NeedsAttentionSuiteKey": null
   },
   {
    "TestCaseId": "tc-answered-q2-comms-freeze-what-i-approved",
    "TestKind": "question-answered",
    "Subject": "q2-comms-freeze-what-i-approved",
    "TargetTable": null,
    "TargetField": null,
    "Assertion": "At least one predicate exists to answer this question.",
    "DefendsQuestion": "q2-comms-freeze-what-i-approved",
    "Suite": "suite-provenance",
    "Severity": "blocking",
    "LastOutcome": "PASS",
    "LastDetail": "10 predicates",
    "LastRunAt": "2026-07-20T03:06:49+00:00",
    "SemanticTypeIri": "urn:effortless:pko-extension#TestCase",
    "Name": "question-answered: q2-comms-freeze-what-i-approved",
    "IsBlocking": true,
    "IsPassing": true,
    "IsFailing": false,
    "NeedsAttention": false,
    "PassingSuiteKey": "suite-provenance",
    "NeedsAttentionSuiteKey": null
   },
   {
    "TestCaseId": "tc-answered-q2-comms-suppression-is-a-communication",
    "TestKind": "question-answered",
    "Subject": "q2-comms-suppression-is-a-communication",
    "TargetTable": null,
    "TargetField": null,
    "Assertion": "At least one predicate exists to answer this question.",
    "DefendsQuestion": "q2-comms-suppression-is-a-communication",
    "Suite": "suite-provenance",
    "Severity": "blocking",
    "LastOutcome": "PASS",
    "LastDetail": "8 predicates",
    "LastRunAt": "2026-07-20T03:06:49+00:00",
    "SemanticTypeIri": "urn:effortless:pko-extension#TestCase",
    "Name": "question-answered: q2-comms-suppression-is-a-communication",
    "IsBlocking": true,
    "IsPassing": true,
    "IsFailing": false,
    "NeedsAttention": false,
    "PassingSuiteKey": "suite-provenance",
    "NeedsAttentionSuiteKey": null
   },
   {
    "TestCaseId": "tc-answered-q2-variance-comparison-is-statistically-empty",
    "TestKind": "question-answered",
    "Subject": "q2-variance-comparison-is-statistically-empty",
    "TargetTable": null,
    "TargetField": null,
    "Assertion": "At least one predicate exists to answer this question.",
    "DefendsQuestion": "q2-variance-comparison-is-statistically-empty",
    "Suite": "suite-provenance",
    "Severity": "blocking",
    "LastOutcome": "PASS",
    "LastDetail": "8 predicates",
    "LastRunAt": "2026-07-20T03:06:49+00:00",
    "SemanticTypeIri": "urn:effortless:pko-extension#TestCase",
    "Name": "question-answered: q2-variance-comparison-is-statistically-empty",
    "IsBlocking": true,
    "IsPassing": true,
    "IsFailing": false,
    "NeedsAttention": false,
    "PassingSuiteKey": "suite-provenance",
    "NeedsAttentionSuiteKey": null
   },
   {
    "TestCaseId": "tc-answered-q2-variance-boundary-rests-on-expired-knowledge",
    "TestKind": "question-answered",
    "Subject": "q2-variance-boundary-rests-on-expired-knowledge",
    "TargetTable": null,
    "TargetField": null,
    "Assertion": "At least one predicate exists to answer this question.",
    "DefendsQuestion": "q2-variance-boundary-rests-on-expired-knowledge",
    "Suite": "suite-provenance",
    "Severity": "blocking",
    "LastOutcome": "PASS",
    "LastDetail": "7 predicates",
    "LastRunAt": "2026-07-20T03:06:49+00:00",
    "SemanticTypeIri": "urn:effortless:pko-extension#TestCase",
    "Name": "question-answered: q2-variance-boundary-rests-on-expired-knowledge",
    "IsBlocking": true,
    "IsPassing": true,
    "IsFailing": false,
    "NeedsAttention": false,
    "PassingSuiteKey": "suite-provenance",
    "NeedsAttentionSuiteKey": null
   },
   {
    "TestCaseId": "tc-answered-q2-variance-override-signal-vs-noise",
    "TestKind": "question-answered",
    "Subject": "q2-variance-override-signal-vs-noise",
    "TargetTable": null,
    "TargetField": null,
    "Assertion": "At least one predicate exists to answer this question.",
    "DefendsQuestion": "q2-variance-override-signal-vs-noise",
    "Suite": "suite-provenance",
    "Severity": "blocking",
    "LastOutcome": "PASS",
    "LastDetail": "8 predicates",
    "LastRunAt": "2026-07-20T03:06:49+00:00",
    "SemanticTypeIri": "urn:effortless:pko-extension#TestCase",
    "Name": "question-answered: q2-variance-override-signal-vs-noise",
    "IsBlocking": true,
    "IsPassing": true,
    "IsFailing": false,
    "NeedsAttention": false,
    "PassingSuiteKey": "suite-provenance",
    "NeedsAttentionSuiteKey": null
   },
   {
    "TestCaseId": "tc-answered-q2-variance-handover-was-a-decision-somebody-made",
    "TestKind": "question-answered",
    "Subject": "q2-variance-handover-was-a-decision-somebody-made",
    "TargetTable": null,
    "TargetField": null,
    "Assertion": "At least one predicate exists to answer this question.",
    "DefendsQuestion": "q2-variance-handover-was-a-decision-somebody-made",
    "Suite": "suite-provenance",
    "Severity": "blocking",
    "LastOutcome": "PASS",
    "LastDetail": "8 predicates",
    "LastRunAt": "2026-07-20T03:06:49+00:00",
    "SemanticTypeIri": "urn:effortless:pko-extension#TestCase",
    "Name": "question-answered: q2-variance-handover-was-a-decision-somebody-made",
    "IsBlocking": true,
    "IsPassing": true,
    "IsFailing": false,
    "NeedsAttention": false,
    "PassingSuiteKey": "suite-provenance",
    "NeedsAttentionSuiteKey": null
   },
   {
    "TestCaseId": "tc-answered-q2-variance-what-would-make-me-stop",
    "TestKind": "question-answered",
    "Subject": "q2-variance-what-would-make-me-stop",
    "TargetTable": null,
    "TargetField": null,
    "Assertion": "At least one predicate exists to answer this question.",
    "DefendsQuestion": "q2-variance-what-would-make-me-stop",
    "Suite": "suite-provenance",
    "Severity": "blocking",
    "LastOutcome": "PASS",
    "LastDetail": "9 predicates",
    "LastRunAt": "2026-07-20T03:06:49+00:00",
    "SemanticTypeIri": "urn:effortless:pko-extension#TestCase",
    "Name": "question-answered: q2-variance-what-would-make-me-stop",
    "IsBlocking": true,
    "IsPassing": true,
    "IsFailing": false,
    "NeedsAttention": false,
    "PassingSuiteKey": "suite-provenance",
    "NeedsAttentionSuiteKey": null
   },
   {
    "TestCaseId": "tc-answered-q2-publisher-every-refusal-leaves-a-record",
    "TestKind": "question-answered",
    "Subject": "q2-publisher-every-refusal-leaves-a-record",
    "TargetTable": null,
    "TargetField": null,
    "Assertion": "At least one predicate exists to answer this question.",
    "DefendsQuestion": "q2-publisher-every-refusal-leaves-a-record",
    "Suite": "suite-provenance",
    "Severity": "blocking",
    "LastOutcome": "PASS",
    "LastDetail": "11 predicates",
    "LastRunAt": "2026-07-20T03:06:49+00:00",
    "SemanticTypeIri": "urn:effortless:pko-extension#TestCase",
    "Name": "question-answered: q2-publisher-every-refusal-leaves-a-record",
    "IsBlocking": true,
    "IsPassing": true,
    "IsFailing": false,
    "NeedsAttention": false,
    "PassingSuiteKey": "suite-provenance",
    "NeedsAttentionSuiteKey": null
   },
   {
    "TestCaseId": "tc-answered-q2-publisher-deferred-not-cancelled",
    "TestKind": "question-answered",
    "Subject": "q2-publisher-deferred-not-cancelled",
    "TargetTable": null,
    "TargetField": null,
    "Assertion": "At least one predicate exists to answer this question.",
    "DefendsQuestion": "q2-publisher-deferred-not-cancelled",
    "Suite": "suite-provenance",
    "Severity": "blocking",
    "LastOutcome": "PASS",
    "LastDetail": "8 predicates",
    "LastRunAt": "2026-07-20T03:06:49+00:00",
    "SemanticTypeIri": "urn:effortless:pko-extension#TestCase",
    "Name": "question-answered: q2-publisher-deferred-not-cancelled",
    "IsBlocking": true,
    "IsPassing": true,
    "IsFailing": false,
    "NeedsAttention": false,
    "PassingSuiteKey": "suite-provenance",
    "NeedsAttentionSuiteKey": null
   },
   {
    "TestCaseId": "tc-answered-q2-publisher-my-own-authorization",
    "TestKind": "question-answered",
    "Subject": "q2-publisher-my-own-authorization",
    "TargetTable": null,
    "TargetField": null,
    "Assertion": "At least one predicate exists to answer this question.",
    "DefendsQuestion": "q2-publisher-my-own-authorization",
    "Suite": "suite-provenance",
    "Severity": "blocking",
    "LastOutcome": "PASS",
    "LastDetail": "10 predicates",
    "LastRunAt": "2026-07-20T03:06:49+00:00",
    "SemanticTypeIri": "urn:effortless:pko-extension#TestCase",
    "Name": "question-answered: q2-publisher-my-own-authorization",
    "IsBlocking": true,
    "IsPassing": true,
    "IsFailing": false,
    "NeedsAttention": false,
    "PassingSuiteKey": "suite-provenance",
    "NeedsAttentionSuiteKey": null
   },
   {
    "TestCaseId": "tc-answered-q2-publisher-am-i-the-only-witness",
    "TestKind": "question-answered",
    "Subject": "q2-publisher-am-i-the-only-witness",
    "TargetTable": null,
    "TargetField": null,
    "Assertion": "At least one predicate exists to answer this question.",
    "DefendsQuestion": "q2-publisher-am-i-the-only-witness",
    "Suite": "suite-provenance",
    "Severity": "blocking",
    "LastOutcome": "PASS",
    "LastDetail": "11 predicates",
    "LastRunAt": "2026-07-20T03:06:49+00:00",
    "SemanticTypeIri": "urn:effortless:pko-extension#TestCase",
    "Name": "question-answered: q2-publisher-am-i-the-only-witness",
    "IsBlocking": true,
    "IsPassing": true,
    "IsFailing": false,
    "NeedsAttention": false,
    "PassingSuiteKey": "suite-provenance",
    "NeedsAttentionSuiteKey": null
   },
   {
    "TestCaseId": "tc-answered-q2-publisher-obligation-after-send",
    "TestKind": "question-answered",
    "Subject": "q2-publisher-obligation-after-send",
    "TargetTable": null,
    "TargetField": null,
    "Assertion": "At least one predicate exists to answer this question.",
    "DefendsQuestion": "q2-publisher-obligation-after-send",
    "Suite": "suite-provenance",
    "Severity": "blocking",
    "LastOutcome": "PASS",
    "LastDetail": "8 predicates",
    "LastRunAt": "2026-07-20T03:06:49+00:00",
    "SemanticTypeIri": "urn:effortless:pko-extension#TestCase",
    "Name": "question-answered: q2-publisher-obligation-after-send",
    "IsBlocking": true,
    "IsPassing": true,
    "IsFailing": false,
    "NeedsAttention": false,
    "PassingSuiteKey": "suite-provenance",
    "NeedsAttentionSuiteKey": null
   },
   {
    "TestCaseId": "tc-provenance-resolves",
    "TestKind": "provenance",
    "Subject": "RulebookFields.InventedForQuestion",
    "TargetTable": null,
    "TargetField": null,
    "Assertion": "Every invented field points at a role question that exists.",
    "DefendsQuestion": null,
    "Suite": "suite-provenance",
    "Severity": "blocking",
    "LastOutcome": "PASS",
    "LastDetail": "all resolve",
    "LastRunAt": "2026-07-20T03:06:49+00:00",
    "SemanticTypeIri": "urn:effortless:pko-extension#TestCase",
    "Name": "provenance: RulebookFields.InventedForQuestion",
    "IsBlocking": true,
    "IsPassing": true,
    "IsFailing": false,
    "NeedsAttention": false,
    "PassingSuiteKey": "suite-provenance",
    "NeedsAttentionSuiteKey": null
   },
   {
    "TestCaseId": "tc-catalog-sync",
    "TestKind": "catalog-sync",
    "Subject": "RulebookFields",
    "TargetTable": null,
    "TargetField": null,
    "Assertion": "The catalog matches the real schemas in both directions — nothing missing, nothing stale.",
    "DefendsQuestion": null,
    "Suite": "suite-provenance",
    "Severity": "blocking",
    "LastOutcome": "PASS",
    "LastDetail": "1521 fields in sync",
    "LastRunAt": "2026-07-20T03:06:49+00:00",
    "SemanticTypeIri": "urn:effortless:pko-extension#TestCase",
    "Name": "catalog-sync: RulebookFields",
    "IsBlocking": true,
    "IsPassing": true,
    "IsFailing": false,
    "NeedsAttention": false,
    "PassingSuiteKey": "suite-provenance",
    "NeedsAttentionSuiteKey": null
   },
   {
    "TestCaseId": "tc-no-delimiter-collision",
    "TestKind": "invariant",
    "Subject": "composite keys",
    "TargetTable": null,
    "TargetField": null,
    "Assertion": "No identifier contains the '|' delimiter that composite join keys rely on.",
    "DefendsQuestion": null,
    "Suite": "suite-invariant",
    "Severity": "blocking",
    "LastOutcome": "PASS",
    "LastDetail": "no identifier contains '|'",
    "LastRunAt": "2026-07-20T03:06:49+00:00",
    "SemanticTypeIri": "urn:effortless:pko-extension#TestCase",
    "Name": "invariant: composite keys",
    "IsBlocking": true,
    "IsPassing": true,
    "IsFailing": false,
    "NeedsAttention": false,
    "PassingSuiteKey": "suite-invariant",
    "NeedsAttentionSuiteKey": null
   },
   {
    "TestCaseId": "tc-inv-spec-exec-separate",
    "TestKind": "invariant",
    "Subject": "Procedures vs ProcedureExecutions",
    "TargetTable": "ProcedureExecutions",
    "TargetField": null,
    "Assertion": "Specifications and executions remain separate tables linked by hasExecutedProcedure.",
    "DefendsQuestion": null,
    "Suite": "suite-invariant",
    "Severity": "blocking",
    "LastOutcome": "PASS",
    "LastDetail": "specification and execution are separate tables",
    "LastRunAt": "2026-07-20T03:06:49+00:00",
    "SemanticTypeIri": "urn:effortless:pko-extension#TestCase",
    "Name": "invariant: Procedures vs ProcedureExecutions",
    "IsBlocking": true,
    "IsPassing": true,
    "IsFailing": false,
    "NeedsAttention": false,
    "PassingSuiteKey": "suite-invariant",
    "NeedsAttentionSuiteKey": null
   },
   {
    "TestCaseId": "tc-inv-blocking-unmet-visible",
    "TestKind": "invariant",
    "Subject": "RequirementSatisfactions.IsBlockingAndUnmet",
    "TargetTable": "RequirementSatisfactions",
    "TargetField": "IsBlockingAndUnmet",
    "Assertion": "A blocking requirement recorded below Satisfied is visible as a witness, not merely as text.",
    "DefendsQuestion": null,
    "Suite": "suite-invariant",
    "Severity": "blocking",
    "LastOutcome": "PASS",
    "LastDetail": "computed on 8 rows",
    "LastRunAt": "2026-07-20T03:06:49+00:00",
    "SemanticTypeIri": "urn:effortless:pko-extension#TestCase",
    "Name": "invariant: RequirementSatisfactions.IsBlockingAndUnmet",
    "IsBlocking": true,
    "IsPassing": true,
    "IsFailing": false,
    "NeedsAttention": false,
    "PassingSuiteKey": "suite-invariant",
    "NeedsAttentionSuiteKey": null
   },
   {
    "TestCaseId": "tc-inv-sod-computable",
    "TestKind": "invariant",
    "Subject": "StepExecutions.ViolatesSeparationOfDuties",
    "TargetTable": "StepExecutions",
    "TargetField": "ViolatesSeparationOfDuties",
    "Assertion": "Segregation of duties is computed from execution data rather than asserted in prose.",
    "DefendsQuestion": null,
    "Suite": "suite-invariant",
    "Severity": "blocking",
    "LastOutcome": "PASS",
    "LastDetail": "computed on 12 rows",
    "LastRunAt": "2026-07-20T03:06:49+00:00",
    "SemanticTypeIri": "urn:effortless:pko-extension#TestCase",
    "Name": "invariant: StepExecutions.ViolatesSeparationOfDuties",
    "IsBlocking": true,
    "IsPassing": true,
    "IsFailing": false,
    "NeedsAttention": false,
    "PassingSuiteKey": "suite-invariant",
    "NeedsAttentionSuiteKey": null
   },
   {
    "TestCaseId": "tc-inv-consent-computable",
    "TestKind": "invariant",
    "Subject": "MessageDeliveries.IsConsentViolation",
    "TargetTable": "MessageDeliveries",
    "TargetField": "IsConsentViolation",
    "Assertion": "A send to a non-consenting recipient is distinguishable from a correctly suppressed one.",
    "DefendsQuestion": null,
    "Suite": "suite-invariant",
    "Severity": "blocking",
    "LastOutcome": "PASS",
    "LastDetail": "computed on 6 rows",
    "LastRunAt": "2026-07-20T03:06:49+00:00",
    "SemanticTypeIri": "urn:effortless:pko-extension#TestCase",
    "Name": "invariant: MessageDeliveries.IsConsentViolation",
    "IsBlocking": true,
    "IsPassing": true,
    "IsFailing": false,
    "NeedsAttention": false,
    "PassingSuiteKey": "suite-invariant",
    "NeedsAttentionSuiteKey": null
   },
   {
    "TestCaseId": "tc-inv-asof-not-wallclock",
    "TestKind": "invariant",
    "Subject": "time-dependent witnesses",
    "TargetTable": null,
    "TargetField": null,
    "Assertion": "No time-dependent witness compares against NOW(); all read the modeled evaluation instant.",
    "DefendsQuestion": null,
    "Suite": "suite-invariant",
    "Severity": "blocking",
    "LastOutcome": "PASS",
    "LastDetail": "all time witnesses read the modeled instant",
    "LastRunAt": "2026-07-20T03:06:49+00:00",
    "SemanticTypeIri": "urn:effortless:pko-extension#TestCase",
    "Name": "invariant: time-dependent witnesses",
    "IsBlocking": true,
    "IsPassing": true,
    "IsFailing": false,
    "NeedsAttention": false,
    "PassingSuiteKey": "suite-invariant",
    "NeedsAttentionSuiteKey": null
   },
   {
    "TestCaseId": "tc-inv-remediation-preserved",
    "TestKind": "invariant",
    "Subject": "KnowledgeGaps",
    "TargetTable": "KnowledgeGaps",
    "TargetField": null,
    "Assertion": "Seeded violations were remediated in model rather than deleted — resolved gaps remain as evidence.",
    "DefendsQuestion": null,
    "Suite": "suite-invariant",
    "Severity": "blocking",
    "LastOutcome": "PASS",
    "LastDetail": "7 resolved gaps retained as evidence",
    "LastRunAt": "2026-07-20T03:06:49+00:00",
    "SemanticTypeIri": "urn:effortless:pko-extension#TestCase",
    "Name": "invariant: KnowledgeGaps",
    "IsBlocking": true,
    "IsPassing": true,
    "IsFailing": false,
    "NeedsAttention": false,
    "PassingSuiteKey": "suite-invariant",
    "NeedsAttentionSuiteKey": null
   }
  ]
 },
 "ERBVersions": {
  "Description": "Standard ERB semantic version history.",
  "schema": [
   {
    "name": "ERBVersionId",
    "datatype": "string",
    "type": "raw",
    "nullable": false,
    "Description": "Stored ERB version identifier."
   },
   {
    "name": "BaseId",
    "datatype": "string",
    "type": "raw",
    "nullable": true,
    "Description": "Source base identifier."
   },
   {
    "name": "Name",
    "datatype": "string",
    "type": "raw",
    "nullable": true,
    "Description": "Version label."
   },
   {
    "name": "Message",
    "datatype": "string",
    "type": "raw",
    "nullable": true,
    "Description": "Version message."
   },
   {
    "name": "Notes",
    "datatype": "string",
    "type": "raw",
    "nullable": true,
    "Description": "Version notes."
   },
   {
    "name": "CommitDate",
    "datatype": "datetime",
    "type": "raw",
    "nullable": true,
    "Description": "Commit timestamp."
   },
   {
    "name": "IsPublished",
    "datatype": "boolean",
    "type": "raw",
    "nullable": true,
    "Description": "Publication flag."
   }
  ],
  "data": [
   {
    "ERBVersionId": "erb-pko-1.0.0",
    "BaseId": "pko-native-procedural-knowledge",
    "Name": "1.0.0",
    "Message": "Initial PKO 2.0.0 aligned rulebook",
    "Notes": "Candidate proof of canonical PKO-as-ERB architecture.",
    "CommitDate": "2026-07-19T12:00:00-05:00",
    "IsPublished": false
   }
  ]
 },
 "ERBCustomizations": {
  "Description": "Explicit customization seams; empty because the canonical model is expressed in the rulebook.",
  "schema": [
   {
    "name": "ERBCustomizationId",
    "datatype": "string",
    "type": "raw",
    "nullable": false,
    "Description": "Customization identifier."
   },
   {
    "name": "Name",
    "datatype": "string",
    "type": "raw",
    "nullable": true,
    "Description": "Customization file name."
   },
   {
    "name": "Title",
    "datatype": "string",
    "type": "raw",
    "nullable": true,
    "Description": "Customiz</t>
  </si>
  <si>
    <t xml:space="preserve">ation title."
   },
   {
    "name": "SQLCode",
    "datatype": "string",
    "type": "raw",
    "nullable": true,
    "Description": "Customization SQL."
   },
   {
    "name": "SQLTarget",
    "datatype": "string",
    "type": "raw",
    "nullable": true,
    "Description": "Target substrate."
   },
   {
    "name": "CustomizationType",
    "datatype": "string",
    "type": "raw",
    "nullable": true,
    "Description": "Customization category."
   }
  ],
  "data": []
 },
 "__meta__": {
  "Description": "Project-level metadata that travels with the rulebook: tagline, motif, narrative descriptions, PKO version contract, substrate list, signature rows, etc. One row per metadata key. Use ValueType to interpret StringValue vs JsonValue.",
  "important": false,
  "schema": [
   {
    "name": "MetaKey",
    "datatype": "string",
    "type": "raw",
    "nullable": false,
    "Description": "The metadata key (e.g. 'tagline', 'motif_palette', 'substrates'). Unique within the table."
   },
   {
    "name": "Name",
    "datatype": "string",
    "type": "calculated",
    "nullable": false,
    "formula": "={{MetaKey}}",
    "Description": "Identifier for this metadata entry. Mirrors MetaKey so the row is addressable by Name like every other table."
   },
   {
    "name": "ValueType",
    "datatype": "string",
    "type": "raw",
    "nullable": false,
    "Description": "How to interpret the value columns: 'string' (use StringValue), 'object' (parse JsonValue as JSON object), 'array' (parse JsonValue as JSON array)."
   },
   {
    "name": "StringValue",
    "datatype": "string",
    "type": "raw",
    "nullable": true,
    "Description": "Plain string value. Populated when ValueType == 'string'; null otherwise."
   },
   {
    "name": "JsonValue",
    "datatype": "string",
    "type": "raw",
    "nullable": true,
    "Description": "JSON-encoded value. Populated when ValueType == 'object' or 'array'; null when ValueType == 'string'."
   }
  ],
  "data": [
   {
    "MetaKey": "tagline",
    "Name": "tagline",
    "ValueType": "string",
    "StringValue": "One canonical PKO-native rulebook; every procedure document is a projection.",
    "JsonValue": null
   },
   {
    "MetaKey": "motif",
    "Name": "motif",
    "ValueType": "string",
    "StringValue": "procedural-knowledge",
    "JsonValue": null
   },
   {
    "MetaKey": "motif_palette",
    "Name": "motif_palette",
    "ValueType": "object",
    "StringValue": null,
    "JsonValue": "{\"primary\": \"#2f5d8a\", \"accent\": \"#c9822f\", \"surface\": \"#f4f1ea\", \"ink\": \"#1f2933\"}"
   },
   {
    "MetaKey": "ontology_profile",
    "Name": "ontology_profile",
    "ValueType": "string",
    "StringValue": "PKO 2.0.0 + PKO industry 2.0.0",
    "JsonValue": null
   },
   {
    "MetaKey": "pko_core_version_iri",
    "Name": "pko_core_version_iri",
    "ValueType": "string",
    "StringValue": "https://w3id.org/pko/2.0.0",
    "JsonValue": null
   },
   {
    "MetaKey": "pko_industry_version_iri",
    "Name": "pko_industry_version_iri",
    "ValueType": "string",
    "StringValue": "https://w3id.org/pko/industry/2.0.0",
    "JsonValue": null
   },
   {
    "MetaKey": "erb_pko_profile_version",
    "Name": "erb_pko_profile_version",
    "ValueType": "string",
    "StringValue": "1.0.0",
    "JsonValue": null
   },
   {
    "MetaKey": "rulebook_version",
    "Name": "rulebook_version",
    "ValueType": "string",
    "StringValue": "1.0.0",
    "JsonValue": null
   },
   {
    "MetaKey": "description_rich",
    "Name": "description_rich",
    "ValueType": "string",
    "StringValue": "A single Effortless Rulebook whose structural model is aligned to the Procedural Knowledge Ontology (PKO) 2.0.0. It keeps procedure *specifications* separate from procedure *executions*, and carries versions, lifecycle status changes, steps, transitions, alternatives and fallbacks, actions, software functions, tools, requirements and verifications, agents, roles and time-bounded role assignments, resources and provenance, errors, issues, questions, feedback, explanations, tacit/implicit/explicit/situated knowledge, elicitation provenance, knowledge gaps, stewardship, change requests, reviews, communities of practice, and communication policy. Natural-language docs, financial SOPs, email/SMS policies, and a governance handbook are all projections of this one model — never hand-maintained documents.",
    "JsonValue": null
   },
   {
    "MetaKey": "use_cases",
    "Name": "use_cases",
    "ValueType": "array",
    "StringValue": null,
    "JsonValue": "[\"Publish an SOP and its governance record from one source instead of two drifting documents.\", \"Separate what a procedure *says* from what an execution actually *did*, and audit the gap.\", \"Carry tacit know-how, elicitation provenance, and known knowledge gaps as first-class data.\", \"Adapt a foreign process format into PKO once, and inherit every downstream projection.\"]"
   },
   {
    "MetaKey": "signature_rows",
    "Name": "signature_rows",
    "ValueType": "array",
    "StringValue": null,
    "JsonValue": "[{\"table\": \"Procedures\", \"why\": \"Specification of a procedure — distinct from any execution of it.\"}, {\"table\": \"ProcedureExecutions\", \"why\": \"What actually happened, linked back to the spec via pko:hasExecutedProcedure.\"}, {\"table\": \"StepTransitions\", \"why\": \"Default, alternative, and fallback edges — the control flow as data.\"}, {\"table\": \"KnowledgeGaps\", \"why\": \"Known unknowns tracked with severity, ownership, and blocking status.\"}, {\"table\": \"SemanticMappings\", \"why\": \"Every table's exact PKO term, or its explicit extension IRI.\"}]"
   },
   {
    "MetaKey": "procedure_families",
    "Name": "procedure_families",
    "ValueType": "array",
    "StringValue": null,
    "JsonValue": "[\"Quarter-End Financial Close\", \"Workforce Policy Change and Employee Notification\"]"
   },
   {
    "MetaKey": "substrates",
    "Name": "substrates",
    "ValueType": "array",
    "StringValue": null,
    "JsonValue": "[\"rulespeak\"]"
   },
   {
    "MetaKey": "table_count",
    "Name": "table_count",
    "ValueType": "string",
    "StringValue": "50",
    "JsonValue": null
   },
   {
    "MetaKey": "semantic_mapping_counts",
    "Name": "semantic_mapping_counts",
    "ValueType": "string",
    "StringValue": "28 exact/aligned mappings, 4 explicit ERB-PKO extensions",
    "JsonValue": null
   },
   {
    "MetaKey": "journal_seed",
    "Name": "journal_seed",
    "ValueType": "string",
    "StringValue": "Started from a standalone PKO prototype and onboarded it as a first-class domain: the rulebook is the source of truth, and the prose is downstream.",
    "JsonValue": null
   },
   {
    "MetaKey": "attribution",
    "Name": "attribution",
    "ValueType": "string",
    "StringValue": "PKO was created by Valentina Anita Carriero, Mario Scrocca, Ilaria Baroni, Antonia Azzini, and Irene Celino, and is published under CC BY 4.0. This domain aligns to PKO; it is not an official PKO distribution and implies no endorsement. See NOTICE.md.",
    "JsonValue": null
   },
   {
    "MetaKey": "CMCC_Summary",
    "Name": "CMCC_Summary",
    "ValueType": "string",
    "StringValue": "Procedural knowledge is modeled as data, not prose. PKO is graph-shaped; an Effortless Rulebook is an acyclic structural graph, so repeated and many-to-many semantics are promoted to first-class junction and event entities (StepTransitions, StepRequirements, RoleAssignments). No semantics are lost — the relational shape is a faithful encoding, and each projection recovers its own native surface form from the same structure.",
    "JsonValue": null
   },
   {
    "MetaKey": "conversion_metadata",
    "ValueType": "object",
    "StringValue": null,
    "JsonValue": "{\"source\": \"hand-authored PKO 2.0.0 alignment\", \"profile_schema\": \"schemas/pko-erb-profile-1.0.0.schema.json\", \"rulebook_version\": \"1.0.0\", \"pko_core_version_iri\": \"https://w3id.org/pko/2.0.0\", \"pko_industry_version_iri\": \"https://w3id.org/pko/industry/2.0.0\", \"generated_at\": \"2026-07-19T12:00:00-05:00\"}",
    "Name": "conversion_metadata"
   }
  ]
 },
 "ExceptionInvocations": {
  "Description": "ExceptionInvocations (added by witness loop 1).",
  "schema": [
   {
    "name": "ExceptionInvocationId",
    "datatype": "string",
    "type": "raw",
    "nullable": false,
    "Description": "Stored logical identifier for one ExceptionInvocations row."
   },
   {
    "name": "Name",
    "datatype": "string",
    "type": "calculated",
    "nullable": true,
    "Description": "Human-readable calculated display alias.",
    "formula": "={{StepExecution}} &amp; \" / \" &amp; {{Exception}}"
   },
   {
    "name": "StepExecution",
    "datatype": "string",
    "type": "relationship",
    "nullable": true,
    "Description": "The execution during which the exception was invoked.",
    "RelatedTo": "StepExecutions"
   },
   {
    "name": "Exception",
    "datatype": "string",
    "type": "relationship",
    "nullable": true,
    "Description": "The specified exception that was invoked.",
    "RelatedTo": "Exceptions"
   },
   {
    "name": "InvokedByAgent",
    "datatype": "string",
    "type": "relationship",
    "nullable": true,
    "Description": "Agent who invoked the exception.",
    "RelatedTo": "Agents"
   },
   {
    "name": "ApprovedByAgent",
    "datatype": "string",
    "type": "relationship",
    "nullable": true,
    "Description": "Agent who approved the invocation. Must satisfy the exception's ApprovalRole.",
    "RelatedTo": "Agents"
   },
   {
    "name": "InvokedAt",
    "datatype": "datetime",
    "type": "raw",
    "nullable": true,
    "Description": "When the exception was invoked."
   },
   {
    "name": "HandlingApplied",
    "datatype": "string",
    "type": "raw",
    "nullable": true,
    "Description": "What was actually done, in the invoker's words."
   },
   {
    "name": "ExpectedHandling",
    "datatype": "string",
    "type": "lookup",
    "nullable": true,
    "Description": "The handling the specification prescribes.",
    "formula": "=INDEX(Exceptions!{{Handling}}, MATCH({{Exception}}, Exceptions!{{ExceptionId}}, 0))"
   },
   {
    "name": "RequiredApprovalRole",
    "datatype": "string",
    "type": "lookup",
    "nullable": true,
    "Description": "The role the specification requires to approve this exception.",
    "formula": "=INDEX(Exceptions!{{ApprovalRole}}, MATCH({{Exception}}, Exceptions!{{ExceptionId}}, 0))"
   },
   {
    "name": "RequiredApprovalRoleHolder",
    "datatype": "string",
    "type": "lookup",
    "nullable": true,
    "Description": "The agent who currently holds the role that must approve this exception.",
    "formula": "=INDEX(Roles!{{CurrentAgent}}, MATCH({{RequiredApprovalRole}}, Roles!{{RoleId}}, 0))"
   },
   {
    "name": "ApprovalRoleMatches",
    "datatype": "boolean",
    "type": "calculated",
    "nullable": true,
    "Description": "TRUE when the agent who approved is the holder of the role the exception requires.",
    "formula": "={{ApprovedByAgent}} = {{RequiredApprovalRoleHolder}}"
   },
   {
    "name": "IsApproved",
    "datatype": "boolean",
    "type": "calculated",
    "nullable": true,
    "Description": "TRUE when an approver was recorded at all.",
    "formula": "={{ApprovedByAgent}} &lt;&gt; \"\""
   },
   {
    "name": "IsImproperlyApproved",
    "datatype": "boolean",
    "type": "calculated",
    "nullable": true,
    "Description": "TRUE when an exception was invoked without an approver, or approved by an agent who does not hold the required role.",
    "formula": "=OR(NOT({{IsApproved}}), NOT({{ApprovalRoleMatches}}))"
   },
   {
    "name": "InvokerAgentKind",
    "datatype": "string",
    "type": "lookup",
    "nullable": true,
    "Description": "What kind of agent invoked the exception.",
    "formula": "=INDEX(Agents!{{AgentKind}}, MATCH({{InvokedByAgent}}, Agents!{{AgentId}}, 0))"
   },
   {
    "name": "InvokerAlsoPreparedKey",
    "datatype": "string",
    "type": "calculated",
    "nullable": true,
    "Description": "Composite execution+approver key, in the same key space as StepExecutions.PreparerAgentKey.",
    "formula": "={{ParentProcedureExecution}} &amp; \"|\" &amp; {{ApprovedByAgent}}"
   },
   {
    "name": "ParentProcedureExecution",
    "datatype": "string",
    "type": "lookup",
    "nullable": true,
    "Description": "The procedure execution this invocation belongs to.",
    "formula": "=INDEX(StepExecutions!{{ProcedureExecution}}, MATCH({{StepExecution}}, StepExecutions!{{StepExecutionId}}, 0))"
   },
   {
    "name": "ApproverPreparedCount",
    "datatype": "number",
    "type": "aggregation",
    "nullable": true,
    "Description": "How many preparation steps in the same execution were run by the agent who approved this exception.",
    "formula": "=COUNTIFS(StepExecutions!{{PreparerAgentKey}}, {{InvokerAlsoPreparedKey}})"
   },
   {
    "name": "DelegatedToPreparer",
    "datatype": "boolean",
    "type": "calculated",
    "nullable": true,
    "Description": "TRUE when an exception routed approval authority to an agent who prepared work in the same execution.",
    "formula": "={{ApproverPreparedCount}} &gt; 0"
   },
   {
    "name": "IsUngovernedInvocation",
    "datatype": "boolean",
    "type": "calculated",
    "nullable": true,
    "Description": "TRUE when an exception was invoked without proper role authority, or routed authority to the preparer.",
    "formula": "=OR({{IsImproperlyApproved}}, {{DelegatedToPreparer}})"
   },
   {
    "name": "SemanticTypeIri",
    "datatype": "string",
    "type": "raw",
    "nullable": true,
    "Description": "Extension IRI — PKO does not define exception invocation.",
    "default": "urn:effortless:pko-extension#ExceptionInvocation"
   }
  ],
  "data": [
   {
    "ExceptionInvocationId": "exc-inv-close02",
    "StepExecution": "se-close02",
    "Exception": "exc-ledger-outage",
    "InvokedByAgent": "close-pipeline",
    "ApprovedByAgent": "devon-okafor",
    "InvokedAt": "2026-07-19T09:24:00-05:00",
    "HandlingApplied": "Used the digitally signed 09:07 trial-balance snapshot and opened blocking incident issue-close-feed. No spreadsheet substitution.",
    "SemanticTypeIri": "urn:effortless:pko-extension#ExceptionInvocation",
    "Name": "se-close02 / exc-ledger-outage",
    "ExpectedHandling": "Use a digitally signed, timestamped snapshot and open a blocking incident; do not silently substitute a spreadsheet.",
    "RequiredApprovalRole": "controller",
    "RequiredApprovalRoleHolder": "devon-okafor",
    "ApprovalRoleMatches": true,
    "IsApproved": true,
    "IsImproperlyApproved": false,
    "InvokerAgentKind": "AutomatedPipeline",
    "InvokerAlsoPreparedKey": "exec-close-2026-q2|devon-okafor",
    "ParentProcedureExecution": "exec-close-2026-q2",
    "ApproverPreparedCount": 0,
    "DelegatedToPreparer": false,
    "IsUngovernedInvocation": false
   }
  ]
 },
 "VerificationOutcomes": {
  "Description": "VerificationOutcomes (added by witness loop 1).",
  "schema": [
   {
    "name": "VerificationOutcomeId",
    "datatype": "string",
    "type": "raw",
    "nullable": false,
    "Description": "Stored logical identifier for one VerificationOutcomes row."
   },
   {
    "name": "Name",
    "datatype": "string",
    "type": "calculated",
    "nullable": true,
    "Description": "Human-readable calculated display alias.",
    "formula": "={{StepExecution}} &amp; \" / \" &amp; {{StepVerification}}"
   },
   {
    "name": "StepExecution",
    "datatype": "string",
    "type": "relationship",
    "nullable": true,
    "Description": "The execution during which the verification was performed.",
    "RelatedTo": "StepExecutions"
   },
   {
    "name": "StepVerification",
    "datatype": "string",
    "type": "relationship",
    "nullable": true,
    "Description": "The declared verification being performed.",
    "RelatedTo": "StepVerifications"
   },
   {
    "name": "ObservedSignalValue",
    "datatype": "string",
    "type": "raw",
    "nullable": true,
    "Description": "The value the signal actually read at verification time."
   },
   {
    "name": "ObservedByAgent",
    "datatype": "string",
    "type": "relationship",
    "nullable": true,
    "Description": "Agent who observed the signal.",
    "RelatedTo": "Agents"
   },
   {
    "name": "ObservedAt",
    "datatype": "datetime",
    "type": "raw",
    "nullable": true,
    "Description": "When the signal was observed."
   },
   {
    "name": "EvidenceUri",
    "datatype": "string",
    "type": "raw",
    "nullable": true,
    "Description": "Pointer to the retained artifact backing the observation."
   },
   {
    "name": "ExpectedSignalValue",
    "datatype": "string",
    "type": "lookup",
    "nullable": true,
    "Description": "The value the specification expects.",
    "formula": "=INDEX(StepVerifications!{{ExpectedSignalValue}}, MATCH({{StepVerification}}, StepVerifications!{{StepVerificationId}}, 0))"
   },
   {
    "name": "SignalIdentifier",
    "datatype": "string",
    "type": "lookup",
    "nullable": true,
    "Description": "Which signal this outcome concerns.",
    "formula": "=INDEX(StepVerifications!{{SignalIdentifier}}, MATCH({{StepVerification}}, StepVerifications!{{StepVerificationId}}, 0))"
   },
   {
    "name": "SignalMatchesExpected",
    "datatype": "boolean",
    "type": "calculated",
    "nullable": true,
    "Description": "TRUE when the observed value equals the expected value.",
    "formula": "={{ObservedSignalValue}} = {{ExpectedSignalValue}}"
   },
   {
    "name": "HasEvidence",
    "datatype": "boolean",
    "type": "calculated",
    "nullable": true,
    "Description": "TRUE when a retained artifact backs this observation.",
    "formula": "={{EvidenceUri}} &lt;&gt; \"\""
   },
   {
    "name": "IsUnbackedObservation",
    "datatype": "boolean",
    "type": "calculated",
    "nullable": true,
    "Description": "TRUE when a verification was recorded as matching but no evidence artifact was retained.",
    "formula": "=AND({{SignalMatchesExpected}}, NOT({{HasEvidence}}))"
   },
   {
    "name": "IsSelfWitnessed",
    "datatype": "boolean",
    "type": "calculated",
    "nullable": true,
    "Description": "TRUE when the agent who observed the verification signal is the same agent who executed the step being verified.",
    "formula": "={{ObservedByAgent}} = {{StepExecutorAgent}}"
   },
   {
    "name": "StepExecutorAgent",
    "datatype": "string",
    "type": "lookup",
    "nullable": true,
    "Description": "The agent who executed the step this verification outcome concerns.",
    "formula": "=INDEX(StepExecutions!{{ExecutedByAgent}}, MATCH({{StepExecution}}, StepExecutions!{{StepExecutionId}}, 0))"
   },
   {
    "name": "SelfWitnessedStepKey",
    "datatype": "string",
    "type": "calculated",
    "nullable": true,
    "Description": "Echoes the StepExecution id only for self-witnessed verifications.",
    "formula": "=IF({{IsSelfWitnessed}}, {{StepExecution}}, \"\")"
   },
   {
    "name": "UnbackedStepKey",
    "datatype": "string",
    "type": "calculated",
    "nullable": true,
    "Description": "Echoes the StepExecution id when a verification matched but retained no evidence.",
    "formula": "=IF({{IsUnbackedObservation}}, {{StepExecution}}, \"\")"
   },
   {
    "name": "IsSelfWitnessedAndUnbacked",
    "datatype": "boolean",
    "type": "calculated",
    "nullable": true,
    "Description": "TRUE when the executor observed their own passing signal and attached no evidence.",
    "formula": "=AND({{IsSelfWitnessed}}, NOT({{HasEvidence}}))"
   },
   {
    "name": "IsUncorroboratedPass",
    "datatype": "boolean",
    "type": "calculated",
    "nullable": true,
    "Description": "TRUE when a PASSING signal was self-observed with no evidence behind it.",
    "formula": "=AND({{SignalMatchesExpected}}, {{IsSelfWitnessedAndUnbacked}})"
   },
   {
    "name": "UncorroboratedPassStepKey",
    "datatype": "string",
    "type": "calculated",
    "nullable": true,
    "Description": "Echoes the step execution id when this outcome is an uncorroborated pass.",
    "formula": "=IF({{IsUncorroboratedPass}}, {{StepExecution}}, \"\")"
   },
   {
    "name": "ObserverIsNonHuman",
    "datatype": "boolean",
    "type": "lookup",
    "nullable": true,
    "Description": "Whether the agent who recorded this observation is non-human. Agents has no PrimaryRole column and an FK from Agents back to Roles would create a table cycle, so the independence question is answered by agent kind rather than by role.",
    "formula": "=INDEX(Agents!{{IsNonHuman}}, MATCH({{ObservedByAgent}}, Agents!{{AgentId}}, 0))"
   },
   {
    "name": "ObserverIsIndependentOfExecutor",
    "datatype": "boolean",
    "type": "calculated",
    "nullable": true,
    "Description": "TRUE when someone other than the step's executor recorded the observation.",
    "formula": "=NOT({{IsSelfWitnessed}})"
   },
   {
    "name": "IsIndependentHumanObservation",
    "datatype": "boolean",
    "type": "calculated",
    "nullable": true,
    "Description": "TRUE when a human other than the step's executor observed this signal and attached evidence.",
    "formula": "=AND(NOT({{ObserverIsNonHuman}}), NOT({{IsSelfWitnessed}}), {{HasEvidence}})"
   },
   {
    "name": "IndependentObservationExecutionKey",
    "datatype": "string",
    "type": "calculated",
    "nullable": true,
    "Description": "Echoes the parent execution id when this is an independent human observation.",
    "formula": "=IF({{IsIndependentHumanObservation}}, {{ParentProcedureExecutionOfOutcome}}, \"\")"
   },
   {
    "name": "ParentProcedureExecutionOfOutcome",
    "datatype": "string",
    "type": "lookup",
    "nullable": true,
    "Description": "The procedure execution this verification outcome belongs to.",
    "formula": "=INDEX(StepExecutions!{{ProcedureExecution}}, MATCH({{StepExecution}}, StepExecutions!{{StepExecutionId}}, 0))"
   },
   {
    "name": "SemanticTypeIri",
    "datatype": "string",
    "type": "raw",
    "nullable": true,
    "Description": "Extension IRI — PKO 2.0.0 has no execution-side verification outcome class.",
    "default": "urn:effortless:pko-extension#VerificationOutcome"
   }
  ],
  "data": [
   {
    "VerificationOutcomeId": "vo-close01",
    "StepExecution": "se-close01",
    "StepVerification": "verify-close-cutoff",
    "ObservedSignalValue": "LOCKED",
    "EvidenceUri": "evidence://erp/close/2026-q2/ledger-lock.json",
    "ObservedByAgent": "devon-okafor",
    "ObservedAt": "2026-07-19T09:05:00-05:00",
    "SemanticTypeIri": "urn:effortless:pko-extension#VerificationOutcome",
    "Name": "se-close01 / verify-close-cutoff",
    "ExpectedSignalValue": "LOCKED",
    "SignalIdentifier": "ledger-lock-state",
    "SignalMatchesExpected": true,
    "HasEvidence": true,
    "IsUnbackedObservation": false,
    "IsSelfWitnessed": false,
    "StepExecutorAgent": "close-pipeline",
    "SelfWitnessedStepKey": null,
    "UnbackedStepKey": null,
    "IsSelfWitnessedAndUnbacked": false,
    "IsUncorroboratedPass": false,
    "UncorroboratedPassStepKey": null,
    "ObserverIsNonHuman": false,
    "ObserverIsIndependentOfExecutor": true,
    "IsIndependentHumanObservation": true,
    "IndependentObservationExecutionKey": "exec-close-2026-q2",
    "ParentProcedureExecutionOfOutcome": "exec-close-2026-q2"
   },
   {
    "VerificationOutcomeId": "vo-close02",
    "StepExecution": "se-close02",
    "StepVerification": "verify-feed-time",
    "ObservedSignalValue": "17",
    "EvidenceUri": "evidence://erp/close/2026-q2/feed-age.json",
    "ObservedByAgent": "close-pipeline",
    "ObservedAt": "2026-07-19T09:22:00-05:00",
    "SemanticTypeIri": "urn:effortless:pko-extension#VerificationOutcome",
    "Name": "se-close02 / verify-feed-time",
    "ExpectedSignalValue": "15",
    "SignalIdentifier": "max-feed-age-minutes",
    "SignalMatchesExpected": false,
    "HasEvidence": true,
    "IsUnbackedObservation": false,
    "IsSelfWitnessed": true,
    "StepExecutorAgent": "close-pipeline",
    "SelfWitnessedStepKey": "se-close02",
    "UnbackedStepKey": null,
    "IsSelfWitnessedAndUnbacked": false,
    "IsUncorroboratedPass": false,
    "UncorroboratedPassStepKey": null,
    "ObserverIsNonHuman": true,
    "ObserverIsIndependentOfExecutor": false,
    "IsIndependentHumanObservation": false,
    "IndependentObservationExecutionKey": null,
    "ParentProcedureExecutionOfOutcome": "exec-close-2026-q2"
   },
   {
    "VerificationOutcomeId": "vo-close03",
    "StepExecution": "se-close03",
    "StepVerification": "verify-reconciliation",
    "ObservedSignalValue": "0",
    "EvidenceUri": "",
    "ObservedByAgent": "maria-chen",
    "ObservedAt": "2026-07-19T11:40:00-05:00",
    "SemanticTypeIri": "urn:effortless:pko-extension#VerificationOutcome",
    "Name": "se-close03 / verify-reconciliation",
    "ExpectedSignalValue": "0",
    "SignalIdentifier": "unexplained-material-variance",
    "SignalMatchesExpected": true,
    "HasEvidence": false,
    "IsUnbackedObservation": true,
    "IsSelfWitnessed": true,
    "StepExecutorAgent": "maria-chen",
    "SelfWitnessedStepKey": "se-close03",
    "UnbackedStepKey": "se-close03",
    "IsSelfWitnessedAndUnbacked": true,
    "IsUncorroboratedPass": true,
    "UncorroboratedPassStepKey": "se-close03",
    "ObserverIsNonHuman": false,
    "ObserverIsIndependentOfExecutor": false,
    "IsIndependentHumanObservation": false,
    "IndependentObservationExecutionKey": null,
    "ParentProcedureExecutionOfOutcome": "exec-close-2026-q2"
   },
   {
    "VerificationOutcomeId": "vo-close05",
    "StepExecution": "se-close05",
    "StepVerification": "verify-controller",
    "ObservedSignalValue": "APPROVED",
    "EvidenceUri": "evidence://erp/close/2026-q2/controller-approval.pdf",
    "ObservedByAgent": "devon-okafor",
    "ObservedAt": "2026-07-19T12:20:00-05:00",
    "SemanticTypeIri": "urn:effortless:pko-extension#VerificationOutcome",
    "Name": "se-close05 / verify-controller",
    "ExpectedSignalValue": "APPROVED",
    "SignalIdentifier": "controller-approval",
    "SignalMatchesExpected": true,
    "HasEvidence": true,
    "IsUnbackedObservation": false,
    "IsSelfWitnessed": true,
    "StepExecutorAgent": "devon-okafor",
    "SelfWitnessedStepKey": "se-close05",
    "UnbackedStepKey": null,
    "IsSelfWitnessedAndUnbacked": false,
    "IsUncorroboratedPass": false,
    "UncorroboratedPassStepKey": null,
    "ObserverIsNonHuman": false,
    "ObserverIsIndependentOfExecutor": false,
    "IsIndependentHumanObservation": false,
    "IndependentObservationExecutionKey": null,
    "ParentProcedureExecutionOfOutcome": "exec-close-2026-q2"
   }
  ]
 },
 "ObservedTransitions": {
  "Description": "The proxy above cannot tell a walked fallback from a happy-path step that happens to share an endpoint. PKO models Transition as a first-class thing; its execution counterpart is missing. Without a table that records WHICH transition a step execution arrived by, 'has this fallback ever been walked' is permanently unanswerable rather than merely unanswered. This is an extension (urn:effortless:pko-extension#ObservedTransition), not a native PKO term.",
  "schema": [
   {
    "name": "ObservedTransitionId",
    "datatype": "string",
    "type": "raw",
    "nullable": false,
    "Description": "Stored logical identifier for one ObservedTransitions row."
   },
   {
    "name": "Name",
    "datatype": "string",
    "type": "calculated",
    "nullable": true,
    "Description": "Human-readable calculated display alias.",
    "formula": "={{StepTransition}} &amp; \" @ \" &amp; {{ObservedAt}}"
   },
   {
    "name": "ProcedureExecution",
    "datatype": "string",
    "type": "relationship",
    "nullable": false,
    "Description": "The procedure execution during which this transition was traversed.",
    "RelatedTo": "ProcedureExecutions"
   },
   {
    "name": "StepTransition",
    "datatype": "string",
    "type": "relationship",
    "nullable": false,
    "Description": "The specification-level transition that was actually taken.",
    "RelatedTo": "StepTransitions"
   },
   {
    "name": "ArrivingStepExecution",
    "datatype": "string",
    "type": "relationship",
    "nullable": true,
    "Description": "The step execution that this traversal produced.",
    "RelatedTo": "StepExecutions"
   },
   {
    "name": "ObservedAt",
    "datatype": "datetime",
    "type": "raw",
    "nullable": true,
    "Description": "When the traversal occurred."
   },
   {
    "name": "TriggerReason",
    "datatype": "string",
    "type": "raw",
    "nullable": true,
    "Description": "Why this path rather than the default was taken."
   },
   {
    "name": "SemanticTypeIri",
    "datatype": "string",
    "type": "raw",
    "nullable": true,
    "Description": "Extension class IRI."
   }
  ],
  "data": [
   {
    "ObservedTransitionId": "obs-close-01-02-q2",
    "ProcedureExecution": "exec-close-2026-q2",
    "StepTransition": "close-01-to-close-02",
    "ArrivingStepExecution": "se-close02",
    "ObservedAt": "2026-06-30T17:04:00-05:00",
    "TriggerReason": "Default sequence",
    "SemanticTypeIri": "urn:effortless:pko-extension#ObservedTransition",
    "Name": "close-01-to-close-02 @ 2026-06-30T22:04:00+00:00"
   },
   {
    "ObservedTransitionId": "obs-close-02-03-q2",
    "ProcedureExecution": "exec-close-2026-q2",
    "StepTransition": "close-02-to-close-03",
    "ArrivingStepExecution": "se-close03",
    "ObservedAt": "2026-06-30T17:18:00-05:00",
    "TriggerReason": "Default sequence",
    "SemanticTypeIri": "urn:effortless:pko-extension#ObservedTransition",
    "Name": "close-02-to-close-03 @ 2026-06-30T22:18:00+00:00"
   },
   {
    "ObservedTransitionId": "obs-close-03-04-q2",
    "ProcedureExecution": "exec-close-2026-q2",
    "StepTransition": "close-03-to-close-04",
    "ArrivingStepExecution": "se-close04",
    "ObservedAt": "2026-07-01T12:15:00-05:00",
    "TriggerReason": "Default sequence",
    "SemanticTypeIri": "urn:effortless:pko-extension#ObservedTransition",
    "Name": "close-03-to-close-04 @ 2026-07-01T17:15:00+00:00"
   },
   {
    "ObservedTransitionId": "obs-close-04-05-q2",
    "ProcedureExecution": "exec-close-2026-q2",
    "StepTransition": "close-04-to-close-05",
    "ArrivingStepExecution": "se-close05",
    "ObservedAt": "2026-07-01T15:05:00-05:00",
    "TriggerReason": "Default sequence",
    "SemanticTypeIri": "urn:effortless:pko-extension#ObservedTransition",
    "Name": "close-04-to-close-05 @ 2026-07-01T20:05:00+00:00"
   },
   {
    "ObservedTransitionId": "obs-close-05-06-q2",
    "ProcedureExecution": "exec-close-2026-q2",
    "StepTransition": "close-05-to-close-06",
    "ArrivingStepExecution": "se-close06",
    "ObservedAt": "2026-07-02T09:00:00-05:00",
    "TriggerReason": "Default sequence",
    "SemanticTypeIri": "urn:effortless:pko-extension#ObservedTransition",
    "Name": "close-05-to-close-06 @ 2026-07-02T14:00:00+00:00"
   },
   {
    "ObservedTransitionId": "obs-close-06-07-q2",
    "ProcedureExecution": "exec-close-2026-q2",
    "StepTransition": "close-06-to-close-07",
    "ArrivingStepExecution": "se-close07",
    "ObservedAt": "2026-07-02T09:22:00-05:00",
    "TriggerReason": "Default sequence",
    "SemanticTypeIri": "urn:effortless:pko-extension#ObservedTransition",
    "Name": "close-06-to-close-07 @ 2026-07-02T14:22:00+00:00"
   },
   {
    "ObservedTransitionId": "obs-close-07-08-q2",
    "ProcedureExecution": "exec-close-2026-q2",
    "StepTransition": "close-07-to-close-08",
    "ArrivingStepExecution": "se-close08",
    "ObservedAt": "2026-07-02T14:00:00-05:00",
    "TriggerReason": "Default sequence",
    "SemanticTypeIri": "urn:effortless:pko-extension#ObservedTransition",
    "Name": "close-07-to-close-08 @ 2026-07-02T19:00:00+00:00"
   },
   {
    "ObservedTransitionId": "obs-policy-01-02-hr4821",
    "ProcedureExecution": "exec-policy-hr4821",
    "StepTransition": "policy-01-to-policy-02",
    "ArrivingStepExecution": "se-policy02",
    "ObservedAt": "2026-07-18T09:30:00-05:00",
    "TriggerReason": "Default sequence",
    "SemanticTypeIri": "urn:effortless:pko-extension#ObservedTransition",
    "Name": "policy-01-to-policy-02 @ 2026-07-18T14:30:00+00:00"
   },
   {
    "ObservedTransitionId": "obs-policy-02-03-hr4821",
    "ProcedureExecution": "exec-policy-hr4821",
    "StepTransition": "policy-02-to-policy-03",
    "ArrivingStepExecution": "se-policy03",
    "ObservedAt": "2026-07-18T13:00:00-05:00",
    "TriggerReason": "Default sequence",
    "SemanticTypeIri": "urn:effortless:pko-extension#ObservedTransition",
    "Name": "policy-02-to-policy-03 @ 2026-07-18T18:00:00+00:00"
   },
   {
    "ObservedTransitionId": "obs-policy-03-04-hr4821",
    "ProcedureExecut</t>
  </si>
  <si>
    <t xml:space="preserve">ion": "exec-policy-hr4821",
    "StepTransition": "policy-03-to-policy-04",
    "ArrivingStepExecution": "se-policy04",
    "ObservedAt": "2026-07-19T09:00:00-05:00",
    "TriggerReason": "Default sequence",
    "SemanticTypeIri": "urn:effortless:pko-extension#ObservedTransition",
    "Name": "policy-03-to-policy-04 @ 2026-07-19T14:00:00+00:00"
   }
  ]
 },
 "Recipients": {
  "Description": "Recipients (added by witness loop 1).",
  "schema": [
   {
    "name": "RecipientId",
    "datatype": "string",
    "type": "raw",
    "nullable": false,
    "Description": "Stored logical identifier for one Recipients row."
   },
   {
    "name": "Name",
    "datatype": "string",
    "type": "calculated",
    "nullable": true,
    "Description": "Human-readable calculated display alias for the Recipients row.",
    "formula": "={{DisplayName}}"
   },
   {
    "name": "DisplayName",
    "datatype": "string",
    "type": "raw",
    "nullable": true,
    "Description": "Employee display name as carried in the consent registry."
   },
   {
    "name": "Organization",
    "datatype": "string",
    "type": "relationship",
    "nullable": true,
    "Description": "Organization the recipient belongs to.",
    "RelatedTo": "Organizations"
   },
   {
    "name": "EmailAddress",
    "datatype": "string",
    "type": "raw",
    "nullable": true,
    "Description": "Corporate email address; empty string when the recipient has no valid corporate email."
   },
   {
    "name": "MobileNumber",
    "datatype": "string",
    "type": "raw",
    "nullable": true,
    "Description": "Mobile number in E.164 form; empty string when no mobile number is on file."
   },
   {
    "name": "SmsConsentStatus",
    "datatype": "string",
    "type": "raw",
    "nullable": true,
    "Description": "Consent state as observed in the consent registry: Granted, Revoked, or NeverGiven."
   },
   {
    "name": "SmsConsentAt",
    "datatype": "datetime",
    "type": "raw",
    "nullable": true,
    "Description": "Timestamp at which the current SMS consent state took effect."
   },
   {
    "name": "ConsentBinding",
    "datatype": "string",
    "type": "relationship",
    "nullable": true,
    "Description": "Operational binding through which this consent state was observed.",
    "RelatedTo": "OperationalBindings"
   },
   {
    "name": "HasSmsConsent",
    "datatype": "boolean",
    "type": "calculated",
    "nullable": true,
    "Description": "TRUE only when the recipient's SMS consent state is Granted.",
    "formula": "={{SmsConsentStatus}} = \"Granted\""
   },
   {
    "name": "IsEmailReachable",
    "datatype": "boolean",
    "type": "calculated",
    "nullable": true,
    "Description": "TRUE when a corporate email address is on file for this recipient.",
    "formula": "={{EmailAddress}} &lt;&gt; \"\""
   },
   {
    "name": "IsSmsReachable",
    "datatype": "boolean",
    "type": "calculated",
    "nullable": true,
    "Description": "TRUE when a mobile number is on file for this recipient.",
    "formula": "={{MobileNumber}} &lt;&gt; \"\""
   },
   {
    "name": "IsUnreachable",
    "datatype": "boolean",
    "type": "calculated",
    "nullable": true,
    "Description": "TRUE when the recipient has neither an email address nor a mobile number -- the exc-unreachable trigger condition.",
    "formula": "=AND(NOT({{IsEmailReachable}}), NOT({{IsSmsReachable}}))"
   },
   {
    "name": "IsCommunicationallyStranded",
    "datatype": "boolean",
    "type": "calculated",
    "nullable": true,
    "Description": "TRUE when every channel we hold for this person is either non-consenting or unreachable, so no lawful route exists at all.",
    "formula": "=AND(NOT({{IsSmsReachable}}), NOT({{IsEmailReachable}}))"
   },
   {
    "name": "SemanticTypeIri",
    "datatype": "string",
    "type": "raw",
    "nullable": true,
    "Description": "Extension IRI; recipients are not a PKO 2.0.0 native class.",
    "RelatedTo": null
   }
  ],
  "data": [
   {
    "RecipientId": "rec-001",
    "DisplayName": "Jordan Ellis",
    "Organization": "acme-corp",
    "EmailAddress": "jordan.ellis@example.com",
    "MobileNumber": "+15551000001",
    "SmsConsentStatus": "Granted",
    "SmsConsentAt": "2026-05-02T10:00:00-05:00",
    "ConsentBinding": "bind-policy-consent",
    "SemanticTypeIri": "urn:effortless:pko-extension#Recipient",
    "Name": "Jordan Ellis",
    "HasSmsConsent": true,
    "IsEmailReachable": true,
    "IsSmsReachable": true,
    "IsUnreachable": false,
    "IsCommunicationallyStranded": false
   },
   {
    "RecipientId": "rec-002",
    "DisplayName": "Sam Rivera",
    "Organization": "acme-corp",
    "EmailAddress": "sam.rivera@example.com",
    "MobileNumber": "+15551000002",
    "SmsConsentStatus": "Granted",
    "SmsConsentAt": "2026-05-04T14:30:00-05:00",
    "ConsentBinding": "bind-policy-consent",
    "SemanticTypeIri": "urn:effortless:pko-extension#Recipient",
    "Name": "Sam Rivera",
    "HasSmsConsent": true,
    "IsEmailReachable": true,
    "IsSmsReachable": true,
    "IsUnreachable": false,
    "IsCommunicationallyStranded": false
   },
   {
    "RecipientId": "rec-003",
    "DisplayName": "Alex Kim",
    "Organization": "acme-corp",
    "EmailAddress": "alex.kim@example.com",
    "MobileNumber": "+15551000003",
    "SmsConsentStatus": "Granted",
    "SmsConsentAt": "2026-07-19T09:15:00-05:00",
    "ConsentBinding": "bind-policy-consent",
    "SemanticTypeIri": "urn:effortless:pko-extension#Recipient",
    "Name": "Alex Kim",
    "HasSmsConsent": true,
    "IsEmailReachable": true,
    "IsSmsReachable": true,
    "IsUnreachable": false,
    "IsCommunicationallyStranded": false
   },
   {
    "RecipientId": "rec-004",
    "DisplayName": "Riley Chen",
    "Organization": "acme-corp",
    "EmailAddress": "riley.chen@example.com",
    "MobileNumber": "+15551000004",
    "SmsConsentStatus": "Revoked",
    "SmsConsentAt": "2026-06-15T09:00:00-05:00",
    "ConsentBinding": "bind-policy-consent",
    "SemanticTypeIri": "urn:effortless:pko-extension#Recipient",
    "Name": "Riley Chen",
    "HasSmsConsent": false,
    "IsEmailReachable": true,
    "IsSmsReachable": true,
    "IsUnreachable": false,
    "IsCommunicationallyStranded": false
   },
   {
    "RecipientId": "rec-005",
    "DisplayName": "Morgan Diaz",
    "Organization": "acme-corp",
    "EmailAddress": "morgan.diaz@example.com",
    "MobileNumber": null,
    "SmsConsentStatus": "NeverGranted",
    "SmsConsentAt": null,
    "ConsentBinding": "bind-policy-consent",
    "SemanticTypeIri": "urn:effortless:pko-extension#Recipient",
    "Name": "Morgan Diaz",
    "HasSmsConsent": false,
    "IsEmailReachable": true,
    "IsSmsReachable": false,
    "IsUnreachable": false,
    "IsCommunicationallyStranded": false
   }
  ]
 },
 "MessageDeliveries": {
  "Description": "MessageDeliveries (added by witness loop 1).",
  "schema": [
   {
    "name": "MessageDeliveryId",
    "datatype": "string",
    "type": "raw",
    "nullable": false,
    "Description": "Stored logical identifier for one MessageDeliveries row."
   },
   {
    "name": "Name",
    "datatype": "string",
    "type": "calculated",
    "nullable": true,
    "Description": "Human-readable calculated display alias for the MessageDeliveries row.",
    "formula": "={{Recipient}} &amp; \" / \" &amp; {{MessageTemplate}} &amp; \" / \" &amp; {{SentAt}}"
   },
   {
    "name": "ProcedureExecution",
    "datatype": "string",
    "type": "relationship",
    "nullable": true,
    "Description": "The procedure execution this send was performed under.",
    "RelatedTo": "ProcedureExecutions"
   },
   {
    "name": "StepExecution",
    "datatype": "string",
    "type": "relationship",
    "nullable": true,
    "Description": "The step execution that performed the send.",
    "RelatedTo": "StepExecutions"
   },
   {
    "name": "Recipient",
    "datatype": "string",
    "type": "relationship",
    "nullable": true,
    "Description": "Who the message was sent to.",
    "RelatedTo": "Recipients"
   },
   {
    "name": "MessageTemplate",
    "datatype": "string",
    "type": "relationship",
    "nullable": true,
    "Description": "Template that was rendered for this send.",
    "RelatedTo": "MessageTemplates"
   },
   {
    "name": "SentByAgent",
    "datatype": "string",
    "type": "relationship",
    "nullable": true,
    "Description": "Agent that performed the send.",
    "RelatedTo": "Agents"
   },
   {
    "name": "RenderedBody",
    "datatype": "string",
    "type": "raw",
    "nullable": true,
    "Description": "The exact body text that was transmitted, after variable substitution."
   },
   {
    "name": "SentAt",
    "datatype": "datetime",
    "type": "raw",
    "nullable": true,
    "Description": "Transmission timestamp."
   },
   {
    "name": "SentAtLocalHour",
    "datatype": "integer",
    "type": "raw",
    "nullable": true,
    "Description": "Hour of day 0-23 in the RECIPIENT's local timezone at transmission. Stored raw because recipient-local time is what the quiet-hours rule is written against and it is not derivable from SentAt alone."
   },
   {
    "name": "DeliveryStatus",
    "datatype": "string",
    "type": "raw",
    "nullable": true,
    "Description": "Sent, Delivered, Failed, Suppressed, or Bounced."
   },
   {
    "name": "SuppressionReason",
    "datatype": "string",
    "type": "raw",
    "nullable": true,
    "Description": "When DeliveryStatus is Suppressed, why; empty string otherwise."
   },
   {
    "name": "InvokedException",
    "datatype": "string",
    "type": "relationship",
    "nullable": true,
    "Description": "Documented exception invoked for this delivery, when one was.",
    "RelatedTo": "Exceptions"
   },
   {
    "name": "AcknowledgedAt",
    "datatype": "datetime",
    "type": "raw",
    "nullable": true,
    "Description": "When the recipient acknowledged; null when not acknowledged."
   },
   {
    "name": "PolicyChannel",
    "datatype": "string",
    "type": "lookup",
    "nullable": true,
    "Description": "The communication policy governing the template that was sent.",
    "formula": "=INDEX(MessageTemplates!{{CommunicationPolicy}}, MATCH({{MessageTemplate}}, MessageTemplates!{{MessageTemplateId}}, 0))"
   },
   {
    "name": "ChannelName",
    "datatype": "string",
    "type": "lookup",
    "nullable": true,
    "Description": "Channel (Email, SMS) of the policy this delivery went out under.",
    "formula": "=INDEX(CommunicationPolicies!{{Channel}}, MATCH({{PolicyChannel}}, CommunicationPolicies!{{CommunicationPolicyId}}, 0))"
   },
   {
    "name": "PolicyRequiresConsent",
    "datatype": "boolean",
    "type": "lookup",
    "nullable": true,
    "Description": "Whether the governing policy requires active consent for this channel.",
    "formula": "=INDEX(CommunicationPolicies!{{ConsentRequired}}, MATCH({{PolicyChannel}}, CommunicationPolicies!{{CommunicationPolicyId}}, 0))"
   },
   {
    "name": "RecipientHasSmsConsent",
    "datatype": "boolean",
    "type": "lookup",
    "nullable": true,
    "Description": "Whether the recipient of this delivery had SMS consent on file.",
    "formula": "=INDEX(Recipients!{{HasSmsConsent}}, MATCH({{Recipient}}, Recipients!{{RecipientId}}, 0))"
   },
   {
    "name": "WasActuallyTransmitted",
    "datatype": "boolean",
    "type": "calculated",
    "nullable": true,
    "Description": "TRUE when the message actually left our systems. Suppressed and Failed messages never reached the carrier.",
    "formula": "=OR({{DeliveryStatus}} = \"Sent\", OR({{DeliveryStatus}} = \"Delivered\", {{DeliveryStatus}} = \"Bounced\"))"
   },
   {
    "name": "IsConsentViolation",
    "datatype": "boolean",
    "type": "calculated",
    "nullable": true,
    "Description": "TRUE when a message was actually transmitted on a consent-required channel to a recipient without consent. This is the TCPA witness.",
    "formula": "=AND({{WasActuallyTransmitted}}, AND({{PolicyRequiresConsent}}, NOT({{RecipientHasSmsConsent}})))"
   },
   {
    "name": "ConsentViolationPolicyKey",
    "datatype": "string",
    "type": "calculated",
    "nullable": true,
    "Description": "Carries the policy id only on rows that are consent violations; empty string otherwise.",
    "formula": "=IF({{IsConsentViolation}}, {{PolicyChannel}}, \"\")"
   },
   {
    "name": "PolicyQuietHoursStartHour",
    "datatype": "integer",
    "type": "lookup",
    "nullable": true,
    "Description": "Quiet-hours start hour (0-23) from the governing policy.",
    "formula": "=INDEX(CommunicationPolicies!{{QuietHoursStartHour}}, MATCH({{PolicyChannel}}, CommunicationPolicies!{{CommunicationPolicyId}}, 0))"
   },
   {
    "name": "PolicyQuietHoursEndHour",
    "datatype": "integer",
    "type": "lookup",
    "nullable": true,
    "Description": "Quiet-hours end hour (0-23) from the governing policy.",
    "formula": "=INDEX(CommunicationPolicies!{{QuietHoursEndHour}}, MATCH({{PolicyChannel}}, CommunicationPolicies!{{CommunicationPolicyId}}, 0))"
   },
   {
    "name": "PolicyHasQuietHours",
    "datatype": "boolean",
    "type": "calculated",
    "nullable": true,
    "Description": "TRUE when the governing policy actually declares a quiet-hours window. comm-email-policy has 00:00-00:00, meaning no window.",
    "formula": "={{PolicyQuietHoursStartHour}} &lt;&gt; {{PolicyQuietHoursEndHour}}"
   },
   {
    "name": "QuietWindowWrapsMidnight",
    "datatype": "boolean",
    "type": "calculated",
    "nullable": true,
    "Description": "TRUE when the quiet window crosses midnight (20:00 -&gt; 08:00 does).",
    "formula": "={{PolicyQuietHoursStartHour}} &gt; {{PolicyQuietHoursEndHour}}"
   },
   {
    "name": "IsInsideQuietWindow",
    "datatype": "boolean",
    "type": "calculated",
    "nullable": true,
    "Description": "TRUE when the recipient-local send hour falls inside the declared quiet window, handling the midnight wrap correctly.",
    "formula": "=IF({{QuietWindowWrapsMidnight}}, OR({{SentAtLocalHour}} &gt;= {{PolicyQuietHoursStartHour}}, {{SentAtLocalHour}} &lt; {{PolicyQuietHoursEndHour}}), AND({{SentAtLocalHour}} &gt;= {{PolicyQuietHoursStartHour}}, {{SentAtLocalHour}} &lt; {{PolicyQuietHoursEndHour}}))"
   },
   {
    "name": "IsQuietHoursViolation",
    "datatype": "boolean",
    "type": "calculated",
    "nullable": true,
    "Description": "TRUE when a message was actually transmitted inside a declared quiet-hours window. The quiet-hours witness.",
    "formula": "=AND({{WasActuallyTransmitted}}, AND({{PolicyHasQuietHours}}, {{IsInsideQuietWindow}}))"
   },
   {
    "name": "QuietHoursViolationPolicyKey",
    "datatype": "string",
    "type": "calculated",
    "nullable": true,
    "Description": "Carries the policy id only on quiet-hours violations; empty string otherwise.",
    "formula": "=IF({{IsQuietHoursViolation}}, {{PolicyChannel}}, \"\")"
   },
   {
    "name": "RecipientIsUnreachable",
    "datatype": "boolean",
    "type": "lookup",
    "nullable": true,
    "Description": "Whether the recipient has neither email nor mobile on file -- the exc-unreachable trigger.",
    "formula": "=INDEX(Recipients!{{IsUnreachable}}, MATCH({{Recipient}}, Recipients!{{RecipientId}}, 0))"
   },
   {
    "name": "IsAcknowledged",
    "datatype": "boolean",
    "type": "calculated",
    "nullable": true,
    "Description": "TRUE when an acknowledgement timestamp is recorded for this delivery.",
    "formula": "={{AcknowledgedAt}} &lt;&gt; \"\""
   },
   {
    "name": "InvokedExceptionCondition",
    "datatype": "string",
    "type": "lookup",
    "nullable": true,
    "Description": "The documented condition of the exception invoked on this delivery, if any.",
    "formula": "=INDEX(Exceptions!{{Condition}}, MATCH({{InvokedException}}, Exceptions!{{ExceptionId}}, 0))"
   },
   {
    "name": "HasUnreachableExceptionInvoked",
    "datatype": "boolean",
    "type": "calculated",
    "nullable": true,
    "Description": "TRUE when the documented unreachable-recipient exception was formally invoked on this delivery.",
    "formula": "={{InvokedException}} = \"exc-unreachable\""
   },
   {
    "name": "IsFabricatedAcknowledgement",
    "datatype": "boolean",
    "type": "calculated",
    "nullable": true,
    "Description": "TRUE when an acknowledgement is recorded for a recipient we could not reach. This is the misrepresentation witness.",
    "formula": "=AND({{RecipientIsUnreachable}}, {{IsAcknowledged}})"
   },
   {
    "name": "IsUnhandledUnreachable",
    "datatype": "boolean",
    "type": "calculated",
    "nullable": true,
    "Description": "TRUE when a recipient was unreachable but no documented exception was invoked -- the case fell on the floor silently.",
    "formula": "=AND({{RecipientIsUnreachable}}, NOT({{HasUnreachableExceptionInvoked}}))"
   },
   {
    "name": "UnreachableFailureKey",
    "datatype": "string",
    "type": "calculated",
    "nullable": true,
    "Description": "Carries the execution id on any unreachable-handling failure; empty string otherwise.",
    "formula": "=IF(OR({{IsFabricatedAcknowledgement}}, {{IsUnhandledUnreachable}}), {{ProcedureExecution}}, \"\")"
   },
   {
    "name": "PolicyRetentionDays",
    "datatype": "integer",
    "type": "lookup",
    "nullable": true,
    "Description": "Retention commitment in days inherited from the governing channel policy.",
    "formula": "=INDEX(CommunicationPolicies!{{RetentionDays}}, MATCH({{PolicyChannel}}, CommunicationPolicies!{{CommunicationPolicyId}}, 0))"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"AgeDays",
    "datatype": "integer",
    "type": "calculated",
    "nullable": true,
    "Description": "Days elapsed since transmission.",
    "formula": "=DATETIME_DIFF({{AsOfInstant}}, {{SentAt}}, \"days\")"
   },
   {
    "name": "IsWithinRetentionWindow",
    "datatype": "boolean",
    "type": "calculated",
    "nullable": true,
    "Description": "TRUE while this delivery is still inside its committed retention period.",
    "formula": "={{AgeDays}} &lt;= {{PolicyRetentionDays}}"
   },
   {
    "name": "HasRenderedBody",
    "datatype": "boolean",
    "type": "calculated",
    "nullable": true,
    "Description": "TRUE when the exact transmitted text is still held on this record.",
    "formula": "={{RenderedBody}} &lt;&gt; \"\""
   },
   {
    "name": "IsEvidenceRequired",
    "datatype": "boolean",
    "type": "calculated",
    "nullable": true,
    "Description": "TRUE when we are still obliged to hold this message's text.",
    "formula": "=AND({{WasActuallyTransmitted}}, {{IsWithinRetentionWindow}})"
   },
   {
    "name": "IsRetentionBreach",
    "datatype": "boolean",
    "type": "calculated",
    "nullable": true,
    "Description": "TRUE when we are obliged to hold the message text and do not. The evidentiary-gap witness.",
    "formula": "=AND({{IsEvidenceRequired}}, NOT({{HasRenderedBody}}))"
   },
   {
    "name": "RetentionBreachExecutionKey",
    "datatype": "string",
    "type": "calculated",
    "nullable": true,
    "Description": "Carries the execution id on retention breaches; empty string otherwise.",
    "formula": "=IF({{IsRetentionBreach}}, {{ProcedureExecution}}, \"\")"
   },
   {
    "name": "SendingStepExecutionStep",
    "datatype": "string",
    "type": "lookup",
    "nullable": true,
    "Description": "Which procedure step this delivery was performed under.",
    "formula": "=INDEX(StepExecutions!{{Step}}, MATCH({{StepExecution}}, StepExecutions!{{StepExecutionId}}, 0))"
   },
   {
    "name": "ExecutionHasClearedLegalReview",
    "datatype": "boolean",
    "type": "lookup",
    "nullable": true,
    "Description": "Whether legal review had passed for the execution this delivery belongs to.",
    "formula": "=INDEX(ProcedureExecutions!{{HasClearedLegalReview}}, MATCH({{ProcedureExecution}}, ProcedureExecutions!{{ProcedureExecutionId}}, 0))"
   },
   {
    "name": "IsUnreviewedSend",
    "datatype": "boolean",
    "type": "calculated",
    "nullable": true,
    "Description": "TRUE when a message was transmitted under an execution whose legal review had not passed. The ungated-send witness.",
    "formula": "=AND({{WasActuallyTransmitted}}, NOT({{ExecutionHasClearedLegalReview}}))"
   },
   {
    "name": "RenderedBodyLength",
    "datatype": "integer",
    "type": "calculated",
    "nullable": true,
    "Description": "Character length of the exact text that was actually transmitted.",
    "formula": "=LEN({{RenderedBody}})"
   },
   {
    "name": "PolicyMaxMessageLengthAtSend",
    "datatype": "integer",
    "type": "lookup",
    "nullable": true,
    "Description": "The per-segment limit that governed this specific send.",
    "formula": "=INDEX(CommunicationPolicies!{{MaxMessageLength}}, MATCH({{PolicyChannel}}, CommunicationPolicies!{{CommunicationPolicyId}}, 0))"
   },
   {
    "name": "SegmentCount",
    "datatype": "integer",
    "type": "calculated",
    "nullable": true,
    "Description": "How many channel segments the transmitted text occupied.",
    "formula": "=IF({{RenderedBodyLength}} = 0, 0, IF({{RenderedBodyLength}} &lt;= {{PolicyMaxMessageLengthAtSend}}, 1, ROUNDUP({{RenderedBodyLength}} / {{PolicyMaxMessageLengthAtSend}}, 0)))"
   },
   {
    "name": "PolicyMaxSegmentsAtSend",
    "datatype": "integer",
    "type": "lookup",
    "nullable": true,
    "Description": "The segment ceiling that governed this specific send.",
    "formula": "=INDEX(CommunicationPolicies!{{MaxSegments}}, MATCH({{PolicyChannel}}, CommunicationPolicies!{{CommunicationPolicyId}}, 0))"
   },
   {
    "name": "IsOverSegmentLimit",
    "datatype": "boolean",
    "type": "calculated",
    "nullable": true,
    "Description": "TRUE when a transmitted message split into more segments than the policy permits. The oversize witness.",
    "formula": "=AND({{WasActuallyTransmitted}}, {{SegmentCount}} &gt; {{PolicyMaxSegmentsAtSend}})"
   },
   {
    "name": "TemplateHasValidApproval",
    "datatype": "boolean",
    "type": "lookup",
    "nullable": true,
    "Description": "Whether the template used for this delivery had a properly-authorized approval.",
    "formula": "=INDEX(MessageTemplates!{{HasValidApproval}}, MATCH({{MessageTemplate}}, MessageTemplates!{{MessageTemplateId}}, 0))"
   },
   {
    "name": "IsUnapprovedSend",
    "datatype": "boolean",
    "type": "calculated",
    "nullable": true,
    "Description": "TRUE when a message was transmitted using a template with no valid approval behind it.",
    "formula": "=AND({{WasActuallyTransmitted}}, NOT({{TemplateHasValidApproval}}))"
   },
   {
    "name": "PolicyRequiredOptOutPhrase",
    "datatype": "string",
    "type": "lookup",
    "nullable": true,
    "Description": "The opt-out phrase required for this delivery's channel.",
    "formula": "=INDEX(CommunicationPolicies!{{RequiredOptOutPhrase}}, MATCH({{PolicyChannel}}, CommunicationPolicies!{{CommunicationPolicyId}}, 0))"
   },
   {
    "name": "PolicyRequiresOptOut",
    "datatype": "boolean",
    "type": "calculated",
    "nullable": true,
    "Description": "TRUE when the governing channel policy declares a required opt-out phrase at all.",
    "formula": "={{PolicyRequiredOptOutPhrase}} &lt;&gt; \"\""
   },
   {
    "name": "OptOutPhrasePosition",
    "datatype": "integer",
    "type": "calculated",
    "nullable": true,
    "Description": "Character position at which the required opt-out phrase appears in the transmitted text; 0 when absent.",
    "formula": "=FIND({{PolicyRequiredOptOutPhrase}}, {{RenderedBody}})"
   },
   {
    "name": "HasOptOutPhrase",
    "datatype": "boolean",
    "type": "calculated",
    "nullable": true,
    "Description": "TRUE when the required opt-out phrase appears anywhere in the transmitted text.",
    "formula": "={{OptOutPhrasePosition}} &gt; 0"
   },
   {
    "name": "IsOptOutInFirstSegment",
    "datatype": "boolean",
    "type": "calculated",
    "nullable": true,
    "Description": "TRUE when the opt-out phrase falls inside the first segment, where it is guaranteed to be read.",
    "formula": "=AND({{HasOptOutPhrase}}, {{OptOutPhrasePosition}} &lt;= {{PolicyMaxMessageLengthAtSend}})"
   },
   {
    "name": "IsMissingRequiredOptOut",
    "datatype": "boolean",
    "type": "calculated",
    "nullable": true,
    "Description": "TRUE when a transmitted message on an opt-out-required channel did not contain the phrase at all. The hard witness.",
    "formula": "=AND({{WasActuallyTransmitted}}, AND({{PolicyRequiresOptOut}}, NOT({{HasOptOutPhrase}})))"
   },
   {
    "name": "IsOptOutAtRiskOfTruncation",
    "datatype": "boolean",
    "type": "calculated",
    "nullable": true,
    "Description": "TRUE when the opt-out phrase is present but sits beyond the first segment, where carrier truncation or out-of-order delivery can hide it. The soft witness.",
    "formula": "=AND({{WasActuallyTransmitted}}, AND({{PolicyRequiresOptOut}}, AND({{HasOptOutPhrase}}, NOT({{IsOptOutInFirstSegment}}))))"
   },
   {
    "name": "IsFailedDelivery",
    "datatype": "boolean",
    "type": "calculated",
    "nullable": true,
    "Description": "TRUE when the message left our systems but did not land.",
    "formula": "=OR({{DeliveryStatus}} = \"Failed\", {{DeliveryStatus}} = \"Bounced\")"
   },
   {
    "name": "IsSuppressed",
    "datatype": "boolean",
    "type": "calculated",
    "nullable": true,
    "Description": "TRUE when we deliberately chose not to transmit.",
    "formula": "={{DeliveryStatus}} = \"Suppressed\""
   },
   {
    "name": "IsTriaged",
    "datatype": "boolean",
    "type": "calculated",
    "nullable": true,
    "Description": "TRUE when some documented exception was formally invoked on this delivery -- i.e. a human or a rule picked it up.",
    "formula": "={{InvokedException}} &lt;&gt; \"\""
   },
   {
    "name": "IsAbandonedFailure",
    "datatype": "boolean",
    "type": "calculated",
    "nullable": true,
    "Description": "TRUE when a delivery failed and no documented exception was invoked. The abandoned-bounce witness.",
    "formula": "=AND({{IsFailedDelivery}}, NOT({{IsTriaged}}))"
   },
   {
    "name": "AbandonedFailureExecutionKey",
    "datatype": "string",
    "type": "calculated",
    "nullable": true,
    "Description": "Carries the execution id on abandoned failures; empty string otherwise.",
    "formula": "=IF({{IsAbandonedFailure}}, {{ProcedureExecution}}, \"\")"
   },
   {
    "name": "ReachedExecutionKey",
    "datatype": "string",
    "type": "calculated",
    "nullable": true,
    "Description": "Carries the execution id on confirmed-delivered messages; empty string otherwise.",
    "formula": "=IF({{DeliveryStatus}} = \"Delivered\", {{ProcedureExecution}}, \"\")"
   },
   {
    "name": "TemplateWasSendable",
    "datatype": "boolean",
    "type": "lookup",
    "nullable": true,
    "Description": "Whether the template used for this delivery was fully sendable under a current, matching approval.",
    "formula": "=INDEX(MessageTemplates!{{IsSendableUnderApproval}}, MATCH({{MessageTemplate}}, MessageTemplates!{{MessageTemplateId}}, 0))"
   },
   {
    "name": "IsDriftedSend",
    "datatype": "boolean",
    "type": "calculated",
    "nullable": true,
    "Description": "TRUE when a message was transmitted from a template that was not validly sendable at the time. The drift witness.",
    "formula": "=AND({{WasActuallyTransmitted}}, NOT({{TemplateWasSendable}}))"
   },
   {
    "name": "DriftedSendTemplateKey",
    "datatype": "string",
    "type": "calculated",
    "nullable": true,
    "Description": "Carries the template id on drifted sends; empty string otherwise.",
    "formula": "=IF({{IsDriftedSend}}, {{MessageTemplate}}, \"\")"
   },
   {
    "name": "WasSentOutsideBusinessHours",
    "datatype": "boolean",
    "type": "calculated",
    "nullable": true,
    "Description": "TRUE when this message landed before 08:00 or after 18:00 in the recipient's local time.",
    "formula": "=OR({{SentAtLocalHour}} &lt; 8, {{SentAtLocalHour}} &gt; 18)"
   },
   {
    "name": "WasDeliveredAndUnanswered",
    "datatype": "boolean",
    "type": "calculated",
    "nullable": true,
    "Description": "TRUE when a message actually reached someone and no acknowledgement came back.",
    "formula": "=AND({{WasActuallyTransmitted}}, NOT({{IsAcknowledged}}))"
   },
   {
    "name": "IsPoorlyTimedUnanswered",
    "datatype": "boolean",
    "type": "calculated",
    "nullable": true,
    "Description": "TRUE when an unanswered message was delivered outside business hours -- a timing hypothesis for the silence.",
    "formula": "=AND({{WasDeliveredAndUnanswered}}, {{WasSentOutsideBusinessHours}})"
   },
   {
    "name": "IsWellTimedUnanswered",
    "datatype": "boolean",
    "type": "calculated",
    "nullable": true,
    "Description": "TRUE when a message was delivered at a reasonable hour and still drew no response.",
    "formula": "=AND({{WasDeliveredAndUnanswered}}, NOT({{WasSentOutsideBusinessHours}}))"
   },
   {
    "name": "UnansweredTemplateKey",
    "datatype": "string",
    "type": "calculated",
    "nullable": true,
    "Description": "The template id when this delivery went unanswered, otherwise empty string.",
    "formula": "=IF({{WasDeliveredAndUnanswered}}, {{MessageTemplate}}, \"\")"
   },
   {
    "name": "TransmittedTemplateKey",
    "datatype": "string",
    "type": "calculated",
    "nullable": true,
    "Description": "The template id when this delivery actually reached someone.",
    "formula": "=IF({{WasActuallyTransmitted}}, {{MessageTemplate}}, \"\")"
   },
   {
    "name": "ApprovingAgentAtSend",
    "datatype": "string",
    "type": "raw",
    "nullable": true,
    "Description": "The agent whose approval authorized this specific transmission, frozen at send time."
   },
   {
    "name": "ApprovingRoleAtSend",
    "datatype": "string",
    "type": "raw",
    "nullable": true,
    "Description": "The role that agent held when they approved, frozen at send time."
   },
   {
    "name": "ApprovalDecidedAtSend",
    "datatype": "datetime",
    "type": "raw",
    "nullable": true,
    "Description": "When the relied-upon approval was granted, frozen at send time."
   },
   {
    "name": "ApprovalPrecededSend",
    "datatype": "boolean",
    "type": "calculated",
    "nullable": true,
    "Description": "TRUE when the approval we relied on was granted before the message went out.",
    "formula": "=AND({{ApprovalDecidedAtSend}} &lt;&gt; \"\", {{SentAt}} &gt; {{ApprovalDecidedAtSend}})"
   },
   {
    "name": "HasFrozenApprovalEvidence",
    "datatype": "boolean",
    "type": "calculated",
    "nullable": true,
    "Description": "TRUE when this delivery carries a complete frozen record of who authorized it and when.",
    "formula": "=AND({{ApprovingAgentAtSend}} &lt;&gt; \"\", {{ApprovalDecidedAtSend}} &lt;&gt; \"\")"
   },
   {
    "name": "ProvenanceIsLiveDerived",
    "datatype": "boolean",
    "type": "calculated",
    "nullable": true,
    "Description": "TRUE when we have no frozen evidence and the only available answer comes from recomputing against today's template state.",
    "formula": "=NOT({{HasFrozenApprovalEvidence}})"
   },
   {
    "name": "CurrentLastApprovalAt",
    "datatype": "datetime",
    "type": "lookup",
    "nullable": true,
    "Description": "The template's most recent approval time as it stands NOW, for comparison against what was approved at send.",
    "formula": "=INDEX(MessageTemplates!{{LastApprovalAt}}, MATCH({{MessageTemplate}}, MessageTemplates!{{MessageTemplateId}}, 0))"
   },
   {
    "name": "TemplateReapprovedSinceSend",
    "datatype": "boolean",
    "type": "calculated",
    "nullable": true,
    "Description": "TRUE when the template has picked up a newer approval since this message was transmitted.",
    "formula": "=AND({{CurrentLastApprovalAt}} &lt;&gt; \"\", {{CurrentLastApprovalAt}} &gt; {{SentAt}})"
   },
   {
    "name": "IsUnprovableApprovalClaim",
    "datatype": "boolean",
    "type": "calculated",
    "nullable": true,
    "Description": "TRUE when we assert this send was approved, hold no frozen evidence, and the template has been re-approved since. The claim cannot be substantiated from the record.",
    "formula": "=AND({{ProvenanceIsLiveDerived}}, AND({{TemplateReapprovedSinceSend}}, {{TemplateHasValidApproval}}))"
   },
   {
    "name": </t>
  </si>
  <si>
    <t xml:space="preserve">"ReminderSentAt",
    "datatype": "datetime",
    "type": "raw",
    "nullable": true,
    "Description": "When I sent a follow-up reminder about this unacknowledged message. Empty when I never did."
   },
   {
    "name": "ReminderCount",
    "datatype": "integer",
    "type": "raw",
    "nullable": true,
    "Description": "How many reminders I have sent for this delivery."
   },
   {
    "name": "HasSentReminder",
    "datatype": "boolean",
    "type": "calculated",
    "nullable": true,
    "Description": "TRUE when at least one reminder went out for this delivery.",
    "formula": "={{ReminderCount}} &gt; 0"
   },
   {
    "name": "AcknowledgementIsOutstanding",
    "datatype": "boolean",
    "type": "calculated",
    "nullable": true,
    "Description": "TRUE when a message actually reached someone, carried an acknowledgement obligation, and has not been acknowledged.",
    "formula": "=AND({{WasActuallyTransmitted}}, AND({{IsEvidenceRequired}}, NOT({{IsAcknowledged}})))"
   },
   {
    "name": "OutstandingAgeDays",
    "datatype": "integer",
    "type": "calculated",
    "nullable": true,
    "Description": "How long this acknowledgement has been outstanding.",
    "formula": "=IF({{AcknowledgementIsOutstanding}}, DATETIME_DIFF({{AsOfInstant}}, {{SentAt}}, \"days\"), 0)"
   },
   {
    "name": "IsUnchasedAcknowledgement",
    "datatype": "boolean",
    "type": "calculated",
    "nullable": true,
    "Description": "TRUE when an acknowledgement has been outstanding for more than 7 days and I have never sent a reminder.",
    "formula": "=AND({{AcknowledgementIsOutstanding}}, AND({{OutstandingAgeDays}} &gt; 7, NOT({{HasSentReminder}})))"
   },
   {
    "name": "IsExhaustedFollowUp",
    "datatype": "boolean",
    "type": "calculated",
    "nullable": true,
    "Description": "TRUE when I have sent three or more reminders and still have no acknowledgement -- the point at which this stops being my work and becomes a human escalation.",
    "formula": "=AND({{AcknowledgementIsOutstanding}}, {{ReminderCount}} &gt;= 3)"
   },
   {
    "name": "NeedsHumanEscalation",
    "datatype": "boolean",
    "type": "calculated",
    "nullable": true,
    "Description": "TRUE when follow-up is exhausted and no exception has been invoked to close out the obligation.",
    "formula": "=AND({{IsExhaustedFollowUp}}, NOT({{HasUnreachableExceptionInvoked}}))"
   },
   {
    "name": "SemanticTypeIri",
    "datatype": "string",
    "type": "raw",
    "nullable": true,
    "Description": "Extension IRI; per-recipient delivery events are not a PKO 2.0.0 native class."
   }
  ],
  "data": [
   {
    "MessageDeliveryId": "md-001",
    "ProcedureExecution": "exec-policy-hr4821",
    "StepExecution": "se-policy04",
    "Recipient": "rec-001",
    "MessageTemplate": "tmpl-policy-email",
    "SentByAgent": "notification-pipeline",
    "RenderedBody": "Policy HR-4821 update. Review the notice and acknowledge: https://example.com/hr4821 Reply STOP to opt out.",
    "SentAt": "2026-07-18T14:05:00-05:00",
    "SentAtLocalHour": 14,
    "DeliveryStatus": "Delivered",
    "SuppressionReason": null,
    "InvokedException": null,
    "AcknowledgedAt": "2026-07-18T15:20:00-05:00",
    "SemanticTypeIri": "urn:effortless:pko-extension#MessageDelivery",
    "EvaluationContext": "eval-current",
    "Name": "rec-001 / tmpl-policy-email / 2026-07-18T19:05:00+00:00",
    "PolicyChannel": "comm-email-policy",
    "ChannelName": "Email",
    "PolicyRequiresConsent": false,
    "RecipientHasSmsConsent": true,
    "WasActuallyTransmitted": true,
    "IsConsentViolation": false,
    "ConsentViolationPolicyKey": null,
    "PolicyQuietHoursStartHour": 0,
    "PolicyQuietHoursEndHour": 0,
    "PolicyHasQuietHours": false,
    "QuietWindowWrapsMidnight": false,
    "IsInsideQuietWindow": false,
    "IsQuietHoursViolation": false,
    "QuietHoursViolationPolicyKey": null,
    "RecipientIsUnreachable": false,
    "IsAcknowledged": true,
    "IsFabricatedAcknowledgement": false,
    "IsUnhandledUnreachable": false,
    "UnreachableFailureKey": null,
    "PolicyRetentionDays": 2555,
    "AsOfInstant": "2026-07-19T13:00:00-05:00",
    "AgeDays": 1,
    "IsWithinRetentionWindow": true,
    "HasRenderedBody": true,
    "IsEvidenceRequired": true,
    "IsRetentionBreach": false,
    "RetentionBreachExecutionKey": null,
    "SendingStepExecutionStep": "policy-04",
    "ExecutionHasClearedLegalReview": true,
    "IsUnreviewedSend": false,
    "RenderedBodyLength": 107,
    "PolicyMaxMessageLengthAtSend": 100000,
    "SegmentCount": 1,
    "PolicyMaxSegmentsAtSend": 1,
    "IsOverSegmentLimit": false,
    "TemplateHasValidApproval": true,
    "IsUnapprovedSend": false,
    "PolicyRequiresOptOut": false,
    "IsMissingRequiredOptOut": false,
    "IsOptOutAtRiskOfTruncation": false,
    "IsFailedDelivery": false,
    "IsSuppressed": false,
    "IsTriaged": false,
    "IsAbandonedFailure": false,
    "AbandonedFailureExecutionKey": null,
    "ReachedExecutionKey": "exec-policy-hr4821",
    "TemplateWasSendable": true,
    "IsDriftedSend": false,
    "DriftedSendTemplateKey": null,
    "WasSentOutsideBusinessHours": false,
    "WasDeliveredAndUnanswered": false,
    "IsPoorlyTimedUnanswered": false,
    "IsWellTimedUnanswered": false,
    "UnansweredTemplateKey": null,
    "TransmittedTemplateKey": "tmpl-policy-email",
    "ApprovalPrecededSend": false,
    "HasFrozenApprovalEvidence": false,
    "ProvenanceIsLiveDerived": true,
    "CurrentLastApprovalAt": "2026-07-17T11:00:00-05:00",
    "TemplateReapprovedSinceSend": false,
    "IsUnprovableApprovalClaim": false,
    "AcknowledgementIsOutstanding": false,
    "OutstandingAgeDays": 0,
    "IsUnchasedAcknowledgement": false,
    "IsExhaustedFollowUp": false,
    "NeedsHumanEscalation": false,
    "InvokedExceptionCondition": null,
    "HasUnreachableExceptionInvoked": false,
    "PolicyRequiredOptOutPhrase": null,
    "OptOutPhrasePosition": null,
    "HasOptOutPhrase": false,
    "IsOptOutInFirstSegment": false,
    "HasSentReminder": false
   },
   {
    "MessageDeliveryId": "md-002",
    "ProcedureExecution": "exec-policy-hr4821",
    "StepExecution": "se-policy04",
    "Recipient": "rec-002",
    "MessageTemplate": "tmpl-policy-email",
    "SentByAgent": "notification-pipeline",
    "RenderedBody": "Policy HR-4821 update. Review the notice and acknowledge: https://example.com/hr4821 Reply STOP to opt out.",
    "SentAt": "2026-07-18T14:05:00-05:00",
    "SentAtLocalHour": 14,
    "DeliveryStatus": "Delivered",
    "SuppressionReason": null,
    "InvokedException": null,
    "AcknowledgedAt": null,
    "SemanticTypeIri": "urn:effortless:pko-extension#MessageDelivery",
    "EvaluationContext": "eval-current",
    "Name": "rec-002 / tmpl-policy-email / 2026-07-18T19:05:00+00:00",
    "PolicyChannel": "comm-email-policy",
    "ChannelName": "Email",
    "PolicyRequiresConsent": false,
    "RecipientHasSmsConsent": true,
    "WasActuallyTransmitted": true,
    "IsConsentViolation": false,
    "ConsentViolationPolicyKey": null,
    "PolicyQuietHoursStartHour": 0,
    "PolicyQuietHoursEndHour": 0,
    "PolicyHasQuietHours": false,
    "QuietWindowWrapsMidnight": false,
    "IsInsideQuietWindow": false,
    "IsQuietHoursViolation": false,
    "QuietHoursViolationPolicyKey": null,
    "RecipientIsUnreachable": false,
    "IsAcknowledged": false,
    "IsFabricatedAcknowledgement": false,
    "IsUnhandledUnreachable": false,
    "UnreachableFailureKey": null,
    "PolicyRetentionDays": 2555,
    "AsOfInstant": "2026-07-19T13:00:00-05:00",
    "AgeDays": 1,
    "IsWithinRetentionWindow": true,
    "HasRenderedBody": true,
    "IsEvidenceRequired": true,
    "IsRetentionBreach": false,
    "RetentionBreachExecutionKey": null,
    "SendingStepExecutionStep": "policy-04",
    "ExecutionHasClearedLegalReview": true,
    "IsUnreviewedSend": false,
    "RenderedBodyLength": 107,
    "PolicyMaxMessageLengthAtSend": 100000,
    "SegmentCount": 1,
    "PolicyMaxSegmentsAtSend": 1,
    "IsOverSegmentLimit": false,
    "TemplateHasValidApproval": true,
    "IsUnapprovedSend": false,
    "PolicyRequiresOptOut": false,
    "IsMissingRequiredOptOut": false,
    "IsOptOutAtRiskOfTruncation": false,
    "IsFailedDelivery": false,
    "IsSuppressed": false,
    "IsTriaged": false,
    "IsAbandonedFailure": false,
    "AbandonedFailureExecutionKey": null,
    "ReachedExecutionKey": "exec-policy-hr4821",
    "TemplateWasSendable": true,
    "IsDriftedSend": false,
    "DriftedSendTemplateKey": null,
    "WasSentOutsideBusinessHours": false,
    "WasDeliveredAndUnanswered": true,
    "IsPoorlyTimedUnanswered": false,
    "IsWellTimedUnanswered": true,
    "UnansweredTemplateKey": "tmpl-policy-email",
    "TransmittedTemplateKey": "tmpl-policy-email",
    "ApprovalPrecededSend": false,
    "HasFrozenApprovalEvidence": false,
    "ProvenanceIsLiveDerived": true,
    "CurrentLastApprovalAt": "2026-07-17T11:00:00-05:00",
    "TemplateReapprovedSinceSend": false,
    "IsUnprovableApprovalClaim": false,
    "AcknowledgementIsOutstanding": true,
    "OutstandingAgeDays": 1,
    "IsUnchasedAcknowledgement": false,
    "InvokedExceptionCondition": null,
    "HasUnreachableExceptionInvoked": false,
    "PolicyRequiredOptOutPhrase": null,
    "OptOutPhrasePosition": null,
    "HasOptOutPhrase": false,
    "IsOptOutInFirstSegment": false,
    "HasSentReminder": false,
    "IsExhaustedFollowUp": false,
    "NeedsHumanEscalation": false
   },
   {
    "MessageDeliveryId": "md-003",
    "ProcedureExecution": "exec-policy-hr4821",
    "StepExecution": "se-policy04",
    "Recipient": "rec-003",
    "MessageTemplate": "tmpl-policy-sms",
    "SentByAgent": "notification-pipeline",
    "RenderedBody": "Policy HR-4821 update. Review the notice and acknowledge: https://example.com/hr4821 Reply STOP to opt out.",
    "SentAt": "2026-07-18T14:06:00-05:00",
    "SentAtLocalHour": 14,
    "DeliveryStatus": "Delivered",
    "SuppressionReason": "RETROACTIVE FINDING: transmitted to a recipient with no SMS consent. Should have been suppressed under exc-no-sms-consent and sent by approved email only. Retained as evidence; recipient re-consented on 2026-07-19 and a corrected email was sent.",
    "InvokedException": "exc-no-sms-consent",
    "AcknowledgedAt": null,
    "SemanticTypeIri": "urn:effortless:pko-extension#MessageDelivery",
    "EvaluationContext": "eval-current",
    "Name": "rec-003 / tmpl-policy-sms / 2026-07-18T19:06:00+00:00",
    "PolicyChannel": "comm-sms-policy",
    "ChannelName": "SMS",
    "PolicyRequiresConsent": true,
    "RecipientHasSmsConsent": true,
    "WasActuallyTransmitted": true,
    "IsConsentViolation": false,
    "ConsentViolationPolicyKey": null,
    "PolicyQuietHoursStartHour": 20,
    "PolicyQuietHoursEndHour": 8,
    "PolicyHasQuietHours": true,
    "QuietWindowWrapsMidnight": true,
    "IsInsideQuietWindow": false,
    "IsQuietHoursViolation": false,
    "QuietHoursViolationPolicyKey": null,
    "RecipientIsUnreachable": false,
    "IsAcknowledged": false,
    "InvokedExceptionCondition": "Recipient lacks SMS consent",
    "HasUnreachableExceptionInvoked": false,
    "IsFabricatedAcknowledgement": false,
    "IsUnhandledUnreachable": false,
    "UnreachableFailureKey": null,
    "PolicyRetentionDays": 2555,
    "AsOfInstant": "2026-07-19T13:00:00-05:00",
    "AgeDays": 1,
    "IsWithinRetentionWindow": true,
    "HasRenderedBody": true,
    "IsEvidenceRequired": true,
    "IsRetentionBreach": false,
    "RetentionBreachExecutionKey": null,
    "SendingStepExecutionStep": "policy-04",
    "ExecutionHasClearedLegalReview": true,
    "IsUnreviewedSend": false,
    "RenderedBodyLength": 107,
    "PolicyMaxMessageLengthAtSend": 160,
    "SegmentCount": 1,
    "PolicyMaxSegmentsAtSend": 3,
    "IsOverSegmentLimit": false,
    "TemplateHasValidApproval": true,
    "IsUnapprovedSend": false,
    "PolicyRequiredOptOutPhrase": "Reply STOP to opt out",
    "PolicyRequiresOptOut": true,
    "OptOutPhrasePosition": 86,
    "HasOptOutPhrase": true,
    "IsOptOutInFirstSegment": true,
    "IsMissingRequiredOptOut": false,
    "IsOptOutAtRiskOfTruncation": false,
    "IsFailedDelivery": false,
    "IsSuppressed": false,
    "IsTriaged": true,
    "IsAbandonedFailure": false,
    "AbandonedFailureExecutionKey": null,
    "ReachedExecutionKey": "exec-policy-hr4821",
    "TemplateWasSendable": true,
    "IsDriftedSend": false,
    "DriftedSendTemplateKey": null,
    "WasSentOutsideBusinessHours": false,
    "WasDeliveredAndUnanswered": true,
    "IsPoorlyTimedUnanswered": false,
    "IsWellTimedUnanswered": true,
    "UnansweredTemplateKey": "tmpl-policy-sms",
    "TransmittedTemplateKey": "tmpl-policy-sms",
    "ApprovalPrecededSend": false,
    "HasFrozenApprovalEvidence": false,
    "ProvenanceIsLiveDerived": true,
    "CurrentLastApprovalAt": "2026-07-19T10:00:00-05:00",
    "TemplateReapprovedSinceSend": true,
    "IsUnprovableApprovalClaim": true,
    "AcknowledgementIsOutstanding": true,
    "OutstandingAgeDays": 1,
    "IsUnchasedAcknowledgement": false,
    "HasSentReminder": false,
    "IsExhaustedFollowUp": false,
    "NeedsHumanEscalation": false
   },
   {
    "MessageDeliveryId": "md-004",
    "ProcedureExecution": "exec-policy-hr4821",
    "StepExecution": "se-policy04",
    "Recipient": "rec-004",
    "MessageTemplate": "tmpl-policy-sms",
    "SentByAgent": "notification-pipeline",
    "RenderedBody": "Policy HR-4821 update. Review the notice and acknowledge: https://example.com/hr4821 Reply STOP to opt out.",
    "SentAt": "2026-07-18T14:06:00-05:00",
    "SentAtLocalHour": 14,
    "DeliveryStatus": "Suppressed",
    "SuppressionReason": "Recipient consent revoked; suppressed per exc-no-sms-consent and sent approved email only.",
    "InvokedException": "exc-no-sms-consent",
    "AcknowledgedAt": null,
    "SemanticTypeIri": "urn:effortless:pko-extension#MessageDelivery",
    "EvaluationContext": "eval-current",
    "Name": "rec-004 / tmpl-policy-sms / 2026-07-18T19:06:00+00:00",
    "PolicyChannel": "comm-sms-policy",
    "ChannelName": "SMS",
    "PolicyRequiresConsent": true,
    "RecipientHasSmsConsent": false,
    "WasActuallyTransmitted": false,
    "IsConsentViolation": false,
    "ConsentViolationPolicyKey": null,
    "PolicyQuietHoursStartHour": 20,
    "PolicyQuietHoursEndHour": 8,
    "PolicyHasQuietHours": true,
    "QuietWindowWrapsMidnight": true,
    "IsInsideQuietWindow": false,
    "IsQuietHoursViolation": false,
    "QuietHoursViolationPolicyKey": null,
    "RecipientIsUnreachable": false,
    "IsAcknowledged": false,
    "InvokedExceptionCondition": "Recipient lacks SMS consent",
    "HasUnreachableExceptionInvoked": false,
    "IsFabricatedAcknowledgement": false,
    "IsUnhandledUnreachable": false,
    "UnreachableFailureKey": null,
    "PolicyRetentionDays": 2555,
    "AsOfInstant": "2026-07-19T13:00:00-05:00",
    "AgeDays": 1,
    "IsWithinRetentionWindow": true,
    "HasRenderedBody": true,
    "IsEvidenceRequired": false,
    "IsRetentionBreach": false,
    "RetentionBreachExecutionKey": null,
    "SendingStepExecutionStep": "policy-04",
    "ExecutionHasClearedLegalReview": true,
    "IsUnreviewedSend": false,
    "RenderedBodyLength": 107,
    "PolicyMaxMessageLengthAtSend": 160,
    "SegmentCount": 1,
    "PolicyMaxSegmentsAtSend": 3,
    "IsOverSegmentLimit": false,
    "TemplateHasValidApproval": true,
    "IsUnapprovedSend": false,
    "PolicyRequiredOptOutPhrase": "Reply STOP to opt out",
    "PolicyRequiresOptOut": true,
    "OptOutPhrasePosition": 86,
    "HasOptOutPhrase": true,
    "IsOptOutInFirstSegment": true,
    "IsMissingRequiredOptOut": false,
    "IsOptOutAtRiskOfTruncation": false,
    "IsFailedDelivery": false,
    "IsSuppressed": true,
    "IsTriaged": true,
    "IsAbandonedFailure": false,
    "AbandonedFailureExecutionKey": null,
    "ReachedExecutionKey": null,
    "TemplateWasSendable": true,
    "IsDriftedSend": false,
    "DriftedSendTemplateKey": null,
    "WasSentOutsideBusinessHours": false,
    "WasDeliveredAndUnanswered": false,
    "IsPoorlyTimedUnanswered": false,
    "IsWellTimedUnanswered": false,
    "UnansweredTemplateKey": null,
    "TransmittedTemplateKey": null,
    "ApprovalPrecededSend": false,
    "HasFrozenApprovalEvidence": false,
    "ProvenanceIsLiveDerived": true,
    "CurrentLastApprovalAt": "2026-07-19T10:00:00-05:00",
    "TemplateReapprovedSinceSend": true,
    "IsUnprovableApprovalClaim": true,
    "AcknowledgementIsOutstanding": false,
    "OutstandingAgeDays": 0,
    "IsUnchasedAcknowledgement": false,
    "IsExhaustedFollowUp": false,
    "NeedsHumanEscalation": false,
    "HasSentReminder": false
   },
   {
    "MessageDeliveryId": "md-005",
    "ProcedureExecution": "exec-policy-hr4821",
    "StepExecution": "se-policy04",
    "Recipient": "rec-001",
    "MessageTemplate": "tmpl-policy-sms",
    "SentByAgent": "notification-pipeline",
    "RenderedBody": "Policy HR-4821 update. Review the notice and acknowledge: https://example.com/hr4821",
    "SentAt": "2026-07-18T21:00:00-05:00",
    "SentAtLocalHour": 21,
    "DeliveryStatus": "Delivered",
    "SuppressionReason": "RETROACTIVE FINDING: transmitted at 21:00, inside the 20:00-08:00 quiet window defined by comm-sms-policy. Retained as evidence; the send window is now gated on CommunicationPolicies.QuietHoursStartHour before transmission.",
    "InvokedException": null,
    "AcknowledgedAt": null,
    "SemanticTypeIri": "urn:effortless:pko-extension#MessageDelivery",
    "EvaluationContext": "eval-current",
    "Name": "rec-001 / tmpl-policy-sms / 2026-07-19T02:00:00+00:00",
    "PolicyChannel": "comm-sms-policy",
    "ChannelName": "SMS",
    "PolicyRequiresConsent": true,
    "RecipientHasSmsConsent": true,
    "WasActuallyTransmitted": true,
    "IsConsentViolation": false,
    "ConsentViolationPolicyKey": null,
    "PolicyQuietHoursStartHour": 20,
    "PolicyQuietHoursEndHour": 8,
    "PolicyHasQuietHours": true,
    "QuietWindowWrapsMidnight": true,
    "IsInsideQuietWindow": true,
    "IsQuietHoursViolation": true,
    "QuietHoursViolationPolicyKey": "comm-sms-policy",
    "RecipientIsUnreachable": false,
    "IsAcknowledged": false,
    "IsFabricatedAcknowledgement": false,
    "IsUnhandledUnreachable": false,
    "UnreachableFailureKey": null,
    "PolicyRetentionDays": 2555,
    "AsOfInstant": "2026-07-19T13:00:00-05:00",
    "AgeDays": 0,
    "IsWithinRetentionWindow": true,
    "HasRenderedBody": true,
    "IsEvidenceRequired": true,
    "IsRetentionBreach": false,
    "RetentionBreachExecutionKey": null,
    "SendingStepExecutionStep": "policy-04",
    "ExecutionHasClearedLegalReview": true,
    "IsUnreviewedSend": false,
    "RenderedBodyLength": 84,
    "PolicyMaxMessageLengthAtSend": 160,
    "SegmentCount": 1,
    "PolicyMaxSegmentsAtSend": 3,
    "IsOverSegmentLimit": false,
    "TemplateHasValidApproval": true,
    "IsUnapprovedSend": false,
    "PolicyRequiredOptOutPhrase": "Reply STOP to opt out",
    "PolicyRequiresOptOut": true,
    "OptOutPhrasePosition": 0,
    "HasOptOutPhrase": false,
    "IsOptOutInFirstSegment": false,
    "IsMissingRequiredOptOut": true,
    "IsOptOutAtRiskOfTruncation": false,
    "IsFailedDelivery": false,
    "IsSuppressed": false,
    "IsTriaged": false,
    "IsAbandonedFailure": false,
    "AbandonedFailureExecutionKey": null,
    "ReachedExecutionKey": "exec-policy-hr4821",
    "TemplateWasSendable": true,
    "IsDriftedSend": false,
    "DriftedSendTemplateKey": null,
    "WasSentOutsideBusinessHours": true,
    "WasDeliveredAndUnanswered": true,
    "IsPoorlyTimedUnanswered": true,
    "IsWellTimedUnanswered": false,
    "UnansweredTemplateKey": "tmpl-policy-sms",
    "TransmittedTemplateKey": "tmpl-policy-sms",
    "ApprovalPrecededSend": false,
    "HasFrozenApprovalEvidence": false,
    "ProvenanceIsLiveDerived": true,
    "CurrentLastApprovalAt": "2026-07-19T10:00:00-05:00",
    "TemplateReapprovedSinceSend": true,
    "IsUnprovableApprovalClaim": true,
    "AcknowledgementIsOutstanding": true,
    "OutstandingAgeDays": 0,
    "IsUnchasedAcknowledgement": false,
    "InvokedExceptionCondition": null,
    "HasUnreachableExceptionInvoked": false,
    "HasSentReminder": false,
    "IsExhaustedFollowUp": false,
    "NeedsHumanEscalation": false
   },
   {
    "MessageDeliveryId": "md-006",
    "ProcedureExecution": "exec-policy-hr4821",
    "StepExecution": "se-policy04",
    "Recipient": "rec-005",
    "MessageTemplate": "tmpl-policy-sms",
    "SentByAgent": "notification-pipeline",
    "RenderedBody": "Policy HR-4821 update. Review the notice and acknowledge: https://example.com/hr4821 Reply STOP to opt out.",
    "SentAt": "2026-07-18T14:06:00-05:00",
    "SentAtLocalHour": 14,
    "DeliveryStatus": "Failed",
    "SuppressionReason": "No mobile number on file; HR case opened and routed to the manager per exc-unreachable. Acknowledgement deliberately not marked complete.",
    "InvokedException": "exc-unreachable",
    "AcknowledgedAt": null,
    "SemanticTypeIri": "urn:effortless:pko-extension#MessageDelivery",
    "EvaluationContext": "eval-current",
    "Name": "rec-005 / tmpl-policy-sms / 2026-07-18T19:06:00+00:00",
    "PolicyChannel": "comm-sms-policy",
    "ChannelName": "SMS",
    "PolicyRequiresConsent": true,
    "RecipientHasSmsConsent": false,
    "WasActuallyTransmitted": false,
    "IsConsentViolation": false,
    "ConsentViolationPolicyKey": null,
    "PolicyQuietHoursStartHour": 20,
    "PolicyQuietHoursEndHour": 8,
    "PolicyHasQuietHours": true,
    "QuietWindowWrapsMidnight": true,
    "IsInsideQuietWindow": false,
    "IsQuietHoursViolation": false,
    "QuietHoursViolationPolicyKey": null,
    "RecipientIsUnreachable": false,
    "IsAcknowledged": false,
    "InvokedExceptionCondition": "Recipient unreachable",
    "HasUnreachableExceptionInvoked": true,
    "IsFabricatedAcknowledgement": false,
    "IsUnhandledUnreachable": false,
    "UnreachableFailureKey": null,
    "PolicyRetentionDays": 2555,
    "AsOfInstant": "2026-07-19T13:00:00-05:00",
    "AgeDays": 1,
    "IsWithinRetentionWindow": true,
    "HasRenderedBody": true,
    "IsEvidenceRequired": false,
    "IsRetentionBreach": false,
    "RetentionBreachExecutionKey": null,
    "SendingStepExecutionStep": "policy-04",
    "ExecutionHasClearedLegalReview": true,
    "IsUnreviewedSend": false,
    "RenderedBodyLength": 107,
    "PolicyMaxMessageLengthAtSend": 160,
    "SegmentCount": 1,
    "PolicyMaxSegmentsAtSend": 3,
    "IsOverSegmentLimit": false,
    "TemplateHasValidApproval": true,
    "IsUnapprovedSend": false,
    "PolicyRequiredOptOutPhrase": "Reply STOP to opt out",
    "PolicyRequiresOptOut": true,
    "OptOutPhrasePosition": 86,
    "HasOptOutPhrase": true,
    "IsOptOutInFirstSegment": true,
    "IsMissingRequiredOptOut": false,
    "IsOptOutAtRiskOfTruncation": false,
    "IsFailedDelivery": true,
    "IsSuppressed": false,
    "IsTriaged": true,
    "IsAbandonedFailure": false,
    "AbandonedFailureExecutionKey": null,
    "ReachedExecutionKey": null,
    "TemplateWasSendable": true,
    "IsDriftedSend": false,
    "DriftedSendTemplateKey": null,
    "WasSentOutsideBusinessHours": false,
    "WasDeliveredAndUnanswered": false,
    "IsPoorlyTimedUnanswered": false,
    "IsWellTimedUnanswered": false,
    "UnansweredTemplateKey": null,
    "TransmittedTemplateKey": null,
    "ApprovalPrecededSend": false,
    "HasFrozenApprovalEvidence": false,
    "ProvenanceIsLiveDerived": true,
    "CurrentLastApprovalAt": "2026-07-19T10:00:00-05:00",
    "TemplateReapprovedSinceSend": true,
    "IsUnprovableApprovalClaim": true,
    "AcknowledgementIsOutstanding": false,
    "OutstandingAgeDays": 0,
    "IsUnchasedAcknowledgement": false,
    "IsExhaustedFollowUp": false,
    "NeedsHumanEscalation": false,
    "HasSentReminder": false
   }
  ]
 },
 "TemplateApprovals": {
  "Description": "TemplateApprovals (added by witness loop 1).",
  "schema": [
   {
    "name": "TemplateApprovalId",
    "datatype": "string",
    "type": "raw",
    "nullable": false,
    "Description": "Stored logical identifier for one TemplateApprovals row."
   },
   {
    "name": "Name",
    "datatype": "string",
    "type": "calculated",
    "nullable": true,
    "Description": "Human-readable calculated display alias for the TemplateApprovals row.",
    "formula": "={{MessageTemplate}} &amp; \" / \" &amp; {{Decision}} &amp; \" / \" &amp; {{DecidedAt}}"
   },
   {
    "name": "MessageTemplate",
    "datatype": "string",
    "type": "relationship",
    "nullable": true,
    "Description": "Template this decision applies to.",
    "RelatedTo": "MessageTemplates"
   },
   {
    "name": "DecidedByAgent",
    "datatype": "string",
    "type": "relationship",
    "nullable": true,
    "Description": "Agent who made the approval decision.",
    "RelatedTo": "Agents"
   },
   {
    "name": "DecidedInRole",
    "datatype": "string",
    "type": "relationship",
    "nullable": true,
    "Description": "Role the agent was acting in when deciding.",
    "RelatedTo": "Roles"
   },
   {
    "name": "Decision",
    "datatype": "string",
    "type": "raw",
    "nullable": true,
    "Description": "Approved, Rejected, or Withdrawn."
   },
   {
    "name": "DecidedAt",
    "datatype": "datetime",
    "type": "raw",
    "nullable": true,
    "Description": "When the decision was recorded."
   },
   {
    "name": "ApprovedBodyHash",
    "datatype": "string",
    "type": "raw",
    "nullable": true,
    "Description": "Digest of the exact template body that was approved, so later edits are detectable."
   },
   {
    "name": "Notes",
    "datatype": "string",
    "type": "raw",
    "nullable": true,
    "Description": "Approver's rationale or conditions."
   },
   {
    "name": "IsApprovalDecision",
    "datatype": "boolean",
    "type": "calculated",
    "nullable": true,
    "Description": "TRUE when this decision row is an approval rather than a rejection or withdrawal.",
    "formula": "={{Decision}} = \"Approved\""
   },
   {
    "name": "TemplatePolicy",
    "datatype": "string",
    "type": "lookup",
    "nullable": true,
    "Description": "The communication policy governing the template being approved.",
    "formula": "=INDEX(MessageTemplates!{{CommunicationPolicy}}, MATCH({{MessageTemplate}}, MessageTemplates!{{MessageTemplateId}}, 0))"
   },
   {
    "name": "RequiredApprovalRole",
    "datatype": "string",
    "type": "lookup",
    "nullable": true,
    "Description": "The role the governing policy designates as approver -- communications-manager for both current policies.",
    "formula": "=INDEX(CommunicationPolicies!{{ApprovalRole}}, MATCH({{TemplatePolicy}}, CommunicationPolicies!{{CommunicationPolicyId}}, 0))"
   },
   {
    "name": "IsDecidedByRequiredRole",
    "datatype": "boolean",
    "type": "calculated",
    "nullable": true,
    "Description": "TRUE when the approving role matches the role the policy designates.",
    "formula": "={{DecidedInRole}} = {{RequiredApprovalRole}}"
   },
   {
    "name": "ValidApprovalTemplateKey",
    "datatype": "string",
    "type": "calculated",
    "nullable": true,
    "Description": "Carries the template id only on approvals made by the correct role; empty string otherwise.",
    "formula": "=IF(AND({{IsApprovalDecision}}, {{IsDecidedByRequiredRole}}), {{MessageTemplate}}, \"\")"
   },
   {
    "name": "SemanticTypeIri",
    "datatype": "string",
    "type": "raw",
    "nullable": true,
    "Description": "Extension IRI; template approval events are not a PKO 2.0.0 native class."
   }
  ],
  "data": [
   {
    "TemplateApprovalId": "tap-email-001",
    "MessageTemplate": "tmpl-policy-email",
    "DecidedByAgent": "amina-yusuf",
    "DecidedInRole": "communications-manager",
    "Decision": "Approved",
    "DecidedAt": "2026-07-17T11:00:00-05:00",
    "ApprovedBodyHash": "h-email-v1",
    "Notes": "Reviewed against comm-email-policy required content and retention.",
    "SemanticTypeIri": "urn:effortless:pko-extension#TemplateApproval",
    "Name": "tmpl-policy-email / Approved / 2026-07-17T16:00:00+00:00",
    "IsApprovalDecision": true,
    "TemplatePolicy": "comm-email-policy",
    "RequiredApprovalRole": "communications-manager",
    "IsDecidedByRequiredRole": true,
    "ValidApprovalTemplateKey": "tmpl-policy-email"
   },
   {
    "TemplateApprovalId": "tap-sms-001",
    "MessageTemplate": "tmpl-policy-sms",
    "DecidedByAgent": "amina-yusuf",
    "DecidedInRole": "communications-manager",
    "Decision": "Approved",
    "DecidedAt": "2026-07-19T10:00:00-05:00",
    "ApprovedBodyHash": "h-sms-v1",
    "Notes": "Approved against comm-sms-policy: 160-char limit, 3-segment cap, required STOP opt-out, 20:00-08:00 quiet window.",
    "SemanticTypeIri": "urn:effortless:pko-extension#TemplateApproval",
    "Name": "tmpl-policy-sms / Approved / 2026-07-19T15:00:00+00:00",
    "IsApprovalDecision": true,
    "TemplatePolicy": "comm-sms-policy",
    "RequiredApprovalRole": "communications-manager",
    "IsDecidedByRequiredRole": true,
    "ValidApprovalTemplateKey": "tmpl-policy-sms"
   }
  ]
 },
 "SendIntents": {
  "Description": "SendIntents (added by witness loop 1).",
  "schema": [
   {
    "name": "SendIntentId",
    "datatype": "string",
    "type": "raw",
    "nullable": false,
    "Description": "Stored logical identifier for one SendIntents row."
   },
   {
    "name": "Name",
    "datatype": "string",
    "type": "calculated",
    "nullable": true,
    "Description": "Human-readable calculated display alias for the SendIntents row.",
    "formula": "={{Recipient}} &amp; \" / \" &amp; {{MessageTemplate}} &amp; \" / intent\""
   },
   {
    "name": "ProcedureExecution",
    "datatype": "string",
    "type": "relationship",
    "nullable": true,
    "Description": "Execution this send intent belongs to.",
    "RelatedTo": "ProcedureExecutions"
   },
   {
    "name": "StepExecution",
    "datatype": "string",
    "type": "relationship",
    "nullable": true,
    "Description": "Step execution evaluating this intent.",
    "RelatedTo": "StepExecutions"
   },
   {
    "name": "Recipient",
    "datatype": "string",
    "type": "relationship",
    "nullable": true,
    "Description": "Intended recipient.",
    "RelatedTo": "Recipients"
   },
   {
    "name": "MessageTemplate",
    "datatype": "string",
    "type": "relationship",
    "nullable": true,
    "Description": "Template the pipeline intends to render and send.",
    "RelatedTo": "MessageTemplates"
   },
   {
    "name": "ProposedBody",
    "datatype": "string",
    "type": "raw",
    "nullable": true,
    "Description": "The fully rendered text the pipeline intends to transmit, before transmission."
   },
   {
    "name": "ProposedSendAtLocalHour",
    "datatype": "integer",
    "type": "raw",
    "nullable": true,
    "Description": "Hour 0-23 in the recipient's local timezone at which the pipeline intends to transmit."
   },
   {
    "name": "EvaluatedAt",
    "datatype": "datetime",
    "type": "raw",
    "nullable": true,
    "Description": "When the pipeline evaluated the gates for this intent."
   },
   {
    "name": "ResultingDelivery",
    "datatype": "string",
    "type": "relationship",
    "nullable": true,
    "Description": "The delivery record produced from this intent, whether transmitted or suppressed.",
    "RelatedTo": "MessageDeliveries"
   },
   {
    "name": "IntentPolicy",
    "datatype": "string",
    "type": "lookup",
    "nullable": true,
    "Description": "The communication policy governing the template this intent would send.",
    "formula": "=INDEX(MessageTemplates!{{CommunicationPolicy}}, MATCH({{MessageTemplate}}, MessageTemplates!{{MessageTemplateId}}, 0))"
   },
   {
    "name": "IntentChannel",
    "datatype": "string",
    "type": "lookup",
    "nullable": true,
    "Description": "Channel this intent would transmit on.",
    "formula": "=INDEX(CommunicationPolicies!{{Channel}}, MATCH({{IntentPolicy}}, CommunicationPolicies!{{CommunicationPolicyId}}, 0))"
   },
   {
    "name": "PolicyIsActive",
    "datatype": "boolean",
    "type": "lookup",
    "nullable": true,
    "Description": "Whether the governing policy is currently Active rather than Draft, Suspended, or Retired.",
    "formula": "=INDEX(CommunicationPolicies!{{IsActivePolicy}}, MATCH({{IntentPolicy}}, CommunicationPolicies!{{CommunicationPolicyId}}, 0))"
   },
   {
    "name": "IntentRequiresConsent",
    "datatype": "boolean",
    "type": "lookup",
    "nullable": true,
    "Description": "Whether the governing policy requires consent for this channel.",
    "formula": "=INDEX(CommunicationPolicies!{{ConsentRequired}}, MATCH({{IntentPolicy}}, CommunicationPolicies!{{CommunicationPolicyId}}, 0))"
   },
   {
    "name": "RecipientHasChannelConsent",
    "datatype": </t>
  </si>
  <si>
    <t xml:space="preserve">"boolean",
    "type": "lookup",
    "nullable": true,
    "Description": "Whether the intended recipient has active SMS consent on record.",
    "formula": "=INDEX(Recipients!{{HasSmsConsent}}, MATCH({{Recipient}}, Recipients!{{RecipientId}}, 0))"
   },
   {
    "name": "ConsentGatePassed",
    "datatype": "boolean",
    "type": "calculated",
    "nullable": true,
    "Description": "TRUE when either the channel does not require consent, or the recipient has granted it.",
    "formula": "=OR(NOT({{IntentRequiresConsent}}), {{RecipientHasChannelConsent}})"
   },
   {
    "name": "RecipientIsSmsReachable",
    "datatype": "boolean",
    "type": "lookup",
    "nullable": true,
    "Description": "Whether a mobile number is on file for the intended recipient.",
    "formula": "=INDEX(Recipients!{{IsSmsReachable}}, MATCH({{Recipient}}, Recipients!{{RecipientId}}, 0))"
   },
   {
    "name": "RecipientIsEmailReachable",
    "datatype": "boolean",
    "type": "lookup",
    "nullable": true,
    "Description": "Whether an email address is on file for the intended recipient.",
    "formula": "=INDEX(Recipients!{{IsEmailReachable}}, MATCH({{Recipient}}, Recipients!{{RecipientId}}, 0))"
   },
   {
    "name": "ReachabilityGatePassed",
    "datatype": "boolean",
    "type": "calculated",
    "nullable": true,
    "Description": "TRUE when the recipient is reachable on the channel this intent would use.",
    "formula": "=IF({{IntentChannel}} = \"SMS\", {{RecipientIsSmsReachable}}, {{RecipientIsEmailReachable}})"
   },
   {
    "name": "PermissionGatePassed",
    "datatype": "boolean",
    "type": "calculated",
    "nullable": true,
    "Description": "TRUE when the policy is active, consent is satisfied, and the recipient is reachable on this channel. The channel-permission gate.",
    "formula": "=AND({{PolicyIsActive}}, AND({{ConsentGatePassed}}, {{ReachabilityGatePassed}}))"
   },
   {
    "name": "IntentQuietStartHour",
    "datatype": "integer",
    "type": "lookup",
    "nullable": true,
    "Description": "Quiet-hours start hour from the governing policy.",
    "formula": "=INDEX(CommunicationPolicies!{{QuietHoursStartHour}}, MATCH({{IntentPolicy}}, CommunicationPolicies!{{CommunicationPolicyId}}, 0))"
   },
   {
    "name": "IntentQuietEndHour",
    "datatype": "integer",
    "type": "lookup",
    "nullable": true,
    "Description": "Quiet-hours end hour from the governing policy.",
    "formula": "=INDEX(CommunicationPolicies!{{QuietHoursEndHour}}, MATCH({{IntentPolicy}}, CommunicationPolicies!{{CommunicationPolicyId}}, 0))"
   },
   {
    "name": "IntentPolicyHasQuietHours",
    "datatype": "boolean",
    "type": "calculated",
    "nullable": true,
    "Description": "TRUE when the governing policy declares a real quiet-hours window.",
    "formula": "={{IntentQuietStartHour}} &lt;&gt; {{IntentQuietEndHour}}"
   },
   {
    "name": "IntentQuietWindowWraps",
    "datatype": "boolean",
    "type": "calculated",
    "nullable": true,
    "Description": "TRUE when the quiet window crosses midnight.",
    "formula": "={{IntentQuietStartHour}} &gt; {{IntentQuietEndHour}}"
   },
   {
    "name": "IntentIsInsideQuietWindow",
    "datatype": "boolean",
    "type": "calculated",
    "nullable": true,
    "Description": "TRUE when the proposed recipient-local send hour falls inside the forbidden window.",
    "formula": "=IF({{IntentQuietWindowWraps}}, OR({{ProposedSendAtLocalHour}} &gt;= {{IntentQuietStartHour}}, {{ProposedSendAtLocalHour}} &lt; {{IntentQuietEndHour}}), AND({{ProposedSendAtLocalHour}} &gt;= {{IntentQuietStartHour}}, {{ProposedSendAtLocalHour}} &lt; {{IntentQuietEndHour}}))"
   },
   {
    "name": "TimingGatePassed",
    "datatype": "boolean",
    "type": "calculated",
    "nullable": true,
    "Description": "TRUE when transmitting now is permitted on timing grounds. The timing gate.",
    "formula": "=OR(NOT({{IntentPolicyHasQuietHours}}), NOT({{IntentIsInsideQuietWindow}}))"
   },
   {
    "name": "HoursUntilWindowOpens",
    "datatype": "integer",
    "type": "calculated",
    "nullable": true,
    "Description": "How many hours the pipeline must defer before transmission becomes permitted; 0 when already permitted.",
    "formula": "=IF({{TimingGatePassed}}, 0, IF({{ProposedSendAtLocalHour}} &lt; {{IntentQuietEndHour}}, {{IntentQuietEndHour}} - {{ProposedSendAtLocalHour}}, 24 - {{ProposedSendAtLocalHour}} + {{IntentQuietEndHour}}))"
   },
   {
    "name": "IntentMaxMessageLength",
    "datatype": "integer",
    "type": "lookup",
    "nullable": true,
    "Description": "Per-segment character limit from the governing policy.",
    "formula": "=INDEX(CommunicationPolicies!{{MaxMessageLength}}, MATCH({{IntentPolicy}}, CommunicationPolicies!{{CommunicationPolicyId}}, 0))"
   },
   {
    "name": "IntentMaxSegments",
    "datatype": "integer",
    "type": "lookup",
    "nullable": true,
    "Description": "Segment ceiling from the governing policy.",
    "formula": "=INDEX(CommunicationPolicies!{{MaxSegments}}, MATCH({{IntentPolicy}}, CommunicationPolicies!{{CommunicationPolicyId}}, 0))"
   },
   {
    "name": "ProposedBodyLength",
    "datatype": "integer",
    "type": "raw",
    "nullable": true,
    "Description": "Character count of ProposedBody, written by the pipeline at render time."
   },
   {
    "name": "ProposedSegmentCount",
    "datatype": "integer",
    "type": "raw",
    "nullable": true,
    "Description": "Number of channel segments ProposedBody will occupy, computed by the pipeline at render time."
   },
   {
    "name": "LengthGatePassed",
    "datatype": "boolean",
    "type": "calculated",
    "nullable": true,
    "Description": "TRUE when the proposed text is non-empty and fits within the segment ceiling.",
    "formula": "=AND({{ProposedBodyLength}} &gt; 0, {{ProposedSegmentCount}} &lt;= {{IntentMaxSegments}})"
   },
   {
    "name": "IntentRequiredOptOutPhrase",
    "datatype": "string",
    "type": "lookup",
    "nullable": true,
    "Description": "Opt-out phrase the governing policy requires in every message on this channel.",
    "formula": "=INDEX(CommunicationPolicies!{{RequiredOptOutPhrase}}, MATCH({{IntentPolicy}}, CommunicationPolicies!{{CommunicationPolicyId}}, 0))"
   },
   {
    "name": "ProposedOptOutPosition",
    "datatype": "integer",
    "type": "raw",
    "nullable": true,
    "Description": "Character position of the required opt-out phrase within ProposedBody; 0 when absent. Written by the pipeline at render time."
   },
   {
    "name": "OptOutGatePassed",
    "datatype": "boolean",
    "type": "calculated",
    "nullable": true,
    "Description": "TRUE when no opt-out is required, or the required phrase is present within the first segment.",
    "formula": "=OR({{IntentRequiredOptOutPhrase}} = \"\", AND({{ProposedOptOutPosition}} &gt; 0, {{ProposedOptOutPosition}} &lt;= {{IntentMaxMessageLength}}))"
   },
   {
    "name": "ContentGatePassed",
    "datatype": "boolean",
    "type": "calculated",
    "nullable": true,
    "Description": "TRUE when the proposed text satisfies every content rule of the governing channel policy.",
    "formula": "=AND({{LengthGatePassed}}, {{OptOutGatePassed}})"
   },
   {
    "name": "TemplateIsSendable",
    "datatype": "boolean",
    "type": "lookup",
    "nullable": true,
    "Description": "Whether the template carries a current, properly-authorized, non-drifted approval.",
    "formula": "=INDEX(MessageTemplates!{{IsSendableUnderApproval}}, MATCH({{MessageTemplate}}, MessageTemplates!{{MessageTemplateId}}, 0))"
   },
   {
    "name": "ExecutionHasLegalClearance",
    "datatype": "boolean",
    "type": "lookup",
    "nullable": true,
    "Description": "Whether legal review has passed for the execution this intent belongs to.",
    "formula": "=INDEX(ProcedureExecutions!{{HasClearedLegalReview}}, MATCH({{ProcedureExecution}}, ProcedureExecutions!{{ProcedureExecutionId}}, 0))"
   },
   {
    "name": "IntentApprovalRole",
    "datatype": "string",
    "type": "lookup",
    "nullable": true,
    "Description": "The role the governing policy designates as the approving authority.",
    "formula": "=INDEX(CommunicationPolicies!{{ApprovalRole}}, MATCH({{IntentPolicy}}, CommunicationPolicies!{{CommunicationPolicyId}}, 0))"
   },
   {
    "name": "ApprovalRoleAgentKind",
    "datatype": "string",
    "type": "lookup",
    "nullable": true,
    "Description": "Whether the agent currently filling the designated approval role is Human, AIAgent, or AutomatedPipeline.",
    "formula": "=INDEX(Roles!{{CurrentAgentKind}}, MATCH({{IntentApprovalRole}}, Roles!{{RoleId}}, 0))"
   },
   {
    "name": "ApprovalIsHuman",
    "datatype": "boolean",
    "type": "calculated",
    "nullable": true,
    "Description": "TRUE when the designated approval role is currently held by a human agent.",
    "formula": "={{ApprovalRoleAgentKind}} = \"Human\""
   },
   {
    "name": "AuthorizationGatePassed",
    "datatype": "boolean",
    "type": "calculated",
    "nullable": true,
    "Description": "TRUE only when the template is validly approved, legal review has cleared, and the approving role is held by a human. The authorization gate.",
    "formula": "=AND({{TemplateIsSendable}}, AND({{ExecutionHasLegalClearance}}, {{ApprovalIsHuman}}))"
   },
   {
    "name": "IsClearedToSend",
    "datatype": "boolean",
    "type": "calculated",
    "nullable": true,
    "Description": "TRUE only when all four gates pass. THE single column the pipeline reads before transmitting.",
    "formula": "=AND({{PermissionGatePassed}}, AND({{TimingGatePassed}}, AND({{ContentGatePassed}}, {{AuthorizationGatePassed}})))"
   },
   {
    "name": "BlockingGateName",
    "datatype": "string",
    "type": "calculated",
    "nullable": true,
    "Description": "Names the first gate that refused, for the suppression reason; empty string when cleared.",
    "formula": "=IF({{IsClearedToSend}}, \"\", IF(NOT({{PermissionGatePassed}}), \"Permission\", IF(NOT({{TimingGatePassed}}), \"Timing\", IF(NOT({{ContentGatePassed}}), \"Content\", \"Authorization\"))))"
   },
   {
    "name": "HasResultingDelivery",
    "datatype": "boolean",
    "type": "calculated",
    "nullable": true,
    "Description": "TRUE when this intent produced a delivery record of any status.",
    "formula": "={{ResultingDelivery}} &lt;&gt; \"\""
   },
   {
    "name": "ResultingDeliveryWasTransmitted",
    "datatype": "boolean",
    "type": "lookup",
    "nullable": true,
    "Description": "Whether the delivery produced from this intent actually left our systems.",
    "formula": "=INDEX(MessageDeliveries!{{WasActuallyTransmitted}}, MATCH({{ResultingDelivery}}, MessageDeliveries!{{MessageDeliveryId}}, 0))"
   },
   {
    "name": "IsOverriddenRefusal",
    "datatype": "boolean",
    "type": "calculated",
    "nullable": true,
    "Description": "TRUE when a gate refused and the message was transmitted regardless. The override witness.",
    "formula": "=AND(NOT({{IsClearedToSend}}), AND({{HasResultingDelivery}}, {{ResultingDeliveryWasTransmitted}}))"
   },
   {
    "name": "IsSilentlyDropped",
    "datatype": "boolean",
    "type": "calculated",
    "nullable": true,
    "Description": "TRUE when a gate refused and no delivery record of any kind was produced -- the recipient vanished from the run.",
    "formula": "=AND(NOT({{IsClearedToSend}}), NOT({{HasResultingDelivery}}))"
   },
   {
    "name": "ResultingDeliveryException",
    "datatype": "string",
    "type": "lookup",
    "nullable": true,
    "Description": "The documented exception invoked on the delivery produced from this intent, if any.",
    "formula": "=INDEX(MessageDeliveries!{{InvokedException}}, MATCH({{ResultingDelivery}}, MessageDeliveries!{{MessageDeliveryId}}, 0))"
   },
   {
    "name": "RefusalCitedAnException",
    "datatype": "boolean",
    "type": "calculated",
    "nullable": true,
    "Description": "TRUE when the suppression produced by this refusal cited a documented exception.",
    "formula": "={{ResultingDeliveryException}} &lt;&gt; \"\""
   },
   {
    "name": "IsProperlyHandledRefusal",
    "datatype": "boolean",
    "type": "calculated",
    "nullable": true,
    "Description": "TRUE when a refusal correctly resulted in a non-transmitted delivery record citing a documented exception. The positive witness.",
    "formula": "=AND(NOT({{IsClearedToSend}}), AND({{HasResultingDelivery}}, AND(NOT({{ResultingDeliveryWasTransmitted}}), {{RefusalCitedAnException}})))"
   },
   {
    "name": "RefusalFailureExecutionKey",
    "datatype": "string",
    "type": "calculated",
    "nullable": true,
    "Description": "Carries the execution id on any mishandled refusal; empty string otherwise.",
    "formula": "=IF(OR({{IsOverriddenRefusal}}, {{IsSilentlyDropped}}), {{ProcedureExecution}}, \"\")"
   },
   {
    "name": "IntentExecutionKey",
    "datatype": "string",
    "type": "calculated",
    "nullable": true,
    "Description": "The procedure execution id for every intent, used as the campaign rollup key.",
    "formula": "={{ProcedureExecution}}"
   },
   {
    "name": "DeliveredIntentExecutionKey",
    "datatype": "string",
    "type": "calculated",
    "nullable": true,
    "Description": "The execution id when this intent actually reached a person, otherwise empty string.",
    "formula": "=IF(AND({{HasResultingDelivery}}, {{ResultingDeliveryWasTransmitted}}), {{ProcedureExecution}}, \"\")"
   },
   {
    "name": "DroppedIntentExecutionKey",
    "datatype": "string",
    "type": "calculated",
    "nullable": true,
    "Description": "The execution id when this intent was refused and left no record at all.",
    "formula": "=IF({{IsSilentlyDropped}}, {{ProcedureExecution}}, \"\")"
   },
   {
    "name": "MyApprovalWasInForce",
    "datatype": "boolean",
    "type": "calculated",
    "nullable": true,
    "Description": "TRUE when the template carried a valid approval at the moment this intent was evaluated.",
    "formula": "={{TemplateIsSendable}}"
   },
   {
    "name": "RefusedOnApprovedContent",
    "datatype": "boolean",
    "type": "calculated",
    "nullable": true,
    "Description": "TRUE when the pipeline refused an intent on content grounds even though the template was approved.",
    "formula": "=AND({{MyApprovalWasInForce}}, NOT({{ContentGatePassed}}))"
   },
   {
    "name": "RefusedOnOptOutOnly",
    "datatype": "boolean",
    "type": "calculated",
    "nullable": true,
    "Description": "TRUE when the only content failure was a missing or mispositioned opt-out phrase.",
    "formula": "=AND(NOT({{OptOutGatePassed}}), {{LengthGatePassed}})"
   },
   {
    "name": "RefusalWasOnMyRules",
    "datatype": "boolean",
    "type": "calculated",
    "nullable": true,
    "Description": "TRUE when the refusal came from a communications rule I own -- content, length, opt-out, quiet hours.",
    "formula": "=AND(NOT({{IsClearedToSend}}), OR(NOT({{ContentGatePassed}}), NOT({{TimingGatePassed}})))"
   },
   {
    "name": "RefusalWasOutsideMyControl",
    "datatype": "boolean",
    "type": "calculated",
    "nullable": true,
    "Description": "TRUE when the refusal came from consent, reachability, or authorization -- none of which I can fix by editing a template.",
    "formula": "=AND(NOT({{IsClearedToSend}}), OR(NOT({{PermissionGatePassed}}), NOT({{AuthorizationGatePassed}})))"
   },
   {
    "name": "ApproverWasNotified",
    "datatype": "boolean",
    "type": "raw",
    "nullable": true,
    "Description": "Whether the approving human was informed that this intent was refused."
   },
   {
    "name": "IsUnreportedRefusalOnMyRules",
    "datatype": "boolean",
    "type": "calculated",
    "nullable": true,
    "Description": "TRUE when a refusal I own and could have fixed was never surfaced to me.",
    "formula": "=AND({{RefusalWasOnMyRules}}, NOT({{ApproverWasNotified}}))"
   },
   {
    "name": "IsApprovalOverriddenSilently",
    "datatype": "boolean",
    "type": "calculated",
    "nullable": true,
    "Description": "TRUE when the pipeline overrode a valid human approval on content grounds and told nobody.",
    "formula": "=AND({{RefusedOnApprovedContent}}, NOT({{ApproverWasNotified}}))"
   },
   {
    "name": "AlternateChannelIntent",
    "datatype": "string",
    "type": "raw",
    "nullable": true,
    "Description": "The follow-up intent raised on a different channel after this one was refused. Stored as a raw identifier rather than an FK: SendIntents pointing at SendIntents would make the table self-referential in a way the DAG contract does not allow here."
   },
   {
    "name": "HasAlternateChannelAttempt",
    "datatype": "boolean",
    "type": "calculated",
    "nullable": true,
    "Description": "TRUE when a follow-up intent on another channel was raised for this refused send.",
    "formula": "={{AlternateChannelIntent}} &lt;&gt; \"\""
   },
   {
    "name": "AlternateAttemptWasCleared",
    "datatype": "boolean",
    "type": "lookup",
    "nullable": true,
    "Description": "Whether the follow-up intent itself passed all gates.",
    "formula": "=INDEX(SendIntents!{{IsClearedToSend}}, MATCH({{AlternateChannelIntent}}, SendIntents!{{SendIntentId}}, 0))"
   },
   {
    "name": "IsRefusedWithNoAlternative",
    "datatype": "boolean",
    "type": "calculated",
    "nullable": true,
    "Description": "TRUE when a send was refused and no attempt was ever made on any other channel.",
    "formula": "=AND(NOT({{IsClearedToSend}}), NOT({{HasAlternateChannelAttempt}}))"
   },
   {
    "name": "ExceptionPrescribedAnAlternative",
    "datatype": "boolean",
    "type": "calculated",
    "nullable": true,
    "Description": "TRUE when the documented exception for this refusal prescribes a different-channel send as the correct handling.",
    "formula": "=AND({{RefusalCitedAnException}}, {{ResultingDeliveryException}} &lt;&gt; \"\")"
   },
   {
    "name": "PrescribedHandlingWasPerformed",
    "datatype": "boolean",
    "type": "calculated",
    "nullable": true,
    "Description": "TRUE when the exception prescribed an alternate channel and an alternate intent was actually raised and cleared.",
    "formula": "=AND({{ExceptionPrescribedAnAlternative}}, AND({{HasAlternateChannelAttempt}}, {{AlternateAttemptWasCleared}}))"
   },
   {
    "name": "IsSuppressionWithoutRemedy",
    "datatype": "boolean",
    "type": "calculated",
    "nullable": true,
    "Description": "TRUE when we cited an exception that prescribed an alternate channel and then never performed it.",
    "formula": "=AND({{ExceptionPrescribedAnAlternative}}, NOT({{PrescribedHandlingWasPerformed}}))"
   },
   {
    "name": "RefusalRecordedAt",
    "datatype": "datetime",
    "type": "raw",
    "nullable": true,
    "Description": "When this refusal was written to a durable record. Empty when no record was ever emitted."
   },
   {
    "name": "RefusalNotifiedRole",
    "datatype": "string",
    "type": "relationship",
    "nullable": true,
    "Description": "The role informed that this send was refused.",
    "RelatedTo": "Roles"
   },
   {
    "name": "HasDurableRefusalRecord",
    "datatype": "boolean",
    "type": "calculated",
    "nullable": true,
    "Description": "TRUE when this refusal was written down somewhere a human can find it.",
    "formula": "={{RefusalRecordedAt}} &lt;&gt; \"\""
   },
   {
    "name": "RefusalWasEscalated",
    "datatype": "boolean",
    "type": "calculated",
    "nullable": true,
    "Description": "TRUE when a specific role was notified of this refusal.",
    "formula": "={{RefusalNotifiedRole}} &lt;&gt; \"\""
   },
   {
    "name": "IsUnrecordedRefusal",
    "datatype": "boolean",
    "type": "calculated",
    "nullable": true,
    "Description": "TRUE when I refused a send and produced no delivery record, no refusal record, and no exception. The refusal left no trace of any kind.",
    "formula": "=AND({{IsSilentlyDropped}}, AND(NOT({{HasDurableRefusalRecord}}), NOT({{RefusalCitedAnException}})))"
   },
   {
    "name": "IsUnescalatedRefusal",
    "datatype": "boolean",
    "type": "calculated",
    "nullable": true,
    "Description": "TRUE when a refusal was recorded but no human role was ever told.",
    "formula": "=AND(NOT({{IsClearedToSend}}), NOT({{RefusalWasEscalated}}))"
   },
   {
    "name": "UnescalatedRefusalRoleKey",
    "datatype": "string",
    "type": "calculated",
    "nullable": true,
    "Description": "Echoes the role that should have been told about this refusal, but only when the refusal went unrecorded. Empty otherwise.",
    "formula": "=IF({{IsUnrecordedRefusal}}, {{RefusalNotifiedRole}}, \"\")"
   },
   {
    "name": "UnrecordedRefusalExecutionKey",
    "datatype": "string",
    "type": "calculated",
    "nullable": true,
    "Description": "Echoes the parent procedure execution only for refusals nobody recorded; empty otherwise.",
    "formula": "=IF({{IsUnrecordedRefusal}}, {{ProcedureExecution}}, \"\")"
   },
   {
    "name": "RetryIntent",
    "datatype": "string",
    "type": "raw",
    "nullable": true,
    "Description": "The intent I raised when the quiet window reopened for this deferred send. Raw identifier rather than an FK: a SendIntents self-reference is not expressible as a relationship without making the table depend on itself."
   },
   {
    "name": "WasDeferredOnTiming",
    "datatype": "boolean",
    "type": "calculated",
    "nullable": true,
    "Description": "TRUE when the timing gate is the reason this intent did not clear, and every other gate passed.",
    "formula": "=AND(NOT({{TimingGatePassed}}), AND({{PermissionGatePassed}}, {{ContentGatePassed}}))"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against.",
    "formula": "=INDEX(EvaluationContexts!{{AsOfInstant}}, MATCH({{EvaluationContext}}, EvaluationContexts!{{EvaluationContextId}}, 0))"
   },
   {
    "name": "WindowHasSinceReopened",
    "datatype": "boolean",
    "type": "calculated",
    "nullable": true,
    "Description": "TRUE when enough time has passed since evaluation that the quiet window this intent hit must have closed.",
    "formula": "=AND({{HoursUntilWindowOpens}} &gt; 0, DATETIME_DIFF({{AsOfInstant}}, {{EvaluatedAt}}, \"hours\") &gt; {{HoursUntilWindowOpens}})"
   },
   {
    "name": "HasRetryAttempt",
    "datatype": "boolean",
    "type": "calculated",
    "nullable": true,
    "Description": "TRUE when a retry intent was raised for this deferred send.",
    "formula": "={{RetryIntent}} &lt;&gt; \"\""
   },
   {
    "name": "RetryWasCleared",
    "datatype": "boolean",
    "type": "lookup",
    "nullable": true,
    "Description": "Whether the retry intent itself passed all gates.",
    "formula": "=INDEX(SendIntents!{{IsClearedToSend}}, MATCH({{RetryIntent}}, SendIntents!{{SendIntentId}}, 0))"
   },
   {
    "name": "IsAbandonedDeferral",
    "datatype": "boolean",
    "type": "calculated",
    "nullable": true,
    "Description": "TRUE when a send was deferred for timing, the window has since reopened, and no retry was ever raised. A deferral silently converted into a cancellation.",
    "formula": "=AND({{WasDeferredOnTiming}}, AND({{WindowHasSinceReopened}}, NOT({{HasRetryAttempt}})))"
   },
   {
    "name": "DeferralAgeHours",
    "datatype": "integer",
    "type": "calculated",
    "nullable": true,
    "Description": "How long this deferred intent has been sitting since evaluation.",
    "formula": "=DATETIME_DIFF({{AsOfInstant}}, {{EvaluatedAt}}, \"hours\")"
   },
   {
    "name": "IsStaleDeferral",
    "datatype": "boolean",
    "type": "calculated",
    "nullable": true,
    "Description": "TRUE when a deferred send has been waiting more than 24 hours -- longer than any quiet window can justify.",
    "formula": "=AND({{WasDeferredOnTiming}}, {{DeferralAgeHours}} &gt; 24)"
   },
   {
    "name": "EvaluatingRoleAssignment",
    "datatype": "string",
    "type": "raw",
    "nullable": true,
    "Description": "The RoleAssignments id under which the pipeline evaluated this send intent. Raw rather than an FK because SendIntents already sits downstream of the execution graph and an added edge to RoleAssignments is not needed to resolve it."
   },
   {
    "name": "EnforcedByUnauthorizedAgent",
    "datatype": "boolean",
    "type": "lookup",
    "nullable": true,
    "Description": "Whether the gate decision on this intent was made by an agent holding an unauthorized enforcement assignment.",
    "formula": "=INDEX(RoleAssignments!{{IsUnauthorizedEnforcementAgent}}, MATCH({{EvaluatingRoleAssignment}}, RoleAssignments!{{RoleAssignmentId}}, 0))"
   },
   {
    "name": "ConsentInputWasResolvable",
    "datatype": "boolean",
    "type": "calculated",
    "nullable": true,
    "Description": "TRUE when the recipient's consent state was actually retrievable, as opposed to absent and read as a refusal.",
    "formula": "={{RecipientConsentStatusRaw}} &lt;&gt; \"\""
   },
   {
    "name": "RecipientConsentStatusRaw",
    "datatype": "string",
    "type": "lookup",
    "nullable": true,
    "Description": "The recipient's consent status as a string: Granted, Revoked, NeverGiven, or empty if no consent record exists at all.",
    "formula": "=INDEX(Recipients!{{SmsConsentStatus}}, MATCH({{Recipient}}, Recipients!{{RecipientId}}, 0))"
   },
   {
    "name": "PolicyInputWasResolvable",
    "datatype": "boolean",
    "type": "calculated",
    "nullable": true,
    "Description": "TRUE when a governing communication policy was actually found for this intent.",
    "formula": "={{IntentPolicy}} &lt;&gt; \"\""
   },
   {
    "name": "AllGateInputsResolved",
    "datatype": "boolean",
    "type": "calculated",
    "nullable": true,
    "Description": "TRUE when every input my gates depend on was actually retrievable.",
    "formula": "=AND({{ConsentInputWasResolvable}}, {{PolicyInputWasResolvable}})"
   },
   {
    "name": "IsUnevaluableRefusal",
    "datatype": "boolean",
    "type": "calculated",
    "nullable": true,
    "Description": "TRUE when I refused a send but at least one gate input could not be resolved -- so I do not actually know whether the rule was violated or merely unreadable.",
    "formula": "=AND(NOT({{IsClearedToSend}}), NOT({{AllGateInputsResolved}}))"
   },
   {
    "name": "GateResultWasIndependentlyConfirmed",
    "datatype": "boolean",
    "type": "raw",
    "nullable": true,
    "Description": "Whether any agent other than me verified this gate outcome."
   },
   {
    "name": "IsSelfWitnessedDecision",
    "datatype": "boolean",
    "type": "calculated",
    "nullable": true,
    "Description": "TRUE when the entire decision to send or refuse rests solely on my own computation, unconfirmed by anything else.",
    "formula": "=NOT({{GateResultWasIndependentlyConfirmed}})"
   },
   {
    "name": "IsIndependentlyConfirmed",
    "datatype": "boolean",
    "type": "calculated",
    "nullable": true,
    "Description": "TRUE when this intent's decision was corroborated by an actual delivery record rather than resting solely on the pipeline's own say-so.",
    "formula": "=AND({{HasResultingDelivery}}, {{ResultingDeliveryWasTransmitted}})"
   },
   {
    "name": "IndependentlyConfirmedExecutionKey",
    "datatype": "string",
    "type": "calculated",
    "nullable": true,
    "Description": "Echoes the parent execution only for independently confirmed intents; empty otherwise.",
    "formula": "=IF({{IsIndependentlyConfirmed}}, {{ProcedureExecution}}, \"\")"
   },
   {
    "name": "SemanticTypeIri",
    "datatype": "string",
    "type": "raw",
    "nullable": true,
    "Description": "Extension IRI; pre-send intents are not a PKO 2.0.0 native class."
   }
  ],
  "data": [
   {
    "SendIntentId": "si-001",
    "ProcedureExecution": "exec-policy-hr4821",
    "StepExecution": "se-policy04",
    "Recipient": "rec-001",
    "MessageTemplate": "tmpl-policy-sms",
    "ProposedBody": "Policy HR-4821 update. Review and acknowledge: https://example.com/hr4821 Reply STOP to opt out",
    "ProposedSendAtLocalHour": 14,
    "EvaluatedAt": "2026-07-18T14:04:00-05:00",
    "ResultingDelivery": "md-001",
    "ProposedBodyLength": 95,
    "ProposedSegmentCount": 1,
    "ProposedOptOutPosition": 75,
    "SemanticTypeIri": "urn:effortless:pko-extension#SendIntent",
    "EvaluationContext": "eval-current",
    "Name": "rec-001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true,
    "BlockingGateName": null,
    "HasResultingDelivery": true,
    "ResultingDeliveryWasTransmitted": true,
    "IsOverriddenRefusal": false,
    "IsSilentlyDropped": false,
    "RefusalCitedAnException": false,
    "IsProperlyHandledRefusal": false,
    "RefusalFailureExecutionKey": null,
    "IntentExecutionKey": "exec-policy-hr4821",
    "DeliveredIntentExecutionKey": "exec-policy-hr4821",
    "DroppedIntentExecutionKey": null,
    "MyApprovalWasInForce": true,
    "RefusedOnApprovedContent": false,
    "RefusedOnOptOutOnly": false,
    "RefusalWasOnMyRules": false,
    "RefusalWasOutsideMyControl": false,
    "IsUnreportedRefusalOnMyRules": false,
    "IsApprovalOverriddenSilently": false,
    "HasAlternateChannelAttempt": false,
    "IsRefusedWithNoAlternative": false,
    "ExceptionPrescribedAnAlternative": false,
    "PrescribedHandlingWasPerformed": false,
    "IsSuppressionWithoutRemedy": false,
    "HasDurableRefusalRecord": false,
    "RefusalWasEscalated": false,
    "IsUnrecordedRefusal": false,
    "IsUnescalatedRefusal": false,
    "UnescalatedRefusalRoleKey": null,
    "UnrecordedRefusalExecutionKey": null,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true,
    "IndependentlyConfirmedExecutionKey": "exec-policy-hr4821",
    "ResultingDeliveryException": null,
    "AlternateAttemptWasCleared": false,
    "RetryWasCleared": false
   },
   {
    "SendIntentId": "si-002",
    "ProcedureExecution": "exec-policy-hr4821",
    "StepExecution": "se-policy04",
    "Recipient": "rec-003",
    "MessageTemplate": "tmpl-policy-sms",
    "ProposedBody": "Policy HR-4821 update. Review and acknowledge: https://example.com/hr4821 Reply STOP to opt out",
    "ProposedSendAtLocalHour": 14,
    "EvaluatedAt": "2026-07-18T14:04:00-05:00",
    "ResultingDelivery": null,
    "ProposedBodyLength": 95,
    "ProposedSegmentCount": 1,
    "ProposedOptOutPosition": 75,
    "SemanticTypeIri": "urn:effortless:pko-extension#SendIntent",
    "EvaluationContext": "eval-current",
    "Name": "rec-003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
  </si>
  <si>
    <t xml:space="preserve">true,
    "HoursUntilWindowOpens": 0,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true,
    "BlockingGateName": null,
    "HasResultingDelivery": false,
    "IsOverriddenRefusal": false,
    "IsSilentlyDropped": false,
    "RefusalCitedAnException": false,
    "IsProperlyHandledRefusal": false,
    "RefusalFailureExecutionKey": null,
    "IntentExecutionKey": "exec-policy-hr4821",
    "DeliveredIntentExecutionKey": null,
    "DroppedIntentExecutionKey": null,
    "MyApprovalWasInForce": true,
    "RefusedOnApprovedContent": false,
    "RefusedOnOptOutOnly": false,
    "RefusalWasOnMyRules": false,
    "RefusalWasOutsideMyControl": false,
    "IsUnreportedRefusalOnMyRules": false,
    "IsApprovalOverriddenSilently": false,
    "HasAlternateChannelAttempt": false,
    "IsRefusedWithNoAlternative": false,
    "ExceptionPrescribedAnAlternative": false,
    "PrescribedHandlingWasPerformed": false,
    "IsSuppressionWithoutRemedy": false,
    "HasDurableRefusalRecord": false,
    "RefusalWasEscalated": false,
    "IsUnrecordedRefusal": false,
    "IsUnescalatedRefusal": false,
    "UnescalatedRefusalRoleKey": null,
    "UnrecordedRefusalExecutionKey": null,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"RetryWasCleared": false
   },
   {
    "SendIntentId": "si-003",
    "ProcedureExecution": "exec-policy-hr4821",
    "StepExecution": "se-policy04",
    "Recipient": "rec-001",
    "MessageTemplate": "tmpl-policy-sms",
    "ProposedBody": "Policy HR-4821 update. Review and acknowledge: https://example.com/hr4821 Reply STOP to opt out",
    "ProposedSendAtLocalHour": 21,
    "EvaluatedAt": "2026-07-18T14:04:00-05:00",
    "ResultingDelivery": null,
    "ProposedBodyLength": 95,
    "ProposedSegmentCount": 1,
    "ProposedOptOutPosition": 75,
    "SemanticTypeIri": "urn:effortless:pko-extension#SendIntent",
    "EvaluationContext": "eval-current",
    "Name": "rec-001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true,
    "TimingGatePassed": false,
    "HoursUntilWindowOpens": 11,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false,
    "BlockingGateName": "Timing",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false,
    "RefusedOnOptOutOnly": false,
    "RefusalWasOnMyRules": true,
    "RefusalWasOutsideMyControl": false,
    "IsUnreportedRefusalOnMyRules": true,
    "IsApprovalOverriddenSilently": false,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true,
    "AsOfInstant": "2026-07-19T13:00:00-05:00",
    "WindowHasSinceReopened": true,
    "HasRetryAttempt": false,
    "IsAbandonedDeferral": true,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"si-004",
    "ProcedureExecution": "exec-policy-hr4821",
    "StepExecution": "se-policy04",
    "Recipient": "rec-002",
    "MessageTemplate": "tmpl-policy-sms",
    "ProposedBody": "Policy HR-4821 update. This notice explains the revised remote-work expectations, the effective date, the acknowledgement deadline, and who to contact with questions about how the change affects your specific arrangement. Reply STOP to opt out",
    "ProposedSendAtLocalHour": 14,
    "EvaluatedAt": "2026-07-18T14:04:00-05:00",
    "ResultingDelivery": null,
    "ProposedBodyLength": 243,
    "ProposedSegmentCount": 2,
    "ProposedOptOutPosition": 223,
    "SemanticTypeIri": "urn:effortless:pko-extension#SendIntent",
    "EvaluationContext": "eval-current",
    "Name": "rec-002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false,
    "ContentGatePassed": false,
    "TemplateIsSendable": true,
    "ExecutionHasLegalClearance": true,
    "IntentApprovalRole": "communications-manager",
    "ApprovalRoleAgentKind": "Human",
    "ApprovalIsHuman": true,
    "AuthorizationGatePassed": true,
    "IsClearedToSend": false,
    "BlockingGateName": "Content",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true,
    "RefusedOnOptOutOnly": true,
    "RefusalWasOnMyRules": true,
    "RefusalWasOutsideMyControl": false,
    "IsUnreportedRefusalOnMyRules": true,
    "IsApprovalOverriddenSilently": true,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"si-005",
    "ProcedureExecution": "exec-policy-hr4821",
    "StepExecution": "se-policy04",
    "Recipient": "rec-002",
    "MessageTemplate": "tmpl-policy-sms",
    "ProposedBody": "Policy HR-4821 update. Review and acknowledge: https://example.com/hr4821",
    "ProposedSendAtLocalHour": 14,
    "EvaluatedAt": "2026-07-18T14:04:00-05:00",
    "ResultingDelivery": null,
    "ProposedBodyLength": 73,
    "ProposedSegmentCount": 1,
    "ProposedOptOutPosition": 0,
    "SemanticTypeIri": "urn:effortless:pko-extension#SendIntent",
    "EvaluationContext": "eval-current",
    "Name": "rec-002 / tmpl-policy-sms / intent",
    "IntentPolicy": "comm-sms-policy",
    "IntentChannel": "SMS",
    "PolicyIsActive": true,
    "IntentRequiresConsent": true,
    "RecipientHasChannelConsent": true,
    "ConsentGatePassed": true,
    "RecipientIsSmsReachable": true,
    "RecipientIsEmailReachable": true,
    "ReachabilityGatePassed": true,
    "PermissionGatePassed": true,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false,
    "ContentGatePassed": false,
    "TemplateIsSendable": true,
    "ExecutionHasLegalClearance": true,
    "IntentApprovalRole": "communications-manager",
    "ApprovalRoleAgentKind": "Human",
    "ApprovalIsHuman": true,
    "AuthorizationGatePassed": true,
    "IsClearedToSend": false,
    "BlockingGateName": "Content",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true,
    "RefusedOnOptOutOnly": true,
    "RefusalWasOnMyRules": true,
    "RefusalWasOutsideMyControl": false,
    "IsUnreportedRefusalOnMyRules": true,
    "IsApprovalOverriddenSilently": true,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"si-006",
    "ProcedureExecution": "exec-policy-hr4821",
    "StepExecution": "se-policy04",
    "Recipient": "rec-005",
    "MessageTemplate": "tmpl-policy-sms",
    "ProposedBody": "Policy HR-4821 update. Review and acknowledge: https://example.com/hr4821 Reply STOP to opt out",
    "ProposedSendAtLocalHour": 14,
    "EvaluatedAt": "2026-07-18T14:04:00-05:00",
    "ResultingDelivery": null,
    "ProposedBodyLength": 95,
    "ProposedSegmentCount": 1,
    "ProposedOptOutPosition": 75,
    "SemanticTypeIri": "urn:effortless:pko-extension#SendIntent",
    "EvaluationContext": "eval-current",
    "Name": "rec-005 / tmpl-policy-sms / intent",
    "IntentPolicy": "comm-sms-policy",
    "IntentChannel": "SMS",
    "PolicyIsActive": true,
    "IntentRequiresConsent": true,
    "RecipientHasChannelConsent": false,
    "ConsentGatePassed": false,
    "RecipientIsSmsReachable": false,
    "RecipientIsEmailReachable": true,
    "ReachabilityGatePassed": false,
    "PermissionGatePassed": false,
    "IntentQuietStartHour": 20,
    "IntentQuietEndHour": 8,
    "IntentPolicyHasQuietHours": true,
    "IntentQuietWindowWraps": true,
    "IntentIsInsideQuietWindow": false,
    "TimingGatePassed": true,
    "HoursUntilWindowOpens": 0,
    "IntentMaxMessageLength": 160,
    "IntentMaxSegments": 3,
    "LengthGatePassed": true,
    "IntentRequiredOptOutPhrase": "Reply STOP to opt out",
    "OptOutGatePassed": true,
    "ContentGatePassed": true,
    "TemplateIsSendable": true,
    "ExecutionHasLegalClearance": true,
    "IntentApprovalRole": "communications-manager",
    "ApprovalRoleAgentKind": "Human",
    "ApprovalIsHuman": true,
    "AuthorizationGatePassed": true,
    "IsClearedToSend": false,
    "BlockingGateName": "Permission",
    "HasResultingDelivery": false,
    "IsOverriddenRefusal": false,
    "IsSilentlyDropped": true,
    "RefusalCitedAnException": false,
    "IsProperlyHandledRefusal": false,
    "RefusalFailureExecutionKey": "exec-policy-hr4821",
    "IntentExecutionKey": "exec-policy-hr4821",
    "DeliveredIntentExecutionKey": null,
    "DroppedIntentExecutionKey": "exec-policy-hr4821",
    "MyApprovalWasInForce": true,
    "RefusedOnApprovedContent": false,
    "RefusedOnOptOutOnly": false,
    "RefusalWasOnMyRules": false,
    "RefusalWasOutsideMyControl": true,
    "IsUnreportedRefusalOnMyRules": false,
    "IsApprovalOverriddenSilently": false,
    "HasAlternateChannelAttempt": false,
    "IsRefusedWithNoAlternative": true,
    "ExceptionPrescribedAnAlternative": false,
    "PrescribedHandlingWasPerformed": false,
    "IsSuppressionWithoutRemedy": false,
    "HasDurableRefusalRecord": false,
    "RefusalWasEscalated": false,
    "IsUnrecordedRefusal": true,
    "IsUnescalatedRefusal": true,
    "UnrecordedRefusalExecutionKey": "exec-policy-hr4821",
    "WasDeferredOnTiming": false,
    "AsOfInstant": "2026-07-19T13:00:00-05:00",
    "WindowHasSinceReopened": false,
    "HasRetryAttempt": false,
    "IsAbandonedDeferral": false,
    "DeferralAgeHours": 23,
    "IsStaleDeferral": false,
    "EnforcedByUnauthorizedAgent": false,
    "ConsentInputWasResolvable": true,
    "RecipientConsentStatusRaw": "NeverGranted",
    "PolicyInputWasResolvable": true,
    "AllGateInputsResolved": true,
    "IsUnevaluableRefusal": false,
    "IsSelfWitnessedDecision": true,
    "IsIndependentlyConfirmed": false,
    "IndependentlyConfirmedExecutionKey": null,
    "ResultingDeliveryWasTransmitted": false,
    "ResultingDeliveryException": null,
    "AlternateAttemptWasCleared": false,
    "UnescalatedRefusalRoleKey": null,
    "RetryWasCleared": false
   },
   {
    "SendIntentId": "si-007",
    "ProcedureExecution": "exec-policy-hr4821",
    "StepExecution": "se-policy04",
    "Recipient": "rec-001",
    "MessageTemplate": "tmpl-policy-email",
    "ProposedBody": "Policy HR-4821 update. Review and acknowledge: https://example.com/hr4821 Reply STOP to opt out",
    "ProposedSendAtLocalHour": 14,
    "EvaluatedAt": "2026-07-18T14:04:00-05:00",
    "ResultingDelivery": "md-001",
    "ProposedBodyLength": 95,
    "ProposedSegmentCount": 1,
    "ProposedOptOutPosition": 0,
    "SemanticTypeIri": "urn:effortless:pko-extension#SendIntent",
    "EvaluationContext": "eval-current",
    "Name": "rec-001 / tmpl-policy-email / intent",
    "IntentPolicy": "comm-email-policy",
    "IntentChannel": "Email",
    "PolicyIsActive": true,
    "IntentRequiresConsent": false,
    "RecipientHasChannelConsent": true,
    "ConsentGatePassed": true,
    "RecipientIsSmsReachable": true,
    "RecipientIsEmailReachable": true,
    "ReachabilityGatePassed": true,
    "PermissionGatePassed": true,
    "IntentQuietStartHour": 0,
    "IntentQuietEndHour": 0,
    "IntentPolicyHasQuietHours": false,
    "IntentQuietWindowWraps": false,
    "IntentIsInsideQuietWindow": false,
    "TimingGatePassed": true,
    "HoursUntilWindowOpens": 0,
    "IntentMaxMessageLength": 100000,
    "IntentMaxSegments": 1,
    "LengthGatePassed": true,
    "OptOutGatePassed": true,
    "ContentGatePassed": true,
    "TemplateIsSendable": true,
    "ExecutionHasLegalClearance": true,
    "IntentApprovalRole": "communications-manager",
    "ApprovalRoleAgentKind": "Human",
    "ApprovalIsHuman": true,
    "AuthorizationGatePassed": true,
    "IsClearedToSend": true,
    "BlockingGateName": null,
    "HasResultingDelivery": true,
    "ResultingDeliveryWasTransmitted": true,
    "IsOverriddenRefusal": false,
    "IsSilentlyDropped": false,
    "RefusalCitedAnException": false,
    "IsProperlyHandledRefusal": false,
    "RefusalFailureExecutionKey": null,
    "IntentExecutionKey": "exec-policy-hr4821",
    "DeliveredIntentExecutionKey": "exec-policy-hr4821",
    "DroppedIntentExecutionKey": null,
    "MyApprovalWasInForce": true,
    "RefusedOnApprovedContent": false,
    "RefusedOnOptOutOnly": false,
    "RefusalWasOnMyRules": false,
    "RefusalWasOutsideMyControl": false,
    "IsUnreportedRefusalOnMyRules": false,
    "IsApprovalOverriddenSilently": false,
    "HasAlternateChannelAttempt": false,
    "IsRefusedWithNoAlternative": false,
    "ExceptionPrescribedAnAlternative": false,
    "PrescribedHandlingWasPerformed": false,
    "IsSuppressionWithoutRemedy": false,
    "HasDurableRefusalRecord": false,
    "RefusalWasEscalated": false,
    "IsUnrecordedRefusal": false,
    "IsUnescalatedRefusal": false,
    "UnescalatedRefusalRoleKey": null,
    "UnrecordedRefusalExecutionKey": null,
    "WasDeferredOnTiming": false,
    "AsOfInstant": "2026-07-19T13:00:00-05:00",
    "WindowHasSinceReopened": false,
    "HasRetryAttempt": false,
    "IsAbandonedDeferral": false,
    "DeferralAgeHours": 23,
    "IsStaleDeferral": false,
    "EnforcedByUnauthorizedAgent": false,
    "ConsentInputWasResolvable": true,
    "RecipientConsentStatusRaw": "Granted",
    "PolicyInputWasResolvable": true,
    "AllGateInputsResolved": true,
    "IsUnevaluableRefusal": false,
    "IsSelfWitnessedDecision": true,
    "IsIndependentlyConfirmed": true,
    "IndependentlyConfirmedExecutionKey": "exec-policy-hr4821",
    "IntentRequiredOptOutPhrase": null,
    "ResultingDeliveryException": null,
    "AlternateAttemptWasCleared": false,
    "RetryWasCleared": false
   }
  ]
 },
 "AgentDecisionRecords": {
  "Description": "AgentDecisionRecords (added by witness loop 1).",
  "schema": [
   {
    "name": "AgentDecisionRecordId",
    "datatype": "string",
    "type": "raw",
    "nullable": false,
    "Description": "Stored logical identifier for one AgentDecisionRecords row."
   },
   {
    "name": "Name",
    "datatype": "string",
    "type": "calculated",
    "nullable": true,
    "Description": "Human-readable calculated display alias for the AgentDecisionRecords row.",
    "formula": "={{DecidingAgent}} &amp; \": \" &amp; LEFT({{DecisionSummary}}, 60)"
   },
   {
    "name": "StepExecution",
    "datatype": "string",
    "type": "relationship",
    "nullable": true,
    "Description": "Step execution during which the decision was made.",
    "RelatedTo": "StepExecutions"
   },
   {
    "name": "DecidingAgent",
    "datatype": "string",
    "type": "relationship",
    "nullable": true,
    "Description": "Agent that made the decision.",
    "RelatedTo": "Agents"
   },
   {
    "name": "DecisionKind",
    "datatype": "string",
    "type": "raw",
    "nullable": true,
    "Description": "Classification, Prioritization, Draft, Suppression, Escalation, or Posting."
   },
   {
    "name": "DecisionSummary",
    "datatype": "string",
    "type": "raw",
    "nullable": true,
    "Description": "What the agent decided, in one sentence."
   },
   {
    "name": "DecidedAt",
    "datatype": "datetime",
    "type": "raw",
    "nullable": true,
    "Description": "When the decision was made."
   },
   {
    "name": "MaterialityBand",
    "datatype": "string",
    "type": "raw",
    "nullable": true,
    "Description": "BelowThreshold, Material, or Escalated."
   },
   {
    "name": "HumanDisposition",
    "datatype": "string",
    "type": "raw",
    "nullable": true,
    "Description": "Accepted, Corrected, Reversed, or NotReviewed."
   },
   {
    "name": "ReviewedByAgent",
    "datatype": "string",
    "type": "relationship",
    "nullable": true,
    "Description": "Human agent that dispositioned the decision.",
    "RelatedTo": "Agents"
   },
   {
    "name": "ReviewedAt",
    "datatype": "datetime",
    "type": "raw",
    "nullable": true,
    "Description": "When a human dispositioned the decision."
   },
   {
    "name": "WasOverridden",
    "datatype": "boolean",
    "type": "calculated",
    "nullable": true,
    "Description": "TRUE when a human corrected or reversed this decision.",
    "formula": "=OR({{HumanDisposition}} = \"Corrected\", {{HumanDisposition}} = \"Reversed\")"
   },
   {
    "name": "WasReviewed",
    "datatype": "boolean",
    "type": "calculated",
    "nullable": true,
    "Description": "TRUE when a human actually dispositioned this decision.",
    "formula": "=AND({{HumanDisposition}} &lt;&gt; \"\", {{HumanDisposition}} &lt;&gt; \"NotReviewed\")"
   },
   {
    "name": "DecidingAgentKind",
    "datatype": "string",
    "type": "lookup",
    "nullable": true,
    "Description": "Whether the deciding agent is Human, AIAgent, or AutomatedPipeline.",
    "formula": "=INDEX(Agents!{{AgentKind}}, MATCH({{DecidingAgent}}, Agents!{{AgentId}}, 0))"
   },
   {
    "name": "DecidingAgentWhenOverridden",
    "datatype": "string",
    "type": "calculated",
    "nullable": true,
    "Description": "Echoes the deciding agent id when the decision was overridden, blank otherwise.",
    "formula": "=IF({{WasOverridden}}, {{DecidingAgent}}, \"\")"
   },
   {
    "name": "UnderRoleAssignment",
    "datatype": "string",
    "type": "relationship",
    "nullable": true,
    "Description": "Role assignment in force when the decision was made; anchors the decision to one side of a handover.",
    "RelatedTo": "RoleAssignments"
   },
   {
    "name": "RoleAssignmentWhenScored",
    "datatype": "string",
    "type": "calculated",
    "nullable": true,
    "Description": "Echoes the governing role assignment when one is recorded, blank otherwise.",
    "formula": "=IF({{UnderRoleAssignment}} &lt;&gt; \"\", {{UnderRoleAssignment}}, \"\")"
   },
   {
    "name": "RoleAssignmentWhenOverridden",
    "datatype": "string",
    "type": "calculated",
    "nullable": true,
    "Description": "Echoes the governing role assignment when the decision was overridden, blank otherwise.",
    "formula": "=IF({{WasOverridden}}, {{UnderRoleAssignment}}, \"\")"
   },
   {
    "name": "StepOfDecision",
    "datatype": "string",
    "type": "lookup",
    "nullable": true,
    "Description": "The specified step at which this decision was made.",
    "formula": "=INDEX(StepExecutions!{{Step}}, MATCH({{StepExecution}}, StepExecutions!{{StepExecutionId}}, 0))"
   },
   {
    "name": "BoundaryMatchKey",
    "datatype": "string",
    "type": "calculated",
    "nullable": true,
    "Description": "Composite key of step, deciding agent kind, and decision kind for this decision.",
    "formula": "={{StepOfDecision}} &amp; \"|\" &amp; {{DecidingAgentKind}} &amp; \"|\" &amp; {{DecisionKind}}"
   },
   {
    "name": "MatchingBoundaryCount",
    "datatype": "number",
    "type": "aggregation",
    "nullable": true,
    "Description": "Number of authority boundaries this decision matches.",
    "formula": "=COUNTIFS(AuthorityBoundaries!{{BoundaryMatchKey}}, {{BoundaryMatchKey}})"
   },
   {
    "name": "ViolatedAuthorityBoundary",
    "datatype": "boolean",
    "type": "calculated",
    "nullable": true,
    "Description": "TRUE when this decision matches an authority boundary that forbids it.",
    "formula": "={{MatchingBoundaryCount}} &gt; 0"
   },
   {
    "name": "ReviewerAgentKind",
    "datatype": "string",
    "type": "lookup",
    "nullable": true,
    "Description": "Agent kind of the reviewer, if any.",
    "formula": "=INDEX(Agents!{{AgentKind}}, MATCH({{ReviewedByAgent}}, Agents!{{AgentId}}, 0))"
   },
   {
    "name": "HasHumanConfirmation",
    "datatype": "boolean",
    "type": "calculated",
    "nullable": true,
    "Description": "TRUE when a human agent actually dispositioned this decision.",
    "formula": "=AND({{ReviewerAgentKind}} = \"Human\", {{HumanDisposition}} &lt;&gt; \"\", {{HumanDisposition}} &lt;&gt; \"NotReviewed\")"
   },
   {
    "name": "NeedsHumanConfirmation",
    "datatype": "boolean",
    "type": "calculated",
    "nullable": true,
    "Description": "TRUE when a non-human agent made a material or escalated decision.",
    "formula": "=AND(NOT({{DecidingAgentKind}} = \"Human\"), OR({{MaterialityBand}} = \"Material\", {{MaterialityBand}} = \"Escalated\"))"
   },
   {
    "name": "IsUnconfirmedNonHumanDecision",
    "datatype": "boolean",
    "type": "calculated",
    "nullable": true,
    "Description": "TRUE when a material non-human decision was never confirmed by a human.",
    "formula": "=AND({{NeedsHumanConfirmation}}, NOT({{HasHumanConfirmation}}))"
   },
   {
    "name": "StepExecutionWhenUnconfirmed",
    "datatype": "string",
    "type": "calculated",
    "nullable": true,
    "Description": "Echoes the step-execution id when the decision is an unconfirmed non-human material decision, blank otherwise.",
    "formula": "=IF({{IsUnconfirmedNonHumanDecision}}, {{StepExecution}}, \"\")"
   },
   {
    "name": "AgentWhenBoundaryViolated",
    "datatype": "string",
    "type": "calculated",
    "nullable": true,
    "Description": "Echoes the deciding agent id when the decision violated a boundary, blank otherwise.",
    "formula": "=IF({{ViolatedAuthorityBoundary}}, {{DecidingAgent}}, \"\")"
   },
   {
    "name": "ReviewLatencyMinutes",
    "datatype": "number",
    "type": "calculated",
    "nullable": true,
    "Description": "Minutes between the decision and its human disposition; 0 when never reviewed. Declared number, not integer: DATETIME_DIFF returns a numeric and an integer cast makes the entire view fail on read.",
    "formula": "=IF({{ReviewedAt}} = \"\", 0, DATETIME_DIFF({{ReviewedAt}}, {{DecidedAt}}, \"minutes\"))"
   },
   {
    "name": "IsDraftKind",
    "datatype": "boolean",
    "type": "calculated",
    "nullable": true,
    "Description": "TRUE when this decision produced text — the drafter's own output class.",
    "formula": "=OR({{DecisionKind}} = \"Draft\", {{DecisionKind}} = \"Commitment\")"
   },
   {
    "name": "AgentWhenDraftOverridden",
    "datatype": "string",
    "type": "calculated",
    "nullable": true,
    "Description": "Echoes the deciding agent id when a drafting decision was overridden, blank otherwise.",
    "formula": "=IF(AND({{IsDraftKind}}, {{WasOverridden}}), {{DecidingAgent}}, \"\")"
   },
   {
    "name": "AgentWhenDraft",
    "datatype": "string",
    "type": "calculated",
    "nullable": true,
    "Description": "Echoes the deciding agent id when the decision produced text, blank otherwise.",
    "formula": "=IF({{IsDraftKind}}, {{DecidingAgent}}, \"\")"
   },
   {
    "name": "OverrideReasonKind",
    "datatype": "string",
    "type": "raw",
    "nullable": true,
    "Description": "Why the human changed my output: ErrorCorrection, JudgmentReserved, PolicyChange, or empty when not overridden."
   },
   {
    "name": "IsErrorCorrection",
    "datatype": "boolean",
    "type": "calculated",
    "nullable": true,
    "Description": "TRUE when the override corrected something I got wrong.",
    "formula": "=AND({{WasOverridden}}, {{OverrideReasonKind}} = \"ErrorCorrection\")"
   },
   {
    "name": "IsReservedJudgmentOverride",
    "datatype": "boolean",
    "type": "calculated",
    "nullable": true,
    "Description": "TRUE when the override was a human exercising authority the procedure always reserved to them.",
    "formula": "=AND({{WasOverridden}}, {{OverrideReasonKind}} = \"JudgmentReserved\")"
   },
   {
    "name": "OverrideReasonIsRecorded",
    "datatype": "boolean",
    "type": "calculated",
    "nullable": true,
    "Description": "TRUE when an override carries a stated reason.",
    "formula": "=AND({{WasOverridden}}, {{OverrideReasonKind}} &lt;&gt; \"\")"
   },
   {
    "name": "IsUnexplainedOverride",
    "datatype": "boolean",
    "type": "calculated",
    "nullable": true,
    "Description": "TRUE when my output was changed and nobody recorded why.",
    "formula": "=AND({{WasOverridden}}, NOT({{OverrideReasonIsRecorded}}))"
   },
   {
    "name": "ErrorCorrectionRoleAssignmentKey",
    "datatype": "string",
    "type": "calculated",
    "nullable": true,
    "Description": "The role assignment id when this decision was overridden as an error correction, otherwise empty.",
    "formula": "=IF({{IsErrorCorrection}}, {{UnderRoleAssignment}}, \"\")"
   },
   {
    "name": "BoundaryViolationRoleAssignmentKey",
    "datatype": "string",
    "type": "calculated",
    "nullable": true,
    "Description": "Echoes the role assignment this decision was made under, but only when the decision violated an authority boundary. Empty otherwise.",
    "formula": "=IF({{ViolatedAuthorityBoundary}}, {{UnderRoleAssignment}}, \"\")"
   },
   {
    "name": "SemanticTypeIri",
    "datatype": "string",
    "type": "raw",
    "nullable": true,
    "Description": "Extension class IRI for an agent decision record."
   }
  ],
  "data": [
   {
    "AgentDecisionRecordId": "adr-close-post-q2",
    "StepExecution": "se-close07",
    "DecidingAgent": "close-pipeline",
    "DecisionKind": "Posting",
    "DecisionSummary": "Posted approved close entries and published the package.",
    "DecidedAt": "2026-07-02T09:30:00-05:00",
    "MaterialityBand": "Material",
    "HumanDisposition": "Accepted",
    "ReviewedByAgent": "devon-okafor",
    "ReviewedAt": "2026-07-02T10:00:00-05:00",
    "SemanticTypeIri": "urn:effortless:pko-extension#AgentDecisionRecord",
    "Name": "close-pipeline: Posted approved close entries and published the package.",
    "WasOverridden": false,
    "WasReviewed": true,
    "DecidingAgentKind": "AutomatedPipeline",
    "DecidingAgentWhenOverridden": null,
    "RoleAssignmentWhenScored": null,
    "RoleAssignmentWhenOverridden": null,
    "StepOfDecision": "close-07",
    "BoundaryMatchKey": "close-07|AutomatedPipeline|Posting",
    "MatchingBoundaryCount": 0,
    "ViolatedAuthorityBoundary": false,
    "ReviewerAgentKind": "Human",
    "HasHumanConfirmation": true,
    "NeedsHumanConfirmation": true,
    "IsUnconfirmedNonHumanDecision": false,
    "</t>
  </si>
  <si>
    <t xml:space="preserve">StepExecutionWhenUnconfirmed": null,
    "AgentWhenBoundaryViolated": null,
    "ReviewLatencyMinutes": 30.0,
    "IsDraftKind": false,
    "AgentWhenDraftOverridden": null,
    "AgentWhenDraft": null,
    "IsErrorCorrection": false,
    "IsReservedJudgmentOverride": false,
    "OverrideReasonIsRecorded": false,
    "IsUnexplainedOverride": false,
    "ErrorCorrectionRoleAssignmentKey": null,
    "BoundaryViolationRoleAssignmentKey": null
   },
   {
    "AgentDecisionRecordId": "adr-close-extract-q2",
    "StepExecution": "se-close02",
    "DecidingAgent": "close-pipeline",
    "DecisionKind": "Posting",
    "DecisionSummary": "Accepted a trial-balance extract in which one feed was 17 minutes old.",
    "DecidedAt": "2026-06-30T17:12:00-05:00",
    "MaterialityBand": "Material",
    "HumanDisposition": "Corrected",
    "ReviewedByAgent": "devon-okafor",
    "ReviewedAt": "2026-06-30T17:16:00-05:00",
    "SemanticTypeIri": "urn:effortless:pko-extension#AgentDecisionRecord",
    "Name": "close-pipeline: Accepted a trial-balance extract in which one feed was 17 mi",
    "WasOverridden": true,
    "WasReviewed": true,
    "DecidingAgentKind": "AutomatedPipeline",
    "DecidingAgentWhenOverridden": "close-pipeline",
    "RoleAssignmentWhenScored": null,
    "StepOfDecision": "close-02",
    "BoundaryMatchKey": "close-02|AutomatedPipeline|Posting",
    "MatchingBoundaryCount": 0,
    "ViolatedAuthorityBoundary": false,
    "ReviewerAgentKind": "Human",
    "HasHumanConfirmation": true,
    "NeedsHumanConfirmation": true,
    "IsUnconfirmedNonHumanDecision": false,
    "StepExecutionWhenUnconfirmed": null,
    "AgentWhenBoundaryViolated": null,
    "ReviewLatencyMinutes": 4.0,
    "IsDraftKind": false,
    "AgentWhenDraftOverridden": null,
    "AgentWhenDraft": null,
    "OverrideReasonIsRecorded": false,
    "IsUnexplainedOverride": true,
    "ErrorCorrectionRoleAssignmentKey": null,
    "BoundaryViolationRoleAssignmentKey": null,
    "RoleAssignmentWhenOverridden": null,
    "IsErrorCorrection": false,
    "IsReservedJudgmentOverride": false
   },
   {
    "AgentDecisionRecordId": "adr-close-freeze-q2",
    "StepExecution": "se-close01",
    "DecidingAgent": "close-pipeline",
    "DecisionKind": "Posting",
    "DecisionSummary": "Locked subledgers at cutoff.",
    "DecidedAt": "2026-06-30T17:02:00-05:00",
    "MaterialityBand": "Material",
    "HumanDisposition": "Accepted",
    "ReviewedByAgent": "devon-okafor",
    "ReviewedAt": "2026-06-30T17:20:00-05:00",
    "SemanticTypeIri": "urn:effortless:pko-extension#AgentDecisionRecord",
    "Name": "close-pipeline: Locked subledgers at cutoff.",
    "WasOverridden": false,
    "WasReviewed": true,
    "DecidingAgentKind": "AutomatedPipeline",
    "DecidingAgentWhenOverridden": null,
    "RoleAssignmentWhenScored": null,
    "RoleAssignmentWhenOverridden": null,
    "StepOfDecision": "close-01",
    "BoundaryMatchKey": "close-01|AutomatedPipeline|Posting",
    "MatchingBoundaryCount": 0,
    "ViolatedAuthorityBoundary": false,
    "ReviewerAgentKind": "Human",
    "HasHumanConfirmation": true,
    "NeedsHumanConfirmation": true,
    "IsUnconfirmedNonHumanDecision": false,
    "StepExecutionWhenUnconfirmed": null,
    "AgentWhenBoundaryViolated": null,
    "ReviewLatencyMinutes": 18.0,
    "IsDraftKind": false,
    "AgentWhenDraftOverridden": null,
    "AgentWhenDraft": null,
    "IsErrorCorrection": false,
    "IsReservedJudgmentOverride": false,
    "OverrideReasonIsRecorded": false,
    "IsUnexplainedOverride": false,
    "ErrorCorrectionRoleAssignmentKey": null,
    "BoundaryViolationRoleAssignmentKey": null
   }
  ]
 },
 "DeliveredCommunications": {
  "Description": "Everything above is a proxy for the real question, which is instance-level: THIS message, to THIS recipient, rendered from THIS template, authorized by THIS approval. The model has MessageTemplates and CommunicationPolicies as specifications and no record of a single thing ever sent. Without an instance table, 'can I show that what was sent matched what I approved' is permanently unanswerable rather than merely unanswered — and it is the question a disputing employee actually asks. Extension term (urn:effortless:pko-extension#DeliveredCommunication); PKO has no native class for a delivered artifact instance.",
  "schema": [
   {
    "name": "DeliveredCommunicationId",
    "datatype": "string",
    "type": "raw",
    "nullable": false,
    "Description": "Stored logical identifier for one DeliveredCommunications row."
   },
   {
    "name": "Name",
    "datatype": "string",
    "type": "calculated",
    "nullable": true,
    "Description": "Human-readable calculated display alias.",
    "formula": "={{Channel}} &amp; \" -&gt; \" &amp; {{RecipientKey}} &amp; \" @ \" &amp; {{SentAt}}"
   },
   {
    "name": "ProcedureExecution",
    "datatype": "string",
    "type": "relationship",
    "nullable": false,
    "Description": "The run that produced this delivery.",
    "RelatedTo": "ProcedureExecutions"
   },
   {
    "name": "SendingStepExecution",
    "datatype": "string",
    "type": "relationship",
    "nullable": true,
    "Description": "The policy-07 step execution that sent it.",
    "RelatedTo": "StepExecutions"
   },
   {
    "name": "AuthorizingStepExecution",
    "datatype": "string",
    "type": "relationship",
    "nullable": true,
    "Description": "The human approval gate execution that authorized this content. Null means nobody approved it.",
    "RelatedTo": "StepExecutions"
   },
   {
    "name": "MessageTemplate",
    "datatype": "string",
    "type": "relationship",
    "nullable": true,
    "Description": "The approved template this delivery was rendered from.",
    "RelatedTo": "MessageTemplates"
   },
   {
    "name": "Channel",
    "datatype": "string",
    "type": "raw",
    "nullable": true,
    "Description": "Email or SMS."
   },
   {
    "name": "RecipientKey",
    "datatype": "string",
    "type": "raw",
    "nullable": true,
    "Description": "Opaque recipient identifier; no personal data in the rulebook."
   },
   {
    "name": "SentAt",
    "datatype": "datetime",
    "type": "raw",
    "nullable": true,
    "Description": "When the message was dispatched."
   },
   {
    "name": "RenderedContentHash",
    "datatype": "string",
    "type": "raw",
    "nullable": true,
    "Description": "Hash of the exact bytes delivered, for comparison against the approved rendering."
   },
   {
    "name": "ApprovedContentHash",
    "datatype": "string",
    "type": "raw",
    "nullable": true,
    "Description": "Hash of the content as it stood at the approval gate."
   },
   {
    "name": "DeliveryStatus",
    "datatype": "string",
    "type": "raw",
    "nullable": true,
    "Description": "Provider-reported delivery outcome."
   },
   {
    "name": "SemanticTypeIri",
    "datatype": "string",
    "type": "raw",
    "nullable": true,
    "Description": "Extension class IRI."
   },
   {
    "name": "HasAuthorization",
    "datatype": "boolean",
    "type": "calculated",
    "nullable": true,
    "Description": "TRUE when this delivery names the approval that authorized it.",
    "formula": "={{AuthorizingStepExecution}} &lt;&gt; \"\""
   },
   {
    "name": "ContentMatchesApproval",
    "datatype": "boolean",
    "type": "calculated",
    "nullable": true,
    "Description": "TRUE when the bytes delivered are the bytes approved.",
    "formula": "={{RenderedContentHash}} = {{ApprovedContentHash}}"
   },
   {
    "name": "AuthorizedAt",
    "datatype": "datetime",
    "type": "lookup",
    "nullable": true,
    "Description": "When the authorizing approval completed.",
    "formula": "=INDEX(StepExecutions!{{EndedAt}}, MATCH({{AuthorizingStepExecution}}, StepExecutions!{{StepExecutionId}}, 0))"
   },
   {
    "name": "WasApprovedBeforeSending",
    "datatype": "boolean",
    "type": "calculated",
    "nullable": true,
    "Description": "TRUE when the approval preceded the send.",
    "formula": "={{AuthorizedAt}} &lt;= {{SentAt}}"
   },
   {
    "name": "IsDefensible",
    "datatype": "boolean",
    "type": "calculated",
    "nullable": true,
    "Description": "TRUE when this delivery can be defended in a dispute: authorized, unaltered, and approved beforehand.",
    "formula": "=AND({{HasAuthorization}}, {{ContentMatchesApproval}}, {{WasApprovedBeforeSending}})"
   }
  ],
  "data": [
   {
    "DeliveredCommunicationId": "dc-hr4821-email-001",
    "ProcedureExecution": "exec-policy-hr4821",
    "SendingStepExecution": null,
    "AuthorizingStepExecution": null,
    "MessageTemplate": null,
    "Channel": "Email",
    "RecipientKey": "emp-anon-0001",
    "SentAt": null,
    "RenderedContentHash": null,
    "ApprovedContentHash": null,
    "DeliveryStatus": "NotYetSent",
    "SemanticTypeIri": "urn:effortless:pko-extension#DeliveredCommunication",
    "Name": "Email -&gt; emp-anon-0001 @ ",
    "HasAuthorization": false,
    "IsDefensible": false,
    "ContentMatchesApproval": true,
    "AuthorizedAt": null,
    "WasApprovedBeforeSending": true
   }
  ]
 },
 "AuthorityBoundaries": {
  "Description": "AuthorityBoundaries (added by witness loop 1).",
  "schema": [
   {
    "name": "AuthorityBoundaryId",
    "datatype": "string",
    "type": "raw",
    "nullable": false,
    "Description": "Stored logical identifier for one AuthorityBoundaries row."
   },
   {
    "name": "Name",
    "datatype": "string",
    "type": "calculated",
    "nullable": true,
    "Description": "Human-readable calculated display alias for the AuthorityBoundaries row.",
    "formula": "={{ForbiddenAgentKind}} &amp; \" may not \" &amp; {{ForbiddenDecisionKind}}"
   },
   {
    "name": "Step",
    "datatype": "string",
    "type": "relationship",
    "nullable": true,
    "Description": "Step at which the boundary applies.",
    "RelatedTo": "Steps"
   },
   {
    "name": "ForbiddenAgentKind",
    "datatype": "string",
    "type": "raw",
    "nullable": true,
    "Description": "Agent kind that may not perform the forbidden decision kind: Human, AIAgent, or AutomatedPipeline."
   },
   {
    "name": "ForbiddenDecisionKind",
    "datatype": "string",
    "type": "raw",
    "nullable": true,
    "Description": "Decision kind forbidden to that agent kind at this step."
   },
   {
    "name": "RatifiedByKnowledgeFragment",
    "datatype": "string",
    "type": "relationship",
    "nullable": true,
    "Description": "Knowledge fragment that states the boundary.",
    "RelatedTo": "KnowledgeFragments"
   },
   {
    "name": "EnforcingRequirement",
    "datatype": "string",
    "type": "relationship",
    "nullable": true,
    "Description": "Requirement under which the boundary is enforced, if any.",
    "RelatedTo": "Requirements"
   },
   {
    "name": "AuthorityRole",
    "datatype": "string",
    "type": "relationship",
    "nullable": true,
    "Description": "Role accountable for the boundary.",
    "RelatedTo": "Roles"
   },
   {
    "name": "ValidFrom",
    "datatype": "datetime",
    "type": "raw",
    "nullable": true,
    "Description": "Start of the boundary's valid-time interval."
   },
   {
    "name": "ValidTo",
    "datatype": "datetime",
    "type": "raw",
    "nullable": true,
    "Description": "End of the boundary's valid-time interval; null means open-ended."
   },
   {
    "name": "Status",
    "datatype": "string",
    "type": "raw",
    "nullable": true,
    "Description": "Approved, Proposed, or Retired."
   },
   {
    "name": "EvaluationContext",
    "datatype": "string",
    "type": "relationship",
    "nullable": true,
    "Description": "The evaluation context this boundary's currency is judged under.",
    "RelatedTo": "EvaluationContexts"
   },
   {
    "name": "AsOfInstant",
    "datatype": "datetime",
    "type": "lookup",
    "nullable": true,
    "Description": "The evaluation instant this boundary is judged against.",
    "formula": "=INDEX(EvaluationContexts!{{AsOfInstant}}, MATCH({{EvaluationContext}}, EvaluationContexts!{{EvaluationContextId}}, 0))"
   },
   {
    "name": "IsCurrentlyBinding",
    "datatype": "boolean",
    "type": "calculated",
    "nullable": true,
    "Description": "TRUE when this boundary is approved and inside its valid-time window right now.",
    "formula": "=AND({{Status}} = \"Approved\", {{ValidFrom}} &lt;= {{AsOfInstant}}, OR({{ValidTo}} = \"\", {{ValidTo}} &gt; {{AsOfInstant}}))"
   },
   {
    "name": "RatifyingFragmentIsValid",
    "datatype": "boolean",
    "type": "lookup",
    "nullable": true,
    "Description": "Whether the knowledge fragment that ratified this boundary is still valid.",
    "formula": "=INDEX(KnowledgeFragments!{{IsCurrentlyValid}}, MATCH({{RatifiedByKnowledgeFragment}}, KnowledgeFragments!{{KnowledgeFragmentId}}, 0))"
   },
   {
    "name": "StepWhenBinding",
    "datatype": "string",
    "type": "calculated",
    "nullable": true,
    "Description": "Echoes the step id when this boundary is currently binding, blank otherwise.",
    "formula": "=IF({{IsCurrentlyBinding}}, {{Step}}, \"\")"
   },
   {
    "name": "BoundaryMatchKey",
    "datatype": "string",
    "type": "calculated",
    "nullable": true,
    "Description": "Composite key of step, forbidden agent kind, and forbidden decision kind.",
    "formula": "={{Step}} &amp; \"|\" &amp; {{ForbiddenAgentKind}} &amp; \"|\" &amp; {{ForbiddenDecisionKind}}"
   },
   {
    "name": "ViolationCount",
    "datatype": "number",
    "type": "aggregation",
    "nullable": true,
    "Description": "Number of recorded decisions that this boundary forbids.",
    "formula": "=COUNTIFS(AgentDecisionRecords!{{BoundaryMatchKey}}, {{BoundaryMatchKey}})"
   },
   {
    "name": "IsUntested",
    "datatype": "boolean",
    "type": "calculated",
    "nullable": true,
    "Description": "TRUE when a binding boundary has never been triggered by any recorded decision.",
    "formula": "=AND({{IsCurrentlyBinding}}, {{ViolationCount}} = 0)"
   },
   {
    "name": "HasRatifyingFragment",
    "datatype": "boolean",
    "type": "calculated",
    "nullable": true,
    "Description": "TRUE when this boundary names a knowledge fragment as its justification. FALSE means the rule constrains behaviour on nobody's recorded authority — strictly worse than resting on an expired claim, and previously invisible because the ratification lookup returned NULL.",
    "formula": "={{RatifiedByKnowledgeFragment}} &lt;&gt; \"\""
   },
   {
    "name": "IsUnwarranted",
    "datatype": "boolean",
    "type": "calculated",
    "nullable": true,
    "Description": "TRUE when a binding constraint on authority rests on no ratifying claim at all, or on one that is no longer valid. Either way the rule is being enforced without a live justification.",
    "formula": "=AND({{IsCurrentlyBinding}}, OR(NOT({{HasRatifyingFragment}}), NOT({{RatifyingFragmentIsValid}})))"
   },
   {
    "name": "RatifyingFragmentIsOverdue",
    "datatype": "boolean",
    "type": "lookup",
    "nullable": true,
    "Description": "Whether the fragment ratifying this boundary is past its review date.",
    "formula": "=INDEX(KnowledgeFragments!{{IsOverdueForReview}}, MATCH({{RatifiedByKnowledgeFragment}}, KnowledgeFragments!{{KnowledgeFragmentId}}, 0))"
   },
   {
    "name": "RatifyingFragmentIsSingleWitness",
    "datatype": "boolean",
    "type": "lookup",
    "nullable": true,
    "Description": "Whether the fragment ratifying this boundary rests on a single witness.",
    "formula": "=INDEX(KnowledgeFragments!{{IsFromSingleWitness}}, MATCH({{RatifiedByKnowledgeFragment}}, KnowledgeFragments!{{KnowledgeFragmentId}}, 0))"
   },
   {
    "name": "WarrantIsThin",
    "datatype": "boolean",
    "type": "calculated",
    "nullable": true,
    "Description": "A binding boundary whose ratifying knowledge is either overdue for review or single-sourced — still valid, but weakly warranted.",
    "formula": "=AND({{IsCurrentlyBinding}}, OR({{RatifyingFragmentIsOverdue}}, {{RatifyingFragmentIsSingleWitness}}))"
   },
   {
    "name": "IsUnwarrantedAndUntested",
    "datatype": "boolean",
    "type": "calculated",
    "nullable": true,
    "Description": "A boundary whose ratification has lapsed and which no agent decision has ever been evaluated against — we cannot show it works and we cannot show why it exists.",
    "formula": "=AND({{IsUnwarranted}}, {{IsUntested}})"
   },
   {
    "name": "UnwarrantedBoundaryStepKey",
    "datatype": "string",
    "type": "calculated",
    "nullable": true,
    "Description": "Composite-key echo: the step this boundary governs when the boundary is unwarranted, blank otherwise.",
    "formula": "=IF({{IsUnwarranted}}, {{Step}}, \"\")"
   },
   {
    "name": "RatifyingFragmentKey",
    "datatype": "string",
    "type": "calculated",
    "nullable": true,
    "Description": "Composite-key echo: the fragment ratifying this boundary when the boundary is currently binding, blank otherwise.",
    "formula": "=IF({{IsCurrentlyBinding}}, {{RatifiedByKnowledgeFragment}}, \"\")"
   },
   {
    "name": "RatifyingFragmentStatus",
    "datatype": "string",
    "type": "lookup",
    "nullable": true,
    "Description": "The status string of the knowledge fragment that ratifies this boundary: Approved, Reviewed, Draft, or empty.",
    "formula": "=INDEX(KnowledgeFragments!{{Status}}, MATCH({{RatifiedByKnowledgeFragment}}, KnowledgeFragments!{{KnowledgeFragmentId}}, 0))"
   },
   {
    "name": "RatificationLapsed",
    "datatype": "boolean",
    "type": "calculated",
    "nullable": true,
    "Description": "TRUE when this boundary names a ratifying fragment and that fragment is no longer valid.",
    "formula": "=AND({{HasRatifyingFragment}}, NOT({{RatifyingFragmentIsValid}}))"
   },
   {
    "name": "BindsDespiteLapsedRatification",
    "datatype": "boolean",
    "type": "calculated",
    "nullable": true,
    "Description": "TRUE when a boundary is still enforced against agents while the knowledge that authorized it has lapsed.",
    "formula": "=AND({{IsCurrentlyBinding}}, {{RatificationLapsed}})"
   },
   {
    "name": "IsUngroundedAndUntested",
    "datatype": "boolean",
    "type": "calculated",
    "nullable": true,
    "Description": "TRUE when a boundary has lapsed ratification AND has never once been exercised -- so neither its authority nor its operation has ever been demonstrated.",
    "formula": "=AND({{BindsDespiteLapsedRatification}}, {{IsUntested}})"
   },
   {
    "name": "ConstrainedRoleAssignmentKey",
    "datatype": "string",
    "type": "calculated",
    "nullable": true,
    "Description": "The role id this boundary constrains, emitted only when the boundary is ungrounded.",
    "formula": "=IF({{BindsDespiteLapsedRatification}}, {{AuthorityRole}}, \"\")"
   },
   {
    "name": "SemanticTypeIri",
    "datatype": "string",
    "type": "raw",
    "nullable": true,
    "Description": "Extension class IRI for an authority boundary."
   }
  ],
  "data": [
   {
    "AuthorityBoundaryId": "bnd-close-04-no-ai-escalation-waiver",
    "Step": "close-04",
    "ForbiddenAgentKind": "AIAgent",
    "ForbiddenDecisionKind": "Suppression",
    "RatifiedByKnowledgeFragment": "kf-close-judgment",
    "EnforcingRequirement": "req-close-balance",
    "AuthorityRole": "controller",
    "ValidFrom": "2026-04-01T00:00:00-05:00",
    "ValidTo": null,
    "Status": "Approved",
    "SemanticTypeIri": "urn:effortless:pko-extension#AuthorityBoundary",
    "EvaluationContext": "eval-current",
    "Name": "AIAgent may not Suppression",
    "AsOfInstant": "2026-07-19T13:00:00-05:00",
    "IsCurrentlyBinding": true,
    "RatifyingFragmentIsValid": true,
    "StepWhenBinding": "close-04",
    "BoundaryMatchKey": "close-04|AIAgent|Suppression",
    "ViolationCount": 0,
    "IsUntested": true,
    "HasRatifyingFragment": true,
    "IsUnwarranted": false,
    "RatifyingFragmentIsOverdue": true,
    "RatifyingFragmentIsSingleWitness": true,
    "WarrantIsThin": true,
    "IsUnwarrantedAndUntested": false,
    "UnwarrantedBoundaryStepKey": null,
    "RatifyingFragmentKey": "kf-close-judgment",
    "RatifyingFragmentStatus": "Approved",
    "RatificationLapsed": false,
    "BindsDespiteLapsedRatification": false,
    "IsUngroundedAndUntested": false,
    "ConstrainedRoleAssignmentKey": null
   },
   {
    "AuthorityBoundaryId": "bnd-close-06-no-nonhuman-approval",
    "Step": "close-06",
    "ForbiddenAgentKind": "AIAgent",
    "ForbiddenDecisionKind": "Approval",
    "RatifiedByKnowledgeFragment": null,
    "EnforcingRequirement": "req-close-human-approval",
    "AuthorityRole": "cfo",
    "ValidFrom": "2026-04-15T09:00:00-05:00",
    "ValidTo": null,
    "Status": "Approved",
    "SemanticTypeIri": "urn:effortless:pko-extension#AuthorityBoundary",
    "EvaluationContext": "eval-current",
    "Name": "AIAgent may not Approval",
    "AsOfInstant": "2026-07-19T13:00:00-05:00",
    "IsCurrentlyBinding": true,
    "StepWhenBinding": "close-06",
    "BoundaryMatchKey": "close-06|AIAgent|Approval",
    "ViolationCount": 0,
    "IsUntested": true,
    "HasRatifyingFragment": false,
    "IsUnwarranted": true,
    "IsUnwarrantedAndUntested": true,
    "UnwarrantedBoundaryStepKey": "close-06",
    "RatificationLapsed": false,
    "BindsDespiteLapsedRatification": false,
    "IsUngroundedAndUntested": false,
    "ConstrainedRoleAssignmentKey": null,
    "RatifyingFragmentIsValid": false,
    "RatifyingFragmentIsOverdue": false,
    "RatifyingFragmentIsSingleWitness": false,
    "WarrantIsThin": false,
    "RatifyingFragmentKey": null,
    "RatifyingFragmentStatus": null
   },
   {
    "AuthorityBoundaryId": "bnd-policy-03-no-ai-commitment",
    "Step": "policy-03",
    "ForbiddenAgentKind": "AIAgent",
    "ForbiddenDecisionKind": "Commitment",
    "RatifiedByKnowledgeFragment": "kf-policy-ai-boundary",
    "EnforcingRequirement": "req-policy-human-approval",
    "AuthorityRole": "employment-counsel",
    "ValidFrom": "2026-05-12T14:30:00-05:00",
    "ValidTo": null,
    "Status": "Approved",
    "SemanticTypeIri": "urn:effortless:pko-extension#AuthorityBoundary",
    "EvaluationContext": "eval-current",
    "Name": "AIAgent may not Commitment",
    "AsOfInstant": "2026-07-19T13:00:00-05:00",
    "IsCurrentlyBinding": true,
    "RatifyingFragmentIsValid": true,
    "StepWhenBinding": "policy-03",
    "BoundaryMatchKey": "policy-03|AIAgent|Commitment",
    "ViolationCount": 0,
    "IsUntested": true,
    "HasRatifyingFragment": true,
    "IsUnwarranted": false,
    "RatifyingFragmentIsOverdue": true,
    "RatifyingFragmentIsSingleWitness": true,
    "WarrantIsThin": true,
    "IsUnwarrantedAndUntested": false,
    "UnwarrantedBoundaryStepKey": null,
    "RatifyingFragmentKey": "kf-policy-ai-boundary",
    "RatifyingFragmentStatus": "Approved",
    "RatificationLapsed": false,
    "BindsDespiteLapsedRatification": false,
    "IsUngroundedAndUntested": false,
    "ConstrainedRoleAssignmentKey": null
   }
  ]
 },
 "BindingObservations": {
  "Description": "BindingObservations (added by witness loop 2).",
  "schema": [
   {
    "name": "BindingObservationId",
    "datatype": "string",
    "type": "raw",
    "nullable": false,
    "Description": "Primary key of an execution-side observation of one operational binding, frozen at the moment a step actually ran."
   },
   {
    "name": "Name",
    "datatype": "string",
    "type": "calculated",
    "nullable": true,
    "Description": "Human-readable calculated display alias for the BindingObservations row.",
    "formula": "={{StepExecution}} &amp; \" / \" &amp; {{BindingObservationId}}"
   },
   {
    "name": "StepExecution",
    "datatype": "string",
    "type": "relationship",
    "nullable": true,
    "Description": "The step execution during which this binding was read.",
    "RelatedTo": "StepExecutions"
   },
   {
    "name": "OperationalBinding",
    "datatype": "string",
    "type": "relationship",
    "nullable": true,
    "Description": "The spec-side binding this observation instantiates.",
    "RelatedTo": "OperationalBindings"
   },
   {
    "name": "ObservedSourceTimestamp",
    "datatype": "datetime",
    "type": "raw",
    "nullable": true,
    "Description": "The LastObservedAt value the source actually carried at run time, captured then and never recomputed."
   },
   {
    "name": "ReadAt",
    "datatype": "datetime",
    "type": "raw",
    "nullable": true,
    "Description": "When the step execution actually read this binding."
   },
   {
    "name": "SlaMinutesAtRun",
    "datatype": "integer",
    "type": "lookup",
    "nullable": true,
    "Description": "The freshness SLA declared for this binding.",
    "formula": "=INDEX(OperationalBindings!{{FreshnessSlaMinutes}}, MATCH({{OperationalBinding}}, OperationalBindings!{{OperationalBindingId}}, 0))"
   },
   {
    "name": "AgeAtRunMinutes",
    "datatype": "integer",
    "type": "calculated",
    "nullable": true,
    "Description": "How old the source data was at the instant the step read it.",
    "formula": "=DATETIME_DIFF({{ReadAt}}, {{ObservedSourceTimestamp}}, \"minutes\")"
   },
   {
    "name": "WasStaleAtRun",
    "datatype": "boolean",
    "type": "calculated",
    "nullable": true,
    "Description": "TRUE when an authoritative source was already outside its SLA at the moment the step consumed it.",
    "formula": "=AND({{IsAuthoritativeBinding}}, {{AgeAtRunMinutes}} &gt; {{SlaMinutesAtRun}})"
   },
   {
    "name": "IsAuthoritativeBinding",
    "datatype": "boolean",
    "type": "lookup",
    "nullable": true,
    "Description": "Whether the binding observed is the authoritative source for its record key.",
    "formula": "=INDEX(OperationalBindings!{{IsAuthoritative}}, MATCH({{OperationalBinding}}, OperationalBindings!{{OperationalBindingId}}, 0))"
   },
   {
    "name": "StaleAtRunStepKey",
    "datatype": "string",
    "type": "calculated",
    "nullable": true,
    "Description": "Echoes the step execution id when the source was stale at run time.",
    "formula": "=IF({{WasStaleAtRun}}, {{StepExecution}}, \"\")"
   }
  ],
  "data": []
 },
 "Attestations": {
  "Description": "Attestations (added by witness loop 2).",
  "schema": [
   {
    "name": "AttestationId",
    "datatype": "string",
    "type": "raw",
    "nullable": false,
    "Description": "Primary key of a signature event: one person, one execution, one instant."
   },
   {
    "name": "Name",
    "datatype": "string",
    "type": "calculated",
    "nullable": true,
    "Description": "Human-readable calculated display alias for the Attestations row.",
    "formula": "={{ProcedureExecution}} &amp; \" / \" &amp; {{AttestationId}}"
   },
   {
    "name": "ProcedureExecution",
    "datatype": "string",
    "type": "relationship",
    "nullable": true,
    "Description": "The execution being attested to.",
    "RelatedTo": "ProcedureExecutions"
   },
   {
    "name": "SignedByAgent",
    "datatype": "string",
    "type": "relationship",
    "nullable": true,
    "Description": "The human who signed.",
    "RelatedTo": "Agents"
   },
   {
    "name": "SignedAt",
    "datatype": "datetime",
    "type": "raw",
    "nullable": true,
    "Description": "The instant of signature."
   },
   {
    "name": "AssuranceGradeAtSigning",
    "datatype": "string",
    "type": "raw",
    "nullable": true,
    "Description": "The AssuranceGrade string as the model reported it at the moment of signature, captured then and never recomputed."
   },
   {
    "name": "VersionWasFitAtSigning",
    "datatype": "boolean",
    "type": "raw",
    "nullable": true,
    "Description": "Whether the executed procedure version was fit to execute at the moment of signature."
   },
   {
    "name": "VersionIsFitNow",
    "datatype": "boolean",
    "type": "lookup",
    "nullable": true,
    "Description": "Whether the executed version reads as fit today.",
    "formula": "=INDEX(ProcedureExecutions!{{ExecutedVersionIsFit}}, MATCH({{ProcedureExecution}}, ProcedureExecutions!{{ProcedureExecutionId}}, 0))"
   },
   {
    "name": "FitnessVerdictHasDrifted",
    "datatype": "boolean",
    "type": "calculated",
    "nullable": true,
    "Description": "TRUE when the fitness of the signed version reads differently today than it did at signature.",
    "formula": "=NOT({{VersionWasFitAtSigning}} = {{VersionIsFitNow}})"
   },
   {
    "name": "AssuranceGradeNow",
    "datatype": "string",
    "type": "lookup",
    "nullable": true,
    "Description": "The AssuranceGrade the model reports for this execution today.",
    "formula": "=INDEX(ProcedureExecutions!{{AssuranceGrade}}, MATCH({{ProcedureExecution}}, ProcedureExecutions!{{ProcedureExecutionId}}, 0))"
   },
   {
    "name": "AssuranceGradeHasDrifted",
    "datatype": "boolean",
    "type": "calculated",
    "nullable": true,
    "Description": "TRUE when the assurance behind this signature is described differently now than it was at signature.",
    "formula": "=NOT({{AssuranceGradeAtSigning}} = {{AssuranceGradeNow}})"
   },
   {
    "name": "WouldNotSurviveRestatement",
    "datatype": "boolean",
    "type": "calculated",
    "nullable": true,
    "Description": "TRUE when re-deriving this attestation today would not reproduce what the model said when it was signed.",
    "formula": "=OR({{FitnessVerdictHasDrifted}}, {{AssuranceGradeHasDrifted}})"
   }
  ],
  "data": []
 },
 "AppRoleProfiles": {
  "Description": "One row per role, carrying how that role is presented: its accent colour, its 128x128 icon, and the login-card copy. Presentation is data, so the app never hardcodes a colour or a label per role.",
  "schema": [
   {
    "name": "AppRoleProfileId",
    "datatype": "string",
    "type": "raw",
    "nullable": false,
    "Description": "Stored logical identifier for one AppRoleProfiles row."
   },
   {
    "name": "Name",
    "datatype": "string",
    "type": "calculated",
    "nullable": true,
    "Description": "Human-readable calculated display alias for the AppRoleProfiles row.",
    "formula": "={{DisplayLabel}} &amp; \" (\" &amp; {{RoleKind}} &amp; \")\""
   },
   {
    "name": "Role",
    "datatype": "string",
    "type": "relationship",
    "nullable": true,
    "Description": "The role this presentation profile describes.",
    "RelatedTo": "Roles"
   },
   {
    "name": "DisplayLabel",
    "datatype": "string",
    "type": "raw",
    "nullable": true,
    "Description": "Label shown on the login card and in the app chrome."
   },
   {
    "name": "RoleKind",
    "datatype": "string",
    "type": "raw",
    "nullable": true,
    "Description": "human or software. Drives the login-card silhouette and the icon plate shape."
   },
   {
    "name": "AccentColor",
    "datatype": "string",
    "type": "raw",
    "nullable": true,
    "Description": "Hex accent colour. Distinctive per role; used for chrome, the left-nav active state, and the icon plate."
   },
   {
    "name": "IconMark",
    "datatype": "string",
    "type": "raw",
    "nullable": true,
    "Description": "Name of the geometric mark drawn on this role's icon. Colour is never the only signal — the mark discriminates in greyscale."
   },
   {
    "name": "IconPngBase64",
    "datatype": "string",
    "type": "raw",
    "nullable": true,
    "Description": "128x128 PNG icon for this role, base64-encoded, no data: prefix. Rendered on the login card and beside the role name throughout the app."
   },
   {
    "name": "Pitch",
    "datatype": "string",
    "type": "raw",
    "nullable": true,
    "Description": "One line of login-card copy: what this role opens the app to do, in that role's own terms."
   },
   {
    "name": "SortOrder",
    "datatype": "number",
    "type": "raw",
    "nullable": true,
    "Description": "Display order on the login screen. Human roles first, then software roles."
   },
   {
    "name": "RouteCount",
    "datatype": "number",
    "type": "aggregation",
    "nullable": true,
    "Description": "How many routes this role has.",
    "formula": "=COUNTIFS(AppRoutes!{{OwningRole}}, {{Role}})"
   },
   {
    "name": "SemanticTypeIri",
    "datatype": "string",
    "type": "raw",
    "nullable": true,
    "Description": "Semantic type IRI for this row. An extension: PKO does not model application presentation."
   }
  ],
  "data": [
   {
    "AppRoleProfileId": "profile-cfo",
    "Role": "cfo",
    "DisplayLabel": "Chief Financial Officer",
    "RoleKind": "human",
    "AccentColor": "#1d4ed8",
    "IconMark": "crown",
    "IconPngBase64": "iVBORw0KGgoAAAANSUhEUgAAAIAAAACACAYAAADDPmHLAAASmElEQVR42u1de4ycV3X/nXO/bx77fs6u7bWd0AQTr0lqhXhJAK2TNInyIKiEsaooSeNHEggkQYWAArV3t9AWEEW0qFQhVkhICXStClWqWgItiUuTOJRSQRNDwAk4chN7195dz+zO7Mzce07/+Hbt9XvXnn157pFWluXxft/c87u/87vnnHsv4M2bN2/eKtRo/p6rfvRPHBY9HwFAQA+hGwwA2AkB+sQ7+2TWw0h3EgZaCalBxY60zDYoaFa/TDcYO/vsCf+U7jcr3qqqO2wGFS5PFe1zk9R6FyOx4fi+XRvyJxsrAMCODYJZoM3yD3663xyD3O5ng3a37+0qtA7AZYLSpRC3BErtCjePUWihmAJgEDQLE+4h0F4Q/5zYvcj1TS+/9c+35o4d2/ICgco649</t>
  </si>
  <si>
    <t xml:space="preserve">Grk45PvfeJSyHmTtXSzRB5Ozhmjn5hgJk9409VRCJQnXQJAVoEQG+QCf8d0O8MLE38CDs2uClAcAsHAFNeKPWeb12nqg9D7DWgmAEcjDEI47UuTNRqGKshY0IysSRNfGPvfyI4W1Rni2pLOS0VsijmDxtrSwQwAAGIf8Gqf33g8Ot/j919RfQoow96rhqByjXr267cvkYRfkmJblRxMExI1LTaqrp2DuM1xCYkIoaqAlCoeh14rCMIIIr+BCBiYYt5yY8ekFxmv7G2RMwxKNzLSvqpg8/f/a/lYAMqx6xvvfKbvQA9ooqYYUh1fYdWNy7lIEySqkJFIhTr1CeS9/oJWmBKdCcCEYPYQFwJucx+GR3aqyVbMMwxAPLdfCnzsex/PXDoXEBA5+L8lssfXcLx+DdB4Q3q8qhpXOFqGpebIExCxUaOJ+/scwKFRmBgE0CcRS6zXzIHX4PAMEF/o1LYOLjrnufR/WyAnVfb2QfAxIOa3/XoFSaW/CdVXWKYbOOSTpOobqajjvdOLy8WdAIIIWwph6G3XrGF3OGATcyKK95/8KUtj50NCMyMZ/6/3OIi5yeeEXGtyeoG29KxNgjj1aSudIS+vJVdKUY4EAc2AarrlzFU3HjuoOEgeWty6U1v5p6/7adI9xvs3qHlB0CPMr6+Rpou/7t1QTz5jLhiY3Vdu2tadmlAEy/mHT9XQFBABcm6NjYmQC7zlpiw6gPJpTe9mfvBnTMCAU1f7fdpquuxlJrwFyqSqq5NucYlnUbF4jh1520OwwIHMYwO79Xh/a8Kh9XG2sz1Qy995IfTFYbTy8akOwkAlIOnVCmVrG60TUvXTDjfi7z5ZAOxRdQ0XUD1qYvIlXJqTPKpVNdjbZHze/jcQ8AEklLv3t5DJrmZSW1Lx9rg6JrFO3++QaBiEa9qJlvISqlUqAX0stzmtd9GqpPOFArMdOJ+81XbVxEF31EpUkvHpRzGqgnq8/gLq6qvSFQ3c/7wmxYcu7jqN8nf5n5w1/+cSQ+cgSJ6I5QI/Y0KwtrG5ZqoaiF11jt/wekBAQcxNLStYrF5ITJfqL32yeaoMKc0cwCk+w36+qT5qu1Xg8PrmeFqGpcbkZJX+wuUBdSVkKhp4XhVnSjF2xOjxQcAUqR38MwBsPoVBQAW2ioiqKlfhiBMAuJz+AvdaptWGnV5BfPHarofbYlKyCdngVMAQBl9fdL4nic6AXofM7S6scOIWD/7FzoLiEWiuoXiyQYBxZurSrE/BKDofs5MHwDdzzEABE42gsMgWdPi/OxfPOUDIkJ1/RKoWFXntgA9jPXPyfQBsPNqh9U9McDdAnWoqlvCquJ132LJDYhFoqbZmMBAiX6/5b3LLkJfn6DnxLzAiQCIPqQtTW+7QMEXGmM0jNew+mXf4soQmjhi8VohjsWMhFcBAJ5bPw0ATHzIiFxFHIuF8VphE4Pv3llsYQCIJxsVqlCV9QCA1KCeGQCp9RotK+UKQBFL1CqRb+NfdD2Gqgjj1Rx1X+FSXP5oiP60nBkAq3t1AkSroEAQqyEf/xfhakAFJkwSE0FVLmgy40kQ6fHLweA47iD0QjueqUsWoEsABZvQT/9FGgfYGBCzQk0CUrUMQAY9vRQ1k56KAYg0g7qkqixnZkz29XkKWIxCMEYmTCjBJIPAdAAAdnfSGZeBFJQU4NKxXYreFjMbEKg0w2KQ+il/XmGA6OwbQrydt+YB4AHgzQPAmweANw8Abx4A3jwAUFmbbCq9wYkr2fnWKUpWKzrJXZEAMAYYyTpcv64WH/+jFgxlHYypTBgElTjzS1bRXG/wJ7c3Y1lriGd2jeIXe/KoSTKceAY4v2c/A9kxwafuaMWy1hCqwOfvSyEMqOKcX3EAMAxkxgRda6pw29X1cAKIAqtWxnHHjQ0YGXUIjAfAeUv9ToBYjNC7JQVjog4Hpqjb/cF0M1ZfGMfYuKKSTrDjypn9hJFRhwfSzXjHyjicixw9uQysSjB6N7dBRCuqBYIrh/odujqrsPn9jXACMB9V/cyAc8C6ziQ23tKI4WzlhAKuJOrvuyeFwEQn8R2fAGKeCAUbmnHJhXGM5SsjFHAlUP/hsROp/xRnMB0JBfNwcrsHQNm/HAOjeYd3/l4Cm9/fCDmO+k/2eesU6zqTSF9bj6GMQ3CeJ4h4vs7EnJM8vEYbmj57d+qII8/0TMMEUeChDS1Y0R4iX5RZf0/m+dOdPF+ibLwQ5eFnK84GBhjOOmy8pRFdnUk4h2k9iygCTXO9wdaNKYwXBDxLAJgE1lheMF9Ew/ORhm2qM9i6qRVVCUZ+XMqeh2cGxsYVl1wYx4Mbmieof2YAdU5x3boafOia+olVQfnf0Qkwmhc8kG7Guy5JYiwvcy48eT5U+XhBcfsNDXhyWwdaGgJkxxyMKS/1iyh6N7ehKsFndXgpT4SCT9/Zio62EONlDAWGCYWiwjnFF+5vw8fSzZUVAoiB4YzDJRfE8b0vrURXZxWGM1FFjspI/etmQP2nCgVNdVEoyJcpFASGMJp3aGkwePrPluND19RDpMI0wORAiAIt9QZPbOvAXTc1YnDYghhnPdDMQG5c8Y4Lzo76TxcKPnj1uYeCICAMjlisXZXEP/7lSlx2ceKIDqJKXAbyRJKGCejdksKff7gN2ZygZPWsdAEBKJQEn7i9BVUJPrLaODe2ii42+fiGZjTVGxTtzEMBUwTEgSGLO29swOOfXYaWBgMnUTio6DzA5PcXAe68sQF/+8mlqEoyMmMOQUAzYpThrMOHrqnHH1xRA+cUhsvzfqLAslSIT93RiuyYzOj3GgaKVjGWFzzyx634/H2RLhFFWd7vvEgEER1NwlzfVYNvbevAmrclcOiwnRblEgHjRUFHW4hP39kK0dMnfM4uFAAbrq3HdV01GBmVaYnWwBCyOUFNkvG1TyzFRz7YFMV7BZh8JvCkA2adYtXKOL7V04HrrqjBcNYeU7U71SzNFwRbN6bQVGcm71You3BVBbZtSqGhlqNeQjr9dzk86vC2ZTE8/qcduL6rBva4CqQHwKnEoQC1VYxvPLIMd9/ciJGsi2YNn/zzQxPUf9268lH/SUOBAB1TQsGpagrMwFDGomtNEv1/vgKrL4zDOl2QaWVeqDl81Uggbt2Uwhc/2o6SUxRLx4rDSepf0T471H+yZtLJUHD9u2uQGT1WD0w+eiTrcPfNjXhy23LUVTNEsGBrCryQy7hmIluWvrYeT/ctR201IztFHBomjOYFn7y9NaL+ObiqaPL3f+auFJKJo32ExgAlF4m9L360Hds2p8ATuYSFXFbmxdDM4ZzisosT6P/8CqxdlcTAkEUiFnX43NBVg5uvqo2WVGZu2Mk5xcolIT56WzNGsg6JOCMzGom9J7d1IH1tlNzBIth4woujjz+aacvbQmz/zDKkr63DvkGLxhqDrZtScy6smCOdsvnWRlx1aRVe31fEZRcn8MTWDlz5zqqj7Wbw+wLKygST4vCvHlyC9qYQK9pDdKTCiYTK3IYn1SiuP3JXK9qbQ3zu3hSqkwznsKg2mQSLrcFj8sDSh+9oARD9fT4SKpNx/Z0XJfCVh9qPJLOM8TuD5kSETd5NOd8xVvXInY6LsocwWMztXn6Hse8J9OYB4M0DwJsHgDcPAG8eAN48ALwtjjyAKI50x1AFn9I03zfxBfN11XF1givqIIYzJbTmayyCuU6bGiaMjSvu/cL/Lbq8+extlARe3VtAIk5zfjlbMC/n81nFj38+5i8jmWKJOCPgCgDAJAhqqzz/n6yoVDki0N9Ed0IkqKxVgL+H+oS2c6qkVUAyQZ4BpljR6rxMimCuHe8kcv6WW5uOdNVShcf+WEh4+pkR7NlXRCI2t0JwXhmgygPgCAAMV6AGcBM/lQ4AJxUoAieZYPKnwi/7hi8GefMA8OYB4M0DwFtFiMDJ3Pd85L99DWABACAWEuIhwfplIOIxmremmNMAoPzHZU+e2lW0iqefGYFhXxHGxKEW+w9ahMEsZgHJ6LQBoDYkkARndcTmNErBIsBr+4re+VMsDGgWDo46mmnRSX9OAwAU8lAJrmlEVeqcLaoJYqRlhmY85ktBU90kWv6mC5ESxBUIkJITHgEArE7raVYBpOjpoUMvfDpLoN+qEsQWNXpFnTURWOk/orMDK3VWxVlSsTkbDu0BAPRBT78M3N1JEYDoDQCwpZwSkQ/Wi0xYEBGcLaiIgogO1BakgJPcknsiAAZaJwCAn4IIxULGj+ciFJZEjFJhVAECEb28b9cn8tjQz8eL+xMBsH69AIAlfQFScsV8xoizC+doS2/TtsL4SHSapfKPp07u0wNgIkYE1cO/hMp+sSWyxZz6pOHiOkZFnEUxnzEQK47df06d3GdIBZMi3W8O/PDhMSL6kYKRHx1wzMan7RZL/GeDQm5EXKlIqu71Q3Vj/wuA0Ecyo1qAI3oCEM1lDrC4UmXv4Vpk8T+XfUvAAYjp2/j+QwV095jpF4N2bHBQpUOxvf8Btb+ypSLlMvuFTeBZYKGzvzEojh/WfHbQQG0BZJ8CAOyEzKwauGEHY2efBfiLbGKUHdqr4qxngQVeWCAyyB56Q0Ahkbh/GHzhvteQ7jdA3wwBsCMt6OnhwYbsd1UKr9pSkSMWCD0LLNTYPzn7RwcAuKIz+AsAdHz2b5oagBS7Ownff6gA1gfZhHT44GtqS3n4bb0LN6k8MvBrB04YiP3yoRe2vIp0P59M/E2/HzHdb7Bjg2vt2t4Pk0jH4nHbuvzyQMX6ds4FM/kFHMRxeOA3khl6g4n5deeCtUM37hlFX6+errJ75g3au/uBHnDwWt2/BaC0LeaboKLJujZSrwkWjPPzowM6vP9V4SBU53K3DP1ky2tY/xxh5+nL+tO5TFWBXmR23TPkpHA7mxCZod9hdOh3ykHM64F5d34Mhfwwht582XK8LhBb+OTQT+7fhe6e4HTUP7OewD4SpPvN0Ev3vSSucB8HSR7a/ysZHd6rHMbhK0Xzo/g5iKOQH8HgGz+z4GSopdHHDv7k3q+iuyeIVnDl3pPQ/WyAnVfblq7t93CQ+IaUcq4+dRHVNl3IUAcV8SFhjo4UYRMiPzqgh9582RInQpXxxwZf3HQvepSjdP70OrpmdkjL3icF3c8Guedv+2ly6U1vclj1gfHRASoVsi5R3cwmiEHVLYD9Luep4zVK9BAxMoN7ZHj/L4nDOqOSj5yf7jf4eqfOpJ3v7Lw0QTGtV37jBkLsmwJaEjDbhra3m0RNVHFSsSjL1Z3e8ZHj2YCYURzP6MjAr10hlwmYAwuVhwd2bfzqTGf+uW9Lm1geNq/92lKTrH0cFN4gLo94st7WNq00ieoWIiKIcwDkyGFInhmm5/DJqh5xNOOL44c1O/SG5LMHDDgJgvu1SmHT4K57no+cT3o2YuzcvDEBAgBoufLxTQz+nFK4VF0e8WSDq65vp0RNCxkTJxCgqoDKxMLBHxFygiuIQGAQEUCAOItCbkRymbc0PzpoQCEAVwQFX7KF3JeH//u+wzMRfLO0MVVpcrnYduXXU4Lq+0H6YcC0qVgEJkCYqHXxqgYNY7UUxBJMbMDGd4VOPSZOxUKcVWcLWiqMaWF8WEv5jLG2SJFUcwUifpq09JUDL255eeI/M0CyMHYmT2GDVNdjbQiTt0Lc3eJK64hjE93HAmYCkUEQJsQvHqecnOKKJM6S6GQIIEAtwLwbZHaI2O8eenHjr46OdVrKsXejzLNQCekdPAkEAGh/71OrFdqlou9T0TWq9iKo1JGJz81Nj4uEAlQtSGkYTPsJ/Esw/ZgNP7+/Lf6zI+OZ7jfY8YqeqrK3gM4mOAIEOV6YrOz+XkNh/OASjde2w45iEV9bVCazABIguGw8XLFnb2owO3UCzZbj5/Bwih5GNxipTj0ZILydIpwOvEJzMWbzwL9KQC8h3elFIE7SgxG5xE8Sb968efM22/b/ZwK0wBwFVp8AAAAASUVORK5CYII=",
    "Pitch": "Decide whether the attestation can be signed, and what the green actually rests on.",
    "SortOrder": 1,
    "SemanticTypeIri": "urn:effortless:pko-extension#AppRoleProfile",
    "Name": "Chief Financial Officer (human)",
    "RouteCount": 12
   },
   {
    "AppRoleProfileId": "profile-controller",
    "Role": "controller",
    "DisplayLabel": "Corporate Controller",
    "RoleKind": "human",
    "AccentColor": "#0f766e",
    "IconMark": "shield",
    "IconPngBase64": "iVBORw0KGgoAAAANSUhEUgAAAIAAAACACAYAAADDPmHLAAAX6klEQVR42u1de3RV5ZX/7e875577DoQkCj4KVRTxjYptLQ1aK2MVlNqLKFpArQXbsZ1q62o7nci4prWO4xrtWogC4ltIVBCq9VFbUqUyiqiAUasCIi9BSW7u+57zfXv+uA8TwiMJCcm9nL0Wi5XF4d6ss3/7+dv7+wBXXHHFFVcOUaFD7Hv7u/DB/kJ5UJRdVycASAwdKjBtGtDYyK6u9yB1dQI1NQLV1RKjRxOamkrYEuvqBJYvF2hsdDr8WyQiK0wzDDPBsJ1D2xuYBsMOUNS202hoSO3pXQEAGhp0b3iInn/5kYhs98vW1hrBI2uOI8ZoZn2qVuoUaD0YRIeDXUeQ0wKBgBgJ+ggkPmHCOxL6tdaQsw73/ym513fbrwBQVydw660MIgaAwOTLTiHw1VrzRcTqOJaGBBjg3JcKIVzFtw3+zNCcfzkgkFYAaBMZ8mXW4omEwl/R0KDaAEH1HwC0+YUCkyd+h4h+wUqdx0JKYoaQEqbPp0yfj02fl0hIMiwPufb/pRKU7bB2HHYyGXZSKWRTKalsm5gAyuFiDZG4O6bEo2hoyKKuTmDWLD5Qb3CgABD5X4ADkyaeBIE7ALqQtYYUAlY47PgGDhCGz0fCMIgAcN4LsOv+d4sC1O5vrRRUJqNT0ahON7dIx7aJDAlirNOsf5lctOTPPeENqEes/vJLbgWJX7FmjyDS/qoq9g+qFIbHQ8wM1hrt4j25VeBe4kD7vEAQiAS0Ukg1N+vEzs/ZyWYlSQkCFlI6+pPYkpe/OBAQ0IEo3z9x3GBh+RewkONg2whUVyt/1SBpeDzQWgNau8ruCVAQQUhZBEJs23YwkQDoQ9LZ6fH6ZStQW2vsseLqcQDkv8g38eKzpGU9o1kPllI6A446SlrhEGmlXMX3MhCcbBbRTZ86mXjcEKbhwHFuiDcsndsdEMguW/5zzynfxIvPEpbnBVaq2hsMOpXDhhqG10vsOK6L78VSEQBYawgp4ausFACrTGtMwmNOsEYM35p97sVViEQkmpq45wFQVycwe7b2RS4aLUzrBe04AwOVA9XAoUMNELlWf5CBAGZ4KyqEkALp5hZNHs8lnhHDt2YbFncJBNSVbD8weXwNsVyjNdf4Bw5QFUcfJVlpVyl9GBaEaSKxYydHN2/WwrIk25kLEg3LXupsYig66fpz7QktH9GgGm8o5Aw4+mhX+f3AG2jbRqCmmsJDBpPKZJiE8Uhg8vjD8soXBx4C8kgKTppQx4Z5rSRyKr86LOf284mJK30LAlYKnlCInHRa21k7JBinZr8/+THU1ND+QoHsTNwPRSYcz0I+wUpR5dChwvB6yY35/S8vsEIhkWlucbSQw72fbd6QbVj81v7yAdFJkvoeZjaD1dVshYLESrnK72+iNYRpIjxkiOBsVrOQt4euvnQQ6uv1vnI9sU/XP2uWDkyacC5L4wIhSAWqBkntWn6/DgVWRVhYwaBmIQ/Xaf5XEDEiEdF1AIwcyQBATL9lreEfVAXp8eTKPVf6dSs5UF0t2bYZhJ8Er7i4Kk8hU1cAIDBrlg5MHn8iE42RJNg/qNK1/lLwAlrDCofICgY1hBwEx5gIgFFbKzsPgNpaAQCs5HQWwrAqwspwrb+kWsa+yoFgrZlJX4c6CIwdqzsPgMZGhUjEA/DFxBq+gQOES9+WmBcIhaSUEgw6LfT+pcdi1iydn83cDwByD3FI2ENBGCaFwYbPlwOA6/5Lp0NoGDD9Pg0hPdD8DQDA8uWdAED+IaXFNyCkx/D7tJAS5Ta/J4WAIAIRQZbbeBoziAieQIABhiaMBQDU1PD+AZB/iOCcBQCmz8tU6PqVkeKjqRTimQwyto1diQQYgCFEcSKnHGYMTa9XEDPAOAXXX2/mewLtxNhb+cfA8QSG4fNRqcd/IoIkgq01mpMJmNLAeccdjylnno2BvgDq31qFZ5vWYmcijpDlhdcwoAtDmqWaBzBDWBYJElDsDK1MbPLtImrNl4O8NwAQbr2Vj2xq8u2i7GAwIIQsWZMQRBBESDsOWjIZDPT7MeWMs/G900bhW8cMLz53zlePwQ1jxqL+rVV4Zs3b2LDrC3hNAwGPBTCguDSrHyEESAiGIG/W8R4BoBV1dZQfJt2LByDi1sgFPmjrKGEakFZurq+UEkApBJgZSTuLjO3g6IGV+Gntebjk5NNwTFV1uzFsylvL8TWH4bfjLsLMc2rx4vtNWPD6P/DOlk8hSCDg8UAKAa01SsYn5BJBkqapHaV8rHEkgPfQ1ET7DgEAyDQZNtml5uYFEZTWiKZSkELg5MFHYOror+OCE0aiKhBELrnVxWdlAdRE0MxgZlQFg7jyzNGInH4G/vbhB3j49dewYsPHaE0mEbQsmFJ+OcNfSr0BIfeoT2MfDBCVmptPZDMIWV58+7gRmPHNWpwz7FhIQe0Uv7eMXxAVY6dmhiklLhgxEheMGIn3PtuG+StX4Ll312JnPAbLMOH3eEoLCMzUNQD0dzdPAiAgmc0iZWfxlcpBmDzqLEwb/XWccPjg4nNK65y1d7LUKySMDEDn/+8Jhw3GnZd8Hzed+x0sXP0Gnln7Dpq2b4UkgaBlgfKepxTFKMUyjpnRmklBacZJg4dg/Emn4gdnfQ1VwWAxvnPeqrtb41P+uwAUw8PgcAX+bez5+PGYc7FkzVt4/M3XsWrTJ0g7NsJeH0whoPLPugDo9TJuBC47dRTGn3gKPIbRIb5TD4eZtuHBIyUmnX4mJp1+Jl75+EM89fbqki0jjXIo47rq5g8UiG3Dw5hjhmPMMcMxs0TLSKPUyzghxEFv5e4pPJRqGWmURRnXx16qlMtIo1zKuP4ChFIrI/scACnb7tEyrr8krPstI7dthRQCfo/n0AQAAdBgDK+u6ZUyrj8c+tCZMvLdbVv71AsYfWUljlIIe31Yct1MVPj8vVrG9bfw0LaMvHzB/Wj8+EOEvd4+aSYZfXkgnpHn5pXW7SwGZXwKSCE8OErBkBIew+jTxpHo61MROa94OoTGzQpgJ/T9UTnuUV2HuLgA6I7XKuVpIRcAB+6+2zatXAAcIlKw+G3RFky8+06s+XQTpBBwlAK7ADg0AMDMuOGRBVjy+ms477//C4+89iqM/Mh8qYYEFwCdEEcpGELgjuf/hCVvrER1dQ3Sto1r5t+HWxqeyJFS+TrfBUCZidIahpRYtXEDblu6GOFgCFnbhiklgl4v7nj2GYy763as3fxpsYvpAqCMDnAWRGhJJjFt3r2wlZOjqvMhQTOjZsBAvPzmG3h2zVsgotwBmS4Aysf6iQg3Pv4Q3t3yKYJeX7vM35ASO1qjmHjOt3DLhROgmSGldAFQNnFfSsx/ZTkeeaURlaEwHKXaLV2kMhkMq6rGnKnXluzerAuAPR63k4v7TVu34Jb6xxEKBDrW/MzIKoUHrp2BmlC4SFu7ACiDuM8A4pk0pj9wH6KpFIz8FE9b198Sj+GXF16MscefACd/PL7rAcok7kshMOuZp/H6hx+gwu9vZ/1SCESTSZx34sm4bWIk93wJE1miHK9d6W4pVij5lr69Gv/7wnMYGK6A3SbuExFsx0GFz4f5068vMnrkAqB/dOqKwyTdaMrovOVv/HwnfvTQPHhMs8NnCCLE0yncM2UqhlZV5+J+ic8wlAUAnHwClshkcN38Oah/Y2Vx6qgrcd9RCtcuuB87Wlvh9XjatXcNKdHc2oofnz8OU752TknHfZTDbuCXylcwhMT6nTswff4c/H3dWvz53XU4+6vH4iuDqnKDmftRVMH13/7cUvx13RoMqhjQzvVLIRBPpXD28OPwh8gVJR/3y8oDGELi5ffexZjf/yde/fCfqK6qxmfRFlx1/2wks9niLN7+lL/8g/fwH4ufxIBQuEPczz0jMHfaD3PbPiUe90seAIVWbCKTwey/vYQL77odLckEKvx+pLMZDAgE8Or7Tbhp0aP75O0LJM7n8Rimz58DQ4gOB2FIIdAaj+N/Jl+Nk488qmxcf0kDoDBvv2rjevx43hwELC88hlFs3dpKYVBFBea89ALuXf4XGFLuMR/Q+ed/vvBRbNy5Az7LatfLN6TErlgrrh5Tixljv11kBeGOhKHPdwc1M7513Aj8fMJEtCQSHeK8ozUqQiHcvPAxvLFhPQwp23kCJ+/65yz/Cx55de+t3qHVNbhr8lU5YqgMp5ZFqd97f+ekKTh35IloScRzwxltMnvKAyUy+27sjMUg8j9rrWEIgVUbN+CmhY8hHAh2CBPMDEdrLLh2BqqCoWK4cAHQj2bsC8ndA9Ovx+EVA5DOZtspSWsNv2Vh864vcMV9f8xt53JuQzeZzWDa/DlwtCpuI7d1/dF4DLdNjORavUqV7c6C6C+zdt09Bk0zY2hVNR770U+QzV9bR7uxehWBAF5euwb/vrgBUkhIIfCLhifw7uY9U7y74jGMH3UWfvnd8cUqodfGzHAI7wUQEQIe64BAUBjMHHv8CbhnylS0xGMdOHlHKQwIhXDHs8/gmbfexOLVqzD7pecxMBhsH/eJkM5mcXjFANx95Q96+Hr1PVcgpjgEN4M4vz69Mx7DU++shsjv13e7FyAlHK0w89zzcfU3a7ErGoVpGB1KR6/HwoyH5+OGRx5AwOfv8J1EhKxt476p12FYVXWnmkjd7VwaQmDt1i1YvXkTApbVZ0OlfeoBTCHws6fr8fiq1yGFgDqAEzQk5cLBPVdOxVnHDkdLvGNSaBoG4pkM4plMB4rXlBLNrVH8bNx3MeG0Ub0W9wvKX/3pJlzx0DzsSiZg7JaDHBIAKJRVQcvCjU8vxG/+tKRY3nXnZRSSwgF+Px68dgaqQiFkbLtdUsjMkPkjZdp+R4HiHT38eNRd8r0iJdxbyl+0ehUumTcbsUwaPtPTpyPloq/pWwCo9Acw+9Xl+PWyxZD5cNCdl1LIB0YOOQL3T/shUtnMnomfNp9doHhDXi8WXPMjBC1vr1C8dr6JtGj1Ktz41EKYQsAjJXQfHyAl+gOHr7RGTTCMe1c04lfLFhePdO8OCApdvwmnjcIt353QIRTsaXc/kcngj1dNx8ghR/QKxau0hiklFq1+Azc+tRBByyp6O7cP0IbVqwmGcN8//o6blzyJRL6m75YnkBKO1vjdZZdjwqgzsSsW2yMITCnRHIth6je/hSlf+0aPx/3CgIoUAvNXrsDPnq5H0LIOOOkt20aQozWqgyE8sHIFJj84F63pdLdeFgG5gxiYseDaGTjxiCORSKfbgUAKgVg6jROPPAp3Tb6qx+N+8Rg7Ivx62WL8fHF98VjZ/rRGJvrjOHZNKITXNn6MKQ/PK4Kgq5u4hRddGQjgoetmgsFIZTIwDQOmNGArBUHAQ9fNxEB/oEfjvm5j+b9ethj3rmjE4eGKDvmHC4B9JExVgSBWblyPKQ/PQyydLpaJXU0KldY4Y+gwLJp5Iwb4A/iipRlfxKJIZTO4b+p1OGPosB6N+wWrl0LgV3nl1wTD/XaLuN9OBNlKYVAgiP/7ZAMue2AO7r7scpxw2OAuu+rCCZ2Xnn4mRh09FIvfWoVEJoNxJ52CM74yrGipPan81nQatyx9Gg1vr0J1MARHK7gjYd0EwUB/AGu2bsZl8+9D/fQf4qTBRxTr6a5wBkprHD2oCj89/186KKynlT/l4Xl45eOPcFg43Om5RDcE7CMnqPD50ZpO4fIFc7F22xYY+Xq/OzMEjlZwlILmntvkKWwFFZS/cuN6DC4B5ZcMHewoBb/Hg2g6hckL5mLN1s35/r/u8nl9hpAwpIQg0aOLJNF0qqj8QYEgsiWg/JKaB1Baw+/xIJZJ47L5c/Dk26tznqAP17EL84Hrtm3BRXP+iDc2fYJKf6DdUCncsfCeBYHXNJF1HNzQ8DiU1rh81JnFTd6DrXxDCKzdtgWTF8zFrmQCFV5fv074ymIvoNBWDQmBG59aCAC4fNSZvUbg7I/OnfzgXETTKYS93pJTfulOBecz7qBl4adPL+wROrm7dG40nYLf4+nTUHRIzgQWdgGDlrdH6OTu0rl+j6ekzwsUpb4NDPQcndwdOrfUD4s0ymElXDEX6WQG8PvxE3u00dOezl3U7xg9dz28h+nkUqJzXQD0Ap1cSnSuC4BeoJNLic51AdDDdHKp0bkuADpJJ7/32bb9gqAtozez/nHMfe2Vfk/nugDoAp28btuW3OTwHkCwO537xJuvY9AelkYPHQBQeXi8ztDJpUznovMzctxpALBtEzjfIyiDleh90cmlTud2oawxOgsAMjNemwgtzBo6a3M5nIezNzpZ5hm9UqVz92HxYKWglSIw21pQCwBg5EjeFwAYdXX0xdKlMSbawAC0crhwNm45gMBrmrCVwsz6R7Fk7dv4YMd2TFpwPz76fGeeztXldOYxa8chgJMey/kIADBrFu+7FdzURPkUYBMDcDIZ9obDZVMCFdq6AcvCzUuehM80EUunUVGidO5e3D1ICKhsljUzAfgslPRkosy0e0jvGAJ27Mg9wXIVQLCTKZTj/T+GyG0HxzMZ+EyzrCy/eD1vJsNMAIHWbW5oSGHSJJHflN8HAMaO1QCgpfoHtFJOMim1UmWRDO7e6qU2a+XlKNl4ggECCK+0M+59AiAfI8JG6j1i3q4ch5xMhkFUFnlAx6truRwvKYZWCk4yKaGU1oJfbWvc+6sCGJGI/OzRlxIg8VdNhHS0VQnhnixfSvE/G09ox7aJgPWpluxaAIRZs3TXOoFMDxIzp5ubRTmGAZTxLeWp5mbNOaN9DM8/n0Ftrex8J7ChQYGZEiN3/R1ave/YNqWaWzTlL0l0pR9bv5Swk0lOR6OSWGekoEcAAI2Numut4EmTBGY1OgLiD2QYlNi5k9n1AiVh/fGdn2uWkkjzotZFSz5GJCIBdBEADQ0adXUiFksvhHI+cLJZkWpu0cL1Av3c+lOcjraAWGcJ/DsAtHv3r7M5AKOpifD88xkmdSMZBsW2b2OVzQJuQtgvM38AaN26VUEaEqzvjDUs/QCRiNhT8leQfa/TNDUxIhFp1y/5yDrhuBO1ECc5iaTjr6wUrhfoX9YvDAOxbdt1sqVZEmO9ZWauTn1vio3Zs/nA5gHyoUAgNYOY16fjcRnbtk0Lw3BDQT9SfjrayvEdO7SQUgmoKbsee761TbvjgAZCGABaG17cJUhdKQ0D8R07kdixk4VpuiDo67hvGMgmEmj55BOHvJYBx7k5Vr9sJWprjX25/s6FgII0NjIiEZmtX/yp5/jhW8kyJ6Sbm7WQBlnhELnVQd9Zvp1I4IuP1zswDRO2PTfRsPQ3qK010NjodOZjOr9S29TEqK01sn9+cZVnxPCt8HguSTc3ayKCJxSiImXsAuGgSM7tR7l5w8ac8h01N1G/5HrU1Qk89FCnma2u7VR/8olGba2Rfe7FVdaI4VvJY12SbomSk04rKxQU0jTBBVbNBUKvlXpEhNi27Tq6eTOR15Kw1dxE/eLrEYnIfNLHvQOA3UBgnDB8pZDGt+1sNpxpbnGk6SHD5yMSIucNXI/QI0oHAJISQko4qTS3bNqkUi0tkgxDQeubEosW/wZ1daKryj+w4/AjEYmGBuWbMGGI9MkHWMpxbGdhBYJOoLpaWuEQUZ6VKiaKLhi6pHQQgYTInWecTHJi5+c61dIi2TBA4H+Ssq+J1y9bgbo6kWdxubtX7xwQCAAgNPnSa7Sm2yDFELZtWMGg8g0cQFY4TMI0iEBfbta4lcNemzmU/wMAWilk43Gdam7hdDQqWQgQOAsh7/A40TubG/4S7UrC1/MAKH4GAyAOTJxYAw9uYGAGER3GWkMaBkyfT3kCfjZ8PjI8HkFCQBiG6w7aGr3S0FqxzmbZSWc4m0hwNpmUjm0ThABpzkDQ49B8V6J+8ToAyFu+7onLtw5c2niDwOTxh5HwTGCtp7HSoyGFgdxsSu6CZyEgPR4NcDecVnlavnYcUkoRF045IQJpBQjZBOYGErQw/sTT77d51xo98PZ62goJkYgoAAEAglMiI0nz2cx6DLM+iRUfC9ZhGIZ0Q0GbPn6uemomwnYI8R6AV6Q0V7RmeXXxfUYiEiNH8oFafW8CYHcgdEBpxdSpA1Q6Opil53A4jqt8ADAMaK1iHiv4UTSZjLU1oN5S/MGTujqB2lojz0m7cb+z4fQgvbO+UAihro4K+weuoD3x1gkCxxVXXHHFFVd6QP4fEHLAgjwxL/4AAAAASUVORK5CYII=",
    "Pitch": "Prove the close controls worked — not merely that nothing failed.",
    "SortOrder": 2,
    "SemanticTypeIri": "urn:effortless:pko-extension#AppRoleProfile",
    "Name": "Corporate Controller (human)",
    "RouteCount": 10
   },
   {
    "AppRoleProfileId": "profile-finance-analyst",
    "Role": "finance-analyst",
    "DisplayLabel": "Finance Analyst",
    "RoleKind": "human",
    "AccentColor": "#0891b2",
    "IconMark": "ledger",
    "IconPngBase64": "iVBORw0KGgoAAAANSUhEUgAAAIAAAACACAYAAADDPmHLAAAPV0lEQVR42u1dbXBc1Xl+3vece++uZEkrY0sWhgQHbMACAiXQGTpumnZIJpOZZvpj/SMZ2gaKMR9J00nJDFC6WhgzCRNKWxLKx7RpSmipdvqvM5lMJ2ko0CQzTCcBLBuCAdvI+EuyrV1Ju/fe8779sStbYINlWyuttOed0cgeS957z/uc5/167rmAN2/evHlrU6PF+1z1q3+yK3Q5AoBQKBAAbvxdUCyKd/gprFBgjAwSNm4njIwoSiVpNiioqTcDMIrF9KR/y+cNLv5MN6YPKOIMtbXTw6oimyHUwioe/cb0yWs1bIASmgWG+V/8fN5geFhApA0g2HA83EDK1wPySRV3lTo3AOY1cG4Ro1CrmALEAFAma98EYTeUfi2kP0/j5DU8VZx6HxhKm+cVCDSvO35oSGccH3xt21UsuEkk/QJEN8AGpn6/CgLAzJ7yZ5mInPAqEeBSgGgPGfMTIvxb7b1f/RSlkju+yWb+3BIAqCPTAUB057YblfRuOPf7aqwhEbAxCDo7ne3s0iCbJbIh2SginweecLhLYpU4URdPa1KpIJksG5ckpMyACIjoFVX8XXIo+SFKxRiFAqM4pADp4gFg1q4PthauYBM+rITPqzgwMTK5lWl2dR+bTAdxEBARQVUB1fp3b7MwQAARqOEScQlcrSbVI4elevigSeOEKAgAkddA+Gb83b/60XywAZ1TrG98cHB7cYjY3KOqIQPS0b9Gs30DbKMMqQhUBJjtcIKP/adMB/R9rEDMIGZImqI6dkgm949qWqsZshYEfa52rHIXnvnW2GwGXhgAzHzglnsHwjD7fXDwOdSq6Bw433X0rzUmiiDOASInYpq3swcFEdja40Co7N0Nx8ys+huXVr+SPvngSygU7CkrrtOYOQvat3j8Lmdvvf86G3X+twquNoQ0t/5y6ug/n0GAOnfC8d7555wfAI01JULY3UPRylXkysfStDa9moPMH/M1m/bLI8WXUShYPP+8NI8BGjvf3nr/dRxFP1bnejPdubR73XrLQQBNU+/wBWAEYgaIUBnd7Sr79jKFWaK4tqX25NDTZxoOzBklfI/fJfa2e6/nMPtjSZLejvNWu9z6yy0AoIFQbwvDCFBBZuUqZmNRGzsolMl80V79O/vcv9z1MvLDBiMlnUcGKDBQVNxyT1+Y6XhFRfqyK1e5nk9sMOrc8TjlbeHZgIMQk/vf1Yndu4SirKHa1GdrTz74X3Nlgrl1Y/KDBABhmH1GQX2Z7lyau/hS875Y721R2ECSGJ0DF1DXhetIalVVEz6DW+7przu/wOceAhpICrcOFTSMbjGEtHfDoJ2doXpbXBCocwh7cuQmK5ImcZdl+0n3hd99Fn0j9aHSWTNAQbnu/AcuhTH3UVyT3Cc2GK43JLzzWwkEIuhet95Y5hRheGNwgG5CqeTqw6SzDgFDje/y96oIOtcMaNjTSz7bRysOE8BBiK6LLmat1YSIv4U7HzoPw3kBlM4cAPlhg2JRotuLn4ENPssE19G/1ojzzm/dUJAgyq3kaEWXaBCsCST5KogUwyU+cwBs3K71MK/3qwg6+tbARNGJ7p63lpwsA0DHwFqDuKYE3IUthVXYvPlDWYA/NPYXixLc8cAgiDcZIu1YPWDE1/pLgAVSRD29FK3oErXBeZG1fwRAURgyZ8AAQwwArPoVNdZGuZXOZDJ+9y8VFmBGZlU/4JyquD9rqLPkTBpBhHwhCFbiFTL20t4Nl0vY1cM++Vs6+lJ1grHtv1KXJAkZuTL+XvENQBkgOQ0DKAPQsC+6CGTWGWs0yHSwiqf/pdUhDBB0dAqsDUnNDfXQPsSnDwGNHyJNb4A1oe3oFAqC98+qvbW+zJAIQXePNsQ3vwcAGBw8yYn2pF9u/JCKXAc2CDq7tK7kWRgNB7VHor4AJKAIsp1cd5xehS1PBsjn09MDYPv2mWu8FKow2SwthHzLUF0iGLvlnWgGTGAiuGauaaMzaKMMGWa4OL0I0b4siCbq5eAJHeEHAKCEISgmJrI6jQECwDakZtO/IcKxOAGD0N8ZgZdhrqGqICKMTceYTBLkoqDJjKAgY0DMCuZMmNLaGJhAYYhQhH44AxAp/uKRLGTiQg4YNszUGaBJTmEiHK0luPHjfdhy5cfxW/052GWabCqAXUcn8cOde/HsjncRNthAmyUcsZZMGEnqXJbgLgCwAyOD9NEhAACqsYIoaXbUMg3nb7nqIjy8abAt8rNr+3O4tj+HT/X34us/exVZQwukK+TkzFrBqtRs2p+I6zv/4U2DcKpwqtAG5Jbrl6gidoIvX3YBvvmp9ThSS2CZFmJYRGcvCGlaNky48+p1xxfHUF0Vv5y/mAjWMEQVNw9+DGtXZFFzsmjVDy/Wg9CxEwx0ZnD16h5Qw/ntYjOLfl42xFWrujGdukVLfHmx9Y3t3ltcbNz7JzTb3DwAPAC8eQB48wDw5gHgzQPAmweANw8AeEFF21yrxRI92nQx++dzcbxlWhLtbbuUdhMBGJuO8cLoGKZTVz9YqUWvlkC4tj+HS3Kd0BaWui0pBnCqeGF0DAenY0SGW/akMQLgVPDi6DhWZyP0RNYzwLwsqiimU0HEXB+vtjDDhkSIRTGVOPREtmWfpOelOD1bCsmVYmmcneHLQF8Gwr/koI1LwSWVBHJDMuZUEXDrxwKZuU4PgPmrra/tz+HF0TEkTlqYCxSiwJWrunFeNqyXgeQBMC+0f0muE30dESpx2rIPkCgUATNWZUP4RlATmKA7tOgOl9ylewDMFxPo7NagtugFLhHBq12yVQC1cElAvgz05gHgzQNgmTRW1CeB7akHWEpzfa8HaPO5vtcDtPlc3+sB0N5zfa8HaPO5vi8DvXk9gC8FvR4A7TrX93qANp/rez1Am8/1vR7Am9cDtPNc3+sB/NHlvg/gzQPAm9cD+GvyegB/DoDXA/hzALwewJ8D4PUA8HoBrwfwegFfBnrzegBfCno9ALxewOsBvF7A6wG8XsDrAbx5PYDXC3g9gNcL+D6ANw8ADwDfQGnn+1/0N4e20ytj8SEv0W47ACiAgBmHp2K8fWwKogpRbbtdP5U47Do6iZB50e5/0RjAMDCZpPjByB4wEZwo2gEDCiBxAibCj945gJ3jFWStWbRQYD+Cn5t6TakocpkAz+zYi2v7c/jSZRcAwLJnAiZCaBi/PnQM9740ghWhWZh7Zta5AyAOCWbaNn3QrfVQ8PWfvYq95Wn8ycYLsaYzs6wBUElS/OdbBzD0850YrybosE0GAFG9YSGJnSsACLo/AXUeVZFul8QaBAE1Q36lAAwBxjC2/fJ1fH/7HlyxqmtZJ4ZvHZvCG0cq6LSmuc4ngjoHSWICJHEcHAUAbMzrRwCAFIUCo1gs09ahtwX4mCSJ1mU4zdE6zVzNymyIiTjBT/YcWtYMEDKjNwogaHbiS1CXqqQpwbmpNNP1JgCgCP1oBhgcoQaC9gCAq04r0cqmJylOFJYIPWGwrAEgULhmx3xVEDPSpKaiSiA6AN5TO1Xz+mQAbN9Ija35MohuSicrC9at0IbYw9s87H9mpFOTjdWk1/Doo9PI5w1K5E5TBg4JAIiR/4VzLpksG3HJ8j0ladnWm4q4XFbUVVQv1OP/Rjp9H6ARI9LMih1Q2Z+mCblqVcHs+7ZLSDotziGdLBs4JyLy4uzNfRoGIMXwsMEjd08S0U+VGNWjY46Zfed+iex8MgZx+ZikSUwQeSuNxl8FQCiSzK0TWJqBgvwzRLR6+BBLmgLsw8DSIABC9fAhUTYA07N47LEaCgUz91ZwabODKtX68T8QtzNNEqqOHxIyFvBJWkv3mckYJJWyVo+OGRJXYxc/0wjtcmazgM0lRrGYAvg22YAm33tXNU19MtjiCCBiTO4fFTWWIPLvtae27UJ+2ADFMwRAKS8oFDgJxp6jtPZ6GsdcHT8obD0LtHLsT6bKWj0yBhKJAX4IAH2w+zfHaSApRgYJjz1WA/RrZAMq792trlYF2AuJWlUoWd79ttMgMqruO/ETf/068sN8quRv7rLG/LBBabMLby8Oqw3yUZRJey+70qqk7XGK0hLZ/RwEKO99W8rvjTIzvxUbdw1WooLikAKkZ68HaISCOJatJO6tamXCVEbfEQ4iHwpayPnVI2Na2bdX2FgnUv0yHitOHGdynJMghBQYAv6xOC5J/CU2FpV9ezH53l7lIPQgWOy4by3i8gSO7Xo9pY4uC5f8ZfrEQ7/ApwsWxaJgXhRBRRLkh0361IO/pDS+jaMsT7yzSyb3v6scehAs5s5PKmUc2flaqkEUoDr1dPxE8W9RKFg8X0zn8t+YOX/gSElRKFj3yAMv26s37UMm88Xa2EEhYoQ9OZq5KF8mNt/xIDpO+0d/syPVMAwQx0/H/1DY0hjnC5r2bEuhYFEspsFtQ7dyFD3lqlVke1e67nXrjQlCSJos71dstECpBwCV0T1SGd1D1LGCUJuuOz8/bFDKy+ni/tkxwIw9/7zg0wUr/1F82V5zwy/IBn+QxnF39fDB1EQR2Y4VRIYBFSzL89UXY8ej3uFja5FOVvTYrjfc9PghQzZwkPgb8eOF+1AoMB6/U8/E+ef2dFujPMzefPf5rqP7n8DB5zSuIlrRnXYMrDVRTy8RMcS5OhgAzwxz7efqibUiY0BESCplndw/KtXxw0aDCKzyhkvSm9MnCy81aF/PZlp3bt5ogAAAgjseuJlAD6qx5yOuIurqdplV/RTleomDkIgIqgqVBjOo+DbC+w5BpLrDiUBUn7yKc4jLE1I9fECrR8aNGgtSidWYh5Pase/gqW8fmwnJi/d8q+qMhEw7txb6YhPeQZCtyqYfLoUxFkFHpwu7e9RmV5CJIq7TWUB+vDxLwJmmUOfUJTVNpyY1Lpc1mSybNIkJbEDO1WD4XzVN/iZ5ovhaIx87o4SvuQ84z2KDzlu29adZ/KGq/qk6dz2stTOxjInAzDBhJN7zJ9wgaUwuTUlV69uCCHApwGYETCVSPBd/976ds9Za5kOgMc8krIR8iWeAAADhV7dtJKLfVtFNULlCU3cJVLoRhMb3D2aZOIBwBET7QbyDQC+I4ZfS9y75v+PrmR822Lhdz3XXN/+IA1XC5hKfEqV//mgujMsDlInWoFr1jgcAm4GTpJyuWvsmBjvL2LzZncSu8+z4hTvjolBgAIyRQZ0v2lr2ls8bbNxIGBlRlEpNXbNFyMOVUBgijAz6GgAf0OGVhmdKI79JvHnz5s1bs+3/AYvqtJfmNHICAAAAAElFTkSuQmCC",
    "Pitch": "Check my own steps before somebody else does.",
    "SortOrder": 3,
    "SemanticTypeIri": "urn:effortless:pko-extension#AppRoleProfile",
    "Name": "Finance Analyst (human)",
    "RouteCount": 11
   },
   {
    "AppRoleProfileId": "profile-hr-policy-owner",
    "Role": "hr-policy-owner",
    "DisplayLabel": "People Policy Owner",
    "RoleKind": "human",
    "AccentColor": "#7c3aed",
    "IconMark": "seal",
    "IconPngBase64": "iVBORw0KGgoAAAANSUhEUgAAAIAAAACACAYAAADDPmHLAAAcL0lEQVR42u19e3RdV3nn79t7n3NfupIlS7Il27Hl+BVbSewEh8YDI6eQhqQsINArnCfQYdKuQsOa6VAaOjOK2i7CK12U1TKrTYGhwY7RLQ1hZvFoF7ENCSUkMWPH75dsJ5Ftydbzvs/Z+5s/zj1XsvzS40q6ku/2UmxH8jnnnu+3v8fve2ygvMqrvMqrvK7TRTN3Xy6//UtfC89FAFAb2mhny2YBAJt3bTbtIFMW9qWrDSwOxOLU3V1H9bt6OI6YmWpQ0NR9mDaxs2Wz2LXrLnf092LokLU3N1SmxHl2TIquZ6FbIsxhY9H5SCoT/1Vr+pJ3FeuQiANxtBpMgdos+suPoUOORG5byw51eiC9ymhzB7O51WX3FjZuA0Es1NAzaIVKZTEIAgCGpLCOAXQK4D2S5b8HQ7zvH17/QGokGOLx4gKBirnjn8STTHnBP9r8wi0MPKKN+7vMZpUUAQkAzAYgQAgBQtkT8IVgjAEDeTAQNGdBJE5LWD9jEs9l9yVfjKNVD28y788lAYA8MjUAPNz8wt3E/FnN+rcFWZJZQ0qJUKBSh+0qDtoVJKVFAStcdgTzG4BAcHSWXTfLWSfF6ewQUrl+6bg5IkgwNAi0lwh/kzG578YPtObawKId4Mn6CFSsXd+6ZnuzLYNfBsS9hl0IQagKL3Crow0iZEdJSZuQ3/PMDEbZDxyJAiICSIDy70gbBzknbfqS50x/okvmnBwpGYBhvY8F/em2Nz7w49Gbb1oBMFINPbTu+08S5BPMbEPA1EaXcG3VEmGrMDFMXr0ZH+75m1JZ8KNQwBcJhiBIgEhCGwe9iTPmfP9JzjppqYQNEG8fcvs//YNDH7swGRDQZFT+/WuebQir6Lcl7Hsck0Rd1TJdV7VU2lYIxrgwxoCoLOxJgSKvHaSw8kDoMmd6j4JYCZA5ajj9iW37t7zc0rJDXS7iKjoA/Bu1rtu+MUDhF4wxDVIK94b6W2RluJa0cfKCLwu9qFBg9oAgLeScFE5173UT6QFlCdt1OPtH2w/Enmlr2aHaxwkCmsjOb123fWMAoZ+67FZHQ/PdG+qblZI2tHbKgp8GIAghQSCc6T2qz/UfF7aMUM6kH9t+IPZMLMYyHqcxmwM5ZoevjcU3vtFsYmu33hGkyE8dk6uuiS7UTQs3KCLAsC4LfzpCRiIAnk81r6JBCCHRl3jbBGTkgzfV3t/VsWvda7FYhzxwIM5F1ABtAniStzQ/Vy85vNcYXV8dXaBvqL9FGuMWgpnymn5tYKkAuvs7+a2eg8a2IjLnJH9n+6HWfxurYyjG5vGvI4AgOPgsmOqj4fnu0vpb88IvO3kzqQ0cnUX9vCZqqF1FWSfJUlrPbmnetsATfpuYNABiMS/ce3Btx/9UFLxbSLg31Dcrw+6owKW8ZoZF9ECwYN5yMS9SZ8BigTD2s21oE97GnQQA2tpYxOOt+qGbO1YT7D93TMosrb9VKmnDsMmTFuVVCiBg1lhSf7OUklwlwncfXtv8SBytOhZjOXEN0O79ZrT4OgNWXdVSrgzXkta5svBLbBk2sKSNRbVrRU6njCD5xUfW/Mv8jjgMwDRuAMRiHbIdZB5ct/0uRYHfEQK6rmqp1MYBkSi/8RLUAto4qArXi4pglZEILHRJ/zGBuCN2ZTlf8Rtr4zH2PE35PzS7mB9dDFuFYEyZwy/lxBIIqK9uko5JMQn69AOrtta2XkULiCvZ/naQ2XJTfB1BvlsIcG3VEmnYLcf6Ja4FjHFQGaqjimC1kQjOJxW6HyBua9kpx64Bdu4U3gXFJwRZqjK8QNsqXN79s4IbAIgEaqKLoNlhkP5kG9oEdm02YwZA+67NOra2w2Yy72e4qIk2CIYph/uzhBsw7KAyUiuVlIAR6w+tuXWFV4d5KS8gLs/6EQeVWiZYNEmpOGRHBbMue/6ziCFUIoCQXWmEsGwpzCavPG/ztQHg/5B2aZMQlh2yo0YKG8w85+qwKP81N80AIRKs8Rx5wmYAWLdrM18TAOvqvR8y0BsBIGRXMRFhLsmfCIABnCzDybJn2mhugZvBCAYqBMOAgFseu/3vrRguLcO6BAD74/logrAaYITsCmLwnHlBJADtAtk040Ofq8Cmj4aQGuBhYMwhZjBohYmIoI1ZlpThkFewe3E4OAoATE8CHPutjhCABgZDSmvOFG8KCTgZRjBCePTpKG5+r433fDKEDz8RQS7J0NoDyFxhBYSQEEKyJBl0k5FFXoj/JF1VAxCIMYiQYb1ECIGAFSYuQd5/vLtVSCCTZAQrBB78YhTLb7NgXMAYYMN9Adz/+QpIBbg5hpBT+yzT5wjaZKsgC8gQkVwMAAcOrKNrhoGWdJiYnBH8Uml9OAO4jmfrhPS+6Cp2XEggk2DULpF45CtRNKyUMBoQChACMBq45W4bH/vrSgTCApnEVUCQdxz9+4K8Z2FT2uWmko0zLiq4VK0+G8AOE6K1BO0AyX5GasBz5th4KlxI73ciT8jJfsaSdQr/6W8rsXCFhDG4SMBCeiBoWCnxsaejaFylkB5kSJUX+Ihrct55TA0wkv0M7QDRWoIdphIHweX1lJptNjw5xNj4wQBaHg2h55TGWwdddHdqdB3SGOjRSA0wjAakAqwAITvEuPEdFj76FxUIVpAnfHH5axsD1C+XePTpKLY+MYTO37gIVRByGc8/EBIIVxHmL1JoXCNR3ySx+CaFuqUSu/4pjV9syyAyj2D07HmnarbFt1ICTbdbsMOERTcpLLpJ5VPWwNAFgzNHXZw7pnHmqIs397tYf28Q93467O1evrzwCyDI7/BAhPDwl6L41/+VwsGXclh+u4WGlQoLVkg0rFSIzheXmIim2y388nuZWRcuq9kUu7s5oGaxwA3NCswj7G7eJlfVC1TV21jzH7z/nUkwghU0ghwZW5jIDNghwvv/awTvfSxcuMbIZUa0aJIAbmhWqFksMNDNUBZmDRDEbCI3nAyjcZWCHfIiU98R83c1sycYoz1wBCvyBBaPz1Mn8q7FnL9G/prGDAtWiBGOYB4wjasUnMzs4kzEbNIARMCqO+2CsC/3M2Kkw8ZXjw7Gcj/mYSdQiMsDyX+WVXfas45eFrNF+NoFItWEpttUQe1OR3w+VrMBAE23KUSqCdqdPSAQs0n91zdJROYJL9yj0gIoGyAyT6C+Sc4qMzBrNIDRwJp3BQqqvSQzcMJ7RqPLGqBogvfDLWkBS29RJUu9+s+09BYFmY8CCgxlGQDjFzoJj2JNDzISfYwbmj3ChblEYZvXTHVLJW5oVkgNMNKD+XQzhj9TqZkGVTIe/gia1cl6TF51o0TTBoXVm2wsW+/trJIeuEiepnrwqSjePuTixG4Xx15x0Pu2RrKfISVgBanwOUqBMVSlUMvs5DyhWwFgwXKFZRsUlt1qYemtCoHw7EvS2yFC0wYLTRss3PXxEC68pXHs1w5OvO7g7DGNwR5T+DmhZjbfNuMAEAqoX6ywYqOF1ZssNK5RF9GsfiGymE1VOzxMJAnpmYW6pRJ3xoIYOm9w4nUXp/c5OPaKg9QQF8ik6woAJIBcmrH4JoWPf63yYqHnxwcKujp3P2khjVLfRa83HJHB9KOEaK3ArffYuPUeG9/81CCGel1INXMld2omd4myCBfe1kj2GUSqRcFZGm9BxljvZ3iYFiZxscz9HQseTiUXE+yEi+3+hbc0uk9qWIGZTSOLmYybhQJS/Yye02bqQiYeoVFG0MRulpEZYmQSjGyKL6aR6WLefyqinN4ug2ySQRK4bp1An+I9c9jF8tu8DB8VuXjE5/G1Axx/zcHJPQ56Tmr0n80LIP/9mkaJeQ0CS5oVVt5hI1JNBR+kmGbI/4xvvuHCGMz4tFQ10+yZkMCpvQ42bQkWVQOYfAFHNsX41T9ncGBXDudOaHC+FEwqGs4nMNB/1oHRwGsvZDGvIY2Vv2VhU2sINYs86hlUvNwCM3DmqAuhZp7VVDPtLVs2oeekRi7NCIRpzHn7a+18IYETux385G9TOHNEIxAGQhWeZ+bb+pGTjaRNhfumBhi/fj6LA7ty+O1PhPGODwbGVVNwLbo4m2L0vq1hlUDB9cxrAAtI9Bn0dRksXCEnN2/KF6oAfrE1jZ3fTgMEROdTIZ9/2ZbqUVGBVEBkHsHNAj/8ahKn97m47zPhQn0B0aQGA6OvyyDRayCsmW+4mXFSVQggmwTeOuBeMc8/ZrWft6k//noKP/m7FKwQwQp66dnxXJd52IRU1BB+8+Mstn1+COkhntQz+v/urQMusskpDHFnWy6ACOg5qYti81/ansFLz6VRVefZ7smEWMyekxqtJXTudvGDLyYKqd/JrJ6TumSSRKIUyrytEOH4azm4WfYKM3liNv/kHhcv/mMK0VoB7RbvGbXjmZGDP3fw8nOZQgXxuM1dPvw89moOKlgaZeSiFEq9cynGsvUWSE7AxubBkk0yfvw3ySlr7TIaCFUSdn4njbPHdKGCeLzeP0nCjRtt6NzMcwAzDgAhgdQgo2mDwj2fihQaMcZt9wXw6gtZdB3RU9ag4YesTobx4jdTE2YEpQTuezyM1ZssJC7km0+uRwD47VqNqxUe+EIUVmBiYZYQXj/fGz/LesKfwhSr0UCggnByj4vzp3UhhT3eQIAN8KEnKtB0m0JqkKeG+i5lAJAAnCwQrhK4/4lIoWNnvML3CZqT/89F9wkNOzj1xIoQQGaIsfffchOKCPwq5VCU8OBTUTSuVlfvRZxrAPDpX2UBj3wlirqlcsJ0q//yO3c701ZcwQwoGzi1x7vnRHwOv8YxGCHc/0QE4SqBXIZnJCwUM3FeqJNhvP+/RLxGTT3xeNjXGD2nNEhOE63KgLQI/ecMnAwXnLuJmEBjvFqBR74SRahCwHWmfz7BtGMuPcD40OciaH6PXYjdJz4Hx6sp6DtjoKaJVvWzmOkBRm+XmVQHvd+avnCFxINPRWFcr9t4OjkCMa29fRnG5o+HsP59gUkJf6RGMS4KWb3p/CxOjpFNclGcYaOBxtUSH/5zb0jFdNLD024C6pbJ4s6doJkZ60LFvG9+xy+4UULlC0SmSwuI6Zxjq2zC9/8ygZN7vFRoMRy3Qu8AT38kUwynzfeBek5pfOuPB5EeMtOaJhbTeziiVxb9z3+R8Ni0CVCqo9ux7DChplHAdaanHYvyZidcJTB/iZzUgSk+hZ1JMp5/Kon0EMOeZopYTPuABwtIDxo8+9kh9JzSBUdoMo5gdYOc1hp77XpZQjt/+u1E1LVfrZRJMrb92RC6DrseH6LneBTAxquHTw0YPP9UEpmkR4JMRuUtXW9NWBATI7EYi9YoKGtiGswvDMkkPOGf2usiVDkzo2VmhAk02hu80HXYxbYn8nl2ngCrln/6G99hobpRwM1NPQiYAcsGbn5PYEJ9in41kpNlPPd5T/jheQTjAtdVLsBoIFyZz7M/lbikTHs8jFq4irBqkz3l4aDXy+B560vyY2rGez/KX+enf5fCid+43lApF7gus4HaBSrmEw7/0sGPvp6C1uNPrvjt4nf+XhAVNVM7nMFzABn/8ZHwhMwWG0Br4EdfT+HXz2dRkR8mgeu6IER7BZnHX82B9fipVcrXVVc3Crz3sTDSg1OTZ5f5eYPr7w1gzbssz4MX43dYWTOOv5qDHSoXhBR2sJthrNhoQwUmlhWkfCRx2+8GcNt9ASTOc1E7iYUC0kOMBcsl3vepcCELOW7tYQAVIKzYaHt5hHJN4PDuKDCEkwASM3Dv42E03a4wdIEnVGByuZ2fSTDCVQIf+e8VhZFxkzEzdctkyUw5mXEAGAMEIsDitZOb/uH/u2AF4cEvRLH23RYSfVwYJzchpk8Cyb78jOEvRwtjZmmS2cvFaxUCkYmTYHMGAESAcYCKGoHqRjHpY4h9/yFYQXjgC1Hc/VgIbFAo577qlA66eDpJLs1IDzHWvy/gzRheKSffJpa/b3WjQEWNgHFmfoSMmvHpXw6jZpEqOEWTtYs0ovPn3Q+HcONGCy9+K43Tb7hI9ntTPKVFw2DI09Raex6+m/OKVRYsV3jXg0Gs22wP07aiONPE7BChZpFE31kH0qbrd0CEz6s3rFQFJ4mKNbApf73G1QoPfymK7hMae3+Ww5tvOOg7a5AeZLhpLnQNhysFKuZLNKySaL7LRtMGa7jmr4iZP788vGGlwtFXHA8U121rWL4oYsnNUzP9S4wQYP1yifcuDwEIITPE6DurPeKIPG0wf4lEKEoXCboYGulKfsCSm5X3fLieewO1N5m7plEUeHCagjBz5JQOIYFglNAQVVdtLyMxNXUGzN7nrmkUCESmtoq5pJ1AP6lSv8ybn+NPBvH78opNkvhefUEIZtTXiCHQxRa8P2yaRwy4rlsqUb9MwsnOLB+gZnT2v0UY7DH4P08ncUOzheW3K0RrxUVMnj91k4o4JIqmeuDUqCFRI/McI4dEDfYYyBnuEJ7RGUF+Z9BrP8zitR9mUVknsHCFxPLbLay4w8L8xXJGmyaKMSTKaJTHxF0LBOEqKvT3HXvFweFfOghFvVBpxTstLL9NYdGa/DkBs2Dl0nzJoMj00PCgSP/zGo3re0AERk3OIum1Xvlp3u5OF2eOuNj1HWD57QqPfKWyZOfvcv4/xgW2PTGEE7tdCOFVQCmbEJlHBbNQSmcKqZIcsJj/qxUg2CHvz6f3ujh3XKNxtZyS8GzyKPaeqeeUxul9LsJVVCB+Sk3os2Za+MgX5zrA4Zdzk54iMpXPCgCn9rqF5g7f80d5WngRhkgECEdfyUG7pTFa5Uo076GXspOucSwD4HJ1eAGgu1Pj7FHX6zE0pXdYRLLfoLtTwwrOnuOWxWw69TuXBjp/M45hUlw81X7NNnUAnbtdJPt42tu7rgsA+D0FnbudKw6SGH1sHPwxnDy5voPLHRt3OX7/yL/nhmcOowyAKekneOugi74uU3CyRs7/G31sXOHwJhr/mDi/zyCT4MseG+cDzZ9DnEszuo64s0r9z86zg/sZR19x8M4PBy5hCQe6DS68qdF12DtT+OwRFyvvtHHf4+GLzxEcw64HvHmD+3ZksWSduubRsaf3ueh9yyBQUdqHSM/+s4MVcPilHDbca+P8Ke3F3W+46DmtceFN7/Bo7XpgsQKEXz+fwflTGh/9qwoEI3TVtnSfX8ilGT/9Rgqv/iCLYIVXtn7g506Btayqk5ccHt35ugOdz1tw+ezgKTQDQcKZYy7+/rFBDHYb5DJcKN5UNiEQoYuqgsLzCMdfd7Dtz4bw0BejCEQuf4L4Rb16+ZPDK6qpcJi0f003B3SfdNF1xC2cMRytJTgZFAA2q7TqlfMZVJpAztv+gW4DYXk7MlzlNWqSHJF69Rm4/Imjp/e5+Kc/GUL3iUsbUs2oRs1Te1xEa6hA5Iy8JglPs4SrPHpXWsDQeUYuVRpl3ld+bZLHDABHW8Rg5TlWpZmAUdbwYRAFr/8KkDWuN5Wr64iL7/zJEM4c1YXJHL42GNmoGZl3lY6dEXy+0f7JJyhR4RMo7wWz0WqMAGDK6kGHQP3MBjk3y1SCn268oZbfkJpJGGz93BDePugWPPszRzW++elBvLnf4/DH265VimEfEUEbB47OErNxpEQ/AKxdG+OrAIC4DaAfHv7kkCB0ggHXzTJA4Fnl2lwZBHaQkE0xvvX4EPbtyKHnpMazfzqE86f1jPTnT+XuN+yyaxwycFNC9h0DgPb2iwV5iVpYly9eYSFOMwtknTSTP9+NZv9rMcYjlMDA/306CStAyCbMnBI+gyFIIudmmA0TEZ1LhSJZgOmaJmB/y07/FLXXCIR0dhCYA7t/tMfvn++bTTGs4Fza+XkSCwKZbMJnwvbFf9WajiEuMMq5v9S4b95svPS2+aVhR6dy/VIbFyRoboGAh4tQZhNxMx4UJDP9TCAw0S8AYG1L3bU1gG8jlEgfZOizjpujrJNkIjnH9ACKO66upBJnBG1cJHP90rBrQOalkZv7GlEAcUeM5Xf3PpoExIsEif5EtxYQsyvLcZ0uz/4rJNK9xnGyZEif6M90vQEwtbeTGRMPEEfc3xz/m9lwX/KM0MYpWU6gvEbbf0Lv0BkjSIEgtv7k2GeybS075ZiJoHi8VTOYztTt/bmBc8hxs9Sb6DJSWOCyFihpayalRCo7wAOpc5LhZg1yzwJA++adZlxUcGsMYteudlcAX1IUoJ7+k1zWAqXv2RIkuvs7jYRNmvX3vrf/geOxWIdEe/v4ABCPk2lDm7iQ69rucuZwzsmKshYobdsvpfJ2f7IbTCYnJX8BYBrN/o21IIQPxNbRT459JiuIH1fSprO9xzjnpiCELL/x0suRAQy8ff6glhSUzLmvbn2j9XAsBnE5529MFUHxeKuOxTrk1v2xf9UmEwdLeap7r0szfuRxeV2s+Q2ksNHVd8QkMgPKcPYE5bJfagOLeBxmUiVh8XjMtIGFA/5Dhnsike6XXb1HjJLBsikoEeErFcBA6hx393YaJSztmNxDW489MuiH9ZOsCfQuED/Q2quN+6CSFs71d6K7/wRbKjAnkkSzWvjSRiLdi5Nn97hBq0q5yP63jkNbftXSskO1g0xRikLbQSYWY7n9YOwV12T/ICDD4s2e/aa7v5MtWQbBTO78RKYPx7tedS0Rthwz9Mz2/a1fa2nZoXbtussdx9yqsS3/wlvWxv+zLUL/kNMp3VCzihZULxfMGsaYcpg4Dd4+gSClhYHEOT7Zvce1KGS5nH5m6/6PPNYGFu0eHcRFLwvftesut61lh9p+IPZMzqQfs2VEnuk9IjrP7NbaaChpgfO/ymsqRM+QQkGQRNf5w+b42ddgi4qC8GOxDjke4U94JI+vCR5Yt/0eieC3malBSnIX1d4kqyL1BBCM8Rs4yhphsmIHA1JIEHks39vnD+pkZkBJoVwGf3br/vu/1tbGwkvkja+Wc8LSicU6ZDzeqres/sdGadV+S8K+xzFJRALz3PrqJlkZriMCQRsNhikUlBDKgBiDyAsVfUIoEAip7AD39HeavuRZaYkwDOsjBrnf37b/9172hE8T6oGalDR8EADAQ83/8vtg+ktJVmNOp1ARrNHV0UaqitSRJQPklZUZMJt8UtGUZT2CwycQiAgEAa8Gk6GNi0S61/Qlurg/2S0l2WDonCD15Uyq66vxE38wMB6Hr+gA8ItI8x+AH77l+/Wk1R8xzB8S1ALNDpRUCNlRHQnWcDhQSbYVEkJIKGlT2VUYbi7UxoHRLufcDGdyCU5m+jmV65OOkyMiBYabBeQ20u5ff/fQR/YBgOfwkSnCiXWTXyO1wZbmbQssin7AsPm40bk7pAgoMIOJIYgghIClQmbOFBoWYf+7Oktau8TMYPa0gWEHgtQBgoi7xNuf2/eBQ8PvOmZQhN6NIr99plgsLnwgAMAn1v5orRbuO5n53ZpNs2F3BaArJQWlF9KUF0DQ7ECA+kB0liAOChK/kLBeTq5N7PbfZyzWIdfG93M72g2Ke2Zl0VGdB8KlKP3YrTvmGbevwVLhhRk3gVnWnTYFy4VSQbB2h2rk0mNdq9YPxeOkR2vXYgt+2lYb2kRLyw4Vi3XIsr4fozlFh2xp2aFimPp3NgMCYWrDk3Qgto4QBxC7zqXtv4M4EEfMDCd2y6u8yqu8yqu8pnT9f1LmwTFdnRH0AAAAAElFTkSuQmCC",
    "Pitch": "See what is live in my name and what is waiting on me.",
    "SortOrder": 4,
    "SemanticTypeIri": "urn:effortless:pko-extension#AppRoleProfile",
    "Name": "People Policy Owner (human)",
    "RouteCount": 10
   },
   {
    "AppRoleProfileId": "profile-employment-counsel",
    "Role": "employment-counsel",
    "DisplayLabel": "Employment Counsel",
    "RoleKind": "human",
    "AccentColor": "#4338ca",
    "IconMark": "scales",
    "IconPngBase64": "iVBORw0KGgoAAAANSUhEUgAAAIAAAACACAYAAADDPmHLAAAVJ0lEQVR42u1de3CcV3X/nXPv9+1LWkmWI79JgMRvO04zSRlougkMybR0ypTpulMKA0mJYUIScEMoaaeV1XZ4gx2C8yCQwITwkJi0YYCS0oYKk8QpedmJn/FjYhvb8kuPlbSP77v39I99yJFsWc/d1fo7MzsajVa737nnd373nHvPPRcIJJBAAgnkIhWq3PdKMPojTSG1CAACWimRAANAZycs0GYDg59LWjmZXEEnTuygzs6dAnTY6QYFTacyiQS4s7PNH/6XJNrVsVVePMUnxNoQXcwmZ85KvW0hP3Y8s3XrXekRY5VsV+gAOrB2WsAw5YOfRLvqQNICJACQSLTq9Mm5i32oawXmSrFmtcDMI6G5AlPBWahaREBgCJBi1vsI9AZA24jwHCL82osvfnzwbDB0dEwtEGgqPR7YIEXDX7Vy82q29GFjzftE7GJmV+Uf2wIEMHPA+GeZQayFiABE+d/FA8CHmNT/kOCHb9v99NMd6DBDTrbWVA0Azn6gq5c+8F5hudta/91EjoIYKKXhhupM2K0X160jpTQ5TiQIBAuuTCD4Jie+nxPfS0smm0I216d8P0cAA7Ag8HaBvTdLJ7+/c2dbbrjDVQgAQw+xeummlZqdL0P4T6wYMBNi0dl+vH4uu26MlHKIQBAIpMgEgeRBIAARgQreDwDW+vC8tO0fOGFT/V3K83KklAsReU0gn31l123/ORVsMAkAtCsUvviqZfdtgPA9AnGZycbrF0hjw3x2dJgEAmsNUDA8UaUz0OrmAymNDoGIQcSw1keqv8t29xwSz8sqxQ4A/GhQum/fvfsfTk8GBDQZyl+69N/mRajpUSLnJmvTaGxYZBobFirHCcNaA2ttweCBsSfODgIiArMuAeH0mQMQUUxkXzd+5uZte//umUSiVZ8r45pyABS/aM3ir1xDOvYkLOaxYn9uyzIVjc4ia/2C4QOjTwcQlHLgeYM4fmKXn073ambXt5K5bdvu9Q8nEr/WnZ03+NMGgKLnr1n8lWtY1T1lrdcUjTb5c1qWaaUcGOMHhi8DEJgZBMapMwdNd89B1ipKvh1ct233+ofHOx2oMYd7aOX7cbu98oqvXat07Cljs03x+hYzf+4qDQKsmMD45UgYC2MssKiva2FmjVT/Meuo2Ptbmt9z9OlTH3shiXa1Ex0yhQzQykCbrFy5qcUxertY21Jff4mZ07JCWeuXkplAys8GWrvo6TkkXSf3WkdHlbHpG1/Z/elfjZUJxrgas4IAwDH6MRFuicaa/Lkl4wdBXiXZwDc5NDZeSrNnv508Py1EzmMrV26akzd+K08aAMlkPt1bs3TTPxO571WK/DmXLNNWDIKFnGpYQyQYk8Wsxsu4rq7ZQmiOMvxY3vgraFIxQCuE79+50q5asnEJk/NDEY/mz13FrhsjkWAdv7q2kgWxaDP39R/zGc4Vc5r1weOn/vblC8UDozJAGzYUUKK+AZDT2LBIotFZZIwfGL/q4gELrVxcMnsx+yZjAfXFa5be15zfmBMaNwCSaFdAm71yyb03MDs3MsM0NixQ1gapXrWygLEe6qLNHInELZM7Nyf2DoAkiQ4eNwA6sEMKgcY/WTGIxxfA0RFYG6z</t>
  </si>
  <si>
    <t xml:space="preserve">hV/ts0NT4FmVsRojp9qsXf3V2vpbg3CzA55v7gTZ75bJvrgDoOmaSxvh8ZSXw/mq3vrU+YpFmikTiluE2++z+BQBJYIMaMwD+N7GBAYDF3EykdSw62wTeP7N2Fuvr58OKLwT5GNDKnefZfj2fO9Py5a2Oa2dtJ1JL5s9dZSORRs7n/QEDVP/6AGCtwaEjL4jxPc8Srdq++469gDBA9gIMIAxAtJ19GYTeqpQW141xkPbNrBVCxSGEQnWW2HE10zsBIFFg9lEBUHyTZnonseO6bswqdvPlSoHMoGkAiISaJF+HYa8HgM6WFXJBALQU3iQi1wCCsBsXIkIt2Z/o3K9a0k8gCIXquACA1Vdf/ZCDjuSIOECPSP86dhQAYJcQKbhuHQlsTQ2Q78t5SrSpRvQkiFg4TpiICNbisl6ViQDUl08Hh+oIhwFACIC84x3xSLpH5hEESjk1VbxJBNTH9TkNnUlb+L7UCAgEzArMLMaqcP0ALwDQ14oN1HaWQfU5hkj6+h6OOBhYxMxwnDDl53+a8Yb3fUF9XOPrm5ciGlOludJagBn4QtsBvPy7XkRjGtZKDQSCLmkdtr5vIkx2IYBdO4dtEOlz/bNSnsCQN1S4jJpjgHBkZAKkdW3FOm8qPhftnesvepR/qtmcz/fzFcrDGaC2Ex1L4wRAbS+UFOf5WswCxiPB+ayLXAIAXOSiK388mspG+8yjf1/x7+V6pmK0XsnYQ1d6yXJgwJQl+iqmgWqUSD+dtujv9wtn88pjlVCIwbpySy26ksbXmnD1NXGworIAwBhBLKagNY34GwAsXR4DiSAcUZh2+xeWVg7uH0Sq1x8VmDUHgKIxIlGF1i9cPsIg5XyOs39+9NYFZX+Gf/nH/dj6227EHF2RDbeKMYC1At8XpActYnVq2Mnh6Y47zs9K5bJBce0hl7MwpnJxgK4U/cdiCvVxDaWGFmEqnYuXez2AGYjVKTQ0aLAi5HLl34fQ5Y/688HW51ovx4pVdQiF+U00fPE0h8r//NRnLoMVwRcrtA9RUQaIxlRJ2Xy5oVQ09SzrMxABBERjXNF9iIrFAMPnvbxHUBV4JZU5FioUcFxsaWBxvi0WGh/cn0Zfnw+lpm80RAClCUuWxfLfM6yEqhzPAAKsAd5+RbQU/FayYZquhvo1APjW5sN4/rc9iNVPzxxYXAhqaNB45AerEKsfyjyKP6f7GYosMzhgsfGBJVh9VRyVrrXQU5FHT0WkHQ4zYnUK0aiCHa/3yYXn7iIAIlE+73iHQoxojBGN8hgBQOO2HVP+YZSiUesUJ+JEZQeA540/bWEe2o/HsD36XM7Cce24vE8EUOrCtXzF6Wa0sy0iQ+8Z7X1Dz2wnpL+XsyM+35j8uojvy7ToP+UAYCbMatYwvozLC5gBx7EjVv+isXw+HK0bB/0KwIqQzVhks7bMOXxt6K8nSv2ZjMFd91yG1X9QD+PLiNRqdFrKr7cX0SsCfPruS+EbAZ1nNIcrV5w7+3p9fG79HmTSAi5TKlVL+usJNyoS4LFHj2LjtUsRjapJD2pkgp/xnQeP4MTxLOINDoyR8jVqqhH99UTX8SNRhb27BvC9bx/FrbcthDFDXiAiSPWZURc3RiD6PHHc2cGb43Dp+5UiPPubHvzipycRj5fP+LWmv57MQk5jk8Z/dHThj/64EctW1hXmrrxmD99/GM8/04O6Og0zwZSKCPA9QVOzg89/bTEch0sNEwf6DR7afBjhMFdkF61W9NeTb1EEfOeh3+NLGxeDGIUDCYS/+pt5+M3T3fByXuGo0vhFKUJPt4dbPrEQ8YZ8cJSfN4EfPnYMx3+fQUNjeb2/1vTnyVJhNKaw/aU+PNHeBWYqpFKCRZeG8eFb5iOTsXBDDK1pXC/XZWTSBon3zMK7b2wupU1KEV59JYV/b+9CfVxX0Pi1of+kFyGtyZ+2efy7R3Fwf7oU1VoLfGDtHFy+JIqBgXwX0eJ++4VeRYp1Qwofu21RYb7M02smbbB50yEoRlV0K5np+vNUVDYxEzzPYvPGN2AKZ+tE8vV3624/W4Gx59j9KR8f/Mg8zF8QKm0cMQPff/QYDrw+mC/bqoLjWzNdf54qKozFNLa/nCpRYRHFq9fU46b3XYLeHn/E8uf5lB8cNLhiaQwfWDtnJPV1dKGhsbLUX0v683RQ4YF96ZKyIsCHbp6H+QvDyOXGslqV96B1ty8qFErmo97BQYP7Nx2qim3jWtKfp5IKlSLkshaPPHTkTd7R2OTg5nULMDhgRq25V4rQ2+PjpvddgtVr6ksoZwae/MkJ7Ns7mN8sqsKTuzNVf57q3LiuXuN3W3vx1M9PlbzAWuC6G5rwrkQT+lP+OQeBKF8gOX9hGB+6eV4pGFKKcHB/Gu2PH0O8QZ+3uUM1yEzUn6clNYoyHnnwCLqOZQupUT43vvWTixAK5xE8nAqZCYMDBjevW4DGJqf0HuMLNm98A7msLeuJnYtFf56OAg/HYfT1+njgG4dLdwYZI5i/IIQPfmTeCC8oRr3vSjThuhuaSoEPM+GJ9i5sfzmFWN3MaNow0/Tn6aLC+rjGs1u68dTPTkGpofq3D6ydgyuWxjA4mJ8PqeA1obDCrZ9cBGYqrXUf3J/G4989ivq4hjUz5/D+TNKfp5MK62IKjzx0BMePZocUOys3FhGwGpnzMhN8T7B54yF4Xp76ZlrvhpmiP0/r2b8CFX7r/iOF07n0ptw4lTLIZu2InJcZ+OkTJ7Dtpb4ZQ/0zVX8uR1T83JZuPLelp3QCqJQbLwghl7X4eCHntTbvEV3Hsvjx48dRH1czivpnov5cjvPvrst48L5DpdWw/Faqg7/867l4943NWFXIeQtnJfDANw6jr8eD1jzj+/ZUu/5cDioMhRjHj2XxnQePlKpeRYCb/nQ27rjr0jflvE/97BSe3dJd8Z2+i0V/LhcVNjQ4+K9fnMJzW3oKO2YC7RDCES4FQ13HsnjkoSOoi6kZ36dvpujP5YyKw6EhKiy0MM2jX86ivl4f2uGaa9lWrfpzOanQLVLhA0dKaZAUAp9f1hj1zxT9udxUGI9r/OqXp7D95VR+rZyA3h4fjz3y+6rd6Kll/bkSdXSOQ3jg3kNIp/OrYd++/zBOn/Tguozav5aguvTXFZkLwwqv7xnEEz/uwrIVdXjqF6fR0KBqkvqrXX9dMSps0HjyJyfw8ydPIha7GDy/OvXXlW7f7nlSKqTERdavuBr015UehNrv0l3d+nO1NIjARXzBE4Jm0YEEAAgkAEAgAQACCQAQSACAQAIABBIAIJAAAIEEAAgkAEAgqN1m0ZjCPsRj6VE82udOpl8vZuieh67m+32nY/t1tM+daL/esbZ9IQoAMK4bvqdywM6+Pv58nzuhfr1jlEzawvel6kCgq7FIoj6u8fXNSxGNTf1tYkRDbVmLn1u8sGH9Zy8r9OvFlN8O9oUK3Qk0oxkgHClvjDqd31epO4EmAQCSSscAxYOU0xEQlitQKzJA5Y3PMmYAGOMQIatLnbErfIdfuR5hOr6HynwX4YgbTQovsqLHug5AxpzxCNwjYuH5OaGL7VI/1EK9IcFaD8ZkScR6RpkeAFiOpIwCABKglfbs+fsUIAdFCMb3CifXpOzXqdXSqxLeb8UXa30SmEGr/H0A0DbMkCNpIbmT0AEQ8SEA8LwBITSX92pXAiJRruh1alN9Q2h5O5wJiBienxVrhRjoCkdsFufoMDkCAIkTy6kzb4QXAPpwJpsqa4UsMyEzaNF2z76yXCtflg6ShWviQ6Hy3G0gAhAYuexAnr2ZXtu69a40kFQAmVEBcH3nBtuJNpCiZ8X3TTaXUsb6pVbo5VoLePF3fTVVMx4KcdnuNCpKOtOTh4LwFgBIJJZTZ+cFGKA4RxjO7GK4x30/t8DzBsUN1RHEli0aj8UUUFP1/+W7Ip6YYK2PbK5PifgWGr8927kvkAWQJJPtavv2uwcAehpQ6B84ZRiqrFezWCs19Srf0AmYFAYzPdbzPBKxB1IZ+yoAagPZsW0HdxSMwPguxEqqv4uN9RCkgzPjpBGB0Zc6bokUGPz4vn2fyibQqsZcD9CBtQYQarrk9G8s/N2+l6NUf5dVrCtyQVMgGMc9QwqZbJ8MDJxSgMnmdPoxALgesOMqCEmigzs723yCfInZpe7eQ2KsH7BAlccZBEZ37yFLcMha8+MdOz67P4l21Ya28QGgA0kLtHK/v/9HVrJ7vFyW8yzgBCxQpflm3vtT0t9/EoDJWdjPA6Dhq39jLAkjSWIF7dt3X1Ygdyp26PSZA+L5aTAHlWTViQHCydOvG6aQsvC++uqe9XuSyXY+V/B39m7BqJJMtquOjrVmzdJ724lCyVAo7C+cd5W24lfl1S0XK/Vr5eLkmX22u/swE/EB1zdX/d++M/3ABhltZ/eCyfbOne0AwLNanP/W4KTnpWcJrNTHWiiICarB+BZah9A/eFJOnNhrldJikP2zl/eu3w9cT8ANMsmqYBJgA3buvOuMgfdBZgfd3W+gu+cN0dqFzLhG7rXl+Uq5SKe7cez4Dt916rU1uc+8uvuurQm0apwn8JtAWTjZJNrV9l3rn7eS/bhWEe46ucf29BwSrUJl3ykMpED72kUm04MjR1/xFYcd3/Y/vG3v+k0JtOpOtPljShvH+oU70SEJtOrnT93zQkvze446Kvb+1MBxCxCi0VlUSkOCKaEsu0tau+jvPynHurb7iiOOlczDr+y6c10rWvl7Y/D8MQeBwyWR+LXu7LzBv3Lpxls1R7/lmzRi0WYzp2WZUsqFtd5EPzqQCxheAChWgBBOnTlgz/QcJFc3kLGDD7+86451SbSrfPo+9nK+CVmpSDGrl2y8SSn3UbE0Tyn2W2ZfoWKx2QQA1vqFGoIACJM2vADMCkyMTDYlJ0+9btKZPs2sfRJz90u779jUCuH8Rt74ajknbJ082taaq5Z8aT647hEm5ybfpBEJN/hNTW9RsWgzAQRrDQB7VkFJAIixeHrxcnpmBQIhk01Jd88h2z9wQjGFAbJ7je/dsm3vnc+0opXb0CYTCcYmZY0iCADgqmXfvIVA/wro+cZmEAnHTbx+HsVizaRUiIbQbAs7Yzaw9TBT5NmSS6xprY90usf29R+TgYHTiqAB2Byx+jJler/64oHP9SYSrbqzc2wB35QDoLT8VEgXV7/tKy0qVHcbYD8BqDkiPpRSCLl1JhpuEjdUR44TZmYNpRwKkodCSEd5Yxvri+9lJZcblHSmR7K5PuV5WSLSAEyWwD/wJff17bs//Vr+v1sZ4wj4pgkAb14xBICVb900x42E/hwiHzXWu5bZ1cWbEYjztObosA3WEIao3jdZssYnK1LwKYLABxPvFHAHG+9HL+69c/fQWI8v2Jt2ABTZIJns4CIQAGDN8geWa9AfWpHrBGalWHO5wMaZXBUAYAgAVnwQ0A2i40y8C8xbGOqZt+5oeqk4zean3B0yWa+fRgCMAIIdHphceeWjjewPzmOE5sLPVvH5ZJT1gJb1c6l4eOG+lsVe6mwHGvL4qTU8ypest3IiAW5pWSHnAkQg5w6uTyR2UGfnTgE6pnXMqCJ7lthAyeQKKpaeBQJ0oANAuy2YJHCSQAIJJJBAplv+H/zrDDVteQWVAAAAAElFTkSuQmCC",
    "Pitch": "Hold the four legal gates: consent, quiet hours, review, retention.",
    "SortOrder": 5,
    "SemanticTypeIri": "urn:effortless:pko-extension#AppRoleProfile",
    "Name": "Employment Counsel (human)",
    "RouteCount": 6
   },
   {
    "AppRoleProfileId": "profile-communications-manager",
    "Role": "communications-manager",
    "DisplayLabel": "Employee Communications Manager",
    "RoleKind": "human",
    "AccentColor": "#c026d3",
    "IconMark": "broadcast",
    "IconPngBase64": "iVBORw0KGgoAAAANSUhEUgAAAIAAAACACAYAAADDPmHLAAAfT0lEQVR42u19aZQdV3Xut8+puvO9PapbPcqyhWWpFWMH7CQ8eMty4jg8smC9JFICSZhjG+PhMdgMJrQ6sR0wDtg4GGyBDRiIXytrBd6QhBWCjMGAEx7YsSSPGnuQeu7bd66qc/b7cepO3S2hWbdRHS8vSd13qDr7O3v49lBAsIIVrGAF6zxddK6+l8HB7i8RBPGvIgBoEIMEQPj/1kMY0oHIl65BDIoBDNBu7KY9GOAd2KLPNCjoTN4MADGEIW/x77ZgWG7ud1MlcrjIBTqfhR6hKIc5RAVtFz80urWw+PfDGJYAsBVbNXD61eZp3/wtGJbD2KLJR+4gdlqt/fsuJhZXauZXe1CXalZdxLRaI1AERggEEGck2a8Q4aDQ4llF4icJVdp1/eHr87VgON1AoNN54rdhG5cFf1/PVy9lof5cafUmxeriEIUlABjbzxBCBpKvWZo1wAYMBMCFC4I4JIX1bwT++6dGEt/fga2qBgiqYQBQe0H39T1yjWa+TbF3tQ1bKihIaSERSqqkneR4KEG2sCliRYnBoPNc8OxrAFc57CiH816Os04WGSctHeWSYAENDSL6TwLfP58a+cbQniFnECy2AZUDd04AUHvqP9P74CaJ0D0E8UatFUgS2qOrvI74ahG3E2RLmwjCaABmg/hgVQVBZP73ReJqDyWvoKfyE3oid0Q6nkshEYJitYuA2z8w9p5/LpvcHaegDeh0nPrP9GzfJkAfAyMEAd2d7OXuRLeIWFFiZijW4EX2ns77s79UF/Ci/REkIEjC0y4mc0f0SOYgl9yStIUNJn58QuVv+tT4zTOnYhLoVIR/Z/9nu2Iq9ahF9rVFLqAn2a96k30yYkWh2Kuc8kDYpwYKAsESFjztYTJ3RO9P74XQUjDpl/PKedcdh9/31CB2WkPY7J1xAJS/6O7eL1wRQ/Q7mnWXlNJb37ZRtkbayGMPWmsQBUI/3VAwQLBR9PJ4YWaPly7OWyER8hwu3Xj72Pu278ROa/MJgoBO5uTf3fuFK6Ic+a7HqqUl2uKtb9to2dKGp73gtJ8FIAgSEBDYn96rDqX3i4iIUYkL190+9r7tJ2oO5PGffBY3YZO+s/fzV8YQ+67DbktHvFMNrLrUAgGKVSD8s8UZgKGh0RHrFFJYmMgd1hEZe8tVyWvHr8+882fDGJY7sOO4ogNxvN7+EIjvWru9M4bY//a0aumMr1aXtA9ITxtbHwj/bMOAUFIl9CXX0KvaLhEFlVcxEXv4rq4HrtmKrarMIJ4WAAxggAAg5PBj0NTREm3xNrQPSKW9wMk7xzBwtIO+1AV0YfM6Knh5jsjoY3et3d65FVuVT8efGgDKNuWe3i99MkLha4RF3vq2jZZihSCj1yAgUCX0p9aK1vgqTUydIUc/Vk4snRIAGCy2Yqv6dPeD6yWsO4pc1Je0DUhb2IHabzAQaChc0rpBSim8CEWvSXR3//nxmIJjAmAbtpkXkfw8NOyeVB+3RtrJ48DbRwPmEkIyhHUt60VRF7QQ9KkHur/WtgVbNIPphAEwjGE5hCH9tz0PbbYp9LskoXoSfdLTbiD8BtUCrnbRFm0XqUiTthFeXaTizQTiHdghThgAu7GbAUAT/lJpD12JXkSsKIIUbuOXFvWm+mVRF5iIbrq366H2rdh6VC1gHc32E0h/tu/hAa3xBpLE3YkeqQKip+G1gKc9tEXaKRVpUkWn2KaE+98BbN+GJywA3nFpgG14QgCA1vwuC7bVFl2lgtO/sjKLXfFuKO2xgn6vCQef0MdtAoawWQ1uHAxp8O8rKHTGVwsO0rcrSgu0RtuktCwQ02XJ7p51QxjSvAwvIJaq/0EBgJPzPRcQaK0lJcfthAioXqyofEFIhJEIJbVFdgjA64xmv+qXA6D6IvE6C3YoHkpqW4QC0mcFOoNN4WbfkeerAGAAU/xLATCAq/w3eVcAQDKU5CC1uzK1QMJOCL8Q59KHXvOQvQVb9C8FwG5s81FC6wFG3EoQB87fymMGtUbUihKRALO+YDxdjBKIF4eD1iLUEABO9aaiitHFYNjSJuZA/a9EDSCFhBCChRaRaDbWA2BhG7ZRbVm5WAY9DKSimlWfEBJRv64vcABXHgBsEaKIFWFJMmoRemszu8cMAx3hMoHcpaWKwVq52gDuiSaDgiP/K7Q0lvfkRbA15/cKABAAIJhusOKv4XwEAAmAXT63AiBAl/xroAAAZ/WKvYxGuNMGq3O0+WQAGFsbArsMdhgkKQDAGd1zCXCJoYsaF9zagcseX4vEhghUXoPO4p2QMCc/0hPCqx9bi0vu6YVMSngLasWBQKwk4XtZDbvdwqaH1qDvve2wkhLrPr4awiac1Ww1AewwLri1AzIm0HZ1Epd94wI0XRGDO++BZACA07vfFsGdV0hdFsNl31qL5t+IgxWDFRBfH0H3W1vhzquzsvEkCe6cQsdbmtB2ddK/DkakN4Rf+/IadL+tFc6MAlkUAOC0CX/OQ9Nr4hj4uz6E2iywMvaWBMAa6LuuHcmBCFThDDuFBLBrfI81N6wyWkcQSBoNRERYd0cXet/eBmfaWxEgEI2t9muE/4U+WElpNrpsZwlgxbCSEr3vbIcunllfgATg5TS63tqKSF8I4OqEk/L3sgYu+vjqKgga3BxYjWzzVVYtFb6ozlZhBoRNmP7eAg49NAUrIc+oL8AKsJIS49+cAQD0X9deEToJA0iqAQEAjH9rFlaTMNFKoAGO/6p0kRHqtLHx88sLH2T+vf9zE3j+g6Mojrmm1/ks5K5UXuPA5yaw+6ZD8DLKmCJVNRNEVRC0bk7CS+uG1QQNCQBio9rX39UNu1mC1VLhexmF3Tcdwsj2aVgJARElM2VL4IyYgdrPJYtgt1mY3ZnBs392ANkXiiZE1TUg8K/14qEuhHts6CI35G6LhrT78wprbupA0xVx3+GrUfsAvLTC7vePYOZ7Gditltl43zfwchpe5vTbAS/rf65v9NljWC0W8gdK2HX9QWSfL1ac0vLOMgN2q4X1d3ZDe3wOBsGuMACQ8O3+lXH0vrPNV/tVT9p42sCLnxhH+t9zCK2ywF6VinWmPbRfk8KGz/X6xvg0XVNBY90nutB/QztURoNdrlDRlk8A7bllBO6cZ5KuXENXK6Dpijh6394GN60azhSIhhuaJwhrP9BRDaGo6oCRBA7cP4mZf1uA3W5Bl3MBDOiCxoUf7sSGe3vR/jsprP7DFsPMWaeojdIKHW9qQtfWFqx5fwc23NcLmZBQRQZZBgQyLlGacPHCbWNgzWBeBAI/VI32h6q5gwAAy2/26j9oRuqymFH9NaEVSWBmZwYjX542foFXFb7KabxqqBt9f9EOVkY9r7lxFeLrI1B5PjmfwI/57RYLa27qAGtAO4z230lh0xf7YSUFVMGYJ/YYVkpg7kdZHHxgqt4U+NdoJSXW3NJx1mnrFQMAVgy7WaLnHW2+o0cVrUAEODMe9v7NEYgQ1Wl2XdS4+M5udL6lGez5/oIgyJjABTd3QBf0Sat+N21yDpFuG2CY7/YYiQ0RbPrSGlgpWdFC7AF2q8TII9NI/0euziks/739mhSSl0ah8o2jBUSj2H4vo9H8WwlE+0NgriFWfK//0BenUBxxIKKi6vDNK6y5uaMqfN9skAC0y2j77SR63t4Gb+HETp3xRTTark6ia0uL+eyaCKAMgg339hp/YNF7931mwgCjDuEMYRM639wMVdB1vk2gAWBOV/dbW+r3zHf6CoccTP6fNKwmWTnlXlqh7beT6HtPe53wy+8TNqE44qA45oBCtLxDSMunkpkBsgnujIf5p3NLKN0yCJpeG8Oamzr8PIShg2VcIrOrgOl/XajjB0iYa1j1xpTxBRzdEFpANEJFjSpoxC8OI3V5rO70l38/9rWZaqrVz8PbrRIXfazLv4tFkYIA5p/O4dl3HMDszgxkhMA1Tlnlczw2vgSbn1UoZgYoRMi9VMSu6w5i/PHZiiNa67OwBnrf2YamK+NQOUMIQTNEmDD21Rlopyb2J4A1w26x0PpfE1C5xtAC4tyrf4IuMlpfnzAC0FwVggAKIw4m/ykNKyV9x5DgZTR63tGGSI+91FkUQPpneTz33oPwMgpWs1UtGhEmnnfnPbDHsJst2M1WRaO4aVX5XmhAxgRkXOClO8Yx8si0seWK66ITsghr/0dHBWDMgIwZLTCzM2NYwcp7jBZo25w099oADTdWAwy3gYgKtF6drG4SzGkhSZj9QRbevPIJH4YuaUR6Q1j9Ry11PEFZcxTHXLxw2yhEhEydgGfCNV00advWNyTQfm0K8XURRHrtCn9Q2Odg9ocZTH13AV5Om7yCMs5auNPCgfsnEbswjLbNyQrQyt5+6vIYWl+fwOyTWVhJwwCRIEx/dwGrrk1V7ol8k5O6PIZofwilI+7RzdN5AQAClMOI9oUQvyhcK//KaZl9IuNvkn/68wr9N7TAbjIUMRYlh/Z+6jBKk64fKgJkmVMf6bKx7pNdaHldYukmJCVia8MVp3HvXUcw99Os+Q4NMBmfYu/fHEHy0ihCrVaFki6v3ne3Y+6pXAWMIkZY+EUezoyHUFv19exrluSlURQOOLDCdE4VgTi3kyxMiVd0bQgiIkzYRDXqf9RBZncBMmo2iRXDapJY9XupSnhYIYkEMPUvaUMPtxi1XxZ+6rIYXv3NtWh5XcIIVLH5rjJhU/6ZYsQuDGPT9n50v63VRA/S/F5EBYojDg49OGUEWUv0MJC6LIr4JWEoP+wUtkBp0sX807mKRquGNUDikgiYa27ivPQBiMCKEb84Urc55c3KPFvwnT8B8p3FxCURhLtDRmuKGt7dY4x/fRYi4vsRfsVueLWNjffXFJL4TmA5fVv2DcpOoAGhKexo3ZyogIA9A77Jf0qjOOqY93PVjJEktPxmArrIVeeOgYWf5ZeiHkBsfcREF+fYDzi3AGAG2YTkpijq9b9Z2ReK1U0mAruM5KXRirddGypmny8i+1IRMioqP9Mu4+K/rskoSjq+rB+XM3ndCHdaxpunKvcwszNTf6r9605eHgPKQmWGCBFyr5RMpCGo7hZjF4Zgt1rQ3rklhRqCB5AJsewpKRwoVb1lNqes6TXxerD4J2juJznD+pE53V5Wo/UNCTRfGa/kEU5kV1gz7FYLXX/SWg3ZfMDO/yRXx1aWLyW5MYJQq5+gguESSkdc6JKuSxIBxg8Q1rl1AM8tAPw43G6xEOmx6zaSyPDu7nR9MocswGqWy4Ilu6dQValkvP+O/9ZUk2U68UlbYKD991KVELRMWOX3OT6bt1iohoKuUMA+o+hMqfr7ZkBGBCJ9tuknOF81ADMgwgSrVgP43rIuapQmXZBtdke7jFCbjWh/DVh8Z1HlNQr7HAg/pGLNkHGB2LrwsqblRFq+wu0WwqvtCrUrbIIz7aJw0Kmjqo13LxFdYxuTUU5wZRRKk26tsjLXbZn7PtfD10QjpICX3QSCf6KX+dnij/AYKqfN3dRolnCXfdLyL59UERGI9JqTWmkHcxheVh/XNZPAUauDG2Hynmj4h+otbXRf/rSK5R260xWuLhG0OGoj/vHdB4Js4LE7bJfTDEcRdNlDry3CUFkNZ0adsuC1w3AW+yLiGE6lPE4N1yCdxY1hArylPyOLYCVrHCq/QaQ44i6xvVZ8ke21CG7aQ+GAU2EIT/KRnvAWFAqjvn8BQHsmOoheEKr3RXyeonjIp3eP5uMsvm86XwHg1/SXZlwjqFqhsgmTIt1V20tk+HwvrZbJ3QLxiyN+lRCZB6qCTLxOOCkElIE3/5Mc3Nlqlw+XGNHekClVr6WDfeLJy1Tr/thj2E0WIn1LHVcvp1A4YIB13lLBAAAF6JJeKlQAoU7Lt6lUYQ0zuwt1rykb6ObfjFfCQNYMmRSY+uc0CiNOleE7Qd+DFWPssRmIkKgwhNplpF4bq8tcli8lv7cEd84z8T2qVULCXhrvs8fVmsbzmgp22TB+WHpSExuiPl+OChG08It8neDLDlrq8hgiPaEqaydMoejL2w4f20FbTjX7pegHH5hCZncRMuYLkBkibLqBlyOjFp7Jm/r/ckbTMbkFERZ12g0ACgdduLPusuA4v6hgQciVAVDLBAFI/lrULwEzlbYiSsjuKRqVLKp2mpUxGav/oBleRlercxIC8z/N4pW7j5jXCz83r5fxzLmatyeLMPHteYw8Og0rJSpMoreg0fJbcSQ3Rus7lXzSaP7pnOEtymSUZiRfHa0Ht/9n7qWiXyFM53lBSAjI7zN8eUX+vnBj68KIXxSGKlZJmNIRF7PltKuuz8h1vbUViY0Rn7o1wLCbJA5/awa7bx7xmzWpyhfoRd080piZ/Z+dwMuD45BRUdcXKKICa27pqFPblbK1gyVkni0YJrAmc1lOPy+u/sm9WAzCQNaACAsUDjoojrtmYzUqiRZhE1rfkDBcuiD/9YTxb8zU289y6XVCYN0dXTVJGj9KaJKYfSKDZ/5kPw49NIX8vpKp6y8XdShG6bCLiW/P45k/3Y/RR2YgYqLyucI2MwH6b2g3adyaKqSyFhp7bLbiAJYjguSmqCly1TUVRMKYvcx/FiDColoBhfO0IogkwZ31MPtkFj1/1orKWFpfHbRencTIIzN+Qsio+sxzBcx8bwGr3thUUc+VLpzXxrDu41148eNjCHdaYN9EWCkJd97DgfsnMfroDMKdtqkIgik5L465cOcUhE2m+FRVtU5x3EXX1hb0vbu9MpugtgStMOJg8v+Wy9Z8TVJitG5O+qA2KCm/PvtiEblXSnW1iucxD2AybLNPZOqdO7/cKrkxipbXxY1tL9fqRQQOPTwNldd1LWDl+vuuP27BRR9bDS+n/Qyh79jZBLvFYL4w6mD2ySxmn8wi92IJXGLYTRIiSpVSMFaM0pSHri0tlXbvOlXuO6gjX5qGylaLVrWjEekLmWQU17zHl/bsExlzXUFRaLVEKvNcAfn9pYqQ656C9Z72ypWWncHcC0UcenCqosLrxsdpoO+97dhwby8ifaGKQGsdPREyRJOV9DuLZY2D6JsiKyGx9oOdWP+pHlhJuahVzWiCme9nMPGd+bqiVZXV6PrjFtgtsk79QxC0w5j5QRYiKqqm6rxvDJGm3fvw43P1Ib4vzKZfj6H1v9RU5yjAbpEY/foMZp7IVOr066Z4uYz2a1LoeFNTxSlcjqItdxbXJXDIZBibroij/zqj9mtrAMtTSkqHXbz8V4eN1ihnMR2NcLeN1VtaqhXGZcCQOf3ZPQXjYHJABVe1QFxg5vsZU5otloZpa27pMKdG1WTqwoSXB8dNa3YNCMqNIdk9RYx+ZeaEJ4ewBqykwNS/pDH/05yx6Vxff+hlFF64fdQQP6HqbAKV1Vhz4ypTUFrHFJq/THxnvmFKwhsnGcSACAkURx0c+Yc5f8IG17RYMxKXRNB/Qzs8vwun7J17GY1dNxysB4G/uQfunzDNmNbJZeRIEvZ++ohJNcM0pJS11e73jyD987wBl+drsbRG+zWmM7mWJyj/feEXecz+KNsQdQCN1xyqTa/92NdmUBx3TbjENV04Cuh7dzvarkmZPnzL/ExGyQjkxkOVNi6ShCP/MGc2+yTn85S1Uvb5Isa+MWNCRptQHHWw+8YRpP9fzlQf+61qusgId9t41bauuorlWlr5wH2TaLTHL4lGyv2TTXCmPRz8wmRN+FTjDwBYf2c34usiJua2CeyZqMDLKuy67iBGvzqD4piLg1+cqhSInvQleaZjefQrM8g8V8Dskxk886f7sfBs3gjfZd95NEpnw2d7TQPLYn9BABPfnsf8v+cg441z+huuIIQVw26RmPxOGjPfz1SYuTqyp0li/ad7YDdLE3r5U0LJJoiowP7PTeCZt+4zYePp4Nl9c73rhkN4/oOjUFltMoG+OYAyDuOrtnUhuSlaN8+oPNegOO5i/+cm69LbAQCOxQ5GCS//1eGqKdD1UUHikgg2PbQGoVW2PwWEKqGjFRemNv90TQxjU4zKnuERKGRASRZBl0xz6cV3dqPzzc311cd+8ogV46W/HDfXaVPDVQeJRiwDEyHDDr70ifGqF81LQXDZ42vRfEUc7oxXn8c/3ePiGNXIpJzPTyvYbRYuffQCM5+gdphVDU9w8IEpzP/Y9AyyCkrCTmgg4/zTWez1M3m8zNydUJuFTQ/3m9EwtQ0WfObqE4nMSJrWqxK47O/XInlpdEnTSXlewcR3TEax3JiCoCbwxEfGjH595qggqAyV+mAnLrx9NVT2LIyKzWr0vqsdA3/Xb9rNdH19YK3wX/qEyShyMCv45DVBqN1aCoKaFC60afSc+3H2zFfX+LWK6Z/l4GV1hd2r1vgtEn5cnLZxdefttHD2eAkI4Gf+yqp34h/nMPXdhTPuZTMbbmD+6RzGvznjF55wXeHqShL+inleAHuMUJvE+LdmsPumETgz/hRuAtw5Dwe/MHXW2DX2GHabhdGvzCD3YhHk9yIy+4Ukn1w5wl9RTwxhVS7sWMAzb9tvOHp/Ipcz6UKEzl5yhaQp+Nj3txOAAIqjDp5770GMbJ+uKyRZCcvCCloGBBacKQ97bjmEltcnMfdUFjIh61LCZ+M6ZEJg4ed5vHjHGNL/kUdp3DUsoOLgmUFnOjoQEQIEYfpfF87dHfjU9eT/SsOd8+qqiAIA4Iw/CNef7XOOc+psSs1MYopX5FZaWMGrEXj1lSr44NnBwQoAEKxjA4CD7flVErTk4wZAUdvEYMuwrRTsHlbqw9Wr/7msreMFAMUKs64gmtes4SiHiQIQrEThu9pFSZVIg11L8jwAbMEWPioACMSDGKSPzHwkA6b9xFwBAAcWYcUBQLHHnvZIsZtPi8wry5n2JRpgDwbI/80hQCDv5TgwAyssPAaDiFDySsxaAyQmUkqXlptHsgQAG7GKzLP76GcEQtbNBDu6Ep0+Esi5WTMrhWjXh0Y/VNiCYUGLHl63BADbcJUGACnkjz24KlNakJ72AmdwBa50aZ4JBMn0w9rD/cucQAYA5cw9r1gfcTyXCl6eBQWUwUqy/572kHEWpAdPkxA/qj3cxwQAgXgYw/K2idtyUojvCwhM5aeUIBk4givE/kuSSJfmtOM5pKH3yXDuOVPOSPqEmEBmfFWT5qn8hPC0G5iBlaIBSGAid0RLSBDom7e+cmtpEIPyuImgrdiqGEzZdWNPavZecNwSTeaPaEtYgRZo8CVJIuOkeTo/JT2oEgs8hmOMyDqqBtiBHWLoB0MemD5tixCNLBziwBlsfPUvSGJk4ZC2YBOT+p+3j1y/dxjDcghDJwaALdiiBzEoQrHi4w5KL5bcopjIH9GWsAMt0MC235z+SWjSjtb6bgC0mP07LgAQiAcwQLe+cmuJCbfYIkQH5vdy0csjiAga1/vfO/eyClNEKrj3fmT8xheHTeyvcbLjiocxLLdiq7qn56HhEEJbouGo9+qOX7c8DsxB45x+DVuEsW/+ZT2SPiQE0T47Wrh89pXZ7DZs48Xkz7FmWy8HAAAQblPT90LQWwpuoVWT5o5YJwUgQANUx2mERBjThUl+efZFbQuLXbi//+GDN++9Ck/Q5mMIHziOkjACMYOJRmn27p6H3haR9k8OpQ8gJEPcl1xDjnYCEJzDkx8SIaRLc9gzvctLyJSd0ekPfHTsxp8OYtAaAnk4HRVBBNLDGJYfH7v+aYcL10dkVLw884IeyRzkkAwHTuE5cvpsEUa6NI9nJ37uRRCx85zd/tGxG+8zwh/yTvZRDUddg9hpDWGzd0/PF/8iTNGHCzqvLmxeR/1Na4VmBc060AZnI9MHgiVsTBcm+fmp3V6YwnYJhe0fHr3+ukGwGDJF63zaAQAAO7HT2lwGgYg9XPRyaIt3qPWtG2RIhuBqF0El0ZkRfJnoAQgH0nv1gfQ+SskmKnBu+4dHr79uGMNyC7ZoOk7hn/RDS8oq5lNdD15ri9CjBOqSUngXtVws26OrCAR42guAcJoFL0gg4yzw3rmXVLq4YFlkeQx124fGrruPwQLmURl8qk/rOa5VDg8H+x7obtLRRyyyry3qApoiTV5vao1sjbSTIILSCrqGhQwAcXwCL++VFBIEgYyT5pGFQ3oqPyEjFIGCfslVpXfffvh9Txm1T3wyhbynJI0yCADg3t4vv5uY/9qC3V3iIlKRJrU63kWt0XYKybB5WgqzAQOjDhTBqingJAHh12B62kO6NK+PZA/zTGFKWrChoRwpxD2Hs1P3fnruo+kTcfjOyHOrGEzlcPEznQ92WFb4Rg3cICE6FXuQloWEnVRNkWZO2kkKWxFhCQlbhIgb48FZ5/zJeATAYw9Ke1zySpxzc5wuzfGCsyAdzyEJCQVVEoK+pdj57G2jN+7yTbE4Gsd/1gCwnDa4q2N7Z8y23syk3ulp70qbQpZRbmaYsiCJiBUJVEDNcpRDnvaItZkuLUBw4UFC7CHQDqW9xz98+PoXynt9os4ezsaT6xhMO7BDlIEAAPf3f2Uja/kbTPoNWqtNitU6DZ0KUVhyYAaqFTyGVZ0D4Ygg+bxg+iERPdU9mvh5eT+HMSx3Yzef6qk/448urAHCkqfzPLrmH5snMN2VRHR10csdDxv9K74ULIShhJdpEW2vxA+6mdoDdKYEf9aeXTmIQQFADGCAlwNEsJY3p7uxm/ZggHec4T2jcxDm0DZso4Fy/0GwAAA7AAwbux70ZQYrWMEKVrDOxvr/mOIDH04t+LYAAAAASUVORK5CYII=",
    "Pitch": "Follow a message from my approval to whether anyone actually got it.",
    "SortOrder": 6,
    "SemanticTypeIri": "urn:effortless:pko-extension#AppRoleProfile",
    "Name": "Employee Communications Manager (human)",
    "RouteCount": 11
   },
   {
    "AppRoleProfileId": "profile-process-steward",
    "Role": "process-steward",
    "DisplayLabel": "Procedural Knowledge Steward",
    "RoleKind": "human",
    "AccentColor": "#15803d",
    "IconMark": "cycle",
    "IconPngBase64": "iVBORw0KGgoAAAANSUhEUgAAAIAAAACACAYAAADDPmHLAAAc7klEQVR42u19eZhV1ZXvb+19zp2HoooaQBQQcIAClEQjqF044RCHmOQqDtjoS9J2om37omg0SYVn2mhMYqKt773YJirgVOnuRI2JmiiFirYSW+YZmSzmGu98zt6r/zjnXiioCakqbpV38xUf31eXqnvPWuu3hv1bawHFUzzFUzzF8zk99Dn7vYV+uL9/oewXYddCADUSo0YJzN4C1Pf/Bx0QpxYCFTGB8nKJ07cQVg1kS6yFwMIagfp6+5DvxSCjQydGkBQMS3++0cAUjICm8N5genvd+6lDn1XMMdK6Ot0XCNH7Dz8GiRehQe6bra0xSre2nKCITyfNk6H0JNYYBsFV0Fz0BmCACMzUJiRtAGELCEu1Fu8FfcaKHb/+W7KdMvSyIlCvWvyPwDnBl9xQPQlEs5jxZdb6BJJC8v7PCyFEEfJzXp8A1gzNnJcIKQYLbBVC/FVDP9eaOPlN1NWpvJHVQRWOAjiaqQAgMrv6AsHiTtb6XBYkiRlSSpgBrzL9Xjb9HhKGJMNjUjEQAMAMIoKyFSvLZjudZSuVhZXMSNuyiQkgR0mWgehXLQl7PupWZVELgbngI0UD6i2rH3L9pGot8VMQLmalIYWALxqwA2URYXg9JExJlHu3zOCi9NvBABEBRHmBaKVhZy2daorrVFNc2lmLyJAA8wrBmNP0zPI/HWx8/asAB8BQdNbEH4HwPQZ7JIQOlEc4ODQqDI9JzAzWOid551cWk8AuksD9z4gEgYiglUaqsU3H9zSzlbEkGRIEfl4p65a2eWv2HYkS0JFAfuC6k4Z5DPO3LOhCWBqhiqgKlpdIw2OCtXYET0VpH6mLABGEFNBKI9nYptsaGqEEC8FYT5a+senZle+ipsboMOPq9TpATY2BV19VkesmnGaY5lua+RRDCLvs+GEULC8RIAIrVxmLwu+FKM15hjlj8oYD5C8JkRVP21baKidT3OCdMHRn5pUlS1BbY6B+i+47BYjFZE74wpCvaaXL/eGAXTZmuGH4PMR2UfB9rghKQxgSgbKIAFhlWlNSeI3LvRMrGjKPfLAEsZjEqlXc+wpQWyvw+OM6cs3404XHeE3ZakiwNKxKj68yQARoLgq+HxUBzPCXhISQEqnGNi08xhXeiWUNmefqD0sJeioxAYCDM6srDC8tY6UrAkPCasioSslKF4VyFOMDYRqI72rm5u27tfCaUmfVjNb5K97oaWAoehjxEwCYJs1j5gpfJGiXFoVfEGigLYVQZQlFhw8llbaYBM0LzqyudIUvjlwBYjGJOqiS66t/yAZdIKW0hxxXYWjNKF7pFMZ9rqMEQ0SgJKQZXGmYNA+1EDnD/ewKUFsrUFenwtdNPJEF7uWs1qUjK6UwpOvzi8+/UJSAmVFyXIU0pLRh0gUlm8bPQh1U/jLpsyHAXOdFxI8wYIYro+yNBIiVKgq/0I5mCFMiOqJccEZphnggPOukMrxYp7uK9USX0D8XOnrDhHMgaYYgoYLlJVKrYnGnYFFAafiiAeEN+TUMUSUgbwWB8WJMHL4CjK9jACBNP2DNCA6NwPAYgC4GfoVdSiaEK0skZxWD6ZbQNScMxVWdo4Do1PfPhR5yw+QJTDhbCMHBoVGpi7l+4aOA1vBGAuSgAJVJw3slAEZtjTwMBFgonPKjfSMLMnzRoCpa/8C6Xg6UhcGaGczfcCh59fpwCkGE2Hgz6qVlEOLEsjHDtDfoF6x0MfgbIPUBVhq7125jZSmLSUxsm7dsnWvwujsEEAA47DNGMdFoKSWbPo9gLqZ9A6pCaAiYfq+GJI9gnubS80T3LsB9kRA8DYI8pt+jhRQoMjgGnhvwBn2O0ARPBwBMqOfuFWBChfMixacBgOn3MhEVFWCARYPMgOn3CmKANSbhW18wEYPuXgFW1uV4KScSACPgIeZiL8dArAwaPpOEIBDzqNJEi98l7FJXCkD4EXhE7Aw/gGEAIA1ZlPxA1QMhQEIwC/JlhfcYN8WnrhGAwK1o9UPjWCEEpMvrKwLAgAwESZoGQ8Av2BwBAFi1qp0kjQ41x5QMYmtQN0QeXNBigAfr9SYDJDuWp9HF/6LBkRITBBx2LbMjYsUKSrXnSggiGMLI/5vhNGrwYAl+uWMMNwZnHYQgSICZkVUWMnYWlrJgCANEhLA3iGggDGbOo0HWzmJfsgUAYCkLUhjwGSY8hsf9Wdrp3BlkZ1ApgCQBEJC2skhZaRjSQFV4KCZUjsGEyrE4vmwEKkNlqAyXoTw4pF1InMimsLmpAfFsEqt3bcKGvVuxdMdafNqyC0krDZ/hhd/0gkhAaVVUgEI6gpxYtjWTgGaN0aUjMG3UKZhxwjR84ZjxKPGHu/0ZEV8IwyLlAIALxk0FAKSsDFbv3oTX1y1G/cYPsWbPZmTtLMK+EAwhB4UiGAMd6iUJtGWcBtpzxpyOKyeeh/PHnoGQN4D9XAmGZp2He+fPoUc7kSAYDEEEv+nFlGNOxpRjTsYdNbPx/pal+P3KN/GnNW+jOdWKqC/s/nxdVIB+h3shkbGzaMokMW3UKbj9727AWaNOzX9faefiSoAgiCBI9oAj375tjeEEgcwMQ0icNXoKzho9Bf9wRgyPLX4e/7H8L5BCIOgJDFg0GJAKYAiJplQrjisZhp9cfBuurD4PUsh81C4EQfZC+zm52UNOKTRrMAPjho7ELy+/C1+fNAMPL3oG721ZiiH+cB5tigrQZ77eqWXuTTTjopPOwk8vuR3lodK8cASJPiWsCDfIdITMOGvUqZh63GQ8uPBJ/L/3XoTP8MBjeAYUGoiBFOFbykYym8Y9530Tv73qPpSHSmG7DzsXCPa8UMbtvw5TEQUJKNYQgnDPud/Er79ei6A3gLZMAoaQRQTobeGn7Sy8hgcPXHI7vjrxfOfhg3r0sA8s6uSERx0ghQPxTnIoiDp8zSFpJwBbK1x04lkYEa3Crb+/H5v2bUfEF8wrZxEBekH4YW8QL1z/EL468XxY2obsRIjtBcpQWoPgZAuGkHmkaEnH0ZpJoC2TQHOqLe9CpJCQwvnZmnWPInxDSNhaobpqLP4w+xF8YcR4NKfaBgQSGIXu87PKgtfwYN41P0F11VjYWsEURreCJ/f/gwiJbApLd6zF0oa1WLVrIxpa92Bb8w4QCZBrwZWhMgyLlGN85RhMqBqDycNORFV4aDt06MrNOHUBjYgvhKeu/jGueXYOlu9Yj6gvVNBIUPAuIKMsPHTpd/PC786qlNb5DGDN7k8w76OXUb9xCba17ETWtiCFgwQeaeb9PgHYl2zBsp3r8Mc1i2CQRHloCL54bDVumHIZpo06BYKEW0vo3DVI4VQJI74Qfnn5Xbhq/h2IZ5LwSKNgswOjkFO9PYkm/PD8m3HFhHNhabtLy9euf5dCYP3eLXjgrSfx9id/QyKTht/0IuQJQHjJze2dIDCf8zNgSgMEn3NpBEYim8KrqxfhjbWLMb5qDOZMvxE1x5/mkqV03v93VJ+wtcK4oSPxf6/8PmYumANTGsUY4LPk+Zec9Hf49rSru4V9B54JSms88s4CXPbbW/DGuvcgSWJIIAKPYUKzhq0VlHb8+oFFnlyQqA54jSSJEn8YAY8fq3ZtxKzn7sE/v/Qg9iSaIEk4haYuYwIbZ4ycjDnTb0RjsrVg4wFRiOXdtJ3FsSXD8NCX/ze4mxRPacc3b23egWuenYP733wCBELEF3K/rz7TlS6D88oSMP2IeIN4celruPy3t+Ldzf+dh/vOK5UGFCvcPPVqzDhhKppSrZ2iRlEBDor62zIJ3H3OTSgLlrgCpi79/cqdG3DFU/+E97csRXmwFATq1WKMZg3FGmWBKPbEGzFzwRz8btnrebjvjHSiteOWfnn5XSgLlMDSCuSml1QgHVZGod3qtWWSOGv0FFx80tmOr+0EOjU7wl+xcwNmPXc3WtJxN+K2++z92VrBa3hgSgO3v/wQAODrk2ZAadXufeZSR1MaiGeSmP/RK+73GQRCVmWhmeGVnqPOQjIKj7jCuGv6TfBIEyp3g9ehzxfY3rITs57/HlrSCQQ8/n5Jt3LxRtgTwG0vPYioL4wLTpjqIJUgaM35LOSV1fV4eNE8rNi5HiX+MLyGB7vi+/CN07+GiVXj8M8vPYjy4JCjmiYahQT9LZk4zht7Bk47trrTSDvnz21t47sv/wx7E00o8YX79SE6GYdAwPRhzqu/wEsVj+KYaIVTcBKEpQ1r8bNFT2HRpr9BkkBFqBQMoDWdwPiKMbj7nP+FsDeIdzd/jLplr6EiVApL2Z/zGMDl7MUmzWgn6M6s/9fv/w4LNy7BEF/kqFiQZg2f4cHueCN+8NqjECSwJ96Eu159GFfPvwMLN3yIsCcAv+mDYg1LWQh6/PjXK+9B2BuE0gr/ctGt+OKICWhJx49aliAKJvK3MhhdOgLnjDkNDO7Q+rUbE3zSuB2/emcBSgORowqftlaI+sJ4+5OPcPtLD+Jrz9yOp5f8AUSEqD8E5ZaSBQitmQR+fNGtmFA5FsoNBiO+EB6+fA6CHj8yyuo02B30CiBJIGmlcfboKQh4/NBadxolM4D73/w3JK0UpJBHPYhi1vAaHvxu2RtoaN2N8uCQ/YQUtybQmGrFP5wRw5XV58F2A0bhcgvHDR2Jn1x8G9JW5qh0X4nCGG/jMG4uOvHMTieN5qB/076tqN+4BCFPsGDu3ZkZUV8IHsNsh0iGkGhOt+Hs0VNQe/4/HhLX5NLIKyaci29Pm4l9yeZ+dwWiEOA/qywMj5TjlOEnuW+KOswOAOCpJS8hnk3CKLCFEyp/lbz/IittZ1ERKsXPL7sjPyT9YGSTLhLcWTMb08echpZ0vNPUd1AqgAAhbWcwvnIswr6gc+Fy0ENiZkiSiGeSeGvjBwh4nMCq0I+lbDz2lXsxIlqVzxw6MgAiASEEHr/yXhwTrUDayhw2wWVAI4CtFKqrxoBAHd6aadf6l+9ch23NO50CSgFz7wxhYG+iBXOm34gzRk52/H4XAhXkfO7SQAl+cdkcWNrut9hGFIL/lELi+LJj80TMznL/5TvXI2sfnWgZPV4CZmBfshkzT7kI3542s0dX2DlXYGuFqSMn474Lb0FTsjXfqja4FcC1gOE58gV1jBIAsHLnRkghCtb6pRBozSRwYvko3HfhLa7rEod1C2prhRu+cDmumnwh9iQa+/wqWRxt+FesEfYGURYs6XRqlQDB1grbW3a5qR8KsknFUna+2BPxhcC5XUCHmRJr1rjvwlv6pUh01BEgx6CpCpd36ALYnXeTyCaxrXmny+ThArxWbV/ssbX6TIEcudT3/ioSFUgdQHd7i9cVFasQCCwHF3uOxGplPxaJROEMbaBeec3REH5XxZ4jaX3rjyKRKKR+/u6yBVurglKCdsWeSzsv9hwpEvRlkUgUwkPM2Fm0ZRId7k/PkTR9pheV4VJY2i4IFSC3hJ2xs3j0iu9hREkVbKUA7O8nONIvzkU7RPjXr9yDYZFyJLOpXi0SiaNdAzDcvHlby852Jd+DX+c1PBgRrYKlrYJAAUECiWwKc2d8B9PcrmRTGvnOo976MoSEJIGhwSH49ddq4TE8+1vdBw0hhIHWdLwbAgZwUsUovLzyLQdij3IiYLvp68JNH2Lhxg/d+yvqU2MxpYGIN4jmdBuMXkIBoxBcgKVsrN2zGeePm4qORtLlfOqEyrEQQhbE0FJys5e3Nnzg5Pvoe51kBgIeHwwSvfa7jMIoBQus37u1nbAPzrEB4NThJ6EiVOreBsqCqAiGvcF+c0ica2AdXKVgx79/3LAGaSsDSYeWenMVw/JQKU4/ttoJhAokG8hRxvvjqy9G0YhCIIN4DQ+2Ne/Eur2b293+dXRmf/EKGNJAcXT1YKOEZdN4fd3iTgmhOWQ47dhqVFeORcJK9dudeVEB+oNha3rw5oYPnSaLTgSr4Vwdf+/cb7h9/8UzaDiBAdOP1bs3Ycn2lYDr8zusjLHGmaNORWzSDDSmjn7TJQ3wJVqikMqqGTuLf1/+hmPZnUT4BKd/4PvnfRMjhwxHqh/pU51dAcsB7IoK5p3b7rXwK6sXYUtTgzv2TXdMn0KOPnUnMiqbb9fqb+Fn7CyGBkvQmkn0K5Fz0HYHG0KiJR3Hr96Z3+G9wMGXJFNHTsbDl81BPJtyB0CJfikAmcLAvkQzrp9yKV6a/SiuPfUS7Irvc8u3VFQAHAE5pMQXRt2y1/HhthV5n9/ZdanSyhnWeNmdaM0k3Ingsk/r/0QCDW178K0zYpg74zsoD5XigUtuxw/PvxkJKzXgXIIozMlgEg+89WS+8aOzit+BSvBvsf+DkDeIJjcw7O3gzBAGUlYaSSuF2gv+EfddeEt+BrFijVvPvBa/uPROmNJE0koPmFmBovCWYGuEvQEs3vIxHqp/ykUB1SVxQmmFi048E//597/C+eOmYm+yGZay3bFwdER+PifIPYlGHF82AvNm/gS3nnltvn9BkHCGWGobX514Pl64/iGUh0rRko4PCHdQkAhga4VSfxSPLX4Ob6x7D4YwumwCzSnByCHD8NTVP8ajX7kHFaFS7E02I2Vl8oLMzRbs7Do5L1D3tVnbcpZIEGHO9Bvx+9mP4KzRU/J8PzqIDq60QnXVOLxy02P40nGTkLGtgk8TjULeceI3vLjzjz/HgugDblet7nQIdG5YNAH4+sQLcO6Y0/H6usWY/9ErWLVrI1J2Jj8ezhDGIRCtWMFWNjK2BVvbMISB40qqEJt8IS4bPx3Hl47II1Rn8C7d4VDlwSF45Iq78eXffAeJbBKSZMHuIypYBdDM8BgeNKVacct/3o8/3PgoIm5ffWcpVw5yldYoDUQx85SLcdXki/Bxwxq888lHWLpjLTbt247GZAuaU61569TMCHkDKA1GMbp0BE6uHI2px03Gl0ZORsjjz/f+iW6oa44COj/zpwt/g72JJuc9F3AbW0EPilRaIeINYtO+7Zj9/L14eua/IOwNdsu6zTWP5OYJ5JY+AEDazqAx2YotTQ15GLe1QmW4DJWhsnaLJnLvgVw/3/3oGAGQxA9eexQvLH0Npf5IwfcwFvykUKdAFMSH21Zg5oI5+Pml38VJFcd3qwTONhGniSS38EkQwWd4MTxSjuHuepiO+AmaNUDkDp6UPXqPhpBozSTw/T89gn9f/heUBiJdzhIsBoGHqQQl/jCW71iHa5+9G+9s/m8YbqWwuztycvP33KDo3IDIQ+/aOd/JkwsCu+Me5pjKhpDY2rQDf//8PXhh6Z9RGogOCOEPqH0BuVJxWyaBWc/djUfffTZPnFRa95gdlGswkS6s575EF9lBZzMKc9nFn9a8g688fRs+2r4aleGyPh1V97neGKK0gkcaMKWB+//6BD76dDXuOfebGDf0uHb+uq/y7wPjCikE9iWb8dji5/HkB/8BjzQR9gWP2rSvz83OoNz8gKHBEvx1/ftYvPljXDfly/jOtJkoC5S0W/wgerBToKfLJsBOcClJwlI2nvv4VTz67rPY0boH0QPG0qK4NKp/g0OlNf7/ey/ij6sX4dpTL9mfs9N+hWE3qMuDPHUM9jk34qyP4wMqfU7Lz95EM/6y/j0887eXsWzHWvhNH0r8kQG9P3BA7w3MBVpDAlE0Jlvw4FtP4on/+h3OHDUFF5wwFWeNOtVZ+tDByriDg8cD0eLA9XHxTBLvb12GN9a/h/qNS7C1eQd8hgcl/rC7kUQVF0cWQmxgSgOlgRLYysarqxfhlVULURUZiolV43DasdWYWHUCRkQrURqIIuwLdpjXt6TjSFopfNL4KTbs3Yr/2roMy3esx+amBiitEPD4URqIglkPmCj/c7M72EntFASR45OJ0JZJ4s0NH+D1de9BCoGoLwSf4XV3B5fmGzoAcncHfwpbKexLNueHOfoMr8P9d3cIDaa9wYNyezi7ZVswYJBExBt05g4yw1YKrXYc+5ItsPU6NyJwqvSSBDzSzG8Xd9wB5698BysPvQsFIB74ysBQbgS/f9+fkV8Pc7Di5IPAwShw6vgTdagAbCmCSUZnUzsHMjrA3RmEz0trSU58moyeVgLJzCgLRM2sGdqymKjIwB+Aq9WhlYa2FIHZYtjNAIDx47krBWDUgva9tLYNxJ8wGMpSjM+RwQyqeEgza6UJGkkScgMAYO5c7hoBJri1EoitDMBO2+wAQFEDBpKvIyIoy2J3mMSucNLf4aSpQxVgZY2rALQEAKxUuvhAB6AGEAFWMuvsOSdasb3u/RRiEAdbcgcxwHTtxAx6MTQrK5mRWmmg2Ig54E42kXZHDNHbjv+v6QECuD7Cz2I1NO9Ulk12xnJUqugFBkgAKKCVhpXMSGjWDH7nQOPuLgtgvBiTu+YvSxDRm5qAVFNcOVzMogYMCP8vCJl4StuWRaSxqXVPejkAwty5umeEkLr8t58iBqea4sJxA8V0cKD4/2Rjm2YiQNAC/HlDBrU1sueMoLo6BQa1bBuyCIrX2LZNqcY2LaQAuIgCBW39UiCbzHC6OSFJc4ZJz3Nc+3R9eJSwq2IC9fU2Cf0gSUFtu5u5iAIDwfoJ8d3NmiURNF5ofWblRsRiEph7mApQV6dRC9G8J/s8lFprZy2RLKJAgVu/RDaZ4VRzHMTIatD9AOjg6l9PSaGMVTHCnzdkmPBPZEhq3dHIdtYCRDElLMyaP6Nl+17lUqZ/1rZg+VrEYqKj4C93uia9r1rFiMVk5rmFG3wTh05gQdVWPGMHy8KimBAUFBkCwpBobWjUyeY2KUCbpE7PSn210cLjq/jIaOGuK+A03yw0NqXjKdna0KiFIYuuoGCEbyDVkuC2XY2apFBKWdc1LtjQ2u4S9Aj6AhgAWutWNSptXysMibZdTYjvamZhGkUlKADLz8RTaPpkpy38HgO2vqNtwZr3UVNjYC665a31bIpBPRixmMw+X7/NN6GsQXjNy520UJI3EiBWjOLMtqMgfNNAJp7G3g2f2jClyZZ6onX+yntRU2Ogvr5HDQo9H2OxahWjpsbIvLJkiXdiRYPwGFekmuKaiOCNBCg/zbiYJvY9q4Xgwn6cGzfttGFKk2z1RMszK76FWgg8vaXHjNXDm2OyZYtGbY2ReeSDJd7xZQ3Ca16Rak6QncwoXyQgpCnBmjtd/1Y8vVPoISK0NuzTzVt3E/kMSVn1RPO8Fd9CLCbdoI/7RgEAoH6LziGB5+Sh7wtTnGdlrUi6sc2WHpNMv5dIOCTMIiL0Fo+NQVJASAErleGmzbtUsrlNkpQKir/bMn/FvaitFXj88cMS/pHZaSwmUVen/DNPHO71en7Dgi5kS8Eb9NuhyhLpiwSJCNBK5z8EDmi4KJ7uhQ4ikBAgArLJDMd3N+tUU1zCFCDmdZTVNzU9u/Jd1NYK9xaXPytl8IiUAACis6pvAtF9kDScswrekF8FSsPkiwZJmNIhWbPzFxczhw79OohAtH/8rFYambaUTjW1cao5IVkSiJEF0U9FMv6zprpNLYcT8PW+AhxIOCZw8PpJFYbkb4NxMwQqWTGkIeHxe5Un5GMz4CXDYwoSAsKQRYLBgY9QaWilWFk22+ksZ+JptpIZaVkWgQikkSGBZ0nRL5rmL1sBAKiF6Emq19cKcAgaBGdWV3q88nINPRtKn85SGACDmECCIISANA1dFPx+IShbkVaKcoMqAAJpBohWgVCnwM/Hn16x5oBnrdELFkS9/lliMZFTBAAovfGU8Qr8JdL6bGZUQ+uxzIjk57cUYwK4U6hAhCaAdpKg1Ux4m0m+25oY91H+ecZiEuPr+Eitvi8V4GBFOERLo7dNLpGN9jBlGlWwbQzC7rTDPDZgGGBLtVGp3NDScELbgQbUV4Lvv1MLgZoaw7mTLtp7j91pTY2BGPr8mR0NgRBqQVgVKyoDDuLh1eUtvBgdF0/xFE/xFE9fn/8BGaJf8CouHX4AAAAASUVORK5CYII=",
    "Pitch": "Keep procedural knowledge current, owned, and exercised.",
    "SortOrder": 7,
    "SemanticTypeIri": "urn:effortless:pko-extension#AppRoleProfile",
    "Name": "Procedural Knowledge Steward (human)",
    "RouteCount": 11
   },
   {
    "AppRoleProfileId": "profile-knowledge-authority",
    "Role": "knowledge-authority",
    "DisplayLabel": "Procedural Knowledge Authority",
    "RoleKind": "human",
    "AccentColor": "#b45309",
    "IconMark": "keystone",
    "IconPngBase64": "iVBORw0KGgoAAAANSUhEUgAAAIAAAACACAYAAADDPmHLAAATM0lEQVR42u1dfYxc11X/nXPve28+vbNrd+31Onbi7NrYjkPSpPnCqRNQWxWk9q/1HyAkWkFblVAkIEgtTWcnIaUthRaQKtEICgrQ4pWQKhCkFEpdJ2kK/YAmdZo0TRrXce31937OvHfvPfzxZuz12t7szM7svNm+I61s7czuvL3nd885v3PP7z0gtdRSSy21n1Kjbn2upGt/NUfIWgQAlcsgfBUMALgPrlKBS11+pZXL4D1HQN+bBB0ZhExMwHUaFB0DQBlg7AdXDsEsfm1sDOr+Oaw7OQPJ2K5FoURYVcVr4BtUf/cZzC9+/eAY1ASAToGh7Ys/NgZ1cAKO6hdb3g9dUP4OsXSHJfysdXKztTJEhE3O4afb+3WPchwbpxXTSwBeZeD/SNzX+/vMc+/9F8wtBMOBNgOB2rnjxwFpOP7Rfd7NzPyr1rlfcoIdnoKC1F8kAhOnMX+BF5xzgEjsEAKMA4hwVBH9J4E+/62Nta9MTMA2Nlnj/4kAQB2ZFgAefXPwFiZ50Fj8vCZRDgSlFPKBtsWsJ7nAI4+JAl8TJC0F4/1ACI2VyDiZj4zMVA2m5yMVGUMMgQPARN+1kD+LTkd/VzmCsFwGj1cubbiuAGDhri/f7d0U+PwJEnm7dQJmhYFiYAbXZTkXaPIUExFBRCAAJHX+IkcQiGIwQIDIOdRC607PzLvJqaqKIkMeAw70nAN+/8NfC/+tHdGAVpLrGx/8yL3euAJ9UCA+iN2mUk6G+nOc8TQ5ETgXOx1y6RMp9flV64HGfiYCmAjMBGMdTk3Nu9fOzkotMspjggN9YWq+9sDH/gdnFkbgVQFA4wM/dC+GCuR/ThPeVrXA5v68HR7IqcDTsM7BufgTUmevABQSg0ErvgiEV0/NgGFZhH8Qin1X+UnzVHk/9NUYV9sB0Pigh+7Wb8r5/EVxMsRKmx1Dfao/H5CpO55Sr3cMCNXI4MXjF8zUXE37ik3VufePPxk99l/7oe9vEgSq2Z3/wL/CPnS3flPO4y8ZJ2/oK2TMni39OhdoiqxcDF+ptbtQjP+1TqAVY2Mpy05gz83WVFbzO/Zdp4+/67D95sExqIkjyy8MVTNdqgc+A1e+S9+RDfhLoXX9b1iXt7u29Ov4wlLHryYQnAAb1mVYMWNyquqymt657zp9/DefaA4EtNxqvwLIB+/EYCHwv+ucDG4o5uyOzX3K1gu81PfdSQu+Zhw7Oys/PHHBZX1SMxG99ZGnal9ebmG4rG7MnrHYvznff5xEBkv5jNk5XFLWSVrRdzkahMZhy/o83TC4jqqhk4Dl8Q/eiY0HJmDLy/AvL7fif3if/5GA5S2slBkd6tPWOaRMPlEg4IFi1jFkY87zHy8D3Ni4LdcAUgbf9Bm4h+/xdyrG540j2jXcz7lAk5V05yftTL+/EPDJqZrxWUbdML/y/ifcd16vHlgyAoxfetefQ8Qb6s9Lfz4gYyV1fsLM1euBGzeu42okjog+9tFfwPqxCbil9iovFforFbjKm4P7fcZbwWyHB/LKOJdW+wmNApEVDBQCLuYC5ynZZKvebxEgE2PX9vM1X/je7jhssJOHrBNsKuUQeCru7qWWaBseyKuagYDogfJ+bDiwRBRQ1+hJ8/2H4B7+OW8PE/0Rs6LRoT5Od37yo4ATIBdoOj8bOXEmz8576StH7bewH/rQq1dOYl01Aozvj79PxO/SLHqgGNiMp9Pd3yMnSkzAxr4srINYkV8vA4z7rj6GR9ec49sNjwe872qinbu2DLi+nM/GpcVf7wyYCP73R6clMjZSoL0fejJ8UcpgWjSPyVejfgAkGPCvV8ANSinJBZqtpM7vpQ6hpxn5wHOa4TuiewBg/KtX+vuKbzTe5IjuUQw/H2jnKU6Hd3osDRAIfTlfYooo9wHAnsEr+wFXAKDxJoG8CQCKGU8aUyqp9U4KEBHkA49dPId581/eBm/s4DKKwAb9E2CnAMhlNImkbb/eYwOCjMfEpAAn1x9XyFI8hXmZJ/UVkWMcMvUlZOFkCIrgMSdLxZN0LpqQXCkAlGIwkzAjQxl/GAinxssgVC7Fc32V9ZU/uQvZGeA6JkbGUyQJKgDFGiS5ICGlE4NDrZgCTzlrTVZAWwA8v+fIEhGgYaGGkCDqiljtdf4qL18CESe2JDHzU4kDqABgiv252PQSa01JCvsuCpFZP4y7PvLP4CAXq0sTlA3EORAznv3sb+PEN74IL1+COIsEHRZRUwBIVtpnuHAe/aO3I+gfSvS1bth7H37y9X/qmfk43StTD+IsiltvAkQg1iQm116KABbECoXrdoO9DHqlb94bAHAO7GXQt/2WumKCE7fDiBVAhMLmUQSljYimz4C0h6R30LgXdr8zITIDm7Fu200XU0Iio5Q4eIV+rLt+L2xYTeZ19hoAiBg2qqEwPAqdL0EkwfPn9bBf2n4LxEY9UQf0RAQQG6FY3/2Jzq11hxe37QWp5If/3gCACIgV+nfclfhOINWvrW/7rfCL6yEm+VEg8QAQa6CzReQ3j162yMlEAAMQ+MUBZDYMw5oQhBQAK87/+aER5Aa31k8rko1ZcQ6kffSP3A4X1S7e/yUFQKv534QobB4BKQ/SC9y6nvcLW3ejF87Qkw8A51AavTNRJ22vnwaA0o23QwV5wNoUAC2bNdDZAko77rhscZN+vx8AKAyPIDe4DTaqJfq6OdENIBvB7xtEftP1yS8AFzWE2M8hv3kELqol+ro50QVgWENx6y6ooJDsBhCu0RC68TaI2ERfNye9AVTafmu8gL0kSmj0A268Day8RF87J7oBpDwUt+1Fr913phHy85tH4BXXx1NMCb1+Ti79i+AX16Nv+62t53+R9ny1wAREBJn+TSgMj8JG1cTWAZzUmyY6EyKzYQv84kDrDaD4zosr/2qtIwQQozC8E85EiWUCyZwH4LgDWBp5I0j7F4ct0PR83jRE3IqasSKAzhaa//x65OjfeTeO/vtfJbaHoROb/ylevKYbQPUb6kUz5/DM+C/CzJ0HWjyZI2LY6gxu/Z3HMbDrnqaASPUWcGnkNuhCKbF1gE7sBJCfQ2HLzqYbQCIORAqzP3kJM8dfgPZzMYVsccQ7vHAKUy9/BwO77mkSRLGzMwNDCEqbMD/5KtjPxKkhBcDSBZQNq8htvB75TTe2XADWLpyKb8CsfUBsi5eiwZ6P2oXJ5plIfY6R/SxK22/B7GsvQAXZxGUCTiKFclEN+c0jUEGu+QZQfYXnjv8AztTijdgyA3AAKcwcf7E1Klq/luK2vfGIeAJTACezlWpRuvG21iaA6os8f/rHINYrLL4ErDRq5yfhomp8tt/M71swIMJ+NpENIU5k/lce+hoAaHbX1N8/d+roiqmXiICURvXsCbgobPpaGkOhxa274K/bUKeDlAJg6favgVccQH7zSPP5XwREBFubw/zpH4O1v7IHU9QBYObOY27yRxdB0Vw0E+hcH/KbboAzyTsY4qTlfxtVUdjyM8j0b4oXu+ldTHDhPKKZ8yClVjyU0VAlhVNn0NKj/erUsX/HHXAmTFxDiJPGAFwUxvmfGGhSW9ege7MnXkE0cxas9MobMMxwJsLMsedbG0qp7/jS6B1xDyFhNICTNwFMKF63e0W/pnZhsr3tVyLUzp9sqSa5dDC0AzpbjBtCKQCWmADOl1Aavf2yblorFFBs2J6CSwTEunUqWJ8Uzg1uRX5oBDaqJUoxxIkK/yZCUNqEzMBQa0+0aSsFbBMVbEwKKy+eEDJhopgAJ6sBVEVp+y1gP9ta46SNFLBdVPCyg6Edd9WbSykAri0BbwyANLt7200B20UFL5OM3QT2gkQ1hDiREvCWJ4DaSwHbRQUbOT+Wjm9KVBrgtSIB7wgFbCMVTKp0nNeaBLztFLANVDDJ0nFeMxLwTlDAdlHBBEvHec1IwDtCAdtHBZMqHec1IwHvAAVsKxVMqHSc14QEvFMUsJ1UMKHScV47EvDOUMC2nQomVDrOa0EC3lEK2C4qmFDpOK8lCXjHKGCbqGASpeO8JiTgnaSAbaaCSZOO85qQgHeUAraPCiZROs5rQgLeQQrYViqYQOk497wEvNMUsM1UMGnSce55CfgqUMC2UsGESce51yXgq0IB20kFEyYd5+RIwF2yBkE7dSq4SDpOXb79HfekBHy1KWA7qeC1pOM/dQBYgQR89Slgm6ngIul4N9MAd00CHtWQG9y2Ign4alHATlDBhdJx18VCkHtSAr7aFLDNVDBJ0nHuSQl4FyhgW6lggqTj3JMS8G5QwDZTwaRIx7nnJODdpIDtpIIJkY5zb0rAu0AB20wFkyId5+5JwN/YkgS8exTw6lQQLVPBS9LHbkrHdVeeZExAYcsuiHNxHneupecACwQksioU8AoqeO4EXFSF0j7ECcAt/QEQccgPjUBlChBrsdpzotyN41+/uAEbbr4PxAzWPogZRM1/MWsAgvnTxzpPARdTwdnzqJ49GV+LUi1dPykNIkZ+8yiKW3fDhvPNS+J7KgLUHRQ/ZfsDcSXc6lPA6z/nTITq2eNgz1vFmzDGYf/Zz34AfrE/jgotM5n4Z8PzJ8HaWx0QdzUF1JtAp77zH5fyYKvdVImLSpXJr/Kz5AWkPVx4+duXwra0jiUIoPxMV541rJeK1p0EgZfva+uTu7txmKWDfNuYhzjXUefzNfx5VQD4BhSq+LVOMauuOK3tGHCJfzIc1b/MNXx9tYqDTjAiEpx3IggjJ9RDT+tI7RJDtk4QWkcOiAj2PACM7b4csry4tCmXQX/8NKZB9ArgEDknK0lxqXVv51vrxBhH1mIuD/MSAKCyBAAA4MiRejXFOEoA5msmjgApAnonNdU7rrXIisCBCCeP1lCDXFkpXwG</t>
  </si>
  <si>
    <t xml:space="preserve">A3ZPxm1jwTQIwU4vSFe1BBDARZmtG6pNXz33qGcyPHQAv3spXAGD8PsRkWrmnjYOdnjcqsq4XHtqZ2qIoMF0NhQkgosMLN/fSRWA9RwS+ed4KTkTGUDU0kvq/xwpA6zA9b5RxcGD35GWbeykAECAHx6Ae/DJmiekrTIIzM1XLzD3x7OZ05wOKCRfmQhdFhpzg5ZNZ8ywAosoyALBodv9vnEBOXaiysQ4pG+wNBBARTk3NO8UCYvz9XzyBWnk/1LIPgw5MwIqADNe+5hy+HxlDpy7MO60ojQIJN6UI0/ORnJmuKuOoBsuPAwAOwTV1GjhxAFw5BAPGxz1FdOzcrBgraRRIdGcyrv5fOzvjNAsJ8I8PPV374cExqAqaBMDYBFy5DJ7MR18ILb0QhoYnp+adVmktkNjcf2n3wwmF4vBRALS4+7csABAge46A/uIJ1ED4gKeJXj01LdXQJuHeRqldo/v3yuSUDZQo6+STH3k6fOHgGPhqxR+Wez/2g2NQByZgH97nH/RZxjJBYPZuHdDGCdJskJzQ72nGK5NT7rUz08zML0e18Fa8HTPjFchSfdzX3cuNVGBN+D4Lenlqrqp+dGraBTpNBUly/pnpqhw7PeM0s42c+5XKf2OqEcmxkpEwAmQcQOUZnK0698taMY6dmcGPz8yKn4Kg687XmjA1F+KF4+dNISBdc/i9ylPmmfJ+6MoSob+pmUCqwB0cg3rkSfON0NF7M5r5hycuuGNnZ8X3OD0n6uLOn56L8OzRMyZQ4s0aPFZ5Kvx0eT905RCWJTle9jPRJ45AyvuhK4ftN/ddp49nNb1zcqrqmAilvE8LHtydWueHqi+G/edfO2cyGl7N4rGHDofvKZfBlb+Fa3IyffnWQNf4Pu83soo/WzUWA4WsHR3qU75WiKxr7Rentqxdr1S8skdPTbujp2eoEBBVDR778OHwPQfHoMYm4Jo5vG/JTw0QVO4N3uaRfA4iQ0ppc8PGdWp9ISAAME7qbcnUcSvd8ZC4v89MmK5G8srJKTs1V9OayTjgwQ8fDj8tZTBep+JvGwAW0sMH78lu7tf2rzXhbVUrWJcNzPBAXvUXAmIiWOvieFSPXSkelufwxqmeYgJR3OB57eysOz09rwIlcMIvhs6+u/ykeapcBlfiU1xpUZy0MhAAwB++2Xs3gR7RkM01CxSzgd1YylJ/ISBfMVFdDOkkjgwu9fWVw5vx2T0YBKkf6U7Nhe7khXk5O1NVmgQOFCqST5ybjT758W/hQjMFX9sBUAcrXZwnvDs/mNHh+wX0PibZaBygtUI+8GxfzpdCRlPgaVZM8BRTyh4uOcE4gbVOapGT2ZqR6Woo0/OhCo0hRYAVqhHhH8JI/rTy9eg5AKjvfLfSz26LLYwGj96Z36gy5h1O5NeslTu0gobUswAzmBiBp9IgsMAJoXVkrCURuXgDLeMAxThChAkH+sIfHAq/v2CtXTtmdandR9ETY+AGEADg0X3+bqXoThG51wlusiIjzmGdr6DSCHDJbLwY5xg4wYTnwXTY0+6pbQPm2431PDgG9b0JSKWNGZQ6NZNQB8IVKP3UfpSmxR/Ka9pUNanjgVixEZGdHi6Zl/I+phduoE45vqMAuIwyAoz94D2DkHaFrbVuY2NQuydBRwYhEx1eM+rGxNI4QHvGUka40CYAHIybOEg3SWqppZZaaqtg/w/owbx0Qm9fgQAAAABJRU5ErkJggg==",
    "Pitch": "Approve semantic change, and know what the model's claims rest on.",
    "SortOrder": 8,
    "SemanticTypeIri": "urn:effortless:pko-extension#AppRoleProfile",
    "Name": "Procedural Knowledge Authority (human)",
    "RouteCount": 11
   },
   {
    "AppRoleProfileId": "profile-close-automation",
    "Role": "close-automation",
    "DisplayLabel": "Close Automation Operator",
    "RoleKind": "software",
    "AccentColor": "#0369a1",
    "IconMark": "gear",
    "IconPngBase64": "iVBORw0KGgoAAAANSUhEUgAAAIAAAACACAYAAADDPmHLAAAWz0lEQVR42u2de5BU1Z3HP+fcR3dPDzPTMyivGQElkYciCRiDmvWBohWFZHchxsRQ5sVW1lQSgybZzabG2U2lNoloKrvqBmtd12jMKqlkNZiIgJL1EQNGRQdEMaCAPIaZYZ79uPees3/c7qYHB5ju6Z65M9On6hYUTM+9fb/f83v/fgfKq7zKq7zKa4wuEehnW75cMnu2HtFvePscwaPLFQhdptuYXjqQm80M7osS2ljynWs17hfBqEZ7OuAS63j5pRCm0PAXnUh+m/WijcZGSVOTKquAk4G//FOSRx/1xJJv3SsM60vaTYFhwEgUoFqBFUK4yS3K67qKdfe0B40EIojgG0tuXaMM+8vSc7yqyWcKYZp6ZDJA0H3wXc9xUrYQeotyOwNHAhFI8M3Ql4WbdGPTZpt2ZTVaeSNK+mdfrhB4Toqje5pdx3HNIJJABBl8K1qFdp2RiH36q4GQBlq5tO8OJglE8MEfqegfY4EQwSWBLINf+j2mtYeQJrHpc0zLMl2txfnSrHqSa74So6lJ0dgoxxgBxgr4wSeBLIM/tkkgy+CPbRLIMvhjmwSyDP7YJoEsgz+2SSDL4I9tEsgy+GObBLIM/tgmgSyDP7ZJIMvgj20SiLEAfqG31Xr0J5DEaAdfa/AKRNIQYhgF1tCQQIx28G1TUmEXVvrYk3JxPDWMOfPSk0CMVvANKehIpLhkxkR+8cWPobRGDvBZMj97w33P8vRbB6gO23hKj0oSyNFq8AnA8zQfnFBFdcQmVhGiOmIP6Mr87IfPqMX19DBXzZTWMJSj2dpXGs6ojaI1OJ5GawZ0ZX62MmQybBt/iEggR7OrJ3K8gHwumf6zoTaKJcUwegOlJ4EcCeBLIZB5WuQqbQDOP6OuYGNnam0lUoi8CtJ9AokB2xvDTQI5EsCPOy69KRfH0xhS5EECXdAjZT4StgxCloEaoAgwpMDxNL0pl7jjjggSyCCDbxqCQ51xbrp0Jj/77EJsQ9KVcLAMecpd6GlNVdhmYlUkW6OfTz0/wIzTxlEXDeGqUxPJSj+bbUh+9tmF3HTpTA51xjGNYJNABhv8BN9YNJvvL/0Q1y2YxrqvLuIDp1fR2p3EPIUkcJWmOmIzqTpSsArQ2pc4p9r/phS0dif5wOlVrPvqIq5bMI3vL/0Q31g0m0OdiUCTwAgy+F+7bBarly1AaY2nYEpNBdctmMaOgx28sq+dCttE9KOjhTgWBPrSRTMIW2ZeIWEhfPURMk02vnGANw91ELHM9xmDvl0iaO1Ncs259fzq7y5lel0lrqdBwNVzptARd9i08yBVEasEHoUAFEKahGvGy1Rnq+t5ukEaocv1jLlruff2OI2Nks2bdQESIBjge0ojEJiGQClNTcRm7cpLufXKOXQlHRxPvc8uEEKQcD3OOm0clWGrcFtAZBt8TqDvFV1Jh1uvnMPalZdSE7FRSmMaAoHAU5rVyxbwtctmBVYSGEEHP9f6F8J3yZTWLJo5iel1lWzceYDupEOFbWaNNd9w9Jg1sYbrz5+OztMGyHgRUgi2H+jg2V2HidrHYgKWIelKOkRsk3+77gK+dvmsLFFlmoxCgECgtA60JDD6/W2NCO6+WwUJ/OPdLNfTnFcfY9HZk3h212Hebeshmg7cZAgw/4w6PjnvjEERYOs7rWzceTBLAFMK2npSnD2hmv/50iVcOWsyrpfe9f08a6BIQKOEviSQ7we/UdDUFEjwj/+MqzTzGmrZePNiPn7uFI70JJFCYAhf/M6tj2XBLNQVbKitwJK+SJdCcKQnycfPncLGmxczr6EWNy3yTxUXGFZ1YFQ9yeKba6FJHT+ppK8EWL7c4O67tbj2lp9gR/5euiknNm22FTTwc40wpTQR2+RT86eRdD3+sOsQphSkPMXHZkzg4hmnZ3dzvplEKQRdCZeHt+xGSEFPymXVFbP5j88sJGwZKDWwuMSwSwJNg5T6Ej114S/53PMum58Bmo4ngBZs/5TiE1+vkcp4EO2ZsakzDauyWpQuyAMHO5N8/fL8wc81+N5vFxzkaG+KVVfOYcZp47Jg5t3aLXxxf++zb1JxEn0/UIPyeBJseOMg40JmCUZfpElgmISqxsvk0UOuluYZhtTr1b0/2MPy7Qbbt+v+ZwS5EQFOUhhW1AxVaK3cEkb4PL69eA4/+OSH8XT+4Oe+XCNtF1x//nRmT6rh0/duJmQWnuzM2Axn1Faw8MzT+OFfz2f+1Lqsvi+0Mkki8LSvDkKm5J4/vEkkj2hjXupAKaRlYdgR6fV0KS2UMVA3UPhiUJV0hICnFJefPcnX02rwPMvYBefVx/jDrVczffy4LNkKdQEjlslvb1rE/Kl1eEoPWncL4X9XgMvPnoSnVOmrYrQGISRC6sDMB9BobNPgCz9/nh0HO7AMUZSiC1P6Yva0yjBTa6MMpiYwkw8Ip3doPnmIE5NeYxmCHQc7+MLPn8c2DfQwzj8aPgJoCJmStp4kKx98gY54KhvBK4Z6yRC/SJNeipLY8TcidMRTrHzwBdp6koRMWbTnHGETQvzdEKuweXHPEb65dqvvLhXpbWRy+0Eqnc7YOd9cu5UX9xwhVjGcpWYBIACA4ykmjAvzwB/fZvWGZsx0iHW0LcdTmFKwekMzD/zxbSaMCwfie8qgvJzTKsPc9virrHt9H5YhcZUeNeC7SmMZknWv7+O2x1/ltMpwYEguCdA0rZBlcNPDL7JtX3vWmBvpS2mNKQXb9rVz08MvErIMgjT0UgbnRUHYlLT2JLnxgedo700Nc3dOcQxdgPbeFDc+8BytPUnCpiRIwk0SMFFZE7HZcbCDlQ++kDUK9cicEZk1+lY++AI7DnZQE7EDp9okATSW6qI2j23bS+Pjr2BKgVcCfalzYiSlgMRLG32Nj7/CY9v2Uhe1A2ncyiDuHtfT1EVDrN6wnUde2oNpyKK4Szrtevqx/JxS8Jx/L4bK8SOGkkde2sPqDdv9ukIvmHJMBmu4ck5ZtfQbM2751Vaa3zuKMUijUGkfdEMKDOlHHdt7UxyNp4g7XvbfhWBQZMtEDJvfO8otv9pKZchEymONpkHrjjeHukVbIPr8XXNs16XSIjLlumnABIeOplh69yY233I1U6oj2WhavjsyU8L11I4D/K55Hy+900ZLdwIBVNgmc+tjLJ49matnT2Z8ZTh7/3zupf1SQPYd7eUT9zzN3iPdVESsbGYxbEoQAkum+wbSGUJygsEZkg+V8WsOnW7XfcD1lJ8MMqTANCRSCCaMC6Pxy7Ft02BaXZSGWBTbkGits6nffC1xQwqefvMg3/3Ny7y6ry1d8GlgGRINHOlJ8tbhTh55aQ8NsSjfWnwOX774A33Ct/kwXWvNP338XFq6knQlHV7b3w7AzkOduErR1pMi4fjvwfUUUoh0kukYSYaqNd0cqt1fG7XR+hi40+sqmVQdIVZhM3tSDYYUnD2hCikENRV2UYY9ZOoLbn+qmX95YhsAsQr7mAGY3XeSiGUg0i7bV3/5In/c3cLtf7uA6oid3sEDl3INsSg3Lpzxvv/vTDhorfnLkW66Eg7vdfSyp7WH3pT7PpL0Jl0cVfrGVLPUwDueprYixMZvXMm4kHVScPta6LqPhZ7vjsiI/dUbmrl17VYmxyqyrmZ/d/SyBZ++JLrv+bfojDs8svISv/Inj5vnDqUQOcSoClsAfKih9oSf7Yj78Y8V9z/HxjfeozpS2nyBHDIJUGFTU2Gj0tU7ntK46SvXAs/oUSl8o8xMX4WA/39vHeKf121jcqwie8+BgJfyFA2xKP+7bS93bNieNRrz+b6Z5zbS+j43Q5l5Fv8dKDylUdq/Mi3qliGGJP4hh9IGOBG4uRb4YPWeX/4FCcfj27/+c8HzfhxPEauw+dGTr/PW4c60F1I8LyfznU0p+5AkdyOMKjdwqFwglTYWn911mFf3tVEZMgsSoVqDLQVH4yke+tPuPhb6aHhPgQ4EFWP99rV9Wd+/4IAOmohtsOGNA7j9dCCNhjXqCCClIOl6vLjnSF6t3f1KEwVh02DX4U7+cqTbr7VVZQIQ5OybAOIpjyPdCSwpB21ISeH3AxzsimdrGcsEIPhHYvtRxuKVhI1WXTkqv5clJRV2cWrttfabQaMhq0yA4J/U6QdgoiGTeQ21JBxvUNW8QkDS82iIRZk5oargHoMyAYahCufqOZP9/MEgfpchBPGUy8UzTidi++7kaJt1PeoIYKQnhlw5azL1sSgJVxU+LBowpOT686ePVm956AiQCXXmhj8zIdBiRr781iu/oOQfrz6XzngKS+b/NW1DcqQnyWc+Mp2Lzjodr0idQbnVSH1Dwv6VeU96NBFAAJUhK5v2zIQ/MyHQTPTrZCTJd06wpzSfv3AGKz56Fnvbe7FNOWB1YJuSlu4kcybV8KO/me/PDkbkTfgTgSvoLyScufzUuCmHJhdgllofG0LQnXRZvmYzQsC5U2JU2CbT6qJMrq5gXNjizPGVCCGy2TL/XYuitIetXraAjrjDY9v2UlNhYxkS1Q+pMh3GGjjcmWD25BruX3GRP/engBlDmYKP/lbc8Ug6Hoe7ExzoiNObdHntvXa0hj+/24qjNM3vHSVqmSUPP5tDYZk7SrHhjQOA5nev7/dr5dNFIGHLoDZqY0rJ2WlLO0uS2ij1tX5ByHn1MUKmkdd9tYbqiM2jKy/hR+tfZ/VT22npShCxDcKmkbXoNZqUq+hNuRhScsMFZ3L7sgVZ8POx/DWQcj12tXTR1pOiK+Hw+nHg7mn16wF6U246/StIuR5CHMt8RizTlwJ6NBSEANURK6fPzi8FI60H23pSoDXvtvX0IUnYMuhOucydHGPzqquwDJlXmVaGBBr41uJzWDq3gYf+tJtNOw/wdksXXQkHhK/v62NRLj7rdJbNn8plH5zYZ2x8Xp3YaBKOx+f/+zm2vtNKVdiiN+X2Adc2jKz6q47Y6Tdi9y0NU3rkqwCOy9H33Se5Uzb9cii/ayYdeZOClKuoitg8cOPFVBcoinOrfmdOrOZfls7jNnUeu1q6ONQZRwjfPpk5sZpI+v6ZesB8ff5cqbPmhoVce9cmHE/5o2BUbt1f+h3o3PeiR3dR6EB899zOYKmhO+nyXysuZG59LFvkMZgDJDIeR6b8LKNyjifpYO6TyenPq6/lzmUL+PwDz2MIK7BtboGMA5iGoLUnyaorZrN8/rSipWIzVrc+zkrPuF0Zi7wYp5W4nmL5/GmsumI2rT3JEk0FG4UEsAxJa0+KpXMbaFoyD1dpDEMW3SbJdcGkEEUvvjTSHc5NS+axdG4DrT2pUw65HvMEMNMVOLMmVrPmhoV+k0UJwBkqw9cQvtpZc8NCZk2s5mg8dcoh12OWAFJAwlXURUPcv+IiYunq4ZEce888e6zC5v4VF1EXDZFwFUHigAzSnkk6HnddfwFz62O4So+KzJsU/uSyufUx7rr+ApKOV9LJayOSAJYhaelOcNuS87jmnPrsOJXRsjJjb645p57blpxHS3ciMPaADAL4h7oSrPjoWay6Yk52nMpoW5mxN6uumMOKj57Foa5gkGBYn8CQgvbeFBdMG88d6YMhjCKJ/WKPiStWqlppzR3LFnDBtPG096aGvdJYDqeBlHQVtdEQa25YSHXELqjzl5McFlXMMXHFCOQcHymsjYZIDqJeYWQTIJ0Aue9zFzJrYnXeJ4JxkjEzUghauhO809o96FbruOMRT5eWFaNHL3Oy2KyJ1dz3uQv9JNAwGoXyhHNch0QFSDbtPJCu5x+8yHY9fyLXq/va+asf/549aQIUsnszH0k6Hkvv3sTWd1rTET49+Na19FvftPMAhpRD5I9qPbBZwU5SIERIK09prdJTs3VJKoQiluSH65tZtXZrVj8WQgKtyQ5yfnjLbpbctZGdhzo43JUYtN5v7Umydc8Rlt69iYe37MY0RMGjZDJVQIYQrFq7lR+ubyZiyZLnCbTraKQh0J55EgIITWOjJFnVieB5bViy4923XO26CGGUiAQwqTrMT5/e4ZNA5k8ClS7UNKTge4+9zMqHXsBRipBlsjujAgo8Mg7gQGc8O/Fr5UMv8L3HXs42sqo8VEIWfOmD/9OndzCpOlzSkXFCGnTuf9tzUklDKHXYS7rNgODRR1T/EqDpNs3mJk+Z5vXCc7Y4Tspq39PsalU6ErieZkJVYSRwlUamw8fL1jzDj59qZlzIwpQSjaY76Q561m9XwvFdUykZF7L48VPNLFvzDEfjKaQUAxr71h/4E6rCJR0cJaRB575dqre9xRBStkvlLOHJnxygsVGA0CdQAUJDo+A3/9qqvK6rhNBbHMc123cHjwQZff/K3jYW3bmeJ17bz/hoKFt3Z0iRnbpRiJWdufVr+9vT49383zs+GuKJ1/az6M71vLK3DfMUdsGwgn+0RUrTbpdJ5yp33Z1/Yvlyg6YmdQojMH3O3Lp72pXbGTgSHK/vr7lrI7taOqmrDPXZjaLAuQAnMgZzpU5dZYhdLZ1cc9fGk9oFwQA/dZX7+9VbuKTR5NFHvYGdG7h5s28P3Ht7XM+Yu1Yaocs9TzekOlvdcM14KaQJFP80EaWhKmKxaedBOuIOV8+Z0mdal0qLfCl8ff/dx15GIIjY5vtEsRCShOOx4oIzCadP/cy/mkjw06d38PaRLsKWkQU4U66WchW/fvVd4imXRTMnZZ8x9xyjwIC/ucnNLw7QFBxJoNG4Xv/63jrBEMlMGZgYZJTlRBa6lw5Z92sXeBpN8ME/9dnBAZIEUgpe3tvGsp89wwtvt1AXDZ10jnCmrfvac+uZVB3Jjpkb+Mkegp6kwx0bd9CddPsNUun0VRky2bbvKE+8vp+PTBvPlJoKhAg++AM4PHr4SbBhxwEcpWjpSrLi/mc52BknFg2d0vqWQtCbcrn+/Ok0xKJ5nx0oBKRcxb8/s5NEepLoyZ61MmzxXkcva//8DvWxKL/cupvb1zczsToSWPDz85AaGyVNTYprvhKTZtWTWovzLct0Y9PnmEKaaF2aPLd/vJyL1mAakpA5sLnBhvDVxX+uuJBPL5ieV1GpSg+aevNwJ5fd8WRa/ZzaoDSkIOkqXE9la/tLGeQZLPj55QKGySbwI4YmFbaZ18lifkOKZm9bb97BoEwQqKUrQUfcz9gNBMfMiWAVtjkiwM8/GTSMJCgkTCwFdCWdgoNBnQkn70RNxvofCeAXlg0cJhIU1tpdWDAoNwiU8oJVw1dM8AtPB48QEogc0ZzZlfldBGoVG/zB1QMEnARKa0KWyZuHOtFaZ9uuB3LZ6cbVV/e1ZRtJRiP4FMVsHybvYKCi3JSCBVPrChoZ99r+dtp7U5iGYDg7u0oFfvEOxQw4CXqSLhrNQCsbMj9XkWnRZnSCT1FRCTAJCi01G6oW7eECn6IjEmASjLQ1FOAXvyh0hHgHZfBLWRVcJsGIAb90ZeFlEowI8EvbF1AmQeDBL31jSJkEgQZ/aDqDyiQILPhD1xpWJkEgwR/a3sAyCQIH/tA3h5ZJECjwh6c7eIyTIEjgD197+BglQdDAH94JIWOMBEEEf/hnBA2EBHokk0AHGnwCk5o7QRaxZvocUxomWqkROTDQP/ZABhZ8ApWb7ZcEllN9xgfNEasOhKT70Duqt73FCCL4BC45n0sCY9yT2rDPl14KIc0ReGKnAK0yPVN+i3bAwCeQ1RkZEiy+uVaG7QfR+qNaeVqMvEoSjZAgzf0qlfoiAQSf4JbnNEpIDzL4zHdi9IQ0bnJkEcCMa6ITBb/4hw5AZYldXgPeQMK/RsFqbJSBNlSDT4QRfpJ1OeddXuVVXoFc/w9/GIflcDzsZAAAAABJRU5ErkJggg==",
    "Pitch": "Confirm I am authorized and my inputs are fresh before I run.",
    "SortOrder": 9,
    "SemanticTypeIri": "urn:effortless:pko-extension#AppRoleProfile",
    "Name": "Close Automation Operator (software)",
    "RouteCount": 6
   },
   {
    "AppRoleProfileId": "profile-variance-review-agent",
    "Role": "variance-review-agent",
    "DisplayLabel": "Variance Review Agent",
    "RoleKind": "software",
    "AccentColor": "#be123c",
    "IconMark": "spark",
    "IconPngBase64": "iVBORw0KGgoAAAANSUhEUgAAAIAAAACACAYAAADDPmHLAAANQElEQVR42u2da4xcZRnH/8/znjOzc9mdvRW3t6WV0ppeMaEtYIxgpY1B+0HYBiUGwkVUjCSKQQjJsp+IIMgX+SCJGkBjqJcYU6SJqMSWCIVQWtqQyqWlN7btdndnZ+d2znkfP5zZC+223Zmd2T23N9kPnWSamfn/3tv/uRwgGtGIRjSiEdJBXv5sLwJ8ABA//8Cr0EM92K7J598jGjMc4tHJZnj1hyJAft686msauItAGQ0RgZBfBGeQViAC8GGW9IOUPXhW0MuEPh1tARcRfzt6eBu2O080r342RnR3SWsYRL6c9VoETaxQEr2nzLTloeH9g16DgDwq/q/ioHtKJM6VmXlkshLx4RbKIHyYPeuUrXJMiPaUGZ6DgLwpPt9ThGOv7VhotMYT0OLP8xMRUHYc7Bs4bluWbXgRAvKy+JlYE8rigODPLQAQKGLYWnsWAvKy+JavxR//jlBEnoWAI/EbP8McERjMWNux0DBNwyaR9TGNnY9l1rQR+rSgl0MFQFjE9wMEHIkfbgg4Ej/cEHAkfrgh4Ej8cEPAkfjhhoAj8cMNAUfihxsCjsQPNwQciR9uCDgSP9wQcCR+uCHgSPxK4D6kEHAkPiCOE1oIOMzik2LY2VG037ABrdetg5PLgxSHCgIO9Z4vABHh8vtvg0omII5urJrkPQg4rOK7sz+H9i9vQHr1MtjDufrPfiIQu/+nONoFTOC+VsWW00gIOLSnfQGgGIvvuxUQgdhOXRPkiAniOLBH8xCtoVIJqFQSUAR7tAApW+NwzCUERhjFJ6VgDWXRsWkjWq9dB3s4h8JHx8CxOERLXWa+UyjByKTRsWkjUiuWwmhNu6+PFlA8fAKDu/eidLwf3BSvGYJKjuH6mKadj2XWbKHhvqpzDCms93wRwef/8jTSq5fBGszira98B9ZgFmQawEzS0JmgS2Wkli9BV89mmJ2tEMueOF8wgU0DulTG6Zd2YWjX2yBTVVU5WM9EUw6b+GQo2MM5dN18I9Krl42fB+pyDWSCLpSQWr4Ei+69Bao5CXskD122xs8AYtnuFuAIurZtRsemjXDyxTnbDjh0M99yYGTSWHTvzTOb6VP5CbYDoyWNrp7NEMuBWM4EXGO3gEkHQ3s4h44t1yL9uc/CKRQBnv2DIYdJfDIU7GwOl31jExJLF9X12kfE0KUyWq9bB7OzFbpsXVxQqqzlxGi7YT3AXHUBeT0g4NB4++TOftWcxOJ7b3Fnfx0/vmgNjseQWrHEnfnT2VKIIGULie4uxDrbILZd9WeaKQQclsAOKXf2L7x9qzv7tUzsuzPd/8kFQCUTMFqbp28tV97HTXGYHS2VqyjNqlk01Yv0KECBiuoRQRfLaFrche4f3gaIgCYtz2I7QJ2uf7XDRA23jXun0PvcF6gXoD5ABymkS4ph5/JYcMdWGJm0u/cTjd/5C+9/jNKZs+CYWdvBUMYgK8EZLbj7eTVwWhacXL7yPmkABLKzt2Vle5+LOV0QgB6A+wB5vGXl0wnwPUXSlu/j+ZXZn+iej/m33eTO/nMs33qsAKwUnHwBhcMnwKYBET2dDhJg00D51CBK/QNg0wB0/QNIClifAu144jNrU48CNBkC/vS+D6c3sy6jBXcX4ejV7fONTCzh62QOUgx7ZBQL7tgKs60FovX5y3QdPAARARsGhl7bC10quecLudR7NChmYmj3XuhiubqVowoIoNiOC1/Do/rqPkBvRw9f8AzQBE0iVFKsOGXEYIv2byYPucZM8orFE7OfGxTuFQHFTRSP9eP0S7tgtKTcGMNUK0sl9mC2tSD75gEMv/EuVLIJ0LquwUdbBDFmJIwYW6K1VlphOrEAqjRj0iJQPu5vRoph54tY+uCd7ux3HJBSaGBTIKimOIZ2vQ2Ox9C5+bqKNWwBY1sCEShmQsVMDL++H/1/fgVkcMMi0FJZnQAwg8TzXcLqNpjh5ApovmoFOm/6IkRrEKvZAc9UOPPyLhQOH0f7DRuQWNwFTrhBH122UD5xGoO792J4z7sgxS6Uc9QGJ7AAUCUos/i728Ax072b8yzlBApgpJLIHzqCwvtHYc5rg9nW4kYDc3mU+wegi2Vwsml8S0DUJ3DuZr/Ydv2PBFq7s14A68wQyv0DFTAZZBpQqYR7IEXUKLIhs98plrD4e5eY/ZWZN/LO/ya8e13fM4G7JRigmDHhGYh4QvxAAkCKYQ/n0HnjtZi39XqIoy958GvECnAeaOLVXoYIXlNeEKH7/m9N/8pH4S1Y4cDN/kqiZ2bDGnfvV4xohGUFEABKofu+Wyf+HY1wAEBKwRoeQfv1VyOzMZr9oQNAHAcqncTSn97p+9rACICZJHquWuZavlV4/g2/BUQAzHKi53RndCUpZOSdQ2BDzakjFwFQr0RPXX3EbzyFayZ/Ph2G37sp1CPRcyxf/1MFHFVeP4hVVWndEQB1K/EaRvcPbh1P867l5G80p2B2ZGC0pCCOVH/3ZIYulKCLJd+tBv4F4BKJntOLGbiwrHjqxxBrLCNXqrN4AdhDI9h7ywNwRgszLy2LAJi+62cN5nH5j77tJnraDsioLd6vkokZfZaTv/87CoePIzavzc0vjFaAuU/0rDpYU0MOIABYA0M49uyfYDSnGttgIroFVJnoWUs+fzV/lfzCI089j9KxfnBTzJfXSI4SPWtL9iClUDh8Av1//IdbDeSzpd+3AJBiOJMTPWc6+2sNOgE48osXYOdGG5toGgHgjUTPyZ4BMWP49f34ZPtOmJlKLWAEwOwnep5f6DR7BtTHv/yDWwHs8ziS4R/xGc5IHum1y9H51S+MV9LWkltX65lhzGg68/JunH3l9YpxpCMAZs321RpLH7i9qsZK9U01c/P6Dz/53LRKvyIA6vn72w6MlhROPP83nHhhRw1LLwHagUo0YcXTP3FbtlURORTtVhWd3vFv5PYdgtmR8e3J36crAEEcjbP/2lPbfZsZOl9EavWy6itxRABiWINZfPSzX0Mlm3y/9PvWCTSaUzUdvEgxbACpFZeDm+KVGwRPf+83FE7+bgfyHxz1peUbGABmUlAhWsPJFVBtcQcpRvnMII7/5q+BOPgFuy7gogAIEksWVJUxLOIaTUeefA6lo5+A47FAZQ6FB4DKlbGpe8G0A0BBsnwjAMZW9FIplJZvBEClH0961RXTSgUPmuUbAVAR3cw0h9LyjQCoogAkiJZvuAEggi5biF/WjsSV3eOBpTBZvtEKMNag6RKpY6LdqqIzO/6D3L5DUM1JzzRziACoQzLJRbeBAFu+oQaA2G3jmriyG0Y6ecEsIvfkT+OWr9vjRyIAQnEQDLjlG3oARGTiCijhs3xDfwsQRyO9atmUNnAYLN9oC7iYDRwCy7fKJ4aQBGz9BymFpu75550DwmD5VioeZSpH4zwAiuIQQeJatNYiYCL/+yDi9hEYDwWHxPId+yplrUURkQU2LggAAdILMLLzskT0minEBwdP2pZ2oAIAgTgOdKEUKstXEeO9oVNO0SorDTlVtqwDAKgH2/WUK8CjgPThVceB800LsseybHPfwHHb1tq/EJD7DF+zJY34/M5zHtkWXMvXFb9fnxodUYp4sEjy9Ufy753srVQ2TglAZRWgh0feGygzbRGiPZZlG36HQGwNoyWNWFdnhQkKtOU7SXyOsRoskt7ySPbgGy+iR/Wd0w35vDOA+2ChXn5oeP9gmREMCAjQtj3eDUwCbPlOJf7D2QN7evElYxu2O9O6BYw9Zy4IENDYwxmXLoRKJV3xtQTS8r2Y+H141a7KBwgMBGMPdUwn3Q4ilYNf0CzfWsS/pBEUqJVgLP5fqQYKkuVbq/jTcgJ9DwERtO2ged2K8Yc3BMnynYn407aCg7ASjNu7IoGxfGcqflWxgEBsByIYem1vICzfeohfdTDIlxBoAcdMNF+1HCDC0Wde9L3lWy/xa4oG+hECsW2YbRkM7n4bA//8r69P/vUUv+ZwsJ8gEK2hUglAgMOP/9btKSTRzJ9xPoAvICC3p1Bi6SJk3zqI7JsH3NnvQ8u3EeJPjhjOINLay4Q+/VhmTVtMYyeJrDdNw17bsdAwmOGIzOl2K1qgEnFAMXQuDyj/BX0aJX5dAPADBNACgczpM3q9KH7dAPAFBJX2rpH4DQLAFxBE4jc2KTRIsYMwiN+QrOAIAv+I37C08AgCf4jf0LqACALvi9/wwpAIAm+LPyuVQREE3hV/1krDIgi8Kf6s1gZGEHhP/FkvDo0g8Jb4c1IdHHYIvCT+nJWHhxUCr4k/p/0BwgaBF8Wf8wYRQYdAPC5+3aOBjYkiKrd/j+/iiG4BCoM8Kz689KtODYFprWzvMpjILejx2exXRPgge0afGh1RXhQfXptWn4ZAdpqg9SUSmMS+3Aq0CEgEAHlSfHhxXR2DoLdlZXsL+AXRco0FLTTrz4ed6fcQUWCYTMcLkLu8KD68urH2AjzWyOCZzJq2EliK0L4CoAkscWj6/vD+YQB68neKxjSPUBKQlk29Hm7HR34AAf7v1BVFvaMRjWh4cPwflfbozxOgykUAAAAASUVORK5CYII=",
    "Pitch": "Check my authority, my boundary, and my quality against the human baseline.",
    "SortOrder": 10,
    "SemanticTypeIri": "urn:effortless:pko-extension#AppRoleProfile",
    "Name": "Variance Review Agent (software)",
    "RouteCount": 11
   },
   {
    "AppRoleProfileId": "profile-policy-drafting-agent",
    "Role": "policy-drafting-agent",
    "DisplayLabel": "Policy Drafting Agent",
    "RoleKind": "software",
    "AccentColor": "#9333ea",
    "IconMark": "quill",
    "IconPngBase64": "iVBORw0KGgoAAAANSUhEUgAAAIAAAACACAYAAADDPmHLAAAN/ElEQVR42u2dW5BUxRnH/1+fc+a2F26iqyKahIVVygsIgim1TEXFoLEqVkBTmjIFWglqxSrNxbd1y5dUYiUviZhYJsZoWUKk8mCVl4fEaMVIFlRQRAVvwCICC7iwcznndH956J3ZmWWWmZ3dmTlnTvcLy8Jszc7v191ff9/pbsA000wzzbSINgrye1uFDeIC7GDgoZB+vA/h/VULaePGVQogNrpFuDE4kJ3NDuBHNfJBEf903qYbffLWCohpCpIBIoRnaFVCOETAJ8PDg7+kfXSkFyz6QMpMAaeAvwobxUaslvd2b3zcEfE7XZWFRQ4YHLq5VbFC3ErB5XS/n8mtWL/ntqNBk4CCCP+e+Rv+FKPkXR5n5XmzFpItHNYCEMI06BME9h77ULpuLgaBfj9zYMX6PXcHSgIKKnxXpf0FXZfZ05KzIJUEEYVqBGBmCBJwZQ4fHNjs+55ncwAloODBT93lqmG/p2uZ3Z6YDl+6YZr6xw4CsIQFqXzsDKgEFGz4Xuh6fpnoHxYFVwJh4Ne7hxEkS1jCxvldy2zbcXxSWGonu15eN/fRGX0g1QsWERMgGvDDIIEw8KMtgTDwoy2BMPCjLYEw8KMtgTDwoy2BMPCjLYEw8KMtgTDwoy2BMPCjLYEw8KMtgTDwoy2BMPCjLYEw8KMtgTDwoy2BMPCjLYEw8JsAlQDmYEggDPzGw/dzDMvRzww2WwJh4DeuCQvIHFO44HtJTJ9rw3d5Qk9l1kMCYeA3Dv7wYYUla9qwYGUchz7w4CQIE93vMtUSCAO/MfDTRxgX35rEsnUp7PxHFn4WINH8wFAY+I2Bf9GtCVz583bkTjD2bvHgpAhKNX91IAz8xvT8Kx9oBxg4+J6H4/slrBgw2e2OUyGBMPDrDP8HSVzxQBuU1Ntwdr6QA0/hNpDJSiAM/DrDv78NLPV8nzmi8MU7HpwkTSgPUE8JRDn4vQAZ+FMEX+mkDxEwsNVD+rCacA5g8hI8MyJBr6i0N5B6wdQHUsW7dA382uHns35EwIu/GMLn/3ERa6cpnQYq70VU/enho9c/se+uI/oAjtHjakporsIGayNWqbu7n/tdQnTe56oT3oKupU57YoaBXyP8/Kc8tE9iwx3HGrLReawE0pe2z7k3E0O5a9q//DjTh4c4L4EoHvo3YrW879wnpzHjzpwaVvPOWGx3JGYa+LXCJxSWep+/4cE9wRAWGlpA6um6zIZg3xGJ5W5HYkkf+tQqbBTjxgBuZ4wYKmdbtkjGOuCzgV8r/OLCz6ev5yDsiRWBJiuBYh+OiCPhtAtPeYoFrKpWATQyUDFLEAz8WuGz0tH/4Q99HNjuIZaq39w/ngYMBrMCAYJI8AQTQQZ+rfB1B9J/fvqaCz9Te+q3RQ+ICG+jKuADgBAAS2DPf11Yicmlfo0AQfnAbCD3VWX4rPT3Drzr4chuH05i6tf+RoAmwE8fZsy/Po4r7tfp3XLwi4f/j17OwQ/wOVdGgAkM++5xxtmXOrjyZ+06t8/jnw4mLMDLMAa26tRvEId/I0C18AUgXSAxQ+Cavg7E2gnC0iMCyjzfl//7gW0ehvZNTeXPCNDMQ38lwIqx8jedaO8SYAkc2yOx5Yk0vAzr4b0M4J0v5Bq27jcC1PEgRT/LuPrBDsw+34b0GGQB25/L4PVHTmDTncdw6AN/NPDj+lb+jAANDvqyXzEW3Z7C/O/EIT2GZRMGd/nY9VIOnWdbSA8qJGcIgHSgl5/r61n5MwI0MOJfcEMcy9aloHxACAII2PxYGn6O4WUYl9/ThvYzRGHZl58Odr2SAwkEfgqwDeoKEf8D7Roi6e9/9pqLvZtdkAXMPM/GgpWJ0VzASOp3aJ/EwFv6ub/Gpn7NCFCXiB8j9XyWQP8TaZClv166NgWyioJFbnzlzwhQ74hfjYrxwQtZDO72wRI4Z1kM510VKxR8mln5MwLUKeLnokyfe4LR/0QaVoxgJwjLfpIqCe6aX/kzAkxpxK+knvPzj3NtfTKN9KCCn2V0XxfHrG4bqqj3cwgqfyYIrBDx93y3KOK3R3v10IDEjk1Z2AmCHSdccntSiyHCVfkzI0CVEf/Y4G3LnzOQHsM9oauAnWdZJc/8haXyZwSoMuIHjfb+A9t9fPRSFsImnNZtYeHNetknRPgqf0aAKnL8JEZ7r/KAN9cPw3IIXpqx+I4UYm2jkoSt8mcEqBTxW6UR/Sev5rD/LQ8AcNZiB1+/Oq7/zQpn5c8IUCHiz/doEOAOM976axpOiiA9xvJ1bRDO+D8zDJU/I8B4Of6iHp1f2u3YlMXhXRLKZ8y/PoGui+ySpE9eljBV/iIvQKWIP7+0G9ovse3ZDGLtBMshLFmTLPvzwlb5i7QAp4r4S7J5BLzzdAaZozrps/DmBDrPtk7u/Qhf5S+6iaCSiH/aaMRvlcIXArrW/0oOdoIQ7yBc+qNUIRsInDz8h6nyF+kRYLyIf6womx9Lw88ypMtYujZVdqQoHv7DVPmLpAD5eb9sxD+mkFNc6581z0bPjYnSXb5lDnsMU+UvcgIQAX4GmH2Bjct+nALL0gxeYdmHyrX+csKErfIXPQEE4GcYPSsTOkgrB5Orq/WXe+w7bJW/aAWBBPgu0DFHYN41MZ2yLdf7x9T6hYWTav0n9ZqQVv4iNQKIkd7/taviSEwXGlK53l9FrT+Me/4iPwIwA5YD9KyMj67Zy8zj1dT6T5IGo5U/JxVq/q05ApDQw/qcZTHM6rbHncuByrX+sO75i7YAI0u0QvDH5Xt/NbX+sO75i64ABPg5oHOOhbmXO+WDv2pr/Wityl8kBBBCD9Hn35iAnR+ii/P9svpaf7nUb5grf5EQQEkgMZ3QfV2sIETJsm9kdTCRWn+rVP5aXgAS+kGOOUti6DjTKizZSmr9BGz9SwaDuyVYnqLWj9ar/EVjCrCAC7+fGFcQJQGluABxyZpk5Z7Mo0vGMFf+WjoPQALwMsDsHhtdFzll1/JE+nuX39uGOUscHNsjda2fT937ldJi5St/yemkj4gxAgRr6SezjPkrEiALZat++VUCK+Cc5TGcsxyFjZ/VLCvDXvlr3SmgOO9/bWzcpV/xaMEKJ8UI5db9Si8UWqLy17ICVJP3LyfBeLl+/fSQ7vnC0f/v03+7k7roKVRTABcy3hSKtU6lvH/F149c6iBGpMi/fPiQwsAWD19s8/DZ6/qc/zDO/aTPDGYLNlcUwJUOxSDjUvmKWRJRHIr9wB4anc/7z/1m5bx/cVTPPDL/W6XQj34msa9fQ//ibQ/pQQUGEEtRCHu//q185bJFtpBK2qcQgLgXLPD+q0OHur98w6H4tbsPvu31dF3mWMKGDNrJ4TQawBXn/ZUsP/oz6yNc8o+JFW/sPPi+j4EtLgbe8nDwfR+5IX0SmJMkxKdRyQlgYWqWsPHJoe0y52UsEB90c7kd+l4IqHGOA2cCgHt6nppJsu1FgljqOI5/ftcyOygS5Huh9PT8LF2gbbbALU9Nh52gkt+q+L6e4t7rpRn73/aw/20PA1s9HPnYh58FrBhgJ/RDIVw0SoSxWcLGx4e2qcHj+4VjxY/mOHP9H3fd9r9esOgDqXHPg+9Fr+hDn1o395kZdjL5MikstQMgAQn9br00gxXQ0WUhd1wh+xVj+d1tWHxHsnB2b34+L36bxfP5wFYPQwMSSgJ2HLDjVEgMtUKEPxZ+xhte8finP+zXVwKtlhUvBMhbsm7uozPsZFdTJSgGrzzgtAUWFt2ewpmXONh01zHkhhir/zYd7V3WSdDLzeeA7uVWbEQW1Vrr+vHg9+Jfdh++5Vd9I0SzJRgLfnaPjQtXJ9F9XVyf0QvgzUeHMbhb4obfdlY1nxcKPi0GvVb4Fa8EaYYE1YBXvg7khg8qHP1MghVjX7+e01txPq8X/KruhGmUBNWAL9nDP/L1e3/P4p8PH0cspXt4q83n9YRf9aVA9ZRgouBL1vLQD2g8v+YY3GEupHij1CYDf0K3Qk21BEQ6ET1h8MXZO6X3++94PovXfn0CiRaq0jUC/oSvBZsqCYgAP8fwXeD0GsAXDmUGsK/fw/bnMhjY6unXs4FfLfya7oWbrAREOokz/VwLF91SO/iBLR62PZvB3s0uWAFO/oFOA9/HhJPFDZQgn7v/xrfjuPbhjkKKtlbwsfaiVK2B76OmakGTJLjp99Nw1qLyT+8Y8PWHP+mrQWuVoLiCt/KRzpIKngHfOPhTcjfsZCTw0oyb/jANZ17sFJI7Bnzj4E/Z5cC1SDB2FMg3A75x8Kf0duiaJRjWsYCw9UbNgX4DvlHwp/x68AlLMHINS7yTkBvSlzDFOwz4RsGvy/3wNUmQn/9HzueJemsU/LoIUKsEUUniBAl+3QQI2kMlBj4avy+gD6R6wWL9nruP+pkDK1ig3/c8e+eBzb5UPiyywKbbNxV+3TeGGAmCDb8hO4OMBMGF37CtYUaCYMJv6N5AI0Hw4Dd8c6iRIFjwm7I7OOoSBAl+07aHR1WCoMFv6vkAUZMgiPCbfkBEq0uQf+9BhQ8gGLnYU6aNLQdKqVBdx1p8FL0gK7DwAyNAOQmgsDTmxLx5py+yBYkQjgMMQRb2HvlQHT4+YAURfqAEKJXgmRl2Mv6yjfhSj7OwhRPCqYDALPNHLgQSfuAEKJZg7ZzHZ6baZj7NSi2X7DFCNwkwC7JhUWzA846vXR9A+IEUoPiQCgB48MIXZmSEx65Kh0qA2FCKk52n0a/evfIrAGrsyRymVe5BxCPjZ9hbL3pFsI+RCrgICP1F9abmbZpppgWx/R98RBf8+LD8jAAAAABJRU5ErkJggg==",
    "Pitch": "Confirm my sources are approved and I have not created a commitment.",
    "SortOrder": 11,
    "SemanticTypeIri": "urn:effortless:pko-extension#AppRoleProfile",
    "Name": "Policy Drafting Agent (software)",
    "RouteCount": 6
   },
   {
    "AppRoleProfileId": "profile-notification-publisher",
    "Role": "notification-publisher",
    "DisplayLabel": "Notification Publisher",
    "RoleKind": "software",
    "AccentColor": "#ea580c",
    "IconMark": "signal",
    "IconPngBase64": "iVBORw0KGgoAAAANSUhEUgAAAIAAAACACAYAAADDPmHLAAAKvklEQVR42u2dTWxcVxXH/+fcd2c8tuOPtClpcYL4UuoWVTQibWhTObSgBPEhJOoAKhVIpQu6gA0SQiwcs2TDrguyYFEQalzBglKpKgjSpiWpK1CFGpqWNm2Vj8Y0cSb+GM/cd+9h8ca144ydsT0zfi9zjvQ2kf3kvP/vnXvf/557LqChoaGh0aZBaf7bDg+DX7sNcjCjD/cggNtPgIbHEAgQxa2NQ1L6skVpfVAEyB+GOr/qKDzCoF4vEEp3xloawRIIhLcvlOxP6djlizICplEEHQJWEH9sGHxgDH5sb+FQ3uAHc7HAMkEymEGDAJ0RYdbTeNnZfQ8dLU6mDQJKo/iH9xZ+XTB4dM6Tv/3mHrKGRJCt118AMAgnJ6Z82bkcwOPvO7vvsZRBQGkVf9ZTfNf2/uiGrhx8kEyJ/yEARCjHHsffm4ydc1EaIaC0id9p8OiMR3z39s1RX6dFJRZQ1tRf9J8zTIhDSC0ElGbxXZbFX5QJDKUXAlbxm/+GeRFEzLh7e39krY2BsGurdc8+vqe3n0YRZGTjdGAVv70hYBW/vSFgFb+9IWAVv70hYBW/vSFgFb+9IWAVv70hYBW/vSFgFb+9IWAVv70hYBW/vSFgFX8jZKbUQMAqfotEp+qjDj65IMm/1XgwrYSAVfxma89A8JC5GUACqKML1NEFkIGUZ4C4sgDHBkBAKn4zxSdIZQ7c2Yto8F5EA7eCuvqSf5+bQTh/Cu4/R+E/OA3KdWxIPQGp+E18810ZZmAH8nu+De65EfAO4n019zLIWIgro/LKn+BeewEwFrW2DzQTAlLxmyO+VEqItg2iY/8PAR8vpHpapKoIQATq6kXl2B9RfuUZUKELCKFlELCK34QJn4/Bnb3I7/lWIr53AJvqhK96EQGcACEzRdid+xFtG4SUSy2dE7CK32hnhSCuDDt4L7hny7KTvCulFRAx7B33g5ix3C6yZkDAKn6DIwRQLg8zcGvy5tfzUIggcQW85WNVaOJlR+dGQ8AqfoPTfwigfBeoqw8SfH0AzP9ergDqvgES4hV/r5EQsIrfnM+/NT8UQkttY1bx0eDVEAIqc4nxQ7w6aOIKpDQNIq5rM3kjIGAVv8FhDEJ5BmHiFMjYZIfoNbkJoMgiFCcQLr0PRBao84tuvRCwit/oJCCAieBOvAhxc8mn3rVe5yCAycGdOLrod1qzimhq7s8fAX3mcQQVf43DuLEIUxcA7xB96nNApbwwPCyFJXjQps2I3zyOyivPJJawyJqmDgFAxIxbejr43HQlDsFv6zZy/9cHOp+644lyaQTgI0toXColyQiIRhPxk126Kv6aw8ewn/0Scjv3g4ghcWXB5SMCjAVFObj/vozKi09BXBkwZk0ArOQYBvD4ZCna/+ixyxerGEpNAA4PwwyPITw51PGrHks/no7J7dreb/tV/DV/FkplFtHAIOwdD8Bs2Q7kCon1E1cQihNwJ44ifuN44hSuU/zlIPCxi8qBj5Xt7Bffugelg6OQeQhoyfxVfjPU21eQymnDKNw50E9bunNUUfHXvS5AxKDeLeBNmxMwSlMIl85D3Bwo37kwJDR4V7ILAS+9czHm4KNyMHsP/H36yOFhmANj8KjVIyjnQYGlnDema1Peigsq/vqUSAweQCCXP0B86XyVC5MMAR3dixZ/CI1qJkYAYhHkI0a3jbhYigNITF1NouabMXkRRCDtb9YACAAANg8KfuFNFw/E/krVOEogaEA2oPl5ZnIv5hpSRlltIphJDuamQYUekKmKfMXaMAEiCLPFxD9o0HwAWWsTdz1ngdzO/bA7Pg+YqLa4RPCnX0dl/OmkXGw+GygAGQ5myNwM8ju/jNw934TMTi2fXkVgbx8CdXRj7rlDjZwSpK9FTPsUh3hwoQfRjt2Q0hQQ4mROMF8dvPiSAJmehBkYhLnpE4kvQKwZIPPWcGSr6RyL3EBaYdsAATbXkjmAZoBWQbDaXC5yfXcJ00jJFEUfQXuHzgHqKdRIQapWADYkPxogdgtOXi04IptAkFEQFICVXu7pSXDfTUCUr+HcJW9/mDwHsh0LICgA10l4j84Hf4aOoe8mizm1ijkkoPLqXzDz5C8gM5cyCYECUCPty/RFdD74c3R+4yfX/PH8vQfA/Tej+MthUGT1KyDzE77Ygfq2ouOB7y9y6GT5yzvY2+6D3bE7qQRmoxkg8+v3Ng+KcomYIit/CbBJtnblu5afLGoGyKBztyoxKVnbVyOonY9UJAVAQ30Ade4UAHXuFAB17hQAqHOnAKhzp18B6txpBlDnTjOAOncKgDp3CoCGzgHUuVMA1LlTANS5UwDUuWtbANS5a+OvAHXuNAOoc6c+gDp3agSpc6cAaCgAGgqAhgKgoQBoKAAaKQJAACG0pE+hRosMWAHE1OgVfBUANhYiIB8HCV4EhrRZdNZrpCpxkIhAvobzy4u9NhkBb8lfvkxEL+VZ+F9nLsXOB4UgoxEx4d9ni77knHFCE6WKvCYADY8tnEh1ZQYYhew9Al+Oou+UPY1XnLPH35uM46AQZFH8V88Ww5nirDFEk87jaw+/MHsOI1ceGcNLHfeDAH3vr1MXyrHdB/C4cy7acAgaXQOQ9vs1SPyzxVnOG56c8dj30Aullw8Pwyw9YfyqOcAokiPGHjpanHzfNQkCkaQJcgj1HbZQT91gmu/34YE8UidM1FDxH36+NP63IUTzx8Rc8ytg/py5xxoNgQhg8wgXz6Ly6nPJ+XjVLtk1Lx8DHMH/7124N8evXhJO+/0ggDGQmSL86ddBhZ4EquVqH4IHFboRLp2Dn3gnWTJfRXZZSfwvHEGMes4N/DATHEkmhXc9US4NDXQ+1W3k/hD8tnPTlfiWng6OmBHWyCoRw538B6KBQZitn1w4a3fpxQx/9g1MH/oR/MSpZc/US/f9kp8N598Gb7oBvPnm5MSQGheZHMLkWZSf/z3C1IVqBZQ0Tfy61lhlBEyjCI/v6e3fat2zQNhlrY3v3t4fRczwIquHoFoZJMHDfvquhVOzaqRX99Y/IbNFUKF7+ZSchfv55JwA/sjHQVG+minoqqHCT7wLuDnA5ut++9cqft2L7E2DAEjKvGT5sZbyXcn5OdcajzNyP7gyZAVhyeaS+UcLxF9VlUVTIKgeqbLinxHC6vzItN+PaOX7raJSar3ir7rMpmkQaDR0tl+v+KteDGra14HGhoi/ptVAheD6EX/Ny8EKwfUh/rrqARSC7Iu/7oIQhSDb4jekIkghyK74DSsJUwiyKX5DawIVguyJ3/CiUIUgW+I3pSpYIciO+E0rC1cIsiF+U/cFKATpF7/pG0MUgnSL35KdQQpBesVv2dYwhSCd4rd0b6BCkD7xW745VCFIl/gbsju43SFIk/gbtj28XSFIm/gb2h+g3SBIo/gb3iCiLggyTIGkXPzUNN9bqdrYGkYIktE2gQRDSK34qeq+WAuCnLXuzo/2RcyUuVYlAsAwcPL8dDhTnDFpFD917TfnIfjdnt7+vHXP5ll2zXmCNdmbDxCQ7JNIxrBUip/K/qvzEBza3bN5c8H9NojsdgFCGRsEBJCIgBzTmSmPR9Iofmob8I4APIqkkcHTX+ntd9OQWZ8tADoN5MZu0H1/LhZR7bmwtDmDxjVaKsh10iF6ZCS97fgoCyAg+526dNVbQ0MjhfF/JXPY/1S+X8gAAAAASUVORK5CYII=",
    "Pitch": "Clear four gates before transmitting, and leave a record of every refusal.",
    "SortOrder": 12,
    "SemanticTypeIri": "urn:effortless:pko-extension#AppRoleProfile",
    "Name": "Notification Publisher (software)",
    "RouteCount": 11
   }
  ]
 },
 "AppNavGroups": {
  "Description": "The left-navigation section headers. A route names the group it appears under; the nav renders the groups its active role actually uses.",
  "schema": [
   {
    "name": "AppNavGroupId",
    "datatype": "string",
    "type": "raw",
    "nullable": false,
    "Description": "Stored logical identifier for one AppNavGroups row."
   },
   {
    "name": "Name",
    "datatype": "string",
    "type": "calculated",
    "nullable": true,
    "Description": "Human-readable calculated display alias for the AppNavGroups row.",
    "formula": "={{GroupLabel}}"
   },
   {
    "name": "GroupLabel",
    "datatype": "string",
    "type": "raw",
    "nullable": true,
    "Description": "Section header text rendered in the left navigation."
   },
   {
    "name": "RouteCount",
    "datatype": "number",
    "type": "aggregation",
    "nullable": true,
    "Description": "How many routes sit under this nav group across all roles.",
    "formula": "=COUNTIFS(AppRoutes!{{NavGroup}}, {{AppNavGroupId}})"
   },
   {
    "name": "SemanticTypeIri",
    "datatype": "string",
    "type": "raw",
    "nullable": true,
    "Description": "Semantic type IRI for this row. An extension: PKO does not model navigation."
   }
  ],
  "data": [
   {
    "AppNavGroupId": "attest",
    "GroupLabel": "Attestation",
    "SemanticTypeIri": "urn:effortless:pko-extension#AppNavGroup",
    "Name": "Attestation",
    "RouteCount": 4
   },
   {
    "AppNavGroupId": "assurance",
    "GroupLabel": "Assurance",
    "SemanticTypeIri": "urn:effortless:pko-extension#AppNavGroup",
    "Name": "Assurance",
    "RouteCount": 5
   },
   {
    "AppNavGroupId": "authority",
    "GroupLabel": "Authority",
    "SemanticTypeIri": "urn:effortless:pko-extension#AppNavGroup",
    "Name": "Authority",
    "RouteCount": 4
   },
   {
    "AppNavGroupId": "controls",
    "GroupLabel": "Controls",
    "SemanticTypeIri": "urn:effortless:pko-extension#AppNavGroup",
    "Name": "Controls",
    "RouteCount": 4
   },
   {
    "AppNavGroupId": "evidence",
    "GroupLabel": "Evidence",
    "SemanticTypeIri": "urn:effortless:pko-extension#AppNavGroup",
    "Name": "Evidence",
    "RouteCount": 5
   },
   {
    "AppNavGroupId": "execution",
    "GroupLabel": "Execution",
    "SemanticTypeIri": "urn:effortless:pko-extension#AppNavGroup",
    "Name": "Execution",
    "RouteCount": 6
   },
   {
    "AppNavGroupId": "knowledge",
    "GroupLabel": "Knowledge",
    "SemanticTypeIri": "urn:effortless:pko-extension#AppNavGroup",
    "Name": "Knowledge",
    "RouteCount": 11
   },
   {
    "AppNavGroupId": "governance",
    "GroupLabel": "Governance",
    "SemanticTypeIri": "urn:effortless:pko-extension#AppNavGroup",
    "Name": "Governance",
    "RouteCount": 20
   },
   {
    "AppNavGroupId": "delivery",
    "GroupLabel": "Delivery",
    "SemanticTypeIri": "urn:effortless:pko-extension#AppNavGroup",
    "Name": "Delivery",
    "RouteCount": 5
   },
   {
    "AppNavGroupId": "audience",
    "GroupLabel": "Audience",
    "SemanticTypeIri": "urn:effortless:pko-extension#AppNavGroup",
    "Name": "Audience",
    "RouteCount": 2
   },
   {
    "AppNavGroupId": "compliance",
    "GroupLabel": "Compliance",
    "SemanticTypeIri": "urn:effortless:pko-extension#AppNavGroup",
    "Name": "Compliance",
    "RouteCount": 8
   },
   {
    "AppNavGroupId": "readiness",
    "GroupLabel": "Readiness",
    "SemanticTypeIri": "urn:effortless:pko-extension#AppNavGroup",
    "Name": "Readiness",
    "RouteCount": 13
   },
   {
    "AppNavGroupId": "selfcheck",
    "GroupLabel": "Self-check",
    "SemanticTypeIri": "urn:effortless:pko-extension#AppNavGroup",
    "Name": "Self-check",
    "RouteCount": 7
   },
   {
    "AppNavGroupId": "quality",
    "GroupLabel": "Quality",
    "SemanticTypeIri": "urn:effortless:pko-extension#AppNavGroup",
    "Name": "Quality",
    "RouteCount": 7
   },
   {
    "AppNavGroupId": "backlog",
    "GroupLabel": "My Backlog",
    "SemanticTypeIri": "urn:effortless:pko-extension#AppNavGroup",
    "Name": "My Backlog",
    "RouteCount": 3
   },
   {
    "AppNavGroupId": "ownership",
    "GroupLabel": "Ownership",
    "SemanticTypeIri": "urn:effortless:pko-extension#AppNavGroup",
    "Name": "Ownership",
    "RouteCount": 5
   },
   {
    "AppNavGroupId": "cadence",
    "GroupLabel": "Cadence",
    "SemanticTypeIri": "urn:effortless:pko-extension#AppNavGroup",
    "Name": "Cadence",
    "RouteCount": 3
   },
   {
    "AppNavGroupId": "model",
    "GroupLabel": "The Model",
    "SemanticTypeIri": "urn:effortless:pko-extension#AppNavGroup",
    "Name": "The Model",
    "RouteCount": 4
   },
   {
    "AppNavGroupId": "conformance",
    "GroupLabel": "Conformance",
    "SemanticTypeIri": "urn:effortless:pko-extension#AppNavGroup",
    "Name": "Conformance",
    "RouteCount": 2
   },
   {
    "AppNavGroupId": "witnesses",
    "GroupLabel": "Witnesses",
    "SemanticTypeIri": "urn:effortless:pko-extension#AppNavGroup",
    "Name": "Witnesses",
    "RouteCount": 2
   },
   {
    "AppNavGroupId": "loops",
    "GroupLabel": "Loops",
    "SemanticTypeIri": "urn:effortless:pko-extension#AppNavGroup",
    "Name": "Loops",
    "RouteCount": 2
   },
   {
    "AppNavGroupId": "provenance",
    "GroupLabel": "Provenance",
    "SemanticTypeIri": "urn:effortless:pko-extension#AppNavGroup",
    "Name": "Provenance",
    "RouteCount": 1
   },
   {
    "AppNavGroupId": "inferences",
    "GroupLabel": "Inferences",
    "SemanticTypeIri": "urn:effortless:pko-extension#AppNavGroup",
    "Name": "Inferences",
    "RouteCount": 4
   }
  ]
 },
 "AppRoutes": {
  "Description": "One row per screen in the role-navigated application, as /{role}/{dashboard}/{entity...}. Each carries its purpose in the owning role's voice and brief layout hints, so a later build session has the brief without re-deriving it. Shared detail routes have no owning role.",
  "schema": [
   {
    "name": "AppRouteId",
    "datatype": "string",
    "type": "raw",
    "nullable": false,
    "Description": "Stored logical identifier for one AppRoutes row."
   },
   {
    "name": "Name",
    "datatype": "string",
    "type": "calculated",
    "nullable": true,
    "Description": "Human-readable calculated display alias for the AppRoutes row.",
    "formula": "={{RouteName}} &amp; \" — \" &amp; {{RoutePath}}"
   },
   {
    "name": "RoutePath",
    "datatype": "string",
    "type": "raw",
    "nullable": false,
    "Description": "The URL path, /{role}/{dashboard}/{entity...}. Shared detail routes live under /shared/ because the same entity serves every role."
   },
   {
    "name": "RouteName",
    "datatype": "string",
    "type": "raw",
    "nullable": true,
    "Description": "Short label. This is the left-nav text."
   },
   {
    "name": "Surface",
    "datatype": "string",
    "type": "raw",
    "nullable": false,
    "Description": "domain | maintainer. Domain routes belong to the twelve accountable Roles. Maintainer routes are the model's own instrumentation (Admin, Explorer) and deliberately have no owning role — 'admin' is not a role anyone is accountable in."
   },
   {
    "name": "OwningRole",
    "datatype": "string",
    "type": "relationship",
    "nullable": true,
    "Description": "The role whose navigation contains this route. Null for shared routes reachable from several roles.",
    "RelatedTo": "Roles"
   },
   {
    "name": "NavGroup",
    "datatype": "string",
    "type": "relationship",
    "nullable": true,
    "Description": "Left-nav section this route appears under. Null for detail routes reached by drill-down rather than from the nav.",
    "RelatedTo": "AppNavGroups"
   },
   {
    "name": "NavOrder",
    "datatype": "number",
    "type"</t>
  </si>
  <si>
    <t xml:space="preserve">: "raw",
    "nullable": true,
    "Description": "Sort order within the nav group."
   },
   {
    "name": "RouteKind",
    "datatype": "string",
    "type": "raw",
    "nullable": true,
    "Description": "dashboard | workspace | detail | index | action. Detail routes carry path parameters and are not in the nav."
   },
   {
    "name": "Purpose",
    "datatype": "string",
    "type": "raw",
    "nullable": true,
    "Description": "What the role does here, in that role's own voice. This is the brief for the build session."
   },
   {
    "name": "LayoutHints",
    "datatype": "string",
    "type": "raw",
    "nullable": true,
    "Description": "Brief layout direction: the shape of the screen, what leads, and what must not be collapsed or implied."
   },
   {
    "name": "IsInNav",
    "datatype": "boolean",
    "type": "calculated",
    "nullable": true,
    "Description": "Whether this route appears in the left navigation. Detail routes do not.",
    "formula": "={{NavGroup}} &lt;&gt; \"\""
   },
   {
    "name": "IsShared",
    "datatype": "boolean",
    "type": "calculated",
    "nullable": true,
    "Description": "Whether this route is shared across domain roles rather than owned by one. A maintainer route is not shared — it belongs to a different surface entirely.",
    "formula": "=AND({{OwningRole}} = \"\", {{Surface}} = \"domain\")"
   },
   {
    "name": "IsMaintainer",
    "datatype": "boolean",
    "type": "calculated",
    "nullable": true,
    "Description": "Whether this route is model instrumentation rather than a domain workspace. Maintainer routes are reached from the login page's maintainer section, not from a role card.",
    "formula": "={{Surface}} = \"maintainer\""
   },
   {
    "name": "QuestionCount",
    "datatype": "number",
    "type": "aggregation",
    "nullable": true,
    "Description": "How many role questions this route helps answer.",
    "formula": "=COUNTIFS(AppRouteQuestions!{{Route}}, {{AppRouteId}})"
   },
   {
    "name": "ReferenceCount",
    "datatype": "number",
    "type": "aggregation",
    "nullable": true,
    "Description": "How many other routes this route links to.",
    "formula": "=COUNTIFS(AppRouteReferences!{{FromRoute}}, {{AppRouteId}})"
   },
   {
    "name": "AnswersNoQuestion",
    "datatype": "boolean",
    "type": "calculated",
    "nullable": true,
    "Description": "A domain route owned by a role that answers no role question. Not automatically wrong, but it should be justified. Maintainer routes are excluded: they answer questions about the model itself, which are not RoleQuestions and must not be fabricated as such.",
    "formula": "=AND({{QuestionCount}} = 0, {{IsShared}} = FALSE, {{IsMaintainer}} = FALSE, {{RouteKind}} &lt;&gt; \"index\")"
   },
   {
    "name": "SemanticTypeIri",
    "datatype": "string",
    "type": "raw",
    "nullable": true,
    "Description": "Semantic type IRI for this row. An extension: PKO models procedures, not the applications that display them."
   }
  ],
  "data": [
   {
    "AppRouteId": "cfo-home",
    "RoutePath": "/cfo/attestation",
    "RouteName": "Can I Sign?",
    "OwningRole": "cfo",
    "NavGroup": "attest",
    "NavOrder": 1,
    "RouteKind": "dashboard",
    "Purpose": "The one screen I open first. A single verdict for the close I am being asked to attest to, and if the answer is no, the named blocker.",
    "LayoutHints": "Hero verdict card (green/red) with the IsAttestationReady column and, beneath it, a blocker list. Right rail: assurance grade summary. Nothing below the fold that is not a blocker.",
    "SemanticTypeIri": "urn:effortless:pko-extension#AppRoute",
    "Surface": "domain",
    "Name": "Can I Sign? — /cfo/attestation",
    "IsInNav": true,
    "IsShared": false,
    "IsMaintainer": false,
    "QuestionCount": 2,
    "ReferenceCount": 3,
    "AnswersNoQuestion": false
   },
   {
    "AppRouteId": "cfo-blockers",
    "RoutePath": "/cfo/attestation/blockers",
    "RouteName": "Blockers",
    "OwningRole": "cfo",
    "NavGroup": "attest",
    "NavOrder": 2,
    "RouteKind": "workspace",
    "Purpose": "Every reason I cannot sign yet, each one traced to the row that produced it.",
    "LayoutHints": "Ordered list, most severe first. Each row: the blocking condition, the entity it fires on, and a link into that entity's detail route. Empty state must say 'no blockers' explicitly, never render blank.",
    "SemanticTypeIri": "urn:effortless:pko-extension#AppRoute",
    "Surface": "domain",
    "Name": "Blockers — /cfo/attestation/blockers",
    "IsInNav": true,
    "IsShared": false,
    "IsMaintainer": false,
    "QuestionCount": 2,
    "ReferenceCount": 2,
    "AnswersNoQuestion": false
   },
   {
    "AppRouteId": "cfo-assurance-grade",
    "RoutePath": "/cfo/assurance/grade",
    "RouteName": "Assurance Grade",
    "OwningRole": "cfo",
    "NavGroup": "assurance",
    "NavOrder": 1,
    "RouteKind": "workspace",
    "Purpose": "When the verdict reads TRUE, what proportion of the controls behind that TRUE were actually demonstrated to work — versus asserted by an interested party, versus never exercised at all.",
    "LayoutHints": "Three-band stacked bar: demonstrated / asserted / never-exercised. Below it, the per-control table that produced the bands. The headline number is the grade, not the verdict.",
    "SemanticTypeIri": "urn:effortless:pko-extension#AppRoute",
    "Surface": "domain",
    "Name": "Assurance Grade — /cfo/assurance/grade",
    "IsInNav": true,
    "IsShared": false,
    "IsMaintainer": false,
    "QuestionCount": 2,
    "ReferenceCount": 2,
    "AnswersNoQuestion": false
   },
   {
    "AppRouteId": "cfo-unwitnessed-controls",
    "RoutePath": "/cfo/assurance/unwitnessed",
    "RouteName": "Controls Nobody Watches",
    "OwningRole": "cfo",
    "NavGroup": "assurance",
    "NavOrder": 2,
    "RouteKind": "workspace",
    "Purpose": "The requirements I am personally attesting to that have no computed witness — and the named human who would answer for each if it failed.",
    "LayoutHints": "Table: requirement, blocking?, has-witness?, accountable human, their role. Rows with no witness AND blocking are the emphasis. Each row links to the requirement detail.",
    "SemanticTypeIri": "urn:effortless:pko-extension#AppRoute",
    "Surface": "domain",
    "Name": "Controls Nobody Watches — /cfo/assurance/unwitnessed",
    "IsInNav": true,
    "IsShared": false,
    "IsMaintainer": false,
    "QuestionCount": 2,
    "ReferenceCount": 2,
    "AnswersNoQuestion": false
   },
   {
    "AppRouteId": "cfo-typed-conclusions",
    "RoutePath": "/cfo/assurance/typed-conclusions",
    "RouteName": "Typed, Not Computed",
    "OwningRole": "cfo",
    "NavGroup": "assurance",
    "NavOrder": 3,
    "RouteKind": "workspace",
    "Purpose": "Every control claim in this model that rests on a human typing a conclusion rather than on something computed.",
    "LayoutHints": "Two-column split: computed claims vs typed claims, with counts. The typed side is the working list. Each entry shows who typed it and when.",
    "SemanticTypeIri": "urn:effortless:pko-extension#AppRoute",
    "Surface": "domain",
    "Name": "Typed, Not Computed — /cfo/assurance/typed-conclusions",
    "IsInNav": true,
    "IsShared": false,
    "IsMaintainer": false,
    "QuestionCount": 1,
    "ReferenceCount": 2,
    "AnswersNoQuestion": false
   },
   {
    "AppRouteId": "cfo-witness-chain",
    "RoutePath": "/cfo/assurance/independence",
    "RouteName": "Who Witnessed the Witnesses",
    "OwningRole": "cfo",
    "NavGroup": "assurance",
    "NavOrder": 4,
    "RouteKind": "workspace",
    "Purpose": "Across the whole close, is there any independent human observation at all — or is every layer the same handful of people confirming each other?",
    "LayoutHints": "Chain/graph view: approvals and verification outcomes as nodes, edges where one person confirms another. Self-witnessed loops highlighted. Sidebar counts independent vs self-witnessed.",
    "SemanticTypeIri": "urn:effortless:pko-extension#AppRoute",
    "Surface": "domain",
    "Name": "Who Witnessed the Witnesses — /cfo/assurance/independence",
    "IsInNav": true,
    "IsShared": false,
    "IsMaintainer": false,
    "QuestionCount": 2,
    "ReferenceCount": 2,
    "AnswersNoQuestion": false
   },
   {
    "AppRouteId": "cfo-authority-map",
    "RoutePath": "/cfo/authority/accountability",
    "RouteName": "Who Held Authority",
    "OwningRole": "cfo",
    "NavGroup": "authority",
    "NavOrder": 1,
    "RouteKind": "workspace",
    "Purpose": "For every approval in this close, the human who was personally accountable — and whether an exception routed authority away from the person who normally holds it.",
    "LayoutHints": "Table per approval: approver, role held at the time, normal holder, exception invoked?. Rerouted rows flagged. Links to the exception invocation detail.",
    "SemanticTypeIri": "urn:effortless:pko-extension#AppRoute",
    "Surface": "domain",
    "Name": "Who Held Authority — /cfo/authority/accountability",
    "IsInNav": true,
    "IsShared": false,
    "IsMaintainer": false,
    "QuestionCount": 1,
    "ReferenceCount": 2,
    "AnswersNoQuestion": false
   },
   {
    "AppRouteId": "cfo-my-approvals",
    "RoutePath": "/cfo/authority/my-approvals",
    "RouteName": "My Own Approvals",
    "OwningRole": "cfo",
    "NavGroup": "authority",
    "NavOrder": 2,
    "RouteKind": "workspace",
    "Purpose": "My approval on se-close06 — is there anything behind it other than the fact that I clicked approve?",
    "LayoutHints": "Detail card per approval I gave: what was verified, by whom, with what evidence. An approval with nothing behind it is rendered as a warning state, not an empty section.",
    "SemanticTypeIri": "urn:effortless:pko-extension#AppRoute",
    "Surface": "domain",
    "Name": "My Own Approvals — /cfo/authority/my-approvals",
    "IsInNav": true,
    "IsShared": false,
    "IsMaintainer": false,
    "QuestionCount": 2,
    "ReferenceCount": 2,
    "AnswersNoQuestion": false
   },
   {
    "AppRouteId": "cfo-signature-dependencies",
    "RoutePath": "/cfo/attestation/dependencies",
    "RouteName": "What My Signature Rests On",
    "OwningRole": "cfo",
    "NavGroup": "attest",
    "NavOrder": 3,
    "RouteKind": "workspace",
    "Purpose": "The full set of controls, versions, and evidence records my signature actually depends on — the blast radius of my own name.",
    "LayoutHints": "Dependency tree rooted at the attestation, expanding into controls, versions, evidence. Each node shows its current state. This is the reference view the change-watch route diffs against.",
    "SemanticTypeIri": "urn:effortless:pko-extension#AppRoute",
    "Surface": "domain",
    "Name": "What My Signature Rests On — /cfo/attestation/dependencies",
    "IsInNav": true,
    "IsShared": false,
    "IsMaintainer": false,
    "QuestionCount": 1,
    "ReferenceCount": 2,
    "AnswersNoQuestion": false
   },
   {
    "AppRouteId": "cfo-changed-since-signing",
    "RoutePath": "/cfo/attestation/changed-since",
    "RouteName": "Changed Since I Signed",
    "OwningRole": "cfo",
    "NavGroup": "attest",
    "NavOrder": 4,
    "RouteKind": "workspace",
    "Purpose": "Since the moment I signed, has anything changed that would have altered my decision — specifically touching a control, a version, or an evidence record my signature depended on.",
    "LayoutHints": "Timeline diff anchored at the signature timestamp. Only changes intersecting the dependency set are shown; unrelated churn is explicitly excluded and the exclusion is stated.",
    "SemanticTypeIri": "urn:effortless:pko-extension#AppRoute",
    "Surface": "domain",
    "Name": "Changed Since I Signed — /cfo/attestation/changed-since",
    "IsInNav": true,
    "IsShared": false,
    "IsMaintainer": false,
    "QuestionCount": 1,
    "ReferenceCount": 2,
    "AnswersNoQuestion": false
   },
   {
    "AppRouteId": "cfo-restatement",
    "RoutePath": "/cfo/assurance/restatement",
    "RouteName": "Would It Survive Restatement",
    "OwningRole": "cfo",
    "NavGroup": "assurance",
    "NavOrder": 5,
    "RouteKind": "workspace",
    "Purpose": "If I re-run every attestation column against this same data six months from now, will it give the same answer? Name every column whose value depends on when it is read.",
    "LayoutHints": "Table of attestation columns with a tense-dependent flag, sourced from the EvaluationContexts modelled instant. Time-dependent columns get an explicit warning band at the top.",
    "SemanticTypeIri": "urn:effortless:pko-extension#AppRoute",
    "Surface": "domain",
    "Name": "Would It Survive Restatement — /cfo/assurance/restatement",
    "IsInNav": true,
    "IsShared": false,
    "IsMaintainer": false,
    "QuestionCount": 1,
    "ReferenceCount": 2,
    "AnswersNoQuestion": false
   },
   {
    "AppRouteId": "cfo-attestation-detail",
    "RoutePath": "/cfo/attestation/execution/:executionId",
    "RouteName": "Attestation Detail",
    "OwningRole": "cfo",
    "NavGroup": "",
    "NavOrder": 0,
    "RouteKind": "detail",
    "Purpose": "One execution, everything I would be signing for it.",
    "LayoutHints": "Full-page record: execution header, per-step conformance, control results, evidence links. Reachable from the blocker list and the home verdict.",
    "SemanticTypeIri": "urn:effortless:pko-extension#AppRoute",
    "Surface": "domain",
    "Name": "Attestation Detail — /cfo/attestation/execution/:executionId",
    "IsInNav": false,
    "IsShared": false,
    "IsMaintainer": false,
    "QuestionCount": 1,
    "ReferenceCount": 2,
    "AnswersNoQuestion": false
   },
   {
    "AppRouteId": "controller-home",
    "RoutePath": "/controller/controls",
    "RouteName": "Control Board",
    "OwningRole": "controller",
    "NavGroup": "controls",
    "NavOrder": 1,
    "RouteKind": "dashboard",
    "Purpose": "Every close control at a glance: which fired, which held, and which are structurally incapable of failing.",
    "LayoutHints": "Grid of control tiles, each showing bound steps, witness presence, and whether it has ever produced a negative. Inoperative controls are visually distinct, not just sorted lower.",
    "SemanticTypeIri": "urn:effortless:pko-extension#AppRoute",
    "Surface": "domain",
    "Name": "Control Board — /controller/controls",
    "IsInNav": true,
    "IsShared": false,
    "IsMaintainer": false,
    "QuestionCount": 2,
    "ReferenceCount": 3,
    "AnswersNoQuestion": false
   },
   {
    "AppRouteId": "controller-mute-controls",
    "RoutePath": "/controller/controls/inoperative",
    "RouteName": "Inoperative Controls",
    "OwningRole": "controller",
    "NavGroup": "controls",
    "NavOrder": 2,
    "RouteKind": "workspace",
    "Purpose": "Which of my blocking close controls are structurally incapable of failing — declared, bound to a step, and yet with no mechanism that could ever produce a negative result.",
    "LayoutHints": "List with a three-state badge per control: has-witness / witness-ever-fired / could-ever-fire. The third state is the finding. Each row explains WHY it cannot fire.",
    "SemanticTypeIri": "urn:effortless:pko-extension#AppRoute",
    "Surface": "domain",
    "Name": "Inoperative Controls — /controller/controls/inoperative",
    "IsInNav": true,
    "IsShared": false,
    "IsMaintainer": false,
    "QuestionCount": 2,
    "ReferenceCount": 3,
    "AnswersNoQuestion": false
   },
   {
    "AppRouteId": "controller-witness-scope",
    "RoutePath": "/controller/controls/witness-scope",
    "RouteName": "Witness Scope vs Binding",
    "OwningRole": "controller",
    "NavGroup": "controls",
    "NavOrder": 3,
    "RouteKind": "workspace",
    "Purpose": "For each control with a witness, is the witness evaluated at the same steps where the control is bound? req-close-evidence is bound to close-03 and close-08 — is its witness scoped to both?",
    "LayoutHints": "Two parallel columns per control: steps bound vs steps witnessed, with the set difference called out. A non-empty difference is the finding.",
    "SemanticTypeIri": "urn:effortless:pko-extension#AppRoute",
    "Surface": "domain",
    "Name": "Witness Scope vs Binding — /controller/controls/witness-scope",
    "IsInNav": true,
    "IsShared": false,
    "IsMaintainer": false,
    "QuestionCount": 1,
    "ReferenceCount": 2,
    "AnswersNoQuestion": false
   },
   {
    "AppRouteId": "controller-separation",
    "RoutePath": "/controller/controls/separation-of-duties",
    "RouteName": "Separation of Duties",
    "OwningRole": "controller",
    "NavGroup": "controls",
    "NavOrder": 4,
    "RouteKind": "workspace",
    "Purpose": "Did the same agent both prepare and approve any part of this close — computed, not asserted. And could it even have happened, or is the control passing because the structure never gave it the chance to fail?",
    "LayoutHints": "Top: the computed verdict. Below: the opportunity analysis — executions where the same agent COULD have held both seats. A pass with zero opportunity is rendered as inconclusive, not green.",
    "SemanticTypeIri": "urn:effortless:pko-extension#AppRoute",
    "Surface": "domain",
    "Name": "Separation of Duties — /controller/controls/separation-of-duties",
    "IsInNav": true,
    "IsShared": false,
    "IsMaintainer": false,
    "QuestionCount": 2,
    "ReferenceCount": 2,
    "AnswersNoQuestion": false
   },
   {
    "AppRouteId": "controller-conformance",
    "RoutePath": "/controller/execution/conformance",
    "RouteName": "Spec vs Execution",
    "OwningRole": "controller",
    "NavGroup": "execution",
    "NavOrder": 1,
    "RouteKind": "workspace",
    "Purpose": "One number per close: did the execution actually conform to its procedure version, and if not, how far off was it?",
    "LayoutHints": "Reuse the existing spec/execution ledger layout. Add a single conformance score in the header. Divergent steps anchor-linked from the score.",
    "SemanticTypeIri": "urn:effortless:pko-extension#AppRoute",
    "Surface": "domain",
    "Name": "Spec vs Execution — /controller/execution/conformance",
    "IsInNav": true,
    "IsShared": false,
    "IsMaintainer": false,
    "QuestionCount": 1,
    "ReferenceCount": 2,
    "AnswersNoQuestion": false
   },
   {
    "AppRouteId": "controller-ungoverned-divergence",
    "RoutePath": "/controller/execution/ungoverned-divergence",
    "RouteName": "Divergence Nobody Governed",
    "OwningRole": "controller",
    "NavGroup": "execution",
    "NavOrder": 2,
    "RouteKind": "workspace",
    "Purpose": "For each divergence, was there a governing instrument behind it — an invoked exception, an approved change request, a recorded deviation with an owner — or did the run simply do something different and nobody wrote it down?",
    "LayoutHints": "Per divergence: the instrument that covers it, or an explicit 'ungoverned' state. Ungoverned rows are the working list and sort first.",
    "SemanticTypeIri": "urn:effortless:pko-extension#AppRoute",
    "Surface": "domain",
    "Name": "Divergence Nobody Governed — /controller/execution/ungoverned-divergence",
    "IsInNav": true,
    "IsShared": false,
    "IsMaintainer": false,
    "QuestionCount": 1,
    "ReferenceCount": 3,
    "AnswersNoQuestion": false
   },
   {
    "AppRouteId": "controller-authority-validity",
    "RoutePath": "/controller/authority/validity",
    "RouteName": "Authority at Time of Approval",
    "OwningRole": "controller",
    "NavGroup": "authority",
    "NavOrder": 1,
    "RouteKind": "workspace",
    "Purpose": "Every approval on this close — was it given by an agent who actually held the required role AT THE TIME they approved, not just someone who holds it today?",
    "LayoutHints": "Timeline per approval: the assignment window vs the approval instant. Approvals outside their window are the finding. Bitemporal — do not compare against today.",
    "SemanticTypeIri": "urn:effortless:pko-extension#AppRoute",
    "Surface": "domain",
    "Name": "Authority at Time of Approval — /controller/authority/validity",
    "IsInNav": true,
    "IsShared": false,
    "IsMaintainer": false,
    "QuestionCount": 1,
    "ReferenceCount": 2,
    "AnswersNoQuestion": false
   },
   {
    "AppRouteId": "controller-ai-boundary",
    "RoutePath": "/controller/authority/ai-boundary",
    "RouteName": "Machine Did Human Work",
    "OwningRole": "controller",
    "NavGroup": "authority",
    "NavOrder": 2,
    "RouteKind": "workspace",
    "Purpose": "Did any AI agent or automated pipeline execute a step that requires human confirmation, or sign off on something a human was supposed to own?",
    "LayoutHints": "Table of software-executed steps against their human-confirmation requirement. Include an explicit 'never approached' column — an untested boundary is not a passing one.",
    "SemanticTypeIri": "urn:effortless:pko-extension#AppRoute",
    "Surface": "domain",
    "Name": "Machine Did Human Work — /controller/authority/ai-boundary",
    "IsInNav": true,
    "IsShared": false,
    "IsMaintainer": false,
    "QuestionCount": 1,
    "ReferenceCount": 2,
    "AnswersNoQuestion": false
   },
   {
    "AppRouteId": "controller-asserted-controls",
    "RoutePath": "/controller/evidence/asserted",
    "RouteName": "Asserted, Not Demonstrated",
    "OwningRole": "controller",
    "NavGroup": "evidence",
    "NavOrder": 1,
    "RouteKind": "workspace",
    "Purpose": "Three satisfaction records are asserted-only. For each: who asserted it, did they have any independent basis, and were they the same person who executed the step they were scoring?",
    "LayoutHints": "Per record: asserter, executor, independence verdict. Same-person rows flagged. Evidence URI shown or its absence stated explicitly.",
    "SemanticTypeIri": "urn:effortless:pko-extension#AppRoute",
    "Surface": "domain",
    "Name": "Asserted, Not Demonstrated — /controller/evidence/asserted",
    "IsInNav": true,
    "IsShared": false,
    "IsMaintainer": false,
    "QuestionCount": 1,
    "ReferenceCount": 2,
    "AnswersNoQuestion": false
   },
   {
    "AppRouteId": "controller-control-detail",
    "RoutePath": "/controller/controls/requirement/:requirementId",
    "RouteName": "Control Detail",
    "OwningRole": "controller",
    "NavGroup": "",
    "NavOrder": 0,
    "RouteKind": "detail",
    "Purpose": "One control, end to end: what it says, where it is bound, what witnesses it, and every time it has been evaluated.",
    "LayoutHints": "Detail page. Header with the statement and blocking flag; sections for bindings, witness, and evaluation history. This is the shared requirement detail specialised for the controller.",
    "SemanticTypeIri": "urn:effortless:pko-extension#AppRoute",
    "Surface": "domain",
    "Name": "Control Detail — /controller/controls/requirement/:requirementId",
    "IsInNav": false,
    "IsShared": false,
    "IsMaintainer": false,
    "QuestionCount": 1,
    "ReferenceCount": 2,
    "AnswersNoQuestion": false
   },
   {
    "AppRouteId": "analyst-home",
    "RoutePath": "/finance-analyst/my-work",
    "RouteName": "My Steps",
    "OwningRole": "finance-analyst",
    "NavGroup": "execution",
    "NavOrder": 1,
    "RouteKind": "dashboard",
    "Purpose": "The steps I personally executed, and whether each one closed cleanly or closed past something.",
    "LayoutHints": "Card per step execution with status, duration vs expected, and blocking-control state. Anything that closed past a blocking control is the emphasis.",
    "SemanticTypeIri": "urn:effortless:pko-extension#AppRoute",
    "Surface": "domain",
    "Name": "My Steps — /finance-analyst/my-work",
    "IsInNav": true,
    "IsShared": false,
    "IsMaintainer": false,
    "QuestionCount": 2,
    "ReferenceCount": 3,
    "AnswersNoQuestion": false
   },
   {
    "AppRouteId": "analyst-blocking-unmet",
    "RoutePath": "/finance-analyst/my-work/blocking-unmet",
    "RouteName": "Closed Past a Control",
    "OwningRole": "finance-analyst",
    "NavGroup": "execution",
    "NavOrder": 2,
    "RouteKind": "workspace",
    "Purpose": "On the steps I personally executed, did any close out while a BLOCKING requirement was still not fully satisfied?",
    "LayoutHints": "List of my step executions with an unmet blocking control, each showing the control and its satisfaction level. This is a personal-exposure screen — keep it short and unambiguous.",
    "SemanticTypeIri": "urn:effortless:pko-extension#AppRoute",
    "Surface": "domain",
    "Name": "Closed Past a Control — /finance-analyst/my-work/blocking-unmet",
    "IsInNav": true,
    "IsShared": false,
    "IsMaintainer": false,
    "QuestionCount": 1,
    "ReferenceCount": 2,
    "AnswersNoQuestion": false
   },
   {
    "AppRouteId": "analyst-never-evaluated",
    "RoutePath": "/finance-analyst/my-work/never-evaluated",
    "RouteName": "Never Assessed",
    "OwningRole": "finance-analyst",
    "NavGroup": "execution",
    "NavOrder": 3,
    "RouteKind": "workspace",
    "Purpose": "Which blocking requirements were attached to a step I ran but never got a satisfaction record at all — not satisfied, not unsatisfied, just never assessed.",
    "LayoutHints": "The absence IS the finding, so render missing records as explicit rows, never as an empty table.",
    "SemanticTypeIri": "urn:effortless:pko-extension#AppRoute",
    "Surface": "domain",
    "Name": "Never Assessed — /finance-analyst/my-work/never-evaluated",
    "IsInNav": true,
    "IsShared": false,
    "IsMaintainer": false,
    "QuestionCount": 1,
    "ReferenceCount": 2,
    "AnswersNoQuestion": false
   },
   {
    "AppRouteId": "analyst-late-steps",
    "RoutePath": "/finance-analyst/my-work/late-unexplained",
    "RouteName": "Late and Unexplained",
    "OwningRole": "finance-analyst",
    "NavGroup": "execution",
    "NavOrder": 4,
    "RouteKind": "workspace",
    "Purpose": "Which of my steps ran long without anybody recording why — and of those, which had an exception available that nobody invoked.",
    "LayoutHints": "Table: step, actual vs expected, deviation recorded?, exception available?, exception invoked?. The available-but-not-invoked combination is the finding.",
    "SemanticTypeIri": "urn:effortless:pko-extension#AppRoute",
    "Surface": "domain",
    "Name": "Late and Unexplained — /finance-analyst/my-work/late-unexplained",
    "IsInNav": true,
    "IsShared": false,
    "IsMaintainer": false,
    "QuestionCount": 1,
    "ReferenceCount": 2,
    "AnswersNoQuestion": false
   },
   {
    "AppRouteId": "analyst-verification-performed",
    "RoutePath": "/finance-analyst/evidence/verification-performed",
    "RouteName": "Declared vs Performed",
    "OwningRole": "finance-analyst",
    "NavGroup": "evidence",
    "NavOrder": 1,
    "RouteKind": "workspace",
    "Purpose": "For every step I ran that had a declared verification, did anybody actually perform it and record the observed signal — or did I just get a PASS with nothing behind it?",
    "LayoutHints": "Per step: declared verification, observed signal or its absence, who observed. A PASS with no observation is rendered as hollow, not green.",
    "SemanticTypeIri": "urn:effortless:pko-extension#AppRoute",
    "Surface": "domain",
    "Name": "Declared vs Performed — /finance-analyst/evidence/verification-performed",
    "IsInNav": true,
    "IsShared": false,
    "IsMaintainer": false,
    "QuestionCount": 1,
    "ReferenceCount": 2,
    "AnswersNoQuestion": false
   },
   {
    "AppRouteId": "analyst-evidence-quality",
    "RoutePath": "/finance-analyst/evidence/my-evidence",
    "RouteName": "My Own Evidence Quality",
    "OwningRole": "finance-analyst",
    "NavGroup": "evidence",
    "NavOrder": 2,
    "RouteKind": "workspace",
    "Purpose": "On the steps I ran, was the person who observed the passing signal ever me — and when it was, did I at least attach an evidence URI?",
    "LayoutHints": "Self-witness table scoped to my steps: observer, is-me flag, evidence URI present. Self-witnessed with no URI is the weakest state and should read that way.",
    "SemanticTypeIri": "urn:effortless:pko-extension#AppRoute",
    "Surface": "domain",
    "Name": "My Own Evidence Quality — /finance-analyst/evidence/my-evidence",
    "IsInNav": true,
    "IsShared": false,
    "IsMaintainer": false,
    "QuestionCount": 1,
    "ReferenceCount": 2,
    "AnswersNoQuestion": false
   },
   {
    "AppRouteId": "analyst-source-freshness",
    "RoutePath": "/finance-analyst/evidence/source-freshness",
    "RouteName": "Was My Source Fresh",
    "OwningRole": "finance-analyst",
    "NavGroup": "evidence",
    "NavOrder": 3,
    "RouteKind": "workspace",
    "Purpose": "When I attested my reconciliation, was the underlying ledger data actually fresh — or was I certifying against a source that had already gone stale under its own SLA?",
    "LayoutHints": "Per binding: freshness SLA, age at run, authoritative flag. Judged against the modelled instant, never the wall clock.",
    "SemanticTypeIri": "urn:effortless:pko-extension#AppRoute",
    "Surface": "domain",
    "Name": "Was My Source Fresh — /finance-analyst/evidence/source-freshness",
    "IsInNav": true,
    "IsShared": false,
    "IsMaintainer": false,
    "QuestionCount": 1,
    "ReferenceCount": 2,
    "AnswersNoQuestion": false
   },
   {
    "AppRouteId": "analyst-stale-then-vs-now",
    "RoutePath": "/finance-analyst/evidence/stale-then-vs-now",
    "RouteName": "Stale Then vs Stale Now",
    "OwningRole": "finance-analyst",
    "NavGroup": "evidence",
    "NavOrder": 4,
    "RouteKind": "workspace",
    "Purpose": "Was the source stale AT THE MOMENT I RAN, or has it merely gone stale since — and are those the same steps?",
    "LayoutHints": "Two-column comparison: staleness at run-time vs staleness at the current evaluation context. The delta between the columns is the whole point of the screen.",
    "SemanticTypeIri": "urn:effortless:pko-extension#AppRoute",
    "Surface": "domain",
    "Name": "Stale Then vs Stale Now — /finance-analyst/evidence/stale-then-vs-now",
    "IsInNav": true,
    "IsShared": false,
    "IsMaintainer": false,
    "QuestionCount": 1,
    "ReferenceCount": 2,
    "AnswersNoQuestion": false
   },
   {
    "AppRouteId": "analyst-clean-but-uncovered",
    "RoutePath": "/finance-analyst/quality/clean-but-uncovered",
    "RouteName": "Clean, or Just Unchecked",
    "OwningRole": "finance-analyst",
    "NavGroup": "quality",
    "NavOrder": 1,
    "RouteKind": "workspace",
    "Purpose": "Of the executions that ARE clean, how many are clean because everything was checked and passed, versus clean because there was almost nothing checking them?",
    "LayoutHints": "Scatter or two-axis table: controls-checked against controls-passed. Low-check/high-pass is the quadrant of interest and should be labelled as such.",
    "SemanticTypeIri": "urn:effortless:pko-extension#AppRoute",
    "Surface": "domain",
    "Name": "Clean, or Just Unchecked — /finance-analyst/quality/clean-but-uncovered",
    "IsInNav": true,
    "IsShared": false,
    "IsMaintainer": false,
    "QuestionCount": 1,
    "ReferenceCount": 2,
    "AnswersNoQuestion": false
   },
   {
    "AppRouteId": "analyst-mute-clearance",
    "RoutePath": "/finance-analyst/quality/cleared-by-mute-control",
    "RouteName": "Cleared by a Mute Control",
    "OwningRole": "finance-analyst",
    "NavGroup": "quality",
    "NavOrder": 2,
    "RouteKind": "workspace",
    "Purpose": "How many of the blocking controls that cleared me have NEVER produced a negative outcome anywhere in this model — and were any of my steps cleared ONLY by controls of that kind?",
    "LayoutHints": "Per step: clearing controls, each tagged with whether it has ever fired negative. A step cleared exclusively by never-fired controls is the headline finding.",
    "SemanticTypeIri": "urn:effortless:pko-extension#AppRoute",
    "Surface": "domain",
    "Name": "Cleared by a Mute Control — /finance-analyst/quality/cleared-by-mute-control",
    "IsInNav": true,
    "IsShared": false,
    "IsMaintainer": false,
    "QuestionCount": 1,
    "ReferenceCount": 2,
    "AnswersNoQuestion": false
   },
   {
    "AppRouteId": "analyst-witness-coverage",
    "RoutePath": "/finance-analyst/quality/witness-coverage",
    "RouteName": "Coverage of My Controls",
    "OwningRole": "finance-analyst",
    "NavGroup": "quality",
    "NavOrder": 3,
    "RouteKind": "workspace",
    "Purpose": "Of the blocking controls attached to the steps I run, how many have no computed witness — and is HasComputedWitness even telling me the truth, given a human typed it in by hand?",
    "LayoutHints": "Coverage bar plus a caveat band:</t>
  </si>
  <si>
    <t xml:space="preserve"> the declared-vs-actual witness comparison, because the declaration itself is a typed field and must be shown as such.",
    "SemanticTypeIri": "urn:effortless:pko-extension#AppRoute",
    "Surface": "domain",
    "Name": "Coverage of My Controls — /finance-analyst/quality/witness-coverage",
    "IsInNav": true,
    "IsShared": false,
    "IsMaintainer": false,
    "QuestionCount": 1,
    "ReferenceCount": 2,
    "AnswersNoQuestion": false
   },
   {
    "AppRouteId": "hr-home",
    "RoutePath": "/hr-policy-owner/ownership",
    "RouteName": "What I Own",
    "OwningRole": "hr-policy-owner",
    "NavGroup": "ownership",
    "NavOrder": 1,
    "RouteKind": "dashboard",
    "Purpose": "Everything currently live under my name: policy versions, knowledge claims, and the decisions waiting on me.",
    "LayoutHints": "Three-panel dashboard: owned versions, owned claims (with approval state), pending decisions with age. Unapproved-but-live claims are the emphasis.",
    "SemanticTypeIri": "urn:effortless:pko-extension#AppRoute",
    "Surface": "domain",
    "Name": "What I Own — /hr-policy-owner/ownership",
    "IsInNav": true,
    "IsShared": false,
    "IsMaintainer": false,
    "QuestionCount": 2,
    "ReferenceCount": 3,
    "AnswersNoQuestion": false
   },
   {
    "AppRouteId": "hr-unapproved-claims",
    "RoutePath": "/hr-policy-owner/ownership/unapproved",
    "RouteName": "Unapproved in My Name",
    "OwningRole": "hr-policy-owner",
    "NavGroup": "ownership",
    "NavOrder": 2,
    "RouteKind": "workspace",
    "Purpose": "Which claims am I the owner of that were never approved — and are any of them routing real cases right now?",
    "LayoutHints": "List of owned fragments by status, with an 'operationally live' flag. Reviewed-but-not-Approved AND live is the finding.",
    "SemanticTypeIri": "urn:effortless:pko-extension#AppRoute",
    "Surface": "domain",
    "Name": "Unapproved in My Name — /hr-policy-owner/ownership/unapproved",
    "IsInNav": true,
    "IsShared": false,
    "IsMaintainer": false,
    "QuestionCount": 1,
    "ReferenceCount": 2,
    "AnswersNoQuestion": false
   },
   {
    "AppRouteId": "hr-load-bearing-claim",
    "RoutePath": "/hr-policy-owner/ownership/blast-radius/:fragmentId",
    "RouteName": "Blast Radius of a Claim",
    "OwningRole": "hr-policy-owner",
    "NavGroup": "ownership",
    "NavOrder": 3,
    "RouteKind": "detail",
    "Purpose": "How many steps, exceptions and authority boundaries currently depend on a claim I have not signed, and how long has it been sitting at Reviewed?",
    "LayoutHints": "Dependency fan-out from one fragment: steps, exceptions, boundaries. Header carries the age at Reviewed. This is the screen that makes an unsigned claim feel expensive.",
    "SemanticTypeIri": "urn:effortless:pko-extension#AppRoute",
    "Surface": "domain",
    "Name": "Blast Radius of a Claim — /hr-policy-owner/ownership/blast-radius/:fragmentId",
    "IsInNav": true,
    "IsShared": false,
    "IsMaintainer": false,
    "QuestionCount": 1,
    "ReferenceCount": 2,
    "AnswersNoQuestion": false
   },
   {
    "AppRouteId": "hr-backlog",
    "RoutePath": "/hr-policy-owner/backlog",
    "RouteName": "Waiting On Me",
    "OwningRole": "hr-policy-owner",
    "NavGroup": "backlog",
    "NavOrder": 1,
    "RouteKind": "workspace",
    "Purpose": "What decisions are waiting on me personally, and how long have they been waiting.",
    "LayoutHints": "Queue ordered by age. Each item shows what it blocks downstream, so the cost of my delay is visible from the queue itself.",
    "SemanticTypeIri": "urn:effortless:pko-extension#AppRoute",
    "Surface": "domain",
    "Name": "Waiting On Me — /hr-policy-owner/backlog",
    "IsInNav": true,
    "IsShared": false,
    "IsMaintainer": false,
    "QuestionCount": 1,
    "ReferenceCount": 2,
    "AnswersNoQuestion": false
   },
   {
    "AppRouteId": "hr-backlog-downstream",
    "RoutePath": "/hr-policy-owner/backlog/downstream",
    "RouteName": "What My Delay Blocks",
    "OwningRole": "hr-policy-owner",
    "NavGroup": "backlog",
    "NavOrder": 2,
    "RouteKind": "workspace",
    "Purpose": "The full chain from my inbox outward: which knowledge gaps stay open because I have not decided, which steps sit downstream, and how many days of that delay are mine personally.",
    "LayoutHints": "Chain view: my pending decision → blocked gap → downstream steps. Attribute delay days to me vs to the process explicitly; do not conflate them.",
    "SemanticTypeIri": "urn:effortless:pko-extension#AppRoute",
    "Surface": "domain",
    "Name": "What My Delay Blocks — /hr-policy-owner/backlog/downstream",
    "IsInNav": true,
    "IsShared": false,
    "IsMaintainer": false,
    "QuestionCount": 1,
    "ReferenceCount": 2,
    "AnswersNoQuestion": false
   },
   {
    "AppRouteId": "hr-my-decisions",
    "RoutePath": "/hr-policy-owner/backlog/my-decisions",
    "RouteName": "What I Have Cleared",
    "OwningRole": "hr-policy-owner",
    "NavGroup": "backlog",
    "NavOrder": 3,
    "RouteKind": "workspace",
    "Purpose": "How many decisions have I made that the model still displays as outstanding against me? I cannot show what I have actually cleared.",
    "LayoutHints": "Decision history with the terminal-state problem surfaced: Approved requests still counted open are flagged as a model defect, not hidden.",
    "SemanticTypeIri": "urn:effortless:pko-extension#AppRoute",
    "Surface": "domain",
    "Name": "What I Have Cleared — /hr-policy-owner/backlog/my-decisions",
    "IsInNav": true,
    "IsShared": false,
    "IsMaintainer": false,
    "QuestionCount": 1,
    "ReferenceCount": 2,
    "AnswersNoQuestion": false
   },
   {
    "AppRouteId": "hr-ai-boundary",
    "RoutePath": "/hr-policy-owner/governance/ai-boundary",
    "RouteName": "Is the AI Boundary Held",
    "OwningRole": "hr-policy-owner",
    "NavGroup": "governance",
    "NavOrder": 1,
    "RouteKind": "workspace",
    "Purpose": "kf-policy-ai-boundary says AI may draft but may not create legal commitments. Is that boundary actually being held?",
    "LayoutHints": "Per boundary: assigned agent, executions, and whether a violation was possible. Pair every 'no violation' with an 'ever approached' count — the two together are the real answer.",
    "SemanticTypeIri": "urn:effortless:pko-extension#AppRoute",
    "Surface": "domain",
    "Name": "Is the AI Boundary Held — /hr-policy-owner/governance/ai-boundary",
    "IsInNav": true,
    "IsShared": false,
    "IsMaintainer": false,
    "QuestionCount": 2,
    "ReferenceCount": 2,
    "AnswersNoQuestion": false
   },
   {
    "AppRouteId": "hr-knowledge-half-life",
    "RoutePath": "/hr-policy-owner/governance/knowledge-half-life",
    "RouteName": "Knowledge Half-Life",
    "OwningRole": "hr-policy-owner",
    "NavGroup": "governance",
    "NavOrder": 2,
    "RouteKind": "workspace",
    "Purpose": "Is the policy I own now resting on knowledge older than the policy itself has been reviewed?",
    "LayoutHints": "Timeline: elicitation dates, version issue date, review cadence, next due. The comparison between knowledge age and review interval is the headline.",
    "SemanticTypeIri": "urn:effortless:pko-extension#AppRoute",
    "Surface": "domain",
    "Name": "Knowledge Half-Life — /hr-policy-owner/governance/knowledge-half-life",
    "IsInNav": true,
    "IsShared": false,
    "IsMaintainer": false,
    "QuestionCount": 1,
    "ReferenceCount": 2,
    "AnswersNoQuestion": false
   },
   {
    "AppRouteId": "hr-departed-holders",
    "RoutePath": "/hr-policy-owner/governance/departed-holders",
    "RouteName": "What Departed With Them",
    "OwningRole": "hr-policy-owner",
    "NavGroup": "governance",
    "NavOrder": 3,
    "RouteKind": "workspace",
    "Purpose": "Somebody's assignment ended. Did anything they owned or sourced go with them — claims, gaps, pending decisions — or did the departure genuinely leave nothing behind?",
    "LayoutHints": "Per departed assignment: everything sourced or owned by that agent, with current ownership state. Orphaned items are the finding.",
    "SemanticTypeIri": "urn:effortless:pko-extension#AppRoute",
    "Surface": "domain",
    "Name": "What Departed With Them — /hr-policy-owner/governance/departed-holders",
    "IsInNav": true,
    "IsShared": false,
    "IsMaintainer": false,
    "QuestionCount": 1,
    "ReferenceCount": 2,
    "AnswersNoQuestion": false
   },
   {
    "AppRouteId": "hr-what-was-sent",
    "RoutePath": "/hr-policy-owner/delivery/what-was-sent",
    "RouteName": "What Was Actually Sent",
    "OwningRole": "hr-policy-owner",
    "NavGroup": "delivery",
    "NavOrder": 1,
    "RouteKind": "workspace",
    "Purpose": "If an employee disputes what they received, can I show that what was sent matched what I approved?",
    "LayoutHints": "Per delivery: approved text vs transmitted text, side by side, with the approval record and date. A mismatch is the finding; identical is stated explicitly.",
    "SemanticTypeIri": "urn:effortless:pko-extension#AppRoute",
    "Surface": "domain",
    "Name": "What Was Actually Sent — /hr-policy-owner/delivery/what-was-sent",
    "IsInNav": true,
    "IsShared": false,
    "IsMaintainer": false,
    "QuestionCount": 1,
    "ReferenceCount": 2,
    "AnswersNoQuestion": false
   },
   {
    "AppRouteId": "counsel-home",
    "RoutePath": "/employment-counsel/compliance",
    "RouteName": "Compliance Gates",
    "OwningRole": "employment-counsel",
    "NavGroup": "compliance",
    "NavOrder": 1,
    "RouteKind": "dashboard",
    "Purpose": "The four gates I care about — consent, quiet hours, legal review, retention — each as a pass/fail with the breaching rows named.",
    "LayoutHints": "Four gate tiles across the top; a breach list beneath whichever is selected. A gate with zero breaches must distinguish 'checked and clean' from 'never evaluated'.",
    "SemanticTypeIri": "urn:effortless:pko-extension#AppRoute",
    "Surface": "domain",
    "Name": "Compliance Gates — /employment-counsel/compliance",
    "IsInNav": true,
    "IsShared": false,
    "IsMaintainer": false,
    "QuestionCount": 4,
    "ReferenceCount": 4,
    "AnswersNoQuestion": false
   },
   {
    "AppRouteId": "counsel-consent",
    "RoutePath": "/employment-counsel/compliance/consent",
    "RouteName": "SMS Without Consent",
    "OwningRole": "employment-counsel",
    "NavGroup": "compliance",
    "NavOrder": 2,
    "RouteKind": "workspace",
    "Purpose": "Did we send an SMS to any recipient who had not given SMS consent at the moment we sent it?",
    "LayoutHints": "Per SMS delivery: recipient, consent state at send time, verdict. Bitemporal — consent today is not the question.",
    "SemanticTypeIri": "urn:effortless:pko-extension#AppRoute",
    "Surface": "domain",
    "Name": "SMS Without Consent — /employment-counsel/compliance/consent",
    "IsInNav": true,
    "IsShared": false,
    "IsMaintainer": false,
    "QuestionCount": 1,
    "ReferenceCount": 2,
    "AnswersNoQuestion": false
   },
   {
    "AppRouteId": "counsel-quiet-hours",
    "RoutePath": "/employment-counsel/compliance/quiet-hours",
    "RouteName": "Quiet Hours",
    "OwningRole": "employment-counsel",
    "NavGroup": "compliance",
    "NavOrder": 3,
    "RouteKind": "workspace",
    "Purpose": "Did any SMS go out between 20:00 and 08:00 in the recipient's own local time?",
    "LayoutHints": "Per delivery: send instant, recipient timezone, local hour, verdict. Show the local-time conversion explicitly — the timezone is the whole difficulty.",
    "SemanticTypeIri": "urn:effortless:pko-extension#AppRoute",
    "Surface": "domain",
    "Name": "Quiet Hours — /employment-counsel/compliance/quiet-hours",
    "IsInNav": true,
    "IsShared": false,
    "IsMaintainer": false,
    "QuestionCount": 1,
    "ReferenceCount": 2,
    "AnswersNoQuestion": false
   },
   {
    "AppRouteId": "counsel-legal-review",
    "RoutePath": "/employment-counsel/compliance/legal-review",
    "RouteName": "Sent Before My Review",
    "OwningRole": "employment-counsel",
    "NavGroup": "compliance",
    "NavOrder": 4,
    "RouteKind": "workspace",
    "Purpose": "Did any message go out before my legal review of the underlying policy version was actually complete?",
    "LayoutHints": "Timeline per campaign: review completion vs first transmission. Sends preceding review completion are the finding.",
    "SemanticTypeIri": "urn:effortless:pko-extension#AppRoute",
    "Surface": "domain",
    "Name": "Sent Before My Review — /employment-counsel/compliance/legal-review",
    "IsInNav": true,
    "IsShared": false,
    "IsMaintainer": false,
    "QuestionCount": 1,
    "ReferenceCount": 2,
    "AnswersNoQuestion": false
   },
   {
    "AppRouteId": "counsel-retention",
    "RoutePath": "/employment-counsel/compliance/retention",
    "RouteName": "Retention Evidence",
    "OwningRole": "employment-counsel",
    "NavGroup": "compliance",
    "NavOrder": 5,
    "RouteKind": "workspace",
    "Purpose": "Do we still hold the exact text of every message we sent, for the full 2555-day retention period the policy commits us to?",
    "LayoutHints": "Per delivery: text retained?, retention deadline, days remaining. Missing text is a breach and must render as one.",
    "SemanticTypeIri": "urn:effortless:pko-extension#AppRoute",
    "Surface": "domain",
    "Name": "Retention Evidence — /employment-counsel/compliance/retention",
    "IsInNav": true,
    "IsShared": false,
    "IsMaintainer": false,
    "QuestionCount": 1,
    "ReferenceCount": 2,
    "AnswersNoQuestion": false
   },
   {
    "AppRouteId": "counsel-unreachable",
    "RoutePath": "/employment-counsel/compliance/unreachable",
    "RouteName": "Unreachable, Not Acknowledged",
    "OwningRole": "employment-counsel",
    "NavGroup": "compliance",
    "NavOrder": 6,
    "RouteKind": "workspace",
    "Purpose": "For every recipient we could not reach, did we correctly refrain from marking their acknowledgement complete?",
    "LayoutHints": "Per unreachable recipient: delivery state, acknowledgement state. An acknowledgement on an unreachable recipient is the finding.",
    "SemanticTypeIri": "urn:effortless:pko-extension#AppRoute",
    "Surface": "domain",
    "Name": "Unreachable, Not Acknowledged — /employment-counsel/compliance/unreachable",
    "IsInNav": true,
    "IsShared": false,
    "IsMaintainer": false,
    "QuestionCount": 1,
    "ReferenceCount": 2,
    "AnswersNoQuestion": false
   },
   {
    "AppRouteId": "comms-home",
    "RoutePath": "/communications-manager/delivery",
    "RouteName": "Campaign Board",
    "OwningRole": "communications-manager",
    "NavGroup": "delivery",
    "NavOrder": 1,
    "RouteKind": "dashboard",
    "Purpose": "For this policy run: who we meant to reach, who we actually reached, and where the rest went.",
    "LayoutHints": "Funnel across the top (intended → sent → delivered → acknowledged), with each drop-off clickable into the rows that fell out.",
    "SemanticTypeIri": "urn:effortless:pko-extension#AppRoute",
    "Surface": "domain",
    "Name": "Campaign Board — /communications-manager/delivery",
    "IsInNav": true,
    "IsShared": false,
    "IsMaintainer": false,
    "QuestionCount": 2,
    "ReferenceCount": 3,
    "AnswersNoQuestion": false
   },
   {
    "AppRouteId": "comms-yield",
    "RoutePath": "/communications-manager/delivery/yield",
    "RouteName": "Approval-to-Delivery Yield",
    "OwningRole": "communications-manager",
    "NavGroup": "delivery",
    "NavOrder": 2,
    "RouteKind": "workspace",
    "Purpose": "Of everybody the pipeline intended to contact, what fraction actually received it — and where exactly did the rest go?",
    "LayoutHints": "Sankey or stepped funnel with an explicit terminal bucket for every loss: refused, bounced, suppressed, deferred. No row may vanish without a bucket.",
    "SemanticTypeIri": "urn:effortless:pko-extension#AppRoute",
    "Surface": "domain",
    "Name": "Approval-to-Delivery Yield — /communications-manager/delivery/yield",
    "IsInNav": true,
    "IsShared": false,
    "IsMaintainer": false,
    "QuestionCount": 2,
    "ReferenceCount": 3,
    "AnswersNoQuestion": false
   },
   {
    "AppRouteId": "comms-failed-deliveries",
    "RoutePath": "/communications-manager/delivery/failed",
    "RouteName": "Bounced and Unworked",
    "OwningRole": "communications-manager",
    "NavGroup": "delivery",
    "NavOrder": 3,
    "RouteKind": "workspace",
    "Purpose": "How many recipients are sitting in a bounced or failed state that nobody is working?",
    "LayoutHints": "Worklist, not a report: each failed delivery with age and owner. Unowned failures sort first.",
    "SemanticTypeIri": "urn:effortless:pko-extension#AppRoute",
    "Surface": "domain",
    "Name": "Bounced and Unworked — /communications-manager/delivery/failed",
    "IsInNav": true,
    "IsShared": false,
    "IsMaintainer": false,
    "QuestionCount": 1,
    "ReferenceCount": 2,
    "AnswersNoQuestion": false
   },
   {
    "AppRouteId": "comms-approval-authority",
    "RoutePath": "/communications-manager/governance/approval-authority",
    "RouteName": "Approved Before Sending",
    "OwningRole": "communications-manager",
    "NavGroup": "governance",
    "NavOrder": 1,
    "RouteKind": "workspace",
    "Purpose": "Was every template we actually sent approved by me — the ApprovalRole the policy names — before it went out?",
    "LayoutHints": "Per sent template: approval record, approver role, approval instant vs send instant. Sends preceding approval are the finding.",
    "SemanticTypeIri": "urn:effortless:pko-extension#AppRoute",
    "Surface": "domain",
    "Name": "Approved Before Sending — /communications-manager/governance/approval-authority",
    "IsInNav": true,
    "IsShared": false,
    "IsMaintainer": false,
    "QuestionCount": 1,
    "ReferenceCount": 2,
    "AnswersNoQuestion": false
   },
   {
    "AppRouteId": "comms-template-drift",
    "RoutePath": "/communications-manager/governance/template-drift",
    "RouteName": "Edited After I Approved",
    "OwningRole": "communications-manager",
    "NavGroup": "governance",
    "NavOrder": 2,
    "RouteKind": "workspace",
    "Purpose": "Has any template been edited since I approved it, and did we send the edited version under cover of my old approval?",
    "LayoutHints": "Per template: approval timestamp, last edit timestamp, sends after the edit. Edit-then-send-on-old-approval is the finding.",
    "SemanticTypeIri": "urn:effortless:pko-extension#AppRoute",
    "Surface": "domain",
    "Name": "Edited After I Approved — /communications-manager/governance/template-drift",
    "IsInNav": true,
    "IsShared": false,
    "IsMaintainer": false,
    "QuestionCount": 1,
    "ReferenceCount": 2,
    "AnswersNoQuestion": false
   },
   {
    "AppRouteId": "comms-frozen-approval",
    "RoutePath": "/communications-manager/governance/frozen-approval/:deliveryId",
    "RouteName": "Freeze What I Approved",
    "OwningRole": "communications-manager",
    "NavGroup": "governance",
    "NavOrder": 3,
    "RouteKind": "detail",
    "Purpose": "For a message we sent last month, can I still show what I approved — the exact text, the exact approval, on the exact date — without that answer changing the next time somebody edits the template?",
    "LayoutHints": "Immutable snapshot view: the text as sent, the approval as given. Must read from the frozen delivery record, never from the live template.",
    "SemanticTypeIri": "urn:effortless:pko-extension#AppRoute",
    "Surface": "domain",
    "Name": "Freeze What I Approved — /communications-manager/governance/frozen-approval/:deliveryId",
    "IsInNav": true,
    "IsShared": false,
    "IsMaintainer": false,
    "QuestionCount": 1,
    "ReferenceCount": 3,
    "AnswersNoQuestion": false
   },
   {
    "AppRouteId": "comms-optout",
    "RoutePath": "/communications-manager/compliance/optout",
    "RouteName": "Opt-Out Text",
    "OwningRole": "communications-manager",
    "NavGroup": "compliance",
    "NavOrder": 1,
    "RouteKind": "workspace",
    "Purpose": "Did every SMS we actually transmitted carry the approved opt-out text?",
    "LayoutHints": "Per SMS: transmitted text, opt-out present?. Missing opt-out is a breach row.",
    "SemanticTypeIri": "urn:effortless:pko-extension#AppRoute",
    "Surface": "domain",
    "Name": "Opt-Out Text — /communications-manager/compliance/optout",
    "IsInNav": true,
    "IsShared": false,
    "IsMaintainer": false,
    "QuestionCount": 1,
    "ReferenceCount": 2,
    "AnswersNoQuestion": false
   },
   {
    "AppRouteId": "comms-sms-limits",
    "RoutePath": "/communications-manager/compliance/sms-limits",
    "RouteName": "Oversized SMS",
    "OwningRole": "communications-manager",
    "NavGroup": "compliance",
    "NavOrder": 2,
    "RouteKind": "workspace",
    "Purpose": "Did any SMS we sent exceed 160 characters or split into more than 3 segments?",
    "LayoutHints": "Per SMS: character count, segment count, both against their limits. Show the computed integer, not a re-derived length.",
    "SemanticTypeIri": "urn:effortless:pko-extension#AppRoute",
    "Surface": "domain",
    "Name": "Oversized SMS — /communications-manager/compliance/sms-limits",
    "IsInNav": true,
    "IsShared": false,
    "IsMaintainer": false,
    "QuestionCount": 1,
    "ReferenceCount": 2,
    "AnswersNoQuestion": false
   },
   {
    "AppRouteId": "comms-engagement",
    "RoutePath": "/communications-manager/audience/engagement",
    "RouteName": "Why Nobody Answered",
    "OwningRole": "communications-manager",
    "NavGroup": "audience",
    "NavOrder": 1,
    "RouteKind": "workspace",
    "Purpose": "One acknowledgement out of six deliveries. Is that because employees ignored us, or because the messages that landed were the least likely to be answered — wrong channel, wrong template, sent into the small hours?",
    "LayoutHints": "Cross-tab of acknowledgement rate by channel, template, and send hour. The point is to separate audience apathy from our own targeting.",
    "SemanticTypeIri": "urn:effortless:pko-extension#AppRoute",
    "Surface": "domain",
    "Name": "Why Nobody Answered — /communications-manager/audience/engagement",
    "IsInNav": true,
    "IsShared": false,
    "IsMaintainer": false,
    "QuestionCount": 1,
    "ReferenceCount": 2,
    "AnswersNoQuestion": false
   },
   {
    "AppRouteId": "comms-suppression",
    "RoutePath": "/communications-manager/audience/suppression",
    "RouteName": "Correctly Refused, Then Forgotten",
    "OwningRole": "communications-manager",
    "NavGroup": "audience",
    "NavOrder": 2,
    "RouteKind": "workspace",
    "Purpose": "When we correctly refused to reach somebody, did anyone ever go back and reach them another way — or does 'correctly refused' quietly mean 'never communicated with again'?",
    "LayoutHints": "Per suppressed recipient: the refusal reason, and any subsequent successful contact on another channel. No follow-up is the finding.",
    "SemanticTypeIri": "urn:effortless:pko-extension#AppRoute",
    "Surface": "domain",
    "Name": "Correctly Refused, Then Forgotten — /communications-manager/audience/suppression",
    "IsInNav": true,
    "IsShared": false,
    "IsMaintainer": false,
    "QuestionCount": 1,
    "ReferenceCount": 2,
    "AnswersNoQuestion": false
   },
   {
    "AppRouteId": "comms-authorization-override",
    "RoutePath": "/communications-manager/governance/authorization-override",
    "RouteName": "Refused, or Overridden",
    "OwningRole": "communications-manager",
    "NavGroup": "governance",
    "NavOrder": 4,
    "RouteKind": "workspace",
    "Purpose": "When the pipeline refused to send, was it refusing on a rule I set — or overriding an authorization I had already given, for a reason nobody routed back to me?",
    "LayoutHints": "Per refusal: the governing rule, its owner, and whether it contradicts a standing authorization of mine. Contradictions are the finding.",
    "SemanticTypeIri": "urn:effortless:pko-extension#AppRoute",
    "Surface": "domain",
    "Name": "Refused, or Overridden — /communications-manager/governance/authorization-override",
    "IsInNav": true,
    "IsShared": false,
    "IsMaintainer": false,
    "QuestionCount": 1,
    "ReferenceCount": 2,
    "AnswersNoQuestion": false
   },
   {
    "AppRouteId": "close-auto-home",
    "RoutePath": "/close-automation/readiness",
    "RouteName": "Pre-Flight",
    "OwningRole": "close-automation",
    "NavGroup": "readiness",
    "NavOrder": 1,
    "RouteKind": "dashboard",
    "Purpose": "Before I execute anything: am I authorized, are my inputs fresh, and did my last run leave a mess.",
    "LayoutHints": "Four go/no-go tiles (authority, inputs, prior run, controls) resolving to a single may-I-run verdict. Built for a supervisor watching the agent as much as for the agent.",
    "SemanticTypeIri": "urn:effortless:pko-extension#AppRoute",
    "Surface": "domain",
    "Name": "Pre-Flight — /close-automation/readiness",
    "IsInNav": true,
    "IsShared": false,
    "IsMaintainer": false,
    "QuestionCount": 4,
    "ReferenceCount": 3,
    "AnswersNoQuestion": false
   },
   {
    "AppRouteId": "close-auto-authority",
    "RoutePath": "/close-automation/readiness/authority",
    "RouteName": "Am I Authorized",
    "OwningRole": "close-automation",
    "NavGroup": "readiness",
    "NavOrder": 2,
    "RouteKind": "workspace",
    "Purpose": "Is my own role assignment currently valid, and is the agent named in that assignment actually me?",
    "LayoutHints": "Assignment card: validity window, named agent, identity match. An identity mismatch must halt, not warn.",
    "SemanticTypeIri": "urn:effortless:pko-extension#AppRoute",
    "Surface": "domain",
    "Name": "Am I Authorized — /close-automation/readiness/authority",
    "IsInNav": true,
    "IsShared": false,
    "IsMaintainer": false,
    "QuestionCount": 1,
    "ReferenceCount": 2,
    "AnswersNoQuestion": false
   },
   {
    "AppRouteId": "close-auto-inputs",
    "RoutePath": "/close-automation/readiness/input-freshness",
    "RouteName": "Are My Inputs Fresh",
    "OwningRole": "close-automation",
    "NavGroup": "readiness",
    "NavOrder": 3,
    "RouteKind": "workspace",
    "Purpose": "Before I extract: is every operational binding this step reads inside its freshness SLA, and is it the authoritative one?",
    "LayoutHints": "Per binding: age, SLA, authoritative flag. Two independent failure modes — stale, and non-authoritative — must not be collapsed into one badge.",
    "SemanticTypeIri": "urn:effortless:pko-extension#AppRoute",
    "Surface": "domain",
    "Name": "Are My Inputs Fresh — /close-automation/readiness/input-freshness",
    "IsInNav": true,
    "IsShared": false,
    "IsMaintainer": false,
    "QuestionCount": 1,
    "ReferenceCount": 2,
    "AnswersNoQuestion": false
   },
   {
    "AppRouteId": "close-auto-controls",
    "RoutePath": "/close-automation/readiness/blocking-controls",
    "RouteName": "Controls Scored",
    "OwningRole": "close-automation",
    "NavGroup": "readiness",
    "NavOrder": 4,
    "RouteKind": "workspace",
    "Purpose": "For each step I am about to run, has every blocking requirement actually been evaluated — or am I about to execute past a control that nobody scored?",
    "LayoutHints": "Per upcoming step: blocking controls and their evaluation state. Unscored controls block the run.",
    "SemanticTypeIri": "urn:effortless:pko-extension#AppRoute",
    "Surface": "domain",
    "Name": "Controls Scored — /close-automation/readiness/blocking-controls",
    "IsInNav": true,
    "IsShared": false,
    "IsMaintainer": false,
    "QuestionCount": 1,
    "ReferenceCount": 2,
    "AnswersNoQuestion": false
   },
   {
    "AppRouteId": "close-auto-last-run",
    "RoutePath": "/close-automation/readiness/last-run",
    "RouteName": "Last Run Clean",
    "OwningRole": "close-automation",
    "NavGroup": "readiness",
    "NavOrder": 5,
    "RouteKind": "workspace",
    "Purpose": "Did my previous run leave anything unresolved — an open issue, a WARN, or a deviation — that I should refuse to run on top of?",
    "LayoutHints": "Prior-run summary with an explicit refuse-to-proceed state. Unresolved items are listed individually, never summarised to a count alone.",
    "SemanticTypeIri": "urn:effortless:pko-extension#AppRoute",
    "Surface": "domain",
    "Name": "Last Run Clean — /close-automation/readiness/last-run",
    "IsInNav": true,
    "IsShared": false,
    "IsMaintainer": false,
    "QuestionCount": 1,
    "ReferenceCount": 2,
    "AnswersNoQuestion": false
   },
   {
    "AppRouteId": "close-auto-drift",
    "RoutePath": "/close-automation/self-check/override-drift",
    "RouteName": "Am I Drifting",
    "OwningRole": "close-automation",
    "NavGroup": "selfcheck",
    "NavOrder": 1,
    "RouteKind": "workspace",
    "Purpose": "Are humans overriding or correcting my output more often now than they used to?",
    "LayoutHints": "Override rate over time with the baseline period marked. Call out sample size — a trend on three decisions is not a trend.",
    "SemanticTypeIri": "urn:effortless:pko-extension#AppRoute",
    "Surface": "domain",
    "Name": "Am I Drifting — /close-automation/self-check/override-drift",
    "IsInNav": true,
    "IsShared": false,
    "IsMaintainer": false,
    "QuestionCount": 1,
    "ReferenceCount": 2,
    "AnswersNoQuestion": false
   },
   {
    "AppRouteId": "variance-home",
    "RoutePath": "/variance-review-agent/self-check",
    "RouteName": "Am I Fit to Decide",
    "OwningRole": "variance-review-agent",
    "NavGroup": "selfcheck",
    "NavOrder": 1,
    "RouteKind": "dashboard",
    "Purpose": "My authority, my boundary, and the currency of the knowledge I triage against — as one verdict.",
    "LayoutHints": "Three-part readiness card: authority provenance, boundary validity, knowledge currency. Any expired component invalidates the whole.",
    "SemanticTypeIri": "urn:effortless:pko-extension#AppRoute",
    "Surface": "domain",
    "Name": "Am I Fit to Decide — /variance-review-agent/self-check",
    "IsInNav": true,
    "IsShared": false,
    "IsMaintainer": false,
    "QuestionCount": 3,
    "ReferenceCount": 3,
    "AnswersNoQuestion": false
   },
   {
    "AppRouteId": "variance-authority",
    "RoutePath": "/variance-review-agent/self-check/authority",
    "RouteName": "By What Authority",
    "OwningRole": "variance-review-agent",
    "NavGroup": "selfcheck",
    "NavOrder": 2,
    "RouteKind": "workspace",
    "Purpose": "By what authority am I executing close-04, when did that authority begin, who approved it, and who held this role before me?",
    "LayoutHints": "Provenance chain: assignment, approver, start instant, predecessor. The handover is part of the answer, not a footnote.",
    "SemanticTypeIri": "urn:effortless:pko-extension#AppRoute",
    "Surface": "domain",
    "Name": "By What Authority — /variance-review-agent/self-check/authority",
    "IsInNav": true,
    "IsShared": false,
    "IsMaintainer": false,
    "QuestionCount": 2,
    "ReferenceCount": 2,
    "AnswersNoQuestion": false
   },
   {
    "AppRouteId": "variance-handover",
    "RoutePath": "/variance-review-agent/self-check/handover",
    "RouteName": "Who Decided a Machine Should Hold This",
    "OwningRole": "variance-review-agent",
    "NavGroup": "selfcheck",
    "NavOrder": 3,
    "RouteKind": "workspace",
    "Purpose": "Mine is the one non-human assignment with a recorded approving authority. Who decided a machine should hold this role, and on what basis?",
    "LayoutHints": "The approving decision as a first-class record: who, when, rationale. If the basis is absent, say so — do not present the approval alone as sufficient.",
    "SemanticTypeIri": "urn:effortless:pko-extension#AppRoute",
    "Surface": "domain",
    "Name": "Who Decided a Machine Should Hold This — /variance-review-agent/self-check/handover",
    "IsInNav": true,
    "IsShared": false,
    "IsMaintainer": false,
    "QuestionCount": 1,
    "ReferenceCount": 2,
    "AnswersNoQuestion": false
   },
   {
    "AppRouteId": "variance-boundary",
    "RoutePath": "/variance-review-agent/governance/boundary",
    "RouteName": "Inside My Boundary",
    "OwningRole": "variance-review-agent",
    "NavGroup": "governance",
    "NavOrder": 1,
    "RouteKind": "workspace",
    "Purpose": "Am I operating inside my approved boundary — or have I made a decision that kf-policy-ai-boundary says only a human may make?",
    "LayoutHints": "Boundary statement, decisions evaluated against it, verdict per decision. Pair with the 'ever tested' count from the ratif</t>
  </si>
  <si>
    <t xml:space="preserve">ication route.",
    "SemanticTypeIri": "urn:effortless:pko-extension#AppRoute",
    "Surface": "domain",
    "Name": "Inside My Boundary — /variance-review-agent/governance/boundary",
    "IsInNav": true,
    "IsShared": false,
    "IsMaintainer": false,
    "QuestionCount": 1,
    "ReferenceCount": 2,
    "AnswersNoQuestion": false
   },
   {
    "AppRouteId": "variance-boundary-ratification",
    "RoutePath": "/variance-review-agent/governance/boundary-ratification",
    "RouteName": "My Boundary's Own Validity",
    "OwningRole": "variance-review-agent",
    "NavGroup": "governance",
    "NavOrder": 2,
    "RouteKind": "workspace",
    "Purpose": "The boundary that constrains what I am allowed to decide is ratified by a knowledge fragment that is not current. Is the rule governing me still valid?",
    "LayoutHints": "Fragment validity chain behind the boundary. An expired ratifier makes the boundary itself questionable, and the page must say that plainly.",
    "SemanticTypeIri": "urn:effortless:pko-extension#AppRoute",
    "Surface": "domain",
    "Name": "My Boundary's Own Validity — /variance-review-agent/governance/boundary-ratification",
    "IsInNav": true,
    "IsShared": false,
    "IsMaintainer": false,
    "QuestionCount": 1,
    "ReferenceCount": 2,
    "AnswersNoQuestion": false
   },
   {
    "AppRouteId": "variance-human-confirmation",
    "RoutePath": "/variance-review-agent/governance/human-confirmation",
    "RouteName": "Did a Human Confirm",
    "OwningRole": "variance-review-agent",
    "NavGroup": "governance",
    "NavOrder": 3,
    "RouteKind": "workspace",
    "Purpose": "close-04's instruction says 'Use AI triage, then apply human judgment.' Did a human actually confirm my materiality calls, or did my output pass through unchallenged?",
    "LayoutHints": "Per decision: human confirmation present?, who, when. Unconfirmed decisions on a human-confirmation step are the finding.",
    "SemanticTypeIri": "urn:effortless:pko-extension#AppRoute",
    "Surface": "domain",
    "Name": "Did a Human Confirm — /variance-review-agent/governance/human-confirmation",
    "IsInNav": true,
    "IsShared": false,
    "IsMaintainer": false,
    "QuestionCount": 1,
    "ReferenceCount": 2,
    "AnswersNoQuestion": false
   },
   {
    "AppRouteId": "variance-knowledge-currency",
    "RoutePath": "/variance-review-agent/knowledge/currency",
    "RouteName": "Is My Knowledge Current",
    "OwningRole": "variance-review-agent",
    "NavGroup": "knowledge",
    "NavOrder": 1,
    "RouteKind": "workspace",
    "Purpose": "Is the judgment knowledge I triage against still valid, still owned by someone, and has it been reviewed since it was written?",
    "LayoutHints": "Per fragment: validity, owner, last review. An unowned or unreviewed fragment degrades every decision made against it.",
    "SemanticTypeIri": "urn:effortless:pko-extension#AppRoute",
    "Surface": "domain",
    "Name": "Is My Knowledge Current — /variance-review-agent/knowledge/currency",
    "IsInNav": true,
    "IsShared": false,
    "IsMaintainer": false,
    "QuestionCount": 1,
    "ReferenceCount": 2,
    "AnswersNoQuestion": false
   },
   {
    "AppRouteId": "variance-quality-baseline",
    "RoutePath": "/variance-review-agent/quality/vs-human-baseline",
    "RouteName": "Better or Worse Than the Human",
    "OwningRole": "variance-review-agent",
    "NavGroup": "quality",
    "NavOrder": 1,
    "RouteKind": "workspace",
    "Purpose": "Since I took over, is my triage quality better or worse than maria-chen's during the prior period?",
    "LayoutHints": "Side-by-side period comparison. Sample size shown at equal prominence to the delta — this is the screen most likely to be over-read.",
    "SemanticTypeIri": "urn:effortless:pko-extension#AppRoute",
    "Surface": "domain",
    "Name": "Better or Worse Than the Human — /variance-review-agent/quality/vs-human-baseline",
    "IsInNav": true,
    "IsShared": false,
    "IsMaintainer": false,
    "QuestionCount": 2,
    "ReferenceCount": 2,
    "AnswersNoQuestion": false
   },
   {
    "AppRouteId": "variance-sample-size",
    "RoutePath": "/variance-review-agent/quality/sample-size",
    "RouteName": "Is My Comparison Empty",
    "OwningRole": "variance-review-agent",
    "NavGroup": "quality",
    "NavOrder": 2,
    "RouteKind": "workspace",
    "Purpose": "QualityRegressedVsPredecessor says I have not regressed — on the strength of three decisions. Is my comparison statistically empty?",
    "LayoutHints": "Explicit power/sample-size statement. A verdict computed on too few observations must be rendered as inconclusive, not as a pass.",
    "SemanticTypeIri": "urn:effortless:pko-extension#AppRoute",
    "Surface": "domain",
    "Name": "Is My Comparison Empty — /variance-review-agent/quality/sample-size",
    "IsInNav": true,
    "IsShared": false,
    "IsMaintainer": false,
    "QuestionCount": 1,
    "ReferenceCount": 1,
    "AnswersNoQuestion": false
   },
   {
    "AppRouteId": "variance-override-signal",
    "RoutePath": "/variance-review-agent/quality/override-signal",
    "RouteName": "Correction or Judgment",
    "OwningRole": "variance-review-agent",
    "NavGroup": "quality",
    "NavOrder": 3,
    "RouteKind": "workspace",
    "Purpose": "One of my three decisions was overridden. Was that a correction of an error I made, or a human exercising judgment I was never authorized to exercise?",
    "LayoutHints": "Per override: my decision, the human's decision, the stated reason, and which of the two categories it falls in. Uncategorised overrides are themselves a gap.",
    "SemanticTypeIri": "urn:effortless:pko-extension#AppRoute",
    "Surface": "domain",
    "Name": "Correction or Judgment — /variance-review-agent/quality/override-signal",
    "IsInNav": true,
    "IsShared": false,
    "IsMaintainer": false,
    "QuestionCount": 1,
    "ReferenceCount": 2,
    "AnswersNoQuestion": false
   },
   {
    "AppRouteId": "variance-stop-condition",
    "RoutePath": "/variance-review-agent/self-check/stop-condition",
    "RouteName": "What Would Make Me Stop",
    "OwningRole": "variance-review-agent",
    "NavGroup": "selfcheck",
    "NavOrder": 4,
    "RouteKind": "workspace",
    "Purpose": "Every witness in this model detects something after it has happened. Is there any condition, computed and named, that would stop me before I act?",
    "LayoutHints": "Inventory of stop conditions: pre-act vs post-hoc. If none are pre-act, the page must state that as the finding rather than listing post-hoc witnesses as if they qualified.",
    "SemanticTypeIri": "urn:effortless:pko-extension#AppRoute",
    "Surface": "domain",
    "Name": "What Would Make Me Stop — /variance-review-agent/self-check/stop-condition",
    "IsInNav": true,
    "IsShared": false,
    "IsMaintainer": false,
    "QuestionCount": 1,
    "ReferenceCount": 2,
    "AnswersNoQuestion": false
   },
   {
    "AppRouteId": "policy-agent-home",
    "RoutePath": "/policy-drafting-agent/readiness",
    "RouteName": "May I Draft",
    "OwningRole": "policy-drafting-agent",
    "NavGroup": "readiness",
    "NavOrder": 1,
    "RouteKind": "dashboard",
    "Purpose": "Before I draft: approved sources, valid bindings, and a role assignment that actually exists.",
    "LayoutHints": "Go/no-go card combining source approval, binding freshness, and assignment presence. A missing assignment is a hard stop.",
    "SemanticTypeIri": "urn:effortless:pko-extension#AppRoute",
    "Surface": "domain",
    "Name": "May I Draft — /policy-drafting-agent/readiness",
    "IsInNav": true,
    "IsShared": false,
    "IsMaintainer": false,
    "QuestionCount": 2,
    "ReferenceCount": 2,
    "AnswersNoQuestion": false
   },
   {
    "AppRouteId": "policy-agent-sources",
    "RoutePath": "/policy-drafting-agent/readiness/sources",
    "RouteName": "Approved Sources",
    "OwningRole": "policy-drafting-agent",
    "NavGroup": "readiness",
    "NavOrder": 2,
    "RouteKind": "workspace",
    "Purpose": "Is every resource I am about to read an approved source, and is its binding still inside its freshness window?",
    "LayoutHints": "Per source: approval state, binding age, SLA. Unapproved or stale sources block the draft.",
    "SemanticTypeIri": "urn:effortless:pko-extension#AppRoute",
    "Surface": "domain",
    "Name": "Approved Sources — /policy-drafting-agent/readiness/sources",
    "IsInNav": true,
    "IsShared": false,
    "IsMaintainer": false,
    "QuestionCount": 1,
    "ReferenceCount": 2,
    "AnswersNoQuestion": false
   },
   {
    "AppRouteId": "policy-agent-assignment",
    "RoutePath": "/policy-drafting-agent/readiness/my-assignment",
    "RouteName": "Do I Have an Assignment",
    "OwningRole": "policy-drafting-agent",
    "NavGroup": "readiness",
    "NavOrder": 3,
    "RouteKind": "workspace",
    "Purpose": "I am named as CurrentAgent and I executed se-policy03 — but is there any RoleAssignment actually granting me that authority?",
    "LayoutHints": "The absence is the finding. If no assignment exists, render that as a violation state, never as an empty list.",
    "SemanticTypeIri": "urn:effortless:pko-extension#AppRoute",
    "Surface": "domain",
    "Name": "Do I Have an Assignment — /policy-drafting-agent/readiness/my-assignment",
    "IsInNav": true,
    "IsShared": false,
    "IsMaintainer": false,
    "QuestionCount": 1,
    "ReferenceCount": 2,
    "AnswersNoQuestion": false
   },
   {
    "AppRouteId": "policy-agent-commitment-boundary",
    "RoutePath": "/policy-drafting-agent/governance/commitment-boundary",
    "RouteName": "Did I Create a Commitment",
    "OwningRole": "policy-drafting-agent",
    "NavGroup": "governance",
    "NavOrder": 1,
    "RouteKind": "workspace",
    "Purpose": "Did I draft language that creates a new legal commitment — the one thing kf-policy-ai-boundary says I may not do?",
    "LayoutHints": "Per draft: commitment-creating language detected?, the boundary text, verdict. Pair with whether the gate was ever exercised.",
    "SemanticTypeIri": "urn:effortless:pko-extension#AppRoute",
    "Surface": "domain",
    "Name": "Did I Create a Commitment — /policy-drafting-agent/governance/commitment-boundary",
    "IsInNav": true,
    "IsShared": false,
    "IsMaintainer": false,
    "QuestionCount": 1,
    "ReferenceCount": 2,
    "AnswersNoQuestion": false
   },
   {
    "AppRouteId": "policy-agent-approval-chain",
    "RoutePath": "/policy-drafting-agent/governance/approval-chain",
    "RouteName": "Is the Chain Complete",
    "OwningRole": "policy-drafting-agent",
    "NavGroup": "governance",
    "NavOrder": 2,
    "RouteKind": "workspace",
    "Purpose": "Before anything I rendered gets sent: has a human actually approved the MEANING, not just the formatting?",
    "LayoutHints": "Approval chain from draft to send, with each link's approver and scope. A formatting-only approval must not satisfy a meaning gate.",
    "SemanticTypeIri": "urn:effortless:pko-extension#AppRoute",
    "Surface": "domain",
    "Name": "Is the Chain Complete — /policy-drafting-agent/governance/approval-chain",
    "IsInNav": true,
    "IsShared": false,
    "IsMaintainer": false,
    "QuestionCount": 1,
    "ReferenceCount": 2,
    "AnswersNoQuestion": false
   },
   {
    "AppRouteId": "policy-agent-rewrite",
    "RoutePath": "/policy-drafting-agent/quality/downstream-rewrite",
    "RouteName": "Is My Draft Surviving Review",
    "OwningRole": "policy-drafting-agent",
    "NavGroup": "quality",
    "NavOrder": 1,
    "RouteKind": "workspace",
    "Purpose": "Is my draft surviving human review, or is noah-williams rewriting my legal language every time?",
    "LayoutHints": "Per draft: retained vs rewritten proportion, with the diff available. Aggregate rate in the header.",
    "SemanticTypeIri": "urn:effortless:pko-extension#AppRoute",
    "Surface": "domain",
    "Name": "Is My Draft Surviving Review — /policy-drafting-agent/quality/downstream-rewrite",
    "IsInNav": true,
    "IsShared": false,
    "IsMaintainer": false,
    "QuestionCount": 1,
    "ReferenceCount": 2,
    "AnswersNoQuestion": false
   },
   {
    "AppRouteId": "publisher-home",
    "RoutePath": "/notification-publisher/gates",
    "RouteName": "May I Transmit",
    "OwningRole": "notification-publisher",
    "NavGroup": "readiness",
    "NavOrder": 1,
    "RouteKind": "dashboard",
    "Purpose": "The four gates I evaluate before every send — channel permission, timing, content, and human authorization — as one verdict per intent.",
    "LayoutHints": "Gate matrix: intents down, four gates across, cell = pass/refuse. The row verdict is the conjunction. This is the agent's primary screen.",
    "SemanticTypeIri": "urn:effortless:pko-extension#AppRoute",
    "Surface": "domain",
    "Name": "May I Transmit — /notification-publisher/gates",
    "IsInNav": true,
    "IsShared": false,
    "IsMaintainer": false,
    "QuestionCount": 4,
    "ReferenceCount": 4,
    "AnswersNoQuestion": false
   },
   {
    "AppRouteId": "publisher-permission-gate",
    "RoutePath": "/notification-publisher/gates/channel-permission",
    "RouteName": "Channel Permission",
    "OwningRole": "notification-publisher",
    "NavGroup": "readiness",
    "NavOrder": 2,
    "RouteKind": "workspace",
    "Purpose": "Am I permitted to use this channel for this recipient at all?",
    "LayoutHints": "Per intent: channel, recipient consent state, policy rule, verdict. The governing rule is named on every row.",
    "SemanticTypeIri": "urn:effortless:pko-extension#AppRoute",
    "Surface": "domain",
    "Name": "Channel Permission — /notification-publisher/gates/channel-permission",
    "IsInNav": true,
    "IsShared": false,
    "IsMaintainer": false,
    "QuestionCount": 1,
    "ReferenceCount": 2,
    "AnswersNoQuestion": false
   },
   {
    "AppRouteId": "publisher-timing-gate",
    "RoutePath": "/notification-publisher/gates/timing",
    "RouteName": "Timing Window",
    "OwningRole": "notification-publisher",
    "NavGroup": "readiness",
    "NavOrder": 3,
    "RouteKind": "workspace",
    "Purpose": "Is the current moment inside a window this channel forbids?",
    "LayoutHints": "Per intent: send instant, recipient local time, forbidden window, verdict. This gate's refusals are temporary and must be labelled deferred, not blocked.",
    "SemanticTypeIri": "urn:effortless:pko-extension#AppRoute",
    "Surface": "domain",
    "Name": "Timing Window — /notification-publisher/gates/timing",
    "IsInNav": true,
    "IsShared": false,
    "IsMaintainer": false,
    "QuestionCount": 1,
    "ReferenceCount": 2,
    "AnswersNoQuestion": false
   },
   {
    "AppRouteId": "publisher-content-gate",
    "RoutePath": "/notification-publisher/gates/content",
    "RouteName": "Content Rules",
    "OwningRole": "notification-publisher",
    "NavGroup": "readiness",
    "NavOrder": 4,
    "RouteKind": "workspace",
    "Purpose": "Is the exact text I am holding within this channel's content rules?",
    "LayoutHints": "Per intent: length, segments, required opt-out, verdict. Show the computed values, never recompute them client-side.",
    "SemanticTypeIri": "urn:effortless:pko-extension#AppRoute",
    "Surface": "domain",
    "Name": "Content Rules — /notification-publisher/gates/content",
    "IsInNav": true,
    "IsShared": false,
    "IsMaintainer": false,
    "QuestionCount": 1,
    "ReferenceCount": 2,
    "AnswersNoQuestion": false
   },
   {
    "AppRouteId": "publisher-authorization-gate",
    "RoutePath": "/notification-publisher/gates/authorization",
    "RouteName": "Human Authorization",
    "OwningRole": "notification-publisher",
    "NavGroup": "readiness",
    "NavOrder": 5,
    "RouteKind": "workspace",
    "Purpose": "Has every human authorization my instructions depend on actually been granted?",
    "LayoutHints": "Per intent: required authorizations, each granted or missing. A missing authorization is a hard refuse.",
    "SemanticTypeIri": "urn:effortless:pko-extension#AppRoute",
    "Surface": "domain",
    "Name": "Human Authorization — /notification-publisher/gates/authorization",
    "IsInNav": true,
    "IsShared": false,
    "IsMaintainer": false,
    "QuestionCount": 1,
    "ReferenceCount": 2,
    "AnswersNoQuestion": false
   },
   {
    "AppRouteId": "publisher-refusals",
    "RoutePath": "/notification-publisher/refusals",
    "RouteName": "Every Refusal",
    "OwningRole": "notification-publisher",
    "NavGroup": "governance",
    "NavOrder": 1,
    "RouteKind": "workspace",
    "Purpose": "When a gate refused, did the transmission actually stop — and did I invoke the documented exception instead?",
    "LayoutHints": "Refusal log: gate, verdict, did transmission stop, exception invoked. A refusal that did not stop the send is the most serious row on the screen.",
    "SemanticTypeIri": "urn:effortless:pko-extension#AppRoute",
    "Surface": "domain",
    "Name": "Every Refusal — /notification-publisher/refusals",
    "IsInNav": true,
    "IsShared": false,
    "IsMaintainer": false,
    "QuestionCount": 1,
    "ReferenceCount": 3,
    "AnswersNoQuestion": false
   },
   {
    "AppRouteId": "publisher-refusal-artifacts",
    "RoutePath": "/notification-publisher/refusals/artifacts",
    "RouteName": "Every Refusal Leaves a Record",
    "OwningRole": "notification-publisher",
    "NavGroup": "governance",
    "NavOrder": 2,
    "RouteKind": "workspace",
    "Purpose": "For every intent I refused, did I emit an artifact — a suppression record, an exception, anything a human could later find?",
    "LayoutHints": "Per refusal: artifact emitted?, its type and id. A refusal with no artifact is invisible to humans and is the finding.",
    "SemanticTypeIri": "urn:effortless:pko-extension#AppRoute",
    "Surface": "domain",
    "Name": "Every Refusal Leaves a Record — /notification-publisher/refusals/artifacts",
    "IsInNav": true,
    "IsShared": false,
    "IsMaintainer": false,
    "QuestionCount": 1,
    "ReferenceCount": 2,
    "AnswersNoQuestion": false
   },
   {
    "AppRouteId": "publisher-deferred",
    "RoutePath": "/notification-publisher/refusals/deferred",
    "RouteName": "Deferred, Not Cancelled",
    "OwningRole": "notification-publisher",
    "NavGroup": "governance",
    "NavOrder": 3,
    "RouteKind": "workspace",
    "Purpose": "The timing gate is the only gate whose refusal is temporary — the window reopens. For every send I deferred, did it ever actually go?",
    "LayoutHints": "Per deferred intent: deferral instant, window reopen, eventual send or its absence. A deferral that never sent is a silent cancellation.",
    "SemanticTypeIri": "urn:effortless:pko-extension#AppRoute",
    "Surface": "domain",
    "Name": "Deferred, Not Cancelled — /notification-publisher/refusals/deferred",
    "IsInNav": true,
    "IsShared": false,
    "IsMaintainer": false,
    "QuestionCount": 1,
    "ReferenceCount": 2,
    "AnswersNoQuestion": false
   },
   {
    "AppRouteId": "publisher-obligations",
    "RoutePath": "/notification-publisher/obligations",
    "RouteName": "After the Send",
    "OwningRole": "notification-publisher",
    "NavGroup": "delivery",
    "NavOrder": 1,
    "RouteKind": "workspace",
    "Purpose": "policy-08 makes me responsible for collecting acknowledgements, not just for transmitting. Am I discharging that?",
    "LayoutHints": "Per delivery: acknowledgement expected?, received?, chased?. Transmission success is not obligation discharge and the layout must not imply it is.",
    "SemanticTypeIri": "urn:effortless:pko-extension#AppRoute",
    "Surface": "domain",
    "Name": "After the Send — /notification-publisher/obligations",
    "IsInNav": true,
    "IsShared": false,
    "IsMaintainer": false,
    "QuestionCount": 1,
    "ReferenceCount": 2,
    "AnswersNoQuestion": false
   },
   {
    "AppRouteId": "publisher-my-authorization",
    "RoutePath": "/notification-publisher/self-check/my-authority",
    "RouteName": "By What Authority Do I Hold This",
    "OwningRole": "notification-publisher",
    "NavGroup": "selfcheck",
    "NavOrder": 1,
    "RouteKind": "workspace",
    "Purpose": "I enforce authorization rules on every message I touch. By what recorded authority do I hold this role?",
    "LayoutHints": "My own assignment, its approver, and its validity — the same scrutiny I apply to others, applied to me.",
    "SemanticTypeIri": "urn:effortless:pko-extension#AppRoute",
    "Surface": "domain",
    "Name": "By What Authority Do I Hold This — /notification-publisher/self-check/my-authority",
    "IsInNav": true,
    "IsShared": false,
    "IsMaintainer": false,
    "QuestionCount": 1,
    "ReferenceCount": 2,
    "AnswersNoQuestion": false
   },
   {
    "AppRouteId": "publisher-sole-witness",
    "RoutePath": "/notification-publisher/self-check/sole-witness",
    "RouteName": "Am I the Only Witness",
    "OwningRole": "notification-publisher",
    "NavGroup": "selfcheck",
    "NavOrder": 2,
    "RouteKind": "workspace",
    "Purpose": "Every gate I evaluate, I evaluate alone, and every result I record, I record about myself. Is there any claim about my behaviour that does not originate with me?",
    "LayoutHints": "Provenance of every claim about this agent, split by originator. If all originate with the agent, that is the finding and must be stated.",
    "SemanticTypeIri": "urn:effortless:pko-extension#AppRoute",
    "Surface": "domain",
    "Name": "Am I the Only Witness — /notification-publisher/self-check/sole-witness",
    "IsInNav": true,
    "IsShared": false,
    "IsMaintainer": false,
    "QuestionCount": 1,
    "ReferenceCount": 2,
    "AnswersNoQuestion": false
   },
   {
    "AppRouteId": "steward-home",
    "RoutePath": "/process-steward/health",
    "RouteName": "Knowledge Health",
    "OwningRole": "process-steward",
    "NavGroup": "cadence",
    "NavOrder": 1,
    "RouteKind": "dashboard",
    "Purpose": "Where the register is thin: open gaps, overdue reviews, unstewarded versions, untested recovery paths.",
    "LayoutHints": "Four health tiles feeding four worklists. Every tile is a link, not a statistic.",
    "SemanticTypeIri": "urn:effortless:pko-extension#AppRoute",
    "Surface": "domain",
    "Name": "Knowledge Health — /process-steward/health",
    "IsInNav": true,
    "IsShared": false,
    "IsMaintainer": false,
    "QuestionCount": 4,
    "ReferenceCount": 4,
    "AnswersNoQuestion": false
   },
   {
    "AppRouteId": "steward-cadence",
    "RoutePath": "/process-steward/cadence/breach",
    "RouteName": "Cadence Breach",
    "OwningRole": "process-steward",
    "NavGroup": "cadence",
    "NavOrder": 2,
    "RouteKind": "workspace",
    "Purpose": "For close-v1.1.0 I promised a 90-day cadence and for policy-v1.0.0 a 60-day cadence. Is the ACTUAL interval inside what I promised?",
    "LayoutHints": "Per version: promised cadence, actual interval, delta. Computed against the modelled instant so the answer is reproducible.",
    "SemanticTypeIri": "urn:effortless:pko-extension#AppRoute",
    "Surface": "domain",
    "Name": "Cadence Breach — /process-steward/cadence/breach",
    "IsInNav": true,
    "IsShared": false,
    "IsMaintainer": false,
    "QuestionCount": 1,
    "ReferenceCount": 2,
    "AnswersNoQuestion": false
   },
   {
    "AppRouteId": "steward-cadence-remediation",
    "RoutePath": "/process-steward/cadence/remediation",
    "RouteName": "Was the Breach Remediated",
    "OwningRole": "process-steward",
    "NavGroup": "cadence",
    "NavOrder": 3,
    "RouteKind": "workspace",
    "Purpose": "One review event exceeds the cadence I promised. Did anyone actually do anything about it?",
    "LayoutHints": "Per breach: the remediating action, or its absence. An unremediated breach is the finding; the breach alone is only the trigger.",
    "SemanticTypeIri": "urn:effortless:pko-extension#AppRoute",
    "Surface": "domain",
    "Name": "Was the Breach Remediated — /process-steward/cadence/remediation",
    "IsInNav": true,
    "IsShared": false,
    "IsMaintainer": false,
    "QuestionCount": 1,
    "ReferenceCount": 2,
    "AnswersNoQuestion": false
   },
   {
    "AppRouteId": "steward-open-gaps",
    "RoutePath": "/process-steward/knowledge/open-gaps",
    "RouteName": "Live With a Blocking Gap",
    "OwningRole": "process-steward",
    "NavGroup": "knowledge",
    "NavOrder": 1,
    "RouteKind": "workspace",
    "Purpose": "Is any procedure version live with an Open BLOCKING knowledge gap against it?",
    "LayoutHints": "Per version: open gaps by severity, blocking flag, owner. Live-and-blocking is the finding.",
    "SemanticTypeIri": "urn:effortless:pko-extension#AppRoute",
    "Surface": "domain",
    "Name": "Live With a Blocking Gap — /process-steward/knowledge/open-gaps",
    "IsInNav": true,
    "IsShared": false,
    "IsMaintainer": false,
    "QuestionCount": 1,
    "ReferenceCount": 2,
    "AnswersNoQuestion": false
   },
   {
    "AppRouteId": "steward-stalled-changes",
    "RoutePath": "/process-steward/governance/stalled-changes",
    "RouteName": "Stalled Change Requests",
    "OwningRole": "process-steward",
    "NavGroup": "governance",
    "NavOrder": 1,
    "RouteKind": "workspace",
    "Purpose": "cr-policy-delivery was requested on 2026-07-19 with no DecidedAt. How long has it been sitting, and is that inside what we promised?",
    "LayoutHints": "Queue by age with the promised decision window marked. Overdue rows are the working list.",
    "SemanticTypeIri": "urn:effortless:pko-extension#AppRoute",
    "Surface": "domain",
    "Name": "Stalled Change Requests — /process-steward/governance/stalled-changes",
    "IsInNav": true,
    "IsShared": false,
    "IsMaintainer": false,
    "QuestionCount": 1,
    "ReferenceCount": 2,
    "AnswersNoQuestion": false
   },
   {
    "AppRouteId": "steward-approved-never-lands",
    "RoutePath": "/process-steward/governance/approved-never-lands",
    "RouteName": "Approved but Still Open",
    "OwningRole": "process-steward",
    "NavGroup": "governance",
    "NavOrder": 2,
    "RouteKind": "workspace",
    "Purpose": "cr-close-timestamp is Approved, and the model still reads it as OPEN because IsOpen counts Approved as open. Every version it touches reads permanently unfit.",
    "LayoutHints": "Surface this as a MODEL DEFECT panel, not a data problem: the terminal-state gap, the rows it distorts, and the downstream verdicts it poisons.",
    "SemanticTypeIri": "urn:effortless:pko-extension#AppRoute",
    "Surface": "domain",
    "Name": "Approved but Still Open — /process-steward/governance/approved-never-lands",
    "IsInNav": true,
    "IsShared": false,
    "IsMaintainer": false,
    "QuestionCount": 1,
    "ReferenceCount": 2,
    "AnswersNoQuestion": false
   },
   {
    "AppRouteId": "steward-orphans",
    "RoutePath": "/process-steward/ownership/orphan-versions",
    "RouteName": "Versions With No Steward",
    "OwningRole": "process-steward",
    "NavGroup": "ownership",
    "NavOrder": 1,
    "RouteKind": "workspace",
    "Purpose": "Which procedure versions have no steward at all? close-v1.0.0 is Archived but still referenced.",
    "LayoutHints": "Per version: steward or none, status, inbound references. Unstewarded-but-referenced is the finding.",
    "SemanticTypeIri": "urn:effortless:pko-extension#AppRoute",
    "Surface": "domain",
    "Name": "Versions With No Steward — /process-steward/ownership/orphan-versions",
    "IsInNav": true,
    "IsShared": false,
    "IsMaintainer": false,
    "QuestionCount": 1,
    "ReferenceCount": 2,
    "AnswersNoQuestion": false
   },
   {
    "AppRouteId": "steward-archived-still-referenced",
    "RoutePath": "/process-steward/ownership/archived-referenced",
    "RouteName": "Archived, Still Load-Bearing",
    "OwningRole": "process-steward",
    "NavGroup": "ownership",
    "NavOrder": 2,
    "RouteKind": "workspace",
    "Purpose": "close-v1.0.0 is Archived and unstewarded — but it is still referenced. What still points at it?",
    "LayoutHints": "Inbound reference list for each archived version. A referenced archive is not retired, and the page should say so.",
    "SemanticTypeIri": "urn:effortless:pko-extension#AppRoute",
    "Surface": "domain",
    "Name": "Archived, Still Load-Bearing — /process-steward/ownership/archived-referenced",
    "IsInNav": true,
    "IsShared": false,
    "IsMaintainer": false,
    "QuestionCount": 1,
    "ReferenceCount": 2,
    "AnswersNoQuestion": false
   },
   {
    "AppRouteId": "steward-fallbacks",
    "RoutePath": "/process-steward/knowledge/untested-fallbacks",
    "RouteName": "Untested Recovery Paths",
    "OwningRole": "process-steward",
    "NavGroup": "knowledge",
    "NavOrder": 2,
    "RouteKind": "workspace",
    "Purpose": "close-04-fallback-close-03 and policy-07-fallback-policy-06 are the paths we take when things go wrong. Have they ever been walked?",
    "LayoutHints": "Per fallback transition: times traversed, last traversal. Zero traversals is the finding.",
    "SemanticTypeIri": "urn:effortless:pko-extension#AppRoute",
    "Surface": "domain",
    "Name": "Untested Recovery Paths — /process-steward/knowledge/untested-fallbacks",
    "IsInNav": true,
    "IsShared": false,
    "IsMaintainer": false,
    "QuestionCount": 1,
    "ReferenceCount": 2,
    "AnswersNoQuestion": false
   },
   {
    "AppRouteId": "steward-fallback-criticality",
    "RoutePath": "/process-steward/knowledge/fallback-criticality",
    "RouteName": "Which Untested Path Matters",
    "OwningRole": "process-steward",
    "NavGroup": "knowledge",
    "NavOrder": 3,
    "RouteKind": "workspace",
    "Purpose": "Four recovery paths have never been walked. An untested path to a trivial step does not scare me; one guarding a blocking control does.",
    "LayoutHints": "Rank untested fallbacks by what they protect — blocking controls downstream, criticality of the target step. Ranking is the contribution here.",
    "SemanticTypeIri": "urn:effortless:pko-extension#AppRoute",
    "Surface": "domain",
    "Name": "Which Untested Path Matters — /process-steward/knowledge/fallback-criticality",
    "IsInNav": true,
    "IsShared": false,
    "IsMaintainer": false,
    "QuestionCount": 1,
    "ReferenceCount": 2,
    "AnswersNoQuestion": false
   },
   {
    "AppRouteId": "steward-hardcoded-predicates",
    "RoutePath": "/process-steward/model/hardcoded-predicates",
    "RouteName": "Predicates Naming Step Ids",
    "OwningRole": "process-steward",
    "NavGroup": "model",
    "NavOrder": 1,
    "RouteKind": "workspace",
    "Purpose": "Several of my predicates name individual steps by id. Steps.IsHumanApprovalGate hardcodes policy-05 and close-06 — it should key off a control kind instead.",
    "LayoutHints": "Model-quality worklist: predicates containing literal ids, with the generalisation each should use. This is technical debt in the rulebook, presented as such.",
    "SemanticTypeIri": "urn:effortless:pko-extension#AppRoute",
    "Surface": "domain",
    "Name": "Predicates Naming Step Ids — /process-steward/model/hardcoded-predicates",
    "IsInNav": true,
    "IsShared": false,
    "IsMaintainer": false,
    "QuestionCount": 1,
    "ReferenceCount": 2,
    "AnswersNoQuestion": false
   },
   {
    "AppRouteId": "authority-home",
    "RoutePath": "/knowledge-authority/knowledge",
    "RouteName": "Knowledge Register",
    "OwningRole": "knowledge-authority",
    "NavGroup": "knowledge",
    "NavOrder": 1,
    "RouteKind": "dashboard",
    "Purpose": "Every fragment: its status, its age, its owner, and whether anything live depends on it.",
    "LayoutHints": "Table with decay signals as columns rather than separate screens, so stacked fragility is visible in one pass.",
    "SemanticTypeIri": "urn:effortless:pko-extension#AppRoute",
    "Surface": "domain",
    "Name": "Knowledge Register — /knowledge-authority/knowledge",
    "IsInNav": true,
    "IsShared": false,
    "IsMaintainer": false,
    "QuestionCount": 2,
    "ReferenceCount": 3,
    "AnswersNoQuestion": false
   },
   {
    "AppRouteId": "authority-fragment-decay",
    "RoutePath": "/knowledge-authority/knowledge/compound-fragility",
    "RouteName": "Compound Fragility",
    "OwningRole": "knowledge-authority",
    "NavGroup": "knowledge",
    "NavOrder": 2,
    "RouteKind": "workspace",
    "Purpose": "Four separate decay signals on knowledge fragments and no way to see where they stack. Show me where they compound.",
    "LayoutHints": "One row per fragment, one column per decay signal, plus a stack count. Sort by stack count — a fragment failing on four axes is categorically worse than four failing on one.",
    "SemanticTypeIri": "urn:effortless:pko-extension#AppRoute",
    "Su</t>
  </si>
  <si>
    <t xml:space="preserve">rface": "domain",
    "Name": "Compound Fragility — /knowledge-authority/knowledge/compound-fragility",
    "IsInNav": true,
    "IsShared": false,
    "IsMaintainer": false,
    "QuestionCount": 1,
    "ReferenceCount": 2,
    "AnswersNoQuestion": false
   },
   {
    "AppRouteId": "authority-unapproved-live",
    "RoutePath": "/knowledge-authority/knowledge/unapproved-live",
    "RouteName": "Unapproved but Live",
    "OwningRole": "knowledge-authority",
    "NavGroup": "knowledge",
    "NavOrder": 3,
    "RouteKind": "workspace",
    "Purpose": "kf-policy-manager-route is Reviewed, not Approved, so IsCurrentlyValid is FALSE — and policy-08 is a live step depending on it.",
    "LayoutHints": "Per unapproved fragment: dependents, and whether each is live. Live dependents on an invalid fragment are the finding.",
    "SemanticTypeIri": "urn:effortless:pko-extension#AppRoute",
    "Surface": "domain",
    "Name": "Unapproved but Live — /knowledge-authority/knowledge/unapproved-live",
    "IsInNav": true,
    "IsShared": false,
    "IsMaintainer": false,
    "QuestionCount": 2,
    "ReferenceCount": 2,
    "AnswersNoQuestion": false
   },
   {
    "AppRouteId": "authority-machine-consumers",
    "RoutePath": "/knowledge-authority/knowledge/reaching-machines",
    "RouteName": "Unapproved Knowledge Reaching Machines",
    "OwningRole": "knowledge-authority",
    "NavGroup": "knowledge",
    "NavOrder": 4,
    "RouteKind": "workspace",
    "Purpose": "One fragment is unapproved and operationally live, and all three AI boundaries are untested. Where does unapproved knowledge reach a machine that acts on it?",
    "LayoutHints": "Trace from unapproved fragments to software-executed steps. The intersection is the finding.",
    "SemanticTypeIri": "urn:effortless:pko-extension#AppRoute",
    "Surface": "domain",
    "Name": "Unapproved Knowledge Reaching Machines — /knowledge-authority/knowledge/reaching-machines",
    "IsInNav": true,
    "IsShared": false,
    "IsMaintainer": false,
    "QuestionCount": 1,
    "ReferenceCount": 2,
    "AnswersNoQuestion": false
   },
   {
    "AppRouteId": "authority-expired-ratifier",
    "RoutePath": "/knowledge-authority/governance/expired-ratifier",
    "RouteName": "Boundaries on Expired Claims",
    "OwningRole": "knowledge-authority",
    "NavGroup": "governance",
    "NavOrder": 1,
    "RouteKind": "workspace",
    "Purpose": "RatifyingFragmentIsValid reads 2 of 3. One of the rules constraining what an AI agent may do is ratified by a fragment that is no longer valid.",
    "LayoutHints": "Per boundary: its ratifying fragment and that fragment's validity. An invalid ratifier undermines the boundary and must be shown as doing so.",
    "SemanticTypeIri": "urn:effortless:pko-extension#AppRoute",
    "Surface": "domain",
    "Name": "Boundaries on Expired Claims — /knowledge-authority/governance/expired-ratifier",
    "IsInNav": true,
    "IsShared": false,
    "IsMaintainer": false,
    "QuestionCount": 1,
    "ReferenceCount": 2,
    "AnswersNoQuestion": false
   },
   {
    "AppRouteId": "authority-orphaned-provenance",
    "RoutePath": "/knowledge-authority/governance/orphaned-provenance",
    "RouteName": "Orphaned Provenance",
    "OwningRole": "knowledge-authority",
    "NavGroup": "governance",
    "NavOrder": 2,
    "RouteKind": "workspace",
    "Purpose": "kf-close-fx-time, kf-close-top-ten and kf-close-judgment all trace to devon-okafor via elicit-close-shadow. If that provenance is orphaned, what rests on it?",
    "LayoutHints": "Provenance tree from agent through session to fragments, with the orphan state marked at whichever level it occurs.",
    "SemanticTypeIri": "urn:effortless:pko-extension#AppRoute",
    "Surface": "domain",
    "Name": "Orphaned Provenance — /knowledge-authority/governance/orphaned-provenance",
    "IsInNav": true,
    "IsShared": false,
    "IsMaintainer": false,
    "QuestionCount": 1,
    "ReferenceCount": 2,
    "AnswersNoQuestion": false
   },
   {
    "AppRouteId": "authority-unwitnessed-change",
    "RoutePath": "/knowledge-authority/governance/unwitnessed-change",
    "RouteName": "Semantic Change Without a Witness",
    "OwningRole": "knowledge-authority",
    "NavGroup": "governance",
    "NavOrder": 3,
    "RouteKind": "workspace",
    "Purpose": "cr-close-timestamp altered a blocking control and was decided by me. Did any semantic change go through without a witness?",
    "LayoutHints": "Per semantic change: what it altered, who decided, what witnessed the effect. A change with no witness is the finding.",
    "SemanticTypeIri": "urn:effortless:pko-extension#AppRoute",
    "Surface": "domain",
    "Name": "Semantic Change Without a Witness — /knowledge-authority/governance/unwitnessed-change",
    "IsInNav": true,
    "IsShared": false,
    "IsMaintainer": false,
    "QuestionCount": 1,
    "ReferenceCount": 2,
    "AnswersNoQuestion": false
   },
   {
    "AppRouteId": "authority-stale-elicitation",
    "RoutePath": "/knowledge-authority/knowledge/elicitation-age",
    "RouteName": "How Old Is the Evidence",
    "OwningRole": "knowledge-authority",
    "NavGroup": "knowledge",
    "NavOrder": 5,
    "RouteKind": "workspace",
    "Purpose": "elicit-close-shadow ran on 2026-04-03 and elicit-policy-workshop on 2026-05-10. How old is the evidence behind what we rely on?",
    "LayoutHints": "Sessions on a timeline with the fragments each produced, and the age of each. Judged against the modelled instant.",
    "SemanticTypeIri": "urn:effortless:pko-extension#AppRoute",
    "Surface": "domain",
    "Name": "How Old Is the Evidence — /knowledge-authority/knowledge/elicitation-age",
    "IsInNav": true,
    "IsShared": false,
    "IsMaintainer": false,
    "QuestionCount": 1,
    "ReferenceCount": 2,
    "AnswersNoQuestion": false
   },
   {
    "AppRouteId": "authority-elicitation-monoculture",
    "RoutePath": "/knowledge-authority/knowledge/method-monoculture",
    "RouteName": "Single-Witness Monoculture",
    "OwningRole": "knowledge-authority",
    "NavGroup": "knowledge",
    "NavOrder": 6,
    "RouteKind": "workspace",
    "Purpose": "2 of 3 elicitation sessions used a single-witness method, and 4 of 7 fragments inherit that. How much of what we know rests on one person's account?",
    "LayoutHints": "Method distribution plus the inheritance chain into fragments. The inherited proportion is the headline.",
    "SemanticTypeIri": "urn:effortless:pko-extension#AppRoute",
    "Surface": "domain",
    "Name": "Single-Witness Monoculture — /knowledge-authority/knowledge/method-monoculture",
    "IsInNav": true,
    "IsShared": false,
    "IsMaintainer": false,
    "QuestionCount": 1,
    "ReferenceCount": 2,
    "AnswersNoQuestion": false
   },
   {
    "AppRouteId": "authority-known-unknowns",
    "RoutePath": "/knowledge-authority/knowledge/known-unknowns",
    "RouteName": "Known Unknowns",
    "OwningRole": "knowledge-authority",
    "NavGroup": "knowledge",
    "NavOrder": 7,
    "RouteKind": "workspace",
    "Purpose": "What do we know that we do not know? gap-policy-delivery-receipts has been Open since 2026-07-18 with a resolution nobody has taken.",
    "LayoutHints": "Gap register with age, owner, severity, and resolution path. Ownerless gaps sort first.",
    "SemanticTypeIri": "urn:effortless:pko-extension#AppRoute",
    "Surface": "domain",
    "Name": "Known Unknowns — /knowledge-authority/knowledge/known-unknowns",
    "IsInNav": true,
    "IsShared": false,
    "IsMaintainer": false,
    "QuestionCount": 1,
    "ReferenceCount": 2,
    "AnswersNoQuestion": false
   },
   {
    "AppRouteId": "authority-review-date-inferred",
    "RoutePath": "/knowledge-authority/model/inferred-review-dates",
    "RouteName": "Inferred, Not Recorded",
    "OwningRole": "knowledge-authority",
    "NavGroup": "model",
    "NavOrder": 1,
    "RouteKind": "workspace",
    "Purpose": "IsOverdueForReview reads 6/7 and I do not trust it — it is computed from AgeDays rather than from a recorded review date.",
    "LayoutHints": "Per fragment: inferred review state vs any recorded date. Where no date was ever recorded, say so — do not present the inference as a record.",
    "SemanticTypeIri": "urn:effortless:pko-extension#AppRoute",
    "Surface": "domain",
    "Name": "Inferred, Not Recorded — /knowledge-authority/model/inferred-review-dates",
    "IsInNav": true,
    "IsShared": false,
    "IsMaintainer": false,
    "QuestionCount": 1,
    "ReferenceCount": 2,
    "AnswersNoQuestion": false
   },
   {
    "AppRouteId": "shared-step-execution-detail",
    "RoutePath": "/shared/step-execution/:stepExecutionId",
    "RouteName": "Step Execution",
    "OwningRole": "",
    "NavGroup": "",
    "NavOrder": 0,
    "RouteKind": "detail",
    "Purpose": "One step execution, everything about it: spec, what happened, controls, evidence, issues.",
    "LayoutHints": "The existing step drawer promoted to a full route. Role-aware emphasis: the analyst sees controls first, the controller sees separation, the CFO sees approvals.",
    "SemanticTypeIri": "urn:effortless:pko-extension#AppRoute",
    "Surface": "domain",
    "Name": "Step Execution — /shared/step-execution/:stepExecutionId",
    "IsInNav": false,
    "IsShared": true,
    "IsMaintainer": false,
    "QuestionCount": 0,
    "ReferenceCount": 2,
    "AnswersNoQuestion": false
   },
   {
    "AppRouteId": "shared-requirement-detail",
    "RoutePath": "/shared/requirement/:requirementId",
    "RouteName": "Requirement",
    "OwningRole": "",
    "NavGroup": "",
    "NavOrder": 0,
    "RouteKind": "detail",
    "Purpose": "One control: its statement, bindings, witness, and every evaluation.",
    "LayoutHints": "Header with statement and blocking flag; sections for bindings, witness scope, evaluation history.",
    "SemanticTypeIri": "urn:effortless:pko-extension#AppRoute",
    "Surface": "domain",
    "Name": "Requirement — /shared/requirement/:requirementId",
    "IsInNav": false,
    "IsShared": true,
    "IsMaintainer": false,
    "QuestionCount": 0,
    "ReferenceCount": 2,
    "AnswersNoQuestion": false
   },
   {
    "AppRouteId": "shared-knowledge-fragment-detail",
    "RoutePath": "/shared/knowledge-fragment/:fragmentId",
    "RouteName": "Knowledge Fragment",
    "OwningRole": "",
    "NavGroup": "",
    "NavOrder": 0,
    "RouteKind": "detail",
    "Purpose": "One claim: its form, status, owner, provenance, and everything depending on it.",
    "LayoutHints": "Status and validity header; provenance chain up to the elicitation session; dependents fanned out below.",
    "SemanticTypeIri": "urn:effortless:pko-extension#AppRoute",
    "Surface": "domain",
    "Name": "Knowledge Fragment — /shared/knowledge-fragment/:fragmentId",
    "IsInNav": false,
    "IsShared": true,
    "IsMaintainer": false,
    "QuestionCount": 0,
    "ReferenceCount": 2,
    "AnswersNoQuestion": false
   },
   {
    "AppRouteId": "shared-change-request-detail",
    "RoutePath": "/shared/change-request/:changeRequestId",
    "RouteName": "Change Request",
    "OwningRole": "",
    "NavGroup": "",
    "NavOrder": 0,
    "RouteKind": "detail",
    "Purpose": "One request: what it targets, who must clear it, and where it currently sits.",
    "LayoutHints": "Header with status and age; the authority chain; the version it targets.",
    "SemanticTypeIri": "urn:effortless:pko-extension#AppRoute",
    "Surface": "domain",
    "Name": "Change Request — /shared/change-request/:changeRequestId",
    "IsInNav": false,
    "IsShared": true,
    "IsMaintainer": false,
    "QuestionCount": 0,
    "ReferenceCount": 2,
    "AnswersNoQuestion": false
   },
   {
    "AppRouteId": "shared-exception-detail",
    "RoutePath": "/shared/exception/:exceptionId",
    "RouteName": "Exception",
    "OwningRole": "",
    "NavGroup": "",
    "NavOrder": 0,
    "RouteKind": "detail",
    "Purpose": "One documented exception: its condition, its handling, and every time it was invoked.",
    "LayoutHints": "Condition and handling text, approval and fallback roles, invocation history.",
    "SemanticTypeIri": "urn:effortless:pko-extension#AppRoute",
    "Surface": "domain",
    "Name": "Exception — /shared/exception/:exceptionId",
    "IsInNav": false,
    "IsShared": true,
    "IsMaintainer": false,
    "QuestionCount": 0,
    "ReferenceCount": 2,
    "AnswersNoQuestion": false
   },
   {
    "AppRouteId": "shared-role-assignment-detail",
    "RoutePath": "/shared/role-assignment/:assignmentId",
    "RouteName": "Role Assignment",
    "OwningRole": "",
    "NavGroup": "",
    "NavOrder": 0,
    "RouteKind": "detail",
    "Purpose": "One assignment: who held what, when, on whose authority.",
    "LayoutHints": "Validity window rendered as a timeline; approver and predecessor named.",
    "SemanticTypeIri": "urn:effortless:pko-extension#AppRoute",
    "Surface": "domain",
    "Name": "Role Assignment — /shared/role-assignment/:assignmentId",
    "IsInNav": false,
    "IsShared": true,
    "IsMaintainer": false,
    "QuestionCount": 0,
    "ReferenceCount": 2,
    "AnswersNoQuestion": false
   },
   {
    "AppRouteId": "shared-operational-binding-detail",
    "RoutePath": "/shared/operational-binding/:bindingId",
    "RouteName": "Operational Binding",
    "OwningRole": "",
    "NavGroup": "",
    "NavOrder": 0,
    "RouteKind": "detail",
    "Purpose": "One binding: its source, freshness SLA, authoritative flag, and observation history.",
    "LayoutHints": "Freshness judged against the modelled instant, with the instant named on the page.",
    "SemanticTypeIri": "urn:effortless:pko-extension#AppRoute",
    "Surface": "domain",
    "Name": "Operational Binding — /shared/operational-binding/:bindingId",
    "IsInNav": false,
    "IsShared": true,
    "IsMaintainer": false,
    "QuestionCount": 0,
    "ReferenceCount": 2,
    "AnswersNoQuestion": false
   },
   {
    "AppRouteId": "shared-delivery-detail",
    "RoutePath": "/shared/delivery/:deliveryId",
    "RouteName": "Delivery",
    "OwningRole": "",
    "NavGroup": "",
    "NavOrder": 0,
    "RouteKind": "detail",
    "Purpose": "One delivery: intended, sent, landed, acknowledged — plus the exact text transmitted.",
    "LayoutHints": "Lifecycle strip across the top; frozen text below; gate results attached.",
    "SemanticTypeIri": "urn:effortless:pko-extension#AppRoute",
    "Surface": "domain",
    "Name": "Delivery — /shared/delivery/:deliveryId",
    "IsInNav": false,
    "IsShared": true,
    "IsMaintainer": false,
    "QuestionCount": 0,
    "ReferenceCount": 2,
    "AnswersNoQuestion": false
   },
   {
    "AppRouteId": "shared-recipient-detail",
    "RoutePath": "/shared/recipient/:recipientId",
    "RouteName": "Recipient",
    "OwningRole": "",
    "NavGroup": "",
    "NavOrder": 0,
    "RouteKind": "detail",
    "Purpose": "One person: consent state, channels, every message we attempted, and whether we ever reached them.",
    "LayoutHints": "Consent history as a timeline; attempts listed with outcomes.",
    "SemanticTypeIri": "urn:effortless:pko-extension#AppRoute",
    "Surface": "domain",
    "Name": "Recipient — /shared/recipient/:recipientId",
    "IsInNav": false,
    "IsShared": true,
    "IsMaintainer": false,
    "QuestionCount": 0,
    "ReferenceCount": 2,
    "AnswersNoQuestion": false
   },
   {
    "AppRouteId": "shared-template-detail",
    "RoutePath": "/shared/template/:templateId",
    "RouteName": "Message Template",
    "OwningRole": "",
    "NavGroup": "",
    "NavOrder": 0,
    "RouteKind": "detail",
    "Purpose": "One template: its text, approvals, edit history, and every send that used it.",
    "LayoutHints": "Edit history against approval history on one axis — that overlay is what makes drift visible.",
    "SemanticTypeIri": "urn:effortless:pko-extension#AppRoute",
    "Surface": "domain",
    "Name": "Message Template — /shared/template/:templateId",
    "IsInNav": false,
    "IsShared": true,
    "IsMaintainer": false,
    "QuestionCount": 0,
    "ReferenceCount": 2,
    "AnswersNoQuestion": false
   },
   {
    "AppRouteId": "shared-procedure-version-detail",
    "RoutePath": "/shared/procedure-version/:versionId",
    "RouteName": "Procedure Version",
    "OwningRole": "",
    "NavGroup": "",
    "NavOrder": 0,
    "RouteKind": "detail",
    "Purpose": "One version: its steps, status, stewardship, reviews, and what still references it.",
    "LayoutHints": "Header with status and steward; steps listed; inbound references shown even when archived.",
    "SemanticTypeIri": "urn:effortless:pko-extension#AppRoute",
    "Surface": "domain",
    "Name": "Procedure Version — /shared/procedure-version/:versionId",
    "IsInNav": false,
    "IsShared": true,
    "IsMaintainer": false,
    "QuestionCount": 0,
    "ReferenceCount": 2,
    "AnswersNoQuestion": false
   },
   {
    "AppRouteId": "shared-knowledge-gap-detail",
    "RoutePath": "/shared/knowledge-gap/:gapId",
    "RouteName": "Knowledge Gap",
    "OwningRole": "",
    "NavGroup": "",
    "NavOrder": 0,
    "RouteKind": "detail",
    "Purpose": "One gap: what is missing, who owns closing it, how long it has been open, and what it blocks.",
    "LayoutHints": "Age and severity in the header; blocked items listed below.",
    "SemanticTypeIri": "urn:effortless:pko-extension#AppRoute",
    "Surface": "domain",
    "Name": "Knowledge Gap — /shared/knowledge-gap/:gapId",
    "IsInNav": false,
    "IsShared": true,
    "IsMaintainer": false,
    "QuestionCount": 0,
    "ReferenceCount": 2,
    "AnswersNoQuestion": false
   },
   {
    "AppRouteId": "shared-verification-outcomes",
    "RoutePath": "/shared/verification-outcome/:outcomeId",
    "RouteName": "Verification Outcome",
    "OwningRole": "",
    "NavGroup": "",
    "NavOrder": 0,
    "RouteKind": "detail",
    "Purpose": "One verification: expected signal, observed signal, observer, and independence.",
    "LayoutHints": "Expected vs observed side by side; independence verdict prominent.",
    "SemanticTypeIri": "urn:effortless:pko-extension#AppRoute",
    "Surface": "domain",
    "Name": "Verification Outcome — /shared/verification-outcome/:outcomeId",
    "IsInNav": false,
    "IsShared": true,
    "IsMaintainer": false,
    "QuestionCount": 0,
    "ReferenceCount": 2,
    "AnswersNoQuestion": false
   },
   {
    "AppRouteId": "shared-review-event-detail",
    "RoutePath": "/shared/review-event/:reviewId",
    "RouteName": "Review Event",
    "OwningRole": "",
    "NavGroup": "",
    "NavOrder": 0,
    "RouteKind": "detail",
    "Purpose": "One review: kind, reviewer, outcome, and when the next is due.",
    "LayoutHints": "Cadence context in the header so a single review reads against its promised interval.",
    "SemanticTypeIri": "urn:effortless:pko-extension#AppRoute",
    "Surface": "domain",
    "Name": "Review Event — /shared/review-event/:reviewId",
    "IsInNav": false,
    "IsShared": true,
    "IsMaintainer": false,
    "QuestionCount": 0,
    "ReferenceCount": 2,
    "AnswersNoQuestion": false
   },
   {
    "AppRouteId": "shared-elicitation-detail",
    "RoutePath": "/shared/elicitation-session/:sessionId",
    "RouteName": "Elicitation Session",
    "OwningRole": "",
    "NavGroup": "",
    "NavOrder": 0,
    "RouteKind": "detail",
    "Purpose": "One session: method, participants, date, and every fragment it produced.",
    "LayoutHints": "Method and single-witness flag in the header; produced fragments listed with their current validity.",
    "SemanticTypeIri": "urn:effortless:pko-extension#AppRoute",
    "Surface": "domain",
    "Name": "Elicitation Session — /shared/elicitation-session/:sessionId",
    "IsInNav": false,
    "IsShared": true,
    "IsMaintainer": false,
    "QuestionCount": 0,
    "ReferenceCount": 2,
    "AnswersNoQuestion": false
   },
   {
    "AppRouteId": "shared-transition-detail",
    "RoutePath": "/shared/transition/:transitionId",
    "RouteName": "Step Transition",
    "OwningRole": "",
    "NavGroup": "",
    "NavOrder": 0,
    "RouteKind": "detail",
    "Purpose": "One transition: from, to, condition, kind, and how often it has actually been taken.",
    "LayoutHints": "Traversal count prominent — a zero on a fallback is the point of the page.",
    "SemanticTypeIri": "urn:effortless:pko-extension#AppRoute",
    "Surface": "domain",
    "Name": "Step Transition — /shared/transition/:transitionId",
    "IsInNav": false,
    "IsShared": true,
    "IsMaintainer": false,
    "QuestionCount": 0,
    "ReferenceCount": 2,
    "AnswersNoQuestion": false
   },
   {
    "AppRouteId": "shared-authority-boundary-detail",
    "RoutePath": "/shared/authority-boundary/:boundaryId",
    "RouteName": "Authority Boundary",
    "OwningRole": "",
    "NavGroup": "",
    "NavOrder": 0,
    "RouteKind": "detail",
    "Purpose": "One boundary: what it constrains, the fragment ratifying it, and whether it has ever been tested.",
    "LayoutHints": "Ratifier validity and 'ever approached' count together — neither alone answers the question.",
    "SemanticTypeIri": "urn:effortless:pko-extension#AppRoute",
    "Surface": "domain",
    "Name": "Authority Boundary — /shared/authority-boundary/:boundaryId",
    "IsInNav": false,
    "IsShared": true,
    "IsMaintainer": false,
    "QuestionCount": 0,
    "ReferenceCount": 2,
    "AnswersNoQuestion": false
   },
   {
    "AppRouteId": "shared-evaluation-context",
    "RoutePath": "/shared/evaluation-context",
    "RouteName": "Evaluation Context",
    "OwningRole": "",
    "NavGroup": "",
    "NavOrder": 0,
    "RouteKind": "detail",
    "Purpose": "The modelled instant every time-dependent answer in this app is judged against.",
    "LayoutHints": "State the instant plainly, list the columns that depend on it, and explain why the wall clock is not used.",
    "SemanticTypeIri": "urn:effortless:pko-extension#AppRoute",
    "Surface": "domain",
    "Name": "Evaluation Context — /shared/evaluation-context",
    "IsInNav": false,
    "IsShared": true,
    "IsMaintainer": false,
    "QuestionCount": 2,
    "ReferenceCount": 2,
    "AnswersNoQuestion": false
   },
   {
    "AppRouteId": "shared-field-provenance",
    "RoutePath": "/shared/field/:table/:field",
    "RouteName": "Field Provenance",
    "OwningRole": "",
    "NavGroup": "",
    "NavOrder": 0,
    "RouteKind": "detail",
    "Purpose": "Any field, traced back to the question that motivated it and the formula that computes it.",
    "LayoutHints": "The existing provenance tracer promoted to a route so every value in the app is deep-linkable.",
    "SemanticTypeIri": "urn:effortless:pko-extension#AppRoute",
    "Surface": "domain",
    "Name": "Field Provenance — /shared/field/:table/:field",
    "IsInNav": false,
    "IsShared": true,
    "IsMaintainer": false,
    "QuestionCount": 0,
    "ReferenceCount": 2,
    "AnswersNoQuestion": false
   },
   {
    "AppRouteId": "shared-login",
    "RoutePath": "/",
    "RouteName": "Choose a Role",
    "OwningRole": "",
    "NavGroup": "",
    "NavOrder": 0,
    "RouteKind": "index",
    "Purpose": "The entry point: one card per role, each carrying its own colour and icon.",
    "LayoutHints": "Grid of 12 role cards, human roles first then software roles, each with icon, label, responsibility, and question count. Selecting a card enters that role's dashboard.",
    "SemanticTypeIri": "urn:effortless:pko-extension#AppRoute",
    "Surface": "domain",
    "Name": "Choose a Role — /",
    "IsInNav": false,
    "IsShared": true,
    "IsMaintainer": false,
    "QuestionCount": 0,
    "ReferenceCount": 0,
    "AnswersNoQuestion": false
   },
   {
    "AppRouteId": "admin-board",
    "RoutePath": "/admin/conformance",
    "RouteName": "Test Board",
    "OwningRole": "",
    "Surface": "maintainer",
    "NavGroup": "conformance",
    "NavOrder": 1,
    "RouteKind": "dashboard",
    "Purpose": "Every check the model runs against itself, and whether the board is green.",
    "LayoutHints": "Green/red banner with a blocking-failure count, then per-suite and per-kind tables, then the filterable check list. Warnings are advisory and must read that way — scoring a non-firing witness red would only pressure someone into fabricating rows until it went green.",
    "SemanticTypeIri": "urn:effortless:pko-extension#AppRoute",
    "Name": "Test Board — /admin/conformance",
    "IsInNav": true,
    "IsShared": false,
    "IsMaintainer": true,
    "QuestionCount": 0,
    "ReferenceCount": 2,
    "AnswersNoQuestion": false
   },
   {
    "AppRouteId": "admin-checks",
    "RoutePath": "/admin/conformance/checks",
    "RouteName": "Checks",
    "OwningRole": "",
    "Surface": "maintainer",
    "NavGroup": "conformance",
    "NavOrder": 2,
    "RouteKind": "workspace",
    "Purpose": "One row per check, filterable by kind, outcome, and subject.",
    "LayoutHints": "Filter bar over a virtualised list. Each row shows outcome, subject, assertion, and the question it defends. Blocking and advisory are visually distinct.",
    "SemanticTypeIri": "urn:effortless:pko-extension#AppRoute",
    "Name": "Checks — /admin/conformance/checks",
    "IsInNav": true,
    "IsShared": false,
    "IsMaintainer": true,
    "QuestionCount": 0,
    "ReferenceCount": 2,
    "AnswersNoQuestion": false
   },
   {
    "AppRouteId": "admin-witnesses",
    "RoutePath": "/admin/witnesses",
    "RouteName": "Witness Board",
    "OwningRole": "",
    "Surface": "maintainer",
    "NavGroup": "witnesses",
    "NavOrder": 1,
    "RouteKind": "dashboard",
    "Purpose": "Every boolean witness with its live true/false distribution, so a column that cannot discriminate is visible rather than mistaken for a working check.",
    "LayoutHints": "Grouped by table. Per witness: fire count, distribution bar, and a verdict of discriminates / always-true / never-true / empty. Non-vacuity is the acceptance bar, so the vacuous ones are reported, never hidden.",
    "SemanticTypeIri": "urn:effortless:pko-extension#AppRoute",
    "Name": "Witness Board — /admin/witnesses",
    "IsInNav": true,
    "IsShared": false,
    "IsMaintainer": true,
    "QuestionCount": 0,
    "ReferenceCount": 2,
    "AnswersNoQuestion": false
   },
   {
    "AppRouteId": "admin-vacuous",
    "RoutePath": "/admin/witnesses/vacuous",
    "RouteName": "Cannot Discriminate",
    "OwningRole": "",
    "Surface": "maintainer",
    "NavGroup": "witnesses",
    "NavOrder": 2,
    "RouteKind": "workspace",
    "Purpose": "The witnesses that read the same value on every row — they state nothing about the procedures and are not evidence.",
    "LayoutHints": "Working list of vacuous witnesses with, for each, whether uniformity is legitimate (every seeded requirement really is blocking) or a defect. Do not present these as failures; present them as unproven.",
    "SemanticTypeIri": "urn:effortless:pko-extension#AppRoute",
    "Name": "Cannot Discriminate — /admin/witnesses/vacuous",
    "IsInNav": true,
    "IsShared": false,
    "IsMaintainer": true,
    "QuestionCount": 0,
    "ReferenceCount": 2,
    "AnswersNoQuestion": false
   },
   {
    "AppRouteId": "admin-loops",
    "RoutePath": "/admin/loops",
    "RouteName": "Loops &amp; Questions",
    "OwningRole": "",
    "Surface": "maintainer",
    "NavGroup": "loops",
    "NavOrder": 1,
    "RouteKind": "dashboard",
    "Purpose": "The expansion loops: what each made askable, which role asked, and how many predicates each question produced.",
    "LayoutHints": "Loop sections, each with its premise, then questions grouped by asking role. Each question shows its predicate count and computed answer.",
    "SemanticTypeIri": "urn:effortless:pko-extension#AppRoute",
    "Name": "Loops &amp; Questions — /admin/loops",
    "IsInNav": true,
    "IsShared": false,
    "IsMaintainer": true,
    "QuestionCount": 0,
    "ReferenceCount": 2,
    "AnswersNoQuestion": false
   },
   {
    "AppRouteId": "admin-question-defence",
    "RoutePath": "/admin/loops/question/:questionId",
    "RouteName": "Question Defence",
    "OwningRole": "",
    "Surface": "maintainer",
    "NavGroup": "loops",
    "NavOrder": 2,
    "RouteKind": "detail",
    "Purpose": "One question: the predicates invented to answer it, the checks defending it, and the routes where a role actually asks it.",
    "LayoutHints": "Three panels — predicates, checks, routes. The routes panel reads AppRouteQuestions, closing the loop between the question and the screens built to answer it.",
    "SemanticTypeIri": "urn:effortless:pko-extension#AppRoute",
    "Name": "Question Defence — /admin/loops/question/:questionId",
    "IsInNav": true,
    "IsShared": false,
    "IsMaintainer": true,
    "QuestionCount": 0,
    "ReferenceCount": 3,
    "AnswersNoQuestion": false
   },
   {
    "AppRouteId": "admin-provenance",
    "RoutePath": "/admin/provenance",
    "RouteName": "Provenance Tracer",
    "OwningRole": "",
    "Surface": "maintainer",
    "NavGroup": "provenance",
    "NavOrder": 1,
    "RouteKind": "workspace",
    "Purpose": "Trace any field back to the question that motivated it, the role that asked, and the loop it came from.",
    "LayoutHints": "Search by Table.Field, then a chain: field → question → role → loop, plus sibling predicates from the same question. Fields predating the loops carry no question and must say so — inventing one retroactively would be fabrication.",
    "SemanticTypeIri": "urn:effortless:pko-extension#AppRoute",
    "Name": "Provenance Tracer — /admin/provenance",
    "IsInNav": true,
    "IsShared": false,
    "IsMaintainer": true,
    "QuestionCount": 0,
    "ReferenceCount": 2,
    "AnswersNoQuestion": false
   },
   {
    "AppRouteId": "admin-route-map",
    "RoutePath": "/admin/route-map",
    "RouteName": "Route Map",
    "OwningRole": "",
    "Surface": "maintainer",
    "NavGroup": "model",
    "NavOrder": 1,
    "RouteKind": "workspace",
    "Purpose": "The application's own navigation model: every route, which questions it answers, and which routes it links to.",
    "LayoutHints": "Matrix or graph of AppRoutes against AppRouteQuestions, with an explicit panel for AnswersNoQuestion — a route serving no question should be justified or removed.",
    "SemanticTypeIri": "urn:effortless:pko-extension#AppRoute",
    "Name": "Route Map — /admin/route-map",
    "IsInNav": true,
    "IsShared": false,
    "IsMaintainer": true,
    "QuestionCount": 0,
    "ReferenceCount": 2,
    "AnswersNoQuestion": false
   },
   {
    "AppRouteId": "admin-catalog-drift",
    "RoutePath": "/admin/model/catalog-drift",
    "RouteName": "Catalog Drift",
    "OwningRole": "",
    "Surface": "maintainer",
    "NavGroup": "model",
    "NavOrder": 2,
    "RouteKind": "workspace",
    "Purpose": "Whether the field catalog still matches the real schemas, and whether every catalog field resolves to a column the substrate actually emitted.",
    "LayoutHints": "Two checks side by side: catalog-vs-schema drift, and catalog-vs-information_schema resolution. Both must state 'in sync' explicitly rather than rendering an empty list.",
    "SemanticTypeIri": "urn:effortless:pko-extension#AppRoute",
    "Name": "Catalog Drift — /admin/model/catalog-drift",
    "IsInNav": true,
    "IsShared": false,
    "IsMaintainer": true,
    "QuestionCount": 0,
    "ReferenceCount": 2,
    "AnswersNoQuestion": false
   },
   {
    "AppRouteId": "explorer-inferences",
    "RoutePath": "/explorer/inferences",
    "RouteName": "Every Inference",
    "OwningRole": "",
    "Surface": "maintainer",
    "NavGroup": "inferences",
    "NavOrder": 1,
    "RouteKind": "dashboard",
    "Purpose": "All 937 derived fields with the formula that defines it and the fields it reads.",
    "LayoutHints": "Stat row (raw vs inferred, and by kind), then a filterable list. Each entry shows its formula with field references highlighted, its dependencies, and the question that motivated it.",
    "SemanticTypeIri": "urn:effortless:pko-extension#AppRoute",
    "Name": "Every Inference — /explorer/inferences",
    "IsInNav": true,
    "IsShared": false,
    "IsMaintainer": true,
    "QuestionCount": 0,
    "ReferenceCount": 2,
    "AnswersNoQuestion": false
   },
   {
    "AppRouteId": "explorer-tables",
    "RoutePath": "/explorer/tables",
    "RouteName": "All Tables",
    "OwningRole": "",
    "Surface": "maintainer",
    "NavGroup": "inferences",
    "NavOrder": 2,
    "RouteKind": "workspace",
    "Purpose": "Every table with its raw/calculated/lookup/aggregation composition.",
    "LayoutHints": "Table index with a composition bar per row. Infrastructure tables that deliberately have no view are labelled as such, not as broken.",
    "SemanticTypeIri": "urn:effortless:pko-extension#AppRoute",
    "Name": "All Tables — /explorer/tables",
   </t>
  </si>
  <si>
    <t xml:space="preserve"> "IsInNav": true,
    "IsShared": false,
    "IsMaintainer": true,
    "QuestionCount": 0,
    "ReferenceCount": 2,
    "AnswersNoQuestion": false
   },
   {
    "AppRouteId": "explorer-table-detail",
    "RoutePath": "/explorer/tables/:table",
    "RouteName": "Table Detail",
    "OwningRole": "",
    "Surface": "maintainer",
    "NavGroup": "inferences",
    "NavOrder": 3,
    "RouteKind": "detail",
    "Purpose": "One table: its full column catalog and every row, with inferred columns distinguished from stated ones.",
    "LayoutHints": "Column cards above a row grid. Inferred columns are shaded and their cells are clickable for the formula-and-inputs popover.",
    "SemanticTypeIri": "urn:effortless:pko-extension#AppRoute",
    "Name": "Table Detail — /explorer/tables/:table",
    "IsInNav": true,
    "IsShared": false,
    "IsMaintainer": true,
    "QuestionCount": 0,
    "ReferenceCount": 2,
    "AnswersNoQuestion": false
   },
   {
    "AppRouteId": "explorer-record",
    "RoutePath": "/explorer/record/:table/:id",
    "RouteName": "Record Inspector",
    "OwningRole": "",
    "Surface": "maintainer",
    "NavGroup": "inferences",
    "NavOrder": 4,
    "RouteKind": "detail",
    "Purpose": "One row, every field it has: stated values first, then each inference with the current value of every field its formula reads.",
    "LayoutHints": "Two sections — stated and inferred. Each inference shows its formula and its inputs, local or across a foreign key, with derived inputs marked so the chain can be walked further back.",
    "SemanticTypeIri": "urn:effortless:pko-extension#AppRoute",
    "Name": "Record Inspector — /explorer/record/:table/:id",
    "IsInNav": true,
    "IsShared": false,
    "IsMaintainer": true,
    "QuestionCount": 0,
    "ReferenceCount": 2,
    "AnswersNoQuestion": false
   }
  ]
 },
 "AppRouteQuestions": {
  "Description": "Junction: which RoleQuestions each route helps answer. Deliberately many-to-many — a question is answered across several routes and a route serves several questions. It is not, and should not become, 1:1.",
  "schema": [
   {
    "name": "AppRouteQuestionId",
    "datatype": "string",
    "type": "raw",
    "nullable": false,
    "Description": "Stored logical identifier for one AppRouteQuestions row."
   },
   {
    "name": "Name",
    "datatype": "string",
    "type": "calculated",
    "nullable": true,
    "Description": "Human-readable calculated display alias for the AppRouteQuestions row.",
    "formula": "={{Route}} &amp; \" answers \" &amp; {{Question}}"
   },
   {
    "name": "Route",
    "datatype": "string",
    "type": "relationship",
    "nullable": true,
    "Description": "The route that helps answer the question.",
    "RelatedTo": "AppRoutes"
   },
   {
    "name": "Question",
    "datatype": "string",
    "type": "relationship",
    "nullable": true,
    "Description": "The role question this route helps answer.",
    "RelatedTo": "RoleQuestions"
   },
   {
    "name": "SemanticTypeIri",
    "datatype": "string",
    "type": "raw",
    "nullable": true,
    "Description": "Semantic type IRI for this row. An extension."
   }
  ],
  "data": [
   {
    "AppRouteQuestionId": "rq-cfo-home--q-cfo-can-i-sign",
    "Route": "cfo-home",
    "Question": "q-cfo-can-i-sign",
    "SemanticTypeIri": "urn:effortless:pko-extension#AppRouteQuestion",
    "Name": "cfo-home answers q-cfo-can-i-sign"
   },
   {
    "AppRouteQuestionId": "rq-cfo-home--q-cfo-approving-on-unfit-version",
    "Route": "cfo-home",
    "Question": "q-cfo-approving-on-unfit-version",
    "SemanticTypeIri": "urn:effortless:pko-extension#AppRouteQuestion",
    "Name": "cfo-home answers q-cfo-approving-on-unfit-version"
   },
   {
    "AppRouteQuestionId": "rq-cfo-blockers--q-cfo-can-i-sign",
    "Route": "cfo-blockers",
    "Question": "q-cfo-can-i-sign",
    "SemanticTypeIri": "urn:effortless:pko-extension#AppRouteQuestion",
    "Name": "cfo-blockers answers q-cfo-can-i-sign"
   },
   {
    "AppRouteQuestionId": "rq-cfo-blockers--q-cfo-approving-on-unfit-version",
    "Route": "cfo-blockers",
    "Question": "q-cfo-approving-on-unfit-version",
    "SemanticTypeIri": "urn:effortless:pko-extension#AppRouteQuestion",
    "Name": "cfo-blockers answers q-cfo-approving-on-unfit-version"
   },
   {
    "AppRouteQuestionId": "rq-cfo-assurance-grade--q2-cfo-quality-of-a-green-attestation",
    "Route": "cfo-assurance-grade",
    "Question": "q2-cfo-quality-of-a-green-attestation",
    "SemanticTypeIri": "urn:effortless:pko-extension#AppRouteQuestion",
    "Name": "cfo-assurance-grade answers q2-cfo-quality-of-a-green-attestation"
   },
   {
    "AppRouteQuestionId": "rq-cfo-assurance-grade--q2-cfo-controls-nobody-is-watching",
    "Route": "cfo-assurance-grade",
    "Question": "q2-cfo-controls-nobody-is-watching",
    "SemanticTypeIri": "urn:effortless:pko-extension#AppRouteQuestion",
    "Name": "cfo-assurance-grade answers q2-cfo-controls-nobody-is-watching"
   },
   {
    "AppRouteQuestionId": "rq-cfo-unwitnessed-controls--q2-cfo-controls-nobody-is-watching",
    "Route": "cfo-unwitnessed-controls",
    "Question": "q2-cfo-controls-nobody-is-watching",
    "SemanticTypeIri": "urn:effortless:pko-extension#AppRouteQuestion",
    "Name": "cfo-unwitnessed-controls answers q2-cfo-controls-nobody-is-watching"
   },
   {
    "AppRouteQuestionId": "rq-cfo-unwitnessed-controls--q-cfo-am-i-being-told-everything",
    "Route": "cfo-unwitnessed-controls",
    "Question": "q-cfo-am-i-being-told-everything",
    "SemanticTypeIri": "urn:effortless:pko-extension#AppRouteQuestion",
    "Name": "cfo-unwitnessed-controls answers q-cfo-am-i-being-told-everything"
   },
   {
    "AppRouteQuestionId": "rq-cfo-typed-conclusions--q-cfo-am-i-being-told-everything",
    "Route": "cfo-typed-conclusions",
    "Question": "q-cfo-am-i-being-told-everything",
    "SemanticTypeIri": "urn:effortless:pko-extension#AppRouteQuestion",
    "Name": "cfo-typed-conclusions answers q-cfo-am-i-being-told-everything"
   },
   {
    "AppRouteQuestionId": "rq-cfo-witness-chain--q2-cfo-who-witnessed-the-witnesses",
    "Route": "cfo-witness-chain",
    "Question": "q2-cfo-who-witnessed-the-witnesses",
    "SemanticTypeIri": "urn:effortless:pko-extension#AppRouteQuestion",
    "Name": "cfo-witness-chain answers q2-cfo-who-witnessed-the-witnesses"
   },
   {
    "AppRouteQuestionId": "rq-cfo-witness-chain--q-cfo-approval-was-actually-verified",
    "Route": "cfo-witness-chain",
    "Question": "q-cfo-approval-was-actually-verified",
    "SemanticTypeIri": "urn:effortless:pko-extension#AppRouteQuestion",
    "Name": "cfo-witness-chain answers q-cfo-approval-was-actually-verified"
   },
   {
    "AppRouteQuestionId": "rq-cfo-authority-map--q-cfo-who-actually-held-authority",
    "Route": "cfo-authority-map",
    "Question": "q-cfo-who-actually-held-authority",
    "SemanticTypeIri": "urn:effortless:pko-extension#AppRouteQuestion",
    "Name": "cfo-authority-map answers q-cfo-who-actually-held-authority"
   },
   {
    "AppRouteQuestionId": "rq-cfo-my-approvals--q-cfo-approval-was-actually-verified",
    "Route": "cfo-my-approvals",
    "Question": "q-cfo-approval-was-actually-verified",
    "SemanticTypeIri": "urn:effortless:pko-extension#AppRouteQuestion",
    "Name": "cfo-my-approvals answers q-cfo-approval-was-actually-verified"
   },
   {
    "AppRouteQuestionId": "rq-cfo-my-approvals--q2-cfo-who-witnessed-the-witnesses",
    "Route": "cfo-my-approvals",
    "Question": "q2-cfo-who-witnessed-the-witnesses",
    "SemanticTypeIri": "urn:effortless:pko-extension#AppRouteQuestion",
    "Name": "cfo-my-approvals answers q2-cfo-who-witnessed-the-witnesses"
   },
   {
    "AppRouteQuestionId": "rq-cfo-signature-dependencies--q2-cfo-what-changed-since-i-signed",
    "Route": "cfo-signature-dependencies",
    "Question": "q2-cfo-what-changed-since-i-signed",
    "SemanticTypeIri": "urn:effortless:pko-extension#AppRouteQuestion",
    "Name": "cfo-signature-dependencies answers q2-cfo-what-changed-since-i-signed"
   },
   {
    "AppRouteQuestionId": "rq-cfo-changed-since-signing--q2-cfo-what-changed-since-i-signed",
    "Route": "cfo-changed-since-signing",
    "Question": "q2-cfo-what-changed-since-i-signed",
    "SemanticTypeIri": "urn:effortless:pko-extension#AppRouteQuestion",
    "Name": "cfo-changed-since-signing answers q2-cfo-what-changed-since-i-signed"
   },
   {
    "AppRouteQuestionId": "rq-cfo-restatement--q2-cfo-would-it-survive-restatement",
    "Route": "cfo-restatement",
    "Question": "q2-cfo-would-it-survive-restatement",
    "SemanticTypeIri": "urn:effortless:pko-extension#AppRouteQuestion",
    "Name": "cfo-restatement answers q2-cfo-would-it-survive-restatement"
   },
   {
    "AppRouteQuestionId": "rq-cfo-attestation-detail--q-cfo-can-i-sign",
    "Route": "cfo-attestation-detail",
    "Question": "q-cfo-can-i-sign",
    "SemanticTypeIri": "urn:effortless:pko-extension#AppRouteQuestion",
    "Name": "cfo-attestation-detail answers q-cfo-can-i-sign"
   },
   {
    "AppRouteQuestionId": "rq-controller-home--q-controller-blocking-control-inoperative",
    "Route": "controller-home",
    "Question": "q-controller-blocking-control-inoperative",
    "SemanticTypeIri": "urn:effortless:pko-extension#AppRouteQuestion",
    "Name": "controller-home answers q-controller-blocking-control-inoperative"
   },
   {
    "AppRouteQuestionId": "rq-controller-home--q2-ctl-witness-never-fired",
    "Route": "controller-home",
    "Question": "q2-ctl-witness-never-fired",
    "SemanticTypeIri": "urn:effortless:pko-extension#AppRouteQuestion",
    "Name": "controller-home answers q2-ctl-witness-never-fired"
   },
   {
    "AppRouteQuestionId": "rq-controller-mute-controls--q-controller-blocking-control-inoperative",
    "Route": "controller-mute-controls",
    "Question": "q-controller-blocking-control-inoperative",
    "SemanticTypeIri": "urn:effortless:pko-extension#AppRouteQuestion",
    "Name": "controller-mute-controls answers q-controller-blocking-control-inoperative"
   },
   {
    "AppRouteQuestionId": "rq-controller-mute-controls--q2-ctl-witness-never-fired",
    "Route": "controller-mute-controls",
    "Question": "q2-ctl-witness-never-fired",
    "SemanticTypeIri": "urn:effortless:pko-extension#AppRouteQuestion",
    "Name": "controller-mute-controls answers q2-ctl-witness-never-fired"
   },
   {
    "AppRouteQuestionId": "rq-controller-witness-scope--q2-ctl-witness-scope-vs-binding",
    "Route": "controller-witness-scope",
    "Question": "q2-ctl-witness-scope-vs-binding",
    "SemanticTypeIri": "urn:effortless:pko-extension#AppRouteQuestion",
    "Name": "controller-witness-scope answers q2-ctl-witness-scope-vs-binding"
   },
   {
    "AppRouteQuestionId": "rq-controller-separation--q-controller-separation-of-duties",
    "Route": "controller-separation",
    "Question": "q-controller-separation-of-duties",
    "SemanticTypeIri": "urn:effortless:pko-extension#AppRouteQuestion",
    "Name": "controller-separation answers q-controller-separation-of-duties"
   },
   {
    "AppRouteQuestionId": "rq-controller-separation--q2-ctl-separation-held-or-untested",
    "Route": "controller-separation",
    "Question": "q2-ctl-separation-held-or-untested",
    "SemanticTypeIri": "urn:effortless:pko-extension#AppRouteQuestion",
    "Name": "controller-separation answers q2-ctl-separation-held-or-untested"
   },
   {
    "AppRouteQuestionId": "rq-controller-conformance--q-controller-execution-diverged-from-spec",
    "Route": "controller-conformance",
    "Question": "q-controller-execution-diverged-from-spec",
    "SemanticTypeIri": "urn:effortless:pko-extension#AppRouteQuestion",
    "Name": "controller-conformance answers q-controller-execution-diverged-from-spec"
   },
   {
    "AppRouteQuestionId": "rq-controller-ungoverned-divergence--q2-ctl-divergence-that-nobody-governed",
    "Route": "controller-ungoverned-divergence",
    "Question": "q2-ctl-divergence-that-nobody-governed",
    "SemanticTypeIri": "urn:effortless:pko-extension#AppRouteQuestion",
    "Name": "controller-ungoverned-divergence answers q2-ctl-divergence-that-nobody-governed"
   },
   {
    "AppRouteQuestionId": "rq-controller-authority-validity--q-controller-approval-authority-valid",
    "Route": "controller-authority-validity",
    "Question": "q-controller-approval-authority-valid",
    "SemanticTypeIri": "urn:effortless:pko-extension#AppRouteQuestion",
    "Name": "controller-authority-validity answers q-controller-approval-authority-valid"
   },
   {
    "AppRouteQuestionId": "rq-controller-ai-boundary--q-controller-ai-agent-approved-meaning",
    "Route": "controller-ai-boundary",
    "Question": "q-controller-ai-agent-approved-meaning",
    "SemanticTypeIri": "urn:effortless:pko-extension#AppRouteQuestion",
    "Name": "controller-ai-boundary answers q-controller-ai-agent-approved-meaning"
   },
   {
    "AppRouteQuestionId": "rq-controller-asserted-controls--q2-ctl-asserted-controls-by-who",
    "Route": "controller-asserted-controls",
    "Question": "q2-ctl-asserted-controls-by-who",
    "SemanticTypeIri": "urn:effortless:pko-extension#AppRouteQuestion",
    "Name": "controller-asserted-controls answers q2-ctl-asserted-controls-by-who"
   },
   {
    "AppRouteQuestionId": "rq-controller-control-detail--q-controller-blocking-control-inoperative",
    "Route": "controller-control-detail",
    "Question": "q-controller-blocking-control-inoperative",
    "SemanticTypeIri": "urn:effortless:pko-extension#AppRouteQuestion",
    "Name": "controller-control-detail answers q-controller-blocking-control-inoperative"
   },
   {
    "AppRouteQuestionId": "rq-analyst-home--q-analyst-blocking-unmet-on-my-step",
    "Route": "analyst-home",
    "Question": "q-analyst-blocking-unmet-on-my-step",
    "SemanticTypeIri": "urn:effortless:pko-extension#AppRouteQuestion",
    "Name": "analyst-home answers q-analyst-blocking-unmet-on-my-step"
   },
   {
    "AppRouteQuestionId": "rq-analyst-home--q2-fa-clean-but-uncovered",
    "Route": "analyst-home",
    "Question": "q2-fa-clean-but-uncovered",
    "SemanticTypeIri": "urn:effortless:pko-extension#AppRouteQuestion",
    "Name": "analyst-home answers q2-fa-clean-but-uncovered"
   },
   {
    "AppRouteQuestionId": "rq-analyst-blocking-unmet--q-analyst-blocking-unmet-on-my-step",
    "Route": "analyst-blocking-unmet",
    "Question": "q-analyst-blocking-unmet-on-my-step",
    "SemanticTypeIri": "urn:effortless:pko-extension#AppRouteQuestion",
    "Name": "analyst-blocking-unmet answers q-analyst-blocking-unmet-on-my-step"
   },
   {
    "AppRouteQuestionId": "rq-analyst-never-evaluated--q-analyst-blocking-never-evaluated",
    "Route": "analyst-never-evaluated",
    "Question": "q-analyst-blocking-never-evaluated",
    "SemanticTypeIri": "urn:effortless:pko-extension#AppRouteQuestion",
    "Name": "analyst-never-evaluated answers q-analyst-blocking-never-evaluated"
   },
   {
    "AppRouteQuestionId": "rq-analyst-late-steps--q-analyst-my-late-steps-unexplained",
    "Route": "analyst-late-steps",
    "Question": "q-analyst-my-late-steps-unexplained",
    "SemanticTypeIri": "urn:effortless:pko-extension#AppRouteQuestion",
    "Name": "analyst-late-steps answers q-analyst-my-late-steps-unexplained"
   },
   {
    "AppRouteQuestionId": "rq-analyst-verification-performed--q-analyst-verification-declared-never-performed",
    "Route": "analyst-verification-performed",
    "Question": "q-analyst-verification-declared-never-performed",
    "SemanticTypeIri": "urn:effortless:pko-extension#AppRouteQuestion",
    "Name": "analyst-verification-performed answers q-analyst-verification-declared-never-performed"
   },
   {
    "AppRouteQuestionId": "rq-analyst-evidence-quality--q2-fa-my-own-evidence-quality",
    "Route": "analyst-evidence-quality",
    "Question": "q2-fa-my-own-evidence-quality",
    "SemanticTypeIri": "urn:effortless:pko-extension#AppRouteQuestion",
    "Name": "analyst-evidence-quality answers q2-fa-my-own-evidence-quality"
   },
   {
    "AppRouteQuestionId": "rq-analyst-source-freshness--q-analyst-evidence-binding-stale",
    "Route": "analyst-source-freshness",
    "Question": "q-analyst-evidence-binding-stale",
    "SemanticTypeIri": "urn:effortless:pko-extension#AppRouteQuestion",
    "Name": "analyst-source-freshness answers q-analyst-evidence-binding-stale"
   },
   {
    "AppRouteQuestionId": "rq-analyst-stale-then-vs-now--q2-fa-stale-then-vs-stale-now",
    "Route": "analyst-stale-then-vs-now",
    "Question": "q2-fa-stale-then-vs-stale-now",
    "SemanticTypeIri": "urn:effortless:pko-extension#AppRouteQuestion",
    "Name": "analyst-stale-then-vs-now answers q2-fa-stale-then-vs-stale-now"
   },
   {
    "AppRouteQuestionId": "rq-analyst-clean-but-uncovered--q2-fa-clean-but-uncovered",
    "Route": "analyst-clean-but-uncovered",
    "Question": "q2-fa-clean-but-uncovered",
    "SemanticTypeIri": "urn:effortless:pko-extension#AppRouteQuestion",
    "Name": "analyst-clean-but-uncovered answers q2-fa-clean-but-uncovered"
   },
   {
    "AppRouteQuestionId": "rq-analyst-mute-clearance--q2-fa-cleared-by-mute-control",
    "Route": "analyst-mute-clearance",
    "Question": "q2-fa-cleared-by-mute-control",
    "SemanticTypeIri": "urn:effortless:pko-extension#AppRouteQuestion",
    "Name": "analyst-mute-clearance answers q2-fa-cleared-by-mute-control"
   },
   {
    "AppRouteQuestionId": "rq-analyst-witness-coverage--q2-fa-witness-coverage-of-my-steps",
    "Route": "analyst-witness-coverage",
    "Question": "q2-fa-witness-coverage-of-my-steps",
    "SemanticTypeIri": "urn:effortless:pko-extension#AppRouteQuestion",
    "Name": "analyst-witness-coverage answers q2-fa-witness-coverage-of-my-steps"
   },
   {
    "AppRouteQuestionId": "rq-hr-home--q-hr-unapproved-knowledge-in-my-name",
    "Route": "hr-home",
    "Question": "q-hr-unapproved-knowledge-in-my-name",
    "SemanticTypeIri": "urn:effortless:pko-extension#AppRouteQuestion",
    "Name": "hr-home answers q-hr-unapproved-knowledge-in-my-name"
   },
   {
    "AppRouteQuestionId": "rq-hr-home--q-hr-authority-without-review",
    "Route": "hr-home",
    "Question": "q-hr-authority-without-review",
    "SemanticTypeIri": "urn:effortless:pko-extension#AppRouteQuestion",
    "Name": "hr-home answers q-hr-authority-without-review"
   },
   {
    "AppRouteQuestionId": "rq-hr-unapproved-claims--q-hr-unapproved-knowledge-in-my-name",
    "Route": "hr-unapproved-claims",
    "Question": "q-hr-unapproved-knowledge-in-my-name",
    "SemanticTypeIri": "urn:effortless:pko-extension#AppRouteQuestion",
    "Name": "hr-unapproved-claims answers q-hr-unapproved-knowledge-in-my-name"
   },
   {
    "AppRouteQuestionId": "rq-hr-load-bearing-claim--q2-hr-my-unapproved-claim-is-load-bearing",
    "Route": "hr-load-bearing-claim",
    "Question": "q2-hr-my-unapproved-claim-is-load-bearing",
    "SemanticTypeIri": "urn:effortless:pko-extension#AppRouteQuestion",
    "Name": "hr-load-bearing-claim answers q2-hr-my-unapproved-claim-is-load-bearing"
   },
   {
    "AppRouteQuestionId": "rq-hr-backlog--q-hr-authority-without-review",
    "Route": "hr-backlog",
    "Question": "q-hr-authority-without-review",
    "SemanticTypeIri": "urn:effortless:pko-extension#AppRouteQuestion",
    "Name": "hr-backlog answers q-hr-authority-without-review"
   },
   {
    "AppRouteQuestionId": "rq-hr-backlog-downstream--q2-hr-my-backlog-is-someone-elses-block",
    "Route": "hr-backlog-downstream",
    "Question": "q2-hr-my-backlog-is-someone-elses-block",
    "SemanticTypeIri": "urn:effortless:pko-extension#AppRouteQuestion",
    "Name": "hr-backlog-downstream answers q2-hr-my-backlog-is-someone-elses-block"
   },
   {
    "AppRouteQuestionId": "rq-hr-my-decisions--q2-hr-my-approvals-never-read-as-done",
    "Route": "hr-my-decisions",
    "Question": "q2-hr-my-approvals-never-read-as-done",
    "SemanticTypeIri": "urn:effortless:pko-extension#AppRouteQuestion",
    "Name": "hr-my-decisions answers q2-hr-my-approvals-never-read-as-done"
   },
   {
    "AppRouteQuestionId": "rq-hr-ai-boundary--q-hr-ai-authored-commitments",
    "Route": "hr-ai-boundary",
    "Question": "q-hr-ai-authored-commitments",
    "SemanticTypeIri": "urn:effortless:pko-extension#AppRouteQuestion",
    "Name": "hr-ai-boundary answers q-hr-ai-authored-commitments"
   },
   {
    "AppRouteQuestionId": "rq-hr-ai-boundary--q2-hr-ai-boundary-holds-only-where-tested",
    "Route": "hr-ai-boundary",
    "Question": "q2-hr-ai-boundary-holds-only-where-tested",
    "SemanticTypeIri": "urn:effortless:pko-extension#AppRouteQuestion",
    "Name": "hr-ai-boundary answers q2-hr-ai-boundary-holds-only-where-tested"
   },
   {
    "AppRouteQuestionId": "rq-hr-knowledge-half-life--q-hr-policy-knowledge-half-life",
    "Route": "hr-knowledge-half-life",
    "Question": "q-hr-policy-knowledge-half-life",
    "SemanticTypeIri": "urn:effortless:pko-extension#AppRouteQuestion",
    "Name": "hr-knowledge-half-life answers q-hr-policy-knowledge-half-life"
   },
   {
    "AppRouteQuestionId": "rq-hr-departed-holders--q2-hr-departed-holder-left-claims-behind",
    "Route": "hr-departed-holders",
    "Question": "q2-hr-departed-holder-left-claims-behind",
    "SemanticTypeIri": "urn:effortless:pko-extension#AppRouteQuestion",
    "Name": "hr-departed-holders answers q2-hr-departed-holder-left-claims-behind"
   },
   {
    "AppRouteQuestionId": "rq-hr-what-was-sent--q-hr-what-was-actually-sent",
    "Route": "hr-what-was-sent",
    "Question": "q-hr-what-was-actually-sent",
    "SemanticTypeIri": "urn:effortless:pko-extension#AppRouteQuestion",
    "Name": "hr-what-was-sent answers q-hr-what-was-actually-sent"
   },
   {
    "AppRouteQuestionId": "rq-counsel-home--q-counsel-sms-without-consent",
    "Route": "counsel-home",
    "Question": "q-counsel-sms-without-consent",
    "SemanticTypeIri": "urn:effortless:pko-extension#AppRouteQuestion",
    "Name": "counsel-home answers q-counsel-sms-without-consent"
   },
   {
    "AppRouteQuestionId": "rq-counsel-home--q-counsel-quiet-hours-breach",
    "Route": "counsel-home",
    "Question": "q-counsel-quiet-hours-breach",
    "SemanticTypeIri": "urn:effortless:pko-extension#AppRouteQuestion",
    "Name": "counsel-home answers q-counsel-quiet-hours-breach"
   },
   {
    "AppRouteQuestionId": "rq-counsel-home--q-counsel-legal-review-gated-send",
    "Route": "counsel-home",
    "Question": "q-counsel-legal-review-gated-send",
    "SemanticTypeIri": "urn:effortless:pko-extension#AppRouteQuestion",
    "Name": "counsel-home answers q-counsel-legal-review-gated-send"
   },
   {
    "AppRouteQuestionId": "rq-counsel-home--q-counsel-retention-evidence",
    "Route": "counsel-home",
    "Question": "q-counsel-retention-evidence",
    "SemanticTypeIri": "urn:effortless:pko-extension#AppRouteQuestion",
    "Name": "counsel-home answers q-counsel-retention-evidence"
   },
   {
    "AppRouteQuestionId": "rq-counsel-consent--q-counsel-sms-without-consent",
    "Route": "counsel-consent",
    "Question": "q-counsel-sms-without-consent",
    "SemanticTypeIri": "urn:effortless:pko-extension#AppRouteQuestion",
    "Name": "counsel-consent answers q-counsel-sms-without-consent"
   },
   {
    "AppRouteQuestionId": "rq-counsel-quiet-hours--q-counsel-quiet-hours-breach",
    "Route": "counsel-quiet-hours",
    "Question": "q-counsel-quiet-hours-breach",
    "SemanticTypeIri": "urn:effortless:pko-extension#AppRouteQuestion",
    "Name": "counsel-quiet-hours answers q-counsel-quiet-hours-breach"
   },
   {
    "AppRouteQuestionId": "rq-counsel-legal-review--q-counsel-legal-review-gated-send",
    "Route": "counsel-legal-review",
    "Question": "q-counsel-legal-review-gated-send",
    "SemanticTypeIri": "urn:effortless:pko-extension#AppRouteQuestion",
    "Name": "counsel-legal-review answers q-counsel-legal-review-gated-send"
   },
   {
    "AppRouteQuestionId": "rq-counsel-retention--q-counsel-retention-evidence",
    "Route": "counsel-retention",
    "Question": "q-counsel-retention-evidence",
    "SemanticTypeIri": "urn:effortless:pko-extension#AppRouteQuestion",
    "Name": "counsel-retention answers q-counsel-retention-evidence"
   },
   {
    "AppRouteQuestionId": "rq-counsel-unreachable--q-counsel-unreachable-not-acknowledged",
    "Route": "counsel-unreachable",
    "Question": "q-counsel-unreachable-not-acknowledged",
    "SemanticTypeIri": "urn:effortless:pko-extension#AppRouteQuestion",
    "Name": "counsel-unreachable answers q-counsel-unreachable-not-acknowledged"
   },
   {
    "AppRouteQuestionId": "rq-comms-home--q-comms-deliverability",
    "Route": "comms-home",
    "Question": "q-comms-deliverability",
    "SemanticTypeIri": "urn:effortless:pko-extension#AppRouteQuestion",
    "Name": "comms-home answers q-comms-deliverability"
   },
   {
    "AppRouteQuestionId": "rq-comms-home--q2-comms-approval-to-delivery-yield",
    "Route": "comms-home",
    "Question": "q2-comms-approval-to-delivery-yield",
    "SemanticTypeIri": "urn:effortless:pko-extension#AppRouteQuestion",
    "Name": "comms-home answers q2-comms-approval-to-delivery-yield"
   },
   {
    "AppRouteQuestionId": "rq-comms-yield--q2-comms-approval-to-delivery-yield",
    "Route": "comms-yield",
    "Question": "q2-comms-approval-to-delivery-yield",
    "SemanticTypeIri": "urn:effortless:pko-extension#AppRouteQuestion",
    "Name": "comms-yield answers q2-comms-approval-to-delivery-yield"
   },
   {
    "AppRouteQuestionId": "rq-comms-yield--q-comms-deliverability",
    "Route": "comms-yield",
    "Question": "q-comms-deliverability",
    "SemanticTypeIri": "urn:effortless:pko-extension#AppRouteQuestion",
    "Name": "comms-yield answers q-comms-deliverability"
   },
   {
    "AppRouteQuestionId": "rq-comms-failed-deliveries--q-comms-deliverability",
    "Route": "comms-failed-deliveries",
    "Question": "q-comms-deliverability",
    "SemanticTypeIri": "urn:effortless:pko-extension#AppRouteQuestion",
    "Name": "comms-failed-deliveries answers q-comms-deliverability"
   },
   {
    "AppRouteQuestionId": "rq-comms-approval-authority--q-comms-approval-authority",
    "Route": "comms-approval-authority",
    "Question": "q-comms-approval-authority",
    "SemanticTypeIri": "urn:effortless:pko-extension#AppRouteQuestion",
    "Name": "comms-approval-authority answers q-comms-approval-authority"
   },
   {
    "AppRouteQuestionId": "rq-comms-template-drift--q-comms-template-drift",
    "Route": "comms-template-drift",
    "Question": "q-comms-template-drift",
    "SemanticTypeIri": "urn:effortless:pko-extension#AppRouteQuestion",
    "Name": "comms-template-drift answers q-comms-template-drift"
   },
   {
    "AppRouteQuestionId": "rq-comms-frozen-approval--q2-comms-freeze-what-i-approved",
    "Route": "comms-frozen-approval",
    "Question": "q2-comms-freeze-what-i-approved",
    "SemanticTypeIri": "urn:effortless:pko-extension#AppRouteQuestion",
    "Name": "comms-frozen-approval answers q2-comms-freeze-what-i-approved"
   },
   {
    "AppRouteQuestionId": "rq-comms-optout--q-comms-optout-present",
    "Route": "comms-optout",
    "Question": "q-comms-optout-present",
    "SemanticTypeIri": "urn:effortless:pko-extension#AppRouteQuestion",
    "Name": "comms-optout answers q-comms-optout-present"
   },
   {
    "AppRouteQuestionId": "rq-comms-sms-limits--q-comms-oversized-sms",
    "Route": "comms-sms-limits",
    "Question": "q-comms-oversized-sms",
    "SemanticTypeIri": "urn:effortless:pko-extension#AppRouteQuestion",
    "Name": "comms-sms-limits answers q-comms-oversized-sms"
   },
   {
    "AppRouteQuestionId": "rq-comms-engagement--q2-comms-message-nobody-answered",
    "Route": "comms-engagement",
    "Question": "q2-comms-message-nobody-answered",
    "SemanticTypeIri": "urn:effortless:pko-extension#AppRouteQuestion",
    "Name": "comms-engagement answers q2-comms-message-nobody-answered"
   },
   {
    "AppRouteQuestionId": "rq-comms-suppression--q2-comms-suppression-is-a-communication",
    "Route": "comms-suppression",
    "Question": "q2-comms-suppression-is-a-communication",
    "SemanticTypeIri": "urn:effortless:pko-extension#AppRouteQuestion",
    "Name": "comms-suppression answers q2-comms-suppression-is-a-communication"
   },
   {
    "AppRouteQuestionId": "rq-comms-authorization-override--q2-comms-my-approval-was-consumed-correctly",
    "Route": "comms-authorization-override",
    "Question": "q2-comms-my-approval-was-consumed-correctly",
    "SemanticTypeIri": "urn:effortless:pko-extension#AppRouteQuestion",
    "Name": "comms-authorization-override answers q2-comms-my-approval-was-consumed-correctly"
   },
   {
    "AppRouteQuestionId": "rq-close-auto-home--q-close-auto-authority-current",
    "Route": "close-auto-home",
    "Question": "q-close-auto-authority-current",
    "SemanticTypeIri": "urn:effortless:pko-extension#AppRouteQuestion",
    "Name": "close-auto-home answers q-close-auto-authority-current"
   },
   {
    "AppRouteQuestionId": "rq-close-auto-home--q-close-auto-input-freshness",
    "Route": "close-auto-home",
    "Question": "q-close-auto-input-freshness",
    "SemanticTypeIri": "urn:effortless:pko-extension#AppRouteQuestion",
    "Name": "close-auto-home answers q-close-auto-input-freshness"
   },
   {
    "AppRouteQuestionId": "rq-close-auto-home--q-close-auto-last-run-clean",
    "Route": "close-auto-home",
    "Question": "q-close-auto-last-run-clean",
    "SemanticTypeIri": "urn:effortless:pko-extension#AppRouteQuestion",
    "Name": "close-auto-home answers q-close-auto-last-run-clean"
   },
   {
    "AppRouteQuestionId": "rq-close-auto-home--q-close-auto-blocking-requirements-evaluated",
    "Route": "close-auto-home",
    "Question": "q-close-auto-blocking-requirements-evaluated",
    "SemanticTypeIri": "urn:effortless:pko-extension#AppRouteQuestion",
    "Name": "close-auto-home answers q-close-auto-blocking-requirements-evaluated"
   },
   {
    "AppRouteQuestionId": "rq-close-auto-authority--q-close-auto-authority-current",
    "Route": "close-auto-authority",
    "Question": "q-close-auto-authority-current",
    "SemanticTypeIri": "urn:effortless:pko-extension#AppRouteQuestion",
    "Name": "close-auto-authority answers q-close-auto-authority-current"
   },
   {
    "AppRouteQuestionId": "rq-close-auto-inputs--q-close-auto-input-freshness",
    "Route": "close-auto-inputs",
    "Question": "q-close-auto-input-freshness",
    "SemanticTypeIri": "urn:effortless:pko-extension#AppRouteQuestion",
    "Name": "close-auto-inputs answers q-close-auto-input-freshness"
   },
   {
    "AppRouteQuestionId": "rq-close-auto-controls--q-close-auto-blocking-requirements-evaluated",
    "Route": "close-auto-controls",
    "Question": "q-close-auto-blocking-requirements-evaluated",
    "SemanticTypeIri": "urn:effortless:pko-extension#AppRouteQuestion",
    "Name": "close-auto-controls answers q-close-auto-blocking-requirements-evaluated"
   },
   {
    "AppRouteQuestionId": "rq-close-auto-last-run--q-close-auto-last-run-clean",
    "Route": "close-auto-last-run",
    "Question": "q-close-auto-last-run-clean",
    "SemanticTypeIri": "urn:effortless:pko-extension#AppRouteQuestion",
    "Name": "close-auto-last-run answers q-close-auto-last-run-clean"
   },
   {
    "AppRouteQuestionId": "rq-close-auto-drift--q-close-auto-human-override-drift",
    "Route": "close-auto-drift",
    "Question": "q-close-auto-human-override-drift",
    "SemanticTypeIri": "urn:effortless:pko-extension#AppRouteQuestion",
    "Name": "close-auto-drift answers q-close-auto-human-override-drift"
   },
   {
    "AppRouteQuestionId": "rq-variance-home--q-variance-ai-authority-provenance",
    "Route": "variance-home",
    "Question": "q-variance-ai-authority-provenance",
    "SemanticTypeIri": "urn:effortless:pko-extension#AppRouteQuestion",
    "Name": "variance-home answers q-variance-ai-authority-provenance"
   },
   {
    "AppRouteQuestionId": "rq-variance-home--q-variance-ai-boundary-compliance",
    "Route": "variance-home",
    "Question": "q-variance-ai-boundary-compliance",
    "SemanticTypeIri": "urn:effortless:pko-extension#AppRouteQuestion",
    "Name": "variance-home answers q-variance-ai-boundary-compliance"
   },
   {
    "AppRouteQuestionId": "rq-variance-home--q-variance-ai-knowledge-currency",
    "Route": "variance-home",
    "Question": "q-variance-ai-knowledge-currency",
    "SemanticTypeIri": "urn:effortless:pko-extension#AppRouteQuestion",
    "Name": "variance-home answers q-variance-ai-knowledge-currency"
   },
   {
    "AppRouteQuestionId": "rq-variance-authority--q-variance-ai-authority-provenance",
    "Route": "variance-authority",
    "Question": "q-variance-ai-authority-provenance",
    "SemanticTypeIri": "urn:effortless:pko-extension#AppRouteQuestion",
    "Name": "varia</t>
  </si>
  <si>
    <t xml:space="preserve">nce-authority answers q-variance-ai-authority-provenance"
   },
   {
    "AppRouteQuestionId": "rq-variance-authority--q2-variance-handover-was-a-decision-somebody-made",
    "Route": "variance-authority",
    "Question": "q2-variance-handover-was-a-decision-somebody-made",
    "SemanticTypeIri": "urn:effortless:pko-extension#AppRouteQuestion",
    "Name": "variance-authority answers q2-variance-handover-was-a-decision-somebody-made"
   },
   {
    "AppRouteQuestionId": "rq-variance-handover--q2-variance-handover-was-a-decision-somebody-made",
    "Route": "variance-handover",
    "Question": "q2-variance-handover-was-a-decision-somebody-made",
    "SemanticTypeIri": "urn:effortless:pko-extension#AppRouteQuestion",
    "Name": "variance-handover answers q2-variance-handover-was-a-decision-somebody-made"
   },
   {
    "AppRouteQuestionId": "rq-variance-boundary--q-variance-ai-boundary-compliance",
    "Route": "variance-boundary",
    "Question": "q-variance-ai-boundary-compliance",
    "SemanticTypeIri": "urn:effortless:pko-extension#AppRouteQuestion",
    "Name": "variance-boundary answers q-variance-ai-boundary-compliance"
   },
   {
    "AppRouteQuestionId": "rq-variance-boundary-ratification--q2-variance-boundary-rests-on-expired-knowledge",
    "Route": "variance-boundary-ratification",
    "Question": "q2-variance-boundary-rests-on-expired-knowledge",
    "SemanticTypeIri": "urn:effortless:pko-extension#AppRouteQuestion",
    "Name": "variance-boundary-ratification answers q2-variance-boundary-rests-on-expired-knowledge"
   },
   {
    "AppRouteQuestionId": "rq-variance-human-confirmation--q-variance-ai-human-confirmation-present",
    "Route": "variance-human-confirmation",
    "Question": "q-variance-ai-human-confirmation-present",
    "SemanticTypeIri": "urn:effortless:pko-extension#AppRouteQuestion",
    "Name": "variance-human-confirmation answers q-variance-ai-human-confirmation-present"
   },
   {
    "AppRouteQuestionId": "rq-variance-knowledge-currency--q-variance-ai-knowledge-currency",
    "Route": "variance-knowledge-currency",
    "Question": "q-variance-ai-knowledge-currency",
    "SemanticTypeIri": "urn:effortless:pko-extension#AppRouteQuestion",
    "Name": "variance-knowledge-currency answers q-variance-ai-knowledge-currency"
   },
   {
    "AppRouteQuestionId": "rq-variance-quality-baseline--q-variance-ai-quality-vs-human-baseline",
    "Route": "variance-quality-baseline",
    "Question": "q-variance-ai-quality-vs-human-baseline",
    "SemanticTypeIri": "urn:effortless:pko-extension#AppRouteQuestion",
    "Name": "variance-quality-baseline answers q-variance-ai-quality-vs-human-baseline"
   },
   {
    "AppRouteQuestionId": "rq-variance-quality-baseline--q2-variance-comparison-is-statistically-empty",
    "Route": "variance-quality-baseline",
    "Question": "q2-variance-comparison-is-statistically-empty",
    "SemanticTypeIri": "urn:effortless:pko-extension#AppRouteQuestion",
    "Name": "variance-quality-baseline answers q2-variance-comparison-is-statistically-empty"
   },
   {
    "AppRouteQuestionId": "rq-variance-sample-size--q2-variance-comparison-is-statistically-empty",
    "Route": "variance-sample-size",
    "Question": "q2-variance-comparison-is-statistically-empty",
    "SemanticTypeIri": "urn:effortless:pko-extension#AppRouteQuestion",
    "Name": "variance-sample-size answers q2-variance-comparison-is-statistically-empty"
   },
   {
    "AppRouteQuestionId": "rq-variance-override-signal--q2-variance-override-signal-vs-noise",
    "Route": "variance-override-signal",
    "Question": "q2-variance-override-signal-vs-noise",
    "SemanticTypeIri": "urn:effortless:pko-extension#AppRouteQuestion",
    "Name": "variance-override-signal answers q2-variance-override-signal-vs-noise"
   },
   {
    "AppRouteQuestionId": "rq-variance-stop-condition--q2-variance-what-would-make-me-stop",
    "Route": "variance-stop-condition",
    "Question": "q2-variance-what-would-make-me-stop",
    "SemanticTypeIri": "urn:effortless:pko-extension#AppRouteQuestion",
    "Name": "variance-stop-condition answers q2-variance-what-would-make-me-stop"
   },
   {
    "AppRouteQuestionId": "rq-policy-agent-home--q-policy-ai-source-approval",
    "Route": "policy-agent-home",
    "Question": "q-policy-ai-source-approval",
    "SemanticTypeIri": "urn:effortless:pko-extension#AppRouteQuestion",
    "Name": "policy-agent-home answers q-policy-ai-source-approval"
   },
   {
    "AppRouteQuestionId": "rq-policy-agent-home--q-policy-ai-no-role-assignment",
    "Route": "policy-agent-home",
    "Question": "q-policy-ai-no-role-assignment",
    "SemanticTypeIri": "urn:effortless:pko-extension#AppRouteQuestion",
    "Name": "policy-agent-home answers q-policy-ai-no-role-assignment"
   },
   {
    "AppRouteQuestionId": "rq-policy-agent-sources--q-policy-ai-source-approval",
    "Route": "policy-agent-sources",
    "Question": "q-policy-ai-source-approval",
    "SemanticTypeIri": "urn:effortless:pko-extension#AppRouteQuestion",
    "Name": "policy-agent-sources answers q-policy-ai-source-approval"
   },
   {
    "AppRouteQuestionId": "rq-policy-agent-assignment--q-policy-ai-no-role-assignment",
    "Route": "policy-agent-assignment",
    "Question": "q-policy-ai-no-role-assignment",
    "SemanticTypeIri": "urn:effortless:pko-extension#AppRouteQuestion",
    "Name": "policy-agent-assignment answers q-policy-ai-no-role-assignment"
   },
   {
    "AppRouteQuestionId": "rq-policy-agent-commitment-boundary--q-policy-ai-commitment-boundary",
    "Route": "policy-agent-commitment-boundary",
    "Question": "q-policy-ai-commitment-boundary",
    "SemanticTypeIri": "urn:effortless:pko-extension#AppRouteQuestion",
    "Name": "policy-agent-commitment-boundary answers q-policy-ai-commitment-boundary"
   },
   {
    "AppRouteQuestionId": "rq-policy-agent-approval-chain--q-policy-ai-approval-chain-complete",
    "Route": "policy-agent-approval-chain",
    "Question": "q-policy-ai-approval-chain-complete",
    "SemanticTypeIri": "urn:effortless:pko-extension#AppRouteQuestion",
    "Name": "policy-agent-approval-chain answers q-policy-ai-approval-chain-complete"
   },
   {
    "AppRouteQuestionId": "rq-policy-agent-rewrite--q-policy-ai-downstream-rewrite",
    "Route": "policy-agent-rewrite",
    "Question": "q-policy-ai-downstream-rewrite",
    "SemanticTypeIri": "urn:effortless:pko-extension#AppRouteQuestion",
    "Name": "policy-agent-rewrite answers q-policy-ai-downstream-rewrite"
   },
   {
    "AppRouteQuestionId": "rq-publisher-home--q-publisher-may-i-transmit",
    "Route": "publisher-home",
    "Question": "q-publisher-may-i-transmit",
    "SemanticTypeIri": "urn:effortless:pko-extension#AppRouteQuestion",
    "Name": "publisher-home answers q-publisher-may-i-transmit"
   },
   {
    "AppRouteQuestionId": "rq-publisher-home--q-publisher-may-i-transmit-now",
    "Route": "publisher-home",
    "Question": "q-publisher-may-i-transmit-now",
    "SemanticTypeIri": "urn:effortless:pko-extension#AppRouteQuestion",
    "Name": "publisher-home answers q-publisher-may-i-transmit-now"
   },
   {
    "AppRouteQuestionId": "rq-publisher-home--q-publisher-is-this-content-permitted",
    "Route": "publisher-home",
    "Question": "q-publisher-is-this-content-permitted",
    "SemanticTypeIri": "urn:effortless:pko-extension#AppRouteQuestion",
    "Name": "publisher-home answers q-publisher-is-this-content-permitted"
   },
   {
    "AppRouteQuestionId": "rq-publisher-home--q-publisher-am-i-authorized-to-act",
    "Route": "publisher-home",
    "Question": "q-publisher-am-i-authorized-to-act",
    "SemanticTypeIri": "urn:effortless:pko-extension#AppRouteQuestion",
    "Name": "publisher-home answers q-publisher-am-i-authorized-to-act"
   },
   {
    "AppRouteQuestionId": "rq-publisher-permission-gate--q-publisher-may-i-transmit",
    "Route": "publisher-permission-gate",
    "Question": "q-publisher-may-i-transmit",
    "SemanticTypeIri": "urn:effortless:pko-extension#AppRouteQuestion",
    "Name": "publisher-permission-gate answers q-publisher-may-i-transmit"
   },
   {
    "AppRouteQuestionId": "rq-publisher-timing-gate--q-publisher-may-i-transmit-now",
    "Route": "publisher-timing-gate",
    "Question": "q-publisher-may-i-transmit-now",
    "SemanticTypeIri": "urn:effortless:pko-extension#AppRouteQuestion",
    "Name": "publisher-timing-gate answers q-publisher-may-i-transmit-now"
   },
   {
    "AppRouteQuestionId": "rq-publisher-content-gate--q-publisher-is-this-content-permitted",
    "Route": "publisher-content-gate",
    "Question": "q-publisher-is-this-content-permitted",
    "SemanticTypeIri": "urn:effortless:pko-extension#AppRouteQuestion",
    "Name": "publisher-content-gate answers q-publisher-is-this-content-permitted"
   },
   {
    "AppRouteQuestionId": "rq-publisher-authorization-gate--q-publisher-am-i-authorized-to-act",
    "Route": "publisher-authorization-gate",
    "Question": "q-publisher-am-i-authorized-to-act",
    "SemanticTypeIri": "urn:effortless:pko-extension#AppRouteQuestion",
    "Name": "publisher-authorization-gate answers q-publisher-am-i-authorized-to-act"
   },
   {
    "AppRouteQuestionId": "rq-publisher-refusals--q-publisher-refusal-was-honored",
    "Route": "publisher-refusals",
    "Question": "q-publisher-refusal-was-honored",
    "SemanticTypeIri": "urn:effortless:pko-extension#AppRouteQuestion",
    "Name": "publisher-refusals answers q-publisher-refusal-was-honored"
   },
   {
    "AppRouteQuestionId": "rq-publisher-refusal-artifacts--q2-publisher-every-refusal-leaves-a-record",
    "Route": "publisher-refusal-artifacts",
    "Question": "q2-publisher-every-refusal-leaves-a-record",
    "SemanticTypeIri": "urn:effortless:pko-extension#AppRouteQuestion",
    "Name": "publisher-refusal-artifacts answers q2-publisher-every-refusal-leaves-a-record"
   },
   {
    "AppRouteQuestionId": "rq-publisher-deferred--q2-publisher-deferred-not-cancelled",
    "Route": "publisher-deferred",
    "Question": "q2-publisher-deferred-not-cancelled",
    "SemanticTypeIri": "urn:effortless:pko-extension#AppRouteQuestion",
    "Name": "publisher-deferred answers q2-publisher-deferred-not-cancelled"
   },
   {
    "AppRouteQuestionId": "rq-publisher-obligations--q2-publisher-obligation-after-send",
    "Route": "publisher-obligations",
    "Question": "q2-publisher-obligation-after-send",
    "SemanticTypeIri": "urn:effortless:pko-extension#AppRouteQuestion",
    "Name": "publisher-obligations answers q2-publisher-obligation-after-send"
   },
   {
    "AppRouteQuestionId": "rq-publisher-my-authorization--q2-publisher-my-own-authorization",
    "Route": "publisher-my-authorization",
    "Question": "q2-publisher-my-own-authorization",
    "SemanticTypeIri": "urn:effortless:pko-extension#AppRouteQuestion",
    "Name": "publisher-my-authorization answers q2-publisher-my-own-authorization"
   },
   {
    "AppRouteQuestionId": "rq-publisher-sole-witness--q2-publisher-am-i-the-only-witness",
    "Route": "publisher-sole-witness",
    "Question": "q2-publisher-am-i-the-only-witness",
    "SemanticTypeIri": "urn:effortless:pko-extension#AppRouteQuestion",
    "Name": "publisher-sole-witness answers q2-publisher-am-i-the-only-witness"
   },
   {
    "AppRouteQuestionId": "rq-steward-home--q-steward-cadence-breach",
    "Route": "steward-home",
    "Question": "q-steward-cadence-breach",
    "SemanticTypeIri": "urn:effortless:pko-extension#AppRouteQuestion",
    "Name": "steward-home answers q-steward-cadence-breach"
   },
   {
    "AppRouteQuestionId": "rq-steward-home--q-steward-published-with-blocking-gap",
    "Route": "steward-home",
    "Question": "q-steward-published-with-blocking-gap",
    "SemanticTypeIri": "urn:effortless:pko-extension#AppRouteQuestion",
    "Name": "steward-home answers q-steward-published-with-blocking-gap"
   },
   {
    "AppRouteQuestionId": "rq-steward-home--q-steward-orphan-versions",
    "Route": "steward-home",
    "Question": "q-steward-orphan-versions",
    "SemanticTypeIri": "urn:effortless:pko-extension#AppRouteQuestion",
    "Name": "steward-home answers q-steward-orphan-versions"
   },
   {
    "AppRouteQuestionId": "rq-steward-home--q-steward-untested-fallbacks",
    "Route": "steward-home",
    "Question": "q-steward-untested-fallbacks",
    "SemanticTypeIri": "urn:effortless:pko-extension#AppRouteQuestion",
    "Name": "steward-home answers q-steward-untested-fallbacks"
   },
   {
    "AppRouteQuestionId": "rq-steward-cadence--q-steward-cadence-breach",
    "Route": "steward-cadence",
    "Question": "q-steward-cadence-breach",
    "SemanticTypeIri": "urn:effortless:pko-extension#AppRouteQuestion",
    "Name": "steward-cadence answers q-steward-cadence-breach"
   },
   {
    "AppRouteQuestionId": "rq-steward-cadence-remediation--q2-steward-cadence-breach-is-unremediated",
    "Route": "steward-cadence-remediation",
    "Question": "q2-steward-cadence-breach-is-unremediated",
    "SemanticTypeIri": "urn:effortless:pko-extension#AppRouteQuestion",
    "Name": "steward-cadence-remediation answers q2-steward-cadence-breach-is-unremediated"
   },
   {
    "AppRouteQuestionId": "rq-steward-open-gaps--q-steward-published-with-blocking-gap",
    "Route": "steward-open-gaps",
    "Question": "q-steward-published-with-blocking-gap",
    "SemanticTypeIri": "urn:effortless:pko-extension#AppRouteQuestion",
    "Name": "steward-open-gaps answers q-steward-published-with-blocking-gap"
   },
   {
    "AppRouteQuestionId": "rq-steward-stalled-changes--q-steward-stalled-change-requests",
    "Route": "steward-stalled-changes",
    "Question": "q-steward-stalled-change-requests",
    "SemanticTypeIri": "urn:effortless:pko-extension#AppRouteQuestion",
    "Name": "steward-stalled-changes answers q-steward-stalled-change-requests"
   },
   {
    "AppRouteQuestionId": "rq-steward-approved-never-lands--q2-steward-approved-cr-never-lands",
    "Route": "steward-approved-never-lands",
    "Question": "q2-steward-approved-cr-never-lands",
    "SemanticTypeIri": "urn:effortless:pko-extension#AppRouteQuestion",
    "Name": "steward-approved-never-lands answers q2-steward-approved-cr-never-lands"
   },
   {
    "AppRouteQuestionId": "rq-steward-orphans--q-steward-orphan-versions",
    "Route": "steward-orphans",
    "Question": "q-steward-orphan-versions",
    "SemanticTypeIri": "urn:effortless:pko-extension#AppRouteQuestion",
    "Name": "steward-orphans answers q-steward-orphan-versions"
   },
   {
    "AppRouteQuestionId": "rq-steward-archived-still-referenced--q2-steward-unstewarded-version-still-referenced",
    "Route": "steward-archived-still-referenced",
    "Question": "q2-steward-unstewarded-version-still-referenced",
    "SemanticTypeIri": "urn:effortless:pko-extension#AppRouteQuestion",
    "Name": "steward-archived-still-referenced answers q2-steward-unstewarded-version-still-referenced"
   },
   {
    "AppRouteQuestionId": "rq-steward-fallbacks--q-steward-untested-fallbacks",
    "Route": "steward-fallbacks",
    "Question": "q-steward-untested-fallbacks",
    "SemanticTypeIri": "urn:effortless:pko-extension#AppRouteQuestion",
    "Name": "steward-fallbacks answers q-steward-untested-fallbacks"
   },
   {
    "AppRouteQuestionId": "rq-steward-fallback-criticality--q2-steward-recovery-path-is-load-bearing",
    "Route": "steward-fallback-criticality",
    "Question": "q2-steward-recovery-path-is-load-bearing",
    "SemanticTypeIri": "urn:effortless:pko-extension#AppRouteQuestion",
    "Name": "steward-fallback-criticality answers q2-steward-recovery-path-is-load-bearing"
   },
   {
    "AppRouteQuestionId": "rq-steward-hardcoded-predicates--q2-steward-control-kind-instead-of-hardcoded-ids",
    "Route": "steward-hardcoded-predicates",
    "Question": "q2-steward-control-kind-instead-of-hardcoded-ids",
    "SemanticTypeIri": "urn:effortless:pko-extension#AppRouteQuestion",
    "Name": "steward-hardcoded-predicates answers q2-steward-control-kind-instead-of-hardcoded-ids"
   },
   {
    "AppRouteQuestionId": "rq-authority-home--q-authority-non-approved-dependency",
    "Route": "authority-home",
    "Question": "q-authority-non-approved-dependency",
    "SemanticTypeIri": "urn:effortless:pko-extension#AppRouteQuestion",
    "Name": "authority-home answers q-authority-non-approved-dependency"
   },
   {
    "AppRouteQuestionId": "rq-authority-home--q-authority-stale-elicitation",
    "Route": "authority-home",
    "Question": "q-authority-stale-elicitation",
    "SemanticTypeIri": "urn:effortless:pko-extension#AppRouteQuestion",
    "Name": "authority-home answers q-authority-stale-elicitation"
   },
   {
    "AppRouteQuestionId": "rq-authority-fragment-decay--q2-authority-compound-fragility",
    "Route": "authority-fragment-decay",
    "Question": "q2-authority-compound-fragility",
    "SemanticTypeIri": "urn:effortless:pko-extension#AppRouteQuestion",
    "Name": "authority-fragment-decay answers q2-authority-compound-fragility"
   },
   {
    "AppRouteQuestionId": "rq-authority-unapproved-live--q-authority-non-approved-dependency",
    "Route": "authority-unapproved-live",
    "Question": "q-authority-non-approved-dependency",
    "SemanticTypeIri": "urn:effortless:pko-extension#AppRouteQuestion",
    "Name": "authority-unapproved-live answers q-authority-non-approved-dependency"
   },
   {
    "AppRouteQuestionId": "rq-authority-unapproved-live--q2-authority-unapproved-knowledge-reaching-machines",
    "Route": "authority-unapproved-live",
    "Question": "q2-authority-unapproved-knowledge-reaching-machines",
    "SemanticTypeIri": "urn:effortless:pko-extension#AppRouteQuestion",
    "Name": "authority-unapproved-live answers q2-authority-unapproved-knowledge-reaching-machines"
   },
   {
    "AppRouteQuestionId": "rq-authority-machine-consumers--q2-authority-unapproved-knowledge-reaching-machines",
    "Route": "authority-machine-consumers",
    "Question": "q2-authority-unapproved-knowledge-reaching-machines",
    "SemanticTypeIri": "urn:effortless:pko-extension#AppRouteQuestion",
    "Name": "authority-machine-consumers answers q2-authority-unapproved-knowledge-reaching-machines"
   },
   {
    "AppRouteQuestionId": "rq-authority-expired-ratifier--q2-authority-boundary-rests-on-expired-claim",
    "Route": "authority-expired-ratifier",
    "Question": "q2-authority-boundary-rests-on-expired-claim",
    "SemanticTypeIri": "urn:effortless:pko-extension#AppRouteQuestion",
    "Name": "authority-expired-ratifier answers q2-authority-boundary-rests-on-expired-claim"
   },
   {
    "AppRouteQuestionId": "rq-authority-orphaned-provenance--q-authority-orphaned-provenance",
    "Route": "authority-orphaned-provenance",
    "Question": "q-authority-orphaned-provenance",
    "SemanticTypeIri": "urn:effortless:pko-extension#AppRouteQuestion",
    "Name": "authority-orphaned-provenance answers q-authority-orphaned-provenance"
   },
   {
    "AppRouteQuestionId": "rq-authority-unwitnessed-change--q-authority-unwitnessed-change",
    "Route": "authority-unwitnessed-change",
    "Question": "q-authority-unwitnessed-change",
    "SemanticTypeIri": "urn:effortless:pko-extension#AppRouteQuestion",
    "Name": "authority-unwitnessed-change answers q-authority-unwitnessed-change"
   },
   {
    "AppRouteQuestionId": "rq-authority-stale-elicitation--q-authority-stale-elicitation",
    "Route": "authority-stale-elicitation",
    "Question": "q-authority-stale-elicitation",
    "SemanticTypeIri": "urn:effortless:pko-extension#AppRouteQuestion",
    "Name": "authority-stale-elicitation answers q-authority-stale-elicitation"
   },
   {
    "AppRouteQuestionId": "rq-authority-elicitation-monoculture--q2-authority-elicitation-method-monoculture",
    "Route": "authority-elicitation-monoculture",
    "Question": "q2-authority-elicitation-method-monoculture",
    "SemanticTypeIri": "urn:effortless:pko-extension#AppRouteQuestion",
    "Name": "authority-elicitation-monoculture answers q2-authority-elicitation-method-monoculture"
   },
   {
    "AppRouteQuestionId": "rq-authority-known-unknowns--q-authority-known-unknowns",
    "Route": "authority-known-unknowns",
    "Question": "q-authority-known-unknowns",
    "SemanticTypeIri": "urn:effortless:pko-extension#AppRouteQuestion",
    "Name": "authority-known-unknowns answers q-authority-known-unknowns"
   },
   {
    "AppRouteQuestionId": "rq-authority-review-date-inferred--q2-authority-review-date-is-inferred-not-recorded",
    "Route": "authority-review-date-inferred",
    "Question": "q2-authority-review-date-is-inferred-not-recorded",
    "SemanticTypeIri": "urn:effortless:pko-extension#AppRouteQuestion",
    "Name": "authority-review-date-inferred answers q2-authority-review-date-is-inferred-not-recorded"
   },
   {
    "AppRouteQuestionId": "rq-shared-evaluation-context--q2-cfo-would-it-survive-restatement",
    "Route": "shared-evaluation-context",
    "Question": "q2-cfo-would-it-survive-restatement",
    "SemanticTypeIri": "urn:effortless:pko-extension#AppRouteQuestion",
    "Name": "shared-evaluation-context answers q2-cfo-would-it-survive-restatement"
   },
   {
    "AppRouteQuestionId": "rq-shared-evaluation-context--q2-fa-stale-then-vs-stale-now",
    "Route": "shared-evaluation-context",
    "Question": "q2-fa-stale-then-vs-stale-now",
    "SemanticTypeIri": "urn:effortless:pko-extension#AppRouteQuestion",
    "Name": "shared-evaluation-context answers q2-fa-stale-then-vs-stale-now"
   }
  ]
 },
 "AppRouteReferences": {
  "Description": "Junction: which other routes a route links to. This is the navigation graph between screens, kept as rows rather than embedded lists so the canonical model stays a DAG.",
  "schema": [
   {
    "name": "AppRouteReferenceId",
    "datatype": "string",
    "type": "raw",
    "nullable": false,
    "Description": "Stored logical identifier for one AppRouteReferences row."
   },
   {
    "name": "Name",
    "datatype": "string",
    "type": "calculated",
    "nullable": true,
    "Description": "Human-readable calculated display alias for the AppRouteReferences row.",
    "formula": "={{FromRoute}} &amp; \" -&gt; \" &amp; {{ToRoute}}"
   },
   {
    "name": "FromRoute",
    "datatype": "string",
    "type": "relationship",
    "nullable": true,
    "Description": "The route that links out.",
    "RelatedTo": "AppRoutes"
   },
   {
    "name": "ToRoute",
    "datatype": "string",
    "type": "relationship",
    "nullable": true,
    "Description": "The route being linked to.",
    "RelatedTo": "AppRoutes"
   },
   {
    "name": "SemanticTypeIri",
    "datatype": "string",
    "type": "raw",
    "nullable": true,
    "Description": "Semantic type IRI for this row. An extension."
   }
  ],
  "data": [
   {
    "AppRouteReferenceId": "rr-cfo-home--cfo-blockers",
    "FromRoute": "cfo-home",
    "ToRoute": "cfo-blockers",
    "SemanticTypeIri": "urn:effortless:pko-extension#AppRouteReference",
    "Name": "cfo-home -&gt; cfo-blockers"
   },
   {
    "AppRouteReferenceId": "rr-cfo-home--cfo-assurance-grade",
    "FromRoute": "cfo-home",
    "ToRoute": "cfo-assurance-grade",
    "SemanticTypeIri": "urn:effortless:pko-extension#AppRouteReference",
    "Name": "cfo-home -&gt; cfo-assurance-grade"
   },
   {
    "AppRouteReferenceId": "rr-cfo-home--cfo-signature-dependencies",
    "FromRoute": "cfo-home",
    "ToRoute": "cfo-signature-dependencies",
    "SemanticTypeIri": "urn:effortless:pko-extension#AppRouteReference",
    "Name": "cfo-home -&gt; cfo-signature-dependencies"
   },
   {
    "AppRouteReferenceId": "rr-cfo-blockers--cfo-home",
    "FromRoute": "cfo-blockers",
    "ToRoute": "cfo-home",
    "SemanticTypeIri": "urn:effortless:pko-extension#AppRouteReference",
    "Name": "cfo-blockers -&gt; cfo-home"
   },
   {
    "AppRouteReferenceId": "rr-cfo-blockers--controller-conformance",
    "FromRoute": "cfo-blockers",
    "ToRoute": "controller-conformance",
    "SemanticTypeIri": "urn:effortless:pko-extension#AppRouteReference",
    "Name": "cfo-blockers -&gt; controller-conformance"
   },
   {
    "AppRouteReferenceId": "rr-cfo-assurance-grade--cfo-unwitnessed-controls",
    "FromRoute": "cfo-assurance-grade",
    "ToRoute": "cfo-unwitnessed-controls",
    "SemanticTypeIri": "urn:effortless:pko-extension#AppRouteReference",
    "Name": "cfo-assurance-grade -&gt; cfo-unwitnessed-controls"
   },
   {
    "AppRouteReferenceId": "rr-cfo-assurance-grade--controller-mute-controls",
    "FromRoute": "cfo-assurance-grade",
    "ToRoute": "controller-mute-controls",
    "SemanticTypeIri": "urn:effortless:pko-extension#AppRouteReference",
    "Name": "cfo-assurance-grade -&gt; controller-mute-controls"
   },
   {
    "AppRouteReferenceId": "rr-cfo-unwitnessed-controls--cfo-assurance-grade",
    "FromRoute": "cfo-unwitnessed-controls",
    "ToRoute": "cfo-assurance-grade",
    "SemanticTypeIri": "urn:effortless:pko-extension#AppRouteReference",
    "Name": "cfo-unwitnessed-controls -&gt; cfo-assurance-grade"
   },
   {
    "AppRouteReferenceId": "rr-cfo-unwitnessed-controls--shared-requirement-detail",
    "FromRoute": "cfo-unwitnessed-controls",
    "ToRoute": "shared-requirement-detail",
    "SemanticTypeIri": "urn:effortless:pko-extension#AppRouteReference",
    "Name": "cfo-unwitnessed-controls -&gt; shared-requirement-detail"
   },
   {
    "AppRouteReferenceId": "rr-cfo-typed-conclusions--cfo-unwitnessed-controls",
    "FromRoute": "cfo-typed-conclusions",
    "ToRoute": "cfo-unwitnessed-controls",
    "SemanticTypeIri": "urn:effortless:pko-extension#AppRouteReference",
    "Name": "cfo-typed-conclusions -&gt; cfo-unwitnessed-controls"
   },
   {
    "AppRouteReferenceId": "rr-cfo-typed-conclusions--controller-asserted-controls",
    "FromRoute": "cfo-typed-conclusions",
    "ToRoute": "controller-asserted-controls",
    "SemanticTypeIri": "urn:effortless:pko-extension#AppRouteReference",
    "Name": "cfo-typed-conclusions -&gt; controller-asserted-controls"
   },
   {
    "AppRouteReferenceId": "rr-cfo-witness-chain--cfo-my-approvals",
    "FromRoute": "cfo-witness-chain",
    "ToRoute": "cfo-my-approvals",
    "SemanticTypeIri": "urn:effortless:pko-extension#AppRouteReference",
    "Name": "cfo-witness-chain -&gt; cfo-my-approvals"
   },
   {
    "AppRouteReferenceId": "rr-cfo-witness-chain--shared-verification-outcomes",
    "FromRoute": "cfo-witness-chain",
    "ToRoute": "shared-verification-outcomes",
    "SemanticTypeIri": "urn:effortless:pko-extension#AppRouteReference",
    "Name": "cfo-witness-chain -&gt; shared-verification-outcomes"
   },
   {
    "AppRouteReferenceId": "rr-cfo-authority-map--shared-exception-detail",
    "FromRoute": "cfo-authority-map",
    "ToRoute": "shared-exception-detail",
    "SemanticTypeIri": "urn:effortless:pko-extension#AppRouteReference",
    "Name": "cfo-authority-map -&gt; shared-exception-detail"
   },
   {
    "AppRouteReferenceId": "rr-cfo-authority-map--controller-authority-validity",
    "FromRoute": "cfo-authority-map",
    "ToRoute": "controller-authority-validity",
    "SemanticTypeIri": "urn:effortless:pko-extension#AppRouteReference",
    "Name": "cfo-authority-map -&gt; controller-authority-validity"
   },
   {
    "AppRouteReferenceId": "rr-cfo-my-approvals--cfo-witness-chain",
    "FromRoute": "cfo-my-approvals",
    "ToRoute": "cfo-witness-chain",
    "SemanticTypeIri": "urn:effortless:pko-extension#AppRouteReference",
    "Name": "cfo-my-approvals -&gt; cfo-witness-chain"
   },
   {
    "AppRouteReferenceId": "rr-cfo-my-approvals--shared-step-execution-detail",
    "FromRoute": "cfo-my-approvals",
    "ToRoute": "shared-step-execution-detail",
    "SemanticTypeIri": "urn:effortless:pko-extension#AppRouteReference",
    "Name": "cfo-my-approvals -&gt; shared-step-execution-detail"
   },
   {
    "AppRouteReferenceId": "rr-cfo-signature-dependencies--cfo-changed-since-signing",
    "FromRoute": "cfo-signature-dependencies",
    "ToRoute": "cfo-changed-since-signing",
    "SemanticTypeIri": "urn:effortless:pko-extension#AppRouteReference",
    "Name": "cfo-signature-dependencies -&gt; cfo-changed-since-signing"
   },
   {
    "AppRouteReferenceId": "rr-cfo-signature-dependencies--cfo-home",
    "FromRoute": "cfo-signature-dependencies",
    "ToRoute": "cfo-home",
    "SemanticTypeIri": "urn:effortless:pko-extension#AppRouteReference",
    "Name": "cfo-signature-dependencies -&gt; cfo-home"
   },
   {
    "AppRouteReferenceId": "rr-cfo-changed-since-signing--cfo-signature-dependencies",
    "FromRoute": "cfo-changed-since-signing",
    "ToRoute": "cfo-signature-dependencies",
    "SemanticTypeIri": "urn:effortless:pko-extension#AppRouteReference",
    "Name": "cfo-changed-since-signing -&gt; cfo-signature-dependencies"
   },
   {
    "AppRouteReferenceId": "rr-cfo-changed-since-signing--shared-change-request-detail",
    "FromRoute": "cfo-changed-since-signing",
    "ToRoute": "shared-change-request-detail",
    "SemanticTypeIri": "urn:effortless:pko-extension#AppRouteReference",
    "Name": "cfo-changed-since-signing -&gt; shared-change-request-detail"
   },
   {
    "AppRouteReferenceId": "rr-cfo-restatement--shared-evaluation-context",
    "FromRoute": "cfo-restatement",
    "ToRoute": "shared-evaluation-context",
    "SemanticTypeIri": "urn:effortless:pko-extension#AppRouteReference",
    "Name": "cfo-restatement -&gt; shared-evaluation-context"
   },
   {
    "AppRouteReferenceId": "rr-cfo-restatement--cfo-assurance-grade",
    "FromRoute": "cfo-restatement",
    "ToRoute": "cfo-assurance-grade",
    "SemanticTypeIri": "urn:effortless:pko-extension#AppRouteReference",
    "Name": "cfo-restatement -&gt; cfo-assurance-grade"
   },
   {
    "AppRouteReferenceId": "rr-cfo-attestation-detail--cfo-home",
    "FromRoute": "cfo-attestation-detail",
    "ToRoute": "cfo-home",
    "SemanticTypeIri": "urn:effortless:pko-extension#AppRouteReference",
    "Name": "cfo-attestation-detail -&gt; cfo-home"
   },
   {
    "AppRouteReferenceId": "rr-cfo-attestation-detail--shared-step-execution-detail",
    "FromRoute": "cfo-attestation-detail",
    "ToRoute": "shared-step-execution-detail",
    "SemanticTypeIri": "urn:effortless:pko-extension#AppRouteReference",
    "Name": "cfo-attestation-detail -&gt; shared-step-execution-detail"
   },
   {
    "AppRouteReferenceId": "rr-controller-home--controller-mute-controls",
    "FromRoute": "controller-home",
    "ToRoute": "controller-mute-controls",
    "SemanticTypeIri": "urn:effortless:pko-extension#AppRouteReference",
    "Name": "controller-home -&gt; controller-mute-controls"
   },
   {
    "AppRouteReferenceId": "rr-controller-home--controller-witness-scope",
    "FromRoute": "controller-home",
    "ToRoute": "controller-witness-scope",
    "SemanticTypeIri": "urn:effortless:pko-extension#AppRouteReference",
    "Name": "controller-home -&gt; controller-witness-scope"
   },
   {
    "AppRouteReferenceId": "rr-controller-home--shared-requirement-detail",
    "FromRoute": "controller-home",
    "ToRoute": "shared-requirement-detail",
    "SemanticTypeIri": "urn:effortless:pko-extension#AppRouteReference",
    "Name": "controller-home -&gt; shared-requirement-detail"
   },
   {
    "AppRouteReferenceId": "rr-controller-mute-controls--controller-home",
    "FromRoute": "controller-mute-controls",
    "ToRoute": "controller-home",
    "SemanticTypeIri": "urn:effortless:pko-extension#AppRouteReference",
    "Name": "controller-mute-controls -&gt; controller-home"
   },
   {
    "AppRouteReferenceId": "rr-controller-mute-controls--cfo-assurance-grade",
    "FromRoute": "controller-mute-controls",
    "ToRoute": "cfo-assurance-grade",
    "SemanticTypeIri": "urn:effortless:pko-extension#AppRouteReference",
    "Name": "controller-mute-controls -&gt; cfo-assurance-grade"
   },
   {
    "AppRouteReferenceId": "rr-controller-mute-controls--analyst-mute-clearance",
    "FromRoute": "controller-mute-controls",
    "ToRoute": "analyst-mute-clearance",
    "SemanticTypeIri": "urn:effortless:pko-extension#AppRouteReference",
    "Name": "controller-mute-controls -&gt; analyst-mute-clearance"
   },
   {
    "AppRouteReferenceId": "rr-controller-witness-scope--controller-mute-controls",
    "FromRoute": "controller-witness-scope",
    "ToRoute": "controller-mute-controls",
    "SemanticTypeIri": "urn:effortless:pko-extension#AppRouteReference",
    "Name": "controller-witness-scope -&gt; controller-mute-controls"
   },
   {
    "AppRouteReferenceId": "rr-controller-witness-scope--shared-requirement-detail",
    "FromRoute": "controller-witness-scope",
    "ToRoute": "shared-requirement-detail",
    "SemanticTypeIri": "urn:effortless:pko-extension#AppRouteReference",
    "Name": "controller-witness-scope -&gt; shared-requirement-detail"
   },
   {
    "AppRouteReferenceId": "rr-controller-separation--controller-authority-validity",
    "FromRoute": "controller-separation",
    "ToRoute": "con</t>
  </si>
  <si>
    <t xml:space="preserve">troller-authority-validity",
    "SemanticTypeIri": "urn:effortless:pko-extension#AppRouteReference",
    "Name": "controller-separation -&gt; controller-authority-validity"
   },
   {
    "AppRouteReferenceId": "rr-controller-separation--shared-step-execution-detail",
    "FromRoute": "controller-separation",
    "ToRoute": "shared-step-execution-detail",
    "SemanticTypeIri": "urn:effortless:pko-extension#AppRouteReference",
    "Name": "controller-separation -&gt; shared-step-execution-detail"
   },
   {
    "AppRouteReferenceId": "rr-controller-conformance--controller-ungoverned-divergence",
    "FromRoute": "controller-conformance",
    "ToRoute": "controller-ungoverned-divergence",
    "SemanticTypeIri": "urn:effortless:pko-extension#AppRouteReference",
    "Name": "controller-conformance -&gt; controller-ungoverned-divergence"
   },
   {
    "AppRouteReferenceId": "rr-controller-conformance--shared-step-execution-detail",
    "FromRoute": "controller-conformance",
    "ToRoute": "shared-step-execution-detail",
    "SemanticTypeIri": "urn:effortless:pko-extension#AppRouteReference",
    "Name": "controller-conformance -&gt; shared-step-execution-detail"
   },
   {
    "AppRouteReferenceId": "rr-controller-ungoverned-divergence--controller-conformance",
    "FromRoute": "controller-ungoverned-divergence",
    "ToRoute": "controller-conformance",
    "SemanticTypeIri": "urn:effortless:pko-extension#AppRouteReference",
    "Name": "controller-ungoverned-divergence -&gt; controller-conformance"
   },
   {
    "AppRouteReferenceId": "rr-controller-ungoverned-divergence--shared-exception-detail",
    "FromRoute": "controller-ungoverned-divergence",
    "ToRoute": "shared-exception-detail",
    "SemanticTypeIri": "urn:effortless:pko-extension#AppRouteReference",
    "Name": "controller-ungoverned-divergence -&gt; shared-exception-detail"
   },
   {
    "AppRouteReferenceId": "rr-controller-ungoverned-divergence--shared-change-request-detail",
    "FromRoute": "controller-ungoverned-divergence",
    "ToRoute": "shared-change-request-detail",
    "SemanticTypeIri": "urn:effortless:pko-extension#AppRouteReference",
    "Name": "controller-ungoverned-divergence -&gt; shared-change-request-detail"
   },
   {
    "AppRouteReferenceId": "rr-controller-authority-validity--cfo-authority-map",
    "FromRoute": "controller-authority-validity",
    "ToRoute": "cfo-authority-map",
    "SemanticTypeIri": "urn:effortless:pko-extension#AppRouteReference",
    "Name": "controller-authority-validity -&gt; cfo-authority-map"
   },
   {
    "AppRouteReferenceId": "rr-controller-authority-validity--shared-role-assignment-detail",
    "FromRoute": "controller-authority-validity",
    "ToRoute": "shared-role-assignment-detail",
    "SemanticTypeIri": "urn:effortless:pko-extension#AppRouteReference",
    "Name": "controller-authority-validity -&gt; shared-role-assignment-detail"
   },
   {
    "AppRouteReferenceId": "rr-controller-ai-boundary--hr-ai-boundary",
    "FromRoute": "controller-ai-boundary",
    "ToRoute": "hr-ai-boundary",
    "SemanticTypeIri": "urn:effortless:pko-extension#AppRouteReference",
    "Name": "controller-ai-boundary -&gt; hr-ai-boundary"
   },
   {
    "AppRouteReferenceId": "rr-controller-ai-boundary--variance-boundary",
    "FromRoute": "controller-ai-boundary",
    "ToRoute": "variance-boundary",
    "SemanticTypeIri": "urn:effortless:pko-extension#AppRouteReference",
    "Name": "controller-ai-boundary -&gt; variance-boundary"
   },
   {
    "AppRouteReferenceId": "rr-controller-asserted-controls--cfo-typed-conclusions",
    "FromRoute": "controller-asserted-controls",
    "ToRoute": "cfo-typed-conclusions",
    "SemanticTypeIri": "urn:effortless:pko-extension#AppRouteReference",
    "Name": "controller-asserted-controls -&gt; cfo-typed-conclusions"
   },
   {
    "AppRouteReferenceId": "rr-controller-asserted-controls--analyst-evidence-quality",
    "FromRoute": "controller-asserted-controls",
    "ToRoute": "analyst-evidence-quality",
    "SemanticTypeIri": "urn:effortless:pko-extension#AppRouteReference",
    "Name": "controller-asserted-controls -&gt; analyst-evidence-quality"
   },
   {
    "AppRouteReferenceId": "rr-controller-control-detail--controller-home",
    "FromRoute": "controller-control-detail",
    "ToRoute": "controller-home",
    "SemanticTypeIri": "urn:effortless:pko-extension#AppRouteReference",
    "Name": "controller-control-detail -&gt; controller-home"
   },
   {
    "AppRouteReferenceId": "rr-controller-control-detail--shared-requirement-detail",
    "FromRoute": "controller-control-detail",
    "ToRoute": "shared-requirement-detail",
    "SemanticTypeIri": "urn:effortless:pko-extension#AppRouteReference",
    "Name": "controller-control-detail -&gt; shared-requirement-detail"
   },
   {
    "AppRouteReferenceId": "rr-analyst-home--analyst-blocking-unmet",
    "FromRoute": "analyst-home",
    "ToRoute": "analyst-blocking-unmet",
    "SemanticTypeIri": "urn:effortless:pko-extension#AppRouteReference",
    "Name": "analyst-home -&gt; analyst-blocking-unmet"
   },
   {
    "AppRouteReferenceId": "rr-analyst-home--analyst-late-steps",
    "FromRoute": "analyst-home",
    "ToRoute": "analyst-late-steps",
    "SemanticTypeIri": "urn:effortless:pko-extension#AppRouteReference",
    "Name": "analyst-home -&gt; analyst-late-steps"
   },
   {
    "AppRouteReferenceId": "rr-analyst-home--shared-step-execution-detail",
    "FromRoute": "analyst-home",
    "ToRoute": "shared-step-execution-detail",
    "SemanticTypeIri": "urn:effortless:pko-extension#AppRouteReference",
    "Name": "analyst-home -&gt; shared-step-execution-detail"
   },
   {
    "AppRouteReferenceId": "rr-analyst-blocking-unmet--analyst-never-evaluated",
    "FromRoute": "analyst-blocking-unmet",
    "ToRoute": "analyst-never-evaluated",
    "SemanticTypeIri": "urn:effortless:pko-extension#AppRouteReference",
    "Name": "analyst-blocking-unmet -&gt; analyst-never-evaluated"
   },
   {
    "AppRouteReferenceId": "rr-analyst-blocking-unmet--shared-requirement-detail",
    "FromRoute": "analyst-blocking-unmet",
    "ToRoute": "shared-requirement-detail",
    "SemanticTypeIri": "urn:effortless:pko-extension#AppRouteReference",
    "Name": "analyst-blocking-unmet -&gt; shared-requirement-detail"
   },
   {
    "AppRouteReferenceId": "rr-analyst-never-evaluated--analyst-blocking-unmet",
    "FromRoute": "analyst-never-evaluated",
    "ToRoute": "analyst-blocking-unmet",
    "SemanticTypeIri": "urn:effortless:pko-extension#AppRouteReference",
    "Name": "analyst-never-evaluated -&gt; analyst-blocking-unmet"
   },
   {
    "AppRouteReferenceId": "rr-analyst-never-evaluated--controller-mute-controls",
    "FromRoute": "analyst-never-evaluated",
    "ToRoute": "controller-mute-controls",
    "SemanticTypeIri": "urn:effortless:pko-extension#AppRouteReference",
    "Name": "analyst-never-evaluated -&gt; controller-mute-controls"
   },
   {
    "AppRouteReferenceId": "rr-analyst-late-steps--shared-exception-detail",
    "FromRoute": "analyst-late-steps",
    "ToRoute": "shared-exception-detail",
    "SemanticTypeIri": "urn:effortless:pko-extension#AppRouteReference",
    "Name": "analyst-late-steps -&gt; shared-exception-detail"
   },
   {
    "AppRouteReferenceId": "rr-analyst-late-steps--shared-step-execution-detail",
    "FromRoute": "analyst-late-steps",
    "ToRoute": "shared-step-execution-detail",
    "SemanticTypeIri": "urn:effortless:pko-extension#AppRouteReference",
    "Name": "analyst-late-steps -&gt; shared-step-execution-detail"
   },
   {
    "AppRouteReferenceId": "rr-analyst-verification-performed--analyst-evidence-quality",
    "FromRoute": "analyst-verification-performed",
    "ToRoute": "analyst-evidence-quality",
    "SemanticTypeIri": "urn:effortless:pko-extension#AppRouteReference",
    "Name": "analyst-verification-performed -&gt; analyst-evidence-quality"
   },
   {
    "AppRouteReferenceId": "rr-analyst-verification-performed--shared-verification-outcomes",
    "FromRoute": "analyst-verification-performed",
    "ToRoute": "shared-verification-outcomes",
    "SemanticTypeIri": "urn:effortless:pko-extension#AppRouteReference",
    "Name": "analyst-verification-performed -&gt; shared-verification-outcomes"
   },
   {
    "AppRouteReferenceId": "rr-analyst-evidence-quality--controller-asserted-controls",
    "FromRoute": "analyst-evidence-quality",
    "ToRoute": "controller-asserted-controls",
    "SemanticTypeIri": "urn:effortless:pko-extension#AppRouteReference",
    "Name": "analyst-evidence-quality -&gt; controller-asserted-controls"
   },
   {
    "AppRouteReferenceId": "rr-analyst-evidence-quality--cfo-witness-chain",
    "FromRoute": "analyst-evidence-quality",
    "ToRoute": "cfo-witness-chain",
    "SemanticTypeIri": "urn:effortless:pko-extension#AppRouteReference",
    "Name": "analyst-evidence-quality -&gt; cfo-witness-chain"
   },
   {
    "AppRouteReferenceId": "rr-analyst-source-freshness--analyst-stale-then-vs-now",
    "FromRoute": "analyst-source-freshness",
    "ToRoute": "analyst-stale-then-vs-now",
    "SemanticTypeIri": "urn:effortless:pko-extension#AppRouteReference",
    "Name": "analyst-source-freshness -&gt; analyst-stale-then-vs-now"
   },
   {
    "AppRouteReferenceId": "rr-analyst-source-freshness--shared-operational-binding-detail",
    "FromRoute": "analyst-source-freshness",
    "ToRoute": "shared-operational-binding-detail",
    "SemanticTypeIri": "urn:effortless:pko-extension#AppRouteReference",
    "Name": "analyst-source-freshness -&gt; shared-operational-binding-detail"
   },
   {
    "AppRouteReferenceId": "rr-analyst-stale-then-vs-now--analyst-source-freshness",
    "FromRoute": "analyst-stale-then-vs-now",
    "ToRoute": "analyst-source-freshness",
    "SemanticTypeIri": "urn:effortless:pko-extension#AppRouteReference",
    "Name": "analyst-stale-then-vs-now -&gt; analyst-source-freshness"
   },
   {
    "AppRouteReferenceId": "rr-analyst-stale-then-vs-now--shared-evaluation-context",
    "FromRoute": "analyst-stale-then-vs-now",
    "ToRoute": "shared-evaluation-context",
    "SemanticTypeIri": "urn:effortless:pko-extension#AppRouteReference",
    "Name": "analyst-stale-then-vs-now -&gt; shared-evaluation-context"
   },
   {
    "AppRouteReferenceId": "rr-analyst-clean-but-uncovered--analyst-mute-clearance",
    "FromRoute": "analyst-clean-but-uncovered",
    "ToRoute": "analyst-mute-clearance",
    "SemanticTypeIri": "urn:effortless:pko-extension#AppRouteReference",
    "Name": "analyst-clean-but-uncovered -&gt; analyst-mute-clearance"
   },
   {
    "AppRouteReferenceId": "rr-analyst-clean-but-uncovered--controller-mute-controls",
    "FromRoute": "analyst-clean-but-uncovered",
    "ToRoute": "controller-mute-controls",
    "SemanticTypeIri": "urn:effortless:pko-extension#AppRouteReference",
    "Name": "analyst-clean-but-uncovered -&gt; controller-mute-controls"
   },
   {
    "AppRouteReferenceId": "rr-analyst-mute-clearance--controller-mute-controls",
    "FromRoute": "analyst-mute-clearance",
    "ToRoute": "controller-mute-controls",
    "SemanticTypeIri": "urn:effortless:pko-extension#AppRouteReference",
    "Name": "analyst-mute-clearance -&gt; controller-mute-controls"
   },
   {
    "AppRouteReferenceId": "rr-analyst-mute-clearance--analyst-clean-but-uncovered",
    "FromRoute": "analyst-mute-clearance",
    "ToRoute": "analyst-clean-but-uncovered",
    "SemanticTypeIri": "urn:effortless:pko-extension#AppRouteReference",
    "Name": "analyst-mute-clearance -&gt; analyst-clean-but-uncovered"
   },
   {
    "AppRouteReferenceId": "rr-analyst-witness-coverage--cfo-unwitnessed-controls",
    "FromRoute": "analyst-witness-coverage",
    "ToRoute": "cfo-unwitnessed-controls",
    "SemanticTypeIri": "urn:effortless:pko-extension#AppRouteReference",
    "Name": "analyst-witness-coverage -&gt; cfo-unwitnessed-controls"
   },
   {
    "AppRouteReferenceId": "rr-analyst-witness-coverage--cfo-typed-conclusions",
    "FromRoute": "analyst-witness-coverage",
    "ToRoute": "cfo-typed-conclusions",
    "SemanticTypeIri": "urn:effortless:pko-extension#AppRouteReference",
    "Name": "analyst-witness-coverage -&gt; cfo-typed-conclusions"
   },
   {
    "AppRouteReferenceId": "rr-hr-home--hr-unapproved-claims",
    "FromRoute": "hr-home",
    "ToRoute": "hr-unapproved-claims",
    "SemanticTypeIri": "urn:effortless:pko-extension#AppRouteReference",
    "Name": "hr-home -&gt; hr-unapproved-claims"
   },
   {
    "AppRouteReferenceId": "rr-hr-home--hr-backlog",
    "FromRoute": "hr-home",
    "ToRoute": "hr-backlog",
    "SemanticTypeIri": "urn:effortless:pko-extension#AppRouteReference",
    "Name": "hr-home -&gt; hr-backlog"
   },
   {
    "AppRouteReferenceId": "rr-hr-home--hr-load-bearing-claim",
    "FromRoute": "hr-home",
    "ToRoute": "hr-load-bearing-claim",
    "SemanticTypeIri": "urn:effortless:pko-extension#AppRouteReference",
    "Name": "hr-home -&gt; hr-load-bearing-claim"
   },
   {
    "AppRouteReferenceId": "rr-hr-unapproved-claims--hr-load-bearing-claim",
    "FromRoute": "hr-unapproved-claims",
    "ToRoute": "hr-load-bearing-claim",
    "SemanticTypeIri": "urn:effortless:pko-extension#AppRouteReference",
    "Name": "hr-unapproved-claims -&gt; hr-load-bearing-claim"
   },
   {
    "AppRouteReferenceId": "rr-hr-unapproved-claims--shared-knowledge-fragment-detail",
    "FromRoute": "hr-unapproved-claims",
    "ToRoute": "shared-knowledge-fragment-detail",
    "SemanticTypeIri": "urn:effortless:pko-extension#AppRouteReference",
    "Name": "hr-unapproved-claims -&gt; shared-knowledge-fragment-detail"
   },
   {
    "AppRouteReferenceId": "rr-hr-load-bearing-claim--hr-unapproved-claims",
    "FromRoute": "hr-load-bearing-claim",
    "ToRoute": "hr-unapproved-claims",
    "SemanticTypeIri": "urn:effortless:pko-extension#AppRouteReference",
    "Name": "hr-load-bearing-claim -&gt; hr-unapproved-claims"
   },
   {
    "AppRouteReferenceId": "rr-hr-load-bearing-claim--shared-exception-detail",
    "FromRoute": "hr-load-bearing-claim",
    "ToRoute": "shared-exception-detail",
    "SemanticTypeIri": "urn:effortless:pko-extension#AppRouteReference",
    "Name": "hr-load-bearing-claim -&gt; shared-exception-detail"
   },
   {
    "AppRouteReferenceId": "rr-hr-backlog--hr-backlog-downstream",
    "FromRoute": "hr-backlog",
    "ToRoute": "hr-backlog-downstream",
    "SemanticTypeIri": "urn:effortless:pko-extension#AppRouteReference",
    "Name": "hr-backlog -&gt; hr-backlog-downstream"
   },
   {
    "AppRouteReferenceId": "rr-hr-backlog--shared-change-request-detail",
    "FromRoute": "hr-backlog",
    "ToRoute": "shared-change-request-detail",
    "SemanticTypeIri": "urn:effortless:pko-extension#AppRouteReference",
    "Name": "hr-backlog -&gt; shared-change-request-detail"
   },
   {
    "AppRouteReferenceId": "rr-hr-backlog-downstream--hr-backlog",
    "FromRoute": "hr-backlog-downstream",
    "ToRoute": "hr-backlog",
    "SemanticTypeIri": "urn:effortless:pko-extension#AppRouteReference",
    "Name": "hr-backlog-downstream -&gt; hr-backlog"
   },
   {
    "AppRouteReferenceId": "rr-hr-backlog-downstream--steward-open-gaps",
    "FromRoute": "hr-backlog-downstream",
    "ToRoute": "steward-open-gaps",
    "SemanticTypeIri": "urn:effortless:pko-extension#AppRouteReference",
    "Name": "hr-backlog-downstream -&gt; steward-open-gaps"
   },
   {
    "AppRouteReferenceId": "rr-hr-my-decisions--steward-approved-never-lands",
    "FromRoute": "hr-my-decisions",
    "ToRoute": "steward-approved-never-lands",
    "SemanticTypeIri": "urn:effortless:pko-extension#AppRouteReference",
    "Name": "hr-my-decisions -&gt; steward-approved-never-lands"
   },
   {
    "AppRouteReferenceId": "rr-hr-my-decisions--shared-change-request-detail",
    "FromRoute": "hr-my-decisions",
    "ToRoute": "shared-change-request-detail",
    "SemanticTypeIri": "urn:effortless:pko-extension#AppRouteReference",
    "Name": "hr-my-decisions -&gt; shared-change-request-detail"
   },
   {
    "AppRouteReferenceId": "rr-hr-ai-boundary--controller-ai-boundary",
    "FromRoute": "hr-ai-boundary",
    "ToRoute": "controller-ai-boundary",
    "SemanticTypeIri": "urn:effortless:pko-extension#AppRouteReference",
    "Name": "hr-ai-boundary -&gt; controller-ai-boundary"
   },
   {
    "AppRouteReferenceId": "rr-hr-ai-boundary--policy-agent-commitment-boundary",
    "FromRoute": "hr-ai-boundary",
    "ToRoute": "policy-agent-commitment-boundary",
    "SemanticTypeIri": "urn:effortless:pko-extension#AppRouteReference",
    "Name": "hr-ai-boundary -&gt; policy-agent-commitment-boundary"
   },
   {
    "AppRouteReferenceId": "rr-hr-knowledge-half-life--authority-stale-elicitation",
    "FromRoute": "hr-knowledge-half-life",
    "ToRoute": "authority-stale-elicitation",
    "SemanticTypeIri": "urn:effortless:pko-extension#AppRouteReference",
    "Name": "hr-knowledge-half-life -&gt; authority-stale-elicitation"
   },
   {
    "AppRouteReferenceId": "rr-hr-knowledge-half-life--steward-cadence",
    "FromRoute": "hr-knowledge-half-life",
    "ToRoute": "steward-cadence",
    "SemanticTypeIri": "urn:effortless:pko-extension#AppRouteReference",
    "Name": "hr-knowledge-half-life -&gt; steward-cadence"
   },
   {
    "AppRouteReferenceId": "rr-hr-departed-holders--authority-orphaned-provenance",
    "FromRoute": "hr-departed-holders",
    "ToRoute": "authority-orphaned-provenance",
    "SemanticTypeIri": "urn:effortless:pko-extension#AppRouteReference",
    "Name": "hr-departed-holders -&gt; authority-orphaned-provenance"
   },
   {
    "AppRouteReferenceId": "rr-hr-departed-holders--shared-role-assignment-detail",
    "FromRoute": "hr-departed-holders",
    "ToRoute": "shared-role-assignment-detail",
    "SemanticTypeIri": "urn:effortless:pko-extension#AppRouteReference",
    "Name": "hr-departed-holders -&gt; shared-role-assignment-detail"
   },
   {
    "AppRouteReferenceId": "rr-hr-what-was-sent--comms-frozen-approval",
    "FromRoute": "hr-what-was-sent",
    "ToRoute": "comms-frozen-approval",
    "SemanticTypeIri": "urn:effortless:pko-extension#AppRouteReference",
    "Name": "hr-what-was-sent -&gt; comms-frozen-approval"
   },
   {
    "AppRouteReferenceId": "rr-hr-what-was-sent--shared-delivery-detail",
    "FromRoute": "hr-what-was-sent",
    "ToRoute": "shared-delivery-detail",
    "SemanticTypeIri": "urn:effortless:pko-extension#AppRouteReference",
    "Name": "hr-what-was-sent -&gt; shared-delivery-detail"
   },
   {
    "AppRouteReferenceId": "rr-counsel-home--counsel-consent",
    "FromRoute": "counsel-home",
    "ToRoute": "counsel-consent",
    "SemanticTypeIri": "urn:effortless:pko-extension#AppRouteReference",
    "Name": "counsel-home -&gt; counsel-consent"
   },
   {
    "AppRouteReferenceId": "rr-counsel-home--counsel-quiet-hours",
    "FromRoute": "counsel-home",
    "ToRoute": "counsel-quiet-hours",
    "SemanticTypeIri": "urn:effortless:pko-extension#AppRouteReference",
    "Name": "counsel-home -&gt; counsel-quiet-hours"
   },
   {
    "AppRouteReferenceId": "rr-counsel-home--counsel-legal-review",
    "FromRoute": "counsel-home",
    "ToRoute": "counsel-legal-review",
    "SemanticTypeIri": "urn:effortless:pko-extension#AppRouteReference",
    "Name": "counsel-home -&gt; counsel-legal-review"
   },
   {
    "AppRouteReferenceId": "rr-counsel-home--counsel-retention",
    "FromRoute": "counsel-home",
    "ToRoute": "counsel-retention",
    "SemanticTypeIri": "urn:effortless:pko-extension#AppRouteReference",
    "Name": "counsel-home -&gt; counsel-retention"
   },
   {
    "AppRouteReferenceId": "rr-counsel-consent--shared-delivery-detail",
    "FromRoute": "counsel-consent",
    "ToRoute": "shared-delivery-detail",
    "SemanticTypeIri": "urn:effortless:pko-extension#AppRouteReference",
    "Name": "counsel-consent -&gt; shared-delivery-detail"
   },
   {
    "AppRouteReferenceId": "rr-counsel-consent--publisher-permission-gate",
    "FromRoute": "counsel-consent",
    "ToRoute": "publisher-permission-gate",
    "SemanticTypeIri": "urn:effortless:pko-extension#AppRouteReference",
    "Name": "counsel-consent -&gt; publisher-permission-gate"
   },
   {
    "AppRouteReferenceId": "rr-counsel-quiet-hours--publisher-timing-gate",
    "FromRoute": "counsel-quiet-hours",
    "ToRoute": "publisher-timing-gate",
    "SemanticTypeIri": "urn:effortless:pko-extension#AppRouteReference",
    "Name": "counsel-quiet-hours -&gt; publisher-timing-gate"
   },
   {
    "AppRouteReferenceId": "rr-counsel-quiet-hours--shared-delivery-detail",
    "FromRoute": "counsel-quiet-hours",
    "ToRoute": "shared-delivery-detail",
    "SemanticTypeIri": "urn:effortless:pko-extension#AppRouteReference",
    "Name": "counsel-quiet-hours -&gt; shared-delivery-detail"
   },
   {
    "AppRouteReferenceId": "rr-counsel-legal-review--shared-review-event-detail",
    "FromRoute": "counsel-legal-review",
    "ToRoute": "shared-review-event-detail",
    "SemanticTypeIri": "urn:effortless:pko-extension#AppRouteReference",
    "Name": "counsel-legal-review -&gt; shared-review-event-detail"
   },
   {
    "AppRouteReferenceId": "rr-counsel-legal-review--comms-approval-authority",
    "FromRoute": "counsel-legal-review",
    "ToRoute": "comms-approval-authority",
    "SemanticTypeIri": "urn:effortless:pko-extension#AppRouteReference",
    "Name": "counsel-legal-review -&gt; comms-approval-authority"
   },
   {
    "AppRouteReferenceId": "rr-counsel-retention--comms-frozen-approval",
    "FromRoute": "counsel-retention",
    "ToRoute": "comms-frozen-approval",
    "SemanticTypeIri": "urn:effortless:pko-extension#AppRouteReference",
    "Name": "counsel-retention -&gt; comms-frozen-approval"
   },
   {
    "AppRouteReferenceId": "rr-counsel-retention--shared-delivery-detail",
    "FromRoute": "counsel-retention",
    "ToRoute": "shared-delivery-detail",
    "SemanticTypeIri": "urn:effortless:pko-extension#AppRouteReference",
    "Name": "counsel-retention -&gt; shared-delivery-detail"
   },
   {
    "AppRouteReferenceId": "rr-counsel-unreachable--comms-suppression",
    "FromRoute": "counsel-unreachable",
    "ToRoute": "comms-suppression",
    "SemanticTypeIri": "urn:effortless:pko-extension#AppRouteReference",
    "Name": "counsel-unreachable -&gt; comms-suppression"
   },
   {
    "AppRouteReferenceId": "rr-counsel-unreachable--shared-recipient-detail",
    "FromRoute": "counsel-unreachable",
    "ToRoute": "shared-recipient-detail",
    "SemanticTypeIri": "urn:effortless:pko-extension#AppRouteReference",
    "Name": "counsel-unreachable -&gt; shared-recipient-detail"
   },
   {
    "AppRouteReferenceId": "rr-comms-home--comms-yield",
    "FromRoute": "comms-home",
    "ToRoute": "comms-yield",
    "SemanticTypeIri": "urn:effortless:pko-extension#AppRouteReference",
    "Name": "comms-home -&gt; comms-yield"
   },
   {
    "AppRouteReferenceId": "rr-comms-home--comms-failed-deliveries",
    "FromRoute": "comms-home",
    "ToRoute": "comms-failed-deliveries",
    "SemanticTypeIri": "urn:effortless:pko-extension#AppRouteReference",
    "Name": "comms-home -&gt; comms-failed-deliveries"
   },
   {
    "AppRouteReferenceId": "rr-comms-home--shared-delivery-detail",
    "FromRoute": "comms-home",
    "ToRoute": "shared-delivery-detail",
    "SemanticTypeIri": "urn:effortless:pko-extension#AppRouteReference",
    "Name": "comms-home -&gt; shared-delivery-detail"
   },
   {
    "AppRouteReferenceId": "rr-comms-yield--comms-failed-deliveries",
    "FromRoute": "comms-yield",
    "ToRoute": "comms-failed-deliveries",
    "SemanticTypeIri": "urn:effortless:pko-extension#AppRouteReference",
    "Name": "comms-yield -&gt; comms-failed-deliveries"
   },
   {
    "AppRouteReferenceId": "rr-comms-yield--comms-suppression",
    "FromRoute": "comms-yield",
    "ToRoute": "comms-suppression",
    "SemanticTypeIri": "urn:effortless:pko-extension#AppRouteReference",
    "Name": "comms-yield -&gt; comms-suppression"
   },
   {
    "AppRouteReferenceId": "rr-comms-yield--publisher-refusals",
    "FromRoute": "comms-yield",
    "ToRoute": "publisher-refusals",
    "SemanticTypeIri": "urn:effortless:pko-extension#AppRouteReference",
    "Name": "comms-yield -&gt; publisher-refusals"
   },
   {
    "AppRouteReferenceId": "rr-comms-failed-deliveries--comms-yield",
    "FromRoute": "comms-failed-deliveries",
    "ToRoute": "comms-yield",
    "SemanticTypeIri": "urn:effortless:pko-extension#AppRouteReference",
    "Name": "comms-failed-deliveries -&gt; comms-yield"
   },
   {
    "AppRouteReferenceId": "rr-comms-failed-deliveries--shared-recipient-detail",
    "FromRoute": "comms-failed-deliveries",
    "ToRoute": "shared-recipient-detail",
    "SemanticTypeIri": "urn:effortless:pko-extension#AppRouteReference",
    "Name": "comms-failed-deliveries -&gt; shared-recipient-detail"
   },
   {
    "AppRouteReferenceId": "rr-comms-approval-authority--comms-template-drift",
    "FromRoute": "comms-approval-authority",
    "ToRoute": "comms-template-drift",
    "SemanticTypeIri": "urn:effortless:pko-extension#AppRouteReference",
    "Name": "comms-approval-authority -&gt; comms-template-drift"
   },
   {
    "AppRouteReferenceId": "rr-comms-approval-authority--counsel-legal-review",
    "FromRoute": "comms-approval-authority",
    "ToRoute": "counsel-legal-review",
    "SemanticTypeIri": "urn:effortless:pko-extension#AppRouteReference",
    "Name": "comms-approval-authority -&gt; counsel-legal-review"
   },
   {
    "AppRouteReferenceId": "rr-comms-template-drift--comms-frozen-approval",
    "FromRoute": "comms-template-drift",
    "ToRoute": "comms-frozen-approval",
    "SemanticTypeIri": "urn:effortless:pko-extension#AppRouteReference",
    "Name": "comms-template-drift -&gt; comms-frozen-approval"
   },
   {
    "AppRouteReferenceId": "rr-comms-template-drift--shared-template-detail",
    "FromRoute": "comms-template-drift",
    "ToRoute": "shared-template-detail",
    "SemanticTypeIri": "urn:effortless:pko-extension#AppRouteReference",
    "Name": "comms-template-drift -&gt; shared-template-detail"
   },
   {
    "AppRouteReferenceId": "rr-comms-frozen-approval--comms-template-drift",
    "FromRoute": "comms-frozen-approval",
    "ToRoute": "comms-template-drift",
    "SemanticTypeIri": "urn:effortless:pko-extension#AppRouteReference",
    "Name": "comms-frozen-approval -&gt; comms-template-drift"
   },
   {
    "AppRouteReferenceId": "rr-comms-frozen-approval--hr-what-was-sent",
    "FromRoute": "comms-frozen-approval",
    "ToRoute": "hr-what-was-sent",
    "SemanticTypeIri": "urn:effortless:pko-extension#AppRouteReference",
    "Name": "comms-frozen-approval -&gt; hr-what-was-sent"
   },
   {
    "AppRouteReferenceId": "rr-comms-frozen-approval--counsel-retention",
    "FromRoute": "comms-frozen-approval",
    "ToRoute": "counsel-retention",
    "SemanticTypeIri": "urn:effortless:pko-extension#AppRouteReference",
    "Name": "comms-frozen-approval -&gt; counsel-retention"
   },
   {
    "AppRouteReferenceId": "rr-comms-optout--comms-sms-limits",
    "FromRoute": "comms-optout",
    "ToRoute": "comms-sms-limits",
    "SemanticTypeIri": "urn:effortless:pko-extension#AppRouteReference",
    "Name": "comms-optout -&gt; comms-sms-limits"
   },
   {
    "AppRouteReferenceId": "rr-comms-optout--counsel-consent",
    "FromRoute": "comms-optout",
    "ToRoute": "counsel-consent",
    "SemanticTypeIri": "urn:effortless:pko-extension#AppRouteReference",
    "Name": "comms-optout -&gt; counsel-consent"
   },
   {
    "AppRouteReferenceId": "rr-comms-sms-limits--comms-optout",
    "FromRoute": "comms-sms-limits",
    "ToRoute": "comms-optout",
    "SemanticTypeIri": "urn:effortless:pko-extension#AppRouteReference",
    "Name": "comms-sms-limits -&gt; comms-optout"
   },
   {
    "AppRouteReferenceId": "rr-comms-sms-limits--publisher-content-gate",
    "FromRoute": "comms-sms-limits",
    "ToRoute": "publisher-content-gate",
    "SemanticTypeIri": "urn:effortless:pko-extension#AppRouteReference",
    "Name": "comms-sms-limits -&gt; publisher-content-gate"
   },
   {
    "AppRouteReferenceId": "rr-comms-engagement--comms-yield",
    "FromRoute": "comms-engagement",
    "ToRoute": "comms-yield",
    "SemanticTypeIri": "urn:effortless:pko-extension#AppRouteReference",
    "Name": "comms-engagement -&gt; comms-yield"
   },
   {
    "AppRouteReferenceId": "rr-comms-engagement--shared-delivery-detail",
    "FromRoute": "comms-engagement",
    "ToRoute": "shared-delivery-detail",
    "SemanticTypeIri": "urn:effortless:pko-extension#AppRouteReference",
    "Name": "comms-engagement -&gt; shared-delivery-detail"
   },
   {
    "AppRouteReferenceId": "rr-comms-suppression--publisher-refusals",
    "FromRoute": "comms-suppression",
    "ToRoute": "publisher-refusals",
    "SemanticTypeIri": "urn:effortless:pko-extension#AppRouteReference",
    "Name": "comms-suppression -&gt; publisher-refusals"
   },
   {
    "AppRouteReferenceId": "rr-comms-suppression--counsel-unreachable",
    "FromRoute": "comms-suppression",
    "ToRoute": "counsel-unreachable",
    "SemanticTypeIri": "urn:effortless:pko-extension#AppRouteReference",
    "Name": "comms-suppression -&gt; counsel-unreachable"
   },
   {
    "AppRouteReferenceId": "rr-comms-authorization-override--publisher-refusals",
    "FromRoute": "comms-authorization-override",
    "ToRoute": "publisher-refusals",
    "SemanticTypeIri": "urn:effortless:pko-extension#AppRouteReference",
    "Name": "comms-authorization-override -&gt; publisher-refusals"
   },
   {
    "AppRouteReferenceId": "rr-comms-authorization-override--comms-approval-authority",
    "FromRoute": "comms-authorization-override",
    "ToRoute": "comms-approval-authority",
    "SemanticTypeIri": "urn:effortless:pko-extension#AppRouteReference",
    "Name": "comms-authorization-override -&gt; comms-approval-authority"
   },
   {
    "AppRouteReferenceId": "rr-close-auto-home--close-auto-authority",
    "FromRoute": "close-auto-home",
    "ToRoute": "close-auto-authority",
    "SemanticTypeIri": "urn:effortless:pko-extension#AppRouteReference",
    "Name": "close-auto-home -&gt; close-auto-authority"
   },
   {
    "AppRouteReferenceId": "rr-close-auto-home--close-auto-inputs",
    "FromRoute": "close-auto-home",
    "ToRoute": "close-auto-inputs",
    "SemanticTypeIri": "urn:effortless:pko-extension#AppRouteReference",
    "Name": "close-auto-home -&gt; close-auto-inputs"
   },
   {
    "AppRouteReferenceId": "rr-close-auto-home--close-auto-last-run",
    "FromRoute": "close-auto-home",
    "ToRoute": "close-auto-last-run",
    "SemanticTypeIri": "urn:effortless:pko-extension#AppRouteReference",
    "Name": "close-auto-home -&gt; close-auto-last-run"
   },
   {
    "AppRouteReferenceId": "rr-close-auto-authority--shared-role-assignment-detail",
    "FromRoute": "close-auto-authority",
    "ToRoute": "shared-role-assignment-detail",
    "SemanticTypeIri": "urn:effortless:pko-extension#AppRouteReference",
    "Name": "close-auto-authority -&gt; shared-role-assignment-detail"
   },
   {
    "AppRouteReferenceId": "rr-close-auto-authority--publisher-my-authorization",
    "FromRoute": "close-auto-authority",
    "ToRoute": "publisher-my-authorization",
    "SemanticTypeIri": "urn:effortless:pko-extension#AppRouteReference",
    "Name": "close-auto-authority -&gt; publisher-my-authorization"
   },
   {
    "AppRouteReferenceId": "rr-close-auto-inputs--shared-operational-binding-detail",
    "FromRoute": "close-auto-inputs",
    "ToRoute": "shared-operational-binding-detail",
    "SemanticTypeIri": "urn:effortless:pko-extension#AppRouteReference",
    "Name": "close-auto-inputs -&gt; shared-operational-binding-detail"
   },
   {
    "AppRouteReferenceId": "rr-close-auto-inputs--analyst-source-freshness",
    "FromRoute": "close-auto-inputs",
    "ToRoute": "analyst-source-freshness",
    "SemanticTypeIri": "urn:effortless:pko-extension#AppRouteReference",
    "Name": "close-auto-inputs -&gt; analyst-source-freshness"
   },
   {
    "AppRouteReferenceId": "rr-close-auto-controls--analyst-never-evaluated",
    "FromRoute": "close-auto-controls",
    "ToRoute": "analyst-never-evaluated",
    "SemanticTypeIri": "urn:effortless:pko-extension#AppRouteReference",
    "Name": "close-auto-controls -&gt; analyst-never-evaluated"
   },
   {
    "AppRouteReferenceId": "rr-close-auto-controls--controller-home",
    "FromRoute": "close-auto-controls",
    "ToRoute": "controller-home",
    "SemanticTypeIri": "urn:effortless:pko-extension#AppRouteReference",
    "Name": "close-auto-controls -&gt; controller-home"
   },
   {
    "AppRouteReferenceId": "rr-close-auto-last-run--shared-step-execution-detail",
    "FromRoute": "close-auto-last-run",
    "ToRoute": "shared-step-execution-detail",
    "SemanticTypeIri": "urn:effortless:pko-extension#AppRouteReference",
    "Name": "close-auto-last-run -&gt; shared-step-execution-detail"
   },
   {
    "AppRouteReferenceId": "rr-close-auto-last-run--close-auto-home",
    "FromRoute": "close-auto-last-run",
    "ToRoute": "close-auto-home",
    "SemanticTypeIri": "urn:effortless:pko-extension#AppRoute</t>
  </si>
  <si>
    <t xml:space="preserve">Reference",
    "Name": "close-auto-last-run -&gt; close-auto-home"
   },
   {
    "AppRouteReferenceId": "rr-close-auto-drift--variance-override-signal",
    "FromRoute": "close-auto-drift",
    "ToRoute": "variance-override-signal",
    "SemanticTypeIri": "urn:effortless:pko-extension#AppRouteReference",
    "Name": "close-auto-drift -&gt; variance-override-signal"
   },
   {
    "AppRouteReferenceId": "rr-close-auto-drift--variance-quality-baseline",
    "FromRoute": "close-auto-drift",
    "ToRoute": "variance-quality-baseline",
    "SemanticTypeIri": "urn:effortless:pko-extension#AppRouteReference",
    "Name": "close-auto-drift -&gt; variance-quality-baseline"
   },
   {
    "AppRouteReferenceId": "rr-variance-home--variance-authority",
    "FromRoute": "variance-home",
    "ToRoute": "variance-authority",
    "SemanticTypeIri": "urn:effortless:pko-extension#AppRouteReference",
    "Name": "variance-home -&gt; variance-authority"
   },
   {
    "AppRouteReferenceId": "rr-variance-home--variance-boundary",
    "FromRoute": "variance-home",
    "ToRoute": "variance-boundary",
    "SemanticTypeIri": "urn:effortless:pko-extension#AppRouteReference",
    "Name": "variance-home -&gt; variance-boundary"
   },
   {
    "AppRouteReferenceId": "rr-variance-home--variance-knowledge-currency",
    "FromRoute": "variance-home",
    "ToRoute": "variance-knowledge-currency",
    "SemanticTypeIri": "urn:effortless:pko-extension#AppRouteReference",
    "Name": "variance-home -&gt; variance-knowledge-currency"
   },
   {
    "AppRouteReferenceId": "rr-variance-authority--shared-role-assignment-detail",
    "FromRoute": "variance-authority",
    "ToRoute": "shared-role-assignment-detail",
    "SemanticTypeIri": "urn:effortless:pko-extension#AppRouteReference",
    "Name": "variance-authority -&gt; shared-role-assignment-detail"
   },
   {
    "AppRouteReferenceId": "rr-variance-authority--variance-handover",
    "FromRoute": "variance-authority",
    "ToRoute": "variance-handover",
    "SemanticTypeIri": "urn:effortless:pko-extension#AppRouteReference",
    "Name": "variance-authority -&gt; variance-handover"
   },
   {
    "AppRouteReferenceId": "rr-variance-handover--variance-authority",
    "FromRoute": "variance-handover",
    "ToRoute": "variance-authority",
    "SemanticTypeIri": "urn:effortless:pko-extension#AppRouteReference",
    "Name": "variance-handover -&gt; variance-authority"
   },
   {
    "AppRouteReferenceId": "rr-variance-handover--controller-ai-boundary",
    "FromRoute": "variance-handover",
    "ToRoute": "controller-ai-boundary",
    "SemanticTypeIri": "urn:effortless:pko-extension#AppRouteReference",
    "Name": "variance-handover -&gt; controller-ai-boundary"
   },
   {
    "AppRouteReferenceId": "rr-variance-boundary--variance-boundary-ratification",
    "FromRoute": "variance-boundary",
    "ToRoute": "variance-boundary-ratification",
    "SemanticTypeIri": "urn:effortless:pko-extension#AppRouteReference",
    "Name": "variance-boundary -&gt; variance-boundary-ratification"
   },
   {
    "AppRouteReferenceId": "rr-variance-boundary--hr-ai-boundary",
    "FromRoute": "variance-boundary",
    "ToRoute": "hr-ai-boundary",
    "SemanticTypeIri": "urn:effortless:pko-extension#AppRouteReference",
    "Name": "variance-boundary -&gt; hr-ai-boundary"
   },
   {
    "AppRouteReferenceId": "rr-variance-boundary-ratification--authority-expired-ratifier",
    "FromRoute": "variance-boundary-ratification",
    "ToRoute": "authority-expired-ratifier",
    "SemanticTypeIri": "urn:effortless:pko-extension#AppRouteReference",
    "Name": "variance-boundary-ratification -&gt; authority-expired-ratifier"
   },
   {
    "AppRouteReferenceId": "rr-variance-boundary-ratification--variance-boundary",
    "FromRoute": "variance-boundary-ratification",
    "ToRoute": "variance-boundary",
    "SemanticTypeIri": "urn:effortless:pko-extension#AppRouteReference",
    "Name": "variance-boundary-ratification -&gt; variance-boundary"
   },
   {
    "AppRouteReferenceId": "rr-variance-human-confirmation--controller-ai-boundary",
    "FromRoute": "variance-human-confirmation",
    "ToRoute": "controller-ai-boundary",
    "SemanticTypeIri": "urn:effortless:pko-extension#AppRouteReference",
    "Name": "variance-human-confirmation -&gt; controller-ai-boundary"
   },
   {
    "AppRouteReferenceId": "rr-variance-human-confirmation--shared-step-execution-detail",
    "FromRoute": "variance-human-confirmation",
    "ToRoute": "shared-step-execution-detail",
    "SemanticTypeIri": "urn:effortless:pko-extension#AppRouteReference",
    "Name": "variance-human-confirmation -&gt; shared-step-execution-detail"
   },
   {
    "AppRouteReferenceId": "rr-variance-knowledge-currency--authority-fragment-decay",
    "FromRoute": "variance-knowledge-currency",
    "ToRoute": "authority-fragment-decay",
    "SemanticTypeIri": "urn:effortless:pko-extension#AppRouteReference",
    "Name": "variance-knowledge-currency -&gt; authority-fragment-decay"
   },
   {
    "AppRouteReferenceId": "rr-variance-knowledge-currency--shared-knowledge-fragment-detail",
    "FromRoute": "variance-knowledge-currency",
    "ToRoute": "shared-knowledge-fragment-detail",
    "SemanticTypeIri": "urn:effortless:pko-extension#AppRouteReference",
    "Name": "variance-knowledge-currency -&gt; shared-knowledge-fragment-detail"
   },
   {
    "AppRouteReferenceId": "rr-variance-quality-baseline--variance-sample-size",
    "FromRoute": "variance-quality-baseline",
    "ToRoute": "variance-sample-size",
    "SemanticTypeIri": "urn:effortless:pko-extension#AppRouteReference",
    "Name": "variance-quality-baseline -&gt; variance-sample-size"
   },
   {
    "AppRouteReferenceId": "rr-variance-quality-baseline--close-auto-drift",
    "FromRoute": "variance-quality-baseline",
    "ToRoute": "close-auto-drift",
    "SemanticTypeIri": "urn:effortless:pko-extension#AppRouteReference",
    "Name": "variance-quality-baseline -&gt; close-auto-drift"
   },
   {
    "AppRouteReferenceId": "rr-variance-sample-size--variance-quality-baseline",
    "FromRoute": "variance-sample-size",
    "ToRoute": "variance-quality-baseline",
    "SemanticTypeIri": "urn:effortless:pko-extension#AppRouteReference",
    "Name": "variance-sample-size -&gt; variance-quality-baseline"
   },
   {
    "AppRouteReferenceId": "rr-variance-override-signal--close-auto-drift",
    "FromRoute": "variance-override-signal",
    "ToRoute": "close-auto-drift",
    "SemanticTypeIri": "urn:effortless:pko-extension#AppRouteReference",
    "Name": "variance-override-signal -&gt; close-auto-drift"
   },
   {
    "AppRouteReferenceId": "rr-variance-override-signal--variance-human-confirmation",
    "FromRoute": "variance-override-signal",
    "ToRoute": "variance-human-confirmation",
    "SemanticTypeIri": "urn:effortless:pko-extension#AppRouteReference",
    "Name": "variance-override-signal -&gt; variance-human-confirmation"
   },
   {
    "AppRouteReferenceId": "rr-variance-stop-condition--close-auto-home",
    "FromRoute": "variance-stop-condition",
    "ToRoute": "close-auto-home",
    "SemanticTypeIri": "urn:effortless:pko-extension#AppRouteReference",
    "Name": "variance-stop-condition -&gt; close-auto-home"
   },
   {
    "AppRouteReferenceId": "rr-variance-stop-condition--publisher-permission-gate",
    "FromRoute": "variance-stop-condition",
    "ToRoute": "publisher-permission-gate",
    "SemanticTypeIri": "urn:effortless:pko-extension#AppRouteReference",
    "Name": "variance-stop-condition -&gt; publisher-permission-gate"
   },
   {
    "AppRouteReferenceId": "rr-policy-agent-home--policy-agent-sources",
    "FromRoute": "policy-agent-home",
    "ToRoute": "policy-agent-sources",
    "SemanticTypeIri": "urn:effortless:pko-extension#AppRouteReference",
    "Name": "policy-agent-home -&gt; policy-agent-sources"
   },
   {
    "AppRouteReferenceId": "rr-policy-agent-home--policy-agent-assignment",
    "FromRoute": "policy-agent-home",
    "ToRoute": "policy-agent-assignment",
    "SemanticTypeIri": "urn:effortless:pko-extension#AppRouteReference",
    "Name": "policy-agent-home -&gt; policy-agent-assignment"
   },
   {
    "AppRouteReferenceId": "rr-policy-agent-sources--shared-operational-binding-detail",
    "FromRoute": "policy-agent-sources",
    "ToRoute": "shared-operational-binding-detail",
    "SemanticTypeIri": "urn:effortless:pko-extension#AppRouteReference",
    "Name": "policy-agent-sources -&gt; shared-operational-binding-detail"
   },
   {
    "AppRouteReferenceId": "rr-policy-agent-sources--close-auto-inputs",
    "FromRoute": "policy-agent-sources",
    "ToRoute": "close-auto-inputs",
    "SemanticTypeIri": "urn:effortless:pko-extension#AppRouteReference",
    "Name": "policy-agent-sources -&gt; close-auto-inputs"
   },
   {
    "AppRouteReferenceId": "rr-policy-agent-assignment--shared-role-assignment-detail",
    "FromRoute": "policy-agent-assignment",
    "ToRoute": "shared-role-assignment-detail",
    "SemanticTypeIri": "urn:effortless:pko-extension#AppRouteReference",
    "Name": "policy-agent-assignment -&gt; shared-role-assignment-detail"
   },
   {
    "AppRouteReferenceId": "rr-policy-agent-assignment--variance-authority",
    "FromRoute": "policy-agent-assignment",
    "ToRoute": "variance-authority",
    "SemanticTypeIri": "urn:effortless:pko-extension#AppRouteReference",
    "Name": "policy-agent-assignment -&gt; variance-authority"
   },
   {
    "AppRouteReferenceId": "rr-policy-agent-commitment-boundary--hr-ai-boundary",
    "FromRoute": "policy-agent-commitment-boundary",
    "ToRoute": "hr-ai-boundary",
    "SemanticTypeIri": "urn:effortless:pko-extension#AppRouteReference",
    "Name": "policy-agent-commitment-boundary -&gt; hr-ai-boundary"
   },
   {
    "AppRouteReferenceId": "rr-policy-agent-commitment-boundary--variance-boundary",
    "FromRoute": "policy-agent-commitment-boundary",
    "ToRoute": "variance-boundary",
    "SemanticTypeIri": "urn:effortless:pko-extension#AppRouteReference",
    "Name": "policy-agent-commitment-boundary -&gt; variance-boundary"
   },
   {
    "AppRouteReferenceId": "rr-policy-agent-approval-chain--comms-approval-authority",
    "FromRoute": "policy-agent-approval-chain",
    "ToRoute": "comms-approval-authority",
    "SemanticTypeIri": "urn:effortless:pko-extension#AppRouteReference",
    "Name": "policy-agent-approval-chain -&gt; comms-approval-authority"
   },
   {
    "AppRouteReferenceId": "rr-policy-agent-approval-chain--counsel-legal-review",
    "FromRoute": "policy-agent-approval-chain",
    "ToRoute": "counsel-legal-review",
    "SemanticTypeIri": "urn:effortless:pko-extension#AppRouteReference",
    "Name": "policy-agent-approval-chain -&gt; counsel-legal-review"
   },
   {
    "AppRouteReferenceId": "rr-policy-agent-rewrite--variance-override-signal",
    "FromRoute": "policy-agent-rewrite",
    "ToRoute": "variance-override-signal",
    "SemanticTypeIri": "urn:effortless:pko-extension#AppRouteReference",
    "Name": "policy-agent-rewrite -&gt; variance-override-signal"
   },
   {
    "AppRouteReferenceId": "rr-policy-agent-rewrite--shared-step-execution-detail",
    "FromRoute": "policy-agent-rewrite",
    "ToRoute": "shared-step-execution-detail",
    "SemanticTypeIri": "urn:effortless:pko-extension#AppRouteReference",
    "Name": "policy-agent-rewrite -&gt; shared-step-execution-detail"
   },
   {
    "AppRouteReferenceId": "rr-publisher-home--publisher-permission-gate",
    "FromRoute": "publisher-home",
    "ToRoute": "publisher-permission-gate",
    "SemanticTypeIri": "urn:effortless:pko-extension#AppRouteReference",
    "Name": "publisher-home -&gt; publisher-permission-gate"
   },
   {
    "AppRouteReferenceId": "rr-publisher-home--publisher-timing-gate",
    "FromRoute": "publisher-home",
    "ToRoute": "publisher-timing-gate",
    "SemanticTypeIri": "urn:effortless:pko-extension#AppRouteReference",
    "Name": "publisher-home -&gt; publisher-timing-gate"
   },
   {
    "AppRouteReferenceId": "rr-publisher-home--publisher-content-gate",
    "FromRoute": "publisher-home",
    "ToRoute": "publisher-content-gate",
    "SemanticTypeIri": "urn:effortless:pko-extension#AppRouteReference",
    "Name": "publisher-home -&gt; publisher-content-gate"
   },
   {
    "AppRouteReferenceId": "rr-publisher-home--publisher-authorization-gate",
    "FromRoute": "publisher-home",
    "ToRoute": "publisher-authorization-gate",
    "SemanticTypeIri": "urn:effortless:pko-extension#AppRouteReference",
    "Name": "publisher-home -&gt; publisher-authorization-gate"
   },
   {
    "AppRouteReferenceId": "rr-publisher-permission-gate--counsel-consent",
    "FromRoute": "publisher-permission-gate",
    "ToRoute": "counsel-consent",
    "SemanticTypeIri": "urn:effortless:pko-extension#AppRouteReference",
    "Name": "publisher-permission-gate -&gt; counsel-consent"
   },
   {
    "AppRouteReferenceId": "rr-publisher-permission-gate--shared-recipient-detail",
    "FromRoute": "publisher-permission-gate",
    "ToRoute": "shared-recipient-detail",
    "SemanticTypeIri": "urn:effortless:pko-extension#AppRouteReference",
    "Name": "publisher-permission-gate -&gt; shared-recipient-detail"
   },
   {
    "AppRouteReferenceId": "rr-publisher-timing-gate--counsel-quiet-hours",
    "FromRoute": "publisher-timing-gate",
    "ToRoute": "counsel-quiet-hours",
    "SemanticTypeIri": "urn:effortless:pko-extension#AppRouteReference",
    "Name": "publisher-timing-gate -&gt; counsel-quiet-hours"
   },
   {
    "AppRouteReferenceId": "rr-publisher-timing-gate--publisher-deferred",
    "FromRoute": "publisher-timing-gate",
    "ToRoute": "publisher-deferred",
    "SemanticTypeIri": "urn:effortless:pko-extension#AppRouteReference",
    "Name": "publisher-timing-gate -&gt; publisher-deferred"
   },
   {
    "AppRouteReferenceId": "rr-publisher-content-gate--comms-sms-limits",
    "FromRoute": "publisher-content-gate",
    "ToRoute": "comms-sms-limits",
    "SemanticTypeIri": "urn:effortless:pko-extension#AppRouteReference",
    "Name": "publisher-content-gate -&gt; comms-sms-limits"
   },
   {
    "AppRouteReferenceId": "rr-publisher-content-gate--comms-optout",
    "FromRoute": "publisher-content-gate",
    "ToRoute": "comms-optout",
    "SemanticTypeIri": "urn:effortless:pko-extension#AppRouteReference",
    "Name": "publisher-content-gate -&gt; comms-optout"
   },
   {
    "AppRouteReferenceId": "rr-publisher-authorization-gate--comms-approval-authority",
    "FromRoute": "publisher-authorization-gate",
    "ToRoute": "comms-approval-authority",
    "SemanticTypeIri": "urn:effortless:pko-extension#AppRouteReference",
    "Name": "publisher-authorization-gate -&gt; comms-approval-authority"
   },
   {
    "AppRouteReferenceId": "rr-publisher-authorization-gate--policy-agent-approval-chain",
    "FromRoute": "publisher-authorization-gate",
    "ToRoute": "policy-agent-approval-chain",
    "SemanticTypeIri": "urn:effortless:pko-extension#AppRouteReference",
    "Name": "publisher-authorization-gate -&gt; policy-agent-approval-chain"
   },
   {
    "AppRouteReferenceId": "rr-publisher-refusals--publisher-refusal-artifacts",
    "FromRoute": "publisher-refusals",
    "ToRoute": "publisher-refusal-artifacts",
    "SemanticTypeIri": "urn:effortless:pko-extension#AppRouteReference",
    "Name": "publisher-refusals -&gt; publisher-refusal-artifacts"
   },
   {
    "AppRouteReferenceId": "rr-publisher-refusals--comms-suppression",
    "FromRoute": "publisher-refusals",
    "ToRoute": "comms-suppression",
    "SemanticTypeIri": "urn:effortless:pko-extension#AppRouteReference",
    "Name": "publisher-refusals -&gt; comms-suppression"
   },
   {
    "AppRouteReferenceId": "rr-publisher-refusals--shared-exception-detail",
    "FromRoute": "publisher-refusals",
    "ToRoute": "shared-exception-detail",
    "SemanticTypeIri": "urn:effortless:pko-extension#AppRouteReference",
    "Name": "publisher-refusals -&gt; shared-exception-detail"
   },
   {
    "AppRouteReferenceId": "rr-publisher-refusal-artifacts--publisher-refusals",
    "FromRoute": "publisher-refusal-artifacts",
    "ToRoute": "publisher-refusals",
    "SemanticTypeIri": "urn:effortless:pko-extension#AppRouteReference",
    "Name": "publisher-refusal-artifacts -&gt; publisher-refusals"
   },
   {
    "AppRouteReferenceId": "rr-publisher-refusal-artifacts--comms-suppression",
    "FromRoute": "publisher-refusal-artifacts",
    "ToRoute": "comms-suppression",
    "SemanticTypeIri": "urn:effortless:pko-extension#AppRouteReference",
    "Name": "publisher-refusal-artifacts -&gt; comms-suppression"
   },
   {
    "AppRouteReferenceId": "rr-publisher-deferred--publisher-timing-gate",
    "FromRoute": "publisher-deferred",
    "ToRoute": "publisher-timing-gate",
    "SemanticTypeIri": "urn:effortless:pko-extension#AppRouteReference",
    "Name": "publisher-deferred -&gt; publisher-timing-gate"
   },
   {
    "AppRouteReferenceId": "rr-publisher-deferred--comms-suppression",
    "FromRoute": "publisher-deferred",
    "ToRoute": "comms-suppression",
    "SemanticTypeIri": "urn:effortless:pko-extension#AppRouteReference",
    "Name": "publisher-deferred -&gt; comms-suppression"
   },
   {
    "AppRouteReferenceId": "rr-publisher-obligations--comms-engagement",
    "FromRoute": "publisher-obligations",
    "ToRoute": "comms-engagement",
    "SemanticTypeIri": "urn:effortless:pko-extension#AppRouteReference",
    "Name": "publisher-obligations -&gt; comms-engagement"
   },
   {
    "AppRouteReferenceId": "rr-publisher-obligations--shared-delivery-detail",
    "FromRoute": "publisher-obligations",
    "ToRoute": "shared-delivery-detail",
    "SemanticTypeIri": "urn:effortless:pko-extension#AppRouteReference",
    "Name": "publisher-obligations -&gt; shared-delivery-detail"
   },
   {
    "AppRouteReferenceId": "rr-publisher-my-authorization--shared-role-assignment-detail",
    "FromRoute": "publisher-my-authorization",
    "ToRoute": "shared-role-assignment-detail",
    "SemanticTypeIri": "urn:effortless:pko-extension#AppRouteReference",
    "Name": "publisher-my-authorization -&gt; shared-role-assignment-detail"
   },
   {
    "AppRouteReferenceId": "rr-publisher-my-authorization--variance-authority",
    "FromRoute": "publisher-my-authorization",
    "ToRoute": "variance-authority",
    "SemanticTypeIri": "urn:effortless:pko-extension#AppRouteReference",
    "Name": "publisher-my-authorization -&gt; variance-authority"
   },
   {
    "AppRouteReferenceId": "rr-publisher-sole-witness--cfo-witness-chain",
    "FromRoute": "publisher-sole-witness",
    "ToRoute": "cfo-witness-chain",
    "SemanticTypeIri": "urn:effortless:pko-extension#AppRouteReference",
    "Name": "publisher-sole-witness -&gt; cfo-witness-chain"
   },
   {
    "AppRouteReferenceId": "rr-publisher-sole-witness--controller-asserted-controls",
    "FromRoute": "publisher-sole-witness",
    "ToRoute": "controller-asserted-controls",
    "SemanticTypeIri": "urn:effortless:pko-extension#AppRouteReference",
    "Name": "publisher-sole-witness -&gt; controller-asserted-controls"
   },
   {
    "AppRouteReferenceId": "rr-steward-home--steward-cadence",
    "FromRoute": "steward-home",
    "ToRoute": "steward-cadence",
    "SemanticTypeIri": "urn:effortless:pko-extension#AppRouteReference",
    "Name": "steward-home -&gt; steward-cadence"
   },
   {
    "AppRouteReferenceId": "rr-steward-home--steward-open-gaps",
    "FromRoute": "steward-home",
    "ToRoute": "steward-open-gaps",
    "SemanticTypeIri": "urn:effortless:pko-extension#AppRouteReference",
    "Name": "steward-home -&gt; steward-open-gaps"
   },
   {
    "AppRouteReferenceId": "rr-steward-home--steward-orphans",
    "FromRoute": "steward-home",
    "ToRoute": "steward-orphans",
    "SemanticTypeIri": "urn:effortless:pko-extension#AppRouteReference",
    "Name": "steward-home -&gt; steward-orphans"
   },
   {
    "AppRouteReferenceId": "rr-steward-home--steward-fallbacks",
    "FromRoute": "steward-home",
    "ToRoute": "steward-fallbacks",
    "SemanticTypeIri": "urn:effortless:pko-extension#AppRouteReference",
    "Name": "steward-home -&gt; steward-fallbacks"
   },
   {
    "AppRouteReferenceId": "rr-steward-cadence--steward-cadence-remediation",
    "FromRoute": "steward-cadence",
    "ToRoute": "steward-cadence-remediation",
    "SemanticTypeIri": "urn:effortless:pko-extension#AppRouteReference",
    "Name": "steward-cadence -&gt; steward-cadence-remediation"
   },
   {
    "AppRouteReferenceId": "rr-steward-cadence--shared-review-event-detail",
    "FromRoute": "steward-cadence",
    "ToRoute": "shared-review-event-detail",
    "SemanticTypeIri": "urn:effortless:pko-extension#AppRouteReference",
    "Name": "steward-cadence -&gt; shared-review-event-detail"
   },
   {
    "AppRouteReferenceId": "rr-steward-cadence-remediation--steward-cadence",
    "FromRoute": "steward-cadence-remediation",
    "ToRoute": "steward-cadence",
    "SemanticTypeIri": "urn:effortless:pko-extension#AppRouteReference",
    "Name": "steward-cadence-remediation -&gt; steward-cadence"
   },
   {
    "AppRouteReferenceId": "rr-steward-cadence-remediation--shared-change-request-detail",
    "FromRoute": "steward-cadence-remediation",
    "ToRoute": "shared-change-request-detail",
    "SemanticTypeIri": "urn:effortless:pko-extension#AppRouteReference",
    "Name": "steward-cadence-remediation -&gt; shared-change-request-detail"
   },
   {
    "AppRouteReferenceId": "rr-steward-open-gaps--hr-backlog-downstream",
    "FromRoute": "steward-open-gaps",
    "ToRoute": "hr-backlog-downstream",
    "SemanticTypeIri": "urn:effortless:pko-extension#AppRouteReference",
    "Name": "steward-open-gaps -&gt; hr-backlog-downstream"
   },
   {
    "AppRouteReferenceId": "rr-steward-open-gaps--shared-knowledge-gap-detail",
    "FromRoute": "steward-open-gaps",
    "ToRoute": "shared-knowledge-gap-detail",
    "SemanticTypeIri": "urn:effortless:pko-extension#AppRouteReference",
    "Name": "steward-open-gaps -&gt; shared-knowledge-gap-detail"
   },
   {
    "AppRouteReferenceId": "rr-steward-stalled-changes--hr-backlog",
    "FromRoute": "steward-stalled-changes",
    "ToRoute": "hr-backlog",
    "SemanticTypeIri": "urn:effortless:pko-extension#AppRouteReference",
    "Name": "steward-stalled-changes -&gt; hr-backlog"
   },
   {
    "AppRouteReferenceId": "rr-steward-stalled-changes--shared-change-request-detail",
    "FromRoute": "steward-stalled-changes",
    "ToRoute": "shared-change-request-detail",
    "SemanticTypeIri": "urn:effortless:pko-extension#AppRouteReference",
    "Name": "steward-stalled-changes -&gt; shared-change-request-detail"
   },
   {
    "AppRouteReferenceId": "rr-steward-approved-never-lands--hr-my-decisions",
    "FromRoute": "steward-approved-never-lands",
    "ToRoute": "hr-my-decisions",
    "SemanticTypeIri": "urn:effortless:pko-extension#AppRouteReference",
    "Name": "steward-approved-never-lands -&gt; hr-my-decisions"
   },
   {
    "AppRouteReferenceId": "rr-steward-approved-never-lands--cfo-blockers",
    "FromRoute": "steward-approved-never-lands",
    "ToRoute": "cfo-blockers",
    "SemanticTypeIri": "urn:effortless:pko-extension#AppRouteReference",
    "Name": "steward-approved-never-lands -&gt; cfo-blockers"
   },
   {
    "AppRouteReferenceId": "rr-steward-orphans--steward-archived-still-referenced",
    "FromRoute": "steward-orphans",
    "ToRoute": "steward-archived-still-referenced",
    "SemanticTypeIri": "urn:effortless:pko-extension#AppRouteReference",
    "Name": "steward-orphans -&gt; steward-archived-still-referenced"
   },
   {
    "AppRouteReferenceId": "rr-steward-orphans--shared-procedure-version-detail",
    "FromRoute": "steward-orphans",
    "ToRoute": "shared-procedure-version-detail",
    "SemanticTypeIri": "urn:effortless:pko-extension#AppRouteReference",
    "Name": "steward-orphans -&gt; shared-procedure-version-detail"
   },
   {
    "AppRouteReferenceId": "rr-steward-archived-still-referenced--steward-orphans",
    "FromRoute": "steward-archived-still-referenced",
    "ToRoute": "steward-orphans",
    "SemanticTypeIri": "urn:effortless:pko-extension#AppRouteReference",
    "Name": "steward-archived-still-referenced -&gt; steward-orphans"
   },
   {
    "AppRouteReferenceId": "rr-steward-archived-still-referenced--shared-procedure-version-detail",
    "FromRoute": "steward-archived-still-referenced",
    "ToRoute": "shared-procedure-version-detail",
    "SemanticTypeIri": "urn:effortless:pko-extension#AppRouteReference",
    "Name": "steward-archived-still-referenced -&gt; shared-procedure-version-detail"
   },
   {
    "AppRouteReferenceId": "rr-steward-fallbacks--steward-fallback-criticality",
    "FromRoute": "steward-fallbacks",
    "ToRoute": "steward-fallback-criticality",
    "SemanticTypeIri": "urn:effortless:pko-extension#AppRouteReference",
    "Name": "steward-fallbacks -&gt; steward-fallback-criticality"
   },
   {
    "AppRouteReferenceId": "rr-steward-fallbacks--shared-transition-detail",
    "FromRoute": "steward-fallbacks",
    "ToRoute": "shared-transition-detail",
    "SemanticTypeIri": "urn:effortless:pko-extension#AppRouteReference",
    "Name": "steward-fallbacks -&gt; shared-transition-detail"
   },
   {
    "AppRouteReferenceId": "rr-steward-fallback-criticality--steward-fallbacks",
    "FromRoute": "steward-fallback-criticality",
    "ToRoute": "steward-fallbacks",
    "SemanticTypeIri": "urn:effortless:pko-extension#AppRouteReference",
    "Name": "steward-fallback-criticality -&gt; steward-fallbacks"
   },
   {
    "AppRouteReferenceId": "rr-steward-fallback-criticality--controller-home",
    "FromRoute": "steward-fallback-criticality",
    "ToRoute": "controller-home",
    "SemanticTypeIri": "urn:effortless:pko-extension#AppRouteReference",
    "Name": "steward-fallback-criticality -&gt; controller-home"
   },
   {
    "AppRouteReferenceId": "rr-steward-hardcoded-predicates--shared-field-provenance",
    "FromRoute": "steward-hardcoded-predicates",
    "ToRoute": "shared-field-provenance",
    "SemanticTypeIri": "urn:effortless:pko-extension#AppRouteReference",
    "Name": "steward-hardcoded-predicates -&gt; shared-field-provenance"
   },
   {
    "AppRouteReferenceId": "rr-steward-hardcoded-predicates--steward-home",
    "FromRoute": "steward-hardcoded-predicates",
    "ToRoute": "steward-home",
    "SemanticTypeIri": "urn:effortless:pko-extension#AppRouteReference",
    "Name": "steward-hardcoded-predicates -&gt; steward-home"
   },
   {
    "AppRouteReferenceId": "rr-authority-home--authority-fragment-decay",
    "FromRoute": "authority-home",
    "ToRoute": "authority-fragment-decay",
    "SemanticTypeIri": "urn:effortless:pko-extension#AppRouteReference",
    "Name": "authority-home -&gt; authority-fragment-decay"
   },
   {
    "AppRouteReferenceId": "rr-authority-home--authority-unapproved-live",
    "FromRoute": "authority-home",
    "ToRoute": "authority-unapproved-live",
    "SemanticTypeIri": "urn:effortless:pko-extension#AppRouteReference",
    "Name": "authority-home -&gt; authority-unapproved-live"
   },
   {
    "AppRouteReferenceId": "rr-authority-home--shared-knowledge-fragment-detail",
    "FromRoute": "authority-home",
    "ToRoute": "shared-knowledge-fragment-detail",
    "SemanticTypeIri": "urn:effortless:pko-extension#AppRouteReference",
    "Name": "authority-home -&gt; shared-knowledge-fragment-detail"
   },
   {
    "AppRouteReferenceId": "rr-authority-fragment-decay--authority-home",
    "FromRoute": "authority-fragment-decay",
    "ToRoute": "authority-home",
    "SemanticTypeIri": "urn:effortless:pko-extension#AppRouteReference",
    "Name": "authority-fragment-decay -&gt; authority-home"
   },
   {
    "AppRouteReferenceId": "rr-authority-fragment-decay--variance-knowledge-currency",
    "FromRoute": "authority-fragment-decay",
    "ToRoute": "variance-knowledge-currency",
    "SemanticTypeIri": "urn:effortless:pko-extension#AppRouteReference",
    "Name": "authority-fragment-decay -&gt; variance-knowledge-currency"
   },
   {
    "AppRouteReferenceId": "rr-authority-unapproved-live--hr-load-bearing-claim",
    "FromRoute": "authority-unapproved-live",
    "ToRoute": "hr-load-bearing-claim",
    "SemanticTypeIri": "urn:effortless:pko-extension#AppRouteReference",
    "Name": "authority-unapproved-live -&gt; hr-load-bearing-claim"
   },
   {
    "AppRouteReferenceId": "rr-authority-unapproved-live--authority-machine-consumers",
    "FromRoute": "authority-unapproved-live",
    "ToRoute": "authority-machine-consumers",
    "SemanticTypeIri": "urn:effortless:pko-extension#AppRouteReference",
    "Name": "authority-unapproved-live -&gt; authority-machine-consumers"
   },
   {
    "AppRouteReferenceId": "rr-authority-machine-consumers--authority-unapproved-live",
    "FromRoute": "authority-machine-consumers",
    "ToRoute": "authority-unapproved-live",
    "SemanticTypeIri": "urn:effortless:pko-extension#AppRouteReference",
    "Name": "authority-machine-consumers -&gt; authority-unapproved-live"
   },
   {
    "AppRouteReferenceId": "rr-authority-machine-consumers--hr-ai-boundary",
    "FromRoute": "authority-machine-consumers",
    "ToRoute": "hr-ai-boundary",
    "SemanticTypeIri": "urn:effortless:pko-extension#AppRouteReference",
    "Name": "authority-machine-consumers -&gt; hr-ai-boundary"
   },
   {
    "AppRouteReferenceId": "rr-authority-expired-ratifier--variance-boundary-ratification",
    "FromRoute": "authority-expired-ratifier",
    "ToRoute": "variance-boundary-ratification",
    "SemanticTypeIri": "urn:effortless:pko-extension#AppRouteReference",
    "Name": "authority-expired-ratifier -&gt; variance-boundary-ratification"
   },
   {
    "AppRouteReferenceId": "rr-authority-expired-ratifier--shared-authority-boundary-detail",
    "FromRoute": "authority-expired-ratifier",
    "ToRoute": "shared-authority-boundary-detail",
    "SemanticTypeIri": "urn:effortless:pko-extension#AppRouteReference",
    "Name": "authority-expired-ratifier -&gt; shared-authority-boundary-detail"
   },
   {
    "AppRouteReferenceId": "rr-authority-orphaned-provenance--hr-departed-holders",
    "FromRoute": "authority-orphaned-provenance",
    "ToRoute": "hr-departed-holders",
    "SemanticTypeIri": "urn:effortless:pko-extension#AppRouteReference",
    "Name": "authority-orphaned-provenance -&gt; hr-departed-holders"
   },
   {
    "AppRouteReferenceId": "rr-authority-orphaned-provenance--authority-elicitation-monoculture",
    "FromRoute": "authority-orphaned-provenance",
    "ToRoute": "authority-elicitation-monoculture",
    "SemanticTypeIri": "urn:effortless:pko-extension#AppRouteReference",
    "Name": "authority-orphaned-provenance -&gt; authority-elicitation-monoculture"
   },
   {
    "AppRouteReferenceId": "rr-authority-unwitnessed-change--controller-home",
    "FromRoute": "authority-unwitnessed-change",
    "ToRoute": "controller-home",
    "SemanticTypeIri": "urn:effortless:pko-extension#AppRouteReference",
    "Name": "authority-unwitnessed-change -&gt; controller-home"
   },
   {
    "AppRouteReferenceId": "rr-authority-unwitnessed-change--shared-change-request-detail",
    "FromRoute": "authority-unwitnessed-change",
    "ToRoute": "shared-change-request-detail",
    "SemanticTypeIri": "urn:effortless:pko-extension#AppRouteReference",
    "Name": "authority-unwitnessed-change -&gt; shared-change-request-detail"
   },
   {
    "AppRouteReferenceId": "rr-authority-stale-elicitation--hr-knowledge-half-life",
    "FromRoute": "authority-stale-elicitation",
    "ToRoute": "hr-knowledge-half-life",
    "SemanticTypeIri": "urn:effortless:pko-extension#AppRouteReference",
    "Name": "authority-stale-elicitation -&gt; hr-knowledge-half-life"
   },
   {
    "AppRouteReferenceId": "rr-authority-stale-elicitation--shared-elicitation-detail",
    "FromRoute": "authority-stale-elicitation",
    "ToRoute": "shared-elicitation-detail",
    "SemanticTypeIri": "urn:effortless:pko-extension#AppRouteReference",
    "Name": "authority-stale-elicitation -&gt; shared-elicitation-detail"
   },
   {
    "AppRouteReferenceId": "rr-authority-elicitation-monoculture--authority-orphaned-provenance",
    "FromRoute": "authority-elicitation-monoculture",
    "ToRoute": "authority-orphaned-provenance",
    "SemanticTypeIri": "urn:effortless:pko-extension#AppRouteReference",
    "Name": "authority-elicitation-monoculture -&gt; authority-orphaned-provenance"
   },
   {
    "AppRouteReferenceId": "rr-authority-elicitation-monoculture--shared-elicitation-detail",
    "FromRoute": "authority-elicitation-monoculture",
    "ToRoute": "shared-elicitation-detail",
    "SemanticTypeIri": "urn:effortless:pko-extension#AppRouteReference",
    "Name": "authority-elicitation-monoculture -&gt; shared-elicitation-detail"
   },
   {
    "AppRouteReferenceId": "rr-authority-known-unknowns--steward-open-gaps",
    "FromRoute": "authority-known-unknowns",
    "ToRoute": "steward-open-gaps",
    "SemanticTypeIri": "urn:effortless:pko-extension#AppRouteReference",
    "Name": "authority-known-unknowns -&gt; steward-open-gaps"</t>
  </si>
  <si>
    <t xml:space="preserve">
   },
   {
    "AppRouteReferenceId": "rr-authority-known-unknowns--shared-knowledge-gap-detail",
    "FromRoute": "authority-known-unknowns",
    "ToRoute": "shared-knowledge-gap-detail",
    "SemanticTypeIri": "urn:effortless:pko-extension#AppRouteReference",
    "Name": "authority-known-unknowns -&gt; shared-knowledge-gap-detail"
   },
   {
    "AppRouteReferenceId": "rr-authority-review-date-inferred--shared-field-provenance",
    "FromRoute": "authority-review-date-inferred",
    "ToRoute": "shared-field-provenance",
    "SemanticTypeIri": "urn:effortless:pko-extension#AppRouteReference",
    "Name": "authority-review-date-inferred -&gt; shared-field-provenance"
   },
   {
    "AppRouteReferenceId": "rr-authority-review-date-inferred--authority-fragment-decay",
    "FromRoute": "authority-review-date-inferred",
    "ToRoute": "authority-fragment-decay",
    "SemanticTypeIri": "urn:effortless:pko-extension#AppRouteReference",
    "Name": "authority-review-date-inferred -&gt; authority-fragment-decay"
   },
   {
    "AppRouteReferenceId": "rr-shared-step-execution-detail--shared-requirement-detail",
    "FromRoute": "shared-step-execution-detail",
    "ToRoute": "shared-requirement-detail",
    "SemanticTypeIri": "urn:effortless:pko-extension#AppRouteReference",
    "Name": "shared-step-execution-detail -&gt; shared-requirement-detail"
   },
   {
    "AppRouteReferenceId": "rr-shared-step-execution-detail--shared-verification-outcomes",
    "FromRoute": "shared-step-execution-detail",
    "ToRoute": "shared-verification-outcomes",
    "SemanticTypeIri": "urn:effortless:pko-extension#AppRouteReference",
    "Name": "shared-step-execution-detail -&gt; shared-verification-outcomes"
   },
   {
    "AppRouteReferenceId": "rr-shared-requirement-detail--controller-witness-scope",
    "FromRoute": "shared-requirement-detail",
    "ToRoute": "controller-witness-scope",
    "SemanticTypeIri": "urn:effortless:pko-extension#AppRouteReference",
    "Name": "shared-requirement-detail -&gt; controller-witness-scope"
   },
   {
    "AppRouteReferenceId": "rr-shared-requirement-detail--shared-step-execution-detail",
    "FromRoute": "shared-requirement-detail",
    "ToRoute": "shared-step-execution-detail",
    "SemanticTypeIri": "urn:effortless:pko-extension#AppRouteReference",
    "Name": "shared-requirement-detail -&gt; shared-step-execution-detail"
   },
   {
    "AppRouteReferenceId": "rr-shared-knowledge-fragment-detail--authority-fragment-decay",
    "FromRoute": "shared-knowledge-fragment-detail",
    "ToRoute": "authority-fragment-decay",
    "SemanticTypeIri": "urn:effortless:pko-extension#AppRouteReference",
    "Name": "shared-knowledge-fragment-detail -&gt; authority-fragment-decay"
   },
   {
    "AppRouteReferenceId": "rr-shared-knowledge-fragment-detail--hr-load-bearing-claim",
    "FromRoute": "shared-knowledge-fragment-detail",
    "ToRoute": "hr-load-bearing-claim",
    "SemanticTypeIri": "urn:effortless:pko-extension#AppRouteReference",
    "Name": "shared-knowledge-fragment-detail -&gt; hr-load-bearing-claim"
   },
   {
    "AppRouteReferenceId": "rr-shared-change-request-detail--steward-stalled-changes",
    "FromRoute": "shared-change-request-detail",
    "ToRoute": "steward-stalled-changes",
    "SemanticTypeIri": "urn:effortless:pko-extension#AppRouteReference",
    "Name": "shared-change-request-detail -&gt; steward-stalled-changes"
   },
   {
    "AppRouteReferenceId": "rr-shared-change-request-detail--hr-backlog",
    "FromRoute": "shared-change-request-detail",
    "ToRoute": "hr-backlog",
    "SemanticTypeIri": "urn:effortless:pko-extension#AppRouteReference",
    "Name": "shared-change-request-detail -&gt; hr-backlog"
   },
   {
    "AppRouteReferenceId": "rr-shared-exception-detail--publisher-refusals",
    "FromRoute": "shared-exception-detail",
    "ToRoute": "publisher-refusals",
    "SemanticTypeIri": "urn:effortless:pko-extension#AppRouteReference",
    "Name": "shared-exception-detail -&gt; publisher-refusals"
   },
   {
    "AppRouteReferenceId": "rr-shared-exception-detail--analyst-late-steps",
    "FromRoute": "shared-exception-detail",
    "ToRoute": "analyst-late-steps",
    "SemanticTypeIri": "urn:effortless:pko-extension#AppRouteReference",
    "Name": "shared-exception-detail -&gt; analyst-late-steps"
   },
   {
    "AppRouteReferenceId": "rr-shared-role-assignment-detail--controller-authority-validity",
    "FromRoute": "shared-role-assignment-detail",
    "ToRoute": "controller-authority-validity",
    "SemanticTypeIri": "urn:effortless:pko-extension#AppRouteReference",
    "Name": "shared-role-assignment-detail -&gt; controller-authority-validity"
   },
   {
    "AppRouteReferenceId": "rr-shared-role-assignment-detail--variance-authority",
    "FromRoute": "shared-role-assignment-detail",
    "ToRoute": "variance-authority",
    "SemanticTypeIri": "urn:effortless:pko-extension#AppRouteReference",
    "Name": "shared-role-assignment-detail -&gt; variance-authority"
   },
   {
    "AppRouteReferenceId": "rr-shared-operational-binding-detail--analyst-source-freshness",
    "FromRoute": "shared-operational-binding-detail",
    "ToRoute": "analyst-source-freshness",
    "SemanticTypeIri": "urn:effortless:pko-extension#AppRouteReference",
    "Name": "shared-operational-binding-detail -&gt; analyst-source-freshness"
   },
   {
    "AppRouteReferenceId": "rr-shared-operational-binding-detail--close-auto-inputs",
    "FromRoute": "shared-operational-binding-detail",
    "ToRoute": "close-auto-inputs",
    "SemanticTypeIri": "urn:effortless:pko-extension#AppRouteReference",
    "Name": "shared-operational-binding-detail -&gt; close-auto-inputs"
   },
   {
    "AppRouteReferenceId": "rr-shared-delivery-detail--comms-yield",
    "FromRoute": "shared-delivery-detail",
    "ToRoute": "comms-yield",
    "SemanticTypeIri": "urn:effortless:pko-extension#AppRouteReference",
    "Name": "shared-delivery-detail -&gt; comms-yield"
   },
   {
    "AppRouteReferenceId": "rr-shared-delivery-detail--comms-frozen-approval",
    "FromRoute": "shared-delivery-detail",
    "ToRoute": "comms-frozen-approval",
    "SemanticTypeIri": "urn:effortless:pko-extension#AppRouteReference",
    "Name": "shared-delivery-detail -&gt; comms-frozen-approval"
   },
   {
    "AppRouteReferenceId": "rr-shared-recipient-detail--comms-suppression",
    "FromRoute": "shared-recipient-detail",
    "ToRoute": "comms-suppression",
    "SemanticTypeIri": "urn:effortless:pko-extension#AppRouteReference",
    "Name": "shared-recipient-detail -&gt; comms-suppression"
   },
   {
    "AppRouteReferenceId": "rr-shared-recipient-detail--counsel-consent",
    "FromRoute": "shared-recipient-detail",
    "ToRoute": "counsel-consent",
    "SemanticTypeIri": "urn:effortless:pko-extension#AppRouteReference",
    "Name": "shared-recipient-detail -&gt; counsel-consent"
   },
   {
    "AppRouteReferenceId": "rr-shared-template-detail--comms-template-drift",
    "FromRoute": "shared-template-detail",
    "ToRoute": "comms-template-drift",
    "SemanticTypeIri": "urn:effortless:pko-extension#AppRouteReference",
    "Name": "shared-template-detail -&gt; comms-template-drift"
   },
   {
    "AppRouteReferenceId": "rr-shared-template-detail--comms-approval-authority",
    "FromRoute": "shared-template-detail",
    "ToRoute": "comms-approval-authority",
    "SemanticTypeIri": "urn:effortless:pko-extension#AppRouteReference",
    "Name": "shared-template-detail -&gt; comms-approval-authority"
   },
   {
    "AppRouteReferenceId": "rr-shared-procedure-version-detail--steward-orphans",
    "FromRoute": "shared-procedure-version-detail",
    "ToRoute": "steward-orphans",
    "SemanticTypeIri": "urn:effortless:pko-extension#AppRouteReference",
    "Name": "shared-procedure-version-detail -&gt; steward-orphans"
   },
   {
    "AppRouteReferenceId": "rr-shared-procedure-version-detail--controller-conformance",
    "FromRoute": "shared-procedure-version-detail",
    "ToRoute": "controller-conformance",
    "SemanticTypeIri": "urn:effortless:pko-extension#AppRouteReference",
    "Name": "shared-procedure-version-detail -&gt; controller-conformance"
   },
   {
    "AppRouteReferenceId": "rr-shared-knowledge-gap-detail--steward-open-gaps",
    "FromRoute": "shared-knowledge-gap-detail",
    "ToRoute": "steward-open-gaps",
    "SemanticTypeIri": "urn:effortless:pko-extension#AppRouteReference",
    "Name": "shared-knowledge-gap-detail -&gt; steward-open-gaps"
   },
   {
    "AppRouteReferenceId": "rr-shared-knowledge-gap-detail--authority-known-unknowns",
    "FromRoute": "shared-knowledge-gap-detail",
    "ToRoute": "authority-known-unknowns",
    "SemanticTypeIri": "urn:effortless:pko-extension#AppRouteReference",
    "Name": "shared-knowledge-gap-detail -&gt; authority-known-unknowns"
   },
   {
    "AppRouteReferenceId": "rr-shared-verification-outcomes--cfo-witness-chain",
    "FromRoute": "shared-verification-outcomes",
    "ToRoute": "cfo-witness-chain",
    "SemanticTypeIri": "urn:effortless:pko-extension#AppRouteReference",
    "Name": "shared-verification-outcomes -&gt; cfo-witness-chain"
   },
   {
    "AppRouteReferenceId": "rr-shared-verification-outcomes--analyst-verification-performed",
    "FromRoute": "shared-verification-outcomes",
    "ToRoute": "analyst-verification-performed",
    "SemanticTypeIri": "urn:effortless:pko-extension#AppRouteReference",
    "Name": "shared-verification-outcomes -&gt; analyst-verification-performed"
   },
   {
    "AppRouteReferenceId": "rr-shared-review-event-detail--steward-cadence",
    "FromRoute": "shared-review-event-detail",
    "ToRoute": "steward-cadence",
    "SemanticTypeIri": "urn:effortless:pko-extension#AppRouteReference",
    "Name": "shared-review-event-detail -&gt; steward-cadence"
   },
   {
    "AppRouteReferenceId": "rr-shared-review-event-detail--counsel-legal-review",
    "FromRoute": "shared-review-event-detail",
    "ToRoute": "counsel-legal-review",
    "SemanticTypeIri": "urn:effortless:pko-extension#AppRouteReference",
    "Name": "shared-review-event-detail -&gt; counsel-legal-review"
   },
   {
    "AppRouteReferenceId": "rr-shared-elicitation-detail--authority-elicitation-monoculture",
    "FromRoute": "shared-elicitation-detail",
    "ToRoute": "authority-elicitation-monoculture",
    "SemanticTypeIri": "urn:effortless:pko-extension#AppRouteReference",
    "Name": "shared-elicitation-detail -&gt; authority-elicitation-monoculture"
   },
   {
    "AppRouteReferenceId": "rr-shared-elicitation-detail--authority-stale-elicitation",
    "FromRoute": "shared-elicitation-detail",
    "ToRoute": "authority-stale-elicitation",
    "SemanticTypeIri": "urn:effortless:pko-extension#AppRouteReference",
    "Name": "shared-elicitation-detail -&gt; authority-stale-elicitation"
   },
   {
    "AppRouteReferenceId": "rr-shared-transition-detail--steward-fallbacks",
    "FromRoute": "shared-transition-detail",
    "ToRoute": "steward-fallbacks",
    "SemanticTypeIri": "urn:effortless:pko-extension#AppRouteReference",
    "Name": "shared-transition-detail -&gt; steward-fallbacks"
   },
   {
    "AppRouteReferenceId": "rr-shared-transition-detail--shared-step-execution-detail",
    "FromRoute": "shared-transition-detail",
    "ToRoute": "shared-step-execution-detail",
    "SemanticTypeIri": "urn:effortless:pko-extension#AppRouteReference",
    "Name": "shared-transition-detail -&gt; shared-step-execution-detail"
   },
   {
    "AppRouteReferenceId": "rr-shared-authority-boundary-detail--authority-expired-ratifier",
    "FromRoute": "shared-authority-boundary-detail",
    "ToRoute": "authority-expired-ratifier",
    "SemanticTypeIri": "urn:effortless:pko-extension#AppRouteReference",
    "Name": "shared-authority-boundary-detail -&gt; authority-expired-ratifier"
   },
   {
    "AppRouteReferenceId": "rr-shared-authority-boundary-detail--variance-boundary",
    "FromRoute": "shared-authority-boundary-detail",
    "ToRoute": "variance-boundary",
    "SemanticTypeIri": "urn:effortless:pko-extension#AppRouteReference",
    "Name": "shared-authority-boundary-detail -&gt; variance-boundary"
   },
   {
    "AppRouteReferenceId": "rr-shared-evaluation-context--cfo-restatement",
    "FromRoute": "shared-evaluation-context",
    "ToRoute": "cfo-restatement",
    "SemanticTypeIri": "urn:effortless:pko-extension#AppRouteReference",
    "Name": "shared-evaluation-context -&gt; cfo-restatement"
   },
   {
    "AppRouteReferenceId": "rr-shared-evaluation-context--analyst-stale-then-vs-now",
    "FromRoute": "shared-evaluation-context",
    "ToRoute": "analyst-stale-then-vs-now",
    "SemanticTypeIri": "urn:effortless:pko-extension#AppRouteReference",
    "Name": "shared-evaluation-context -&gt; analyst-stale-then-vs-now"
   },
   {
    "AppRouteReferenceId": "rr-shared-field-provenance--steward-hardcoded-predicates",
    "FromRoute": "shared-field-provenance",
    "ToRoute": "steward-hardcoded-predicates",
    "SemanticTypeIri": "urn:effortless:pko-extension#AppRouteReference",
    "Name": "shared-field-provenance -&gt; steward-hardcoded-predicates"
   },
   {
    "AppRouteReferenceId": "rr-shared-field-provenance--authority-review-date-inferred",
    "FromRoute": "shared-field-provenance",
    "ToRoute": "authority-review-date-inferred",
    "SemanticTypeIri": "urn:effortless:pko-extension#AppRouteReference",
    "Name": "shared-field-provenance -&gt; authority-review-date-inferred"
   },
   {
    "AppRouteReferenceId": "rr-admin-board--admin-checks",
    "FromRoute": "admin-board",
    "ToRoute": "admin-checks",
    "SemanticTypeIri": "urn:effortless:pko-extension#AppRouteReference",
    "Name": "admin-board -&gt; admin-checks"
   },
   {
    "AppRouteReferenceId": "rr-admin-board--admin-witnesses",
    "FromRoute": "admin-board",
    "ToRoute": "admin-witnesses",
    "SemanticTypeIri": "urn:effortless:pko-extension#AppRouteReference",
    "Name": "admin-board -&gt; admin-witnesses"
   },
   {
    "AppRouteReferenceId": "rr-admin-checks--admin-board",
    "FromRoute": "admin-checks",
    "ToRoute": "admin-board",
    "SemanticTypeIri": "urn:effortless:pko-extension#AppRouteReference",
    "Name": "admin-checks -&gt; admin-board"
   },
   {
    "AppRouteReferenceId": "rr-admin-checks--admin-question-defence",
    "FromRoute": "admin-checks",
    "ToRoute": "admin-question-defence",
    "SemanticTypeIri": "urn:effortless:pko-extension#AppRouteReference",
    "Name": "admin-checks -&gt; admin-question-defence"
   },
   {
    "AppRouteReferenceId": "rr-admin-witnesses--admin-vacuous",
    "FromRoute": "admin-witnesses",
    "ToRoute": "admin-vacuous",
    "SemanticTypeIri": "urn:effortless:pko-extension#AppRouteReference",
    "Name": "admin-witnesses -&gt; admin-vacuous"
   },
   {
    "AppRouteReferenceId": "rr-admin-witnesses--shared-field-provenance",
    "FromRoute": "admin-witnesses",
    "ToRoute": "shared-field-provenance",
    "SemanticTypeIri": "urn:effortless:pko-extension#AppRouteReference",
    "Name": "admin-witnesses -&gt; shared-field-provenance"
   },
   {
    "AppRouteReferenceId": "rr-admin-vacuous--admin-witnesses",
    "FromRoute": "admin-vacuous",
    "ToRoute": "admin-witnesses",
    "SemanticTypeIri": "urn:effortless:pko-extension#AppRouteReference",
    "Name": "admin-vacuous -&gt; admin-witnesses"
   },
   {
    "AppRouteReferenceId": "rr-admin-vacuous--admin-loops",
    "FromRoute": "admin-vacuous",
    "ToRoute": "admin-loops",
    "SemanticTypeIri": "urn:effortless:pko-extension#AppRouteReference",
    "Name": "admin-vacuous -&gt; admin-loops"
   },
   {
    "AppRouteReferenceId": "rr-admin-loops--admin-question-defence",
    "FromRoute": "admin-loops",
    "ToRoute": "admin-question-defence",
    "SemanticTypeIri": "urn:effortless:pko-extension#AppRouteReference",
    "Name": "admin-loops -&gt; admin-question-defence"
   },
   {
    "AppRouteReferenceId": "rr-admin-loops--shared-field-provenance",
    "FromRoute": "admin-loops",
    "ToRoute": "shared-field-provenance",
    "SemanticTypeIri": "urn:effortless:pko-extension#AppRouteReference",
    "Name": "admin-loops -&gt; shared-field-provenance"
   },
   {
    "AppRouteReferenceId": "rr-admin-question-defence--admin-loops",
    "FromRoute": "admin-question-defence",
    "ToRoute": "admin-loops",
    "SemanticTypeIri": "urn:effortless:pko-extension#AppRouteReference",
    "Name": "admin-question-defence -&gt; admin-loops"
   },
   {
    "AppRouteReferenceId": "rr-admin-question-defence--admin-checks",
    "FromRoute": "admin-question-defence",
    "ToRoute": "admin-checks",
    "SemanticTypeIri": "urn:effortless:pko-extension#AppRouteReference",
    "Name": "admin-question-defence -&gt; admin-checks"
   },
   {
    "AppRouteReferenceId": "rr-admin-question-defence--admin-route-map",
    "FromRoute": "admin-question-defence",
    "ToRoute": "admin-route-map",
    "SemanticTypeIri": "urn:effortless:pko-extension#AppRouteReference",
    "Name": "admin-question-defence -&gt; admin-route-map"
   },
   {
    "AppRouteReferenceId": "rr-admin-provenance--shared-field-provenance",
    "FromRoute": "admin-provenance",
    "ToRoute": "shared-field-provenance",
    "SemanticTypeIri": "urn:effortless:pko-extension#AppRouteReference",
    "Name": "admin-provenance -&gt; shared-field-provenance"
   },
   {
    "AppRouteReferenceId": "rr-admin-provenance--admin-loops",
    "FromRoute": "admin-provenance",
    "ToRoute": "admin-loops",
    "SemanticTypeIri": "urn:effortless:pko-extension#AppRouteReference",
    "Name": "admin-provenance -&gt; admin-loops"
   },
   {
    "AppRouteReferenceId": "rr-admin-route-map--admin-question-defence",
    "FromRoute": "admin-route-map",
    "ToRoute": "admin-question-defence",
    "SemanticTypeIri": "urn:effortless:pko-extension#AppRouteReference",
    "Name": "admin-route-map -&gt; admin-question-defence"
   },
   {
    "AppRouteReferenceId": "rr-admin-route-map--explorer-tables",
    "FromRoute": "admin-route-map",
    "ToRoute": "explorer-tables",
    "SemanticTypeIri": "urn:effortless:pko-extension#AppRouteReference",
    "Name": "admin-route-map -&gt; explorer-tables"
   },
   {
    "AppRouteReferenceId": "rr-admin-catalog-drift--explorer-inferences",
    "FromRoute": "admin-catalog-drift",
    "ToRoute": "explorer-inferences",
    "SemanticTypeIri": "urn:effortless:pko-extension#AppRouteReference",
    "Name": "admin-catalog-drift -&gt; explorer-inferences"
   },
   {
    "AppRouteReferenceId": "rr-admin-catalog-drift--admin-board",
    "FromRoute": "admin-catalog-drift",
    "ToRoute": "admin-board",
    "SemanticTypeIri": "urn:effortless:pko-extension#AppRouteReference",
    "Name": "admin-catalog-drift -&gt; admin-board"
   },
   {
    "AppRouteReferenceId": "rr-explorer-inferences--explorer-tables",
    "FromRoute": "explorer-inferences",
    "ToRoute": "explorer-tables",
    "SemanticTypeIri": "urn:effortless:pko-extension#AppRouteReference",
    "Name": "explorer-inferences -&gt; explorer-tables"
   },
   {
    "AppRouteReferenceId": "rr-explorer-inferences--shared-field-provenance",
    "FromRoute": "explorer-inferences",
    "ToRoute": "shared-field-provenance",
    "SemanticTypeIri": "urn:effortless:pko-extension#AppRouteReference",
    "Name": "explorer-inferences -&gt; shared-field-provenance"
   },
   {
    "AppRouteReferenceId": "rr-explorer-tables--explorer-table-detail",
    "FromRoute": "explorer-tables",
    "ToRoute": "explorer-table-detail",
    "SemanticTypeIri": "urn:effortless:pko-extension#AppRouteReference",
    "Name": "explorer-tables -&gt; explorer-table-detail"
   },
   {
    "AppRouteReferenceId": "rr-explorer-tables--explorer-inferences",
    "FromRoute": "explorer-tables",
    "ToRoute": "explorer-inferences",
    "SemanticTypeIri": "urn:effortless:pko-extension#AppRouteReference",
    "Name": "explorer-tables -&gt; explorer-inferences"
   },
   {
    "AppRouteReferenceId": "rr-explorer-table-detail--explorer-record",
    "FromRoute": "explorer-table-detail",
    "ToRoute": "explorer-record",
    "SemanticTypeIri": "urn:effortless:pko-extension#AppRouteReference",
    "Name": "explorer-table-detail -&gt; explorer-record"
   },
   {
    "AppRouteReferenceId": "rr-explorer-table-detail--shared-field-provenance",
    "FromRoute": "explorer-table-detail",
    "ToRoute": "shared-field-provenance",
    "SemanticTypeIri": "urn:effortless:pko-extension#AppRouteReference",
    "Name": "explorer-table-detail -&gt; shared-field-provenance"
   },
   {
    "AppRouteReferenceId": "rr-explorer-record--explorer-table-detail",
    "FromRoute": "explorer-record",
    "ToRoute": "explorer-table-detail",
    "SemanticTypeIri": "urn:effortless:pko-extension#AppRouteReference",
    "Name": "explorer-record -&gt; explorer-table-detail"
   },
   {
    "AppRouteReferenceId": "rr-explorer-record--shared-field-provenance",
    "FromRoute": "explorer-record",
    "ToRoute": "shared-field-provenance",
    "SemanticTypeIri": "urn:effortless:pko-extension#AppRouteReference",
    "Name": "explorer-record -&gt; shared-field-provenance"
   }
  ]
 },
 "RulebookTables": {
  "Description": "Census of every table in this rulebook. The table-level counterpart to RulebookFields, and the anchor every access policy points at. Derived by tools/reconcile_field_catalog.py -- never hand-maintained.",
  "important": true,
  "schema": [
   {
    "name": "RulebookTableId",
    "datatype": "string",
    "type": "raw",
    "nullable": false,
    "Description": "Primary key: the rulebook table name, verbatim. rulebook-to-postgres synthesizes a lowercased slug PK for a table with no &lt;Entity&gt;Id and rewrites every FK to it, which broke each formula comparing an FK to TableName."
   },
   {
    "name": "TableName",
    "datatype": "string",
    "type": "raw",
    "nullable": false,
    "Description": "Stored logical identifier: the rulebook table name, e.g. 'Procedures'."
   },
   {
    "name": "Name",
    "datatype": "string",
    "type": "calculated",
    "nullable": true,
    "Description": "Human-readable calculated display alias.",
    "formula": "={{TableName}}"
   },
   {
    "name": "PhysicalTable",
    "datatype": "string",
    "type": "raw",
    "nullable": true,
    "Description": "snake_case Postgres base table name emitted by rulebook-to-postgres."
   },
   {
    "name": "PhysicalView",
    "datatype": "string",
    "type": "raw",
    "nullable": true,
    "Description": "snake_case Postgres view name (vw_*) carrying the computed columns."
   },
   {
    "name": "SubjectArea",
    "datatype": "string",
    "type": "raw",
    "nullable": true,
    "Description": "Coarse grouping used to organise role schemas, e.g. 'execution', 'governance'."
   },
   {
    "name": "IsExtension",
    "datatype": "boolean",
    "type": "raw",
    "nullable": true,
    "Description": "True when this table is an ERB extension rather than a native/aligned PKO term."
   },
   {
    "name": "FieldCount",
    "datatype": "number",
    "type": "aggregation",
    "nullable": true,
    "Description": "Number of catalogued fields on this table.",
    "formula": "=COUNTIFS(RulebookFields!{{TargetTable}}, {{RulebookTableId}})"
   },
   {
    "name": "PolicyCount",
    "datatype": "number",
    "type": "aggregation",
    "nullable": true,
    "Description": "Number of access policies targeting this table.",
    "formula": "=COUNTIFS(AccessPolicies!{{TargetTable}}, {{RulebookTableId}})"
   },
   {
    "name": "IsUnsecured",
    "datatype": "boolean",
    "type": "calculated",
    "nullable": true,
    "Description": "True when RLS is enabled but no policy targets the table, so every principal sees zero rows. A fail-closed table nobody has granted access to.",
    "formula": "={{PolicyCount}} = 0"
   },
   {
    "name": "DisagreeingSubstrateCount",
    "datatype": "number",
    "type": "aggregation",
    "nullable": true,
    "Description": "How many substrates got at least one cell of this table wrong in the latest conformance run.",
    "formula": "=COUNTIFS(TableConformance!{{ImperfectTableKey}}, {{RulebookTableId}})"
   },
   {
    "name": "SemanticTypeIri",
    "datatype": "string",
    "type": "raw",
    "nullable": true,
    "Description": "Semantic type IRI."
   }
  ],
  "data": [
   {
    "RulebookTableId": "AccessDenialTests",
    "TableName": "AccessDenialTests",
    "PhysicalTable": null,
    "PhysicalView": null,
    "SubjectArea": "access-control",
    "IsExtension": true,
    "SemanticTypeIri": "urn:effortless:pko-extension#RulebookTable",
    "Name": "AccessDenialTests",
    "FieldCount": 18,
    "PolicyCount": 0,
    "IsUnsecured": true,
    "DisagreeingSubstrateCount": 1
   },
   {
    "RulebookTableId": "AccessPolicies",
    "TableName": "AccessPolicies",
    "PhysicalTable": null,
    "PhysicalView": null,
    "SubjectArea": "access-control",
    "IsExtension": true,
    "SemanticTypeIri": "urn:effortless:pko-extension#RulebookTable",
    "Name": "AccessPolicies",
    "FieldCount": 16,
    "PolicyCount": 0,
    "IsUnsecured": true,
    "DisagreeingSubstrateCount": 0
   },
   {
    "RulebookTableId": "AccessPrincipals",
    "TableName": "AccessPrincipals",
    "PhysicalTable": null,
    "PhysicalView": null,
    "SubjectArea": "access-control",
    "IsExtension": true,
    "SemanticTypeIri": "urn:effortless:pko-extension#RulebookTable",
    "Name": "AccessPrincipals",
    "FieldCount": 15,
    "PolicyCount": 0,
    "IsUnsecured": true,
    "DisagreeingSubstrateCount": 0.0
   },
   {
    "RulebookTableId": "Actions",
    "TableName": "Actions",
    "PhysicalTable": "actions",
    "PhysicalView": "vw_actions",
    "SubjectArea": "specification",
    "IsExtension": false,
    "SemanticTypeIri": "urn:effortless:pko-extension#RulebookTable",
    "Name": "Actions",
    "FieldCount": 5,
    "PolicyCount": 2,
    "IsUnsecured": false,
    "DisagreeingSubstrateCount": 0
   },
   {
    "RulebookTableId": "AgentDecisionRecords",
    "TableName": "AgentDecisionRecords",
    "PhysicalTable": "agent_decision_records",
    "PhysicalView": "vw_agent_decision_records",
    "SubjectArea": "org",
    "IsExtension": false,
    "SemanticTypeIri": "urn:effortless:pko-extension#RulebookTable",
    "Name": "AgentDecisionRecords",
    "FieldCount": 40,
    "PolicyCount": 2,
    "IsUnsecured": false,
    "DisagreeingSubstrateCount": 1.0
   },
   {
    "RulebookTableId": "Agents",
    "TableName": "Agents",
    "PhysicalTable": "agents",
    "PhysicalView": "vw_agents",
    "SubjectArea": "org",
    "IsExtension": false,
    "SemanticTypeIri": "urn:effortless:pko-extension#RulebookTable",
    "Name": "Agents",
    "FieldCount": 23,
    "PolicyCount": 2,
    "IsUnsecured": false,
    "DisagreeingSubstrateCount": 0
   },
   {
    "RulebookTableId": "AppNavGroups",
    "TableName": "AppNavGroups",
    "PhysicalTable": "app_nav_groups",
    "PhysicalView": "vw_app_nav_groups",
    "SubjectArea": "application",
    "IsExtension": true,
    "SemanticTypeIri": "urn:effortless:pko-extension#RulebookTable",
    "Name": "AppNavGroups",
    "FieldCount": 5,
    "PolicyCount": 2,
    "IsUnsecured": false,
    "DisagreeingSubstrateCount": 0
   },
   {
    "RulebookTableId": "AppRoleProfiles",
    "TableName": "AppRoleProfiles",
    "PhysicalTable": "app_role_profiles",
    "PhysicalView": "vw_app_role_profiles",
    "SubjectArea": "org",
    "IsExtension": true,
    "SemanticTypeIri": "urn:effortless:pko-extension#RulebookTable",
    "Name": "AppRoleProfiles",
    "FieldCount": 12,
    "PolicyCount": 2,
    "IsUnsecured": false,
    "DisagreeingSubstrateCount": 1
   },
   {
    "RulebookTableId": "AppRouteQuestions",
    "TableName": "AppRouteQuestions",
    "PhysicalTable": "app_route_questions",
    "PhysicalView": "vw_app_route_questions",
    "SubjectArea": "application",
    "IsExtension": true,
    "SemanticTypeIri": "urn:effortless:pko-extension#RulebookTable",
    "Name": "AppRouteQuestions",
    "FieldCount": 5,
    "PolicyCount": 2,
    "IsUnsecured": false,
    "DisagreeingSubstrateCount": 0
   },
   {
    "RulebookTableId": "AppRouteReferences",
    "TableName": "AppRouteReferences",
    "PhysicalTable": "app_route_references",
    "PhysicalView": "vw_app_route_references",
    "SubjectArea": "application",
    "IsExtension": true,
    "SemanticTypeIri": "urn:effortless:pko-extension#RulebookTable",
    "Name": "AppRouteReferences",
    "FieldCount": 5,
    "PolicyCount": 2,
    "IsUnsecured": false,
    "DisagreeingSubstrateCount": 0
   },
   {
    "RulebookTableId": "AppRoutes",
    "TableName": "AppRoutes",
    "PhysicalTable": "app_routes",
    "PhysicalView": "vw_app_routes",
    "SubjectArea": "application",
    "IsExtension": true,
    "SemanticTypeIri": "urn:effortless:pko-extension#RulebookTable",
    "Name": "AppRoutes",
    "FieldCount": 18,
    "PolicyCount": 2,
    "IsUnsecured": false,
    "DisagreeingSubstrateCount": 0
   },
   {
    "RulebookTableId": "Attestations",
    "TableName": "Attestations",
    "PhysicalTable": "attestations",
    "PhysicalView": "vw_attestations",
    "SubjectArea": "domain",
    "IsExtension": false,
    "SemanticTypeIri": "urn:effortless:pko-extension#RulebookTable",
    "Name": "Attestations",
    "FieldCount": 12,
    "PolicyCount": 2,
    "IsUnsecured": false,
    "DisagreeingSubstrateCount": 0
   },
   {
    "RulebookTableId": "AuthorityBoundaries",
    "TableName": "AuthorityBoundaries",
    "PhysicalTable": "authority_boundaries",
    "PhysicalView": "vw_authority_boundaries",
    "SubjectArea": "governance",
    "IsExtension": false,
    "SemanticTypeIri": "urn:effortless:pko-extension#RulebookTable",
    "Name": "AuthorityBoundaries",
    "FieldCount": 33,
    "PolicyCount": 4,
    "IsUnsecured": false,
    "DisagreeingSubstrateCount": 0.0
   },
   {
    "RulebookTableId": "BindingObservations",
    "TableName": "BindingObservations",
    "PhysicalTable": "binding_observations",
    "PhysicalView": "vw_binding_observations",
    "SubjectArea": "domain",
    "IsExtension": false,
    "SemanticTypeIri": "urn:effortless:pko-extension#RulebookTable",
    "Name": "BindingObservations",
    "FieldCount": 11,
    "PolicyCount": 2,
    "IsUnsecured": false,
    "DisagreeingSubstrateCount": 0
   },
   {
    "RulebookTableId": "ChangeRequests",
    "TableName": "ChangeRequests",
    "PhysicalTable": "change_requests",
    "PhysicalView": "vw_change_requests",
    "SubjectArea": "domain",
    "IsExtension": false,
    "SemanticTypeIri": "urn:effortless:pko-extension#RulebookTable",
    "Name": "ChangeRequests",
    "FieldCount": 45,
    "PolicyCount": 6,
    "IsUnsecured": false,
    "DisagreeingSubstrateCount": 0.0
   },
   {
    "RulebookTableId": "CommunicationPolicies",
    "TableName": "CommunicationPolicies",
    "PhysicalTable": "communication_policies",
    "PhysicalView": "vw_communication_policies",
    "SubjectArea": "communication",
    "IsExtension": false,
    "SemanticTypeIri": "urn:effortless:pko-extension#RulebookTable",
    "Name": "CommunicationPolicies",
    "FieldCount": 22,
    "PolicyCount": 6,
    "IsUnsecured": false,
    "DisagreeingSubstrateCount": 0
   },
   {
    "RulebookTableId": "CommunitiesOfPractice",
    "TableName": "CommunitiesOfPractice",
    "PhysicalTable": "communities_of_practice",
    "PhysicalView": "vw_communities_of_practice",
    "SubjectArea": "org",
    "IsExtension": false,
    "SemanticTypeIri": "urn:effortless:pko-extension#RulebookTable",
    "Name": "CommunitiesOfPractice",
    "FieldCount": 8,
    "PolicyCount": 2,
    "IsUnsecured": false,
    "DisagreeingSubstrateCount": 0
   },
   {
    "RulebookTableId": "DeliveredCommunications",
    "TableName": "DeliveredCommunications",
    "PhysicalTable": "delivered_communications",
    "PhysicalView": "vw_delivered_communications",
    "SubjectArea": "communication",
    "IsExtension": false,
    "SemanticTypeIri": "urn:effortless:pko-extension#RulebookTable",
    "Name": "DeliveredCommunications",
    "FieldCount": 18,
    "PolicyCount": 2,
    "IsUnsecured": false,
    "DisagreeingSubstrateCount": 1.0
   },
   {
    "RulebookTableId": "ERBCustomizations",
    "TableName": "ERBCustomizations",
    "PhysicalTable": null,
    "PhysicalView": null,
    "SubjectArea": "meta",
    "IsExtension": true,
    "SemanticTypeIri": "urn:effortless:pko-extension#RulebookTable",
    "Name": "ERBCustomizations",
    "FieldCount": 6,
    "PolicyCount": 0,
    "IsUnsecured": true,
    "DisagreeingSubstrateCount": 0
   },
   {
    "RulebookTableId": "ERBVersions",
    "TableName": "ERBVersions",
    "PhysicalTable": null,
    "PhysicalView": null,
    "SubjectArea": "meta",
    "IsExtension": true,
    "SemanticTypeIri": "urn:effortless:pko-extension#RulebookTable",
    "Name": "ERBVersions",
    "FieldCount": 7,
    "PolicyCount": 0,
    "IsUnsecured": true,
    "DisagreeingSubstrateCount": 0
   },
   {
    "RulebookTableId": "ElicitationSessions",
    "TableName": "ElicitationSessions",
    "PhysicalTable": "elicitation_sessions",
    "PhysicalView": "vw_elicitatio</t>
  </si>
  <si>
    <t xml:space="preserve">n_sessions",
    "SubjectArea": "knowledge",
    "IsExtension": true,
    "SemanticTypeIri": "urn:effortless:pko-extension#RulebookTable",
    "Name": "ElicitationSessions",
    "FieldCount": 21,
    "PolicyCount": 2,
    "IsUnsecured": false,
    "DisagreeingSubstrateCount": 0.0
   },
   {
    "RulebookTableId": "Errors",
    "TableName": "Errors",
    "PhysicalTable": "errors",
    "PhysicalView": "vw_errors",
    "SubjectArea": "execution",
    "IsExtension": false,
    "SemanticTypeIri": "urn:effortless:pko-extension#RulebookTable",
    "Name": "Errors",
    "FieldCount": 6,
    "PolicyCount": 4,
    "IsUnsecured": false,
    "DisagreeingSubstrateCount": 0
   },
   {
    "RulebookTableId": "EvaluationContexts",
    "TableName": "EvaluationContexts",
    "PhysicalTable": "evaluation_contexts",
    "PhysicalView": "vw_evaluation_contexts",
    "SubjectArea": "meta",
    "IsExtension": true,
    "SemanticTypeIri": "urn:effortless:pko-extension#RulebookTable",
    "Name": "EvaluationContexts",
    "FieldCount": 7,
    "PolicyCount": 2,
    "IsUnsecured": false,
    "DisagreeingSubstrateCount": 0.0
   },
   {
    "RulebookTableId": "ExceptionInvocations",
    "TableName": "ExceptionInvocations",
    "PhysicalTable": "exception_invocations",
    "PhysicalView": "vw_exception_invocations",
    "SubjectArea": "governance",
    "IsExtension": false,
    "SemanticTypeIri": "urn:effortless:pko-extension#RulebookTable",
    "Name": "ExceptionInvocations",
    "FieldCount": 21,
    "PolicyCount": 2,
    "IsUnsecured": false,
    "DisagreeingSubstrateCount": 0
   },
   {
    "RulebookTableId": "Exceptions",
    "TableName": "Exceptions",
    "PhysicalTable": "exceptions",
    "PhysicalView": "vw_exceptions",
    "SubjectArea": "governance",
    "IsExtension": false,
    "SemanticTypeIri": "urn:effortless:pko-extension#RulebookTable",
    "Name": "Exceptions",
    "FieldCount": 11,
    "PolicyCount": 5,
    "IsUnsecured": false,
    "DisagreeingSubstrateCount": 0
   },
   {
    "RulebookTableId": "Explanations",
    "TableName": "Explanations",
    "PhysicalTable": "explanations",
    "PhysicalView": "vw_explanations",
    "SubjectArea": "knowledge",
    "IsExtension": false,
    "SemanticTypeIri": "urn:effortless:pko-extension#RulebookTable",
    "Name": "Explanations",
    "FieldCount": 7,
    "PolicyCount": 2,
    "IsUnsecured": false,
    "DisagreeingSubstrateCount": 0
   },
   {
    "RulebookTableId": "FAQs",
    "TableName": "FAQs",
    "PhysicalTable": null,
    "PhysicalView": null,
    "SubjectArea": "knowledge",
    "IsExtension": false,
    "SemanticTypeIri": "urn:effortless:pko-extension#RulebookTable",
    "Name": "FAQs",
    "FieldCount": 9,
    "PolicyCount": 0,
    "IsUnsecured": true,
    "DisagreeingSubstrateCount": 1
   },
   {
    "RulebookTableId": "FieldGrants",
    "TableName": "FieldGrants",
    "PhysicalTable": null,
    "PhysicalView": null,
    "SubjectArea": "access-control",
    "IsExtension": true,
    "SemanticTypeIri": "urn:effortless:pko-extension#RulebookTable",
    "Name": "FieldGrants",
    "FieldCount": 14,
    "PolicyCount": 0,
    "IsUnsecured": true,
    "DisagreeingSubstrateCount": 0.0
   },
   {
    "RulebookTableId": "Functions",
    "TableName": "Functions",
    "PhysicalTable": "functions",
    "PhysicalView": "vw_functions",
    "SubjectArea": "specification",
    "IsExtension": false,
    "SemanticTypeIri": "urn:effortless:pko-extension#RulebookTable",
    "Name": "Functions",
    "FieldCount": 6,
    "PolicyCount": 2,
    "IsUnsecured": false,
    "DisagreeingSubstrateCount": 0
   },
   {
    "RulebookTableId": "IssueOccurrences",
    "TableName": "IssueOccurrences",
    "PhysicalTable": "issue_occurrences",
    "PhysicalView": "vw_issue_occurrences",
    "SubjectArea": "execution",
    "IsExtension": false,
    "SemanticTypeIri": "urn:effortless:pko-extension#RulebookTable",
    "Name": "IssueOccurrences",
    "FieldCount": 12,
    "PolicyCount": 2,
    "IsUnsecured": false,
    "DisagreeingSubstrateCount": 0.0
   },
   {
    "RulebookTableId": "JwtClaimMappings",
    "TableName": "JwtClaimMappings",
    "PhysicalTable": null,
    "PhysicalView": null,
    "SubjectArea": "access-control",
    "IsExtension": true,
    "SemanticTypeIri": "urn:effortless:pko-extension#RulebookTable",
    "Name": "JwtClaimMappings",
    "FieldCount": 9,
    "PolicyCount": 0,
    "IsUnsecured": true,
    "DisagreeingSubstrateCount": 0
   },
   {
    "RulebookTableId": "KnowledgeFragments",
    "TableName": "KnowledgeFragments",
    "PhysicalTable": "knowledge_fragments",
    "PhysicalView": "vw_knowledge_fragments",
    "SubjectArea": "knowledge",
    "IsExtension": true,
    "SemanticTypeIri": "urn:effortless:pko-extension#RulebookTable",
    "Name": "KnowledgeFragments",
    "FieldCount": 80,
    "PolicyCount": 6,
    "IsUnsecured": false,
    "DisagreeingSubstrateCount": 1.0
   },
   {
    "RulebookTableId": "KnowledgeGaps",
    "TableName": "KnowledgeGaps",
    "PhysicalTable": "knowledge_gaps",
    "PhysicalView": "vw_knowledge_gaps",
    "SubjectArea": "knowledge",
    "IsExtension": true,
    "SemanticTypeIri": "urn:effortless:pko-extension#RulebookTable",
    "Name": "KnowledgeGaps",
    "FieldCount": 28,
    "PolicyCount": 4,
    "IsUnsecured": false,
    "DisagreeingSubstrateCount": 0.0
   },
   {
    "RulebookTableId": "LearningActivities",
    "TableName": "LearningActivities",
    "PhysicalTable": "learning_activities",
    "PhysicalView": "vw_learning_activities",
    "SubjectArea": "domain",
    "IsExtension": false,
    "SemanticTypeIri": "urn:effortless:pko-extension#RulebookTable",
    "Name": "LearningActivities",
    "FieldCount": 10,
    "PolicyCount": 2,
    "IsUnsecured": false,
    "DisagreeingSubstrateCount": 0.0
   },
   {
    "RulebookTableId": "Mentorships",
    "TableName": "Mentorships",
    "PhysicalTable": "mentorships",
    "PhysicalView": "vw_mentorships",
    "SubjectArea": "org",
    "IsExtension": false,
    "SemanticTypeIri": "urn:effortless:pko-extension#RulebookTable",
    "Name": "Mentorships",
    "FieldCount": 10,
    "PolicyCount": 2,
    "IsUnsecured": false,
    "DisagreeingSubstrateCount": 0
   },
   {
    "RulebookTableId": "MessageDeliveries",
    "TableName": "MessageDeliveries",
    "PhysicalTable": "message_deliveries",
    "PhysicalView": "vw_message_deliveries",
    "SubjectArea": "communication",
    "IsExtension": false,
    "SemanticTypeIri": "urn:effortless:pko-extension#RulebookTable",
    "Name": "MessageDeliveries",
    "FieldCount": 94,
    "PolicyCount": 4,
    "IsUnsecured": false,
    "DisagreeingSubstrateCount": 1.0
   },
   {
    "RulebookTableId": "MessageTemplates",
    "TableName": "MessageTemplates",
    "PhysicalTable": "message_templates",
    "PhysicalView": "vw_message_templates",
    "SubjectArea": "communication",
    "IsExtension": false,
    "SemanticTypeIri": "urn:effortless:pko-extension#RulebookTable",
    "Name": "MessageTemplates",
    "FieldCount": 26,
    "PolicyCount": 5,
    "IsUnsecured": false,
    "DisagreeingSubstrateCount": 0.0
   },
   {
    "RulebookTableId": "ObservedTransitions",
    "TableName": "ObservedTransitions",
    "PhysicalTable": "observed_transitions",
    "PhysicalView": "vw_observed_transitions",
    "SubjectArea": "specification",
    "IsExtension": false,
    "SemanticTypeIri": "urn:effortless:pko-extension#RulebookTable",
    "Name": "ObservedTransitions",
    "FieldCount": 8,
    "PolicyCount": 2,
    "IsUnsecured": false,
    "DisagreeingSubstrateCount": 0.0
   },
   {
    "RulebookTableId": "OntologyProfiles",
    "TableName": "OntologyProfiles",
    "PhysicalTable": "ontology_profiles",
    "PhysicalView": "vw_ontology_profiles",
    "SubjectArea": "domain",
    "IsExtension": false,
    "SemanticTypeIri": "urn:effortless:pko-extension#RulebookTable",
    "Name": "OntologyProfiles",
    "FieldCount": 8,
    "PolicyCount": 2,
    "IsUnsecured": false,
    "DisagreeingSubstrateCount": 0
   },
   {
    "RulebookTableId": "OperationalBindings",
    "TableName": "OperationalBindings",
    "PhysicalTable": "operational_bindings",
    "PhysicalView": "vw_operational_bindings",
    "SubjectArea": "domain",
    "IsExtension": true,
    "SemanticTypeIri": "urn:effortless:pko-extension#RulebookTable",
    "Name": "OperationalBindings",
    "FieldCount": 22,
    "PolicyCount": 2,
    "IsUnsecured": false,
    "DisagreeingSubstrateCount": 0.0
   },
   {
    "RulebookTableId": "Organizations",
    "TableName": "Organizations",
    "PhysicalTable": "organizations",
    "PhysicalView": "vw_organizations",
    "SubjectArea": "org",
    "IsExtension": false,
    "SemanticTypeIri": "urn:effortless:pko-extension#RulebookTable",
    "Name": "Organizations",
    "FieldCount": 6,
    "PolicyCount": 2,
    "IsUnsecured": false,
    "DisagreeingSubstrateCount": 0
   },
   {
    "RulebookTableId": "ProcedureExecutions",
    "TableName": "ProcedureExecutions",
    "PhysicalTable": "procedure_executions",
    "PhysicalView": "vw_procedure_executions",
    "SubjectArea": "specification",
    "IsExtension": false,
    "SemanticTypeIri": "urn:effortless:pko-extension#RulebookTable",
    "Name": "ProcedureExecutions",
    "FieldCount": 78,
    "PolicyCount": 5,
    "IsUnsecured": false,
    "DisagreeingSubstrateCount": 1.0
   },
   {
    "RulebookTableId": "ProcedureResources",
    "TableName": "ProcedureResources",
    "PhysicalTable": "procedure_resources",
    "PhysicalView": "vw_procedure_resources",
    "SubjectArea": "specification",
    "IsExtension": false,
    "SemanticTypeIri": "urn:effortless:pko-extension#RulebookTable",
    "Name": "ProcedureResources",
    "FieldCount": 6,
    "PolicyCount": 2,
    "IsUnsecured": false,
    "DisagreeingSubstrateCount": 0
   },
   {
    "RulebookTableId": "ProcedureStatusChanges",
    "TableName": "ProcedureStatusChanges",
    "PhysicalTable": "procedure_status_changes",
    "PhysicalView": "vw_procedure_status_changes",
    "SubjectArea": "specification",
    "IsExtension": false,
    "SemanticTypeIri": "urn:effortless:pko-extension#RulebookTable",
    "Name": "ProcedureStatusChanges",
    "FieldCount": 9,
    "PolicyCount": 2,
    "IsUnsecured": false,
    "DisagreeingSubstrateCount": 0
   },
   {
    "RulebookTableId": "ProcedureTypes",
    "TableName": "ProcedureTypes",
    "PhysicalTable": "procedure_types",
    "PhysicalView": "vw_procedure_types",
    "SubjectArea": "specification",
    "IsExtension": false,
    "SemanticTypeIri": "urn:effortless:pko-extension#RulebookTable",
    "Name": "ProcedureTypes",
    "FieldCount": 5,
    "PolicyCount": 2,
    "IsUnsecured": false,
    "DisagreeingSubstrateCount": 0
   },
   {
    "RulebookTableId": "ProcedureVersionLinks",
    "TableName": "ProcedureVersionLinks",
    "PhysicalTable": "procedure_version_links",
    "PhysicalView": "vw_procedure_version_links",
    "SubjectArea": "specification",
    "IsExtension": false,
    "SemanticTypeIri": "urn:effortless:pko-extension#RulebookTable",
    "Name": "ProcedureVersionLinks",
    "FieldCount": 7,
    "PolicyCount": 2,
    "IsUnsecured": false,
    "DisagreeingSubstrateCount": 1
   },
   {
    "RulebookTableId": "ProcedureVersions",
    "TableName": "ProcedureVersions",
    "PhysicalTable": "procedure_versions",
    "PhysicalView": "vw_procedure_versions",
    "SubjectArea": "specification",
    "IsExtension": false,
    "SemanticTypeIri": "urn:effortless:pko-extension#RulebookTable",
    "Name": "ProcedureVersions",
    "FieldCount": 87.0,
    "PolicyCount": 4,
    "IsUnsecured": false,
    "DisagreeingSubstrateCount": 2.0
   },
   {
    "RulebookTableId": "Procedures",
    "TableName": "Procedures",
    "PhysicalTable": "procedures",
    "PhysicalView": "vw_procedures",
    "SubjectArea": "specification",
    "IsExtension": false,
    "SemanticTypeIri": "urn:effortless:pko-extension#RulebookTable",
    "Name": "Procedures",
    "FieldCount": 11,
    "PolicyCount": 4,
    "IsUnsecured": false,
    "DisagreeingSubstrateCount": 0
   },
   {
    "RulebookTableId": "Rationales",
    "TableName": "Rationales",
    "PhysicalTable": "rationales",
    "PhysicalView": "vw_rationales",
    "SubjectArea": "governance",
    "IsExtension": false,
    "SemanticTypeIri": "urn:effortless:pko-extension#RulebookTable",
    "Name": "Rationales",
    "FieldCount": 9,
    "PolicyCount": 2,
    "IsUnsecured": false,
    "DisagreeingSubstrateCount": 0
   },
   {
    "RulebookTableId": "Recipients",
    "TableName": "Recipients",
    "PhysicalTable": "recipients",
    "PhysicalView": "vw_recipients",
    "SubjectArea": "communication",
    "IsExtension": false,
    "SemanticTypeIri": "urn:effortless:pko-extension#RulebookTable",
    "Name": "Recipients",
    "FieldCount": 15,
    "PolicyCount": 4,
    "IsUnsecured": false,
    "DisagreeingSubstrateCount": 0
   },
   {
    "RulebookTableId": "RequirementSatisfactions",
    "TableName": "RequirementSatisfactions",
    "PhysicalTable": "requirement_satisfactions",
    "PhysicalView": "vw_requirement_satisfactions",
    "SubjectArea": "execution",
    "IsExtension": false,
    "SemanticTypeIri": "urn:effortless:pko-extension#RulebookTable",
    "Name": "RequirementSatisfactions",
    "FieldCount": 46,
    "PolicyCount": 4,
    "IsUnsecured": false,
    "DisagreeingSubstrateCount": 1
   },
   {
    "RulebookTableId": "Requirements",
    "TableName": "Requirements",
    "PhysicalTable": "requirements",
    "PhysicalView": "vw_requirements",
    "SubjectArea": "governance",
    "IsExtension": false,
    "SemanticTypeIri": "urn:effortless:pko-extension#RulebookTable",
    "Name": "Requirements",
    "FieldCount": 43,
    "PolicyCount": 5,
    "IsUnsecured": false,
    "DisagreeingSubstrateCount": 0.0
   },
   {
    "RulebookTableId": "Resources",
    "TableName": "Resources",
    "PhysicalTable": "resources",
    "PhysicalView": "vw_resources",
    "SubjectArea": "domain",
    "IsExtension": false,
    "SemanticTypeIri": "urn:effortless:pko-extension#RulebookTable",
    "Name": "Resources",
    "FieldCount": 11,
    "PolicyCount": 2,
    "IsUnsecured": false,
    "DisagreeingSubstrateCount": 0
   },
   {
    "RulebookTableId": "ReviewEvents",
    "TableName": "ReviewEvents",
    "PhysicalTable": "review_events",
    "PhysicalView": "vw_review_events",
    "SubjectArea": "domain",
    "IsExtension": false,
    "SemanticTypeIri": "urn:effortless:pko-extension#RulebookTable",
    "Name": "ReviewEvents",
    "FieldCount": 20,
    "PolicyCount": 2,
    "IsUnsecured": false,
    "DisagreeingSubstrateCount": 0.0
   },
   {
    "RulebookTableId": "RoleAssignments",
    "TableName": "RoleAssignments",
    "PhysicalTable": "role_assignments",
    "PhysicalView": "vw_role_assignments",
    "SubjectArea": "org",
    "IsExtension": false,
    "SemanticTypeIri": "urn:effortless:pko-extension#RulebookTable",
    "Name": "RoleAssignments",
    "FieldCount": 65,
    "PolicyCount": 2,
    "IsUnsecured": false,
    "DisagreeingSubstrateCount": 1.0
   },
   {
    "RulebookTableId": "RoleQuestions",
    "TableName": "RoleQuestions",
    "PhysicalTable": "role_questions",
    "PhysicalView": "vw_role_questions",
    "SubjectArea": "org",
    "IsExtension": true,
    "SemanticTypeIri": "urn:effortless:pko-extension#RulebookTable",
    "Name": "RoleQuestions",
    "FieldCount": 11,
    "PolicyCount": 2,
    "IsUnsecured": false,
    "DisagreeingSubstrateCount": 0.0
   },
   {
    "RulebookTableId": "RoleSchemaViews",
    "TableName": "RoleSchemaViews",
    "PhysicalTable": null,
    "PhysicalView": null,
    "SubjectArea": "org",
    "IsExtension": true,
    "SemanticTypeIri": "urn:effortless:pko-extension#RulebookTable",
    "Name": "RoleSchemaViews",
    "FieldCount": 14,
    "PolicyCount": 0,
    "IsUnsecured": true,
    "DisagreeingSubstrateCount": 0.0
   },
   {
    "RulebookTableId": "RoleSchemas",
    "TableName": "RoleSchemas",
    "PhysicalTable": null,
    "PhysicalView": null,
    "SubjectArea": "org",
    "IsExtension": true,
    "SemanticTypeIri": "urn:effortless:pko-extension#RulebookTable",
    "Name": "RoleSchemas",
    "FieldCount": 9,
    "PolicyCount": 0,
    "IsUnsecured": true,
    "DisagreeingSubstrateCount": 0
   },
   {
    "RulebookTableId": "Roles",
    "TableName": "Roles",
    "PhysicalTable": "roles",
    "PhysicalView": "vw_roles",
    "SubjectArea": "org",
    "IsExtension": false,
    "SemanticTypeIri": "urn:effortless:pko-extension#RulebookTable",
    "Name": "Roles",
    "FieldCount": 24,
    "PolicyCount": 2,
    "IsUnsecured": false,
    "DisagreeingSubstrateCount": 0.0
   },
   {
    "RulebookTableId": "RulebookFields",
    "TableName": "RulebookFields",
    "PhysicalTable": "rulebook_fields",
    "PhysicalView": "vw_rulebook_fields",
    "SubjectArea": "access-control",
    "IsExtension": true,
    "SemanticTypeIri": "urn:effortless:pko-extension#RulebookTable",
    "Name": "RulebookFields",
    "FieldCount": 13,
    "PolicyCount": 2,
    "IsUnsecured": false,
    "DisagreeingSubstrateCount": 0
   },
   {
    "RulebookTableId": "RulebookReleases",
    "TableName": "RulebookReleases",
    "PhysicalTable": "rulebook_releases",
    "PhysicalView": "vw_rulebook_releases",
    "SubjectArea": "meta",
    "IsExtension": true,
    "SemanticTypeIri": "urn:effortless:pko-extension#RulebookTable",
    "Name": "RulebookReleases",
    "FieldCount": 11,
    "PolicyCount": 2,
    "IsUnsecured": false,
    "DisagreeingSubstrateCount": 1
   },
   {
    "RulebookTableId": "RulebookTables",
    "TableName": "RulebookTables",
    "PhysicalTable": null,
    "PhysicalView": null,
    "SubjectArea": "meta",
    "IsExtension": true,
    "SemanticTypeIri": "urn:effortless:pko-extension#RulebookTable",
    "Name": "RulebookTables",
    "FieldCount": 12,
    "PolicyCount": 0,
    "IsUnsecured": true,
    "DisagreeingSubstrateCount": 0.0
   },
   {
    "RulebookTableId": "SemanticMappings",
    "TableName": "SemanticMappings",
    "PhysicalTable": "semantic_mappings",
    "PhysicalView": "vw_semantic_mappings",
    "SubjectArea": "meta",
    "IsExtension": true,
    "SemanticTypeIri": "urn:effortless:pko-extension#RulebookTable",
    "Name": "SemanticMappings",
    "FieldCount": 8,
    "PolicyCount": 2,
    "IsUnsecured": false,
    "DisagreeingSubstrateCount": 0
   },
   {
    "RulebookTableId": "SendIntents",
    "TableName": "SendIntents",
    "PhysicalTable": "send_intents",
    "PhysicalView": "vw_send_intents",
    "SubjectArea": "communication",
    "IsExtension": false,
    "SemanticTypeIri": "urn:effortless:pko-extension#RulebookTable",
    "Name": "SendIntents",
    "FieldCount": 100,
    "PolicyCount": 4,
    "IsUnsecured": false,
    "DisagreeingSubstrateCount": 0.0
   },
   {
    "RulebookTableId": "StepActions",
    "TableName": "StepActions",
    "PhysicalTable": "step_actions",
    "PhysicalView": "vw_step_actions",
    "SubjectArea": "specification",
    "IsExtension": false,
    "SemanticTypeIri": "urn:effortless:pko-extension#RulebookTable",
    "Name": "StepActions",
    "FieldCount": 4,
    "PolicyCount": 2,
    "IsUnsecured": false,
    "DisagreeingSubstrateCount": 0
   },
   {
    "RulebookTableId": "StepExecutions",
    "TableName": "StepExecutions",
    "PhysicalTable": "step_executions",
    "PhysicalView": "vw_step_executions",
    "SubjectArea": "specification",
    "IsExtension": false,
    "SemanticTypeIri": "urn:effortless:pko-extension#RulebookTable",
    "Name": "StepExecutions",
    "FieldCount": 109,
    "PolicyCount": 6,
    "IsUnsecured": false,
    "DisagreeingSubstrateCount": 0.0
   },
   {
    "RulebookTableId": "StepFunctions",
    "TableName": "StepFunctions",
    "PhysicalTable": "step_functions",
    "PhysicalView": "vw_step_functions",
    "SubjectArea": "specification",
    "IsExtension": false,
    "SemanticTypeIri": "urn:effortless:pko-extension#RulebookTable",
    "Name": "StepFunctions",
    "FieldCount": 4,
    "PolicyCount": 2,
    "IsUnsecured": false,
    "DisagreeingSubstrateCount": 0
   },
   {
    "RulebookTableId": "StepRequirements",
    "TableName": "StepRequirements",
    "PhysicalTable": "step_requirements",
    "PhysicalView": "vw_step_requirements",
    "SubjectArea": "specification",
    "IsExtension": false,
    "SemanticTypeIri": "urn:effortless:pko-extension#RulebookTable",
    "Name": "StepRequirements",
    "FieldCount": 13,
    "PolicyCount": 2,
    "IsUnsecured": false,
    "DisagreeingSubstrateCount": 0
   },
   {
    "RulebookTableId": "StepTools",
    "TableName": "StepTools",
    "PhysicalTable": "step_tools",
    "PhysicalView": "vw_step_tools",
    "SubjectArea": "specification",
    "IsExtension": false,
    "SemanticTypeIri": "urn:effortless:pko-extension#RulebookTable",
    "Name": "StepTools",
    "FieldCount": 4,
    "PolicyCount": 2,
    "IsUnsecured": false,
    "DisagreeingSubstrateCount": 0
   },
   {
    "RulebookTableId": "StepTransitions",
    "TableName": "StepTransitions",
    "PhysicalTable": "step_transitions",
    "PhysicalView": "vw_step_transitions",
    "SubjectArea": "specification",
    "IsExtension": false,
    "SemanticTypeIri": "urn:effortless:pko-extension#RulebookTable",
    "Name": "StepTransitions",
    "FieldCount": 28.0,
    "PolicyCount": 2,
    "IsUnsecured": false,
    "DisagreeingSubstrateCount": 1
   },
   {
    "RulebookTableId": "StepVerifications",
    "TableName": "StepVerifications",
    "PhysicalTable": "step_verifications",
    "PhysicalView": "vw_step_verifications",
    "SubjectArea": "specification",
    "IsExtension": false,
    "SemanticTypeIri": "urn:effortless:pko-extension#RulebookTable",
    "Name": "StepVerifications",
    "FieldCount": 8,
    "PolicyCount": 2,
    "IsUnsecured": false,
    "DisagreeingSubstrateCount": 0
   },
   {
    "RulebookTableId": "Steps",
    "TableName": "Steps",
    "PhysicalTable": "steps",
    "PhysicalView": "vw_steps",
    "SubjectArea": "specification",
    "IsExtension": false,
    "SemanticTypeIri": "urn:effortless:pko-extension#RulebookTable",
    "Name": "Steps",
    "FieldCount": 54.0,
    "PolicyCount": 10,
    "IsUnsecured": false,
    "DisagreeingSubstrateCount": 1.0
   },
   {
    "RulebookTableId": "StewardshipAssignments",
    "TableName": "StewardshipAssignments",
    "PhysicalTable": "stewardship_assignments",
    "PhysicalView": "vw_stewardship_assignments",
    "SubjectArea": "org",
    "IsExtension": true,
    "SemanticTypeIri": "urn:effortless:pko-extension#RulebookTable",
    "Name": "StewardshipAssignments",
    "FieldCount": 14,
    "PolicyCount": 2,
    "IsUnsecured": false,
    "DisagreeingSubstrateCount": 0.0
   },
   {
    "RulebookTableId": "TemplateApprovals",
    "TableName": "TemplateApprovals",
    "PhysicalTable": "template_approvals",
    "PhysicalView": "vw_template_approvals",
    "SubjectArea": "communication",
    "IsExtension": false,
    "SemanticTypeIri": "urn:effortless:pko-extension#RulebookTable",
    "Name": "TemplateApprovals",
    "FieldCount": 15,
    "PolicyCount": 2,
    "IsUnsecured": false,
    "DisagreeingSubstrateCount": 0.0
   },
   {
    "RulebookTableId": "TestCases",
    "TableName": "TestCases",
    "PhysicalTable": "test_cases",
    "PhysicalView": "vw_test_cases",
    "SubjectArea": "meta",
    "IsExtension": true,
    "SemanticTypeIri": "urn:effortless:pko-extension#RulebookTable",
    "Name": "TestCases",
    "FieldCount": 20,
    "PolicyCount": 2,
    "IsUnsecured": false,
    "DisagreeingSubstrateCount": 0
   },
   {
    "RulebookTableId": "TestSuites",
    "TableName": "TestSuites",
    "PhysicalTable": "test_suites",
    "PhysicalView": "vw_test_suites",
    "SubjectArea": "meta",
    "IsExtension": true,
    "SemanticTypeIri": "urn:effortless:pko-extension#RulebookTable",
    "Name": "TestSuites",
    "FieldCount": 8,
    "PolicyCount": 2,
    "IsUnsecured": false,
    "DisagreeingSubstrateCount": 0.0
   },
   {
    "RulebookTableId": "Tools",
    "TableName": "Tools",
    "PhysicalTable": "tools",
    "PhysicalView": "vw_tools",
    "SubjectArea": "specification",
    "IsExtension": false,
    "SemanticTypeIri": "urn:effortless:pko-extension#RulebookTable",
    "Name": "Tools",
    "FieldCount": 5,
    "PolicyCount": 2,
    "IsUnsecured": false,
    "DisagreeingSubstrateCount": 0
   },
   {
    "RulebookTableId": "UserFeedback",
    "TableName": "UserFeedback",
    "PhysicalTable": "user_feedback",
    "PhysicalView": "vw_user_feedback",
    "SubjectArea": "domain",
    "IsExtension": false,
    "SemanticTypeIri": "urn:effortless:pko-extension#RulebookTable",
    "Name": "UserFeedback",
    "FieldCount": 9,
    "PolicyCount": 2,
    "IsUnsecured": false,
    "DisagreeingSubstrateCount": 0
   },
   {
    "RulebookTableId": "UserQuestions",
    "TableName": "UserQuestions",
    "PhysicalTable": "user_questions",
    "PhysicalView": "vw_user_questions",
    "SubjectArea": "domain",
    "IsExtension": false,
    "SemanticTypeIri": "urn:effortless:pko-extension#RulebookTable",
    "Name": "UserQuestions",
    "FieldCount": 10,
    "PolicyCount": 2,
    "IsUnsecured": false,
    "DisagreeingSubstrateCount": 0
   },
   {
    "RulebookTableId": "VerificationOutcomes",
    "TableName": "VerificationOutcomes",
    "PhysicalTable": "verification_outcomes",
    "PhysicalView": "vw_verification_outcomes",
    "SubjectArea": "execution",
    "IsExtension": false,
    "SemanticTypeIri": "urn:effortless:pko-extension#RulebookTable",
    "Name": "VerificationOutcomes",
    "FieldCount": 26,
    "PolicyCount": 2,
    "IsUnsecured": false,
    "DisagreeingSubstrateCount": 0
   },
   {
    "RulebookTableId": "WitnessLoops",
    "TableName": "WitnessLoops",
    "PhysicalTable": "witness_loops",
    "PhysicalView": "vw_witness_loops",
    "SubjectArea": "meta",
    "IsExtension": true,
    "SemanticTypeIri": "urn:effortless:pko-extension#RulebookTable",
    "Name": "WitnessLoops",
    "FieldCount": 13,
    "PolicyCount": 2,
    "IsUnsecured": false,
    "DisagreeingSubstrateCount": 0
   },
   {
    "RulebookTableId": "__meta__",
    "TableName": "__meta__",
    "PhysicalTable": null,
    "PhysicalView": null,
    "SubjectArea": "meta",
    "IsExtension": true,
    "SemanticTypeIri": "urn:effortless:pko-extension#RulebookTable",
    "Name": "__meta__",
    "FieldCount": 5,
    "PolicyCount": 0,
    "IsUnsecured": true,
    "DisagreeingSubstrateCount": 0
   },
   {
    "RulebookTableId": "ProcessMiningRuns",
    "TableName": "ProcessMiningRuns",
    "PhysicalTable": "process_mining_runs",
    "PhysicalView": "vw_process_mining_runs",
    "SubjectArea": "knowledge",
    "IsExtension": true,
    "SemanticTypeIri": "urn:effortless:pko-extension#RulebookTable",
    "Name": "ProcessMiningRuns",
    "FieldCount": 19,
    "PolicyCount": 2,
    "IsUnsecured": false,
    "DisagreeingSubstrateCount": 0.0
   },
   {
    "RulebookTableId": "Vocabularies",
    "TableName": "Vocabularies",
    "PhysicalTable": "vocabularies",
    "PhysicalView": "vw_vocabularies",
    "SubjectArea": "knowledge",
    "IsExtension": true,
    "SemanticTypeIri": "urn:effortless:pko-extension#RulebookTable",
    "Name": "Vocabularies",
    "FieldCount": 9,
    "PolicyCount": 2,
    "IsUnsecured": false,
    "DisagreeingSubstrateCount": 0
   },
   {
    "RulebookTableId": "VocabularyTerms",
    "TableName": "VocabularyTerms",
    "PhysicalTable": "vocabulary_terms",
    "PhysicalView": "vw_vocabulary_terms",
    "SubjectArea": "knowledge",
    "IsExtension": true,
    "SemanticTypeIri": "urn:effortless:pko-extension#RulebookTable",
    "Name": "VocabularyTerms",
    "FieldCount": 11,
    "PolicyCount": 2,
    "IsUnsecured": false,
    "DisagreeingSubstrateCount": 0
   },
   {
    "RulebookTableId": "KnowledgeBrokerLinks",
    "TableName": "KnowledgeBrokerLinks",
    "PhysicalTable": "knowledge_broker_links",
    "PhysicalView": "vw_knowledge_broker_links",
    "SubjectArea": "knowledge",
    "IsExtension": true,
    "SemanticTypeIri": "urn:effortless:pko-extension#RulebookTable",
    "Name": "KnowledgeBrokerLinks",
    "FieldCount": 16,
    "PolicyCount": 2,
    "IsUnsecured": false,
    "DisagreeingSubstrateCount": 0.0
   },
   {
    "RulebookTableId": "ConformanceSubstrates",
    "TableName": "ConformanceSubstrates",
    "PhysicalTable": "conformance_substrates",
    "PhysicalView": "vw_conformance_substrates",
    "SubjectArea": "meta",
    "IsExtension": true,
    "SemanticTypeIri": "urn:effortless:pko-extension#RulebookTable",
    "Name": "ConformanceSubstrates",
    "FieldCount": 20,
    "PolicyCount": 0,
    "IsUnsecured": true,
    "DisagreeingSubstrateCount": 0
   },
   {
    "RulebookTableId": "ConformanceRuns",
    "TableName": "ConformanceRuns",
    "PhysicalTable": "conformance_runs",
    "PhysicalView": "vw_conformance_runs",
    "SubjectArea": "meta",
    "IsExtension": true,
    "SemanticTypeIri": "urn:effortless:pko-extension#RulebookTable",
    "Name": "ConformanceRuns",
    "FieldCount": 16,
    "PolicyCount": 0,
    "IsUnsecured": true,
    "DisagreeingSubstrateCount": 0
   },
   {
    "RulebookTableId": "SubstrateRunScores",
    "TableName": "SubstrateRunScores",
    "PhysicalTable": "substrate_run_scores",
    "PhysicalView": "vw_substrate_run_scores",
    "SubjectArea": "meta",
    "IsExtension": true,
    "SemanticTypeIri": "urn:effortless:pko-extension#RulebookTable",
    "Name": "SubstrateRunScores",
    "FieldCount": 27,
    "PolicyCount": 0,
    "IsUnsecured": true,
    "DisagreeingSubstrateCount": 0
   },
   {
    "RulebookTableId": "TableConformance",
    "TableName": "TableConformance",
    "PhysicalTable": "table_conformance",
    "PhysicalView": "vw_table_conformance",
    "SubjectArea": "meta",
    "IsExtension": true,
    "SemanticTypeIri": "urn:effortless:pko-extension#RulebookTable",
    "Name": "TableConformance",
    "FieldCount": 19,
    "PolicyCount": 0,
    "IsUnsecured": true,
    "DisagreeingSubstrateCount": 0.0
   },
   {
    "RulebookTableId": "FieldDisagreements",
    "TableName": "FieldDisagreements",
    "PhysicalTable": "field_disagreements",
    "PhysicalView": "vw_field_disagreements",
    "SubjectArea": "meta",
    "IsExtension": true,
    "SemanticTypeIri": "urn:effortless:pko-extension#RulebookTable",
    "Name": "FieldDisagreements",
    "FieldCount": 13,
    "PolicyCount": 0,
    "IsUnsecured": true,
    "DisagreeingSubstrateCount": 0.0
   },
   {
    "RulebookTableId": "CellDisagreements",
    "TableName": "CellDisagreements",
    "PhysicalTable": "cell_disagreements",
    "PhysicalView": "vw_cell_disagreements",
    "SubjectArea": "meta",
    "IsExtension": true,
    "SemanticTypeIri": "urn:effortless:pko-extension#RulebookTable",
    "Name": "CellDisagreements",
    "FieldCount": 10,
    "PolicyCount": 0,
    "IsUnsecured": true,
    "DisagreeingSubstrateCount": 1
   }
  ]
 },
 "AccessPrincipals": {
  "Description": "Security principals -- the identities policies attach to. A principal is the console persona a person logs in as; it maps many-to-one onto a domain Role, so 'who may see this row' is expressed once against the domain vocabulary while the UI keeps its own persona names. Each principal owns exactly one Postgres role and one Postgres schema.",
  "important": true,
  "schema": [
   {
    "name": "AccessPrincipalId",
    "datatype": "string",
    "type": "raw",
    "nullable": false,
    "Description": "Stored logical identifier, e.g. 'principal-controller'."
   },
   {
    "name": "Name",
    "datatype": "string",
    "type": "calculated",
    "nullable": true,
    "Description": "Human-readable calculated display alias.",
    "formula": "={{Label}}"
   },
   {
    "name": "Label",
    "datatype": "string",
    "type": "raw",
    "nullable": true,
    "Description": "Display label shown in the console role picker."
   },
   {
    "name": "DomainRole",
    "datatype": "string",
    "type": "relationship",
    "nullable": true,
    "Description": "Domain role whose authority this principal exercises.",
    "RelatedTo": "Roles"
   },
   {
    "name": "PgRoleName",
    "datatype": "string",
    "type": "raw",
    "nullable": true,
    "Description": "Postgres role name this principal authenticates as, e.g. 'pko_controller'."
   },
   {
    "name": "SchemaName",
    "datatype": "string",
    "type": "raw",
    "nullable": true,
    "Description": "Postgres schema that is this principal's entire visible world, e.g. 'pko_controller'."
   },
   {
    "name": "IsAdministrator",
    "datatype": "boolean",
    "type": "raw",
    "nullable": true,
    "Description": "True when this principal may read every table and edit access policy."
   },
   {
    "name": "OrganizationScope",
    "datatype": "string",
    "type": "lookup",
    "nullable": true,
    "Description": "Organization inherited from the domain role; the default tenancy boundary for row predicates.</t>
  </si>
  <si>
    <t xml:space="preserve">",
    "formula": "=INDEX(Roles!{{Organization}}, MATCH({{DomainRole}}, Roles!{{RoleId}}, 0))"
   },
   {
    "name": "RoleLabel",
    "datatype": "string",
    "type": "lookup",
    "nullable": true,
    "Description": "Label of the domain role, for display.",
    "formula": "=INDEX(Roles!{{Label}}, MATCH({{DomainRole}}, Roles!{{RoleId}}, 0))"
   },
   {
    "name": "PolicyCount",
    "datatype": "number",
    "type": "aggregation",
    "nullable": true,
    "Description": "Number of row policies granted to this principal.",
    "formula": "=COUNTIFS(AccessPolicies!{{Principal}}, {{AccessPrincipalId}})"
   },
   {
    "name": "GrantCount",
    "datatype": "number",
    "type": "aggregation",
    "nullable": true,
    "Description": "Number of field grants held by this principal.",
    "formula": "=COUNTIFS(FieldGrants!{{Principal}}, {{AccessPrincipalId}})"
   },
   {
    "name": "VisibleTableCount",
    "datatype": "number",
    "type": "aggregation",
    "nullable": true,
    "Description": "Number of tables exposed in this principal's schema.",
    "formula": "=COUNTIFS(RoleSchemaViews!{{Principal}}, {{AccessPrincipalId}})"
   },
   {
    "name": "HasNoAccess",
    "datatype": "boolean",
    "type": "calculated",
    "nullable": true,
    "Description": "True when the principal holds no policies at all, so its schema is empty and it can read nothing. Fail-closed by construction.",
    "formula": "={{PolicyCount}} = 0"
   },
   {
    "name": "IsOverPrivileged",
    "datatype": "boolean",
    "type": "calculated",
    "nullable": true,
    "Description": "True when a non-administrator principal can reach every table in the rulebook -- an admin-equivalent principal that was never declared as one.",
    "formula": "=AND(NOT({{IsAdministrator}}), {{VisibleTableCount}} &gt;= 74)"
   },
   {
    "name": "SemanticTypeIri",
    "datatype": "string",
    "type": "raw",
    "nullable": true,
    "Description": "Semantic type IRI."
   }
  ],
  "data": [
   {
    "AccessPrincipalId": "principal-finance-analyst",
    "Label": "Finance Analyst",
    "DomainRole": "finance-analyst",
    "PgRoleName": "pko_finance_analyst",
    "SchemaName": "pko_finance_analyst",
    "IsAdministrator": false,
    "SemanticTypeIri": "urn:effortless:pko-extension#AccessPrincipal",
    "Name": "Finance Analyst",
    "OrganizationScope": "acme-finance",
    "RoleLabel": "Finance Analyst",
    "PolicyCount": 7,
    "GrantCount": 51,
    "VisibleTableCount": 7,
    "HasNoAccess": false,
    "IsOverPrivileged": false
   },
   {
    "AccessPrincipalId": "principal-controller",
    "Label": "Corporate Controller",
    "DomainRole": "controller",
    "PgRoleName": "pko_controller",
    "SchemaName": "pko_controller",
    "IsAdministrator": false,
    "SemanticTypeIri": "urn:effortless:pko-extension#AccessPrincipal",
    "Name": "Corporate Controller",
    "OrganizationScope": "acme-finance",
    "RoleLabel": "Corporate Controller",
    "PolicyCount": 8,
    "GrantCount": 69,
    "VisibleTableCount": 8,
    "HasNoAccess": false,
    "IsOverPrivileged": false
   },
   {
    "AccessPrincipalId": "principal-cfo",
    "Label": "Chief Financial Officer",
    "DomainRole": "cfo",
    "PgRoleName": "pko_cfo",
    "SchemaName": "pko_cfo",
    "IsAdministrator": false,
    "SemanticTypeIri": "urn:effortless:pko-extension#AccessPrincipal",
    "Name": "Chief Financial Officer",
    "OrganizationScope": "acme-finance",
    "RoleLabel": "Chief Financial Officer",
    "PolicyCount": 5,
    "GrantCount": 37,
    "VisibleTableCount": 5,
    "HasNoAccess": false,
    "IsOverPrivileged": false
   },
   {
    "AccessPrincipalId": "principal-hr-policy-owner",
    "Label": "People Policy Owner",
    "DomainRole": "hr-policy-owner",
    "PgRoleName": "pko_hr_policy_owner",
    "SchemaName": "pko_hr_policy_owner",
    "IsAdministrator": false,
    "SemanticTypeIri": "urn:effortless:pko-extension#AccessPrincipal",
    "Name": "People Policy Owner",
    "OrganizationScope": "acme-people",
    "RoleLabel": "People Policy Owner",
    "PolicyCount": 6,
    "GrantCount": 56,
    "VisibleTableCount": 6,
    "HasNoAccess": false,
    "IsOverPrivileged": false
   },
   {
    "AccessPrincipalId": "principal-employment-counsel",
    "Label": "Employment Counsel",
    "DomainRole": "employment-counsel",
    "PgRoleName": "pko_employment_counsel",
    "SchemaName": "pko_employment_counsel",
    "IsAdministrator": false,
    "SemanticTypeIri": "urn:effortless:pko-extension#AccessPrincipal",
    "Name": "Employment Counsel",
    "OrganizationScope": "acme-legal",
    "RoleLabel": "Employment Counsel",
    "PolicyCount": 5,
    "GrantCount": 40,
    "VisibleTableCount": 5,
    "HasNoAccess": false,
    "IsOverPrivileged": false
   },
   {
    "AccessPrincipalId": "principal-communications-manager",
    "Label": "Employee Communications Manager",
    "DomainRole": "communications-manager",
    "PgRoleName": "pko_communications_manager",
    "SchemaName": "pko_communications_manager",
    "IsAdministrator": false,
    "SemanticTypeIri": "urn:effortless:pko-extension#AccessPrincipal",
    "Name": "Employee Communications Manager",
    "OrganizationScope": "acme-people",
    "RoleLabel": "Employee Communications Manager",
    "PolicyCount": 6,
    "GrantCount": 57,
    "VisibleTableCount": 6,
    "HasNoAccess": false,
    "IsOverPrivileged": false
   },
   {
    "AccessPrincipalId": "principal-close-automation",
    "Label": "Close Automation Operator",
    "DomainRole": "close-automation",
    "PgRoleName": "pko_close_automation",
    "SchemaName": "pko_close_automation",
    "IsAdministrator": false,
    "SemanticTypeIri": "urn:effortless:pko-extension#AccessPrincipal",
    "Name": "Close Automation Operator",
    "OrganizationScope": "acme-finance",
    "RoleLabel": "Close Automation Operator",
    "PolicyCount": 3,
    "GrantCount": 23,
    "VisibleTableCount": 3,
    "HasNoAccess": false,
    "IsOverPrivileged": false
   },
   {
    "AccessPrincipalId": "principal-variance-review-agent",
    "Label": "Variance Review Agent",
    "DomainRole": "variance-review-agent",
    "PgRoleName": "pko_variance_review_agent",
    "SchemaName": "pko_variance_review_agent",
    "IsAdministrator": false,
    "SemanticTypeIri": "urn:effortless:pko-extension#AccessPrincipal",
    "Name": "Variance Review Agent",
    "OrganizationScope": "acme-finance",
    "RoleLabel": "Variance Review Agent",
    "PolicyCount": 5,
    "GrantCount": 35,
    "VisibleTableCount": 5,
    "HasNoAccess": false,
    "IsOverPrivileged": false
   },
   {
    "AccessPrincipalId": "principal-policy-drafting-agent",
    "Label": "Policy Drafting Agent",
    "DomainRole": "policy-drafting-agent",
    "PgRoleName": "pko_policy_drafting_agent",
    "SchemaName": "pko_policy_drafting_agent",
    "IsAdministrator": false,
    "SemanticTypeIri": "urn:effortless:pko-extension#AccessPrincipal",
    "Name": "Policy Drafting Agent",
    "OrganizationScope": "acme-people",
    "RoleLabel": "Policy Drafting Agent",
    "PolicyCount": 4,
    "GrantCount": 29,
    "VisibleTableCount": 4,
    "HasNoAccess": false,
    "IsOverPrivileged": false
   },
   {
    "AccessPrincipalId": "principal-notification-publisher",
    "Label": "Notification Publisher",
    "DomainRole": "notification-publisher",
    "PgRoleName": "pko_notification_publisher",
    "SchemaName": "pko_notification_publisher",
    "IsAdministrator": false,
    "SemanticTypeIri": "urn:effortless:pko-extension#AccessPrincipal",
    "Name": "Notification Publisher",
    "OrganizationScope": "acme-people",
    "RoleLabel": "Notification Publisher",
    "PolicyCount": 5,
    "GrantCount": 36,
    "VisibleTableCount": 5,
    "HasNoAccess": false,
    "IsOverPrivileged": false
   },
   {
    "AccessPrincipalId": "principal-process-steward",
    "Label": "Procedural Knowledge Steward",
    "DomainRole": "process-steward",
    "PgRoleName": "pko_process_steward",
    "SchemaName": "pko_process_steward",
    "IsAdministrator": true,
    "SemanticTypeIri": "urn:effortless:pko-extension#AccessPrincipal",
    "Name": "Procedural Knowledge Steward",
    "OrganizationScope": "acme-people",
    "RoleLabel": "Procedural Knowledge Steward",
    "PolicyCount": 74,
    "GrantCount": 1603,
    "VisibleTableCount": 74,
    "HasNoAccess": false,
    "IsOverPrivileged": false
   },
   {
    "AccessPrincipalId": "principal-knowledge-authority",
    "Label": "Procedural Knowledge Authority",
    "DomainRole": "knowledge-authority",
    "PgRoleName": "pko_knowledge_authority",
    "SchemaName": "pko_knowledge_authority",
    "IsAdministrator": true,
    "SemanticTypeIri": "urn:effortless:pko-extension#AccessPrincipal",
    "Name": "Procedural Knowledge Authority",
    "OrganizationScope": "acme-finance",
    "RoleLabel": "Procedural Knowledge Authority",
    "PolicyCount": 74,
    "GrantCount": 1603,
    "VisibleTableCount": 74,
    "HasNoAccess": false,
    "IsOverPrivileged": false
   }
  ]
 },
 "AccessPolicies": {
  "Description": "Row-level security policies: the VERTICAL cut. One row per principal x table x command, carrying the predicate that decides which rows are visible. RowPredicate is emitted verbatim into a Postgres USING clause, so it may call any SECURITY DEFINER calc_* function and therefore reference inference fields many hops down the DAG.",
  "important": true,
  "schema": [
   {
    "name": "AccessPolicyId",
    "datatype": "string",
    "type": "raw",
    "nullable": false,
    "Description": "Stored logical identifier, e.g. 'pol-controller-procedures-select'."
   },
   {
    "name": "Name",
    "datatype": "string",
    "type": "calculated",
    "nullable": true,
    "Description": "Human-readable calculated display alias.",
    "formula": "={{Principal}} &amp; \" \" &amp; {{Command}} &amp; \" \" &amp; {{TargetTable}}"
   },
   {
    "name": "Principal",
    "datatype": "string",
    "type": "relationship",
    "nullable": true,
    "Description": "Principal this policy grants to.",
    "RelatedTo": "AccessPrincipals"
   },
   {
    "name": "TargetTable",
    "datatype": "string",
    "type": "relationship",
    "nullable": true,
    "Description": "Rulebook table this policy guards.",
    "RelatedTo": "RulebookTables"
   },
   {
    "name": "Command",
    "datatype": "string",
    "type": "raw",
    "nullable": true,
    "Description": "SQL command the policy governs: SELECT, INSERT, UPDATE, DELETE or ALL."
   },
   {
    "name": "RowPredicate",
    "datatype": "string",
    "type": "raw",
    "nullable": true,
    "Description": "SQL boolean expression emitted into USING(...). Empty means all rows of the table. Must not sub-select the guarded table -- Postgres raises infinite recursion; route such predicates through a SECURITY DEFINER function instead."
   },
   {
    "name": "CheckPredicate",
    "datatype": "string",
    "type": "raw",
    "nullable": true,
    "Description": "SQL boolean expression emitted into WITH CHECK(...) for write commands. Empty reuses RowPredicate."
   },
   {
    "name": "Rationale",
    "datatype": "string",
    "type": "raw",
    "nullable": true,
    "Description": "Why this principal is entitled to these rows, in the granting authority's words."
   },
   {
    "name": "ReferencesInference",
    "datatype": "boolean",
    "type": "raw",
    "nullable": true,
    "Description": "True when RowPredicate calls a calc_* function, i.e. the cut depends on a derived field rather than a stored column."
   },
   {
    "name": "IsWriteCommand",
    "datatype": "boolean",
    "type": "calculated",
    "nullable": true,
    "Description": "True when this policy governs a mutating command.",
    "formula": "=OR({{Command}} = \"INSERT\", {{Command}} = \"UPDATE\", {{Command}} = \"DELETE\", {{Command}} = \"ALL\")"
   },
   {
    "name": "IsUnrestricted",
    "datatype": "boolean",
    "type": "calculated",
    "nullable": true,
    "Description": "True when the policy carries no predicate, exposing every row of the target table to the principal.",
    "formula": "={{RowPredicate}} = \"\""
   },
   {
    "name": "PrincipalIsAdmin",
    "datatype": "boolean",
    "type": "lookup",
    "nullable": true,
    "Description": "Whether the granted principal is an administrator.",
    "formula": "=INDEX(AccessPrincipals!{{IsAdministrator}}, MATCH({{Principal}}, AccessPrincipals!{{AccessPrincipalId}}, 0))"
   },
   {
    "name": "IsUnrestrictedNonAdminGrant",
    "datatype": "boolean",
    "type": "calculated",
    "nullable": true,
    "Description": "True when a non-administrator principal is granted an unrestricted policy -- a whole-table exposure that no row predicate narrows. The single highest-signal privilege-escalation witness in the model.",
    "formula": "=AND({{IsUnrestricted}}, NOT({{PrincipalIsAdmin}}))"
   },
   {
    "name": "IsUnwitnessedWrite",
    "datatype": "boolean",
    "type": "calculated",
    "nullable": true,
    "Description": "True when a write policy has no denial test proving it refuses out-of-scope rows. An untested write grant is an assertion, not evidence.",
    "formula": "=AND({{IsWriteCommand}}, {{DenialTestCount}} = 0)"
   },
   {
    "name": "DenialTestCount",
    "datatype": "number",
    "type": "aggregation",
    "nullable": true,
    "Description": "Number of denial tests seeded against this policy.",
    "formula": "=COUNTIFS(AccessDenialTests!{{TargetPolicy}}, {{AccessPolicyId}})"
   },
   {
    "name": "SemanticTypeIri",
    "datatype": "string",
    "type": "raw",
    "nullable": true,
    "Description": "Semantic type IRI."
   }
  ],
  "data": [
   {
    "AccessPolicyId": "pol-financeanalyst-steps-select",
    "Principal": "principal-finance-analyst",
    "TargetTable": "Steps",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Steps",
    "IsWriteCommand": false,
    "IsUnrestricted": true,
    "PrincipalIsAdmin": false,
    "IsUnrestrictedNonAdminGrant": true,
    "IsUnwitnessedWrite": false,
    "DenialTestCount": 0
   },
   {
    "AccessPolicyId": "pol-financeanalyst-step_executions-select",
    "Principal": "principal-finance-analyst",
    "TargetTable": "StepExecutions",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StepExecutions",
    "IsWriteCommand": false,
    "IsUnrestricted": true,
    "PrincipalIsAdmin": false,
    "IsUnrestrictedNonAdminGrant": true,
    "IsUnwitnessedWrite": false,
    "DenialTestCount": 0
   },
   {
    "AccessPolicyId": "pol-financeanalyst-procedure_executions-select",
    "Principal": "principal-finance-analyst",
    "TargetTable": "ProcedureExecutions",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ProcedureExecutions",
    "IsWriteCommand": false,
    "IsUnrestricted": true,
    "PrincipalIsAdmin": false,
    "IsUnrestrictedNonAdminGrant": true,
    "IsUnwitnessedWrite": false,
    "DenialTestCount": 0
   },
   {
    "AccessPolicyId": "pol-financeanalyst-requirements-select",
    "Principal": "principal-finance-analyst",
    "TargetTable": "Requirements",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Requirements",
    "IsWriteCommand": false,
    "IsUnrestricted": true,
    "PrincipalIsAdmin": false,
    "IsUnrestrictedNonAdminGrant": true,
    "IsUnwitnessedWrite": false,
    "DenialTestCount": 0
   },
   {
    "AccessPolicyId": "pol-financeanalyst-requirement_satisfactions-select",
    "Principal": "principal-finance-analyst",
    "TargetTable": "RequirementSatisfactions",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RequirementSatisfactions",
    "IsWriteCommand": false,
    "IsUnrestricted": true,
    "PrincipalIsAdmin": false,
    "IsUnrestrictedNonAdminGrant": true,
    "IsUnwitnessedWrite": false,
    "DenialTestCount": 0
   },
   {
    "AccessPolicyId": "pol-financeanalyst-procedures-select",
    "Principal": "principal-finance-analyst",
    "TargetTable": "Procedures",
    "Command": "SELECT",
    "RowPredicate": "",
    "CheckPredicate": "",
    "Rationale": "Preparer of reconciliations and variance evidence. Needs the steps assigned to them, what they recorded, and the requirements they must satisfy. Not governance, not comms.",
    "ReferencesInference": false,
    "SemanticTypeIri": "urn:effortless:pko-extension#AccessPolicy",
    "Name": "principal-finance-analyst SELECT Procedures",
    "IsWriteCommand": false,
    "IsUnrestricted": true,
    "PrincipalIsAdmin": false,
    "IsUnrestrictedNonAdminGrant": true,
    "IsUnwitnessedWrite": false,
    "DenialTestCount": 0
   },
   {
    "AccessPolicyId": "pol-financeanalyst-procedure_versions-select",
    "Principal": "principal-finance-analyst",
    "TargetTable": "ProcedureVersions",
    "Command": "SELECT",
    "RowPredicate": "is_current",
    "CheckPredicate": "",
    "Rationale": "Only the current version of each procedure. is_current is a stored column here, not a derivation, so the predicate reads it directly.",
    "ReferencesInference": false,
    "SemanticTypeIri": "urn:effortless:pko-extension#AccessPolicy",
    "Name": "principal-finance-analyst SELECT ProcedureVersions",
    "IsWriteCommand": false,
    "IsUnrestricted": false,
    "PrincipalIsAdmin": false,
    "IsUnrestrictedNonAdminGrant": false,
    "IsUnwitnessedWrite": false,
    "DenialTestCount": 2
   },
   {
    "AccessPolicyId": "pol-controller-steps-select",
    "Principal": "principal-controller",
    "TargetTable": "Steps",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Steps",
    "IsWriteCommand": false,
    "IsUnrestricted": true,
    "PrincipalIsAdmin": false,
    "IsUnrestrictedNonAdminGrant": true,
    "IsUnwitnessedWrite": false,
    "DenialTestCount": 0
   },
   {
    "AccessPolicyId": "pol-controller-step_executions-select",
    "Principal": "principal-controller",
    "TargetTable": "StepExecutions",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StepExecutions",
    "IsWriteCommand": false,
    "IsUnrestricted": true,
    "PrincipalIsAdmin": false,
    "IsUnrestrictedNonAdminGrant": true,
    "IsUnwitnessedWrite": false,
    "DenialTestCount": 0
   },
   {
    "AccessPolicyId": "pol-controller-procedure_executions-select",
    "Principal": "principal-controller",
    "TargetTable": "ProcedureExecutions",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ProcedureExecutions",
    "IsWriteCommand": false,
    "IsUnrestricted": true,
    "PrincipalIsAdmin": false,
    "IsUnrestrictedNonAdminGrant": true,
    "IsUnwitnessedWrite": false,
    "DenialTestCount": 0
   },
   {
    "AccessPolicyId": "pol-controller-exceptions-select",
    "Principal": "principal-controller",
    "TargetTable": "Exceptions",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Exceptions",
    "IsWriteCommand": false,
    "IsUnrestricted": true,
    "PrincipalIsAdmin": false,
    "IsUnrestrictedNonAdminGrant": true,
    "IsUnwitnessedWrite": false,
    "DenialTestCount": 0
   },
   {
    "AccessPolicyId": "pol-controller-change_requests-select",
    "Principal": "principal-controller",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"principal-controller SELECT ChangeRequests",
    "IsWriteCommand": false,
    "IsUnrestricted": false,
    "PrincipalIsAdmin": false,
    "IsUnrestrictedNonAdminGrant": false,
    "IsUnwitnessedWrite": false,
    "DenialTestCount": 2
   },
   {
    "AccessPolicyId": "pol-controller-knowledge_fragments-select",
    "Principal": "principal-controller",
    "TargetTable": "KnowledgeFragments",
    "Command": "SELECT",
    "RowPredicate": "owner_role = app.jwt_role()",
    "CheckPredicate": "",
    "Rationale": "Ownership: only the rows this role owns.",
    "ReferencesInference": false,
    "SemanticTypeIri": "urn:effortless:pko-extension#AccessPolicy",
    "Name": "principal-controller SELECT KnowledgeFragments",
    "IsWriteCommand": false,
    "IsUnrestricted": false,
    "PrincipalIsAdmin": false,
    "IsUnrestrictedNonAdminGrant": false,
    "IsUnwitnessedWrite": false,
    "DenialTestCount": 1
   },
   {
    "AccessPolicyId": "pol-controller-requirements-select",
    "Principal": "principal-controller",
    "TargetTable": "Requirements",
    "Command": "SELECT",
    "RowPredicate": "",
    "CheckPredicate": "",
    "Rationale": "Owner of close controls and first approval authority. Needs the approval surface -- exceptions they approve, change requests they decide, the knowledge they own -- plus enough execution state to approve against.",
    "ReferencesInference": false,
    "SemanticTypeIri": "urn:effortless:pko-extension#AccessPolicy",
    "Name": "principal-controller SELECT Requirements",
    "IsWriteCommand": false,
    "IsUnrestricted": true,
    "PrincipalIsAdmin": false,
    "IsUnrestrictedNonAdminGrant": true,
    "IsUnwitnessedWrite": false,
    "DenialTestCount": 0
   },
   {
    "AccessPolicyId": "pol-controller-procedure_versions-select",
    "Principal": "principal-controller",
    "TargetTable": "ProcedureVersions",
    "Command": "SELECT",
    "RowPredicate": "is_current",
    "CheckPredicate": "",
    "Rationale": "Only the current version of each procedure. is_current is a stored column here, not a derivation, so the predicate reads it directly.",
    "ReferencesInference": false,
    "SemanticTypeIri": "urn:effortless:pko-extension#AccessPolicy",
    "Name": "principal-controller SELECT ProcedureVersions",
    "IsWriteCommand": false,
    "IsUnrestricted": false,
    "PrincipalIsAdmin": false,
    "IsUnrestrictedNonAdminGrant": false,
    "IsUnwitnessedWrite": false,
    "DenialTestCount": 0
   },
   {
    "AccessPolicyId": "pol-cfo-procedure_executions-select",
    "Principal": "principal-cfo",
    "TargetTable": "ProcedureExecutions",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ProcedureExecutions",
    "IsWriteCommand": false,
    "IsUnrestricted": true,
    "PrincipalIsAdmin": false,
    "IsUnrestrictedNonAdminGrant": true,
    "IsUnwitnessedWrite": false,
    "DenialTestCount": 0
   },
   {
    "AccessPolicyId": "pol-cfo-exceptions-select",
    "Principal": "principal-cfo",
    "TargetTable": "Exceptions",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Exceptions",
    "IsWriteCommand": false,
    "IsUnrestricted": true,
    "PrincipalIsAdmin": false,
    "IsUnrestrictedNonAdminGrant": true,
    "IsUnwitnessedWrite": false,
    "DenialTestCount": 0
   },
   {
    "AccessPolicyId": "pol-cfo-change_requests-select",
    "Principal": "principal-cfo",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"principal-cfo SELECT ChangeRequests",
    "IsWriteCommand": false,
    "IsUnrestricted": false,
    "PrincipalIsAdmin": false,
    "IsUnrestrictedNonAdminGrant": false,
    "IsUnwitnessedWrite": false,
    "DenialTestCount": 0
   },
   {
    "AccessPolicyId": "pol-cfo-authority_boundaries-select",
    "Principal": "principal-cfo",
    "TargetTable": "AuthorityBoundaries",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AuthorityBoundaries",
    "IsWriteCommand": false,
    "IsUnrestricted": true,
    "PrincipalIsAdmin": false,
    "IsUnrestrictedNonAdminGrant": true,
    "IsUnwitnessedWrite": false,
    "DenialTestCount": 0
   },
   {
    "AccessPolicyId": "pol-cfo-procedures-select",
    "Principal": "principal-cfo",
    "TargetTable": "Procedures",
    "Command": "SELECT",
    "RowPredicate": "",
    "CheckPredicate": "",
    "Rationale": "Final authority for the financial close. Sees the decision surface only: what awaits approval, the boundaries on that authority, and the close's headline state. No preparation detail, no stewardship diagnostics.",
    "ReferencesInference": false,
    "SemanticTypeIri": "urn:effortless:pko-extension#AccessPolicy",
    "Name": "principal-cfo SELECT Procedures",
    "IsWriteCommand": false,
    "IsUnrestricted": true,
    "PrincipalIsAdmin": false,
    "IsUnrestrictedNonAdminGrant": true,
    "IsUnwitnessedWrite": false,
    "DenialTestCount": 0
   },
   {
    "AccessPolicyId": "pol-hrpolicyowner-steps-select",
    "Principal": "principal-hr-policy-owner",
    "TargetTable": "Steps",
    "Command": "SELECT",
    "RowPredicate": "",
    "CheckPredicate": "",
    "Rationale": "Accountable owner for employment policy content. Owns policy knowledge and the change requests that alter it. Sees the steps they are assigned, and the exceptions they approve.",
    "ReferencesInference": false,
    "SemanticTypeIri": "urn:effortless:pko-extension#AccessPolicy",
    "Name": "principal-hr-policy-owner SELECT Steps",
    "IsWriteCommand": false,
    "IsUnrestricted": true,
    "PrincipalIsAdmin": false,
    "IsUnrestrictedNonAdminGrant": true,
    "IsUnwitnessedWrite": false,
    "DenialTestCount": 0
   },
   {
    "AccessPolicyId": "pol-hrpolicyowner-knowledge_fragments-select",
    "Principal": "principal-hr-policy-owner",
    "TargetTable": "KnowledgeFragments",
    "Command": "SELECT",
    "RowPredicate": "owner_role = app.jwt_role()",
    "CheckPredicate": "",
    "Rationale": "Ownership: only the rows this role owns.",
    "ReferencesInference": false,
    "SemanticTypeIri": "urn:effortless:pko-extension#AccessPolicy",
    "Name": "principal-hr-policy-owner SELECT KnowledgeFragments",
    "IsWriteCommand": false,
    "IsUnrestricted": false,
    "PrincipalIsAdmin": false,
    "IsUnrestrictedNonAdminGrant": false,
    "IsUnwitnessedWrite": false,
    "DenialTestCount": 0
   },
   {
    "AccessPolicyId": "pol-hrpolicyowner-knowledge_gaps-select",
    "Principal": "principal-hr-policy-owner",
    "TargetTable": "KnowledgeGaps",
    "Command": "SELECT",
    "RowPredicate": "public.calc_knowledge_gaps_is_open(knowledge_gap_id)",
    "CheckPredicate": "",
    "Rationale": "Open knowledge gaps only; resolved gaps are governance history.",
    "ReferencesInference": true,
    "SemanticTypeIri": "urn:effortless:pko-extension#AccessPolicy",
    "Name": "principal-hr-policy-owner SELECT KnowledgeGaps",
    "IsWriteCommand": false,
    "IsUnrestricted": false,
    "PrincipalIsAdmin": false,
    "IsUnrestrictedNonAdminGrant": false,
    "IsUnwitnessedWrite": false,
    "DenialTestCount": 2
   },
   {
    "AccessPolicyId": "pol-hrpolicyowner-change_requests-select",
    "Principal": "principal-hr-policy-owner",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"principal-hr-policy-owner SELECT ChangeRequests",
    "IsWriteCommand": false,
    "IsUnrestricted": false,
    "PrincipalIsAdmin": false,
    "IsUnrestrictedNonAdminGrant": false,
    "IsUnwitnessedWrite": false,
    "DenialTestCount": 0
   },
   {
    "AccessPolicyId": "pol-hrpolicyowner-exceptions-select",
    "Principal": "principal-hr-policy-owner",
    "TargetTable": "Exceptions",
    "Command": "SELECT",
    "RowPredicate": "",
    "CheckPredicate": "",
    "Rationale": "Accountable owner for employment policy content. Owns policy knowledge and the change requests that alter it. Sees the steps they are assigned, and the exceptions they approve.",
    "ReferencesInference": false,
    "SemanticTypeIri": "urn:effortless:pko-extension#AccessPolicy",
    "Name": "principal-hr-policy-owner SELECT Exceptions",
    "IsWriteCommand": false,
    "IsUnrestricted": true,
    "PrincipalIsAdmin": false,
    "IsUnrestrictedNonAdminG</t>
  </si>
  <si>
    <t xml:space="preserve">rant": true,
    "IsUnwitnessedWrite": false,
    "DenialTestCount": 0
   },
   {
    "AccessPolicyId": "pol-hrpolicyowner-message_templates-select",
    "Principal": "principal-hr-policy-owner",
    "TargetTable": "MessageTemplates",
    "Command": "SELECT",
    "RowPredicate": "",
    "CheckPredicate": "",
    "Rationale": "Accountable owner for employment policy content. Owns policy knowledge and the change requests that alter it. Sees the steps they are assigned, and the exceptions they approve.",
    "ReferencesInference": false,
    "SemanticTypeIri": "urn:effortless:pko-extension#AccessPolicy",
    "Name": "principal-hr-policy-owner SELECT MessageTemplates",
    "IsWriteCommand": false,
    "IsUnrestricted": true,
    "PrincipalIsAdmin": false,
    "IsUnrestrictedNonAdminGrant": true,
    "IsUnwitnessedWrite": false,
    "DenialTestCount": 0
   },
   {
    "AccessPolicyId": "pol-employmentcounsel-change_requests-select",
    "Principal": "principal-employment-counsel",
    "TargetTable": "ChangeRequests",
    "Command": "SELECT",
    "RowPredicate": "public.calc_change_requests_is_open(change_request_id)",
    "CheckPredicate": "",
    "Rationale": "Open change requests only. is_open is derived several hops down the DAG, so the policy stays one line while the semantics stay deep.",
    "ReferencesInference": true,
    "SemanticTypeIri": "urn:effortless:pko-extension#AccessPolicy",
    "Name": "principal-employment-counsel SELECT ChangeRequests",
    "IsWriteCommand": false,
    "IsUnrestricted": false,
    "PrincipalIsAdmin": false,
    "IsUnrestrictedNonAdminGrant": false,
    "IsUnwitnessedWrite": false,
    "DenialTestCount": 0
   },
   {
    "AccessPolicyId": "pol-employmentcounsel-knowledge_fragments-select",
    "Principal": "principal-employment-counsel",
    "TargetTable": "KnowledgeFragments",
    "Command": "SELECT",
    "RowPredicate": "owner_role = app.jwt_role()",
    "CheckPredicate": "",
    "Rationale": "Ownership: only the rows this role owns.",
    "ReferencesInference": false,
    "SemanticTypeIri": "urn:effortless:pko-extension#AccessPolicy",
    "Name": "principal-employment-counsel SELECT KnowledgeFragments",
    "IsWriteCommand": false,
    "IsUnrestricted": false,
    "PrincipalIsAdmin": false,
    "IsUnrestrictedNonAdminGrant": false,
    "IsUnwitnessedWrite": false,
    "DenialTestCount": 2
   },
   {
    "AccessPolicyId": "pol-employmentcounsel-authority_boundaries-select",
    "Principal": "principal-employment-counsel",
    "TargetTable": "AuthorityBoundaries",
    "Command": "SELECT",
    "RowPredicate": "",
    "CheckPredicate": "",
    "Rationale": "Legal reviewer for workforce policy changes. Reads what is proposed and the boundaries that constrain it. Does not need execution telemetry or delivery data.",
    "ReferencesInference": false,
    "SemanticTypeIri": "urn:effortless:pko-extension#AccessPolicy",
    "Name": "principal-employment-counsel SELECT AuthorityBoundaries",
    "IsWriteCommand": false,
    "IsUnrestricted": true,
    "PrincipalIsAdmin": false,
    "IsUnrestrictedNonAdminGrant": true,
    "IsUnwitnessedWrite": false,
    "DenialTestCount": 0
   },
   {
    "AccessPolicyId": "pol-employmentcounsel-communication_policies-select",
    "Principal": "principal-employment-counsel",
    "TargetTable": "CommunicationPolicies",
    "Command": "SELECT",
    "RowPredicate": "",
    "CheckPredicate": "",
    "Rationale": "Legal reviewer for workforce policy changes. Reads what is proposed and the boundaries that constrain it. Does not need execution telemetry or delivery data.",
    "ReferencesInference": false,
    "SemanticTypeIri": "urn:effortless:pko-extension#AccessPolicy",
    "Name": "principal-employment-counsel SELECT CommunicationPolicies",
    "IsWriteCommand": false,
    "IsUnrestricted": true,
    "PrincipalIsAdmin": false,
    "IsUnrestrictedNonAdminGrant": true,
    "IsUnwitnessedWrite": false,
    "DenialTestCount": 0
   },
   {
    "AccessPolicyId": "pol-employmentcounsel-steps-select",
    "Principal": "principal-employment-counsel",
    "TargetTable": "Steps",
    "Command": "SELECT",
    "RowPredicate": "",
    "CheckPredicate": "",
    "Rationale": "Legal reviewer for workforce policy changes. Reads what is proposed and the boundaries that constrain it. Does not need execution telemetry or delivery data.",
    "ReferencesInference": false,
    "SemanticTypeIri": "urn:effortless:pko-extension#AccessPolicy",
    "Name": "principal-employment-counsel SELECT Steps",
    "IsWriteCommand": false,
    "IsUnrestricted": true,
    "PrincipalIsAdmin": false,
    "IsUnrestrictedNonAdminGrant": true,
    "IsUnwitnessedWrite": false,
    "DenialTestCount": 0
   },
   {
    "AccessPolicyId": "pol-communicationsmanager-communication_policies-select",
    "Principal": "principal-communications-manager",
    "TargetTable": "CommunicationPolicies",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CommunicationPolicies",
    "IsWriteCommand": false,
    "IsUnrestricted": true,
    "PrincipalIsAdmin": false,
    "IsUnrestrictedNonAdminGrant": true,
    "IsUnwitnessedWrite": false,
    "DenialTestCount": 0
   },
   {
    "AccessPolicyId": "pol-communicationsmanager-message_templates-select",
    "Principal": "principal-communications-manager",
    "TargetTable": "MessageTemplates",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MessageTemplates",
    "IsWriteCommand": false,
    "IsUnrestricted": true,
    "PrincipalIsAdmin": false,
    "IsUnrestrictedNonAdminGrant": true,
    "IsUnwitnessedWrite": false,
    "DenialTestCount": 0
   },
   {
    "AccessPolicyId": "pol-communicationsmanager-send_intents-select",
    "Principal": "principal-communications-manager",
    "TargetTable": "SendIntents",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SendIntents",
    "IsWriteCommand": false,
    "IsUnrestricted": true,
    "PrincipalIsAdmin": false,
    "IsUnrestrictedNonAdminGrant": true,
    "IsUnwitnessedWrite": false,
    "DenialTestCount": 0
   },
   {
    "AccessPolicyId": "pol-communicationsmanager-message_deliveries-select",
    "Principal": "principal-communications-manager",
    "TargetTable": "MessageDeliveries",
    "Command": "SELECT",
    "RowPredicate": "",
    "CheckPredicate": "",
    "Rationale": "Human owner of employee communications. Approves what goes out and to whom, so this is the one non-admin role that sees recipients -- including consent state, which is the whole point of the approval.",
    "ReferencesInference": false,
    "SemanticTypeIri": "urn:effortless:pko-extension#AccessPolicy",
    "Name": "principal-communications-manager SELECT MessageDeliveries",
    "IsWriteCommand": false,
    "IsUnrestricted": true,
    "PrincipalIsAdmin": false,
    "IsUnrestrictedNonAdminGrant": true,
    "IsUnwitnessedWrite": false,
    "DenialTestCount": 0
   },
   {
    "AccessPolicyId": "pol-communicationsmanager-recipients-select",
    "Principal": "principal-communications-manager",
    "TargetTable": "Recipients",
    "Command": "SELECT",
    "RowPredicate": "organization = app.jwt_organization()",
    "CheckPredicate": "",
    "Rationale": "Tenancy boundary: only rows belonging to this principal's own organization.",
    "ReferencesInference": false,
    "SemanticTypeIri": "urn:effortless:pko-extension#AccessPolicy",
    "Name": "principal-communications-manager SELECT Recipients",
    "IsWriteCommand": false,
    "IsUnrestricted": false,
    "PrincipalIsAdmin": false,
    "IsUnrestrictedNonAdminGrant": false,
    "IsUnwitnessedWrite": false,
    "DenialTestCount": 0
   },
   {
    "AccessPolicyId": "pol-communicationsmanager-knowledge_gaps-select",
    "Principal": "principal-communications-manager",
    "TargetTable": "KnowledgeGaps",
    "Command": "SELECT",
    "RowPredicate": "public.calc_knowledge_gaps_is_open(knowledge_gap_id)",
    "CheckPredicate": "",
    "Rationale": "Open knowledge gaps only; resolved gaps are governance history.",
    "ReferencesInference": true,
    "SemanticTypeIri": "urn:effortless:pko-extension#AccessPolicy",
    "Name": "principal-communications-manager SELECT KnowledgeGaps",
    "IsWriteCommand": false,
    "IsUnrestricted": false,
    "PrincipalIsAdmin": false,
    "IsUnrestrictedNonAdminGrant": false,
    "IsUnwitnessedWrite": false,
    "DenialTestCount": 0
   },
   {
    "AccessPolicyId": "pol-closeautomation-steps-select",
    "Principal": "principal-close-automation",
    "TargetTable": "Steps",
    "Command": "SELECT",
    "RowPredicate": "",
    "CheckPredicate": "",
    "Rationale": "Deterministic extraction, posting and archival operator. A pipeline. It reads the steps it is assigned and writes what it did. It has no view of people, policy, or governance at all.",
    "ReferencesInference": false,
    "SemanticTypeIri": "urn:effortless:pko-extension#AccessPolicy",
    "Name": "principal-close-automation SELECT Steps",
    "IsWriteCommand": false,
    "IsUnrestricted": true,
    "PrincipalIsAdmin": false,
    "IsUnrestrictedNonAdminGrant": true,
    "IsUnwitnessedWrite": false,
    "DenialTestCount": 0
   },
   {
    "AccessPolicyId": "pol-closeautomation-step_executions-select",
    "Principal": "principal-close-automation",
    "TargetTable": "StepExecutions",
    "Command": "SELECT",
    "RowPredicate": "",
    "CheckPredicate": "",
    "Rationale": "Deterministic extraction, posting and archival operator. A pipeline. It reads the steps it is assigned and writes what it did. It has no view of people, policy, or governance at all.",
    "ReferencesInference": false,
    "SemanticTypeIri": "urn:effortless:pko-extension#AccessPolicy",
    "Name": "principal-close-automation SELECT StepExecutions",
    "IsWriteCommand": false,
    "IsUnrestricted": true,
    "PrincipalIsAdmin": false,
    "IsUnrestrictedNonAdminGrant": true,
    "IsUnwitnessedWrite": false,
    "DenialTestCount": 0
   },
   {
    "AccessPolicyId": "pol-closeautomation-errors-select",
    "Principal": "principal-close-automation",
    "TargetTable": "Errors",
    "Command": "SELECT",
    "RowPredicate": "",
    "CheckPredicate": "",
    "Rationale": "Deterministic extraction, posting and archival operator. A pipeline. It reads the steps it is assigned and writes what it did. It has no view of people, policy, or governance at all.",
    "ReferencesInference": false,
    "SemanticTypeIri": "urn:effortless:pko-extension#AccessPolicy",
    "Name": "principal-close-automation SELECT Errors",
    "IsWriteCommand": false,
    "IsUnrestricted": true,
    "PrincipalIsAdmin": false,
    "IsUnrestrictedNonAdminGrant": true,
    "IsUnwitnessedWrite": false,
    "DenialTestCount": 0
   },
   {
    "AccessPolicyId": "pol-variancereviewagent-steps-select",
    "Principal": "principal-variance-review-agent",
    "TargetTable": "Steps",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Steps",
    "IsWriteCommand": false,
    "IsUnrestricted": true,
    "PrincipalIsAdmin": false,
    "IsUnrestrictedNonAdminGrant": true,
    "IsUnwitnessedWrite": false,
    "DenialTestCount": 0
   },
   {
    "AccessPolicyId": "pol-variancereviewagent-step_executions-select",
    "Principal": "principal-variance-review-agent",
    "TargetTable": "StepExecutions",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StepExecutions",
    "IsWriteCommand": false,
    "IsUnrestricted": true,
    "PrincipalIsAdmin": false,
    "IsUnrestrictedNonAdminGrant": true,
    "IsUnwitnessedWrite": false,
    "DenialTestCount": 0
   },
   {
    "AccessPolicyId": "pol-variancereviewagent-requirements-select",
    "Principal": "principal-variance-review-agent",
    "TargetTable": "Requirements",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Requirements",
    "IsWriteCommand": false,
    "IsUnrestricted": true,
    "PrincipalIsAdmin": false,
    "IsUnrestrictedNonAdminGrant": true,
    "IsUnwitnessedWrite": false,
    "DenialTestCount": 0
   },
   {
    "AccessPolicyId": "pol-variancereviewagent-requirement_satisfactions-select",
    "Principal": "principal-variance-review-agent",
    "TargetTable": "RequirementSatisfactions",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RequirementSatisfactions",
    "IsWriteCommand": false,
    "IsUnrestricted": true,
    "PrincipalIsAdmin": false,
    "IsUnrestrictedNonAdminGrant": true,
    "IsUnwitnessedWrite": false,
    "DenialTestCount": 0
   },
   {
    "AccessPolicyId": "pol-variancereviewagent-errors-select",
    "Principal": "principal-variance-review-agent",
    "TargetTable": "Errors",
    "Command": "SELECT",
    "RowPredicate": "",
    "CheckPredicate": "",
    "Rationale": "AI assistant that classifies and prioritises variances. Reads execution outcomes and the requirements that define a variance. No identities, no approvals.",
    "ReferencesInference": false,
    "SemanticTypeIri": "urn:effortless:pko-extension#AccessPolicy",
    "Name": "principal-variance-review-agent SELECT Errors",
    "IsWriteCommand": false,
    "IsUnrestricted": true,
    "PrincipalIsAdmin": false,
    "IsUnrestrictedNonAdminGrant": true,
    "IsUnwitnessedWrite": false,
    "DenialTestCount": 0
   },
   {
    "AccessPolicyId": "pol-policydraftingagent-message_templates-select",
    "Principal": "principal-policy-drafting-agent",
    "TargetTable": "MessageTemplates",
    "Command": "SELECT",
    "RowPredicate": "",
    "CheckPredicate": "",
    "Rationale": "AI assistant that drafts policy and channel variants. Reads the templates and policies it drafts against. It never sees recipients -- drafting does not require knowing who is addressed, and consent data is not its business.",
    "ReferencesInference": false,
    "SemanticTypeIri": "urn:effortless:pko-extension#AccessPolicy",
    "Name": "principal-policy-drafting-agent SELECT MessageTemplates",
    "IsWriteCommand": false,
    "IsUnrestricted": true,
    "PrincipalIsAdmin": false,
    "IsUnrestrictedNonAdminGrant": true,
    "IsUnwitnessedWrite": false,
    "DenialTestCount": 0
   },
   {
    "AccessPolicyId": "pol-policydraftingagent-communication_policies-select",
    "Principal": "principal-policy-drafting-agent",
    "TargetTable": "CommunicationPolicies",
    "Command": "SELECT",
    "RowPredicate": "",
    "CheckPredicate": "",
    "Rationale": "AI assistant that drafts policy and channel variants. Reads the templates and policies it drafts against. It never sees recipients -- drafting does not require knowing who is addressed, and consent data is not its business.",
    "ReferencesInference": false,
    "SemanticTypeIri": "urn:effortless:pko-extension#AccessPolicy",
    "Name": "principal-policy-drafting-agent SELECT CommunicationPolicies",
    "IsWriteCommand": false,
    "IsUnrestricted": true,
    "PrincipalIsAdmin": false,
    "IsUnrestrictedNonAdminGrant": true,
    "IsUnwitnessedWrite": false,
    "DenialTestCount": 0
   },
   {
    "AccessPolicyId": "pol-policydraftingagent-knowledge_fragments-select",
    "Principal": "principal-policy-drafting-agent",
    "TargetTable": "KnowledgeFragments",
    "Command": "SELECT",
    "RowPredicate": "owner_role = app.jwt_role()",
    "CheckPredicate": "",
    "Rationale": "Ownership: only the rows this role owns.",
    "ReferencesInference": false,
    "SemanticTypeIri": "urn:effortless:pko-extension#AccessPolicy",
    "Name": "principal-policy-drafting-agent SELECT KnowledgeFragments",
    "IsWriteCommand": false,
    "IsUnrestricted": false,
    "PrincipalIsAdmin": false,
    "IsUnrestrictedNonAdminGrant": false,
    "IsUnwitnessedWrite": false,
    "DenialTestCount": 0
   },
   {
    "AccessPolicyId": "pol-policydraftingagent-steps-select",
    "Principal": "principal-policy-drafting-agent",
    "TargetTable": "Steps",
    "Command": "SELECT",
    "RowPredicate": "",
    "CheckPredicate": "",
    "Rationale": "AI assistant that drafts policy and channel variants. Reads the templates and policies it drafts against. It never sees recipients -- drafting does not require knowing who is addressed, and consent data is not its business.",
    "ReferencesInference": false,
    "SemanticTypeIri": "urn:effortless:pko-extension#AccessPolicy",
    "Name": "principal-policy-drafting-agent SELECT Steps",
    "IsWriteCommand": false,
    "IsUnrestricted": true,
    "PrincipalIsAdmin": false,
    "IsUnrestrictedNonAdminGrant": true,
    "IsUnwitnessedWrite": false,
    "DenialTestCount": 0
   },
   {
    "AccessPolicyId": "pol-notificationpublisher-communication_policies-select",
    "Principal": "principal-notification-publisher",
    "TargetTable": "CommunicationPolicies",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CommunicationPolicies",
    "IsWriteCommand": false,
    "IsUnrestricted": true,
    "PrincipalIsAdmin": false,
    "IsUnrestrictedNonAdminGrant": true,
    "IsUnwitnessedWrite": false,
    "DenialTestCount": 0
   },
   {
    "AccessPolicyId": "pol-notificationpublisher-send_intents-select",
    "Principal": "principal-notification-publisher",
    "TargetTable": "SendIntents",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SendIntents",
    "IsWriteCommand": false,
    "IsUnrestricted": true,
    "PrincipalIsAdmin": false,
    "IsUnrestrictedNonAdminGrant": true,
    "IsUnwitnessedWrite": false,
    "DenialTestCount": 0
   },
   {
    "AccessPolicyId": "pol-notificationpublisher-message_deliveries-select",
    "Principal": "principal-notification-publisher",
    "TargetTable": "MessageDeliveries",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MessageDeliveries",
    "IsWriteCommand": false,
    "IsUnrestricted": true,
    "PrincipalIsAdmin": false,
    "IsUnrestrictedNonAdminGrant": true,
    "IsUnwitnessedWrite": false,
    "DenialTestCount": 0
   },
   {
    "AccessPolicyId": "pol-notificationpublisher-recipients-select",
    "Principal": "principal-notification-publisher",
    "TargetTable": "Recipients",
    "Command": "SELECT",
    "RowPredicate": "organization = app.jwt_organization()",
    "CheckPredicate": "",
    "Rationale": "Tenancy boundary: only rows belonging to this principal's own organization.",
    "ReferencesInference": false,
    "SemanticTypeIri": "urn:effortless:pko-extension#AccessPolicy",
    "Name": "principal-notification-publisher SELECT Recipients",
    "IsWriteCommand": false,
    "IsUnrestricted": false,
    "PrincipalIsAdmin": false,
    "IsUnrestrictedNonAdminGrant": false,
    "IsUnwitnessedWrite": false,
    "DenialTestCount": 0
   },
   {
    "AccessPolicyId": "pol-notificationpublisher-steps-select",
    "Principal": "principal-notification-publisher",
    "TargetTable": "Steps",
    "Command": "SELECT",
    "RowPredicate": "",
    "CheckPredicate": "",
    "Rationale": "Pipeline that applies channel rules and sends approved messages. Needs the rules and the send queue. Sees a recipient's ADDRESS but not their consent history or display name -- it delivers, it does not decide.",
    "ReferencesInference": false,
    "SemanticTypeIri": "urn:effortless:pko-extension#AccessPolicy",
    "Name": "principal-notification-publisher SELECT Steps",
    "IsWriteCommand": false,
    "IsUnrestricted": true,
    "PrincipalIsAdmin": false,
    "IsUnrestrictedNonAdminGrant": true,
    "IsUnwitnessedWrite": false,
    "DenialTestCount": 0
   },
   {
    "AccessPolicyId": "pol-processsteward-actions-select",
    "Principal": "principal-process-steward",
    "TargetTable": "Actions",
    "Command": "SELECT",
    "RowPredicate": "",
    "CheckPredicate": "",
    "Rationale": "Full read: this principal is a declared administrator.",
    "ReferencesInference": false,
    "SemanticTypeIri": "urn:effortless:pko-extension#AccessPolicy",
    "Name": "principal-process-steward SELECT Actions",
    "IsWriteCommand": false,
    "IsUnrestricted": true,
    "PrincipalIsAdmin": true,
    "IsUnrestrictedNonAdminGrant": false,
    "IsUnwitnessedWrite": false,
    "DenialTestCount": 0
   },
   {
    "AccessPolicyId": "pol-processsteward-agent_decision_records-select",
    "Principal": "principal-process-steward",
    "TargetTable": "AgentDecisionRecords",
    "Command": "SELECT",
    "RowPredicate": "",
    "CheckPredicate": "",
    "Rationale": "Full read: this principal is a declared administrator.",
    "ReferencesInference": false,
    "SemanticTypeIri": "urn:effortless:pko-extension#AccessPolicy",
    "Name": "principal-process-steward SELECT AgentDecisionRecords",
    "IsWriteCommand": false,
    "IsUnrestricted": true,
    "PrincipalIsAdmin": true,
    "IsUnrestrictedNonAdminGrant": false,
    "IsUnwitnessedWrite": false,
    "DenialTestCount": 0
   },
   {
    "AccessPolicyId": "pol-processsteward-agents-select",
    "Principal": "principal-process-steward",
    "TargetTable": "Agents",
    "Command": "SELECT",
    "RowPredicate": "",
    "CheckPredicate": "",
    "Rationale": "Full read: this principal is a declared administrator.",
    "ReferencesInference": false,
    "SemanticTypeIri": "urn:effortless:pko-extension#AccessPolicy",
    "Name": "principal-process-steward SELECT Agents",
    "IsWriteCommand": false,
    "IsUnrestricted": true,
    "PrincipalIsAdmin": true,
    "IsUnrestrictedNonAdminGrant": false,
    "IsUnwitnessedWrite": false,
    "DenialTestCount": 0
   },
   {
    "AccessPolicyId": "pol-processsteward-app_nav_groups-select",
    "Principal": "principal-process-steward",
    "TargetTable": "AppNavGroups",
    "Command": "SELECT",
    "RowPredicate": "",
    "CheckPredicate": "",
    "Rationale": "Full read: this principal is a declared administrator.",
    "ReferencesInference": false,
    "SemanticTypeIri": "urn:effortless:pko-extension#AccessPolicy",
    "Name": "principal-process-steward SELECT AppNavGroups",
    "IsWriteCommand": false,
    "IsUnrestricted": true,
    "PrincipalIsAdmin": true,
    "IsUnrestrictedNonAdminGrant": false,
    "IsUnwitnessedWrite": false,
    "DenialTestCount": 0
   },
   {
    "AccessPolicyId": "pol-processsteward-app_role_profiles-select",
    "Principal": "principal-process-steward",
    "TargetTable": "AppRoleProfiles",
    "Command": "SELECT",
    "RowPredicate": "",
    "CheckPredicate": "",
    "Rationale": "Full read: this principal is a declared administrator.",
    "ReferencesInference": false,
    "SemanticTypeIri": "urn:effortless:pko-extension#AccessPolicy",
    "Name": "principal-process-steward SELECT AppRoleProfiles",
    "IsWriteCommand": false,
    "IsUnrestricted": true,
    "PrincipalIsAdmin": true,
    "IsUnrestrictedNonAdminGrant": false,
    "IsUnwitnessedWrite": false,
    "DenialTestCount": 0
   },
   {
    "AccessPolicyId": "pol-processsteward-app_route_questions-select",
    "Principal": "principal-process-steward",
    "TargetTable": "AppRouteQuestions",
    "Command": "SELECT",
    "RowPredicate": "",
    "CheckPredicate": "",
    "Rationale": "Full read: this principal is a declared administrator.",
    "ReferencesInference": false,
    "SemanticTypeIri": "urn:effortless:pko-extension#AccessPolicy",
    "Name": "principal-process-steward SELECT AppRouteQuestions",
    "IsWriteCommand": false,
    "IsUnrestricted": true,
    "PrincipalIsAdmin": true,
    "IsUnrestrictedNonAdminGrant": false,
    "IsUnwitnessedWrite": false,
    "DenialTestCount": 0
   },
   {
    "AccessPolicyId": "pol-processsteward-app_route_references-select",
    "Principal": "principal-process-steward",
    "TargetTable": "AppRouteReferences",
    "Command": "SELECT",
    "RowPredicate": "",
    "CheckPredicate": "",
    "Rationale": "Full read: this principal is a declared administrator.",
    "ReferencesInference": false,
    "SemanticTypeIri": "urn:effortless:pko-extension#AccessPolicy",
    "Name": "principal-process-steward SELECT AppRouteReferences",
    "IsWriteCommand": false,
    "IsUnrestricted": true,
    "PrincipalIsAdmin": true,
    "IsUnrestrictedNonAdminGrant": false,
    "IsUnwitnessedWrite": false,
    "DenialTestCount": 0
   },
   {
    "AccessPolicyId": "pol-processsteward-app_routes-select",
    "Principal": "principal-process-steward",
    "TargetTable": "AppRoutes",
    "Command": "SELECT",
    "RowPredicate": "",
    "CheckPredicate": "",
    "Rationale": "Full read: this principal is a declared administrator.",
    "ReferencesInference": false,
    "SemanticTypeIri": "urn:effortless:pko-extension#AccessPolicy",
    "Name": "principal-process-steward SELECT AppRoutes",
    "IsWriteCommand": false,
    "IsUnrestricted": true,
    "PrincipalIsAdmin": true,
    "IsUnrestrictedNonAdminGrant": false,
    "IsUnwitnessedWrite": false,
    "DenialTestCount": 0
   },
   {
    "AccessPolicyId": "pol-processsteward-attestations-select",
    "Principal": "principal-process-steward",
    "TargetTable": "Attestations",
    "Command": "SELECT",
    "RowPredicate": "",
    "CheckPredicate": "",
    "Rationale": "Full read: this principal is a declared administrator.",
    "ReferencesInference": false,
    "SemanticTypeIri": "urn:effortless:pko-extension#AccessPolicy",
    "Name": "principal-process-steward SELECT Attestations",
    "IsWriteCommand": false,
    "IsUnrestricted": true,
    "PrincipalIsAdmin": true,
    "IsUnrestrictedNonAdminGrant": false,
    "IsUnwitnessedWrite": false,
    "DenialTestCount": 0
   },
   {
    "AccessPolicyId": "pol-processsteward-authority_boundaries-select",
    "Principal": "principal-process-steward",
    "TargetTable": "AuthorityBoundaries",
    "Command": "SELECT",
    "RowPredicate": "",
    "CheckPredicate": "",
    "Rationale": "Full read: this principal is a declared administrator.",
    "ReferencesInference": false,
    "SemanticTypeIri": "urn:effortless:pko-extension#AccessPolicy",
    "Name": "principal-process-steward SELECT AuthorityBoundaries",
    "IsWriteCommand": false,
    "IsUnrestricted": true,
    "PrincipalIsAdmin": true,
    "IsUnrestrictedNonAdminGrant": false,
    "IsUnwitnessedWrite": false,
    "DenialTestCount": 0
   },
   {
    "AccessPolicyId": "pol-processsteward-binding_observations-select",
    "Principal": "principal-process-steward",
    "TargetTable": "BindingObservations",
    "Command": "SELECT",
    "RowPredicate": "",
    "CheckPredicate": "",
    "Rationale": "Full read: this principal is a declared administrator.",
    "ReferencesInference": false,
    "SemanticTypeIri": "urn:effortless:pko-extension#AccessPolicy",
    "Name": "principal-process-steward SELECT BindingObservations",
    "IsWriteCommand": false,
    "IsUnrestricted": true,
    "PrincipalIsAdmin": true,
    "IsUnrestrictedNonAdminGrant": false,
    "IsUnwitnessedWrite": false,
    "DenialTestCount": 0
   },
   {
    "AccessPolicyId": "pol-processsteward-change_requests-select",
    "Principal": "principal-process-steward",
    "TargetTable": "ChangeRequests",
    "Command": "SELECT",
    "RowPredicate": "",
    "CheckPredicate": "",
    "Rationale": "Full read: this principal is a declared administrator.",
    "ReferencesInference": false,
    "SemanticTypeIri": "urn:effortless:pko-extension#AccessPolicy",
    "Name": "principal-process-steward SELECT ChangeRequests",
    "IsWriteCommand": false,
    "IsUnrestricted": true,
    "PrincipalIsAdmin": true,
    "IsUnrestrictedNonAdminGrant": false,
    "IsUnwitnessedWrite": false,
    "DenialTestCount": 0
   },
   {
    "AccessPolicyId": "pol-processsteward-communication_policies-select",
    "Principal": "principal-process-steward",
    "TargetTable": "CommunicationPolicies",
    "Command": "SELECT",
    "RowPredicate": "",
    "CheckPredicate": "",
    "Rationale": "Full read: this principal is a declared administrator.",
    "ReferencesInference": false,
    "SemanticTypeIri": "urn:effortless:pko-extension#AccessPolicy",
    "Name": "principal-process-steward SELECT CommunicationPolicies",
    "IsWriteCommand": false,
    "IsUnrestricted": true,
    "PrincipalIsAdmin": true,
    "IsUnrestrictedNonAdminGrant": false,
    "IsUnwitnessedWrite": false,
    "DenialTestCount": 0
   },
   {
    "AccessPolicyId": "pol-processsteward-communities_of_practice-select",
    "Principal": "principal-process-steward",
    "TargetTable": "CommunitiesOfPractice",
    "Command": "SELECT",
    "RowPredicate": "",
    "CheckPredicate": "",
    "Rationale": "Full read: this principal is a declared administrator.",
    "ReferencesInference": false,
    "SemanticTypeIri": "urn:effortless:pko-extension#AccessPolicy",
    "Name": "principal-process-steward SELECT CommunitiesOfPractice",
    "IsWriteCommand": false,
    "IsUnrestricted": true,
    "PrincipalIsAdmin": true,
    "IsUnrestrictedNonAdminGrant": false,
    "IsUnwitnessedWrite": false,
    "DenialTestCount": 0
   },
   {
    "AccessPolicyId": "pol-processsteward-delivered_communications-select",
    "Principal": "principal-process-steward",
    "TargetTable": "DeliveredCommunications",
    "Command": "SELECT",
    "RowPredicate": "",
    "CheckPredicate": "",
    "Rationale": "Full read: this principal is a declared administrator.",
    "ReferencesInference": false,
    "SemanticTypeIri": "ur</t>
  </si>
  <si>
    <t xml:space="preserve">n:effortless:pko-extension#AccessPolicy",
    "Name": "principal-process-steward SELECT DeliveredCommunications",
    "IsWriteCommand": false,
    "IsUnrestricted": true,
    "PrincipalIsAdmin": true,
    "IsUnrestrictedNonAdminGrant": false,
    "IsUnwitnessedWrite": false,
    "DenialTestCount": 0
   },
   {
    "AccessPolicyId": "pol-processsteward-elicitation_sessions-select",
    "Principal": "principal-process-steward",
    "TargetTable": "ElicitationSessions",
    "Command": "SELECT",
    "RowPredicate": "",
    "CheckPredicate": "",
    "Rationale": "Full read: this principal is a declared administrator.",
    "ReferencesInference": false,
    "SemanticTypeIri": "urn:effortless:pko-extension#AccessPolicy",
    "Name": "principal-process-steward SELECT ElicitationSessions",
    "IsWriteCommand": false,
    "IsUnrestricted": true,
    "PrincipalIsAdmin": true,
    "IsUnrestrictedNonAdminGrant": false,
    "IsUnwitnessedWrite": false,
    "DenialTestCount": 0
   },
   {
    "AccessPolicyId": "pol-processsteward-errors-select",
    "Principal": "principal-process-steward",
    "TargetTable": "Errors",
    "Command": "SELECT",
    "RowPredicate": "",
    "CheckPredicate": "",
    "Rationale": "Full read: this principal is a declared administrator.",
    "ReferencesInference": false,
    "SemanticTypeIri": "urn:effortless:pko-extension#AccessPolicy",
    "Name": "principal-process-steward SELECT Errors",
    "IsWriteCommand": false,
    "IsUnrestricted": true,
    "PrincipalIsAdmin": true,
    "IsUnrestrictedNonAdminGrant": false,
    "IsUnwitnessedWrite": false,
    "DenialTestCount": 0
   },
   {
    "AccessPolicyId": "pol-processsteward-evaluation_contexts-select",
    "Principal": "principal-process-steward",
    "TargetTable": "EvaluationContexts",
    "Command": "SELECT",
    "RowPredicate": "",
    "CheckPredicate": "",
    "Rationale": "Full read: this principal is a declared administrator.",
    "ReferencesInference": false,
    "SemanticTypeIri": "urn:effortless:pko-extension#AccessPolicy",
    "Name": "principal-process-steward SELECT EvaluationContexts",
    "IsWriteCommand": false,
    "IsUnrestricted": true,
    "PrincipalIsAdmin": true,
    "IsUnrestrictedNonAdminGrant": false,
    "IsUnwitnessedWrite": false,
    "DenialTestCount": 0
   },
   {
    "AccessPolicyId": "pol-processsteward-exception_invocations-select",
    "Principal": "principal-process-steward",
    "TargetTable": "ExceptionInvocations",
    "Command": "SELECT",
    "RowPredicate": "",
    "CheckPredicate": "",
    "Rationale": "Full read: this principal is a declared administrator.",
    "ReferencesInference": false,
    "SemanticTypeIri": "urn:effortless:pko-extension#AccessPolicy",
    "Name": "principal-process-steward SELECT ExceptionInvocations",
    "IsWriteCommand": false,
    "IsUnrestricted": true,
    "PrincipalIsAdmin": true,
    "IsUnrestrictedNonAdminGrant": false,
    "IsUnwitnessedWrite": false,
    "DenialTestCount": 0
   },
   {
    "AccessPolicyId": "pol-processsteward-exceptions-select",
    "Principal": "principal-process-steward",
    "TargetTable": "Exceptions",
    "Command": "SELECT",
    "RowPredicate": "",
    "CheckPredicate": "",
    "Rationale": "Full read: this principal is a declared administrator.",
    "ReferencesInference": false,
    "SemanticTypeIri": "urn:effortless:pko-extension#AccessPolicy",
    "Name": "principal-process-steward SELECT Exceptions",
    "IsWriteCommand": false,
    "IsUnrestricted": true,
    "PrincipalIsAdmin": true,
    "IsUnrestrictedNonAdminGrant": false,
    "IsUnwitnessedWrite": false,
    "DenialTestCount": 0
   },
   {
    "AccessPolicyId": "pol-processsteward-explanations-select",
    "Principal": "principal-process-steward",
    "TargetTable": "Explanations",
    "Command": "SELECT",
    "RowPredicate": "",
    "CheckPredicate": "",
    "Rationale": "Full read: this principal is a declared administrator.",
    "ReferencesInference": false,
    "SemanticTypeIri": "urn:effortless:pko-extension#AccessPolicy",
    "Name": "principal-process-steward SELECT Explanations",
    "IsWriteCommand": false,
    "IsUnrestricted": true,
    "PrincipalIsAdmin": true,
    "IsUnrestrictedNonAdminGrant": false,
    "IsUnwitnessedWrite": false,
    "DenialTestCount": 0
   },
   {
    "AccessPolicyId": "pol-processsteward-functions-select",
    "Principal": "principal-process-steward",
    "TargetTable": "Functions",
    "Command": "SELECT",
    "RowPredicate": "",
    "CheckPredicate": "",
    "Rationale": "Full read: this principal is a declared administrator.",
    "ReferencesInference": false,
    "SemanticTypeIri": "urn:effortless:pko-extension#AccessPolicy",
    "Name": "principal-process-steward SELECT Functions",
    "IsWriteCommand": false,
    "IsUnrestricted": true,
    "PrincipalIsAdmin": true,
    "IsUnrestrictedNonAdminGrant": false,
    "IsUnwitnessedWrite": false,
    "DenialTestCount": 0
   },
   {
    "AccessPolicyId": "pol-processsteward-issue_occurrences-select",
    "Principal": "principal-process-steward",
    "TargetTable": "IssueOccurrences",
    "Command": "SELECT",
    "RowPredicate": "",
    "CheckPredicate": "",
    "Rationale": "Full read: this principal is a declared administrator.",
    "ReferencesInference": false,
    "SemanticTypeIri": "urn:effortless:pko-extension#AccessPolicy",
    "Name": "principal-process-steward SELECT IssueOccurrences",
    "IsWriteCommand": false,
    "IsUnrestricted": true,
    "PrincipalIsAdmin": true,
    "IsUnrestrictedNonAdminGrant": false,
    "IsUnwitnessedWrite": false,
    "DenialTestCount": 0
   },
   {
    "AccessPolicyId": "pol-processsteward-knowledge_fragments-select",
    "Principal": "principal-process-steward",
    "TargetTable": "KnowledgeFragments",
    "Command": "SELECT",
    "RowPredicate": "",
    "CheckPredicate": "",
    "Rationale": "Full read: this principal is a declared administrator.",
    "ReferencesInference": false,
    "SemanticTypeIri": "urn:effortless:pko-extension#AccessPolicy",
    "Name": "principal-process-steward SELECT KnowledgeFragments",
    "IsWriteCommand": false,
    "IsUnrestricted": true,
    "PrincipalIsAdmin": true,
    "IsUnrestrictedNonAdminGrant": false,
    "IsUnwitnessedWrite": false,
    "DenialTestCount": 0
   },
   {
    "AccessPolicyId": "pol-processsteward-knowledge_gaps-select",
    "Principal": "principal-process-steward",
    "TargetTable": "KnowledgeGaps",
    "Command": "SELECT",
    "RowPredicate": "",
    "CheckPredicate": "",
    "Rationale": "Full read: this principal is a declared administrator.",
    "ReferencesInference": false,
    "SemanticTypeIri": "urn:effortless:pko-extension#AccessPolicy",
    "Name": "principal-process-steward SELECT KnowledgeGaps",
    "IsWriteCommand": false,
    "IsUnrestricted": true,
    "PrincipalIsAdmin": true,
    "IsUnrestrictedNonAdminGrant": false,
    "IsUnwitnessedWrite": false,
    "DenialTestCount": 0
   },
   {
    "AccessPolicyId": "pol-processsteward-learning_activities-select",
    "Principal": "principal-process-steward",
    "TargetTable": "LearningActivities",
    "Command": "SELECT",
    "RowPredicate": "",
    "CheckPredicate": "",
    "Rationale": "Full read: this principal is a declared administrator.",
    "ReferencesInference": false,
    "SemanticTypeIri": "urn:effortless:pko-extension#AccessPolicy",
    "Name": "principal-process-steward SELECT LearningActivities",
    "IsWriteCommand": false,
    "IsUnrestricted": true,
    "PrincipalIsAdmin": true,
    "IsUnrestrictedNonAdminGrant": false,
    "IsUnwitnessedWrite": false,
    "DenialTestCount": 0
   },
   {
    "AccessPolicyId": "pol-processsteward-mentorships-select",
    "Principal": "principal-process-steward",
    "TargetTable": "Mentorships",
    "Command": "SELECT",
    "RowPredicate": "",
    "CheckPredicate": "",
    "Rationale": "Full read: this principal is a declared administrator.",
    "ReferencesInference": false,
    "SemanticTypeIri": "urn:effortless:pko-extension#AccessPolicy",
    "Name": "principal-process-steward SELECT Mentorships",
    "IsWriteCommand": false,
    "IsUnrestricted": true,
    "PrincipalIsAdmin": true,
    "IsUnrestrictedNonAdminGrant": false,
    "IsUnwitnessedWrite": false,
    "DenialTestCount": 0
   },
   {
    "AccessPolicyId": "pol-processsteward-message_deliveries-select",
    "Principal": "principal-process-steward",
    "TargetTable": "MessageDeliveries",
    "Command": "SELECT",
    "RowPredicate": "",
    "CheckPredicate": "",
    "Rationale": "Full read: this principal is a declared administrator.",
    "ReferencesInference": false,
    "SemanticTypeIri": "urn:effortless:pko-extension#AccessPolicy",
    "Name": "principal-process-steward SELECT MessageDeliveries",
    "IsWriteCommand": false,
    "IsUnrestricted": true,
    "PrincipalIsAdmin": true,
    "IsUnrestrictedNonAdminGrant": false,
    "IsUnwitnessedWrite": false,
    "DenialTestCount": 0
   },
   {
    "AccessPolicyId": "pol-processsteward-message_templates-select",
    "Principal": "principal-process-steward",
    "TargetTable": "MessageTemplates",
    "Command": "SELECT",
    "RowPredicate": "",
    "CheckPredicate": "",
    "Rationale": "Full read: this principal is a declared administrator.",
    "ReferencesInference": false,
    "SemanticTypeIri": "urn:effortless:pko-extension#AccessPolicy",
    "Name": "principal-process-steward SELECT MessageTemplates",
    "IsWriteCommand": false,
    "IsUnrestricted": true,
    "PrincipalIsAdmin": true,
    "IsUnrestrictedNonAdminGrant": false,
    "IsUnwitnessedWrite": false,
    "DenialTestCount": 0
   },
   {
    "AccessPolicyId": "pol-processsteward-observed_transitions-select",
    "Principal": "principal-process-steward",
    "TargetTable": "ObservedTransitions",
    "Command": "SELECT",
    "RowPredicate": "",
    "CheckPredicate": "",
    "Rationale": "Full read: this principal is a declared administrator.",
    "ReferencesInference": false,
    "SemanticTypeIri": "urn:effortless:pko-extension#AccessPolicy",
    "Name": "principal-process-steward SELECT ObservedTransitions",
    "IsWriteCommand": false,
    "IsUnrestricted": true,
    "PrincipalIsAdmin": true,
    "IsUnrestrictedNonAdminGrant": false,
    "IsUnwitnessedWrite": false,
    "DenialTestCount": 0
   },
   {
    "AccessPolicyId": "pol-processsteward-ontology_profiles-select",
    "Principal": "principal-process-steward",
    "TargetTable": "OntologyProfiles",
    "Command": "SELECT",
    "RowPredicate": "",
    "CheckPredicate": "",
    "Rationale": "Full read: this principal is a declared administrator.",
    "ReferencesInference": false,
    "SemanticTypeIri": "urn:effortless:pko-extension#AccessPolicy",
    "Name": "principal-process-steward SELECT OntologyProfiles",
    "IsWriteCommand": false,
    "IsUnrestricted": true,
    "PrincipalIsAdmin": true,
    "IsUnrestrictedNonAdminGrant": false,
    "IsUnwitnessedWrite": false,
    "DenialTestCount": 0
   },
   {
    "AccessPolicyId": "pol-processsteward-operational_bindings-select",
    "Principal": "principal-process-steward",
    "TargetTable": "OperationalBindings",
    "Command": "SELECT",
    "RowPredicate": "",
    "CheckPredicate": "",
    "Rationale": "Full read: this principal is a declared administrator.",
    "ReferencesInference": false,
    "SemanticTypeIri": "urn:effortless:pko-extension#AccessPolicy",
    "Name": "principal-process-steward SELECT OperationalBindings",
    "IsWriteCommand": false,
    "IsUnrestricted": true,
    "PrincipalIsAdmin": true,
    "IsUnrestrictedNonAdminGrant": false,
    "IsUnwitnessedWrite": false,
    "DenialTestCount": 0
   },
   {
    "AccessPolicyId": "pol-processsteward-organizations-select",
    "Principal": "principal-process-steward",
    "TargetTable": "Organizations",
    "Command": "SELECT",
    "RowPredicate": "",
    "CheckPredicate": "",
    "Rationale": "Full read: this principal is a declared administrator.",
    "ReferencesInference": false,
    "SemanticTypeIri": "urn:effortless:pko-extension#AccessPolicy",
    "Name": "principal-process-steward SELECT Organizations",
    "IsWriteCommand": false,
    "IsUnrestricted": true,
    "PrincipalIsAdmin": true,
    "IsUnrestrictedNonAdminGrant": false,
    "IsUnwitnessedWrite": false,
    "DenialTestCount": 0
   },
   {
    "AccessPolicyId": "pol-processsteward-procedure_executions-select",
    "Principal": "principal-process-steward",
    "TargetTable": "ProcedureExecutions",
    "Command": "SELECT",
    "RowPredicate": "",
    "CheckPredicate": "",
    "Rationale": "Full read: this principal is a declared administrator.",
    "ReferencesInference": false,
    "SemanticTypeIri": "urn:effortless:pko-extension#AccessPolicy",
    "Name": "principal-process-steward SELECT ProcedureExecutions",
    "IsWriteCommand": false,
    "IsUnrestricted": true,
    "PrincipalIsAdmin": true,
    "IsUnrestrictedNonAdminGrant": false,
    "IsUnwitnessedWrite": false,
    "DenialTestCount": 0
   },
   {
    "AccessPolicyId": "pol-processsteward-procedure_resources-select",
    "Principal": "principal-process-steward",
    "TargetTable": "ProcedureResources",
    "Command": "SELECT",
    "RowPredicate": "",
    "CheckPredicate": "",
    "Rationale": "Full read: this principal is a declared administrator.",
    "ReferencesInference": false,
    "SemanticTypeIri": "urn:effortless:pko-extension#AccessPolicy",
    "Name": "principal-process-steward SELECT ProcedureResources",
    "IsWriteCommand": false,
    "IsUnrestricted": true,
    "PrincipalIsAdmin": true,
    "IsUnrestrictedNonAdminGrant": false,
    "IsUnwitnessedWrite": false,
    "DenialTestCount": 0
   },
   {
    "AccessPolicyId": "pol-processsteward-procedure_status_changes-select",
    "Principal": "principal-process-steward",
    "TargetTable": "ProcedureStatusChanges",
    "Command": "SELECT",
    "RowPredicate": "",
    "CheckPredicate": "",
    "Rationale": "Full read: this principal is a declared administrator.",
    "ReferencesInference": false,
    "SemanticTypeIri": "urn:effortless:pko-extension#AccessPolicy",
    "Name": "principal-process-steward SELECT ProcedureStatusChanges",
    "IsWriteCommand": false,
    "IsUnrestricted": true,
    "PrincipalIsAdmin": true,
    "IsUnrestrictedNonAdminGrant": false,
    "IsUnwitnessedWrite": false,
    "DenialTestCount": 0
   },
   {
    "AccessPolicyId": "pol-processsteward-procedure_types-select",
    "Principal": "principal-process-steward",
    "TargetTable": "ProcedureTypes",
    "Command": "SELECT",
    "RowPredicate": "",
    "CheckPredicate": "",
    "Rationale": "Full read: this principal is a declared administrator.",
    "ReferencesInference": false,
    "SemanticTypeIri": "urn:effortless:pko-extension#AccessPolicy",
    "Name": "principal-process-steward SELECT ProcedureTypes",
    "IsWriteCommand": false,
    "IsUnrestricted": true,
    "PrincipalIsAdmin": true,
    "IsUnrestrictedNonAdminGrant": false,
    "IsUnwitnessedWrite": false,
    "DenialTestCount": 0
   },
   {
    "AccessPolicyId": "pol-processsteward-procedure_version_links-select",
    "Principal": "principal-process-steward",
    "TargetTable": "ProcedureVersionLinks",
    "Command": "SELECT",
    "RowPredicate": "",
    "CheckPredicate": "",
    "Rationale": "Full read: this principal is a declared administrator.",
    "ReferencesInference": false,
    "SemanticTypeIri": "urn:effortless:pko-extension#AccessPolicy",
    "Name": "principal-process-steward SELECT ProcedureVersionLinks",
    "IsWriteCommand": false,
    "IsUnrestricted": true,
    "PrincipalIsAdmin": true,
    "IsUnrestrictedNonAdminGrant": false,
    "IsUnwitnessedWrite": false,
    "DenialTestCount": 0
   },
   {
    "AccessPolicyId": "pol-processsteward-procedure_versions-select",
    "Principal": "principal-process-steward",
    "TargetTable": "ProcedureVersions",
    "Command": "SELECT",
    "RowPredicate": "",
    "CheckPredicate": "",
    "Rationale": "Full read: this principal is a declared administrator.",
    "ReferencesInference": false,
    "SemanticTypeIri": "urn:effortless:pko-extension#AccessPolicy",
    "Name": "principal-process-steward SELECT ProcedureVersions",
    "IsWriteCommand": false,
    "IsUnrestricted": true,
    "PrincipalIsAdmin": true,
    "IsUnrestrictedNonAdminGrant": false,
    "IsUnwitnessedWrite": false,
    "DenialTestCount": 0
   },
   {
    "AccessPolicyId": "pol-processsteward-procedures-select",
    "Principal": "principal-process-steward",
    "TargetTable": "Procedures",
    "Command": "SELECT",
    "RowPredicate": "",
    "CheckPredicate": "",
    "Rationale": "Full read: this principal is a declared administrator.",
    "ReferencesInference": false,
    "SemanticTypeIri": "urn:effortless:pko-extension#AccessPolicy",
    "Name": "principal-process-steward SELECT Procedures",
    "IsWriteCommand": false,
    "IsUnrestricted": true,
    "PrincipalIsAdmin": true,
    "IsUnrestrictedNonAdminGrant": false,
    "IsUnwitnessedWrite": false,
    "DenialTestCount": 0
   },
   {
    "AccessPolicyId": "pol-processsteward-rationales-select",
    "Principal": "principal-process-steward",
    "TargetTable": "Rationales",
    "Command": "SELECT",
    "RowPredicate": "",
    "CheckPredicate": "",
    "Rationale": "Full read: this principal is a declared administrator.",
    "ReferencesInference": false,
    "SemanticTypeIri": "urn:effortless:pko-extension#AccessPolicy",
    "Name": "principal-process-steward SELECT Rationales",
    "IsWriteCommand": false,
    "IsUnrestricted": true,
    "PrincipalIsAdmin": true,
    "IsUnrestrictedNonAdminGrant": false,
    "IsUnwitnessedWrite": false,
    "DenialTestCount": 0
   },
   {
    "AccessPolicyId": "pol-processsteward-recipients-select",
    "Principal": "principal-process-steward",
    "TargetTable": "Recipients",
    "Command": "SELECT",
    "RowPredicate": "",
    "CheckPredicate": "",
    "Rationale": "Full read: this principal is a declared administrator.",
    "ReferencesInference": false,
    "SemanticTypeIri": "urn:effortless:pko-extension#AccessPolicy",
    "Name": "principal-process-steward SELECT Recipients",
    "IsWriteCommand": false,
    "IsUnrestricted": true,
    "PrincipalIsAdmin": true,
    "IsUnrestrictedNonAdminGrant": false,
    "IsUnwitnessedWrite": false,
    "DenialTestCount": 0
   },
   {
    "AccessPolicyId": "pol-processsteward-requirement_satisfactions-select",
    "Principal": "principal-process-steward",
    "TargetTable": "RequirementSatisfactions",
    "Command": "SELECT",
    "RowPredicate": "",
    "CheckPredicate": "",
    "Rationale": "Full read: this principal is a declared administrator.",
    "ReferencesInference": false,
    "SemanticTypeIri": "urn:effortless:pko-extension#AccessPolicy",
    "Name": "principal-process-steward SELECT RequirementSatisfactions",
    "IsWriteCommand": false,
    "IsUnrestricted": true,
    "PrincipalIsAdmin": true,
    "IsUnrestrictedNonAdminGrant": false,
    "IsUnwitnessedWrite": false,
    "DenialTestCount": 0
   },
   {
    "AccessPolicyId": "pol-processsteward-requirements-select",
    "Principal": "principal-process-steward",
    "TargetTable": "Requirements",
    "Command": "SELECT",
    "RowPredicate": "",
    "CheckPredicate": "",
    "Rationale": "Full read: this principal is a declared administrator.",
    "ReferencesInference": false,
    "SemanticTypeIri": "urn:effortless:pko-extension#AccessPolicy",
    "Name": "principal-process-steward SELECT Requirements",
    "IsWriteCommand": false,
    "IsUnrestricted": true,
    "PrincipalIsAdmin": true,
    "IsUnrestrictedNonAdminGrant": false,
    "IsUnwitnessedWrite": false,
    "DenialTestCount": 0
   },
   {
    "AccessPolicyId": "pol-processsteward-resources-select",
    "Principal": "principal-process-steward",
    "TargetTable": "Resources",
    "Command": "SELECT",
    "RowPredicate": "",
    "CheckPredicate": "",
    "Rationale": "Full read: this principal is a declared administrator.",
    "ReferencesInference": false,
    "SemanticTypeIri": "urn:effortless:pko-extension#AccessPolicy",
    "Name": "principal-process-steward SELECT Resources",
    "IsWriteCommand": false,
    "IsUnrestricted": true,
    "PrincipalIsAdmin": true,
    "IsUnrestrictedNonAdminGrant": false,
    "IsUnwitnessedWrite": false,
    "DenialTestCount": 0
   },
   {
    "AccessPolicyId": "pol-processsteward-review_events-select",
    "Principal": "principal-process-steward",
    "TargetTable": "ReviewEvents",
    "Command": "SELECT",
    "RowPredicate": "",
    "CheckPredicate": "",
    "Rationale": "Full read: this principal is a declared administrator.",
    "ReferencesInference": false,
    "SemanticTypeIri": "urn:effortless:pko-extension#AccessPolicy",
    "Name": "principal-process-steward SELECT ReviewEvents",
    "IsWriteCommand": false,
    "IsUnrestricted": true,
    "PrincipalIsAdmin": true,
    "IsUnrestrictedNonAdminGrant": false,
    "IsUnwitnessedWrite": false,
    "DenialTestCount": 0
   },
   {
    "AccessPolicyId": "pol-processsteward-role_assignments-select",
    "Principal": "principal-process-steward",
    "TargetTable": "RoleAssignments",
    "Command": "SELECT",
    "RowPredicate": "",
    "CheckPredicate": "",
    "Rationale": "Full read: this principal is a declared administrator.",
    "ReferencesInference": false,
    "SemanticTypeIri": "urn:effortless:pko-extension#AccessPolicy",
    "Name": "principal-process-steward SELECT RoleAssignments",
    "IsWriteCommand": false,
    "IsUnrestricted": true,
    "PrincipalIsAdmin": true,
    "IsUnrestrictedNonAdminGrant": false,
    "IsUnwitnessedWrite": false,
    "DenialTestCount": 0
   },
   {
    "AccessPolicyId": "pol-processsteward-role_questions-select",
    "Principal": "principal-process-steward",
    "TargetTable": "RoleQuestions",
    "Command": "SELECT",
    "RowPredicate": "",
    "CheckPredicate": "",
    "Rationale": "Full read: this principal is a declared administrator.",
    "ReferencesInference": false,
    "SemanticTypeIri": "urn:effortless:pko-extension#AccessPolicy",
    "Name": "principal-process-steward SELECT RoleQuestions",
    "IsWriteCommand": false,
    "IsUnrestricted": true,
    "PrincipalIsAdmin": true,
    "IsUnrestrictedNonAdminGrant": false,
    "IsUnwitnessedWrite": false,
    "DenialTestCount": 0
   },
   {
    "AccessPolicyId": "pol-processsteward-roles-select",
    "Principal": "principal-process-steward",
    "TargetTable": "Roles",
    "Command": "SELECT",
    "RowPredicate": "",
    "CheckPredicate": "",
    "Rationale": "Full read: this principal is a declared administrator.",
    "ReferencesInference": false,
    "SemanticTypeIri": "urn:effortless:pko-extension#AccessPolicy",
    "Name": "principal-process-steward SELECT Roles",
    "IsWriteCommand": false,
    "IsUnrestricted": true,
    "PrincipalIsAdmin": true,
    "IsUnrestrictedNonAdminGrant": false,
    "IsUnwitnessedWrite": false,
    "DenialTestCount": 0
   },
   {
    "AccessPolicyId": "pol-processsteward-rulebook_fields-select",
    "Principal": "principal-process-steward",
    "TargetTable": "RulebookFields",
    "Command": "SELECT",
    "RowPredicate": "",
    "CheckPredicate": "",
    "Rationale": "Full read: this principal is a declared administrator.",
    "ReferencesInference": false,
    "SemanticTypeIri": "urn:effortless:pko-extension#AccessPolicy",
    "Name": "principal-process-steward SELECT RulebookFields",
    "IsWriteCommand": false,
    "IsUnrestricted": true,
    "PrincipalIsAdmin": true,
    "IsUnrestrictedNonAdminGrant": false,
    "IsUnwitnessedWrite": false,
    "DenialTestCount": 0
   },
   {
    "AccessPolicyId": "pol-processsteward-rulebook_releases-select",
    "Principal": "principal-process-steward",
    "TargetTable": "RulebookReleases",
    "Command": "SELECT",
    "RowPredicate": "",
    "CheckPredicate": "",
    "Rationale": "Full read: this principal is a declared administrator.",
    "ReferencesInference": false,
    "SemanticTypeIri": "urn:effortless:pko-extension#AccessPolicy",
    "Name": "principal-process-steward SELECT RulebookReleases",
    "IsWriteCommand": false,
    "IsUnrestricted": true,
    "PrincipalIsAdmin": true,
    "IsUnrestrictedNonAdminGrant": false,
    "IsUnwitnessedWrite": false,
    "DenialTestCount": 0
   },
   {
    "AccessPolicyId": "pol-processsteward-semantic_mappings-select",
    "Principal": "principal-process-steward",
    "TargetTable": "SemanticMappings",
    "Command": "SELECT",
    "RowPredicate": "",
    "CheckPredicate": "",
    "Rationale": "Full read: this principal is a declared administrator.",
    "ReferencesInference": false,
    "SemanticTypeIri": "urn:effortless:pko-extension#AccessPolicy",
    "Name": "principal-process-steward SELECT SemanticMappings",
    "IsWriteCommand": false,
    "IsUnrestricted": true,
    "PrincipalIsAdmin": true,
    "IsUnrestrictedNonAdminGrant": false,
    "IsUnwitnessedWrite": false,
    "DenialTestCount": 0
   },
   {
    "AccessPolicyId": "pol-processsteward-send_intents-select",
    "Principal": "principal-process-steward",
    "TargetTable": "SendIntents",
    "Command": "SELECT",
    "RowPredicate": "",
    "CheckPredicate": "",
    "Rationale": "Full read: this principal is a declared administrator.",
    "ReferencesInference": false,
    "SemanticTypeIri": "urn:effortless:pko-extension#AccessPolicy",
    "Name": "principal-process-steward SELECT SendIntents",
    "IsWriteCommand": false,
    "IsUnrestricted": true,
    "PrincipalIsAdmin": true,
    "IsUnrestrictedNonAdminGrant": false,
    "IsUnwitnessedWrite": false,
    "DenialTestCount": 0
   },
   {
    "AccessPolicyId": "pol-processsteward-step_actions-select",
    "Principal": "principal-process-steward",
    "TargetTable": "StepActions",
    "Command": "SELECT",
    "RowPredicate": "",
    "CheckPredicate": "",
    "Rationale": "Full read: this principal is a declared administrator.",
    "ReferencesInference": false,
    "SemanticTypeIri": "urn:effortless:pko-extension#AccessPolicy",
    "Name": "principal-process-steward SELECT StepActions",
    "IsWriteCommand": false,
    "IsUnrestricted": true,
    "PrincipalIsAdmin": true,
    "IsUnrestrictedNonAdminGrant": false,
    "IsUnwitnessedWrite": false,
    "DenialTestCount": 0
   },
   {
    "AccessPolicyId": "pol-processsteward-step_executions-select",
    "Principal": "principal-process-steward",
    "TargetTable": "StepExecutions",
    "Command": "SELECT",
    "RowPredicate": "",
    "CheckPredicate": "",
    "Rationale": "Full read: this principal is a declared administrator.",
    "ReferencesInference": false,
    "SemanticTypeIri": "urn:effortless:pko-extension#AccessPolicy",
    "Name": "principal-process-steward SELECT StepExecutions",
    "IsWriteCommand": false,
    "IsUnrestricted": true,
    "PrincipalIsAdmin": true,
    "IsUnrestrictedNonAdminGrant": false,
    "IsUnwitnessedWrite": false,
    "DenialTestCount": 0
   },
   {
    "AccessPolicyId": "pol-processsteward-step_functions-select",
    "Principal": "principal-process-steward",
    "TargetTable": "StepFunctions",
    "Command": "SELECT",
    "RowPredicate": "",
    "CheckPredicate": "",
    "Rationale": "Full read: this principal is a declared administrator.",
    "ReferencesInference": false,
    "SemanticTypeIri": "urn:effortless:pko-extension#AccessPolicy",
    "Name": "principal-process-steward SELECT StepFunctions",
    "IsWriteCommand": false,
    "IsUnrestricted": true,
    "PrincipalIsAdmin": true,
    "IsUnrestrictedNonAdminGrant": false,
    "IsUnwitnessedWrite": false,
    "DenialTestCount": 0
   },
   {
    "AccessPolicyId": "pol-processsteward-step_requirements-select",
    "Principal": "principal-process-steward",
    "TargetTable": "StepRequirements",
    "Command": "SELECT",
    "RowPredicate": "",
    "CheckPredicate": "",
    "Rationale": "Full read: this principal is a declared administrator.",
    "ReferencesInference": false,
    "SemanticTypeIri": "urn:effortless:pko-extension#AccessPolicy",
    "Name": "principal-process-steward SELECT StepRequirements",
    "IsWriteCommand": false,
    "IsUnrestricted": true,
    "PrincipalIsAdmin": true,
    "IsUnrestrictedNonAdminGrant": false,
    "IsUnwitnessedWrite": false,
    "DenialTestCount": 0
   },
   {
    "AccessPolicyId": "pol-processsteward-step_tools-select",
    "Principal": "principal-process-steward",
    "TargetTable": "StepTools",
    "Command": "SELECT",
    "RowPredicate": "",
    "CheckPredicate": "",
    "Rationale": "Full read: this principal is a declared administrator.",
    "ReferencesInference": false,
    "SemanticTypeIri": "urn:effortless:pko-extension#AccessPolicy",
    "Name": "principal-process-steward SELECT StepTools",
    "IsWriteCommand": false,
    "IsUnrestricted": true,
    "PrincipalIsAdmin": true,
    "IsUnrestrictedNonAdminGrant": false,
    "IsUnwitnessedWrite": false,
    "DenialTestCount": 0
   },
   {
    "AccessPolicyId": "pol-processsteward-step_transitions-select",
    "Principal": "principal-process-steward",
    "TargetTable": "StepTransitions",
    "Command": "SELECT",
    "RowPredicate": "",
    "CheckPredicate": "",
    "Rationale": "Full read: this principal is a declared administrator.",
    "ReferencesInference": false,
    "SemanticTypeIri": "urn:effortless:pko-extension#AccessPolicy",
    "Name": "principal-process-steward SELECT StepTransitions",
    "IsWriteCommand": false,
    "IsUnrestricted": true,
    "PrincipalIsAdmin": true,
    "IsUnrestrictedNonAdminGrant": false,
    "IsUnwitnessedWrite": false,
    "DenialTestCount": 0
   },
   {
    "AccessPolicyId": "pol-processsteward-step_verifications-select",
    "Principal": "principal-process-steward",
    "TargetTable": "StepVerifications",
    "Command": "SELECT",
    "RowPredicate": "",
    "CheckPredicate": "",
    "Rationale": "Full read: this principal is a declared administrator.",
    "ReferencesInference": false,
    "SemanticTypeIri": "urn:effortless:pko-extension#AccessPolicy",
    "Name": "principal-process-steward SELECT StepVerifications",
    "IsWriteCommand": false,
    "IsUnrestricted": true,
    "PrincipalIsAdmin": true,
    "IsUnrestrictedNonAdminGrant": false,
    "IsUnwitnessedWrite": false,
    "DenialTestCount": 0
   },
   {
    "AccessPolicyId": "pol-processsteward-steps-select",
    "Principal": "principal-process-steward",
    "TargetTable": "Steps",
    "Command": "SELECT",
    "RowPredicate": "",
    "CheckPredicate": "",
    "Rationale": "Full read: this principal is a declared administrator.",
    "ReferencesInference": false,
    "SemanticTypeIri": "urn:effortless:pko-extension#AccessPolicy",
    "Name": "principal-process-steward SELECT Steps",
    "IsWriteCommand": false,
    "IsUnrestricted": true,
    "PrincipalIsAdmin": true,
    "IsUnrestrictedNonAdminGrant": false,
    "IsUnwitnessedWrite": false,
    "DenialTestCount": 0
   },
   {
    "AccessPolicyId": "pol-processsteward-stewardship_assignments-select",
    "Principal": "principal-process-steward",
    "TargetTable": "StewardshipAssignments",
    "Command": "SELECT",
    "RowPredicate": "",
    "CheckPredicate": "",
    "Rationale": "Full read: this principal is a declared administrator.",
    "ReferencesInference": false,
    "SemanticTypeIri": "urn:effortless:pko-extension#AccessPolicy",
    "Name": "principal-process-steward SELECT StewardshipAssignments",
    "IsWriteCommand": false,
    "IsUnrestricted": true,
    "PrincipalIsAdmin": true,
    "IsUnrestrictedNonAdminGrant": false,
    "IsUnwitnessedWrite": false,
    "DenialTestCount": 0
   },
   {
    "AccessPolicyId": "pol-processsteward-template_approvals-select",
    "Principal": "principal-process-steward",
    "TargetTable": "TemplateApprovals",
    "Command": "SELECT",
    "RowPredicate": "",
    "CheckPredicate": "",
    "Rationale": "Full read: this principal is a declared administrator.",
    "ReferencesInference": false,
    "SemanticTypeIri": "urn:effortless:pko-extension#AccessPolicy",
    "Name": "principal-process-steward SELECT TemplateApprovals",
    "IsWriteCommand": false,
    "IsUnrestricted": true,
    "PrincipalIsAdmin": true,
    "IsUnrestrictedNonAdminGrant": false,
    "IsUnwitnessedWrite": false,
    "DenialTestCount": 0
   },
   {
    "AccessPolicyId": "pol-processsteward-test_cases-select",
    "Principal": "principal-process-steward",
    "TargetTable": "TestCases",
    "Command": "SELECT",
    "RowPredicate": "",
    "CheckPredicate": "",
    "Rationale": "Full read: this principal is a declared administrator.",
    "ReferencesInference": false,
    "SemanticTypeIri": "urn:effortless:pko-extension#AccessPolicy",
    "Name": "principal-process-steward SELECT TestCases",
    "IsWriteCommand": false,
    "IsUnrestricted": true,
    "PrincipalIsAdmin": true,
    "IsUnrestrictedNonAdminGra</t>
  </si>
  <si>
    <t xml:space="preserve">nt": false,
    "IsUnwitnessedWrite": false,
    "DenialTestCount": 0
   },
   {
    "AccessPolicyId": "pol-processsteward-test_suites-select",
    "Principal": "principal-process-steward",
    "TargetTable": "TestSuites",
    "Command": "SELECT",
    "RowPredicate": "",
    "CheckPredicate": "",
    "Rationale": "Full read: this principal is a declared administrator.",
    "ReferencesInference": false,
    "SemanticTypeIri": "urn:effortless:pko-extension#AccessPolicy",
    "Name": "principal-process-steward SELECT TestSuites",
    "IsWriteCommand": false,
    "IsUnrestricted": true,
    "PrincipalIsAdmin": true,
    "IsUnrestrictedNonAdminGrant": false,
    "IsUnwitnessedWrite": false,
    "DenialTestCount": 0
   },
   {
    "AccessPolicyId": "pol-processsteward-tools-select",
    "Principal": "principal-process-steward",
    "TargetTable": "Tools",
    "Command": "SELECT",
    "RowPredicate": "",
    "CheckPredicate": "",
    "Rationale": "Full read: this principal is a declared administrator.",
    "ReferencesInference": false,
    "SemanticTypeIri": "urn:effortless:pko-extension#AccessPolicy",
    "Name": "principal-process-steward SELECT Tools",
    "IsWriteCommand": false,
    "IsUnrestricted": true,
    "PrincipalIsAdmin": true,
    "IsUnrestrictedNonAdminGrant": false,
    "IsUnwitnessedWrite": false,
    "DenialTestCount": 0
   },
   {
    "AccessPolicyId": "pol-processsteward-user_feedback-select",
    "Principal": "principal-process-steward",
    "TargetTable": "UserFeedback",
    "Command": "SELECT",
    "RowPredicate": "",
    "CheckPredicate": "",
    "Rationale": "Full read: this principal is a declared administrator.",
    "ReferencesInference": false,
    "SemanticTypeIri": "urn:effortless:pko-extension#AccessPolicy",
    "Name": "principal-process-steward SELECT UserFeedback",
    "IsWriteCommand": false,
    "IsUnrestricted": true,
    "PrincipalIsAdmin": true,
    "IsUnrestrictedNonAdminGrant": false,
    "IsUnwitnessedWrite": false,
    "DenialTestCount": 0
   },
   {
    "AccessPolicyId": "pol-processsteward-user_questions-select",
    "Principal": "principal-process-steward",
    "TargetTable": "UserQuestions",
    "Command": "SELECT",
    "RowPredicate": "",
    "CheckPredicate": "",
    "Rationale": "Full read: this principal is a declared administrator.",
    "ReferencesInference": false,
    "SemanticTypeIri": "urn:effortless:pko-extension#AccessPolicy",
    "Name": "principal-process-steward SELECT UserQuestions",
    "IsWriteCommand": false,
    "IsUnrestricted": true,
    "PrincipalIsAdmin": true,
    "IsUnrestrictedNonAdminGrant": false,
    "IsUnwitnessedWrite": false,
    "DenialTestCount": 0
   },
   {
    "AccessPolicyId": "pol-processsteward-verification_outcomes-select",
    "Principal": "principal-process-steward",
    "TargetTable": "VerificationOutcomes",
    "Command": "SELECT",
    "RowPredicate": "",
    "CheckPredicate": "",
    "Rationale": "Full read: this principal is a declared administrator.",
    "ReferencesInference": false,
    "SemanticTypeIri": "urn:effortless:pko-extension#AccessPolicy",
    "Name": "principal-process-steward SELECT VerificationOutcomes",
    "IsWriteCommand": false,
    "IsUnrestricted": true,
    "PrincipalIsAdmin": true,
    "IsUnrestrictedNonAdminGrant": false,
    "IsUnwitnessedWrite": false,
    "DenialTestCount": 0
   },
   {
    "AccessPolicyId": "pol-processsteward-witness_loops-select",
    "Principal": "principal-process-steward",
    "TargetTable": "WitnessLoops",
    "Command": "SELECT",
    "RowPredicate": "",
    "CheckPredicate": "",
    "Rationale": "Full read: this principal is a declared administrator.",
    "ReferencesInference": false,
    "SemanticTypeIri": "urn:effortless:pko-extension#AccessPolicy",
    "Name": "principal-process-steward SELECT WitnessLoops",
    "IsWriteCommand": false,
    "IsUnrestricted": true,
    "PrincipalIsAdmin": true,
    "IsUnrestrictedNonAdminGrant": false,
    "IsUnwitnessedWrite": false,
    "DenialTestCount": 0
   },
   {
    "AccessPolicyId": "pol-knowledgeauthority-actions-select",
    "Principal": "principal-knowledge-authority",
    "TargetTable": "Actions",
    "Command": "SELECT",
    "RowPredicate": "",
    "CheckPredicate": "",
    "Rationale": "Full read: this principal is a declared administrator.",
    "ReferencesInference": false,
    "SemanticTypeIri": "urn:effortless:pko-extension#AccessPolicy",
    "Name": "principal-knowledge-authority SELECT Actions",
    "IsWriteCommand": false,
    "IsUnrestricted": true,
    "PrincipalIsAdmin": true,
    "IsUnrestrictedNonAdminGrant": false,
    "IsUnwitnessedWrite": false,
    "DenialTestCount": 0
   },
   {
    "AccessPolicyId": "pol-knowledgeauthority-agent_decision_records-select",
    "Principal": "principal-knowledge-authority",
    "TargetTable": "AgentDecisionRecords",
    "Command": "SELECT",
    "RowPredicate": "",
    "CheckPredicate": "",
    "Rationale": "Full read: this principal is a declared administrator.",
    "ReferencesInference": false,
    "SemanticTypeIri": "urn:effortless:pko-extension#AccessPolicy",
    "Name": "principal-knowledge-authority SELECT AgentDecisionRecords",
    "IsWriteCommand": false,
    "IsUnrestricted": true,
    "PrincipalIsAdmin": true,
    "IsUnrestrictedNonAdminGrant": false,
    "IsUnwitnessedWrite": false,
    "DenialTestCount": 0
   },
   {
    "AccessPolicyId": "pol-knowledgeauthority-agents-select",
    "Principal": "principal-knowledge-authority",
    "TargetTable": "Agents",
    "Command": "SELECT",
    "RowPredicate": "",
    "CheckPredicate": "",
    "Rationale": "Full read: this principal is a declared administrator.",
    "ReferencesInference": false,
    "SemanticTypeIri": "urn:effortless:pko-extension#AccessPolicy",
    "Name": "principal-knowledge-authority SELECT Agents",
    "IsWriteCommand": false,
    "IsUnrestricted": true,
    "PrincipalIsAdmin": true,
    "IsUnrestrictedNonAdminGrant": false,
    "IsUnwitnessedWrite": false,
    "DenialTestCount": 0
   },
   {
    "AccessPolicyId": "pol-knowledgeauthority-app_nav_groups-select",
    "Principal": "principal-knowledge-authority",
    "TargetTable": "AppNavGroups",
    "Command": "SELECT",
    "RowPredicate": "",
    "CheckPredicate": "",
    "Rationale": "Full read: this principal is a declared administrator.",
    "ReferencesInference": false,
    "SemanticTypeIri": "urn:effortless:pko-extension#AccessPolicy",
    "Name": "principal-knowledge-authority SELECT AppNavGroups",
    "IsWriteCommand": false,
    "IsUnrestricted": true,
    "PrincipalIsAdmin": true,
    "IsUnrestrictedNonAdminGrant": false,
    "IsUnwitnessedWrite": false,
    "DenialTestCount": 0
   },
   {
    "AccessPolicyId": "pol-knowledgeauthority-app_role_profiles-select",
    "Principal": "principal-knowledge-authority",
    "TargetTable": "AppRoleProfiles",
    "Command": "SELECT",
    "RowPredicate": "",
    "CheckPredicate": "",
    "Rationale": "Full read: this principal is a declared administrator.",
    "ReferencesInference": false,
    "SemanticTypeIri": "urn:effortless:pko-extension#AccessPolicy",
    "Name": "principal-knowledge-authority SELECT AppRoleProfiles",
    "IsWriteCommand": false,
    "IsUnrestricted": true,
    "PrincipalIsAdmin": true,
    "IsUnrestrictedNonAdminGrant": false,
    "IsUnwitnessedWrite": false,
    "DenialTestCount": 0
   },
   {
    "AccessPolicyId": "pol-knowledgeauthority-app_route_questions-select",
    "Principal": "principal-knowledge-authority",
    "TargetTable": "AppRouteQuestions",
    "Command": "SELECT",
    "RowPredicate": "",
    "CheckPredicate": "",
    "Rationale": "Full read: this principal is a declared administrator.",
    "ReferencesInference": false,
    "SemanticTypeIri": "urn:effortless:pko-extension#AccessPolicy",
    "Name": "principal-knowledge-authority SELECT AppRouteQuestions",
    "IsWriteCommand": false,
    "IsUnrestricted": true,
    "PrincipalIsAdmin": true,
    "IsUnrestrictedNonAdminGrant": false,
    "IsUnwitnessedWrite": false,
    "DenialTestCount": 0
   },
   {
    "AccessPolicyId": "pol-knowledgeauthority-app_route_references-select",
    "Principal": "principal-knowledge-authority",
    "TargetTable": "AppRouteReferences",
    "Command": "SELECT",
    "RowPredicate": "",
    "CheckPredicate": "",
    "Rationale": "Full read: this principal is a declared administrator.",
    "ReferencesInference": false,
    "SemanticTypeIri": "urn:effortless:pko-extension#AccessPolicy",
    "Name": "principal-knowledge-authority SELECT AppRouteReferences",
    "IsWriteCommand": false,
    "IsUnrestricted": true,
    "PrincipalIsAdmin": true,
    "IsUnrestrictedNonAdminGrant": false,
    "IsUnwitnessedWrite": false,
    "DenialTestCount": 0
   },
   {
    "AccessPolicyId": "pol-knowledgeauthority-app_routes-select",
    "Principal": "principal-knowledge-authority",
    "TargetTable": "AppRoutes",
    "Command": "SELECT",
    "RowPredicate": "",
    "CheckPredicate": "",
    "Rationale": "Full read: this principal is a declared administrator.",
    "ReferencesInference": false,
    "SemanticTypeIri": "urn:effortless:pko-extension#AccessPolicy",
    "Name": "principal-knowledge-authority SELECT AppRoutes",
    "IsWriteCommand": false,
    "IsUnrestricted": true,
    "PrincipalIsAdmin": true,
    "IsUnrestrictedNonAdminGrant": false,
    "IsUnwitnessedWrite": false,
    "DenialTestCount": 0
   },
   {
    "AccessPolicyId": "pol-knowledgeauthority-attestations-select",
    "Principal": "principal-knowledge-authority",
    "TargetTable": "Attestations",
    "Command": "SELECT",
    "RowPredicate": "",
    "CheckPredicate": "",
    "Rationale": "Full read: this principal is a declared administrator.",
    "ReferencesInference": false,
    "SemanticTypeIri": "urn:effortless:pko-extension#AccessPolicy",
    "Name": "principal-knowledge-authority SELECT Attestations",
    "IsWriteCommand": false,
    "IsUnrestricted": true,
    "PrincipalIsAdmin": true,
    "IsUnrestrictedNonAdminGrant": false,
    "IsUnwitnessedWrite": false,
    "DenialTestCount": 0
   },
   {
    "AccessPolicyId": "pol-knowledgeauthority-authority_boundaries-select",
    "Principal": "principal-knowledge-authority",
    "TargetTable": "AuthorityBoundaries",
    "Command": "SELECT",
    "RowPredicate": "",
    "CheckPredicate": "",
    "Rationale": "Full read: this principal is a declared administrator.",
    "ReferencesInference": false,
    "SemanticTypeIri": "urn:effortless:pko-extension#AccessPolicy",
    "Name": "principal-knowledge-authority SELECT AuthorityBoundaries",
    "IsWriteCommand": false,
    "IsUnrestricted": true,
    "PrincipalIsAdmin": true,
    "IsUnrestrictedNonAdminGrant": false,
    "IsUnwitnessedWrite": false,
    "DenialTestCount": 0
   },
   {
    "AccessPolicyId": "pol-knowledgeauthority-binding_observations-select",
    "Principal": "principal-knowledge-authority",
    "TargetTable": "BindingObservations",
    "Command": "SELECT",
    "RowPredicate": "",
    "CheckPredicate": "",
    "Rationale": "Full read: this principal is a declared administrator.",
    "ReferencesInference": false,
    "SemanticTypeIri": "urn:effortless:pko-extension#AccessPolicy",
    "Name": "principal-knowledge-authority SELECT BindingObservations",
    "IsWriteCommand": false,
    "IsUnrestricted": true,
    "PrincipalIsAdmin": true,
    "IsUnrestrictedNonAdminGrant": false,
    "IsUnwitnessedWrite": false,
    "DenialTestCount": 0
   },
   {
    "AccessPolicyId": "pol-knowledgeauthority-change_requests-select",
    "Principal": "principal-knowledge-authority",
    "TargetTable": "ChangeRequests",
    "Command": "SELECT",
    "RowPredicate": "",
    "CheckPredicate": "",
    "Rationale": "Full read: this principal is a declared administrator.",
    "ReferencesInference": false,
    "SemanticTypeIri": "urn:effortless:pko-extension#AccessPolicy",
    "Name": "principal-knowledge-authority SELECT ChangeRequests",
    "IsWriteCommand": false,
    "IsUnrestricted": true,
    "PrincipalIsAdmin": true,
    "IsUnrestrictedNonAdminGrant": false,
    "IsUnwitnessedWrite": false,
    "DenialTestCount": 0
   },
   {
    "AccessPolicyId": "pol-knowledgeauthority-communication_policies-select",
    "Principal": "principal-knowledge-authority",
    "TargetTable": "CommunicationPolicies",
    "Command": "SELECT",
    "RowPredicate": "",
    "CheckPredicate": "",
    "Rationale": "Full read: this principal is a declared administrator.",
    "ReferencesInference": false,
    "SemanticTypeIri": "urn:effortless:pko-extension#AccessPolicy",
    "Name": "principal-knowledge-authority SELECT CommunicationPolicies",
    "IsWriteCommand": false,
    "IsUnrestricted": true,
    "PrincipalIsAdmin": true,
    "IsUnrestrictedNonAdminGrant": false,
    "IsUnwitnessedWrite": false,
    "DenialTestCount": 0
   },
   {
    "AccessPolicyId": "pol-knowledgeauthority-communities_of_practice-select",
    "Principal": "principal-knowledge-authority",
    "TargetTable": "CommunitiesOfPractice",
    "Command": "SELECT",
    "RowPredicate": "",
    "CheckPredicate": "",
    "Rationale": "Full read: this principal is a declared administrator.",
    "ReferencesInference": false,
    "SemanticTypeIri": "urn:effortless:pko-extension#AccessPolicy",
    "Name": "principal-knowledge-authority SELECT CommunitiesOfPractice",
    "IsWriteCommand": false,
    "IsUnrestricted": true,
    "PrincipalIsAdmin": true,
    "IsUnrestrictedNonAdminGrant": false,
    "IsUnwitnessedWrite": false,
    "DenialTestCount": 0
   },
   {
    "AccessPolicyId": "pol-knowledgeauthority-delivered_communications-select",
    "Principal": "principal-knowledge-authority",
    "TargetTable": "DeliveredCommunications",
    "Command": "SELECT",
    "RowPredicate": "",
    "CheckPredicate": "",
    "Rationale": "Full read: this principal is a declared administrator.",
    "ReferencesInference": false,
    "SemanticTypeIri": "urn:effortless:pko-extension#AccessPolicy",
    "Name": "principal-knowledge-authority SELECT DeliveredCommunications",
    "IsWriteCommand": false,
    "IsUnrestricted": true,
    "PrincipalIsAdmin": true,
    "IsUnrestrictedNonAdminGrant": false,
    "IsUnwitnessedWrite": false,
    "DenialTestCount": 0
   },
   {
    "AccessPolicyId": "pol-knowledgeauthority-elicitation_sessions-select",
    "Principal": "principal-knowledge-authority",
    "TargetTable": "ElicitationSessions",
    "Command": "SELECT",
    "RowPredicate": "",
    "CheckPredicate": "",
    "Rationale": "Full read: this principal is a declared administrator.",
    "ReferencesInference": false,
    "SemanticTypeIri": "urn:effortless:pko-extension#AccessPolicy",
    "Name": "principal-knowledge-authority SELECT ElicitationSessions",
    "IsWriteCommand": false,
    "IsUnrestricted": true,
    "PrincipalIsAdmin": true,
    "IsUnrestrictedNonAdminGrant": false,
    "IsUnwitnessedWrite": false,
    "DenialTestCount": 0
   },
   {
    "AccessPolicyId": "pol-knowledgeauthority-errors-select",
    "Principal": "principal-knowledge-authority",
    "TargetTable": "Errors",
    "Command": "SELECT",
    "RowPredicate": "",
    "CheckPredicate": "",
    "Rationale": "Full read: this principal is a declared administrator.",
    "ReferencesInference": false,
    "SemanticTypeIri": "urn:effortless:pko-extension#AccessPolicy",
    "Name": "principal-knowledge-authority SELECT Errors",
    "IsWriteCommand": false,
    "IsUnrestricted": true,
    "PrincipalIsAdmin": true,
    "IsUnrestrictedNonAdminGrant": false,
    "IsUnwitnessedWrite": false,
    "DenialTestCount": 0
   },
   {
    "AccessPolicyId": "pol-knowledgeauthority-evaluation_contexts-select",
    "Principal": "principal-knowledge-authority",
    "TargetTable": "EvaluationContexts",
    "Command": "SELECT",
    "RowPredicate": "",
    "CheckPredicate": "",
    "Rationale": "Full read: this principal is a declared administrator.",
    "ReferencesInference": false,
    "SemanticTypeIri": "urn:effortless:pko-extension#AccessPolicy",
    "Name": "principal-knowledge-authority SELECT EvaluationContexts",
    "IsWriteCommand": false,
    "IsUnrestricted": true,
    "PrincipalIsAdmin": true,
    "IsUnrestrictedNonAdminGrant": false,
    "IsUnwitnessedWrite": false,
    "DenialTestCount": 0
   },
   {
    "AccessPolicyId": "pol-knowledgeauthority-exception_invocations-select",
    "Principal": "principal-knowledge-authority",
    "TargetTable": "ExceptionInvocations",
    "Command": "SELECT",
    "RowPredicate": "",
    "CheckPredicate": "",
    "Rationale": "Full read: this principal is a declared administrator.",
    "ReferencesInference": false,
    "SemanticTypeIri": "urn:effortless:pko-extension#AccessPolicy",
    "Name": "principal-knowledge-authority SELECT ExceptionInvocations",
    "IsWriteCommand": false,
    "IsUnrestricted": true,
    "PrincipalIsAdmin": true,
    "IsUnrestrictedNonAdminGrant": false,
    "IsUnwitnessedWrite": false,
    "DenialTestCount": 0
   },
   {
    "AccessPolicyId": "pol-knowledgeauthority-exceptions-select",
    "Principal": "principal-knowledge-authority",
    "TargetTable": "Exceptions",
    "Command": "SELECT",
    "RowPredicate": "",
    "CheckPredicate": "",
    "Rationale": "Full read: this principal is a declared administrator.",
    "ReferencesInference": false,
    "SemanticTypeIri": "urn:effortless:pko-extension#AccessPolicy",
    "Name": "principal-knowledge-authority SELECT Exceptions",
    "IsWriteCommand": false,
    "IsUnrestricted": true,
    "PrincipalIsAdmin": true,
    "IsUnrestrictedNonAdminGrant": false,
    "IsUnwitnessedWrite": false,
    "DenialTestCount": 0
   },
   {
    "AccessPolicyId": "pol-knowledgeauthority-explanations-select",
    "Principal": "principal-knowledge-authority",
    "TargetTable": "Explanations",
    "Command": "SELECT",
    "RowPredicate": "",
    "CheckPredicate": "",
    "Rationale": "Full read: this principal is a declared administrator.",
    "ReferencesInference": false,
    "SemanticTypeIri": "urn:effortless:pko-extension#AccessPolicy",
    "Name": "principal-knowledge-authority SELECT Explanations",
    "IsWriteCommand": false,
    "IsUnrestricted": true,
    "PrincipalIsAdmin": true,
    "IsUnrestrictedNonAdminGrant": false,
    "IsUnwitnessedWrite": false,
    "DenialTestCount": 0
   },
   {
    "AccessPolicyId": "pol-knowledgeauthority-functions-select",
    "Principal": "principal-knowledge-authority",
    "TargetTable": "Functions",
    "Command": "SELECT",
    "RowPredicate": "",
    "CheckPredicate": "",
    "Rationale": "Full read: this principal is a declared administrator.",
    "ReferencesInference": false,
    "SemanticTypeIri": "urn:effortless:pko-extension#AccessPolicy",
    "Name": "principal-knowledge-authority SELECT Functions",
    "IsWriteCommand": false,
    "IsUnrestricted": true,
    "PrincipalIsAdmin": true,
    "IsUnrestrictedNonAdminGrant": false,
    "IsUnwitnessedWrite": false,
    "DenialTestCount": 0
   },
   {
    "AccessPolicyId": "pol-knowledgeauthority-issue_occurrences-select",
    "Principal": "principal-knowledge-authority",
    "TargetTable": "IssueOccurrences",
    "Command": "SELECT",
    "RowPredicate": "",
    "CheckPredicate": "",
    "Rationale": "Full read: this principal is a declared administrator.",
    "ReferencesInference": false,
    "SemanticTypeIri": "urn:effortless:pko-extension#AccessPolicy",
    "Name": "principal-knowledge-authority SELECT IssueOccurrences",
    "IsWriteCommand": false,
    "IsUnrestricted": true,
    "PrincipalIsAdmin": true,
    "IsUnrestrictedNonAdminGrant": false,
    "IsUnwitnessedWrite": false,
    "DenialTestCount": 0
   },
   {
    "AccessPolicyId": "pol-knowledgeauthority-knowledge_fragments-select",
    "Principal": "principal-knowledge-authority",
    "TargetTable": "KnowledgeFragments",
    "Command": "SELECT",
    "RowPredicate": "",
    "CheckPredicate": "",
    "Rationale": "Full read: this principal is a declared administrator.",
    "ReferencesInference": false,
    "SemanticTypeIri": "urn:effortless:pko-extension#AccessPolicy",
    "Name": "principal-knowledge-authority SELECT KnowledgeFragments",
    "IsWriteCommand": false,
    "IsUnrestricted": true,
    "PrincipalIsAdmin": true,
    "IsUnrestrictedNonAdminGrant": false,
    "IsUnwitnessedWrite": false,
    "DenialTestCount": 0
   },
   {
    "AccessPolicyId": "pol-knowledgeauthority-knowledge_gaps-select",
    "Principal": "principal-knowledge-authority",
    "TargetTable": "KnowledgeGaps",
    "Command": "SELECT",
    "RowPredicate": "",
    "CheckPredicate": "",
    "Rationale": "Full read: this principal is a declared administrator.",
    "ReferencesInference": false,
    "SemanticTypeIri": "urn:effortless:pko-extension#AccessPolicy",
    "Name": "principal-knowledge-authority SELECT KnowledgeGaps",
    "IsWriteCommand": false,
    "IsUnrestricted": true,
    "PrincipalIsAdmin": true,
    "IsUnrestrictedNonAdminGrant": false,
    "IsUnwitnessedWrite": false,
    "DenialTestCount": 0
   },
   {
    "AccessPolicyId": "pol-knowledgeauthority-learning_activities-select",
    "Principal": "principal-knowledge-authority",
    "TargetTable": "LearningActivities",
    "Command": "SELECT",
    "RowPredicate": "",
    "CheckPredicate": "",
    "Rationale": "Full read: this principal is a declared administrator.",
    "ReferencesInference": false,
    "SemanticTypeIri": "urn:effortless:pko-extension#AccessPolicy",
    "Name": "principal-knowledge-authority SELECT LearningActivities",
    "IsWriteCommand": false,
    "IsUnrestricted": true,
    "PrincipalIsAdmin": true,
    "IsUnrestrictedNonAdminGrant": false,
    "IsUnwitnessedWrite": false,
    "DenialTestCount": 0
   },
   {
    "AccessPolicyId": "pol-knowledgeauthority-mentorships-select",
    "Principal": "principal-knowledge-authority",
    "TargetTable": "Mentorships",
    "Command": "SELECT",
    "RowPredicate": "",
    "CheckPredicate": "",
    "Rationale": "Full read: this principal is a declared administrator.",
    "ReferencesInference": false,
    "SemanticTypeIri": "urn:effortless:pko-extension#AccessPolicy",
    "Name": "principal-knowledge-authority SELECT Mentorships",
    "IsWriteCommand": false,
    "IsUnrestricted": true,
    "PrincipalIsAdmin": true,
    "IsUnrestrictedNonAdminGrant": false,
    "IsUnwitnessedWrite": false,
    "DenialTestCount": 0
   },
   {
    "AccessPolicyId": "pol-knowledgeauthority-message_deliveries-select",
    "Principal": "principal-knowledge-authority",
    "TargetTable": "MessageDeliveries",
    "Command": "SELECT",
    "RowPredicate": "",
    "CheckPredicate": "",
    "Rationale": "Full read: this principal is a declared administrator.",
    "ReferencesInference": false,
    "SemanticTypeIri": "urn:effortless:pko-extension#AccessPolicy",
    "Name": "principal-knowledge-authority SELECT MessageDeliveries",
    "IsWriteCommand": false,
    "IsUnrestricted": true,
    "PrincipalIsAdmin": true,
    "IsUnrestrictedNonAdminGrant": false,
    "IsUnwitnessedWrite": false,
    "DenialTestCount": 0
   },
   {
    "AccessPolicyId": "pol-knowledgeauthority-message_templates-select",
    "Principal": "principal-knowledge-authority",
    "TargetTable": "MessageTemplates",
    "Command": "SELECT",
    "RowPredicate": "",
    "CheckPredicate": "",
    "Rationale": "Full read: this principal is a declared administrator.",
    "ReferencesInference": false,
    "SemanticTypeIri": "urn:effortless:pko-extension#AccessPolicy",
    "Name": "principal-knowledge-authority SELECT MessageTemplates",
    "IsWriteCommand": false,
    "IsUnrestricted": true,
    "PrincipalIsAdmin": true,
    "IsUnrestrictedNonAdminGrant": false,
    "IsUnwitnessedWrite": false,
    "DenialTestCount": 0
   },
   {
    "AccessPolicyId": "pol-knowledgeauthority-observed_transitions-select",
    "Principal": "principal-knowledge-authority",
    "TargetTable": "ObservedTransitions",
    "Command": "SELECT",
    "RowPredicate": "",
    "CheckPredicate": "",
    "Rationale": "Full read: this principal is a declared administrator.",
    "ReferencesInference": false,
    "SemanticTypeIri": "urn:effortless:pko-extension#AccessPolicy",
    "Name": "principal-knowledge-authority SELECT ObservedTransitions",
    "IsWriteCommand": false,
    "IsUnrestricted": true,
    "PrincipalIsAdmin": true,
    "IsUnrestrictedNonAdminGrant": false,
    "IsUnwitnessedWrite": false,
    "DenialTestCount": 0
   },
   {
    "AccessPolicyId": "pol-knowledgeauthority-ontology_profiles-select",
    "Principal": "principal-knowledge-authority",
    "TargetTable": "OntologyProfiles",
    "Command": "SELECT",
    "RowPredicate": "",
    "CheckPredicate": "",
    "Rationale": "Full read: this principal is a declared administrator.",
    "ReferencesInference": false,
    "SemanticTypeIri": "urn:effortless:pko-extension#AccessPolicy",
    "Name": "principal-knowledge-authority SELECT OntologyProfiles",
    "IsWriteCommand": false,
    "IsUnrestricted": true,
    "PrincipalIsAdmin": true,
    "IsUnrestrictedNonAdminGrant": false,
    "IsUnwitnessedWrite": false,
    "DenialTestCount": 0
   },
   {
    "AccessPolicyId": "pol-knowledgeauthority-operational_bindings-select",
    "Principal": "principal-knowledge-authority",
    "TargetTable": "OperationalBindings",
    "Command": "SELECT",
    "RowPredicate": "",
    "CheckPredicate": "",
    "Rationale": "Full read: this principal is a declared administrator.",
    "ReferencesInference": false,
    "SemanticTypeIri": "urn:effortless:pko-extension#AccessPolicy",
    "Name": "principal-knowledge-authority SELECT OperationalBindings",
    "IsWriteCommand": false,
    "IsUnrestricted": true,
    "PrincipalIsAdmin": true,
    "IsUnrestrictedNonAdminGrant": false,
    "IsUnwitnessedWrite": false,
    "DenialTestCount": 0
   },
   {
    "AccessPolicyId": "pol-knowledgeauthority-organizations-select",
    "Principal": "principal-knowledge-authority",
    "TargetTable": "Organizations",
    "Command": "SELECT",
    "RowPredicate": "",
    "CheckPredicate": "",
    "Rationale": "Full read: this principal is a declared administrator.",
    "ReferencesInference": false,
    "SemanticTypeIri": "urn:effortless:pko-extension#AccessPolicy",
    "Name": "principal-knowledge-authority SELECT Organizations",
    "IsWriteCommand": false,
    "IsUnrestricted": true,
    "PrincipalIsAdmin": true,
    "IsUnrestrictedNonAdminGrant": false,
    "IsUnwitnessedWrite": false,
    "DenialTestCount": 0
   },
   {
    "AccessPolicyId": "pol-knowledgeauthority-procedure_executions-select",
    "Principal": "principal-knowledge-authority",
    "TargetTable": "ProcedureExecutions",
    "Command": "SELECT",
    "RowPredicate": "",
    "CheckPredicate": "",
    "Rationale": "Full read: this principal is a declared administrator.",
    "ReferencesInference": false,
    "SemanticTypeIri": "urn:effortless:pko-extension#AccessPolicy",
    "Name": "principal-knowledge-authority SELECT ProcedureExecutions",
    "IsWriteCommand": false,
    "IsUnrestricted": true,
    "PrincipalIsAdmin": true,
    "IsUnrestrictedNonAdminGrant": false,
    "IsUnwitnessedWrite": false,
    "DenialTestCount": 0
   },
   {
    "AccessPolicyId": "pol-knowledgeauthority-procedure_resources-select",
    "Principal": "principal-knowledge-authority",
    "TargetTable": "ProcedureResources",
    "Command": "SELECT",
    "RowPredicate": "",
    "CheckPredicate": "",
    "Rationale": "Full read: this principal is a declared administrator.",
    "ReferencesInference": false,
    "SemanticTypeIri": "urn:effortless:pko-extension#AccessPolicy",
    "Name": "principal-knowledge-authority SELECT ProcedureResources",
    "IsWriteCommand": false,
    "IsUnrestricted": true,
    "PrincipalIsAdmin": true,
    "IsUnrestrictedNonAdminGrant": false,
    "IsUnwitnessedWrite": false,
    "DenialTestCount": 0
   },
   {
    "AccessPolicyId": "pol-knowledgeauthority-procedure_status_changes-select",
    "Principal": "principal-knowledge-authority",
    "TargetTable": "ProcedureStatusChanges",
    "Command": "SELECT",
    "RowPredicate": "",
    "CheckPredicate": "",
    "Rationale": "Full read: this principal is a declared administrator.",
    "ReferencesInference": false,
    "SemanticTypeIri": "urn:effortless:pko-extension#AccessPolicy",
    "Name": "principal-knowledge-authority SELECT ProcedureStatusChanges",
    "IsWriteCommand": false,
    "IsUnrestricted": true,
    "PrincipalIsAdmin": true,
    "IsUnrestrictedNonAdminGrant": false,
    "IsUnwitnessedWrite": false,
    "DenialTestCount": 0
   },
   {
    "AccessPolicyId": "pol-knowledgeauthority-procedure_types-select",
    "Principal": "principal-knowledge-authority",
    "TargetTable": "ProcedureTypes",
    "Command": "SELECT",
    "RowPredicate": "",
    "CheckPredicate": "",
    "Rationale": "Full read: this principal is a declared administrator.",
    "ReferencesInference": false,
    "SemanticTypeIri": "urn:effortless:pko-extension#AccessPolicy",
    "Name": "principal-knowledge-authority SELECT ProcedureTypes",
    "IsWriteCommand": false,
    "IsUnrestricted": true,
    "PrincipalIsAdmin": true,
    "IsUnrestrictedNonAdminGrant": false,
    "IsUnwitnessedWrite": false,
    "DenialTestCount": 0
   },
   {
    "AccessPolicyId": "pol-knowledgeauthority-procedure_version_links-select",
    "Principal": "principal-knowledge-authority",
    "TargetTable": "ProcedureVersionLinks",
    "Command": "SELECT",
    "RowPredicate": "",
    "CheckPredicate": "",
    "Rationale": "Full read: this principal is a declared administrator.",
    "ReferencesInference": false,
    "SemanticTypeIri": "urn:effortless:pko-extension#AccessPolicy",
    "Name": "principal-knowledge-authority SELECT ProcedureVersionLinks",
    "IsWriteCommand": false,
    "IsUnrestricted": true,
    "PrincipalIsAdmin": true,
    "IsUnrestrictedNonAdminGrant": false,
    "IsUnwitnessedWrite": false,
    "DenialTestCount": 0
   },
   {
    "AccessPolicyId": "pol-knowledgeauthority-procedure_versions-select",
    "Principal": "principal-knowledge-authority",
    "TargetTable": "ProcedureVersions",
    "Command": "SELECT",
    "RowPredicate": "",
    "CheckPredicate": "",
    "Rationale": "Full read: this principal is a declared administrator.",
    "ReferencesInference": false,
    "SemanticTypeIri": "urn:effortless:pko-extension#AccessPolicy",
    "Name": "principal-knowledge-authority SELECT ProcedureVersions",
    "IsWriteCommand": false,
    "IsUnrestricted": true,
    "PrincipalIsAdmin": true,
    "IsUnrestrictedNonAdminGrant": false,
    "IsUnwitnessedWrite": false,
    "DenialTestCount": 0
   },
   {
    "AccessPolicyId": "pol-knowledgeauthority-procedures-select",
    "Principal": "principal-knowledge-authority",
    "TargetTable": "Procedures",
    "Command": "SELECT",
    "RowPredicate": "",
    "CheckPredicate": "",
    "Rationale": "Full read: this principal is a declared administrator.",
    "ReferencesInference": false,
    "SemanticTypeIri": "urn:effortless:pko-extension#AccessPolicy",
    "Name": "principal-knowledge-authority SELECT Procedures",
    "IsWriteCommand": false,
    "IsUnrestricted": true,
    "PrincipalIsAdmin": true,
    "IsUnrestrictedNonAdminGrant": false,
    "IsUnwitnessedWrite": false,
    "DenialTestCount": 0
   },
   {
    "AccessPolicyId": "pol-knowledgeauthority-rationales-select",
    "Principal": "principal-knowledge-authority",
    "TargetTable": "Rationales",
    "Command": "SELECT",
    "RowPredicate": "",
    "CheckPredicate": "",
    "Rationale": "Full read: this principal is a declared administrator.",
    "ReferencesInference": false,
    "SemanticTypeIri": "urn:effortless:pko-extension#AccessPolicy",
    "Name": "principal-knowledge-authority SELECT Rationales",
    "IsWriteCommand": false,
    "IsUnrestricted": true,
    "PrincipalIsAdmin": true,
    "IsUnrestrictedNonAdminGrant": false,
    "IsUnwitnessedWrite": false,
    "DenialTestCount": 0
   },
   {
    "AccessPolicyId": "pol-knowledgeauthority-recipients-select",
    "Principal": "principal-knowledge-authority",
    "TargetTable": "Recipients",
    "Command": "SELECT",
    "RowPredicate": "",
    "CheckPredicate": "",
    "Rationale": "Full read: this principal is a declared administrator.",
    "ReferencesInference": false,
    "SemanticTypeIri": "urn:effortless:pko-extension#AccessPolicy",
    "Name": "principal-knowledge-authority SELECT Recipients",
    "IsWriteCommand": false,
    "IsUnrestricted": true,
    "PrincipalIsAdmin": true,
    "IsUnrestrictedNonAdminGrant": false,
    "IsUnwitnessedWrite": false,
    "DenialTestCount": 0
   },
   {
    "AccessPolicyId": "pol-knowledgeauthority-requirement_satisfactions-select",
    "Principal": "principal-knowledge-authority",
    "TargetTable": "RequirementSatisfactions",
    "Command": "SELECT",
    "RowPredicate": "",
    </t>
  </si>
  <si>
    <t xml:space="preserve">"CheckPredicate": "",
    "Rationale": "Full read: this principal is a declared administrator.",
    "ReferencesInference": false,
    "SemanticTypeIri": "urn:effortless:pko-extension#AccessPolicy",
    "Name": "principal-knowledge-authority SELECT RequirementSatisfactions",
    "IsWriteCommand": false,
    "IsUnrestricted": true,
    "PrincipalIsAdmin": true,
    "IsUnrestrictedNonAdminGrant": false,
    "IsUnwitnessedWrite": false,
    "DenialTestCount": 0
   },
   {
    "AccessPolicyId": "pol-knowledgeauthority-requirements-select",
    "Principal": "principal-knowledge-authority",
    "TargetTable": "Requirements",
    "Command": "SELECT",
    "RowPredicate": "",
    "CheckPredicate": "",
    "Rationale": "Full read: this principal is a declared administrator.",
    "ReferencesInference": false,
    "SemanticTypeIri": "urn:effortless:pko-extension#AccessPolicy",
    "Name": "principal-knowledge-authority SELECT Requirements",
    "IsWriteCommand": false,
    "IsUnrestricted": true,
    "PrincipalIsAdmin": true,
    "IsUnrestrictedNonAdminGrant": false,
    "IsUnwitnessedWrite": false,
    "DenialTestCount": 0
   },
   {
    "AccessPolicyId": "pol-knowledgeauthority-resources-select",
    "Principal": "principal-knowledge-authority",
    "TargetTable": "Resources",
    "Command": "SELECT",
    "RowPredicate": "",
    "CheckPredicate": "",
    "Rationale": "Full read: this principal is a declared administrator.",
    "ReferencesInference": false,
    "SemanticTypeIri": "urn:effortless:pko-extension#AccessPolicy",
    "Name": "principal-knowledge-authority SELECT Resources",
    "IsWriteCommand": false,
    "IsUnrestricted": true,
    "PrincipalIsAdmin": true,
    "IsUnrestrictedNonAdminGrant": false,
    "IsUnwitnessedWrite": false,
    "DenialTestCount": 0
   },
   {
    "AccessPolicyId": "pol-knowledgeauthority-review_events-select",
    "Principal": "principal-knowledge-authority",
    "TargetTable": "ReviewEvents",
    "Command": "SELECT",
    "RowPredicate": "",
    "CheckPredicate": "",
    "Rationale": "Full read: this principal is a declared administrator.",
    "ReferencesInference": false,
    "SemanticTypeIri": "urn:effortless:pko-extension#AccessPolicy",
    "Name": "principal-knowledge-authority SELECT ReviewEvents",
    "IsWriteCommand": false,
    "IsUnrestricted": true,
    "PrincipalIsAdmin": true,
    "IsUnrestrictedNonAdminGrant": false,
    "IsUnwitnessedWrite": false,
    "DenialTestCount": 0
   },
   {
    "AccessPolicyId": "pol-knowledgeauthority-role_assignments-select",
    "Principal": "principal-knowledge-authority",
    "TargetTable": "RoleAssignments",
    "Command": "SELECT",
    "RowPredicate": "",
    "CheckPredicate": "",
    "Rationale": "Full read: this principal is a declared administrator.",
    "ReferencesInference": false,
    "SemanticTypeIri": "urn:effortless:pko-extension#AccessPolicy",
    "Name": "principal-knowledge-authority SELECT RoleAssignments",
    "IsWriteCommand": false,
    "IsUnrestricted": true,
    "PrincipalIsAdmin": true,
    "IsUnrestrictedNonAdminGrant": false,
    "IsUnwitnessedWrite": false,
    "DenialTestCount": 0
   },
   {
    "AccessPolicyId": "pol-knowledgeauthority-role_questions-select",
    "Principal": "principal-knowledge-authority",
    "TargetTable": "RoleQuestions",
    "Command": "SELECT",
    "RowPredicate": "",
    "CheckPredicate": "",
    "Rationale": "Full read: this principal is a declared administrator.",
    "ReferencesInference": false,
    "SemanticTypeIri": "urn:effortless:pko-extension#AccessPolicy",
    "Name": "principal-knowledge-authority SELECT RoleQuestions",
    "IsWriteCommand": false,
    "IsUnrestricted": true,
    "PrincipalIsAdmin": true,
    "IsUnrestrictedNonAdminGrant": false,
    "IsUnwitnessedWrite": false,
    "DenialTestCount": 0
   },
   {
    "AccessPolicyId": "pol-knowledgeauthority-roles-select",
    "Principal": "principal-knowledge-authority",
    "TargetTable": "Roles",
    "Command": "SELECT",
    "RowPredicate": "",
    "CheckPredicate": "",
    "Rationale": "Full read: this principal is a declared administrator.",
    "ReferencesInference": false,
    "SemanticTypeIri": "urn:effortless:pko-extension#AccessPolicy",
    "Name": "principal-knowledge-authority SELECT Roles",
    "IsWriteCommand": false,
    "IsUnrestricted": true,
    "PrincipalIsAdmin": true,
    "IsUnrestrictedNonAdminGrant": false,
    "IsUnwitnessedWrite": false,
    "DenialTestCount": 0
   },
   {
    "AccessPolicyId": "pol-knowledgeauthority-rulebook_fields-select",
    "Principal": "principal-knowledge-authority",
    "TargetTable": "RulebookFields",
    "Command": "SELECT",
    "RowPredicate": "",
    "CheckPredicate": "",
    "Rationale": "Full read: this principal is a declared administrator.",
    "ReferencesInference": false,
    "SemanticTypeIri": "urn:effortless:pko-extension#AccessPolicy",
    "Name": "principal-knowledge-authority SELECT RulebookFields",
    "IsWriteCommand": false,
    "IsUnrestricted": true,
    "PrincipalIsAdmin": true,
    "IsUnrestrictedNonAdminGrant": false,
    "IsUnwitnessedWrite": false,
    "DenialTestCount": 0
   },
   {
    "AccessPolicyId": "pol-knowledgeauthority-rulebook_releases-select",
    "Principal": "principal-knowledge-authority",
    "TargetTable": "RulebookReleases",
    "Command": "SELECT",
    "RowPredicate": "",
    "CheckPredicate": "",
    "Rationale": "Full read: this principal is a declared administrator.",
    "ReferencesInference": false,
    "SemanticTypeIri": "urn:effortless:pko-extension#AccessPolicy",
    "Name": "principal-knowledge-authority SELECT RulebookReleases",
    "IsWriteCommand": false,
    "IsUnrestricted": true,
    "PrincipalIsAdmin": true,
    "IsUnrestrictedNonAdminGrant": false,
    "IsUnwitnessedWrite": false,
    "DenialTestCount": 0
   },
   {
    "AccessPolicyId": "pol-knowledgeauthority-semantic_mappings-select",
    "Principal": "principal-knowledge-authority",
    "TargetTable": "SemanticMappings",
    "Command": "SELECT",
    "RowPredicate": "",
    "CheckPredicate": "",
    "Rationale": "Full read: this principal is a declared administrator.",
    "ReferencesInference": false,
    "SemanticTypeIri": "urn:effortless:pko-extension#AccessPolicy",
    "Name": "principal-knowledge-authority SELECT SemanticMappings",
    "IsWriteCommand": false,
    "IsUnrestricted": true,
    "PrincipalIsAdmin": true,
    "IsUnrestrictedNonAdminGrant": false,
    "IsUnwitnessedWrite": false,
    "DenialTestCount": 0
   },
   {
    "AccessPolicyId": "pol-knowledgeauthority-send_intents-select",
    "Principal": "principal-knowledge-authority",
    "TargetTable": "SendIntents",
    "Command": "SELECT",
    "RowPredicate": "",
    "CheckPredicate": "",
    "Rationale": "Full read: this principal is a declared administrator.",
    "ReferencesInference": false,
    "SemanticTypeIri": "urn:effortless:pko-extension#AccessPolicy",
    "Name": "principal-knowledge-authority SELECT SendIntents",
    "IsWriteCommand": false,
    "IsUnrestricted": true,
    "PrincipalIsAdmin": true,
    "IsUnrestrictedNonAdminGrant": false,
    "IsUnwitnessedWrite": false,
    "DenialTestCount": 0
   },
   {
    "AccessPolicyId": "pol-knowledgeauthority-step_actions-select",
    "Principal": "principal-knowledge-authority",
    "TargetTable": "StepActions",
    "Command": "SELECT",
    "RowPredicate": "",
    "CheckPredicate": "",
    "Rationale": "Full read: this principal is a declared administrator.",
    "ReferencesInference": false,
    "SemanticTypeIri": "urn:effortless:pko-extension#AccessPolicy",
    "Name": "principal-knowledge-authority SELECT StepActions",
    "IsWriteCommand": false,
    "IsUnrestricted": true,
    "PrincipalIsAdmin": true,
    "IsUnrestrictedNonAdminGrant": false,
    "IsUnwitnessedWrite": false,
    "DenialTestCount": 0
   },
   {
    "AccessPolicyId": "pol-knowledgeauthority-step_executions-select",
    "Principal": "principal-knowledge-authority",
    "TargetTable": "StepExecutions",
    "Command": "SELECT",
    "RowPredicate": "",
    "CheckPredicate": "",
    "Rationale": "Full read: this principal is a declared administrator.",
    "ReferencesInference": false,
    "SemanticTypeIri": "urn:effortless:pko-extension#AccessPolicy",
    "Name": "principal-knowledge-authority SELECT StepExecutions",
    "IsWriteCommand": false,
    "IsUnrestricted": true,
    "PrincipalIsAdmin": true,
    "IsUnrestrictedNonAdminGrant": false,
    "IsUnwitnessedWrite": false,
    "DenialTestCount": 0
   },
   {
    "AccessPolicyId": "pol-knowledgeauthority-step_functions-select",
    "Principal": "principal-knowledge-authority",
    "TargetTable": "StepFunctions",
    "Command": "SELECT",
    "RowPredicate": "",
    "CheckPredicate": "",
    "Rationale": "Full read: this principal is a declared administrator.",
    "ReferencesInference": false,
    "SemanticTypeIri": "urn:effortless:pko-extension#AccessPolicy",
    "Name": "principal-knowledge-authority SELECT StepFunctions",
    "IsWriteCommand": false,
    "IsUnrestricted": true,
    "PrincipalIsAdmin": true,
    "IsUnrestrictedNonAdminGrant": false,
    "IsUnwitnessedWrite": false,
    "DenialTestCount": 0
   },
   {
    "AccessPolicyId": "pol-knowledgeauthority-step_requirements-select",
    "Principal": "principal-knowledge-authority",
    "TargetTable": "StepRequirements",
    "Command": "SELECT",
    "RowPredicate": "",
    "CheckPredicate": "",
    "Rationale": "Full read: this principal is a declared administrator.",
    "ReferencesInference": false,
    "SemanticTypeIri": "urn:effortless:pko-extension#AccessPolicy",
    "Name": "principal-knowledge-authority SELECT StepRequirements",
    "IsWriteCommand": false,
    "IsUnrestricted": true,
    "PrincipalIsAdmin": true,
    "IsUnrestrictedNonAdminGrant": false,
    "IsUnwitnessedWrite": false,
    "DenialTestCount": 0
   },
   {
    "AccessPolicyId": "pol-knowledgeauthority-step_tools-select",
    "Principal": "principal-knowledge-authority",
    "TargetTable": "StepTools",
    "Command": "SELECT",
    "RowPredicate": "",
    "CheckPredicate": "",
    "Rationale": "Full read: this principal is a declared administrator.",
    "ReferencesInference": false,
    "SemanticTypeIri": "urn:effortless:pko-extension#AccessPolicy",
    "Name": "principal-knowledge-authority SELECT StepTools",
    "IsWriteCommand": false,
    "IsUnrestricted": true,
    "PrincipalIsAdmin": true,
    "IsUnrestrictedNonAdminGrant": false,
    "IsUnwitnessedWrite": false,
    "DenialTestCount": 0
   },
   {
    "AccessPolicyId": "pol-knowledgeauthority-step_transitions-select",
    "Principal": "principal-knowledge-authority",
    "TargetTable": "StepTransitions",
    "Command": "SELECT",
    "RowPredicate": "",
    "CheckPredicate": "",
    "Rationale": "Full read: this principal is a declared administrator.",
    "ReferencesInference": false,
    "SemanticTypeIri": "urn:effortless:pko-extension#AccessPolicy",
    "Name": "principal-knowledge-authority SELECT StepTransitions",
    "IsWriteCommand": false,
    "IsUnrestricted": true,
    "PrincipalIsAdmin": true,
    "IsUnrestrictedNonAdminGrant": false,
    "IsUnwitnessedWrite": false,
    "DenialTestCount": 0
   },
   {
    "AccessPolicyId": "pol-knowledgeauthority-step_verifications-select",
    "Principal": "principal-knowledge-authority",
    "TargetTable": "StepVerifications",
    "Command": "SELECT",
    "RowPredicate": "",
    "CheckPredicate": "",
    "Rationale": "Full read: this principal is a declared administrator.",
    "ReferencesInference": false,
    "SemanticTypeIri": "urn:effortless:pko-extension#AccessPolicy",
    "Name": "principal-knowledge-authority SELECT StepVerifications",
    "IsWriteCommand": false,
    "IsUnrestricted": true,
    "PrincipalIsAdmin": true,
    "IsUnrestrictedNonAdminGrant": false,
    "IsUnwitnessedWrite": false,
    "DenialTestCount": 0
   },
   {
    "AccessPolicyId": "pol-knowledgeauthority-steps-select",
    "Principal": "principal-knowledge-authority",
    "TargetTable": "Steps",
    "Command": "SELECT",
    "RowPredicate": "",
    "CheckPredicate": "",
    "Rationale": "Full read: this principal is a declared administrator.",
    "ReferencesInference": false,
    "SemanticTypeIri": "urn:effortless:pko-extension#AccessPolicy",
    "Name": "principal-knowledge-authority SELECT Steps",
    "IsWriteCommand": false,
    "IsUnrestricted": true,
    "PrincipalIsAdmin": true,
    "IsUnrestrictedNonAdminGrant": false,
    "IsUnwitnessedWrite": false,
    "DenialTestCount": 0
   },
   {
    "AccessPolicyId": "pol-knowledgeauthority-stewardship_assignments-select",
    "Principal": "principal-knowledge-authority",
    "TargetTable": "StewardshipAssignments",
    "Command": "SELECT",
    "RowPredicate": "",
    "CheckPredicate": "",
    "Rationale": "Full read: this principal is a declared administrator.",
    "ReferencesInference": false,
    "SemanticTypeIri": "urn:effortless:pko-extension#AccessPolicy",
    "Name": "principal-knowledge-authority SELECT StewardshipAssignments",
    "IsWriteCommand": false,
    "IsUnrestricted": true,
    "PrincipalIsAdmin": true,
    "IsUnrestrictedNonAdminGrant": false,
    "IsUnwitnessedWrite": false,
    "DenialTestCount": 0
   },
   {
    "AccessPolicyId": "pol-knowledgeauthority-template_approvals-select",
    "Principal": "principal-knowledge-authority",
    "TargetTable": "TemplateApprovals",
    "Command": "SELECT",
    "RowPredicate": "",
    "CheckPredicate": "",
    "Rationale": "Full read: this principal is a declared administrator.",
    "ReferencesInference": false,
    "SemanticTypeIri": "urn:effortless:pko-extension#AccessPolicy",
    "Name": "principal-knowledge-authority SELECT TemplateApprovals",
    "IsWriteCommand": false,
    "IsUnrestricted": true,
    "PrincipalIsAdmin": true,
    "IsUnrestrictedNonAdminGrant": false,
    "IsUnwitnessedWrite": false,
    "DenialTestCount": 0
   },
   {
    "AccessPolicyId": "pol-knowledgeauthority-test_cases-select",
    "Principal": "principal-knowledge-authority",
    "TargetTable": "TestCases",
    "Command": "SELECT",
    "RowPredicate": "",
    "CheckPredicate": "",
    "Rationale": "Full read: this principal is a declared administrator.",
    "ReferencesInference": false,
    "SemanticTypeIri": "urn:effortless:pko-extension#AccessPolicy",
    "Name": "principal-knowledge-authority SELECT TestCases",
    "IsWriteCommand": false,
    "IsUnrestricted": true,
    "PrincipalIsAdmin": true,
    "IsUnrestrictedNonAdminGrant": false,
    "IsUnwitnessedWrite": false,
    "DenialTestCount": 0
   },
   {
    "AccessPolicyId": "pol-knowledgeauthority-test_suites-select",
    "Principal": "principal-knowledge-authority",
    "TargetTable": "TestSuites",
    "Command": "SELECT",
    "RowPredicate": "",
    "CheckPredicate": "",
    "Rationale": "Full read: this principal is a declared administrator.",
    "ReferencesInference": false,
    "SemanticTypeIri": "urn:effortless:pko-extension#AccessPolicy",
    "Name": "principal-knowledge-authority SELECT TestSuites",
    "IsWriteCommand": false,
    "IsUnrestricted": true,
    "PrincipalIsAdmin": true,
    "IsUnrestrictedNonAdminGrant": false,
    "IsUnwitnessedWrite": false,
    "DenialTestCount": 0
   },
   {
    "AccessPolicyId": "pol-knowledgeauthority-tools-select",
    "Principal": "principal-knowledge-authority",
    "TargetTable": "Tools",
    "Command": "SELECT",
    "RowPredicate": "",
    "CheckPredicate": "",
    "Rationale": "Full read: this principal is a declared administrator.",
    "ReferencesInference": false,
    "SemanticTypeIri": "urn:effortless:pko-extension#AccessPolicy",
    "Name": "principal-knowledge-authority SELECT Tools",
    "IsWriteCommand": false,
    "IsUnrestricted": true,
    "PrincipalIsAdmin": true,
    "IsUnrestrictedNonAdminGrant": false,
    "IsUnwitnessedWrite": false,
    "DenialTestCount": 0
   },
   {
    "AccessPolicyId": "pol-knowledgeauthority-user_feedback-select",
    "Principal": "principal-knowledge-authority",
    "TargetTable": "UserFeedback",
    "Command": "SELECT",
    "RowPredicate": "",
    "CheckPredicate": "",
    "Rationale": "Full read: this principal is a declared administrator.",
    "ReferencesInference": false,
    "SemanticTypeIri": "urn:effortless:pko-extension#AccessPolicy",
    "Name": "principal-knowledge-authority SELECT UserFeedback",
    "IsWriteCommand": false,
    "IsUnrestricted": true,
    "PrincipalIsAdmin": true,
    "IsUnrestrictedNonAdminGrant": false,
    "IsUnwitnessedWrite": false,
    "DenialTestCount": 0
   },
   {
    "AccessPolicyId": "pol-knowledgeauthority-user_questions-select",
    "Principal": "principal-knowledge-authority",
    "TargetTable": "UserQuestions",
    "Command": "SELECT",
    "RowPredicate": "",
    "CheckPredicate": "",
    "Rationale": "Full read: this principal is a declared administrator.",
    "ReferencesInference": false,
    "SemanticTypeIri": "urn:effortless:pko-extension#AccessPolicy",
    "Name": "principal-knowledge-authority SELECT UserQuestions",
    "IsWriteCommand": false,
    "IsUnrestricted": true,
    "PrincipalIsAdmin": true,
    "IsUnrestrictedNonAdminGrant": false,
    "IsUnwitnessedWrite": false,
    "DenialTestCount": 0
   },
   {
    "AccessPolicyId": "pol-knowledgeauthority-verification_outcomes-select",
    "Principal": "principal-knowledge-authority",
    "TargetTable": "VerificationOutcomes",
    "Command": "SELECT",
    "RowPredicate": "",
    "CheckPredicate": "",
    "Rationale": "Full read: this principal is a declared administrator.",
    "ReferencesInference": false,
    "SemanticTypeIri": "urn:effortless:pko-extension#AccessPolicy",
    "Name": "principal-knowledge-authority SELECT VerificationOutcomes",
    "IsWriteCommand": false,
    "IsUnrestricted": true,
    "PrincipalIsAdmin": true,
    "IsUnrestrictedNonAdminGrant": false,
    "IsUnwitnessedWrite": false,
    "DenialTestCount": 0
   },
   {
    "AccessPolicyId": "pol-knowledgeauthority-witness_loops-select",
    "Principal": "principal-knowledge-authority",
    "TargetTable": "WitnessLoops",
    "Command": "SELECT",
    "RowPredicate": "",
    "CheckPredicate": "",
    "Rationale": "Full read: this principal is a declared administrator.",
    "ReferencesInference": false,
    "SemanticTypeIri": "urn:effortless:pko-extension#AccessPolicy",
    "Name": "principal-knowledge-authority SELECT WitnessLoops",
    "IsWriteCommand": false,
    "IsUnrestricted": true,
    "PrincipalIsAdmin": true,
    "IsUnrestrictedNonAdminGrant": false,
    "IsUnwitnessedWrite": false,
    "DenialTestCount": 0
   },
   {
    "AccessPolicyId": "pol-processsteward-process_mining_runs-select",
    "Principal": "principal-process-steward",
    "TargetTable": "ProcessMiningRuns",
    "Command": "SELECT",
    "RowPredicate": "",
    "CheckPredicate": "",
    "Rationale": "Steward-level role: unrestricted read of this table, matching this principal's existing broad reach across the model.",
    "SemanticTypeIri": "urn:effortless:pko-extension#AccessPolicy",
    "Name": "principal-process-steward SELECT ProcessMiningRuns",
    "IsWriteCommand": false,
    "IsUnrestricted": true,
    "PrincipalIsAdmin": true,
    "IsUnrestrictedNonAdminGrant": false,
    "IsUnwitnessedWrite": false,
    "DenialTestCount": 0
   },
   {
    "AccessPolicyId": "pol-processsteward-vocabularies-select",
    "Principal": "principal-process-steward",
    "TargetTable": "Vocabularies",
    "Command": "SELECT",
    "RowPredicate": "",
    "CheckPredicate": "",
    "Rationale": "Steward-level role: unrestricted read of this table, matching this principal's existing broad reach across the model.",
    "SemanticTypeIri": "urn:effortless:pko-extension#AccessPolicy",
    "Name": "principal-process-steward SELECT Vocabularies",
    "IsWriteCommand": false,
    "IsUnrestricted": true,
    "PrincipalIsAdmin": true,
    "IsUnrestrictedNonAdminGrant": false,
    "IsUnwitnessedWrite": false,
    "DenialTestCount": 0
   },
   {
    "AccessPolicyId": "pol-processsteward-vocabulary_terms-select",
    "Principal": "principal-process-steward",
    "TargetTable": "VocabularyTerms",
    "Command": "SELECT",
    "RowPredicate": "",
    "CheckPredicate": "",
    "Rationale": "Steward-level role: unrestricted read of this table, matching this principal's existing broad reach across the model.",
    "SemanticTypeIri": "urn:effortless:pko-extension#AccessPolicy",
    "Name": "principal-process-steward SELECT VocabularyTerms",
    "IsWriteCommand": false,
    "IsUnrestricted": true,
    "PrincipalIsAdmin": true,
    "IsUnrestrictedNonAdminGrant": false,
    "IsUnwitnessedWrite": false,
    "DenialTestCount": 0
   },
   {
    "AccessPolicyId": "pol-processsteward-knowledge_broker_links-select",
    "Principal": "principal-process-steward",
    "TargetTable": "KnowledgeBrokerLinks",
    "Command": "SELECT",
    "RowPredicate": "",
    "CheckPredicate": "",
    "Rationale": "Steward-level role: unrestricted read of this table, matching this principal's existing broad reach across the model.",
    "SemanticTypeIri": "urn:effortless:pko-extension#AccessPolicy",
    "Name": "principal-process-steward SELECT KnowledgeBrokerLinks",
    "IsWriteCommand": false,
    "IsUnrestricted": true,
    "PrincipalIsAdmin": true,
    "IsUnrestrictedNonAdminGrant": false,
    "IsUnwitnessedWrite": false,
    "DenialTestCount": 0
   },
   {
    "AccessPolicyId": "pol-knowledgeauthority-process_mining_runs-select",
    "Principal": "principal-knowledge-authority",
    "TargetTable": "ProcessMiningRuns",
    "Command": "SELECT",
    "RowPredicate": "",
    "CheckPredicate": "",
    "Rationale": "Steward-level role: unrestricted read of this table, matching this principal's existing broad reach across the model.",
    "SemanticTypeIri": "urn:effortless:pko-extension#AccessPolicy",
    "Name": "principal-knowledge-authority SELECT ProcessMiningRuns",
    "IsWriteCommand": false,
    "IsUnrestricted": true,
    "PrincipalIsAdmin": true,
    "IsUnrestrictedNonAdminGrant": false,
    "IsUnwitnessedWrite": false,
    "DenialTestCount": 0
   },
   {
    "AccessPolicyId": "pol-knowledgeauthority-vocabularies-select",
    "Principal": "principal-knowledge-authority",
    "TargetTable": "Vocabularies",
    "Command": "SELECT",
    "RowPredicate": "",
    "CheckPredicate": "",
    "Rationale": "Steward-level role: unrestricted read of this table, matching this principal's existing broad reach across the model.",
    "SemanticTypeIri": "urn:effortless:pko-extension#AccessPolicy",
    "Name": "principal-knowledge-authority SELECT Vocabularies",
    "IsWriteCommand": false,
    "IsUnrestricted": true,
    "PrincipalIsAdmin": true,
    "IsUnrestrictedNonAdminGrant": false,
    "IsUnwitnessedWrite": false,
    "DenialTestCount": 0
   },
   {
    "AccessPolicyId": "pol-knowledgeauthority-vocabulary_terms-select",
    "Principal": "principal-knowledge-authority",
    "TargetTable": "VocabularyTerms",
    "Command": "SELECT",
    "RowPredicate": "",
    "CheckPredicate": "",
    "Rationale": "Steward-level role: unrestricted read of this table, matching this principal's existing broad reach across the model.",
    "SemanticTypeIri": "urn:effortless:pko-extension#AccessPolicy",
    "Name": "principal-knowledge-authority SELECT VocabularyTerms",
    "IsWriteCommand": false,
    "IsUnrestricted": true,
    "PrincipalIsAdmin": true,
    "IsUnrestrictedNonAdminGrant": false,
    "IsUnwitnessedWrite": false,
    "DenialTestCount": 0
   },
   {
    "AccessPolicyId": "pol-knowledgeauthority-knowledge_broker_links-select",
    "Principal": "principal-knowledge-authority",
    "TargetTable": "KnowledgeBrokerLinks",
    "Command": "SELECT",
    "RowPredicate": "",
    "CheckPredicate": "",
    "Rationale": "Steward-level role: unrestricted read of this table, matching this principal's existing broad reach across the model.",
    "SemanticTypeIri": "urn:effortless:pko-extension#AccessPolicy",
    "Name": "principal-knowledge-authority SELECT KnowledgeBrokerLinks",
    "IsWriteCommand": false,
    "IsUnrestricted": true,
    "PrincipalIsAdmin": true,
    "IsUnrestrictedNonAdminGrant": false,
    "IsUnwitnessedWrite": false,
    "DenialTestCount": 0
   }
  ]
 },
 "FieldGrants": {
  "Description": "Field-level grants: the HORIZONTAL cut. One row per principal x field. A field with no grant row is not filtered from the principal's view -- it is absent from it, so the column does not exist as far as that principal's SQL is concerned.",
  "important": true,
  "schema": [
   {
    "name": "FieldGrantId",
    "datatype": "string",
    "type": "raw",
    "nullable": false,
    "Description": "Stored logical identifier, e.g. 'fg-controller-Procedures.Title'."
   },
   {
    "name": "Name",
    "datatype": "string",
    "type": "calculated",
    "nullable": true,
    "Description": "Human-readable calculated display alias.",
    "formula": "={{Principal}} &amp; \" -&gt; \" &amp; {{TargetField}}"
   },
   {
    "name": "Principal",
    "datatype": "string",
    "type": "relationship",
    "nullable": true,
    "Description": "Principal receiving the grant.",
    "RelatedTo": "AccessPrincipals"
   },
   {
    "name": "TargetField",
    "datatype": "string",
    "type": "relationship",
    "nullable": true,
    "Description": "Catalogued field being exposed.",
    "RelatedTo": "RulebookFields"
   },
   {
    "name": "CanRead",
    "datatype": "boolean",
    "type": "raw",
    "nullable": true,
    "Description": "True when the principal may read this field."
   },
   {
    "name": "CanWrite",
    "datatype": "boolean",
    "type": "raw",
    "nullable": true,
    "Description": "True when the principal may write this field."
   },
   {
    "name": "MaskStrategy",
    "datatype": "string",
    "type": "raw",
    "nullable": true,
    "Description": "How the value is presented when read: 'plain', 'redacted' or 'hashed'."
   },
   {
    "name": "FieldTable",
    "datatype": "string",
    "type": "lookup",
    "nullable": true,
    "Description": "Table the granted field belongs to.",
    "formula": "=INDEX(RulebookFields!{{TargetTable}}, MATCH({{TargetField}}, RulebookFields!{{RulebookFieldId}}, 0))"
   },
   {
    "name": "FieldName",
    "datatype": "string",
    "type": "lookup",
    "nullable": true,
    "Description": "Name of the granted field.",
    "formula": "=INDEX(RulebookFields!{{FieldName}}, MATCH({{TargetField}}, RulebookFields!{{RulebookFieldId}}, 0))"
   },
   {
    "name": "FieldIsDerived",
    "datatype": "boolean",
    "type": "lookup",
    "nullable": true,
    "Description": "Whether the granted field is a derived (calculated/lookup/aggregation) field.",
    "formula": "=INDEX(RulebookFields!{{IsDerived}}, MATCH({{TargetField}}, RulebookFields!{{RulebookFieldId}}, 0))"
   },
   {
    "name": "IsWritableDerivedField",
    "datatype": "boolean",
    "type": "calculated",
    "nullable": true,
    "Description": "True when a derived field has been granted write access. Derived fields are computed by the substrate and cannot be written -- such a grant is incoherent and must be corrected.",
    "formula": "=AND({{CanWrite}}, {{FieldIsDerived}})"
   },
   {
    "name": "IsMasked",
    "datatype": "boolean",
    "type": "calculated",
    "nullable": true,
    "Description": "True when the value is transformed rather than shown verbatim.",
    "formula": "=AND({{MaskStrategy}} &lt;&gt; \"plain\", {{MaskStrategy}} &lt;&gt; \"\")"
   },
   {
    "name": "GrantKeyWhenReadable",
    "datatype": "string",
    "type": "calculated",
    "nullable": true,
    "Description": "Composite echo of principal and table, blank unless readable. Enables single-criterion COUNTIFS rollups of readable columns per principal per table, per the documented multi-criteria COUNTIFS defect.",
    "formula": "=IF({{CanRead}}, {{Principal}} &amp; \"|\" &amp; {{FieldTable}}, \"\")"
   },
   {
    "name": "SemanticTypeIri",
    "datatype": "string",
    "type": "raw",
    "nullable": true,
    "Description": "Semantic type IRI."
   }
  ],
  "data": [
   {
    "FieldGrantId": "fg-finance-analyst-Steps.StepId",
    "Principal": "principal-finance-analyst",
    "TargetField": "Steps.StepId",
    "CanRead": true,
    "CanWrite": false,
    "MaskStrategy": "plain",
    "SemanticTypeIri": "urn:effortless:pko-extension#FieldGrant",
    "Name": "principal-finance-analyst -&gt; Steps.StepId",
    "FieldTable": "Steps",
    "FieldName": "StepId",
    "FieldIsDerived": false,
    "IsWritableDerivedField": false,
    "IsMasked": false,
    "GrantKeyWhenReadable": "principal-finance-analyst|Steps"
   },
   {
    "FieldGrantId": "fg-finance-analyst-Steps.StepNumber",
    "Principal": "principal-finance-analyst",
    "TargetField": "Steps.StepNumber",
    "CanRead": true,
    "CanWrite": false,
    "MaskStrategy": "plain",
    "SemanticTypeIri": "urn:effortless:pko-extension#FieldGrant",
    "Name": "principal-finance-analyst -&gt; Steps.StepNumber",
    "FieldTable": "Steps",
    "FieldName": "StepNumber",
    "FieldIsDerived": false,
    "IsWritableDerivedField": false,
    "IsMasked": false,
    "GrantKeyWhenReadable": "principal-finance-analyst|Steps"
   },
   {
    "FieldGrantId": "fg-finance-analyst-Steps.Title",
    "Principal": "principal-finance-analyst",
    "TargetField": "Steps.Title",
    "CanRead": true,
    "CanWrite": false,
    "MaskStrategy": "plain",
    "SemanticTypeIri": "urn:effortless:pko-extension#FieldGrant",
    "Name": "principal-finance-analyst -&gt; Steps.Title",
    "FieldTable": "Steps",
    "FieldName": "Title",
    "FieldIsDerived": false,
    "IsWritableDerivedField": false,
    "IsMasked": false,
    "GrantKeyWhenReadable": "principal-finance-analyst|Steps"
   },
   {
    "FieldGrantId": "fg-finance-analyst-Steps.StepKind",
    "Principal": "principal-finance-analyst",
    "TargetField": "Steps.StepKind",
    "CanRead": true,
    "CanWrite": false,
    "MaskStrategy": "plain",
    "SemanticTypeIri": "urn:effortless:pko-extension#FieldGrant",
    "Name": "principal-finance-analyst -&gt; Steps.StepKind",
    "FieldTable": "Steps",
    "FieldName": "StepKind",
    "FieldIsDerived": false,
    "IsWritableDerivedField": false,
    "IsMasked": false,
    "GrantKeyWhenReadable": "principal-finance-analyst|Steps"
   },
   {
    "FieldGrantId": "fg-finance-analyst-Steps.Instruction",
    "Principal": "principal-finance-analyst",
    "TargetField": "Steps.Instruction",
    "CanRead": true,
    "CanWrite": false,
    "MaskStrategy": "plain",
    "SemanticTypeIri": "urn:effortless:pko-extension#FieldGrant",
    "Name": "principal-finance-analyst -&gt; Steps.Instruction",
    "FieldTable": "Steps",
    "FieldName": "Instruction",
    "FieldIsDerived": false,
    "IsWritableDerivedField": false,
    "IsMasked": false,
    "GrantKeyWhenReadable": "principal-finance-analyst|Steps"
   },
   {
    "FieldGrantId": "fg-finance-analyst-Steps.AssignedRole",
    "Principal": "principal-finance-analyst",
    "TargetField": "Steps.AssignedRole",
    "CanRead": true,
    "CanWrite": false,
    "MaskStrategy": "plain",
    "SemanticTypeIri": "urn:effortless:pko-extension#FieldGrant",
    "Name": "principal-finance-analyst -&gt; Steps.AssignedRole",
    "FieldTable": "Steps",
    "FieldName": "AssignedRole",
    "FieldIsDerived": false,
    "IsWritableDerivedField": false,
    "IsMasked": false,
    "GrantKeyWhenReadable": "principal-finance-analyst|Steps"
   },
   {
    "FieldGrantId": "fg-finance-analyst-Steps.AssignedRoleLabel",
    "Principal": "principal-finance-analyst",
    "TargetField": "Steps.AssignedRoleLabel",
    "CanRead": true,
    "CanWrite": false,
    "MaskStrategy": "plain",
    "SemanticTypeIri": "urn:effortless:pko-extension#FieldGrant",
    "Name": "principal-finance-analyst -&gt; Steps.AssignedRoleLabel",
    "FieldTable": "Steps",
    "FieldName": "AssignedRoleLabel",
    "FieldIsDerived": true,
    "IsWritableDerivedField": false,
    "IsMasked": false,
    "GrantKeyWhenReadable": "principal-finance-analyst|Steps"
   },
   {
    "FieldGrantId": "fg-finance-analyst-Steps.ProcedureVersion",
    "Principal": "principal-finance-analyst",
    "TargetField": "Steps.ProcedureVersion",
    "CanRead": true,
    "CanWrite": false,
    "MaskStrategy": "plain",
    "SemanticTypeIri": "urn:effortless:pko-extension#FieldGrant",
    "Name": "principal-finance-analyst -&gt; Steps.ProcedureVersion",
    "FieldTable": "Steps",
    "FieldName": "ProcedureVersion",
    "FieldIsDerived": false,
    "IsWritableDerivedField": false,
    "IsMasked": false,
    "GrantKeyWhenReadable": "principal-finance-analyst|Steps"
   },
   {
    "FieldGrantId": "fg-finance-analyst-Steps.Name",
    "Principal": "principal-finance-analyst",
    "TargetField": "Steps.Name",
    "CanRead": true,
    "CanWrite": false,
    "MaskStrategy": "plain",
  </t>
  </si>
  <si>
    <t xml:space="preserve">  "SemanticTypeIri": "urn:effortless:pko-extension#FieldGrant",
    "Name": "principal-finance-analyst -&gt; Steps.Name",
    "FieldTable": "Steps",
    "FieldName": "Name",
    "FieldIsDerived": true,
    "IsWritableDerivedField": false,
    "IsMasked": false,
    "GrantKeyWhenReadable": "principal-finance-analyst|Steps"
   },
   {
    "FieldGrantId": "fg-finance-analyst-Steps.IsApprovalStep",
    "Principal": "principal-finance-analyst",
    "TargetField": "Steps.IsApprovalStep",
    "CanRead": true,
    "CanWrite": false,
    "MaskStrategy": "plain",
    "SemanticTypeIri": "urn:effortless:pko-extension#FieldGrant",
    "Name": "principal-finance-analyst -&gt; Steps.IsApprovalStep",
    "FieldTable": "Steps",
    "FieldName": "IsApprovalStep",
    "FieldIsDerived": true,
    "IsWritableDerivedField": false,
    "IsMasked": false,
    "GrantKeyWhenReadable": "principal-finance-analyst|Steps"
   },
   {
    "FieldGrantId": "fg-finance-analyst-Steps.RequiresHumanConfirmation",
    "Principal": "principal-finance-analyst",
    "TargetField": "Steps.RequiresHumanConfirmation",
    "CanRead": true,
    "CanWrite": false,
    "MaskStrategy": "plain",
    "SemanticTypeIri": "urn:effortless:pko-extension#FieldGrant",
    "Name": "principal-finance-analyst -&gt; Steps.RequiresHumanConfirmation",
    "FieldTable": "Steps",
    "FieldName": "RequiresHumanConfirmation",
    "FieldIsDerived": false,
    "IsWritableDerivedField": false,
    "IsMasked": false,
    "GrantKeyWhenReadable": "principal-finance-analyst|Steps"
   },
   {
    "FieldGrantId": "fg-finance-analyst-Steps.ExpectedDurationMinutes",
    "Principal": "principal-finance-analyst",
    "TargetField": "Steps.ExpectedDurationMinutes",
    "CanRead": true,
    "CanWrite": false,
    "MaskStrategy": "plain",
    "SemanticTypeIri": "urn:effortless:pko-extension#FieldGrant",
    "Name": "principal-finance-analyst -&gt; Steps.ExpectedDurationMinutes",
    "FieldTable": "Steps",
    "FieldName": "ExpectedDurationMinutes",
    "FieldIsDerived": false,
    "IsWritableDerivedField": false,
    "IsMasked": false,
    "GrantKeyWhenReadable": "principal-finance-analyst|Steps"
   },
   {
    "FieldGrantId": "fg-finance-analyst-StepExecutions.StepExecutionId",
    "Principal": "principal-finance-analyst",
    "TargetField": "StepExecutions.StepExecutionId",
    "CanRead": true,
    "CanWrite": false,
    "MaskStrategy": "plain",
    "SemanticTypeIri": "urn:effortless:pko-extension#FieldGrant",
    "Name": "principal-finance-analyst -&gt; StepExecutions.StepExecutionId",
    "FieldTable": "StepExecutions",
    "FieldName": "StepExecutionId",
    "FieldIsDerived": false,
    "IsWritableDerivedField": false,
    "IsMasked": false,
    "GrantKeyWhenReadable": "principal-finance-analyst|StepExecutions"
   },
   {
    "FieldGrantId": "fg-finance-analyst-StepExecutions.Step",
    "Principal": "principal-finance-analyst",
    "TargetField": "StepExecutions.Step",
    "CanRead": true,
    "CanWrite": false,
    "MaskStrategy": "plain",
    "SemanticTypeIri": "urn:effortless:pko-extension#FieldGrant",
    "Name": "principal-finance-analyst -&gt; StepExecutions.Step",
    "FieldTable": "StepExecutions",
    "FieldName": "Step",
    "FieldIsDerived": false,
    "IsWritableDerivedField": false,
    "IsMasked": false,
    "GrantKeyWhenReadable": "principal-finance-analyst|StepExecutions"
   },
   {
    "FieldGrantId": "fg-finance-analyst-StepExecutions.ExecutionStatus",
    "Principal": "principal-finance-analyst",
    "TargetField": "StepExecutions.ExecutionStatus",
    "CanRead": true,
    "CanWrite": false,
    "MaskStrategy": "plain",
    "SemanticTypeIri": "urn:effortless:pko-extension#FieldGrant",
    "Name": "principal-finance-analyst -&gt; StepExecutions.ExecutionStatus",
    "FieldTable": "StepExecutions",
    "FieldName": "ExecutionStatus",
    "FieldIsDerived": false,
    "IsWritableDerivedField": false,
    "IsMasked": false,
    "GrantKeyWhenReadable": "principal-finance-analyst|StepExecutions"
   },
   {
    "FieldGrantId": "fg-finance-analyst-StepExecutions.StartedAt",
    "Principal": "principal-finance-analyst",
    "TargetField": "StepExecutions.StartedAt",
    "CanRead": true,
    "CanWrite": false,
    "MaskStrategy": "plain",
    "SemanticTypeIri": "urn:effortless:pko-extension#FieldGrant",
    "Name": "principal-finance-analyst -&gt; StepExecutions.StartedAt",
    "FieldTable": "StepExecutions",
    "FieldName": "StartedAt",
    "FieldIsDerived": false,
    "IsWritableDerivedField": false,
    "IsMasked": false,
    "GrantKeyWhenReadable": "principal-finance-analyst|StepExecutions"
   },
   {
    "FieldGrantId": "fg-finance-analyst-StepExecutions.EndedAt",
    "Principal": "principal-finance-analyst",
    "TargetField": "StepExecutions.EndedAt",
    "CanRead": true,
    "CanWrite": false,
    "MaskStrategy": "plain",
    "SemanticTypeIri": "urn:effortless:pko-extension#FieldGrant",
    "Name": "principal-finance-analyst -&gt; StepExecutions.EndedAt",
    "FieldTable": "StepExecutions",
    "FieldName": "EndedAt",
    "FieldIsDerived": false,
    "IsWritableDerivedField": false,
    "IsMasked": false,
    "GrantKeyWhenReadable": "principal-finance-analyst|StepExecutions"
   },
   {
    "FieldGrantId": "fg-finance-analyst-StepExecutions.VerificationResult",
    "Principal": "principal-finance-analyst",
    "TargetField": "StepExecutions.VerificationResult",
    "CanRead": true,
    "CanWrite": false,
    "MaskStrategy": "plain",
    "SemanticTypeIri": "urn:effortless:pko-extension#FieldGrant",
    "Name": "principal-finance-analyst -&gt; StepExecutions.VerificationResult",
    "FieldTable": "StepExecutions",
    "FieldName": "VerificationResult",
    "FieldIsDerived": false,
    "IsWritableDerivedField": false,
    "IsMasked": false,
    "GrantKeyWhenReadable": "principal-finance-analyst|StepExecutions"
   },
   {
    "FieldGrantId": "fg-finance-analyst-StepExecutions.Name",
    "Principal": "principal-finance-analyst",
    "TargetField": "StepExecutions.Name",
    "CanRead": true,
    "CanWrite": false,
    "MaskStrategy": "plain",
    "SemanticTypeIri": "urn:effortless:pko-extension#FieldGrant",
    "Name": "principal-finance-analyst -&gt; StepExecutions.Name",
    "FieldTable": "StepExecutions",
    "FieldName": "Name",
    "FieldIsDerived": true,
    "IsWritableDerivedField": false,
    "IsMasked": false,
    "GrantKeyWhenReadable": "principal-finance-analyst|StepExecutions"
   },
   {
    "FieldGrantId": "fg-finance-analyst-StepExecutions.Deviation",
    "Principal": "principal-finance-analyst",
    "TargetField": "StepExecutions.Deviation",
    "CanRead": true,
    "CanWrite": false,
    "MaskStrategy": "plain",
    "SemanticTypeIri": "urn:effortless:pko-extension#FieldGrant",
    "Name": "principal-finance-analyst -&gt; StepExecutions.Deviation",
    "FieldTable": "StepExecutions",
    "FieldName": "Deviation",
    "FieldIsDerived": false,
    "IsWritableDerivedField": false,
    "IsMasked": false,
    "GrantKeyWhenReadable": "principal-finance-analyst|StepExecutions"
   },
   {
    "FieldGrantId": "fg-finance-analyst-StepExecutions.ActualDurationMinutes",
    "Principal": "principal-finance-analyst",
    "TargetField": "StepExecutions.ActualDurationMinutes",
    "CanRead": true,
    "CanWrite": false,
    "MaskStrategy": "plain",
    "SemanticTypeIri": "urn:effortless:pko-extension#FieldGrant",
    "Name": "principal-finance-analyst -&gt; StepExecutions.ActualDurationMinutes",
    "FieldTable": "StepExecutions",
    "FieldName": "ActualDurationMinutes",
    "FieldIsDerived": true,
    "IsWritableDerivedField": false,
    "IsMasked": false,
    "GrantKeyWhenReadable": "principal-finance-analyst|StepExecutions"
   },
   {
    "FieldGrantId": "fg-finance-analyst-StepExecutions.IsLate",
    "Principal": "principal-finance-analyst",
    "TargetField": "StepExecutions.IsLate",
    "CanRead": true,
    "CanWrite": false,
    "MaskStrategy": "plain",
    "SemanticTypeIri": "urn:effortless:pko-extension#FieldGrant",
    "Name": "principal-finance-analyst -&gt; StepExecutions.IsLate",
    "FieldTable": "StepExecutions",
    "FieldName": "IsLate",
    "FieldIsDerived": true,
    "IsWritableDerivedField": false,
    "IsMasked": false,
    "GrantKeyWhenReadable": "principal-finance-analyst|StepExecutions"
   },
   {
    "FieldGrantId": "fg-finance-analyst-ProcedureExecutions.ProcedureExecutionId",
    "Principal": "principal-finance-analyst",
    "TargetField": "ProcedureExecutions.ProcedureExecutionId",
    "CanRead": true,
    "CanWrite": false,
    "MaskStrategy": "plain",
    "SemanticTypeIri": "urn:effortless:pko-extension#FieldGrant",
    "Name": "principal-finance-analyst -&gt; ProcedureExecutions.ProcedureExecutionId",
    "FieldTable": "ProcedureExecutions",
    "FieldName": "ProcedureExecutionId",
    "FieldIsDerived": false,
    "IsWritableDerivedField": false,
    "IsMasked": false,
    "GrantKeyWhenReadable": "principal-finance-analyst|ProcedureExecutions"
   },
   {
    "FieldGrantId": "fg-finance-analyst-ProcedureExecutions.ExecutionStatus",
    "Principal": "principal-finance-analyst",
    "TargetField": "ProcedureExecutions.ExecutionStatus",
    "CanRead": true,
    "CanWrite": false,
    "MaskStrategy": "plain",
    "SemanticTypeIri": "urn:effortless:pko-extension#FieldGrant",
    "Name": "principal-finance-analyst -&gt; ProcedureExecutions.ExecutionStatus",
    "FieldTable": "ProcedureExecutions",
    "FieldName": "ExecutionStatus",
    "FieldIsDerived": false,
    "IsWritableDerivedField": false,
    "IsMasked": false,
    "GrantKeyWhenReadable": "principal-finance-analyst|ProcedureExecutions"
   },
   {
    "FieldGrantId": "fg-finance-analyst-ProcedureExecutions.StartedAt",
    "Principal": "principal-finance-analyst",
    "TargetField": "ProcedureExecutions.StartedAt",
    "CanRead": true,
    "CanWrite": false,
    "MaskStrategy": "plain",
    "SemanticTypeIri": "urn:effortless:pko-extension#FieldGrant",
    "Name": "principal-finance-analyst -&gt; ProcedureExecutions.StartedAt",
    "FieldTable": "ProcedureExecutions",
    "FieldName": "StartedAt",
    "FieldIsDerived": false,
    "IsWritableDerivedField": false,
    "IsMasked": false,
    "GrantKeyWhenReadable": "principal-finance-analyst|ProcedureExecutions"
   },
   {
    "FieldGrantId": "fg-finance-analyst-ProcedureExecutions.EndedAt",
    "Principal": "principal-finance-analyst",
    "TargetField": "ProcedureExecutions.EndedAt",
    "CanRead": true,
    "CanWrite": false,
    "MaskStrategy": "plain",
    "SemanticTypeIri": "urn:effortless:pko-extension#FieldGrant",
    "Name": "principal-finance-analyst -&gt; ProcedureExecutions.EndedAt",
    "FieldTable": "ProcedureExecutions",
    "FieldName": "EndedAt",
    "FieldIsDerived": false,
    "IsWritableDerivedField": false,
    "IsMasked": false,
    "GrantKeyWhenReadable": "principal-finance-analyst|ProcedureExecutions"
   },
   {
    "FieldGrantId": "fg-finance-analyst-ProcedureExecutions.ProcedureVersion",
    "Principal": "principal-finance-analyst",
    "TargetField": "ProcedureExecutions.ProcedureVersion",
    "CanRead": true,
    "CanWrite": false,
    "MaskStrategy": "plain",
    "SemanticTypeIri": "urn:effortless:pko-extension#FieldGrant",
    "Name": "principal-finance-analyst -&gt; ProcedureExecutions.ProcedureVersion",
    "FieldTable": "ProcedureExecutions",
    "FieldName": "ProcedureVersion",
    "FieldIsDerived": false,
    "IsWritableDerivedField": false,
    "IsMasked": false,
    "GrantKeyWhenReadable": "principal-finance-analyst|ProcedureExecutions"
   },
   {
    "FieldGrantId": "fg-finance-analyst-ProcedureExecutions.Name",
    "Principal": "principal-finance-analyst",
    "TargetField": "ProcedureExecutions.Name",
    "CanRead": true,
    "CanWrite": false,
    "MaskStrategy": "plain",
    "SemanticTypeIri": "urn:effortless:pko-extension#FieldGrant",
    "Name": "principal-finance-analyst -&gt; ProcedureExecutions.Name",
    "FieldTable": "ProcedureExecutions",
    "FieldName": "Name",
    "FieldIsDerived": true,
    "IsWritableDerivedField": false,
    "IsMasked": false,
    "GrantKeyWhenReadable": "principal-finance-analyst|ProcedureExecutions"
   },
   {
    "FieldGrantId": "fg-finance-analyst-Requirements.RequirementId",
    "Principal": "principal-finance-analyst",
    "TargetField": "Requirements.RequirementId",
    "CanRead": true,
    "CanWrite": false,
    "MaskStrategy": "plain",
    "SemanticTypeIri": "urn:effortless:pko-extension#FieldGrant",
    "Name": "principal-finance-analyst -&gt; Requirements.RequirementId",
    "FieldTable": "Requirements",
    "FieldName": "RequirementId",
    "FieldIsDerived": false,
    "IsWritableDerivedField": false,
    "IsMasked": false,
    "GrantKeyWhenReadable": "principal-finance-analyst|Requirements"
   },
   {
    "FieldGrantId": "fg-finance-analyst-Requirements.Label",
    "Principal": "principal-finance-analyst",
    "TargetField": "Requirements.Label",
    "CanRead": true,
    "CanWrite": false,
    "MaskStrategy": "plain",
    "SemanticTypeIri": "urn:effortless:pko-extension#FieldGrant",
    "Name": "principal-finance-analyst -&gt; Requirements.Label",
    "FieldTable": "Requirements",
    "FieldName": "Label",
    "FieldIsDerived": false,
    "IsWritableDerivedField": false,
    "IsMasked": false,
    "GrantKeyWhenReadable": "principal-finance-analyst|Requirements"
   },
   {
    "FieldGrantId": "fg-finance-analyst-Requirements.RequirementType",
    "Principal": "principal-finance-analyst",
    "TargetField": "Requirements.RequirementType",
    "CanRead": true,
    "CanWrite": false,
    "MaskStrategy": "plain",
    "SemanticTypeIri": "urn:effortless:pko-extension#FieldGrant",
    "Name": "principal-finance-analyst -&gt; Requirements.RequirementType",
    "FieldTable": "Requirements",
    "FieldName": "RequirementType",
    "FieldIsDerived": false,
    "IsWritableDerivedField": false,
    "IsMasked": false,
    "GrantKeyWhenReadable": "principal-finance-analyst|Requirements"
   },
   {
    "FieldGrantId": "fg-finance-analyst-Requirements.Statement",
    "Principal": "principal-finance-analyst",
    "TargetField": "Requirements.Statement",
    "CanRead": true,
    "CanWrite": false,
    "MaskStrategy": "plain",
    "SemanticTypeIri": "urn:effortless:pko-extension#FieldGrant",
    "Name": "principal-finance-analyst -&gt; Requirements.Statement",
    "FieldTable": "Requirements",
    "FieldName": "Statement",
    "FieldIsDerived": false,
    "IsWritableDerivedField": false,
    "IsMasked": false,
    "GrantKeyWhenReadable": "principal-finance-analyst|Requirements"
   },
   {
    "FieldGrantId": "fg-finance-analyst-Requirements.IsBlocking",
    "Principal": "principal-finance-analyst",
    "TargetField": "Requirements.IsBlocking",
    "CanRead": true,
    "CanWrite": false,
    "MaskStrategy": "plain",
    "SemanticTypeIri": "urn:effortless:pko-extension#FieldGrant",
    "Name": "principal-finance-analyst -&gt; Requirements.IsBlocking",
    "FieldTable": "Requirements",
    "FieldName": "IsBlocking",
    "FieldIsDerived": false,
    "IsWritableDerivedField": false,
    "IsMasked": false,
    "GrantKeyWhenReadable": "principal-finance-analyst|Requirements"
   },
   {
    "FieldGrantId": "fg-finance-analyst-Requirements.Name",
    "Principal": "principal-finance-analyst",
    "TargetField": "Requirements.Name",
    "CanRead": true,
    "CanWrite": false,
    "MaskStrategy": "plain",
    "SemanticTypeIri": "urn:effortless:pko-extension#FieldGrant",
    "Name": "principal-finance-analyst -&gt; Requirements.Name",
    "FieldTable": "Requirements",
    "FieldName": "Name",
    "FieldIsDerived": true,
    "IsWritableDerivedField": false,
    "IsMasked": false,
    "GrantKeyWhenReadable": "principal-finance-analyst|Requirements"
   },
   {
    "FieldGrantId": "fg-finance-analyst-RequirementSatisfactions.RequirementSatisfactionId",
    "Principal": "principal-finance-analyst",
    "TargetField": "RequirementSatisfactions.RequirementSatisfactionId",
    "CanRead": true,
    "CanWrite": false,
    "MaskStrategy": "plain",
    "SemanticTypeIri": "urn:effortless:pko-extension#FieldGrant",
    "Name": "principal-finance-analyst -&gt; RequirementSatisfactions.RequirementSatisfactionId",
    "FieldTable": "RequirementSatisfactions",
    "FieldName": "RequirementSatisfactionId",
    "FieldIsDerived": false,
    "IsWritableDerivedField": false,
    "IsMasked": false,
    "GrantKeyWhenReadable": "principal-finance-analyst|RequirementSatisfactions"
   },
   {
    "FieldGrantId": "fg-finance-analyst-RequirementSatisfactions.Requirement",
    "Principal": "principal-finance-analyst",
    "TargetField": "RequirementSatisfactions.Requirement",
    "CanRead": true,
    "CanWrite": false,
    "MaskStrategy": "plain",
    "SemanticTypeIri": "urn:effortless:pko-extension#FieldGrant",
    "Name": "principal-finance-analyst -&gt; RequirementSatisfactions.Requirement",
    "FieldTable": "RequirementSatisfactions",
    "FieldName": "Requirement",
    "FieldIsDerived": false,
    "IsWritableDerivedField": false,
    "IsMasked": false,
    "GrantKeyWhenReadable": "principal-finance-analyst|RequirementSatisfactions"
   },
   {
    "FieldGrantId": "fg-finance-analyst-RequirementSatisfactions.SatisfactionLevel",
    "Principal": "principal-finance-analyst",
    "TargetField": "RequirementSatisfactions.SatisfactionLevel",
    "CanRead": true,
    "CanWrite": false,
    "MaskStrategy": "plain",
    "SemanticTypeIri": "urn:effortless:pko-extension#FieldGrant",
    "Name": "principal-finance-analyst -&gt; RequirementSatisfactions.SatisfactionLevel",
    "FieldTable": "RequirementSatisfactions",
    "FieldName": "SatisfactionLevel",
    "FieldIsDerived": false,
    "IsWritableDerivedField": false,
    "IsMasked": false,
    "GrantKeyWhenReadable": "principal-finance-analyst|RequirementSatisfactions"
   },
   {
    "FieldGrantId": "fg-finance-analyst-RequirementSatisfactions.Evidence",
    "Principal": "principal-finance-analyst",
    "TargetField": "RequirementSatisfactions.Evidence",
    "CanRead": true,
    "CanWrite": false,
    "MaskStrategy": "plain",
    "SemanticTypeIri": "urn:effortless:pko-extension#FieldGrant",
    "Name": "principal-finance-analyst -&gt; RequirementSatisfactions.Evidence",
    "FieldTable": "RequirementSatisfactions",
    "FieldName": "Evidence",
    "FieldIsDerived": false,
    "IsWritableDerivedField": false,
    "IsMasked": false,
    "GrantKeyWhenReadable": "principal-finance-analyst|RequirementSatisfactions"
   },
   {
    "FieldGrantId": "fg-finance-analyst-RequirementSatisfactions.EvaluatedAt",
    "Principal": "principal-finance-analyst",
    "TargetField": "RequirementSatisfactions.EvaluatedAt",
    "CanRead": true,
    "CanWrite": false,
    "MaskStrategy": "plain",
    "SemanticTypeIri": "urn:effortless:pko-extension#FieldGrant",
    "Name": "principal-finance-analyst -&gt; RequirementSatisfactions.EvaluatedAt",
    "FieldTable": "RequirementSatisfactions",
    "FieldName": "EvaluatedAt",
    "FieldIsDerived": false,
    "IsWritableDerivedField": false,
    "IsMasked": false,
    "GrantKeyWhenReadable": "principal-finance-analyst|RequirementSatisfactions"
   },
   {
    "FieldGrantId": "fg-finance-analyst-RequirementSatisfactions.Name",
    "Principal": "principal-finance-analyst",
    "TargetField": "RequirementSatisfactions.Name",
    "CanRead": true,
    "CanWrite": false,
    "MaskStrategy": "plain",
    "SemanticTypeIri": "urn:effortless:pko-extension#FieldGrant",
    "Name": "principal-finance-analyst -&gt; RequirementSatisfactions.Name",
    "FieldTable": "RequirementSatisfactions",
    "FieldName": "Name",
    "FieldIsDerived": true,
    "IsWritableDerivedField": false,
    "IsMasked": false,
    "GrantKeyWhenReadable": "principal-finance-analyst|RequirementSatisfactions"
   },
   {
    "FieldGrantId": "fg-finance-analyst-Procedures.ProcedureId",
    "Principal": "principal-finance-analyst",
    "TargetField": "Procedures.ProcedureId",
    "CanRead": true,
    "CanWrite": false,
    "MaskStrategy": "plain",
    "SemanticTypeIri": "urn:effortless:pko-extension#FieldGrant",
    "Name": "principal-finance-analyst -&gt; Procedures.ProcedureId",
    "FieldTable": "Procedures",
    "FieldName": "ProcedureId",
    "FieldIsDerived": false,
    "IsWritableDerivedField": false,
    "IsMasked": false,
    "GrantKeyWhenReadable": "principal-finance-analyst|Procedures"
   },
   {
    "FieldGrantId": "fg-finance-analyst-Procedures.Title",
    "Principal": "principal-finance-analyst",
    "TargetField": "Procedures.Title",
    "CanRead": true,
    "CanWrite": false,
    "MaskStrategy": "plain",
    "SemanticTypeIri": "urn:effortless:pko-extension#FieldGrant",
    "Name": "principal-finance-analyst -&gt; Procedures.Title",
    "FieldTable": "Procedures",
    "FieldName": "Title",
    "FieldIsDerived": false,
    "IsWritableDerivedField": false,
    "IsMasked": false,
    "GrantKeyWhenReadable": "principal-finance-analyst|Procedures"
   },
   {
    "FieldGrantId": "fg-finance-analyst-Procedures.Purpose",
    "Principal": "principal-finance-analyst",
    "TargetField": "Procedures.Purpose",
    "CanRead": true,
    "CanWrite": false,
    "MaskStrategy": "plain",
    "SemanticTypeIri": "urn:effortless:pko-extension#FieldGrant",
    "Name": "principal-finance-analyst -&gt; Procedures.Purpose",
    "FieldTable": "Procedures",
    "FieldName": "Purpose",
    "FieldIsDerived": false,
    "IsWritableDerivedField": false,
    "IsMasked": false,
    "GrantKeyWhenReadable": "principal-finance-analyst|Procedures"
   },
   {
    "FieldGrantId": "fg-finance-analyst-Procedures.Name",
    "Principal": "principal-finance-analyst",
    "TargetField": "Procedures.Name",
    "CanRead": true,
    "CanWrite": false,
    "MaskStrategy": "plain",
    "SemanticTypeIri": "urn:effortless:pko-extension#FieldGrant",
    "Name": "principal-finance-analyst -&gt; Procedures.Name",
    "FieldTable": "Procedures",
    "FieldName": "Name",
    "FieldIsDerived": true,
    "IsWritableDerivedField": false,
    "IsMasked": false,
    "GrantKeyWhenReadable": "principal-finance-analyst|Procedures"
   },
   {
    "FieldGrantId": "fg-finance-analyst-ProcedureVersions.ProcedureVersionId",
    "Principal": "principal-finance-analyst",
    "TargetField": "ProcedureVersions.ProcedureVersionId",
    "CanRead": true,
    "CanWrite": false,
    "MaskStrategy": "plain",
    "SemanticTypeIri": "urn:effortless:pko-extension#FieldGrant",
    "Name": "principal-finance-analyst -&gt; ProcedureVersions.ProcedureVersionId",
    "FieldTable": "ProcedureVersions",
    "FieldName": "ProcedureVersionId",
    "FieldIsDerived": false,
    "IsWritableDerivedField": false,
    "IsMasked": false,
    "GrantKeyWhenReadable": "principal-finance-analyst|ProcedureVersions"
   },
   {
    "FieldGrantId": "fg-finance-analyst-ProcedureVersions.VersionNumber",
    "Principal": "principal-finance-analyst",
    "TargetField": "ProcedureVersions.VersionNumber",
    "CanRead": true,
    "CanWrite": false,
    "MaskStrategy": "plain",
    "SemanticTypeIri": "urn:effortless:pko-extension#FieldGrant",
    "Name": "principal-finance-analyst -&gt; ProcedureVersions.VersionNumber",
    "FieldTable": "ProcedureVersions",
    "FieldName": "VersionNumber",
    "FieldIsDerived": false,
    "IsWritableDerivedField": false,
    "IsMasked": false,
    "GrantKeyWhenReadable": "principal-finance-analyst|ProcedureVersions"
   },
   {
    "FieldGrantId": "fg-finance-analyst-ProcedureVersions.Title",
    "Principal": "principal-finance-analyst",
    "TargetField": "ProcedureVersions.Title",
    "CanRead": true,
    "CanWrite": false,
    "MaskStrategy": "plain",
    "SemanticTypeIri": "urn:effortless:pko-extension#FieldGrant",
    "Name": "principal-finance-analyst -&gt; ProcedureVersions.Title",
    "FieldTable": "ProcedureVersions",
    "FieldName": "Title",
    "FieldIsDerived": false,
    "IsWritableDerivedField": false,
    "IsMasked": false,
    "GrantKeyWhenReadable": "principal-finance-analyst|ProcedureVersions"
   },
   {
    "FieldGrantId": "fg-finance-analyst-ProcedureVersions.Status",
    "Principal": "principal-finance-analyst",
    "TargetField": "ProcedureVersions.Status",
    "CanRead": true,
    "CanWrite": false,
    "MaskStrategy": "plain",
    "SemanticTypeIri": "urn:effortless:pko-extension#FieldGrant",
    "Name": "principal-finance-analyst -&gt; ProcedureVersions.Status",
    "FieldTable": "ProcedureVersions",
    "FieldName": "Status",
    "FieldIsDerived": false,
    "IsWritableDerivedField": false,
    "IsMasked": false,
    "GrantKeyWhenReadable": "principal-finance-analyst|ProcedureVersions"
   },
   {
    "FieldGrantId": "fg-finance-analyst-ProcedureVersions.IsCurrent",
    "Principal": "principal-finance-analyst",
    "TargetField": "ProcedureVersions.IsCurrent",
    "CanRead": true,
    "CanWrite": false,
    "MaskStrategy": "plain",
    "SemanticTypeIri": "urn:effortless:pko-extension#FieldGrant",
    "Name": "principal-finance-analyst -&gt; ProcedureVersions.IsCurrent",
    "FieldTable": "ProcedureVersions",
    "FieldName": "IsCurrent",
    "FieldIsDerived": false,
    "IsWritableDerivedField": false,
    "IsMasked": false,
    "GrantKeyWhenReadable": "principal-finance-analyst|ProcedureVersions"
   },
   {
    "FieldGrantId": "fg-finance-analyst-ProcedureVersions.Procedure",
    "Principal": "principal-finance-analyst",
    "TargetField": "ProcedureVersions.Procedure",
    "CanRead": true,
    "CanWrite": false,
    "MaskStrategy": "plain",
    "SemanticTypeIri": "urn:effortless:pko-extension#FieldGrant",
    "Name": "principal-finance-analyst -&gt; ProcedureVersions.Procedure",
    "FieldTable": "ProcedureVersions",
    "FieldName": "Procedure",
    "FieldIsDerived": false,
    "IsWritableDerivedField": false,
    "IsMasked": false,
    "GrantKeyWhenReadable": "principal-finance-analyst|ProcedureVersions"
   },
   {
    "FieldGrantId": "fg-finance-analyst-ProcedureVersions.Name",
    "Principal": "principal-finance-analyst",
    "TargetField": "ProcedureVersions.Name",
    "CanRead": true,
    "CanWrite": false,
    "MaskStrategy": "plain",
    "SemanticTypeIri": "urn:effortless:pko-extension#FieldGrant",
    "Name": "principal-finance-analyst -&gt; ProcedureVersions.Name",
    "FieldTable": "ProcedureVersions",
    "FieldName": "Name",
    "FieldIsDerived": true,
    "IsWritableDerivedField": false,
    "IsMasked": false,
    "GrantKeyWhenReadable": "principal-finance-analyst|ProcedureVersions"
   },
   {
    "FieldGrantId": "fg-controller-Steps.StepId",
    "Principal": "principal-controller",
    "TargetField": "Steps.StepId",
    "CanRead": true,
    "CanWrite": false,
    "MaskStrategy": "plain",
    "SemanticTypeIri": "urn:effortless:pko-extension#FieldGrant",
    "Name": "principal-controller -&gt; Steps.StepId",
    "FieldTable": "Steps",
    "FieldName": "StepId",
    "FieldIsDerived": false,
    "IsWritableDerivedField": false,
    "IsMasked": false,
    "GrantKeyWhenReadable": "principal-controller|Steps"
   },
   {
    "FieldGrantId": "fg-controller-Steps.StepNumber",
    "Principal": "principal-controller",
    "TargetField": "Steps.StepNumber",
    "CanRead": true,
    "CanWrite": false,
    "MaskStrategy": "plain",
    "SemanticTypeIri": "urn:effortless:pko-extension#FieldGrant",
    "Name": "principal-controller -&gt; Steps.StepNumber",
    "FieldTable": "Steps",
    "FieldName": "StepNumber",
    "FieldIsDerived": false,
    "IsWritableDerivedField": false,
    "IsMasked": false,
    "GrantKeyWhenReadable": "principal-controller|Steps"
   },
   {
    "FieldGrantId": "fg-controller-Steps.Title",
    "Principal": "principal-controller",
    "TargetField": "Steps.Title",
    "CanRead": true,
    "CanWrite": false,
    "MaskStrategy": "plain",
    "SemanticTypeIri": "urn:effortless:pko-extension#FieldGrant",
    "Name": "principal-controller -&gt; Steps.Title",
    "FieldTable": "Steps",
    "FieldName": "Title",
    "FieldIsDerived": false,
    "IsWritableDerivedField": false,
    "IsMasked": false,
    "GrantKeyWhenReadable": "principal-controller|Steps"
   },
   {
    "FieldGrantId": "fg-controller-Steps.StepKind",
    "Principal": "principal-controller",
    "TargetField": "Steps.StepKind",
    "CanRead": true,
    "CanWrite": false,
    "MaskStrategy": "plain",
    "SemanticTypeIri": "urn:effortless:pko-extension#FieldGrant",
    "Name": "principal-controller -&gt; Steps.StepKind",
    "FieldTable": "Steps",
    "FieldName": "StepKind",
    "FieldIsDerived": false,
    "IsWritableDerivedField": false,
    "IsMasked": false,
    "GrantKeyWhenReadable": "principal-controller|Steps"
   },
   {
    "FieldGrantId": "fg-controller-Steps.Instruction",
    "Principal": "principal-controller",
    "TargetField": "Steps.Instruction",
    "CanRead": true,
    "CanWrite": false,
    "MaskStrategy": "plain",
    "SemanticTypeIri": "urn:effortless:pko-extension#FieldGrant",
    "Name": "principal-controller -&gt; Steps.Instruction",
    "FieldTable": "Steps",
    "FieldName": "Instruction",
    "FieldIsDerived": false,
    "IsWritableDerivedField": false,
    "IsMasked": false,
    "GrantKeyWhenReadable": "principal-controller|Steps"
   },
   {
    "FieldGrantId": "fg-controller-Steps.AssignedRole",
    "Principal": "principal-controller",
    "TargetField": "Steps.AssignedRole",
    "CanRead": true,
    "CanWrite": false,
    "MaskStrategy": "plain",
    "SemanticTypeIri": "urn:effortless:pko-extension#FieldGrant",
    "Name": "principal-controller -&gt; Steps.AssignedRole",
    "FieldTable": "Steps",
    "FieldName": "AssignedRole",
    "FieldIsDerived": false,
    "IsWritableDerivedField": false,
    "IsMasked": false,
    "GrantKeyWhenReadable": "principal-controller|Steps"
   },
   {
    "FieldGrantId": "fg-controller-Steps.AssignedRoleLabel",
    "Principal": "principal-controller",
    "TargetField": "Steps.AssignedRoleLabel",
    "CanRead": true,
    "CanWrite": false,
    "MaskStrategy": "plain",
    "SemanticTypeIri": "urn:effortless:pko-extension#FieldGrant",
    "Name": "principal-controller -&gt; Steps.AssignedRoleLabel",
    "FieldTable": "Steps",
    "FieldName": "AssignedRoleLabel",
    "FieldIsDerived": true,
    "IsWritableDerivedField": false,
    "IsMasked": false,
    "GrantKeyWhenReadable": "principal-controller|Steps"
   },
   {
    "FieldGrantId": "fg-controller-Steps.ProcedureVersion",
    "Principal": "principal-controller",
    "TargetField": "Steps.ProcedureVersion",
    "CanRead": true,
    "CanWrite": false,
    "MaskStrategy": "plain",
    "SemanticTypeIri": "urn:effortless:pko-extension#FieldGrant",
    "Name": "principal-controller -&gt; Steps.ProcedureVersion",
    "FieldTable": "Steps",
    "FieldName": "ProcedureVersion",
    "FieldIsDerived": false,
    "IsWritableDerivedField": false,
    "IsMasked": false,
    "GrantKeyWhenReadable": "principal-controller|Steps"
   },
   {
    "FieldGrantId": "fg-controller-Steps.Name",
    "Principal": "principal-controller",
    "TargetField": "Steps.Name",
    "CanRead": true,
    "CanWrite": false,
    "MaskStrategy": "plain",
    "SemanticTypeIri": "urn:effortless:pko-extension#FieldGrant",
    "Name": "principal-controller -&gt; Steps.Name",
    "FieldTable": "Steps",
    "FieldName": "Name",
    "FieldIsDerived": true,
    "IsWritableDerivedField": false,
    "IsMasked": false,
    "GrantKeyWhenReadable": "principal-controller|Steps"
   },
   {
    "FieldGrantId": "fg-controller-Steps.IsApprovalStep",
    "Principal": "principal-controller",
    "TargetField": "Steps.IsApprovalStep",
    "CanRead": true,
    "CanWrite": false,
    "MaskStrategy": "plain",
    "SemanticTypeIri": "urn:effortless:pko-extension#FieldGrant",
    "Name": "principal-controller -&gt; Steps.IsApprovalStep",
    "FieldTable": "Steps",
    "FieldName": "IsApprovalStep",
    "FieldIsDerived": true,
    "IsWritableDerivedField": false,
    "IsMasked": false,
    "GrantKeyWhenReadable": "principal-controller|Steps"
   },
   {
    "FieldGrantId": "fg-controller-Steps.RequiresHumanConfirmation",
    "Principal": "principal-controller",
    "TargetField": "Steps.RequiresHumanConfirmation",
    "CanRead": true,
    "CanWrite": false,
    "MaskStrategy": "plain",
    "SemanticTypeIri": "urn:effortless:pko-extension#FieldGrant",
    "Name": "principal-controller -&gt; Steps.RequiresHumanConfirmation",
    "FieldTable": "Steps",
    "FieldName": "RequiresHumanConfirmation",
    "FieldIsDerived": false,
    "IsWritableDerivedField": false,
    "IsMasked": false,
    "GrantKeyWhenReadable": "principal-controller|Steps"
   },
   {
    "FieldGrantId": "fg-controller-Steps.ExpectedDurationMinutes",
    "Principal": "principal-controller",
    "TargetField": "Steps.ExpectedDurationMinutes",
    "CanRead": true,
    "CanWrite": false,
    "MaskStrategy": "plain",
    "SemanticTypeIri": "urn:effortless:pko-extension#FieldGrant",
    "Name": "principal-controller -&gt; Steps.ExpectedDuratio</t>
  </si>
  <si>
    <t xml:space="preserve">nMinutes",
    "FieldTable": "Steps",
    "FieldName": "ExpectedDurationMinutes",
    "FieldIsDerived": false,
    "IsWritableDerivedField": false,
    "IsMasked": false,
    "GrantKeyWhenReadable": "principal-controller|Steps"
   },
   {
    "FieldGrantId": "fg-controller-Steps.ControlKind",
    "Principal": "principal-controller",
    "TargetField": "Steps.ControlKind",
    "CanRead": true,
    "CanWrite": false,
    "MaskStrategy": "plain",
    "SemanticTypeIri": "urn:effortless:pko-extension#FieldGrant",
    "Name": "principal-controller -&gt; Steps.ControlKind",
    "FieldTable": "Steps",
    "FieldName": "ControlKind",
    "FieldIsDerived": false,
    "IsWritableDerivedField": false,
    "IsMasked": false,
    "GrantKeyWhenReadable": "principal-controller|Steps"
   },
   {
    "FieldGrantId": "fg-controller-StepExecutions.StepExecutionId",
    "Principal": "principal-controller",
    "TargetField": "StepExecutions.StepExecutionId",
    "CanRead": true,
    "CanWrite": false,
    "MaskStrategy": "plain",
    "SemanticTypeIri": "urn:effortless:pko-extension#FieldGrant",
    "Name": "principal-controller -&gt; StepExecutions.StepExecutionId",
    "FieldTable": "StepExecutions",
    "FieldName": "StepExecutionId",
    "FieldIsDerived": false,
    "IsWritableDerivedField": false,
    "IsMasked": false,
    "GrantKeyWhenReadable": "principal-controller|StepExecutions"
   },
   {
    "FieldGrantId": "fg-controller-StepExecutions.Step",
    "Principal": "principal-controller",
    "TargetField": "StepExecutions.Step",
    "CanRead": true,
    "CanWrite": false,
    "MaskStrategy": "plain",
    "SemanticTypeIri": "urn:effortless:pko-extension#FieldGrant",
    "Name": "principal-controller -&gt; StepExecutions.Step",
    "FieldTable": "StepExecutions",
    "FieldName": "Step",
    "FieldIsDerived": false,
    "IsWritableDerivedField": false,
    "IsMasked": false,
    "GrantKeyWhenReadable": "principal-controller|StepExecutions"
   },
   {
    "FieldGrantId": "fg-controller-StepExecutions.ExecutionStatus",
    "Principal": "principal-controller",
    "TargetField": "StepExecutions.ExecutionStatus",
    "CanRead": true,
    "CanWrite": false,
    "MaskStrategy": "plain",
    "SemanticTypeIri": "urn:effortless:pko-extension#FieldGrant",
    "Name": "principal-controller -&gt; StepExecutions.ExecutionStatus",
    "FieldTable": "StepExecutions",
    "FieldName": "ExecutionStatus",
    "FieldIsDerived": false,
    "IsWritableDerivedField": false,
    "IsMasked": false,
    "GrantKeyWhenReadable": "principal-controller|StepExecutions"
   },
   {
    "FieldGrantId": "fg-controller-StepExecutions.StartedAt",
    "Principal": "principal-controller",
    "TargetField": "StepExecutions.StartedAt",
    "CanRead": true,
    "CanWrite": false,
    "MaskStrategy": "plain",
    "SemanticTypeIri": "urn:effortless:pko-extension#FieldGrant",
    "Name": "principal-controller -&gt; StepExecutions.StartedAt",
    "FieldTable": "StepExecutions",
    "FieldName": "StartedAt",
    "FieldIsDerived": false,
    "IsWritableDerivedField": false,
    "IsMasked": false,
    "GrantKeyWhenReadable": "principal-controller|StepExecutions"
   },
   {
    "FieldGrantId": "fg-controller-StepExecutions.EndedAt",
    "Principal": "principal-controller",
    "TargetField": "StepExecutions.EndedAt",
    "CanRead": true,
    "CanWrite": false,
    "MaskStrategy": "plain",
    "SemanticTypeIri": "urn:effortless:pko-extension#FieldGrant",
    "Name": "principal-controller -&gt; StepExecutions.EndedAt",
    "FieldTable": "StepExecutions",
    "FieldName": "EndedAt",
    "FieldIsDerived": false,
    "IsWritableDerivedField": false,
    "IsMasked": false,
    "GrantKeyWhenReadable": "principal-controller|StepExecutions"
   },
   {
    "FieldGrantId": "fg-controller-StepExecutions.VerificationResult",
    "Principal": "principal-controller",
    "TargetField": "StepExecutions.VerificationResult",
    "CanRead": true,
    "CanWrite": false,
    "MaskStrategy": "plain",
    "SemanticTypeIri": "urn:effortless:pko-extension#FieldGrant",
    "Name": "principal-controller -&gt; StepExecutions.VerificationResult",
    "FieldTable": "StepExecutions",
    "FieldName": "VerificationResult",
    "FieldIsDerived": false,
    "IsWritableDerivedField": false,
    "IsMasked": false,
    "GrantKeyWhenReadable": "principal-controller|StepExecutions"
   },
   {
    "FieldGrantId": "fg-controller-StepExecutions.Name",
    "Principal": "principal-controller",
    "TargetField": "StepExecutions.Name",
    "CanRead": true,
    "CanWrite": false,
    "MaskStrategy": "plain",
    "SemanticTypeIri": "urn:effortless:pko-extension#FieldGrant",
    "Name": "principal-controller -&gt; StepExecutions.Name",
    "FieldTable": "StepExecutions",
    "FieldName": "Name",
    "FieldIsDerived": true,
    "IsWritableDerivedField": false,
    "IsMasked": false,
    "GrantKeyWhenReadable": "principal-controller|StepExecutions"
   },
   {
    "FieldGrantId": "fg-controller-StepExecutions.Deviation",
    "Principal": "principal-controller",
    "TargetField": "StepExecutions.Deviation",
    "CanRead": true,
    "CanWrite": false,
    "MaskStrategy": "plain",
    "SemanticTypeIri": "urn:effortless:pko-extension#FieldGrant",
    "Name": "principal-controller -&gt; StepExecutions.Deviation",
    "FieldTable": "StepExecutions",
    "FieldName": "Deviation",
    "FieldIsDerived": false,
    "IsWritableDerivedField": false,
    "IsMasked": false,
    "GrantKeyWhenReadable": "principal-controller|StepExecutions"
   },
   {
    "FieldGrantId": "fg-controller-ProcedureExecutions.ProcedureExecutionId",
    "Principal": "principal-controller",
    "TargetField": "ProcedureExecutions.ProcedureExecutionId",
    "CanRead": true,
    "CanWrite": false,
    "MaskStrategy": "plain",
    "SemanticTypeIri": "urn:effortless:pko-extension#FieldGrant",
    "Name": "principal-controller -&gt; ProcedureExecutions.ProcedureExecutionId",
    "FieldTable": "ProcedureExecutions",
    "FieldName": "ProcedureExecutionId",
    "FieldIsDerived": false,
    "IsWritableDerivedField": false,
    "IsMasked": false,
    "GrantKeyWhenReadable": "principal-controller|ProcedureExecutions"
   },
   {
    "FieldGrantId": "fg-controller-ProcedureExecutions.ExecutionStatus",
    "Principal": "principal-controller",
    "TargetField": "ProcedureExecutions.ExecutionStatus",
    "CanRead": true,
    "CanWrite": false,
    "MaskStrategy": "plain",
    "SemanticTypeIri": "urn:effortless:pko-extension#FieldGrant",
    "Name": "principal-controller -&gt; ProcedureExecutions.ExecutionStatus",
    "FieldTable": "ProcedureExecutions",
    "FieldName": "ExecutionStatus",
    "FieldIsDerived": false,
    "IsWritableDerivedField": false,
    "IsMasked": false,
    "GrantKeyWhenReadable": "principal-controller|ProcedureExecutions"
   },
   {
    "FieldGrantId": "fg-controller-ProcedureExecutions.StartedAt",
    "Principal": "principal-controller",
    "TargetField": "ProcedureExecutions.StartedAt",
    "CanRead": true,
    "CanWrite": false,
    "MaskStrategy": "plain",
    "SemanticTypeIri": "urn:effortless:pko-extension#FieldGrant",
    "Name": "principal-controller -&gt; ProcedureExecutions.StartedAt",
    "FieldTable": "ProcedureExecutions",
    "FieldName": "StartedAt",
    "FieldIsDerived": false,
    "IsWritableDerivedField": false,
    "IsMasked": false,
    "GrantKeyWhenReadable": "principal-controller|ProcedureExecutions"
   },
   {
    "FieldGrantId": "fg-controller-ProcedureExecutions.EndedAt",
    "Principal": "principal-controller",
    "TargetField": "ProcedureExecutions.EndedAt",
    "CanRead": true,
    "CanWrite": false,
    "MaskStrategy": "plain",
    "SemanticTypeIri": "urn:effortless:pko-extension#FieldGrant",
    "Name": "principal-controller -&gt; ProcedureExecutions.EndedAt",
    "FieldTable": "ProcedureExecutions",
    "FieldName": "EndedAt",
    "FieldIsDerived": false,
    "IsWritableDerivedField": false,
    "IsMasked": false,
    "GrantKeyWhenReadable": "principal-controller|ProcedureExecutions"
   },
   {
    "FieldGrantId": "fg-controller-ProcedureExecutions.ProcedureVersion",
    "Principal": "principal-controller",
    "TargetField": "ProcedureExecutions.ProcedureVersion",
    "CanRead": true,
    "CanWrite": false,
    "MaskStrategy": "plain",
    "SemanticTypeIri": "urn:effortless:pko-extension#FieldGrant",
    "Name": "principal-controller -&gt; ProcedureExecutions.ProcedureVersion",
    "FieldTable": "ProcedureExecutions",
    "FieldName": "ProcedureVersion",
    "FieldIsDerived": false,
    "IsWritableDerivedField": false,
    "IsMasked": false,
    "GrantKeyWhenReadable": "principal-controller|ProcedureExecutions"
   },
   {
    "FieldGrantId": "fg-controller-ProcedureExecutions.Name",
    "Principal": "principal-controller",
    "TargetField": "ProcedureExecutions.Name",
    "CanRead": true,
    "CanWrite": false,
    "MaskStrategy": "plain",
    "SemanticTypeIri": "urn:effortless:pko-extension#FieldGrant",
    "Name": "principal-controller -&gt; ProcedureExecutions.Name",
    "FieldTable": "ProcedureExecutions",
    "FieldName": "Name",
    "FieldIsDerived": true,
    "IsWritableDerivedField": false,
    "IsMasked": false,
    "GrantKeyWhenReadable": "principal-controller|ProcedureExecutions"
   },
   {
    "FieldGrantId": "fg-controller-Exceptions.ExceptionId",
    "Principal": "principal-controller",
    "TargetField": "Exceptions.ExceptionId",
    "CanRead": true,
    "CanWrite": false,
    "MaskStrategy": "plain",
    "SemanticTypeIri": "urn:effortless:pko-extension#FieldGrant",
    "Name": "principal-controller -&gt; Exceptions.ExceptionId",
    "FieldTable": "Exceptions",
    "FieldName": "ExceptionId",
    "FieldIsDerived": false,
    "IsWritableDerivedField": false,
    "IsMasked": false,
    "GrantKeyWhenReadable": "principal-controller|Exceptions"
   },
   {
    "FieldGrantId": "fg-controller-Exceptions.Name",
    "Principal": "principal-controller",
    "TargetField": "Exceptions.Name",
    "CanRead": true,
    "CanWrite": false,
    "MaskStrategy": "plain",
    "SemanticTypeIri": "urn:effortless:pko-extension#FieldGrant",
    "Name": "principal-controller -&gt; Exceptions.Name",
    "FieldTable": "Exceptions",
    "FieldName": "Name",
    "FieldIsDerived": true,
    "IsWritableDerivedField": false,
    "IsMasked": false,
    "GrantKeyWhenReadable": "principal-controller|Exceptions"
   },
   {
    "FieldGrantId": "fg-controller-Exceptions.ProcedureVersion",
    "Principal": "principal-controller",
    "TargetField": "Exceptions.ProcedureVersion",
    "CanRead": true,
    "CanWrite": false,
    "MaskStrategy": "plain",
    "SemanticTypeIri": "urn:effortless:pko-extension#FieldGrant",
    "Name": "principal-controller -&gt; Exceptions.ProcedureVersion",
    "FieldTable": "Exceptions",
    "FieldName": "ProcedureVersion",
    "FieldIsDerived": false,
    "IsWritableDerivedField": false,
    "IsMasked": false,
    "GrantKeyWhenReadable": "principal-controller|Exceptions"
   },
   {
    "FieldGrantId": "fg-controller-Exceptions.TriggerStep",
    "Principal": "principal-controller",
    "TargetField": "Exceptions.TriggerStep",
    "CanRead": true,
    "CanWrite": false,
    "MaskStrategy": "plain",
    "SemanticTypeIri": "urn:effortless:pko-extension#FieldGrant",
    "Name": "principal-controller -&gt; Exceptions.TriggerStep",
    "FieldTable": "Exceptions",
    "FieldName": "TriggerStep",
    "FieldIsDerived": false,
    "IsWritableDerivedField": false,
    "IsMasked": false,
    "GrantKeyWhenReadable": "principal-controller|Exceptions"
   },
   {
    "FieldGrantId": "fg-controller-Exceptions.Condition",
    "Principal": "principal-controller",
    "TargetField": "Exceptions.Condition",
    "CanRead": true,
    "CanWrite": false,
    "MaskStrategy": "plain",
    "SemanticTypeIri": "urn:effortless:pko-extension#FieldGrant",
    "Name": "principal-controller -&gt; Exceptions.Condition",
    "FieldTable": "Exceptions",
    "FieldName": "Condition",
    "FieldIsDerived": false,
    "IsWritableDerivedField": false,
    "IsMasked": false,
    "GrantKeyWhenReadable": "principal-controller|Exceptions"
   },
   {
    "FieldGrantId": "fg-controller-Exceptions.Handling",
    "Principal": "principal-controller",
    "TargetField": "Exceptions.Handling",
    "CanRead": true,
    "CanWrite": false,
    "MaskStrategy": "plain",
    "SemanticTypeIri": "urn:effortless:pko-extension#FieldGrant",
    "Name": "principal-controller -&gt; Exceptions.Handling",
    "FieldTable": "Exceptions",
    "FieldName": "Handling",
    "FieldIsDerived": false,
    "IsWritableDerivedField": false,
    "IsMasked": false,
    "GrantKeyWhenReadable": "principal-controller|Exceptions"
   },
   {
    "FieldGrantId": "fg-controller-Exceptions.ApprovalRole",
    "Principal": "principal-controller",
    "TargetField": "Exceptions.ApprovalRole",
    "CanRead": true,
    "CanWrite": false,
    "MaskStrategy": "plain",
    "SemanticTypeIri": "urn:effortless:pko-extension#FieldGrant",
    "Name": "principal-controller -&gt; Exceptions.ApprovalRole",
    "FieldTable": "Exceptions",
    "FieldName": "ApprovalRole",
    "FieldIsDerived": false,
    "IsWritableDerivedField": false,
    "IsMasked": false,
    "GrantKeyWhenReadable": "principal-controller|Exceptions"
   },
   {
    "FieldGrantId": "fg-controller-Exceptions.FallbackRole",
    "Principal": "principal-controller",
    "TargetField": "Exceptions.FallbackRole",
    "CanRead": true,
    "CanWrite": false,
    "MaskStrategy": "plain",
    "SemanticTypeIri": "urn:effortless:pko-extension#FieldGrant",
    "Name": "principal-controller -&gt; Exceptions.FallbackRole",
    "FieldTable": "Exceptions",
    "FieldName": "FallbackRole",
    "FieldIsDerived": false,
    "IsWritableDerivedField": false,
    "IsMasked": false,
    "GrantKeyWhenReadable": "principal-controller|Exceptions"
   },
   {
    "FieldGrantId": "fg-controller-Exceptions.Status",
    "Principal": "principal-controller",
    "TargetField": "Exceptions.Status",
    "CanRead": true,
    "CanWrite": false,
    "MaskStrategy": "plain",
    "SemanticTypeIri": "urn:effortless:pko-extension#FieldGrant",
    "Name": "principal-controller -&gt; Exceptions.Status",
    "FieldTable": "Exceptions",
    "FieldName": "Status",
    "FieldIsDerived": false,
    "IsWritableDerivedField": false,
    "IsMasked": false,
    "GrantKeyWhenReadable": "principal-controller|Exceptions"
   },
   {
    "FieldGrantId": "fg-controller-Exceptions.ActiveExceptionStepKey",
    "Principal": "principal-controller",
    "TargetField": "Exceptions.ActiveExceptionStepKey",
    "CanRead": true,
    "CanWrite": false,
    "MaskStrategy": "plain",
    "SemanticTypeIri": "urn:effortless:pko-extension#FieldGrant",
    "Name": "principal-controller -&gt; Exceptions.ActiveExceptionStepKey",
    "FieldTable": "Exceptions",
    "FieldName": "ActiveExceptionStepKey",
    "FieldIsDerived": true,
    "IsWritableDerivedField": false,
    "IsMasked": false,
    "GrantKeyWhenReadable": "principal-controller|Exceptions"
   },
   {
    "FieldGrantId": "fg-controller-Exceptions.SemanticTypeIri",
    "Principal": "principal-controller",
    "TargetField": "Exceptions.SemanticTypeIri",
    "CanRead": true,
    "CanWrite": false,
    "MaskStrategy": "plain",
    "SemanticTypeIri": "urn:effortless:pko-extension#FieldGrant",
    "Name": "principal-controller -&gt; Exceptions.SemanticTypeIri",
    "FieldTable": "Exceptions",
    "FieldName": "SemanticTypeIri",
    "FieldIsDerived": false,
    "IsWritableDerivedField": false,
    "IsMasked": false,
    "GrantKeyWhenReadable": "principal-controller|Exceptions"
   },
   {
    "FieldGrantId": "fg-controller-ChangeRequests.ChangeRequestId",
    "Principal": "principal-controller",
    "TargetField": "ChangeRequests.ChangeRequestId",
    "CanRead": true,
    "CanWrite": false,
    "MaskStrategy": "plain",
    "SemanticTypeIri": "urn:effortless:pko-extension#FieldGrant",
    "Name": "principal-controller -&gt; ChangeRequests.ChangeRequestId",
    "FieldTable": "ChangeRequests",
    "FieldName": "ChangeRequestId",
    "FieldIsDerived": false,
    "IsWritableDerivedField": false,
    "IsMasked": false,
    "GrantKeyWhenReadable": "principal-controller|ChangeRequests"
   },
   {
    "FieldGrantId": "fg-controller-ChangeRequests.Title",
    "Principal": "principal-controller",
    "TargetField": "ChangeRequests.Title",
    "CanRead": true,
    "CanWrite": false,
    "MaskStrategy": "plain",
    "SemanticTypeIri": "urn:effortless:pko-extension#FieldGrant",
    "Name": "principal-controller -&gt; ChangeRequests.Title",
    "FieldTable": "ChangeRequests",
    "FieldName": "Title",
    "FieldIsDerived": false,
    "IsWritableDerivedField": false,
    "IsMasked": false,
    "GrantKeyWhenReadable": "principal-controller|ChangeRequests"
   },
   {
    "FieldGrantId": "fg-controller-ChangeRequests.ChangeKind",
    "Principal": "principal-controller",
    "TargetField": "ChangeRequests.ChangeKind",
    "CanRead": true,
    "CanWrite": false,
    "MaskStrategy": "plain",
    "SemanticTypeIri": "urn:effortless:pko-extension#FieldGrant",
    "Name": "principal-controller -&gt; ChangeRequests.ChangeKind",
    "FieldTable": "ChangeRequests",
    "FieldName": "ChangeKind",
    "FieldIsDerived": false,
    "IsWritableDerivedField": false,
    "IsMasked": false,
    "GrantKeyWhenReadable": "principal-controller|ChangeRequests"
   },
   {
    "FieldGrantId": "fg-controller-ChangeRequests.Status",
    "Principal": "principal-controller",
    "TargetField": "ChangeRequests.Status",
    "CanRead": true,
    "CanWrite": false,
    "MaskStrategy": "plain",
    "SemanticTypeIri": "urn:effortless:pko-extension#FieldGrant",
    "Name": "principal-controller -&gt; ChangeRequests.Status",
    "FieldTable": "ChangeRequests",
    "FieldName": "Status",
    "FieldIsDerived": false,
    "IsWritableDerivedField": false,
    "IsMasked": false,
    "GrantKeyWhenReadable": "principal-controller|ChangeRequests"
   },
   {
    "FieldGrantId": "fg-controller-ChangeRequests.RequestedAt",
    "Principal": "principal-controller",
    "TargetField": "ChangeRequests.RequestedAt",
    "CanRead": true,
    "CanWrite": false,
    "MaskStrategy": "plain",
    "SemanticTypeIri": "urn:effortless:pko-extension#FieldGrant",
    "Name": "principal-controller -&gt; ChangeRequests.RequestedAt",
    "FieldTable": "ChangeRequests",
    "FieldName": "RequestedAt",
    "FieldIsDerived": false,
    "IsWritableDerivedField": false,
    "IsMasked": false,
    "GrantKeyWhenReadable": "principal-controller|ChangeRequests"
   },
   {
    "FieldGrantId": "fg-controller-ChangeRequests.DecidedAt",
    "Principal": "principal-controller",
    "TargetField": "ChangeRequests.DecidedAt",
    "CanRead": true,
    "CanWrite": false,
    "MaskStrategy": "plain",
    "SemanticTypeIri": "urn:effortless:pko-extension#FieldGrant",
    "Name": "principal-controller -&gt; ChangeRequests.DecidedAt",
    "FieldTable": "ChangeRequests",
    "FieldName": "DecidedAt",
    "FieldIsDerived": false,
    "IsWritableDerivedField": false,
    "IsMasked": false,
    "GrantKeyWhenReadable": "principal-controller|ChangeRequests"
   },
   {
    "FieldGrantId": "fg-controller-ChangeRequests.ImpactAssessment",
    "Principal": "principal-controller",
    "TargetField": "ChangeRequests.ImpactAssessment",
    "CanRead": true,
    "CanWrite": false,
    "MaskStrategy": "plain",
    "SemanticTypeIri": "urn:effortless:pko-extension#FieldGrant",
    "Name": "principal-controller -&gt; ChangeRequests.ImpactAssessment",
    "FieldTable": "ChangeRequests",
    "FieldName": "ImpactAssessment",
    "FieldIsDerived": false,
    "IsWritableDerivedField": false,
    "IsMasked": false,
    "GrantKeyWhenReadable": "principal-controller|ChangeRequests"
   },
   {
    "FieldGrantId": "fg-controller-ChangeRequests.AuthorityRole",
    "Principal": "principal-controller",
    "TargetField": "ChangeRequests.AuthorityRole",
    "CanRead": true,
    "CanWrite": false,
    "MaskStrategy": "plain",
    "SemanticTypeIri": "urn:effortless:pko-extension#FieldGrant",
    "Name": "principal-controller -&gt; ChangeRequests.AuthorityRole",
    "FieldTable": "ChangeRequests",
    "FieldName": "AuthorityRole",
    "FieldIsDerived": false,
    "IsWritableDerivedField": false,
    "IsMasked": false,
    "GrantKeyWhenReadable": "principal-controller|ChangeRequests"
   },
   {
    "FieldGrantId": "fg-controller-ChangeRequests.IsOpen",
    "Principal": "principal-controller",
    "TargetField": "ChangeRequests.IsOpen",
    "CanRead": true,
    "CanWrite": false,
    "MaskStrategy": "plain",
    "SemanticTypeIri": "urn:effortless:pko-extension#FieldGrant",
    "Name": "principal-controller -&gt; ChangeRequests.IsOpen",
    "FieldTable": "ChangeRequests",
    "FieldName": "IsOpen",
    "FieldIsDerived": true,
    "IsWritableDerivedField": false,
    "IsMasked": false,
    "GrantKeyWhenReadable": "principal-controller|ChangeRequests"
   },
   {
    "FieldGrantId": "fg-controller-ChangeRequests.Name",
    "Principal": "principal-controller",
    "TargetField": "ChangeRequests.Name",
    "CanRead": true,
    "CanWrite": false,
    "MaskStrategy": "plain",
    "SemanticTypeIri": "urn:effortless:pko-extension#FieldGrant",
    "Name": "principal-controller -&gt; ChangeRequests.Name",
    "FieldTable": "ChangeRequests",
    "FieldName": "Name",
    "FieldIsDerived": true,
    "IsWritableDerivedField": false,
    "IsMasked": false,
    "GrantKeyWhenReadable": "principal-controller|ChangeRequests"
   },
   {
    "FieldGrantId": "fg-controller-KnowledgeFragments.KnowledgeFragmentId",
    "Principal": "principal-controller",
    "TargetField": "KnowledgeFragments.KnowledgeFragmentId",
    "CanRead": true,
    "CanWrite": false,
    "MaskStrategy": "plain",
    "SemanticTypeIri": "urn:effortless:pko-extension#FieldGrant",
    "Name": "principal-controller -&gt; KnowledgeFragments.KnowledgeFragmentId",
    "FieldTable": "KnowledgeFragments",
    "FieldName": "KnowledgeFragmentId",
    "FieldIsDerived": false,
    "IsWritableDerivedField": false,
    "IsMasked": false,
    "GrantKeyWhenReadable": "principal-controller|KnowledgeFragments"
   },
   {
    "FieldGrantId": "fg-controller-KnowledgeFragments.Statement",
    "Principal": "principal-controller",
    "TargetField": "KnowledgeFragments.Statement",
    "CanRead": true,
    "CanWrite": false,
    "MaskStrategy": "plain",
    "SemanticTypeIri": "urn:effortless:pko-extension#FieldGrant",
    "Name": "principal-controller -&gt; KnowledgeFragments.Statement",
    "FieldTable": "KnowledgeFragments",
    "FieldName": "Statement",
    "FieldIsDerived": false,
    "IsWritableDerivedField": false,
    "IsMasked": false,
    "GrantKeyWhenReadable": "principal-controller|KnowledgeFragments"
   },
   {
    "FieldGrantId": "fg-controller-KnowledgeFragments.KnowledgeForm",
    "Principal": "principal-controller",
    "TargetField": "KnowledgeFragments.KnowledgeForm",
    "CanRead": true,
    "CanWrite": false,
    "MaskStrategy": "plain",
    "SemanticTypeIri": "urn:effortless:pko-extension#FieldGrant",
    "Name": "principal-controller -&gt; KnowledgeFragments.KnowledgeForm",
    "FieldTable": "KnowledgeFragments",
    "FieldName": "KnowledgeForm",
    "FieldIsDerived": false,
    "IsWritableDerivedField": false,
    "IsMasked": false,
    "GrantKeyWhenReadable": "principal-controller|KnowledgeFragments"
   },
   {
    "FieldGrantId": "fg-controller-KnowledgeFragments.Status",
    "Principal": "principal-controller",
    "TargetField": "KnowledgeFragments.Status",
    "CanRead": true,
    "CanWrite": false,
    "MaskStrategy": "plain",
    "SemanticTypeIri": "urn:effortless:pko-extension#FieldGrant",
    "Name": "principal-controller -&gt; KnowledgeFragments.Status",
    "FieldTable": "KnowledgeFragments",
    "FieldName": "Status",
    "FieldIsDerived": false,
    "IsWritableDerivedField": false,
    "IsMasked": false,
    "GrantKeyWhenReadable": "principal-controller|KnowledgeFragments"
   },
   {
    "FieldGrantId": "fg-controller-KnowledgeFragments.Confidence",
    "Principal": "principal-controller",
    "TargetField": "KnowledgeFragments.Confidence",
    "CanRead": true,
    "CanWrite": false,
    "MaskStrategy": "plain",
    "SemanticTypeIri": "urn:effortless:pko-extension#FieldGrant",
    "Name": "principal-controller -&gt; KnowledgeFragments.Confidence",
    "FieldTable": "KnowledgeFragments",
    "FieldName": "Confidence",
    "FieldIsDerived": false,
    "IsWritableDerivedField": false,
    "IsMasked": false,
    "GrantKeyWhenReadable": "principal-controller|KnowledgeFragments"
   },
   {
    "FieldGrantId": "fg-controller-KnowledgeFragments.OwnerRole",
    "Principal": "principal-controller",
    "TargetField": "KnowledgeFragments.OwnerRole",
    "CanRead": true,
    "CanWrite": false,
    "MaskStrategy": "plain",
    "SemanticTypeIri": "urn:effortless:pko-extension#FieldGrant",
    "Name": "principal-controller -&gt; KnowledgeFragments.OwnerRole",
    "FieldTable": "KnowledgeFragments",
    "FieldName": "OwnerRole",
    "FieldIsDerived": false,
    "IsWritableDerivedField": false,
    "IsMasked": false,
    "GrantKeyWhenReadable": "principal-controller|KnowledgeFragments"
   },
   {
    "FieldGrantId": "fg-controller-KnowledgeFragments.LastReviewedAt",
    "Principal": "principal-controller",
    "TargetField": "KnowledgeFragments.LastReviewedAt",
    "CanRead": true,
    "CanWrite": false,
    "MaskStrategy": "plain",
    "SemanticTypeIri": "urn:effortless:pko-extension#FieldGrant",
    "Name": "principal-controller -&gt; KnowledgeFragments.LastReviewedAt",
    "FieldTable": "KnowledgeFragments",
    "FieldName": "LastReviewedAt",
    "FieldIsDerived": false,
    "IsWritableDerivedField": false,
    "IsMasked": false,
    "GrantKeyWhenReadable": "principal-controller|KnowledgeFragments"
   },
   {
    "FieldGrantId": "fg-controller-KnowledgeFragments.Name",
    "Principal": "principal-controller",
    "TargetField": "KnowledgeFragments.Name",
    "CanRead": true,
    "CanWrite": false,
    "MaskStrategy": "plain",
    "SemanticTypeIri": "urn:effortless:pko-extension#FieldGrant",
    "Name": "principal-controller -&gt; KnowledgeFragments.Name",
    "FieldTable": "KnowledgeFragments",
    "FieldName": "Name",
    "FieldIsDerived": true,
    "IsWritableDerivedField": false,
    "IsMasked": false,
    "GrantKeyWhenReadable": "principal-controller|KnowledgeFragments"
   },
   {
    "FieldGrantId": "fg-controller-Requirements.RequirementId",
    "Principal": "principal-controller",
    "TargetField": "Requirements.RequirementId",
    "CanRead": true,
    "CanWrite": false,
    "MaskStrategy": "plain",
    "SemanticTypeIri": "urn:effortless:pko-extension#FieldGrant",
    "Name": "principal-controller -&gt; Requirements.RequirementId",
    "FieldTable": "Requirements",
    "FieldName": "RequirementId",
    "FieldIsDerived": false,
    "IsWritableDerivedField": false,
    "IsMasked": false,
    "GrantKeyWhenReadable": "principal-controller|Requirements"
   },
   {
    "FieldGrantId": "fg-controller-Requirements.Label",
    "Principal": "principal-controller",
    "TargetField": "Requirements.Label",
    "CanRead": true,
    "CanWrite": false,
    "MaskStrategy": "plain",
    "SemanticTypeIri": "urn:effortless:pko-extension#FieldGrant",
    "Name": "principal-controller -&gt; Requirements.Label",
    "FieldTable": "Requirements",
    "FieldName": "Label",
    "FieldIsDerived": false,
    "IsWritableDerivedField": false,
    "IsMasked": false,
    "GrantKeyWhenReadable": "principal-controller|Requirements"
   },
   {
    "FieldGrantId": "fg-controller-Requirements.Statement",
    "Principal": "principal-controller",
    "TargetField": "Requirements.Statement",
    "CanRead": true,
    "CanWrite": false,
    "MaskStrategy": "plain",
    "SemanticTypeIri": "urn:effortless:pko-extension#FieldGrant",
    "Name": "principal-controller -&gt; Requirements.Statement",
    "FieldTable": "Requirements",
    "FieldName": "Statement",
    "FieldIsDerived": false,
    "IsWritableDerivedField": false,
    "IsMasked": false,
    "GrantKeyWhenReadable": "principal-controller|Requirements"
   },
   {
    "FieldGrantId": "fg-controller-Requirements.IsBlocking",
    "Principal": "principal-controller",
    "TargetField": "Requirements.IsBlocking",
    "CanRead": true,
    "CanWrite": false,
    "MaskStrategy": "plain",
    "SemanticTypeIri": "urn:effortless:pko-extension#FieldGrant",
    "Name": "principal-controller -&gt; Requirements.IsBlocking",
    "FieldTable": "Requirements",
    "FieldName": "IsBlocking",
    "FieldIsDerived": false,
    "IsWritableDerivedField": false,
    "IsMasked": false,
    "GrantKeyWhenReadable": "principal-controller|Requirements"
   },
   {
    "FieldGrantId": "fg-controller-Requirements.AccountableRole",
    "Principal": "principal-controller",
    "TargetField": "Requirements.AccountableRole",
    "CanRead": true,
    "CanWrite": false,
    "MaskStrategy": "plain",
    "SemanticTypeIri": "urn:effortless:pko-extension#FieldGrant",
    "Name": "principal-controller -&gt; Requirements.AccountableRole",
    "FieldTable": "Requirements",
    "FieldName": "AccountableRole",
    "FieldIsDerived": false,
    "IsWritableDerivedField": false,
    "IsMasked": false,
    "GrantKeyWhenReadable": "principal-controller|Requirements"
   },
   {
    "FieldGrantId": "fg-controller-Requirements.Name",
    "Principal": "principal-controller",
    "TargetField": "Requirements.Name",
    "CanRead": true,
    "CanWrite": false,
    "MaskStrategy": "plain",
    "SemanticTypeIri": "urn:effortless:pko-extension#FieldGrant",
    "Name": "principal-controller -&gt; Requirements.Name",
    "FieldTable": "Requirements",
    "FieldName": "Name",
    "FieldIsDerived": true,
    "IsWritableDerivedField": false,
    "IsMasked": false,
    "GrantKeyWhenReadable": "principal-controller|Requirements"
   },
   {
    "FieldGrantId": "fg-controller-ProcedureVersions.ProcedureVersionId",
    "Principal": "principal-controller",
    "TargetField": "ProcedureVersions.ProcedureVersionId",
    "CanRead": true,
    "CanWrite": false,
    "MaskStrategy": "plain",
    "SemanticTypeIri": "urn:effortless:pko-extension#FieldGrant",
    "Name": "principal-controller -&gt; ProcedureVersions.ProcedureVersionId",
    "FieldTable": "ProcedureVersions",
    "FieldName": "ProcedureVersionId",
    "FieldIsDerived": false,
    "IsWritableDerivedField": false,
    "IsMasked": false,
    "GrantKeyWhenReadable": "principal-controller|ProcedureVersions"
   },
   {
    "FieldGrantId": "fg-controller-ProcedureVersions.VersionNumber",
    "Principal": "principal-controller",
    "TargetField": "ProcedureVersions.VersionNumber",
    "CanRead": true,
    "CanWrite": false,
    "MaskStrategy": "plain",
    "SemanticTypeIri": "urn:effortless:pko-extension#FieldGrant",
    "Name": "principal-controller -&gt; ProcedureVersions.VersionNumber",
    "FieldTable": "ProcedureVersions",
    "FieldName": "VersionNumber",
    "FieldIsDerived": false,
    "IsWritableDerivedField": false,
    "IsMasked": false,
    "GrantKeyWhenReadable": "principal-controller|ProcedureVersions"
   },
   {
    "FieldGrantId": "fg-controller-ProcedureVersions.Title",
    "Principal": "principal-controller",
    "TargetField": "ProcedureVersions.Title",
    "CanRead": true,
    "CanWrite": false,
    "MaskStrategy": "plain",
    "SemanticTypeIri": "urn:effortless:pko-extension#FieldGrant",
    "Name": "principal-controller -&gt; ProcedureVersions.Title",
    "FieldTable": "ProcedureVersions",
    "FieldName": "Title",
    "FieldIsDerived": false,
    "IsWritableDerivedField": false,
    "IsMasked": false,
    "GrantKeyWhenReadable": "principal-controller|ProcedureVersions"
   },
   {
    "FieldGrantId": "fg-controller-ProcedureVersions.Status",
    "Principal": "principal-controller",
    "TargetField": "ProcedureVersions.Status",
    "CanRead": true,
    "CanWrite": false,
    "MaskStrategy": "plain",
    "SemanticTypeIri": "urn:effortless:pko-extension#FieldGrant",
    "Name": "principal-controller -&gt; ProcedureVersions.Status",
    "FieldTable": "ProcedureVersions",
    "FieldName": "Status",
    "FieldIsDerived": false,
    "IsWritableDerivedField": false,
    "IsMasked": false,
    "GrantKeyWhenReadable": "principal-controller|ProcedureVersions"
   },
   {
    "FieldGrantId": "fg-controller-ProcedureVersions.IsCurrent",
    "Principal": "principal-controller",
    "TargetField": "ProcedureVersions.IsCurrent",
    "CanRead": true,
    "CanWrite": false,
    "MaskStrategy": "plain",
    "SemanticTypeIri": "urn:effortless:pko-extension#FieldGrant",
    "Name": "principal-controller -&gt; ProcedureVersions.IsCurrent",
    "FieldTable": "ProcedureVersions",
    "FieldName": "IsCurrent",
    "FieldIsDerived": false,
    "IsWritableDerivedField": false,
    "IsMasked": false,
    "GrantKeyWhenReadable": "principal-controller|ProcedureVe</t>
  </si>
  <si>
    <t xml:space="preserve">rsions"
   },
   {
    "FieldGrantId": "fg-controller-ProcedureVersions.Procedure",
    "Principal": "principal-controller",
    "TargetField": "ProcedureVersions.Procedure",
    "CanRead": true,
    "CanWrite": false,
    "MaskStrategy": "plain",
    "SemanticTypeIri": "urn:effortless:pko-extension#FieldGrant",
    "Name": "principal-controller -&gt; ProcedureVersions.Procedure",
    "FieldTable": "ProcedureVersions",
    "FieldName": "Procedure",
    "FieldIsDerived": false,
    "IsWritableDerivedField": false,
    "IsMasked": false,
    "GrantKeyWhenReadable": "principal-controller|ProcedureVersions"
   },
   {
    "FieldGrantId": "fg-controller-ProcedureVersions.Name",
    "Principal": "principal-controller",
    "TargetField": "ProcedureVersions.Name",
    "CanRead": true,
    "CanWrite": false,
    "MaskStrategy": "plain",
    "SemanticTypeIri": "urn:effortless:pko-extension#FieldGrant",
    "Name": "principal-controller -&gt; ProcedureVersions.Name",
    "FieldTable": "ProcedureVersions",
    "FieldName": "Name",
    "FieldIsDerived": true,
    "IsWritableDerivedField": false,
    "IsMasked": false,
    "GrantKeyWhenReadable": "principal-controller|ProcedureVersions"
   },
   {
    "FieldGrantId": "fg-cfo-ProcedureExecutions.ProcedureExecutionId",
    "Principal": "principal-cfo",
    "TargetField": "ProcedureExecutions.ProcedureExecutionId",
    "CanRead": true,
    "CanWrite": false,
    "MaskStrategy": "plain",
    "SemanticTypeIri": "urn:effortless:pko-extension#FieldGrant",
    "Name": "principal-cfo -&gt; ProcedureExecutions.ProcedureExecutionId",
    "FieldTable": "ProcedureExecutions",
    "FieldName": "ProcedureExecutionId",
    "FieldIsDerived": false,
    "IsWritableDerivedField": false,
    "IsMasked": false,
    "GrantKeyWhenReadable": "principal-cfo|ProcedureExecutions"
   },
   {
    "FieldGrantId": "fg-cfo-ProcedureExecutions.ExecutionStatus",
    "Principal": "principal-cfo",
    "TargetField": "ProcedureExecutions.ExecutionStatus",
    "CanRead": true,
    "CanWrite": false,
    "MaskStrategy": "plain",
    "SemanticTypeIri": "urn:effortless:pko-extension#FieldGrant",
    "Name": "principal-cfo -&gt; ProcedureExecutions.ExecutionStatus",
    "FieldTable": "ProcedureExecutions",
    "FieldName": "ExecutionStatus",
    "FieldIsDerived": false,
    "IsWritableDerivedField": false,
    "IsMasked": false,
    "GrantKeyWhenReadable": "principal-cfo|ProcedureExecutions"
   },
   {
    "FieldGrantId": "fg-cfo-ProcedureExecutions.StartedAt",
    "Principal": "principal-cfo",
    "TargetField": "ProcedureExecutions.StartedAt",
    "CanRead": true,
    "CanWrite": false,
    "MaskStrategy": "plain",
    "SemanticTypeIri": "urn:effortless:pko-extension#FieldGrant",
    "Name": "principal-cfo -&gt; ProcedureExecutions.StartedAt",
    "FieldTable": "ProcedureExecutions",
    "FieldName": "StartedAt",
    "FieldIsDerived": false,
    "IsWritableDerivedField": false,
    "IsMasked": false,
    "GrantKeyWhenReadable": "principal-cfo|ProcedureExecutions"
   },
   {
    "FieldGrantId": "fg-cfo-ProcedureExecutions.EndedAt",
    "Principal": "principal-cfo",
    "TargetField": "ProcedureExecutions.EndedAt",
    "CanRead": true,
    "CanWrite": false,
    "MaskStrategy": "plain",
    "SemanticTypeIri": "urn:effortless:pko-extension#FieldGrant",
    "Name": "principal-cfo -&gt; ProcedureExecutions.EndedAt",
    "FieldTable": "ProcedureExecutions",
    "FieldName": "EndedAt",
    "FieldIsDerived": false,
    "IsWritableDerivedField": false,
    "IsMasked": false,
    "GrantKeyWhenReadable": "principal-cfo|ProcedureExecutions"
   },
   {
    "FieldGrantId": "fg-cfo-ProcedureExecutions.ProcedureVersion",
    "Principal": "principal-cfo",
    "TargetField": "ProcedureExecutions.ProcedureVersion",
    "CanRead": true,
    "CanWrite": false,
    "MaskStrategy": "plain",
    "SemanticTypeIri": "urn:effortless:pko-extension#FieldGrant",
    "Name": "principal-cfo -&gt; ProcedureExecutions.ProcedureVersion",
    "FieldTable": "ProcedureExecutions",
    "FieldName": "ProcedureVersion",
    "FieldIsDerived": false,
    "IsWritableDerivedField": false,
    "IsMasked": false,
    "GrantKeyWhenReadable": "principal-cfo|ProcedureExecutions"
   },
   {
    "FieldGrantId": "fg-cfo-ProcedureExecutions.Name",
    "Principal": "principal-cfo",
    "TargetField": "ProcedureExecutions.Name",
    "CanRead": true,
    "CanWrite": false,
    "MaskStrategy": "plain",
    "SemanticTypeIri": "urn:effortless:pko-extension#FieldGrant",
    "Name": "principal-cfo -&gt; ProcedureExecutions.Name",
    "FieldTable": "ProcedureExecutions",
    "FieldName": "Name",
    "FieldIsDerived": true,
    "IsWritableDerivedField": false,
    "IsMasked": false,
    "GrantKeyWhenReadable": "principal-cfo|ProcedureExecutions"
   },
   {
    "FieldGrantId": "fg-cfo-Exceptions.ExceptionId",
    "Principal": "principal-cfo",
    "TargetField": "Exceptions.ExceptionId",
    "CanRead": true,
    "CanWrite": false,
    "MaskStrategy": "plain",
    "SemanticTypeIri": "urn:effortless:pko-extension#FieldGrant",
    "Name": "principal-cfo -&gt; Exceptions.ExceptionId",
    "FieldTable": "Exceptions",
    "FieldName": "ExceptionId",
    "FieldIsDerived": false,
    "IsWritableDerivedField": false,
    "IsMasked": false,
    "GrantKeyWhenReadable": "principal-cfo|Exceptions"
   },
   {
    "FieldGrantId": "fg-cfo-Exceptions.Name",
    "Principal": "principal-cfo",
    "TargetField": "Exceptions.Name",
    "CanRead": true,
    "CanWrite": false,
    "MaskStrategy": "plain",
    "SemanticTypeIri": "urn:effortless:pko-extension#FieldGrant",
    "Name": "principal-cfo -&gt; Exceptions.Name",
    "FieldTable": "Exceptions",
    "FieldName": "Name",
    "FieldIsDerived": true,
    "IsWritableDerivedField": false,
    "IsMasked": false,
    "GrantKeyWhenReadable": "principal-cfo|Exceptions"
   },
   {
    "FieldGrantId": "fg-cfo-Exceptions.ProcedureVersion",
    "Principal": "principal-cfo",
    "TargetField": "Exceptions.ProcedureVersion",
    "CanRead": true,
    "CanWrite": false,
    "MaskStrategy": "plain",
    "SemanticTypeIri": "urn:effortless:pko-extension#FieldGrant",
    "Name": "principal-cfo -&gt; Exceptions.ProcedureVersion",
    "FieldTable": "Exceptions",
    "FieldName": "ProcedureVersion",
    "FieldIsDerived": false,
    "IsWritableDerivedField": false,
    "IsMasked": false,
    "GrantKeyWhenReadable": "principal-cfo|Exceptions"
   },
   {
    "FieldGrantId": "fg-cfo-Exceptions.TriggerStep",
    "Principal": "principal-cfo",
    "TargetField": "Exceptions.TriggerStep",
    "CanRead": true,
    "CanWrite": false,
    "MaskStrategy": "plain",
    "SemanticTypeIri": "urn:effortless:pko-extension#FieldGrant",
    "Name": "principal-cfo -&gt; Exceptions.TriggerStep",
    "FieldTable": "Exceptions",
    "FieldName": "TriggerStep",
    "FieldIsDerived": false,
    "IsWritableDerivedField": false,
    "IsMasked": false,
    "GrantKeyWhenReadable": "principal-cfo|Exceptions"
   },
   {
    "FieldGrantId": "fg-cfo-Exceptions.Condition",
    "Principal": "principal-cfo",
    "TargetField": "Exceptions.Condition",
    "CanRead": true,
    "CanWrite": false,
    "MaskStrategy": "plain",
    "SemanticTypeIri": "urn:effortless:pko-extension#FieldGrant",
    "Name": "principal-cfo -&gt; Exceptions.Condition",
    "FieldTable": "Exceptions",
    "FieldName": "Condition",
    "FieldIsDerived": false,
    "IsWritableDerivedField": false,
    "IsMasked": false,
    "GrantKeyWhenReadable": "principal-cfo|Exceptions"
   },
   {
    "FieldGrantId": "fg-cfo-Exceptions.Handling",
    "Principal": "principal-cfo",
    "TargetField": "Exceptions.Handling",
    "CanRead": true,
    "CanWrite": false,
    "MaskStrategy": "plain",
    "SemanticTypeIri": "urn:effortless:pko-extension#FieldGrant",
    "Name": "principal-cfo -&gt; Exceptions.Handling",
    "FieldTable": "Exceptions",
    "FieldName": "Handling",
    "FieldIsDerived": false,
    "IsWritableDerivedField": false,
    "IsMasked": false,
    "GrantKeyWhenReadable": "principal-cfo|Exceptions"
   },
   {
    "FieldGrantId": "fg-cfo-Exceptions.ApprovalRole",
    "Principal": "principal-cfo",
    "TargetField": "Exceptions.ApprovalRole",
    "CanRead": true,
    "CanWrite": false,
    "MaskStrategy": "plain",
    "SemanticTypeIri": "urn:effortless:pko-extension#FieldGrant",
    "Name": "principal-cfo -&gt; Exceptions.ApprovalRole",
    "FieldTable": "Exceptions",
    "FieldName": "ApprovalRole",
    "FieldIsDerived": false,
    "IsWritableDerivedField": false,
    "IsMasked": false,
    "GrantKeyWhenReadable": "principal-cfo|Exceptions"
   },
   {
    "FieldGrantId": "fg-cfo-Exceptions.FallbackRole",
    "Principal": "principal-cfo",
    "TargetField": "Exceptions.FallbackRole",
    "CanRead": true,
    "CanWrite": false,
    "MaskStrategy": "plain",
    "SemanticTypeIri": "urn:effortless:pko-extension#FieldGrant",
    "Name": "principal-cfo -&gt; Exceptions.FallbackRole",
    "FieldTable": "Exceptions",
    "FieldName": "FallbackRole",
    "FieldIsDerived": false,
    "IsWritableDerivedField": false,
    "IsMasked": false,
    "GrantKeyWhenReadable": "principal-cfo|Exceptions"
   },
   {
    "FieldGrantId": "fg-cfo-Exceptions.Status",
    "Principal": "principal-cfo",
    "TargetField": "Exceptions.Status",
    "CanRead": true,
    "CanWrite": false,
    "MaskStrategy": "plain",
    "SemanticTypeIri": "urn:effortless:pko-extension#FieldGrant",
    "Name": "principal-cfo -&gt; Exceptions.Status",
    "FieldTable": "Exceptions",
    "FieldName": "Status",
    "FieldIsDerived": false,
    "IsWritableDerivedField": false,
    "IsMasked": false,
    "GrantKeyWhenReadable": "principal-cfo|Exceptions"
   },
   {
    "FieldGrantId": "fg-cfo-Exceptions.ActiveExceptionStepKey",
    "Principal": "principal-cfo",
    "TargetField": "Exceptions.ActiveExceptionStepKey",
    "CanRead": true,
    "CanWrite": false,
    "MaskStrategy": "plain",
    "SemanticTypeIri": "urn:effortless:pko-extension#FieldGrant",
    "Name": "principal-cfo -&gt; Exceptions.ActiveExceptionStepKey",
    "FieldTable": "Exceptions",
    "FieldName": "ActiveExceptionStepKey",
    "FieldIsDerived": true,
    "IsWritableDerivedField": false,
    "IsMasked": false,
    "GrantKeyWhenReadable": "principal-cfo|Exceptions"
   },
   {
    "FieldGrantId": "fg-cfo-Exceptions.SemanticTypeIri",
    "Principal": "principal-cfo",
    "TargetField": "Exceptions.SemanticTypeIri",
    "CanRead": true,
    "CanWrite": false,
    "MaskStrategy": "plain",
    "SemanticTypeIri": "urn:effortless:pko-extension#FieldGrant",
    "Name": "principal-cfo -&gt; Exceptions.SemanticTypeIri",
    "FieldTable": "Exceptions",
    "FieldName": "SemanticTypeIri",
    "FieldIsDerived": false,
    "IsWritableDerivedField": false,
    "IsMasked": false,
    "GrantKeyWhenReadable": "principal-cfo|Exceptions"
   },
   {
    "FieldGrantId": "fg-cfo-ChangeRequests.ChangeRequestId",
    "Principal": "principal-cfo",
    "TargetField": "ChangeRequests.ChangeRequestId",
    "CanRead": true,
    "CanWrite": false,
    "MaskStrategy": "plain",
    "SemanticTypeIri": "urn:effortless:pko-extension#FieldGrant",
    "Name": "principal-cfo -&gt; ChangeRequests.ChangeRequestId",
    "FieldTable": "ChangeRequests",
    "FieldName": "ChangeRequestId",
    "FieldIsDerived": false,
    "IsWritableDerivedField": false,
    "IsMasked": false,
    "GrantKeyWhenReadable": "principal-cfo|ChangeRequests"
   },
   {
    "FieldGrantId": "fg-cfo-ChangeRequests.Title",
    "Principal": "principal-cfo",
    "TargetField": "ChangeRequests.Title",
    "CanRead": true,
    "CanWrite": false,
    "MaskStrategy": "plain",
    "SemanticTypeIri": "urn:effortless:pko-extension#FieldGrant",
    "Name": "principal-cfo -&gt; ChangeRequests.Title",
    "FieldTable": "ChangeRequests",
    "FieldName": "Title",
    "FieldIsDerived": false,
    "IsWritableDerivedField": false,
    "IsMasked": false,
    "GrantKeyWhenReadable": "principal-cfo|ChangeRequests"
   },
   {
    "FieldGrantId": "fg-cfo-ChangeRequests.ChangeKind",
    "Principal": "principal-cfo",
    "TargetField": "ChangeRequests.ChangeKind",
    "CanRead": true,
    "CanWrite": false,
    "MaskStrategy": "plain",
    "SemanticTypeIri": "urn:effortless:pko-extension#FieldGrant",
    "Name": "principal-cfo -&gt; ChangeRequests.ChangeKind",
    "FieldTable": "ChangeRequests",
    "FieldName": "ChangeKind",
    "FieldIsDerived": false,
    "IsWritableDerivedField": false,
    "IsMasked": false,
    "GrantKeyWhenReadable": "principal-cfo|ChangeRequests"
   },
   {
    "FieldGrantId": "fg-cfo-ChangeRequests.Status",
    "Principal": "principal-cfo",
    "TargetField": "ChangeRequests.Status",
    "CanRead": true,
    "CanWrite": false,
    "MaskStrategy": "plain",
    "SemanticTypeIri": "urn:effortless:pko-extension#FieldGrant",
    "Name": "principal-cfo -&gt; ChangeRequests.Status",
    "FieldTable": "ChangeRequests",
    "FieldName": "Status",
    "FieldIsDerived": false,
    "IsWritableDerivedField": false,
    "IsMasked": false,
    "GrantKeyWhenReadable": "principal-cfo|ChangeRequests"
   },
   {
    "FieldGrantId": "fg-cfo-ChangeRequests.RequestedAt",
    "Principal": "principal-cfo",
    "TargetField": "ChangeRequests.RequestedAt",
    "CanRead": true,
    "CanWrite": false,
    "MaskStrategy": "plain",
    "SemanticTypeIri": "urn:effortless:pko-extension#FieldGrant",
    "Name": "principal-cfo -&gt; ChangeRequests.RequestedAt",
    "FieldTable": "ChangeRequests",
    "FieldName": "RequestedAt",
    "FieldIsDerived": false,
    "IsWritableDerivedField": false,
    "IsMasked": false,
    "GrantKeyWhenReadable": "principal-cfo|ChangeRequests"
   },
   {
    "FieldGrantId": "fg-cfo-ChangeRequests.DecidedAt",
    "Principal": "principal-cfo",
    "TargetField": "ChangeRequests.DecidedAt",
    "CanRead": true,
    "CanWrite": false,
    "MaskStrategy": "plain",
    "SemanticTypeIri": "urn:effortless:pko-extension#FieldGrant",
    "Name": "principal-cfo -&gt; ChangeRequests.DecidedAt",
    "FieldTable": "ChangeRequests",
    "FieldName": "DecidedAt",
    "FieldIsDerived": false,
    "IsWritableDerivedField": false,
    "IsMasked": false,
    "GrantKeyWhenReadable": "principal-cfo|ChangeRequests"
   },
   {
    "FieldGrantId": "fg-cfo-ChangeRequests.ImpactAssessment",
    "Principal": "principal-cfo",
    "TargetField": "ChangeRequests.ImpactAssessment",
    "CanRead": true,
    "CanWrite": false,
    "MaskStrategy": "plain",
    "SemanticTypeIri": "urn:effortless:pko-extension#FieldGrant",
    "Name": "principal-cfo -&gt; ChangeRequests.ImpactAssessment",
    "FieldTable": "ChangeRequests",
    "FieldName": "ImpactAssessment",
    "FieldIsDerived": false,
    "IsWritableDerivedField": false,
    "IsMasked": false,
    "GrantKeyWhenReadable": "principal-cfo|ChangeRequests"
   },
   {
    "FieldGrantId": "fg-cfo-ChangeRequests.IsOpen",
    "Principal": "principal-cfo",
    "TargetField": "ChangeRequests.IsOpen",
    "CanRead": true,
    "CanWrite": false,
    "MaskStrategy": "plain",
    "SemanticTypeIri": "urn:effortless:pko-extension#FieldGrant",
    "Name": "principal-cfo -&gt; ChangeRequests.IsOpen",
    "FieldTable": "ChangeRequests",
    "FieldName": "IsOpen",
    "FieldIsDerived": true,
    "IsWritableDerivedField": false,
    "IsMasked": false,
    "GrantKeyWhenReadable": "principal-cfo|ChangeRequests"
   },
   {
    "FieldGrantId": "fg-cfo-ChangeRequests.Name",
    "Principal": "principal-cfo",
    "TargetField": "ChangeRequests.Name",
    "CanRead": true,
    "CanWrite": false,
    "MaskStrategy": "plain",
    "SemanticTypeIri": "urn:effortless:pko-extension#FieldGrant",
    "Name": "principal-cfo -&gt; ChangeRequests.Name",
    "FieldTable": "ChangeRequests",
    "FieldName": "Name",
    "FieldIsDerived": true,
    "IsWritableDerivedField": false,
    "IsMasked": false,
    "GrantKeyWhenReadable": "principal-cfo|ChangeRequests"
   },
   {
    "FieldGrantId": "fg-cfo-AuthorityBoundaries.AuthorityBoundaryId",
    "Principal": "principal-cfo",
    "TargetField": "AuthorityBoundaries.AuthorityBoundaryId",
    "CanRead": true,
    "CanWrite": false,
    "MaskStrategy": "plain",
    "SemanticTypeIri": "urn:effortless:pko-extension#FieldGrant",
    "Name": "principal-cfo -&gt; AuthorityBoundaries.AuthorityBoundaryId",
    "FieldTable": "AuthorityBoundaries",
    "FieldName": "AuthorityBoundaryId",
    "FieldIsDerived": false,
    "IsWritableDerivedField": false,
    "IsMasked": false,
    "GrantKeyWhenReadable": "principal-cfo|AuthorityBoundaries"
   },
   {
    "FieldGrantId": "fg-cfo-AuthorityBoundaries.ForbiddenAgentKind",
    "Principal": "principal-cfo",
    "TargetField": "AuthorityBoundaries.ForbiddenAgentKind",
    "CanRead": true,
    "CanWrite": false,
    "MaskStrategy": "plain",
    "SemanticTypeIri": "urn:effortless:pko-extension#FieldGrant",
    "Name": "principal-cfo -&gt; AuthorityBoundaries.ForbiddenAgentKind",
    "FieldTable": "AuthorityBoundaries",
    "FieldName": "ForbiddenAgentKind",
    "FieldIsDerived": false,
    "IsWritableDerivedField": false,
    "IsMasked": false,
    "GrantKeyWhenReadable": "principal-cfo|AuthorityBoundaries"
   },
   {
    "FieldGrantId": "fg-cfo-AuthorityBoundaries.ForbiddenDecisionKind",
    "Principal": "principal-cfo",
    "TargetField": "AuthorityBoundaries.ForbiddenDecisionKind",
    "CanRead": true,
    "CanWrite": false,
    "MaskStrategy": "plain",
    "SemanticTypeIri": "urn:effortless:pko-extension#FieldGrant",
    "Name": "principal-cfo -&gt; AuthorityBoundaries.ForbiddenDecisionKind",
    "FieldTable": "AuthorityBoundaries",
    "FieldName": "ForbiddenDecisionKind",
    "FieldIsDerived": false,
    "IsWritableDerivedField": false,
    "IsMasked": false,
    "GrantKeyWhenReadable": "principal-cfo|AuthorityBoundaries"
   },
   {
    "FieldGrantId": "fg-cfo-AuthorityBoundaries.Status",
    "Principal": "principal-cfo",
    "TargetField": "AuthorityBoundaries.Status",
    "CanRead": true,
    "CanWrite": false,
    "MaskStrategy": "plain",
    "SemanticTypeIri": "urn:effortless:pko-extension#FieldGrant",
    "Name": "principal-cfo -&gt; AuthorityBoundaries.Status",
    "FieldTable": "AuthorityBoundaries",
    "FieldName": "Status",
    "FieldIsDerived": false,
    "IsWritableDerivedField": false,
    "IsMasked": false,
    "GrantKeyWhenReadable": "principal-cfo|AuthorityBoundaries"
   },
   {
    "FieldGrantId": "fg-cfo-AuthorityBoundaries.AuthorityRole",
    "Principal": "principal-cfo",
    "TargetField": "AuthorityBoundaries.AuthorityRole",
    "CanRead": true,
    "CanWrite": false,
    "MaskStrategy": "plain",
    "SemanticTypeIri": "urn:effortless:pko-extension#FieldGrant",
    "Name": "principal-cfo -&gt; AuthorityBoundaries.AuthorityRole",
    "FieldTable": "AuthorityBoundaries",
    "FieldName": "AuthorityRole",
    "FieldIsDerived": false,
    "IsWritableDerivedField": false,
    "IsMasked": false,
    "GrantKeyWhenReadable": "principal-cfo|AuthorityBoundaries"
   },
   {
    "FieldGrantId": "fg-cfo-AuthorityBoundaries.Step",
    "Principal": "principal-cfo",
    "TargetField": "AuthorityBoundaries.Step",
    "CanRead": true,
    "CanWrite": false,
    "MaskStrategy": "plain",
    "SemanticTypeIri": "urn:effortless:pko-extension#FieldGrant",
    "Name": "principal-cfo -&gt; AuthorityBoundaries.Step",
    "FieldTable": "AuthorityBoundaries",
    "FieldName": "Step",
    "FieldIsDerived": false,
    "IsWritableDerivedField": false,
    "IsMasked": false,
    "GrantKeyWhenReadable": "principal-cfo|AuthorityBoundaries"
   },
   {
    "FieldGrantId": "fg-cfo-AuthorityBoundaries.Name",
    "Principal": "principal-cfo",
    "TargetField": "AuthorityBoundaries.Name",
    "CanRead": true,
    "CanWrite": false,
    "MaskStrategy": "plain",
    "SemanticTypeIri": "urn:effortless:pko-extension#FieldGrant",
    "Name": "principal-cfo -&gt; AuthorityBoundaries.Name",
    "FieldTable": "AuthorityBoundaries",
    "FieldName": "Name",
    "FieldIsDerived": true,
    "IsWritableDerivedField": false,
    "IsMasked": false,
    "GrantKeyWhenReadable": "principal-cfo|AuthorityBoundaries"
   },
   {
    "FieldGrantId": "fg-cfo-Procedures.ProcedureId",
    "Principal": "principal-cfo",
    "TargetField": "Procedures.ProcedureId",
    "CanRead": true,
    "CanWrite": false,
    "MaskStrategy": "plain",
    "SemanticTypeIri": "urn:effortless:pko-extension#FieldGrant",
    "Name": "principal-cfo -&gt; Procedures.ProcedureId",
    "FieldTable": "Procedures",
    "FieldName": "ProcedureId",
    "FieldIsDerived": false,
    "IsWritableDerivedField": false,
    "IsMasked": false,
    "GrantKeyWhenReadable": "principal-cfo|Procedures"
   },
   {
    "FieldGrantId": "fg-cfo-Procedures.Title",
    "Principal": "principal-cfo",
    "TargetField": "Procedures.Title",
    "CanRead": true,
    "CanWrite": false,
    "MaskStrategy": "plain",
    "SemanticTypeIri": "urn:effortless:pko-extension#FieldGrant",
    "Name": "principal-cfo -&gt; Procedures.Title",
    "FieldTable": "Procedures",
    "FieldName": "Title",
    "FieldIsDerived": false,
    "IsWritableDerivedField": false,
    "IsMasked": false,
    "GrantKeyWhenReadable": "principal-cfo|Procedures"
   },
   {
    "FieldGrantId": "fg-cfo-Procedures.Purpose",
    "Principal": "principal-cfo",
    "TargetField": "Procedures.Purpose",
    "CanRead": true,
    "CanWrite": false,
    "MaskStrategy": "plain",
    "SemanticTypeIri": "urn:effortless:pko-extension#FieldGrant",
    "Name": "principal-cfo -&gt; Procedures.Purpose",
    "FieldTable": "Procedures",
    "FieldName": "Purpose",
    "FieldIsDerived": false,
    "IsWritableDerivedField": false,
    "IsMasked": false,
    "GrantKeyWhenReadable": "principal-cfo|Procedures"
   },
   {
    "FieldGrantId": "fg-cfo-Procedures.Name",
    "Principal": "principal-cfo",
    "TargetField": "Procedures.Name",
    "CanRead": true,
    "CanWrite": false,
    "MaskStrategy": "plain",
    "SemanticTypeIri": "urn:effortless:pko-extension#FieldGrant",
    "Name": "principal-cfo -&gt; Procedures.Name",
    "FieldTable": "Procedures",
    "FieldName": "Name",
    "FieldIsDerived": true,
    "IsWritableDerivedField": false,
    "IsMasked": false,
    "GrantKeyWhenReadable": "principal-cfo|Procedures"
   },
   {
    "FieldGrantId": "fg-hr-policy-owner-Steps.StepId",
    "Principal": "principal-hr-policy-owner",
    "TargetField": "Steps.StepId",
    "CanRead": true,
    "CanWrite": false,
    "MaskStrategy": "plain",
    "SemanticTypeIri": "urn:effortless:pko-extension#FieldGrant",
    "Name": "principal-hr-policy-owner -&gt; Steps.StepId",
    "FieldTable": "Steps",
    "FieldName": "StepId",
    "FieldIsDerived": false,
    "IsWritableDerivedField": false,
    "IsMasked": false,
    "GrantKeyWhenReadable": "principal-hr-policy-owner|Steps"
   },
   {
    "FieldGrantId": "fg-hr-policy-owner-Steps.StepNumber",
    "Principal": "principal-hr-policy-owner",
    "TargetField": "Steps.StepNumber",
    "CanRead": true,
    "CanWrite": false,
    "MaskStrategy": "plain",
    "SemanticTypeIri": "urn:effortless:pko-extension#FieldGrant",
    "Name": "principal-hr-policy-owner -&gt; Steps.StepNumber",
    "FieldTable": "Steps",
    "FieldName": "StepNumber",
    "FieldIsDerived": false,
    "IsWritableDerivedField": false,
    "IsMasked": false,
    "GrantKeyWhenReadable": "principal-hr-policy-owner|Steps"
   },
   {
    "FieldGrantId": "fg-hr-policy-owner-Steps.Title",
    "Principal": "principal-hr-policy-owner",
    "TargetField": "Steps.Title",
    "CanRead": true,
    "CanWrite": false,
    "MaskStrategy": "plain",
    "SemanticTypeIri": "urn:effortless:pko-extension#FieldGrant",
    "Name": "principal-hr-policy-owner -&gt; Steps.Title",
    "FieldTable": "Steps",
    "FieldName": "Title",
    "FieldIsDerived": false,
    "IsWritableDerivedField": false,
    "IsMasked": false,
    "GrantKeyWhenReadable": "principal-hr-policy-owner|Steps"
   },
   {
    "FieldGrantId": "fg-hr-policy-owner-Steps.StepKind",
    "Principal": "principal-hr-policy-owner",
    "TargetField": "Steps.StepKind",
    "CanRead": true,
    "CanWrite": false,
    "MaskStrategy": "plain",
    "SemanticTypeIri": "urn:effortless:pko-extension#FieldGrant",
    "Name": "principal-hr-policy-owner -&gt; Steps.StepKind",
    "FieldTable": "Steps",
    "FieldName": "StepKind",
    "FieldIsDerived": false,
    "IsWritableDerivedField": false,
    "IsMasked": false,
    "GrantKeyWhenReadable": "principal-hr-policy-owner|Steps"
   },
   {
    "FieldGrantId": "fg-hr-policy-owner-Steps.Instruction",
    "Principal": "principal-hr-policy-owner",
    "TargetField": "Steps.Instruction",
    "CanRead": true,
    "CanWrite": false,
    "MaskStrategy": "plain",
    "SemanticTypeIri": "urn:effortless:pko-extension#FieldGrant",
    "Name": "principal-hr-policy-owner -&gt; Steps.Instruction",
    "FieldTable": "Steps",
    "FieldName": "Instruction",
    "FieldIsDerived": false,
    "IsWritableDerivedField": false,
    "IsMasked": false,
    "GrantKeyWhenReadable": "principal-hr-policy-owner|Steps"
   },
   {
    "FieldGrantId": "fg-hr-policy-owner-Steps.AssignedRole",
    "Principal": "principal-hr-policy-owner",
    "TargetField": "Steps.AssignedRole",
    "CanRead": true,
    "CanWrite": false,
    "MaskStrategy": "plain",
    "SemanticTypeIri": "urn:effortless:pko-extension#FieldGrant",
    "Name": "principal-hr-policy-owner -&gt; Steps.AssignedRole",
    "FieldTable": "Steps",
    "FieldName": "AssignedRole",
    "FieldIsDerived": false,
    "IsWritableDerivedField": false,
    "IsMasked": false,
    "GrantKeyWhenReadable": "principal-hr-policy-owner|Steps"
   },
   {
    "FieldGrantId": "fg-hr-policy-owner-Steps.AssignedRoleLabel",
    "Principal": "principal-hr-policy-owner",
    "TargetField": "Steps.AssignedRoleLabel",
    "CanRead": true,
    "CanWrite": false,
    "MaskStrategy": "plain",
    "SemanticTypeIri": "urn:effortless:pko-extension#FieldGrant",
    "Name": "principal-hr-policy-owner -&gt; Steps.AssignedRoleLabel",
    "FieldTable": "Steps",
    "FieldName": "AssignedRoleLabel",
    "FieldIsDerived": true,
    "IsWritableDerivedField": false,
    "IsMasked": false,
    "GrantKeyWhenReadable": "principal-hr-policy-owner|Steps"
   },
   {
    "FieldGrantId": "fg-hr-policy-owner-Steps.ProcedureVersion",
    "Principal": "principal-hr-policy-owner",
    "TargetField": "Steps.ProcedureVersion",
    "CanRead": true,
    "CanWrite": false,
    "MaskStrategy": "plain",
    "SemanticTypeIri": "urn:effortless:pko-extension#FieldGrant",
    "Name": "principal-hr-policy-owner -&gt; Steps.ProcedureVersion",
    "FieldTable": "Steps",
    "FieldName": "ProcedureVersion",
    "FieldIsDerived": false,
    "IsWritableDerivedField": false,
    "IsMasked": false,
    "GrantKeyWhenReadable": "principal-hr-policy-owner|Steps"
   },
   {
    "FieldGrantId": "fg-hr-policy-owner-Steps.Name",
    "Principal": "principal-hr-policy-owner",
    "TargetField": "Steps.Name",
    "CanRead": true,
    "CanWrite": false,
    "MaskStrategy": "plain",
    "SemanticTypeIri": "urn:effortless:pko-extension#FieldGrant",
    "Name": "principal-hr-policy-owner -&gt; Steps.Name",
    "FieldTable": "Steps",
    "FieldName": "Name",
    "FieldIsDerived": true,
    "IsWritableDerivedField": false,
    "IsMasked": false,
    "GrantKeyWhenReadable": "principal-hr-policy-owner|Steps"
   },
   {
    "FieldGrantId": "fg-hr-policy-owner-Steps.IsApprovalStep",
    "Principal": "principal-hr-policy-owner",
    "TargetField": "Steps.IsApprovalStep",
    "CanRead": true,
    "CanWrite": false,
    "MaskStrategy": "plain",
    "SemanticTypeIri": "urn:effortless:pko-extension#FieldGrant",
    "Name": "principal-hr-policy-owner -&gt; Steps.IsApprovalStep",
    "FieldTable": "Steps",
    "FieldName": "IsApprovalStep",
    "FieldIsDerived": true,
    "IsWritableDerivedField": false,
    "IsMasked": false,
    "GrantKeyWhenReadable": "principal-hr-policy-owner|Steps"
   },
   {
    "FieldGrantId": "fg-hr-policy-owner-Steps.RequiresHumanConfirmation",
    "Principal": "principal-hr-policy-owner",
    "TargetField": "Steps.RequiresHumanConfirmation",
    "CanRead": true,
    "CanWrite": false,
    "MaskStrategy": "plain",
    "SemanticTypeIri": "urn:effortless:pko-extension#FieldGrant",
    "Name": "principal-hr-policy-owner -&gt; Steps.RequiresHumanConfirmation",
    "FieldTable": "Steps",
    "FieldName": "RequiresHumanConfirmation",
    "FieldIsDerived": false,
    "IsWritableDerivedField": false,
    "IsMasked": false,
    "GrantKeyWhenReadable": "principal-hr-policy-owner|Steps"
   },
   {
    "FieldGrantId": "fg-hr-policy-owner-Steps.ExpectedDurationMinutes",
    "Principal": "principal-hr-policy-owner",
    "TargetField": "Steps.ExpectedDurationMinutes",
    "CanRead": true,
    "CanWrite": false,
    "MaskStrategy": "plain",
    "SemanticTypeIri": "urn:effortless:pko-extension#FieldGrant",
    "Name": "principal-hr-policy-owner -&gt; Steps.ExpectedDurationMinutes",
    "FieldTable": "Steps",
    "FieldName": "ExpectedDurationMinutes",
    "FieldIsDerived": false,
    "IsWritableDerivedField": false,
    "IsMasked": false,
    "GrantKeyWhenReadable": "principal-hr-policy-owner|Steps"
   },
   {
    "FieldGrantId": "fg-hr-policy-owner-KnowledgeFragments.KnowledgeFragmentId",
    "Principal": "principal-hr-policy-owner",
    "TargetField": "KnowledgeFragments.KnowledgeFragmentId",
    "CanRead": true,
    "CanWrite": false,
    "MaskStrategy": "plain",
    "SemanticTypeIri": "urn:effortless:pko-extension#FieldGrant",
    "Name": "principal-hr-policy-owner -&gt; KnowledgeFragments.KnowledgeFragmentId",
    "FieldTable": "KnowledgeFragments",
    "FieldName": "KnowledgeFragmentId",
    "FieldIsDerived": false,
    "IsWritableDerivedField": false,
    "IsMasked": false,
    "GrantKeyWhenReadable": "principal-hr-policy-owner|KnowledgeFragments"
   },
   {
    "FieldGrantId": "fg-hr-policy-owner-KnowledgeFragments.Statement",
    "Principal": "principal-hr-policy-owner",
    "TargetField": "KnowledgeFragments.Statement",
    "CanRead": true,
    "CanWrite": false,
    "MaskStrategy": "plain",
    "SemanticTypeIri": "urn:effortless:pko-extension#FieldGrant",
    "Name": "principal-hr-policy-owner -&gt; KnowledgeFragments.Statement",
    "FieldTable": "KnowledgeFragments",
    "FieldName": "Statement",
    "FieldIsDerived": false,
    "IsWritableDerivedField": false,
    "IsMasked": false,
    "GrantKeyWhenReadable": "principal-hr-policy-owner|KnowledgeFragments"
   },
   {
    "FieldGrantId": "fg-hr-policy-owner-KnowledgeFragments.KnowledgeForm",
    "Principal": "principal-hr-policy-owner",
    "TargetField": "KnowledgeFragments.KnowledgeForm",
    "CanRead": true,
    "CanWrite": false,
    "MaskStrategy": "plain",
    "SemanticTypeIri": "urn:effortless:pko-extension#FieldGrant",
    "Name": "principal-hr-policy-owner -&gt; KnowledgeFragments.KnowledgeForm",
    "FieldTable": "KnowledgeFragments",
    "FieldName": "KnowledgeForm",
    "FieldIsDerived": false,
    "IsWritableDerivedField": false,
    "IsMasked": false,
    "GrantKeyWhenReadable": "principal-hr-policy-owner|KnowledgeFragments"
   },
   {
    "FieldGrantId": "fg-hr-policy-owner-KnowledgeFragments.Status",
    "Principal": "principal-hr-policy-owner",
    "TargetField": "KnowledgeFragments.Status",
    "CanRead": true,
    "CanWrite": false,
    "MaskStrategy": "plain",
    "SemanticTypeIri": "urn:effortless:pko-extension#FieldGrant",
    "Name": "principal-hr-policy-owner -&gt; KnowledgeFragments.Status",
    "FieldTable": "KnowledgeFragments",
    "FieldName": "Status",
    "FieldIsDerived": false,
    "IsWritableDerivedField": false,
    "IsMasked": false,
    "GrantKeyWhenReadable": "principal-hr-policy-owner|KnowledgeFragments"
   },
   {
    "FieldGrantId": "fg-hr-policy-owner-KnowledgeFragments.Confidence",
    "Principal": "principal-hr-policy-owner",
    "TargetField": "KnowledgeFragments.Confidence",
    "CanRead": true,
    "CanWrite": false,
    "MaskStrategy": "plain",
    "SemanticTypeIri": "urn:effortless:pko-extension#FieldGrant",
    "Name": "principal-hr-policy-owner -&gt; KnowledgeFragments.Confidence",
    "FieldTable": "KnowledgeFragments",
    "FieldName": "Confidence",
    "FieldIsDerived": false,
    "IsWritableDerivedField": false,
    "IsMasked": false,
    "GrantKeyWhenReadable": "principal-hr-policy-owner|KnowledgeFragments"
   },
   {
    "FieldGrantId": "fg-hr-policy-owner-KnowledgeFragments.OwnerRole",
    "Principal": "principal-hr-policy-owner",
    "TargetField": "KnowledgeFragments.OwnerRole",
    "CanRead": true,
    "CanWrite": false,
    "MaskStrategy": "plain",
    "SemanticTypeIri": "urn:effortless:pko-extension#FieldGrant",
    "Name": "principal-hr-policy-owner -&gt; KnowledgeFragments.OwnerRole",
    "FieldTable": "KnowledgeFragments",
    "FieldName": "OwnerRole",
    "FieldIsDerived": false,
    "IsWritableDerivedField": false,
    "IsMasked": false,
    "GrantKeyWhenReadable": "principal-hr-policy-owner|KnowledgeFragments"
   },
   {
    "FieldGrantId": "fg</t>
  </si>
  <si>
    <t xml:space="preserve">-hr-policy-owner-KnowledgeFragments.ValidFrom",
    "Principal": "principal-hr-policy-owner",
    "TargetField": "KnowledgeFragments.ValidFrom",
    "CanRead": true,
    "CanWrite": false,
    "MaskStrategy": "plain",
    "SemanticTypeIri": "urn:effortless:pko-extension#FieldGrant",
    "Name": "principal-hr-policy-owner -&gt; KnowledgeFragments.ValidFrom",
    "FieldTable": "KnowledgeFragments",
    "FieldName": "ValidFrom",
    "FieldIsDerived": false,
    "IsWritableDerivedField": false,
    "IsMasked": false,
    "GrantKeyWhenReadable": "principal-hr-policy-owner|KnowledgeFragments"
   },
   {
    "FieldGrantId": "fg-hr-policy-owner-KnowledgeFragments.ValidTo",
    "Principal": "principal-hr-policy-owner",
    "TargetField": "KnowledgeFragments.ValidTo",
    "CanRead": true,
    "CanWrite": false,
    "MaskStrategy": "plain",
    "SemanticTypeIri": "urn:effortless:pko-extension#FieldGrant",
    "Name": "principal-hr-policy-owner -&gt; KnowledgeFragments.ValidTo",
    "FieldTable": "KnowledgeFragments",
    "FieldName": "ValidTo",
    "FieldIsDerived": false,
    "IsWritableDerivedField": false,
    "IsMasked": false,
    "GrantKeyWhenReadable": "principal-hr-policy-owner|KnowledgeFragments"
   },
   {
    "FieldGrantId": "fg-hr-policy-owner-KnowledgeFragments.LastReviewedAt",
    "Principal": "principal-hr-policy-owner",
    "TargetField": "KnowledgeFragments.LastReviewedAt",
    "CanRead": true,
    "CanWrite": false,
    "MaskStrategy": "plain",
    "SemanticTypeIri": "urn:effortless:pko-extension#FieldGrant",
    "Name": "principal-hr-policy-owner -&gt; KnowledgeFragments.LastReviewedAt",
    "FieldTable": "KnowledgeFragments",
    "FieldName": "LastReviewedAt",
    "FieldIsDerived": false,
    "IsWritableDerivedField": false,
    "IsMasked": false,
    "GrantKeyWhenReadable": "principal-hr-policy-owner|KnowledgeFragments"
   },
   {
    "FieldGrantId": "fg-hr-policy-owner-KnowledgeFragments.Name",
    "Principal": "principal-hr-policy-owner",
    "TargetField": "KnowledgeFragments.Name",
    "CanRead": true,
    "CanWrite": false,
    "MaskStrategy": "plain",
    "SemanticTypeIri": "urn:effortless:pko-extension#FieldGrant",
    "Name": "principal-hr-policy-owner -&gt; KnowledgeFragments.Name",
    "FieldTable": "KnowledgeFragments",
    "FieldName": "Name",
    "FieldIsDerived": true,
    "IsWritableDerivedField": false,
    "IsMasked": false,
    "GrantKeyWhenReadable": "principal-hr-policy-owner|KnowledgeFragments"
   },
   {
    "FieldGrantId": "fg-hr-policy-owner-KnowledgeGaps.KnowledgeGapId",
    "Principal": "principal-hr-policy-owner",
    "TargetField": "KnowledgeGaps.KnowledgeGapId",
    "CanRead": true,
    "CanWrite": false,
    "MaskStrategy": "plain",
    "SemanticTypeIri": "urn:effortless:pko-extension#FieldGrant",
    "Name": "principal-hr-policy-owner -&gt; KnowledgeGaps.KnowledgeGapId",
    "FieldTable": "KnowledgeGaps",
    "FieldName": "KnowledgeGapId",
    "FieldIsDerived": false,
    "IsWritableDerivedField": false,
    "IsMasked": false,
    "GrantKeyWhenReadable": "principal-hr-policy-owner|KnowledgeGaps"
   },
   {
    "FieldGrantId": "fg-hr-policy-owner-KnowledgeGaps.Statement",
    "Principal": "principal-hr-policy-owner",
    "TargetField": "KnowledgeGaps.Statement",
    "CanRead": true,
    "CanWrite": false,
    "MaskStrategy": "plain",
    "SemanticTypeIri": "urn:effortless:pko-extension#FieldGrant",
    "Name": "principal-hr-policy-owner -&gt; KnowledgeGaps.Statement",
    "FieldTable": "KnowledgeGaps",
    "FieldName": "Statement",
    "FieldIsDerived": false,
    "IsWritableDerivedField": false,
    "IsMasked": false,
    "GrantKeyWhenReadable": "principal-hr-policy-owner|KnowledgeGaps"
   },
   {
    "FieldGrantId": "fg-hr-policy-owner-KnowledgeGaps.Severity",
    "Principal": "principal-hr-policy-owner",
    "TargetField": "KnowledgeGaps.Severity",
    "CanRead": true,
    "CanWrite": false,
    "MaskStrategy": "plain",
    "SemanticTypeIri": "urn:effortless:pko-extension#FieldGrant",
    "Name": "principal-hr-policy-owner -&gt; KnowledgeGaps.Severity",
    "FieldTable": "KnowledgeGaps",
    "FieldName": "Severity",
    "FieldIsDerived": false,
    "IsWritableDerivedField": false,
    "IsMasked": false,
    "GrantKeyWhenReadable": "principal-hr-policy-owner|KnowledgeGaps"
   },
   {
    "FieldGrantId": "fg-hr-policy-owner-KnowledgeGaps.Status",
    "Principal": "principal-hr-policy-owner",
    "TargetField": "KnowledgeGaps.Status",
    "CanRead": true,
    "CanWrite": false,
    "MaskStrategy": "plain",
    "SemanticTypeIri": "urn:effortless:pko-extension#FieldGrant",
    "Name": "principal-hr-policy-owner -&gt; KnowledgeGaps.Status",
    "FieldTable": "KnowledgeGaps",
    "FieldName": "Status",
    "FieldIsDerived": false,
    "IsWritableDerivedField": false,
    "IsMasked": false,
    "GrantKeyWhenReadable": "principal-hr-policy-owner|KnowledgeGaps"
   },
   {
    "FieldGrantId": "fg-hr-policy-owner-KnowledgeGaps.OwnerRole",
    "Principal": "principal-hr-policy-owner",
    "TargetField": "KnowledgeGaps.OwnerRole",
    "CanRead": true,
    "CanWrite": false,
    "MaskStrategy": "plain",
    "SemanticTypeIri": "urn:effortless:pko-extension#FieldGrant",
    "Name": "principal-hr-policy-owner -&gt; KnowledgeGaps.OwnerRole",
    "FieldTable": "KnowledgeGaps",
    "FieldName": "OwnerRole",
    "FieldIsDerived": false,
    "IsWritableDerivedField": false,
    "IsMasked": false,
    "GrantKeyWhenReadable": "principal-hr-policy-owner|KnowledgeGaps"
   },
   {
    "FieldGrantId": "fg-hr-policy-owner-KnowledgeGaps.ResolutionPlan",
    "Principal": "principal-hr-policy-owner",
    "TargetField": "KnowledgeGaps.ResolutionPlan",
    "CanRead": true,
    "CanWrite": false,
    "MaskStrategy": "plain",
    "SemanticTypeIri": "urn:effortless:pko-extension#FieldGrant",
    "Name": "principal-hr-policy-owner -&gt; KnowledgeGaps.ResolutionPlan",
    "FieldTable": "KnowledgeGaps",
    "FieldName": "ResolutionPlan",
    "FieldIsDerived": false,
    "IsWritableDerivedField": false,
    "IsMasked": false,
    "GrantKeyWhenReadable": "principal-hr-policy-owner|KnowledgeGaps"
   },
   {
    "FieldGrantId": "fg-hr-policy-owner-KnowledgeGaps.IsOpen",
    "Principal": "principal-hr-policy-owner",
    "TargetField": "KnowledgeGaps.IsOpen",
    "CanRead": true,
    "CanWrite": false,
    "MaskStrategy": "plain",
    "SemanticTypeIri": "urn:effortless:pko-extension#FieldGrant",
    "Name": "principal-hr-policy-owner -&gt; KnowledgeGaps.IsOpen",
    "FieldTable": "KnowledgeGaps",
    "FieldName": "IsOpen",
    "FieldIsDerived": true,
    "IsWritableDerivedField": false,
    "IsMasked": false,
    "GrantKeyWhenReadable": "principal-hr-policy-owner|KnowledgeGaps"
   },
   {
    "FieldGrantId": "fg-hr-policy-owner-KnowledgeGaps.Name",
    "Principal": "principal-hr-policy-owner",
    "TargetField": "KnowledgeGaps.Name",
    "CanRead": true,
    "CanWrite": false,
    "MaskStrategy": "plain",
    "SemanticTypeIri": "urn:effortless:pko-extension#FieldGrant",
    "Name": "principal-hr-policy-owner -&gt; KnowledgeGaps.Name",
    "FieldTable": "KnowledgeGaps",
    "FieldName": "Name",
    "FieldIsDerived": true,
    "IsWritableDerivedField": false,
    "IsMasked": false,
    "GrantKeyWhenReadable": "principal-hr-policy-owner|KnowledgeGaps"
   },
   {
    "FieldGrantId": "fg-hr-policy-owner-ChangeRequests.ChangeRequestId",
    "Principal": "principal-hr-policy-owner",
    "TargetField": "ChangeRequests.ChangeRequestId",
    "CanRead": true,
    "CanWrite": false,
    "MaskStrategy": "plain",
    "SemanticTypeIri": "urn:effortless:pko-extension#FieldGrant",
    "Name": "principal-hr-policy-owner -&gt; ChangeRequests.ChangeRequestId",
    "FieldTable": "ChangeRequests",
    "FieldName": "ChangeRequestId",
    "FieldIsDerived": false,
    "IsWritableDerivedField": false,
    "IsMasked": false,
    "GrantKeyWhenReadable": "principal-hr-policy-owner|ChangeRequests"
   },
   {
    "FieldGrantId": "fg-hr-policy-owner-ChangeRequests.Title",
    "Principal": "principal-hr-policy-owner",
    "TargetField": "ChangeRequests.Title",
    "CanRead": true,
    "CanWrite": false,
    "MaskStrategy": "plain",
    "SemanticTypeIri": "urn:effortless:pko-extension#FieldGrant",
    "Name": "principal-hr-policy-owner -&gt; ChangeRequests.Title",
    "FieldTable": "ChangeRequests",
    "FieldName": "Title",
    "FieldIsDerived": false,
    "IsWritableDerivedField": false,
    "IsMasked": false,
    "GrantKeyWhenReadable": "principal-hr-policy-owner|ChangeRequests"
   },
   {
    "FieldGrantId": "fg-hr-policy-owner-ChangeRequests.ChangeKind",
    "Principal": "principal-hr-policy-owner",
    "TargetField": "ChangeRequests.ChangeKind",
    "CanRead": true,
    "CanWrite": false,
    "MaskStrategy": "plain",
    "SemanticTypeIri": "urn:effortless:pko-extension#FieldGrant",
    "Name": "principal-hr-policy-owner -&gt; ChangeRequests.ChangeKind",
    "FieldTable": "ChangeRequests",
    "FieldName": "ChangeKind",
    "FieldIsDerived": false,
    "IsWritableDerivedField": false,
    "IsMasked": false,
    "GrantKeyWhenReadable": "principal-hr-policy-owner|ChangeRequests"
   },
   {
    "FieldGrantId": "fg-hr-policy-owner-ChangeRequests.Status",
    "Principal": "principal-hr-policy-owner",
    "TargetField": "ChangeRequests.Status",
    "CanRead": true,
    "CanWrite": false,
    "MaskStrategy": "plain",
    "SemanticTypeIri": "urn:effortless:pko-extension#FieldGrant",
    "Name": "principal-hr-policy-owner -&gt; ChangeRequests.Status",
    "FieldTable": "ChangeRequests",
    "FieldName": "Status",
    "FieldIsDerived": false,
    "IsWritableDerivedField": false,
    "IsMasked": false,
    "GrantKeyWhenReadable": "principal-hr-policy-owner|ChangeRequests"
   },
   {
    "FieldGrantId": "fg-hr-policy-owner-ChangeRequests.RequestedAt",
    "Principal": "principal-hr-policy-owner",
    "TargetField": "ChangeRequests.RequestedAt",
    "CanRead": true,
    "CanWrite": false,
    "MaskStrategy": "plain",
    "SemanticTypeIri": "urn:effortless:pko-extension#FieldGrant",
    "Name": "principal-hr-policy-owner -&gt; ChangeRequests.RequestedAt",
    "FieldTable": "ChangeRequests",
    "FieldName": "RequestedAt",
    "FieldIsDerived": false,
    "IsWritableDerivedField": false,
    "IsMasked": false,
    "GrantKeyWhenReadable": "principal-hr-policy-owner|ChangeRequests"
   },
   {
    "FieldGrantId": "fg-hr-policy-owner-ChangeRequests.DecidedAt",
    "Principal": "principal-hr-policy-owner",
    "TargetField": "ChangeRequests.DecidedAt",
    "CanRead": true,
    "CanWrite": false,
    "MaskStrategy": "plain",
    "SemanticTypeIri": "urn:effortless:pko-extension#FieldGrant",
    "Name": "principal-hr-policy-owner -&gt; ChangeRequests.DecidedAt",
    "FieldTable": "ChangeRequests",
    "FieldName": "DecidedAt",
    "FieldIsDerived": false,
    "IsWritableDerivedField": false,
    "IsMasked": false,
    "GrantKeyWhenReadable": "principal-hr-policy-owner|ChangeRequests"
   },
   {
    "FieldGrantId": "fg-hr-policy-owner-ChangeRequests.ImpactAssessment",
    "Principal": "principal-hr-policy-owner",
    "TargetField": "ChangeRequests.ImpactAssessment",
    "CanRead": true,
    "CanWrite": false,
    "MaskStrategy": "plain",
    "SemanticTypeIri": "urn:effortless:pko-extension#FieldGrant",
    "Name": "principal-hr-policy-owner -&gt; ChangeRequests.ImpactAssessment",
    "FieldTable": "ChangeRequests",
    "FieldName": "ImpactAssessment",
    "FieldIsDerived": false,
    "IsWritableDerivedField": false,
    "IsMasked": false,
    "GrantKeyWhenReadable": "principal-hr-policy-owner|ChangeRequests"
   },
   {
    "FieldGrantId": "fg-hr-policy-owner-ChangeRequests.AuthorityRole",
    "Principal": "principal-hr-policy-owner",
    "TargetField": "ChangeRequests.AuthorityRole",
    "CanRead": true,
    "CanWrite": false,
    "MaskStrategy": "plain",
    "SemanticTypeIri": "urn:effortless:pko-extension#FieldGrant",
    "Name": "principal-hr-policy-owner -&gt; ChangeRequests.AuthorityRole",
    "FieldTable": "ChangeRequests",
    "FieldName": "AuthorityRole",
    "FieldIsDerived": false,
    "IsWritableDerivedField": false,
    "IsMasked": false,
    "GrantKeyWhenReadable": "principal-hr-policy-owner|ChangeRequests"
   },
   {
    "FieldGrantId": "fg-hr-policy-owner-ChangeRequests.IsOpen",
    "Principal": "principal-hr-policy-owner",
    "TargetField": "ChangeRequests.IsOpen",
    "CanRead": true,
    "CanWrite": false,
    "MaskStrategy": "plain",
    "SemanticTypeIri": "urn:effortless:pko-extension#FieldGrant",
    "Name": "principal-hr-policy-owner -&gt; ChangeRequests.IsOpen",
    "FieldTable": "ChangeRequests",
    "FieldName": "IsOpen",
    "FieldIsDerived": true,
    "IsWritableDerivedField": false,
    "IsMasked": false,
    "GrantKeyWhenReadable": "principal-hr-policy-owner|ChangeRequests"
   },
   {
    "FieldGrantId": "fg-hr-policy-owner-ChangeRequests.Name",
    "Principal": "principal-hr-policy-owner",
    "TargetField": "ChangeRequests.Name",
    "CanRead": true,
    "CanWrite": false,
    "MaskStrategy": "plain",
    "SemanticTypeIri": "urn:effortless:pko-extension#FieldGrant",
    "Name": "principal-hr-policy-owner -&gt; ChangeRequests.Name",
    "FieldTable": "ChangeRequests",
    "FieldName": "Name",
    "FieldIsDerived": true,
    "IsWritableDerivedField": false,
    "IsMasked": false,
    "GrantKeyWhenReadable": "principal-hr-policy-owner|ChangeRequests"
   },
   {
    "FieldGrantId": "fg-hr-policy-owner-Exceptions.ExceptionId",
    "Principal": "principal-hr-policy-owner",
    "TargetField": "Exceptions.ExceptionId",
    "CanRead": true,
    "CanWrite": false,
    "MaskStrategy": "plain",
    "SemanticTypeIri": "urn:effortless:pko-extension#FieldGrant",
    "Name": "principal-hr-policy-owner -&gt; Exceptions.ExceptionId",
    "FieldTable": "Exceptions",
    "FieldName": "ExceptionId",
    "FieldIsDerived": false,
    "IsWritableDerivedField": false,
    "IsMasked": false,
    "GrantKeyWhenReadable": "principal-hr-policy-owner|Exceptions"
   },
   {
    "FieldGrantId": "fg-hr-policy-owner-Exceptions.Name",
    "Principal": "principal-hr-policy-owner",
    "TargetField": "Exceptions.Name",
    "CanRead": true,
    "CanWrite": false,
    "MaskStrategy": "plain",
    "SemanticTypeIri": "urn:effortless:pko-extension#FieldGrant",
    "Name": "principal-hr-policy-owner -&gt; Exceptions.Name",
    "FieldTable": "Exceptions",
    "FieldName": "Name",
    "FieldIsDerived": true,
    "IsWritableDerivedField": false,
    "IsMasked": false,
    "GrantKeyWhenReadable": "principal-hr-policy-owner|Exceptions"
   },
   {
    "FieldGrantId": "fg-hr-policy-owner-Exceptions.ProcedureVersion",
    "Principal": "principal-hr-policy-owner",
    "TargetField": "Exceptions.ProcedureVersion",
    "CanRead": true,
    "CanWrite": false,
    "MaskStrategy": "plain",
    "SemanticTypeIri": "urn:effortless:pko-extension#FieldGrant",
    "Name": "principal-hr-policy-owner -&gt; Exceptions.ProcedureVersion",
    "FieldTable": "Exceptions",
    "FieldName": "ProcedureVersion",
    "FieldIsDerived": false,
    "IsWritableDerivedField": false,
    "IsMasked": false,
    "GrantKeyWhenReadable": "principal-hr-policy-owner|Exceptions"
   },
   {
    "FieldGrantId": "fg-hr-policy-owner-Exceptions.TriggerStep",
    "Principal": "principal-hr-policy-owner",
    "TargetField": "Exceptions.TriggerStep",
    "CanRead": true,
    "CanWrite": false,
    "MaskStrategy": "plain",
    "SemanticTypeIri": "urn:effortless:pko-extension#FieldGrant",
    "Name": "principal-hr-policy-owner -&gt; Exceptions.TriggerStep",
    "FieldTable": "Exceptions",
    "FieldName": "TriggerStep",
    "FieldIsDerived": false,
    "IsWritableDerivedField": false,
    "IsMasked": false,
    "GrantKeyWhenReadable": "principal-hr-policy-owner|Exceptions"
   },
   {
    "FieldGrantId": "fg-hr-policy-owner-Exceptions.Condition",
    "Principal": "principal-hr-policy-owner",
    "TargetField": "Exceptions.Condition",
    "CanRead": true,
    "CanWrite": false,
    "MaskStrategy": "plain",
    "SemanticTypeIri": "urn:effortless:pko-extension#FieldGrant",
    "Name": "principal-hr-policy-owner -&gt; Exceptions.Condition",
    "FieldTable": "Exceptions",
    "FieldName": "Condition",
    "FieldIsDerived": false,
    "IsWritableDerivedField": false,
    "IsMasked": false,
    "GrantKeyWhenReadable": "principal-hr-policy-owner|Exceptions"
   },
   {
    "FieldGrantId": "fg-hr-policy-owner-Exceptions.Handling",
    "Principal": "principal-hr-policy-owner",
    "TargetField": "Exceptions.Handling",
    "CanRead": true,
    "CanWrite": false,
    "MaskStrategy": "plain",
    "SemanticTypeIri": "urn:effortless:pko-extension#FieldGrant",
    "Name": "principal-hr-policy-owner -&gt; Exceptions.Handling",
    "FieldTable": "Exceptions",
    "FieldName": "Handling",
    "FieldIsDerived": false,
    "IsWritableDerivedField": false,
    "IsMasked": false,
    "GrantKeyWhenReadable": "principal-hr-policy-owner|Exceptions"
   },
   {
    "FieldGrantId": "fg-hr-policy-owner-Exceptions.ApprovalRole",
    "Principal": "principal-hr-policy-owner",
    "TargetField": "Exceptions.ApprovalRole",
    "CanRead": true,
    "CanWrite": false,
    "MaskStrategy": "plain",
    "SemanticTypeIri": "urn:effortless:pko-extension#FieldGrant",
    "Name": "principal-hr-policy-owner -&gt; Exceptions.ApprovalRole",
    "FieldTable": "Exceptions",
    "FieldName": "ApprovalRole",
    "FieldIsDerived": false,
    "IsWritableDerivedField": false,
    "IsMasked": false,
    "GrantKeyWhenReadable": "principal-hr-policy-owner|Exceptions"
   },
   {
    "FieldGrantId": "fg-hr-policy-owner-Exceptions.FallbackRole",
    "Principal": "principal-hr-policy-owner",
    "TargetField": "Exceptions.FallbackRole",
    "CanRead": true,
    "CanWrite": false,
    "MaskStrategy": "plain",
    "SemanticTypeIri": "urn:effortless:pko-extension#FieldGrant",
    "Name": "principal-hr-policy-owner -&gt; Exceptions.FallbackRole",
    "FieldTable": "Exceptions",
    "FieldName": "FallbackRole",
    "FieldIsDerived": false,
    "IsWritableDerivedField": false,
    "IsMasked": false,
    "GrantKeyWhenReadable": "principal-hr-policy-owner|Exceptions"
   },
   {
    "FieldGrantId": "fg-hr-policy-owner-Exceptions.Status",
    "Principal": "principal-hr-policy-owner",
    "TargetField": "Exceptions.Status",
    "CanRead": true,
    "CanWrite": false,
    "MaskStrategy": "plain",
    "SemanticTypeIri": "urn:effortless:pko-extension#FieldGrant",
    "Name": "principal-hr-policy-owner -&gt; Exceptions.Status",
    "FieldTable": "Exceptions",
    "FieldName": "Status",
    "FieldIsDerived": false,
    "IsWritableDerivedField": false,
    "IsMasked": false,
    "GrantKeyWhenReadable": "principal-hr-policy-owner|Exceptions"
   },
   {
    "FieldGrantId": "fg-hr-policy-owner-Exceptions.ActiveExceptionStepKey",
    "Principal": "principal-hr-policy-owner",
    "TargetField": "Exceptions.ActiveExceptionStepKey",
    "CanRead": true,
    "CanWrite": false,
    "MaskStrategy": "plain",
    "SemanticTypeIri": "urn:effortless:pko-extension#FieldGrant",
    "Name": "principal-hr-policy-owner -&gt; Exceptions.ActiveExceptionStepKey",
    "FieldTable": "Exceptions",
    "FieldName": "ActiveExceptionStepKey",
    "FieldIsDerived": true,
    "IsWritableDerivedField": false,
    "IsMasked": false,
    "GrantKeyWhenReadable": "principal-hr-policy-owner|Exceptions"
   },
   {
    "FieldGrantId": "fg-hr-policy-owner-Exceptions.SemanticTypeIri",
    "Principal": "principal-hr-policy-owner",
    "TargetField": "Exceptions.SemanticTypeIri",
    "CanRead": true,
    "CanWrite": false,
    "MaskStrategy": "plain",
    "SemanticTypeIri": "urn:effortless:pko-extension#FieldGrant",
    "Name": "principal-hr-policy-owner -&gt; Exceptions.SemanticTypeIri",
    "FieldTable": "Exceptions",
    "FieldName": "SemanticTypeIri",
    "FieldIsDerived": false,
    "IsWritableDerivedField": false,
    "IsMasked": false,
    "GrantKeyWhenReadable": "principal-hr-policy-owner|Exceptions"
   },
   {
    "FieldGrantId": "fg-hr-policy-owner-MessageTemplates.MessageTemplateId",
    "Principal": "principal-hr-policy-owner",
    "TargetField": "MessageTemplates.MessageTemplateId",
    "CanRead": true,
    "CanWrite": false,
    "MaskStrategy": "plain",
    "SemanticTypeIri": "urn:effortless:pko-extension#FieldGrant",
    "Name": "principal-hr-policy-owner -&gt; MessageTemplates.MessageTemplateId",
    "FieldTable": "MessageTemplates",
    "FieldName": "MessageTemplateId",
    "FieldIsDerived": false,
    "IsWritableDerivedField": false,
    "IsMasked": false,
    "GrantKeyWhenReadable": "principal-hr-policy-owner|MessageTemplates"
   },
   {
    "FieldGrantId": "fg-hr-policy-owner-MessageTemplates.SubjectTemplate",
    "Principal": "principal-hr-policy-owner",
    "TargetField": "MessageTemplates.SubjectTemplate",
    "CanRead": true,
    "CanWrite": false,
    "MaskStrategy": "plain",
    "SemanticTypeIri": "urn:effortless:pko-extension#FieldGrant",
    "Name": "principal-hr-policy-owner -&gt; MessageTemplates.SubjectTemplate",
    "FieldTable": "MessageTemplates",
    "FieldName": "SubjectTemplate",
    "FieldIsDerived": false,
    "IsWritableDerivedField": false,
    "IsMasked": false,
    "GrantKeyWhenReadable": "principal-hr-policy-owner|MessageTemplates"
   },
   {
    "FieldGrantId": "fg-hr-policy-owner-MessageTemplates.BodyTemplate",
    "Principal": "principal-hr-policy-owner",
    "TargetField": "MessageTemplates.BodyTemplate",
    "CanRead": true,
    "CanWrite": false,
    "MaskStrategy": "plain",
    "SemanticTypeIri": "urn:effortless:pko-extension#FieldGrant",
    "Name": "principal-hr-policy-owner -&gt; MessageTemplates.BodyTemplate",
    "FieldTable": "MessageTemplates",
    "FieldName": "BodyTemplate",
    "FieldIsDerived": false,
    "IsWritableDerivedField": false,
    "IsMasked": false,
    "GrantKeyWhenReadable": "principal-hr-policy-owner|MessageTemplates"
   },
   {
    "FieldGrantId": "fg-hr-policy-owner-MessageTemplates.Status",
    "Principal": "principal-hr-policy-owner",
    "TargetField": "MessageTemplates.Status",
    "CanRead": true,
    "CanWrite": false,
    "MaskStrategy": "plain",
    "SemanticTypeIri": "urn:effortless:pko-extension#FieldGrant",
    "Name": "principal-hr-policy-owner -&gt; MessageTemplates.Status",
    "FieldTable": "MessageTemplates",
    "FieldName": "Status",
    "FieldIsDerived": false,
    "IsWritableDerivedField": false,
    "IsMasked": false,
    "GrantKeyWhenReadable": "principal-hr-policy-owner|MessageTemplates"
   },
   {
    "FieldGrantId": "fg-hr-policy-owner-MessageTemplates.Name",
    "Principal": "principal-hr-policy-owner",
    "TargetField": "MessageTemplates.Name",
    "CanRead": true,
    "CanWrite": false,
    "MaskStrategy": "plain",
    "SemanticTypeIri": "urn:effortless:pko-extension#FieldGrant",
    "Name": "principal-hr-policy-owner -&gt; MessageTemplates.Name",
    "FieldTable": "MessageTemplates",
    "FieldName": "Name",
    "FieldIsDerived": true,
    "IsWritableDerivedField": false,
    "IsMasked": false,
    "GrantKeyWhenReadable": "principal-hr-policy-owner|MessageTemplates"
   },
   {
    "FieldGrantId": "fg-employment-counsel-ChangeRequests.ChangeRequestId",
    "Principal": "principal-employment-counsel",
    "TargetField": "ChangeRequests.ChangeRequestId",
    "CanRead": true,
    "CanWrite": false,
    "MaskStrategy": "plain",
    "SemanticTypeIri": "urn:effortless:pko-extension#FieldGrant",
    "Name": "principal-employment-counsel -&gt; ChangeRequests.ChangeRequestId",
    "FieldTable": "ChangeRequests",
    "FieldName": "ChangeRequestId",
    "FieldIsDerived": false,
    "IsWritableDerivedField": false,
    "IsMasked": false,
    "GrantKeyWhenReadable": "principal-employment-counsel|ChangeRequests"
   },
   {
    "FieldGrantId": "fg-employment-counsel-ChangeRequests.Title",
    "Principal": "principal-employment-counsel",
    "TargetField": "ChangeRequests.Title",
    "CanRead": true,
    "CanWrite": false,
    "MaskStrategy": "plain",
    "SemanticTypeIri": "urn:effortless:pko-extension#FieldGrant",
    "Name": "principal-employment-counsel -&gt; ChangeRequests.Title",
    "FieldTable": "ChangeRequests",
    "FieldName": "Title",
    "FieldIsDerived": false,
    "IsWritableDerivedField": false,
    "IsMasked": false,
    "GrantKeyWhenReadable": "principal-employment-counsel|ChangeRequests"
   },
   {
    "FieldGrantId": "fg-employment-counsel-ChangeRequests.ChangeKind",
    "Principal": "principal-employment-counsel",
    "TargetField": "ChangeRequests.ChangeKind",
    "CanRead": true,
    "CanWrite": false,
    "MaskStrategy": "plain",
    "SemanticTypeIri": "urn:effortless:pko-extension#FieldGrant",
    "Name": "principal-employment-counsel -&gt; ChangeRequests.ChangeKind",
    "FieldTable": "ChangeRequests",
    "FieldName": "ChangeKind",
    "FieldIsDerived": false,
    "IsWritableDerivedField": false,
    "IsMasked": false,
    "GrantKeyWhenReadable": "principal-employment-counsel|ChangeRequests"
   },
   {
    "FieldGrantId": "fg-employment-counsel-ChangeRequests.Status",
    "Principal": "principal-employment-counsel",
    "TargetField": "ChangeRequests.Status",
    "CanRead": true,
    "CanWrite": false,
    "MaskStrategy": "plain",
    "SemanticTypeIri": "urn:effortless:pko-extension#FieldGrant",
    "Name": "principal-employment-counsel -&gt; ChangeRequests.Status",
    "FieldTable": "ChangeRequests",
    "FieldName": "Status",
    "FieldIsDerived": false,
    "IsWritableDerivedField": false,
    "IsMasked": false,
    "GrantKeyWhenReadable": "principal-employment-counsel|ChangeRequests"
   },
   {
    "FieldGrantId": "fg-employment-counsel-ChangeRequests.RequestedAt",
    "Principal": "principal-employment-counsel",
    "TargetField": "ChangeRequests.RequestedAt",
    "CanRead": true,
    "CanWrite": false,
    "MaskStrategy": "plain",
    "SemanticTypeIri": "urn:effortless:pko-extension#FieldGrant",
    "Name": "principal-employment-counsel -&gt; ChangeRequests.RequestedAt",
    "FieldTable": "ChangeRequests",
    "FieldName": "RequestedAt",
    "FieldIsDerived": false,
    "IsWritableDerivedField": false,
    "IsMasked": false,
    "GrantKeyWhenReadable": "principal-employment-counsel|ChangeRequests"
   },
   {
    "FieldGrantId": "fg-employment-counsel-ChangeRequests.DecidedAt",
    "Principal": "principal-employment-counsel",
    "TargetField": "ChangeRequests.DecidedAt",
    "CanRead": true,
    "CanWrite": false,
    "MaskStrategy": "plain",
    "SemanticTypeIri": "urn:effortless:pko-extension#FieldGrant",
    "Name": "principal-employment-counsel -&gt; ChangeRequests.DecidedAt",
    "FieldTable": "ChangeRequests",
    "FieldName": "DecidedAt",
    "FieldIsDerived": false,
    "IsWritableDerivedField": false,
    "IsMasked": false,
    "GrantKeyWhenReadable": "principal-employment-counsel|ChangeRequests"
   },
   {
    "FieldGrantId": "fg-employment-counsel-ChangeRequests.ImpactAssessment",
    "Principal": "principal-employment-counsel",
    "TargetField": "ChangeRequests.ImpactAssessment",
    "CanRead": true,
    "CanWrite": false,
    "MaskStrategy": "plain",
    "SemanticTypeIri": "urn:effortless:pko-extension#FieldGrant",
    "Name": "principal-employment-counsel -&gt; ChangeRequests.ImpactAssessment",
    "FieldTable": "ChangeRequests",
    "FieldName": "ImpactAssessment",
    "FieldIsDerived": false,
    "IsWritableDerivedField": false,
    "IsMasked": false,
    "GrantKeyWhenReadable": "principal-employment-counsel|ChangeRequests"
   },
   {
    "FieldGrantId": "fg-employment-counsel-ChangeRequests.IsOpen",
    "Principal": "principal-employment-counsel",
    "TargetField": "ChangeRequests.IsOpen",
    "CanRead": true,
    "CanWrite": false,
    "MaskStrategy": "plain",
    "SemanticTypeIri": "urn:effortless:pko-extension#FieldGrant",
    "Name": "principal-employment-counsel -&gt; ChangeRequests.IsOpen",
    "FieldTable": "ChangeRequests",
    "FieldName": "IsOpen",
    "FieldIsDerived": true,
    "IsWritableDerivedField": false,
    "IsMasked": false,
    "GrantKeyWhenReadable": "principal-employment-counsel|ChangeRequests"
   },
   {
    "FieldGrantId": "fg-employment-counsel-ChangeRequests.Name",
    "Principal": "principal-employment-counsel",
    "TargetField": "ChangeRequests.Name",
    "CanRead": true,
    "CanWrite": false,
    "MaskStrategy": "plain",
    "SemanticTypeIri": "urn:effortless:pko-extension#FieldGrant",
    "Name": "principal-employment-counsel -&gt; ChangeRequests.Name",
    "FieldTable": "ChangeRequests",
    "FieldName": "Name",
    "FieldIsDerived": true,
    "IsWritableDerivedField": false,
    "IsMasked": false,
    "GrantKeyWhenReadable": "principal-employment-counsel|ChangeRequests"
   },
   {
    "FieldGrantId": "fg-employment-counsel-KnowledgeFragments.KnowledgeFragmentId",
    "Principal": "principal-employment-counsel",
    "TargetField": "KnowledgeFragments.KnowledgeFragmentId",
    "CanRead": true,
    "CanWrite": false,
    "MaskStrategy": "plain",
    "SemanticTypeIri": "urn:effortless:pko-extension#FieldGrant",
    "Name": "principal-employment-counsel -&gt; KnowledgeFragments.KnowledgeFragmentId",
    "FieldTable": "KnowledgeFragments",
    "FieldName": "KnowledgeFragmentId",
    "FieldIsDerived": false,
    "IsWritableDerivedField": false,
    "IsMasked": false,
    "GrantKeyWhenReadable": "principal-employment-counsel|KnowledgeFragments"
   },
   {
    "FieldGrantId": "fg-employment-counsel-KnowledgeFragments.Statement",
    "Principal": "principal-employment-counsel",
    "TargetField": "KnowledgeFragments.Statement",
    "CanRead": true,
    "CanWrite": false,
    "MaskStrategy": "plain",
    "SemanticTypeIri": "urn:effortless:pko-extension#FieldGrant",
    "Name": "principal-employment-counsel -&gt; KnowledgeFragments.Statement",
    "FieldTable": "KnowledgeFragments",
    "FieldName": "Statement",
    "FieldIsDerived": false,
    "IsWritableDerivedField": false,
    "IsMasked": false,
    "GrantKeyWhenReadable": "principal-employment-counsel|KnowledgeFragments"
   },
   {
    "FieldGrantId": "fg-employment-counsel-KnowledgeFragments.KnowledgeForm",
    "Principal": "principal-employment-counsel",
    "TargetField": "KnowledgeFragments.KnowledgeForm",
    "CanRead": true,
    "CanWrite": false,
    "MaskStrategy": "plain",
    "SemanticTypeIri": "urn:effortless:pko-extension#FieldGrant",
    "Name": "principal-employment-counsel -&gt; KnowledgeFragments.KnowledgeForm",
    "FieldTable": "KnowledgeFragments",
    "FieldName": "KnowledgeForm",
    "FieldIsDerived": false,
    "IsWritableDerivedField": false,
    "IsMasked": false,
    "GrantKeyWhenReadable": "principal-employment-counsel|KnowledgeFragments"
   },
   {
    "FieldGrantId": "fg-employment-counsel-KnowledgeFragments.Status",
    "Principal": "principal-employment-counsel",
    "TargetField": "KnowledgeFragments.Status",
    "CanRead": true,
    "CanWrite": false,
    "MaskStrategy": "plain",
    "SemanticTypeIri": "urn:effortless:pko-extension#FieldGrant",
    "Name": "principal-employment-counsel -&gt; KnowledgeFragments.Status",
    "FieldTable": "KnowledgeFragments",
    "FieldName": "Status",
    "FieldIsDerived": false,
    "IsWritableDerivedField": false,
    "IsMasked": false,
    "GrantKeyWhenReadable": "principal-employment-counsel|KnowledgeFragments"
   },
   {
    "FieldGrantId": "fg-employment-counsel-KnowledgeFragments.OwnerRole",
    "Principal": "principal-employment-counsel",
    "TargetField": "KnowledgeFragments.OwnerRole",
    "CanRead": true,
    "CanWrite": false,
    "MaskStrategy": "plain",
    "SemanticTypeIri": "urn:effortless:pko-extension#FieldGrant",
    "Name": "principal-employment-counsel -&gt; KnowledgeFragments.OwnerRole",
    "FieldTable": "KnowledgeFragments",
    "FieldName": "OwnerRole",
    "FieldIsDerived": false,
    "IsWritableDerivedField": false,
    "IsMasked": false,
    "GrantKeyWhenReadable": "principal-employment-counsel|KnowledgeFragments"
   },
   {
    "FieldGrantId": "fg-employment-counsel-KnowledgeFragments.ValidFrom",
    "Principal": "principal-employment-counsel",
    "TargetField": "KnowledgeFragments.ValidFrom",
    "CanRead": true,
    "CanWrite": false,
    "MaskStrategy": "plain",
    "SemanticTypeIri": "urn:effortless:pko-extension#FieldGrant",
    "Name": "principal-employment-counsel -&gt; KnowledgeFragments.ValidFrom",
    "FieldTable": "KnowledgeFragments",
    "FieldName": "ValidFrom",
    "FieldIsDerived": false,
    "IsWritableDerivedField": false,
    "IsMasked": false,
    "GrantKeyWhenReadable": "principal-employment-counsel|KnowledgeFragments"
   },
   {
    "FieldGrantId": "fg-employment-counsel-KnowledgeFragments.ValidTo",
    "Principal": "principal-employment-counsel",
    "TargetField": "KnowledgeFragments.ValidTo",
    "CanRead": true,
    "CanWrite": false,
    "MaskStrategy": "plain",
    "SemanticTypeIri": "urn:effortless:pko-extension#FieldGrant",
    "Name": "principal-employment-counsel -&gt; KnowledgeFragme</t>
  </si>
  <si>
    <t xml:space="preserve">nts.ValidTo",
    "FieldTable": "KnowledgeFragments",
    "FieldName": "ValidTo",
    "FieldIsDerived": false,
    "IsWritableDerivedField": false,
    "IsMasked": false,
    "GrantKeyWhenReadable": "principal-employment-counsel|KnowledgeFragments"
   },
   {
    "FieldGrantId": "fg-employment-counsel-KnowledgeFragments.Name",
    "Principal": "principal-employment-counsel",
    "TargetField": "KnowledgeFragments.Name",
    "CanRead": true,
    "CanWrite": false,
    "MaskStrategy": "plain",
    "SemanticTypeIri": "urn:effortless:pko-extension#FieldGrant",
    "Name": "principal-employment-counsel -&gt; KnowledgeFragments.Name",
    "FieldTable": "KnowledgeFragments",
    "FieldName": "Name",
    "FieldIsDerived": true,
    "IsWritableDerivedField": false,
    "IsMasked": false,
    "GrantKeyWhenReadable": "principal-employment-counsel|KnowledgeFragments"
   },
   {
    "FieldGrantId": "fg-employment-counsel-AuthorityBoundaries.AuthorityBoundaryId",
    "Principal": "principal-employment-counsel",
    "TargetField": "AuthorityBoundaries.AuthorityBoundaryId",
    "CanRead": true,
    "CanWrite": false,
    "MaskStrategy": "plain",
    "SemanticTypeIri": "urn:effortless:pko-extension#FieldGrant",
    "Name": "principal-employment-counsel -&gt; AuthorityBoundaries.AuthorityBoundaryId",
    "FieldTable": "AuthorityBoundaries",
    "FieldName": "AuthorityBoundaryId",
    "FieldIsDerived": false,
    "IsWritableDerivedField": false,
    "IsMasked": false,
    "GrantKeyWhenReadable": "principal-employment-counsel|AuthorityBoundaries"
   },
   {
    "FieldGrantId": "fg-employment-counsel-AuthorityBoundaries.ForbiddenAgentKind",
    "Principal": "principal-employment-counsel",
    "TargetField": "AuthorityBoundaries.ForbiddenAgentKind",
    "CanRead": true,
    "CanWrite": false,
    "MaskStrategy": "plain",
    "SemanticTypeIri": "urn:effortless:pko-extension#FieldGrant",
    "Name": "principal-employment-counsel -&gt; AuthorityBoundaries.ForbiddenAgentKind",
    "FieldTable": "AuthorityBoundaries",
    "FieldName": "ForbiddenAgentKind",
    "FieldIsDerived": false,
    "IsWritableDerivedField": false,
    "IsMasked": false,
    "GrantKeyWhenReadable": "principal-employment-counsel|AuthorityBoundaries"
   },
   {
    "FieldGrantId": "fg-employment-counsel-AuthorityBoundaries.ForbiddenDecisionKind",
    "Principal": "principal-employment-counsel",
    "TargetField": "AuthorityBoundaries.ForbiddenDecisionKind",
    "CanRead": true,
    "CanWrite": false,
    "MaskStrategy": "plain",
    "SemanticTypeIri": "urn:effortless:pko-extension#FieldGrant",
    "Name": "principal-employment-counsel -&gt; AuthorityBoundaries.ForbiddenDecisionKind",
    "FieldTable": "AuthorityBoundaries",
    "FieldName": "ForbiddenDecisionKind",
    "FieldIsDerived": false,
    "IsWritableDerivedField": false,
    "IsMasked": false,
    "GrantKeyWhenReadable": "principal-employment-counsel|AuthorityBoundaries"
   },
   {
    "FieldGrantId": "fg-employment-counsel-AuthorityBoundaries.Status",
    "Principal": "principal-employment-counsel",
    "TargetField": "AuthorityBoundaries.Status",
    "CanRead": true,
    "CanWrite": false,
    "MaskStrategy": "plain",
    "SemanticTypeIri": "urn:effortless:pko-extension#FieldGrant",
    "Name": "principal-employment-counsel -&gt; AuthorityBoundaries.Status",
    "FieldTable": "AuthorityBoundaries",
    "FieldName": "Status",
    "FieldIsDerived": false,
    "IsWritableDerivedField": false,
    "IsMasked": false,
    "GrantKeyWhenReadable": "principal-employment-counsel|AuthorityBoundaries"
   },
   {
    "FieldGrantId": "fg-employment-counsel-AuthorityBoundaries.AuthorityRole",
    "Principal": "principal-employment-counsel",
    "TargetField": "AuthorityBoundaries.AuthorityRole",
    "CanRead": true,
    "CanWrite": false,
    "MaskStrategy": "plain",
    "SemanticTypeIri": "urn:effortless:pko-extension#FieldGrant",
    "Name": "principal-employment-counsel -&gt; AuthorityBoundaries.AuthorityRole",
    "FieldTable": "AuthorityBoundaries",
    "FieldName": "AuthorityRole",
    "FieldIsDerived": false,
    "IsWritableDerivedField": false,
    "IsMasked": false,
    "GrantKeyWhenReadable": "principal-employment-counsel|AuthorityBoundaries"
   },
   {
    "FieldGrantId": "fg-employment-counsel-AuthorityBoundaries.Name",
    "Principal": "principal-employment-counsel",
    "TargetField": "AuthorityBoundaries.Name",
    "CanRead": true,
    "CanWrite": false,
    "MaskStrategy": "plain",
    "SemanticTypeIri": "urn:effortless:pko-extension#FieldGrant",
    "Name": "principal-employment-counsel -&gt; AuthorityBoundaries.Name",
    "FieldTable": "AuthorityBoundaries",
    "FieldName": "Name",
    "FieldIsDerived": true,
    "IsWritableDerivedField": false,
    "IsMasked": false,
    "GrantKeyWhenReadable": "principal-employment-counsel|AuthorityBoundaries"
   },
   {
    "FieldGrantId": "fg-employment-counsel-CommunicationPolicies.CommunicationPolicyId",
    "Principal": "principal-employment-counsel",
    "TargetField": "CommunicationPolicies.CommunicationPolicyId",
    "CanRead": true,
    "CanWrite": false,
    "MaskStrategy": "plain",
    "SemanticTypeIri": "urn:effortless:pko-extension#FieldGrant",
    "Name": "principal-employment-counsel -&gt; CommunicationPolicies.CommunicationPolicyId",
    "FieldTable": "CommunicationPolicies",
    "FieldName": "CommunicationPolicyId",
    "FieldIsDerived": false,
    "IsWritableDerivedField": false,
    "IsMasked": false,
    "GrantKeyWhenReadable": "principal-employment-counsel|CommunicationPolicies"
   },
   {
    "FieldGrantId": "fg-employment-counsel-CommunicationPolicies.Channel",
    "Principal": "principal-employment-counsel",
    "TargetField": "CommunicationPolicies.Channel",
    "CanRead": true,
    "CanWrite": false,
    "MaskStrategy": "plain",
    "SemanticTypeIri": "urn:effortless:pko-extension#FieldGrant",
    "Name": "principal-employment-counsel -&gt; CommunicationPolicies.Channel",
    "FieldTable": "CommunicationPolicies",
    "FieldName": "Channel",
    "FieldIsDerived": false,
    "IsWritableDerivedField": false,
    "IsMasked": false,
    "GrantKeyWhenReadable": "principal-employment-counsel|CommunicationPolicies"
   },
   {
    "FieldGrantId": "fg-employment-counsel-CommunicationPolicies.ConsentRequired",
    "Principal": "principal-employment-counsel",
    "TargetField": "CommunicationPolicies.ConsentRequired",
    "CanRead": true,
    "CanWrite": false,
    "MaskStrategy": "plain",
    "SemanticTypeIri": "urn:effortless:pko-extension#FieldGrant",
    "Name": "principal-employment-counsel -&gt; CommunicationPolicies.ConsentRequired",
    "FieldTable": "CommunicationPolicies",
    "FieldName": "ConsentRequired",
    "FieldIsDerived": false,
    "IsWritableDerivedField": false,
    "IsMasked": false,
    "GrantKeyWhenReadable": "principal-employment-counsel|CommunicationPolicies"
   },
   {
    "FieldGrantId": "fg-employment-counsel-CommunicationPolicies.RequiredContent",
    "Principal": "principal-employment-counsel",
    "TargetField": "CommunicationPolicies.RequiredContent",
    "CanRead": true,
    "CanWrite": false,
    "MaskStrategy": "plain",
    "SemanticTypeIri": "urn:effortless:pko-extension#FieldGrant",
    "Name": "principal-employment-counsel -&gt; CommunicationPolicies.RequiredContent",
    "FieldTable": "CommunicationPolicies",
    "FieldName": "RequiredContent",
    "FieldIsDerived": false,
    "IsWritableDerivedField": false,
    "IsMasked": false,
    "GrantKeyWhenReadable": "principal-employment-counsel|CommunicationPolicies"
   },
   {
    "FieldGrantId": "fg-employment-counsel-CommunicationPolicies.AuthorityStatement",
    "Principal": "principal-employment-counsel",
    "TargetField": "CommunicationPolicies.AuthorityStatement",
    "CanRead": true,
    "CanWrite": false,
    "MaskStrategy": "plain",
    "SemanticTypeIri": "urn:effortless:pko-extension#FieldGrant",
    "Name": "principal-employment-counsel -&gt; CommunicationPolicies.AuthorityStatement",
    "FieldTable": "CommunicationPolicies",
    "FieldName": "AuthorityStatement",
    "FieldIsDerived": false,
    "IsWritableDerivedField": false,
    "IsMasked": false,
    "GrantKeyWhenReadable": "principal-employment-counsel|CommunicationPolicies"
   },
   {
    "FieldGrantId": "fg-employment-counsel-CommunicationPolicies.RetentionDays",
    "Principal": "principal-employment-counsel",
    "TargetField": "CommunicationPolicies.RetentionDays",
    "CanRead": true,
    "CanWrite": false,
    "MaskStrategy": "plain",
    "SemanticTypeIri": "urn:effortless:pko-extension#FieldGrant",
    "Name": "principal-employment-counsel -&gt; CommunicationPolicies.RetentionDays",
    "FieldTable": "CommunicationPolicies",
    "FieldName": "RetentionDays",
    "FieldIsDerived": false,
    "IsWritableDerivedField": false,
    "IsMasked": false,
    "GrantKeyWhenReadable": "principal-employment-counsel|CommunicationPolicies"
   },
   {
    "FieldGrantId": "fg-employment-counsel-CommunicationPolicies.Status",
    "Principal": "principal-employment-counsel",
    "TargetField": "CommunicationPolicies.Status",
    "CanRead": true,
    "CanWrite": false,
    "MaskStrategy": "plain",
    "SemanticTypeIri": "urn:effortless:pko-extension#FieldGrant",
    "Name": "principal-employment-counsel -&gt; CommunicationPolicies.Status",
    "FieldTable": "CommunicationPolicies",
    "FieldName": "Status",
    "FieldIsDerived": false,
    "IsWritableDerivedField": false,
    "IsMasked": false,
    "GrantKeyWhenReadable": "principal-employment-counsel|CommunicationPolicies"
   },
   {
    "FieldGrantId": "fg-employment-counsel-CommunicationPolicies.Name",
    "Principal": "principal-employment-counsel",
    "TargetField": "CommunicationPolicies.Name",
    "CanRead": true,
    "CanWrite": false,
    "MaskStrategy": "plain",
    "SemanticTypeIri": "urn:effortless:pko-extension#FieldGrant",
    "Name": "principal-employment-counsel -&gt; CommunicationPolicies.Name",
    "FieldTable": "CommunicationPolicies",
    "FieldName": "Name",
    "FieldIsDerived": true,
    "IsWritableDerivedField": false,
    "IsMasked": false,
    "GrantKeyWhenReadable": "principal-employment-counsel|CommunicationPolicies"
   },
   {
    "FieldGrantId": "fg-employment-counsel-Steps.StepId",
    "Principal": "principal-employment-counsel",
    "TargetField": "Steps.StepId",
    "CanRead": true,
    "CanWrite": false,
    "MaskStrategy": "plain",
    "SemanticTypeIri": "urn:effortless:pko-extension#FieldGrant",
    "Name": "principal-employment-counsel -&gt; Steps.StepId",
    "FieldTable": "Steps",
    "FieldName": "StepId",
    "FieldIsDerived": false,
    "IsWritableDerivedField": false,
    "IsMasked": false,
    "GrantKeyWhenReadable": "principal-employment-counsel|Steps"
   },
   {
    "FieldGrantId": "fg-employment-counsel-Steps.StepNumber",
    "Principal": "principal-employment-counsel",
    "TargetField": "Steps.StepNumber",
    "CanRead": true,
    "CanWrite": false,
    "MaskStrategy": "plain",
    "SemanticTypeIri": "urn:effortless:pko-extension#FieldGrant",
    "Name": "principal-employment-counsel -&gt; Steps.StepNumber",
    "FieldTable": "Steps",
    "FieldName": "StepNumber",
    "FieldIsDerived": false,
    "IsWritableDerivedField": false,
    "IsMasked": false,
    "GrantKeyWhenReadable": "principal-employment-counsel|Steps"
   },
   {
    "FieldGrantId": "fg-employment-counsel-Steps.Title",
    "Principal": "principal-employment-counsel",
    "TargetField": "Steps.Title",
    "CanRead": true,
    "CanWrite": false,
    "MaskStrategy": "plain",
    "SemanticTypeIri": "urn:effortless:pko-extension#FieldGrant",
    "Name": "principal-employment-counsel -&gt; Steps.Title",
    "FieldTable": "Steps",
    "FieldName": "Title",
    "FieldIsDerived": false,
    "IsWritableDerivedField": false,
    "IsMasked": false,
    "GrantKeyWhenReadable": "principal-employment-counsel|Steps"
   },
   {
    "FieldGrantId": "fg-employment-counsel-Steps.StepKind",
    "Principal": "principal-employment-counsel",
    "TargetField": "Steps.StepKind",
    "CanRead": true,
    "CanWrite": false,
    "MaskStrategy": "plain",
    "SemanticTypeIri": "urn:effortless:pko-extension#FieldGrant",
    "Name": "principal-employment-counsel -&gt; Steps.StepKind",
    "FieldTable": "Steps",
    "FieldName": "StepKind",
    "FieldIsDerived": false,
    "IsWritableDerivedField": false,
    "IsMasked": false,
    "GrantKeyWhenReadable": "principal-employment-counsel|Steps"
   },
   {
    "FieldGrantId": "fg-employment-counsel-Steps.Instruction",
    "Principal": "principal-employment-counsel",
    "TargetField": "Steps.Instruction",
    "CanRead": true,
    "CanWrite": false,
    "MaskStrategy": "plain",
    "SemanticTypeIri": "urn:effortless:pko-extension#FieldGrant",
    "Name": "principal-employment-counsel -&gt; Steps.Instruction",
    "FieldTable": "Steps",
    "FieldName": "Instruction",
    "FieldIsDerived": false,
    "IsWritableDerivedField": false,
    "IsMasked": false,
    "GrantKeyWhenReadable": "principal-employment-counsel|Steps"
   },
   {
    "FieldGrantId": "fg-employment-counsel-Steps.AssignedRole",
    "Principal": "principal-employment-counsel",
    "TargetField": "Steps.AssignedRole",
    "CanRead": true,
    "CanWrite": false,
    "MaskStrategy": "plain",
    "SemanticTypeIri": "urn:effortless:pko-extension#FieldGrant",
    "Name": "principal-employment-counsel -&gt; Steps.AssignedRole",
    "FieldTable": "Steps",
    "FieldName": "AssignedRole",
    "FieldIsDerived": false,
    "IsWritableDerivedField": false,
    "IsMasked": false,
    "GrantKeyWhenReadable": "principal-employment-counsel|Steps"
   },
   {
    "FieldGrantId": "fg-employment-counsel-Steps.AssignedRoleLabel",
    "Principal": "principal-employment-counsel",
    "TargetField": "Steps.AssignedRoleLabel",
    "CanRead": true,
    "CanWrite": false,
    "MaskStrategy": "plain",
    "SemanticTypeIri": "urn:effortless:pko-extension#FieldGrant",
    "Name": "principal-employment-counsel -&gt; Steps.AssignedRoleLabel",
    "FieldTable": "Steps",
    "FieldName": "AssignedRoleLabel",
    "FieldIsDerived": true,
    "IsWritableDerivedField": false,
    "IsMasked": false,
    "GrantKeyWhenReadable": "principal-employment-counsel|Steps"
   },
   {
    "FieldGrantId": "fg-employment-counsel-Steps.ProcedureVersion",
    "Principal": "principal-employment-counsel",
    "TargetField": "Steps.ProcedureVersion",
    "CanRead": true,
    "CanWrite": false,
    "MaskStrategy": "plain",
    "SemanticTypeIri": "urn:effortless:pko-extension#FieldGrant",
    "Name": "principal-employment-counsel -&gt; Steps.ProcedureVersion",
    "FieldTable": "Steps",
    "FieldName": "ProcedureVersion",
    "FieldIsDerived": false,
    "IsWritableDerivedField": false,
    "IsMasked": false,
    "GrantKeyWhenReadable": "principal-employment-counsel|Steps"
   },
   {
    "FieldGrantId": "fg-employment-counsel-Steps.Name",
    "Principal": "principal-employment-counsel",
    "TargetField": "Steps.Name",
    "CanRead": true,
    "CanWrite": false,
    "MaskStrategy": "plain",
    "SemanticTypeIri": "urn:effortless:pko-extension#FieldGrant",
    "Name": "principal-employment-counsel -&gt; Steps.Name",
    "FieldTable": "Steps",
    "FieldName": "Name",
    "FieldIsDerived": true,
    "IsWritableDerivedField": false,
    "IsMasked": false,
    "GrantKeyWhenReadable": "principal-employment-counsel|Steps"
   },
   {
    "FieldGrantId": "fg-communications-manager-CommunicationPolicies.CommunicationPolicyId",
    "Principal": "principal-communications-manager",
    "TargetField": "CommunicationPolicies.CommunicationPolicyId",
    "CanRead": true,
    "CanWrite": false,
    "MaskStrategy": "plain",
    "SemanticTypeIri": "urn:effortless:pko-extension#FieldGrant",
    "Name": "principal-communications-manager -&gt; CommunicationPolicies.CommunicationPolicyId",
    "FieldTable": "CommunicationPolicies",
    "FieldName": "CommunicationPolicyId",
    "FieldIsDerived": false,
    "IsWritableDerivedField": false,
    "IsMasked": false,
    "GrantKeyWhenReadable": "principal-communications-manager|CommunicationPolicies"
   },
   {
    "FieldGrantId": "fg-communications-manager-CommunicationPolicies.Name",
    "Principal": "principal-communications-manager",
    "TargetField": "CommunicationPolicies.Name",
    "CanRead": true,
    "CanWrite": false,
    "MaskStrategy": "plain",
    "SemanticTypeIri": "urn:effortless:pko-extension#FieldGrant",
    "Name": "principal-communications-manager -&gt; CommunicationPolicies.Name",
    "FieldTable": "CommunicationPolicies",
    "FieldName": "Name",
    "FieldIsDerived": true,
    "IsWritableDerivedField": false,
    "IsMasked": false,
    "GrantKeyWhenReadable": "principal-communications-manager|CommunicationPolicies"
   },
   {
    "FieldGrantId": "fg-communications-manager-CommunicationPolicies.ProcedureVersion",
    "Principal": "principal-communications-manager",
    "TargetField": "CommunicationPolicies.ProcedureVersion",
    "CanRead": true,
    "CanWrite": false,
    "MaskStrategy": "plain",
    "SemanticTypeIri": "urn:effortless:pko-extension#FieldGrant",
    "Name": "principal-communications-manager -&gt; CommunicationPolicies.ProcedureVersion",
    "FieldTable": "CommunicationPolicies",
    "FieldName": "ProcedureVersion",
    "FieldIsDerived": false,
    "IsWritableDerivedField": false,
    "IsMasked": false,
    "GrantKeyWhenReadable": "principal-communications-manager|CommunicationPolicies"
   },
   {
    "FieldGrantId": "fg-communications-manager-CommunicationPolicies.Channel",
    "Principal": "principal-communications-manager",
    "TargetField": "CommunicationPolicies.Channel",
    "CanRead": true,
    "CanWrite": false,
    "MaskStrategy": "plain",
    "SemanticTypeIri": "urn:effortless:pko-extension#FieldGrant",
    "Name": "principal-communications-manager -&gt; CommunicationPolicies.Channel",
    "FieldTable": "CommunicationPolicies",
    "FieldName": "Channel",
    "FieldIsDerived": false,
    "IsWritableDerivedField": false,
    "IsMasked": false,
    "GrantKeyWhenReadable": "principal-communications-manager|CommunicationPolicies"
   },
   {
    "FieldGrantId": "fg-communications-manager-CommunicationPolicies.AudienceRule",
    "Principal": "principal-communications-manager",
    "TargetField": "CommunicationPolicies.AudienceRule",
    "CanRead": true,
    "CanWrite": false,
    "MaskStrategy": "plain",
    "SemanticTypeIri": "urn:effortless:pko-extension#FieldGrant",
    "Name": "principal-communications-manager -&gt; CommunicationPolicies.AudienceRule",
    "FieldTable": "CommunicationPolicies",
    "FieldName": "AudienceRule",
    "FieldIsDerived": false,
    "IsWritableDerivedField": false,
    "IsMasked": false,
    "GrantKeyWhenReadable": "principal-communications-manager|CommunicationPolicies"
   },
   {
    "FieldGrantId": "fg-communications-manager-CommunicationPolicies.ConsentRequired",
    "Principal": "principal-communications-manager",
    "TargetField": "CommunicationPolicies.ConsentRequired",
    "CanRead": true,
    "CanWrite": false,
    "MaskStrategy": "plain",
    "SemanticTypeIri": "urn:effortless:pko-extension#FieldGrant",
    "Name": "principal-communications-manager -&gt; CommunicationPolicies.ConsentRequired",
    "FieldTable": "CommunicationPolicies",
    "FieldName": "ConsentRequired",
    "FieldIsDerived": false,
    "IsWritableDerivedField": false,
    "IsMasked": false,
    "GrantKeyWhenReadable": "principal-communications-manager|CommunicationPolicies"
   },
   {
    "FieldGrantId": "fg-communications-manager-CommunicationPolicies.QuietHoursStart",
    "Principal": "principal-communications-manager",
    "TargetField": "CommunicationPolicies.QuietHoursStart",
    "CanRead": true,
    "CanWrite": false,
    "MaskStrategy": "plain",
    "SemanticTypeIri": "urn:effortless:pko-extension#FieldGrant",
    "Name": "principal-communications-manager -&gt; CommunicationPolicies.QuietHoursStart",
    "FieldTable": "CommunicationPolicies",
    "FieldName": "QuietHoursStart",
    "FieldIsDerived": false,
    "IsWritableDerivedField": false,
    "IsMasked": false,
    "GrantKeyWhenReadable": "principal-communications-manager|CommunicationPolicies"
   },
   {
    "FieldGrantId": "fg-communications-manager-CommunicationPolicies.QuietHoursEnd",
    "Principal": "principal-communications-manager",
    "TargetField": "CommunicationPolicies.QuietHoursEnd",
    "CanRead": true,
    "CanWrite": false,
    "MaskStrategy": "plain",
    "SemanticTypeIri": "urn:effortless:pko-extension#FieldGrant",
    "Name": "principal-communications-manager -&gt; CommunicationPolicies.QuietHoursEnd",
    "FieldTable": "CommunicationPolicies",
    "FieldName": "QuietHoursEnd",
    "FieldIsDerived": false,
    "IsWritableDerivedField": false,
    "IsMasked": false,
    "GrantKeyWhenReadable": "principal-communications-manager|CommunicationPolicies"
   },
   {
    "FieldGrantId": "fg-communications-manager-CommunicationPolicies.MaxMessageLength",
    "Principal": "principal-communications-manager",
    "TargetField": "CommunicationPolicies.MaxMessageLength",
    "CanRead": true,
    "CanWrite": false,
    "MaskStrategy": "plain",
    "SemanticTypeIri": "urn:effortless:pko-extension#FieldGrant",
    "Name": "principal-communications-manager -&gt; CommunicationPolicies.MaxMessageLength",
    "FieldTable": "CommunicationPolicies",
    "FieldName": "MaxMessageLength",
    "FieldIsDerived": false,
    "IsWritableDerivedField": false,
    "IsMasked": false,
    "GrantKeyWhenReadable": "principal-communications-manager|CommunicationPolicies"
   },
   {
    "FieldGrantId": "fg-communications-manager-CommunicationPolicies.MaxSegments",
    "Principal": "principal-communications-manager",
    "TargetField": "CommunicationPolicies.MaxSegments",
    "CanRead": true,
    "CanWrite": false,
    "MaskStrategy": "plain",
    "SemanticTypeIri": "urn:effortless:pko-extension#FieldGrant",
    "Name": "principal-communications-manager -&gt; CommunicationPolicies.MaxSegments",
    "FieldTable": "CommunicationPolicies",
    "FieldName": "MaxSegments",
    "FieldIsDerived": false,
    "IsWritableDerivedField": false,
    "IsMasked": false,
    "GrantKeyWhenReadable": "principal-communications-manager|CommunicationPolicies"
   },
   {
    "FieldGrantId": "fg-communications-manager-CommunicationPolicies.RetentionDays",
    "Principal": "principal-communications-manager",
    "TargetField": "CommunicationPolicies.RetentionDays",
    "CanRead": true,
    "CanWrite": false,
    "MaskStrategy": "plain",
    "SemanticTypeIri": "urn:effortless:pko-extension#FieldGrant",
    "Name": "principal-communications-manager -&gt; CommunicationPolicies.RetentionDays",
    "FieldTable": "CommunicationPolicies",
    "FieldName": "RetentionDays",
    "FieldIsDerived": false,
    "IsWritableDerivedField": false,
    "IsMasked": false,
    "GrantKeyWhenReadable": "principal-communications-manager|CommunicationPolicies"
   },
   {
    "FieldGrantId": "fg-communications-manager-CommunicationPolicies.ApprovalRole",
    "Principal": "principal-communications-manager",
    "TargetField": "CommunicationPolicies.ApprovalRole",
    "CanRead": true,
    "CanWrite": false,
    "MaskStrategy": "plain",
    "SemanticTypeIri": "urn:effortless:pko-extension#FieldGrant",
    "Name": "principal-communications-manager -&gt; CommunicationPolicies.ApprovalRole",
    "FieldTable": "CommunicationPolicies",
    "FieldName": "ApprovalRole",
    "FieldIsDerived": false,
    "IsWritableDerivedField": false,
    "IsMasked": false,
    "GrantKeyWhenReadable": "principal-communications-manager|CommunicationPolicies"
   },
   {
    "FieldGrantId": "fg-communications-manager-CommunicationPolicies.RequiredContent",
    "Principal": "principal-communications-manager",
    "TargetField": "CommunicationPolicies.RequiredContent",
    "CanRead": true,
    "CanWrite": false,
    "MaskStrategy": "plain",
    "SemanticTypeIri": "urn:effortless:pko-extension#FieldGrant",
    "Name": "principal-communications-manager -&gt; CommunicationPolicies.RequiredContent",
    "FieldTable": "CommunicationPolicies",
    "FieldName": "RequiredContent",
    "FieldIsDerived": false,
    "IsWritableDerivedField": false,
    "IsMasked": false,
    "GrantKeyWhenReadable": "principal-communications-manager|CommunicationPolicies"
   },
   {
    "FieldGrantId": "fg-communications-manager-CommunicationPolicies.AuthorityStatement",
    "Principal": "principal-communications-manager",
    "TargetField": "CommunicationPolicies.AuthorityStatement",
    "CanRead": true,
    "CanWrite": false,
    "MaskStrategy": "plain",
    "SemanticTypeIri": "urn:effortless:pko-extension#FieldGrant",
    "Name": "principal-communications-manager -&gt; CommunicationPolicies.AuthorityStatement",
    "FieldTable": "CommunicationPolicies",
    "FieldName": "AuthorityStatement",
    "FieldIsDerived": false,
    "IsWritableDerivedField": false,
    "IsMasked": false,
    "GrantKeyWhenReadable": "principal-communications-manager|CommunicationPolicies"
   },
   {
    "FieldGrantId": "fg-communications-manager-CommunicationPolicies.Status",
    "Principal": "principal-communications-manager",
    "TargetField": "CommunicationPolicies.Status",
    "CanRead": true,
    "CanWrite": false,
    "MaskStrategy": "plain",
    "SemanticTypeIri": "urn:effortless:pko-extension#FieldGrant",
    "Name": "principal-communications-manager -&gt; CommunicationPolicies.Status",
    "FieldTable": "CommunicationPolicies",
    "FieldName": "Status",
    "FieldIsDerived": false,
    "IsWritableDerivedField": false,
    "IsMasked": false,
    "GrantKeyWhenReadable": "principal-communications-manager|CommunicationPolicies"
   },
   {
    "FieldGrantId": "fg-communications-manager-CommunicationPolicies.ConsentViolationCount",
    "Principal": "principal-communications-manager",
    "TargetField": "CommunicationPolicies.ConsentViolationCount",
    "CanRead": true,
    "CanWrite": false,
    "MaskStrategy": "plain",
    "SemanticTypeIri": "urn:effortless:pko-extension#FieldGrant",
    "Name": "principal-communications-manager -&gt; CommunicationPolicies.ConsentViolationCount",
    "FieldTable": "CommunicationPolicies",
    "FieldName": "ConsentViolationCount",
    "FieldIsDerived": true,
    "IsWritableDerivedField": false,
    "IsMasked": false,
    "GrantKeyWhenReadable": "principal-communications-manager|CommunicationPolicies"
   },
   {
    "FieldGrantId": "fg-communications-manager-CommunicationPolicies.QuietHoursStartHour",
    "Principal": "principal-communications-manager",
    "TargetField": "CommunicationPolicies.QuietHoursStartHour",
    "CanRead": true,
    "CanWrite": false,
    "MaskStrategy": "plain",
    "SemanticTypeIri": "urn:effortless:pko-extension#FieldGrant",
    "Name": "principal-communications-manager -&gt; CommunicationPolicies.QuietHoursStartHour",
    "FieldTable": "CommunicationPolicies",
    "FieldName": "QuietHoursStartHour",
    "FieldIsDerived": false,
    "IsWritableDerivedField": false,
    "IsMasked": false,
    "GrantKeyWhenReadable": "principal-communications-manager|CommunicationPolicies"
   },
   {
    "FieldGrantId": "fg-communications-manager-CommunicationPolicies.QuietHoursEndHour",
    "Principal": "principal-communications-manager",
    "TargetField": "CommunicationPolicies.QuietHoursEndHour",
    "CanRead": true,
    "CanWrite": false,
    "MaskStrategy": "plain",
    "SemanticTypeIri": "urn:effortless:pko-extension#FieldGrant",
    "Name": "principal-communications-manager -&gt; CommunicationPolicies.QuietHoursEndHour",
    "FieldTable": "CommunicationPolicies",
    "FieldName": "QuietHoursEndHour",
    "FieldIsDerived": false,
    "IsWritableDerivedField": false,
    "IsMasked": false,
    "GrantKeyWhenReadable": "principal-communications-manager|CommunicationPolicies"
   },
   {
    "FieldGrantId": "fg-communications-manager-CommunicationPolicies.QuietHoursViolationCount",
    "Principal": "principal-communications-manager",
    "TargetField": "CommunicationPolicies.QuietHoursViolationCount",
    "CanRead": true,
    "CanWrite": false,
    "MaskStrategy": "plain",
    "SemanticTypeIri": "urn:effortless:pko-extension#FieldGrant",
    "Name": "principal-communications-manager -&gt; CommunicationPolicies.QuietHoursViolationCount",
    "FieldTable": "CommunicationPolicies",
    "FieldName": "QuietHoursViolationCount",
    "FieldIsDerived": true,
    "IsWritableDerivedField": false,
    "IsMasked": false,
    "GrantKeyWhenReadable": "principal-communications-manager|CommunicationPolicies"
   },
   {
    "FieldGrantId": "fg-communications-manager-CommunicationPolicies.RequiredOptOutPhrase",
    "Principal": "principal-communications-manager",
    "TargetField": "CommunicationPolicies.RequiredOptOutPhrase",
    "CanRead": true,
    "CanWrite": false,
    "MaskStrategy": "plain",
    "SemanticTypeIri": "urn:effortless:pko-extension#FieldGrant",
    "Name": "principal-communications-manager -&gt; CommunicationPolicies.RequiredOptOutPhrase",
    "FieldTable": "CommunicationPolicies",
    "FieldName": "RequiredOptOutPhrase",
    "FieldIsDerived": false,
    "IsWritableDerivedField": false,
    "IsMasked": false,
    "GrantKeyWhenReadable": "principal-communications-manager|CommunicationPolicies"
   },
   {
    "FieldGrantId": "fg-communications-manager-CommunicationPolicies.IsActivePolicy",
    "Principal": "principal-communications-manager",
    "TargetField": "CommunicationPolicies.IsActivePolicy",
    "CanRead": true,
    "CanWrite": false,
    "MaskStrategy": "plain",
    "SemanticTypeIri": "urn:effortless:pko-extension#FieldGrant",
    "Name": "principal-communications-manager -&gt; CommunicationPolicies.IsActivePolicy",
    "FieldTable": "CommunicationPolicies",
    "FieldName": "IsActivePolicy",
    "FieldIsDerived": true,
    "IsWritableDerivedField": false,
    "IsMasked": false,
    "GrantKeyWhenReadable": "principal-communications-manager|CommunicationPolicies"
   },
   {
    "FieldGrantId": "fg-communications-manager-CommunicationPolicies.SemanticTypeIri",
    "Principal": "principal-communications-manager",
    "TargetField": "CommunicationPolicies.SemanticTypeIri",
    "CanRead": true,
    "CanWrite": false,
    "MaskStrategy": "plain",
    "SemanticTypeIri": "urn:effortless:pko-extension#FieldGrant",
    "Name": "principal-communications-manager -&gt; CommunicationPolicies.SemanticTypeIri",
    "FieldTable": "CommunicationPolicies",
    "FieldName": "SemanticTypeIri",
    "FieldIsDerived": false,
    "IsWritableDerivedField": false,
    "IsMasked": false,
    "GrantKeyWhenReadable": "principal-communications-manager|CommunicationPolicies"
   },
   {
    "FieldGrantId": "fg-communications-manager-MessageTemplates.MessageTemplateId",
    "Principal": "principal-communications-manager",
    "TargetField": "MessageTemplates.MessageTemplateId",
    "CanRead": true,
    "CanWrite": false,
    "MaskStrategy": "plain",
    "SemanticTypeIri": "urn:effortless:pko-extension#FieldGrant",
    "Name": "principal-communications-manager -&gt; MessageTemplates.MessageTemplateId",
    "FieldTable": "MessageTemplates",
    "FieldName": "MessageTemplateId",
    "FieldIsDerived": false,
    "IsWritableDerivedField": false,
    "IsMasked": false,
    "GrantKeyWhenReadable": "principal-communications-manager|MessageTemplates"
   },
   {
    "FieldGrantId": "fg-communications-manager-MessageTemplates.SubjectTemplate",
    "Principal": "principal-communications-manager",
    "TargetField": "MessageTemplates.SubjectTemplate",
    "CanRead": true,
    "CanWrite": false,
    "MaskStrategy": "plain",
    "SemanticTypeIri": "urn:effortless:pko-extension#FieldGrant",
    "Name": "principal-communications-manager -&gt; MessageTemplates.SubjectTemplate",
    "FieldTable": "MessageTemplates",
    "FieldName": "SubjectTemplate",
    "FieldIsDerived": false,
    "IsWritableDerivedField": false,
    "IsMasked": false,
    "GrantKeyWhenReadable": "principal-communications-manager|MessageTemplates"
   },
   {
    "FieldGrantId": "fg-communications-manager-MessageTemplates.BodyTemplate",
    "Principal": "principal-communications-manager",
    "TargetField": "MessageTemplates.BodyTemplate",
    "CanRead": true,
    "CanWrite": false,
    "MaskStrategy": "plain",
    "SemanticTypeIri": "urn:effortless:pko-extension#FieldGrant",
    "Name": "principal-communications-manager -&gt; MessageTemplates.BodyTemplate",
    "FieldTable": "MessageTemplates",
    "FieldName": "BodyTemplate",
    "FieldIsDerived": false,
    "IsWritableDerivedField": false,
    "IsMasked": false,
    "GrantKeyWhenReadable": "principal-communications-manager|MessageTemplates"
   },
   {
    "FieldGrantId": "fg-communications-manager-MessageTemplates.Locale",
    "Principal": "principal-communications-manager",
    "TargetField": "MessageTemplates.Locale",
    "CanRead": true,
    "CanWrite": false,
    "MaskStrategy": "p</t>
  </si>
  <si>
    <t xml:space="preserve">lain",
    "SemanticTypeIri": "urn:effortless:pko-extension#FieldGrant",
    "Name": "principal-communications-manager -&gt; MessageTemplates.Locale",
    "FieldTable": "MessageTemplates",
    "FieldName": "Locale",
    "FieldIsDerived": false,
    "IsWritableDerivedField": false,
    "IsMasked": false,
    "GrantKeyWhenReadable": "principal-communications-manager|MessageTemplates"
   },
   {
    "FieldGrantId": "fg-communications-manager-MessageTemplates.Status",
    "Principal": "principal-communications-manager",
    "TargetField": "MessageTemplates.Status",
    "CanRead": true,
    "CanWrite": false,
    "MaskStrategy": "plain",
    "SemanticTypeIri": "urn:effortless:pko-extension#FieldGrant",
    "Name": "principal-communications-manager -&gt; MessageTemplates.Status",
    "FieldTable": "MessageTemplates",
    "FieldName": "Status",
    "FieldIsDerived": false,
    "IsWritableDerivedField": false,
    "IsMasked": false,
    "GrantKeyWhenReadable": "principal-communications-manager|MessageTemplates"
   },
   {
    "FieldGrantId": "fg-communications-manager-MessageTemplates.LastValidApproval",
    "Principal": "principal-communications-manager",
    "TargetField": "MessageTemplates.LastValidApproval",
    "CanRead": true,
    "CanWrite": false,
    "MaskStrategy": "plain",
    "SemanticTypeIri": "urn:effortless:pko-extension#FieldGrant",
    "Name": "principal-communications-manager -&gt; MessageTemplates.LastValidApproval",
    "FieldTable": "MessageTemplates",
    "FieldName": "LastValidApproval",
    "FieldIsDerived": false,
    "IsWritableDerivedField": false,
    "IsMasked": false,
    "GrantKeyWhenReadable": "principal-communications-manager|MessageTemplates"
   },
   {
    "FieldGrantId": "fg-communications-manager-MessageTemplates.Name",
    "Principal": "principal-communications-manager",
    "TargetField": "MessageTemplates.Name",
    "CanRead": true,
    "CanWrite": false,
    "MaskStrategy": "plain",
    "SemanticTypeIri": "urn:effortless:pko-extension#FieldGrant",
    "Name": "principal-communications-manager -&gt; MessageTemplates.Name",
    "FieldTable": "MessageTemplates",
    "FieldName": "Name",
    "FieldIsDerived": true,
    "IsWritableDerivedField": false,
    "IsMasked": false,
    "GrantKeyWhenReadable": "principal-communications-manager|MessageTemplates"
   },
   {
    "FieldGrantId": "fg-communications-manager-SendIntents.SendIntentId",
    "Principal": "principal-communications-manager",
    "TargetField": "SendIntents.SendIntentId",
    "CanRead": true,
    "CanWrite": false,
    "MaskStrategy": "plain",
    "SemanticTypeIri": "urn:effortless:pko-extension#FieldGrant",
    "Name": "principal-communications-manager -&gt; SendIntents.SendIntentId",
    "FieldTable": "SendIntents",
    "FieldName": "SendIntentId",
    "FieldIsDerived": false,
    "IsWritableDerivedField": false,
    "IsMasked": false,
    "GrantKeyWhenReadable": "principal-communications-manager|SendIntents"
   },
   {
    "FieldGrantId": "fg-communications-manager-SendIntents.ProposedBody",
    "Principal": "principal-communications-manager",
    "TargetField": "SendIntents.ProposedBody",
    "CanRead": true,
    "CanWrite": false,
    "MaskStrategy": "plain",
    "SemanticTypeIri": "urn:effortless:pko-extension#FieldGrant",
    "Name": "principal-communications-manager -&gt; SendIntents.ProposedBody",
    "FieldTable": "SendIntents",
    "FieldName": "ProposedBody",
    "FieldIsDerived": false,
    "IsWritableDerivedField": false,
    "IsMasked": false,
    "GrantKeyWhenReadable": "principal-communications-manager|SendIntents"
   },
   {
    "FieldGrantId": "fg-communications-manager-SendIntents.ProposedSendAtLocalHour",
    "Principal": "principal-communications-manager",
    "TargetField": "SendIntents.ProposedSendAtLocalHour",
    "CanRead": true,
    "CanWrite": false,
    "MaskStrategy": "plain",
    "SemanticTypeIri": "urn:effortless:pko-extension#FieldGrant",
    "Name": "principal-communications-manager -&gt; SendIntents.ProposedSendAtLocalHour",
    "FieldTable": "SendIntents",
    "FieldName": "ProposedSendAtLocalHour",
    "FieldIsDerived": false,
    "IsWritableDerivedField": false,
    "IsMasked": false,
    "GrantKeyWhenReadable": "principal-communications-manager|SendIntents"
   },
   {
    "FieldGrantId": "fg-communications-manager-SendIntents.EvaluatedAt",
    "Principal": "principal-communications-manager",
    "TargetField": "SendIntents.EvaluatedAt",
    "CanRead": true,
    "CanWrite": false,
    "MaskStrategy": "plain",
    "SemanticTypeIri": "urn:effortless:pko-extension#FieldGrant",
    "Name": "principal-communications-manager -&gt; SendIntents.EvaluatedAt",
    "FieldTable": "SendIntents",
    "FieldName": "EvaluatedAt",
    "FieldIsDerived": false,
    "IsWritableDerivedField": false,
    "IsMasked": false,
    "GrantKeyWhenReadable": "principal-communications-manager|SendIntents"
   },
   {
    "FieldGrantId": "fg-communications-manager-SendIntents.MessageTemplate",
    "Principal": "principal-communications-manager",
    "TargetField": "SendIntents.MessageTemplate",
    "CanRead": true,
    "CanWrite": false,
    "MaskStrategy": "plain",
    "SemanticTypeIri": "urn:effortless:pko-extension#FieldGrant",
    "Name": "principal-communications-manager -&gt; SendIntents.MessageTemplate",
    "FieldTable": "SendIntents",
    "FieldName": "MessageTemplate",
    "FieldIsDerived": false,
    "IsWritableDerivedField": false,
    "IsMasked": false,
    "GrantKeyWhenReadable": "principal-communications-manager|SendIntents"
   },
   {
    "FieldGrantId": "fg-communications-manager-SendIntents.Recipient",
    "Principal": "principal-communications-manager",
    "TargetField": "SendIntents.Recipient",
    "CanRead": true,
    "CanWrite": false,
    "MaskStrategy": "plain",
    "SemanticTypeIri": "urn:effortless:pko-extension#FieldGrant",
    "Name": "principal-communications-manager -&gt; SendIntents.Recipient",
    "FieldTable": "SendIntents",
    "FieldName": "Recipient",
    "FieldIsDerived": false,
    "IsWritableDerivedField": false,
    "IsMasked": false,
    "GrantKeyWhenReadable": "principal-communications-manager|SendIntents"
   },
   {
    "FieldGrantId": "fg-communications-manager-SendIntents.Name",
    "Principal": "principal-communications-manager",
    "TargetField": "SendIntents.Name",
    "CanRead": true,
    "CanWrite": false,
    "MaskStrategy": "plain",
    "SemanticTypeIri": "urn:effortless:pko-extension#FieldGrant",
    "Name": "principal-communications-manager -&gt; SendIntents.Name",
    "FieldTable": "SendIntents",
    "FieldName": "Name",
    "FieldIsDerived": true,
    "IsWritableDerivedField": false,
    "IsMasked": false,
    "GrantKeyWhenReadable": "principal-communications-manager|SendIntents"
   },
   {
    "FieldGrantId": "fg-communications-manager-MessageDeliveries.MessageDeliveryId",
    "Principal": "principal-communications-manager",
    "TargetField": "MessageDeliveries.MessageDeliveryId",
    "CanRead": true,
    "CanWrite": false,
    "MaskStrategy": "plain",
    "SemanticTypeIri": "urn:effortless:pko-extension#FieldGrant",
    "Name": "principal-communications-manager -&gt; MessageDeliveries.MessageDeliveryId",
    "FieldTable": "MessageDeliveries",
    "FieldName": "MessageDeliveryId",
    "FieldIsDerived": false,
    "IsWritableDerivedField": false,
    "IsMasked": false,
    "GrantKeyWhenReadable": "principal-communications-manager|MessageDeliveries"
   },
   {
    "FieldGrantId": "fg-communications-manager-MessageDeliveries.RenderedBody",
    "Principal": "principal-communications-manager",
    "TargetField": "MessageDeliveries.RenderedBody",
    "CanRead": true,
    "CanWrite": false,
    "MaskStrategy": "plain",
    "SemanticTypeIri": "urn:effortless:pko-extension#FieldGrant",
    "Name": "principal-communications-manager -&gt; MessageDeliveries.RenderedBody",
    "FieldTable": "MessageDeliveries",
    "FieldName": "RenderedBody",
    "FieldIsDerived": false,
    "IsWritableDerivedField": false,
    "IsMasked": false,
    "GrantKeyWhenReadable": "principal-communications-manager|MessageDeliveries"
   },
   {
    "FieldGrantId": "fg-communications-manager-MessageDeliveries.SentAt",
    "Principal": "principal-communications-manager",
    "TargetField": "MessageDeliveries.SentAt",
    "CanRead": true,
    "CanWrite": false,
    "MaskStrategy": "plain",
    "SemanticTypeIri": "urn:effortless:pko-extension#FieldGrant",
    "Name": "principal-communications-manager -&gt; MessageDeliveries.SentAt",
    "FieldTable": "MessageDeliveries",
    "FieldName": "SentAt",
    "FieldIsDerived": false,
    "IsWritableDerivedField": false,
    "IsMasked": false,
    "GrantKeyWhenReadable": "principal-communications-manager|MessageDeliveries"
   },
   {
    "FieldGrantId": "fg-communications-manager-MessageDeliveries.DeliveryStatus",
    "Principal": "principal-communications-manager",
    "TargetField": "MessageDeliveries.DeliveryStatus",
    "CanRead": true,
    "CanWrite": false,
    "MaskStrategy": "plain",
    "SemanticTypeIri": "urn:effortless:pko-extension#FieldGrant",
    "Name": "principal-communications-manager -&gt; MessageDeliveries.DeliveryStatus",
    "FieldTable": "MessageDeliveries",
    "FieldName": "DeliveryStatus",
    "FieldIsDerived": false,
    "IsWritableDerivedField": false,
    "IsMasked": false,
    "GrantKeyWhenReadable": "principal-communications-manager|MessageDeliveries"
   },
   {
    "FieldGrantId": "fg-communications-manager-MessageDeliveries.SuppressionReason",
    "Principal": "principal-communications-manager",
    "TargetField": "MessageDeliveries.SuppressionReason",
    "CanRead": true,
    "CanWrite": false,
    "MaskStrategy": "plain",
    "SemanticTypeIri": "urn:effortless:pko-extension#FieldGrant",
    "Name": "principal-communications-manager -&gt; MessageDeliveries.SuppressionReason",
    "FieldTable": "MessageDeliveries",
    "FieldName": "SuppressionReason",
    "FieldIsDerived": false,
    "IsWritableDerivedField": false,
    "IsMasked": false,
    "GrantKeyWhenReadable": "principal-communications-manager|MessageDeliveries"
   },
   {
    "FieldGrantId": "fg-communications-manager-MessageDeliveries.AcknowledgedAt",
    "Principal": "principal-communications-manager",
    "TargetField": "MessageDeliveries.AcknowledgedAt",
    "CanRead": true,
    "CanWrite": false,
    "MaskStrategy": "plain",
    "SemanticTypeIri": "urn:effortless:pko-extension#FieldGrant",
    "Name": "principal-communications-manager -&gt; MessageDeliveries.AcknowledgedAt",
    "FieldTable": "MessageDeliveries",
    "FieldName": "AcknowledgedAt",
    "FieldIsDerived": false,
    "IsWritableDerivedField": false,
    "IsMasked": false,
    "GrantKeyWhenReadable": "principal-communications-manager|MessageDeliveries"
   },
   {
    "FieldGrantId": "fg-communications-manager-MessageDeliveries.Recipient",
    "Principal": "principal-communications-manager",
    "TargetField": "MessageDeliveries.Recipient",
    "CanRead": true,
    "CanWrite": false,
    "MaskStrategy": "plain",
    "SemanticTypeIri": "urn:effortless:pko-extension#FieldGrant",
    "Name": "principal-communications-manager -&gt; MessageDeliveries.Recipient",
    "FieldTable": "MessageDeliveries",
    "FieldName": "Recipient",
    "FieldIsDerived": false,
    "IsWritableDerivedField": false,
    "IsMasked": false,
    "GrantKeyWhenReadable": "principal-communications-manager|MessageDeliveries"
   },
   {
    "FieldGrantId": "fg-communications-manager-MessageDeliveries.Name",
    "Principal": "principal-communications-manager",
    "TargetField": "MessageDeliveries.Name",
    "CanRead": true,
    "CanWrite": false,
    "MaskStrategy": "plain",
    "SemanticTypeIri": "urn:effortless:pko-extension#FieldGrant",
    "Name": "principal-communications-manager -&gt; MessageDeliveries.Name",
    "FieldTable": "MessageDeliveries",
    "FieldName": "Name",
    "FieldIsDerived": true,
    "IsWritableDerivedField": false,
    "IsMasked": false,
    "GrantKeyWhenReadable": "principal-communications-manager|MessageDeliveries"
   },
   {
    "FieldGrantId": "fg-communications-manager-Recipients.RecipientId",
    "Principal": "principal-communications-manager",
    "TargetField": "Recipients.RecipientId",
    "CanRead": true,
    "CanWrite": false,
    "MaskStrategy": "plain",
    "SemanticTypeIri": "urn:effortless:pko-extension#FieldGrant",
    "Name": "principal-communications-manager -&gt; Recipients.RecipientId",
    "FieldTable": "Recipients",
    "FieldName": "RecipientId",
    "FieldIsDerived": false,
    "IsWritableDerivedField": false,
    "IsMasked": false,
    "GrantKeyWhenReadable": "principal-communications-manager|Recipients"
   },
   {
    "FieldGrantId": "fg-communications-manager-Recipients.DisplayName",
    "Principal": "principal-communications-manager",
    "TargetField": "Recipients.DisplayName",
    "CanRead": true,
    "CanWrite": false,
    "MaskStrategy": "plain",
    "SemanticTypeIri": "urn:effortless:pko-extension#FieldGrant",
    "Name": "principal-communications-manager -&gt; Recipients.DisplayName",
    "FieldTable": "Recipients",
    "FieldName": "DisplayName",
    "FieldIsDerived": false,
    "IsWritableDerivedField": false,
    "IsMasked": false,
    "GrantKeyWhenReadable": "principal-communications-manager|Recipients"
   },
   {
    "FieldGrantId": "fg-communications-manager-Recipients.EmailAddress",
    "Principal": "principal-communications-manager",
    "TargetField": "Recipients.EmailAddress",
    "CanRead": true,
    "CanWrite": false,
    "MaskStrategy": "plain",
    "SemanticTypeIri": "urn:effortless:pko-extension#FieldGrant",
    "Name": "principal-communications-manager -&gt; Recipients.EmailAddress",
    "FieldTable": "Recipients",
    "FieldName": "EmailAddress",
    "FieldIsDerived": false,
    "IsWritableDerivedField": false,
    "IsMasked": false,
    "GrantKeyWhenReadable": "principal-communications-manager|Recipients"
   },
   {
    "FieldGrantId": "fg-communications-manager-Recipients.SmsConsentStatus",
    "Principal": "principal-communications-manager",
    "TargetField": "Recipients.SmsConsentStatus",
    "CanRead": true,
    "CanWrite": false,
    "MaskStrategy": "plain",
    "SemanticTypeIri": "urn:effortless:pko-extension#FieldGrant",
    "Name": "principal-communications-manager -&gt; Recipients.SmsConsentStatus",
    "FieldTable": "Recipients",
    "FieldName": "SmsConsentStatus",
    "FieldIsDerived": false,
    "IsWritableDerivedField": false,
    "IsMasked": false,
    "GrantKeyWhenReadable": "principal-communications-manager|Recipients"
   },
   {
    "FieldGrantId": "fg-communications-manager-Recipients.SmsConsentAt",
    "Principal": "principal-communications-manager",
    "TargetField": "Recipients.SmsConsentAt",
    "CanRead": true,
    "CanWrite": false,
    "MaskStrategy": "plain",
    "SemanticTypeIri": "urn:effortless:pko-extension#FieldGrant",
    "Name": "principal-communications-manager -&gt; Recipients.SmsConsentAt",
    "FieldTable": "Recipients",
    "FieldName": "SmsConsentAt",
    "FieldIsDerived": false,
    "IsWritableDerivedField": false,
    "IsMasked": false,
    "GrantKeyWhenReadable": "principal-communications-manager|Recipients"
   },
   {
    "FieldGrantId": "fg-communications-manager-Recipients.Name",
    "Principal": "principal-communications-manager",
    "TargetField": "Recipients.Name",
    "CanRead": true,
    "CanWrite": false,
    "MaskStrategy": "plain",
    "SemanticTypeIri": "urn:effortless:pko-extension#FieldGrant",
    "Name": "principal-communications-manager -&gt; Recipients.Name",
    "FieldTable": "Recipients",
    "FieldName": "Name",
    "FieldIsDerived": true,
    "IsWritableDerivedField": false,
    "IsMasked": false,
    "GrantKeyWhenReadable": "principal-communications-manager|Recipients"
   },
   {
    "FieldGrantId": "fg-communications-manager-KnowledgeGaps.KnowledgeGapId",
    "Principal": "principal-communications-manager",
    "TargetField": "KnowledgeGaps.KnowledgeGapId",
    "CanRead": true,
    "CanWrite": false,
    "MaskStrategy": "plain",
    "SemanticTypeIri": "urn:effortless:pko-extension#FieldGrant",
    "Name": "principal-communications-manager -&gt; KnowledgeGaps.KnowledgeGapId",
    "FieldTable": "KnowledgeGaps",
    "FieldName": "KnowledgeGapId",
    "FieldIsDerived": false,
    "IsWritableDerivedField": false,
    "IsMasked": false,
    "GrantKeyWhenReadable": "principal-communications-manager|KnowledgeGaps"
   },
   {
    "FieldGrantId": "fg-communications-manager-KnowledgeGaps.Statement",
    "Principal": "principal-communications-manager",
    "TargetField": "KnowledgeGaps.Statement",
    "CanRead": true,
    "CanWrite": false,
    "MaskStrategy": "plain",
    "SemanticTypeIri": "urn:effortless:pko-extension#FieldGrant",
    "Name": "principal-communications-manager -&gt; KnowledgeGaps.Statement",
    "FieldTable": "KnowledgeGaps",
    "FieldName": "Statement",
    "FieldIsDerived": false,
    "IsWritableDerivedField": false,
    "IsMasked": false,
    "GrantKeyWhenReadable": "principal-communications-manager|KnowledgeGaps"
   },
   {
    "FieldGrantId": "fg-communications-manager-KnowledgeGaps.Severity",
    "Principal": "principal-communications-manager",
    "TargetField": "KnowledgeGaps.Severity",
    "CanRead": true,
    "CanWrite": false,
    "MaskStrategy": "plain",
    "SemanticTypeIri": "urn:effortless:pko-extension#FieldGrant",
    "Name": "principal-communications-manager -&gt; KnowledgeGaps.Severity",
    "FieldTable": "KnowledgeGaps",
    "FieldName": "Severity",
    "FieldIsDerived": false,
    "IsWritableDerivedField": false,
    "IsMasked": false,
    "GrantKeyWhenReadable": "principal-communications-manager|KnowledgeGaps"
   },
   {
    "FieldGrantId": "fg-communications-manager-KnowledgeGaps.Status",
    "Principal": "principal-communications-manager",
    "TargetField": "KnowledgeGaps.Status",
    "CanRead": true,
    "CanWrite": false,
    "MaskStrategy": "plain",
    "SemanticTypeIri": "urn:effortless:pko-extension#FieldGrant",
    "Name": "principal-communications-manager -&gt; KnowledgeGaps.Status",
    "FieldTable": "KnowledgeGaps",
    "FieldName": "Status",
    "FieldIsDerived": false,
    "IsWritableDerivedField": false,
    "IsMasked": false,
    "GrantKeyWhenReadable": "principal-communications-manager|KnowledgeGaps"
   },
   {
    "FieldGrantId": "fg-communications-manager-KnowledgeGaps.OwnerRole",
    "Principal": "principal-communications-manager",
    "TargetField": "KnowledgeGaps.OwnerRole",
    "CanRead": true,
    "CanWrite": false,
    "MaskStrategy": "plain",
    "SemanticTypeIri": "urn:effortless:pko-extension#FieldGrant",
    "Name": "principal-communications-manager -&gt; KnowledgeGaps.OwnerRole",
    "FieldTable": "KnowledgeGaps",
    "FieldName": "OwnerRole",
    "FieldIsDerived": false,
    "IsWritableDerivedField": false,
    "IsMasked": false,
    "GrantKeyWhenReadable": "principal-communications-manager|KnowledgeGaps"
   },
   {
    "FieldGrantId": "fg-communications-manager-KnowledgeGaps.IsOpen",
    "Principal": "principal-communications-manager",
    "TargetField": "KnowledgeGaps.IsOpen",
    "CanRead": true,
    "CanWrite": false,
    "MaskStrategy": "plain",
    "SemanticTypeIri": "urn:effortless:pko-extension#FieldGrant",
    "Name": "principal-communications-manager -&gt; KnowledgeGaps.IsOpen",
    "FieldTable": "KnowledgeGaps",
    "FieldName": "IsOpen",
    "FieldIsDerived": true,
    "IsWritableDerivedField": false,
    "IsMasked": false,
    "GrantKeyWhenReadable": "principal-communications-manager|KnowledgeGaps"
   },
   {
    "FieldGrantId": "fg-communications-manager-KnowledgeGaps.Name",
    "Principal": "principal-communications-manager",
    "TargetField": "KnowledgeGaps.Name",
    "CanRead": true,
    "CanWrite": false,
    "MaskStrategy": "plain",
    "SemanticTypeIri": "urn:effortless:pko-extension#FieldGrant",
    "Name": "principal-communications-manager -&gt; KnowledgeGaps.Name",
    "FieldTable": "KnowledgeGaps",
    "FieldName": "Name",
    "FieldIsDerived": true,
    "IsWritableDerivedField": false,
    "IsMasked": false,
    "GrantKeyWhenReadable": "principal-communications-manager|KnowledgeGaps"
   },
   {
    "FieldGrantId": "fg-close-automation-Steps.StepId",
    "Principal": "principal-close-automation",
    "TargetField": "Steps.StepId",
    "CanRead": true,
    "CanWrite": false,
    "MaskStrategy": "plain",
    "SemanticTypeIri": "urn:effortless:pko-extension#FieldGrant",
    "Name": "principal-close-automation -&gt; Steps.StepId",
    "FieldTable": "Steps",
    "FieldName": "StepId",
    "FieldIsDerived": false,
    "IsWritableDerivedField": false,
    "IsMasked": false,
    "GrantKeyWhenReadable": "principal-close-automation|Steps"
   },
   {
    "FieldGrantId": "fg-close-automation-Steps.StepNumber",
    "Principal": "principal-close-automation",
    "TargetField": "Steps.StepNumber",
    "CanRead": true,
    "CanWrite": false,
    "MaskStrategy": "plain",
    "SemanticTypeIri": "urn:effortless:pko-extension#FieldGrant",
    "Name": "principal-close-automation -&gt; Steps.StepNumber",
    "FieldTable": "Steps",
    "FieldName": "StepNumber",
    "FieldIsDerived": false,
    "IsWritableDerivedField": false,
    "IsMasked": false,
    "GrantKeyWhenReadable": "principal-close-automation|Steps"
   },
   {
    "FieldGrantId": "fg-close-automation-Steps.Title",
    "Principal": "principal-close-automation",
    "TargetField": "Steps.Title",
    "CanRead": true,
    "CanWrite": false,
    "MaskStrategy": "plain",
    "SemanticTypeIri": "urn:effortless:pko-extension#FieldGrant",
    "Name": "principal-close-automation -&gt; Steps.Title",
    "FieldTable": "Steps",
    "FieldName": "Title",
    "FieldIsDerived": false,
    "IsWritableDerivedField": false,
    "IsMasked": false,
    "GrantKeyWhenReadable": "principal-close-automation|Steps"
   },
   {
    "FieldGrantId": "fg-close-automation-Steps.StepKind",
    "Principal": "principal-close-automation",
    "TargetField": "Steps.StepKind",
    "CanRead": true,
    "CanWrite": false,
    "MaskStrategy": "plain",
    "SemanticTypeIri": "urn:effortless:pko-extension#FieldGrant",
    "Name": "principal-close-automation -&gt; Steps.StepKind",
    "FieldTable": "Steps",
    "FieldName": "StepKind",
    "FieldIsDerived": false,
    "IsWritableDerivedField": false,
    "IsMasked": false,
    "GrantKeyWhenReadable": "principal-close-automation|Steps"
   },
   {
    "FieldGrantId": "fg-close-automation-Steps.Instruction",
    "Principal": "principal-close-automation",
    "TargetField": "Steps.Instruction",
    "CanRead": true,
    "CanWrite": false,
    "MaskStrategy": "plain",
    "SemanticTypeIri": "urn:effortless:pko-extension#FieldGrant",
    "Name": "principal-close-automation -&gt; Steps.Instruction",
    "FieldTable": "Steps",
    "FieldName": "Instruction",
    "FieldIsDerived": false,
    "IsWritableDerivedField": false,
    "IsMasked": false,
    "GrantKeyWhenReadable": "principal-close-automation|Steps"
   },
   {
    "FieldGrantId": "fg-close-automation-Steps.AssignedRole",
    "Principal": "principal-close-automation",
    "TargetField": "Steps.AssignedRole",
    "CanRead": true,
    "CanWrite": false,
    "MaskStrategy": "plain",
    "SemanticTypeIri": "urn:effortless:pko-extension#FieldGrant",
    "Name": "principal-close-automation -&gt; Steps.AssignedRole",
    "FieldTable": "Steps",
    "FieldName": "AssignedRole",
    "FieldIsDerived": false,
    "IsWritableDerivedField": false,
    "IsMasked": false,
    "GrantKeyWhenReadable": "principal-close-automation|Steps"
   },
   {
    "FieldGrantId": "fg-close-automation-Steps.AssignedRoleLabel",
    "Principal": "principal-close-automation",
    "TargetField": "Steps.AssignedRoleLabel",
    "CanRead": true,
    "CanWrite": false,
    "MaskStrategy": "plain",
    "SemanticTypeIri": "urn:effortless:pko-extension#FieldGrant",
    "Name": "principal-close-automation -&gt; Steps.AssignedRoleLabel",
    "FieldTable": "Steps",
    "FieldName": "AssignedRoleLabel",
    "FieldIsDerived": true,
    "IsWritableDerivedField": false,
    "IsMasked": false,
    "GrantKeyWhenReadable": "principal-close-automation|Steps"
   },
   {
    "FieldGrantId": "fg-close-automation-Steps.ProcedureVersion",
    "Principal": "principal-close-automation",
    "TargetField": "Steps.ProcedureVersion",
    "CanRead": true,
    "CanWrite": false,
    "MaskStrategy": "plain",
    "SemanticTypeIri": "urn:effortless:pko-extension#FieldGrant",
    "Name": "principal-close-automation -&gt; Steps.ProcedureVersion",
    "FieldTable": "Steps",
    "FieldName": "ProcedureVersion",
    "FieldIsDerived": false,
    "IsWritableDerivedField": false,
    "IsMasked": false,
    "GrantKeyWhenReadable": "principal-close-automation|Steps"
   },
   {
    "FieldGrantId": "fg-close-automation-Steps.Name",
    "Principal": "principal-close-automation",
    "TargetField": "Steps.Name",
    "CanRead": true,
    "CanWrite": false,
    "MaskStrategy": "plain",
    "SemanticTypeIri": "urn:effortless:pko-extension#FieldGrant",
    "Name": "principal-close-automation -&gt; Steps.Name",
    "FieldTable": "Steps",
    "FieldName": "Name",
    "FieldIsDerived": true,
    "IsWritableDerivedField": false,
    "IsMasked": false,
    "GrantKeyWhenReadable": "principal-close-automation|Steps"
   },
   {
    "FieldGrantId": "fg-close-automation-Steps.ExpectedDurationMinutes",
    "Principal": "principal-close-automation",
    "TargetField": "Steps.ExpectedDurationMinutes",
    "CanRead": true,
    "CanWrite": false,
    "MaskStrategy": "plain",
    "SemanticTypeIri": "urn:effortless:pko-extension#FieldGrant",
    "Name": "principal-close-automation -&gt; Steps.ExpectedDurationMinutes",
    "FieldTable": "Steps",
    "FieldName": "ExpectedDurationMinutes",
    "FieldIsDerived": false,
    "IsWritableDerivedField": false,
    "IsMasked": false,
    "GrantKeyWhenReadable": "principal-close-automation|Steps"
   },
   {
    "FieldGrantId": "fg-close-automation-StepExecutions.StepExecutionId",
    "Principal": "principal-close-automation",
    "TargetField": "StepExecutions.StepExecutionId",
    "CanRead": true,
    "CanWrite": false,
    "MaskStrategy": "plain",
    "SemanticTypeIri": "urn:effortless:pko-extension#FieldGrant",
    "Name": "principal-close-automation -&gt; StepExecutions.StepExecutionId",
    "FieldTable": "StepExecutions",
    "FieldName": "StepExecutionId",
    "FieldIsDerived": false,
    "IsWritableDerivedField": false,
    "IsMasked": false,
    "GrantKeyWhenReadable": "principal-close-automation|StepExecutions"
   },
   {
    "FieldGrantId": "fg-close-automation-StepExecutions.Step",
    "Principal": "principal-close-automation",
    "TargetField": "StepExecutions.Step",
    "CanRead": true,
    "CanWrite": false,
    "MaskStrategy": "plain",
    "SemanticTypeIri": "urn:effortless:pko-extension#FieldGrant",
    "Name": "principal-close-automation -&gt; StepExecutions.Step",
    "FieldTable": "StepExecutions",
    "FieldName": "Step",
    "FieldIsDerived": false,
    "IsWritableDerivedField": false,
    "IsMasked": false,
    "GrantKeyWhenReadable": "principal-close-automation|StepExecutions"
   },
   {
    "FieldGrantId": "fg-close-automation-StepExecutions.ExecutionStatus",
    "Principal": "principal-close-automation",
    "TargetField": "StepExecutions.ExecutionStatus",
    "CanRead": true,
    "CanWrite": false,
    "MaskStrategy": "plain",
    "SemanticTypeIri": "urn:effortless:pko-extension#FieldGrant",
    "Name": "principal-close-automation -&gt; StepExecutions.ExecutionStatus",
    "FieldTable": "StepExecutions",
    "FieldName": "ExecutionStatus",
    "FieldIsDerived": false,
    "IsWritableDerivedField": false,
    "IsMasked": false,
    "GrantKeyWhenReadable": "principal-close-automation|StepExecutions"
   },
   {
    "FieldGrantId": "fg-close-automation-StepExecutions.StartedAt",
    "Principal": "principal-close-automation",
    "TargetField": "StepExecutions.StartedAt",
    "CanRead": true,
    "CanWrite": false,
    "MaskStrategy": "plain",
    "SemanticTypeIri": "urn:effortless:pko-extension#FieldGrant",
    "Name": "principal-close-automation -&gt; StepExecutions.StartedAt",
    "FieldTable": "StepExecutions",
    "FieldName": "StartedAt",
    "FieldIsDerived": false,
    "IsWritableDerivedField": false,
    "IsMasked": false,
    "GrantKeyWhenReadable": "principal-close-automation|StepExecutions"
   },
   {
    "FieldGrantId": "fg-close-automation-StepExecutions.EndedAt",
    "Principal": "principal-close-automation",
    "TargetField": "StepExecutions.EndedAt",
    "CanRead": true,
    "CanWrite": false,
    "MaskStrategy": "plain",
    "SemanticTypeIri": "urn:effortless:pko-extension#FieldGrant",
    "Name": "principal-close-automation -&gt; StepExecutions.EndedAt",
    "FieldTable": "StepExecutions",
    "FieldName": "EndedAt",
    "FieldIsDerived": false,
    "IsWritableDerivedField": false,
    "IsMasked": false,
    "GrantKeyWhenReadable": "principal-close-automation|StepExecutions"
   },
   {
    "FieldGrantId": "fg-close-automation-StepExecutions.VerificationResult",
    "Principal": "principal-close-automation",
    "TargetField": "StepExecutions.VerificationResult",
    "CanRead": true,
    "CanWrite": false,
    "MaskStrategy": "plain",
    "SemanticTypeIri": "urn:effortless:pko-extension#FieldGrant",
    "Name": "principal-close-automation -&gt; StepExecutions.VerificationResult",
    "FieldTable": "StepExecutions",
    "FieldName": "VerificationResult",
    "FieldIsDerived": false,
    "IsWritableDerivedField": false,
    "IsMasked": false,
    "GrantKeyWhenReadable": "principal-close-automation|StepExecutions"
   },
   {
    "FieldGrantId": "fg-close-automation-StepExecutions.Name",
    "Principal": "principal-close-automation",
    "TargetField": "StepExecutions.Name",
    "CanRead": true,
    "CanWrite": false,
    "MaskStrategy": "plain",
    "SemanticTypeIri": "urn:effortless:pko-extension#FieldGrant",
    "Name": "principal-close-automation -&gt; StepExecutions.Name",
    "FieldTable": "StepExecutions",
    "FieldName": "Name",
    "FieldIsDerived": true,
    "IsWritableDerivedField": false,
    "IsMasked": false,
    "GrantKeyWhenReadable": "principal-close-automation|StepExecutions"
   },
   {
    "FieldGrantId": "fg-close-automation-Errors.ErrorId",
    "Principal": "principal-close-automation",
    "TargetField": "Errors.ErrorId",
    "CanRead": true,
    "CanWrite": false,
    "MaskStrategy": "plain",
    "SemanticTypeIri": "urn:effortless:pko-extension#FieldGrant",
    "Name": "principal-close-automation -&gt; Errors.ErrorId",
    "FieldTable": "Errors",
    "FieldName": "ErrorId",
    "FieldIsDerived": false,
    "IsWritableDerivedField": false,
    "IsMasked": false,
    "GrantKeyWhenReadable": "principal-close-automation|Errors"
   },
   {
    "FieldGrantId": "fg-close-automation-Errors.Name",
    "Principal": "principal-close-automation",
    "TargetField": "Errors.Name",
    "CanRead": true,
    "CanWrite": false,
    "MaskStrategy": "plain",
    "SemanticTypeIri": "urn:effortless:pko-extension#FieldGrant",
    "Name": "principal-close-automation -&gt; Errors.Name",
    "FieldTable": "Errors",
    "FieldName": "Name",
    "FieldIsDerived": true,
    "IsWritableDerivedField": false,
    "IsMasked": false,
    "GrantKeyWhenReadable": "principal-close-automation|Errors"
   },
   {
    "FieldGrantId": "fg-close-automation-Errors.Label",
    "Principal": "principal-close-automation",
    "TargetField": "Errors.Label",
    "CanRead": true,
    "CanWrite": false,
    "MaskStrategy": "plain",
    "SemanticTypeIri": "urn:effortless:pko-extension#FieldGrant",
    "Name": "principal-close-automation -&gt; Errors.Label",
    "FieldTable": "Errors",
    "FieldName": "Label",
    "FieldIsDerived": false,
    "IsWritableDerivedField": false,
    "IsMasked": false,
    "GrantKeyWhenReadable": "principal-close-automation|Errors"
   },
   {
    "FieldGrantId": "fg-close-automation-Errors.ErrorCode",
    "Principal": "principal-close-automation",
    "TargetField": "Errors.ErrorCode",
    "CanRead": true,
    "CanWrite": false,
    "MaskStrategy": "plain",
    "SemanticTypeIri": "urn:effortless:pko-extension#FieldGrant",
    "Name": "principal-close-automation -&gt; Errors.ErrorCode",
    "FieldTable": "Errors",
    "FieldName": "ErrorCode",
    "FieldIsDerived": false,
    "IsWritableDerivedField": false,
    "IsMasked": false,
    "GrantKeyWhenReadable": "principal-close-automation|Errors"
   },
   {
    "FieldGrantId": "fg-close-automation-Errors.ErrorCause",
    "Principal": "principal-close-automation",
    "TargetField": "Errors.ErrorCause",
    "CanRead": true,
    "CanWrite": false,
    "MaskStrategy": "plain",
    "SemanticTypeIri": "urn:effortless:pko-extension#FieldGrant",
    "Name": "principal-close-automation -&gt; Errors.ErrorCause",
    "FieldTable": "Errors",
    "FieldName": "ErrorCause",
    "Fi</t>
  </si>
  <si>
    <t xml:space="preserve">eldIsDerived": false,
    "IsWritableDerivedField": false,
    "IsMasked": false,
    "GrantKeyWhenReadable": "principal-close-automation|Errors"
   },
   {
    "FieldGrantId": "fg-close-automation-Errors.SemanticTypeIri",
    "Principal": "principal-close-automation",
    "TargetField": "Errors.SemanticTypeIri",
    "CanRead": true,
    "CanWrite": false,
    "MaskStrategy": "plain",
    "SemanticTypeIri": "urn:effortless:pko-extension#FieldGrant",
    "Name": "principal-close-automation -&gt; Errors.SemanticTypeIri",
    "FieldTable": "Errors",
    "FieldName": "SemanticTypeIri",
    "FieldIsDerived": false,
    "IsWritableDerivedField": false,
    "IsMasked": false,
    "GrantKeyWhenReadable": "principal-close-automation|Errors"
   },
   {
    "FieldGrantId": "fg-variance-review-agent-Steps.StepId",
    "Principal": "principal-variance-review-agent",
    "TargetField": "Steps.StepId",
    "CanRead": true,
    "CanWrite": false,
    "MaskStrategy": "plain",
    "SemanticTypeIri": "urn:effortless:pko-extension#FieldGrant",
    "Name": "principal-variance-review-agent -&gt; Steps.StepId",
    "FieldTable": "Steps",
    "FieldName": "StepId",
    "FieldIsDerived": false,
    "IsWritableDerivedField": false,
    "IsMasked": false,
    "GrantKeyWhenReadable": "principal-variance-review-agent|Steps"
   },
   {
    "FieldGrantId": "fg-variance-review-agent-Steps.StepNumber",
    "Principal": "principal-variance-review-agent",
    "TargetField": "Steps.StepNumber",
    "CanRead": true,
    "CanWrite": false,
    "MaskStrategy": "plain",
    "SemanticTypeIri": "urn:effortless:pko-extension#FieldGrant",
    "Name": "principal-variance-review-agent -&gt; Steps.StepNumber",
    "FieldTable": "Steps",
    "FieldName": "StepNumber",
    "FieldIsDerived": false,
    "IsWritableDerivedField": false,
    "IsMasked": false,
    "GrantKeyWhenReadable": "principal-variance-review-agent|Steps"
   },
   {
    "FieldGrantId": "fg-variance-review-agent-Steps.Title",
    "Principal": "principal-variance-review-agent",
    "TargetField": "Steps.Title",
    "CanRead": true,
    "CanWrite": false,
    "MaskStrategy": "plain",
    "SemanticTypeIri": "urn:effortless:pko-extension#FieldGrant",
    "Name": "principal-variance-review-agent -&gt; Steps.Title",
    "FieldTable": "Steps",
    "FieldName": "Title",
    "FieldIsDerived": false,
    "IsWritableDerivedField": false,
    "IsMasked": false,
    "GrantKeyWhenReadable": "principal-variance-review-agent|Steps"
   },
   {
    "FieldGrantId": "fg-variance-review-agent-Steps.StepKind",
    "Principal": "principal-variance-review-agent",
    "TargetField": "Steps.StepKind",
    "CanRead": true,
    "CanWrite": false,
    "MaskStrategy": "plain",
    "SemanticTypeIri": "urn:effortless:pko-extension#FieldGrant",
    "Name": "principal-variance-review-agent -&gt; Steps.StepKind",
    "FieldTable": "Steps",
    "FieldName": "StepKind",
    "FieldIsDerived": false,
    "IsWritableDerivedField": false,
    "IsMasked": false,
    "GrantKeyWhenReadable": "principal-variance-review-agent|Steps"
   },
   {
    "FieldGrantId": "fg-variance-review-agent-Steps.Instruction",
    "Principal": "principal-variance-review-agent",
    "TargetField": "Steps.Instruction",
    "CanRead": true,
    "CanWrite": false,
    "MaskStrategy": "plain",
    "SemanticTypeIri": "urn:effortless:pko-extension#FieldGrant",
    "Name": "principal-variance-review-agent -&gt; Steps.Instruction",
    "FieldTable": "Steps",
    "FieldName": "Instruction",
    "FieldIsDerived": false,
    "IsWritableDerivedField": false,
    "IsMasked": false,
    "GrantKeyWhenReadable": "principal-variance-review-agent|Steps"
   },
   {
    "FieldGrantId": "fg-variance-review-agent-Steps.AssignedRole",
    "Principal": "principal-variance-review-agent",
    "TargetField": "Steps.AssignedRole",
    "CanRead": true,
    "CanWrite": false,
    "MaskStrategy": "plain",
    "SemanticTypeIri": "urn:effortless:pko-extension#FieldGrant",
    "Name": "principal-variance-review-agent -&gt; Steps.AssignedRole",
    "FieldTable": "Steps",
    "FieldName": "AssignedRole",
    "FieldIsDerived": false,
    "IsWritableDerivedField": false,
    "IsMasked": false,
    "GrantKeyWhenReadable": "principal-variance-review-agent|Steps"
   },
   {
    "FieldGrantId": "fg-variance-review-agent-Steps.AssignedRoleLabel",
    "Principal": "principal-variance-review-agent",
    "TargetField": "Steps.AssignedRoleLabel",
    "CanRead": true,
    "CanWrite": false,
    "MaskStrategy": "plain",
    "SemanticTypeIri": "urn:effortless:pko-extension#FieldGrant",
    "Name": "principal-variance-review-agent -&gt; Steps.AssignedRoleLabel",
    "FieldTable": "Steps",
    "FieldName": "AssignedRoleLabel",
    "FieldIsDerived": true,
    "IsWritableDerivedField": false,
    "IsMasked": false,
    "GrantKeyWhenReadable": "principal-variance-review-agent|Steps"
   },
   {
    "FieldGrantId": "fg-variance-review-agent-Steps.ProcedureVersion",
    "Principal": "principal-variance-review-agent",
    "TargetField": "Steps.ProcedureVersion",
    "CanRead": true,
    "CanWrite": false,
    "MaskStrategy": "plain",
    "SemanticTypeIri": "urn:effortless:pko-extension#FieldGrant",
    "Name": "principal-variance-review-agent -&gt; Steps.ProcedureVersion",
    "FieldTable": "Steps",
    "FieldName": "ProcedureVersion",
    "FieldIsDerived": false,
    "IsWritableDerivedField": false,
    "IsMasked": false,
    "GrantKeyWhenReadable": "principal-variance-review-agent|Steps"
   },
   {
    "FieldGrantId": "fg-variance-review-agent-Steps.Name",
    "Principal": "principal-variance-review-agent",
    "TargetField": "Steps.Name",
    "CanRead": true,
    "CanWrite": false,
    "MaskStrategy": "plain",
    "SemanticTypeIri": "urn:effortless:pko-extension#FieldGrant",
    "Name": "principal-variance-review-agent -&gt; Steps.Name",
    "FieldTable": "Steps",
    "FieldName": "Name",
    "FieldIsDerived": true,
    "IsWritableDerivedField": false,
    "IsMasked": false,
    "GrantKeyWhenReadable": "principal-variance-review-agent|Steps"
   },
   {
    "FieldGrantId": "fg-variance-review-agent-StepExecutions.StepExecutionId",
    "Principal": "principal-variance-review-agent",
    "TargetField": "StepExecutions.StepExecutionId",
    "CanRead": true,
    "CanWrite": false,
    "MaskStrategy": "plain",
    "SemanticTypeIri": "urn:effortless:pko-extension#FieldGrant",
    "Name": "principal-variance-review-agent -&gt; StepExecutions.StepExecutionId",
    "FieldTable": "StepExecutions",
    "FieldName": "StepExecutionId",
    "FieldIsDerived": false,
    "IsWritableDerivedField": false,
    "IsMasked": false,
    "GrantKeyWhenReadable": "principal-variance-review-agent|StepExecutions"
   },
   {
    "FieldGrantId": "fg-variance-review-agent-StepExecutions.Step",
    "Principal": "principal-variance-review-agent",
    "TargetField": "StepExecutions.Step",
    "CanRead": true,
    "CanWrite": false,
    "MaskStrategy": "plain",
    "SemanticTypeIri": "urn:effortless:pko-extension#FieldGrant",
    "Name": "principal-variance-review-agent -&gt; StepExecutions.Step",
    "FieldTable": "StepExecutions",
    "FieldName": "Step",
    "FieldIsDerived": false,
    "IsWritableDerivedField": false,
    "IsMasked": false,
    "GrantKeyWhenReadable": "principal-variance-review-agent|StepExecutions"
   },
   {
    "FieldGrantId": "fg-variance-review-agent-StepExecutions.ExecutionStatus",
    "Principal": "principal-variance-review-agent",
    "TargetField": "StepExecutions.ExecutionStatus",
    "CanRead": true,
    "CanWrite": false,
    "MaskStrategy": "plain",
    "SemanticTypeIri": "urn:effortless:pko-extension#FieldGrant",
    "Name": "principal-variance-review-agent -&gt; StepExecutions.ExecutionStatus",
    "FieldTable": "StepExecutions",
    "FieldName": "ExecutionStatus",
    "FieldIsDerived": false,
    "IsWritableDerivedField": false,
    "IsMasked": false,
    "GrantKeyWhenReadable": "principal-variance-review-agent|StepExecutions"
   },
   {
    "FieldGrantId": "fg-variance-review-agent-StepExecutions.StartedAt",
    "Principal": "principal-variance-review-agent",
    "TargetField": "StepExecutions.StartedAt",
    "CanRead": true,
    "CanWrite": false,
    "MaskStrategy": "plain",
    "SemanticTypeIri": "urn:effortless:pko-extension#FieldGrant",
    "Name": "principal-variance-review-agent -&gt; StepExecutions.StartedAt",
    "FieldTable": "StepExecutions",
    "FieldName": "StartedAt",
    "FieldIsDerived": false,
    "IsWritableDerivedField": false,
    "IsMasked": false,
    "GrantKeyWhenReadable": "principal-variance-review-agent|StepExecutions"
   },
   {
    "FieldGrantId": "fg-variance-review-agent-StepExecutions.EndedAt",
    "Principal": "principal-variance-review-agent",
    "TargetField": "StepExecutions.EndedAt",
    "CanRead": true,
    "CanWrite": false,
    "MaskStrategy": "plain",
    "SemanticTypeIri": "urn:effortless:pko-extension#FieldGrant",
    "Name": "principal-variance-review-agent -&gt; StepExecutions.EndedAt",
    "FieldTable": "StepExecutions",
    "FieldName": "EndedAt",
    "FieldIsDerived": false,
    "IsWritableDerivedField": false,
    "IsMasked": false,
    "GrantKeyWhenReadable": "principal-variance-review-agent|StepExecutions"
   },
   {
    "FieldGrantId": "fg-variance-review-agent-StepExecutions.VerificationResult",
    "Principal": "principal-variance-review-agent",
    "TargetField": "StepExecutions.VerificationResult",
    "CanRead": true,
    "CanWrite": false,
    "MaskStrategy": "plain",
    "SemanticTypeIri": "urn:effortless:pko-extension#FieldGrant",
    "Name": "principal-variance-review-agent -&gt; StepExecutions.VerificationResult",
    "FieldTable": "StepExecutions",
    "FieldName": "VerificationResult",
    "FieldIsDerived": false,
    "IsWritableDerivedField": false,
    "IsMasked": false,
    "GrantKeyWhenReadable": "principal-variance-review-agent|StepExecutions"
   },
   {
    "FieldGrantId": "fg-variance-review-agent-StepExecutions.Name",
    "Principal": "principal-variance-review-agent",
    "TargetField": "StepExecutions.Name",
    "CanRead": true,
    "CanWrite": false,
    "MaskStrategy": "plain",
    "SemanticTypeIri": "urn:effortless:pko-extension#FieldGrant",
    "Name": "principal-variance-review-agent -&gt; StepExecutions.Name",
    "FieldTable": "StepExecutions",
    "FieldName": "Name",
    "FieldIsDerived": true,
    "IsWritableDerivedField": false,
    "IsMasked": false,
    "GrantKeyWhenReadable": "principal-variance-review-agent|StepExecutions"
   },
   {
    "FieldGrantId": "fg-variance-review-agent-StepExecutions.Deviation",
    "Principal": "principal-variance-review-agent",
    "TargetField": "StepExecutions.Deviation",
    "CanRead": true,
    "CanWrite": false,
    "MaskStrategy": "plain",
    "SemanticTypeIri": "urn:effortless:pko-extension#FieldGrant",
    "Name": "principal-variance-review-agent -&gt; StepExecutions.Deviation",
    "FieldTable": "StepExecutions",
    "FieldName": "Deviation",
    "FieldIsDerived": false,
    "IsWritableDerivedField": false,
    "IsMasked": false,
    "GrantKeyWhenReadable": "principal-variance-review-agent|StepExecutions"
   },
   {
    "FieldGrantId": "fg-variance-review-agent-StepExecutions.IsLate",
    "Principal": "principal-variance-review-agent",
    "TargetField": "StepExecutions.IsLate",
    "CanRead": true,
    "CanWrite": false,
    "MaskStrategy": "plain",
    "SemanticTypeIri": "urn:effortless:pko-extension#FieldGrant",
    "Name": "principal-variance-review-agent -&gt; StepExecutions.IsLate",
    "FieldTable": "StepExecutions",
    "FieldName": "IsLate",
    "FieldIsDerived": true,
    "IsWritableDerivedField": false,
    "IsMasked": false,
    "GrantKeyWhenReadable": "principal-variance-review-agent|StepExecutions"
   },
   {
    "FieldGrantId": "fg-variance-review-agent-Requirements.RequirementId",
    "Principal": "principal-variance-review-agent",
    "TargetField": "Requirements.RequirementId",
    "CanRead": true,
    "CanWrite": false,
    "MaskStrategy": "plain",
    "SemanticTypeIri": "urn:effortless:pko-extension#FieldGrant",
    "Name": "principal-variance-review-agent -&gt; Requirements.RequirementId",
    "FieldTable": "Requirements",
    "FieldName": "RequirementId",
    "FieldIsDerived": false,
    "IsWritableDerivedField": false,
    "IsMasked": false,
    "GrantKeyWhenReadable": "principal-variance-review-agent|Requirements"
   },
   {
    "FieldGrantId": "fg-variance-review-agent-Requirements.Label",
    "Principal": "principal-variance-review-agent",
    "TargetField": "Requirements.Label",
    "CanRead": true,
    "CanWrite": false,
    "MaskStrategy": "plain",
    "SemanticTypeIri": "urn:effortless:pko-extension#FieldGrant",
    "Name": "principal-variance-review-agent -&gt; Requirements.Label",
    "FieldTable": "Requirements",
    "FieldName": "Label",
    "FieldIsDerived": false,
    "IsWritableDerivedField": false,
    "IsMasked": false,
    "GrantKeyWhenReadable": "principal-variance-review-agent|Requirements"
   },
   {
    "FieldGrantId": "fg-variance-review-agent-Requirements.RequirementType",
    "Principal": "principal-variance-review-agent",
    "TargetField": "Requirements.RequirementType",
    "CanRead": true,
    "CanWrite": false,
    "MaskStrategy": "plain",
    "SemanticTypeIri": "urn:effortless:pko-extension#FieldGrant",
    "Name": "principal-variance-review-agent -&gt; Requirements.RequirementType",
    "FieldTable": "Requirements",
    "FieldName": "RequirementType",
    "FieldIsDerived": false,
    "IsWritableDerivedField": false,
    "IsMasked": false,
    "GrantKeyWhenReadable": "principal-variance-review-agent|Requirements"
   },
   {
    "FieldGrantId": "fg-variance-review-agent-Requirements.Statement",
    "Principal": "principal-variance-review-agent",
    "TargetField": "Requirements.Statement",
    "CanRead": true,
    "CanWrite": false,
    "MaskStrategy": "plain",
    "SemanticTypeIri": "urn:effortless:pko-extension#FieldGrant",
    "Name": "principal-variance-review-agent -&gt; Requirements.Statement",
    "FieldTable": "Requirements",
    "FieldName": "Statement",
    "FieldIsDerived": false,
    "IsWritableDerivedField": false,
    "IsMasked": false,
    "GrantKeyWhenReadable": "principal-variance-review-agent|Requirements"
   },
   {
    "FieldGrantId": "fg-variance-review-agent-Requirements.IsBlocking",
    "Principal": "principal-variance-review-agent",
    "TargetField": "Requirements.IsBlocking",
    "CanRead": true,
    "CanWrite": false,
    "MaskStrategy": "plain",
    "SemanticTypeIri": "urn:effortless:pko-extension#FieldGrant",
    "Name": "principal-variance-review-agent -&gt; Requirements.IsBlocking",
    "FieldTable": "Requirements",
    "FieldName": "IsBlocking",
    "FieldIsDerived": false,
    "IsWritableDerivedField": false,
    "IsMasked": false,
    "GrantKeyWhenReadable": "principal-variance-review-agent|Requirements"
   },
   {
    "FieldGrantId": "fg-variance-review-agent-Requirements.Name",
    "Principal": "principal-variance-review-agent",
    "TargetField": "Requirements.Name",
    "CanRead": true,
    "CanWrite": false,
    "MaskStrategy": "plain",
    "SemanticTypeIri": "urn:effortless:pko-extension#FieldGrant",
    "Name": "principal-variance-review-agent -&gt; Requirements.Name",
    "FieldTable": "Requirements",
    "FieldName": "Name",
    "FieldIsDerived": true,
    "IsWritableDerivedField": false,
    "IsMasked": false,
    "GrantKeyWhenReadable": "principal-variance-review-agent|Requirements"
   },
   {
    "FieldGrantId": "fg-variance-review-agent-RequirementSatisfactions.RequirementSatisfactionId",
    "Principal": "principal-variance-review-agent",
    "TargetField": "RequirementSatisfactions.RequirementSatisfactionId",
    "CanRead": true,
    "CanWrite": false,
    "MaskStrategy": "plain",
    "SemanticTypeIri": "urn:effortless:pko-extension#FieldGrant",
    "Name": "principal-variance-review-agent -&gt; RequirementSatisfactions.RequirementSatisfactionId",
    "FieldTable": "RequirementSatisfactions",
    "FieldName": "RequirementSatisfactionId",
    "FieldIsDerived": false,
    "IsWritableDerivedField": false,
    "IsMasked": false,
    "GrantKeyWhenReadable": "principal-variance-review-agent|RequirementSatisfactions"
   },
   {
    "FieldGrantId": "fg-variance-review-agent-RequirementSatisfactions.Requirement",
    "Principal": "principal-variance-review-agent",
    "TargetField": "RequirementSatisfactions.Requirement",
    "CanRead": true,
    "CanWrite": false,
    "MaskStrategy": "plain",
    "SemanticTypeIri": "urn:effortless:pko-extension#FieldGrant",
    "Name": "principal-variance-review-agent -&gt; RequirementSatisfactions.Requirement",
    "FieldTable": "RequirementSatisfactions",
    "FieldName": "Requirement",
    "FieldIsDerived": false,
    "IsWritableDerivedField": false,
    "IsMasked": false,
    "GrantKeyWhenReadable": "principal-variance-review-agent|RequirementSatisfactions"
   },
   {
    "FieldGrantId": "fg-variance-review-agent-RequirementSatisfactions.SatisfactionLevel",
    "Principal": "principal-variance-review-agent",
    "TargetField": "RequirementSatisfactions.SatisfactionLevel",
    "CanRead": true,
    "CanWrite": false,
    "MaskStrategy": "plain",
    "SemanticTypeIri": "urn:effortless:pko-extension#FieldGrant",
    "Name": "principal-variance-review-agent -&gt; RequirementSatisfactions.SatisfactionLevel",
    "FieldTable": "RequirementSatisfactions",
    "FieldName": "SatisfactionLevel",
    "FieldIsDerived": false,
    "IsWritableDerivedField": false,
    "IsMasked": false,
    "GrantKeyWhenReadable": "principal-variance-review-agent|RequirementSatisfactions"
   },
   {
    "FieldGrantId": "fg-variance-review-agent-RequirementSatisfactions.Evidence",
    "Principal": "principal-variance-review-agent",
    "TargetField": "RequirementSatisfactions.Evidence",
    "CanRead": true,
    "CanWrite": false,
    "MaskStrategy": "plain",
    "SemanticTypeIri": "urn:effortless:pko-extension#FieldGrant",
    "Name": "principal-variance-review-agent -&gt; RequirementSatisfactions.Evidence",
    "FieldTable": "RequirementSatisfactions",
    "FieldName": "Evidence",
    "FieldIsDerived": false,
    "IsWritableDerivedField": false,
    "IsMasked": false,
    "GrantKeyWhenReadable": "principal-variance-review-agent|RequirementSatisfactions"
   },
   {
    "FieldGrantId": "fg-variance-review-agent-RequirementSatisfactions.Name",
    "Principal": "principal-variance-review-agent",
    "TargetField": "RequirementSatisfactions.Name",
    "CanRead": true,
    "CanWrite": false,
    "MaskStrategy": "plain",
    "SemanticTypeIri": "urn:effortless:pko-extension#FieldGrant",
    "Name": "principal-variance-review-agent -&gt; RequirementSatisfactions.Name",
    "FieldTable": "RequirementSatisfactions",
    "FieldName": "Name",
    "FieldIsDerived": true,
    "IsWritableDerivedField": false,
    "IsMasked": false,
    "GrantKeyWhenReadable": "principal-variance-review-agent|RequirementSatisfactions"
   },
   {
    "FieldGrantId": "fg-variance-review-agent-Errors.ErrorId",
    "Principal": "principal-variance-review-agent",
    "TargetField": "Errors.ErrorId",
    "CanRead": true,
    "CanWrite": false,
    "MaskStrategy": "plain",
    "SemanticTypeIri": "urn:effortless:pko-extension#FieldGrant",
    "Name": "principal-variance-review-agent -&gt; Errors.ErrorId",
    "FieldTable": "Errors",
    "FieldName": "ErrorId",
    "FieldIsDerived": false,
    "IsWritableDerivedField": false,
    "IsMasked": false,
    "GrantKeyWhenReadable": "principal-variance-review-agent|Errors"
   },
   {
    "FieldGrantId": "fg-variance-review-agent-Errors.Name",
    "Principal": "principal-variance-review-agent",
    "TargetField": "Errors.Name",
    "CanRead": true,
    "CanWrite": false,
    "MaskStrategy": "plain",
    "SemanticTypeIri": "urn:effortless:pko-extension#FieldGrant",
    "Name": "principal-variance-review-agent -&gt; Errors.Name",
    "FieldTable": "Errors",
    "FieldName": "Name",
    "FieldIsDerived": true,
    "IsWritableDerivedField": false,
    "IsMasked": false,
    "GrantKeyWhenReadable": "principal-variance-review-agent|Errors"
   },
   {
    "FieldGrantId": "fg-variance-review-agent-Errors.Label",
    "Principal": "principal-variance-review-agent",
    "TargetField": "Errors.Label",
    "CanRead": true,
    "CanWrite": false,
    "MaskStrategy": "plain",
    "SemanticTypeIri": "urn:effortless:pko-extension#FieldGrant",
    "Name": "principal-variance-review-agent -&gt; Errors.Label",
    "FieldTable": "Errors",
    "FieldName": "Label",
    "FieldIsDerived": false,
    "IsWritableDerivedField": false,
    "IsMasked": false,
    "GrantKeyWhenReadable": "principal-variance-review-agent|Errors"
   },
   {
    "FieldGrantId": "fg-variance-review-agent-Errors.ErrorCode",
    "Principal": "principal-variance-review-agent",
    "TargetField": "Errors.ErrorCode",
    "CanRead": true,
    "CanWrite": false,
    "MaskStrategy": "plain",
    "SemanticTypeIri": "urn:effortless:pko-extension#FieldGrant",
    "Name": "principal-variance-review-agent -&gt; Errors.ErrorCode",
    "FieldTable": "Errors",
    "FieldName": "ErrorCode",
    "FieldIsDerived": false,
    "IsWritableDerivedField": false,
    "IsMasked": false,
    "GrantKeyWhenReadable": "principal-variance-review-agent|Errors"
   },
   {
    "FieldGrantId": "fg-variance-review-agent-Errors.ErrorCause",
    "Principal": "principal-variance-review-agent",
    "TargetField": "Errors.ErrorCause",
    "CanRead": true,
    "CanWrite": false,
    "MaskStrategy": "plain",
    "SemanticTypeIri": "urn:effortless:pko-extension#FieldGrant",
    "Name": "principal-variance-review-agent -&gt; Errors.ErrorCause",
    "FieldTable": "Errors",
    "FieldName": "ErrorCause",
    "FieldIsDerived": false,
    "IsWritableDerivedField": false,
    "IsMasked": false,
    "GrantKeyWhenReadable": "principal-variance-review-agent|Errors"
   },
   {
    "FieldGrantId": "fg-variance-review-agent-Errors.SemanticTypeIri",
    "Principal": "principal-variance-review-agent",
    "TargetField": "Errors.SemanticTypeIri",
    "CanRead": true,
    "CanWrite": false,
    "MaskStrategy": "plain",
    "SemanticTypeIri": "urn:effortless:pko-extension#FieldGrant",
    "Name": "principal-variance-review-agent -&gt; Errors.SemanticTypeIri",
    "FieldTable": "Errors",
    "FieldName": "SemanticTypeIri",
    "FieldIsDerived": false,
    "IsWritableDerivedField": false,
    "IsMasked": false,
    "GrantKeyWhenReadable": "principal-variance-review-agent|Errors"
   },
   {
    "FieldGrantId": "fg-policy-drafting-agent-MessageTemplates.MessageTemplateId",
    "Principal": "principal-policy-drafting-agent",
    "TargetField": "MessageTemplates.MessageTemplateId",
    "CanRead": true,
    "CanWrite": false,
    "MaskStrategy": "plain",
    "SemanticTypeIri": "urn:effortless:pko-extension#FieldGrant",
    "Name": "principal-policy-drafting-agent -&gt; MessageTemplates.MessageTemplateId",
    "FieldTable": "MessageTemplates",
    "FieldName": "MessageTemplateId",
    "FieldIsDerived": false,
    "IsWritableDerivedField": false,
    "IsMasked": false,
    "GrantKeyWhenReadable": "principal-policy-drafting-agent|MessageTemplates"
   },
   {
    "FieldGrantId": "fg-policy-drafting-agent-MessageTemplates.SubjectTemplate",
    "Principal": "principal-policy-drafting-agent",
    "TargetField": "MessageTemplates.SubjectTemplate",
    "CanRead": true,
    "CanWrite": false,
    "MaskStrategy": "plain",
    "SemanticTypeIri": "urn:effortless:pko-extension#FieldGrant",
    "Name": "principal-policy-drafting-agent -&gt; MessageTemplates.SubjectTemplate",
    "FieldTable": "MessageTemplates",
    "FieldName": "SubjectTemplate",
    "FieldIsDerived": false,
    "IsWritableDerivedField": false,
    "IsMasked": false,
    "GrantKeyWhenReadable": "principal-policy-drafting-agent|MessageTemplates"
   },
   {
    "FieldGrantId": "fg-policy-drafting-agent-MessageTemplates.BodyTemplate",
    "Principal": "principal-policy-drafting-agent",
    "TargetField": "MessageTemplates.BodyTemplate",
    "CanRead": true,
    "CanWrite": false,
    "MaskStrategy": "plain",
    "SemanticTypeIri": "urn:effortless:pko-extension#FieldGrant",
    "Name": "principal-policy-drafting-agent -&gt; MessageTemplates.BodyTemplate",
    "FieldTable": "MessageTemplates",
    "FieldName": "BodyTemplate",
    "FieldIsDerived": false,
    "IsWritableDerivedField": false,
    "IsMasked": false,
    "GrantKeyWhenReadable": "principal-policy-drafting-agent|MessageTemplates"
   },
   {
    "FieldGrantId": "fg-policy-drafting-agent-MessageTemplates.Locale",
    "Principal": "principal-policy-drafting-agent",
    "TargetField": "MessageTemplates.Locale",
    "CanRead": true,
    "CanWrite": false,
    "MaskStrategy": "plain",
    "SemanticTypeIri": "urn:effortless:pko-extension#FieldGrant",
    "Name": "principal-policy-drafting-agent -&gt; MessageTemplates.Locale",
    "FieldTable": "MessageTemplates",
    "FieldName": "Locale",
    "FieldIsDerived": false,
    "IsWritableDerivedField": false,
    "IsMasked": false,
    "GrantKeyWhenReadable": "principal-policy-drafting-agent|MessageTemplates"
   },
   {
    "FieldGrantId": "fg-policy-drafting-agent-MessageTemplates.Status",
    "Principal": "principal-policy-drafting-agent",
    "TargetField": "MessageTemplates.Status",
    "CanRead": true,
    "CanWrite": false,
    "MaskStrategy": "plain",
    "SemanticTypeIri": "urn:effortless:pko-extension#FieldGrant",
    "Name": "principal-policy-drafting-agent -&gt; MessageTemplates.Status",
    "FieldTable": "MessageTemplates",
    "FieldName": "Status",
    "FieldIsDerived": false,
    "IsWritableDerivedField": false,
    "IsMasked": false,
    "GrantKeyWhenReadable": "principal-policy-drafting-agent|MessageTemplates"
   },
   {
    "FieldGrantId": "fg-policy-drafting-agent-MessageTemplates.Name",
    "Principal": "principal-policy-drafting-agent",
    "TargetField": "MessageTemplates.Name",
    "CanRead": true,
    "CanWrite": false,
    "MaskStrategy": "plain",
    "SemanticTypeIri": "urn:effortless:pko-extension#FieldGrant",
    "Name": "principal-policy-drafting-agent -&gt; MessageTemplates.Name",
    "FieldTable": "MessageTemplates",
    "FieldName": "Name",
    "FieldIsDerived": true,
    "IsWritableDerivedField": false,
    "IsMasked": false,
    "GrantKeyWhenReadable": "principal-policy-drafting-agent|MessageTemplates"
   },
   {
    "FieldGrantId": "fg-policy-drafting-agent-CommunicationPolicies.CommunicationPolicyId",
    "Principal": "principal-policy-drafting-agent",
    "TargetField": "CommunicationPolicies.CommunicationPolicyId",
    "CanRead": true,
    "CanWrite": false,
    "MaskStrategy": "plain",
    "SemanticTypeIri": "urn:effortless:pko-extension#FieldGrant",
    "Name": "principal-policy-drafting-agent -&gt; CommunicationPolicies.CommunicationPolicyId",
    "FieldTable": "CommunicationPolicies",
    "FieldName": "CommunicationPolicyId",
    "FieldIsDerived": false,
    "IsWritableDerivedField": false,
    "IsMasked": false,
    "GrantKeyWhenReadable": "principal-policy-drafting-agent|CommunicationPolicies"
   },
   {
    "FieldGrantId": "fg-policy-drafting-agent-CommunicationPolicies.Channel",
    "Principal": "principal-policy-drafting-agent",
    "TargetField": "CommunicationPolicies.Channel",
    "CanRead": true,
    "CanWrite": false,
    "MaskStrategy": "plain",
    "SemanticTypeIri": "urn:effortless:pko-extension#FieldGrant",
    "Name": "principal-policy-drafting-agent -&gt; CommunicationPolicies.Channel",
    "FieldTable": "CommunicationPolicies",
    "FieldName": "Channel",
    "FieldIsDerived": false,
    "IsWritableDerivedField": false,
    "IsMasked": false,
    "GrantKeyWhenReadable": "principal-policy-drafting-agent|CommunicationPolicies"
   },
   {
    "FieldGrantId": "fg-policy-drafting-agent-CommunicationPolicies.AudienceRule",
    "Principal": "principal-policy-drafting-agent",
    "TargetField": "CommunicationPolicies.AudienceRule",
    "CanRead": true,
    "CanWrite": false,
    "MaskStrategy": "plain",
    "SemanticTypeIri": "urn:effortless:pko-extension#FieldGrant",
    "Name": "principal-policy-drafting-agent -&gt; CommunicationPolicies.AudienceRule",
    "FieldTable": "CommunicationPolicies",
    "FieldName": "AudienceRule",
    "FieldIsDerived": false,
    "IsWritableDerivedField": false,
    "IsMasked": false,
    "GrantKeyWhenReadable": "principal-policy-drafting-agent|CommunicationPolicies"
   },
   {
    "FieldGrantId": "fg-policy-drafting-agent-CommunicationPolicies.MaxMessageLength",
    "Principal": "principal-policy-drafting-agent",
    "TargetField": "CommunicationPolicies.MaxMessageLength",
    "CanRead": true,
    "CanWrite": false,
    "MaskStrategy": "plain",
    "SemanticTypeIri": "urn:effortless:pko-extension#FieldGrant",
    "Name": "principal-policy-drafting-agent -&gt; CommunicationPolicies.MaxMessageLength",
    "FieldTable": "CommunicationPolicies",
    "FieldName": "MaxMessageLength",
    "FieldIsDerived": false,
    "IsWritableDerivedField": false,
    "IsMasked": false,
    "GrantKeyWhenReadable": "principal-policy-drafting-agent|CommunicationPolicies"
   },
   {
    "FieldGrantId": "fg-policy-drafting-agent-CommunicationPolicies.MaxSegments",
    "Principal": "principal-policy-drafting-agent",
    "TargetField": "CommunicationPolicies.MaxSegments",
    "CanRead": true,
    "CanWrite": false,
    "MaskStrategy": "plain",
    "SemanticTypeIri": "urn:effortless:pko-extension#FieldGrant",
    "Name": "principal-policy-drafting-agent -&gt; CommunicationPolicies.MaxSegments",
    "FieldTable": "CommunicationPolicies",
    "FieldName": "MaxSegments",
    "FieldIsDerived": false,
    "IsWritableDerivedField": false,
    "IsMasked": false,
    "GrantKeyWhenReadable": "principal-policy-drafting-agent|CommunicationPolicies"
   },
   {
    "FieldGrantId": "fg-policy-drafting-agent-CommunicationPolicies.RequiredContent",
    "Principal": "principal-policy-drafting-agent",
    "TargetField": "CommunicationPolicies.RequiredContent",
    "CanRead": true,
    "CanWrite": false,
    "MaskStrategy": "plain",
    "SemanticTypeIri": "urn:effortless:pko-extension#FieldGrant",
    "Name": "principal-policy-drafting-agent -&gt; CommunicationPolicies.RequiredContent",
    "FieldTable": "CommunicationPolicies",
    "FieldName": "RequiredContent",
    "FieldIsDerived": false,
    "IsWritableDerivedField": false,
    "IsMasked": false,
    "GrantKeyWhenReadable": "principal-policy-drafting-agent|CommunicationPolicies"
   },
   {
    "FieldGrantId": "fg-policy-drafting-agent-CommunicationPolicies.AuthorityStatement",
    "Principal": "principal-policy-drafting-agent",
    "TargetField": "CommunicationPolicies.AuthorityStatement",
    "CanRead": true,
    "CanWrite": false,
    "MaskStrategy": "plain",
    "SemanticTypeIri": "urn:effortless:pko-extension#FieldGrant",
    "Name": "principal-policy-drafting-agent -&gt; CommunicationPolicies.AuthorityStatement",
    "FieldTable": "CommunicationPolicies",
    "FieldName": "AuthorityStatement",
    "FieldIsDerived": false,
    "IsWritableDerivedField": false,
    "IsMasked": false,
    "GrantKeyWhenReadable": "principal-policy-drafting-agent|CommunicationPolicies"
   },
   {
    "FieldGrantId": "fg-policy-drafting-agent-CommunicationPolicies.Status",
    "Principal": "principal-policy-drafting-agent",
    "TargetField": "CommunicationPolicies.Status",
    "CanRead": true,
    "CanWrite": false,
    "MaskStrategy": "plain",
    "SemanticTypeIri": "urn:effortless:pko-extension#FieldGrant",
    "Name": "principal-policy-drafting-agent -&gt; CommunicationPolicies.Status",
    "FieldTable": "CommunicationPolicies",
    "FieldName": "Status",
    "FieldIsDerived": false,
    "IsWritableDerivedField": false,
    "IsMasked": false,
    "GrantKeyWhenReadable": "principal-policy-drafting-agent|CommunicationPolicies"
   },
   {
    "FieldGrantId": "fg-policy-drafting-agent-CommunicationPolicies.Name",
    "Principal": "principal-policy-drafting-agent",
    "TargetField": "CommunicationPolicies.Name",
    "CanRead": true,
    "CanWrite": false,
    "MaskStrategy": "plain",
    "SemanticTypeIri": "urn:effortless:pko-extension#FieldGrant",
    "Name": "principal-policy-drafting-agent -&gt; CommunicationPolicies.Name",
    "FieldTable": "CommunicationPolicies",
    "FieldName": "Name",
    "FieldIsDerived": true,
    "IsWritableDerivedField": false,
    "IsMasked": false,
    "GrantKeyWhenReadable": "principal-policy-drafting-agent|CommunicationPolicies"
   },
   {
    "FieldGrantId": "fg-policy-drafting-agent-KnowledgeFragments.KnowledgeFragmentId",
    "Principal": "principal-policy-drafting-agent",
    "TargetField": "KnowledgeFragments.KnowledgeFragmentId",
    "CanRead": true,
    "CanWrite": false,
    "MaskStrategy": "plain",
    "SemanticTypeIri": "urn:effortless:pko-extension#FieldGrant",
    "Name": "principal-policy-drafting-agent -&gt; K</t>
  </si>
  <si>
    <t xml:space="preserve">nowledgeFragments.KnowledgeFragmentId",
    "FieldTable": "KnowledgeFragments",
    "FieldName": "KnowledgeFragmentId",
    "FieldIsDerived": false,
    "IsWritableDerivedField": false,
    "IsMasked": false,
    "GrantKeyWhenReadable": "principal-policy-drafting-agent|KnowledgeFragments"
   },
   {
    "FieldGrantId": "fg-policy-drafting-agent-KnowledgeFragments.Statement",
    "Principal": "principal-policy-drafting-agent",
    "TargetField": "KnowledgeFragments.Statement",
    "CanRead": true,
    "CanWrite": false,
    "MaskStrategy": "plain",
    "SemanticTypeIri": "urn:effortless:pko-extension#FieldGrant",
    "Name": "principal-policy-drafting-agent -&gt; KnowledgeFragments.Statement",
    "FieldTable": "KnowledgeFragments",
    "FieldName": "Statement",
    "FieldIsDerived": false,
    "IsWritableDerivedField": false,
    "IsMasked": false,
    "GrantKeyWhenReadable": "principal-policy-drafting-agent|KnowledgeFragments"
   },
   {
    "FieldGrantId": "fg-policy-drafting-agent-KnowledgeFragments.KnowledgeForm",
    "Principal": "principal-policy-drafting-agent",
    "TargetField": "KnowledgeFragments.KnowledgeForm",
    "CanRead": true,
    "CanWrite": false,
    "MaskStrategy": "plain",
    "SemanticTypeIri": "urn:effortless:pko-extension#FieldGrant",
    "Name": "principal-policy-drafting-agent -&gt; KnowledgeFragments.KnowledgeForm",
    "FieldTable": "KnowledgeFragments",
    "FieldName": "KnowledgeForm",
    "FieldIsDerived": false,
    "IsWritableDerivedField": false,
    "IsMasked": false,
    "GrantKeyWhenReadable": "principal-policy-drafting-agent|KnowledgeFragments"
   },
   {
    "FieldGrantId": "fg-policy-drafting-agent-KnowledgeFragments.Status",
    "Principal": "principal-policy-drafting-agent",
    "TargetField": "KnowledgeFragments.Status",
    "CanRead": true,
    "CanWrite": false,
    "MaskStrategy": "plain",
    "SemanticTypeIri": "urn:effortless:pko-extension#FieldGrant",
    "Name": "principal-policy-drafting-agent -&gt; KnowledgeFragments.Status",
    "FieldTable": "KnowledgeFragments",
    "FieldName": "Status",
    "FieldIsDerived": false,
    "IsWritableDerivedField": false,
    "IsMasked": false,
    "GrantKeyWhenReadable": "principal-policy-drafting-agent|KnowledgeFragments"
   },
   {
    "FieldGrantId": "fg-policy-drafting-agent-KnowledgeFragments.Name",
    "Principal": "principal-policy-drafting-agent",
    "TargetField": "KnowledgeFragments.Name",
    "CanRead": true,
    "CanWrite": false,
    "MaskStrategy": "plain",
    "SemanticTypeIri": "urn:effortless:pko-extension#FieldGrant",
    "Name": "principal-policy-drafting-agent -&gt; KnowledgeFragments.Name",
    "FieldTable": "KnowledgeFragments",
    "FieldName": "Name",
    "FieldIsDerived": true,
    "IsWritableDerivedField": false,
    "IsMasked": false,
    "GrantKeyWhenReadable": "principal-policy-drafting-agent|KnowledgeFragments"
   },
   {
    "FieldGrantId": "fg-policy-drafting-agent-Steps.StepId",
    "Principal": "principal-policy-drafting-agent",
    "TargetField": "Steps.StepId",
    "CanRead": true,
    "CanWrite": false,
    "MaskStrategy": "plain",
    "SemanticTypeIri": "urn:effortless:pko-extension#FieldGrant",
    "Name": "principal-policy-drafting-agent -&gt; Steps.StepId",
    "FieldTable": "Steps",
    "FieldName": "StepId",
    "FieldIsDerived": false,
    "IsWritableDerivedField": false,
    "IsMasked": false,
    "GrantKeyWhenReadable": "principal-policy-drafting-agent|Steps"
   },
   {
    "FieldGrantId": "fg-policy-drafting-agent-Steps.StepNumber",
    "Principal": "principal-policy-drafting-agent",
    "TargetField": "Steps.StepNumber",
    "CanRead": true,
    "CanWrite": false,
    "MaskStrategy": "plain",
    "SemanticTypeIri": "urn:effortless:pko-extension#FieldGrant",
    "Name": "principal-policy-drafting-agent -&gt; Steps.StepNumber",
    "FieldTable": "Steps",
    "FieldName": "StepNumber",
    "FieldIsDerived": false,
    "IsWritableDerivedField": false,
    "IsMasked": false,
    "GrantKeyWhenReadable": "principal-policy-drafting-agent|Steps"
   },
   {
    "FieldGrantId": "fg-policy-drafting-agent-Steps.Title",
    "Principal": "principal-policy-drafting-agent",
    "TargetField": "Steps.Title",
    "CanRead": true,
    "CanWrite": false,
    "MaskStrategy": "plain",
    "SemanticTypeIri": "urn:effortless:pko-extension#FieldGrant",
    "Name": "principal-policy-drafting-agent -&gt; Steps.Title",
    "FieldTable": "Steps",
    "FieldName": "Title",
    "FieldIsDerived": false,
    "IsWritableDerivedField": false,
    "IsMasked": false,
    "GrantKeyWhenReadable": "principal-policy-drafting-agent|Steps"
   },
   {
    "FieldGrantId": "fg-policy-drafting-agent-Steps.StepKind",
    "Principal": "principal-policy-drafting-agent",
    "TargetField": "Steps.StepKind",
    "CanRead": true,
    "CanWrite": false,
    "MaskStrategy": "plain",
    "SemanticTypeIri": "urn:effortless:pko-extension#FieldGrant",
    "Name": "principal-policy-drafting-agent -&gt; Steps.StepKind",
    "FieldTable": "Steps",
    "FieldName": "StepKind",
    "FieldIsDerived": false,
    "IsWritableDerivedField": false,
    "IsMasked": false,
    "GrantKeyWhenReadable": "principal-policy-drafting-agent|Steps"
   },
   {
    "FieldGrantId": "fg-policy-drafting-agent-Steps.Instruction",
    "Principal": "principal-policy-drafting-agent",
    "TargetField": "Steps.Instruction",
    "CanRead": true,
    "CanWrite": false,
    "MaskStrategy": "plain",
    "SemanticTypeIri": "urn:effortless:pko-extension#FieldGrant",
    "Name": "principal-policy-drafting-agent -&gt; Steps.Instruction",
    "FieldTable": "Steps",
    "FieldName": "Instruction",
    "FieldIsDerived": false,
    "IsWritableDerivedField": false,
    "IsMasked": false,
    "GrantKeyWhenReadable": "principal-policy-drafting-agent|Steps"
   },
   {
    "FieldGrantId": "fg-policy-drafting-agent-Steps.AssignedRole",
    "Principal": "principal-policy-drafting-agent",
    "TargetField": "Steps.AssignedRole",
    "CanRead": true,
    "CanWrite": false,
    "MaskStrategy": "plain",
    "SemanticTypeIri": "urn:effortless:pko-extension#FieldGrant",
    "Name": "principal-policy-drafting-agent -&gt; Steps.AssignedRole",
    "FieldTable": "Steps",
    "FieldName": "AssignedRole",
    "FieldIsDerived": false,
    "IsWritableDerivedField": false,
    "IsMasked": false,
    "GrantKeyWhenReadable": "principal-policy-drafting-agent|Steps"
   },
   {
    "FieldGrantId": "fg-policy-drafting-agent-Steps.AssignedRoleLabel",
    "Principal": "principal-policy-drafting-agent",
    "TargetField": "Steps.AssignedRoleLabel",
    "CanRead": true,
    "CanWrite": false,
    "MaskStrategy": "plain",
    "SemanticTypeIri": "urn:effortless:pko-extension#FieldGrant",
    "Name": "principal-policy-drafting-agent -&gt; Steps.AssignedRoleLabel",
    "FieldTable": "Steps",
    "FieldName": "AssignedRoleLabel",
    "FieldIsDerived": true,
    "IsWritableDerivedField": false,
    "IsMasked": false,
    "GrantKeyWhenReadable": "principal-policy-drafting-agent|Steps"
   },
   {
    "FieldGrantId": "fg-policy-drafting-agent-Steps.ProcedureVersion",
    "Principal": "principal-policy-drafting-agent",
    "TargetField": "Steps.ProcedureVersion",
    "CanRead": true,
    "CanWrite": false,
    "MaskStrategy": "plain",
    "SemanticTypeIri": "urn:effortless:pko-extension#FieldGrant",
    "Name": "principal-policy-drafting-agent -&gt; Steps.ProcedureVersion",
    "FieldTable": "Steps",
    "FieldName": "ProcedureVersion",
    "FieldIsDerived": false,
    "IsWritableDerivedField": false,
    "IsMasked": false,
    "GrantKeyWhenReadable": "principal-policy-drafting-agent|Steps"
   },
   {
    "FieldGrantId": "fg-policy-drafting-agent-Steps.Name",
    "Principal": "principal-policy-drafting-agent",
    "TargetField": "Steps.Name",
    "CanRead": true,
    "CanWrite": false,
    "MaskStrategy": "plain",
    "SemanticTypeIri": "urn:effortless:pko-extension#FieldGrant",
    "Name": "principal-policy-drafting-agent -&gt; Steps.Name",
    "FieldTable": "Steps",
    "FieldName": "Name",
    "FieldIsDerived": true,
    "IsWritableDerivedField": false,
    "IsMasked": false,
    "GrantKeyWhenReadable": "principal-policy-drafting-agent|Steps"
   },
   {
    "FieldGrantId": "fg-notification-publisher-CommunicationPolicies.CommunicationPolicyId",
    "Principal": "principal-notification-publisher",
    "TargetField": "CommunicationPolicies.CommunicationPolicyId",
    "CanRead": true,
    "CanWrite": false,
    "MaskStrategy": "plain",
    "SemanticTypeIri": "urn:effortless:pko-extension#FieldGrant",
    "Name": "principal-notification-publisher -&gt; CommunicationPolicies.CommunicationPolicyId",
    "FieldTable": "CommunicationPolicies",
    "FieldName": "CommunicationPolicyId",
    "FieldIsDerived": false,
    "IsWritableDerivedField": false,
    "IsMasked": false,
    "GrantKeyWhenReadable": "principal-notification-publisher|CommunicationPolicies"
   },
   {
    "FieldGrantId": "fg-notification-publisher-CommunicationPolicies.Channel",
    "Principal": "principal-notification-publisher",
    "TargetField": "CommunicationPolicies.Channel",
    "CanRead": true,
    "CanWrite": false,
    "MaskStrategy": "plain",
    "SemanticTypeIri": "urn:effortless:pko-extension#FieldGrant",
    "Name": "principal-notification-publisher -&gt; CommunicationPolicies.Channel",
    "FieldTable": "CommunicationPolicies",
    "FieldName": "Channel",
    "FieldIsDerived": false,
    "IsWritableDerivedField": false,
    "IsMasked": false,
    "GrantKeyWhenReadable": "principal-notification-publisher|CommunicationPolicies"
   },
   {
    "FieldGrantId": "fg-notification-publisher-CommunicationPolicies.QuietHoursStartHour",
    "Principal": "principal-notification-publisher",
    "TargetField": "CommunicationPolicies.QuietHoursStartHour",
    "CanRead": true,
    "CanWrite": false,
    "MaskStrategy": "plain",
    "SemanticTypeIri": "urn:effortless:pko-extension#FieldGrant",
    "Name": "principal-notification-publisher -&gt; CommunicationPolicies.QuietHoursStartHour",
    "FieldTable": "CommunicationPolicies",
    "FieldName": "QuietHoursStartHour",
    "FieldIsDerived": false,
    "IsWritableDerivedField": false,
    "IsMasked": false,
    "GrantKeyWhenReadable": "principal-notification-publisher|CommunicationPolicies"
   },
   {
    "FieldGrantId": "fg-notification-publisher-CommunicationPolicies.QuietHoursEndHour",
    "Principal": "principal-notification-publisher",
    "TargetField": "CommunicationPolicies.QuietHoursEndHour",
    "CanRead": true,
    "CanWrite": false,
    "MaskStrategy": "plain",
    "SemanticTypeIri": "urn:effortless:pko-extension#FieldGrant",
    "Name": "principal-notification-publisher -&gt; CommunicationPolicies.QuietHoursEndHour",
    "FieldTable": "CommunicationPolicies",
    "FieldName": "QuietHoursEndHour",
    "FieldIsDerived": false,
    "IsWritableDerivedField": false,
    "IsMasked": false,
    "GrantKeyWhenReadable": "principal-notification-publisher|CommunicationPolicies"
   },
   {
    "FieldGrantId": "fg-notification-publisher-CommunicationPolicies.MaxMessageLength",
    "Principal": "principal-notification-publisher",
    "TargetField": "CommunicationPolicies.MaxMessageLength",
    "CanRead": true,
    "CanWrite": false,
    "MaskStrategy": "plain",
    "SemanticTypeIri": "urn:effortless:pko-extension#FieldGrant",
    "Name": "principal-notification-publisher -&gt; CommunicationPolicies.MaxMessageLength",
    "FieldTable": "CommunicationPolicies",
    "FieldName": "MaxMessageLength",
    "FieldIsDerived": false,
    "IsWritableDerivedField": false,
    "IsMasked": false,
    "GrantKeyWhenReadable": "principal-notification-publisher|CommunicationPolicies"
   },
   {
    "FieldGrantId": "fg-notification-publisher-CommunicationPolicies.MaxSegments",
    "Principal": "principal-notification-publisher",
    "TargetField": "CommunicationPolicies.MaxSegments",
    "CanRead": true,
    "CanWrite": false,
    "MaskStrategy": "plain",
    "SemanticTypeIri": "urn:effortless:pko-extension#FieldGrant",
    "Name": "principal-notification-publisher -&gt; CommunicationPolicies.MaxSegments",
    "FieldTable": "CommunicationPolicies",
    "FieldName": "MaxSegments",
    "FieldIsDerived": false,
    "IsWritableDerivedField": false,
    "IsMasked": false,
    "GrantKeyWhenReadable": "principal-notification-publisher|CommunicationPolicies"
   },
   {
    "FieldGrantId": "fg-notification-publisher-CommunicationPolicies.ConsentRequired",
    "Principal": "principal-notification-publisher",
    "TargetField": "CommunicationPolicies.ConsentRequired",
    "CanRead": true,
    "CanWrite": false,
    "MaskStrategy": "plain",
    "SemanticTypeIri": "urn:effortless:pko-extension#FieldGrant",
    "Name": "principal-notification-publisher -&gt; CommunicationPolicies.ConsentRequired",
    "FieldTable": "CommunicationPolicies",
    "FieldName": "ConsentRequired",
    "FieldIsDerived": false,
    "IsWritableDerivedField": false,
    "IsMasked": false,
    "GrantKeyWhenReadable": "principal-notification-publisher|CommunicationPolicies"
   },
   {
    "FieldGrantId": "fg-notification-publisher-CommunicationPolicies.Status",
    "Principal": "principal-notification-publisher",
    "TargetField": "CommunicationPolicies.Status",
    "CanRead": true,
    "CanWrite": false,
    "MaskStrategy": "plain",
    "SemanticTypeIri": "urn:effortless:pko-extension#FieldGrant",
    "Name": "principal-notification-publisher -&gt; CommunicationPolicies.Status",
    "FieldTable": "CommunicationPolicies",
    "FieldName": "Status",
    "FieldIsDerived": false,
    "IsWritableDerivedField": false,
    "IsMasked": false,
    "GrantKeyWhenReadable": "principal-notification-publisher|CommunicationPolicies"
   },
   {
    "FieldGrantId": "fg-notification-publisher-CommunicationPolicies.Name",
    "Principal": "principal-notification-publisher",
    "TargetField": "CommunicationPolicies.Name",
    "CanRead": true,
    "CanWrite": false,
    "MaskStrategy": "plain",
    "SemanticTypeIri": "urn:effortless:pko-extension#FieldGrant",
    "Name": "principal-notification-publisher -&gt; CommunicationPolicies.Name",
    "FieldTable": "CommunicationPolicies",
    "FieldName": "Name",
    "FieldIsDerived": true,
    "IsWritableDerivedField": false,
    "IsMasked": false,
    "GrantKeyWhenReadable": "principal-notification-publisher|CommunicationPolicies"
   },
   {
    "FieldGrantId": "fg-notification-publisher-SendIntents.SendIntentId",
    "Principal": "principal-notification-publisher",
    "TargetField": "SendIntents.SendIntentId",
    "CanRead": true,
    "CanWrite": false,
    "MaskStrategy": "plain",
    "SemanticTypeIri": "urn:effortless:pko-extension#FieldGrant",
    "Name": "principal-notification-publisher -&gt; SendIntents.SendIntentId",
    "FieldTable": "SendIntents",
    "FieldName": "SendIntentId",
    "FieldIsDerived": false,
    "IsWritableDerivedField": false,
    "IsMasked": false,
    "GrantKeyWhenReadable": "principal-notification-publisher|SendIntents"
   },
   {
    "FieldGrantId": "fg-notification-publisher-SendIntents.ProposedBody",
    "Principal": "principal-notification-publisher",
    "TargetField": "SendIntents.ProposedBody",
    "CanRead": true,
    "CanWrite": false,
    "MaskStrategy": "plain",
    "SemanticTypeIri": "urn:effortless:pko-extension#FieldGrant",
    "Name": "principal-notification-publisher -&gt; SendIntents.ProposedBody",
    "FieldTable": "SendIntents",
    "FieldName": "ProposedBody",
    "FieldIsDerived": false,
    "IsWritableDerivedField": false,
    "IsMasked": false,
    "GrantKeyWhenReadable": "principal-notification-publisher|SendIntents"
   },
   {
    "FieldGrantId": "fg-notification-publisher-SendIntents.ProposedSendAtLocalHour",
    "Principal": "principal-notification-publisher",
    "TargetField": "SendIntents.ProposedSendAtLocalHour",
    "CanRead": true,
    "CanWrite": false,
    "MaskStrategy": "plain",
    "SemanticTypeIri": "urn:effortless:pko-extension#FieldGrant",
    "Name": "principal-notification-publisher -&gt; SendIntents.ProposedSendAtLocalHour",
    "FieldTable": "SendIntents",
    "FieldName": "ProposedSendAtLocalHour",
    "FieldIsDerived": false,
    "IsWritableDerivedField": false,
    "IsMasked": false,
    "GrantKeyWhenReadable": "principal-notification-publisher|SendIntents"
   },
   {
    "FieldGrantId": "fg-notification-publisher-SendIntents.Recipient",
    "Principal": "principal-notification-publisher",
    "TargetField": "SendIntents.Recipient",
    "CanRead": true,
    "CanWrite": false,
    "MaskStrategy": "plain",
    "SemanticTypeIri": "urn:effortless:pko-extension#FieldGrant",
    "Name": "principal-notification-publisher -&gt; SendIntents.Recipient",
    "FieldTable": "SendIntents",
    "FieldName": "Recipient",
    "FieldIsDerived": false,
    "IsWritableDerivedField": false,
    "IsMasked": false,
    "GrantKeyWhenReadable": "principal-notification-publisher|SendIntents"
   },
   {
    "FieldGrantId": "fg-notification-publisher-SendIntents.MessageTemplate",
    "Principal": "principal-notification-publisher",
    "TargetField": "SendIntents.MessageTemplate",
    "CanRead": true,
    "CanWrite": false,
    "MaskStrategy": "plain",
    "SemanticTypeIri": "urn:effortless:pko-extension#FieldGrant",
    "Name": "principal-notification-publisher -&gt; SendIntents.MessageTemplate",
    "FieldTable": "SendIntents",
    "FieldName": "MessageTemplate",
    "FieldIsDerived": false,
    "IsWritableDerivedField": false,
    "IsMasked": false,
    "GrantKeyWhenReadable": "principal-notification-publisher|SendIntents"
   },
   {
    "FieldGrantId": "fg-notification-publisher-SendIntents.Name",
    "Principal": "principal-notification-publisher",
    "TargetField": "SendIntents.Name",
    "CanRead": true,
    "CanWrite": false,
    "MaskStrategy": "plain",
    "SemanticTypeIri": "urn:effortless:pko-extension#FieldGrant",
    "Name": "principal-notification-publisher -&gt; SendIntents.Name",
    "FieldTable": "SendIntents",
    "FieldName": "Name",
    "FieldIsDerived": true,
    "IsWritableDerivedField": false,
    "IsMasked": false,
    "GrantKeyWhenReadable": "principal-notification-publisher|SendIntents"
   },
   {
    "FieldGrantId": "fg-notification-publisher-MessageDeliveries.MessageDeliveryId",
    "Principal": "principal-notification-publisher",
    "TargetField": "MessageDeliveries.MessageDeliveryId",
    "CanRead": true,
    "CanWrite": false,
    "MaskStrategy": "plain",
    "SemanticTypeIri": "urn:effortless:pko-extension#FieldGrant",
    "Name": "principal-notification-publisher -&gt; MessageDeliveries.MessageDeliveryId",
    "FieldTable": "MessageDeliveries",
    "FieldName": "MessageDeliveryId",
    "FieldIsDerived": false,
    "IsWritableDerivedField": false,
    "IsMasked": false,
    "GrantKeyWhenReadable": "principal-notification-publisher|MessageDeliveries"
   },
   {
    "FieldGrantId": "fg-notification-publisher-MessageDeliveries.RenderedBody",
    "Principal": "principal-notification-publisher",
    "TargetField": "MessageDeliveries.RenderedBody",
    "CanRead": true,
    "CanWrite": false,
    "MaskStrategy": "plain",
    "SemanticTypeIri": "urn:effortless:pko-extension#FieldGrant",
    "Name": "principal-notification-publisher -&gt; MessageDeliveries.RenderedBody",
    "FieldTable": "MessageDeliveries",
    "FieldName": "RenderedBody",
    "FieldIsDerived": false,
    "IsWritableDerivedField": false,
    "IsMasked": false,
    "GrantKeyWhenReadable": "principal-notification-publisher|MessageDeliveries"
   },
   {
    "FieldGrantId": "fg-notification-publisher-MessageDeliveries.SentAt",
    "Principal": "principal-notification-publisher",
    "TargetField": "MessageDeliveries.SentAt",
    "CanRead": true,
    "CanWrite": false,
    "MaskStrategy": "plain",
    "SemanticTypeIri": "urn:effortless:pko-extension#FieldGrant",
    "Name": "principal-notification-publisher -&gt; MessageDeliveries.SentAt",
    "FieldTable": "MessageDeliveries",
    "FieldName": "SentAt",
    "FieldIsDerived": false,
    "IsWritableDerivedField": false,
    "IsMasked": false,
    "GrantKeyWhenReadable": "principal-notification-publisher|MessageDeliveries"
   },
   {
    "FieldGrantId": "fg-notification-publisher-MessageDeliveries.DeliveryStatus",
    "Principal": "principal-notification-publisher",
    "TargetField": "MessageDeliveries.DeliveryStatus",
    "CanRead": true,
    "CanWrite": false,
    "MaskStrategy": "plain",
    "SemanticTypeIri": "urn:effortless:pko-extension#FieldGrant",
    "Name": "principal-notification-publisher -&gt; MessageDeliveries.DeliveryStatus",
    "FieldTable": "MessageDeliveries",
    "FieldName": "DeliveryStatus",
    "FieldIsDerived": false,
    "IsWritableDerivedField": false,
    "IsMasked": false,
    "GrantKeyWhenReadable": "principal-notification-publisher|MessageDeliveries"
   },
   {
    "FieldGrantId": "fg-notification-publisher-MessageDeliveries.SuppressionReason",
    "Principal": "principal-notification-publisher",
    "TargetField": "MessageDeliveries.SuppressionReason",
    "CanRead": true,
    "CanWrite": false,
    "MaskStrategy": "plain",
    "SemanticTypeIri": "urn:effortless:pko-extension#FieldGrant",
    "Name": "principal-notification-publisher -&gt; MessageDeliveries.SuppressionReason",
    "FieldTable": "MessageDeliveries",
    "FieldName": "SuppressionReason",
    "FieldIsDerived": false,
    "IsWritableDerivedField": false,
    "IsMasked": false,
    "GrantKeyWhenReadable": "principal-notification-publisher|MessageDeliveries"
   },
   {
    "FieldGrantId": "fg-notification-publisher-MessageDeliveries.Recipient",
    "Principal": "principal-notification-publisher",
    "TargetField": "MessageDeliveries.Recipient",
    "CanRead": true,
    "CanWrite": false,
    "MaskStrategy": "plain",
    "SemanticTypeIri": "urn:effortless:pko-extension#FieldGrant",
    "Name": "principal-notification-publisher -&gt; MessageDeliveries.Recipient",
    "FieldTable": "MessageDeliveries",
    "FieldName": "Recipient",
    "FieldIsDerived": false,
    "IsWritableDerivedField": false,
    "IsMasked": false,
    "GrantKeyWhenReadable": "principal-notification-publisher|MessageDeliveries"
   },
   {
    "FieldGrantId": "fg-notification-publisher-MessageDeliveries.Name",
    "Principal": "principal-notification-publisher",
    "TargetField": "MessageDeliveries.Name",
    "CanRead": true,
    "CanWrite": false,
    "MaskStrategy": "plain",
    "SemanticTypeIri": "urn:effortless:pko-extension#FieldGrant",
    "Name": "principal-notification-publisher -&gt; MessageDeliveries.Name",
    "FieldTable": "MessageDeliveries",
    "FieldName": "Name",
    "FieldIsDerived": true,
    "IsWritableDerivedField": false,
    "IsMasked": false,
    "GrantKeyWhenReadable": "principal-notification-publisher|MessageDeliveries"
   },
   {
    "FieldGrantId": "fg-notification-publisher-Recipients.RecipientId",
    "Principal": "principal-notification-publisher",
    "TargetField": "Recipients.RecipientId",
    "CanRead": true,
    "CanWrite": false,
    "MaskStrategy": "plain",
    "SemanticTypeIri": "urn:effortless:pko-extension#FieldGrant",
    "Name": "principal-notification-publisher -&gt; Recipients.RecipientId",
    "FieldTable": "Recipients",
    "FieldName": "RecipientId",
    "FieldIsDerived": false,
    "IsWritableDerivedField": false,
    "IsMasked": false,
    "GrantKeyWhenReadable": "principal-notification-publisher|Recipients"
   },
   {
    "FieldGrantId": "fg-notification-publisher-Recipients.EmailAddress",
    "Principal": "principal-notification-publisher",
    "TargetField": "Recipients.EmailAddress",
    "CanRead": true,
    "CanWrite": false,
    "MaskStrategy": "plain",
    "SemanticTypeIri": "urn:effortless:pko-extension#FieldGrant",
    "Name": "principal-notification-publisher -&gt; Recipients.EmailAddress",
    "FieldTable": "Recipients",
    "FieldName": "EmailAddress",
    "FieldIsDerived": false,
    "IsWritableDerivedField": false,
    "IsMasked": false,
    "GrantKeyWhenReadable": "principal-notification-publisher|Recipients"
   },
   {
    "FieldGrantId": "fg-notification-publisher-Recipients.MobileNumber",
    "Principal": "principal-notification-publisher",
    "TargetField": "Recipients.MobileNumber",
    "CanRead": true,
    "CanWrite": false,
    "MaskStrategy": "plain",
    "SemanticTypeIri": "urn:effortless:pko-extension#FieldGrant",
    "Name": "principal-notification-publisher -&gt; Recipients.MobileNumber",
    "FieldTable": "Recipients",
    "FieldName": "MobileNumber",
    "FieldIsDerived": false,
    "IsWritableDerivedField": false,
    "IsMasked": false,
    "GrantKeyWhenReadable": "principal-notification-publisher|Recipients"
   },
   {
    "FieldGrantId": "fg-notification-publisher-Recipients.SmsConsentStatus",
    "Principal": "principal-notification-publisher",
    "TargetField": "Recipients.SmsConsentStatus",
    "CanRead": true,
    "CanWrite": false,
    "MaskStrategy": "plain",
    "SemanticTypeIri": "urn:effortless:pko-extension#FieldGrant",
    "Name": "principal-notification-publisher -&gt; Recipients.SmsConsentStatus",
    "FieldTable": "Recipients",
    "FieldName": "SmsConsentStatus",
    "FieldIsDerived": false,
    "IsWritableDerivedField": false,
    "IsMasked": false,
    "GrantKeyWhenReadable": "principal-notification-publisher|Recipients"
   },
   {
    "FieldGrantId": "fg-notification-publisher-Recipients.Name",
    "Principal": "principal-notification-publisher",
    "TargetField": "Recipients.Name",
    "CanRead": true,
    "CanWrite": false,
    "MaskStrategy": "plain",
    "SemanticTypeIri": "urn:effortless:pko-extension#FieldGrant",
    "Name": "principal-notification-publisher -&gt; Recipients.Name",
    "FieldTable": "Recipients",
    "FieldName": "Name",
    "FieldIsDerived": true,
    "IsWritableDerivedField": false,
    "IsMasked": false,
    "GrantKeyWhenReadable": "principal-notification-publisher|Recipients"
   },
   {
    "FieldGrantId": "fg-notification-publisher-Steps.StepId",
    "Principal": "principal-notification-publisher",
    "TargetField": "Steps.StepId",
    "CanRead": true,
    "CanWrite": false,
    "MaskStrategy": "plain",
    "SemanticTypeIri": "urn:effortless:pko-extension#FieldGrant",
    "Name": "principal-notification-publisher -&gt; Steps.StepId",
    "FieldTable": "Steps",
    "FieldName": "StepId",
    "FieldIsDerived": false,
    "IsWritableDerivedField": false,
    "IsMasked": false,
    "GrantKeyWhenReadable": "principal-notification-publisher|Steps"
   },
   {
    "FieldGrantId": "fg-notification-publisher-Steps.StepNumber",
    "Principal": "principal-notification-publisher",
    "TargetField": "Steps.StepNumber",
    "CanRead": true,
    "CanWrite": false,
    "MaskStrategy": "plain",
    "SemanticTypeIri": "urn:effortless:pko-extension#FieldGrant",
    "Name": "principal-notification-publisher -&gt; Steps.StepNumber",
    "FieldTable": "Steps",
    "FieldName": "StepNumber",
    "FieldIsDerived": false,
    "IsWritableDerivedField": false,
    "IsMasked": false,
    "GrantKeyWhenReadable": "principal-notification-publisher|Steps"
   },
   {
    "FieldGrantId": "fg-notification-publisher-Steps.Title",
    "Principal": "principal-notification-publisher",
    "TargetField": "Steps.Title",
    "CanRead": true,
    "CanWrite": false,
    "MaskStrategy": "plain",
    "SemanticTypeIri": "urn:effortless:pko-extension#FieldGrant",
    "Name": "principal-notification-publisher -&gt; Steps.Title",
    "FieldTable": "Steps",
    "FieldName": "Title",
    "FieldIsDerived": false,
    "IsWritableDerivedField": false,
    "IsMasked": false,
    "GrantKeyWhenReadable": "principal-notification-publisher|Steps"
   },
   {
    "FieldGrantId": "fg-notification-publisher-Steps.StepKind",
    "Principal": "principal-notification-publisher",
    "TargetField": "Steps.StepKind",
    "CanRead": true,
    "CanWrite": false,
    "MaskStrategy": "plain",
    "SemanticTypeIri": "urn:effortless:pko-extension#FieldGrant",
    "Name": "principal-notification-publisher -&gt; Steps.StepKind",
    "FieldTable": "Steps",
    "FieldName": "StepKind",
    "FieldIsDerived": false,
    "IsWritableDerivedField": false,
    "IsMasked": false,
    "GrantKeyWhenReadable": "principal-notification-publisher|Steps"
   },
   {
    "FieldGrantId": "fg-notification-publisher-Steps.Instruction",
    "Principal": "principal-notification-publisher",
    "TargetField": "Steps.Instruction",
    "CanRead": true,
    "CanWrite": false,
    "MaskStrategy": "plain",
    "SemanticTypeIri": "urn:effortless:pko-extension#FieldGrant",
    "Name": "principal-notification-publisher -&gt; Steps.Instruction",
    "FieldTable": "Steps",
    "FieldName": "Instruction",
    "FieldIsDerived": false,
    "IsWritableDerivedField": false,
    "IsMasked": false,
    "GrantKeyWhenReadable": "principal-notification-publisher|Steps"
   },
   {
    "FieldGrantId": "fg-notification-publisher-Steps.AssignedRole",
    "Principal": "principal-notification-publisher",
    "TargetField": "Steps.AssignedRole",
    "CanRead": true,
    "CanWrite": false,
    "MaskStrategy": "plain",
    "SemanticTypeIri": "urn:effortless:pko-extension#FieldGrant",
    "Name": "principal-notification-publisher -&gt; Steps.AssignedRole",
    "FieldTable": "Steps",
    "FieldName": "AssignedRole",
    "FieldIsDerived": false,
    "IsWritableDerivedField": false,
    "IsMasked": false,
    "GrantKeyWhenReadable": "principal-notification-publisher|Steps"
   },
   {
    "FieldGrantId": "fg-notification-publisher-Steps.AssignedRoleLabel",
    "Principal": "principal-notification-publisher",
    "TargetField": "Steps.AssignedRoleLabel",
    "CanRead": true,
    "CanWrite": false,
    "MaskStrategy": "plain",
    "SemanticTypeIri": "urn:effortless:pko-extension#FieldGrant",
    "Name": "principal-notification-publisher -&gt; Steps.AssignedRoleLabel",
    "FieldTable": "Steps",
    "FieldName": "AssignedRoleLabel",
    "FieldIsDerived": true,
    "IsWritableDerivedField": false,
    "IsMasked": false,
    "GrantKeyWhenReadable": "principal-notification-publisher|Steps"
   },
   {
    "FieldGrantId": "fg-notification-publisher-Steps.ProcedureVersion",
    "Principal": "principal-notification-publisher",
    "TargetField": "Steps.ProcedureVersion",
    "CanRead": true,
    "CanWrite": false,
    "MaskStrategy": "plain",
    "SemanticTypeIri": "urn:effortless:pko-extension#FieldGrant",
    "Name": "principal-notification-publisher -&gt; Steps.ProcedureVersion",
    "FieldTable": "Steps",
    "FieldName": "ProcedureVersion",
    "FieldIsDerived": false,
    "IsWritableDerivedField": false,
    "IsMasked": false,
    "GrantKeyWhenReadable": "principal-notification-publisher|Steps"
   },
   {
    "FieldGrantId": "fg-notification-publisher-Steps.Name",
    "Principal": "principal-notification-publisher",
    "TargetField": "Steps.Name",
    "CanRead": true,
    "CanWrite": false,
    "MaskStrategy": "plain",
    "SemanticTypeIri": "urn:effortless:pko-extension#FieldGrant",
    "Name": "principal-notification-publisher -&gt; Steps.Name",
    "FieldTable": "Steps",
    "FieldName": "Name",
    "FieldIsDerived": true,
    "IsWritableDerivedField": false,
    "IsMasked": false,
    "GrantKeyWhenReadable": "principal-notification-publisher|Steps"
   },
   {
    "FieldGrantId": "fg-process-steward-Actions.ActionId",
    "Principal": "principal-process-steward",
    "TargetField": "Actions.ActionId",
    "CanRead": true,
    "CanWrite": false,
    "MaskStrategy": "plain",
    "SemanticTypeIri": "urn:effortless:pko-extension#FieldGrant",
    "Name": "principal-process-steward -&gt; Actions.ActionId",
    "FieldTable": "Actions",
    "FieldName": "ActionId",
    "FieldIsDerived": false,
    "IsWritableDerivedField": false,
    "IsMasked": false,
    "GrantKeyWhenReadable": "principal-process-steward|Actions"
   },
   {
    "FieldGrantId": "fg-process-steward-Actions.Name",
    "Principal": "principal-process-steward",
    "TargetField": "Actions.Name",
    "CanRead": true,
    "CanWrite": false,
    "MaskStrategy": "plain",
    "SemanticTypeIri": "urn:effortless:pko-extension#FieldGrant",
    "Name": "principal-process-steward -&gt; Actions.Name",
    "FieldTable": "Actions",
    "FieldName": "Name",
    "FieldIsDerived": true,
    "IsWritableDerivedField": false,
    "IsMasked": false,
    "GrantKeyWhenReadable": "principal-process-steward|Actions"
   },
   {
    "FieldGrantId": "fg-process-steward-Actions.Label",
    "Principal": "principal-process-steward",
    "TargetField": "Actions.Label",
    "CanRead": true,
    "CanWrite": false,
    "MaskStrategy": "plain",
    "SemanticTypeIri": "urn:effortless:pko-extension#FieldGrant",
    "Name": "principal-process-steward -&gt; Actions.Label",
    "FieldTable": "Actions",
    "FieldName": "Label",
    "FieldIsDerived": false,
    "IsWritableDerivedField": false,
    "IsMasked": false,
    "GrantKeyWhenReadable": "principal-p</t>
  </si>
  <si>
    <t xml:space="preserve">rocess-steward|Actions"
   },
   {
    "FieldGrantId": "fg-process-steward-Actions.Definition",
    "Principal": "principal-process-steward",
    "TargetField": "Actions.Definition",
    "CanRead": true,
    "CanWrite": false,
    "MaskStrategy": "plain",
    "SemanticTypeIri": "urn:effortless:pko-extension#FieldGrant",
    "Name": "principal-process-steward -&gt; Actions.Definition",
    "FieldTable": "Actions",
    "FieldName": "Definition",
    "FieldIsDerived": false,
    "IsWritableDerivedField": false,
    "IsMasked": false,
    "GrantKeyWhenReadable": "principal-process-steward|Actions"
   },
   {
    "FieldGrantId": "fg-process-steward-Actions.SemanticTypeIri",
    "Principal": "principal-process-steward",
    "TargetField": "Actions.SemanticTypeIri",
    "CanRead": true,
    "CanWrite": false,
    "MaskStrategy": "plain",
    "SemanticTypeIri": "urn:effortless:pko-extension#FieldGrant",
    "Name": "principal-process-steward -&gt; Actions.SemanticTypeIri",
    "FieldTable": "Actions",
    "FieldName": "SemanticTypeIri",
    "FieldIsDerived": false,
    "IsWritableDerivedField": false,
    "IsMasked": false,
    "GrantKeyWhenReadable": "principal-process-steward|Actions"
   },
   {
    "FieldGrantId": "fg-process-steward-AgentDecisionRecords.AgentDecisionRecordId",
    "Principal": "principal-process-steward",
    "TargetField": "AgentDecisionRecords.AgentDecisionRecordId",
    "CanRead": true,
    "CanWrite": false,
    "MaskStrategy": "plain",
    "SemanticTypeIri": "urn:effortless:pko-extension#FieldGrant",
    "Name": "principal-process-steward -&gt; AgentDecisionRecords.AgentDecisionRecordId",
    "FieldTable": "AgentDecisionRecords",
    "FieldName": "AgentDecisionRecordId",
    "FieldIsDerived": false,
    "IsWritableDerivedField": false,
    "IsMasked": false,
    "GrantKeyWhenReadable": "principal-process-steward|AgentDecisionRecords"
   },
   {
    "FieldGrantId": "fg-process-steward-AgentDecisionRecords.Name",
    "Principal": "principal-process-steward",
    "TargetField": "AgentDecisionRecords.Name",
    "CanRead": true,
    "CanWrite": false,
    "MaskStrategy": "plain",
    "SemanticTypeIri": "urn:effortless:pko-extension#FieldGrant",
    "Name": "principal-process-steward -&gt; AgentDecisionRecords.Name",
    "FieldTable": "AgentDecisionRecords",
    "FieldName": "Name",
    "FieldIsDerived": true,
    "IsWritableDerivedField": false,
    "IsMasked": false,
    "GrantKeyWhenReadable": "principal-process-steward|AgentDecisionRecords"
   },
   {
    "FieldGrantId": "fg-process-steward-AgentDecisionRecords.StepExecution",
    "Principal": "principal-process-steward",
    "TargetField": "AgentDecisionRecords.StepExecution",
    "CanRead": true,
    "CanWrite": false,
    "MaskStrategy": "plain",
    "SemanticTypeIri": "urn:effortless:pko-extension#FieldGrant",
    "Name": "principal-process-steward -&gt; AgentDecisionRecords.StepExecution",
    "FieldTable": "AgentDecisionRecords",
    "FieldName": "StepExecution",
    "FieldIsDerived": false,
    "IsWritableDerivedField": false,
    "IsMasked": false,
    "GrantKeyWhenReadable": "principal-process-steward|AgentDecisionRecords"
   },
   {
    "FieldGrantId": "fg-process-steward-AgentDecisionRecords.DecidingAgent",
    "Principal": "principal-process-steward",
    "TargetField": "AgentDecisionRecords.DecidingAgent",
    "CanRead": true,
    "CanWrite": false,
    "MaskStrategy": "plain",
    "SemanticTypeIri": "urn:effortless:pko-extension#FieldGrant",
    "Name": "principal-process-steward -&gt; AgentDecisionRecords.DecidingAgent",
    "FieldTable": "AgentDecisionRecords",
    "FieldName": "DecidingAgent",
    "FieldIsDerived": false,
    "IsWritableDerivedField": false,
    "IsMasked": false,
    "GrantKeyWhenReadable": "principal-process-steward|AgentDecisionRecords"
   },
   {
    "FieldGrantId": "fg-process-steward-AgentDecisionRecords.DecisionKind",
    "Principal": "principal-process-steward",
    "TargetField": "AgentDecisionRecords.DecisionKind",
    "CanRead": true,
    "CanWrite": false,
    "MaskStrategy": "plain",
    "SemanticTypeIri": "urn:effortless:pko-extension#FieldGrant",
    "Name": "principal-process-steward -&gt; AgentDecisionRecords.DecisionKind",
    "FieldTable": "AgentDecisionRecords",
    "FieldName": "DecisionKind",
    "FieldIsDerived": false,
    "IsWritableDerivedField": false,
    "IsMasked": false,
    "GrantKeyWhenReadable": "principal-process-steward|AgentDecisionRecords"
   },
   {
    "FieldGrantId": "fg-process-steward-AgentDecisionRecords.DecisionSummary",
    "Principal": "principal-process-steward",
    "TargetField": "AgentDecisionRecords.DecisionSummary",
    "CanRead": true,
    "CanWrite": false,
    "MaskStrategy": "plain",
    "SemanticTypeIri": "urn:effortless:pko-extension#FieldGrant",
    "Name": "principal-process-steward -&gt; AgentDecisionRecords.DecisionSummary",
    "FieldTable": "AgentDecisionRecords",
    "FieldName": "DecisionSummary",
    "FieldIsDerived": false,
    "IsWritableDerivedField": false,
    "IsMasked": false,
    "GrantKeyWhenReadable": "principal-process-steward|AgentDecisionRecords"
   },
   {
    "FieldGrantId": "fg-process-steward-AgentDecisionRecords.DecidedAt",
    "Principal": "principal-process-steward",
    "TargetField": "AgentDecisionRecords.DecidedAt",
    "CanRead": true,
    "CanWrite": false,
    "MaskStrategy": "plain",
    "SemanticTypeIri": "urn:effortless:pko-extension#FieldGrant",
    "Name": "principal-process-steward -&gt; AgentDecisionRecords.DecidedAt",
    "FieldTable": "AgentDecisionRecords",
    "FieldName": "DecidedAt",
    "FieldIsDerived": false,
    "IsWritableDerivedField": false,
    "IsMasked": false,
    "GrantKeyWhenReadable": "principal-process-steward|AgentDecisionRecords"
   },
   {
    "FieldGrantId": "fg-process-steward-AgentDecisionRecords.MaterialityBand",
    "Principal": "principal-process-steward",
    "TargetField": "AgentDecisionRecords.MaterialityBand",
    "CanRead": true,
    "CanWrite": false,
    "MaskStrategy": "plain",
    "SemanticTypeIri": "urn:effortless:pko-extension#FieldGrant",
    "Name": "principal-process-steward -&gt; AgentDecisionRecords.MaterialityBand",
    "FieldTable": "AgentDecisionRecords",
    "FieldName": "MaterialityBand",
    "FieldIsDerived": false,
    "IsWritableDerivedField": false,
    "IsMasked": false,
    "GrantKeyWhenReadable": "principal-process-steward|AgentDecisionRecords"
   },
   {
    "FieldGrantId": "fg-process-steward-AgentDecisionRecords.HumanDisposition",
    "Principal": "principal-process-steward",
    "TargetField": "AgentDecisionRecords.HumanDisposition",
    "CanRead": true,
    "CanWrite": false,
    "MaskStrategy": "plain",
    "SemanticTypeIri": "urn:effortless:pko-extension#FieldGrant",
    "Name": "principal-process-steward -&gt; AgentDecisionRecords.HumanDisposition",
    "FieldTable": "AgentDecisionRecords",
    "FieldName": "HumanDisposition",
    "FieldIsDerived": false,
    "IsWritableDerivedField": false,
    "IsMasked": false,
    "GrantKeyWhenReadable": "principal-process-steward|AgentDecisionRecords"
   },
   {
    "FieldGrantId": "fg-process-steward-AgentDecisionRecords.ReviewedByAgent",
    "Principal": "principal-process-steward",
    "TargetField": "AgentDecisionRecords.ReviewedByAgent",
    "CanRead": true,
    "CanWrite": false,
    "MaskStrategy": "plain",
    "SemanticTypeIri": "urn:effortless:pko-extension#FieldGrant",
    "Name": "principal-process-steward -&gt; AgentDecisionRecords.ReviewedByAgent",
    "FieldTable": "AgentDecisionRecords",
    "FieldName": "ReviewedByAgent",
    "FieldIsDerived": false,
    "IsWritableDerivedField": false,
    "IsMasked": false,
    "GrantKeyWhenReadable": "principal-process-steward|AgentDecisionRecords"
   },
   {
    "FieldGrantId": "fg-process-steward-AgentDecisionRecords.ReviewedAt",
    "Principal": "principal-process-steward",
    "TargetField": "AgentDecisionRecords.ReviewedAt",
    "CanRead": true,
    "CanWrite": false,
    "MaskStrategy": "plain",
    "SemanticTypeIri": "urn:effortless:pko-extension#FieldGrant",
    "Name": "principal-process-steward -&gt; AgentDecisionRecords.ReviewedAt",
    "FieldTable": "AgentDecisionRecords",
    "FieldName": "ReviewedAt",
    "FieldIsDerived": false,
    "IsWritableDerivedField": false,
    "IsMasked": false,
    "GrantKeyWhenReadable": "principal-process-steward|AgentDecisionRecords"
   },
   {
    "FieldGrantId": "fg-process-steward-AgentDecisionRecords.WasOverridden",
    "Principal": "principal-process-steward",
    "TargetField": "AgentDecisionRecords.WasOverridden",
    "CanRead": true,
    "CanWrite": false,
    "MaskStrategy": "plain",
    "SemanticTypeIri": "urn:effortless:pko-extension#FieldGrant",
    "Name": "principal-process-steward -&gt; AgentDecisionRecords.WasOverridden",
    "FieldTable": "AgentDecisionRecords",
    "FieldName": "WasOverridden",
    "FieldIsDerived": true,
    "IsWritableDerivedField": false,
    "IsMasked": false,
    "GrantKeyWhenReadable": "principal-process-steward|AgentDecisionRecords"
   },
   {
    "FieldGrantId": "fg-process-steward-AgentDecisionRecords.WasReviewed",
    "Principal": "principal-process-steward",
    "TargetField": "AgentDecisionRecords.WasReviewed",
    "CanRead": true,
    "CanWrite": false,
    "MaskStrategy": "plain",
    "SemanticTypeIri": "urn:effortless:pko-extension#FieldGrant",
    "Name": "principal-process-steward -&gt; AgentDecisionRecords.WasReviewed",
    "FieldTable": "AgentDecisionRecords",
    "FieldName": "WasReviewed",
    "FieldIsDerived": true,
    "IsWritableDerivedField": false,
    "IsMasked": false,
    "GrantKeyWhenReadable": "principal-process-steward|AgentDecisionRecords"
   },
   {
    "FieldGrantId": "fg-process-steward-AgentDecisionRecords.DecidingAgentKind",
    "Principal": "principal-process-steward",
    "TargetField": "AgentDecisionRecords.DecidingAgentKind",
    "CanRead": true,
    "CanWrite": false,
    "MaskStrategy": "plain",
    "SemanticTypeIri": "urn:effortless:pko-extension#FieldGrant",
    "Name": "principal-process-steward -&gt; AgentDecisionRecords.DecidingAgentKind",
    "FieldTable": "AgentDecisionRecords",
    "FieldName": "DecidingAgentKind",
    "FieldIsDerived": true,
    "IsWritableDerivedField": false,
    "IsMasked": false,
    "GrantKeyWhenReadable": "principal-process-steward|AgentDecisionRecords"
   },
   {
    "FieldGrantId": "fg-process-steward-AgentDecisionRecords.DecidingAgentWhenOverridden",
    "Principal": "principal-process-steward",
    "TargetField": "AgentDecisionRecords.DecidingAgentWhenOverridden",
    "CanRead": true,
    "CanWrite": false,
    "MaskStrategy": "plain",
    "SemanticTypeIri": "urn:effortless:pko-extension#FieldGrant",
    "Name": "principal-process-steward -&gt; AgentDecisionRecords.DecidingAgentWhenOverridden",
    "FieldTable": "AgentDecisionRecords",
    "FieldName": "DecidingAgentWhenOverridden",
    "FieldIsDerived": true,
    "IsWritableDerivedField": false,
    "IsMasked": false,
    "GrantKeyWhenReadable": "principal-process-steward|AgentDecisionRecords"
   },
   {
    "FieldGrantId": "fg-process-steward-AgentDecisionRecords.UnderRoleAssignment",
    "Principal": "principal-process-steward",
    "TargetField": "AgentDecisionRecords.UnderRoleAssignment",
    "CanRead": true,
    "CanWrite": false,
    "MaskStrategy": "plain",
    "SemanticTypeIri": "urn:effortless:pko-extension#FieldGrant",
    "Name": "principal-process-steward -&gt; AgentDecisionRecords.UnderRoleAssignment",
    "FieldTable": "AgentDecisionRecords",
    "FieldName": "UnderRoleAssignment",
    "FieldIsDerived": false,
    "IsWritableDerivedField": false,
    "IsMasked": false,
    "GrantKeyWhenReadable": "principal-process-steward|AgentDecisionRecords"
   },
   {
    "FieldGrantId": "fg-process-steward-AgentDecisionRecords.RoleAssignmentWhenScored",
    "Principal": "principal-process-steward",
    "TargetField": "AgentDecisionRecords.RoleAssignmentWhenScored",
    "CanRead": true,
    "CanWrite": false,
    "MaskStrategy": "plain",
    "SemanticTypeIri": "urn:effortless:pko-extension#FieldGrant",
    "Name": "principal-process-steward -&gt; AgentDecisionRecords.RoleAssignmentWhenScored",
    "FieldTable": "AgentDecisionRecords",
    "FieldName": "RoleAssignmentWhenScored",
    "FieldIsDerived": true,
    "IsWritableDerivedField": false,
    "IsMasked": false,
    "GrantKeyWhenReadable": "principal-process-steward|AgentDecisionRecords"
   },
   {
    "FieldGrantId": "fg-process-steward-AgentDecisionRecords.RoleAssignmentWhenOverridden",
    "Principal": "principal-process-steward",
    "TargetField": "AgentDecisionRecords.RoleAssignmentWhenOverridden",
    "CanRead": true,
    "CanWrite": false,
    "MaskStrategy": "plain",
    "SemanticTypeIri": "urn:effortless:pko-extension#FieldGrant",
    "Name": "principal-process-steward -&gt; AgentDecisionRecords.RoleAssignmentWhenOverridden",
    "FieldTable": "AgentDecisionRecords",
    "FieldName": "RoleAssignmentWhenOverridden",
    "FieldIsDerived": true,
    "IsWritableDerivedField": false,
    "IsMasked": false,
    "GrantKeyWhenReadable": "principal-process-steward|AgentDecisionRecords"
   },
   {
    "FieldGrantId": "fg-process-steward-AgentDecisionRecords.StepOfDecision",
    "Principal": "principal-process-steward",
    "TargetField": "AgentDecisionRecords.StepOfDecision",
    "CanRead": true,
    "CanWrite": false,
    "MaskStrategy": "plain",
    "SemanticTypeIri": "urn:effortless:pko-extension#FieldGrant",
    "Name": "principal-process-steward -&gt; AgentDecisionRecords.StepOfDecision",
    "FieldTable": "AgentDecisionRecords",
    "FieldName": "StepOfDecision",
    "FieldIsDerived": true,
    "IsWritableDerivedField": false,
    "IsMasked": false,
    "GrantKeyWhenReadable": "principal-process-steward|AgentDecisionRecords"
   },
   {
    "FieldGrantId": "fg-process-steward-AgentDecisionRecords.BoundaryMatchKey",
    "Principal": "principal-process-steward",
    "TargetField": "AgentDecisionRecords.BoundaryMatchKey",
    "CanRead": true,
    "CanWrite": false,
    "MaskStrategy": "plain",
    "SemanticTypeIri": "urn:effortless:pko-extension#FieldGrant",
    "Name": "principal-process-steward -&gt; AgentDecisionRecords.BoundaryMatchKey",
    "FieldTable": "AgentDecisionRecords",
    "FieldName": "BoundaryMatchKey",
    "FieldIsDerived": true,
    "IsWritableDerivedField": false,
    "IsMasked": false,
    "GrantKeyWhenReadable": "principal-process-steward|AgentDecisionRecords"
   },
   {
    "FieldGrantId": "fg-process-steward-AgentDecisionRecords.MatchingBoundaryCount",
    "Principal": "principal-process-steward",
    "TargetField": "AgentDecisionRecords.MatchingBoundaryCount",
    "CanRead": true,
    "CanWrite": false,
    "MaskStrategy": "plain",
    "SemanticTypeIri": "urn:effortless:pko-extension#FieldGrant",
    "Name": "principal-process-steward -&gt; AgentDecisionRecords.MatchingBoundaryCount",
    "FieldTable": "AgentDecisionRecords",
    "FieldName": "MatchingBoundaryCount",
    "FieldIsDerived": true,
    "IsWritableDerivedField": false,
    "IsMasked": false,
    "GrantKeyWhenReadable": "principal-process-steward|AgentDecisionRecords"
   },
   {
    "FieldGrantId": "fg-process-steward-AgentDecisionRecords.ViolatedAuthorityBoundary",
    "Principal": "principal-process-steward",
    "TargetField": "AgentDecisionRecords.ViolatedAuthorityBoundary",
    "CanRead": true,
    "CanWrite": false,
    "MaskStrategy": "plain",
    "SemanticTypeIri": "urn:effortless:pko-extension#FieldGrant",
    "Name": "principal-process-steward -&gt; AgentDecisionRecords.ViolatedAuthorityBoundary",
    "FieldTable": "AgentDecisionRecords",
    "FieldName": "ViolatedAuthorityBoundary",
    "FieldIsDerived": true,
    "IsWritableDerivedField": false,
    "IsMasked": false,
    "GrantKeyWhenReadable": "principal-process-steward|AgentDecisionRecords"
   },
   {
    "FieldGrantId": "fg-process-steward-AgentDecisionRecords.ReviewerAgentKind",
    "Principal": "principal-process-steward",
    "TargetField": "AgentDecisionRecords.ReviewerAgentKind",
    "CanRead": true,
    "CanWrite": false,
    "MaskStrategy": "plain",
    "SemanticTypeIri": "urn:effortless:pko-extension#FieldGrant",
    "Name": "principal-process-steward -&gt; AgentDecisionRecords.ReviewerAgentKind",
    "FieldTable": "AgentDecisionRecords",
    "FieldName": "ReviewerAgentKind",
    "FieldIsDerived": true,
    "IsWritableDerivedField": false,
    "IsMasked": false,
    "GrantKeyWhenReadable": "principal-process-steward|AgentDecisionRecords"
   },
   {
    "FieldGrantId": "fg-process-steward-AgentDecisionRecords.HasHumanConfirmation",
    "Principal": "principal-process-steward",
    "TargetField": "AgentDecisionRecords.HasHumanConfirmation",
    "CanRead": true,
    "CanWrite": false,
    "MaskStrategy": "plain",
    "SemanticTypeIri": "urn:effortless:pko-extension#FieldGrant",
    "Name": "principal-process-steward -&gt; AgentDecisionRecords.HasHumanConfirmation",
    "FieldTable": "AgentDecisionRecords",
    "FieldName": "HasHumanConfirmation",
    "FieldIsDerived": true,
    "IsWritableDerivedField": false,
    "IsMasked": false,
    "GrantKeyWhenReadable": "principal-process-steward|AgentDecisionRecords"
   },
   {
    "FieldGrantId": "fg-process-steward-AgentDecisionRecords.NeedsHumanConfirmation",
    "Principal": "principal-process-steward",
    "TargetField": "AgentDecisionRecords.NeedsHumanConfirmation",
    "CanRead": true,
    "CanWrite": false,
    "MaskStrategy": "plain",
    "SemanticTypeIri": "urn:effortless:pko-extension#FieldGrant",
    "Name": "principal-process-steward -&gt; AgentDecisionRecords.NeedsHumanConfirmation",
    "FieldTable": "AgentDecisionRecords",
    "FieldName": "NeedsHumanConfirmation",
    "FieldIsDerived": true,
    "IsWritableDerivedField": false,
    "IsMasked": false,
    "GrantKeyWhenReadable": "principal-process-steward|AgentDecisionRecords"
   },
   {
    "FieldGrantId": "fg-process-steward-AgentDecisionRecords.IsUnconfirmedNonHumanDecision",
    "Principal": "principal-process-steward",
    "TargetField": "AgentDecisionRecords.IsUnconfirmedNonHumanDecision",
    "CanRead": true,
    "CanWrite": false,
    "MaskStrategy": "plain",
    "SemanticTypeIri": "urn:effortless:pko-extension#FieldGrant",
    "Name": "principal-process-steward -&gt; AgentDecisionRecords.IsUnconfirmedNonHumanDecision",
    "FieldTable": "AgentDecisionRecords",
    "FieldName": "IsUnconfirmedNonHumanDecision",
    "FieldIsDerived": true,
    "IsWritableDerivedField": false,
    "IsMasked": false,
    "GrantKeyWhenReadable": "principal-process-steward|AgentDecisionRecords"
   },
   {
    "FieldGrantId": "fg-process-steward-AgentDecisionRecords.StepExecutionWhenUnconfirmed",
    "Principal": "principal-process-steward",
    "TargetField": "AgentDecisionRecords.StepExecutionWhenUnconfirmed",
    "CanRead": true,
    "CanWrite": false,
    "MaskStrategy": "plain",
    "SemanticTypeIri": "urn:effortless:pko-extension#FieldGrant",
    "Name": "principal-process-steward -&gt; AgentDecisionRecords.StepExecutionWhenUnconfirmed",
    "FieldTable": "AgentDecisionRecords",
    "FieldName": "StepExecutionWhenUnconfirmed",
    "FieldIsDerived": true,
    "IsWritableDerivedField": false,
    "IsMasked": false,
    "GrantKeyWhenReadable": "principal-process-steward|AgentDecisionRecords"
   },
   {
    "FieldGrantId": "fg-process-steward-AgentDecisionRecords.AgentWhenBoundaryViolated",
    "Principal": "principal-process-steward",
    "TargetField": "AgentDecisionRecords.AgentWhenBoundaryViolated",
    "CanRead": true,
    "CanWrite": false,
    "MaskStrategy": "plain",
    "SemanticTypeIri": "urn:effortless:pko-extension#FieldGrant",
    "Name": "principal-process-steward -&gt; AgentDecisionRecords.AgentWhenBoundaryViolated",
    "FieldTable": "AgentDecisionRecords",
    "FieldName": "AgentWhenBoundaryViolated",
    "FieldIsDerived": true,
    "IsWritableDerivedField": false,
    "IsMasked": false,
    "GrantKeyWhenReadable": "principal-process-steward|AgentDecisionRecords"
   },
   {
    "FieldGrantId": "fg-process-steward-AgentDecisionRecords.ReviewLatencyMinutes",
    "Principal": "principal-process-steward",
    "TargetField": "AgentDecisionRecords.ReviewLatencyMinutes",
    "CanRead": true,
    "CanWrite": false,
    "MaskStrategy": "plain",
    "SemanticTypeIri": "urn:effortless:pko-extension#FieldGrant",
    "Name": "principal-process-steward -&gt; AgentDecisionRecords.ReviewLatencyMinutes",
    "FieldTable": "AgentDecisionRecords",
    "FieldName": "ReviewLatencyMinutes",
    "FieldIsDerived": true,
    "IsWritableDerivedField": false,
    "IsMasked": false,
    "GrantKeyWhenReadable": "principal-process-steward|AgentDecisionRecords"
   },
   {
    "FieldGrantId": "fg-process-steward-AgentDecisionRecords.IsDraftKind",
    "Principal": "principal-process-steward",
    "TargetField": "AgentDecisionRecords.IsDraftKind",
    "CanRead": true,
    "CanWrite": false,
    "MaskStrategy": "plain",
    "SemanticTypeIri": "urn:effortless:pko-extension#FieldGrant",
    "Name": "principal-process-steward -&gt; AgentDecisionRecords.IsDraftKind",
    "FieldTable": "AgentDecisionRecords",
    "FieldName": "IsDraftKind",
    "FieldIsDerived": true,
    "IsWritableDerivedField": false,
    "IsMasked": false,
    "GrantKeyWhenReadable": "principal-process-steward|AgentDecisionRecords"
   },
   {
    "FieldGrantId": "fg-process-steward-AgentDecisionRecords.AgentWhenDraftOverridden",
    "Principal": "principal-process-steward",
    "TargetField": "AgentDecisionRecords.AgentWhenDraftOverridden",
    "CanRead": true,
    "CanWrite": false,
    "MaskStrategy": "plain",
    "SemanticTypeIri": "urn:effortless:pko-extension#FieldGrant",
    "Name": "principal-process-steward -&gt; AgentDecisionRecords.AgentWhenDraftOverridden",
    "FieldTable": "AgentDecisionRecords",
    "FieldName": "AgentWhenDraftOverridden",
    "FieldIsDerived": true,
    "IsWritableDerivedField": false,
    "IsMasked": false,
    "GrantKeyWhenReadable": "principal-process-steward|AgentDecisionRecords"
   },
   {
    "FieldGrantId": "fg-process-steward-AgentDecisionRecords.AgentWhenDraft",
    "Principal": "principal-process-steward",
    "TargetField": "AgentDecisionRecords.AgentWhenDraft",
    "CanRead": true,
    "CanWrite": false,
    "MaskStrategy": "plain",
    "SemanticTypeIri": "urn:effortless:pko-extension#FieldGrant",
    "Name": "principal-process-steward -&gt; AgentDecisionRecords.AgentWhenDraft",
    "FieldTable": "AgentDecisionRecords",
    "FieldName": "AgentWhenDraft",
    "FieldIsDerived": true,
    "IsWritableDerivedField": false,
    "IsMasked": false,
    "GrantKeyWhenReadable": "principal-process-steward|AgentDecisionRecords"
   },
   {
    "FieldGrantId": "fg-process-steward-AgentDecisionRecords.OverrideReasonKind",
    "Principal": "principal-process-steward",
    "TargetField": "AgentDecisionRecords.OverrideReasonKind",
    "CanRead": true,
    "CanWrite": false,
    "MaskStrategy": "plain",
    "SemanticTypeIri": "urn:effortless:pko-extension#FieldGrant",
    "Name": "principal-process-steward -&gt; AgentDecisionRecords.OverrideReasonKind",
    "FieldTable": "AgentDecisionRecords",
    "FieldName": "OverrideReasonKind",
    "FieldIsDerived": false,
    "IsWritableDerivedField": false,
    "IsMasked": false,
    "GrantKeyWhenReadable": "principal-process-steward|AgentDecisionRecords"
   },
   {
    "FieldGrantId": "fg-process-steward-AgentDecisionRecords.IsErrorCorrection",
    "Principal": "principal-process-steward",
    "TargetField": "AgentDecisionRecords.IsErrorCorrection",
    "CanRead": true,
    "CanWrite": false,
    "MaskStrategy": "plain",
    "SemanticTypeIri": "urn:effortless:pko-extension#FieldGrant",
    "Name": "principal-process-steward -&gt; AgentDecisionRecords.IsErrorCorrection",
    "FieldTable": "AgentDecisionRecords",
    "FieldName": "IsErrorCorrection",
    "FieldIsDerived": true,
    "IsWritableDerivedField": false,
    "IsMasked": false,
    "GrantKeyWhenReadable": "principal-process-steward|AgentDecisionRecords"
   },
   {
    "FieldGrantId": "fg-process-steward-AgentDecisionRecords.IsReservedJudgmentOverride",
    "Principal": "principal-process-steward",
    "TargetField": "AgentDecisionRecords.IsReservedJudgmentOverride",
    "CanRead": true,
    "CanWrite": false,
    "MaskStrategy": "plain",
    "SemanticTypeIri": "urn:effortless:pko-extension#FieldGrant",
    "Name": "principal-process-steward -&gt; AgentDecisionRecords.IsReservedJudgmentOverride",
    "FieldTable": "AgentDecisionRecords",
    "FieldName": "IsReservedJudgmentOverride",
    "FieldIsDerived": true,
    "IsWritableDerivedField": false,
    "IsMasked": false,
    "GrantKeyWhenReadable": "principal-process-steward|AgentDecisionRecords"
   },
   {
    "FieldGrantId": "fg-process-steward-AgentDecisionRecords.OverrideReasonIsRecorded",
    "Principal": "principal-process-steward",
    "TargetField": "AgentDecisionRecords.OverrideReasonIsRecorded",
    "CanRead": true,
    "CanWrite": false,
    "MaskStrategy": "plain",
    "SemanticTypeIri": "urn:effortless:pko-extension#FieldGrant",
    "Name": "principal-process-steward -&gt; AgentDecisionRecords.OverrideReasonIsRecorded",
    "FieldTable": "AgentDecisionRecords",
    "FieldName": "OverrideReasonIsRecorded",
    "FieldIsDerived": true,
    "IsWritableDerivedField": false,
    "IsMasked": false,
    "GrantKeyWhenReadable": "principal-process-steward|AgentDecisionRecords"
   },
   {
    "FieldGrantId": "fg-process-steward-AgentDecisionRecords.IsUnexplainedOverride",
    "Principal": "principal-process-steward",
    "TargetField": "AgentDecisionRecords.IsUnexplainedOverride",
    "CanRead": true,
    "CanWrite": false,
    "MaskStrategy": "plain",
    "SemanticTypeIri": "urn:effortless:pko-extension#FieldGrant",
    "Name": "principal-process-steward -&gt; AgentDecisionRecords.IsUnexplainedOverride",
    "FieldTable": "AgentDecisionRecords",
    "FieldName": "IsUnexplainedOverride",
    "FieldIsDerived": true,
    "IsWritableDerivedField": false,
    "IsMasked": false,
    "GrantKeyWhenReadable": "principal-process-steward|AgentDecisionRecords"
   },
   {
    "FieldGrantId": "fg-process-steward-AgentDecisionRecords.ErrorCorrectionRoleAssignmentKey",
    "Principal": "principal-process-steward",
    "TargetField": "AgentDecisionRecords.ErrorCorrectionRoleAssignmentKey",
    "CanRead": true,
    "CanWrite": false,
    "MaskStrategy": "plain",
    "SemanticTypeIri": "urn:effortless:pko-extension#FieldGrant",
    "Name": "principal-process-steward -&gt; AgentDecisionRecords.ErrorCorrectionRoleAssignmentKey",
    "FieldTable": "AgentDecisionRecords",
    "FieldName": "ErrorCorrectionRoleAssignmentKey",
    "FieldIsDerived": true,
    "IsWritableDerivedField": false,
    "IsMasked": false,
    "GrantKeyWhenReadable": "principal-process-steward|AgentDecisionRecords"
   },
   {
    "FieldGrantId": "fg-process-steward-AgentDecisionRecords.BoundaryViolationRoleAssignmentKey",
    "Principal": "principal-process-steward",
    "TargetField": "AgentDecisionRecords.BoundaryViolationRoleAssignmentKey",
    "CanRead": true,
    "CanWrite": false,
    "MaskStrategy": "plain",
    "SemanticTypeIri": "urn:effortless:pko-extension#FieldGrant",
    "Name": "principal-process-steward -&gt; AgentDecisionRecords.BoundaryViolationRoleAssignmentKey",
    "FieldTable": "AgentDecisionRecords",
    "FieldName": "BoundaryViolationRoleAssignmentKey",
    "FieldIsDerived": true,
    "IsWritableDerivedField": false,
    "IsMasked": false,
    "GrantKeyWhenReadable": "principal-process-steward|AgentDecisionRecords"
   },
   {
    "FieldGrantId": "fg-process-steward-AgentDecisionRecords.SemanticTypeIri",
    "Principal": "principal-process-steward",
    "TargetField": "AgentDecisionRecords.SemanticTypeIri",
    "CanRead": true,
    "CanWrite": false,
    "MaskStrategy": "plain",
    "SemanticTypeIri": "urn:effortless:pko-extension#FieldGrant",
    "Name": "principal-process-steward -&gt; AgentDecisionRecords.SemanticTypeIri",
    "FieldTable": "AgentDecisionRecords",
    "FieldName": "SemanticTypeIri",
    "FieldIsDerived": false,
    "IsWritableDerivedField": false,
    "IsMasked": false,
    "GrantKeyWhenReadable": "principal-process-steward|AgentDecisionRecords"
   },
   {
    "FieldGrantId": "fg-process-steward-Agents.AgentId",
    "Principal": "principal-process-steward",
    "TargetField": "Agents.AgentId",
    "CanRead": true,
    "CanWrite": false,
    "MaskStrategy": "plain",
    "SemanticTypeIri": "urn:effortless:pko-extension#FieldGrant",
    "Name": "principal-process-steward -&gt; Agents.AgentId",
    "FieldTable": "Agents",
    "FieldName": "AgentId",
    "FieldIsDerived": false,
    "IsWritableDerivedField": false,
    "IsMasked": false,
    "GrantKeyWhenReadable": "principal-process-steward|Agents"
   },
   {
    "FieldGrantId": "fg-process-steward-Agents.Name",
    "Principal": "principal-process-steward",
    "TargetField": "Agents.Name",
    "CanRead": true,
    "CanWrite": false,
    "MaskStrategy": "plain",
    "SemanticTypeIri": "urn:effortless:pko-extension#FieldGrant",
    "Name": "principal-process-steward -&gt; Agents.Name",
    "FieldTable": "Agents",
    "FieldName": "Name",
    "FieldIsDerived": true,
    "IsWritableDerivedField": false,
    "IsMasked": false,
    "GrantKeyWhenReadable": "principal-process-steward|Agents"
   },
   {
    "FieldGrantId": "fg-process-steward-Agents.DisplayName",
    "Principal": "principal-process-steward",
    "TargetField": "Agents.DisplayName",
    "CanRead": true,
    "CanWrite": false,
    "MaskStrategy": "plain",
    "SemanticTypeIri": "urn:effortless:pko-extension#FieldGrant",
    "Name": "principal-process-steward -&gt; Agents.DisplayName",
    "FieldTable": "Agents",
    "FieldName": "DisplayName",
    "FieldIsDerived": false,
    "IsWritableDerivedField": false,
    "IsMasked": false,
    "GrantKeyWhenReadable": "principal-process-steward|Agents"
   },
   {
    "FieldGrantId": "fg-process-steward-Agents.AgentKind",
    "Principal": "principal-process-steward",
    "TargetField": "Agents.AgentKind",
    "CanRead": true,
    "CanWrite": false,
    "MaskStrategy": "plain",
    "SemanticTypeIri": "urn:effortless:pko-extension#FieldGrant",
    "Name": "principal-process-steward -&gt; Agents.AgentKind",
    "FieldTable": "Agents",
    "FieldName": "AgentKind",
    "FieldIsDerived": false,
    "IsWritableDerivedField": false,
    "IsMasked": false,
    "GrantKeyWhenReadable": "principal-process-steward|Agents"
   },
   {
    "FieldGrantId": "fg-process-steward-Agents.Organization",
    "Principal": "principal-process-steward",
    "TargetField": "Agents.Organization",
    "CanRead": true,
    "CanWrite": false,
    "MaskStrategy": "plain",
    "SemanticTypeIri": "urn:effortless:pko-extension#FieldGrant",
    "Name": "principal-process-steward -&gt; Agents.Organization",
    "FieldTable": "Agents",
    "FieldName": "Organization",
    "FieldIsDerived": false,
    "IsWritableDerivedField": false,
    "IsMasked": false,
    "GrantKeyWhenReadable": "principal-process-steward|Agents"
   },
   {
    "FieldGrantId": "fg-process-steward-Agents.ContactAddress",
    "Principal": "principal-process-steward",
    "TargetField": "Agents.ContactAddress",
    "CanRead": true,
    "CanWrite": false,
    "MaskStrategy": "plain",
    "SemanticTypeIri": "urn:effortless:pko-extension#FieldGrant",
    "Name": "principal-process-steward -&gt; Agents.ContactAddress",
    "FieldTable": "Agents",
    "FieldName": "ContactAddress",
    "FieldIsDerived": false,
    "IsWritableDerivedField": false,
    "IsMasked": false,
    "GrantKeyWhenReadable": "principal-process-steward|Agents"
   },
   {
    "FieldGrantId": "fg-process-steward-Agents.VersionOrEmploymentKey",
    "Principal": "principal-process-steward",
    "TargetField": "Agents.VersionOrEmploymentKey",
    "CanRead": true,
    "CanWrite": false,
    "MaskStrategy": "plain",
    "SemanticTypeIri": "urn:effortless:pko-extension#FieldGrant",
    "Name": "principal-process-steward -&gt; Agents.VersionOrEmploymentKey",
    "FieldTable": "Agents",
    "FieldName": "VersionOrEmploymentKey",
    "FieldIsDerived": false,
    "IsWritableDerivedField": false,
    "IsMasked": false,
    "GrantKeyWhenReadable": "principal-process-steward|Agents"
   },
   {
    "FieldGrantId": "fg-process-steward-Agents.CountOfCurrentRoleAssignments",
    "Principal": "principal-process-steward",
    "TargetField": "Agents.CountOfCurrentRoleAssignments",
    "CanRead": true,
    "CanWrite": false,
    "MaskStrategy": "plain",
    "SemanticTypeIri": "urn:effortless:pko-extension#FieldGrant",
    "Name": "principal-process-steward -&gt; Agents.CountOfCurrentRoleAssignments",
    "FieldTable": "Agents",
    "FieldName": "CountOfCurrentRoleAssignments",
    "FieldIsDerived": true,
    "IsWritableDerivedField": false,
    "IsMasked": false,
    "GrantKeyWhenReadab</t>
  </si>
  <si>
    <t xml:space="preserve">le": "principal-process-steward|Agents"
   },
   {
    "FieldGrantId": "fg-process-steward-Agents.IsStillEngaged",
    "Principal": "principal-process-steward",
    "TargetField": "Agents.IsStillEngaged",
    "CanRead": true,
    "CanWrite": false,
    "MaskStrategy": "plain",
    "SemanticTypeIri": "urn:effortless:pko-extension#FieldGrant",
    "Name": "principal-process-steward -&gt; Agents.IsStillEngaged",
    "FieldTable": "Agents",
    "FieldName": "IsStillEngaged",
    "FieldIsDerived": true,
    "IsWritableDerivedField": false,
    "IsMasked": false,
    "GrantKeyWhenReadable": "principal-process-steward|Agents"
   },
   {
    "FieldGrantId": "fg-process-steward-Agents.DecisionCount",
    "Principal": "principal-process-steward",
    "TargetField": "Agents.DecisionCount",
    "CanRead": true,
    "CanWrite": false,
    "MaskStrategy": "plain",
    "SemanticTypeIri": "urn:effortless:pko-extension#FieldGrant",
    "Name": "principal-process-steward -&gt; Agents.DecisionCount",
    "FieldTable": "Agents",
    "FieldName": "DecisionCount",
    "FieldIsDerived": true,
    "IsWritableDerivedField": false,
    "IsMasked": false,
    "GrantKeyWhenReadable": "principal-process-steward|Agents"
   },
   {
    "FieldGrantId": "fg-process-steward-Agents.OverriddenDecisionCount",
    "Principal": "principal-process-steward",
    "TargetField": "Agents.OverriddenDecisionCount",
    "CanRead": true,
    "CanWrite": false,
    "MaskStrategy": "plain",
    "SemanticTypeIri": "urn:effortless:pko-extension#FieldGrant",
    "Name": "principal-process-steward -&gt; Agents.OverriddenDecisionCount",
    "FieldTable": "Agents",
    "FieldName": "OverriddenDecisionCount",
    "FieldIsDerived": true,
    "IsWritableDerivedField": false,
    "IsMasked": false,
    "GrantKeyWhenReadable": "principal-process-steward|Agents"
   },
   {
    "FieldGrantId": "fg-process-steward-Agents.OverrideRatePercent",
    "Principal": "principal-process-steward",
    "TargetField": "Agents.OverrideRatePercent",
    "CanRead": true,
    "CanWrite": false,
    "MaskStrategy": "plain",
    "SemanticTypeIri": "urn:effortless:pko-extension#FieldGrant",
    "Name": "principal-process-steward -&gt; Agents.OverrideRatePercent",
    "FieldTable": "Agents",
    "FieldName": "OverrideRatePercent",
    "FieldIsDerived": true,
    "IsWritableDerivedField": false,
    "IsMasked": false,
    "GrantKeyWhenReadable": "principal-process-steward|Agents"
   },
   {
    "FieldGrantId": "fg-process-steward-Agents.IsNonHuman",
    "Principal": "principal-process-steward",
    "TargetField": "Agents.IsNonHuman",
    "CanRead": true,
    "CanWrite": false,
    "MaskStrategy": "plain",
    "SemanticTypeIri": "urn:effortless:pko-extension#FieldGrant",
    "Name": "principal-process-steward -&gt; Agents.IsNonHuman",
    "FieldTable": "Agents",
    "FieldName": "IsNonHuman",
    "FieldIsDerived": true,
    "IsWritableDerivedField": false,
    "IsMasked": false,
    "GrantKeyWhenReadable": "principal-process-steward|Agents"
   },
   {
    "FieldGrantId": "fg-process-steward-Agents.BoundaryViolationCount",
    "Principal": "principal-process-steward",
    "TargetField": "Agents.BoundaryViolationCount",
    "CanRead": true,
    "CanWrite": false,
    "MaskStrategy": "plain",
    "SemanticTypeIri": "urn:effortless:pko-extension#FieldGrant",
    "Name": "principal-process-steward -&gt; Agents.BoundaryViolationCount",
    "FieldTable": "Agents",
    "FieldName": "BoundaryViolationCount",
    "FieldIsDerived": true,
    "IsWritableDerivedField": false,
    "IsMasked": false,
    "GrantKeyWhenReadable": "principal-process-steward|Agents"
   },
   {
    "FieldGrantId": "fg-process-steward-Agents.IsOperatingOutsideBoundary",
    "Principal": "principal-process-steward",
    "TargetField": "Agents.IsOperatingOutsideBoundary",
    "CanRead": true,
    "CanWrite": false,
    "MaskStrategy": "plain",
    "SemanticTypeIri": "urn:effortless:pko-extension#FieldGrant",
    "Name": "principal-process-steward -&gt; Agents.IsOperatingOutsideBoundary",
    "FieldTable": "Agents",
    "FieldName": "IsOperatingOutsideBoundary",
    "FieldIsDerived": true,
    "IsWritableDerivedField": false,
    "IsMasked": false,
    "GrantKeyWhenReadable": "principal-process-steward|Agents"
   },
   {
    "FieldGrantId": "fg-process-steward-Agents.DraftDecisionCount",
    "Principal": "principal-process-steward",
    "TargetField": "Agents.DraftDecisionCount",
    "CanRead": true,
    "CanWrite": false,
    "MaskStrategy": "plain",
    "SemanticTypeIri": "urn:effortless:pko-extension#FieldGrant",
    "Name": "principal-process-steward -&gt; Agents.DraftDecisionCount",
    "FieldTable": "Agents",
    "FieldName": "DraftDecisionCount",
    "FieldIsDerived": true,
    "IsWritableDerivedField": false,
    "IsMasked": false,
    "GrantKeyWhenReadable": "principal-process-steward|Agents"
   },
   {
    "FieldGrantId": "fg-process-steward-Agents.OverriddenDraftCount",
    "Principal": "principal-process-steward",
    "TargetField": "Agents.OverriddenDraftCount",
    "CanRead": true,
    "CanWrite": false,
    "MaskStrategy": "plain",
    "SemanticTypeIri": "urn:effortless:pko-extension#FieldGrant",
    "Name": "principal-process-steward -&gt; Agents.OverriddenDraftCount",
    "FieldTable": "Agents",
    "FieldName": "OverriddenDraftCount",
    "FieldIsDerived": true,
    "IsWritableDerivedField": false,
    "IsMasked": false,
    "GrantKeyWhenReadable": "principal-process-steward|Agents"
   },
   {
    "FieldGrantId": "fg-process-steward-Agents.DraftRewriteRatePercent",
    "Principal": "principal-process-steward",
    "TargetField": "Agents.DraftRewriteRatePercent",
    "CanRead": true,
    "CanWrite": false,
    "MaskStrategy": "plain",
    "SemanticTypeIri": "urn:effortless:pko-extension#FieldGrant",
    "Name": "principal-process-steward -&gt; Agents.DraftRewriteRatePercent",
    "FieldTable": "Agents",
    "FieldName": "DraftRewriteRatePercent",
    "FieldIsDerived": true,
    "IsWritableDerivedField": false,
    "IsMasked": false,
    "GrantKeyWhenReadable": "principal-process-steward|Agents"
   },
   {
    "FieldGrantId": "fg-process-steward-Agents.SemanticTypeIri",
    "Principal": "principal-process-steward",
    "TargetField": "Agents.SemanticTypeIri",
    "CanRead": true,
    "CanWrite": false,
    "MaskStrategy": "plain",
    "SemanticTypeIri": "urn:effortless:pko-extension#FieldGrant",
    "Name": "principal-process-steward -&gt; Agents.SemanticTypeIri",
    "FieldTable": "Agents",
    "FieldName": "SemanticTypeIri",
    "FieldIsDerived": false,
    "IsWritableDerivedField": false,
    "IsMasked": false,
    "GrantKeyWhenReadable": "principal-process-steward|Agents"
   },
   {
    "FieldGrantId": "fg-process-steward-AppNavGroups.AppNavGroupId",
    "Principal": "principal-process-steward",
    "TargetField": "AppNavGroups.AppNavGroupId",
    "CanRead": true,
    "CanWrite": false,
    "MaskStrategy": "plain",
    "SemanticTypeIri": "urn:effortless:pko-extension#FieldGrant",
    "Name": "principal-process-steward -&gt; AppNavGroups.AppNavGroupId",
    "FieldTable": "AppNavGroups",
    "FieldName": "AppNavGroupId",
    "FieldIsDerived": false,
    "IsWritableDerivedField": false,
    "IsMasked": false,
    "GrantKeyWhenReadable": "principal-process-steward|AppNavGroups"
   },
   {
    "FieldGrantId": "fg-process-steward-AppNavGroups.Name",
    "Principal": "principal-process-steward",
    "TargetField": "AppNavGroups.Name",
    "CanRead": true,
    "CanWrite": false,
    "MaskStrategy": "plain",
    "SemanticTypeIri": "urn:effortless:pko-extension#FieldGrant",
    "Name": "principal-process-steward -&gt; AppNavGroups.Name",
    "FieldTable": "AppNavGroups",
    "FieldName": "Name",
    "FieldIsDerived": true,
    "IsWritableDerivedField": false,
    "IsMasked": false,
    "GrantKeyWhenReadable": "principal-process-steward|AppNavGroups"
   },
   {
    "FieldGrantId": "fg-process-steward-AppNavGroups.GroupLabel",
    "Principal": "principal-process-steward",
    "TargetField": "AppNavGroups.GroupLabel",
    "CanRead": true,
    "CanWrite": false,
    "MaskStrategy": "plain",
    "SemanticTypeIri": "urn:effortless:pko-extension#FieldGrant",
    "Name": "principal-process-steward -&gt; AppNavGroups.GroupLabel",
    "FieldTable": "AppNavGroups",
    "FieldName": "GroupLabel",
    "FieldIsDerived": false,
    "IsWritableDerivedField": false,
    "IsMasked": false,
    "GrantKeyWhenReadable": "principal-process-steward|AppNavGroups"
   },
   {
    "FieldGrantId": "fg-process-steward-AppNavGroups.RouteCount",
    "Principal": "principal-process-steward",
    "TargetField": "AppNavGroups.RouteCount",
    "CanRead": true,
    "CanWrite": false,
    "MaskStrategy": "plain",
    "SemanticTypeIri": "urn:effortless:pko-extension#FieldGrant",
    "Name": "principal-process-steward -&gt; AppNavGroups.RouteCount",
    "FieldTable": "AppNavGroups",
    "FieldName": "RouteCount",
    "FieldIsDerived": true,
    "IsWritableDerivedField": false,
    "IsMasked": false,
    "GrantKeyWhenReadable": "principal-process-steward|AppNavGroups"
   },
   {
    "FieldGrantId": "fg-process-steward-AppNavGroups.SemanticTypeIri",
    "Principal": "principal-process-steward",
    "TargetField": "AppNavGroups.SemanticTypeIri",
    "CanRead": true,
    "CanWrite": false,
    "MaskStrategy": "plain",
    "SemanticTypeIri": "urn:effortless:pko-extension#FieldGrant",
    "Name": "principal-process-steward -&gt; AppNavGroups.SemanticTypeIri",
    "FieldTable": "AppNavGroups",
    "FieldName": "SemanticTypeIri",
    "FieldIsDerived": false,
    "IsWritableDerivedField": false,
    "IsMasked": false,
    "GrantKeyWhenReadable": "principal-process-steward|AppNavGroups"
   },
   {
    "FieldGrantId": "fg-process-steward-AppRoleProfiles.AppRoleProfileId",
    "Principal": "principal-process-steward",
    "TargetField": "AppRoleProfiles.AppRoleProfileId",
    "CanRead": true,
    "CanWrite": false,
    "MaskStrategy": "plain",
    "SemanticTypeIri": "urn:effortless:pko-extension#FieldGrant",
    "Name": "principal-process-steward -&gt; AppRoleProfiles.AppRoleProfileId",
    "FieldTable": "AppRoleProfiles",
    "FieldName": "AppRoleProfileId",
    "FieldIsDerived": false,
    "IsWritableDerivedField": false,
    "IsMasked": false,
    "GrantKeyWhenReadable": "principal-process-steward|AppRoleProfiles"
   },
   {
    "FieldGrantId": "fg-process-steward-AppRoleProfiles.Name",
    "Principal": "principal-process-steward",
    "TargetField": "AppRoleProfiles.Name",
    "CanRead": true,
    "CanWrite": false,
    "MaskStrategy": "plain",
    "SemanticTypeIri": "urn:effortless:pko-extension#FieldGrant",
    "Name": "principal-process-steward -&gt; AppRoleProfiles.Name",
    "FieldTable": "AppRoleProfiles",
    "FieldName": "Name",
    "FieldIsDerived": true,
    "IsWritableDerivedField": false,
    "IsMasked": false,
    "GrantKeyWhenReadable": "principal-process-steward|AppRoleProfiles"
   },
   {
    "FieldGrantId": "fg-process-steward-AppRoleProfiles.Role",
    "Principal": "principal-process-steward",
    "TargetField": "AppRoleProfiles.Role",
    "CanRead": true,
    "CanWrite": false,
    "MaskStrategy": "plain",
    "SemanticTypeIri": "urn:effortless:pko-extension#FieldGrant",
    "Name": "principal-process-steward -&gt; AppRoleProfiles.Role",
    "FieldTable": "AppRoleProfiles",
    "FieldName": "Role",
    "FieldIsDerived": false,
    "IsWritableDerivedField": false,
    "IsMasked": false,
    "GrantKeyWhenReadable": "principal-process-steward|AppRoleProfiles"
   },
   {
    "FieldGrantId": "fg-process-steward-AppRoleProfiles.DisplayLabel",
    "Principal": "principal-process-steward",
    "TargetField": "AppRoleProfiles.DisplayLabel",
    "CanRead": true,
    "CanWrite": false,
    "MaskStrategy": "plain",
    "SemanticTypeIri": "urn:effortless:pko-extension#FieldGrant",
    "Name": "principal-process-steward -&gt; AppRoleProfiles.DisplayLabel",
    "FieldTable": "AppRoleProfiles",
    "FieldName": "DisplayLabel",
    "FieldIsDerived": false,
    "IsWritableDerivedField": false,
    "IsMasked": false,
    "GrantKeyWhenReadable": "principal-process-steward|AppRoleProfiles"
   },
   {
    "FieldGrantId": "fg-process-steward-AppRoleProfiles.RoleKind",
    "Principal": "principal-process-steward",
    "TargetField": "AppRoleProfiles.RoleKind",
    "CanRead": true,
    "CanWrite": false,
    "MaskStrategy": "plain",
    "SemanticTypeIri": "urn:effortless:pko-extension#FieldGrant",
    "Name": "principal-process-steward -&gt; AppRoleProfiles.RoleKind",
    "FieldTable": "AppRoleProfiles",
    "FieldName": "RoleKind",
    "FieldIsDerived": false,
    "IsWritableDerivedField": false,
    "IsMasked": false,
    "GrantKeyWhenReadable": "principal-process-steward|AppRoleProfiles"
   },
   {
    "FieldGrantId": "fg-process-steward-AppRoleProfiles.AccentColor",
    "Principal": "principal-process-steward",
    "TargetField": "AppRoleProfiles.AccentColor",
    "CanRead": true,
    "CanWrite": false,
    "MaskStrategy": "plain",
    "SemanticTypeIri": "urn:effortless:pko-extension#FieldGrant",
    "Name": "principal-process-steward -&gt; AppRoleProfiles.AccentColor",
    "FieldTable": "AppRoleProfiles",
    "FieldName": "AccentColor",
    "FieldIsDerived": false,
    "IsWritableDerivedField": false,
    "IsMasked": false,
    "GrantKeyWhenReadable": "principal-process-steward|AppRoleProfiles"
   },
   {
    "FieldGrantId": "fg-process-steward-AppRoleProfiles.IconMark",
    "Principal": "principal-process-steward",
    "TargetField": "AppRoleProfiles.IconMark",
    "CanRead": true,
    "CanWrite": false,
    "MaskStrategy": "plain",
    "SemanticTypeIri": "urn:effortless:pko-extension#FieldGrant",
    "Name": "principal-process-steward -&gt; AppRoleProfiles.IconMark",
    "FieldTable": "AppRoleProfiles",
    "FieldName": "IconMark",
    "FieldIsDerived": false,
    "IsWritableDerivedField": false,
    "IsMasked": false,
    "GrantKeyWhenReadable": "principal-process-steward|AppRoleProfiles"
   },
   {
    "FieldGrantId": "fg-process-steward-AppRoleProfiles.IconPngBase64",
    "Principal": "principal-process-steward",
    "TargetField": "AppRoleProfiles.IconPngBase64",
    "CanRead": true,
    "CanWrite": false,
    "MaskStrategy": "plain",
    "SemanticTypeIri": "urn:effortless:pko-extension#FieldGrant",
    "Name": "principal-process-steward -&gt; AppRoleProfiles.IconPngBase64",
    "FieldTable": "AppRoleProfiles",
    "FieldName": "IconPngBase64",
    "FieldIsDerived": false,
    "IsWritableDerivedField": false,
    "IsMasked": false,
    "GrantKeyWhenReadable": "principal-process-steward|AppRoleProfiles"
   },
   {
    "FieldGrantId": "fg-process-steward-AppRoleProfiles.Pitch",
    "Principal": "principal-process-steward",
    "TargetField": "AppRoleProfiles.Pitch",
    "CanRead": true,
    "CanWrite": false,
    "MaskStrategy": "plain",
    "SemanticTypeIri": "urn:effortless:pko-extension#FieldGrant",
    "Name": "principal-process-steward -&gt; AppRoleProfiles.Pitch",
    "FieldTable": "AppRoleProfiles",
    "FieldName": "Pitch",
    "FieldIsDerived": false,
    "IsWritableDerivedField": false,
    "IsMasked": false,
    "GrantKeyWhenReadable": "principal-process-steward|AppRoleProfiles"
   },
   {
    "FieldGrantId": "fg-process-steward-AppRoleProfiles.SortOrder",
    "Principal": "principal-process-steward",
    "TargetField": "AppRoleProfiles.SortOrder",
    "CanRead": true,
    "CanWrite": false,
    "MaskStrategy": "plain",
    "SemanticTypeIri": "urn:effortless:pko-extension#FieldGrant",
    "Name": "principal-process-steward -&gt; AppRoleProfiles.SortOrder",
    "FieldTable": "AppRoleProfiles",
    "FieldName": "SortOrder",
    "FieldIsDerived": false,
    "IsWritableDerivedField": false,
    "IsMasked": false,
    "GrantKeyWhenReadable": "principal-process-steward|AppRoleProfiles"
   },
   {
    "FieldGrantId": "fg-process-steward-AppRoleProfiles.RouteCount",
    "Principal": "principal-process-steward",
    "TargetField": "AppRoleProfiles.RouteCount",
    "CanRead": true,
    "CanWrite": false,
    "MaskStrategy": "plain",
    "SemanticTypeIri": "urn:effortless:pko-extension#FieldGrant",
    "Name": "principal-process-steward -&gt; AppRoleProfiles.RouteCount",
    "FieldTable": "AppRoleProfiles",
    "FieldName": "RouteCount",
    "FieldIsDerived": true,
    "IsWritableDerivedField": false,
    "IsMasked": false,
    "GrantKeyWhenReadable": "principal-process-steward|AppRoleProfiles"
   },
   {
    "FieldGrantId": "fg-process-steward-AppRoleProfiles.SemanticTypeIri",
    "Principal": "principal-process-steward",
    "TargetField": "AppRoleProfiles.SemanticTypeIri",
    "CanRead": true,
    "CanWrite": false,
    "MaskStrategy": "plain",
    "SemanticTypeIri": "urn:effortless:pko-extension#FieldGrant",
    "Name": "principal-process-steward -&gt; AppRoleProfiles.SemanticTypeIri",
    "FieldTable": "AppRoleProfiles",
    "FieldName": "SemanticTypeIri",
    "FieldIsDerived": false,
    "IsWritableDerivedField": false,
    "IsMasked": false,
    "GrantKeyWhenReadable": "principal-process-steward|AppRoleProfiles"
   },
   {
    "FieldGrantId": "fg-process-steward-AppRouteQuestions.AppRouteQuestionId",
    "Principal": "principal-process-steward",
    "TargetField": "AppRouteQuestions.AppRouteQuestionId",
    "CanRead": true,
    "CanWrite": false,
    "MaskStrategy": "plain",
    "SemanticTypeIri": "urn:effortless:pko-extension#FieldGrant",
    "Name": "principal-process-steward -&gt; AppRouteQuestions.AppRouteQuestionId",
    "FieldTable": "AppRouteQuestions",
    "FieldName": "AppRouteQuestionId",
    "FieldIsDerived": false,
    "IsWritableDerivedField": false,
    "IsMasked": false,
    "GrantKeyWhenReadable": "principal-process-steward|AppRouteQuestions"
   },
   {
    "FieldGrantId": "fg-process-steward-AppRouteQuestions.Name",
    "Principal": "principal-process-steward",
    "TargetField": "AppRouteQuestions.Name",
    "CanRead": true,
    "CanWrite": false,
    "MaskStrategy": "plain",
    "SemanticTypeIri": "urn:effortless:pko-extension#FieldGrant",
    "Name": "principal-process-steward -&gt; AppRouteQuestions.Name",
    "FieldTable": "AppRouteQuestions",
    "FieldName": "Name",
    "FieldIsDerived": true,
    "IsWritableDerivedField": false,
    "IsMasked": false,
    "GrantKeyWhenReadable": "principal-process-steward|AppRouteQuestions"
   },
   {
    "FieldGrantId": "fg-process-steward-AppRouteQuestions.Route",
    "Principal": "principal-process-steward",
    "TargetField": "AppRouteQuestions.Route",
    "CanRead": true,
    "CanWrite": false,
    "MaskStrategy": "plain",
    "SemanticTypeIri": "urn:effortless:pko-extension#FieldGrant",
    "Name": "principal-process-steward -&gt; AppRouteQuestions.Route",
    "FieldTable": "AppRouteQuestions",
    "FieldName": "Route",
    "FieldIsDerived": false,
    "IsWritableDerivedField": false,
    "IsMasked": false,
    "GrantKeyWhenReadable": "principal-process-steward|AppRouteQuestions"
   },
   {
    "FieldGrantId": "fg-process-steward-AppRouteQuestions.Question",
    "Principal": "principal-process-steward",
    "TargetField": "AppRouteQuestions.Question",
    "CanRead": true,
    "CanWrite": false,
    "MaskStrategy": "plain",
    "SemanticTypeIri": "urn:effortless:pko-extension#FieldGrant",
    "Name": "principal-process-steward -&gt; AppRouteQuestions.Question",
    "FieldTable": "AppRouteQuestions",
    "FieldName": "Question",
    "FieldIsDerived": false,
    "IsWritableDerivedField": false,
    "IsMasked": false,
    "GrantKeyWhenReadable": "principal-process-steward|AppRouteQuestions"
   },
   {
    "FieldGrantId": "fg-process-steward-AppRouteQuestions.SemanticTypeIri",
    "Principal": "principal-process-steward",
    "TargetField": "AppRouteQuestions.SemanticTypeIri",
    "CanRead": true,
    "CanWrite": false,
    "MaskStrategy": "plain",
    "SemanticTypeIri": "urn:effortless:pko-extension#FieldGrant",
    "Name": "principal-process-steward -&gt; AppRouteQuestions.SemanticTypeIri",
    "FieldTable": "AppRouteQuestions",
    "FieldName": "SemanticTypeIri",
    "FieldIsDerived": false,
    "IsWritableDerivedField": false,
    "IsMasked": false,
    "GrantKeyWhenReadable": "principal-process-steward|AppRouteQuestions"
   },
   {
    "FieldGrantId": "fg-process-steward-AppRouteReferences.AppRouteReferenceId",
    "Principal": "principal-process-steward",
    "TargetField": "AppRouteReferences.AppRouteReferenceId",
    "CanRead": true,
    "CanWrite": false,
    "MaskStrategy": "plain",
    "SemanticTypeIri": "urn:effortless:pko-extension#FieldGrant",
    "Name": "principal-process-steward -&gt; AppRouteReferences.AppRouteReferenceId",
    "FieldTable": "AppRouteReferences",
    "FieldName": "AppRouteReferenceId",
    "FieldIsDerived": false,
    "IsWritableDerivedField": false,
    "IsMasked": false,
    "GrantKeyWhenReadable": "principal-process-steward|AppRouteReferences"
   },
   {
    "FieldGrantId": "fg-process-steward-AppRouteReferences.Name",
    "Principal": "principal-process-steward",
    "TargetField": "AppRouteReferences.Name",
    "CanRead": true,
    "CanWrite": false,
    "MaskStrategy": "plain",
    "SemanticTypeIri": "urn:effortless:pko-extension#FieldGrant",
    "Name": "principal-process-steward -&gt; AppRouteReferences.Name",
    "FieldTable": "AppRouteReferences",
    "FieldName": "Name",
    "FieldIsDerived": true,
    "IsWritableDerivedField": false,
    "IsMasked": false,
    "GrantKeyWhenReadable": "principal-process-steward|AppRouteReferences"
   },
   {
    "FieldGrantId": "fg-process-steward-AppRouteReferences.FromRoute",
    "Principal": "principal-process-steward",
    "TargetField": "AppRouteReferences.FromRoute",
    "CanRead": true,
    "CanWrite": false,
    "MaskStrategy": "plain",
    "SemanticTypeIri": "urn:effortless:pko-extension#FieldGrant",
    "Name": "principal-process-steward -&gt; AppRouteReferences.FromRoute",
    "FieldTable": "AppRouteReferences",
    "FieldName": "FromRoute",
    "FieldIsDerived": false,
    "IsWritableDerivedField": false,
    "IsMasked": false,
    "GrantKeyWhenReadable": "principal-process-steward|AppRouteReferences"
   },
   {
    "FieldGrantId": "fg-process-steward-AppRouteReferences.ToRoute",
    "Principal": "principal-process-steward",
    "TargetField": "AppRouteReferences.ToRoute",
    "CanRead": true,
    "CanWrite": false,
    "MaskStrategy": "plain",
    "SemanticTypeIri": "urn:effortless:pko-extension#FieldGrant",
    "Name": "principal-process-steward -&gt; AppRouteReferences.ToRoute",
    "FieldTable": "AppRouteReferences",
    "FieldName": "ToRoute",
    "FieldIsDerived": false,
    "IsWritableDerivedField": false,
    "IsMasked": false,
    "GrantKeyWhenReadable": "principal-process-steward|AppRouteReferences"
   },
   {
    "FieldGrantId": "fg-process-steward-AppRouteReferences.SemanticTypeIri",
    "Principal": "principal-process-steward",
    "TargetField": "AppRouteReferences.SemanticTypeIri",
    "CanRead": true,
    "CanWrite": false,
    "MaskStrategy": "plain",
    "SemanticTypeIri": "urn:effortless:pko-extension#FieldGrant",
    "Name": "principal-process-steward -&gt; AppRouteReferences.SemanticTypeIri",
    "FieldTable": "AppRouteReferences",
    "FieldName": "SemanticTypeIri",
    "FieldIsDerived": false,
    "IsWritableDerivedField": false,
    "IsMasked": false,
    "GrantKeyWhenReadable": "principal-process-steward|AppRouteReferences"
   },
   {
    "FieldGrantId": "fg-process-steward-AppRoutes.AppRouteId",
    "Principal": "principal-process-steward",
    "TargetField": "AppRoutes.AppRouteId",
    "CanRead": true,
    "CanWrite": false,
    "MaskStrategy": "plain",
    "SemanticTypeIri": "urn:effortless:pko-extension#FieldGrant",
    "Name": "principal-process-steward -&gt; AppRoutes.AppRouteId",
    "FieldTable": "AppRoutes",
    "FieldName": "AppRouteId",
    "FieldIsDerived": false,
    "IsWritableDerivedField": false,
    "IsMasked": false,
    "GrantKeyWhenReadable": "principal-process-steward|AppRoutes"
   },
   {
    "FieldGrantId": "fg-process-steward-AppRoutes.Name",
    "Principal": "principal-process-steward",
    "TargetField": "AppRoutes.Name",
    "CanRead": true,
    "CanWrite": false,
    "MaskStrategy": "plain",
    "SemanticTypeIri": "urn:effortless:pko-extension#FieldGrant",
    "Name": "principal-process-steward -&gt; AppRoutes.Name",
    "FieldTable": "AppRoutes",
    "FieldName": "Name",
    "FieldIsDerived": true,
    "IsWritableDerivedField": false,
    "IsMasked": false,
    "GrantKeyWhenReadable": "principal-process-steward|AppRoutes"
   },
   {
    "FieldGrantId": "fg-process-steward-AppRoutes.RoutePath",
    "Principal": "principal-process-steward",
    "TargetField": "AppRoutes.RoutePath",
    "CanRead": true,
    "CanWrite": false,
    "MaskStrategy": "plain",
    "SemanticTypeIri": "urn:effortless:pko-extension#FieldGrant",
    "Name": "principal-process-steward -&gt; AppRoutes.RoutePath",
    "FieldTable": "AppRoutes",
    "FieldName": "RoutePath",
    "FieldIsDerived": false,
    "IsWritableDerivedField": false,
    "IsMasked": false,
    "GrantKeyWhenReadable": "principal-process-steward|AppRoutes"
   },
   {
    "FieldGrantId": "fg-process-steward-AppRoutes.RouteName",
    "Principal": "principal-process-steward",
    "TargetField": "AppRoutes.RouteName",
    "CanRead": true,
    "CanWrite": false,
    "MaskStrategy": "plain",
    "SemanticTypeIri": "urn:effortless:pko-extension#FieldGrant",
    "Name": "principal-process-steward -&gt; AppRoutes.RouteName",
    "FieldTable": "AppRoutes",
    "FieldName": "RouteName",
    "FieldIsDerived": false,
    "IsWritableDerivedField": false,
    "IsMasked": false,
    "GrantKeyWhenReadable": "principal-process-steward|AppRoutes"
   },
   {
    "FieldGrantId": "fg-process-steward-AppRoutes.Surface",
    "Principal": "principal-process-steward",
    "TargetField": "AppRoutes.Surface",
    "CanRead": true,
    "CanWrite": false,
    "MaskStrategy": "plain",
    "SemanticTypeIri": "urn:effortless:pko-extension#FieldGrant",
    "Name": "principal-process-steward -&gt; AppRoutes.Surface",
    "FieldTable": "AppRoutes",
    "FieldName": "Surface",
    "FieldIsDerived": false,
    "IsWritableDerivedField": false,
    "IsMasked": false,
    "GrantKeyWhenReadable": "principal-process-steward|AppRoutes"
   },
   {
    "FieldGrantId": "fg-process-steward-AppRoutes.OwningRole",
    "Principal": "principal-process-steward",
    "TargetField": "AppRoutes.OwningRole",
    "CanRead": true,
    "CanWrite": false,
    "MaskStrategy": "plain",
    "SemanticTypeIri": "urn:effortless:pko-extension#FieldGrant",
    "Name": "principal-process-steward -&gt; AppRoutes.OwningRole",
    "FieldTable": "AppRoutes",
    "FieldName": "OwningRole",
    "FieldIsDerived": false,
    "IsWritableDerivedField": false,
    "IsMasked": false,
    "GrantKeyWhenReadable": "principal-process-steward|AppRoutes"
   },
   {
    "FieldGrantId": "fg-process-steward-AppRoutes.NavGroup",
    "Principal": "principal-process-steward",
    "TargetField": "AppRoutes.NavGroup",
    "CanRead": true,
    "CanWrite": false,
    "MaskStrategy": "plain",
    "SemanticTypeIri": "urn:effortless:pko-extension#FieldGrant",
    "Name": "principal-process-steward -&gt; AppRoutes.NavGroup",
    "FieldTable": "AppRoutes",
    "FieldName": "NavGroup",
    "FieldIsDerived": false,
    "IsWritableDerivedField": false,
    "IsMasked": false,
    "GrantKeyWhenReadable": "principal-process-steward|AppRoutes"
   },
   {
    "FieldGrantId": "fg-process-steward-AppRoutes.NavOrder",
    "Principal": "principal-process-steward",
    "TargetField": "AppRoutes.NavOrder",
    "CanRead": true,
    "CanWrite": false,
    "MaskStrategy": "plain",
    "SemanticTypeIri": "urn:effortless:pko-extension#FieldGrant",
    "Name": "principal-process-steward -&gt; AppRoutes.NavOrder",
    "FieldTable": "AppRoutes",
    "FieldName": "NavOrder",
    "FieldIsDerived": false,
    "IsWritableDerivedField": false,
    "IsMasked": false,
    "GrantKeyWhenReadable": "principal-process-steward|AppRoutes"
   },
   {
    "FieldGrantId": "fg-process-steward-AppRoutes.RouteKind",
    "Principal": "principal-process-steward",
    "TargetField": "AppRoutes.RouteKind",
    "CanRead": true,
    "CanWrite": false,
    "MaskStrategy": "plain",
    "SemanticTypeIri": "urn:effortless:pko-extension#FieldGrant",
    "Name": "principal-process-steward -&gt; AppRoutes.RouteKind",
    "FieldTable": "AppRoutes",
    "FieldName": "RouteKind",
    "FieldIsDerived": false,
    "IsWritableDerivedField": false,
    "IsMasked": false,
    "GrantKeyWhenReadable": "principal-process-steward|AppRoutes"
   },
   {
    "FieldGrantId": "fg-process-steward-AppRoutes.Purpose",
    "Principal": "principal-process-steward",
    "TargetField": "AppRoutes.Purpose",
    "CanRead": true,
    "CanWrite": false,
    "MaskStrategy": "plain",
    "SemanticTypeIri": "urn:effortless:pko-extension#FieldGrant",
    "Name": "principal-process-steward -&gt; AppRoutes.Purpose",
    "FieldTable": "AppRoutes",
    "FieldName": "Purpose",
    "FieldIsDerived": false,
    "IsWritableDerivedField": false,
    "IsMasked": false,
    "GrantKeyWhenReadable": "principal-process-steward|AppRoutes"
   },
   {
    "FieldGrantId": "fg-process-steward-AppRoutes.LayoutHints",
    "Principal": "principal-process-steward",
    "TargetField": "AppRoutes.LayoutHints",
    "CanRead": true,
    "CanWrite": false,
    "MaskStrategy": "plain",
    "SemanticTypeIri": "urn:effortless:pko-extension#FieldGrant",
    "Name": "principal-process-steward -&gt; AppRoutes.LayoutHints",
    "FieldTable": "AppRoutes",
    "FieldName": "LayoutHints",
    "FieldIsDerived": false,
    "IsWritableDerivedField": false,
    "IsMasked": false,
    "GrantKeyWhenReadable": "principal-process-steward|AppRoutes"
   },
   {
    "FieldGrantId": "fg-process-steward-AppRoutes.IsInNav",
    "Principal": "principal-process-steward",
    "TargetField": "AppRoutes.IsInNav",
    "CanRead": true,
    "CanWrite": false,
    "MaskStrategy": "plain",
    "SemanticTypeIri": "urn:effortless:pko-extension#FieldGrant",
    "Name": "principal-process-steward -&gt; AppRoutes.IsInNav",
    "FieldTable": "AppRoutes",
    "FieldName": "IsInNav",
    "FieldIsDerived": true,
    "IsWritableDerivedField": false,
    "IsMasked": false,
    "GrantKeyWhenReadable": "principal-process-steward|AppRoutes"
   },
   {
    "FieldGrantId": "fg-process-steward-AppRoutes.IsShared",
    "Principal": "principal-process-steward",
    "TargetField": "AppRoutes.IsShared",
    "CanRead": true,
    "CanWrite": false,
    "MaskStrategy": "plain",
    "SemanticTypeIri": "urn:effortless:pko-extension#FieldGrant",
    "Name": "principal-process-steward -&gt; AppRoutes.IsShared",
    "FieldTable": "AppRoutes",
    "FieldName": "IsShared",
    "FieldIsDerived": true,
    "IsWritableDerivedField": false,
    "IsMasked": false,
    "GrantKeyWhenReadable": "principal-process-steward|AppRoutes"
   },
   {
    "FieldGrantId": "fg-process-steward-AppRoutes.IsMaintainer",
    "Principal": "principal-process-steward",
    "TargetField": "AppRoutes.IsMaintainer",
    "CanRead": true,
    "CanWrite": false,
    "MaskStrategy": "plain",
    "SemanticTypeIri": "urn:effortless:pko-extension#FieldGrant",
    "Name": "principal-process-steward -&gt; AppRoutes.IsMaintainer",
    "FieldTable": "AppRoutes",
    "FieldName": "IsMaintainer",
    "FieldIsDerived": true,
    "IsWritableDerivedField": false,
    "IsMasked": false,
    "GrantKeyWhenReadable": "principal-process-steward|AppRoutes"
   },
   {
    "FieldGrantId": "fg-process-steward-AppRoutes.QuestionCount",
    "Principal": "principal-process-steward",
    "TargetField": "AppRoutes.QuestionCount",
    "CanRead": true,
    "CanWrite": false,
    "MaskStrategy": "plain",
    "SemanticTypeIri": "urn:effortless:pko-extension#FieldGrant",
    "Name": "principal-process-steward -&gt; AppRoutes.QuestionCount",
    "FieldTable": "AppRoutes",
    "FieldName": "QuestionCount",
    "FieldIsDerived": true,
    "IsWritableDerivedField": false,
    "IsMasked": false,
    "GrantKeyWhenReadable": "principal-process-steward|AppRoutes"
   },
   {
    "FieldGrantId": "fg-process-steward-AppRoutes.ReferenceCount",
    "Principal": "principal-process-steward",
    "TargetField": "AppRoutes.ReferenceCount",
    "CanRead": true,
    "CanWrite": false,
    "MaskStrategy": "plain",
    "SemanticTypeIri": "urn:effortless:pko-extension#FieldGrant",
    "Name": "principal-process-steward -&gt; AppRoutes.ReferenceCount",
    "FieldTable": "AppRoutes",
    "FieldName": "ReferenceCount",
    "FieldIsDerived": true,
    "IsWritableDerivedField": false,
    "IsMasked": false,
    "GrantKeyWhenReadable": "principal-process-steward|AppRoutes"
   },
   {
    "FieldGrantId": "fg-process-steward-AppRoutes.AnswersNoQuestion",
    "Principal": "principal-process-steward",
    "TargetField": "AppRoutes.AnswersNoQuestion",
    "CanRead": true,
</t>
  </si>
  <si>
    <t xml:space="preserve">    "CanWrite": false,
    "MaskStrategy": "plain",
    "SemanticTypeIri": "urn:effortless:pko-extension#FieldGrant",
    "Name": "principal-process-steward -&gt; AppRoutes.AnswersNoQuestion",
    "FieldTable": "AppRoutes",
    "FieldName": "AnswersNoQuestion",
    "FieldIsDerived": true,
    "IsWritableDerivedField": false,
    "IsMasked": false,
    "GrantKeyWhenReadable": "principal-process-steward|AppRoutes"
   },
   {
    "FieldGrantId": "fg-process-steward-AppRoutes.SemanticTypeIri",
    "Principal": "principal-process-steward",
    "TargetField": "AppRoutes.SemanticTypeIri",
    "CanRead": true,
    "CanWrite": false,
    "MaskStrategy": "plain",
    "SemanticTypeIri": "urn:effortless:pko-extension#FieldGrant",
    "Name": "principal-process-steward -&gt; AppRoutes.SemanticTypeIri",
    "FieldTable": "AppRoutes",
    "FieldName": "SemanticTypeIri",
    "FieldIsDerived": false,
    "IsWritableDerivedField": false,
    "IsMasked": false,
    "GrantKeyWhenReadable": "principal-process-steward|AppRoutes"
   },
   {
    "FieldGrantId": "fg-process-steward-Attestations.AttestationId",
    "Principal": "principal-process-steward",
    "TargetField": "Attestations.AttestationId",
    "CanRead": true,
    "CanWrite": false,
    "MaskStrategy": "plain",
    "SemanticTypeIri": "urn:effortless:pko-extension#FieldGrant",
    "Name": "principal-process-steward -&gt; Attestations.AttestationId",
    "FieldTable": "Attestations",
    "FieldName": "AttestationId",
    "FieldIsDerived": false,
    "IsWritableDerivedField": false,
    "IsMasked": false,
    "GrantKeyWhenReadable": "principal-process-steward|Attestations"
   },
   {
    "FieldGrantId": "fg-process-steward-Attestations.Name",
    "Principal": "principal-process-steward",
    "TargetField": "Attestations.Name",
    "CanRead": true,
    "CanWrite": false,
    "MaskStrategy": "plain",
    "SemanticTypeIri": "urn:effortless:pko-extension#FieldGrant",
    "Name": "principal-process-steward -&gt; Attestations.Name",
    "FieldTable": "Attestations",
    "FieldName": "Name",
    "FieldIsDerived": true,
    "IsWritableDerivedField": false,
    "IsMasked": false,
    "GrantKeyWhenReadable": "principal-process-steward|Attestations"
   },
   {
    "FieldGrantId": "fg-process-steward-Attestations.ProcedureExecution",
    "Principal": "principal-process-steward",
    "TargetField": "Attestations.ProcedureExecution",
    "CanRead": true,
    "CanWrite": false,
    "MaskStrategy": "plain",
    "SemanticTypeIri": "urn:effortless:pko-extension#FieldGrant",
    "Name": "principal-process-steward -&gt; Attestations.ProcedureExecution",
    "FieldTable": "Attestations",
    "FieldName": "ProcedureExecution",
    "FieldIsDerived": false,
    "IsWritableDerivedField": false,
    "IsMasked": false,
    "GrantKeyWhenReadable": "principal-process-steward|Attestations"
   },
   {
    "FieldGrantId": "fg-process-steward-Attestations.SignedByAgent",
    "Principal": "principal-process-steward",
    "TargetField": "Attestations.SignedByAgent",
    "CanRead": true,
    "CanWrite": false,
    "MaskStrategy": "plain",
    "SemanticTypeIri": "urn:effortless:pko-extension#FieldGrant",
    "Name": "principal-process-steward -&gt; Attestations.SignedByAgent",
    "FieldTable": "Attestations",
    "FieldName": "SignedByAgent",
    "FieldIsDerived": false,
    "IsWritableDerivedField": false,
    "IsMasked": false,
    "GrantKeyWhenReadable": "principal-process-steward|Attestations"
   },
   {
    "FieldGrantId": "fg-process-steward-Attestations.SignedAt",
    "Principal": "principal-process-steward",
    "TargetField": "Attestations.SignedAt",
    "CanRead": true,
    "CanWrite": false,
    "MaskStrategy": "plain",
    "SemanticTypeIri": "urn:effortless:pko-extension#FieldGrant",
    "Name": "principal-process-steward -&gt; Attestations.SignedAt",
    "FieldTable": "Attestations",
    "FieldName": "SignedAt",
    "FieldIsDerived": false,
    "IsWritableDerivedField": false,
    "IsMasked": false,
    "GrantKeyWhenReadable": "principal-process-steward|Attestations"
   },
   {
    "FieldGrantId": "fg-process-steward-Attestations.AssuranceGradeAtSigning",
    "Principal": "principal-process-steward",
    "TargetField": "Attestations.AssuranceGradeAtSigning",
    "CanRead": true,
    "CanWrite": false,
    "MaskStrategy": "plain",
    "SemanticTypeIri": "urn:effortless:pko-extension#FieldGrant",
    "Name": "principal-process-steward -&gt; Attestations.AssuranceGradeAtSigning",
    "FieldTable": "Attestations",
    "FieldName": "AssuranceGradeAtSigning",
    "FieldIsDerived": false,
    "IsWritableDerivedField": false,
    "IsMasked": false,
    "GrantKeyWhenReadable": "principal-process-steward|Attestations"
   },
   {
    "FieldGrantId": "fg-process-steward-Attestations.VersionWasFitAtSigning",
    "Principal": "principal-process-steward",
    "TargetField": "Attestations.VersionWasFitAtSigning",
    "CanRead": true,
    "CanWrite": false,
    "MaskStrategy": "plain",
    "SemanticTypeIri": "urn:effortless:pko-extension#FieldGrant",
    "Name": "principal-process-steward -&gt; Attestations.VersionWasFitAtSigning",
    "FieldTable": "Attestations",
    "FieldName": "VersionWasFitAtSigning",
    "FieldIsDerived": false,
    "IsWritableDerivedField": false,
    "IsMasked": false,
    "GrantKeyWhenReadable": "principal-process-steward|Attestations"
   },
   {
    "FieldGrantId": "fg-process-steward-Attestations.VersionIsFitNow",
    "Principal": "principal-process-steward",
    "TargetField": "Attestations.VersionIsFitNow",
    "CanRead": true,
    "CanWrite": false,
    "MaskStrategy": "plain",
    "SemanticTypeIri": "urn:effortless:pko-extension#FieldGrant",
    "Name": "principal-process-steward -&gt; Attestations.VersionIsFitNow",
    "FieldTable": "Attestations",
    "FieldName": "VersionIsFitNow",
    "FieldIsDerived": true,
    "IsWritableDerivedField": false,
    "IsMasked": false,
    "GrantKeyWhenReadable": "principal-process-steward|Attestations"
   },
   {
    "FieldGrantId": "fg-process-steward-Attestations.FitnessVerdictHasDrifted",
    "Principal": "principal-process-steward",
    "TargetField": "Attestations.FitnessVerdictHasDrifted",
    "CanRead": true,
    "CanWrite": false,
    "MaskStrategy": "plain",
    "SemanticTypeIri": "urn:effortless:pko-extension#FieldGrant",
    "Name": "principal-process-steward -&gt; Attestations.FitnessVerdictHasDrifted",
    "FieldTable": "Attestations",
    "FieldName": "FitnessVerdictHasDrifted",
    "FieldIsDerived": true,
    "IsWritableDerivedField": false,
    "IsMasked": false,
    "GrantKeyWhenReadable": "principal-process-steward|Attestations"
   },
   {
    "FieldGrantId": "fg-process-steward-Attestations.AssuranceGradeNow",
    "Principal": "principal-process-steward",
    "TargetField": "Attestations.AssuranceGradeNow",
    "CanRead": true,
    "CanWrite": false,
    "MaskStrategy": "plain",
    "SemanticTypeIri": "urn:effortless:pko-extension#FieldGrant",
    "Name": "principal-process-steward -&gt; Attestations.AssuranceGradeNow",
    "FieldTable": "Attestations",
    "FieldName": "AssuranceGradeNow",
    "FieldIsDerived": true,
    "IsWritableDerivedField": false,
    "IsMasked": false,
    "GrantKeyWhenReadable": "principal-process-steward|Attestations"
   },
   {
    "FieldGrantId": "fg-process-steward-Attestations.AssuranceGradeHasDrifted",
    "Principal": "principal-process-steward",
    "TargetField": "Attestations.AssuranceGradeHasDrifted",
    "CanRead": true,
    "CanWrite": false,
    "MaskStrategy": "plain",
    "SemanticTypeIri": "urn:effortless:pko-extension#FieldGrant",
    "Name": "principal-process-steward -&gt; Attestations.AssuranceGradeHasDrifted",
    "FieldTable": "Attestations",
    "FieldName": "AssuranceGradeHasDrifted",
    "FieldIsDerived": true,
    "IsWritableDerivedField": false,
    "IsMasked": false,
    "GrantKeyWhenReadable": "principal-process-steward|Attestations"
   },
   {
    "FieldGrantId": "fg-process-steward-Attestations.WouldNotSurviveRestatement",
    "Principal": "principal-process-steward",
    "TargetField": "Attestations.WouldNotSurviveRestatement",
    "CanRead": true,
    "CanWrite": false,
    "MaskStrategy": "plain",
    "SemanticTypeIri": "urn:effortless:pko-extension#FieldGrant",
    "Name": "principal-process-steward -&gt; Attestations.WouldNotSurviveRestatement",
    "FieldTable": "Attestations",
    "FieldName": "WouldNotSurviveRestatement",
    "FieldIsDerived": true,
    "IsWritableDerivedField": false,
    "IsMasked": false,
    "GrantKeyWhenReadable": "principal-process-steward|Attestations"
   },
   {
    "FieldGrantId": "fg-process-steward-AuthorityBoundaries.AuthorityBoundaryId",
    "Principal": "principal-process-steward",
    "TargetField": "AuthorityBoundaries.AuthorityBoundaryId",
    "CanRead": true,
    "CanWrite": false,
    "MaskStrategy": "plain",
    "SemanticTypeIri": "urn:effortless:pko-extension#FieldGrant",
    "Name": "principal-process-steward -&gt; AuthorityBoundaries.AuthorityBoundaryId",
    "FieldTable": "AuthorityBoundaries",
    "FieldName": "AuthorityBoundaryId",
    "FieldIsDerived": false,
    "IsWritableDerivedField": false,
    "IsMasked": false,
    "GrantKeyWhenReadable": "principal-process-steward|AuthorityBoundaries"
   },
   {
    "FieldGrantId": "fg-process-steward-AuthorityBoundaries.Name",
    "Principal": "principal-process-steward",
    "TargetField": "AuthorityBoundaries.Name",
    "CanRead": true,
    "CanWrite": false,
    "MaskStrategy": "plain",
    "SemanticTypeIri": "urn:effortless:pko-extension#FieldGrant",
    "Name": "principal-process-steward -&gt; AuthorityBoundaries.Name",
    "FieldTable": "AuthorityBoundaries",
    "FieldName": "Name",
    "FieldIsDerived": true,
    "IsWritableDerivedField": false,
    "IsMasked": false,
    "GrantKeyWhenReadable": "principal-process-steward|AuthorityBoundaries"
   },
   {
    "FieldGrantId": "fg-process-steward-AuthorityBoundaries.Step",
    "Principal": "principal-process-steward",
    "TargetField": "AuthorityBoundaries.Step",
    "CanRead": true,
    "CanWrite": false,
    "MaskStrategy": "plain",
    "SemanticTypeIri": "urn:effortless:pko-extension#FieldGrant",
    "Name": "principal-process-steward -&gt; AuthorityBoundaries.Step",
    "FieldTable": "AuthorityBoundaries",
    "FieldName": "Step",
    "FieldIsDerived": false,
    "IsWritableDerivedField": false,
    "IsMasked": false,
    "GrantKeyWhenReadable": "principal-process-steward|AuthorityBoundaries"
   },
   {
    "FieldGrantId": "fg-process-steward-AuthorityBoundaries.ForbiddenAgentKind",
    "Principal": "principal-process-steward",
    "TargetField": "AuthorityBoundaries.ForbiddenAgentKind",
    "CanRead": true,
    "CanWrite": false,
    "MaskStrategy": "plain",
    "SemanticTypeIri": "urn:effortless:pko-extension#FieldGrant",
    "Name": "principal-process-steward -&gt; AuthorityBoundaries.ForbiddenAgentKind",
    "FieldTable": "AuthorityBoundaries",
    "FieldName": "ForbiddenAgentKind",
    "FieldIsDerived": false,
    "IsWritableDerivedField": false,
    "IsMasked": false,
    "GrantKeyWhenReadable": "principal-process-steward|AuthorityBoundaries"
   },
   {
    "FieldGrantId": "fg-process-steward-AuthorityBoundaries.ForbiddenDecisionKind",
    "Principal": "principal-process-steward",
    "TargetField": "AuthorityBoundaries.ForbiddenDecisionKind",
    "CanRead": true,
    "CanWrite": false,
    "MaskStrategy": "plain",
    "SemanticTypeIri": "urn:effortless:pko-extension#FieldGrant",
    "Name": "principal-process-steward -&gt; AuthorityBoundaries.ForbiddenDecisionKind",
    "FieldTable": "AuthorityBoundaries",
    "FieldName": "ForbiddenDecisionKind",
    "FieldIsDerived": false,
    "IsWritableDerivedField": false,
    "IsMasked": false,
    "GrantKeyWhenReadable": "principal-process-steward|AuthorityBoundaries"
   },
   {
    "FieldGrantId": "fg-process-steward-AuthorityBoundaries.RatifiedByKnowledgeFragment",
    "Principal": "principal-process-steward",
    "TargetField": "AuthorityBoundaries.RatifiedByKnowledgeFragment",
    "CanRead": true,
    "CanWrite": false,
    "MaskStrategy": "plain",
    "SemanticTypeIri": "urn:effortless:pko-extension#FieldGrant",
    "Name": "principal-process-steward -&gt; AuthorityBoundaries.RatifiedByKnowledgeFragment",
    "FieldTable": "AuthorityBoundaries",
    "FieldName": "RatifiedByKnowledgeFragment",
    "FieldIsDerived": false,
    "IsWritableDerivedField": false,
    "IsMasked": false,
    "GrantKeyWhenReadable": "principal-process-steward|AuthorityBoundaries"
   },
   {
    "FieldGrantId": "fg-process-steward-AuthorityBoundaries.EnforcingRequirement",
    "Principal": "principal-process-steward",
    "TargetField": "AuthorityBoundaries.EnforcingRequirement",
    "CanRead": true,
    "CanWrite": false,
    "MaskStrategy": "plain",
    "SemanticTypeIri": "urn:effortless:pko-extension#FieldGrant",
    "Name": "principal-process-steward -&gt; AuthorityBoundaries.EnforcingRequirement",
    "FieldTable": "AuthorityBoundaries",
    "FieldName": "EnforcingRequirement",
    "FieldIsDerived": false,
    "IsWritableDerivedField": false,
    "IsMasked": false,
    "GrantKeyWhenReadable": "principal-process-steward|AuthorityBoundaries"
   },
   {
    "FieldGrantId": "fg-process-steward-AuthorityBoundaries.AuthorityRole",
    "Principal": "principal-process-steward",
    "TargetField": "AuthorityBoundaries.AuthorityRole",
    "CanRead": true,
    "CanWrite": false,
    "MaskStrategy": "plain",
    "SemanticTypeIri": "urn:effortless:pko-extension#FieldGrant",
    "Name": "principal-process-steward -&gt; AuthorityBoundaries.AuthorityRole",
    "FieldTable": "AuthorityBoundaries",
    "FieldName": "AuthorityRole",
    "FieldIsDerived": false,
    "IsWritableDerivedField": false,
    "IsMasked": false,
    "GrantKeyWhenReadable": "principal-process-steward|AuthorityBoundaries"
   },
   {
    "FieldGrantId": "fg-process-steward-AuthorityBoundaries.ValidFrom",
    "Principal": "principal-process-steward",
    "TargetField": "AuthorityBoundaries.ValidFrom",
    "CanRead": true,
    "CanWrite": false,
    "MaskStrategy": "plain",
    "SemanticTypeIri": "urn:effortless:pko-extension#FieldGrant",
    "Name": "principal-process-steward -&gt; AuthorityBoundaries.ValidFrom",
    "FieldTable": "AuthorityBoundaries",
    "FieldName": "ValidFrom",
    "FieldIsDerived": false,
    "IsWritableDerivedField": false,
    "IsMasked": false,
    "GrantKeyWhenReadable": "principal-process-steward|AuthorityBoundaries"
   },
   {
    "FieldGrantId": "fg-process-steward-AuthorityBoundaries.ValidTo",
    "Principal": "principal-process-steward",
    "TargetField": "AuthorityBoundaries.ValidTo",
    "CanRead": true,
    "CanWrite": false,
    "MaskStrategy": "plain",
    "SemanticTypeIri": "urn:effortless:pko-extension#FieldGrant",
    "Name": "principal-process-steward -&gt; AuthorityBoundaries.ValidTo",
    "FieldTable": "AuthorityBoundaries",
    "FieldName": "ValidTo",
    "FieldIsDerived": false,
    "IsWritableDerivedField": false,
    "IsMasked": false,
    "GrantKeyWhenReadable": "principal-process-steward|AuthorityBoundaries"
   },
   {
    "FieldGrantId": "fg-process-steward-AuthorityBoundaries.Status",
    "Principal": "principal-process-steward",
    "TargetField": "AuthorityBoundaries.Status",
    "CanRead": true,
    "CanWrite": false,
    "MaskStrategy": "plain",
    "SemanticTypeIri": "urn:effortless:pko-extension#FieldGrant",
    "Name": "principal-process-steward -&gt; AuthorityBoundaries.Status",
    "FieldTable": "AuthorityBoundaries",
    "FieldName": "Status",
    "FieldIsDerived": false,
    "IsWritableDerivedField": false,
    "IsMasked": false,
    "GrantKeyWhenReadable": "principal-process-steward|AuthorityBoundaries"
   },
   {
    "FieldGrantId": "fg-process-steward-AuthorityBoundaries.EvaluationContext",
    "Principal": "principal-process-steward",
    "TargetField": "AuthorityBoundaries.EvaluationContext",
    "CanRead": true,
    "CanWrite": false,
    "MaskStrategy": "plain",
    "SemanticTypeIri": "urn:effortless:pko-extension#FieldGrant",
    "Name": "principal-process-steward -&gt; AuthorityBoundaries.EvaluationContext",
    "FieldTable": "AuthorityBoundaries",
    "FieldName": "EvaluationContext",
    "FieldIsDerived": false,
    "IsWritableDerivedField": false,
    "IsMasked": false,
    "GrantKeyWhenReadable": "principal-process-steward|AuthorityBoundaries"
   },
   {
    "FieldGrantId": "fg-process-steward-AuthorityBoundaries.AsOfInstant",
    "Principal": "principal-process-steward",
    "TargetField": "AuthorityBoundaries.AsOfInstant",
    "CanRead": true,
    "CanWrite": false,
    "MaskStrategy": "plain",
    "SemanticTypeIri": "urn:effortless:pko-extension#FieldGrant",
    "Name": "principal-process-steward -&gt; AuthorityBoundaries.AsOfInstant",
    "FieldTable": "AuthorityBoundaries",
    "FieldName": "AsOfInstant",
    "FieldIsDerived": true,
    "IsWritableDerivedField": false,
    "IsMasked": false,
    "GrantKeyWhenReadable": "principal-process-steward|AuthorityBoundaries"
   },
   {
    "FieldGrantId": "fg-process-steward-AuthorityBoundaries.IsCurrentlyBinding",
    "Principal": "principal-process-steward",
    "TargetField": "AuthorityBoundaries.IsCurrentlyBinding",
    "CanRead": true,
    "CanWrite": false,
    "MaskStrategy": "plain",
    "SemanticTypeIri": "urn:effortless:pko-extension#FieldGrant",
    "Name": "principal-process-steward -&gt; AuthorityBoundaries.IsCurrentlyBinding",
    "FieldTable": "AuthorityBoundaries",
    "FieldName": "IsCurrentlyBinding",
    "FieldIsDerived": true,
    "IsWritableDerivedField": false,
    "IsMasked": false,
    "GrantKeyWhenReadable": "principal-process-steward|AuthorityBoundaries"
   },
   {
    "FieldGrantId": "fg-process-steward-AuthorityBoundaries.RatifyingFragmentIsValid",
    "Principal": "principal-process-steward",
    "TargetField": "AuthorityBoundaries.RatifyingFragmentIsValid",
    "CanRead": true,
    "CanWrite": false,
    "MaskStrategy": "plain",
    "SemanticTypeIri": "urn:effortless:pko-extension#FieldGrant",
    "Name": "principal-process-steward -&gt; AuthorityBoundaries.RatifyingFragmentIsValid",
    "FieldTable": "AuthorityBoundaries",
    "FieldName": "RatifyingFragmentIsValid",
    "FieldIsDerived": true,
    "IsWritableDerivedField": false,
    "IsMasked": false,
    "GrantKeyWhenReadable": "principal-process-steward|AuthorityBoundaries"
   },
   {
    "FieldGrantId": "fg-process-steward-AuthorityBoundaries.StepWhenBinding",
    "Principal": "principal-process-steward",
    "TargetField": "AuthorityBoundaries.StepWhenBinding",
    "CanRead": true,
    "CanWrite": false,
    "MaskStrategy": "plain",
    "SemanticTypeIri": "urn:effortless:pko-extension#FieldGrant",
    "Name": "principal-process-steward -&gt; AuthorityBoundaries.StepWhenBinding",
    "FieldTable": "AuthorityBoundaries",
    "FieldName": "StepWhenBinding",
    "FieldIsDerived": true,
    "IsWritableDerivedField": false,
    "IsMasked": false,
    "GrantKeyWhenReadable": "principal-process-steward|AuthorityBoundaries"
   },
   {
    "FieldGrantId": "fg-process-steward-AuthorityBoundaries.BoundaryMatchKey",
    "Principal": "principal-process-steward",
    "TargetField": "AuthorityBoundaries.BoundaryMatchKey",
    "CanRead": true,
    "CanWrite": false,
    "MaskStrategy": "plain",
    "SemanticTypeIri": "urn:effortless:pko-extension#FieldGrant",
    "Name": "principal-process-steward -&gt; AuthorityBoundaries.BoundaryMatchKey",
    "FieldTable": "AuthorityBoundaries",
    "FieldName": "BoundaryMatchKey",
    "FieldIsDerived": true,
    "IsWritableDerivedField": false,
    "IsMasked": false,
    "GrantKeyWhenReadable": "principal-process-steward|AuthorityBoundaries"
   },
   {
    "FieldGrantId": "fg-process-steward-AuthorityBoundaries.ViolationCount",
    "Principal": "principal-process-steward",
    "TargetField": "AuthorityBoundaries.ViolationCount",
    "CanRead": true,
    "CanWrite": false,
    "MaskStrategy": "plain",
    "SemanticTypeIri": "urn:effortless:pko-extension#FieldGrant",
    "Name": "principal-process-steward -&gt; AuthorityBoundaries.ViolationCount",
    "FieldTable": "AuthorityBoundaries",
    "FieldName": "ViolationCount",
    "FieldIsDerived": true,
    "IsWritableDerivedField": false,
    "IsMasked": false,
    "GrantKeyWhenReadable": "principal-process-steward|AuthorityBoundaries"
   },
   {
    "FieldGrantId": "fg-process-steward-AuthorityBoundaries.IsUntested",
    "Principal": "principal-process-steward",
    "TargetField": "AuthorityBoundaries.IsUntested",
    "CanRead": true,
    "CanWrite": false,
    "MaskStrategy": "plain",
    "SemanticTypeIri": "urn:effortless:pko-extension#FieldGrant",
    "Name": "principal-process-steward -&gt; AuthorityBoundaries.IsUntested",
    "FieldTable": "AuthorityBoundaries",
    "FieldName": "IsUntested",
    "FieldIsDerived": true,
    "IsWritableDerivedField": false,
    "IsMasked": false,
    "GrantKeyWhenReadable": "principal-process-steward|AuthorityBoundaries"
   },
   {
    "FieldGrantId": "fg-process-steward-AuthorityBoundaries.HasRatifyingFragment",
    "Principal": "principal-process-steward",
    "TargetField": "AuthorityBoundaries.HasRatifyingFragment",
    "CanRead": true,
    "CanWrite": false,
    "MaskStrategy": "plain",
    "SemanticTypeIri": "urn:effortless:pko-extension#FieldGrant",
    "Name": "principal-process-steward -&gt; AuthorityBoundaries.HasRatifyingFragment",
    "FieldTable": "AuthorityBoundaries",
    "FieldName": "HasRatifyingFragment",
    "FieldIsDerived": true,
    "IsWritableDerivedField": false,
    "IsMasked": false,
    "GrantKeyWhenReadable": "principal-process-steward|AuthorityBoundaries"
   },
   {
    "FieldGrantId": "fg-process-steward-AuthorityBoundaries.IsUnwarranted",
    "Principal": "principal-process-steward",
    "TargetField": "AuthorityBoundaries.IsUnwarranted",
    "CanRead": true,
    "CanWrite": false,
    "MaskStrategy": "plain",
    "SemanticTypeIri": "urn:effortless:pko-extension#FieldGrant",
    "Name": "principal-process-steward -&gt; AuthorityBoundaries.IsUnwarranted",
    "FieldTable": "AuthorityBoundaries",
    "FieldName": "IsUnwarranted",
    "FieldIsDerived": true,
    "IsWritableDerivedField": false,
    "IsMasked": false,
    "GrantKeyWhenReadable": "principal-process-steward|AuthorityBoundaries"
   },
   {
    "FieldGrantId": "fg-process-steward-AuthorityBoundaries.RatifyingFragmentIsOverdue",
    "Principal": "principal-process-steward",
    "TargetField": "AuthorityBoundaries.RatifyingFragmentIsOverdue",
    "CanRead": true,
    "CanWrite": false,
    "MaskStrategy": "plain",
    "SemanticTypeIri": "urn:effortless:pko-extension#FieldGrant",
    "Name": "principal-process-steward -&gt; AuthorityBoundaries.RatifyingFragmentIsOverdue",
    "FieldTable": "AuthorityBoundaries",
    "FieldName": "RatifyingFragmentIsOverdue",
    "FieldIsDerived": true,
    "IsWritableDerivedField": false,
    "IsMasked": false,
    "GrantKeyWhenReadable": "principal-process-steward|AuthorityBoundaries"
   },
   {
    "FieldGrantId": "fg-process-steward-AuthorityBoundaries.RatifyingFragmentIsSingleWitness",
    "Principal": "principal-process-steward",
    "TargetField": "AuthorityBoundaries.RatifyingFragmentIsSingleWitness",
    "CanRead": true,
    "CanWrite": false,
    "MaskStrategy": "plain",
    "SemanticTypeIri": "urn:effortless:pko-extension#FieldGrant",
    "Name": "principal-process-steward -&gt; AuthorityBoundaries.RatifyingFragmentIsSingleWitness",
    "FieldTable": "AuthorityBoundaries",
    "FieldName": "RatifyingFragmentIsSingleWitness",
    "FieldIsDerived": true,
    "IsWritableDerivedField": false,
    "IsMasked": false,
    "GrantKeyWhenReadable": "principal-process-steward|AuthorityBoundaries"
   },
   {
    "FieldGrantId": "fg-process-steward-AuthorityBoundaries.WarrantIsThin",
    "Principal": "principal-process-steward",
    "TargetField": "AuthorityBoundaries.WarrantIsThin",
    "CanRead": true,
    "CanWrite": false,
    "MaskStrategy": "plain",
    "SemanticTypeIri": "urn:effortless:pko-extension#FieldGrant",
    "Name": "principal-process-steward -&gt; AuthorityBoundaries.WarrantIsThin",
    "FieldTable": "AuthorityBoundaries",
    "FieldName": "WarrantIsThin",
    "FieldIsDerived": true,
    "IsWritableDerivedField": false,
    "IsMasked": false,
    "GrantKeyWhenReadable": "principal-process-steward|AuthorityBoundaries"
   },
   {
    "FieldGrantId": "fg-process-steward-AuthorityBoundaries.IsUnwarrantedAndUntested",
    "Principal": "principal-process-steward",
    "TargetField": "AuthorityBoundaries.IsUnwarrantedAndUntested",
    "CanRead": true,
    "CanWrite": false,
    "MaskStrategy": "plain",
    "SemanticTypeIri": "urn:effortless:pko-extension#FieldGrant",
    "Name": "principal-process-steward -&gt; AuthorityBoundaries.IsUnwarrantedAndUntested",
    "FieldTable": "AuthorityBoundaries",
    "FieldName": "IsUnwarrantedAndUntested",
    "FieldIsDerived": true,
    "IsWritableDerivedField": false,
    "IsMasked": false,
    "GrantKeyWhenReadable": "principal-process-steward|AuthorityBoundaries"
   },
   {
    "FieldGrantId": "fg-process-steward-AuthorityBoundaries.UnwarrantedBoundaryStepKey",
    "Principal": "principal-process-steward",
    "TargetField": "AuthorityBoundaries.UnwarrantedBoundaryStepKey",
    "CanRead": true,
    "CanWrite": false,
    "MaskStrategy": "plain",
    "SemanticTypeIri": "urn:effortless:pko-extension#FieldGrant",
    "Name": "principal-process-steward -&gt; AuthorityBoundaries.UnwarrantedBoundaryStepKey",
    "FieldTable": "AuthorityBoundaries",
    "FieldName": "UnwarrantedBoundaryStepKey",
    "FieldIsDerived": true,
    "IsWritableDerivedField": false,
    "IsMasked": false,
    "GrantKeyWhenReadable": "principal-process-steward|AuthorityBoundaries"
   },
   {
    "FieldGrantId": "fg-process-steward-AuthorityBoundaries.RatifyingFragmentKey",
    "Principal": "principal-process-steward",
    "TargetField": "AuthorityBoundaries.RatifyingFragmentKey",
    "CanRead": true,
    "CanWrite": false,
    "MaskStrategy": "plain",
    "SemanticTypeIri": "urn:effortless:pko-extension#FieldGrant",
    "Name": "principal-process-steward -&gt; AuthorityBoundaries.RatifyingFragmentKey",
    "FieldTable": "AuthorityBoundaries",
    "FieldName": "RatifyingFragmentKey",
    "FieldIsDerived": true,
    "IsWritableDerivedField": false,
    "IsMasked": false,
    "GrantKeyWhenReadable": "principal-process-steward|AuthorityBoundaries"
   },
   {
    "FieldGrantId": "fg-process-steward-AuthorityBoundaries.RatifyingFragmentStatus",
    "Principal": "principal-process-steward",
    "TargetField": "AuthorityBoundaries.RatifyingFragmentStatus",
    "CanRead": true,
    "CanWrite": false,
    "MaskStrategy": "plain",
    "SemanticTypeIri": "urn:effortless:pko-extension#FieldGrant",
    "Name": "principal-process-steward -&gt; AuthorityBoundaries.RatifyingFragmentStatus",
    "FieldTable": "AuthorityBoundaries",
    "FieldName": "RatifyingFragmentStatus",
    "FieldIsDerived": true,
    "IsWritableDerivedField": false,
    "IsMasked": false,
    "GrantKeyWhenReadable": "principal-process-steward|AuthorityBoundaries"
   },
   {
    "FieldGrantId": "fg-process-steward-AuthorityBoundaries.RatificationLapsed",
    "Principal": "principal-process-steward",
    "TargetField": "AuthorityBoundaries.RatificationLapsed",
    "CanRead": true,
    "CanWrite": false,
    "MaskStrategy": "plain",
    "SemanticTypeIri": "urn:effortless:pko-extension#FieldGrant",
    "Name": "principal-process-steward -&gt; AuthorityBoundaries.RatificationLapsed",
    "FieldTable": "AuthorityBoundaries",
    "FieldName": "RatificationLapsed",
    "FieldIsDerived": true,
    "IsWritableDerivedField": false,
    "IsMasked": false,
    "GrantKeyWhenReadable": "principal-process-steward|AuthorityBoundaries"
   },
   {
    "FieldGrantId": "fg-process-steward-AuthorityBoundaries.BindsDespiteLapsedRatification",
    "Principal": "principal-process-steward",
    "TargetField": "AuthorityBoundaries.BindsDespiteLapsedRatification",
    "CanRead": true,
    "CanWrite": false,
    "MaskStrategy": "plain",
    "SemanticTypeIri": "urn:effortless:pko-extension#FieldGrant",
    "Name": "principal-process-steward -&gt; AuthorityBoundaries.BindsDespiteLapsedRatification",
    "FieldTable": "AuthorityBoundaries",
    "FieldName": "BindsDespiteLapsedRatification",
    "FieldIsDerived": true,
    "IsWritableDerivedField": false,
    "IsMasked": false,
    "GrantKeyWhenReadable": "principal-process-steward|AuthorityBoundaries"
   },
   {
    "FieldGrantId": "fg-process-steward-AuthorityBoundaries.IsUngroundedAndUntested",
    "Principal": "principal-process-steward",
    "TargetField": "AuthorityBoundaries.IsUngroundedAndUntested",
    "CanRead": true,
    "CanWrite": false,
    "MaskStrategy": "plain",
    "SemanticTypeIri": "urn:effortless:pko-extension#FieldGrant",
    "Name": "principal-process-steward -&gt; AuthorityBoundaries.IsUngroundedAndUntested",
    "FieldTable": "AuthorityBoundaries",
    "FieldName": "IsUngroundedAndUntested",
    "FieldIsDerived": true,
    "IsWritableDerivedField": false,
    "IsMasked": false,
    "GrantKeyWhenReadable": "principal-process-steward|AuthorityBoundaries"
   },
   {
    "FieldGrantId": "fg-process-steward-AuthorityBoundaries.ConstrainedRoleAssignmentKey",
    "Principal": "principal-process-steward",
    "TargetField": "AuthorityBoundaries.ConstrainedRoleAssignmentKey",
    "CanRead": true,
    "CanWrite": false,
    "MaskStrategy": "plain",
    "SemanticTypeIri": "urn:effortless:pko-extension#FieldGrant",
    "Name": "principal-process-steward -&gt; AuthorityBoundaries.ConstrainedRoleAssignmentKey",
    "FieldTable": "AuthorityBoundaries",
    "FieldName": "ConstrainedRoleAssignmentKey",
    "FieldIsDerived": true,
    "IsWritableDerivedField": false,
    "IsMasked": false,
    "GrantKeyWhenReadable": "principal-process-steward|AuthorityBoundaries"
   },
   {
    "FieldGrantId": "fg-process-steward-AuthorityBoundaries.SemanticTypeIri",
    "Principal": "principal-process-steward",
    "TargetField": "AuthorityBoundaries.SemanticTypeIri",
    "CanRead": true,
    "CanWrite": false,
    "MaskStrategy": "plain",
    "SemanticTypeIri": "urn:effortless:pko-extension#FieldGrant",
    "Name": "principal-process-steward -&gt; AuthorityBoundaries.SemanticTypeIri",
    "FieldTable": "AuthorityBoundaries",
    "FieldName": "SemanticTypeIri",
    "FieldIsDerived": false,
    "IsWritableDerivedField": false,
    "IsMasked": false,
    "GrantKeyWhenReadable": "principal-process-steward|AuthorityBoundaries"
   },
   {
    "FieldGrantId": "fg-process-steward-BindingObservations.BindingObservationId",
    "Principal": "principal-process-steward",
    "TargetField": "BindingObservations.BindingObservationId",
    "CanRead": true,
    "CanWrite": false,
    "MaskStrategy": "plain",
    "SemanticTypeIri": "urn:effortless:pko-extension#FieldGrant",
    "Name": "principal-process-steward -&gt; BindingObservations.BindingObservationId",
    "FieldTable": "BindingObservations",
    "FieldName": "BindingObservationId",
    "FieldIsDerived": false,
    "IsWritableDerivedField": false,
    "IsMasked": false,
    "GrantKeyWhenReadable": "principal-process-steward|BindingObservations"
   },
   {
    "FieldGrantId": "fg-process-steward-BindingObservations.Name",
    "Principal": "principal-process-steward",
    "TargetField": "BindingObservations.Name",
    "CanRead": true,
    "CanWrite": false,
    "MaskStrategy": "plain",
    "SemanticTypeIri": "urn:effortless:pko-extension#FieldGrant",
    "Name": "principal-process-steward -&gt; BindingObservations.Name",
    "FieldTable": "BindingObservations",
    "FieldName": "Name",
    "FieldIsDerived": true,
    "IsWritableDerivedField": false,
    "IsMasked": false,
    "GrantKeyWhenReadable": "principal-process-steward|BindingObservations"
   },
   {
    "FieldGrantId": "fg-process-steward-BindingObservations.StepExecution",
    "Principal": "principal-process-steward",
    "TargetField": "BindingObservations.StepExecution",
    "CanRead": true,
    "CanWrite": false,
    "MaskStrategy": "plain",
    "SemanticTypeIri": "urn:effortless:pko-extension#FieldGrant",
    "Name": "principal-process-steward -&gt; BindingObservations.StepExecution",
    "FieldTable": "BindingObservations",
    "FieldName": "StepExecution",
    "FieldIsDerived": false,
    "IsWritableDerivedField": false,
    "IsMasked": false,
    "GrantKeyWhenReadable": "principal-process-steward|BindingObservations"
   },
   {
    "FieldGrantId": "fg-process-steward-BindingObservations.OperationalBinding",
    "Principal": "principal-process-steward",
    "TargetField": "BindingObservations.OperationalBinding",
    "CanRead": true,
    "CanWrite": false,
    "MaskStrategy": "plain",
    "SemanticTypeIri": "urn:effortless:pko-extension#FieldGrant",
    "Name": "principal-process-stewa</t>
  </si>
  <si>
    <t xml:space="preserve">rd -&gt; BindingObservations.OperationalBinding",
    "FieldTable": "BindingObservations",
    "FieldName": "OperationalBinding",
    "FieldIsDerived": false,
    "IsWritableDerivedField": false,
    "IsMasked": false,
    "GrantKeyWhenReadable": "principal-process-steward|BindingObservations"
   },
   {
    "FieldGrantId": "fg-process-steward-BindingObservations.ObservedSourceTimestamp",
    "Principal": "principal-process-steward",
    "TargetField": "BindingObservations.ObservedSourceTimestamp",
    "CanRead": true,
    "CanWrite": false,
    "MaskStrategy": "plain",
    "SemanticTypeIri": "urn:effortless:pko-extension#FieldGrant",
    "Name": "principal-process-steward -&gt; BindingObservations.ObservedSourceTimestamp",
    "FieldTable": "BindingObservations",
    "FieldName": "ObservedSourceTimestamp",
    "FieldIsDerived": false,
    "IsWritableDerivedField": false,
    "IsMasked": false,
    "GrantKeyWhenReadable": "principal-process-steward|BindingObservations"
   },
   {
    "FieldGrantId": "fg-process-steward-BindingObservations.ReadAt",
    "Principal": "principal-process-steward",
    "TargetField": "BindingObservations.ReadAt",
    "CanRead": true,
    "CanWrite": false,
    "MaskStrategy": "plain",
    "SemanticTypeIri": "urn:effortless:pko-extension#FieldGrant",
    "Name": "principal-process-steward -&gt; BindingObservations.ReadAt",
    "FieldTable": "BindingObservations",
    "FieldName": "ReadAt",
    "FieldIsDerived": false,
    "IsWritableDerivedField": false,
    "IsMasked": false,
    "GrantKeyWhenReadable": "principal-process-steward|BindingObservations"
   },
   {
    "FieldGrantId": "fg-process-steward-BindingObservations.SlaMinutesAtRun",
    "Principal": "principal-process-steward",
    "TargetField": "BindingObservations.SlaMinutesAtRun",
    "CanRead": true,
    "CanWrite": false,
    "MaskStrategy": "plain",
    "SemanticTypeIri": "urn:effortless:pko-extension#FieldGrant",
    "Name": "principal-process-steward -&gt; BindingObservations.SlaMinutesAtRun",
    "FieldTable": "BindingObservations",
    "FieldName": "SlaMinutesAtRun",
    "FieldIsDerived": true,
    "IsWritableDerivedField": false,
    "IsMasked": false,
    "GrantKeyWhenReadable": "principal-process-steward|BindingObservations"
   },
   {
    "FieldGrantId": "fg-process-steward-BindingObservations.AgeAtRunMinutes",
    "Principal": "principal-process-steward",
    "TargetField": "BindingObservations.AgeAtRunMinutes",
    "CanRead": true,
    "CanWrite": false,
    "MaskStrategy": "plain",
    "SemanticTypeIri": "urn:effortless:pko-extension#FieldGrant",
    "Name": "principal-process-steward -&gt; BindingObservations.AgeAtRunMinutes",
    "FieldTable": "BindingObservations",
    "FieldName": "AgeAtRunMinutes",
    "FieldIsDerived": true,
    "IsWritableDerivedField": false,
    "IsMasked": false,
    "GrantKeyWhenReadable": "principal-process-steward|BindingObservations"
   },
   {
    "FieldGrantId": "fg-process-steward-BindingObservations.WasStaleAtRun",
    "Principal": "principal-process-steward",
    "TargetField": "BindingObservations.WasStaleAtRun",
    "CanRead": true,
    "CanWrite": false,
    "MaskStrategy": "plain",
    "SemanticTypeIri": "urn:effortless:pko-extension#FieldGrant",
    "Name": "principal-process-steward -&gt; BindingObservations.WasStaleAtRun",
    "FieldTable": "BindingObservations",
    "FieldName": "WasStaleAtRun",
    "FieldIsDerived": true,
    "IsWritableDerivedField": false,
    "IsMasked": false,
    "GrantKeyWhenReadable": "principal-process-steward|BindingObservations"
   },
   {
    "FieldGrantId": "fg-process-steward-BindingObservations.IsAuthoritativeBinding",
    "Principal": "principal-process-steward",
    "TargetField": "BindingObservations.IsAuthoritativeBinding",
    "CanRead": true,
    "CanWrite": false,
    "MaskStrategy": "plain",
    "SemanticTypeIri": "urn:effortless:pko-extension#FieldGrant",
    "Name": "principal-process-steward -&gt; BindingObservations.IsAuthoritativeBinding",
    "FieldTable": "BindingObservations",
    "FieldName": "IsAuthoritativeBinding",
    "FieldIsDerived": true,
    "IsWritableDerivedField": false,
    "IsMasked": false,
    "GrantKeyWhenReadable": "principal-process-steward|BindingObservations"
   },
   {
    "FieldGrantId": "fg-process-steward-BindingObservations.StaleAtRunStepKey",
    "Principal": "principal-process-steward",
    "TargetField": "BindingObservations.StaleAtRunStepKey",
    "CanRead": true,
    "CanWrite": false,
    "MaskStrategy": "plain",
    "SemanticTypeIri": "urn:effortless:pko-extension#FieldGrant",
    "Name": "principal-process-steward -&gt; BindingObservations.StaleAtRunStepKey",
    "FieldTable": "BindingObservations",
    "FieldName": "StaleAtRunStepKey",
    "FieldIsDerived": true,
    "IsWritableDerivedField": false,
    "IsMasked": false,
    "GrantKeyWhenReadable": "principal-process-steward|BindingObservations"
   },
   {
    "FieldGrantId": "fg-process-steward-ChangeRequests.ChangeRequestId",
    "Principal": "principal-process-steward",
    "TargetField": "ChangeRequests.ChangeRequestId",
    "CanRead": true,
    "CanWrite": false,
    "MaskStrategy": "plain",
    "SemanticTypeIri": "urn:effortless:pko-extension#FieldGrant",
    "Name": "principal-process-steward -&gt; ChangeRequests.ChangeRequestId",
    "FieldTable": "ChangeRequests",
    "FieldName": "ChangeRequestId",
    "FieldIsDerived": false,
    "IsWritableDerivedField": false,
    "IsMasked": false,
    "GrantKeyWhenReadable": "principal-process-steward|ChangeRequests"
   },
   {
    "FieldGrantId": "fg-process-steward-ChangeRequests.Name",
    "Principal": "principal-process-steward",
    "TargetField": "ChangeRequests.Name",
    "CanRead": true,
    "CanWrite": false,
    "MaskStrategy": "plain",
    "SemanticTypeIri": "urn:effortless:pko-extension#FieldGrant",
    "Name": "principal-process-steward -&gt; ChangeRequests.Name",
    "FieldTable": "ChangeRequests",
    "FieldName": "Name",
    "FieldIsDerived": true,
    "IsWritableDerivedField": false,
    "IsMasked": false,
    "GrantKeyWhenReadable": "principal-process-steward|ChangeRequests"
   },
   {
    "FieldGrantId": "fg-process-steward-ChangeRequests.ProcedureVersion",
    "Principal": "principal-process-steward",
    "TargetField": "ChangeRequests.ProcedureVersion",
    "CanRead": true,
    "CanWrite": false,
    "MaskStrategy": "plain",
    "SemanticTypeIri": "urn:effortless:pko-extension#FieldGrant",
    "Name": "principal-process-steward -&gt; ChangeRequests.ProcedureVersion",
    "FieldTable": "ChangeRequests",
    "FieldName": "ProcedureVersion",
    "FieldIsDerived": false,
    "IsWritableDerivedField": false,
    "IsMasked": false,
    "GrantKeyWhenReadable": "principal-process-steward|ChangeRequests"
   },
   {
    "FieldGrantId": "fg-process-steward-ChangeRequests.Title",
    "Principal": "principal-process-steward",
    "TargetField": "ChangeRequests.Title",
    "CanRead": true,
    "CanWrite": false,
    "MaskStrategy": "plain",
    "SemanticTypeIri": "urn:effortless:pko-extension#FieldGrant",
    "Name": "principal-process-steward -&gt; ChangeRequests.Title",
    "FieldTable": "ChangeRequests",
    "FieldName": "Title",
    "FieldIsDerived": false,
    "IsWritableDerivedField": false,
    "IsMasked": false,
    "GrantKeyWhenReadable": "principal-process-steward|ChangeRequests"
   },
   {
    "FieldGrantId": "fg-process-steward-ChangeRequests.ChangeKind",
    "Principal": "principal-process-steward",
    "TargetField": "ChangeRequests.ChangeKind",
    "CanRead": true,
    "CanWrite": false,
    "MaskStrategy": "plain",
    "SemanticTypeIri": "urn:effortless:pko-extension#FieldGrant",
    "Name": "principal-process-steward -&gt; ChangeRequests.ChangeKind",
    "FieldTable": "ChangeRequests",
    "FieldName": "ChangeKind",
    "FieldIsDerived": false,
    "IsWritableDerivedField": false,
    "IsMasked": false,
    "GrantKeyWhenReadable": "principal-process-steward|ChangeRequests"
   },
   {
    "FieldGrantId": "fg-process-steward-ChangeRequests.Status",
    "Principal": "principal-process-steward",
    "TargetField": "ChangeRequests.Status",
    "CanRead": true,
    "CanWrite": false,
    "MaskStrategy": "plain",
    "SemanticTypeIri": "urn:effortless:pko-extension#FieldGrant",
    "Name": "principal-process-steward -&gt; ChangeRequests.Status",
    "FieldTable": "ChangeRequests",
    "FieldName": "Status",
    "FieldIsDerived": false,
    "IsWritableDerivedField": false,
    "IsMasked": false,
    "GrantKeyWhenReadable": "principal-process-steward|ChangeRequests"
   },
   {
    "FieldGrantId": "fg-process-steward-ChangeRequests.RequestedByAgent",
    "Principal": "principal-process-steward",
    "TargetField": "ChangeRequests.RequestedByAgent",
    "CanRead": true,
    "CanWrite": false,
    "MaskStrategy": "plain",
    "SemanticTypeIri": "urn:effortless:pko-extension#FieldGrant",
    "Name": "principal-process-steward -&gt; ChangeRequests.RequestedByAgent",
    "FieldTable": "ChangeRequests",
    "FieldName": "RequestedByAgent",
    "FieldIsDerived": false,
    "IsWritableDerivedField": false,
    "IsMasked": false,
    "GrantKeyWhenReadable": "principal-process-steward|ChangeRequests"
   },
   {
    "FieldGrantId": "fg-process-steward-ChangeRequests.AuthorityRole",
    "Principal": "principal-process-steward",
    "TargetField": "ChangeRequests.AuthorityRole",
    "CanRead": true,
    "CanWrite": false,
    "MaskStrategy": "plain",
    "SemanticTypeIri": "urn:effortless:pko-extension#FieldGrant",
    "Name": "principal-process-steward -&gt; ChangeRequests.AuthorityRole",
    "FieldTable": "ChangeRequests",
    "FieldName": "AuthorityRole",
    "FieldIsDerived": false,
    "IsWritableDerivedField": false,
    "IsMasked": false,
    "GrantKeyWhenReadable": "principal-process-steward|ChangeRequests"
   },
   {
    "FieldGrantId": "fg-process-steward-ChangeRequests.RequestedAt",
    "Principal": "principal-process-steward",
    "TargetField": "ChangeRequests.RequestedAt",
    "CanRead": true,
    "CanWrite": false,
    "MaskStrategy": "plain",
    "SemanticTypeIri": "urn:effortless:pko-extension#FieldGrant",
    "Name": "principal-process-steward -&gt; ChangeRequests.RequestedAt",
    "FieldTable": "ChangeRequests",
    "FieldName": "RequestedAt",
    "FieldIsDerived": false,
    "IsWritableDerivedField": false,
    "IsMasked": false,
    "GrantKeyWhenReadable": "principal-process-steward|ChangeRequests"
   },
   {
    "FieldGrantId": "fg-process-steward-ChangeRequests.DecidedAt",
    "Principal": "principal-process-steward",
    "TargetField": "ChangeRequests.DecidedAt",
    "CanRead": true,
    "CanWrite": false,
    "MaskStrategy": "plain",
    "SemanticTypeIri": "urn:effortless:pko-extension#FieldGrant",
    "Name": "principal-process-steward -&gt; ChangeRequests.DecidedAt",
    "FieldTable": "ChangeRequests",
    "FieldName": "DecidedAt",
    "FieldIsDerived": false,
    "IsWritableDerivedField": false,
    "IsMasked": false,
    "GrantKeyWhenReadable": "principal-process-steward|ChangeRequests"
   },
   {
    "FieldGrantId": "fg-process-steward-ChangeRequests.ImpactAssessment",
    "Principal": "principal-process-steward",
    "TargetField": "ChangeRequests.ImpactAssessment",
    "CanRead": true,
    "CanWrite": false,
    "MaskStrategy": "plain",
    "SemanticTypeIri": "urn:effortless:pko-extension#FieldGrant",
    "Name": "principal-process-steward -&gt; ChangeRequests.ImpactAssessment",
    "FieldTable": "ChangeRequests",
    "FieldName": "ImpactAssessment",
    "FieldIsDerived": false,
    "IsWritableDerivedField": false,
    "IsMasked": false,
    "GrantKeyWhenReadable": "principal-process-steward|ChangeRequests"
   },
   {
    "FieldGrantId": "fg-process-steward-ChangeRequests.IsOpen",
    "Principal": "principal-process-steward",
    "TargetField": "ChangeRequests.IsOpen",
    "CanRead": true,
    "CanWrite": false,
    "MaskStrategy": "plain",
    "SemanticTypeIri": "urn:effortless:pko-extension#FieldGrant",
    "Name": "principal-process-steward -&gt; ChangeRequests.IsOpen",
    "FieldTable": "ChangeRequests",
    "FieldName": "IsOpen",
    "FieldIsDerived": true,
    "IsWritableDerivedField": false,
    "IsMasked": false,
    "GrantKeyWhenReadable": "principal-process-steward|ChangeRequests"
   },
   {
    "FieldGrantId": "fg-process-steward-ChangeRequests.OpenChangeVersionKey",
    "Principal": "principal-process-steward",
    "TargetField": "ChangeRequests.OpenChangeVersionKey",
    "CanRead": true,
    "CanWrite": false,
    "MaskStrategy": "plain",
    "SemanticTypeIri": "urn:effortless:pko-extension#FieldGrant",
    "Name": "principal-process-steward -&gt; ChangeRequests.OpenChangeVersionKey",
    "FieldTable": "ChangeRequests",
    "FieldName": "OpenChangeVersionKey",
    "FieldIsDerived": true,
    "IsWritableDerivedField": false,
    "IsMasked": false,
    "GrantKeyWhenReadable": "principal-process-steward|ChangeRequests"
   },
   {
    "FieldGrantId": "fg-process-steward-ChangeRequests.IsDecided",
    "Principal": "principal-process-steward",
    "TargetField": "ChangeRequests.IsDecided",
    "CanRead": true,
    "CanWrite": false,
    "MaskStrategy": "plain",
    "SemanticTypeIri": "urn:effortless:pko-extension#FieldGrant",
    "Name": "principal-process-steward -&gt; ChangeRequests.IsDecided",
    "FieldTable": "ChangeRequests",
    "FieldName": "IsDecided",
    "FieldIsDerived": true,
    "IsWritableDerivedField": false,
    "IsMasked": false,
    "GrantKeyWhenReadable": "principal-process-steward|ChangeRequests"
   },
   {
    "FieldGrantId": "fg-process-steward-ChangeRequests.EvaluationContext",
    "Principal": "principal-process-steward",
    "TargetField": "ChangeRequests.EvaluationContext",
    "CanRead": true,
    "CanWrite": false,
    "MaskStrategy": "plain",
    "SemanticTypeIri": "urn:effortless:pko-extension#FieldGrant",
    "Name": "principal-process-steward -&gt; ChangeRequests.EvaluationContext",
    "FieldTable": "ChangeRequests",
    "FieldName": "EvaluationContext",
    "FieldIsDerived": false,
    "IsWritableDerivedField": false,
    "IsMasked": false,
    "GrantKeyWhenReadable": "principal-process-steward|ChangeRequests"
   },
   {
    "FieldGrantId": "fg-process-steward-ChangeRequests.AsOfInstant",
    "Principal": "principal-process-steward",
    "TargetField": "ChangeRequests.AsOfInstant",
    "CanRead": true,
    "CanWrite": false,
    "MaskStrategy": "plain",
    "SemanticTypeIri": "urn:effortless:pko-extension#FieldGrant",
    "Name": "principal-process-steward -&gt; ChangeRequests.AsOfInstant",
    "FieldTable": "ChangeRequests",
    "FieldName": "AsOfInstant",
    "FieldIsDerived": true,
    "IsWritableDerivedField": false,
    "IsMasked": false,
    "GrantKeyWhenReadable": "principal-process-steward|ChangeRequests"
   },
   {
    "FieldGrantId": "fg-process-steward-ChangeRequests.DaysPending",
    "Principal": "principal-process-steward",
    "TargetField": "ChangeRequests.DaysPending",
    "CanRead": true,
    "CanWrite": false,
    "MaskStrategy": "plain",
    "SemanticTypeIri": "urn:effortless:pko-extension#FieldGrant",
    "Name": "principal-process-steward -&gt; ChangeRequests.DaysPending",
    "FieldTable": "ChangeRequests",
    "FieldName": "DaysPending",
    "FieldIsDerived": true,
    "IsWritableDerivedField": false,
    "IsMasked": false,
    "GrantKeyWhenReadable": "principal-process-steward|ChangeRequests"
   },
   {
    "FieldGrantId": "fg-process-steward-ChangeRequests.IsStillPending",
    "Principal": "principal-process-steward",
    "TargetField": "ChangeRequests.IsStillPending",
    "CanRead": true,
    "CanWrite": false,
    "MaskStrategy": "plain",
    "SemanticTypeIri": "urn:effortless:pko-extension#FieldGrant",
    "Name": "principal-process-steward -&gt; ChangeRequests.IsStillPending",
    "FieldTable": "ChangeRequests",
    "FieldName": "IsStillPending",
    "FieldIsDerived": true,
    "IsWritableDerivedField": false,
    "IsMasked": false,
    "GrantKeyWhenReadable": "principal-process-steward|ChangeRequests"
   },
   {
    "FieldGrantId": "fg-process-steward-ChangeRequests.IsStalled",
    "Principal": "principal-process-steward",
    "TargetField": "ChangeRequests.IsStalled",
    "CanRead": true,
    "CanWrite": false,
    "MaskStrategy": "plain",
    "SemanticTypeIri": "urn:effortless:pko-extension#FieldGrant",
    "Name": "principal-process-steward -&gt; ChangeRequests.IsStalled",
    "FieldTable": "ChangeRequests",
    "FieldName": "IsStalled",
    "FieldIsDerived": true,
    "IsWritableDerivedField": false,
    "IsMasked": false,
    "GrantKeyWhenReadable": "principal-process-steward|ChangeRequests"
   },
   {
    "FieldGrantId": "fg-process-steward-ChangeRequests.AuthorityAgent",
    "Principal": "principal-process-steward",
    "TargetField": "ChangeRequests.AuthorityAgent",
    "CanRead": true,
    "CanWrite": false,
    "MaskStrategy": "plain",
    "SemanticTypeIri": "urn:effortless:pko-extension#FieldGrant",
    "Name": "principal-process-steward -&gt; ChangeRequests.AuthorityAgent",
    "FieldTable": "ChangeRequests",
    "FieldName": "AuthorityAgent",
    "FieldIsDerived": true,
    "IsWritableDerivedField": false,
    "IsMasked": false,
    "GrantKeyWhenReadable": "principal-process-steward|ChangeRequests"
   },
   {
    "FieldGrantId": "fg-process-steward-ChangeRequests.RequesterIsAuthority",
    "Principal": "principal-process-steward",
    "TargetField": "ChangeRequests.RequesterIsAuthority",
    "CanRead": true,
    "CanWrite": false,
    "MaskStrategy": "plain",
    "SemanticTypeIri": "urn:effortless:pko-extension#FieldGrant",
    "Name": "principal-process-steward -&gt; ChangeRequests.RequesterIsAuthority",
    "FieldTable": "ChangeRequests",
    "FieldName": "RequesterIsAuthority",
    "FieldIsDerived": true,
    "IsWritableDerivedField": false,
    "IsMasked": false,
    "GrantKeyWhenReadable": "principal-process-steward|ChangeRequests"
   },
   {
    "FieldGrantId": "fg-process-steward-ChangeRequests.AwaitsAuthorityDecision",
    "Principal": "principal-process-steward",
    "TargetField": "ChangeRequests.AwaitsAuthorityDecision",
    "CanRead": true,
    "CanWrite": false,
    "MaskStrategy": "plain",
    "SemanticTypeIri": "urn:effortless:pko-extension#FieldGrant",
    "Name": "principal-process-steward -&gt; ChangeRequests.AwaitsAuthorityDecision",
    "FieldTable": "ChangeRequests",
    "FieldName": "AwaitsAuthorityDecision",
    "FieldIsDerived": true,
    "IsWritableDerivedField": false,
    "IsMasked": false,
    "GrantKeyWhenReadable": "principal-process-steward|ChangeRequests"
   },
   {
    "FieldGrantId": "fg-process-steward-ChangeRequests.AuthorityRoleLabel",
    "Principal": "principal-process-steward",
    "TargetField": "ChangeRequests.AuthorityRoleLabel",
    "CanRead": true,
    "CanWrite": false,
    "MaskStrategy": "plain",
    "SemanticTypeIri": "urn:effortless:pko-extension#FieldGrant",
    "Name": "principal-process-steward -&gt; ChangeRequests.AuthorityRoleLabel",
    "FieldTable": "ChangeRequests",
    "FieldName": "AuthorityRoleLabel",
    "FieldIsDerived": true,
    "IsWritableDerivedField": false,
    "IsMasked": false,
    "GrantKeyWhenReadable": "principal-process-steward|ChangeRequests"
   },
   {
    "FieldGrantId": "fg-process-steward-ChangeRequests.TouchesLiveVersion",
    "Principal": "principal-process-steward",
    "TargetField": "ChangeRequests.TouchesLiveVersion",
    "CanRead": true,
    "CanWrite": false,
    "MaskStrategy": "plain",
    "SemanticTypeIri": "urn:effortless:pko-extension#FieldGrant",
    "Name": "principal-process-steward -&gt; ChangeRequests.TouchesLiveVersion",
    "FieldTable": "ChangeRequests",
    "FieldName": "TouchesLiveVersion",
    "FieldIsDerived": true,
    "IsWritableDerivedField": false,
    "IsMasked": false,
    "GrantKeyWhenReadable": "principal-process-steward|ChangeRequests"
   },
   {
    "FieldGrantId": "fg-process-steward-ChangeRequests.IsLiveDecisionBacklog",
    "Principal": "principal-process-steward",
    "TargetField": "ChangeRequests.IsLiveDecisionBacklog",
    "CanRead": true,
    "CanWrite": false,
    "MaskStrategy": "plain",
    "SemanticTypeIri": "urn:effortless:pko-extension#FieldGrant",
    "Name": "principal-process-steward -&gt; ChangeRequests.IsLiveDecisionBacklog",
    "FieldTable": "ChangeRequests",
    "FieldName": "IsLiveDecisionBacklog",
    "FieldIsDerived": true,
    "IsWritableDerivedField": false,
    "IsMasked": false,
    "GrantKeyWhenReadable": "principal-process-steward|ChangeRequests"
   },
   {
    "FieldGrantId": "fg-process-steward-ChangeRequests.BlocksAnOpenGap",
    "Principal": "principal-process-steward",
    "TargetField": "ChangeRequests.BlocksAnOpenGap",
    "CanRead": true,
    "CanWrite": false,
    "MaskStrategy": "plain",
    "SemanticTypeIri": "urn:effortless:pko-extension#FieldGrant",
    "Name": "principal-process-steward -&gt; ChangeRequests.BlocksAnOpenGap",
    "FieldTable": "ChangeRequests",
    "FieldName": "BlocksAnOpenGap",
    "FieldIsDerived": true,
    "IsWritableDerivedField": false,
    "IsMasked": false,
    "GrantKeyWhenReadable": "principal-process-steward|ChangeRequests"
   },
   {
    "FieldGrantId": "fg-process-steward-ChangeRequests.ImplementedAt",
    "Principal": "principal-process-steward",
    "TargetField": "ChangeRequests.ImplementedAt",
    "CanRead": true,
    "CanWrite": false,
    "MaskStrategy": "plain",
    "SemanticTypeIri": "urn:effortless:pko-extension#FieldGrant",
    "Name": "principal-process-steward -&gt; ChangeRequests.ImplementedAt",
    "FieldTable": "ChangeRequests",
    "FieldName": "ImplementedAt",
    "FieldIsDerived": false,
    "IsWritableDerivedField": false,
    "IsMasked": false,
    "GrantKeyWhenReadable": "principal-process-steward|ChangeRequests"
   },
   {
    "FieldGrantId": "fg-process-steward-ChangeRequests.BacklogVersionKey",
    "Principal": "principal-process-steward",
    "TargetField": "ChangeRequests.BacklogVersionKey",
    "CanRead": true,
    "CanWrite": false,
    "MaskStrategy": "plain",
    "SemanticTypeIri": "urn:effortless:pko-extension#FieldGrant",
    "Name": "principal-process-steward -&gt; ChangeRequests.BacklogVersionKey",
    "FieldTable": "ChangeRequests",
    "FieldName": "BacklogVersionKey",
    "FieldIsDerived": true,
    "IsWritableDerivedField": false,
    "IsMasked": false,
    "GrantKeyWhenReadable": "principal-process-steward|ChangeRequests"
   },
   {
    "FieldGrantId": "fg-process-steward-ChangeRequests.IsMyPendingDecision",
    "Principal": "principal-process-steward",
    "TargetField": "ChangeRequests.IsMyPendingDecision",
    "CanRead": true,
    "CanWrite": false,
    "MaskStrategy": "plain",
    "SemanticTypeIri": "urn:effortless:pko-extension#FieldGrant",
    "Name": "principal-process-steward -&gt; ChangeRequests.IsMyPendingDecision",
    "FieldTable": "ChangeRequests",
    "FieldName": "IsMyPendingDecision",
    "FieldIsDerived": true,
    "IsWritableDerivedField": false,
    "IsMasked": false,
    "GrantKeyWhenReadable": "principal-process-steward|ChangeRequests"
   },
   {
    "FieldGrantId": "fg-process-steward-ChangeRequests.IsMyBlockingBacklog",
    "Principal": "principal-process-steward",
    "TargetField": "ChangeRequests.IsMyBlockingBacklog",
    "CanRead": true,
    "CanWrite": false,
    "MaskStrategy": "plain",
    "SemanticTypeIri": "urn:effortless:pko-extension#FieldGrant",
    "Name": "principal-process-steward -&gt; ChangeRequests.IsMyBlockingBacklog",
    "FieldTable": "ChangeRequests",
    "FieldName": "IsMyBlockingBacklog",
    "FieldIsDerived": true,
    "IsWritableDerivedField": false,
    "IsMasked": false,
    "GrantKeyWhenReadable": "principal-process-steward|ChangeRequests"
   },
   {
    "FieldGrantId": "fg-process-steward-ChangeRequests.IsMyOverdueBacklog",
    "Principal": "principal-process-steward",
    "TargetField": "ChangeRequests.IsMyOverdueBacklog",
    "CanRead": true,
    "CanWrite": false,
    "MaskStrategy": "plain",
    "SemanticTypeIri": "urn:effortless:pko-extension#FieldGrant",
    "Name": "principal-process-steward -&gt; ChangeRequests.IsMyOverdueBacklog",
    "FieldTable": "ChangeRequests",
    "FieldName": "IsMyOverdueBacklog",
    "FieldIsDerived": true,
    "IsWritableDerivedField": false,
    "IsMasked": false,
    "GrantKeyWhenReadable": "principal-process-steward|ChangeRequests"
   },
   {
    "FieldGrantId": "fg-process-steward-ChangeRequests.IsImplemented",
    "Principal": "principal-process-steward",
    "TargetField": "ChangeRequests.IsImplemented",
    "CanRead": true,
    "CanWrite": false,
    "MaskStrategy": "plain",
    "SemanticTypeIri": "urn:effortless:pko-extension#FieldGrant",
    "Name": "principal-process-steward -&gt; ChangeRequests.IsImplemented",
    "FieldTable": "ChangeRequests",
    "FieldName": "IsImplemented",
    "FieldIsDerived": true,
    "IsWritableDerivedField": false,
    "IsMasked": false,
    "GrantKeyWhenReadable": "principal-process-steward|ChangeRequests"
   },
   {
    "FieldGrantId": "fg-process-steward-ChangeRequests.IsMyDecidedRequest",
    "Principal": "principal-process-steward",
    "TargetField": "ChangeRequests.IsMyDecidedRequest",
    "CanRead": true,
    "CanWrite": false,
    "MaskStrategy": "plain",
    "SemanticTypeIri": "urn:effortless:pko-extension#FieldGrant",
    "Name": "principal-process-steward -&gt; ChangeRequests.IsMyDecidedRequest",
    "FieldTable": "ChangeRequests",
    "FieldName": "IsMyDecidedRequest",
    "FieldIsDerived": true,
    "IsWritableDerivedField": false,
    "IsMasked": false,
    "GrantKeyWhenReadable": "principal-process-steward|ChangeRequests"
   },
   {
    "FieldGrantId": "fg-process-steward-ChangeRequests.IsMyDecidedButUnlanded",
    "Principal": "principal-process-steward",
    "TargetField": "ChangeRequests.IsMyDecidedButUnlanded",
    "CanRead": true,
    "CanWrite": false,
    "MaskStrategy": "plain",
    "SemanticTypeIri": "urn:effortless:pko-extension#FieldGrant",
    "Name": "principal-process-steward -&gt; ChangeRequests.IsMyDecidedButUnlanded",
    "FieldTable": "ChangeRequests",
    "FieldName": "IsMyDecidedButUnlanded",
    "FieldIsDerived": true,
    "IsWritableDerivedField": false,
    "IsMasked": false,
    "GrantKeyWhenReadable": "principal-process-steward|ChangeRequests"
   },
   {
    "FieldGrantId": "fg-process-steward-ChangeRequests.DecisionLatencyDays",
    "Principal": "principal-process-steward",
    "TargetField": "ChangeRequests.DecisionLatencyDays",
    "CanRead": true,
    "CanWrite": false,
    "MaskStrategy": "plain",
    "SemanticTypeIri": "urn:effortless:pko-extension#FieldGrant",
    "Name": "principal-process-steward -&gt; ChangeRequests.DecisionLatencyDays",
    "FieldTable": "ChangeRequests",
    "FieldName": "DecisionLatencyDays",
    "FieldIsDerived": true,
    "IsWritableDerivedField": false,
    "IsMasked": false,
    "GrantKeyWhenReadable": "principal-process-steward|ChangeRequests"
   },
   {
    "FieldGrantId": "fg-process-steward-ChangeRequests.ImplementationLatencyDays",
    "Principal": "principal-process-steward",
    "TargetField": "ChangeRequests.ImplementationLatencyDays",
    "CanRead": true,
    "CanWrite": false,
    "MaskStrategy": "plain",
    "SemanticTypeIri": "urn:effortless:pko-extension#FieldGrant",
    "Name": "principal-process-steward -&gt; ChangeRequests.ImplementationLatencyDays",
    "FieldTable": "ChangeRequests",
    "FieldName": "ImplementationLatencyDays",
    "FieldIsDerived": true,
    "IsWritableDerivedField": false,
    "IsMasked": false,
    "GrantKeyWhenReadable": "principal-process-steward|ChangeRequests"
   },
   {
    "FieldGrantId": "fg-process-steward-ChangeRequests.DelayIsDownstreamOfMe",
    "Principal": "principal-process-steward",
    "TargetField": "ChangeRequests.DelayIsDownstreamOfMe",
    "CanRead": true,
    "CanWrite": false,
    "MaskStrategy": "plain",
    "SemanticTypeIri": "urn:effortless:pko-extension#FieldGrant",
    "Name": "principal-process-steward -&gt; ChangeRequests.DelayIsDownstreamOfMe",
    "FieldTable": "ChangeRequests",
    "FieldName": "DelayIsDownstreamOfMe",
    "FieldIsDerived": true,
    "IsWritableDerivedField": false,
    "IsMasked": false,
    "GrantKeyWhenReadable": "principal-process-steward|ChangeRequests"
   },
   {
    "FieldGrantId": "fg-process-steward-ChangeRequests.UnlandedVersionKey",
    "Principal": "principal-process-steward",
    "TargetField": "ChangeRequests.UnlandedVersionKey",
    "CanRead": true,
    "CanWrite": false,
    "MaskStrategy": "plain",
    "SemanticTypeIri": "urn:effortless:pko-extension#FieldGrant",
    "Name": "principal-process-steward -&gt; ChangeRequests.UnlandedVersionKey",
    "FieldTable": "ChangeRequests",
    "FieldName": "UnlandedVersionKey",
    "FieldIsDerived": true,
    "IsWritableDerivedField": false,
    "IsMasked": false,
    "GrantKeyWhenReadable": "principal-process-steward|ChangeRequests"
   },
   {
    "FieldGrantId": "fg-process-steward-ChangeRequests.IsApprovedNotImplemented",
    "Principal": "principal-process-steward",
    "TargetField": "ChangeRequests.IsApprovedNotImplemented",
    "CanRead": true,
    "CanWrite": false,
    "MaskStrategy": "plain",
    "SemanticTypeIri": "urn:effortless:pko-extension#FieldGrant",
    "Name": "principal-process-steward -&gt; ChangeRequests.IsApprovedNotImplemented",
    "FieldTable": "ChangeRequests",
    "FieldName": "IsApprovedNotImplemented",
    "FieldIsDerived": true,
    "IsWritableDerivedField": false,
    "IsMasked": false,
    "GrantKeyWhenReadable": "principal-process-steward|ChangeRequests"
   },
   {
    "FieldGrantId": "fg-process-steward-ChangeRequests.DaysSinceApproval",
    "Principal": "principal-process-steward",
    "TargetField": "ChangeRequests.DaysSinceApproval",
    "CanRead": true,
    "CanWrite": false,
    "MaskStrategy": "plain",
    "SemanticTypeIri": "urn:effortless:pko-extension#FieldGrant",
    "Name": "principal-process-steward -&gt; ChangeRequests.DaysSinceApproval",
    "FieldTable": "ChangeRequests",
    "FieldName": "DaysSinceApproval",
    "FieldIsDerived": true,
    "IsWritableDerivedField": false,
    "IsMasked": false,
    "GrantKeyWhenReadable": "principal-process-steward|ChangeRequests"
   },
   {
    "FieldGrantId": "fg-process-steward-ChangeRequests.IsStalledImplementation",
    "Principal": "principal-process-steward",
    "TargetField": "ChangeRequests.IsStalledImplementation",
    "CanRead": true,
    "CanWrite": false,
    "MaskStrategy": "plain",
    "SemanticTypeIri": "urn:effortless:pko-extension#FieldGrant",
    "Name": "principal-process-steward -&gt; ChangeRequests.IsStalledImplementation",
    "FieldTable": "ChangeRequests",
    "FieldName": "IsStalledImplementation",
    "FieldIsDerived": true,
    "IsWritableDerivedField": false,
    "IsMasked": false,
    "GrantKeyWhenReadable": "principal-process-steward|ChangeRequests"
   },
   {
    "FieldGrantId": "fg-process-steward-ChangeRequests.StalledImplementationVersionKey",
    "Principal": "principal-process-steward",
    "TargetField": "ChangeRequests.StalledImplementationVersionKey",
    "CanRead": true,
    "CanWrite": false,
    "MaskStrategy": "plain",
    "SemanticTypeIri": "urn:effortless:pko-extension#FieldGrant",
    "Name": "principal-process-steward -&gt; ChangeRequests.StalledImplementationVersionKey",
    "FieldTable": "ChangeRequests",
    "FieldName": "StalledImplementationVersionKey",
    "FieldIsDerived": true,
    "IsWritableDerivedField": false,
    "IsMasked": false,
    "GrantKeyWhenReadable": "principal-process-steward|ChangeRequests"
   },
   {
    "FieldGrantId": "fg-process-steward-ChangeRequests.ApprovedVersionKey",
    "Principal": "principal-process-steward",
    "TargetField": "ChangeRequests.ApprovedVersionKey",
    "CanRead": true,
    "CanWrite": false,
    "MaskStrategy": "plain",
    "SemanticTypeIri": "urn:effortless:pko-extension#FieldGrant",
    "Name": "principal-process-steward -&gt; ChangeRequests.ApprovedVersionKey",
    "FieldTable": "ChangeRequests",
    "FieldName": "ApprovedVersionKey",
    "FieldIsDerived": true,
    "IsWritableDerivedField": false,
    "IsMasked": false,
    "GrantKeyWhenReadable": "principal-process-steward|ChangeRequests"
   },
   {
    "FieldGrantId": "fg-process-steward-ChangeRequests.IsApprovedDecision",
    "Principal": "principal-process-steward",
    "TargetField": "ChangeRequests.IsApprovedDecision",
    "CanRead": true,
    "CanWrite": false,
    "MaskStrategy": "plain",
    "SemanticTypeIri": "urn:effortless:pko-extension#FieldGrant",
    "Name": "principal-process-steward -&gt; ChangeRequests.IsApprovedDecision",
    "FieldTable": "ChangeRequests",
    "FieldName": "IsApprovedDecision",
    "FieldIsDerived": true,
    "IsWritableDerivedField": false,
    "IsMasked": false,
    "GrantKeyWhenReadable": "principal-process-steward|ChangeRequests"
   },
   {
    "FieldGrantId": "fg-process-steward-ChangeRequests.Semantic</t>
  </si>
  <si>
    <t xml:space="preserve">TypeIri",
    "Principal": "principal-process-steward",
    "TargetField": "ChangeRequests.SemanticTypeIri",
    "CanRead": true,
    "CanWrite": false,
    "MaskStrategy": "plain",
    "SemanticTypeIri": "urn:effortless:pko-extension#FieldGrant",
    "Name": "principal-process-steward -&gt; ChangeRequests.SemanticTypeIri",
    "FieldTable": "ChangeRequests",
    "FieldName": "SemanticTypeIri",
    "FieldIsDerived": false,
    "IsWritableDerivedField": false,
    "IsMasked": false,
    "GrantKeyWhenReadable": "principal-process-steward|ChangeRequests"
   },
   {
    "FieldGrantId": "fg-process-steward-CommunicationPolicies.CommunicationPolicyId",
    "Principal": "principal-process-steward",
    "TargetField": "CommunicationPolicies.CommunicationPolicyId",
    "CanRead": true,
    "CanWrite": false,
    "MaskStrategy": "plain",
    "SemanticTypeIri": "urn:effortless:pko-extension#FieldGrant",
    "Name": "principal-process-steward -&gt; CommunicationPolicies.CommunicationPolicyId",
    "FieldTable": "CommunicationPolicies",
    "FieldName": "CommunicationPolicyId",
    "FieldIsDerived": false,
    "IsWritableDerivedField": false,
    "IsMasked": false,
    "GrantKeyWhenReadable": "principal-process-steward|CommunicationPolicies"
   },
   {
    "FieldGrantId": "fg-process-steward-CommunicationPolicies.Name",
    "Principal": "principal-process-steward",
    "TargetField": "CommunicationPolicies.Name",
    "CanRead": true,
    "CanWrite": false,
    "MaskStrategy": "plain",
    "SemanticTypeIri": "urn:effortless:pko-extension#FieldGrant",
    "Name": "principal-process-steward -&gt; CommunicationPolicies.Name",
    "FieldTable": "CommunicationPolicies",
    "FieldName": "Name",
    "FieldIsDerived": true,
    "IsWritableDerivedField": false,
    "IsMasked": false,
    "GrantKeyWhenReadable": "principal-process-steward|CommunicationPolicies"
   },
   {
    "FieldGrantId": "fg-process-steward-CommunicationPolicies.ProcedureVersion",
    "Principal": "principal-process-steward",
    "TargetField": "CommunicationPolicies.ProcedureVersion",
    "CanRead": true,
    "CanWrite": false,
    "MaskStrategy": "plain",
    "SemanticTypeIri": "urn:effortless:pko-extension#FieldGrant",
    "Name": "principal-process-steward -&gt; CommunicationPolicies.ProcedureVersion",
    "FieldTable": "CommunicationPolicies",
    "FieldName": "ProcedureVersion",
    "FieldIsDerived": false,
    "IsWritableDerivedField": false,
    "IsMasked": false,
    "GrantKeyWhenReadable": "principal-process-steward|CommunicationPolicies"
   },
   {
    "FieldGrantId": "fg-process-steward-CommunicationPolicies.Channel",
    "Principal": "principal-process-steward",
    "TargetField": "CommunicationPolicies.Channel",
    "CanRead": true,
    "CanWrite": false,
    "MaskStrategy": "plain",
    "SemanticTypeIri": "urn:effortless:pko-extension#FieldGrant",
    "Name": "principal-process-steward -&gt; CommunicationPolicies.Channel",
    "FieldTable": "CommunicationPolicies",
    "FieldName": "Channel",
    "FieldIsDerived": false,
    "IsWritableDerivedField": false,
    "IsMasked": false,
    "GrantKeyWhenReadable": "principal-process-steward|CommunicationPolicies"
   },
   {
    "FieldGrantId": "fg-process-steward-CommunicationPolicies.AudienceRule",
    "Principal": "principal-process-steward",
    "TargetField": "CommunicationPolicies.AudienceRule",
    "CanRead": true,
    "CanWrite": false,
    "MaskStrategy": "plain",
    "SemanticTypeIri": "urn:effortless:pko-extension#FieldGrant",
    "Name": "principal-process-steward -&gt; CommunicationPolicies.AudienceRule",
    "FieldTable": "CommunicationPolicies",
    "FieldName": "AudienceRule",
    "FieldIsDerived": false,
    "IsWritableDerivedField": false,
    "IsMasked": false,
    "GrantKeyWhenReadable": "principal-process-steward|CommunicationPolicies"
   },
   {
    "FieldGrantId": "fg-process-steward-CommunicationPolicies.ConsentRequired",
    "Principal": "principal-process-steward",
    "TargetField": "CommunicationPolicies.ConsentRequired",
    "CanRead": true,
    "CanWrite": false,
    "MaskStrategy": "plain",
    "SemanticTypeIri": "urn:effortless:pko-extension#FieldGrant",
    "Name": "principal-process-steward -&gt; CommunicationPolicies.ConsentRequired",
    "FieldTable": "CommunicationPolicies",
    "FieldName": "ConsentRequired",
    "FieldIsDerived": false,
    "IsWritableDerivedField": false,
    "IsMasked": false,
    "GrantKeyWhenReadable": "principal-process-steward|CommunicationPolicies"
   },
   {
    "FieldGrantId": "fg-process-steward-CommunicationPolicies.QuietHoursStart",
    "Principal": "principal-process-steward",
    "TargetField": "CommunicationPolicies.QuietHoursStart",
    "CanRead": true,
    "CanWrite": false,
    "MaskStrategy": "plain",
    "SemanticTypeIri": "urn:effortless:pko-extension#FieldGrant",
    "Name": "principal-process-steward -&gt; CommunicationPolicies.QuietHoursStart",
    "FieldTable": "CommunicationPolicies",
    "FieldName": "QuietHoursStart",
    "FieldIsDerived": false,
    "IsWritableDerivedField": false,
    "IsMasked": false,
    "GrantKeyWhenReadable": "principal-process-steward|CommunicationPolicies"
   },
   {
    "FieldGrantId": "fg-process-steward-CommunicationPolicies.QuietHoursEnd",
    "Principal": "principal-process-steward",
    "TargetField": "CommunicationPolicies.QuietHoursEnd",
    "CanRead": true,
    "CanWrite": false,
    "MaskStrategy": "plain",
    "SemanticTypeIri": "urn:effortless:pko-extension#FieldGrant",
    "Name": "principal-process-steward -&gt; CommunicationPolicies.QuietHoursEnd",
    "FieldTable": "CommunicationPolicies",
    "FieldName": "QuietHoursEnd",
    "FieldIsDerived": false,
    "IsWritableDerivedField": false,
    "IsMasked": false,
    "GrantKeyWhenReadable": "principal-process-steward|CommunicationPolicies"
   },
   {
    "FieldGrantId": "fg-process-steward-CommunicationPolicies.MaxMessageLength",
    "Principal": "principal-process-steward",
    "TargetField": "CommunicationPolicies.MaxMessageLength",
    "CanRead": true,
    "CanWrite": false,
    "MaskStrategy": "plain",
    "SemanticTypeIri": "urn:effortless:pko-extension#FieldGrant",
    "Name": "principal-process-steward -&gt; CommunicationPolicies.MaxMessageLength",
    "FieldTable": "CommunicationPolicies",
    "FieldName": "MaxMessageLength",
    "FieldIsDerived": false,
    "IsWritableDerivedField": false,
    "IsMasked": false,
    "GrantKeyWhenReadable": "principal-process-steward|CommunicationPolicies"
   },
   {
    "FieldGrantId": "fg-process-steward-CommunicationPolicies.MaxSegments",
    "Principal": "principal-process-steward",
    "TargetField": "CommunicationPolicies.MaxSegments",
    "CanRead": true,
    "CanWrite": false,
    "MaskStrategy": "plain",
    "SemanticTypeIri": "urn:effortless:pko-extension#FieldGrant",
    "Name": "principal-process-steward -&gt; CommunicationPolicies.MaxSegments",
    "FieldTable": "CommunicationPolicies",
    "FieldName": "MaxSegments",
    "FieldIsDerived": false,
    "IsWritableDerivedField": false,
    "IsMasked": false,
    "GrantKeyWhenReadable": "principal-process-steward|CommunicationPolicies"
   },
   {
    "FieldGrantId": "fg-process-steward-CommunicationPolicies.RetentionDays",
    "Principal": "principal-process-steward",
    "TargetField": "CommunicationPolicies.RetentionDays",
    "CanRead": true,
    "CanWrite": false,
    "MaskStrategy": "plain",
    "SemanticTypeIri": "urn:effortless:pko-extension#FieldGrant",
    "Name": "principal-process-steward -&gt; CommunicationPolicies.RetentionDays",
    "FieldTable": "CommunicationPolicies",
    "FieldName": "RetentionDays",
    "FieldIsDerived": false,
    "IsWritableDerivedField": false,
    "IsMasked": false,
    "GrantKeyWhenReadable": "principal-process-steward|CommunicationPolicies"
   },
   {
    "FieldGrantId": "fg-process-steward-CommunicationPolicies.ApprovalRole",
    "Principal": "principal-process-steward",
    "TargetField": "CommunicationPolicies.ApprovalRole",
    "CanRead": true,
    "CanWrite": false,
    "MaskStrategy": "plain",
    "SemanticTypeIri": "urn:effortless:pko-extension#FieldGrant",
    "Name": "principal-process-steward -&gt; CommunicationPolicies.ApprovalRole",
    "FieldTable": "CommunicationPolicies",
    "FieldName": "ApprovalRole",
    "FieldIsDerived": false,
    "IsWritableDerivedField": false,
    "IsMasked": false,
    "GrantKeyWhenReadable": "principal-process-steward|CommunicationPolicies"
   },
   {
    "FieldGrantId": "fg-process-steward-CommunicationPolicies.RequiredContent",
    "Principal": "principal-process-steward",
    "TargetField": "CommunicationPolicies.RequiredContent",
    "CanRead": true,
    "CanWrite": false,
    "MaskStrategy": "plain",
    "SemanticTypeIri": "urn:effortless:pko-extension#FieldGrant",
    "Name": "principal-process-steward -&gt; CommunicationPolicies.RequiredContent",
    "FieldTable": "CommunicationPolicies",
    "FieldName": "RequiredContent",
    "FieldIsDerived": false,
    "IsWritableDerivedField": false,
    "IsMasked": false,
    "GrantKeyWhenReadable": "principal-process-steward|CommunicationPolicies"
   },
   {
    "FieldGrantId": "fg-process-steward-CommunicationPolicies.AuthorityStatement",
    "Principal": "principal-process-steward",
    "TargetField": "CommunicationPolicies.AuthorityStatement",
    "CanRead": true,
    "CanWrite": false,
    "MaskStrategy": "plain",
    "SemanticTypeIri": "urn:effortless:pko-extension#FieldGrant",
    "Name": "principal-process-steward -&gt; CommunicationPolicies.AuthorityStatement",
    "FieldTable": "CommunicationPolicies",
    "FieldName": "AuthorityStatement",
    "FieldIsDerived": false,
    "IsWritableDerivedField": false,
    "IsMasked": false,
    "GrantKeyWhenReadable": "principal-process-steward|CommunicationPolicies"
   },
   {
    "FieldGrantId": "fg-process-steward-CommunicationPolicies.Status",
    "Principal": "principal-process-steward",
    "TargetField": "CommunicationPolicies.Status",
    "CanRead": true,
    "CanWrite": false,
    "MaskStrategy": "plain",
    "SemanticTypeIri": "urn:effortless:pko-extension#FieldGrant",
    "Name": "principal-process-steward -&gt; CommunicationPolicies.Status",
    "FieldTable": "CommunicationPolicies",
    "FieldName": "Status",
    "FieldIsDerived": false,
    "IsWritableDerivedField": false,
    "IsMasked": false,
    "GrantKeyWhenReadable": "principal-process-steward|CommunicationPolicies"
   },
   {
    "FieldGrantId": "fg-process-steward-CommunicationPolicies.ConsentViolationCount",
    "Principal": "principal-process-steward",
    "TargetField": "CommunicationPolicies.ConsentViolationCount",
    "CanRead": true,
    "CanWrite": false,
    "MaskStrategy": "plain",
    "SemanticTypeIri": "urn:effortless:pko-extension#FieldGrant",
    "Name": "principal-process-steward -&gt; CommunicationPolicies.ConsentViolationCount",
    "FieldTable": "CommunicationPolicies",
    "FieldName": "ConsentViolationCount",
    "FieldIsDerived": true,
    "IsWritableDerivedField": false,
    "IsMasked": false,
    "GrantKeyWhenReadable": "principal-process-steward|CommunicationPolicies"
   },
   {
    "FieldGrantId": "fg-process-steward-CommunicationPolicies.QuietHoursStartHour",
    "Principal": "principal-process-steward",
    "TargetField": "CommunicationPolicies.QuietHoursStartHour",
    "CanRead": true,
    "CanWrite": false,
    "MaskStrategy": "plain",
    "SemanticTypeIri": "urn:effortless:pko-extension#FieldGrant",
    "Name": "principal-process-steward -&gt; CommunicationPolicies.QuietHoursStartHour",
    "FieldTable": "CommunicationPolicies",
    "FieldName": "QuietHoursStartHour",
    "FieldIsDerived": false,
    "IsWritableDerivedField": false,
    "IsMasked": false,
    "GrantKeyWhenReadable": "principal-process-steward|CommunicationPolicies"
   },
   {
    "FieldGrantId": "fg-process-steward-CommunicationPolicies.QuietHoursEndHour",
    "Principal": "principal-process-steward",
    "TargetField": "CommunicationPolicies.QuietHoursEndHour",
    "CanRead": true,
    "CanWrite": false,
    "MaskStrategy": "plain",
    "SemanticTypeIri": "urn:effortless:pko-extension#FieldGrant",
    "Name": "principal-process-steward -&gt; CommunicationPolicies.QuietHoursEndHour",
    "FieldTable": "CommunicationPolicies",
    "FieldName": "QuietHoursEndHour",
    "FieldIsDerived": false,
    "IsWritableDerivedField": false,
    "IsMasked": false,
    "GrantKeyWhenReadable": "principal-process-steward|CommunicationPolicies"
   },
   {
    "FieldGrantId": "fg-process-steward-CommunicationPolicies.QuietHoursViolationCount",
    "Principal": "principal-process-steward",
    "TargetField": "CommunicationPolicies.QuietHoursViolationCount",
    "CanRead": true,
    "CanWrite": false,
    "MaskStrategy": "plain",
    "SemanticTypeIri": "urn:effortless:pko-extension#FieldGrant",
    "Name": "principal-process-steward -&gt; CommunicationPolicies.QuietHoursViolationCount",
    "FieldTable": "CommunicationPolicies",
    "FieldName": "QuietHoursViolationCount",
    "FieldIsDerived": true,
    "IsWritableDerivedField": false,
    "IsMasked": false,
    "GrantKeyWhenReadable": "principal-process-steward|CommunicationPolicies"
   },
   {
    "FieldGrantId": "fg-process-steward-CommunicationPolicies.RequiredOptOutPhrase",
    "Principal": "principal-process-steward",
    "TargetField": "CommunicationPolicies.RequiredOptOutPhrase",
    "CanRead": true,
    "CanWrite": false,
    "MaskStrategy": "plain",
    "SemanticTypeIri": "urn:effortless:pko-extension#FieldGrant",
    "Name": "principal-process-steward -&gt; CommunicationPolicies.RequiredOptOutPhrase",
    "FieldTable": "CommunicationPolicies",
    "FieldName": "RequiredOptOutPhrase",
    "FieldIsDerived": false,
    "IsWritableDerivedField": false,
    "IsMasked": false,
    "GrantKeyWhenReadable": "principal-process-steward|CommunicationPolicies"
   },
   {
    "FieldGrantId": "fg-process-steward-CommunicationPolicies.IsActivePolicy",
    "Principal": "principal-process-steward",
    "TargetField": "CommunicationPolicies.IsActivePolicy",
    "CanRead": true,
    "CanWrite": false,
    "MaskStrategy": "plain",
    "SemanticTypeIri": "urn:effortless:pko-extension#FieldGrant",
    "Name": "principal-process-steward -&gt; CommunicationPolicies.IsActivePolicy",
    "FieldTable": "CommunicationPolicies",
    "FieldName": "IsActivePolicy",
    "FieldIsDerived": true,
    "IsWritableDerivedField": false,
    "IsMasked": false,
    "GrantKeyWhenReadable": "principal-process-steward|CommunicationPolicies"
   },
   {
    "FieldGrantId": "fg-process-steward-CommunicationPolicies.SemanticTypeIri",
    "Principal": "principal-process-steward",
    "TargetField": "CommunicationPolicies.SemanticTypeIri",
    "CanRead": true,
    "CanWrite": false,
    "MaskStrategy": "plain",
    "SemanticTypeIri": "urn:effortless:pko-extension#FieldGrant",
    "Name": "principal-process-steward -&gt; CommunicationPolicies.SemanticTypeIri",
    "FieldTable": "CommunicationPolicies",
    "FieldName": "SemanticTypeIri",
    "FieldIsDerived": false,
    "IsWritableDerivedField": false,
    "IsMasked": false,
    "GrantKeyWhenReadable": "principal-process-steward|CommunicationPolicies"
   },
   {
    "FieldGrantId": "fg-process-steward-CommunitiesOfPractice.CommunityOfPracticeId",
    "Principal": "principal-process-steward",
    "TargetField": "CommunitiesOfPractice.CommunityOfPracticeId",
    "CanRead": true,
    "CanWrite": false,
    "MaskStrategy": "plain",
    "SemanticTypeIri": "urn:effortless:pko-extension#FieldGrant",
    "Name": "principal-process-steward -&gt; CommunitiesOfPractice.CommunityOfPracticeId",
    "FieldTable": "CommunitiesOfPractice",
    "FieldName": "CommunityOfPracticeId",
    "FieldIsDerived": false,
    "IsWritableDerivedField": false,
    "IsMasked": false,
    "GrantKeyWhenReadable": "principal-process-steward|CommunitiesOfPractice"
   },
   {
    "FieldGrantId": "fg-process-steward-CommunitiesOfPractice.Name",
    "Principal": "principal-process-steward",
    "TargetField": "CommunitiesOfPractice.Name",
    "CanRead": true,
    "CanWrite": false,
    "MaskStrategy": "plain",
    "SemanticTypeIri": "urn:effortless:pko-extension#FieldGrant",
    "Name": "principal-process-steward -&gt; CommunitiesOfPractice.Name",
    "FieldTable": "CommunitiesOfPractice",
    "FieldName": "Name",
    "FieldIsDerived": true,
    "IsWritableDerivedField": false,
    "IsMasked": false,
    "GrantKeyWhenReadable": "principal-process-steward|CommunitiesOfPractice"
   },
   {
    "FieldGrantId": "fg-process-steward-CommunitiesOfPractice.Label",
    "Principal": "principal-process-steward",
    "TargetField": "CommunitiesOfPractice.Label",
    "CanRead": true,
    "CanWrite": false,
    "MaskStrategy": "plain",
    "SemanticTypeIri": "urn:effortless:pko-extension#FieldGrant",
    "Name": "principal-process-steward -&gt; CommunitiesOfPractice.Label",
    "FieldTable": "CommunitiesOfPractice",
    "FieldName": "Label",
    "FieldIsDerived": false,
    "IsWritableDerivedField": false,
    "IsMasked": false,
    "GrantKeyWhenReadable": "principal-process-steward|CommunitiesOfPractice"
   },
   {
    "FieldGrantId": "fg-process-steward-CommunitiesOfPractice.Organization",
    "Principal": "principal-process-steward",
    "TargetField": "CommunitiesOfPractice.Organization",
    "CanRead": true,
    "CanWrite": false,
    "MaskStrategy": "plain",
    "SemanticTypeIri": "urn:effortless:pko-extension#FieldGrant",
    "Name": "principal-process-steward -&gt; CommunitiesOfPractice.Organization",
    "FieldTable": "CommunitiesOfPractice",
    "FieldName": "Organization",
    "FieldIsDerived": false,
    "IsWritableDerivedField": false,
    "IsMasked": false,
    "GrantKeyWhenReadable": "principal-process-steward|CommunitiesOfPractice"
   },
   {
    "FieldGrantId": "fg-process-steward-CommunitiesOfPractice.StewardRole",
    "Principal": "principal-process-steward",
    "TargetField": "CommunitiesOfPractice.StewardRole",
    "CanRead": true,
    "CanWrite": false,
    "MaskStrategy": "plain",
    "SemanticTypeIri": "urn:effortless:pko-extension#FieldGrant",
    "Name": "principal-process-steward -&gt; CommunitiesOfPractice.StewardRole",
    "FieldTable": "CommunitiesOfPractice",
    "FieldName": "StewardRole",
    "FieldIsDerived": false,
    "IsWritableDerivedField": false,
    "IsMasked": false,
    "GrantKeyWhenReadable": "principal-process-steward|CommunitiesOfPractice"
   },
   {
    "FieldGrantId": "fg-process-steward-CommunitiesOfPractice.Purpose",
    "Principal": "principal-process-steward",
    "TargetField": "CommunitiesOfPractice.Purpose",
    "CanRead": true,
    "CanWrite": false,
    "MaskStrategy": "plain",
    "SemanticTypeIri": "urn:effortless:pko-extension#FieldGrant",
    "Name": "principal-process-steward -&gt; CommunitiesOfPractice.Purpose",
    "FieldTable": "CommunitiesOfPractice",
    "FieldName": "Purpose",
    "FieldIsDerived": false,
    "IsWritableDerivedField": false,
    "IsMasked": false,
    "GrantKeyWhenReadable": "principal-process-steward|CommunitiesOfPractice"
   },
   {
    "FieldGrantId": "fg-process-steward-CommunitiesOfPractice.Cadence",
    "Principal": "principal-process-steward",
    "TargetField": "CommunitiesOfPractice.Cadence",
    "CanRead": true,
    "CanWrite": false,
    "MaskStrategy": "plain",
    "SemanticTypeIri": "urn:effortless:pko-extension#FieldGrant",
    "Name": "principal-process-steward -&gt; CommunitiesOfPractice.Cadence",
    "FieldTable": "CommunitiesOfPractice",
    "FieldName": "Cadence",
    "FieldIsDerived": false,
    "IsWritableDerivedField": false,
    "IsMasked": false,
    "GrantKeyWhenReadable": "principal-process-steward|CommunitiesOfPractice"
   },
   {
    "FieldGrantId": "fg-process-steward-CommunitiesOfPractice.SemanticTypeIri",
    "Principal": "principal-process-steward",
    "TargetField": "CommunitiesOfPractice.SemanticTypeIri",
    "CanRead": true,
    "CanWrite": false,
    "MaskStrategy": "plain",
    "SemanticTypeIri": "urn:effortless:pko-extension#FieldGrant",
    "Name": "principal-process-steward -&gt; CommunitiesOfPractice.SemanticTypeIri",
    "FieldTable": "CommunitiesOfPractice",
    "FieldName": "SemanticTypeIri",
    "FieldIsDerived": false,
    "IsWritableDerivedField": false,
    "IsMasked": false,
    "GrantKeyWhenReadable": "principal-process-steward|CommunitiesOfPractice"
   },
   {
    "FieldGrantId": "fg-process-steward-DeliveredCommunications.DeliveredCommunicationId",
    "Principal": "principal-process-steward",
    "TargetField": "DeliveredCommunications.DeliveredCommunicationId",
    "CanRead": true,
    "CanWrite": false,
    "MaskStrategy": "plain",
    "SemanticTypeIri": "urn:effortless:pko-extension#FieldGrant",
    "Name": "principal-process-steward -&gt; DeliveredCommunications.DeliveredCommunicationId",
    "FieldTable": "DeliveredCommunications",
    "FieldName": "DeliveredCommunicationId",
    "FieldIsDerived": false,
    "IsWritableDerivedField": false,
    "IsMasked": false,
    "GrantKeyWhenReadable": "principal-process-steward|DeliveredCommunications"
   },
   {
    "FieldGrantId": "fg-process-steward-DeliveredCommunications.Name",
    "Principal": "principal-process-steward",
    "TargetField": "DeliveredCommunications.Name",
    "CanRead": true,
    "CanWrite": false,
    "MaskStrategy": "plain",
    "SemanticTypeIri": "urn:effortless:pko-extension#FieldGrant",
    "Name": "principal-process-steward -&gt; DeliveredCommunications.Name",
    "FieldTable": "DeliveredCommunications",
    "FieldName": "Name",
    "FieldIsDerived": true,
    "IsWritableDerivedField": false,
    "IsMasked": false,
    "GrantKeyWhenReadable": "principal-process-steward|DeliveredCommunications"
   },
   {
    "FieldGrantId": "fg-process-steward-DeliveredCommunications.ProcedureExecution",
    "Principal": "principal-process-steward",
    "TargetField": "DeliveredCommunications.ProcedureExecution",
    "CanRead": true,
    "CanWrite": false,
    "MaskStrategy": "plain",
    "SemanticTypeIri": "urn:effortless:pko-extension#FieldGrant",
    "Name": "principal-process-steward -&gt; DeliveredCommunications.ProcedureExecution",
    "FieldTable": "DeliveredCommunications",
    "FieldName": "ProcedureExecution",
    "FieldIsDerived": false,
    "IsWritableDerivedField": false,
    "IsMasked": false,
    "GrantKeyWhenReadable": "principal-process-steward|DeliveredCommunications"
   },
   {
    "FieldGrantId": "fg-process-steward-DeliveredCommunications.SendingStepExecution",
    "Principal": "principal-process-steward",
    "TargetField": "DeliveredCommunications.SendingStepExecution",
    "CanRead": true,
    "CanWrite": false,
    "MaskStrategy": "plain",
    "SemanticTypeIri": "urn:effortless:pko-extension#FieldGrant",
    "Name": "principal-process-steward -&gt; DeliveredCommunications.SendingStepExecution",
    "FieldTable": "DeliveredCommunications",
    "FieldName": "SendingStepExecution",
    "FieldIsDerived": false,
    "IsWritableDerivedField": false,
    "IsMasked": false,
    "GrantKeyWhenReadable": "principal-process-steward|DeliveredCommunications"
   },
   {
    "FieldGrantId": "fg-process-steward-DeliveredCommunications.AuthorizingStepExecution",
    "Principal": "principal-process-steward",
    "TargetField": "DeliveredCommunications.AuthorizingStepExecution",
    "CanRead": true,
    "CanWrite": false,
    "MaskStrategy": "plain",
    "SemanticTypeIri": "urn:effortless:pko-extension#FieldGrant",
    "Name": "principal-process-steward -&gt; DeliveredCommunications.AuthorizingStepExecution",
    "FieldTable": "DeliveredCommunications",
    "FieldName": "AuthorizingStepExecution",
    "FieldIsDerived": false,
    "IsWritableDerivedField": false,
    "IsMasked": false,
    "GrantKeyWhenReadable": "principal-process-steward|DeliveredCommunications"
   },
   {
    "FieldGrantId": "fg-process-steward-DeliveredCommunications.MessageTemplate",
    "Principal": "principal-process-steward",
    "TargetField": "DeliveredCommunications.MessageTemplate",
    "CanRead": true,
    "CanWrite": false,
    "MaskStrategy": "plain",
    "SemanticTypeIri": "urn:effortless:pko-extension#FieldGrant",
    "Name": "principal-process-steward -&gt; DeliveredCommunications.MessageTemplate",
    "FieldTable": "DeliveredCommunications",
    "FieldName": "MessageTemplate",
    "FieldIsDerived": false,
    "IsWritableDerivedField": false,
    "IsMasked": false,
    "GrantKeyWhenReadable": "principal-process-steward|DeliveredCommunications"
   },
   {
    "FieldGrantId": "fg-process-steward-DeliveredCommunications.Channel",
    "Principal": "principal-process-steward",
    "TargetField": "DeliveredCommunications.Channel",
    "CanRead": true,
    "CanWrite": false,
    "MaskStrategy": "plain",
    "SemanticTypeIri": "urn:effortless:pko-extension#FieldGrant",
    "Name": "principal-process-steward -&gt; DeliveredCommunications.Channel",
    "FieldTable": "DeliveredCommunications",
    "FieldName": "Channel",
    "FieldIsDerived": false,
    "IsWritableDerivedField": false,
    "IsMasked": false,
    "GrantKeyWhenReadable": "principal-process-steward|DeliveredCommunications"
   },
   {
    "FieldGrantId": "fg-process-steward-DeliveredCommunications.RecipientKey",
    "Principal": "principal-process-steward",
    "TargetField": "DeliveredCommunications.RecipientKey",
    "CanRead": true,
    "CanWrite": false,
    "MaskStrategy": "plain",
    "SemanticTypeIri": "urn:effortless:pko-extension#FieldGrant",
    "Name": "principal-process-steward -&gt; DeliveredCommunications.RecipientKey",
    "FieldTable": "DeliveredCommunications",
    "FieldName": "RecipientKey",
    "FieldIsDerived": false,
    "IsWritableDerivedField": false,
    "IsMasked": false,
    "GrantKeyWhenReadable": "principal-process-steward|DeliveredCommunications"
   },
   {
    "FieldGrantId": "fg-process-steward-DeliveredCommunications.SentAt",
    "Principal": "principal-process-steward",
    "TargetField": "DeliveredCommunications.SentAt",
    "CanRead": true,
    "CanWrite": false,
    "MaskStrategy": "plain",
    "SemanticTypeIri": "urn:effortless:pko-extension#FieldGrant",
    "Name": "principal-process-steward -&gt; DeliveredCommunications.SentAt",
    "FieldTable": "DeliveredCommunications",
    "FieldName": "SentAt",
    "FieldIsDerived": false,
    "IsWritableDerivedField": false,
    "IsMasked": false,
    "GrantKeyWhenReadable": "principal-process-steward|DeliveredCommunications"
   },
   {
    "FieldGrantId": "fg-process-steward-DeliveredCommunications.RenderedContentHash",
    "Principal": "principal-process-steward",
    "TargetField": "DeliveredCommunications.RenderedContentHash",
    "CanRead": true,
    "CanWrite": false,
    "MaskStrategy": "plain",
    "SemanticTypeIri": "urn:effortless:pko-extension#FieldGrant",
    "Name": "principal-process-steward -&gt; DeliveredCommunications.RenderedContentHash",
    "FieldTable": "DeliveredCommunications",
    "FieldName": "RenderedContentHash",
    "FieldIsDerived": false,
    "IsWritableDerivedField": false,
    "IsMasked": false,
    "GrantKeyWhenReadable": "principal-process-steward|DeliveredCommunications"
   },
   {
    "FieldGrantId": "fg-process-steward-DeliveredCommunications.ApprovedContentHash",
    "Principal": "principal-process-steward",
    "TargetField": "DeliveredCommunications.ApprovedContentHash",
    "CanRead": true,
    "CanWrite": false,
    "MaskStrategy": "plain",
    "SemanticTypeIri": "urn:effortless:pko-extension#FieldGrant",
    "Name": "principal-process-steward -&gt; DeliveredCommunications.ApprovedContentHash",
    "FieldTable": "DeliveredCommunications",
    "FieldName": "ApprovedContentHash",
    "FieldIsDerived": false,
    "IsWritableDerivedField": false,
    "IsMasked": false,
    "GrantKeyWhenReadable": "principal-process-steward|DeliveredCommunications"
   },
   {
    "FieldGrantId": "fg-process-steward-DeliveredCommunications.DeliveryStatus",
    "Principal": "principal-process-steward",
    "TargetField": "DeliveredCommunications.DeliveryStatus",
    "CanRead": true,
    "CanWrite": false,
    "MaskStrategy": "plain",
    "SemanticTypeIri": "urn:effortless:pko-extension#FieldGrant",
    "Name": "principal-process-steward -&gt; DeliveredCommunications.DeliveryStatus",
    "FieldTable": "DeliveredCommunications",
    "FieldName": "DeliveryStatus",
    "FieldIsDerived": false,
    "IsWritableDerivedField": false,
    "IsMasked": false,
    "GrantKeyWhenReadable": "principal-process-steward|DeliveredCommunications"
   },
   {
    "FieldGrantId": "fg-process-steward-DeliveredCommunications.SemanticTypeIri",
    "Principal": "principal-process-steward",
    "TargetField": "DeliveredCommunications.SemanticTypeIri",
    "CanRead": true,
    "CanWrite": false,
    "MaskStrategy": "plain",
    "SemanticTypeIri": "urn:effortless:pko-extension#FieldGrant",
    "Name": "principal-process-steward -&gt; DeliveredCommunications.SemanticTypeIri",
    "FieldTable": "DeliveredCommunications",
    "FieldName": "SemanticTypeIri",
    "FieldIsDerived": false,
    "IsWritableDerivedField": false,
    "IsMasked": false,
    "GrantKeyWhenReadable": "principal-process-steward|DeliveredCommunications"
   },
   {
    "FieldGrantId": "fg-process-steward-DeliveredCommunications.HasAuthorization",
    "Principal": "principal-process-steward",
    "TargetField": "DeliveredCommunications.HasAuthorization",
    "CanRead": true,
    "CanWrite": false,
    "MaskStrategy": "plain",
    "SemanticTypeIri": "urn:effortless:pko-extension#FieldGrant",
    "Name": "principal-process-steward -&gt; DeliveredCommunications.HasAuthorization",
    "FieldTable": "DeliveredCommunications",
    "FieldName": "HasAuthorization",
    "FieldIsDerived": true,
    "IsWritableDerivedField": false,
    "IsMasked": false,
    "GrantKeyWhenReadable": "principal-process-steward|DeliveredCommunications"
   },
   {
    "FieldGrantId": "fg-process-steward-DeliveredCommunications.ContentMatchesApproval",
    "Principal": "principal-process-steward",
    "TargetField": "DeliveredCommunications.ContentMatchesApproval",
    "CanRead": true,
    "CanWrite": false,
    "MaskStrategy": "plain",
    "SemanticTypeIri": "urn:effortless:pko-extension#FieldGrant",
    "Name": "principal-process-steward -&gt; DeliveredCommunications.ContentMatchesApproval",
    "FieldTable": "DeliveredCommunications",
    "FieldName": "ContentMatchesApproval",
    "FieldIsDerived": true,
    "IsWritableDerivedField": false,
    "IsMasked": false,
    "GrantKeyWhenReadable": "principal-process-steward|DeliveredCommunications"
   },
   {
    "FieldGrantId": "fg-process-steward-DeliveredCommunications.AuthorizedAt",
    "Principal": "principal-process-steward",
    "TargetField": "DeliveredCommunications.AuthorizedAt",
    "CanRead": true,
    "CanWrite": false,
    "MaskStrategy": "plain",
    "SemanticTypeIri": "urn:effortless:pko-extension#FieldGrant",
    "Name": "principal-process-steward -&gt; DeliveredCommunications.AuthorizedAt",
    "FieldTable": "DeliveredCommunications",
    "FieldName": "AuthorizedAt",
    "FieldIsDerived": true,
    "IsWritableDerivedField": false,
    "IsMasked": false,
    "GrantKeyWhenReadable": "principal-process-steward|DeliveredCommunications"
   },
   {
    "FieldGrantId": "fg-process-steward-DeliveredCommunications.WasApprovedBeforeSending",
    "Principal": "principal-process-steward",
    "TargetField": "DeliveredCommunications.WasApprovedBeforeSending",
    "CanRead": true,
    "CanWrite": false,
    "MaskStrategy": "plain",
    "SemanticTypeIri": "urn:effortless:pko-extension#FieldGrant",
    "Name": "principal-process-steward -&gt; DeliveredCommunications.WasApprovedBeforeSending",
    "FieldTable": "DeliveredCommunications",
    "FieldName": "WasApprovedBeforeSending",
    "FieldIsDerived": true,
    "IsWritableDerivedField": false,
    "IsMasked": false,
    "GrantKeyWhenReadable": "principal-process-steward|DeliveredCommunications"
   },
   {
    "FieldGrantId": "fg-process-steward-DeliveredCommunications.IsDefensible",
    "Principal": "principal-process-steward",
    "TargetField": "DeliveredCommunications.IsDefensible",
    "CanRead": true,
    "CanWrite": false,
    "MaskStrategy": "plain",
    "SemanticTypeIri": "urn:effortless:pko-extension#FieldGrant",
    "Name": "principal-process-steward -&gt; DeliveredCommunications.IsDefensible",
    "FieldTable": "DeliveredCommunications",
    "FieldName": "IsDefensible",
    "FieldIsDerived": true,
    "IsWritableDerivedField": false,
    "IsMasked": false,
    "GrantKeyWhenReadable": "principal-process-steward|DeliveredCommunications"
   },
   {
    "FieldGrantId": "fg-process-steward-ElicitationSessions.ElicitationSessionId",
    "Principal": "principal-process-steward",
    "TargetField": "ElicitationSessions.ElicitationSessionId",
    "CanRead": true,
    "CanWrite": false,
    "MaskStrategy": "plain",
    "SemanticTypeIr</t>
  </si>
  <si>
    <t xml:space="preserve">i": "urn:effortless:pko-extension#FieldGrant",
    "Name": "principal-process-steward -&gt; ElicitationSessions.ElicitationSessionId",
    "FieldTable": "ElicitationSessions",
    "FieldName": "ElicitationSessionId",
    "FieldIsDerived": false,
    "IsWritableDerivedField": false,
    "IsMasked": false,
    "GrantKeyWhenReadable": "principal-process-steward|ElicitationSessions"
   },
   {
    "FieldGrantId": "fg-process-steward-ElicitationSessions.Name",
    "Principal": "principal-process-steward",
    "TargetField": "ElicitationSessions.Name",
    "CanRead": true,
    "CanWrite": false,
    "MaskStrategy": "plain",
    "SemanticTypeIri": "urn:effortless:pko-extension#FieldGrant",
    "Name": "principal-process-steward -&gt; ElicitationSessions.Name",
    "FieldTable": "ElicitationSessions",
    "FieldName": "Name",
    "FieldIsDerived": true,
    "IsWritableDerivedField": false,
    "IsMasked": false,
    "GrantKeyWhenReadable": "principal-process-steward|ElicitationSessions"
   },
   {
    "FieldGrantId": "fg-process-steward-ElicitationSessions.ProcedureVersion",
    "Principal": "principal-process-steward",
    "TargetField": "ElicitationSessions.ProcedureVersion",
    "CanRead": true,
    "CanWrite": false,
    "MaskStrategy": "plain",
    "SemanticTypeIri": "urn:effortless:pko-extension#FieldGrant",
    "Name": "principal-process-steward -&gt; ElicitationSessions.ProcedureVersion",
    "FieldTable": "ElicitationSessions",
    "FieldName": "ProcedureVersion",
    "FieldIsDerived": false,
    "IsWritableDerivedField": false,
    "IsMasked": false,
    "GrantKeyWhenReadable": "principal-process-steward|ElicitationSessions"
   },
   {
    "FieldGrantId": "fg-process-steward-ElicitationSessions.Method",
    "Principal": "principal-process-steward",
    "TargetField": "ElicitationSessions.Method",
    "CanRead": true,
    "CanWrite": false,
    "MaskStrategy": "plain",
    "SemanticTypeIri": "urn:effortless:pko-extension#FieldGrant",
    "Name": "principal-process-steward -&gt; ElicitationSessions.Method",
    "FieldTable": "ElicitationSessions",
    "FieldName": "Method",
    "FieldIsDerived": false,
    "IsWritableDerivedField": false,
    "IsMasked": false,
    "GrantKeyWhenReadable": "principal-process-steward|ElicitationSessions"
   },
   {
    "FieldGrantId": "fg-process-steward-ElicitationSessions.StartedAt",
    "Principal": "principal-process-steward",
    "TargetField": "ElicitationSessions.StartedAt",
    "CanRead": true,
    "CanWrite": false,
    "MaskStrategy": "plain",
    "SemanticTypeIri": "urn:effortless:pko-extension#FieldGrant",
    "Name": "principal-process-steward -&gt; ElicitationSessions.StartedAt",
    "FieldTable": "ElicitationSessions",
    "FieldName": "StartedAt",
    "FieldIsDerived": false,
    "IsWritableDerivedField": false,
    "IsMasked": false,
    "GrantKeyWhenReadable": "principal-process-steward|ElicitationSessions"
   },
   {
    "FieldGrantId": "fg-process-steward-ElicitationSessions.EndedAt",
    "Principal": "principal-process-steward",
    "TargetField": "ElicitationSessions.EndedAt",
    "CanRead": true,
    "CanWrite": false,
    "MaskStrategy": "plain",
    "SemanticTypeIri": "urn:effortless:pko-extension#FieldGrant",
    "Name": "principal-process-steward -&gt; ElicitationSessions.EndedAt",
    "FieldTable": "ElicitationSessions",
    "FieldName": "EndedAt",
    "FieldIsDerived": false,
    "IsWritableDerivedField": false,
    "IsMasked": false,
    "GrantKeyWhenReadable": "principal-process-steward|ElicitationSessions"
   },
   {
    "FieldGrantId": "fg-process-steward-ElicitationSessions.PractitionerAgent",
    "Principal": "principal-process-steward",
    "TargetField": "ElicitationSessions.PractitionerAgent",
    "CanRead": true,
    "CanWrite": false,
    "MaskStrategy": "plain",
    "SemanticTypeIri": "urn:effortless:pko-extension#FieldGrant",
    "Name": "principal-process-steward -&gt; ElicitationSessions.PractitionerAgent",
    "FieldTable": "ElicitationSessions",
    "FieldName": "PractitionerAgent",
    "FieldIsDerived": false,
    "IsWritableDerivedField": false,
    "IsMasked": false,
    "GrantKeyWhenReadable": "principal-process-steward|ElicitationSessions"
   },
   {
    "FieldGrantId": "fg-process-steward-ElicitationSessions.FacilitatorAgent",
    "Principal": "principal-process-steward",
    "TargetField": "ElicitationSessions.FacilitatorAgent",
    "CanRead": true,
    "CanWrite": false,
    "MaskStrategy": "plain",
    "SemanticTypeIri": "urn:effortless:pko-extension#FieldGrant",
    "Name": "principal-process-steward -&gt; ElicitationSessions.FacilitatorAgent",
    "FieldTable": "ElicitationSessions",
    "FieldName": "FacilitatorAgent",
    "FieldIsDerived": false,
    "IsWritableDerivedField": false,
    "IsMasked": false,
    "GrantKeyWhenReadable": "principal-process-steward|ElicitationSessions"
   },
   {
    "FieldGrantId": "fg-process-steward-ElicitationSessions.Summary",
    "Principal": "principal-process-steward",
    "TargetField": "ElicitationSessions.Summary",
    "CanRead": true,
    "CanWrite": false,
    "MaskStrategy": "plain",
    "SemanticTypeIri": "urn:effortless:pko-extension#FieldGrant",
    "Name": "principal-process-steward -&gt; ElicitationSessions.Summary",
    "FieldTable": "ElicitationSessions",
    "FieldName": "Summary",
    "FieldIsDerived": false,
    "IsWritableDerivedField": false,
    "IsMasked": false,
    "GrantKeyWhenReadable": "principal-process-steward|ElicitationSessions"
   },
   {
    "FieldGrantId": "fg-process-steward-ElicitationSessions.Status",
    "Principal": "principal-process-steward",
    "TargetField": "ElicitationSessions.Status",
    "CanRead": true,
    "CanWrite": false,
    "MaskStrategy": "plain",
    "SemanticTypeIri": "urn:effortless:pko-extension#FieldGrant",
    "Name": "principal-process-steward -&gt; ElicitationSessions.Status",
    "FieldTable": "ElicitationSessions",
    "FieldName": "Status",
    "FieldIsDerived": false,
    "IsWritableDerivedField": false,
    "IsMasked": false,
    "GrantKeyWhenReadable": "principal-process-steward|ElicitationSessions"
   },
   {
    "FieldGrantId": "fg-process-steward-ElicitationSessions.EvaluationContext",
    "Principal": "principal-process-steward",
    "TargetField": "ElicitationSessions.EvaluationContext",
    "CanRead": true,
    "CanWrite": false,
    "MaskStrategy": "plain",
    "SemanticTypeIri": "urn:effortless:pko-extension#FieldGrant",
    "Name": "principal-process-steward -&gt; ElicitationSessions.EvaluationContext",
    "FieldTable": "ElicitationSessions",
    "FieldName": "EvaluationContext",
    "FieldIsDerived": false,
    "IsWritableDerivedField": false,
    "IsMasked": false,
    "GrantKeyWhenReadable": "principal-process-steward|ElicitationSessions"
   },
   {
    "FieldGrantId": "fg-process-steward-ElicitationSessions.AsOfInstant",
    "Principal": "principal-process-steward",
    "TargetField": "ElicitationSessions.AsOfInstant",
    "CanRead": true,
    "CanWrite": false,
    "MaskStrategy": "plain",
    "SemanticTypeIri": "urn:effortless:pko-extension#FieldGrant",
    "Name": "principal-process-steward -&gt; ElicitationSessions.AsOfInstant",
    "FieldTable": "ElicitationSessions",
    "FieldName": "AsOfInstant",
    "FieldIsDerived": true,
    "IsWritableDerivedField": false,
    "IsMasked": false,
    "GrantKeyWhenReadable": "principal-process-steward|ElicitationSessions"
   },
   {
    "FieldGrantId": "fg-process-steward-ElicitationSessions.DaysSinceElicited",
    "Principal": "principal-process-steward",
    "TargetField": "ElicitationSessions.DaysSinceElicited",
    "CanRead": true,
    "CanWrite": false,
    "MaskStrategy": "plain",
    "SemanticTypeIri": "urn:effortless:pko-extension#FieldGrant",
    "Name": "principal-process-steward -&gt; ElicitationSessions.DaysSinceElicited",
    "FieldTable": "ElicitationSessions",
    "FieldName": "DaysSinceElicited",
    "FieldIsDerived": true,
    "IsWritableDerivedField": false,
    "IsMasked": false,
    "GrantKeyWhenReadable": "principal-process-steward|ElicitationSessions"
   },
   {
    "FieldGrantId": "fg-process-steward-ElicitationSessions.IsSingleWitnessMethod",
    "Principal": "principal-process-steward",
    "TargetField": "ElicitationSessions.IsSingleWitnessMethod",
    "CanRead": true,
    "CanWrite": false,
    "MaskStrategy": "plain",
    "SemanticTypeIri": "urn:effortless:pko-extension#FieldGrant",
    "Name": "principal-process-steward -&gt; ElicitationSessions.IsSingleWitnessMethod",
    "FieldTable": "ElicitationSessions",
    "FieldName": "IsSingleWitnessMethod",
    "FieldIsDerived": true,
    "IsWritableDerivedField": false,
    "IsMasked": false,
    "GrantKeyWhenReadable": "principal-process-steward|ElicitationSessions"
   },
   {
    "FieldGrantId": "fg-process-steward-ElicitationSessions.PractitionerIsStillEngaged",
    "Principal": "principal-process-steward",
    "TargetField": "ElicitationSessions.PractitionerIsStillEngaged",
    "CanRead": true,
    "CanWrite": false,
    "MaskStrategy": "plain",
    "SemanticTypeIri": "urn:effortless:pko-extension#FieldGrant",
    "Name": "principal-process-steward -&gt; ElicitationSessions.PractitionerIsStillEngaged",
    "FieldTable": "ElicitationSessions",
    "FieldName": "PractitionerIsStillEngaged",
    "FieldIsDerived": true,
    "IsWritableDerivedField": false,
    "IsMasked": false,
    "GrantKeyWhenReadable": "principal-process-steward|ElicitationSessions"
   },
   {
    "FieldGrantId": "fg-process-steward-ElicitationSessions.ValidFragmentsProduced",
    "Principal": "principal-process-steward",
    "TargetField": "ElicitationSessions.ValidFragmentsProduced",
    "CanRead": true,
    "CanWrite": false,
    "MaskStrategy": "plain",
    "SemanticTypeIri": "urn:effortless:pko-extension#FieldGrant",
    "Name": "principal-process-steward -&gt; ElicitationSessions.ValidFragmentsProduced",
    "FieldTable": "ElicitationSessions",
    "FieldName": "ValidFragmentsProduced",
    "FieldIsDerived": true,
    "IsWritableDerivedField": false,
    "IsMasked": false,
    "GrantKeyWhenReadable": "principal-process-steward|ElicitationSessions"
   },
   {
    "FieldGrantId": "fg-process-steward-ElicitationSessions.IsHighYieldSession",
    "Principal": "principal-process-steward",
    "TargetField": "ElicitationSessions.IsHighYieldSession",
    "CanRead": true,
    "CanWrite": false,
    "MaskStrategy": "plain",
    "SemanticTypeIri": "urn:effortless:pko-extension#FieldGrant",
    "Name": "principal-process-steward -&gt; ElicitationSessions.IsHighYieldSession",
    "FieldTable": "ElicitationSessions",
    "FieldName": "IsHighYieldSession",
    "FieldIsDerived": true,
    "IsWritableDerivedField": false,
    "IsMasked": false,
    "GrantKeyWhenReadable": "principal-process-steward|ElicitationSessions"
   },
   {
    "FieldGrantId": "fg-process-steward-ElicitationSessions.IsConcentratedSingleWitness",
    "Principal": "principal-process-steward",
    "TargetField": "ElicitationSessions.IsConcentratedSingleWitness",
    "CanRead": true,
    "CanWrite": false,
    "MaskStrategy": "plain",
    "SemanticTypeIri": "urn:effortless:pko-extension#FieldGrant",
    "Name": "principal-process-steward -&gt; ElicitationSessions.IsConcentratedSingleWitness",
    "FieldTable": "ElicitationSessions",
    "FieldName": "IsConcentratedSingleWitness",
    "FieldIsDerived": true,
    "IsWritableDerivedField": false,
    "IsMasked": false,
    "GrantKeyWhenReadable": "principal-process-steward|ElicitationSessions"
   },
   {
    "FieldGrantId": "fg-process-steward-ElicitationSessions.IsStaleConcentratedWitness",
    "Principal": "principal-process-steward",
    "TargetField": "ElicitationSessions.IsStaleConcentratedWitness",
    "CanRead": true,
    "CanWrite": false,
    "MaskStrategy": "plain",
    "SemanticTypeIri": "urn:effortless:pko-extension#FieldGrant",
    "Name": "principal-process-steward -&gt; ElicitationSessions.IsStaleConcentratedWitness",
    "FieldTable": "ElicitationSessions",
    "FieldName": "IsStaleConcentratedWitness",
    "FieldIsDerived": true,
    "IsWritableDerivedField": false,
    "IsMasked": false,
    "GrantKeyWhenReadable": "principal-process-steward|ElicitationSessions"
   },
   {
    "FieldGrantId": "fg-process-steward-ElicitationSessions.ConcentratedSessionVersionKey",
    "Principal": "principal-process-steward",
    "TargetField": "ElicitationSessions.ConcentratedSessionVersionKey",
    "CanRead": true,
    "CanWrite": false,
    "MaskStrategy": "plain",
    "SemanticTypeIri": "urn:effortless:pko-extension#FieldGrant",
    "Name": "principal-process-steward -&gt; ElicitationSessions.ConcentratedSessionVersionKey",
    "FieldTable": "ElicitationSessions",
    "FieldName": "ConcentratedSessionVersionKey",
    "FieldIsDerived": true,
    "IsWritableDerivedField": false,
    "IsMasked": false,
    "GrantKeyWhenReadable": "principal-process-steward|ElicitationSessions"
   },
   {
    "FieldGrantId": "fg-process-steward-ElicitationSessions.SemanticTypeIri",
    "Principal": "principal-process-steward",
    "TargetField": "ElicitationSessions.SemanticTypeIri",
    "CanRead": true,
    "CanWrite": false,
    "MaskStrategy": "plain",
    "SemanticTypeIri": "urn:effortless:pko-extension#FieldGrant",
    "Name": "principal-process-steward -&gt; ElicitationSessions.SemanticTypeIri",
    "FieldTable": "ElicitationSessions",
    "FieldName": "SemanticTypeIri",
    "FieldIsDerived": false,
    "IsWritableDerivedField": false,
    "IsMasked": false,
    "GrantKeyWhenReadable": "principal-process-steward|ElicitationSessions"
   },
   {
    "FieldGrantId": "fg-process-steward-Errors.ErrorId",
    "Principal": "principal-process-steward",
    "TargetField": "Errors.ErrorId",
    "CanRead": true,
    "CanWrite": false,
    "MaskStrategy": "plain",
    "SemanticTypeIri": "urn:effortless:pko-extension#FieldGrant",
    "Name": "principal-process-steward -&gt; Errors.ErrorId",
    "FieldTable": "Errors",
    "FieldName": "ErrorId",
    "FieldIsDerived": false,
    "IsWritableDerivedField": false,
    "IsMasked": false,
    "GrantKeyWhenReadable": "principal-process-steward|Errors"
   },
   {
    "FieldGrantId": "fg-process-steward-Errors.Name",
    "Principal": "principal-process-steward",
    "TargetField": "Errors.Name",
    "CanRead": true,
    "CanWrite": false,
    "MaskStrategy": "plain",
    "SemanticTypeIri": "urn:effortless:pko-extension#FieldGrant",
    "Name": "principal-process-steward -&gt; Errors.Name",
    "FieldTable": "Errors",
    "FieldName": "Name",
    "FieldIsDerived": true,
    "IsWritableDerivedField": false,
    "IsMasked": false,
    "GrantKeyWhenReadable": "principal-process-steward|Errors"
   },
   {
    "FieldGrantId": "fg-process-steward-Errors.Label",
    "Principal": "principal-process-steward",
    "TargetField": "Errors.Label",
    "CanRead": true,
    "CanWrite": false,
    "MaskStrategy": "plain",
    "SemanticTypeIri": "urn:effortless:pko-extension#FieldGrant",
    "Name": "principal-process-steward -&gt; Errors.Label",
    "FieldTable": "Errors",
    "FieldName": "Label",
    "FieldIsDerived": false,
    "IsWritableDerivedField": false,
    "IsMasked": false,
    "GrantKeyWhenReadable": "principal-process-steward|Errors"
   },
   {
    "FieldGrantId": "fg-process-steward-Errors.ErrorCode",
    "Principal": "principal-process-steward",
    "TargetField": "Errors.ErrorCode",
    "CanRead": true,
    "CanWrite": false,
    "MaskStrategy": "plain",
    "SemanticTypeIri": "urn:effortless:pko-extension#FieldGrant",
    "Name": "principal-process-steward -&gt; Errors.ErrorCode",
    "FieldTable": "Errors",
    "FieldName": "ErrorCode",
    "FieldIsDerived": false,
    "IsWritableDerivedField": false,
    "IsMasked": false,
    "GrantKeyWhenReadable": "principal-process-steward|Errors"
   },
   {
    "FieldGrantId": "fg-process-steward-Errors.ErrorCause",
    "Principal": "principal-process-steward",
    "TargetField": "Errors.ErrorCause",
    "CanRead": true,
    "CanWrite": false,
    "MaskStrategy": "plain",
    "SemanticTypeIri": "urn:effortless:pko-extension#FieldGrant",
    "Name": "principal-process-steward -&gt; Errors.ErrorCause",
    "FieldTable": "Errors",
    "FieldName": "ErrorCause",
    "FieldIsDerived": false,
    "IsWritableDerivedField": false,
    "IsMasked": false,
    "GrantKeyWhenReadable": "principal-process-steward|Errors"
   },
   {
    "FieldGrantId": "fg-process-steward-Errors.SemanticTypeIri",
    "Principal": "principal-process-steward",
    "TargetField": "Errors.SemanticTypeIri",
    "CanRead": true,
    "CanWrite": false,
    "MaskStrategy": "plain",
    "SemanticTypeIri": "urn:effortless:pko-extension#FieldGrant",
    "Name": "principal-process-steward -&gt; Errors.SemanticTypeIri",
    "FieldTable": "Errors",
    "FieldName": "SemanticTypeIri",
    "FieldIsDerived": false,
    "IsWritableDerivedField": false,
    "IsMasked": false,
    "GrantKeyWhenReadable": "principal-process-steward|Errors"
   },
   {
    "FieldGrantId": "fg-process-steward-EvaluationContexts.EvaluationContextId",
    "Principal": "principal-process-steward",
    "TargetField": "EvaluationContexts.EvaluationContextId",
    "CanRead": true,
    "CanWrite": false,
    "MaskStrategy": "plain",
    "SemanticTypeIri": "urn:effortless:pko-extension#FieldGrant",
    "Name": "principal-process-steward -&gt; EvaluationContexts.EvaluationContextId",
    "FieldTable": "EvaluationContexts",
    "FieldName": "EvaluationContextId",
    "FieldIsDerived": false,
    "IsWritableDerivedField": false,
    "IsMasked": false,
    "GrantKeyWhenReadable": "principal-process-steward|EvaluationContexts"
   },
   {
    "FieldGrantId": "fg-process-steward-EvaluationContexts.Name",
    "Principal": "principal-process-steward",
    "TargetField": "EvaluationContexts.Name",
    "CanRead": true,
    "CanWrite": false,
    "MaskStrategy": "plain",
    "SemanticTypeIri": "urn:effortless:pko-extension#FieldGrant",
    "Name": "principal-process-steward -&gt; EvaluationContexts.Name",
    "FieldTable": "EvaluationContexts",
    "FieldName": "Name",
    "FieldIsDerived": true,
    "IsWritableDerivedField": false,
    "IsMasked": false,
    "GrantKeyWhenReadable": "principal-process-steward|EvaluationContexts"
   },
   {
    "FieldGrantId": "fg-process-steward-EvaluationContexts.Label",
    "Principal": "principal-process-steward",
    "TargetField": "EvaluationContexts.Label",
    "CanRead": true,
    "CanWrite": false,
    "MaskStrategy": "plain",
    "SemanticTypeIri": "urn:effortless:pko-extension#FieldGrant",
    "Name": "principal-process-steward -&gt; EvaluationContexts.Label",
    "FieldTable": "EvaluationContexts",
    "FieldName": "Label",
    "FieldIsDerived": false,
    "IsWritableDerivedField": false,
    "IsMasked": false,
    "GrantKeyWhenReadable": "principal-process-steward|EvaluationContexts"
   },
   {
    "FieldGrantId": "fg-process-steward-EvaluationContexts.AsOfInstant",
    "Principal": "principal-process-steward",
    "TargetField": "EvaluationContexts.AsOfInstant",
    "CanRead": true,
    "CanWrite": false,
    "MaskStrategy": "plain",
    "SemanticTypeIri": "urn:effortless:pko-extension#FieldGrant",
    "Name": "principal-process-steward -&gt; EvaluationContexts.AsOfInstant",
    "FieldTable": "EvaluationContexts",
    "FieldName": "AsOfInstant",
    "FieldIsDerived": false,
    "IsWritableDerivedField": false,
    "IsMasked": false,
    "GrantKeyWhenReadable": "principal-process-steward|EvaluationContexts"
   },
   {
    "FieldGrantId": "fg-process-steward-EvaluationContexts.IsCurrent",
    "Principal": "principal-process-steward",
    "TargetField": "EvaluationContexts.IsCurrent",
    "CanRead": true,
    "CanWrite": false,
    "MaskStrategy": "plain",
    "SemanticTypeIri": "urn:effortless:pko-extension#FieldGrant",
    "Name": "principal-process-steward -&gt; EvaluationContexts.IsCurrent",
    "FieldTable": "EvaluationContexts",
    "FieldName": "IsCurrent",
    "FieldIsDerived": false,
    "IsWritableDerivedField": false,
    "IsMasked": false,
    "GrantKeyWhenReadable": "principal-process-steward|EvaluationContexts"
   },
   {
    "FieldGrantId": "fg-process-steward-EvaluationContexts.Rationale",
    "Principal": "principal-process-steward",
    "TargetField": "EvaluationContexts.Rationale",
    "CanRead": true,
    "CanWrite": false,
    "MaskStrategy": "plain",
    "SemanticTypeIri": "urn:effortless:pko-extension#FieldGrant",
    "Name": "principal-process-steward -&gt; EvaluationContexts.Rationale",
    "FieldTable": "EvaluationContexts",
    "FieldName": "Rationale",
    "FieldIsDerived": false,
    "IsWritableDerivedField": false,
    "IsMasked": false,
    "GrantKeyWhenReadable": "principal-process-steward|EvaluationContexts"
   },
   {
    "FieldGrantId": "fg-process-steward-EvaluationContexts.SemanticTypeIri",
    "Principal": "principal-process-steward",
    "TargetField": "EvaluationContexts.SemanticTypeIri",
    "CanRead": true,
    "CanWrite": false,
    "MaskStrategy": "plain",
    "SemanticTypeIri": "urn:effortless:pko-extension#FieldGrant",
    "Name": "principal-process-steward -&gt; EvaluationContexts.SemanticTypeIri",
    "FieldTable": "EvaluationContexts",
    "FieldName": "SemanticTypeIri",
    "FieldIsDerived": false,
    "IsWritableDerivedField": false,
    "IsMasked": false,
    "GrantKeyWhenReadable": "principal-process-steward|EvaluationContexts"
   },
   {
    "FieldGrantId": "fg-process-steward-ExceptionInvocations.ExceptionInvocationId",
    "Principal": "principal-process-steward",
    "TargetField": "ExceptionInvocations.ExceptionInvocationId",
    "CanRead": true,
    "CanWrite": false,
    "MaskStrategy": "plain",
    "SemanticTypeIri": "urn:effortless:pko-extension#FieldGrant",
    "Name": "principal-process-steward -&gt; ExceptionInvocations.ExceptionInvocationId",
    "FieldTable": "ExceptionInvocations",
    "FieldName": "ExceptionInvocationId",
    "FieldIsDerived": false,
    "IsWritableDerivedField": false,
    "IsMasked": false,
    "GrantKeyWhenReadable": "principal-process-steward|ExceptionInvocations"
   },
   {
    "FieldGrantId": "fg-process-steward-ExceptionInvocations.Name",
    "Principal": "principal-process-steward",
    "TargetField": "ExceptionInvocations.Name",
    "CanRead": true,
    "CanWrite": false,
    "MaskStrategy": "plain",
    "SemanticTypeIri": "urn:effortless:pko-extension#FieldGrant",
    "Name": "principal-process-steward -&gt; ExceptionInvocations.Name",
    "FieldTable": "ExceptionInvocations",
    "FieldName": "Name",
    "FieldIsDerived": true,
    "IsWritableDerivedField": false,
    "IsMasked": false,
    "GrantKeyWhenReadable": "principal-process-steward|ExceptionInvocations"
   },
   {
    "FieldGrantId": "fg-process-steward-ExceptionInvocations.StepExecution",
    "Principal": "principal-process-steward",
    "TargetField": "ExceptionInvocations.StepExecution",
    "CanRead": true,
    "CanWrite": false,
    "MaskStrategy": "plain",
    "SemanticTypeIri": "urn:effortless:pko-extension#FieldGrant",
    "Name": "principal-process-steward -&gt; ExceptionInvocations.StepExecution",
    "FieldTable": "ExceptionInvocations",
    "FieldName": "StepExecution",
    "FieldIsDerived": false,
    "IsWritableDerivedField": false,
    "IsMasked": false,
    "GrantKeyWhenReadable": "principal-process-steward|ExceptionInvocations"
   },
   {
    "FieldGrantId": "fg-process-steward-ExceptionInvocations.Exception",
    "Principal": "principal-process-steward",
    "TargetField": "ExceptionInvocations.Exception",
    "CanRead": true,
    "CanWrite": false,
    "MaskStrategy": "plain",
    "SemanticTypeIri": "urn:effortless:pko-extension#FieldGrant",
    "Name": "principal-process-steward -&gt; ExceptionInvocations.Exception",
    "FieldTable": "ExceptionInvocations",
    "FieldName": "Exception",
    "FieldIsDerived": false,
    "IsWritableDerivedField": false,
    "IsMasked": false,
    "GrantKeyWhenReadable": "principal-process-steward|ExceptionInvocations"
   },
   {
    "FieldGrantId": "fg-process-steward-ExceptionInvocations.InvokedByAgent",
    "Principal": "principal-process-steward",
    "TargetField": "ExceptionInvocations.InvokedByAgent",
    "CanRead": true,
    "CanWrite": false,
    "MaskStrategy": "plain",
    "SemanticTypeIri": "urn:effortless:pko-extension#FieldGrant",
    "Name": "principal-process-steward -&gt; ExceptionInvocations.InvokedByAgent",
    "FieldTable": "ExceptionInvocations",
    "FieldName": "InvokedByAgent",
    "FieldIsDerived": false,
    "IsWritableDerivedField": false,
    "IsMasked": false,
    "GrantKeyWhenReadable": "principal-process-steward|ExceptionInvocations"
   },
   {
    "FieldGrantId": "fg-process-steward-ExceptionInvocations.ApprovedByAgent",
    "Principal": "principal-process-steward",
    "TargetField": "ExceptionInvocations.ApprovedByAgent",
    "CanRead": true,
    "CanWrite": false,
    "MaskStrategy": "plain",
    "SemanticTypeIri": "urn:effortless:pko-extension#FieldGrant",
    "Name": "principal-process-steward -&gt; ExceptionInvocations.ApprovedByAgent",
    "FieldTable": "ExceptionInvocations",
    "FieldName": "ApprovedByAgent",
    "FieldIsDerived": false,
    "IsWritableDerivedField": false,
    "IsMasked": false,
    "GrantKeyWhenReadable": "principal-process-steward|ExceptionInvocations"
   },
   {
    "FieldGrantId": "fg-process-steward-ExceptionInvocations.InvokedAt",
    "Principal": "principal-process-steward",
    "TargetField": "ExceptionInvocations.InvokedAt",
    "CanRead": true,
    "CanWrite": false,
    "MaskStrategy": "plain",
    "SemanticTypeIri": "urn:effortless:pko-extension#FieldGrant",
    "Name": "principal-process-steward -&gt; ExceptionInvocations.InvokedAt",
    "FieldTable": "ExceptionInvocations",
    "FieldName": "InvokedAt",
    "FieldIsDerived": false,
    "IsWritableDerivedField": false,
    "IsMasked": false,
    "GrantKeyWhenReadable": "principal-process-steward|ExceptionInvocations"
   },
   {
    "FieldGrantId": "fg-process-steward-ExceptionInvocations.HandlingApplied",
    "Principal": "principal-process-steward",
    "TargetField": "ExceptionInvocations.HandlingApplied",
    "CanRead": true,
    "CanWrite": false,
    "MaskStrategy": "plain",
    "SemanticTypeIri": "urn:effortless:pko-extension#FieldGrant",
    "Name": "principal-process-steward -&gt; ExceptionInvocations.HandlingApplied",
    "FieldTable": "ExceptionInvocations",
    "FieldName": "HandlingApplied",
    "FieldIsDerived": false,
    "IsWritableDerivedField": false,
    "IsMasked": false,
    "GrantKeyWhenReadable": "principal-process-steward|ExceptionInvocations"
   },
   {
    "FieldGrantId": "fg-process-steward-ExceptionInvocations.ExpectedHandling",
    "Principal": "principal-process-steward",
    "TargetField": "ExceptionInvocations.ExpectedHandling",
    "CanRead": true,
    "CanWrite": false,
    "MaskStrategy": "plain",
    "SemanticTypeIri": "urn:effortless:pko-extension#FieldGrant",
    "Name": "principal-process-steward -&gt; ExceptionInvocations.ExpectedHandling",
    "FieldTable": "ExceptionInvocations",
    "FieldName": "ExpectedHandling",
    "FieldIsDerived": true,
    "IsWritableDerivedField": false,
    "IsMasked": false,
    "GrantKeyWhenReadable": "principal-process-steward|ExceptionInvocations"
   },
   {
    "FieldGrantId": "fg-process-steward-ExceptionInvocations.RequiredApprovalRole",
    "Principal": "principal-process-steward",
    "TargetField": "ExceptionInvocations.RequiredApprovalRole",
    "CanRead": true,
    "CanWrite": false,
    "MaskStrategy": "plain",
    "SemanticTypeIri": "urn:effortless:pko-extension#FieldGrant",
    "Name": "principal-process-steward -&gt; ExceptionInvocations.RequiredApprovalRole",
    "FieldTable": "ExceptionInvocations",
    "FieldName": "RequiredApprovalRole",
    "FieldIsDerived": true,
    "IsWritableDerivedField": false,
    "IsMasked": false,
    "GrantKeyWhenReadable": "principal-process-steward|ExceptionInvocations"
   },
   {
    "FieldGrantId": "fg-process-steward-ExceptionInvocations.RequiredApprovalRoleHolder",
    "Principal": "principal-process-steward",
    "TargetField": "ExceptionInvocations.RequiredApprovalRoleHolder",
    "CanRead": true,
    "CanWrite": false,
    "MaskStrategy": "plain",
    "SemanticTypeIri": "urn:effortless:pko-extension#FieldGrant",
    "Name": "principal-process-steward -&gt; ExceptionInvocations.RequiredApprovalRoleHolder",
    "FieldTable": "ExceptionInvocations",
    "FieldName": "RequiredApprovalRoleHolder",
    "FieldIsDerived": true,
    "IsWritableDerivedField": false,
    "IsMasked": false,
    "GrantKeyWhenReadable": "principal-process-steward|ExceptionInvocations"
   },
   {
    "FieldGrantId": "fg-process-steward-ExceptionInvocations.ApprovalRoleMatches",
    "Principal": "principal-process-steward",
    "TargetField": "ExceptionInvocations.ApprovalRoleMatches",
    "CanRead": true,
    "CanWrite": false,
    "MaskStrategy": "plain",
    "SemanticTypeIri": "urn:effortless:pko-extension#FieldGrant",
    "Name": "principal-process-steward -&gt; ExceptionInvocations.ApprovalRoleMatches",
    "FieldTable": "ExceptionInvocations",
    "FieldName": "ApprovalRoleMatches",
    "FieldIsDerived": true,
    "IsWritableDerivedField": false,
    "IsMasked": false,
    "GrantKeyWhenReadable": "principal-process-steward|ExceptionInvocations"
   },
   {
    "FieldGrantId": "fg-process-steward-ExceptionInvocations.IsApproved",
    "Principal": "principal-process-steward",
    "TargetField": "ExceptionInvocations.IsApproved",
    "CanRead": true,
    "CanWrite": false,
    "MaskStrategy": "plain",
    "SemanticTypeIri": "urn:effortless:pko-extension#FieldGrant",
    "Name": "principal-process-steward -&gt; ExceptionInvocations.IsApproved",
    "FieldTable": "ExceptionInvocations",
    "FieldName": "IsApproved",
    "FieldIsDerived": true,
    "IsWritableDerivedField": false,
    "IsMasked": false,
    "GrantKeyWhenReadable": "principal-process-steward|ExceptionInvocations"
   },
   {
    "FieldGrantId": "fg-process-steward-ExceptionInvocations.IsImproperlyApproved",
    "Principal": "principal-process-steward",
    "TargetField": "ExceptionInvocations.IsImproperlyApproved",
    "CanRead": true,
    "CanWrite": false,
    "MaskStrategy": "plain",
    "SemanticTypeIri": "urn:effortless:pko-extension#FieldGrant",
    "Name": "principal-process-steward -&gt; ExceptionInvocations.IsImproperlyApproved",
    "FieldTable": "ExceptionInvocations",
    "FieldName": "IsImproperlyApproved",
    "FieldIsDerived": true,
    "IsWritableDerivedField": false,
    "IsMasked": false,
    "GrantKeyWhenReadable": "principal-process-steward|ExceptionInvocations"
   },
   {
    "FieldGrantId": "fg-process-steward-ExceptionInvocations.InvokerAgentKind",
    "Principal": "principal-process-steward",
    "TargetField": "ExceptionInvocations.InvokerAgentKind",
    "CanRead": true,
    "CanWrite": false,
    "MaskStrategy": "plain",
    "SemanticTypeIri": "urn:effortless:pko-extension#FieldGrant",
    "Name": "principal-process-steward -&gt; ExceptionInvocations.InvokerAgentKind",
    "FieldTable": "ExceptionInvocations",
    "FieldName": "InvokerAgentKind",
    "FieldIsDerived": true,
    "IsWritableDerivedField": false,
    "IsMasked": false,
    "GrantKeyWhenReadable": "principal-process-steward|ExceptionInvocations"
   },
   {
    "FieldGrantId": "fg-process-steward-ExceptionInvocations.InvokerAlsoPreparedKey",
    "Principal": "principal-process-steward",
    "TargetField": "ExceptionInvocations.InvokerAlsoPreparedKey",
    "CanRead": true,
    "CanWrite": false,
    "MaskStrategy": "plain",
    "SemanticTypeIri": "urn:effortless:pko-extension#FieldGrant",
    "Name": "principal-process-steward -&gt; ExceptionInvocations.InvokerAlsoPreparedKey",
    "FieldTable": "ExceptionInvocations",
    "FieldName": "InvokerAlsoPreparedKey",
    "FieldIsDerived": true,
    "IsWritableDerivedField": false,
    "IsMasked": false,
    "GrantKeyWhenReadable": "principal-process-steward|ExceptionInvocations"
   },
   {
    "FieldGrantId": "fg-process-steward-ExceptionInvocations.ParentProcedureExecution",
    "Principal": "principal-process-steward",
    "TargetField": "ExceptionInvocations.ParentProcedureExecution",
    "CanRead": true,
    "CanWrite": false,
    "MaskStrategy": "plain",
    "SemanticTypeIri": "urn:effortless:pko-extension#FieldGrant",
    "Name": "principal-process-steward -&gt; ExceptionInvocations.ParentProcedureExecution",
    "FieldTable": "ExceptionInvocations",
    "FieldName": "ParentProcedureExecution",
    "FieldIsDerived": true,
    "IsWritableDerivedField": false,
    "IsMasked": false,
    "GrantKeyWhenReadable": "principal-process-steward|ExceptionInvocations"
   },
   {
    "FieldGrantId": "fg-process-steward-ExceptionInvocations.ApproverPreparedCount",
    "Principal": "principal-process-steward",
    "TargetField": "ExceptionInvocations.ApproverPreparedCou</t>
  </si>
  <si>
    <t xml:space="preserve">nt",
    "CanRead": true,
    "CanWrite": false,
    "MaskStrategy": "plain",
    "SemanticTypeIri": "urn:effortless:pko-extension#FieldGrant",
    "Name": "principal-process-steward -&gt; ExceptionInvocations.ApproverPreparedCount",
    "FieldTable": "ExceptionInvocations",
    "FieldName": "ApproverPreparedCount",
    "FieldIsDerived": true,
    "IsWritableDerivedField": false,
    "IsMasked": false,
    "GrantKeyWhenReadable": "principal-process-steward|ExceptionInvocations"
   },
   {
    "FieldGrantId": "fg-process-steward-ExceptionInvocations.DelegatedToPreparer",
    "Principal": "principal-process-steward",
    "TargetField": "ExceptionInvocations.DelegatedToPreparer",
    "CanRead": true,
    "CanWrite": false,
    "MaskStrategy": "plain",
    "SemanticTypeIri": "urn:effortless:pko-extension#FieldGrant",
    "Name": "principal-process-steward -&gt; ExceptionInvocations.DelegatedToPreparer",
    "FieldTable": "ExceptionInvocations",
    "FieldName": "DelegatedToPreparer",
    "FieldIsDerived": true,
    "IsWritableDerivedField": false,
    "IsMasked": false,
    "GrantKeyWhenReadable": "principal-process-steward|ExceptionInvocations"
   },
   {
    "FieldGrantId": "fg-process-steward-ExceptionInvocations.IsUngovernedInvocation",
    "Principal": "principal-process-steward",
    "TargetField": "ExceptionInvocations.IsUngovernedInvocation",
    "CanRead": true,
    "CanWrite": false,
    "MaskStrategy": "plain",
    "SemanticTypeIri": "urn:effortless:pko-extension#FieldGrant",
    "Name": "principal-process-steward -&gt; ExceptionInvocations.IsUngovernedInvocation",
    "FieldTable": "ExceptionInvocations",
    "FieldName": "IsUngovernedInvocation",
    "FieldIsDerived": true,
    "IsWritableDerivedField": false,
    "IsMasked": false,
    "GrantKeyWhenReadable": "principal-process-steward|ExceptionInvocations"
   },
   {
    "FieldGrantId": "fg-process-steward-ExceptionInvocations.SemanticTypeIri",
    "Principal": "principal-process-steward",
    "TargetField": "ExceptionInvocations.SemanticTypeIri",
    "CanRead": true,
    "CanWrite": false,
    "MaskStrategy": "plain",
    "SemanticTypeIri": "urn:effortless:pko-extension#FieldGrant",
    "Name": "principal-process-steward -&gt; ExceptionInvocations.SemanticTypeIri",
    "FieldTable": "ExceptionInvocations",
    "FieldName": "SemanticTypeIri",
    "FieldIsDerived": false,
    "IsWritableDerivedField": false,
    "IsMasked": false,
    "GrantKeyWhenReadable": "principal-process-steward|ExceptionInvocations"
   },
   {
    "FieldGrantId": "fg-process-steward-Exceptions.ExceptionId",
    "Principal": "principal-process-steward",
    "TargetField": "Exceptions.ExceptionId",
    "CanRead": true,
    "CanWrite": false,
    "MaskStrategy": "plain",
    "SemanticTypeIri": "urn:effortless:pko-extension#FieldGrant",
    "Name": "principal-process-steward -&gt; Exceptions.ExceptionId",
    "FieldTable": "Exceptions",
    "FieldName": "ExceptionId",
    "FieldIsDerived": false,
    "IsWritableDerivedField": false,
    "IsMasked": false,
    "GrantKeyWhenReadable": "principal-process-steward|Exceptions"
   },
   {
    "FieldGrantId": "fg-process-steward-Exceptions.Name",
    "Principal": "principal-process-steward",
    "TargetField": "Exceptions.Name",
    "CanRead": true,
    "CanWrite": false,
    "MaskStrategy": "plain",
    "SemanticTypeIri": "urn:effortless:pko-extension#FieldGrant",
    "Name": "principal-process-steward -&gt; Exceptions.Name",
    "FieldTable": "Exceptions",
    "FieldName": "Name",
    "FieldIsDerived": true,
    "IsWritableDerivedField": false,
    "IsMasked": false,
    "GrantKeyWhenReadable": "principal-process-steward|Exceptions"
   },
   {
    "FieldGrantId": "fg-process-steward-Exceptions.ProcedureVersion",
    "Principal": "principal-process-steward",
    "TargetField": "Exceptions.ProcedureVersion",
    "CanRead": true,
    "CanWrite": false,
    "MaskStrategy": "plain",
    "SemanticTypeIri": "urn:effortless:pko-extension#FieldGrant",
    "Name": "principal-process-steward -&gt; Exceptions.ProcedureVersion",
    "FieldTable": "Exceptions",
    "FieldName": "ProcedureVersion",
    "FieldIsDerived": false,
    "IsWritableDerivedField": false,
    "IsMasked": false,
    "GrantKeyWhenReadable": "principal-process-steward|Exceptions"
   },
   {
    "FieldGrantId": "fg-process-steward-Exceptions.TriggerStep",
    "Principal": "principal-process-steward",
    "TargetField": "Exceptions.TriggerStep",
    "CanRead": true,
    "CanWrite": false,
    "MaskStrategy": "plain",
    "SemanticTypeIri": "urn:effortless:pko-extension#FieldGrant",
    "Name": "principal-process-steward -&gt; Exceptions.TriggerStep",
    "FieldTable": "Exceptions",
    "FieldName": "TriggerStep",
    "FieldIsDerived": false,
    "IsWritableDerivedField": false,
    "IsMasked": false,
    "GrantKeyWhenReadable": "principal-process-steward|Exceptions"
   },
   {
    "FieldGrantId": "fg-process-steward-Exceptions.Condition",
    "Principal": "principal-process-steward",
    "TargetField": "Exceptions.Condition",
    "CanRead": true,
    "CanWrite": false,
    "MaskStrategy": "plain",
    "SemanticTypeIri": "urn:effortless:pko-extension#FieldGrant",
    "Name": "principal-process-steward -&gt; Exceptions.Condition",
    "FieldTable": "Exceptions",
    "FieldName": "Condition",
    "FieldIsDerived": false,
    "IsWritableDerivedField": false,
    "IsMasked": false,
    "GrantKeyWhenReadable": "principal-process-steward|Exceptions"
   },
   {
    "FieldGrantId": "fg-process-steward-Exceptions.Handling",
    "Principal": "principal-process-steward",
    "TargetField": "Exceptions.Handling",
    "CanRead": true,
    "CanWrite": false,
    "MaskStrategy": "plain",
    "SemanticTypeIri": "urn:effortless:pko-extension#FieldGrant",
    "Name": "principal-process-steward -&gt; Exceptions.Handling",
    "FieldTable": "Exceptions",
    "FieldName": "Handling",
    "FieldIsDerived": false,
    "IsWritableDerivedField": false,
    "IsMasked": false,
    "GrantKeyWhenReadable": "principal-process-steward|Exceptions"
   },
   {
    "FieldGrantId": "fg-process-steward-Exceptions.ApprovalRole",
    "Principal": "principal-process-steward",
    "TargetField": "Exceptions.ApprovalRole",
    "CanRead": true,
    "CanWrite": false,
    "MaskStrategy": "plain",
    "SemanticTypeIri": "urn:effortless:pko-extension#FieldGrant",
    "Name": "principal-process-steward -&gt; Exceptions.ApprovalRole",
    "FieldTable": "Exceptions",
    "FieldName": "ApprovalRole",
    "FieldIsDerived": false,
    "IsWritableDerivedField": false,
    "IsMasked": false,
    "GrantKeyWhenReadable": "principal-process-steward|Exceptions"
   },
   {
    "FieldGrantId": "fg-process-steward-Exceptions.FallbackRole",
    "Principal": "principal-process-steward",
    "TargetField": "Exceptions.FallbackRole",
    "CanRead": true,
    "CanWrite": false,
    "MaskStrategy": "plain",
    "SemanticTypeIri": "urn:effortless:pko-extension#FieldGrant",
    "Name": "principal-process-steward -&gt; Exceptions.FallbackRole",
    "FieldTable": "Exceptions",
    "FieldName": "FallbackRole",
    "FieldIsDerived": false,
    "IsWritableDerivedField": false,
    "IsMasked": false,
    "GrantKeyWhenReadable": "principal-process-steward|Exceptions"
   },
   {
    "FieldGrantId": "fg-process-steward-Exceptions.Status",
    "Principal": "principal-process-steward",
    "TargetField": "Exceptions.Status",
    "CanRead": true,
    "CanWrite": false,
    "MaskStrategy": "plain",
    "SemanticTypeIri": "urn:effortless:pko-extension#FieldGrant",
    "Name": "principal-process-steward -&gt; Exceptions.Status",
    "FieldTable": "Exceptions",
    "FieldName": "Status",
    "FieldIsDerived": false,
    "IsWritableDerivedField": false,
    "IsMasked": false,
    "GrantKeyWhenReadable": "principal-process-steward|Exceptions"
   },
   {
    "FieldGrantId": "fg-process-steward-Exceptions.ActiveExceptionStepKey",
    "Principal": "principal-process-steward",
    "TargetField": "Exceptions.ActiveExceptionStepKey",
    "CanRead": true,
    "CanWrite": false,
    "MaskStrategy": "plain",
    "SemanticTypeIri": "urn:effortless:pko-extension#FieldGrant",
    "Name": "principal-process-steward -&gt; Exceptions.ActiveExceptionStepKey",
    "FieldTable": "Exceptions",
    "FieldName": "ActiveExceptionStepKey",
    "FieldIsDerived": true,
    "IsWritableDerivedField": false,
    "IsMasked": false,
    "GrantKeyWhenReadable": "principal-process-steward|Exceptions"
   },
   {
    "FieldGrantId": "fg-process-steward-Exceptions.SemanticTypeIri",
    "Principal": "principal-process-steward",
    "TargetField": "Exceptions.SemanticTypeIri",
    "CanRead": true,
    "CanWrite": false,
    "MaskStrategy": "plain",
    "SemanticTypeIri": "urn:effortless:pko-extension#FieldGrant",
    "Name": "principal-process-steward -&gt; Exceptions.SemanticTypeIri",
    "FieldTable": "Exceptions",
    "FieldName": "SemanticTypeIri",
    "FieldIsDerived": false,
    "IsWritableDerivedField": false,
    "IsMasked": false,
    "GrantKeyWhenReadable": "principal-process-steward|Exceptions"
   },
   {
    "FieldGrantId": "fg-process-steward-Explanations.ExplanationId",
    "Principal": "principal-process-steward",
    "TargetField": "Explanations.ExplanationId",
    "CanRead": true,
    "CanWrite": false,
    "MaskStrategy": "plain",
    "SemanticTypeIri": "urn:effortless:pko-extension#FieldGrant",
    "Name": "principal-process-steward -&gt; Explanations.ExplanationId",
    "FieldTable": "Explanations",
    "FieldName": "ExplanationId",
    "FieldIsDerived": false,
    "IsWritableDerivedField": false,
    "IsMasked": false,
    "GrantKeyWhenReadable": "principal-process-steward|Explanations"
   },
   {
    "FieldGrantId": "fg-process-steward-Explanations.Name",
    "Principal": "principal-process-steward",
    "TargetField": "Explanations.Name",
    "CanRead": true,
    "CanWrite": false,
    "MaskStrategy": "plain",
    "SemanticTypeIri": "urn:effortless:pko-extension#FieldGrant",
    "Name": "principal-process-steward -&gt; Explanations.Name",
    "FieldTable": "Explanations",
    "FieldName": "Name",
    "FieldIsDerived": true,
    "IsWritableDerivedField": false,
    "IsMasked": false,
    "GrantKeyWhenReadable": "principal-process-steward|Explanations"
   },
   {
    "FieldGrantId": "fg-process-steward-Explanations.ProcedureVersion",
    "Principal": "principal-process-steward",
    "TargetField": "Explanations.ProcedureVersion",
    "CanRead": true,
    "CanWrite": false,
    "MaskStrategy": "plain",
    "SemanticTypeIri": "urn:effortless:pko-extension#FieldGrant",
    "Name": "principal-process-steward -&gt; Explanations.ProcedureVersion",
    "FieldTable": "Explanations",
    "FieldName": "ProcedureVersion",
    "FieldIsDerived": false,
    "IsWritableDerivedField": false,
    "IsMasked": false,
    "GrantKeyWhenReadable": "principal-process-steward|Explanations"
   },
   {
    "FieldGrantId": "fg-process-steward-Explanations.Step",
    "Principal": "principal-process-steward",
    "TargetField": "Explanations.Step",
    "CanRead": true,
    "CanWrite": false,
    "MaskStrategy": "plain",
    "SemanticTypeIri": "urn:effortless:pko-extension#FieldGrant",
    "Name": "principal-process-steward -&gt; Explanations.Step",
    "FieldTable": "Explanations",
    "FieldName": "Step",
    "FieldIsDerived": false,
    "IsWritableDerivedField": false,
    "IsMasked": false,
    "GrantKeyWhenReadable": "principal-process-steward|Explanations"
   },
   {
    "FieldGrantId": "fg-process-steward-Explanations.Title",
    "Principal": "principal-process-steward",
    "TargetField": "Explanations.Title",
    "CanRead": true,
    "CanWrite": false,
    "MaskStrategy": "plain",
    "SemanticTypeIri": "urn:effortless:pko-extension#FieldGrant",
    "Name": "principal-process-steward -&gt; Explanations.Title",
    "FieldTable": "Explanations",
    "FieldName": "Title",
    "FieldIsDerived": false,
    "IsWritableDerivedField": false,
    "IsMasked": false,
    "GrantKeyWhenReadable": "principal-process-steward|Explanations"
   },
   {
    "FieldGrantId": "fg-process-steward-Explanations.Description",
    "Principal": "principal-process-steward",
    "TargetField": "Explanations.Description",
    "CanRead": true,
    "CanWrite": false,
    "MaskStrategy": "plain",
    "SemanticTypeIri": "urn:effortless:pko-extension#FieldGrant",
    "Name": "principal-process-steward -&gt; Explanations.Description",
    "FieldTable": "Explanations",
    "FieldName": "Description",
    "FieldIsDerived": false,
    "IsWritableDerivedField": false,
    "IsMasked": false,
    "GrantKeyWhenReadable": "principal-process-steward|Explanations"
   },
   {
    "FieldGrantId": "fg-process-steward-Explanations.SemanticTypeIri",
    "Principal": "principal-process-steward",
    "TargetField": "Explanations.SemanticTypeIri",
    "CanRead": true,
    "CanWrite": false,
    "MaskStrategy": "plain",
    "SemanticTypeIri": "urn:effortless:pko-extension#FieldGrant",
    "Name": "principal-process-steward -&gt; Explanations.SemanticTypeIri",
    "FieldTable": "Explanations",
    "FieldName": "SemanticTypeIri",
    "FieldIsDerived": false,
    "IsWritableDerivedField": false,
    "IsMasked": false,
    "GrantKeyWhenReadable": "principal-process-steward|Explanations"
   },
   {
    "FieldGrantId": "fg-process-steward-Functions.FunctionId",
    "Principal": "principal-process-steward",
    "TargetField": "Functions.FunctionId",
    "CanRead": true,
    "CanWrite": false,
    "MaskStrategy": "plain",
    "SemanticTypeIri": "urn:effortless:pko-extension#FieldGrant",
    "Name": "principal-process-steward -&gt; Functions.FunctionId",
    "FieldTable": "Functions",
    "FieldName": "FunctionId",
    "FieldIsDerived": false,
    "IsWritableDerivedField": false,
    "IsMasked": false,
    "GrantKeyWhenReadable": "principal-process-steward|Functions"
   },
   {
    "FieldGrantId": "fg-process-steward-Functions.Name",
    "Principal": "principal-process-steward",
    "TargetField": "Functions.Name",
    "CanRead": true,
    "CanWrite": false,
    "MaskStrategy": "plain",
    "SemanticTypeIri": "urn:effortless:pko-extension#FieldGrant",
    "Name": "principal-process-steward -&gt; Functions.Name",
    "FieldTable": "Functions",
    "FieldName": "Name",
    "FieldIsDerived": true,
    "IsWritableDerivedField": false,
    "IsMasked": false,
    "GrantKeyWhenReadable": "principal-process-steward|Functions"
   },
   {
    "FieldGrantId": "fg-process-steward-Functions.Label",
    "Principal": "principal-process-steward",
    "TargetField": "Functions.Label",
    "CanRead": true,
    "CanWrite": false,
    "MaskStrategy": "plain",
    "SemanticTypeIri": "urn:effortless:pko-extension#FieldGrant",
    "Name": "principal-process-steward -&gt; Functions.Label",
    "FieldTable": "Functions",
    "FieldName": "Label",
    "FieldIsDerived": false,
    "IsWritableDerivedField": false,
    "IsMasked": false,
    "GrantKeyWhenReadable": "principal-process-steward|Functions"
   },
   {
    "FieldGrantId": "fg-process-steward-Functions.Definition",
    "Principal": "principal-process-steward",
    "TargetField": "Functions.Definition",
    "CanRead": true,
    "CanWrite": false,
    "MaskStrategy": "plain",
    "SemanticTypeIri": "urn:effortless:pko-extension#FieldGrant",
    "Name": "principal-process-steward -&gt; Functions.Definition",
    "FieldTable": "Functions",
    "FieldName": "Definition",
    "FieldIsDerived": false,
    "IsWritableDerivedField": false,
    "IsMasked": false,
    "GrantKeyWhenReadable": "principal-process-steward|Functions"
   },
   {
    "FieldGrantId": "fg-process-steward-Functions.ImplementationKey",
    "Principal": "principal-process-steward",
    "TargetField": "Functions.ImplementationKey",
    "CanRead": true,
    "CanWrite": false,
    "MaskStrategy": "plain",
    "SemanticTypeIri": "urn:effortless:pko-extension#FieldGrant",
    "Name": "principal-process-steward -&gt; Functions.ImplementationKey",
    "FieldTable": "Functions",
    "FieldName": "ImplementationKey",
    "FieldIsDerived": false,
    "IsWritableDerivedField": false,
    "IsMasked": false,
    "GrantKeyWhenReadable": "principal-process-steward|Functions"
   },
   {
    "FieldGrantId": "fg-process-steward-Functions.SemanticTypeIri",
    "Principal": "principal-process-steward",
    "TargetField": "Functions.SemanticTypeIri",
    "CanRead": true,
    "CanWrite": false,
    "MaskStrategy": "plain",
    "SemanticTypeIri": "urn:effortless:pko-extension#FieldGrant",
    "Name": "principal-process-steward -&gt; Functions.SemanticTypeIri",
    "FieldTable": "Functions",
    "FieldName": "SemanticTypeIri",
    "FieldIsDerived": false,
    "IsWritableDerivedField": false,
    "IsMasked": false,
    "GrantKeyWhenReadable": "principal-process-steward|Functions"
   },
   {
    "FieldGrantId": "fg-process-steward-IssueOccurrences.IssueOccurrenceId",
    "Principal": "principal-process-steward",
    "TargetField": "IssueOccurrences.IssueOccurrenceId",
    "CanRead": true,
    "CanWrite": false,
    "MaskStrategy": "plain",
    "SemanticTypeIri": "urn:effortless:pko-extension#FieldGrant",
    "Name": "principal-process-steward -&gt; IssueOccurrences.IssueOccurrenceId",
    "FieldTable": "IssueOccurrences",
    "FieldName": "IssueOccurrenceId",
    "FieldIsDerived": false,
    "IsWritableDerivedField": false,
    "IsMasked": false,
    "GrantKeyWhenReadable": "principal-process-steward|IssueOccurrences"
   },
   {
    "FieldGrantId": "fg-process-steward-IssueOccurrences.Name",
    "Principal": "principal-process-steward",
    "TargetField": "IssueOccurrences.Name",
    "CanRead": true,
    "CanWrite": false,
    "MaskStrategy": "plain",
    "SemanticTypeIri": "urn:effortless:pko-extension#FieldGrant",
    "Name": "principal-process-steward -&gt; IssueOccurrences.Name",
    "FieldTable": "IssueOccurrences",
    "FieldName": "Name",
    "FieldIsDerived": true,
    "IsWritableDerivedField": false,
    "IsMasked": false,
    "GrantKeyWhenReadable": "principal-process-steward|IssueOccurrences"
   },
   {
    "FieldGrantId": "fg-process-steward-IssueOccurrences.StepExecution",
    "Principal": "principal-process-steward",
    "TargetField": "IssueOccurrences.StepExecution",
    "CanRead": true,
    "CanWrite": false,
    "MaskStrategy": "plain",
    "SemanticTypeIri": "urn:effortless:pko-extension#FieldGrant",
    "Name": "principal-process-steward -&gt; IssueOccurrences.StepExecution",
    "FieldTable": "IssueOccurrences",
    "FieldName": "StepExecution",
    "FieldIsDerived": false,
    "IsWritableDerivedField": false,
    "IsMasked": false,
    "GrantKeyWhenReadable": "principal-process-steward|IssueOccurrences"
   },
   {
    "FieldGrantId": "fg-process-steward-IssueOccurrences.Error",
    "Principal": "principal-process-steward",
    "TargetField": "IssueOccurrences.Error",
    "CanRead": true,
    "CanWrite": false,
    "MaskStrategy": "plain",
    "SemanticTypeIri": "urn:effortless:pko-extension#FieldGrant",
    "Name": "principal-process-steward -&gt; IssueOccurrences.Error",
    "FieldTable": "IssueOccurrences",
    "FieldName": "Error",
    "FieldIsDerived": false,
    "IsWritableDerivedField": false,
    "IsMasked": false,
    "GrantKeyWhenReadable": "principal-process-steward|IssueOccurrences"
   },
   {
    "FieldGrantId": "fg-process-steward-IssueOccurrences.EncounteredByAgent",
    "Principal": "principal-process-steward",
    "TargetField": "IssueOccurrences.EncounteredByAgent",
    "CanRead": true,
    "CanWrite": false,
    "MaskStrategy": "plain",
    "SemanticTypeIri": "urn:effortless:pko-extension#FieldGrant",
    "Name": "principal-process-steward -&gt; IssueOccurrences.EncounteredByAgent",
    "FieldTable": "IssueOccurrences",
    "FieldName": "EncounteredByAgent",
    "FieldIsDerived": false,
    "IsWritableDerivedField": false,
    "IsMasked": false,
    "GrantKeyWhenReadable": "principal-process-steward|IssueOccurrences"
   },
   {
    "FieldGrantId": "fg-process-steward-IssueOccurrences.OccurredAt",
    "Principal": "principal-process-steward",
    "TargetField": "IssueOccurrences.OccurredAt",
    "CanRead": true,
    "CanWrite": false,
    "MaskStrategy": "plain",
    "SemanticTypeIri": "urn:effortless:pko-extension#FieldGrant",
    "Name": "principal-process-steward -&gt; IssueOccurrences.OccurredAt",
    "FieldTable": "IssueOccurrences",
    "FieldName": "OccurredAt",
    "FieldIsDerived": false,
    "IsWritableDerivedField": false,
    "IsMasked": false,
    "GrantKeyWhenReadable": "principal-process-steward|IssueOccurrences"
   },
   {
    "FieldGrantId": "fg-process-steward-IssueOccurrences.IssueCause",
    "Principal": "principal-process-steward",
    "TargetField": "IssueOccurrences.IssueCause",
    "CanRead": true,
    "CanWrite": false,
    "MaskStrategy": "plain",
    "SemanticTypeIri": "urn:effortless:pko-extension#FieldGrant",
    "Name": "principal-process-steward -&gt; IssueOccurrences.IssueCause",
    "FieldTable": "IssueOccurrences",
    "FieldName": "IssueCause",
    "FieldIsDerived": false,
    "IsWritableDerivedField": false,
    "IsMasked": false,
    "GrantKeyWhenReadable": "principal-process-steward|IssueOccurrences"
   },
   {
    "FieldGrantId": "fg-process-steward-IssueOccurrences.IssueSolution",
    "Principal": "principal-process-steward",
    "TargetField": "IssueOccurrences.IssueSolution",
    "CanRead": true,
    "CanWrite": false,
    "MaskStrategy": "plain",
    "SemanticTypeIri": "urn:effortless:pko-extension#FieldGrant",
    "Name": "principal-process-steward -&gt; IssueOccurrences.IssueSolution",
    "FieldTable": "IssueOccurrences",
    "FieldName": "IssueSolution",
    "FieldIsDerived": false,
    "IsWritableDerivedField": false,
    "IsMasked": false,
    "GrantKeyWhenReadable": "principal-process-steward|IssueOccurrences"
   },
   {
    "FieldGrantId": "fg-process-steward-IssueOccurrences.Status",
    "Principal": "principal-process-steward",
    "TargetField": "IssueOccurrences.Status",
    "CanRead": true,
    "CanWrite": false,
    "MaskStrategy": "plain",
    "SemanticTypeIri": "urn:effortless:pko-extension#FieldGrant",
    "Name": "principal-process-steward -&gt; IssueOccurrences.Status",
    "FieldTable": "IssueOccurrences",
    "FieldName": "Status",
    "FieldIsDerived": false,
    "IsWritableDerivedField": false,
    "IsMasked": false,
    "GrantKeyWhenReadable": "principal-process-steward|IssueOccurrences"
   },
   {
    "FieldGrantId": "fg-process-steward-IssueOccurrences.IsUnresolved",
    "Principal": "principal-process-steward",
    "TargetField": "IssueOccurrences.IsUnresolved",
    "CanRead": true,
    "CanWrite": false,
    "MaskStrategy": "plain",
    "SemanticTypeIri": "urn:effortless:pko-extension#FieldGrant",
    "Name": "principal-process-steward -&gt; IssueOccurrences.IsUnresolved",
    "FieldTable": "IssueOccurrences",
    "FieldName": "IsUnresolved",
    "FieldIsDerived": true,
    "IsWritableDerivedField": false,
    "IsMasked": false,
    "GrantKeyWhenReadable": "principal-process-steward|IssueOccurrences"
   },
   {
    "FieldGrantId": "fg-process-steward-IssueOccurrences.StepExecutionWhenUnresolved",
    "Principal": "principal-process-steward",
    "TargetField": "IssueOccurrences.StepExecutionWhenUnresolved",
    "CanRead": true,
    "CanWrite": false,
    "MaskStrategy": "plain",
    "SemanticTypeIri": "urn:effortless:pko-extension#FieldGrant",
    "Name": "principal-process-steward -&gt; IssueOccurrences.StepExecutionWhenUnresolved",
    "FieldTable": "IssueOccurrences",
    "FieldName": "StepExecutionWhenUnresolved",
    "FieldIsDerived": true,
    "IsWritableDerivedField": false,
    "IsMasked": false,
    "GrantKeyWhenReadable": "principal-process-steward|IssueOccurrences"
   },
   {
    "FieldGrantId": "fg-process-steward-IssueOccurrences.SemanticTypeIri",
    "Principal": "principal-process-steward",
    "TargetField": "IssueOccurrences.SemanticTypeIri",
    "CanRead": true,
    "CanWrite": false,
    "MaskStrategy": "plain",
    "SemanticTypeIri": "urn:effortless:pko-extension#FieldGrant",
    "Name": "principal-process-steward -&gt; IssueOccurrences.SemanticTypeIri",
    "FieldTable": "IssueOccurrences",
    "FieldName": "SemanticTypeIri",
    "FieldIsDerived": false,
    "IsWritableDerivedField": false,
    "IsMasked": false,
    "GrantKeyWhenReadable": "principal-process-steward|IssueOccurrences"
   },
   {
    "FieldGrantId": "fg-process-steward-KnowledgeFragments.KnowledgeFragmentId",
    "Principal": "principal-process-steward",
    "TargetField": "KnowledgeFragments.KnowledgeFragmentId",
    "CanRead": true,
    "CanWrite": false,
    "MaskStrategy": "plain",
    "SemanticTypeIri": "urn:effortless:pko-extension#FieldGrant",
    "Name": "principal-process-steward -&gt; KnowledgeFragments.KnowledgeFragmentId",
    "FieldTable": "KnowledgeFragments",
    "FieldName": "KnowledgeFragmentId",
    "FieldIsDerived": false,
    "IsWritableDerivedField": false,
    "IsMasked": false,
    "GrantKeyWhenReadable": "principal-process-steward|KnowledgeFragments"
   },
   {
    "FieldGrantId": "fg-process-steward-KnowledgeFragments.Name",
    "Principal": "principal-process-steward",
    "TargetField": "KnowledgeFragments.Name",
    "CanRead": true,
    "CanWrite": false,
    "MaskStrategy": "plain",
    "SemanticTypeIri": "urn:effortless:pko-extension#FieldGrant",
    "Name": "principal-process-steward -&gt; KnowledgeFragments.Name",
    "FieldTable": "KnowledgeFragments",
    "FieldName": "Name",
    "FieldIsDerived": true,
    "IsWritableDerivedField": false,
    "IsMasked": false,
    "GrantKeyWhenReadable": "principal-process-steward|KnowledgeFragments"
   },
   {
    "FieldGrantId": "fg-process-steward-KnowledgeFragments.ProcedureVersion",
    "Principal": "principal-process-steward",
    "TargetField": "KnowledgeFragments.ProcedureVersion",
    "CanRead": true,
    "CanWrite": false,
    "MaskStrategy": "plain",
    "SemanticTypeIri": "urn:effortless:pko-extension#FieldGrant",
    "Name": "principal-process-steward -&gt; KnowledgeFragments.ProcedureVersion",
    "FieldTable": "KnowledgeFragments",
    "FieldName": "ProcedureVersion",
    "FieldIsDerived": false,
    "IsWritableDerivedField": false,
    "IsMasked": false,
    "GrantKeyWhenReadable": "principal-process-steward|KnowledgeFragments"
   },
   {
    "FieldGrantId": "fg-process-steward-KnowledgeFragments.Step",
    "Principal": "principal-process-steward",
    "TargetField": "KnowledgeFragments.Step",
    "CanRead": true,
    "CanWrite": false,
    "MaskStrategy": "plain",
    "SemanticTypeIri": "urn:effortless:pko-extension#FieldGrant",
    "Name": "principal-process-steward -&gt; KnowledgeFragments.Step",
    "FieldTable": "KnowledgeFragments",
    "FieldName": "Step",
    "FieldIsDerived": false,
    "IsWritableDerivedField": false,
    "IsMasked": false,
    "GrantKeyWhenReadable": "principal-process-steward|KnowledgeFragments"
   },
   {
    "FieldGrantId": "fg-process-steward-KnowledgeFragments.KnowledgeForm",
    "Principal": "principal-process-steward",
    "TargetField": "KnowledgeFragments.KnowledgeForm",
    "CanRead": true,
    "CanWrite": false,
    "MaskStrategy": "plain",
    "SemanticTypeIri": "urn:effortless:pko-extension#FieldGrant",
    "Name": "principal-process-steward -&gt; KnowledgeFragments.KnowledgeForm",
    "FieldTable": "KnowledgeFragments",
    "FieldName": "KnowledgeForm",
    "FieldIsDerived": false,
    "IsWritableDerivedField": false,
    "IsMasked": false,
    "GrantKeyWhenReadable": "principal-process-steward|KnowledgeFragments"
   },
   {
    "FieldGrantId": "fg-process-steward-KnowledgeFragments.Statement",
    "Principal": "principal-process-steward",
    "TargetField": "KnowledgeFragments.Statement",
    "CanRead": true,
    "CanWrite": false,
    "MaskStrategy": "plain",
    "SemanticTypeIri": "urn:effortless:pko-extension#FieldGrant",
    "Name": "principal-process-steward -&gt; KnowledgeFragments.Statement",
    "FieldTable": "KnowledgeFragments",
    "FieldName": "Statement",
    "FieldIsDerived": false,
    "IsWritableDerivedField": false,
    "IsMasked": false,
    "GrantKeyWhenReadable": "principal-process-steward|KnowledgeFragments"
   },
   {
    "FieldGrantId": "fg-process-steward-KnowledgeFragments.ElicitationSession",
    "Principal": "principal-process-steward",
    "TargetField": "KnowledgeFragments.ElicitationSession",
    "CanRead": true,
    "CanWrite": false,
    "MaskStrategy": "plain",
    "SemanticTypeIri": "urn:effortless:pko-extension#FieldGrant",
    "Name": "principal-process-steward -&gt; KnowledgeFragments.ElicitationSession",
    "FieldTable": "KnowledgeFragments",
    "FieldName": "ElicitationSession",
    "FieldIsDerived": false,
    "IsWritableDerivedField": false,
    "IsMasked": false,
    "GrantKeyWhenReadable": "principal-process-steward|KnowledgeFragments"
   },
   {
    "FieldGrantId": "fg-process-steward-KnowledgeFragments.SourceAgent",
    "Principal": "principal-process-steward",
    "TargetField": "KnowledgeFragments.SourceAgent",
    "CanRead": true,
    "CanWrite": false,
    "MaskStrategy": "plain",
    "SemanticTypeIri": "urn:effortless:pko-extension#FieldGrant",
    "Name": "principal-process-steward -&gt; KnowledgeFragments.SourceAgent",
    "FieldTable": "KnowledgeFragments",
    "FieldName": "SourceAgent",
    "FieldIsDerived": false,
    "IsWritableDerivedField": false,
    "IsMasked": false,
    "GrantKeyWhenReadable": "principal-process-steward|KnowledgeFragments"
   },
   {
    "FieldGrantId": "fg-process-steward-KnowledgeFragments.Confidence",
    "Principal": "principal-process-steward",
    "TargetField": "KnowledgeFragments.Confidence",
    "CanRead": true,
    "CanWrite": false,
    "MaskStrategy": "plain",
    "SemanticTypeIri": "urn:effortless:pko-extension#FieldGrant",
    "Name": "principal-process-steward -&gt; KnowledgeFragments.Confidence",
    "FieldTable": "KnowledgeFragments",
    "FieldName": "Confidence",
    "FieldIsDerived": false,
    "IsWritableDerivedField": false,
    "IsMasked": false,
    "GrantKeyWhenReadable": "principal-process-steward|KnowledgeFragments"
   },
   {
    "FieldGrantId": "fg-process-steward-KnowledgeFragments.ValidFrom",
    "Principal": "principal-process-steward",
    "TargetField": "KnowledgeFragments.ValidFrom",
    "CanRead": true,
    "CanWrite": false,
    "MaskStrategy": "plain",
    "SemanticTypeIri": "urn:effortless:pko-extension#FieldGrant",
    "Name": "principal-process-steward -&gt; KnowledgeFragments.ValidFrom",
    "FieldTable": "KnowledgeFragments",
    "FieldName": "ValidFrom",
    "FieldIsDerived": false,
    "IsWritableDerivedField": false,
    "IsMasked": false,
    "GrantKeyWhenReadable": "principal-process-steward|KnowledgeFragments"
   },
   {
    "FieldGrantId": "fg-process-steward-KnowledgeFragments.ValidTo",
    "Principal": "principal-process-steward",
    "TargetField": "KnowledgeFragments.ValidTo",
    "CanRead": true,
    "CanWrite": false,
    "MaskStrategy": "plain",
    "SemanticTypeIri": "urn:effortless:pko-extension#FieldGrant",
    "Name": "principal-process-steward -&gt; KnowledgeFragments.ValidTo",
    "FieldTable": "KnowledgeFragments",
    "FieldName": "ValidTo",
    "FieldIsDerived": false,
    "IsWritableDerivedField": false,
    "IsMasked": false,
    "GrantKeyWhenReadable": "principal-process-steward|KnowledgeFragments"
   },
   {
    "FieldGrantId": "fg-process-steward-KnowledgeFragments.Status",
    "Principal": "principal-process-steward",
    "TargetField": "KnowledgeFragments.Status",
    "CanRead": true,
    "CanWrite": false,
    "MaskStrategy": "plain",
    "SemanticTypeIri": "urn:effortless:pko-extension#FieldGrant",
    "Name": "principal-process-steward -&gt; KnowledgeFragments.Status",
    "FieldTable": "KnowledgeFragments",
    "FieldName": "Status",
    "FieldIsDerived": false,
    "IsWritableDerivedField": false,
    "IsMasked": false,
    "GrantKeyWhenReadable": "principal-process-steward|KnowledgeFragments"
   },
   {
    "FieldGrantId": "fg-process-steward-KnowledgeFragments.OwnerRole",
    "Principal": "principal-process-steward",
    "TargetField": "KnowledgeFragments.OwnerRole",
    "CanRead": true,
    "CanWrite": false,
    "MaskStrategy": "plain",
    "SemanticTypeIri": "urn:effortless:pko-extension#FieldGrant",
    "Name": "principal-process-steward -&gt; KnowledgeFragments.OwnerRole",
    "FieldTable": "KnowledgeFragments",
    "FieldName": "OwnerRole",
    "FieldIsDerived": false,
    "IsWritableDerivedField": false,
    "IsMasked": false,
    "GrantKeyWhenReadable": "principal-process-steward|KnowledgeFragments"
   },
   {
    "FieldGrantId": "fg-process-steward-KnowledgeFragments.EvaluationContext",
    "Principal": "principal-process-steward",
    "TargetField": "KnowledgeFragments.EvaluationContext",
    "CanRead": true,
    "CanWrite": false,
    "MaskStrategy": "plain",
    "SemanticTypeIri": "urn</t>
  </si>
  <si>
    <t xml:space="preserve">:effortless:pko-extension#FieldGrant",
    "Name": "principal-process-steward -&gt; KnowledgeFragments.EvaluationContext",
    "FieldTable": "KnowledgeFragments",
    "FieldName": "EvaluationContext",
    "FieldIsDerived": false,
    "IsWritableDerivedField": false,
    "IsMasked": false,
    "GrantKeyWhenReadable": "principal-process-steward|KnowledgeFragments"
   },
   {
    "FieldGrantId": "fg-process-steward-KnowledgeFragments.AsOfInstant",
    "Principal": "principal-process-steward",
    "TargetField": "KnowledgeFragments.AsOfInstant",
    "CanRead": true,
    "CanWrite": false,
    "MaskStrategy": "plain",
    "SemanticTypeIri": "urn:effortless:pko-extension#FieldGrant",
    "Name": "principal-process-steward -&gt; KnowledgeFragments.AsOfInstant",
    "FieldTable": "KnowledgeFragments",
    "FieldName": "AsOfInstant",
    "FieldIsDerived": true,
    "IsWritableDerivedField": false,
    "IsMasked": false,
    "GrantKeyWhenReadable": "principal-process-steward|KnowledgeFragments"
   },
   {
    "FieldGrantId": "fg-process-steward-KnowledgeFragments.IsCurrentlyValid",
    "Principal": "principal-process-steward",
    "TargetField": "KnowledgeFragments.IsCurrentlyValid",
    "CanRead": true,
    "CanWrite": false,
    "MaskStrategy": "plain",
    "SemanticTypeIri": "urn:effortless:pko-extension#FieldGrant",
    "Name": "principal-process-steward -&gt; KnowledgeFragments.IsCurrentlyValid",
    "FieldTable": "KnowledgeFragments",
    "FieldName": "IsCurrentlyValid",
    "FieldIsDerived": true,
    "IsWritableDerivedField": false,
    "IsMasked": false,
    "GrantKeyWhenReadable": "principal-process-steward|KnowledgeFragments"
   },
   {
    "FieldGrantId": "fg-process-steward-KnowledgeFragments.SourceAgentIsStillEngaged",
    "Principal": "principal-process-steward",
    "TargetField": "KnowledgeFragments.SourceAgentIsStillEngaged",
    "CanRead": true,
    "CanWrite": false,
    "MaskStrategy": "plain",
    "SemanticTypeIri": "urn:effortless:pko-extension#FieldGrant",
    "Name": "principal-process-steward -&gt; KnowledgeFragments.SourceAgentIsStillEngaged",
    "FieldTable": "KnowledgeFragments",
    "FieldName": "SourceAgentIsStillEngaged",
    "FieldIsDerived": true,
    "IsWritableDerivedField": false,
    "IsMasked": false,
    "GrantKeyWhenReadable": "principal-process-steward|KnowledgeFragments"
   },
   {
    "FieldGrantId": "fg-process-steward-KnowledgeFragments.SourceAgentKind",
    "Principal": "principal-process-steward",
    "TargetField": "KnowledgeFragments.SourceAgentKind",
    "CanRead": true,
    "CanWrite": false,
    "MaskStrategy": "plain",
    "SemanticTypeIri": "urn:effortless:pko-extension#FieldGrant",
    "Name": "principal-process-steward -&gt; KnowledgeFragments.SourceAgentKind",
    "FieldTable": "KnowledgeFragments",
    "FieldName": "SourceAgentKind",
    "FieldIsDerived": true,
    "IsWritableDerivedField": false,
    "IsMasked": false,
    "GrantKeyWhenReadable": "principal-process-steward|KnowledgeFragments"
   },
   {
    "FieldGrantId": "fg-process-steward-KnowledgeFragments.HasHumanSource",
    "Principal": "principal-process-steward",
    "TargetField": "KnowledgeFragments.HasHumanSource",
    "CanRead": true,
    "CanWrite": false,
    "MaskStrategy": "plain",
    "SemanticTypeIri": "urn:effortless:pko-extension#FieldGrant",
    "Name": "principal-process-steward -&gt; KnowledgeFragments.HasHumanSource",
    "FieldTable": "KnowledgeFragments",
    "FieldName": "HasHumanSource",
    "FieldIsDerived": true,
    "IsWritableDerivedField": false,
    "IsMasked": false,
    "GrantKeyWhenReadable": "principal-process-steward|KnowledgeFragments"
   },
   {
    "FieldGrantId": "fg-process-steward-KnowledgeFragments.HasOrphanedProvenance",
    "Principal": "principal-process-steward",
    "TargetField": "KnowledgeFragments.HasOrphanedProvenance",
    "CanRead": true,
    "CanWrite": false,
    "MaskStrategy": "plain",
    "SemanticTypeIri": "urn:effortless:pko-extension#FieldGrant",
    "Name": "principal-process-steward -&gt; KnowledgeFragments.HasOrphanedProvenance",
    "FieldTable": "KnowledgeFragments",
    "FieldName": "HasOrphanedProvenance",
    "FieldIsDerived": true,
    "IsWritableDerivedField": false,
    "IsMasked": false,
    "GrantKeyWhenReadable": "principal-process-steward|KnowledgeFragments"
   },
   {
    "FieldGrantId": "fg-process-steward-KnowledgeFragments.IsUndefendableTacitClaim",
    "Principal": "principal-process-steward",
    "TargetField": "KnowledgeFragments.IsUndefendableTacitClaim",
    "CanRead": true,
    "CanWrite": false,
    "MaskStrategy": "plain",
    "SemanticTypeIri": "urn:effortless:pko-extension#FieldGrant",
    "Name": "principal-process-steward -&gt; KnowledgeFragments.IsUndefendableTacitClaim",
    "FieldTable": "KnowledgeFragments",
    "FieldName": "IsUndefendableTacitClaim",
    "FieldIsDerived": true,
    "IsWritableDerivedField": false,
    "IsMasked": false,
    "GrantKeyWhenReadable": "principal-process-steward|KnowledgeFragments"
   },
   {
    "FieldGrantId": "fg-process-steward-KnowledgeFragments.IsApproved",
    "Principal": "principal-process-steward",
    "TargetField": "KnowledgeFragments.IsApproved",
    "CanRead": true,
    "CanWrite": false,
    "MaskStrategy": "plain",
    "SemanticTypeIri": "urn:effortless:pko-extension#FieldGrant",
    "Name": "principal-process-steward -&gt; KnowledgeFragments.IsApproved",
    "FieldTable": "KnowledgeFragments",
    "FieldName": "IsApproved",
    "FieldIsDerived": true,
    "IsWritableDerivedField": false,
    "IsMasked": false,
    "GrantKeyWhenReadable": "principal-process-steward|KnowledgeFragments"
   },
   {
    "FieldGrantId": "fg-process-steward-KnowledgeFragments.IsWithinValidityWindow",
    "Principal": "principal-process-steward",
    "TargetField": "KnowledgeFragments.IsWithinValidityWindow",
    "CanRead": true,
    "CanWrite": false,
    "MaskStrategy": "plain",
    "SemanticTypeIri": "urn:effortless:pko-extension#FieldGrant",
    "Name": "principal-process-steward -&gt; KnowledgeFragments.IsWithinValidityWindow",
    "FieldTable": "KnowledgeFragments",
    "FieldName": "IsWithinValidityWindow",
    "FieldIsDerived": true,
    "IsWritableDerivedField": false,
    "IsMasked": false,
    "GrantKeyWhenReadable": "principal-process-steward|KnowledgeFragments"
   },
   {
    "FieldGrantId": "fg-process-steward-KnowledgeFragments.IsReliedUpon",
    "Principal": "principal-process-steward",
    "TargetField": "KnowledgeFragments.IsReliedUpon",
    "CanRead": true,
    "CanWrite": false,
    "MaskStrategy": "plain",
    "SemanticTypeIri": "urn:effortless:pko-extension#FieldGrant",
    "Name": "principal-process-steward -&gt; KnowledgeFragments.IsReliedUpon",
    "FieldTable": "KnowledgeFragments",
    "FieldName": "IsReliedUpon",
    "FieldIsDerived": true,
    "IsWritableDerivedField": false,
    "IsMasked": false,
    "GrantKeyWhenReadable": "principal-process-steward|KnowledgeFragments"
   },
   {
    "FieldGrantId": "fg-process-steward-KnowledgeFragments.StepProcedureVersionStatus",
    "Principal": "principal-process-steward",
    "TargetField": "KnowledgeFragments.StepProcedureVersionStatus",
    "CanRead": true,
    "CanWrite": false,
    "MaskStrategy": "plain",
    "SemanticTypeIri": "urn:effortless:pko-extension#FieldGrant",
    "Name": "principal-process-steward -&gt; KnowledgeFragments.StepProcedureVersionStatus",
    "FieldTable": "KnowledgeFragments",
    "FieldName": "StepProcedureVersionStatus",
    "FieldIsDerived": true,
    "IsWritableDerivedField": false,
    "IsMasked": false,
    "GrantKeyWhenReadable": "principal-process-steward|KnowledgeFragments"
   },
   {
    "FieldGrantId": "fg-process-steward-KnowledgeFragments.IsAttachedToLiveVersion",
    "Principal": "principal-process-steward",
    "TargetField": "KnowledgeFragments.IsAttachedToLiveVersion",
    "CanRead": true,
    "CanWrite": false,
    "MaskStrategy": "plain",
    "SemanticTypeIri": "urn:effortless:pko-extension#FieldGrant",
    "Name": "principal-process-steward -&gt; KnowledgeFragments.IsAttachedToLiveVersion",
    "FieldTable": "KnowledgeFragments",
    "FieldName": "IsAttachedToLiveVersion",
    "FieldIsDerived": true,
    "IsWritableDerivedField": false,
    "IsMasked": false,
    "GrantKeyWhenReadable": "principal-process-steward|KnowledgeFragments"
   },
   {
    "FieldGrantId": "fg-process-steward-KnowledgeFragments.IsUnapprovedButReliedOn",
    "Principal": "principal-process-steward",
    "TargetField": "KnowledgeFragments.IsUnapprovedButReliedOn",
    "CanRead": true,
    "CanWrite": false,
    "MaskStrategy": "plain",
    "SemanticTypeIri": "urn:effortless:pko-extension#FieldGrant",
    "Name": "principal-process-steward -&gt; KnowledgeFragments.IsUnapprovedButReliedOn",
    "FieldTable": "KnowledgeFragments",
    "FieldName": "IsUnapprovedButReliedOn",
    "FieldIsDerived": true,
    "IsWritableDerivedField": false,
    "IsMasked": false,
    "GrantKeyWhenReadable": "principal-process-steward|KnowledgeFragments"
   },
   {
    "FieldGrantId": "fg-process-steward-KnowledgeFragments.EvidenceAgeDays",
    "Principal": "principal-process-steward",
    "TargetField": "KnowledgeFragments.EvidenceAgeDays",
    "CanRead": true,
    "CanWrite": false,
    "MaskStrategy": "plain",
    "SemanticTypeIri": "urn:effortless:pko-extension#FieldGrant",
    "Name": "principal-process-steward -&gt; KnowledgeFragments.EvidenceAgeDays",
    "FieldTable": "KnowledgeFragments",
    "FieldName": "EvidenceAgeDays",
    "FieldIsDerived": true,
    "IsWritableDerivedField": false,
    "IsMasked": false,
    "GrantKeyWhenReadable": "principal-process-steward|KnowledgeFragments"
   },
   {
    "FieldGrantId": "fg-process-steward-KnowledgeFragments.HasRecordedElicitation",
    "Principal": "principal-process-steward",
    "TargetField": "KnowledgeFragments.HasRecordedElicitation",
    "CanRead": true,
    "CanWrite": false,
    "MaskStrategy": "plain",
    "SemanticTypeIri": "urn:effortless:pko-extension#FieldGrant",
    "Name": "principal-process-steward -&gt; KnowledgeFragments.HasRecordedElicitation",
    "FieldTable": "KnowledgeFragments",
    "FieldName": "HasRecordedElicitation",
    "FieldIsDerived": true,
    "IsWritableDerivedField": false,
    "IsMasked": false,
    "GrantKeyWhenReadable": "principal-process-steward|KnowledgeFragments"
   },
   {
    "FieldGrantId": "fg-process-steward-KnowledgeFragments.IsFromSingleWitness",
    "Principal": "principal-process-steward",
    "TargetField": "KnowledgeFragments.IsFromSingleWitness",
    "CanRead": true,
    "CanWrite": false,
    "MaskStrategy": "plain",
    "SemanticTypeIri": "urn:effortless:pko-extension#FieldGrant",
    "Name": "principal-process-steward -&gt; KnowledgeFragments.IsFromSingleWitness",
    "FieldTable": "KnowledgeFragments",
    "FieldName": "IsFromSingleWitness",
    "FieldIsDerived": true,
    "IsWritableDerivedField": false,
    "IsMasked": false,
    "GrantKeyWhenReadable": "principal-process-steward|KnowledgeFragments"
   },
   {
    "FieldGrantId": "fg-process-steward-KnowledgeFragments.EvidenceExpiryDays",
    "Principal": "principal-process-steward",
    "TargetField": "KnowledgeFragments.EvidenceExpiryDays",
    "CanRead": true,
    "CanWrite": false,
    "MaskStrategy": "plain",
    "SemanticTypeIri": "urn:effortless:pko-extension#FieldGrant",
    "Name": "principal-process-steward -&gt; KnowledgeFragments.EvidenceExpiryDays",
    "FieldTable": "KnowledgeFragments",
    "FieldName": "EvidenceExpiryDays",
    "FieldIsDerived": true,
    "IsWritableDerivedField": false,
    "IsMasked": false,
    "GrantKeyWhenReadable": "principal-process-steward|KnowledgeFragments"
   },
   {
    "FieldGrantId": "fg-process-steward-KnowledgeFragments.EvidenceHasExpired",
    "Principal": "principal-process-steward",
    "TargetField": "KnowledgeFragments.EvidenceHasExpired",
    "CanRead": true,
    "CanWrite": false,
    "MaskStrategy": "plain",
    "SemanticTypeIri": "urn:effortless:pko-extension#FieldGrant",
    "Name": "principal-process-steward -&gt; KnowledgeFragments.EvidenceHasExpired",
    "FieldTable": "KnowledgeFragments",
    "FieldName": "EvidenceHasExpired",
    "FieldIsDerived": true,
    "IsWritableDerivedField": false,
    "IsMasked": false,
    "GrantKeyWhenReadable": "principal-process-steward|KnowledgeFragments"
   },
   {
    "FieldGrantId": "fg-process-steward-KnowledgeFragments.OwnerAgent",
    "Principal": "principal-process-steward",
    "TargetField": "KnowledgeFragments.OwnerAgent",
    "CanRead": true,
    "CanWrite": false,
    "MaskStrategy": "plain",
    "SemanticTypeIri": "urn:effortless:pko-extension#FieldGrant",
    "Name": "principal-process-steward -&gt; KnowledgeFragments.OwnerAgent",
    "FieldTable": "KnowledgeFragments",
    "FieldName": "OwnerAgent",
    "FieldIsDerived": true,
    "IsWritableDerivedField": false,
    "IsMasked": false,
    "GrantKeyWhenReadable": "principal-process-steward|KnowledgeFragments"
   },
   {
    "FieldGrantId": "fg-process-steward-KnowledgeFragments.IsAwaitingApproval",
    "Principal": "principal-process-steward",
    "TargetField": "KnowledgeFragments.IsAwaitingApproval",
    "CanRead": true,
    "CanWrite": false,
    "MaskStrategy": "plain",
    "SemanticTypeIri": "urn:effortless:pko-extension#FieldGrant",
    "Name": "principal-process-steward -&gt; KnowledgeFragments.IsAwaitingApproval",
    "FieldTable": "KnowledgeFragments",
    "FieldName": "IsAwaitingApproval",
    "FieldIsDerived": true,
    "IsWritableDerivedField": false,
    "IsMasked": false,
    "GrantKeyWhenReadable": "principal-process-steward|KnowledgeFragments"
   },
   {
    "FieldGrantId": "fg-process-steward-KnowledgeFragments.OwnerIsMe",
    "Principal": "principal-process-steward",
    "TargetField": "KnowledgeFragments.OwnerIsMe",
    "CanRead": true,
    "CanWrite": false,
    "MaskStrategy": "plain",
    "SemanticTypeIri": "urn:effortless:pko-extension#FieldGrant",
    "Name": "principal-process-steward -&gt; KnowledgeFragments.OwnerIsMe",
    "FieldTable": "KnowledgeFragments",
    "FieldName": "OwnerIsMe",
    "FieldIsDerived": true,
    "IsWritableDerivedField": false,
    "IsMasked": false,
    "GrantKeyWhenReadable": "principal-process-steward|KnowledgeFragments"
   },
   {
    "FieldGrantId": "fg-process-steward-KnowledgeFragments.IsMyUnfinishedApproval",
    "Principal": "principal-process-steward",
    "TargetField": "KnowledgeFragments.IsMyUnfinishedApproval",
    "CanRead": true,
    "CanWrite": false,
    "MaskStrategy": "plain",
    "SemanticTypeIri": "urn:effortless:pko-extension#FieldGrant",
    "Name": "principal-process-steward -&gt; KnowledgeFragments.IsMyUnfinishedApproval",
    "FieldTable": "KnowledgeFragments",
    "FieldName": "IsMyUnfinishedApproval",
    "FieldIsDerived": true,
    "IsWritableDerivedField": false,
    "IsMasked": false,
    "GrantKeyWhenReadable": "principal-process-steward|KnowledgeFragments"
   },
   {
    "FieldGrantId": "fg-process-steward-KnowledgeFragments.IsInvokedByAnException",
    "Principal": "principal-process-steward",
    "TargetField": "KnowledgeFragments.IsInvokedByAnException",
    "CanRead": true,
    "CanWrite": false,
    "MaskStrategy": "plain",
    "SemanticTypeIri": "urn:effortless:pko-extension#FieldGrant",
    "Name": "principal-process-steward -&gt; KnowledgeFragments.IsInvokedByAnException",
    "FieldTable": "KnowledgeFragments",
    "FieldName": "IsInvokedByAnException",
    "FieldIsDerived": true,
    "IsWritableDerivedField": false,
    "IsMasked": false,
    "GrantKeyWhenReadable": "principal-process-steward|KnowledgeFragments"
   },
   {
    "FieldGrantId": "fg-process-steward-KnowledgeFragments.HasOperationalReliance",
    "Principal": "principal-process-steward",
    "TargetField": "KnowledgeFragments.HasOperationalReliance",
    "CanRead": true,
    "CanWrite": false,
    "MaskStrategy": "plain",
    "SemanticTypeIri": "urn:effortless:pko-extension#FieldGrant",
    "Name": "principal-process-steward -&gt; KnowledgeFragments.HasOperationalReliance",
    "FieldTable": "KnowledgeFragments",
    "FieldName": "HasOperationalReliance",
    "FieldIsDerived": true,
    "IsWritableDerivedField": false,
    "IsMasked": false,
    "GrantKeyWhenReadable": "principal-process-steward|KnowledgeFragments"
   },
   {
    "FieldGrantId": "fg-process-steward-KnowledgeFragments.IsUnapprovedAndOperationallyLive",
    "Principal": "principal-process-steward",
    "TargetField": "KnowledgeFragments.IsUnapprovedAndOperationallyLive",
    "CanRead": true,
    "CanWrite": false,
    "MaskStrategy": "plain",
    "SemanticTypeIri": "urn:effortless:pko-extension#FieldGrant",
    "Name": "principal-process-steward -&gt; KnowledgeFragments.IsUnapprovedAndOperationallyLive",
    "FieldTable": "KnowledgeFragments",
    "FieldName": "IsUnapprovedAndOperationallyLive",
    "FieldIsDerived": true,
    "IsWritableDerivedField": false,
    "IsMasked": false,
    "GrantKeyWhenReadable": "principal-process-steward|KnowledgeFragments"
   },
   {
    "FieldGrantId": "fg-process-steward-KnowledgeFragments.AgeDays",
    "Principal": "principal-process-steward",
    "TargetField": "KnowledgeFragments.AgeDays",
    "CanRead": true,
    "CanWrite": false,
    "MaskStrategy": "plain",
    "SemanticTypeIri": "urn:effortless:pko-extension#FieldGrant",
    "Name": "principal-process-steward -&gt; KnowledgeFragments.AgeDays",
    "FieldTable": "KnowledgeFragments",
    "FieldName": "AgeDays",
    "FieldIsDerived": true,
    "IsWritableDerivedField": false,
    "IsMasked": false,
    "GrantKeyWhenReadable": "principal-process-steward|KnowledgeFragments"
   },
   {
    "FieldGrantId": "fg-process-steward-KnowledgeFragments.IsLowConfidence",
    "Principal": "principal-process-steward",
    "TargetField": "KnowledgeFragments.IsLowConfidence",
    "CanRead": true,
    "CanWrite": false,
    "MaskStrategy": "plain",
    "SemanticTypeIri": "urn:effortless:pko-extension#FieldGrant",
    "Name": "principal-process-steward -&gt; KnowledgeFragments.IsLowConfidence",
    "FieldTable": "KnowledgeFragments",
    "FieldName": "IsLowConfidence",
    "FieldIsDerived": true,
    "IsWritableDerivedField": false,
    "IsMasked": false,
    "GrantKeyWhenReadable": "principal-process-steward|KnowledgeFragments"
   },
   {
    "FieldGrantId": "fg-process-steward-KnowledgeFragments.OwningVersionCadenceDays",
    "Principal": "principal-process-steward",
    "TargetField": "KnowledgeFragments.OwningVersionCadenceDays",
    "CanRead": true,
    "CanWrite": false,
    "MaskStrategy": "plain",
    "SemanticTypeIri": "urn:effortless:pko-extension#FieldGrant",
    "Name": "principal-process-steward -&gt; KnowledgeFragments.OwningVersionCadenceDays",
    "FieldTable": "KnowledgeFragments",
    "FieldName": "OwningVersionCadenceDays",
    "FieldIsDerived": true,
    "IsWritableDerivedField": false,
    "IsMasked": false,
    "GrantKeyWhenReadable": "principal-process-steward|KnowledgeFragments"
   },
   {
    "FieldGrantId": "fg-process-steward-KnowledgeFragments.ExceedsOwningCadence",
    "Principal": "principal-process-steward",
    "TargetField": "KnowledgeFragments.ExceedsOwningCadence",
    "CanRead": true,
    "CanWrite": false,
    "MaskStrategy": "plain",
    "SemanticTypeIri": "urn:effortless:pko-extension#FieldGrant",
    "Name": "principal-process-steward -&gt; KnowledgeFragments.ExceedsOwningCadence",
    "FieldTable": "KnowledgeFragments",
    "FieldName": "ExceedsOwningCadence",
    "FieldIsDerived": true,
    "IsWritableDerivedField": false,
    "IsMasked": false,
    "GrantKeyWhenReadable": "principal-process-steward|KnowledgeFragments"
   },
   {
    "FieldGrantId": "fg-process-steward-KnowledgeFragments.IsAgingLowConfidenceClaim",
    "Principal": "principal-process-steward",
    "TargetField": "KnowledgeFragments.IsAgingLowConfidenceClaim",
    "CanRead": true,
    "CanWrite": false,
    "MaskStrategy": "plain",
    "SemanticTypeIri": "urn:effortless:pko-extension#FieldGrant",
    "Name": "principal-process-steward -&gt; KnowledgeFragments.IsAgingLowConfidenceClaim",
    "FieldTable": "KnowledgeFragments",
    "FieldName": "IsAgingLowConfidenceClaim",
    "FieldIsDerived": true,
    "IsWritableDerivedField": false,
    "IsMasked": false,
    "GrantKeyWhenReadable": "principal-process-steward|KnowledgeFragments"
   },
   {
    "FieldGrantId": "fg-process-steward-KnowledgeFragments.OwnerRoleAgentKind",
    "Principal": "principal-process-steward",
    "TargetField": "KnowledgeFragments.OwnerRoleAgentKind",
    "CanRead": true,
    "CanWrite": false,
    "MaskStrategy": "plain",
    "SemanticTypeIri": "urn:effortless:pko-extension#FieldGrant",
    "Name": "principal-process-steward -&gt; KnowledgeFragments.OwnerRoleAgentKind",
    "FieldTable": "KnowledgeFragments",
    "FieldName": "OwnerRoleAgentKind",
    "FieldIsDerived": true,
    "IsWritableDerivedField": false,
    "IsMasked": false,
    "GrantKeyWhenReadable": "principal-process-steward|KnowledgeFragments"
   },
   {
    "FieldGrantId": "fg-process-steward-KnowledgeFragments.IsHumanOwned",
    "Principal": "principal-process-steward",
    "TargetField": "KnowledgeFragments.IsHumanOwned",
    "CanRead": true,
    "CanWrite": false,
    "MaskStrategy": "plain",
    "SemanticTypeIri": "urn:effortless:pko-extension#FieldGrant",
    "Name": "principal-process-steward -&gt; KnowledgeFragments.IsHumanOwned",
    "FieldTable": "KnowledgeFragments",
    "FieldName": "IsHumanOwned",
    "FieldIsDerived": true,
    "IsWritableDerivedField": false,
    "IsMasked": false,
    "GrantKeyWhenReadable": "principal-process-steward|KnowledgeFragments"
   },
   {
    "FieldGrantId": "fg-process-steward-KnowledgeFragments.IsAiValidatedByAi",
    "Principal": "principal-process-steward",
    "TargetField": "KnowledgeFragments.IsAiValidatedByAi",
    "CanRead": true,
    "CanWrite": false,
    "MaskStrategy": "plain",
    "SemanticTypeIri": "urn:effortless:pko-extension#FieldGrant",
    "Name": "principal-process-steward -&gt; KnowledgeFragments.IsAiValidatedByAi",
    "FieldTable": "KnowledgeFragments",
    "FieldName": "IsAiValidatedByAi",
    "FieldIsDerived": true,
    "IsWritableDerivedField": false,
    "IsMasked": false,
    "GrantKeyWhenReadable": "principal-process-steward|KnowledgeFragments"
   },
   {
    "FieldGrantId": "fg-process-steward-KnowledgeFragments.ReviewCadenceDays",
    "Principal": "principal-process-steward",
    "TargetField": "KnowledgeFragments.ReviewCadenceDays",
    "CanRead": true,
    "CanWrite": false,
    "MaskStrategy": "plain",
    "SemanticTypeIri": "urn:effortless:pko-extension#FieldGrant",
    "Name": "principal-process-steward -&gt; KnowledgeFragments.ReviewCadenceDays",
    "FieldTable": "KnowledgeFragments",
    "FieldName": "ReviewCadenceDays",
    "FieldIsDerived": true,
    "IsWritableDerivedField": false,
    "IsMasked": false,
    "GrantKeyWhenReadable": "principal-process-steward|KnowledgeFragments"
   },
   {
    "FieldGrantId": "fg-process-steward-KnowledgeFragments.IsOverdueForReview",
    "Principal": "principal-process-steward",
    "TargetField": "KnowledgeFragments.IsOverdueForReview",
    "CanRead": true,
    "CanWrite": false,
    "MaskStrategy": "plain",
    "SemanticTypeIri": "urn:effortless:pko-extension#FieldGrant",
    "Name": "principal-process-steward -&gt; KnowledgeFragments.IsOverdueForReview",
    "FieldTable": "KnowledgeFragments",
    "FieldName": "IsOverdueForReview",
    "FieldIsDerived": true,
    "IsWritableDerivedField": false,
    "IsMasked": false,
    "GrantKeyWhenReadable": "principal-process-steward|KnowledgeFragments"
   },
   {
    "FieldGrantId": "fg-process-steward-KnowledgeFragments.PredatesCurrentRoleHolder",
    "Principal": "principal-process-steward",
    "TargetField": "KnowledgeFragments.PredatesCurrentRoleHolder",
    "CanRead": true,
    "CanWrite": false,
    "MaskStrategy": "plain",
    "SemanticTypeIri": "urn:effortless:pko-extension#FieldGrant",
    "Name": "principal-process-steward -&gt; KnowledgeFragments.PredatesCurrentRoleHolder",
    "FieldTable": "KnowledgeFragments",
    "FieldName": "PredatesCurrentRoleHolder",
    "FieldIsDerived": true,
    "IsWritableDerivedField": false,
    "IsMasked": false,
    "GrantKeyWhenReadable": "principal-process-steward|KnowledgeFragments"
   },
   {
    "FieldGrantId": "fg-process-steward-KnowledgeFragments.OwnerRoleAssignmentValidFrom",
    "Principal": "principal-process-steward",
    "TargetField": "KnowledgeFragments.OwnerRoleAssignmentValidFrom",
    "CanRead": true,
    "CanWrite": false,
    "MaskStrategy": "plain",
    "SemanticTypeIri": "urn:effortless:pko-extension#FieldGrant",
    "Name": "principal-process-steward -&gt; KnowledgeFragments.OwnerRoleAssignmentValidFrom",
    "FieldTable": "KnowledgeFragments",
    "FieldName": "OwnerRoleAssignmentValidFrom",
    "FieldIsDerived": true,
    "IsWritableDerivedField": false,
    "IsMasked": false,
    "GrantKeyWhenReadable": "principal-process-steward|KnowledgeFragments"
   },
   {
    "FieldGrantId": "fg-process-steward-KnowledgeFragments.LastReviewedAt",
    "Principal": "principal-process-steward",
    "TargetField": "KnowledgeFragments.LastReviewedAt",
    "CanRead": true,
    "CanWrite": false,
    "MaskStrategy": "plain",
    "SemanticTypeIri": "urn:effortless:pko-extension#FieldGrant",
    "Name": "principal-process-steward -&gt; KnowledgeFragments.LastReviewedAt",
    "FieldTable": "KnowledgeFragments",
    "FieldName": "LastReviewedAt",
    "FieldIsDerived": false,
    "IsWritableDerivedField": false,
    "IsMasked": false,
    "GrantKeyWhenReadable": "principal-process-steward|KnowledgeFragments"
   },
   {
    "FieldGrantId": "fg-process-steward-KnowledgeFragments.FragilitySignalCount",
    "Principal": "principal-process-steward",
    "TargetField": "KnowledgeFragments.FragilitySignalCount",
    "CanRead": true,
    "CanWrite": false,
    "MaskStrategy": "plain",
    "SemanticTypeIri": "urn:effortless:pko-extension#FieldGrant",
    "Name": "principal-process-steward -&gt; KnowledgeFragments.FragilitySignalCount",
    "FieldTable": "KnowledgeFragments",
    "FieldName": "FragilitySignalCount",
    "FieldIsDerived": true,
    "IsWritableDerivedField": false,
    "IsMasked": false,
    "GrantKeyWhenReadable": "principal-process-steward|KnowledgeFragments"
   },
   {
    "FieldGrantId": "fg-process-steward-KnowledgeFragments.IsCompoundFragile",
    "Principal": "principal-process-steward",
    "TargetField": "KnowledgeFragments.IsCompoundFragile",
    "CanRead": true,
    "CanWrite": false,
    "MaskStrategy": "plain",
    "SemanticTypeIri": "urn:effortless:pko-extension#FieldGrant",
    "Name": "principal-process-steward -&gt; KnowledgeFragments.IsCompoundFragile",
    "FieldTable": "KnowledgeFragments",
    "FieldName": "IsCompoundFragile",
    "FieldIsDerived": true,
    "IsWritableDerivedField": false,
    "IsMasked": false,
    "GrantKeyWhenReadable": "principal-process-steward|KnowledgeFragments"
   },
   {
    "FieldGrantId": "fg-process-steward-KnowledgeFragments.IsSinglePointOfFailure",
    "Principal": "principal-process-steward",
    "TargetField": "KnowledgeFragments.IsSinglePointOfFailure",
    "CanRead": true,
    "CanWrite": false,
    "MaskStrategy": "plain",
    "SemanticTypeIri": "urn:effortless:pko-extension#FieldGrant",
    "Name": "principal-process-steward -&gt; KnowledgeFragments.IsSinglePointOfFailure",
    "FieldTable": "KnowledgeFragments",
    "FieldName": "IsSinglePointOfFailure",
    "FieldIsDerived": true,
    "IsWritableDerivedField": false,
    "IsMasked": false,
    "GrantKeyWhenReadable": "principal-process-steward|KnowledgeFragments"
   },
   {
    "FieldGrantId": "fg-process-steward-KnowledgeFragments.IsExpiringSinglePointOfFailure",
    "Principal": "principal-process-steward",
    "TargetField": "KnowledgeFragments.IsExpiringSinglePointOfFailure",
    "CanRead": true,
    "CanWrite": false,
    "MaskStrategy": "plain",
    "SemanticTypeIri": "urn:effortless:pko-extension#FieldGrant",
    "Name": "principal-process-steward -&gt; KnowledgeFragments.IsExpiringSinglePointOfFailure",
    "FieldTable": "KnowledgeFragments",
    "FieldName": "IsExpiringSinglePointOfFailure",
    "FieldIsDerived": true,
    "IsWritableDerivedField": false,
    "IsMasked": false,
    "GrantKeyWhenReadable": "principal-process-steward|KnowledgeFragments"
   },
   {
    "FieldGrantId": "fg-process-steward-KnowledgeFragments.CompoundFragileVersionKey",
    "Principal": "principal-process-steward",
    "TargetField": "KnowledgeFragments.CompoundFragileVersionKey",
    "CanRead": true,
    "CanWrite": false,
    "MaskStrategy": "plain",
    "SemanticTypeIri": "urn:effortless:pko-extension#FieldGrant",
    "Name": "principal-process-steward -&gt; KnowledgeFragments.CompoundFragileVersionKey",
    "FieldTable": "KnowledgeFragments",
    "FieldName": "CompoundFragileVersionKey",
    "FieldIsDerived": true,
    "IsWritableDerivedField": false,
    "IsMasked": false,
    "GrantKeyWhenReadable": "principal-process-steward|KnowledgeFragments"
   },
   {
    "FieldGrantId": "fg-process-steward-KnowledgeFragments.ValidFragmentSessionKey",
    "Principal": "principal-process-steward",
    "TargetField": "KnowledgeFragments.ValidFragmentSessionKey",
    "CanRead": true,
    "CanWrite": false,
    "MaskStrategy": "plain",
    "SemanticTypeIri": "urn:effortless:pko-extension#FieldGrant",
    "Name": "principal-process-steward -&gt; KnowledgeFragments.ValidFragmentSessionKey",
    "FieldTable": "KnowledgeFragments",
    "FieldName": "ValidFragmentSessionKey",
    "FieldIsDerived": true,
    "IsWritableDerivedField": false,
    "IsMasked": false,
    "GrantKeyWhenReadable": "principal-process-steward|KnowledgeFragments"
   },
   {
    "FieldGrantId": "fg-process-steward-KnowledgeFragments.ConsumingStepIsSoftwareAssigned",
    "Principal": "principal-process-steward",
    "TargetField": "KnowledgeFragments.ConsumingStepIsSoftwareAssigned",
    "CanRead": true,
    "CanWrite": false,
    "MaskStrategy": "plain",
    "SemanticTypeIri": "urn:effortless:pko-extension#FieldGrant",
    "Name": "principal-process-steward -&gt; KnowledgeFragments.ConsumingStepIsSoftwareAssigned",
    "FieldTable": "KnowledgeFragments",
    "FieldName": "ConsumingStepIsSoftwareAssigned",
    "FieldIsDerived": true,
    "IsWritableDerivedField": false,
    "IsMasked": false,
    "GrantKeyWhenReadable": "principal-process-steward|KnowledgeFragments"
   },
   {
    "FieldGrantId": "fg-process-steward-KnowledgeFragments.ConsumingStepAgentKind",
    "Principal": "principal-process-steward",
    "TargetField": "KnowledgeFragments.ConsumingStepAgentKind",
    "CanRead": true,
    "CanWrite": false,
    "MaskStrategy": "plain",
    "SemanticTypeIri": "urn:effortless:pko-extension#FieldGrant",
    "Name": "principal-process-steward -&gt; KnowledgeFragments.ConsumingStepAgentKind",
    "FieldTable": "KnowledgeFragments",
    "FieldName": "ConsumingStepAgentKind",
    "FieldIsDerived": true,
    "IsWritableDerivedField": false,
    "IsMasked": false,
    "GrantKeyWhenReadable": "principal-process-steward|KnowledgeFragments"
   },
   {
    "FieldGrantId": "fg-process-steward-KnowledgeFragments.IsUnapprovedAndMachineConsumed",
    "Principal": "principal-process-steward",
    "TargetField": "KnowledgeFragments.IsUnapprovedAndMachineConsumed",
    "CanRead": true,
    "CanWrite": false,
    "MaskStrategy": "plain",
    "SemanticTypeIri": "urn:effortless:pko-extension#FieldGrant",
    "Name": "principal-process-steward -&gt; KnowledgeFragments.IsUnapprovedAndMachineConsumed",
    "FieldTable": "KnowledgeFragments",
    "FieldName": "IsUnapprovedAndMachineConsumed",
    "FieldIsDerived": true,
    "IsWritableDerivedField": false,
    "IsMasked": false,
    "GrantKeyWhenReadable": "principal-process-steward|KnowledgeFragments"
   },
   {
    "FieldGrantId": "fg-process-steward-KnowledgeFragments.IsUnapprovedAndHumanConsumed",
    "Principal": "principal-process-steward",
    "TargetField": "KnowledgeFragments.IsUnapprovedAndHumanConsumed",
    "CanRead": true,
    "CanWrite": false,
    "MaskStrategy": "plain",
    "SemanticTypeIri": "urn:effortless:pko-extension#FieldGrant",
    "Name": "principal-process-steward -&gt; KnowledgeFragments.IsUnapprovedAndHumanConsumed",
    "FieldTable": "KnowledgeFragments",
    "FieldName": "IsUnapprovedAndHumanConsumed",
    "FieldIsDerived": true,
    "IsWritableDerivedField": false,
    "IsMasked": false,
    "GrantKeyWhenReadable": "principal-process-steward|KnowledgeFragments"
   },
   {
    "FieldGrantId": "fg-process-steward-KnowledgeFragments.MachineConsumedUnapprovedVersionKey",
    "Principal": "principal-process-steward",
    "TargetField": "KnowledgeFragments.MachineConsumedUnapprovedVersionKey",
    "CanRead": true,
    "CanWrite": false,
    "MaskStrategy": "plain",
    "SemanticTypeIri": "urn:effortless:pko-exten</t>
  </si>
  <si>
    <t xml:space="preserve">sion#FieldGrant",
    "Name": "principal-process-steward -&gt; KnowledgeFragments.MachineConsumedUnapprovedVersionKey",
    "FieldTable": "KnowledgeFragments",
    "FieldName": "MachineConsumedUnapprovedVersionKey",
    "FieldIsDerived": true,
    "IsWritableDerivedField": false,
    "IsMasked": false,
    "GrantKeyWhenReadable": "principal-process-steward|KnowledgeFragments"
   },
   {
    "FieldGrantId": "fg-process-steward-KnowledgeFragments.HasReviewRecord",
    "Principal": "principal-process-steward",
    "TargetField": "KnowledgeFragments.HasReviewRecord",
    "CanRead": true,
    "CanWrite": false,
    "MaskStrategy": "plain",
    "SemanticTypeIri": "urn:effortless:pko-extension#FieldGrant",
    "Name": "principal-process-steward -&gt; KnowledgeFragments.HasReviewRecord",
    "FieldTable": "KnowledgeFragments",
    "FieldName": "HasReviewRecord",
    "FieldIsDerived": true,
    "IsWritableDerivedField": false,
    "IsMasked": false,
    "GrantKeyWhenReadable": "principal-process-steward|KnowledgeFragments"
   },
   {
    "FieldGrantId": "fg-process-steward-KnowledgeFragments.DaysSinceActualReview",
    "Principal": "principal-process-steward",
    "TargetField": "KnowledgeFragments.DaysSinceActualReview",
    "CanRead": true,
    "CanWrite": false,
    "MaskStrategy": "plain",
    "SemanticTypeIri": "urn:effortless:pko-extension#FieldGrant",
    "Name": "principal-process-steward -&gt; KnowledgeFragments.DaysSinceActualReview",
    "FieldTable": "KnowledgeFragments",
    "FieldName": "DaysSinceActualReview",
    "FieldIsDerived": true,
    "IsWritableDerivedField": false,
    "IsMasked": false,
    "GrantKeyWhenReadable": "principal-process-steward|KnowledgeFragments"
   },
   {
    "FieldGrantId": "fg-process-steward-KnowledgeFragments.IsUnreviewedSinceAuthoring",
    "Principal": "principal-process-steward",
    "TargetField": "KnowledgeFragments.IsUnreviewedSinceAuthoring",
    "CanRead": true,
    "CanWrite": false,
    "MaskStrategy": "plain",
    "SemanticTypeIri": "urn:effortless:pko-extension#FieldGrant",
    "Name": "principal-process-steward -&gt; KnowledgeFragments.IsUnreviewedSinceAuthoring",
    "FieldTable": "KnowledgeFragments",
    "FieldName": "IsUnreviewedSinceAuthoring",
    "FieldIsDerived": true,
    "IsWritableDerivedField": false,
    "IsMasked": false,
    "GrantKeyWhenReadable": "principal-process-steward|KnowledgeFragments"
   },
   {
    "FieldGrantId": "fg-process-steward-KnowledgeFragments.IsGenuinelyOverdue",
    "Principal": "principal-process-steward",
    "TargetField": "KnowledgeFragments.IsGenuinelyOverdue",
    "CanRead": true,
    "CanWrite": false,
    "MaskStrategy": "plain",
    "SemanticTypeIri": "urn:effortless:pko-extension#FieldGrant",
    "Name": "principal-process-steward -&gt; KnowledgeFragments.IsGenuinelyOverdue",
    "FieldTable": "KnowledgeFragments",
    "FieldName": "IsGenuinelyOverdue",
    "FieldIsDerived": true,
    "IsWritableDerivedField": false,
    "IsMasked": false,
    "GrantKeyWhenReadable": "principal-process-steward|KnowledgeFragments"
   },
   {
    "FieldGrantId": "fg-process-steward-KnowledgeFragments.ReviewRecencyIsInferred",
    "Principal": "principal-process-steward",
    "TargetField": "KnowledgeFragments.ReviewRecencyIsInferred",
    "CanRead": true,
    "CanWrite": false,
    "MaskStrategy": "plain",
    "SemanticTypeIri": "urn:effortless:pko-extension#FieldGrant",
    "Name": "principal-process-steward -&gt; KnowledgeFragments.ReviewRecencyIsInferred",
    "FieldTable": "KnowledgeFragments",
    "FieldName": "ReviewRecencyIsInferred",
    "FieldIsDerived": true,
    "IsWritableDerivedField": false,
    "IsMasked": false,
    "GrantKeyWhenReadable": "principal-process-steward|KnowledgeFragments"
   },
   {
    "FieldGrantId": "fg-process-steward-KnowledgeFragments.InferenceDisagreesWithRecord",
    "Principal": "principal-process-steward",
    "TargetField": "KnowledgeFragments.InferenceDisagreesWithRecord",
    "CanRead": true,
    "CanWrite": false,
    "MaskStrategy": "plain",
    "SemanticTypeIri": "urn:effortless:pko-extension#FieldGrant",
    "Name": "principal-process-steward -&gt; KnowledgeFragments.InferenceDisagreesWithRecord",
    "FieldTable": "KnowledgeFragments",
    "FieldName": "InferenceDisagreesWithRecord",
    "FieldIsDerived": true,
    "IsWritableDerivedField": false,
    "IsMasked": false,
    "GrantKeyWhenReadable": "principal-process-steward|KnowledgeFragments"
   },
   {
    "FieldGrantId": "fg-process-steward-KnowledgeFragments.GenuinelyOverdueVersionKey",
    "Principal": "principal-process-steward",
    "TargetField": "KnowledgeFragments.GenuinelyOverdueVersionKey",
    "CanRead": true,
    "CanWrite": false,
    "MaskStrategy": "plain",
    "SemanticTypeIri": "urn:effortless:pko-extension#FieldGrant",
    "Name": "principal-process-steward -&gt; KnowledgeFragments.GenuinelyOverdueVersionKey",
    "FieldTable": "KnowledgeFragments",
    "FieldName": "GenuinelyOverdueVersionKey",
    "FieldIsDerived": true,
    "IsWritableDerivedField": false,
    "IsMasked": false,
    "GrantKeyWhenReadable": "principal-process-steward|KnowledgeFragments"
   },
   {
    "FieldGrantId": "fg-process-steward-KnowledgeFragments.RatifiedBoundaryCount",
    "Principal": "principal-process-steward",
    "TargetField": "KnowledgeFragments.RatifiedBoundaryCount",
    "CanRead": true,
    "CanWrite": false,
    "MaskStrategy": "plain",
    "SemanticTypeIri": "urn:effortless:pko-extension#FieldGrant",
    "Name": "principal-process-steward -&gt; KnowledgeFragments.RatifiedBoundaryCount",
    "FieldTable": "KnowledgeFragments",
    "FieldName": "RatifiedBoundaryCount",
    "FieldIsDerived": true,
    "IsWritableDerivedField": false,
    "IsMasked": false,
    "GrantKeyWhenReadable": "principal-process-steward|KnowledgeFragments"
   },
   {
    "FieldGrantId": "fg-process-steward-KnowledgeFragments.RelianceSurfaceCount",
    "Principal": "principal-process-steward",
    "TargetField": "KnowledgeFragments.RelianceSurfaceCount",
    "CanRead": true,
    "CanWrite": false,
    "MaskStrategy": "plain",
    "SemanticTypeIri": "urn:effortless:pko-extension#FieldGrant",
    "Name": "principal-process-steward -&gt; KnowledgeFragments.RelianceSurfaceCount",
    "FieldTable": "KnowledgeFragments",
    "FieldName": "RelianceSurfaceCount",
    "FieldIsDerived": true,
    "IsWritableDerivedField": false,
    "IsMasked": false,
    "GrantKeyWhenReadable": "principal-process-steward|KnowledgeFragments"
   },
   {
    "FieldGrantId": "fg-process-steward-KnowledgeFragments.DaysAwaitingMyApproval",
    "Principal": "principal-process-steward",
    "TargetField": "KnowledgeFragments.DaysAwaitingMyApproval",
    "CanRead": true,
    "CanWrite": false,
    "MaskStrategy": "plain",
    "SemanticTypeIri": "urn:effortless:pko-extension#FieldGrant",
    "Name": "principal-process-steward -&gt; KnowledgeFragments.DaysAwaitingMyApproval",
    "FieldTable": "KnowledgeFragments",
    "FieldName": "DaysAwaitingMyApproval",
    "FieldIsDerived": true,
    "IsWritableDerivedField": false,
    "IsMasked": false,
    "GrantKeyWhenReadable": "principal-process-steward|KnowledgeFragments"
   },
   {
    "FieldGrantId": "fg-process-steward-KnowledgeFragments.IsHighBlastRadiusUnapproved",
    "Principal": "principal-process-steward",
    "TargetField": "KnowledgeFragments.IsHighBlastRadiusUnapproved",
    "CanRead": true,
    "CanWrite": false,
    "MaskStrategy": "plain",
    "SemanticTypeIri": "urn:effortless:pko-extension#FieldGrant",
    "Name": "principal-process-steward -&gt; KnowledgeFragments.IsHighBlastRadiusUnapproved",
    "FieldTable": "KnowledgeFragments",
    "FieldName": "IsHighBlastRadiusUnapproved",
    "FieldIsDerived": true,
    "IsWritableDerivedField": false,
    "IsMasked": false,
    "GrantKeyWhenReadable": "principal-process-steward|KnowledgeFragments"
   },
   {
    "FieldGrantId": "fg-process-steward-KnowledgeFragments.IsLongUnapproved",
    "Principal": "principal-process-steward",
    "TargetField": "KnowledgeFragments.IsLongUnapproved",
    "CanRead": true,
    "CanWrite": false,
    "MaskStrategy": "plain",
    "SemanticTypeIri": "urn:effortless:pko-extension#FieldGrant",
    "Name": "principal-process-steward -&gt; KnowledgeFragments.IsLongUnapproved",
    "FieldTable": "KnowledgeFragments",
    "FieldName": "IsLongUnapproved",
    "FieldIsDerived": true,
    "IsWritableDerivedField": false,
    "IsMasked": false,
    "GrantKeyWhenReadable": "principal-process-steward|KnowledgeFragments"
   },
   {
    "FieldGrantId": "fg-process-steward-KnowledgeFragments.UnapprovedLoadBearingVersionKey",
    "Principal": "principal-process-steward",
    "TargetField": "KnowledgeFragments.UnapprovedLoadBearingVersionKey",
    "CanRead": true,
    "CanWrite": false,
    "MaskStrategy": "plain",
    "SemanticTypeIri": "urn:effortless:pko-extension#FieldGrant",
    "Name": "principal-process-steward -&gt; KnowledgeFragments.UnapprovedLoadBearingVersionKey",
    "FieldTable": "KnowledgeFragments",
    "FieldName": "UnapprovedLoadBearingVersionKey",
    "FieldIsDerived": true,
    "IsWritableDerivedField": false,
    "IsMasked": false,
    "GrantKeyWhenReadable": "principal-process-steward|KnowledgeFragments"
   },
   {
    "FieldGrantId": "fg-process-steward-KnowledgeFragments.OwnerRoleIsVacated",
    "Principal": "principal-process-steward",
    "TargetField": "KnowledgeFragments.OwnerRoleIsVacated",
    "CanRead": true,
    "CanWrite": false,
    "MaskStrategy": "plain",
    "SemanticTypeIri": "urn:effortless:pko-extension#FieldGrant",
    "Name": "principal-process-steward -&gt; KnowledgeFragments.OwnerRoleIsVacated",
    "FieldTable": "KnowledgeFragments",
    "FieldName": "OwnerRoleIsVacated",
    "FieldIsDerived": true,
    "IsWritableDerivedField": false,
    "IsMasked": false,
    "GrantKeyWhenReadable": "principal-process-steward|KnowledgeFragments"
   },
   {
    "FieldGrantId": "fg-process-steward-KnowledgeFragments.IsOrphanedByRole",
    "Principal": "principal-process-steward",
    "TargetField": "KnowledgeFragments.IsOrphanedByRole",
    "CanRead": true,
    "CanWrite": false,
    "MaskStrategy": "plain",
    "SemanticTypeIri": "urn:effortless:pko-extension#FieldGrant",
    "Name": "principal-process-steward -&gt; KnowledgeFragments.IsOrphanedByRole",
    "FieldTable": "KnowledgeFragments",
    "FieldName": "IsOrphanedByRole",
    "FieldIsDerived": true,
    "IsWritableDerivedField": false,
    "IsMasked": false,
    "GrantKeyWhenReadable": "principal-process-steward|KnowledgeFragments"
   },
   {
    "FieldGrantId": "fg-process-steward-KnowledgeFragments.ValidFragmentVersionKey",
    "Principal": "principal-process-steward",
    "TargetField": "KnowledgeFragments.ValidFragmentVersionKey",
    "CanRead": true,
    "CanWrite": false,
    "MaskStrategy": "plain",
    "SemanticTypeIri": "urn:effortless:pko-extension#FieldGrant",
    "Name": "principal-process-steward -&gt; KnowledgeFragments.ValidFragmentVersionKey",
    "FieldTable": "KnowledgeFragments",
    "FieldName": "ValidFragmentVersionKey",
    "FieldIsDerived": true,
    "IsWritableDerivedField": false,
    "IsMasked": false,
    "GrantKeyWhenReadable": "principal-process-steward|KnowledgeFragments"
   },
   {
    "FieldGrantId": "fg-process-steward-KnowledgeFragments.SemanticTypeIri",
    "Principal": "principal-process-steward",
    "TargetField": "KnowledgeFragments.SemanticTypeIri",
    "CanRead": true,
    "CanWrite": false,
    "MaskStrategy": "plain",
    "SemanticTypeIri": "urn:effortless:pko-extension#FieldGrant",
    "Name": "principal-process-steward -&gt; KnowledgeFragments.SemanticTypeIri",
    "FieldTable": "KnowledgeFragments",
    "FieldName": "SemanticTypeIri",
    "FieldIsDerived": false,
    "IsWritableDerivedField": false,
    "IsMasked": false,
    "GrantKeyWhenReadable": "principal-process-steward|KnowledgeFragments"
   },
   {
    "FieldGrantId": "fg-process-steward-KnowledgeGaps.KnowledgeGapId",
    "Principal": "principal-process-steward",
    "TargetField": "KnowledgeGaps.KnowledgeGapId",
    "CanRead": true,
    "CanWrite": false,
    "MaskStrategy": "plain",
    "SemanticTypeIri": "urn:effortless:pko-extension#FieldGrant",
    "Name": "principal-process-steward -&gt; KnowledgeGaps.KnowledgeGapId",
    "FieldTable": "KnowledgeGaps",
    "FieldName": "KnowledgeGapId",
    "FieldIsDerived": false,
    "IsWritableDerivedField": false,
    "IsMasked": false,
    "GrantKeyWhenReadable": "principal-process-steward|KnowledgeGaps"
   },
   {
    "FieldGrantId": "fg-process-steward-KnowledgeGaps.Name",
    "Principal": "principal-process-steward",
    "TargetField": "KnowledgeGaps.Name",
    "CanRead": true,
    "CanWrite": false,
    "MaskStrategy": "plain",
    "SemanticTypeIri": "urn:effortless:pko-extension#FieldGrant",
    "Name": "principal-process-steward -&gt; KnowledgeGaps.Name",
    "FieldTable": "KnowledgeGaps",
    "FieldName": "Name",
    "FieldIsDerived": true,
    "IsWritableDerivedField": false,
    "IsMasked": false,
    "GrantKeyWhenReadable": "principal-process-steward|KnowledgeGaps"
   },
   {
    "FieldGrantId": "fg-process-steward-KnowledgeGaps.ProcedureVersion",
    "Principal": "principal-process-steward",
    "TargetField": "KnowledgeGaps.ProcedureVersion",
    "CanRead": true,
    "CanWrite": false,
    "MaskStrategy": "plain",
    "SemanticTypeIri": "urn:effortless:pko-extension#FieldGrant",
    "Name": "principal-process-steward -&gt; KnowledgeGaps.ProcedureVersion",
    "FieldTable": "KnowledgeGaps",
    "FieldName": "ProcedureVersion",
    "FieldIsDerived": false,
    "IsWritableDerivedField": false,
    "IsMasked": false,
    "GrantKeyWhenReadable": "principal-process-steward|KnowledgeGaps"
   },
   {
    "FieldGrantId": "fg-process-steward-KnowledgeGaps.Step",
    "Principal": "principal-process-steward",
    "TargetField": "KnowledgeGaps.Step",
    "CanRead": true,
    "CanWrite": false,
    "MaskStrategy": "plain",
    "SemanticTypeIri": "urn:effortless:pko-extension#FieldGrant",
    "Name": "principal-process-steward -&gt; KnowledgeGaps.Step",
    "FieldTable": "KnowledgeGaps",
    "FieldName": "Step",
    "FieldIsDerived": false,
    "IsWritableDerivedField": false,
    "IsMasked": false,
    "GrantKeyWhenReadable": "principal-process-steward|KnowledgeGaps"
   },
   {
    "FieldGrantId": "fg-process-steward-KnowledgeGaps.Statement",
    "Principal": "principal-process-steward",
    "TargetField": "KnowledgeGaps.Statement",
    "CanRead": true,
    "CanWrite": false,
    "MaskStrategy": "plain",
    "SemanticTypeIri": "urn:effortless:pko-extension#FieldGrant",
    "Name": "principal-process-steward -&gt; KnowledgeGaps.Statement",
    "FieldTable": "KnowledgeGaps",
    "FieldName": "Statement",
    "FieldIsDerived": false,
    "IsWritableDerivedField": false,
    "IsMasked": false,
    "GrantKeyWhenReadable": "principal-process-steward|KnowledgeGaps"
   },
   {
    "FieldGrantId": "fg-process-steward-KnowledgeGaps.Severity",
    "Principal": "principal-process-steward",
    "TargetField": "KnowledgeGaps.Severity",
    "CanRead": true,
    "CanWrite": false,
    "MaskStrategy": "plain",
    "SemanticTypeIri": "urn:effortless:pko-extension#FieldGrant",
    "Name": "principal-process-steward -&gt; KnowledgeGaps.Severity",
    "FieldTable": "KnowledgeGaps",
    "FieldName": "Severity",
    "FieldIsDerived": false,
    "IsWritableDerivedField": false,
    "IsMasked": false,
    "GrantKeyWhenReadable": "principal-process-steward|KnowledgeGaps"
   },
   {
    "FieldGrantId": "fg-process-steward-KnowledgeGaps.BlockingKind",
    "Principal": "principal-process-steward",
    "TargetField": "KnowledgeGaps.BlockingKind",
    "CanRead": true,
    "CanWrite": false,
    "MaskStrategy": "plain",
    "SemanticTypeIri": "urn:effortless:pko-extension#FieldGrant",
    "Name": "principal-process-steward -&gt; KnowledgeGaps.BlockingKind",
    "FieldTable": "KnowledgeGaps",
    "FieldName": "BlockingKind",
    "FieldIsDerived": false,
    "IsWritableDerivedField": false,
    "IsMasked": false,
    "GrantKeyWhenReadable": "principal-process-steward|KnowledgeGaps"
   },
   {
    "FieldGrantId": "fg-process-steward-KnowledgeGaps.Status",
    "Principal": "principal-process-steward",
    "TargetField": "KnowledgeGaps.Status",
    "CanRead": true,
    "CanWrite": false,
    "MaskStrategy": "plain",
    "SemanticTypeIri": "urn:effortless:pko-extension#FieldGrant",
    "Name": "principal-process-steward -&gt; KnowledgeGaps.Status",
    "FieldTable": "KnowledgeGaps",
    "FieldName": "Status",
    "FieldIsDerived": false,
    "IsWritableDerivedField": false,
    "IsMasked": false,
    "GrantKeyWhenReadable": "principal-process-steward|KnowledgeGaps"
   },
   {
    "FieldGrantId": "fg-process-steward-KnowledgeGaps.OwnerRole",
    "Principal": "principal-process-steward",
    "TargetField": "KnowledgeGaps.OwnerRole",
    "CanRead": true,
    "CanWrite": false,
    "MaskStrategy": "plain",
    "SemanticTypeIri": "urn:effortless:pko-extension#FieldGrant",
    "Name": "principal-process-steward -&gt; KnowledgeGaps.OwnerRole",
    "FieldTable": "KnowledgeGaps",
    "FieldName": "OwnerRole",
    "FieldIsDerived": false,
    "IsWritableDerivedField": false,
    "IsMasked": false,
    "GrantKeyWhenReadable": "principal-process-steward|KnowledgeGaps"
   },
   {
    "FieldGrantId": "fg-process-steward-KnowledgeGaps.IdentifiedAt",
    "Principal": "principal-process-steward",
    "TargetField": "KnowledgeGaps.IdentifiedAt",
    "CanRead": true,
    "CanWrite": false,
    "MaskStrategy": "plain",
    "SemanticTypeIri": "urn:effortless:pko-extension#FieldGrant",
    "Name": "principal-process-steward -&gt; KnowledgeGaps.IdentifiedAt",
    "FieldTable": "KnowledgeGaps",
    "FieldName": "IdentifiedAt",
    "FieldIsDerived": false,
    "IsWritableDerivedField": false,
    "IsMasked": false,
    "GrantKeyWhenReadable": "principal-process-steward|KnowledgeGaps"
   },
   {
    "FieldGrantId": "fg-process-steward-KnowledgeGaps.ResolutionPlan",
    "Principal": "principal-process-steward",
    "TargetField": "KnowledgeGaps.ResolutionPlan",
    "CanRead": true,
    "CanWrite": false,
    "MaskStrategy": "plain",
    "SemanticTypeIri": "urn:effortless:pko-extension#FieldGrant",
    "Name": "principal-process-steward -&gt; KnowledgeGaps.ResolutionPlan",
    "FieldTable": "KnowledgeGaps",
    "FieldName": "ResolutionPlan",
    "FieldIsDerived": false,
    "IsWritableDerivedField": false,
    "IsMasked": false,
    "GrantKeyWhenReadable": "principal-process-steward|KnowledgeGaps"
   },
   {
    "FieldGrantId": "fg-process-steward-KnowledgeGaps.IsOpen",
    "Principal": "principal-process-steward",
    "TargetField": "KnowledgeGaps.IsOpen",
    "CanRead": true,
    "CanWrite": false,
    "MaskStrategy": "plain",
    "SemanticTypeIri": "urn:effortless:pko-extension#FieldGrant",
    "Name": "principal-process-steward -&gt; KnowledgeGaps.IsOpen",
    "FieldTable": "KnowledgeGaps",
    "FieldName": "IsOpen",
    "FieldIsDerived": true,
    "IsWritableDerivedField": false,
    "IsMasked": false,
    "GrantKeyWhenReadable": "principal-process-steward|KnowledgeGaps"
   },
   {
    "FieldGrantId": "fg-process-steward-KnowledgeGaps.OpenGapVersionKey",
    "Principal": "principal-process-steward",
    "TargetField": "KnowledgeGaps.OpenGapVersionKey",
    "CanRead": true,
    "CanWrite": false,
    "MaskStrategy": "plain",
    "SemanticTypeIri": "urn:effortless:pko-extension#FieldGrant",
    "Name": "principal-process-steward -&gt; KnowledgeGaps.OpenGapVersionKey",
    "FieldTable": "KnowledgeGaps",
    "FieldName": "OpenGapVersionKey",
    "FieldIsDerived": true,
    "IsWritableDerivedField": false,
    "IsMasked": false,
    "GrantKeyWhenReadable": "principal-process-steward|KnowledgeGaps"
   },
   {
    "FieldGrantId": "fg-process-steward-KnowledgeGaps.IsBlocking",
    "Principal": "principal-process-steward",
    "TargetField": "KnowledgeGaps.IsBlocking",
    "CanRead": true,
    "CanWrite": false,
    "MaskStrategy": "plain",
    "SemanticTypeIri": "urn:effortless:pko-extension#FieldGrant",
    "Name": "principal-process-steward -&gt; KnowledgeGaps.IsBlocking",
    "FieldTable": "KnowledgeGaps",
    "FieldName": "IsBlocking",
    "FieldIsDerived": true,
    "IsWritableDerivedField": false,
    "IsMasked": false,
    "GrantKeyWhenReadable": "principal-process-steward|KnowledgeGaps"
   },
   {
    "FieldGrantId": "fg-process-steward-KnowledgeGaps.IsOpenAndBlocking",
    "Principal": "principal-process-steward",
    "TargetField": "KnowledgeGaps.IsOpenAndBlocking",
    "CanRead": true,
    "CanWrite": false,
    "MaskStrategy": "plain",
    "SemanticTypeIri": "urn:effortless:pko-extension#FieldGrant",
    "Name": "principal-process-steward -&gt; KnowledgeGaps.IsOpenAndBlocking",
    "FieldTable": "KnowledgeGaps",
    "FieldName": "IsOpenAndBlocking",
    "FieldIsDerived": true,
    "IsWritableDerivedField": false,
    "IsMasked": false,
    "GrantKeyWhenReadable": "principal-process-steward|KnowledgeGaps"
   },
   {
    "FieldGrantId": "fg-process-steward-KnowledgeGaps.EvaluationContext",
    "Principal": "principal-process-steward",
    "TargetField": "KnowledgeGaps.EvaluationContext",
    "CanRead": true,
    "CanWrite": false,
    "MaskStrategy": "plain",
    "SemanticTypeIri": "urn:effortless:pko-extension#FieldGrant",
    "Name": "principal-process-steward -&gt; KnowledgeGaps.EvaluationContext",
    "FieldTable": "KnowledgeGaps",
    "FieldName": "EvaluationContext",
    "FieldIsDerived": false,
    "IsWritableDerivedField": false,
    "IsMasked": false,
    "GrantKeyWhenReadable": "principal-process-steward|KnowledgeGaps"
   },
   {
    "FieldGrantId": "fg-process-steward-KnowledgeGaps.AsOfInstant",
    "Principal": "principal-process-steward",
    "TargetField": "KnowledgeGaps.AsOfInstant",
    "CanRead": true,
    "CanWrite": false,
    "MaskStrategy": "plain",
    "SemanticTypeIri": "urn:effortless:pko-extension#FieldGrant",
    "Name": "principal-process-steward -&gt; KnowledgeGaps.AsOfInstant",
    "FieldTable": "KnowledgeGaps",
    "FieldName": "AsOfInstant",
    "FieldIsDerived": true,
    "IsWritableDerivedField": false,
    "IsMasked": false,
    "GrantKeyWhenReadable": "principal-process-steward|KnowledgeGaps"
   },
   {
    "FieldGrantId": "fg-process-steward-KnowledgeGaps.DaysOpen",
    "Principal": "principal-process-steward",
    "TargetField": "KnowledgeGaps.DaysOpen",
    "CanRead": true,
    "CanWrite": false,
    "MaskStrategy": "plain",
    "SemanticTypeIri": "urn:effortless:pko-extension#FieldGrant",
    "Name": "principal-process-steward -&gt; KnowledgeGaps.DaysOpen",
    "FieldTable": "KnowledgeGaps",
    "FieldName": "DaysOpen",
    "FieldIsDerived": true,
    "IsWritableDerivedField": false,
    "IsMasked": false,
    "GrantKeyWhenReadable": "principal-process-steward|KnowledgeGaps"
   },
   {
    "FieldGrantId": "fg-process-steward-KnowledgeGaps.ToleranceDays",
    "Principal": "principal-process-steward",
    "TargetField": "KnowledgeGaps.ToleranceDays",
    "CanRead": true,
    "CanWrite": false,
    "MaskStrategy": "plain",
    "SemanticTypeIri": "urn:effortless:pko-extension#FieldGrant",
    "Name": "principal-process-steward -&gt; KnowledgeGaps.ToleranceDays",
    "FieldTable": "KnowledgeGaps",
    "FieldName": "ToleranceDays",
    "FieldIsDerived": true,
    "IsWritableDerivedField": false,
    "IsMasked": false,
    "GrantKeyWhenReadable": "principal-process-steward|KnowledgeGaps"
   },
   {
    "FieldGrantId": "fg-process-steward-KnowledgeGaps.IsOverdueGap",
    "Principal": "principal-process-steward",
    "TargetField": "KnowledgeGaps.IsOverdueGap",
    "CanRead": true,
    "CanWrite": false,
    "MaskStrategy": "plain",
    "SemanticTypeIri": "urn:effortless:pko-extension#FieldGrant",
    "Name": "principal-process-steward -&gt; KnowledgeGaps.IsOverdueGap",
    "FieldTable": "KnowledgeGaps",
    "FieldName": "IsOverdueGap",
    "FieldIsDerived": true,
    "IsWritableDerivedField": false,
    "IsMasked": false,
    "GrantKeyWhenReadable": "principal-process-steward|KnowledgeGaps"
   },
   {
    "FieldGrantId": "fg-process-steward-KnowledgeGaps.OwnerAgent",
    "Principal": "principal-process-steward",
    "TargetField": "KnowledgeGaps.OwnerAgent",
    "CanRead": true,
    "CanWrite": false,
    "MaskStrategy": "plain",
    "SemanticTypeIri": "urn:effortless:pko-extension#FieldGrant",
    "Name": "principal-process-steward -&gt; KnowledgeGaps.OwnerAgent",
    "FieldTable": "KnowledgeGaps",
    "FieldName": "OwnerAgent",
    "FieldIsDerived": true,
    "IsWritableDerivedField": false,
    "IsMasked": false,
    "GrantKeyWhenReadable": "principal-process-steward|KnowledgeGaps"
   },
   {
    "FieldGrantId": "fg-process-steward-KnowledgeGaps.OwnerIsStillEngaged",
    "Principal": "principal-process-steward",
    "TargetField": "KnowledgeGaps.OwnerIsStillEngaged",
    "CanRead": true,
    "CanWrite": false,
    "MaskStrategy": "plain",
    "SemanticTypeIri": "urn:effortless:pko-extension#FieldGrant",
    "Name": "principal-process-steward -&gt; KnowledgeGaps.OwnerIsStillEngaged",
    "FieldTable": "KnowledgeGaps",
    "FieldName": "OwnerIsStillEngaged",
    "FieldIsDerived": true,
    "IsWritableDerivedField": false,
    "IsMasked": false,
    "GrantKeyWhenReadable": "principal-process-steward|KnowledgeGaps"
   },
   {
    "FieldGrantId": "fg-process-steward-KnowledgeGaps.HasResolutionPlan",
    "Principal": "principal-process-steward",
    "TargetField": "KnowledgeGaps.HasResolutionPlan",
    "CanRead": true,
    "CanWrite": false,
    "MaskStrategy": "plain",
    "SemanticTypeIri": "urn:effortless:pko-extension#FieldGrant",
    "Name": "principal-process-steward -&gt; KnowledgeGaps.HasResolutionPlan",
    "FieldTable": "KnowledgeGaps",
    "FieldName": "HasResolutionPlan",
    "FieldIsDerived": true,
    "IsWritableDerivedField": false,
    "IsMasked": false,
    "GrantKeyWhenReadable": "principal-process-steward|KnowledgeGaps"
   },
   {
    "FieldGrantId": "fg-process-steward-KnowledgeGaps.IsAbandonedUnknown",
    "Principal": "principal-process-steward",
    "TargetField": "KnowledgeGaps.IsAbandonedUnknown",
    "CanRead": true,
    "CanWrite": false,
    "MaskStrategy": "plain",
    "SemanticTypeIri": "urn:effortless:pko-extension#FieldGrant",
    "Name": "principal-process-steward -&gt; KnowledgeGaps.IsAbandonedUnknown",
    "FieldTable": "KnowledgeGaps",
    "FieldName": "IsAbandonedUnknown",
    "FieldIsDerived": true,
    "IsWritableDerivedField": false,
    "IsMasked": false,
    "GrantKeyWhenReadable": "principal-process-steward|KnowledgeGaps"
   },
   {
    "FieldGrantId": "fg-process-steward-KnowledgeGaps.OpenBlockingGapVersionKey",
    "Principal": "principal-process-steward",
    "TargetField": "KnowledgeGaps.OpenBlockingGapVersionKey",
    "CanRead": true,
    "CanWrite": false,
    "MaskStrategy": "plain",
    "SemanticTypeIri": "urn:effortless:pko-extension#FieldGrant",
    "Name": "principal-process-steward -&gt; KnowledgeGaps.OpenBlockingGapVersionKey",
    "FieldTable": "KnowledgeGaps",
    "FieldName": "OpenBlockingGapVersionKey",
    "FieldIsDerived": true,
    "IsWritableDerivedField": false,
    "IsMasked": false,
    "GrantKeyWhenReadable": "principal-process-steward|KnowledgeGaps"
   },
   {
    "FieldGrantId": "fg-process-steward-KnowledgeGaps.OwnerRoleIsVacated",
    "Principal": "principal-process-steward",
    "TargetField": "KnowledgeGaps.OwnerRoleIsVacated",
    "CanRead": true,
    "CanWrite": false,
    "MaskStrategy": "plain",
    "SemanticTypeIri": "urn:effortless:pko-extension#FieldGrant",
    "Name": "principal-process-steward -&gt; KnowledgeGaps.OwnerRoleIsVacated",
    "FieldTable": "KnowledgeGaps",
    "FieldName": "OwnerRoleIsVacated",
    "FieldIsDerived": true,
    "IsWritableDerivedField": false,
    "IsMasked": false,
    "GrantKeyWhenReadable": "principal-process-steward|KnowledgeGaps"
   },
   {
    "FieldGrantId": "fg-process-steward-KnowledgeGaps.IsOwnerlessOpenGap",
    "Principal": "principal-process-steward",
    "TargetField": "KnowledgeGaps.IsOwnerlessOpenGap",
    "CanRead": true,
    "CanWrite": false,
    "MaskStrategy": "plain",
    "SemanticTypeIri": "urn:effortless:pko-extension#FieldGrant",
    "Name": "principal-process-steward -&gt; KnowledgeGaps.IsOwnerlessOpenGap",
    "FieldTable": "KnowledgeGaps",
    "FieldName": "IsOwnerlessOpenGap",
    "FieldIsDerived": true,
    "IsWritableDerivedField": false,
    "IsMasked": false,
    "GrantKeyWhenReadable": "principal-process-steward|KnowledgeGaps"
   },
   {
    "FieldGrantId": "fg-process-steward-KnowledgeGaps.SemanticTypeIri",
    "Principal": "principal-process-steward",
    "TargetField": "KnowledgeGaps.SemanticTypeIri",
    "CanRead": true,
    "CanWrite": false,
    "MaskStrategy": "plain",
    "SemanticTypeIri": "urn:effortless:pko-extension#FieldGrant",
    "Name": "principal-process-steward -&gt; KnowledgeGaps.SemanticTypeIri",
    "FieldTable": "KnowledgeGaps",
    "FieldName": "SemanticTypeIri",
    "FieldIsDerived": false,
    "IsWritableDerivedField": false,
    "IsMasked": false,
    "GrantKeyWhenReadable": "principal-process-steward|KnowledgeGaps"
   },
   {
    "FieldGrantId": "fg-process-steward-LearningActivities.LearningActivityId",
    "Principal": "principal-process-steward",
    "TargetField": "LearningActivities.LearningActivityId",
    "CanRead": true,
    "CanWrite": false,
    "MaskStrategy": "plain",
    "SemanticTypeIri": "urn:effortless:pko-extension#FieldGrant",
    "Name": "principal-process-steward -&gt; LearningActivities.LearningActivityId",
    "FieldTable": "LearningActivities",
    "FieldName": "LearningActivityId",
    "FieldIsDerived": false,
    "IsWritableDerivedField": false,
    "IsMasked": false,
    "GrantKeyWhenReadable": "principal-process-steward|LearningActivities"
   },
   {
    "FieldGrantId": "fg-process-steward-LearningActivities.Name",
    "Principal": "principal-process-steward",
    "TargetField": "LearningActivities.Name",
    "CanRead": true,
    "CanWrite": false,
    "MaskStrategy": "plain",
    "SemanticTypeIri": "urn:effortless:pko-extension#FieldGrant",
    "Name": "principal-process-steward -&gt; LearningActivities.Name",
    "FieldTable": "LearningActivities",
    "FieldName": "Name",
    "FieldIsDerived": true,
    "IsWritableDerivedField": false,
    "IsMasked": false,
    "GrantKeyWhenReadable": "principal-process-steward|LearningActivities"
   },
   {
    "FieldGrantId": "fg-process-steward-LearningActivities.CommunityOfPractice",
    "Principal": "principal-process-steward",
    "TargetField": "LearningActivities.CommunityOfPractice",
    "CanRead": true,
    "CanWrite": false,
    "MaskStrategy": "plain",
    "SemanticTypeIri": "urn:effortless:pko-extension#FieldGrant",
    "Name": "principal-process-steward -&gt; LearningActivities.CommunityOfPractice",
    "FieldTable": "LearningActivities",
    "FieldName": "CommunityOfPractice",
    "FieldIsDerived": false,
    "IsWritableDerivedField": false,
    "IsMasked": false,
    "GrantKeyWhenReadable": "principal-process-steward|LearningActivities"
   },
   {
    "FieldGrantId": "fg-process-steward-LearningActivities.ProcedureVersion",
    "Principal": "principal-process-steward",
    "TargetField": "LearningActivities.ProcedureVersion",
    "CanRead": true,
    "CanWrite": false,
    "MaskStrategy": "plain",
    "SemanticTypeIri": "urn:effortless:pko-extension#FieldGrant",
    "Name": "principal-process-steward -&gt; LearningActivities.ProcedureVersion",
    "FieldTable": "LearningActivities",
    "FieldName": "ProcedureVersion",
    "FieldIsDerived": false,
    "IsWritableDerivedField": false,
    "IsMasked": false,
    "GrantKeyWhenReadable": "principal-process-steward|LearningActivities"
   },
   {
    "FieldGrantId": "fg-process-steward-LearningActivities.ActivityKind",
    "Principal": "principal-process-steward",
    "TargetField": "LearningActivities.ActivityKind",
    "CanRead": true,
    "CanWrite": false,
    "MaskStrategy": "plain",
    "SemanticTypeIri": "urn:effortless:pko-extension#FieldGrant",
    "Name": "principal-process-steward -&gt; LearningActivities.ActivityKind",
    "FieldTable": "LearningActivities",
    "FieldName": "ActivityKind",
    "FieldIsDerived": false,
    "IsWritableDerivedField": false,
    "IsMasked": false,
    "GrantKeyWhenReadable": "principal-process-steward|LearningActivities"
   },
   {
    "FieldGrantId": "fg-process-steward-LearningActivities.OccurredAt",
    "Principal": "principal-process-steward",
    "TargetField": "LearningActivities.OccurredAt",
    "CanRead": true,
    "CanWrite": false,
    "MaskStrategy": "plain",
    "SemanticTypeIri": "urn:effortless:pko-extension#FieldGrant",
    "Name": "principal-process-steward -&gt; LearningActivities.OccurredAt",
    "FieldTable": "LearningActivities",
    "FieldName": "OccurredAt",
    "FieldIsDerived": false,
    </t>
  </si>
  <si>
    <t xml:space="preserve">"IsWritableDerivedField": false,
    "IsMasked": false,
    "GrantKeyWhenReadable": "principal-process-steward|LearningActivities"
   },
   {
    "FieldGrantId": "fg-process-steward-LearningActivities.FacilitatorAgent",
    "Principal": "principal-process-steward",
    "TargetField": "LearningActivities.FacilitatorAgent",
    "CanRead": true,
    "CanWrite": false,
    "MaskStrategy": "plain",
    "SemanticTypeIri": "urn:effortless:pko-extension#FieldGrant",
    "Name": "principal-process-steward -&gt; LearningActivities.FacilitatorAgent",
    "FieldTable": "LearningActivities",
    "FieldName": "FacilitatorAgent",
    "FieldIsDerived": false,
    "IsWritableDerivedField": false,
    "IsMasked": false,
    "GrantKeyWhenReadable": "principal-process-steward|LearningActivities"
   },
   {
    "FieldGrantId": "fg-process-steward-LearningActivities.Outcome",
    "Principal": "principal-process-steward",
    "TargetField": "LearningActivities.Outcome",
    "CanRead": true,
    "CanWrite": false,
    "MaskStrategy": "plain",
    "SemanticTypeIri": "urn:effortless:pko-extension#FieldGrant",
    "Name": "principal-process-steward -&gt; LearningActivities.Outcome",
    "FieldTable": "LearningActivities",
    "FieldName": "Outcome",
    "FieldIsDerived": false,
    "IsWritableDerivedField": false,
    "IsMasked": false,
    "GrantKeyWhenReadable": "principal-process-steward|LearningActivities"
   },
   {
    "FieldGrantId": "fg-process-steward-LearningActivities.EvidenceResource",
    "Principal": "principal-process-steward",
    "TargetField": "LearningActivities.EvidenceResource",
    "CanRead": true,
    "CanWrite": false,
    "MaskStrategy": "plain",
    "SemanticTypeIri": "urn:effortless:pko-extension#FieldGrant",
    "Name": "principal-process-steward -&gt; LearningActivities.EvidenceResource",
    "FieldTable": "LearningActivities",
    "FieldName": "EvidenceResource",
    "FieldIsDerived": false,
    "IsWritableDerivedField": false,
    "IsMasked": false,
    "GrantKeyWhenReadable": "principal-process-steward|LearningActivities"
   },
   {
    "FieldGrantId": "fg-process-steward-LearningActivities.SemanticTypeIri",
    "Principal": "principal-process-steward",
    "TargetField": "LearningActivities.SemanticTypeIri",
    "CanRead": true,
    "CanWrite": false,
    "MaskStrategy": "plain",
    "SemanticTypeIri": "urn:effortless:pko-extension#FieldGrant",
    "Name": "principal-process-steward -&gt; LearningActivities.SemanticTypeIri",
    "FieldTable": "LearningActivities",
    "FieldName": "SemanticTypeIri",
    "FieldIsDerived": false,
    "IsWritableDerivedField": false,
    "IsMasked": false,
    "GrantKeyWhenReadable": "principal-process-steward|LearningActivities"
   },
   {
    "FieldGrantId": "fg-process-steward-Mentorships.MentorshipId",
    "Principal": "principal-process-steward",
    "TargetField": "Mentorships.MentorshipId",
    "CanRead": true,
    "CanWrite": false,
    "MaskStrategy": "plain",
    "SemanticTypeIri": "urn:effortless:pko-extension#FieldGrant",
    "Name": "principal-process-steward -&gt; Mentorships.MentorshipId",
    "FieldTable": "Mentorships",
    "FieldName": "MentorshipId",
    "FieldIsDerived": false,
    "IsWritableDerivedField": false,
    "IsMasked": false,
    "GrantKeyWhenReadable": "principal-process-steward|Mentorships"
   },
   {
    "FieldGrantId": "fg-process-steward-Mentorships.Name",
    "Principal": "principal-process-steward",
    "TargetField": "Mentorships.Name",
    "CanRead": true,
    "CanWrite": false,
    "MaskStrategy": "plain",
    "SemanticTypeIri": "urn:effortless:pko-extension#FieldGrant",
    "Name": "principal-process-steward -&gt; Mentorships.Name",
    "FieldTable": "Mentorships",
    "FieldName": "Name",
    "FieldIsDerived": true,
    "IsWritableDerivedField": false,
    "IsMasked": false,
    "GrantKeyWhenReadable": "principal-process-steward|Mentorships"
   },
   {
    "FieldGrantId": "fg-process-steward-Mentorships.CommunityOfPractice",
    "Principal": "principal-process-steward",
    "TargetField": "Mentorships.CommunityOfPractice",
    "CanRead": true,
    "CanWrite": false,
    "MaskStrategy": "plain",
    "SemanticTypeIri": "urn:effortless:pko-extension#FieldGrant",
    "Name": "principal-process-steward -&gt; Mentorships.CommunityOfPractice",
    "FieldTable": "Mentorships",
    "FieldName": "CommunityOfPractice",
    "FieldIsDerived": false,
    "IsWritableDerivedField": false,
    "IsMasked": false,
    "GrantKeyWhenReadable": "principal-process-steward|Mentorships"
   },
   {
    "FieldGrantId": "fg-process-steward-Mentorships.MentorAgent",
    "Principal": "principal-process-steward",
    "TargetField": "Mentorships.MentorAgent",
    "CanRead": true,
    "CanWrite": false,
    "MaskStrategy": "plain",
    "SemanticTypeIri": "urn:effortless:pko-extension#FieldGrant",
    "Name": "principal-process-steward -&gt; Mentorships.MentorAgent",
    "FieldTable": "Mentorships",
    "FieldName": "MentorAgent",
    "FieldIsDerived": false,
    "IsWritableDerivedField": false,
    "IsMasked": false,
    "GrantKeyWhenReadable": "principal-process-steward|Mentorships"
   },
   {
    "FieldGrantId": "fg-process-steward-Mentorships.LearnerAgent",
    "Principal": "principal-process-steward",
    "TargetField": "Mentorships.LearnerAgent",
    "CanRead": true,
    "CanWrite": false,
    "MaskStrategy": "plain",
    "SemanticTypeIri": "urn:effortless:pko-extension#FieldGrant",
    "Name": "principal-process-steward -&gt; Mentorships.LearnerAgent",
    "FieldTable": "Mentorships",
    "FieldName": "LearnerAgent",
    "FieldIsDerived": false,
    "IsWritableDerivedField": false,
    "IsMasked": false,
    "GrantKeyWhenReadable": "principal-process-steward|Mentorships"
   },
   {
    "FieldGrantId": "fg-process-steward-Mentorships.ValidFrom",
    "Principal": "principal-process-steward",
    "TargetField": "Mentorships.ValidFrom",
    "CanRead": true,
    "CanWrite": false,
    "MaskStrategy": "plain",
    "SemanticTypeIri": "urn:effortless:pko-extension#FieldGrant",
    "Name": "principal-process-steward -&gt; Mentorships.ValidFrom",
    "FieldTable": "Mentorships",
    "FieldName": "ValidFrom",
    "FieldIsDerived": false,
    "IsWritableDerivedField": false,
    "IsMasked": false,
    "GrantKeyWhenReadable": "principal-process-steward|Mentorships"
   },
   {
    "FieldGrantId": "fg-process-steward-Mentorships.ValidTo",
    "Principal": "principal-process-steward",
    "TargetField": "Mentorships.ValidTo",
    "CanRead": true,
    "CanWrite": false,
    "MaskStrategy": "plain",
    "SemanticTypeIri": "urn:effortless:pko-extension#FieldGrant",
    "Name": "principal-process-steward -&gt; Mentorships.ValidTo",
    "FieldTable": "Mentorships",
    "FieldName": "ValidTo",
    "FieldIsDerived": false,
    "IsWritableDerivedField": false,
    "IsMasked": false,
    "GrantKeyWhenReadable": "principal-process-steward|Mentorships"
   },
   {
    "FieldGrantId": "fg-process-steward-Mentorships.LearningObjective",
    "Principal": "principal-process-steward",
    "TargetField": "Mentorships.LearningObjective",
    "CanRead": true,
    "CanWrite": false,
    "MaskStrategy": "plain",
    "SemanticTypeIri": "urn:effortless:pko-extension#FieldGrant",
    "Name": "principal-process-steward -&gt; Mentorships.LearningObjective",
    "FieldTable": "Mentorships",
    "FieldName": "LearningObjective",
    "FieldIsDerived": false,
    "IsWritableDerivedField": false,
    "IsMasked": false,
    "GrantKeyWhenReadable": "principal-process-steward|Mentorships"
   },
   {
    "FieldGrantId": "fg-process-steward-Mentorships.EvidenceOfCompletion",
    "Principal": "principal-process-steward",
    "TargetField": "Mentorships.EvidenceOfCompletion",
    "CanRead": true,
    "CanWrite": false,
    "MaskStrategy": "plain",
    "SemanticTypeIri": "urn:effortless:pko-extension#FieldGrant",
    "Name": "principal-process-steward -&gt; Mentorships.EvidenceOfCompletion",
    "FieldTable": "Mentorships",
    "FieldName": "EvidenceOfCompletion",
    "FieldIsDerived": false,
    "IsWritableDerivedField": false,
    "IsMasked": false,
    "GrantKeyWhenReadable": "principal-process-steward|Mentorships"
   },
   {
    "FieldGrantId": "fg-process-steward-Mentorships.SemanticTypeIri",
    "Principal": "principal-process-steward",
    "TargetField": "Mentorships.SemanticTypeIri",
    "CanRead": true,
    "CanWrite": false,
    "MaskStrategy": "plain",
    "SemanticTypeIri": "urn:effortless:pko-extension#FieldGrant",
    "Name": "principal-process-steward -&gt; Mentorships.SemanticTypeIri",
    "FieldTable": "Mentorships",
    "FieldName": "SemanticTypeIri",
    "FieldIsDerived": false,
    "IsWritableDerivedField": false,
    "IsMasked": false,
    "GrantKeyWhenReadable": "principal-process-steward|Mentorships"
   },
   {
    "FieldGrantId": "fg-process-steward-MessageDeliveries.MessageDeliveryId",
    "Principal": "principal-process-steward",
    "TargetField": "MessageDeliveries.MessageDeliveryId",
    "CanRead": true,
    "CanWrite": false,
    "MaskStrategy": "plain",
    "SemanticTypeIri": "urn:effortless:pko-extension#FieldGrant",
    "Name": "principal-process-steward -&gt; MessageDeliveries.MessageDeliveryId",
    "FieldTable": "MessageDeliveries",
    "FieldName": "MessageDeliveryId",
    "FieldIsDerived": false,
    "IsWritableDerivedField": false,
    "IsMasked": false,
    "GrantKeyWhenReadable": "principal-process-steward|MessageDeliveries"
   },
   {
    "FieldGrantId": "fg-process-steward-MessageDeliveries.Name",
    "Principal": "principal-process-steward",
    "TargetField": "MessageDeliveries.Name",
    "CanRead": true,
    "CanWrite": false,
    "MaskStrategy": "plain",
    "SemanticTypeIri": "urn:effortless:pko-extension#FieldGrant",
    "Name": "principal-process-steward -&gt; MessageDeliveries.Name",
    "FieldTable": "MessageDeliveries",
    "FieldName": "Name",
    "FieldIsDerived": true,
    "IsWritableDerivedField": false,
    "IsMasked": false,
    "GrantKeyWhenReadable": "principal-process-steward|MessageDeliveries"
   },
   {
    "FieldGrantId": "fg-process-steward-MessageDeliveries.ProcedureExecution",
    "Principal": "principal-process-steward",
    "TargetField": "MessageDeliveries.ProcedureExecution",
    "CanRead": true,
    "CanWrite": false,
    "MaskStrategy": "plain",
    "SemanticTypeIri": "urn:effortless:pko-extension#FieldGrant",
    "Name": "principal-process-steward -&gt; MessageDeliveries.ProcedureExecution",
    "FieldTable": "MessageDeliveries",
    "FieldName": "ProcedureExecution",
    "FieldIsDerived": false,
    "IsWritableDerivedField": false,
    "IsMasked": false,
    "GrantKeyWhenReadable": "principal-process-steward|MessageDeliveries"
   },
   {
    "FieldGrantId": "fg-process-steward-MessageDeliveries.StepExecution",
    "Principal": "principal-process-steward",
    "TargetField": "MessageDeliveries.StepExecution",
    "CanRead": true,
    "CanWrite": false,
    "MaskStrategy": "plain",
    "SemanticTypeIri": "urn:effortless:pko-extension#FieldGrant",
    "Name": "principal-process-steward -&gt; MessageDeliveries.StepExecution",
    "FieldTable": "MessageDeliveries",
    "FieldName": "StepExecution",
    "FieldIsDerived": false,
    "IsWritableDerivedField": false,
    "IsMasked": false,
    "GrantKeyWhenReadable": "principal-process-steward|MessageDeliveries"
   },
   {
    "FieldGrantId": "fg-process-steward-MessageDeliveries.Recipient",
    "Principal": "principal-process-steward",
    "TargetField": "MessageDeliveries.Recipient",
    "CanRead": true,
    "CanWrite": false,
    "MaskStrategy": "plain",
    "SemanticTypeIri": "urn:effortless:pko-extension#FieldGrant",
    "Name": "principal-process-steward -&gt; MessageDeliveries.Recipient",
    "FieldTable": "MessageDeliveries",
    "FieldName": "Recipient",
    "FieldIsDerived": false,
    "IsWritableDerivedField": false,
    "IsMasked": false,
    "GrantKeyWhenReadable": "principal-process-steward|MessageDeliveries"
   },
   {
    "FieldGrantId": "fg-process-steward-MessageDeliveries.MessageTemplate",
    "Principal": "principal-process-steward",
    "TargetField": "MessageDeliveries.MessageTemplate",
    "CanRead": true,
    "CanWrite": false,
    "MaskStrategy": "plain",
    "SemanticTypeIri": "urn:effortless:pko-extension#FieldGrant",
    "Name": "principal-process-steward -&gt; MessageDeliveries.MessageTemplate",
    "FieldTable": "MessageDeliveries",
    "FieldName": "MessageTemplate",
    "FieldIsDerived": false,
    "IsWritableDerivedField": false,
    "IsMasked": false,
    "GrantKeyWhenReadable": "principal-process-steward|MessageDeliveries"
   },
   {
    "FieldGrantId": "fg-process-steward-MessageDeliveries.SentByAgent",
    "Principal": "principal-process-steward",
    "TargetField": "MessageDeliveries.SentByAgent",
    "CanRead": true,
    "CanWrite": false,
    "MaskStrategy": "plain",
    "SemanticTypeIri": "urn:effortless:pko-extension#FieldGrant",
    "Name": "principal-process-steward -&gt; MessageDeliveries.SentByAgent",
    "FieldTable": "MessageDeliveries",
    "FieldName": "SentByAgent",
    "FieldIsDerived": false,
    "IsWritableDerivedField": false,
    "IsMasked": false,
    "GrantKeyWhenReadable": "principal-process-steward|MessageDeliveries"
   },
   {
    "FieldGrantId": "fg-process-steward-MessageDeliveries.RenderedBody",
    "Principal": "principal-process-steward",
    "TargetField": "MessageDeliveries.RenderedBody",
    "CanRead": true,
    "CanWrite": false,
    "MaskStrategy": "plain",
    "SemanticTypeIri": "urn:effortless:pko-extension#FieldGrant",
    "Name": "principal-process-steward -&gt; MessageDeliveries.RenderedBody",
    "FieldTable": "MessageDeliveries",
    "FieldName": "RenderedBody",
    "FieldIsDerived": false,
    "IsWritableDerivedField": false,
    "IsMasked": false,
    "GrantKeyWhenReadable": "principal-process-steward|MessageDeliveries"
   },
   {
    "FieldGrantId": "fg-process-steward-MessageDeliveries.SentAt",
    "Principal": "principal-process-steward",
    "TargetField": "MessageDeliveries.SentAt",
    "CanRead": true,
    "CanWrite": false,
    "MaskStrategy": "plain",
    "SemanticTypeIri": "urn:effortless:pko-extension#FieldGrant",
    "Name": "principal-process-steward -&gt; MessageDeliveries.SentAt",
    "FieldTable": "MessageDeliveries",
    "FieldName": "SentAt",
    "FieldIsDerived": false,
    "IsWritableDerivedField": false,
    "IsMasked": false,
    "GrantKeyWhenReadable": "principal-process-steward|MessageDeliveries"
   },
   {
    "FieldGrantId": "fg-process-steward-MessageDeliveries.SentAtLocalHour",
    "Principal": "principal-process-steward",
    "TargetField": "MessageDeliveries.SentAtLocalHour",
    "CanRead": true,
    "CanWrite": false,
    "MaskStrategy": "plain",
    "SemanticTypeIri": "urn:effortless:pko-extension#FieldGrant",
    "Name": "principal-process-steward -&gt; MessageDeliveries.SentAtLocalHour",
    "FieldTable": "MessageDeliveries",
    "FieldName": "SentAtLocalHour",
    "FieldIsDerived": false,
    "IsWritableDerivedField": false,
    "IsMasked": false,
    "GrantKeyWhenReadable": "principal-process-steward|MessageDeliveries"
   },
   {
    "FieldGrantId": "fg-process-steward-MessageDeliveries.DeliveryStatus",
    "Principal": "principal-process-steward",
    "TargetField": "MessageDeliveries.DeliveryStatus",
    "CanRead": true,
    "CanWrite": false,
    "MaskStrategy": "plain",
    "SemanticTypeIri": "urn:effortless:pko-extension#FieldGrant",
    "Name": "principal-process-steward -&gt; MessageDeliveries.DeliveryStatus",
    "FieldTable": "MessageDeliveries",
    "FieldName": "DeliveryStatus",
    "FieldIsDerived": false,
    "IsWritableDerivedField": false,
    "IsMasked": false,
    "GrantKeyWhenReadable": "principal-process-steward|MessageDeliveries"
   },
   {
    "FieldGrantId": "fg-process-steward-MessageDeliveries.SuppressionReason",
    "Principal": "principal-process-steward",
    "TargetField": "MessageDeliveries.SuppressionReason",
    "CanRead": true,
    "CanWrite": false,
    "MaskStrategy": "plain",
    "SemanticTypeIri": "urn:effortless:pko-extension#FieldGrant",
    "Name": "principal-process-steward -&gt; MessageDeliveries.SuppressionReason",
    "FieldTable": "MessageDeliveries",
    "FieldName": "SuppressionReason",
    "FieldIsDerived": false,
    "IsWritableDerivedField": false,
    "IsMasked": false,
    "GrantKeyWhenReadable": "principal-process-steward|MessageDeliveries"
   },
   {
    "FieldGrantId": "fg-process-steward-MessageDeliveries.InvokedException",
    "Principal": "principal-process-steward",
    "TargetField": "MessageDeliveries.InvokedException",
    "CanRead": true,
    "CanWrite": false,
    "MaskStrategy": "plain",
    "SemanticTypeIri": "urn:effortless:pko-extension#FieldGrant",
    "Name": "principal-process-steward -&gt; MessageDeliveries.InvokedException",
    "FieldTable": "MessageDeliveries",
    "FieldName": "InvokedException",
    "FieldIsDerived": false,
    "IsWritableDerivedField": false,
    "IsMasked": false,
    "GrantKeyWhenReadable": "principal-process-steward|MessageDeliveries"
   },
   {
    "FieldGrantId": "fg-process-steward-MessageDeliveries.AcknowledgedAt",
    "Principal": "principal-process-steward",
    "TargetField": "MessageDeliveries.AcknowledgedAt",
    "CanRead": true,
    "CanWrite": false,
    "MaskStrategy": "plain",
    "SemanticTypeIri": "urn:effortless:pko-extension#FieldGrant",
    "Name": "principal-process-steward -&gt; MessageDeliveries.AcknowledgedAt",
    "FieldTable": "MessageDeliveries",
    "FieldName": "AcknowledgedAt",
    "FieldIsDerived": false,
    "IsWritableDerivedField": false,
    "IsMasked": false,
    "GrantKeyWhenReadable": "principal-process-steward|MessageDeliveries"
   },
   {
    "FieldGrantId": "fg-process-steward-MessageDeliveries.PolicyChannel",
    "Principal": "principal-process-steward",
    "TargetField": "MessageDeliveries.PolicyChannel",
    "CanRead": true,
    "CanWrite": false,
    "MaskStrategy": "plain",
    "SemanticTypeIri": "urn:effortless:pko-extension#FieldGrant",
    "Name": "principal-process-steward -&gt; MessageDeliveries.PolicyChannel",
    "FieldTable": "MessageDeliveries",
    "FieldName": "PolicyChannel",
    "FieldIsDerived": true,
    "IsWritableDerivedField": false,
    "IsMasked": false,
    "GrantKeyWhenReadable": "principal-process-steward|MessageDeliveries"
   },
   {
    "FieldGrantId": "fg-process-steward-MessageDeliveries.ChannelName",
    "Principal": "principal-process-steward",
    "TargetField": "MessageDeliveries.ChannelName",
    "CanRead": true,
    "CanWrite": false,
    "MaskStrategy": "plain",
    "SemanticTypeIri": "urn:effortless:pko-extension#FieldGrant",
    "Name": "principal-process-steward -&gt; MessageDeliveries.ChannelName",
    "FieldTable": "MessageDeliveries",
    "FieldName": "ChannelName",
    "FieldIsDerived": true,
    "IsWritableDerivedField": false,
    "IsMasked": false,
    "GrantKeyWhenReadable": "principal-process-steward|MessageDeliveries"
   },
   {
    "FieldGrantId": "fg-process-steward-MessageDeliveries.PolicyRequiresConsent",
    "Principal": "principal-process-steward",
    "TargetField": "MessageDeliveries.PolicyRequiresConsent",
    "CanRead": true,
    "CanWrite": false,
    "MaskStrategy": "plain",
    "SemanticTypeIri": "urn:effortless:pko-extension#FieldGrant",
    "Name": "principal-process-steward -&gt; MessageDeliveries.PolicyRequiresConsent",
    "FieldTable": "MessageDeliveries",
    "FieldName": "PolicyRequiresConsent",
    "FieldIsDerived": true,
    "IsWritableDerivedField": false,
    "IsMasked": false,
    "GrantKeyWhenReadable": "principal-process-steward|MessageDeliveries"
   },
   {
    "FieldGrantId": "fg-process-steward-MessageDeliveries.RecipientHasSmsConsent",
    "Principal": "principal-process-steward",
    "TargetField": "MessageDeliveries.RecipientHasSmsConsent",
    "CanRead": true,
    "CanWrite": false,
    "MaskStrategy": "plain",
    "SemanticTypeIri": "urn:effortless:pko-extension#FieldGrant",
    "Name": "principal-process-steward -&gt; MessageDeliveries.RecipientHasSmsConsent",
    "FieldTable": "MessageDeliveries",
    "FieldName": "RecipientHasSmsConsent",
    "FieldIsDerived": true,
    "IsWritableDerivedField": false,
    "IsMasked": false,
    "GrantKeyWhenReadable": "principal-process-steward|MessageDeliveries"
   },
   {
    "FieldGrantId": "fg-process-steward-MessageDeliveries.WasActuallyTransmitted",
    "Principal": "principal-process-steward",
    "TargetField": "MessageDeliveries.WasActuallyTransmitted",
    "CanRead": true,
    "CanWrite": false,
    "MaskStrategy": "plain",
    "SemanticTypeIri": "urn:effortless:pko-extension#FieldGrant",
    "Name": "principal-process-steward -&gt; MessageDeliveries.WasActuallyTransmitted",
    "FieldTable": "MessageDeliveries",
    "FieldName": "WasActuallyTransmitted",
    "FieldIsDerived": true,
    "IsWritableDerivedField": false,
    "IsMasked": false,
    "GrantKeyWhenReadable": "principal-process-steward|MessageDeliveries"
   },
   {
    "FieldGrantId": "fg-process-steward-MessageDeliveries.IsConsentViolation",
    "Principal": "principal-process-steward",
    "TargetField": "MessageDeliveries.IsConsentViolation",
    "CanRead": true,
    "CanWrite": false,
    "MaskStrategy": "plain",
    "SemanticTypeIri": "urn:effortless:pko-extension#FieldGrant",
    "Name": "principal-process-steward -&gt; MessageDeliveries.IsConsentViolation",
    "FieldTable": "MessageDeliveries",
    "FieldName": "IsConsentViolation",
    "FieldIsDerived": true,
    "IsWritableDerivedField": false,
    "IsMasked": false,
    "GrantKeyWhenReadable": "principal-process-steward|MessageDeliveries"
   },
   {
    "FieldGrantId": "fg-process-steward-MessageDeliveries.ConsentViolationPolicyKey",
    "Principal": "principal-process-steward",
    "TargetField": "MessageDeliveries.ConsentViolationPolicyKey",
    "CanRead": true,
    "CanWrite": false,
    "MaskStrategy": "plain",
    "SemanticTypeIri": "urn:effortless:pko-extension#FieldGrant",
    "Name": "principal-process-steward -&gt; MessageDeliveries.ConsentViolationPolicyKey",
    "FieldTable": "MessageDeliveries",
    "FieldName": "ConsentViolationPolicyKey",
    "FieldIsDerived": true,
    "IsWritableDerivedField": false,
    "IsMasked": false,
    "GrantKeyWhenReadable": "principal-process-steward|MessageDeliveries"
   },
   {
    "FieldGrantId": "fg-process-steward-MessageDeliveries.PolicyQuietHoursStartHour",
    "Principal": "principal-process-steward",
    "TargetField": "MessageDeliveries.PolicyQuietHoursStartHour",
    "CanRead": true,
    "CanWrite": false,
    "MaskStrategy": "plain",
    "SemanticTypeIri": "urn:effortless:pko-extension#FieldGrant",
    "Name": "principal-process-steward -&gt; MessageDeliveries.PolicyQuietHoursStartHour",
    "FieldTable": "MessageDeliveries",
    "FieldName": "PolicyQuietHoursStartHour",
    "FieldIsDerived": true,
    "IsWritableDerivedField": false,
    "IsMasked": false,
    "GrantKeyWhenReadable": "principal-process-steward|MessageDeliveries"
   },
   {
    "FieldGrantId": "fg-process-steward-MessageDeliveries.PolicyQuietHoursEndHour",
    "Principal": "principal-process-steward",
    "TargetField": "MessageDeliveries.PolicyQuietHoursEndHour",
    "CanRead": true,
    "CanWrite": false,
    "MaskStrategy": "plain",
    "SemanticTypeIri": "urn:effortless:pko-extension#FieldGrant",
    "Name": "principal-process-steward -&gt; MessageDeliveries.PolicyQuietHoursEndHour",
    "FieldTable": "MessageDeliveries",
    "FieldName": "PolicyQuietHoursEndHour",
    "FieldIsDerived": true,
    "IsWritableDerivedField": false,
    "IsMasked": false,
    "GrantKeyWhenReadable": "principal-process-steward|MessageDeliveries"
   },
   {
    "FieldGrantId": "fg-process-steward-MessageDeliveries.PolicyHasQuietHours",
    "Principal": "principal-process-steward",
    "TargetField": "MessageDeliveries.PolicyHasQuietHours",
    "CanRead": true,
    "CanWrite": false,
    "MaskStrategy": "plain",
    "SemanticTypeIri": "urn:effortless:pko-extension#FieldGrant",
    "Name": "principal-process-steward -&gt; MessageDeliveries.PolicyHasQuietHours",
    "FieldTable": "MessageDeliveries",
    "FieldName": "PolicyHasQuietHours",
    "FieldIsDerived": true,
    "IsWritableDerivedField": false,
    "IsMasked": false,
    "GrantKeyWhenReadable": "principal-process-steward|MessageDeliveries"
   },
   {
    "FieldGrantId": "fg-process-steward-MessageDeliveries.QuietWindowWrapsMidnight",
    "Principal": "principal-process-steward",
    "TargetField": "MessageDeliveries.QuietWindowWrapsMidnight",
    "CanRead": true,
    "CanWrite": false,
    "MaskStrategy": "plain",
    "SemanticTypeIri": "urn:effortless:pko-extension#FieldGrant",
    "Name": "principal-process-steward -&gt; MessageDeliveries.QuietWindowWrapsMidnight",
    "FieldTable": "MessageDeliveries",
    "FieldName": "QuietWindowWrapsMidnight",
    "FieldIsDerived": true,
    "IsWritableDerivedField": false,
    "IsMasked": false,
    "GrantKeyWhenReadable": "principal-process-steward|MessageDeliveries"
   },
   {
    "FieldGrantId": "fg-process-steward-MessageDeliveries.IsInsideQuietWindow",
    "Principal": "principal-process-steward",
    "TargetField": "MessageDeliveries.IsInsideQuietWindow",
    "CanRead": true,
    "CanWrite": false,
    "MaskStrategy": "plain",
    "SemanticTypeIri": "urn:effortless:pko-extension#FieldGrant",
    "Name": "principal-process-steward -&gt; MessageDeliveries.IsInsideQuietWindow",
    "FieldTable": "MessageDeliveries",
    "FieldName": "IsInsideQuietWindow",
    "FieldIsDerived": true,
    "IsWritableDerivedField": false,
    "IsMasked": false,
    "GrantKeyWhenReadable": "principal-process-steward|MessageDeliveries"
   },
   {
    "FieldGrantId": "fg-process-steward-MessageDeliveries.IsQuietHoursViolation",
    "Principal": "principal-process-steward",
    "TargetField": "MessageDeliveries.IsQuietHoursViolation",
    "CanRead": true,
    "CanWrite": false,
    "MaskStrategy": "plain",
    "SemanticTypeIri": "urn:effortless:pko-extension#FieldGrant",
    "Name": "principal-process-steward -&gt; MessageDeliveries.IsQuietHoursViolation",
    "FieldTable": "MessageDeliveries",
    "FieldName": "IsQuietHoursViolation",
    "FieldIsDerived": true,
    "IsWritableDerivedField": false,
    "IsMasked": false,
    "GrantKeyWhenReadable": "principal-process-steward|MessageDeliveries"
   },
   {
    "FieldGrantId": "fg-process-steward-MessageDeliveries.QuietHoursViolationPolicyKey",
    "Principal": "principal-process-steward",
    "TargetField": "MessageDeliveries.QuietHoursViolationPolicyKey",
    "CanRead": true,
    "CanWrite": false,
    "MaskStrategy": "plain",
    "SemanticTypeIri": "urn:effortless:pko-extension#FieldGrant",
    "Name": "principal-process-steward -&gt; MessageDeliveries.QuietHoursViolationPolicyKey",
    "FieldTable": "MessageDeliveries",
    "FieldName": "QuietHoursViolationPolicyKey",
    "FieldIsDerived": true,
    "IsWritableDerivedField": false,
    "IsMasked": false,
    "GrantKeyWhenReadable": "principal-process-steward|MessageDeliveries"
   },
   {
    "FieldGrantId": "fg-process-steward-MessageDeliveries.RecipientIsUnreachable",
    "Principal": "principal-process-steward",
    "TargetField": "MessageDeliveries.RecipientIsUnreachable",
    "CanRead": true,
    "CanWrite": false,
    "MaskStrategy": "plain",
    "SemanticTypeIri": "urn:effortless:pko-extension#FieldGrant",
    "Name": "principal-process-steward -&gt; MessageDeliveries.RecipientIsUnreachable",
    "FieldTable": "MessageDeliveries",
    "FieldName": "RecipientIsUnreachable",
    "FieldIsDerived": true,
    "IsWritableDerivedField": false,
    "IsMasked": false,
    "GrantKeyWhenReadable": "principal-process-steward|MessageDeliveries"
   },
   {
    "FieldGrantId": "fg-process-steward-MessageDeliveries.IsAcknowledged",
    "Principal": "principal-process-steward",
    "TargetField": "MessageDeliveries.IsAcknowledged",
    "CanRead": true,
    "CanWrite": false,
    "MaskStrategy": "plain",
    "SemanticTypeIri": "urn:effortless:pko-extension#FieldGrant",
    "Name": "principal-process-steward -&gt; MessageDeliveries.IsAcknowledged",
    "FieldTable": "MessageDeliveries",
    "FieldName": "IsAcknowledged",
    "FieldIsDerived": true,
    "IsWritableDerivedField": false,
    "IsMasked": false,
    "GrantKeyWhenReadable": "principal-process-steward|MessageDeliveries"
   },
   {
    "FieldGrantId": "fg-process-steward-MessageDeliveries.InvokedExceptionCondition",
    "Principal": "principal-process-steward",
    "TargetField": "MessageDeliveries.InvokedExceptionCondition",
    "CanRead": true,
    "CanWrite": false,
    "MaskStrategy": "plain",
    "SemanticTypeIri": "urn:effortless:pko-extension#FieldGrant",
    "Name": "principal-process-steward -&gt; MessageDeliveries.InvokedExceptionCondition",
    "FieldTable": "MessageDeliveries",
    "FieldName": "InvokedExceptionCondition",
    "FieldIsDerived": true,
    "IsWritableDerivedField": false,
    "IsMasked": false,
    "GrantKeyWhenReadable": "principal-process-steward|MessageDeliveries"
   },
   {
    "FieldGrantId": "fg-process-steward-MessageDeliveries.HasUnreachableExceptionInvoked",
    "Principal": "principal-process-steward",
    "TargetField": "MessageDeliveries.HasUnreachableExceptionInvoked",
    "CanRead": true,
    "CanWrite": false,
    "MaskStrategy": "plain",
    "SemanticTypeIri": "urn:effortless:pko-extension#FieldGrant",
    "Name": "principal-process-steward -&gt; MessageDeliveries.HasUnreachableExceptionInvoked",
    "FieldTable": "MessageDeliveries",
    "FieldName": "HasUnreachableExceptionInvoked",
    "FieldIsDerived": true,
    "IsWritableDerivedField": false,
    "IsMasked": false,
    "GrantKeyWhenReadable": "principal-process-steward|MessageDeliveries"
   },
   {
    "FieldGrantId": "fg-process-steward-MessageDeliveries.IsFabricatedAcknowledgement",
    "Principal": "principal-process-steward",
    "TargetField": "MessageDeliveries.IsFabricatedAcknowledgement",
    "CanRead": true,
    "CanWrite": false,
    "MaskStrategy": "plain",
    "SemanticTypeIri": "urn:effortless:pko-extension#FieldGrant",
    "Name": "principal-process-steward -&gt; MessageDeliveries.IsFabricatedAcknowledgement",
    "FieldTable": "MessageDeliveries",
    "FieldName": "IsFabricatedAcknowledgement",
    "FieldIsDerived": true,
    "IsWritableDerivedField": false,
    "IsMasked": false,
    "GrantKeyWhenReadable": "principal-process-steward|MessageDeliveries"
   },
   {
    "FieldGrantId": "fg-process-steward-MessageDeliveries.IsUnhandledUnreachable",
    "Principal": "principal-process-steward",
    "TargetField": "MessageDeliveries.IsUnhandledUnreachable",
    "CanRead": true,
    "CanWrite": false,
    "MaskStrategy": "plain",
    "SemanticTypeIri": "urn:effortless:pko-extension#FieldGrant",
    "Name": "principal-process-steward -&gt; MessageDeliveries.IsUnhandledUnreachable",
    "FieldTable": "MessageDeliveries",
    "FieldName": "IsUnhandledUnreachable",
    "FieldIsDerived": true,
    "IsWritableDerivedField": false,
    "IsMasked": false,
    "GrantKeyWhenReadable": "principal-process-steward|MessageDeliveries"
   },
   {
    "FieldGrantId": "fg-process-steward-MessageDeliveries.UnreachableFailureKey",
    "Principal": "principal-process-steward",
    "TargetField": "MessageDeliveries.UnreachableFailureKey",
    "CanRead": true,
    "CanWrite": false,
    "MaskStrategy": "plain",
    "SemanticTypeIri": "urn:effortless:pko-extension#FieldGrant",
    "Name": "principal-process-steward -&gt; MessageDeliveries.UnreachableFailureKey",
    "FieldTable": "MessageDeliveries",
    "FieldName": "UnreachableFailureKey",
    "FieldIsDerived": true,
    "IsWritableDerivedField": false,
    "IsMasked": false,
    "GrantKeyWhenReadable": "principal-process-steward|MessageDeliveries"
   },
   {
    "FieldGrantId": "fg-process-steward-MessageDeliveries.PolicyRetentionDays",
    "Principal": "principal-process-steward",
    "TargetField": "MessageDeliveries.PolicyRetentionDays",
    "CanRead": true,
    "CanWrite": false,
    "MaskStrategy": "plain",
    "SemanticTypeIri": "urn:effortless:pko-extension#FieldGrant",
    "Name": "principal-process-steward -&gt; MessageDeliveries.PolicyRetentionDays",
    "FieldTable": "MessageDeliveries",
    "FieldName": "PolicyRetentionDays",
    "FieldIsDerived": true,
    "IsWritableDerivedField": false,
    "IsMasked": false,
    "GrantKeyWhenReadable": "principal-process-steward|MessageDeliveries"
   },
   {
    "FieldGrantId": "fg-process-steward-MessageDeliveries.EvaluationContext",
    "Principal": "principal-process-steward",
    "TargetField": "MessageDeliveries.EvaluationContext",
    "CanRead": true,
    "CanWrite": false,
    "MaskStrategy": "plain",
    "SemanticTypeIri": "urn:effortless:pko-extension#FieldGrant",
    "Name": "principal-process-steward -&gt; MessageDeliveries.EvaluationContext",
</t>
  </si>
  <si>
    <t xml:space="preserve">    "FieldTable": "MessageDeliveries",
    "FieldName": "EvaluationContext",
    "FieldIsDerived": false,
    "IsWritableDerivedField": false,
    "IsMasked": false,
    "GrantKeyWhenReadable": "principal-process-steward|MessageDeliveries"
   },
   {
    "FieldGrantId": "fg-process-steward-MessageDeliveries.AsOfInstant",
    "Principal": "principal-process-steward",
    "TargetField": "MessageDeliveries.AsOfInstant",
    "CanRead": true,
    "CanWrite": false,
    "MaskStrategy": "plain",
    "SemanticTypeIri": "urn:effortless:pko-extension#FieldGrant",
    "Name": "principal-process-steward -&gt; MessageDeliveries.AsOfInstant",
    "FieldTable": "MessageDeliveries",
    "FieldName": "AsOfInstant",
    "FieldIsDerived": true,
    "IsWritableDerivedField": false,
    "IsMasked": false,
    "GrantKeyWhenReadable": "principal-process-steward|MessageDeliveries"
   },
   {
    "FieldGrantId": "fg-process-steward-MessageDeliveries.AgeDays",
    "Principal": "principal-process-steward",
    "TargetField": "MessageDeliveries.AgeDays",
    "CanRead": true,
    "CanWrite": false,
    "MaskStrategy": "plain",
    "SemanticTypeIri": "urn:effortless:pko-extension#FieldGrant",
    "Name": "principal-process-steward -&gt; MessageDeliveries.AgeDays",
    "FieldTable": "MessageDeliveries",
    "FieldName": "AgeDays",
    "FieldIsDerived": true,
    "IsWritableDerivedField": false,
    "IsMasked": false,
    "GrantKeyWhenReadable": "principal-process-steward|MessageDeliveries"
   },
   {
    "FieldGrantId": "fg-process-steward-MessageDeliveries.IsWithinRetentionWindow",
    "Principal": "principal-process-steward",
    "TargetField": "MessageDeliveries.IsWithinRetentionWindow",
    "CanRead": true,
    "CanWrite": false,
    "MaskStrategy": "plain",
    "SemanticTypeIri": "urn:effortless:pko-extension#FieldGrant",
    "Name": "principal-process-steward -&gt; MessageDeliveries.IsWithinRetentionWindow",
    "FieldTable": "MessageDeliveries",
    "FieldName": "IsWithinRetentionWindow",
    "FieldIsDerived": true,
    "IsWritableDerivedField": false,
    "IsMasked": false,
    "GrantKeyWhenReadable": "principal-process-steward|MessageDeliveries"
   },
   {
    "FieldGrantId": "fg-process-steward-MessageDeliveries.HasRenderedBody",
    "Principal": "principal-process-steward",
    "TargetField": "MessageDeliveries.HasRenderedBody",
    "CanRead": true,
    "CanWrite": false,
    "MaskStrategy": "plain",
    "SemanticTypeIri": "urn:effortless:pko-extension#FieldGrant",
    "Name": "principal-process-steward -&gt; MessageDeliveries.HasRenderedBody",
    "FieldTable": "MessageDeliveries",
    "FieldName": "HasRenderedBody",
    "FieldIsDerived": true,
    "IsWritableDerivedField": false,
    "IsMasked": false,
    "GrantKeyWhenReadable": "principal-process-steward|MessageDeliveries"
   },
   {
    "FieldGrantId": "fg-process-steward-MessageDeliveries.IsEvidenceRequired",
    "Principal": "principal-process-steward",
    "TargetField": "MessageDeliveries.IsEvidenceRequired",
    "CanRead": true,
    "CanWrite": false,
    "MaskStrategy": "plain",
    "SemanticTypeIri": "urn:effortless:pko-extension#FieldGrant",
    "Name": "principal-process-steward -&gt; MessageDeliveries.IsEvidenceRequired",
    "FieldTable": "MessageDeliveries",
    "FieldName": "IsEvidenceRequired",
    "FieldIsDerived": true,
    "IsWritableDerivedField": false,
    "IsMasked": false,
    "GrantKeyWhenReadable": "principal-process-steward|MessageDeliveries"
   },
   {
    "FieldGrantId": "fg-process-steward-MessageDeliveries.IsRetentionBreach",
    "Principal": "principal-process-steward",
    "TargetField": "MessageDeliveries.IsRetentionBreach",
    "CanRead": true,
    "CanWrite": false,
    "MaskStrategy": "plain",
    "SemanticTypeIri": "urn:effortless:pko-extension#FieldGrant",
    "Name": "principal-process-steward -&gt; MessageDeliveries.IsRetentionBreach",
    "FieldTable": "MessageDeliveries",
    "FieldName": "IsRetentionBreach",
    "FieldIsDerived": true,
    "IsWritableDerivedField": false,
    "IsMasked": false,
    "GrantKeyWhenReadable": "principal-process-steward|MessageDeliveries"
   },
   {
    "FieldGrantId": "fg-process-steward-MessageDeliveries.RetentionBreachExecutionKey",
    "Principal": "principal-process-steward",
    "TargetField": "MessageDeliveries.RetentionBreachExecutionKey",
    "CanRead": true,
    "CanWrite": false,
    "MaskStrategy": "plain",
    "SemanticTypeIri": "urn:effortless:pko-extension#FieldGrant",
    "Name": "principal-process-steward -&gt; MessageDeliveries.RetentionBreachExecutionKey",
    "FieldTable": "MessageDeliveries",
    "FieldName": "RetentionBreachExecutionKey",
    "FieldIsDerived": true,
    "IsWritableDerivedField": false,
    "IsMasked": false,
    "GrantKeyWhenReadable": "principal-process-steward|MessageDeliveries"
   },
   {
    "FieldGrantId": "fg-process-steward-MessageDeliveries.SendingStepExecutionStep",
    "Principal": "principal-process-steward",
    "TargetField": "MessageDeliveries.SendingStepExecutionStep",
    "CanRead": true,
    "CanWrite": false,
    "MaskStrategy": "plain",
    "SemanticTypeIri": "urn:effortless:pko-extension#FieldGrant",
    "Name": "principal-process-steward -&gt; MessageDeliveries.SendingStepExecutionStep",
    "FieldTable": "MessageDeliveries",
    "FieldName": "SendingStepExecutionStep",
    "FieldIsDerived": true,
    "IsWritableDerivedField": false,
    "IsMasked": false,
    "GrantKeyWhenReadable": "principal-process-steward|MessageDeliveries"
   },
   {
    "FieldGrantId": "fg-process-steward-MessageDeliveries.ExecutionHasClearedLegalReview",
    "Principal": "principal-process-steward",
    "TargetField": "MessageDeliveries.ExecutionHasClearedLegalReview",
    "CanRead": true,
    "CanWrite": false,
    "MaskStrategy": "plain",
    "SemanticTypeIri": "urn:effortless:pko-extension#FieldGrant",
    "Name": "principal-process-steward -&gt; MessageDeliveries.ExecutionHasClearedLegalReview",
    "FieldTable": "MessageDeliveries",
    "FieldName": "ExecutionHasClearedLegalReview",
    "FieldIsDerived": true,
    "IsWritableDerivedField": false,
    "IsMasked": false,
    "GrantKeyWhenReadable": "principal-process-steward|MessageDeliveries"
   },
   {
    "FieldGrantId": "fg-process-steward-MessageDeliveries.IsUnreviewedSend",
    "Principal": "principal-process-steward",
    "TargetField": "MessageDeliveries.IsUnreviewedSend",
    "CanRead": true,
    "CanWrite": false,
    "MaskStrategy": "plain",
    "SemanticTypeIri": "urn:effortless:pko-extension#FieldGrant",
    "Name": "principal-process-steward -&gt; MessageDeliveries.IsUnreviewedSend",
    "FieldTable": "MessageDeliveries",
    "FieldName": "IsUnreviewedSend",
    "FieldIsDerived": true,
    "IsWritableDerivedField": false,
    "IsMasked": false,
    "GrantKeyWhenReadable": "principal-process-steward|MessageDeliveries"
   },
   {
    "FieldGrantId": "fg-process-steward-MessageDeliveries.RenderedBodyLength",
    "Principal": "principal-process-steward",
    "TargetField": "MessageDeliveries.RenderedBodyLength",
    "CanRead": true,
    "CanWrite": false,
    "MaskStrategy": "plain",
    "SemanticTypeIri": "urn:effortless:pko-extension#FieldGrant",
    "Name": "principal-process-steward -&gt; MessageDeliveries.RenderedBodyLength",
    "FieldTable": "MessageDeliveries",
    "FieldName": "RenderedBodyLength",
    "FieldIsDerived": true,
    "IsWritableDerivedField": false,
    "IsMasked": false,
    "GrantKeyWhenReadable": "principal-process-steward|MessageDeliveries"
   },
   {
    "FieldGrantId": "fg-process-steward-MessageDeliveries.PolicyMaxMessageLengthAtSend",
    "Principal": "principal-process-steward",
    "TargetField": "MessageDeliveries.PolicyMaxMessageLengthAtSend",
    "CanRead": true,
    "CanWrite": false,
    "MaskStrategy": "plain",
    "SemanticTypeIri": "urn:effortless:pko-extension#FieldGrant",
    "Name": "principal-process-steward -&gt; MessageDeliveries.PolicyMaxMessageLengthAtSend",
    "FieldTable": "MessageDeliveries",
    "FieldName": "PolicyMaxMessageLengthAtSend",
    "FieldIsDerived": true,
    "IsWritableDerivedField": false,
    "IsMasked": false,
    "GrantKeyWhenReadable": "principal-process-steward|MessageDeliveries"
   },
   {
    "FieldGrantId": "fg-process-steward-MessageDeliveries.SegmentCount",
    "Principal": "principal-process-steward",
    "TargetField": "MessageDeliveries.SegmentCount",
    "CanRead": true,
    "CanWrite": false,
    "MaskStrategy": "plain",
    "SemanticTypeIri": "urn:effortless:pko-extension#FieldGrant",
    "Name": "principal-process-steward -&gt; MessageDeliveries.SegmentCount",
    "FieldTable": "MessageDeliveries",
    "FieldName": "SegmentCount",
    "FieldIsDerived": true,
    "IsWritableDerivedField": false,
    "IsMasked": false,
    "GrantKeyWhenReadable": "principal-process-steward|MessageDeliveries"
   },
   {
    "FieldGrantId": "fg-process-steward-MessageDeliveries.PolicyMaxSegmentsAtSend",
    "Principal": "principal-process-steward",
    "TargetField": "MessageDeliveries.PolicyMaxSegmentsAtSend",
    "CanRead": true,
    "CanWrite": false,
    "MaskStrategy": "plain",
    "SemanticTypeIri": "urn:effortless:pko-extension#FieldGrant",
    "Name": "principal-process-steward -&gt; MessageDeliveries.PolicyMaxSegmentsAtSend",
    "FieldTable": "MessageDeliveries",
    "FieldName": "PolicyMaxSegmentsAtSend",
    "FieldIsDerived": true,
    "IsWritableDerivedField": false,
    "IsMasked": false,
    "GrantKeyWhenReadable": "principal-process-steward|MessageDeliveries"
   },
   {
    "FieldGrantId": "fg-process-steward-MessageDeliveries.IsOverSegmentLimit",
    "Principal": "principal-process-steward",
    "TargetField": "MessageDeliveries.IsOverSegmentLimit",
    "CanRead": true,
    "CanWrite": false,
    "MaskStrategy": "plain",
    "SemanticTypeIri": "urn:effortless:pko-extension#FieldGrant",
    "Name": "principal-process-steward -&gt; MessageDeliveries.IsOverSegmentLimit",
    "FieldTable": "MessageDeliveries",
    "FieldName": "IsOverSegmentLimit",
    "FieldIsDerived": true,
    "IsWritableDerivedField": false,
    "IsMasked": false,
    "GrantKeyWhenReadable": "principal-process-steward|MessageDeliveries"
   },
   {
    "FieldGrantId": "fg-process-steward-MessageDeliveries.TemplateHasValidApproval",
    "Principal": "principal-process-steward",
    "TargetField": "MessageDeliveries.TemplateHasValidApproval",
    "CanRead": true,
    "CanWrite": false,
    "MaskStrategy": "plain",
    "SemanticTypeIri": "urn:effortless:pko-extension#FieldGrant",
    "Name": "principal-process-steward -&gt; MessageDeliveries.TemplateHasValidApproval",
    "FieldTable": "MessageDeliveries",
    "FieldName": "TemplateHasValidApproval",
    "FieldIsDerived": true,
    "IsWritableDerivedField": false,
    "IsMasked": false,
    "GrantKeyWhenReadable": "principal-process-steward|MessageDeliveries"
   },
   {
    "FieldGrantId": "fg-process-steward-MessageDeliveries.IsUnapprovedSend",
    "Principal": "principal-process-steward",
    "TargetField": "MessageDeliveries.IsUnapprovedSend",
    "CanRead": true,
    "CanWrite": false,
    "MaskStrategy": "plain",
    "SemanticTypeIri": "urn:effortless:pko-extension#FieldGrant",
    "Name": "principal-process-steward -&gt; MessageDeliveries.IsUnapprovedSend",
    "FieldTable": "MessageDeliveries",
    "FieldName": "IsUnapprovedSend",
    "FieldIsDerived": true,
    "IsWritableDerivedField": false,
    "IsMasked": false,
    "GrantKeyWhenReadable": "principal-process-steward|MessageDeliveries"
   },
   {
    "FieldGrantId": "fg-process-steward-MessageDeliveries.PolicyRequiredOptOutPhrase",
    "Principal": "principal-process-steward",
    "TargetField": "MessageDeliveries.PolicyRequiredOptOutPhrase",
    "CanRead": true,
    "CanWrite": false,
    "MaskStrategy": "plain",
    "SemanticTypeIri": "urn:effortless:pko-extension#FieldGrant",
    "Name": "principal-process-steward -&gt; MessageDeliveries.PolicyRequiredOptOutPhrase",
    "FieldTable": "MessageDeliveries",
    "FieldName": "PolicyRequiredOptOutPhrase",
    "FieldIsDerived": true,
    "IsWritableDerivedField": false,
    "IsMasked": false,
    "GrantKeyWhenReadable": "principal-process-steward|MessageDeliveries"
   },
   {
    "FieldGrantId": "fg-process-steward-MessageDeliveries.PolicyRequiresOptOut",
    "Principal": "principal-process-steward",
    "TargetField": "MessageDeliveries.PolicyRequiresOptOut",
    "CanRead": true,
    "CanWrite": false,
    "MaskStrategy": "plain",
    "SemanticTypeIri": "urn:effortless:pko-extension#FieldGrant",
    "Name": "principal-process-steward -&gt; MessageDeliveries.PolicyRequiresOptOut",
    "FieldTable": "MessageDeliveries",
    "FieldName": "PolicyRequiresOptOut",
    "FieldIsDerived": true,
    "IsWritableDerivedField": false,
    "IsMasked": false,
    "GrantKeyWhenReadable": "principal-process-steward|MessageDeliveries"
   },
   {
    "FieldGrantId": "fg-process-steward-MessageDeliveries.OptOutPhrasePosition",
    "Principal": "principal-process-steward",
    "TargetField": "MessageDeliveries.OptOutPhrasePosition",
    "CanRead": true,
    "CanWrite": false,
    "MaskStrategy": "plain",
    "SemanticTypeIri": "urn:effortless:pko-extension#FieldGrant",
    "Name": "principal-process-steward -&gt; MessageDeliveries.OptOutPhrasePosition",
    "FieldTable": "MessageDeliveries",
    "FieldName": "OptOutPhrasePosition",
    "FieldIsDerived": true,
    "IsWritableDerivedField": false,
    "IsMasked": false,
    "GrantKeyWhenReadable": "principal-process-steward|MessageDeliveries"
   },
   {
    "FieldGrantId": "fg-process-steward-MessageDeliveries.HasOptOutPhrase",
    "Principal": "principal-process-steward",
    "TargetField": "MessageDeliveries.HasOptOutPhrase",
    "CanRead": true,
    "CanWrite": false,
    "MaskStrategy": "plain",
    "SemanticTypeIri": "urn:effortless:pko-extension#FieldGrant",
    "Name": "principal-process-steward -&gt; MessageDeliveries.HasOptOutPhrase",
    "FieldTable": "MessageDeliveries",
    "FieldName": "HasOptOutPhrase",
    "FieldIsDerived": true,
    "IsWritableDerivedField": false,
    "IsMasked": false,
    "GrantKeyWhenReadable": "principal-process-steward|MessageDeliveries"
   },
   {
    "FieldGrantId": "fg-process-steward-MessageDeliveries.IsOptOutInFirstSegment",
    "Principal": "principal-process-steward",
    "TargetField": "MessageDeliveries.IsOptOutInFirstSegment",
    "CanRead": true,
    "CanWrite": false,
    "MaskStrategy": "plain",
    "SemanticTypeIri": "urn:effortless:pko-extension#FieldGrant",
    "Name": "principal-process-steward -&gt; MessageDeliveries.IsOptOutInFirstSegment",
    "FieldTable": "MessageDeliveries",
    "FieldName": "IsOptOutInFirstSegment",
    "FieldIsDerived": true,
    "IsWritableDerivedField": false,
    "IsMasked": false,
    "GrantKeyWhenReadable": "principal-process-steward|MessageDeliveries"
   },
   {
    "FieldGrantId": "fg-process-steward-MessageDeliveries.IsMissingRequiredOptOut",
    "Principal": "principal-process-steward",
    "TargetField": "MessageDeliveries.IsMissingRequiredOptOut",
    "CanRead": true,
    "CanWrite": false,
    "MaskStrategy": "plain",
    "SemanticTypeIri": "urn:effortless:pko-extension#FieldGrant",
    "Name": "principal-process-steward -&gt; MessageDeliveries.IsMissingRequiredOptOut",
    "FieldTable": "MessageDeliveries",
    "FieldName": "IsMissingRequiredOptOut",
    "FieldIsDerived": true,
    "IsWritableDerivedField": false,
    "IsMasked": false,
    "GrantKeyWhenReadable": "principal-process-steward|MessageDeliveries"
   },
   {
    "FieldGrantId": "fg-process-steward-MessageDeliveries.IsOptOutAtRiskOfTruncation",
    "Principal": "principal-process-steward",
    "TargetField": "MessageDeliveries.IsOptOutAtRiskOfTruncation",
    "CanRead": true,
    "CanWrite": false,
    "MaskStrategy": "plain",
    "SemanticTypeIri": "urn:effortless:pko-extension#FieldGrant",
    "Name": "principal-process-steward -&gt; MessageDeliveries.IsOptOutAtRiskOfTruncation",
    "FieldTable": "MessageDeliveries",
    "FieldName": "IsOptOutAtRiskOfTruncation",
    "FieldIsDerived": true,
    "IsWritableDerivedField": false,
    "IsMasked": false,
    "GrantKeyWhenReadable": "principal-process-steward|MessageDeliveries"
   },
   {
    "FieldGrantId": "fg-process-steward-MessageDeliveries.IsFailedDelivery",
    "Principal": "principal-process-steward",
    "TargetField": "MessageDeliveries.IsFailedDelivery",
    "CanRead": true,
    "CanWrite": false,
    "MaskStrategy": "plain",
    "SemanticTypeIri": "urn:effortless:pko-extension#FieldGrant",
    "Name": "principal-process-steward -&gt; MessageDeliveries.IsFailedDelivery",
    "FieldTable": "MessageDeliveries",
    "FieldName": "IsFailedDelivery",
    "FieldIsDerived": true,
    "IsWritableDerivedField": false,
    "IsMasked": false,
    "GrantKeyWhenReadable": "principal-process-steward|MessageDeliveries"
   },
   {
    "FieldGrantId": "fg-process-steward-MessageDeliveries.IsSuppressed",
    "Principal": "principal-process-steward",
    "TargetField": "MessageDeliveries.IsSuppressed",
    "CanRead": true,
    "CanWrite": false,
    "MaskStrategy": "plain",
    "SemanticTypeIri": "urn:effortless:pko-extension#FieldGrant",
    "Name": "principal-process-steward -&gt; MessageDeliveries.IsSuppressed",
    "FieldTable": "MessageDeliveries",
    "FieldName": "IsSuppressed",
    "FieldIsDerived": true,
    "IsWritableDerivedField": false,
    "IsMasked": false,
    "GrantKeyWhenReadable": "principal-process-steward|MessageDeliveries"
   },
   {
    "FieldGrantId": "fg-process-steward-MessageDeliveries.IsTriaged",
    "Principal": "principal-process-steward",
    "TargetField": "MessageDeliveries.IsTriaged",
    "CanRead": true,
    "CanWrite": false,
    "MaskStrategy": "plain",
    "SemanticTypeIri": "urn:effortless:pko-extension#FieldGrant",
    "Name": "principal-process-steward -&gt; MessageDeliveries.IsTriaged",
    "FieldTable": "MessageDeliveries",
    "FieldName": "IsTriaged",
    "FieldIsDerived": true,
    "IsWritableDerivedField": false,
    "IsMasked": false,
    "GrantKeyWhenReadable": "principal-process-steward|MessageDeliveries"
   },
   {
    "FieldGrantId": "fg-process-steward-MessageDeliveries.IsAbandonedFailure",
    "Principal": "principal-process-steward",
    "TargetField": "MessageDeliveries.IsAbandonedFailure",
    "CanRead": true,
    "CanWrite": false,
    "MaskStrategy": "plain",
    "SemanticTypeIri": "urn:effortless:pko-extension#FieldGrant",
    "Name": "principal-process-steward -&gt; MessageDeliveries.IsAbandonedFailure",
    "FieldTable": "MessageDeliveries",
    "FieldName": "IsAbandonedFailure",
    "FieldIsDerived": true,
    "IsWritableDerivedField": false,
    "IsMasked": false,
    "GrantKeyWhenReadable": "principal-process-steward|MessageDeliveries"
   },
   {
    "FieldGrantId": "fg-process-steward-MessageDeliveries.AbandonedFailureExecutionKey",
    "Principal": "principal-process-steward",
    "TargetField": "MessageDeliveries.AbandonedFailureExecutionKey",
    "CanRead": true,
    "CanWrite": false,
    "MaskStrategy": "plain",
    "SemanticTypeIri": "urn:effortless:pko-extension#FieldGrant",
    "Name": "principal-process-steward -&gt; MessageDeliveries.AbandonedFailureExecutionKey",
    "FieldTable": "MessageDeliveries",
    "FieldName": "AbandonedFailureExecutionKey",
    "FieldIsDerived": true,
    "IsWritableDerivedField": false,
    "IsMasked": false,
    "GrantKeyWhenReadable": "principal-process-steward|MessageDeliveries"
   },
   {
    "FieldGrantId": "fg-process-steward-MessageDeliveries.ReachedExecutionKey",
    "Principal": "principal-process-steward",
    "TargetField": "MessageDeliveries.ReachedExecutionKey",
    "CanRead": true,
    "CanWrite": false,
    "MaskStrategy": "plain",
    "SemanticTypeIri": "urn:effortless:pko-extension#FieldGrant",
    "Name": "principal-process-steward -&gt; MessageDeliveries.ReachedExecutionKey",
    "FieldTable": "MessageDeliveries",
    "FieldName": "ReachedExecutionKey",
    "FieldIsDerived": true,
    "IsWritableDerivedField": false,
    "IsMasked": false,
    "GrantKeyWhenReadable": "principal-process-steward|MessageDeliveries"
   },
   {
    "FieldGrantId": "fg-process-steward-MessageDeliveries.TemplateWasSendable",
    "Principal": "principal-process-steward",
    "TargetField": "MessageDeliveries.TemplateWasSendable",
    "CanRead": true,
    "CanWrite": false,
    "MaskStrategy": "plain",
    "SemanticTypeIri": "urn:effortless:pko-extension#FieldGrant",
    "Name": "principal-process-steward -&gt; MessageDeliveries.TemplateWasSendable",
    "FieldTable": "MessageDeliveries",
    "FieldName": "TemplateWasSendable",
    "FieldIsDerived": true,
    "IsWritableDerivedField": false,
    "IsMasked": false,
    "GrantKeyWhenReadable": "principal-process-steward|MessageDeliveries"
   },
   {
    "FieldGrantId": "fg-process-steward-MessageDeliveries.IsDriftedSend",
    "Principal": "principal-process-steward",
    "TargetField": "MessageDeliveries.IsDriftedSend",
    "CanRead": true,
    "CanWrite": false,
    "MaskStrategy": "plain",
    "SemanticTypeIri": "urn:effortless:pko-extension#FieldGrant",
    "Name": "principal-process-steward -&gt; MessageDeliveries.IsDriftedSend",
    "FieldTable": "MessageDeliveries",
    "FieldName": "IsDriftedSend",
    "FieldIsDerived": true,
    "IsWritableDerivedField": false,
    "IsMasked": false,
    "GrantKeyWhenReadable": "principal-process-steward|MessageDeliveries"
   },
   {
    "FieldGrantId": "fg-process-steward-MessageDeliveries.DriftedSendTemplateKey",
    "Principal": "principal-process-steward",
    "TargetField": "MessageDeliveries.DriftedSendTemplateKey",
    "CanRead": true,
    "CanWrite": false,
    "MaskStrategy": "plain",
    "SemanticTypeIri": "urn:effortless:pko-extension#FieldGrant",
    "Name": "principal-process-steward -&gt; MessageDeliveries.DriftedSendTemplateKey",
    "FieldTable": "MessageDeliveries",
    "FieldName": "DriftedSendTemplateKey",
    "FieldIsDerived": true,
    "IsWritableDerivedField": false,
    "IsMasked": false,
    "GrantKeyWhenReadable": "principal-process-steward|MessageDeliveries"
   },
   {
    "FieldGrantId": "fg-process-steward-MessageDeliveries.WasSentOutsideBusinessHours",
    "Principal": "principal-process-steward",
    "TargetField": "MessageDeliveries.WasSentOutsideBusinessHours",
    "CanRead": true,
    "CanWrite": false,
    "MaskStrategy": "plain",
    "SemanticTypeIri": "urn:effortless:pko-extension#FieldGrant",
    "Name": "principal-process-steward -&gt; MessageDeliveries.WasSentOutsideBusinessHours",
    "FieldTable": "MessageDeliveries",
    "FieldName": "WasSentOutsideBusinessHours",
    "FieldIsDerived": true,
    "IsWritableDerivedField": false,
    "IsMasked": false,
    "GrantKeyWhenReadable": "principal-process-steward|MessageDeliveries"
   },
   {
    "FieldGrantId": "fg-process-steward-MessageDeliveries.WasDeliveredAndUnanswered",
    "Principal": "principal-process-steward",
    "TargetField": "MessageDeliveries.WasDeliveredAndUnanswered",
    "CanRead": true,
    "CanWrite": false,
    "MaskStrategy": "plain",
    "SemanticTypeIri": "urn:effortless:pko-extension#FieldGrant",
    "Name": "principal-process-steward -&gt; MessageDeliveries.WasDeliveredAndUnanswered",
    "FieldTable": "MessageDeliveries",
    "FieldName": "WasDeliveredAndUnanswered",
    "FieldIsDerived": true,
    "IsWritableDerivedField": false,
    "IsMasked": false,
    "GrantKeyWhenReadable": "principal-process-steward|MessageDeliveries"
   },
   {
    "FieldGrantId": "fg-process-steward-MessageDeliveries.IsPoorlyTimedUnanswered",
    "Principal": "principal-process-steward",
    "TargetField": "MessageDeliveries.IsPoorlyTimedUnanswered",
    "CanRead": true,
    "CanWrite": false,
    "MaskStrategy": "plain",
    "SemanticTypeIri": "urn:effortless:pko-extension#FieldGrant",
    "Name": "principal-process-steward -&gt; MessageDeliveries.IsPoorlyTimedUnanswered",
    "FieldTable": "MessageDeliveries",
    "FieldName": "IsPoorlyTimedUnanswered",
    "FieldIsDerived": true,
    "IsWritableDerivedField": false,
    "IsMasked": false,
    "GrantKeyWhenReadable": "principal-process-steward|MessageDeliveries"
   },
   {
    "FieldGrantId": "fg-process-steward-MessageDeliveries.IsWellTimedUnanswered",
    "Principal": "principal-process-steward",
    "TargetField": "MessageDeliveries.IsWellTimedUnanswered",
    "CanRead": true,
    "CanWrite": false,
    "MaskStrategy": "plain",
    "SemanticTypeIri": "urn:effortless:pko-extension#FieldGrant",
    "Name": "principal-process-steward -&gt; MessageDeliveries.IsWellTimedUnanswered",
    "FieldTable": "MessageDeliveries",
    "FieldName": "IsWellTimedUnanswered",
    "FieldIsDerived": true,
    "IsWritableDerivedField": false,
    "IsMasked": false,
    "GrantKeyWhenReadable": "principal-process-steward|MessageDeliveries"
   },
   {
    "FieldGrantId": "fg-process-steward-MessageDeliveries.UnansweredTemplateKey",
    "Principal": "principal-process-steward",
    "TargetField": "MessageDeliveries.UnansweredTemplateKey",
    "CanRead": true,
    "CanWrite": false,
    "MaskStrategy": "plain",
    "SemanticTypeIri": "urn:effortless:pko-extension#FieldGrant",
    "Name": "principal-process-steward -&gt; MessageDeliveries.UnansweredTemplateKey",
    "FieldTable": "MessageDeliveries",
    "FieldName": "UnansweredTemplateKey",
    "FieldIsDerived": true,
    "IsWritableDerivedField": false,
    "IsMasked": false,
    "GrantKeyWhenReadable": "principal-process-steward|MessageDeliveries"
   },
   {
    "FieldGrantId": "fg-process-steward-MessageDeliveries.TransmittedTemplateKey",
    "Principal": "principal-process-steward",
    "TargetField": "MessageDeliveries.TransmittedTemplateKey",
    "CanRead": true,
    "CanWrite": false,
    "MaskStrategy": "plain",
    "SemanticTypeIri": "urn:effortless:pko-extension#FieldGrant",
    "Name": "principal-process-steward -&gt; MessageDeliveries.TransmittedTemplateKey",
    "FieldTable": "MessageDeliveries",
    "FieldName": "TransmittedTemplateKey",
    "FieldIsDerived": true,
    "IsWritableDerivedField": false,
    "IsMasked": false,
    "GrantKeyWhenReadable": "principal-process-steward|MessageDeliveries"
   },
   {
    "FieldGrantId": "fg-process-steward-MessageDeliveries.ApprovingAgentAtSend",
    "Principal": "principal-process-steward",
    "TargetField": "MessageDeliveries.ApprovingAgentAtSend",
    "CanRead": true,
    "CanWrite": false,
    "MaskStrategy": "plain",
    "SemanticTypeIri": "urn:effortless:pko-extension#FieldGrant",
    "Name": "principal-process-steward -&gt; MessageDeliveries.ApprovingAgentAtSend",
    "FieldTable": "MessageDeliveries",
    "FieldName": "ApprovingAgentAtSend",
    "FieldIsDerived": false,
    "IsWritableDerivedField": false,
    "IsMasked": false,
    "GrantKeyWhenReadable": "principal-process-steward|MessageDeliveries"
   },
   {
    "FieldGrantId": "fg-process-steward-MessageDeliveries.ApprovingRoleAtSend",
    "Principal": "principal-process-steward",
    "TargetField": "MessageDeliveries.ApprovingRoleAtSend",
    "CanRead": true,
    "CanWrite": false,
    "MaskStrategy": "plain",
    "SemanticTypeIri": "urn:effortless:pko-extension#FieldGrant",
    "Name": "principal-process-steward -&gt; MessageDeliveries.ApprovingRoleAtSend",
    "FieldTable": "MessageDeliveries",
    "FieldName": "ApprovingRoleAtSend",
    "FieldIsDerived": false,
    "IsWritableDerivedField": false,
    "IsMasked": false,
    "GrantKeyWhenReadable": "principal-process-steward|MessageDeliveries"
   },
   {
    "FieldGrantId": "fg-process-steward-MessageDeliveries.ApprovalDecidedAtSend",
    "Principal": "principal-process-steward",
    "TargetField": "MessageDeliveries.ApprovalDecidedAtSend",
    "CanRead": true,
    "CanWrite": false,
    "MaskStrategy": "plain",
    "SemanticTypeIri": "urn:effortless:pko-extension#FieldGrant",
    "Name": "principal-process-steward -&gt; MessageDeliveries.ApprovalDecidedAtSend",
    "FieldTable": "MessageDeliveries",
    "FieldName": "ApprovalDecidedAtSend",
    "FieldIsDerived": false,
    "IsWritableDerivedField": false,
    "IsMasked": false,
    "GrantKeyWhenReadable": "principal-process-steward|MessageDeliveries"
   },
   {
    "FieldGrantId": "fg-process-steward-MessageDeliveries.ApprovalPrecededSend",
    "Principal": "principal-process-steward",
    "TargetField": "MessageDeliveries.ApprovalPrecededSend",
    "CanRead": true,
    "CanWrite": false,
    "MaskStrategy": "plain",
    "SemanticTypeIri": "urn:effortless:pko-extension#FieldGrant",
    "Name": "principal-process-steward -&gt; MessageDeliveries.ApprovalPrecededSend",
    "FieldTable": "MessageDeliveries",
    "FieldName": "ApprovalPrecededSend",
    "FieldIsDerived": true,
    "IsWritableDerivedField": false,
    "IsMasked": false,
    "GrantKeyWhenReadable": "principal-process-steward|MessageDeliveries"
   },
   {
    "FieldGrantId": "fg-process-steward-MessageDeliveries.HasFrozenApprovalEvidence",
    "Principal": "principal-process-steward",
    "TargetField": "MessageDeliveries.HasFrozenApprovalEvidence",
    "CanRead": true,
    "CanWrite": false,
    "MaskStrategy": "plain",
    "SemanticTypeIri": "urn:effortless:pko-extension#FieldGrant",
    "Name": "principal-process-steward -&gt; MessageDeliveries.HasFrozenApprovalEvidence",
    "FieldTable": "MessageDeliveries",
    "FieldName": "HasFrozenApprovalEvidence",
    "FieldIsDerived": true,
    "IsWritableDerivedField": false,
    "IsMasked": false,
    "GrantKeyWhenReadable": "principal-process-steward|MessageDeliveries"
   },
   {
    "FieldGrantId": "fg-process-steward-MessageDeliveries.ProvenanceIsLiveDerived",
    "Principal": "principal-process-steward",
    "TargetField": "MessageDeliveries.ProvenanceIsLiveDerived",
    "CanRead": true,
    "CanWrite": false,
    "MaskStrategy": "plain",
    "SemanticTypeIri": "urn:effortless:pko-extension#FieldGrant",
    "Name": "principal-process-steward -&gt; MessageDeliveries.ProvenanceIsLiveDerived",
    "FieldTable": "MessageDeliveries",
    "FieldName": "ProvenanceIsLiveDerived",
    "FieldIsDerived": true,
    "IsWritableDerivedField": false,
    "IsMasked": false,
    "GrantKeyWhenReadable": "principal-process-steward|MessageDeliveries"
   },
   {
    "FieldGrantId": "fg-process-steward-MessageDeliveries.CurrentLastApprovalAt",
    "Principal": "principal-process-steward",
    "TargetField": "MessageDeliveries.CurrentLastApprovalAt",
    "CanRead": true,
    "CanWrite": false,
    "MaskStrategy": "plain",
    "SemanticTypeIri": "urn:effortless:pko-extension#FieldGrant",
    "Name": "principal-process-steward -&gt; MessageDeliveries.CurrentLastApprovalAt",
    "FieldTable": "MessageDeliveries",
    "FieldName": "CurrentLastApprovalAt",
    "FieldIsDerived": true,
    "IsWritableDerivedField": false,
    "IsMasked": false,
    "GrantKeyWhenReadable": "principal-process-steward|MessageDeliveries"
   },
   {
    "FieldGrantId": "fg-process-steward-MessageDeliveries.TemplateReapprovedSinceSend",
    "Principal": "principal-process-steward",
    "TargetField": "MessageDeliveries.TemplateReapprovedSinceSend",
    "CanRead": true,
    "CanWrite": false,
    "MaskStrategy": "plain",
    "SemanticTypeIri": "urn:effortless:pko-extension#FieldGrant",
    "Name": "principal-process-steward -&gt; MessageDeliveries.TemplateReapprovedSinceSend",
    "FieldTable": "MessageDeliveries",
    "FieldName": "TemplateReapprovedSinceSend",
    "FieldIsDerived": true,
    "IsWritableDerivedField": false,
    "IsMasked": false,
    "GrantKeyWhenReadable": "principal-process-steward|MessageDeliveries"
   },
   {
    "FieldGrantId": "fg-process-steward-MessageDeliveries.IsUnprovableApprovalClaim",
    "Principal": "principal-process-steward",
    "TargetField": "MessageDeliveries.IsUnprovableApprovalClaim",
    "CanRead": true,
    "CanWrite": false,
    "MaskStrategy": "plain",
    "SemanticTypeIri": "urn:effortless:pko-extension#FieldGrant",
    "Name": "principal-process-steward -&gt; MessageDeliveries.IsUnprovableApprovalClaim",
    "FieldTable": "MessageDeliveries",
    "FieldName": "IsUnprovableApprovalClaim",
    "FieldIsDerived": true,
    "IsWritableDerivedField": false,
    "IsMasked": false,
    "GrantKeyWhenReadable": "principal-process-steward|MessageDeliveries"
   },
   {
    "FieldGrantId": "fg-process-steward-MessageDeliveries.ReminderSentAt",
    "Principal": "principal-process-steward",
    "TargetField": "MessageDeliveries.ReminderSentAt",
    "CanRead": true,
    "CanWrite": false,
    "MaskStrategy": "plain",
    "SemanticTypeIri": "urn:effortless:pko-extension#FieldGrant",
    "Name": "principal-process-steward -&gt; MessageDeliveries.ReminderSentAt",
    "FieldTable": "MessageDeliveries",
    "FieldName": "ReminderSentAt",
    "FieldIsDerived": false,
    "IsWritableDerivedField": false,
    "IsMasked": false,
    "GrantKeyWhenReadable": "principal-process-steward|MessageDeliveries"
</t>
  </si>
  <si>
    <t xml:space="preserve">   },
   {
    "FieldGrantId": "fg-process-steward-MessageDeliveries.ReminderCount",
    "Principal": "principal-process-steward",
    "TargetField": "MessageDeliveries.ReminderCount",
    "CanRead": true,
    "CanWrite": false,
    "MaskStrategy": "plain",
    "SemanticTypeIri": "urn:effortless:pko-extension#FieldGrant",
    "Name": "principal-process-steward -&gt; MessageDeliveries.ReminderCount",
    "FieldTable": "MessageDeliveries",
    "FieldName": "ReminderCount",
    "FieldIsDerived": false,
    "IsWritableDerivedField": false,
    "IsMasked": false,
    "GrantKeyWhenReadable": "principal-process-steward|MessageDeliveries"
   },
   {
    "FieldGrantId": "fg-process-steward-MessageDeliveries.HasSentReminder",
    "Principal": "principal-process-steward",
    "TargetField": "MessageDeliveries.HasSentReminder",
    "CanRead": true,
    "CanWrite": false,
    "MaskStrategy": "plain",
    "SemanticTypeIri": "urn:effortless:pko-extension#FieldGrant",
    "Name": "principal-process-steward -&gt; MessageDeliveries.HasSentReminder",
    "FieldTable": "MessageDeliveries",
    "FieldName": "HasSentReminder",
    "FieldIsDerived": true,
    "IsWritableDerivedField": false,
    "IsMasked": false,
    "GrantKeyWhenReadable": "principal-process-steward|MessageDeliveries"
   },
   {
    "FieldGrantId": "fg-process-steward-MessageDeliveries.AcknowledgementIsOutstanding",
    "Principal": "principal-process-steward",
    "TargetField": "MessageDeliveries.AcknowledgementIsOutstanding",
    "CanRead": true,
    "CanWrite": false,
    "MaskStrategy": "plain",
    "SemanticTypeIri": "urn:effortless:pko-extension#FieldGrant",
    "Name": "principal-process-steward -&gt; MessageDeliveries.AcknowledgementIsOutstanding",
    "FieldTable": "MessageDeliveries",
    "FieldName": "AcknowledgementIsOutstanding",
    "FieldIsDerived": true,
    "IsWritableDerivedField": false,
    "IsMasked": false,
    "GrantKeyWhenReadable": "principal-process-steward|MessageDeliveries"
   },
   {
    "FieldGrantId": "fg-process-steward-MessageDeliveries.OutstandingAgeDays",
    "Principal": "principal-process-steward",
    "TargetField": "MessageDeliveries.OutstandingAgeDays",
    "CanRead": true,
    "CanWrite": false,
    "MaskStrategy": "plain",
    "SemanticTypeIri": "urn:effortless:pko-extension#FieldGrant",
    "Name": "principal-process-steward -&gt; MessageDeliveries.OutstandingAgeDays",
    "FieldTable": "MessageDeliveries",
    "FieldName": "OutstandingAgeDays",
    "FieldIsDerived": true,
    "IsWritableDerivedField": false,
    "IsMasked": false,
    "GrantKeyWhenReadable": "principal-process-steward|MessageDeliveries"
   },
   {
    "FieldGrantId": "fg-process-steward-MessageDeliveries.IsUnchasedAcknowledgement",
    "Principal": "principal-process-steward",
    "TargetField": "MessageDeliveries.IsUnchasedAcknowledgement",
    "CanRead": true,
    "CanWrite": false,
    "MaskStrategy": "plain",
    "SemanticTypeIri": "urn:effortless:pko-extension#FieldGrant",
    "Name": "principal-process-steward -&gt; MessageDeliveries.IsUnchasedAcknowledgement",
    "FieldTable": "MessageDeliveries",
    "FieldName": "IsUnchasedAcknowledgement",
    "FieldIsDerived": true,
    "IsWritableDerivedField": false,
    "IsMasked": false,
    "GrantKeyWhenReadable": "principal-process-steward|MessageDeliveries"
   },
   {
    "FieldGrantId": "fg-process-steward-MessageDeliveries.IsExhaustedFollowUp",
    "Principal": "principal-process-steward",
    "TargetField": "MessageDeliveries.IsExhaustedFollowUp",
    "CanRead": true,
    "CanWrite": false,
    "MaskStrategy": "plain",
    "SemanticTypeIri": "urn:effortless:pko-extension#FieldGrant",
    "Name": "principal-process-steward -&gt; MessageDeliveries.IsExhaustedFollowUp",
    "FieldTable": "MessageDeliveries",
    "FieldName": "IsExhaustedFollowUp",
    "FieldIsDerived": true,
    "IsWritableDerivedField": false,
    "IsMasked": false,
    "GrantKeyWhenReadable": "principal-process-steward|MessageDeliveries"
   },
   {
    "FieldGrantId": "fg-process-steward-MessageDeliveries.NeedsHumanEscalation",
    "Principal": "principal-process-steward",
    "TargetField": "MessageDeliveries.NeedsHumanEscalation",
    "CanRead": true,
    "CanWrite": false,
    "MaskStrategy": "plain",
    "SemanticTypeIri": "urn:effortless:pko-extension#FieldGrant",
    "Name": "principal-process-steward -&gt; MessageDeliveries.NeedsHumanEscalation",
    "FieldTable": "MessageDeliveries",
    "FieldName": "NeedsHumanEscalation",
    "FieldIsDerived": true,
    "IsWritableDerivedField": false,
    "IsMasked": false,
    "GrantKeyWhenReadable": "principal-process-steward|MessageDeliveries"
   },
   {
    "FieldGrantId": "fg-process-steward-MessageDeliveries.SemanticTypeIri",
    "Principal": "principal-process-steward",
    "TargetField": "MessageDeliveries.SemanticTypeIri",
    "CanRead": true,
    "CanWrite": false,
    "MaskStrategy": "plain",
    "SemanticTypeIri": "urn:effortless:pko-extension#FieldGrant",
    "Name": "principal-process-steward -&gt; MessageDeliveries.SemanticTypeIri",
    "FieldTable": "MessageDeliveries",
    "FieldName": "SemanticTypeIri",
    "FieldIsDerived": false,
    "IsWritableDerivedField": false,
    "IsMasked": false,
    "GrantKeyWhenReadable": "principal-process-steward|MessageDeliveries"
   },
   {
    "FieldGrantId": "fg-process-steward-MessageTemplates.MessageTemplateId",
    "Principal": "principal-process-steward",
    "TargetField": "MessageTemplates.MessageTemplateId",
    "CanRead": true,
    "CanWrite": false,
    "MaskStrategy": "plain",
    "SemanticTypeIri": "urn:effortless:pko-extension#FieldGrant",
    "Name": "principal-process-steward -&gt; MessageTemplates.MessageTemplateId",
    "FieldTable": "MessageTemplates",
    "FieldName": "MessageTemplateId",
    "FieldIsDerived": false,
    "IsWritableDerivedField": false,
    "IsMasked": false,
    "GrantKeyWhenReadable": "principal-process-steward|MessageTemplates"
   },
   {
    "FieldGrantId": "fg-process-steward-MessageTemplates.Name",
    "Principal": "principal-process-steward",
    "TargetField": "MessageTemplates.Name",
    "CanRead": true,
    "CanWrite": false,
    "MaskStrategy": "plain",
    "SemanticTypeIri": "urn:effortless:pko-extension#FieldGrant",
    "Name": "principal-process-steward -&gt; MessageTemplates.Name",
    "FieldTable": "MessageTemplates",
    "FieldName": "Name",
    "FieldIsDerived": true,
    "IsWritableDerivedField": false,
    "IsMasked": false,
    "GrantKeyWhenReadable": "principal-process-steward|MessageTemplates"
   },
   {
    "FieldGrantId": "fg-process-steward-MessageTemplates.CommunicationPolicy",
    "Principal": "principal-process-steward",
    "TargetField": "MessageTemplates.CommunicationPolicy",
    "CanRead": true,
    "CanWrite": false,
    "MaskStrategy": "plain",
    "SemanticTypeIri": "urn:effortless:pko-extension#FieldGrant",
    "Name": "principal-process-steward -&gt; MessageTemplates.CommunicationPolicy",
    "FieldTable": "MessageTemplates",
    "FieldName": "CommunicationPolicy",
    "FieldIsDerived": false,
    "IsWritableDerivedField": false,
    "IsMasked": false,
    "GrantKeyWhenReadable": "principal-process-steward|MessageTemplates"
   },
   {
    "FieldGrantId": "fg-process-steward-MessageTemplates.Resource",
    "Principal": "principal-process-steward",
    "TargetField": "MessageTemplates.Resource",
    "CanRead": true,
    "CanWrite": false,
    "MaskStrategy": "plain",
    "SemanticTypeIri": "urn:effortless:pko-extension#FieldGrant",
    "Name": "principal-process-steward -&gt; MessageTemplates.Resource",
    "FieldTable": "MessageTemplates",
    "FieldName": "Resource",
    "FieldIsDerived": false,
    "IsWritableDerivedField": false,
    "IsMasked": false,
    "GrantKeyWhenReadable": "principal-process-steward|MessageTemplates"
   },
   {
    "FieldGrantId": "fg-process-steward-MessageTemplates.SubjectTemplate",
    "Principal": "principal-process-steward",
    "TargetField": "MessageTemplates.SubjectTemplate",
    "CanRead": true,
    "CanWrite": false,
    "MaskStrategy": "plain",
    "SemanticTypeIri": "urn:effortless:pko-extension#FieldGrant",
    "Name": "principal-process-steward -&gt; MessageTemplates.SubjectTemplate",
    "FieldTable": "MessageTemplates",
    "FieldName": "SubjectTemplate",
    "FieldIsDerived": false,
    "IsWritableDerivedField": false,
    "IsMasked": false,
    "GrantKeyWhenReadable": "principal-process-steward|MessageTemplates"
   },
   {
    "FieldGrantId": "fg-process-steward-MessageTemplates.BodyTemplate",
    "Principal": "principal-process-steward",
    "TargetField": "MessageTemplates.BodyTemplate",
    "CanRead": true,
    "CanWrite": false,
    "MaskStrategy": "plain",
    "SemanticTypeIri": "urn:effortless:pko-extension#FieldGrant",
    "Name": "principal-process-steward -&gt; MessageTemplates.BodyTemplate",
    "FieldTable": "MessageTemplates",
    "FieldName": "BodyTemplate",
    "FieldIsDerived": false,
    "IsWritableDerivedField": false,
    "IsMasked": false,
    "GrantKeyWhenReadable": "principal-process-steward|MessageTemplates"
   },
   {
    "FieldGrantId": "fg-process-steward-MessageTemplates.Locale",
    "Principal": "principal-process-steward",
    "TargetField": "MessageTemplates.Locale",
    "CanRead": true,
    "CanWrite": false,
    "MaskStrategy": "plain",
    "SemanticTypeIri": "urn:effortless:pko-extension#FieldGrant",
    "Name": "principal-process-steward -&gt; MessageTemplates.Locale",
    "FieldTable": "MessageTemplates",
    "FieldName": "Locale",
    "FieldIsDerived": false,
    "IsWritableDerivedField": false,
    "IsMasked": false,
    "GrantKeyWhenReadable": "principal-process-steward|MessageTemplates"
   },
   {
    "FieldGrantId": "fg-process-steward-MessageTemplates.Status",
    "Principal": "principal-process-steward",
    "TargetField": "MessageTemplates.Status",
    "CanRead": true,
    "CanWrite": false,
    "MaskStrategy": "plain",
    "SemanticTypeIri": "urn:effortless:pko-extension#FieldGrant",
    "Name": "principal-process-steward -&gt; MessageTemplates.Status",
    "FieldTable": "MessageTemplates",
    "FieldName": "Status",
    "FieldIsDerived": false,
    "IsWritableDerivedField": false,
    "IsMasked": false,
    "GrantKeyWhenReadable": "principal-process-steward|MessageTemplates"
   },
   {
    "FieldGrantId": "fg-process-steward-MessageTemplates.PolicyMaxMessageLength",
    "Principal": "principal-process-steward",
    "TargetField": "MessageTemplates.PolicyMaxMessageLength",
    "CanRead": true,
    "CanWrite": false,
    "MaskStrategy": "plain",
    "SemanticTypeIri": "urn:effortless:pko-extension#FieldGrant",
    "Name": "principal-process-steward -&gt; MessageTemplates.PolicyMaxMessageLength",
    "FieldTable": "MessageTemplates",
    "FieldName": "PolicyMaxMessageLength",
    "FieldIsDerived": true,
    "IsWritableDerivedField": false,
    "IsMasked": false,
    "GrantKeyWhenReadable": "principal-process-steward|MessageTemplates"
   },
   {
    "FieldGrantId": "fg-process-steward-MessageTemplates.PolicyMaxSegments",
    "Principal": "principal-process-steward",
    "TargetField": "MessageTemplates.PolicyMaxSegments",
    "CanRead": true,
    "CanWrite": false,
    "MaskStrategy": "plain",
    "SemanticTypeIri": "urn:effortless:pko-extension#FieldGrant",
    "Name": "principal-process-steward -&gt; MessageTemplates.PolicyMaxSegments",
    "FieldTable": "MessageTemplates",
    "FieldName": "PolicyMaxSegments",
    "FieldIsDerived": true,
    "IsWritableDerivedField": false,
    "IsMasked": false,
    "GrantKeyWhenReadable": "principal-process-steward|MessageTemplates"
   },
   {
    "FieldGrantId": "fg-process-steward-MessageTemplates.BodyTemplateLength",
    "Principal": "principal-process-steward",
    "TargetField": "MessageTemplates.BodyTemplateLength",
    "CanRead": true,
    "CanWrite": false,
    "MaskStrategy": "plain",
    "SemanticTypeIri": "urn:effortless:pko-extension#FieldGrant",
    "Name": "principal-process-steward -&gt; MessageTemplates.BodyTemplateLength",
    "FieldTable": "MessageTemplates",
    "FieldName": "BodyTemplateLength",
    "FieldIsDerived": true,
    "IsWritableDerivedField": false,
    "IsMasked": false,
    "GrantKeyWhenReadable": "principal-process-steward|MessageTemplates"
   },
   {
    "FieldGrantId": "fg-process-steward-MessageTemplates.IsTemplateOverLength",
    "Principal": "principal-process-steward",
    "TargetField": "MessageTemplates.IsTemplateOverLength",
    "CanRead": true,
    "CanWrite": false,
    "MaskStrategy": "plain",
    "SemanticTypeIri": "urn:effortless:pko-extension#FieldGrant",
    "Name": "principal-process-steward -&gt; MessageTemplates.IsTemplateOverLength",
    "FieldTable": "MessageTemplates",
    "FieldName": "IsTemplateOverLength",
    "FieldIsDerived": true,
    "IsWritableDerivedField": false,
    "IsMasked": false,
    "GrantKeyWhenReadable": "principal-process-steward|MessageTemplates"
   },
   {
    "FieldGrantId": "fg-process-steward-MessageTemplates.ValidApprovalCount",
    "Principal": "principal-process-steward",
    "TargetField": "MessageTemplates.ValidApprovalCount",
    "CanRead": true,
    "CanWrite": false,
    "MaskStrategy": "plain",
    "SemanticTypeIri": "urn:effortless:pko-extension#FieldGrant",
    "Name": "principal-process-steward -&gt; MessageTemplates.ValidApprovalCount",
    "FieldTable": "MessageTemplates",
    "FieldName": "ValidApprovalCount",
    "FieldIsDerived": true,
    "IsWritableDerivedField": false,
    "IsMasked": false,
    "GrantKeyWhenReadable": "principal-process-steward|MessageTemplates"
   },
   {
    "FieldGrantId": "fg-process-steward-MessageTemplates.HasValidApproval",
    "Principal": "principal-process-steward",
    "TargetField": "MessageTemplates.HasValidApproval",
    "CanRead": true,
    "CanWrite": false,
    "MaskStrategy": "plain",
    "SemanticTypeIri": "urn:effortless:pko-extension#FieldGrant",
    "Name": "principal-process-steward -&gt; MessageTemplates.HasValidApproval",
    "FieldTable": "MessageTemplates",
    "FieldName": "HasValidApproval",
    "FieldIsDerived": true,
    "IsWritableDerivedField": false,
    "IsMasked": false,
    "GrantKeyWhenReadable": "principal-process-steward|MessageTemplates"
   },
   {
    "FieldGrantId": "fg-process-steward-MessageTemplates.IsClaimingUnbackedApproval",
    "Principal": "principal-process-steward",
    "TargetField": "MessageTemplates.IsClaimingUnbackedApproval",
    "CanRead": true,
    "CanWrite": false,
    "MaskStrategy": "plain",
    "SemanticTypeIri": "urn:effortless:pko-extension#FieldGrant",
    "Name": "principal-process-steward -&gt; MessageTemplates.IsClaimingUnbackedApproval",
    "FieldTable": "MessageTemplates",
    "FieldName": "IsClaimingUnbackedApproval",
    "FieldIsDerived": true,
    "IsWritableDerivedField": false,
    "IsMasked": false,
    "GrantKeyWhenReadable": "principal-process-steward|MessageTemplates"
   },
   {
    "FieldGrantId": "fg-process-steward-MessageTemplates.CurrentBodyHash",
    "Principal": "principal-process-steward",
    "TargetField": "MessageTemplates.CurrentBodyHash",
    "CanRead": true,
    "CanWrite": false,
    "MaskStrategy": "plain",
    "SemanticTypeIri": "urn:effortless:pko-extension#FieldGrant",
    "Name": "principal-process-steward -&gt; MessageTemplates.CurrentBodyHash",
    "FieldTable": "MessageTemplates",
    "FieldName": "CurrentBodyHash",
    "FieldIsDerived": false,
    "IsWritableDerivedField": false,
    "IsMasked": false,
    "GrantKeyWhenReadable": "principal-process-steward|MessageTemplates"
   },
   {
    "FieldGrantId": "fg-process-steward-MessageTemplates.LastApprovedBodyHash",
    "Principal": "principal-process-steward",
    "TargetField": "MessageTemplates.LastApprovedBodyHash",
    "CanRead": true,
    "CanWrite": false,
    "MaskStrategy": "plain",
    "SemanticTypeIri": "urn:effortless:pko-extension#FieldGrant",
    "Name": "principal-process-steward -&gt; MessageTemplates.LastApprovedBodyHash",
    "FieldTable": "MessageTemplates",
    "FieldName": "LastApprovedBodyHash",
    "FieldIsDerived": true,
    "IsWritableDerivedField": false,
    "IsMasked": false,
    "GrantKeyWhenReadable": "principal-process-steward|MessageTemplates"
   },
   {
    "FieldGrantId": "fg-process-steward-MessageTemplates.LastValidApproval",
    "Principal": "principal-process-steward",
    "TargetField": "MessageTemplates.LastValidApproval",
    "CanRead": true,
    "CanWrite": false,
    "MaskStrategy": "plain",
    "SemanticTypeIri": "urn:effortless:pko-extension#FieldGrant",
    "Name": "principal-process-steward -&gt; MessageTemplates.LastValidApproval",
    "FieldTable": "MessageTemplates",
    "FieldName": "LastValidApproval",
    "FieldIsDerived": false,
    "IsWritableDerivedField": false,
    "IsMasked": false,
    "GrantKeyWhenReadable": "principal-process-steward|MessageTemplates"
   },
   {
    "FieldGrantId": "fg-process-steward-MessageTemplates.HasBodyDrifted",
    "Principal": "principal-process-steward",
    "TargetField": "MessageTemplates.HasBodyDrifted",
    "CanRead": true,
    "CanWrite": false,
    "MaskStrategy": "plain",
    "SemanticTypeIri": "urn:effortless:pko-extension#FieldGrant",
    "Name": "principal-process-steward -&gt; MessageTemplates.HasBodyDrifted",
    "FieldTable": "MessageTemplates",
    "FieldName": "HasBodyDrifted",
    "FieldIsDerived": true,
    "IsWritableDerivedField": false,
    "IsMasked": false,
    "GrantKeyWhenReadable": "principal-process-steward|MessageTemplates"
   },
   {
    "FieldGrantId": "fg-process-steward-MessageTemplates.IsSendableUnderApproval",
    "Principal": "principal-process-steward",
    "TargetField": "MessageTemplates.IsSendableUnderApproval",
    "CanRead": true,
    "CanWrite": false,
    "MaskStrategy": "plain",
    "SemanticTypeIri": "urn:effortless:pko-extension#FieldGrant",
    "Name": "principal-process-steward -&gt; MessageTemplates.IsSendableUnderApproval",
    "FieldTable": "MessageTemplates",
    "FieldName": "IsSendableUnderApproval",
    "FieldIsDerived": true,
    "IsWritableDerivedField": false,
    "IsMasked": false,
    "GrantKeyWhenReadable": "principal-process-steward|MessageTemplates"
   },
   {
    "FieldGrantId": "fg-process-steward-MessageTemplates.DriftedSendCount",
    "Principal": "principal-process-steward",
    "TargetField": "MessageTemplates.DriftedSendCount",
    "CanRead": true,
    "CanWrite": false,
    "MaskStrategy": "plain",
    "SemanticTypeIri": "urn:effortless:pko-extension#FieldGrant",
    "Name": "principal-process-steward -&gt; MessageTemplates.DriftedSendCount",
    "FieldTable": "MessageTemplates",
    "FieldName": "DriftedSendCount",
    "FieldIsDerived": true,
    "IsWritableDerivedField": false,
    "IsMasked": false,
    "GrantKeyWhenReadable": "principal-process-steward|MessageTemplates"
   },
   {
    "FieldGrantId": "fg-process-steward-MessageTemplates.UnansweredDeliveryCount",
    "Principal": "principal-process-steward",
    "TargetField": "MessageTemplates.UnansweredDeliveryCount",
    "CanRead": true,
    "CanWrite": false,
    "MaskStrategy": "plain",
    "SemanticTypeIri": "urn:effortless:pko-extension#FieldGrant",
    "Name": "principal-process-steward -&gt; MessageTemplates.UnansweredDeliveryCount",
    "FieldTable": "MessageTemplates",
    "FieldName": "UnansweredDeliveryCount",
    "FieldIsDerived": true,
    "IsWritableDerivedField": false,
    "IsMasked": false,
    "GrantKeyWhenReadable": "principal-process-steward|MessageTemplates"
   },
   {
    "FieldGrantId": "fg-process-steward-MessageTemplates.TransmittedDeliveryCount",
    "Principal": "principal-process-steward",
    "TargetField": "MessageTemplates.TransmittedDeliveryCount",
    "CanRead": true,
    "CanWrite": false,
    "MaskStrategy": "plain",
    "SemanticTypeIri": "urn:effortless:pko-extension#FieldGrant",
    "Name": "principal-process-steward -&gt; MessageTemplates.TransmittedDeliveryCount",
    "FieldTable": "MessageTemplates",
    "FieldName": "TransmittedDeliveryCount",
    "FieldIsDerived": true,
    "IsWritableDerivedField": false,
    "IsMasked": false,
    "GrantKeyWhenReadable": "principal-process-steward|MessageTemplates"
   },
   {
    "FieldGrantId": "fg-process-steward-MessageTemplates.TemplateDrawsNoResponse",
    "Principal": "principal-process-steward",
    "TargetField": "MessageTemplates.TemplateDrawsNoResponse",
    "CanRead": true,
    "CanWrite": false,
    "MaskStrategy": "plain",
    "SemanticTypeIri": "urn:effortless:pko-extension#FieldGrant",
    "Name": "principal-process-steward -&gt; MessageTemplates.TemplateDrawsNoResponse",
    "FieldTable": "MessageTemplates",
    "FieldName": "TemplateDrawsNoResponse",
    "FieldIsDerived": true,
    "IsWritableDerivedField": false,
    "IsMasked": false,
    "GrantKeyWhenReadable": "principal-process-steward|MessageTemplates"
   },
   {
    "FieldGrantId": "fg-process-steward-MessageTemplates.LastApprovalAt",
    "Principal": "principal-process-steward",
    "TargetField": "MessageTemplates.LastApprovalAt",
    "CanRead": true,
    "CanWrite": false,
    "MaskStrategy": "plain",
    "SemanticTypeIri": "urn:effortless:pko-extension#FieldGrant",
    "Name": "principal-process-steward -&gt; MessageTemplates.LastApprovalAt",
    "FieldTable": "MessageTemplates",
    "FieldName": "LastApprovalAt",
    "FieldIsDerived": true,
    "IsWritableDerivedField": false,
    "IsMasked": false,
    "GrantKeyWhenReadable": "principal-process-steward|MessageTemplates"
   },
   {
    "FieldGrantId": "fg-process-steward-MessageTemplates.SemanticTypeIri",
    "Principal": "principal-process-steward",
    "TargetField": "MessageTemplates.SemanticTypeIri",
    "CanRead": true,
    "CanWrite": false,
    "MaskStrategy": "plain",
    "SemanticTypeIri": "urn:effortless:pko-extension#FieldGrant",
    "Name": "principal-process-steward -&gt; MessageTemplates.SemanticTypeIri",
    "FieldTable": "MessageTemplates",
    "FieldName": "SemanticTypeIri",
    "FieldIsDerived": false,
    "IsWritableDerivedField": false,
    "IsMasked": false,
    "GrantKeyWhenReadable": "principal-process-steward|MessageTemplates"
   },
   {
    "FieldGrantId": "fg-process-steward-ObservedTransitions.ObservedTransitionId",
    "Principal": "principal-process-steward",
    "TargetField": "ObservedTransitions.ObservedTransitionId",
    "CanRead": true,
    "CanWrite": false,
    "MaskStrategy": "plain",
    "SemanticTypeIri": "urn:effortless:pko-extension#FieldGrant",
    "Name": "principal-process-steward -&gt; ObservedTransitions.ObservedTransitionId",
    "FieldTable": "ObservedTransitions",
    "FieldName": "ObservedTransitionId",
    "FieldIsDerived": false,
    "IsWritableDerivedField": false,
    "IsMasked": false,
    "GrantKeyWhenReadable": "principal-process-steward|ObservedTransitions"
   },
   {
    "FieldGrantId": "fg-process-steward-ObservedTransitions.Name",
    "Principal": "principal-process-steward",
    "TargetField": "ObservedTransitions.Name",
    "CanRead": true,
    "CanWrite": false,
    "MaskStrategy": "plain",
    "SemanticTypeIri": "urn:effortless:pko-extension#FieldGrant",
    "Name": "principal-process-steward -&gt; ObservedTransitions.Name",
    "FieldTable": "ObservedTransitions",
    "FieldName": "Name",
    "FieldIsDerived": true,
    "IsWritableDerivedField": false,
    "IsMasked": false,
    "GrantKeyWhenReadable": "principal-process-steward|ObservedTransitions"
   },
   {
    "FieldGrantId": "fg-process-steward-ObservedTransitions.ProcedureExecution",
    "Principal": "principal-process-steward",
    "TargetField": "ObservedTransitions.ProcedureExecution",
    "CanRead": true,
    "CanWrite": false,
    "MaskStrategy": "plain",
    "SemanticTypeIri": "urn:effortless:pko-extension#FieldGrant",
    "Name": "principal-process-steward -&gt; ObservedTransitions.ProcedureExecution",
    "FieldTable": "ObservedTransitions",
    "FieldName": "ProcedureExecution",
    "FieldIsDerived": false,
    "IsWritableDerivedField": false,
    "IsMasked": false,
    "GrantKeyWhenReadable": "principal-process-steward|ObservedTransitions"
   },
   {
    "FieldGrantId": "fg-process-steward-ObservedTransitions.StepTransition",
    "Principal": "principal-process-steward",
    "TargetField": "ObservedTransitions.StepTransition",
    "CanRead": true,
    "CanWrite": false,
    "MaskStrategy": "plain",
    "SemanticTypeIri": "urn:effortless:pko-extension#FieldGrant",
    "Name": "principal-process-steward -&gt; ObservedTransitions.StepTransition",
    "FieldTable": "ObservedTransitions",
    "FieldName": "StepTransition",
    "FieldIsDerived": false,
    "IsWritableDerivedField": false,
    "IsMasked": false,
    "GrantKeyWhenReadable": "principal-process-steward|ObservedTransitions"
   },
   {
    "FieldGrantId": "fg-process-steward-ObservedTransitions.ArrivingStepExecution",
    "Principal": "principal-process-steward",
    "TargetField": "ObservedTransitions.ArrivingStepExecution",
    "CanRead": true,
    "CanWrite": false,
    "MaskStrategy": "plain",
    "SemanticTypeIri": "urn:effortless:pko-extension#FieldGrant",
    "Name": "principal-process-steward -&gt; ObservedTransitions.ArrivingStepExecution",
    "FieldTable": "ObservedTransitions",
    "FieldName": "ArrivingStepExecution",
    "FieldIsDerived": false,
    "IsWritableDerivedField": false,
    "IsMasked": false,
    "GrantKeyWhenReadable": "principal-process-steward|ObservedTransitions"
   },
   {
    "FieldGrantId": "fg-process-steward-ObservedTransitions.ObservedAt",
    "Principal": "principal-process-steward",
    "TargetField": "ObservedTransitions.ObservedAt",
    "CanRead": true,
    "CanWrite": false,
    "MaskStrategy": "plain",
    "SemanticTypeIri": "urn:effortless:pko-extension#FieldGrant",
    "Name": "principal-process-steward -&gt; ObservedTransitions.ObservedAt",
    "FieldTable": "ObservedTransitions",
    "FieldName": "ObservedAt",
    "FieldIsDerived": false,
    "IsWritableDerivedField": false,
    "IsMasked": false,
    "GrantKeyWhenReadable": "principal-process-steward|ObservedTransitions"
   },
   {
    "FieldGrantId": "fg-process-steward-ObservedTransitions.TriggerReason",
    "Principal": "principal-process-steward",
    "TargetField": "ObservedTransitions.TriggerReason",
    "CanRead": true,
    "CanWrite": false,
    "MaskStrategy": "plain",
    "SemanticTypeIri": "urn:effortless:pko-extension#FieldGrant",
    "Name": "principal-process-steward -&gt; ObservedTransitions.TriggerReason",
    "FieldTable": "ObservedTransitions",
    "FieldName": "TriggerReason",
    "FieldIsDerived": false,
    "IsWritableDerivedField": false,
    "IsMasked": false,
    "GrantKeyWhenReadable": "principal-process-steward|ObservedTransitions"
   },
   {
    "FieldGrantId": "fg-process-steward-ObservedTransitions.SemanticTypeIri",
    "Principal": "principal-process-steward",
    "TargetField": "ObservedTransitions.SemanticTypeIri",
    "CanRead": true,
    "CanWrite": false,
    "MaskStrategy": "plain",
    "SemanticTypeIri": "urn:effortless:pko-extension#FieldGrant",
    "Name": "principal-process-steward -&gt; ObservedTransitions.SemanticTypeIri",
    "FieldTable": "ObservedTransitions",
    "FieldName": "SemanticTypeIri",
    "FieldIsDerived": false,
    "IsWritableDerivedField": false,
    "IsMasked": false,
    "GrantKeyWhenReadable": "principal-process-steward|ObservedTransitions"
   },
   {
    "FieldGrantId": "fg-process-steward-OntologyProfiles.OntologyProfileId",
    "Principal": "principal-process-steward",
    "TargetField": "OntologyProfiles.OntologyProfileId",
    "CanRead": true,
    "CanWrite": false,
    "MaskStrategy": "plain",
    "SemanticTypeIri": "urn:effortless:pko-extension#FieldGrant",
    "Name": "principal-process-steward -&gt; OntologyProfiles.OntologyProfileId",
    "FieldTable": "OntologyProfiles",
    "FieldName": "OntologyProfileId",
    "FieldIsDerived": false,
    "IsWritableDerivedField": false,
    "IsMasked": false,
    "GrantKeyWhenReadable": "principal-process-steward|OntologyProfiles"
   },
   {
    "FieldGrantId": "fg-process-steward-OntologyProfiles.Name",
    "Principal": "principal-process-steward",
    "TargetField": "OntologyProfiles.Name",
    "CanRead": true,
    "CanWrite": false,
    "MaskStrategy": "plain",
    "SemanticTypeIri": "urn:effortless:pko-extension#FieldGrant",
    "Name": "principal-process-steward -&gt; OntologyProfiles.Name",
    "FieldTable": "OntologyProfiles",
    "FieldName": "Name",
    "FieldIsDerived": true,
    "IsWritableDerivedField": false,
    "IsMasked": false,
    "GrantKeyWhenReadable": "principal-process-steward|OntologyProfiles"
   },
   {
    "FieldGrantId": "fg-process-steward-OntologyProfiles.Label",
    "Principal": "principal-process-steward",
    "TargetField": "OntologyProfiles.Label",
    "CanRead": true,
    "CanWrite": false,
    "MaskStrategy": "plain",
    "SemanticTypeIri": "urn:effortless:pko-extension#FieldGrant",
    "Name": "principal-process-steward -&gt; OntologyProfiles.Label",
    "FieldTable": "OntologyProfiles",
    "FieldName": "Label",
    "FieldIsDerived": false,
    "IsWritableDerivedField": false,
    "IsMasked": false,
    "GrantKeyWhenReadable": "principal-process-steward|OntologyProfiles"
   },
   {
    "FieldGrantId": "fg-process-steward-OntologyProfiles.Version",
    "Principal": "principal-process-steward",
    "TargetField": "OntologyProfiles.Version",
    "CanRead": true,
    "CanWrite": false,
    "MaskStrategy": "plain",
    "SemanticTypeIri": "urn:effortless:pko-extension#FieldGrant",
    "Name": "principal-process-steward -&gt; OntologyProfiles.Version",
    "FieldTable": "OntologyProfiles",
    "FieldName": "Version",
    "FieldIsDerived": false,
    "IsWritableDerivedField": false,
    "IsMasked": false,
    "GrantKeyWhenReadable": "principal-process-steward|OntologyProfiles"
   },
   {
    "FieldGrantId": "fg-process-steward-OntologyProfiles.VersionIri",
    "Principal": "principal-process-steward",
    "TargetField": "OntologyProfiles.VersionIri",
    "CanRead": true,
    "CanWrite": false,
    "MaskStrategy": "plain",
    "SemanticTypeIri": "urn:effortless:pko-extension#FieldGrant",
    "Name": "principal-process-steward -&gt; OntologyProfiles.VersionIri",
    "FieldTable": "OntologyProfiles",
    "FieldName": "VersionIri",
    "FieldIsDerived": false,
    "IsWritableDerivedField": false,
    "IsMasked": false,
    "GrantKeyWhenReadable": "principal-process-steward|OntologyProfiles"
   },
   {
    "FieldGrantId": "fg-process-steward-OntologyProfiles.NamespaceIri",
    "Principal": "principal-process-steward",
    "TargetField": "OntologyProfiles.NamespaceIri",
    "CanRead": true,
    "CanWrite": false,
    "MaskStrategy": "plain",
    "SemanticTypeIri": "urn:effortless:pko-extension#FieldGrant",
    "Name": "principal-process-steward -&gt; OntologyProfiles.NamespaceIri",
    "FieldTable": "OntologyProfiles",
    "FieldName": "NamespaceIri",
    "FieldIsDerived": false,
    "IsWritableDerivedField": false,
    "IsMasked": false,
    "GrantKeyWhenReadable": "principal-process-steward|OntologyProfiles"
   },
   {
    "FieldGrantId": "fg-process-steward-OntologyProfiles.License",
    "Principal": "principal-process-steward",
    "TargetField": "OntologyProfiles.License",
    "CanRead": true,
    "CanWrite": false,
    "MaskStrategy": "plain",
    "SemanticTypeIri": "urn:effortless:pko-extension#FieldGrant",
    "Name": "principal-process-steward -&gt; OntologyProfiles.License",
    "FieldTable": "OntologyProfiles",
    "FieldName": "License",
    "FieldIsDerived": false,
    "IsWritableDerivedField": false,
    "IsMasked": false,
    "GrantKeyWhenReadable": "principal-process-steward|OntologyProfiles"
   },
   {
    "FieldGrantId": "fg-process-steward-OntologyProfiles.Scope",
    "Principal": "principal-process-steward",
    "TargetField": "OntologyProfiles.Scope",
    "CanRead": true,
    "CanWrite": false,
    "MaskStrategy": "plain",
    "SemanticTypeIri": "urn:effortless:pko-extension#FieldGrant",
    "Name": "principal-process-steward -&gt; OntologyProfiles.Scope",
    "FieldTable": "OntologyProfiles",
    "FieldName": "Scope",
    "FieldIsDerived": false,
    "IsWritableDerivedField": false,
    "IsMasked": false,
    "GrantKeyWhenReadable": "principal-process-steward|OntologyProfiles"
   },
   {
    "FieldGrantId": "fg-process-steward-OperationalBindings.OperationalBindingId",
    "Principal": "principal-process-steward",
    "TargetField": "OperationalBindings.OperationalBindingId",
    "CanRead": true,
    "CanWrite": false,
    "MaskStrategy": "plain",
    "SemanticTypeIri": "urn:effortless:pko-extension#FieldGrant",
    "Name": "principal-process-steward -&gt; OperationalBindings.OperationalBindingId",
    "FieldTable": "OperationalBindings",
    "FieldName": "OperationalBindingId",
    "FieldIsDerived": false,
    "IsWritableDerivedField": false,
    "IsMasked": false,
    "GrantKeyWhenReadable": "pr</t>
  </si>
  <si>
    <t xml:space="preserve">incipal-process-steward|OperationalBindings"
   },
   {
    "FieldGrantId": "fg-process-steward-OperationalBindings.Name",
    "Principal": "principal-process-steward",
    "TargetField": "OperationalBindings.Name",
    "CanRead": true,
    "CanWrite": false,
    "MaskStrategy": "plain",
    "SemanticTypeIri": "urn:effortless:pko-extension#FieldGrant",
    "Name": "principal-process-steward -&gt; OperationalBindings.Name",
    "FieldTable": "OperationalBindings",
    "FieldName": "Name",
    "FieldIsDerived": true,
    "IsWritableDerivedField": false,
    "IsMasked": false,
    "GrantKeyWhenReadable": "principal-process-steward|OperationalBindings"
   },
   {
    "FieldGrantId": "fg-process-steward-OperationalBindings.ProcedureVersion",
    "Principal": "principal-process-steward",
    "TargetField": "OperationalBindings.ProcedureVersion",
    "CanRead": true,
    "CanWrite": false,
    "MaskStrategy": "plain",
    "SemanticTypeIri": "urn:effortless:pko-extension#FieldGrant",
    "Name": "principal-process-steward -&gt; OperationalBindings.ProcedureVersion",
    "FieldTable": "OperationalBindings",
    "FieldName": "ProcedureVersion",
    "FieldIsDerived": false,
    "IsWritableDerivedField": false,
    "IsMasked": false,
    "GrantKeyWhenReadable": "principal-process-steward|OperationalBindings"
   },
   {
    "FieldGrantId": "fg-process-steward-OperationalBindings.Step",
    "Principal": "principal-process-steward",
    "TargetField": "OperationalBindings.Step",
    "CanRead": true,
    "CanWrite": false,
    "MaskStrategy": "plain",
    "SemanticTypeIri": "urn:effortless:pko-extension#FieldGrant",
    "Name": "principal-process-steward -&gt; OperationalBindings.Step",
    "FieldTable": "OperationalBindings",
    "FieldName": "Step",
    "FieldIsDerived": false,
    "IsWritableDerivedField": false,
    "IsMasked": false,
    "GrantKeyWhenReadable": "principal-process-steward|OperationalBindings"
   },
   {
    "FieldGrantId": "fg-process-steward-OperationalBindings.Resource",
    "Principal": "principal-process-steward",
    "TargetField": "OperationalBindings.Resource",
    "CanRead": true,
    "CanWrite": false,
    "MaskStrategy": "plain",
    "SemanticTypeIri": "urn:effortless:pko-extension#FieldGrant",
    "Name": "principal-process-steward -&gt; OperationalBindings.Resource",
    "FieldTable": "OperationalBindings",
    "FieldName": "Resource",
    "FieldIsDerived": false,
    "IsWritableDerivedField": false,
    "IsMasked": false,
    "GrantKeyWhenReadable": "principal-process-steward|OperationalBindings"
   },
   {
    "FieldGrantId": "fg-process-steward-OperationalBindings.AccessMode",
    "Principal": "principal-process-steward",
    "TargetField": "OperationalBindings.AccessMode",
    "CanRead": true,
    "CanWrite": false,
    "MaskStrategy": "plain",
    "SemanticTypeIri": "urn:effortless:pko-extension#FieldGrant",
    "Name": "principal-process-steward -&gt; OperationalBindings.AccessMode",
    "FieldTable": "OperationalBindings",
    "FieldName": "AccessMode",
    "FieldIsDerived": false,
    "IsWritableDerivedField": false,
    "IsMasked": false,
    "GrantKeyWhenReadable": "principal-process-steward|OperationalBindings"
   },
   {
    "FieldGrantId": "fg-process-steward-OperationalBindings.RecordOrSchemaKey",
    "Principal": "principal-process-steward",
    "TargetField": "OperationalBindings.RecordOrSchemaKey",
    "CanRead": true,
    "CanWrite": false,
    "MaskStrategy": "plain",
    "SemanticTypeIri": "urn:effortless:pko-extension#FieldGrant",
    "Name": "principal-process-steward -&gt; OperationalBindings.RecordOrSchemaKey",
    "FieldTable": "OperationalBindings",
    "FieldName": "RecordOrSchemaKey",
    "FieldIsDerived": false,
    "IsWritableDerivedField": false,
    "IsMasked": false,
    "GrantKeyWhenReadable": "principal-process-steward|OperationalBindings"
   },
   {
    "FieldGrantId": "fg-process-steward-OperationalBindings.LastObservedAt",
    "Principal": "principal-process-steward",
    "TargetField": "OperationalBindings.LastObservedAt",
    "CanRead": true,
    "CanWrite": false,
    "MaskStrategy": "plain",
    "SemanticTypeIri": "urn:effortless:pko-extension#FieldGrant",
    "Name": "principal-process-steward -&gt; OperationalBindings.LastObservedAt",
    "FieldTable": "OperationalBindings",
    "FieldName": "LastObservedAt",
    "FieldIsDerived": false,
    "IsWritableDerivedField": false,
    "IsMasked": false,
    "GrantKeyWhenReadable": "principal-process-steward|OperationalBindings"
   },
   {
    "FieldGrantId": "fg-process-steward-OperationalBindings.FreshnessSlaMinutes",
    "Principal": "principal-process-steward",
    "TargetField": "OperationalBindings.FreshnessSlaMinutes",
    "CanRead": true,
    "CanWrite": false,
    "MaskStrategy": "plain",
    "SemanticTypeIri": "urn:effortless:pko-extension#FieldGrant",
    "Name": "principal-process-steward -&gt; OperationalBindings.FreshnessSlaMinutes",
    "FieldTable": "OperationalBindings",
    "FieldName": "FreshnessSlaMinutes",
    "FieldIsDerived": false,
    "IsWritableDerivedField": false,
    "IsMasked": false,
    "GrantKeyWhenReadable": "principal-process-steward|OperationalBindings"
   },
   {
    "FieldGrantId": "fg-process-steward-OperationalBindings.IsAuthoritative",
    "Principal": "principal-process-steward",
    "TargetField": "OperationalBindings.IsAuthoritative",
    "CanRead": true,
    "CanWrite": false,
    "MaskStrategy": "plain",
    "SemanticTypeIri": "urn:effortless:pko-extension#FieldGrant",
    "Name": "principal-process-steward -&gt; OperationalBindings.IsAuthoritative",
    "FieldTable": "OperationalBindings",
    "FieldName": "IsAuthoritative",
    "FieldIsDerived": false,
    "IsWritableDerivedField": false,
    "IsMasked": false,
    "GrantKeyWhenReadable": "principal-process-steward|OperationalBindings"
   },
   {
    "FieldGrantId": "fg-process-steward-OperationalBindings.EvaluationContext",
    "Principal": "principal-process-steward",
    "TargetField": "OperationalBindings.EvaluationContext",
    "CanRead": true,
    "CanWrite": false,
    "MaskStrategy": "plain",
    "SemanticTypeIri": "urn:effortless:pko-extension#FieldGrant",
    "Name": "principal-process-steward -&gt; OperationalBindings.EvaluationContext",
    "FieldTable": "OperationalBindings",
    "FieldName": "EvaluationContext",
    "FieldIsDerived": false,
    "IsWritableDerivedField": false,
    "IsMasked": false,
    "GrantKeyWhenReadable": "principal-process-steward|OperationalBindings"
   },
   {
    "FieldGrantId": "fg-process-steward-OperationalBindings.AsOfInstant",
    "Principal": "principal-process-steward",
    "TargetField": "OperationalBindings.AsOfInstant",
    "CanRead": true,
    "CanWrite": false,
    "MaskStrategy": "plain",
    "SemanticTypeIri": "urn:effortless:pko-extension#FieldGrant",
    "Name": "principal-process-steward -&gt; OperationalBindings.AsOfInstant",
    "FieldTable": "OperationalBindings",
    "FieldName": "AsOfInstant",
    "FieldIsDerived": true,
    "IsWritableDerivedField": false,
    "IsMasked": false,
    "GrantKeyWhenReadable": "principal-process-steward|OperationalBindings"
   },
   {
    "FieldGrantId": "fg-process-steward-OperationalBindings.AgeMinutes",
    "Principal": "principal-process-steward",
    "TargetField": "OperationalBindings.AgeMinutes",
    "CanRead": true,
    "CanWrite": false,
    "MaskStrategy": "plain",
    "SemanticTypeIri": "urn:effortless:pko-extension#FieldGrant",
    "Name": "principal-process-steward -&gt; OperationalBindings.AgeMinutes",
    "FieldTable": "OperationalBindings",
    "FieldName": "AgeMinutes",
    "FieldIsDerived": true,
    "IsWritableDerivedField": false,
    "IsMasked": false,
    "GrantKeyWhenReadable": "principal-process-steward|OperationalBindings"
   },
   {
    "FieldGrantId": "fg-process-steward-OperationalBindings.IsFresh",
    "Principal": "principal-process-steward",
    "TargetField": "OperationalBindings.IsFresh",
    "CanRead": true,
    "CanWrite": false,
    "MaskStrategy": "plain",
    "SemanticTypeIri": "urn:effortless:pko-extension#FieldGrant",
    "Name": "principal-process-steward -&gt; OperationalBindings.IsFresh",
    "FieldTable": "OperationalBindings",
    "FieldName": "IsFresh",
    "FieldIsDerived": true,
    "IsWritableDerivedField": false,
    "IsMasked": false,
    "GrantKeyWhenReadable": "principal-process-steward|OperationalBindings"
   },
   {
    "FieldGrantId": "fg-process-steward-OperationalBindings.StaleBindingStepKey",
    "Principal": "principal-process-steward",
    "TargetField": "OperationalBindings.StaleBindingStepKey",
    "CanRead": true,
    "CanWrite": false,
    "MaskStrategy": "plain",
    "SemanticTypeIri": "urn:effortless:pko-extension#FieldGrant",
    "Name": "principal-process-steward -&gt; OperationalBindings.StaleBindingStepKey",
    "FieldTable": "OperationalBindings",
    "FieldName": "StaleBindingStepKey",
    "FieldIsDerived": true,
    "IsWritableDerivedField": false,
    "IsMasked": false,
    "GrantKeyWhenReadable": "principal-process-steward|OperationalBindings"
   },
   {
    "FieldGrantId": "fg-process-steward-OperationalBindings.AuthoritativeStaleStepKey",
    "Principal": "principal-process-steward",
    "TargetField": "OperationalBindings.AuthoritativeStaleStepKey",
    "CanRead": true,
    "CanWrite": false,
    "MaskStrategy": "plain",
    "SemanticTypeIri": "urn:effortless:pko-extension#FieldGrant",
    "Name": "principal-process-steward -&gt; OperationalBindings.AuthoritativeStaleStepKey",
    "FieldTable": "OperationalBindings",
    "FieldName": "AuthoritativeStaleStepKey",
    "FieldIsDerived": true,
    "IsWritableDerivedField": false,
    "IsMasked": false,
    "GrantKeyWhenReadable": "principal-process-steward|OperationalBindings"
   },
   {
    "FieldGrantId": "fg-process-steward-OperationalBindings.IsStaleAndAuthoritative",
    "Principal": "principal-process-steward",
    "TargetField": "OperationalBindings.IsStaleAndAuthoritative",
    "CanRead": true,
    "CanWrite": false,
    "MaskStrategy": "plain",
    "SemanticTypeIri": "urn:effortless:pko-extension#FieldGrant",
    "Name": "principal-process-steward -&gt; OperationalBindings.IsStaleAndAuthoritative",
    "FieldTable": "OperationalBindings",
    "FieldName": "IsStaleAndAuthoritative",
    "FieldIsDerived": true,
    "IsWritableDerivedField": false,
    "IsMasked": false,
    "GrantKeyWhenReadable": "principal-process-steward|OperationalBindings"
   },
   {
    "FieldGrantId": "fg-process-steward-OperationalBindings.StepWhenStale",
    "Principal": "principal-process-steward",
    "TargetField": "OperationalBindings.StepWhenStale",
    "CanRead": true,
    "CanWrite": false,
    "MaskStrategy": "plain",
    "SemanticTypeIri": "urn:effortless:pko-extension#FieldGrant",
    "Name": "principal-process-steward -&gt; OperationalBindings.StepWhenStale",
    "FieldTable": "OperationalBindings",
    "FieldName": "StepWhenStale",
    "FieldIsDerived": true,
    "IsWritableDerivedField": false,
    "IsMasked": false,
    "GrantKeyWhenReadable": "principal-process-steward|OperationalBindings"
   },
   {
    "FieldGrantId": "fg-process-steward-OperationalBindings.ResourceIsApproved",
    "Principal": "principal-process-steward",
    "TargetField": "OperationalBindings.ResourceIsApproved",
    "CanRead": true,
    "CanWrite": false,
    "MaskStrategy": "plain",
    "SemanticTypeIri": "urn:effortless:pko-extension#FieldGrant",
    "Name": "principal-process-steward -&gt; OperationalBindings.ResourceIsApproved",
    "FieldTable": "OperationalBindings",
    "FieldName": "ResourceIsApproved",
    "FieldIsDerived": true,
    "IsWritableDerivedField": false,
    "IsMasked": false,
    "GrantKeyWhenReadable": "principal-process-steward|OperationalBindings"
   },
   {
    "FieldGrantId": "fg-process-steward-OperationalBindings.IsUsableForDrafting",
    "Principal": "principal-process-steward",
    "TargetField": "OperationalBindings.IsUsableForDrafting",
    "CanRead": true,
    "CanWrite": false,
    "MaskStrategy": "plain",
    "SemanticTypeIri": "urn:effortless:pko-extension#FieldGrant",
    "Name": "principal-process-steward -&gt; OperationalBindings.IsUsableForDrafting",
    "FieldTable": "OperationalBindings",
    "FieldName": "IsUsableForDrafting",
    "FieldIsDerived": true,
    "IsWritableDerivedField": false,
    "IsMasked": false,
    "GrantKeyWhenReadable": "principal-process-steward|OperationalBindings"
   },
   {
    "FieldGrantId": "fg-process-steward-OperationalBindings.StepWhenUnusable",
    "Principal": "principal-process-steward",
    "TargetField": "OperationalBindings.StepWhenUnusable",
    "CanRead": true,
    "CanWrite": false,
    "MaskStrategy": "plain",
    "SemanticTypeIri": "urn:effortless:pko-extension#FieldGrant",
    "Name": "principal-process-steward -&gt; OperationalBindings.StepWhenUnusable",
    "FieldTable": "OperationalBindings",
    "FieldName": "StepWhenUnusable",
    "FieldIsDerived": true,
    "IsWritableDerivedField": false,
    "IsMasked": false,
    "GrantKeyWhenReadable": "principal-process-steward|OperationalBindings"
   },
   {
    "FieldGrantId": "fg-process-steward-OperationalBindings.SemanticTypeIri",
    "Principal": "principal-process-steward",
    "TargetField": "OperationalBindings.SemanticTypeIri",
    "CanRead": true,
    "CanWrite": false,
    "MaskStrategy": "plain",
    "SemanticTypeIri": "urn:effortless:pko-extension#FieldGrant",
    "Name": "principal-process-steward -&gt; OperationalBindings.SemanticTypeIri",
    "FieldTable": "OperationalBindings",
    "FieldName": "SemanticTypeIri",
    "FieldIsDerived": false,
    "IsWritableDerivedField": false,
    "IsMasked": false,
    "GrantKeyWhenReadable": "principal-process-steward|OperationalBindings"
   },
   {
    "FieldGrantId": "fg-process-steward-Organizations.OrganizationId",
    "Principal": "principal-process-steward",
    "TargetField": "Organizations.OrganizationId",
    "CanRead": true,
    "CanWrite": false,
    "MaskStrategy": "plain",
    "SemanticTypeIri": "urn:effortless:pko-extension#FieldGrant",
    "Name": "principal-process-steward -&gt; Organizations.OrganizationId",
    "FieldTable": "Organizations",
    "FieldName": "OrganizationId",
    "FieldIsDerived": false,
    "IsWritableDerivedField": false,
    "IsMasked": false,
    "GrantKeyWhenReadable": "principal-process-steward|Organizations"
   },
   {
    "FieldGrantId": "fg-process-steward-Organizations.Name",
    "Principal": "principal-process-steward",
    "TargetField": "Organizations.Name",
    "CanRead": true,
    "CanWrite": false,
    "MaskStrategy": "plain",
    "SemanticTypeIri": "urn:effortless:pko-extension#FieldGrant",
    "Name": "principal-process-steward -&gt; Organizations.Name",
    "FieldTable": "Organizations",
    "FieldName": "Name",
    "FieldIsDerived": true,
    "IsWritableDerivedField": false,
    "IsMasked": false,
    "GrantKeyWhenReadable": "principal-process-steward|Organizations"
   },
   {
    "FieldGrantId": "fg-process-steward-Organizations.DisplayName",
    "Principal": "principal-process-steward",
    "TargetField": "Organizations.DisplayName",
    "CanRead": true,
    "CanWrite": false,
    "MaskStrategy": "plain",
    "SemanticTypeIri": "urn:effortless:pko-extension#FieldGrant",
    "Name": "principal-process-steward -&gt; Organizations.DisplayName",
    "FieldTable": "Organizations",
    "FieldName": "DisplayName",
    "FieldIsDerived": false,
    "IsWritableDerivedField": false,
    "IsMasked": false,
    "GrantKeyWhenReadable": "principal-process-steward|Organizations"
   },
   {
    "FieldGrantId": "fg-process-steward-Organizations.OrganizationType",
    "Principal": "principal-process-steward",
    "TargetField": "Organizations.OrganizationType",
    "CanRead": true,
    "CanWrite": false,
    "MaskStrategy": "plain",
    "SemanticTypeIri": "urn:effortless:pko-extension#FieldGrant",
    "Name": "principal-process-steward -&gt; Organizations.OrganizationType",
    "FieldTable": "Organizations",
    "FieldName": "OrganizationType",
    "FieldIsDerived": false,
    "IsWritableDerivedField": false,
    "IsMasked": false,
    "GrantKeyWhenReadable": "principal-process-steward|Organizations"
   },
   {
    "FieldGrantId": "fg-process-steward-Organizations.ExternalIdentifier",
    "Principal": "principal-process-steward",
    "TargetField": "Organizations.ExternalIdentifier",
    "CanRead": true,
    "CanWrite": false,
    "MaskStrategy": "plain",
    "SemanticTypeIri": "urn:effortless:pko-extension#FieldGrant",
    "Name": "principal-process-steward -&gt; Organizations.ExternalIdentifier",
    "FieldTable": "Organizations",
    "FieldName": "ExternalIdentifier",
    "FieldIsDerived": false,
    "IsWritableDerivedField": false,
    "IsMasked": false,
    "GrantKeyWhenReadable": "principal-process-steward|Organizations"
   },
   {
    "FieldGrantId": "fg-process-steward-Organizations.SemanticTypeIri",
    "Principal": "principal-process-steward",
    "TargetField": "Organizations.SemanticTypeIri",
    "CanRead": true,
    "CanWrite": false,
    "MaskStrategy": "plain",
    "SemanticTypeIri": "urn:effortless:pko-extension#FieldGrant",
    "Name": "principal-process-steward -&gt; Organizations.SemanticTypeIri",
    "FieldTable": "Organizations",
    "FieldName": "SemanticTypeIri",
    "FieldIsDerived": false,
    "IsWritableDerivedField": false,
    "IsMasked": false,
    "GrantKeyWhenReadable": "principal-process-steward|Organizations"
   },
   {
    "FieldGrantId": "fg-process-steward-ProcedureExecutions.ProcedureExecutionId",
    "Principal": "principal-process-steward",
    "TargetField": "ProcedureExecutions.ProcedureExecutionId",
    "CanRead": true,
    "CanWrite": false,
    "MaskStrategy": "plain",
    "SemanticTypeIri": "urn:effortless:pko-extension#FieldGrant",
    "Name": "principal-process-steward -&gt; ProcedureExecutions.ProcedureExecutionId",
    "FieldTable": "ProcedureExecutions",
    "FieldName": "ProcedureExecutionId",
    "FieldIsDerived": false,
    "IsWritableDerivedField": false,
    "IsMasked": false,
    "GrantKeyWhenReadable": "principal-process-steward|ProcedureExecutions"
   },
   {
    "FieldGrantId": "fg-process-steward-ProcedureExecutions.Name",
    "Principal": "principal-process-steward",
    "TargetField": "ProcedureExecutions.Name",
    "CanRead": true,
    "CanWrite": false,
    "MaskStrategy": "plain",
    "SemanticTypeIri": "urn:effortless:pko-extension#FieldGrant",
    "Name": "principal-process-steward -&gt; ProcedureExecutions.Name",
    "FieldTable": "ProcedureExecutions",
    "FieldName": "Name",
    "FieldIsDerived": true,
    "IsWritableDerivedField": false,
    "IsMasked": false,
    "GrantKeyWhenReadable": "principal-process-steward|ProcedureExecutions"
   },
   {
    "FieldGrantId": "fg-process-steward-ProcedureExecutions.ProcedureVersion",
    "Principal": "principal-process-steward",
    "TargetField": "ProcedureExecutions.ProcedureVersion",
    "CanRead": true,
    "CanWrite": false,
    "MaskStrategy": "plain",
    "SemanticTypeIri": "urn:effortless:pko-extension#FieldGrant",
    "Name": "principal-process-steward -&gt; ProcedureExecutions.ProcedureVersion",
    "FieldTable": "ProcedureExecutions",
    "FieldName": "ProcedureVersion",
    "FieldIsDerived": false,
    "IsWritableDerivedField": false,
    "IsMasked": false,
    "GrantKeyWhenReadable": "principal-process-steward|ProcedureExecutions"
   },
   {
    "FieldGrantId": "fg-process-steward-ProcedureExecutions.ExecutionStatus",
    "Principal": "principal-process-steward",
    "TargetField": "ProcedureExecutions.ExecutionStatus",
    "CanRead": true,
    "CanWrite": false,
    "MaskStrategy": "plain",
    "SemanticTypeIri": "urn:effortless:pko-extension#FieldGrant",
    "Name": "principal-process-steward -&gt; ProcedureExecutions.ExecutionStatus",
    "FieldTable": "ProcedureExecutions",
    "FieldName": "ExecutionStatus",
    "FieldIsDerived": false,
    "IsWritableDerivedField": false,
    "IsMasked": false,
    "GrantKeyWhenReadable": "principal-process-steward|ProcedureExecutions"
   },
   {
    "FieldGrantId": "fg-process-steward-ProcedureExecutions.StartedAt",
    "Principal": "principal-process-steward",
    "TargetField": "ProcedureExecutions.StartedAt",
    "CanRead": true,
    "CanWrite": false,
    "MaskStrategy": "plain",
    "SemanticTypeIri": "urn:effortless:pko-extension#FieldGrant",
    "Name": "principal-process-steward -&gt; ProcedureExecutions.StartedAt",
    "FieldTable": "ProcedureExecutions",
    "FieldName": "StartedAt",
    "FieldIsDerived": false,
    "IsWritableDerivedField": false,
    "IsMasked": false,
    "GrantKeyWhenReadable": "principal-process-steward|ProcedureExecutions"
   },
   {
    "FieldGrantId": "fg-process-steward-ProcedureExecutions.EndedAt",
    "Principal": "principal-process-steward",
    "TargetField": "ProcedureExecutions.EndedAt",
    "CanRead": true,
    "CanWrite": false,
    "MaskStrategy": "plain",
    "SemanticTypeIri": "urn:effortless:pko-extension#FieldGrant",
    "Name": "principal-process-steward -&gt; ProcedureExecutions.EndedAt",
    "FieldTable": "ProcedureExecutions",
    "FieldName": "EndedAt",
    "FieldIsDerived": false,
    "IsWritableDerivedField": false,
    "IsMasked": false,
    "GrantKeyWhenReadable": "principal-process-steward|ProcedureExecutions"
   },
   {
    "FieldGrantId": "fg-process-steward-ProcedureExecutions.ExecutedByAgent",
    "Principal": "principal-process-steward",
    "TargetField": "ProcedureExecutions.ExecutedByAgent",
    "CanRead": true,
    "CanWrite": false,
    "MaskStrategy": "plain",
    "SemanticTypeIri": "urn:effortless:pko-extension#FieldGrant",
    "Name": "principal-process-steward -&gt; ProcedureExecutions.ExecutedByAgent",
    "FieldTable": "ProcedureExecutions",
    "FieldName": "ExecutedByAgent",
    "FieldIsDerived": false,
    "IsWritableDerivedField": false,
    "IsMasked": false,
    "GrantKeyWhenReadable": "principal-process-steward|ProcedureExecutions"
   },
   {
    "FieldGrantId": "fg-process-steward-ProcedureExecutions.Context",
    "Principal": "principal-process-steward",
    "TargetField": "ProcedureExecutions.Context",
    "CanRead": true,
    "CanWrite": false,
    "MaskStrategy": "plain",
    "SemanticTypeIri": "urn:effortless:pko-extension#FieldGrant",
    "Name": "principal-process-steward -&gt; ProcedureExecutions.Context",
    "FieldTable": "ProcedureExecutions",
    "FieldName": "Context",
    "FieldIsDerived": false,
    "IsWritableDerivedField": false,
    "IsMasked": false,
    "GrantKeyWhenReadable": "principal-process-steward|ProcedureExecutions"
   },
   {
    "FieldGrantId": "fg-process-steward-ProcedureExecutions.OperationalRecordUri",
    "Principal": "principal-process-steward",
    "TargetField": "ProcedureExecutions.OperationalRecordUri",
    "CanRead": true,
    "CanWrite": false,
    "MaskStrategy": "plain",
    "SemanticTypeIri": "urn:effortless:pko-extension#FieldGrant",
    "Name": "principal-process-steward -&gt; ProcedureExecutions.OperationalRecordUri",
    "FieldTable": "ProcedureExecutions",
    "FieldName": "OperationalRecordUri",
    "FieldIsDerived": false,
    "IsWritableDerivedField": false,
    "IsMasked": false,
    "GrantKeyWhenReadable": "principal-process-steward|ProcedureExecutions"
   },
   {
    "FieldGrantId": "fg-process-steward-ProcedureExecutions.ExpectedStepCount",
    "Principal": "principal-process-steward",
    "TargetField": "ProcedureExecutions.ExpectedStepCount",
    "CanRead": true,
    "CanWrite": false,
    "MaskStrategy": "plain",
    "SemanticTypeIri": "urn:effortless:pko-extension#FieldGrant",
    "Name": "principal-process-steward -&gt; ProcedureExecutions.ExpectedStepCount",
    "FieldTable": "ProcedureExecutions",
    "FieldName": "ExpectedStepCount",
    "FieldIsDerived": true,
    "IsWritableDerivedField": false,
    "IsMasked": false,
    "GrantKeyWhenReadable": "principal-process-steward|ProcedureExecutions"
   },
   {
    "FieldGrantId": "fg-process-steward-ProcedureExecutions.CompletedStepCount",
    "Principal": "principal-process-steward",
    "TargetField": "ProcedureExecutions.CompletedStepCount",
    "CanRead": true,
    "CanWrite": false,
    "MaskStrategy": "plain",
    "SemanticTypeIri": "urn:effortless:pko-extension#FieldGrant",
    "Name": "principal-process-steward -&gt; ProcedureExecutions.CompletedStepCount",
    "FieldTable": "ProcedureExecutions",
    "FieldName": "CompletedStepCount",
    "FieldIsDerived": true,
    "IsWritableDerivedField": false,
    "IsMasked": false,
    "GrantKeyWhenReadable": "principal-process-steward|ProcedureExecutions"
   },
   {
    "FieldGrantId": "fg-process-steward-ProcedureExecutions.ControlBreachCount",
    "Principal": "principal-process-steward",
    "TargetField": "ProcedureExecutions.ControlBreachCount",
    "CanRead": true,
    "CanWrite": false,
    "MaskStrategy": "plain",
    "SemanticTypeIri": "urn:effortless:pko-extension#FieldGrant",
    "Name": "principal-process-steward -&gt; ProcedureExecutions.ControlBreachCount",
    "FieldTable": "ProcedureExecutions",
    "FieldName": "ControlBreachCount",
    "FieldIsDerived": true,
    "IsWritableDerivedField": false,
    "IsMasked": false,
    "GrantKeyWhenReadable": "principal-process-steward|ProcedureExecutions"
   },
   {
    "FieldGrantId": "fg-process-steward-ProcedureExecutions.LateStepCount",
    "Principal": "principal-process-steward",
    "TargetField": "ProcedureExecutions.LateStepCount",
    "CanRead": true,
    "CanWrite": false,
    "MaskStrategy": "plain",
    "SemanticTypeIri": "urn:effortless:pko-extension#FieldGrant",
    "Name": "principal-process-steward -&gt; ProcedureExecutions.LateStepCount",
    "FieldTable": "ProcedureExecutions",
    "FieldName": "LateStepCount",
    "FieldIsDerived": true,
    "IsWritableDerivedField": false,
    "IsMasked": false,
    "GrantKeyWhenReadable": "principal-process-steward|ProcedureExecutions"
   },
   {
    "FieldGrantId": "fg-process-steward-ProcedureExecutions.IsStructurallyComplete",
    "Principal": "principal-process-steward",
    "TargetField": "ProcedureExecutions.IsStructurallyComplete",
    "CanRead": true,
    "CanWrite": false,
    "MaskStrategy": "plain",
    "SemanticTypeIri": "urn:effortless:pko-extension#FieldGrant",
    "Name": "principal-process-steward -&gt; ProcedureExecutions.IsStructurallyComplete",
    "FieldTable": "ProcedureExecutions",
    "FieldName": "IsStructurallyComplete",
    "FieldIsDerived": true,
    "IsWritableDerivedField": false,
    "IsMasked": false,
    "GrantKeyWhenReadable": "principal-process-steward|ProcedureExecutions"
   },
   {
    "FieldGrantId": "fg-process-steward-ProcedureExecutions.DivergedFromSpecification",
    "Principal": "principal-process-steward",
    "TargetField": "ProcedureExecutions.DivergedFromSpecification",
    "CanRead": true,
    "CanWrite": false,
    "MaskStrategy": "plain",
    "SemanticTypeIri": "urn:effortless:pko-extension#FieldGrant",
    "Name": "principal-process-steward -&gt; ProcedureExecutions.DivergedFromSpecification",
    "FieldTable": "ProcedureExecutions",
    "FieldName": "DivergedFromSpecification",
    "FieldIsDerived": true,
    "IsWritableDerivedField": false,
    "IsMasked": false,
    "GrantKeyWhenReadable": "principal-process-steward|ProcedureExecutions"
   },
   {
    "FieldGrantId": "fg-process-steward-ProcedureExecutions.AllBlockingControlsEvaluated",
    "Principal": "principal-process-steward",
    "TargetField": "ProcedureExecutions.AllBlockingControlsEvaluated",
    "CanRead": true,
    "CanWrite": false,
    "MaskStrategy": "plain",
    "SemanticTypeIri": "urn:effortless:pko-extension#FieldGrant",
    "Name": "principal-process-steward -&gt; ProcedureExecutions.AllBlockingControlsEvaluated",
    "FieldTable": "ProcedureExecutions",
    "FieldName": "AllBlockingControlsEvaluated",
    "FieldIsDerived": true,
    "IsWritableDerivedField": false,
    "IsMasked": false,
    "GrantKeyWhenReadable": "principal-process-steward|ProcedureExecutions"
   },
   {
    "FieldGrantId": "fg-process-steward-ProcedureExecutions.UnevaluatedBlockingTotal",
    "Principal": "principal-process-steward",
    "TargetField": "ProcedureExecutions.UnevaluatedBlockingTotal",
    "CanRead": true,
    "CanWrite": false,
    "MaskStrategy": "plain",
    "SemanticTypeIri": "urn:effortless:pko-extension#FieldGrant",
    "Name": "principal-process-steward -&gt; ProcedureExecutions.UnevaluatedBlockingTotal",
    "FieldTable": "ProcedureExecutions",
    "FieldName": "UnevaluatedBlockingTotal",
    "FieldIsDerived": true,
    "IsWritableDerivedField": false,
    "IsMasked": false,
    "GrantKeyWhenReadable": "principal-process-steward|ProcedureExecutions"
   },
   {
    "FieldGrantId": "fg-process-steward-ProcedureExecutions.SeparationOfDutiesHeld",
    "Principal": "principal-process-steward",
    "TargetField": "ProcedureExecutions.SeparationOfDutiesHeld",
    "CanRead": true,
    "CanWrite": false,
    "MaskStrategy": "plain",
    "SemanticTypeIri": "urn:effortless:pko-extension#FieldGrant",
    "Name": "principal-process-steward -&gt; ProcedureExecutions.SeparationOfDutiesHeld",
    "FieldTable": "ProcedureExecutions",
    "FieldName": "SeparationOfDutiesHeld",
    "FieldIsDerived": true,
    "IsWritableDerivedField": false,
    "IsMasked": false,
    "GrantKeyWhenReadable": "principal-process-steward|ProcedureExecutions"
   },
   {
    "FieldGrantId": "fg-process-steward-ProcedureExecutions.SeparationViolationCount",
    "Principal": "principal-process-steward",
    "TargetField": "ProcedureExecutions.SeparationViolationCount",
    "CanRead": true,
    "CanWrite": false,
    "MaskStrategy": "plain",
    "SemanticTypeIri": "urn:effortless:pko-extension#FieldGrant",
    "Name": "principal-process-steward -&gt; ProcedureExecutions.SeparationViolationCount",
    "FieldTable": "ProcedureExecutions",
    "FieldName": "SeparationViolationCount",
    "FieldIsDerived": true,
    "IsWritableDerivedField": false,
    "IsMasked": false,
    "GrantKeyWhenReadable": "principal-process-steward|ProcedureExecutions"
   },
   {
    "FieldGrantId": "fg-process-steward-ProcedureExecutions.IsAttestationReady",
    "Principal": "principal-process-steward",
    "TargetField": "ProcedureExecutions.IsAttestationReady",
    "CanRead": true,
    "CanWrite": false,
    "MaskStrategy": "plain",
    "SemanticTypeIri": "urn:effortless:pko-extension#FieldGrant",
    "Name": "principal-process-steward -&gt; ProcedureExecutions.IsAttestationReady",
    "FieldTable": "ProcedureExecutions",
    "FieldName": "IsAttestationReady",
    "FieldIsDerived": true,
    "IsWritableDerivedField": false,
    "IsMasked": false,
    "GrantKeyWhenReadable": "principal-process-steward|ProcedureExecutions"
   },
   {
    "FieldGrantId": "fg-process-steward-ProcedureExecutions.AttestationBlockerSummary",
    "Principal": "principal-process-steward",
    "TargetField": "ProcedureExecutions.AttestationBlockerSummary",
    "CanRead": true,
    "CanWrite": false,
    "MaskStrategy": "plain",
    "SemanticTypeIri": "urn:effortless:pko-extension#FieldGrant",
    "Name": "principal-process-steward -&gt; ProcedureExecutions.AttestationBlockerSummary",
    "FieldTable": "ProcedureExecutions",
    "FieldName": "AttestationBlockerSummary",
    "FieldIsDerived": true,
    "IsWritableDerivedField": false,
    "IsMasked": false,
    "GrantKeyWhenReadable": "principal-process-steward|ProcedureExecutions"
   },
   {
    "FieldGrantId": "fg-process-steward-ProcedureExecutions.ExecutedVersionIsFit",
    "Principal": "principal-process-steward",
    "TargetField": "ProcedureExecutions.ExecutedVersionIsFit",
    "CanRead": true,
    "CanWrite": false,
    "MaskStrategy": "plain",
    "SemanticTypeIri": "urn:effortless:pko-extension#FieldGrant",
    "Name": "principal-process-steward -&gt; ProcedureExecutions.ExecutedVersionIsFit",
    "FieldTable": "ProcedureExecutions",
    "FieldName": "ExecutedVersionIsFit",
    "FieldIsDerived": true,
    "IsWritableDerivedField": false,
    "IsMasked": false,
    "GrantKeyWhenReadable": "principal-process-steward|ProcedureExecutions"
   },
   {
    "FieldGrantId": "fg-process-steward-ProcedureExecutions.SignedAgainstUnfitVersion",
    "Principal": "principal-process-steward",
    "TargetField": "ProcedureExecutions.SignedAgainstUnfitVersion",
    "CanRead": true,
    "CanWrite": false,
    "MaskStrategy": "plain",
    "SemanticTypeIri": "urn:effortless:pko-extension#FieldGrant",
    "Name": "principal-process-steward -&gt; ProcedureExecutions.SignedAgainstUnfitVersion",
    "FieldTable": "ProcedureExecutions",
    "FieldName": "SignedAgainstUnfitVersion",
    "FieldIsDerived": true,
    "IsWritableDerivedField": false,
    "IsMasked": false,
    "GrantKeyWhenReadable": "principal-process-steward|ProcedureExecutions"
   },
   {
    "FieldGrantId": "fg-process-steward-ProcedureExecution</t>
  </si>
  <si>
    <t xml:space="preserve">s.AssertedOnlyControlCount",
    "Principal": "principal-process-steward",
    "TargetField": "ProcedureExecutions.AssertedOnlyControlCount",
    "CanRead": true,
    "CanWrite": false,
    "MaskStrategy": "plain",
    "SemanticTypeIri": "urn:effortless:pko-extension#FieldGrant",
    "Name": "principal-process-steward -&gt; ProcedureExecutions.AssertedOnlyControlCount",
    "FieldTable": "ProcedureExecutions",
    "FieldName": "AssertedOnlyControlCount",
    "FieldIsDerived": true,
    "IsWritableDerivedField": false,
    "IsMasked": false,
    "GrantKeyWhenReadable": "principal-process-steward|ProcedureExecutions"
   },
   {
    "FieldGrantId": "fg-process-steward-ProcedureExecutions.AssuranceIsMostlyAsserted",
    "Principal": "principal-process-steward",
    "TargetField": "ProcedureExecutions.AssuranceIsMostlyAsserted",
    "CanRead": true,
    "CanWrite": false,
    "MaskStrategy": "plain",
    "SemanticTypeIri": "urn:effortless:pko-extension#FieldGrant",
    "Name": "principal-process-steward -&gt; ProcedureExecutions.AssuranceIsMostlyAsserted",
    "FieldTable": "ProcedureExecutions",
    "FieldName": "AssuranceIsMostlyAsserted",
    "FieldIsDerived": true,
    "IsWritableDerivedField": false,
    "IsMasked": false,
    "GrantKeyWhenReadable": "principal-process-steward|ProcedureExecutions"
   },
   {
    "FieldGrantId": "fg-process-steward-ProcedureExecutions.UnreachableHandlingFailureCount",
    "Principal": "principal-process-steward",
    "TargetField": "ProcedureExecutions.UnreachableHandlingFailureCount",
    "CanRead": true,
    "CanWrite": false,
    "MaskStrategy": "plain",
    "SemanticTypeIri": "urn:effortless:pko-extension#FieldGrant",
    "Name": "principal-process-steward -&gt; ProcedureExecutions.UnreachableHandlingFailureCount",
    "FieldTable": "ProcedureExecutions",
    "FieldName": "UnreachableHandlingFailureCount",
    "FieldIsDerived": true,
    "IsWritableDerivedField": false,
    "IsMasked": false,
    "GrantKeyWhenReadable": "principal-process-steward|ProcedureExecutions"
   },
   {
    "FieldGrantId": "fg-process-steward-ProcedureExecutions.RetentionBreachCount",
    "Principal": "principal-process-steward",
    "TargetField": "ProcedureExecutions.RetentionBreachCount",
    "CanRead": true,
    "CanWrite": false,
    "MaskStrategy": "plain",
    "SemanticTypeIri": "urn:effortless:pko-extension#FieldGrant",
    "Name": "principal-process-steward -&gt; ProcedureExecutions.RetentionBreachCount",
    "FieldTable": "ProcedureExecutions",
    "FieldName": "RetentionBreachCount",
    "FieldIsDerived": true,
    "IsWritableDerivedField": false,
    "IsMasked": false,
    "GrantKeyWhenReadable": "principal-process-steward|ProcedureExecutions"
   },
   {
    "FieldGrantId": "fg-process-steward-ProcedureExecutions.ClearedLegalReviewCount",
    "Principal": "principal-process-steward",
    "TargetField": "ProcedureExecutions.ClearedLegalReviewCount",
    "CanRead": true,
    "CanWrite": false,
    "MaskStrategy": "plain",
    "SemanticTypeIri": "urn:effortless:pko-extension#FieldGrant",
    "Name": "principal-process-steward -&gt; ProcedureExecutions.ClearedLegalReviewCount",
    "FieldTable": "ProcedureExecutions",
    "FieldName": "ClearedLegalReviewCount",
    "FieldIsDerived": true,
    "IsWritableDerivedField": false,
    "IsMasked": false,
    "GrantKeyWhenReadable": "principal-process-steward|ProcedureExecutions"
   },
   {
    "FieldGrantId": "fg-process-steward-ProcedureExecutions.HasClearedLegalReview",
    "Principal": "principal-process-steward",
    "TargetField": "ProcedureExecutions.HasClearedLegalReview",
    "CanRead": true,
    "CanWrite": false,
    "MaskStrategy": "plain",
    "SemanticTypeIri": "urn:effortless:pko-extension#FieldGrant",
    "Name": "principal-process-steward -&gt; ProcedureExecutions.HasClearedLegalReview",
    "FieldTable": "ProcedureExecutions",
    "FieldName": "HasClearedLegalReview",
    "FieldIsDerived": true,
    "IsWritableDerivedField": false,
    "IsMasked": false,
    "GrantKeyWhenReadable": "principal-process-steward|ProcedureExecutions"
   },
   {
    "FieldGrantId": "fg-process-steward-ProcedureExecutions.AbandonedFailureCount",
    "Principal": "principal-process-steward",
    "TargetField": "ProcedureExecutions.AbandonedFailureCount",
    "CanRead": true,
    "CanWrite": false,
    "MaskStrategy": "plain",
    "SemanticTypeIri": "urn:effortless:pko-extension#FieldGrant",
    "Name": "principal-process-steward -&gt; ProcedureExecutions.AbandonedFailureCount",
    "FieldTable": "ProcedureExecutions",
    "FieldName": "AbandonedFailureCount",
    "FieldIsDerived": true,
    "IsWritableDerivedField": false,
    "IsMasked": false,
    "GrantKeyWhenReadable": "principal-process-steward|ProcedureExecutions"
   },
   {
    "FieldGrantId": "fg-process-steward-ProcedureExecutions.DeliveredCount",
    "Principal": "principal-process-steward",
    "TargetField": "ProcedureExecutions.DeliveredCount",
    "CanRead": true,
    "CanWrite": false,
    "MaskStrategy": "plain",
    "SemanticTypeIri": "urn:effortless:pko-extension#FieldGrant",
    "Name": "principal-process-steward -&gt; ProcedureExecutions.DeliveredCount",
    "FieldTable": "ProcedureExecutions",
    "FieldName": "DeliveredCount",
    "FieldIsDerived": true,
    "IsWritableDerivedField": false,
    "IsMasked": false,
    "GrantKeyWhenReadable": "principal-process-steward|ProcedureExecutions"
   },
   {
    "FieldGrantId": "fg-process-steward-ProcedureExecutions.TotalDeliveryAttemptCount",
    "Principal": "principal-process-steward",
    "TargetField": "ProcedureExecutions.TotalDeliveryAttemptCount",
    "CanRead": true,
    "CanWrite": false,
    "MaskStrategy": "plain",
    "SemanticTypeIri": "urn:effortless:pko-extension#FieldGrant",
    "Name": "principal-process-steward -&gt; ProcedureExecutions.TotalDeliveryAttemptCount",
    "FieldTable": "ProcedureExecutions",
    "FieldName": "TotalDeliveryAttemptCount",
    "FieldIsDerived": true,
    "IsWritableDerivedField": false,
    "IsMasked": false,
    "GrantKeyWhenReadable": "principal-process-steward|ProcedureExecutions"
   },
   {
    "FieldGrantId": "fg-process-steward-ProcedureExecutions.HasAbandonedFailures",
    "Principal": "principal-process-steward",
    "TargetField": "ProcedureExecutions.HasAbandonedFailures",
    "CanRead": true,
    "CanWrite": false,
    "MaskStrategy": "plain",
    "SemanticTypeIri": "urn:effortless:pko-extension#FieldGrant",
    "Name": "principal-process-steward -&gt; ProcedureExecutions.HasAbandonedFailures",
    "FieldTable": "ProcedureExecutions",
    "FieldName": "HasAbandonedFailures",
    "FieldIsDerived": true,
    "IsWritableDerivedField": false,
    "IsMasked": false,
    "GrantKeyWhenReadable": "principal-process-steward|ProcedureExecutions"
   },
   {
    "FieldGrantId": "fg-process-steward-ProcedureExecutions.MishandledRefusalCount",
    "Principal": "principal-process-steward",
    "TargetField": "ProcedureExecutions.MishandledRefusalCount",
    "CanRead": true,
    "CanWrite": false,
    "MaskStrategy": "plain",
    "SemanticTypeIri": "urn:effortless:pko-extension#FieldGrant",
    "Name": "principal-process-steward -&gt; ProcedureExecutions.MishandledRefusalCount",
    "FieldTable": "ProcedureExecutions",
    "FieldName": "MishandledRefusalCount",
    "FieldIsDerived": true,
    "IsWritableDerivedField": false,
    "IsMasked": false,
    "GrantKeyWhenReadable": "principal-process-steward|ProcedureExecutions"
   },
   {
    "FieldGrantId": "fg-process-steward-ProcedureExecutions.UncleanStepCount",
    "Principal": "principal-process-steward",
    "TargetField": "ProcedureExecutions.UncleanStepCount",
    "CanRead": true,
    "CanWrite": false,
    "MaskStrategy": "plain",
    "SemanticTypeIri": "urn:effortless:pko-extension#FieldGrant",
    "Name": "principal-process-steward -&gt; ProcedureExecutions.UncleanStepCount",
    "FieldTable": "ProcedureExecutions",
    "FieldName": "UncleanStepCount",
    "FieldIsDerived": true,
    "IsWritableDerivedField": false,
    "IsMasked": false,
    "GrantKeyWhenReadable": "principal-process-steward|ProcedureExecutions"
   },
   {
    "FieldGrantId": "fg-process-steward-ProcedureExecutions.RanClean",
    "Principal": "principal-process-steward",
    "TargetField": "ProcedureExecutions.RanClean",
    "CanRead": true,
    "CanWrite": false,
    "MaskStrategy": "plain",
    "SemanticTypeIri": "urn:effortless:pko-extension#FieldGrant",
    "Name": "principal-process-steward -&gt; ProcedureExecutions.RanClean",
    "FieldTable": "ProcedureExecutions",
    "FieldName": "RanClean",
    "FieldIsDerived": true,
    "IsWritableDerivedField": false,
    "IsMasked": false,
    "GrantKeyWhenReadable": "principal-process-steward|ProcedureExecutions"
   },
   {
    "FieldGrantId": "fg-process-steward-ProcedureExecutions.CountOfApprovalExecutions",
    "Principal": "principal-process-steward",
    "TargetField": "ProcedureExecutions.CountOfApprovalExecutions",
    "CanRead": true,
    "CanWrite": false,
    "MaskStrategy": "plain",
    "SemanticTypeIri": "urn:effortless:pko-extension#FieldGrant",
    "Name": "principal-process-steward -&gt; ProcedureExecutions.CountOfApprovalExecutions",
    "FieldTable": "ProcedureExecutions",
    "FieldName": "CountOfApprovalExecutions",
    "FieldIsDerived": true,
    "IsWritableDerivedField": false,
    "IsMasked": false,
    "GrantKeyWhenReadable": "principal-process-steward|ProcedureExecutions"
   },
   {
    "FieldGrantId": "fg-process-steward-ProcedureExecutions.HasHumanApproval",
    "Principal": "principal-process-steward",
    "TargetField": "ProcedureExecutions.HasHumanApproval",
    "CanRead": true,
    "CanWrite": false,
    "MaskStrategy": "plain",
    "SemanticTypeIri": "urn:effortless:pko-extension#FieldGrant",
    "Name": "principal-process-steward -&gt; ProcedureExecutions.HasHumanApproval",
    "FieldTable": "ProcedureExecutions",
    "FieldName": "HasHumanApproval",
    "FieldIsDerived": true,
    "IsWritableDerivedField": false,
    "IsMasked": false,
    "GrantKeyWhenReadable": "principal-process-steward|ProcedureExecutions"
   },
   {
    "FieldGrantId": "fg-process-steward-ProcedureExecutions.CountOfDeliveryExecutions",
    "Principal": "principal-process-steward",
    "TargetField": "ProcedureExecutions.CountOfDeliveryExecutions",
    "CanRead": true,
    "CanWrite": false,
    "MaskStrategy": "plain",
    "SemanticTypeIri": "urn:effortless:pko-extension#FieldGrant",
    "Name": "principal-process-steward -&gt; ProcedureExecutions.CountOfDeliveryExecutions",
    "FieldTable": "ProcedureExecutions",
    "FieldName": "CountOfDeliveryExecutions",
    "FieldIsDerived": true,
    "IsWritableDerivedField": false,
    "IsMasked": false,
    "GrantKeyWhenReadable": "principal-process-steward|ProcedureExecutions"
   },
   {
    "FieldGrantId": "fg-process-steward-ProcedureExecutions.HasDelivered",
    "Principal": "principal-process-steward",
    "TargetField": "ProcedureExecutions.HasDelivered",
    "CanRead": true,
    "CanWrite": false,
    "MaskStrategy": "plain",
    "SemanticTypeIri": "urn:effortless:pko-extension#FieldGrant",
    "Name": "principal-process-steward -&gt; ProcedureExecutions.HasDelivered",
    "FieldTable": "ProcedureExecutions",
    "FieldName": "HasDelivered",
    "FieldIsDerived": true,
    "IsWritableDerivedField": false,
    "IsMasked": false,
    "GrantKeyWhenReadable": "principal-process-steward|ProcedureExecutions"
   },
   {
    "FieldGrantId": "fg-process-steward-ProcedureExecutions.DeliveredWithoutApproval",
    "Principal": "principal-process-steward",
    "TargetField": "ProcedureExecutions.DeliveredWithoutApproval",
    "CanRead": true,
    "CanWrite": false,
    "MaskStrategy": "plain",
    "SemanticTypeIri": "urn:effortless:pko-extension#FieldGrant",
    "Name": "principal-process-steward -&gt; ProcedureExecutions.DeliveredWithoutApproval",
    "FieldTable": "ProcedureExecutions",
    "FieldName": "DeliveredWithoutApproval",
    "FieldIsDerived": true,
    "IsWritableDerivedField": false,
    "IsMasked": false,
    "GrantKeyWhenReadable": "principal-process-steward|ProcedureExecutions"
   },
   {
    "FieldGrantId": "fg-process-steward-ProcedureExecutions.InvalidApprovalCount",
    "Principal": "principal-process-steward",
    "TargetField": "ProcedureExecutions.InvalidApprovalCount",
    "CanRead": true,
    "CanWrite": false,
    "MaskStrategy": "plain",
    "SemanticTypeIri": "urn:effortless:pko-extension#FieldGrant",
    "Name": "principal-process-steward -&gt; ProcedureExecutions.InvalidApprovalCount",
    "FieldTable": "ProcedureExecutions",
    "FieldName": "InvalidApprovalCount",
    "FieldIsDerived": true,
    "IsWritableDerivedField": false,
    "IsMasked": false,
    "GrantKeyWhenReadable": "principal-process-steward|ProcedureExecutions"
   },
   {
    "FieldGrantId": "fg-process-steward-ProcedureExecutions.ApprovalChainIsComplete",
    "Principal": "principal-process-steward",
    "TargetField": "ProcedureExecutions.ApprovalChainIsComplete",
    "CanRead": true,
    "CanWrite": false,
    "MaskStrategy": "plain",
    "SemanticTypeIri": "urn:effortless:pko-extension#FieldGrant",
    "Name": "principal-process-steward -&gt; ProcedureExecutions.ApprovalChainIsComplete",
    "FieldTable": "ProcedureExecutions",
    "FieldName": "ApprovalChainIsComplete",
    "FieldIsDerived": true,
    "IsWritableDerivedField": false,
    "IsMasked": false,
    "GrantKeyWhenReadable": "principal-process-steward|ProcedureExecutions"
   },
   {
    "FieldGrantId": "fg-process-steward-ProcedureExecutions.VacuouslyCleanStepCount",
    "Principal": "principal-process-steward",
    "TargetField": "ProcedureExecutions.VacuouslyCleanStepCount",
    "CanRead": true,
    "CanWrite": false,
    "MaskStrategy": "plain",
    "SemanticTypeIri": "urn:effortless:pko-extension#FieldGrant",
    "Name": "principal-process-steward -&gt; ProcedureExecutions.VacuouslyCleanStepCount",
    "FieldTable": "ProcedureExecutions",
    "FieldName": "VacuouslyCleanStepCount",
    "FieldIsDerived": true,
    "IsWritableDerivedField": false,
    "IsMasked": false,
    "GrantKeyWhenReadable": "principal-process-steward|ProcedureExecutions"
   },
   {
    "FieldGrantId": "fg-process-steward-ProcedureExecutions.PreparationStepCount",
    "Principal": "principal-process-steward",
    "TargetField": "ProcedureExecutions.PreparationStepCount",
    "CanRead": true,
    "CanWrite": false,
    "MaskStrategy": "plain",
    "SemanticTypeIri": "urn:effortless:pko-extension#FieldGrant",
    "Name": "principal-process-steward -&gt; ProcedureExecutions.PreparationStepCount",
    "FieldTable": "ProcedureExecutions",
    "FieldName": "PreparationStepCount",
    "FieldIsDerived": true,
    "IsWritableDerivedField": false,
    "IsMasked": false,
    "GrantKeyWhenReadable": "principal-process-steward|ProcedureExecutions"
   },
   {
    "FieldGrantId": "fg-process-steward-ProcedureExecutions.ApprovalStepCount",
    "Principal": "principal-process-steward",
    "TargetField": "ProcedureExecutions.ApprovalStepCount",
    "CanRead": true,
    "CanWrite": false,
    "MaskStrategy": "plain",
    "SemanticTypeIri": "urn:effortless:pko-extension#FieldGrant",
    "Name": "principal-process-steward -&gt; ProcedureExecutions.ApprovalStepCount",
    "FieldTable": "ProcedureExecutions",
    "FieldName": "ApprovalStepCount",
    "FieldIsDerived": true,
    "IsWritableDerivedField": false,
    "IsMasked": false,
    "GrantKeyWhenReadable": "principal-process-steward|ProcedureExecutions"
   },
   {
    "FieldGrantId": "fg-process-steward-ProcedureExecutions.SeparationWasTestable",
    "Principal": "principal-process-steward",
    "TargetField": "ProcedureExecutions.SeparationWasTestable",
    "CanRead": true,
    "CanWrite": false,
    "MaskStrategy": "plain",
    "SemanticTypeIri": "urn:effortless:pko-extension#FieldGrant",
    "Name": "principal-process-steward -&gt; ProcedureExecutions.SeparationWasTestable",
    "FieldTable": "ProcedureExecutions",
    "FieldName": "SeparationWasTestable",
    "FieldIsDerived": true,
    "IsWritableDerivedField": false,
    "IsMasked": false,
    "GrantKeyWhenReadable": "principal-process-steward|ProcedureExecutions"
   },
   {
    "FieldGrantId": "fg-process-steward-ProcedureExecutions.SeparationHeldUnderTest",
    "Principal": "principal-process-steward",
    "TargetField": "ProcedureExecutions.SeparationHeldUnderTest",
    "CanRead": true,
    "CanWrite": false,
    "MaskStrategy": "plain",
    "SemanticTypeIri": "urn:effortless:pko-extension#FieldGrant",
    "Name": "principal-process-steward -&gt; ProcedureExecutions.SeparationHeldUnderTest",
    "FieldTable": "ProcedureExecutions",
    "FieldName": "SeparationHeldUnderTest",
    "FieldIsDerived": true,
    "IsWritableDerivedField": false,
    "IsMasked": false,
    "GrantKeyWhenReadable": "principal-process-steward|ProcedureExecutions"
   },
   {
    "FieldGrantId": "fg-process-steward-ProcedureExecutions.SeparationIsVacuouslyGreen",
    "Principal": "principal-process-steward",
    "TargetField": "ProcedureExecutions.SeparationIsVacuouslyGreen",
    "CanRead": true,
    "CanWrite": false,
    "MaskStrategy": "plain",
    "SemanticTypeIri": "urn:effortless:pko-extension#FieldGrant",
    "Name": "principal-process-steward -&gt; ProcedureExecutions.SeparationIsVacuouslyGreen",
    "FieldTable": "ProcedureExecutions",
    "FieldName": "SeparationIsVacuouslyGreen",
    "FieldIsDerived": true,
    "IsWritableDerivedField": false,
    "IsMasked": false,
    "GrantKeyWhenReadable": "principal-process-steward|ProcedureExecutions"
   },
   {
    "FieldGrantId": "fg-process-steward-ProcedureExecutions.SeparationAssuranceNote",
    "Principal": "principal-process-steward",
    "TargetField": "ProcedureExecutions.SeparationAssuranceNote",
    "CanRead": true,
    "CanWrite": false,
    "MaskStrategy": "plain",
    "SemanticTypeIri": "urn:effortless:pko-extension#FieldGrant",
    "Name": "principal-process-steward -&gt; ProcedureExecutions.SeparationAssuranceNote",
    "FieldTable": "ProcedureExecutions",
    "FieldName": "SeparationAssuranceNote",
    "FieldIsDerived": true,
    "IsWritableDerivedField": false,
    "IsMasked": false,
    "GrantKeyWhenReadable": "principal-process-steward|ProcedureExecutions"
   },
   {
    "FieldGrantId": "fg-process-steward-ProcedureExecutions.UngovernedDivergenceCount",
    "Principal": "principal-process-steward",
    "TargetField": "ProcedureExecutions.UngovernedDivergenceCount",
    "CanRead": true,
    "CanWrite": false,
    "MaskStrategy": "plain",
    "SemanticTypeIri": "urn:effortless:pko-extension#FieldGrant",
    "Name": "principal-process-steward -&gt; ProcedureExecutions.UngovernedDivergenceCount",
    "FieldTable": "ProcedureExecutions",
    "FieldName": "UngovernedDivergenceCount",
    "FieldIsDerived": true,
    "IsWritableDerivedField": false,
    "IsMasked": false,
    "GrantKeyWhenReadable": "principal-process-steward|ProcedureExecutions"
   },
   {
    "FieldGrantId": "fg-process-steward-ProcedureExecutions.DivergenceWasFullyGoverned",
    "Principal": "principal-process-steward",
    "TargetField": "ProcedureExecutions.DivergenceWasFullyGoverned",
    "CanRead": true,
    "CanWrite": false,
    "MaskStrategy": "plain",
    "SemanticTypeIri": "urn:effortless:pko-extension#FieldGrant",
    "Name": "principal-process-steward -&gt; ProcedureExecutions.DivergenceWasFullyGoverned",
    "FieldTable": "ProcedureExecutions",
    "FieldName": "DivergenceWasFullyGoverned",
    "FieldIsDerived": true,
    "IsWritableDerivedField": false,
    "IsMasked": false,
    "GrantKeyWhenReadable": "principal-process-steward|ProcedureExecutions"
   },
   {
    "FieldGrantId": "fg-process-steward-ProcedureExecutions.ComputedlyWitnessedControlCount",
    "Principal": "principal-process-steward",
    "TargetField": "ProcedureExecutions.ComputedlyWitnessedControlCount",
    "CanRead": true,
    "CanWrite": false,
    "MaskStrategy": "plain",
    "SemanticTypeIri": "urn:effortless:pko-extension#FieldGrant",
    "Name": "principal-process-steward -&gt; ProcedureExecutions.ComputedlyWitnessedControlCount",
    "FieldTable": "ProcedureExecutions",
    "FieldName": "ComputedlyWitnessedControlCount",
    "FieldIsDerived": true,
    "IsWritableDerivedField": false,
    "IsMasked": false,
    "GrantKeyWhenReadable": "principal-process-steward|ProcedureExecutions"
   },
   {
    "FieldGrantId": "fg-process-steward-ProcedureExecutions.EvaluatedControlCount",
    "Principal": "principal-process-steward",
    "TargetField": "ProcedureExecutions.EvaluatedControlCount",
    "CanRead": true,
    "CanWrite": false,
    "MaskStrategy": "plain",
    "SemanticTypeIri": "urn:effortless:pko-extension#FieldGrant",
    "Name": "principal-process-steward -&gt; ProcedureExecutions.EvaluatedControlCount",
    "FieldTable": "ProcedureExecutions",
    "FieldName": "EvaluatedControlCount",
    "FieldIsDerived": true,
    "IsWritableDerivedField": false,
    "IsMasked": false,
    "GrantKeyWhenReadable": "principal-process-steward|ProcedureExecutions"
   },
   {
    "FieldGrantId": "fg-process-steward-ProcedureExecutions.ComputedAssuranceRatio",
    "Principal": "principal-process-steward",
    "TargetField": "ProcedureExecutions.ComputedAssuranceRatio",
    "CanRead": true,
    "CanWrite": false,
    "MaskStrategy": "plain",
    "SemanticTypeIri": "urn:effortless:pko-extension#FieldGrant",
    "Name": "principal-process-steward -&gt; ProcedureExecutions.ComputedAssuranceRatio",
    "FieldTable": "ProcedureExecutions",
    "FieldName": "ComputedAssuranceRatio",
    "FieldIsDerived": true,
    "IsWritableDerivedField": false,
    "IsMasked": false,
    "GrantKeyWhenReadable": "principal-process-steward|ProcedureExecutions"
   },
   {
    "FieldGrantId": "fg-process-steward-ProcedureExecutions.InterestedPartyAssertionCount",
    "Principal": "principal-process-steward",
    "TargetField": "ProcedureExecutions.InterestedPartyAssertionCount",
    "CanRead": true,
    "CanWrite": false,
    "MaskStrategy": "plain",
    "SemanticTypeIri": "urn:effortless:pko-extension#FieldGrant",
    "Name": "principal-process-steward -&gt; ProcedureExecutions.InterestedPartyAssertionCount",
    "FieldTable": "ProcedureExecutions",
    "FieldName": "InterestedPartyAssertionCount",
    "FieldIsDerived": true,
    "IsWritableDerivedField": false,
    "IsMasked": false,
    "GrantKeyWhenReadable": "principal-process-steward|ProcedureExecutions"
   },
   {
    "FieldGrantId": "fg-process-steward-ProcedureExecutions.AssuranceGrade",
    "Principal": "principal-process-steward",
    "TargetField": "ProcedureExecutions.AssuranceGrade",
    "CanRead": true,
    "CanWrite": false,
    "MaskStrategy": "plain",
    "SemanticTypeIri": "urn:effortless:pko-extension#FieldGrant",
    "Name": "principal-process-steward -&gt; ProcedureExecutions.AssuranceGrade",
    "FieldTable": "ProcedureExecutions",
    "FieldName": "AssuranceGrade",
    "FieldIsDerived": true,
    "IsWritableDerivedField": false,
    "IsMasked": false,
    "GrantKeyWhenReadable": "principal-process-steward|ProcedureExecutions"
   },
   {
    "FieldGrantId": "fg-process-steward-ProcedureExecutions.AttestationWouldBeWeaklyBased",
    "Principal": "principal-process-steward",
    "TargetField": "ProcedureExecutions.AttestationWouldBeWeaklyBased",
    "CanRead": true,
    "CanWrite": false,
    "MaskStrategy": "plain",
    "SemanticTypeIri": "urn:effortless:pko-extension#FieldGrant",
    "Name": "principal-process-steward -&gt; ProcedureExecutions.AttestationWouldBeWeaklyBased",
    "FieldTable": "ProcedureExecutions",
    "FieldName": "AttestationWouldBeWeaklyBased",
    "FieldIsDerived": true,
    "IsWritableDerivedField": false,
    "IsMasked": false,
    "GrantKeyWhenReadable": "principal-process-steward|ProcedureExecutions"
   },
   {
    "FieldGrantId": "fg-process-steward-ProcedureExecutions.IndependentHumanObservationCount",
    "Principal": "principal-process-steward",
    "TargetField": "ProcedureExecutions.IndependentHumanObservationCount",
    "CanRead": true,
    "CanWrite": false,
    "MaskStrategy": "plain",
    "SemanticTypeIri": "urn:effortless:pko-extension#FieldGrant",
    "Name": "principal-process-steward -&gt; ProcedureExecutions.IndependentHumanObservationCount",
    "FieldTable": "ProcedureExecutions",
    "FieldName": "IndependentHumanObservationCount",
    "FieldIsDerived": true,
    "IsWritableDerivedField": false,
    "IsMasked": false,
    "GrantKeyWhenReadable": "principal-process-steward|ProcedureExecutions"
   },
   {
    "FieldGrantId": "fg-process-steward-ProcedureExecutions.HasAnyIndependentObservation",
    "Principal": "principal-process-steward",
    "TargetField": "ProcedureExecutions.HasAnyIndependentObservation",
    "CanRead": true,
    "CanWrite": false,
    "MaskStrategy": "plain",
    "SemanticTypeIri": "urn:effortless:pko-extension#FieldGrant",
    "Name": "principal-process-steward -&gt; ProcedureExecutions.HasAnyIndependentObservation",
    "FieldTable": "ProcedureExecutions",
    "FieldName": "HasAnyIndependentObservation",
    "FieldIsDerived": true,
    "IsWritableDerivedField": false,
    "IsMasked": false,
    "GrantKeyWhenReadable": "principal-process-steward|ProcedureExecutions"
   },
   {
    "FieldGrantId": "fg-process-steward-ProcedureExecutions.SelfAttestedApprovalCount",
    "Principal": "principal-process-steward",
    "TargetField": "ProcedureExecutions.SelfAttestedApprovalCount",
    "CanRead": true,
    "CanWrite": false,
    "MaskStrategy": "plain",
    "SemanticTypeIri": "urn:effortless:pko-extension#FieldGrant",
    "Name": "principal-process-steward -&gt; ProcedureExecutions.SelfAttestedApprovalCount",
    "FieldTable": "ProcedureExecutions",
    "FieldName": "SelfAttestedApprovalCount",
    "FieldIsDerived": true,
    "IsWritableDerivedField": false,
    "IsMasked": false,
    "GrantKeyWhenReadable": "principal-process-steward|ProcedureExecutions"
   },
   {
    "FieldGrantId": "fg-process-steward-ProcedureExecutions.AssuranceChainIsCircular",
    "Principal": "principal-process-steward",
    "TargetField": "ProcedureExecutions.AssuranceChainIsCircular",
    "CanRead": true,
    "CanWrite": false,
    "MaskStrategy": "plain",
    "SemanticTypeIri": "urn:effortless:pko-extension#FieldGrant",
    "Name": "principal-process-steward -&gt; ProcedureExecutions.AssuranceChainIsCircular",
    "FieldTable": "ProcedureExecutions",
    "FieldName": "AssuranceChainIsCircular",
    "FieldIsDerived": true,
    "IsWritableDerivedField": false,
    "IsMasked": false,
    "GrantKeyWhenReadable": "principal-process-steward|ProcedureExecutions"
   },
   {
    "FieldGrantId": "fg-process-steward-ProcedureExecutions.LatestAttestationInstant",
    "Principal": "principal-process-steward",
    "TargetField": "ProcedureExecutions.LatestAttestationInstant",
    "CanRead": true,
    "CanWrite": false,
    "MaskStrategy": "plain",
    "SemanticTypeIri": "urn:effortless:pko-extension#FieldGrant",
    "Name": "principal-process-steward -&gt; ProcedureExecutions.LatestAttestationInstant",
    "FieldTable": "ProcedureExecutions",
    "FieldName": "LatestAttestationInstant",
    "FieldIsDerived": true,
    "IsWritableDerivedField": false,
    "IsMasked": false,
    "GrantKeyWhenReadable": "principal-process-steward|ProcedureExecutions"
   },
   {
    "FieldGrantId": "fg-process-steward-ProcedureExecutions.HasBeenAttested",
    "Principal": "principal-process-steward",
    "TargetField": "ProcedureExecutions.HasBeenAttested",
    "CanRead": true,
    "CanWrite": false,
    "MaskStrategy": "plain",
    "SemanticTypeIri": "urn:effortless:pko-extension#FieldGrant",
    "Name": "principal-process-steward -&gt; ProcedureExecutions.HasBeenAttested",
    "FieldTable": "ProcedureExecutions",
    "FieldName": "HasBeenAttested",
    "FieldIsDerived": true,
    "IsWritableDerivedField": false,
    "IsMasked": false,
    "GrantKeyWhenReadable": "principal-process-steward|ProcedureExecutions"
   },
   {
    "FieldGrantId": "fg-process-steward-ProcedureExecutions.AttestationCount",
    "Principal": "principal-process-steward",
    "TargetField": "ProcedureExecutions.AttestationCount",
    "CanRead": true,
    "CanWrite": false,
    "MaskStrategy": "plain",
    "SemanticTypeIri": "urn:effortless:pko-extension#FieldGrant",
    "Name": "principal-process-steward -&gt; ProcedureExecutions.AttestationCount",
    "FieldTable": "ProcedureExecutions",
    "FieldName": "AttestationCount",
    "FieldIsDerived": true,
    "IsWritableDerivedField": false,
    "IsMasked": false,
    "GrantKeyWhenReadable": "principal-process-steward|ProcedureExecutions"
   },
   {
    "FieldGrantId": "fg-process-steward-ProcedureExecutions.PostAttestationScoreCount",
    "Principal": "principal-process-steward",
    "TargetField": "ProcedureExecutions.PostAttestationScoreCount",
    "CanRead": true,
    "CanWrite": false,
    "MaskStrategy": "plain",
    "SemanticTypeIri": "urn:effortless:pko-extension#FieldGrant",
    "Name": "principal-process-steward -&gt; ProcedureExecutions.PostAttestationScoreCount",
    "FieldTable": "ProcedureExecutions",
    "FieldName": "PostAttestationScoreCount",
    "FieldIsDerived": true,
    "IsWritableDerivedField": false,
    "IsMasked": false,
    "GrantKeyWhenReadable": "principal-process-steward|ProcedureExecutions"
   },
   {
    "FieldGrantId": "fg-process-steward-ProcedureExecutions.BasisChangedAfterSignature",
    "Principal": "principal-process-steward",
    "TargetField": "ProcedureExecutions.BasisChangedAfterSignature",
    "CanRead": true,
    "CanWrite": false,
    "MaskStrategy": "plain",
    "SemanticTypeIri": "urn:effortless:pko-extension#FieldGrant",
    "Name": "principal-process-steward -&gt; ProcedureExecutions.BasisChangedAfterSignature",
    "FieldTable": "ProcedureExecutions",
    "FieldName": "BasisChangedAfterSignature",
    "FieldIsDerived": true,
    "IsWritableDerivedField": false,
    "IsMasked": false,
    "GrantKeyWhenReadable": "principal-process-steward|ProcedureExecutions"
   },
   {
    "FieldGrantId": "fg-process-steward-ProcedureExecutions.RequiresReAttestation",
    "Principal": "principal-process-steward",
    "TargetField": "ProcedureExecutions.RequiresReAttestation",
    "CanRead": true,
    "CanWrite": false,
    "MaskStrategy": "plain",
    "SemanticTypeIri": "urn:effortless:pko-extension#FieldGrant",
    "Name": "principal-process-steward -&gt; ProcedureExecutions.RequiresReAttestation",
    "FieldTable": "ProcedureExecutions",
    "FieldName": "RequiresReAttestation",
    "FieldIsDerived": true,
    "IsWritableDerivedField": false,
    "IsMasked": false,
    "GrantKeyWhenReadable": "principal-process-steward|ProcedureExecutions"
   },
   {
    "FieldGrantId": "fg-process-steward-ProcedureExecutions.IntendedRecipientCount",
    "Principal": "principal-process-steward",
    "TargetField": "ProcedureExecutions.IntendedRecipientCount",
    "CanRead": true,
    "CanWrite": false,
    "MaskStrategy": "plain",
    "SemanticTypeIri": "urn:effortless:pko-extension#FieldGrant",
    "Name": "principal-process-steward -&gt; ProcedureExecutions.IntendedRecipientCount",
    "FieldTable": "ProcedureExecutions",
    "FieldName": "IntendedRecipientCount",
    "FieldIsDerived": true,
    "IsWritableDerivedField": false,
    "IsMasked": false,
    "GrantKeyWhenReadable": "principal-process-steward|ProcedureExecutions"
   },
   {
    "FieldGrantId": "fg-process-steward-ProcedureExecutions.ReachedRecipientCount",
    "Principal": "principal-process-steward",
    "TargetField": "ProcedureExecutions.ReachedRecipientCount",
    "CanRead": true,
    "CanWrite": false,
    "MaskStrategy": "plain",
    "SemanticTypeIri": "urn:effortless:pko-extension#FieldGrant",
    "Name": "principal-process-steward -&gt; ProcedureExecutions.ReachedRecipientCount",
    "FieldTable": "ProcedureExecutions",
    "FieldName": "ReachedRecipientCount",
    "FieldIsDerived": true,
    "IsWritableDerivedField": false,
    "IsMasked": false,
    "GrantKeyWhenReadable": "principal-process-steward|ProcedureExecutions"
   },
   {
    "FieldGrantId": "fg-process-steward-ProcedureExecutions.SilentlyDroppedCount",
    "Principal": "principal-process-steward",
    "TargetField": "ProcedureExecutions.SilentlyDroppedCount",
    "CanRead": true,
    "CanWrite": false,
    "MaskStrategy": "plain",
    "SemanticTypeIri": "urn:effortless:pko-extension#FieldGrant",
    "Name": "principal-process-steward -&gt; ProcedureExecutions.SilentlyDroppedCount",
    "FieldTable": "ProcedureExecutions",
    "FieldName": "SilentlyDroppedCount",
    "FieldIsDerived": true,
    "IsWritableDerivedField": false,
    "IsMasked": false,
    "GrantKeyWhenReadable": "principal-process-steward|ProcedureExecutions"
   },
   {
    "FieldGrantId": "fg-process-steward-ProcedureExecutions.DeliveryYieldPercent",
    "Principal": "prin</t>
  </si>
  <si>
    <t xml:space="preserve">cipal-process-steward",
    "TargetField": "ProcedureExecutions.DeliveryYieldPercent",
    "CanRead": true,
    "CanWrite": false,
    "MaskStrategy": "plain",
    "SemanticTypeIri": "urn:effortless:pko-extension#FieldGrant",
    "Name": "principal-process-steward -&gt; ProcedureExecutions.DeliveryYieldPercent",
    "FieldTable": "ProcedureExecutions",
    "FieldName": "DeliveryYieldPercent",
    "FieldIsDerived": true,
    "IsWritableDerivedField": false,
    "IsMasked": false,
    "GrantKeyWhenReadable": "principal-process-steward|ProcedureExecutions"
   },
   {
    "FieldGrantId": "fg-process-steward-ProcedureExecutions.CampaignSilentlyLostAudience",
    "Principal": "principal-process-steward",
    "TargetField": "ProcedureExecutions.CampaignSilentlyLostAudience",
    "CanRead": true,
    "CanWrite": false,
    "MaskStrategy": "plain",
    "SemanticTypeIri": "urn:effortless:pko-extension#FieldGrant",
    "Name": "principal-process-steward -&gt; ProcedureExecutions.CampaignSilentlyLostAudience",
    "FieldTable": "ProcedureExecutions",
    "FieldName": "CampaignSilentlyLostAudience",
    "FieldIsDerived": true,
    "IsWritableDerivedField": false,
    "IsMasked": false,
    "GrantKeyWhenReadable": "principal-process-steward|ProcedureExecutions"
   },
   {
    "FieldGrantId": "fg-process-steward-ProcedureExecutions.UnrecordedRefusalCount",
    "Principal": "principal-process-steward",
    "TargetField": "ProcedureExecutions.UnrecordedRefusalCount",
    "CanRead": true,
    "CanWrite": false,
    "MaskStrategy": "plain",
    "SemanticTypeIri": "urn:effortless:pko-extension#FieldGrant",
    "Name": "principal-process-steward -&gt; ProcedureExecutions.UnrecordedRefusalCount",
    "FieldTable": "ProcedureExecutions",
    "FieldName": "UnrecordedRefusalCount",
    "FieldIsDerived": true,
    "IsWritableDerivedField": false,
    "IsMasked": false,
    "GrantKeyWhenReadable": "principal-process-steward|ProcedureExecutions"
   },
   {
    "FieldGrantId": "fg-process-steward-ProcedureExecutions.HasUnrecordedRefusals",
    "Principal": "principal-process-steward",
    "TargetField": "ProcedureExecutions.HasUnrecordedRefusals",
    "CanRead": true,
    "CanWrite": false,
    "MaskStrategy": "plain",
    "SemanticTypeIri": "urn:effortless:pko-extension#FieldGrant",
    "Name": "principal-process-steward -&gt; ProcedureExecutions.HasUnrecordedRefusals",
    "FieldTable": "ProcedureExecutions",
    "FieldName": "HasUnrecordedRefusals",
    "FieldIsDerived": true,
    "IsWritableDerivedField": false,
    "IsMasked": false,
    "GrantKeyWhenReadable": "principal-process-steward|ProcedureExecutions"
   },
   {
    "FieldGrantId": "fg-process-steward-ProcedureExecutions.IndependentlyConfirmedIntentCount",
    "Principal": "principal-process-steward",
    "TargetField": "ProcedureExecutions.IndependentlyConfirmedIntentCount",
    "CanRead": true,
    "CanWrite": false,
    "MaskStrategy": "plain",
    "SemanticTypeIri": "urn:effortless:pko-extension#FieldGrant",
    "Name": "principal-process-steward -&gt; ProcedureExecutions.IndependentlyConfirmedIntentCount",
    "FieldTable": "ProcedureExecutions",
    "FieldName": "IndependentlyConfirmedIntentCount",
    "FieldIsDerived": true,
    "IsWritableDerivedField": false,
    "IsMasked": false,
    "GrantKeyWhenReadable": "principal-process-steward|ProcedureExecutions"
   },
   {
    "FieldGrantId": "fg-process-steward-ProcedureExecutions.SendDecisionsAreEntirelySelfWitnessed",
    "Principal": "principal-process-steward",
    "TargetField": "ProcedureExecutions.SendDecisionsAreEntirelySelfWitnessed",
    "CanRead": true,
    "CanWrite": false,
    "MaskStrategy": "plain",
    "SemanticTypeIri": "urn:effortless:pko-extension#FieldGrant",
    "Name": "principal-process-steward -&gt; ProcedureExecutions.SendDecisionsAreEntirelySelfWitnessed",
    "FieldTable": "ProcedureExecutions",
    "FieldName": "SendDecisionsAreEntirelySelfWitnessed",
    "FieldIsDerived": true,
    "IsWritableDerivedField": false,
    "IsMasked": false,
    "GrantKeyWhenReadable": "principal-process-steward|ProcedureExecutions"
   },
   {
    "FieldGrantId": "fg-process-steward-ProcedureExecutions.SemanticTypeIri",
    "Principal": "principal-process-steward",
    "TargetField": "ProcedureExecutions.SemanticTypeIri",
    "CanRead": true,
    "CanWrite": false,
    "MaskStrategy": "plain",
    "SemanticTypeIri": "urn:effortless:pko-extension#FieldGrant",
    "Name": "principal-process-steward -&gt; ProcedureExecutions.SemanticTypeIri",
    "FieldTable": "ProcedureExecutions",
    "FieldName": "SemanticTypeIri",
    "FieldIsDerived": false,
    "IsWritableDerivedField": false,
    "IsMasked": false,
    "GrantKeyWhenReadable": "principal-process-steward|ProcedureExecutions"
   },
   {
    "FieldGrantId": "fg-process-steward-ProcedureResources.ProcedureResourceId",
    "Principal": "principal-process-steward",
    "TargetField": "ProcedureResources.ProcedureResourceId",
    "CanRead": true,
    "CanWrite": false,
    "MaskStrategy": "plain",
    "SemanticTypeIri": "urn:effortless:pko-extension#FieldGrant",
    "Name": "principal-process-steward -&gt; ProcedureResources.ProcedureResourceId",
    "FieldTable": "ProcedureResources",
    "FieldName": "ProcedureResourceId",
    "FieldIsDerived": false,
    "IsWritableDerivedField": false,
    "IsMasked": false,
    "GrantKeyWhenReadable": "principal-process-steward|ProcedureResources"
   },
   {
    "FieldGrantId": "fg-process-steward-ProcedureResources.Name",
    "Principal": "principal-process-steward",
    "TargetField": "ProcedureResources.Name",
    "CanRead": true,
    "CanWrite": false,
    "MaskStrategy": "plain",
    "SemanticTypeIri": "urn:effortless:pko-extension#FieldGrant",
    "Name": "principal-process-steward -&gt; ProcedureResources.Name",
    "FieldTable": "ProcedureResources",
    "FieldName": "Name",
    "FieldIsDerived": true,
    "IsWritableDerivedField": false,
    "IsMasked": false,
    "GrantKeyWhenReadable": "principal-process-steward|ProcedureResources"
   },
   {
    "FieldGrantId": "fg-process-steward-ProcedureResources.ProcedureVersion",
    "Principal": "principal-process-steward",
    "TargetField": "ProcedureResources.ProcedureVersion",
    "CanRead": true,
    "CanWrite": false,
    "MaskStrategy": "plain",
    "SemanticTypeIri": "urn:effortless:pko-extension#FieldGrant",
    "Name": "principal-process-steward -&gt; ProcedureResources.ProcedureVersion",
    "FieldTable": "ProcedureResources",
    "FieldName": "ProcedureVersion",
    "FieldIsDerived": false,
    "IsWritableDerivedField": false,
    "IsMasked": false,
    "GrantKeyWhenReadable": "principal-process-steward|ProcedureResources"
   },
   {
    "FieldGrantId": "fg-process-steward-ProcedureResources.Resource",
    "Principal": "principal-process-steward",
    "TargetField": "ProcedureResources.Resource",
    "CanRead": true,
    "CanWrite": false,
    "MaskStrategy": "plain",
    "SemanticTypeIri": "urn:effortless:pko-extension#FieldGrant",
    "Name": "principal-process-steward -&gt; ProcedureResources.Resource",
    "FieldTable": "ProcedureResources",
    "FieldName": "Resource",
    "FieldIsDerived": false,
    "IsWritableDerivedField": false,
    "IsMasked": false,
    "GrantKeyWhenReadable": "principal-process-steward|ProcedureResources"
   },
   {
    "FieldGrantId": "fg-process-steward-ProcedureResources.Relation",
    "Principal": "principal-process-steward",
    "TargetField": "ProcedureResources.Relation",
    "CanRead": true,
    "CanWrite": false,
    "MaskStrategy": "plain",
    "SemanticTypeIri": "urn:effortless:pko-extension#FieldGrant",
    "Name": "principal-process-steward -&gt; ProcedureResources.Relation",
    "FieldTable": "ProcedureResources",
    "FieldName": "Relation",
    "FieldIsDerived": false,
    "IsWritableDerivedField": false,
    "IsMasked": false,
    "GrantKeyWhenReadable": "principal-process-steward|ProcedureResources"
   },
   {
    "FieldGrantId": "fg-process-steward-ProcedureResources.RelationIri",
    "Principal": "principal-process-steward",
    "TargetField": "ProcedureResources.RelationIri",
    "CanRead": true,
    "CanWrite": false,
    "MaskStrategy": "plain",
    "SemanticTypeIri": "urn:effortless:pko-extension#FieldGrant",
    "Name": "principal-process-steward -&gt; ProcedureResources.RelationIri",
    "FieldTable": "ProcedureResources",
    "FieldName": "RelationIri",
    "FieldIsDerived": true,
    "IsWritableDerivedField": false,
    "IsMasked": false,
    "GrantKeyWhenReadable": "principal-process-steward|ProcedureResources"
   },
   {
    "FieldGrantId": "fg-process-steward-ProcedureStatusChanges.ProcedureStatusChangeId",
    "Principal": "principal-process-steward",
    "TargetField": "ProcedureStatusChanges.ProcedureStatusChangeId",
    "CanRead": true,
    "CanWrite": false,
    "MaskStrategy": "plain",
    "SemanticTypeIri": "urn:effortless:pko-extension#FieldGrant",
    "Name": "principal-process-steward -&gt; ProcedureStatusChanges.ProcedureStatusChangeId",
    "FieldTable": "ProcedureStatusChanges",
    "FieldName": "ProcedureStatusChangeId",
    "FieldIsDerived": false,
    "IsWritableDerivedField": false,
    "IsMasked": false,
    "GrantKeyWhenReadable": "principal-process-steward|ProcedureStatusChanges"
   },
   {
    "FieldGrantId": "fg-process-steward-ProcedureStatusChanges.Name",
    "Principal": "principal-process-steward",
    "TargetField": "ProcedureStatusChanges.Name",
    "CanRead": true,
    "CanWrite": false,
    "MaskStrategy": "plain",
    "SemanticTypeIri": "urn:effortless:pko-extension#FieldGrant",
    "Name": "principal-process-steward -&gt; ProcedureStatusChanges.Name",
    "FieldTable": "ProcedureStatusChanges",
    "FieldName": "Name",
    "FieldIsDerived": true,
    "IsWritableDerivedField": false,
    "IsMasked": false,
    "GrantKeyWhenReadable": "principal-process-steward|ProcedureStatusChanges"
   },
   {
    "FieldGrantId": "fg-process-steward-ProcedureStatusChanges.ProcedureVersion",
    "Principal": "principal-process-steward",
    "TargetField": "ProcedureStatusChanges.ProcedureVersion",
    "CanRead": true,
    "CanWrite": false,
    "MaskStrategy": "plain",
    "SemanticTypeIri": "urn:effortless:pko-extension#FieldGrant",
    "Name": "principal-process-steward -&gt; ProcedureStatusChanges.ProcedureVersion",
    "FieldTable": "ProcedureStatusChanges",
    "FieldName": "ProcedureVersion",
    "FieldIsDerived": false,
    "IsWritableDerivedField": false,
    "IsMasked": false,
    "GrantKeyWhenReadable": "principal-process-steward|ProcedureStatusChanges"
   },
   {
    "FieldGrantId": "fg-process-steward-ProcedureStatusChanges.FromStatus",
    "Principal": "principal-process-steward",
    "TargetField": "ProcedureStatusChanges.FromStatus",
    "CanRead": true,
    "CanWrite": false,
    "MaskStrategy": "plain",
    "SemanticTypeIri": "urn:effortless:pko-extension#FieldGrant",
    "Name": "principal-process-steward -&gt; ProcedureStatusChanges.FromStatus",
    "FieldTable": "ProcedureStatusChanges",
    "FieldName": "FromStatus",
    "FieldIsDerived": false,
    "IsWritableDerivedField": false,
    "IsMasked": false,
    "GrantKeyWhenReadable": "principal-process-steward|ProcedureStatusChanges"
   },
   {
    "FieldGrantId": "fg-process-steward-ProcedureStatusChanges.ToStatus",
    "Principal": "principal-process-steward",
    "TargetField": "ProcedureStatusChanges.ToStatus",
    "CanRead": true,
    "CanWrite": false,
    "MaskStrategy": "plain",
    "SemanticTypeIri": "urn:effortless:pko-extension#FieldGrant",
    "Name": "principal-process-steward -&gt; ProcedureStatusChanges.ToStatus",
    "FieldTable": "ProcedureStatusChanges",
    "FieldName": "ToStatus",
    "FieldIsDerived": false,
    "IsWritableDerivedField": false,
    "IsMasked": false,
    "GrantKeyWhenReadable": "principal-process-steward|ProcedureStatusChanges"
   },
   {
    "FieldGrantId": "fg-process-steward-ProcedureStatusChanges.ChangedAt",
    "Principal": "principal-process-steward",
    "TargetField": "ProcedureStatusChanges.ChangedAt",
    "CanRead": true,
    "CanWrite": false,
    "MaskStrategy": "plain",
    "SemanticTypeIri": "urn:effortless:pko-extension#FieldGrant",
    "Name": "principal-process-steward -&gt; ProcedureStatusChanges.ChangedAt",
    "FieldTable": "ProcedureStatusChanges",
    "FieldName": "ChangedAt",
    "FieldIsDerived": false,
    "IsWritableDerivedField": false,
    "IsMasked": false,
    "GrantKeyWhenReadable": "principal-process-steward|ProcedureStatusChanges"
   },
   {
    "FieldGrantId": "fg-process-steward-ProcedureStatusChanges.ChangedByAgent",
    "Principal": "principal-process-steward",
    "TargetField": "ProcedureStatusChanges.ChangedByAgent",
    "CanRead": true,
    "CanWrite": false,
    "MaskStrategy": "plain",
    "SemanticTypeIri": "urn:effortless:pko-extension#FieldGrant",
    "Name": "principal-process-steward -&gt; ProcedureStatusChanges.ChangedByAgent",
    "FieldTable": "ProcedureStatusChanges",
    "FieldName": "ChangedByAgent",
    "FieldIsDerived": false,
    "IsWritableDerivedField": false,
    "IsMasked": false,
    "GrantKeyWhenReadable": "principal-process-steward|ProcedureStatusChanges"
   },
   {
    "FieldGrantId": "fg-process-steward-ProcedureStatusChanges.Motivation",
    "Principal": "principal-process-steward",
    "TargetField": "ProcedureStatusChanges.Motivation",
    "CanRead": true,
    "CanWrite": false,
    "MaskStrategy": "plain",
    "SemanticTypeIri": "urn:effortless:pko-extension#FieldGrant",
    "Name": "principal-process-steward -&gt; ProcedureStatusChanges.Motivation",
    "FieldTable": "ProcedureStatusChanges",
    "FieldName": "Motivation",
    "FieldIsDerived": false,
    "IsWritableDerivedField": false,
    "IsMasked": false,
    "GrantKeyWhenReadable": "principal-process-steward|ProcedureStatusChanges"
   },
   {
    "FieldGrantId": "fg-process-steward-ProcedureStatusChanges.SemanticTypeIri",
    "Principal": "principal-process-steward",
    "TargetField": "ProcedureStatusChanges.SemanticTypeIri",
    "CanRead": true,
    "CanWrite": false,
    "MaskStrategy": "plain",
    "SemanticTypeIri": "urn:effortless:pko-extension#FieldGrant",
    "Name": "principal-process-steward -&gt; ProcedureStatusChanges.SemanticTypeIri",
    "FieldTable": "ProcedureStatusChanges",
    "FieldName": "SemanticTypeIri",
    "FieldIsDerived": false,
    "IsWritableDerivedField": false,
    "IsMasked": false,
    "GrantKeyWhenReadable": "principal-process-steward|ProcedureStatusChanges"
   },
   {
    "FieldGrantId": "fg-process-steward-ProcedureTypes.ProcedureTypeId",
    "Principal": "principal-process-steward",
    "TargetField": "ProcedureTypes.ProcedureTypeId",
    "CanRead": true,
    "CanWrite": false,
    "MaskStrategy": "plain",
    "SemanticTypeIri": "urn:effortless:pko-extension#FieldGrant",
    "Name": "principal-process-steward -&gt; ProcedureTypes.ProcedureTypeId",
    "FieldTable": "ProcedureTypes",
    "FieldName": "ProcedureTypeId",
    "FieldIsDerived": false,
    "IsWritableDerivedField": false,
    "IsMasked": false,
    "GrantKeyWhenReadable": "principal-process-steward|ProcedureTypes"
   },
   {
    "FieldGrantId": "fg-process-steward-ProcedureTypes.Name",
    "Principal": "principal-process-steward",
    "TargetField": "ProcedureTypes.Name",
    "CanRead": true,
    "CanWrite": false,
    "MaskStrategy": "plain",
    "SemanticTypeIri": "urn:effortless:pko-extension#FieldGrant",
    "Name": "principal-process-steward -&gt; ProcedureTypes.Name",
    "FieldTable": "ProcedureTypes",
    "FieldName": "Name",
    "FieldIsDerived": true,
    "IsWritableDerivedField": false,
    "IsMasked": false,
    "GrantKeyWhenReadable": "principal-process-steward|ProcedureTypes"
   },
   {
    "FieldGrantId": "fg-process-steward-ProcedureTypes.Label",
    "Principal": "principal-process-steward",
    "TargetField": "ProcedureTypes.Label",
    "CanRead": true,
    "CanWrite": false,
    "MaskStrategy": "plain",
    "SemanticTypeIri": "urn:effortless:pko-extension#FieldGrant",
    "Name": "principal-process-steward -&gt; ProcedureTypes.Label",
    "FieldTable": "ProcedureTypes",
    "FieldName": "Label",
    "FieldIsDerived": false,
    "IsWritableDerivedField": false,
    "IsMasked": false,
    "GrantKeyWhenReadable": "principal-process-steward|ProcedureTypes"
   },
   {
    "FieldGrantId": "fg-process-steward-ProcedureTypes.Definition",
    "Principal": "principal-process-steward",
    "TargetField": "ProcedureTypes.Definition",
    "CanRead": true,
    "CanWrite": false,
    "MaskStrategy": "plain",
    "SemanticTypeIri": "urn:effortless:pko-extension#FieldGrant",
    "Name": "principal-process-steward -&gt; ProcedureTypes.Definition",
    "FieldTable": "ProcedureTypes",
    "FieldName": "Definition",
    "FieldIsDerived": false,
    "IsWritableDerivedField": false,
    "IsMasked": false,
    "GrantKeyWhenReadable": "principal-process-steward|ProcedureTypes"
   },
   {
    "FieldGrantId": "fg-process-steward-ProcedureTypes.SemanticTypeIri",
    "Principal": "principal-process-steward",
    "TargetField": "ProcedureTypes.SemanticTypeIri",
    "CanRead": true,
    "CanWrite": false,
    "MaskStrategy": "plain",
    "SemanticTypeIri": "urn:effortless:pko-extension#FieldGrant",
    "Name": "principal-process-steward -&gt; ProcedureTypes.SemanticTypeIri",
    "FieldTable": "ProcedureTypes",
    "FieldName": "SemanticTypeIri",
    "FieldIsDerived": false,
    "IsWritableDerivedField": false,
    "IsMasked": false,
    "GrantKeyWhenReadable": "principal-process-steward|ProcedureTypes"
   },
   {
    "FieldGrantId": "fg-process-steward-ProcedureVersionLinks.ProcedureVersionLinkId",
    "Principal": "principal-process-steward",
    "TargetField": "ProcedureVersionLinks.ProcedureVersionLinkId",
    "CanRead": true,
    "CanWrite": false,
    "MaskStrategy": "plain",
    "SemanticTypeIri": "urn:effortless:pko-extension#FieldGrant",
    "Name": "principal-process-steward -&gt; ProcedureVersionLinks.ProcedureVersionLinkId",
    "FieldTable": "ProcedureVersionLinks",
    "FieldName": "ProcedureVersionLinkId",
    "FieldIsDerived": false,
    "IsWritableDerivedField": false,
    "IsMasked": false,
    "GrantKeyWhenReadable": "principal-process-steward|ProcedureVersionLinks"
   },
   {
    "FieldGrantId": "fg-process-steward-ProcedureVersionLinks.Name",
    "Principal": "principal-process-steward",
    "TargetField": "ProcedureVersionLinks.Name",
    "CanRead": true,
    "CanWrite": false,
    "MaskStrategy": "plain",
    "SemanticTypeIri": "urn:effortless:pko-extension#FieldGrant",
    "Name": "principal-process-steward -&gt; ProcedureVersionLinks.Name",
    "FieldTable": "ProcedureVersionLinks",
    "FieldName": "Name",
    "FieldIsDerived": true,
    "IsWritableDerivedField": false,
    "IsMasked": false,
    "GrantKeyWhenReadable": "principal-process-steward|ProcedureVersionLinks"
   },
   {
    "FieldGrantId": "fg-process-steward-ProcedureVersionLinks.PreviousProcedureVersion",
    "Principal": "principal-process-steward",
    "TargetField": "ProcedureVersionLinks.PreviousProcedureVersion",
    "CanRead": true,
    "CanWrite": false,
    "MaskStrategy": "plain",
    "SemanticTypeIri": "urn:effortless:pko-extension#FieldGrant",
    "Name": "principal-process-steward -&gt; ProcedureVersionLinks.PreviousProcedureVersion",
    "FieldTable": "ProcedureVersionLinks",
    "FieldName": "PreviousProcedureVersion",
    "FieldIsDerived": false,
    "IsWritableDerivedField": false,
    "IsMasked": false,
    "GrantKeyWhenReadable": "principal-process-steward|ProcedureVersionLinks"
   },
   {
    "FieldGrantId": "fg-process-steward-ProcedureVersionLinks.NextProcedureVersion",
    "Principal": "principal-process-steward",
    "TargetField": "ProcedureVersionLinks.NextProcedureVersion",
    "CanRead": true,
    "CanWrite": false,
    "MaskStrategy": "plain",
    "SemanticTypeIri": "urn:effortless:pko-extension#FieldGrant",
    "Name": "principal-process-steward -&gt; ProcedureVersionLinks.NextProcedureVersion",
    "FieldTable": "ProcedureVersionLinks",
    "FieldName": "NextProcedureVersion",
    "FieldIsDerived": false,
    "IsWritableDerivedField": false,
    "IsMasked": false,
    "GrantKeyWhenReadable": "principal-process-steward|ProcedureVersionLinks"
   },
   {
    "FieldGrantId": "fg-process-steward-ProcedureVersionLinks.RelationIri",
    "Principal": "principal-process-steward",
    "TargetField": "ProcedureVersionLinks.RelationIri",
    "CanRead": true,
    "CanWrite": false,
    "MaskStrategy": "plain",
    "SemanticTypeIri": "urn:effortless:pko-extension#FieldGrant",
    "Name": "principal-process-steward -&gt; ProcedureVersionLinks.RelationIri",
    "FieldTable": "ProcedureVersionLinks",
    "FieldName": "RelationIri",
    "FieldIsDerived": false,
    "IsWritableDerivedField": false,
    "IsMasked": false,
    "GrantKeyWhenReadable": "principal-process-steward|ProcedureVersionLinks"
   },
   {
    "FieldGrantId": "fg-process-steward-ProcedureVersionLinks.ChangeSummary",
    "Principal": "principal-process-steward",
    "TargetField": "ProcedureVersionLinks.ChangeSummary",
    "CanRead": true,
    "CanWrite": false,
    "MaskStrategy": "plain",
    "SemanticTypeIri": "urn:effortless:pko-extension#FieldGrant",
    "Name": "principal-process-steward -&gt; ProcedureVersionLinks.ChangeSummary",
    "FieldTable": "ProcedureVersionLinks",
    "FieldName": "ChangeSummary",
    "FieldIsDerived": false,
    "IsWritableDerivedField": false,
    "IsMasked": false,
    "GrantKeyWhenReadable": "principal-process-steward|ProcedureVersionLinks"
   },
   {
    "FieldGrantId": "fg-process-steward-ProcedureVersionLinks.SupersededVersionKey",
    "Principal": "principal-process-steward",
    "TargetField": "ProcedureVersionLinks.SupersededVersionKey",
    "CanRead": true,
    "CanWrite": false,
    "MaskStrategy": "plain",
    "SemanticTypeIri": "urn:effortless:pko-extension#FieldGrant",
    "Name": "principal-process-steward -&gt; ProcedureVersionLinks.SupersededVersionKey",
    "FieldTable": "ProcedureVersionLinks",
    "FieldName": "SupersededVersionKey",
    "FieldIsDerived": true,
    "IsWritableDerivedField": false,
    "IsMasked": false,
    "GrantKeyWhenReadable": "principal-process-steward|ProcedureVersionLinks"
   },
   {
    "FieldGrantId": "fg-process-steward-ProcedureVersions.ProcedureVersionId",
    "Principal": "principal-process-steward",
    "TargetField": "ProcedureVersions.ProcedureVersionId",
    "CanRead": true,
    "CanWrite": false,
    "MaskStrategy": "plain",
    "SemanticTypeIri": "urn:effortless:pko-extension#FieldGrant",
    "Name": "principal-process-steward -&gt; ProcedureVersions.ProcedureVersionId",
    "FieldTable": "ProcedureVersions",
    "FieldName": "ProcedureVersionId",
    "FieldIsDerived": false,
    "IsWritableDerivedField": false,
    "IsMasked": false,
    "GrantKeyWhenReadable": "principal-process-steward|ProcedureVersions"
   },
   {
    "FieldGrantId": "fg-process-steward-ProcedureVersions.Name",
    "Principal": "principal-process-steward",
    "TargetField": "ProcedureVersions.Name",
    "CanRead": true,
    "CanWrite": false,
    "MaskStrategy": "plain",
    "SemanticTypeIri": "urn:effortless:pko-extension#FieldGrant",
    "Name": "principal-process-steward -&gt; ProcedureVersions.Name",
    "FieldTable": "ProcedureVersions",
    "FieldName": "Name",
    "FieldIsDerived": true,
    "IsWritableDerivedField": false,
    "IsMasked": false,
    "GrantKeyWhenReadable": "principal-process-steward|ProcedureVersions"
   },
   {
    "FieldGrantId": "fg-process-steward-ProcedureVersions.Procedure",
    "Principal": "principal-process-steward",
    "TargetField": "ProcedureVersions.Procedure",
    "CanRead": true,
    "CanWrite": false,
    "MaskStrategy": "plain",
    "SemanticTypeIri": "urn:effortless:pko-extension#FieldGrant",
    "Name": "principal-process-steward -&gt; ProcedureVersions.Procedure",
    "FieldTable": "ProcedureVersions",
    "FieldName": "Procedure",
    "FieldIsDerived": false,
    "IsWritableDerivedField": false,
    "IsMasked": false,
    "GrantKeyWhenReadable": "principal-process-steward|ProcedureVersions"
   },
   {
    "FieldGrantId": "fg-process-steward-ProcedureVersions.VersionNumber",
    "Principal": "principal-process-steward",
    "TargetField": "ProcedureVersions.VersionNumber",
    "CanRead": true,
    "CanWrite": false,
    "MaskStrategy": "plain",
    "SemanticTypeIri": "urn:effortless:pko-extension#FieldGrant",
    "Name": "principal-process-steward -&gt; ProcedureVersions.VersionNumber",
    "FieldTable": "ProcedureVersions",
    "FieldName": "VersionNumber",
    "FieldIsDerived": false,
    "IsWritableDerivedField": false,
    "IsMasked": false,
    "GrantKeyWhenReadable": "principal-process-steward|ProcedureVersions"
   },
   {
    "FieldGrantId": "fg-process-steward-ProcedureVersions.Title",
    "Principal": "principal-process-steward",
    "TargetField": "ProcedureVersions.Title",
    "CanRead": true,
    "CanWrite": false,
    "MaskStrategy": "plain",
    "SemanticTypeIri": "urn:effortless:pko-extension#FieldGrant",
    "Name": "principal-process-steward -&gt; ProcedureVersions.Title",
    "FieldTable": "ProcedureVersions",
    "FieldName": "Title",
    "FieldIsDerived": false,
    "IsWritableDerivedField": false,
    "IsMasked": false,
    "GrantKeyWhenReadable": "principal-process-steward|ProcedureVersions"
   },
   {
    "FieldGrantId": "fg-process-steward-ProcedureVersions.Status",
    "Principal": "principal-process-steward",
    "TargetField": "ProcedureVersions.Status",
    "CanRead": true,
    "CanWrite": false,
    "MaskStrategy": "plain",
    "SemanticTypeIri": "urn:effortless:pko-extension#FieldGrant",
    "Name": "principal-process-steward -&gt; ProcedureVersions.Status",
    "FieldTable": "ProcedureVersions",
    "FieldName": "Status",
    "FieldIsDerived": false,
    "IsWritableDerivedField": false,
    "IsMasked": false,
    "GrantKeyWhenReadable": "principal-process-steward|ProcedureVersions"
   },
   {
    "FieldGrantId": "fg-process-steward-ProcedureVersions.IssuedAt",
    "Principal": "principal-process-steward",
    "TargetField": "ProcedureVersions.IssuedAt",
    "CanRead": true,
    "CanWrite": false,
    "MaskStrategy": "plain",
    "SemanticTypeIri": "urn:effortless:pko-extension#FieldGrant",
    "Name": "principal-process-steward -&gt; ProcedureVersions.IssuedAt",
    "FieldTable": "ProcedureVersions",
    "FieldName": "IssuedAt",
    "FieldIsDerived": false,
    "IsWritableDerivedField": false,
    "IsMasked": false,
    "GrantKeyWhenReadable": "principal-process-steward|ProcedureVersions"
   },
   {
    "FieldGrantId": "fg-process-steward-ProcedureVersions.ModifiedAt",
    "Principal": "principal-process-steward",
    "TargetField": "ProcedureVersions.ModifiedAt",
    "CanRead": true,
    "CanWrite": false,
    "MaskStrategy": "plain",
    "SemanticTypeIri": "urn:effortless:pko-extension#FieldGrant",
    "Name": "principal-process-steward -&gt; ProcedureVersions.ModifiedAt",
    "FieldTable": "ProcedureVersions",
    "FieldName": "ModifiedAt",
    "FieldIsDerived": false,
    "IsWritableDerivedField": false,
    "IsMasked": false,
    "GrantKeyWhenReadable": "principal-process-steward|ProcedureVersions"
   },
   {
    "FieldGrantId": "fg-process-steward-ProcedureVersions.CreatedByAgent",
    "Principal": "principal-process-steward",
    "TargetField": "ProcedureVersions.CreatedByAgent",
    "CanRead": true,
    "CanWrite": false,
    "MaskStrategy": "plain",
    "SemanticTypeIri": "urn:effortless:pko-extension#FieldGrant",
    "Name": "principal-process-steward -&gt; ProcedureVersions.CreatedByAgent",
    "FieldTable": "ProcedureVersions",
    "FieldName": "CreatedByAgent",
    "FieldIsDerived": false,
    "IsWritableDerivedField": false,
    "IsMasked": false,
    "GrantKeyWhenReadable": "principal-process-steward|ProcedureVersions"
   },
   {
    "FieldGrantId": "fg-process-steward-ProcedureVersions.ModifiedByAgent",
    "Principal": "principal-process-steward",
    "TargetField": "ProcedureVersions.ModifiedByAgent",
    "CanRead": true,
    "CanWrite": false,
    "MaskStrategy": "plain",
    "SemanticTypeIri": "urn:effortless:pko-extension#FieldGrant",
    "Name": "principal-process-steward -&gt; ProcedureVersions.ModifiedByAgent",
    "FieldTable": "ProcedureVersions",
    "FieldName": "ModifiedByAgent",
    "FieldIsDerived": false,
    "IsWritableDerivedField": false,
    "IsMasked": false,
    "GrantKeyWhenReadable": "principal-process-steward|ProcedureVersions"
   },
   {
    "FieldGrantId": "fg-process-steward-ProcedureVersions.NewVersionMotivation",
    "Principal": "principal-process-steward",
    "TargetField": "ProcedureVersions.NewVersionMotivation",
    "CanRead": true,
    "CanWrite": false,
    "MaskStrategy": "plain",
    "SemanticTypeIri": "urn:effortless:pko-extension#FieldGrant",
    "Name": "principal-process-steward -&gt; ProcedureVersions.NewVersionMotivation",
    "FieldTable": "ProcedureVersions",
    "FieldName": "NewVersionMotivation",
    "FieldIsDerived": false,
    "IsWritableDerivedField": false,
    "IsMasked": false,
    "GrantKeyWhenReadable": "principal-process-steward|ProcedureVersions"
   },
   {
    "FieldGrantId": "fg-process-steward-ProcedureVersions.ChangelogDescription",
    "Principal": "principal-process-steward",
    "TargetField": "ProcedureVersions.ChangelogDescription",
    "CanRead": true,
    "CanWrite": false,
    "MaskStrategy": "plain",
    "SemanticTypeIri": "urn:effortless:pko-extension#FieldGrant",
    "Name": "principal-process-steward -&gt; ProcedureVersions.ChangelogDescription",
    "FieldTable": "ProcedureVersions",
    "FieldName": "ChangelogDescription",
    "FieldIsDerived": false,
    "IsWritableDerivedField": false,
    "IsMasked": false,
    "GrantKeyWhenReadable": "principal-process-steward|ProcedureVersions"
   },
   {
    "FieldGrantId": "fg-process-steward-ProcedureVersions.IsCurrent",
    "Principal": "principal-process-steward",
    "TargetField": "ProcedureVersions.IsCurrent",
    "CanRead": true,
    "CanWrite": false,
    "MaskStrategy": "plain",
    "SemanticTypeIri": "urn:effortless:pko-extension#FieldGrant",
    "Name": "principal-process-steward -&gt; ProcedureVersions.IsCurrent",
    "FieldTable": "ProcedureVersions",
    "FieldName": "IsCurrent",
    "FieldIsDerived": false,
    "IsWritableDerivedField": false,
    "IsMasked": false,
    "GrantKeyWhenReadable": "principal-process-steward|ProcedureVersions"
   },
   {
    "FieldGrantId": "fg-process-steward-ProcedureVersions.CountOfSteps",
    "Principal": "principal-process-steward",
    "TargetField": "ProcedureVersions.CountOfSteps",
    "CanRead": true,
    "CanWrite": false,
    "MaskStrategy": "plain",
    "SemanticTypeIri": "urn:effortless:pko-extension#FieldGrant",
    "Name": "principal-process-steward -&gt; ProcedureVersions.CountOfSteps",
    "FieldTable": "ProcedureVersions",
    "FieldName": "CountOfSteps",
    "FieldIsDerived": true,
    "IsWritableDerivedField": false,
    "IsMasked": false,
    "GrantKeyWhenReadable": "principal-process-steward|ProcedureVersions"
   },
   {
    "FieldGrantId": "fg-process-steward-ProcedureVersions.CountOfOpenKnowledgeGaps",
    "Principal": "principal-process-steward",
    "TargetField": "ProcedureVersions.CountOfOpenKnowledgeGaps",
    "CanRead": true,
    "CanWrite": false,
    "MaskStrategy": "plain",
    "SemanticTypeIri": "urn:effortless:pko-extension#FieldGrant",
    "Name": "principal-process-steward -&gt; ProcedureVersions.CountOfOpenKnowledgeGaps",
    "FieldTable": "ProcedureVersions",
    "FieldName": "CountOfOpenKnowledgeGaps",
    "FieldIsDerived": true,
    "IsWritableDerivedField": false,
    "IsMasked": false,
    "GrantKeyWhenReadable": "principal-process-steward|ProcedureVersions"
   },
   {
    "FieldGrantId": "fg-process-steward-ProcedureVersions.IsReadyForExecution",
    "Principal": "principal-process-steward",
    "TargetField": "ProcedureVersions.IsReadyForExecution",
    "CanRead": true,
    "CanWrite": false,
    "MaskStrategy": "plain",
    "SemanticTypeIri": "urn:effortless:pko-extension#FieldGrant",
    "Name": "principal-process-steward -&gt; ProcedureVersions.IsReadyForExecution",
    "FieldTable": "ProcedureVersions",
    "FieldName": "IsReadyForExecution",
    "FieldIsDerived": true,
    "IsWritableDerivedField": false,
    "IsMasked": false,
    "GrantKeyWhenReadable": "principal-process-steward|ProcedureVersions"
   },
   {
    "FieldGrantId": "fg-process-steward-ProcedureVersions.SpecifiedStepCount",
    "Principal": "principal-process-steward",
    "TargetField": "ProcedureVersions.SpecifiedStepCount",
    "CanRead": true,
    "CanWrite": false,
    "MaskStrategy": "plain",
    "SemanticTypeIri": "urn:effortless:pko-extension#FieldGrant",
    "Name": "principal-process-steward -&gt; ProcedureVersions.SpecifiedStepCount",
    "FieldTabl</t>
  </si>
  <si>
    <t xml:space="preserve">e": "ProcedureVersions",
    "FieldName": "SpecifiedStepCount",
    "FieldIsDerived": true,
    "IsWritableDerivedField": false,
    "IsMasked": false,
    "GrantKeyWhenReadable": "principal-process-steward|ProcedureVersions"
   },
   {
    "FieldGrantId": "fg-process-steward-ProcedureVersions.OverdueReviewCount",
    "Principal": "principal-process-steward",
    "TargetField": "ProcedureVersions.OverdueReviewCount",
    "CanRead": true,
    "CanWrite": false,
    "MaskStrategy": "plain",
    "SemanticTypeIri": "urn:effortless:pko-extension#FieldGrant",
    "Name": "principal-process-steward -&gt; ProcedureVersions.OverdueReviewCount",
    "FieldTable": "ProcedureVersions",
    "FieldName": "OverdueReviewCount",
    "FieldIsDerived": true,
    "IsWritableDerivedField": false,
    "IsMasked": false,
    "GrantKeyWhenReadable": "principal-process-steward|ProcedureVersions"
   },
   {
    "FieldGrantId": "fg-process-steward-ProcedureVersions.OpenChangeRequestCount",
    "Principal": "principal-process-steward",
    "TargetField": "ProcedureVersions.OpenChangeRequestCount",
    "CanRead": true,
    "CanWrite": false,
    "MaskStrategy": "plain",
    "SemanticTypeIri": "urn:effortless:pko-extension#FieldGrant",
    "Name": "principal-process-steward -&gt; ProcedureVersions.OpenChangeRequestCount",
    "FieldTable": "ProcedureVersions",
    "FieldName": "OpenChangeRequestCount",
    "FieldIsDerived": true,
    "IsWritableDerivedField": false,
    "IsMasked": false,
    "GrantKeyWhenReadable": "principal-process-steward|ProcedureVersions"
   },
   {
    "FieldGrantId": "fg-process-steward-ProcedureVersions.OpenHighSeverityGapCount",
    "Principal": "principal-process-steward",
    "TargetField": "ProcedureVersions.OpenHighSeverityGapCount",
    "CanRead": true,
    "CanWrite": false,
    "MaskStrategy": "plain",
    "SemanticTypeIri": "urn:effortless:pko-extension#FieldGrant",
    "Name": "principal-process-steward -&gt; ProcedureVersions.OpenHighSeverityGapCount",
    "FieldTable": "ProcedureVersions",
    "FieldName": "OpenHighSeverityGapCount",
    "FieldIsDerived": true,
    "IsWritableDerivedField": false,
    "IsMasked": false,
    "GrantKeyWhenReadable": "principal-process-steward|ProcedureVersions"
   },
   {
    "FieldGrantId": "fg-process-steward-ProcedureVersions.IsFitToExecute",
    "Principal": "principal-process-steward",
    "TargetField": "ProcedureVersions.IsFitToExecute",
    "CanRead": true,
    "CanWrite": false,
    "MaskStrategy": "plain",
    "SemanticTypeIri": "urn:effortless:pko-extension#FieldGrant",
    "Name": "principal-process-steward -&gt; ProcedureVersions.IsFitToExecute",
    "FieldTable": "ProcedureVersions",
    "FieldName": "IsFitToExecute",
    "FieldIsDerived": true,
    "IsWritableDerivedField": false,
    "IsMasked": false,
    "GrantKeyWhenReadable": "principal-process-steward|ProcedureVersions"
   },
   {
    "FieldGrantId": "fg-process-steward-ProcedureVersions.StewardReviewCadenceDays",
    "Principal": "principal-process-steward",
    "TargetField": "ProcedureVersions.StewardReviewCadenceDays",
    "CanRead": true,
    "CanWrite": false,
    "MaskStrategy": "plain",
    "SemanticTypeIri": "urn:effortless:pko-extension#FieldGrant",
    "Name": "principal-process-steward -&gt; ProcedureVersions.StewardReviewCadenceDays",
    "FieldTable": "ProcedureVersions",
    "FieldName": "StewardReviewCadenceDays",
    "FieldIsDerived": true,
    "IsWritableDerivedField": false,
    "IsMasked": false,
    "GrantKeyWhenReadable": "principal-process-steward|ProcedureVersions"
   },
   {
    "FieldGrantId": "fg-process-steward-ProcedureVersions.CountOfStewardshipAssignments",
    "Principal": "principal-process-steward",
    "TargetField": "ProcedureVersions.CountOfStewardshipAssignments",
    "CanRead": true,
    "CanWrite": false,
    "MaskStrategy": "plain",
    "SemanticTypeIri": "urn:effortless:pko-extension#FieldGrant",
    "Name": "principal-process-steward -&gt; ProcedureVersions.CountOfStewardshipAssignments",
    "FieldTable": "ProcedureVersions",
    "FieldName": "CountOfStewardshipAssignments",
    "FieldIsDerived": true,
    "IsWritableDerivedField": false,
    "IsMasked": false,
    "GrantKeyWhenReadable": "principal-process-steward|ProcedureVersions"
   },
   {
    "FieldGrantId": "fg-process-steward-ProcedureVersions.HasAnySteward",
    "Principal": "principal-process-steward",
    "TargetField": "ProcedureVersions.HasAnySteward",
    "CanRead": true,
    "CanWrite": false,
    "MaskStrategy": "plain",
    "SemanticTypeIri": "urn:effortless:pko-extension#FieldGrant",
    "Name": "principal-process-steward -&gt; ProcedureVersions.HasAnySteward",
    "FieldTable": "ProcedureVersions",
    "FieldName": "HasAnySteward",
    "FieldIsDerived": true,
    "IsWritableDerivedField": false,
    "IsMasked": false,
    "GrantKeyWhenReadable": "principal-process-steward|ProcedureVersions"
   },
   {
    "FieldGrantId": "fg-process-steward-ProcedureVersions.IsLive",
    "Principal": "principal-process-steward",
    "TargetField": "ProcedureVersions.IsLive",
    "CanRead": true,
    "CanWrite": false,
    "MaskStrategy": "plain",
    "SemanticTypeIri": "urn:effortless:pko-extension#FieldGrant",
    "Name": "principal-process-steward -&gt; ProcedureVersions.IsLive",
    "FieldTable": "ProcedureVersions",
    "FieldName": "IsLive",
    "FieldIsDerived": true,
    "IsWritableDerivedField": false,
    "IsMasked": false,
    "GrantKeyWhenReadable": "principal-process-steward|ProcedureVersions"
   },
   {
    "FieldGrantId": "fg-process-steward-ProcedureVersions.IsUnstewarded",
    "Principal": "principal-process-steward",
    "TargetField": "ProcedureVersions.IsUnstewarded",
    "CanRead": true,
    "CanWrite": false,
    "MaskStrategy": "plain",
    "SemanticTypeIri": "urn:effortless:pko-extension#FieldGrant",
    "Name": "principal-process-steward -&gt; ProcedureVersions.IsUnstewarded",
    "FieldTable": "ProcedureVersions",
    "FieldName": "IsUnstewarded",
    "FieldIsDerived": true,
    "IsWritableDerivedField": false,
    "IsMasked": false,
    "GrantKeyWhenReadable": "principal-process-steward|ProcedureVersions"
   },
   {
    "FieldGrantId": "fg-process-steward-ProcedureVersions.IsLiveAndUnstewarded",
    "Principal": "principal-process-steward",
    "TargetField": "ProcedureVersions.IsLiveAndUnstewarded",
    "CanRead": true,
    "CanWrite": false,
    "MaskStrategy": "plain",
    "SemanticTypeIri": "urn:effortless:pko-extension#FieldGrant",
    "Name": "principal-process-steward -&gt; ProcedureVersions.IsLiveAndUnstewarded",
    "FieldTable": "ProcedureVersions",
    "FieldName": "IsLiveAndUnstewarded",
    "FieldIsDerived": true,
    "IsWritableDerivedField": false,
    "IsMasked": false,
    "GrantKeyWhenReadable": "principal-process-steward|ProcedureVersions"
   },
   {
    "FieldGrantId": "fg-process-steward-ProcedureVersions.CountOfOpenBlockingGaps",
    "Principal": "principal-process-steward",
    "TargetField": "ProcedureVersions.CountOfOpenBlockingGaps",
    "CanRead": true,
    "CanWrite": false,
    "MaskStrategy": "plain",
    "SemanticTypeIri": "urn:effortless:pko-extension#FieldGrant",
    "Name": "principal-process-steward -&gt; ProcedureVersions.CountOfOpenBlockingGaps",
    "FieldTable": "ProcedureVersions",
    "FieldName": "CountOfOpenBlockingGaps",
    "FieldIsDerived": true,
    "IsWritableDerivedField": false,
    "IsMasked": false,
    "GrantKeyWhenReadable": "principal-process-steward|ProcedureVersions"
   },
   {
    "FieldGrantId": "fg-process-steward-ProcedureVersions.HasOpenBlockingGap",
    "Principal": "principal-process-steward",
    "TargetField": "ProcedureVersions.HasOpenBlockingGap",
    "CanRead": true,
    "CanWrite": false,
    "MaskStrategy": "plain",
    "SemanticTypeIri": "urn:effortless:pko-extension#FieldGrant",
    "Name": "principal-process-steward -&gt; ProcedureVersions.HasOpenBlockingGap",
    "FieldTable": "ProcedureVersions",
    "FieldName": "HasOpenBlockingGap",
    "FieldIsDerived": true,
    "IsWritableDerivedField": false,
    "IsMasked": false,
    "GrantKeyWhenReadable": "principal-process-steward|ProcedureVersions"
   },
   {
    "FieldGrantId": "fg-process-steward-ProcedureVersions.IsLiveWithBlockingGap",
    "Principal": "principal-process-steward",
    "TargetField": "ProcedureVersions.IsLiveWithBlockingGap",
    "CanRead": true,
    "CanWrite": false,
    "MaskStrategy": "plain",
    "SemanticTypeIri": "urn:effortless:pko-extension#FieldGrant",
    "Name": "principal-process-steward -&gt; ProcedureVersions.IsLiveWithBlockingGap",
    "FieldTable": "ProcedureVersions",
    "FieldName": "IsLiveWithBlockingGap",
    "FieldIsDerived": true,
    "IsWritableDerivedField": false,
    "IsMasked": false,
    "GrantKeyWhenReadable": "principal-process-steward|ProcedureVersions"
   },
   {
    "FieldGrantId": "fg-process-steward-ProcedureVersions.ShouldNotBeExecutable",
    "Principal": "principal-process-steward",
    "TargetField": "ProcedureVersions.ShouldNotBeExecutable",
    "CanRead": true,
    "CanWrite": false,
    "MaskStrategy": "plain",
    "SemanticTypeIri": "urn:effortless:pko-extension#FieldGrant",
    "Name": "principal-process-steward -&gt; ProcedureVersions.ShouldNotBeExecutable",
    "FieldTable": "ProcedureVersions",
    "FieldName": "ShouldNotBeExecutable",
    "FieldIsDerived": true,
    "IsWritableDerivedField": false,
    "IsMasked": false,
    "GrantKeyWhenReadable": "principal-process-steward|ProcedureVersions"
   },
   {
    "FieldGrantId": "fg-process-steward-ProcedureVersions.CountOfUnapprovedRelianceFragments",
    "Principal": "principal-process-steward",
    "TargetField": "ProcedureVersions.CountOfUnapprovedRelianceFragments",
    "CanRead": true,
    "CanWrite": false,
    "MaskStrategy": "plain",
    "SemanticTypeIri": "urn:effortless:pko-extension#FieldGrant",
    "Name": "principal-process-steward -&gt; ProcedureVersions.CountOfUnapprovedRelianceFragments",
    "FieldTable": "ProcedureVersions",
    "FieldName": "CountOfUnapprovedRelianceFragments",
    "FieldIsDerived": true,
    "IsWritableDerivedField": false,
    "IsMasked": false,
    "GrantKeyWhenReadable": "principal-process-steward|ProcedureVersions"
   },
   {
    "FieldGrantId": "fg-process-steward-ProcedureVersions.RunsOnUnapprovedKnowledge",
    "Principal": "principal-process-steward",
    "TargetField": "ProcedureVersions.RunsOnUnapprovedKnowledge",
    "CanRead": true,
    "CanWrite": false,
    "MaskStrategy": "plain",
    "SemanticTypeIri": "urn:effortless:pko-extension#FieldGrant",
    "Name": "principal-process-steward -&gt; ProcedureVersions.RunsOnUnapprovedKnowledge",
    "FieldTable": "ProcedureVersions",
    "FieldName": "RunsOnUnapprovedKnowledge",
    "FieldIsDerived": true,
    "IsWritableDerivedField": false,
    "IsMasked": false,
    "GrantKeyWhenReadable": "principal-process-steward|ProcedureVersions"
   },
   {
    "FieldGrantId": "fg-process-steward-ProcedureVersions.CountOfOverdueGaps",
    "Principal": "principal-process-steward",
    "TargetField": "ProcedureVersions.CountOfOverdueGaps",
    "CanRead": true,
    "CanWrite": false,
    "MaskStrategy": "plain",
    "SemanticTypeIri": "urn:effortless:pko-extension#FieldGrant",
    "Name": "principal-process-steward -&gt; ProcedureVersions.CountOfOverdueGaps",
    "FieldTable": "ProcedureVersions",
    "FieldName": "CountOfOverdueGaps",
    "FieldIsDerived": true,
    "IsWritableDerivedField": false,
    "IsMasked": false,
    "GrantKeyWhenReadable": "principal-process-steward|ProcedureVersions"
   },
   {
    "FieldGrantId": "fg-process-steward-ProcedureVersions.CountOfChangeRequests",
    "Principal": "principal-process-steward",
    "TargetField": "ProcedureVersions.CountOfChangeRequests",
    "CanRead": true,
    "CanWrite": false,
    "MaskStrategy": "plain",
    "SemanticTypeIri": "urn:effortless:pko-extension#FieldGrant",
    "Name": "principal-process-steward -&gt; ProcedureVersions.CountOfChangeRequests",
    "FieldTable": "ProcedureVersions",
    "FieldName": "CountOfChangeRequests",
    "FieldIsDerived": true,
    "IsWritableDerivedField": false,
    "IsMasked": false,
    "GrantKeyWhenReadable": "principal-process-steward|ProcedureVersions"
   },
   {
    "FieldGrantId": "fg-process-steward-ProcedureVersions.CountOfReviewEvents",
    "Principal": "principal-process-steward",
    "TargetField": "ProcedureVersions.CountOfReviewEvents",
    "CanRead": true,
    "CanWrite": false,
    "MaskStrategy": "plain",
    "SemanticTypeIri": "urn:effortless:pko-extension#FieldGrant",
    "Name": "principal-process-steward -&gt; ProcedureVersions.CountOfReviewEvents",
    "FieldTable": "ProcedureVersions",
    "FieldName": "CountOfReviewEvents",
    "FieldIsDerived": true,
    "IsWritableDerivedField": false,
    "IsMasked": false,
    "GrantKeyWhenReadable": "principal-process-steward|ProcedureVersions"
   },
   {
    "FieldGrantId": "fg-process-steward-ProcedureVersions.HasGovernanceRecord",
    "Principal": "principal-process-steward",
    "TargetField": "ProcedureVersions.HasGovernanceRecord",
    "CanRead": true,
    "CanWrite": false,
    "MaskStrategy": "plain",
    "SemanticTypeIri": "urn:effortless:pko-extension#FieldGrant",
    "Name": "principal-process-steward -&gt; ProcedureVersions.HasGovernanceRecord",
    "FieldTable": "ProcedureVersions",
    "FieldName": "HasGovernanceRecord",
    "FieldIsDerived": true,
    "IsWritableDerivedField": false,
    "IsMasked": false,
    "GrantKeyWhenReadable": "principal-process-steward|ProcedureVersions"
   },
   {
    "FieldGrantId": "fg-process-steward-ProcedureVersions.EvaluationContext",
    "Principal": "principal-process-steward",
    "TargetField": "ProcedureVersions.EvaluationContext",
    "CanRead": true,
    "CanWrite": false,
    "MaskStrategy": "plain",
    "SemanticTypeIri": "urn:effortless:pko-extension#FieldGrant",
    "Name": "principal-process-steward -&gt; ProcedureVersions.EvaluationContext",
    "FieldTable": "ProcedureVersions",
    "FieldName": "EvaluationContext",
    "FieldIsDerived": false,
    "IsWritableDerivedField": false,
    "IsMasked": false,
    "GrantKeyWhenReadable": "principal-process-steward|ProcedureVersions"
   },
   {
    "FieldGrantId": "fg-process-steward-ProcedureVersions.AsOfInstant",
    "Principal": "principal-process-steward",
    "TargetField": "ProcedureVersions.AsOfInstant",
    "CanRead": true,
    "CanWrite": false,
    "MaskStrategy": "plain",
    "SemanticTypeIri": "urn:effortless:pko-extension#FieldGrant",
    "Name": "principal-process-steward -&gt; ProcedureVersions.AsOfInstant",
    "FieldTable": "ProcedureVersions",
    "FieldName": "AsOfInstant",
    "FieldIsDerived": true,
    "IsWritableDerivedField": false,
    "IsMasked": false,
    "GrantKeyWhenReadable": "principal-process-steward|ProcedureVersions"
   },
   {
    "FieldGrantId": "fg-process-steward-ProcedureVersions.DaysSinceModified",
    "Principal": "principal-process-steward",
    "TargetField": "ProcedureVersions.DaysSinceModified",
    "CanRead": true,
    "CanWrite": false,
    "MaskStrategy": "plain",
    "SemanticTypeIri": "urn:effortless:pko-extension#FieldGrant",
    "Name": "principal-process-steward -&gt; ProcedureVersions.DaysSinceModified",
    "FieldTable": "ProcedureVersions",
    "FieldName": "DaysSinceModified",
    "FieldIsDerived": true,
    "IsWritableDerivedField": false,
    "IsMasked": false,
    "GrantKeyWhenReadable": "principal-process-steward|ProcedureVersions"
   },
   {
    "FieldGrantId": "fg-process-steward-ProcedureVersions.DaysSinceLastReview",
    "Principal": "principal-process-steward",
    "TargetField": "ProcedureVersions.DaysSinceLastReview",
    "CanRead": true,
    "CanWrite": false,
    "MaskStrategy": "plain",
    "SemanticTypeIri": "urn:effortless:pko-extension#FieldGrant",
    "Name": "principal-process-steward -&gt; ProcedureVersions.DaysSinceLastReview",
    "FieldTable": "ProcedureVersions",
    "FieldName": "DaysSinceLastReview",
    "FieldIsDerived": true,
    "IsWritableDerivedField": false,
    "IsMasked": false,
    "GrantKeyWhenReadable": "principal-process-steward|ProcedureVersions"
   },
   {
    "FieldGrantId": "fg-process-steward-ProcedureVersions.WasModifiedSinceLastReview",
    "Principal": "principal-process-steward",
    "TargetField": "ProcedureVersions.WasModifiedSinceLastReview",
    "CanRead": true,
    "CanWrite": false,
    "MaskStrategy": "plain",
    "SemanticTypeIri": "urn:effortless:pko-extension#FieldGrant",
    "Name": "principal-process-steward -&gt; ProcedureVersions.WasModifiedSinceLastReview",
    "FieldTable": "ProcedureVersions",
    "FieldName": "WasModifiedSinceLastReview",
    "FieldIsDerived": true,
    "IsWritableDerivedField": false,
    "IsMasked": false,
    "GrantKeyWhenReadable": "principal-process-steward|ProcedureVersions"
   },
   {
    "FieldGrantId": "fg-process-steward-ProcedureVersions.ModifierIsAuthority",
    "Principal": "principal-process-steward",
    "TargetField": "ProcedureVersions.ModifierIsAuthority",
    "CanRead": true,
    "CanWrite": false,
    "MaskStrategy": "plain",
    "SemanticTypeIri": "urn:effortless:pko-extension#FieldGrant",
    "Name": "principal-process-steward -&gt; ProcedureVersions.ModifierIsAuthority",
    "FieldTable": "ProcedureVersions",
    "FieldName": "ModifierIsAuthority",
    "FieldIsDerived": true,
    "IsWritableDerivedField": false,
    "IsMasked": false,
    "GrantKeyWhenReadable": "principal-process-steward|ProcedureVersions"
   },
   {
    "FieldGrantId": "fg-process-steward-ProcedureVersions.HasUnwitnessedChange",
    "Principal": "principal-process-steward",
    "TargetField": "ProcedureVersions.HasUnwitnessedChange",
    "CanRead": true,
    "CanWrite": false,
    "MaskStrategy": "plain",
    "SemanticTypeIri": "urn:effortless:pko-extension#FieldGrant",
    "Name": "principal-process-steward -&gt; ProcedureVersions.HasUnwitnessedChange",
    "FieldTable": "ProcedureVersions",
    "FieldName": "HasUnwitnessedChange",
    "FieldIsDerived": true,
    "IsWritableDerivedField": false,
    "IsMasked": false,
    "GrantKeyWhenReadable": "principal-process-steward|ProcedureVersions"
   },
   {
    "FieldGrantId": "fg-process-steward-ProcedureVersions.CountOfStaleFragments",
    "Principal": "principal-process-steward",
    "TargetField": "ProcedureVersions.CountOfStaleFragments",
    "CanRead": true,
    "CanWrite": false,
    "MaskStrategy": "plain",
    "SemanticTypeIri": "urn:effortless:pko-extension#FieldGrant",
    "Name": "principal-process-steward -&gt; ProcedureVersions.CountOfStaleFragments",
    "FieldTable": "ProcedureVersions",
    "FieldName": "CountOfStaleFragments",
    "FieldIsDerived": true,
    "IsWritableDerivedField": false,
    "IsMasked": false,
    "GrantKeyWhenReadable": "principal-process-steward|ProcedureVersions"
   },
   {
    "FieldGrantId": "fg-process-steward-ProcedureVersions.KnowledgeIsStalerThanCadence",
    "Principal": "principal-process-steward",
    "TargetField": "ProcedureVersions.KnowledgeIsStalerThanCadence",
    "CanRead": true,
    "CanWrite": false,
    "MaskStrategy": "plain",
    "SemanticTypeIri": "urn:effortless:pko-extension#FieldGrant",
    "Name": "principal-process-steward -&gt; ProcedureVersions.KnowledgeIsStalerThanCadence",
    "FieldTable": "ProcedureVersions",
    "FieldName": "KnowledgeIsStalerThanCadence",
    "FieldIsDerived": true,
    "IsWritableDerivedField": false,
    "IsMasked": false,
    "GrantKeyWhenReadable": "principal-process-steward|ProcedureVersions"
   },
   {
    "FieldGrantId": "fg-process-steward-ProcedureVersions.CompoundFragileFragmentCount",
    "Principal": "principal-process-steward",
    "TargetField": "ProcedureVersions.CompoundFragileFragmentCount",
    "CanRead": true,
    "CanWrite": false,
    "MaskStrategy": "plain",
    "SemanticTypeIri": "urn:effortless:pko-extension#FieldGrant",
    "Name": "principal-process-steward -&gt; ProcedureVersions.CompoundFragileFragmentCount",
    "FieldTable": "ProcedureVersions",
    "FieldName": "CompoundFragileFragmentCount",
    "FieldIsDerived": true,
    "IsWritableDerivedField": false,
    "IsMasked": false,
    "GrantKeyWhenReadable": "principal-process-steward|ProcedureVersions"
   },
   {
    "FieldGrantId": "fg-process-steward-ProcedureVersions.RestsOnCompoundFragileKnowledge",
    "Principal": "principal-process-steward",
    "TargetField": "ProcedureVersions.RestsOnCompoundFragileKnowledge",
    "CanRead": true,
    "CanWrite": false,
    "MaskStrategy": "plain",
    "SemanticTypeIri": "urn:effortless:pko-extension#FieldGrant",
    "Name": "principal-process-steward -&gt; ProcedureVersions.RestsOnCompoundFragileKnowledge",
    "FieldTable": "ProcedureVersions",
    "FieldName": "RestsOnCompoundFragileKnowledge",
    "FieldIsDerived": true,
    "IsWritableDerivedField": false,
    "IsMasked": false,
    "GrantKeyWhenReadable": "principal-process-steward|ProcedureVersions"
   },
   {
    "FieldGrantId": "fg-process-steward-ProcedureVersions.ConcentratedWitnessSessionCount",
    "Principal": "principal-process-steward",
    "TargetField": "ProcedureVersions.ConcentratedWitnessSessionCount",
    "CanRead": true,
    "CanWrite": false,
    "MaskStrategy": "plain",
    "SemanticTypeIri": "urn:effortless:pko-extension#FieldGrant",
    "Name": "principal-process-steward -&gt; ProcedureVersions.ConcentratedWitnessSessionCount",
    "FieldTable": "ProcedureVersions",
    "FieldName": "ConcentratedWitnessSessionCount",
    "FieldIsDerived": true,
    "IsWritableDerivedField": false,
    "IsMasked": false,
    "GrantKeyWhenReadable": "principal-process-steward|ProcedureVersions"
   },
   {
    "FieldGrantId": "fg-process-steward-ProcedureVersions.KnowledgeBaseIsConcentrated",
    "Principal": "principal-process-steward",
    "TargetField": "ProcedureVersions.KnowledgeBaseIsConcentrated",
    "CanRead": true,
    "CanWrite": false,
    "MaskStrategy": "plain",
    "SemanticTypeIri": "urn:effortless:pko-extension#FieldGrant",
    "Name": "principal-process-steward -&gt; ProcedureVersions.KnowledgeBaseIsConcentrated",
    "FieldTable": "ProcedureVersions",
    "FieldName": "KnowledgeBaseIsConcentrated",
    "FieldIsDerived": true,
    "IsWritableDerivedField": false,
    "IsMasked": false,
    "GrantKeyWhenReadable": "principal-process-steward|ProcedureVersions"
   },
   {
    "FieldGrantId": "fg-process-steward-ProcedureVersions.MachineConsumedUnapprovedCount",
    "Principal": "principal-process-steward",
    "TargetField": "ProcedureVersions.MachineConsumedUnapprovedCount",
    "CanRead": true,
    "CanWrite": false,
    "MaskStrategy": "plain",
    "SemanticTypeIri": "urn:effortless:pko-extension#FieldGrant",
    "Name": "principal-process-steward -&gt; ProcedureVersions.MachineConsumedUnapprovedCount",
    "FieldTable": "ProcedureVersions",
    "FieldName": "MachineConsumedUnapprovedCount",
    "FieldIsDerived": true,
    "IsWritableDerivedField": false,
    "IsMasked": false,
    "GrantKeyWhenReadable": "principal-process-steward|ProcedureVersions"
   },
   {
    "FieldGrantId": "fg-process-steward-ProcedureVersions.FeedsUnapprovedKnowledgeToMachines",
    "Principal": "principal-process-steward",
    "TargetField": "ProcedureVersions.FeedsUnapprovedKnowledgeToMachines",
    "CanRead": true,
    "CanWrite": false,
    "MaskStrategy": "plain",
    "SemanticTypeIri": "urn:effortless:pko-extension#FieldGrant",
    "Name": "principal-process-steward -&gt; ProcedureVersions.FeedsUnapprovedKnowledgeToMachines",
    "FieldTable": "ProcedureVersions",
    "FieldName": "FeedsUnapprovedKnowledgeToMachines",
    "FieldIsDerived": true,
    "IsWritableDerivedField": false,
    "IsMasked": false,
    "GrantKeyWhenReadable": "principal-process-steward|ProcedureVersions"
   },
   {
    "FieldGrantId": "fg-process-steward-ProcedureVersions.GenuinelyOverdueFragmentCount",
    "Principal": "principal-process-steward",
    "TargetField": "ProcedureVersions.GenuinelyOverdueFragmentCount",
    "CanRead": true,
    "CanWrite": false,
    "MaskStrategy": "plain",
    "SemanticTypeIri": "urn:effortless:pko-extension#FieldGrant",
    "Name": "principal-process-steward -&gt; ProcedureVersions.GenuinelyOverdueFragmentCount",
    "FieldTable": "ProcedureVersions",
    "FieldName": "GenuinelyOverdueFragmentCount",
    "FieldIsDerived": true,
    "IsWritableDerivedField": false,
    "IsMasked": false,
    "GrantKeyWhenReadable": "principal-process-steward|ProcedureVersions"
   },
   {
    "FieldGrantId": "fg-process-steward-ProcedureVersions.AwaitedDecisionCount",
    "Principal": "principal-process-steward",
    "TargetField": "ProcedureVersions.AwaitedDecisionCount",
    "CanRead": true,
    "CanWrite": false,
    "MaskStrategy": "plain",
    "SemanticTypeIri": "urn:effortless:pko-extension#FieldGrant",
    "Name": "principal-process-steward -&gt; ProcedureVersions.AwaitedDecisionCount",
    "FieldTable": "ProcedureVersions",
    "FieldName": "AwaitedDecisionCount",
    "FieldIsDerived": true,
    "IsWritableDerivedField": false,
    "IsMasked": false,
    "GrantKeyWhenReadable": "principal-process-steward|ProcedureVersions"
   },
   {
    "FieldGrantId": "fg-process-steward-ProcedureVersions.ScopedOpenBlockingGapCount",
    "Principal": "principal-process-steward",
    "TargetField": "ProcedureVersions.ScopedOpenBlockingGapCount",
    "CanRead": true,
    "CanWrite": false,
    "MaskStrategy": "plain",
    "SemanticTypeIri": "urn:effortless:pko-extension#FieldGrant",
    "Name": "principal-process-steward -&gt; ProcedureVersions.ScopedOpenBlockingGapCount",
    "FieldTable": "ProcedureVersions",
    "FieldName": "ScopedOpenBlockingGapCount",
    "FieldIsDerived": true,
    "IsWritableDerivedField": false,
    "IsMasked": false,
    "GrantKeyWhenReadable": "principal-process-steward|ProcedureVersions"
   },
   {
    "FieldGrantId": "fg-process-steward-ProcedureVersions.IsBlockedOnPendingDecision",
    "Principal": "principal-process-steward",
    "TargetField": "ProcedureVersions.IsBlockedOnPendingDecision",
    "CanRead": true,
    "CanWrite": false,
    "MaskStrategy": "plain",
    "SemanticTypeIri": "urn:effortless:pko-extension#FieldGrant",
    "Name": "principal-process-steward -&gt; ProcedureVersions.IsBlockedOnPendingDecision",
    "FieldTable": "ProcedureVersions",
    "FieldName": "IsBlockedOnPendingDecision",
    "FieldIsDerived": true,
    "IsWritableDerivedField": false,
    "IsMasked": false,
    "GrantKeyWhenReadable": "principal-process-steward|ProcedureVersions"
   },
   {
    "FieldGrantId": "fg-process-steward-ProcedureVersions.UnexercisedHumanGateCount",
    "Principal": "principal-process-steward",
    "TargetField": "ProcedureVersions.UnexercisedHumanGateCount",
    "CanRead": true,
    "CanWrite": false,
    "MaskStrategy": "plain",
    "SemanticTypeIri": "urn:effortless:pko-extension#FieldGrant",
    "Name": "principal-process-steward -&gt; ProcedureVersions.UnexercisedHumanGateCount",
    "FieldTable": "ProcedureVersions",
    "FieldName": "UnexercisedHumanGateCount",
    "FieldIsDerived": true,
    "IsWritableDerivedField": false,
    "IsMasked": false,
    "GrantKeyWhenReadable": "principal-process-steward|ProcedureVersions"
   },
   {
    "FieldGrantId": "fg-process-steward-ProcedureVersions.AiBoundaryIsUnevidenced",
    "Principal": "principal-process-steward",
    "TargetField": "ProcedureVersions.AiBoundaryIsUnevidenced",
    "CanRead": true,
    "CanWrite": false,
    "MaskStrategy": "plain",
    "SemanticTypeIri": "urn:effortless:pko-extension#FieldGrant",
    "Name": "principal-process-steward -&gt; ProcedureVersions.AiBoundaryIsUnevidenced",
    "FieldTable": "ProcedureVersions",
    "FieldName": "AiBoundaryIsUnevidenced",
    "FieldIsDerived": true,
    "IsWritableDerivedField": false,
    "IsMasked": false,
    "GrantKeyWhenReadable": "principal-process-steward|ProcedureVersions"
   },
   {
    "FieldGrantId": "fg-process-steward-ProcedureVersions.LoadBearingUnapprovedCount",
    "Principal": "principal-process-steward",
    "TargetField": "ProcedureVersions.LoadBearingUnapprovedCount",
    "CanRead": true,
    "CanWrite": false,
    "MaskStrategy": "plain",
    "SemanticTypeIri": "urn:effortless:pko-extension#FieldGrant",
    "Name": "principal-process-steward -&gt; ProcedureVersions.LoadBearingUnapprovedCount",
    "FieldTable": "ProcedureVersions",
    "FieldName": "LoadBearingUnapprovedCount",
    "FieldIsDerived": true,
    "IsWritableDerivedField": false,
    "IsMasked": false,
    "GrantKeyWhenReadable": "principal-process-steward|ProcedureVersions"
   },
   {
    "FieldGrantId": "fg-process-steward-ProcedureVersions.UnlandedDecisionCount",
    "Principal": "principal-process-steward",
    "TargetField": "ProcedureVersions.UnlandedDecisionCount",
    "CanRead": true,
    "CanWrite": false,
    "MaskStrategy": "plain",
    "SemanticTypeIri": "urn:effortless:pko-extension#FieldGrant",
    "Name": "principal-process-steward -&gt; ProcedureVersions.UnlandedDecisionCount",
    "FieldTable": "ProcedureVersions",
    "FieldName": "UnlandedDecisionCount",
    "FieldIsDerived": true,
    "IsWritableDerivedField": false,
    "IsMasked": false,
    "GrantKeyWhenReadable": "principal-process-steward|ProcedureVersions"
   },
   {
    "FieldGrantId": "fg-process-steward-ProcedureVersions.UnrehearsedControlEntryCount",
    "Principal": "principal-process-steward",
    "TargetField": "ProcedureVersions.UnrehearsedControlEntryCount",
    "CanRead": true,
    "CanWrite": false,
    "MaskStrategy": "plain",
    "SemanticTypeIri": "urn:effortless:pko-extension#FieldGrant",
    "Name": "principal-process-steward -&gt; ProcedureVersions.UnrehearsedControlEntryCount",
    "FieldTable": "ProcedureVersions",
    "FieldName": "UnrehearsedControlEntryCount",
    "FieldIsDerived": true,
    "IsWritableDerivedField": false,
    "IsMasked": false,
    "GrantKeyWhenReadable": "principal-process-steward|ProcedureVersions"
   },
   {
    "FieldGrantId": "fg-process-steward-ProcedureVersions.HasUnrehearsedControlEntry",
    "Principal": "principal-process-steward",
    "TargetField": "ProcedureVersions.HasUnrehearsedControlEntry",
    "CanRead": true,
    "CanWrite": false,
    "MaskStrategy": "plain",
    "SemanticTypeIri": "urn:effortless:pko-extension#FieldGrant",
    "Name": "principal-process-steward -&gt; ProcedureVersions.HasUnrehearsedControlEntry",
    "FieldTable": "ProcedureVersions",
    "FieldName": "HasUnrehearsedControlEntry",
    "FieldIsDerived": true,
    "IsWritableDerivedField": false,
    "IsMasked": false,
    "GrantKeyWhenReadable": "principal-process-steward|ProcedureVersions"
   },
   {
    "FieldGrantId": "fg-process-steward-ProcedureVersions.IsLiveWithUnrehearsedControl",
    "Principal": "principal-process-steward",
    "TargetField": "ProcedureVersions.IsLiveWithUnrehearsedControl",
    "CanRead": true,
    "CanWrite": false,
    "MaskStrategy": "plain",
    "SemanticTypeIri": "urn:effortless:pko-extension#FieldGrant",
    "Name": "principal-process-steward -&gt; ProcedureVersions.IsLiveWithUnrehearsedControl",
    "FieldTable": "ProcedureVersions",
    "FieldName": "IsLiveWithUnrehearsedControl",
    "FieldIsDerived": true,
    "IsWritableDerivedField": false,
    "IsMasked": false,
    "GrantKeyWhenReadable": "principal-process-steward|ProcedureVersions"
   },
   {
    "FieldGrantId": "fg-process-steward-ProcedureVersions.CadenceBreachCount",
    "Principal": "principal-process-steward",
    "TargetField": "ProcedureVersions.CadenceBreachCount",
    "CanRead": true,
    "CanWrite": false,
    "MaskStrategy": "plain",
    "SemanticTypeIri": "urn:effortless:pko-extension#FieldGrant",
    "Name": "principal-process-steward -&gt; ProcedureVersions.CadenceBreachCount",
    "FieldTable": "ProcedureVersions",
    "FieldName": "CadenceBreachCount",
    "FieldIsDerived": true,
    "IsWritableDerivedField": false,
    "IsMasked": false,
    "GrantKeyWhenReadable": "principal-process-steward|ProcedureVersions"
   },
   {
    "FieldGrantId": "fg-process-steward-ProcedureVersions.IsInCadenceBreach",
    "Principal": "principal-process-steward",
    "TargetField": "ProcedureVersions.IsInCadenceBreach",
    "CanRead": true,
    "CanWrite": false,
    "MaskStrategy": "plain",
    "SemanticTypeIri": "urn:effortless:pko-extension#FieldGrant",
    "Name": "principal-process-steward -&gt; ProcedureVersions.IsInCadenceBreach",
    "FieldTable": "ProcedureVersions",
    "FieldName": "IsInCadenceBreach",
    "FieldIsDerived": true,
    "IsWritableDerivedField": false,
    "IsMasked": false,
    "GrantKeyWhenReadable": "principal-process-steward|ProcedureVersions"
   },
   {
    "FieldGrantId": "fg-process-steward-ProcedureVersions.HasDecisionInFlight",
    "Principal": "principal-process-steward",
    "TargetField": "ProcedureVersions.HasDecisionInFlight",
    "CanRead": true,
    "CanWrite": false,
    "MaskStrategy":</t>
  </si>
  <si>
    <t xml:space="preserve"> "plain",
    "SemanticTypeIri": "urn:effortless:pko-extension#FieldGrant",
    "Name": "principal-process-steward -&gt; ProcedureVersions.HasDecisionInFlight",
    "FieldTable": "ProcedureVersions",
    "FieldName": "HasDecisionInFlight",
    "FieldIsDerived": true,
    "IsWritableDerivedField": false,
    "IsMasked": false,
    "GrantKeyWhenReadable": "principal-process-steward|ProcedureVersions"
   },
   {
    "FieldGrantId": "fg-process-steward-ProcedureVersions.IsUnremediatedCadenceBreach",
    "Principal": "principal-process-steward",
    "TargetField": "ProcedureVersions.IsUnremediatedCadenceBreach",
    "CanRead": true,
    "CanWrite": false,
    "MaskStrategy": "plain",
    "SemanticTypeIri": "urn:effortless:pko-extension#FieldGrant",
    "Name": "principal-process-steward -&gt; ProcedureVersions.IsUnremediatedCadenceBreach",
    "FieldTable": "ProcedureVersions",
    "FieldName": "IsUnremediatedCadenceBreach",
    "FieldIsDerived": true,
    "IsWritableDerivedField": false,
    "IsMasked": false,
    "GrantKeyWhenReadable": "principal-process-steward|ProcedureVersions"
   },
   {
    "FieldGrantId": "fg-process-steward-ProcedureVersions.IsManagedCadenceBreach",
    "Principal": "principal-process-steward",
    "TargetField": "ProcedureVersions.IsManagedCadenceBreach",
    "CanRead": true,
    "CanWrite": false,
    "MaskStrategy": "plain",
    "SemanticTypeIri": "urn:effortless:pko-extension#FieldGrant",
    "Name": "principal-process-steward -&gt; ProcedureVersions.IsManagedCadenceBreach",
    "FieldTable": "ProcedureVersions",
    "FieldName": "IsManagedCadenceBreach",
    "FieldIsDerived": true,
    "IsWritableDerivedField": false,
    "IsMasked": false,
    "GrantKeyWhenReadable": "principal-process-steward|ProcedureVersions"
   },
   {
    "FieldGrantId": "fg-process-steward-ProcedureVersions.GovernanceIsSilent",
    "Principal": "principal-process-steward",
    "TargetField": "ProcedureVersions.GovernanceIsSilent",
    "CanRead": true,
    "CanWrite": false,
    "MaskStrategy": "plain",
    "SemanticTypeIri": "urn:effortless:pko-extension#FieldGrant",
    "Name": "principal-process-steward -&gt; ProcedureVersions.GovernanceIsSilent",
    "FieldTable": "ProcedureVersions",
    "FieldName": "GovernanceIsSilent",
    "FieldIsDerived": true,
    "IsWritableDerivedField": false,
    "IsMasked": false,
    "GrantKeyWhenReadable": "principal-process-steward|ProcedureVersions"
   },
   {
    "FieldGrantId": "fg-process-steward-ProcedureVersions.ValidFragmentCount",
    "Principal": "principal-process-steward",
    "TargetField": "ProcedureVersions.ValidFragmentCount",
    "CanRead": true,
    "CanWrite": false,
    "MaskStrategy": "plain",
    "SemanticTypeIri": "urn:effortless:pko-extension#FieldGrant",
    "Name": "principal-process-steward -&gt; ProcedureVersions.ValidFragmentCount",
    "FieldTable": "ProcedureVersions",
    "FieldName": "ValidFragmentCount",
    "FieldIsDerived": true,
    "IsWritableDerivedField": false,
    "IsMasked": false,
    "GrantKeyWhenReadable": "principal-process-steward|ProcedureVersions"
   },
   {
    "FieldGrantId": "fg-process-steward-ProcedureVersions.StillOwnsValidKnowledge",
    "Principal": "principal-process-steward",
    "TargetField": "ProcedureVersions.StillOwnsValidKnowledge",
    "CanRead": true,
    "CanWrite": false,
    "MaskStrategy": "plain",
    "SemanticTypeIri": "urn:effortless:pko-extension#FieldGrant",
    "Name": "principal-process-steward -&gt; ProcedureVersions.StillOwnsValidKnowledge",
    "FieldTable": "ProcedureVersions",
    "FieldName": "StillOwnsValidKnowledge",
    "FieldIsDerived": true,
    "IsWritableDerivedField": false,
    "IsMasked": false,
    "GrantKeyWhenReadable": "principal-process-steward|ProcedureVersions"
   },
   {
    "FieldGrantId": "fg-process-steward-ProcedureVersions.IncomingSupersessionCount",
    "Principal": "principal-process-steward",
    "TargetField": "ProcedureVersions.IncomingSupersessionCount",
    "CanRead": true,
    "CanWrite": false,
    "MaskStrategy": "plain",
    "SemanticTypeIri": "urn:effortless:pko-extension#FieldGrant",
    "Name": "principal-process-steward -&gt; ProcedureVersions.IncomingSupersessionCount",
    "FieldTable": "ProcedureVersions",
    "FieldName": "IncomingSupersessionCount",
    "FieldIsDerived": true,
    "IsWritableDerivedField": false,
    "IsMasked": false,
    "GrantKeyWhenReadable": "principal-process-steward|ProcedureVersions"
   },
   {
    "FieldGrantId": "fg-process-steward-ProcedureVersions.IsStillReferenced",
    "Principal": "principal-process-steward",
    "TargetField": "ProcedureVersions.IsStillReferenced",
    "CanRead": true,
    "CanWrite": false,
    "MaskStrategy": "plain",
    "SemanticTypeIri": "urn:effortless:pko-extension#FieldGrant",
    "Name": "principal-process-steward -&gt; ProcedureVersions.IsStillReferenced",
    "FieldTable": "ProcedureVersions",
    "FieldName": "IsStillReferenced",
    "FieldIsDerived": true,
    "IsWritableDerivedField": false,
    "IsMasked": false,
    "GrantKeyWhenReadable": "principal-process-steward|ProcedureVersions"
   },
   {
    "FieldGrantId": "fg-process-steward-ProcedureVersions.IsLoadBearingOrphan",
    "Principal": "principal-process-steward",
    "TargetField": "ProcedureVersions.IsLoadBearingOrphan",
    "CanRead": true,
    "CanWrite": false,
    "MaskStrategy": "plain",
    "SemanticTypeIri": "urn:effortless:pko-extension#FieldGrant",
    "Name": "principal-process-steward -&gt; ProcedureVersions.IsLoadBearingOrphan",
    "FieldTable": "ProcedureVersions",
    "FieldName": "IsLoadBearingOrphan",
    "FieldIsDerived": true,
    "IsWritableDerivedField": false,
    "IsMasked": false,
    "GrantKeyWhenReadable": "principal-process-steward|ProcedureVersions"
   },
   {
    "FieldGrantId": "fg-process-steward-ProcedureVersions.IsCleanlyRetired",
    "Principal": "principal-process-steward",
    "TargetField": "ProcedureVersions.IsCleanlyRetired",
    "CanRead": true,
    "CanWrite": false,
    "MaskStrategy": "plain",
    "SemanticTypeIri": "urn:effortless:pko-extension#FieldGrant",
    "Name": "principal-process-steward -&gt; ProcedureVersions.IsCleanlyRetired",
    "FieldTable": "ProcedureVersions",
    "FieldName": "IsCleanlyRetired",
    "FieldIsDerived": true,
    "IsWritableDerivedField": false,
    "IsMasked": false,
    "GrantKeyWhenReadable": "principal-process-steward|ProcedureVersions"
   },
   {
    "FieldGrantId": "fg-process-steward-ProcedureVersions.StalledImplementationCount",
    "Principal": "principal-process-steward",
    "TargetField": "ProcedureVersions.StalledImplementationCount",
    "CanRead": true,
    "CanWrite": false,
    "MaskStrategy": "plain",
    "SemanticTypeIri": "urn:effortless:pko-extension#FieldGrant",
    "Name": "principal-process-steward -&gt; ProcedureVersions.StalledImplementationCount",
    "FieldTable": "ProcedureVersions",
    "FieldName": "StalledImplementationCount",
    "FieldIsDerived": true,
    "IsWritableDerivedField": false,
    "IsMasked": false,
    "GrantKeyWhenReadable": "principal-process-steward|ProcedureVersions"
   },
   {
    "FieldGrantId": "fg-process-steward-ProcedureVersions.IsHeldUnfitByLandedDecisions",
    "Principal": "principal-process-steward",
    "TargetField": "ProcedureVersions.IsHeldUnfitByLandedDecisions",
    "CanRead": true,
    "CanWrite": false,
    "MaskStrategy": "plain",
    "SemanticTypeIri": "urn:effortless:pko-extension#FieldGrant",
    "Name": "principal-process-steward -&gt; ProcedureVersions.IsHeldUnfitByLandedDecisions",
    "FieldTable": "ProcedureVersions",
    "FieldName": "IsHeldUnfitByLandedDecisions",
    "FieldIsDerived": true,
    "IsWritableDerivedField": false,
    "IsMasked": false,
    "GrantKeyWhenReadable": "principal-process-steward|ProcedureVersions"
   },
   {
    "FieldGrantId": "fg-process-steward-ProcedureVersions.UndeclaredControlKindCount",
    "Principal": "principal-process-steward",
    "TargetField": "ProcedureVersions.UndeclaredControlKindCount",
    "CanRead": true,
    "CanWrite": false,
    "MaskStrategy": "plain",
    "SemanticTypeIri": "urn:effortless:pko-extension#FieldGrant",
    "Name": "principal-process-steward -&gt; ProcedureVersions.UndeclaredControlKindCount",
    "FieldTable": "ProcedureVersions",
    "FieldName": "UndeclaredControlKindCount",
    "FieldIsDerived": true,
    "IsWritableDerivedField": false,
    "IsMasked": false,
    "GrantKeyWhenReadable": "principal-process-steward|ProcedureVersions"
   },
   {
    "FieldGrantId": "fg-process-steward-ProcedureVersions.ControlTaxonomyIsIncomplete",
    "Principal": "principal-process-steward",
    "TargetField": "ProcedureVersions.ControlTaxonomyIsIncomplete",
    "CanRead": true,
    "CanWrite": false,
    "MaskStrategy": "plain",
    "SemanticTypeIri": "urn:effortless:pko-extension#FieldGrant",
    "Name": "principal-process-steward -&gt; ProcedureVersions.ControlTaxonomyIsIncomplete",
    "FieldTable": "ProcedureVersions",
    "FieldName": "ControlTaxonomyIsIncomplete",
    "FieldIsDerived": true,
    "IsWritableDerivedField": false,
    "IsMasked": false,
    "GrantKeyWhenReadable": "principal-process-steward|ProcedureVersions"
   },
   {
    "FieldGrantId": "fg-process-steward-ProcedureVersions.HasApprovedChangeRequest",
    "Principal": "principal-process-steward",
    "TargetField": "ProcedureVersions.HasApprovedChangeRequest",
    "CanRead": true,
    "CanWrite": false,
    "MaskStrategy": "plain",
    "SemanticTypeIri": "urn:effortless:pko-extension#FieldGrant",
    "Name": "principal-process-steward -&gt; ProcedureVersions.HasApprovedChangeRequest",
    "FieldTable": "ProcedureVersions",
    "FieldName": "HasApprovedChangeRequest",
    "FieldIsDerived": true,
    "IsWritableDerivedField": false,
    "IsMasked": false,
    "GrantKeyWhenReadable": "principal-process-steward|ProcedureVersions"
   },
   {
    "FieldGrantId": "fg-process-steward-ProcedureVersions.ApprovedChangeRequestCount",
    "Principal": "principal-process-steward",
    "TargetField": "ProcedureVersions.ApprovedChangeRequestCount",
    "CanRead": true,
    "CanWrite": false,
    "MaskStrategy": "plain",
    "SemanticTypeIri": "urn:effortless:pko-extension#FieldGrant",
    "Name": "principal-process-steward -&gt; ProcedureVersions.ApprovedChangeRequestCount",
    "FieldTable": "ProcedureVersions",
    "FieldName": "ApprovedChangeRequestCount",
    "FieldIsDerived": true,
    "IsWritableDerivedField": false,
    "IsMasked": false,
    "GrantKeyWhenReadable": "principal-process-steward|ProcedureVersions"
   },
   {
    "FieldGrantId": "fg-process-steward-ProcedureVersions.UnwatchedUnownedControlCount",
    "Principal": "principal-process-steward",
    "TargetField": "ProcedureVersions.UnwatchedUnownedControlCount",
    "CanRead": true,
    "CanWrite": false,
    "MaskStrategy": "plain",
    "SemanticTypeIri": "urn:effortless:pko-extension#FieldGrant",
    "Name": "principal-process-steward -&gt; ProcedureVersions.UnwatchedUnownedControlCount",
    "FieldTable": "ProcedureVersions",
    "FieldName": "UnwatchedUnownedControlCount",
    "FieldIsDerived": true,
    "IsWritableDerivedField": false,
    "IsMasked": false,
    "GrantKeyWhenReadable": "principal-process-steward|ProcedureVersions"
   },
   {
    "FieldGrantId": "fg-process-steward-ProcedureVersions.SemanticTypeIri",
    "Principal": "principal-process-steward",
    "TargetField": "ProcedureVersions.SemanticTypeIri",
    "CanRead": true,
    "CanWrite": false,
    "MaskStrategy": "plain",
    "SemanticTypeIri": "urn:effortless:pko-extension#FieldGrant",
    "Name": "principal-process-steward -&gt; ProcedureVersions.SemanticTypeIri",
    "FieldTable": "ProcedureVersions",
    "FieldName": "SemanticTypeIri",
    "FieldIsDerived": false,
    "IsWritableDerivedField": false,
    "IsMasked": false,
    "GrantKeyWhenReadable": "principal-process-steward|ProcedureVersions"
   },
   {
    "FieldGrantId": "fg-process-steward-Procedures.ProcedureId",
    "Principal": "principal-process-steward",
    "TargetField": "Procedures.ProcedureId",
    "CanRead": true,
    "CanWrite": false,
    "MaskStrategy": "plain",
    "SemanticTypeIri": "urn:effortless:pko-extension#FieldGrant",
    "Name": "principal-process-steward -&gt; Procedures.ProcedureId",
    "FieldTable": "Procedures",
    "FieldName": "ProcedureId",
    "FieldIsDerived": false,
    "IsWritableDerivedField": false,
    "IsMasked": false,
    "GrantKeyWhenReadable": "principal-process-steward|Procedures"
   },
   {
    "FieldGrantId": "fg-process-steward-Procedures.Name",
    "Principal": "principal-process-steward",
    "TargetField": "Procedures.Name",
    "CanRead": true,
    "CanWrite": false,
    "MaskStrategy": "plain",
    "SemanticTypeIri": "urn:effortless:pko-extension#FieldGrant",
    "Name": "principal-process-steward -&gt; Procedures.Name",
    "FieldTable": "Procedures",
    "FieldName": "Name",
    "FieldIsDerived": true,
    "IsWritableDerivedField": false,
    "IsMasked": false,
    "GrantKeyWhenReadable": "principal-process-steward|Procedures"
   },
   {
    "FieldGrantId": "fg-process-steward-Procedures.Title",
    "Principal": "principal-process-steward",
    "TargetField": "Procedures.Title",
    "CanRead": true,
    "CanWrite": false,
    "MaskStrategy": "plain",
    "SemanticTypeIri": "urn:effortless:pko-extension#FieldGrant",
    "Name": "principal-process-steward -&gt; Procedures.Title",
    "FieldTable": "Procedures",
    "FieldName": "Title",
    "FieldIsDerived": false,
    "IsWritableDerivedField": false,
    "IsMasked": false,
    "GrantKeyWhenReadable": "principal-process-steward|Procedures"
   },
   {
    "FieldGrantId": "fg-process-steward-Procedures.ProcedureType",
    "Principal": "principal-process-steward",
    "TargetField": "Procedures.ProcedureType",
    "CanRead": true,
    "CanWrite": false,
    "MaskStrategy": "plain",
    "SemanticTypeIri": "urn:effortless:pko-extension#FieldGrant",
    "Name": "principal-process-steward -&gt; Procedures.ProcedureType",
    "FieldTable": "Procedures",
    "FieldName": "ProcedureType",
    "FieldIsDerived": false,
    "IsWritableDerivedField": false,
    "IsMasked": false,
    "GrantKeyWhenReadable": "principal-process-steward|Procedures"
   },
   {
    "FieldGrantId": "fg-process-steward-Procedures.OwnerOrganization",
    "Principal": "principal-process-steward",
    "TargetField": "Procedures.OwnerOrganization",
    "CanRead": true,
    "CanWrite": false,
    "MaskStrategy": "plain",
    "SemanticTypeIri": "urn:effortless:pko-extension#FieldGrant",
    "Name": "principal-process-steward -&gt; Procedures.OwnerOrganization",
    "FieldTable": "Procedures",
    "FieldName": "OwnerOrganization",
    "FieldIsDerived": false,
    "IsWritableDerivedField": false,
    "IsMasked": false,
    "GrantKeyWhenReadable": "principal-process-steward|Procedures"
   },
   {
    "FieldGrantId": "fg-process-steward-Procedures.AdoptedByOrganization",
    "Principal": "principal-process-steward",
    "TargetField": "Procedures.AdoptedByOrganization",
    "CanRead": true,
    "CanWrite": false,
    "MaskStrategy": "plain",
    "SemanticTypeIri": "urn:effortless:pko-extension#FieldGrant",
    "Name": "principal-process-steward -&gt; Procedures.AdoptedByOrganization",
    "FieldTable": "Procedures",
    "FieldName": "AdoptedByOrganization",
    "FieldIsDerived": false,
    "IsWritableDerivedField": false,
    "IsMasked": false,
    "GrantKeyWhenReadable": "principal-process-steward|Procedures"
   },
   {
    "FieldGrantId": "fg-process-steward-Procedures.Purpose",
    "Principal": "principal-process-steward",
    "TargetField": "Procedures.Purpose",
    "CanRead": true,
    "CanWrite": false,
    "MaskStrategy": "plain",
    "SemanticTypeIri": "urn:effortless:pko-extension#FieldGrant",
    "Name": "principal-process-steward -&gt; Procedures.Purpose",
    "FieldTable": "Procedures",
    "FieldName": "Purpose",
    "FieldIsDerived": false,
    "IsWritableDerivedField": false,
    "IsMasked": false,
    "GrantKeyWhenReadable": "principal-process-steward|Procedures"
   },
   {
    "FieldGrantId": "fg-process-steward-Procedures.Target",
    "Principal": "principal-process-steward",
    "TargetField": "Procedures.Target",
    "CanRead": true,
    "CanWrite": false,
    "MaskStrategy": "plain",
    "SemanticTypeIri": "urn:effortless:pko-extension#FieldGrant",
    "Name": "principal-process-steward -&gt; Procedures.Target",
    "FieldTable": "Procedures",
    "FieldName": "Target",
    "FieldIsDerived": false,
    "IsWritableDerivedField": false,
    "IsMasked": false,
    "GrantKeyWhenReadable": "principal-process-steward|Procedures"
   },
   {
    "FieldGrantId": "fg-process-steward-Procedures.IsTemplate",
    "Principal": "principal-process-steward",
    "TargetField": "Procedures.IsTemplate",
    "CanRead": true,
    "CanWrite": false,
    "MaskStrategy": "plain",
    "SemanticTypeIri": "urn:effortless:pko-extension#FieldGrant",
    "Name": "principal-process-steward -&gt; Procedures.IsTemplate",
    "FieldTable": "Procedures",
    "FieldName": "IsTemplate",
    "FieldIsDerived": false,
    "IsWritableDerivedField": false,
    "IsMasked": false,
    "GrantKeyWhenReadable": "principal-process-steward|Procedures"
   },
   {
    "FieldGrantId": "fg-process-steward-Procedures.CurrentVersionKey",
    "Principal": "principal-process-steward",
    "TargetField": "Procedures.CurrentVersionKey",
    "CanRead": true,
    "CanWrite": false,
    "MaskStrategy": "plain",
    "SemanticTypeIri": "urn:effortless:pko-extension#FieldGrant",
    "Name": "principal-process-steward -&gt; Procedures.CurrentVersionKey",
    "FieldTable": "Procedures",
    "FieldName": "CurrentVersionKey",
    "FieldIsDerived": false,
    "IsWritableDerivedField": false,
    "IsMasked": false,
    "GrantKeyWhenReadable": "principal-process-steward|Procedures"
   },
   {
    "FieldGrantId": "fg-process-steward-Procedures.SemanticTypeIri",
    "Principal": "principal-process-steward",
    "TargetField": "Procedures.SemanticTypeIri",
    "CanRead": true,
    "CanWrite": false,
    "MaskStrategy": "plain",
    "SemanticTypeIri": "urn:effortless:pko-extension#FieldGrant",
    "Name": "principal-process-steward -&gt; Procedures.SemanticTypeIri",
    "FieldTable": "Procedures",
    "FieldName": "SemanticTypeIri",
    "FieldIsDerived": false,
    "IsWritableDerivedField": false,
    "IsMasked": false,
    "GrantKeyWhenReadable": "principal-process-steward|Procedures"
   },
   {
    "FieldGrantId": "fg-process-steward-Rationales.RationaleId",
    "Principal": "principal-process-steward",
    "TargetField": "Rationales.RationaleId",
    "CanRead": true,
    "CanWrite": false,
    "MaskStrategy": "plain",
    "SemanticTypeIri": "urn:effortless:pko-extension#FieldGrant",
    "Name": "principal-process-steward -&gt; Rationales.RationaleId",
    "FieldTable": "Rationales",
    "FieldName": "RationaleId",
    "FieldIsDerived": false,
    "IsWritableDerivedField": false,
    "IsMasked": false,
    "GrantKeyWhenReadable": "principal-process-steward|Rationales"
   },
   {
    "FieldGrantId": "fg-process-steward-Rationales.Name",
    "Principal": "principal-process-steward",
    "TargetField": "Rationales.Name",
    "CanRead": true,
    "CanWrite": false,
    "MaskStrategy": "plain",
    "SemanticTypeIri": "urn:effortless:pko-extension#FieldGrant",
    "Name": "principal-process-steward -&gt; Rationales.Name",
    "FieldTable": "Rationales",
    "FieldName": "Name",
    "FieldIsDerived": true,
    "IsWritableDerivedField": false,
    "IsMasked": false,
    "GrantKeyWhenReadable": "principal-process-steward|Rationales"
   },
   {
    "FieldGrantId": "fg-process-steward-Rationales.ProcedureVersion",
    "Principal": "principal-process-steward",
    "TargetField": "Rationales.ProcedureVersion",
    "CanRead": true,
    "CanWrite": false,
    "MaskStrategy": "plain",
    "SemanticTypeIri": "urn:effortless:pko-extension#FieldGrant",
    "Name": "principal-process-steward -&gt; Rationales.ProcedureVersion",
    "FieldTable": "Rationales",
    "FieldName": "ProcedureVersion",
    "FieldIsDerived": false,
    "IsWritableDerivedField": false,
    "IsMasked": false,
    "GrantKeyWhenReadable": "principal-process-steward|Rationales"
   },
   {
    "FieldGrantId": "fg-process-steward-Rationales.Step",
    "Principal": "principal-process-steward",
    "TargetField": "Rationales.Step",
    "CanRead": true,
    "CanWrite": false,
    "MaskStrategy": "plain",
    "SemanticTypeIri": "urn:effortless:pko-extension#FieldGrant",
    "Name": "principal-process-steward -&gt; Rationales.Step",
    "FieldTable": "Rationales",
    "FieldName": "Step",
    "FieldIsDerived": false,
    "IsWritableDerivedField": false,
    "IsMasked": false,
    "GrantKeyWhenReadable": "principal-process-steward|Rationales"
   },
   {
    "FieldGrantId": "fg-process-steward-Rationales.Title",
    "Principal": "principal-process-steward",
    "TargetField": "Rationales.Title",
    "CanRead": true,
    "CanWrite": false,
    "MaskStrategy": "plain",
    "SemanticTypeIri": "urn:effortless:pko-extension#FieldGrant",
    "Name": "principal-process-steward -&gt; Rationales.Title",
    "FieldTable": "Rationales",
    "FieldName": "Title",
    "FieldIsDerived": false,
    "IsWritableDerivedField": false,
    "IsMasked": false,
    "GrantKeyWhenReadable": "principal-process-steward|Rationales"
   },
   {
    "FieldGrantId": "fg-process-steward-Rationales.Statement",
    "Principal": "principal-process-steward",
    "TargetField": "Rationales.Statement",
    "CanRead": true,
    "CanWrite": false,
    "MaskStrategy": "plain",
    "SemanticTypeIri": "urn:effortless:pko-extension#FieldGrant",
    "Name": "principal-process-steward -&gt; Rationales.Statement",
    "FieldTable": "Rationales",
    "FieldName": "Statement",
    "FieldIsDerived": false,
    "IsWritableDerivedField": false,
    "IsMasked": false,
    "GrantKeyWhenReadable": "principal-process-steward|Rationales"
   },
   {
    "FieldGrantId": "fg-process-steward-Rationales.Status",
    "Principal": "principal-process-steward",
    "TargetField": "Rationales.Status",
    "CanRead": true,
    "CanWrite": false,
    "MaskStrategy": "plain",
    "SemanticTypeIri": "urn:effortless:pko-extension#FieldGrant",
    "Name": "principal-process-steward -&gt; Rationales.Status",
    "FieldTable": "Rationales",
    "FieldName": "Status",
    "FieldIsDerived": false,
    "IsWritableDerivedField": false,
    "IsMasked": false,
    "GrantKeyWhenReadable": "principal-process-steward|Rationales"
   },
   {
    "FieldGrantId": "fg-process-steward-Rationales.AuthorityRole",
    "Principal": "principal-process-steward",
    "TargetField": "Rationales.AuthorityRole",
    "CanRead": true,
    "CanWrite": false,
    "MaskStrategy": "plain",
    "SemanticTypeIri": "urn:effortless:pko-extension#FieldGrant",
    "Name": "principal-process-steward -&gt; Rationales.AuthorityRole",
    "FieldTable": "Rationales",
    "FieldName": "AuthorityRole",
    "FieldIsDerived": false,
    "IsWritableDerivedField": false,
    "IsMasked": false,
    "GrantKeyWhenReadable": "principal-process-steward|Rationales"
   },
   {
    "FieldGrantId": "fg-process-steward-Rationales.SemanticTypeIri",
    "Principal": "principal-process-steward",
    "TargetField": "Rationales.SemanticTypeIri",
    "CanRead": true,
    "CanWrite": false,
    "MaskStrategy": "plain",
    "SemanticTypeIri": "urn:effortless:pko-extension#FieldGrant",
    "Name": "principal-process-steward -&gt; Rationales.SemanticTypeIri",
    "FieldTable": "Rationales",
    "FieldName": "SemanticTypeIri",
    "FieldIsDerived": false,
    "IsWritableDerivedField": false,
    "IsMasked": false,
    "GrantKeyWhenReadable": "principal-process-steward|Rationales"
   },
   {
    "FieldGrantId": "fg-process-steward-Recipients.RecipientId",
    "Principal": "principal-process-steward",
    "TargetField": "Recipients.RecipientId",
    "CanRead": true,
    "CanWrite": false,
    "MaskStrategy": "plain",
    "SemanticTypeIri": "urn:effortless:pko-extension#FieldGrant",
    "Name": "principal-process-steward -&gt; Recipients.RecipientId",
    "FieldTable": "Recipients",
    "FieldName": "RecipientId",
    "FieldIsDerived": false,
    "IsWritableDerivedField": false,
    "IsMasked": false,
    "GrantKeyWhenReadable": "principal-process-steward|Recipients"
   },
   {
    "FieldGrantId": "fg-process-steward-Recipients.Name",
    "Principal": "principal-process-steward",
    "TargetField": "Recipients.Name",
    "CanRead": true,
    "CanWrite": false,
    "MaskStrategy": "plain",
    "SemanticTypeIri": "urn:effortless:pko-extension#FieldGrant",
    "Name": "principal-process-steward -&gt; Recipients.Name",
    "FieldTable": "Recipients",
    "FieldName": "Name",
    "FieldIsDerived": true,
    "IsWritableDerivedField": false,
    "IsMasked": false,
    "GrantKeyWhenReadable": "principal-process-steward|Recipients"
   },
   {
    "FieldGrantId": "fg-process-steward-Recipients.DisplayName",
    "Principal": "principal-process-steward",
    "TargetField": "Recipients.DisplayName",
    "CanRead": true,
    "CanWrite": false,
    "MaskStrategy": "plain",
    "SemanticTypeIri": "urn:effortless:pko-extension#FieldGrant",
    "Name": "principal-process-steward -&gt; Recipients.DisplayName",
    "FieldTable": "Recipients",
    "FieldName": "DisplayName",
    "FieldIsDerived": false,
    "IsWritableDerivedField": false,
    "IsMasked": false,
    "GrantKeyWhenReadable": "principal-process-steward|Recipients"
   },
   {
    "FieldGrantId": "fg-process-steward-Recipients.Organization",
    "Principal": "principal-process-steward",
    "TargetField": "Recipients.Organization",
    "CanRead": true,
    "CanWrite": false,
    "MaskStrategy": "plain",
    "SemanticTypeIri": "urn:effortless:pko-extension#FieldGrant",
    "Name": "principal-process-steward -&gt; Recipients.Organization",
    "FieldTable": "Recipients",
    "FieldName": "Organization",
    "FieldIsDerived": false,
    "IsWritableDerivedField": false,
    "IsMasked": false,
    "GrantKeyWhenReadable": "principal-process-steward|Recipients"
   },
   {
    "FieldGrantId": "fg-process-steward-Recipients.EmailAddress",
    "Principal": "principal-process-steward",
    "TargetField": "Recipients.EmailAddress",
    "CanRead": true,
    "CanWrite": false,
    "MaskStrategy": "plain",
    "SemanticTypeIri": "urn:effortless:pko-extension#FieldGrant",
    "Name": "principal-process-steward -&gt; Recipients.EmailAddress",
    "FieldTable": "Recipients",
    "FieldName": "EmailAddress",
    "FieldIsDerived": false,
    "IsWritableDerivedField": false,
    "IsMasked": false,
    "GrantKeyWhenReadable": "principal-process-steward|Recipients"
   },
   {
    "FieldGrantId": "fg-process-steward-Recipients.MobileNumber",
    "Principal": "principal-process-steward",
    "TargetField": "Recipients.MobileNumber",
    "CanRead": true,
    "CanWrite": false,
    "MaskStrategy": "plain",
    "SemanticTypeIri": "urn:effortless:pko-extension#FieldGrant",
    "Name": "principal-process-steward -&gt; Recipients.MobileNumber",
    "FieldTable": "Recipients",
    "FieldName": "MobileNumber",
    "FieldIsDerived": false,
    "IsWritableDerivedField": false,
    "IsMasked": false,
    "GrantKeyWhenReadable": "principal-process-steward|Recipients"
   },
   {
    "FieldGrantId": "fg-process-steward-Recipients.SmsConsentStatus",
    "Principal": "principal-process-steward",
    "TargetField": "Recipients.SmsConsentStatus",
    "CanRead": true,
    "CanWrite": false,
    "MaskStrategy": "plain",
    "SemanticTypeIri": "urn:effortless:pko-extension#FieldGrant",
    "Name": "principal-process-steward -&gt; Recipients.SmsConsentStatus",
    "FieldTable": "Recipients",
    "FieldName": "SmsConsentStatus",
    "FieldIsDerived": false,
    "IsWritableDerivedField": false,
    "IsMasked": false,
    "GrantKeyWhenReadable": "principal-process-steward|Recipients"
   },
   {
    "FieldGrantId": "fg-process-steward-Recipients.SmsConsentAt",
    "Principal": "principal-process-steward",
    "TargetField": "Recipients.SmsConsentAt",
    "CanRead": true,
    "CanWrite": false,
    "MaskStrategy": "plain",
    "SemanticTypeIri": "urn:effortless:pko-extension#FieldGrant",
    "Name": "principal-process-steward -&gt; Recipients.SmsConsentAt",
    "FieldTable": "Recipients",
    "FieldName": "SmsConsentAt",
    "FieldIsDerived": false,
    "IsWritableDerivedField": false,
    "IsMasked": false,
    "GrantKeyWhenReadable": "principal-process-steward|Recipients"
   },
   {
    "FieldGrantId": "fg-process-steward-Recipients.ConsentBinding",
    "Principal": "principal-process-steward",
    "TargetField": "Recipients.ConsentBinding",
    "CanRead": true,
    "CanWrite": false,
    "MaskStrategy": "plain",
    "SemanticTypeIri": "urn:effortless:pko-extension#FieldGrant",
    "Name": "principal-process-steward -&gt; Recipients.ConsentBinding",
    "FieldTable": "Recipients",
    "FieldName": "ConsentBinding",
    "FieldIsDerived": false,
    "IsWritableDerivedField": false,
    "IsMasked": false,
    "GrantKeyWhenReadable": "principal-process-steward|Recipients"
   },
   {
    "FieldGrantId": "fg-process-steward-Recipients.HasSmsConsent",
    "Principal": "principal-process-steward",
    "TargetField": "Recipients.HasSmsConsent",
    "CanRead": true,
    "CanWrite": false,
    "MaskStrategy": "plain",
    "SemanticTypeIri": "urn:effortless:pko-extension#FieldGrant",
    "Name": "principal-process-steward -&gt; Recipients.HasSmsConsent",
    "FieldTable": "Recipients",
    "FieldName": "HasSmsConsent",
    "FieldIsDerived": true,
    "IsWritableDerivedField": false,
    "IsMasked": false,
    "GrantKeyWhenReadable": "principal-process-steward|Recipients"
   },
   {
    "FieldGrantId": "fg-process-steward-Recipients.IsEmailReachable",
    "Principal": "principal-process-steward",
    "TargetField": "Recipients.IsEmailReachable",
    "CanRead": true,
    "CanWrite": false,
    "MaskStrategy": "plain",
    "SemanticTypeIri": "urn:effortless:pko-extension#FieldGrant",
    "Name": "principal-process-steward -&gt; Recipients.IsEmailReachable",
    "FieldTable": "Recipients",
    "FieldName": "IsEmailReachable",
    "FieldIsDerived": true,
    "IsWritableDerivedField": false,
    "IsMasked": false,
    "GrantKeyWhenReadable": "principal-process-steward|Recipients"
   },
   {
    "FieldGrantId": "fg-process-steward-Recipients.IsSmsReachable",
    "Principal": "principal-process-steward",
    "TargetField": "Recipients.IsSmsReachable",
    "CanRead": true,
    "CanWrite": false,
    "MaskStrategy": "plain",
    "SemanticTypeIri": "urn:effortless:pko-extension#FieldGrant",
    "Name": "principal-process-steward -&gt; Recipients.IsSmsReachable",
    "FieldTable": "Recipients",
    "FieldName": "IsSmsReachable",
    "FieldIsDerived": true,
    "IsWritableDerivedField": false,
    "IsMasked": false,
    "GrantKeyWhenReadable": "principal-process-steward|Recipients"
   },
   {
    "FieldGrantId": "fg-process-steward-Recipients.IsUnreachable",
    "Principal": "principal-process-steward",
    "TargetField": "Recipients.IsUnreachable",
    "CanRead": true,
    "CanWrite": false,
    "MaskStrategy": "plain",
    "SemanticTypeIri": "urn:effortless:pko-extension#FieldGrant",
    "Name": "principal-process-steward -&gt; Recipients.IsUnreachable",
    "FieldTable": "Recipients",
    "FieldName": "IsUnreachable",
    "FieldIsDerived": true,
    "IsWritableDerivedField": false,
    "IsMasked": false,
    "GrantKeyWhenReadable": "principal-process-steward|Recipients"
   },
   {
    "FieldGrantId": "fg-process-steward-Recipients.IsCommunicationallyStranded",
    "Principal": "principal-process-steward",
    "TargetField": "Recipients.IsCommunicationallyStranded",
    "CanRead": true,
    "CanWrite": false,
    "MaskStrategy": "plain",
    "SemanticTypeIri": "urn:effortless:pko-extension#FieldGrant",
    "Name": "principal-process-steward -&gt; Recipients.IsCommunicationallyStranded",
    "FieldTable": "Recipients",
    "FieldName": "IsCommunicationallyStranded",
    "FieldIsDerived": true,
    "IsWritableDerivedField": false,
    "IsMasked": false,
    "GrantKeyWhenReadable": "principal-process-steward|Recipients"
   },
   {
    "FieldGrantId": "fg-process-steward-Recipients.SemanticTypeIri",
    "Principal": "principal-process-steward",
    "TargetField": "Recipients.SemanticTypeIri",
    "CanRead": true,
    "CanWrite": false,
    "MaskStrategy": "plain",
    "SemanticTypeIri": "urn:effortless:pko-extension#FieldGrant",
    "Name": "principal-process-steward -&gt; Recipients.SemanticTypeIri",
    "FieldTable": "Recipients",
    "FieldName": "SemanticTypeIri",
    "FieldIsDerived": false,
    "IsWritableDerivedField": false,
    "IsMasked": false,
    "GrantKeyWhenReadable": "principal-process-steward|Recipients"
   },
   {
    "FieldGrantId": "fg-process-steward-RequirementSat</t>
  </si>
  <si>
    <t xml:space="preserve">isfactions.RequirementSatisfactionId",
    "Principal": "principal-process-steward",
    "TargetField": "RequirementSatisfactions.RequirementSatisfactionId",
    "CanRead": true,
    "CanWrite": false,
    "MaskStrategy": "plain",
    "SemanticTypeIri": "urn:effortless:pko-extension#FieldGrant",
    "Name": "principal-process-steward -&gt; RequirementSatisfactions.RequirementSatisfactionId",
    "FieldTable": "RequirementSatisfactions",
    "FieldName": "RequirementSatisfactionId",
    "FieldIsDerived": false,
    "IsWritableDerivedField": false,
    "IsMasked": false,
    "GrantKeyWhenReadable": "principal-process-steward|RequirementSatisfactions"
   },
   {
    "FieldGrantId": "fg-process-steward-RequirementSatisfactions.Name",
    "Principal": "principal-process-steward",
    "TargetField": "RequirementSatisfactions.Name",
    "CanRead": true,
    "CanWrite": false,
    "MaskStrategy": "plain",
    "SemanticTypeIri": "urn:effortless:pko-extension#FieldGrant",
    "Name": "principal-process-steward -&gt; RequirementSatisfactions.Name",
    "FieldTable": "RequirementSatisfactions",
    "FieldName": "Name",
    "FieldIsDerived": true,
    "IsWritableDerivedField": false,
    "IsMasked": false,
    "GrantKeyWhenReadable": "principal-process-steward|RequirementSatisfactions"
   },
   {
    "FieldGrantId": "fg-process-steward-RequirementSatisfactions.StepExecution",
    "Principal": "principal-process-steward",
    "TargetField": "RequirementSatisfactions.StepExecution",
    "CanRead": true,
    "CanWrite": false,
    "MaskStrategy": "plain",
    "SemanticTypeIri": "urn:effortless:pko-extension#FieldGrant",
    "Name": "principal-process-steward -&gt; RequirementSatisfactions.StepExecution",
    "FieldTable": "RequirementSatisfactions",
    "FieldName": "StepExecution",
    "FieldIsDerived": false,
    "IsWritableDerivedField": false,
    "IsMasked": false,
    "GrantKeyWhenReadable": "principal-process-steward|RequirementSatisfactions"
   },
   {
    "FieldGrantId": "fg-process-steward-RequirementSatisfactions.Requirement",
    "Principal": "principal-process-steward",
    "TargetField": "RequirementSatisfactions.Requirement",
    "CanRead": true,
    "CanWrite": false,
    "MaskStrategy": "plain",
    "SemanticTypeIri": "urn:effortless:pko-extension#FieldGrant",
    "Name": "principal-process-steward -&gt; RequirementSatisfactions.Requirement",
    "FieldTable": "RequirementSatisfactions",
    "FieldName": "Requirement",
    "FieldIsDerived": false,
    "IsWritableDerivedField": false,
    "IsMasked": false,
    "GrantKeyWhenReadable": "principal-process-steward|RequirementSatisfactions"
   },
   {
    "FieldGrantId": "fg-process-steward-RequirementSatisfactions.SatisfactionLevel",
    "Principal": "principal-process-steward",
    "TargetField": "RequirementSatisfactions.SatisfactionLevel",
    "CanRead": true,
    "CanWrite": false,
    "MaskStrategy": "plain",
    "SemanticTypeIri": "urn:effortless:pko-extension#FieldGrant",
    "Name": "principal-process-steward -&gt; RequirementSatisfactions.SatisfactionLevel",
    "FieldTable": "RequirementSatisfactions",
    "FieldName": "SatisfactionLevel",
    "FieldIsDerived": false,
    "IsWritableDerivedField": false,
    "IsMasked": false,
    "GrantKeyWhenReadable": "principal-process-steward|RequirementSatisfactions"
   },
   {
    "FieldGrantId": "fg-process-steward-RequirementSatisfactions.Evidence",
    "Principal": "principal-process-steward",
    "TargetField": "RequirementSatisfactions.Evidence",
    "CanRead": true,
    "CanWrite": false,
    "MaskStrategy": "plain",
    "SemanticTypeIri": "urn:effortless:pko-extension#FieldGrant",
    "Name": "principal-process-steward -&gt; RequirementSatisfactions.Evidence",
    "FieldTable": "RequirementSatisfactions",
    "FieldName": "Evidence",
    "FieldIsDerived": false,
    "IsWritableDerivedField": false,
    "IsMasked": false,
    "GrantKeyWhenReadable": "principal-process-steward|RequirementSatisfactions"
   },
   {
    "FieldGrantId": "fg-process-steward-RequirementSatisfactions.EvaluatedByAgent",
    "Principal": "principal-process-steward",
    "TargetField": "RequirementSatisfactions.EvaluatedByAgent",
    "CanRead": true,
    "CanWrite": false,
    "MaskStrategy": "plain",
    "SemanticTypeIri": "urn:effortless:pko-extension#FieldGrant",
    "Name": "principal-process-steward -&gt; RequirementSatisfactions.EvaluatedByAgent",
    "FieldTable": "RequirementSatisfactions",
    "FieldName": "EvaluatedByAgent",
    "FieldIsDerived": false,
    "IsWritableDerivedField": false,
    "IsMasked": false,
    "GrantKeyWhenReadable": "principal-process-steward|RequirementSatisfactions"
   },
   {
    "FieldGrantId": "fg-process-steward-RequirementSatisfactions.EvaluatedAt",
    "Principal": "principal-process-steward",
    "TargetField": "RequirementSatisfactions.EvaluatedAt",
    "CanRead": true,
    "CanWrite": false,
    "MaskStrategy": "plain",
    "SemanticTypeIri": "urn:effortless:pko-extension#FieldGrant",
    "Name": "principal-process-steward -&gt; RequirementSatisfactions.EvaluatedAt",
    "FieldTable": "RequirementSatisfactions",
    "FieldName": "EvaluatedAt",
    "FieldIsDerived": false,
    "IsWritableDerivedField": false,
    "IsMasked": false,
    "GrantKeyWhenReadable": "principal-process-steward|RequirementSatisfactions"
   },
   {
    "FieldGrantId": "fg-process-steward-RequirementSatisfactions.RequirementIsBlocking",
    "Principal": "principal-process-steward",
    "TargetField": "RequirementSatisfactions.RequirementIsBlocking",
    "CanRead": true,
    "CanWrite": false,
    "MaskStrategy": "plain",
    "SemanticTypeIri": "urn:effortless:pko-extension#FieldGrant",
    "Name": "principal-process-steward -&gt; RequirementSatisfactions.RequirementIsBlocking",
    "FieldTable": "RequirementSatisfactions",
    "FieldName": "RequirementIsBlocking",
    "FieldIsDerived": true,
    "IsWritableDerivedField": false,
    "IsMasked": false,
    "GrantKeyWhenReadable": "principal-process-steward|RequirementSatisfactions"
   },
   {
    "FieldGrantId": "fg-process-steward-RequirementSatisfactions.IsFullySatisfied",
    "Principal": "principal-process-steward",
    "TargetField": "RequirementSatisfactions.IsFullySatisfied",
    "CanRead": true,
    "CanWrite": false,
    "MaskStrategy": "plain",
    "SemanticTypeIri": "urn:effortless:pko-extension#FieldGrant",
    "Name": "principal-process-steward -&gt; RequirementSatisfactions.IsFullySatisfied",
    "FieldTable": "RequirementSatisfactions",
    "FieldName": "IsFullySatisfied",
    "FieldIsDerived": true,
    "IsWritableDerivedField": false,
    "IsMasked": false,
    "GrantKeyWhenReadable": "principal-process-steward|RequirementSatisfactions"
   },
   {
    "FieldGrantId": "fg-process-steward-RequirementSatisfactions.IsBlockingAndUnmet",
    "Principal": "principal-process-steward",
    "TargetField": "RequirementSatisfactions.IsBlockingAndUnmet",
    "CanRead": true,
    "CanWrite": false,
    "MaskStrategy": "plain",
    "SemanticTypeIri": "urn:effortless:pko-extension#FieldGrant",
    "Name": "principal-process-steward -&gt; RequirementSatisfactions.IsBlockingAndUnmet",
    "FieldTable": "RequirementSatisfactions",
    "FieldName": "IsBlockingAndUnmet",
    "FieldIsDerived": true,
    "IsWritableDerivedField": false,
    "IsMasked": false,
    "GrantKeyWhenReadable": "principal-process-steward|RequirementSatisfactions"
   },
   {
    "FieldGrantId": "fg-process-steward-RequirementSatisfactions.BlockingUnmetStepKey",
    "Principal": "principal-process-steward",
    "TargetField": "RequirementSatisfactions.BlockingUnmetStepKey",
    "CanRead": true,
    "CanWrite": false,
    "MaskStrategy": "plain",
    "SemanticTypeIri": "urn:effortless:pko-extension#FieldGrant",
    "Name": "principal-process-steward -&gt; RequirementSatisfactions.BlockingUnmetStepKey",
    "FieldTable": "RequirementSatisfactions",
    "FieldName": "BlockingUnmetStepKey",
    "FieldIsDerived": true,
    "IsWritableDerivedField": false,
    "IsMasked": false,
    "GrantKeyWhenReadable": "principal-process-steward|RequirementSatisfactions"
   },
   {
    "FieldGrantId": "fg-process-steward-RequirementSatisfactions.BlockingSatisfactionStepKey",
    "Principal": "principal-process-steward",
    "TargetField": "RequirementSatisfactions.BlockingSatisfactionStepKey",
    "CanRead": true,
    "CanWrite": false,
    "MaskStrategy": "plain",
    "SemanticTypeIri": "urn:effortless:pko-extension#FieldGrant",
    "Name": "principal-process-steward -&gt; RequirementSatisfactions.BlockingSatisfactionStepKey",
    "FieldTable": "RequirementSatisfactions",
    "FieldName": "BlockingSatisfactionStepKey",
    "FieldIsDerived": true,
    "IsWritableDerivedField": false,
    "IsMasked": false,
    "GrantKeyWhenReadable": "principal-process-steward|RequirementSatisfactions"
   },
   {
    "FieldGrantId": "fg-process-steward-RequirementSatisfactions.NegativeOutcomeRequirementKey",
    "Principal": "principal-process-steward",
    "TargetField": "RequirementSatisfactions.NegativeOutcomeRequirementKey",
    "CanRead": true,
    "CanWrite": false,
    "MaskStrategy": "plain",
    "SemanticTypeIri": "urn:effortless:pko-extension#FieldGrant",
    "Name": "principal-process-steward -&gt; RequirementSatisfactions.NegativeOutcomeRequirementKey",
    "FieldTable": "RequirementSatisfactions",
    "FieldName": "NegativeOutcomeRequirementKey",
    "FieldIsDerived": true,
    "IsWritableDerivedField": false,
    "IsMasked": false,
    "GrantKeyWhenReadable": "principal-process-steward|RequirementSatisfactions"
   },
   {
    "FieldGrantId": "fg-process-steward-RequirementSatisfactions.EvaluatorAgentKind",
    "Principal": "principal-process-steward",
    "TargetField": "RequirementSatisfactions.EvaluatorAgentKind",
    "CanRead": true,
    "CanWrite": false,
    "MaskStrategy": "plain",
    "SemanticTypeIri": "urn:effortless:pko-extension#FieldGrant",
    "Name": "principal-process-steward -&gt; RequirementSatisfactions.EvaluatorAgentKind",
    "FieldTable": "RequirementSatisfactions",
    "FieldName": "EvaluatorAgentKind",
    "FieldIsDerived": true,
    "IsWritableDerivedField": false,
    "IsMasked": false,
    "GrantKeyWhenReadable": "principal-process-steward|RequirementSatisfactions"
   },
   {
    "FieldGrantId": "fg-process-steward-RequirementSatisfactions.NonHumanEvaluatedHumanControl",
    "Principal": "principal-process-steward",
    "TargetField": "RequirementSatisfactions.NonHumanEvaluatedHumanControl",
    "CanRead": true,
    "CanWrite": false,
    "MaskStrategy": "plain",
    "SemanticTypeIri": "urn:effortless:pko-extension#FieldGrant",
    "Name": "principal-process-steward -&gt; RequirementSatisfactions.NonHumanEvaluatedHumanControl",
    "FieldTable": "RequirementSatisfactions",
    "FieldName": "NonHumanEvaluatedHumanControl",
    "FieldIsDerived": true,
    "IsWritableDerivedField": false,
    "IsMasked": false,
    "GrantKeyWhenReadable": "principal-process-steward|RequirementSatisfactions"
   },
   {
    "FieldGrantId": "fg-process-steward-RequirementSatisfactions.RequirementHasComputedWitness",
    "Principal": "principal-process-steward",
    "TargetField": "RequirementSatisfactions.RequirementHasComputedWitness",
    "CanRead": true,
    "CanWrite": false,
    "MaskStrategy": "plain",
    "SemanticTypeIri": "urn:effortless:pko-extension#FieldGrant",
    "Name": "principal-process-steward -&gt; RequirementSatisfactions.RequirementHasComputedWitness",
    "FieldTable": "RequirementSatisfactions",
    "FieldName": "RequirementHasComputedWitness",
    "FieldIsDerived": true,
    "IsWritableDerivedField": false,
    "IsMasked": false,
    "GrantKeyWhenReadable": "principal-process-steward|RequirementSatisfactions"
   },
   {
    "FieldGrantId": "fg-process-steward-RequirementSatisfactions.IsAssertedOnly",
    "Principal": "principal-process-steward",
    "TargetField": "RequirementSatisfactions.IsAssertedOnly",
    "CanRead": true,
    "CanWrite": false,
    "MaskStrategy": "plain",
    "SemanticTypeIri": "urn:effortless:pko-extension#FieldGrant",
    "Name": "principal-process-steward -&gt; RequirementSatisfactions.IsAssertedOnly",
    "FieldTable": "RequirementSatisfactions",
    "FieldName": "IsAssertedOnly",
    "FieldIsDerived": true,
    "IsWritableDerivedField": false,
    "IsMasked": false,
    "GrantKeyWhenReadable": "principal-process-steward|RequirementSatisfactions"
   },
   {
    "FieldGrantId": "fg-process-steward-RequirementSatisfactions.AssertedOnlyExecutionKey",
    "Principal": "principal-process-steward",
    "TargetField": "RequirementSatisfactions.AssertedOnlyExecutionKey",
    "CanRead": true,
    "CanWrite": false,
    "MaskStrategy": "plain",
    "SemanticTypeIri": "urn:effortless:pko-extension#FieldGrant",
    "Name": "principal-process-steward -&gt; RequirementSatisfactions.AssertedOnlyExecutionKey",
    "FieldTable": "RequirementSatisfactions",
    "FieldName": "AssertedOnlyExecutionKey",
    "FieldIsDerived": true,
    "IsWritableDerivedField": false,
    "IsMasked": false,
    "GrantKeyWhenReadable": "principal-process-steward|RequirementSatisfactions"
   },
   {
    "FieldGrantId": "fg-process-steward-RequirementSatisfactions.ParentProcedureExecution",
    "Principal": "principal-process-steward",
    "TargetField": "RequirementSatisfactions.ParentProcedureExecution",
    "CanRead": true,
    "CanWrite": false,
    "MaskStrategy": "plain",
    "SemanticTypeIri": "urn:effortless:pko-extension#FieldGrant",
    "Name": "principal-process-steward -&gt; RequirementSatisfactions.ParentProcedureExecution",
    "FieldTable": "RequirementSatisfactions",
    "FieldName": "ParentProcedureExecution",
    "FieldIsDerived": true,
    "IsWritableDerivedField": false,
    "IsMasked": false,
    "GrantKeyWhenReadable": "principal-process-steward|RequirementSatisfactions"
   },
   {
    "FieldGrantId": "fg-process-steward-RequirementSatisfactions.StepExecutionWhenScored",
    "Principal": "principal-process-steward",
    "TargetField": "RequirementSatisfactions.StepExecutionWhenScored",
    "CanRead": true,
    "CanWrite": false,
    "MaskStrategy": "plain",
    "SemanticTypeIri": "urn:effortless:pko-extension#FieldGrant",
    "Name": "principal-process-steward -&gt; RequirementSatisfactions.StepExecutionWhenScored",
    "FieldTable": "RequirementSatisfactions",
    "FieldName": "StepExecutionWhenScored",
    "FieldIsDerived": true,
    "IsWritableDerivedField": false,
    "IsMasked": false,
    "GrantKeyWhenReadable": "principal-process-steward|RequirementSatisfactions"
   },
   {
    "FieldGrantId": "fg-process-steward-RequirementSatisfactions.IsHumanEvaluated",
    "Principal": "principal-process-steward",
    "TargetField": "RequirementSatisfactions.IsHumanEvaluated",
    "CanRead": true,
    "CanWrite": false,
    "MaskStrategy": "plain",
    "SemanticTypeIri": "urn:effortless:pko-extension#FieldGrant",
    "Name": "principal-process-steward -&gt; RequirementSatisfactions.IsHumanEvaluated",
    "FieldTable": "RequirementSatisfactions",
    "FieldName": "IsHumanEvaluated",
    "FieldIsDerived": true,
    "IsWritableDerivedField": false,
    "IsMasked": false,
    "GrantKeyWhenReadable": "principal-process-steward|RequirementSatisfactions"
   },
   {
    "FieldGrantId": "fg-process-steward-RequirementSatisfactions.RequirementIsApprovalType",
    "Principal": "principal-process-steward",
    "TargetField": "RequirementSatisfactions.RequirementIsApprovalType",
    "CanRead": true,
    "CanWrite": false,
    "MaskStrategy": "plain",
    "SemanticTypeIri": "urn:effortless:pko-extension#FieldGrant",
    "Name": "principal-process-steward -&gt; RequirementSatisfactions.RequirementIsApprovalType",
    "FieldTable": "RequirementSatisfactions",
    "FieldName": "RequirementIsApprovalType",
    "FieldIsDerived": true,
    "IsWritableDerivedField": false,
    "IsMasked": false,
    "GrantKeyWhenReadable": "principal-process-steward|RequirementSatisfactions"
   },
   {
    "FieldGrantId": "fg-process-steward-RequirementSatisfactions.IsInvalidApproval",
    "Principal": "principal-process-steward",
    "TargetField": "RequirementSatisfactions.IsInvalidApproval",
    "CanRead": true,
    "CanWrite": false,
    "MaskStrategy": "plain",
    "SemanticTypeIri": "urn:effortless:pko-extension#FieldGrant",
    "Name": "principal-process-steward -&gt; RequirementSatisfactions.IsInvalidApproval",
    "FieldTable": "RequirementSatisfactions",
    "FieldName": "IsInvalidApproval",
    "FieldIsDerived": true,
    "IsWritableDerivedField": false,
    "IsMasked": false,
    "GrantKeyWhenReadable": "principal-process-steward|RequirementSatisfactions"
   },
   {
    "FieldGrantId": "fg-process-steward-RequirementSatisfactions.ProcedureExecutionOfSatisfaction",
    "Principal": "principal-process-steward",
    "TargetField": "RequirementSatisfactions.ProcedureExecutionOfSatisfaction",
    "CanRead": true,
    "CanWrite": false,
    "MaskStrategy": "plain",
    "SemanticTypeIri": "urn:effortless:pko-extension#FieldGrant",
    "Name": "principal-process-steward -&gt; RequirementSatisfactions.ProcedureExecutionOfSatisfaction",
    "FieldTable": "RequirementSatisfactions",
    "FieldName": "ProcedureExecutionOfSatisfaction",
    "FieldIsDerived": true,
    "IsWritableDerivedField": false,
    "IsMasked": false,
    "GrantKeyWhenReadable": "principal-process-steward|RequirementSatisfactions"
   },
   {
    "FieldGrantId": "fg-process-steward-RequirementSatisfactions.RunWhenInvalidApproval",
    "Principal": "principal-process-steward",
    "TargetField": "RequirementSatisfactions.RunWhenInvalidApproval",
    "CanRead": true,
    "CanWrite": false,
    "MaskStrategy": "plain",
    "SemanticTypeIri": "urn:effortless:pko-extension#FieldGrant",
    "Name": "principal-process-steward -&gt; RequirementSatisfactions.RunWhenInvalidApproval",
    "FieldTable": "RequirementSatisfactions",
    "FieldName": "RunWhenInvalidApproval",
    "FieldIsDerived": true,
    "IsWritableDerivedField": false,
    "IsMasked": false,
    "GrantKeyWhenReadable": "principal-process-steward|RequirementSatisfactions"
   },
   {
    "FieldGrantId": "fg-process-steward-RequirementSatisfactions.RequirementIsUnfalsified",
    "Principal": "principal-process-steward",
    "TargetField": "RequirementSatisfactions.RequirementIsUnfalsified",
    "CanRead": true,
    "CanWrite": false,
    "MaskStrategy": "plain",
    "SemanticTypeIri": "urn:effortless:pko-extension#FieldGrant",
    "Name": "principal-process-steward -&gt; RequirementSatisfactions.RequirementIsUnfalsified",
    "FieldTable": "RequirementSatisfactions",
    "FieldName": "RequirementIsUnfalsified",
    "FieldIsDerived": true,
    "IsWritableDerivedField": false,
    "IsMasked": false,
    "GrantKeyWhenReadable": "principal-process-steward|RequirementSatisfactions"
   },
   {
    "FieldGrantId": "fg-process-steward-RequirementSatisfactions.IsClearanceByUnfalsifiedControl",
    "Principal": "principal-process-steward",
    "TargetField": "RequirementSatisfactions.IsClearanceByUnfalsifiedControl",
    "CanRead": true,
    "CanWrite": false,
    "MaskStrategy": "plain",
    "SemanticTypeIri": "urn:effortless:pko-extension#FieldGrant",
    "Name": "principal-process-steward -&gt; RequirementSatisfactions.IsClearanceByUnfalsifiedControl",
    "FieldTable": "RequirementSatisfactions",
    "FieldName": "IsClearanceByUnfalsifiedControl",
    "FieldIsDerived": true,
    "IsWritableDerivedField": false,
    "IsMasked": false,
    "GrantKeyWhenReadable": "principal-process-steward|RequirementSatisfactions"
   },
   {
    "FieldGrantId": "fg-process-steward-RequirementSatisfactions.UnfalsifiedClearanceStepKey",
    "Principal": "principal-process-steward",
    "TargetField": "RequirementSatisfactions.UnfalsifiedClearanceStepKey",
    "CanRead": true,
    "CanWrite": false,
    "MaskStrategy": "plain",
    "SemanticTypeIri": "urn:effortless:pko-extension#FieldGrant",
    "Name": "principal-process-steward -&gt; RequirementSatisfactions.UnfalsifiedClearanceStepKey",
    "FieldTable": "RequirementSatisfactions",
    "FieldName": "UnfalsifiedClearanceStepKey",
    "FieldIsDerived": true,
    "IsWritableDerivedField": false,
    "IsMasked": false,
    "GrantKeyWhenReadable": "principal-process-steward|RequirementSatisfactions"
   },
   {
    "FieldGrantId": "fg-process-steward-RequirementSatisfactions.SpecStepOfExecution",
    "Principal": "principal-process-steward",
    "TargetField": "RequirementSatisfactions.SpecStepOfExecution",
    "CanRead": true,
    "CanWrite": false,
    "MaskStrategy": "plain",
    "SemanticTypeIri": "urn:effortless:pko-extension#FieldGrant",
    "Name": "principal-process-steward -&gt; RequirementSatisfactions.SpecStepOfExecution",
    "FieldTable": "RequirementSatisfactions",
    "FieldName": "SpecStepOfExecution",
    "FieldIsDerived": true,
    "IsWritableDerivedField": false,
    "IsMasked": false,
    "GrantKeyWhenReadable": "principal-process-steward|RequirementSatisfactions"
   },
   {
    "FieldGrantId": "fg-process-steward-RequirementSatisfactions.BindingKey",
    "Principal": "principal-process-steward",
    "TargetField": "RequirementSatisfactions.BindingKey",
    "CanRead": true,
    "CanWrite": false,
    "MaskStrategy": "plain",
    "SemanticTypeIri": "urn:effortless:pko-extension#FieldGrant",
    "Name": "principal-process-steward -&gt; RequirementSatisfactions.BindingKey",
    "FieldTable": "RequirementSatisfactions",
    "FieldName": "BindingKey",
    "FieldIsDerived": true,
    "IsWritableDerivedField": false,
    "IsMasked": false,
    "GrantKeyWhenReadable": "principal-process-steward|RequirementSatisfactions"
   },
   {
    "FieldGrantId": "fg-process-steward-RequirementSatisfactions.ScoredStepExecutorAgent",
    "Principal": "principal-process-steward",
    "TargetField": "RequirementSatisfactions.ScoredStepExecutorAgent",
    "CanRead": true,
    "CanWrite": false,
    "MaskStrategy": "plain",
    "SemanticTypeIri": "urn:effortless:pko-extension#FieldGrant",
    "Name": "principal-process-steward -&gt; RequirementSatisfactions.ScoredStepExecutorAgent",
    "FieldTable": "RequirementSatisfactions",
    "FieldName": "ScoredStepExecutorAgent",
    "FieldIsDerived": true,
    "IsWritableDerivedField": false,
    "IsMasked": false,
    "GrantKeyWhenReadable": "principal-process-steward|RequirementSatisfactions"
   },
   {
    "FieldGrantId": "fg-process-steward-RequirementSatisfactions.EvaluatorIsStepExecutor",
    "Principal": "principal-process-steward",
    "TargetField": "RequirementSatisfactions.EvaluatorIsStepExecutor",
    "CanRead": true,
    "CanWrite": false,
    "MaskStrategy": "plain",
    "SemanticTypeIri": "urn:effortless:pko-extension#FieldGrant",
    "Name": "principal-process-steward -&gt; RequirementSatisfactions.EvaluatorIsStepExecutor",
    "FieldTable": "RequirementSatisfactions",
    "FieldName": "EvaluatorIsStepExecutor",
    "FieldIsDerived": true,
    "IsWritableDerivedField": false,
    "IsMasked": false,
    "GrantKeyWhenReadable": "principal-process-steward|RequirementSatisfactions"
   },
   {
    "FieldGrantId": "fg-process-steward-RequirementSatisfactions.RunOwnerAgent",
    "Principal": "principal-process-steward",
    "TargetField": "RequirementSatisfactions.RunOwnerAgent",
    "CanRead": true,
    "CanWrite": false,
    "MaskStrategy": "plain",
    "SemanticTypeIri": "urn:effortless:pko-extension#FieldGrant",
    "Name": "principal-process-steward -&gt; RequirementSatisfactions.RunOwnerAgent",
    "FieldTable": "RequirementSatisfactions",
    "FieldName": "RunOwnerAgent",
    "FieldIsDerived": true,
    "IsWritableDerivedField": false,
    "IsMasked": false,
    "GrantKeyWhenReadable": "principal-process-steward|RequirementSatisfactions"
   },
   {
    "FieldGrantId": "fg-process-steward-RequirementSatisfactions.EvaluatorOwnsTheRun",
    "Principal": "principal-process-steward",
    "TargetField": "RequirementSatisfactions.EvaluatorOwnsTheRun",
    "CanRead": true,
    "CanWrite": false,
    "MaskStrategy": "plain",
    "SemanticTypeIri": "urn:effortless:pko-extension#FieldGrant",
    "Name": "principal-process-steward -&gt; RequirementSatisfactions.EvaluatorOwnsTheRun",
    "FieldTable": "RequirementSatisfactions",
    "FieldName": "EvaluatorOwnsTheRun",
    "FieldIsDerived": true,
    "IsWritableDerivedField": false,
    "IsMasked": false,
    "GrantKeyWhenReadable": "principal-process-steward|RequirementSatisfactions"
   },
   {
    "FieldGrantId": "fg-process-steward-RequirementSatisfactions.IsInterestedPartyAssertion",
    "Principal": "principal-process-steward",
    "TargetField": "RequirementSatisfactions.IsInterestedPartyAssertion",
    "CanRead": true,
    "CanWrite": false,
    "MaskStrategy": "plain",
    "SemanticTypeIri": "urn:effortless:pko-extension#FieldGrant",
    "Name": "principal-process-steward -&gt; RequirementSatisfactions.IsInterestedPartyAssertion",
    "FieldTable": "RequirementSatisfactions",
    "FieldName": "IsInterestedPartyAssertion",
    "FieldIsDerived": true,
    "IsWritableDerivedField": false,
    "IsMasked": false,
    "GrantKeyWhenReadable": "principal-process-steward|RequirementSatisfactions"
   },
   {
    "FieldGrantId": "fg-process-steward-RequirementSatisfactions.HasWrittenEvidence",
    "Principal": "principal-process-steward",
    "TargetField": "RequirementSatisfactions.HasWrittenEvidence",
    "CanRead": true,
    "CanWrite": false,
    "MaskStrategy": "plain",
    "SemanticTypeIri": "urn:effortless:pko-extension#FieldGrant",
    "Name": "principal-process-steward -&gt; RequirementSatisfactions.HasWrittenEvidence",
    "FieldTable": "RequirementSatisfactions",
    "FieldName": "HasWrittenEvidence",
    "FieldIsDerived": true,
    "IsWritableDerivedField": false,
    "IsMasked": false,
    "GrantKeyWhenReadable": "principal-process-steward|RequirementSatisfactions"
   },
   {
    "FieldGrantId": "fg-process-steward-RequirementSatisfactions.IsBareAssertion",
    "Principal": "principal-process-steward",
    "TargetField": "RequirementSatisfactions.IsBareAssertion",
    "CanRead": true,
    "CanWrite": false,
    "MaskStrategy": "plain",
    "SemanticTypeIri": "urn:effortless:pko-extension#FieldGrant",
    "Name": "principal-process-steward -&gt; RequirementSatisfactions.IsBareAssertion",
    "FieldTable": "RequirementSatisfactions",
    "FieldName": "IsBareAssertion",
    "FieldIsDerived": true,
    "IsWritableDerivedField": false,
    "IsMasked": false,
    "GrantKeyWhenReadable": "principal-process-steward|RequirementSatisfactions"
   },
   {
    "FieldGrantId": "fg-process-steward-RequirementSatisfactions.InterestedAssertionExecutionKey",
    "Principal": "principal-process-steward",
    "TargetField": "RequirementSatisfactions.InterestedAssertionExecutionKey",
    "CanRead": true,
    "CanWrite": false,
    "MaskStrategy": "plain",
    "SemanticTypeIri": "urn:effortless:pko-extension#FieldGrant",
    "Name": "principal-process-steward -&gt; RequirementSatisfactions.InterestedAssertionExecutionKey",
    "FieldTable": "RequirementSatisfactions",
    "FieldName": "InterestedAssertionExecutionKey",
    "FieldIsDerived": true,
    "IsWritableDerivedField": false,
    "IsMasked": false,
    "GrantKeyWhenReadable": "principal-process-steward|RequirementSatisfactions"
   },
   {
    "FieldGrantId": "fg-process-steward-RequirementSatisfactions.IsComputedlyWitnessed",
    "Principal": "principal-process-steward",
    "TargetField": "RequirementSatisfactions.IsComputedlyWitnessed",
    "CanRead": true,
    "CanWrite": false,
    "MaskStrategy": "plain",
    "SemanticTypeIri": "urn:effortless:pko-extension#FieldGrant",
    "Name": "principal-process-steward -&gt; RequirementSatisfactions.IsComputedlyWitnessed",
    "FieldTable": "RequirementSatisfactions",
    "FieldName": "IsComputedlyWitnessed",
    "FieldIsDerived": true,
    "IsWritableDerivedField": false,
    "IsMasked": false,
    "GrantKeyWhenReadable": "principal-process-steward|RequirementSatisfactions"
   },
   {
    "FieldGrantId": "fg-process-steward-RequirementSatisfactions.ComputedWitnessExecutionKey",
    "Principal": "principal-process-steward",
    "TargetField": "RequirementSatisfactions.ComputedWitnessExecutionKey",
    "CanRead": true,
    "CanWrite": false,
    "MaskStrategy": "plain",
    "SemanticTypeIri": "urn:effortless:pko-extension#FieldGrant",
    "Name": "principal-process-steward -&gt; RequirementSatisfactions.ComputedWitnessExecutionKey",
    "FieldTable": "RequirementSatisfactions",
    "FieldName": "ComputedWitnessExecutionKey",
    "FieldIsDerived": true,
    "IsWritableDerivedField": false,
    "IsMasked": false,
    "GrantKeyWhenReadable": "principal-process-steward|RequirementSatisfactions"
   },
   {
    "FieldGrantId": "fg-process-steward-RequirementSatisfactions.StepExecutorAgent",
    "Principal": "principal-process-steward",
    "TargetField": "RequirementSatisfactions.StepExecutorAgent",
    "CanRead": true,
    "CanWrite": false,
    "MaskStrategy": "plain",
    "SemanticTypeIri": "urn:effortless:pko-extension#FieldGrant",
    "Name": "principal-process-steward -&gt; RequirementSatisfactions.StepExecutorAgent",
    "FieldTable": "RequirementSatisfactions",
    "FieldName": "StepExecutorAgent",
    "FieldIsDerived": true,
    "IsWritableDerivedField": false,
    "IsMasked": false,
    "GrantKeyWhenReadable": "principal-process-steward|RequirementSatisfactions"
   },
   {
    "FieldGrantId": "fg-process-steward-RequirementSatisfactions.WasScoredAfterAttestation",
    "Principal": "principal-process-steward",
    "TargetField": "RequirementSatisfactions.WasScoredAfterAttestation",
    "CanRead": true,
    "CanWrite": false,
    "MaskStrategy": "plain",
    "SemanticTypeIri": "urn:effortless:pko-extension#FieldGrant",
    "Name": "principal-process-steward -&gt; RequirementSatisfactions.WasScoredAfterAttestation",
    "FieldTable": "RequirementSatisfactions",
    "FieldName": "WasScoredAfterAttestation",
    "FieldIsDerived": true,
    "IsWritableDerivedField": false,
    "IsMasked": false,
    "GrantKeyWhenReadable": "principal-process-steward|RequirementSatisfactions"
   },
   {
    "FieldGrantId": "fg-process-steward-RequirementSatisfactions.AttestationInstantForRun",
    "Principal": "principal-process-steward",
    "TargetField": "RequirementSatisfactions.AttestationInstantForRun",
    "CanRead": true,
    "CanWrite": false,
    "MaskStrategy": "plain",
    "SemanticTypeIri": "urn:effortless:pko-extension#FieldGrant",
    "Name": "principal-process-steward -&gt; RequirementSatisfactions.AttestationInstantForRun",
    "FieldTable": "RequirementSatisfactions",
    "FieldName": "AttestationInstantForRun",
    "FieldIsDerived": true,
    "IsWritableDerivedField": false,
    "IsMasked": false,
    "GrantKeyWhenReadable": "principal-process-steward|RequirementSatisfactions"
   },
   {
    "FieldGrantId": "fg-process-steward-RequirementSatisfactions.PostAttestationScoreExecutionKey",
    "Principal": "principal-process-steward",
    "TargetField": "RequirementSatisfactions.PostAttestationScoreExecutionKey",
    "CanRead": true,
    "CanWrite": false,
    "MaskStrategy": "plain",
    "SemanticTypeIri": "urn:effortless:pko-extension#FieldGrant",
    "Name": "principal-process-steward -&gt; RequirementSatisfactions.PostAttestationScoreExecutionKey",
    "FieldTable": "RequirementSatisfactions",
    "FieldName": "PostAttestationScoreExecutionKey",
    "FieldIsDerived": true,
    "IsWritableDerivedField": false,
    "IsMasked": false,
    "GrantKeyWhenReadable": "principal-process-steward|RequirementSatisfactions"
   },
   {
    "FieldGrantId": "fg-process-steward-RequirementSatisfactions.SemanticTypeIri",
    "Principal": "principal-process-steward",
    "TargetField": "RequirementSatisfactions.SemanticTypeIri",
    "CanRead": true,
    "CanWrite": false,
    "MaskStrategy": "plain",
    "SemanticTypeIri": "urn:effortless:pko-extension#FieldGrant",
    "Name": "principal-process-steward -&gt; RequirementSatisfactions.SemanticTypeIri",
    "FieldTable": "RequirementSatisfactions",
    "FieldName": "SemanticTypeIri",
    "FieldIsDerived": false,
    "IsWritableDerivedField": false,
    "IsMasked": false,
    "GrantKeyWhenReadable": "principal-process-steward|RequirementSatisfactions"
   },
   {
    "FieldGrantId": "fg-process-steward-Requirements.RequirementId",
    "Principal": "principal-process-steward",
    "TargetField": "Requirements.RequirementId",
    "CanRead": true,
    "CanWrite": false,
    "MaskStrategy": "plain",
    "SemanticTypeIri": "urn:effortless:pko-extension#FieldGrant",
    "Name": "principal-process-steward -&gt; Requirements.RequirementId",
    "FieldTable": "Requirements",
    "FieldName": "RequirementId",
    "FieldIsDerived": false,
    "IsWritableDerivedField": false,
    "IsMasked": false,
    "GrantKeyWhenReadable": "principal-process-steward|Req</t>
  </si>
  <si>
    <t xml:space="preserve">uirements"
   },
   {
    "FieldGrantId": "fg-process-steward-Requirements.Name",
    "Principal": "principal-process-steward",
    "TargetField": "Requirements.Name",
    "CanRead": true,
    "CanWrite": false,
    "MaskStrategy": "plain",
    "SemanticTypeIri": "urn:effortless:pko-extension#FieldGrant",
    "Name": "principal-process-steward -&gt; Requirements.Name",
    "FieldTable": "Requirements",
    "FieldName": "Name",
    "FieldIsDerived": true,
    "IsWritableDerivedField": false,
    "IsMasked": false,
    "GrantKeyWhenReadable": "principal-process-steward|Requirements"
   },
   {
    "FieldGrantId": "fg-process-steward-Requirements.Label",
    "Principal": "principal-process-steward",
    "TargetField": "Requirements.Label",
    "CanRead": true,
    "CanWrite": false,
    "MaskStrategy": "plain",
    "SemanticTypeIri": "urn:effortless:pko-extension#FieldGrant",
    "Name": "principal-process-steward -&gt; Requirements.Label",
    "FieldTable": "Requirements",
    "FieldName": "Label",
    "FieldIsDerived": false,
    "IsWritableDerivedField": false,
    "IsMasked": false,
    "GrantKeyWhenReadable": "principal-process-steward|Requirements"
   },
   {
    "FieldGrantId": "fg-process-steward-Requirements.RequirementType",
    "Principal": "principal-process-steward",
    "TargetField": "Requirements.RequirementType",
    "CanRead": true,
    "CanWrite": false,
    "MaskStrategy": "plain",
    "SemanticTypeIri": "urn:effortless:pko-extension#FieldGrant",
    "Name": "principal-process-steward -&gt; Requirements.RequirementType",
    "FieldTable": "Requirements",
    "FieldName": "RequirementType",
    "FieldIsDerived": false,
    "IsWritableDerivedField": false,
    "IsMasked": false,
    "GrantKeyWhenReadable": "principal-process-steward|Requirements"
   },
   {
    "FieldGrantId": "fg-process-steward-Requirements.Statement",
    "Principal": "principal-process-steward",
    "TargetField": "Requirements.Statement",
    "CanRead": true,
    "CanWrite": false,
    "MaskStrategy": "plain",
    "SemanticTypeIri": "urn:effortless:pko-extension#FieldGrant",
    "Name": "principal-process-steward -&gt; Requirements.Statement",
    "FieldTable": "Requirements",
    "FieldName": "Statement",
    "FieldIsDerived": false,
    "IsWritableDerivedField": false,
    "IsMasked": false,
    "GrantKeyWhenReadable": "principal-process-steward|Requirements"
   },
   {
    "FieldGrantId": "fg-process-steward-Requirements.Rationale",
    "Principal": "principal-process-steward",
    "TargetField": "Requirements.Rationale",
    "CanRead": true,
    "CanWrite": false,
    "MaskStrategy": "plain",
    "SemanticTypeIri": "urn:effortless:pko-extension#FieldGrant",
    "Name": "principal-process-steward -&gt; Requirements.Rationale",
    "FieldTable": "Requirements",
    "FieldName": "Rationale",
    "FieldIsDerived": false,
    "IsWritableDerivedField": false,
    "IsMasked": false,
    "GrantKeyWhenReadable": "principal-process-steward|Requirements"
   },
   {
    "FieldGrantId": "fg-process-steward-Requirements.IsBlocking",
    "Principal": "principal-process-steward",
    "TargetField": "Requirements.IsBlocking",
    "CanRead": true,
    "CanWrite": false,
    "MaskStrategy": "plain",
    "SemanticTypeIri": "urn:effortless:pko-extension#FieldGrant",
    "Name": "principal-process-steward -&gt; Requirements.IsBlocking",
    "FieldTable": "Requirements",
    "FieldName": "IsBlocking",
    "FieldIsDerived": false,
    "IsWritableDerivedField": false,
    "IsMasked": false,
    "GrantKeyWhenReadable": "principal-process-steward|Requirements"
   },
   {
    "FieldGrantId": "fg-process-steward-Requirements.SatisfactionRecordCount",
    "Principal": "principal-process-steward",
    "TargetField": "Requirements.SatisfactionRecordCount",
    "CanRead": true,
    "CanWrite": false,
    "MaskStrategy": "plain",
    "SemanticTypeIri": "urn:effortless:pko-extension#FieldGrant",
    "Name": "principal-process-steward -&gt; Requirements.SatisfactionRecordCount",
    "FieldTable": "Requirements",
    "FieldName": "SatisfactionRecordCount",
    "FieldIsDerived": true,
    "IsWritableDerivedField": false,
    "IsMasked": false,
    "GrantKeyWhenReadable": "principal-process-steward|Requirements"
   },
   {
    "FieldGrantId": "fg-process-steward-Requirements.StepBindingCount",
    "Principal": "principal-process-steward",
    "TargetField": "Requirements.StepBindingCount",
    "CanRead": true,
    "CanWrite": false,
    "MaskStrategy": "plain",
    "SemanticTypeIri": "urn:effortless:pko-extension#FieldGrant",
    "Name": "principal-process-steward -&gt; Requirements.StepBindingCount",
    "FieldTable": "Requirements",
    "FieldName": "StepBindingCount",
    "FieldIsDerived": true,
    "IsWritableDerivedField": false,
    "IsMasked": false,
    "GrantKeyWhenReadable": "principal-process-steward|Requirements"
   },
   {
    "FieldGrantId": "fg-process-steward-Requirements.IsBoundToAnyStep",
    "Principal": "principal-process-steward",
    "TargetField": "Requirements.IsBoundToAnyStep",
    "CanRead": true,
    "CanWrite": false,
    "MaskStrategy": "plain",
    "SemanticTypeIri": "urn:effortless:pko-extension#FieldGrant",
    "Name": "principal-process-steward -&gt; Requirements.IsBoundToAnyStep",
    "FieldTable": "Requirements",
    "FieldName": "IsBoundToAnyStep",
    "FieldIsDerived": true,
    "IsWritableDerivedField": false,
    "IsMasked": false,
    "GrantKeyWhenReadable": "principal-process-steward|Requirements"
   },
   {
    "FieldGrantId": "fg-process-steward-Requirements.HasEverBeenEvaluated",
    "Principal": "principal-process-steward",
    "TargetField": "Requirements.HasEverBeenEvaluated",
    "CanRead": true,
    "CanWrite": false,
    "MaskStrategy": "plain",
    "SemanticTypeIri": "urn:effortless:pko-extension#FieldGrant",
    "Name": "principal-process-steward -&gt; Requirements.HasEverBeenEvaluated",
    "FieldTable": "Requirements",
    "FieldName": "HasEverBeenEvaluated",
    "FieldIsDerived": true,
    "IsWritableDerivedField": false,
    "IsMasked": false,
    "GrantKeyWhenReadable": "principal-process-steward|Requirements"
   },
   {
    "FieldGrantId": "fg-process-steward-Requirements.NegativeOutcomeCount",
    "Principal": "principal-process-steward",
    "TargetField": "Requirements.NegativeOutcomeCount",
    "CanRead": true,
    "CanWrite": false,
    "MaskStrategy": "plain",
    "SemanticTypeIri": "urn:effortless:pko-extension#FieldGrant",
    "Name": "principal-process-steward -&gt; Requirements.NegativeOutcomeCount",
    "FieldTable": "Requirements",
    "FieldName": "NegativeOutcomeCount",
    "FieldIsDerived": true,
    "IsWritableDerivedField": false,
    "IsMasked": false,
    "GrantKeyWhenReadable": "principal-process-steward|Requirements"
   },
   {
    "FieldGrantId": "fg-process-steward-Requirements.IsInoperativeControl",
    "Principal": "principal-process-steward",
    "TargetField": "Requirements.IsInoperativeControl",
    "CanRead": true,
    "CanWrite": false,
    "MaskStrategy": "plain",
    "SemanticTypeIri": "urn:effortless:pko-extension#FieldGrant",
    "Name": "principal-process-steward -&gt; Requirements.IsInoperativeControl",
    "FieldTable": "Requirements",
    "FieldName": "IsInoperativeControl",
    "FieldIsDerived": true,
    "IsWritableDerivedField": false,
    "IsMasked": false,
    "GrantKeyWhenReadable": "principal-process-steward|Requirements"
   },
   {
    "FieldGrantId": "fg-process-steward-Requirements.IsDecorativeControl",
    "Principal": "principal-process-steward",
    "TargetField": "Requirements.IsDecorativeControl",
    "CanRead": true,
    "CanWrite": false,
    "MaskStrategy": "plain",
    "SemanticTypeIri": "urn:effortless:pko-extension#FieldGrant",
    "Name": "principal-process-steward -&gt; Requirements.IsDecorativeControl",
    "FieldTable": "Requirements",
    "FieldName": "IsDecorativeControl",
    "FieldIsDerived": true,
    "IsWritableDerivedField": false,
    "IsMasked": false,
    "GrantKeyWhenReadable": "principal-process-steward|Requirements"
   },
   {
    "FieldGrantId": "fg-process-steward-Requirements.HasComputedWitness",
    "Principal": "principal-process-steward",
    "TargetField": "Requirements.HasComputedWitness",
    "CanRead": true,
    "CanWrite": false,
    "MaskStrategy": "plain",
    "SemanticTypeIri": "urn:effortless:pko-extension#FieldGrant",
    "Name": "principal-process-steward -&gt; Requirements.HasComputedWitness",
    "FieldTable": "Requirements",
    "FieldName": "HasComputedWitness",
    "FieldIsDerived": false,
    "IsWritableDerivedField": false,
    "IsMasked": false,
    "GrantKeyWhenReadable": "principal-process-steward|Requirements"
   },
   {
    "FieldGrantId": "fg-process-steward-Requirements.WitnessFieldName",
    "Principal": "principal-process-steward",
    "TargetField": "Requirements.WitnessFieldName",
    "CanRead": true,
    "CanWrite": false,
    "MaskStrategy": "plain",
    "SemanticTypeIri": "urn:effortless:pko-extension#FieldGrant",
    "Name": "principal-process-steward -&gt; Requirements.WitnessFieldName",
    "FieldTable": "Requirements",
    "FieldName": "WitnessFieldName",
    "FieldIsDerived": false,
    "IsWritableDerivedField": false,
    "IsMasked": false,
    "GrantKeyWhenReadable": "principal-process-steward|Requirements"
   },
   {
    "FieldGrantId": "fg-process-steward-Requirements.HasEverProducedNegative",
    "Principal": "principal-process-steward",
    "TargetField": "Requirements.HasEverProducedNegative",
    "CanRead": true,
    "CanWrite": false,
    "MaskStrategy": "plain",
    "SemanticTypeIri": "urn:effortless:pko-extension#FieldGrant",
    "Name": "principal-process-steward -&gt; Requirements.HasEverProducedNegative",
    "FieldTable": "Requirements",
    "FieldName": "HasEverProducedNegative",
    "FieldIsDerived": true,
    "IsWritableDerivedField": false,
    "IsMasked": false,
    "GrantKeyWhenReadable": "principal-process-steward|Requirements"
   },
   {
    "FieldGrantId": "fg-process-steward-Requirements.IsUnfalsifiedControl",
    "Principal": "principal-process-steward",
    "TargetField": "Requirements.IsUnfalsifiedControl",
    "CanRead": true,
    "CanWrite": false,
    "MaskStrategy": "plain",
    "SemanticTypeIri": "urn:effortless:pko-extension#FieldGrant",
    "Name": "principal-process-steward -&gt; Requirements.IsUnfalsifiedControl",
    "FieldTable": "Requirements",
    "FieldName": "IsUnfalsifiedControl",
    "FieldIsDerived": true,
    "IsWritableDerivedField": false,
    "IsMasked": false,
    "GrantKeyWhenReadable": "principal-process-steward|Requirements"
   },
   {
    "FieldGrantId": "fg-process-steward-Requirements.ClaimsAWitnessField",
    "Principal": "principal-process-steward",
    "TargetField": "Requirements.ClaimsAWitnessField",
    "CanRead": true,
    "CanWrite": false,
    "MaskStrategy": "plain",
    "SemanticTypeIri": "urn:effortless:pko-extension#FieldGrant",
    "Name": "principal-process-steward -&gt; Requirements.ClaimsAWitnessField",
    "FieldTable": "Requirements",
    "FieldName": "ClaimsAWitnessField",
    "FieldIsDerived": true,
    "IsWritableDerivedField": false,
    "IsMasked": false,
    "GrantKeyWhenReadable": "principal-process-steward|Requirements"
   },
   {
    "FieldGrantId": "fg-process-steward-Requirements.NamedWitnessFieldExists",
    "Principal": "principal-process-steward",
    "TargetField": "Requirements.NamedWitnessFieldExists",
    "CanRead": true,
    "CanWrite": false,
    "MaskStrategy": "plain",
    "SemanticTypeIri": "urn:effortless:pko-extension#FieldGrant",
    "Name": "principal-process-steward -&gt; Requirements.NamedWitnessFieldExists",
    "FieldTable": "Requirements",
    "FieldName": "NamedWitnessFieldExists",
    "FieldIsDerived": true,
    "IsWritableDerivedField": false,
    "IsMasked": false,
    "GrantKeyWhenReadable": "principal-process-steward|Requirements"
   },
   {
    "FieldGrantId": "fg-process-steward-Requirements.DerivedHasComputedWitness",
    "Principal": "principal-process-steward",
    "TargetField": "Requirements.DerivedHasComputedWitness",
    "CanRead": true,
    "CanWrite": false,
    "MaskStrategy": "plain",
    "SemanticTypeIri": "urn:effortless:pko-extension#FieldGrant",
    "Name": "principal-process-steward -&gt; Requirements.DerivedHasComputedWitness",
    "FieldTable": "Requirements",
    "FieldName": "DerivedHasComputedWitness",
    "FieldIsDerived": true,
    "IsWritableDerivedField": false,
    "IsMasked": false,
    "GrantKeyWhenReadable": "principal-process-steward|Requirements"
   },
   {
    "FieldGrantId": "fg-process-steward-Requirements.WitnessClaimIsUnverified",
    "Principal": "principal-process-steward",
    "TargetField": "Requirements.WitnessClaimIsUnverified",
    "CanRead": true,
    "CanWrite": false,
    "MaskStrategy": "plain",
    "SemanticTypeIri": "urn:effortless:pko-extension#FieldGrant",
    "Name": "principal-process-steward -&gt; Requirements.WitnessClaimIsUnverified",
    "FieldTable": "Requirements",
    "FieldName": "WitnessClaimIsUnverified",
    "FieldIsDerived": true,
    "IsWritableDerivedField": false,
    "IsMasked": false,
    "GrantKeyWhenReadable": "principal-process-steward|Requirements"
   },
   {
    "FieldGrantId": "fg-process-steward-Requirements.IsUnwitnessedBlockingControl",
    "Principal": "principal-process-steward",
    "TargetField": "Requirements.IsUnwitnessedBlockingControl",
    "CanRead": true,
    "CanWrite": false,
    "MaskStrategy": "plain",
    "SemanticTypeIri": "urn:effortless:pko-extension#FieldGrant",
    "Name": "principal-process-steward -&gt; Requirements.IsUnwitnessedBlockingControl",
    "FieldTable": "Requirements",
    "FieldName": "IsUnwitnessedBlockingControl",
    "FieldIsDerived": true,
    "IsWritableDerivedField": false,
    "IsMasked": false,
    "GrantKeyWhenReadable": "principal-process-steward|Requirements"
   },
   {
    "FieldGrantId": "fg-process-steward-Requirements.WitnessFireCount",
    "Principal": "principal-process-steward",
    "TargetField": "Requirements.WitnessFireCount",
    "CanRead": true,
    "CanWrite": false,
    "MaskStrategy": "plain",
    "SemanticTypeIri": "urn:effortless:pko-extension#FieldGrant",
    "Name": "principal-process-steward -&gt; Requirements.WitnessFireCount",
    "FieldTable": "Requirements",
    "FieldName": "WitnessFireCount",
    "FieldIsDerived": true,
    "IsWritableDerivedField": false,
    "IsMasked": false,
    "GrantKeyWhenReadable": "principal-process-steward|Requirements"
   },
   {
    "FieldGrantId": "fg-process-steward-Requirements.WitnessHasNeverFired",
    "Principal": "principal-process-steward",
    "TargetField": "Requirements.WitnessHasNeverFired",
    "CanRead": true,
    "CanWrite": false,
    "MaskStrategy": "plain",
    "SemanticTypeIri": "urn:effortless:pko-extension#FieldGrant",
    "Name": "principal-process-steward -&gt; Requirements.WitnessHasNeverFired",
    "FieldTable": "Requirements",
    "FieldName": "WitnessHasNeverFired",
    "FieldIsDerived": true,
    "IsWritableDerivedField": false,
    "IsMasked": false,
    "GrantKeyWhenReadable": "principal-process-steward|Requirements"
   },
   {
    "FieldGrantId": "fg-process-steward-Requirements.EvaluationSampleSize",
    "Principal": "principal-process-steward",
    "TargetField": "Requirements.EvaluationSampleSize",
    "CanRead": true,
    "CanWrite": false,
    "MaskStrategy": "plain",
    "SemanticTypeIri": "urn:effortless:pko-extension#FieldGrant",
    "Name": "principal-process-steward -&gt; Requirements.EvaluationSampleSize",
    "FieldTable": "Requirements",
    "FieldName": "EvaluationSampleSize",
    "FieldIsDerived": true,
    "IsWritableDerivedField": false,
    "IsMasked": false,
    "GrantKeyWhenReadable": "principal-process-steward|Requirements"
   },
   {
    "FieldGrantId": "fg-process-steward-Requirements.HasMeaningfulSample",
    "Principal": "principal-process-steward",
    "TargetField": "Requirements.HasMeaningfulSample",
    "CanRead": true,
    "CanWrite": false,
    "MaskStrategy": "plain",
    "SemanticTypeIri": "urn:effortless:pko-extension#FieldGrant",
    "Name": "principal-process-steward -&gt; Requirements.HasMeaningfulSample",
    "FieldTable": "Requirements",
    "FieldName": "HasMeaningfulSample",
    "FieldIsDerived": true,
    "IsWritableDerivedField": false,
    "IsMasked": false,
    "GrantKeyWhenReadable": "principal-process-steward|Requirements"
   },
   {
    "FieldGrantId": "fg-process-steward-Requirements.MinimumSampleForAssurance",
    "Principal": "principal-process-steward",
    "TargetField": "Requirements.MinimumSampleForAssurance",
    "CanRead": true,
    "CanWrite": false,
    "MaskStrategy": "plain",
    "SemanticTypeIri": "urn:effortless:pko-extension#FieldGrant",
    "Name": "principal-process-steward -&gt; Requirements.MinimumSampleForAssurance",
    "FieldTable": "Requirements",
    "FieldName": "MinimumSampleForAssurance",
    "FieldIsDerived": false,
    "IsWritableDerivedField": false,
    "IsMasked": false,
    "GrantKeyWhenReadable": "principal-process-steward|Requirements"
   },
   {
    "FieldGrantId": "fg-process-steward-Requirements.IsUntestedWitness",
    "Principal": "principal-process-steward",
    "TargetField": "Requirements.IsUntestedWitness",
    "CanRead": true,
    "CanWrite": false,
    "MaskStrategy": "plain",
    "SemanticTypeIri": "urn:effortless:pko-extension#FieldGrant",
    "Name": "principal-process-steward -&gt; Requirements.IsUntestedWitness",
    "FieldTable": "Requirements",
    "FieldName": "IsUntestedWitness",
    "FieldIsDerived": true,
    "IsWritableDerivedField": false,
    "IsMasked": false,
    "GrantKeyWhenReadable": "principal-process-steward|Requirements"
   },
   {
    "FieldGrantId": "fg-process-steward-Requirements.IsEvidencedHoldingControl",
    "Principal": "principal-process-steward",
    "TargetField": "Requirements.IsEvidencedHoldingControl",
    "CanRead": true,
    "CanWrite": false,
    "MaskStrategy": "plain",
    "SemanticTypeIri": "urn:effortless:pko-extension#FieldGrant",
    "Name": "principal-process-steward -&gt; Requirements.IsEvidencedHoldingControl",
    "FieldTable": "Requirements",
    "FieldName": "IsEvidencedHoldingControl",
    "FieldIsDerived": true,
    "IsWritableDerivedField": false,
    "IsMasked": false,
    "GrantKeyWhenReadable": "principal-process-steward|Requirements"
   },
   {
    "FieldGrantId": "fg-process-steward-Requirements.ControlAssuranceState",
    "Principal": "principal-process-steward",
    "TargetField": "Requirements.ControlAssuranceState",
    "CanRead": true,
    "CanWrite": false,
    "MaskStrategy": "plain",
    "SemanticTypeIri": "urn:effortless:pko-extension#FieldGrant",
    "Name": "principal-process-steward -&gt; Requirements.ControlAssuranceState",
    "FieldTable": "Requirements",
    "FieldName": "ControlAssuranceState",
    "FieldIsDerived": true,
    "IsWritableDerivedField": false,
    "IsMasked": false,
    "GrantKeyWhenReadable": "principal-process-steward|Requirements"
   },
   {
    "FieldGrantId": "fg-process-steward-Requirements.UnexercisedBindingCount",
    "Principal": "principal-process-steward",
    "TargetField": "Requirements.UnexercisedBindingCount",
    "CanRead": true,
    "CanWrite": false,
    "MaskStrategy": "plain",
    "SemanticTypeIri": "urn:effortless:pko-extension#FieldGrant",
    "Name": "principal-process-steward -&gt; Requirements.UnexercisedBindingCount",
    "FieldTable": "Requirements",
    "FieldName": "UnexercisedBindingCount",
    "FieldIsDerived": true,
    "IsWritableDerivedField": false,
    "IsMasked": false,
    "GrantKeyWhenReadable": "principal-process-steward|Requirements"
   },
   {
    "FieldGrantId": "fg-process-steward-Requirements.WitnessIsPartiallyScoped",
    "Principal": "principal-process-steward",
    "TargetField": "Requirements.WitnessIsPartiallyScoped",
    "CanRead": true,
    "CanWrite": false,
    "MaskStrategy": "plain",
    "SemanticTypeIri": "urn:effortless:pko-extension#FieldGrant",
    "Name": "principal-process-steward -&gt; Requirements.WitnessIsPartiallyScoped",
    "FieldTable": "Requirements",
    "FieldName": "WitnessIsPartiallyScoped",
    "FieldIsDerived": true,
    "IsWritableDerivedField": false,
    "IsMasked": false,
    "GrantKeyWhenReadable": "principal-process-steward|Requirements"
   },
   {
    "FieldGrantId": "fg-process-steward-Requirements.AccountableRole",
    "Principal": "principal-process-steward",
    "TargetField": "Requirements.AccountableRole",
    "CanRead": true,
    "CanWrite": false,
    "MaskStrategy": "plain",
    "SemanticTypeIri": "urn:effortless:pko-extension#FieldGrant",
    "Name": "principal-process-steward -&gt; Requirements.AccountableRole",
    "FieldTable": "Requirements",
    "FieldName": "AccountableRole",
    "FieldIsDerived": false,
    "IsWritableDerivedField": false,
    "IsMasked": false,
    "GrantKeyWhenReadable": "principal-process-steward|Requirements"
   },
   {
    "FieldGrantId": "fg-process-steward-Requirements.AccountableAgent",
    "Principal": "principal-process-steward",
    "TargetField": "Requirements.AccountableAgent",
    "CanRead": true,
    "CanWrite": false,
    "MaskStrategy": "plain",
    "SemanticTypeIri": "urn:effortless:pko-extension#FieldGrant",
    "Name": "principal-process-steward -&gt; Requirements.AccountableAgent",
    "FieldTable": "Requirements",
    "FieldName": "AccountableAgent",
    "FieldIsDerived": true,
    "IsWritableDerivedField": false,
    "IsMasked": false,
    "GrantKeyWhenReadable": "principal-process-steward|Requirements"
   },
   {
    "FieldGrantId": "fg-process-steward-Requirements.HasNamedOwner",
    "Principal": "principal-process-steward",
    "TargetField": "Requirements.HasNamedOwner",
    "CanRead": true,
    "CanWrite": false,
    "MaskStrategy": "plain",
    "SemanticTypeIri": "urn:effortless:pko-extension#FieldGrant",
    "Name": "principal-process-steward -&gt; Requirements.HasNamedOwner",
    "FieldTable": "Requirements",
    "FieldName": "HasNamedOwner",
    "FieldIsDerived": true,
    "IsWritableDerivedField": false,
    "IsMasked": false,
    "GrantKeyWhenReadable": "principal-process-steward|Requirements"
   },
   {
    "FieldGrantId": "fg-process-steward-Requirements.IsOrphanedBlockingControl",
    "Principal": "principal-process-steward",
    "TargetField": "Requirements.IsOrphanedBlockingControl",
    "CanRead": true,
    "CanWrite": false,
    "MaskStrategy": "plain",
    "SemanticTypeIri": "urn:effortless:pko-extension#FieldGrant",
    "Name": "principal-process-steward -&gt; Requirements.IsOrphanedBlockingControl",
    "FieldTable": "Requirements",
    "FieldName": "IsOrphanedBlockingControl",
    "FieldIsDerived": true,
    "IsWritableDerivedField": false,
    "IsMasked": false,
    "GrantKeyWhenReadable": "principal-process-steward|Requirements"
   },
   {
    "FieldGrantId": "fg-process-steward-Requirements.IsUnwatchedAndUnowned",
    "Principal": "principal-process-steward",
    "TargetField": "Requirements.IsUnwatchedAndUnowned",
    "CanRead": true,
    "CanWrite": false,
    "MaskStrategy": "plain",
    "SemanticTypeIri": "urn:effortless:pko-extension#FieldGrant",
    "Name": "principal-process-steward -&gt; Requirements.IsUnwatchedAndUnowned",
    "FieldTable": "Requirements",
    "FieldName": "IsUnwatchedAndUnowned",
    "FieldIsDerived": true,
    "IsWritableDerivedField": false,
    "IsMasked": false,
    "GrantKeyWhenReadable": "principal-process-steward|Requirements"
   },
   {
    "FieldGrantId": "fg-process-steward-Requirements.AttestationExposureNote",
    "Principal": "principal-process-steward",
    "TargetField": "Requirements.AttestationExposureNote",
    "CanRead": true,
    "CanWrite": false,
    "MaskStrategy": "plain",
    "SemanticTypeIri": "urn:effortless:pko-extension#FieldGrant",
    "Name": "principal-process-steward -&gt; Requirements.AttestationExposureNote",
    "FieldTable": "Requirements",
    "FieldName": "AttestationExposureNote",
    "FieldIsDerived": true,
    "IsWritableDerivedField": false,
    "IsMasked": false,
    "GrantKeyWhenReadable": "principal-process-steward|Requirements"
   },
   {
    "FieldGrantId": "fg-process-steward-Requirements.UnwatchedUnownedFlag",
    "Principal": "principal-process-steward",
    "TargetField": "Requirements.UnwatchedUnownedFlag",
    "CanRead": true,
    "CanWrite": false,
    "MaskStrategy": "plain",
    "SemanticTypeIri": "urn:effortless:pko-extension#FieldGrant",
    "Name": "principal-process-steward -&gt; Requirements.UnwatchedUnownedFlag",
    "FieldTable": "Requirements",
    "FieldName": "UnwatchedUnownedFlag",
    "FieldIsDerived": true,
    "IsWritableDerivedField": false,
    "IsMasked": false,
    "GrantKeyWhenReadable": "principal-process-steward|Requirements"
   },
   {
    "FieldGrantId": "fg-process-steward-Requirements.SemanticTypeIri",
    "Principal": "principal-process-steward",
    "TargetField": "Requirements.SemanticTypeIri",
    "CanRead": true,
    "CanWrite": false,
    "MaskStrategy": "plain",
    "SemanticTypeIri": "urn:effortless:pko-extension#FieldGrant",
    "Name": "principal-process-steward -&gt; Requirements.SemanticTypeIri",
    "FieldTable": "Requirements",
    "FieldName": "SemanticTypeIri",
    "FieldIsDerived": false,
    "IsWritableDerivedField": false,
    "IsMasked": false,
    "GrantKeyWhenReadable": "principal-process-steward|Requirements"
   },
   {
    "FieldGrantId": "fg-process-steward-Resources.ResourceId",
    "Principal": "principal-process-steward",
    "TargetField": "Resources.ResourceId",
    "CanRead": true,
    "CanWrite": false,
    "MaskStrategy": "plain",
    "SemanticTypeIri": "urn:effortless:pko-extension#FieldGrant",
    "Name": "principal-process-steward -&gt; Resources.ResourceId",
    "FieldTable": "Resources",
    "FieldName": "ResourceId",
    "FieldIsDerived": false,
    "IsWritableDerivedField": false,
    "IsMasked": false,
    "GrantKeyWhenReadable": "principal-process-steward|Resources"
   },
   {
    "FieldGrantId": "fg-process-steward-Resources.Name",
    "Principal": "principal-process-steward",
    "TargetField": "Resources.Name",
    "CanRead": true,
    "CanWrite": false,
    "MaskStrategy": "plain",
    "SemanticTypeIri": "urn:effortless:pko-extension#FieldGrant",
    "Name": "principal-process-steward -&gt; Resources.Name",
    "FieldTable": "Resources",
    "FieldName": "Name",
    "FieldIsDerived": true,
    "IsWritableDerivedField": false,
    "IsMasked": false,
    "GrantKeyWhenReadable": "principal-process-steward|Resources"
   },
   {
    "FieldGrantId": "fg-process-steward-Resources.Title",
    "Principal": "principal-process-steward",
    "TargetField": "Resources.Title",
    "CanRead": true,
    "CanWrite": false,
    "MaskStrategy": "plain",
    "SemanticTypeIri": "urn:effortless:pko-extension#FieldGrant",
    "Name": "principal-process-steward -&gt; Resources.Title",
    "FieldTable": "Resources",
    "FieldName": "Title",
    "FieldIsDerived": false,
    "IsWritableDerivedField": false,
    "IsMasked": false,
    "GrantKeyWhenReadable": "principal-process-steward|Resources"
   },
   {
    "FieldGrantId": "fg-process-steward-Resources.ResourceKind",
    "Principal": "principal-process-steward",
    "TargetField": "Resources.ResourceKind",
    "CanRead": true,
    "CanWrite": false,
    "MaskStrategy": "plain",
    "SemanticTypeIri": "urn:effortless:pko-extension#FieldGrant",
    "Name": "principal-process-steward -&gt; Resources.ResourceKind",
    "FieldTable": "Resources",
    "FieldName": "ResourceKind",
    "FieldIsDerived": false,
    "IsWritableDerivedField": false,
    "IsMasked": false,
    "GrantKeyWhenReadable": "principal-process-steward|Resources"
   },
   {
    "FieldGrantId": "fg-process-steward-Resources.ExternalUri",
    "Principal": "principal-process-steward",
    "TargetField": "Resources.ExternalUri",
    "CanRead": true,
    "CanWrite": false,
    "MaskStrategy": "plain",
    "SemanticTypeIri": "urn:effortless:pko-extension#FieldGrant",
    "Name": "principal-process-steward -&gt; Resources.ExternalUri",
    "FieldTable": "Resources",
    "FieldName": "ExternalUri",
    "FieldIsDerived": false,
    "IsWritableDerivedField": false,
    "IsMasked": false,
    "GrantKeyWhenReadable": "principal-process-steward|Resources"
   },
   {
    "FieldGrantId": "fg-process-steward-Resources.CreatedAt",
    "Principal": "principal-process-steward",
    "TargetField": "Resources.CreatedAt",
    "CanRead": true,
    "CanWrite": false,
    "MaskStrategy": "plain",
    "SemanticTypeIri": "urn:effortless:pko-extension#FieldGrant",
    "Name": "principal-process-steward -&gt; Resources.CreatedAt",
    "FieldTable": "Resources",
    "FieldName": "CreatedAt",
    "FieldIsDerived": false,
    "IsWritableDerivedField": false,
    "IsMasked": false,
    "GrantKeyWhenReadable": "principal-process-steward|Resources"
   },
   {
    "FieldGrantId": "fg-process-steward-Resources.ModifiedAt",
    "Principal": "principal-process-steward",
    "TargetField": "Resources.ModifiedAt",
    "CanRead": true,
    "CanWrite": false,
    "MaskStrategy": "plain",
    "SemanticTypeIri": "urn:effortless:pko-extension#FieldGrant",
    "Name": "principal-process-steward -&gt; Resources.ModifiedAt",
    "FieldTable": "Resources",
    "FieldName": "ModifiedAt",
    "FieldIsDerived": false,
    "IsWritableDerivedField": false,
    "IsMasked": false,
    "GrantKeyWhenReadable": "principal-process-steward|Resources"
   },
   {
    "FieldGrantId": "fg-process-steward-Resources.Description",
    "Principal": "principal-process-steward",
    "TargetField": "Resources.Description",
    "CanRead": true,
    "CanWrite": false,
    "MaskStrategy": "plain",
    "SemanticTypeIri": "urn:effortless:pko-extension#FieldGrant",
    "Name": "principal-process-steward -&gt; Resources.Description",
    "FieldTable": "Resources",
    "FieldName": "Description",
    "FieldIsDerived": false,
    "IsWritableDerivedField": false,
    "IsMasked": false,
    "GrantKeyWhenReadable": "principal-process-steward|Resources"
   },
   {
    "FieldGrantId": "fg-process-steward-Resources.ApprovalStatus",
    "Principal": "principal-process-steward",
    "TargetField": "Resources.ApprovalStatus",
    "CanRead": true,
    "CanWrite": false,
    "MaskStrategy": "plain",
    "SemanticTypeIri": "urn:effortless:pko-extension#FieldGrant",
    "Name": "principal-process-steward -&gt; Resources.ApprovalStatus",
    "FieldTable": "Resources",
    "FieldName": "ApprovalStatus",
    "FieldIsDerived": false,
    "IsWritableDerivedField": false,
    "IsMasked": false,
    "GrantKeyWhenReadable": "principal-process-steward|Resources"
   },
   {
    "FieldGrantId": "fg-process-steward-Resources.IsApprovedSource",
    "Principal": "principal-process-steward",
    "TargetField": "Resources.IsApprovedSource",
    "CanRead": true,
    "CanWrite": false,
    "MaskStrategy": "plain",
    "SemanticTypeIri": "urn:effortless:pko-extension#FieldGrant",
    "Name": "principal-process-steward -&gt; Resources.IsApprovedSource",
    "FieldTable": "Resources",
    "FieldName": "IsApprovedSource",
    "FieldIsDerived": true,
    "IsWritableDerivedField": false,
    "IsMasked": false,
    "GrantKeyWhenReadable": "principal-process-steward|Resources"
   },
   {
    "FieldGrantId": "fg-process-steward-Resources.SemanticTypeIri",
    "Principal": "principal-process-steward",
    "TargetField": "Resources.SemanticTypeIri",
    "CanRead": true,
    "CanWrite": false,
    "MaskStrategy": "plain",
    "SemanticTypeIri": "urn:effortless:pko-extension#FieldGrant",
    "Name": "principal-process-steward -&gt; Resources.SemanticTypeIri",
    "FieldTable": "Resources",
    "FieldName": "SemanticTypeIri",
    "FieldIsDerived": false,
    "IsWritableDerivedField": false,
    "IsMasked": false,
    "GrantKeyWhenReadable": "principal-process-steward|Resources"
   },
   {
    "FieldGrantId": "fg-process-steward-ReviewEvents.ReviewEventId",
    "Principal": "principal-process-steward",
    "TargetField": "ReviewEvents.ReviewEventId",
    "CanRead": true,
    "CanWrite": false,
    "MaskStrategy": "plain",
    "SemanticTypeIri": "urn:effortless:pko-extension#FieldGrant",
    "Name": "principal-process-steward -&gt; ReviewEvents.ReviewEventId",
    "FieldTable": "ReviewEvents",
    "FieldName": "ReviewEventId",
    "FieldIsDerived": false,
    "IsWritableDerivedField": false,
    "IsMasked": false,
    "GrantKeyWhenReadable": "principal-process-steward|ReviewEvents"
   },
   {
    "FieldGrantId": "fg-process-steward-ReviewEvents.Name",
    "Principal": "principal-process-steward",
    "TargetField": "ReviewEvents.Name",
    "CanRead": true,
    "CanWrite": false,
    "MaskStrategy": "plain",
    "SemanticTypeIri": "urn:effortless:pko-extension#FieldGrant",
    "Name": "principal-process-steward -&gt; ReviewEvents.Name",
    "FieldTable": "ReviewEvents",
    "FieldNam</t>
  </si>
  <si>
    <t xml:space="preserve">e": "Name",
    "FieldIsDerived": true,
    "IsWritableDerivedField": false,
    "IsMasked": false,
    "GrantKeyWhenReadable": "principal-process-steward|ReviewEvents"
   },
   {
    "FieldGrantId": "fg-process-steward-ReviewEvents.ProcedureVersion",
    "Principal": "principal-process-steward",
    "TargetField": "ReviewEvents.ProcedureVersion",
    "CanRead": true,
    "CanWrite": false,
    "MaskStrategy": "plain",
    "SemanticTypeIri": "urn:effortless:pko-extension#FieldGrant",
    "Name": "principal-process-steward -&gt; ReviewEvents.ProcedureVersion",
    "FieldTable": "ReviewEvents",
    "FieldName": "ProcedureVersion",
    "FieldIsDerived": false,
    "IsWritableDerivedField": false,
    "IsMasked": false,
    "GrantKeyWhenReadable": "principal-process-steward|ReviewEvents"
   },
   {
    "FieldGrantId": "fg-process-steward-ReviewEvents.ReviewKind",
    "Principal": "principal-process-steward",
    "TargetField": "ReviewEvents.ReviewKind",
    "CanRead": true,
    "CanWrite": false,
    "MaskStrategy": "plain",
    "SemanticTypeIri": "urn:effortless:pko-extension#FieldGrant",
    "Name": "principal-process-steward -&gt; ReviewEvents.ReviewKind",
    "FieldTable": "ReviewEvents",
    "FieldName": "ReviewKind",
    "FieldIsDerived": false,
    "IsWritableDerivedField": false,
    "IsMasked": false,
    "GrantKeyWhenReadable": "principal-process-steward|ReviewEvents"
   },
   {
    "FieldGrantId": "fg-process-steward-ReviewEvents.ReviewedAt",
    "Principal": "principal-process-steward",
    "TargetField": "ReviewEvents.ReviewedAt",
    "CanRead": true,
    "CanWrite": false,
    "MaskStrategy": "plain",
    "SemanticTypeIri": "urn:effortless:pko-extension#FieldGrant",
    "Name": "principal-process-steward -&gt; ReviewEvents.ReviewedAt",
    "FieldTable": "ReviewEvents",
    "FieldName": "ReviewedAt",
    "FieldIsDerived": false,
    "IsWritableDerivedField": false,
    "IsMasked": false,
    "GrantKeyWhenReadable": "principal-process-steward|ReviewEvents"
   },
   {
    "FieldGrantId": "fg-process-steward-ReviewEvents.ReviewedByAgent",
    "Principal": "principal-process-steward",
    "TargetField": "ReviewEvents.ReviewedByAgent",
    "CanRead": true,
    "CanWrite": false,
    "MaskStrategy": "plain",
    "SemanticTypeIri": "urn:effortless:pko-extension#FieldGrant",
    "Name": "principal-process-steward -&gt; ReviewEvents.ReviewedByAgent",
    "FieldTable": "ReviewEvents",
    "FieldName": "ReviewedByAgent",
    "FieldIsDerived": false,
    "IsWritableDerivedField": false,
    "IsMasked": false,
    "GrantKeyWhenReadable": "principal-process-steward|ReviewEvents"
   },
   {
    "FieldGrantId": "fg-process-steward-ReviewEvents.Outcome",
    "Principal": "principal-process-steward",
    "TargetField": "ReviewEvents.Outcome",
    "CanRead": true,
    "CanWrite": false,
    "MaskStrategy": "plain",
    "SemanticTypeIri": "urn:effortless:pko-extension#FieldGrant",
    "Name": "principal-process-steward -&gt; ReviewEvents.Outcome",
    "FieldTable": "ReviewEvents",
    "FieldName": "Outcome",
    "FieldIsDerived": false,
    "IsWritableDerivedField": false,
    "IsMasked": false,
    "GrantKeyWhenReadable": "principal-process-steward|ReviewEvents"
   },
   {
    "FieldGrantId": "fg-process-steward-ReviewEvents.RelatedChangeRequest",
    "Principal": "principal-process-steward",
    "TargetField": "ReviewEvents.RelatedChangeRequest",
    "CanRead": true,
    "CanWrite": false,
    "MaskStrategy": "plain",
    "SemanticTypeIri": "urn:effortless:pko-extension#FieldGrant",
    "Name": "principal-process-steward -&gt; ReviewEvents.RelatedChangeRequest",
    "FieldTable": "ReviewEvents",
    "FieldName": "RelatedChangeRequest",
    "FieldIsDerived": false,
    "IsWritableDerivedField": false,
    "IsMasked": false,
    "GrantKeyWhenReadable": "principal-process-steward|ReviewEvents"
   },
   {
    "FieldGrantId": "fg-process-steward-ReviewEvents.NextReviewDue",
    "Principal": "principal-process-steward",
    "TargetField": "ReviewEvents.NextReviewDue",
    "CanRead": true,
    "CanWrite": false,
    "MaskStrategy": "plain",
    "SemanticTypeIri": "urn:effortless:pko-extension#FieldGrant",
    "Name": "principal-process-steward -&gt; ReviewEvents.NextReviewDue",
    "FieldTable": "ReviewEvents",
    "FieldName": "NextReviewDue",
    "FieldIsDerived": false,
    "IsWritableDerivedField": false,
    "IsMasked": false,
    "GrantKeyWhenReadable": "principal-process-steward|ReviewEvents"
   },
   {
    "FieldGrantId": "fg-process-steward-ReviewEvents.EvaluationContext",
    "Principal": "principal-process-steward",
    "TargetField": "ReviewEvents.EvaluationContext",
    "CanRead": true,
    "CanWrite": false,
    "MaskStrategy": "plain",
    "SemanticTypeIri": "urn:effortless:pko-extension#FieldGrant",
    "Name": "principal-process-steward -&gt; ReviewEvents.EvaluationContext",
    "FieldTable": "ReviewEvents",
    "FieldName": "EvaluationContext",
    "FieldIsDerived": false,
    "IsWritableDerivedField": false,
    "IsMasked": false,
    "GrantKeyWhenReadable": "principal-process-steward|ReviewEvents"
   },
   {
    "FieldGrantId": "fg-process-steward-ReviewEvents.AsOfInstant",
    "Principal": "principal-process-steward",
    "TargetField": "ReviewEvents.AsOfInstant",
    "CanRead": true,
    "CanWrite": false,
    "MaskStrategy": "plain",
    "SemanticTypeIri": "urn:effortless:pko-extension#FieldGrant",
    "Name": "principal-process-steward -&gt; ReviewEvents.AsOfInstant",
    "FieldTable": "ReviewEvents",
    "FieldName": "AsOfInstant",
    "FieldIsDerived": true,
    "IsWritableDerivedField": false,
    "IsMasked": false,
    "GrantKeyWhenReadable": "principal-process-steward|ReviewEvents"
   },
   {
    "FieldGrantId": "fg-process-steward-ReviewEvents.IsOverdue",
    "Principal": "principal-process-steward",
    "TargetField": "ReviewEvents.IsOverdue",
    "CanRead": true,
    "CanWrite": false,
    "MaskStrategy": "plain",
    "SemanticTypeIri": "urn:effortless:pko-extension#FieldGrant",
    "Name": "principal-process-steward -&gt; ReviewEvents.IsOverdue",
    "FieldTable": "ReviewEvents",
    "FieldName": "IsOverdue",
    "FieldIsDerived": true,
    "IsWritableDerivedField": false,
    "IsMasked": false,
    "GrantKeyWhenReadable": "principal-process-steward|ReviewEvents"
   },
   {
    "FieldGrantId": "fg-process-steward-ReviewEvents.OverdueVersionKey",
    "Principal": "principal-process-steward",
    "TargetField": "ReviewEvents.OverdueVersionKey",
    "CanRead": true,
    "CanWrite": false,
    "MaskStrategy": "plain",
    "SemanticTypeIri": "urn:effortless:pko-extension#FieldGrant",
    "Name": "principal-process-steward -&gt; ReviewEvents.OverdueVersionKey",
    "FieldTable": "ReviewEvents",
    "FieldName": "OverdueVersionKey",
    "FieldIsDerived": true,
    "IsWritableDerivedField": false,
    "IsMasked": false,
    "GrantKeyWhenReadable": "principal-process-steward|ReviewEvents"
   },
   {
    "FieldGrantId": "fg-process-steward-ReviewEvents.PromisedCadenceDays",
    "Principal": "principal-process-steward",
    "TargetField": "ReviewEvents.PromisedCadenceDays",
    "CanRead": true,
    "CanWrite": false,
    "MaskStrategy": "plain",
    "SemanticTypeIri": "urn:effortless:pko-extension#FieldGrant",
    "Name": "principal-process-steward -&gt; ReviewEvents.PromisedCadenceDays",
    "FieldTable": "ReviewEvents",
    "FieldName": "PromisedCadenceDays",
    "FieldIsDerived": true,
    "IsWritableDerivedField": false,
    "IsMasked": false,
    "GrantKeyWhenReadable": "principal-process-steward|ReviewEvents"
   },
   {
    "FieldGrantId": "fg-process-steward-ReviewEvents.DaysSinceReviewed",
    "Principal": "principal-process-steward",
    "TargetField": "ReviewEvents.DaysSinceReviewed",
    "CanRead": true,
    "CanWrite": false,
    "MaskStrategy": "plain",
    "SemanticTypeIri": "urn:effortless:pko-extension#FieldGrant",
    "Name": "principal-process-steward -&gt; ReviewEvents.DaysSinceReviewed",
    "FieldTable": "ReviewEvents",
    "FieldName": "DaysSinceReviewed",
    "FieldIsDerived": true,
    "IsWritableDerivedField": false,
    "IsMasked": false,
    "GrantKeyWhenReadable": "principal-process-steward|ReviewEvents"
   },
   {
    "FieldGrantId": "fg-process-steward-ReviewEvents.ExceedsPromisedCadence",
    "Principal": "principal-process-steward",
    "TargetField": "ReviewEvents.ExceedsPromisedCadence",
    "CanRead": true,
    "CanWrite": false,
    "MaskStrategy": "plain",
    "SemanticTypeIri": "urn:effortless:pko-extension#FieldGrant",
    "Name": "principal-process-steward -&gt; ReviewEvents.ExceedsPromisedCadence",
    "FieldTable": "ReviewEvents",
    "FieldName": "ExceedsPromisedCadence",
    "FieldIsDerived": true,
    "IsWritableDerivedField": false,
    "IsMasked": false,
    "GrantKeyWhenReadable": "principal-process-steward|ReviewEvents"
   },
   {
    "FieldGrantId": "fg-process-steward-ReviewEvents.CadenceDriftDays",
    "Principal": "principal-process-steward",
    "TargetField": "ReviewEvents.CadenceDriftDays",
    "CanRead": true,
    "CanWrite": false,
    "MaskStrategy": "plain",
    "SemanticTypeIri": "urn:effortless:pko-extension#FieldGrant",
    "Name": "principal-process-steward -&gt; ReviewEvents.CadenceDriftDays",
    "FieldTable": "ReviewEvents",
    "FieldName": "CadenceDriftDays",
    "FieldIsDerived": true,
    "IsWritableDerivedField": false,
    "IsMasked": false,
    "GrantKeyWhenReadable": "principal-process-steward|ReviewEvents"
   },
   {
    "FieldGrantId": "fg-process-steward-ReviewEvents.PromiseAndBehaviorDisagree",
    "Principal": "principal-process-steward",
    "TargetField": "ReviewEvents.PromiseAndBehaviorDisagree",
    "CanRead": true,
    "CanWrite": false,
    "MaskStrategy": "plain",
    "SemanticTypeIri": "urn:effortless:pko-extension#FieldGrant",
    "Name": "principal-process-steward -&gt; ReviewEvents.PromiseAndBehaviorDisagree",
    "FieldTable": "ReviewEvents",
    "FieldName": "PromiseAndBehaviorDisagree",
    "FieldIsDerived": true,
    "IsWritableDerivedField": false,
    "IsMasked": false,
    "GrantKeyWhenReadable": "principal-process-steward|ReviewEvents"
   },
   {
    "FieldGrantId": "fg-process-steward-ReviewEvents.CadenceBreachVersionKey",
    "Principal": "principal-process-steward",
    "TargetField": "ReviewEvents.CadenceBreachVersionKey",
    "CanRead": true,
    "CanWrite": false,
    "MaskStrategy": "plain",
    "SemanticTypeIri": "urn:effortless:pko-extension#FieldGrant",
    "Name": "principal-process-steward -&gt; ReviewEvents.CadenceBreachVersionKey",
    "FieldTable": "ReviewEvents",
    "FieldName": "CadenceBreachVersionKey",
    "FieldIsDerived": true,
    "IsWritableDerivedField": false,
    "IsMasked": false,
    "GrantKeyWhenReadable": "principal-process-steward|ReviewEvents"
   },
   {
    "FieldGrantId": "fg-process-steward-ReviewEvents.SemanticTypeIri",
    "Principal": "principal-process-steward",
    "TargetField": "ReviewEvents.SemanticTypeIri",
    "CanRead": true,
    "CanWrite": false,
    "MaskStrategy": "plain",
    "SemanticTypeIri": "urn:effortless:pko-extension#FieldGrant",
    "Name": "principal-process-steward -&gt; ReviewEvents.SemanticTypeIri",
    "FieldTable": "ReviewEvents",
    "FieldName": "SemanticTypeIri",
    "FieldIsDerived": false,
    "IsWritableDerivedField": false,
    "IsMasked": false,
    "GrantKeyWhenReadable": "principal-process-steward|ReviewEvents"
   },
   {
    "FieldGrantId": "fg-process-steward-RoleAssignments.RoleAssignmentId",
    "Principal": "principal-process-steward",
    "TargetField": "RoleAssignments.RoleAssignmentId",
    "CanRead": true,
    "CanWrite": false,
    "MaskStrategy": "plain",
    "SemanticTypeIri": "urn:effortless:pko-extension#FieldGrant",
    "Name": "principal-process-steward -&gt; RoleAssignments.RoleAssignmentId",
    "FieldTable": "RoleAssignments",
    "FieldName": "RoleAssignmentId",
    "FieldIsDerived": false,
    "IsWritableDerivedField": false,
    "IsMasked": false,
    "GrantKeyWhenReadable": "principal-process-steward|RoleAssignments"
   },
   {
    "FieldGrantId": "fg-process-steward-RoleAssignments.Name",
    "Principal": "principal-process-steward",
    "TargetField": "RoleAssignments.Name",
    "CanRead": true,
    "CanWrite": false,
    "MaskStrategy": "plain",
    "SemanticTypeIri": "urn:effortless:pko-extension#FieldGrant",
    "Name": "principal-process-steward -&gt; RoleAssignments.Name",
    "FieldTable": "RoleAssignments",
    "FieldName": "Name",
    "FieldIsDerived": true,
    "IsWritableDerivedField": false,
    "IsMasked": false,
    "GrantKeyWhenReadable": "principal-process-steward|RoleAssignments"
   },
   {
    "FieldGrantId": "fg-process-steward-RoleAssignments.Role",
    "Principal": "principal-process-steward",
    "TargetField": "RoleAssignments.Role",
    "CanRead": true,
    "CanWrite": false,
    "MaskStrategy": "plain",
    "SemanticTypeIri": "urn:effortless:pko-extension#FieldGrant",
    "Name": "principal-process-steward -&gt; RoleAssignments.Role",
    "FieldTable": "RoleAssignments",
    "FieldName": "Role",
    "FieldIsDerived": false,
    "IsWritableDerivedField": false,
    "IsMasked": false,
    "GrantKeyWhenReadable": "principal-process-steward|RoleAssignments"
   },
   {
    "FieldGrantId": "fg-process-steward-RoleAssignments.Agent",
    "Principal": "principal-process-steward",
    "TargetField": "RoleAssignments.Agent",
    "CanRead": true,
    "CanWrite": false,
    "MaskStrategy": "plain",
    "SemanticTypeIri": "urn:effortless:pko-extension#FieldGrant",
    "Name": "principal-process-steward -&gt; RoleAssignments.Agent",
    "FieldTable": "RoleAssignments",
    "FieldName": "Agent",
    "FieldIsDerived": false,
    "IsWritableDerivedField": false,
    "IsMasked": false,
    "GrantKeyWhenReadable": "principal-process-steward|RoleAssignments"
   },
   {
    "FieldGrantId": "fg-process-steward-RoleAssignments.ValidFrom",
    "Principal": "principal-process-steward",
    "TargetField": "RoleAssignments.ValidFrom",
    "CanRead": true,
    "CanWrite": false,
    "MaskStrategy": "plain",
    "SemanticTypeIri": "urn:effortless:pko-extension#FieldGrant",
    "Name": "principal-process-steward -&gt; RoleAssignments.ValidFrom",
    "FieldTable": "RoleAssignments",
    "FieldName": "ValidFrom",
    "FieldIsDerived": false,
    "IsWritableDerivedField": false,
    "IsMasked": false,
    "GrantKeyWhenReadable": "principal-process-steward|RoleAssignments"
   },
   {
    "FieldGrantId": "fg-process-steward-RoleAssignments.ValidTo",
    "Principal": "principal-process-steward",
    "TargetField": "RoleAssignments.ValidTo",
    "CanRead": true,
    "CanWrite": false,
    "MaskStrategy": "plain",
    "SemanticTypeIri": "urn:effortless:pko-extension#FieldGrant",
    "Name": "principal-process-steward -&gt; RoleAssignments.ValidTo",
    "FieldTable": "RoleAssignments",
    "FieldName": "ValidTo",
    "FieldIsDerived": false,
    "IsWritableDerivedField": false,
    "IsMasked": false,
    "GrantKeyWhenReadable": "principal-process-steward|RoleAssignments"
   },
   {
    "FieldGrantId": "fg-process-steward-RoleAssignments.Reason",
    "Principal": "principal-process-steward",
    "TargetField": "RoleAssignments.Reason",
    "CanRead": true,
    "CanWrite": false,
    "MaskStrategy": "plain",
    "SemanticTypeIri": "urn:effortless:pko-extension#FieldGrant",
    "Name": "principal-process-steward -&gt; RoleAssignments.Reason",
    "FieldTable": "RoleAssignments",
    "FieldName": "Reason",
    "FieldIsDerived": false,
    "IsWritableDerivedField": false,
    "IsMasked": false,
    "GrantKeyWhenReadable": "principal-process-steward|RoleAssignments"
   },
   {
    "FieldGrantId": "fg-process-steward-RoleAssignments.Status",
    "Principal": "principal-process-steward",
    "TargetField": "RoleAssignments.Status",
    "CanRead": true,
    "CanWrite": false,
    "MaskStrategy": "plain",
    "SemanticTypeIri": "urn:effortless:pko-extension#FieldGrant",
    "Name": "principal-process-steward -&gt; RoleAssignments.Status",
    "FieldTable": "RoleAssignments",
    "FieldName": "Status",
    "FieldIsDerived": false,
    "IsWritableDerivedField": false,
    "IsMasked": false,
    "GrantKeyWhenReadable": "principal-process-steward|RoleAssignments"
   },
   {
    "FieldGrantId": "fg-process-steward-RoleAssignments.EvaluationContext",
    "Principal": "principal-process-steward",
    "TargetField": "RoleAssignments.EvaluationContext",
    "CanRead": true,
    "CanWrite": false,
    "MaskStrategy": "plain",
    "SemanticTypeIri": "urn:effortless:pko-extension#FieldGrant",
    "Name": "principal-process-steward -&gt; RoleAssignments.EvaluationContext",
    "FieldTable": "RoleAssignments",
    "FieldName": "EvaluationContext",
    "FieldIsDerived": false,
    "IsWritableDerivedField": false,
    "IsMasked": false,
    "GrantKeyWhenReadable": "principal-process-steward|RoleAssignments"
   },
   {
    "FieldGrantId": "fg-process-steward-RoleAssignments.AsOfInstant",
    "Principal": "principal-process-steward",
    "TargetField": "RoleAssignments.AsOfInstant",
    "CanRead": true,
    "CanWrite": false,
    "MaskStrategy": "plain",
    "SemanticTypeIri": "urn:effortless:pko-extension#FieldGrant",
    "Name": "principal-process-steward -&gt; RoleAssignments.AsOfInstant",
    "FieldTable": "RoleAssignments",
    "FieldName": "AsOfInstant",
    "FieldIsDerived": true,
    "IsWritableDerivedField": false,
    "IsMasked": false,
    "GrantKeyWhenReadable": "principal-process-steward|RoleAssignments"
   },
   {
    "FieldGrantId": "fg-process-steward-RoleAssignments.IsCurrent",
    "Principal": "principal-process-steward",
    "TargetField": "RoleAssignments.IsCurrent",
    "CanRead": true,
    "CanWrite": false,
    "MaskStrategy": "plain",
    "SemanticTypeIri": "urn:effortless:pko-extension#FieldGrant",
    "Name": "principal-process-steward -&gt; RoleAssignments.IsCurrent",
    "FieldTable": "RoleAssignments",
    "FieldName": "IsCurrent",
    "FieldIsDerived": true,
    "IsWritableDerivedField": false,
    "IsMasked": false,
    "GrantKeyWhenReadable": "principal-process-steward|RoleAssignments"
   },
   {
    "FieldGrantId": "fg-process-steward-RoleAssignments.CurrentAgentKey",
    "Principal": "principal-process-steward",
    "TargetField": "RoleAssignments.CurrentAgentKey",
    "CanRead": true,
    "CanWrite": false,
    "MaskStrategy": "plain",
    "SemanticTypeIri": "urn:effortless:pko-extension#FieldGrant",
    "Name": "principal-process-steward -&gt; RoleAssignments.CurrentAgentKey",
    "FieldTable": "RoleAssignments",
    "FieldName": "CurrentAgentKey",
    "FieldIsDerived": true,
    "IsWritableDerivedField": false,
    "IsMasked": false,
    "GrantKeyWhenReadable": "principal-process-steward|RoleAssignments"
   },
   {
    "FieldGrantId": "fg-process-steward-RoleAssignments.IsCurrentlyValid",
    "Principal": "principal-process-steward",
    "TargetField": "RoleAssignments.IsCurrentlyValid",
    "CanRead": true,
    "CanWrite": false,
    "MaskStrategy": "plain",
    "SemanticTypeIri": "urn:effortless:pko-extension#FieldGrant",
    "Name": "principal-process-steward -&gt; RoleAssignments.IsCurrentlyValid",
    "FieldTable": "RoleAssignments",
    "FieldName": "IsCurrentlyValid",
    "FieldIsDerived": true,
    "IsWritableDerivedField": false,
    "IsMasked": false,
    "GrantKeyWhenReadable": "principal-process-steward|RoleAssignments"
   },
   {
    "FieldGrantId": "fg-process-steward-RoleAssignments.AgentRoleKey",
    "Principal": "principal-process-steward",
    "TargetField": "RoleAssignments.AgentRoleKey",
    "CanRead": true,
    "CanWrite": false,
    "MaskStrategy": "plain",
    "SemanticTypeIri": "urn:effortless:pko-extension#FieldGrant",
    "Name": "principal-process-steward -&gt; RoleAssignments.AgentRoleKey",
    "FieldTable": "RoleAssignments",
    "FieldName": "AgentRoleKey",
    "FieldIsDerived": true,
    "IsWritableDerivedField": false,
    "IsMasked": false,
    "GrantKeyWhenReadable": "principal-process-steward|RoleAssignments"
   },
   {
    "FieldGrantId": "fg-process-steward-RoleAssignments.HasDeparted",
    "Principal": "principal-process-steward",
    "TargetField": "RoleAssignments.HasDeparted",
    "CanRead": true,
    "CanWrite": false,
    "MaskStrategy": "plain",
    "SemanticTypeIri": "urn:effortless:pko-extension#FieldGrant",
    "Name": "principal-process-steward -&gt; RoleAssignments.HasDeparted",
    "FieldTable": "RoleAssignments",
    "FieldName": "HasDeparted",
    "FieldIsDerived": true,
    "IsWritableDerivedField": false,
    "IsMasked": false,
    "GrantKeyWhenReadable": "principal-process-steward|RoleAssignments"
   },
   {
    "FieldGrantId": "fg-process-steward-RoleAssignments.CoversNow",
    "Principal": "principal-process-steward",
    "TargetField": "RoleAssignments.CoversNow",
    "CanRead": true,
    "CanWrite": false,
    "MaskStrategy": "plain",
    "SemanticTypeIri": "urn:effortless:pko-extension#FieldGrant",
    "Name": "principal-process-steward -&gt; RoleAssignments.CoversNow",
    "FieldTable": "RoleAssignments",
    "FieldName": "CoversNow",
    "FieldIsDerived": true,
    "IsWritableDerivedField": false,
    "IsMasked": false,
    "GrantKeyWhenReadable": "principal-process-steward|RoleAssignments"
   },
   {
    "FieldGrantId": "fg-process-steward-RoleAssignments.RoleWhenCovering",
    "Principal": "principal-process-steward",
    "TargetField": "RoleAssignments.RoleWhenCovering",
    "CanRead": true,
    "CanWrite": false,
    "MaskStrategy": "plain",
    "SemanticTypeIri": "urn:effortless:pko-extension#FieldGrant",
    "Name": "principal-process-steward -&gt; RoleAssignments.RoleWhenCovering",
    "FieldTable": "RoleAssignments",
    "FieldName": "RoleWhenCovering",
    "FieldIsDerived": true,
    "IsWritableDerivedField": false,
    "IsMasked": false,
    "GrantKeyWhenReadable": "principal-process-steward|RoleAssignments"
   },
   {
    "FieldGrantId": "fg-process-steward-RoleAssignments.AgentKind",
    "Principal": "principal-process-steward",
    "TargetField": "RoleAssignments.AgentKind",
    "CanRead": true,
    "CanWrite": false,
    "MaskStrategy": "plain",
    "SemanticTypeIri": "urn:effortless:pko-extension#FieldGrant",
    "Name": "principal-process-steward -&gt; RoleAssignments.AgentKind",
    "FieldTable": "RoleAssignments",
    "FieldName": "AgentKind",
    "FieldIsDerived": true,
    "IsWritableDerivedField": false,
    "IsMasked": false,
    "GrantKeyWhenReadable": "principal-process-steward|RoleAssignments"
   },
   {
    "FieldGrantId": "fg-process-steward-RoleAssignments.IsNonHumanAssignment",
    "Principal": "principal-process-steward",
    "TargetField": "RoleAssignments.IsNonHumanAssignment",
    "CanRead": true,
    "CanWrite": false,
    "MaskStrategy": "plain",
    "SemanticTypeIri": "urn:effortless:pko-extension#FieldGrant",
    "Name": "principal-process-steward -&gt; RoleAssignments.IsNonHumanAssignment",
    "FieldTable": "RoleAssignments",
    "FieldName": "IsNonHumanAssignment",
    "FieldIsDerived": true,
    "IsWritableDerivedField": false,
    "IsMasked": false,
    "GrantKeyWhenReadable": "principal-process-steward|RoleAssignments"
   },
   {
    "FieldGrantId": "fg-process-steward-RoleAssignments.SupersedesAssignment",
    "Principal": "principal-process-steward",
    "TargetField": "RoleAssignments.SupersedesAssignment",
    "CanRead": true,
    "CanWrite": false,
    "MaskStrategy": "plain",
    "SemanticTypeIri": "urn:effortless:pko-extension#FieldGrant",
    "Name": "principal-process-steward -&gt; RoleAssignments.SupersedesAssignment",
    "FieldTable": "RoleAssignments",
    "FieldName": "SupersedesAssignment",
    "FieldIsDerived": false,
    "IsWritableDerivedField": false,
    "IsMasked": false,
    "GrantKeyWhenReadable": "principal-process-steward|RoleAssignments"
   },
   {
    "FieldGrantId": "fg-process-steward-RoleAssignments.PredecessorAgentKind",
    "Principal": "principal-process-steward",
    "TargetField": "RoleAssignments.PredecessorAgentKind",
    "CanRead": true,
    "CanWrite": false,
    "MaskStrategy": "plain",
    "SemanticTypeIri": "urn:effortless:pko-extension#FieldGrant",
    "Name": "principal-process-steward -&gt; RoleAssignments.PredecessorAgentKind",
    "FieldTable": "RoleAssignments",
    "FieldName": "PredecessorAgentKind",
    "FieldIsDerived": true,
    "IsWritableDerivedField": false,
    "IsMasked": false,
    "GrantKeyWhenReadable": "principal-process-steward|RoleAssignments"
   },
   {
    "FieldGrantId": "fg-process-steward-RoleAssignments.IsHumanToNonHumanHandover",
    "Principal": "principal-process-steward",
    "TargetField": "RoleAssignments.IsHumanToNonHumanHandover",
    "CanRead": true,
    "CanWrite": false,
    "MaskStrategy": "plain",
    "SemanticTypeIri": "urn:effortless:pko-extension#FieldGrant",
    "Name": "principal-process-steward -&gt; RoleAssignments.IsHumanToNonHumanHandover",
    "FieldTable": "RoleAssignments",
    "FieldName": "IsHumanToNonHumanHandover",
    "FieldIsDerived": true,
    "IsWritableDerivedField": false,
    "IsMasked": false,
    "GrantKeyWhenReadable": "principal-process-steward|RoleAssignments"
   },
   {
    "FieldGrantId": "fg-process-steward-RoleAssignments.ApprovingAuthorityRole",
    "Principal": "principal-process-steward",
    "TargetField": "RoleAssignments.ApprovingAuthorityRole",
    "CanRead": true,
    "CanWrite": false,
    "MaskStrategy": "plain",
    "SemanticTypeIri": "urn:effortless:pko-extension#FieldGrant",
    "Name": "principal-process-steward -&gt; RoleAssignments.ApprovingAuthorityRole",
    "FieldTable": "RoleAssignments",
    "FieldName": "ApprovingAuthorityRole",
    "FieldIsDerived": false,
    "IsWritableDerivedField": false,
    "IsMasked": false,
    "GrantKeyWhenReadable": "principal-process-steward|RoleAssignments"
   },
   {
    "FieldGrantId": "fg-process-steward-RoleAssignments.AuthorizingChangeRequest",
    "Principal": "principal-process-steward",
    "TargetField": "RoleAssignments.AuthorizingChangeRequest",
    "CanRead": true,
    "CanWrite": false,
    "MaskStrategy": "plain",
    "SemanticTypeIri": "urn:effortless:pko-extension#FieldGrant",
    "Name": "principal-process-steward -&gt; RoleAssignments.AuthorizingChangeRequest",
    "FieldTable": "RoleAssignments",
    "FieldName": "AuthorizingChangeRequest",
    "FieldIsDerived": false,
    "IsWritableDerivedField": false,
    "IsMasked": false,
    "GrantKeyWhenReadable": "principal-process-steward|RoleAssignments"
   },
   {
    "FieldGrantId": "fg-process-steward-RoleAssignments.IsUnauthorizedNonHumanAssignment",
    "Principal": "principal-process-steward",
    "TargetField": "RoleAssignments.IsUnauthorizedNonHumanAssignment",
    "CanRead": true,
    "CanWrite": false,
    "MaskStrategy": "plain",
    "SemanticTypeIri": "urn:effortless:pko-extension#FieldGrant",
    "Name": "principal-process-steward -&gt; RoleAssignments.IsUnauthorizedNonHumanAssignment",
    "FieldTable": "RoleAssignments",
    "FieldName": "IsUnauthorizedNonHumanAssignment",
    "FieldIsDerived": true,
    "IsWritableDerivedField": false,
    "IsMasked": false,
    "GrantKeyWhenReadable": "principal-process-steward|RoleAssignments"
   },
   {
    "FieldGrantId": "fg-process-steward-RoleAssignments.WasAuthorizedByChangeRequest",
    "Principal": "principal-process-steward",
    "TargetField": "RoleAssignments.WasAuthorizedByChangeRequest",
    "CanRead": true,
    "CanWrite": false,
    "MaskStrategy": "plain",
    "SemanticTypeIri": "urn:effortless:pko-extension#FieldGrant",
    "Name": "principal-process-steward -&gt; RoleAssignments.WasAuthorizedByChangeRequest",
    "FieldTable": "RoleAssignments",
    "FieldName": "WasAuthorizedByChangeRequest",
    "FieldIsDerived": true,
    "IsWritableDerivedField": false,
    "IsMasked": false,
    "GrantKeyWhenReadable": "principal-process-steward|RoleAssignments"
   },
   {
    "FieldGrantId": "fg-process-steward-RoleAssignments.DecisionCount",
    "Principal": "principal-process-steward",
    "TargetField": "RoleAssignments.DecisionCount",
    "CanRead": true,
    "CanWrite": false,
    "MaskStrategy": "plain",
    "SemanticTypeIri": "urn:effortless:pko-extension#FieldGrant",
    "Name": "principal-process-steward -&gt; RoleAssignments.DecisionCount",
    "FieldTable": "RoleAssignments",
    "FieldName": "DecisionCount",
    "FieldIsDerived": true,
    "IsWritableDerivedField": false,
    "IsMasked": false,
    "GrantKeyWhenReadable": "principal-process-steward|RoleAssignments"
   },
   {
    "FieldGrantId": "fg-process-steward-RoleAssignments.OverriddenDecisionCount",
    "Principal": "principal-process-steward",
    "TargetField": "RoleAssignments.OverriddenDecisionCount",
    "CanRead": true,
    "CanWrite": false,
    "MaskStrategy": "plain",
    "SemanticTypeIri": "urn:effortless:pko-extension#FieldGrant",
    "Name": "principal-process-steward -&gt; RoleAssignments.OverriddenDecisionCount",
    "FieldTable": "RoleAssignments",
    "FieldName": "OverriddenDecisionCount",
    "FieldIsDerived": true,
    "IsWritableDerivedField": false,
    "IsMasked": false,
    "GrantKeyWhenReadable": "principal-process-steward|RoleAssignments"
   },
   {
    "FieldGrantId": "fg-process-steward-RoleAssignments.OverrideRatePercent",
    "Principal": "principal-process-steward",
    "TargetField": "RoleAssignments.OverrideRatePercent",
    "CanRead": true,
    "CanWrite": false,
    "MaskStrategy": "plain",
    "SemanticTypeIri": "urn:effortless:pko-extension#FieldGrant",
    "Name": "principal-process-steward -&gt; RoleAssignments.OverrideRatePercent",
    "FieldTable": "RoleAssignments",
    "FieldName": "OverrideRatePercent",
    "FieldIsDerived": true,
    "IsWritableDerivedField": false,
    "IsMasked": false,
    "GrantKeyWhenReadable": "principal-process-steward|RoleAssignments"
   },
   {
    "FieldGrantId": "fg-process-steward-RoleAssignments.PredecessorOverrideRatePercent",
    "Principal": "principal-process-steward",
    "TargetField": "RoleAssignments.PredecessorOverrideRatePercent",
    "CanRead": true,
    "CanWrite": false,
    "MaskStrategy": "plain",
    "SemanticTypeIri": "urn:effortless:pko-extension#FieldGrant",
    "Name": "principal-process-steward -&gt; RoleAssignments.PredecessorOverrideRatePercent",
    "FieldTable": "RoleAssignments",
    "FieldName": "PredecessorOverrideRatePercent",
    "FieldIsDerived": true,
    "IsWritableDerivedField": false,
    "IsMasked": false,
    "GrantKeyWhenReadable": "principal-process-steward|RoleAssignments"
   },
   {
    "FieldGrantId": "fg-process-steward-RoleAssignments.QualityRegressedVsPredecessor",
    "Principal": "principal-process-steward",
    "TargetField": "RoleAssignments.QualityRegressedVsPredecessor",
    "CanRead": true,
    "CanWrite": false,
    "MaskStrategy": "plain",
    "SemanticTypeIri": "urn:effortless:pko-extension#FieldGrant",
    "Name": "principal-process-steward -&gt; RoleAssignments.QualityRegressedVsPredecessor",
    "FieldTable": "RoleAssignments",
    "FieldName": "QualityRegressedVsPredecessor",
    "FieldIsDerived": true,
    "IsWritableDerivedField": false,
    "IsMasked": false,
    "GrantKeyWhenReadable": "principal-process-steward|RoleAssignments"
   },
   {
    "FieldGrantId": "fg-process-steward-RoleAssignments.DepartedRoleKey",
    "Principal": "principal-process-steward",
    "TargetField": "RoleAssignments.DepartedRoleKey",
    "CanRead": true,
    "CanWrite": false,
    "MaskStrategy": "plain",
    "SemanticTypeIri": "urn:effortless:pko-extension#FieldGrant",
    "Name": "principal-process-steward -&gt; RoleAssignments.DepartedRoleKey",
    "FieldTable": "RoleAssignments",
    "FieldName": "DepartedRoleKey",
    "FieldIsDerived": true,
    "IsWritableDerivedField": false,
    "IsMasked": false,
    "GrantKeyWhenReadable": "principal-process-steward|RoleAssignments"
   },
   {
    "FieldGrantId": "fg-process-steward-RoleAssignments.MinimumDecisionsForComparison",
    "Principal": "principal-process-steward",
    "TargetField": "RoleAssignments.MinimumDecisionsForComparison",
    "CanRead": true,
    "CanWrite": false,
    "MaskStrategy": "plain",
    "SemanticTypeIri": "urn:effortless:pko-extension#FieldGrant",
    "Name": "principal-process-steward -&gt; RoleAssignments.MinimumDecisionsForComparison",
    "FieldTable": "RoleAssignments",
    "FieldName": "MinimumDecisionsForComparison",
    "FieldIsDerived": false,
    "IsWritableDerivedField": false,
    "IsMasked": false,
    "GrantKeyWhenReadable": "principal-process-steward|RoleAssignments"
   },
   {
    "FieldGrantId": "fg-process-steward-RoleAssignments.PredecessorDecisionCount",
    "Principal": "principal-process-steward",
    "TargetField": "RoleAssignments.PredecessorDecisionCount",
    "CanRead": true,
    "CanWrite": false,
    "MaskStrategy": "plain",
    "SemanticTypeIri": "urn:effortless:pko-extension#FieldGrant",
    "Name": "principal-pro</t>
  </si>
  <si>
    <t xml:space="preserve">cess-steward -&gt; RoleAssignments.PredecessorDecisionCount",
    "FieldTable": "RoleAssignments",
    "FieldName": "PredecessorDecisionCount",
    "FieldIsDerived": true,
    "IsWritableDerivedField": false,
    "IsMasked": false,
    "GrantKeyWhenReadable": "principal-process-steward|RoleAssignments"
   },
   {
    "FieldGrantId": "fg-process-steward-RoleAssignments.HasSufficientSample",
    "Principal": "principal-process-steward",
    "TargetField": "RoleAssignments.HasSufficientSample",
    "CanRead": true,
    "CanWrite": false,
    "MaskStrategy": "plain",
    "SemanticTypeIri": "urn:effortless:pko-extension#FieldGrant",
    "Name": "principal-process-steward -&gt; RoleAssignments.HasSufficientSample",
    "FieldTable": "RoleAssignments",
    "FieldName": "HasSufficientSample",
    "FieldIsDerived": true,
    "IsWritableDerivedField": false,
    "IsMasked": false,
    "GrantKeyWhenReadable": "principal-process-steward|RoleAssignments"
   },
   {
    "FieldGrantId": "fg-process-steward-RoleAssignments.PredecessorHasSufficientSample",
    "Principal": "principal-process-steward",
    "TargetField": "RoleAssignments.PredecessorHasSufficientSample",
    "CanRead": true,
    "CanWrite": false,
    "MaskStrategy": "plain",
    "SemanticTypeIri": "urn:effortless:pko-extension#FieldGrant",
    "Name": "principal-process-steward -&gt; RoleAssignments.PredecessorHasSufficientSample",
    "FieldTable": "RoleAssignments",
    "FieldName": "PredecessorHasSufficientSample",
    "FieldIsDerived": true,
    "IsWritableDerivedField": false,
    "IsMasked": false,
    "GrantKeyWhenReadable": "principal-process-steward|RoleAssignments"
   },
   {
    "FieldGrantId": "fg-process-steward-RoleAssignments.ComparisonIsEvidentiallySound",
    "Principal": "principal-process-steward",
    "TargetField": "RoleAssignments.ComparisonIsEvidentiallySound",
    "CanRead": true,
    "CanWrite": false,
    "MaskStrategy": "plain",
    "SemanticTypeIri": "urn:effortless:pko-extension#FieldGrant",
    "Name": "principal-process-steward -&gt; RoleAssignments.ComparisonIsEvidentiallySound",
    "FieldTable": "RoleAssignments",
    "FieldName": "ComparisonIsEvidentiallySound",
    "FieldIsDerived": true,
    "IsWritableDerivedField": false,
    "IsMasked": false,
    "GrantKeyWhenReadable": "principal-process-steward|RoleAssignments"
   },
   {
    "FieldGrantId": "fg-process-steward-RoleAssignments.SingleOverrideSwingPercent",
    "Principal": "principal-process-steward",
    "TargetField": "RoleAssignments.SingleOverrideSwingPercent",
    "CanRead": true,
    "CanWrite": false,
    "MaskStrategy": "plain",
    "SemanticTypeIri": "urn:effortless:pko-extension#FieldGrant",
    "Name": "principal-process-steward -&gt; RoleAssignments.SingleOverrideSwingPercent",
    "FieldTable": "RoleAssignments",
    "FieldName": "SingleOverrideSwingPercent",
    "FieldIsDerived": true,
    "IsWritableDerivedField": false,
    "IsMasked": false,
    "GrantKeyWhenReadable": "principal-process-steward|RoleAssignments"
   },
   {
    "FieldGrantId": "fg-process-steward-RoleAssignments.QualityVerdictIsUnsupported",
    "Principal": "principal-process-steward",
    "TargetField": "RoleAssignments.QualityVerdictIsUnsupported",
    "CanRead": true,
    "CanWrite": false,
    "MaskStrategy": "plain",
    "SemanticTypeIri": "urn:effortless:pko-extension#FieldGrant",
    "Name": "principal-process-steward -&gt; RoleAssignments.QualityVerdictIsUnsupported",
    "FieldTable": "RoleAssignments",
    "FieldName": "QualityVerdictIsUnsupported",
    "FieldIsDerived": true,
    "IsWritableDerivedField": false,
    "IsMasked": false,
    "GrantKeyWhenReadable": "principal-process-steward|RoleAssignments"
   },
   {
    "FieldGrantId": "fg-process-steward-RoleAssignments.IsUnmeasuredAutomationHandover",
    "Principal": "principal-process-steward",
    "TargetField": "RoleAssignments.IsUnmeasuredAutomationHandover",
    "CanRead": true,
    "CanWrite": false,
    "MaskStrategy": "plain",
    "SemanticTypeIri": "urn:effortless:pko-extension#FieldGrant",
    "Name": "principal-process-steward -&gt; RoleAssignments.IsUnmeasuredAutomationHandover",
    "FieldTable": "RoleAssignments",
    "FieldName": "IsUnmeasuredAutomationHandover",
    "FieldIsDerived": true,
    "IsWritableDerivedField": false,
    "IsMasked": false,
    "GrantKeyWhenReadable": "principal-process-steward|RoleAssignments"
   },
   {
    "FieldGrantId": "fg-process-steward-RoleAssignments.ErrorCorrectionCount",
    "Principal": "principal-process-steward",
    "TargetField": "RoleAssignments.ErrorCorrectionCount",
    "CanRead": true,
    "CanWrite": false,
    "MaskStrategy": "plain",
    "SemanticTypeIri": "urn:effortless:pko-extension#FieldGrant",
    "Name": "principal-process-steward -&gt; RoleAssignments.ErrorCorrectionCount",
    "FieldTable": "RoleAssignments",
    "FieldName": "ErrorCorrectionCount",
    "FieldIsDerived": true,
    "IsWritableDerivedField": false,
    "IsMasked": false,
    "GrantKeyWhenReadable": "principal-process-steward|RoleAssignments"
   },
   {
    "FieldGrantId": "fg-process-steward-RoleAssignments.ErrorRatePercent",
    "Principal": "principal-process-steward",
    "TargetField": "RoleAssignments.ErrorRatePercent",
    "CanRead": true,
    "CanWrite": false,
    "MaskStrategy": "plain",
    "SemanticTypeIri": "urn:effortless:pko-extension#FieldGrant",
    "Name": "principal-process-steward -&gt; RoleAssignments.ErrorRatePercent",
    "FieldTable": "RoleAssignments",
    "FieldName": "ErrorRatePercent",
    "FieldIsDerived": true,
    "IsWritableDerivedField": false,
    "IsMasked": false,
    "GrantKeyWhenReadable": "principal-process-steward|RoleAssignments"
   },
   {
    "FieldGrantId": "fg-process-steward-RoleAssignments.AuthorizationDecidedAt",
    "Principal": "principal-process-steward",
    "TargetField": "RoleAssignments.AuthorizationDecidedAt",
    "CanRead": true,
    "CanWrite": false,
    "MaskStrategy": "plain",
    "SemanticTypeIri": "urn:effortless:pko-extension#FieldGrant",
    "Name": "principal-process-steward -&gt; RoleAssignments.AuthorizationDecidedAt",
    "FieldTable": "RoleAssignments",
    "FieldName": "AuthorizationDecidedAt",
    "FieldIsDerived": false,
    "IsWritableDerivedField": false,
    "IsMasked": false,
    "GrantKeyWhenReadable": "principal-process-steward|RoleAssignments"
   },
   {
    "FieldGrantId": "fg-process-steward-RoleAssignments.AuthorizationReviewedAt",
    "Principal": "principal-process-steward",
    "TargetField": "RoleAssignments.AuthorizationReviewedAt",
    "CanRead": true,
    "CanWrite": false,
    "MaskStrategy": "plain",
    "SemanticTypeIri": "urn:effortless:pko-extension#FieldGrant",
    "Name": "principal-process-steward -&gt; RoleAssignments.AuthorizationReviewedAt",
    "FieldTable": "RoleAssignments",
    "FieldName": "AuthorizationReviewedAt",
    "FieldIsDerived": false,
    "IsWritableDerivedField": false,
    "IsMasked": false,
    "GrantKeyWhenReadable": "principal-process-steward|RoleAssignments"
   },
   {
    "FieldGrantId": "fg-process-steward-RoleAssignments.AuthorizationReviewCadenceDays",
    "Principal": "principal-process-steward",
    "TargetField": "RoleAssignments.AuthorizationReviewCadenceDays",
    "CanRead": true,
    "CanWrite": false,
    "MaskStrategy": "plain",
    "SemanticTypeIri": "urn:effortless:pko-extension#FieldGrant",
    "Name": "principal-process-steward -&gt; RoleAssignments.AuthorizationReviewCadenceDays",
    "FieldTable": "RoleAssignments",
    "FieldName": "AuthorizationReviewCadenceDays",
    "FieldIsDerived": false,
    "IsWritableDerivedField": false,
    "IsMasked": false,
    "GrantKeyWhenReadable": "principal-process-steward|RoleAssignments"
   },
   {
    "FieldGrantId": "fg-process-steward-RoleAssignments.HasDatedAuthorization",
    "Principal": "principal-process-steward",
    "TargetField": "RoleAssignments.HasDatedAuthorization",
    "CanRead": true,
    "CanWrite": false,
    "MaskStrategy": "plain",
    "SemanticTypeIri": "urn:effortless:pko-extension#FieldGrant",
    "Name": "principal-process-steward -&gt; RoleAssignments.HasDatedAuthorization",
    "FieldTable": "RoleAssignments",
    "FieldName": "HasDatedAuthorization",
    "FieldIsDerived": true,
    "IsWritableDerivedField": false,
    "IsMasked": false,
    "GrantKeyWhenReadable": "principal-process-steward|RoleAssignments"
   },
   {
    "FieldGrantId": "fg-process-steward-RoleAssignments.DaysSinceAuthorizationReview",
    "Principal": "principal-process-steward",
    "TargetField": "RoleAssignments.DaysSinceAuthorizationReview",
    "CanRead": true,
    "CanWrite": false,
    "MaskStrategy": "plain",
    "SemanticTypeIri": "urn:effortless:pko-extension#FieldGrant",
    "Name": "principal-process-steward -&gt; RoleAssignments.DaysSinceAuthorizationReview",
    "FieldTable": "RoleAssignments",
    "FieldName": "DaysSinceAuthorizationReview",
    "FieldIsDerived": true,
    "IsWritableDerivedField": false,
    "IsMasked": false,
    "GrantKeyWhenReadable": "principal-process-steward|RoleAssignments"
   },
   {
    "FieldGrantId": "fg-process-steward-RoleAssignments.AuthorizationIsOverdueForReview",
    "Principal": "principal-process-steward",
    "TargetField": "RoleAssignments.AuthorizationIsOverdueForReview",
    "CanRead": true,
    "CanWrite": false,
    "MaskStrategy": "plain",
    "SemanticTypeIri": "urn:effortless:pko-extension#FieldGrant",
    "Name": "principal-process-steward -&gt; RoleAssignments.AuthorizationIsOverdueForReview",
    "FieldTable": "RoleAssignments",
    "FieldName": "AuthorizationIsOverdueForReview",
    "FieldIsDerived": true,
    "IsWritableDerivedField": false,
    "IsMasked": false,
    "GrantKeyWhenReadable": "principal-process-steward|RoleAssignments"
   },
   {
    "FieldGrantId": "fg-process-steward-RoleAssignments.IsStandingUnreviewedAutomation",
    "Principal": "principal-process-steward",
    "TargetField": "RoleAssignments.IsStandingUnreviewedAutomation",
    "CanRead": true,
    "CanWrite": false,
    "MaskStrategy": "plain",
    "SemanticTypeIri": "urn:effortless:pko-extension#FieldGrant",
    "Name": "principal-process-steward -&gt; RoleAssignments.IsStandingUnreviewedAutomation",
    "FieldTable": "RoleAssignments",
    "FieldName": "IsStandingUnreviewedAutomation",
    "FieldIsDerived": true,
    "IsWritableDerivedField": false,
    "IsMasked": false,
    "GrantKeyWhenReadable": "principal-process-steward|RoleAssignments"
   },
   {
    "FieldGrantId": "fg-process-steward-RoleAssignments.IsUnconditionedAutomationHandover",
    "Principal": "principal-process-steward",
    "TargetField": "RoleAssignments.IsUnconditionedAutomationHandover",
    "CanRead": true,
    "CanWrite": false,
    "MaskStrategy": "plain",
    "SemanticTypeIri": "urn:effortless:pko-extension#FieldGrant",
    "Name": "principal-process-steward -&gt; RoleAssignments.IsUnconditionedAutomationHandover",
    "FieldTable": "RoleAssignments",
    "FieldName": "IsUnconditionedAutomationHandover",
    "FieldIsDerived": true,
    "IsWritableDerivedField": false,
    "IsMasked": false,
    "GrantKeyWhenReadable": "principal-process-steward|RoleAssignments"
   },
   {
    "FieldGrantId": "fg-process-steward-RoleAssignments.MaxTolerableErrorRatePercent",
    "Principal": "principal-process-steward",
    "TargetField": "RoleAssignments.MaxTolerableErrorRatePercent",
    "CanRead": true,
    "CanWrite": false,
    "MaskStrategy": "plain",
    "SemanticTypeIri": "urn:effortless:pko-extension#FieldGrant",
    "Name": "principal-process-steward -&gt; RoleAssignments.MaxTolerableErrorRatePercent",
    "FieldTable": "RoleAssignments",
    "FieldName": "MaxTolerableErrorRatePercent",
    "FieldIsDerived": false,
    "IsWritableDerivedField": false,
    "IsMasked": false,
    "GrantKeyWhenReadable": "principal-process-steward|RoleAssignments"
   },
   {
    "FieldGrantId": "fg-process-steward-RoleAssignments.ExceedsTolerableErrorRate",
    "Principal": "principal-process-steward",
    "TargetField": "RoleAssignments.ExceedsTolerableErrorRate",
    "CanRead": true,
    "CanWrite": false,
    "MaskStrategy": "plain",
    "SemanticTypeIri": "urn:effortless:pko-extension#FieldGrant",
    "Name": "principal-process-steward -&gt; RoleAssignments.ExceedsTolerableErrorRate",
    "FieldTable": "RoleAssignments",
    "FieldName": "ExceedsTolerableErrorRate",
    "FieldIsDerived": true,
    "IsWritableDerivedField": false,
    "IsMasked": false,
    "GrantKeyWhenReadable": "principal-process-steward|RoleAssignments"
   },
   {
    "FieldGrantId": "fg-process-steward-RoleAssignments.BoundaryViolationCountForAssignment",
    "Principal": "principal-process-steward",
    "TargetField": "RoleAssignments.BoundaryViolationCountForAssignment",
    "CanRead": true,
    "CanWrite": false,
    "MaskStrategy": "plain",
    "SemanticTypeIri": "urn:effortless:pko-extension#FieldGrant",
    "Name": "principal-process-steward -&gt; RoleAssignments.BoundaryViolationCountForAssignment",
    "FieldTable": "RoleAssignments",
    "FieldName": "BoundaryViolationCountForAssignment",
    "FieldIsDerived": true,
    "IsWritableDerivedField": false,
    "IsMasked": false,
    "GrantKeyWhenReadable": "principal-process-steward|RoleAssignments"
   },
   {
    "FieldGrantId": "fg-process-steward-RoleAssignments.HasAnyBoundaryViolation",
    "Principal": "principal-process-steward",
    "TargetField": "RoleAssignments.HasAnyBoundaryViolation",
    "CanRead": true,
    "CanWrite": false,
    "MaskStrategy": "plain",
    "SemanticTypeIri": "urn:effortless:pko-extension#FieldGrant",
    "Name": "principal-process-steward -&gt; RoleAssignments.HasAnyBoundaryViolation",
    "FieldTable": "RoleAssignments",
    "FieldName": "HasAnyBoundaryViolation",
    "FieldIsDerived": true,
    "IsWritableDerivedField": false,
    "IsMasked": false,
    "GrantKeyWhenReadable": "principal-process-steward|RoleAssignments"
   },
   {
    "FieldGrantId": "fg-process-steward-RoleAssignments.HasUngroundedGoverningBoundary",
    "Principal": "principal-process-steward",
    "TargetField": "RoleAssignments.HasUngroundedGoverningBoundary",
    "CanRead": true,
    "CanWrite": false,
    "MaskStrategy": "plain",
    "SemanticTypeIri": "urn:effortless:pko-extension#FieldGrant",
    "Name": "principal-process-steward -&gt; RoleAssignments.HasUngroundedGoverningBoundary",
    "FieldTable": "RoleAssignments",
    "FieldName": "HasUngroundedGoverningBoundary",
    "FieldIsDerived": true,
    "IsWritableDerivedField": false,
    "IsMasked": false,
    "GrantKeyWhenReadable": "principal-process-steward|RoleAssignments"
   },
   {
    "FieldGrantId": "fg-process-steward-RoleAssignments.SuspensionConditionMet",
    "Principal": "principal-process-steward",
    "TargetField": "RoleAssignments.SuspensionConditionMet",
    "CanRead": true,
    "CanWrite": false,
    "MaskStrategy": "plain",
    "SemanticTypeIri": "urn:effortless:pko-extension#FieldGrant",
    "Name": "principal-process-steward -&gt; RoleAssignments.SuspensionConditionMet",
    "FieldTable": "RoleAssignments",
    "FieldName": "SuspensionConditionMet",
    "FieldIsDerived": true,
    "IsWritableDerivedField": false,
    "IsMasked": false,
    "GrantKeyWhenReadable": "principal-process-steward|RoleAssignments"
   },
   {
    "FieldGrantId": "fg-process-steward-RoleAssignments.IsOperatingUnderMetSuspensionCondition",
    "Principal": "principal-process-steward",
    "TargetField": "RoleAssignments.IsOperatingUnderMetSuspensionCondition",
    "CanRead": true,
    "CanWrite": false,
    "MaskStrategy": "plain",
    "SemanticTypeIri": "urn:effortless:pko-extension#FieldGrant",
    "Name": "principal-process-steward -&gt; RoleAssignments.IsOperatingUnderMetSuspensionCondition",
    "FieldTable": "RoleAssignments",
    "FieldName": "IsOperatingUnderMetSuspensionCondition",
    "FieldIsDerived": true,
    "IsWritableDerivedField": false,
    "IsMasked": false,
    "GrantKeyWhenReadable": "principal-process-steward|RoleAssignments"
   },
   {
    "FieldGrantId": "fg-process-steward-RoleAssignments.HasDeclaredSuspensionCondition",
    "Principal": "principal-process-steward",
    "TargetField": "RoleAssignments.HasDeclaredSuspensionCondition",
    "CanRead": true,
    "CanWrite": false,
    "MaskStrategy": "plain",
    "SemanticTypeIri": "urn:effortless:pko-extension#FieldGrant",
    "Name": "principal-process-steward -&gt; RoleAssignments.HasDeclaredSuspensionCondition",
    "FieldTable": "RoleAssignments",
    "FieldName": "HasDeclaredSuspensionCondition",
    "FieldIsDerived": true,
    "IsWritableDerivedField": false,
    "IsMasked": false,
    "GrantKeyWhenReadable": "principal-process-steward|RoleAssignments"
   },
   {
    "FieldGrantId": "fg-process-steward-RoleAssignments.HasApprovingAuthority",
    "Principal": "principal-process-steward",
    "TargetField": "RoleAssignments.HasApprovingAuthority",
    "CanRead": true,
    "CanWrite": false,
    "MaskStrategy": "plain",
    "SemanticTypeIri": "urn:effortless:pko-extension#FieldGrant",
    "Name": "principal-process-steward -&gt; RoleAssignments.HasApprovingAuthority",
    "FieldTable": "RoleAssignments",
    "FieldName": "HasApprovingAuthority",
    "FieldIsDerived": true,
    "IsWritableDerivedField": false,
    "IsMasked": false,
    "GrantKeyWhenReadable": "principal-process-steward|RoleAssignments"
   },
   {
    "FieldGrantId": "fg-process-steward-RoleAssignments.HasAuthorizingChangeRequest",
    "Principal": "principal-process-steward",
    "TargetField": "RoleAssignments.HasAuthorizingChangeRequest",
    "CanRead": true,
    "CanWrite": false,
    "MaskStrategy": "plain",
    "SemanticTypeIri": "urn:effortless:pko-extension#FieldGrant",
    "Name": "principal-process-steward -&gt; RoleAssignments.HasAuthorizingChangeRequest",
    "FieldTable": "RoleAssignments",
    "FieldName": "HasAuthorizingChangeRequest",
    "FieldIsDerived": true,
    "IsWritableDerivedField": false,
    "IsMasked": false,
    "GrantKeyWhenReadable": "principal-process-steward|RoleAssignments"
   },
   {
    "FieldGrantId": "fg-process-steward-RoleAssignments.IsEnforcementRole",
    "Principal": "principal-process-steward",
    "TargetField": "RoleAssignments.IsEnforcementRole",
    "CanRead": true,
    "CanWrite": false,
    "MaskStrategy": "plain",
    "SemanticTypeIri": "urn:effortless:pko-extension#FieldGrant",
    "Name": "principal-process-steward -&gt; RoleAssignments.IsEnforcementRole",
    "FieldTable": "RoleAssignments",
    "FieldName": "IsEnforcementRole",
    "FieldIsDerived": false,
    "IsWritableDerivedField": false,
    "IsMasked": false,
    "GrantKeyWhenReadable": "principal-process-steward|RoleAssignments"
   },
   {
    "FieldGrantId": "fg-process-steward-RoleAssignments.IsUnauthorizedEnforcementAgent",
    "Principal": "principal-process-steward",
    "TargetField": "RoleAssignments.IsUnauthorizedEnforcementAgent",
    "CanRead": true,
    "CanWrite": false,
    "MaskStrategy": "plain",
    "SemanticTypeIri": "urn:effortless:pko-extension#FieldGrant",
    "Name": "principal-process-steward -&gt; RoleAssignments.IsUnauthorizedEnforcementAgent",
    "FieldTable": "RoleAssignments",
    "FieldName": "IsUnauthorizedEnforcementAgent",
    "FieldIsDerived": true,
    "IsWritableDerivedField": false,
    "IsMasked": false,
    "GrantKeyWhenReadable": "principal-process-steward|RoleAssignments"
   },
   {
    "FieldGrantId": "fg-process-steward-RoleAssignments.GovernanceEvidenceCount",
    "Principal": "principal-process-steward",
    "TargetField": "RoleAssignments.GovernanceEvidenceCount",
    "CanRead": true,
    "CanWrite": false,
    "MaskStrategy": "plain",
    "SemanticTypeIri": "urn:effortless:pko-extension#FieldGrant",
    "Name": "principal-process-steward -&gt; RoleAssignments.GovernanceEvidenceCount",
    "FieldTable": "RoleAssignments",
    "FieldName": "GovernanceEvidenceCount",
    "FieldIsDerived": true,
    "IsWritableDerivedField": false,
    "IsMasked": false,
    "GrantKeyWhenReadable": "principal-process-steward|RoleAssignments"
   },
   {
    "FieldGrantId": "fg-process-steward-RoleAssignments.UnauthorizedEnforcementRoleKey",
    "Principal": "principal-process-steward",
    "TargetField": "RoleAssignments.UnauthorizedEnforcementRoleKey",
    "CanRead": true,
    "CanWrite": false,
    "MaskStrategy": "plain",
    "SemanticTypeIri": "urn:effortless:pko-extension#FieldGrant",
    "Name": "principal-process-steward -&gt; RoleAssignments.UnauthorizedEnforcementRoleKey",
    "FieldTable": "RoleAssignments",
    "FieldName": "UnauthorizedEnforcementRoleKey",
    "FieldIsDerived": true,
    "IsWritableDerivedField": false,
    "IsMasked": false,
    "GrantKeyWhenReadable": "principal-process-steward|RoleAssignments"
   },
   {
    "FieldGrantId": "fg-process-steward-RoleAssignments.SemanticTypeIri",
    "Principal": "principal-process-steward",
    "TargetField": "RoleAssignments.SemanticTypeIri",
    "CanRead": true,
    "CanWrite": false,
    "MaskStrategy": "plain",
    "SemanticTypeIri": "urn:effortless:pko-extension#FieldGrant",
    "Name": "principal-process-steward -&gt; RoleAssignments.SemanticTypeIri",
    "FieldTable": "RoleAssignments",
    "FieldName": "SemanticTypeIri",
    "FieldIsDerived": false,
    "IsWritableDerivedField": false,
    "IsMasked": false,
    "GrantKeyWhenReadable": "principal-process-steward|RoleAssignments"
   },
   {
    "FieldGrantId": "fg-process-steward-RoleQuestions.RoleQuestionId",
    "Principal": "principal-process-steward",
    "TargetField": "RoleQuestions.RoleQuestionId",
    "CanRead": true,
    "CanWrite": false,
    "MaskStrategy": "plain",
    "SemanticTypeIri": "urn:effortless:pko-extension#FieldGrant",
    "Name": "principal-process-steward -&gt; RoleQuestions.RoleQuestionId",
    "FieldTable": "RoleQuestions",
    "FieldName": "RoleQuestionId",
    "FieldIsDerived": false,
    "IsWritableDerivedField": false,
    "IsMasked": false,
    "GrantKeyWhenReadable": "principal-process-steward|RoleQuestions"
   },
   {
    "FieldGrantId": "fg-process-steward-RoleQuestions.Name",
    "Principal": "principal-process-steward",
    "TargetField": "RoleQuestions.Name",
    "CanRead": true,
    "CanWrite": false,
    "MaskStrategy": "plain",
    "SemanticTypeIri": "urn:effortless:pko-extension#FieldGrant",
    "Name": "principal-process-steward -&gt; RoleQuestions.Name",
    "FieldTable": "RoleQuestions",
    "FieldName": "Name",
    "FieldIsDerived": true,
    "IsWritableDerivedField": false,
    "IsMasked": false,
    "GrantKeyWhenReadable": "principal-process-steward|RoleQuestions"
   },
   {
    "FieldGrantId": "fg-process-steward-RoleQuestions.AskingRole",
    "Principal": "principal-process-steward",
    "TargetField": "RoleQuestions.AskingRole",
    "CanRead": true,
    "CanWrite": false,
    "MaskStrategy": "plain",
    "SemanticTypeIri": "urn:effortless:pko-extension#FieldGrant",
    "Name": "principal-process-steward -&gt; RoleQuestions.AskingRole",
    "FieldTable": "RoleQuestions",
    "FieldName": "AskingRole",
    "FieldIsDerived": false,
    "IsWritableDerivedField": false,
    "IsMasked": false,
    "GrantKeyWhenReadable": "principal-process-steward|RoleQuestions"
   },
   {
    "FieldGrantId": "fg-process-steward-RoleQuestions.WitnessLoop",
    "Principal": "principal-process-steward",
    "TargetField": "RoleQuestions.WitnessLoop",
    "CanRead": true,
    "CanWrite": false,
    "MaskStrategy": "plain",
    "SemanticTypeIri": "urn:effortless:pko-extension#FieldGrant",
    "Name": "principal-process-steward -&gt; RoleQuestions.WitnessLoop",
    "FieldTable": "RoleQuestions",
    "FieldName": "WitnessLoop",
    "FieldIsDerived": false,
    "IsWritableDerivedField": false,
    "IsMasked": false,
    "GrantKeyWhenReadable": "principal-process-steward|RoleQuestions"
   },
   {
    "FieldGrantId": "fg-process-steward-RoleQuestions.QuestionText",
    "Principal": "principal-process-steward",
    "TargetField": "RoleQuestions.QuestionText",
    "CanRead": true,
    "CanWrite": false,
    "MaskStrategy": "plain",
    "SemanticTypeIri": "urn:effortless:pko-extension#FieldGrant",
    "Name": "principal-process-steward -&gt; RoleQuestions.QuestionText",
    "FieldTable": "RoleQuestions",
    "FieldName": "QuestionText",
    "FieldIsDerived": false,
    "IsWritableDerivedField": false,
    "IsMasked": false,
    "GrantKeyWhenReadable": "principal-process-steward|RoleQuestions"
   },
   {
    "FieldGrantId": "fg-process-steward-RoleQuestions.WhyItMatters",
    "Principal": "principal-process-steward",
    "TargetField": "RoleQuestions.WhyItMatters",
    "CanRead": true,
    "CanWrite": false,
    "MaskStrategy": "plain",
    "SemanticTypeIri": "urn:effortless:pko-extension#FieldGrant",
    "Name": "principal-process-steward -&gt; RoleQuestions.WhyItMatters",
    "FieldTable": "RoleQuestions",
    "FieldName": "WhyItMatters",
    "FieldIsDerived": false,
    "IsWritableDerivedField": false,
    "IsMasked": false,
    "GrantKeyWhenReadable": "principal-process-steward|RoleQuestions"
   },
   {
    "FieldGrantId": "fg-process-steward-RoleQuestions.AnswerableBefore",
    "Principal": "principal-process-steward",
    "TargetField": "RoleQuestions.AnswerableBefore",
    "CanRead": true,
    "CanWrite": false,
    "MaskStrategy": "plain",
    "SemanticTypeIri": "urn:effortless:pko-extension#FieldGrant",
    "Name": "principal-process-steward -&gt; RoleQuestions.AnswerableBefore",
    "FieldTable": "RoleQuestions",
    "FieldName": "AnswerableBefore",
    "FieldIsDerived": false,
    "IsWritableDerivedField": false,
    "IsMasked": false,
    "GrantKeyWhenReadable": "principal-process-steward|RoleQuestions"
   },
   {
    "FieldGrantId": "fg-process-steward-RoleQuestions.PredicateCount",
    "Principal": "principal-process-steward",
    "TargetField": "RoleQuestions.PredicateCount",
    "CanRead": true,
    "CanWrite": false,
    "MaskStrategy": "plain",
    "SemanticTypeIri": "urn:effortless:pko-extension#FieldGrant",
    "Name": "principal-process-steward -&gt; RoleQuestions.PredicateCount",
    "FieldTable": "RoleQuestions",
    "FieldName": "PredicateCount",
    "FieldIsDerived": true,
    "IsWritableDerivedField": false,
    "IsMasked": false,
    "GrantKeyWhenReadable": "principal-process-steward|RoleQuestions"
   },
   {
    "FieldGrantId": "fg-process-steward-RoleQuestions.IsAnswered",
    "Principal": "principal-process-steward",
    "TargetField": "RoleQuestions.IsAnswered",
    "CanRead": true,
    "CanWrite": false,
    "MaskStrategy": "plain",
    "SemanticTypeIri": "urn:effortless:pko-extension#FieldGrant",
    "Name": "principal-process-steward -&gt; RoleQuestions.IsAnswered",
    "FieldTable": "RoleQuestions",
    "FieldName": "IsAnswered",
    "FieldIsDerived": true,
    "IsWritableDerivedField": false,
    "IsMasked": false,
    "GrantKeyWhenReadable": "principal-process-steward|RoleQuestions"
   },
   {
    "FieldGrantId": "fg-process-steward-RoleQuestions.WitnessedAnswer",
    "Principal": "principal-process-steward",
    "TargetField": "RoleQuestions.WitnessedAnswer",
    "CanRead": true,
    "CanWrite": false,
    "MaskStrategy": "plain",
    "SemanticTypeIri": "urn:effortless:pko-extension#FieldGrant",
    "Name": "principal-process-steward -&gt; RoleQuestions.WitnessedAnswer",
    "FieldTable": "RoleQuestions",
    "FieldName": "WitnessedAnswer",
    "FieldIsDerived": false,
    "IsWritableDerivedField": false,
    "IsMasked": false,
    "GrantKeyWhenReadable": "principal-process-steward|RoleQuestions"
   },
   {
    "FieldGrantId": "fg-process-steward-RoleQuestions.SemanticTypeIri",
    "Principal": "principal-process-steward",
    "TargetField": "RoleQuestions.SemanticTypeIri",
    "CanRead": true,
    "CanWrite": false,
    "MaskStrategy": "plain",
    "SemanticTypeIri": "urn:effortless:pko-extension#FieldGrant",
    "Name": "principal-process-steward -&gt; RoleQuestions.SemanticTypeIri",
    "FieldTable": "RoleQuestions",
    "FieldName": "SemanticTypeIri",
    "FieldIsDerived": false,
    "IsWritableDerivedField": false,
    "IsMasked": false,
    "GrantKeyWhenReadable": "principal-process-steward|RoleQuestions"
   },
   {
    "FieldGrantId": "fg-process-steward-Roles.RoleId",
    "Principal": "principal-process-steward",
    "TargetField": "Roles.RoleId",
    "CanRead": true,
    "CanWrite": false,
    "MaskStrategy": "plain",
    "SemanticTypeIri": "urn:effortless:pko-extension#FieldGrant",
    "Name": "principal-process-steward -&gt; Roles.RoleId",
    "FieldTable": "Roles",
    "FieldName": "RoleId",
    "FieldIsDerived": false,
    "IsWritableDerivedField": false,
    "IsMasked": false,
    "GrantKeyWhenReadable": "principal-process-steward|Roles"
   },
   {
    "FieldGrantId": "fg-process-steward-Roles.Name",
    "Principal": "principal-process-steward",
    "TargetField": "Roles.Name",
    "CanRead": true,
    "CanWrite": false,
    "MaskStrategy": "plain",
    "SemanticTypeIri": "urn:effortless:pko-extension#FieldGrant",
    "Name": "principal-process-steward -&gt; Roles.Name",
    "FieldTable": "Roles",
    "FieldName": "Name",
    "FieldIsDerived": true,
    "IsWritableDerivedField": false,
    "IsMasked": false,
    "GrantKeyWhenReadable": "principal-process-steward|Roles"
   },
   {
    "FieldGrantId": "fg-process-steward-Roles.Label",
    "Principal": "principal-process-steward",
    "TargetField": "Roles.Label",
    "CanRead": true,
    "CanWrite": false,
    "MaskStrategy": "plain",
    "SemanticTypeIri": "urn:effortless:pko-extension#FieldGrant",
    "Name": "principal-process-steward -&gt; Roles.Label",
    "FieldTable": "Roles",
    "FieldName": "Label",
    "FieldIsDerived": false,
    "IsWritableDerivedField": false,
    "IsMasked": false,
    "GrantKeyWhenReadable": "principal-process-steward|Roles"
   },
   {
    "FieldGrantId": "fg-process-steward-Roles.Organization",
    "Principal": "principal-process-steward",
    "TargetField": "Roles.Organization",
    "CanRead": true,
    "CanWrite": false,
    "MaskStrategy": "plain",
    "SemanticTypeIri": "urn:effortless:pko-extension#FieldGrant",
    "Name": "principal-process-steward -&gt; Roles.Organization",
    "FieldTable": "Roles",
    "FieldName": "Organization",
    "FieldIsDerived": false,
    "IsWritableDerivedField": false,
    "IsMasked": false,
    "GrantKeyWhenReadable": "principal-process-steward|Roles"
   },
   {
    "FieldGrantId": "fg-process-steward-Roles.CurrentAgent",
    "Principal": "principal-process-steward",
    "TargetField": "Roles.CurrentAgent",
    "CanRead": true,
    "CanWrite": false,
    "MaskStrategy": "plain",
    "SemanticTypeIri": "urn:effortless:pko-extension#FieldGrant",
    "Name": "principal-process-steward -&gt; Roles.CurrentAgent",
    "FieldTable": "Roles",
    "FieldName": "CurrentAgent",
    "FieldIsDerived": false,
    "IsWritableDerivedField": false,
    "IsMasked": false,
    "GrantKeyWhenReadable": "principal-process-steward|Roles"
   },
   {
    "FieldGrantId": "fg-process-steward-Roles.CurrentAgentKind",
    "Principal": "principal-process-steward",
    "TargetField": "Roles.CurrentAgentKind",
    "CanRead": true,
    "CanWrite": false,
    "MaskStrategy": "plain",
    "SemanticTypeIri": "urn:effortless:pko-extension#FieldGrant",
    "Name": "principal-process-steward -&gt; Roles.CurrentAgentKind",
    "FieldTable": "Roles",
    "FieldName": "CurrentAgentKind",
    "FieldIsDerived": true,
    "IsWritableDerivedField": false,
    "IsMasked": false,
    "GrantKeyWhenReadable": "principal-process-steward|Roles"
   },
   {
    "FieldGrantId": "fg-process-steward-Roles.Responsibility",
    "Principal": "principal-process-steward",
    "TargetField": "Roles.Responsibility",
    "CanRead": true,
    "CanWrite": false,
    "MaskStrategy": "plain",
    "SemanticTypeIri": "urn:effortless:pko-extension#FieldGrant",
    "Name": "principal-process-steward -&gt; Roles.Responsibility",
    "FieldTable": "Roles",
    "FieldName": "Responsibility",
    "FieldIsDerived": false,
    "IsWritableDerivedField": false,
    "IsMasked": false,
    "GrantKeyWhenReadable": "principal-process-steward|Roles"
   },
   {
    "FieldGrantId": "fg-process-steward-Roles.ActiveAssignmentCount",
    "Principal": "principal-process-steward",
    "TargetField": "Roles.ActiveAssignmentCount",
    "CanRead": true,
    "CanWrite": false,
    "MaskStrategy": "plain",
    "SemanticTypeIri": "urn:effortless:pko-extension#FieldGrant",
    "Name": "principal-process-steward -&gt; Roles.ActiveAssignmentCount",
    "FieldTable": "Roles",
    "FieldName": "ActiveAssignmentCount",
    "FieldIsDerived": true,
    "IsWritableDerivedField": false,
    "IsMasked": false,
    "GrantKeyWhenReadable": "principal-process-steward|Roles"
   },
   {
    "FieldGrantId": "fg-process-steward-Roles.CurrentlyCoveredAssignmentCount",
    "Principal": "principal-process-steward",
    "TargetField": "Roles.CurrentlyCovered</t>
  </si>
  <si>
    <t xml:space="preserve">AssignmentCount",
    "CanRead": true,
    "CanWrite": false,
    "MaskStrategy": "plain",
    "SemanticTypeIri": "urn:effortless:pko-extension#FieldGrant",
    "Name": "principal-process-steward -&gt; Roles.CurrentlyCoveredAssignmentCount",
    "FieldTable": "Roles",
    "FieldName": "CurrentlyCoveredAssignmentCount",
    "FieldIsDerived": true,
    "IsWritableDerivedField": false,
    "IsMasked": false,
    "GrantKeyWhenReadable": "principal-process-steward|Roles"
   },
   {
    "FieldGrantId": "fg-process-steward-Roles.HasNoCurrentHolder",
    "Principal": "principal-process-steward",
    "TargetField": "Roles.HasNoCurrentHolder",
    "CanRead": true,
    "CanWrite": false,
    "MaskStrategy": "plain",
    "SemanticTypeIri": "urn:effortless:pko-extension#FieldGrant",
    "Name": "principal-process-steward -&gt; Roles.HasNoCurrentHolder",
    "FieldTable": "Roles",
    "FieldName": "HasNoCurrentHolder",
    "FieldIsDerived": true,
    "IsWritableDerivedField": false,
    "IsMasked": false,
    "GrantKeyWhenReadable": "principal-process-steward|Roles"
   },
   {
    "FieldGrantId": "fg-process-steward-Roles.CountOfAwaitedDecisions",
    "Principal": "principal-process-steward",
    "TargetField": "Roles.CountOfAwaitedDecisions",
    "CanRead": true,
    "CanWrite": false,
    "MaskStrategy": "plain",
    "SemanticTypeIri": "urn:effortless:pko-extension#FieldGrant",
    "Name": "principal-process-steward -&gt; Roles.CountOfAwaitedDecisions",
    "FieldTable": "Roles",
    "FieldName": "CountOfAwaitedDecisions",
    "FieldIsDerived": true,
    "IsWritableDerivedField": false,
    "IsMasked": false,
    "GrantKeyWhenReadable": "principal-process-steward|Roles"
   },
   {
    "FieldGrantId": "fg-process-steward-Roles.CurrentAssignment",
    "Principal": "principal-process-steward",
    "TargetField": "Roles.CurrentAssignment",
    "CanRead": true,
    "CanWrite": false,
    "MaskStrategy": "plain",
    "SemanticTypeIri": "urn:effortless:pko-extension#FieldGrant",
    "Name": "principal-process-steward -&gt; Roles.CurrentAssignment",
    "FieldTable": "Roles",
    "FieldName": "CurrentAssignment",
    "FieldIsDerived": false,
    "IsWritableDerivedField": false,
    "IsMasked": false,
    "GrantKeyWhenReadable": "principal-process-steward|Roles"
   },
   {
    "FieldGrantId": "fg-process-steward-Roles.CurrentAssignmentValidFrom",
    "Principal": "principal-process-steward",
    "TargetField": "Roles.CurrentAssignmentValidFrom",
    "CanRead": true,
    "CanWrite": false,
    "MaskStrategy": "plain",
    "SemanticTypeIri": "urn:effortless:pko-extension#FieldGrant",
    "Name": "principal-process-steward -&gt; Roles.CurrentAssignmentValidFrom",
    "FieldTable": "Roles",
    "FieldName": "CurrentAssignmentValidFrom",
    "FieldIsDerived": true,
    "IsWritableDerivedField": false,
    "IsMasked": false,
    "GrantKeyWhenReadable": "principal-process-steward|Roles"
   },
   {
    "FieldGrantId": "fg-process-steward-Roles.IsNonHumanHeld",
    "Principal": "principal-process-steward",
    "TargetField": "Roles.IsNonHumanHeld",
    "CanRead": true,
    "CanWrite": false,
    "MaskStrategy": "plain",
    "SemanticTypeIri": "urn:effortless:pko-extension#FieldGrant",
    "Name": "principal-process-steward -&gt; Roles.IsNonHumanHeld",
    "FieldTable": "Roles",
    "FieldName": "IsNonHumanHeld",
    "FieldIsDerived": true,
    "IsWritableDerivedField": false,
    "IsMasked": false,
    "GrantKeyWhenReadable": "principal-process-steward|Roles"
   },
   {
    "FieldGrantId": "fg-process-steward-Roles.IsUngovernedNonHumanRole",
    "Principal": "principal-process-steward",
    "TargetField": "Roles.IsUngovernedNonHumanRole",
    "CanRead": true,
    "CanWrite": false,
    "MaskStrategy": "plain",
    "SemanticTypeIri": "urn:effortless:pko-extension#FieldGrant",
    "Name": "principal-process-steward -&gt; Roles.IsUngovernedNonHumanRole",
    "FieldTable": "Roles",
    "FieldName": "IsUngovernedNonHumanRole",
    "FieldIsDerived": true,
    "IsWritableDerivedField": false,
    "IsMasked": false,
    "GrantKeyWhenReadable": "principal-process-steward|Roles"
   },
   {
    "FieldGrantId": "fg-process-steward-Roles.DepartedAssignmentCount",
    "Principal": "principal-process-steward",
    "TargetField": "Roles.DepartedAssignmentCount",
    "CanRead": true,
    "CanWrite": false,
    "MaskStrategy": "plain",
    "SemanticTypeIri": "urn:effortless:pko-extension#FieldGrant",
    "Name": "principal-process-steward -&gt; Roles.DepartedAssignmentCount",
    "FieldTable": "Roles",
    "FieldName": "DepartedAssignmentCount",
    "FieldIsDerived": true,
    "IsWritableDerivedField": false,
    "IsMasked": false,
    "GrantKeyWhenReadable": "principal-process-steward|Roles"
   },
   {
    "FieldGrantId": "fg-process-steward-Roles.HasLostAHolder",
    "Principal": "principal-process-steward",
    "TargetField": "Roles.HasLostAHolder",
    "CanRead": true,
    "CanWrite": false,
    "MaskStrategy": "plain",
    "SemanticTypeIri": "urn:effortless:pko-extension#FieldGrant",
    "Name": "principal-process-steward -&gt; Roles.HasLostAHolder",
    "FieldTable": "Roles",
    "FieldName": "HasLostAHolder",
    "FieldIsDerived": true,
    "IsWritableDerivedField": false,
    "IsMasked": false,
    "GrantKeyWhenReadable": "principal-process-steward|Roles"
   },
   {
    "FieldGrantId": "fg-process-steward-Roles.IsVacatedRole",
    "Principal": "principal-process-steward",
    "TargetField": "Roles.IsVacatedRole",
    "CanRead": true,
    "CanWrite": false,
    "MaskStrategy": "plain",
    "SemanticTypeIri": "urn:effortless:pko-extension#FieldGrant",
    "Name": "principal-process-steward -&gt; Roles.IsVacatedRole",
    "FieldTable": "Roles",
    "FieldName": "IsVacatedRole",
    "FieldIsDerived": true,
    "IsWritableDerivedField": false,
    "IsMasked": false,
    "GrantKeyWhenReadable": "principal-process-steward|Roles"
   },
   {
    "FieldGrantId": "fg-process-steward-Roles.UngroundedBoundaryCount",
    "Principal": "principal-process-steward",
    "TargetField": "Roles.UngroundedBoundaryCount",
    "CanRead": true,
    "CanWrite": false,
    "MaskStrategy": "plain",
    "SemanticTypeIri": "urn:effortless:pko-extension#FieldGrant",
    "Name": "principal-process-steward -&gt; Roles.UngroundedBoundaryCount",
    "FieldTable": "Roles",
    "FieldName": "UngroundedBoundaryCount",
    "FieldIsDerived": true,
    "IsWritableDerivedField": false,
    "IsMasked": false,
    "GrantKeyWhenReadable": "principal-process-steward|Roles"
   },
   {
    "FieldGrantId": "fg-process-steward-Roles.IsGovernedByLapsedAuthority",
    "Principal": "principal-process-steward",
    "TargetField": "Roles.IsGovernedByLapsedAuthority",
    "CanRead": true,
    "CanWrite": false,
    "MaskStrategy": "plain",
    "SemanticTypeIri": "urn:effortless:pko-extension#FieldGrant",
    "Name": "principal-process-steward -&gt; Roles.IsGovernedByLapsedAuthority",
    "FieldTable": "Roles",
    "FieldName": "IsGovernedByLapsedAuthority",
    "FieldIsDerived": true,
    "IsWritableDerivedField": false,
    "IsMasked": false,
    "GrantKeyWhenReadable": "principal-process-steward|Roles"
   },
   {
    "FieldGrantId": "fg-process-steward-Roles.UnescalatedRefusalCount",
    "Principal": "principal-process-steward",
    "TargetField": "Roles.UnescalatedRefusalCount",
    "CanRead": true,
    "CanWrite": false,
    "MaskStrategy": "plain",
    "SemanticTypeIri": "urn:effortless:pko-extension#FieldGrant",
    "Name": "principal-process-steward -&gt; Roles.UnescalatedRefusalCount",
    "FieldTable": "Roles",
    "FieldName": "UnescalatedRefusalCount",
    "FieldIsDerived": true,
    "IsWritableDerivedField": false,
    "IsMasked": false,
    "GrantKeyWhenReadable": "principal-process-steward|Roles"
   },
   {
    "FieldGrantId": "fg-process-steward-Roles.UnauthorizedEnforcementAssignmentCount",
    "Principal": "principal-process-steward",
    "TargetField": "Roles.UnauthorizedEnforcementAssignmentCount",
    "CanRead": true,
    "CanWrite": false,
    "MaskStrategy": "plain",
    "SemanticTypeIri": "urn:effortless:pko-extension#FieldGrant",
    "Name": "principal-process-steward -&gt; Roles.UnauthorizedEnforcementAssignmentCount",
    "FieldTable": "Roles",
    "FieldName": "UnauthorizedEnforcementAssignmentCount",
    "FieldIsDerived": true,
    "IsWritableDerivedField": false,
    "IsMasked": false,
    "GrantKeyWhenReadable": "principal-process-steward|Roles"
   },
   {
    "FieldGrantId": "fg-process-steward-Roles.IsUngovernedEnforcementRole",
    "Principal": "principal-process-steward",
    "TargetField": "Roles.IsUngovernedEnforcementRole",
    "CanRead": true,
    "CanWrite": false,
    "MaskStrategy": "plain",
    "SemanticTypeIri": "urn:effortless:pko-extension#FieldGrant",
    "Name": "principal-process-steward -&gt; Roles.IsUngovernedEnforcementRole",
    "FieldTable": "Roles",
    "FieldName": "IsUngovernedEnforcementRole",
    "FieldIsDerived": true,
    "IsWritableDerivedField": false,
    "IsMasked": false,
    "GrantKeyWhenReadable": "principal-process-steward|Roles"
   },
   {
    "FieldGrantId": "fg-process-steward-Roles.SemanticTypeIri",
    "Principal": "principal-process-steward",
    "TargetField": "Roles.SemanticTypeIri",
    "CanRead": true,
    "CanWrite": false,
    "MaskStrategy": "plain",
    "SemanticTypeIri": "urn:effortless:pko-extension#FieldGrant",
    "Name": "principal-process-steward -&gt; Roles.SemanticTypeIri",
    "FieldTable": "Roles",
    "FieldName": "SemanticTypeIri",
    "FieldIsDerived": false,
    "IsWritableDerivedField": false,
    "IsMasked": false,
    "GrantKeyWhenReadable": "principal-process-steward|Roles"
   },
   {
    "FieldGrantId": "fg-process-steward-RulebookFields.RulebookFieldId",
    "Principal": "principal-process-steward",
    "TargetField": "RulebookFields.RulebookFieldId",
    "CanRead": true,
    "CanWrite": false,
    "MaskStrategy": "plain",
    "SemanticTypeIri": "urn:effortless:pko-extension#FieldGrant",
    "Name": "principal-process-steward -&gt; RulebookFields.RulebookFieldId",
    "FieldTable": "RulebookFields",
    "FieldName": "RulebookFieldId",
    "FieldIsDerived": false,
    "IsWritableDerivedField": false,
    "IsMasked": false,
    "GrantKeyWhenReadable": "principal-process-steward|RulebookFields"
   },
   {
    "FieldGrantId": "fg-process-steward-RulebookFields.Name",
    "Principal": "principal-process-steward",
    "TargetField": "RulebookFields.Name",
    "CanRead": true,
    "CanWrite": false,
    "MaskStrategy": "plain",
    "SemanticTypeIri": "urn:effortless:pko-extension#FieldGrant",
    "Name": "principal-process-steward -&gt; RulebookFields.Name",
    "FieldTable": "RulebookFields",
    "FieldName": "Name",
    "FieldIsDerived": true,
    "IsWritableDerivedField": false,
    "IsMasked": false,
    "GrantKeyWhenReadable": "principal-process-steward|RulebookFields"
   },
   {
    "FieldGrantId": "fg-process-steward-RulebookFields.TargetTable",
    "Principal": "principal-process-steward",
    "TargetField": "RulebookFields.TargetTable",
    "CanRead": true,
    "CanWrite": false,
    "MaskStrategy": "plain",
    "SemanticTypeIri": "urn:effortless:pko-extension#FieldGrant",
    "Name": "principal-process-steward -&gt; RulebookFields.TargetTable",
    "FieldTable": "RulebookFields",
    "FieldName": "TargetTable",
    "FieldIsDerived": false,
    "IsWritableDerivedField": false,
    "IsMasked": false,
    "GrantKeyWhenReadable": "principal-process-steward|RulebookFields"
   },
   {
    "FieldGrantId": "fg-process-steward-RulebookFields.FieldName",
    "Principal": "principal-process-steward",
    "TargetField": "RulebookFields.FieldName",
    "CanRead": true,
    "CanWrite": false,
    "MaskStrategy": "plain",
    "SemanticTypeIri": "urn:effortless:pko-extension#FieldGrant",
    "Name": "principal-process-steward -&gt; RulebookFields.FieldName",
    "FieldTable": "RulebookFields",
    "FieldName": "FieldName",
    "FieldIsDerived": false,
    "IsWritableDerivedField": false,
    "IsMasked": false,
    "GrantKeyWhenReadable": "principal-process-steward|RulebookFields"
   },
   {
    "FieldGrantId": "fg-process-steward-RulebookFields.FieldType",
    "Principal": "principal-process-steward",
    "TargetField": "RulebookFields.FieldType",
    "CanRead": true,
    "CanWrite": false,
    "MaskStrategy": "plain",
    "SemanticTypeIri": "urn:effortless:pko-extension#FieldGrant",
    "Name": "principal-process-steward -&gt; RulebookFields.FieldType",
    "FieldTable": "RulebookFields",
    "FieldName": "FieldType",
    "FieldIsDerived": false,
    "IsWritableDerivedField": false,
    "IsMasked": false,
    "GrantKeyWhenReadable": "principal-process-steward|RulebookFields"
   },
   {
    "FieldGrantId": "fg-process-steward-RulebookFields.Datatype",
    "Principal": "principal-process-steward",
    "TargetField": "RulebookFields.Datatype",
    "CanRead": true,
    "CanWrite": false,
    "MaskStrategy": "plain",
    "SemanticTypeIri": "urn:effortless:pko-extension#FieldGrant",
    "Name": "principal-process-steward -&gt; RulebookFields.Datatype",
    "FieldTable": "RulebookFields",
    "FieldName": "Datatype",
    "FieldIsDerived": false,
    "IsWritableDerivedField": false,
    "IsMasked": false,
    "GrantKeyWhenReadable": "principal-process-steward|RulebookFields"
   },
   {
    "FieldGrantId": "fg-process-steward-RulebookFields.Formula",
    "Principal": "principal-process-steward",
    "TargetField": "RulebookFields.Formula",
    "CanRead": true,
    "CanWrite": false,
    "MaskStrategy": "plain",
    "SemanticTypeIri": "urn:effortless:pko-extension#FieldGrant",
    "Name": "principal-process-steward -&gt; RulebookFields.Formula",
    "FieldTable": "RulebookFields",
    "FieldName": "Formula",
    "FieldIsDerived": false,
    "IsWritableDerivedField": false,
    "IsMasked": false,
    "GrantKeyWhenReadable": "principal-process-steward|RulebookFields"
   },
   {
    "FieldGrantId": "fg-process-steward-RulebookFields.InventedForQuestion",
    "Principal": "principal-process-steward",
    "TargetField": "RulebookFields.InventedForQuestion",
    "CanRead": true,
    "CanWrite": false,
    "MaskStrategy": "plain",
    "SemanticTypeIri": "urn:effortless:pko-extension#FieldGrant",
    "Name": "principal-process-steward -&gt; RulebookFields.InventedForQuestion",
    "FieldTable": "RulebookFields",
    "FieldName": "InventedForQuestion",
    "FieldIsDerived": false,
    "IsWritableDerivedField": false,
    "IsMasked": false,
    "GrantKeyWhenReadable": "principal-process-steward|RulebookFields"
   },
   {
    "FieldGrantId": "fg-process-steward-RulebookFields.IsDerived",
    "Principal": "principal-process-steward",
    "TargetField": "RulebookFields.IsDerived",
    "CanRead": true,
    "CanWrite": false,
    "MaskStrategy": "plain",
    "SemanticTypeIri": "urn:effortless:pko-extension#FieldGrant",
    "Name": "principal-process-steward -&gt; RulebookFields.IsDerived",
    "FieldTable": "RulebookFields",
    "FieldName": "IsDerived",
    "FieldIsDerived": true,
    "IsWritableDerivedField": false,
    "IsMasked": false,
    "GrantKeyWhenReadable": "principal-process-steward|RulebookFields"
   },
   {
    "FieldGrantId": "fg-process-steward-RulebookFields.IsWitness",
    "Principal": "principal-process-steward",
    "TargetField": "RulebookFields.IsWitness",
    "CanRead": true,
    "CanWrite": false,
    "MaskStrategy": "plain",
    "SemanticTypeIri": "urn:effortless:pko-extension#FieldGrant",
    "Name": "principal-process-steward -&gt; RulebookFields.IsWitness",
    "FieldTable": "RulebookFields",
    "FieldName": "IsWitness",
    "FieldIsDerived": true,
    "IsWritableDerivedField": false,
    "IsMasked": false,
    "GrantKeyWhenReadable": "principal-process-steward|RulebookFields"
   },
   {
    "FieldGrantId": "fg-process-steward-RulebookFields.SemanticTypeIri",
    "Principal": "principal-process-steward",
    "TargetField": "RulebookFields.SemanticTypeIri",
    "CanRead": true,
    "CanWrite": false,
    "MaskStrategy": "plain",
    "SemanticTypeIri": "urn:effortless:pko-extension#FieldGrant",
    "Name": "principal-process-steward -&gt; RulebookFields.SemanticTypeIri",
    "FieldTable": "RulebookFields",
    "FieldName": "SemanticTypeIri",
    "FieldIsDerived": false,
    "IsWritableDerivedField": false,
    "IsMasked": false,
    "GrantKeyWhenReadable": "principal-process-steward|RulebookFields"
   },
   {
    "FieldGrantId": "fg-process-steward-RulebookReleases.RulebookReleaseId",
    "Principal": "principal-process-steward",
    "TargetField": "RulebookReleases.RulebookReleaseId",
    "CanRead": true,
    "CanWrite": false,
    "MaskStrategy": "plain",
    "SemanticTypeIri": "urn:effortless:pko-extension#FieldGrant",
    "Name": "principal-process-steward -&gt; RulebookReleases.RulebookReleaseId",
    "FieldTable": "RulebookReleases",
    "FieldName": "RulebookReleaseId",
    "FieldIsDerived": false,
    "IsWritableDerivedField": false,
    "IsMasked": false,
    "GrantKeyWhenReadable": "principal-process-steward|RulebookReleases"
   },
   {
    "FieldGrantId": "fg-process-steward-RulebookReleases.Name",
    "Principal": "principal-process-steward",
    "TargetField": "RulebookReleases.Name",
    "CanRead": true,
    "CanWrite": false,
    "MaskStrategy": "plain",
    "SemanticTypeIri": "urn:effortless:pko-extension#FieldGrant",
    "Name": "principal-process-steward -&gt; RulebookReleases.Name",
    "FieldTable": "RulebookReleases",
    "FieldName": "Name",
    "FieldIsDerived": true,
    "IsWritableDerivedField": false,
    "IsMasked": false,
    "GrantKeyWhenReadable": "principal-process-steward|RulebookReleases"
   },
   {
    "FieldGrantId": "fg-process-steward-RulebookReleases.RulebookVersion",
    "Principal": "principal-process-steward",
    "TargetField": "RulebookReleases.RulebookVersion",
    "CanRead": true,
    "CanWrite": false,
    "MaskStrategy": "plain",
    "SemanticTypeIri": "urn:effortless:pko-extension#FieldGrant",
    "Name": "principal-process-steward -&gt; RulebookReleases.RulebookVersion",
    "FieldTable": "RulebookReleases",
    "FieldName": "RulebookVersion",
    "FieldIsDerived": false,
    "IsWritableDerivedField": false,
    "IsMasked": false,
    "GrantKeyWhenReadable": "principal-process-steward|RulebookReleases"
   },
   {
    "FieldGrantId": "fg-process-steward-RulebookReleases.ProfileVersion",
    "Principal": "principal-process-steward",
    "TargetField": "RulebookReleases.ProfileVersion",
    "CanRead": true,
    "CanWrite": false,
    "MaskStrategy": "plain",
    "SemanticTypeIri": "urn:effortless:pko-extension#FieldGrant",
    "Name": "principal-process-steward -&gt; RulebookReleases.ProfileVersion",
    "FieldTable": "RulebookReleases",
    "FieldName": "ProfileVersion",
    "FieldIsDerived": false,
    "IsWritableDerivedField": false,
    "IsMasked": false,
    "GrantKeyWhenReadable": "principal-process-steward|RulebookReleases"
   },
   {
    "FieldGrantId": "fg-process-steward-RulebookReleases.ProfileSchemaPath",
    "Principal": "principal-process-steward",
    "TargetField": "RulebookReleases.ProfileSchemaPath",
    "CanRead": true,
    "CanWrite": false,
    "MaskStrategy": "plain",
    "SemanticTypeIri": "urn:effortless:pko-extension#FieldGrant",
    "Name": "principal-process-steward -&gt; RulebookReleases.ProfileSchemaPath",
    "FieldTable": "RulebookReleases",
    "FieldName": "ProfileSchemaPath",
    "FieldIsDerived": false,
    "IsWritableDerivedField": false,
    "IsMasked": false,
    "GrantKeyWhenReadable": "principal-process-steward|RulebookReleases"
   },
   {
    "FieldGrantId": "fg-process-steward-RulebookReleases.PkoCoreVersionIri",
    "Principal": "principal-process-steward",
    "TargetField": "RulebookReleases.PkoCoreVersionIri",
    "CanRead": true,
    "CanWrite": false,
    "MaskStrategy": "plain",
    "SemanticTypeIri": "urn:effortless:pko-extension#FieldGrant",
    "Name": "principal-process-steward -&gt; RulebookReleases.PkoCoreVersionIri",
    "FieldTable": "RulebookReleases",
    "FieldName": "PkoCoreVersionIri",
    "FieldIsDerived": false,
    "IsWritableDerivedField": false,
    "IsMasked": false,
    "GrantKeyWhenReadable": "principal-process-steward|RulebookReleases"
   },
   {
    "FieldGrantId": "fg-process-steward-RulebookReleases.PkoIndustryVersionIri",
    "Principal": "principal-process-steward",
    "TargetField": "RulebookReleases.PkoIndustryVersionIri",
    "CanRead": true,
    "CanWrite": false,
    "MaskStrategy": "plain",
    "SemanticTypeIri": "urn:effortless:pko-extension#FieldGrant",
    "Name": "principal-process-steward -&gt; RulebookReleases.PkoIndustryVersionIri",
    "FieldTable": "RulebookReleases",
    "FieldName": "PkoIndustryVersionIri",
    "FieldIsDerived": false,
    "IsWritableDerivedField": false,
    "IsMasked": false,
    "GrantKeyWhenReadable": "principal-process-steward|RulebookReleases"
   },
   {
    "FieldGrantId": "fg-process-steward-RulebookReleases.IssuedAt",
    "Principal": "principal-process-steward",
    "TargetField": "RulebookReleases.IssuedAt",
    "CanRead": true,
    "CanWrite": false,
    "MaskStrategy": "plain",
    "SemanticTypeIri": "urn:effortless:pko-extension#FieldGrant",
    "Name": "principal-process-steward -&gt; RulebookReleases.IssuedAt",
    "FieldTable": "RulebookReleases",
    "FieldName": "IssuedAt",
    "FieldIsDerived": false,
    "IsWritableDerivedField": false,
    "IsMasked": false,
    "GrantKeyWhenReadable": "principal-process-steward|RulebookReleases"
   },
   {
    "FieldGrantId": "fg-process-steward-RulebookReleases.Status",
    "Principal": "principal-process-steward",
    "TargetField": "RulebookReleases.Status",
    "CanRead": true,
    "CanWrite": false,
    "MaskStrategy": "plain",
    "SemanticTypeIri": "urn:effortless:pko-extension#FieldGrant",
    "Name": "principal-process-steward -&gt; RulebookReleases.Status",
    "FieldTable": "RulebookReleases",
    "FieldName": "Status",
    "FieldIsDerived": false,
    "IsWritableDerivedField": false,
    "IsMasked": false,
    "GrantKeyWhenReadable": "principal-process-steward|RulebookReleases"
   },
   {
    "FieldGrantId": "fg-process-steward-RulebookReleases.Changelog",
    "Principal": "principal-process-steward",
    "TargetField": "RulebookReleases.Changelog",
    "CanRead": true,
    "CanWrite": false,
    "MaskStrategy": "plain",
    "SemanticTypeIri": "urn:effortless:pko-extension#FieldGrant",
    "Name": "principal-process-steward -&gt; RulebookReleases.Changelog",
    "FieldTable": "RulebookReleases",
    "FieldName": "Changelog",
    "FieldIsDerived": false,
    "IsWritableDerivedField": false,
    "IsMasked": false,
    "GrantKeyWhenReadable": "principal-process-steward|RulebookReleases"
   },
   {
    "FieldGrantId": "fg-process-steward-RulebookReleases.IsCurrent",
    "Principal": "principal-process-steward",
    "TargetField": "RulebookReleases.IsCurrent",
    "CanRead": true,
    "CanWrite": false,
    "MaskStrategy": "plain",
    "SemanticTypeIri": "urn:effortless:pko-extension#FieldGrant",
    "Name": "principal-process-steward -&gt; RulebookReleases.IsCurrent",
    "FieldTable": "RulebookReleases",
    "FieldName": "IsCurrent",
    "FieldIsDerived": false,
    "IsWritableDerivedField": false,
    "IsMasked": false,
    "GrantKeyWhenReadable": "principal-process-steward|RulebookReleases"
   },
   {
    "FieldGrantId": "fg-process-steward-SemanticMappings.SemanticMappingId",
    "Principal": "principal-process-steward",
    "TargetField": "SemanticMappings.SemanticMappingId",
    "CanRead": true,
    "CanWrite": false,
    "MaskStrategy": "plain",
    "SemanticTypeIri": "urn:effortless:pko-extension#FieldGrant",
    "Name": "principal-process-steward -&gt; SemanticMappings.SemanticMappingId",
    "FieldTable": "SemanticMappings",
    "FieldName": "SemanticMappingId",
    "FieldIsDerived": false,
    "IsWritableDerivedField": false,
    "IsMasked": false,
    "GrantKeyWhenReadable": "principal-process-steward|SemanticMappings"
   },
   {
    "FieldGrantId": "fg-process-steward-SemanticMappings.Name",
    "Principal": "principal-process-steward",
    "TargetField": "SemanticMappings.Name",
    "CanRead": true,
    "CanWrite": false,
    "MaskStrategy": "plain",
    "SemanticTypeIri": "urn:effortless:pko-extension#FieldGrant",
    "Name": "principal-process-steward -&gt; SemanticMappings.Name",
    "FieldTable": "SemanticMappings",
    "FieldName": "Name",
    "FieldIsDerived": true,
    "IsWritableDerivedField": false,
    "IsMasked": false,
    "GrantKeyWhenReadable": "principal-process-steward|SemanticMappings"
   },
   {
    "FieldGrantId": "fg-process-steward-SemanticMappings.SourcePath",
    "Principal": "principal-process-steward",
    "TargetField": "SemanticMappings.SourcePath",
    "CanRead": true,
    "CanWrite": false,
    "MaskStrategy": "plain",
    "SemanticTypeIri": "urn:effortless:pko-extension#FieldGrant",
    "Name": "principal-process-steward -&gt; SemanticMappings.SourcePath",
    "FieldTable": "SemanticMappings",
    "FieldName": "SourcePath",
    "FieldIsDerived": false,
    "IsWritableDerivedField": false,
    "IsMasked": false,
    "GrantKeyWhenReadable": "principal-process-steward|SemanticMappings"
   },
   {
    "FieldGrantId": "fg-process-steward-SemanticMappings.MappingKind",
    "Principal": "principal-process-steward",
    "TargetField": "SemanticMappings.MappingKind",
    "CanRead": true,
    "CanWrite": false,
    "MaskStrategy": "plain",
    "SemanticTypeIri": "urn:effortless:pko-extension#FieldGrant",
    "Name": "principal-process-steward -&gt; SemanticMappings.MappingKind",
    "FieldTable": "SemanticMappings",
    "FieldName": "MappingKind",
    "FieldIsDerived": false,
    "IsWritableDerivedField": false,
    "IsMasked": false,
    "GrantKeyWhenReadable": "principal-process-steward|SemanticMappings"
   },
   {
    "FieldGrantId": "fg-process-steward-SemanticMappings.TargetIri",
    "Principal": "principal-process-steward",
    "TargetField": "SemanticMappings.TargetIri",
    "CanRead": true,
    "CanWrite": false,
    "MaskStrategy": "plain",
    "SemanticTypeIri": "urn:effortless:pko-extension#FieldGrant",
    "Name": "principal-process-steward -&gt; SemanticMappings.TargetIri",
    "FieldTable": "SemanticMappings",
    "FieldName": "TargetIri",
    "FieldIsDerived": false,
    "IsWritableDerivedField": false,
    "IsMasked": false,
    "GrantKeyWhenReadable": "principal-process-steward|SemanticMappings"
   },
   {
    "FieldGrantId": "fg-process-steward-SemanticMappings.MappingRelation",
    "Principal": "principal-process-steward",
    "TargetField": "SemanticMappings.MappingRelation",
    "CanRead": true,
    "CanWrite": false,
    "MaskStrategy": "plain",
    "SemanticTypeIri": "urn:effortless:pko-extension#FieldGrant",
    "Name": "principal-process-steward -&gt; SemanticMappings.MappingRelation",
    "FieldTable": "SemanticMappings",
    "FieldName": "MappingRelation",
    "FieldIsDerived": false,
    "IsWritableDerivedField": false,
    "IsMasked": false,
    "GrantKeyWhenReadable": "principal-process-steward|SemanticMappings"
   },
   {
    "FieldGrantId": "fg-process-steward-SemanticMappings.OntologyProfile",
    "Principal": "principal-process-steward",
    "TargetField": "SemanticMappings.OntologyProfile",
    "CanRead": true,
    "CanWrite": false,
    "MaskStrategy": "plain",
    "SemanticTypeIri": "urn:effortless:pko-extension#FieldGrant",
    "Name": "principal-process-steward -&gt; SemanticMappings.OntologyProfile",
    "FieldTable": "SemanticMappings",
    "FieldName": "OntologyProfile",
    "FieldIsDerived": false,
    "IsWritableDerivedField": false,
    "IsMasked": false,
    "GrantKeyWhenReadable": "principal-process-steward|SemanticMappings"
   },
   {
    "FieldGrantId": "fg-process-steward-SemanticMappings.Notes",
    "Principal": "principal-process-steward",
    "TargetField": "SemanticMappings.Notes",
    "CanRead": true,
    "CanWrite": false,
    "MaskStrategy": "plain",
    "SemanticTypeIri": "urn:effortless:pko-extension#FieldGrant",
    "Name": "principal-process-steward -&gt; SemanticMappings.Notes",
    "FieldTable": "SemanticMappings",
    "FieldName": "Notes",
    "FieldIsDerived": false,
    "IsWritableDerivedField": false,
    "IsMasked": false,
    "GrantKeyWhenReadable": "principal-process-steward|SemanticMappings"
   },
   {
    "FieldGrantId": "fg-process-steward-SendIntents.SendIntentId",
    "Principal": "principal-process-steward",
    "TargetField": "SendIntents.SendIntentId",
    "CanRead": true,
    "CanWrite": false,
    "MaskStrategy": "plain",
    "SemanticTypeIri": "urn:effortless:pko-extension#FieldGrant",
    "Name": "principal-process-steward -&gt; SendIntents.SendIntentId",
    "FieldTable": "SendIntents",
    "FieldName": "SendIntentId",
    "FieldIsDerived": false,
    "IsWritableDerivedField": false,
    "IsMasked": false,
    "GrantKeyWhenReadable": "principal-process-steward|SendIntents"
   },
   {
    "FieldGrantId": "fg-process-steward-SendIntents.Name",
    "Principal": "principal-process-steward",
    "TargetField": "SendIntents.Name",
    "CanRead": true,
    "CanWrite": false,
    "MaskStrategy": "plain",
    "SemanticTypeIri": "urn:effortless:pko-extension#FieldGrant",
    "Name": "principal-process-steward -&gt; SendIntents.Name",
    "FieldTable": "SendIntents",
    "FieldName": "Name",
    "FieldIsDerived": true,
    "IsWritableDerivedField": false,
    "IsMasked": false,
    "GrantKeyWhenReadable": "principal-process-steward|SendIntents"
   },
   {
    "FieldGrantId": "fg-process-steward-SendIntents.ProcedureExecution",
    "Principal": "principal-process-steward",
    "TargetField": "SendIntents.ProcedureExecution",
    "CanRead": true,
    "CanWrite": false,
    "MaskStrategy": "plain",
    "SemanticTypeIri": "urn:effortless:pko-extension#FieldGrant",
    "Name": "principal-process-steward -&gt; SendIntents.ProcedureExecution",
    "FieldTable": "SendIntents",
    "FieldName": "ProcedureExecution",
    "FieldIsDerived": false,
    "IsWritableDerivedField": false,
    "IsMasked": false,
    "GrantKeyWhenReadable": "principal-process-steward|SendIntents"
   },
   {
    "FieldGrantId": "fg-process-steward-SendIntents.StepExecution",
    "Principal": "principal-process-steward",
    "TargetField": "SendIntents.StepExecution",
    "CanRead": true,
    "CanWrite": false,
    "MaskStrategy": "plain",
    "SemanticTypeIri": "urn:effortless:pko-extension#FieldGrant",
    "Name": "principal-process-steward -&gt; SendIntents.StepExecution",
    "FieldTable": "SendIntents",
    "FieldName": "StepExecution",
    "FieldIsDerived": false,
    "IsWritableDerivedField": false,
    "IsMasked": false,
    "GrantKeyWhenReadable": "principal-process-steward|SendIntents"
   },
   {
    "FieldGrantId": "fg-process-steward-SendIntents.Recipient",
    "Principal": "principal-process-steward",
    "TargetField": "SendIntents.Recipient",
    "CanRead": true,
    "CanWrite": false,
    "MaskStrategy": "plain",
    "SemanticTypeIri": "urn:effortless:pko-extension#FieldGrant",
    "Name": "principal-process-steward -&gt; SendIntents.Recipient",
    "FieldTable": "SendIntents",
    "FieldName": "Recipient",
    "FieldIsDerived": false,
    "IsWritableDerivedField": false,
    "IsMasked": false,
    "GrantKeyWhenReadable": "principal-process-steward|SendIntents"
   },
   {
    "FieldGrantId": "fg-process-steward-SendIntents.MessageTemplate",
    "Principal": "principal-process-steward",
    "TargetField": "SendIntents.MessageTemplate",
    "CanRead": true,
    "CanWrite": false,
    "MaskStrategy": "plain",
    "SemanticTypeIri": "urn:effortless:pko-extension#FieldGrant",
    "Name": "principal-process-steward -&gt; SendIntents.MessageTemplate",
    "FieldTable": "SendIntents",
    "FieldName": "MessageTemplate",
    "FieldIsDerived": false,
    "IsWritableDerivedField": false,
    "IsMasked": false,
    "GrantKeyWhenReadable": "principal-process-steward|SendIntents"
   },
   {
    "FieldGrantId": "fg-process-steward-SendIntents.ProposedBody",
    "Principal": "principal-process-steward",
    "TargetField": "SendIntents.ProposedBody",
    "CanRead": true,
    "CanWrite": false,
    "MaskStrategy": "plain",
    "SemanticTypeIri": "urn:effortless:pko-extension#FieldGrant",
    "Name": "principal-process-steward -&gt; SendIntents.ProposedBody",
    "FieldTable": "SendIntents",
    "FieldName": "ProposedBody",
    "FieldIsDerived": false,
    "IsWritableDerivedField": false,
    "IsMasked": false,
    "GrantKeyWhenReadable": "principal-process-steward|SendIntents"
   },
   {
    "FieldGrantId": "fg-process-steward-SendIntents.ProposedSendAtLocalHour",
    "Principal": "principal-process-steward",
    "TargetField": "SendIntents.ProposedSendAtLocalHour",
    "CanRead": true,
    "CanWrite": false,
    "MaskStrategy": "plain",
    "SemanticTypeIri": "urn:effortless:pko-extension#FieldGrant",
    </t>
  </si>
  <si>
    <t xml:space="preserve">"Name": "principal-process-steward -&gt; SendIntents.ProposedSendAtLocalHour",
    "FieldTable": "SendIntents",
    "FieldName": "ProposedSendAtLocalHour",
    "FieldIsDerived": false,
    "IsWritableDerivedField": false,
    "IsMasked": false,
    "GrantKeyWhenReadable": "principal-process-steward|SendIntents"
   },
   {
    "FieldGrantId": "fg-process-steward-SendIntents.EvaluatedAt",
    "Principal": "principal-process-steward",
    "TargetField": "SendIntents.EvaluatedAt",
    "CanRead": true,
    "CanWrite": false,
    "MaskStrategy": "plain",
    "SemanticTypeIri": "urn:effortless:pko-extension#FieldGrant",
    "Name": "principal-process-steward -&gt; SendIntents.EvaluatedAt",
    "FieldTable": "SendIntents",
    "FieldName": "EvaluatedAt",
    "FieldIsDerived": false,
    "IsWritableDerivedField": false,
    "IsMasked": false,
    "GrantKeyWhenReadable": "principal-process-steward|SendIntents"
   },
   {
    "FieldGrantId": "fg-process-steward-SendIntents.ResultingDelivery",
    "Principal": "principal-process-steward",
    "TargetField": "SendIntents.ResultingDelivery",
    "CanRead": true,
    "CanWrite": false,
    "MaskStrategy": "plain",
    "SemanticTypeIri": "urn:effortless:pko-extension#FieldGrant",
    "Name": "principal-process-steward -&gt; SendIntents.ResultingDelivery",
    "FieldTable": "SendIntents",
    "FieldName": "ResultingDelivery",
    "FieldIsDerived": false,
    "IsWritableDerivedField": false,
    "IsMasked": false,
    "GrantKeyWhenReadable": "principal-process-steward|SendIntents"
   },
   {
    "FieldGrantId": "fg-process-steward-SendIntents.IntentPolicy",
    "Principal": "principal-process-steward",
    "TargetField": "SendIntents.IntentPolicy",
    "CanRead": true,
    "CanWrite": false,
    "MaskStrategy": "plain",
    "SemanticTypeIri": "urn:effortless:pko-extension#FieldGrant",
    "Name": "principal-process-steward -&gt; SendIntents.IntentPolicy",
    "FieldTable": "SendIntents",
    "FieldName": "IntentPolicy",
    "FieldIsDerived": true,
    "IsWritableDerivedField": false,
    "IsMasked": false,
    "GrantKeyWhenReadable": "principal-process-steward|SendIntents"
   },
   {
    "FieldGrantId": "fg-process-steward-SendIntents.IntentChannel",
    "Principal": "principal-process-steward",
    "TargetField": "SendIntents.IntentChannel",
    "CanRead": true,
    "CanWrite": false,
    "MaskStrategy": "plain",
    "SemanticTypeIri": "urn:effortless:pko-extension#FieldGrant",
    "Name": "principal-process-steward -&gt; SendIntents.IntentChannel",
    "FieldTable": "SendIntents",
    "FieldName": "IntentChannel",
    "FieldIsDerived": true,
    "IsWritableDerivedField": false,
    "IsMasked": false,
    "GrantKeyWhenReadable": "principal-process-steward|SendIntents"
   },
   {
    "FieldGrantId": "fg-process-steward-SendIntents.PolicyIsActive",
    "Principal": "principal-process-steward",
    "TargetField": "SendIntents.PolicyIsActive",
    "CanRead": true,
    "CanWrite": false,
    "MaskStrategy": "plain",
    "SemanticTypeIri": "urn:effortless:pko-extension#FieldGrant",
    "Name": "principal-process-steward -&gt; SendIntents.PolicyIsActive",
    "FieldTable": "SendIntents",
    "FieldName": "PolicyIsActive",
    "FieldIsDerived": true,
    "IsWritableDerivedField": false,
    "IsMasked": false,
    "GrantKeyWhenReadable": "principal-process-steward|SendIntents"
   },
   {
    "FieldGrantId": "fg-process-steward-SendIntents.IntentRequiresConsent",
    "Principal": "principal-process-steward",
    "TargetField": "SendIntents.IntentRequiresConsent",
    "CanRead": true,
    "CanWrite": false,
    "MaskStrategy": "plain",
    "SemanticTypeIri": "urn:effortless:pko-extension#FieldGrant",
    "Name": "principal-process-steward -&gt; SendIntents.IntentRequiresConsent",
    "FieldTable": "SendIntents",
    "FieldName": "IntentRequiresConsent",
    "FieldIsDerived": true,
    "IsWritableDerivedField": false,
    "IsMasked": false,
    "GrantKeyWhenReadable": "principal-process-steward|SendIntents"
   },
   {
    "FieldGrantId": "fg-process-steward-SendIntents.RecipientHasChannelConsent",
    "Principal": "principal-process-steward",
    "TargetField": "SendIntents.RecipientHasChannelConsent",
    "CanRead": true,
    "CanWrite": false,
    "MaskStrategy": "plain",
    "SemanticTypeIri": "urn:effortless:pko-extension#FieldGrant",
    "Name": "principal-process-steward -&gt; SendIntents.RecipientHasChannelConsent",
    "FieldTable": "SendIntents",
    "FieldName": "RecipientHasChannelConsent",
    "FieldIsDerived": true,
    "IsWritableDerivedField": false,
    "IsMasked": false,
    "GrantKeyWhenReadable": "principal-process-steward|SendIntents"
   },
   {
    "FieldGrantId": "fg-process-steward-SendIntents.ConsentGatePassed",
    "Principal": "principal-process-steward",
    "TargetField": "SendIntents.ConsentGatePassed",
    "CanRead": true,
    "CanWrite": false,
    "MaskStrategy": "plain",
    "SemanticTypeIri": "urn:effortless:pko-extension#FieldGrant",
    "Name": "principal-process-steward -&gt; SendIntents.ConsentGatePassed",
    "FieldTable": "SendIntents",
    "FieldName": "ConsentGatePassed",
    "FieldIsDerived": true,
    "IsWritableDerivedField": false,
    "IsMasked": false,
    "GrantKeyWhenReadable": "principal-process-steward|SendIntents"
   },
   {
    "FieldGrantId": "fg-process-steward-SendIntents.RecipientIsSmsReachable",
    "Principal": "principal-process-steward",
    "TargetField": "SendIntents.RecipientIsSmsReachable",
    "CanRead": true,
    "CanWrite": false,
    "MaskStrategy": "plain",
    "SemanticTypeIri": "urn:effortless:pko-extension#FieldGrant",
    "Name": "principal-process-steward -&gt; SendIntents.RecipientIsSmsReachable",
    "FieldTable": "SendIntents",
    "FieldName": "RecipientIsSmsReachable",
    "FieldIsDerived": true,
    "IsWritableDerivedField": false,
    "IsMasked": false,
    "GrantKeyWhenReadable": "principal-process-steward|SendIntents"
   },
   {
    "FieldGrantId": "fg-process-steward-SendIntents.RecipientIsEmailReachable",
    "Principal": "principal-process-steward",
    "TargetField": "SendIntents.RecipientIsEmailReachable",
    "CanRead": true,
    "CanWrite": false,
    "MaskStrategy": "plain",
    "SemanticTypeIri": "urn:effortless:pko-extension#FieldGrant",
    "Name": "principal-process-steward -&gt; SendIntents.RecipientIsEmailReachable",
    "FieldTable": "SendIntents",
    "FieldName": "RecipientIsEmailReachable",
    "FieldIsDerived": true,
    "IsWritableDerivedField": false,
    "IsMasked": false,
    "GrantKeyWhenReadable": "principal-process-steward|SendIntents"
   },
   {
    "FieldGrantId": "fg-process-steward-SendIntents.ReachabilityGatePassed",
    "Principal": "principal-process-steward",
    "TargetField": "SendIntents.ReachabilityGatePassed",
    "CanRead": true,
    "CanWrite": false,
    "MaskStrategy": "plain",
    "SemanticTypeIri": "urn:effortless:pko-extension#FieldGrant",
    "Name": "principal-process-steward -&gt; SendIntents.ReachabilityGatePassed",
    "FieldTable": "SendIntents",
    "FieldName": "ReachabilityGatePassed",
    "FieldIsDerived": true,
    "IsWritableDerivedField": false,
    "IsMasked": false,
    "GrantKeyWhenReadable": "principal-process-steward|SendIntents"
   },
   {
    "FieldGrantId": "fg-process-steward-SendIntents.PermissionGatePassed",
    "Principal": "principal-process-steward",
    "TargetField": "SendIntents.PermissionGatePassed",
    "CanRead": true,
    "CanWrite": false,
    "MaskStrategy": "plain",
    "SemanticTypeIri": "urn:effortless:pko-extension#FieldGrant",
    "Name": "principal-process-steward -&gt; SendIntents.PermissionGatePassed",
    "FieldTable": "SendIntents",
    "FieldName": "PermissionGatePassed",
    "FieldIsDerived": true,
    "IsWritableDerivedField": false,
    "IsMasked": false,
    "GrantKeyWhenReadable": "principal-process-steward|SendIntents"
   },
   {
    "FieldGrantId": "fg-process-steward-SendIntents.IntentQuietStartHour",
    "Principal": "principal-process-steward",
    "TargetField": "SendIntents.IntentQuietStartHour",
    "CanRead": true,
    "CanWrite": false,
    "MaskStrategy": "plain",
    "SemanticTypeIri": "urn:effortless:pko-extension#FieldGrant",
    "Name": "principal-process-steward -&gt; SendIntents.IntentQuietStartHour",
    "FieldTable": "SendIntents",
    "FieldName": "IntentQuietStartHour",
    "FieldIsDerived": true,
    "IsWritableDerivedField": false,
    "IsMasked": false,
    "GrantKeyWhenReadable": "principal-process-steward|SendIntents"
   },
   {
    "FieldGrantId": "fg-process-steward-SendIntents.IntentQuietEndHour",
    "Principal": "principal-process-steward",
    "TargetField": "SendIntents.IntentQuietEndHour",
    "CanRead": true,
    "CanWrite": false,
    "MaskStrategy": "plain",
    "SemanticTypeIri": "urn:effortless:pko-extension#FieldGrant",
    "Name": "principal-process-steward -&gt; SendIntents.IntentQuietEndHour",
    "FieldTable": "SendIntents",
    "FieldName": "IntentQuietEndHour",
    "FieldIsDerived": true,
    "IsWritableDerivedField": false,
    "IsMasked": false,
    "GrantKeyWhenReadable": "principal-process-steward|SendIntents"
   },
   {
    "FieldGrantId": "fg-process-steward-SendIntents.IntentPolicyHasQuietHours",
    "Principal": "principal-process-steward",
    "TargetField": "SendIntents.IntentPolicyHasQuietHours",
    "CanRead": true,
    "CanWrite": false,
    "MaskStrategy": "plain",
    "SemanticTypeIri": "urn:effortless:pko-extension#FieldGrant",
    "Name": "principal-process-steward -&gt; SendIntents.IntentPolicyHasQuietHours",
    "FieldTable": "SendIntents",
    "FieldName": "IntentPolicyHasQuietHours",
    "FieldIsDerived": true,
    "IsWritableDerivedField": false,
    "IsMasked": false,
    "GrantKeyWhenReadable": "principal-process-steward|SendIntents"
   },
   {
    "FieldGrantId": "fg-process-steward-SendIntents.IntentQuietWindowWraps",
    "Principal": "principal-process-steward",
    "TargetField": "SendIntents.IntentQuietWindowWraps",
    "CanRead": true,
    "CanWrite": false,
    "MaskStrategy": "plain",
    "SemanticTypeIri": "urn:effortless:pko-extension#FieldGrant",
    "Name": "principal-process-steward -&gt; SendIntents.IntentQuietWindowWraps",
    "FieldTable": "SendIntents",
    "FieldName": "IntentQuietWindowWraps",
    "FieldIsDerived": true,
    "IsWritableDerivedField": false,
    "IsMasked": false,
    "GrantKeyWhenReadable": "principal-process-steward|SendIntents"
   },
   {
    "FieldGrantId": "fg-process-steward-SendIntents.IntentIsInsideQuietWindow",
    "Principal": "principal-process-steward",
    "TargetField": "SendIntents.IntentIsInsideQuietWindow",
    "CanRead": true,
    "CanWrite": false,
    "MaskStrategy": "plain",
    "SemanticTypeIri": "urn:effortless:pko-extension#FieldGrant",
    "Name": "principal-process-steward -&gt; SendIntents.IntentIsInsideQuietWindow",
    "FieldTable": "SendIntents",
    "FieldName": "IntentIsInsideQuietWindow",
    "FieldIsDerived": true,
    "IsWritableDerivedField": false,
    "IsMasked": false,
    "GrantKeyWhenReadable": "principal-process-steward|SendIntents"
   },
   {
    "FieldGrantId": "fg-process-steward-SendIntents.TimingGatePassed",
    "Principal": "principal-process-steward",
    "TargetField": "SendIntents.TimingGatePassed",
    "CanRead": true,
    "CanWrite": false,
    "MaskStrategy": "plain",
    "SemanticTypeIri": "urn:effortless:pko-extension#FieldGrant",
    "Name": "principal-process-steward -&gt; SendIntents.TimingGatePassed",
    "FieldTable": "SendIntents",
    "FieldName": "TimingGatePassed",
    "FieldIsDerived": true,
    "IsWritableDerivedField": false,
    "IsMasked": false,
    "GrantKeyWhenReadable": "principal-process-steward|SendIntents"
   },
   {
    "FieldGrantId": "fg-process-steward-SendIntents.HoursUntilWindowOpens",
    "Principal": "principal-process-steward",
    "TargetField": "SendIntents.HoursUntilWindowOpens",
    "CanRead": true,
    "CanWrite": false,
    "MaskStrategy": "plain",
    "SemanticTypeIri": "urn:effortless:pko-extension#FieldGrant",
    "Name": "principal-process-steward -&gt; SendIntents.HoursUntilWindowOpens",
    "FieldTable": "SendIntents",
    "FieldName": "HoursUntilWindowOpens",
    "FieldIsDerived": true,
    "IsWritableDerivedField": false,
    "IsMasked": false,
    "GrantKeyWhenReadable": "principal-process-steward|SendIntents"
   },
   {
    "FieldGrantId": "fg-process-steward-SendIntents.IntentMaxMessageLength",
    "Principal": "principal-process-steward",
    "TargetField": "SendIntents.IntentMaxMessageLength",
    "CanRead": true,
    "CanWrite": false,
    "MaskStrategy": "plain",
    "SemanticTypeIri": "urn:effortless:pko-extension#FieldGrant",
    "Name": "principal-process-steward -&gt; SendIntents.IntentMaxMessageLength",
    "FieldTable": "SendIntents",
    "FieldName": "IntentMaxMessageLength",
    "FieldIsDerived": true,
    "IsWritableDerivedField": false,
    "IsMasked": false,
    "GrantKeyWhenReadable": "principal-process-steward|SendIntents"
   },
   {
    "FieldGrantId": "fg-process-steward-SendIntents.IntentMaxSegments",
    "Principal": "principal-process-steward",
    "TargetField": "SendIntents.IntentMaxSegments",
    "CanRead": true,
    "CanWrite": false,
    "MaskStrategy": "plain",
    "SemanticTypeIri": "urn:effortless:pko-extension#FieldGrant",
    "Name": "principal-process-steward -&gt; SendIntents.IntentMaxSegments",
    "FieldTable": "SendIntents",
    "FieldName": "IntentMaxSegments",
    "FieldIsDerived": true,
    "IsWritableDerivedField": false,
    "IsMasked": false,
    "GrantKeyWhenReadable": "principal-process-steward|SendIntents"
   },
   {
    "FieldGrantId": "fg-process-steward-SendIntents.ProposedBodyLength",
    "Principal": "principal-process-steward",
    "TargetField": "SendIntents.ProposedBodyLength",
    "CanRead": true,
    "CanWrite": false,
    "MaskStrategy": "plain",
    "SemanticTypeIri": "urn:effortless:pko-extension#FieldGrant",
    "Name": "principal-process-steward -&gt; SendIntents.ProposedBodyLength",
    "FieldTable": "SendIntents",
    "FieldName": "ProposedBodyLength",
    "FieldIsDerived": false,
    "IsWritableDerivedField": false,
    "IsMasked": false,
    "GrantKeyWhenReadable": "principal-process-steward|SendIntents"
   },
   {
    "FieldGrantId": "fg-process-steward-SendIntents.ProposedSegmentCount",
    "Principal": "principal-process-steward",
    "TargetField": "SendIntents.ProposedSegmentCount",
    "CanRead": true,
    "CanWrite": false,
    "MaskStrategy": "plain",
    "SemanticTypeIri": "urn:effortless:pko-extension#FieldGrant",
    "Name": "principal-process-steward -&gt; SendIntents.ProposedSegmentCount",
    "FieldTable": "SendIntents",
    "FieldName": "ProposedSegmentCount",
    "FieldIsDerived": false,
    "IsWritableDerivedField": false,
    "IsMasked": false,
    "GrantKeyWhenReadable": "principal-process-steward|SendIntents"
   },
   {
    "FieldGrantId": "fg-process-steward-SendIntents.LengthGatePassed",
    "Principal": "principal-process-steward",
    "TargetField": "SendIntents.LengthGatePassed",
    "CanRead": true,
    "CanWrite": false,
    "MaskStrategy": "plain",
    "SemanticTypeIri": "urn:effortless:pko-extension#FieldGrant",
    "Name": "principal-process-steward -&gt; SendIntents.LengthGatePassed",
    "FieldTable": "SendIntents",
    "FieldName": "LengthGatePassed",
    "FieldIsDerived": true,
    "IsWritableDerivedField": false,
    "IsMasked": false,
    "GrantKeyWhenReadable": "principal-process-steward|SendIntents"
   },
   {
    "FieldGrantId": "fg-process-steward-SendIntents.IntentRequiredOptOutPhrase",
    "Principal": "principal-process-steward",
    "TargetField": "SendIntents.IntentRequiredOptOutPhrase",
    "CanRead": true,
    "CanWrite": false,
    "MaskStrategy": "plain",
    "SemanticTypeIri": "urn:effortless:pko-extension#FieldGrant",
    "Name": "principal-process-steward -&gt; SendIntents.IntentRequiredOptOutPhrase",
    "FieldTable": "SendIntents",
    "FieldName": "IntentRequiredOptOutPhrase",
    "FieldIsDerived": true,
    "IsWritableDerivedField": false,
    "IsMasked": false,
    "GrantKeyWhenReadable": "principal-process-steward|SendIntents"
   },
   {
    "FieldGrantId": "fg-process-steward-SendIntents.ProposedOptOutPosition",
    "Principal": "principal-process-steward",
    "TargetField": "SendIntents.ProposedOptOutPosition",
    "CanRead": true,
    "CanWrite": false,
    "MaskStrategy": "plain",
    "SemanticTypeIri": "urn:effortless:pko-extension#FieldGrant",
    "Name": "principal-process-steward -&gt; SendIntents.ProposedOptOutPosition",
    "FieldTable": "SendIntents",
    "FieldName": "ProposedOptOutPosition",
    "FieldIsDerived": false,
    "IsWritableDerivedField": false,
    "IsMasked": false,
    "GrantKeyWhenReadable": "principal-process-steward|SendIntents"
   },
   {
    "FieldGrantId": "fg-process-steward-SendIntents.OptOutGatePassed",
    "Principal": "principal-process-steward",
    "TargetField": "SendIntents.OptOutGatePassed",
    "CanRead": true,
    "CanWrite": false,
    "MaskStrategy": "plain",
    "SemanticTypeIri": "urn:effortless:pko-extension#FieldGrant",
    "Name": "principal-process-steward -&gt; SendIntents.OptOutGatePassed",
    "FieldTable": "SendIntents",
    "FieldName": "OptOutGatePassed",
    "FieldIsDerived": true,
    "IsWritableDerivedField": false,
    "IsMasked": false,
    "GrantKeyWhenReadable": "principal-process-steward|SendIntents"
   },
   {
    "FieldGrantId": "fg-process-steward-SendIntents.ContentGatePassed",
    "Principal": "principal-process-steward",
    "TargetField": "SendIntents.ContentGatePassed",
    "CanRead": true,
    "CanWrite": false,
    "MaskStrategy": "plain",
    "SemanticTypeIri": "urn:effortless:pko-extension#FieldGrant",
    "Name": "principal-process-steward -&gt; SendIntents.ContentGatePassed",
    "FieldTable": "SendIntents",
    "FieldName": "ContentGatePassed",
    "FieldIsDerived": true,
    "IsWritableDerivedField": false,
    "IsMasked": false,
    "GrantKeyWhenReadable": "principal-process-steward|SendIntents"
   },
   {
    "FieldGrantId": "fg-process-steward-SendIntents.TemplateIsSendable",
    "Principal": "principal-process-steward",
    "TargetField": "SendIntents.TemplateIsSendable",
    "CanRead": true,
    "CanWrite": false,
    "MaskStrategy": "plain",
    "SemanticTypeIri": "urn:effortless:pko-extension#FieldGrant",
    "Name": "principal-process-steward -&gt; SendIntents.TemplateIsSendable",
    "FieldTable": "SendIntents",
    "FieldName": "TemplateIsSendable",
    "FieldIsDerived": true,
    "IsWritableDerivedField": false,
    "IsMasked": false,
    "GrantKeyWhenReadable": "principal-process-steward|SendIntents"
   },
   {
    "FieldGrantId": "fg-process-steward-SendIntents.ExecutionHasLegalClearance",
    "Principal": "principal-process-steward",
    "TargetField": "SendIntents.ExecutionHasLegalClearance",
    "CanRead": true,
    "CanWrite": false,
    "MaskStrategy": "plain",
    "SemanticTypeIri": "urn:effortless:pko-extension#FieldGrant",
    "Name": "principal-process-steward -&gt; SendIntents.ExecutionHasLegalClearance",
    "FieldTable": "SendIntents",
    "FieldName": "ExecutionHasLegalClearance",
    "FieldIsDerived": true,
    "IsWritableDerivedField": false,
    "IsMasked": false,
    "GrantKeyWhenReadable": "principal-process-steward|SendIntents"
   },
   {
    "FieldGrantId": "fg-process-steward-SendIntents.IntentApprovalRole",
    "Principal": "principal-process-steward",
    "TargetField": "SendIntents.IntentApprovalRole",
    "CanRead": true,
    "CanWrite": false,
    "MaskStrategy": "plain",
    "SemanticTypeIri": "urn:effortless:pko-extension#FieldGrant",
    "Name": "principal-process-steward -&gt; SendIntents.IntentApprovalRole",
    "FieldTable": "SendIntents",
    "FieldName": "IntentApprovalRole",
    "FieldIsDerived": true,
    "IsWritableDerivedField": false,
    "IsMasked": false,
    "GrantKeyWhenReadable": "principal-process-steward|SendIntents"
   },
   {
    "FieldGrantId": "fg-process-steward-SendIntents.ApprovalRoleAgentKind",
    "Principal": "principal-process-steward",
    "TargetField": "SendIntents.ApprovalRoleAgentKind",
    "CanRead": true,
    "CanWrite": false,
    "MaskStrategy": "plain",
    "SemanticTypeIri": "urn:effortless:pko-extension#FieldGrant",
    "Name": "principal-process-steward -&gt; SendIntents.ApprovalRoleAgentKind",
    "FieldTable": "SendIntents",
    "FieldName": "ApprovalRoleAgentKind",
    "FieldIsDerived": true,
    "IsWritableDerivedField": false,
    "IsMasked": false,
    "GrantKeyWhenReadable": "principal-process-steward|SendIntents"
   },
   {
    "FieldGrantId": "fg-process-steward-SendIntents.ApprovalIsHuman",
    "Principal": "principal-process-steward",
    "TargetField": "SendIntents.ApprovalIsHuman",
    "CanRead": true,
    "CanWrite": false,
    "MaskStrategy": "plain",
    "SemanticTypeIri": "urn:effortless:pko-extension#FieldGrant",
    "Name": "principal-process-steward -&gt; SendIntents.ApprovalIsHuman",
    "FieldTable": "SendIntents",
    "FieldName": "ApprovalIsHuman",
    "FieldIsDerived": true,
    "IsWritableDerivedField": false,
    "IsMasked": false,
    "GrantKeyWhenReadable": "principal-process-steward|SendIntents"
   },
   {
    "FieldGrantId": "fg-process-steward-SendIntents.AuthorizationGatePassed",
    "Principal": "principal-process-steward",
    "TargetField": "SendIntents.AuthorizationGatePassed",
    "CanRead": true,
    "CanWrite": false,
    "MaskStrategy": "plain",
    "SemanticTypeIri": "urn:effortless:pko-extension#FieldGrant",
    "Name": "principal-process-steward -&gt; SendIntents.AuthorizationGatePassed",
    "FieldTable": "SendIntents",
    "FieldName": "AuthorizationGatePassed",
    "FieldIsDerived": true,
    "IsWritableDerivedField": false,
    "IsMasked": false,
    "GrantKeyWhenReadable": "principal-process-steward|SendIntents"
   },
   {
    "FieldGrantId": "fg-process-steward-SendIntents.IsClearedToSend",
    "Principal": "principal-process-steward",
    "TargetField": "SendIntents.IsClearedToSend",
    "CanRead": true,
    "CanWrite": false,
    "MaskStrategy": "plain",
    "SemanticTypeIri": "urn:effortless:pko-extension#FieldGrant",
    "Name": "principal-process-steward -&gt; SendIntents.IsClearedToSend",
    "FieldTable": "SendIntents",
    "FieldName": "IsClearedToSend",
    "FieldIsDerived": true,
    "IsWritableDerivedField": false,
    "IsMasked": false,
    "GrantKeyWhenReadable": "principal-process-steward|SendIntents"
   },
   {
    "FieldGrantId": "fg-process-steward-SendIntents.BlockingGateName",
    "Principal": "principal-process-steward",
    "TargetField": "SendIntents.BlockingGateName",
    "CanRead": true,
    "CanWrite": false,
    "MaskStrategy": "plain",
    "SemanticTypeIri": "urn:effortless:pko-extension#FieldGrant",
    "Name": "principal-process-steward -&gt; SendIntents.BlockingGateName",
    "FieldTable": "SendIntents",
    "FieldName": "BlockingGateName",
    "FieldIsDerived": true,
    "IsWritableDerivedField": false,
    "IsMasked": false,
    "GrantKeyWhenReadable": "principal-process-steward|SendIntents"
   },
   {
    "FieldGrantId": "fg-process-steward-SendIntents.HasResultingDelivery",
    "Principal": "principal-process-steward",
    "TargetField": "SendIntents.HasResultingDelivery",
    "CanRead": true,
    "CanWrite": false,
    "MaskStrategy": "plain",
    "SemanticTypeIri": "urn:effortless:pko-extension#FieldGrant",
    "Name": "principal-process-steward -&gt; SendIntents.HasResultingDelivery",
    "FieldTable": "SendIntents",
    "FieldName": "HasResultingDelivery",
    "FieldIsDerived": true,
    "IsWritableDerivedField": false,
    "IsMasked": false,
    "GrantKeyWhenReadable": "principal-process-steward|SendIntents"
   },
   {
    "FieldGrantId": "fg-process-steward-SendIntents.ResultingDeliveryWasTransmitted",
    "Principal": "principal-process-steward",
    "TargetField": "SendIntents.ResultingDeliveryWasTransmitted",
    "CanRead": true,
    "CanWrite": false,
    "MaskStrategy": "plain",
    "SemanticTypeIri": "urn:effortless:pko-extension#FieldGrant",
    "Name": "principal-process-steward -&gt; SendIntents.ResultingDeliveryWasTransmitted",
    "FieldTable": "SendIntents",
    "FieldName": "ResultingDeliveryWasTransmitted",
    "FieldIsDerived": true,
    "IsWritableDerivedField": false,
    "IsMasked": false,
    "GrantKeyWhenReadable": "principal-process-steward|SendIntents"
   },
   {
    "FieldGrantId": "fg-process-steward-SendIntents.IsOverriddenRefusal",
    "Principal": "principal-process-steward",
    "TargetField": "SendIntents.IsOverriddenRefusal",
    "CanRead": true,
    "CanWrite": false,
    "MaskStrategy": "plain",
    "SemanticTypeIri": "urn:effortless:pko-extension#FieldGrant",
    "Name": "principal-process-steward -&gt; SendIntents.IsOverriddenRefusal",
    "FieldTable": "SendIntents",
    "FieldName": "IsOverriddenRefusal",
    "FieldIsDerived": true,
    "IsWritableDerivedField": false,
    "IsMasked": false,
    "GrantKeyWhenReadable": "principal-process-steward|SendIntents"
   },
   {
    "FieldGrantId": "fg-process-steward-SendIntents.IsSilentlyDropped",
    "Principal": "principal-process-steward",
    "TargetField": "SendIntents.IsSilentlyDropped",
    "CanRead": true,
    "CanWrite": false,
    "MaskStrategy": "plain",
    "SemanticTypeIri": "urn:effortless:pko-extension#FieldGrant",
    "Name": "principal-process-steward -&gt; SendIntents.IsSilentlyDropped",
    "FieldTable": "SendIntents",
    "FieldName": "IsSilentlyDropped",
    "FieldIsDerived": true,
    "IsWritableDerivedField": false,
    "IsMasked": false,
    "GrantKeyWhenReadable": "principal-process-steward|SendIntents"
   },
   {
    "FieldGrantId": "fg-process-steward-SendIntents.ResultingDeliveryException",
    "Principal": "principal-process-steward",
    "TargetField": "SendIntents.ResultingDeliveryException",
    "CanRead": true,
    "CanWrite": false,
    "MaskStrategy": "plain",
    "SemanticTypeIri": "urn:effortless:pko-extension#FieldGrant",
    "Name": "principal-process-steward -&gt; SendIntents.ResultingDeliveryException",
    "FieldTable": "SendIntents",
    "FieldName": "ResultingDeliveryException",
    "FieldIsDerived": true,
    "IsWritableDerivedField": false,
    "IsMasked": false,
    "GrantKeyWhenReadable": "principal-process-steward|SendIntents"
   },
   {
    "FieldGrantId": "fg-process-steward-SendIntents.RefusalCitedAnException",
    "Principal": "principal-process-steward",
    "TargetField": "SendIntents.RefusalCitedAnException",
    "CanRead": true,
    "CanWrite": false,
    "MaskStrategy": "plain",
    "SemanticTypeIri": "urn:effortless:pko-extension#FieldGrant",
    "Name": "principal-process-steward -&gt; SendIntents.RefusalCitedAnException",
    "FieldTable": "SendIntents",
    "FieldName": "RefusalCitedAnException",
    "FieldIsDerived": true,
    "IsWritableDerivedField": false,
    "IsMasked": false,
    "GrantKeyWhenReadable": "principal-process-steward|SendIntents"
   },
   {
    "FieldGrantId": "fg-process-steward-SendIntents.IsProperlyHandledRefusal",
    "Principal": "principal-process-steward",
    "TargetField": "SendIntents.IsProperlyHandledRefusal",
    "CanRead": true,
    "CanWrite": false,
    "MaskStrategy": "plain",
    "SemanticTypeIri": "urn:effortless:pko-extension#FieldGrant",
    "Name": "principal-process-steward -&gt; SendIntents.IsProperlyHandledRefusal",
    "FieldTable": "SendIntents",
    "FieldName": "IsProperlyHandledRefusal",
    "FieldIsDerived": true,
    "IsWritableDerivedField": false,
    "IsMasked": false,
    "GrantKeyWhenReadable": "principal-process-steward|SendIntents"
   },
   {
    "FieldGrantId": "fg-process-steward-SendIntents.RefusalFailureExecutionKey",
    "Principal": "principal-process-steward",
    "TargetField": "SendIntents.RefusalFailureExecutionKey",
    "CanRead": true,
    "CanWrite": false,
    "MaskStrategy": "plain",
    "SemanticTypeIri": "urn:effortless:pko-extension#FieldGrant",
    "Name": "principal-process-steward -&gt; SendIntents.RefusalFailureExecutionKey",
    "FieldTable": "SendIntents",
    "FieldName": "RefusalFailureExecutionKey",
    "FieldIsDerived": true,
    "IsWritableDerivedField": false,
    "IsMasked": false,
    "GrantKeyWhenReadable": "principal-process-steward|SendIntents"
   },
   {
    "FieldGrantId": "fg-process-steward-SendIntents.IntentExecutionKey",
    "Principal": "principal-process-steward",
    "TargetField": "SendIntents.IntentExecutionKey",
    "CanRead": true,
    "CanWrite": false,
    "MaskStrategy": "plain",
    "SemanticTypeIri": "urn:effortless:pko-extension#FieldGrant",
    "Name": "principal-process-steward -&gt; SendIntents.IntentExecutionKey",
    "FieldTable": "SendIntents",
    "FieldName": "IntentExecutionKey",
    "FieldIsDerived": true,
    "IsWritableDerivedField": false,
    "IsMasked": false,
    "GrantKeyWhenReadable": "principal-process-steward|SendIntents"
   },
   {
    "FieldGrantId": "fg-process-steward-SendIntents.DeliveredIntentExecutionKey",
    "Principal": "principal-process-steward",
    "TargetField": "SendIntents.DeliveredIntentExecutionKey",
    "CanRead": true,
    "CanWrite": false,
    "MaskStrategy": "plain",
    "SemanticTypeIri": "urn:effortless:pko-extension#FieldGrant",
    "Name": "principal-process-steward -&gt; SendIntents.DeliveredIntentExecutionKey",
    "FieldTable": "SendIntents",
    "FieldName": "DeliveredIntentExecutionKey",
    "FieldIsDerived": true,
    "IsWritableDerivedField": false,
    "IsMasked": false,
    "GrantKeyWhenReadable": "principal-process-steward|SendIntents"
   },
   {
    "FieldGrantId": "fg-process-steward-SendIntents.DroppedIntentExecutionKey",
    "Principal": "principal-process-steward",
    "TargetField": "SendIntents.DroppedIntentExecutionKey",
    "CanRead": true,
    "CanWrite": false,
    "MaskStrategy": "plain",
    "SemanticTypeIri": "urn:effortless:pko-extension#FieldGrant",
    "Name": "principal-process-steward -&gt; SendIntents.DroppedIntentExecutionKey",
    "FieldTable": "SendIntents",
    "FieldName": "DroppedIntentExecutionKey",
    "FieldIsDerived": true,
    "IsWritableDerivedField": false,
    "IsMasked": false,
    "GrantKeyWhenReadable": "principal-process-steward|SendIntents"
   },
   {
    "FieldGrantId": "fg-process-steward-SendIntents.MyApprovalWasInForce",
    "Principal": "principal-process-steward",
    "TargetField": "SendIntents.MyApprovalWasInForce",
    "CanRead": true,
    "CanWrite": false,
    "MaskStrategy": "plain",
    "SemanticTypeIri": "urn:effortless:pko-extension#FieldGrant",
    "Name": "principal-process-steward -&gt; SendIntents.MyApprovalWasInForce",
    "FieldTable": "SendIntents",
    "FieldName": "MyApprovalWasInForce",
    "FieldIsDerived": true,
    "IsWritableDerivedField": false,
    "IsMasked": false,
    "GrantKeyWhenReadable": "principal-process-steward|SendIntents"
   },
   {
    "FieldGrantId": "fg-process-steward-SendIntents.RefusedOnApprovedContent",
    "Principal": "principal-process-steward",
    "TargetField": "SendIntents.RefusedOnApprovedContent",
    "CanRead": true,
    "CanWrite": false,
    "MaskStrategy": "plain",
    "SemanticTypeIri": "urn:effortless:pko-extension#FieldGrant",
    "Name": "principal-process-steward -&gt; SendIntents.RefusedOnApprovedContent",
    "FieldTable": "SendIntents",
    "FieldName": "RefusedOnApprovedContent",
    "FieldIsDerived": true,
    "IsWritableDerivedField": false,
    "IsMasked": false,
    "GrantKeyWhenReadable": "principal-process-steward|SendIntents"
   },
   {
    "FieldGrantId": "fg-process-steward-SendIntents.RefusedOnOptOutOnly",
    "Principal": "principal-process-steward",
    "TargetField": "SendIntents.RefusedOnOptOutOnly",
    "CanRead": true,
    "CanWrite": false,
    "MaskStrategy": "plain",
    "SemanticTypeIri": "urn:effortless:pko-extension#FieldGrant",
    "Name": "principal-process-steward -&gt; SendIntents.RefusedOnOptOutOnly",
    "FieldTable": "SendIntents",
    "FieldName": "RefusedOnOptOutOnly",
    "FieldIsDerived": true,
    "IsWritableDerivedField": false,
    "IsMasked": false,
    "GrantKeyWhenReadable": "principal-process-steward|SendIntents"
   },
   {
    "FieldGrantId": "fg-process-steward-SendIntents.RefusalWasOnMyRules",
    "Principal": "principal-process-steward",
    "TargetField": "SendIntents.RefusalWasOnMyRules",
    "CanRead": true,
    "CanWrite": false,
    "MaskStrategy": "plain",
    "SemanticTypeIri": "urn:effortless:pko-extension#FieldGrant",
    "Name": "principal-process-steward -&gt; SendIntents.RefusalWasOnMyRules",
    "FieldTable": "SendIntents",
    "FieldName": "RefusalWasOnMyRules",
    "FieldIsDerived": true,
    "IsWritableDerivedField": false,
    "IsMasked": false,
    "GrantKeyWhenReadable": "principal-process-steward|SendIntents"
   },
   {
    "FieldGrantId": "fg-process-steward-SendIntents.RefusalWasOutsideMyControl",
    "Principal": "principal-p</t>
  </si>
  <si>
    <t xml:space="preserve">rocess-steward",
    "TargetField": "SendIntents.RefusalWasOutsideMyControl",
    "CanRead": true,
    "CanWrite": false,
    "MaskStrategy": "plain",
    "SemanticTypeIri": "urn:effortless:pko-extension#FieldGrant",
    "Name": "principal-process-steward -&gt; SendIntents.RefusalWasOutsideMyControl",
    "FieldTable": "SendIntents",
    "FieldName": "RefusalWasOutsideMyControl",
    "FieldIsDerived": true,
    "IsWritableDerivedField": false,
    "IsMasked": false,
    "GrantKeyWhenReadable": "principal-process-steward|SendIntents"
   },
   {
    "FieldGrantId": "fg-process-steward-SendIntents.ApproverWasNotified",
    "Principal": "principal-process-steward",
    "TargetField": "SendIntents.ApproverWasNotified",
    "CanRead": true,
    "CanWrite": false,
    "MaskStrategy": "plain",
    "SemanticTypeIri": "urn:effortless:pko-extension#FieldGrant",
    "Name": "principal-process-steward -&gt; SendIntents.ApproverWasNotified",
    "FieldTable": "SendIntents",
    "FieldName": "ApproverWasNotified",
    "FieldIsDerived": false,
    "IsWritableDerivedField": false,
    "IsMasked": false,
    "GrantKeyWhenReadable": "principal-process-steward|SendIntents"
   },
   {
    "FieldGrantId": "fg-process-steward-SendIntents.IsUnreportedRefusalOnMyRules",
    "Principal": "principal-process-steward",
    "TargetField": "SendIntents.IsUnreportedRefusalOnMyRules",
    "CanRead": true,
    "CanWrite": false,
    "MaskStrategy": "plain",
    "SemanticTypeIri": "urn:effortless:pko-extension#FieldGrant",
    "Name": "principal-process-steward -&gt; SendIntents.IsUnreportedRefusalOnMyRules",
    "FieldTable": "SendIntents",
    "FieldName": "IsUnreportedRefusalOnMyRules",
    "FieldIsDerived": true,
    "IsWritableDerivedField": false,
    "IsMasked": false,
    "GrantKeyWhenReadable": "principal-process-steward|SendIntents"
   },
   {
    "FieldGrantId": "fg-process-steward-SendIntents.IsApprovalOverriddenSilently",
    "Principal": "principal-process-steward",
    "TargetField": "SendIntents.IsApprovalOverriddenSilently",
    "CanRead": true,
    "CanWrite": false,
    "MaskStrategy": "plain",
    "SemanticTypeIri": "urn:effortless:pko-extension#FieldGrant",
    "Name": "principal-process-steward -&gt; SendIntents.IsApprovalOverriddenSilently",
    "FieldTable": "SendIntents",
    "FieldName": "IsApprovalOverriddenSilently",
    "FieldIsDerived": true,
    "IsWritableDerivedField": false,
    "IsMasked": false,
    "GrantKeyWhenReadable": "principal-process-steward|SendIntents"
   },
   {
    "FieldGrantId": "fg-process-steward-SendIntents.AlternateChannelIntent",
    "Principal": "principal-process-steward",
    "TargetField": "SendIntents.AlternateChannelIntent",
    "CanRead": true,
    "CanWrite": false,
    "MaskStrategy": "plain",
    "SemanticTypeIri": "urn:effortless:pko-extension#FieldGrant",
    "Name": "principal-process-steward -&gt; SendIntents.AlternateChannelIntent",
    "FieldTable": "SendIntents",
    "FieldName": "AlternateChannelIntent",
    "FieldIsDerived": false,
    "IsWritableDerivedField": false,
    "IsMasked": false,
    "GrantKeyWhenReadable": "principal-process-steward|SendIntents"
   },
   {
    "FieldGrantId": "fg-process-steward-SendIntents.HasAlternateChannelAttempt",
    "Principal": "principal-process-steward",
    "TargetField": "SendIntents.HasAlternateChannelAttempt",
    "CanRead": true,
    "CanWrite": false,
    "MaskStrategy": "plain",
    "SemanticTypeIri": "urn:effortless:pko-extension#FieldGrant",
    "Name": "principal-process-steward -&gt; SendIntents.HasAlternateChannelAttempt",
    "FieldTable": "SendIntents",
    "FieldName": "HasAlternateChannelAttempt",
    "FieldIsDerived": true,
    "IsWritableDerivedField": false,
    "IsMasked": false,
    "GrantKeyWhenReadable": "principal-process-steward|SendIntents"
   },
   {
    "FieldGrantId": "fg-process-steward-SendIntents.AlternateAttemptWasCleared",
    "Principal": "principal-process-steward",
    "TargetField": "SendIntents.AlternateAttemptWasCleared",
    "CanRead": true,
    "CanWrite": false,
    "MaskStrategy": "plain",
    "SemanticTypeIri": "urn:effortless:pko-extension#FieldGrant",
    "Name": "principal-process-steward -&gt; SendIntents.AlternateAttemptWasCleared",
    "FieldTable": "SendIntents",
    "FieldName": "AlternateAttemptWasCleared",
    "FieldIsDerived": true,
    "IsWritableDerivedField": false,
    "IsMasked": false,
    "GrantKeyWhenReadable": "principal-process-steward|SendIntents"
   },
   {
    "FieldGrantId": "fg-process-steward-SendIntents.IsRefusedWithNoAlternative",
    "Principal": "principal-process-steward",
    "TargetField": "SendIntents.IsRefusedWithNoAlternative",
    "CanRead": true,
    "CanWrite": false,
    "MaskStrategy": "plain",
    "SemanticTypeIri": "urn:effortless:pko-extension#FieldGrant",
    "Name": "principal-process-steward -&gt; SendIntents.IsRefusedWithNoAlternative",
    "FieldTable": "SendIntents",
    "FieldName": "IsRefusedWithNoAlternative",
    "FieldIsDerived": true,
    "IsWritableDerivedField": false,
    "IsMasked": false,
    "GrantKeyWhenReadable": "principal-process-steward|SendIntents"
   },
   {
    "FieldGrantId": "fg-process-steward-SendIntents.ExceptionPrescribedAnAlternative",
    "Principal": "principal-process-steward",
    "TargetField": "SendIntents.ExceptionPrescribedAnAlternative",
    "CanRead": true,
    "CanWrite": false,
    "MaskStrategy": "plain",
    "SemanticTypeIri": "urn:effortless:pko-extension#FieldGrant",
    "Name": "principal-process-steward -&gt; SendIntents.ExceptionPrescribedAnAlternative",
    "FieldTable": "SendIntents",
    "FieldName": "ExceptionPrescribedAnAlternative",
    "FieldIsDerived": true,
    "IsWritableDerivedField": false,
    "IsMasked": false,
    "GrantKeyWhenReadable": "principal-process-steward|SendIntents"
   },
   {
    "FieldGrantId": "fg-process-steward-SendIntents.PrescribedHandlingWasPerformed",
    "Principal": "principal-process-steward",
    "TargetField": "SendIntents.PrescribedHandlingWasPerformed",
    "CanRead": true,
    "CanWrite": false,
    "MaskStrategy": "plain",
    "SemanticTypeIri": "urn:effortless:pko-extension#FieldGrant",
    "Name": "principal-process-steward -&gt; SendIntents.PrescribedHandlingWasPerformed",
    "FieldTable": "SendIntents",
    "FieldName": "PrescribedHandlingWasPerformed",
    "FieldIsDerived": true,
    "IsWritableDerivedField": false,
    "IsMasked": false,
    "GrantKeyWhenReadable": "principal-process-steward|SendIntents"
   },
   {
    "FieldGrantId": "fg-process-steward-SendIntents.IsSuppressionWithoutRemedy",
    "Principal": "principal-process-steward",
    "TargetField": "SendIntents.IsSuppressionWithoutRemedy",
    "CanRead": true,
    "CanWrite": false,
    "MaskStrategy": "plain",
    "SemanticTypeIri": "urn:effortless:pko-extension#FieldGrant",
    "Name": "principal-process-steward -&gt; SendIntents.IsSuppressionWithoutRemedy",
    "FieldTable": "SendIntents",
    "FieldName": "IsSuppressionWithoutRemedy",
    "FieldIsDerived": true,
    "IsWritableDerivedField": false,
    "IsMasked": false,
    "GrantKeyWhenReadable": "principal-process-steward|SendIntents"
   },
   {
    "FieldGrantId": "fg-process-steward-SendIntents.RefusalRecordedAt",
    "Principal": "principal-process-steward",
    "TargetField": "SendIntents.RefusalRecordedAt",
    "CanRead": true,
    "CanWrite": false,
    "MaskStrategy": "plain",
    "SemanticTypeIri": "urn:effortless:pko-extension#FieldGrant",
    "Name": "principal-process-steward -&gt; SendIntents.RefusalRecordedAt",
    "FieldTable": "SendIntents",
    "FieldName": "RefusalRecordedAt",
    "FieldIsDerived": false,
    "IsWritableDerivedField": false,
    "IsMasked": false,
    "GrantKeyWhenReadable": "principal-process-steward|SendIntents"
   },
   {
    "FieldGrantId": "fg-process-steward-SendIntents.RefusalNotifiedRole",
    "Principal": "principal-process-steward",
    "TargetField": "SendIntents.RefusalNotifiedRole",
    "CanRead": true,
    "CanWrite": false,
    "MaskStrategy": "plain",
    "SemanticTypeIri": "urn:effortless:pko-extension#FieldGrant",
    "Name": "principal-process-steward -&gt; SendIntents.RefusalNotifiedRole",
    "FieldTable": "SendIntents",
    "FieldName": "RefusalNotifiedRole",
    "FieldIsDerived": false,
    "IsWritableDerivedField": false,
    "IsMasked": false,
    "GrantKeyWhenReadable": "principal-process-steward|SendIntents"
   },
   {
    "FieldGrantId": "fg-process-steward-SendIntents.HasDurableRefusalRecord",
    "Principal": "principal-process-steward",
    "TargetField": "SendIntents.HasDurableRefusalRecord",
    "CanRead": true,
    "CanWrite": false,
    "MaskStrategy": "plain",
    "SemanticTypeIri": "urn:effortless:pko-extension#FieldGrant",
    "Name": "principal-process-steward -&gt; SendIntents.HasDurableRefusalRecord",
    "FieldTable": "SendIntents",
    "FieldName": "HasDurableRefusalRecord",
    "FieldIsDerived": true,
    "IsWritableDerivedField": false,
    "IsMasked": false,
    "GrantKeyWhenReadable": "principal-process-steward|SendIntents"
   },
   {
    "FieldGrantId": "fg-process-steward-SendIntents.RefusalWasEscalated",
    "Principal": "principal-process-steward",
    "TargetField": "SendIntents.RefusalWasEscalated",
    "CanRead": true,
    "CanWrite": false,
    "MaskStrategy": "plain",
    "SemanticTypeIri": "urn:effortless:pko-extension#FieldGrant",
    "Name": "principal-process-steward -&gt; SendIntents.RefusalWasEscalated",
    "FieldTable": "SendIntents",
    "FieldName": "RefusalWasEscalated",
    "FieldIsDerived": true,
    "IsWritableDerivedField": false,
    "IsMasked": false,
    "GrantKeyWhenReadable": "principal-process-steward|SendIntents"
   },
   {
    "FieldGrantId": "fg-process-steward-SendIntents.IsUnrecordedRefusal",
    "Principal": "principal-process-steward",
    "TargetField": "SendIntents.IsUnrecordedRefusal",
    "CanRead": true,
    "CanWrite": false,
    "MaskStrategy": "plain",
    "SemanticTypeIri": "urn:effortless:pko-extension#FieldGrant",
    "Name": "principal-process-steward -&gt; SendIntents.IsUnrecordedRefusal",
    "FieldTable": "SendIntents",
    "FieldName": "IsUnrecordedRefusal",
    "FieldIsDerived": true,
    "IsWritableDerivedField": false,
    "IsMasked": false,
    "GrantKeyWhenReadable": "principal-process-steward|SendIntents"
   },
   {
    "FieldGrantId": "fg-process-steward-SendIntents.IsUnescalatedRefusal",
    "Principal": "principal-process-steward",
    "TargetField": "SendIntents.IsUnescalatedRefusal",
    "CanRead": true,
    "CanWrite": false,
    "MaskStrategy": "plain",
    "SemanticTypeIri": "urn:effortless:pko-extension#FieldGrant",
    "Name": "principal-process-steward -&gt; SendIntents.IsUnescalatedRefusal",
    "FieldTable": "SendIntents",
    "FieldName": "IsUnescalatedRefusal",
    "FieldIsDerived": true,
    "IsWritableDerivedField": false,
    "IsMasked": false,
    "GrantKeyWhenReadable": "principal-process-steward|SendIntents"
   },
   {
    "FieldGrantId": "fg-process-steward-SendIntents.UnescalatedRefusalRoleKey",
    "Principal": "principal-process-steward",
    "TargetField": "SendIntents.UnescalatedRefusalRoleKey",
    "CanRead": true,
    "CanWrite": false,
    "MaskStrategy": "plain",
    "SemanticTypeIri": "urn:effortless:pko-extension#FieldGrant",
    "Name": "principal-process-steward -&gt; SendIntents.UnescalatedRefusalRoleKey",
    "FieldTable": "SendIntents",
    "FieldName": "UnescalatedRefusalRoleKey",
    "FieldIsDerived": true,
    "IsWritableDerivedField": false,
    "IsMasked": false,
    "GrantKeyWhenReadable": "principal-process-steward|SendIntents"
   },
   {
    "FieldGrantId": "fg-process-steward-SendIntents.UnrecordedRefusalExecutionKey",
    "Principal": "principal-process-steward",
    "TargetField": "SendIntents.UnrecordedRefusalExecutionKey",
    "CanRead": true,
    "CanWrite": false,
    "MaskStrategy": "plain",
    "SemanticTypeIri": "urn:effortless:pko-extension#FieldGrant",
    "Name": "principal-process-steward -&gt; SendIntents.UnrecordedRefusalExecutionKey",
    "FieldTable": "SendIntents",
    "FieldName": "UnrecordedRefusalExecutionKey",
    "FieldIsDerived": true,
    "IsWritableDerivedField": false,
    "IsMasked": false,
    "GrantKeyWhenReadable": "principal-process-steward|SendIntents"
   },
   {
    "FieldGrantId": "fg-process-steward-SendIntents.RetryIntent",
    "Principal": "principal-process-steward",
    "TargetField": "SendIntents.RetryIntent",
    "CanRead": true,
    "CanWrite": false,
    "MaskStrategy": "plain",
    "SemanticTypeIri": "urn:effortless:pko-extension#FieldGrant",
    "Name": "principal-process-steward -&gt; SendIntents.RetryIntent",
    "FieldTable": "SendIntents",
    "FieldName": "RetryIntent",
    "FieldIsDerived": false,
    "IsWritableDerivedField": false,
    "IsMasked": false,
    "GrantKeyWhenReadable": "principal-process-steward|SendIntents"
   },
   {
    "FieldGrantId": "fg-process-steward-SendIntents.WasDeferredOnTiming",
    "Principal": "principal-process-steward",
    "TargetField": "SendIntents.WasDeferredOnTiming",
    "CanRead": true,
    "CanWrite": false,
    "MaskStrategy": "plain",
    "SemanticTypeIri": "urn:effortless:pko-extension#FieldGrant",
    "Name": "principal-process-steward -&gt; SendIntents.WasDeferredOnTiming",
    "FieldTable": "SendIntents",
    "FieldName": "WasDeferredOnTiming",
    "FieldIsDerived": true,
    "IsWritableDerivedField": false,
    "IsMasked": false,
    "GrantKeyWhenReadable": "principal-process-steward|SendIntents"
   },
   {
    "FieldGrantId": "fg-process-steward-SendIntents.EvaluationContext",
    "Principal": "principal-process-steward",
    "TargetField": "SendIntents.EvaluationContext",
    "CanRead": true,
    "CanWrite": false,
    "MaskStrategy": "plain",
    "SemanticTypeIri": "urn:effortless:pko-extension#FieldGrant",
    "Name": "principal-process-steward -&gt; SendIntents.EvaluationContext",
    "FieldTable": "SendIntents",
    "FieldName": "EvaluationContext",
    "FieldIsDerived": false,
    "IsWritableDerivedField": false,
    "IsMasked": false,
    "GrantKeyWhenReadable": "principal-process-steward|SendIntents"
   },
   {
    "FieldGrantId": "fg-process-steward-SendIntents.AsOfInstant",
    "Principal": "principal-process-steward",
    "TargetField": "SendIntents.AsOfInstant",
    "CanRead": true,
    "CanWrite": false,
    "MaskStrategy": "plain",
    "SemanticTypeIri": "urn:effortless:pko-extension#FieldGrant",
    "Name": "principal-process-steward -&gt; SendIntents.AsOfInstant",
    "FieldTable": "SendIntents",
    "FieldName": "AsOfInstant",
    "FieldIsDerived": true,
    "IsWritableDerivedField": false,
    "IsMasked": false,
    "GrantKeyWhenReadable": "principal-process-steward|SendIntents"
   },
   {
    "FieldGrantId": "fg-process-steward-SendIntents.WindowHasSinceReopened",
    "Principal": "principal-process-steward",
    "TargetField": "SendIntents.WindowHasSinceReopened",
    "CanRead": true,
    "CanWrite": false,
    "MaskStrategy": "plain",
    "SemanticTypeIri": "urn:effortless:pko-extension#FieldGrant",
    "Name": "principal-process-steward -&gt; SendIntents.WindowHasSinceReopened",
    "FieldTable": "SendIntents",
    "FieldName": "WindowHasSinceReopened",
    "FieldIsDerived": true,
    "IsWritableDerivedField": false,
    "IsMasked": false,
    "GrantKeyWhenReadable": "principal-process-steward|SendIntents"
   },
   {
    "FieldGrantId": "fg-process-steward-SendIntents.HasRetryAttempt",
    "Principal": "principal-process-steward",
    "TargetField": "SendIntents.HasRetryAttempt",
    "CanRead": true,
    "CanWrite": false,
    "MaskStrategy": "plain",
    "SemanticTypeIri": "urn:effortless:pko-extension#FieldGrant",
    "Name": "principal-process-steward -&gt; SendIntents.HasRetryAttempt",
    "FieldTable": "SendIntents",
    "FieldName": "HasRetryAttempt",
    "FieldIsDerived": true,
    "IsWritableDerivedField": false,
    "IsMasked": false,
    "GrantKeyWhenReadable": "principal-process-steward|SendIntents"
   },
   {
    "FieldGrantId": "fg-process-steward-SendIntents.RetryWasCleared",
    "Principal": "principal-process-steward",
    "TargetField": "SendIntents.RetryWasCleared",
    "CanRead": true,
    "CanWrite": false,
    "MaskStrategy": "plain",
    "SemanticTypeIri": "urn:effortless:pko-extension#FieldGrant",
    "Name": "principal-process-steward -&gt; SendIntents.RetryWasCleared",
    "FieldTable": "SendIntents",
    "FieldName": "RetryWasCleared",
    "FieldIsDerived": true,
    "IsWritableDerivedField": false,
    "IsMasked": false,
    "GrantKeyWhenReadable": "principal-process-steward|SendIntents"
   },
   {
    "FieldGrantId": "fg-process-steward-SendIntents.IsAbandonedDeferral",
    "Principal": "principal-process-steward",
    "TargetField": "SendIntents.IsAbandonedDeferral",
    "CanRead": true,
    "CanWrite": false,
    "MaskStrategy": "plain",
    "SemanticTypeIri": "urn:effortless:pko-extension#FieldGrant",
    "Name": "principal-process-steward -&gt; SendIntents.IsAbandonedDeferral",
    "FieldTable": "SendIntents",
    "FieldName": "IsAbandonedDeferral",
    "FieldIsDerived": true,
    "IsWritableDerivedField": false,
    "IsMasked": false,
    "GrantKeyWhenReadable": "principal-process-steward|SendIntents"
   },
   {
    "FieldGrantId": "fg-process-steward-SendIntents.DeferralAgeHours",
    "Principal": "principal-process-steward",
    "TargetField": "SendIntents.DeferralAgeHours",
    "CanRead": true,
    "CanWrite": false,
    "MaskStrategy": "plain",
    "SemanticTypeIri": "urn:effortless:pko-extension#FieldGrant",
    "Name": "principal-process-steward -&gt; SendIntents.DeferralAgeHours",
    "FieldTable": "SendIntents",
    "FieldName": "DeferralAgeHours",
    "FieldIsDerived": true,
    "IsWritableDerivedField": false,
    "IsMasked": false,
    "GrantKeyWhenReadable": "principal-process-steward|SendIntents"
   },
   {
    "FieldGrantId": "fg-process-steward-SendIntents.IsStaleDeferral",
    "Principal": "principal-process-steward",
    "TargetField": "SendIntents.IsStaleDeferral",
    "CanRead": true,
    "CanWrite": false,
    "MaskStrategy": "plain",
    "SemanticTypeIri": "urn:effortless:pko-extension#FieldGrant",
    "Name": "principal-process-steward -&gt; SendIntents.IsStaleDeferral",
    "FieldTable": "SendIntents",
    "FieldName": "IsStaleDeferral",
    "FieldIsDerived": true,
    "IsWritableDerivedField": false,
    "IsMasked": false,
    "GrantKeyWhenReadable": "principal-process-steward|SendIntents"
   },
   {
    "FieldGrantId": "fg-process-steward-SendIntents.EvaluatingRoleAssignment",
    "Principal": "principal-process-steward",
    "TargetField": "SendIntents.EvaluatingRoleAssignment",
    "CanRead": true,
    "CanWrite": false,
    "MaskStrategy": "plain",
    "SemanticTypeIri": "urn:effortless:pko-extension#FieldGrant",
    "Name": "principal-process-steward -&gt; SendIntents.EvaluatingRoleAssignment",
    "FieldTable": "SendIntents",
    "FieldName": "EvaluatingRoleAssignment",
    "FieldIsDerived": false,
    "IsWritableDerivedField": false,
    "IsMasked": false,
    "GrantKeyWhenReadable": "principal-process-steward|SendIntents"
   },
   {
    "FieldGrantId": "fg-process-steward-SendIntents.EnforcedByUnauthorizedAgent",
    "Principal": "principal-process-steward",
    "TargetField": "SendIntents.EnforcedByUnauthorizedAgent",
    "CanRead": true,
    "CanWrite": false,
    "MaskStrategy": "plain",
    "SemanticTypeIri": "urn:effortless:pko-extension#FieldGrant",
    "Name": "principal-process-steward -&gt; SendIntents.EnforcedByUnauthorizedAgent",
    "FieldTable": "SendIntents",
    "FieldName": "EnforcedByUnauthorizedAgent",
    "FieldIsDerived": true,
    "IsWritableDerivedField": false,
    "IsMasked": false,
    "GrantKeyWhenReadable": "principal-process-steward|SendIntents"
   },
   {
    "FieldGrantId": "fg-process-steward-SendIntents.ConsentInputWasResolvable",
    "Principal": "principal-process-steward",
    "TargetField": "SendIntents.ConsentInputWasResolvable",
    "CanRead": true,
    "CanWrite": false,
    "MaskStrategy": "plain",
    "SemanticTypeIri": "urn:effortless:pko-extension#FieldGrant",
    "Name": "principal-process-steward -&gt; SendIntents.ConsentInputWasResolvable",
    "FieldTable": "SendIntents",
    "FieldName": "ConsentInputWasResolvable",
    "FieldIsDerived": true,
    "IsWritableDerivedField": false,
    "IsMasked": false,
    "GrantKeyWhenReadable": "principal-process-steward|SendIntents"
   },
   {
    "FieldGrantId": "fg-process-steward-SendIntents.RecipientConsentStatusRaw",
    "Principal": "principal-process-steward",
    "TargetField": "SendIntents.RecipientConsentStatusRaw",
    "CanRead": true,
    "CanWrite": false,
    "MaskStrategy": "plain",
    "SemanticTypeIri": "urn:effortless:pko-extension#FieldGrant",
    "Name": "principal-process-steward -&gt; SendIntents.RecipientConsentStatusRaw",
    "FieldTable": "SendIntents",
    "FieldName": "RecipientConsentStatusRaw",
    "FieldIsDerived": true,
    "IsWritableDerivedField": false,
    "IsMasked": false,
    "GrantKeyWhenReadable": "principal-process-steward|SendIntents"
   },
   {
    "FieldGrantId": "fg-process-steward-SendIntents.PolicyInputWasResolvable",
    "Principal": "principal-process-steward",
    "TargetField": "SendIntents.PolicyInputWasResolvable",
    "CanRead": true,
    "CanWrite": false,
    "MaskStrategy": "plain",
    "SemanticTypeIri": "urn:effortless:pko-extension#FieldGrant",
    "Name": "principal-process-steward -&gt; SendIntents.PolicyInputWasResolvable",
    "FieldTable": "SendIntents",
    "FieldName": "PolicyInputWasResolvable",
    "FieldIsDerived": true,
    "IsWritableDerivedField": false,
    "IsMasked": false,
    "GrantKeyWhenReadable": "principal-process-steward|SendIntents"
   },
   {
    "FieldGrantId": "fg-process-steward-SendIntents.AllGateInputsResolved",
    "Principal": "principal-process-steward",
    "TargetField": "SendIntents.AllGateInputsResolved",
    "CanRead": true,
    "CanWrite": false,
    "MaskStrategy": "plain",
    "SemanticTypeIri": "urn:effortless:pko-extension#FieldGrant",
    "Name": "principal-process-steward -&gt; SendIntents.AllGateInputsResolved",
    "FieldTable": "SendIntents",
    "FieldName": "AllGateInputsResolved",
    "FieldIsDerived": true,
    "IsWritableDerivedField": false,
    "IsMasked": false,
    "GrantKeyWhenReadable": "principal-process-steward|SendIntents"
   },
   {
    "FieldGrantId": "fg-process-steward-SendIntents.IsUnevaluableRefusal",
    "Principal": "principal-process-steward",
    "TargetField": "SendIntents.IsUnevaluableRefusal",
    "CanRead": true,
    "CanWrite": false,
    "MaskStrategy": "plain",
    "SemanticTypeIri": "urn:effortless:pko-extension#FieldGrant",
    "Name": "principal-process-steward -&gt; SendIntents.IsUnevaluableRefusal",
    "FieldTable": "SendIntents",
    "FieldName": "IsUnevaluableRefusal",
    "FieldIsDerived": true,
    "IsWritableDerivedField": false,
    "IsMasked": false,
    "GrantKeyWhenReadable": "principal-process-steward|SendIntents"
   },
   {
    "FieldGrantId": "fg-process-steward-SendIntents.GateResultWasIndependentlyConfirmed",
    "Principal": "principal-process-steward",
    "TargetField": "SendIntents.GateResultWasIndependentlyConfirmed",
    "CanRead": true,
    "CanWrite": false,
    "MaskStrategy": "plain",
    "SemanticTypeIri": "urn:effortless:pko-extension#FieldGrant",
    "Name": "principal-process-steward -&gt; SendIntents.GateResultWasIndependentlyConfirmed",
    "FieldTable": "SendIntents",
    "FieldName": "GateResultWasIndependentlyConfirmed",
    "FieldIsDerived": false,
    "IsWritableDerivedField": false,
    "IsMasked": false,
    "GrantKeyWhenReadable": "principal-process-steward|SendIntents"
   },
   {
    "FieldGrantId": "fg-process-steward-SendIntents.IsSelfWitnessedDecision",
    "Principal": "principal-process-steward",
    "TargetField": "SendIntents.IsSelfWitnessedDecision",
    "CanRead": true,
    "CanWrite": false,
    "MaskStrategy": "plain",
    "SemanticTypeIri": "urn:effortless:pko-extension#FieldGrant",
    "Name": "principal-process-steward -&gt; SendIntents.IsSelfWitnessedDecision",
    "FieldTable": "SendIntents",
    "FieldName": "IsSelfWitnessedDecision",
    "FieldIsDerived": true,
    "IsWritableDerivedField": false,
    "IsMasked": false,
    "GrantKeyWhenReadable": "principal-process-steward|SendIntents"
   },
   {
    "FieldGrantId": "fg-process-steward-SendIntents.IsIndependentlyConfirmed",
    "Principal": "principal-process-steward",
    "TargetField": "SendIntents.IsIndependentlyConfirmed",
    "CanRead": true,
    "CanWrite": false,
    "MaskStrategy": "plain",
    "SemanticTypeIri": "urn:effortless:pko-extension#FieldGrant",
    "Name": "principal-process-steward -&gt; SendIntents.IsIndependentlyConfirmed",
    "FieldTable": "SendIntents",
    "FieldName": "IsIndependentlyConfirmed",
    "FieldIsDerived": true,
    "IsWritableDerivedField": false,
    "IsMasked": false,
    "GrantKeyWhenReadable": "principal-process-steward|SendIntents"
   },
   {
    "FieldGrantId": "fg-process-steward-SendIntents.IndependentlyConfirmedExecutionKey",
    "Principal": "principal-process-steward",
    "TargetField": "SendIntents.IndependentlyConfirmedExecutionKey",
    "CanRead": true,
    "CanWrite": false,
    "MaskStrategy": "plain",
    "SemanticTypeIri": "urn:effortless:pko-extension#FieldGrant",
    "Name": "principal-process-steward -&gt; SendIntents.IndependentlyConfirmedExecutionKey",
    "FieldTable": "SendIntents",
    "FieldName": "IndependentlyConfirmedExecutionKey",
    "FieldIsDerived": true,
    "IsWritableDerivedField": false,
    "IsMasked": false,
    "GrantKeyWhenReadable": "principal-process-steward|SendIntents"
   },
   {
    "FieldGrantId": "fg-process-steward-SendIntents.SemanticTypeIri",
    "Principal": "principal-process-steward",
    "TargetField": "SendIntents.SemanticTypeIri",
    "CanRead": true,
    "CanWrite": false,
    "MaskStrategy": "plain",
    "SemanticTypeIri": "urn:effortless:pko-extension#FieldGrant",
    "Name": "principal-process-steward -&gt; SendIntents.SemanticTypeIri",
    "FieldTable": "SendIntents",
    "FieldName": "SemanticTypeIri",
    "FieldIsDerived": false,
    "IsWritableDerivedField": false,
    "IsMasked": false,
    "GrantKeyWhenReadable": "principal-process-steward|SendIntents"
   },
   {
    "FieldGrantId": "fg-process-steward-StepActions.StepActionId",
    "Principal": "principal-process-steward",
    "TargetField": "StepActions.StepActionId",
    "CanRead": true,
    "CanWrite": false,
    "MaskStrategy": "plain",
    "SemanticTypeIri": "urn:effortless:pko-extension#FieldGrant",
    "Name": "principal-process-steward -&gt; StepActions.StepActionId",
    "FieldTable": "StepActions",
    "FieldName": "StepActionId",
    "FieldIsDerived": false,
    "IsWritableDerivedField": false,
    "IsMasked": false,
    "GrantKeyWhenReadable": "principal-process-steward|StepActions"
   },
   {
    "FieldGrantId": "fg-process-steward-StepActions.Name",
    "Principal": "principal-process-steward",
    "TargetField": "StepActions.Name",
    "CanRead": true,
    "CanWrite": false,
    "MaskStrategy": "plain",
    "SemanticTypeIri": "urn:effortless:pko-extension#FieldGrant",
    "Name": "principal-process-steward -&gt; StepActions.Name",
    "FieldTable": "StepActions",
    "FieldName": "Name",
    "FieldIsDerived": true,
    "IsWritableDerivedField": false,
    "IsMasked": false,
    "GrantKeyWhenReadable": "principal-process-steward|StepActions"
   },
   {
    "FieldGrantId": "fg-process-steward-StepActions.Step",
    "Principal": "principal-process-steward",
    "TargetField": "StepActions.Step",
    "CanRead": true,
    "CanWrite": false,
    "MaskStrategy": "plain",
    "SemanticTypeIri": "urn:effortless:pko-extension#FieldGrant",
    "Name": "principal-process-steward -&gt; StepActions.Step",
    "FieldTable": "StepActions",
    "FieldName": "Step",
    "FieldIsDerived": false,
    "IsWritableDerivedField": false,
    "IsMasked": false,
    "GrantKeyWhenReadable": "principal-process-steward|StepActions"
   },
   {
    "FieldGrantId": "fg-process-steward-StepActions.Action",
    "Principal": "principal-process-steward",
    "TargetField": "StepActions.Action",
    "CanRead": true,
    "CanWrite": false,
    "MaskStrategy": "plain",
    "SemanticTypeIri": "urn:effortless:pko-extension#FieldGrant",
    "Name": "principal-process-steward -&gt; StepActions.Action",
    "FieldTable": "StepActions",
    "FieldName": "Action",
    "FieldIsDerived": false,
    "IsWritableDerivedField": false,
    "IsMasked": false,
    "GrantKeyWhenReadable": "principal-process-steward|StepActions"
   },
   {
    "FieldGrantId": "fg-process-steward-StepExecutions.StepExecutionId",
    "Principal": "principal-process-steward",
    "TargetField": "StepExecutions.StepExecutionId",
    "CanRead": true,
    "CanWrite": false,
    "MaskStrategy": "plain",
    "SemanticTypeIri": "urn:effortless:pko-extension#FieldGrant",
    "Name": "principal-process-steward -&gt; StepExecutions.StepExecutionId",
    "FieldTable": "StepExecutions",
    "FieldName": "StepExecutionId",
    "FieldIsDerived": false,
    "IsWritableDerivedField": false,
    "IsMasked": false,
    "GrantKeyWhenReadable": "principal-process-steward|StepExecutions"
   },
   {
    "FieldGrantId": "fg-process-steward-StepExecutions.Name",
    "Principal": "principal-process-steward",
    "TargetField": "StepExecutions.Name",
    "CanRead": true,
    "CanWrite": false,
    "MaskStrategy": "plain",
    "SemanticTypeIri": "urn:effortless:pko-extension#FieldGrant",
    "Name": "principal-process-steward -&gt; StepExecutions.Name",
    "FieldTable": "StepExecutions",
    "FieldName": "Name",
    "FieldIsDerived": true,
    "IsWritableDerivedField": false,
    "IsMasked": false,
    "GrantKeyWhenReadable": "principal-process-steward|StepExecutions"
   },
   {
    "FieldGrantId": "fg-process-steward-StepExecutions.ProcedureExecution",
    "Principal": "principal-process-steward",
    "TargetField": "StepExecutions.ProcedureExecution",
    "CanRead": true,
    "CanWrite": false,
    "MaskStrategy": "plain",
    "SemanticTypeIri": "urn:effortless:pko-extension#FieldGrant",
    "Name": "principal-process-steward -&gt; StepExecutions.ProcedureExecution",
    "FieldTable": "StepExecutions",
    "FieldName": "ProcedureExecution",
    "FieldIsDerived": false,
    "IsWritableDerivedField": false,
    "IsMasked": false,
    "GrantKeyWhenReadable": "principal-process-steward|StepExecutions"
   },
   {
    "FieldGrantId": "fg-process-steward-StepExecutions.Step",
    "Principal": "principal-process-steward",
    "TargetField": "StepExecutions.Step",
    "CanRead": true,
    "CanWrite": false,
    "MaskStrategy": "plain",
    "SemanticTypeIri": "urn:effortless:pko-extension#FieldGrant",
    "Name": "principal-process-steward -&gt; StepExecutions.Step",
    "FieldTable": "StepExecutions",
    "FieldName": "Step",
    "FieldIsDerived": false,
    "IsWritableDerivedField": false,
    "IsMasked": false,
    "GrantKeyWhenReadable": "principal-process-steward|StepExecutions"
   },
   {
    "FieldGrantId": "fg-process-steward-StepExecutions.ExecutedByAgent",
    "Principal": "principal-process-steward",
    "TargetField": "StepExecutions.ExecutedByAgent",
    "CanRead": true,
    "CanWrite": false,
    "MaskStrategy": "plain",
    "SemanticTypeIri": "urn:effortless:pko-extension#FieldGrant",
    "Name": "principal-process-steward -&gt; StepExecutions.ExecutedByAgent",
    "FieldTable": "StepExecutions",
    "FieldName": "ExecutedByAgent",
    "FieldIsDerived": false,
    "IsWritableDerivedField": false,
    "IsMasked": false,
    "GrantKeyWhenReadable": "principal-process-steward|StepExecutions"
   },
   {
    "FieldGrantId": "fg-process-steward-StepExecutions.ExecutionStatus",
    "Principal": "principal-process-steward",
    "TargetField": "StepExecutions.ExecutionStatus",
    "CanRead": true,
    "CanWrite": false,
    "MaskStrategy": "plain",
    "SemanticTypeIri": "urn:effortless:pko-extension#FieldGrant",
    "Name": "principal-process-steward -&gt; StepExecutions.ExecutionStatus",
    "FieldTable": "StepExecutions",
    "FieldName": "ExecutionStatus",
    "FieldIsDerived": false,
    "IsWritableDerivedField": false,
    "IsMasked": false,
    "GrantKeyWhenReadable": "principal-process-steward|StepExecutions"
   },
   {
    "FieldGrantId": "fg-process-steward-StepExecutions.StartedAt",
    "Principal": "principal-process-steward",
    "TargetField": "StepExecutions.StartedAt",
    "CanRead": true,
    "CanWrite": false,
    "MaskStrategy": "plain",
    "SemanticTypeIri": "urn:effortless:pko-extension#FieldGrant",
    "Name": "principal-process-steward -&gt; StepExecutions.StartedAt",
    "FieldTable": "StepExecutions",
    "FieldName": "StartedAt",
    "FieldIsDerived": false,
    "IsWritableDerivedField": false,
    "IsMask</t>
  </si>
  <si>
    <t xml:space="preserve">ed": false,
    "GrantKeyWhenReadable": "principal-process-steward|StepExecutions"
   },
   {
    "FieldGrantId": "fg-process-steward-StepExecutions.EndedAt",
    "Principal": "principal-process-steward",
    "TargetField": "StepExecutions.EndedAt",
    "CanRead": true,
    "CanWrite": false,
    "MaskStrategy": "plain",
    "SemanticTypeIri": "urn:effortless:pko-extension#FieldGrant",
    "Name": "principal-process-steward -&gt; StepExecutions.EndedAt",
    "FieldTable": "StepExecutions",
    "FieldName": "EndedAt",
    "FieldIsDerived": false,
    "IsWritableDerivedField": false,
    "IsMasked": false,
    "GrantKeyWhenReadable": "principal-process-steward|StepExecutions"
   },
   {
    "FieldGrantId": "fg-process-steward-StepExecutions.VerificationResult",
    "Principal": "principal-process-steward",
    "TargetField": "StepExecutions.VerificationResult",
    "CanRead": true,
    "CanWrite": false,
    "MaskStrategy": "plain",
    "SemanticTypeIri": "urn:effortless:pko-extension#FieldGrant",
    "Name": "principal-process-steward -&gt; StepExecutions.VerificationResult",
    "FieldTable": "StepExecutions",
    "FieldName": "VerificationResult",
    "FieldIsDerived": false,
    "IsWritableDerivedField": false,
    "IsMasked": false,
    "GrantKeyWhenReadable": "principal-process-steward|StepExecutions"
   },
   {
    "FieldGrantId": "fg-process-steward-StepExecutions.Deviation",
    "Principal": "principal-process-steward",
    "TargetField": "StepExecutions.Deviation",
    "CanRead": true,
    "CanWrite": false,
    "MaskStrategy": "plain",
    "SemanticTypeIri": "urn:effortless:pko-extension#FieldGrant",
    "Name": "principal-process-steward -&gt; StepExecutions.Deviation",
    "FieldTable": "StepExecutions",
    "FieldName": "Deviation",
    "FieldIsDerived": false,
    "IsWritableDerivedField": false,
    "IsMasked": false,
    "GrantKeyWhenReadable": "principal-process-steward|StepExecutions"
   },
   {
    "FieldGrantId": "fg-process-steward-StepExecutions.ActualDurationMinutes",
    "Principal": "principal-process-steward",
    "TargetField": "StepExecutions.ActualDurationMinutes",
    "CanRead": true,
    "CanWrite": false,
    "MaskStrategy": "plain",
    "SemanticTypeIri": "urn:effortless:pko-extension#FieldGrant",
    "Name": "principal-process-steward -&gt; StepExecutions.ActualDurationMinutes",
    "FieldTable": "StepExecutions",
    "FieldName": "ActualDurationMinutes",
    "FieldIsDerived": true,
    "IsWritableDerivedField": false,
    "IsMasked": false,
    "GrantKeyWhenReadable": "principal-process-steward|StepExecutions"
   },
   {
    "FieldGrantId": "fg-process-steward-StepExecutions.ExpectedDurationMinutes",
    "Principal": "principal-process-steward",
    "TargetField": "StepExecutions.ExpectedDurationMinutes",
    "CanRead": true,
    "CanWrite": false,
    "MaskStrategy": "plain",
    "SemanticTypeIri": "urn:effortless:pko-extension#FieldGrant",
    "Name": "principal-process-steward -&gt; StepExecutions.ExpectedDurationMinutes",
    "FieldTable": "StepExecutions",
    "FieldName": "ExpectedDurationMinutes",
    "FieldIsDerived": true,
    "IsWritableDerivedField": false,
    "IsMasked": false,
    "GrantKeyWhenReadable": "principal-process-steward|StepExecutions"
   },
   {
    "FieldGrantId": "fg-process-steward-StepExecutions.IsLate",
    "Principal": "principal-process-steward",
    "TargetField": "StepExecutions.IsLate",
    "CanRead": true,
    "CanWrite": false,
    "MaskStrategy": "plain",
    "SemanticTypeIri": "urn:effortless:pko-extension#FieldGrant",
    "Name": "principal-process-steward -&gt; StepExecutions.IsLate",
    "FieldTable": "StepExecutions",
    "FieldName": "IsLate",
    "FieldIsDerived": true,
    "IsWritableDerivedField": false,
    "IsMasked": false,
    "GrantKeyWhenReadable": "principal-process-steward|StepExecutions"
   },
   {
    "FieldGrantId": "fg-process-steward-StepExecutions.BlockingUnmetCount",
    "Principal": "principal-process-steward",
    "TargetField": "StepExecutions.BlockingUnmetCount",
    "CanRead": true,
    "CanWrite": false,
    "MaskStrategy": "plain",
    "SemanticTypeIri": "urn:effortless:pko-extension#FieldGrant",
    "Name": "principal-process-steward -&gt; StepExecutions.BlockingUnmetCount",
    "FieldTable": "StepExecutions",
    "FieldName": "BlockingUnmetCount",
    "FieldIsDerived": true,
    "IsWritableDerivedField": false,
    "IsMasked": false,
    "GrantKeyWhenReadable": "principal-process-steward|StepExecutions"
   },
   {
    "FieldGrantId": "fg-process-steward-StepExecutions.BlockingUnmetCountSafe",
    "Principal": "principal-process-steward",
    "TargetField": "StepExecutions.BlockingUnmetCountSafe",
    "CanRead": true,
    "CanWrite": false,
    "MaskStrategy": "plain",
    "SemanticTypeIri": "urn:effortless:pko-extension#FieldGrant",
    "Name": "principal-process-steward -&gt; StepExecutions.BlockingUnmetCountSafe",
    "FieldTable": "StepExecutions",
    "FieldName": "BlockingUnmetCountSafe",
    "FieldIsDerived": true,
    "IsWritableDerivedField": false,
    "IsMasked": false,
    "GrantKeyWhenReadable": "principal-process-steward|StepExecutions"
   },
   {
    "FieldGrantId": "fg-process-steward-StepExecutions.ProceededPastBlockingControl",
    "Principal": "principal-process-steward",
    "TargetField": "StepExecutions.ProceededPastBlockingControl",
    "CanRead": true,
    "CanWrite": false,
    "MaskStrategy": "plain",
    "SemanticTypeIri": "urn:effortless:pko-extension#FieldGrant",
    "Name": "principal-process-steward -&gt; StepExecutions.ProceededPastBlockingControl",
    "FieldTable": "StepExecutions",
    "FieldName": "ProceededPastBlockingControl",
    "FieldIsDerived": true,
    "IsWritableDerivedField": false,
    "IsMasked": false,
    "GrantKeyWhenReadable": "principal-process-steward|StepExecutions"
   },
   {
    "FieldGrantId": "fg-process-steward-StepExecutions.ExpectedBlockingCount",
    "Principal": "principal-process-steward",
    "TargetField": "StepExecutions.ExpectedBlockingCount",
    "CanRead": true,
    "CanWrite": false,
    "MaskStrategy": "plain",
    "SemanticTypeIri": "urn:effortless:pko-extension#FieldGrant",
    "Name": "principal-process-steward -&gt; StepExecutions.ExpectedBlockingCount",
    "FieldTable": "StepExecutions",
    "FieldName": "ExpectedBlockingCount",
    "FieldIsDerived": true,
    "IsWritableDerivedField": false,
    "IsMasked": false,
    "GrantKeyWhenReadable": "principal-process-steward|StepExecutions"
   },
   {
    "FieldGrantId": "fg-process-steward-StepExecutions.EvaluatedBlockingCount",
    "Principal": "principal-process-steward",
    "TargetField": "StepExecutions.EvaluatedBlockingCount",
    "CanRead": true,
    "CanWrite": false,
    "MaskStrategy": "plain",
    "SemanticTypeIri": "urn:effortless:pko-extension#FieldGrant",
    "Name": "principal-process-steward -&gt; StepExecutions.EvaluatedBlockingCount",
    "FieldTable": "StepExecutions",
    "FieldName": "EvaluatedBlockingCount",
    "FieldIsDerived": true,
    "IsWritableDerivedField": false,
    "IsMasked": false,
    "GrantKeyWhenReadable": "principal-process-steward|StepExecutions"
   },
   {
    "FieldGrantId": "fg-process-steward-StepExecutions.UnevaluatedBlockingCount",
    "Principal": "principal-process-steward",
    "TargetField": "StepExecutions.UnevaluatedBlockingCount",
    "CanRead": true,
    "CanWrite": false,
    "MaskStrategy": "plain",
    "SemanticTypeIri": "urn:effortless:pko-extension#FieldGrant",
    "Name": "principal-process-steward -&gt; StepExecutions.UnevaluatedBlockingCount",
    "FieldTable": "StepExecutions",
    "FieldName": "UnevaluatedBlockingCount",
    "FieldIsDerived": true,
    "IsWritableDerivedField": false,
    "IsMasked": false,
    "GrantKeyWhenReadable": "principal-process-steward|StepExecutions"
   },
   {
    "FieldGrantId": "fg-process-steward-StepExecutions.HasUnevaluatedBlockingControl",
    "Principal": "principal-process-steward",
    "TargetField": "StepExecutions.HasUnevaluatedBlockingControl",
    "CanRead": true,
    "CanWrite": false,
    "MaskStrategy": "plain",
    "SemanticTypeIri": "urn:effortless:pko-extension#FieldGrant",
    "Name": "principal-process-steward -&gt; StepExecutions.HasUnevaluatedBlockingControl",
    "FieldTable": "StepExecutions",
    "FieldName": "HasUnevaluatedBlockingControl",
    "FieldIsDerived": true,
    "IsWritableDerivedField": false,
    "IsMasked": false,
    "GrantKeyWhenReadable": "principal-process-steward|StepExecutions"
   },
   {
    "FieldGrantId": "fg-process-steward-StepExecutions.StaleAuthoritativeSourceCount",
    "Principal": "principal-process-steward",
    "TargetField": "StepExecutions.StaleAuthoritativeSourceCount",
    "CanRead": true,
    "CanWrite": false,
    "MaskStrategy": "plain",
    "SemanticTypeIri": "urn:effortless:pko-extension#FieldGrant",
    "Name": "principal-process-steward -&gt; StepExecutions.StaleAuthoritativeSourceCount",
    "FieldTable": "StepExecutions",
    "FieldName": "StaleAuthoritativeSourceCount",
    "FieldIsDerived": true,
    "IsWritableDerivedField": false,
    "IsMasked": false,
    "GrantKeyWhenReadable": "principal-process-steward|StepExecutions"
   },
   {
    "FieldGrantId": "fg-process-steward-StepExecutions.RanOnStaleAuthoritativeSource",
    "Principal": "principal-process-steward",
    "TargetField": "StepExecutions.RanOnStaleAuthoritativeSource",
    "CanRead": true,
    "CanWrite": false,
    "MaskStrategy": "plain",
    "SemanticTypeIri": "urn:effortless:pko-extension#FieldGrant",
    "Name": "principal-process-steward -&gt; StepExecutions.RanOnStaleAuthoritativeSource",
    "FieldTable": "StepExecutions",
    "FieldName": "RanOnStaleAuthoritativeSource",
    "FieldIsDerived": true,
    "IsWritableDerivedField": false,
    "IsMasked": false,
    "GrantKeyWhenReadable": "principal-process-steward|StepExecutions"
   },
   {
    "FieldGrantId": "fg-process-steward-StepExecutions.HasDeviationNote",
    "Principal": "principal-process-steward",
    "TargetField": "StepExecutions.HasDeviationNote",
    "CanRead": true,
    "CanWrite": false,
    "MaskStrategy": "plain",
    "SemanticTypeIri": "urn:effortless:pko-extension#FieldGrant",
    "Name": "principal-process-steward -&gt; StepExecutions.HasDeviationNote",
    "FieldTable": "StepExecutions",
    "FieldName": "HasDeviationNote",
    "FieldIsDerived": true,
    "IsWritableDerivedField": false,
    "IsMasked": false,
    "GrantKeyWhenReadable": "principal-process-steward|StepExecutions"
   },
   {
    "FieldGrantId": "fg-process-steward-StepExecutions.IsLateAndUnexplained",
    "Principal": "principal-process-steward",
    "TargetField": "StepExecutions.IsLateAndUnexplained",
    "CanRead": true,
    "CanWrite": false,
    "MaskStrategy": "plain",
    "SemanticTypeIri": "urn:effortless:pko-extension#FieldGrant",
    "Name": "principal-process-steward -&gt; StepExecutions.IsLateAndUnexplained",
    "FieldTable": "StepExecutions",
    "FieldName": "IsLateAndUnexplained",
    "FieldIsDerived": true,
    "IsWritableDerivedField": false,
    "IsMasked": false,
    "GrantKeyWhenReadable": "principal-process-steward|StepExecutions"
   },
   {
    "FieldGrantId": "fg-process-steward-StepExecutions.AvailableExceptionCountForStep",
    "Principal": "principal-process-steward",
    "TargetField": "StepExecutions.AvailableExceptionCountForStep",
    "CanRead": true,
    "CanWrite": false,
    "MaskStrategy": "plain",
    "SemanticTypeIri": "urn:effortless:pko-extension#FieldGrant",
    "Name": "principal-process-steward -&gt; StepExecutions.AvailableExceptionCountForStep",
    "FieldTable": "StepExecutions",
    "FieldName": "AvailableExceptionCountForStep",
    "FieldIsDerived": true,
    "IsWritableDerivedField": false,
    "IsMasked": false,
    "GrantKeyWhenReadable": "principal-process-steward|StepExecutions"
   },
   {
    "FieldGrantId": "fg-process-steward-StepExecutions.HadUninvokedExceptionAvailable",
    "Principal": "principal-process-steward",
    "TargetField": "StepExecutions.HadUninvokedExceptionAvailable",
    "CanRead": true,
    "CanWrite": false,
    "MaskStrategy": "plain",
    "SemanticTypeIri": "urn:effortless:pko-extension#FieldGrant",
    "Name": "principal-process-steward -&gt; StepExecutions.HadUninvokedExceptionAvailable",
    "FieldTable": "StepExecutions",
    "FieldName": "HadUninvokedExceptionAvailable",
    "FieldIsDerived": true,
    "IsWritableDerivedField": false,
    "IsMasked": false,
    "GrantKeyWhenReadable": "principal-process-steward|StepExecutions"
   },
   {
    "FieldGrantId": "fg-process-steward-StepExecutions.ExpectedVerificationCount",
    "Principal": "principal-process-steward",
    "TargetField": "StepExecutions.ExpectedVerificationCount",
    "CanRead": true,
    "CanWrite": false,
    "MaskStrategy": "plain",
    "SemanticTypeIri": "urn:effortless:pko-extension#FieldGrant",
    "Name": "principal-process-steward -&gt; StepExecutions.ExpectedVerificationCount",
    "FieldTable": "StepExecutions",
    "FieldName": "ExpectedVerificationCount",
    "FieldIsDerived": true,
    "IsWritableDerivedField": false,
    "IsMasked": false,
    "GrantKeyWhenReadable": "principal-process-steward|StepExecutions"
   },
   {
    "FieldGrantId": "fg-process-steward-StepExecutions.PerformedVerificationCount",
    "Principal": "principal-process-steward",
    "TargetField": "StepExecutions.PerformedVerificationCount",
    "CanRead": true,
    "CanWrite": false,
    "MaskStrategy": "plain",
    "SemanticTypeIri": "urn:effortless:pko-extension#FieldGrant",
    "Name": "principal-process-steward -&gt; StepExecutions.PerformedVerificationCount",
    "FieldTable": "StepExecutions",
    "FieldName": "PerformedVerificationCount",
    "FieldIsDerived": true,
    "IsWritableDerivedField": false,
    "IsMasked": false,
    "GrantKeyWhenReadable": "principal-process-steward|StepExecutions"
   },
   {
    "FieldGrantId": "fg-process-steward-StepExecutions.SkippedVerificationCount",
    "Principal": "principal-process-steward",
    "TargetField": "StepExecutions.SkippedVerificationCount",
    "CanRead": true,
    "CanWrite": false,
    "MaskStrategy": "plain",
    "SemanticTypeIri": "urn:effortless:pko-extension#FieldGrant",
    "Name": "principal-process-steward -&gt; StepExecutions.SkippedVerificationCount",
    "FieldTable": "StepExecutions",
    "FieldName": "SkippedVerificationCount",
    "FieldIsDerived": true,
    "IsWritableDerivedField": false,
    "IsMasked": false,
    "GrantKeyWhenReadable": "principal-process-steward|StepExecutions"
   },
   {
    "FieldGrantId": "fg-process-steward-StepExecutions.HasSkippedVerification",
    "Principal": "principal-process-steward",
    "TargetField": "StepExecutions.HasSkippedVerification",
    "CanRead": true,
    "CanWrite": false,
    "MaskStrategy": "plain",
    "SemanticTypeIri": "urn:effortless:pko-extension#FieldGrant",
    "Name": "principal-process-steward -&gt; StepExecutions.HasSkippedVerification",
    "FieldTable": "StepExecutions",
    "FieldName": "HasSkippedVerification",
    "FieldIsDerived": true,
    "IsWritableDerivedField": false,
    "IsMasked": false,
    "GrantKeyWhenReadable": "principal-process-steward|StepExecutions"
   },
   {
    "FieldGrantId": "fg-process-steward-StepExecutions.ClaimsPassWithoutEvidence",
    "Principal": "principal-process-steward",
    "TargetField": "StepExecutions.ClaimsPassWithoutEvidence",
    "CanRead": true,
    "CanWrite": false,
    "MaskStrategy": "plain",
    "SemanticTypeIri": "urn:effortless:pko-extension#FieldGrant",
    "Name": "principal-process-steward -&gt; StepExecutions.ClaimsPassWithoutEvidence",
    "FieldTable": "StepExecutions",
    "FieldName": "ClaimsPassWithoutEvidence",
    "FieldIsDerived": true,
    "IsWritableDerivedField": false,
    "IsMasked": false,
    "GrantKeyWhenReadable": "principal-process-steward|StepExecutions"
   },
   {
    "FieldGrantId": "fg-process-steward-StepExecutions.StepIsPreparation",
    "Principal": "principal-process-steward",
    "TargetField": "StepExecutions.StepIsPreparation",
    "CanRead": true,
    "CanWrite": false,
    "MaskStrategy": "plain",
    "SemanticTypeIri": "urn:effortless:pko-extension#FieldGrant",
    "Name": "principal-process-steward -&gt; StepExecutions.StepIsPreparation",
    "FieldTable": "StepExecutions",
    "FieldName": "StepIsPreparation",
    "FieldIsDerived": true,
    "IsWritableDerivedField": false,
    "IsMasked": false,
    "GrantKeyWhenReadable": "principal-process-steward|StepExecutions"
   },
   {
    "FieldGrantId": "fg-process-steward-StepExecutions.StepIsApproval",
    "Principal": "principal-process-steward",
    "TargetField": "StepExecutions.StepIsApproval",
    "CanRead": true,
    "CanWrite": false,
    "MaskStrategy": "plain",
    "SemanticTypeIri": "urn:effortless:pko-extension#FieldGrant",
    "Name": "principal-process-steward -&gt; StepExecutions.StepIsApproval",
    "FieldTable": "StepExecutions",
    "FieldName": "StepIsApproval",
    "FieldIsDerived": true,
    "IsWritableDerivedField": false,
    "IsMasked": false,
    "GrantKeyWhenReadable": "principal-process-steward|StepExecutions"
   },
   {
    "FieldGrantId": "fg-process-steward-StepExecutions.PreparerAgentKey",
    "Principal": "principal-process-steward",
    "TargetField": "StepExecutions.PreparerAgentKey",
    "CanRead": true,
    "CanWrite": false,
    "MaskStrategy": "plain",
    "SemanticTypeIri": "urn:effortless:pko-extension#FieldGrant",
    "Name": "principal-process-steward -&gt; StepExecutions.PreparerAgentKey",
    "FieldTable": "StepExecutions",
    "FieldName": "PreparerAgentKey",
    "FieldIsDerived": true,
    "IsWritableDerivedField": false,
    "IsMasked": false,
    "GrantKeyWhenReadable": "principal-process-steward|StepExecutions"
   },
   {
    "FieldGrantId": "fg-process-steward-StepExecutions.ApproverAgentKey",
    "Principal": "principal-process-steward",
    "TargetField": "StepExecutions.ApproverAgentKey",
    "CanRead": true,
    "CanWrite": false,
    "MaskStrategy": "plain",
    "SemanticTypeIri": "urn:effortless:pko-extension#FieldGrant",
    "Name": "principal-process-steward -&gt; StepExecutions.ApproverAgentKey",
    "FieldTable": "StepExecutions",
    "FieldName": "ApproverAgentKey",
    "FieldIsDerived": true,
    "IsWritableDerivedField": false,
    "IsMasked": false,
    "GrantKeyWhenReadable": "principal-process-steward|StepExecutions"
   },
   {
    "FieldGrantId": "fg-process-steward-StepExecutions.PreparedByThisAgentCount",
    "Principal": "principal-process-steward",
    "TargetField": "StepExecutions.PreparedByThisAgentCount",
    "CanRead": true,
    "CanWrite": false,
    "MaskStrategy": "plain",
    "SemanticTypeIri": "urn:effortless:pko-extension#FieldGrant",
    "Name": "principal-process-steward -&gt; StepExecutions.PreparedByThisAgentCount",
    "FieldTable": "StepExecutions",
    "FieldName": "PreparedByThisAgentCount",
    "FieldIsDerived": true,
    "IsWritableDerivedField": false,
    "IsMasked": false,
    "GrantKeyWhenReadable": "principal-process-steward|StepExecutions"
   },
   {
    "FieldGrantId": "fg-process-steward-StepExecutions.ViolatesSeparationOfDuties",
    "Principal": "principal-process-steward",
    "TargetField": "StepExecutions.ViolatesSeparationOfDuties",
    "CanRead": true,
    "CanWrite": false,
    "MaskStrategy": "plain",
    "SemanticTypeIri": "urn:effortless:pko-extension#FieldGrant",
    "Name": "principal-process-steward -&gt; StepExecutions.ViolatesSeparationOfDuties",
    "FieldTable": "StepExecutions",
    "FieldName": "ViolatesSeparationOfDuties",
    "FieldIsDerived": true,
    "IsWritableDerivedField": false,
    "IsMasked": false,
    "GrantKeyWhenReadable": "principal-process-steward|StepExecutions"
   },
   {
    "FieldGrantId": "fg-process-steward-StepExecutions.RequiredRoleForStep",
    "Principal": "principal-process-steward",
    "TargetField": "StepExecutions.RequiredRoleForStep",
    "CanRead": true,
    "CanWrite": false,
    "MaskStrategy": "plain",
    "SemanticTypeIri": "urn:effortless:pko-extension#FieldGrant",
    "Name": "principal-process-steward -&gt; StepExecutions.RequiredRoleForStep",
    "FieldTable": "StepExecutions",
    "FieldName": "RequiredRoleForStep",
    "FieldIsDerived": true,
    "IsWritableDerivedField": false,
    "IsMasked": false,
    "GrantKeyWhenReadable": "principal-process-steward|StepExecutions"
   },
   {
    "FieldGrantId": "fg-process-steward-StepExecutions.ExecutorRoleKey",
    "Principal": "principal-process-steward",
    "TargetField": "StepExecutions.ExecutorRoleKey",
    "CanRead": true,
    "CanWrite": false,
    "MaskStrategy": "plain",
    "SemanticTypeIri": "urn:effortless:pko-extension#FieldGrant",
    "Name": "principal-process-steward -&gt; StepExecutions.ExecutorRoleKey",
    "FieldTable": "StepExecutions",
    "FieldName": "ExecutorRoleKey",
    "FieldIsDerived": true,
    "IsWritableDerivedField": false,
    "IsMasked": false,
    "GrantKeyWhenReadable": "principal-process-steward|StepExecutions"
   },
   {
    "FieldGrantId": "fg-process-steward-StepExecutions.ExecutorAuthorityCount",
    "Principal": "principal-process-steward",
    "TargetField": "StepExecutions.ExecutorAuthorityCount",
    "CanRead": true,
    "CanWrite": false,
    "MaskStrategy": "plain",
    "SemanticTypeIri": "urn:effortless:pko-extension#FieldGrant",
    "Name": "principal-process-steward -&gt; StepExecutions.ExecutorAuthorityCount",
    "FieldTable": "StepExecutions",
    "FieldName": "ExecutorAuthorityCount",
    "FieldIsDerived": true,
    "IsWritableDerivedField": false,
    "IsMasked": false,
    "GrantKeyWhenReadable": "principal-process-steward|StepExecutions"
   },
   {
    "FieldGrantId": "fg-process-steward-StepExecutions.ExecutorHeldRequiredRole",
    "Principal": "principal-process-steward",
    "TargetField": "StepExecutions.ExecutorHeldRequiredRole",
    "CanRead": true,
    "CanWrite": false,
    "MaskStrategy": "plain",
    "SemanticTypeIri": "urn:effortless:pko-extension#FieldGrant",
    "Name": "principal-process-steward -&gt; StepExecutions.ExecutorHeldRequiredRole",
    "FieldTable": "StepExecutions",
    "FieldName": "ExecutorHeldRequiredRole",
    "FieldIsDerived": true,
    "IsWritableDerivedField": false,
    "IsMasked": false,
    "GrantKeyWhenReadable": "principal-process-steward|StepExecutions"
   },
   {
    "FieldGrantId": "fg-process-steward-StepExecutions.IsUnauthorizedApproval",
    "Principal": "principal-process-steward",
    "TargetField": "StepExecutions.IsUnauthorizedApproval",
    "CanRead": true,
    "CanWrite": false,
    "MaskStrategy": "plain",
    "SemanticTypeIri": "urn:effortless:pko-extension#FieldGrant",
    "Name": "principal-process-steward -&gt; StepExecutions.IsUnauthorizedApproval",
    "FieldTable": "StepExecutions",
    "FieldName": "IsUnauthorizedApproval",
    "FieldIsDerived": true,
    "IsWritableDerivedField": false,
    "IsMasked": false,
    "GrantKeyWhenReadable": "principal-process-steward|StepExecutions"
   },
   {
    "FieldGrantId": "fg-process-steward-StepExecutions.CompletedExecutionKey",
    "Principal": "principal-process-steward",
    "TargetField": "StepExecutions.CompletedExecutionKey",
    "CanRead": true,
    "CanWrite": false,
    "MaskStrategy": "plain",
    "SemanticTypeIri": "urn:effortless:pko-extension#FieldGrant",
    "Name": "principal-process-steward -&gt; StepExecutions.CompletedExecutionKey",
    "FieldTable": "StepExecutions",
    "FieldName": "CompletedExecutionKey",
    "FieldIsDerived": true,
    "IsWritableDerivedField": false,
    "IsMasked": false,
    "GrantKeyWhenReadable": "principal-process-steward|StepExecutions"
   },
   {
    "FieldGrantId": "fg-process-steward-StepExecutions.ControlBreachExecutionKey",
    "Principal": "principal-process-steward",
    "TargetField": "StepExecutions.ControlBreachExecutionKey",
    "CanRead": true,
    "CanWrite": false,
    "MaskStrategy": "plain",
    "SemanticTypeIri": "urn:effortless:pko-extension#FieldGrant",
    "Name": "principal-process-steward -&gt; StepExecutions.ControlBreachExecutionKey",
    "FieldTable": "StepExecutions",
    "FieldName": "ControlBreachExecutionKey",
    "FieldIsDerived": true,
    "IsWritableDerivedField": false,
    "IsMasked": false,
    "GrantKeyWhenReadable": "principal-process-steward|StepExecutions"
   },
   {
    "FieldGrantId": "fg-process-steward-StepExecutions.LateExecutionKey",
    "Principal": "principal-process-steward",
    "TargetField": "StepExecutions.LateExecutionKey",
    "CanRead": true,
    "CanWrite": false,
    "MaskStrategy": "plain",
    "SemanticTypeIri": "urn:effortless:pko-extension#FieldGrant",
    "Name": "principal-process-steward -&gt; StepExecutions.LateExecutionKey",
    "FieldTable": "StepExecutions",
    "FieldName": "LateExecutionKey",
    "FieldIsDerived": true,
    "IsWritableDerivedField": false,
    "IsMasked": false,
    "GrantKeyWhenReadable": "principal-process-steward|StepExecutions"
   },
   {
    "FieldGrantId": "fg-process-steward-StepExecutions.ExecutorAgentKind",
    "Principal": "principal-process-steward",
    "TargetField": "StepExecutions.ExecutorAgentKind",
    "CanRead": true,
    "CanWrite": false,
    "MaskStrategy": "plain",
    "SemanticTypeIri": "urn:effortless:pko-extension#FieldGrant",
    "Name": "principal-process-steward -&gt; StepExecutions.ExecutorAgentKind",
    "FieldTable": "StepExecutions",
    "FieldName": "ExecutorAgentKind",
    "FieldIsDerived": true,
    "IsWritableDerivedField": false,
    "IsMasked": false,
    "GrantKeyWhenReadable": "principal-process-steward|StepExecutions"
   },
   {
    "FieldGrantId": "fg-process-steward-StepExecutions.ExecutorIsHuman",
    "Principal": "principal-process-steward",
    "TargetField": "StepExecutions.ExecutorIsHuman",
    "CanRead": true,
    "CanWrite": false,
    "MaskStrategy": "plain",
    "SemanticTypeIri": "urn:effortless:pko-extension#FieldGrant",
    "Name": "principal-process-steward -&gt; StepExecutions.ExecutorIsHuman",
    "FieldTable": "StepExecutions",
    "FieldName": "ExecutorIsHuman",
    "FieldIsDerived": true,
    "IsWritableDerivedField": false,
    "IsMasked": false,
    "GrantKeyWhenReadable": "principal-process-steward|StepExecutions"
   },
   {
    "FieldGrantId": "fg-process-steward-StepExecutions.StepRequiresHumanConfirmation",
    "Principal": "principal-process-steward",
    "TargetField": "StepExecutions.StepRequiresHumanConfirmation",
    "CanRead": true,
    "CanWrite": false,
    "MaskStrategy": "plain",
    "SemanticTypeIri": "urn:effortless:pko-extension#FieldGrant",
    "Name": "principal-process-steward -&gt; StepExecutions.StepRequiresHumanConfirmation",
    "FieldTable": "StepExecutions",
    "FieldName": "StepRequiresHumanConfirmation",
    "FieldIsDerived": true,
    "IsWritableDerivedField": false,
    "IsMasked": false,
    "GrantKeyWhenReadable": "principal-process-steward|StepExecutions"
   },
   {
    "FieldGrantId": "fg-process-steward-StepExecutions.NonHumanRanHumanStep",
    "Principal": "principal-process-steward",
    "TargetField": "StepExecutions.NonHumanRanHumanStep",
    "CanRead": true,
    "CanWrite": false,
    "MaskStrategy": "plain",
    "SemanticTypeIri": "urn:effortless:pko-extension#FieldGrant",
    "Name": "principal-process-steward -&gt; StepExecutions.NonHumanRanHumanStep",
    "FieldTable": "StepExecutions",
    "FieldName": "NonHumanRanHumanStep",
    "FieldIsDerived": true,
    "IsWritableDerivedField": false,
    "IsMasked": false,
    "GrantKeyWhenReadable": "principal-process-steward|StepExecutions"
   },
   {
    "FieldGrantId": "fg-process-steward-StepExecutions.NonHumanApproval",
    "Principal": "principal-process-steward",
    "TargetField": "StepExecutions.NonHumanApproval",
    "CanRead": true,
    "CanWrite": false,
    "MaskStrategy": "plain",
    "SemanticTypeIri": "urn:effortless:pko-extension#FieldGrant",
    "Name": "principal-process-steward -&gt; StepExecutions.NonHumanApproval",
    "FieldTable": "StepExecutions",
    "FieldName": "NonHumanApproval",
    "FieldIsDerived": true,
    "IsWritableDerivedField": false,
    "IsMasked": false,
    "GrantKeyWhenReadable": "principal-process-steward|StepExecutions"
   },
   {
    "FieldGrantId": "fg-process-steward-StepExecutions.UnevaluatedBlockingExecutionKey",
    "Principal": "principal-process-steward",
    "TargetField": "StepExecutions.UnevaluatedBlockingExecutionKey",
    "CanRead": true,
    "CanWrite": false,
    "MaskStrategy": "plain",
    "SemanticTypeIri": "urn:effortless:pko-extension#FieldGrant",
    "Name": "principal-process-steward -&gt; StepExecutions.UnevaluatedBlockingExecutionKey",
    "FieldTable": "StepExecutions",
    "FieldName": "UnevaluatedBlockingExecutionKey",
    "FieldIsDerived": true,
    "IsWritableDerivedField": false,
    "IsMasked": false,
    "GrantKeyWhenReadable": "principal-process-steward|StepExecutions"
   },
   {
    "FieldGrantId": "fg-process-steward-StepExecutions.SeparationViolationExecutionKey",
    "Principal": "principal-process-steward",
    "TargetField": "StepExecutions.SeparationViolationExecutionKey",
    "CanRead": true,
    "CanWrite": false,
    "MaskStrategy": "plain",
    "SemanticTypeIri": "urn:effortless:pko-extension#FieldGrant",
    "Name": "principal-process-steward -&gt; StepExecutions.SeparationViolationExecutionKey",
    "FieldTable": "StepExecutions",
    "FieldName": "SeparationViolationExecutionKey",
    "FieldIsDerived": true,
    "IsWritableDerivedField": false,
    "IsMasked": false,
    "GrantKeyWhenReadable": "principal-process-steward|StepExecutions"
   },
   {
    "FieldGrantId": "fg-process-steward-StepExecutions.SelfWitnessedVerificationCount",
    "Principal": "principal-process-steward",
    "TargetField": "StepExecutions.SelfWitnessedVerificationCount",
    "CanRead": true,
    "CanWrite": false,
    "MaskStrategy": "plain",
    "SemanticTypeIri": "urn:effortless:pko-extension#FieldGrant",
    "Name": "principal-process-steward -&gt; StepExecutions.SelfWitnessedVerificationCount",
    "FieldTable": "StepExecutions",
    "FieldName": "SelfWitnessedVerificationCount",
    "FieldIsDerived": true,
    "IsWritableDerivedField": false,
    "IsMasked": false,
    "GrantKeyWhenReadable": "principal-process-steward|StepExecutions"
   },
   {
    "FieldGrantId": "fg-process-steward-StepExecutions.UnbackedVerificationCount",
    "Principal": "principal-process-steward",
    "TargetField": "StepExecutions.UnbackedVerificationCount",
    "CanRead": true,
    "CanWrite": false,
    "MaskStrategy": "plain",
    "SemanticTypeIri": "urn:effortless:pko-extension#FieldGrant",
    "Name": "principal-process-steward -&gt; StepExecutions.UnbackedVerificationCount",
    "FieldTable": "StepExecutions",
    "FieldName": "UnbackedVerificationCount",
    "FieldIsDerived": true,
    "IsWritableDerivedField": false,
    "IsMasked": false,
    "GrantKeyWhenReadable": "principal-process-steward|StepExecutions"
   },
   {
    "FieldGrantId": "fg-process-steward-StepExecutions.ApprovalRestsOnSelfAttestation",
    "Principal": "principal-process-steward",
    "TargetField": "StepExecutions.ApprovalRestsOnSelfAttestation",
    "CanRead": true,
    "CanWrite": false,
    "MaskStrategy": "plain",
    "SemanticTypeIri": "urn:effortless:pko-extension#FieldGrant",
    "Name": "principal-process-steward -&gt; StepExecutions.ApprovalRestsOnSelfAttestation",
    "FieldTable": "StepExecutions",
    "FieldName": "ApprovalRestsOnSelfAttestation",
    "FieldIsDerived": true,
    "IsWritableDerivedField": false,
    "IsMasked": false,
    "GrantKeyWhenReadable": "principal-process-steward|StepExecutions"
   },
   {
    "FieldGrantId": "fg-process-steward-StepExecutions.ExceptionInvocationCount",
    "Principal": "principal-process-steward",
    "TargetField": "StepExecutions.ExceptionInvocationCount",
    "CanRead": true,
    "CanWrite": false,
    "MaskStrategy": "plain",
    "SemanticTypeIri": "urn:effortless:pko-extension#FieldGrant",
    "Name": "principal-process-steward -&gt; StepExecutions.ExceptionInvocationCount",
    "FieldTable": "StepExecutions",
    "FieldName": "ExceptionInvocationCount",
    "FieldIsDerived": true,
    "IsWritableDerivedField": false,
    "IsMasked": false,
    "GrantKeyWhenReadable": "principal-process-steward|StepExecutions"
   },
   {
    "FieldGrantId": "fg-process-steward-StepExecutions.RanUnderException",
    "Principal": "principal-process-steward",
    "TargetField": "StepExecutions.RanUnderException",
    "CanRead": true,
    "CanWrite": false,
    "MaskStrategy": "plain",
    "SemanticTypeIri": "urn:effortless:pko-extension#FieldGrant",
    "Name": "principal-process-steward -&gt; StepExecutions.RanUnderException",
    "FieldTable": "StepExecutions",
    "FieldName": "RanUnderException",
    "FieldIsDerived": true,
    "IsWritableDerivedField": false,
    "IsMasked": false,
    "Gra</t>
  </si>
  <si>
    <t xml:space="preserve">ntKeyWhenReadable": "principal-process-steward|StepExecutions"
   },
   {
    "FieldGrantId": "fg-process-steward-StepExecutions.IsCompleted",
    "Principal": "principal-process-steward",
    "TargetField": "StepExecutions.IsCompleted",
    "CanRead": true,
    "CanWrite": false,
    "MaskStrategy": "plain",
    "SemanticTypeIri": "urn:effortless:pko-extension#FieldGrant",
    "Name": "principal-process-steward -&gt; StepExecutions.IsCompleted",
    "FieldTable": "StepExecutions",
    "FieldName": "IsCompleted",
    "FieldIsDerived": true,
    "IsWritableDerivedField": false,
    "IsMasked": false,
    "GrantKeyWhenReadable": "principal-process-steward|StepExecutions"
   },
   {
    "FieldGrantId": "fg-process-steward-StepExecutions.IsVerificationPassed",
    "Principal": "principal-process-steward",
    "TargetField": "StepExecutions.IsVerificationPassed",
    "CanRead": true,
    "CanWrite": false,
    "MaskStrategy": "plain",
    "SemanticTypeIri": "urn:effortless:pko-extension#FieldGrant",
    "Name": "principal-process-steward -&gt; StepExecutions.IsVerificationPassed",
    "FieldTable": "StepExecutions",
    "FieldName": "IsVerificationPassed",
    "FieldIsDerived": true,
    "IsWritableDerivedField": false,
    "IsMasked": false,
    "GrantKeyWhenReadable": "principal-process-steward|StepExecutions"
   },
   {
    "FieldGrantId": "fg-process-steward-StepExecutions.IsLegalReviewStep",
    "Principal": "principal-process-steward",
    "TargetField": "StepExecutions.IsLegalReviewStep",
    "CanRead": true,
    "CanWrite": false,
    "MaskStrategy": "plain",
    "SemanticTypeIri": "urn:effortless:pko-extension#FieldGrant",
    "Name": "principal-process-steward -&gt; StepExecutions.IsLegalReviewStep",
    "FieldTable": "StepExecutions",
    "FieldName": "IsLegalReviewStep",
    "FieldIsDerived": true,
    "IsWritableDerivedField": false,
    "IsMasked": false,
    "GrantKeyWhenReadable": "principal-process-steward|StepExecutions"
   },
   {
    "FieldGrantId": "fg-process-steward-StepExecutions.ClearedLegalReviewKey",
    "Principal": "principal-process-steward",
    "TargetField": "StepExecutions.ClearedLegalReviewKey",
    "CanRead": true,
    "CanWrite": false,
    "MaskStrategy": "plain",
    "SemanticTypeIri": "urn:effortless:pko-extension#FieldGrant",
    "Name": "principal-process-steward -&gt; StepExecutions.ClearedLegalReviewKey",
    "FieldTable": "StepExecutions",
    "FieldName": "ClearedLegalReviewKey",
    "FieldIsDerived": true,
    "IsWritableDerivedField": false,
    "IsMasked": false,
    "GrantKeyWhenReadable": "principal-process-steward|StepExecutions"
   },
   {
    "FieldGrantId": "fg-process-steward-StepExecutions.AssignedRole",
    "Principal": "principal-process-steward",
    "TargetField": "StepExecutions.AssignedRole",
    "CanRead": true,
    "CanWrite": false,
    "MaskStrategy": "plain",
    "SemanticTypeIri": "urn:effortless:pko-extension#FieldGrant",
    "Name": "principal-process-steward -&gt; StepExecutions.AssignedRole",
    "FieldTable": "StepExecutions",
    "FieldName": "AssignedRole",
    "FieldIsDerived": true,
    "IsWritableDerivedField": false,
    "IsMasked": false,
    "GrantKeyWhenReadable": "principal-process-steward|StepExecutions"
   },
   {
    "FieldGrantId": "fg-process-steward-StepExecutions.RoleCurrentAgent",
    "Principal": "principal-process-steward",
    "TargetField": "StepExecutions.RoleCurrentAgent",
    "CanRead": true,
    "CanWrite": false,
    "MaskStrategy": "plain",
    "SemanticTypeIri": "urn:effortless:pko-extension#FieldGrant",
    "Name": "principal-process-steward -&gt; StepExecutions.RoleCurrentAgent",
    "FieldTable": "StepExecutions",
    "FieldName": "RoleCurrentAgent",
    "FieldIsDerived": true,
    "IsWritableDerivedField": false,
    "IsMasked": false,
    "GrantKeyWhenReadable": "principal-process-steward|StepExecutions"
   },
   {
    "FieldGrantId": "fg-process-steward-StepExecutions.ExecutorIsDesignatedAgent",
    "Principal": "principal-process-steward",
    "TargetField": "StepExecutions.ExecutorIsDesignatedAgent",
    "CanRead": true,
    "CanWrite": false,
    "MaskStrategy": "plain",
    "SemanticTypeIri": "urn:effortless:pko-extension#FieldGrant",
    "Name": "principal-process-steward -&gt; StepExecutions.ExecutorIsDesignatedAgent",
    "FieldTable": "StepExecutions",
    "FieldName": "ExecutorIsDesignatedAgent",
    "FieldIsDerived": true,
    "IsWritableDerivedField": false,
    "IsMasked": false,
    "GrantKeyWhenReadable": "principal-process-steward|StepExecutions"
   },
   {
    "FieldGrantId": "fg-process-steward-StepExecutions.InputsWereFreshAtRun",
    "Principal": "principal-process-steward",
    "TargetField": "StepExecutions.InputsWereFreshAtRun",
    "CanRead": true,
    "CanWrite": false,
    "MaskStrategy": "plain",
    "SemanticTypeIri": "urn:effortless:pko-extension#FieldGrant",
    "Name": "principal-process-steward -&gt; StepExecutions.InputsWereFreshAtRun",
    "FieldTable": "StepExecutions",
    "FieldName": "InputsWereFreshAtRun",
    "FieldIsDerived": true,
    "IsWritableDerivedField": false,
    "IsMasked": false,
    "GrantKeyWhenReadable": "principal-process-steward|StepExecutions"
   },
   {
    "FieldGrantId": "fg-process-steward-StepExecutions.RanOnStaleInputs",
    "Principal": "principal-process-steward",
    "TargetField": "StepExecutions.RanOnStaleInputs",
    "CanRead": true,
    "CanWrite": false,
    "MaskStrategy": "plain",
    "SemanticTypeIri": "urn:effortless:pko-extension#FieldGrant",
    "Name": "principal-process-steward -&gt; StepExecutions.RanOnStaleInputs",
    "FieldTable": "StepExecutions",
    "FieldName": "RanOnStaleInputs",
    "FieldIsDerived": true,
    "IsWritableDerivedField": false,
    "IsMasked": false,
    "GrantKeyWhenReadable": "principal-process-steward|StepExecutions"
   },
   {
    "FieldGrantId": "fg-process-steward-StepExecutions.UnresolvedIssueCount",
    "Principal": "principal-process-steward",
    "TargetField": "StepExecutions.UnresolvedIssueCount",
    "CanRead": true,
    "CanWrite": false,
    "MaskStrategy": "plain",
    "SemanticTypeIri": "urn:effortless:pko-extension#FieldGrant",
    "Name": "principal-process-steward -&gt; StepExecutions.UnresolvedIssueCount",
    "FieldTable": "StepExecutions",
    "FieldName": "UnresolvedIssueCount",
    "FieldIsDerived": true,
    "IsWritableDerivedField": false,
    "IsMasked": false,
    "GrantKeyWhenReadable": "principal-process-steward|StepExecutions"
   },
   {
    "FieldGrantId": "fg-process-steward-StepExecutions.HasDeviation",
    "Principal": "principal-process-steward",
    "TargetField": "StepExecutions.HasDeviation",
    "CanRead": true,
    "CanWrite": false,
    "MaskStrategy": "plain",
    "SemanticTypeIri": "urn:effortless:pko-extension#FieldGrant",
    "Name": "principal-process-steward -&gt; StepExecutions.HasDeviation",
    "FieldTable": "StepExecutions",
    "FieldName": "HasDeviation",
    "FieldIsDerived": true,
    "IsWritableDerivedField": false,
    "IsMasked": false,
    "GrantKeyWhenReadable": "principal-process-steward|StepExecutions"
   },
   {
    "FieldGrantId": "fg-process-steward-StepExecutions.IsClean",
    "Principal": "principal-process-steward",
    "TargetField": "StepExecutions.IsClean",
    "CanRead": true,
    "CanWrite": false,
    "MaskStrategy": "plain",
    "SemanticTypeIri": "urn:effortless:pko-extension#FieldGrant",
    "Name": "principal-process-steward -&gt; StepExecutions.IsClean",
    "FieldTable": "StepExecutions",
    "FieldName": "IsClean",
    "FieldIsDerived": true,
    "IsWritableDerivedField": false,
    "IsMasked": false,
    "GrantKeyWhenReadable": "principal-process-steward|StepExecutions"
   },
   {
    "FieldGrantId": "fg-process-steward-StepExecutions.ProcedureExecutionWhenUnclean",
    "Principal": "principal-process-steward",
    "TargetField": "StepExecutions.ProcedureExecutionWhenUnclean",
    "CanRead": true,
    "CanWrite": false,
    "MaskStrategy": "plain",
    "SemanticTypeIri": "urn:effortless:pko-extension#FieldGrant",
    "Name": "principal-process-steward -&gt; StepExecutions.ProcedureExecutionWhenUnclean",
    "FieldTable": "StepExecutions",
    "FieldName": "ProcedureExecutionWhenUnclean",
    "FieldIsDerived": true,
    "IsWritableDerivedField": false,
    "IsMasked": false,
    "GrantKeyWhenReadable": "principal-process-steward|StepExecutions"
   },
   {
    "FieldGrantId": "fg-process-steward-StepExecutions.EvaluatedRequirementCount",
    "Principal": "principal-process-steward",
    "TargetField": "StepExecutions.EvaluatedRequirementCount",
    "CanRead": true,
    "CanWrite": false,
    "MaskStrategy": "plain",
    "SemanticTypeIri": "urn:effortless:pko-extension#FieldGrant",
    "Name": "principal-process-steward -&gt; StepExecutions.EvaluatedRequirementCount",
    "FieldTable": "StepExecutions",
    "FieldName": "EvaluatedRequirementCount",
    "FieldIsDerived": true,
    "IsWritableDerivedField": false,
    "IsMasked": false,
    "GrantKeyWhenReadable": "principal-process-steward|StepExecutions"
   },
   {
    "FieldGrantId": "fg-process-steward-StepExecutions.RequiredBlockingCount",
    "Principal": "principal-process-steward",
    "TargetField": "StepExecutions.RequiredBlockingCount",
    "CanRead": true,
    "CanWrite": false,
    "MaskStrategy": "plain",
    "SemanticTypeIri": "urn:effortless:pko-extension#FieldGrant",
    "Name": "principal-process-steward -&gt; StepExecutions.RequiredBlockingCount",
    "FieldTable": "StepExecutions",
    "FieldName": "RequiredBlockingCount",
    "FieldIsDerived": true,
    "IsWritableDerivedField": false,
    "IsMasked": false,
    "GrantKeyWhenReadable": "principal-process-steward|StepExecutions"
   },
   {
    "FieldGrantId": "fg-process-steward-StepExecutions.HasUnevaluatedBlockingRequirement",
    "Principal": "principal-process-steward",
    "TargetField": "StepExecutions.HasUnevaluatedBlockingRequirement",
    "CanRead": true,
    "CanWrite": false,
    "MaskStrategy": "plain",
    "SemanticTypeIri": "urn:effortless:pko-extension#FieldGrant",
    "Name": "principal-process-steward -&gt; StepExecutions.HasUnevaluatedBlockingRequirement",
    "FieldTable": "StepExecutions",
    "FieldName": "HasUnevaluatedBlockingRequirement",
    "FieldIsDerived": true,
    "IsWritableDerivedField": false,
    "IsMasked": false,
    "GrantKeyWhenReadable": "principal-process-steward|StepExecutions"
   },
   {
    "FieldGrantId": "fg-process-steward-StepExecutions.ExecutingAgentKind",
    "Principal": "principal-process-steward",
    "TargetField": "StepExecutions.ExecutingAgentKind",
    "CanRead": true,
    "CanWrite": false,
    "MaskStrategy": "plain",
    "SemanticTypeIri": "urn:effortless:pko-extension#FieldGrant",
    "Name": "principal-process-steward -&gt; StepExecutions.ExecutingAgentKind",
    "FieldTable": "StepExecutions",
    "FieldName": "ExecutingAgentKind",
    "FieldIsDerived": true,
    "IsWritableDerivedField": false,
    "IsMasked": false,
    "GrantKeyWhenReadable": "principal-process-steward|StepExecutions"
   },
   {
    "FieldGrantId": "fg-process-steward-StepExecutions.WasExecutedBySoftware",
    "Principal": "principal-process-steward",
    "TargetField": "StepExecutions.WasExecutedBySoftware",
    "CanRead": true,
    "CanWrite": false,
    "MaskStrategy": "plain",
    "SemanticTypeIri": "urn:effortless:pko-extension#FieldGrant",
    "Name": "principal-process-steward -&gt; StepExecutions.WasExecutedBySoftware",
    "FieldTable": "StepExecutions",
    "FieldName": "WasExecutedBySoftware",
    "FieldIsDerived": true,
    "IsWritableDerivedField": false,
    "IsMasked": false,
    "GrantKeyWhenReadable": "principal-process-steward|StepExecutions"
   },
   {
    "FieldGrantId": "fg-process-steward-StepExecutions.StepIsSoftwareAssigned",
    "Principal": "principal-process-steward",
    "TargetField": "StepExecutions.StepIsSoftwareAssigned",
    "CanRead": true,
    "CanWrite": false,
    "MaskStrategy": "plain",
    "SemanticTypeIri": "urn:effortless:pko-extension#FieldGrant",
    "Name": "principal-process-steward -&gt; StepExecutions.StepIsSoftwareAssigned",
    "FieldTable": "StepExecutions",
    "FieldName": "StepIsSoftwareAssigned",
    "FieldIsDerived": true,
    "IsWritableDerivedField": false,
    "IsMasked": false,
    "GrantKeyWhenReadable": "principal-process-steward|StepExecutions"
   },
   {
    "FieldGrantId": "fg-process-steward-StepExecutions.SoftwareDidHumanWork",
    "Principal": "principal-process-steward",
    "TargetField": "StepExecutions.SoftwareDidHumanWork",
    "CanRead": true,
    "CanWrite": false,
    "MaskStrategy": "plain",
    "SemanticTypeIri": "urn:effortless:pko-extension#FieldGrant",
    "Name": "principal-process-steward -&gt; StepExecutions.SoftwareDidHumanWork",
    "FieldTable": "StepExecutions",
    "FieldName": "SoftwareDidHumanWork",
    "FieldIsDerived": true,
    "IsWritableDerivedField": false,
    "IsMasked": false,
    "GrantKeyWhenReadable": "principal-process-steward|StepExecutions"
   },
   {
    "FieldGrantId": "fg-process-steward-StepExecutions.IsApprovalExecution",
    "Principal": "principal-process-steward",
    "TargetField": "StepExecutions.IsApprovalExecution",
    "CanRead": true,
    "CanWrite": false,
    "MaskStrategy": "plain",
    "SemanticTypeIri": "urn:effortless:pko-extension#FieldGrant",
    "Name": "principal-process-steward -&gt; StepExecutions.IsApprovalExecution",
    "FieldTable": "StepExecutions",
    "FieldName": "IsApprovalExecution",
    "FieldIsDerived": true,
    "IsWritableDerivedField": false,
    "IsMasked": false,
    "GrantKeyWhenReadable": "principal-process-steward|StepExecutions"
   },
   {
    "FieldGrantId": "fg-process-steward-StepExecutions.IsVerified",
    "Principal": "principal-process-steward",
    "TargetField": "StepExecutions.IsVerified",
    "CanRead": true,
    "CanWrite": false,
    "MaskStrategy": "plain",
    "SemanticTypeIri": "urn:effortless:pko-extension#FieldGrant",
    "Name": "principal-process-steward -&gt; StepExecutions.IsVerified",
    "FieldTable": "StepExecutions",
    "FieldName": "IsVerified",
    "FieldIsDerived": true,
    "IsWritableDerivedField": false,
    "IsMasked": false,
    "GrantKeyWhenReadable": "principal-process-steward|StepExecutions"
   },
   {
    "FieldGrantId": "fg-process-steward-StepExecutions.UnconfirmedNonHumanDecisionCount",
    "Principal": "principal-process-steward",
    "TargetField": "StepExecutions.UnconfirmedNonHumanDecisionCount",
    "CanRead": true,
    "CanWrite": false,
    "MaskStrategy": "plain",
    "SemanticTypeIri": "urn:effortless:pko-extension#FieldGrant",
    "Name": "principal-process-steward -&gt; StepExecutions.UnconfirmedNonHumanDecisionCount",
    "FieldTable": "StepExecutions",
    "FieldName": "UnconfirmedNonHumanDecisionCount",
    "FieldIsDerived": true,
    "IsWritableDerivedField": false,
    "IsMasked": false,
    "GrantKeyWhenReadable": "principal-process-steward|StepExecutions"
   },
   {
    "FieldGrantId": "fg-process-steward-StepExecutions.RequiresHumanConfirmation",
    "Principal": "principal-process-steward",
    "TargetField": "StepExecutions.RequiresHumanConfirmation",
    "CanRead": true,
    "CanWrite": false,
    "MaskStrategy": "plain",
    "SemanticTypeIri": "urn:effortless:pko-extension#FieldGrant",
    "Name": "principal-process-steward -&gt; StepExecutions.RequiresHumanConfirmation",
    "FieldTable": "StepExecutions",
    "FieldName": "RequiresHumanConfirmation",
    "FieldIsDerived": true,
    "IsWritableDerivedField": false,
    "IsMasked": false,
    "GrantKeyWhenReadable": "principal-process-steward|StepExecutions"
   },
   {
    "FieldGrantId": "fg-process-steward-StepExecutions.HumanConfirmationMissing",
    "Principal": "principal-process-steward",
    "TargetField": "StepExecutions.HumanConfirmationMissing",
    "CanRead": true,
    "CanWrite": false,
    "MaskStrategy": "plain",
    "SemanticTypeIri": "urn:effortless:pko-extension#FieldGrant",
    "Name": "principal-process-steward -&gt; StepExecutions.HumanConfirmationMissing",
    "FieldTable": "StepExecutions",
    "FieldName": "HumanConfirmationMissing",
    "FieldIsDerived": true,
    "IsWritableDerivedField": false,
    "IsMasked": false,
    "GrantKeyWhenReadable": "principal-process-steward|StepExecutions"
   },
   {
    "FieldGrantId": "fg-process-steward-StepExecutions.DraftedFromUnusableSource",
    "Principal": "principal-process-steward",
    "TargetField": "StepExecutions.DraftedFromUnusableSource",
    "CanRead": true,
    "CanWrite": false,
    "MaskStrategy": "plain",
    "SemanticTypeIri": "urn:effortless:pko-extension#FieldGrant",
    "Name": "principal-process-steward -&gt; StepExecutions.DraftedFromUnusableSource",
    "FieldTable": "StepExecutions",
    "FieldName": "DraftedFromUnusableSource",
    "FieldIsDerived": true,
    "IsWritableDerivedField": false,
    "IsMasked": false,
    "GrantKeyWhenReadable": "principal-process-steward|StepExecutions"
   },
   {
    "FieldGrantId": "fg-process-steward-StepExecutions.InputsWereUsable",
    "Principal": "principal-process-steward",
    "TargetField": "StepExecutions.InputsWereUsable",
    "CanRead": true,
    "CanWrite": false,
    "MaskStrategy": "plain",
    "SemanticTypeIri": "urn:effortless:pko-extension#FieldGrant",
    "Name": "principal-process-steward -&gt; StepExecutions.InputsWereUsable",
    "FieldTable": "StepExecutions",
    "FieldName": "InputsWereUsable",
    "FieldIsDerived": true,
    "IsWritableDerivedField": false,
    "IsMasked": false,
    "GrantKeyWhenReadable": "principal-process-steward|StepExecutions"
   },
   {
    "FieldGrantId": "fg-process-steward-StepExecutions.SoftwareExecutionStepKey",
    "Principal": "principal-process-steward",
    "TargetField": "StepExecutions.SoftwareExecutionStepKey",
    "CanRead": true,
    "CanWrite": false,
    "MaskStrategy": "plain",
    "SemanticTypeIri": "urn:effortless:pko-extension#FieldGrant",
    "Name": "principal-process-steward -&gt; StepExecutions.SoftwareExecutionStepKey",
    "FieldTable": "StepExecutions",
    "FieldName": "SoftwareExecutionStepKey",
    "FieldIsDerived": true,
    "IsWritableDerivedField": false,
    "IsMasked": false,
    "GrantKeyWhenReadable": "principal-process-steward|StepExecutions"
   },
   {
    "FieldGrantId": "fg-process-steward-StepExecutions.StepControlKind",
    "Principal": "principal-process-steward",
    "TargetField": "StepExecutions.StepControlKind",
    "CanRead": true,
    "CanWrite": false,
    "MaskStrategy": "plain",
    "SemanticTypeIri": "urn:effortless:pko-extension#FieldGrant",
    "Name": "principal-process-steward -&gt; StepExecutions.StepControlKind",
    "FieldTable": "StepExecutions",
    "FieldName": "StepControlKind",
    "FieldIsDerived": true,
    "IsWritableDerivedField": false,
    "IsMasked": false,
    "GrantKeyWhenReadable": "principal-process-steward|StepExecutions"
   },
   {
    "FieldGrantId": "fg-process-steward-StepExecutions.UnfalsifiedClearanceCount",
    "Principal": "principal-process-steward",
    "TargetField": "StepExecutions.UnfalsifiedClearanceCount",
    "CanRead": true,
    "CanWrite": false,
    "MaskStrategy": "plain",
    "SemanticTypeIri": "urn:effortless:pko-extension#FieldGrant",
    "Name": "principal-process-steward -&gt; StepExecutions.UnfalsifiedClearanceCount",
    "FieldTable": "StepExecutions",
    "FieldName": "UnfalsifiedClearanceCount",
    "FieldIsDerived": true,
    "IsWritableDerivedField": false,
    "IsMasked": false,
    "GrantKeyWhenReadable": "principal-process-steward|StepExecutions"
   },
   {
    "FieldGrantId": "fg-process-steward-StepExecutions.AllClearancesAreUnfalsified",
    "Principal": "principal-process-steward",
    "TargetField": "StepExecutions.AllClearancesAreUnfalsified",
    "CanRead": true,
    "CanWrite": false,
    "MaskStrategy": "plain",
    "SemanticTypeIri": "urn:effortless:pko-extension#FieldGrant",
    "Name": "principal-process-steward -&gt; StepExecutions.AllClearancesAreUnfalsified",
    "FieldTable": "StepExecutions",
    "FieldName": "AllClearancesAreUnfalsified",
    "FieldIsDerived": true,
    "IsWritableDerivedField": false,
    "IsMasked": false,
    "GrantKeyWhenReadable": "principal-process-steward|StepExecutions"
   },
   {
    "FieldGrantId": "fg-process-steward-StepExecutions.StaleAtRunCount",
    "Principal": "principal-process-steward",
    "TargetField": "StepExecutions.StaleAtRunCount",
    "CanRead": true,
    "CanWrite": false,
    "MaskStrategy": "plain",
    "SemanticTypeIri": "urn:effortless:pko-extension#FieldGrant",
    "Name": "principal-process-steward -&gt; StepExecutions.StaleAtRunCount",
    "FieldTable": "StepExecutions",
    "FieldName": "StaleAtRunCount",
    "FieldIsDerived": true,
    "IsWritableDerivedField": false,
    "IsMasked": false,
    "GrantKeyWhenReadable": "principal-process-steward|StepExecutions"
   },
   {
    "FieldGrantId": "fg-process-steward-StepExecutions.WasStaleWhenIRanIt",
    "Principal": "principal-process-steward",
    "TargetField": "StepExecutions.WasStaleWhenIRanIt",
    "CanRead": true,
    "CanWrite": false,
    "MaskStrategy": "plain",
    "SemanticTypeIri": "urn:effortless:pko-extension#FieldGrant",
    "Name": "principal-process-steward -&gt; StepExecutions.WasStaleWhenIRanIt",
    "FieldTable": "StepExecutions",
    "FieldName": "WasStaleWhenIRanIt",
    "FieldIsDerived": true,
    "IsWritableDerivedField": false,
    "IsMasked": false,
    "GrantKeyWhenReadable": "principal-process-steward|StepExecutions"
   },
   {
    "FieldGrantId": "fg-process-steward-StepExecutions.StalenessAnswerIsTenseDependent",
    "Principal": "principal-process-steward",
    "TargetField": "StepExecutions.StalenessAnswerIsTenseDependent",
    "CanRead": true,
    "CanWrite": false,
    "MaskStrategy": "plain",
    "SemanticTypeIri": "urn:effortless:pko-extension#FieldGrant",
    "Name": "principal-process-steward -&gt; StepExecutions.StalenessAnswerIsTenseDependent",
    "FieldTable": "StepExecutions",
    "FieldName": "StalenessAnswerIsTenseDependent",
    "FieldIsDerived": true,
    "IsWritableDerivedField": false,
    "IsMasked": false,
    "GrantKeyWhenReadable": "principal-process-steward|StepExecutions"
   },
   {
    "FieldGrantId": "fg-process-steward-StepExecutions.HasAnyDeclaredCheck",
    "Principal": "principal-process-steward",
    "TargetField": "StepExecutions.HasAnyDeclaredCheck",
    "CanRead": true,
    "CanWrite": false,
    "MaskStrategy": "plain",
    "SemanticTypeIri": "urn:effortless:pko-extension#FieldGrant",
    "Name": "principal-process-steward -&gt; StepExecutions.HasAnyDeclaredCheck",
    "FieldTable": "StepExecutions",
    "FieldName": "HasAnyDeclaredCheck",
    "FieldIsDerived": true,
    "IsWritableDerivedField": false,
    "IsMasked": false,
    "GrantKeyWhenReadable": "principal-process-steward|StepExecutions"
   },
   {
    "FieldGrantId": "fg-process-steward-StepExecutions.PerformedCheckCount",
    "Principal": "principal-process-steward",
    "TargetField": "StepExecutions.PerformedCheckCount",
    "CanRead": true,
    "CanWrite": false,
    "MaskStrategy": "plain",
    "SemanticTypeIri": "urn:effortless:pko-extension#FieldGrant",
    "Name": "principal-process-steward -&gt; StepExecutions.PerformedCheckCount",
    "FieldTable": "StepExecutions",
    "FieldName": "PerformedCheckCount",
    "FieldIsDerived": true,
    "IsWritableDerivedField": false,
    "IsMasked": false,
    "GrantKeyWhenReadable": "principal-process-steward|StepExecutions"
   },
   {
    "FieldGrantId": "fg-process-steward-StepExecutions.DeclaredCheckCount",
    "Principal": "principal-process-steward",
    "TargetField": "StepExecutions.DeclaredCheckCount",
    "CanRead": true,
    "CanWrite": false,
    "MaskStrategy": "plain",
    "SemanticTypeIri": "urn:effortless:pko-extension#FieldGrant",
    "Name": "principal-process-steward -&gt; StepExecutions.DeclaredCheckCount",
    "FieldTable": "StepExecutions",
    "FieldName": "DeclaredCheckCount",
    "FieldIsDerived": true,
    "IsWritableDerivedField": false,
    "IsMasked": false,
    "GrantKeyWhenReadable": "principal-process-steward|StepExecutions"
   },
   {
    "FieldGrantId": "fg-process-steward-StepExecutions.IsUncheckedByDesign",
    "Principal": "principal-process-steward",
    "TargetField": "StepExecutions.IsUncheckedByDesign",
    "CanRead": true,
    "CanWrite": false,
    "MaskStrategy": "plain",
    "SemanticTypeIri": "urn:effortless:pko-extension#FieldGrant",
    "Name": "principal-process-steward -&gt; StepExecutions.IsUncheckedByDesign",
    "FieldTable": "StepExecutions",
    "FieldName": "IsUncheckedByDesign",
    "FieldIsDerived": true,
    "IsWritableDerivedField": false,
    "IsMasked": false,
    "GrantKeyWhenReadable": "principal-process-steward|StepExecutions"
   },
   {
    "FieldGrantId": "fg-process-steward-StepExecutions.IsVacuouslyClean",
    "Principal": "principal-process-steward",
    "TargetField": "StepExecutions.IsVacuouslyClean",
    "CanRead": true,
    "CanWrite": false,
    "MaskStrategy": "plain",
    "SemanticTypeIri": "urn:effortless:pko-extension#FieldGrant",
    "Name": "principal-process-steward -&gt; StepExecutions.IsVacuouslyClean",
    "FieldTable": "StepExecutions",
    "FieldName": "IsVacuouslyClean",
    "FieldIsDerived": true,
    "IsWritableDerivedField": false,
    "IsMasked": false,
    "GrantKeyWhenReadable": "principal-process-steward|StepExecutions"
   },
   {
    "FieldGrantId": "fg-process-steward-StepExecutions.IsSubstantivelyClean",
    "Principal": "principal-process-steward",
    "TargetField": "StepExecutions.IsSubstantivelyClean",
    "CanRead": true,
    "CanWrite": false,
    "MaskStrategy": "plain",
    "SemanticTypeIri": "urn:effortless:pko-extension#FieldGrant",
    "Name": "principal-process-steward -&gt; StepExecutions.IsSubstantivelyClean",
    "FieldTable": "StepExecutions",
    "FieldName": "IsSubstantivelyClean",
    "FieldIsDerived": true,
    "IsWritableDerivedField": false,
    "IsMasked": false,
    "GrantKeyWhenReadable": "principal-process-steward|StepExecutions"
   },
   {
    "FieldGrantId": "fg-process-steward-StepExecutions.VacuouslyCleanExecutionKey",
    "Principal": "principal-process-steward",
    "TargetField": "StepExecutions.VacuouslyCleanExecutionKey",
    "CanRead": true,
    "CanWrite": false,
    "MaskStrategy": "plain",
    "SemanticTypeIri": "urn:effortless:pko-extension#FieldGrant",
    "Name": "principal-process-steward -&gt; StepExecutions.VacuouslyCleanExecutionKey",
    "FieldTable": "StepExecutions",
    "FieldName": "VacuouslyCleanExecutionKey",
    "FieldIsDerived": true,
    "IsWritableDerivedField": false,
    "IsMasked": false,
    "GrantKeyWhenReadable": "principal-process-steward|StepExecutions"
   },
   {
    "FieldGrantId": "fg-process-steward-StepExecutions.UncorroboratedPassCount",
    "Principal": "principal-process-steward",
    "TargetField": "StepExecutions.UncorroboratedPassCount",
    "CanRead": true,
    "CanWrite": false,
    "MaskStrategy": "plain",
    "SemanticTypeIri": "urn:effortless:pko-extension#FieldGrant",
    "Name": "principal-process-steward -&gt; StepExecutions.UncorroboratedPassCount",
    "FieldTable": "StepExecutions",
    "FieldName": "UncorroboratedPassCount",
    "FieldIsDerived": true,
    "IsWritableDerivedField": false,
    "IsMasked": false,
    "GrantKeyWhenReadable": "principal-process-steward|StepExecutions"
   },
   {
    "FieldGrantId": "fg-process-steward-StepExecutions.EvidencePositionIsWeak",
    "Principal": "principal-process-steward",
    "TargetField": "StepExecutions.EvidencePositionIsWeak",
    "CanRead": true,
    "CanWrite": false,
    "MaskStrategy": "plain",
    "SemanticTypeIri": "urn:effortless:pko-extension#FieldGrant",
    "Name": "principal-process-steward -&gt; StepExecutions.EvidencePositionIsWeak",
    "FieldTable": "StepExecutions",
    "FieldName": "EvidencePositionIsWeak",
    "FieldIsDerived": true,
    "IsWritableDerivedField": false,
    "IsMasked": false,
    "GrantKeyWhenReadable": "principal-process-steward|StepExecutions"
   },
   {
    "FieldGrantId": "fg-process-steward-StepExecutions.PreparationExecutionKey",
    "Principal": "principal-process-steward",
    "TargetField": "StepExecutions.PreparationExecutionKey",
    "CanRead": true,
    "CanWrite": false,
    "MaskStrategy": "plain",
    "SemanticTypeIri": "urn:effortless:pko-extension#FieldGrant",
    "Name": "principal-process-steward -&gt; StepExecutions.PreparationExecutionKey",
    "FieldTable": "StepExecutions",
    "FieldName": "PreparationExecutionKey",
    "FieldIsDerived": true,
    "IsWritableDerivedField": false,
    "IsMasked": false,
    "GrantKeyWhenReadable": "principal-process-steward|StepExecutions"
   },
   {
    "FieldGrantId": "fg-process-steward-StepExecutions.ApprovalExecutionKey",
    "Principal": "principal-process-steward",
    "TargetField": "StepExecutions.ApprovalExecutionKey",
    "CanRead": true,
    "CanWrite": false,
    "MaskStrategy": "plain",
    "SemanticTypeIri": "urn:effortless:pko-extension#FieldGrant",
    "Name": "principal-process-steward -&gt; StepExecutions.ApprovalExecutionKey",
    "FieldTable": "StepExecutions",
    "FieldName": "ApprovalExecutionKey",
    "FieldIsDerived": true,
    "IsWritableDerivedField": false,
    "IsMasked": false,
    "GrantKeyWhenReadable": "principal-process-steward|StepExecutions"
   },
   {
    "FieldGrantId": "fg-process-steward-StepExecutions.HasGoverningInstrument",
    "Principal": "principal-process-steward",
    "TargetField": "StepExecutions.HasGoverningInstrument",
    "CanRead": true,
    "CanWrite": false,
    "MaskStrategy": "plain",
    "SemanticTypeIri": "urn:effortless:pko-extension#FieldGrant",
    "Name": "principal-process-steward -&gt; StepExecutions.HasGoverningInstrument",
    "FieldTable": "StepExecutions",
    "FieldName": "HasGoverningInstrument",
    "FieldIsDerived": true,
    "IsWritableDerivedField": false,
    "IsMasked": false,
    "GrantKeyWhenReadable": "principal-process-steward|StepExecutions"
   },
   {
    "FieldGrantId": "fg-process-steward-StepExecutions.HasApprovedChangeCoverage",
    "Principal": "principal-process-steward",
    "TargetField": "StepExecutions.HasApprovedChangeCoverage",
    "CanRead": true,
    "CanWrite": false,
    "MaskStrategy": "plain",
    "SemanticTypeIri": "urn:effortless:pko-extension#FieldGrant",
    "Name": "principal-process-steward -&gt; StepExecutions.HasApprovedChangeCoverage",
    "FieldTable": "StepExecutions",
    "FieldName": "HasApprovedChangeCoverage",
    "FieldIsDerived": true,
    "IsWritableDerivedField": false,
    "IsMasked": false,
    "GrantKeyWhenReadable": "principal-process-steward|StepExecutions"
   },
   {
    "FieldGrantId": "fg-process-steward-StepExecutions.VersionOfStep",
    "Principal": "principal-process-steward",
    "TargetField": "StepExecutions.VersionOfStep",
    "CanRead": true,
    "CanWrite": false,
    "MaskStrategy": "plain",
    "SemanticTypeIri": "urn:effortless:pko-extension#FieldGrant",
    "Name": "principal-process-steward -&gt; StepExecutions.VersionOfStep",
    "FieldTable": "StepExecutions",
    "FieldName": "VersionOfStep",
    "FieldIsDerived": true,
    "IsWritableDerivedField": false,
    "IsMasked": false,
    "GrantKeyWhenReadable": "principal-process-steward|StepExecutions"
   },
   {
    "FieldGrantId": "fg-process-steward-StepExecutions.IsUngovernedDivergence",
    "Principal": "principal-process-steward",
    "TargetField": "StepExecutions.IsUngovernedDivergence",
    "CanRead": true,
    "CanWrite": false,
    "MaskStrategy": "plain",
    "SemanticTypeIri": "urn:effortless:pko-extension#FieldGrant",
    "Name": "principal-process-steward -&gt; StepExecutions.IsUngovernedDivergence",
    "FieldTable": "StepExecutions",
    "FieldName": "IsUngovernedDivergence",
    "FieldIsDerived": true,
    "IsWritableDerivedField": false,
    "IsMasked": false,
    "GrantKeyWhenReadable": "principal-process-steward|StepExecutions"
   },
   {
    "FieldGrantId": "fg-process-steward-StepExecutions.UngovernedDivergenceExecutionKey",
    "Principal": "principal-process-steward",
    "TargetField": "StepExecutions.UngovernedDivergenceExecutionKey",
    "CanRead": true,
    "CanWrite": false,
    "MaskStrategy": "plain",
    "SemanticTypeIri": "urn:effortless:pko-extension#FieldGrant",
    "Name": "principal-process-steward -&gt; StepExecutions.UngovernedDivergenceExecutionKey",
    "FieldTable": "StepExecutions",
    "FieldName": "UngovernedDivergenceExecutionKey",
    "FieldIsDerived": true,
    "IsWritableDerivedField": false,
    "IsMasked": false,
    "GrantKeyWhenReadable": "principal-process-steward|StepExecutions"
   },
   {
    "FieldGrantId": "fg-process-steward-StepExecutions.SelfAttestedApprovalExecutionKey",
    "Principal": "principal-process-steward",
    "TargetField": "StepExecution</t>
  </si>
  <si>
    <t xml:space="preserve">s.SelfAttestedApprovalExecutionKey",
    "CanRead": true,
    "CanWrite": false,
    "MaskStrategy": "plain",
    "SemanticTypeIri": "urn:effortless:pko-extension#FieldGrant",
    "Name": "principal-process-steward -&gt; StepExecutions.SelfAttestedApprovalExecutionKey",
    "FieldTable": "StepExecutions",
    "FieldName": "SelfAttestedApprovalExecutionKey",
    "FieldIsDerived": true,
    "IsWritableDerivedField": false,
    "IsMasked": false,
    "GrantKeyWhenReadable": "principal-process-steward|StepExecutions"
   },
   {
    "FieldGrantId": "fg-process-steward-StepExecutions.SemanticTypeIri",
    "Principal": "principal-process-steward",
    "TargetField": "StepExecutions.SemanticTypeIri",
    "CanRead": true,
    "CanWrite": false,
    "MaskStrategy": "plain",
    "SemanticTypeIri": "urn:effortless:pko-extension#FieldGrant",
    "Name": "principal-process-steward -&gt; StepExecutions.SemanticTypeIri",
    "FieldTable": "StepExecutions",
    "FieldName": "SemanticTypeIri",
    "FieldIsDerived": false,
    "IsWritableDerivedField": false,
    "IsMasked": false,
    "GrantKeyWhenReadable": "principal-process-steward|StepExecutions"
   },
   {
    "FieldGrantId": "fg-process-steward-StepFunctions.StepFunctionId",
    "Principal": "principal-process-steward",
    "TargetField": "StepFunctions.StepFunctionId",
    "CanRead": true,
    "CanWrite": false,
    "MaskStrategy": "plain",
    "SemanticTypeIri": "urn:effortless:pko-extension#FieldGrant",
    "Name": "principal-process-steward -&gt; StepFunctions.StepFunctionId",
    "FieldTable": "StepFunctions",
    "FieldName": "StepFunctionId",
    "FieldIsDerived": false,
    "IsWritableDerivedField": false,
    "IsMasked": false,
    "GrantKeyWhenReadable": "principal-process-steward|StepFunctions"
   },
   {
    "FieldGrantId": "fg-process-steward-StepFunctions.Name",
    "Principal": "principal-process-steward",
    "TargetField": "StepFunctions.Name",
    "CanRead": true,
    "CanWrite": false,
    "MaskStrategy": "plain",
    "SemanticTypeIri": "urn:effortless:pko-extension#FieldGrant",
    "Name": "principal-process-steward -&gt; StepFunctions.Name",
    "FieldTable": "StepFunctions",
    "FieldName": "Name",
    "FieldIsDerived": true,
    "IsWritableDerivedField": false,
    "IsMasked": false,
    "GrantKeyWhenReadable": "principal-process-steward|StepFunctions"
   },
   {
    "FieldGrantId": "fg-process-steward-StepFunctions.Step",
    "Principal": "principal-process-steward",
    "TargetField": "StepFunctions.Step",
    "CanRead": true,
    "CanWrite": false,
    "MaskStrategy": "plain",
    "SemanticTypeIri": "urn:effortless:pko-extension#FieldGrant",
    "Name": "principal-process-steward -&gt; StepFunctions.Step",
    "FieldTable": "StepFunctions",
    "FieldName": "Step",
    "FieldIsDerived": false,
    "IsWritableDerivedField": false,
    "IsMasked": false,
    "GrantKeyWhenReadable": "principal-process-steward|StepFunctions"
   },
   {
    "FieldGrantId": "fg-process-steward-StepFunctions.Function",
    "Principal": "principal-process-steward",
    "TargetField": "StepFunctions.Function",
    "CanRead": true,
    "CanWrite": false,
    "MaskStrategy": "plain",
    "SemanticTypeIri": "urn:effortless:pko-extension#FieldGrant",
    "Name": "principal-process-steward -&gt; StepFunctions.Function",
    "FieldTable": "StepFunctions",
    "FieldName": "Function",
    "FieldIsDerived": false,
    "IsWritableDerivedField": false,
    "IsMasked": false,
    "GrantKeyWhenReadable": "principal-process-steward|StepFunctions"
   },
   {
    "FieldGrantId": "fg-process-steward-StepRequirements.StepRequirementId",
    "Principal": "principal-process-steward",
    "TargetField": "StepRequirements.StepRequirementId",
    "CanRead": true,
    "CanWrite": false,
    "MaskStrategy": "plain",
    "SemanticTypeIri": "urn:effortless:pko-extension#FieldGrant",
    "Name": "principal-process-steward -&gt; StepRequirements.StepRequirementId",
    "FieldTable": "StepRequirements",
    "FieldName": "StepRequirementId",
    "FieldIsDerived": false,
    "IsWritableDerivedField": false,
    "IsMasked": false,
    "GrantKeyWhenReadable": "principal-process-steward|StepRequirements"
   },
   {
    "FieldGrantId": "fg-process-steward-StepRequirements.Name",
    "Principal": "principal-process-steward",
    "TargetField": "StepRequirements.Name",
    "CanRead": true,
    "CanWrite": false,
    "MaskStrategy": "plain",
    "SemanticTypeIri": "urn:effortless:pko-extension#FieldGrant",
    "Name": "principal-process-steward -&gt; StepRequirements.Name",
    "FieldTable": "StepRequirements",
    "FieldName": "Name",
    "FieldIsDerived": true,
    "IsWritableDerivedField": false,
    "IsMasked": false,
    "GrantKeyWhenReadable": "principal-process-steward|StepRequirements"
   },
   {
    "FieldGrantId": "fg-process-steward-StepRequirements.Step",
    "Principal": "principal-process-steward",
    "TargetField": "StepRequirements.Step",
    "CanRead": true,
    "CanWrite": false,
    "MaskStrategy": "plain",
    "SemanticTypeIri": "urn:effortless:pko-extension#FieldGrant",
    "Name": "principal-process-steward -&gt; StepRequirements.Step",
    "FieldTable": "StepRequirements",
    "FieldName": "Step",
    "FieldIsDerived": false,
    "IsWritableDerivedField": false,
    "IsMasked": false,
    "GrantKeyWhenReadable": "principal-process-steward|StepRequirements"
   },
   {
    "FieldGrantId": "fg-process-steward-StepRequirements.Requirement",
    "Principal": "principal-process-steward",
    "TargetField": "StepRequirements.Requirement",
    "CanRead": true,
    "CanWrite": false,
    "MaskStrategy": "plain",
    "SemanticTypeIri": "urn:effortless:pko-extension#FieldGrant",
    "Name": "principal-process-steward -&gt; StepRequirements.Requirement",
    "FieldTable": "StepRequirements",
    "FieldName": "Requirement",
    "FieldIsDerived": false,
    "IsWritableDerivedField": false,
    "IsMasked": false,
    "GrantKeyWhenReadable": "principal-process-steward|StepRequirements"
   },
   {
    "FieldGrantId": "fg-process-steward-StepRequirements.RequirementIsBlocking",
    "Principal": "principal-process-steward",
    "TargetField": "StepRequirements.RequirementIsBlocking",
    "CanRead": true,
    "CanWrite": false,
    "MaskStrategy": "plain",
    "SemanticTypeIri": "urn:effortless:pko-extension#FieldGrant",
    "Name": "principal-process-steward -&gt; StepRequirements.RequirementIsBlocking",
    "FieldTable": "StepRequirements",
    "FieldName": "RequirementIsBlocking",
    "FieldIsDerived": true,
    "IsWritableDerivedField": false,
    "IsMasked": false,
    "GrantKeyWhenReadable": "principal-process-steward|StepRequirements"
   },
   {
    "FieldGrantId": "fg-process-steward-StepRequirements.BlockingStepKey",
    "Principal": "principal-process-steward",
    "TargetField": "StepRequirements.BlockingStepKey",
    "CanRead": true,
    "CanWrite": false,
    "MaskStrategy": "plain",
    "SemanticTypeIri": "urn:effortless:pko-extension#FieldGrant",
    "Name": "principal-process-steward -&gt; StepRequirements.BlockingStepKey",
    "FieldTable": "StepRequirements",
    "FieldName": "BlockingStepKey",
    "FieldIsDerived": true,
    "IsWritableDerivedField": false,
    "IsMasked": false,
    "GrantKeyWhenReadable": "principal-process-steward|StepRequirements"
   },
   {
    "FieldGrantId": "fg-process-steward-StepRequirements.StepWhenBlocking",
    "Principal": "principal-process-steward",
    "TargetField": "StepRequirements.StepWhenBlocking",
    "CanRead": true,
    "CanWrite": false,
    "MaskStrategy": "plain",
    "SemanticTypeIri": "urn:effortless:pko-extension#FieldGrant",
    "Name": "principal-process-steward -&gt; StepRequirements.StepWhenBlocking",
    "FieldTable": "StepRequirements",
    "FieldName": "StepWhenBlocking",
    "FieldIsDerived": true,
    "IsWritableDerivedField": false,
    "IsMasked": false,
    "GrantKeyWhenReadable": "principal-process-steward|StepRequirements"
   },
   {
    "FieldGrantId": "fg-process-steward-StepRequirements.RequirementLacksWitness",
    "Principal": "principal-process-steward",
    "TargetField": "StepRequirements.RequirementLacksWitness",
    "CanRead": true,
    "CanWrite": false,
    "MaskStrategy": "plain",
    "SemanticTypeIri": "urn:effortless:pko-extension#FieldGrant",
    "Name": "principal-process-steward -&gt; StepRequirements.RequirementLacksWitness",
    "FieldTable": "StepRequirements",
    "FieldName": "RequirementLacksWitness",
    "FieldIsDerived": true,
    "IsWritableDerivedField": false,
    "IsMasked": false,
    "GrantKeyWhenReadable": "principal-process-steward|StepRequirements"
   },
   {
    "FieldGrantId": "fg-process-steward-StepRequirements.UnwitnessedStepKey",
    "Principal": "principal-process-steward",
    "TargetField": "StepRequirements.UnwitnessedStepKey",
    "CanRead": true,
    "CanWrite": false,
    "MaskStrategy": "plain",
    "SemanticTypeIri": "urn:effortless:pko-extension#FieldGrant",
    "Name": "principal-process-steward -&gt; StepRequirements.UnwitnessedStepKey",
    "FieldTable": "StepRequirements",
    "FieldName": "UnwitnessedStepKey",
    "FieldIsDerived": true,
    "IsWritableDerivedField": false,
    "IsMasked": false,
    "GrantKeyWhenReadable": "principal-process-steward|StepRequirements"
   },
   {
    "FieldGrantId": "fg-process-steward-StepRequirements.SatisfactionCountForBinding",
    "Principal": "principal-process-steward",
    "TargetField": "StepRequirements.SatisfactionCountForBinding",
    "CanRead": true,
    "CanWrite": false,
    "MaskStrategy": "plain",
    "SemanticTypeIri": "urn:effortless:pko-extension#FieldGrant",
    "Name": "principal-process-steward -&gt; StepRequirements.SatisfactionCountForBinding",
    "FieldTable": "StepRequirements",
    "FieldName": "SatisfactionCountForBinding",
    "FieldIsDerived": true,
    "IsWritableDerivedField": false,
    "IsMasked": false,
    "GrantKeyWhenReadable": "principal-process-steward|StepRequirements"
   },
   {
    "FieldGrantId": "fg-process-steward-StepRequirements.BindingWasEverExercised",
    "Principal": "principal-process-steward",
    "TargetField": "StepRequirements.BindingWasEverExercised",
    "CanRead": true,
    "CanWrite": false,
    "MaskStrategy": "plain",
    "SemanticTypeIri": "urn:effortless:pko-extension#FieldGrant",
    "Name": "principal-process-steward -&gt; StepRequirements.BindingWasEverExercised",
    "FieldTable": "StepRequirements",
    "FieldName": "BindingWasEverExercised",
    "FieldIsDerived": true,
    "IsWritableDerivedField": false,
    "IsMasked": false,
    "GrantKeyWhenReadable": "principal-process-steward|StepRequirements"
   },
   {
    "FieldGrantId": "fg-process-steward-StepRequirements.IsUnexercisedBlockingBinding",
    "Principal": "principal-process-steward",
    "TargetField": "StepRequirements.IsUnexercisedBlockingBinding",
    "CanRead": true,
    "CanWrite": false,
    "MaskStrategy": "plain",
    "SemanticTypeIri": "urn:effortless:pko-extension#FieldGrant",
    "Name": "principal-process-steward -&gt; StepRequirements.IsUnexercisedBlockingBinding",
    "FieldTable": "StepRequirements",
    "FieldName": "IsUnexercisedBlockingBinding",
    "FieldIsDerived": true,
    "IsWritableDerivedField": false,
    "IsMasked": false,
    "GrantKeyWhenReadable": "principal-process-steward|StepRequirements"
   },
   {
    "FieldGrantId": "fg-process-steward-StepRequirements.UnexercisedBindingRequirementKey",
    "Principal": "principal-process-steward",
    "TargetField": "StepRequirements.UnexercisedBindingRequirementKey",
    "CanRead": true,
    "CanWrite": false,
    "MaskStrategy": "plain",
    "SemanticTypeIri": "urn:effortless:pko-extension#FieldGrant",
    "Name": "principal-process-steward -&gt; StepRequirements.UnexercisedBindingRequirementKey",
    "FieldTable": "StepRequirements",
    "FieldName": "UnexercisedBindingRequirementKey",
    "FieldIsDerived": true,
    "IsWritableDerivedField": false,
    "IsMasked": false,
    "GrantKeyWhenReadable": "principal-process-steward|StepRequirements"
   },
   {
    "FieldGrantId": "fg-process-steward-StepTools.StepToolId",
    "Principal": "principal-process-steward",
    "TargetField": "StepTools.StepToolId",
    "CanRead": true,
    "CanWrite": false,
    "MaskStrategy": "plain",
    "SemanticTypeIri": "urn:effortless:pko-extension#FieldGrant",
    "Name": "principal-process-steward -&gt; StepTools.StepToolId",
    "FieldTable": "StepTools",
    "FieldName": "StepToolId",
    "FieldIsDerived": false,
    "IsWritableDerivedField": false,
    "IsMasked": false,
    "GrantKeyWhenReadable": "principal-process-steward|StepTools"
   },
   {
    "FieldGrantId": "fg-process-steward-StepTools.Name",
    "Principal": "principal-process-steward",
    "TargetField": "StepTools.Name",
    "CanRead": true,
    "CanWrite": false,
    "MaskStrategy": "plain",
    "SemanticTypeIri": "urn:effortless:pko-extension#FieldGrant",
    "Name": "principal-process-steward -&gt; StepTools.Name",
    "FieldTable": "StepTools",
    "FieldName": "Name",
    "FieldIsDerived": true,
    "IsWritableDerivedField": false,
    "IsMasked": false,
    "GrantKeyWhenReadable": "principal-process-steward|StepTools"
   },
   {
    "FieldGrantId": "fg-process-steward-StepTools.Step",
    "Principal": "principal-process-steward",
    "TargetField": "StepTools.Step",
    "CanRead": true,
    "CanWrite": false,
    "MaskStrategy": "plain",
    "SemanticTypeIri": "urn:effortless:pko-extension#FieldGrant",
    "Name": "principal-process-steward -&gt; StepTools.Step",
    "FieldTable": "StepTools",
    "FieldName": "Step",
    "FieldIsDerived": false,
    "IsWritableDerivedField": false,
    "IsMasked": false,
    "GrantKeyWhenReadable": "principal-process-steward|StepTools"
   },
   {
    "FieldGrantId": "fg-process-steward-StepTools.Tool",
    "Principal": "principal-process-steward",
    "TargetField": "StepTools.Tool",
    "CanRead": true,
    "CanWrite": false,
    "MaskStrategy": "plain",
    "SemanticTypeIri": "urn:effortless:pko-extension#FieldGrant",
    "Name": "principal-process-steward -&gt; StepTools.Tool",
    "FieldTable": "StepTools",
    "FieldName": "Tool",
    "FieldIsDerived": false,
    "IsWritableDerivedField": false,
    "IsMasked": false,
    "GrantKeyWhenReadable": "principal-process-steward|StepTools"
   },
   {
    "FieldGrantId": "fg-process-steward-StepTransitions.StepTransitionId",
    "Principal": "principal-process-steward",
    "TargetField": "StepTransitions.StepTransitionId",
    "CanRead": true,
    "CanWrite": false,
    "MaskStrategy": "plain",
    "SemanticTypeIri": "urn:effortless:pko-extension#FieldGrant",
    "Name": "principal-process-steward -&gt; StepTransitions.StepTransitionId",
    "FieldTable": "StepTransitions",
    "FieldName": "StepTransitionId",
    "FieldIsDerived": false,
    "IsWritableDerivedField": false,
    "IsMasked": false,
    "GrantKeyWhenReadable": "principal-process-steward|StepTransitions"
   },
   {
    "FieldGrantId": "fg-process-steward-StepTransitions.Name",
    "Principal": "principal-process-steward",
    "TargetField": "StepTransitions.Name",
    "CanRead": true,
    "CanWrite": false,
    "MaskStrategy": "plain",
    "SemanticTypeIri": "urn:effortless:pko-extension#FieldGrant",
    "Name": "principal-process-steward -&gt; StepTransitions.Name",
    "FieldTable": "StepTransitions",
    "FieldName": "Name",
    "FieldIsDerived": true,
    "IsWritableDerivedField": false,
    "IsMasked": false,
    "GrantKeyWhenReadable": "principal-process-steward|StepTransitions"
   },
   {
    "FieldGrantId": "fg-process-steward-StepTransitions.ProcedureVersion",
    "Principal": "principal-process-steward",
    "TargetField": "StepTransitions.ProcedureVersion",
    "CanRead": true,
    "CanWrite": false,
    "MaskStrategy": "plain",
    "SemanticTypeIri": "urn:effortless:pko-extension#FieldGrant",
    "Name": "principal-process-steward -&gt; StepTransitions.ProcedureVersion",
    "FieldTable": "StepTransitions",
    "FieldName": "ProcedureVersion",
    "FieldIsDerived": false,
    "IsWritableDerivedField": false,
    "IsMasked": false,
    "GrantKeyWhenReadable": "principal-process-steward|StepTransitions"
   },
   {
    "FieldGrantId": "fg-process-steward-StepTransitions.FromStep",
    "Principal": "principal-process-steward",
    "TargetField": "StepTransitions.FromStep",
    "CanRead": true,
    "CanWrite": false,
    "MaskStrategy": "plain",
    "SemanticTypeIri": "urn:effortless:pko-extension#FieldGrant",
    "Name": "principal-process-steward -&gt; StepTransitions.FromStep",
    "FieldTable": "StepTransitions",
    "FieldName": "FromStep",
    "FieldIsDerived": false,
    "IsWritableDerivedField": false,
    "IsMasked": false,
    "GrantKeyWhenReadable": "principal-process-steward|StepTransitions"
   },
   {
    "FieldGrantId": "fg-process-steward-StepTransitions.ToStep",
    "Principal": "principal-process-steward",
    "TargetField": "StepTransitions.ToStep",
    "CanRead": true,
    "CanWrite": false,
    "MaskStrategy": "plain",
    "SemanticTypeIri": "urn:effortless:pko-extension#FieldGrant",
    "Name": "principal-process-steward -&gt; StepTransitions.ToStep",
    "FieldTable": "StepTransitions",
    "FieldName": "ToStep",
    "FieldIsDerived": false,
    "IsWritableDerivedField": false,
    "IsMasked": false,
    "GrantKeyWhenReadable": "principal-process-steward|StepTransitions"
   },
   {
    "FieldGrantId": "fg-process-steward-StepTransitions.TransitionKind",
    "Principal": "principal-process-steward",
    "TargetField": "StepTransitions.TransitionKind",
    "CanRead": true,
    "CanWrite": false,
    "MaskStrategy": "plain",
    "SemanticTypeIri": "urn:effortless:pko-extension#FieldGrant",
    "Name": "principal-process-steward -&gt; StepTransitions.TransitionKind",
    "FieldTable": "StepTransitions",
    "FieldName": "TransitionKind",
    "FieldIsDerived": false,
    "IsWritableDerivedField": false,
    "IsMasked": false,
    "GrantKeyWhenReadable": "principal-process-steward|StepTransitions"
   },
   {
    "FieldGrantId": "fg-process-steward-StepTransitions.Condition",
    "Principal": "principal-process-steward",
    "TargetField": "StepTransitions.Condition",
    "CanRead": true,
    "CanWrite": false,
    "MaskStrategy": "plain",
    "SemanticTypeIri": "urn:effortless:pko-extension#FieldGrant",
    "Name": "principal-process-steward -&gt; StepTransitions.Condition",
    "FieldTable": "StepTransitions",
    "FieldName": "Condition",
    "FieldIsDerived": false,
    "IsWritableDerivedField": false,
    "IsMasked": false,
    "GrantKeyWhenReadable": "principal-process-steward|StepTransitions"
   },
   {
    "FieldGrantId": "fg-process-steward-StepTransitions.Priority",
    "Principal": "principal-process-steward",
    "TargetField": "StepTransitions.Priority",
    "CanRead": true,
    "CanWrite": false,
    "MaskStrategy": "plain",
    "SemanticTypeIri": "urn:effortless:pko-extension#FieldGrant",
    "Name": "principal-process-steward -&gt; StepTransitions.Priority",
    "FieldTable": "StepTransitions",
    "FieldName": "Priority",
    "FieldIsDerived": false,
    "IsWritableDerivedField": false,
    "IsMasked": false,
    "GrantKeyWhenReadable": "principal-process-steward|StepTransitions"
   },
   {
    "FieldGrantId": "fg-process-steward-StepTransitions.IsRecoveryPath",
    "Principal": "principal-process-steward",
    "TargetField": "StepTransitions.IsRecoveryPath",
    "CanRead": true,
    "CanWrite": false,
    "MaskStrategy": "plain",
    "SemanticTypeIri": "urn:effortless:pko-extension#FieldGrant",
    "Name": "principal-process-steward -&gt; StepTransitions.IsRecoveryPath",
    "FieldTable": "StepTransitions",
    "FieldName": "IsRecoveryPath",
    "FieldIsDerived": true,
    "IsWritableDerivedField": false,
    "IsMasked": false,
    "GrantKeyWhenReadable": "principal-process-steward|StepTransitions"
   },
   {
    "FieldGrantId": "fg-process-steward-StepTransitions.CountOfFromStepExecutions",
    "Principal": "principal-process-steward",
    "TargetField": "StepTransitions.CountOfFromStepExecutions",
    "CanRead": true,
    "CanWrite": false,
    "MaskStrategy": "plain",
    "SemanticTypeIri": "urn:effortless:pko-extension#FieldGrant",
    "Name": "principal-process-steward -&gt; StepTransitions.CountOfFromStepExecutions",
    "FieldTable": "StepTransitions",
    "FieldName": "CountOfFromStepExecutions",
    "FieldIsDerived": true,
    "IsWritableDerivedField": false,
    "IsMasked": false,
    "GrantKeyWhenReadable": "principal-process-steward|StepTransitions"
   },
   {
    "FieldGrantId": "fg-process-steward-StepTransitions.CountOfToStepExecutions",
    "Principal": "principal-process-steward",
    "TargetField": "StepTransitions.CountOfToStepExecutions",
    "CanRead": true,
    "CanWrite": false,
    "MaskStrategy": "plain",
    "SemanticTypeIri": "urn:effortless:pko-extension#FieldGrant",
    "Name": "principal-process-steward -&gt; StepTransitions.CountOfToStepExecutions",
    "FieldTable": "StepTransitions",
    "FieldName": "CountOfToStepExecutions",
    "FieldIsDerived": true,
    "IsWritableDerivedField": false,
    "IsMasked": false,
    "GrantKeyWhenReadable": "principal-process-steward|StepTransitions"
   },
   {
    "FieldGrantId": "fg-process-steward-StepTransitions.HasReachableOrigin",
    "Principal": "principal-process-steward",
    "TargetField": "StepTransitions.HasReachableOrigin",
    "CanRead": true,
    "CanWrite": false,
    "MaskStrategy": "plain",
    "SemanticTypeIri": "urn:effortless:pko-extension#FieldGrant",
    "Name": "principal-process-steward -&gt; StepTransitions.HasReachableOrigin",
    "FieldTable": "StepTransitions",
    "FieldName": "HasReachableOrigin",
    "FieldIsDerived": true,
    "IsWritableDerivedField": false,
    "IsMasked": false,
    "GrantKeyWhenReadable": "principal-process-steward|StepTransitions"
   },
   {
    "FieldGrantId": "fg-process-steward-StepTransitions.HasReachableTarget",
    "Principal": "principal-process-steward",
    "TargetField": "StepTransitions.HasReachableTarget",
    "CanRead": true,
    "CanWrite": false,
    "MaskStrategy": "plain",
    "SemanticTypeIri": "urn:effortless:pko-extension#FieldGrant",
    "Name": "principal-process-steward -&gt; StepTransitions.HasReachableTarget",
    "FieldTable": "StepTransitions",
    "FieldName": "HasReachableTarget",
    "FieldIsDerived": true,
    "IsWritableDerivedField": false,
    "IsMasked": false,
    "GrantKeyWhenReadable": "principal-process-steward|StepTransitions"
   },
   {
    "FieldGrantId": "fg-process-steward-StepTransitions.IsNeverExercised",
    "Principal": "principal-process-steward",
    "TargetField": "StepTransitions.IsNeverExercised",
    "CanRead": true,
    "CanWrite": false,
    "MaskStrategy": "plain",
    "SemanticTypeIri": "urn:effortless:pko-extension#FieldGrant",
    "Name": "principal-process-steward -&gt; StepTransitions.IsNeverExercised",
    "FieldTable": "StepTransitions",
    "FieldName": "IsNeverExercised",
    "FieldIsDerived": true,
    "IsWritableDerivedField": false,
    "IsMasked": false,
    "GrantKeyWhenReadable": "principal-process-steward|StepTransitions"
   },
   {
    "FieldGrantId": "fg-process-steward-StepTransitions.IsUntestedRecoveryPath",
    "Principal": "principal-process-steward",
    "TargetField": "StepTransitions.IsUntestedRecoveryPath",
    "CanRead": true,
    "CanWrite": false,
    "MaskStrategy": "plain",
    "SemanticTypeIri": "urn:effortless:pko-extension#FieldGrant",
    "Name": "principal-process-steward -&gt; StepTransitions.IsUntestedRecoveryPath",
    "FieldTable": "StepTransitions",
    "FieldName": "IsUntestedRecoveryPath",
    "FieldIsDerived": true,
    "IsWritableDerivedField": false,
    "IsMasked": false,
    "GrantKeyWhenReadable": "principal-process-steward|StepTransitions"
   },
   {
    "FieldGrantId": "fg-process-steward-StepTransitions.CountOfObservedTraversals",
    "Principal": "principal-process-steward",
    "TargetField": "StepTransitions.CountOfObservedTraversals",
    "CanRead": true,
    "CanWrite": false,
    "MaskStrategy": "plain",
    "SemanticTypeIri": "urn:effortless:pko-extension#FieldGrant",
    "Name": "principal-process-steward -&gt; StepTransitions.CountOfObservedTraversals",
    "FieldTable": "StepTransitions",
    "FieldName": "CountOfObservedTraversals",
    "FieldIsDerived": true,
    "IsWritableDerivedField": false,
    "IsMasked": false,
    "GrantKeyWhenReadable": "principal-process-steward|StepTransitions"
   },
   {
    "FieldGrantId": "fg-process-steward-StepTransitions.HasBeenTraversed",
    "Principal": "principal-process-steward",
    "TargetField": "StepTransitions.HasBeenTraversed",
    "CanRead": true,
    "CanWrite": false,
    "MaskStrategy": "plain",
    "SemanticTypeIri": "urn:effortless:pko-extension#FieldGrant",
    "Name": "principal-process-steward -&gt; StepTransitions.HasBeenTraversed",
    "FieldTable": "StepTransitions",
    "FieldName": "HasBeenTraversed",
    "FieldIsDerived": true,
    "IsWritableDerivedField": false,
    "IsMasked": false,
    "GrantKeyWhenReadable": "principal-process-steward|StepTransitions"
   },
   {
    "FieldGrantId": "fg-process-steward-StepTransitions.IsUnwalkedRecoveryPath",
    "Principal": "principal-process-steward",
    "TargetField": "StepTransitions.IsUnwalkedRecoveryPath",
    "CanRead": true,
    "CanWrite": false,
    "MaskStrategy": "plain",
    "SemanticTypeIri": "urn:effortless:pko-extension#FieldGrant",
    "Name": "principal-process-steward -&gt; StepTransitions.IsUnwalkedRecoveryPath",
    "FieldTable": "StepTransitions",
    "FieldName": "IsUnwalkedRecoveryPath",
    "FieldIsDerived": true,
    "IsWritableDerivedField": false,
    "IsMasked": false,
    "GrantKeyWhenReadable": "principal-process-steward|StepTransitions"
   },
   {
    "FieldGrantId": "fg-process-steward-StepTransitions.TargetBlockingRequirementCount",
    "Principal": "principal-process-steward",
    "TargetField": "StepTransitions.TargetBlockingRequirementCount",
    "CanRead": true,
    "CanWrite": false,
    "MaskStrategy": "plain",
    "SemanticTypeIri": "urn:effortless:pko-extension#FieldGrant",
    "Name": "principal-process-steward -&gt; StepTransitions.TargetBlockingRequirementCount",
    "FieldTable": "StepTransitions",
    "FieldName": "TargetBlockingRequirementCount",
    "FieldIsDerived": true,
    "IsWritableDerivedField": false,
    "IsMasked": false,
    "GrantKeyWhenReadable": "principal-process-steward|StepTransitions"
   },
   {
    "FieldGrantId": "fg-process-steward-StepTransitions.TargetCarriesBlockingControl",
    "Principal": "principal-process-steward",
    "TargetField": "StepTransitions.TargetCarriesBlockingControl",
    "CanRead": true,
    "CanWrite": false,
    "MaskStrategy": "plain",
    "SemanticTypeIri": "urn:effortless:pko-extension#FieldGrant",
    "Name": "principal-process-steward -&gt; StepTransitions.TargetCarriesBlockingControl",
    "FieldTable": "StepTransitions",
    "FieldName": "TargetCarriesBlockingControl",
    "FieldIsDerived": true,
    "IsWritableDerivedField": false,
    "IsMasked": false,
    "GrantKeyWhenReadable": "principal-process-steward|StepTransitions"
   },
   {
    "FieldGrantId": "fg-process-steward-StepTransitions.IsUnrehearsedControlEntry",
    "Principal": "principal-process-steward",
    "TargetField": "StepTransitions.IsUnrehearsedControlEntry",
    "CanRead": true,
    "CanWrite": false,
    "MaskStrategy": "plain",
    "SemanticTypeIri": "urn:effortless:pko-extension#FieldGrant",
    "Name": "principal-process-steward -&gt; StepTransitions.IsUnrehearsedControlEntry",
    "FieldTable": "StepTransitions",
    "FieldName": "IsUnrehearsedControlEntry",
    "FieldIsDerived": true,
    "IsWritableDerivedField": false,
    "IsMasked": false,
    "GrantKeyWhenReadable": "principal-process-steward|StepTransitions"
   },
   {
    "FieldGrantId": "fg-process-steward-StepTransitions.UnrehearsedControlVersionKey",
    "Principal": "principal-process-steward",
    "TargetField": "StepTransitions.UnrehearsedControlVersionKey",
    "CanRead": true,
    "CanWrite": false,
    "MaskStrategy": "plain",
    "SemanticTypeIri": "urn:effortless:pko-extension#FieldGrant",
    "Name": "principal-process-steward -&gt; StepTransitions.UnrehearsedControlVersionKey",
    "FieldTable": "StepTransitions",
    "FieldName": "UnrehearsedControlVersionKey",
    "FieldIsDerived": true,
    "IsWritableDerivedField": false,
    "IsMasked": false,
    "GrantKeyWhenReadable": "principal-process-steward|StepTransitions"
   },
   {
    "FieldGrantId": "fg-process-steward-StepTransitions.SemanticTypeIri",
    "Principal": "principal-process-steward",
    "TargetField": "StepTransitions.SemanticTypeIri",
    "CanRead": true,
    "CanWrite": false,
    "MaskStrategy": "plain",
    "SemanticTypeIri": "urn:effortless:pko-extension#FieldGrant",
    "Name": "principal-process-steward -&gt; StepTransitions.SemanticTypeIri",
    "FieldTable": "StepTransitions",
    "FieldName": "SemanticTypeIri",
    "FieldIsDerived": false,
    "IsWritableDerivedField": false,
    "IsMasked": false,
    "GrantKeyWhenReadable": "principal-process-steward|StepTransitions"
   },
   {
    "FieldGrantId": "fg-process-steward-StepVerifications.StepVerificationId",
    "Principal": "principal-process-steward",
    "TargetField": "StepVerifications.StepVerificationId",
    "CanRead": true,
    "CanWrite": false,
    "MaskStrategy": "plain",
    "SemanticTypeIri": "urn:effortless:pko-extension#FieldGrant",
    "Name": "principal-process-steward -&gt; StepVerifications.StepVerificationId",
    "FieldTable": "StepVerifications",
    "FieldName": "StepVerificationId",
    "FieldIsDerived": false,
    "IsWritableDerivedField": false,
    "IsMasked": false,
    "GrantKeyWhenReadable": "principal-process-steward|StepVerifications"
   },
   {
    "FieldGrantId": "fg-process-steward-StepVerifications.Name",
    "Principal": "principal-process-steward",
    "TargetField": "StepVerifications.Name",
    "CanRead": true,
    "CanWrite": false,
    "MaskStrategy": "plain",
    "SemanticTypeIri": "urn:effortless:pko-extension#FieldGrant",
    "Name": "principal-process-steward -&gt; StepVerifications.Name",
    "FieldTable": "StepVerifications",
    "FieldName": "Name",
    "FieldIsDerived": true,
    "IsWritableDerivedField": false,
    "IsMasked": false,
    "GrantKeyWhenReadable": "principal-process-steward|StepVerifications"
   },
   {
    "FieldGrantId": "fg-process-steward-StepVerifications.Step",
    "Principal": "principal-process-steward",
    "TargetField": "StepVerifications.Step",
    "CanRead": true,
    "CanWrite": false,
    "MaskStrategy": "plain",
    "SemanticTypeIri": "urn:effortless:pko-extension#FieldGrant",
    "Name": "principal-process-steward -&gt; StepVerifications.Step",
    "FieldTable": "StepVerifications",
    "FieldName": "Step",
    "FieldIsDerived": false,
    "IsWritableDerivedField": false,
    "IsMasked": false,
    "GrantKeyWhenReadable": "principal-process-steward|StepVerifications"
   },
   {
    "FieldGrantId": "fg-process-steward-StepVerifications.VerificationKind",
    "Principal": "principal-process-steward",
    "TargetField": "StepVerifications.VerificationKind",
    "CanRead": true,
    "CanWrite": false,
    "MaskStrategy": "plain",
    "SemanticTypeIri": "urn:effortless:pko-extension#FieldGrant",
    "Name": "principal-process-steward -&gt; StepVerifications.VerificationKind",
    "FieldTable": "StepVerifications",
    "FieldName": "VerificationKind",
    "FieldIsDerived": false,
    "IsWritableDerivedField": false,
    "IsMasked": false,
    "GrantKeyWhenReadable": "principal-process-steward|StepVerifications"
   },
   {
    "FieldGrantId": "fg-process-steward-StepVerifications.SignalIdentifier",
    "Principal": "principal-process-steward",
    "TargetField": "StepVerifications.SignalIdentifier",
    "CanRead": true,
    "CanWrite": false,
    "MaskStrategy": "plain",
    "SemanticTypeIri": "urn:effortless:pko-extension#FieldGrant",
    "Name": "principal-process-steward -&gt; StepVerifications.SignalIdentifier",
    "FieldTable": "StepVerifications",
    "FieldName": "SignalIdentifier",
    "FieldIsDerived": false,
    "IsWritableDerivedField": false,
    "IsMasked": false,
    "GrantKeyWhenReadable": "principal-process-steward|StepVerifications"
   },
   {
    "FieldGrantId": "fg-process-steward-StepVerifications.ExpectedSignalValue",
    "Principal": "principal-process-steward",
    "TargetField": "StepVerifications.ExpectedSignalValue",
    "CanRead": true,
    "CanWrite": false,
    "MaskStrategy": "plain",
    "SemanticTypeIri": "urn:effortless:pko-extension#FieldGrant",
    "Name": "principal-process-steward -&gt; StepVerifications.ExpectedSignalValue",
    "FieldTable": "StepVerifications",
    "FieldName": "ExpectedSignalValue",
    "FieldIsDerived": false,
    "IsWritableDerivedF</t>
  </si>
  <si>
    <t xml:space="preserve">ield": false,
    "IsMasked": false,
    "GrantKeyWhenReadable": "principal-process-steward|StepVerifications"
   },
   {
    "FieldGrantId": "fg-process-steward-StepVerifications.Instruction",
    "Principal": "principal-process-steward",
    "TargetField": "StepVerifications.Instruction",
    "CanRead": true,
    "CanWrite": false,
    "MaskStrategy": "plain",
    "SemanticTypeIri": "urn:effortless:pko-extension#FieldGrant",
    "Name": "principal-process-steward -&gt; StepVerifications.Instruction",
    "FieldTable": "StepVerifications",
    "FieldName": "Instruction",
    "FieldIsDerived": false,
    "IsWritableDerivedField": false,
    "IsMasked": false,
    "GrantKeyWhenReadable": "principal-process-steward|StepVerifications"
   },
   {
    "FieldGrantId": "fg-process-steward-StepVerifications.SemanticTypeIri",
    "Principal": "principal-process-steward",
    "TargetField": "StepVerifications.SemanticTypeIri",
    "CanRead": true,
    "CanWrite": false,
    "MaskStrategy": "plain",
    "SemanticTypeIri": "urn:effortless:pko-extension#FieldGrant",
    "Name": "principal-process-steward -&gt; StepVerifications.SemanticTypeIri",
    "FieldTable": "StepVerifications",
    "FieldName": "SemanticTypeIri",
    "FieldIsDerived": false,
    "IsWritableDerivedField": false,
    "IsMasked": false,
    "GrantKeyWhenReadable": "principal-process-steward|StepVerifications"
   },
   {
    "FieldGrantId": "fg-process-steward-Steps.StepId",
    "Principal": "principal-process-steward",
    "TargetField": "Steps.StepId",
    "CanRead": true,
    "CanWrite": false,
    "MaskStrategy": "plain",
    "SemanticTypeIri": "urn:effortless:pko-extension#FieldGrant",
    "Name": "principal-process-steward -&gt; Steps.StepId",
    "FieldTable": "Steps",
    "FieldName": "StepId",
    "FieldIsDerived": false,
    "IsWritableDerivedField": false,
    "IsMasked": false,
    "GrantKeyWhenReadable": "principal-process-steward|Steps"
   },
   {
    "FieldGrantId": "fg-process-steward-Steps.Name",
    "Principal": "principal-process-steward",
    "TargetField": "Steps.Name",
    "CanRead": true,
    "CanWrite": false,
    "MaskStrategy": "plain",
    "SemanticTypeIri": "urn:effortless:pko-extension#FieldGrant",
    "Name": "principal-process-steward -&gt; Steps.Name",
    "FieldTable": "Steps",
    "FieldName": "Name",
    "FieldIsDerived": true,
    "IsWritableDerivedField": false,
    "IsMasked": false,
    "GrantKeyWhenReadable": "principal-process-steward|Steps"
   },
   {
    "FieldGrantId": "fg-process-steward-Steps.ProcedureVersion",
    "Principal": "principal-process-steward",
    "TargetField": "Steps.ProcedureVersion",
    "CanRead": true,
    "CanWrite": false,
    "MaskStrategy": "plain",
    "SemanticTypeIri": "urn:effortless:pko-extension#FieldGrant",
    "Name": "principal-process-steward -&gt; Steps.ProcedureVersion",
    "FieldTable": "Steps",
    "FieldName": "ProcedureVersion",
    "FieldIsDerived": false,
    "IsWritableDerivedField": false,
    "IsMasked": false,
    "GrantKeyWhenReadable": "principal-process-steward|Steps"
   },
   {
    "FieldGrantId": "fg-process-steward-Steps.StepNumber",
    "Principal": "principal-process-steward",
    "TargetField": "Steps.StepNumber",
    "CanRead": true,
    "CanWrite": false,
    "MaskStrategy": "plain",
    "SemanticTypeIri": "urn:effortless:pko-extension#FieldGrant",
    "Name": "principal-process-steward -&gt; Steps.StepNumber",
    "FieldTable": "Steps",
    "FieldName": "StepNumber",
    "FieldIsDerived": false,
    "IsWritableDerivedField": false,
    "IsMasked": false,
    "GrantKeyWhenReadable": "principal-process-steward|Steps"
   },
   {
    "FieldGrantId": "fg-process-steward-Steps.Title",
    "Principal": "principal-process-steward",
    "TargetField": "Steps.Title",
    "CanRead": true,
    "CanWrite": false,
    "MaskStrategy": "plain",
    "SemanticTypeIri": "urn:effortless:pko-extension#FieldGrant",
    "Name": "principal-process-steward -&gt; Steps.Title",
    "FieldTable": "Steps",
    "FieldName": "Title",
    "FieldIsDerived": false,
    "IsWritableDerivedField": false,
    "IsMasked": false,
    "GrantKeyWhenReadable": "principal-process-steward|Steps"
   },
   {
    "FieldGrantId": "fg-process-steward-Steps.StepKind",
    "Principal": "principal-process-steward",
    "TargetField": "Steps.StepKind",
    "CanRead": true,
    "CanWrite": false,
    "MaskStrategy": "plain",
    "SemanticTypeIri": "urn:effortless:pko-extension#FieldGrant",
    "Name": "principal-process-steward -&gt; Steps.StepKind",
    "FieldTable": "Steps",
    "FieldName": "StepKind",
    "FieldIsDerived": false,
    "IsWritableDerivedField": false,
    "IsMasked": false,
    "GrantKeyWhenReadable": "principal-process-steward|Steps"
   },
   {
    "FieldGrantId": "fg-process-steward-Steps.AssignedRole",
    "Principal": "principal-process-steward",
    "TargetField": "Steps.AssignedRole",
    "CanRead": true,
    "CanWrite": false,
    "MaskStrategy": "plain",
    "SemanticTypeIri": "urn:effortless:pko-extension#FieldGrant",
    "Name": "principal-process-steward -&gt; Steps.AssignedRole",
    "FieldTable": "Steps",
    "FieldName": "AssignedRole",
    "FieldIsDerived": false,
    "IsWritableDerivedField": false,
    "IsMasked": false,
    "GrantKeyWhenReadable": "principal-process-steward|Steps"
   },
   {
    "FieldGrantId": "fg-process-steward-Steps.AssignedRoleLabel",
    "Principal": "principal-process-steward",
    "TargetField": "Steps.AssignedRoleLabel",
    "CanRead": true,
    "CanWrite": false,
    "MaskStrategy": "plain",
    "SemanticTypeIri": "urn:effortless:pko-extension#FieldGrant",
    "Name": "principal-process-steward -&gt; Steps.AssignedRoleLabel",
    "FieldTable": "Steps",
    "FieldName": "AssignedRoleLabel",
    "FieldIsDerived": true,
    "IsWritableDerivedField": false,
    "IsMasked": false,
    "GrantKeyWhenReadable": "principal-process-steward|Steps"
   },
   {
    "FieldGrantId": "fg-process-steward-Steps.AssignedAgentKind",
    "Principal": "principal-process-steward",
    "TargetField": "Steps.AssignedAgentKind",
    "CanRead": true,
    "CanWrite": false,
    "MaskStrategy": "plain",
    "SemanticTypeIri": "urn:effortless:pko-extension#FieldGrant",
    "Name": "principal-process-steward -&gt; Steps.AssignedAgentKind",
    "FieldTable": "Steps",
    "FieldName": "AssignedAgentKind",
    "FieldIsDerived": true,
    "IsWritableDerivedField": false,
    "IsMasked": false,
    "GrantKeyWhenReadable": "principal-process-steward|Steps"
   },
   {
    "FieldGrantId": "fg-process-steward-Steps.Instruction",
    "Principal": "principal-process-steward",
    "TargetField": "Steps.Instruction",
    "CanRead": true,
    "CanWrite": false,
    "MaskStrategy": "plain",
    "SemanticTypeIri": "urn:effortless:pko-extension#FieldGrant",
    "Name": "principal-process-steward -&gt; Steps.Instruction",
    "FieldTable": "Steps",
    "FieldName": "Instruction",
    "FieldIsDerived": false,
    "IsWritableDerivedField": false,
    "IsMasked": false,
    "GrantKeyWhenReadable": "principal-process-steward|Steps"
   },
   {
    "FieldGrantId": "fg-process-steward-Steps.ExpectedDurationMinutes",
    "Principal": "principal-process-steward",
    "TargetField": "Steps.ExpectedDurationMinutes",
    "CanRead": true,
    "CanWrite": false,
    "MaskStrategy": "plain",
    "SemanticTypeIri": "urn:effortless:pko-extension#FieldGrant",
    "Name": "principal-process-steward -&gt; Steps.ExpectedDurationMinutes",
    "FieldTable": "Steps",
    "FieldName": "ExpectedDurationMinutes",
    "FieldIsDerived": false,
    "IsWritableDerivedField": false,
    "IsMasked": false,
    "GrantKeyWhenReadable": "principal-process-steward|Steps"
   },
   {
    "FieldGrantId": "fg-process-steward-Steps.ExpertiseLevel",
    "Principal": "principal-process-steward",
    "TargetField": "Steps.ExpertiseLevel",
    "CanRead": true,
    "CanWrite": false,
    "MaskStrategy": "plain",
    "SemanticTypeIri": "urn:effortless:pko-extension#FieldGrant",
    "Name": "principal-process-steward -&gt; Steps.ExpertiseLevel",
    "FieldTable": "Steps",
    "FieldName": "ExpertiseLevel",
    "FieldIsDerived": false,
    "IsWritableDerivedField": false,
    "IsMasked": false,
    "GrantKeyWhenReadable": "principal-process-steward|Steps"
   },
   {
    "FieldGrantId": "fg-process-steward-Steps.RequiresHumanConfirmation",
    "Principal": "principal-process-steward",
    "TargetField": "Steps.RequiresHumanConfirmation",
    "CanRead": true,
    "CanWrite": false,
    "MaskStrategy": "plain",
    "SemanticTypeIri": "urn:effortless:pko-extension#FieldGrant",
    "Name": "principal-process-steward -&gt; Steps.RequiresHumanConfirmation",
    "FieldTable": "Steps",
    "FieldName": "RequiresHumanConfirmation",
    "FieldIsDerived": false,
    "IsWritableDerivedField": false,
    "IsMasked": false,
    "GrantKeyWhenReadable": "principal-process-steward|Steps"
   },
   {
    "FieldGrantId": "fg-process-steward-Steps.BlockingRequirementCount",
    "Principal": "principal-process-steward",
    "TargetField": "Steps.BlockingRequirementCount",
    "CanRead": true,
    "CanWrite": false,
    "MaskStrategy": "plain",
    "SemanticTypeIri": "urn:effortless:pko-extension#FieldGrant",
    "Name": "principal-process-steward -&gt; Steps.BlockingRequirementCount",
    "FieldTable": "Steps",
    "FieldName": "BlockingRequirementCount",
    "FieldIsDerived": true,
    "IsWritableDerivedField": false,
    "IsMasked": false,
    "GrantKeyWhenReadable": "principal-process-steward|Steps"
   },
   {
    "FieldGrantId": "fg-process-steward-Steps.StaleBindingCount",
    "Principal": "principal-process-steward",
    "TargetField": "Steps.StaleBindingCount",
    "CanRead": true,
    "CanWrite": false,
    "MaskStrategy": "plain",
    "SemanticTypeIri": "urn:effortless:pko-extension#FieldGrant",
    "Name": "principal-process-steward -&gt; Steps.StaleBindingCount",
    "FieldTable": "Steps",
    "FieldName": "StaleBindingCount",
    "FieldIsDerived": true,
    "IsWritableDerivedField": false,
    "IsMasked": false,
    "GrantKeyWhenReadable": "principal-process-steward|Steps"
   },
   {
    "FieldGrantId": "fg-process-steward-Steps.AuthoritativeStaleCount",
    "Principal": "principal-process-steward",
    "TargetField": "Steps.AuthoritativeStaleCount",
    "CanRead": true,
    "CanWrite": false,
    "MaskStrategy": "plain",
    "SemanticTypeIri": "urn:effortless:pko-extension#FieldGrant",
    "Name": "principal-process-steward -&gt; Steps.AuthoritativeStaleCount",
    "FieldTable": "Steps",
    "FieldName": "AuthoritativeStaleCount",
    "FieldIsDerived": true,
    "IsWritableDerivedField": false,
    "IsMasked": false,
    "GrantKeyWhenReadable": "principal-process-steward|Steps"
   },
   {
    "FieldGrantId": "fg-process-steward-Steps.AvailableExceptionCount",
    "Principal": "principal-process-steward",
    "TargetField": "Steps.AvailableExceptionCount",
    "CanRead": true,
    "CanWrite": false,
    "MaskStrategy": "plain",
    "SemanticTypeIri": "urn:effortless:pko-extension#FieldGrant",
    "Name": "principal-process-steward -&gt; Steps.AvailableExceptionCount",
    "FieldTable": "Steps",
    "FieldName": "AvailableExceptionCount",
    "FieldIsDerived": true,
    "IsWritableDerivedField": false,
    "IsMasked": false,
    "GrantKeyWhenReadable": "principal-process-steward|Steps"
   },
   {
    "FieldGrantId": "fg-process-steward-Steps.DeclaredVerificationCount",
    "Principal": "principal-process-steward",
    "TargetField": "Steps.DeclaredVerificationCount",
    "CanRead": true,
    "CanWrite": false,
    "MaskStrategy": "plain",
    "SemanticTypeIri": "urn:effortless:pko-extension#FieldGrant",
    "Name": "principal-process-steward -&gt; Steps.DeclaredVerificationCount",
    "FieldTable": "Steps",
    "FieldName": "DeclaredVerificationCount",
    "FieldIsDerived": true,
    "IsWritableDerivedField": false,
    "IsMasked": false,
    "GrantKeyWhenReadable": "principal-process-steward|Steps"
   },
   {
    "FieldGrantId": "fg-process-steward-Steps.IsPreparationStep",
    "Principal": "principal-process-steward",
    "TargetField": "Steps.IsPreparationStep",
    "CanRead": true,
    "CanWrite": false,
    "MaskStrategy": "plain",
    "SemanticTypeIri": "urn:effortless:pko-extension#FieldGrant",
    "Name": "principal-process-steward -&gt; Steps.IsPreparationStep",
    "FieldTable": "Steps",
    "FieldName": "IsPreparationStep",
    "FieldIsDerived": true,
    "IsWritableDerivedField": false,
    "IsMasked": false,
    "GrantKeyWhenReadable": "principal-process-steward|Steps"
   },
   {
    "FieldGrantId": "fg-process-steward-Steps.IsApprovalStep",
    "Principal": "principal-process-steward",
    "TargetField": "Steps.IsApprovalStep",
    "CanRead": true,
    "CanWrite": false,
    "MaskStrategy": "plain",
    "SemanticTypeIri": "urn:effortless:pko-extension#FieldGrant",
    "Name": "principal-process-steward -&gt; Steps.IsApprovalStep",
    "FieldTable": "Steps",
    "FieldName": "IsApprovalStep",
    "FieldIsDerived": true,
    "IsWritableDerivedField": false,
    "IsMasked": false,
    "GrantKeyWhenReadable": "principal-process-steward|Steps"
   },
   {
    "FieldGrantId": "fg-process-steward-Steps.StaleAuthoritativeBindingCount",
    "Principal": "principal-process-steward",
    "TargetField": "Steps.StaleAuthoritativeBindingCount",
    "CanRead": true,
    "CanWrite": false,
    "MaskStrategy": "plain",
    "SemanticTypeIri": "urn:effortless:pko-extension#FieldGrant",
    "Name": "principal-process-steward -&gt; Steps.StaleAuthoritativeBindingCount",
    "FieldTable": "Steps",
    "FieldName": "StaleAuthoritativeBindingCount",
    "FieldIsDerived": true,
    "IsWritableDerivedField": false,
    "IsMasked": false,
    "GrantKeyWhenReadable": "principal-process-steward|Steps"
   },
   {
    "FieldGrantId": "fg-process-steward-Steps.InputsAreFresh",
    "Principal": "principal-process-steward",
    "TargetField": "Steps.InputsAreFresh",
    "CanRead": true,
    "CanWrite": false,
    "MaskStrategy": "plain",
    "SemanticTypeIri": "urn:effortless:pko-extension#FieldGrant",
    "Name": "principal-process-steward -&gt; Steps.InputsAreFresh",
    "FieldTable": "Steps",
    "FieldName": "InputsAreFresh",
    "FieldIsDerived": true,
    "IsWritableDerivedField": false,
    "IsMasked": false,
    "GrantKeyWhenReadable": "principal-process-steward|Steps"
   },
   {
    "FieldGrantId": "fg-process-steward-Steps.IsSoftwareAssigned",
    "Principal": "principal-process-steward",
    "TargetField": "Steps.IsSoftwareAssigned",
    "CanRead": true,
    "CanWrite": false,
    "MaskStrategy": "plain",
    "SemanticTypeIri": "urn:effortless:pko-extension#FieldGrant",
    "Name": "principal-process-steward -&gt; Steps.IsSoftwareAssigned",
    "FieldTable": "Steps",
    "FieldName": "IsSoftwareAssigned",
    "FieldIsDerived": true,
    "IsWritableDerivedField": false,
    "IsMasked": false,
    "GrantKeyWhenReadable": "principal-process-steward|Steps"
   },
   {
    "FieldGrantId": "fg-process-steward-Steps.IsHumanApprovalGate",
    "Principal": "principal-process-steward",
    "TargetField": "Steps.IsHumanApprovalGate",
    "CanRead": true,
    "CanWrite": false,
    "MaskStrategy": "plain",
    "SemanticTypeIri": "urn:effortless:pko-extension#FieldGrant",
    "Name": "principal-process-steward -&gt; Steps.IsHumanApprovalGate",
    "FieldTable": "Steps",
    "FieldName": "IsHumanApprovalGate",
    "FieldIsDerived": true,
    "IsWritableDerivedField": false,
    "IsMasked": false,
    "GrantKeyWhenReadable": "principal-process-steward|Steps"
   },
   {
    "FieldGrantId": "fg-process-steward-Steps.GateHeldByHuman",
    "Principal": "principal-process-steward",
    "TargetField": "Steps.GateHeldByHuman",
    "CanRead": true,
    "CanWrite": false,
    "MaskStrategy": "plain",
    "SemanticTypeIri": "urn:effortless:pko-extension#FieldGrant",
    "Name": "principal-process-steward -&gt; Steps.GateHeldByHuman",
    "FieldTable": "Steps",
    "FieldName": "GateHeldByHuman",
    "FieldIsDerived": true,
    "IsWritableDerivedField": false,
    "IsMasked": false,
    "GrantKeyWhenReadable": "principal-process-steward|Steps"
   },
   {
    "FieldGrantId": "fg-process-steward-Steps.BindingBoundaryCount",
    "Principal": "principal-process-steward",
    "TargetField": "Steps.BindingBoundaryCount",
    "CanRead": true,
    "CanWrite": false,
    "MaskStrategy": "plain",
    "SemanticTypeIri": "urn:effortless:pko-extension#FieldGrant",
    "Name": "principal-process-steward -&gt; Steps.BindingBoundaryCount",
    "FieldTable": "Steps",
    "FieldName": "BindingBoundaryCount",
    "FieldIsDerived": true,
    "IsWritableDerivedField": false,
    "IsMasked": false,
    "GrantKeyWhenReadable": "principal-process-steward|Steps"
   },
   {
    "FieldGrantId": "fg-process-steward-Steps.AssignedRoleIsUngoverned",
    "Principal": "principal-process-steward",
    "TargetField": "Steps.AssignedRoleIsUngoverned",
    "CanRead": true,
    "CanWrite": false,
    "MaskStrategy": "plain",
    "SemanticTypeIri": "urn:effortless:pko-extension#FieldGrant",
    "Name": "principal-process-steward -&gt; Steps.AssignedRoleIsUngoverned",
    "FieldTable": "Steps",
    "FieldName": "AssignedRoleIsUngoverned",
    "FieldIsDerived": true,
    "IsWritableDerivedField": false,
    "IsMasked": false,
    "GrantKeyWhenReadable": "principal-process-steward|Steps"
   },
   {
    "FieldGrantId": "fg-process-steward-Steps.UnusableBindingCount",
    "Principal": "principal-process-steward",
    "TargetField": "Steps.UnusableBindingCount",
    "CanRead": true,
    "CanWrite": false,
    "MaskStrategy": "plain",
    "SemanticTypeIri": "urn:effortless:pko-extension#FieldGrant",
    "Name": "principal-process-steward -&gt; Steps.UnusableBindingCount",
    "FieldTable": "Steps",
    "FieldName": "UnusableBindingCount",
    "FieldIsDerived": true,
    "IsWritableDerivedField": false,
    "IsMasked": false,
    "GrantKeyWhenReadable": "principal-process-steward|Steps"
   },
   {
    "FieldGrantId": "fg-process-steward-Steps.AllSourcesUsable",
    "Principal": "principal-process-steward",
    "TargetField": "Steps.AllSourcesUsable",
    "CanRead": true,
    "CanWrite": false,
    "MaskStrategy": "plain",
    "SemanticTypeIri": "urn:effortless:pko-extension#FieldGrant",
    "Name": "principal-process-steward -&gt; Steps.AllSourcesUsable",
    "FieldTable": "Steps",
    "FieldName": "AllSourcesUsable",
    "FieldIsDerived": true,
    "IsWritableDerivedField": false,
    "IsMasked": false,
    "GrantKeyWhenReadable": "principal-process-steward|Steps"
   },
   {
    "FieldGrantId": "fg-process-steward-Steps.ControlKind",
    "Principal": "principal-process-steward",
    "TargetField": "Steps.ControlKind",
    "CanRead": true,
    "CanWrite": false,
    "MaskStrategy": "plain",
    "SemanticTypeIri": "urn:effortless:pko-extension#FieldGrant",
    "Name": "principal-process-steward -&gt; Steps.ControlKind",
    "FieldTable": "Steps",
    "FieldName": "ControlKind",
    "FieldIsDerived": false,
    "IsWritableDerivedField": false,
    "IsMasked": false,
    "GrantKeyWhenReadable": "principal-process-steward|Steps"
   },
   {
    "FieldGrantId": "fg-process-steward-Steps.UnwarrantedBoundaryCount",
    "Principal": "principal-process-steward",
    "TargetField": "Steps.UnwarrantedBoundaryCount",
    "CanRead": true,
    "CanWrite": false,
    "MaskStrategy": "plain",
    "SemanticTypeIri": "urn:effortless:pko-extension#FieldGrant",
    "Name": "principal-process-steward -&gt; Steps.UnwarrantedBoundaryCount",
    "FieldTable": "Steps",
    "FieldName": "UnwarrantedBoundaryCount",
    "FieldIsDerived": true,
    "IsWritableDerivedField": false,
    "IsMasked": false,
    "GrantKeyWhenReadable": "principal-process-steward|Steps"
   },
   {
    "FieldGrantId": "fg-process-steward-Steps.IsGovernedByUnwarrantedBoundary",
    "Principal": "principal-process-steward",
    "TargetField": "Steps.IsGovernedByUnwarrantedBoundary",
    "CanRead": true,
    "CanWrite": false,
    "MaskStrategy": "plain",
    "SemanticTypeIri": "urn:effortless:pko-extension#FieldGrant",
    "Name": "principal-process-steward -&gt; Steps.IsGovernedByUnwarrantedBoundary",
    "FieldTable": "Steps",
    "FieldName": "IsGovernedByUnwarrantedBoundary",
    "FieldIsDerived": true,
    "IsWritableDerivedField": false,
    "IsMasked": false,
    "GrantKeyWhenReadable": "principal-process-steward|Steps"
   },
   {
    "FieldGrantId": "fg-process-steward-Steps.SoftwareExecutionCount",
    "Principal": "principal-process-steward",
    "TargetField": "Steps.SoftwareExecutionCount",
    "CanRead": true,
    "CanWrite": false,
    "MaskStrategy": "plain",
    "SemanticTypeIri": "urn:effortless:pko-extension#FieldGrant",
    "Name": "principal-process-steward -&gt; Steps.SoftwareExecutionCount",
    "FieldTable": "Steps",
    "FieldName": "SoftwareExecutionCount",
    "FieldIsDerived": true,
    "IsWritableDerivedField": false,
    "IsMasked": false,
    "GrantKeyWhenReadable": "principal-process-steward|Steps"
   },
   {
    "FieldGrantId": "fg-process-steward-Steps.HasBeenApproachedBySoftware",
    "Principal": "principal-process-steward",
    "TargetField": "Steps.HasBeenApproachedBySoftware",
    "CanRead": true,
    "CanWrite": false,
    "MaskStrategy": "plain",
    "SemanticTypeIri": "urn:effortless:pko-extension#FieldGrant",
    "Name": "principal-process-steward -&gt; Steps.HasBeenApproachedBySoftware",
    "FieldTable": "Steps",
    "FieldName": "HasBeenApproachedBySoftware",
    "FieldIsDerived": true,
    "IsWritableDerivedField": false,
    "IsMasked": false,
    "GrantKeyWhenReadable": "principal-process-steward|Steps"
   },
   {
    "FieldGrantId": "fg-process-steward-Steps.IsUnexercisedHumanGate",
    "Principal": "principal-process-steward",
    "TargetField": "Steps.IsUnexercisedHumanGate",
    "CanRead": true,
    "CanWrite": false,
    "MaskStrategy": "plain",
    "SemanticTypeIri": "urn:effortless:pko-extension#FieldGrant",
    "Name": "principal-process-steward -&gt; Steps.IsUnexercisedHumanGate",
    "FieldTable": "Steps",
    "FieldName": "IsUnexercisedHumanGate",
    "FieldIsDerived": true,
    "IsWritableDerivedField": false,
    "IsMasked": false,
    "GrantKeyWhenReadable": "principal-process-steward|Steps"
   },
   {
    "FieldGrantId": "fg-process-steward-Steps.IsDemonstratedHumanGate",
    "Principal": "principal-process-steward",
    "TargetField": "Steps.IsDemonstratedHumanGate",
    "CanRead": true,
    "CanWrite": false,
    "MaskStrategy": "plain",
    "SemanticTypeIri": "urn:effortless:pko-extension#FieldGrant",
    "Name": "principal-process-steward -&gt; Steps.IsDemonstratedHumanGate",
    "FieldTable": "Steps",
    "FieldName": "IsDemonstratedHumanGate",
    "FieldIsDerived": true,
    "IsWritableDerivedField": false,
    "IsMasked": false,
    "GrantKeyWhenReadable": "principal-process-steward|Steps"
   },
   {
    "FieldGrantId": "fg-process-steward-Steps.UnexercisedGateVersionKey",
    "Principal": "principal-process-steward",
    "TargetField": "Steps.UnexercisedGateVersionKey",
    "CanRead": true,
    "CanWrite": false,
    "MaskStrategy": "plain",
    "SemanticTypeIri": "urn:effortless:pko-extension#FieldGrant",
    "Name": "principal-process-steward -&gt; Steps.UnexercisedGateVersionKey",
    "FieldTable": "Steps",
    "FieldName": "UnexercisedGateVersionKey",
    "FieldIsDerived": true,
    "IsWritableDerivedField": false,
    "IsMasked": false,
    "GrantKeyWhenReadable": "principal-process-steward|Steps"
   },
   {
    "FieldGrantId": "fg-process-steward-Steps.HasDeclaredControlKind",
    "Principal": "principal-process-steward",
    "TargetField": "Steps.HasDeclaredControlKind",
    "CanRead": true,
    "CanWrite": false,
    "MaskStrategy": "plain",
    "SemanticTypeIri": "urn:effortless:pko-extension#FieldGrant",
    "Name": "principal-process-steward -&gt; Steps.HasDeclaredControlKind",
    "FieldTable": "Steps",
    "FieldName": "HasDeclaredControlKind",
    "FieldIsDerived": true,
    "IsWritableDerivedField": false,
    "IsMasked": false,
    "GrantKeyWhenReadable": "principal-process-steward|Steps"
   },
   {
    "FieldGrantId": "fg-process-steward-Steps.UndeclaredControlVersionKey",
    "Principal": "principal-process-steward",
    "TargetField": "Steps.UndeclaredControlVersionKey",
    "CanRead": true,
    "CanWrite": false,
    "MaskStrategy": "plain",
    "SemanticTypeIri": "urn:effortless:pko-extension#FieldGrant",
    "Name": "principal-process-steward -&gt; Steps.UndeclaredControlVersionKey",
    "FieldTable": "Steps",
    "FieldName": "UndeclaredControlVersionKey",
    "FieldIsDerived": true,
    "IsWritableDerivedField": false,
    "IsMasked": false,
    "GrantKeyWhenReadable": "principal-process-steward|Steps"
   },
   {
    "FieldGrantId": "fg-process-steward-Steps.ApprovalStepIsSoftwareAssigned",
    "Principal": "principal-process-steward",
    "TargetField": "Steps.ApprovalStepIsSoftwareAssigned",
    "CanRead": true,
    "CanWrite": false,
    "MaskStrategy": "plain",
    "SemanticTypeIri": "urn:effortless:pko-extension#FieldGrant",
    "Name": "principal-process-steward -&gt; Steps.ApprovalStepIsSoftwareAssigned",
    "FieldTable": "Steps",
    "FieldName": "ApprovalStepIsSoftwareAssigned",
    "FieldIsDerived": true,
    "IsWritableDerivedField": false,
    "IsMasked": false,
    "GrantKeyWhenReadable": "principal-process-steward|Steps"
   },
   {
    "FieldGrantId": "fg-process-steward-Steps.UnwitnessedBlockingCount",
    "Principal": "principal-process-steward",
    "TargetField": "Steps.UnwitnessedBlockingCount",
    "CanRead": true,
    "CanWrite": false,
    "MaskStrategy": "plain",
    "SemanticTypeIri": "urn:effortless:pko-extension#FieldGrant",
    "Name": "principal-process-steward -&gt; Steps.UnwitnessedBlockingCount",
    "FieldTable": "Steps",
    "FieldName": "UnwitnessedBlockingCount",
    "FieldIsDerived": true,
    "IsWritableDerivedField": false,
    "IsMasked": false,
    "GrantKeyWhenReadable": "principal-process-steward|Steps"
   },
   {
    "FieldGrantId": "fg-process-steward-Steps.SemanticTypeIri",
    "Principal": "principal-process-steward",
    "TargetField": "Steps.SemanticTypeIri",
    "CanRead": true,
    "CanWrite": false,
    "MaskStrategy": "plain",
    "SemanticTypeIri": "urn:effortless:pko-extension#FieldGrant",
    "Name": "principal-process-steward -&gt; Steps.SemanticTypeIri",
    "FieldTable": "Steps",
    "FieldName": "SemanticTypeIri",
    "FieldIsDerived": false,
    "IsWritableDerivedField": false,
    "IsMasked": false,
    "GrantKeyWhenReadable": "principal-process-steward|Steps"
   },
   {
    "FieldGrantId": "fg-process-steward-StewardshipAssignments.StewardshipAssignmentId",
    "Principal": "principal-process-steward",
    "TargetField": "StewardshipAssignments.StewardshipAssignmentId",
    "CanRead": true,
    "CanWrite": false,
    "MaskStrategy": "plain",
    "SemanticTypeIri": "urn:effortless:pko-extension#FieldGrant",
    "Name": "principal-process-steward -&gt; StewardshipAssignments.StewardshipAssignmentId",
    "FieldTable": "StewardshipAssignments",
    "FieldName": "StewardshipAssignmentId",
    "FieldIsDerived": false,
    "IsWritableDerivedField": false,
    "IsMasked": false,
    "GrantKeyWhenReadable": "principal-process-steward|StewardshipAssignments"
   },
   {
    "FieldGrantId": "fg-process-steward-StewardshipAssignments.Name",
    "Principal": "principal-process-steward",
    "TargetField": "StewardshipAssignments.Name",
    "CanRead": true,
    "CanWrite": false,
    "MaskStrategy": "plain",
    "SemanticTypeIri": "urn:effortless:pko-extension#FieldGrant",
    "Name": "principal-process-steward -&gt; StewardshipAssignments.Name",
    "FieldTable": "StewardshipAssignments",
    "FieldName": "Name",
    "FieldIsDerived": true,
    "IsWritableDerivedField": false,
    "IsMasked": false,
    "GrantKeyWhenReadable": "principal-process-steward|StewardshipAssignments"
   },
   {
    "FieldGrantId": "fg-process-steward-StewardshipAssignments.ProcedureVersion",
    "Principal": "principal-process-steward",
    "TargetField": "StewardshipAssignments.ProcedureVersion",
    "CanRead": true,
    "CanWrite": false,
    "MaskStrategy": "plain",
    "SemanticTypeIri": "urn:effortless:pko-extension#FieldGrant",
    "Name": "principal-process-steward -&gt; StewardshipAssignments.ProcedureVersion",
    "FieldTable": "StewardshipAssignments",
    "FieldName": "ProcedureVersion",
    "FieldIsDerived": false,
    "IsWritableDerivedField": false,
    "IsMasked": false,
    "GrantKeyWhenReadable": "principal-process-steward|StewardshipAssignments"
   },
   {
    "FieldGrantId": "fg-process-steward-StewardshipAssignments.StewardRole",
    "Principal": "principal-process-steward",
    "TargetField": "StewardshipAssignments.StewardRole",
    "CanRead": true,
    "CanWrite": false,
    "MaskStrategy": "plain",
    "SemanticTypeIri": "urn:effortless:pko-extension#FieldGrant",
    "Name": "principal-process-steward -&gt; StewardshipAssignments.StewardRole",
    "FieldTable": "StewardshipAssignments",
    "FieldName": "StewardRole",
    "FieldIsDerived": false,
    "IsWritableDerivedField": false,
    "IsMasked": false,
    "GrantKeyWhenReadable": "principal-process-steward|StewardshipAssignments"
   },
   {
    "FieldGrantId": "fg-process-steward-StewardshipAssignments.AuthorityRole",
    "Principal": "principal-process-steward",
    "TargetField": "StewardshipAssignments.AuthorityRole",
    "CanRead": true,
    "CanWrite": false,
    "MaskStrategy": "plain",
    "SemanticTypeIri": "urn:effortless:pko-extension#FieldGrant",
    "Name": "principal-process-steward -&gt; StewardshipAssignments.AuthorityRole",
    "FieldTable": "StewardshipAssignments",
    "FieldName": "AuthorityRole",
    "FieldIsDerived": false,
    "IsWritableDerivedField": false,
    "IsMasked": false,
    "GrantKeyWhenReadable": "principal-process-steward|StewardshipAssignments"
   },
   {
    "FieldGrantId": "fg-process-steward-StewardshipAssignments.ValidFrom",
    "Principal": "principal-process-steward",
    "TargetField": "StewardshipAssignments.ValidFrom",
    "CanRead": true,
    "CanWrite": false,
    "MaskStrategy": "plain",
    "SemanticTypeIri": "urn:effortless:pko-extension#FieldGrant",
    "Name": "principal-process-steward -&gt; StewardshipAssignments.ValidFrom",
    "FieldTable": "StewardshipAssignments",
    "FieldName": "ValidFrom",
    "FieldIsDerived": false,
    "IsWritableDerivedField": false,
    "IsMasked": false,
    "GrantKeyWhenReadable": "principal-process-steward|StewardshipAssignments"
   },
   {
    "FieldGrantId": "fg-process-steward-StewardshipAssignments.ValidTo",
    "Principal": "principal-process-steward",
    "TargetField": "StewardshipAssignments.ValidTo",
    "CanRead": true,
    "CanWrite": false,
    "MaskStrategy": "plain",
    "SemanticTypeIri": "urn:effortless:pko-extension#FieldGrant",
    "Name": "principal-process-steward -&gt; StewardshipAssignments.ValidTo",
    "FieldTable": "StewardshipAssignments",
    "FieldName": "ValidTo",
    "FieldIsDerived": false,
    "IsWritableDerivedField": false,
    "IsMasked": false,
    "GrantKeyWhenReadable": "principal-process-steward|StewardshipAssignments"
   },
   {
    "FieldGrantId": "fg-process-steward-StewardshipAssignments.ReviewCadenceDays",
    "Principal": "principal-process-steward",
    "TargetField": "StewardshipAssignments.ReviewCadenceDays",
    "CanRead": true,
    "CanWrite": false,
    "MaskStrategy": "plain",
    "SemanticTypeIri": "urn:effortless:pko-extension#FieldGrant",
    "Name": "principal-process-steward -&gt; StewardshipAssignments.ReviewCadenceDays",
    "FieldTable": "StewardshipAssignments",
    "FieldName": "ReviewCadenceDays",
    "FieldIsDerived": false,
    "IsWritableDerivedField": false,
    "IsMasked": false,
    "GrantKeyWhenReadable": "principal-process-steward|StewardshipAssignments"
   },
   {
    "FieldGrantId": "fg-process-steward-StewardshipAssignments.CountOfReviewEvents",
    "Principal": "principal-process-steward",
    "TargetField": "StewardshipAssignments.CountOfReviewEvents",
    "CanRead": true,
    "CanWrite": false,
    "MaskStrategy": "plain",
    "SemanticTypeIri": "urn:effortless:pko-extension#FieldGrant",
    "Name": "principal-process-steward -&gt; StewardshipAssignments.CountOfReviewEvents",
    "FieldTable": "StewardshipAssignments",
    "FieldName": "CountOfReviewEvents",
    "FieldIsDerived": true,
    "IsWritableDerivedField": false,
    "IsMasked": false,
    "GrantKeyWhenReadable": "principal-process-steward|StewardshipAssignments"
   },
   {
    "FieldGrantId": "fg-process-steward-StewardshipAssignments.HasEverBeenReviewed",
    "Principal": "principal-process-steward",
    "TargetField": "StewardshipAssignments.HasEverBeenReviewed",
    "CanRead": true,
    "CanWrite": false,
    "MaskStrategy": "plain",
    "Semant</t>
  </si>
  <si>
    <t xml:space="preserve">icTypeIri": "urn:effortless:pko-extension#FieldGrant",
    "Name": "principal-process-steward -&gt; StewardshipAssignments.HasEverBeenReviewed",
    "FieldTable": "StewardshipAssignments",
    "FieldName": "HasEverBeenReviewed",
    "FieldIsDerived": true,
    "IsWritableDerivedField": false,
    "IsMasked": false,
    "GrantKeyWhenReadable": "principal-process-steward|StewardshipAssignments"
   },
   {
    "FieldGrantId": "fg-process-steward-StewardshipAssignments.EvaluationContext",
    "Principal": "principal-process-steward",
    "TargetField": "StewardshipAssignments.EvaluationContext",
    "CanRead": true,
    "CanWrite": false,
    "MaskStrategy": "plain",
    "SemanticTypeIri": "urn:effortless:pko-extension#FieldGrant",
    "Name": "principal-process-steward -&gt; StewardshipAssignments.EvaluationContext",
    "FieldTable": "StewardshipAssignments",
    "FieldName": "EvaluationContext",
    "FieldIsDerived": false,
    "IsWritableDerivedField": false,
    "IsMasked": false,
    "GrantKeyWhenReadable": "principal-process-steward|StewardshipAssignments"
   },
   {
    "FieldGrantId": "fg-process-steward-StewardshipAssignments.AsOfInstant",
    "Principal": "principal-process-steward",
    "TargetField": "StewardshipAssignments.AsOfInstant",
    "CanRead": true,
    "CanWrite": false,
    "MaskStrategy": "plain",
    "SemanticTypeIri": "urn:effortless:pko-extension#FieldGrant",
    "Name": "principal-process-steward -&gt; StewardshipAssignments.AsOfInstant",
    "FieldTable": "StewardshipAssignments",
    "FieldName": "AsOfInstant",
    "FieldIsDerived": true,
    "IsWritableDerivedField": false,
    "IsMasked": false,
    "GrantKeyWhenReadable": "principal-process-steward|StewardshipAssignments"
   },
   {
    "FieldGrantId": "fg-process-steward-StewardshipAssignments.IsCurrentAssignment",
    "Principal": "principal-process-steward",
    "TargetField": "StewardshipAssignments.IsCurrentAssignment",
    "CanRead": true,
    "CanWrite": false,
    "MaskStrategy": "plain",
    "SemanticTypeIri": "urn:effortless:pko-extension#FieldGrant",
    "Name": "principal-process-steward -&gt; StewardshipAssignments.IsCurrentAssignment",
    "FieldTable": "StewardshipAssignments",
    "FieldName": "IsCurrentAssignment",
    "FieldIsDerived": true,
    "IsWritableDerivedField": false,
    "IsMasked": false,
    "GrantKeyWhenReadable": "principal-process-steward|StewardshipAssignments"
   },
   {
    "FieldGrantId": "fg-process-steward-StewardshipAssignments.SemanticTypeIri",
    "Principal": "principal-process-steward",
    "TargetField": "StewardshipAssignments.SemanticTypeIri",
    "CanRead": true,
    "CanWrite": false,
    "MaskStrategy": "plain",
    "SemanticTypeIri": "urn:effortless:pko-extension#FieldGrant",
    "Name": "principal-process-steward -&gt; StewardshipAssignments.SemanticTypeIri",
    "FieldTable": "StewardshipAssignments",
    "FieldName": "SemanticTypeIri",
    "FieldIsDerived": false,
    "IsWritableDerivedField": false,
    "IsMasked": false,
    "GrantKeyWhenReadable": "principal-process-steward|StewardshipAssignments"
   },
   {
    "FieldGrantId": "fg-process-steward-TemplateApprovals.TemplateApprovalId",
    "Principal": "principal-process-steward",
    "TargetField": "TemplateApprovals.TemplateApprovalId",
    "CanRead": true,
    "CanWrite": false,
    "MaskStrategy": "plain",
    "SemanticTypeIri": "urn:effortless:pko-extension#FieldGrant",
    "Name": "principal-process-steward -&gt; TemplateApprovals.TemplateApprovalId",
    "FieldTable": "TemplateApprovals",
    "FieldName": "TemplateApprovalId",
    "FieldIsDerived": false,
    "IsWritableDerivedField": false,
    "IsMasked": false,
    "GrantKeyWhenReadable": "principal-process-steward|TemplateApprovals"
   },
   {
    "FieldGrantId": "fg-process-steward-TemplateApprovals.Name",
    "Principal": "principal-process-steward",
    "TargetField": "TemplateApprovals.Name",
    "CanRead": true,
    "CanWrite": false,
    "MaskStrategy": "plain",
    "SemanticTypeIri": "urn:effortless:pko-extension#FieldGrant",
    "Name": "principal-process-steward -&gt; TemplateApprovals.Name",
    "FieldTable": "TemplateApprovals",
    "FieldName": "Name",
    "FieldIsDerived": true,
    "IsWritableDerivedField": false,
    "IsMasked": false,
    "GrantKeyWhenReadable": "principal-process-steward|TemplateApprovals"
   },
   {
    "FieldGrantId": "fg-process-steward-TemplateApprovals.MessageTemplate",
    "Principal": "principal-process-steward",
    "TargetField": "TemplateApprovals.MessageTemplate",
    "CanRead": true,
    "CanWrite": false,
    "MaskStrategy": "plain",
    "SemanticTypeIri": "urn:effortless:pko-extension#FieldGrant",
    "Name": "principal-process-steward -&gt; TemplateApprovals.MessageTemplate",
    "FieldTable": "TemplateApprovals",
    "FieldName": "MessageTemplate",
    "FieldIsDerived": false,
    "IsWritableDerivedField": false,
    "IsMasked": false,
    "GrantKeyWhenReadable": "principal-process-steward|TemplateApprovals"
   },
   {
    "FieldGrantId": "fg-process-steward-TemplateApprovals.DecidedByAgent",
    "Principal": "principal-process-steward",
    "TargetField": "TemplateApprovals.DecidedByAgent",
    "CanRead": true,
    "CanWrite": false,
    "MaskStrategy": "plain",
    "SemanticTypeIri": "urn:effortless:pko-extension#FieldGrant",
    "Name": "principal-process-steward -&gt; TemplateApprovals.DecidedByAgent",
    "FieldTable": "TemplateApprovals",
    "FieldName": "DecidedByAgent",
    "FieldIsDerived": false,
    "IsWritableDerivedField": false,
    "IsMasked": false,
    "GrantKeyWhenReadable": "principal-process-steward|TemplateApprovals"
   },
   {
    "FieldGrantId": "fg-process-steward-TemplateApprovals.DecidedInRole",
    "Principal": "principal-process-steward",
    "TargetField": "TemplateApprovals.DecidedInRole",
    "CanRead": true,
    "CanWrite": false,
    "MaskStrategy": "plain",
    "SemanticTypeIri": "urn:effortless:pko-extension#FieldGrant",
    "Name": "principal-process-steward -&gt; TemplateApprovals.DecidedInRole",
    "FieldTable": "TemplateApprovals",
    "FieldName": "DecidedInRole",
    "FieldIsDerived": false,
    "IsWritableDerivedField": false,
    "IsMasked": false,
    "GrantKeyWhenReadable": "principal-process-steward|TemplateApprovals"
   },
   {
    "FieldGrantId": "fg-process-steward-TemplateApprovals.Decision",
    "Principal": "principal-process-steward",
    "TargetField": "TemplateApprovals.Decision",
    "CanRead": true,
    "CanWrite": false,
    "MaskStrategy": "plain",
    "SemanticTypeIri": "urn:effortless:pko-extension#FieldGrant",
    "Name": "principal-process-steward -&gt; TemplateApprovals.Decision",
    "FieldTable": "TemplateApprovals",
    "FieldName": "Decision",
    "FieldIsDerived": false,
    "IsWritableDerivedField": false,
    "IsMasked": false,
    "GrantKeyWhenReadable": "principal-process-steward|TemplateApprovals"
   },
   {
    "FieldGrantId": "fg-process-steward-TemplateApprovals.DecidedAt",
    "Principal": "principal-process-steward",
    "TargetField": "TemplateApprovals.DecidedAt",
    "CanRead": true,
    "CanWrite": false,
    "MaskStrategy": "plain",
    "SemanticTypeIri": "urn:effortless:pko-extension#FieldGrant",
    "Name": "principal-process-steward -&gt; TemplateApprovals.DecidedAt",
    "FieldTable": "TemplateApprovals",
    "FieldName": "DecidedAt",
    "FieldIsDerived": false,
    "IsWritableDerivedField": false,
    "IsMasked": false,
    "GrantKeyWhenReadable": "principal-process-steward|TemplateApprovals"
   },
   {
    "FieldGrantId": "fg-process-steward-TemplateApprovals.ApprovedBodyHash",
    "Principal": "principal-process-steward",
    "TargetField": "TemplateApprovals.ApprovedBodyHash",
    "CanRead": true,
    "CanWrite": false,
    "MaskStrategy": "plain",
    "SemanticTypeIri": "urn:effortless:pko-extension#FieldGrant",
    "Name": "principal-process-steward -&gt; TemplateApprovals.ApprovedBodyHash",
    "FieldTable": "TemplateApprovals",
    "FieldName": "ApprovedBodyHash",
    "FieldIsDerived": false,
    "IsWritableDerivedField": false,
    "IsMasked": false,
    "GrantKeyWhenReadable": "principal-process-steward|TemplateApprovals"
   },
   {
    "FieldGrantId": "fg-process-steward-TemplateApprovals.Notes",
    "Principal": "principal-process-steward",
    "TargetField": "TemplateApprovals.Notes",
    "CanRead": true,
    "CanWrite": false,
    "MaskStrategy": "plain",
    "SemanticTypeIri": "urn:effortless:pko-extension#FieldGrant",
    "Name": "principal-process-steward -&gt; TemplateApprovals.Notes",
    "FieldTable": "TemplateApprovals",
    "FieldName": "Notes",
    "FieldIsDerived": false,
    "IsWritableDerivedField": false,
    "IsMasked": false,
    "GrantKeyWhenReadable": "principal-process-steward|TemplateApprovals"
   },
   {
    "FieldGrantId": "fg-process-steward-TemplateApprovals.IsApprovalDecision",
    "Principal": "principal-process-steward",
    "TargetField": "TemplateApprovals.IsApprovalDecision",
    "CanRead": true,
    "CanWrite": false,
    "MaskStrategy": "plain",
    "SemanticTypeIri": "urn:effortless:pko-extension#FieldGrant",
    "Name": "principal-process-steward -&gt; TemplateApprovals.IsApprovalDecision",
    "FieldTable": "TemplateApprovals",
    "FieldName": "IsApprovalDecision",
    "FieldIsDerived": true,
    "IsWritableDerivedField": false,
    "IsMasked": false,
    "GrantKeyWhenReadable": "principal-process-steward|TemplateApprovals"
   },
   {
    "FieldGrantId": "fg-process-steward-TemplateApprovals.TemplatePolicy",
    "Principal": "principal-process-steward",
    "TargetField": "TemplateApprovals.TemplatePolicy",
    "CanRead": true,
    "CanWrite": false,
    "MaskStrategy": "plain",
    "SemanticTypeIri": "urn:effortless:pko-extension#FieldGrant",
    "Name": "principal-process-steward -&gt; TemplateApprovals.TemplatePolicy",
    "FieldTable": "TemplateApprovals",
    "FieldName": "TemplatePolicy",
    "FieldIsDerived": true,
    "IsWritableDerivedField": false,
    "IsMasked": false,
    "GrantKeyWhenReadable": "principal-process-steward|TemplateApprovals"
   },
   {
    "FieldGrantId": "fg-process-steward-TemplateApprovals.RequiredApprovalRole",
    "Principal": "principal-process-steward",
    "TargetField": "TemplateApprovals.RequiredApprovalRole",
    "CanRead": true,
    "CanWrite": false,
    "MaskStrategy": "plain",
    "SemanticTypeIri": "urn:effortless:pko-extension#FieldGrant",
    "Name": "principal-process-steward -&gt; TemplateApprovals.RequiredApprovalRole",
    "FieldTable": "TemplateApprovals",
    "FieldName": "RequiredApprovalRole",
    "FieldIsDerived": true,
    "IsWritableDerivedField": false,
    "IsMasked": false,
    "GrantKeyWhenReadable": "principal-process-steward|TemplateApprovals"
   },
   {
    "FieldGrantId": "fg-process-steward-TemplateApprovals.IsDecidedByRequiredRole",
    "Principal": "principal-process-steward",
    "TargetField": "TemplateApprovals.IsDecidedByRequiredRole",
    "CanRead": true,
    "CanWrite": false,
    "MaskStrategy": "plain",
    "SemanticTypeIri": "urn:effortless:pko-extension#FieldGrant",
    "Name": "principal-process-steward -&gt; TemplateApprovals.IsDecidedByRequiredRole",
    "FieldTable": "TemplateApprovals",
    "FieldName": "IsDecidedByRequiredRole",
    "FieldIsDerived": true,
    "IsWritableDerivedField": false,
    "IsMasked": false,
    "GrantKeyWhenReadable": "principal-process-steward|TemplateApprovals"
   },
   {
    "FieldGrantId": "fg-process-steward-TemplateApprovals.ValidApprovalTemplateKey",
    "Principal": "principal-process-steward",
    "TargetField": "TemplateApprovals.ValidApprovalTemplateKey",
    "CanRead": true,
    "CanWrite": false,
    "MaskStrategy": "plain",
    "SemanticTypeIri": "urn:effortless:pko-extension#FieldGrant",
    "Name": "principal-process-steward -&gt; TemplateApprovals.ValidApprovalTemplateKey",
    "FieldTable": "TemplateApprovals",
    "FieldName": "ValidApprovalTemplateKey",
    "FieldIsDerived": true,
    "IsWritableDerivedField": false,
    "IsMasked": false,
    "GrantKeyWhenReadable": "principal-process-steward|TemplateApprovals"
   },
   {
    "FieldGrantId": "fg-process-steward-TemplateApprovals.SemanticTypeIri",
    "Principal": "principal-process-steward",
    "TargetField": "TemplateApprovals.SemanticTypeIri",
    "CanRead": true,
    "CanWrite": false,
    "MaskStrategy": "plain",
    "SemanticTypeIri": "urn:effortless:pko-extension#FieldGrant",
    "Name": "principal-process-steward -&gt; TemplateApprovals.SemanticTypeIri",
    "FieldTable": "TemplateApprovals",
    "FieldName": "SemanticTypeIri",
    "FieldIsDerived": false,
    "IsWritableDerivedField": false,
    "IsMasked": false,
    "GrantKeyWhenReadable": "principal-process-steward|TemplateApprovals"
   },
   {
    "FieldGrantId": "fg-process-steward-TestCases.TestCaseId",
    "Principal": "principal-process-steward",
    "TargetField": "TestCases.TestCaseId",
    "CanRead": true,
    "CanWrite": false,
    "MaskStrategy": "plain",
    "SemanticTypeIri": "urn:effortless:pko-extension#FieldGrant",
    "Name": "principal-process-steward -&gt; TestCases.TestCaseId",
    "FieldTable": "TestCases",
    "FieldName": "TestCaseId",
    "FieldIsDerived": false,
    "IsWritableDerivedField": false,
    "IsMasked": false,
    "GrantKeyWhenReadable": "principal-process-steward|TestCases"
   },
   {
    "FieldGrantId": "fg-process-steward-TestCases.Name",
    "Principal": "principal-process-steward",
    "TargetField": "TestCases.Name",
    "CanRead": true,
    "CanWrite": false,
    "MaskStrategy": "plain",
    "SemanticTypeIri": "urn:effortless:pko-extension#FieldGrant",
    "Name": "principal-process-steward -&gt; TestCases.Name",
    "FieldTable": "TestCases",
    "FieldName": "Name",
    "FieldIsDerived": true,
    "IsWritableDerivedField": false,
    "IsMasked": false,
    "GrantKeyWhenReadable": "principal-process-steward|TestCases"
   },
   {
    "FieldGrantId": "fg-process-steward-TestCases.TestKind",
    "Principal": "principal-process-steward",
    "TargetField": "TestCases.TestKind",
    "CanRead": true,
    "CanWrite": false,
    "MaskStrategy": "plain",
    "SemanticTypeIri": "urn:effortless:pko-extension#FieldGrant",
    "Name": "principal-process-steward -&gt; TestCases.TestKind",
    "FieldTable": "TestCases",
    "FieldName": "TestKind",
    "FieldIsDerived": false,
    "IsWritableDerivedField": false,
    "IsMasked": false,
    "GrantKeyWhenReadable": "principal-process-steward|TestCases"
   },
   {
    "FieldGrantId": "fg-process-steward-TestCases.Subject",
    "Principal": "principal-process-steward",
    "TargetField": "TestCases.Subject",
    "CanRead": true,
    "CanWrite": false,
    "MaskStrategy": "plain",
    "SemanticTypeIri": "urn:effortless:pko-extension#FieldGrant",
    "Name": "principal-process-steward -&gt; TestCases.Subject",
    "FieldTable": "TestCases",
    "FieldName": "Subject",
    "FieldIsDerived": false,
    "IsWritableDerivedField": false,
    "IsMasked": false,
    "GrantKeyWhenReadable": "principal-process-steward|TestCases"
   },
   {
    "FieldGrantId": "fg-process-steward-TestCases.TargetTable",
    "Principal": "principal-process-steward",
    "TargetField": "TestCases.TargetTable",
    "CanRead": true,
    "CanWrite": false,
    "MaskStrategy": "plain",
    "SemanticTypeIri": "urn:effortless:pko-extension#FieldGrant",
    "Name": "principal-process-steward -&gt; TestCases.TargetTable",
    "FieldTable": "TestCases",
    "FieldName": "TargetTable",
    "FieldIsDerived": false,
    "IsWritableDerivedField": false,
    "IsMasked": false,
    "GrantKeyWhenReadable": "principal-process-steward|TestCases"
   },
   {
    "FieldGrantId": "fg-process-steward-TestCases.TargetField",
    "Principal": "principal-process-steward",
    "TargetField": "TestCases.TargetField",
    "CanRead": true,
    "CanWrite": false,
    "MaskStrategy": "plain",
    "SemanticTypeIri": "urn:effortless:pko-extension#FieldGrant",
    "Name": "principal-process-steward -&gt; TestCases.TargetField",
    "FieldTable": "TestCases",
    "FieldName": "TargetField",
    "FieldIsDerived": false,
    "IsWritableDerivedField": false,
    "IsMasked": false,
    "GrantKeyWhenReadable": "principal-process-steward|TestCases"
   },
   {
    "FieldGrantId": "fg-process-steward-TestCases.Assertion",
    "Principal": "principal-process-steward",
    "TargetField": "TestCases.Assertion",
    "CanRead": true,
    "CanWrite": false,
    "MaskStrategy": "plain",
    "SemanticTypeIri": "urn:effortless:pko-extension#FieldGrant",
    "Name": "principal-process-steward -&gt; TestCases.Assertion",
    "FieldTable": "TestCases",
    "FieldName": "Assertion",
    "FieldIsDerived": false,
    "IsWritableDerivedField": false,
    "IsMasked": false,
    "GrantKeyWhenReadable": "principal-process-steward|TestCases"
   },
   {
    "FieldGrantId": "fg-process-steward-TestCases.DefendsQuestion",
    "Principal": "principal-process-steward",
    "TargetField": "TestCases.DefendsQuestion",
    "CanRead": true,
    "CanWrite": false,
    "MaskStrategy": "plain",
    "SemanticTypeIri": "urn:effortless:pko-extension#FieldGrant",
    "Name": "principal-process-steward -&gt; TestCases.DefendsQuestion",
    "FieldTable": "TestCases",
    "FieldName": "DefendsQuestion",
    "FieldIsDerived": false,
    "IsWritableDerivedField": false,
    "IsMasked": false,
    "GrantKeyWhenReadable": "principal-process-steward|TestCases"
   },
   {
    "FieldGrantId": "fg-process-steward-TestCases.Suite",
    "Principal": "principal-process-steward",
    "TargetField": "TestCases.Suite",
    "CanRead": true,
    "CanWrite": false,
    "MaskStrategy": "plain",
    "SemanticTypeIri": "urn:effortless:pko-extension#FieldGrant",
    "Name": "principal-process-steward -&gt; TestCases.Suite",
    "FieldTable": "TestCases",
    "FieldName": "Suite",
    "FieldIsDerived": false,
    "IsWritableDerivedField": false,
    "IsMasked": false,
    "GrantKeyWhenReadable": "principal-process-steward|TestCases"
   },
   {
    "FieldGrantId": "fg-process-steward-TestCases.Severity",
    "Principal": "principal-process-steward",
    "TargetField": "TestCases.Severity",
    "CanRead": true,
    "CanWrite": false,
    "MaskStrategy": "plain",
    "SemanticTypeIri": "urn:effortless:pko-extension#FieldGrant",
    "Name": "principal-process-steward -&gt; TestCases.Severity",
    "FieldTable": "TestCases",
    "FieldName": "Severity",
    "FieldIsDerived": false,
    "IsWritableDerivedField": false,
    "IsMasked": false,
    "GrantKeyWhenReadable": "principal-process-steward|TestCases"
   },
   {
    "FieldGrantId": "fg-process-steward-TestCases.IsBlocking",
    "Principal": "principal-process-steward",
    "TargetField": "TestCases.IsBlocking",
    "CanRead": true,
    "CanWrite": false,
    "MaskStrategy": "plain",
    "SemanticTypeIri": "urn:effortless:pko-extension#FieldGrant",
    "Name": "principal-process-steward -&gt; TestCases.IsBlocking",
    "FieldTable": "TestCases",
    "FieldName": "IsBlocking",
    "FieldIsDerived": true,
    "IsWritableDerivedField": false,
    "IsMasked": false,
    "GrantKeyWhenReadable": "principal-process-steward|TestCases"
   },
   {
    "FieldGrantId": "fg-process-steward-TestCases.LastOutcome",
    "Principal": "principal-process-steward",
    "TargetField": "TestCases.LastOutcome",
    "CanRead": true,
    "CanWrite": false,
    "MaskStrategy": "plain",
    "SemanticTypeIri": "urn:effortless:pko-extension#FieldGrant",
    "Name": "principal-process-steward -&gt; TestCases.LastOutcome",
    "FieldTable": "TestCases",
    "FieldName": "LastOutcome",
    "FieldIsDerived": false,
    "IsWritableDerivedField": false,
    "IsMasked": false,
    "GrantKeyWhenReadable": "principal-process-steward|TestCases"
   },
   {
    "FieldGrantId": "fg-process-steward-TestCases.LastDetail",
    "Principal": "principal-process-steward",
    "TargetField": "TestCases.LastDetail",
    "CanRead": true,
    "CanWrite": false,
    "MaskStrategy": "plain",
    "SemanticTypeIri": "urn:effortless:pko-extension#FieldGrant",
    "Name": "principal-process-steward -&gt; TestCases.LastDetail",
    "FieldTable": "TestCases",
    "FieldName": "LastDetail",
    "FieldIsDerived": false,
    "IsWritableDerivedField": false,
    "IsMasked": false,
    "GrantKeyWhenReadable": "principal-process-steward|TestCases"
   },
   {
    "FieldGrantId": "fg-process-steward-TestCases.LastRunAt",
    "Principal": "principal-process-steward",
    "TargetField": "TestCases.LastRunAt",
    "CanRead": true,
    "CanWrite": false,
    "MaskStrategy": "plain",
    "SemanticTypeIri": "urn:effortless:pko-extension#FieldGrant",
    "Name": "principal-process-steward -&gt; TestCases.LastRunAt",
    "FieldTable": "TestCases",
    "FieldName": "LastRunAt",
    "FieldIsDerived": false,
    "IsWritableDerivedField": false,
    "IsMasked": false,
    "GrantKeyWhenReadable": "principal-process-steward|TestCases"
   },
   {
    "FieldGrantId": "fg-process-steward-TestCases.IsPassing",
    "Principal": "principal-process-steward",
    "TargetField": "TestCases.IsPassing",
    "CanRead": true,
    "CanWrite": false,
    "MaskStrategy": "plain",
    "SemanticTypeIri": "urn:effortless:pko-extension#FieldGrant",
    "Name": "principal-process-steward -&gt; TestCases.IsPassing",
    "FieldTable": "TestCases",
    "FieldName": "IsPassing",
    "FieldIsDerived": true,
    "IsWritableDerivedField": false,
    "IsMasked": false,
    "GrantKeyWhenReadable": "principal-process-steward|TestCases"
   },
   {
    "FieldGrantId": "fg-process-steward-TestCases.IsFailing",
    "Principal": "principal-process-steward",
    "TargetField": "TestCases.IsFailing",
    "CanRead": true,
    "CanWrite": false,
    "MaskStrategy": "plain",
    "SemanticTypeIri": "urn:effortless:pko-extension#FieldGrant",
    "Name": "principal-process-steward -&gt; TestCases.IsFailing",
    "FieldTable": "TestCases",
    "FieldName": "IsFailing",
    "FieldIsDerived": true,
    "IsWritableDerivedField": false,
    "IsMasked": false,
    "GrantKeyWhenReadable": "principal-process-steward|TestCases"
   },
   {
    "FieldGrantId": "fg-process-steward-TestCases.NeedsAttention",
    "Principal": "principal-process-steward",
    "TargetField": "TestCases.NeedsAttention",
    "CanRead": true,
    "CanWrite": false,
    "MaskStrategy": "plain",
    "SemanticTypeIri": "urn:effortless:pko-extension#FieldGrant",
    "Name": "principal-process-steward -&gt; TestCases.NeedsAttention",
    "FieldTable": "TestCases",
    "FieldName": "NeedsAttention",
    "FieldIsDerived": true,
    "IsWritableDerivedField": false,
    "IsMasked": false,
    "GrantKeyWhenReadable": "principal-process-steward|TestCases"
   },
   {
    "FieldGrantId": "fg-process-steward-TestCases.PassingSuiteKey",
    "Principal": "principal-process-steward",
    "TargetField": "TestCases.PassingSuiteKey",
    "CanRead": true,
    "CanWrite": false,
    "MaskStrategy": "plain",
    "SemanticTypeIri": "urn:effortless:pko-extension#FieldGrant",
    "Name": "principal-process-steward -&gt; TestCases.PassingSuiteKey",
    "FieldTable": "TestCases",
    "FieldName": "PassingSuiteKey",
    "FieldIsDerived": true,
    "IsWritableDerivedField": false,
    "IsMasked": false,
    "GrantKeyWhenReadable": "principal-process-steward|TestCases"
   },
   {
    "FieldGrantId": "fg-process-steward-TestCases.NeedsAttentionSuiteKey",
    "Principal": "principal-process-steward",
    "TargetField": "TestCases.NeedsAttentionSuiteKey",
    "CanRead": true,
    "CanWrite": false,
    "MaskStrategy": "plain",
    "SemanticTypeIri": "urn:effortless:pko-extension#FieldGrant",
    "Name": "principal-process-steward -&gt; TestCases.NeedsAttentionSuiteKey",
    "FieldTable": "TestCases",
    "FieldName": "NeedsAttentionSuiteKey",
    "FieldIsDerived": true,
    "IsWritableDerivedField": false,
    "IsMasked": false,
    "GrantKeyWhenReadable": "principal-process-steward|TestCases"
   },
   {
    "FieldGrantId": "fg-process-steward-TestCases.SemanticTypeIri",
    "Principal": "principal-process-steward",
    "TargetField": "TestCases.SemanticTypeIri",
    "CanRead": true,
    "CanWrite": false,
    "MaskStrategy": "plain",
    "SemanticTypeIri": "urn:effortless:pko-extension#FieldGrant",
    "Name": "principal-process-steward -&gt; TestCases.SemanticTypeIri",
    "FieldTable": "TestCases",
    "FieldName": "SemanticTypeIri",
    "FieldIsDerived": false,
    "IsWritableDerivedField": false,
    "IsMasked": false,
    "GrantKeyWhenReadable": "principal-process-steward|TestCases"
   },
   {
    "FieldGrantId": "fg-process-steward-TestSuites.TestSuiteId",
    "Principal": "principal-process-steward",
    "TargetField": "TestSuites.TestSuiteId",
    "CanRead": true,
    "CanWrite": false,
    "MaskStrategy": "plain",
    "SemanticTypeIri": "urn:effortless:pko-extension#FieldGrant",
    "Name": "principal-process-steward -&gt; TestSuites.TestSuiteId",
    "FieldTable": "TestSuites",
    "FieldName": "TestSuiteId",
    "FieldIsDerived": false,
    "IsWritableDerivedField": false,
    "IsMasked": false,
    "GrantKeyWhenReadable": "principal-process-steward|TestSuites"
   },
   {
    "FieldGrantId": "fg-process-steward-TestSuites.Name",
    "Principal": "principal-process-steward",
    "TargetField": "TestSuites.Name",
    "CanRead": true,
    "CanWrite": false,
    "MaskStrategy": "plain",
    "SemanticTypeIri": "urn:effortless:pko-extension#FieldGrant",
    "Name": "principal-process-steward -&gt; TestSuites.Name",
    "FieldTable": "TestSuites",
    "FieldName": "Name",
    "FieldIsDerived": true,
    "IsWritableDerivedField": false,
    "IsMasked": false,
    "GrantKeyWhenReadable": "principal-process-steward|TestSuites"
   },
   {
    "FieldGrantId": "fg-process-steward-TestSuites.Label",
    "Principal": "principal-process-steward",
    "TargetField": "TestSuites.Label",
    "CanRead": true,
    "CanWrite": false,
    "MaskStrategy": "plain",
    "SemanticTypeIri": "urn:effortless:pko-extension#FieldGrant",
    "Name": "principal-process-steward -&gt; TestSuites.Label",
    "FieldTable": "TestSuites",
    "FieldName": "Label",
    "FieldIsDerived": false,
    "IsWritableDerivedField": false,
    "IsMasked": false,
    "GrantKeyWhenReadable": "principal-process-steward|TestSuites"
   },
   {
    "FieldGrantId": "fg-process-steward-TestSuites.TestCount",
    "Principal": "principal-process-steward",
    "TargetField": "TestSuites.TestCount",
    "CanRead": true,
    "CanWrite": false,
    "MaskStrategy": "plain",
    "SemanticTypeIri": "urn:effortless:pko-extension#FieldGrant",
    "Name": "principal-process-steward -&gt; TestSuites.TestCount",
    "FieldTable": "TestSuites",
    "FieldName": "TestCount",
    "FieldIsDerived": true,
    "IsWritableDerivedField": false,
    "IsMasked": false,
    "GrantKeyWhenReadable": "principal-process-steward|TestSuites"
   },
   {
    "FieldGrantId": "fg-process-steward-TestSuites.PassCount",
    "Principal": "principal-process-steward",
    "TargetField": "TestSuites.PassCount",
    "CanRead": true,
    "CanWrite": false,
    "MaskStrategy": "plain",
    "SemanticTypeIri": "urn:effortless:pko-extension#FieldGrant",
    "Name": "principal-process-steward -&gt; TestSuites.PassCount",
    "FieldTable": "TestSuites",
    "FieldName": "PassCount",
    "FieldIsDerived": true,
    "IsWritableDerivedField": false,
    "IsMasked": false,
    "GrantKeyWhenReadable": "principal-process-steward|TestSuites"
   },
   {
    "FieldGrantId": "fg-process-steward-TestSuites.BlockingFailCount",
    "Principal": "principal-process-steward",
    "TargetField": "TestSuites.BlockingFailCount",
    "CanRead": true,
    "CanWrite": false,
    "MaskStrategy": "plain",
    "SemanticTypeIri": "urn:effortless:pko-extension#FieldGrant",
    "Name": "principal-process-steward -&gt; TestSuites.BlockingFailCount",
    "FieldTable": "TestSuites",
    "FieldName": "BlockingFailCount",
    "FieldIsDerived": true,
    "IsWritableDerivedField": false,
    "IsMasked": false,
    "GrantKeyWhenReadable": "principal-process-steward|TestSuites"
   },
   {
    "FieldGrantId": "fg-process-steward-TestSuites.IsGreen",
    "Principal": "principal-process-steward",
    "TargetField": "TestSuites.IsGreen",
    "CanRead": true,
    "CanWrite": false,
    "MaskStrategy": "plain",
    "SemanticTypeIri": "urn:effortless:pko-extension#FieldGrant",
    "Name": "principal-process-steward -&gt; TestSuites.IsGreen",
    "FieldTable": "TestSuites",
    "FieldName": "IsGreen",
    "FieldIsDerived": true,
    "IsWritableDerivedField": false,
    "IsMasked": false,
    "GrantKeyWhenReadable": "principal-process-steward|TestSuites"
   },
   {
    "FieldGrantId": "fg-process-steward-TestSuites.SemanticTypeIri",
    "Principal": "principal-process-steward",
    "TargetField": "TestSuites.SemanticTypeIri",
    "CanRead": true,
    "CanWrite": false,
    "MaskStrategy": "plain",
    "SemanticTypeIri": "urn:effortless:pko-extension#FieldGrant",
    "Name": "principal-process-steward -&gt; TestSuites.SemanticTypeIri",
    "FieldTable": "TestSuites",
    "FieldName": "SemanticTypeIri",
    "FieldIsDerived": false,
    "IsWritableDerivedField": false,
    "IsMasked": false,
    "GrantKeyWhenReadable": "principal-process-steward|TestSuites"
   },
   {
    "FieldGrantId": "fg-process-steward-Tools.ToolId",
    "Principal": "principal-process-steward",
    "TargetField": "Tools.ToolId",
    "CanRead": true,
    "CanWrite": false,
    "MaskStrategy": "plain",
    "SemanticTypeIri": "urn:effortless:pko-extension#FieldGrant",
    "Name": "principal-process-steward -&gt; Tools.ToolId",
    "FieldTable": "Tools",
    "FieldName": "ToolId",
    "FieldIsDerived": false,
    "IsWritableDerivedField": false,
    "IsMasked": false,
    "GrantKeyWhenReadable": "principal-process-steward|Tools"
   },
   {
    "FieldGrantId": "fg-process-steward-Tools.Name",
    "Principal": "principal-process-steward",
    "TargetField": "Tools.Name",
    "CanRead": true,
    "CanWrite": false,
    "MaskStrategy": "plain",
    "SemanticTypeIri": "urn:effortless:pko-extension#FieldGrant",
    "Name": "principal-process-steward -&gt; Tools.Name",
    "FieldTable": "Tools",
    "FieldName": "Name",
    "FieldIsDerived": true,
    "IsWritableDerivedField": false,
    "IsMasked": false,
    "GrantKeyWhenReadable": "principal-process-steward|Tools"
   },
   {
    "FieldGrantId": "fg-process-steward-Tools.Label",
    "Principal": "principal-process-steward",
    "TargetField": "Tools.Label",
    "CanRead": true,
    "CanWrite": false,
    "MaskStrategy": "plain",
    "SemanticTypeIri": "urn:effortless:pko-extension#FieldGrant",
    "Name": "principal-process-steward -&gt; Tools.Label",
    "FieldTable": "Tools",
    "FieldName": "Label",
    "FieldIsDerived": false,
    "IsWritableDerivedField": false,
    "IsMasked": false,
    "GrantKeyWhenReadable": "principal-process-steward|Tools"
   },
   {
    "FieldGrantId": "fg-process-steward-Tools.Purpose",
    "Principal": "principal-process-steward",
    "TargetField": "Tools.Purpose",
    "CanRead": true,
    "CanWrite": false,
    "MaskStrategy": "plain",
    "SemanticTypeIri": "urn:effortless:pko-extension#FieldGrant",
    "Name": "principal-process-steward -&gt; Tools.Purpose",
    "FieldTable": "Tools",
    "FieldName": "Purpose",
    "FieldIsDerived": false,
    "IsWritableDerivedField": false,
    "IsMasked": false,
    "GrantKeyWhenReadable": "principal-process-steward|Tools"
   },
   {
    "FieldGrantId": "fg-process-steward-Tools.SemanticTypeIri",
    "Principal": "principal-process-steward",
    "TargetField": "Tools.SemanticTypeIri",
    "CanRead": true,
    "CanWrite": false,
    "MaskStrategy": "plain",
    "SemanticTypeIri": "urn:effortless:pko-extension#FieldGrant",
    "Name": "principal-process-steward -&gt; Tools.SemanticTypeIri",
    "FieldTable": "Tools",
    "FieldName": "SemanticTypeIri",
    "FieldIsDerived": false,
    "IsWritableDerivedField": false,
    "IsMasked": false,
    "GrantKeyWhenReadable": "principal-process-steward|Tools"
   },
   {
    "FieldGrantId": "fg-process-steward-UserFeedback.UserFeedbackId",
    "Principal": "principal-process-steward",
    "TargetField": "UserFeedback.UserFeedbackId",
    "CanRead": true,
    "CanWrite": false,
    "MaskStrategy": "plain",
    "SemanticTypeIri": "urn:effortless:pko-extension#FieldGrant",
    "Name": "principal-process-steward -&gt; UserFeedback.UserFeedbackId",
    "FieldTable": "UserFeedback",
    "FieldName": "UserFeedbackId",
    "FieldIsDerived": false,
    "IsWritableDerivedField": false,
    "IsMasked": false,
    "GrantKeyWhenReadable": "principal-process-steward|UserFeedback"
   },
   {
    "FieldGrantId": "fg-process-steward-UserFeedback.Name",
    "Principal": "principal-process-steward",
    "TargetField": "UserFeedback.Name",
    "CanRead": true,
    "CanWrite": false,
    "MaskStrategy": "plain",
    "SemanticTypeIri": "urn:effortless:pko-ext</t>
  </si>
  <si>
    <t xml:space="preserve">ension#FieldGrant",
    "Name": "principal-process-steward -&gt; UserFeedback.Name",
    "FieldTable": "UserFeedback",
    "FieldName": "Name",
    "FieldIsDerived": true,
    "IsWritableDerivedField": false,
    "IsMasked": false,
    "GrantKeyWhenReadable": "principal-process-steward|UserFeedback"
   },
   {
    "FieldGrantId": "fg-process-steward-UserFeedback.ProcedureExecution",
    "Principal": "principal-process-steward",
    "TargetField": "UserFeedback.ProcedureExecution",
    "CanRead": true,
    "CanWrite": false,
    "MaskStrategy": "plain",
    "SemanticTypeIri": "urn:effortless:pko-extension#FieldGrant",
    "Name": "principal-process-steward -&gt; UserFeedback.ProcedureExecution",
    "FieldTable": "UserFeedback",
    "FieldName": "ProcedureExecution",
    "FieldIsDerived": false,
    "IsWritableDerivedField": false,
    "IsMasked": false,
    "GrantKeyWhenReadable": "principal-process-steward|UserFeedback"
   },
   {
    "FieldGrantId": "fg-process-steward-UserFeedback.ProvidedByAgent",
    "Principal": "principal-process-steward",
    "TargetField": "UserFeedback.ProvidedByAgent",
    "CanRead": true,
    "CanWrite": false,
    "MaskStrategy": "plain",
    "SemanticTypeIri": "urn:effortless:pko-extension#FieldGrant",
    "Name": "principal-process-steward -&gt; UserFeedback.ProvidedByAgent",
    "FieldTable": "UserFeedback",
    "FieldName": "ProvidedByAgent",
    "FieldIsDerived": false,
    "IsWritableDerivedField": false,
    "IsMasked": false,
    "GrantKeyWhenReadable": "principal-process-steward|UserFeedback"
   },
   {
    "FieldGrantId": "fg-process-steward-UserFeedback.ProvidedAt",
    "Principal": "principal-process-steward",
    "TargetField": "UserFeedback.ProvidedAt",
    "CanRead": true,
    "CanWrite": false,
    "MaskStrategy": "plain",
    "SemanticTypeIri": "urn:effortless:pko-extension#FieldGrant",
    "Name": "principal-process-steward -&gt; UserFeedback.ProvidedAt",
    "FieldTable": "UserFeedback",
    "FieldName": "ProvidedAt",
    "FieldIsDerived": false,
    "IsWritableDerivedField": false,
    "IsMasked": false,
    "GrantKeyWhenReadable": "principal-process-steward|UserFeedback"
   },
   {
    "FieldGrantId": "fg-process-steward-UserFeedback.FeedbackText",
    "Principal": "principal-process-steward",
    "TargetField": "UserFeedback.FeedbackText",
    "CanRead": true,
    "CanWrite": false,
    "MaskStrategy": "plain",
    "SemanticTypeIri": "urn:effortless:pko-extension#FieldGrant",
    "Name": "principal-process-steward -&gt; UserFeedback.FeedbackText",
    "FieldTable": "UserFeedback",
    "FieldName": "FeedbackText",
    "FieldIsDerived": false,
    "IsWritableDerivedField": false,
    "IsMasked": false,
    "GrantKeyWhenReadable": "principal-process-steward|UserFeedback"
   },
   {
    "FieldGrantId": "fg-process-steward-UserFeedback.Disposition",
    "Principal": "principal-process-steward",
    "TargetField": "UserFeedback.Disposition",
    "CanRead": true,
    "CanWrite": false,
    "MaskStrategy": "plain",
    "SemanticTypeIri": "urn:effortless:pko-extension#FieldGrant",
    "Name": "principal-process-steward -&gt; UserFeedback.Disposition",
    "FieldTable": "UserFeedback",
    "FieldName": "Disposition",
    "FieldIsDerived": false,
    "IsWritableDerivedField": false,
    "IsMasked": false,
    "GrantKeyWhenReadable": "principal-process-steward|UserFeedback"
   },
   {
    "FieldGrantId": "fg-process-steward-UserFeedback.ChangeRequestKey",
    "Principal": "principal-process-steward",
    "TargetField": "UserFeedback.ChangeRequestKey",
    "CanRead": true,
    "CanWrite": false,
    "MaskStrategy": "plain",
    "SemanticTypeIri": "urn:effortless:pko-extension#FieldGrant",
    "Name": "principal-process-steward -&gt; UserFeedback.ChangeRequestKey",
    "FieldTable": "UserFeedback",
    "FieldName": "ChangeRequestKey",
    "FieldIsDerived": false,
    "IsWritableDerivedField": false,
    "IsMasked": false,
    "GrantKeyWhenReadable": "principal-process-steward|UserFeedback"
   },
   {
    "FieldGrantId": "fg-process-steward-UserFeedback.SemanticTypeIri",
    "Principal": "principal-process-steward",
    "TargetField": "UserFeedback.SemanticTypeIri",
    "CanRead": true,
    "CanWrite": false,
    "MaskStrategy": "plain",
    "SemanticTypeIri": "urn:effortless:pko-extension#FieldGrant",
    "Name": "principal-process-steward -&gt; UserFeedback.SemanticTypeIri",
    "FieldTable": "UserFeedback",
    "FieldName": "SemanticTypeIri",
    "FieldIsDerived": false,
    "IsWritableDerivedField": false,
    "IsMasked": false,
    "GrantKeyWhenReadable": "principal-process-steward|UserFeedback"
   },
   {
    "FieldGrantId": "fg-process-steward-UserQuestions.UserQuestionId",
    "Principal": "principal-process-steward",
    "TargetField": "UserQuestions.UserQuestionId",
    "CanRead": true,
    "CanWrite": false,
    "MaskStrategy": "plain",
    "SemanticTypeIri": "urn:effortless:pko-extension#FieldGrant",
    "Name": "principal-process-steward -&gt; UserQuestions.UserQuestionId",
    "FieldTable": "UserQuestions",
    "FieldName": "UserQuestionId",
    "FieldIsDerived": false,
    "IsWritableDerivedField": false,
    "IsMasked": false,
    "GrantKeyWhenReadable": "principal-process-steward|UserQuestions"
   },
   {
    "FieldGrantId": "fg-process-steward-UserQuestions.Name",
    "Principal": "principal-process-steward",
    "TargetField": "UserQuestions.Name",
    "CanRead": true,
    "CanWrite": false,
    "MaskStrategy": "plain",
    "SemanticTypeIri": "urn:effortless:pko-extension#FieldGrant",
    "Name": "principal-process-steward -&gt; UserQuestions.Name",
    "FieldTable": "UserQuestions",
    "FieldName": "Name",
    "FieldIsDerived": true,
    "IsWritableDerivedField": false,
    "IsMasked": false,
    "GrantKeyWhenReadable": "principal-process-steward|UserQuestions"
   },
   {
    "FieldGrantId": "fg-process-steward-UserQuestions.StepExecution",
    "Principal": "principal-process-steward",
    "TargetField": "UserQuestions.StepExecution",
    "CanRead": true,
    "CanWrite": false,
    "MaskStrategy": "plain",
    "SemanticTypeIri": "urn:effortless:pko-extension#FieldGrant",
    "Name": "principal-process-steward -&gt; UserQuestions.StepExecution",
    "FieldTable": "UserQuestions",
    "FieldName": "StepExecution",
    "FieldIsDerived": false,
    "IsWritableDerivedField": false,
    "IsMasked": false,
    "GrantKeyWhenReadable": "principal-process-steward|UserQuestions"
   },
   {
    "FieldGrantId": "fg-process-steward-UserQuestions.AskedByAgent",
    "Principal": "principal-process-steward",
    "TargetField": "UserQuestions.AskedByAgent",
    "CanRead": true,
    "CanWrite": false,
    "MaskStrategy": "plain",
    "SemanticTypeIri": "urn:effortless:pko-extension#FieldGrant",
    "Name": "principal-process-steward -&gt; UserQuestions.AskedByAgent",
    "FieldTable": "UserQuestions",
    "FieldName": "AskedByAgent",
    "FieldIsDerived": false,
    "IsWritableDerivedField": false,
    "IsMasked": false,
    "GrantKeyWhenReadable": "principal-process-steward|UserQuestions"
   },
   {
    "FieldGrantId": "fg-process-steward-UserQuestions.AskedAt",
    "Principal": "principal-process-steward",
    "TargetField": "UserQuestions.AskedAt",
    "CanRead": true,
    "CanWrite": false,
    "MaskStrategy": "plain",
    "SemanticTypeIri": "urn:effortless:pko-extension#FieldGrant",
    "Name": "principal-process-steward -&gt; UserQuestions.AskedAt",
    "FieldTable": "UserQuestions",
    "FieldName": "AskedAt",
    "FieldIsDerived": false,
    "IsWritableDerivedField": false,
    "IsMasked": false,
    "GrantKeyWhenReadable": "principal-process-steward|UserQuestions"
   },
   {
    "FieldGrantId": "fg-process-steward-UserQuestions.QuestionText",
    "Principal": "principal-process-steward",
    "TargetField": "UserQuestions.QuestionText",
    "CanRead": true,
    "CanWrite": false,
    "MaskStrategy": "plain",
    "SemanticTypeIri": "urn:effortless:pko-extension#FieldGrant",
    "Name": "principal-process-steward -&gt; UserQuestions.QuestionText",
    "FieldTable": "UserQuestions",
    "FieldName": "QuestionText",
    "FieldIsDerived": false,
    "IsWritableDerivedField": false,
    "IsMasked": false,
    "GrantKeyWhenReadable": "principal-process-steward|UserQuestions"
   },
   {
    "FieldGrantId": "fg-process-steward-UserQuestions.ResolvedByFaq",
    "Principal": "principal-process-steward",
    "TargetField": "UserQuestions.ResolvedByFaq",
    "CanRead": true,
    "CanWrite": false,
    "MaskStrategy": "plain",
    "SemanticTypeIri": "urn:effortless:pko-extension#FieldGrant",
    "Name": "principal-process-steward -&gt; UserQuestions.ResolvedByFaq",
    "FieldTable": "UserQuestions",
    "FieldName": "ResolvedByFaq",
    "FieldIsDerived": false,
    "IsWritableDerivedField": false,
    "IsMasked": false,
    "GrantKeyWhenReadable": "principal-process-steward|UserQuestions"
   },
   {
    "FieldGrantId": "fg-process-steward-UserQuestions.AddressedByResource",
    "Principal": "principal-process-steward",
    "TargetField": "UserQuestions.AddressedByResource",
    "CanRead": true,
    "CanWrite": false,
    "MaskStrategy": "plain",
    "SemanticTypeIri": "urn:effortless:pko-extension#FieldGrant",
    "Name": "principal-process-steward -&gt; UserQuestions.AddressedByResource",
    "FieldTable": "UserQuestions",
    "FieldName": "AddressedByResource",
    "FieldIsDerived": false,
    "IsWritableDerivedField": false,
    "IsMasked": false,
    "GrantKeyWhenReadable": "principal-process-steward|UserQuestions"
   },
   {
    "FieldGrantId": "fg-process-steward-UserQuestions.Status",
    "Principal": "principal-process-steward",
    "TargetField": "UserQuestions.Status",
    "CanRead": true,
    "CanWrite": false,
    "MaskStrategy": "plain",
    "SemanticTypeIri": "urn:effortless:pko-extension#FieldGrant",
    "Name": "principal-process-steward -&gt; UserQuestions.Status",
    "FieldTable": "UserQuestions",
    "FieldName": "Status",
    "FieldIsDerived": false,
    "IsWritableDerivedField": false,
    "IsMasked": false,
    "GrantKeyWhenReadable": "principal-process-steward|UserQuestions"
   },
   {
    "FieldGrantId": "fg-process-steward-UserQuestions.SemanticTypeIri",
    "Principal": "principal-process-steward",
    "TargetField": "UserQuestions.SemanticTypeIri",
    "CanRead": true,
    "CanWrite": false,
    "MaskStrategy": "plain",
    "SemanticTypeIri": "urn:effortless:pko-extension#FieldGrant",
    "Name": "principal-process-steward -&gt; UserQuestions.SemanticTypeIri",
    "FieldTable": "UserQuestions",
    "FieldName": "SemanticTypeIri",
    "FieldIsDerived": false,
    "IsWritableDerivedField": false,
    "IsMasked": false,
    "GrantKeyWhenReadable": "principal-process-steward|UserQuestions"
   },
   {
    "FieldGrantId": "fg-process-steward-VerificationOutcomes.VerificationOutcomeId",
    "Principal": "principal-process-steward",
    "TargetField": "VerificationOutcomes.VerificationOutcomeId",
    "CanRead": true,
    "CanWrite": false,
    "MaskStrategy": "plain",
    "SemanticTypeIri": "urn:effortless:pko-extension#FieldGrant",
    "Name": "principal-process-steward -&gt; VerificationOutcomes.VerificationOutcomeId",
    "FieldTable": "VerificationOutcomes",
    "FieldName": "VerificationOutcomeId",
    "FieldIsDerived": false,
    "IsWritableDerivedField": false,
    "IsMasked": false,
    "GrantKeyWhenReadable": "principal-process-steward|VerificationOutcomes"
   },
   {
    "FieldGrantId": "fg-process-steward-VerificationOutcomes.Name",
    "Principal": "principal-process-steward",
    "TargetField": "VerificationOutcomes.Name",
    "CanRead": true,
    "CanWrite": false,
    "MaskStrategy": "plain",
    "SemanticTypeIri": "urn:effortless:pko-extension#FieldGrant",
    "Name": "principal-process-steward -&gt; VerificationOutcomes.Name",
    "FieldTable": "VerificationOutcomes",
    "FieldName": "Name",
    "FieldIsDerived": true,
    "IsWritableDerivedField": false,
    "IsMasked": false,
    "GrantKeyWhenReadable": "principal-process-steward|VerificationOutcomes"
   },
   {
    "FieldGrantId": "fg-process-steward-VerificationOutcomes.StepExecution",
    "Principal": "principal-process-steward",
    "TargetField": "VerificationOutcomes.StepExecution",
    "CanRead": true,
    "CanWrite": false,
    "MaskStrategy": "plain",
    "SemanticTypeIri": "urn:effortless:pko-extension#FieldGrant",
    "Name": "principal-process-steward -&gt; VerificationOutcomes.StepExecution",
    "FieldTable": "VerificationOutcomes",
    "FieldName": "StepExecution",
    "FieldIsDerived": false,
    "IsWritableDerivedField": false,
    "IsMasked": false,
    "GrantKeyWhenReadable": "principal-process-steward|VerificationOutcomes"
   },
   {
    "FieldGrantId": "fg-process-steward-VerificationOutcomes.StepVerification",
    "Principal": "principal-process-steward",
    "TargetField": "VerificationOutcomes.StepVerification",
    "CanRead": true,
    "CanWrite": false,
    "MaskStrategy": "plain",
    "SemanticTypeIri": "urn:effortless:pko-extension#FieldGrant",
    "Name": "principal-process-steward -&gt; VerificationOutcomes.StepVerification",
    "FieldTable": "VerificationOutcomes",
    "FieldName": "StepVerification",
    "FieldIsDerived": false,
    "IsWritableDerivedField": false,
    "IsMasked": false,
    "GrantKeyWhenReadable": "principal-process-steward|VerificationOutcomes"
   },
   {
    "FieldGrantId": "fg-process-steward-VerificationOutcomes.ObservedSignalValue",
    "Principal": "principal-process-steward",
    "TargetField": "VerificationOutcomes.ObservedSignalValue",
    "CanRead": true,
    "CanWrite": false,
    "MaskStrategy": "plain",
    "SemanticTypeIri": "urn:effortless:pko-extension#FieldGrant",
    "Name": "principal-process-steward -&gt; VerificationOutcomes.ObservedSignalValue",
    "FieldTable": "VerificationOutcomes",
    "FieldName": "ObservedSignalValue",
    "FieldIsDerived": false,
    "IsWritableDerivedField": false,
    "IsMasked": false,
    "GrantKeyWhenReadable": "principal-process-steward|VerificationOutcomes"
   },
   {
    "FieldGrantId": "fg-process-steward-VerificationOutcomes.ObservedByAgent",
    "Principal": "principal-process-steward",
    "TargetField": "VerificationOutcomes.ObservedByAgent",
    "CanRead": true,
    "CanWrite": false,
    "MaskStrategy": "plain",
    "SemanticTypeIri": "urn:effortless:pko-extension#FieldGrant",
    "Name": "principal-process-steward -&gt; VerificationOutcomes.ObservedByAgent",
    "FieldTable": "VerificationOutcomes",
    "FieldName": "ObservedByAgent",
    "FieldIsDerived": false,
    "IsWritableDerivedField": false,
    "IsMasked": false,
    "GrantKeyWhenReadable": "principal-process-steward|VerificationOutcomes"
   },
   {
    "FieldGrantId": "fg-process-steward-VerificationOutcomes.ObservedAt",
    "Principal": "principal-process-steward",
    "TargetField": "VerificationOutcomes.ObservedAt",
    "CanRead": true,
    "CanWrite": false,
    "MaskStrategy": "plain",
    "SemanticTypeIri": "urn:effortless:pko-extension#FieldGrant",
    "Name": "principal-process-steward -&gt; VerificationOutcomes.ObservedAt",
    "FieldTable": "VerificationOutcomes",
    "FieldName": "ObservedAt",
    "FieldIsDerived": false,
    "IsWritableDerivedField": false,
    "IsMasked": false,
    "GrantKeyWhenReadable": "principal-process-steward|VerificationOutcomes"
   },
   {
    "FieldGrantId": "fg-process-steward-VerificationOutcomes.EvidenceUri",
    "Principal": "principal-process-steward",
    "TargetField": "VerificationOutcomes.EvidenceUri",
    "CanRead": true,
    "CanWrite": false,
    "MaskStrategy": "plain",
    "SemanticTypeIri": "urn:effortless:pko-extension#FieldGrant",
    "Name": "principal-process-steward -&gt; VerificationOutcomes.EvidenceUri",
    "FieldTable": "VerificationOutcomes",
    "FieldName": "EvidenceUri",
    "FieldIsDerived": false,
    "IsWritableDerivedField": false,
    "IsMasked": false,
    "GrantKeyWhenReadable": "principal-process-steward|VerificationOutcomes"
   },
   {
    "FieldGrantId": "fg-process-steward-VerificationOutcomes.ExpectedSignalValue",
    "Principal": "principal-process-steward",
    "TargetField": "VerificationOutcomes.ExpectedSignalValue",
    "CanRead": true,
    "CanWrite": false,
    "MaskStrategy": "plain",
    "SemanticTypeIri": "urn:effortless:pko-extension#FieldGrant",
    "Name": "principal-process-steward -&gt; VerificationOutcomes.ExpectedSignalValue",
    "FieldTable": "VerificationOutcomes",
    "FieldName": "ExpectedSignalValue",
    "FieldIsDerived": true,
    "IsWritableDerivedField": false,
    "IsMasked": false,
    "GrantKeyWhenReadable": "principal-process-steward|VerificationOutcomes"
   },
   {
    "FieldGrantId": "fg-process-steward-VerificationOutcomes.SignalIdentifier",
    "Principal": "principal-process-steward",
    "TargetField": "VerificationOutcomes.SignalIdentifier",
    "CanRead": true,
    "CanWrite": false,
    "MaskStrategy": "plain",
    "SemanticTypeIri": "urn:effortless:pko-extension#FieldGrant",
    "Name": "principal-process-steward -&gt; VerificationOutcomes.SignalIdentifier",
    "FieldTable": "VerificationOutcomes",
    "FieldName": "SignalIdentifier",
    "FieldIsDerived": true,
    "IsWritableDerivedField": false,
    "IsMasked": false,
    "GrantKeyWhenReadable": "principal-process-steward|VerificationOutcomes"
   },
   {
    "FieldGrantId": "fg-process-steward-VerificationOutcomes.SignalMatchesExpected",
    "Principal": "principal-process-steward",
    "TargetField": "VerificationOutcomes.SignalMatchesExpected",
    "CanRead": true,
    "CanWrite": false,
    "MaskStrategy": "plain",
    "SemanticTypeIri": "urn:effortless:pko-extension#FieldGrant",
    "Name": "principal-process-steward -&gt; VerificationOutcomes.SignalMatchesExpected",
    "FieldTable": "VerificationOutcomes",
    "FieldName": "SignalMatchesExpected",
    "FieldIsDerived": true,
    "IsWritableDerivedField": false,
    "IsMasked": false,
    "GrantKeyWhenReadable": "principal-process-steward|VerificationOutcomes"
   },
   {
    "FieldGrantId": "fg-process-steward-VerificationOutcomes.HasEvidence",
    "Principal": "principal-process-steward",
    "TargetField": "VerificationOutcomes.HasEvidence",
    "CanRead": true,
    "CanWrite": false,
    "MaskStrategy": "plain",
    "SemanticTypeIri": "urn:effortless:pko-extension#FieldGrant",
    "Name": "principal-process-steward -&gt; VerificationOutcomes.HasEvidence",
    "FieldTable": "VerificationOutcomes",
    "FieldName": "HasEvidence",
    "FieldIsDerived": true,
    "IsWritableDerivedField": false,
    "IsMasked": false,
    "GrantKeyWhenReadable": "principal-process-steward|VerificationOutcomes"
   },
   {
    "FieldGrantId": "fg-process-steward-VerificationOutcomes.IsUnbackedObservation",
    "Principal": "principal-process-steward",
    "TargetField": "VerificationOutcomes.IsUnbackedObservation",
    "CanRead": true,
    "CanWrite": false,
    "MaskStrategy": "plain",
    "SemanticTypeIri": "urn:effortless:pko-extension#FieldGrant",
    "Name": "principal-process-steward -&gt; VerificationOutcomes.IsUnbackedObservation",
    "FieldTable": "VerificationOutcomes",
    "FieldName": "IsUnbackedObservation",
    "FieldIsDerived": true,
    "IsWritableDerivedField": false,
    "IsMasked": false,
    "GrantKeyWhenReadable": "principal-process-steward|VerificationOutcomes"
   },
   {
    "FieldGrantId": "fg-process-steward-VerificationOutcomes.IsSelfWitnessed",
    "Principal": "principal-process-steward",
    "TargetField": "VerificationOutcomes.IsSelfWitnessed",
    "CanRead": true,
    "CanWrite": false,
    "MaskStrategy": "plain",
    "SemanticTypeIri": "urn:effortless:pko-extension#FieldGrant",
    "Name": "principal-process-steward -&gt; VerificationOutcomes.IsSelfWitnessed",
    "FieldTable": "VerificationOutcomes",
    "FieldName": "IsSelfWitnessed",
    "FieldIsDerived": true,
    "IsWritableDerivedField": false,
    "IsMasked": false,
    "GrantKeyWhenReadable": "principal-process-steward|VerificationOutcomes"
   },
   {
    "FieldGrantId": "fg-process-steward-VerificationOutcomes.StepExecutorAgent",
    "Principal": "principal-process-steward",
    "TargetField": "VerificationOutcomes.StepExecutorAgent",
    "CanRead": true,
    "CanWrite": false,
    "MaskStrategy": "plain",
    "SemanticTypeIri": "urn:effortless:pko-extension#FieldGrant",
    "Name": "principal-process-steward -&gt; VerificationOutcomes.StepExecutorAgent",
    "FieldTable": "VerificationOutcomes",
    "FieldName": "StepExecutorAgent",
    "FieldIsDerived": true,
    "IsWritableDerivedField": false,
    "IsMasked": false,
    "GrantKeyWhenReadable": "principal-process-steward|VerificationOutcomes"
   },
   {
    "FieldGrantId": "fg-process-steward-VerificationOutcomes.SelfWitnessedStepKey",
    "Principal": "principal-process-steward",
    "TargetField": "VerificationOutcomes.SelfWitnessedStepKey",
    "CanRead": true,
    "CanWrite": false,
    "MaskStrategy": "plain",
    "SemanticTypeIri": "urn:effortless:pko-extension#FieldGrant",
    "Name": "principal-process-steward -&gt; VerificationOutcomes.SelfWitnessedStepKey",
    "FieldTable": "VerificationOutcomes",
    "FieldName": "SelfWitnessedStepKey",
    "FieldIsDerived": true,
    "IsWritableDerivedField": false,
    "IsMasked": false,
    "GrantKeyWhenReadable": "principal-process-steward|VerificationOutcomes"
   },
   {
    "FieldGrantId": "fg-process-steward-VerificationOutcomes.UnbackedStepKey",
    "Principal": "principal-process-steward",
    "TargetField": "VerificationOutcomes.UnbackedStepKey",
    "CanRead": true,
    "CanWrite": false,
    "MaskStrategy": "plain",
    "SemanticTypeIri": "urn:effortless:pko-extension#FieldGrant",
    "Name": "principal-process-steward -&gt; VerificationOutcomes.UnbackedStepKey",
    "FieldTable": "VerificationOutcomes",
    "FieldName": "UnbackedStepKey",
    "FieldIsDerived": true,
    "IsWritableDerivedField": false,
    "IsMasked": false,
    "GrantKeyWhenReadable": "principal-process-steward|VerificationOutcomes"
   },
   {
    "FieldGrantId": "fg-process-steward-VerificationOutcomes.IsSelfWitnessedAndUnbacked",
    "Principal": "principal-process-steward",
    "TargetField": "VerificationOutcomes.IsSelfWitnessedAndUnbacked",
    "CanRead": true,
    "CanWrite": false,
    "MaskStrategy": "plain",
    "SemanticTypeIri": "urn:effortless:pko-extension#FieldGrant",
    "Name": "principal-process-steward -&gt; VerificationOutcomes.IsSelfWitnessedAndUnbacked",
    "FieldTable": "VerificationOutcomes",
    "FieldName": "IsSelfWitnessedAndUnbacked",
    "FieldIsDerived": true,
    "IsWritableDerivedField": false,
    "IsMasked": false,
    "GrantKeyWhenReadable": "principal-process-steward|VerificationOutcomes"
   },
   {
    "FieldGrantId": "fg-process-steward-VerificationOutcomes.IsUncorroboratedPass",
    "Principal": "principal-process-steward",
    "TargetField": "VerificationOutcomes.IsUncorroboratedPass",
    "CanRead": true,
    "CanWrite": false,
    "MaskStrategy": "plain",
    "SemanticTypeIri": "urn:effortless:pko-extension#FieldGrant",
    "Name": "principal-process-steward -&gt; VerificationOutcomes.IsUncorroboratedPass",
    "FieldTable": "VerificationOutcomes",
    "FieldName": "IsUncorroboratedPass",
    "FieldIsDerived": true,
    "IsWritableDerivedField": false,
    "IsMasked": false,
    "GrantKeyWhenReadable": "principal-process-steward|VerificationOutcomes"
   },
   {
    "FieldGrantId": "fg-process-steward-VerificationOutcomes.UncorroboratedPassStepKey",
    "Principal": "principal-process-steward",
    "TargetField": "VerificationOutcomes.UncorroboratedPassStepKey",
    "CanRead": true,
    "CanWrite": false,
    "MaskStrategy": "plain",
    "SemanticTypeIri": "urn:effortless:pko-extension#FieldGrant",
    "Name": "principal-process-steward -&gt; VerificationOutcomes.UncorroboratedPassStepKey",
    "FieldTable": "VerificationOutcomes",
    "FieldName": "UncorroboratedPassStepKey",
    "FieldIsDerived": true,
    "IsWritableDerivedField": false,
    "IsMasked": false,
    "GrantKeyWhenReadable": "principal-process-steward|VerificationOutcomes"
   },
   {
    "FieldGrantId": "fg-process-steward-VerificationOutcomes.ObserverIsNonHuman",
    "Principal": "principal-process-steward",
    "TargetField": "VerificationOutcomes.ObserverIsNonHuman",
    "CanRead": true,
    "CanWrite": false,
    "MaskStrategy": "plain",
    "SemanticTypeIri": "urn:effortless:pko-extension#FieldGrant",
    "Name": "principal-process-steward -&gt; VerificationOutcomes.ObserverIsNonHuman",
    "FieldTable": "VerificationOutcomes",
    "FieldName": "ObserverIsNonHuman",
    "FieldIsDerived": true,
    "IsWritableDerivedField": false,
    "IsMasked": false,
    "GrantKeyWhenReadable": "principal-process-steward|VerificationOutcomes"
   },
   {
    "FieldGrantId": "fg-process-steward-VerificationOutcomes.ObserverIsIndependentOfExecutor",
    "Principal": "principal-process-steward",
    "TargetField": "VerificationOutcomes.ObserverIsIndependentOfExecutor",
    "CanRead": true,
    "CanWrite": false,
    "MaskStrategy": "plain",
    "SemanticTypeIri": "urn:effortless:pko-extension#FieldGrant",
    "Name": "principal-process-steward -&gt; VerificationOutcomes.ObserverIsIndependentOfExecutor",
    "FieldTable": "VerificationOutcomes",
    "FieldName": "ObserverIsIndependentOfExecutor",
    "FieldIsDerived": true,
    "IsWritableDerivedField": false,
    "IsMasked": false,
    "GrantKeyWhenReadable": "principal-process-steward|VerificationOutcomes"
   },
   {
    "FieldGrantId": "fg-process-steward-VerificationOutcomes.IsIndependentHumanObservation",
    "Principal": "principal-process-steward",
    "TargetField": "VerificationOutcomes.IsIndependentHumanObservation",
    "CanRead": true,
    "CanWrite": false,
    "MaskStrategy": "plain",
    "SemanticTypeIri": "urn:effortless:pko-extension#FieldGrant",
    "Name": "principal-process-steward -&gt; VerificationOutcomes.IsIndependentHumanObservation",
    "FieldTable": "VerificationOutcomes",
    "FieldName": "IsIndependentHumanObservation",
    "FieldIsDerived": true,
    "IsWritableDerivedField": false,
    "IsMasked": false,
    "GrantKeyWhenReadable": "principal-process-steward|VerificationOutcomes"
   },
   {
    "FieldGrantId": "fg-process-steward-VerificationOutcomes.IndependentObservationExecutionKey",
    "Principal": "principal-process-steward",
    "TargetField": "VerificationOutcomes.IndependentObservationExecutionKey",
    "CanRead": true,
    "CanWrite": false,
    "MaskStrategy": "plain",
    "SemanticTypeIri": "urn:effortless:pko-extension#FieldGrant",
    "Name": "principal-process-steward -&gt; VerificationOutcomes.IndependentObservationExecutionKey",
    "FieldTable": "VerificationOutcomes",
    "FieldName": "IndependentObservationExecutionKey",
    "FieldIsDerived": true,
    "IsWritableDerivedField": false,
    "IsMasked": false,
    "GrantKeyWhenReadable": "principal-process-steward|VerificationOutcomes"
   },
   {
    "FieldGrantId": "fg-process-steward-VerificationOutcomes.ParentProcedureExecutionOfOutcome",
    "Principal": "principal-process-steward",
    "TargetField": "VerificationOutcomes.ParentProcedureExecutionOfOutcome",
    "CanRead": true,
    "CanWrite": false,
    "MaskStrategy": "plain",
    "SemanticTypeIri": "urn:effortless:pko-extension#FieldGrant",
    "Name": "principal-process-steward -&gt; VerificationOutcomes.ParentProcedureExecutionOfOutcome",
    "FieldTable": "VerificationOutcomes",
    "FieldName": "ParentProcedureExecutionOfOutcome",
    "FieldIsDerived": true,
    "IsWritableDerivedField": false,
    "IsMasked": false,
    "GrantKeyWhenReadable": "principal-process-steward|VerificationOutcomes"
   },
   {
    "FieldGrantId": "fg-process-steward-VerificationOutcomes.SemanticTypeIri",
    "Principal": "principal-process-steward",
    "TargetField": "VerificationOutcomes.SemanticTypeIri",
    "CanRead": true,
    "CanWrite": false,
    "MaskStrategy": "plain",
    "SemanticTypeIri": "urn:effortless:pko-extension#FieldGrant",
    "Name": "principal-process-steward -&gt; VerificationOutcomes.SemanticTypeIri",
    "FieldTable": "VerificationOutcomes",
    "FieldName": "SemanticTypeIri",
    "FieldIsDerived": false,
    "IsWritableDerivedField": false,
    "IsMasked": false,
    "GrantKeyWhenReadable": "principal-process-steward|VerificationOutcomes"
   },
   {
    "FieldGrantId": "fg-process-steward-WitnessLoops.WitnessLoopId",
    "Principal": "principal-process-steward",
    "TargetField": "WitnessLoops.WitnessLoopId",
    "CanRead": true,
    "CanWrite": false,
    "MaskStrategy": "plain",
    "SemanticTypeIri": "urn:effortless:pko-extension#FieldGrant",
    "Name": "principal-process-steward -&gt; WitnessLoops.WitnessLoopId",
    "FieldTable": "WitnessLoops",
    "FieldName": "WitnessLoopId",
    "FieldIsDerived": false,
    "IsWritableDerivedField": false,
    "IsMasked": false,
    "GrantKeyWhenReadable": "principal-process-steward|WitnessLoops"
   },
   {
    "FieldGrantId": "fg-process-steward-WitnessLoops.Name",
    "Principal": "principal-process-steward",
    "TargetField": "WitnessLoops.Name",
    "CanRead": true,
    "CanWrite": false,
    "MaskStrategy": "plain",
    "SemanticTypeIri": "urn:effortless:pko-extension#FieldGrant",
    "Name": "principal-process-steward -&gt; WitnessLoops.Name",
    "FieldTable": "WitnessLoops",
    "FieldName": "Name",
    "FieldIsDerived": true,
    "IsWritableDerivedField": false,
    "IsMasked": false,
    "GrantKeyWhenReadable": "principal-process-steward|WitnessLoops"
   },
   {
    "FieldGrantId": "fg-process-steward-WitnessLoops.LoopNumber",
    "Principal": "principal-process-steward",
    "TargetField": "WitnessLoops.LoopNumber",
    "CanRead": true,
    "CanWrite": false,
    "MaskStrategy": "plain",
    "SemanticTypeIri": "urn:effortless:pko-extension#FieldGrant",
    "Name": "principal-process-steward -&gt; WitnessLoops.LoopNumber",
    "FieldTable": "WitnessLoops",
    "FieldName": "LoopNumber",
    "FieldIsDerived": false,
    "IsWritableDerivedField": false,
    "IsMasked": false,
    "GrantKeyWhenReadable": "principal-process-steward|WitnessLoops"
   },
   {
    "FieldGrantId": "fg-process-steward-WitnessLoops.Title",
    "Principal": "principal-process-steward",
    "TargetField": "WitnessLoops.Title",
    "CanRead": true,
    "CanWrite": false,
    "MaskStrategy": "plain",
    "SemanticTypeIri": "urn:effortless:pko-extension#FieldGrant",
    "Name": "principal-process-steward -&gt; WitnessLoops.Title",
    "FieldTable": "WitnessLoops",
    "FieldName": "Title",
    "FieldIsDerived": false,
    "IsWritableDerivedField": false,
    "IsMasked": false,
    "GrantKeyWhenReadable": "principal-process-steward|WitnessLoops"
   },
   {
    "FieldGrantId": "fg-process-steward-WitnessLoops.Premise",
    "Principal": "principal-process-steward",
    "TargetField": "WitnessLoops.Premise",
    "CanRead": true,
    "CanWrite": false,
    "MaskStrategy": "plain",
    "SemanticTypeIri": "urn:effortless:pko-extension#FieldGrant",
    "Name": "principal-process-steward -&gt; WitnessLoops.Premise",
    "FieldTable": "WitnessLoops",
    "FieldName": "Premise",
    "FieldIsDerived": false,
    "IsWritableDerivedField": false,
    "IsMasked": false,
    "GrantKeyWhenReadable": "principal-process-steward|WitnessLoops"
   },
   {
    "FieldGrantId": "fg-process-steward-WitnessLoops.StartedAt",
    "Principal": "principal-process-steward",
    "TargetField": "WitnessLoops.StartedAt",
    "CanRead": true,
    "CanWrite": false,
    "MaskStrategy": "plain",
    "SemanticTypeIri": "urn:effortless:pko-extension#FieldGrant",
    "Name": "principal-process-steward -&gt; WitnessLoops.StartedAt",
    "FieldTable": "WitnessLoops",
    "FieldName": "StartedAt",
    "FieldIsDerived": false,
    "IsWritableDerivedField": false,
    "IsMasked": false,
    "GrantKeyWhenReadable": "principal-process-steward|WitnessLoops"
   },
   {
    "FieldGrantId": "fg-process-steward-WitnessLoops.CompletedAt",
    "Principal": "principal-process-steward",
    "TargetField": "WitnessLoops.CompletedAt",
    "CanRead": true,
    "CanWrite": false,
    "MaskStrategy": "plain",
    "SemanticTypeIri": "urn:effortless:pko-extension#FieldGrant",
    "Name": "principal-process-steward -&gt; WitnessLoops.CompletedAt",
    "FieldTable": "WitnessLoops",
    "FieldName": "CompletedAt",
    "FieldIsDerived": false,
    "IsWritableDerivedField": false,
    "IsMasked": false,
    "GrantKeyWhenReadable": "principal-process-steward|WitnessLoops"
   },
   {
    "FieldGrantId": "fg-process-steward-WitnessLoops.QuestionCount",
    "Principal": "principal-process-steward",
    "TargetField": "WitnessLoops.QuestionCount",
    "CanRead": true,
    "CanWrite": false,
    "MaskStrategy": "plain",
    "SemanticTypeIri": "urn:effortless:pko-extension#FieldGrant",
    "Name": "principal-process-steward -&gt; WitnessLoops.QuestionCount",
</t>
  </si>
  <si>
    <t xml:space="preserve">    "FieldTable": "WitnessLoops",
    "FieldName": "QuestionCount",
    "FieldIsDerived": true,
    "IsWritableDerivedField": false,
    "IsMasked": false,
    "GrantKeyWhenReadable": "principal-process-steward|WitnessLoops"
   },
   {
    "FieldGrantId": "fg-process-steward-WitnessLoops.IsComplete",
    "Principal": "principal-process-steward",
    "TargetField": "WitnessLoops.IsComplete",
    "CanRead": true,
    "CanWrite": false,
    "MaskStrategy": "plain",
    "SemanticTypeIri": "urn:effortless:pko-extension#FieldGrant",
    "Name": "principal-process-steward -&gt; WitnessLoops.IsComplete",
    "FieldTable": "WitnessLoops",
    "FieldName": "IsComplete",
    "FieldIsDerived": true,
    "IsWritableDerivedField": false,
    "IsMasked": false,
    "GrantKeyWhenReadable": "principal-process-steward|WitnessLoops"
   },
   {
    "FieldGrantId": "fg-process-steward-WitnessLoops.FieldsAfter",
    "Principal": "principal-process-steward",
    "TargetField": "WitnessLoops.FieldsAfter",
    "CanRead": true,
    "CanWrite": false,
    "MaskStrategy": "plain",
    "SemanticTypeIri": "urn:effortless:pko-extension#FieldGrant",
    "Name": "principal-process-steward -&gt; WitnessLoops.FieldsAfter",
    "FieldTable": "WitnessLoops",
    "FieldName": "FieldsAfter",
    "FieldIsDerived": false,
    "IsWritableDerivedField": false,
    "IsMasked": false,
    "GrantKeyWhenReadable": "principal-process-steward|WitnessLoops"
   },
   {
    "FieldGrantId": "fg-process-steward-WitnessLoops.DerivedAfter",
    "Principal": "principal-process-steward",
    "TargetField": "WitnessLoops.DerivedAfter",
    "CanRead": true,
    "CanWrite": false,
    "MaskStrategy": "plain",
    "SemanticTypeIri": "urn:effortless:pko-extension#FieldGrant",
    "Name": "principal-process-steward -&gt; WitnessLoops.DerivedAfter",
    "FieldTable": "WitnessLoops",
    "FieldName": "DerivedAfter",
    "FieldIsDerived": false,
    "IsWritableDerivedField": false,
    "IsMasked": false,
    "GrantKeyWhenReadable": "principal-process-steward|WitnessLoops"
   },
   {
    "FieldGrantId": "fg-process-steward-WitnessLoops.WitnessedAfter",
    "Principal": "principal-process-steward",
    "TargetField": "WitnessLoops.WitnessedAfter",
    "CanRead": true,
    "CanWrite": false,
    "MaskStrategy": "plain",
    "SemanticTypeIri": "urn:effortless:pko-extension#FieldGrant",
    "Name": "principal-process-steward -&gt; WitnessLoops.WitnessedAfter",
    "FieldTable": "WitnessLoops",
    "FieldName": "WitnessedAfter",
    "FieldIsDerived": false,
    "IsWritableDerivedField": false,
    "IsMasked": false,
    "GrantKeyWhenReadable": "principal-process-steward|WitnessLoops"
   },
   {
    "FieldGrantId": "fg-process-steward-WitnessLoops.SemanticTypeIri",
    "Principal": "principal-process-steward",
    "TargetField": "WitnessLoops.SemanticTypeIri",
    "CanRead": true,
    "CanWrite": false,
    "MaskStrategy": "plain",
    "SemanticTypeIri": "urn:effortless:pko-extension#FieldGrant",
    "Name": "principal-process-steward -&gt; WitnessLoops.SemanticTypeIri",
    "FieldTable": "WitnessLoops",
    "FieldName": "SemanticTypeIri",
    "FieldIsDerived": false,
    "IsWritableDerivedField": false,
    "IsMasked": false,
    "GrantKeyWhenReadable": "principal-process-steward|WitnessLoops"
   },
   {
    "FieldGrantId": "fg-knowledge-authority-Actions.ActionId",
    "Principal": "principal-knowledge-authority",
    "TargetField": "Actions.ActionId",
    "CanRead": true,
    "CanWrite": false,
    "MaskStrategy": "plain",
    "SemanticTypeIri": "urn:effortless:pko-extension#FieldGrant",
    "Name": "principal-knowledge-authority -&gt; Actions.ActionId",
    "FieldTable": "Actions",
    "FieldName": "ActionId",
    "FieldIsDerived": false,
    "IsWritableDerivedField": false,
    "IsMasked": false,
    "GrantKeyWhenReadable": "principal-knowledge-authority|Actions"
   },
   {
    "FieldGrantId": "fg-knowledge-authority-Actions.Name",
    "Principal": "principal-knowledge-authority",
    "TargetField": "Actions.Name",
    "CanRead": true,
    "CanWrite": false,
    "MaskStrategy": "plain",
    "SemanticTypeIri": "urn:effortless:pko-extension#FieldGrant",
    "Name": "principal-knowledge-authority -&gt; Actions.Name",
    "FieldTable": "Actions",
    "FieldName": "Name",
    "FieldIsDerived": true,
    "IsWritableDerivedField": false,
    "IsMasked": false,
    "GrantKeyWhenReadable": "principal-knowledge-authority|Actions"
   },
   {
    "FieldGrantId": "fg-knowledge-authority-Actions.Label",
    "Principal": "principal-knowledge-authority",
    "TargetField": "Actions.Label",
    "CanRead": true,
    "CanWrite": false,
    "MaskStrategy": "plain",
    "SemanticTypeIri": "urn:effortless:pko-extension#FieldGrant",
    "Name": "principal-knowledge-authority -&gt; Actions.Label",
    "FieldTable": "Actions",
    "FieldName": "Label",
    "FieldIsDerived": false,
    "IsWritableDerivedField": false,
    "IsMasked": false,
    "GrantKeyWhenReadable": "principal-knowledge-authority|Actions"
   },
   {
    "FieldGrantId": "fg-knowledge-authority-Actions.Definition",
    "Principal": "principal-knowledge-authority",
    "TargetField": "Actions.Definition",
    "CanRead": true,
    "CanWrite": false,
    "MaskStrategy": "plain",
    "SemanticTypeIri": "urn:effortless:pko-extension#FieldGrant",
    "Name": "principal-knowledge-authority -&gt; Actions.Definition",
    "FieldTable": "Actions",
    "FieldName": "Definition",
    "FieldIsDerived": false,
    "IsWritableDerivedField": false,
    "IsMasked": false,
    "GrantKeyWhenReadable": "principal-knowledge-authority|Actions"
   },
   {
    "FieldGrantId": "fg-knowledge-authority-Actions.SemanticTypeIri",
    "Principal": "principal-knowledge-authority",
    "TargetField": "Actions.SemanticTypeIri",
    "CanRead": true,
    "CanWrite": false,
    "MaskStrategy": "plain",
    "SemanticTypeIri": "urn:effortless:pko-extension#FieldGrant",
    "Name": "principal-knowledge-authority -&gt; Actions.SemanticTypeIri",
    "FieldTable": "Actions",
    "FieldName": "SemanticTypeIri",
    "FieldIsDerived": false,
    "IsWritableDerivedField": false,
    "IsMasked": false,
    "GrantKeyWhenReadable": "principal-knowledge-authority|Actions"
   },
   {
    "FieldGrantId": "fg-knowledge-authority-AgentDecisionRecords.AgentDecisionRecordId",
    "Principal": "principal-knowledge-authority",
    "TargetField": "AgentDecisionRecords.AgentDecisionRecordId",
    "CanRead": true,
    "CanWrite": false,
    "MaskStrategy": "plain",
    "SemanticTypeIri": "urn:effortless:pko-extension#FieldGrant",
    "Name": "principal-knowledge-authority -&gt; AgentDecisionRecords.AgentDecisionRecordId",
    "FieldTable": "AgentDecisionRecords",
    "FieldName": "AgentDecisionRecordId",
    "FieldIsDerived": false,
    "IsWritableDerivedField": false,
    "IsMasked": false,
    "GrantKeyWhenReadable": "principal-knowledge-authority|AgentDecisionRecords"
   },
   {
    "FieldGrantId": "fg-knowledge-authority-AgentDecisionRecords.Name",
    "Principal": "principal-knowledge-authority",
    "TargetField": "AgentDecisionRecords.Name",
    "CanRead": true,
    "CanWrite": false,
    "MaskStrategy": "plain",
    "SemanticTypeIri": "urn:effortless:pko-extension#FieldGrant",
    "Name": "principal-knowledge-authority -&gt; AgentDecisionRecords.Name",
    "FieldTable": "AgentDecisionRecords",
    "FieldName": "Name",
    "FieldIsDerived": true,
    "IsWritableDerivedField": false,
    "IsMasked": false,
    "GrantKeyWhenReadable": "principal-knowledge-authority|AgentDecisionRecords"
   },
   {
    "FieldGrantId": "fg-knowledge-authority-AgentDecisionRecords.StepExecution",
    "Principal": "principal-knowledge-authority",
    "TargetField": "AgentDecisionRecords.StepExecution",
    "CanRead": true,
    "CanWrite": false,
    "MaskStrategy": "plain",
    "SemanticTypeIri": "urn:effortless:pko-extension#FieldGrant",
    "Name": "principal-knowledge-authority -&gt; AgentDecisionRecords.StepExecution",
    "FieldTable": "AgentDecisionRecords",
    "FieldName": "StepExecution",
    "FieldIsDerived": false,
    "IsWritableDerivedField": false,
    "IsMasked": false,
    "GrantKeyWhenReadable": "principal-knowledge-authority|AgentDecisionRecords"
   },
   {
    "FieldGrantId": "fg-knowledge-authority-AgentDecisionRecords.DecidingAgent",
    "Principal": "principal-knowledge-authority",
    "TargetField": "AgentDecisionRecords.DecidingAgent",
    "CanRead": true,
    "CanWrite": false,
    "MaskStrategy": "plain",
    "SemanticTypeIri": "urn:effortless:pko-extension#FieldGrant",
    "Name": "principal-knowledge-authority -&gt; AgentDecisionRecords.DecidingAgent",
    "FieldTable": "AgentDecisionRecords",
    "FieldName": "DecidingAgent",
    "FieldIsDerived": false,
    "IsWritableDerivedField": false,
    "IsMasked": false,
    "GrantKeyWhenReadable": "principal-knowledge-authority|AgentDecisionRecords"
   },
   {
    "FieldGrantId": "fg-knowledge-authority-AgentDecisionRecords.DecisionKind",
    "Principal": "principal-knowledge-authority",
    "TargetField": "AgentDecisionRecords.DecisionKind",
    "CanRead": true,
    "CanWrite": false,
    "MaskStrategy": "plain",
    "SemanticTypeIri": "urn:effortless:pko-extension#FieldGrant",
    "Name": "principal-knowledge-authority -&gt; AgentDecisionRecords.DecisionKind",
    "FieldTable": "AgentDecisionRecords",
    "FieldName": "DecisionKind",
    "FieldIsDerived": false,
    "IsWritableDerivedField": false,
    "IsMasked": false,
    "GrantKeyWhenReadable": "principal-knowledge-authority|AgentDecisionRecords"
   },
   {
    "FieldGrantId": "fg-knowledge-authority-AgentDecisionRecords.DecisionSummary",
    "Principal": "principal-knowledge-authority",
    "TargetField": "AgentDecisionRecords.DecisionSummary",
    "CanRead": true,
    "CanWrite": false,
    "MaskStrategy": "plain",
    "SemanticTypeIri": "urn:effortless:pko-extension#FieldGrant",
    "Name": "principal-knowledge-authority -&gt; AgentDecisionRecords.DecisionSummary",
    "FieldTable": "AgentDecisionRecords",
    "FieldName": "DecisionSummary",
    "FieldIsDerived": false,
    "IsWritableDerivedField": false,
    "IsMasked": false,
    "GrantKeyWhenReadable": "principal-knowledge-authority|AgentDecisionRecords"
   },
   {
    "FieldGrantId": "fg-knowledge-authority-AgentDecisionRecords.DecidedAt",
    "Principal": "principal-knowledge-authority",
    "TargetField": "AgentDecisionRecords.DecidedAt",
    "CanRead": true,
    "CanWrite": false,
    "MaskStrategy": "plain",
    "SemanticTypeIri": "urn:effortless:pko-extension#FieldGrant",
    "Name": "principal-knowledge-authority -&gt; AgentDecisionRecords.DecidedAt",
    "FieldTable": "AgentDecisionRecords",
    "FieldName": "DecidedAt",
    "FieldIsDerived": false,
    "IsWritableDerivedField": false,
    "IsMasked": false,
    "GrantKeyWhenReadable": "principal-knowledge-authority|AgentDecisionRecords"
   },
   {
    "FieldGrantId": "fg-knowledge-authority-AgentDecisionRecords.MaterialityBand",
    "Principal": "principal-knowledge-authority",
    "TargetField": "AgentDecisionRecords.MaterialityBand",
    "CanRead": true,
    "CanWrite": false,
    "MaskStrategy": "plain",
    "SemanticTypeIri": "urn:effortless:pko-extension#FieldGrant",
    "Name": "principal-knowledge-authority -&gt; AgentDecisionRecords.MaterialityBand",
    "FieldTable": "AgentDecisionRecords",
    "FieldName": "MaterialityBand",
    "FieldIsDerived": false,
    "IsWritableDerivedField": false,
    "IsMasked": false,
    "GrantKeyWhenReadable": "principal-knowledge-authority|AgentDecisionRecords"
   },
   {
    "FieldGrantId": "fg-knowledge-authority-AgentDecisionRecords.HumanDisposition",
    "Principal": "principal-knowledge-authority",
    "TargetField": "AgentDecisionRecords.HumanDisposition",
    "CanRead": true,
    "CanWrite": false,
    "MaskStrategy": "plain",
    "SemanticTypeIri": "urn:effortless:pko-extension#FieldGrant",
    "Name": "principal-knowledge-authority -&gt; AgentDecisionRecords.HumanDisposition",
    "FieldTable": "AgentDecisionRecords",
    "FieldName": "HumanDisposition",
    "FieldIsDerived": false,
    "IsWritableDerivedField": false,
    "IsMasked": false,
    "GrantKeyWhenReadable": "principal-knowledge-authority|AgentDecisionRecords"
   },
   {
    "FieldGrantId": "fg-knowledge-authority-AgentDecisionRecords.ReviewedByAgent",
    "Principal": "principal-knowledge-authority",
    "TargetField": "AgentDecisionRecords.ReviewedByAgent",
    "CanRead": true,
    "CanWrite": false,
    "MaskStrategy": "plain",
    "SemanticTypeIri": "urn:effortless:pko-extension#FieldGrant",
    "Name": "principal-knowledge-authority -&gt; AgentDecisionRecords.ReviewedByAgent",
    "FieldTable": "AgentDecisionRecords",
    "FieldName": "ReviewedByAgent",
    "FieldIsDerived": false,
    "IsWritableDerivedField": false,
    "IsMasked": false,
    "GrantKeyWhenReadable": "principal-knowledge-authority|AgentDecisionRecords"
   },
   {
    "FieldGrantId": "fg-knowledge-authority-AgentDecisionRecords.ReviewedAt",
    "Principal": "principal-knowledge-authority",
    "TargetField": "AgentDecisionRecords.ReviewedAt",
    "CanRead": true,
    "CanWrite": false,
    "MaskStrategy": "plain",
    "SemanticTypeIri": "urn:effortless:pko-extension#FieldGrant",
    "Name": "principal-knowledge-authority -&gt; AgentDecisionRecords.ReviewedAt",
    "FieldTable": "AgentDecisionRecords",
    "FieldName": "ReviewedAt",
    "FieldIsDerived": false,
    "IsWritableDerivedField": false,
    "IsMasked": false,
    "GrantKeyWhenReadable": "principal-knowledge-authority|AgentDecisionRecords"
   },
   {
    "FieldGrantId": "fg-knowledge-authority-AgentDecisionRecords.WasOverridden",
    "Principal": "principal-knowledge-authority",
    "TargetField": "AgentDecisionRecords.WasOverridden",
    "CanRead": true,
    "CanWrite": false,
    "MaskStrategy": "plain",
    "SemanticTypeIri": "urn:effortless:pko-extension#FieldGrant",
    "Name": "principal-knowledge-authority -&gt; AgentDecisionRecords.WasOverridden",
    "FieldTable": "AgentDecisionRecords",
    "FieldName": "WasOverridden",
    "FieldIsDerived": true,
    "IsWritableDerivedField": false,
    "IsMasked": false,
    "GrantKeyWhenReadable": "principal-knowledge-authority|AgentDecisionRecords"
   },
   {
    "FieldGrantId": "fg-knowledge-authority-AgentDecisionRecords.WasReviewed",
    "Principal": "principal-knowledge-authority",
    "TargetField": "AgentDecisionRecords.WasReviewed",
    "CanRead": true,
    "CanWrite": false,
    "MaskStrategy": "plain",
    "SemanticTypeIri": "urn:effortless:pko-extension#FieldGrant",
    "Name": "principal-knowledge-authority -&gt; AgentDecisionRecords.WasReviewed",
    "FieldTable": "AgentDecisionRecords",
    "FieldName": "WasReviewed",
    "FieldIsDerived": true,
    "IsWritableDerivedField": false,
    "IsMasked": false,
    "GrantKeyWhenReadable": "principal-knowledge-authority|AgentDecisionRecords"
   },
   {
    "FieldGrantId": "fg-knowledge-authority-AgentDecisionRecords.DecidingAgentKind",
    "Principal": "principal-knowledge-authority",
    "TargetField": "AgentDecisionRecords.DecidingAgentKind",
    "CanRead": true,
    "CanWrite": false,
    "MaskStrategy": "plain",
    "SemanticTypeIri": "urn:effortless:pko-extension#FieldGrant",
    "Name": "principal-knowledge-authority -&gt; AgentDecisionRecords.DecidingAgentKind",
    "FieldTable": "AgentDecisionRecords",
    "FieldName": "DecidingAgentKind",
    "FieldIsDerived": true,
    "IsWritableDerivedField": false,
    "IsMasked": false,
    "GrantKeyWhenReadable": "principal-knowledge-authority|AgentDecisionRecords"
   },
   {
    "FieldGrantId": "fg-knowledge-authority-AgentDecisionRecords.DecidingAgentWhenOverridden",
    "Principal": "principal-knowledge-authority",
    "TargetField": "AgentDecisionRecords.DecidingAgentWhenOverridden",
    "CanRead": true,
    "CanWrite": false,
    "MaskStrategy": "plain",
    "SemanticTypeIri": "urn:effortless:pko-extension#FieldGrant",
    "Name": "principal-knowledge-authority -&gt; AgentDecisionRecords.DecidingAgentWhenOverridden",
    "FieldTable": "AgentDecisionRecords",
    "FieldName": "DecidingAgentWhenOverridden",
    "FieldIsDerived": true,
    "IsWritableDerivedField": false,
    "IsMasked": false,
    "GrantKeyWhenReadable": "principal-knowledge-authority|AgentDecisionRecords"
   },
   {
    "FieldGrantId": "fg-knowledge-authority-AgentDecisionRecords.UnderRoleAssignment",
    "Principal": "principal-knowledge-authority",
    "TargetField": "AgentDecisionRecords.UnderRoleAssignment",
    "CanRead": true,
    "CanWrite": false,
    "MaskStrategy": "plain",
    "SemanticTypeIri": "urn:effortless:pko-extension#FieldGrant",
    "Name": "principal-knowledge-authority -&gt; AgentDecisionRecords.UnderRoleAssignment",
    "FieldTable": "AgentDecisionRecords",
    "FieldName": "UnderRoleAssignment",
    "FieldIsDerived": false,
    "IsWritableDerivedField": false,
    "IsMasked": false,
    "GrantKeyWhenReadable": "principal-knowledge-authority|AgentDecisionRecords"
   },
   {
    "FieldGrantId": "fg-knowledge-authority-AgentDecisionRecords.RoleAssignmentWhenScored",
    "Principal": "principal-knowledge-authority",
    "TargetField": "AgentDecisionRecords.RoleAssignmentWhenScored",
    "CanRead": true,
    "CanWrite": false,
    "MaskStrategy": "plain",
    "SemanticTypeIri": "urn:effortless:pko-extension#FieldGrant",
    "Name": "principal-knowledge-authority -&gt; AgentDecisionRecords.RoleAssignmentWhenScored",
    "FieldTable": "AgentDecisionRecords",
    "FieldName": "RoleAssignmentWhenScored",
    "FieldIsDerived": true,
    "IsWritableDerivedField": false,
    "IsMasked": false,
    "GrantKeyWhenReadable": "principal-knowledge-authority|AgentDecisionRecords"
   },
   {
    "FieldGrantId": "fg-knowledge-authority-AgentDecisionRecords.RoleAssignmentWhenOverridden",
    "Principal": "principal-knowledge-authority",
    "TargetField": "AgentDecisionRecords.RoleAssignmentWhenOverridden",
    "CanRead": true,
    "CanWrite": false,
    "MaskStrategy": "plain",
    "SemanticTypeIri": "urn:effortless:pko-extension#FieldGrant",
    "Name": "principal-knowledge-authority -&gt; AgentDecisionRecords.RoleAssignmentWhenOverridden",
    "FieldTable": "AgentDecisionRecords",
    "FieldName": "RoleAssignmentWhenOverridden",
    "FieldIsDerived": true,
    "IsWritableDerivedField": false,
    "IsMasked": false,
    "GrantKeyWhenReadable": "principal-knowledge-authority|AgentDecisionRecords"
   },
   {
    "FieldGrantId": "fg-knowledge-authority-AgentDecisionRecords.StepOfDecision",
    "Principal": "principal-knowledge-authority",
    "TargetField": "AgentDecisionRecords.StepOfDecision",
    "CanRead": true,
    "CanWrite": false,
    "MaskStrategy": "plain",
    "SemanticTypeIri": "urn:effortless:pko-extension#FieldGrant",
    "Name": "principal-knowledge-authority -&gt; AgentDecisionRecords.StepOfDecision",
    "FieldTable": "AgentDecisionRecords",
    "FieldName": "StepOfDecision",
    "FieldIsDerived": true,
    "IsWritableDerivedField": false,
    "IsMasked": false,
    "GrantKeyWhenReadable": "principal-knowledge-authority|AgentDecisionRecords"
   },
   {
    "FieldGrantId": "fg-knowledge-authority-AgentDecisionRecords.BoundaryMatchKey",
    "Principal": "principal-knowledge-authority",
    "TargetField": "AgentDecisionRecords.BoundaryMatchKey",
    "CanRead": true,
    "CanWrite": false,
    "MaskStrategy": "plain",
    "SemanticTypeIri": "urn:effortless:pko-extension#FieldGrant",
    "Name": "principal-knowledge-authority -&gt; AgentDecisionRecords.BoundaryMatchKey",
    "FieldTable": "AgentDecisionRecords",
    "FieldName": "BoundaryMatchKey",
    "FieldIsDerived": true,
    "IsWritableDerivedField": false,
    "IsMasked": false,
    "GrantKeyWhenReadable": "principal-knowledge-authority|AgentDecisionRecords"
   },
   {
    "FieldGrantId": "fg-knowledge-authority-AgentDecisionRecords.MatchingBoundaryCount",
    "Principal": "principal-knowledge-authority",
    "TargetField": "AgentDecisionRecords.MatchingBoundaryCount",
    "CanRead": true,
    "CanWrite": false,
    "MaskStrategy": "plain",
    "SemanticTypeIri": "urn:effortless:pko-extension#FieldGrant",
    "Name": "principal-knowledge-authority -&gt; AgentDecisionRecords.MatchingBoundaryCount",
    "FieldTable": "AgentDecisionRecords",
    "FieldName": "MatchingBoundaryCount",
    "FieldIsDerived": true,
    "IsWritableDerivedField": false,
    "IsMasked": false,
    "GrantKeyWhenReadable": "principal-knowledge-authority|AgentDecisionRecords"
   },
   {
    "FieldGrantId": "fg-knowledge-authority-AgentDecisionRecords.ViolatedAuthorityBoundary",
    "Principal": "principal-knowledge-authority",
    "TargetField": "AgentDecisionRecords.ViolatedAuthorityBoundary",
    "CanRead": true,
    "CanWrite": false,
    "MaskStrategy": "plain",
    "SemanticTypeIri": "urn:effortless:pko-extension#FieldGrant",
    "Name": "principal-knowledge-authority -&gt; AgentDecisionRecords.ViolatedAuthorityBoundary",
    "FieldTable": "AgentDecisionRecords",
    "FieldName": "ViolatedAuthorityBoundary",
    "FieldIsDerived": true,
    "IsWritableDerivedField": false,
    "IsMasked": false,
    "GrantKeyWhenReadable": "principal-knowledge-authority|AgentDecisionRecords"
   },
   {
    "FieldGrantId": "fg-knowledge-authority-AgentDecisionRecords.ReviewerAgentKind",
    "Principal": "principal-knowledge-authority",
    "TargetField": "AgentDecisionRecords.ReviewerAgentKind",
    "CanRead": true,
    "CanWrite": false,
    "MaskStrategy": "plain",
    "SemanticTypeIri": "urn:effortless:pko-extension#FieldGrant",
    "Name": "principal-knowledge-authority -&gt; AgentDecisionRecords.ReviewerAgentKind",
    "FieldTable": "AgentDecisionRecords",
    "FieldName": "ReviewerAgentKind",
    "FieldIsDerived": true,
    "IsWritableDerivedField": false,
    "IsMasked": false,
    "GrantKeyWhenReadable": "principal-knowledge-authority|AgentDecisionRecords"
   },
   {
    "FieldGrantId": "fg-knowledge-authority-AgentDecisionRecords.HasHumanConfirmation",
    "Principal": "principal-knowledge-authority",
    "TargetField": "AgentDecisionRecords.HasHumanConfirmation",
    "CanRead": true,
    "CanWrite": false,
    "MaskStrategy": "plain",
    "SemanticTypeIri": "urn:effortless:pko-extension#FieldGrant",
    "Name": "principal-knowledge-authority -&gt; AgentDecisionRecords.HasHumanConfirmation",
    "FieldTable": "AgentDecisionRecords",
    "FieldName": "HasHumanConfirmation",
    "FieldIsDerived": true,
    "IsWritableDerivedField": false,
    "IsMasked": false,
    "GrantKeyWhenReadable": "principal-knowledge-authority|AgentDecisionRecords"
   },
   {
    "FieldGrantId": "fg-knowledge-authority-AgentDecisionRecords.NeedsHumanConfirmation",
    "Principal": "principal-knowledge-authority",
    "TargetField": "AgentDecisionRecords.NeedsHumanConfirmation",
    "CanRead": true,
    "CanWrite": false,
    "MaskStrategy": "plain",
    "SemanticTypeIri": "urn:effortless:pko-extension#FieldGrant",
    "Name": "principal-knowledge-authority -&gt; AgentDecisionRecords.NeedsHumanConfirmation",
    "FieldTable": "AgentDecisionRecords",
    "FieldName": "NeedsHumanConfirmation",
    "FieldIsDerived": true,
    "IsWritableDerivedField": false,
    "IsMasked": false,
    "GrantKeyWhenReadable": "principal-knowledge-authority|AgentDecisionRecords"
   },
   {
    "FieldGrantId": "fg-knowledge-authority-AgentDecisionRecords.IsUnconfirmedNonHumanDecision",
    "Principal": "principal-knowledge-authority",
    "TargetField": "AgentDecisionRecords.IsUnconfirmedNonHumanDecision",
    "CanRead": true,
    "CanWrite": false,
    "MaskStrategy": "plain",
    "SemanticTypeIri": "urn:effortless:pko-extension#FieldGrant",
    "Name": "principal-knowledge-authority -&gt; AgentDecisionRecords.IsUnconfirmedNonHumanDecision",
    "FieldTable": "AgentDecisionRecords",
    "FieldName": "IsUnconfirmedNonHumanDecision",
    "FieldIsDerived": true,
    "IsWritableDerivedField": false,
    "IsMasked": false,
    "GrantKeyWhenReadable": "principal-knowledge-authority|AgentDecisionRecords"
   },
   {
    "FieldGrantId": "fg-knowledge-authority-AgentDecisionRecords.StepExecutionWhenUnconfirmed",
    "Principal": "principal-knowledge-authority",
    "TargetField": "AgentDecisionRecords.StepExecutionWhenUnconfirmed",
    "CanRead": true,
    "CanWrite": false,
    "MaskStrategy": "plain",
    "SemanticTypeIri": "urn:effortless:pko-extension#FieldGrant",
    "Name": "principal-knowledge-authority -&gt; AgentDecisionRecords.StepExecutionWhenUnconfirmed",
    "FieldTable": "AgentDecisionRecords",
    "FieldName": "StepExecutionWhenUnconfirmed",
    "FieldIsDerived": true,
    "IsWritableDerivedField": false,
    "IsMasked": false,
    "GrantKeyWhenReadable": "principal-knowledge-authority|AgentDecisionRecords"
   },
   {
    "FieldGrantId": "fg-knowledge-authority-AgentDecisionRecords.AgentWhenBoundaryViolated",
    "Principal": "principal-knowledge-authority",
    "TargetField": "AgentDecisionRecords.AgentWhenBoundaryViolated",
    "CanRead": true,
    "CanWrite": false,
    "MaskStrategy": "plain",
    "SemanticTypeIri": "urn:effortless:pko-extension#FieldGrant",
    "Name": "principal-knowledge-authority -&gt; AgentDecisionRecords.AgentWhenBoundaryViolated",
    "FieldTable": "AgentDecisionRecords",
    "FieldName": "AgentWhenBoundaryViolated",
    "FieldIsDerived": true,
    "IsWritableDerivedField": false,
    "IsMasked": false,
    "GrantKeyWhenReadable": "principal-knowledge-authority|AgentDecisionRecords"
   },
   {
    "FieldGrantId": "fg-knowledge-authority-AgentDecisionRecords.ReviewLatencyMinutes",
    "Principal": "principal-knowledge-authority",
    "TargetField": "AgentDecisionRecords.ReviewLatencyMinutes",
    "CanRead": true,
    "CanWrite": false,
    "MaskStrategy": "plain",
    "SemanticTypeIri": "urn:effortless:pko-extension#FieldGrant",
    "Name": "principal-knowledge-authority -&gt; AgentDecisionRecords.ReviewLatencyMinutes",
    "FieldTable": "AgentDecisionRecords",
    "FieldName": "ReviewLatencyMinutes",
    "FieldIsDerived": true,
    "IsWritableDerivedField": false,
    "IsMasked": false,
    "GrantKeyWhenReadable": "principal-knowledge-authority|AgentDecisionRecords"
   },
   {
    "FieldGrantId": "fg-knowledge-authority-AgentDecisionRecords.IsDraftKind",
    "Principal": "principal-knowledge-authority",
    "TargetField": "AgentDecisionRecords.IsDraftKind",
    "CanRead": true,
    "CanWrite": false,
    "MaskStrategy": "plain",
    "SemanticTypeIri": "urn:effortless:pko-extension#FieldGrant",
    "Name": "principal-knowledge-authority -&gt; AgentDecisionRecords.IsDraftKind",
    "FieldTable": "AgentDecisionRecords",
    "FieldName": "IsDraftKind",
    "FieldIsDerived": true,
    "IsWritableDerivedField": false,
    "IsMasked": false,
    "GrantKeyWhenReadable": "principal-knowledge-authority|AgentDecisionRecords"
   },
   {
    "FieldGrantId": "fg-knowledge-authority-AgentDecisionRecords.AgentWhenDraftOverridden",
    "Principal": "principal-knowledge-authority",
    "TargetField": "AgentDecisionRecords.AgentWhenDraftOverridden",
    "CanRead": true,
    "CanWrite": false,
    "MaskStrategy": "plain",
    "SemanticTypeIri": "urn:effortless:pko-extension#FieldGrant",
    "Name": "principal-knowledge-authority -&gt; AgentDecisionRecords.AgentWhenDraftOverridden",
    "FieldTable": "AgentDecisionRecords",
    "FieldName": "AgentWhenDraftOverridden",
    "FieldIsDerived": true,
    "IsWritableDerivedField": false,
    "IsMasked": false,
    "GrantKeyWhenReadable": "principal-knowledge-authority|AgentDecisionRecords"
   },
   {
    "FieldGrantId": "fg-knowledge-authority-AgentDecisionRecords.AgentWhenDraft",
    "Principal": "principal-knowledge-authority",
    "TargetField": "AgentDecisionRecords.AgentWhenDraft",
    "CanRead": true,
    "CanWrite": false,
    "MaskStrategy": "plain",
    "SemanticTypeIri": "urn:effortless:pko-extension#FieldGrant",
    "Name": "principal-knowledge-authority -&gt; AgentDecisionRecords.AgentWhenDraft",
    "FieldTable": "AgentDecisionRecords",
    "FieldName": "AgentWhenDraft",
    "FieldIsDerived": true,
    "IsWritableDerivedField": false,
    "IsMasked": false,
    "GrantKeyWhenReadable": "principal-knowledge-authority|AgentDecisionRecords"
   },
   {
    "FieldGrantId": "fg-knowledge-authority-AgentDecisionRecords.OverrideReasonKind",
    "Principal": "principal-knowledge-authority",
    "TargetField": "AgentDecisionRecords.OverrideReasonKind",
    "CanRead": true,
    "CanWrite": false,
    "MaskStrategy": "plain",
    "SemanticTypeIri": "urn:effortless:pko-extension#FieldGrant",
    "Name": "principal-knowledge-authority -&gt; AgentDecisionRecords.OverrideReasonKind",
    "FieldTable": "AgentDecisionRecords",
    "FieldName": "OverrideReasonKind",
    "FieldIsDerived": false,
    "IsWritableDerivedField": false,
    "IsMasked": false,
    "GrantKeyWhenReadable": "principal-knowledge-authority|AgentDecisionRecords"
   },
   {
    "FieldGrantId": "fg-knowledge-authority-AgentDecisionRecords.IsErrorCorrection",
    "Principal": "principal-knowledge-authority",
    "TargetField": "AgentDecisionRecords.IsErrorCorrection",
    "CanRead": true,
    "CanWrite": false,
    "MaskStrategy": "plain",
    "SemanticTypeIri": "urn:effortless:pko-extension#FieldGrant",
    "Name": "principal-knowledge-authority -&gt; AgentDecisionRecords.IsErrorCorrection",
    "FieldTable": "AgentDecisionRecords",
    "FieldName": "IsErrorCorrection",
    "FieldIsDerived": true,
    "IsWritableDerivedField": false,
    "IsMasked": false,
    "GrantKeyWhenReadable": "principal-knowledge-authority|AgentDecisionRecords"
   },
   {
    "FieldGrantId": "fg-knowledge-authority-AgentDecisionRecords.IsReservedJudgmentOverride",
    "Principal": "principal-knowledge-authority",
    "TargetField": "AgentDecisionRecords.IsReservedJudgmentOverride",
    "CanRead": true,
    "CanWrite": false,
    "MaskStrategy": "plain",
    "SemanticTypeIri": "urn:effortless:pko-extension#FieldGrant",
    "Name": "principal-knowledge-authority -&gt; AgentDecisionRecords.IsReservedJudgmentOverride",
    "FieldTable": "AgentDecisionRecords",
    "FieldName": "IsReservedJudgmentOverride",
    "FieldIsDerived": true,
    "IsWritableDerivedField": false,
    "IsMasked": false,
    "GrantKeyWhenReadable": "principal-knowledge-authority|AgentDecisionRecords"
   },
   {
    "FieldGrantId": "fg-knowledge-authority-AgentDecisionRecords.OverrideReasonIsRecorded",
    "Principal": "principal-knowledge-authority",
    "TargetField": "AgentDecisionRecords.OverrideReasonIsRecorded",
    "CanRead": true,
    "CanWrite": false,
    "MaskStrategy": "plain",
    "SemanticTypeIri": "urn:effortless:pko-extension#FieldGrant",
    "Name": "principal-knowledge-authority -&gt; AgentDecisionRecords.OverrideReasonIsRecorded",
    "FieldTable": "AgentDecisionRecords",
    "FieldName": "OverrideReasonIsRecorded",
    "FieldIsDerived": true,
    "IsWritableDerivedField": false,
    "IsMasked": false,
    "GrantKeyWhenReadable": "principal-knowledge-authority|AgentDecisionRecords"
   },
   {
    "FieldGrantId": "fg-knowledge-authority-AgentDecisionRecords.IsUnexplainedOverride",
    "Principal": "principal-knowledge-authority",
    "TargetField": "AgentDecisionRecords.IsUnexplainedOverride",
    "CanRead": true,
    "CanWrite": false,
    "MaskStrategy": "plain",
    "SemanticTypeIri": "urn:effortless:pko-extension#FieldGrant",
    "Name": "principal-knowledge-authority -&gt; AgentDecisionRecords.IsUnexplainedOverride",
    "FieldTable": "AgentDecisionRecords",
    "FieldName": "IsUnexplainedOverride",
    "FieldIsDerived": true,
    "IsWritableDerivedField": false,
    "IsMasked": false,
    "GrantKeyWhenReadable": "principal-knowledge-authority|AgentDecisionRecords"
   },
   {
    "FieldGrantId": "fg-knowledge-authority-AgentDecisionRecords.ErrorCorrectionRoleAssignmentKey",
    "Principal": "principal-knowledge-authority",
    "TargetField": "AgentDecisionRecords.ErrorCorrectionRoleAssignmentKey",
    "CanRead": true,
    "CanWrite": false,
    "MaskStrategy": "plain",
    "SemanticTypeIri": "urn:effortless:pko-extension#FieldGrant",
    "Name": "principal-knowledge-authority -&gt; AgentDecisionRecords.ErrorCorrectionRoleAssignmentKey",
    "FieldTable": "AgentDecisionRecords",
    "FieldName": "ErrorCorrectionRoleAssignmentKey",
    "FieldIsDerived": true,
    "IsWritableDerivedField": false,
    "IsMasked": false,
    "GrantKeyWhenReadable": "principal-knowledge-authority|AgentDecisionRecords"
   },
   {
    "FieldGrantId": "fg-knowledge-authority-AgentDecisionRecords.BoundaryViolationRoleAssignmentKey",
    "Principal": "principal-knowledge-authority",
    "TargetField": "AgentDecisionRecords.BoundaryViolationRoleAssignmentKey",
    "CanRead": true,
    "CanWrite": false,
    "MaskStrategy": "plain",
    "SemanticTypeIri": "urn:effortless:pko-extension#FieldGrant",
    "Name": "principal-knowledge-au</t>
  </si>
  <si>
    <t xml:space="preserve">thority -&gt; AgentDecisionRecords.BoundaryViolationRoleAssignmentKey",
    "FieldTable": "AgentDecisionRecords",
    "FieldName": "BoundaryViolationRoleAssignmentKey",
    "FieldIsDerived": true,
    "IsWritableDerivedField": false,
    "IsMasked": false,
    "GrantKeyWhenReadable": "principal-knowledge-authority|AgentDecisionRecords"
   },
   {
    "FieldGrantId": "fg-knowledge-authority-AgentDecisionRecords.SemanticTypeIri",
    "Principal": "principal-knowledge-authority",
    "TargetField": "AgentDecisionRecords.SemanticTypeIri",
    "CanRead": true,
    "CanWrite": false,
    "MaskStrategy": "plain",
    "SemanticTypeIri": "urn:effortless:pko-extension#FieldGrant",
    "Name": "principal-knowledge-authority -&gt; AgentDecisionRecords.SemanticTypeIri",
    "FieldTable": "AgentDecisionRecords",
    "FieldName": "SemanticTypeIri",
    "FieldIsDerived": false,
    "IsWritableDerivedField": false,
    "IsMasked": false,
    "GrantKeyWhenReadable": "principal-knowledge-authority|AgentDecisionRecords"
   },
   {
    "FieldGrantId": "fg-knowledge-authority-Agents.AgentId",
    "Principal": "principal-knowledge-authority",
    "TargetField": "Agents.AgentId",
    "CanRead": true,
    "CanWrite": false,
    "MaskStrategy": "plain",
    "SemanticTypeIri": "urn:effortless:pko-extension#FieldGrant",
    "Name": "principal-knowledge-authority -&gt; Agents.AgentId",
    "FieldTable": "Agents",
    "FieldName": "AgentId",
    "FieldIsDerived": false,
    "IsWritableDerivedField": false,
    "IsMasked": false,
    "GrantKeyWhenReadable": "principal-knowledge-authority|Agents"
   },
   {
    "FieldGrantId": "fg-knowledge-authority-Agents.Name",
    "Principal": "principal-knowledge-authority",
    "TargetField": "Agents.Name",
    "CanRead": true,
    "CanWrite": false,
    "MaskStrategy": "plain",
    "SemanticTypeIri": "urn:effortless:pko-extension#FieldGrant",
    "Name": "principal-knowledge-authority -&gt; Agents.Name",
    "FieldTable": "Agents",
    "FieldName": "Name",
    "FieldIsDerived": true,
    "IsWritableDerivedField": false,
    "IsMasked": false,
    "GrantKeyWhenReadable": "principal-knowledge-authority|Agents"
   },
   {
    "FieldGrantId": "fg-knowledge-authority-Agents.DisplayName",
    "Principal": "principal-knowledge-authority",
    "TargetField": "Agents.DisplayName",
    "CanRead": true,
    "CanWrite": false,
    "MaskStrategy": "plain",
    "SemanticTypeIri": "urn:effortless:pko-extension#FieldGrant",
    "Name": "principal-knowledge-authority -&gt; Agents.DisplayName",
    "FieldTable": "Agents",
    "FieldName": "DisplayName",
    "FieldIsDerived": false,
    "IsWritableDerivedField": false,
    "IsMasked": false,
    "GrantKeyWhenReadable": "principal-knowledge-authority|Agents"
   },
   {
    "FieldGrantId": "fg-knowledge-authority-Agents.AgentKind",
    "Principal": "principal-knowledge-authority",
    "TargetField": "Agents.AgentKind",
    "CanRead": true,
    "CanWrite": false,
    "MaskStrategy": "plain",
    "SemanticTypeIri": "urn:effortless:pko-extension#FieldGrant",
    "Name": "principal-knowledge-authority -&gt; Agents.AgentKind",
    "FieldTable": "Agents",
    "FieldName": "AgentKind",
    "FieldIsDerived": false,
    "IsWritableDerivedField": false,
    "IsMasked": false,
    "GrantKeyWhenReadable": "principal-knowledge-authority|Agents"
   },
   {
    "FieldGrantId": "fg-knowledge-authority-Agents.Organization",
    "Principal": "principal-knowledge-authority",
    "TargetField": "Agents.Organization",
    "CanRead": true,
    "CanWrite": false,
    "MaskStrategy": "plain",
    "SemanticTypeIri": "urn:effortless:pko-extension#FieldGrant",
    "Name": "principal-knowledge-authority -&gt; Agents.Organization",
    "FieldTable": "Agents",
    "FieldName": "Organization",
    "FieldIsDerived": false,
    "IsWritableDerivedField": false,
    "IsMasked": false,
    "GrantKeyWhenReadable": "principal-knowledge-authority|Agents"
   },
   {
    "FieldGrantId": "fg-knowledge-authority-Agents.ContactAddress",
    "Principal": "principal-knowledge-authority",
    "TargetField": "Agents.ContactAddress",
    "CanRead": true,
    "CanWrite": false,
    "MaskStrategy": "plain",
    "SemanticTypeIri": "urn:effortless:pko-extension#FieldGrant",
    "Name": "principal-knowledge-authority -&gt; Agents.ContactAddress",
    "FieldTable": "Agents",
    "FieldName": "ContactAddress",
    "FieldIsDerived": false,
    "IsWritableDerivedField": false,
    "IsMasked": false,
    "GrantKeyWhenReadable": "principal-knowledge-authority|Agents"
   },
   {
    "FieldGrantId": "fg-knowledge-authority-Agents.VersionOrEmploymentKey",
    "Principal": "principal-knowledge-authority",
    "TargetField": "Agents.VersionOrEmploymentKey",
    "CanRead": true,
    "CanWrite": false,
    "MaskStrategy": "plain",
    "SemanticTypeIri": "urn:effortless:pko-extension#FieldGrant",
    "Name": "principal-knowledge-authority -&gt; Agents.VersionOrEmploymentKey",
    "FieldTable": "Agents",
    "FieldName": "VersionOrEmploymentKey",
    "FieldIsDerived": false,
    "IsWritableDerivedField": false,
    "IsMasked": false,
    "GrantKeyWhenReadable": "principal-knowledge-authority|Agents"
   },
   {
    "FieldGrantId": "fg-knowledge-authority-Agents.CountOfCurrentRoleAssignments",
    "Principal": "principal-knowledge-authority",
    "TargetField": "Agents.CountOfCurrentRoleAssignments",
    "CanRead": true,
    "CanWrite": false,
    "MaskStrategy": "plain",
    "SemanticTypeIri": "urn:effortless:pko-extension#FieldGrant",
    "Name": "principal-knowledge-authority -&gt; Agents.CountOfCurrentRoleAssignments",
    "FieldTable": "Agents",
    "FieldName": "CountOfCurrentRoleAssignments",
    "FieldIsDerived": true,
    "IsWritableDerivedField": false,
    "IsMasked": false,
    "GrantKeyWhenReadable": "principal-knowledge-authority|Agents"
   },
   {
    "FieldGrantId": "fg-knowledge-authority-Agents.IsStillEngaged",
    "Principal": "principal-knowledge-authority",
    "TargetField": "Agents.IsStillEngaged",
    "CanRead": true,
    "CanWrite": false,
    "MaskStrategy": "plain",
    "SemanticTypeIri": "urn:effortless:pko-extension#FieldGrant",
    "Name": "principal-knowledge-authority -&gt; Agents.IsStillEngaged",
    "FieldTable": "Agents",
    "FieldName": "IsStillEngaged",
    "FieldIsDerived": true,
    "IsWritableDerivedField": false,
    "IsMasked": false,
    "GrantKeyWhenReadable": "principal-knowledge-authority|Agents"
   },
   {
    "FieldGrantId": "fg-knowledge-authority-Agents.DecisionCount",
    "Principal": "principal-knowledge-authority",
    "TargetField": "Agents.DecisionCount",
    "CanRead": true,
    "CanWrite": false,
    "MaskStrategy": "plain",
    "SemanticTypeIri": "urn:effortless:pko-extension#FieldGrant",
    "Name": "principal-knowledge-authority -&gt; Agents.DecisionCount",
    "FieldTable": "Agents",
    "FieldName": "DecisionCount",
    "FieldIsDerived": true,
    "IsWritableDerivedField": false,
    "IsMasked": false,
    "GrantKeyWhenReadable": "principal-knowledge-authority|Agents"
   },
   {
    "FieldGrantId": "fg-knowledge-authority-Agents.OverriddenDecisionCount",
    "Principal": "principal-knowledge-authority",
    "TargetField": "Agents.OverriddenDecisionCount",
    "CanRead": true,
    "CanWrite": false,
    "MaskStrategy": "plain",
    "SemanticTypeIri": "urn:effortless:pko-extension#FieldGrant",
    "Name": "principal-knowledge-authority -&gt; Agents.OverriddenDecisionCount",
    "FieldTable": "Agents",
    "FieldName": "OverriddenDecisionCount",
    "FieldIsDerived": true,
    "IsWritableDerivedField": false,
    "IsMasked": false,
    "GrantKeyWhenReadable": "principal-knowledge-authority|Agents"
   },
   {
    "FieldGrantId": "fg-knowledge-authority-Agents.OverrideRatePercent",
    "Principal": "principal-knowledge-authority",
    "TargetField": "Agents.OverrideRatePercent",
    "CanRead": true,
    "CanWrite": false,
    "MaskStrategy": "plain",
    "SemanticTypeIri": "urn:effortless:pko-extension#FieldGrant",
    "Name": "principal-knowledge-authority -&gt; Agents.OverrideRatePercent",
    "FieldTable": "Agents",
    "FieldName": "OverrideRatePercent",
    "FieldIsDerived": true,
    "IsWritableDerivedField": false,
    "IsMasked": false,
    "GrantKeyWhenReadable": "principal-knowledge-authority|Agents"
   },
   {
    "FieldGrantId": "fg-knowledge-authority-Agents.IsNonHuman",
    "Principal": "principal-knowledge-authority",
    "TargetField": "Agents.IsNonHuman",
    "CanRead": true,
    "CanWrite": false,
    "MaskStrategy": "plain",
    "SemanticTypeIri": "urn:effortless:pko-extension#FieldGrant",
    "Name": "principal-knowledge-authority -&gt; Agents.IsNonHuman",
    "FieldTable": "Agents",
    "FieldName": "IsNonHuman",
    "FieldIsDerived": true,
    "IsWritableDerivedField": false,
    "IsMasked": false,
    "GrantKeyWhenReadable": "principal-knowledge-authority|Agents"
   },
   {
    "FieldGrantId": "fg-knowledge-authority-Agents.BoundaryViolationCount",
    "Principal": "principal-knowledge-authority",
    "TargetField": "Agents.BoundaryViolationCount",
    "CanRead": true,
    "CanWrite": false,
    "MaskStrategy": "plain",
    "SemanticTypeIri": "urn:effortless:pko-extension#FieldGrant",
    "Name": "principal-knowledge-authority -&gt; Agents.BoundaryViolationCount",
    "FieldTable": "Agents",
    "FieldName": "BoundaryViolationCount",
    "FieldIsDerived": true,
    "IsWritableDerivedField": false,
    "IsMasked": false,
    "GrantKeyWhenReadable": "principal-knowledge-authority|Agents"
   },
   {
    "FieldGrantId": "fg-knowledge-authority-Agents.IsOperatingOutsideBoundary",
    "Principal": "principal-knowledge-authority",
    "TargetField": "Agents.IsOperatingOutsideBoundary",
    "CanRead": true,
    "CanWrite": false,
    "MaskStrategy": "plain",
    "SemanticTypeIri": "urn:effortless:pko-extension#FieldGrant",
    "Name": "principal-knowledge-authority -&gt; Agents.IsOperatingOutsideBoundary",
    "FieldTable": "Agents",
    "FieldName": "IsOperatingOutsideBoundary",
    "FieldIsDerived": true,
    "IsWritableDerivedField": false,
    "IsMasked": false,
    "GrantKeyWhenReadable": "principal-knowledge-authority|Agents"
   },
   {
    "FieldGrantId": "fg-knowledge-authority-Agents.DraftDecisionCount",
    "Principal": "principal-knowledge-authority",
    "TargetField": "Agents.DraftDecisionCount",
    "CanRead": true,
    "CanWrite": false,
    "MaskStrategy": "plain",
    "SemanticTypeIri": "urn:effortless:pko-extension#FieldGrant",
    "Name": "principal-knowledge-authority -&gt; Agents.DraftDecisionCount",
    "FieldTable": "Agents",
    "FieldName": "DraftDecisionCount",
    "FieldIsDerived": true,
    "IsWritableDerivedField": false,
    "IsMasked": false,
    "GrantKeyWhenReadable": "principal-knowledge-authority|Agents"
   },
   {
    "FieldGrantId": "fg-knowledge-authority-Agents.OverriddenDraftCount",
    "Principal": "principal-knowledge-authority",
    "TargetField": "Agents.OverriddenDraftCount",
    "CanRead": true,
    "CanWrite": false,
    "MaskStrategy": "plain",
    "SemanticTypeIri": "urn:effortless:pko-extension#FieldGrant",
    "Name": "principal-knowledge-authority -&gt; Agents.OverriddenDraftCount",
    "FieldTable": "Agents",
    "FieldName": "OverriddenDraftCount",
    "FieldIsDerived": true,
    "IsWritableDerivedField": false,
    "IsMasked": false,
    "GrantKeyWhenReadable": "principal-knowledge-authority|Agents"
   },
   {
    "FieldGrantId": "fg-knowledge-authority-Agents.DraftRewriteRatePercent",
    "Principal": "principal-knowledge-authority",
    "TargetField": "Agents.DraftRewriteRatePercent",
    "CanRead": true,
    "CanWrite": false,
    "MaskStrategy": "plain",
    "SemanticTypeIri": "urn:effortless:pko-extension#FieldGrant",
    "Name": "principal-knowledge-authority -&gt; Agents.DraftRewriteRatePercent",
    "FieldTable": "Agents",
    "FieldName": "DraftRewriteRatePercent",
    "FieldIsDerived": true,
    "IsWritableDerivedField": false,
    "IsMasked": false,
    "GrantKeyWhenReadable": "principal-knowledge-authority|Agents"
   },
   {
    "FieldGrantId": "fg-knowledge-authority-Agents.SemanticTypeIri",
    "Principal": "principal-knowledge-authority",
    "TargetField": "Agents.SemanticTypeIri",
    "CanRead": true,
    "CanWrite": false,
    "MaskStrategy": "plain",
    "SemanticTypeIri": "urn:effortless:pko-extension#FieldGrant",
    "Name": "principal-knowledge-authority -&gt; Agents.SemanticTypeIri",
    "FieldTable": "Agents",
    "FieldName": "SemanticTypeIri",
    "FieldIsDerived": false,
    "IsWritableDerivedField": false,
    "IsMasked": false,
    "GrantKeyWhenReadable": "principal-knowledge-authority|Agents"
   },
   {
    "FieldGrantId": "fg-knowledge-authority-AppNavGroups.AppNavGroupId",
    "Principal": "principal-knowledge-authority",
    "TargetField": "AppNavGroups.AppNavGroupId",
    "CanRead": true,
    "CanWrite": false,
    "MaskStrategy": "plain",
    "SemanticTypeIri": "urn:effortless:pko-extension#FieldGrant",
    "Name": "principal-knowledge-authority -&gt; AppNavGroups.AppNavGroupId",
    "FieldTable": "AppNavGroups",
    "FieldName": "AppNavGroupId",
    "FieldIsDerived": false,
    "IsWritableDerivedField": false,
    "IsMasked": false,
    "GrantKeyWhenReadable": "principal-knowledge-authority|AppNavGroups"
   },
   {
    "FieldGrantId": "fg-knowledge-authority-AppNavGroups.Name",
    "Principal": "principal-knowledge-authority",
    "TargetField": "AppNavGroups.Name",
    "CanRead": true,
    "CanWrite": false,
    "MaskStrategy": "plain",
    "SemanticTypeIri": "urn:effortless:pko-extension#FieldGrant",
    "Name": "principal-knowledge-authority -&gt; AppNavGroups.Name",
    "FieldTable": "AppNavGroups",
    "FieldName": "Name",
    "FieldIsDerived": true,
    "IsWritableDerivedField": false,
    "IsMasked": false,
    "GrantKeyWhenReadable": "principal-knowledge-authority|AppNavGroups"
   },
   {
    "FieldGrantId": "fg-knowledge-authority-AppNavGroups.GroupLabel",
    "Principal": "principal-knowledge-authority",
    "TargetField": "AppNavGroups.GroupLabel",
    "CanRead": true,
    "CanWrite": false,
    "MaskStrategy": "plain",
    "SemanticTypeIri": "urn:effortless:pko-extension#FieldGrant",
    "Name": "principal-knowledge-authority -&gt; AppNavGroups.GroupLabel",
    "FieldTable": "AppNavGroups",
    "FieldName": "GroupLabel",
    "FieldIsDerived": false,
    "IsWritableDerivedField": false,
    "IsMasked": false,
    "GrantKeyWhenReadable": "principal-knowledge-authority|AppNavGroups"
   },
   {
    "FieldGrantId": "fg-knowledge-authority-AppNavGroups.RouteCount",
    "Principal": "principal-knowledge-authority",
    "TargetField": "AppNavGroups.RouteCount",
    "CanRead": true,
    "CanWrite": false,
    "MaskStrategy": "plain",
    "SemanticTypeIri": "urn:effortless:pko-extension#FieldGrant",
    "Name": "principal-knowledge-authority -&gt; AppNavGroups.RouteCount",
    "FieldTable": "AppNavGroups",
    "FieldName": "RouteCount",
    "FieldIsDerived": true,
    "IsWritableDerivedField": false,
    "IsMasked": false,
    "GrantKeyWhenReadable": "principal-knowledge-authority|AppNavGroups"
   },
   {
    "FieldGrantId": "fg-knowledge-authority-AppNavGroups.SemanticTypeIri",
    "Principal": "principal-knowledge-authority",
    "TargetField": "AppNavGroups.SemanticTypeIri",
    "CanRead": true,
    "CanWrite": false,
    "MaskStrategy": "plain",
    "SemanticTypeIri": "urn:effortless:pko-extension#FieldGrant",
    "Name": "principal-knowledge-authority -&gt; AppNavGroups.SemanticTypeIri",
    "FieldTable": "AppNavGroups",
    "FieldName": "SemanticTypeIri",
    "FieldIsDerived": false,
    "IsWritableDerivedField": false,
    "IsMasked": false,
    "GrantKeyWhenReadable": "principal-knowledge-authority|AppNavGroups"
   },
   {
    "FieldGrantId": "fg-knowledge-authority-AppRoleProfiles.AppRoleProfileId",
    "Principal": "principal-knowledge-authority",
    "TargetField": "AppRoleProfiles.AppRoleProfileId",
    "CanRead": true,
    "CanWrite": false,
    "MaskStrategy": "plain",
    "SemanticTypeIri": "urn:effortless:pko-extension#FieldGrant",
    "Name": "principal-knowledge-authority -&gt; AppRoleProfiles.AppRoleProfileId",
    "FieldTable": "AppRoleProfiles",
    "FieldName": "AppRoleProfileId",
    "FieldIsDerived": false,
    "IsWritableDerivedField": false,
    "IsMasked": false,
    "GrantKeyWhenReadable": "principal-knowledge-authority|AppRoleProfiles"
   },
   {
    "FieldGrantId": "fg-knowledge-authority-AppRoleProfiles.Name",
    "Principal": "principal-knowledge-authority",
    "TargetField": "AppRoleProfiles.Name",
    "CanRead": true,
    "CanWrite": false,
    "MaskStrategy": "plain",
    "SemanticTypeIri": "urn:effortless:pko-extension#FieldGrant",
    "Name": "principal-knowledge-authority -&gt; AppRoleProfiles.Name",
    "FieldTable": "AppRoleProfiles",
    "FieldName": "Name",
    "FieldIsDerived": true,
    "IsWritableDerivedField": false,
    "IsMasked": false,
    "GrantKeyWhenReadable": "principal-knowledge-authority|AppRoleProfiles"
   },
   {
    "FieldGrantId": "fg-knowledge-authority-AppRoleProfiles.Role",
    "Principal": "principal-knowledge-authority",
    "TargetField": "AppRoleProfiles.Role",
    "CanRead": true,
    "CanWrite": false,
    "MaskStrategy": "plain",
    "SemanticTypeIri": "urn:effortless:pko-extension#FieldGrant",
    "Name": "principal-knowledge-authority -&gt; AppRoleProfiles.Role",
    "FieldTable": "AppRoleProfiles",
    "FieldName": "Role",
    "FieldIsDerived": false,
    "IsWritableDerivedField": false,
    "IsMasked": false,
    "GrantKeyWhenReadable": "principal-knowledge-authority|AppRoleProfiles"
   },
   {
    "FieldGrantId": "fg-knowledge-authority-AppRoleProfiles.DisplayLabel",
    "Principal": "principal-knowledge-authority",
    "TargetField": "AppRoleProfiles.DisplayLabel",
    "CanRead": true,
    "CanWrite": false,
    "MaskStrategy": "plain",
    "SemanticTypeIri": "urn:effortless:pko-extension#FieldGrant",
    "Name": "principal-knowledge-authority -&gt; AppRoleProfiles.DisplayLabel",
    "FieldTable": "AppRoleProfiles",
    "FieldName": "DisplayLabel",
    "FieldIsDerived": false,
    "IsWritableDerivedField": false,
    "IsMasked": false,
    "GrantKeyWhenReadable": "principal-knowledge-authority|AppRoleProfiles"
   },
   {
    "FieldGrantId": "fg-knowledge-authority-AppRoleProfiles.RoleKind",
    "Principal": "principal-knowledge-authority",
    "TargetField": "AppRoleProfiles.RoleKind",
    "CanRead": true,
    "CanWrite": false,
    "MaskStrategy": "plain",
    "SemanticTypeIri": "urn:effortless:pko-extension#FieldGrant",
    "Name": "principal-knowledge-authority -&gt; AppRoleProfiles.RoleKind",
    "FieldTable": "AppRoleProfiles",
    "FieldName": "RoleKind",
    "FieldIsDerived": false,
    "IsWritableDerivedField": false,
    "IsMasked": false,
    "GrantKeyWhenReadable": "principal-knowledge-authority|AppRoleProfiles"
   },
   {
    "FieldGrantId": "fg-knowledge-authority-AppRoleProfiles.AccentColor",
    "Principal": "principal-knowledge-authority",
    "TargetField": "AppRoleProfiles.AccentColor",
    "CanRead": true,
    "CanWrite": false,
    "MaskStrategy": "plain",
    "SemanticTypeIri": "urn:effortless:pko-extension#FieldGrant",
    "Name": "principal-knowledge-authority -&gt; AppRoleProfiles.AccentColor",
    "FieldTable": "AppRoleProfiles",
    "FieldName": "AccentColor",
    "FieldIsDerived": false,
    "IsWritableDerivedField": false,
    "IsMasked": false,
    "GrantKeyWhenReadable": "principal-knowledge-authority|AppRoleProfiles"
   },
   {
    "FieldGrantId": "fg-knowledge-authority-AppRoleProfiles.IconMark",
    "Principal": "principal-knowledge-authority",
    "TargetField": "AppRoleProfiles.IconMark",
    "CanRead": true,
    "CanWrite": false,
    "MaskStrategy": "plain",
    "SemanticTypeIri": "urn:effortless:pko-extension#FieldGrant",
    "Name": "principal-knowledge-authority -&gt; AppRoleProfiles.IconMark",
    "FieldTable": "AppRoleProfiles",
    "FieldName": "IconMark",
    "FieldIsDerived": false,
    "IsWritableDerivedField": false,
    "IsMasked": false,
    "GrantKeyWhenReadable": "principal-knowledge-authority|AppRoleProfiles"
   },
   {
    "FieldGrantId": "fg-knowledge-authority-AppRoleProfiles.IconPngBase64",
    "Principal": "principal-knowledge-authority",
    "TargetField": "AppRoleProfiles.IconPngBase64",
    "CanRead": true,
    "CanWrite": false,
    "MaskStrategy": "plain",
    "SemanticTypeIri": "urn:effortless:pko-extension#FieldGrant",
    "Name": "principal-knowledge-authority -&gt; AppRoleProfiles.IconPngBase64",
    "FieldTable": "AppRoleProfiles",
    "FieldName": "IconPngBase64",
    "FieldIsDerived": false,
    "IsWritableDerivedField": false,
    "IsMasked": false,
    "GrantKeyWhenReadable": "principal-knowledge-authority|AppRoleProfiles"
   },
   {
    "FieldGrantId": "fg-knowledge-authority-AppRoleProfiles.Pitch",
    "Principal": "principal-knowledge-authority",
    "TargetField": "AppRoleProfiles.Pitch",
    "CanRead": true,
    "CanWrite": false,
    "MaskStrategy": "plain",
    "SemanticTypeIri": "urn:effortless:pko-extension#FieldGrant",
    "Name": "principal-knowledge-authority -&gt; AppRoleProfiles.Pitch",
    "FieldTable": "AppRoleProfiles",
    "FieldName": "Pitch",
    "FieldIsDerived": false,
    "IsWritableDerivedField": false,
    "IsMasked": false,
    "GrantKeyWhenReadable": "principal-knowledge-authority|AppRoleProfiles"
   },
   {
    "FieldGrantId": "fg-knowledge-authority-AppRoleProfiles.SortOrder",
    "Principal": "principal-knowledge-authority",
    "TargetField": "AppRoleProfiles.SortOrder",
    "CanRead": true,
    "CanWrite": false,
    "MaskStrategy": "plain",
    "SemanticTypeIri": "urn:effortless:pko-extension#FieldGrant",
    "Name": "principal-knowledge-authority -&gt; AppRoleProfiles.SortOrder",
    "FieldTable": "AppRoleProfiles",
    "FieldName": "SortOrder",
    "FieldIsDerived": false,
    "IsWritableDerivedField": false,
    "IsMasked": false,
    "GrantKeyWhenReadable": "principal-knowledge-authority|AppRoleProfiles"
   },
   {
    "FieldGrantId": "fg-knowledge-authority-AppRoleProfiles.RouteCount",
    "Principal": "principal-knowledge-authority",
    "TargetField": "AppRoleProfiles.RouteCount",
    "CanRead": true,
    "CanWrite": false,
    "MaskStrategy": "plain",
    "SemanticTypeIri": "urn:effortless:pko-extension#FieldGrant",
    "Name": "principal-knowledge-authority -&gt; AppRoleProfiles.RouteCount",
    "FieldTable": "AppRoleProfiles",
    "FieldName": "RouteCount",
    "FieldIsDerived": true,
    "IsWritableDerivedField": false,
    "IsMasked": false,
    "GrantKeyWhenReadable": "principal-knowledge-authority|AppRoleProfiles"
   },
   {
    "FieldGrantId": "fg-knowledge-authority-AppRoleProfiles.SemanticTypeIri",
    "Principal": "principal-knowledge-authority",
    "TargetField": "AppRoleProfiles.SemanticTypeIri",
    "CanRead": true,
    "CanWrite": false,
    "MaskStrategy": "plain",
    "SemanticTypeIri": "urn:effortless:pko-extension#FieldGrant",
    "Name": "principal-knowledge-authority -&gt; AppRoleProfiles.SemanticTypeIri",
    "FieldTable": "AppRoleProfiles",
    "FieldName": "SemanticTypeIri",
    "FieldIsDerived": false,
    "IsWritableDerivedField": false,
    "IsMasked": false,
    "GrantKeyWhenReadable": "principal-knowledge-authority|AppRoleProfiles"
   },
   {
    "FieldGrantId": "fg-knowledge-authority-AppRouteQuestions.AppRouteQuestionId",
    "Principal": "principal-knowledge-authority",
    "TargetField": "AppRouteQuestions.AppRouteQuestionId",
    "CanRead": true,
    "CanWrite": false,
    "MaskStrategy": "plain",
    "SemanticTypeIri": "urn:effortless:pko-extension#FieldGrant",
    "Name": "principal-knowledge-authority -&gt; AppRouteQuestions.AppRouteQuestionId",
    "FieldTable": "AppRouteQuestions",
    "FieldName": "AppRouteQuestionId",
    "FieldIsDerived": false,
    "IsWritableDerivedField": false,
    "IsMasked": false,
    "GrantKeyWhenReadable": "principal-knowledge-authority|AppRouteQuestions"
   },
   {
    "FieldGrantId": "fg-knowledge-authority-AppRouteQuestions.Name",
    "Principal": "principal-knowledge-authority",
    "TargetField": "AppRouteQuestions.Name",
    "CanRead": true,
    "CanWrite": false,
    "MaskStrategy": "plain",
    "SemanticTypeIri": "urn:effortless:pko-extension#FieldGrant",
    "Name": "principal-knowledge-authority -&gt; AppRouteQuestions.Name",
    "FieldTable": "AppRouteQuestions",
    "FieldName": "Name",
    "FieldIsDerived": true,
    "IsWritableDerivedField": false,
    "IsMasked": false,
    "GrantKeyWhenReadable": "principal-knowledge-authority|AppRouteQuestions"
   },
   {
    "FieldGrantId": "fg-knowledge-authority-AppRouteQuestions.Route",
    "Principal": "principal-knowledge-authority",
    "TargetField": "AppRouteQuestions.Route",
    "CanRead": true,
    "CanWrite": false,
    "MaskStrategy": "plain",
    "SemanticTypeIri": "urn:effortless:pko-extension#FieldGrant",
    "Name": "principal-knowledge-authority -&gt; AppRouteQuestions.Route",
    "FieldTable": "AppRouteQuestions",
    "FieldName": "Route",
    "FieldIsDerived": false,
    "IsWritableDerivedField": false,
    "IsMasked": false,
    "GrantKeyWhenReadable": "principal-knowledge-authority|AppRouteQuestions"
   },
   {
    "FieldGrantId": "fg-knowledge-authority-AppRouteQuestions.Question",
    "Principal": "principal-knowledge-authority",
    "TargetField": "AppRouteQuestions.Question",
    "CanRead": true,
    "CanWrite": false,
    "MaskStrategy": "plain",
    "SemanticTypeIri": "urn:effortless:pko-extension#FieldGrant",
    "Name": "principal-knowledge-authority -&gt; AppRouteQuestions.Question",
    "FieldTable": "AppRouteQuestions",
    "FieldName": "Question",
    "FieldIsDerived": false,
    "IsWritableDerivedField": false,
    "IsMasked": false,
    "GrantKeyWhenReadable": "principal-knowledge-authority|AppRouteQuestions"
   },
   {
    "FieldGrantId": "fg-knowledge-authority-AppRouteQuestions.SemanticTypeIri",
    "Principal": "principal-knowledge-authority",
    "TargetField": "AppRouteQuestions.SemanticTypeIri",
    "CanRead": true,
    "CanWrite": false,
    "MaskStrategy": "plain",
    "SemanticTypeIri": "urn:effortless:pko-extension#FieldGrant",
    "Name": "principal-knowledge-authority -&gt; AppRouteQuestions.SemanticTypeIri",
    "FieldTable": "AppRouteQuestions",
    "FieldName": "SemanticTypeIri",
    "FieldIsDerived": false,
    "IsWritableDerivedField": false,
    "IsMasked": false,
    "GrantKeyWhenReadable": "principal-knowledge-authority|AppRouteQuestions"
   },
   {
    "FieldGrantId": "fg-knowledge-authority-AppRouteReferences.AppRouteReferenceId",
    "Principal": "principal-knowledge-authority",
    "TargetField": "AppRouteReferences.AppRouteReferenceId",
    "CanRead": true,
    "CanWrite": false,
    "MaskStrategy": "plain",
    "SemanticTypeIri": "urn:effortless:pko-extension#FieldGrant",
    "Name": "principal-knowledge-authority -&gt; AppRouteReferences.AppRouteReferenceId",
    "FieldTable": "AppRouteReferences",
    "FieldName": "AppRouteReferenceId",
    "FieldIsDerived": false,
    "IsWritableDerivedField": false,
    "IsMasked": false,
    "GrantKeyWhenReadable": "principal-knowledge-authority|AppRouteReferences"
   },
   {
    "FieldGrantId": "fg-knowledge-authority-AppRouteReferences.Name",
    "Principal": "principal-knowledge-authority",
    "TargetField": "AppRouteReferences.Name",
    "CanRead": true,
    "CanWrite": false,
    "MaskStrategy": "plain",
    "SemanticTypeIri": "urn:effortless:pko-extension#FieldGrant",
    "Name": "principal-knowledge-authority -&gt; AppRouteReferences.Name",
    "FieldTable": "AppRouteReferences",
    "FieldName": "Name",
    "FieldIsDerived": true,
    "IsWritableDerivedField": false,
    "IsMasked": false,
    "GrantKeyWhenReadable": "principal-knowledge-authority|AppRouteReferences"
   },
   {
    "FieldGrantId": "fg-knowledge-authority-AppRouteReferences.FromRoute",
    "Principal": "principal-knowledge-authority",
    "TargetField": "AppRouteReferences.FromRoute",
    "CanRead": true,
    "CanWrite": false,
    "MaskStrategy": "plain",
    "SemanticTypeIri": "urn:effortless:pko-extension#FieldGrant",
    "Name": "principal-knowledge-authority -&gt; AppRouteReferences.FromRoute",
    "FieldTable": "AppRouteReferences",
    "FieldName": "FromRoute",
    "FieldIsDerived": false,
    "IsWritableDerivedField": false,
    "IsMasked": false,
    "GrantKeyWhenReadable": "principal-knowledge-authority|AppRouteReferences"
   },
   {
    "FieldGrantId": "fg-knowledge-authority-AppRouteReferences.ToRoute",
    "Principal": "principal-knowledge-authority",
    "TargetField": "AppRouteReferences.ToRoute",
    "CanRead": true,
    "CanWrite": false,
    "MaskStrategy": "plain",
    "SemanticTypeIri": "urn:effortless:pko-extension#FieldGrant",
    "Name": "principal-knowledge-authority -&gt; AppRouteReferences.ToRoute",
    "FieldTable": "AppRouteReferences",
    "FieldName": "ToRoute",
    "FieldIsDerived": false,
    "IsWritableDerivedField": false,
    "IsMasked": false,
    "GrantKeyWhenReadable": "principal-knowledge-authority|AppRouteReferences"
   },
   {
    "FieldGrantId": "fg-knowledge-authority-AppRouteReferences.SemanticTypeIri",
    "Principal": "principal-knowledge-authority",
    "TargetField": "AppRouteReferences.SemanticTypeIri",
    "CanRead": true,
    "CanWrite": false,
    "MaskStrategy": "plain",
    "SemanticTypeIri": "urn:effortless:pko-extension#FieldGrant",
    "Name": "principal-knowledge-authority -&gt; AppRouteReferences.SemanticTypeIri",
    "FieldTable": "AppRouteReferences",
    "FieldName": "SemanticTypeIri",
    "FieldIsDerived": false,
    "IsWritableDerivedField": false,
    "IsMasked": false,
    "GrantKeyWhenReadable": "principal-knowledge-authority|AppRouteReferences"
   },
   {
    "FieldGrantId": "fg-knowledge-authority-AppRoutes.AppRouteId",
    "Principal": "principal-knowledge-authority",
    "TargetField": "AppRoutes.AppRouteId",
    "CanRead": true,
    "CanWrite": false,
    "MaskStrategy": "plain",
    "SemanticTypeIri": "urn:effortless:pko-extension#FieldGrant",
    "Name": "principal-knowledge-authority -&gt; AppRoutes.AppRouteId",
    "FieldTable": "AppRoutes",
    "FieldName": "AppRouteId",
    "FieldIsDerived": false,
    "IsWritableDerivedField": false,
    "IsMasked": false,
    "GrantKeyWhenReadable": "principal-knowledge-authority|AppRoutes"
   },
   {
    "FieldGrantId": "fg-knowledge-authority-AppRoutes.Name",
    "Principal": "principal-knowledge-authority",
    "TargetField": "AppRoutes.Name",
    "CanRead": true,
    "CanWrite": false,
    "MaskStrategy": "plain",
    "SemanticTypeIri": "urn:effortless:pko-extension#FieldGrant",
    "Name": "principal-knowledge-authority -&gt; AppRoutes.Name",
    "FieldTable": "AppRoutes",
    "FieldName": "Name",
    "FieldIsDerived": true,
    "IsWritableDerivedField": false,
    "IsMasked": false,
    "GrantKeyWhenReadable": "principal-knowledge-authority|AppRoutes"
   },
   {
    "FieldGrantId": "fg-knowledge-authority-AppRoutes.RoutePath",
    "Principal": "principal-knowledge-authority",
    "TargetField": "AppRoutes.RoutePath",
    "CanRead": true,
    "CanWrite": false,
    "MaskStrategy": "plain",
    "SemanticTypeIri": "urn:effortless:pko-extension#FieldGrant",
    "Name": "principal-knowledge-authority -&gt; AppRoutes.RoutePath",
    "FieldTable": "AppRoutes",
    "FieldName": "RoutePath",
    "FieldIsDerived": false,
    "IsWritableDerivedField": false,
    "IsMasked": false,
    "GrantKeyWhenReadable": "principal-knowledge-authority|AppRoutes"
   },
   {
    "FieldGrantId": "fg-knowledge-authority-AppRoutes.RouteName",
    "Principal": "principal-knowledge-authority",
    "TargetField": "AppRoutes.RouteName",
    "CanRead": true,
    "CanWrite": false,
    "MaskStrategy": "plain",
    "SemanticTypeIri": "urn:effortless:pko-extension#FieldGrant",
    "Name": "principal-knowledge-authority -&gt; AppRoutes.RouteName",
    "FieldTable": "AppRoutes",
    "FieldName": "RouteName",
    "FieldIsDerived": false,
    "IsWritableDerivedField": false,
    "IsMasked": false,
    "GrantKeyWhenReadable": "principal-knowledge-authority|AppRoutes"
   },
   {
    "FieldGrantId": "fg-knowledge-authority-AppRoutes.Surface",
    "Principal": "principal-knowledge-authority",
    "TargetField": "AppRoutes.Surface",
    "CanRead": true,
    "CanWrite": false,
    "MaskStrategy": "plain",
    "SemanticTypeIri": "urn:effortless:pko-extension#FieldGrant",
    "Name": "principal-knowledge-authority -&gt; AppRoutes.Surface",
    "FieldTable": "AppRoutes",
    "FieldName": "Surface",
    "FieldIsDerived": false,
    "IsWritableDerivedField": false,
    "IsMasked": false,
    "GrantKeyWhenReadable": "principal-knowledge-authority|AppRoutes"
   },
   {
    "FieldGrantId": "fg-knowledge-authority-AppRoutes.OwningRole",
    "Principal": "principal-knowledge-authority",
    "TargetField": "AppRoutes</t>
  </si>
  <si>
    <t xml:space="preserve">.OwningRole",
    "CanRead": true,
    "CanWrite": false,
    "MaskStrategy": "plain",
    "SemanticTypeIri": "urn:effortless:pko-extension#FieldGrant",
    "Name": "principal-knowledge-authority -&gt; AppRoutes.OwningRole",
    "FieldTable": "AppRoutes",
    "FieldName": "OwningRole",
    "FieldIsDerived": false,
    "IsWritableDerivedField": false,
    "IsMasked": false,
    "GrantKeyWhenReadable": "principal-knowledge-authority|AppRoutes"
   },
   {
    "FieldGrantId": "fg-knowledge-authority-AppRoutes.NavGroup",
    "Principal": "principal-knowledge-authority",
    "TargetField": "AppRoutes.NavGroup",
    "CanRead": true,
    "CanWrite": false,
    "MaskStrategy": "plain",
    "SemanticTypeIri": "urn:effortless:pko-extension#FieldGrant",
    "Name": "principal-knowledge-authority -&gt; AppRoutes.NavGroup",
    "FieldTable": "AppRoutes",
    "FieldName": "NavGroup",
    "FieldIsDerived": false,
    "IsWritableDerivedField": false,
    "IsMasked": false,
    "GrantKeyWhenReadable": "principal-knowledge-authority|AppRoutes"
   },
   {
    "FieldGrantId": "fg-knowledge-authority-AppRoutes.NavOrder",
    "Principal": "principal-knowledge-authority",
    "TargetField": "AppRoutes.NavOrder",
    "CanRead": true,
    "CanWrite": false,
    "MaskStrategy": "plain",
    "SemanticTypeIri": "urn:effortless:pko-extension#FieldGrant",
    "Name": "principal-knowledge-authority -&gt; AppRoutes.NavOrder",
    "FieldTable": "AppRoutes",
    "FieldName": "NavOrder",
    "FieldIsDerived": false,
    "IsWritableDerivedField": false,
    "IsMasked": false,
    "GrantKeyWhenReadable": "principal-knowledge-authority|AppRoutes"
   },
   {
    "FieldGrantId": "fg-knowledge-authority-AppRoutes.RouteKind",
    "Principal": "principal-knowledge-authority",
    "TargetField": "AppRoutes.RouteKind",
    "CanRead": true,
    "CanWrite": false,
    "MaskStrategy": "plain",
    "SemanticTypeIri": "urn:effortless:pko-extension#FieldGrant",
    "Name": "principal-knowledge-authority -&gt; AppRoutes.RouteKind",
    "FieldTable": "AppRoutes",
    "FieldName": "RouteKind",
    "FieldIsDerived": false,
    "IsWritableDerivedField": false,
    "IsMasked": false,
    "GrantKeyWhenReadable": "principal-knowledge-authority|AppRoutes"
   },
   {
    "FieldGrantId": "fg-knowledge-authority-AppRoutes.Purpose",
    "Principal": "principal-knowledge-authority",
    "TargetField": "AppRoutes.Purpose",
    "CanRead": true,
    "CanWrite": false,
    "MaskStrategy": "plain",
    "SemanticTypeIri": "urn:effortless:pko-extension#FieldGrant",
    "Name": "principal-knowledge-authority -&gt; AppRoutes.Purpose",
    "FieldTable": "AppRoutes",
    "FieldName": "Purpose",
    "FieldIsDerived": false,
    "IsWritableDerivedField": false,
    "IsMasked": false,
    "GrantKeyWhenReadable": "principal-knowledge-authority|AppRoutes"
   },
   {
    "FieldGrantId": "fg-knowledge-authority-AppRoutes.LayoutHints",
    "Principal": "principal-knowledge-authority",
    "TargetField": "AppRoutes.LayoutHints",
    "CanRead": true,
    "CanWrite": false,
    "MaskStrategy": "plain",
    "SemanticTypeIri": "urn:effortless:pko-extension#FieldGrant",
    "Name": "principal-knowledge-authority -&gt; AppRoutes.LayoutHints",
    "FieldTable": "AppRoutes",
    "FieldName": "LayoutHints",
    "FieldIsDerived": false,
    "IsWritableDerivedField": false,
    "IsMasked": false,
    "GrantKeyWhenReadable": "principal-knowledge-authority|AppRoutes"
   },
   {
    "FieldGrantId": "fg-knowledge-authority-AppRoutes.IsInNav",
    "Principal": "principal-knowledge-authority",
    "TargetField": "AppRoutes.IsInNav",
    "CanRead": true,
    "CanWrite": false,
    "MaskStrategy": "plain",
    "SemanticTypeIri": "urn:effortless:pko-extension#FieldGrant",
    "Name": "principal-knowledge-authority -&gt; AppRoutes.IsInNav",
    "FieldTable": "AppRoutes",
    "FieldName": "IsInNav",
    "FieldIsDerived": true,
    "IsWritableDerivedField": false,
    "IsMasked": false,
    "GrantKeyWhenReadable": "principal-knowledge-authority|AppRoutes"
   },
   {
    "FieldGrantId": "fg-knowledge-authority-AppRoutes.IsShared",
    "Principal": "principal-knowledge-authority",
    "TargetField": "AppRoutes.IsShared",
    "CanRead": true,
    "CanWrite": false,
    "MaskStrategy": "plain",
    "SemanticTypeIri": "urn:effortless:pko-extension#FieldGrant",
    "Name": "principal-knowledge-authority -&gt; AppRoutes.IsShared",
    "FieldTable": "AppRoutes",
    "FieldName": "IsShared",
    "FieldIsDerived": true,
    "IsWritableDerivedField": false,
    "IsMasked": false,
    "GrantKeyWhenReadable": "principal-knowledge-authority|AppRoutes"
   },
   {
    "FieldGrantId": "fg-knowledge-authority-AppRoutes.IsMaintainer",
    "Principal": "principal-knowledge-authority",
    "TargetField": "AppRoutes.IsMaintainer",
    "CanRead": true,
    "CanWrite": false,
    "MaskStrategy": "plain",
    "SemanticTypeIri": "urn:effortless:pko-extension#FieldGrant",
    "Name": "principal-knowledge-authority -&gt; AppRoutes.IsMaintainer",
    "FieldTable": "AppRoutes",
    "FieldName": "IsMaintainer",
    "FieldIsDerived": true,
    "IsWritableDerivedField": false,
    "IsMasked": false,
    "GrantKeyWhenReadable": "principal-knowledge-authority|AppRoutes"
   },
   {
    "FieldGrantId": "fg-knowledge-authority-AppRoutes.QuestionCount",
    "Principal": "principal-knowledge-authority",
    "TargetField": "AppRoutes.QuestionCount",
    "CanRead": true,
    "CanWrite": false,
    "MaskStrategy": "plain",
    "SemanticTypeIri": "urn:effortless:pko-extension#FieldGrant",
    "Name": "principal-knowledge-authority -&gt; AppRoutes.QuestionCount",
    "FieldTable": "AppRoutes",
    "FieldName": "QuestionCount",
    "FieldIsDerived": true,
    "IsWritableDerivedField": false,
    "IsMasked": false,
    "GrantKeyWhenReadable": "principal-knowledge-authority|AppRoutes"
   },
   {
    "FieldGrantId": "fg-knowledge-authority-AppRoutes.ReferenceCount",
    "Principal": "principal-knowledge-authority",
    "TargetField": "AppRoutes.ReferenceCount",
    "CanRead": true,
    "CanWrite": false,
    "MaskStrategy": "plain",
    "SemanticTypeIri": "urn:effortless:pko-extension#FieldGrant",
    "Name": "principal-knowledge-authority -&gt; AppRoutes.ReferenceCount",
    "FieldTable": "AppRoutes",
    "FieldName": "ReferenceCount",
    "FieldIsDerived": true,
    "IsWritableDerivedField": false,
    "IsMasked": false,
    "GrantKeyWhenReadable": "principal-knowledge-authority|AppRoutes"
   },
   {
    "FieldGrantId": "fg-knowledge-authority-AppRoutes.AnswersNoQuestion",
    "Principal": "principal-knowledge-authority",
    "TargetField": "AppRoutes.AnswersNoQuestion",
    "CanRead": true,
    "CanWrite": false,
    "MaskStrategy": "plain",
    "SemanticTypeIri": "urn:effortless:pko-extension#FieldGrant",
    "Name": "principal-knowledge-authority -&gt; AppRoutes.AnswersNoQuestion",
    "FieldTable": "AppRoutes",
    "FieldName": "AnswersNoQuestion",
    "FieldIsDerived": true,
    "IsWritableDerivedField": false,
    "IsMasked": false,
    "GrantKeyWhenReadable": "principal-knowledge-authority|AppRoutes"
   },
   {
    "FieldGrantId": "fg-knowledge-authority-AppRoutes.SemanticTypeIri",
    "Principal": "principal-knowledge-authority",
    "TargetField": "AppRoutes.SemanticTypeIri",
    "CanRead": true,
    "CanWrite": false,
    "MaskStrategy": "plain",
    "SemanticTypeIri": "urn:effortless:pko-extension#FieldGrant",
    "Name": "principal-knowledge-authority -&gt; AppRoutes.SemanticTypeIri",
    "FieldTable": "AppRoutes",
    "FieldName": "SemanticTypeIri",
    "FieldIsDerived": false,
    "IsWritableDerivedField": false,
    "IsMasked": false,
    "GrantKeyWhenReadable": "principal-knowledge-authority|AppRoutes"
   },
   {
    "FieldGrantId": "fg-knowledge-authority-Attestations.AttestationId",
    "Principal": "principal-knowledge-authority",
    "TargetField": "Attestations.AttestationId",
    "CanRead": true,
    "CanWrite": false,
    "MaskStrategy": "plain",
    "SemanticTypeIri": "urn:effortless:pko-extension#FieldGrant",
    "Name": "principal-knowledge-authority -&gt; Attestations.AttestationId",
    "FieldTable": "Attestations",
    "FieldName": "AttestationId",
    "FieldIsDerived": false,
    "IsWritableDerivedField": false,
    "IsMasked": false,
    "GrantKeyWhenReadable": "principal-knowledge-authority|Attestations"
   },
   {
    "FieldGrantId": "fg-knowledge-authority-Attestations.Name",
    "Principal": "principal-knowledge-authority",
    "TargetField": "Attestations.Name",
    "CanRead": true,
    "CanWrite": false,
    "MaskStrategy": "plain",
    "SemanticTypeIri": "urn:effortless:pko-extension#FieldGrant",
    "Name": "principal-knowledge-authority -&gt; Attestations.Name",
    "FieldTable": "Attestations",
    "FieldName": "Name",
    "FieldIsDerived": true,
    "IsWritableDerivedField": false,
    "IsMasked": false,
    "GrantKeyWhenReadable": "principal-knowledge-authority|Attestations"
   },
   {
    "FieldGrantId": "fg-knowledge-authority-Attestations.ProcedureExecution",
    "Principal": "principal-knowledge-authority",
    "TargetField": "Attestations.ProcedureExecution",
    "CanRead": true,
    "CanWrite": false,
    "MaskStrategy": "plain",
    "SemanticTypeIri": "urn:effortless:pko-extension#FieldGrant",
    "Name": "principal-knowledge-authority -&gt; Attestations.ProcedureExecution",
    "FieldTable": "Attestations",
    "FieldName": "ProcedureExecution",
    "FieldIsDerived": false,
    "IsWritableDerivedField": false,
    "IsMasked": false,
    "GrantKeyWhenReadable": "principal-knowledge-authority|Attestations"
   },
   {
    "FieldGrantId": "fg-knowledge-authority-Attestations.SignedByAgent",
    "Principal": "principal-knowledge-authority",
    "TargetField": "Attestations.SignedByAgent",
    "CanRead": true,
    "CanWrite": false,
    "MaskStrategy": "plain",
    "SemanticTypeIri": "urn:effortless:pko-extension#FieldGrant",
    "Name": "principal-knowledge-authority -&gt; Attestations.SignedByAgent",
    "FieldTable": "Attestations",
    "FieldName": "SignedByAgent",
    "FieldIsDerived": false,
    "IsWritableDerivedField": false,
    "IsMasked": false,
    "GrantKeyWhenReadable": "principal-knowledge-authority|Attestations"
   },
   {
    "FieldGrantId": "fg-knowledge-authority-Attestations.SignedAt",
    "Principal": "principal-knowledge-authority",
    "TargetField": "Attestations.SignedAt",
    "CanRead": true,
    "CanWrite": false,
    "MaskStrategy": "plain",
    "SemanticTypeIri": "urn:effortless:pko-extension#FieldGrant",
    "Name": "principal-knowledge-authority -&gt; Attestations.SignedAt",
    "FieldTable": "Attestations",
    "FieldName": "SignedAt",
    "FieldIsDerived": false,
    "IsWritableDerivedField": false,
    "IsMasked": false,
    "GrantKeyWhenReadable": "principal-knowledge-authority|Attestations"
   },
   {
    "FieldGrantId": "fg-knowledge-authority-Attestations.AssuranceGradeAtSigning",
    "Principal": "principal-knowledge-authority",
    "TargetField": "Attestations.AssuranceGradeAtSigning",
    "CanRead": true,
    "CanWrite": false,
    "MaskStrategy": "plain",
    "SemanticTypeIri": "urn:effortless:pko-extension#FieldGrant",
    "Name": "principal-knowledge-authority -&gt; Attestations.AssuranceGradeAtSigning",
    "FieldTable": "Attestations",
    "FieldName": "AssuranceGradeAtSigning",
    "FieldIsDerived": false,
    "IsWritableDerivedField": false,
    "IsMasked": false,
    "GrantKeyWhenReadable": "principal-knowledge-authority|Attestations"
   },
   {
    "FieldGrantId": "fg-knowledge-authority-Attestations.VersionWasFitAtSigning",
    "Principal": "principal-knowledge-authority",
    "TargetField": "Attestations.VersionWasFitAtSigning",
    "CanRead": true,
    "CanWrite": false,
    "MaskStrategy": "plain",
    "SemanticTypeIri": "urn:effortless:pko-extension#FieldGrant",
    "Name": "principal-knowledge-authority -&gt; Attestations.VersionWasFitAtSigning",
    "FieldTable": "Attestations",
    "FieldName": "VersionWasFitAtSigning",
    "FieldIsDerived": false,
    "IsWritableDerivedField": false,
    "IsMasked": false,
    "GrantKeyWhenReadable": "principal-knowledge-authority|Attestations"
   },
   {
    "FieldGrantId": "fg-knowledge-authority-Attestations.VersionIsFitNow",
    "Principal": "principal-knowledge-authority",
    "TargetField": "Attestations.VersionIsFitNow",
    "CanRead": true,
    "CanWrite": false,
    "MaskStrategy": "plain",
    "SemanticTypeIri": "urn:effortless:pko-extension#FieldGrant",
    "Name": "principal-knowledge-authority -&gt; Attestations.VersionIsFitNow",
    "FieldTable": "Attestations",
    "FieldName": "VersionIsFitNow",
    "FieldIsDerived": true,
    "IsWritableDerivedField": false,
    "IsMasked": false,
    "GrantKeyWhenReadable": "principal-knowledge-authority|Attestations"
   },
   {
    "FieldGrantId": "fg-knowledge-authority-Attestations.FitnessVerdictHasDrifted",
    "Principal": "principal-knowledge-authority",
    "TargetField": "Attestations.FitnessVerdictHasDrifted",
    "CanRead": true,
    "CanWrite": false,
    "MaskStrategy": "plain",
    "SemanticTypeIri": "urn:effortless:pko-extension#FieldGrant",
    "Name": "principal-knowledge-authority -&gt; Attestations.FitnessVerdictHasDrifted",
    "FieldTable": "Attestations",
    "FieldName": "FitnessVerdictHasDrifted",
    "FieldIsDerived": true,
    "IsWritableDerivedField": false,
    "IsMasked": false,
    "GrantKeyWhenReadable": "principal-knowledge-authority|Attestations"
   },
   {
    "FieldGrantId": "fg-knowledge-authority-Attestations.AssuranceGradeNow",
    "Principal": "principal-knowledge-authority",
    "TargetField": "Attestations.AssuranceGradeNow",
    "CanRead": true,
    "CanWrite": false,
    "MaskStrategy": "plain",
    "SemanticTypeIri": "urn:effortless:pko-extension#FieldGrant",
    "Name": "principal-knowledge-authority -&gt; Attestations.AssuranceGradeNow",
    "FieldTable": "Attestations",
    "FieldName": "AssuranceGradeNow",
    "FieldIsDerived": true,
    "IsWritableDerivedField": false,
    "IsMasked": false,
    "GrantKeyWhenReadable": "principal-knowledge-authority|Attestations"
   },
   {
    "FieldGrantId": "fg-knowledge-authority-Attestations.AssuranceGradeHasDrifted",
    "Principal": "principal-knowledge-authority",
    "TargetField": "Attestations.AssuranceGradeHasDrifted",
    "CanRead": true,
    "CanWrite": false,
    "MaskStrategy": "plain",
    "SemanticTypeIri": "urn:effortless:pko-extension#FieldGrant",
    "Name": "principal-knowledge-authority -&gt; Attestations.AssuranceGradeHasDrifted",
    "FieldTable": "Attestations",
    "FieldName": "AssuranceGradeHasDrifted",
    "FieldIsDerived": true,
    "IsWritableDerivedField": false,
    "IsMasked": false,
    "GrantKeyWhenReadable": "principal-knowledge-authority|Attestations"
   },
   {
    "FieldGrantId": "fg-knowledge-authority-Attestations.WouldNotSurviveRestatement",
    "Principal": "principal-knowledge-authority",
    "TargetField": "Attestations.WouldNotSurviveRestatement",
    "CanRead": true,
    "CanWrite": false,
    "MaskStrategy": "plain",
    "SemanticTypeIri": "urn:effortless:pko-extension#FieldGrant",
    "Name": "principal-knowledge-authority -&gt; Attestations.WouldNotSurviveRestatement",
    "FieldTable": "Attestations",
    "FieldName": "WouldNotSurviveRestatement",
    "FieldIsDerived": true,
    "IsWritableDerivedField": false,
    "IsMasked": false,
    "GrantKeyWhenReadable": "principal-knowledge-authority|Attestations"
   },
   {
    "FieldGrantId": "fg-knowledge-authority-AuthorityBoundaries.AuthorityBoundaryId",
    "Principal": "principal-knowledge-authority",
    "TargetField": "AuthorityBoundaries.AuthorityBoundaryId",
    "CanRead": true,
    "CanWrite": false,
    "MaskStrategy": "plain",
    "SemanticTypeIri": "urn:effortless:pko-extension#FieldGrant",
    "Name": "principal-knowledge-authority -&gt; AuthorityBoundaries.AuthorityBoundaryId",
    "FieldTable": "AuthorityBoundaries",
    "FieldName": "AuthorityBoundaryId",
    "FieldIsDerived": false,
    "IsWritableDerivedField": false,
    "IsMasked": false,
    "GrantKeyWhenReadable": "principal-knowledge-authority|AuthorityBoundaries"
   },
   {
    "FieldGrantId": "fg-knowledge-authority-AuthorityBoundaries.Name",
    "Principal": "principal-knowledge-authority",
    "TargetField": "AuthorityBoundaries.Name",
    "CanRead": true,
    "CanWrite": false,
    "MaskStrategy": "plain",
    "SemanticTypeIri": "urn:effortless:pko-extension#FieldGrant",
    "Name": "principal-knowledge-authority -&gt; AuthorityBoundaries.Name",
    "FieldTable": "AuthorityBoundaries",
    "FieldName": "Name",
    "FieldIsDerived": true,
    "IsWritableDerivedField": false,
    "IsMasked": false,
    "GrantKeyWhenReadable": "principal-knowledge-authority|AuthorityBoundaries"
   },
   {
    "FieldGrantId": "fg-knowledge-authority-AuthorityBoundaries.Step",
    "Principal": "principal-knowledge-authority",
    "TargetField": "AuthorityBoundaries.Step",
    "CanRead": true,
    "CanWrite": false,
    "MaskStrategy": "plain",
    "SemanticTypeIri": "urn:effortless:pko-extension#FieldGrant",
    "Name": "principal-knowledge-authority -&gt; AuthorityBoundaries.Step",
    "FieldTable": "AuthorityBoundaries",
    "FieldName": "Step",
    "FieldIsDerived": false,
    "IsWritableDerivedField": false,
    "IsMasked": false,
    "GrantKeyWhenReadable": "principal-knowledge-authority|AuthorityBoundaries"
   },
   {
    "FieldGrantId": "fg-knowledge-authority-AuthorityBoundaries.ForbiddenAgentKind",
    "Principal": "principal-knowledge-authority",
    "TargetField": "AuthorityBoundaries.ForbiddenAgentKind",
    "CanRead": true,
    "CanWrite": false,
    "MaskStrategy": "plain",
    "SemanticTypeIri": "urn:effortless:pko-extension#FieldGrant",
    "Name": "principal-knowledge-authority -&gt; AuthorityBoundaries.ForbiddenAgentKind",
    "FieldTable": "AuthorityBoundaries",
    "FieldName": "ForbiddenAgentKind",
    "FieldIsDerived": false,
    "IsWritableDerivedField": false,
    "IsMasked": false,
    "GrantKeyWhenReadable": "principal-knowledge-authority|AuthorityBoundaries"
   },
   {
    "FieldGrantId": "fg-knowledge-authority-AuthorityBoundaries.ForbiddenDecisionKind",
    "Principal": "principal-knowledge-authority",
    "TargetField": "AuthorityBoundaries.ForbiddenDecisionKind",
    "CanRead": true,
    "CanWrite": false,
    "MaskStrategy": "plain",
    "SemanticTypeIri": "urn:effortless:pko-extension#FieldGrant",
    "Name": "principal-knowledge-authority -&gt; AuthorityBoundaries.ForbiddenDecisionKind",
    "FieldTable": "AuthorityBoundaries",
    "FieldName": "ForbiddenDecisionKind",
    "FieldIsDerived": false,
    "IsWritableDerivedField": false,
    "IsMasked": false,
    "GrantKeyWhenReadable": "principal-knowledge-authority|AuthorityBoundaries"
   },
   {
    "FieldGrantId": "fg-knowledge-authority-AuthorityBoundaries.RatifiedByKnowledgeFragment",
    "Principal": "principal-knowledge-authority",
    "TargetField": "AuthorityBoundaries.RatifiedByKnowledgeFragment",
    "CanRead": true,
    "CanWrite": false,
    "MaskStrategy": "plain",
    "SemanticTypeIri": "urn:effortless:pko-extension#FieldGrant",
    "Name": "principal-knowledge-authority -&gt; AuthorityBoundaries.RatifiedByKnowledgeFragment",
    "FieldTable": "AuthorityBoundaries",
    "FieldName": "RatifiedByKnowledgeFragment",
    "FieldIsDerived": false,
    "IsWritableDerivedField": false,
    "IsMasked": false,
    "GrantKeyWhenReadable": "principal-knowledge-authority|AuthorityBoundaries"
   },
   {
    "FieldGrantId": "fg-knowledge-authority-AuthorityBoundaries.EnforcingRequirement",
    "Principal": "principal-knowledge-authority",
    "TargetField": "AuthorityBoundaries.EnforcingRequirement",
    "CanRead": true,
    "CanWrite": false,
    "MaskStrategy": "plain",
    "SemanticTypeIri": "urn:effortless:pko-extension#FieldGrant",
    "Name": "principal-knowledge-authority -&gt; AuthorityBoundaries.EnforcingRequirement",
    "FieldTable": "AuthorityBoundaries",
    "FieldName": "EnforcingRequirement",
    "FieldIsDerived": false,
    "IsWritableDerivedField": false,
    "IsMasked": false,
    "GrantKeyWhenReadable": "principal-knowledge-authority|AuthorityBoundaries"
   },
   {
    "FieldGrantId": "fg-knowledge-authority-AuthorityBoundaries.AuthorityRole",
    "Principal": "principal-knowledge-authority",
    "TargetField": "AuthorityBoundaries.AuthorityRole",
    "CanRead": true,
    "CanWrite": false,
    "MaskStrategy": "plain",
    "SemanticTypeIri": "urn:effortless:pko-extension#FieldGrant",
    "Name": "principal-knowledge-authority -&gt; AuthorityBoundaries.AuthorityRole",
    "FieldTable": "AuthorityBoundaries",
    "FieldName": "AuthorityRole",
    "FieldIsDerived": false,
    "IsWritableDerivedField": false,
    "IsMasked": false,
    "GrantKeyWhenReadable": "principal-knowledge-authority|AuthorityBoundaries"
   },
   {
    "FieldGrantId": "fg-knowledge-authority-AuthorityBoundaries.ValidFrom",
    "Principal": "principal-knowledge-authority",
    "TargetField": "AuthorityBoundaries.ValidFrom",
    "CanRead": true,
    "CanWrite": false,
    "MaskStrategy": "plain",
    "SemanticTypeIri": "urn:effortless:pko-extension#FieldGrant",
    "Name": "principal-knowledge-authority -&gt; AuthorityBoundaries.ValidFrom",
    "FieldTable": "AuthorityBoundaries",
    "FieldName": "ValidFrom",
    "FieldIsDerived": false,
    "IsWritableDerivedField": false,
    "IsMasked": false,
    "GrantKeyWhenReadable": "principal-knowledge-authority|AuthorityBoundaries"
   },
   {
    "FieldGrantId": "fg-knowledge-authority-AuthorityBoundaries.ValidTo",
    "Principal": "principal-knowledge-authority",
    "TargetField": "AuthorityBoundaries.ValidTo",
    "CanRead": true,
    "CanWrite": false,
    "MaskStrategy": "plain",
    "SemanticTypeIri": "urn:effortless:pko-extension#FieldGrant",
    "Name": "principal-knowledge-authority -&gt; AuthorityBoundaries.ValidTo",
    "FieldTable": "AuthorityBoundaries",
    "FieldName": "ValidTo",
    "FieldIsDerived": false,
    "IsWritableDerivedField": false,
    "IsMasked": false,
    "GrantKeyWhenReadable": "principal-knowledge-authority|AuthorityBoundaries"
   },
   {
    "FieldGrantId": "fg-knowledge-authority-AuthorityBoundaries.Status",
    "Principal": "principal-knowledge-authority",
    "TargetField": "AuthorityBoundaries.Status",
    "CanRead": true,
    "CanWrite": false,
    "MaskStrategy": "plain",
    "SemanticTypeIri": "urn:effortless:pko-extension#FieldGrant",
    "Name": "principal-knowledge-authority -&gt; AuthorityBoundaries.Status",
    "FieldTable": "AuthorityBoundaries",
    "FieldName": "Status",
    "FieldIsDerived": false,
    "IsWritableDerivedField": false,
    "IsMasked": false,
    "GrantKeyWhenReadable": "principal-knowledge-authority|AuthorityBoundaries"
   },
   {
    "FieldGrantId": "fg-knowledge-authority-AuthorityBoundaries.EvaluationContext",
    "Principal": "principal-knowledge-authority",
    "TargetField": "AuthorityBoundaries.EvaluationContext",
    "CanRead": true,
    "CanWrite": false,
    "MaskStrategy": "plain",
    "SemanticTypeIri": "urn:effortless:pko-extension#FieldGrant",
    "Name": "principal-knowledge-authority -&gt; AuthorityBoundaries.EvaluationContext",
    "FieldTable": "AuthorityBoundaries",
    "FieldName": "EvaluationContext",
    "FieldIsDerived": false,
    "IsWritableDerivedField": false,
    "IsMasked": false,
    "GrantKeyWhenReadable": "principal-knowledge-authority|AuthorityBoundaries"
   },
   {
    "FieldGrantId": "fg-knowledge-authority-AuthorityBoundaries.AsOfInstant",
    "Principal": "principal-knowledge-authority",
    "TargetField": "AuthorityBoundaries.AsOfInstant",
    "CanRead": true,
    "CanWrite": false,
    "MaskStrategy": "plain",
    "SemanticTypeIri": "urn:effortless:pko-extension#FieldGrant",
    "Name": "principal-knowledge-authority -&gt; AuthorityBoundaries.AsOfInstant",
    "FieldTable": "AuthorityBoundaries",
    "FieldName": "AsOfInstant",
    "FieldIsDerived": true,
    "IsWritableDerivedField": false,
    "IsMasked": false,
    "GrantKeyWhenReadable": "principal-knowledge-authority|AuthorityBoundaries"
   },
   {
    "FieldGrantId": "fg-knowledge-authority-AuthorityBoundaries.IsCurrentlyBinding",
    "Principal": "principal-knowledge-authority",
    "TargetField": "AuthorityBoundaries.IsCurrentlyBinding",
    "CanRead": true,
    "CanWrite": false,
    "MaskStrategy": "plain",
    "SemanticTypeIri": "urn:effortless:pko-extension#FieldGrant",
    "Name": "principal-knowledge-authority -&gt; AuthorityBoundaries.IsCurrentlyBinding",
    "FieldTable": "AuthorityBoundaries",
    "FieldName": "IsCurrentlyBinding",
    "FieldIsDerived": true,
    "IsWritableDerivedField": false,
    "IsMasked": false,
    "GrantKeyWhenReadable": "principal-knowledge-authority|AuthorityBoundaries"
   },
   {
    "FieldGrantId": "fg-knowledge-authority-AuthorityBoundaries.RatifyingFragmentIsValid",
    "Principal": "principal-knowledge-authority",
    "TargetField": "AuthorityBoundaries.RatifyingFragmentIsValid",
    "CanRead": true,
    "CanWrite": false,
    "MaskStrategy": "plain",
    "SemanticTypeIri": "urn:effortless:pko-extension#FieldGrant",
    "Name": "principal-knowledge-authority -&gt; AuthorityBoundaries.RatifyingFragmentIsValid",
    "FieldTable": "AuthorityBoundaries",
    "FieldName": "RatifyingFragmentIsValid",
    "FieldIsDerived": true,
    "IsWritableDerivedField": false,
    "IsMasked": false,
    "GrantKeyWhenReadable": "principal-knowledge-authority|AuthorityBoundaries"
   },
   {
    "FieldGrantId": "fg-knowledge-authority-AuthorityBoundaries.StepWhenBinding",
    "Principal": "principal-knowledge-authority",
    "TargetField": "AuthorityBoundaries.StepWhenBinding",
    "CanRead": true,
    "CanWrite": false,
    "MaskStrategy": "plain",
    "SemanticTypeIri": "urn:effortless:pko-extension#FieldGrant",
    "Name": "principal-knowledge-authority -&gt; AuthorityBoundaries.StepWhenBinding",
    "FieldTable": "AuthorityBoundaries",
    "FieldName": "StepWhenBinding",
    "FieldIsDerived": true,
    "IsWritableDerivedField": false,
    "IsMasked": false,
    "GrantKeyWhenReadable": "principal-knowledge-authority|AuthorityBoundaries"
   },
   {
    "FieldGrantId": "fg-knowledge-authority-AuthorityBoundaries.BoundaryMatchKey",
    "Principal": "principal-knowledge-authority",
    "TargetField": "AuthorityBoundaries.BoundaryMatchKey",
    "CanRead": true,
    "CanWrite": false,
    "MaskStrategy": "plain",
    "SemanticTypeIri": "urn:effortless:pko-extension#FieldGrant",
    "Name": "principal-knowledge-authority -&gt; AuthorityBoundaries.BoundaryMatchKey",
    "FieldTable": "AuthorityBoundaries",
    "FieldName": "BoundaryMatchKey",
    "FieldIsDerived": true,
    "IsWritableDerivedField": false,
    "IsMasked": false,
    "GrantKeyWhenReadable": "principal-knowledge-authority|AuthorityBoundaries"
   },
   {
    "FieldGrantId": "fg-knowledge-authority-AuthorityBoundaries.ViolationCount",
    "Principal": "principal-knowledge-authority",
    "TargetField": "AuthorityBoundaries.ViolationCount",
    "CanRead": true,
    "CanWrite": false,
    "MaskStrategy": "plain",
    "SemanticTypeIri": "urn:effortless:pko-extension#FieldGrant",
    "Name": "principal-knowledge-authority -&gt; AuthorityBoundaries.ViolationCount",
    "FieldTable": "AuthorityBoundaries",
    "FieldName": "ViolationCount",
    "FieldIsDerived": true,
    "IsWritableDerivedField": false,
    "IsMasked": false,
    "GrantKeyWhenReadable": "principal-knowledge-authority|AuthorityBoundaries"
   },
   {
    "FieldGrantId": "fg-knowledge-authority-AuthorityBoundaries.IsUntested",
    "Principal": "principal-knowledge-authority",
    "TargetField": "AuthorityBoundaries.IsUntested",
    "CanRead": true,
    "CanWrite": false,
    "MaskStrategy": "plain",
    "SemanticTypeIri": "urn:effortless:pko-extension#FieldGrant",
    "Name": "principal-knowledge-authority -&gt; AuthorityBoundaries.IsUntested",
    "FieldTable": "AuthorityBoundaries",
    "FieldName": "IsUntested",
    "FieldIsDerived": true,
    "IsWritableDerivedField": false,
    "IsMasked": false,
    "GrantKeyWhenReadable": "principal-knowledge-authority|AuthorityBoundaries"
   },
   {
    "FieldGrantId": "fg-knowledge-authority-AuthorityBoundaries.HasRatifyingFragment",
    "Principal": "principal-knowledge-authority",
    "TargetField": "AuthorityBoundaries.HasRatifyingFragment",
    "CanRead": true,
    "CanWrite": false,
    "MaskStrategy": "plain",
    "SemanticTypeIri": "urn:effortless:pko-extension#FieldGrant",
    "Name": "principal-knowledge-authority -&gt; AuthorityBoundaries.HasRatifyingFragment",
    "FieldTable": "AuthorityBoundaries",
    "FieldName": "HasRatifyingFragment",
    "FieldIsDerived": true,
    "IsWritableDerivedField": false,
    "IsMasked": false,
    "GrantKeyWhenReadable": "principal-knowledge-authority|AuthorityBoundaries"
   },
   {
    "FieldGrantId": "fg-knowledge-authority-AuthorityBoundaries.IsUnwarranted",
    "Principal": "principal-knowledge-authority",
    "TargetField": "AuthorityBoundaries.IsUnwarranted",
    "CanRead": true,
    "CanWrite": false,
    "MaskStrategy": "plain",
    "SemanticTypeIri": "urn:effortless:pko-extension#FieldGrant",
    "Name": "principal-knowledge-authority -&gt; AuthorityBoundaries.IsUnwarranted",
    "FieldTable": "AuthorityBoundaries",
    "FieldName": "IsUnwarranted",
    "FieldIsDerived": true,
    "IsWritableDerivedField": false,
    "IsMasked": false,
    "GrantKeyWhenReadable": "principal-knowledge-authority|AuthorityBoundaries"
   },
   {
    "FieldGrantId": "fg-knowledge-authority-AuthorityBoundaries.RatifyingFragmentIsOverdue",
    "Principal": "principal-knowledge-authority",
    "TargetField": "AuthorityBoundaries.RatifyingFragmentIsOverdue",
    "CanRead": true,
    "CanWrite": false,
    "MaskStrategy": "plain",
    "SemanticTypeIri": "urn:effortless:pko-extension#FieldGrant",
    "Name": "principal-knowledge-authority -&gt; AuthorityBoundaries.RatifyingFragmentIsOverdue",
    "FieldTable": "AuthorityBoundaries",
    "FieldName": "RatifyingFragmentIsOverdue",
    "FieldIsDerived": true,
    "IsWritableDerivedField": false,
    "IsMasked": false,
    "GrantKeyWhenReadable": "principal-knowledge-authority|AuthorityBoundaries"
   },
   {
    "FieldGrantId": "fg-knowledge-authority-AuthorityBoundaries.RatifyingFragmentIsSingleWitness",
    "Principal": "principal-knowledge-authority",
    "TargetField": "AuthorityBoundaries.RatifyingFragmentIsSingleWitness",
    "CanRead": true,
    "CanWrite": false,
    "MaskStrategy": "plain",
    "SemanticTypeIri": "urn:effortless:pko-extension#FieldGrant",
    "Name": "principal-knowledge-authority -&gt; AuthorityBoundaries.RatifyingFragmentIsSingleWitness",
    "FieldTable": "AuthorityBoundaries",
    "FieldName": "RatifyingFragmentIsSingleWitness",
    "FieldIsDerived": true,
    "IsWritableDerivedField": false,
    "IsMasked": false,
    "GrantKeyWhenReadable": "principal-knowledge-authority|AuthorityBoundaries"
   },
   {
    "FieldGrantId": "fg-knowledge-authority-AuthorityBoundaries.WarrantIsThin",
    "Principal": "principal-knowledge-authority",
    "TargetField": "AuthorityBoundaries.WarrantIsThin",
    "CanRead": true,
    "CanWrite": false,
    "MaskStrategy": "plain",
    "SemanticTypeIri": "urn:effortless:pko-extension#FieldGrant",
    "Name": "principal-knowledge-authority -&gt; AuthorityBoundaries.WarrantIsThin",
    "FieldTable": "AuthorityBoundaries",
    "FieldName": "WarrantIsThin",
    "FieldIsDerived": true,
    "IsWritableDerivedField": false,
    "IsMasked": false,
    "GrantKeyWhenReadable": "principal-knowledge-authority|AuthorityBoundaries"
   },
   {
    "FieldGrantId": "fg-knowledge-authority-AuthorityBoundaries.IsUnwarrantedAndUntested",
    "Principal": "principal-knowledge-authority",
    "TargetField": "AuthorityBoundaries.IsUnwarrantedAndUntested",
    "CanRead": true,
    "CanWrite": false,
    "MaskStrategy": "plain",
    "SemanticTypeIri": "urn:effortless:pko-extension#FieldGrant",
    "Name": "principal-knowledge-authority -&gt; AuthorityBoundaries.IsUnwarrantedAndUntested",
    "FieldTable": "AuthorityBoundaries",
    "FieldName": "IsUnwarrantedAndUntested",
    "FieldIsDerived": true,
    "IsWritableDerivedField": false,
    "IsMasked": false,
    "GrantKeyWhenReadable": "principal-knowledge-authority|AuthorityBoundaries"
   },
   {
    "FieldGrantId": "fg-knowledge-authority-AuthorityBoundaries.UnwarrantedBoundaryStepKey",
    "Principal": "principal-knowledge-authority",
    "TargetField": "AuthorityBoundaries.UnwarrantedBoundaryStepKey",
    "CanRead": true,
    "CanWrite": false,
    "MaskStrategy": "plain",
    "SemanticTypeIri": "urn:effortless:pko-extension#FieldGrant",
    "Name": "principal-knowledge-authority -&gt; AuthorityBoundaries.UnwarrantedBoundaryStepKey",
    "FieldTable": "AuthorityBoundaries",
    "FieldName": "UnwarrantedBound</t>
  </si>
  <si>
    <t xml:space="preserve">aryStepKey",
    "FieldIsDerived": true,
    "IsWritableDerivedField": false,
    "IsMasked": false,
    "GrantKeyWhenReadable": "principal-knowledge-authority|AuthorityBoundaries"
   },
   {
    "FieldGrantId": "fg-knowledge-authority-AuthorityBoundaries.RatifyingFragmentKey",
    "Principal": "principal-knowledge-authority",
    "TargetField": "AuthorityBoundaries.RatifyingFragmentKey",
    "CanRead": true,
    "CanWrite": false,
    "MaskStrategy": "plain",
    "SemanticTypeIri": "urn:effortless:pko-extension#FieldGrant",
    "Name": "principal-knowledge-authority -&gt; AuthorityBoundaries.RatifyingFragmentKey",
    "FieldTable": "AuthorityBoundaries",
    "FieldName": "RatifyingFragmentKey",
    "FieldIsDerived": true,
    "IsWritableDerivedField": false,
    "IsMasked": false,
    "GrantKeyWhenReadable": "principal-knowledge-authority|AuthorityBoundaries"
   },
   {
    "FieldGrantId": "fg-knowledge-authority-AuthorityBoundaries.RatifyingFragmentStatus",
    "Principal": "principal-knowledge-authority",
    "TargetField": "AuthorityBoundaries.RatifyingFragmentStatus",
    "CanRead": true,
    "CanWrite": false,
    "MaskStrategy": "plain",
    "SemanticTypeIri": "urn:effortless:pko-extension#FieldGrant",
    "Name": "principal-knowledge-authority -&gt; AuthorityBoundaries.RatifyingFragmentStatus",
    "FieldTable": "AuthorityBoundaries",
    "FieldName": "RatifyingFragmentStatus",
    "FieldIsDerived": true,
    "IsWritableDerivedField": false,
    "IsMasked": false,
    "GrantKeyWhenReadable": "principal-knowledge-authority|AuthorityBoundaries"
   },
   {
    "FieldGrantId": "fg-knowledge-authority-AuthorityBoundaries.RatificationLapsed",
    "Principal": "principal-knowledge-authority",
    "TargetField": "AuthorityBoundaries.RatificationLapsed",
    "CanRead": true,
    "CanWrite": false,
    "MaskStrategy": "plain",
    "SemanticTypeIri": "urn:effortless:pko-extension#FieldGrant",
    "Name": "principal-knowledge-authority -&gt; AuthorityBoundaries.RatificationLapsed",
    "FieldTable": "AuthorityBoundaries",
    "FieldName": "RatificationLapsed",
    "FieldIsDerived": true,
    "IsWritableDerivedField": false,
    "IsMasked": false,
    "GrantKeyWhenReadable": "principal-knowledge-authority|AuthorityBoundaries"
   },
   {
    "FieldGrantId": "fg-knowledge-authority-AuthorityBoundaries.BindsDespiteLapsedRatification",
    "Principal": "principal-knowledge-authority",
    "TargetField": "AuthorityBoundaries.BindsDespiteLapsedRatification",
    "CanRead": true,
    "CanWrite": false,
    "MaskStrategy": "plain",
    "SemanticTypeIri": "urn:effortless:pko-extension#FieldGrant",
    "Name": "principal-knowledge-authority -&gt; AuthorityBoundaries.BindsDespiteLapsedRatification",
    "FieldTable": "AuthorityBoundaries",
    "FieldName": "BindsDespiteLapsedRatification",
    "FieldIsDerived": true,
    "IsWritableDerivedField": false,
    "IsMasked": false,
    "GrantKeyWhenReadable": "principal-knowledge-authority|AuthorityBoundaries"
   },
   {
    "FieldGrantId": "fg-knowledge-authority-AuthorityBoundaries.IsUngroundedAndUntested",
    "Principal": "principal-knowledge-authority",
    "TargetField": "AuthorityBoundaries.IsUngroundedAndUntested",
    "CanRead": true,
    "CanWrite": false,
    "MaskStrategy": "plain",
    "SemanticTypeIri": "urn:effortless:pko-extension#FieldGrant",
    "Name": "principal-knowledge-authority -&gt; AuthorityBoundaries.IsUngroundedAndUntested",
    "FieldTable": "AuthorityBoundaries",
    "FieldName": "IsUngroundedAndUntested",
    "FieldIsDerived": true,
    "IsWritableDerivedField": false,
    "IsMasked": false,
    "GrantKeyWhenReadable": "principal-knowledge-authority|AuthorityBoundaries"
   },
   {
    "FieldGrantId": "fg-knowledge-authority-AuthorityBoundaries.ConstrainedRoleAssignmentKey",
    "Principal": "principal-knowledge-authority",
    "TargetField": "AuthorityBoundaries.ConstrainedRoleAssignmentKey",
    "CanRead": true,
    "CanWrite": false,
    "MaskStrategy": "plain",
    "SemanticTypeIri": "urn:effortless:pko-extension#FieldGrant",
    "Name": "principal-knowledge-authority -&gt; AuthorityBoundaries.ConstrainedRoleAssignmentKey",
    "FieldTable": "AuthorityBoundaries",
    "FieldName": "ConstrainedRoleAssignmentKey",
    "FieldIsDerived": true,
    "IsWritableDerivedField": false,
    "IsMasked": false,
    "GrantKeyWhenReadable": "principal-knowledge-authority|AuthorityBoundaries"
   },
   {
    "FieldGrantId": "fg-knowledge-authority-AuthorityBoundaries.SemanticTypeIri",
    "Principal": "principal-knowledge-authority",
    "TargetField": "AuthorityBoundaries.SemanticTypeIri",
    "CanRead": true,
    "CanWrite": false,
    "MaskStrategy": "plain",
    "SemanticTypeIri": "urn:effortless:pko-extension#FieldGrant",
    "Name": "principal-knowledge-authority -&gt; AuthorityBoundaries.SemanticTypeIri",
    "FieldTable": "AuthorityBoundaries",
    "FieldName": "SemanticTypeIri",
    "FieldIsDerived": false,
    "IsWritableDerivedField": false,
    "IsMasked": false,
    "GrantKeyWhenReadable": "principal-knowledge-authority|AuthorityBoundaries"
   },
   {
    "FieldGrantId": "fg-knowledge-authority-BindingObservations.BindingObservationId",
    "Principal": "principal-knowledge-authority",
    "TargetField": "BindingObservations.BindingObservationId",
    "CanRead": true,
    "CanWrite": false,
    "MaskStrategy": "plain",
    "SemanticTypeIri": "urn:effortless:pko-extension#FieldGrant",
    "Name": "principal-knowledge-authority -&gt; BindingObservations.BindingObservationId",
    "FieldTable": "BindingObservations",
    "FieldName": "BindingObservationId",
    "FieldIsDerived": false,
    "IsWritableDerivedField": false,
    "IsMasked": false,
    "GrantKeyWhenReadable": "principal-knowledge-authority|BindingObservations"
   },
   {
    "FieldGrantId": "fg-knowledge-authority-BindingObservations.Name",
    "Principal": "principal-knowledge-authority",
    "TargetField": "BindingObservations.Name",
    "CanRead": true,
    "CanWrite": false,
    "MaskStrategy": "plain",
    "SemanticTypeIri": "urn:effortless:pko-extension#FieldGrant",
    "Name": "principal-knowledge-authority -&gt; BindingObservations.Name",
    "FieldTable": "BindingObservations",
    "FieldName": "Name",
    "FieldIsDerived": true,
    "IsWritableDerivedField": false,
    "IsMasked": false,
    "GrantKeyWhenReadable": "principal-knowledge-authority|BindingObservations"
   },
   {
    "FieldGrantId": "fg-knowledge-authority-BindingObservations.StepExecution",
    "Principal": "principal-knowledge-authority",
    "TargetField": "BindingObservations.StepExecution",
    "CanRead": true,
    "CanWrite": false,
    "MaskStrategy": "plain",
    "SemanticTypeIri": "urn:effortless:pko-extension#FieldGrant",
    "Name": "principal-knowledge-authority -&gt; BindingObservations.StepExecution",
    "FieldTable": "BindingObservations",
    "FieldName": "StepExecution",
    "FieldIsDerived": false,
    "IsWritableDerivedField": false,
    "IsMasked": false,
    "GrantKeyWhenReadable": "principal-knowledge-authority|BindingObservations"
   },
   {
    "FieldGrantId": "fg-knowledge-authority-BindingObservations.OperationalBinding",
    "Principal": "principal-knowledge-authority",
    "TargetField": "BindingObservations.OperationalBinding",
    "CanRead": true,
    "CanWrite": false,
    "MaskStrategy": "plain",
    "SemanticTypeIri": "urn:effortless:pko-extension#FieldGrant",
    "Name": "principal-knowledge-authority -&gt; BindingObservations.OperationalBinding",
    "FieldTable": "BindingObservations",
    "FieldName": "OperationalBinding",
    "FieldIsDerived": false,
    "IsWritableDerivedField": false,
    "IsMasked": false,
    "GrantKeyWhenReadable": "principal-knowledge-authority|BindingObservations"
   },
   {
    "FieldGrantId": "fg-knowledge-authority-BindingObservations.ObservedSourceTimestamp",
    "Principal": "principal-knowledge-authority",
    "TargetField": "BindingObservations.ObservedSourceTimestamp",
    "CanRead": true,
    "CanWrite": false,
    "MaskStrategy": "plain",
    "SemanticTypeIri": "urn:effortless:pko-extension#FieldGrant",
    "Name": "principal-knowledge-authority -&gt; BindingObservations.ObservedSourceTimestamp",
    "FieldTable": "BindingObservations",
    "FieldName": "ObservedSourceTimestamp",
    "FieldIsDerived": false,
    "IsWritableDerivedField": false,
    "IsMasked": false,
    "GrantKeyWhenReadable": "principal-knowledge-authority|BindingObservations"
   },
   {
    "FieldGrantId": "fg-knowledge-authority-BindingObservations.ReadAt",
    "Principal": "principal-knowledge-authority",
    "TargetField": "BindingObservations.ReadAt",
    "CanRead": true,
    "CanWrite": false,
    "MaskStrategy": "plain",
    "SemanticTypeIri": "urn:effortless:pko-extension#FieldGrant",
    "Name": "principal-knowledge-authority -&gt; BindingObservations.ReadAt",
    "FieldTable": "BindingObservations",
    "FieldName": "ReadAt",
    "FieldIsDerived": false,
    "IsWritableDerivedField": false,
    "IsMasked": false,
    "GrantKeyWhenReadable": "principal-knowledge-authority|BindingObservations"
   },
   {
    "FieldGrantId": "fg-knowledge-authority-BindingObservations.SlaMinutesAtRun",
    "Principal": "principal-knowledge-authority",
    "TargetField": "BindingObservations.SlaMinutesAtRun",
    "CanRead": true,
    "CanWrite": false,
    "MaskStrategy": "plain",
    "SemanticTypeIri": "urn:effortless:pko-extension#FieldGrant",
    "Name": "principal-knowledge-authority -&gt; BindingObservations.SlaMinutesAtRun",
    "FieldTable": "BindingObservations",
    "FieldName": "SlaMinutesAtRun",
    "FieldIsDerived": true,
    "IsWritableDerivedField": false,
    "IsMasked": false,
    "GrantKeyWhenReadable": "principal-knowledge-authority|BindingObservations"
   },
   {
    "FieldGrantId": "fg-knowledge-authority-BindingObservations.AgeAtRunMinutes",
    "Principal": "principal-knowledge-authority",
    "TargetField": "BindingObservations.AgeAtRunMinutes",
    "CanRead": true,
    "CanWrite": false,
    "MaskStrategy": "plain",
    "SemanticTypeIri": "urn:effortless:pko-extension#FieldGrant",
    "Name": "principal-knowledge-authority -&gt; BindingObservations.AgeAtRunMinutes",
    "FieldTable": "BindingObservations",
    "FieldName": "AgeAtRunMinutes",
    "FieldIsDerived": true,
    "IsWritableDerivedField": false,
    "IsMasked": false,
    "GrantKeyWhenReadable": "principal-knowledge-authority|BindingObservations"
   },
   {
    "FieldGrantId": "fg-knowledge-authority-BindingObservations.WasStaleAtRun",
    "Principal": "principal-knowledge-authority",
    "TargetField": "BindingObservations.WasStaleAtRun",
    "CanRead": true,
    "CanWrite": false,
    "MaskStrategy": "plain",
    "SemanticTypeIri": "urn:effortless:pko-extension#FieldGrant",
    "Name": "principal-knowledge-authority -&gt; BindingObservations.WasStaleAtRun",
    "FieldTable": "BindingObservations",
    "FieldName": "WasStaleAtRun",
    "FieldIsDerived": true,
    "IsWritableDerivedField": false,
    "IsMasked": false,
    "GrantKeyWhenReadable": "principal-knowledge-authority|BindingObservations"
   },
   {
    "FieldGrantId": "fg-knowledge-authority-BindingObservations.IsAuthoritativeBinding",
    "Principal": "principal-knowledge-authority",
    "TargetField": "BindingObservations.IsAuthoritativeBinding",
    "CanRead": true,
    "CanWrite": false,
    "MaskStrategy": "plain",
    "SemanticTypeIri": "urn:effortless:pko-extension#FieldGrant",
    "Name": "principal-knowledge-authority -&gt; BindingObservations.IsAuthoritativeBinding",
    "FieldTable": "BindingObservations",
    "FieldName": "IsAuthoritativeBinding",
    "FieldIsDerived": true,
    "IsWritableDerivedField": false,
    "IsMasked": false,
    "GrantKeyWhenReadable": "principal-knowledge-authority|BindingObservations"
   },
   {
    "FieldGrantId": "fg-knowledge-authority-BindingObservations.StaleAtRunStepKey",
    "Principal": "principal-knowledge-authority",
    "TargetField": "BindingObservations.StaleAtRunStepKey",
    "CanRead": true,
    "CanWrite": false,
    "MaskStrategy": "plain",
    "SemanticTypeIri": "urn:effortless:pko-extension#FieldGrant",
    "Name": "principal-knowledge-authority -&gt; BindingObservations.StaleAtRunStepKey",
    "FieldTable": "BindingObservations",
    "FieldName": "StaleAtRunStepKey",
    "FieldIsDerived": true,
    "IsWritableDerivedField": false,
    "IsMasked": false,
    "GrantKeyWhenReadable": "principal-knowledge-authority|BindingObservations"
   },
   {
    "FieldGrantId": "fg-knowledge-authority-ChangeRequests.ChangeRequestId",
    "Principal": "principal-knowledge-authority",
    "TargetField": "ChangeRequests.ChangeRequestId",
    "CanRead": true,
    "CanWrite": false,
    "MaskStrategy": "plain",
    "SemanticTypeIri": "urn:effortless:pko-extension#FieldGrant",
    "Name": "principal-knowledge-authority -&gt; ChangeRequests.ChangeRequestId",
    "FieldTable": "ChangeRequests",
    "FieldName": "ChangeRequestId",
    "FieldIsDerived": false,
    "IsWritableDerivedField": false,
    "IsMasked": false,
    "GrantKeyWhenReadable": "principal-knowledge-authority|ChangeRequests"
   },
   {
    "FieldGrantId": "fg-knowledge-authority-ChangeRequests.Name",
    "Principal": "principal-knowledge-authority",
    "TargetField": "ChangeRequests.Name",
    "CanRead": true,
    "CanWrite": false,
    "MaskStrategy": "plain",
    "SemanticTypeIri": "urn:effortless:pko-extension#FieldGrant",
    "Name": "principal-knowledge-authority -&gt; ChangeRequests.Name",
    "FieldTable": "ChangeRequests",
    "FieldName": "Name",
    "FieldIsDerived": true,
    "IsWritableDerivedField": false,
    "IsMasked": false,
    "GrantKeyWhenReadable": "principal-knowledge-authority|ChangeRequests"
   },
   {
    "FieldGrantId": "fg-knowledge-authority-ChangeRequests.ProcedureVersion",
    "Principal": "principal-knowledge-authority",
    "TargetField": "ChangeRequests.ProcedureVersion",
    "CanRead": true,
    "CanWrite": false,
    "MaskStrategy": "plain",
    "SemanticTypeIri": "urn:effortless:pko-extension#FieldGrant",
    "Name": "principal-knowledge-authority -&gt; ChangeRequests.ProcedureVersion",
    "FieldTable": "ChangeRequests",
    "FieldName": "ProcedureVersion",
    "FieldIsDerived": false,
    "IsWritableDerivedField": false,
    "IsMasked": false,
    "GrantKeyWhenReadable": "principal-knowledge-authority|ChangeRequests"
   },
   {
    "FieldGrantId": "fg-knowledge-authority-ChangeRequests.Title",
    "Principal": "principal-knowledge-authority",
    "TargetField": "ChangeRequests.Title",
    "CanRead": true,
    "CanWrite": false,
    "MaskStrategy": "plain",
    "SemanticTypeIri": "urn:effortless:pko-extension#FieldGrant",
    "Name": "principal-knowledge-authority -&gt; ChangeRequests.Title",
    "FieldTable": "ChangeRequests",
    "FieldName": "Title",
    "FieldIsDerived": false,
    "IsWritableDerivedField": false,
    "IsMasked": false,
    "GrantKeyWhenReadable": "principal-knowledge-authority|ChangeRequests"
   },
   {
    "FieldGrantId": "fg-knowledge-authority-ChangeRequests.ChangeKind",
    "Principal": "principal-knowledge-authority",
    "TargetField": "ChangeRequests.ChangeKind",
    "CanRead": true,
    "CanWrite": false,
    "MaskStrategy": "plain",
    "SemanticTypeIri": "urn:effortless:pko-extension#FieldGrant",
    "Name": "principal-knowledge-authority -&gt; ChangeRequests.ChangeKind",
    "FieldTable": "ChangeRequests",
    "FieldName": "ChangeKind",
    "FieldIsDerived": false,
    "IsWritableDerivedField": false,
    "IsMasked": false,
    "GrantKeyWhenReadable": "principal-knowledge-authority|ChangeRequests"
   },
   {
    "FieldGrantId": "fg-knowledge-authority-ChangeRequests.Status",
    "Principal": "principal-knowledge-authority",
    "TargetField": "ChangeRequests.Status",
    "CanRead": true,
    "CanWrite": false,
    "MaskStrategy": "plain",
    "SemanticTypeIri": "urn:effortless:pko-extension#FieldGrant",
    "Name": "principal-knowledge-authority -&gt; ChangeRequests.Status",
    "FieldTable": "ChangeRequests",
    "FieldName": "Status",
    "FieldIsDerived": false,
    "IsWritableDerivedField": false,
    "IsMasked": false,
    "GrantKeyWhenReadable": "principal-knowledge-authority|ChangeRequests"
   },
   {
    "FieldGrantId": "fg-knowledge-authority-ChangeRequests.RequestedByAgent",
    "Principal": "principal-knowledge-authority",
    "TargetField": "ChangeRequests.RequestedByAgent",
    "CanRead": true,
    "CanWrite": false,
    "MaskStrategy": "plain",
    "SemanticTypeIri": "urn:effortless:pko-extension#FieldGrant",
    "Name": "principal-knowledge-authority -&gt; ChangeRequests.RequestedByAgent",
    "FieldTable": "ChangeRequests",
    "FieldName": "RequestedByAgent",
    "FieldIsDerived": false,
    "IsWritableDerivedField": false,
    "IsMasked": false,
    "GrantKeyWhenReadable": "principal-knowledge-authority|ChangeRequests"
   },
   {
    "FieldGrantId": "fg-knowledge-authority-ChangeRequests.AuthorityRole",
    "Principal": "principal-knowledge-authority",
    "TargetField": "ChangeRequests.AuthorityRole",
    "CanRead": true,
    "CanWrite": false,
    "MaskStrategy": "plain",
    "SemanticTypeIri": "urn:effortless:pko-extension#FieldGrant",
    "Name": "principal-knowledge-authority -&gt; ChangeRequests.AuthorityRole",
    "FieldTable": "ChangeRequests",
    "FieldName": "AuthorityRole",
    "FieldIsDerived": false,
    "IsWritableDerivedField": false,
    "IsMasked": false,
    "GrantKeyWhenReadable": "principal-knowledge-authority|ChangeRequests"
   },
   {
    "FieldGrantId": "fg-knowledge-authority-ChangeRequests.RequestedAt",
    "Principal": "principal-knowledge-authority",
    "TargetField": "ChangeRequests.RequestedAt",
    "CanRead": true,
    "CanWrite": false,
    "MaskStrategy": "plain",
    "SemanticTypeIri": "urn:effortless:pko-extension#FieldGrant",
    "Name": "principal-knowledge-authority -&gt; ChangeRequests.RequestedAt",
    "FieldTable": "ChangeRequests",
    "FieldName": "RequestedAt",
    "FieldIsDerived": false,
    "IsWritableDerivedField": false,
    "IsMasked": false,
    "GrantKeyWhenReadable": "principal-knowledge-authority|ChangeRequests"
   },
   {
    "FieldGrantId": "fg-knowledge-authority-ChangeRequests.DecidedAt",
    "Principal": "principal-knowledge-authority",
    "TargetField": "ChangeRequests.DecidedAt",
    "CanRead": true,
    "CanWrite": false,
    "MaskStrategy": "plain",
    "SemanticTypeIri": "urn:effortless:pko-extension#FieldGrant",
    "Name": "principal-knowledge-authority -&gt; ChangeRequests.DecidedAt",
    "FieldTable": "ChangeRequests",
    "FieldName": "DecidedAt",
    "FieldIsDerived": false,
    "IsWritableDerivedField": false,
    "IsMasked": false,
    "GrantKeyWhenReadable": "principal-knowledge-authority|ChangeRequests"
   },
   {
    "FieldGrantId": "fg-knowledge-authority-ChangeRequests.ImpactAssessment",
    "Principal": "principal-knowledge-authority",
    "TargetField": "ChangeRequests.ImpactAssessment",
    "CanRead": true,
    "CanWrite": false,
    "MaskStrategy": "plain",
    "SemanticTypeIri": "urn:effortless:pko-extension#FieldGrant",
    "Name": "principal-knowledge-authority -&gt; ChangeRequests.ImpactAssessment",
    "FieldTable": "ChangeRequests",
    "FieldName": "ImpactAssessment",
    "FieldIsDerived": false,
    "IsWritableDerivedField": false,
    "IsMasked": false,
    "GrantKeyWhenReadable": "principal-knowledge-authority|ChangeRequests"
   },
   {
    "FieldGrantId": "fg-knowledge-authority-ChangeRequests.IsOpen",
    "Principal": "principal-knowledge-authority",
    "TargetField": "ChangeRequests.IsOpen",
    "CanRead": true,
    "CanWrite": false,
    "MaskStrategy": "plain",
    "SemanticTypeIri": "urn:effortless:pko-extension#FieldGrant",
    "Name": "principal-knowledge-authority -&gt; ChangeRequests.IsOpen",
    "FieldTable": "ChangeRequests",
    "FieldName": "IsOpen",
    "FieldIsDerived": true,
    "IsWritableDerivedField": false,
    "IsMasked": false,
    "GrantKeyWhenReadable": "principal-knowledge-authority|ChangeRequests"
   },
   {
    "FieldGrantId": "fg-knowledge-authority-ChangeRequests.OpenChangeVersionKey",
    "Principal": "principal-knowledge-authority",
    "TargetField": "ChangeRequests.OpenChangeVersionKey",
    "CanRead": true,
    "CanWrite": false,
    "MaskStrategy": "plain",
    "SemanticTypeIri": "urn:effortless:pko-extension#FieldGrant",
    "Name": "principal-knowledge-authority -&gt; ChangeRequests.OpenChangeVersionKey",
    "FieldTable": "ChangeRequests",
    "FieldName": "OpenChangeVersionKey",
    "FieldIsDerived": true,
    "IsWritableDerivedField": false,
    "IsMasked": false,
    "GrantKeyWhenReadable": "principal-knowledge-authority|ChangeRequests"
   },
   {
    "FieldGrantId": "fg-knowledge-authority-ChangeRequests.IsDecided",
    "Principal": "principal-knowledge-authority",
    "TargetField": "ChangeRequests.IsDecided",
    "CanRead": true,
    "CanWrite": false,
    "MaskStrategy": "plain",
    "SemanticTypeIri": "urn:effortless:pko-extension#FieldGrant",
    "Name": "principal-knowledge-authority -&gt; ChangeRequests.IsDecided",
    "FieldTable": "ChangeRequests",
    "FieldName": "IsDecided",
    "FieldIsDerived": true,
    "IsWritableDerivedField": false,
    "IsMasked": false,
    "GrantKeyWhenReadable": "principal-knowledge-authority|ChangeRequests"
   },
   {
    "FieldGrantId": "fg-knowledge-authority-ChangeRequests.EvaluationContext",
    "Principal": "principal-knowledge-authority",
    "TargetField": "ChangeRequests.EvaluationContext",
    "CanRead": true,
    "CanWrite": false,
    "MaskStrategy": "plain",
    "SemanticTypeIri": "urn:effortless:pko-extension#FieldGrant",
    "Name": "principal-knowledge-authority -&gt; ChangeRequests.EvaluationContext",
    "FieldTable": "ChangeRequests",
    "FieldName": "EvaluationContext",
    "FieldIsDerived": false,
    "IsWritableDerivedField": false,
    "IsMasked": false,
    "GrantKeyWhenReadable": "principal-knowledge-authority|ChangeRequests"
   },
   {
    "FieldGrantId": "fg-knowledge-authority-ChangeRequests.AsOfInstant",
    "Principal": "principal-knowledge-authority",
    "TargetField": "ChangeRequests.AsOfInstant",
    "CanRead": true,
    "CanWrite": false,
    "MaskStrategy": "plain",
    "SemanticTypeIri": "urn:effortless:pko-extension#FieldGrant",
    "Name": "principal-knowledge-authority -&gt; ChangeRequests.AsOfInstant",
    "FieldTable": "ChangeRequests",
    "FieldName": "AsOfInstant",
    "FieldIsDerived": true,
    "IsWritableDerivedField": false,
    "IsMasked": false,
    "GrantKeyWhenReadable": "principal-knowledge-authority|ChangeRequests"
   },
   {
    "FieldGrantId": "fg-knowledge-authority-ChangeRequests.DaysPending",
    "Principal": "principal-knowledge-authority",
    "TargetField": "ChangeRequests.DaysPending",
    "CanRead": true,
    "CanWrite": false,
    "MaskStrategy": "plain",
    "SemanticTypeIri": "urn:effortless:pko-extension#FieldGrant",
    "Name": "principal-knowledge-authority -&gt; ChangeRequests.DaysPending",
    "FieldTable": "ChangeRequests",
    "FieldName": "DaysPending",
    "FieldIsDerived": true,
    "IsWritableDerivedField": false,
    "IsMasked": false,
    "GrantKeyWhenReadable": "principal-knowledge-authority|ChangeRequests"
   },
   {
    "FieldGrantId": "fg-knowledge-authority-ChangeRequests.IsStillPending",
    "Principal": "principal-knowledge-authority",
    "TargetField": "ChangeRequests.IsStillPending",
    "CanRead": true,
    "CanWrite": false,
    "MaskStrategy": "plain",
    "SemanticTypeIri": "urn:effortless:pko-extension#FieldGrant",
    "Name": "principal-knowledge-authority -&gt; ChangeRequests.IsStillPending",
    "FieldTable": "ChangeRequests",
    "FieldName": "IsStillPending",
    "FieldIsDerived": true,
    "IsWritableDerivedField": false,
    "IsMasked": false,
    "GrantKeyWhenReadable": "principal-knowledge-authority|ChangeRequests"
   },
   {
    "FieldGrantId": "fg-knowledge-authority-ChangeRequests.IsStalled",
    "Principal": "principal-knowledge-authority",
    "TargetField": "ChangeRequests.IsStalled",
    "CanRead": true,
    "CanWrite": false,
    "MaskStrategy": "plain",
    "SemanticTypeIri": "urn:effortless:pko-extension#FieldGrant",
    "Name": "principal-knowledge-authority -&gt; ChangeRequests.IsStalled",
    "FieldTable": "ChangeRequests",
    "FieldName": "IsStalled",
    "FieldIsDerived": true,
    "IsWritableDerivedField": false,
    "IsMasked": false,
    "GrantKeyWhenReadable": "principal-knowledge-authority|ChangeRequests"
   },
   {
    "FieldGrantId": "fg-knowledge-authority-ChangeRequests.AuthorityAgent",
    "Principal": "principal-knowledge-authority",
    "TargetField": "ChangeRequests.AuthorityAgent",
    "CanRead": true,
    "CanWrite": false,
    "MaskStrategy": "plain",
    "SemanticTypeIri": "urn:effortless:pko-extension#FieldGrant",
    "Name": "principal-knowledge-authority -&gt; ChangeRequests.AuthorityAgent",
    "FieldTable": "ChangeRequests",
    "FieldName": "AuthorityAgent",
    "FieldIsDerived": true,
    "IsWritableDerivedField": false,
    "IsMasked": false,
    "GrantKeyWhenReadable": "principal-knowledge-authority|ChangeRequests"
   },
   {
    "FieldGrantId": "fg-knowledge-authority-ChangeRequests.RequesterIsAuthority",
    "Principal": "principal-knowledge-authority",
    "TargetField": "ChangeRequests.RequesterIsAuthority",
    "CanRead": true,
    "CanWrite": false,
    "MaskStrategy": "plain",
    "SemanticTypeIri": "urn:effortless:pko-extension#FieldGrant",
    "Name": "principal-knowledge-authority -&gt; ChangeRequests.RequesterIsAuthority",
    "FieldTable": "ChangeRequests",
    "FieldName": "RequesterIsAuthority",
    "FieldIsDerived": true,
    "IsWritableDerivedField": false,
    "IsMasked": false,
    "GrantKeyWhenReadable": "principal-knowledge-authority|ChangeRequests"
   },
   {
    "FieldGrantId": "fg-knowledge-authority-ChangeRequests.AwaitsAuthorityDecision",
    "Principal": "principal-knowledge-authority",
    "TargetField": "ChangeRequests.AwaitsAuthorityDecision",
    "CanRead": true,
    "CanWrite": false,
    "MaskStrategy": "plain",
    "SemanticTypeIri": "urn:effortless:pko-extension#FieldGrant",
    "Name": "principal-knowledge-authority -&gt; ChangeRequests.AwaitsAuthorityDecision",
    "FieldTable": "ChangeRequests",
    "FieldName": "AwaitsAuthorityDecision",
    "FieldIsDerived": true,
    "IsWritableDerivedField": false,
    "IsMasked": false,
    "GrantKeyWhenReadable": "principal-knowledge-authority|ChangeRequests"
   },
   {
    "FieldGrantId": "fg-knowledge-authority-ChangeRequests.AuthorityRoleLabel",
    "Principal": "principal-knowledge-authority",
    "TargetField": "ChangeRequests.AuthorityRoleLabel",
    "CanRead": true,
    "CanWrite": false,
    "MaskStrategy": "plain",
    "SemanticTypeIri": "urn:effortless:pko-extension#FieldGrant",
    "Name": "principal-knowledge-authority -&gt; ChangeRequests.AuthorityRoleLabel",
    "FieldTable": "ChangeRequests",
    "FieldName": "AuthorityRoleLabel",
    "FieldIsDerived": true,
    "IsWritableDerivedField": false,
    "IsMasked": false,
    "GrantKeyWhenReadable": "principal-knowledge-authority|ChangeRequests"
   },
   {
    "FieldGrantId": "fg-knowledge-authority-ChangeRequests.TouchesLiveVersion",
    "Principal": "principal-knowledge-authority",
    "TargetField": "ChangeRequests.TouchesLiveVersion",
    "CanRead": true,
    "CanWrite": false,
    "MaskStrategy": "plain",
    "SemanticTypeIri": "urn:effortless:pko-extension#FieldGrant",
    "Name": "principal-knowledge-authority -&gt; ChangeRequests.TouchesLiveVersion",
    "FieldTable": "ChangeRequests",
    "FieldName": "TouchesLiveVersion",
    "FieldIsDerived": true,
    "IsWritableDerivedField": false,
    "IsMasked": false,
    "GrantKeyWhenReadable": "principal-knowledge-authority|ChangeRequests"
   },
   {
    "FieldGrantId": "fg-knowledge-authority-ChangeRequests.IsLiveDecisionBacklog",
    "Principal": "principal-knowledge-authority",
    "TargetField": "ChangeRequests.IsLiveDecisionBacklog",
    "CanRead": true,
    "CanWrite": false,
    "MaskStrategy": "plain",
    "SemanticTypeIri": "urn:effortless:pko-extension#FieldGrant",
    "Name": "principal-knowledge-authority -&gt; ChangeRequests.IsLiveDecisionBacklog",
    "FieldTable": "ChangeRequests",
    "FieldName": "IsLiveDecisionBacklog",
    "FieldIsDerived": true,
    "IsWritableDerivedField": false,
    "IsMasked": false,
    "GrantKeyWhenReadable": "principal-knowledge-authority|ChangeRequests"
   },
   {
    "FieldGrantId": "fg-knowledge-authority-ChangeRequests.BlocksAnOpenGap",
    "Principal": "principal-knowledge-authority",
    "TargetField": "ChangeRequests.BlocksAnOpenGap",
    "CanRead": true,
    "CanWrite": false,
    "MaskStrategy": "plain",
    "SemanticTypeIri": "urn:effortless:pko-extension#FieldGrant",
    "Name": "principal-knowledge-authority -&gt; ChangeRequests.BlocksAnOpenGap",
    "FieldTable": "ChangeRequests",
    "FieldName": "BlocksAnOpenGap",
    "FieldIsDerived": true,
    "IsWritableDerivedField": false,
    "IsMasked": false,
    "GrantKeyWhenReadable": "principal-knowledge-authority|ChangeRequests"
   },
   {
    "FieldGrantId": "fg-knowledge-authority-ChangeRequests.ImplementedAt",
    "Principal": "principal-knowledge-authority",
    "TargetField": "ChangeRequests.ImplementedAt",
    "CanRead": true,
    "CanWrite": false,
    "MaskStrategy": "plain",
    "SemanticTypeIri": "urn:effortless:pko-extension#FieldGrant",
    "Name": "principal-knowledge-authority -&gt; ChangeRequests.ImplementedAt",
    "FieldTable": "ChangeRequests",
    "FieldName": "ImplementedAt",
    "FieldIsDerived": false,
    "IsWritableDerivedField": false,
    "IsMasked": false,
    "GrantKeyWhenReadable": "principal-knowledge-authority|ChangeRequests"
   },
   {
    "FieldGrantId": "fg-knowledge-authority-ChangeRequests.BacklogVersionKey",
    "Principal": "principal-knowledge-authority",
    "TargetField": "ChangeRequests.BacklogVersionKey",
    "CanRead": true,
    "CanWrite": false,
    "MaskStrategy": "plain",
    "SemanticTypeIri": "urn:effortless:pko-extension#FieldGrant",
    "Name": "principal-knowledge-authority -&gt; ChangeRequests.BacklogVersionKey",
    "FieldTable": "ChangeRequests",
    "FieldName": "BacklogVersionKey",
    "FieldIsDerived": true,
    "IsWritableDerivedField": false,
    "IsMasked": false,
    "GrantKeyWhenReadable": "principal-knowledge-authority|ChangeRequests"
   },
   {
    "FieldGrantId": "fg-knowledge-authority-ChangeRequests.IsMyPendingDecision",
    "Principal": "principal-knowledge-authority",
    "TargetField": "ChangeRequests.IsMyPendingDecision",
    "CanRead": true,
    "CanWrite": false,
    "MaskStrategy": "plain",
    "SemanticTypeIri": "urn:effortless:pko-extension#FieldGrant",
    "Name": "principal-knowledge-authority -&gt; ChangeRequests.IsMyPendingDecision",
    "FieldTable": "ChangeRequests",
    "FieldName": "IsMyPendingDecision",
    "FieldIsDerived": true,
    "IsWritableDerivedField": false,
    "IsMasked": false,
    "GrantKeyWhenReadable": "principal-knowledge-authority|ChangeRequests"
   },
   {
    "FieldGrantId": "fg-knowledge-authority-ChangeRequests.IsMyBlockingBacklog",
    "Principal": "principal-knowledge-authority",
    "TargetField": "ChangeRequests.IsMyBlockingBacklog",
    "CanRead": true,
    "CanWrite": false,
    "MaskStrategy": "plain",
    "SemanticTypeIri": "urn:effortless:pko-extension#FieldGrant",
    "Name": "principal-knowledge-authority -&gt; ChangeRequests.IsMyBlockingBacklog",
    "FieldTable": "ChangeRequests",
    "FieldName": "IsMyBlockingBacklog",
    "FieldIsDerived": true,
    "IsWritableDerivedField": false,
    "IsMasked": false,
    "GrantKeyWhenReadable": "principal-knowledge-authority|ChangeRequests"
   },
   {
    "FieldGrantId": "fg-knowledge-authority-ChangeRequests.IsMyOverdueBacklog",
    "Principal": "principal-knowledge-authority",
    "TargetField": "ChangeRequests.IsMyOverdueBacklog",
    "CanRead": true,
    "CanWrite": false,
    "MaskStrategy": "plain",
    "SemanticTypeIri": "urn:effortless:pko-extension#FieldGrant",
    "Name": "principal-knowledge-authority -&gt; ChangeRequests.IsMyOverdueBacklog",
    "FieldTable": "ChangeRequests",
    "FieldName": "IsMyOverdueBacklog",
    "FieldIsDerived": true,
    "IsWritableDerivedField": false,
    "IsMasked": false,
    "GrantKeyWhenReadable": "principal-knowledge-authority|ChangeRequests"
   },
   {
    "FieldGrantId": "fg-knowledge-authority-ChangeRequests.IsImplemented",
    "Principal": "principal-knowledge-authority",
    "TargetField": "ChangeRequests.IsImplemented",
    "CanRead": true,
    "CanWrite": false,
    "MaskStrategy": "plain",
    "SemanticTypeIri": "urn:effortless:pko-extension#FieldGrant",
    "Name": "principal-knowledge-authority -&gt; ChangeRequests.IsImplemented",
    "FieldTable": "ChangeRequests",
    "FieldName": "IsImplemented",
    "</t>
  </si>
  <si>
    <t xml:space="preserve">FieldIsDerived": true,
    "IsWritableDerivedField": false,
    "IsMasked": false,
    "GrantKeyWhenReadable": "principal-knowledge-authority|ChangeRequests"
   },
   {
    "FieldGrantId": "fg-knowledge-authority-ChangeRequests.IsMyDecidedRequest",
    "Principal": "principal-knowledge-authority",
    "TargetField": "ChangeRequests.IsMyDecidedRequest",
    "CanRead": true,
    "CanWrite": false,
    "MaskStrategy": "plain",
    "SemanticTypeIri": "urn:effortless:pko-extension#FieldGrant",
    "Name": "principal-knowledge-authority -&gt; ChangeRequests.IsMyDecidedRequest",
    "FieldTable": "ChangeRequests",
    "FieldName": "IsMyDecidedRequest",
    "FieldIsDerived": true,
    "IsWritableDerivedField": false,
    "IsMasked": false,
    "GrantKeyWhenReadable": "principal-knowledge-authority|ChangeRequests"
   },
   {
    "FieldGrantId": "fg-knowledge-authority-ChangeRequests.IsMyDecidedButUnlanded",
    "Principal": "principal-knowledge-authority",
    "TargetField": "ChangeRequests.IsMyDecidedButUnlanded",
    "CanRead": true,
    "CanWrite": false,
    "MaskStrategy": "plain",
    "SemanticTypeIri": "urn:effortless:pko-extension#FieldGrant",
    "Name": "principal-knowledge-authority -&gt; ChangeRequests.IsMyDecidedButUnlanded",
    "FieldTable": "ChangeRequests",
    "FieldName": "IsMyDecidedButUnlanded",
    "FieldIsDerived": true,
    "IsWritableDerivedField": false,
    "IsMasked": false,
    "GrantKeyWhenReadable": "principal-knowledge-authority|ChangeRequests"
   },
   {
    "FieldGrantId": "fg-knowledge-authority-ChangeRequests.DecisionLatencyDays",
    "Principal": "principal-knowledge-authority",
    "TargetField": "ChangeRequests.DecisionLatencyDays",
    "CanRead": true,
    "CanWrite": false,
    "MaskStrategy": "plain",
    "SemanticTypeIri": "urn:effortless:pko-extension#FieldGrant",
    "Name": "principal-knowledge-authority -&gt; ChangeRequests.DecisionLatencyDays",
    "FieldTable": "ChangeRequests",
    "FieldName": "DecisionLatencyDays",
    "FieldIsDerived": true,
    "IsWritableDerivedField": false,
    "IsMasked": false,
    "GrantKeyWhenReadable": "principal-knowledge-authority|ChangeRequests"
   },
   {
    "FieldGrantId": "fg-knowledge-authority-ChangeRequests.ImplementationLatencyDays",
    "Principal": "principal-knowledge-authority",
    "TargetField": "ChangeRequests.ImplementationLatencyDays",
    "CanRead": true,
    "CanWrite": false,
    "MaskStrategy": "plain",
    "SemanticTypeIri": "urn:effortless:pko-extension#FieldGrant",
    "Name": "principal-knowledge-authority -&gt; ChangeRequests.ImplementationLatencyDays",
    "FieldTable": "ChangeRequests",
    "FieldName": "ImplementationLatencyDays",
    "FieldIsDerived": true,
    "IsWritableDerivedField": false,
    "IsMasked": false,
    "GrantKeyWhenReadable": "principal-knowledge-authority|ChangeRequests"
   },
   {
    "FieldGrantId": "fg-knowledge-authority-ChangeRequests.DelayIsDownstreamOfMe",
    "Principal": "principal-knowledge-authority",
    "TargetField": "ChangeRequests.DelayIsDownstreamOfMe",
    "CanRead": true,
    "CanWrite": false,
    "MaskStrategy": "plain",
    "SemanticTypeIri": "urn:effortless:pko-extension#FieldGrant",
    "Name": "principal-knowledge-authority -&gt; ChangeRequests.DelayIsDownstreamOfMe",
    "FieldTable": "ChangeRequests",
    "FieldName": "DelayIsDownstreamOfMe",
    "FieldIsDerived": true,
    "IsWritableDerivedField": false,
    "IsMasked": false,
    "GrantKeyWhenReadable": "principal-knowledge-authority|ChangeRequests"
   },
   {
    "FieldGrantId": "fg-knowledge-authority-ChangeRequests.UnlandedVersionKey",
    "Principal": "principal-knowledge-authority",
    "TargetField": "ChangeRequests.UnlandedVersionKey",
    "CanRead": true,
    "CanWrite": false,
    "MaskStrategy": "plain",
    "SemanticTypeIri": "urn:effortless:pko-extension#FieldGrant",
    "Name": "principal-knowledge-authority -&gt; ChangeRequests.UnlandedVersionKey",
    "FieldTable": "ChangeRequests",
    "FieldName": "UnlandedVersionKey",
    "FieldIsDerived": true,
    "IsWritableDerivedField": false,
    "IsMasked": false,
    "GrantKeyWhenReadable": "principal-knowledge-authority|ChangeRequests"
   },
   {
    "FieldGrantId": "fg-knowledge-authority-ChangeRequests.IsApprovedNotImplemented",
    "Principal": "principal-knowledge-authority",
    "TargetField": "ChangeRequests.IsApprovedNotImplemented",
    "CanRead": true,
    "CanWrite": false,
    "MaskStrategy": "plain",
    "SemanticTypeIri": "urn:effortless:pko-extension#FieldGrant",
    "Name": "principal-knowledge-authority -&gt; ChangeRequests.IsApprovedNotImplemented",
    "FieldTable": "ChangeRequests",
    "FieldName": "IsApprovedNotImplemented",
    "FieldIsDerived": true,
    "IsWritableDerivedField": false,
    "IsMasked": false,
    "GrantKeyWhenReadable": "principal-knowledge-authority|ChangeRequests"
   },
   {
    "FieldGrantId": "fg-knowledge-authority-ChangeRequests.DaysSinceApproval",
    "Principal": "principal-knowledge-authority",
    "TargetField": "ChangeRequests.DaysSinceApproval",
    "CanRead": true,
    "CanWrite": false,
    "MaskStrategy": "plain",
    "SemanticTypeIri": "urn:effortless:pko-extension#FieldGrant",
    "Name": "principal-knowledge-authority -&gt; ChangeRequests.DaysSinceApproval",
    "FieldTable": "ChangeRequests",
    "FieldName": "DaysSinceApproval",
    "FieldIsDerived": true,
    "IsWritableDerivedField": false,
    "IsMasked": false,
    "GrantKeyWhenReadable": "principal-knowledge-authority|ChangeRequests"
   },
   {
    "FieldGrantId": "fg-knowledge-authority-ChangeRequests.IsStalledImplementation",
    "Principal": "principal-knowledge-authority",
    "TargetField": "ChangeRequests.IsStalledImplementation",
    "CanRead": true,
    "CanWrite": false,
    "MaskStrategy": "plain",
    "SemanticTypeIri": "urn:effortless:pko-extension#FieldGrant",
    "Name": "principal-knowledge-authority -&gt; ChangeRequests.IsStalledImplementation",
    "FieldTable": "ChangeRequests",
    "FieldName": "IsStalledImplementation",
    "FieldIsDerived": true,
    "IsWritableDerivedField": false,
    "IsMasked": false,
    "GrantKeyWhenReadable": "principal-knowledge-authority|ChangeRequests"
   },
   {
    "FieldGrantId": "fg-knowledge-authority-ChangeRequests.StalledImplementationVersionKey",
    "Principal": "principal-knowledge-authority",
    "TargetField": "ChangeRequests.StalledImplementationVersionKey",
    "CanRead": true,
    "CanWrite": false,
    "MaskStrategy": "plain",
    "SemanticTypeIri": "urn:effortless:pko-extension#FieldGrant",
    "Name": "principal-knowledge-authority -&gt; ChangeRequests.StalledImplementationVersionKey",
    "FieldTable": "ChangeRequests",
    "FieldName": "StalledImplementationVersionKey",
    "FieldIsDerived": true,
    "IsWritableDerivedField": false,
    "IsMasked": false,
    "GrantKeyWhenReadable": "principal-knowledge-authority|ChangeRequests"
   },
   {
    "FieldGrantId": "fg-knowledge-authority-ChangeRequests.ApprovedVersionKey",
    "Principal": "principal-knowledge-authority",
    "TargetField": "ChangeRequests.ApprovedVersionKey",
    "CanRead": true,
    "CanWrite": false,
    "MaskStrategy": "plain",
    "SemanticTypeIri": "urn:effortless:pko-extension#FieldGrant",
    "Name": "principal-knowledge-authority -&gt; ChangeRequests.ApprovedVersionKey",
    "FieldTable": "ChangeRequests",
    "FieldName": "ApprovedVersionKey",
    "FieldIsDerived": true,
    "IsWritableDerivedField": false,
    "IsMasked": false,
    "GrantKeyWhenReadable": "principal-knowledge-authority|ChangeRequests"
   },
   {
    "FieldGrantId": "fg-knowledge-authority-ChangeRequests.IsApprovedDecision",
    "Principal": "principal-knowledge-authority",
    "TargetField": "ChangeRequests.IsApprovedDecision",
    "CanRead": true,
    "CanWrite": false,
    "MaskStrategy": "plain",
    "SemanticTypeIri": "urn:effortless:pko-extension#FieldGrant",
    "Name": "principal-knowledge-authority -&gt; ChangeRequests.IsApprovedDecision",
    "FieldTable": "ChangeRequests",
    "FieldName": "IsApprovedDecision",
    "FieldIsDerived": true,
    "IsWritableDerivedField": false,
    "IsMasked": false,
    "GrantKeyWhenReadable": "principal-knowledge-authority|ChangeRequests"
   },
   {
    "FieldGrantId": "fg-knowledge-authority-ChangeRequests.SemanticTypeIri",
    "Principal": "principal-knowledge-authority",
    "TargetField": "ChangeRequests.SemanticTypeIri",
    "CanRead": true,
    "CanWrite": false,
    "MaskStrategy": "plain",
    "SemanticTypeIri": "urn:effortless:pko-extension#FieldGrant",
    "Name": "principal-knowledge-authority -&gt; ChangeRequests.SemanticTypeIri",
    "FieldTable": "ChangeRequests",
    "FieldName": "SemanticTypeIri",
    "FieldIsDerived": false,
    "IsWritableDerivedField": false,
    "IsMasked": false,
    "GrantKeyWhenReadable": "principal-knowledge-authority|ChangeRequests"
   },
   {
    "FieldGrantId": "fg-knowledge-authority-CommunicationPolicies.CommunicationPolicyId",
    "Principal": "principal-knowledge-authority",
    "TargetField": "CommunicationPolicies.CommunicationPolicyId",
    "CanRead": true,
    "CanWrite": false,
    "MaskStrategy": "plain",
    "SemanticTypeIri": "urn:effortless:pko-extension#FieldGrant",
    "Name": "principal-knowledge-authority -&gt; CommunicationPolicies.CommunicationPolicyId",
    "FieldTable": "CommunicationPolicies",
    "FieldName": "CommunicationPolicyId",
    "FieldIsDerived": false,
    "IsWritableDerivedField": false,
    "IsMasked": false,
    "GrantKeyWhenReadable": "principal-knowledge-authority|CommunicationPolicies"
   },
   {
    "FieldGrantId": "fg-knowledge-authority-CommunicationPolicies.Name",
    "Principal": "principal-knowledge-authority",
    "TargetField": "CommunicationPolicies.Name",
    "CanRead": true,
    "CanWrite": false,
    "MaskStrategy": "plain",
    "SemanticTypeIri": "urn:effortless:pko-extension#FieldGrant",
    "Name": "principal-knowledge-authority -&gt; CommunicationPolicies.Name",
    "FieldTable": "CommunicationPolicies",
    "FieldName": "Name",
    "FieldIsDerived": true,
    "IsWritableDerivedField": false,
    "IsMasked": false,
    "GrantKeyWhenReadable": "principal-knowledge-authority|CommunicationPolicies"
   },
   {
    "FieldGrantId": "fg-knowledge-authority-CommunicationPolicies.ProcedureVersion",
    "Principal": "principal-knowledge-authority",
    "TargetField": "CommunicationPolicies.ProcedureVersion",
    "CanRead": true,
    "CanWrite": false,
    "MaskStrategy": "plain",
    "SemanticTypeIri": "urn:effortless:pko-extension#FieldGrant",
    "Name": "principal-knowledge-authority -&gt; CommunicationPolicies.ProcedureVersion",
    "FieldTable": "CommunicationPolicies",
    "FieldName": "ProcedureVersion",
    "FieldIsDerived": false,
    "IsWritableDerivedField": false,
    "IsMasked": false,
    "GrantKeyWhenReadable": "principal-knowledge-authority|CommunicationPolicies"
   },
   {
    "FieldGrantId": "fg-knowledge-authority-CommunicationPolicies.Channel",
    "Principal": "principal-knowledge-authority",
    "TargetField": "CommunicationPolicies.Channel",
    "CanRead": true,
    "CanWrite": false,
    "MaskStrategy": "plain",
    "SemanticTypeIri": "urn:effortless:pko-extension#FieldGrant",
    "Name": "principal-knowledge-authority -&gt; CommunicationPolicies.Channel",
    "FieldTable": "CommunicationPolicies",
    "FieldName": "Channel",
    "FieldIsDerived": false,
    "IsWritableDerivedField": false,
    "IsMasked": false,
    "GrantKeyWhenReadable": "principal-knowledge-authority|CommunicationPolicies"
   },
   {
    "FieldGrantId": "fg-knowledge-authority-CommunicationPolicies.AudienceRule",
    "Principal": "principal-knowledge-authority",
    "TargetField": "CommunicationPolicies.AudienceRule",
    "CanRead": true,
    "CanWrite": false,
    "MaskStrategy": "plain",
    "SemanticTypeIri": "urn:effortless:pko-extension#FieldGrant",
    "Name": "principal-knowledge-authority -&gt; CommunicationPolicies.AudienceRule",
    "FieldTable": "CommunicationPolicies",
    "FieldName": "AudienceRule",
    "FieldIsDerived": false,
    "IsWritableDerivedField": false,
    "IsMasked": false,
    "GrantKeyWhenReadable": "principal-knowledge-authority|CommunicationPolicies"
   },
   {
    "FieldGrantId": "fg-knowledge-authority-CommunicationPolicies.ConsentRequired",
    "Principal": "principal-knowledge-authority",
    "TargetField": "CommunicationPolicies.ConsentRequired",
    "CanRead": true,
    "CanWrite": false,
    "MaskStrategy": "plain",
    "SemanticTypeIri": "urn:effortless:pko-extension#FieldGrant",
    "Name": "principal-knowledge-authority -&gt; CommunicationPolicies.ConsentRequired",
    "FieldTable": "CommunicationPolicies",
    "FieldName": "ConsentRequired",
    "FieldIsDerived": false,
    "IsWritableDerivedField": false,
    "IsMasked": false,
    "GrantKeyWhenReadable": "principal-knowledge-authority|CommunicationPolicies"
   },
   {
    "FieldGrantId": "fg-knowledge-authority-CommunicationPolicies.QuietHoursStart",
    "Principal": "principal-knowledge-authority",
    "TargetField": "CommunicationPolicies.QuietHoursStart",
    "CanRead": true,
    "CanWrite": false,
    "MaskStrategy": "plain",
    "SemanticTypeIri": "urn:effortless:pko-extension#FieldGrant",
    "Name": "principal-knowledge-authority -&gt; CommunicationPolicies.QuietHoursStart",
    "FieldTable": "CommunicationPolicies",
    "FieldName": "QuietHoursStart",
    "FieldIsDerived": false,
    "IsWritableDerivedField": false,
    "IsMasked": false,
    "GrantKeyWhenReadable": "principal-knowledge-authority|CommunicationPolicies"
   },
   {
    "FieldGrantId": "fg-knowledge-authority-CommunicationPolicies.QuietHoursEnd",
    "Principal": "principal-knowledge-authority",
    "TargetField": "CommunicationPolicies.QuietHoursEnd",
    "CanRead": true,
    "CanWrite": false,
    "MaskStrategy": "plain",
    "SemanticTypeIri": "urn:effortless:pko-extension#FieldGrant",
    "Name": "principal-knowledge-authority -&gt; CommunicationPolicies.QuietHoursEnd",
    "FieldTable": "CommunicationPolicies",
    "FieldName": "QuietHoursEnd",
    "FieldIsDerived": false,
    "IsWritableDerivedField": false,
    "IsMasked": false,
    "GrantKeyWhenReadable": "principal-knowledge-authority|CommunicationPolicies"
   },
   {
    "FieldGrantId": "fg-knowledge-authority-CommunicationPolicies.MaxMessageLength",
    "Principal": "principal-knowledge-authority",
    "TargetField": "CommunicationPolicies.MaxMessageLength",
    "CanRead": true,
    "CanWrite": false,
    "MaskStrategy": "plain",
    "SemanticTypeIri": "urn:effortless:pko-extension#FieldGrant",
    "Name": "principal-knowledge-authority -&gt; CommunicationPolicies.MaxMessageLength",
    "FieldTable": "CommunicationPolicies",
    "FieldName": "MaxMessageLength",
    "FieldIsDerived": false,
    "IsWritableDerivedField": false,
    "IsMasked": false,
    "GrantKeyWhenReadable": "principal-knowledge-authority|CommunicationPolicies"
   },
   {
    "FieldGrantId": "fg-knowledge-authority-CommunicationPolicies.MaxSegments",
    "Principal": "principal-knowledge-authority",
    "TargetField": "CommunicationPolicies.MaxSegments",
    "CanRead": true,
    "CanWrite": false,
    "MaskStrategy": "plain",
    "SemanticTypeIri": "urn:effortless:pko-extension#FieldGrant",
    "Name": "principal-knowledge-authority -&gt; CommunicationPolicies.MaxSegments",
    "FieldTable": "CommunicationPolicies",
    "FieldName": "MaxSegments",
    "FieldIsDerived": false,
    "IsWritableDerivedField": false,
    "IsMasked": false,
    "GrantKeyWhenReadable": "principal-knowledge-authority|CommunicationPolicies"
   },
   {
    "FieldGrantId": "fg-knowledge-authority-CommunicationPolicies.RetentionDays",
    "Principal": "principal-knowledge-authority",
    "TargetField": "CommunicationPolicies.RetentionDays",
    "CanRead": true,
    "CanWrite": false,
    "MaskStrategy": "plain",
    "SemanticTypeIri": "urn:effortless:pko-extension#FieldGrant",
    "Name": "principal-knowledge-authority -&gt; CommunicationPolicies.RetentionDays",
    "FieldTable": "CommunicationPolicies",
    "FieldName": "RetentionDays",
    "FieldIsDerived": false,
    "IsWritableDerivedField": false,
    "IsMasked": false,
    "GrantKeyWhenReadable": "principal-knowledge-authority|CommunicationPolicies"
   },
   {
    "FieldGrantId": "fg-knowledge-authority-CommunicationPolicies.ApprovalRole",
    "Principal": "principal-knowledge-authority",
    "TargetField": "CommunicationPolicies.ApprovalRole",
    "CanRead": true,
    "CanWrite": false,
    "MaskStrategy": "plain",
    "SemanticTypeIri": "urn:effortless:pko-extension#FieldGrant",
    "Name": "principal-knowledge-authority -&gt; CommunicationPolicies.ApprovalRole",
    "FieldTable": "CommunicationPolicies",
    "FieldName": "ApprovalRole",
    "FieldIsDerived": false,
    "IsWritableDerivedField": false,
    "IsMasked": false,
    "GrantKeyWhenReadable": "principal-knowledge-authority|CommunicationPolicies"
   },
   {
    "FieldGrantId": "fg-knowledge-authority-CommunicationPolicies.RequiredContent",
    "Principal": "principal-knowledge-authority",
    "TargetField": "CommunicationPolicies.RequiredContent",
    "CanRead": true,
    "CanWrite": false,
    "MaskStrategy": "plain",
    "SemanticTypeIri": "urn:effortless:pko-extension#FieldGrant",
    "Name": "principal-knowledge-authority -&gt; CommunicationPolicies.RequiredContent",
    "FieldTable": "CommunicationPolicies",
    "FieldName": "RequiredContent",
    "FieldIsDerived": false,
    "IsWritableDerivedField": false,
    "IsMasked": false,
    "GrantKeyWhenReadable": "principal-knowledge-authority|CommunicationPolicies"
   },
   {
    "FieldGrantId": "fg-knowledge-authority-CommunicationPolicies.AuthorityStatement",
    "Principal": "principal-knowledge-authority",
    "TargetField": "CommunicationPolicies.AuthorityStatement",
    "CanRead": true,
    "CanWrite": false,
    "MaskStrategy": "plain",
    "SemanticTypeIri": "urn:effortless:pko-extension#FieldGrant",
    "Name": "principal-knowledge-authority -&gt; CommunicationPolicies.AuthorityStatement",
    "FieldTable": "CommunicationPolicies",
    "FieldName": "AuthorityStatement",
    "FieldIsDerived": false,
    "IsWritableDerivedField": false,
    "IsMasked": false,
    "GrantKeyWhenReadable": "principal-knowledge-authority|CommunicationPolicies"
   },
   {
    "FieldGrantId": "fg-knowledge-authority-CommunicationPolicies.Status",
    "Principal": "principal-knowledge-authority",
    "TargetField": "CommunicationPolicies.Status",
    "CanRead": true,
    "CanWrite": false,
    "MaskStrategy": "plain",
    "SemanticTypeIri": "urn:effortless:pko-extension#FieldGrant",
    "Name": "principal-knowledge-authority -&gt; CommunicationPolicies.Status",
    "FieldTable": "CommunicationPolicies",
    "FieldName": "Status",
    "FieldIsDerived": false,
    "IsWritableDerivedField": false,
    "IsMasked": false,
    "GrantKeyWhenReadable": "principal-knowledge-authority|CommunicationPolicies"
   },
   {
    "FieldGrantId": "fg-knowledge-authority-CommunicationPolicies.ConsentViolationCount",
    "Principal": "principal-knowledge-authority",
    "TargetField": "CommunicationPolicies.ConsentViolationCount",
    "CanRead": true,
    "CanWrite": false,
    "MaskStrategy": "plain",
    "SemanticTypeIri": "urn:effortless:pko-extension#FieldGrant",
    "Name": "principal-knowledge-authority -&gt; CommunicationPolicies.ConsentViolationCount",
    "FieldTable": "CommunicationPolicies",
    "FieldName": "ConsentViolationCount",
    "FieldIsDerived": true,
    "IsWritableDerivedField": false,
    "IsMasked": false,
    "GrantKeyWhenReadable": "principal-knowledge-authority|CommunicationPolicies"
   },
   {
    "FieldGrantId": "fg-knowledge-authority-CommunicationPolicies.QuietHoursStartHour",
    "Principal": "principal-knowledge-authority",
    "TargetField": "CommunicationPolicies.QuietHoursStartHour",
    "CanRead": true,
    "CanWrite": false,
    "MaskStrategy": "plain",
    "SemanticTypeIri": "urn:effortless:pko-extension#FieldGrant",
    "Name": "principal-knowledge-authority -&gt; CommunicationPolicies.QuietHoursStartHour",
    "FieldTable": "CommunicationPolicies",
    "FieldName": "QuietHoursStartHour",
    "FieldIsDerived": false,
    "IsWritableDerivedField": false,
    "IsMasked": false,
    "GrantKeyWhenReadable": "principal-knowledge-authority|CommunicationPolicies"
   },
   {
    "FieldGrantId": "fg-knowledge-authority-CommunicationPolicies.QuietHoursEndHour",
    "Principal": "principal-knowledge-authority",
    "TargetField": "CommunicationPolicies.QuietHoursEndHour",
    "CanRead": true,
    "CanWrite": false,
    "MaskStrategy": "plain",
    "SemanticTypeIri": "urn:effortless:pko-extension#FieldGrant",
    "Name": "principal-knowledge-authority -&gt; CommunicationPolicies.QuietHoursEndHour",
    "FieldTable": "CommunicationPolicies",
    "FieldName": "QuietHoursEndHour",
    "FieldIsDerived": false,
    "IsWritableDerivedField": false,
    "IsMasked": false,
    "GrantKeyWhenReadable": "principal-knowledge-authority|CommunicationPolicies"
   },
   {
    "FieldGrantId": "fg-knowledge-authority-CommunicationPolicies.QuietHoursViolationCount",
    "Principal": "principal-knowledge-authority",
    "TargetField": "CommunicationPolicies.QuietHoursViolationCount",
    "CanRead": true,
    "CanWrite": false,
    "MaskStrategy": "plain",
    "SemanticTypeIri": "urn:effortless:pko-extension#FieldGrant",
    "Name": "principal-knowledge-authority -&gt; CommunicationPolicies.QuietHoursViolationCount",
    "FieldTable": "CommunicationPolicies",
    "FieldName": "QuietHoursViolationCount",
    "FieldIsDerived": true,
    "IsWritableDerivedField": false,
    "IsMasked": false,
    "GrantKeyWhenReadable": "principal-knowledge-authority|CommunicationPolicies"
   },
   {
    "FieldGrantId": "fg-knowledge-authority-CommunicationPolicies.RequiredOptOutPhrase",
    "Principal": "principal-knowledge-authority",
    "TargetField": "CommunicationPolicies.RequiredOptOutPhrase",
    "CanRead": true,
    "CanWrite": false,
    "MaskStrategy": "plain",
    "SemanticTypeIri": "urn:effortless:pko-extension#FieldGrant",
    "Name": "principal-knowledge-authority -&gt; CommunicationPolicies.RequiredOptOutPhrase",
    "FieldTable": "CommunicationPolicies",
    "FieldName": "RequiredOptOutPhrase",
    "FieldIsDerived": false,
    "IsWritableDerivedField": false,
    "IsMasked": false,
    "GrantKeyWhenReadable": "principal-knowledge-authority|CommunicationPolicies"
   },
   {
    "FieldGrantId": "fg-knowledge-authority-CommunicationPolicies.IsActivePolicy",
    "Principal": "principal-knowledge-authority",
    "TargetField": "CommunicationPolicies.IsActivePolicy",
    "CanRead": true,
    "CanWrite": false,
    "MaskStrategy": "plain",
    "SemanticTypeIri": "urn:effortless:pko-extension#FieldGrant",
    "Name": "principal-knowledge-authority -&gt; CommunicationPolicies.IsActivePolicy",
    "FieldTable": "CommunicationPolicies",
    "FieldName": "IsActivePolicy",
    "FieldIsDerived": true,
    "IsWritableDerivedField": false,
    "IsMasked": false,
    "GrantKeyWhenReadable": "principal-knowledge-authority|CommunicationPolicies"
   },
   {
    "FieldGrantId": "fg-knowledge-authority-CommunicationPolicies.SemanticTypeIri",
    "Principal": "principal-knowledge-authority",
    "TargetField": "CommunicationPolicies.SemanticTypeIri",
    "CanRead": true,
    "CanWrite": false,
    "MaskStrategy": "plain",
    "SemanticTypeIri": "urn:effortless:pko-extension#FieldGrant",
    "Name": "principal-knowledge-authority -&gt; CommunicationPolicies.SemanticTypeIri",
    "FieldTable": "CommunicationPolicies",
    "FieldName": "SemanticTypeIri",
    "FieldIsDerived": false,
    "IsWritableDerivedField": false,
    "IsMasked": false,
    "GrantKeyWhenReadable": "principal-knowledge-authority|CommunicationPolicies"
   },
   {
    "FieldGrantId": "fg-knowledge-authority-CommunitiesOfPractice.CommunityOfPracticeId",
    "Principal": "principal-knowledge-authority",
    "TargetField": "CommunitiesOfPractice.CommunityOfPracticeId",
    "CanRead": true,
    "CanWrite": false,
    "MaskStrategy": "plain",
    "SemanticTypeIri": "urn:effortless:pko-extension#FieldGrant",
    "Name": "principal-knowledge-authority -&gt; CommunitiesOfPractice.CommunityOfPracticeId",
    "FieldTable": "CommunitiesOfPractice",
    "FieldName": "CommunityOfPracticeId",
    "FieldIsDerived": false,
    "IsWritableDerivedField": false,
    "IsMasked": false,
    "GrantKeyWhenReadable": "principal-knowledge-authority|CommunitiesOfPractice"
   },
   {
    "FieldGrantId": "fg-knowledge-authority-CommunitiesOfPractice.Name",
    "Principal": "principal-knowledge-authority",
    "TargetField": "CommunitiesOfPractice.Name",
    "CanRead": true,
    "CanWrite": false,
    "MaskStrategy": "plain",
    "SemanticTypeIri": "urn:effortless:pko-extension#FieldGrant",
    "Name": "principal-knowledge-authority -&gt; CommunitiesOfPractice.Name",
    "FieldTable": "CommunitiesOfPractice",
    "FieldName": "Name",
    "FieldIsDerived": true,
    "IsWritableDerivedField": false,
    "IsMasked": false,
    "GrantKeyWhenReadable": "principal-knowledge-authority|CommunitiesOfPractice"
   },
   {
    "FieldGrantId": "fg-knowledge-authority-CommunitiesOfPractice.Label",
    "Principal": "principal-knowledge-authority",
    "TargetField": "CommunitiesOfPractice.Label",
    "CanRead": true,
    "CanWrite": false,
    "MaskStrategy": "plain",
    "SemanticTypeIri": "urn:effortless:pko-extension#FieldGrant",
    "Name": "principal-knowledge-authority -&gt; CommunitiesOfPractice.Label",
    "FieldTable": "CommunitiesOfPractice",
    "FieldName": "Label",
    "FieldIsDerived": false,
    "IsWritableDerivedField": false,
    "IsMasked": false,
    "GrantKeyWhenReadable": "principal-knowledge-authority|CommunitiesOfPractice"
   },
   {
    "FieldGrantId": "fg-knowledge-authority-CommunitiesOfPractice.Organization",
    "Principal": "principal-knowledge-authority",
    "TargetField": "CommunitiesOfPractice.Organization",
    "CanRead": true,
    "CanWrite": false,
    "MaskStrategy": "plain",
    "SemanticTypeIri": "urn:effortless:pko-extension#FieldGrant",
    "Name": "principal-knowledge-authority -&gt; CommunitiesOfPractice.Organization",
    "FieldTable": "CommunitiesOfPractice",
    "FieldName": "Organization",
    "FieldIsDerived": false,
    "IsWritableDerivedField": false,
    "IsMasked": false,
    "GrantKeyWhenReadable": "principal-knowledge-authority|CommunitiesOfPractice"
   },
   {
    "FieldGrantId": "fg-knowledge-authority-CommunitiesOfPractice.StewardRole",
    "Principal": "principal-knowledge-authority",
    "TargetField": "CommunitiesOfPractice.StewardRole",
    "CanRead": true,
    "CanWrite": false,
    "MaskStrategy": "plain",
    "SemanticTypeIri": "urn:effortless:pko-extension#FieldGrant",
    "Name": "principal-knowledge-authority -&gt; CommunitiesOfPractice.StewardRole",
    "FieldTable": "CommunitiesOfPractice",
    "FieldName": "StewardRole",
    "FieldIsDerived": false,
    "IsWritableDerivedField": false,
    "IsMasked": false,
    "GrantKeyWhenReadable": "principal-knowledge-authority|CommunitiesOfPractice"
   },
   {
    "FieldGrantId": "fg-knowledge-authority-CommunitiesOfPractice.Purpose",
    "Principal": "principal-knowledge-authority",
    "TargetField": "CommunitiesOfPractice.Purpose",
    "CanRead": true,
    "CanWrite": false,
    "MaskStrategy": "plain",
    "SemanticTypeIri": "urn:effortless:pko-extension#FieldGrant",
    "Name": "principal-knowledge-authority -&gt; CommunitiesOfPractice.Purpose",
    "FieldTable": "CommunitiesOfPractice",
    "FieldName": "Purpose",
    "FieldIsDerived": false,
    "IsWritableDerivedField": false,
    "IsMasked": false,
    "GrantKeyWhenReadable": "principal-knowledge-authority|CommunitiesOfPractice"
   },
   {
    "FieldGrantId": "fg-knowledge-authority-CommunitiesOfPractice.Cadence",
    "Principal": "principal-knowledge-authority",
    "TargetField": "CommunitiesOfPractice.Cadence",
    "CanRead": true,
    "CanWrite": false,
    "MaskStrategy": "plain",
    "SemanticTypeIri": "urn:effortless:pko-extension#FieldGrant",
    "Name": "principal-knowledge-authority -&gt; CommunitiesOfPractice.Cadence",
    "FieldTable": "CommunitiesOfPractice",
    "FieldName": "Cadence",
    "FieldIsDerived": false,
    "IsWritableDerivedField": false,
    "IsMasked": false,
    "GrantKeyWhenReadable": "principal-knowledge-authority|CommunitiesOfPractice"
   },
   {
    "FieldGrantId": "fg-knowledge-authority-CommunitiesOfPractice.SemanticTypeIri",
    "Principal": "principal-knowledge-authority",
    "TargetField": "CommunitiesOfPractice.SemanticTypeIri",
    "CanRead": true,
    "CanWrite": false,
    "MaskStrategy": "plain",
    "SemanticTypeIri": "urn:effortless:pko-extension#FieldGrant",
    "Name": "principal-knowledge-authority -&gt; CommunitiesOfPractice.SemanticTypeIri",
    "FieldTable": "CommunitiesOfPractice",
    "FieldName": "SemanticTypeIri",
    "FieldIsDerived": false,
    "IsWritableDerivedField": false,
    "IsMasked": false,
    "GrantKeyWhenReadable": "principal-knowledge-authority|CommunitiesOfPractice"
   },
   {
    "FieldGrantId": "fg-knowledge-authority-DeliveredCommunications.DeliveredCommunicationId",
    "Principal": "principal-knowledge-authority",
    "TargetField": "DeliveredCommunications.DeliveredCommunicationId",
    "CanRead": true,
    "CanWrite": false,
    "MaskStrategy": "plain",
    "SemanticTypeIri": "urn:effortless:pko-extension#FieldGrant",
    "Name": "principal-knowledge-authority -&gt; DeliveredCommunications.DeliveredCommunicationId",
    "FieldTable": "DeliveredCommunications",
    "FieldName": "DeliveredCommunicationId",
    "FieldIsDerived": false,
    "IsWritableDerivedField": false,
    "IsMasked": false,
    "GrantKeyWhenReadable": "principal-knowledge-authority|DeliveredCommunications"
   },
   {
    "FieldGrantId": "fg-knowledge-authority-DeliveredCommunications.Name",
    "Principal": "principal-knowledge-authority",
    "TargetField": "DeliveredCommunications.Name",
    "CanRead": true,
    "CanWrite": false,
    "MaskStrategy": "plain",
    "SemanticTypeIri": "urn:effortless:pko-extension#FieldGrant",
    "Name": "principal-knowledge-authority -&gt; DeliveredCommunications.Name",
    "FieldTable": "DeliveredCommunications",
    "FieldName": "Name",
    "FieldIsDerived": true,
    "IsWritableDerivedField": false,
    "IsMasked": false,
    "GrantKeyWhenReadable": "principal-knowledge-authority|DeliveredCommunications"
   },
   {
    "FieldGrantId": "fg-knowledge-authority-DeliveredCommunications.ProcedureExecution",
    "Principal": "principal-knowledge-authority",
    "TargetField": "DeliveredCommunications.ProcedureExecution",
    "CanRead": true,
    "CanWrite": false,
    "MaskStrategy": "plain",
    "SemanticTypeIri": "urn:effortless:pko-extension#FieldGrant",
    "Name": "principal-knowledge-authority -&gt; DeliveredCommunications.ProcedureExecution",
    "FieldTable": "DeliveredCommunications",
    "FieldName": "ProcedureExecution",
    "FieldIsDerived": false,
    "IsWritableDerivedField": false,
    "IsMasked": false,
    "GrantKeyWhenReadable": "principal-knowledge-authority|DeliveredCommunications"
   },
   {
    "FieldGrantId": "fg-knowledge-authority-DeliveredCommunications.SendingStepExecution",
    "Principal": "principal-knowledge-authority",
    "TargetField": "DeliveredCommunications.SendingStepExecution",
    "CanRead": true,
    "CanWrite": false,
    "MaskStrategy": "plain",
    "SemanticTypeIri": "urn:effortless:pko-extension#FieldGrant",
    "Name": "principal-knowledge-authority -&gt; DeliveredCommunications.SendingStepExecution",
    "FieldTable": "DeliveredCommunications",
    "FieldName": "SendingStepExecution",
    "FieldIsDerived": false,
    "IsWritableDerivedField": false,
    "IsMasked": false,
    "GrantKeyWhenReadable": "principal-knowledge-authority|DeliveredCommunications"
   },
   {
    "FieldGrantId": "fg-knowledge-authority-DeliveredCommunications.AuthorizingStepExecution",
    "Principal": "principal-knowledge-authority",
    "TargetField": "DeliveredCommunications.AuthorizingStepExecution",
    "CanRead": true,
    "CanWrite": false,
    "MaskStrategy": "plain",
    "SemanticTypeIri": "urn:effortless:pko-extension#FieldGrant",
    "Name": "principal-knowledge-authority -&gt; DeliveredCommunications.AuthorizingStepExecution",
    "FieldTable": "DeliveredCommunications",
    "FieldName": "AuthorizingStepExecution",
    "FieldIsDerived": false,
    "IsWritableDerivedField": false,
    "IsMasked": false,
    "GrantKeyWhenReadable": "principal-knowledge-authority|DeliveredCommunications"
   },
   {
    "FieldGrantId": "fg-knowledge-authority-DeliveredCommunications.MessageTemplate",
    "Principal": "principal-knowledge-authority",
    "TargetField": "DeliveredCommunications.MessageTemplate",
   </t>
  </si>
  <si>
    <t xml:space="preserve"> "CanRead": true,
    "CanWrite": false,
    "MaskStrategy": "plain",
    "SemanticTypeIri": "urn:effortless:pko-extension#FieldGrant",
    "Name": "principal-knowledge-authority -&gt; DeliveredCommunications.MessageTemplate",
    "FieldTable": "DeliveredCommunications",
    "FieldName": "MessageTemplate",
    "FieldIsDerived": false,
    "IsWritableDerivedField": false,
    "IsMasked": false,
    "GrantKeyWhenReadable": "principal-knowledge-authority|DeliveredCommunications"
   },
   {
    "FieldGrantId": "fg-knowledge-authority-DeliveredCommunications.Channel",
    "Principal": "principal-knowledge-authority",
    "TargetField": "DeliveredCommunications.Channel",
    "CanRead": true,
    "CanWrite": false,
    "MaskStrategy": "plain",
    "SemanticTypeIri": "urn:effortless:pko-extension#FieldGrant",
    "Name": "principal-knowledge-authority -&gt; DeliveredCommunications.Channel",
    "FieldTable": "DeliveredCommunications",
    "FieldName": "Channel",
    "FieldIsDerived": false,
    "IsWritableDerivedField": false,
    "IsMasked": false,
    "GrantKeyWhenReadable": "principal-knowledge-authority|DeliveredCommunications"
   },
   {
    "FieldGrantId": "fg-knowledge-authority-DeliveredCommunications.RecipientKey",
    "Principal": "principal-knowledge-authority",
    "TargetField": "DeliveredCommunications.RecipientKey",
    "CanRead": true,
    "CanWrite": false,
    "MaskStrategy": "plain",
    "SemanticTypeIri": "urn:effortless:pko-extension#FieldGrant",
    "Name": "principal-knowledge-authority -&gt; DeliveredCommunications.RecipientKey",
    "FieldTable": "DeliveredCommunications",
    "FieldName": "RecipientKey",
    "FieldIsDerived": false,
    "IsWritableDerivedField": false,
    "IsMasked": false,
    "GrantKeyWhenReadable": "principal-knowledge-authority|DeliveredCommunications"
   },
   {
    "FieldGrantId": "fg-knowledge-authority-DeliveredCommunications.SentAt",
    "Principal": "principal-knowledge-authority",
    "TargetField": "DeliveredCommunications.SentAt",
    "CanRead": true,
    "CanWrite": false,
    "MaskStrategy": "plain",
    "SemanticTypeIri": "urn:effortless:pko-extension#FieldGrant",
    "Name": "principal-knowledge-authority -&gt; DeliveredCommunications.SentAt",
    "FieldTable": "DeliveredCommunications",
    "FieldName": "SentAt",
    "FieldIsDerived": false,
    "IsWritableDerivedField": false,
    "IsMasked": false,
    "GrantKeyWhenReadable": "principal-knowledge-authority|DeliveredCommunications"
   },
   {
    "FieldGrantId": "fg-knowledge-authority-DeliveredCommunications.RenderedContentHash",
    "Principal": "principal-knowledge-authority",
    "TargetField": "DeliveredCommunications.RenderedContentHash",
    "CanRead": true,
    "CanWrite": false,
    "MaskStrategy": "plain",
    "SemanticTypeIri": "urn:effortless:pko-extension#FieldGrant",
    "Name": "principal-knowledge-authority -&gt; DeliveredCommunications.RenderedContentHash",
    "FieldTable": "DeliveredCommunications",
    "FieldName": "RenderedContentHash",
    "FieldIsDerived": false,
    "IsWritableDerivedField": false,
    "IsMasked": false,
    "GrantKeyWhenReadable": "principal-knowledge-authority|DeliveredCommunications"
   },
   {
    "FieldGrantId": "fg-knowledge-authority-DeliveredCommunications.ApprovedContentHash",
    "Principal": "principal-knowledge-authority",
    "TargetField": "DeliveredCommunications.ApprovedContentHash",
    "CanRead": true,
    "CanWrite": false,
    "MaskStrategy": "plain",
    "SemanticTypeIri": "urn:effortless:pko-extension#FieldGrant",
    "Name": "principal-knowledge-authority -&gt; DeliveredCommunications.ApprovedContentHash",
    "FieldTable": "DeliveredCommunications",
    "FieldName": "ApprovedContentHash",
    "FieldIsDerived": false,
    "IsWritableDerivedField": false,
    "IsMasked": false,
    "GrantKeyWhenReadable": "principal-knowledge-authority|DeliveredCommunications"
   },
   {
    "FieldGrantId": "fg-knowledge-authority-DeliveredCommunications.DeliveryStatus",
    "Principal": "principal-knowledge-authority",
    "TargetField": "DeliveredCommunications.DeliveryStatus",
    "CanRead": true,
    "CanWrite": false,
    "MaskStrategy": "plain",
    "SemanticTypeIri": "urn:effortless:pko-extension#FieldGrant",
    "Name": "principal-knowledge-authority -&gt; DeliveredCommunications.DeliveryStatus",
    "FieldTable": "DeliveredCommunications",
    "FieldName": "DeliveryStatus",
    "FieldIsDerived": false,
    "IsWritableDerivedField": false,
    "IsMasked": false,
    "GrantKeyWhenReadable": "principal-knowledge-authority|DeliveredCommunications"
   },
   {
    "FieldGrantId": "fg-knowledge-authority-DeliveredCommunications.SemanticTypeIri",
    "Principal": "principal-knowledge-authority",
    "TargetField": "DeliveredCommunications.SemanticTypeIri",
    "CanRead": true,
    "CanWrite": false,
    "MaskStrategy": "plain",
    "SemanticTypeIri": "urn:effortless:pko-extension#FieldGrant",
    "Name": "principal-knowledge-authority -&gt; DeliveredCommunications.SemanticTypeIri",
    "FieldTable": "DeliveredCommunications",
    "FieldName": "SemanticTypeIri",
    "FieldIsDerived": false,
    "IsWritableDerivedField": false,
    "IsMasked": false,
    "GrantKeyWhenReadable": "principal-knowledge-authority|DeliveredCommunications"
   },
   {
    "FieldGrantId": "fg-knowledge-authority-DeliveredCommunications.HasAuthorization",
    "Principal": "principal-knowledge-authority",
    "TargetField": "DeliveredCommunications.HasAuthorization",
    "CanRead": true,
    "CanWrite": false,
    "MaskStrategy": "plain",
    "SemanticTypeIri": "urn:effortless:pko-extension#FieldGrant",
    "Name": "principal-knowledge-authority -&gt; DeliveredCommunications.HasAuthorization",
    "FieldTable": "DeliveredCommunications",
    "FieldName": "HasAuthorization",
    "FieldIsDerived": true,
    "IsWritableDerivedField": false,
    "IsMasked": false,
    "GrantKeyWhenReadable": "principal-knowledge-authority|DeliveredCommunications"
   },
   {
    "FieldGrantId": "fg-knowledge-authority-DeliveredCommunications.ContentMatchesApproval",
    "Principal": "principal-knowledge-authority",
    "TargetField": "DeliveredCommunications.ContentMatchesApproval",
    "CanRead": true,
    "CanWrite": false,
    "MaskStrategy": "plain",
    "SemanticTypeIri": "urn:effortless:pko-extension#FieldGrant",
    "Name": "principal-knowledge-authority -&gt; DeliveredCommunications.ContentMatchesApproval",
    "FieldTable": "DeliveredCommunications",
    "FieldName": "ContentMatchesApproval",
    "FieldIsDerived": true,
    "IsWritableDerivedField": false,
    "IsMasked": false,
    "GrantKeyWhenReadable": "principal-knowledge-authority|DeliveredCommunications"
   },
   {
    "FieldGrantId": "fg-knowledge-authority-DeliveredCommunications.AuthorizedAt",
    "Principal": "principal-knowledge-authority",
    "TargetField": "DeliveredCommunications.AuthorizedAt",
    "CanRead": true,
    "CanWrite": false,
    "MaskStrategy": "plain",
    "SemanticTypeIri": "urn:effortless:pko-extension#FieldGrant",
    "Name": "principal-knowledge-authority -&gt; DeliveredCommunications.AuthorizedAt",
    "FieldTable": "DeliveredCommunications",
    "FieldName": "AuthorizedAt",
    "FieldIsDerived": true,
    "IsWritableDerivedField": false,
    "IsMasked": false,
    "GrantKeyWhenReadable": "principal-knowledge-authority|DeliveredCommunications"
   },
   {
    "FieldGrantId": "fg-knowledge-authority-DeliveredCommunications.WasApprovedBeforeSending",
    "Principal": "principal-knowledge-authority",
    "TargetField": "DeliveredCommunications.WasApprovedBeforeSending",
    "CanRead": true,
    "CanWrite": false,
    "MaskStrategy": "plain",
    "SemanticTypeIri": "urn:effortless:pko-extension#FieldGrant",
    "Name": "principal-knowledge-authority -&gt; DeliveredCommunications.WasApprovedBeforeSending",
    "FieldTable": "DeliveredCommunications",
    "FieldName": "WasApprovedBeforeSending",
    "FieldIsDerived": true,
    "IsWritableDerivedField": false,
    "IsMasked": false,
    "GrantKeyWhenReadable": "principal-knowledge-authority|DeliveredCommunications"
   },
   {
    "FieldGrantId": "fg-knowledge-authority-DeliveredCommunications.IsDefensible",
    "Principal": "principal-knowledge-authority",
    "TargetField": "DeliveredCommunications.IsDefensible",
    "CanRead": true,
    "CanWrite": false,
    "MaskStrategy": "plain",
    "SemanticTypeIri": "urn:effortless:pko-extension#FieldGrant",
    "Name": "principal-knowledge-authority -&gt; DeliveredCommunications.IsDefensible",
    "FieldTable": "DeliveredCommunications",
    "FieldName": "IsDefensible",
    "FieldIsDerived": true,
    "IsWritableDerivedField": false,
    "IsMasked": false,
    "GrantKeyWhenReadable": "principal-knowledge-authority|DeliveredCommunications"
   },
   {
    "FieldGrantId": "fg-knowledge-authority-ElicitationSessions.ElicitationSessionId",
    "Principal": "principal-knowledge-authority",
    "TargetField": "ElicitationSessions.ElicitationSessionId",
    "CanRead": true,
    "CanWrite": false,
    "MaskStrategy": "plain",
    "SemanticTypeIri": "urn:effortless:pko-extension#FieldGrant",
    "Name": "principal-knowledge-authority -&gt; ElicitationSessions.ElicitationSessionId",
    "FieldTable": "ElicitationSessions",
    "FieldName": "ElicitationSessionId",
    "FieldIsDerived": false,
    "IsWritableDerivedField": false,
    "IsMasked": false,
    "GrantKeyWhenReadable": "principal-knowledge-authority|ElicitationSessions"
   },
   {
    "FieldGrantId": "fg-knowledge-authority-ElicitationSessions.Name",
    "Principal": "principal-knowledge-authority",
    "TargetField": "ElicitationSessions.Name",
    "CanRead": true,
    "CanWrite": false,
    "MaskStrategy": "plain",
    "SemanticTypeIri": "urn:effortless:pko-extension#FieldGrant",
    "Name": "principal-knowledge-authority -&gt; ElicitationSessions.Name",
    "FieldTable": "ElicitationSessions",
    "FieldName": "Name",
    "FieldIsDerived": true,
    "IsWritableDerivedField": false,
    "IsMasked": false,
    "GrantKeyWhenReadable": "principal-knowledge-authority|ElicitationSessions"
   },
   {
    "FieldGrantId": "fg-knowledge-authority-ElicitationSessions.ProcedureVersion",
    "Principal": "principal-knowledge-authority",
    "TargetField": "ElicitationSessions.ProcedureVersion",
    "CanRead": true,
    "CanWrite": false,
    "MaskStrategy": "plain",
    "SemanticTypeIri": "urn:effortless:pko-extension#FieldGrant",
    "Name": "principal-knowledge-authority -&gt; ElicitationSessions.ProcedureVersion",
    "FieldTable": "ElicitationSessions",
    "FieldName": "ProcedureVersion",
    "FieldIsDerived": false,
    "IsWritableDerivedField": false,
    "IsMasked": false,
    "GrantKeyWhenReadable": "principal-knowledge-authority|ElicitationSessions"
   },
   {
    "FieldGrantId": "fg-knowledge-authority-ElicitationSessions.Method",
    "Principal": "principal-knowledge-authority",
    "TargetField": "ElicitationSessions.Method",
    "CanRead": true,
    "CanWrite": false,
    "MaskStrategy": "plain",
    "SemanticTypeIri": "urn:effortless:pko-extension#FieldGrant",
    "Name": "principal-knowledge-authority -&gt; ElicitationSessions.Method",
    "FieldTable": "ElicitationSessions",
    "FieldName": "Method",
    "FieldIsDerived": false,
    "IsWritableDerivedField": false,
    "IsMasked": false,
    "GrantKeyWhenReadable": "principal-knowledge-authority|ElicitationSessions"
   },
   {
    "FieldGrantId": "fg-knowledge-authority-ElicitationSessions.StartedAt",
    "Principal": "principal-knowledge-authority",
    "TargetField": "ElicitationSessions.StartedAt",
    "CanRead": true,
    "CanWrite": false,
    "MaskStrategy": "plain",
    "SemanticTypeIri": "urn:effortless:pko-extension#FieldGrant",
    "Name": "principal-knowledge-authority -&gt; ElicitationSessions.StartedAt",
    "FieldTable": "ElicitationSessions",
    "FieldName": "StartedAt",
    "FieldIsDerived": false,
    "IsWritableDerivedField": false,
    "IsMasked": false,
    "GrantKeyWhenReadable": "principal-knowledge-authority|ElicitationSessions"
   },
   {
    "FieldGrantId": "fg-knowledge-authority-ElicitationSessions.EndedAt",
    "Principal": "principal-knowledge-authority",
    "TargetField": "ElicitationSessions.EndedAt",
    "CanRead": true,
    "CanWrite": false,
    "MaskStrategy": "plain",
    "SemanticTypeIri": "urn:effortless:pko-extension#FieldGrant",
    "Name": "principal-knowledge-authority -&gt; ElicitationSessions.EndedAt",
    "FieldTable": "ElicitationSessions",
    "FieldName": "EndedAt",
    "FieldIsDerived": false,
    "IsWritableDerivedField": false,
    "IsMasked": false,
    "GrantKeyWhenReadable": "principal-knowledge-authority|ElicitationSessions"
   },
   {
    "FieldGrantId": "fg-knowledge-authority-ElicitationSessions.PractitionerAgent",
    "Principal": "principal-knowledge-authority",
    "TargetField": "ElicitationSessions.PractitionerAgent",
    "CanRead": true,
    "CanWrite": false,
    "MaskStrategy": "plain",
    "SemanticTypeIri": "urn:effortless:pko-extension#FieldGrant",
    "Name": "principal-knowledge-authority -&gt; ElicitationSessions.PractitionerAgent",
    "FieldTable": "ElicitationSessions",
    "FieldName": "PractitionerAgent",
    "FieldIsDerived": false,
    "IsWritableDerivedField": false,
    "IsMasked": false,
    "GrantKeyWhenReadable": "principal-knowledge-authority|ElicitationSessions"
   },
   {
    "FieldGrantId": "fg-knowledge-authority-ElicitationSessions.FacilitatorAgent",
    "Principal": "principal-knowledge-authority",
    "TargetField": "ElicitationSessions.FacilitatorAgent",
    "CanRead": true,
    "CanWrite": false,
    "MaskStrategy": "plain",
    "SemanticTypeIri": "urn:effortless:pko-extension#FieldGrant",
    "Name": "principal-knowledge-authority -&gt; ElicitationSessions.FacilitatorAgent",
    "FieldTable": "ElicitationSessions",
    "FieldName": "FacilitatorAgent",
    "FieldIsDerived": false,
    "IsWritableDerivedField": false,
    "IsMasked": false,
    "GrantKeyWhenReadable": "principal-knowledge-authority|ElicitationSessions"
   },
   {
    "FieldGrantId": "fg-knowledge-authority-ElicitationSessions.Summary",
    "Principal": "principal-knowledge-authority",
    "TargetField": "ElicitationSessions.Summary",
    "CanRead": true,
    "CanWrite": false,
    "MaskStrategy": "plain",
    "SemanticTypeIri": "urn:effortless:pko-extension#FieldGrant",
    "Name": "principal-knowledge-authority -&gt; ElicitationSessions.Summary",
    "FieldTable": "ElicitationSessions",
    "FieldName": "Summary",
    "FieldIsDerived": false,
    "IsWritableDerivedField": false,
    "IsMasked": false,
    "GrantKeyWhenReadable": "principal-knowledge-authority|ElicitationSessions"
   },
   {
    "FieldGrantId": "fg-knowledge-authority-ElicitationSessions.Status",
    "Principal": "principal-knowledge-authority",
    "TargetField": "ElicitationSessions.Status",
    "CanRead": true,
    "CanWrite": false,
    "MaskStrategy": "plain",
    "SemanticTypeIri": "urn:effortless:pko-extension#FieldGrant",
    "Name": "principal-knowledge-authority -&gt; ElicitationSessions.Status",
    "FieldTable": "ElicitationSessions",
    "FieldName": "Status",
    "FieldIsDerived": false,
    "IsWritableDerivedField": false,
    "IsMasked": false,
    "GrantKeyWhenReadable": "principal-knowledge-authority|ElicitationSessions"
   },
   {
    "FieldGrantId": "fg-knowledge-authority-ElicitationSessions.EvaluationContext",
    "Principal": "principal-knowledge-authority",
    "TargetField": "ElicitationSessions.EvaluationContext",
    "CanRead": true,
    "CanWrite": false,
    "MaskStrategy": "plain",
    "SemanticTypeIri": "urn:effortless:pko-extension#FieldGrant",
    "Name": "principal-knowledge-authority -&gt; ElicitationSessions.EvaluationContext",
    "FieldTable": "ElicitationSessions",
    "FieldName": "EvaluationContext",
    "FieldIsDerived": false,
    "IsWritableDerivedField": false,
    "IsMasked": false,
    "GrantKeyWhenReadable": "principal-knowledge-authority|ElicitationSessions"
   },
   {
    "FieldGrantId": "fg-knowledge-authority-ElicitationSessions.AsOfInstant",
    "Principal": "principal-knowledge-authority",
    "TargetField": "ElicitationSessions.AsOfInstant",
    "CanRead": true,
    "CanWrite": false,
    "MaskStrategy": "plain",
    "SemanticTypeIri": "urn:effortless:pko-extension#FieldGrant",
    "Name": "principal-knowledge-authority -&gt; ElicitationSessions.AsOfInstant",
    "FieldTable": "ElicitationSessions",
    "FieldName": "AsOfInstant",
    "FieldIsDerived": true,
    "IsWritableDerivedField": false,
    "IsMasked": false,
    "GrantKeyWhenReadable": "principal-knowledge-authority|ElicitationSessions"
   },
   {
    "FieldGrantId": "fg-knowledge-authority-ElicitationSessions.DaysSinceElicited",
    "Principal": "principal-knowledge-authority",
    "TargetField": "ElicitationSessions.DaysSinceElicited",
    "CanRead": true,
    "CanWrite": false,
    "MaskStrategy": "plain",
    "SemanticTypeIri": "urn:effortless:pko-extension#FieldGrant",
    "Name": "principal-knowledge-authority -&gt; ElicitationSessions.DaysSinceElicited",
    "FieldTable": "ElicitationSessions",
    "FieldName": "DaysSinceElicited",
    "FieldIsDerived": true,
    "IsWritableDerivedField": false,
    "IsMasked": false,
    "GrantKeyWhenReadable": "principal-knowledge-authority|ElicitationSessions"
   },
   {
    "FieldGrantId": "fg-knowledge-authority-ElicitationSessions.IsSingleWitnessMethod",
    "Principal": "principal-knowledge-authority",
    "TargetField": "ElicitationSessions.IsSingleWitnessMethod",
    "CanRead": true,
    "CanWrite": false,
    "MaskStrategy": "plain",
    "SemanticTypeIri": "urn:effortless:pko-extension#FieldGrant",
    "Name": "principal-knowledge-authority -&gt; ElicitationSessions.IsSingleWitnessMethod",
    "FieldTable": "ElicitationSessions",
    "FieldName": "IsSingleWitnessMethod",
    "FieldIsDerived": true,
    "IsWritableDerivedField": false,
    "IsMasked": false,
    "GrantKeyWhenReadable": "principal-knowledge-authority|ElicitationSessions"
   },
   {
    "FieldGrantId": "fg-knowledge-authority-ElicitationSessions.PractitionerIsStillEngaged",
    "Principal": "principal-knowledge-authority",
    "TargetField": "ElicitationSessions.PractitionerIsStillEngaged",
    "CanRead": true,
    "CanWrite": false,
    "MaskStrategy": "plain",
    "SemanticTypeIri": "urn:effortless:pko-extension#FieldGrant",
    "Name": "principal-knowledge-authority -&gt; ElicitationSessions.PractitionerIsStillEngaged",
    "FieldTable": "ElicitationSessions",
    "FieldName": "PractitionerIsStillEngaged",
    "FieldIsDerived": true,
    "IsWritableDerivedField": false,
    "IsMasked": false,
    "GrantKeyWhenReadable": "principal-knowledge-authority|ElicitationSessions"
   },
   {
    "FieldGrantId": "fg-knowledge-authority-ElicitationSessions.ValidFragmentsProduced",
    "Principal": "principal-knowledge-authority",
    "TargetField": "ElicitationSessions.ValidFragmentsProduced",
    "CanRead": true,
    "CanWrite": false,
    "MaskStrategy": "plain",
    "SemanticTypeIri": "urn:effortless:pko-extension#FieldGrant",
    "Name": "principal-knowledge-authority -&gt; ElicitationSessions.ValidFragmentsProduced",
    "FieldTable": "ElicitationSessions",
    "FieldName": "ValidFragmentsProduced",
    "FieldIsDerived": true,
    "IsWritableDerivedField": false,
    "IsMasked": false,
    "GrantKeyWhenReadable": "principal-knowledge-authority|ElicitationSessions"
   },
   {
    "FieldGrantId": "fg-knowledge-authority-ElicitationSessions.IsHighYieldSession",
    "Principal": "principal-knowledge-authority",
    "TargetField": "ElicitationSessions.IsHighYieldSession",
    "CanRead": true,
    "CanWrite": false,
    "MaskStrategy": "plain",
    "SemanticTypeIri": "urn:effortless:pko-extension#FieldGrant",
    "Name": "principal-knowledge-authority -&gt; ElicitationSessions.IsHighYieldSession",
    "FieldTable": "ElicitationSessions",
    "FieldName": "IsHighYieldSession",
    "FieldIsDerived": true,
    "IsWritableDerivedField": false,
    "IsMasked": false,
    "GrantKeyWhenReadable": "principal-knowledge-authority|ElicitationSessions"
   },
   {
    "FieldGrantId": "fg-knowledge-authority-ElicitationSessions.IsConcentratedSingleWitness",
    "Principal": "principal-knowledge-authority",
    "TargetField": "ElicitationSessions.IsConcentratedSingleWitness",
    "CanRead": true,
    "CanWrite": false,
    "MaskStrategy": "plain",
    "SemanticTypeIri": "urn:effortless:pko-extension#FieldGrant",
    "Name": "principal-knowledge-authority -&gt; ElicitationSessions.IsConcentratedSingleWitness",
    "FieldTable": "ElicitationSessions",
    "FieldName": "IsConcentratedSingleWitness",
    "FieldIsDerived": true,
    "IsWritableDerivedField": false,
    "IsMasked": false,
    "GrantKeyWhenReadable": "principal-knowledge-authority|ElicitationSessions"
   },
   {
    "FieldGrantId": "fg-knowledge-authority-ElicitationSessions.IsStaleConcentratedWitness",
    "Principal": "principal-knowledge-authority",
    "TargetField": "ElicitationSessions.IsStaleConcentratedWitness",
    "CanRead": true,
    "CanWrite": false,
    "MaskStrategy": "plain",
    "SemanticTypeIri": "urn:effortless:pko-extension#FieldGrant",
    "Name": "principal-knowledge-authority -&gt; ElicitationSessions.IsStaleConcentratedWitness",
    "FieldTable": "ElicitationSessions",
    "FieldName": "IsStaleConcentratedWitness",
    "FieldIsDerived": true,
    "IsWritableDerivedField": false,
    "IsMasked": false,
    "GrantKeyWhenReadable": "principal-knowledge-authority|ElicitationSessions"
   },
   {
    "FieldGrantId": "fg-knowledge-authority-ElicitationSessions.ConcentratedSessionVersionKey",
    "Principal": "principal-knowledge-authority",
    "TargetField": "ElicitationSessions.ConcentratedSessionVersionKey",
    "CanRead": true,
    "CanWrite": false,
    "MaskStrategy": "plain",
    "SemanticTypeIri": "urn:effortless:pko-extension#FieldGrant",
    "Name": "principal-knowledge-authority -&gt; ElicitationSessions.ConcentratedSessionVersionKey",
    "FieldTable": "ElicitationSessions",
    "FieldName": "ConcentratedSessionVersionKey",
    "FieldIsDerived": true,
    "IsWritableDerivedField": false,
    "IsMasked": false,
    "GrantKeyWhenReadable": "principal-knowledge-authority|ElicitationSessions"
   },
   {
    "FieldGrantId": "fg-knowledge-authority-ElicitationSessions.SemanticTypeIri",
    "Principal": "principal-knowledge-authority",
    "TargetField": "ElicitationSessions.SemanticTypeIri",
    "CanRead": true,
    "CanWrite": false,
    "MaskStrategy": "plain",
    "SemanticTypeIri": "urn:effortless:pko-extension#FieldGrant",
    "Name": "principal-knowledge-authority -&gt; ElicitationSessions.SemanticTypeIri",
    "FieldTable": "ElicitationSessions",
    "FieldName": "SemanticTypeIri",
    "FieldIsDerived": false,
    "IsWritableDerivedField": false,
    "IsMasked": false,
    "GrantKeyWhenReadable": "principal-knowledge-authority|ElicitationSessions"
   },
   {
    "FieldGrantId": "fg-knowledge-authority-Errors.ErrorId",
    "Principal": "principal-knowledge-authority",
    "TargetField": "Errors.ErrorId",
    "CanRead": true,
    "CanWrite": false,
    "MaskStrategy": "plain",
    "SemanticTypeIri": "urn:effortless:pko-extension#FieldGrant",
    "Name": "principal-knowledge-authority -&gt; Errors.ErrorId",
    "FieldTable": "Errors",
    "FieldName": "ErrorId",
    "FieldIsDerived": false,
    "IsWritableDerivedField": false,
    "IsMasked": false,
    "GrantKeyWhenReadable": "principal-knowledge-authority|Errors"
   },
   {
    "FieldGrantId": "fg-knowledge-authority-Errors.Name",
    "Principal": "principal-knowledge-authority",
    "TargetField": "Errors.Name",
    "CanRead": true,
    "CanWrite": false,
    "MaskStrategy": "plain",
    "SemanticTypeIri": "urn:effortless:pko-extension#FieldGrant",
    "Name": "principal-knowledge-authority -&gt; Errors.Name",
    "FieldTable": "Errors",
    "FieldName": "Name",
    "FieldIsDerived": true,
    "IsWritableDerivedField": false,
    "IsMasked": false,
    "GrantKeyWhenReadable": "principal-knowledge-authority|Errors"
   },
   {
    "FieldGrantId": "fg-knowledge-authority-Errors.Label",
    "Principal": "principal-knowledge-authority",
    "TargetField": "Errors.Label",
    "CanRead": true,
    "CanWrite": false,
    "MaskStrategy": "plain",
    "SemanticTypeIri": "urn:effortless:pko-extension#FieldGrant",
    "Name": "principal-knowledge-authority -&gt; Errors.Label",
    "FieldTable": "Errors",
    "FieldName": "Label",
    "FieldIsDerived": false,
    "IsWritableDerivedField": false,
    "IsMasked": false,
    "GrantKeyWhenReadable": "principal-knowledge-authority|Errors"
   },
   {
    "FieldGrantId": "fg-knowledge-authority-Errors.ErrorCode",
    "Principal": "principal-knowledge-authority",
    "TargetField": "Errors.ErrorCode",
    "CanRead": true,
    "CanWrite": false,
    "MaskStrategy": "plain",
    "SemanticTypeIri": "urn:effortless:pko-extension#FieldGrant",
    "Name": "principal-knowledge-authority -&gt; Errors.ErrorCode",
    "FieldTable": "Errors",
    "FieldName": "ErrorCode",
    "FieldIsDerived": false,
    "IsWritableDerivedField": false,
    "IsMasked": false,
    "GrantKeyWhenReadable": "principal-knowledge-authority|Errors"
   },
   {
    "FieldGrantId": "fg-knowledge-authority-Errors.ErrorCause",
    "Principal": "principal-knowledge-authority",
    "TargetField": "Errors.ErrorCause",
    "CanRead": true,
    "CanWrite": false,
    "MaskStrategy": "plain",
    "SemanticTypeIri": "urn:effortless:pko-extension#FieldGrant",
    "Name": "principal-knowledge-authority -&gt; Errors.ErrorCause",
    "FieldTable": "Errors",
    "FieldName": "ErrorCause",
    "FieldIsDerived": false,
    "IsWritableDerivedField": false,
    "IsMasked": false,
    "GrantKeyWhenReadable": "principal-knowledge-authority|Errors"
   },
   {
    "FieldGrantId": "fg-knowledge-authority-Errors.SemanticTypeIri",
    "Principal": "principal-knowledge-authority",
    "TargetField": "Errors.SemanticTypeIri",
    "CanRead": true,
    "CanWrite": false,
    "MaskStrategy": "plain",
    "SemanticTypeIri": "urn:effortless:pko-extension#FieldGrant",
    "Name": "principal-knowledge-authority -&gt; Errors.SemanticTypeIri",
    "FieldTable": "Errors",
    "FieldName": "SemanticTypeIri",
    "FieldIsDerived": false,
    "IsWritableDerivedField": false,
    "IsMasked": false,
    "GrantKeyWhenReadable": "principal-knowledge-authority|Errors"
   },
   {
    "FieldGrantId": "fg-knowledge-authority-EvaluationContexts.EvaluationContextId",
    "Principal": "principal-knowledge-authority",
    "TargetField": "EvaluationContexts.EvaluationContextId",
    "CanRead": true,
    "CanWrite": false,
    "MaskStrategy": "plain",
    "SemanticTypeIri": "urn:effortless:pko-extension#FieldGrant",
    "Name": "principal-knowledge-authority -&gt; EvaluationContexts.EvaluationContextId",
    "FieldTable": "EvaluationContexts",
    "FieldName": "EvaluationContextId",
    "FieldIsDerived": false,
    "IsWritableDerivedField": false,
    "IsMasked": false,
    "GrantKeyWhenReadable": "principal-knowledge-authority|EvaluationContexts"
   },
   {
    "FieldGrantId": "fg-knowledge-authority-EvaluationContexts.Name",
    "Principal": "principal-knowledge-authority",
    "TargetField": "EvaluationContexts.Name",
    "CanRead": true,
    "CanWrite": false,
    "MaskStrategy": "plain",
    "SemanticTypeIri": "urn:effortless:pko-extension#FieldGrant",
    "Name": "principal-knowledge-authority -&gt; EvaluationContexts.Name",
    "FieldTable": "EvaluationContexts",
    "FieldName": "Name",
    "FieldIsDerived": true,
    "IsWritableDerivedField": false,
    "IsMasked": false,
    "GrantKeyWhenReadable": "principal-knowledge-authority|EvaluationContexts"
   },
   {
    "FieldGrantId": "fg-knowledge-authority-EvaluationContexts.Label",
    "Principal": "principal-knowledge-authority",
    "TargetField": "EvaluationContexts.Label",
    "CanRead": true,
    "CanWrite": false,
    "MaskStrategy": "plain",
    "SemanticTypeIri": "urn:effortless:pko-extension#FieldGrant",
    "Name": "principal-knowledge-authority -&gt; EvaluationContexts.Label",
    "FieldTable": "EvaluationContexts",
    "FieldName": "Label",
    "FieldIsDerived": false,
    "IsWritableDerivedField": false,
    "IsMasked": false,
    "GrantKeyWhenReadable": "principal-knowledge-authority|EvaluationContexts"
   },
   {
    "FieldGrantId": "fg-knowledge-authority-EvaluationContexts.AsOfInstant",
    "Principal": "principal-knowledge-authority",
    "TargetField": "EvaluationContexts.AsOfInstant",
    "CanRead": true,
    "CanWrite": false,
    "MaskStrategy": "plain",
    "SemanticTypeIri": "urn:effortless:pko-extension#FieldGrant",
    "Name": "principal-knowledge-authority -&gt; EvaluationContexts.AsOfInstant",
    "FieldTable": "EvaluationContexts",
    "FieldName": "AsOfInstant",
    "FieldIsDerived": false,
    "IsWritableDerivedField": false,
    "IsMasked": false,
    "GrantKeyWhenReadable": "principal-knowledge-authority|EvaluationContexts"
   },
   {
    "FieldGrantId": "fg-knowledge-authority-EvaluationContexts.IsCurrent",
    "Principal": "principal-knowledge-authority",
    "TargetField": "EvaluationContexts.IsCurrent",
    "CanRead": true,
    "CanWrite": false,
    "MaskStrategy": "plain",
    "SemanticTypeIri": "urn:effortless:pko-extension#FieldGrant",
    "Name": "principal-knowledge-authority -&gt; EvaluationContexts.IsCurrent",
    "FieldTable": "EvaluationContexts",
    "FieldName": "IsCurrent",
    "FieldIsDerived": false,
    "IsWritableDerivedField": false,
    "IsMasked": false,
    "GrantKeyWhenReadable": "principal-knowledge-authority|EvaluationContexts"
   },
   {
    "FieldGrantId": "fg-knowledge-authority-EvaluationContexts.Rationale",
    "Principal": "principal-knowledge-authority",
    "TargetField": "EvaluationContexts.Rationale",
    "CanRead": true,
    "CanWrite": false,
    "MaskStrategy": "plain",
    "SemanticTypeIri": "urn:effortless:pko-extension#FieldGrant",
    "Name": "principal-knowledge-authority -&gt; EvaluationContexts.Rationale",
    "FieldTable": "EvaluationContexts",
    "FieldName": "Rationale",
    "FieldIsDerived": false,
    "IsWritableDerivedField": false,
    "IsMasked": false,
    "GrantKeyWhenReadable": "principal-knowledge-authority|EvaluationContexts"
   },
   {
    "FieldGrantId": "fg-knowledge-authority-EvaluationContexts.SemanticTypeIri",
    "Principal": "principal-knowledge-authority",
    "TargetField": "EvaluationContexts.SemanticTypeIri",
    "CanRead": true,
    "CanWrite": false,
    "MaskStrategy": "plain",
    "SemanticTypeIri": "urn:effortless:pko-extension#FieldGrant",
    "Name": "principal-knowledge-authority -&gt; EvaluationContexts.SemanticTypeIri",
    "FieldTable": "EvaluationContexts",
    "FieldName": "SemanticTypeIri",
    "FieldIsDerived": false,
    "IsWritableDerivedField": false,
    "IsMasked": false,
    "GrantKeyWhenReadable": "principal-knowledge-authority|EvaluationContexts"
   },
   {
    "FieldGrantId": "fg-knowledge-authority-ExceptionInvocations.ExceptionInvocationId",
    "Principal": "principal-knowledge-authority",
    "TargetField": "ExceptionInvocations.ExceptionInvocationId",
    "CanRead": true,
    "CanWrite": false,
    "MaskStrategy": "plain",
    "SemanticTypeIri": "urn:effortless:pko-extension#FieldGrant",
    "Name": "principal-knowledge-authority -&gt; ExceptionInvocations.ExceptionInvocationId",
    "FieldTable": "ExceptionInvocations",
    "FieldName": "ExceptionInvocationId",
    "FieldIsDerived": false,
    "IsWritableDerivedField": false,
    "IsMasked": false,
    "GrantKeyWhenReadable": "principal-knowledge-authority|ExceptionInvocations"
   },
   {
    "FieldGrantId": "fg-knowledge-authority-ExceptionInvocations.Name",
    "Principal": "principal-knowledge-authority",
    "TargetField": "ExceptionInvocations.Name",
    "CanRead": true,
    "CanWrite": false,
    "MaskStrategy": "plain",
    "SemanticTypeIri": "urn:effortless:pko-extension#FieldGrant",
    "Name": "principal-knowledge-authority -&gt; ExceptionInvocations.Name",
    "FieldTable": "ExceptionInvocations",
    "FieldName": "Name",
    "FieldIsDerived": true,
    "IsWritableDerivedField": false,
    "IsMasked": false,
    "GrantKeyWhenReadable": "principal-knowledge-authority|ExceptionInvocations"
   },
   {
    "FieldGrantId": "fg-knowledge-authority-ExceptionInvocations.StepExecution",
    "Principal": "principal-knowledge-authority",
    "TargetField": "ExceptionInvocations.StepExecution",
    "CanRead": true,
    "CanWrite": false,
    "MaskStrategy": "plain",
    "SemanticTypeIri": "urn:effortless:pko-extension#FieldGrant",
    "Name": "principal-knowledge-authority -&gt; ExceptionInvocations.StepExecution",
    "FieldTable": "ExceptionInvocations",
    "FieldName": "StepExecution",
    "FieldIsDerived": false,
    "IsWritableDerivedField"</t>
  </si>
  <si>
    <t xml:space="preserve">: false,
    "IsMasked": false,
    "GrantKeyWhenReadable": "principal-knowledge-authority|ExceptionInvocations"
   },
   {
    "FieldGrantId": "fg-knowledge-authority-ExceptionInvocations.Exception",
    "Principal": "principal-knowledge-authority",
    "TargetField": "ExceptionInvocations.Exception",
    "CanRead": true,
    "CanWrite": false,
    "MaskStrategy": "plain",
    "SemanticTypeIri": "urn:effortless:pko-extension#FieldGrant",
    "Name": "principal-knowledge-authority -&gt; ExceptionInvocations.Exception",
    "FieldTable": "ExceptionInvocations",
    "FieldName": "Exception",
    "FieldIsDerived": false,
    "IsWritableDerivedField": false,
    "IsMasked": false,
    "GrantKeyWhenReadable": "principal-knowledge-authority|ExceptionInvocations"
   },
   {
    "FieldGrantId": "fg-knowledge-authority-ExceptionInvocations.InvokedByAgent",
    "Principal": "principal-knowledge-authority",
    "TargetField": "ExceptionInvocations.InvokedByAgent",
    "CanRead": true,
    "CanWrite": false,
    "MaskStrategy": "plain",
    "SemanticTypeIri": "urn:effortless:pko-extension#FieldGrant",
    "Name": "principal-knowledge-authority -&gt; ExceptionInvocations.InvokedByAgent",
    "FieldTable": "ExceptionInvocations",
    "FieldName": "InvokedByAgent",
    "FieldIsDerived": false,
    "IsWritableDerivedField": false,
    "IsMasked": false,
    "GrantKeyWhenReadable": "principal-knowledge-authority|ExceptionInvocations"
   },
   {
    "FieldGrantId": "fg-knowledge-authority-ExceptionInvocations.ApprovedByAgent",
    "Principal": "principal-knowledge-authority",
    "TargetField": "ExceptionInvocations.ApprovedByAgent",
    "CanRead": true,
    "CanWrite": false,
    "MaskStrategy": "plain",
    "SemanticTypeIri": "urn:effortless:pko-extension#FieldGrant",
    "Name": "principal-knowledge-authority -&gt; ExceptionInvocations.ApprovedByAgent",
    "FieldTable": "ExceptionInvocations",
    "FieldName": "ApprovedByAgent",
    "FieldIsDerived": false,
    "IsWritableDerivedField": false,
    "IsMasked": false,
    "GrantKeyWhenReadable": "principal-knowledge-authority|ExceptionInvocations"
   },
   {
    "FieldGrantId": "fg-knowledge-authority-ExceptionInvocations.InvokedAt",
    "Principal": "principal-knowledge-authority",
    "TargetField": "ExceptionInvocations.InvokedAt",
    "CanRead": true,
    "CanWrite": false,
    "MaskStrategy": "plain",
    "SemanticTypeIri": "urn:effortless:pko-extension#FieldGrant",
    "Name": "principal-knowledge-authority -&gt; ExceptionInvocations.InvokedAt",
    "FieldTable": "ExceptionInvocations",
    "FieldName": "InvokedAt",
    "FieldIsDerived": false,
    "IsWritableDerivedField": false,
    "IsMasked": false,
    "GrantKeyWhenReadable": "principal-knowledge-authority|ExceptionInvocations"
   },
   {
    "FieldGrantId": "fg-knowledge-authority-ExceptionInvocations.HandlingApplied",
    "Principal": "principal-knowledge-authority",
    "TargetField": "ExceptionInvocations.HandlingApplied",
    "CanRead": true,
    "CanWrite": false,
    "MaskStrategy": "plain",
    "SemanticTypeIri": "urn:effortless:pko-extension#FieldGrant",
    "Name": "principal-knowledge-authority -&gt; ExceptionInvocations.HandlingApplied",
    "FieldTable": "ExceptionInvocations",
    "FieldName": "HandlingApplied",
    "FieldIsDerived": false,
    "IsWritableDerivedField": false,
    "IsMasked": false,
    "GrantKeyWhenReadable": "principal-knowledge-authority|ExceptionInvocations"
   },
   {
    "FieldGrantId": "fg-knowledge-authority-ExceptionInvocations.ExpectedHandling",
    "Principal": "principal-knowledge-authority",
    "TargetField": "ExceptionInvocations.ExpectedHandling",
    "CanRead": true,
    "CanWrite": false,
    "MaskStrategy": "plain",
    "SemanticTypeIri": "urn:effortless:pko-extension#FieldGrant",
    "Name": "principal-knowledge-authority -&gt; ExceptionInvocations.ExpectedHandling",
    "FieldTable": "ExceptionInvocations",
    "FieldName": "ExpectedHandling",
    "FieldIsDerived": true,
    "IsWritableDerivedField": false,
    "IsMasked": false,
    "GrantKeyWhenReadable": "principal-knowledge-authority|ExceptionInvocations"
   },
   {
    "FieldGrantId": "fg-knowledge-authority-ExceptionInvocations.RequiredApprovalRole",
    "Principal": "principal-knowledge-authority",
    "TargetField": "ExceptionInvocations.RequiredApprovalRole",
    "CanRead": true,
    "CanWrite": false,
    "MaskStrategy": "plain",
    "SemanticTypeIri": "urn:effortless:pko-extension#FieldGrant",
    "Name": "principal-knowledge-authority -&gt; ExceptionInvocations.RequiredApprovalRole",
    "FieldTable": "ExceptionInvocations",
    "FieldName": "RequiredApprovalRole",
    "FieldIsDerived": true,
    "IsWritableDerivedField": false,
    "IsMasked": false,
    "GrantKeyWhenReadable": "principal-knowledge-authority|ExceptionInvocations"
   },
   {
    "FieldGrantId": "fg-knowledge-authority-ExceptionInvocations.RequiredApprovalRoleHolder",
    "Principal": "principal-knowledge-authority",
    "TargetField": "ExceptionInvocations.RequiredApprovalRoleHolder",
    "CanRead": true,
    "CanWrite": false,
    "MaskStrategy": "plain",
    "SemanticTypeIri": "urn:effortless:pko-extension#FieldGrant",
    "Name": "principal-knowledge-authority -&gt; ExceptionInvocations.RequiredApprovalRoleHolder",
    "FieldTable": "ExceptionInvocations",
    "FieldName": "RequiredApprovalRoleHolder",
    "FieldIsDerived": true,
    "IsWritableDerivedField": false,
    "IsMasked": false,
    "GrantKeyWhenReadable": "principal-knowledge-authority|ExceptionInvocations"
   },
   {
    "FieldGrantId": "fg-knowledge-authority-ExceptionInvocations.ApprovalRoleMatches",
    "Principal": "principal-knowledge-authority",
    "TargetField": "ExceptionInvocations.ApprovalRoleMatches",
    "CanRead": true,
    "CanWrite": false,
    "MaskStrategy": "plain",
    "SemanticTypeIri": "urn:effortless:pko-extension#FieldGrant",
    "Name": "principal-knowledge-authority -&gt; ExceptionInvocations.ApprovalRoleMatches",
    "FieldTable": "ExceptionInvocations",
    "FieldName": "ApprovalRoleMatches",
    "FieldIsDerived": true,
    "IsWritableDerivedField": false,
    "IsMasked": false,
    "GrantKeyWhenReadable": "principal-knowledge-authority|ExceptionInvocations"
   },
   {
    "FieldGrantId": "fg-knowledge-authority-ExceptionInvocations.IsApproved",
    "Principal": "principal-knowledge-authority",
    "TargetField": "ExceptionInvocations.IsApproved",
    "CanRead": true,
    "CanWrite": false,
    "MaskStrategy": "plain",
    "SemanticTypeIri": "urn:effortless:pko-extension#FieldGrant",
    "Name": "principal-knowledge-authority -&gt; ExceptionInvocations.IsApproved",
    "FieldTable": "ExceptionInvocations",
    "FieldName": "IsApproved",
    "FieldIsDerived": true,
    "IsWritableDerivedField": false,
    "IsMasked": false,
    "GrantKeyWhenReadable": "principal-knowledge-authority|ExceptionInvocations"
   },
   {
    "FieldGrantId": "fg-knowledge-authority-ExceptionInvocations.IsImproperlyApproved",
    "Principal": "principal-knowledge-authority",
    "TargetField": "ExceptionInvocations.IsImproperlyApproved",
    "CanRead": true,
    "CanWrite": false,
    "MaskStrategy": "plain",
    "SemanticTypeIri": "urn:effortless:pko-extension#FieldGrant",
    "Name": "principal-knowledge-authority -&gt; ExceptionInvocations.IsImproperlyApproved",
    "FieldTable": "ExceptionInvocations",
    "FieldName": "IsImproperlyApproved",
    "FieldIsDerived": true,
    "IsWritableDerivedField": false,
    "IsMasked": false,
    "GrantKeyWhenReadable": "principal-knowledge-authority|ExceptionInvocations"
   },
   {
    "FieldGrantId": "fg-knowledge-authority-ExceptionInvocations.InvokerAgentKind",
    "Principal": "principal-knowledge-authority",
    "TargetField": "ExceptionInvocations.InvokerAgentKind",
    "CanRead": true,
    "CanWrite": false,
    "MaskStrategy": "plain",
    "SemanticTypeIri": "urn:effortless:pko-extension#FieldGrant",
    "Name": "principal-knowledge-authority -&gt; ExceptionInvocations.InvokerAgentKind",
    "FieldTable": "ExceptionInvocations",
    "FieldName": "InvokerAgentKind",
    "FieldIsDerived": true,
    "IsWritableDerivedField": false,
    "IsMasked": false,
    "GrantKeyWhenReadable": "principal-knowledge-authority|ExceptionInvocations"
   },
   {
    "FieldGrantId": "fg-knowledge-authority-ExceptionInvocations.InvokerAlsoPreparedKey",
    "Principal": "principal-knowledge-authority",
    "TargetField": "ExceptionInvocations.InvokerAlsoPreparedKey",
    "CanRead": true,
    "CanWrite": false,
    "MaskStrategy": "plain",
    "SemanticTypeIri": "urn:effortless:pko-extension#FieldGrant",
    "Name": "principal-knowledge-authority -&gt; ExceptionInvocations.InvokerAlsoPreparedKey",
    "FieldTable": "ExceptionInvocations",
    "FieldName": "InvokerAlsoPreparedKey",
    "FieldIsDerived": true,
    "IsWritableDerivedField": false,
    "IsMasked": false,
    "GrantKeyWhenReadable": "principal-knowledge-authority|ExceptionInvocations"
   },
   {
    "FieldGrantId": "fg-knowledge-authority-ExceptionInvocations.ParentProcedureExecution",
    "Principal": "principal-knowledge-authority",
    "TargetField": "ExceptionInvocations.ParentProcedureExecution",
    "CanRead": true,
    "CanWrite": false,
    "MaskStrategy": "plain",
    "SemanticTypeIri": "urn:effortless:pko-extension#FieldGrant",
    "Name": "principal-knowledge-authority -&gt; ExceptionInvocations.ParentProcedureExecution",
    "FieldTable": "ExceptionInvocations",
    "FieldName": "ParentProcedureExecution",
    "FieldIsDerived": true,
    "IsWritableDerivedField": false,
    "IsMasked": false,
    "GrantKeyWhenReadable": "principal-knowledge-authority|ExceptionInvocations"
   },
   {
    "FieldGrantId": "fg-knowledge-authority-ExceptionInvocations.ApproverPreparedCount",
    "Principal": "principal-knowledge-authority",
    "TargetField": "ExceptionInvocations.ApproverPreparedCount",
    "CanRead": true,
    "CanWrite": false,
    "MaskStrategy": "plain",
    "SemanticTypeIri": "urn:effortless:pko-extension#FieldGrant",
    "Name": "principal-knowledge-authority -&gt; ExceptionInvocations.ApproverPreparedCount",
    "FieldTable": "ExceptionInvocations",
    "FieldName": "ApproverPreparedCount",
    "FieldIsDerived": true,
    "IsWritableDerivedField": false,
    "IsMasked": false,
    "GrantKeyWhenReadable": "principal-knowledge-authority|ExceptionInvocations"
   },
   {
    "FieldGrantId": "fg-knowledge-authority-ExceptionInvocations.DelegatedToPreparer",
    "Principal": "principal-knowledge-authority",
    "TargetField": "ExceptionInvocations.DelegatedToPreparer",
    "CanRead": true,
    "CanWrite": false,
    "MaskStrategy": "plain",
    "SemanticTypeIri": "urn:effortless:pko-extension#FieldGrant",
    "Name": "principal-knowledge-authority -&gt; ExceptionInvocations.DelegatedToPreparer",
    "FieldTable": "ExceptionInvocations",
    "FieldName": "DelegatedToPreparer",
    "FieldIsDerived": true,
    "IsWritableDerivedField": false,
    "IsMasked": false,
    "GrantKeyWhenReadable": "principal-knowledge-authority|ExceptionInvocations"
   },
   {
    "FieldGrantId": "fg-knowledge-authority-ExceptionInvocations.IsUngovernedInvocation",
    "Principal": "principal-knowledge-authority",
    "TargetField": "ExceptionInvocations.IsUngovernedInvocation",
    "CanRead": true,
    "CanWrite": false,
    "MaskStrategy": "plain",
    "SemanticTypeIri": "urn:effortless:pko-extension#FieldGrant",
    "Name": "principal-knowledge-authority -&gt; ExceptionInvocations.IsUngovernedInvocation",
    "FieldTable": "ExceptionInvocations",
    "FieldName": "IsUngovernedInvocation",
    "FieldIsDerived": true,
    "IsWritableDerivedField": false,
    "IsMasked": false,
    "GrantKeyWhenReadable": "principal-knowledge-authority|ExceptionInvocations"
   },
   {
    "FieldGrantId": "fg-knowledge-authority-ExceptionInvocations.SemanticTypeIri",
    "Principal": "principal-knowledge-authority",
    "TargetField": "ExceptionInvocations.SemanticTypeIri",
    "CanRead": true,
    "CanWrite": false,
    "MaskStrategy": "plain",
    "SemanticTypeIri": "urn:effortless:pko-extension#FieldGrant",
    "Name": "principal-knowledge-authority -&gt; ExceptionInvocations.SemanticTypeIri",
    "FieldTable": "ExceptionInvocations",
    "FieldName": "SemanticTypeIri",
    "FieldIsDerived": false,
    "IsWritableDerivedField": false,
    "IsMasked": false,
    "GrantKeyWhenReadable": "principal-knowledge-authority|ExceptionInvocations"
   },
   {
    "FieldGrantId": "fg-knowledge-authority-Exceptions.ExceptionId",
    "Principal": "principal-knowledge-authority",
    "TargetField": "Exceptions.ExceptionId",
    "CanRead": true,
    "CanWrite": false,
    "MaskStrategy": "plain",
    "SemanticTypeIri": "urn:effortless:pko-extension#FieldGrant",
    "Name": "principal-knowledge-authority -&gt; Exceptions.ExceptionId",
    "FieldTable": "Exceptions",
    "FieldName": "ExceptionId",
    "FieldIsDerived": false,
    "IsWritableDerivedField": false,
    "IsMasked": false,
    "GrantKeyWhenReadable": "principal-knowledge-authority|Exceptions"
   },
   {
    "FieldGrantId": "fg-knowledge-authority-Exceptions.Name",
    "Principal": "principal-knowledge-authority",
    "TargetField": "Exceptions.Name",
    "CanRead": true,
    "CanWrite": false,
    "MaskStrategy": "plain",
    "SemanticTypeIri": "urn:effortless:pko-extension#FieldGrant",
    "Name": "principal-knowledge-authority -&gt; Exceptions.Name",
    "FieldTable": "Exceptions",
    "FieldName": "Name",
    "FieldIsDerived": true,
    "IsWritableDerivedField": false,
    "IsMasked": false,
    "GrantKeyWhenReadable": "principal-knowledge-authority|Exceptions"
   },
   {
    "FieldGrantId": "fg-knowledge-authority-Exceptions.ProcedureVersion",
    "Principal": "principal-knowledge-authority",
    "TargetField": "Exceptions.ProcedureVersion",
    "CanRead": true,
    "CanWrite": false,
    "MaskStrategy": "plain",
    "SemanticTypeIri": "urn:effortless:pko-extension#FieldGrant",
    "Name": "principal-knowledge-authority -&gt; Exceptions.ProcedureVersion",
    "FieldTable": "Exceptions",
    "FieldName": "ProcedureVersion",
    "FieldIsDerived": false,
    "IsWritableDerivedField": false,
    "IsMasked": false,
    "GrantKeyWhenReadable": "principal-knowledge-authority|Exceptions"
   },
   {
    "FieldGrantId": "fg-knowledge-authority-Exceptions.TriggerStep",
    "Principal": "principal-knowledge-authority",
    "TargetField": "Exceptions.TriggerStep",
    "CanRead": true,
    "CanWrite": false,
    "MaskStrategy": "plain",
    "SemanticTypeIri": "urn:effortless:pko-extension#FieldGrant",
    "Name": "principal-knowledge-authority -&gt; Exceptions.TriggerStep",
    "FieldTable": "Exceptions",
    "FieldName": "TriggerStep",
    "FieldIsDerived": false,
    "IsWritableDerivedField": false,
    "IsMasked": false,
    "GrantKeyWhenReadable": "principal-knowledge-authority|Exceptions"
   },
   {
    "FieldGrantId": "fg-knowledge-authority-Exceptions.Condition",
    "Principal": "principal-knowledge-authority",
    "TargetField": "Exceptions.Condition",
    "CanRead": true,
    "CanWrite": false,
    "MaskStrategy": "plain",
    "SemanticTypeIri": "urn:effortless:pko-extension#FieldGrant",
    "Name": "principal-knowledge-authority -&gt; Exceptions.Condition",
    "FieldTable": "Exceptions",
    "FieldName": "Condition",
    "FieldIsDerived": false,
    "IsWritableDerivedField": false,
    "IsMasked": false,
    "GrantKeyWhenReadable": "principal-knowledge-authority|Exceptions"
   },
   {
    "FieldGrantId": "fg-knowledge-authority-Exceptions.Handling",
    "Principal": "principal-knowledge-authority",
    "TargetField": "Exceptions.Handling",
    "CanRead": true,
    "CanWrite": false,
    "MaskStrategy": "plain",
    "SemanticTypeIri": "urn:effortless:pko-extension#FieldGrant",
    "Name": "principal-knowledge-authority -&gt; Exceptions.Handling",
    "FieldTable": "Exceptions",
    "FieldName": "Handling",
    "FieldIsDerived": false,
    "IsWritableDerivedField": false,
    "IsMasked": false,
    "GrantKeyWhenReadable": "principal-knowledge-authority|Exceptions"
   },
   {
    "FieldGrantId": "fg-knowledge-authority-Exceptions.ApprovalRole",
    "Principal": "principal-knowledge-authority",
    "TargetField": "Exceptions.ApprovalRole",
    "CanRead": true,
    "CanWrite": false,
    "MaskStrategy": "plain",
    "SemanticTypeIri": "urn:effortless:pko-extension#FieldGrant",
    "Name": "principal-knowledge-authority -&gt; Exceptions.ApprovalRole",
    "FieldTable": "Exceptions",
    "FieldName": "ApprovalRole",
    "FieldIsDerived": false,
    "IsWritableDerivedField": false,
    "IsMasked": false,
    "GrantKeyWhenReadable": "principal-knowledge-authority|Exceptions"
   },
   {
    "FieldGrantId": "fg-knowledge-authority-Exceptions.FallbackRole",
    "Principal": "principal-knowledge-authority",
    "TargetField": "Exceptions.FallbackRole",
    "CanRead": true,
    "CanWrite": false,
    "MaskStrategy": "plain",
    "SemanticTypeIri": "urn:effortless:pko-extension#FieldGrant",
    "Name": "principal-knowledge-authority -&gt; Exceptions.FallbackRole",
    "FieldTable": "Exceptions",
    "FieldName": "FallbackRole",
    "FieldIsDerived": false,
    "IsWritableDerivedField": false,
    "IsMasked": false,
    "GrantKeyWhenReadable": "principal-knowledge-authority|Exceptions"
   },
   {
    "FieldGrantId": "fg-knowledge-authority-Exceptions.Status",
    "Principal": "principal-knowledge-authority",
    "TargetField": "Exceptions.Status",
    "CanRead": true,
    "CanWrite": false,
    "MaskStrategy": "plain",
    "SemanticTypeIri": "urn:effortless:pko-extension#FieldGrant",
    "Name": "principal-knowledge-authority -&gt; Exceptions.Status",
    "FieldTable": "Exceptions",
    "FieldName": "Status",
    "FieldIsDerived": false,
    "IsWritableDerivedField": false,
    "IsMasked": false,
    "GrantKeyWhenReadable": "principal-knowledge-authority|Exceptions"
   },
   {
    "FieldGrantId": "fg-knowledge-authority-Exceptions.ActiveExceptionStepKey",
    "Principal": "principal-knowledge-authority",
    "TargetField": "Exceptions.ActiveExceptionStepKey",
    "CanRead": true,
    "CanWrite": false,
    "MaskStrategy": "plain",
    "SemanticTypeIri": "urn:effortless:pko-extension#FieldGrant",
    "Name": "principal-knowledge-authority -&gt; Exceptions.ActiveExceptionStepKey",
    "FieldTable": "Exceptions",
    "FieldName": "ActiveExceptionStepKey",
    "FieldIsDerived": true,
    "IsWritableDerivedField": false,
    "IsMasked": false,
    "GrantKeyWhenReadable": "principal-knowledge-authority|Exceptions"
   },
   {
    "FieldGrantId": "fg-knowledge-authority-Exceptions.SemanticTypeIri",
    "Principal": "principal-knowledge-authority",
    "TargetField": "Exceptions.SemanticTypeIri",
    "CanRead": true,
    "CanWrite": false,
    "MaskStrategy": "plain",
    "SemanticTypeIri": "urn:effortless:pko-extension#FieldGrant",
    "Name": "principal-knowledge-authority -&gt; Exceptions.SemanticTypeIri",
    "FieldTable": "Exceptions",
    "FieldName": "SemanticTypeIri",
    "FieldIsDerived": false,
    "IsWritableDerivedField": false,
    "IsMasked": false,
    "GrantKeyWhenReadable": "principal-knowledge-authority|Exceptions"
   },
   {
    "FieldGrantId": "fg-knowledge-authority-Explanations.ExplanationId",
    "Principal": "principal-knowledge-authority",
    "TargetField": "Explanations.ExplanationId",
    "CanRead": true,
    "CanWrite": false,
    "MaskStrategy": "plain",
    "SemanticTypeIri": "urn:effortless:pko-extension#FieldGrant",
    "Name": "principal-knowledge-authority -&gt; Explanations.ExplanationId",
    "FieldTable": "Explanations",
    "FieldName": "ExplanationId",
    "FieldIsDerived": false,
    "IsWritableDerivedField": false,
    "IsMasked": false,
    "GrantKeyWhenReadable": "principal-knowledge-authority|Explanations"
   },
   {
    "FieldGrantId": "fg-knowledge-authority-Explanations.Name",
    "Principal": "principal-knowledge-authority",
    "TargetField": "Explanations.Name",
    "CanRead": true,
    "CanWrite": false,
    "MaskStrategy": "plain",
    "SemanticTypeIri": "urn:effortless:pko-extension#FieldGrant",
    "Name": "principal-knowledge-authority -&gt; Explanations.Name",
    "FieldTable": "Explanations",
    "FieldName": "Name",
    "FieldIsDerived": true,
    "IsWritableDerivedField": false,
    "IsMasked": false,
    "GrantKeyWhenReadable": "principal-knowledge-authority|Explanations"
   },
   {
    "FieldGrantId": "fg-knowledge-authority-Explanations.ProcedureVersion",
    "Principal": "principal-knowledge-authority",
    "TargetField": "Explanations.ProcedureVersion",
    "CanRead": true,
    "CanWrite": false,
    "MaskStrategy": "plain",
    "SemanticTypeIri": "urn:effortless:pko-extension#FieldGrant",
    "Name": "principal-knowledge-authority -&gt; Explanations.ProcedureVersion",
    "FieldTable": "Explanations",
    "FieldName": "ProcedureVersion",
    "FieldIsDerived": false,
    "IsWritableDerivedField": false,
    "IsMasked": false,
    "GrantKeyWhenReadable": "principal-knowledge-authority|Explanations"
   },
   {
    "FieldGrantId": "fg-knowledge-authority-Explanations.Step",
    "Principal": "principal-knowledge-authority",
    "TargetField": "Explanations.Step",
    "CanRead": true,
    "CanWrite": false,
    "MaskStrategy": "plain",
    "SemanticTypeIri": "urn:effortless:pko-extension#FieldGrant",
    "Name": "principal-knowledge-authority -&gt; Explanations.Step",
    "FieldTable": "Explanations",
    "FieldName": "Step",
    "FieldIsDerived": false,
    "IsWritableDerivedField": false,
    "IsMasked": false,
    "GrantKeyWhenReadable": "principal-knowledge-authority|Explanations"
   },
   {
    "FieldGrantId": "fg-knowledge-authority-Explanations.Title",
    "Principal": "principal-knowledge-authority",
    "TargetField": "Explanations.Title",
    "CanRead": true,
    "CanWrite": false,
    "MaskStrategy": "plain",
    "SemanticTypeIri": "urn:effortless:pko-extension#FieldGrant",
    "Name": "principal-knowledge-authority -&gt; Explanations.Title",
    "FieldTable": "Explanations",
    "FieldName": "Title",
    "FieldIsDerived": false,
    "IsWritableDerivedField": false,
    "IsMasked": false,
    "GrantKeyWhenReadable": "principal-knowledge-authority|Explanations"
   },
   {
    "FieldGrantId": "fg-knowledge-authority-Explanations.Description",
    "Principal": "principal-knowledge-authority",
    "TargetField": "Explanations.Description",
    "CanRead": true,
    "CanWrite": false,
    "MaskStrategy": "plain",
    "SemanticTypeIri": "urn:effortless:pko-extension#FieldGrant",
    "Name": "principal-knowledge-authority -&gt; Explanations.Description",
    "FieldTable": "Explanations",
    "FieldName": "Description",
    "FieldIsDerived": false,
    "IsWritableDerivedField": false,
    "IsMasked": false,
    "GrantKeyWhenReadable": "principal-knowledge-authority|Explanations"
   },
   {
    "FieldGrantId": "fg-knowledge-authority-Explanations.SemanticTypeIri",
    "Principal": "principal-knowledge-authority",
    "TargetField": "Explanations.SemanticTypeIri",
    "CanRead": true,
    "CanWrite": false,
    "MaskStrategy": "plain",
    "SemanticTypeIri": "urn:effortless:pko-extension#FieldGrant",
    "Name": "principal-knowledge-authority -&gt; Explanations.SemanticTypeIri",
    "FieldTable": "Explanations",
    "FieldName": "SemanticTypeIri",
    "FieldIsDerived": false,
    "IsWritableDerivedField": false,
    "IsMasked": false,
    "GrantKeyWhenReadable": "principal-knowledge-authority|Explanations"
   },
   {
    "FieldGrantId": "fg-knowledge-authority-Functions.FunctionId",
    "Principal": "principal-knowledge-authority",
    "TargetField": "Functions.FunctionId",
    "CanRead": true,
    "CanWrite": false,
    "MaskStrategy": "plain",
    "SemanticTypeIri": "urn:effortless:pko-extension#FieldGrant",
    "Name": "principal-knowledge-authority -&gt; Functions.FunctionId",
    "FieldTable": "Functions",
    "FieldName": "FunctionId",
    "FieldIsDerived": false,
    "IsWritableDerivedField": false,
    "IsMasked": false,
    "GrantKeyWhenReadable": "principal-knowledge-authority|Functions"
   },
   {
    "FieldGrantId": "fg-knowledge-authority-Functions.Name",
    "Principal": "principal-knowledge-authority",
    "TargetField": "Functions.Name",
    "CanRead": true,
    "CanWrite": false,
    "MaskStrategy": "plain",
    "SemanticTypeIri": "urn:effortless:pko-extension#FieldGrant",
    "Name": "principal-knowledge-authority -&gt; Functions.Name",
    "FieldTable": "Functions",
    "FieldName": "Name",
    "FieldIsDerived": true,
    "IsWritableDerivedField": false,
    "IsMasked": false,
    "GrantKeyWhenReadable": "principal-knowledge-authority|Functions"
   },
   {
    "FieldGrantId": "fg-knowledge-authority-Functions.Label",
    "Principal": "principal-knowledge-authority",
    "TargetField": "Functions.Label",
    "CanRead": true,
    "CanWrite": false,
    "MaskStrategy": "plain",
    "SemanticTypeIri": "urn:effortless:pko-extension#FieldGrant",
    "Name": "principal-knowledge-authority -&gt; Functions.Label",
    "FieldTable": "Functions",
    "FieldName": "Label",
    "FieldIsDerived": false,
    "IsWritableDerivedField": false,
    "IsMasked": false,
    "GrantKeyWhenReadable": "principal-knowledge-authority|Functions"
   },
   {
    "FieldGrantId": "fg-knowledge-authority-Functions.Definition",
    "Principal": "principal-knowledge-authority",
    "TargetField": "Functions.Definition",
    "CanRead": true,
    "CanWrite": false,
    "MaskStrategy": "plain",
    "SemanticTypeIri": "urn:effortless:pko-extension#FieldGrant",
    "Name": "principal-knowledge-authority -&gt; Functions.Definition",
    "FieldTable": "Functions",
    "FieldName": "Definition",
    "FieldIsDerived": false,
    "IsWritableDerivedField": false,
    "IsMasked": false,
    "GrantKeyWhenReadable": "principal-knowledge-authority|Functions"
   },
   {
    "FieldGrantId": "fg-knowledge-authority-Functions.ImplementationKey",
    "Principal": "principal-knowledge-authority",
    "TargetField": "Functions.ImplementationKey",
    "CanRead": true,
    "CanWrite": false,
    "MaskStrategy": "plain",
    "SemanticTypeIri": "urn:effortless:pko-extension#FieldGrant",
    "Name": "principal-knowledge-authority -&gt; Functions.ImplementationKey",
    "FieldTable": "Functions",
    "FieldName": "ImplementationKey",
    "FieldIsDerived": false,
    "IsWritableDerivedField": false,
    "IsMasked": false,
    "GrantKeyWhenReadable": "principal-knowledge-authority|Functions"
   },
   {
    "FieldGrantId": "fg-knowledge-authority-Functions.SemanticTypeIri",
    "Principal": "principal-knowledge-authority",
    "TargetField": "Functions.SemanticTypeIri",
    "CanRead": true,
    "CanWrite": false,
    "MaskStrategy": "plain",
    "SemanticTypeIri": "urn:effortless:pko-extension#FieldGrant",
    "Name": "principal-knowledge-authority -&gt; Functions.SemanticTypeIri",
    "FieldTable": "Functions",
    "FieldName": "SemanticTypeIri",
    "FieldIsDerived": false,
    "IsWritableDerivedField": false,
    "IsMasked": false,
    "GrantKeyWhenReadable": "principal-knowledge-authority|Functions"
   },
   {
    "FieldGrantId": "fg-knowledge-authority-IssueOccurrences.IssueOccurrenceId",
    "Principal": "principal-knowledge-authority",
    "TargetField": "IssueOccurrences.IssueOccurrenceId",
    "CanRead": true,
    "CanWrite": false,
    "MaskStrategy": "plain",
    "SemanticTypeIri": "urn:effortless:pko-extension#FieldGrant",
    "Name": "principal-knowledge-authority -&gt; IssueOccurrences.IssueOccurrenceId",
    "FieldTable": "IssueOccurrences",
    "FieldName": "IssueOccurrenceId",
    "FieldIsDerived": false,
    "IsWritableDerivedField": false,
    "IsMasked": false,
    "GrantKeyWhenReadable": "principal-knowledge-authority|IssueOccurrences"
   },
   {
    "FieldGrantId": "fg-knowledge-authority-IssueOccurrences.Name",
    "Principal": "principal-knowledge-authority",
    "TargetField": "IssueOccurrences.Name",
    "CanRead": true,
    "CanWrite": false,
    "MaskStrategy": "plain",
    "SemanticTypeIri": "urn:effortless:pko-extension#FieldGrant",
    "Name": "principal-knowledge-authority -&gt; IssueOccurrences.Name",
    "FieldTable": "IssueOccurrences",
    "FieldName": "Name",
    "FieldIsDerived": true,
    "IsWritableDerivedField": false,
    "IsMasked": false,
    "GrantKeyWhenReadable": "principal-knowledge-authority|IssueOccurrences"
   },
   {
    "FieldGrantId": "fg-knowledge-authority-IssueOccurrences.StepExecution",
    "Principal": "principal-knowledge-authority",
    "TargetField": "IssueOccurrences.StepExecution",
    "CanRead": true,
    "CanWrite": false,
    "MaskStrategy": "plain",
    "SemanticTypeIri": "urn:effortless:pko-extension#FieldGrant",
    "Name": "principal-knowledge-authority -&gt; IssueOccurrences.StepExecution",
    "FieldTable": "IssueOccurrences",
    "FieldName": "StepExecution",
    "FieldIsDerived": false,
    "IsWritableDerivedField": false,
    "IsMasked": false,
    "GrantKeyWhenReadable": "principal-knowledge-authority|IssueOccurrences"
   },
   {
    "FieldGrantId": "fg-knowledge-authority-IssueOccurrences.Error",
    "Principal": "principal-knowledge-authority",
    "TargetField": "IssueOccurrences.Error",
    "CanRead": true,
    "CanWrite": false,
    "MaskStrategy": "plain",
    "SemanticTypeIri": "urn:effortless:pko-extension#FieldGrant",
    "Name": "principal-knowledge-authority -&gt; IssueOccurrences.Error",
    "FieldTable": "IssueOccurrences",
    "FieldName": "Error",
    "FieldIsDerived": false,
    "IsWritableDerivedField": false,
    "IsMasked": false,
    "GrantKeyWhenReadable": "principal-knowledge-authority|IssueOccurrences"
   },
   {
    "FieldGrantId": "fg-knowledge-authority-IssueOccurrences.EncounteredByAgent",
    "Principal": "principal-knowledge-authority",
    "TargetField": "IssueOccurrences.EncounteredByAgent",
    "CanRead": true,
    "CanWrite": false,
    "MaskStrategy": "plain",
    "SemanticTypeIri": "urn:effortless:pko-extension#FieldGrant",
    "Name": "principal-knowledge-authority -&gt; IssueOccurrences.EncounteredByAgent",
    "FieldTable": "IssueOccurrences",
    "FieldName": "EncounteredByAgent",
    "FieldIsDerived": false,
    "IsWritableDerivedField": false,
    "IsMasked": false,
    "GrantKeyWhenReadable": "principal-knowledge-authority|IssueOccurrences"
   },
   {
    "FieldGrantId": "fg-knowledge-authority-IssueOccurrences.OccurredAt",
    "Principal": "principal-knowledge-authority",
    "TargetField": "IssueOccurrences.OccurredAt",
    "CanRead": true,
    "CanWrite": false,
    "MaskStrategy": "plain",
    "SemanticTypeIri": "urn:effortless:pko-extension#FieldGrant",
    "Name": "principal-knowledge-authority -&gt; IssueOccurrences.OccurredAt",
    "FieldTable": "IssueOccurrences",
    "FieldName": "OccurredAt",
    "FieldIsDerived": false,
    "IsWritableDerivedField": false,
    "IsMasked": false,
    "GrantKeyWhenReadable": "principal-knowledge-authority|IssueOccurrences"
   },
   {
    "FieldGrantId": "fg-knowledge-authority-IssueOccurrences.IssueCause",
    "Principal": "principal-knowledge-authority",
    "TargetField": "IssueOccurrences.IssueCause",
    "CanRead": true,
    "CanWrite": false,
    "MaskStrategy": "plain",
    "SemanticTypeIri": "urn:effortless:pko-extension#FieldGrant",
    "Name": "principal-knowledge-authority -&gt; IssueOccurrences.IssueCause",
    "FieldTable": "IssueOccurrences",
    "FieldName": "IssueCause",
    "FieldIsDerived": false,
    "IsWritableDerivedField": false,
    "IsMasked": false,
    "GrantKeyWhenReadable": "principal-knowledge-authority|IssueOccurrences"
   },
   {
    "FieldGrantId": "fg-knowledge-authority-IssueOccurrences.IssueSolution",
    "Principal": "principal-knowledge-authority",
    "TargetField": "IssueOccurrences.IssueSolution",
    "CanRead": true,
    "CanWrite": false,
    "MaskStrategy": "plain",
    "SemanticTypeIri": "urn:effortless:pko-extension#FieldGrant",
    "Name": "principal-knowledge-authority -&gt; IssueOccurrences.IssueSolution",
    "FieldTable": "IssueOccurrences",
    "FieldName": "IssueSolution",
    "FieldIsDerived": false,
    "IsWritableDerivedField": false,
    "IsMasked": false,
    "GrantKeyWhenReadable": "principal-knowledge-authority|IssueOccurrences"
   },
   {
    "FieldGrantId": "fg-knowledge-authority-IssueOccurrences.Status",
    "Principal": "principal-knowledge-authority",
    "TargetField": "IssueOccurrences.Status",
    "CanRead": true,
    "CanWrite": false,
    "MaskStrategy": "plain",
    "SemanticTypeIri": "urn:effortless:pko-extension#FieldGrant",
    "Name": "principal-knowledge-authority -&gt; IssueOccurrences.Status",
    "FieldTable": "IssueOccurrences",
    "FieldName": "Status",
    "FieldIsDerived": false,
    "IsWritableDerivedField": false,
    "IsMasked": false,
    "GrantKeyWhenReadable": "principal-knowledge-authority|IssueOccurre</t>
  </si>
  <si>
    <t xml:space="preserve">nces"
   },
   {
    "FieldGrantId": "fg-knowledge-authority-IssueOccurrences.IsUnresolved",
    "Principal": "principal-knowledge-authority",
    "TargetField": "IssueOccurrences.IsUnresolved",
    "CanRead": true,
    "CanWrite": false,
    "MaskStrategy": "plain",
    "SemanticTypeIri": "urn:effortless:pko-extension#FieldGrant",
    "Name": "principal-knowledge-authority -&gt; IssueOccurrences.IsUnresolved",
    "FieldTable": "IssueOccurrences",
    "FieldName": "IsUnresolved",
    "FieldIsDerived": true,
    "IsWritableDerivedField": false,
    "IsMasked": false,
    "GrantKeyWhenReadable": "principal-knowledge-authority|IssueOccurrences"
   },
   {
    "FieldGrantId": "fg-knowledge-authority-IssueOccurrences.StepExecutionWhenUnresolved",
    "Principal": "principal-knowledge-authority",
    "TargetField": "IssueOccurrences.StepExecutionWhenUnresolved",
    "CanRead": true,
    "CanWrite": false,
    "MaskStrategy": "plain",
    "SemanticTypeIri": "urn:effortless:pko-extension#FieldGrant",
    "Name": "principal-knowledge-authority -&gt; IssueOccurrences.StepExecutionWhenUnresolved",
    "FieldTable": "IssueOccurrences",
    "FieldName": "StepExecutionWhenUnresolved",
    "FieldIsDerived": true,
    "IsWritableDerivedField": false,
    "IsMasked": false,
    "GrantKeyWhenReadable": "principal-knowledge-authority|IssueOccurrences"
   },
   {
    "FieldGrantId": "fg-knowledge-authority-IssueOccurrences.SemanticTypeIri",
    "Principal": "principal-knowledge-authority",
    "TargetField": "IssueOccurrences.SemanticTypeIri",
    "CanRead": true,
    "CanWrite": false,
    "MaskStrategy": "plain",
    "SemanticTypeIri": "urn:effortless:pko-extension#FieldGrant",
    "Name": "principal-knowledge-authority -&gt; IssueOccurrences.SemanticTypeIri",
    "FieldTable": "IssueOccurrences",
    "FieldName": "SemanticTypeIri",
    "FieldIsDerived": false,
    "IsWritableDerivedField": false,
    "IsMasked": false,
    "GrantKeyWhenReadable": "principal-knowledge-authority|IssueOccurrences"
   },
   {
    "FieldGrantId": "fg-knowledge-authority-KnowledgeFragments.KnowledgeFragmentId",
    "Principal": "principal-knowledge-authority",
    "TargetField": "KnowledgeFragments.KnowledgeFragmentId",
    "CanRead": true,
    "CanWrite": false,
    "MaskStrategy": "plain",
    "SemanticTypeIri": "urn:effortless:pko-extension#FieldGrant",
    "Name": "principal-knowledge-authority -&gt; KnowledgeFragments.KnowledgeFragmentId",
    "FieldTable": "KnowledgeFragments",
    "FieldName": "KnowledgeFragmentId",
    "FieldIsDerived": false,
    "IsWritableDerivedField": false,
    "IsMasked": false,
    "GrantKeyWhenReadable": "principal-knowledge-authority|KnowledgeFragments"
   },
   {
    "FieldGrantId": "fg-knowledge-authority-KnowledgeFragments.Name",
    "Principal": "principal-knowledge-authority",
    "TargetField": "KnowledgeFragments.Name",
    "CanRead": true,
    "CanWrite": false,
    "MaskStrategy": "plain",
    "SemanticTypeIri": "urn:effortless:pko-extension#FieldGrant",
    "Name": "principal-knowledge-authority -&gt; KnowledgeFragments.Name",
    "FieldTable": "KnowledgeFragments",
    "FieldName": "Name",
    "FieldIsDerived": true,
    "IsWritableDerivedField": false,
    "IsMasked": false,
    "GrantKeyWhenReadable": "principal-knowledge-authority|KnowledgeFragments"
   },
   {
    "FieldGrantId": "fg-knowledge-authority-KnowledgeFragments.ProcedureVersion",
    "Principal": "principal-knowledge-authority",
    "TargetField": "KnowledgeFragments.ProcedureVersion",
    "CanRead": true,
    "CanWrite": false,
    "MaskStrategy": "plain",
    "SemanticTypeIri": "urn:effortless:pko-extension#FieldGrant",
    "Name": "principal-knowledge-authority -&gt; KnowledgeFragments.ProcedureVersion",
    "FieldTable": "KnowledgeFragments",
    "FieldName": "ProcedureVersion",
    "FieldIsDerived": false,
    "IsWritableDerivedField": false,
    "IsMasked": false,
    "GrantKeyWhenReadable": "principal-knowledge-authority|KnowledgeFragments"
   },
   {
    "FieldGrantId": "fg-knowledge-authority-KnowledgeFragments.Step",
    "Principal": "principal-knowledge-authority",
    "TargetField": "KnowledgeFragments.Step",
    "CanRead": true,
    "CanWrite": false,
    "MaskStrategy": "plain",
    "SemanticTypeIri": "urn:effortless:pko-extension#FieldGrant",
    "Name": "principal-knowledge-authority -&gt; KnowledgeFragments.Step",
    "FieldTable": "KnowledgeFragments",
    "FieldName": "Step",
    "FieldIsDerived": false,
    "IsWritableDerivedField": false,
    "IsMasked": false,
    "GrantKeyWhenReadable": "principal-knowledge-authority|KnowledgeFragments"
   },
   {
    "FieldGrantId": "fg-knowledge-authority-KnowledgeFragments.KnowledgeForm",
    "Principal": "principal-knowledge-authority",
    "TargetField": "KnowledgeFragments.KnowledgeForm",
    "CanRead": true,
    "CanWrite": false,
    "MaskStrategy": "plain",
    "SemanticTypeIri": "urn:effortless:pko-extension#FieldGrant",
    "Name": "principal-knowledge-authority -&gt; KnowledgeFragments.KnowledgeForm",
    "FieldTable": "KnowledgeFragments",
    "FieldName": "KnowledgeForm",
    "FieldIsDerived": false,
    "IsWritableDerivedField": false,
    "IsMasked": false,
    "GrantKeyWhenReadable": "principal-knowledge-authority|KnowledgeFragments"
   },
   {
    "FieldGrantId": "fg-knowledge-authority-KnowledgeFragments.Statement",
    "Principal": "principal-knowledge-authority",
    "TargetField": "KnowledgeFragments.Statement",
    "CanRead": true,
    "CanWrite": false,
    "MaskStrategy": "plain",
    "SemanticTypeIri": "urn:effortless:pko-extension#FieldGrant",
    "Name": "principal-knowledge-authority -&gt; KnowledgeFragments.Statement",
    "FieldTable": "KnowledgeFragments",
    "FieldName": "Statement",
    "FieldIsDerived": false,
    "IsWritableDerivedField": false,
    "IsMasked": false,
    "GrantKeyWhenReadable": "principal-knowledge-authority|KnowledgeFragments"
   },
   {
    "FieldGrantId": "fg-knowledge-authority-KnowledgeFragments.ElicitationSession",
    "Principal": "principal-knowledge-authority",
    "TargetField": "KnowledgeFragments.ElicitationSession",
    "CanRead": true,
    "CanWrite": false,
    "MaskStrategy": "plain",
    "SemanticTypeIri": "urn:effortless:pko-extension#FieldGrant",
    "Name": "principal-knowledge-authority -&gt; KnowledgeFragments.ElicitationSession",
    "FieldTable": "KnowledgeFragments",
    "FieldName": "ElicitationSession",
    "FieldIsDerived": false,
    "IsWritableDerivedField": false,
    "IsMasked": false,
    "GrantKeyWhenReadable": "principal-knowledge-authority|KnowledgeFragments"
   },
   {
    "FieldGrantId": "fg-knowledge-authority-KnowledgeFragments.SourceAgent",
    "Principal": "principal-knowledge-authority",
    "TargetField": "KnowledgeFragments.SourceAgent",
    "CanRead": true,
    "CanWrite": false,
    "MaskStrategy": "plain",
    "SemanticTypeIri": "urn:effortless:pko-extension#FieldGrant",
    "Name": "principal-knowledge-authority -&gt; KnowledgeFragments.SourceAgent",
    "FieldTable": "KnowledgeFragments",
    "FieldName": "SourceAgent",
    "FieldIsDerived": false,
    "IsWritableDerivedField": false,
    "IsMasked": false,
    "GrantKeyWhenReadable": "principal-knowledge-authority|KnowledgeFragments"
   },
   {
    "FieldGrantId": "fg-knowledge-authority-KnowledgeFragments.Confidence",
    "Principal": "principal-knowledge-authority",
    "TargetField": "KnowledgeFragments.Confidence",
    "CanRead": true,
    "CanWrite": false,
    "MaskStrategy": "plain",
    "SemanticTypeIri": "urn:effortless:pko-extension#FieldGrant",
    "Name": "principal-knowledge-authority -&gt; KnowledgeFragments.Confidence",
    "FieldTable": "KnowledgeFragments",
    "FieldName": "Confidence",
    "FieldIsDerived": false,
    "IsWritableDerivedField": false,
    "IsMasked": false,
    "GrantKeyWhenReadable": "principal-knowledge-authority|KnowledgeFragments"
   },
   {
    "FieldGrantId": "fg-knowledge-authority-KnowledgeFragments.ValidFrom",
    "Principal": "principal-knowledge-authority",
    "TargetField": "KnowledgeFragments.ValidFrom",
    "CanRead": true,
    "CanWrite": false,
    "MaskStrategy": "plain",
    "SemanticTypeIri": "urn:effortless:pko-extension#FieldGrant",
    "Name": "principal-knowledge-authority -&gt; KnowledgeFragments.ValidFrom",
    "FieldTable": "KnowledgeFragments",
    "FieldName": "ValidFrom",
    "FieldIsDerived": false,
    "IsWritableDerivedField": false,
    "IsMasked": false,
    "GrantKeyWhenReadable": "principal-knowledge-authority|KnowledgeFragments"
   },
   {
    "FieldGrantId": "fg-knowledge-authority-KnowledgeFragments.ValidTo",
    "Principal": "principal-knowledge-authority",
    "TargetField": "KnowledgeFragments.ValidTo",
    "CanRead": true,
    "CanWrite": false,
    "MaskStrategy": "plain",
    "SemanticTypeIri": "urn:effortless:pko-extension#FieldGrant",
    "Name": "principal-knowledge-authority -&gt; KnowledgeFragments.ValidTo",
    "FieldTable": "KnowledgeFragments",
    "FieldName": "ValidTo",
    "FieldIsDerived": false,
    "IsWritableDerivedField": false,
    "IsMasked": false,
    "GrantKeyWhenReadable": "principal-knowledge-authority|KnowledgeFragments"
   },
   {
    "FieldGrantId": "fg-knowledge-authority-KnowledgeFragments.Status",
    "Principal": "principal-knowledge-authority",
    "TargetField": "KnowledgeFragments.Status",
    "CanRead": true,
    "CanWrite": false,
    "MaskStrategy": "plain",
    "SemanticTypeIri": "urn:effortless:pko-extension#FieldGrant",
    "Name": "principal-knowledge-authority -&gt; KnowledgeFragments.Status",
    "FieldTable": "KnowledgeFragments",
    "FieldName": "Status",
    "FieldIsDerived": false,
    "IsWritableDerivedField": false,
    "IsMasked": false,
    "GrantKeyWhenReadable": "principal-knowledge-authority|KnowledgeFragments"
   },
   {
    "FieldGrantId": "fg-knowledge-authority-KnowledgeFragments.OwnerRole",
    "Principal": "principal-knowledge-authority",
    "TargetField": "KnowledgeFragments.OwnerRole",
    "CanRead": true,
    "CanWrite": false,
    "MaskStrategy": "plain",
    "SemanticTypeIri": "urn:effortless:pko-extension#FieldGrant",
    "Name": "principal-knowledge-authority -&gt; KnowledgeFragments.OwnerRole",
    "FieldTable": "KnowledgeFragments",
    "FieldName": "OwnerRole",
    "FieldIsDerived": false,
    "IsWritableDerivedField": false,
    "IsMasked": false,
    "GrantKeyWhenReadable": "principal-knowledge-authority|KnowledgeFragments"
   },
   {
    "FieldGrantId": "fg-knowledge-authority-KnowledgeFragments.EvaluationContext",
    "Principal": "principal-knowledge-authority",
    "TargetField": "KnowledgeFragments.EvaluationContext",
    "CanRead": true,
    "CanWrite": false,
    "MaskStrategy": "plain",
    "SemanticTypeIri": "urn:effortless:pko-extension#FieldGrant",
    "Name": "principal-knowledge-authority -&gt; KnowledgeFragments.EvaluationContext",
    "FieldTable": "KnowledgeFragments",
    "FieldName": "EvaluationContext",
    "FieldIsDerived": false,
    "IsWritableDerivedField": false,
    "IsMasked": false,
    "GrantKeyWhenReadable": "principal-knowledge-authority|KnowledgeFragments"
   },
   {
    "FieldGrantId": "fg-knowledge-authority-KnowledgeFragments.AsOfInstant",
    "Principal": "principal-knowledge-authority",
    "TargetField": "KnowledgeFragments.AsOfInstant",
    "CanRead": true,
    "CanWrite": false,
    "MaskStrategy": "plain",
    "SemanticTypeIri": "urn:effortless:pko-extension#FieldGrant",
    "Name": "principal-knowledge-authority -&gt; KnowledgeFragments.AsOfInstant",
    "FieldTable": "KnowledgeFragments",
    "FieldName": "AsOfInstant",
    "FieldIsDerived": true,
    "IsWritableDerivedField": false,
    "IsMasked": false,
    "GrantKeyWhenReadable": "principal-knowledge-authority|KnowledgeFragments"
   },
   {
    "FieldGrantId": "fg-knowledge-authority-KnowledgeFragments.IsCurrentlyValid",
    "Principal": "principal-knowledge-authority",
    "TargetField": "KnowledgeFragments.IsCurrentlyValid",
    "CanRead": true,
    "CanWrite": false,
    "MaskStrategy": "plain",
    "SemanticTypeIri": "urn:effortless:pko-extension#FieldGrant",
    "Name": "principal-knowledge-authority -&gt; KnowledgeFragments.IsCurrentlyValid",
    "FieldTable": "KnowledgeFragments",
    "FieldName": "IsCurrentlyValid",
    "FieldIsDerived": true,
    "IsWritableDerivedField": false,
    "IsMasked": false,
    "GrantKeyWhenReadable": "principal-knowledge-authority|KnowledgeFragments"
   },
   {
    "FieldGrantId": "fg-knowledge-authority-KnowledgeFragments.SourceAgentIsStillEngaged",
    "Principal": "principal-knowledge-authority",
    "TargetField": "KnowledgeFragments.SourceAgentIsStillEngaged",
    "CanRead": true,
    "CanWrite": false,
    "MaskStrategy": "plain",
    "SemanticTypeIri": "urn:effortless:pko-extension#FieldGrant",
    "Name": "principal-knowledge-authority -&gt; KnowledgeFragments.SourceAgentIsStillEngaged",
    "FieldTable": "KnowledgeFragments",
    "FieldName": "SourceAgentIsStillEngaged",
    "FieldIsDerived": true,
    "IsWritableDerivedField": false,
    "IsMasked": false,
    "GrantKeyWhenReadable": "principal-knowledge-authority|KnowledgeFragments"
   },
   {
    "FieldGrantId": "fg-knowledge-authority-KnowledgeFragments.SourceAgentKind",
    "Principal": "principal-knowledge-authority",
    "TargetField": "KnowledgeFragments.SourceAgentKind",
    "CanRead": true,
    "CanWrite": false,
    "MaskStrategy": "plain",
    "SemanticTypeIri": "urn:effortless:pko-extension#FieldGrant",
    "Name": "principal-knowledge-authority -&gt; KnowledgeFragments.SourceAgentKind",
    "FieldTable": "KnowledgeFragments",
    "FieldName": "SourceAgentKind",
    "FieldIsDerived": true,
    "IsWritableDerivedField": false,
    "IsMasked": false,
    "GrantKeyWhenReadable": "principal-knowledge-authority|KnowledgeFragments"
   },
   {
    "FieldGrantId": "fg-knowledge-authority-KnowledgeFragments.HasHumanSource",
    "Principal": "principal-knowledge-authority",
    "TargetField": "KnowledgeFragments.HasHumanSource",
    "CanRead": true,
    "CanWrite": false,
    "MaskStrategy": "plain",
    "SemanticTypeIri": "urn:effortless:pko-extension#FieldGrant",
    "Name": "principal-knowledge-authority -&gt; KnowledgeFragments.HasHumanSource",
    "FieldTable": "KnowledgeFragments",
    "FieldName": "HasHumanSource",
    "FieldIsDerived": true,
    "IsWritableDerivedField": false,
    "IsMasked": false,
    "GrantKeyWhenReadable": "principal-knowledge-authority|KnowledgeFragments"
   },
   {
    "FieldGrantId": "fg-knowledge-authority-KnowledgeFragments.HasOrphanedProvenance",
    "Principal": "principal-knowledge-authority",
    "TargetField": "KnowledgeFragments.HasOrphanedProvenance",
    "CanRead": true,
    "CanWrite": false,
    "MaskStrategy": "plain",
    "SemanticTypeIri": "urn:effortless:pko-extension#FieldGrant",
    "Name": "principal-knowledge-authority -&gt; KnowledgeFragments.HasOrphanedProvenance",
    "FieldTable": "KnowledgeFragments",
    "FieldName": "HasOrphanedProvenance",
    "FieldIsDerived": true,
    "IsWritableDerivedField": false,
    "IsMasked": false,
    "GrantKeyWhenReadable": "principal-knowledge-authority|KnowledgeFragments"
   },
   {
    "FieldGrantId": "fg-knowledge-authority-KnowledgeFragments.IsUndefendableTacitClaim",
    "Principal": "principal-knowledge-authority",
    "TargetField": "KnowledgeFragments.IsUndefendableTacitClaim",
    "CanRead": true,
    "CanWrite": false,
    "MaskStrategy": "plain",
    "SemanticTypeIri": "urn:effortless:pko-extension#FieldGrant",
    "Name": "principal-knowledge-authority -&gt; KnowledgeFragments.IsUndefendableTacitClaim",
    "FieldTable": "KnowledgeFragments",
    "FieldName": "IsUndefendableTacitClaim",
    "FieldIsDerived": true,
    "IsWritableDerivedField": false,
    "IsMasked": false,
    "GrantKeyWhenReadable": "principal-knowledge-authority|KnowledgeFragments"
   },
   {
    "FieldGrantId": "fg-knowledge-authority-KnowledgeFragments.IsApproved",
    "Principal": "principal-knowledge-authority",
    "TargetField": "KnowledgeFragments.IsApproved",
    "CanRead": true,
    "CanWrite": false,
    "MaskStrategy": "plain",
    "SemanticTypeIri": "urn:effortless:pko-extension#FieldGrant",
    "Name": "principal-knowledge-authority -&gt; KnowledgeFragments.IsApproved",
    "FieldTable": "KnowledgeFragments",
    "FieldName": "IsApproved",
    "FieldIsDerived": true,
    "IsWritableDerivedField": false,
    "IsMasked": false,
    "GrantKeyWhenReadable": "principal-knowledge-authority|KnowledgeFragments"
   },
   {
    "FieldGrantId": "fg-knowledge-authority-KnowledgeFragments.IsWithinValidityWindow",
    "Principal": "principal-knowledge-authority",
    "TargetField": "KnowledgeFragments.IsWithinValidityWindow",
    "CanRead": true,
    "CanWrite": false,
    "MaskStrategy": "plain",
    "SemanticTypeIri": "urn:effortless:pko-extension#FieldGrant",
    "Name": "principal-knowledge-authority -&gt; KnowledgeFragments.IsWithinValidityWindow",
    "FieldTable": "KnowledgeFragments",
    "FieldName": "IsWithinValidityWindow",
    "FieldIsDerived": true,
    "IsWritableDerivedField": false,
    "IsMasked": false,
    "GrantKeyWhenReadable": "principal-knowledge-authority|KnowledgeFragments"
   },
   {
    "FieldGrantId": "fg-knowledge-authority-KnowledgeFragments.IsReliedUpon",
    "Principal": "principal-knowledge-authority",
    "TargetField": "KnowledgeFragments.IsReliedUpon",
    "CanRead": true,
    "CanWrite": false,
    "MaskStrategy": "plain",
    "SemanticTypeIri": "urn:effortless:pko-extension#FieldGrant",
    "Name": "principal-knowledge-authority -&gt; KnowledgeFragments.IsReliedUpon",
    "FieldTable": "KnowledgeFragments",
    "FieldName": "IsReliedUpon",
    "FieldIsDerived": true,
    "IsWritableDerivedField": false,
    "IsMasked": false,
    "GrantKeyWhenReadable": "principal-knowledge-authority|KnowledgeFragments"
   },
   {
    "FieldGrantId": "fg-knowledge-authority-KnowledgeFragments.StepProcedureVersionStatus",
    "Principal": "principal-knowledge-authority",
    "TargetField": "KnowledgeFragments.StepProcedureVersionStatus",
    "CanRead": true,
    "CanWrite": false,
    "MaskStrategy": "plain",
    "SemanticTypeIri": "urn:effortless:pko-extension#FieldGrant",
    "Name": "principal-knowledge-authority -&gt; KnowledgeFragments.StepProcedureVersionStatus",
    "FieldTable": "KnowledgeFragments",
    "FieldName": "StepProcedureVersionStatus",
    "FieldIsDerived": true,
    "IsWritableDerivedField": false,
    "IsMasked": false,
    "GrantKeyWhenReadable": "principal-knowledge-authority|KnowledgeFragments"
   },
   {
    "FieldGrantId": "fg-knowledge-authority-KnowledgeFragments.IsAttachedToLiveVersion",
    "Principal": "principal-knowledge-authority",
    "TargetField": "KnowledgeFragments.IsAttachedToLiveVersion",
    "CanRead": true,
    "CanWrite": false,
    "MaskStrategy": "plain",
    "SemanticTypeIri": "urn:effortless:pko-extension#FieldGrant",
    "Name": "principal-knowledge-authority -&gt; KnowledgeFragments.IsAttachedToLiveVersion",
    "FieldTable": "KnowledgeFragments",
    "FieldName": "IsAttachedToLiveVersion",
    "FieldIsDerived": true,
    "IsWritableDerivedField": false,
    "IsMasked": false,
    "GrantKeyWhenReadable": "principal-knowledge-authority|KnowledgeFragments"
   },
   {
    "FieldGrantId": "fg-knowledge-authority-KnowledgeFragments.IsUnapprovedButReliedOn",
    "Principal": "principal-knowledge-authority",
    "TargetField": "KnowledgeFragments.IsUnapprovedButReliedOn",
    "CanRead": true,
    "CanWrite": false,
    "MaskStrategy": "plain",
    "SemanticTypeIri": "urn:effortless:pko-extension#FieldGrant",
    "Name": "principal-knowledge-authority -&gt; KnowledgeFragments.IsUnapprovedButReliedOn",
    "FieldTable": "KnowledgeFragments",
    "FieldName": "IsUnapprovedButReliedOn",
    "FieldIsDerived": true,
    "IsWritableDerivedField": false,
    "IsMasked": false,
    "GrantKeyWhenReadable": "principal-knowledge-authority|KnowledgeFragments"
   },
   {
    "FieldGrantId": "fg-knowledge-authority-KnowledgeFragments.EvidenceAgeDays",
    "Principal": "principal-knowledge-authority",
    "TargetField": "KnowledgeFragments.EvidenceAgeDays",
    "CanRead": true,
    "CanWrite": false,
    "MaskStrategy": "plain",
    "SemanticTypeIri": "urn:effortless:pko-extension#FieldGrant",
    "Name": "principal-knowledge-authority -&gt; KnowledgeFragments.EvidenceAgeDays",
    "FieldTable": "KnowledgeFragments",
    "FieldName": "EvidenceAgeDays",
    "FieldIsDerived": true,
    "IsWritableDerivedField": false,
    "IsMasked": false,
    "GrantKeyWhenReadable": "principal-knowledge-authority|KnowledgeFragments"
   },
   {
    "FieldGrantId": "fg-knowledge-authority-KnowledgeFragments.HasRecordedElicitation",
    "Principal": "principal-knowledge-authority",
    "TargetField": "KnowledgeFragments.HasRecordedElicitation",
    "CanRead": true,
    "CanWrite": false,
    "MaskStrategy": "plain",
    "SemanticTypeIri": "urn:effortless:pko-extension#FieldGrant",
    "Name": "principal-knowledge-authority -&gt; KnowledgeFragments.HasRecordedElicitation",
    "FieldTable": "KnowledgeFragments",
    "FieldName": "HasRecordedElicitation",
    "FieldIsDerived": true,
    "IsWritableDerivedField": false,
    "IsMasked": false,
    "GrantKeyWhenReadable": "principal-knowledge-authority|KnowledgeFragments"
   },
   {
    "FieldGrantId": "fg-knowledge-authority-KnowledgeFragments.IsFromSingleWitness",
    "Principal": "principal-knowledge-authority",
    "TargetField": "KnowledgeFragments.IsFromSingleWitness",
    "CanRead": true,
    "CanWrite": false,
    "MaskStrategy": "plain",
    "SemanticTypeIri": "urn:effortless:pko-extension#FieldGrant",
    "Name": "principal-knowledge-authority -&gt; KnowledgeFragments.IsFromSingleWitness",
    "FieldTable": "KnowledgeFragments",
    "FieldName": "IsFromSingleWitness",
    "FieldIsDerived": true,
    "IsWritableDerivedField": false,
    "IsMasked": false,
    "GrantKeyWhenReadable": "principal-knowledge-authority|KnowledgeFragments"
   },
   {
    "FieldGrantId": "fg-knowledge-authority-KnowledgeFragments.EvidenceExpiryDays",
    "Principal": "principal-knowledge-authority",
    "TargetField": "KnowledgeFragments.EvidenceExpiryDays",
    "CanRead": true,
    "CanWrite": false,
    "MaskStrategy": "plain",
    "SemanticTypeIri": "urn:effortless:pko-extension#FieldGrant",
    "Name": "principal-knowledge-authority -&gt; KnowledgeFragments.EvidenceExpiryDays",
    "FieldTable": "KnowledgeFragments",
    "FieldName": "EvidenceExpiryDays",
    "FieldIsDerived": true,
    "IsWritableDerivedField": false,
    "IsMasked": false,
    "GrantKeyWhenReadable": "principal-knowledge-authority|KnowledgeFragments"
   },
   {
    "FieldGrantId": "fg-knowledge-authority-KnowledgeFragments.EvidenceHasExpired",
    "Principal": "principal-knowledge-authority",
    "TargetField": "KnowledgeFragments.EvidenceHasExpired",
    "CanRead": true,
    "CanWrite": false,
    "MaskStrategy": "plain",
    "SemanticTypeIri": "urn:effortless:pko-extension#FieldGrant",
    "Name": "principal-knowledge-authority -&gt; KnowledgeFragments.EvidenceHasExpired",
    "FieldTable": "KnowledgeFragments",
    "FieldName": "EvidenceHasExpired",
    "FieldIsDerived": true,
    "IsWritableDerivedField": false,
    "IsMasked": false,
    "GrantKeyWhenReadable": "principal-knowledge-authority|KnowledgeFragments"
   },
   {
    "FieldGrantId": "fg-knowledge-authority-KnowledgeFragments.OwnerAgent",
    "Principal": "principal-knowledge-authority",
    "TargetField": "KnowledgeFragments.OwnerAgent",
    "CanRead": true,
    "CanWrite": false,
    "MaskStrategy": "plain",
    "SemanticTypeIri": "urn:effortless:pko-extension#FieldGrant",
    "Name": "principal-knowledge-authority -&gt; KnowledgeFragments.OwnerAgent",
    "FieldTable": "KnowledgeFragments",
    "FieldName": "OwnerAgent",
    "FieldIsDerived": true,
    "IsWritableDerivedField": false,
    "IsMasked": false,
    "GrantKeyWhenReadable": "principal-knowledge-authority|KnowledgeFragments"
   },
   {
    "FieldGrantId": "fg-knowledge-authority-KnowledgeFragments.IsAwaitingApproval",
    "Principal": "principal-knowledge-authority",
    "TargetField": "KnowledgeFragments.IsAwaitingApproval",
    "CanRead": true,
    "CanWrite": false,
    "MaskStrategy": "plain",
    "SemanticTypeIri": "urn:effortless:pko-extension#FieldGrant",
    "Name": "principal-knowledge-authority -&gt; KnowledgeFragments.IsAwaitingApproval",
    "FieldTable": "KnowledgeFragments",
    "FieldName": "IsAwaitingApproval",
    "FieldIsDerived": true,
    "IsWritableDerivedField": false,
    "IsMasked": false,
    "GrantKeyWhenReadable": "principal-knowledge-authority|KnowledgeFragments"
   },
   {
    "FieldGrantId": "fg-knowledge-authority-KnowledgeFragments.OwnerIsMe",
    "Principal": "principal-knowledge-authority",
    "TargetField": "KnowledgeFragments.OwnerIsMe",
    "CanRead": true,
    "CanWrite": false,
    "MaskStrategy": "plain",
    "SemanticTypeIri": "urn:effortless:pko-extension#FieldGrant",
    "Name": "principal-knowledge-authority -&gt; KnowledgeFragments.OwnerIsMe",
    "FieldTable": "KnowledgeFragments",
    "FieldName": "OwnerIsMe",
    "FieldIsDerived": true,
    "IsWritableDerivedField": false,
    "IsMasked": false,
    "GrantKeyWhenReadable": "principal-knowledge-authority|KnowledgeFragments"
   },
   {
    "FieldGrantId": "fg-knowledge-authority-KnowledgeFragments.IsMyUnfinishedApproval",
    "Principal": "principal-knowledge-authority",
    "TargetField": "KnowledgeFragments.IsMyUnfinishedApproval",
    "CanRead": true,
    "CanWrite": false,
    "MaskStrategy": "plain",
    "SemanticTypeIri": "urn:effortless:pko-extension#FieldGrant",
    "Name": "principal-knowledge-authority -&gt; KnowledgeFragments.IsMyUnfinishedApproval",
    "FieldTable": "KnowledgeFragments",
    "FieldName": "IsMyUnfinishedApproval",
    "FieldIsDerived": true,
    "IsWritableDerivedField": false,
    "IsMasked": false,
    "GrantKeyWhenReadable": "principal-knowledge-authority|KnowledgeFragments"
   },
   {
    "FieldGrantId": "fg-knowledge-authority-KnowledgeFragments.IsInvokedByAnException",
    "Principal": "principal-knowledge-authority",
    "TargetField": "KnowledgeFragments.IsInvokedByAnException",
    "CanRead": true,
    "CanWrite": false,
    "MaskStrategy": "plain",
    "SemanticTypeIri": "urn:effortless:pko-extension#FieldGrant",
    "Name": "principal-knowledge-authority -&gt; KnowledgeFragments.IsInvokedByAnException",
    "FieldTable": "KnowledgeFragments",
    "FieldName": "IsInvokedByAnException",
    "FieldIsDerived": true,
    "IsWritableDerivedField": false,
    "IsMasked": false,
    "GrantKeyWhenReadable": "principal-knowledge-authority|KnowledgeFragments"
   },
   {
    "FieldGrantId": "fg-knowledge-authority-KnowledgeFragments.HasOperationalReliance",
    "Principal": "principal-knowledge-authority",
    "TargetField": "KnowledgeFragments.HasOperationalReliance",
    "CanRead": true,
    "CanWrite": false,
    "MaskStrategy": "plain",
    "SemanticTypeIri": "urn:effortless:pko-extension#FieldGrant",
    "Name": "principal-knowledge-authority -&gt; KnowledgeFragments.HasOperationalReliance",
    "FieldTable": "KnowledgeFragments",
    "FieldName": "HasOperationalReliance",
    "FieldIsDerived": true,
    "IsWritableDerivedField": false,
    "IsMasked": false,
    "GrantKeyWhenReadable": "principal-knowledge-authority|KnowledgeFragments"
   },
   {
    "FieldGrantId": "fg-knowledge-authority-KnowledgeFragments.IsUnapprovedAndOperationallyLive",
    "Principal": "principal-knowledge-authority",
    "TargetField": "KnowledgeFragments.IsUnapprovedAndOperationallyLive",
    "CanRead": true,
    "CanWrite": false,
    "MaskStrategy": "plain",
    "SemanticTypeIri": "urn:effortless:pko-extension#FieldGrant",
    "Name": "principal-knowledge-authority -&gt; KnowledgeFragments.IsUnapprovedAndOperationallyLive",
    "FieldTable": "KnowledgeFragments",
    "FieldName": "IsUnapprovedAndOperationallyLive",
    "FieldIsDerived": true,
    "IsWritableDerivedField": false,
    "IsMasked": false,
    "GrantKeyWhenReadable": "principal-knowledge-authority|KnowledgeFragments"
   },
   {
    "FieldGrantId": "fg-knowledge-authority-KnowledgeFragments.AgeDays",
    "Principal": "principal-knowledge-authority",
    "TargetField": "KnowledgeFragments.AgeDays",
    "CanRead": true,
    "CanWrite": false,
    "MaskStrategy": "plain",
    "SemanticTypeIri": "urn:effortless:pko-extension#FieldGrant",
    "Name": "principal-knowledge-authority -&gt; KnowledgeFragments.AgeDays",
    "FieldTable": "KnowledgeFragments",
    "FieldName": "AgeDays",
    "FieldIsDerived": true,
    "IsWritableDerivedField": false,
    "IsMasked": false,
    "GrantKeyWhenReadable": "principal-knowledge-authority|KnowledgeFragments"
   },
   {
    "FieldGrantId": "fg-knowledge-authority-KnowledgeFragments.IsLowConfidence",
    "Principal": "principal-knowledge-authority",
    "TargetField": "KnowledgeFragments.IsLowConfidence",
    "CanRead": true,
    "CanWrite": false,
    "MaskStrategy": "plain",
    "SemanticTypeIri": "urn:effortless:pko-extension#FieldGrant",
    "Name": "principal-knowledge-authority -&gt; KnowledgeFragments.IsLowConfidence",
    "FieldTable": "KnowledgeFragments",
    "FieldName": "IsLowConfidence",
    "FieldIsDerived": true,
    "IsWritableDerivedField": false,
    "IsMasked": false,
    "GrantKeyWhenReadable": "principal-knowledge-authority|KnowledgeFragments"
   },
   {
    "FieldGrantId": "fg-knowledge-authority-KnowledgeFragments.OwningVersionCadenceDays",
    "Principal": "principal-knowledge-authority",
    "TargetField": "KnowledgeFragments.OwningVersionCadenceDays",
    "CanRead": true,
    "CanWrite": false,
    "MaskStrategy": "plain",
    "SemanticTypeIri": "urn:effortless:pko-extension#FieldGrant",
    "Name": "principal-knowledge-authority -&gt; KnowledgeFragments.OwningVersionCadenceDays",
    "FieldTable": "KnowledgeFragments",
    "FieldName": "OwningVersionCadenceDays",
    "FieldIsDerived": true,
    "IsWritableDerivedField": false,
    "IsMasked": false,
    "GrantKeyWhenReadable": "principal-knowledge-authority|KnowledgeFragments"
   },
   {
    "FieldGrantId": "fg-knowledge-authority-KnowledgeFragments.ExceedsOwningCadence",
    "Principal": "principal-knowledge-authority",
    "TargetField": "KnowledgeFragments.ExceedsOwningCadence",
    "CanRead": true,
    "CanWrite": false,
    "MaskStrategy": "plain",
    "SemanticTypeIri": "urn:effortless:pko-extension#FieldGrant",
    "Name": "principal-knowledge-authority -&gt; KnowledgeFragments.ExceedsOwningCadence",
    "FieldTable": "KnowledgeFragments",
    "FieldName": "ExceedsOwningCadence",
    "FieldIsDerived": true,
    "IsWritableDerivedField": false,
    "IsMasked": false,
    "GrantKeyWhenReadable": "principal-knowledge-authority|KnowledgeFragments"
   },
   {
    "FieldGrantId": "fg-knowledge-authority-KnowledgeFragments.IsAgingLowConfidenceClaim",
    "Principal": "principal-knowledge-authority",
    "TargetField": "KnowledgeFragments.IsAgingLowConfidenceClaim",
    "CanRead": true,
    "CanWrite": false,
    "MaskStrategy": "plain",
    "SemanticTypeIri": "urn:effortless:pko-extension#FieldGrant",
    "Name": "principal-knowledge-authority -&gt; KnowledgeFragments.IsAgingLowConfidenceClaim",
    "FieldTable": "KnowledgeFragments",
    "FieldName": "IsAgingLowConfidenceClaim",
    "FieldIsDerived": true,
    "IsWritableDerivedField": false,
    "IsMasked": false,
    "GrantKeyWhenReadable": "principal-knowledge-authority|KnowledgeFragments"
   },
   {
    "FieldGrantId": "fg-knowledge-authority-KnowledgeFragments.OwnerRoleAgentKind",
    "Principal": "principal-knowledge-authority",
    "TargetField": "KnowledgeFragments.OwnerRoleAgentKind",
    "CanRead": true,
    "CanWrite": false,
    "MaskStrategy": "plain",
    "SemanticTypeIri": "urn:effortless:pko-extension#FieldGrant",
    "Name": "principal-knowledge-authority -&gt; KnowledgeFragments.OwnerRoleAgentKind",
    "FieldTable": "KnowledgeFragments",
    "FieldName": "OwnerRoleAgentKind",
    "FieldIsDerived": true,
    "IsWritableDerivedField": false,
    "IsMasked": false,
    "GrantKeyWhenReadable": "principal-knowledge-authority|KnowledgeFragments"
   },
   {
    "FieldGrantId": "fg-knowledge-authority-KnowledgeFragments.IsHumanOwned",
    "Principal": "principal-knowledge-authority",
    "TargetField": "KnowledgeFragments.IsHumanOwned",
    "CanRead": true,
    "CanWrite": false,
    "MaskStrategy": "plain",
    "SemanticTypeIri": "urn:effortless:pko-extension#FieldGrant",
    "Name": "principal-knowledge-authority -&gt; KnowledgeFragments.IsHumanOwned",
    "FieldTable": "KnowledgeFragments",
    "FieldName": "IsHumanOwned",
    "FieldIsDerived": true,
    "IsWritableDerivedField": false,
    "IsMasked": false,
    "GrantKeyWhenReadable": "principal-knowledge-authority|KnowledgeFragment</t>
  </si>
  <si>
    <t xml:space="preserve">s"
   },
   {
    "FieldGrantId": "fg-knowledge-authority-KnowledgeFragments.IsAiValidatedByAi",
    "Principal": "principal-knowledge-authority",
    "TargetField": "KnowledgeFragments.IsAiValidatedByAi",
    "CanRead": true,
    "CanWrite": false,
    "MaskStrategy": "plain",
    "SemanticTypeIri": "urn:effortless:pko-extension#FieldGrant",
    "Name": "principal-knowledge-authority -&gt; KnowledgeFragments.IsAiValidatedByAi",
    "FieldTable": "KnowledgeFragments",
    "FieldName": "IsAiValidatedByAi",
    "FieldIsDerived": true,
    "IsWritableDerivedField": false,
    "IsMasked": false,
    "GrantKeyWhenReadable": "principal-knowledge-authority|KnowledgeFragments"
   },
   {
    "FieldGrantId": "fg-knowledge-authority-KnowledgeFragments.ReviewCadenceDays",
    "Principal": "principal-knowledge-authority",
    "TargetField": "KnowledgeFragments.ReviewCadenceDays",
    "CanRead": true,
    "CanWrite": false,
    "MaskStrategy": "plain",
    "SemanticTypeIri": "urn:effortless:pko-extension#FieldGrant",
    "Name": "principal-knowledge-authority -&gt; KnowledgeFragments.ReviewCadenceDays",
    "FieldTable": "KnowledgeFragments",
    "FieldName": "ReviewCadenceDays",
    "FieldIsDerived": true,
    "IsWritableDerivedField": false,
    "IsMasked": false,
    "GrantKeyWhenReadable": "principal-knowledge-authority|KnowledgeFragments"
   },
   {
    "FieldGrantId": "fg-knowledge-authority-KnowledgeFragments.IsOverdueForReview",
    "Principal": "principal-knowledge-authority",
    "TargetField": "KnowledgeFragments.IsOverdueForReview",
    "CanRead": true,
    "CanWrite": false,
    "MaskStrategy": "plain",
    "SemanticTypeIri": "urn:effortless:pko-extension#FieldGrant",
    "Name": "principal-knowledge-authority -&gt; KnowledgeFragments.IsOverdueForReview",
    "FieldTable": "KnowledgeFragments",
    "FieldName": "IsOverdueForReview",
    "FieldIsDerived": true,
    "IsWritableDerivedField": false,
    "IsMasked": false,
    "GrantKeyWhenReadable": "principal-knowledge-authority|KnowledgeFragments"
   },
   {
    "FieldGrantId": "fg-knowledge-authority-KnowledgeFragments.PredatesCurrentRoleHolder",
    "Principal": "principal-knowledge-authority",
    "TargetField": "KnowledgeFragments.PredatesCurrentRoleHolder",
    "CanRead": true,
    "CanWrite": false,
    "MaskStrategy": "plain",
    "SemanticTypeIri": "urn:effortless:pko-extension#FieldGrant",
    "Name": "principal-knowledge-authority -&gt; KnowledgeFragments.PredatesCurrentRoleHolder",
    "FieldTable": "KnowledgeFragments",
    "FieldName": "PredatesCurrentRoleHolder",
    "FieldIsDerived": true,
    "IsWritableDerivedField": false,
    "IsMasked": false,
    "GrantKeyWhenReadable": "principal-knowledge-authority|KnowledgeFragments"
   },
   {
    "FieldGrantId": "fg-knowledge-authority-KnowledgeFragments.OwnerRoleAssignmentValidFrom",
    "Principal": "principal-knowledge-authority",
    "TargetField": "KnowledgeFragments.OwnerRoleAssignmentValidFrom",
    "CanRead": true,
    "CanWrite": false,
    "MaskStrategy": "plain",
    "SemanticTypeIri": "urn:effortless:pko-extension#FieldGrant",
    "Name": "principal-knowledge-authority -&gt; KnowledgeFragments.OwnerRoleAssignmentValidFrom",
    "FieldTable": "KnowledgeFragments",
    "FieldName": "OwnerRoleAssignmentValidFrom",
    "FieldIsDerived": true,
    "IsWritableDerivedField": false,
    "IsMasked": false,
    "GrantKeyWhenReadable": "principal-knowledge-authority|KnowledgeFragments"
   },
   {
    "FieldGrantId": "fg-knowledge-authority-KnowledgeFragments.LastReviewedAt",
    "Principal": "principal-knowledge-authority",
    "TargetField": "KnowledgeFragments.LastReviewedAt",
    "CanRead": true,
    "CanWrite": false,
    "MaskStrategy": "plain",
    "SemanticTypeIri": "urn:effortless:pko-extension#FieldGrant",
    "Name": "principal-knowledge-authority -&gt; KnowledgeFragments.LastReviewedAt",
    "FieldTable": "KnowledgeFragments",
    "FieldName": "LastReviewedAt",
    "FieldIsDerived": false,
    "IsWritableDerivedField": false,
    "IsMasked": false,
    "GrantKeyWhenReadable": "principal-knowledge-authority|KnowledgeFragments"
   },
   {
    "FieldGrantId": "fg-knowledge-authority-KnowledgeFragments.FragilitySignalCount",
    "Principal": "principal-knowledge-authority",
    "TargetField": "KnowledgeFragments.FragilitySignalCount",
    "CanRead": true,
    "CanWrite": false,
    "MaskStrategy": "plain",
    "SemanticTypeIri": "urn:effortless:pko-extension#FieldGrant",
    "Name": "principal-knowledge-authority -&gt; KnowledgeFragments.FragilitySignalCount",
    "FieldTable": "KnowledgeFragments",
    "FieldName": "FragilitySignalCount",
    "FieldIsDerived": true,
    "IsWritableDerivedField": false,
    "IsMasked": false,
    "GrantKeyWhenReadable": "principal-knowledge-authority|KnowledgeFragments"
   },
   {
    "FieldGrantId": "fg-knowledge-authority-KnowledgeFragments.IsCompoundFragile",
    "Principal": "principal-knowledge-authority",
    "TargetField": "KnowledgeFragments.IsCompoundFragile",
    "CanRead": true,
    "CanWrite": false,
    "MaskStrategy": "plain",
    "SemanticTypeIri": "urn:effortless:pko-extension#FieldGrant",
    "Name": "principal-knowledge-authority -&gt; KnowledgeFragments.IsCompoundFragile",
    "FieldTable": "KnowledgeFragments",
    "FieldName": "IsCompoundFragile",
    "FieldIsDerived": true,
    "IsWritableDerivedField": false,
    "IsMasked": false,
    "GrantKeyWhenReadable": "principal-knowledge-authority|KnowledgeFragments"
   },
   {
    "FieldGrantId": "fg-knowledge-authority-KnowledgeFragments.IsSinglePointOfFailure",
    "Principal": "principal-knowledge-authority",
    "TargetField": "KnowledgeFragments.IsSinglePointOfFailure",
    "CanRead": true,
    "CanWrite": false,
    "MaskStrategy": "plain",
    "SemanticTypeIri": "urn:effortless:pko-extension#FieldGrant",
    "Name": "principal-knowledge-authority -&gt; KnowledgeFragments.IsSinglePointOfFailure",
    "FieldTable": "KnowledgeFragments",
    "FieldName": "IsSinglePointOfFailure",
    "FieldIsDerived": true,
    "IsWritableDerivedField": false,
    "IsMasked": false,
    "GrantKeyWhenReadable": "principal-knowledge-authority|KnowledgeFragments"
   },
   {
    "FieldGrantId": "fg-knowledge-authority-KnowledgeFragments.IsExpiringSinglePointOfFailure",
    "Principal": "principal-knowledge-authority",
    "TargetField": "KnowledgeFragments.IsExpiringSinglePointOfFailure",
    "CanRead": true,
    "CanWrite": false,
    "MaskStrategy": "plain",
    "SemanticTypeIri": "urn:effortless:pko-extension#FieldGrant",
    "Name": "principal-knowledge-authority -&gt; KnowledgeFragments.IsExpiringSinglePointOfFailure",
    "FieldTable": "KnowledgeFragments",
    "FieldName": "IsExpiringSinglePointOfFailure",
    "FieldIsDerived": true,
    "IsWritableDerivedField": false,
    "IsMasked": false,
    "GrantKeyWhenReadable": "principal-knowledge-authority|KnowledgeFragments"
   },
   {
    "FieldGrantId": "fg-knowledge-authority-KnowledgeFragments.CompoundFragileVersionKey",
    "Principal": "principal-knowledge-authority",
    "TargetField": "KnowledgeFragments.CompoundFragileVersionKey",
    "CanRead": true,
    "CanWrite": false,
    "MaskStrategy": "plain",
    "SemanticTypeIri": "urn:effortless:pko-extension#FieldGrant",
    "Name": "principal-knowledge-authority -&gt; KnowledgeFragments.CompoundFragileVersionKey",
    "FieldTable": "KnowledgeFragments",
    "FieldName": "CompoundFragileVersionKey",
    "FieldIsDerived": true,
    "IsWritableDerivedField": false,
    "IsMasked": false,
    "GrantKeyWhenReadable": "principal-knowledge-authority|KnowledgeFragments"
   },
   {
    "FieldGrantId": "fg-knowledge-authority-KnowledgeFragments.ValidFragmentSessionKey",
    "Principal": "principal-knowledge-authority",
    "TargetField": "KnowledgeFragments.ValidFragmentSessionKey",
    "CanRead": true,
    "CanWrite": false,
    "MaskStrategy": "plain",
    "SemanticTypeIri": "urn:effortless:pko-extension#FieldGrant",
    "Name": "principal-knowledge-authority -&gt; KnowledgeFragments.ValidFragmentSessionKey",
    "FieldTable": "KnowledgeFragments",
    "FieldName": "ValidFragmentSessionKey",
    "FieldIsDerived": true,
    "IsWritableDerivedField": false,
    "IsMasked": false,
    "GrantKeyWhenReadable": "principal-knowledge-authority|KnowledgeFragments"
   },
   {
    "FieldGrantId": "fg-knowledge-authority-KnowledgeFragments.ConsumingStepIsSoftwareAssigned",
    "Principal": "principal-knowledge-authority",
    "TargetField": "KnowledgeFragments.ConsumingStepIsSoftwareAssigned",
    "CanRead": true,
    "CanWrite": false,
    "MaskStrategy": "plain",
    "SemanticTypeIri": "urn:effortless:pko-extension#FieldGrant",
    "Name": "principal-knowledge-authority -&gt; KnowledgeFragments.ConsumingStepIsSoftwareAssigned",
    "FieldTable": "KnowledgeFragments",
    "FieldName": "ConsumingStepIsSoftwareAssigned",
    "FieldIsDerived": true,
    "IsWritableDerivedField": false,
    "IsMasked": false,
    "GrantKeyWhenReadable": "principal-knowledge-authority|KnowledgeFragments"
   },
   {
    "FieldGrantId": "fg-knowledge-authority-KnowledgeFragments.ConsumingStepAgentKind",
    "Principal": "principal-knowledge-authority",
    "TargetField": "KnowledgeFragments.ConsumingStepAgentKind",
    "CanRead": true,
    "CanWrite": false,
    "MaskStrategy": "plain",
    "SemanticTypeIri": "urn:effortless:pko-extension#FieldGrant",
    "Name": "principal-knowledge-authority -&gt; KnowledgeFragments.ConsumingStepAgentKind",
    "FieldTable": "KnowledgeFragments",
    "FieldName": "ConsumingStepAgentKind",
    "FieldIsDerived": true,
    "IsWritableDerivedField": false,
    "IsMasked": false,
    "GrantKeyWhenReadable": "principal-knowledge-authority|KnowledgeFragments"
   },
   {
    "FieldGrantId": "fg-knowledge-authority-KnowledgeFragments.IsUnapprovedAndMachineConsumed",
    "Principal": "principal-knowledge-authority",
    "TargetField": "KnowledgeFragments.IsUnapprovedAndMachineConsumed",
    "CanRead": true,
    "CanWrite": false,
    "MaskStrategy": "plain",
    "SemanticTypeIri": "urn:effortless:pko-extension#FieldGrant",
    "Name": "principal-knowledge-authority -&gt; KnowledgeFragments.IsUnapprovedAndMachineConsumed",
    "FieldTable": "KnowledgeFragments",
    "FieldName": "IsUnapprovedAndMachineConsumed",
    "FieldIsDerived": true,
    "IsWritableDerivedField": false,
    "IsMasked": false,
    "GrantKeyWhenReadable": "principal-knowledge-authority|KnowledgeFragments"
   },
   {
    "FieldGrantId": "fg-knowledge-authority-KnowledgeFragments.IsUnapprovedAndHumanConsumed",
    "Principal": "principal-knowledge-authority",
    "TargetField": "KnowledgeFragments.IsUnapprovedAndHumanConsumed",
    "CanRead": true,
    "CanWrite": false,
    "MaskStrategy": "plain",
    "SemanticTypeIri": "urn:effortless:pko-extension#FieldGrant",
    "Name": "principal-knowledge-authority -&gt; KnowledgeFragments.IsUnapprovedAndHumanConsumed",
    "FieldTable": "KnowledgeFragments",
    "FieldName": "IsUnapprovedAndHumanConsumed",
    "FieldIsDerived": true,
    "IsWritableDerivedField": false,
    "IsMasked": false,
    "GrantKeyWhenReadable": "principal-knowledge-authority|KnowledgeFragments"
   },
   {
    "FieldGrantId": "fg-knowledge-authority-KnowledgeFragments.MachineConsumedUnapprovedVersionKey",
    "Principal": "principal-knowledge-authority",
    "TargetField": "KnowledgeFragments.MachineConsumedUnapprovedVersionKey",
    "CanRead": true,
    "CanWrite": false,
    "MaskStrategy": "plain",
    "SemanticTypeIri": "urn:effortless:pko-extension#FieldGrant",
    "Name": "principal-knowledge-authority -&gt; KnowledgeFragments.MachineConsumedUnapprovedVersionKey",
    "FieldTable": "KnowledgeFragments",
    "FieldName": "MachineConsumedUnapprovedVersionKey",
    "FieldIsDerived": true,
    "IsWritableDerivedField": false,
    "IsMasked": false,
    "GrantKeyWhenReadable": "principal-knowledge-authority|KnowledgeFragments"
   },
   {
    "FieldGrantId": "fg-knowledge-authority-KnowledgeFragments.HasReviewRecord",
    "Principal": "principal-knowledge-authority",
    "TargetField": "KnowledgeFragments.HasReviewRecord",
    "CanRead": true,
    "CanWrite": false,
    "MaskStrategy": "plain",
    "SemanticTypeIri": "urn:effortless:pko-extension#FieldGrant",
    "Name": "principal-knowledge-authority -&gt; KnowledgeFragments.HasReviewRecord",
    "FieldTable": "KnowledgeFragments",
    "FieldName": "HasReviewRecord",
    "FieldIsDerived": true,
    "IsWritableDerivedField": false,
    "IsMasked": false,
    "GrantKeyWhenReadable": "principal-knowledge-authority|KnowledgeFragments"
   },
   {
    "FieldGrantId": "fg-knowledge-authority-KnowledgeFragments.DaysSinceActualReview",
    "Principal": "principal-knowledge-authority",
    "TargetField": "KnowledgeFragments.DaysSinceActualReview",
    "CanRead": true,
    "CanWrite": false,
    "MaskStrategy": "plain",
    "SemanticTypeIri": "urn:effortless:pko-extension#FieldGrant",
    "Name": "principal-knowledge-authority -&gt; KnowledgeFragments.DaysSinceActualReview",
    "FieldTable": "KnowledgeFragments",
    "FieldName": "DaysSinceActualReview",
    "FieldIsDerived": true,
    "IsWritableDerivedField": false,
    "IsMasked": false,
    "GrantKeyWhenReadable": "principal-knowledge-authority|KnowledgeFragments"
   },
   {
    "FieldGrantId": "fg-knowledge-authority-KnowledgeFragments.IsUnreviewedSinceAuthoring",
    "Principal": "principal-knowledge-authority",
    "TargetField": "KnowledgeFragments.IsUnreviewedSinceAuthoring",
    "CanRead": true,
    "CanWrite": false,
    "MaskStrategy": "plain",
    "SemanticTypeIri": "urn:effortless:pko-extension#FieldGrant",
    "Name": "principal-knowledge-authority -&gt; KnowledgeFragments.IsUnreviewedSinceAuthoring",
    "FieldTable": "KnowledgeFragments",
    "FieldName": "IsUnreviewedSinceAuthoring",
    "FieldIsDerived": true,
    "IsWritableDerivedField": false,
    "IsMasked": false,
    "GrantKeyWhenReadable": "principal-knowledge-authority|KnowledgeFragments"
   },
   {
    "FieldGrantId": "fg-knowledge-authority-KnowledgeFragments.IsGenuinelyOverdue",
    "Principal": "principal-knowledge-authority",
    "TargetField": "KnowledgeFragments.IsGenuinelyOverdue",
    "CanRead": true,
    "CanWrite": false,
    "MaskStrategy": "plain",
    "SemanticTypeIri": "urn:effortless:pko-extension#FieldGrant",
    "Name": "principal-knowledge-authority -&gt; KnowledgeFragments.IsGenuinelyOverdue",
    "FieldTable": "KnowledgeFragments",
    "FieldName": "IsGenuinelyOverdue",
    "FieldIsDerived": true,
    "IsWritableDerivedField": false,
    "IsMasked": false,
    "GrantKeyWhenReadable": "principal-knowledge-authority|KnowledgeFragments"
   },
   {
    "FieldGrantId": "fg-knowledge-authority-KnowledgeFragments.ReviewRecencyIsInferred",
    "Principal": "principal-knowledge-authority",
    "TargetField": "KnowledgeFragments.ReviewRecencyIsInferred",
    "CanRead": true,
    "CanWrite": false,
    "MaskStrategy": "plain",
    "SemanticTypeIri": "urn:effortless:pko-extension#FieldGrant",
    "Name": "principal-knowledge-authority -&gt; KnowledgeFragments.ReviewRecencyIsInferred",
    "FieldTable": "KnowledgeFragments",
    "FieldName": "ReviewRecencyIsInferred",
    "FieldIsDerived": true,
    "IsWritableDerivedField": false,
    "IsMasked": false,
    "GrantKeyWhenReadable": "principal-knowledge-authority|KnowledgeFragments"
   },
   {
    "FieldGrantId": "fg-knowledge-authority-KnowledgeFragments.InferenceDisagreesWithRecord",
    "Principal": "principal-knowledge-authority",
    "TargetField": "KnowledgeFragments.InferenceDisagreesWithRecord",
    "CanRead": true,
    "CanWrite": false,
    "MaskStrategy": "plain",
    "SemanticTypeIri": "urn:effortless:pko-extension#FieldGrant",
    "Name": "principal-knowledge-authority -&gt; KnowledgeFragments.InferenceDisagreesWithRecord",
    "FieldTable": "KnowledgeFragments",
    "FieldName": "InferenceDisagreesWithRecord",
    "FieldIsDerived": true,
    "IsWritableDerivedField": false,
    "IsMasked": false,
    "GrantKeyWhenReadable": "principal-knowledge-authority|KnowledgeFragments"
   },
   {
    "FieldGrantId": "fg-knowledge-authority-KnowledgeFragments.GenuinelyOverdueVersionKey",
    "Principal": "principal-knowledge-authority",
    "TargetField": "KnowledgeFragments.GenuinelyOverdueVersionKey",
    "CanRead": true,
    "CanWrite": false,
    "MaskStrategy": "plain",
    "SemanticTypeIri": "urn:effortless:pko-extension#FieldGrant",
    "Name": "principal-knowledge-authority -&gt; KnowledgeFragments.GenuinelyOverdueVersionKey",
    "FieldTable": "KnowledgeFragments",
    "FieldName": "GenuinelyOverdueVersionKey",
    "FieldIsDerived": true,
    "IsWritableDerivedField": false,
    "IsMasked": false,
    "GrantKeyWhenReadable": "principal-knowledge-authority|KnowledgeFragments"
   },
   {
    "FieldGrantId": "fg-knowledge-authority-KnowledgeFragments.RatifiedBoundaryCount",
    "Principal": "principal-knowledge-authority",
    "TargetField": "KnowledgeFragments.RatifiedBoundaryCount",
    "CanRead": true,
    "CanWrite": false,
    "MaskStrategy": "plain",
    "SemanticTypeIri": "urn:effortless:pko-extension#FieldGrant",
    "Name": "principal-knowledge-authority -&gt; KnowledgeFragments.RatifiedBoundaryCount",
    "FieldTable": "KnowledgeFragments",
    "FieldName": "RatifiedBoundaryCount",
    "FieldIsDerived": true,
    "IsWritableDerivedField": false,
    "IsMasked": false,
    "GrantKeyWhenReadable": "principal-knowledge-authority|KnowledgeFragments"
   },
   {
    "FieldGrantId": "fg-knowledge-authority-KnowledgeFragments.RelianceSurfaceCount",
    "Principal": "principal-knowledge-authority",
    "TargetField": "KnowledgeFragments.RelianceSurfaceCount",
    "CanRead": true,
    "CanWrite": false,
    "MaskStrategy": "plain",
    "SemanticTypeIri": "urn:effortless:pko-extension#FieldGrant",
    "Name": "principal-knowledge-authority -&gt; KnowledgeFragments.RelianceSurfaceCount",
    "FieldTable": "KnowledgeFragments",
    "FieldName": "RelianceSurfaceCount",
    "FieldIsDerived": true,
    "IsWritableDerivedField": false,
    "IsMasked": false,
    "GrantKeyWhenReadable": "principal-knowledge-authority|KnowledgeFragments"
   },
   {
    "FieldGrantId": "fg-knowledge-authority-KnowledgeFragments.DaysAwaitingMyApproval",
    "Principal": "principal-knowledge-authority",
    "TargetField": "KnowledgeFragments.DaysAwaitingMyApproval",
    "CanRead": true,
    "CanWrite": false,
    "MaskStrategy": "plain",
    "SemanticTypeIri": "urn:effortless:pko-extension#FieldGrant",
    "Name": "principal-knowledge-authority -&gt; KnowledgeFragments.DaysAwaitingMyApproval",
    "FieldTable": "KnowledgeFragments",
    "FieldName": "DaysAwaitingMyApproval",
    "FieldIsDerived": true,
    "IsWritableDerivedField": false,
    "IsMasked": false,
    "GrantKeyWhenReadable": "principal-knowledge-authority|KnowledgeFragments"
   },
   {
    "FieldGrantId": "fg-knowledge-authority-KnowledgeFragments.IsHighBlastRadiusUnapproved",
    "Principal": "principal-knowledge-authority",
    "TargetField": "KnowledgeFragments.IsHighBlastRadiusUnapproved",
    "CanRead": true,
    "CanWrite": false,
    "MaskStrategy": "plain",
    "SemanticTypeIri": "urn:effortless:pko-extension#FieldGrant",
    "Name": "principal-knowledge-authority -&gt; KnowledgeFragments.IsHighBlastRadiusUnapproved",
    "FieldTable": "KnowledgeFragments",
    "FieldName": "IsHighBlastRadiusUnapproved",
    "FieldIsDerived": true,
    "IsWritableDerivedField": false,
    "IsMasked": false,
    "GrantKeyWhenReadable": "principal-knowledge-authority|KnowledgeFragments"
   },
   {
    "FieldGrantId": "fg-knowledge-authority-KnowledgeFragments.IsLongUnapproved",
    "Principal": "principal-knowledge-authority",
    "TargetField": "KnowledgeFragments.IsLongUnapproved",
    "CanRead": true,
    "CanWrite": false,
    "MaskStrategy": "plain",
    "SemanticTypeIri": "urn:effortless:pko-extension#FieldGrant",
    "Name": "principal-knowledge-authority -&gt; KnowledgeFragments.IsLongUnapproved",
    "FieldTable": "KnowledgeFragments",
    "FieldName": "IsLongUnapproved",
    "FieldIsDerived": true,
    "IsWritableDerivedField": false,
    "IsMasked": false,
    "GrantKeyWhenReadable": "principal-knowledge-authority|KnowledgeFragments"
   },
   {
    "FieldGrantId": "fg-knowledge-authority-KnowledgeFragments.UnapprovedLoadBearingVersionKey",
    "Principal": "principal-knowledge-authority",
    "TargetField": "KnowledgeFragments.UnapprovedLoadBearingVersionKey",
    "CanRead": true,
    "CanWrite": false,
    "MaskStrategy": "plain",
    "SemanticTypeIri": "urn:effortless:pko-extension#FieldGrant",
    "Name": "principal-knowledge-authority -&gt; KnowledgeFragments.UnapprovedLoadBearingVersionKey",
    "FieldTable": "KnowledgeFragments",
    "FieldName": "UnapprovedLoadBearingVersionKey",
    "FieldIsDerived": true,
    "IsWritableDerivedField": false,
    "IsMasked": false,
    "GrantKeyWhenReadable": "principal-knowledge-authority|KnowledgeFragments"
   },
   {
    "FieldGrantId": "fg-knowledge-authority-KnowledgeFragments.OwnerRoleIsVacated",
    "Principal": "principal-knowledge-authority",
    "TargetField": "KnowledgeFragments.OwnerRoleIsVacated",
    "CanRead": true,
    "CanWrite": false,
    "MaskStrategy": "plain",
    "SemanticTypeIri": "urn:effortless:pko-extension#FieldGrant",
    "Name": "principal-knowledge-authority -&gt; KnowledgeFragments.OwnerRoleIsVacated",
    "FieldTable": "KnowledgeFragments",
    "FieldName": "OwnerRoleIsVacated",
    "FieldIsDerived": true,
    "IsWritableDerivedField": false,
    "IsMasked": false,
    "GrantKeyWhenReadable": "principal-knowledge-authority|KnowledgeFragments"
   },
   {
    "FieldGrantId": "fg-knowledge-authority-KnowledgeFragments.IsOrphanedByRole",
    "Principal": "principal-knowledge-authority",
    "TargetField": "KnowledgeFragments.IsOrphanedByRole",
    "CanRead": true,
    "CanWrite": false,
    "MaskStrategy": "plain",
    "SemanticTypeIri": "urn:effortless:pko-extension#FieldGrant",
    "Name": "principal-knowledge-authority -&gt; KnowledgeFragments.IsOrphanedByRole",
    "FieldTable": "KnowledgeFragments",
    "FieldName": "IsOrphanedByRole",
    "FieldIsDerived": true,
    "IsWritableDerivedField": false,
    "IsMasked": false,
    "GrantKeyWhenReadable": "principal-knowledge-authority|KnowledgeFragments"
   },
   {
    "FieldGrantId": "fg-knowledge-authority-KnowledgeFragments.ValidFragmentVersionKey",
    "Principal": "principal-knowledge-authority",
    "TargetField": "KnowledgeFragments.ValidFragmentVersionKey",
    "CanRead": true,
    "CanWrite": false,
    "MaskStrategy": "plain",
    "SemanticTypeIri": "urn:effortless:pko-extension#FieldGrant",
    "Name": "principal-knowledge-authority -&gt; KnowledgeFragments.ValidFragmentVersionKey",
    "FieldTable": "KnowledgeFragments",
    "FieldName": "ValidFragmentVersionKey",
    "FieldIsDerived": true,
    "IsWritableDerivedField": false,
    "IsMasked": false,
    "GrantKeyWhenReadable": "principal-knowledge-authority|KnowledgeFragments"
   },
   {
    "FieldGrantId": "fg-knowledge-authority-KnowledgeFragments.SemanticTypeIri",
    "Principal": "principal-knowledge-authority",
    "TargetField": "KnowledgeFragments.SemanticTypeIri",
    "CanRead": true,
    "CanWrite": false,
    "MaskStrategy": "plain",
    "SemanticTypeIri": "urn:effortless:pko-extension#FieldGrant",
    "Name": "principal-knowledge-authority -&gt; KnowledgeFragments.SemanticTypeIri",
    "FieldTable": "KnowledgeFragments",
    "FieldName": "SemanticTypeIri",
    "FieldIsDerived": false,
    "IsWritableDerivedField": false,
    "IsMasked": false,
    "GrantKeyWhenReadable": "principal-knowledge-authority|KnowledgeFragments"
   },
   {
    "FieldGrantId": "fg-knowledge-authority-KnowledgeGaps.KnowledgeGapId",
    "Principal": "principal-knowledge-authority",
    "TargetField": "KnowledgeGaps.KnowledgeGapId",
    "CanRead": true,
    "CanWrite": false,
    "MaskStrategy": "plain",
    "SemanticTypeIri": "urn:effortless:pko-extension#FieldGrant",
    "Name": "principal-knowledge-authority -&gt; KnowledgeGaps.KnowledgeGapId",
    "FieldTable": "KnowledgeGaps",
    "FieldName": "KnowledgeGapId",
    "FieldIsDerived": false,
    "IsWritableDerivedField": false,
    "IsMasked": false,
    "GrantKeyWhenReadable": "principal-knowledge-authority|KnowledgeGaps"
   },
   {
    "FieldGrantId": "fg-knowledge-authority-KnowledgeGaps.Name",
    "Principal": "principal-knowledge-authority",
    "TargetField": "KnowledgeGaps.Name",
    "CanRead": true,
    "CanWrite": false,
    "MaskStrategy": "plain",
    "SemanticTypeIri": "urn:effortless:pko-extension#FieldGrant",
    "Name": "principal-knowledge-authority -&gt; KnowledgeGaps.Name",
    "FieldTable": "KnowledgeGaps",
    "FieldName": "Name",
    "FieldIsDerived": true,
    "IsWritableDerivedField": false,
    "IsMasked": false,
    "GrantKeyWhenReadable": "principal-knowledge-authority|KnowledgeGaps"
   },
   {
    "FieldGrantId": "fg-knowledge-authority-KnowledgeGaps.ProcedureVersion",
    "Principal": "principal-knowledge-authority",
    "TargetField": "KnowledgeGaps.ProcedureVersion",
    "CanRead": true,
    "CanWrite": false,
    "MaskStrategy": "plain",
    "SemanticTypeIri": "urn:effortless:pko-extension#FieldGrant",
    "Name": "principal-knowledge-authority -&gt; KnowledgeGaps.ProcedureVersion",
    "FieldTable": "KnowledgeGaps",
    "FieldName": "ProcedureVersion",
    "FieldIsDerived": false,
    "IsWritableDerivedField": false,
    "IsMasked": false,
    "GrantKeyWhenReadable": "principal-knowledge-authority|KnowledgeGaps"
   },
   {
    "FieldGrantId": "fg-knowledge-authority-KnowledgeGaps.Step",
    "Principal": "principal-knowledge-authority",
    "TargetField": "KnowledgeGaps.Step",
    "CanRead": true,
    "CanWrite": false,
    "MaskStrategy": "plain",
    "SemanticTypeIri": "urn:effortless:pko-extension#FieldGrant",
    "Name": "principal-knowledge-authority -&gt; KnowledgeGaps.Step",
    "FieldTable": "KnowledgeGaps",
    "FieldName": "Step",
    "FieldIsDerived": false,
    "IsWritableDerivedField": false,
    "IsMasked": false,
    "GrantKeyWhenReadable": "principal-knowledge-authority|KnowledgeGaps"
   },
   {
    "FieldGrantId": "fg-knowledge-authority-KnowledgeGaps.Statement",
    "Principal": "principal-knowledge-authority",
    "TargetField": "KnowledgeGaps.Statement",
    "CanRead": true,
    "CanWrite": false,
    "MaskStrategy": "plain",
    "SemanticTypeIri": "urn:effortless:pko-extension#FieldGrant",
    "Name": "principal-knowledge-authority -&gt; KnowledgeGaps.Statement",
    "FieldTable": "KnowledgeGaps",
    "FieldName": "Statement",
    "FieldIsDerived": false,
    "IsWritableDerivedField": false,
    "IsMasked": false,
    "GrantKeyWhenReadable": "principal-knowledge-authority|KnowledgeGaps"
   },
   {
    "FieldGrantId": "fg-knowledge-authority-KnowledgeGaps.Severity",
    "Principal": "principal-knowledge-authority",
    "TargetField": "KnowledgeGaps.Severity",
    "CanRead": true,
    "CanWrite": false,
    "MaskStrategy": "plain",
    "SemanticTypeIri": "urn:effortless:pko-extension#FieldGrant",
    "Name": "principal-knowledge-authority -&gt; KnowledgeGaps.Severity",
    "FieldTable": "KnowledgeGaps",
    "FieldName": "Severity",
    "FieldIsDerived": false,
    "IsWritableDerivedField": false,
    "IsMasked": false,
    "GrantKeyWhenReadable": "principal-knowledge-authority|KnowledgeGaps"
   },
   {
    "FieldGrantId": "fg-knowledge-authority-KnowledgeGaps.BlockingKind",
    "Principal": "principal-knowledge-authority",
    "TargetField": "KnowledgeGaps.BlockingKind",
    "CanRead": true,
    "CanWrite": false,
    "MaskStrategy": "plain",
    "SemanticTypeIri": "urn:effortless:pko-extension#FieldGrant",
    "Name": "principal-knowledge-authority -&gt; KnowledgeGaps.BlockingKind",
    "FieldTable": "KnowledgeGaps",
    "FieldName": "BlockingKind",
    "FieldIsDerived": false,
    "IsWritableDerivedField": false,
    "IsMasked": false,
    "GrantKeyWhenReadable": "principal-knowledge-authority|KnowledgeGaps"
   },
   {
    "FieldGrantId": "fg-knowledge-authority-KnowledgeGaps.Status",
    "Principal": "principal-knowledge-authority",
    "TargetField": "KnowledgeGaps.Status",
    "CanRead": true,
    "CanWrite": false,
    "MaskStrategy": "plain",
    "SemanticTypeIri": "urn:effortless:pko-extension#FieldGrant",
    "Name": "principal-knowledge-authority -&gt; KnowledgeGaps.Status",
    "FieldTable": "KnowledgeGaps",
    "FieldName": "Status",
    "FieldIsDerived": false,
    "IsWritableDerivedField": false,
    "IsMasked": false,
    "GrantKeyWhenReadable": "principal-knowledge-authority|KnowledgeGaps"
   },
   {
    "FieldGrantId": "fg-knowledge-authority-KnowledgeGaps.OwnerRole",
    "Principal": "principal-knowledge-authority",
    "TargetField": "KnowledgeGaps.OwnerRole",
    "CanRead": true,
    "CanWrite": false,
    "MaskStrategy": "plain",
    "SemanticTypeIri": "urn:effortless:pko-extension#FieldGrant",
    "Name": "principal-knowledge-authority -&gt; KnowledgeGaps.OwnerRole",
    "FieldTable": "KnowledgeGaps",
    "FieldName": "OwnerRole",
    "FieldIsDerived": false,
    "IsWritableDerivedField": false,
    "IsMasked": false,
    "GrantKeyWhenReadable": "principal-knowledge-authority|KnowledgeGaps"
   },
   {
    "FieldGrantId": "fg-knowledge-authority-KnowledgeGaps.IdentifiedAt",
    "Principal": "principal-knowledge-authority",
    "TargetField": "KnowledgeGaps.IdentifiedAt",
    "CanRead": true,
    "CanWrite": false,
    "MaskStrategy": "plain",
    "SemanticTypeIri": "urn:effortless:pko-extension#FieldGrant",
    "Name": "principal-knowledge-authority -&gt; KnowledgeGaps.IdentifiedAt",
    "FieldTable": "KnowledgeGaps",
    "FieldName": "IdentifiedAt",
    "FieldIsDerived": false,
    "IsWritableDerivedField": false,
    "IsMasked": false,
    "GrantKeyWhenReadable": "principal-knowledge-authority|KnowledgeGaps"
   },
   {
    "FieldGrantId": "fg-knowledge-authority-KnowledgeGaps.ResolutionPlan",
    "Principal": "principal-knowledge-authority",
    "TargetField": "KnowledgeGaps.ResolutionPlan",
    "CanRead": true,
    "CanWrite": false,
    "MaskStrategy": "plain",
    "SemanticTypeIri": "urn:effortless:pko-extension#FieldGrant",
    "Name": "principal-knowledge-authority -&gt; KnowledgeGaps.ResolutionPlan",
    "FieldTable": "KnowledgeGaps",
    "FieldName": "ResolutionPlan",
    "FieldIsDerived": false,
    "IsWritableDerivedField": false,
    "IsMasked": false,
    "GrantKeyWhenReadable": "principal-knowledge-authority|KnowledgeGaps"
   },
   {
    "FieldGrantId": "fg-knowledge-authority-KnowledgeGaps.IsOpen",
    "Principal": "principal-knowledge-authority",
    "TargetField": "KnowledgeGaps.IsOpen",
    "CanRead": true,
    "CanWrite": false,
    "MaskStrategy": "plain",
    "SemanticTypeIri": "urn:effortless:pko-extension#FieldGrant",
    "Name": "principal-knowledge-authority -&gt; KnowledgeGaps.IsOpen",
    "FieldTable": "KnowledgeGaps",
    "FieldName": "IsOpen",
    "FieldIsDerived": true,
    "IsWritableDerivedField": false,
    "IsMasked": false,
    "GrantKeyWhenReadable": "principal-knowledge-authority|KnowledgeGaps"
   },
   {
    "FieldGrantId": "fg-knowledge-authority-KnowledgeGaps.OpenGapVersionKey",
    "Principal": "principal-knowledge-authority",
    "TargetField": "KnowledgeGaps.OpenGapVersionKey",
    "CanRead": true,
    "CanWrite": false,
    "MaskStrategy": "plain",
    "SemanticTypeIri": "urn:effortless:pko-extension#FieldGrant",
    "Name": "principal-knowledge-authority -&gt; KnowledgeGaps.OpenGapVersionKey",
    "FieldTable": "KnowledgeGaps",
    "FieldName": "OpenGapVersionKey",
    "FieldIsDerived": true,
    "IsWritableDerivedField": false,
    "IsMasked": false,
    "GrantKeyWhenReadable": "principal-knowledge-authority|KnowledgeGaps"
   },
   {
    "FieldGrantId": "fg-knowledge-authority-KnowledgeGaps.IsBlocking",
    "Principal": "principal-knowledge-authority",
    "TargetField": "KnowledgeGaps.IsBlocking",
    "CanRead": true,
    "CanWrite": false,
    "MaskStrategy": "plain",
    "SemanticTypeIri": "urn:effortless:pko-extension#FieldGrant",
    "Name": "principal-knowledge-authority -&gt; KnowledgeGaps.IsBlocking",
    "FieldTable": "KnowledgeGaps",
    "FieldName": "IsBlocking",
    "FieldIsDerived": true,
    "IsWritableDerivedField": false,
    "IsMasked": false,
    "GrantKeyWhenReadable": "principal-knowledge-authority|KnowledgeGaps"
   },
   {
    "FieldGrantId": "fg-knowledge-authority-KnowledgeGaps.IsOpenAndBlocking",
    "Principal": "principal-knowledge-authority",
    "TargetField": "KnowledgeGaps.IsOpenAndBlocking",
    "CanRead": true,
    "CanWrite": false,
    "MaskStrategy": "plain",
    "SemanticTypeIri": "urn:effortless:pko-extension#FieldGrant",
    "Name": "principal-knowledge-authority -&gt; KnowledgeGaps.IsOpenAndBlocking",
    "FieldTable": "KnowledgeGaps",
    "FieldName": "IsOpenAnd</t>
  </si>
  <si>
    <t xml:space="preserve">Blocking",
    "FieldIsDerived": true,
    "IsWritableDerivedField": false,
    "IsMasked": false,
    "GrantKeyWhenReadable": "principal-knowledge-authority|KnowledgeGaps"
   },
   {
    "FieldGrantId": "fg-knowledge-authority-KnowledgeGaps.EvaluationContext",
    "Principal": "principal-knowledge-authority",
    "TargetField": "KnowledgeGaps.EvaluationContext",
    "CanRead": true,
    "CanWrite": false,
    "MaskStrategy": "plain",
    "SemanticTypeIri": "urn:effortless:pko-extension#FieldGrant",
    "Name": "principal-knowledge-authority -&gt; KnowledgeGaps.EvaluationContext",
    "FieldTable": "KnowledgeGaps",
    "FieldName": "EvaluationContext",
    "FieldIsDerived": false,
    "IsWritableDerivedField": false,
    "IsMasked": false,
    "GrantKeyWhenReadable": "principal-knowledge-authority|KnowledgeGaps"
   },
   {
    "FieldGrantId": "fg-knowledge-authority-KnowledgeGaps.AsOfInstant",
    "Principal": "principal-knowledge-authority",
    "TargetField": "KnowledgeGaps.AsOfInstant",
    "CanRead": true,
    "CanWrite": false,
    "MaskStrategy": "plain",
    "SemanticTypeIri": "urn:effortless:pko-extension#FieldGrant",
    "Name": "principal-knowledge-authority -&gt; KnowledgeGaps.AsOfInstant",
    "FieldTable": "KnowledgeGaps",
    "FieldName": "AsOfInstant",
    "FieldIsDerived": true,
    "IsWritableDerivedField": false,
    "IsMasked": false,
    "GrantKeyWhenReadable": "principal-knowledge-authority|KnowledgeGaps"
   },
   {
    "FieldGrantId": "fg-knowledge-authority-KnowledgeGaps.DaysOpen",
    "Principal": "principal-knowledge-authority",
    "TargetField": "KnowledgeGaps.DaysOpen",
    "CanRead": true,
    "CanWrite": false,
    "MaskStrategy": "plain",
    "SemanticTypeIri": "urn:effortless:pko-extension#FieldGrant",
    "Name": "principal-knowledge-authority -&gt; KnowledgeGaps.DaysOpen",
    "FieldTable": "KnowledgeGaps",
    "FieldName": "DaysOpen",
    "FieldIsDerived": true,
    "IsWritableDerivedField": false,
    "IsMasked": false,
    "GrantKeyWhenReadable": "principal-knowledge-authority|KnowledgeGaps"
   },
   {
    "FieldGrantId": "fg-knowledge-authority-KnowledgeGaps.ToleranceDays",
    "Principal": "principal-knowledge-authority",
    "TargetField": "KnowledgeGaps.ToleranceDays",
    "CanRead": true,
    "CanWrite": false,
    "MaskStrategy": "plain",
    "SemanticTypeIri": "urn:effortless:pko-extension#FieldGrant",
    "Name": "principal-knowledge-authority -&gt; KnowledgeGaps.ToleranceDays",
    "FieldTable": "KnowledgeGaps",
    "FieldName": "ToleranceDays",
    "FieldIsDerived": true,
    "IsWritableDerivedField": false,
    "IsMasked": false,
    "GrantKeyWhenReadable": "principal-knowledge-authority|KnowledgeGaps"
   },
   {
    "FieldGrantId": "fg-knowledge-authority-KnowledgeGaps.IsOverdueGap",
    "Principal": "principal-knowledge-authority",
    "TargetField": "KnowledgeGaps.IsOverdueGap",
    "CanRead": true,
    "CanWrite": false,
    "MaskStrategy": "plain",
    "SemanticTypeIri": "urn:effortless:pko-extension#FieldGrant",
    "Name": "principal-knowledge-authority -&gt; KnowledgeGaps.IsOverdueGap",
    "FieldTable": "KnowledgeGaps",
    "FieldName": "IsOverdueGap",
    "FieldIsDerived": true,
    "IsWritableDerivedField": false,
    "IsMasked": false,
    "GrantKeyWhenReadable": "principal-knowledge-authority|KnowledgeGaps"
   },
   {
    "FieldGrantId": "fg-knowledge-authority-KnowledgeGaps.OwnerAgent",
    "Principal": "principal-knowledge-authority",
    "TargetField": "KnowledgeGaps.OwnerAgent",
    "CanRead": true,
    "CanWrite": false,
    "MaskStrategy": "plain",
    "SemanticTypeIri": "urn:effortless:pko-extension#FieldGrant",
    "Name": "principal-knowledge-authority -&gt; KnowledgeGaps.OwnerAgent",
    "FieldTable": "KnowledgeGaps",
    "FieldName": "OwnerAgent",
    "FieldIsDerived": true,
    "IsWritableDerivedField": false,
    "IsMasked": false,
    "GrantKeyWhenReadable": "principal-knowledge-authority|KnowledgeGaps"
   },
   {
    "FieldGrantId": "fg-knowledge-authority-KnowledgeGaps.OwnerIsStillEngaged",
    "Principal": "principal-knowledge-authority",
    "TargetField": "KnowledgeGaps.OwnerIsStillEngaged",
    "CanRead": true,
    "CanWrite": false,
    "MaskStrategy": "plain",
    "SemanticTypeIri": "urn:effortless:pko-extension#FieldGrant",
    "Name": "principal-knowledge-authority -&gt; KnowledgeGaps.OwnerIsStillEngaged",
    "FieldTable": "KnowledgeGaps",
    "FieldName": "OwnerIsStillEngaged",
    "FieldIsDerived": true,
    "IsWritableDerivedField": false,
    "IsMasked": false,
    "GrantKeyWhenReadable": "principal-knowledge-authority|KnowledgeGaps"
   },
   {
    "FieldGrantId": "fg-knowledge-authority-KnowledgeGaps.HasResolutionPlan",
    "Principal": "principal-knowledge-authority",
    "TargetField": "KnowledgeGaps.HasResolutionPlan",
    "CanRead": true,
    "CanWrite": false,
    "MaskStrategy": "plain",
    "SemanticTypeIri": "urn:effortless:pko-extension#FieldGrant",
    "Name": "principal-knowledge-authority -&gt; KnowledgeGaps.HasResolutionPlan",
    "FieldTable": "KnowledgeGaps",
    "FieldName": "HasResolutionPlan",
    "FieldIsDerived": true,
    "IsWritableDerivedField": false,
    "IsMasked": false,
    "GrantKeyWhenReadable": "principal-knowledge-authority|KnowledgeGaps"
   },
   {
    "FieldGrantId": "fg-knowledge-authority-KnowledgeGaps.IsAbandonedUnknown",
    "Principal": "principal-knowledge-authority",
    "TargetField": "KnowledgeGaps.IsAbandonedUnknown",
    "CanRead": true,
    "CanWrite": false,
    "MaskStrategy": "plain",
    "SemanticTypeIri": "urn:effortless:pko-extension#FieldGrant",
    "Name": "principal-knowledge-authority -&gt; KnowledgeGaps.IsAbandonedUnknown",
    "FieldTable": "KnowledgeGaps",
    "FieldName": "IsAbandonedUnknown",
    "FieldIsDerived": true,
    "IsWritableDerivedField": false,
    "IsMasked": false,
    "GrantKeyWhenReadable": "principal-knowledge-authority|KnowledgeGaps"
   },
   {
    "FieldGrantId": "fg-knowledge-authority-KnowledgeGaps.OpenBlockingGapVersionKey",
    "Principal": "principal-knowledge-authority",
    "TargetField": "KnowledgeGaps.OpenBlockingGapVersionKey",
    "CanRead": true,
    "CanWrite": false,
    "MaskStrategy": "plain",
    "SemanticTypeIri": "urn:effortless:pko-extension#FieldGrant",
    "Name": "principal-knowledge-authority -&gt; KnowledgeGaps.OpenBlockingGapVersionKey",
    "FieldTable": "KnowledgeGaps",
    "FieldName": "OpenBlockingGapVersionKey",
    "FieldIsDerived": true,
    "IsWritableDerivedField": false,
    "IsMasked": false,
    "GrantKeyWhenReadable": "principal-knowledge-authority|KnowledgeGaps"
   },
   {
    "FieldGrantId": "fg-knowledge-authority-KnowledgeGaps.OwnerRoleIsVacated",
    "Principal": "principal-knowledge-authority",
    "TargetField": "KnowledgeGaps.OwnerRoleIsVacated",
    "CanRead": true,
    "CanWrite": false,
    "MaskStrategy": "plain",
    "SemanticTypeIri": "urn:effortless:pko-extension#FieldGrant",
    "Name": "principal-knowledge-authority -&gt; KnowledgeGaps.OwnerRoleIsVacated",
    "FieldTable": "KnowledgeGaps",
    "FieldName": "OwnerRoleIsVacated",
    "FieldIsDerived": true,
    "IsWritableDerivedField": false,
    "IsMasked": false,
    "GrantKeyWhenReadable": "principal-knowledge-authority|KnowledgeGaps"
   },
   {
    "FieldGrantId": "fg-knowledge-authority-KnowledgeGaps.IsOwnerlessOpenGap",
    "Principal": "principal-knowledge-authority",
    "TargetField": "KnowledgeGaps.IsOwnerlessOpenGap",
    "CanRead": true,
    "CanWrite": false,
    "MaskStrategy": "plain",
    "SemanticTypeIri": "urn:effortless:pko-extension#FieldGrant",
    "Name": "principal-knowledge-authority -&gt; KnowledgeGaps.IsOwnerlessOpenGap",
    "FieldTable": "KnowledgeGaps",
    "FieldName": "IsOwnerlessOpenGap",
    "FieldIsDerived": true,
    "IsWritableDerivedField": false,
    "IsMasked": false,
    "GrantKeyWhenReadable": "principal-knowledge-authority|KnowledgeGaps"
   },
   {
    "FieldGrantId": "fg-knowledge-authority-KnowledgeGaps.SemanticTypeIri",
    "Principal": "principal-knowledge-authority",
    "TargetField": "KnowledgeGaps.SemanticTypeIri",
    "CanRead": true,
    "CanWrite": false,
    "MaskStrategy": "plain",
    "SemanticTypeIri": "urn:effortless:pko-extension#FieldGrant",
    "Name": "principal-knowledge-authority -&gt; KnowledgeGaps.SemanticTypeIri",
    "FieldTable": "KnowledgeGaps",
    "FieldName": "SemanticTypeIri",
    "FieldIsDerived": false,
    "IsWritableDerivedField": false,
    "IsMasked": false,
    "GrantKeyWhenReadable": "principal-knowledge-authority|KnowledgeGaps"
   },
   {
    "FieldGrantId": "fg-knowledge-authority-LearningActivities.LearningActivityId",
    "Principal": "principal-knowledge-authority",
    "TargetField": "LearningActivities.LearningActivityId",
    "CanRead": true,
    "CanWrite": false,
    "MaskStrategy": "plain",
    "SemanticTypeIri": "urn:effortless:pko-extension#FieldGrant",
    "Name": "principal-knowledge-authority -&gt; LearningActivities.LearningActivityId",
    "FieldTable": "LearningActivities",
    "FieldName": "LearningActivityId",
    "FieldIsDerived": false,
    "IsWritableDerivedField": false,
    "IsMasked": false,
    "GrantKeyWhenReadable": "principal-knowledge-authority|LearningActivities"
   },
   {
    "FieldGrantId": "fg-knowledge-authority-LearningActivities.Name",
    "Principal": "principal-knowledge-authority",
    "TargetField": "LearningActivities.Name",
    "CanRead": true,
    "CanWrite": false,
    "MaskStrategy": "plain",
    "SemanticTypeIri": "urn:effortless:pko-extension#FieldGrant",
    "Name": "principal-knowledge-authority -&gt; LearningActivities.Name",
    "FieldTable": "LearningActivities",
    "FieldName": "Name",
    "FieldIsDerived": true,
    "IsWritableDerivedField": false,
    "IsMasked": false,
    "GrantKeyWhenReadable": "principal-knowledge-authority|LearningActivities"
   },
   {
    "FieldGrantId": "fg-knowledge-authority-LearningActivities.CommunityOfPractice",
    "Principal": "principal-knowledge-authority",
    "TargetField": "LearningActivities.CommunityOfPractice",
    "CanRead": true,
    "CanWrite": false,
    "MaskStrategy": "plain",
    "SemanticTypeIri": "urn:effortless:pko-extension#FieldGrant",
    "Name": "principal-knowledge-authority -&gt; LearningActivities.CommunityOfPractice",
    "FieldTable": "LearningActivities",
    "FieldName": "CommunityOfPractice",
    "FieldIsDerived": false,
    "IsWritableDerivedField": false,
    "IsMasked": false,
    "GrantKeyWhenReadable": "principal-knowledge-authority|LearningActivities"
   },
   {
    "FieldGrantId": "fg-knowledge-authority-LearningActivities.ProcedureVersion",
    "Principal": "principal-knowledge-authority",
    "TargetField": "LearningActivities.ProcedureVersion",
    "CanRead": true,
    "CanWrite": false,
    "MaskStrategy": "plain",
    "SemanticTypeIri": "urn:effortless:pko-extension#FieldGrant",
    "Name": "principal-knowledge-authority -&gt; LearningActivities.ProcedureVersion",
    "FieldTable": "LearningActivities",
    "FieldName": "ProcedureVersion",
    "FieldIsDerived": false,
    "IsWritableDerivedField": false,
    "IsMasked": false,
    "GrantKeyWhenReadable": "principal-knowledge-authority|LearningActivities"
   },
   {
    "FieldGrantId": "fg-knowledge-authority-LearningActivities.ActivityKind",
    "Principal": "principal-knowledge-authority",
    "TargetField": "LearningActivities.ActivityKind",
    "CanRead": true,
    "CanWrite": false,
    "MaskStrategy": "plain",
    "SemanticTypeIri": "urn:effortless:pko-extension#FieldGrant",
    "Name": "principal-knowledge-authority -&gt; LearningActivities.ActivityKind",
    "FieldTable": "LearningActivities",
    "FieldName": "ActivityKind",
    "FieldIsDerived": false,
    "IsWritableDerivedField": false,
    "IsMasked": false,
    "GrantKeyWhenReadable": "principal-knowledge-authority|LearningActivities"
   },
   {
    "FieldGrantId": "fg-knowledge-authority-LearningActivities.OccurredAt",
    "Principal": "principal-knowledge-authority",
    "TargetField": "LearningActivities.OccurredAt",
    "CanRead": true,
    "CanWrite": false,
    "MaskStrategy": "plain",
    "SemanticTypeIri": "urn:effortless:pko-extension#FieldGrant",
    "Name": "principal-knowledge-authority -&gt; LearningActivities.OccurredAt",
    "FieldTable": "LearningActivities",
    "FieldName": "OccurredAt",
    "FieldIsDerived": false,
    "IsWritableDerivedField": false,
    "IsMasked": false,
    "GrantKeyWhenReadable": "principal-knowledge-authority|LearningActivities"
   },
   {
    "FieldGrantId": "fg-knowledge-authority-LearningActivities.FacilitatorAgent",
    "Principal": "principal-knowledge-authority",
    "TargetField": "LearningActivities.FacilitatorAgent",
    "CanRead": true,
    "CanWrite": false,
    "MaskStrategy": "plain",
    "SemanticTypeIri": "urn:effortless:pko-extension#FieldGrant",
    "Name": "principal-knowledge-authority -&gt; LearningActivities.FacilitatorAgent",
    "FieldTable": "LearningActivities",
    "FieldName": "FacilitatorAgent",
    "FieldIsDerived": false,
    "IsWritableDerivedField": false,
    "IsMasked": false,
    "GrantKeyWhenReadable": "principal-knowledge-authority|LearningActivities"
   },
   {
    "FieldGrantId": "fg-knowledge-authority-LearningActivities.Outcome",
    "Principal": "principal-knowledge-authority",
    "TargetField": "LearningActivities.Outcome",
    "CanRead": true,
    "CanWrite": false,
    "MaskStrategy": "plain",
    "SemanticTypeIri": "urn:effortless:pko-extension#FieldGrant",
    "Name": "principal-knowledge-authority -&gt; LearningActivities.Outcome",
    "FieldTable": "LearningActivities",
    "FieldName": "Outcome",
    "FieldIsDerived": false,
    "IsWritableDerivedField": false,
    "IsMasked": false,
    "GrantKeyWhenReadable": "principal-knowledge-authority|LearningActivities"
   },
   {
    "FieldGrantId": "fg-knowledge-authority-LearningActivities.EvidenceResource",
    "Principal": "principal-knowledge-authority",
    "TargetField": "LearningActivities.EvidenceResource",
    "CanRead": true,
    "CanWrite": false,
    "MaskStrategy": "plain",
    "SemanticTypeIri": "urn:effortless:pko-extension#FieldGrant",
    "Name": "principal-knowledge-authority -&gt; LearningActivities.EvidenceResource",
    "FieldTable": "LearningActivities",
    "FieldName": "EvidenceResource",
    "FieldIsDerived": false,
    "IsWritableDerivedField": false,
    "IsMasked": false,
    "GrantKeyWhenReadable": "principal-knowledge-authority|LearningActivities"
   },
   {
    "FieldGrantId": "fg-knowledge-authority-LearningActivities.SemanticTypeIri",
    "Principal": "principal-knowledge-authority",
    "TargetField": "LearningActivities.SemanticTypeIri",
    "CanRead": true,
    "CanWrite": false,
    "MaskStrategy": "plain",
    "SemanticTypeIri": "urn:effortless:pko-extension#FieldGrant",
    "Name": "principal-knowledge-authority -&gt; LearningActivities.SemanticTypeIri",
    "FieldTable": "LearningActivities",
    "FieldName": "SemanticTypeIri",
    "FieldIsDerived": false,
    "IsWritableDerivedField": false,
    "IsMasked": false,
    "GrantKeyWhenReadable": "principal-knowledge-authority|LearningActivities"
   },
   {
    "FieldGrantId": "fg-knowledge-authority-Mentorships.MentorshipId",
    "Principal": "principal-knowledge-authority",
    "TargetField": "Mentorships.MentorshipId",
    "CanRead": true,
    "CanWrite": false,
    "MaskStrategy": "plain",
    "SemanticTypeIri": "urn:effortless:pko-extension#FieldGrant",
    "Name": "principal-knowledge-authority -&gt; Mentorships.MentorshipId",
    "FieldTable": "Mentorships",
    "FieldName": "MentorshipId",
    "FieldIsDerived": false,
    "IsWritableDerivedField": false,
    "IsMasked": false,
    "GrantKeyWhenReadable": "principal-knowledge-authority|Mentorships"
   },
   {
    "FieldGrantId": "fg-knowledge-authority-Mentorships.Name",
    "Principal": "principal-knowledge-authority",
    "TargetField": "Mentorships.Name",
    "CanRead": true,
    "CanWrite": false,
    "MaskStrategy": "plain",
    "SemanticTypeIri": "urn:effortless:pko-extension#FieldGrant",
    "Name": "principal-knowledge-authority -&gt; Mentorships.Name",
    "FieldTable": "Mentorships",
    "FieldName": "Name",
    "FieldIsDerived": true,
    "IsWritableDerivedField": false,
    "IsMasked": false,
    "GrantKeyWhenReadable": "principal-knowledge-authority|Mentorships"
   },
   {
    "FieldGrantId": "fg-knowledge-authority-Mentorships.CommunityOfPractice",
    "Principal": "principal-knowledge-authority",
    "TargetField": "Mentorships.CommunityOfPractice",
    "CanRead": true,
    "CanWrite": false,
    "MaskStrategy": "plain",
    "SemanticTypeIri": "urn:effortless:pko-extension#FieldGrant",
    "Name": "principal-knowledge-authority -&gt; Mentorships.CommunityOfPractice",
    "FieldTable": "Mentorships",
    "FieldName": "CommunityOfPractice",
    "FieldIsDerived": false,
    "IsWritableDerivedField": false,
    "IsMasked": false,
    "GrantKeyWhenReadable": "principal-knowledge-authority|Mentorships"
   },
   {
    "FieldGrantId": "fg-knowledge-authority-Mentorships.MentorAgent",
    "Principal": "principal-knowledge-authority",
    "TargetField": "Mentorships.MentorAgent",
    "CanRead": true,
    "CanWrite": false,
    "MaskStrategy": "plain",
    "SemanticTypeIri": "urn:effortless:pko-extension#FieldGrant",
    "Name": "principal-knowledge-authority -&gt; Mentorships.MentorAgent",
    "FieldTable": "Mentorships",
    "FieldName": "MentorAgent",
    "FieldIsDerived": false,
    "IsWritableDerivedField": false,
    "IsMasked": false,
    "GrantKeyWhenReadable": "principal-knowledge-authority|Mentorships"
   },
   {
    "FieldGrantId": "fg-knowledge-authority-Mentorships.LearnerAgent",
    "Principal": "principal-knowledge-authority",
    "TargetField": "Mentorships.LearnerAgent",
    "CanRead": true,
    "CanWrite": false,
    "MaskStrategy": "plain",
    "SemanticTypeIri": "urn:effortless:pko-extension#FieldGrant",
    "Name": "principal-knowledge-authority -&gt; Mentorships.LearnerAgent",
    "FieldTable": "Mentorships",
    "FieldName": "LearnerAgent",
    "FieldIsDerived": false,
    "IsWritableDerivedField": false,
    "IsMasked": false,
    "GrantKeyWhenReadable": "principal-knowledge-authority|Mentorships"
   },
   {
    "FieldGrantId": "fg-knowledge-authority-Mentorships.ValidFrom",
    "Principal": "principal-knowledge-authority",
    "TargetField": "Mentorships.ValidFrom",
    "CanRead": true,
    "CanWrite": false,
    "MaskStrategy": "plain",
    "SemanticTypeIri": "urn:effortless:pko-extension#FieldGrant",
    "Name": "principal-knowledge-authority -&gt; Mentorships.ValidFrom",
    "FieldTable": "Mentorships",
    "FieldName": "ValidFrom",
    "FieldIsDerived": false,
    "IsWritableDerivedField": false,
    "IsMasked": false,
    "GrantKeyWhenReadable": "principal-knowledge-authority|Mentorships"
   },
   {
    "FieldGrantId": "fg-knowledge-authority-Mentorships.ValidTo",
    "Principal": "principal-knowledge-authority",
    "TargetField": "Mentorships.ValidTo",
    "CanRead": true,
    "CanWrite": false,
    "MaskStrategy": "plain",
    "SemanticTypeIri": "urn:effortless:pko-extension#FieldGrant",
    "Name": "principal-knowledge-authority -&gt; Mentorships.ValidTo",
    "FieldTable": "Mentorships",
    "FieldName": "ValidTo",
    "FieldIsDerived": false,
    "IsWritableDerivedField": false,
    "IsMasked": false,
    "GrantKeyWhenReadable": "principal-knowledge-authority|Mentorships"
   },
   {
    "FieldGrantId": "fg-knowledge-authority-Mentorships.LearningObjective",
    "Principal": "principal-knowledge-authority",
    "TargetField": "Mentorships.LearningObjective",
    "CanRead": true,
    "CanWrite": false,
    "MaskStrategy": "plain",
    "SemanticTypeIri": "urn:effortless:pko-extension#FieldGrant",
    "Name": "principal-knowledge-authority -&gt; Mentorships.LearningObjective",
    "FieldTable": "Mentorships",
    "FieldName": "LearningObjective",
    "FieldIsDerived": false,
    "IsWritableDerivedField": false,
    "IsMasked": false,
    "GrantKeyWhenReadable": "principal-knowledge-authority|Mentorships"
   },
   {
    "FieldGrantId": "fg-knowledge-authority-Mentorships.EvidenceOfCompletion",
    "Principal": "principal-knowledge-authority",
    "TargetField": "Mentorships.EvidenceOfCompletion",
    "CanRead": true,
    "CanWrite": false,
    "MaskStrategy": "plain",
    "SemanticTypeIri": "urn:effortless:pko-extension#FieldGrant",
    "Name": "principal-knowledge-authority -&gt; Mentorships.EvidenceOfCompletion",
    "FieldTable": "Mentorships",
    "FieldName": "EvidenceOfCompletion",
    "FieldIsDerived": false,
    "IsWritableDerivedField": false,
    "IsMasked": false,
    "GrantKeyWhenReadable": "principal-knowledge-authority|Mentorships"
   },
   {
    "FieldGrantId": "fg-knowledge-authority-Mentorships.SemanticTypeIri",
    "Principal": "principal-knowledge-authority",
    "TargetField": "Mentorships.SemanticTypeIri",
    "CanRead": true,
    "CanWrite": false,
    "MaskStrategy": "plain",
    "SemanticTypeIri": "urn:effortless:pko-extension#FieldGrant",
    "Name": "principal-knowledge-authority -&gt; Mentorships.SemanticTypeIri",
    "FieldTable": "Mentorships",
    "FieldName": "SemanticTypeIri",
    "FieldIsDerived": false,
    "IsWritableDerivedField": false,
    "IsMasked": false,
    "GrantKeyWhenReadable": "principal-knowledge-authority|Mentorships"
   },
   {
    "FieldGrantId": "fg-knowledge-authority-MessageDeliveries.MessageDeliveryId",
    "Principal": "principal-knowledge-authority",
    "TargetField": "MessageDeliveries.MessageDeliveryId",
    "CanRead": true,
    "CanWrite": false,
    "MaskStrategy": "plain",
    "SemanticTypeIri": "urn:effortless:pko-extension#FieldGrant",
    "Name": "principal-knowledge-authority -&gt; MessageDeliveries.MessageDeliveryId",
    "FieldTable": "MessageDeliveries",
    "FieldName": "MessageDeliveryId",
    "FieldIsDerived": false,
    "IsWritableDerivedField": false,
    "IsMasked": false,
    "GrantKeyWhenReadable": "principal-knowledge-authority|MessageDeliveries"
   },
   {
    "FieldGrantId": "fg-knowledge-authority-MessageDeliveries.Name",
    "Principal": "principal-knowledge-authority",
    "TargetField": "MessageDeliveries.Name",
    "CanRead": true,
    "CanWrite": false,
    "MaskStrategy": "plain",
    "SemanticTypeIri": "urn:effortless:pko-extension#FieldGrant",
    "Name": "principal-knowledge-authority -&gt; MessageDeliveries.Name",
    "FieldTable": "MessageDeliveries",
    "FieldName": "Name",
    "FieldIsDerived": true,
    "IsWritableDerivedField": false,
    "IsMasked": false,
    "GrantKeyWhenReadable": "principal-knowledge-authority|MessageDeliveries"
   },
   {
    "FieldGrantId": "fg-knowledge-authority-MessageDeliveries.ProcedureExecution",
    "Principal": "principal-knowledge-authority",
    "TargetField": "MessageDeliveries.ProcedureExecution",
    "CanRead": true,
    "CanWrite": false,
    "MaskStrategy": "plain",
    "SemanticTypeIri": "urn:effortless:pko-extension#FieldGrant",
    "Name": "principal-knowledge-authority -&gt; MessageDeliveries.ProcedureExecution",
    "FieldTable": "MessageDeliveries",
    "FieldName": "ProcedureExecution",
    "FieldIsDerived": false,
    "IsWritableDerivedField": false,
    "IsMasked": false,
    "GrantKeyWhenReadable": "principal-knowledge-authority|MessageDeliveries"
   },
   {
    "FieldGrantId": "fg-knowledge-authority-MessageDeliveries.StepExecution",
    "Principal": "principal-knowledge-authority",
    "TargetField": "MessageDeliveries.StepExecution",
    "CanRead": true,
    "CanWrite": false,
    "MaskStrategy": "plain",
    "SemanticTypeIri": "urn:effortless:pko-extension#FieldGrant",
    "Name": "principal-knowledge-authority -&gt; MessageDeliveries.StepExecution",
    "FieldTable": "MessageDeliveries",
    "FieldName": "StepExecution",
    "FieldIsDerived": false,
    "IsWritableDerivedField": false,
    "IsMasked": false,
    "GrantKeyWhenReadable": "principal-knowledge-authority|MessageDeliveries"
   },
   {
    "FieldGrantId": "fg-knowledge-authority-MessageDeliveries.Recipient",
    "Principal": "principal-knowledge-authority",
    "TargetField": "MessageDeliveries.Recipient",
    "CanRead": true,
    "CanWrite": false,
    "MaskStrategy": "plain",
    "SemanticTypeIri": "urn:effortless:pko-extension#FieldGrant",
    "Name": "principal-knowledge-authority -&gt; MessageDeliveries.Recipient",
    "FieldTable": "MessageDeliveries",
    "FieldName": "Recipient",
    "FieldIsDerived": false,
    "IsWritableDerivedField": false,
    "IsMasked": false,
    "GrantKeyWhenReadable": "principal-knowledge-authority|MessageDeliveries"
   },
   {
    "FieldGrantId": "fg-knowledge-authority-MessageDeliveries.MessageTemplate",
    "Principal": "principal-knowledge-authority",
    "TargetField": "MessageDeliveries.MessageTemplate",
    "CanRead": true,
    "CanWrite": false,
    "MaskStrategy": "plain",
    "SemanticTypeIri": "urn:effortless:pko-extension#FieldGrant",
    "Name": "principal-knowledge-authority -&gt; MessageDeliveries.MessageTemplate",
    "FieldTable": "MessageDeliveries",
    "FieldName": "MessageTemplate",
    "FieldIsDerived": false,
    "IsWritableDerivedField": false,
    "IsMasked": false,
    "GrantKeyWhenReadable": "principal-knowledge-authority|MessageDeliveries"
   },
   {
    "FieldGrantId": "fg-knowledge-authority-MessageDeliveries.SentByAgent",
    "Principal": "principal-knowledge-authority",
    "TargetField": "MessageDeliveries.SentByAgent",
    "CanRead": true,
    "CanWrite": false,
    "MaskStrategy": "plain",
    "SemanticTypeIri": "urn:effortless:pko-extension#FieldGrant",
    "Name": "principal-knowledge-authority -&gt; MessageDeliveries.SentByAgent",
    "FieldTable": "MessageDeliveries",
    "FieldName": "SentByAgent",
    "FieldIsDerived": false,
    "IsWritableDerivedField": false,
    "IsMasked": false,
    "GrantKeyWhenReadable": "principal-knowledge-authority|MessageDeliveries"
   },
   {
    "FieldGrantId": "fg-knowledge-authority-MessageDeliveries.RenderedBody",
    "Principal": "principal-knowledge-authority",
    "TargetField": "MessageDeliveries.RenderedBody",
    "CanRead": true,
    "CanWrite": false,
    "MaskStrategy": "plain",
    "SemanticTypeIri": "urn:effortless:pko-extension#FieldGrant",
    "Name": "principal-knowledge-authority -&gt; MessageDeliveries.RenderedBody",
    "FieldTable": "MessageDeliveries",
    "FieldName": "RenderedBody",
    "FieldIsDerived": false,
    "IsWritableDerivedField": false,
    "IsMasked": false,
    "GrantKeyWhenReadable": "principal-knowledge-authority|MessageDeliveries"
   },
   {
    "FieldGrantId": "fg-knowledge-authority-MessageDeliveries.SentAt",
    "Principal": "principal-knowledge-authority",
    "TargetField": "MessageDeliveries.SentAt",
    "CanRead": true,
    "CanWrite": false,
    "MaskStrategy": "plain",
    "SemanticTypeIri": "urn:effortless:pko-extension#FieldGrant",
    "Name": "principal-knowledge-authority -&gt; MessageDeliveries.SentAt",
    "FieldTable": "MessageDeliveries",
    "FieldName": "SentAt",
    "FieldIsDerived": false,
    "IsWritableDerivedField": false,
    "IsMasked": false,
    "GrantKeyWhenReadable": "principal-knowledge-authority|MessageDeliveries"
   },
   {
    "FieldGrantId": "fg-knowledge-authority-MessageDeliveries.SentAtLocalHour",
    "Principal": "principal-knowledge-authority",
    "TargetField": "MessageDeliveries.SentAtLocalHour",
    "CanRead": true,
    "CanWrite": false,
    "MaskStrategy": "plain",
    "SemanticTypeIri": "urn:effortless:pko-extension#FieldGrant",
    "Name": "principal-knowledge-authority -&gt; MessageDeliveries.SentAtLocalHour",
    "FieldTable": "MessageDeliveries",
    "FieldName": "SentAtLocalHour",
    "FieldIsDerived": false,
    "IsWritableDerivedField": false,
    "IsMasked": false,
    "GrantKeyWhenReadable": "principal-knowledge-authority|MessageDeliveries"
   },
   {
    "FieldGrantId": "fg-knowledge-authority-MessageDeliveries.DeliveryStatus",
    "Principal": "principal-knowledge-authority",
    "TargetField": "MessageDeliveries.DeliveryStatus",
    "CanRead": true,
    "CanWrite": false,
    "MaskStrategy": "plain",
    "SemanticTypeIri": "urn:effortless:pko-extension#FieldGrant",
    "Name": "principal-knowledge-authority -&gt; MessageDeliveries.DeliveryStatus",
    "FieldTable": "MessageDeliveries",
    "FieldName": "DeliveryStatus",
    "FieldIsDerived": false,
    "IsWritableDerivedField": false,
    "IsMasked": false,
    "GrantKeyWhenReadable": "principal-knowledge-authority|MessageDeliveries"
   },
   {
    "FieldGrantId": "fg-knowledge-authority-MessageDeliveries.SuppressionReason",
    "Principal": "principal-knowledge-authority",
    "TargetField": "MessageDeliveries.SuppressionReason",
    "CanRead": true,
    "CanWrite": false,
    "MaskStrategy": "plain",
    "SemanticTypeIri": "urn:effortless:pko-extension#FieldGrant",
    "Name": "principal-knowledge-authority -&gt; MessageDeliveries.SuppressionReason",
    "FieldTable": "MessageDeliveries",
    "FieldName": "SuppressionReason",
    "FieldIsDerived": false,
    "IsWritableDerivedField": false,
    "IsMasked": false,
    "GrantKeyWhenReadable": "principal-knowledge-authority|MessageDeliveries"
   },
   {
    "FieldGrantId": "fg-knowledge-authority-MessageDeliveries.InvokedException",
    "Principal": "principal-knowledge-authority",
    "TargetField": "MessageDeliveries.InvokedException",
    "CanRead": true,
    "CanWrite": false,
    "MaskStrategy": "plain",
    "SemanticTypeIri": "urn:effortless:pko-extension#FieldGrant",
    "Name": "principal-knowledge-authority -&gt; MessageDeliveries.InvokedException",
    "FieldTable": "MessageDeliveries",
    "FieldName": "InvokedException",
    "FieldIsDerived": false,
    "IsWritableDerivedField": false,
    "IsMasked": false,
    "GrantKeyWhenReadable": "principal-knowledge-authority|MessageDeliveries"
   },
   {
    "FieldGrantId": "fg-knowledge-authority-MessageDeliveries.AcknowledgedAt",
    "Principal": "principal-knowledge-authority",
    "TargetField": "MessageDeliveries.AcknowledgedAt",
    "CanRead": true,
    "CanWrite": false,
    "MaskStrategy": "plain",
    "SemanticTypeIri": "urn:effortless:pko-extension#FieldGrant",
    "Name": "principal-knowledge-authority -&gt; MessageDeliveries.AcknowledgedAt",
    "FieldTable": "MessageDeliveries",
    "FieldName": "AcknowledgedAt",
    "FieldIsDerived": false,
    "IsWritableDerivedField": false,
    "IsMasked": false,
    "GrantKeyWhenReadable": "principal-knowledge-authority|MessageDeliveries"
   },
   {
    "FieldGrantId": "fg-knowledge-authority-MessageDeliveries.PolicyChannel",
    "Principal": "principal-knowledge-authority",
    "TargetField": "MessageDeliveries.PolicyChannel",
    "CanRead": true,
    "CanWrite": false,
    "MaskStrategy": "plain",
    "SemanticTypeIri": "urn:effortless:pko-extension#FieldGrant",
    "Name": "principal-knowledge-authority -&gt; MessageDeliveries.PolicyChannel",
    "FieldTable": "MessageDeliveries",
    "FieldName": "PolicyChannel",
    "FieldIsDerived": true,
    "IsWritableDerivedField": false,
    "IsMasked": false,
    "GrantKeyWhenReadable": "principal-knowledge-authority|MessageDeliveries"
   },
   {
    "FieldGrantId": "fg-knowledge-authority-MessageDeliveries.ChannelName",
    "Principal": "principal-knowledge-authority",
    "TargetField": "MessageDeliveries.ChannelName",
    "CanRead": true,
    "CanWrite": false,
    "MaskStrategy": "plain",
    "SemanticTypeIri": "urn:effortless:pko-extension#FieldGrant",
    "Name": "principal-knowledge-authority -&gt; MessageDeliveries.ChannelName",
    "FieldTable": "MessageDeliveries",
    "FieldName": "ChannelName",
    "FieldIsDerived": true,
    "IsWritableDerivedField": false,
    "IsMasked": false,
    "GrantKeyWhenReadable": "principal-knowledge-authority|MessageDeliveries"
   },
   {
    "FieldGrantId": "fg-knowledge-authority-MessageDeliveries.PolicyRequiresConsent",
    "Principal": "principal-knowledge-authority",
    "TargetField": "MessageDeliveries.PolicyRequiresConsent",
    "CanRead": true,
    "CanWrite": false,
    "MaskStrategy": "plain",
    "SemanticTypeIri": "urn:effortless:pko-extension#FieldGrant",
    "Name": "principal-knowledge-authority -&gt; MessageDeliveries.PolicyRequiresConsent",
    "FieldTable": "MessageDeliveries",
    "FieldName": "PolicyRequiresConsent",
    "FieldIsDerived": true,
    "IsWritableDerivedField": false,
    "IsMasked": false,
    "GrantKeyWhenReadable": "principal-knowledge-authority|MessageDeliveries"
   },
   {
    "FieldGrantId": "fg-knowledge-authority-MessageDeliveries.RecipientHasSmsConsent",
    "Principal": "principal-knowledge-authority",
    "TargetField": "MessageDeliveries.RecipientHasSmsConsent",
    "CanRead": true,
    "CanWrite": false,
    "MaskStrategy": "plain",
    "SemanticTypeIri": "urn:effortless:pko-extension#FieldGrant",
    "Name": "principal-know</t>
  </si>
  <si>
    <t xml:space="preserve">ledge-authority -&gt; MessageDeliveries.RecipientHasSmsConsent",
    "FieldTable": "MessageDeliveries",
    "FieldName": "RecipientHasSmsConsent",
    "FieldIsDerived": true,
    "IsWritableDerivedField": false,
    "IsMasked": false,
    "GrantKeyWhenReadable": "principal-knowledge-authority|MessageDeliveries"
   },
   {
    "FieldGrantId": "fg-knowledge-authority-MessageDeliveries.WasActuallyTransmitted",
    "Principal": "principal-knowledge-authority",
    "TargetField": "MessageDeliveries.WasActuallyTransmitted",
    "CanRead": true,
    "CanWrite": false,
    "MaskStrategy": "plain",
    "SemanticTypeIri": "urn:effortless:pko-extension#FieldGrant",
    "Name": "principal-knowledge-authority -&gt; MessageDeliveries.WasActuallyTransmitted",
    "FieldTable": "MessageDeliveries",
    "FieldName": "WasActuallyTransmitted",
    "FieldIsDerived": true,
    "IsWritableDerivedField": false,
    "IsMasked": false,
    "GrantKeyWhenReadable": "principal-knowledge-authority|MessageDeliveries"
   },
   {
    "FieldGrantId": "fg-knowledge-authority-MessageDeliveries.IsConsentViolation",
    "Principal": "principal-knowledge-authority",
    "TargetField": "MessageDeliveries.IsConsentViolation",
    "CanRead": true,
    "CanWrite": false,
    "MaskStrategy": "plain",
    "SemanticTypeIri": "urn:effortless:pko-extension#FieldGrant",
    "Name": "principal-knowledge-authority -&gt; MessageDeliveries.IsConsentViolation",
    "FieldTable": "MessageDeliveries",
    "FieldName": "IsConsentViolation",
    "FieldIsDerived": true,
    "IsWritableDerivedField": false,
    "IsMasked": false,
    "GrantKeyWhenReadable": "principal-knowledge-authority|MessageDeliveries"
   },
   {
    "FieldGrantId": "fg-knowledge-authority-MessageDeliveries.ConsentViolationPolicyKey",
    "Principal": "principal-knowledge-authority",
    "TargetField": "MessageDeliveries.ConsentViolationPolicyKey",
    "CanRead": true,
    "CanWrite": false,
    "MaskStrategy": "plain",
    "SemanticTypeIri": "urn:effortless:pko-extension#FieldGrant",
    "Name": "principal-knowledge-authority -&gt; MessageDeliveries.ConsentViolationPolicyKey",
    "FieldTable": "MessageDeliveries",
    "FieldName": "ConsentViolationPolicyKey",
    "FieldIsDerived": true,
    "IsWritableDerivedField": false,
    "IsMasked": false,
    "GrantKeyWhenReadable": "principal-knowledge-authority|MessageDeliveries"
   },
   {
    "FieldGrantId": "fg-knowledge-authority-MessageDeliveries.PolicyQuietHoursStartHour",
    "Principal": "principal-knowledge-authority",
    "TargetField": "MessageDeliveries.PolicyQuietHoursStartHour",
    "CanRead": true,
    "CanWrite": false,
    "MaskStrategy": "plain",
    "SemanticTypeIri": "urn:effortless:pko-extension#FieldGrant",
    "Name": "principal-knowledge-authority -&gt; MessageDeliveries.PolicyQuietHoursStartHour",
    "FieldTable": "MessageDeliveries",
    "FieldName": "PolicyQuietHoursStartHour",
    "FieldIsDerived": true,
    "IsWritableDerivedField": false,
    "IsMasked": false,
    "GrantKeyWhenReadable": "principal-knowledge-authority|MessageDeliveries"
   },
   {
    "FieldGrantId": "fg-knowledge-authority-MessageDeliveries.PolicyQuietHoursEndHour",
    "Principal": "principal-knowledge-authority",
    "TargetField": "MessageDeliveries.PolicyQuietHoursEndHour",
    "CanRead": true,
    "CanWrite": false,
    "MaskStrategy": "plain",
    "SemanticTypeIri": "urn:effortless:pko-extension#FieldGrant",
    "Name": "principal-knowledge-authority -&gt; MessageDeliveries.PolicyQuietHoursEndHour",
    "FieldTable": "MessageDeliveries",
    "FieldName": "PolicyQuietHoursEndHour",
    "FieldIsDerived": true,
    "IsWritableDerivedField": false,
    "IsMasked": false,
    "GrantKeyWhenReadable": "principal-knowledge-authority|MessageDeliveries"
   },
   {
    "FieldGrantId": "fg-knowledge-authority-MessageDeliveries.PolicyHasQuietHours",
    "Principal": "principal-knowledge-authority",
    "TargetField": "MessageDeliveries.PolicyHasQuietHours",
    "CanRead": true,
    "CanWrite": false,
    "MaskStrategy": "plain",
    "SemanticTypeIri": "urn:effortless:pko-extension#FieldGrant",
    "Name": "principal-knowledge-authority -&gt; MessageDeliveries.PolicyHasQuietHours",
    "FieldTable": "MessageDeliveries",
    "FieldName": "PolicyHasQuietHours",
    "FieldIsDerived": true,
    "IsWritableDerivedField": false,
    "IsMasked": false,
    "GrantKeyWhenReadable": "principal-knowledge-authority|MessageDeliveries"
   },
   {
    "FieldGrantId": "fg-knowledge-authority-MessageDeliveries.QuietWindowWrapsMidnight",
    "Principal": "principal-knowledge-authority",
    "TargetField": "MessageDeliveries.QuietWindowWrapsMidnight",
    "CanRead": true,
    "CanWrite": false,
    "MaskStrategy": "plain",
    "SemanticTypeIri": "urn:effortless:pko-extension#FieldGrant",
    "Name": "principal-knowledge-authority -&gt; MessageDeliveries.QuietWindowWrapsMidnight",
    "FieldTable": "MessageDeliveries",
    "FieldName": "QuietWindowWrapsMidnight",
    "FieldIsDerived": true,
    "IsWritableDerivedField": false,
    "IsMasked": false,
    "GrantKeyWhenReadable": "principal-knowledge-authority|MessageDeliveries"
   },
   {
    "FieldGrantId": "fg-knowledge-authority-MessageDeliveries.IsInsideQuietWindow",
    "Principal": "principal-knowledge-authority",
    "TargetField": "MessageDeliveries.IsInsideQuietWindow",
    "CanRead": true,
    "CanWrite": false,
    "MaskStrategy": "plain",
    "SemanticTypeIri": "urn:effortless:pko-extension#FieldGrant",
    "Name": "principal-knowledge-authority -&gt; MessageDeliveries.IsInsideQuietWindow",
    "FieldTable": "MessageDeliveries",
    "FieldName": "IsInsideQuietWindow",
    "FieldIsDerived": true,
    "IsWritableDerivedField": false,
    "IsMasked": false,
    "GrantKeyWhenReadable": "principal-knowledge-authority|MessageDeliveries"
   },
   {
    "FieldGrantId": "fg-knowledge-authority-MessageDeliveries.IsQuietHoursViolation",
    "Principal": "principal-knowledge-authority",
    "TargetField": "MessageDeliveries.IsQuietHoursViolation",
    "CanRead": true,
    "CanWrite": false,
    "MaskStrategy": "plain",
    "SemanticTypeIri": "urn:effortless:pko-extension#FieldGrant",
    "Name": "principal-knowledge-authority -&gt; MessageDeliveries.IsQuietHoursViolation",
    "FieldTable": "MessageDeliveries",
    "FieldName": "IsQuietHoursViolation",
    "FieldIsDerived": true,
    "IsWritableDerivedField": false,
    "IsMasked": false,
    "GrantKeyWhenReadable": "principal-knowledge-authority|MessageDeliveries"
   },
   {
    "FieldGrantId": "fg-knowledge-authority-MessageDeliveries.QuietHoursViolationPolicyKey",
    "Principal": "principal-knowledge-authority",
    "TargetField": "MessageDeliveries.QuietHoursViolationPolicyKey",
    "CanRead": true,
    "CanWrite": false,
    "MaskStrategy": "plain",
    "SemanticTypeIri": "urn:effortless:pko-extension#FieldGrant",
    "Name": "principal-knowledge-authority -&gt; MessageDeliveries.QuietHoursViolationPolicyKey",
    "FieldTable": "MessageDeliveries",
    "FieldName": "QuietHoursViolationPolicyKey",
    "FieldIsDerived": true,
    "IsWritableDerivedField": false,
    "IsMasked": false,
    "GrantKeyWhenReadable": "principal-knowledge-authority|MessageDeliveries"
   },
   {
    "FieldGrantId": "fg-knowledge-authority-MessageDeliveries.RecipientIsUnreachable",
    "Principal": "principal-knowledge-authority",
    "TargetField": "MessageDeliveries.RecipientIsUnreachable",
    "CanRead": true,
    "CanWrite": false,
    "MaskStrategy": "plain",
    "SemanticTypeIri": "urn:effortless:pko-extension#FieldGrant",
    "Name": "principal-knowledge-authority -&gt; MessageDeliveries.RecipientIsUnreachable",
    "FieldTable": "MessageDeliveries",
    "FieldName": "RecipientIsUnreachable",
    "FieldIsDerived": true,
    "IsWritableDerivedField": false,
    "IsMasked": false,
    "GrantKeyWhenReadable": "principal-knowledge-authority|MessageDeliveries"
   },
   {
    "FieldGrantId": "fg-knowledge-authority-MessageDeliveries.IsAcknowledged",
    "Principal": "principal-knowledge-authority",
    "TargetField": "MessageDeliveries.IsAcknowledged",
    "CanRead": true,
    "CanWrite": false,
    "MaskStrategy": "plain",
    "SemanticTypeIri": "urn:effortless:pko-extension#FieldGrant",
    "Name": "principal-knowledge-authority -&gt; MessageDeliveries.IsAcknowledged",
    "FieldTable": "MessageDeliveries",
    "FieldName": "IsAcknowledged",
    "FieldIsDerived": true,
    "IsWritableDerivedField": false,
    "IsMasked": false,
    "GrantKeyWhenReadable": "principal-knowledge-authority|MessageDeliveries"
   },
   {
    "FieldGrantId": "fg-knowledge-authority-MessageDeliveries.InvokedExceptionCondition",
    "Principal": "principal-knowledge-authority",
    "TargetField": "MessageDeliveries.InvokedExceptionCondition",
    "CanRead": true,
    "CanWrite": false,
    "MaskStrategy": "plain",
    "SemanticTypeIri": "urn:effortless:pko-extension#FieldGrant",
    "Name": "principal-knowledge-authority -&gt; MessageDeliveries.InvokedExceptionCondition",
    "FieldTable": "MessageDeliveries",
    "FieldName": "InvokedExceptionCondition",
    "FieldIsDerived": true,
    "IsWritableDerivedField": false,
    "IsMasked": false,
    "GrantKeyWhenReadable": "principal-knowledge-authority|MessageDeliveries"
   },
   {
    "FieldGrantId": "fg-knowledge-authority-MessageDeliveries.HasUnreachableExceptionInvoked",
    "Principal": "principal-knowledge-authority",
    "TargetField": "MessageDeliveries.HasUnreachableExceptionInvoked",
    "CanRead": true,
    "CanWrite": false,
    "MaskStrategy": "plain",
    "SemanticTypeIri": "urn:effortless:pko-extension#FieldGrant",
    "Name": "principal-knowledge-authority -&gt; MessageDeliveries.HasUnreachableExceptionInvoked",
    "FieldTable": "MessageDeliveries",
    "FieldName": "HasUnreachableExceptionInvoked",
    "FieldIsDerived": true,
    "IsWritableDerivedField": false,
    "IsMasked": false,
    "GrantKeyWhenReadable": "principal-knowledge-authority|MessageDeliveries"
   },
   {
    "FieldGrantId": "fg-knowledge-authority-MessageDeliveries.IsFabricatedAcknowledgement",
    "Principal": "principal-knowledge-authority",
    "TargetField": "MessageDeliveries.IsFabricatedAcknowledgement",
    "CanRead": true,
    "CanWrite": false,
    "MaskStrategy": "plain",
    "SemanticTypeIri": "urn:effortless:pko-extension#FieldGrant",
    "Name": "principal-knowledge-authority -&gt; MessageDeliveries.IsFabricatedAcknowledgement",
    "FieldTable": "MessageDeliveries",
    "FieldName": "IsFabricatedAcknowledgement",
    "FieldIsDerived": true,
    "IsWritableDerivedField": false,
    "IsMasked": false,
    "GrantKeyWhenReadable": "principal-knowledge-authority|MessageDeliveries"
   },
   {
    "FieldGrantId": "fg-knowledge-authority-MessageDeliveries.IsUnhandledUnreachable",
    "Principal": "principal-knowledge-authority",
    "TargetField": "MessageDeliveries.IsUnhandledUnreachable",
    "CanRead": true,
    "CanWrite": false,
    "MaskStrategy": "plain",
    "SemanticTypeIri": "urn:effortless:pko-extension#FieldGrant",
    "Name": "principal-knowledge-authority -&gt; MessageDeliveries.IsUnhandledUnreachable",
    "FieldTable": "MessageDeliveries",
    "FieldName": "IsUnhandledUnreachable",
    "FieldIsDerived": true,
    "IsWritableDerivedField": false,
    "IsMasked": false,
    "GrantKeyWhenReadable": "principal-knowledge-authority|MessageDeliveries"
   },
   {
    "FieldGrantId": "fg-knowledge-authority-MessageDeliveries.UnreachableFailureKey",
    "Principal": "principal-knowledge-authority",
    "TargetField": "MessageDeliveries.UnreachableFailureKey",
    "CanRead": true,
    "CanWrite": false,
    "MaskStrategy": "plain",
    "SemanticTypeIri": "urn:effortless:pko-extension#FieldGrant",
    "Name": "principal-knowledge-authority -&gt; MessageDeliveries.UnreachableFailureKey",
    "FieldTable": "MessageDeliveries",
    "FieldName": "UnreachableFailureKey",
    "FieldIsDerived": true,
    "IsWritableDerivedField": false,
    "IsMasked": false,
    "GrantKeyWhenReadable": "principal-knowledge-authority|MessageDeliveries"
   },
   {
    "FieldGrantId": "fg-knowledge-authority-MessageDeliveries.PolicyRetentionDays",
    "Principal": "principal-knowledge-authority",
    "TargetField": "MessageDeliveries.PolicyRetentionDays",
    "CanRead": true,
    "CanWrite": false,
    "MaskStrategy": "plain",
    "SemanticTypeIri": "urn:effortless:pko-extension#FieldGrant",
    "Name": "principal-knowledge-authority -&gt; MessageDeliveries.PolicyRetentionDays",
    "FieldTable": "MessageDeliveries",
    "FieldName": "PolicyRetentionDays",
    "FieldIsDerived": true,
    "IsWritableDerivedField": false,
    "IsMasked": false,
    "GrantKeyWhenReadable": "principal-knowledge-authority|MessageDeliveries"
   },
   {
    "FieldGrantId": "fg-knowledge-authority-MessageDeliveries.EvaluationContext",
    "Principal": "principal-knowledge-authority",
    "TargetField": "MessageDeliveries.EvaluationContext",
    "CanRead": true,
    "CanWrite": false,
    "MaskStrategy": "plain",
    "SemanticTypeIri": "urn:effortless:pko-extension#FieldGrant",
    "Name": "principal-knowledge-authority -&gt; MessageDeliveries.EvaluationContext",
    "FieldTable": "MessageDeliveries",
    "FieldName": "EvaluationContext",
    "FieldIsDerived": false,
    "IsWritableDerivedField": false,
    "IsMasked": false,
    "GrantKeyWhenReadable": "principal-knowledge-authority|MessageDeliveries"
   },
   {
    "FieldGrantId": "fg-knowledge-authority-MessageDeliveries.AsOfInstant",
    "Principal": "principal-knowledge-authority",
    "TargetField": "MessageDeliveries.AsOfInstant",
    "CanRead": true,
    "CanWrite": false,
    "MaskStrategy": "plain",
    "SemanticTypeIri": "urn:effortless:pko-extension#FieldGrant",
    "Name": "principal-knowledge-authority -&gt; MessageDeliveries.AsOfInstant",
    "FieldTable": "MessageDeliveries",
    "FieldName": "AsOfInstant",
    "FieldIsDerived": true,
    "IsWritableDerivedField": false,
    "IsMasked": false,
    "GrantKeyWhenReadable": "principal-knowledge-authority|MessageDeliveries"
   },
   {
    "FieldGrantId": "fg-knowledge-authority-MessageDeliveries.AgeDays",
    "Principal": "principal-knowledge-authority",
    "TargetField": "MessageDeliveries.AgeDays",
    "CanRead": true,
    "CanWrite": false,
    "MaskStrategy": "plain",
    "SemanticTypeIri": "urn:effortless:pko-extension#FieldGrant",
    "Name": "principal-knowledge-authority -&gt; MessageDeliveries.AgeDays",
    "FieldTable": "MessageDeliveries",
    "FieldName": "AgeDays",
    "FieldIsDerived": true,
    "IsWritableDerivedField": false,
    "IsMasked": false,
    "GrantKeyWhenReadable": "principal-knowledge-authority|MessageDeliveries"
   },
   {
    "FieldGrantId": "fg-knowledge-authority-MessageDeliveries.IsWithinRetentionWindow",
    "Principal": "principal-knowledge-authority",
    "TargetField": "MessageDeliveries.IsWithinRetentionWindow",
    "CanRead": true,
    "CanWrite": false,
    "MaskStrategy": "plain",
    "SemanticTypeIri": "urn:effortless:pko-extension#FieldGrant",
    "Name": "principal-knowledge-authority -&gt; MessageDeliveries.IsWithinRetentionWindow",
    "FieldTable": "MessageDeliveries",
    "FieldName": "IsWithinRetentionWindow",
    "FieldIsDerived": true,
    "IsWritableDerivedField": false,
    "IsMasked": false,
    "GrantKeyWhenReadable": "principal-knowledge-authority|MessageDeliveries"
   },
   {
    "FieldGrantId": "fg-knowledge-authority-MessageDeliveries.HasRenderedBody",
    "Principal": "principal-knowledge-authority",
    "TargetField": "MessageDeliveries.HasRenderedBody",
    "CanRead": true,
    "CanWrite": false,
    "MaskStrategy": "plain",
    "SemanticTypeIri": "urn:effortless:pko-extension#FieldGrant",
    "Name": "principal-knowledge-authority -&gt; MessageDeliveries.HasRenderedBody",
    "FieldTable": "MessageDeliveries",
    "FieldName": "HasRenderedBody",
    "FieldIsDerived": true,
    "IsWritableDerivedField": false,
    "IsMasked": false,
    "GrantKeyWhenReadable": "principal-knowledge-authority|MessageDeliveries"
   },
   {
    "FieldGrantId": "fg-knowledge-authority-MessageDeliveries.IsEvidenceRequired",
    "Principal": "principal-knowledge-authority",
    "TargetField": "MessageDeliveries.IsEvidenceRequired",
    "CanRead": true,
    "CanWrite": false,
    "MaskStrategy": "plain",
    "SemanticTypeIri": "urn:effortless:pko-extension#FieldGrant",
    "Name": "principal-knowledge-authority -&gt; MessageDeliveries.IsEvidenceRequired",
    "FieldTable": "MessageDeliveries",
    "FieldName": "IsEvidenceRequired",
    "FieldIsDerived": true,
    "IsWritableDerivedField": false,
    "IsMasked": false,
    "GrantKeyWhenReadable": "principal-knowledge-authority|MessageDeliveries"
   },
   {
    "FieldGrantId": "fg-knowledge-authority-MessageDeliveries.IsRetentionBreach",
    "Principal": "principal-knowledge-authority",
    "TargetField": "MessageDeliveries.IsRetentionBreach",
    "CanRead": true,
    "CanWrite": false,
    "MaskStrategy": "plain",
    "SemanticTypeIri": "urn:effortless:pko-extension#FieldGrant",
    "Name": "principal-knowledge-authority -&gt; MessageDeliveries.IsRetentionBreach",
    "FieldTable": "MessageDeliveries",
    "FieldName": "IsRetentionBreach",
    "FieldIsDerived": true,
    "IsWritableDerivedField": false,
    "IsMasked": false,
    "GrantKeyWhenReadable": "principal-knowledge-authority|MessageDeliveries"
   },
   {
    "FieldGrantId": "fg-knowledge-authority-MessageDeliveries.RetentionBreachExecutionKey",
    "Principal": "principal-knowledge-authority",
    "TargetField": "MessageDeliveries.RetentionBreachExecutionKey",
    "CanRead": true,
    "CanWrite": false,
    "MaskStrategy": "plain",
    "SemanticTypeIri": "urn:effortless:pko-extension#FieldGrant",
    "Name": "principal-knowledge-authority -&gt; MessageDeliveries.RetentionBreachExecutionKey",
    "FieldTable": "MessageDeliveries",
    "FieldName": "RetentionBreachExecutionKey",
    "FieldIsDerived": true,
    "IsWritableDerivedField": false,
    "IsMasked": false,
    "GrantKeyWhenReadable": "principal-knowledge-authority|MessageDeliveries"
   },
   {
    "FieldGrantId": "fg-knowledge-authority-MessageDeliveries.SendingStepExecutionStep",
    "Principal": "principal-knowledge-authority",
    "TargetField": "MessageDeliveries.SendingStepExecutionStep",
    "CanRead": true,
    "CanWrite": false,
    "MaskStrategy": "plain",
    "SemanticTypeIri": "urn:effortless:pko-extension#FieldGrant",
    "Name": "principal-knowledge-authority -&gt; MessageDeliveries.SendingStepExecutionStep",
    "FieldTable": "MessageDeliveries",
    "FieldName": "SendingStepExecutionStep",
    "FieldIsDerived": true,
    "IsWritableDerivedField": false,
    "IsMasked": false,
    "GrantKeyWhenReadable": "principal-knowledge-authority|MessageDeliveries"
   },
   {
    "FieldGrantId": "fg-knowledge-authority-MessageDeliveries.ExecutionHasClearedLegalReview",
    "Principal": "principal-knowledge-authority",
    "TargetField": "MessageDeliveries.ExecutionHasClearedLegalReview",
    "CanRead": true,
    "CanWrite": false,
    "MaskStrategy": "plain",
    "SemanticTypeIri": "urn:effortless:pko-extension#FieldGrant",
    "Name": "principal-knowledge-authority -&gt; MessageDeliveries.ExecutionHasClearedLegalReview",
    "FieldTable": "MessageDeliveries",
    "FieldName": "ExecutionHasClearedLegalReview",
    "FieldIsDerived": true,
    "IsWritableDerivedField": false,
    "IsMasked": false,
    "GrantKeyWhenReadable": "principal-knowledge-authority|MessageDeliveries"
   },
   {
    "FieldGrantId": "fg-knowledge-authority-MessageDeliveries.IsUnreviewedSend",
    "Principal": "principal-knowledge-authority",
    "TargetField": "MessageDeliveries.IsUnreviewedSend",
    "CanRead": true,
    "CanWrite": false,
    "MaskStrategy": "plain",
    "SemanticTypeIri": "urn:effortless:pko-extension#FieldGrant",
    "Name": "principal-knowledge-authority -&gt; MessageDeliveries.IsUnreviewedSend",
    "FieldTable": "MessageDeliveries",
    "FieldName": "IsUnreviewedSend",
    "FieldIsDerived": true,
    "IsWritableDerivedField": false,
    "IsMasked": false,
    "GrantKeyWhenReadable": "principal-knowledge-authority|MessageDeliveries"
   },
   {
    "FieldGrantId": "fg-knowledge-authority-MessageDeliveries.RenderedBodyLength",
    "Principal": "principal-knowledge-authority",
    "TargetField": "MessageDeliveries.RenderedBodyLength",
    "CanRead": true,
    "CanWrite": false,
    "MaskStrategy": "plain",
    "SemanticTypeIri": "urn:effortless:pko-extension#FieldGrant",
    "Name": "principal-knowledge-authority -&gt; MessageDeliveries.RenderedBodyLength",
    "FieldTable": "MessageDeliveries",
    "FieldName": "RenderedBodyLength",
    "FieldIsDerived": true,
    "IsWritableDerivedField": false,
    "IsMasked": false,
    "GrantKeyWhenReadable": "principal-knowledge-authority|MessageDeliveries"
   },
   {
    "FieldGrantId": "fg-knowledge-authority-MessageDeliveries.PolicyMaxMessageLengthAtSend",
    "Principal": "principal-knowledge-authority",
    "TargetField": "MessageDeliveries.PolicyMaxMessageLengthAtSend",
    "CanRead": true,
    "CanWrite": false,
    "MaskStrategy": "plain",
    "SemanticTypeIri": "urn:effortless:pko-extension#FieldGrant",
    "Name": "principal-knowledge-authority -&gt; MessageDeliveries.PolicyMaxMessageLengthAtSend",
    "FieldTable": "MessageDeliveries",
    "FieldName": "PolicyMaxMessageLengthAtSend",
    "FieldIsDerived": true,
    "IsWritableDerivedField": false,
    "IsMasked": false,
    "GrantKeyWhenReadable": "principal-knowledge-authority|MessageDeliveries"
   },
   {
    "FieldGrantId": "fg-knowledge-authority-MessageDeliveries.SegmentCount",
    "Principal": "principal-knowledge-authority",
    "TargetField": "MessageDeliveries.SegmentCount",
    "CanRead": true,
    "CanWrite": false,
    "MaskStrategy": "plain",
    "SemanticTypeIri": "urn:effortless:pko-extension#FieldGrant",
    "Name": "principal-knowledge-authority -&gt; MessageDeliveries.SegmentCount",
    "FieldTable": "MessageDeliveries",
    "FieldName": "SegmentCount",
    "FieldIsDerived": true,
    "IsWritableDerivedField": false,
    "IsMasked": false,
    "GrantKeyWhenReadable": "principal-knowledge-authority|MessageDeliveries"
   },
   {
    "FieldGrantId": "fg-knowledge-authority-MessageDeliveries.PolicyMaxSegmentsAtSend",
    "Principal": "principal-knowledge-authority",
    "TargetField": "MessageDeliveries.PolicyMaxSegmentsAtSend",
    "CanRead": true,
    "CanWrite": false,
    "MaskStrategy": "plain",
    "SemanticTypeIri": "urn:effortless:pko-extension#FieldGrant",
    "Name": "principal-knowledge-authority -&gt; MessageDeliveries.PolicyMaxSegmentsAtSend",
    "FieldTable": "MessageDeliveries",
    "FieldName": "PolicyMaxSegmentsAtSend",
    "FieldIsDerived": true,
    "IsWritableDerivedField": false,
    "IsMasked": false,
    "GrantKeyWhenReadable": "principal-knowledge-authority|MessageDeliveries"
   },
   {
    "FieldGrantId": "fg-knowledge-authority-MessageDeliveries.IsOverSegmentLimit",
    "Principal": "principal-knowledge-authority",
    "TargetField": "MessageDeliveries.IsOverSegmentLimit",
    "CanRead": true,
    "CanWrite": false,
    "MaskStrategy": "plain",
    "SemanticTypeIri": "urn:effortless:pko-extension#FieldGrant",
    "Name": "principal-knowledge-authority -&gt; MessageDeliveries.IsOverSegmentLimit",
    "FieldTable": "MessageDeliveries",
    "FieldName": "IsOverSegmentLimit",
    "FieldIsDerived": true,
    "IsWritableDerivedField": false,
    "IsMasked": false,
    "GrantKeyWhenReadable": "principal-knowledge-authority|MessageDeliveries"
   },
   {
    "FieldGrantId": "fg-knowledge-authority-MessageDeliveries.TemplateHasValidApproval",
    "Principal": "principal-knowledge-authority",
    "TargetField": "MessageDeliveries.TemplateHasValidApproval",
    "CanRead": true,
    "CanWrite": false,
    "MaskStrategy": "plain",
    "SemanticTypeIri": "urn:effortless:pko-extension#FieldGrant",
    "Name": "principal-knowledge-authority -&gt; MessageDeliveries.TemplateHasValidApproval",
    "FieldTable": "MessageDeliveries",
    "FieldName": "TemplateHasValidApproval",
    "FieldIsDerived": true,
    "IsWritableDerivedField": false,
    "IsMasked": false,
    "GrantKeyWhenReadable": "principal-knowledge-authority|MessageDeliveries"
   },
   {
    "FieldGrantId": "fg-knowledge-authority-MessageDeliveries.IsUnapprovedSend",
    "Principal": "principal-knowledge-authority",
    "TargetField": "MessageDeliveries.IsUnapprovedSend",
    "CanRead": true,
    "CanWrite": false,
    "MaskStrategy": "plain",
    "SemanticTypeIri": "urn:effortless:pko-extension#FieldGrant",
    "Name": "principal-knowledge-authority -&gt; MessageDeliveries.IsUnapprovedSend",
    "FieldTable": "MessageDeliveries",
    "FieldName": "IsUnapprovedSend",
    "FieldIsDerived": true,
    "IsWritableDerivedField": false,
    "IsMasked": false,
    "GrantKeyWhenReadable": "principal-knowledge-authority|MessageDeliveries"
   },
   {
    "FieldGrantId": "fg-knowledge-authority-MessageDeliveries.PolicyRequiredOptOutPhrase",
    "Principal": "principal-knowledge-authority",
    "TargetField": "MessageDeliveries.PolicyRequiredOptOutPhrase",
    "CanRead": true,
    "CanWrite": false,
    "MaskStrategy": "plain",
    "SemanticTypeIri": "urn:effortless:pko-extension#FieldGrant",
    "Name": "principal-knowledge-authority -&gt; MessageDeliveries.PolicyRequiredOptOutPhrase",
    "FieldTable": "MessageDeliveries",
    "FieldName": "PolicyRequiredOptOutPhrase",
    "FieldIsDerived": true,
    "IsWritableDerivedField": false,
    "IsMasked": false,
    "GrantKeyWhenReadable": "principal-knowledge-authority|MessageDeliveries"
   },
   {
    "FieldGrantId": "fg-knowledge-authority-MessageDeliveries.PolicyRequiresOptOut",
    "Principal": "principal-knowledge-authority",
    "TargetField": "MessageDeliveries.PolicyRequiresOptOut",
    "CanRead": true,
    "CanWrite": false,
    "MaskStrategy": "plain",
    "SemanticTypeIri": "urn:effortless:pko-extension#FieldGrant",
    "Name": "principal-knowledge-authority -&gt; MessageDeliveries.PolicyRequiresOptOut",
    "FieldTable": "MessageDeliveries",
    "FieldName": "PolicyRequiresOptOut",
    "FieldIsDerived": true,
    "IsWritableDerivedField": false,
    "IsMasked": false,
    "GrantKeyWhenReadable": "principal-knowledge-authority|MessageDeliveries"
   },
   {
    "FieldGrantId": "fg-knowledge-authority-MessageDeliveries.OptOutPhrasePosition",
    "Principal": "principal-knowledge-authority",
    "TargetField": "MessageDeliveries.OptOutPhrasePosition",
    "CanRead": true,
    "CanWrite": false,
    "MaskStrategy": "plain",
    "SemanticTypeIri": "urn:effortless:pko-extension#FieldGrant",
    "Name": "principal-knowledge-authority -&gt; MessageDeliveries.OptOutPhrasePosition",
    "FieldTable": "MessageDeliveries",
    "FieldName": "OptOutPhrasePosition",
    "FieldIsDerived": true,
    "IsWritableDerivedField": false,
    "IsMasked": false,
    "GrantKeyWhenReadable": "principal-knowledge-authority|MessageDeliveries"
   },
   {
    "FieldGrantId": "fg-knowledge-authority-MessageDeliveries.HasOptOutPhrase",
    "Principal": "principal-knowledge-authority",
    "TargetField": "MessageDeliveries.HasOptOutPhrase",
    "CanRead": true,
    "CanWrite": false,
    "MaskStrategy": "plain",
    "SemanticTypeIri": "urn:effortless:pko-extension#FieldGrant",
    "Name": "principal-knowledge-authority -&gt; MessageDeliveries.HasOptOutPhrase",
    "FieldTable": "MessageDeliveries",
    "FieldName": "HasOptOutPhrase",
    "FieldIsDerived": true,
    "IsWritableDerivedField": false,
    "IsMasked": false,
    "GrantKeyWhenReadable": "principal-knowledge-authority|MessageDeliveries"
   },
   {
    "FieldGrantId": "fg-knowledge-authority-MessageDeliveries.IsOptOutInFirstSegment",
    "Principal": "principal-knowledge-authority",
    "TargetField": "MessageDeliveries.IsOptOutInFirstSegment",
    "CanRead": true,
    "CanWrite": false,
    "MaskStrategy": "plain",
    "SemanticTypeIri": "urn:effortless:pko-extension#FieldGrant",
    "Name": "principal-knowledge-authority -&gt; MessageDeliveries.IsOptOutInFirstSegment",
    "FieldTable": "MessageDeliveries",
    "FieldName": "IsOptOutInFirstSegment",
    "FieldIsDerived": true,
    "IsWritableDerivedField": false,
    "IsMasked": false,
    "GrantKeyWhenReadable": "principal-knowledge-authority|MessageDeliveries"
   },
   {
    "FieldGrantId": "fg-knowledge-authority-MessageDeliveries.IsMissingRequiredOptOut",
    "Principal": "principal-knowledge-authority",
    "TargetField": "MessageDeliveries.IsMissingRequiredOptOut",
    "CanRead": true,
    "CanWrite": false,
    "MaskStrategy": "plain",
    "SemanticTypeIri": "urn:effortless:pko-extension#FieldGrant",
    "Name": "principal-knowledge-authority -&gt; MessageDeliveries.IsMissingRequiredOptOut",
    "FieldTable": "MessageDeliveries",
    "FieldName": "IsMissingRequiredOptOut",
    "FieldIsDerived": true,
    "IsWritableDerivedField": false,
    "IsMasked": false,
    "GrantKeyWhenReadable": "principal-knowledge-authority|MessageDeliveries"
   },
   {
    "FieldGrantId": "fg-knowledge-authority-MessageDeliveries.IsOptOutAtRiskOfTruncation",
    "Principal": "principal-knowledge-authority",
    "TargetField": "MessageDeliveries.IsOptOutAtRiskOfTruncation",
    "CanRead": true,
    "CanWrite": false,
    "MaskStrategy": "plain",
    "SemanticTypeIri": "urn:effortless:pko-extension#FieldGrant",
    "Name": "principal-knowledge-authority -&gt; MessageDeliveries.IsOptOutAtRiskOfTruncation",
    "FieldTable": "MessageDeliveries",
    "FieldName": "IsOptOutAtRiskOfTruncation",
    "FieldIsDerived": true,
    "IsWritableDerivedField": false,
    "IsMasked": false,
    "GrantKeyWhenReadable": "principal-knowledge-authority|MessageDeliveries"
   },
   {
    "FieldGrantId": "fg-knowledge-authority-MessageDeliveries.IsFailedDelivery",
    "Principal": "principal-knowledge-authority",
    "TargetField": "MessageDeliveries.IsFailedDelivery",
    "CanRead": true,
    "CanWrite": false,
    "MaskStrategy": "plain",
    "SemanticTypeIri": "urn:effortless:pko-extension#FieldGrant",
    "Name": "principal-knowledge-authority -&gt; MessageDeliveries.IsFailedDelivery",
    "FieldTable": "MessageDeliveries",
    "FieldName": "IsFailedDelivery",
    "FieldIsDerived": true,
    "IsWritableDerivedField": false,
    "IsMasked": false,
    "GrantKeyWhenReadable": "principal-knowledge-authority|MessageDeliveries"
   },
   {
    "FieldGrantId": "fg-knowledge-authority-MessageDeliveries.IsSuppressed",
    "Principal": "principal-knowledge-authority",
    "TargetField": "MessageDeliveries.IsSuppressed",
    "CanRead": true,
    "CanWrite": false,
    "MaskStrategy": "plain",
    "SemanticTypeIri": "urn:effortless:pko-extension#FieldGrant",
    "Name": "principal-knowledge-authority -&gt; MessageDeliveries.IsSuppressed",
    "FieldTable": "MessageDeliveries",
    "FieldName": "IsSuppressed",
    "FieldIsDerived": true,
    "IsWritableDerivedField": false,
    "IsMasked": false,
    "GrantKeyWhenReadable": "principal-knowledge-authority|MessageDeliveries"
   },
   {
    "FieldGrantId": "fg-knowledge-authority-MessageDeliveries.IsTriaged",
    "Principal": "principal-knowledge-authority",
    "TargetField": "MessageDeliveries.IsTriaged",
    "CanRead": true,
    "CanWrite": false,
    "MaskStrategy": "plain",
    "SemanticTypeIri": "urn:effortless:pko-extension#FieldGrant",
    "Name": "principal-knowledge-authority -&gt; MessageDeliveries.IsTriaged",
    "FieldTable": "MessageDeliveries",
    "FieldName": "IsTriaged",
    "FieldIsDerived": true,
    "IsWritableDerivedField": false,
    "IsMasked": false,
    "GrantKeyWhenReadable": "principal-knowledge-authority|MessageDeliveries"
   },
   {
    "FieldGrantId": "fg-knowledge-authority-MessageDeliveries.IsAbandonedFailure",
    "Principal": "principal-knowledge-authority",
    "TargetField": "MessageDeliveries.IsAbandonedFailure",
    "CanRead": true,
    "CanWrite": false,
    "MaskStrategy": "plain",
    "SemanticTypeIri": "urn:effortless:pko-extension#FieldGrant",
    "Name": "principal-knowledge-authority -&gt; MessageDeliveries.IsAbandonedFailure",
    "FieldTable": "MessageDeliveries",
    "FieldName": "IsAbandonedFailure",
    "FieldIsDerived": true,
    "IsWritableDerivedField": false,
    "IsMasked": false,
    "GrantKeyWhenReadable": "principal-knowledge-authority|MessageDeliveries"
   },
   {
    "FieldGrantId": "fg-knowledge-authority-MessageDeliveries.AbandonedFailureExecutionKey",
    "Principal": "principal-knowledge-authority",
    "TargetField": "MessageDeliveries.AbandonedFailureExecutionKey",
    "CanRead": true,
    "CanWrite": false,
    "MaskStrategy": "plain",
    "SemanticTypeIri": "urn:effortless:pko-extension#FieldGrant",
    "Name": "principal-knowledge-authority -&gt; MessageDeliveries.AbandonedFailureExecutionKey",
    "FieldTable": "Message</t>
  </si>
  <si>
    <t xml:space="preserve">Deliveries",
    "FieldName": "AbandonedFailureExecutionKey",
    "FieldIsDerived": true,
    "IsWritableDerivedField": false,
    "IsMasked": false,
    "GrantKeyWhenReadable": "principal-knowledge-authority|MessageDeliveries"
   },
   {
    "FieldGrantId": "fg-knowledge-authority-MessageDeliveries.ReachedExecutionKey",
    "Principal": "principal-knowledge-authority",
    "TargetField": "MessageDeliveries.ReachedExecutionKey",
    "CanRead": true,
    "CanWrite": false,
    "MaskStrategy": "plain",
    "SemanticTypeIri": "urn:effortless:pko-extension#FieldGrant",
    "Name": "principal-knowledge-authority -&gt; MessageDeliveries.ReachedExecutionKey",
    "FieldTable": "MessageDeliveries",
    "FieldName": "ReachedExecutionKey",
    "FieldIsDerived": true,
    "IsWritableDerivedField": false,
    "IsMasked": false,
    "GrantKeyWhenReadable": "principal-knowledge-authority|MessageDeliveries"
   },
   {
    "FieldGrantId": "fg-knowledge-authority-MessageDeliveries.TemplateWasSendable",
    "Principal": "principal-knowledge-authority",
    "TargetField": "MessageDeliveries.TemplateWasSendable",
    "CanRead": true,
    "CanWrite": false,
    "MaskStrategy": "plain",
    "SemanticTypeIri": "urn:effortless:pko-extension#FieldGrant",
    "Name": "principal-knowledge-authority -&gt; MessageDeliveries.TemplateWasSendable",
    "FieldTable": "MessageDeliveries",
    "FieldName": "TemplateWasSendable",
    "FieldIsDerived": true,
    "IsWritableDerivedField": false,
    "IsMasked": false,
    "GrantKeyWhenReadable": "principal-knowledge-authority|MessageDeliveries"
   },
   {
    "FieldGrantId": "fg-knowledge-authority-MessageDeliveries.IsDriftedSend",
    "Principal": "principal-knowledge-authority",
    "TargetField": "MessageDeliveries.IsDriftedSend",
    "CanRead": true,
    "CanWrite": false,
    "MaskStrategy": "plain",
    "SemanticTypeIri": "urn:effortless:pko-extension#FieldGrant",
    "Name": "principal-knowledge-authority -&gt; MessageDeliveries.IsDriftedSend",
    "FieldTable": "MessageDeliveries",
    "FieldName": "IsDriftedSend",
    "FieldIsDerived": true,
    "IsWritableDerivedField": false,
    "IsMasked": false,
    "GrantKeyWhenReadable": "principal-knowledge-authority|MessageDeliveries"
   },
   {
    "FieldGrantId": "fg-knowledge-authority-MessageDeliveries.DriftedSendTemplateKey",
    "Principal": "principal-knowledge-authority",
    "TargetField": "MessageDeliveries.DriftedSendTemplateKey",
    "CanRead": true,
    "CanWrite": false,
    "MaskStrategy": "plain",
    "SemanticTypeIri": "urn:effortless:pko-extension#FieldGrant",
    "Name": "principal-knowledge-authority -&gt; MessageDeliveries.DriftedSendTemplateKey",
    "FieldTable": "MessageDeliveries",
    "FieldName": "DriftedSendTemplateKey",
    "FieldIsDerived": true,
    "IsWritableDerivedField": false,
    "IsMasked": false,
    "GrantKeyWhenReadable": "principal-knowledge-authority|MessageDeliveries"
   },
   {
    "FieldGrantId": "fg-knowledge-authority-MessageDeliveries.WasSentOutsideBusinessHours",
    "Principal": "principal-knowledge-authority",
    "TargetField": "MessageDeliveries.WasSentOutsideBusinessHours",
    "CanRead": true,
    "CanWrite": false,
    "MaskStrategy": "plain",
    "SemanticTypeIri": "urn:effortless:pko-extension#FieldGrant",
    "Name": "principal-knowledge-authority -&gt; MessageDeliveries.WasSentOutsideBusinessHours",
    "FieldTable": "MessageDeliveries",
    "FieldName": "WasSentOutsideBusinessHours",
    "FieldIsDerived": true,
    "IsWritableDerivedField": false,
    "IsMasked": false,
    "GrantKeyWhenReadable": "principal-knowledge-authority|MessageDeliveries"
   },
   {
    "FieldGrantId": "fg-knowledge-authority-MessageDeliveries.WasDeliveredAndUnanswered",
    "Principal": "principal-knowledge-authority",
    "TargetField": "MessageDeliveries.WasDeliveredAndUnanswered",
    "CanRead": true,
    "CanWrite": false,
    "MaskStrategy": "plain",
    "SemanticTypeIri": "urn:effortless:pko-extension#FieldGrant",
    "Name": "principal-knowledge-authority -&gt; MessageDeliveries.WasDeliveredAndUnanswered",
    "FieldTable": "MessageDeliveries",
    "FieldName": "WasDeliveredAndUnanswered",
    "FieldIsDerived": true,
    "IsWritableDerivedField": false,
    "IsMasked": false,
    "GrantKeyWhenReadable": "principal-knowledge-authority|MessageDeliveries"
   },
   {
    "FieldGrantId": "fg-knowledge-authority-MessageDeliveries.IsPoorlyTimedUnanswered",
    "Principal": "principal-knowledge-authority",
    "TargetField": "MessageDeliveries.IsPoorlyTimedUnanswered",
    "CanRead": true,
    "CanWrite": false,
    "MaskStrategy": "plain",
    "SemanticTypeIri": "urn:effortless:pko-extension#FieldGrant",
    "Name": "principal-knowledge-authority -&gt; MessageDeliveries.IsPoorlyTimedUnanswered",
    "FieldTable": "MessageDeliveries",
    "FieldName": "IsPoorlyTimedUnanswered",
    "FieldIsDerived": true,
    "IsWritableDerivedField": false,
    "IsMasked": false,
    "GrantKeyWhenReadable": "principal-knowledge-authority|MessageDeliveries"
   },
   {
    "FieldGrantId": "fg-knowledge-authority-MessageDeliveries.IsWellTimedUnanswered",
    "Principal": "principal-knowledge-authority",
    "TargetField": "MessageDeliveries.IsWellTimedUnanswered",
    "CanRead": true,
    "CanWrite": false,
    "MaskStrategy": "plain",
    "SemanticTypeIri": "urn:effortless:pko-extension#FieldGrant",
    "Name": "principal-knowledge-authority -&gt; MessageDeliveries.IsWellTimedUnanswered",
    "FieldTable": "MessageDeliveries",
    "FieldName": "IsWellTimedUnanswered",
    "FieldIsDerived": true,
    "IsWritableDerivedField": false,
    "IsMasked": false,
    "GrantKeyWhenReadable": "principal-knowledge-authority|MessageDeliveries"
   },
   {
    "FieldGrantId": "fg-knowledge-authority-MessageDeliveries.UnansweredTemplateKey",
    "Principal": "principal-knowledge-authority",
    "TargetField": "MessageDeliveries.UnansweredTemplateKey",
    "CanRead": true,
    "CanWrite": false,
    "MaskStrategy": "plain",
    "SemanticTypeIri": "urn:effortless:pko-extension#FieldGrant",
    "Name": "principal-knowledge-authority -&gt; MessageDeliveries.UnansweredTemplateKey",
    "FieldTable": "MessageDeliveries",
    "FieldName": "UnansweredTemplateKey",
    "FieldIsDerived": true,
    "IsWritableDerivedField": false,
    "IsMasked": false,
    "GrantKeyWhenReadable": "principal-knowledge-authority|MessageDeliveries"
   },
   {
    "FieldGrantId": "fg-knowledge-authority-MessageDeliveries.TransmittedTemplateKey",
    "Principal": "principal-knowledge-authority",
    "TargetField": "MessageDeliveries.TransmittedTemplateKey",
    "CanRead": true,
    "CanWrite": false,
    "MaskStrategy": "plain",
    "SemanticTypeIri": "urn:effortless:pko-extension#FieldGrant",
    "Name": "principal-knowledge-authority -&gt; MessageDeliveries.TransmittedTemplateKey",
    "FieldTable": "MessageDeliveries",
    "FieldName": "TransmittedTemplateKey",
    "FieldIsDerived": true,
    "IsWritableDerivedField": false,
    "IsMasked": false,
    "GrantKeyWhenReadable": "principal-knowledge-authority|MessageDeliveries"
   },
   {
    "FieldGrantId": "fg-knowledge-authority-MessageDeliveries.ApprovingAgentAtSend",
    "Principal": "principal-knowledge-authority",
    "TargetField": "MessageDeliveries.ApprovingAgentAtSend",
    "CanRead": true,
    "CanWrite": false,
    "MaskStrategy": "plain",
    "SemanticTypeIri": "urn:effortless:pko-extension#FieldGrant",
    "Name": "principal-knowledge-authority -&gt; MessageDeliveries.ApprovingAgentAtSend",
    "FieldTable": "MessageDeliveries",
    "FieldName": "ApprovingAgentAtSend",
    "FieldIsDerived": false,
    "IsWritableDerivedField": false,
    "IsMasked": false,
    "GrantKeyWhenReadable": "principal-knowledge-authority|MessageDeliveries"
   },
   {
    "FieldGrantId": "fg-knowledge-authority-MessageDeliveries.ApprovingRoleAtSend",
    "Principal": "principal-knowledge-authority",
    "TargetField": "MessageDeliveries.ApprovingRoleAtSend",
    "CanRead": true,
    "CanWrite": false,
    "MaskStrategy": "plain",
    "SemanticTypeIri": "urn:effortless:pko-extension#FieldGrant",
    "Name": "principal-knowledge-authority -&gt; MessageDeliveries.ApprovingRoleAtSend",
    "FieldTable": "MessageDeliveries",
    "FieldName": "ApprovingRoleAtSend",
    "FieldIsDerived": false,
    "IsWritableDerivedField": false,
    "IsMasked": false,
    "GrantKeyWhenReadable": "principal-knowledge-authority|MessageDeliveries"
   },
   {
    "FieldGrantId": "fg-knowledge-authority-MessageDeliveries.ApprovalDecidedAtSend",
    "Principal": "principal-knowledge-authority",
    "TargetField": "MessageDeliveries.ApprovalDecidedAtSend",
    "CanRead": true,
    "CanWrite": false,
    "MaskStrategy": "plain",
    "SemanticTypeIri": "urn:effortless:pko-extension#FieldGrant",
    "Name": "principal-knowledge-authority -&gt; MessageDeliveries.ApprovalDecidedAtSend",
    "FieldTable": "MessageDeliveries",
    "FieldName": "ApprovalDecidedAtSend",
    "FieldIsDerived": false,
    "IsWritableDerivedField": false,
    "IsMasked": false,
    "GrantKeyWhenReadable": "principal-knowledge-authority|MessageDeliveries"
   },
   {
    "FieldGrantId": "fg-knowledge-authority-MessageDeliveries.ApprovalPrecededSend",
    "Principal": "principal-knowledge-authority",
    "TargetField": "MessageDeliveries.ApprovalPrecededSend",
    "CanRead": true,
    "CanWrite": false,
    "MaskStrategy": "plain",
    "SemanticTypeIri": "urn:effortless:pko-extension#FieldGrant",
    "Name": "principal-knowledge-authority -&gt; MessageDeliveries.ApprovalPrecededSend",
    "FieldTable": "MessageDeliveries",
    "FieldName": "ApprovalPrecededSend",
    "FieldIsDerived": true,
    "IsWritableDerivedField": false,
    "IsMasked": false,
    "GrantKeyWhenReadable": "principal-knowledge-authority|MessageDeliveries"
   },
   {
    "FieldGrantId": "fg-knowledge-authority-MessageDeliveries.HasFrozenApprovalEvidence",
    "Principal": "principal-knowledge-authority",
    "TargetField": "MessageDeliveries.HasFrozenApprovalEvidence",
    "CanRead": true,
    "CanWrite": false,
    "MaskStrategy": "plain",
    "SemanticTypeIri": "urn:effortless:pko-extension#FieldGrant",
    "Name": "principal-knowledge-authority -&gt; MessageDeliveries.HasFrozenApprovalEvidence",
    "FieldTable": "MessageDeliveries",
    "FieldName": "HasFrozenApprovalEvidence",
    "FieldIsDerived": true,
    "IsWritableDerivedField": false,
    "IsMasked": false,
    "GrantKeyWhenReadable": "principal-knowledge-authority|MessageDeliveries"
   },
   {
    "FieldGrantId": "fg-knowledge-authority-MessageDeliveries.ProvenanceIsLiveDerived",
    "Principal": "principal-knowledge-authority",
    "TargetField": "MessageDeliveries.ProvenanceIsLiveDerived",
    "CanRead": true,
    "CanWrite": false,
    "MaskStrategy": "plain",
    "SemanticTypeIri": "urn:effortless:pko-extension#FieldGrant",
    "Name": "principal-knowledge-authority -&gt; MessageDeliveries.ProvenanceIsLiveDerived",
    "FieldTable": "MessageDeliveries",
    "FieldName": "ProvenanceIsLiveDerived",
    "FieldIsDerived": true,
    "IsWritableDerivedField": false,
    "IsMasked": false,
    "GrantKeyWhenReadable": "principal-knowledge-authority|MessageDeliveries"
   },
   {
    "FieldGrantId": "fg-knowledge-authority-MessageDeliveries.CurrentLastApprovalAt",
    "Principal": "principal-knowledge-authority",
    "TargetField": "MessageDeliveries.CurrentLastApprovalAt",
    "CanRead": true,
    "CanWrite": false,
    "MaskStrategy": "plain",
    "SemanticTypeIri": "urn:effortless:pko-extension#FieldGrant",
    "Name": "principal-knowledge-authority -&gt; MessageDeliveries.CurrentLastApprovalAt",
    "FieldTable": "MessageDeliveries",
    "FieldName": "CurrentLastApprovalAt",
    "FieldIsDerived": true,
    "IsWritableDerivedField": false,
    "IsMasked": false,
    "GrantKeyWhenReadable": "principal-knowledge-authority|MessageDeliveries"
   },
   {
    "FieldGrantId": "fg-knowledge-authority-MessageDeliveries.TemplateReapprovedSinceSend",
    "Principal": "principal-knowledge-authority",
    "TargetField": "MessageDeliveries.TemplateReapprovedSinceSend",
    "CanRead": true,
    "CanWrite": false,
    "MaskStrategy": "plain",
    "SemanticTypeIri": "urn:effortless:pko-extension#FieldGrant",
    "Name": "principal-knowledge-authority -&gt; MessageDeliveries.TemplateReapprovedSinceSend",
    "FieldTable": "MessageDeliveries",
    "FieldName": "TemplateReapprovedSinceSend",
    "FieldIsDerived": true,
    "IsWritableDerivedField": false,
    "IsMasked": false,
    "GrantKeyWhenReadable": "principal-knowledge-authority|MessageDeliveries"
   },
   {
    "FieldGrantId": "fg-knowledge-authority-MessageDeliveries.IsUnprovableApprovalClaim",
    "Principal": "principal-knowledge-authority",
    "TargetField": "MessageDeliveries.IsUnprovableApprovalClaim",
    "CanRead": true,
    "CanWrite": false,
    "MaskStrategy": "plain",
    "SemanticTypeIri": "urn:effortless:pko-extension#FieldGrant",
    "Name": "principal-knowledge-authority -&gt; MessageDeliveries.IsUnprovableApprovalClaim",
    "FieldTable": "MessageDeliveries",
    "FieldName": "IsUnprovableApprovalClaim",
    "FieldIsDerived": true,
    "IsWritableDerivedField": false,
    "IsMasked": false,
    "GrantKeyWhenReadable": "principal-knowledge-authority|MessageDeliveries"
   },
   {
    "FieldGrantId": "fg-knowledge-authority-MessageDeliveries.ReminderSentAt",
    "Principal": "principal-knowledge-authority",
    "TargetField": "MessageDeliveries.ReminderSentAt",
    "CanRead": true,
    "CanWrite": false,
    "MaskStrategy": "plain",
    "SemanticTypeIri": "urn:effortless:pko-extension#FieldGrant",
    "Name": "principal-knowledge-authority -&gt; MessageDeliveries.ReminderSentAt",
    "FieldTable": "MessageDeliveries",
    "FieldName": "ReminderSentAt",
    "FieldIsDerived": false,
    "IsWritableDerivedField": false,
    "IsMasked": false,
    "GrantKeyWhenReadable": "principal-knowledge-authority|MessageDeliveries"
   },
   {
    "FieldGrantId": "fg-knowledge-authority-MessageDeliveries.ReminderCount",
    "Principal": "principal-knowledge-authority",
    "TargetField": "MessageDeliveries.ReminderCount",
    "CanRead": true,
    "CanWrite": false,
    "MaskStrategy": "plain",
    "SemanticTypeIri": "urn:effortless:pko-extension#FieldGrant",
    "Name": "principal-knowledge-authority -&gt; MessageDeliveries.ReminderCount",
    "FieldTable": "MessageDeliveries",
    "FieldName": "ReminderCount",
    "FieldIsDerived": false,
    "IsWritableDerivedField": false,
    "IsMasked": false,
    "GrantKeyWhenReadable": "principal-knowledge-authority|MessageDeliveries"
   },
   {
    "FieldGrantId": "fg-knowledge-authority-MessageDeliveries.HasSentReminder",
    "Principal": "principal-knowledge-authority",
    "TargetField": "MessageDeliveries.HasSentReminder",
    "CanRead": true,
    "CanWrite": false,
    "MaskStrategy": "plain",
    "SemanticTypeIri": "urn:effortless:pko-extension#FieldGrant",
    "Name": "principal-knowledge-authority -&gt; MessageDeliveries.HasSentReminder",
    "FieldTable": "MessageDeliveries",
    "FieldName": "HasSentReminder",
    "FieldIsDerived": true,
    "IsWritableDerivedField": false,
    "IsMasked": false,
    "GrantKeyWhenReadable": "principal-knowledge-authority|MessageDeliveries"
   },
   {
    "FieldGrantId": "fg-knowledge-authority-MessageDeliveries.AcknowledgementIsOutstanding",
    "Principal": "principal-knowledge-authority",
    "TargetField": "MessageDeliveries.AcknowledgementIsOutstanding",
    "CanRead": true,
    "CanWrite": false,
    "MaskStrategy": "plain",
    "SemanticTypeIri": "urn:effortless:pko-extension#FieldGrant",
    "Name": "principal-knowledge-authority -&gt; MessageDeliveries.AcknowledgementIsOutstanding",
    "FieldTable": "MessageDeliveries",
    "FieldName": "AcknowledgementIsOutstanding",
    "FieldIsDerived": true,
    "IsWritableDerivedField": false,
    "IsMasked": false,
    "GrantKeyWhenReadable": "principal-knowledge-authority|MessageDeliveries"
   },
   {
    "FieldGrantId": "fg-knowledge-authority-MessageDeliveries.OutstandingAgeDays",
    "Principal": "principal-knowledge-authority",
    "TargetField": "MessageDeliveries.OutstandingAgeDays",
    "CanRead": true,
    "CanWrite": false,
    "MaskStrategy": "plain",
    "SemanticTypeIri": "urn:effortless:pko-extension#FieldGrant",
    "Name": "principal-knowledge-authority -&gt; MessageDeliveries.OutstandingAgeDays",
    "FieldTable": "MessageDeliveries",
    "FieldName": "OutstandingAgeDays",
    "FieldIsDerived": true,
    "IsWritableDerivedField": false,
    "IsMasked": false,
    "GrantKeyWhenReadable": "principal-knowledge-authority|MessageDeliveries"
   },
   {
    "FieldGrantId": "fg-knowledge-authority-MessageDeliveries.IsUnchasedAcknowledgement",
    "Principal": "principal-knowledge-authority",
    "TargetField": "MessageDeliveries.IsUnchasedAcknowledgement",
    "CanRead": true,
    "CanWrite": false,
    "MaskStrategy": "plain",
    "SemanticTypeIri": "urn:effortless:pko-extension#FieldGrant",
    "Name": "principal-knowledge-authority -&gt; MessageDeliveries.IsUnchasedAcknowledgement",
    "FieldTable": "MessageDeliveries",
    "FieldName": "IsUnchasedAcknowledgement",
    "FieldIsDerived": true,
    "IsWritableDerivedField": false,
    "IsMasked": false,
    "GrantKeyWhenReadable": "principal-knowledge-authority|MessageDeliveries"
   },
   {
    "FieldGrantId": "fg-knowledge-authority-MessageDeliveries.IsExhaustedFollowUp",
    "Principal": "principal-knowledge-authority",
    "TargetField": "MessageDeliveries.IsExhaustedFollowUp",
    "CanRead": true,
    "CanWrite": false,
    "MaskStrategy": "plain",
    "SemanticTypeIri": "urn:effortless:pko-extension#FieldGrant",
    "Name": "principal-knowledge-authority -&gt; MessageDeliveries.IsExhaustedFollowUp",
    "FieldTable": "MessageDeliveries",
    "FieldName": "IsExhaustedFollowUp",
    "FieldIsDerived": true,
    "IsWritableDerivedField": false,
    "IsMasked": false,
    "GrantKeyWhenReadable": "principal-knowledge-authority|MessageDeliveries"
   },
   {
    "FieldGrantId": "fg-knowledge-authority-MessageDeliveries.NeedsHumanEscalation",
    "Principal": "principal-knowledge-authority",
    "TargetField": "MessageDeliveries.NeedsHumanEscalation",
    "CanRead": true,
    "CanWrite": false,
    "MaskStrategy": "plain",
    "SemanticTypeIri": "urn:effortless:pko-extension#FieldGrant",
    "Name": "principal-knowledge-authority -&gt; MessageDeliveries.NeedsHumanEscalation",
    "FieldTable": "MessageDeliveries",
    "FieldName": "NeedsHumanEscalation",
    "FieldIsDerived": true,
    "IsWritableDerivedField": false,
    "IsMasked": false,
    "GrantKeyWhenReadable": "principal-knowledge-authority|MessageDeliveries"
   },
   {
    "FieldGrantId": "fg-knowledge-authority-MessageDeliveries.SemanticTypeIri",
    "Principal": "principal-knowledge-authority",
    "TargetField": "MessageDeliveries.SemanticTypeIri",
    "CanRead": true,
    "CanWrite": false,
    "MaskStrategy": "plain",
    "SemanticTypeIri": "urn:effortless:pko-extension#FieldGrant",
    "Name": "principal-knowledge-authority -&gt; MessageDeliveries.SemanticTypeIri",
    "FieldTable": "MessageDeliveries",
    "FieldName": "SemanticTypeIri",
    "FieldIsDerived": false,
    "IsWritableDerivedField": false,
    "IsMasked": false,
    "GrantKeyWhenReadable": "principal-knowledge-authority|MessageDeliveries"
   },
   {
    "FieldGrantId": "fg-knowledge-authority-MessageTemplates.MessageTemplateId",
    "Principal": "principal-knowledge-authority",
    "TargetField": "MessageTemplates.MessageTemplateId",
    "CanRead": true,
    "CanWrite": false,
    "MaskStrategy": "plain",
    "SemanticTypeIri": "urn:effortless:pko-extension#FieldGrant",
    "Name": "principal-knowledge-authority -&gt; MessageTemplates.MessageTemplateId",
    "FieldTable": "MessageTemplates",
    "FieldName": "MessageTemplateId",
    "FieldIsDerived": false,
    "IsWritableDerivedField": false,
    "IsMasked": false,
    "GrantKeyWhenReadable": "principal-knowledge-authority|MessageTemplates"
   },
   {
    "FieldGrantId": "fg-knowledge-authority-MessageTemplates.Name",
    "Principal": "principal-knowledge-authority",
    "TargetField": "MessageTemplates.Name",
    "CanRead": true,
    "CanWrite": false,
    "MaskStrategy": "plain",
    "SemanticTypeIri": "urn:effortless:pko-extension#FieldGrant",
    "Name": "principal-knowledge-authority -&gt; MessageTemplates.Name",
    "FieldTable": "MessageTemplates",
    "FieldName": "Name",
    "FieldIsDerived": true,
    "IsWritableDerivedField": false,
    "IsMasked": false,
    "GrantKeyWhenReadable": "principal-knowledge-authority|MessageTemplates"
   },
   {
    "FieldGrantId": "fg-knowledge-authority-MessageTemplates.CommunicationPolicy",
    "Principal": "principal-knowledge-authority",
    "TargetField": "MessageTemplates.CommunicationPolicy",
    "CanRead": true,
    "CanWrite": false,
    "MaskStrategy": "plain",
    "SemanticTypeIri": "urn:effortless:pko-extension#FieldGrant",
    "Name": "principal-knowledge-authority -&gt; MessageTemplates.CommunicationPolicy",
    "FieldTable": "MessageTemplates",
    "FieldName": "CommunicationPolicy",
    "FieldIsDerived": false,
    "IsWritableDerivedField": false,
    "IsMasked": false,
    "GrantKeyWhenReadable": "principal-knowledge-authority|MessageTemplates"
   },
   {
    "FieldGrantId": "fg-knowledge-authority-MessageTemplates.Resource",
    "Principal": "principal-knowledge-authority",
    "TargetField": "MessageTemplates.Resource",
    "CanRead": true,
    "CanWrite": false,
    "MaskStrategy": "plain",
    "SemanticTypeIri": "urn:effortless:pko-extension#FieldGrant",
    "Name": "principal-knowledge-authority -&gt; MessageTemplates.Resource",
    "FieldTable": "MessageTemplates",
    "FieldName": "Resource",
    "FieldIsDerived": false,
    "IsWritableDerivedField": false,
    "IsMasked": false,
    "GrantKeyWhenReadable": "principal-knowledge-authority|MessageTemplates"
   },
   {
    "FieldGrantId": "fg-knowledge-authority-MessageTemplates.SubjectTemplate",
    "Principal": "principal-knowledge-authority",
    "TargetField": "MessageTemplates.SubjectTemplate",
    "CanRead": true,
    "CanWrite": false,
    "MaskStrategy": "plain",
    "SemanticTypeIri": "urn:effortless:pko-extension#FieldGrant",
    "Name": "principal-knowledge-authority -&gt; MessageTemplates.SubjectTemplate",
    "FieldTable": "MessageTemplates",
    "FieldName": "SubjectTemplate",
    "FieldIsDerived": false,
    "IsWritableDerivedField": false,
    "IsMasked": false,
    "GrantKeyWhenReadable": "principal-knowledge-authority|MessageTemplates"
   },
   {
    "FieldGrantId": "fg-knowledge-authority-MessageTemplates.BodyTemplate",
    "Principal": "principal-knowledge-authority",
    "TargetField": "MessageTemplates.BodyTemplate",
    "CanRead": true,
    "CanWrite": false,
    "MaskStrategy": "plain",
    "SemanticTypeIri": "urn:effortless:pko-extension#FieldGrant",
    "Name": "principal-knowledge-authority -&gt; MessageTemplates.BodyTemplate",
    "FieldTable": "MessageTemplates",
    "FieldName": "BodyTemplate",
    "FieldIsDerived": false,
    "IsWritableDerivedField": false,
    "IsMasked": false,
    "GrantKeyWhenReadable": "principal-knowledge-authority|MessageTemplates"
   },
   {
    "FieldGrantId": "fg-knowledge-authority-MessageTemplates.Locale",
    "Principal": "principal-knowledge-authority",
    "TargetField": "MessageTemplates.Locale",
    "CanRead": true,
    "CanWrite": false,
    "MaskStrategy": "plain",
    "SemanticTypeIri": "urn:effortless:pko-extension#FieldGrant",
    "Name": "principal-knowledge-authority -&gt; MessageTemplates.Locale",
    "FieldTable": "MessageTemplates",
    "FieldName": "Locale",
    "FieldIsDerived": false,
    "IsWritableDerivedField": false,
    "IsMasked": false,
    "GrantKeyWhenReadable": "principal-knowledge-authority|MessageTemplates"
   },
   {
    "FieldGrantId": "fg-knowledge-authority-MessageTemplates.Status",
    "Principal": "principal-knowledge-authority",
    "TargetField": "MessageTemplates.Status",
    "CanRead": true,
    "CanWrite": false,
    "MaskStrategy": "plain",
    "SemanticTypeIri": "urn:effortless:pko-extension#FieldGrant",
    "Name": "principal-knowledge-authority -&gt; MessageTemplates.Status",
    "FieldTable": "MessageTemplates",
    "FieldName": "Status",
    "FieldIsDerived": false,
    "IsWritableDerivedField": false,
    "IsMasked": false,
    "GrantKeyWhenReadable": "principal-knowledge-authority|MessageTemplates"
   },
   {
    "FieldGrantId": "fg-knowledge-authority-MessageTemplates.PolicyMaxMessageLength",
    "Principal": "principal-knowledge-authority",
    "TargetField": "MessageTemplates.PolicyMaxMessageLength",
    "CanRead": true,
    "CanWrite": false,
    "MaskStrategy": "plain",
    "SemanticTypeIri": "urn:effortless:pko-extension#FieldGrant",
    "Name": "principal-knowledge-authority -&gt; MessageTemplates.PolicyMaxMessageLength",
    "FieldTable": "MessageTemplates",
    "FieldName": "PolicyMaxMessageLength",
    "FieldIsDerived": true,
    "IsWritableDerivedField": false,
    "IsMasked": false,
    "GrantKeyWhenReadable": "principal-knowledge-authority|MessageTemplates"
   },
   {
    "FieldGrantId": "fg-knowledge-authority-MessageTemplates.PolicyMaxSegments",
    "Principal": "principal-knowledge-authority",
    "TargetField": "MessageTemplates.PolicyMaxSegments",
    "CanRead": true,
    "CanWrite": false,
    "MaskStrategy": "plain",
    "SemanticTypeIri": "urn:effortless:pko-extension#FieldGrant",
    "Name": "principal-knowledge-authority -&gt; MessageTemplates.PolicyMaxSegments",
    "FieldTable": "MessageTemplates",
    "FieldName": "PolicyMaxSegments",
    "FieldIsDerived": true,
    "IsWritableDerivedField": false,
    "IsMasked": false,
    "GrantKeyWhenReadable": "principal-knowledge-authority|MessageTemplates"
   },
   {
    "FieldGrantId": "fg-knowledge-authority-MessageTemplates.BodyTemplateLength",
    "Principal": "principal-knowledge-authority",
    "TargetField": "MessageTemplates.BodyTemplateLength",
    "CanRead": true,
    "CanWrite": false,
    "MaskStrategy": "plain",
    "SemanticTypeIri": "urn:effortless:pko-extension#FieldGrant",
    "Name": "principal-knowledge-authority -&gt; MessageTemplates.BodyTemplateLength",
    "FieldTable": "MessageTemplates",
    "FieldName": "BodyTemplateLength",
    "FieldIsDerived": true,
    "IsWritableDerivedField": false,
    "IsMasked": false,
    "GrantKeyWhenReadable": "principal-knowledge-authority|MessageTemplates"
   },
   {
    "FieldGrantId": "fg-knowledge-authority-MessageTemplates.IsTemplateOverLength",
    "Principal": "principal-knowledge-authority",
    "TargetField": "MessageTemplates.IsTemplateOverLength",
    "CanRead": true,
    "CanWrite": false,
    "MaskStrategy": "plain",
    "SemanticTypeIri": "urn:effortless:pko-extension#FieldGrant",
    "Name": "principal-knowledge-authority -&gt; MessageTemplates.IsTemplateOverLength",
    "FieldTable": "MessageTemplates",
    "FieldName": "IsTemplateOverLength",
    "FieldIsDerived": true,
    "IsWritableDerivedField": false,
    "IsMasked": false,
    "GrantKeyWhenReadable": "principal-knowledge-authority|MessageTemplates"
   },
   {
    "FieldGrantId": "fg-knowledge-authority-MessageTemplates.ValidApprovalCount",
    "Principal": "principal-knowledge-authority",
    "TargetField": "MessageTemplates.ValidApprovalCount",
    "CanRead": true,
    "CanWrite": false,
    "MaskStrategy": "plain",
    "SemanticTypeIri": "urn:effortless:pko-extension#FieldGrant",
    "Name": "principal-knowledge-authority -&gt; MessageTemplates.ValidApprovalCount",
    "FieldTable": "MessageTemplates",
    "FieldName": "ValidApprovalCount",
    "FieldIsDerived": true,
    "IsWritableDerivedField": false,
    "IsMasked": false,
    "GrantKeyWhenReadable": "principal-knowledge-authority|MessageTemplates"
   },
   {
    "FieldGrantId": "fg-knowledge-authority-MessageTemplates.HasValidApproval",
    "Principal": "principal-knowledge-authority",
    "TargetField": "MessageTemplates.HasValidApproval",
    "CanRead": true,
    "CanWrite": false,
    "MaskStrategy": "plain",
    "SemanticTypeIri": "urn:effortless:pko-extension#FieldGrant",
    "Name": "principal-knowledge-authority -&gt; MessageTemplates.HasValidApproval",
    "FieldTable": "MessageTemplates",
    "FieldName": "HasValidApproval",
    "FieldIsDerived": true,
    "IsWritableDerivedField": false,
    "IsMasked": false,
    "GrantKeyWhenReadable": "principal-knowledge-authority|MessageTemplates"
   },
   {
    "FieldGrantId": "fg-knowledge-authority-MessageTemplates.IsClaimingUnbackedApproval",
    "Principal": "principal-knowledge-authority",
    "TargetField": "MessageTemplates.IsClaimingUnbackedApproval",
    "CanRead": true,
    "CanWrite": false,
    "MaskStrategy": "plain",
    "SemanticTypeIri": "urn:effortless:pko-extension#FieldGrant",
    "Name": "principal-knowledge-authority -&gt; MessageTemplates.IsClaimingUnbackedApproval",
    "FieldTable": "MessageTemplates",
    "FieldName": "IsClaimingUnbackedApproval",
    "FieldIsDerived": true,
    "IsWritableDerivedField": false,
    "IsMasked": false,
    "GrantKeyWhenReadable": "principal-knowledge-authority|MessageTemplates"
   },
   {
    "FieldGrantId": "fg-knowledge-authority-MessageTemplates.CurrentBodyHash",
    "Principal": "principal-knowledge-authority",
    "TargetField": "MessageTemplates.CurrentBodyHash",
    "CanRead": true,
    "CanWrite": false,
    "MaskStrategy": "plain",
    "SemanticTypeIri": "urn:effortless:pko-extension#FieldGrant",
    "Name": "principal-knowledge-authority -&gt; MessageTemplates.CurrentBodyHash",
    "FieldTable": "MessageTemplates",
    "FieldName": "CurrentBodyHash",
    "FieldIsDerived": false,
    "IsWritableDerivedField": false,
    "IsMasked": false,
    "GrantKeyWhenReadable": "principal-knowledge-authority|MessageTemplates"
   },
   {
    "FieldGrantId": "fg-knowledge-authority-MessageTemplates.LastApprovedBodyHash",
    "Principal": "principal-knowledge-authority",
    "TargetField": "MessageTemplates.LastApprovedBodyHash",
    "CanRead": true,
    "CanWrite": false,
    "MaskStrategy": "plain",
    "SemanticTypeIri": "urn:effortless:pko-extension#FieldGrant",
    "Name": "principal-knowledge-authority -&gt; MessageTemplates.LastApprovedBodyHash",
    "FieldTable": "MessageTemplates",
    "FieldName": "LastApprovedBodyHash",
    "FieldIsDerived": true,
    "IsWritableDerivedField": false,
    "IsMasked": false,
    "GrantKeyWhenReadable": "principal-knowledge-authority|MessageTemplates"
   },
   {
    "FieldGrantId": "fg-knowledge-authority-MessageTemplates.LastValidApproval",
    "Principal": "principal-knowledge-authority",
    "TargetField": "MessageTemplates.LastValidApproval",
    "CanRead": true,
    "CanWrite": false,
    "MaskStrategy": "plain",
    "SemanticTypeIri": "urn:effortless:pko-extension#FieldGrant",
    "Name": "principal-knowledge-authority -&gt; MessageTemplates.LastValidApproval",
    "FieldTable": "MessageTemplates",
    "FieldName": "LastValidApproval",
    "FieldIsDerived": false,
    "IsWritableDerivedField": false,
    "IsMasked": false,
    "GrantKeyWhenReadable": "principal-knowledge-authority|MessageTemplates"
   },
   {
    "FieldGrantId": "fg-knowledge-authority-MessageTemplates.HasBodyDrifted",
    "Principal": "principal-knowledge-authority",
    "TargetField": "MessageTemplates.HasBodyDrifted",
    "CanRead": true,
    "CanWrite": false,
    "MaskStrategy": "plain",
    "SemanticTypeIri": "urn:effortless:pko-extension#FieldGrant",
    "Name": "principal-knowledge-authority -&gt; MessageTemplates.HasBodyDrifted",
    "FieldTable": "MessageTemplates",
    "FieldName": "HasBodyDrifted",
    "FieldIsDerived": true,
    "IsWritableDerivedField": false,
    "IsMasked": false,
    "GrantKeyWhenReadable": "principal-knowledge-authority|MessageTemplates"
   },
   {
    "FieldGrantId": "fg-knowledge-authority-MessageTemplates.IsSendableUnderApproval",
    "Principal": "principal-knowledge-authority",
    "TargetField": "MessageTemplates.IsSendableUnderApproval",
    "CanRead": true,
    "CanWrite": false,
    "MaskStrategy": "plain",
    "SemanticTypeIri": "urn:effortless:pko-extension#FieldGrant",
    "Name": "principal-knowledge-authority -&gt; MessageTemplates.IsSendableUnderApproval",
    "FieldTable": "MessageTemplates",
    "FieldName": "IsSendableUnderApproval",
    "FieldIsDerived": true,
    "IsWritableDerivedField": false,
    "IsMasked": false,
    "GrantKeyWhenReadable": "principal-knowledge-authority|MessageTemplates"
   },
   {
    "FieldGrantId": "fg-knowledge-authority-MessageTemplates.DriftedSendCount",
    "Principal": "principal-knowledge-authority",
    "TargetField": "MessageTemplates.DriftedSendCount",
    "CanRead": true,
    "CanWrite": false,
    "MaskStrategy": "plain",
    "SemanticTypeIri": "urn:ef</t>
  </si>
  <si>
    <t xml:space="preserve">fortless:pko-extension#FieldGrant",
    "Name": "principal-knowledge-authority -&gt; MessageTemplates.DriftedSendCount",
    "FieldTable": "MessageTemplates",
    "FieldName": "DriftedSendCount",
    "FieldIsDerived": true,
    "IsWritableDerivedField": false,
    "IsMasked": false,
    "GrantKeyWhenReadable": "principal-knowledge-authority|MessageTemplates"
   },
   {
    "FieldGrantId": "fg-knowledge-authority-MessageTemplates.UnansweredDeliveryCount",
    "Principal": "principal-knowledge-authority",
    "TargetField": "MessageTemplates.UnansweredDeliveryCount",
    "CanRead": true,
    "CanWrite": false,
    "MaskStrategy": "plain",
    "SemanticTypeIri": "urn:effortless:pko-extension#FieldGrant",
    "Name": "principal-knowledge-authority -&gt; MessageTemplates.UnansweredDeliveryCount",
    "FieldTable": "MessageTemplates",
    "FieldName": "UnansweredDeliveryCount",
    "FieldIsDerived": true,
    "IsWritableDerivedField": false,
    "IsMasked": false,
    "GrantKeyWhenReadable": "principal-knowledge-authority|MessageTemplates"
   },
   {
    "FieldGrantId": "fg-knowledge-authority-MessageTemplates.TransmittedDeliveryCount",
    "Principal": "principal-knowledge-authority",
    "TargetField": "MessageTemplates.TransmittedDeliveryCount",
    "CanRead": true,
    "CanWrite": false,
    "MaskStrategy": "plain",
    "SemanticTypeIri": "urn:effortless:pko-extension#FieldGrant",
    "Name": "principal-knowledge-authority -&gt; MessageTemplates.TransmittedDeliveryCount",
    "FieldTable": "MessageTemplates",
    "FieldName": "TransmittedDeliveryCount",
    "FieldIsDerived": true,
    "IsWritableDerivedField": false,
    "IsMasked": false,
    "GrantKeyWhenReadable": "principal-knowledge-authority|MessageTemplates"
   },
   {
    "FieldGrantId": "fg-knowledge-authority-MessageTemplates.TemplateDrawsNoResponse",
    "Principal": "principal-knowledge-authority",
    "TargetField": "MessageTemplates.TemplateDrawsNoResponse",
    "CanRead": true,
    "CanWrite": false,
    "MaskStrategy": "plain",
    "SemanticTypeIri": "urn:effortless:pko-extension#FieldGrant",
    "Name": "principal-knowledge-authority -&gt; MessageTemplates.TemplateDrawsNoResponse",
    "FieldTable": "MessageTemplates",
    "FieldName": "TemplateDrawsNoResponse",
    "FieldIsDerived": true,
    "IsWritableDerivedField": false,
    "IsMasked": false,
    "GrantKeyWhenReadable": "principal-knowledge-authority|MessageTemplates"
   },
   {
    "FieldGrantId": "fg-knowledge-authority-MessageTemplates.LastApprovalAt",
    "Principal": "principal-knowledge-authority",
    "TargetField": "MessageTemplates.LastApprovalAt",
    "CanRead": true,
    "CanWrite": false,
    "MaskStrategy": "plain",
    "SemanticTypeIri": "urn:effortless:pko-extension#FieldGrant",
    "Name": "principal-knowledge-authority -&gt; MessageTemplates.LastApprovalAt",
    "FieldTable": "MessageTemplates",
    "FieldName": "LastApprovalAt",
    "FieldIsDerived": true,
    "IsWritableDerivedField": false,
    "IsMasked": false,
    "GrantKeyWhenReadable": "principal-knowledge-authority|MessageTemplates"
   },
   {
    "FieldGrantId": "fg-knowledge-authority-MessageTemplates.SemanticTypeIri",
    "Principal": "principal-knowledge-authority",
    "TargetField": "MessageTemplates.SemanticTypeIri",
    "CanRead": true,
    "CanWrite": false,
    "MaskStrategy": "plain",
    "SemanticTypeIri": "urn:effortless:pko-extension#FieldGrant",
    "Name": "principal-knowledge-authority -&gt; MessageTemplates.SemanticTypeIri",
    "FieldTable": "MessageTemplates",
    "FieldName": "SemanticTypeIri",
    "FieldIsDerived": false,
    "IsWritableDerivedField": false,
    "IsMasked": false,
    "GrantKeyWhenReadable": "principal-knowledge-authority|MessageTemplates"
   },
   {
    "FieldGrantId": "fg-knowledge-authority-ObservedTransitions.ObservedTransitionId",
    "Principal": "principal-knowledge-authority",
    "TargetField": "ObservedTransitions.ObservedTransitionId",
    "CanRead": true,
    "CanWrite": false,
    "MaskStrategy": "plain",
    "SemanticTypeIri": "urn:effortless:pko-extension#FieldGrant",
    "Name": "principal-knowledge-authority -&gt; ObservedTransitions.ObservedTransitionId",
    "FieldTable": "ObservedTransitions",
    "FieldName": "ObservedTransitionId",
    "FieldIsDerived": false,
    "IsWritableDerivedField": false,
    "IsMasked": false,
    "GrantKeyWhenReadable": "principal-knowledge-authority|ObservedTransitions"
   },
   {
    "FieldGrantId": "fg-knowledge-authority-ObservedTransitions.Name",
    "Principal": "principal-knowledge-authority",
    "TargetField": "ObservedTransitions.Name",
    "CanRead": true,
    "CanWrite": false,
    "MaskStrategy": "plain",
    "SemanticTypeIri": "urn:effortless:pko-extension#FieldGrant",
    "Name": "principal-knowledge-authority -&gt; ObservedTransitions.Name",
    "FieldTable": "ObservedTransitions",
    "FieldName": "Name",
    "FieldIsDerived": true,
    "IsWritableDerivedField": false,
    "IsMasked": false,
    "GrantKeyWhenReadable": "principal-knowledge-authority|ObservedTransitions"
   },
   {
    "FieldGrantId": "fg-knowledge-authority-ObservedTransitions.ProcedureExecution",
    "Principal": "principal-knowledge-authority",
    "TargetField": "ObservedTransitions.ProcedureExecution",
    "CanRead": true,
    "CanWrite": false,
    "MaskStrategy": "plain",
    "SemanticTypeIri": "urn:effortless:pko-extension#FieldGrant",
    "Name": "principal-knowledge-authority -&gt; ObservedTransitions.ProcedureExecution",
    "FieldTable": "ObservedTransitions",
    "FieldName": "ProcedureExecution",
    "FieldIsDerived": false,
    "IsWritableDerivedField": false,
    "IsMasked": false,
    "GrantKeyWhenReadable": "principal-knowledge-authority|ObservedTransitions"
   },
   {
    "FieldGrantId": "fg-knowledge-authority-ObservedTransitions.StepTransition",
    "Principal": "principal-knowledge-authority",
    "TargetField": "ObservedTransitions.StepTransition",
    "CanRead": true,
    "CanWrite": false,
    "MaskStrategy": "plain",
    "SemanticTypeIri": "urn:effortless:pko-extension#FieldGrant",
    "Name": "principal-knowledge-authority -&gt; ObservedTransitions.StepTransition",
    "FieldTable": "ObservedTransitions",
    "FieldName": "StepTransition",
    "FieldIsDerived": false,
    "IsWritableDerivedField": false,
    "IsMasked": false,
    "GrantKeyWhenReadable": "principal-knowledge-authority|ObservedTransitions"
   },
   {
    "FieldGrantId": "fg-knowledge-authority-ObservedTransitions.ArrivingStepExecution",
    "Principal": "principal-knowledge-authority",
    "TargetField": "ObservedTransitions.ArrivingStepExecution",
    "CanRead": true,
    "CanWrite": false,
    "MaskStrategy": "plain",
    "SemanticTypeIri": "urn:effortless:pko-extension#FieldGrant",
    "Name": "principal-knowledge-authority -&gt; ObservedTransitions.ArrivingStepExecution",
    "FieldTable": "ObservedTransitions",
    "FieldName": "ArrivingStepExecution",
    "FieldIsDerived": false,
    "IsWritableDerivedField": false,
    "IsMasked": false,
    "GrantKeyWhenReadable": "principal-knowledge-authority|ObservedTransitions"
   },
   {
    "FieldGrantId": "fg-knowledge-authority-ObservedTransitions.ObservedAt",
    "Principal": "principal-knowledge-authority",
    "TargetField": "ObservedTransitions.ObservedAt",
    "CanRead": true,
    "CanWrite": false,
    "MaskStrategy": "plain",
    "SemanticTypeIri": "urn:effortless:pko-extension#FieldGrant",
    "Name": "principal-knowledge-authority -&gt; ObservedTransitions.ObservedAt",
    "FieldTable": "ObservedTransitions",
    "FieldName": "ObservedAt",
    "FieldIsDerived": false,
    "IsWritableDerivedField": false,
    "IsMasked": false,
    "GrantKeyWhenReadable": "principal-knowledge-authority|ObservedTransitions"
   },
   {
    "FieldGrantId": "fg-knowledge-authority-ObservedTransitions.TriggerReason",
    "Principal": "principal-knowledge-authority",
    "TargetField": "ObservedTransitions.TriggerReason",
    "CanRead": true,
    "CanWrite": false,
    "MaskStrategy": "plain",
    "SemanticTypeIri": "urn:effortless:pko-extension#FieldGrant",
    "Name": "principal-knowledge-authority -&gt; ObservedTransitions.TriggerReason",
    "FieldTable": "ObservedTransitions",
    "FieldName": "TriggerReason",
    "FieldIsDerived": false,
    "IsWritableDerivedField": false,
    "IsMasked": false,
    "GrantKeyWhenReadable": "principal-knowledge-authority|ObservedTransitions"
   },
   {
    "FieldGrantId": "fg-knowledge-authority-ObservedTransitions.SemanticTypeIri",
    "Principal": "principal-knowledge-authority",
    "TargetField": "ObservedTransitions.SemanticTypeIri",
    "CanRead": true,
    "CanWrite": false,
    "MaskStrategy": "plain",
    "SemanticTypeIri": "urn:effortless:pko-extension#FieldGrant",
    "Name": "principal-knowledge-authority -&gt; ObservedTransitions.SemanticTypeIri",
    "FieldTable": "ObservedTransitions",
    "FieldName": "SemanticTypeIri",
    "FieldIsDerived": false,
    "IsWritableDerivedField": false,
    "IsMasked": false,
    "GrantKeyWhenReadable": "principal-knowledge-authority|ObservedTransitions"
   },
   {
    "FieldGrantId": "fg-knowledge-authority-OntologyProfiles.OntologyProfileId",
    "Principal": "principal-knowledge-authority",
    "TargetField": "OntologyProfiles.OntologyProfileId",
    "CanRead": true,
    "CanWrite": false,
    "MaskStrategy": "plain",
    "SemanticTypeIri": "urn:effortless:pko-extension#FieldGrant",
    "Name": "principal-knowledge-authority -&gt; OntologyProfiles.OntologyProfileId",
    "FieldTable": "OntologyProfiles",
    "FieldName": "OntologyProfileId",
    "FieldIsDerived": false,
    "IsWritableDerivedField": false,
    "IsMasked": false,
    "GrantKeyWhenReadable": "principal-knowledge-authority|OntologyProfiles"
   },
   {
    "FieldGrantId": "fg-knowledge-authority-OntologyProfiles.Name",
    "Principal": "principal-knowledge-authority",
    "TargetField": "OntologyProfiles.Name",
    "CanRead": true,
    "CanWrite": false,
    "MaskStrategy": "plain",
    "SemanticTypeIri": "urn:effortless:pko-extension#FieldGrant",
    "Name": "principal-knowledge-authority -&gt; OntologyProfiles.Name",
    "FieldTable": "OntologyProfiles",
    "FieldName": "Name",
    "FieldIsDerived": true,
    "IsWritableDerivedField": false,
    "IsMasked": false,
    "GrantKeyWhenReadable": "principal-knowledge-authority|OntologyProfiles"
   },
   {
    "FieldGrantId": "fg-knowledge-authority-OntologyProfiles.Label",
    "Principal": "principal-knowledge-authority",
    "TargetField": "OntologyProfiles.Label",
    "CanRead": true,
    "CanWrite": false,
    "MaskStrategy": "plain",
    "SemanticTypeIri": "urn:effortless:pko-extension#FieldGrant",
    "Name": "principal-knowledge-authority -&gt; OntologyProfiles.Label",
    "FieldTable": "OntologyProfiles",
    "FieldName": "Label",
    "FieldIsDerived": false,
    "IsWritableDerivedField": false,
    "IsMasked": false,
    "GrantKeyWhenReadable": "principal-knowledge-authority|OntologyProfiles"
   },
   {
    "FieldGrantId": "fg-knowledge-authority-OntologyProfiles.Version",
    "Principal": "principal-knowledge-authority",
    "TargetField": "OntologyProfiles.Version",
    "CanRead": true,
    "CanWrite": false,
    "MaskStrategy": "plain",
    "SemanticTypeIri": "urn:effortless:pko-extension#FieldGrant",
    "Name": "principal-knowledge-authority -&gt; OntologyProfiles.Version",
    "FieldTable": "OntologyProfiles",
    "FieldName": "Version",
    "FieldIsDerived": false,
    "IsWritableDerivedField": false,
    "IsMasked": false,
    "GrantKeyWhenReadable": "principal-knowledge-authority|OntologyProfiles"
   },
   {
    "FieldGrantId": "fg-knowledge-authority-OntologyProfiles.VersionIri",
    "Principal": "principal-knowledge-authority",
    "TargetField": "OntologyProfiles.VersionIri",
    "CanRead": true,
    "CanWrite": false,
    "MaskStrategy": "plain",
    "SemanticTypeIri": "urn:effortless:pko-extension#FieldGrant",
    "Name": "principal-knowledge-authority -&gt; OntologyProfiles.VersionIri",
    "FieldTable": "OntologyProfiles",
    "FieldName": "VersionIri",
    "FieldIsDerived": false,
    "IsWritableDerivedField": false,
    "IsMasked": false,
    "GrantKeyWhenReadable": "principal-knowledge-authority|OntologyProfiles"
   },
   {
    "FieldGrantId": "fg-knowledge-authority-OntologyProfiles.NamespaceIri",
    "Principal": "principal-knowledge-authority",
    "TargetField": "OntologyProfiles.NamespaceIri",
    "CanRead": true,
    "CanWrite": false,
    "MaskStrategy": "plain",
    "SemanticTypeIri": "urn:effortless:pko-extension#FieldGrant",
    "Name": "principal-knowledge-authority -&gt; OntologyProfiles.NamespaceIri",
    "FieldTable": "OntologyProfiles",
    "FieldName": "NamespaceIri",
    "FieldIsDerived": false,
    "IsWritableDerivedField": false,
    "IsMasked": false,
    "GrantKeyWhenReadable": "principal-knowledge-authority|OntologyProfiles"
   },
   {
    "FieldGrantId": "fg-knowledge-authority-OntologyProfiles.License",
    "Principal": "principal-knowledge-authority",
    "TargetField": "OntologyProfiles.License",
    "CanRead": true,
    "CanWrite": false,
    "MaskStrategy": "plain",
    "SemanticTypeIri": "urn:effortless:pko-extension#FieldGrant",
    "Name": "principal-knowledge-authority -&gt; OntologyProfiles.License",
    "FieldTable": "OntologyProfiles",
    "FieldName": "License",
    "FieldIsDerived": false,
    "IsWritableDerivedField": false,
    "IsMasked": false,
    "GrantKeyWhenReadable": "principal-knowledge-authority|OntologyProfiles"
   },
   {
    "FieldGrantId": "fg-knowledge-authority-OntologyProfiles.Scope",
    "Principal": "principal-knowledge-authority",
    "TargetField": "OntologyProfiles.Scope",
    "CanRead": true,
    "CanWrite": false,
    "MaskStrategy": "plain",
    "SemanticTypeIri": "urn:effortless:pko-extension#FieldGrant",
    "Name": "principal-knowledge-authority -&gt; OntologyProfiles.Scope",
    "FieldTable": "OntologyProfiles",
    "FieldName": "Scope",
    "FieldIsDerived": false,
    "IsWritableDerivedField": false,
    "IsMasked": false,
    "GrantKeyWhenReadable": "principal-knowledge-authority|OntologyProfiles"
   },
   {
    "FieldGrantId": "fg-knowledge-authority-OperationalBindings.OperationalBindingId",
    "Principal": "principal-knowledge-authority",
    "TargetField": "OperationalBindings.OperationalBindingId",
    "CanRead": true,
    "CanWrite": false,
    "MaskStrategy": "plain",
    "SemanticTypeIri": "urn:effortless:pko-extension#FieldGrant",
    "Name": "principal-knowledge-authority -&gt; OperationalBindings.OperationalBindingId",
    "FieldTable": "OperationalBindings",
    "FieldName": "OperationalBindingId",
    "FieldIsDerived": false,
    "IsWritableDerivedField": false,
    "IsMasked": false,
    "GrantKeyWhenReadable": "principal-knowledge-authority|OperationalBindings"
   },
   {
    "FieldGrantId": "fg-knowledge-authority-OperationalBindings.Name",
    "Principal": "principal-knowledge-authority",
    "TargetField": "OperationalBindings.Name",
    "CanRead": true,
    "CanWrite": false,
    "MaskStrategy": "plain",
    "SemanticTypeIri": "urn:effortless:pko-extension#FieldGrant",
    "Name": "principal-knowledge-authority -&gt; OperationalBindings.Name",
    "FieldTable": "OperationalBindings",
    "FieldName": "Name",
    "FieldIsDerived": true,
    "IsWritableDerivedField": false,
    "IsMasked": false,
    "GrantKeyWhenReadable": "principal-knowledge-authority|OperationalBindings"
   },
   {
    "FieldGrantId": "fg-knowledge-authority-OperationalBindings.ProcedureVersion",
    "Principal": "principal-knowledge-authority",
    "TargetField": "OperationalBindings.ProcedureVersion",
    "CanRead": true,
    "CanWrite": false,
    "MaskStrategy": "plain",
    "SemanticTypeIri": "urn:effortless:pko-extension#FieldGrant",
    "Name": "principal-knowledge-authority -&gt; OperationalBindings.ProcedureVersion",
    "FieldTable": "OperationalBindings",
    "FieldName": "ProcedureVersion",
    "FieldIsDerived": false,
    "IsWritableDerivedField": false,
    "IsMasked": false,
    "GrantKeyWhenReadable": "principal-knowledge-authority|OperationalBindings"
   },
   {
    "FieldGrantId": "fg-knowledge-authority-OperationalBindings.Step",
    "Principal": "principal-knowledge-authority",
    "TargetField": "OperationalBindings.Step",
    "CanRead": true,
    "CanWrite": false,
    "MaskStrategy": "plain",
    "SemanticTypeIri": "urn:effortless:pko-extension#FieldGrant",
    "Name": "principal-knowledge-authority -&gt; OperationalBindings.Step",
    "FieldTable": "OperationalBindings",
    "FieldName": "Step",
    "FieldIsDerived": false,
    "IsWritableDerivedField": false,
    "IsMasked": false,
    "GrantKeyWhenReadable": "principal-knowledge-authority|OperationalBindings"
   },
   {
    "FieldGrantId": "fg-knowledge-authority-OperationalBindings.Resource",
    "Principal": "principal-knowledge-authority",
    "TargetField": "OperationalBindings.Resource",
    "CanRead": true,
    "CanWrite": false,
    "MaskStrategy": "plain",
    "SemanticTypeIri": "urn:effortless:pko-extension#FieldGrant",
    "Name": "principal-knowledge-authority -&gt; OperationalBindings.Resource",
    "FieldTable": "OperationalBindings",
    "FieldName": "Resource",
    "FieldIsDerived": false,
    "IsWritableDerivedField": false,
    "IsMasked": false,
    "GrantKeyWhenReadable": "principal-knowledge-authority|OperationalBindings"
   },
   {
    "FieldGrantId": "fg-knowledge-authority-OperationalBindings.AccessMode",
    "Principal": "principal-knowledge-authority",
    "TargetField": "OperationalBindings.AccessMode",
    "CanRead": true,
    "CanWrite": false,
    "MaskStrategy": "plain",
    "SemanticTypeIri": "urn:effortless:pko-extension#FieldGrant",
    "Name": "principal-knowledge-authority -&gt; OperationalBindings.AccessMode",
    "FieldTable": "OperationalBindings",
    "FieldName": "AccessMode",
    "FieldIsDerived": false,
    "IsWritableDerivedField": false,
    "IsMasked": false,
    "GrantKeyWhenReadable": "principal-knowledge-authority|OperationalBindings"
   },
   {
    "FieldGrantId": "fg-knowledge-authority-OperationalBindings.RecordOrSchemaKey",
    "Principal": "principal-knowledge-authority",
    "TargetField": "OperationalBindings.RecordOrSchemaKey",
    "CanRead": true,
    "CanWrite": false,
    "MaskStrategy": "plain",
    "SemanticTypeIri": "urn:effortless:pko-extension#FieldGrant",
    "Name": "principal-knowledge-authority -&gt; OperationalBindings.RecordOrSchemaKey",
    "FieldTable": "OperationalBindings",
    "FieldName": "RecordOrSchemaKey",
    "FieldIsDerived": false,
    "IsWritableDerivedField": false,
    "IsMasked": false,
    "GrantKeyWhenReadable": "principal-knowledge-authority|OperationalBindings"
   },
   {
    "FieldGrantId": "fg-knowledge-authority-OperationalBindings.LastObservedAt",
    "Principal": "principal-knowledge-authority",
    "TargetField": "OperationalBindings.LastObservedAt",
    "CanRead": true,
    "CanWrite": false,
    "MaskStrategy": "plain",
    "SemanticTypeIri": "urn:effortless:pko-extension#FieldGrant",
    "Name": "principal-knowledge-authority -&gt; OperationalBindings.LastObservedAt",
    "FieldTable": "OperationalBindings",
    "FieldName": "LastObservedAt",
    "FieldIsDerived": false,
    "IsWritableDerivedField": false,
    "IsMasked": false,
    "GrantKeyWhenReadable": "principal-knowledge-authority|OperationalBindings"
   },
   {
    "FieldGrantId": "fg-knowledge-authority-OperationalBindings.FreshnessSlaMinutes",
    "Principal": "principal-knowledge-authority",
    "TargetField": "OperationalBindings.FreshnessSlaMinutes",
    "CanRead": true,
    "CanWrite": false,
    "MaskStrategy": "plain",
    "SemanticTypeIri": "urn:effortless:pko-extension#FieldGrant",
    "Name": "principal-knowledge-authority -&gt; OperationalBindings.FreshnessSlaMinutes",
    "FieldTable": "OperationalBindings",
    "FieldName": "FreshnessSlaMinutes",
    "FieldIsDerived": false,
    "IsWritableDerivedField": false,
    "IsMasked": false,
    "GrantKeyWhenReadable": "principal-knowledge-authority|OperationalBindings"
   },
   {
    "FieldGrantId": "fg-knowledge-authority-OperationalBindings.IsAuthoritative",
    "Principal": "principal-knowledge-authority",
    "TargetField": "OperationalBindings.IsAuthoritative",
    "CanRead": true,
    "CanWrite": false,
    "MaskStrategy": "plain",
    "SemanticTypeIri": "urn:effortless:pko-extension#FieldGrant",
    "Name": "principal-knowledge-authority -&gt; OperationalBindings.IsAuthoritative",
    "FieldTable": "OperationalBindings",
    "FieldName": "IsAuthoritative",
    "FieldIsDerived": false,
    "IsWritableDerivedField": false,
    "IsMasked": false,
    "GrantKeyWhenReadable": "principal-knowledge-authority|OperationalBindings"
   },
   {
    "FieldGrantId": "fg-knowledge-authority-OperationalBindings.EvaluationContext",
    "Principal": "principal-knowledge-authority",
    "TargetField": "OperationalBindings.EvaluationContext",
    "CanRead": true,
    "CanWrite": false,
    "MaskStrategy": "plain",
    "SemanticTypeIri": "urn:effortless:pko-extension#FieldGrant",
    "Name": "principal-knowledge-authority -&gt; OperationalBindings.EvaluationContext",
    "FieldTable": "OperationalBindings",
    "FieldName": "EvaluationContext",
    "FieldIsDerived": false,
    "IsWritableDerivedField": false,
    "IsMasked": false,
    "GrantKeyWhenReadable": "principal-knowledge-authority|OperationalBindings"
   },
   {
    "FieldGrantId": "fg-knowledge-authority-OperationalBindings.AsOfInstant",
    "Principal": "principal-knowledge-authority",
    "TargetField": "OperationalBindings.AsOfInstant",
    "CanRead": true,
    "CanWrite": false,
    "MaskStrategy": "plain",
    "SemanticTypeIri": "urn:effortless:pko-extension#FieldGrant",
    "Name": "principal-knowledge-authority -&gt; OperationalBindings.AsOfInstant",
    "FieldTable": "OperationalBindings",
    "FieldName": "AsOfInstant",
    "FieldIsDerived": true,
    "IsWritableDerivedField": false,
    "IsMasked": false,
    "GrantKeyWhenReadable": "principal-knowledge-authority|OperationalBindings"
   },
   {
    "FieldGrantId": "fg-knowledge-authority-OperationalBindings.AgeMinutes",
    "Principal": "principal-knowledge-authority",
    "TargetField": "OperationalBindings.AgeMinutes",
    "CanRead": true,
    "CanWrite": false,
    "MaskStrategy": "plain",
    "SemanticTypeIri": "urn:effortless:pko-extension#FieldGrant",
    "Name": "principal-knowledge-authority -&gt; OperationalBindings.AgeMinutes",
    "FieldTable": "OperationalBindings",
    "FieldName": "AgeMinutes",
    "FieldIsDerived": true,
    "IsWritableDerivedField": false,
    "IsMasked": false,
    "GrantKeyWhenReadable": "principal-knowledge-authority|OperationalBindings"
   },
   {
    "FieldGrantId": "fg-knowledge-authority-OperationalBindings.IsFresh",
    "Principal": "principal-knowledge-authority",
    "TargetField": "OperationalBindings.IsFresh",
    "CanRead": true,
    "CanWrite": false,
    "MaskStrategy": "plain",
    "SemanticTypeIri": "urn:effortless:pko-extension#FieldGrant",
    "Name": "principal-knowledge-authority -&gt; OperationalBindings.IsFresh",
    "FieldTable": "OperationalBindings",
    "FieldName": "IsFresh",
    "FieldIsDerived": true,
    "IsWritableDerivedField": false,
    "IsMasked": false,
    "GrantKeyWhenReadable": "principal-knowledge-authority|OperationalBindings"
   },
   {
    "FieldGrantId": "fg-knowledge-authority-OperationalBindings.StaleBindingStepKey",
    "Principal": "principal-knowledge-authority",
    "TargetField": "OperationalBindings.StaleBindingStepKey",
    "CanRead": true,
    "CanWrite": false,
    "MaskStrategy": "plain",
    "SemanticTypeIri": "urn:effortless:pko-extension#FieldGrant",
    "Name": "principal-knowledge-authority -&gt; OperationalBindings.StaleBindingStepKey",
    "FieldTable": "OperationalBindings",
    "FieldName": "StaleBindingStepKey",
    "FieldIsDerived": true,
    "IsWritableDerivedField": false,
    "IsMasked": false,
    "GrantKeyWhenReadable": "principal-knowledge-authority|OperationalBindings"
   },
   {
    "FieldGrantId": "fg-knowledge-authority-OperationalBindings.AuthoritativeStaleStepKey",
    "Principal": "principal-knowledge-authority",
    "TargetField": "OperationalBindings.AuthoritativeStaleStepKey",
    "CanRead": true,
    "CanWrite": false,
    "MaskStrategy": "plain",
    "SemanticTypeIri": "urn:effortless:pko-extension#FieldGrant",
    "Name": "principal-knowledge-authority -&gt; OperationalBindings.AuthoritativeStaleStepKey",
    "FieldTable": "OperationalBindings",
    "FieldName": "AuthoritativeStaleStepKey",
    "FieldIsDerived": true,
    "IsWritableDerivedField": false,
    "IsMasked": false,
    "GrantKeyWhenReadable": "principal-knowledge-authority|OperationalBindings"
   },
   {
    "FieldGrantId": "fg-knowledge-authority-OperationalBindings.IsStaleAndAuthoritative",
    "Principal": "principal-knowledge-authority",
    "TargetField": "OperationalBindings.IsStaleAndAuthoritative",
    "CanRead": true,
    "CanWrite": false,
    "MaskStrategy": "plain",
    "SemanticTypeIri": "urn:effortless:pko-extension#FieldGrant",
    "Name": "principal-knowledge-authority -&gt; OperationalBindings.IsStaleAndAuthoritative",
    "FieldTable": "OperationalBindings",
    "FieldName": "IsStaleAndAuthoritative",
    "FieldIsDerived": true,
    "IsWritableDerivedField": false,
    "IsMasked": false,
    "GrantKeyWhenReadable": "principal-knowledge-authority|OperationalBindings"
   },
   {
    "FieldGrantId": "fg-knowledge-authority-OperationalBindings.StepWhenStale",
    "Principal": "principal-knowledge-authority",
    "TargetField": "OperationalBindings.StepWhenStale",
    "CanRead": true,
    "CanWrite": false,
    "MaskStrategy": "plain",
    "SemanticTypeIri": "urn:effortless:pko-extension#FieldGrant",
    "Name": "principal-knowledge-authority -&gt; OperationalBindings.StepWhenStale",
    "FieldTable": "OperationalBindings",
    "FieldName": "StepWhenStale",
    "FieldIsDerived": true,
    "IsWritableDerivedField": false,
    "IsMasked": false,
    "GrantKeyWhenReadable": "principal-knowledge-authority|OperationalBindings"
   },
   {
    "FieldGrantId": "fg-knowledge-authority-OperationalBindings.ResourceIsApproved",
    "Principal": "principal-knowledge-authority",
    "TargetField": "OperationalBindings.ResourceIsApproved",
    "CanRead": true,
    "CanWrite": false,
    "MaskStrategy": "plain",
    "SemanticTypeIri": "urn:effortless:pko-extension#FieldGrant",
    "Name": "principal-knowledge-authority -&gt; OperationalBindings.ResourceIsApproved",
    "FieldTable": "OperationalBindings",
    "FieldName": "ResourceIsApproved",
    "FieldIsDerived": true,
    "IsWritableDerivedField": false,
    "IsMasked": false,
    "GrantKeyWhenReadable": "principal-knowledge-authority|OperationalBindings"
   },
   {
    "FieldGrantId": "fg-knowledge-authority-OperationalBindings.IsUsableForDrafting",
    "Principal": "principal-knowledge-authority",
    "TargetField": "OperationalBindings.IsUsableForDrafting",
    "CanRead": true,
    "CanWrite": false,
    "MaskStrategy": "plain",
    "SemanticTypeIri": "urn:effortless:pko-extension#FieldGrant",
    "Name": "principal-knowledge-authority -&gt; OperationalBindings.IsUsableForDrafting",
    "FieldTable": "OperationalBindings",
    "FieldName": "IsUsableForDrafting",
    "FieldIsDerived": true,
    "IsWritableDerivedField": false,
    "IsMasked": false,
    "GrantKeyWhenReadable": "principal-knowledge-authority|OperationalBindings"
   },
   {
    "FieldGrantId": "fg-knowledge-authority-OperationalBindings.StepWhenUnusable",
    "Principal": "principal-knowledge-authority",
    "TargetField": "OperationalBindings.StepWhenUnusable",
    "CanRead": true,
    "CanWrite": false,
    "MaskStrategy": "plain",
    "SemanticTypeIri": "urn:effortless:pko-extension#FieldGrant",
    "Name": "principal-knowledge-authority -&gt; OperationalBindings.StepWhenUnusable",
    "FieldTable": "OperationalBindings",
    "FieldName": "StepWhenUnusable",
    "FieldIsDerived": true,
    "IsWritableDerivedField": false,
    "IsMasked": false,
    "GrantKeyWhenReadable": "principal-knowledge-authority|OperationalBindings"
   },
   {
    "FieldGrantId": "fg-knowledge-authority-OperationalBindings.SemanticTypeIri",
    "Principal": "principal-knowledge-authority",
    "TargetField": "OperationalBindings.SemanticTypeIri",
    "CanRead": true,
    "CanWrite": false,
    "MaskStrategy": "plain",
    "SemanticTypeIri": "urn:effortless:pko-extension#FieldGrant",
    "Name": "principal-knowledge-authority -&gt; OperationalBindings.SemanticTypeIri",
    "FieldTable": "OperationalBindings",
    "FieldName": "SemanticTypeIri",
    "FieldIsDerived": false,
    "IsWritableDerivedField": false,
    "IsMasked": false,
    "GrantKeyWhenReadable": "principal-knowledge-authority|OperationalBindings"
   },
   {
    "FieldGrantId": "fg-knowledge-authority-Organizations.OrganizationId",
    "Principal": "principal-knowledge-authority",
    "TargetField": "Organizations.OrganizationId",
    "CanRead": true,
    "CanWrite": false,
    "MaskStrategy": "plain",
    "SemanticTypeIri": "urn:effortless:pko-extension#FieldGrant",
    "Name": "principal-knowledge-authority -&gt; Organizations.OrganizationId",
    "FieldTable": "Organizations",
    "FieldName": "OrganizationId",
    "FieldIsDerived": false,
    "IsWritableDerivedField": false,
    "IsMasked": false,
    "GrantKeyWhenReadable": "principal-knowledge-authority|Organizations"
   },
   {
    "FieldGrantId": "fg-knowledge-authority-Organizations.Name",
    "Principal": "principal-knowledge-authority",
    "TargetField": "Organizations.Name",
    "CanRead": true,
    "CanWrite": false,
    "MaskStrategy": "plain",
    "SemanticTypeIri": "urn:effortless:pko-extension#FieldGrant",
    "Name": "principal-knowledge-authority -&gt; Organizations.Name",
    "FieldTable": "Organizations",
    "FieldName": "Name",
    "FieldIsDerived": true,
    "IsWritableDerivedField": false,
    "IsMasked": false,
    "GrantKeyWhenReadable": "principal-knowledge-authority|Organizations"
   },
   {
    "FieldGrantId": "fg-knowledge-authority-Organizations.DisplayName",
    "Principal": "principal-knowledge-authority",
    "TargetField": "Organizations.DisplayName",
    "CanRead": true,
    "CanWrite": false,
    "MaskStrategy": "plain",
    "SemanticTypeIri": "urn:effortless:pko-extension#FieldGrant",
    "Name": "principal-knowledge-authority -&gt; Organizations.DisplayName",
    "FieldTable": "Organizations",
    "FieldName": "DisplayName",
    "FieldIsDerived": false,
    "IsWritableDerivedField": false,
    "IsMasked": false,
    "GrantKeyWhenReadable": "principal-knowledge-authority|Organizations"
   },
   {
    "FieldGrantId": "fg-knowledge-authority-Organizations.OrganizationType",
    "Principal": "principal-knowledge-authority",
    "TargetField": "Organizations.OrganizationType",
    "CanRead": true,
    "CanWrite": false,
    "MaskStrategy": "plain",
    "SemanticTypeIri": "urn:effortless:pko-extension#FieldGrant",
    "Name": "principal-knowledge-authority -&gt; Organizations.OrganizationType",
    "FieldTable": "Organizations",
    "FieldName": "OrganizationType",
    "FieldIsDerived": false,
    "IsWritableDerivedField": false,
    "IsMasked": false,
    "GrantKeyWhenReadable": "principal-knowledge-authority|Organizations"
   },
   {
    "FieldGrantId": "fg-knowledge-authority-Organizations.ExternalIdentifier",
    "Principal": "principal-knowledge-authority",
    "TargetField": "Organizations.ExternalIdentifier",
    "CanRead": true,
    "CanWrite": false,
    "MaskStrategy": "plain",
    "SemanticTypeIri": "urn:effortless:pko-extension#FieldGrant",
    "Name": "principal-knowledge-authority -&gt; Organizations.ExternalIdentifier",
    "FieldTable": "Organizations",
    "FieldName": "ExternalIdentifier",
    "FieldIsDerived": false,
    "IsWritableDerivedField": false,
    "IsMasked": false,
    "GrantKeyWhenReadable": "principal-knowledge-authority|Organizations"
   },
   {
    "FieldGrantId": "fg-knowledge-authority-Organizations.SemanticTypeIri",
    "Principal": "principal-knowledge-authority",
    "TargetField": "Organizations.SemanticTypeIri",
    "CanRead": true,
    "CanWrite": false,
    "MaskStrategy": "plain",
    "SemanticTypeIri": "urn:effortless:pko-extension#FieldGrant",
    "Name": "principal-knowledge-authority -&gt; Organizations.SemanticTypeIri",
    "FieldTable": "Organizations",
    "FieldName": "SemanticTypeIri",
    "FieldIsDerived": false,
    "IsWritableDerivedField": false,
    "IsMasked": false,
    "GrantKeyWhenReadable": "principal-knowledge-authority|Organizations"
   },
   {
    "FieldGrantId": "fg-knowledge-authority-ProcedureExecutions.ProcedureExecutionId",
    "Principal": "principal-knowledge-authority",
    "TargetField": "ProcedureExecutions.Procedur</t>
  </si>
  <si>
    <t xml:space="preserve">eExecutionId",
    "CanRead": true,
    "CanWrite": false,
    "MaskStrategy": "plain",
    "SemanticTypeIri": "urn:effortless:pko-extension#FieldGrant",
    "Name": "principal-knowledge-authority -&gt; ProcedureExecutions.ProcedureExecutionId",
    "FieldTable": "ProcedureExecutions",
    "FieldName": "ProcedureExecutionId",
    "FieldIsDerived": false,
    "IsWritableDerivedField": false,
    "IsMasked": false,
    "GrantKeyWhenReadable": "principal-knowledge-authority|ProcedureExecutions"
   },
   {
    "FieldGrantId": "fg-knowledge-authority-ProcedureExecutions.Name",
    "Principal": "principal-knowledge-authority",
    "TargetField": "ProcedureExecutions.Name",
    "CanRead": true,
    "CanWrite": false,
    "MaskStrategy": "plain",
    "SemanticTypeIri": "urn:effortless:pko-extension#FieldGrant",
    "Name": "principal-knowledge-authority -&gt; ProcedureExecutions.Name",
    "FieldTable": "ProcedureExecutions",
    "FieldName": "Name",
    "FieldIsDerived": true,
    "IsWritableDerivedField": false,
    "IsMasked": false,
    "GrantKeyWhenReadable": "principal-knowledge-authority|ProcedureExecutions"
   },
   {
    "FieldGrantId": "fg-knowledge-authority-ProcedureExecutions.ProcedureVersion",
    "Principal": "principal-knowledge-authority",
    "TargetField": "ProcedureExecutions.ProcedureVersion",
    "CanRead": true,
    "CanWrite": false,
    "MaskStrategy": "plain",
    "SemanticTypeIri": "urn:effortless:pko-extension#FieldGrant",
    "Name": "principal-knowledge-authority -&gt; ProcedureExecutions.ProcedureVersion",
    "FieldTable": "ProcedureExecutions",
    "FieldName": "ProcedureVersion",
    "FieldIsDerived": false,
    "IsWritableDerivedField": false,
    "IsMasked": false,
    "GrantKeyWhenReadable": "principal-knowledge-authority|ProcedureExecutions"
   },
   {
    "FieldGrantId": "fg-knowledge-authority-ProcedureExecutions.ExecutionStatus",
    "Principal": "principal-knowledge-authority",
    "TargetField": "ProcedureExecutions.ExecutionStatus",
    "CanRead": true,
    "CanWrite": false,
    "MaskStrategy": "plain",
    "SemanticTypeIri": "urn:effortless:pko-extension#FieldGrant",
    "Name": "principal-knowledge-authority -&gt; ProcedureExecutions.ExecutionStatus",
    "FieldTable": "ProcedureExecutions",
    "FieldName": "ExecutionStatus",
    "FieldIsDerived": false,
    "IsWritableDerivedField": false,
    "IsMasked": false,
    "GrantKeyWhenReadable": "principal-knowledge-authority|ProcedureExecutions"
   },
   {
    "FieldGrantId": "fg-knowledge-authority-ProcedureExecutions.StartedAt",
    "Principal": "principal-knowledge-authority",
    "TargetField": "ProcedureExecutions.StartedAt",
    "CanRead": true,
    "CanWrite": false,
    "MaskStrategy": "plain",
    "SemanticTypeIri": "urn:effortless:pko-extension#FieldGrant",
    "Name": "principal-knowledge-authority -&gt; ProcedureExecutions.StartedAt",
    "FieldTable": "ProcedureExecutions",
    "FieldName": "StartedAt",
    "FieldIsDerived": false,
    "IsWritableDerivedField": false,
    "IsMasked": false,
    "GrantKeyWhenReadable": "principal-knowledge-authority|ProcedureExecutions"
   },
   {
    "FieldGrantId": "fg-knowledge-authority-ProcedureExecutions.EndedAt",
    "Principal": "principal-knowledge-authority",
    "TargetField": "ProcedureExecutions.EndedAt",
    "CanRead": true,
    "CanWrite": false,
    "MaskStrategy": "plain",
    "SemanticTypeIri": "urn:effortless:pko-extension#FieldGrant",
    "Name": "principal-knowledge-authority -&gt; ProcedureExecutions.EndedAt",
    "FieldTable": "ProcedureExecutions",
    "FieldName": "EndedAt",
    "FieldIsDerived": false,
    "IsWritableDerivedField": false,
    "IsMasked": false,
    "GrantKeyWhenReadable": "principal-knowledge-authority|ProcedureExecutions"
   },
   {
    "FieldGrantId": "fg-knowledge-authority-ProcedureExecutions.ExecutedByAgent",
    "Principal": "principal-knowledge-authority",
    "TargetField": "ProcedureExecutions.ExecutedByAgent",
    "CanRead": true,
    "CanWrite": false,
    "MaskStrategy": "plain",
    "SemanticTypeIri": "urn:effortless:pko-extension#FieldGrant",
    "Name": "principal-knowledge-authority -&gt; ProcedureExecutions.ExecutedByAgent",
    "FieldTable": "ProcedureExecutions",
    "FieldName": "ExecutedByAgent",
    "FieldIsDerived": false,
    "IsWritableDerivedField": false,
    "IsMasked": false,
    "GrantKeyWhenReadable": "principal-knowledge-authority|ProcedureExecutions"
   },
   {
    "FieldGrantId": "fg-knowledge-authority-ProcedureExecutions.Context",
    "Principal": "principal-knowledge-authority",
    "TargetField": "ProcedureExecutions.Context",
    "CanRead": true,
    "CanWrite": false,
    "MaskStrategy": "plain",
    "SemanticTypeIri": "urn:effortless:pko-extension#FieldGrant",
    "Name": "principal-knowledge-authority -&gt; ProcedureExecutions.Context",
    "FieldTable": "ProcedureExecutions",
    "FieldName": "Context",
    "FieldIsDerived": false,
    "IsWritableDerivedField": false,
    "IsMasked": false,
    "GrantKeyWhenReadable": "principal-knowledge-authority|ProcedureExecutions"
   },
   {
    "FieldGrantId": "fg-knowledge-authority-ProcedureExecutions.OperationalRecordUri",
    "Principal": "principal-knowledge-authority",
    "TargetField": "ProcedureExecutions.OperationalRecordUri",
    "CanRead": true,
    "CanWrite": false,
    "MaskStrategy": "plain",
    "SemanticTypeIri": "urn:effortless:pko-extension#FieldGrant",
    "Name": "principal-knowledge-authority -&gt; ProcedureExecutions.OperationalRecordUri",
    "FieldTable": "ProcedureExecutions",
    "FieldName": "OperationalRecordUri",
    "FieldIsDerived": false,
    "IsWritableDerivedField": false,
    "IsMasked": false,
    "GrantKeyWhenReadable": "principal-knowledge-authority|ProcedureExecutions"
   },
   {
    "FieldGrantId": "fg-knowledge-authority-ProcedureExecutions.ExpectedStepCount",
    "Principal": "principal-knowledge-authority",
    "TargetField": "ProcedureExecutions.ExpectedStepCount",
    "CanRead": true,
    "CanWrite": false,
    "MaskStrategy": "plain",
    "SemanticTypeIri": "urn:effortless:pko-extension#FieldGrant",
    "Name": "principal-knowledge-authority -&gt; ProcedureExecutions.ExpectedStepCount",
    "FieldTable": "ProcedureExecutions",
    "FieldName": "ExpectedStepCount",
    "FieldIsDerived": true,
    "IsWritableDerivedField": false,
    "IsMasked": false,
    "GrantKeyWhenReadable": "principal-knowledge-authority|ProcedureExecutions"
   },
   {
    "FieldGrantId": "fg-knowledge-authority-ProcedureExecutions.CompletedStepCount",
    "Principal": "principal-knowledge-authority",
    "TargetField": "ProcedureExecutions.CompletedStepCount",
    "CanRead": true,
    "CanWrite": false,
    "MaskStrategy": "plain",
    "SemanticTypeIri": "urn:effortless:pko-extension#FieldGrant",
    "Name": "principal-knowledge-authority -&gt; ProcedureExecutions.CompletedStepCount",
    "FieldTable": "ProcedureExecutions",
    "FieldName": "CompletedStepCount",
    "FieldIsDerived": true,
    "IsWritableDerivedField": false,
    "IsMasked": false,
    "GrantKeyWhenReadable": "principal-knowledge-authority|ProcedureExecutions"
   },
   {
    "FieldGrantId": "fg-knowledge-authority-ProcedureExecutions.ControlBreachCount",
    "Principal": "principal-knowledge-authority",
    "TargetField": "ProcedureExecutions.ControlBreachCount",
    "CanRead": true,
    "CanWrite": false,
    "MaskStrategy": "plain",
    "SemanticTypeIri": "urn:effortless:pko-extension#FieldGrant",
    "Name": "principal-knowledge-authority -&gt; ProcedureExecutions.ControlBreachCount",
    "FieldTable": "ProcedureExecutions",
    "FieldName": "ControlBreachCount",
    "FieldIsDerived": true,
    "IsWritableDerivedField": false,
    "IsMasked": false,
    "GrantKeyWhenReadable": "principal-knowledge-authority|ProcedureExecutions"
   },
   {
    "FieldGrantId": "fg-knowledge-authority-ProcedureExecutions.LateStepCount",
    "Principal": "principal-knowledge-authority",
    "TargetField": "ProcedureExecutions.LateStepCount",
    "CanRead": true,
    "CanWrite": false,
    "MaskStrategy": "plain",
    "SemanticTypeIri": "urn:effortless:pko-extension#FieldGrant",
    "Name": "principal-knowledge-authority -&gt; ProcedureExecutions.LateStepCount",
    "FieldTable": "ProcedureExecutions",
    "FieldName": "LateStepCount",
    "FieldIsDerived": true,
    "IsWritableDerivedField": false,
    "IsMasked": false,
    "GrantKeyWhenReadable": "principal-knowledge-authority|ProcedureExecutions"
   },
   {
    "FieldGrantId": "fg-knowledge-authority-ProcedureExecutions.IsStructurallyComplete",
    "Principal": "principal-knowledge-authority",
    "TargetField": "ProcedureExecutions.IsStructurallyComplete",
    "CanRead": true,
    "CanWrite": false,
    "MaskStrategy": "plain",
    "SemanticTypeIri": "urn:effortless:pko-extension#FieldGrant",
    "Name": "principal-knowledge-authority -&gt; ProcedureExecutions.IsStructurallyComplete",
    "FieldTable": "ProcedureExecutions",
    "FieldName": "IsStructurallyComplete",
    "FieldIsDerived": true,
    "IsWritableDerivedField": false,
    "IsMasked": false,
    "GrantKeyWhenReadable": "principal-knowledge-authority|ProcedureExecutions"
   },
   {
    "FieldGrantId": "fg-knowledge-authority-ProcedureExecutions.DivergedFromSpecification",
    "Principal": "principal-knowledge-authority",
    "TargetField": "ProcedureExecutions.DivergedFromSpecification",
    "CanRead": true,
    "CanWrite": false,
    "MaskStrategy": "plain",
    "SemanticTypeIri": "urn:effortless:pko-extension#FieldGrant",
    "Name": "principal-knowledge-authority -&gt; ProcedureExecutions.DivergedFromSpecification",
    "FieldTable": "ProcedureExecutions",
    "FieldName": "DivergedFromSpecification",
    "FieldIsDerived": true,
    "IsWritableDerivedField": false,
    "IsMasked": false,
    "GrantKeyWhenReadable": "principal-knowledge-authority|ProcedureExecutions"
   },
   {
    "FieldGrantId": "fg-knowledge-authority-ProcedureExecutions.AllBlockingControlsEvaluated",
    "Principal": "principal-knowledge-authority",
    "TargetField": "ProcedureExecutions.AllBlockingControlsEvaluated",
    "CanRead": true,
    "CanWrite": false,
    "MaskStrategy": "plain",
    "SemanticTypeIri": "urn:effortless:pko-extension#FieldGrant",
    "Name": "principal-knowledge-authority -&gt; ProcedureExecutions.AllBlockingControlsEvaluated",
    "FieldTable": "ProcedureExecutions",
    "FieldName": "AllBlockingControlsEvaluated",
    "FieldIsDerived": true,
    "IsWritableDerivedField": false,
    "IsMasked": false,
    "GrantKeyWhenReadable": "principal-knowledge-authority|ProcedureExecutions"
   },
   {
    "FieldGrantId": "fg-knowledge-authority-ProcedureExecutions.UnevaluatedBlockingTotal",
    "Principal": "principal-knowledge-authority",
    "TargetField": "ProcedureExecutions.UnevaluatedBlockingTotal",
    "CanRead": true,
    "CanWrite": false,
    "MaskStrategy": "plain",
    "SemanticTypeIri": "urn:effortless:pko-extension#FieldGrant",
    "Name": "principal-knowledge-authority -&gt; ProcedureExecutions.UnevaluatedBlockingTotal",
    "FieldTable": "ProcedureExecutions",
    "FieldName": "UnevaluatedBlockingTotal",
    "FieldIsDerived": true,
    "IsWritableDerivedField": false,
    "IsMasked": false,
    "GrantKeyWhenReadable": "principal-knowledge-authority|ProcedureExecutions"
   },
   {
    "FieldGrantId": "fg-knowledge-authority-ProcedureExecutions.SeparationOfDutiesHeld",
    "Principal": "principal-knowledge-authority",
    "TargetField": "ProcedureExecutions.SeparationOfDutiesHeld",
    "CanRead": true,
    "CanWrite": false,
    "MaskStrategy": "plain",
    "SemanticTypeIri": "urn:effortless:pko-extension#FieldGrant",
    "Name": "principal-knowledge-authority -&gt; ProcedureExecutions.SeparationOfDutiesHeld",
    "FieldTable": "ProcedureExecutions",
    "FieldName": "SeparationOfDutiesHeld",
    "FieldIsDerived": true,
    "IsWritableDerivedField": false,
    "IsMasked": false,
    "GrantKeyWhenReadable": "principal-knowledge-authority|ProcedureExecutions"
   },
   {
    "FieldGrantId": "fg-knowledge-authority-ProcedureExecutions.SeparationViolationCount",
    "Principal": "principal-knowledge-authority",
    "TargetField": "ProcedureExecutions.SeparationViolationCount",
    "CanRead": true,
    "CanWrite": false,
    "MaskStrategy": "plain",
    "SemanticTypeIri": "urn:effortless:pko-extension#FieldGrant",
    "Name": "principal-knowledge-authority -&gt; ProcedureExecutions.SeparationViolationCount",
    "FieldTable": "ProcedureExecutions",
    "FieldName": "SeparationViolationCount",
    "FieldIsDerived": true,
    "IsWritableDerivedField": false,
    "IsMasked": false,
    "GrantKeyWhenReadable": "principal-knowledge-authority|ProcedureExecutions"
   },
   {
    "FieldGrantId": "fg-knowledge-authority-ProcedureExecutions.IsAttestationReady",
    "Principal": "principal-knowledge-authority",
    "TargetField": "ProcedureExecutions.IsAttestationReady",
    "CanRead": true,
    "CanWrite": false,
    "MaskStrategy": "plain",
    "SemanticTypeIri": "urn:effortless:pko-extension#FieldGrant",
    "Name": "principal-knowledge-authority -&gt; ProcedureExecutions.IsAttestationReady",
    "FieldTable": "ProcedureExecutions",
    "FieldName": "IsAttestationReady",
    "FieldIsDerived": true,
    "IsWritableDerivedField": false,
    "IsMasked": false,
    "GrantKeyWhenReadable": "principal-knowledge-authority|ProcedureExecutions"
   },
   {
    "FieldGrantId": "fg-knowledge-authority-ProcedureExecutions.AttestationBlockerSummary",
    "Principal": "principal-knowledge-authority",
    "TargetField": "ProcedureExecutions.AttestationBlockerSummary",
    "CanRead": true,
    "CanWrite": false,
    "MaskStrategy": "plain",
    "SemanticTypeIri": "urn:effortless:pko-extension#FieldGrant",
    "Name": "principal-knowledge-authority -&gt; ProcedureExecutions.AttestationBlockerSummary",
    "FieldTable": "ProcedureExecutions",
    "FieldName": "AttestationBlockerSummary",
    "FieldIsDerived": true,
    "IsWritableDerivedField": false,
    "IsMasked": false,
    "GrantKeyWhenReadable": "principal-knowledge-authority|ProcedureExecutions"
   },
   {
    "FieldGrantId": "fg-knowledge-authority-ProcedureExecutions.ExecutedVersionIsFit",
    "Principal": "principal-knowledge-authority",
    "TargetField": "ProcedureExecutions.ExecutedVersionIsFit",
    "CanRead": true,
    "CanWrite": false,
    "MaskStrategy": "plain",
    "SemanticTypeIri": "urn:effortless:pko-extension#FieldGrant",
    "Name": "principal-knowledge-authority -&gt; ProcedureExecutions.ExecutedVersionIsFit",
    "FieldTable": "ProcedureExecutions",
    "FieldName": "ExecutedVersionIsFit",
    "FieldIsDerived": true,
    "IsWritableDerivedField": false,
    "IsMasked": false,
    "GrantKeyWhenReadable": "principal-knowledge-authority|ProcedureExecutions"
   },
   {
    "FieldGrantId": "fg-knowledge-authority-ProcedureExecutions.SignedAgainstUnfitVersion",
    "Principal": "principal-knowledge-authority",
    "TargetField": "ProcedureExecutions.SignedAgainstUnfitVersion",
    "CanRead": true,
    "CanWrite": false,
    "MaskStrategy": "plain",
    "SemanticTypeIri": "urn:effortless:pko-extension#FieldGrant",
    "Name": "principal-knowledge-authority -&gt; ProcedureExecutions.SignedAgainstUnfitVersion",
    "FieldTable": "ProcedureExecutions",
    "FieldName": "SignedAgainstUnfitVersion",
    "FieldIsDerived": true,
    "IsWritableDerivedField": false,
    "IsMasked": false,
    "GrantKeyWhenReadable": "principal-knowledge-authority|ProcedureExecutions"
   },
   {
    "FieldGrantId": "fg-knowledge-authority-ProcedureExecutions.AssertedOnlyControlCount",
    "Principal": "principal-knowledge-authority",
    "TargetField": "ProcedureExecutions.AssertedOnlyControlCount",
    "CanRead": true,
    "CanWrite": false,
    "MaskStrategy": "plain",
    "SemanticTypeIri": "urn:effortless:pko-extension#FieldGrant",
    "Name": "principal-knowledge-authority -&gt; ProcedureExecutions.AssertedOnlyControlCount",
    "FieldTable": "ProcedureExecutions",
    "FieldName": "AssertedOnlyControlCount",
    "FieldIsDerived": true,
    "IsWritableDerivedField": false,
    "IsMasked": false,
    "GrantKeyWhenReadable": "principal-knowledge-authority|ProcedureExecutions"
   },
   {
    "FieldGrantId": "fg-knowledge-authority-ProcedureExecutions.AssuranceIsMostlyAsserted",
    "Principal": "principal-knowledge-authority",
    "TargetField": "ProcedureExecutions.AssuranceIsMostlyAsserted",
    "CanRead": true,
    "CanWrite": false,
    "MaskStrategy": "plain",
    "SemanticTypeIri": "urn:effortless:pko-extension#FieldGrant",
    "Name": "principal-knowledge-authority -&gt; ProcedureExecutions.AssuranceIsMostlyAsserted",
    "FieldTable": "ProcedureExecutions",
    "FieldName": "AssuranceIsMostlyAsserted",
    "FieldIsDerived": true,
    "IsWritableDerivedField": false,
    "IsMasked": false,
    "GrantKeyWhenReadable": "principal-knowledge-authority|ProcedureExecutions"
   },
   {
    "FieldGrantId": "fg-knowledge-authority-ProcedureExecutions.UnreachableHandlingFailureCount",
    "Principal": "principal-knowledge-authority",
    "TargetField": "ProcedureExecutions.UnreachableHandlingFailureCount",
    "CanRead": true,
    "CanWrite": false,
    "MaskStrategy": "plain",
    "SemanticTypeIri": "urn:effortless:pko-extension#FieldGrant",
    "Name": "principal-knowledge-authority -&gt; ProcedureExecutions.UnreachableHandlingFailureCount",
    "FieldTable": "ProcedureExecutions",
    "FieldName": "UnreachableHandlingFailureCount",
    "FieldIsDerived": true,
    "IsWritableDerivedField": false,
    "IsMasked": false,
    "GrantKeyWhenReadable": "principal-knowledge-authority|ProcedureExecutions"
   },
   {
    "FieldGrantId": "fg-knowledge-authority-ProcedureExecutions.RetentionBreachCount",
    "Principal": "principal-knowledge-authority",
    "TargetField": "ProcedureExecutions.RetentionBreachCount",
    "CanRead": true,
    "CanWrite": false,
    "MaskStrategy": "plain",
    "SemanticTypeIri": "urn:effortless:pko-extension#FieldGrant",
    "Name": "principal-knowledge-authority -&gt; ProcedureExecutions.RetentionBreachCount",
    "FieldTable": "ProcedureExecutions",
    "FieldName": "RetentionBreachCount",
    "FieldIsDerived": true,
    "IsWritableDerivedField": false,
    "IsMasked": false,
    "GrantKeyWhenReadable": "principal-knowledge-authority|ProcedureExecutions"
   },
   {
    "FieldGrantId": "fg-knowledge-authority-ProcedureExecutions.ClearedLegalReviewCount",
    "Principal": "principal-knowledge-authority",
    "TargetField": "ProcedureExecutions.ClearedLegalReviewCount",
    "CanRead": true,
    "CanWrite": false,
    "MaskStrategy": "plain",
    "SemanticTypeIri": "urn:effortless:pko-extension#FieldGrant",
    "Name": "principal-knowledge-authority -&gt; ProcedureExecutions.ClearedLegalReviewCount",
    "FieldTable": "ProcedureExecutions",
    "FieldName": "ClearedLegalReviewCount",
    "FieldIsDerived": true,
    "IsWritableDerivedField": false,
    "IsMasked": false,
    "GrantKeyWhenReadable": "principal-knowledge-authority|ProcedureExecutions"
   },
   {
    "FieldGrantId": "fg-knowledge-authority-ProcedureExecutions.HasClearedLegalReview",
    "Principal": "principal-knowledge-authority",
    "TargetField": "ProcedureExecutions.HasClearedLegalReview",
    "CanRead": true,
    "CanWrite": false,
    "MaskStrategy": "plain",
    "SemanticTypeIri": "urn:effortless:pko-extension#FieldGrant",
    "Name": "principal-knowledge-authority -&gt; ProcedureExecutions.HasClearedLegalReview",
    "FieldTable": "ProcedureExecutions",
    "FieldName": "HasClearedLegalReview",
    "FieldIsDerived": true,
    "IsWritableDerivedField": false,
    "IsMasked": false,
    "GrantKeyWhenReadable": "principal-knowledge-authority|ProcedureExecutions"
   },
   {
    "FieldGrantId": "fg-knowledge-authority-ProcedureExecutions.AbandonedFailureCount",
    "Principal": "principal-knowledge-authority",
    "TargetField": "ProcedureExecutions.AbandonedFailureCount",
    "CanRead": true,
    "CanWrite": false,
    "MaskStrategy": "plain",
    "SemanticTypeIri": "urn:effortless:pko-extension#FieldGrant",
    "Name": "principal-knowledge-authority -&gt; ProcedureExecutions.AbandonedFailureCount",
    "FieldTable": "ProcedureExecutions",
    "FieldName": "AbandonedFailureCount",
    "FieldIsDerived": true,
    "IsWritableDerivedField": false,
    "IsMasked": false,
    "GrantKeyWhenReadable": "principal-knowledge-authority|ProcedureExecutions"
   },
   {
    "FieldGrantId": "fg-knowledge-authority-ProcedureExecutions.DeliveredCount",
    "Principal": "principal-knowledge-authority",
    "TargetField": "ProcedureExecutions.DeliveredCount",
    "CanRead": true,
    "CanWrite": false,
    "MaskStrategy": "plain",
    "SemanticTypeIri": "urn:effortless:pko-extension#FieldGrant",
    "Name": "principal-knowledge-authority -&gt; ProcedureExecutions.DeliveredCount",
    "FieldTable": "ProcedureExecutions",
    "FieldName": "DeliveredCount",
    "FieldIsDerived": true,
    "IsWritableDerivedField": false,
    "IsMasked": false,
    "GrantKeyWhenReadable": "principal-knowledge-authority|ProcedureExecutions"
   },
   {
    "FieldGrantId": "fg-knowledge-authority-ProcedureExecutions.TotalDeliveryAttemptCount",
    "Principal": "principal-knowledge-authority",
    "TargetField": "ProcedureExecutions.TotalDeliveryAttemptCount",
    "CanRead": true,
    "CanWrite": false,
    "MaskStrategy": "plain",
    "SemanticTypeIri": "urn:effortless:pko-extension#FieldGrant",
    "Name": "principal-knowledge-authority -&gt; ProcedureExecutions.TotalDeliveryAttemptCount",
    "FieldTable": "ProcedureExecutions",
    "FieldName": "TotalDeliveryAttemptCount",
    "FieldIsDerived": true,
    "IsWritableDerivedField": false,
    "IsMasked": false,
    "GrantKeyWhenReadable": "principal-knowledge-authority|ProcedureExecutions"
   },
   {
    "FieldGrantId": "fg-knowledge-authority-ProcedureExecutions.HasAbandonedFailures",
    "Principal": "principal-knowledge-authority",
    "TargetField": "ProcedureExecutions.HasAbandonedFailures",
    "CanRead": true,
    "CanWrite": false,
    "MaskStrategy": "plain",
    "SemanticTypeIri": "urn:effortless:pko-extension#FieldGrant",
    "Name": "principal-knowledge-authority -&gt; ProcedureExecutions.HasAbandonedFailures",
    "FieldTable": "ProcedureExecutions",
    "FieldName": "HasAbandonedFailures",
    "FieldIsDerived": true,
    "IsWritableDerivedField": false,
    "IsMasked": false,
    "GrantKeyWhenReadable": "principal-knowledge-authority|ProcedureExecutions"
   },
   {
    "FieldGrantId": "fg-knowledge-authority-ProcedureExecutions.MishandledRefusalCount",
    "Principal": "principal-knowledge-authority",
    "TargetField": "ProcedureExecutions.MishandledRefusalCount",
    "CanRead": true,
    "CanWrite": false,
    "MaskStrategy": "plain",
    "SemanticTypeIri": "urn:effortless:pko-extension#FieldGrant",
    "Name": "principal-knowledge-authority -&gt; ProcedureExecutions.MishandledRefusalCount",
    "FieldTable": "ProcedureExecutions",
    "FieldName": "MishandledRefusalCount",
    "FieldIsDerived": true,
    "IsWritableDerivedField": false,
    "IsMasked": false,
    "GrantKeyWhenReadable": "principal-knowledge-authority|ProcedureExecutions"
   },
   {
    "FieldGrantId": "fg-knowledge-authority-ProcedureExecutions.UncleanStepCount",
    "Principal": "principal-knowledge-authority",
    "TargetField": "ProcedureExecutions.UncleanStepCount",
    "CanRead": true,
    "CanWrite": false,
    "MaskStrategy": "plain",
    "SemanticTypeIri": "urn:effortless:pko-extension#FieldGrant",
    "Name": "principal-knowledge-authority -&gt; ProcedureExecutions.UncleanStepCount",
    "FieldTable": "ProcedureExecutions",
    "FieldName": "UncleanStepCount",
    "FieldIsDerived": true,
    "IsWritableDerivedField": false,
    "IsMasked": false,
    "GrantKeyWhenReadable": "principal-knowledge-authority|ProcedureExecutions"
   },
   {
    "FieldGrantId": "fg-knowledge-authority-ProcedureExecutions.RanClean",
    "Principal": "principal-knowledge-authority",
    "TargetField": "ProcedureExecutions.RanClean",
    "CanRead": true,
    "CanWrite": false,
    "MaskStrategy": "plain",
    "SemanticTypeIri": "urn:effortless:pko-extension#FieldGrant",
    "Name": "principal-knowledge-authority -&gt; ProcedureExecutions.RanClean",
    "FieldTable": "ProcedureExecutions",
    "FieldName": "RanClean",
    "FieldIsDerived": true,
    "IsWritableDerivedField": false,
    "IsMasked": false,
    "GrantKeyWhenReadable": "principal-knowledge-authority|ProcedureExecutions"
   },
   {
    "FieldGrantId": "fg-knowledge-authority-ProcedureExecutions.CountOfApprovalExecutions",
    "Principal": "principal-knowledge-authority",
    "TargetField": "ProcedureExecutions.CountOfApprovalExecutions",
    "CanRead": true,
    "CanWrite": false,
    "MaskStrategy": "plain",
    "SemanticTypeIri": "urn:effortless:pko-extension#FieldGrant",
    "Name": "principal-knowledge-authority -&gt; ProcedureExecutions.CountOfApprovalExecutions",
    "FieldTable": "ProcedureExecutions",
    "FieldName": "CountOfApprovalExecutions",
    "FieldIsDerived": true,
    "IsWritableDerivedField": false,
    "IsMasked": false,
    "GrantKeyWhenReadable": "principal-knowledge-authority|ProcedureExecutions"
   },
   {
    "FieldGrantId": "fg-knowledge-authority-ProcedureExecutions.HasHumanApproval",
    "Principal": "principal-knowledge-authority",
    "TargetField": "ProcedureExecutions.HasHumanApproval",
    "CanRead": true,
    "CanWrite": false,
    "MaskStrategy": "plain",
    "SemanticTypeIri": "urn:effortless:pko-extension#FieldGrant",
    "Name": "principal-knowledge-authority -&gt; ProcedureExecutions.HasHumanApproval",
    "FieldTable": "ProcedureExecutions",
    "FieldName": "HasHumanApproval",
    "FieldIsDerived": true,
    "IsWritableDerivedField": false,
    "IsMasked": false,
    "GrantKeyWhenReadable": "principal-knowledge-authority|ProcedureExecutions"
   },
   {
    "FieldGrantId": "fg-knowledge-authority-ProcedureExecutions.CountOfDeliveryExecutions",
    "Principal": "principal-knowledge-authority",
    "TargetField": "ProcedureExecutions.CountOfDeliveryExecutions",
    "CanRead": true,
    "CanWrite": false,
    "MaskStrategy": "plain",
    "SemanticTypeIri": "urn:effortless:pko-extension#FieldGrant",
    "Name": "principal-knowledge-authority -&gt; ProcedureExecutions.CountOfDeliveryExecutions",
    "FieldTable": "ProcedureExecutions",
    "FieldName": "CountOfDeliveryExecutions",
    "FieldIsDerived": true,
    "IsWritableDerivedField": false,
    "IsMasked": false,
    "GrantKeyWhenReadable": "principal-knowledge-authority|ProcedureExecutions"
   },
   {
    "FieldGrantId": "fg-knowledge-authority-ProcedureExecutions.HasDelivered",
    "Principal": "principal-knowledge-authority",
    "TargetField": "ProcedureExecutions.HasDelivered",
    "CanRead": true,
    "CanWrite": false,
    "MaskStrategy": "plain",
    "SemanticTypeIri": "urn:effortless:pko-extension#FieldGrant",
    "Name": "principal-knowledge-authority -&gt; ProcedureExecutions.HasDelivered",
    "FieldTable": "ProcedureExecutions",
    "FieldName": "HasDelivered",
    "FieldIsDerived": true,
    "IsWritableDerivedField": false,
    "IsMasked": false,
    "GrantKeyWhenReadable": "principal-knowledge-authority|ProcedureExecutions"
   },
   {
    "FieldGrantId": "fg-knowledge-authority-ProcedureExecutions.DeliveredWithoutApproval",
    "Principal": "principal-knowledge-authority",
    "TargetField": "ProcedureExecutions.DeliveredWithoutApproval",
    "CanRead": true,
    "CanWrite": false,
    "MaskStrategy": "plain",
    "SemanticTypeIri": "urn:effortless:pko-extension#FieldGrant",
    "Name": "principal-knowledge-authority -&gt; ProcedureExecutions.DeliveredWithoutApproval",
    "FieldTable": "ProcedureExecutions",
    "FieldName": "DeliveredWithoutApproval",
    "FieldIsDerived": true,
    "IsWritableDerivedField": false,
    "IsMasked": false,
    "GrantKeyWhenReadable": "principal-knowledge-authority|ProcedureExecutions"
   },
   {
    "FieldGrantId": "fg-knowledge-authority-ProcedureExecutions.InvalidApprovalCount",
    "Principal": "principal-knowledge-authority",
    "TargetField": "ProcedureExecutions.InvalidApprovalCount",
    "CanRead": true,
    "CanWrite": false,
    "MaskStrategy": "plain",
    "SemanticTypeIri": "urn:effortless:pko-extension#FieldGrant",
    "Name": "principal-knowledge-authority -&gt; ProcedureExecutions.InvalidApprovalCount",
    "FieldTable": "ProcedureExecutions",
    "FieldName": "InvalidApprovalCount",
    "FieldIsDerived": true,
    "IsWritableDerivedField": false,
    "IsMasked": false,
    "GrantKeyWhenReadable": "principal-knowledge-authority|ProcedureExecutions"
   },
   {
    "FieldGrantId": "fg-knowledge-authority-ProcedureExecutions.ApprovalChainIsComplete",
    "Principal": "principal-knowledge-authority",
    "TargetField": "ProcedureExecutions.ApprovalChainIsComplete",
    "CanRead": true,
    "CanWrite": false,
    "MaskStrategy": "plain",
    "SemanticTypeIri": "urn:effortless:pko-extension#FieldGrant",
    "Name": "principal-knowledge-authority -&gt; ProcedureExecutions.ApprovalChainIsComplete",
    "FieldTable": "ProcedureExecutions",
    "FieldName": "ApprovalChainIsComplete",
    "FieldIsDerived": true,
    "IsWritableDerivedField": false,
    "IsMasked": false,
    "GrantKeyWhenReadable": "principal-knowledge-authority|ProcedureExecutions"
   },
   {
    "FieldGrantId": "fg-knowledge-authority-ProcedureExecutions.VacuouslyCleanStepCount",
    "Principal": "principal-knowledge-authority",
    "TargetField": "ProcedureExecutions.VacuouslyCleanStepCount",
    "CanRead": true,
    "CanWrite": false,
    "MaskStrategy": "plain",
    "SemanticTypeIri": "urn:effortless:pko-extension#FieldGrant",
    "Name": "principal-knowledge-authority -&gt; ProcedureExecutions.VacuouslyCleanStepCount",
    "FieldTable": "ProcedureExecutions",
    "FieldName": "VacuouslyCleanStepCount",
    "FieldIsDerived": true,
    "IsWritableDerivedField": false,
    "IsMasked": false,
    "GrantKeyWhenReadable": "principal-knowledge-authority|ProcedureExecutions"
   },
   {
    "FieldGrantId": "fg-knowledge-authority-ProcedureExecutions.PreparationStepCount",
    "Principal": "principal-knowledge-authority",
    "TargetField": "ProcedureExecutions.PreparationStepCount",
    "CanRead": true,
    "CanWrite": false,
    "MaskStrategy": "plain",
    "SemanticTypeIri": "urn:effortless:pko-extension#FieldGrant",
    "Name": "principal-knowledge-authority -&gt; ProcedureExecutions.PreparationStepCount",
    "FieldTable": "ProcedureExecutions",
    "FieldName": "PreparationStepCount",
    "FieldIsDerived": true,
    "IsWritableDerivedField": false,
    "IsMasked": false,
    "GrantKeyWhenReadable": "principal-knowledge-authority|ProcedureExecutions"
   },
   {
    "FieldGrantId": "fg-knowledge-authority-ProcedureExecutions.ApprovalStepCount",
    "Principal": "principal-knowledge-authority",
    "TargetField": "ProcedureExecutions.ApprovalStepCount",
    "CanRead": true,
    "CanWrite": false,
    "MaskStrategy": "plain",
    "SemanticTypeIri": "urn:effortless:pko-extension#FieldGrant",
    "Name": "principal-knowledge-authority -&gt; ProcedureExecutions.ApprovalStepCount",
    "FieldTable": "ProcedureExecutions",
    "FieldName": "ApprovalStepCount",
    "FieldIsDerived": true,
    "IsWritableDerivedField": false,
    "IsMasked": false,
    "GrantKeyWhenReadable": "principal-knowledge-authority|ProcedureExecutions"
   },
   {
    "FieldGrantId": "fg-knowledge-authority-ProcedureExecutions.SeparationWasTestable",
    "Principal": "principal-knowledge-authority",
    "TargetField": "ProcedureExecutions.SeparationWasTestable",
    "CanRead": true,
    "CanWrite": false,
    "MaskStrategy": "plain",
    "SemanticTypeIri": "urn:effortless:pko-extension#FieldGrant",
    "Name": "principal-knowledge-authority -&gt; ProcedureExecutions.SeparationWasTestable",
    "FieldTable": "ProcedureExecutions",
    "FieldName": "SeparationWasTestable",
    "FieldIsDerived": true,
    "IsWritableDerivedField": false,
    "IsMasked": false,
    "GrantKeyWhenReadable": "principal-knowledge-authority|ProcedureExecutions"
   },
   {
    "FieldGrantId": "fg-knowledge-authority-ProcedureExecutions.SeparationHeldUnderTest",
    "Principal": "principal-knowledge-authority",
    "TargetField": "ProcedureExecutions.SeparationHeldUnderTest",
    "CanRead": true,
    "CanWrite": false,
    "MaskStrategy": "plain",
    "SemanticTypeIri": "urn:effortless:pko-extension#FieldGrant",
    "Name": "principal-knowledge-authority -&gt; ProcedureExecutions.SeparationHeldUnderTest",
    "FieldTable": "ProcedureExecutions",
    "FieldName": "SeparationHeldUnderTest",
    "FieldIsDerived": true,
    "IsWritableDerivedField": false,
    "IsMasked": false,
    "GrantKeyWhenReadable": "principal-knowledge-authority|ProcedureExecutions"</t>
  </si>
  <si>
    <t xml:space="preserve">
   },
   {
    "FieldGrantId": "fg-knowledge-authority-ProcedureExecutions.SeparationIsVacuouslyGreen",
    "Principal": "principal-knowledge-authority",
    "TargetField": "ProcedureExecutions.SeparationIsVacuouslyGreen",
    "CanRead": true,
    "CanWrite": false,
    "MaskStrategy": "plain",
    "SemanticTypeIri": "urn:effortless:pko-extension#FieldGrant",
    "Name": "principal-knowledge-authority -&gt; ProcedureExecutions.SeparationIsVacuouslyGreen",
    "FieldTable": "ProcedureExecutions",
    "FieldName": "SeparationIsVacuouslyGreen",
    "FieldIsDerived": true,
    "IsWritableDerivedField": false,
    "IsMasked": false,
    "GrantKeyWhenReadable": "principal-knowledge-authority|ProcedureExecutions"
   },
   {
    "FieldGrantId": "fg-knowledge-authority-ProcedureExecutions.SeparationAssuranceNote",
    "Principal": "principal-knowledge-authority",
    "TargetField": "ProcedureExecutions.SeparationAssuranceNote",
    "CanRead": true,
    "CanWrite": false,
    "MaskStrategy": "plain",
    "SemanticTypeIri": "urn:effortless:pko-extension#FieldGrant",
    "Name": "principal-knowledge-authority -&gt; ProcedureExecutions.SeparationAssuranceNote",
    "FieldTable": "ProcedureExecutions",
    "FieldName": "SeparationAssuranceNote",
    "FieldIsDerived": true,
    "IsWritableDerivedField": false,
    "IsMasked": false,
    "GrantKeyWhenReadable": "principal-knowledge-authority|ProcedureExecutions"
   },
   {
    "FieldGrantId": "fg-knowledge-authority-ProcedureExecutions.UngovernedDivergenceCount",
    "Principal": "principal-knowledge-authority",
    "TargetField": "ProcedureExecutions.UngovernedDivergenceCount",
    "CanRead": true,
    "CanWrite": false,
    "MaskStrategy": "plain",
    "SemanticTypeIri": "urn:effortless:pko-extension#FieldGrant",
    "Name": "principal-knowledge-authority -&gt; ProcedureExecutions.UngovernedDivergenceCount",
    "FieldTable": "ProcedureExecutions",
    "FieldName": "UngovernedDivergenceCount",
    "FieldIsDerived": true,
    "IsWritableDerivedField": false,
    "IsMasked": false,
    "GrantKeyWhenReadable": "principal-knowledge-authority|ProcedureExecutions"
   },
   {
    "FieldGrantId": "fg-knowledge-authority-ProcedureExecutions.DivergenceWasFullyGoverned",
    "Principal": "principal-knowledge-authority",
    "TargetField": "ProcedureExecutions.DivergenceWasFullyGoverned",
    "CanRead": true,
    "CanWrite": false,
    "MaskStrategy": "plain",
    "SemanticTypeIri": "urn:effortless:pko-extension#FieldGrant",
    "Name": "principal-knowledge-authority -&gt; ProcedureExecutions.DivergenceWasFullyGoverned",
    "FieldTable": "ProcedureExecutions",
    "FieldName": "DivergenceWasFullyGoverned",
    "FieldIsDerived": true,
    "IsWritableDerivedField": false,
    "IsMasked": false,
    "GrantKeyWhenReadable": "principal-knowledge-authority|ProcedureExecutions"
   },
   {
    "FieldGrantId": "fg-knowledge-authority-ProcedureExecutions.ComputedlyWitnessedControlCount",
    "Principal": "principal-knowledge-authority",
    "TargetField": "ProcedureExecutions.ComputedlyWitnessedControlCount",
    "CanRead": true,
    "CanWrite": false,
    "MaskStrategy": "plain",
    "SemanticTypeIri": "urn:effortless:pko-extension#FieldGrant",
    "Name": "principal-knowledge-authority -&gt; ProcedureExecutions.ComputedlyWitnessedControlCount",
    "FieldTable": "ProcedureExecutions",
    "FieldName": "ComputedlyWitnessedControlCount",
    "FieldIsDerived": true,
    "IsWritableDerivedField": false,
    "IsMasked": false,
    "GrantKeyWhenReadable": "principal-knowledge-authority|ProcedureExecutions"
   },
   {
    "FieldGrantId": "fg-knowledge-authority-ProcedureExecutions.EvaluatedControlCount",
    "Principal": "principal-knowledge-authority",
    "TargetField": "ProcedureExecutions.EvaluatedControlCount",
    "CanRead": true,
    "CanWrite": false,
    "MaskStrategy": "plain",
    "SemanticTypeIri": "urn:effortless:pko-extension#FieldGrant",
    "Name": "principal-knowledge-authority -&gt; ProcedureExecutions.EvaluatedControlCount",
    "FieldTable": "ProcedureExecutions",
    "FieldName": "EvaluatedControlCount",
    "FieldIsDerived": true,
    "IsWritableDerivedField": false,
    "IsMasked": false,
    "GrantKeyWhenReadable": "principal-knowledge-authority|ProcedureExecutions"
   },
   {
    "FieldGrantId": "fg-knowledge-authority-ProcedureExecutions.ComputedAssuranceRatio",
    "Principal": "principal-knowledge-authority",
    "TargetField": "ProcedureExecutions.ComputedAssuranceRatio",
    "CanRead": true,
    "CanWrite": false,
    "MaskStrategy": "plain",
    "SemanticTypeIri": "urn:effortless:pko-extension#FieldGrant",
    "Name": "principal-knowledge-authority -&gt; ProcedureExecutions.ComputedAssuranceRatio",
    "FieldTable": "ProcedureExecutions",
    "FieldName": "ComputedAssuranceRatio",
    "FieldIsDerived": true,
    "IsWritableDerivedField": false,
    "IsMasked": false,
    "GrantKeyWhenReadable": "principal-knowledge-authority|ProcedureExecutions"
   },
   {
    "FieldGrantId": "fg-knowledge-authority-ProcedureExecutions.InterestedPartyAssertionCount",
    "Principal": "principal-knowledge-authority",
    "TargetField": "ProcedureExecutions.InterestedPartyAssertionCount",
    "CanRead": true,
    "CanWrite": false,
    "MaskStrategy": "plain",
    "SemanticTypeIri": "urn:effortless:pko-extension#FieldGrant",
    "Name": "principal-knowledge-authority -&gt; ProcedureExecutions.InterestedPartyAssertionCount",
    "FieldTable": "ProcedureExecutions",
    "FieldName": "InterestedPartyAssertionCount",
    "FieldIsDerived": true,
    "IsWritableDerivedField": false,
    "IsMasked": false,
    "GrantKeyWhenReadable": "principal-knowledge-authority|ProcedureExecutions"
   },
   {
    "FieldGrantId": "fg-knowledge-authority-ProcedureExecutions.AssuranceGrade",
    "Principal": "principal-knowledge-authority",
    "TargetField": "ProcedureExecutions.AssuranceGrade",
    "CanRead": true,
    "CanWrite": false,
    "MaskStrategy": "plain",
    "SemanticTypeIri": "urn:effortless:pko-extension#FieldGrant",
    "Name": "principal-knowledge-authority -&gt; ProcedureExecutions.AssuranceGrade",
    "FieldTable": "ProcedureExecutions",
    "FieldName": "AssuranceGrade",
    "FieldIsDerived": true,
    "IsWritableDerivedField": false,
    "IsMasked": false,
    "GrantKeyWhenReadable": "principal-knowledge-authority|ProcedureExecutions"
   },
   {
    "FieldGrantId": "fg-knowledge-authority-ProcedureExecutions.AttestationWouldBeWeaklyBased",
    "Principal": "principal-knowledge-authority",
    "TargetField": "ProcedureExecutions.AttestationWouldBeWeaklyBased",
    "CanRead": true,
    "CanWrite": false,
    "MaskStrategy": "plain",
    "SemanticTypeIri": "urn:effortless:pko-extension#FieldGrant",
    "Name": "principal-knowledge-authority -&gt; ProcedureExecutions.AttestationWouldBeWeaklyBased",
    "FieldTable": "ProcedureExecutions",
    "FieldName": "AttestationWouldBeWeaklyBased",
    "FieldIsDerived": true,
    "IsWritableDerivedField": false,
    "IsMasked": false,
    "GrantKeyWhenReadable": "principal-knowledge-authority|ProcedureExecutions"
   },
   {
    "FieldGrantId": "fg-knowledge-authority-ProcedureExecutions.IndependentHumanObservationCount",
    "Principal": "principal-knowledge-authority",
    "TargetField": "ProcedureExecutions.IndependentHumanObservationCount",
    "CanRead": true,
    "CanWrite": false,
    "MaskStrategy": "plain",
    "SemanticTypeIri": "urn:effortless:pko-extension#FieldGrant",
    "Name": "principal-knowledge-authority -&gt; ProcedureExecutions.IndependentHumanObservationCount",
    "FieldTable": "ProcedureExecutions",
    "FieldName": "IndependentHumanObservationCount",
    "FieldIsDerived": true,
    "IsWritableDerivedField": false,
    "IsMasked": false,
    "GrantKeyWhenReadable": "principal-knowledge-authority|ProcedureExecutions"
   },
   {
    "FieldGrantId": "fg-knowledge-authority-ProcedureExecutions.HasAnyIndependentObservation",
    "Principal": "principal-knowledge-authority",
    "TargetField": "ProcedureExecutions.HasAnyIndependentObservation",
    "CanRead": true,
    "CanWrite": false,
    "MaskStrategy": "plain",
    "SemanticTypeIri": "urn:effortless:pko-extension#FieldGrant",
    "Name": "principal-knowledge-authority -&gt; ProcedureExecutions.HasAnyIndependentObservation",
    "FieldTable": "ProcedureExecutions",
    "FieldName": "HasAnyIndependentObservation",
    "FieldIsDerived": true,
    "IsWritableDerivedField": false,
    "IsMasked": false,
    "GrantKeyWhenReadable": "principal-knowledge-authority|ProcedureExecutions"
   },
   {
    "FieldGrantId": "fg-knowledge-authority-ProcedureExecutions.SelfAttestedApprovalCount",
    "Principal": "principal-knowledge-authority",
    "TargetField": "ProcedureExecutions.SelfAttestedApprovalCount",
    "CanRead": true,
    "CanWrite": false,
    "MaskStrategy": "plain",
    "SemanticTypeIri": "urn:effortless:pko-extension#FieldGrant",
    "Name": "principal-knowledge-authority -&gt; ProcedureExecutions.SelfAttestedApprovalCount",
    "FieldTable": "ProcedureExecutions",
    "FieldName": "SelfAttestedApprovalCount",
    "FieldIsDerived": true,
    "IsWritableDerivedField": false,
    "IsMasked": false,
    "GrantKeyWhenReadable": "principal-knowledge-authority|ProcedureExecutions"
   },
   {
    "FieldGrantId": "fg-knowledge-authority-ProcedureExecutions.AssuranceChainIsCircular",
    "Principal": "principal-knowledge-authority",
    "TargetField": "ProcedureExecutions.AssuranceChainIsCircular",
    "CanRead": true,
    "CanWrite": false,
    "MaskStrategy": "plain",
    "SemanticTypeIri": "urn:effortless:pko-extension#FieldGrant",
    "Name": "principal-knowledge-authority -&gt; ProcedureExecutions.AssuranceChainIsCircular",
    "FieldTable": "ProcedureExecutions",
    "FieldName": "AssuranceChainIsCircular",
    "FieldIsDerived": true,
    "IsWritableDerivedField": false,
    "IsMasked": false,
    "GrantKeyWhenReadable": "principal-knowledge-authority|ProcedureExecutions"
   },
   {
    "FieldGrantId": "fg-knowledge-authority-ProcedureExecutions.LatestAttestationInstant",
    "Principal": "principal-knowledge-authority",
    "TargetField": "ProcedureExecutions.LatestAttestationInstant",
    "CanRead": true,
    "CanWrite": false,
    "MaskStrategy": "plain",
    "SemanticTypeIri": "urn:effortless:pko-extension#FieldGrant",
    "Name": "principal-knowledge-authority -&gt; ProcedureExecutions.LatestAttestationInstant",
    "FieldTable": "ProcedureExecutions",
    "FieldName": "LatestAttestationInstant",
    "FieldIsDerived": true,
    "IsWritableDerivedField": false,
    "IsMasked": false,
    "GrantKeyWhenReadable": "principal-knowledge-authority|ProcedureExecutions"
   },
   {
    "FieldGrantId": "fg-knowledge-authority-ProcedureExecutions.HasBeenAttested",
    "Principal": "principal-knowledge-authority",
    "TargetField": "ProcedureExecutions.HasBeenAttested",
    "CanRead": true,
    "CanWrite": false,
    "MaskStrategy": "plain",
    "SemanticTypeIri": "urn:effortless:pko-extension#FieldGrant",
    "Name": "principal-knowledge-authority -&gt; ProcedureExecutions.HasBeenAttested",
    "FieldTable": "ProcedureExecutions",
    "FieldName": "HasBeenAttested",
    "FieldIsDerived": true,
    "IsWritableDerivedField": false,
    "IsMasked": false,
    "GrantKeyWhenReadable": "principal-knowledge-authority|ProcedureExecutions"
   },
   {
    "FieldGrantId": "fg-knowledge-authority-ProcedureExecutions.AttestationCount",
    "Principal": "principal-knowledge-authority",
    "TargetField": "ProcedureExecutions.AttestationCount",
    "CanRead": true,
    "CanWrite": false,
    "MaskStrategy": "plain",
    "SemanticTypeIri": "urn:effortless:pko-extension#FieldGrant",
    "Name": "principal-knowledge-authority -&gt; ProcedureExecutions.AttestationCount",
    "FieldTable": "ProcedureExecutions",
    "FieldName": "AttestationCount",
    "FieldIsDerived": true,
    "IsWritableDerivedField": false,
    "IsMasked": false,
    "GrantKeyWhenReadable": "principal-knowledge-authority|ProcedureExecutions"
   },
   {
    "FieldGrantId": "fg-knowledge-authority-ProcedureExecutions.PostAttestationScoreCount",
    "Principal": "principal-knowledge-authority",
    "TargetField": "ProcedureExecutions.PostAttestationScoreCount",
    "CanRead": true,
    "CanWrite": false,
    "MaskStrategy": "plain",
    "SemanticTypeIri": "urn:effortless:pko-extension#FieldGrant",
    "Name": "principal-knowledge-authority -&gt; ProcedureExecutions.PostAttestationScoreCount",
    "FieldTable": "ProcedureExecutions",
    "FieldName": "PostAttestationScoreCount",
    "FieldIsDerived": true,
    "IsWritableDerivedField": false,
    "IsMasked": false,
    "GrantKeyWhenReadable": "principal-knowledge-authority|ProcedureExecutions"
   },
   {
    "FieldGrantId": "fg-knowledge-authority-ProcedureExecutions.BasisChangedAfterSignature",
    "Principal": "principal-knowledge-authority",
    "TargetField": "ProcedureExecutions.BasisChangedAfterSignature",
    "CanRead": true,
    "CanWrite": false,
    "MaskStrategy": "plain",
    "SemanticTypeIri": "urn:effortless:pko-extension#FieldGrant",
    "Name": "principal-knowledge-authority -&gt; ProcedureExecutions.BasisChangedAfterSignature",
    "FieldTable": "ProcedureExecutions",
    "FieldName": "BasisChangedAfterSignature",
    "FieldIsDerived": true,
    "IsWritableDerivedField": false,
    "IsMasked": false,
    "GrantKeyWhenReadable": "principal-knowledge-authority|ProcedureExecutions"
   },
   {
    "FieldGrantId": "fg-knowledge-authority-ProcedureExecutions.RequiresReAttestation",
    "Principal": "principal-knowledge-authority",
    "TargetField": "ProcedureExecutions.RequiresReAttestation",
    "CanRead": true,
    "CanWrite": false,
    "MaskStrategy": "plain",
    "SemanticTypeIri": "urn:effortless:pko-extension#FieldGrant",
    "Name": "principal-knowledge-authority -&gt; ProcedureExecutions.RequiresReAttestation",
    "FieldTable": "ProcedureExecutions",
    "FieldName": "RequiresReAttestation",
    "FieldIsDerived": true,
    "IsWritableDerivedField": false,
    "IsMasked": false,
    "GrantKeyWhenReadable": "principal-knowledge-authority|ProcedureExecutions"
   },
   {
    "FieldGrantId": "fg-knowledge-authority-ProcedureExecutions.IntendedRecipientCount",
    "Principal": "principal-knowledge-authority",
    "TargetField": "ProcedureExecutions.IntendedRecipientCount",
    "CanRead": true,
    "CanWrite": false,
    "MaskStrategy": "plain",
    "SemanticTypeIri": "urn:effortless:pko-extension#FieldGrant",
    "Name": "principal-knowledge-authority -&gt; ProcedureExecutions.IntendedRecipientCount",
    "FieldTable": "ProcedureExecutions",
    "FieldName": "IntendedRecipientCount",
    "FieldIsDerived": true,
    "IsWritableDerivedField": false,
    "IsMasked": false,
    "GrantKeyWhenReadable": "principal-knowledge-authority|ProcedureExecutions"
   },
   {
    "FieldGrantId": "fg-knowledge-authority-ProcedureExecutions.ReachedRecipientCount",
    "Principal": "principal-knowledge-authority",
    "TargetField": "ProcedureExecutions.ReachedRecipientCount",
    "CanRead": true,
    "CanWrite": false,
    "MaskStrategy": "plain",
    "SemanticTypeIri": "urn:effortless:pko-extension#FieldGrant",
    "Name": "principal-knowledge-authority -&gt; ProcedureExecutions.ReachedRecipientCount",
    "FieldTable": "ProcedureExecutions",
    "FieldName": "ReachedRecipientCount",
    "FieldIsDerived": true,
    "IsWritableDerivedField": false,
    "IsMasked": false,
    "GrantKeyWhenReadable": "principal-knowledge-authority|ProcedureExecutions"
   },
   {
    "FieldGrantId": "fg-knowledge-authority-ProcedureExecutions.SilentlyDroppedCount",
    "Principal": "principal-knowledge-authority",
    "TargetField": "ProcedureExecutions.SilentlyDroppedCount",
    "CanRead": true,
    "CanWrite": false,
    "MaskStrategy": "plain",
    "SemanticTypeIri": "urn:effortless:pko-extension#FieldGrant",
    "Name": "principal-knowledge-authority -&gt; ProcedureExecutions.SilentlyDroppedCount",
    "FieldTable": "ProcedureExecutions",
    "FieldName": "SilentlyDroppedCount",
    "FieldIsDerived": true,
    "IsWritableDerivedField": false,
    "IsMasked": false,
    "GrantKeyWhenReadable": "principal-knowledge-authority|ProcedureExecutions"
   },
   {
    "FieldGrantId": "fg-knowledge-authority-ProcedureExecutions.DeliveryYieldPercent",
    "Principal": "principal-knowledge-authority",
    "TargetField": "ProcedureExecutions.DeliveryYieldPercent",
    "CanRead": true,
    "CanWrite": false,
    "MaskStrategy": "plain",
    "SemanticTypeIri": "urn:effortless:pko-extension#FieldGrant",
    "Name": "principal-knowledge-authority -&gt; ProcedureExecutions.DeliveryYieldPercent",
    "FieldTable": "ProcedureExecutions",
    "FieldName": "DeliveryYieldPercent",
    "FieldIsDerived": true,
    "IsWritableDerivedField": false,
    "IsMasked": false,
    "GrantKeyWhenReadable": "principal-knowledge-authority|ProcedureExecutions"
   },
   {
    "FieldGrantId": "fg-knowledge-authority-ProcedureExecutions.CampaignSilentlyLostAudience",
    "Principal": "principal-knowledge-authority",
    "TargetField": "ProcedureExecutions.CampaignSilentlyLostAudience",
    "CanRead": true,
    "CanWrite": false,
    "MaskStrategy": "plain",
    "SemanticTypeIri": "urn:effortless:pko-extension#FieldGrant",
    "Name": "principal-knowledge-authority -&gt; ProcedureExecutions.CampaignSilentlyLostAudience",
    "FieldTable": "ProcedureExecutions",
    "FieldName": "CampaignSilentlyLostAudience",
    "FieldIsDerived": true,
    "IsWritableDerivedField": false,
    "IsMasked": false,
    "GrantKeyWhenReadable": "principal-knowledge-authority|ProcedureExecutions"
   },
   {
    "FieldGrantId": "fg-knowledge-authority-ProcedureExecutions.UnrecordedRefusalCount",
    "Principal": "principal-knowledge-authority",
    "TargetField": "ProcedureExecutions.UnrecordedRefusalCount",
    "CanRead": true,
    "CanWrite": false,
    "MaskStrategy": "plain",
    "SemanticTypeIri": "urn:effortless:pko-extension#FieldGrant",
    "Name": "principal-knowledge-authority -&gt; ProcedureExecutions.UnrecordedRefusalCount",
    "FieldTable": "ProcedureExecutions",
    "FieldName": "UnrecordedRefusalCount",
    "FieldIsDerived": true,
    "IsWritableDerivedField": false,
    "IsMasked": false,
    "GrantKeyWhenReadable": "principal-knowledge-authority|ProcedureExecutions"
   },
   {
    "FieldGrantId": "fg-knowledge-authority-ProcedureExecutions.HasUnrecordedRefusals",
    "Principal": "principal-knowledge-authority",
    "TargetField": "ProcedureExecutions.HasUnrecordedRefusals",
    "CanRead": true,
    "CanWrite": false,
    "MaskStrategy": "plain",
    "SemanticTypeIri": "urn:effortless:pko-extension#FieldGrant",
    "Name": "principal-knowledge-authority -&gt; ProcedureExecutions.HasUnrecordedRefusals",
    "FieldTable": "ProcedureExecutions",
    "FieldName": "HasUnrecordedRefusals",
    "FieldIsDerived": true,
    "IsWritableDerivedField": false,
    "IsMasked": false,
    "GrantKeyWhenReadable": "principal-knowledge-authority|ProcedureExecutions"
   },
   {
    "FieldGrantId": "fg-knowledge-authority-ProcedureExecutions.IndependentlyConfirmedIntentCount",
    "Principal": "principal-knowledge-authority",
    "TargetField": "ProcedureExecutions.IndependentlyConfirmedIntentCount",
    "CanRead": true,
    "CanWrite": false,
    "MaskStrategy": "plain",
    "SemanticTypeIri": "urn:effortless:pko-extension#FieldGrant",
    "Name": "principal-knowledge-authority -&gt; ProcedureExecutions.IndependentlyConfirmedIntentCount",
    "FieldTable": "ProcedureExecutions",
    "FieldName": "IndependentlyConfirmedIntentCount",
    "FieldIsDerived": true,
    "IsWritableDerivedField": false,
    "IsMasked": false,
    "GrantKeyWhenReadable": "principal-knowledge-authority|ProcedureExecutions"
   },
   {
    "FieldGrantId": "fg-knowledge-authority-ProcedureExecutions.SendDecisionsAreEntirelySelfWitnessed",
    "Principal": "principal-knowledge-authority",
    "TargetField": "ProcedureExecutions.SendDecisionsAreEntirelySelfWitnessed",
    "CanRead": true,
    "CanWrite": false,
    "MaskStrategy": "plain",
    "SemanticTypeIri": "urn:effortless:pko-extension#FieldGrant",
    "Name": "principal-knowledge-authority -&gt; ProcedureExecutions.SendDecisionsAreEntirelySelfWitnessed",
    "FieldTable": "ProcedureExecutions",
    "FieldName": "SendDecisionsAreEntirelySelfWitnessed",
    "FieldIsDerived": true,
    "IsWritableDerivedField": false,
    "IsMasked": false,
    "GrantKeyWhenReadable": "principal-knowledge-authority|ProcedureExecutions"
   },
   {
    "FieldGrantId": "fg-knowledge-authority-ProcedureExecutions.SemanticTypeIri",
    "Principal": "principal-knowledge-authority",
    "TargetField": "ProcedureExecutions.SemanticTypeIri",
    "CanRead": true,
    "CanWrite": false,
    "MaskStrategy": "plain",
    "SemanticTypeIri": "urn:effortless:pko-extension#FieldGrant",
    "Name": "principal-knowledge-authority -&gt; ProcedureExecutions.SemanticTypeIri",
    "FieldTable": "ProcedureExecutions",
    "FieldName": "SemanticTypeIri",
    "FieldIsDerived": false,
    "IsWritableDerivedField": false,
    "IsMasked": false,
    "GrantKeyWhenReadable": "principal-knowledge-authority|ProcedureExecutions"
   },
   {
    "FieldGrantId": "fg-knowledge-authority-ProcedureResources.ProcedureResourceId",
    "Principal": "principal-knowledge-authority",
    "TargetField": "ProcedureResources.ProcedureResourceId",
    "CanRead": true,
    "CanWrite": false,
    "MaskStrategy": "plain",
    "SemanticTypeIri": "urn:effortless:pko-extension#FieldGrant",
    "Name": "principal-knowledge-authority -&gt; ProcedureResources.ProcedureResourceId",
    "FieldTable": "ProcedureResources",
    "FieldName": "ProcedureResourceId",
    "FieldIsDerived": false,
    "IsWritableDerivedField": false,
    "IsMasked": false,
    "GrantKeyWhenReadable": "principal-knowledge-authority|ProcedureResources"
   },
   {
    "FieldGrantId": "fg-knowledge-authority-ProcedureResources.Name",
    "Principal": "principal-knowledge-authority",
    "TargetField": "ProcedureResources.Name",
    "CanRead": true,
    "CanWrite": false,
    "MaskStrategy": "plain",
    "SemanticTypeIri": "urn:effortless:pko-extension#FieldGrant",
    "Name": "principal-knowledge-authority -&gt; ProcedureResources.Name",
    "FieldTable": "ProcedureResources",
    "FieldName": "Name",
    "FieldIsDerived": true,
    "IsWritableDerivedField": false,
    "IsMasked": false,
    "GrantKeyWhenReadable": "principal-knowledge-authority|ProcedureResources"
   },
   {
    "FieldGrantId": "fg-knowledge-authority-ProcedureResources.ProcedureVersion",
    "Principal": "principal-knowledge-authority",
    "TargetField": "ProcedureResources.ProcedureVersion",
    "CanRead": true,
    "CanWrite": false,
    "MaskStrategy": "plain",
    "SemanticTypeIri": "urn:effortless:pko-extension#FieldGrant",
    "Name": "principal-knowledge-authority -&gt; ProcedureResources.ProcedureVersion",
    "FieldTable": "ProcedureResources",
    "FieldName": "ProcedureVersion",
    "FieldIsDerived": false,
    "IsWritableDerivedField": false,
    "IsMasked": false,
    "GrantKeyWhenReadable": "principal-knowledge-authority|ProcedureResources"
   },
   {
    "FieldGrantId": "fg-knowledge-authority-ProcedureResources.Resource",
    "Principal": "principal-knowledge-authority",
    "TargetField": "ProcedureResources.Resource",
    "CanRead": true,
    "CanWrite": false,
    "MaskStrategy": "plain",
    "SemanticTypeIri": "urn:effortless:pko-extension#FieldGrant",
    "Name": "principal-knowledge-authority -&gt; ProcedureResources.Resource",
    "FieldTable": "ProcedureResources",
    "FieldName": "Resource",
    "FieldIsDerived": false,
    "IsWritableDerivedField": false,
    "IsMasked": false,
    "GrantKeyWhenReadable": "principal-knowledge-authority|ProcedureResources"
   },
   {
    "FieldGrantId": "fg-knowledge-authority-ProcedureResources.Relation",
    "Principal": "principal-knowledge-authority",
    "TargetField": "ProcedureResources.Relation",
    "CanRead": true,
    "CanWrite": false,
    "MaskStrategy": "plain",
    "SemanticTypeIri": "urn:effortless:pko-extension#FieldGrant",
    "Name": "principal-knowledge-authority -&gt; ProcedureResources.Relation",
    "FieldTable": "ProcedureResources",
    "FieldName": "Relation",
    "FieldIsDerived": false,
    "IsWritableDerivedField": false,
    "IsMasked": false,
    "GrantKeyWhenReadable": "principal-knowledge-authority|ProcedureResources"
   },
   {
    "FieldGrantId": "fg-knowledge-authority-ProcedureResources.RelationIri",
    "Principal": "principal-knowledge-authority",
    "TargetField": "ProcedureResources.RelationIri",
    "CanRead": true,
    "CanWrite": false,
    "MaskStrategy": "plain",
    "SemanticTypeIri": "urn:effortless:pko-extension#FieldGrant",
    "Name": "principal-knowledge-authority -&gt; ProcedureResources.RelationIri",
    "FieldTable": "ProcedureResources",
    "FieldName": "RelationIri",
    "FieldIsDerived": true,
    "IsWritableDerivedField": false,
    "IsMasked": false,
    "GrantKeyWhenReadable": "principal-knowledge-authority|ProcedureResources"
   },
   {
    "FieldGrantId": "fg-knowledge-authority-ProcedureStatusChanges.ProcedureStatusChangeId",
    "Principal": "principal-knowledge-authority",
    "TargetField": "ProcedureStatusChanges.ProcedureStatusChangeId",
    "CanRead": true,
    "CanWrite": false,
    "MaskStrategy": "plain",
    "SemanticTypeIri": "urn:effortless:pko-extension#FieldGrant",
    "Name": "principal-knowledge-authority -&gt; ProcedureStatusChanges.ProcedureStatusChangeId",
    "FieldTable": "ProcedureStatusChanges",
    "FieldName": "ProcedureStatusChangeId",
    "FieldIsDerived": false,
    "IsWritableDerivedField": false,
    "IsMasked": false,
    "GrantKeyWhenReadable": "principal-knowledge-authority|ProcedureStatusChanges"
   },
   {
    "FieldGrantId": "fg-knowledge-authority-ProcedureStatusChanges.Name",
    "Principal": "principal-knowledge-authority",
    "TargetField": "ProcedureStatusChanges.Name",
    "CanRead": true,
    "CanWrite": false,
    "MaskStrategy": "plain",
    "SemanticTypeIri": "urn:effortless:pko-extension#FieldGrant",
    "Name": "principal-knowledge-authority -&gt; ProcedureStatusChanges.Name",
    "FieldTable": "ProcedureStatusChanges",
    "FieldName": "Name",
    "FieldIsDerived": true,
    "IsWritableDerivedField": false,
    "IsMasked": false,
    "GrantKeyWhenReadable": "principal-knowledge-authority|ProcedureStatusChanges"
   },
   {
    "FieldGrantId": "fg-knowledge-authority-ProcedureStatusChanges.ProcedureVersion",
    "Principal": "principal-knowledge-authority",
    "TargetField": "ProcedureStatusChanges.ProcedureVersion",
    "CanRead": true,
    "CanWrite": false,
    "MaskStrategy": "plain",
    "SemanticTypeIri": "urn:effortless:pko-extension#FieldGrant",
    "Name": "principal-knowledge-authority -&gt; ProcedureStatusChanges.ProcedureVersion",
    "FieldTable": "ProcedureStatusChanges",
    "FieldName": "ProcedureVersion",
    "FieldIsDerived": false,
    "IsWritableDerivedField": false,
    "IsMasked": false,
    "GrantKeyWhenReadable": "principal-knowledge-authority|ProcedureStatusChanges"
   },
   {
    "FieldGrantId": "fg-knowledge-authority-ProcedureStatusChanges.FromStatus",
    "Principal": "principal-knowledge-authority",
    "TargetField": "ProcedureStatusChanges.FromStatus",
    "CanRead": true,
    "CanWrite": false,
    "MaskStrategy": "plain",
    "SemanticTypeIri": "urn:effortless:pko-extension#FieldGrant",
    "Name": "principal-knowledge-authority -&gt; ProcedureStatusChanges.FromStatus",
    "FieldTable": "ProcedureStatusChanges",
    "FieldName": "FromStatus",
    "FieldIsDerived": false,
    "IsWritableDerivedField": false,
    "IsMasked": false,
    "GrantKeyWhenReadable": "principal-knowledge-authority|ProcedureStatusChanges"
   },
   {
    "FieldGrantId": "fg-knowledge-authority-ProcedureStatusChanges.ToStatus",
    "Principal": "principal-knowledge-authority",
    "TargetField": "ProcedureStatusChanges.ToStatus",
    "CanRead": true,
    "CanWrite": false,
    "MaskStrategy": "plain",
    "SemanticTypeIri": "urn:effortless:pko-extension#FieldGrant",
    "Name": "principal-knowledge-authority -&gt; ProcedureStatusChanges.ToStatus",
    "FieldTable": "ProcedureStatusChanges",
    "FieldName": "ToStatus",
    "FieldIsDerived": false,
    "IsWritableDerivedField": false,
    "IsMasked": false,
    "GrantKeyWhenReadable": "principal-knowledge-authority|ProcedureStatusChanges"
   },
   {
    "FieldGrantId": "fg-knowledge-authority-ProcedureStatusChanges.ChangedAt",
    "Principal": "principal-knowledge-authority",
    "TargetField": "ProcedureStatusChanges.ChangedAt",
    "CanRead": true,
    "CanWrite": false,
    "MaskStrategy": "plain",
    "SemanticTypeIri": "urn:effortless:pko-extension#FieldGrant",
    "Name": "principal-knowledge-authority -&gt; ProcedureStatusChanges.ChangedAt",
    "FieldTable": "ProcedureStatusChanges",
    "FieldName": "ChangedAt",
    "FieldIsDerived": false,
    "IsWritableDerivedField": false,
    "IsMasked": false,
    "GrantKeyWhenReadable": "principal-knowledge-authority|ProcedureStatusChanges"
   },
   {
    "FieldGrantId": "fg-knowledge-authority-ProcedureStatusChanges.ChangedByAgent",
    "Principal": "principal-knowledge-authority",
    "TargetField": "ProcedureStatusChanges.ChangedByAgent",
    "CanRead": true,
    "CanWrite": false,
    "MaskStrategy": "plain",
    "SemanticTypeIri": "urn:effortless:pko-extension#FieldGrant",
    "Name": "principal-knowledge-authority -&gt; ProcedureStatusChanges.ChangedByAgent",
    "FieldTable": "ProcedureStatusChanges",
    "FieldName": "ChangedByAgent",
    "FieldIsDerived": false,
    "IsWritableDerivedField": false,
    "IsMasked": false,
    "GrantKeyWhenReadable": "principal-knowledge-authority|ProcedureStatusChanges"
   },
   {
    "FieldGrantId": "fg-knowledge-authority-ProcedureStatusChanges.Motivation",
    "Principal": "principal-knowledge-authority",
    "TargetField": "ProcedureStatusChanges.Motivation",
    "CanRead": true,
    "CanWrite": false,
    "MaskStrategy": "plain",
    "SemanticTypeIri": "urn:effortless:pko-extension#FieldGrant",
    "Name": "principal-knowledge-authority -&gt; ProcedureStatusChanges.Motivation",
    "FieldTable": "ProcedureStatusChanges",
    "FieldName": "Motivation",
    "FieldIsDerived": false,
    "IsWritableDerivedField": false,
    "IsMasked": false,
    "GrantKeyWhenReadable": "principal-knowledge-authority|ProcedureStatusChanges"
   },
   {
    "FieldGrantId": "fg-knowledge-authority-ProcedureStatusChanges.SemanticTypeIri",
    "Principal": "principal-knowledge-authority",
    "TargetField": "ProcedureStatusChanges.SemanticTypeIri",
    "CanRead": true,
    "CanWrite": false,
    "MaskStrategy": "plain",
    "SemanticTypeIri": "urn:effortless:pko-extension#FieldGrant",
    "Name": "principal-knowledge-authority -&gt; ProcedureStatusChanges.SemanticTypeIri",
    "FieldTable": "ProcedureStatusChanges",
    "FieldName": "SemanticTypeIri",
    "FieldIsDerived": false,
    "IsWritableDerivedField": false,
    "IsMasked": false,
    "GrantKeyWhenReadable": "principal-knowledge-authority|ProcedureStatusChanges"
   },
   {
    "FieldGrantId": "fg-knowledge-authority-ProcedureTypes.ProcedureTypeId",
    "Principal": "principal-knowledge-authority",
    "TargetField": "ProcedureTypes.ProcedureTypeId",
    "CanRead": true,
    "CanWrite": false,
    "MaskStrategy": "plain",
    "SemanticTypeIri": "urn:effortless:pko-extension#FieldGrant",
    "Name": "principal-knowledge-authority -&gt; ProcedureTypes.ProcedureTypeId",
    "FieldTable": "ProcedureTypes",
    "FieldName": "ProcedureTypeId",
    "FieldIsDerived": false,
    "IsWritableDerivedField": false,
    "IsMasked": false,
    "GrantKeyWhenReadable": "principal-knowledge-authority|ProcedureTypes"
   },
   {
    "FieldGrantId": "fg-knowledge-authority-ProcedureTypes.Name",
    "Principal": "principal-knowledge-authority",
    "TargetField": "ProcedureTypes.Name",
    "CanRead": true,
    "CanWrite": false,
    "MaskStrategy": "plain",
    "SemanticTypeIri": "urn:effortless:pko-extension#FieldGrant",
    "Name": "principal-knowledge-authority -&gt; ProcedureTypes.Name",
    "FieldTable": "ProcedureTypes",
    "FieldName": "Name",
    "FieldIsDerived": true,
    "IsWritableDerivedField": false,
    "IsMasked": false,
    "GrantKeyWhenReadable": "principal-knowledge-authority|ProcedureTypes"
   },
   {
    "FieldGrantId": "fg-knowledge-authority-ProcedureTypes.Label",
    "Principal": "principal-knowledge-authority",
    "TargetField": "ProcedureTypes.Label",
    "CanRead": true,
    "CanWrite": false,
    "MaskStrategy": "plain",
    "SemanticTypeIri": "urn:effortless:pko-extension#FieldGrant",
    "Name": "principal-knowledge-authority -&gt; ProcedureTypes.Label",
    "FieldTable": "ProcedureTypes",</t>
  </si>
  <si>
    <t xml:space="preserve">
    "FieldName": "Label",
    "FieldIsDerived": false,
    "IsWritableDerivedField": false,
    "IsMasked": false,
    "GrantKeyWhenReadable": "principal-knowledge-authority|ProcedureTypes"
   },
   {
    "FieldGrantId": "fg-knowledge-authority-ProcedureTypes.Definition",
    "Principal": "principal-knowledge-authority",
    "TargetField": "ProcedureTypes.Definition",
    "CanRead": true,
    "CanWrite": false,
    "MaskStrategy": "plain",
    "SemanticTypeIri": "urn:effortless:pko-extension#FieldGrant",
    "Name": "principal-knowledge-authority -&gt; ProcedureTypes.Definition",
    "FieldTable": "ProcedureTypes",
    "FieldName": "Definition",
    "FieldIsDerived": false,
    "IsWritableDerivedField": false,
    "IsMasked": false,
    "GrantKeyWhenReadable": "principal-knowledge-authority|ProcedureTypes"
   },
   {
    "FieldGrantId": "fg-knowledge-authority-ProcedureTypes.SemanticTypeIri",
    "Principal": "principal-knowledge-authority",
    "TargetField": "ProcedureTypes.SemanticTypeIri",
    "CanRead": true,
    "CanWrite": false,
    "MaskStrategy": "plain",
    "SemanticTypeIri": "urn:effortless:pko-extension#FieldGrant",
    "Name": "principal-knowledge-authority -&gt; ProcedureTypes.SemanticTypeIri",
    "FieldTable": "ProcedureTypes",
    "FieldName": "SemanticTypeIri",
    "FieldIsDerived": false,
    "IsWritableDerivedField": false,
    "IsMasked": false,
    "GrantKeyWhenReadable": "principal-knowledge-authority|ProcedureTypes"
   },
   {
    "FieldGrantId": "fg-knowledge-authority-ProcedureVersionLinks.ProcedureVersionLinkId",
    "Principal": "principal-knowledge-authority",
    "TargetField": "ProcedureVersionLinks.ProcedureVersionLinkId",
    "CanRead": true,
    "CanWrite": false,
    "MaskStrategy": "plain",
    "SemanticTypeIri": "urn:effortless:pko-extension#FieldGrant",
    "Name": "principal-knowledge-authority -&gt; ProcedureVersionLinks.ProcedureVersionLinkId",
    "FieldTable": "ProcedureVersionLinks",
    "FieldName": "ProcedureVersionLinkId",
    "FieldIsDerived": false,
    "IsWritableDerivedField": false,
    "IsMasked": false,
    "GrantKeyWhenReadable": "principal-knowledge-authority|ProcedureVersionLinks"
   },
   {
    "FieldGrantId": "fg-knowledge-authority-ProcedureVersionLinks.Name",
    "Principal": "principal-knowledge-authority",
    "TargetField": "ProcedureVersionLinks.Name",
    "CanRead": true,
    "CanWrite": false,
    "MaskStrategy": "plain",
    "SemanticTypeIri": "urn:effortless:pko-extension#FieldGrant",
    "Name": "principal-knowledge-authority -&gt; ProcedureVersionLinks.Name",
    "FieldTable": "ProcedureVersionLinks",
    "FieldName": "Name",
    "FieldIsDerived": true,
    "IsWritableDerivedField": false,
    "IsMasked": false,
    "GrantKeyWhenReadable": "principal-knowledge-authority|ProcedureVersionLinks"
   },
   {
    "FieldGrantId": "fg-knowledge-authority-ProcedureVersionLinks.PreviousProcedureVersion",
    "Principal": "principal-knowledge-authority",
    "TargetField": "ProcedureVersionLinks.PreviousProcedureVersion",
    "CanRead": true,
    "CanWrite": false,
    "MaskStrategy": "plain",
    "SemanticTypeIri": "urn:effortless:pko-extension#FieldGrant",
    "Name": "principal-knowledge-authority -&gt; ProcedureVersionLinks.PreviousProcedureVersion",
    "FieldTable": "ProcedureVersionLinks",
    "FieldName": "PreviousProcedureVersion",
    "FieldIsDerived": false,
    "IsWritableDerivedField": false,
    "IsMasked": false,
    "GrantKeyWhenReadable": "principal-knowledge-authority|ProcedureVersionLinks"
   },
   {
    "FieldGrantId": "fg-knowledge-authority-ProcedureVersionLinks.NextProcedureVersion",
    "Principal": "principal-knowledge-authority",
    "TargetField": "ProcedureVersionLinks.NextProcedureVersion",
    "CanRead": true,
    "CanWrite": false,
    "MaskStrategy": "plain",
    "SemanticTypeIri": "urn:effortless:pko-extension#FieldGrant",
    "Name": "principal-knowledge-authority -&gt; ProcedureVersionLinks.NextProcedureVersion",
    "FieldTable": "ProcedureVersionLinks",
    "FieldName": "NextProcedureVersion",
    "FieldIsDerived": false,
    "IsWritableDerivedField": false,
    "IsMasked": false,
    "GrantKeyWhenReadable": "principal-knowledge-authority|ProcedureVersionLinks"
   },
   {
    "FieldGrantId": "fg-knowledge-authority-ProcedureVersionLinks.RelationIri",
    "Principal": "principal-knowledge-authority",
    "TargetField": "ProcedureVersionLinks.RelationIri",
    "CanRead": true,
    "CanWrite": false,
    "MaskStrategy": "plain",
    "SemanticTypeIri": "urn:effortless:pko-extension#FieldGrant",
    "Name": "principal-knowledge-authority -&gt; ProcedureVersionLinks.RelationIri",
    "FieldTable": "ProcedureVersionLinks",
    "FieldName": "RelationIri",
    "FieldIsDerived": false,
    "IsWritableDerivedField": false,
    "IsMasked": false,
    "GrantKeyWhenReadable": "principal-knowledge-authority|ProcedureVersionLinks"
   },
   {
    "FieldGrantId": "fg-knowledge-authority-ProcedureVersionLinks.ChangeSummary",
    "Principal": "principal-knowledge-authority",
    "TargetField": "ProcedureVersionLinks.ChangeSummary",
    "CanRead": true,
    "CanWrite": false,
    "MaskStrategy": "plain",
    "SemanticTypeIri": "urn:effortless:pko-extension#FieldGrant",
    "Name": "principal-knowledge-authority -&gt; ProcedureVersionLinks.ChangeSummary",
    "FieldTable": "ProcedureVersionLinks",
    "FieldName": "ChangeSummary",
    "FieldIsDerived": false,
    "IsWritableDerivedField": false,
    "IsMasked": false,
    "GrantKeyWhenReadable": "principal-knowledge-authority|ProcedureVersionLinks"
   },
   {
    "FieldGrantId": "fg-knowledge-authority-ProcedureVersionLinks.SupersededVersionKey",
    "Principal": "principal-knowledge-authority",
    "TargetField": "ProcedureVersionLinks.SupersededVersionKey",
    "CanRead": true,
    "CanWrite": false,
    "MaskStrategy": "plain",
    "SemanticTypeIri": "urn:effortless:pko-extension#FieldGrant",
    "Name": "principal-knowledge-authority -&gt; ProcedureVersionLinks.SupersededVersionKey",
    "FieldTable": "ProcedureVersionLinks",
    "FieldName": "SupersededVersionKey",
    "FieldIsDerived": true,
    "IsWritableDerivedField": false,
    "IsMasked": false,
    "GrantKeyWhenReadable": "principal-knowledge-authority|ProcedureVersionLinks"
   },
   {
    "FieldGrantId": "fg-knowledge-authority-ProcedureVersions.ProcedureVersionId",
    "Principal": "principal-knowledge-authority",
    "TargetField": "ProcedureVersions.ProcedureVersionId",
    "CanRead": true,
    "CanWrite": false,
    "MaskStrategy": "plain",
    "SemanticTypeIri": "urn:effortless:pko-extension#FieldGrant",
    "Name": "principal-knowledge-authority -&gt; ProcedureVersions.ProcedureVersionId",
    "FieldTable": "ProcedureVersions",
    "FieldName": "ProcedureVersionId",
    "FieldIsDerived": false,
    "IsWritableDerivedField": false,
    "IsMasked": false,
    "GrantKeyWhenReadable": "principal-knowledge-authority|ProcedureVersions"
   },
   {
    "FieldGrantId": "fg-knowledge-authority-ProcedureVersions.Name",
    "Principal": "principal-knowledge-authority",
    "TargetField": "ProcedureVersions.Name",
    "CanRead": true,
    "CanWrite": false,
    "MaskStrategy": "plain",
    "SemanticTypeIri": "urn:effortless:pko-extension#FieldGrant",
    "Name": "principal-knowledge-authority -&gt; ProcedureVersions.Name",
    "FieldTable": "ProcedureVersions",
    "FieldName": "Name",
    "FieldIsDerived": true,
    "IsWritableDerivedField": false,
    "IsMasked": false,
    "GrantKeyWhenReadable": "principal-knowledge-authority|ProcedureVersions"
   },
   {
    "FieldGrantId": "fg-knowledge-authority-ProcedureVersions.Procedure",
    "Principal": "principal-knowledge-authority",
    "TargetField": "ProcedureVersions.Procedure",
    "CanRead": true,
    "CanWrite": false,
    "MaskStrategy": "plain",
    "SemanticTypeIri": "urn:effortless:pko-extension#FieldGrant",
    "Name": "principal-knowledge-authority -&gt; ProcedureVersions.Procedure",
    "FieldTable": "ProcedureVersions",
    "FieldName": "Procedure",
    "FieldIsDerived": false,
    "IsWritableDerivedField": false,
    "IsMasked": false,
    "GrantKeyWhenReadable": "principal-knowledge-authority|ProcedureVersions"
   },
   {
    "FieldGrantId": "fg-knowledge-authority-ProcedureVersions.VersionNumber",
    "Principal": "principal-knowledge-authority",
    "TargetField": "ProcedureVersions.VersionNumber",
    "CanRead": true,
    "CanWrite": false,
    "MaskStrategy": "plain",
    "SemanticTypeIri": "urn:effortless:pko-extension#FieldGrant",
    "Name": "principal-knowledge-authority -&gt; ProcedureVersions.VersionNumber",
    "FieldTable": "ProcedureVersions",
    "FieldName": "VersionNumber",
    "FieldIsDerived": false,
    "IsWritableDerivedField": false,
    "IsMasked": false,
    "GrantKeyWhenReadable": "principal-knowledge-authority|ProcedureVersions"
   },
   {
    "FieldGrantId": "fg-knowledge-authority-ProcedureVersions.Title",
    "Principal": "principal-knowledge-authority",
    "TargetField": "ProcedureVersions.Title",
    "CanRead": true,
    "CanWrite": false,
    "MaskStrategy": "plain",
    "SemanticTypeIri": "urn:effortless:pko-extension#FieldGrant",
    "Name": "principal-knowledge-authority -&gt; ProcedureVersions.Title",
    "FieldTable": "ProcedureVersions",
    "FieldName": "Title",
    "FieldIsDerived": false,
    "IsWritableDerivedField": false,
    "IsMasked": false,
    "GrantKeyWhenReadable": "principal-knowledge-authority|ProcedureVersions"
   },
   {
    "FieldGrantId": "fg-knowledge-authority-ProcedureVersions.Status",
    "Principal": "principal-knowledge-authority",
    "TargetField": "ProcedureVersions.Status",
    "CanRead": true,
    "CanWrite": false,
    "MaskStrategy": "plain",
    "SemanticTypeIri": "urn:effortless:pko-extension#FieldGrant",
    "Name": "principal-knowledge-authority -&gt; ProcedureVersions.Status",
    "FieldTable": "ProcedureVersions",
    "FieldName": "Status",
    "FieldIsDerived": false,
    "IsWritableDerivedField": false,
    "IsMasked": false,
    "GrantKeyWhenReadable": "principal-knowledge-authority|ProcedureVersions"
   },
   {
    "FieldGrantId": "fg-knowledge-authority-ProcedureVersions.IssuedAt",
    "Principal": "principal-knowledge-authority",
    "TargetField": "ProcedureVersions.IssuedAt",
    "CanRead": true,
    "CanWrite": false,
    "MaskStrategy": "plain",
    "SemanticTypeIri": "urn:effortless:pko-extension#FieldGrant",
    "Name": "principal-knowledge-authority -&gt; ProcedureVersions.IssuedAt",
    "FieldTable": "ProcedureVersions",
    "FieldName": "IssuedAt",
    "FieldIsDerived": false,
    "IsWritableDerivedField": false,
    "IsMasked": false,
    "GrantKeyWhenReadable": "principal-knowledge-authority|ProcedureVersions"
   },
   {
    "FieldGrantId": "fg-knowledge-authority-ProcedureVersions.ModifiedAt",
    "Principal": "principal-knowledge-authority",
    "TargetField": "ProcedureVersions.ModifiedAt",
    "CanRead": true,
    "CanWrite": false,
    "MaskStrategy": "plain",
    "SemanticTypeIri": "urn:effortless:pko-extension#FieldGrant",
    "Name": "principal-knowledge-authority -&gt; ProcedureVersions.ModifiedAt",
    "FieldTable": "ProcedureVersions",
    "FieldName": "ModifiedAt",
    "FieldIsDerived": false,
    "IsWritableDerivedField": false,
    "IsMasked": false,
    "GrantKeyWhenReadable": "principal-knowledge-authority|ProcedureVersions"
   },
   {
    "FieldGrantId": "fg-knowledge-authority-ProcedureVersions.CreatedByAgent",
    "Principal": "principal-knowledge-authority",
    "TargetField": "ProcedureVersions.CreatedByAgent",
    "CanRead": true,
    "CanWrite": false,
    "MaskStrategy": "plain",
    "SemanticTypeIri": "urn:effortless:pko-extension#FieldGrant",
    "Name": "principal-knowledge-authority -&gt; ProcedureVersions.CreatedByAgent",
    "FieldTable": "ProcedureVersions",
    "FieldName": "CreatedByAgent",
    "FieldIsDerived": false,
    "IsWritableDerivedField": false,
    "IsMasked": false,
    "GrantKeyWhenReadable": "principal-knowledge-authority|ProcedureVersions"
   },
   {
    "FieldGrantId": "fg-knowledge-authority-ProcedureVersions.ModifiedByAgent",
    "Principal": "principal-knowledge-authority",
    "TargetField": "ProcedureVersions.ModifiedByAgent",
    "CanRead": true,
    "CanWrite": false,
    "MaskStrategy": "plain",
    "SemanticTypeIri": "urn:effortless:pko-extension#FieldGrant",
    "Name": "principal-knowledge-authority -&gt; ProcedureVersions.ModifiedByAgent",
    "FieldTable": "ProcedureVersions",
    "FieldName": "ModifiedByAgent",
    "FieldIsDerived": false,
    "IsWritableDerivedField": false,
    "IsMasked": false,
    "GrantKeyWhenReadable": "principal-knowledge-authority|ProcedureVersions"
   },
   {
    "FieldGrantId": "fg-knowledge-authority-ProcedureVersions.NewVersionMotivation",
    "Principal": "principal-knowledge-authority",
    "TargetField": "ProcedureVersions.NewVersionMotivation",
    "CanRead": true,
    "CanWrite": false,
    "MaskStrategy": "plain",
    "SemanticTypeIri": "urn:effortless:pko-extension#FieldGrant",
    "Name": "principal-knowledge-authority -&gt; ProcedureVersions.NewVersionMotivation",
    "FieldTable": "ProcedureVersions",
    "FieldName": "NewVersionMotivation",
    "FieldIsDerived": false,
    "IsWritableDerivedField": false,
    "IsMasked": false,
    "GrantKeyWhenReadable": "principal-knowledge-authority|ProcedureVersions"
   },
   {
    "FieldGrantId": "fg-knowledge-authority-ProcedureVersions.ChangelogDescription",
    "Principal": "principal-knowledge-authority",
    "TargetField": "ProcedureVersions.ChangelogDescription",
    "CanRead": true,
    "CanWrite": false,
    "MaskStrategy": "plain",
    "SemanticTypeIri": "urn:effortless:pko-extension#FieldGrant",
    "Name": "principal-knowledge-authority -&gt; ProcedureVersions.ChangelogDescription",
    "FieldTable": "ProcedureVersions",
    "FieldName": "ChangelogDescription",
    "FieldIsDerived": false,
    "IsWritableDerivedField": false,
    "IsMasked": false,
    "GrantKeyWhenReadable": "principal-knowledge-authority|ProcedureVersions"
   },
   {
    "FieldGrantId": "fg-knowledge-authority-ProcedureVersions.IsCurrent",
    "Principal": "principal-knowledge-authority",
    "TargetField": "ProcedureVersions.IsCurrent",
    "CanRead": true,
    "CanWrite": false,
    "MaskStrategy": "plain",
    "SemanticTypeIri": "urn:effortless:pko-extension#FieldGrant",
    "Name": "principal-knowledge-authority -&gt; ProcedureVersions.IsCurrent",
    "FieldTable": "ProcedureVersions",
    "FieldName": "IsCurrent",
    "FieldIsDerived": false,
    "IsWritableDerivedField": false,
    "IsMasked": false,
    "GrantKeyWhenReadable": "principal-knowledge-authority|ProcedureVersions"
   },
   {
    "FieldGrantId": "fg-knowledge-authority-ProcedureVersions.CountOfSteps",
    "Principal": "principal-knowledge-authority",
    "TargetField": "ProcedureVersions.CountOfSteps",
    "CanRead": true,
    "CanWrite": false,
    "MaskStrategy": "plain",
    "SemanticTypeIri": "urn:effortless:pko-extension#FieldGrant",
    "Name": "principal-knowledge-authority -&gt; ProcedureVersions.CountOfSteps",
    "FieldTable": "ProcedureVersions",
    "FieldName": "CountOfSteps",
    "FieldIsDerived": true,
    "IsWritableDerivedField": false,
    "IsMasked": false,
    "GrantKeyWhenReadable": "principal-knowledge-authority|ProcedureVersions"
   },
   {
    "FieldGrantId": "fg-knowledge-authority-ProcedureVersions.CountOfOpenKnowledgeGaps",
    "Principal": "principal-knowledge-authority",
    "TargetField": "ProcedureVersions.CountOfOpenKnowledgeGaps",
    "CanRead": true,
    "CanWrite": false,
    "MaskStrategy": "plain",
    "SemanticTypeIri": "urn:effortless:pko-extension#FieldGrant",
    "Name": "principal-knowledge-authority -&gt; ProcedureVersions.CountOfOpenKnowledgeGaps",
    "FieldTable": "ProcedureVersions",
    "FieldName": "CountOfOpenKnowledgeGaps",
    "FieldIsDerived": true,
    "IsWritableDerivedField": false,
    "IsMasked": false,
    "GrantKeyWhenReadable": "principal-knowledge-authority|ProcedureVersions"
   },
   {
    "FieldGrantId": "fg-knowledge-authority-ProcedureVersions.IsReadyForExecution",
    "Principal": "principal-knowledge-authority",
    "TargetField": "ProcedureVersions.IsReadyForExecution",
    "CanRead": true,
    "CanWrite": false,
    "MaskStrategy": "plain",
    "SemanticTypeIri": "urn:effortless:pko-extension#FieldGrant",
    "Name": "principal-knowledge-authority -&gt; ProcedureVersions.IsReadyForExecution",
    "FieldTable": "ProcedureVersions",
    "FieldName": "IsReadyForExecution",
    "FieldIsDerived": true,
    "IsWritableDerivedField": false,
    "IsMasked": false,
    "GrantKeyWhenReadable": "principal-knowledge-authority|ProcedureVersions"
   },
   {
    "FieldGrantId": "fg-knowledge-authority-ProcedureVersions.SpecifiedStepCount",
    "Principal": "principal-knowledge-authority",
    "TargetField": "ProcedureVersions.SpecifiedStepCount",
    "CanRead": true,
    "CanWrite": false,
    "MaskStrategy": "plain",
    "SemanticTypeIri": "urn:effortless:pko-extension#FieldGrant",
    "Name": "principal-knowledge-authority -&gt; ProcedureVersions.SpecifiedStepCount",
    "FieldTable": "ProcedureVersions",
    "FieldName": "SpecifiedStepCount",
    "FieldIsDerived": true,
    "IsWritableDerivedField": false,
    "IsMasked": false,
    "GrantKeyWhenReadable": "principal-knowledge-authority|ProcedureVersions"
   },
   {
    "FieldGrantId": "fg-knowledge-authority-ProcedureVersions.OverdueReviewCount",
    "Principal": "principal-knowledge-authority",
    "TargetField": "ProcedureVersions.OverdueReviewCount",
    "CanRead": true,
    "CanWrite": false,
    "MaskStrategy": "plain",
    "SemanticTypeIri": "urn:effortless:pko-extension#FieldGrant",
    "Name": "principal-knowledge-authority -&gt; ProcedureVersions.OverdueReviewCount",
    "FieldTable": "ProcedureVersions",
    "FieldName": "OverdueReviewCount",
    "FieldIsDerived": true,
    "IsWritableDerivedField": false,
    "IsMasked": false,
    "GrantKeyWhenReadable": "principal-knowledge-authority|ProcedureVersions"
   },
   {
    "FieldGrantId": "fg-knowledge-authority-ProcedureVersions.OpenChangeRequestCount",
    "Principal": "principal-knowledge-authority",
    "TargetField": "ProcedureVersions.OpenChangeRequestCount",
    "CanRead": true,
    "CanWrite": false,
    "MaskStrategy": "plain",
    "SemanticTypeIri": "urn:effortless:pko-extension#FieldGrant",
    "Name": "principal-knowledge-authority -&gt; ProcedureVersions.OpenChangeRequestCount",
    "FieldTable": "ProcedureVersions",
    "FieldName": "OpenChangeRequestCount",
    "FieldIsDerived": true,
    "IsWritableDerivedField": false,
    "IsMasked": false,
    "GrantKeyWhenReadable": "principal-knowledge-authority|ProcedureVersions"
   },
   {
    "FieldGrantId": "fg-knowledge-authority-ProcedureVersions.OpenHighSeverityGapCount",
    "Principal": "principal-knowledge-authority",
    "TargetField": "ProcedureVersions.OpenHighSeverityGapCount",
    "CanRead": true,
    "CanWrite": false,
    "MaskStrategy": "plain",
    "SemanticTypeIri": "urn:effortless:pko-extension#FieldGrant",
    "Name": "principal-knowledge-authority -&gt; ProcedureVersions.OpenHighSeverityGapCount",
    "FieldTable": "ProcedureVersions",
    "FieldName": "OpenHighSeverityGapCount",
    "FieldIsDerived": true,
    "IsWritableDerivedField": false,
    "IsMasked": false,
    "GrantKeyWhenReadable": "principal-knowledge-authority|ProcedureVersions"
   },
   {
    "FieldGrantId": "fg-knowledge-authority-ProcedureVersions.IsFitToExecute",
    "Principal": "principal-knowledge-authority",
    "TargetField": "ProcedureVersions.IsFitToExecute",
    "CanRead": true,
    "CanWrite": false,
    "MaskStrategy": "plain",
    "SemanticTypeIri": "urn:effortless:pko-extension#FieldGrant",
    "Name": "principal-knowledge-authority -&gt; ProcedureVersions.IsFitToExecute",
    "FieldTable": "ProcedureVersions",
    "FieldName": "IsFitToExecute",
    "FieldIsDerived": true,
    "IsWritableDerivedField": false,
    "IsMasked": false,
    "GrantKeyWhenReadable": "principal-knowledge-authority|ProcedureVersions"
   },
   {
    "FieldGrantId": "fg-knowledge-authority-ProcedureVersions.StewardReviewCadenceDays",
    "Principal": "principal-knowledge-authority",
    "TargetField": "ProcedureVersions.StewardReviewCadenceDays",
    "CanRead": true,
    "CanWrite": false,
    "MaskStrategy": "plain",
    "SemanticTypeIri": "urn:effortless:pko-extension#FieldGrant",
    "Name": "principal-knowledge-authority -&gt; ProcedureVersions.StewardReviewCadenceDays",
    "FieldTable": "ProcedureVersions",
    "FieldName": "StewardReviewCadenceDays",
    "FieldIsDerived": true,
    "IsWritableDerivedField": false,
    "IsMasked": false,
    "GrantKeyWhenReadable": "principal-knowledge-authority|ProcedureVersions"
   },
   {
    "FieldGrantId": "fg-knowledge-authority-ProcedureVersions.CountOfStewardshipAssignments",
    "Principal": "principal-knowledge-authority",
    "TargetField": "ProcedureVersions.CountOfStewardshipAssignments",
    "CanRead": true,
    "CanWrite": false,
    "MaskStrategy": "plain",
    "SemanticTypeIri": "urn:effortless:pko-extension#FieldGrant",
    "Name": "principal-knowledge-authority -&gt; ProcedureVersions.CountOfStewardshipAssignments",
    "FieldTable": "ProcedureVersions",
    "FieldName": "CountOfStewardshipAssignments",
    "FieldIsDerived": true,
    "IsWritableDerivedField": false,
    "IsMasked": false,
    "GrantKeyWhenReadable": "principal-knowledge-authority|ProcedureVersions"
   },
   {
    "FieldGrantId": "fg-knowledge-authority-ProcedureVersions.HasAnySteward",
    "Principal": "principal-knowledge-authority",
    "TargetField": "ProcedureVersions.HasAnySteward",
    "CanRead": true,
    "CanWrite": false,
    "MaskStrategy": "plain",
    "SemanticTypeIri": "urn:effortless:pko-extension#FieldGrant",
    "Name": "principal-knowledge-authority -&gt; ProcedureVersions.HasAnySteward",
    "FieldTable": "ProcedureVersions",
    "FieldName": "HasAnySteward",
    "FieldIsDerived": true,
    "IsWritableDerivedField": false,
    "IsMasked": false,
    "GrantKeyWhenReadable": "principal-knowledge-authority|ProcedureVersions"
   },
   {
    "FieldGrantId": "fg-knowledge-authority-ProcedureVersions.IsLive",
    "Principal": "principal-knowledge-authority",
    "TargetField": "ProcedureVersions.IsLive",
    "CanRead": true,
    "CanWrite": false,
    "MaskStrategy": "plain",
    "SemanticTypeIri": "urn:effortless:pko-extension#FieldGrant",
    "Name": "principal-knowledge-authority -&gt; ProcedureVersions.IsLive",
    "FieldTable": "ProcedureVersions",
    "FieldName": "IsLive",
    "FieldIsDerived": true,
    "IsWritableDerivedField": false,
    "IsMasked": false,
    "GrantKeyWhenReadable": "principal-knowledge-authority|ProcedureVersions"
   },
   {
    "FieldGrantId": "fg-knowledge-authority-ProcedureVersions.IsUnstewarded",
    "Principal": "principal-knowledge-authority",
    "TargetField": "ProcedureVersions.IsUnstewarded",
    "CanRead": true,
    "CanWrite": false,
    "MaskStrategy": "plain",
    "SemanticTypeIri": "urn:effortless:pko-extension#FieldGrant",
    "Name": "principal-knowledge-authority -&gt; ProcedureVersions.IsUnstewarded",
    "FieldTable": "ProcedureVersions",
    "FieldName": "IsUnstewarded",
    "FieldIsDerived": true,
    "IsWritableDerivedField": false,
    "IsMasked": false,
    "GrantKeyWhenReadable": "principal-knowledge-authority|ProcedureVersions"
   },
   {
    "FieldGrantId": "fg-knowledge-authority-ProcedureVersions.IsLiveAndUnstewarded",
    "Principal": "principal-knowledge-authority",
    "TargetField": "ProcedureVersions.IsLiveAndUnstewarded",
    "CanRead": true,
    "CanWrite": false,
    "MaskStrategy": "plain",
    "SemanticTypeIri": "urn:effortless:pko-extension#FieldGrant",
    "Name": "principal-knowledge-authority -&gt; ProcedureVersions.IsLiveAndUnstewarded",
    "FieldTable": "ProcedureVersions",
    "FieldName": "IsLiveAndUnstewarded",
    "FieldIsDerived": true,
    "IsWritableDerivedField": false,
    "IsMasked": false,
    "GrantKeyWhenReadable": "principal-knowledge-authority|ProcedureVersions"
   },
   {
    "FieldGrantId": "fg-knowledge-authority-ProcedureVersions.CountOfOpenBlockingGaps",
    "Principal": "principal-knowledge-authority",
    "TargetField": "ProcedureVersions.CountOfOpenBlockingGaps",
    "CanRead": true,
    "CanWrite": false,
    "MaskStrategy": "plain",
    "SemanticTypeIri": "urn:effortless:pko-extension#FieldGrant",
    "Name": "principal-knowledge-authority -&gt; ProcedureVersions.CountOfOpenBlockingGaps",
    "FieldTable": "ProcedureVersions",
    "FieldName": "CountOfOpenBlockingGaps",
    "FieldIsDerived": true,
    "IsWritableDerivedField": false,
    "IsMasked": false,
    "GrantKeyWhenReadable": "principal-knowledge-authority|ProcedureVersions"
   },
   {
    "FieldGrantId": "fg-knowledge-authority-ProcedureVersions.HasOpenBlockingGap",
    "Principal": "principal-knowledge-authority",
    "TargetField": "ProcedureVersions.HasOpenBlockingGap",
    "CanRead": true,
    "CanWrite": false,
    "MaskStrategy": "plain",
    "SemanticTypeIri": "urn:effortless:pko-extension#FieldGrant",
    "Name": "principal-knowledge-authority -&gt; ProcedureVersions.HasOpenBlockingGap",
    "FieldTable": "ProcedureVersions",
    "FieldName": "HasOpenBlockingGap",
    "FieldIsDerived": true,
    "IsWritableDerivedField": false,
    "IsMasked": false,
    "GrantKeyWhenReadable": "principal-knowledge-authority|ProcedureVersions"
   },
   {
    "FieldGrantId": "fg-knowledge-authority-ProcedureVersions.IsLiveWithBlockingGap",
    "Principal": "principal-knowledge-authority",
    "TargetField": "ProcedureVersions.IsLiveWithBlockingGap",
    "CanRead": true,
    "CanWrite": false,
    "MaskStrategy": "plain",
    "SemanticTypeIri": "urn:effortless:pko-extension#FieldGrant",
    "Name": "principal-knowledge-authority -&gt; ProcedureVersions.IsLiveWithBlockingGap",
    "FieldTable": "ProcedureVersions",
    "FieldName": "IsLiveWithBlockingGap",
    "FieldIsDerived": true,
    "IsWritableDerivedField": false,
    "IsMasked": false,
    "GrantKeyWhenReadable": "principal-knowledge-authority|ProcedureVersions"
   },
   {
    "FieldGrantId": "fg-knowledge-authority-ProcedureVersions.ShouldNotBeExecutable",
    "Principal": "principal-knowledge-authority",
    "TargetField": "ProcedureVersions.ShouldNotBeExecutable",
    "CanRead": true,
    "CanWrite": false,
    "MaskStrategy": "plain",
    "SemanticTypeIri": "urn:effortless:pko-extension#FieldGrant",
    "Name": "principal-knowledge-authority -&gt; ProcedureVersions.ShouldNotBeExecutable",
    "FieldTable": "ProcedureVersions",
    "FieldName": "ShouldNotBeExecutable",
    "FieldIsDerived": true,
    "IsWritableDerivedField": false,
    "IsMasked": false,
    "GrantKeyWhenReadable": "principal-knowledge-authority|ProcedureVersions"
   },
   {
    "FieldGrantId": "fg-knowledge-authority-ProcedureVersions.CountOfUnapprovedRelianceFragments",
    "Principal": "principal-knowledge-authority",
    "TargetField": "ProcedureVersions.CountOfUnapprovedRelianceFragments",
    "CanRead": true,
    "CanWrite": false,
    "MaskStrategy": "plain",
    "SemanticTypeIri": "urn:effortless:pko-extension#FieldGrant",
    "Name": "principal-knowledge-authority -&gt; ProcedureVersions.CountOfUnapprovedRelianceFragments",
    "FieldTable": "ProcedureVersions",
    "FieldName": "CountOfUnapprovedRelianceFragments",
    "FieldIsDerived": true,
    "IsWritableDerivedField": false,
    "IsMasked": false,
    "GrantKeyWhenReadable": "principal-knowledge-authority|ProcedureVersions"
   },
   {
    "FieldGrantId": "fg-knowledge-authority-ProcedureVersions.RunsOnUnapprovedKnowledge",
    "Principal": "principal-knowledge-authority",
    "TargetField": "ProcedureVersions.RunsOnUnapprovedKnowledge",
    "CanRead": true,
    "CanWrite": false,
    "MaskStrategy": "plain",
    "SemanticTypeIri": "urn:effortless:pko-extension#FieldGrant",
    "Name": "principal-knowledge-authority -&gt; ProcedureVersions.RunsOnUnapprovedKnowledge",
    "FieldTable": "ProcedureVersions",
    "FieldName": "RunsOnUnapprovedKnowledge",
    "FieldIsDerived": true,
    "IsWritableDerivedField": false,
    "IsMasked": false,
    "GrantKeyWhenReadable": "principal-knowledge-authority|ProcedureVersions"
   },
   {
    "FieldGrantId": "fg-knowledge-authority-ProcedureVersions.CountOfOverdueGaps",
    "Principal": "principal-knowledge-authority",
    "TargetField": "ProcedureVersions.CountOfOverdueGaps",
    "CanRead": true,
    "CanWrite": false,
    "MaskStrategy": "plain",
    "SemanticTypeIri": "urn:effortless:pko-extension#FieldGrant",
    "Name": "principal-knowledge-authority -&gt; ProcedureVersions.CountOfOverdueGaps",
    "FieldTable": "ProcedureVersions",
    "FieldName": "CountOfOverdueGaps",
    "FieldIsDerived": true,
    "IsWritableDerivedField": false,
    "IsMasked": false,
    "GrantKeyWhenReadable": "principal-knowledge-authority|ProcedureVersions"
   },
   {
    "FieldGrantId": "fg-knowledge-authority-ProcedureVersions.CountOfChangeRequests",
    "Principal": "principal-knowledge-authority",
    "TargetField": "ProcedureVersions.CountOfChangeRequests",
    "CanRead": true,
    "CanWrite": false,
    "MaskStrategy": "plain",
    "SemanticTypeIri": "urn:effortless:pko-extension#FieldGrant",
    "Name": "principal-knowledge-authority -&gt; ProcedureVersions.CountOfChangeRequests",
    "FieldTable": "ProcedureVersions",
    "FieldName": "CountOfChangeRequests",
    "FieldIsDerived": true,
    "IsWritableDerivedField": false,
    "IsMasked": false,
    "GrantKeyWhenReadable": "principal-knowledge-authority|ProcedureVersions"
   },
   {
    "FieldGrantId": "fg-knowledge-authority-ProcedureVersions.CountOfReviewEvents",
    "Principal": "principal-knowledge-authority",
    "TargetField": "ProcedureVersions.CountOfReviewEvents",
    "CanRead": true,
    "CanWrite": false,
    "MaskStrategy": "plain",
    "SemanticTypeIri": "urn:effortless:pko-extension#FieldGrant",
    "Name": "principal-knowledge-authority -&gt; ProcedureVersions.CountOfReviewEvents",
    "FieldTable": "ProcedureVersions",
    "FieldName": "CountOfReviewEvents",
    "FieldIsDerived": true,
    "IsWritableDerivedField": false,
    "IsMasked": false,
    "GrantKeyWhenReadable": "principal-knowledge-authority|ProcedureVersions"
   },
   {
    "FieldGrantId": "fg-knowledge-authority-ProcedureVersions.HasGovernanceRecord",
    "Principal": "principal-knowledge-authority",
    "TargetField": "ProcedureVersions.HasGovernanceRecord",
    "CanRead": true,
    "CanWrite": false,
    "MaskStrategy": "plain",
    "SemanticTypeIri": "urn:effortless:pko-extension#FieldGrant",
    "Name": "principal-knowledge-authority -&gt; ProcedureVersions.HasGovernanceRecord",
    "FieldTable": "ProcedureVersions",
    "FieldName": "HasGovernanceRecord",
    "FieldIsDerived": true,
    "IsWritableDerivedField": false,
    "IsMasked": false,
    "GrantKeyWhenReadable": "principal-knowledge-authority|ProcedureVersions"
   },
   {
    "FieldGrantId": "fg-knowledge-authority-ProcedureVersions.EvaluationContext",
    "Principal": "principal-knowledge-authority",
    "TargetField": "ProcedureVersions.EvaluationContext",
    "CanRead": true,
    "CanWrite": false,
    "MaskStrategy": "plain",
    "SemanticTypeIri": "urn:effortless:pko-extension#FieldGrant",
    "Name": "principal-knowledge-authority -&gt; ProcedureVersions.EvaluationContext",
    "FieldTable": "ProcedureVersions",
    "FieldName": "EvaluationContext",
    "FieldIsDerived": false,
    "IsWritableDerivedField": false,
    "IsMasked": false,
    "GrantKeyWhenReadable": "principal-knowledge-authority|ProcedureVersions"
   },
   {
    "FieldGrantId": "fg-knowledge-authority-ProcedureVersions.AsOfInstant",
    "Principal": "principal-knowledge-authority",
    "TargetField": "ProcedureVersions.AsOfInstant",
    "CanRead": true,
    "CanWrite": false,
    "MaskStrategy": "plain",
    "SemanticTypeIri": "urn:effortless:pko-extension#FieldGrant",
    "Name": "principal-knowledge-authority -&gt; ProcedureVersions.AsOfInstant",
    "FieldTable": "ProcedureVersions",
    "FieldName": "AsOfInstant",
    "FieldIsDerived": true,
    "IsWritableDerivedField": false,
    "IsMasked": false,
    "GrantKeyWhenReadable": "principal-knowledge-authority|ProcedureVersions"
   },
   {
    "FieldGrantId": "fg-knowledge-authority-ProcedureVersions.DaysSinceModified",
    "Principal": "principal-knowledge-authority",
    "TargetField": "ProcedureVersions.DaysSinceModified",
    "CanRead": true,
    "CanWrite": false,
    "MaskStrategy": "plain",
    "SemanticTypeIri": "urn:effortless:pko-extension#FieldGrant",
    "Name": "principal-knowledge-authority -&gt; ProcedureVersions.DaysSinceModified",
    "FieldTable": "ProcedureVersions",
    "FieldName": "DaysSinceModified",
    "FieldIsDerived":</t>
  </si>
  <si>
    <t xml:space="preserve"> true,
    "IsWritableDerivedField": false,
    "IsMasked": false,
    "GrantKeyWhenReadable": "principal-knowledge-authority|ProcedureVersions"
   },
   {
    "FieldGrantId": "fg-knowledge-authority-ProcedureVersions.DaysSinceLastReview",
    "Principal": "principal-knowledge-authority",
    "TargetField": "ProcedureVersions.DaysSinceLastReview",
    "CanRead": true,
    "CanWrite": false,
    "MaskStrategy": "plain",
    "SemanticTypeIri": "urn:effortless:pko-extension#FieldGrant",
    "Name": "principal-knowledge-authority -&gt; ProcedureVersions.DaysSinceLastReview",
    "FieldTable": "ProcedureVersions",
    "FieldName": "DaysSinceLastReview",
    "FieldIsDerived": true,
    "IsWritableDerivedField": false,
    "IsMasked": false,
    "GrantKeyWhenReadable": "principal-knowledge-authority|ProcedureVersions"
   },
   {
    "FieldGrantId": "fg-knowledge-authority-ProcedureVersions.WasModifiedSinceLastReview",
    "Principal": "principal-knowledge-authority",
    "TargetField": "ProcedureVersions.WasModifiedSinceLastReview",
    "CanRead": true,
    "CanWrite": false,
    "MaskStrategy": "plain",
    "SemanticTypeIri": "urn:effortless:pko-extension#FieldGrant",
    "Name": "principal-knowledge-authority -&gt; ProcedureVersions.WasModifiedSinceLastReview",
    "FieldTable": "ProcedureVersions",
    "FieldName": "WasModifiedSinceLastReview",
    "FieldIsDerived": true,
    "IsWritableDerivedField": false,
    "IsMasked": false,
    "GrantKeyWhenReadable": "principal-knowledge-authority|ProcedureVersions"
   },
   {
    "FieldGrantId": "fg-knowledge-authority-ProcedureVersions.ModifierIsAuthority",
    "Principal": "principal-knowledge-authority",
    "TargetField": "ProcedureVersions.ModifierIsAuthority",
    "CanRead": true,
    "CanWrite": false,
    "MaskStrategy": "plain",
    "SemanticTypeIri": "urn:effortless:pko-extension#FieldGrant",
    "Name": "principal-knowledge-authority -&gt; ProcedureVersions.ModifierIsAuthority",
    "FieldTable": "ProcedureVersions",
    "FieldName": "ModifierIsAuthority",
    "FieldIsDerived": true,
    "IsWritableDerivedField": false,
    "IsMasked": false,
    "GrantKeyWhenReadable": "principal-knowledge-authority|ProcedureVersions"
   },
   {
    "FieldGrantId": "fg-knowledge-authority-ProcedureVersions.HasUnwitnessedChange",
    "Principal": "principal-knowledge-authority",
    "TargetField": "ProcedureVersions.HasUnwitnessedChange",
    "CanRead": true,
    "CanWrite": false,
    "MaskStrategy": "plain",
    "SemanticTypeIri": "urn:effortless:pko-extension#FieldGrant",
    "Name": "principal-knowledge-authority -&gt; ProcedureVersions.HasUnwitnessedChange",
    "FieldTable": "ProcedureVersions",
    "FieldName": "HasUnwitnessedChange",
    "FieldIsDerived": true,
    "IsWritableDerivedField": false,
    "IsMasked": false,
    "GrantKeyWhenReadable": "principal-knowledge-authority|ProcedureVersions"
   },
   {
    "FieldGrantId": "fg-knowledge-authority-ProcedureVersions.CountOfStaleFragments",
    "Principal": "principal-knowledge-authority",
    "TargetField": "ProcedureVersions.CountOfStaleFragments",
    "CanRead": true,
    "CanWrite": false,
    "MaskStrategy": "plain",
    "SemanticTypeIri": "urn:effortless:pko-extension#FieldGrant",
    "Name": "principal-knowledge-authority -&gt; ProcedureVersions.CountOfStaleFragments",
    "FieldTable": "ProcedureVersions",
    "FieldName": "CountOfStaleFragments",
    "FieldIsDerived": true,
    "IsWritableDerivedField": false,
    "IsMasked": false,
    "GrantKeyWhenReadable": "principal-knowledge-authority|ProcedureVersions"
   },
   {
    "FieldGrantId": "fg-knowledge-authority-ProcedureVersions.KnowledgeIsStalerThanCadence",
    "Principal": "principal-knowledge-authority",
    "TargetField": "ProcedureVersions.KnowledgeIsStalerThanCadence",
    "CanRead": true,
    "CanWrite": false,
    "MaskStrategy": "plain",
    "SemanticTypeIri": "urn:effortless:pko-extension#FieldGrant",
    "Name": "principal-knowledge-authority -&gt; ProcedureVersions.KnowledgeIsStalerThanCadence",
    "FieldTable": "ProcedureVersions",
    "FieldName": "KnowledgeIsStalerThanCadence",
    "FieldIsDerived": true,
    "IsWritableDerivedField": false,
    "IsMasked": false,
    "GrantKeyWhenReadable": "principal-knowledge-authority|ProcedureVersions"
   },
   {
    "FieldGrantId": "fg-knowledge-authority-ProcedureVersions.CompoundFragileFragmentCount",
    "Principal": "principal-knowledge-authority",
    "TargetField": "ProcedureVersions.CompoundFragileFragmentCount",
    "CanRead": true,
    "CanWrite": false,
    "MaskStrategy": "plain",
    "SemanticTypeIri": "urn:effortless:pko-extension#FieldGrant",
    "Name": "principal-knowledge-authority -&gt; ProcedureVersions.CompoundFragileFragmentCount",
    "FieldTable": "ProcedureVersions",
    "FieldName": "CompoundFragileFragmentCount",
    "FieldIsDerived": true,
    "IsWritableDerivedField": false,
    "IsMasked": false,
    "GrantKeyWhenReadable": "principal-knowledge-authority|ProcedureVersions"
   },
   {
    "FieldGrantId": "fg-knowledge-authority-ProcedureVersions.RestsOnCompoundFragileKnowledge",
    "Principal": "principal-knowledge-authority",
    "TargetField": "ProcedureVersions.RestsOnCompoundFragileKnowledge",
    "CanRead": true,
    "CanWrite": false,
    "MaskStrategy": "plain",
    "SemanticTypeIri": "urn:effortless:pko-extension#FieldGrant",
    "Name": "principal-knowledge-authority -&gt; ProcedureVersions.RestsOnCompoundFragileKnowledge",
    "FieldTable": "ProcedureVersions",
    "FieldName": "RestsOnCompoundFragileKnowledge",
    "FieldIsDerived": true,
    "IsWritableDerivedField": false,
    "IsMasked": false,
    "GrantKeyWhenReadable": "principal-knowledge-authority|ProcedureVersions"
   },
   {
    "FieldGrantId": "fg-knowledge-authority-ProcedureVersions.ConcentratedWitnessSessionCount",
    "Principal": "principal-knowledge-authority",
    "TargetField": "ProcedureVersions.ConcentratedWitnessSessionCount",
    "CanRead": true,
    "CanWrite": false,
    "MaskStrategy": "plain",
    "SemanticTypeIri": "urn:effortless:pko-extension#FieldGrant",
    "Name": "principal-knowledge-authority -&gt; ProcedureVersions.ConcentratedWitnessSessionCount",
    "FieldTable": "ProcedureVersions",
    "FieldName": "ConcentratedWitnessSessionCount",
    "FieldIsDerived": true,
    "IsWritableDerivedField": false,
    "IsMasked": false,
    "GrantKeyWhenReadable": "principal-knowledge-authority|ProcedureVersions"
   },
   {
    "FieldGrantId": "fg-knowledge-authority-ProcedureVersions.KnowledgeBaseIsConcentrated",
    "Principal": "principal-knowledge-authority",
    "TargetField": "ProcedureVersions.KnowledgeBaseIsConcentrated",
    "CanRead": true,
    "CanWrite": false,
    "MaskStrategy": "plain",
    "SemanticTypeIri": "urn:effortless:pko-extension#FieldGrant",
    "Name": "principal-knowledge-authority -&gt; ProcedureVersions.KnowledgeBaseIsConcentrated",
    "FieldTable": "ProcedureVersions",
    "FieldName": "KnowledgeBaseIsConcentrated",
    "FieldIsDerived": true,
    "IsWritableDerivedField": false,
    "IsMasked": false,
    "GrantKeyWhenReadable": "principal-knowledge-authority|ProcedureVersions"
   },
   {
    "FieldGrantId": "fg-knowledge-authority-ProcedureVersions.MachineConsumedUnapprovedCount",
    "Principal": "principal-knowledge-authority",
    "TargetField": "ProcedureVersions.MachineConsumedUnapprovedCount",
    "CanRead": true,
    "CanWrite": false,
    "MaskStrategy": "plain",
    "SemanticTypeIri": "urn:effortless:pko-extension#FieldGrant",
    "Name": "principal-knowledge-authority -&gt; ProcedureVersions.MachineConsumedUnapprovedCount",
    "FieldTable": "ProcedureVersions",
    "FieldName": "MachineConsumedUnapprovedCount",
    "FieldIsDerived": true,
    "IsWritableDerivedField": false,
    "IsMasked": false,
    "GrantKeyWhenReadable": "principal-knowledge-authority|ProcedureVersions"
   },
   {
    "FieldGrantId": "fg-knowledge-authority-ProcedureVersions.FeedsUnapprovedKnowledgeToMachines",
    "Principal": "principal-knowledge-authority",
    "TargetField": "ProcedureVersions.FeedsUnapprovedKnowledgeToMachines",
    "CanRead": true,
    "CanWrite": false,
    "MaskStrategy": "plain",
    "SemanticTypeIri": "urn:effortless:pko-extension#FieldGrant",
    "Name": "principal-knowledge-authority -&gt; ProcedureVersions.FeedsUnapprovedKnowledgeToMachines",
    "FieldTable": "ProcedureVersions",
    "FieldName": "FeedsUnapprovedKnowledgeToMachines",
    "FieldIsDerived": true,
    "IsWritableDerivedField": false,
    "IsMasked": false,
    "GrantKeyWhenReadable": "principal-knowledge-authority|ProcedureVersions"
   },
   {
    "FieldGrantId": "fg-knowledge-authority-ProcedureVersions.GenuinelyOverdueFragmentCount",
    "Principal": "principal-knowledge-authority",
    "TargetField": "ProcedureVersions.GenuinelyOverdueFragmentCount",
    "CanRead": true,
    "CanWrite": false,
    "MaskStrategy": "plain",
    "SemanticTypeIri": "urn:effortless:pko-extension#FieldGrant",
    "Name": "principal-knowledge-authority -&gt; ProcedureVersions.GenuinelyOverdueFragmentCount",
    "FieldTable": "ProcedureVersions",
    "FieldName": "GenuinelyOverdueFragmentCount",
    "FieldIsDerived": true,
    "IsWritableDerivedField": false,
    "IsMasked": false,
    "GrantKeyWhenReadable": "principal-knowledge-authority|ProcedureVersions"
   },
   {
    "FieldGrantId": "fg-knowledge-authority-ProcedureVersions.AwaitedDecisionCount",
    "Principal": "principal-knowledge-authority",
    "TargetField": "ProcedureVersions.AwaitedDecisionCount",
    "CanRead": true,
    "CanWrite": false,
    "MaskStrategy": "plain",
    "SemanticTypeIri": "urn:effortless:pko-extension#FieldGrant",
    "Name": "principal-knowledge-authority -&gt; ProcedureVersions.AwaitedDecisionCount",
    "FieldTable": "ProcedureVersions",
    "FieldName": "AwaitedDecisionCount",
    "FieldIsDerived": true,
    "IsWritableDerivedField": false,
    "IsMasked": false,
    "GrantKeyWhenReadable": "principal-knowledge-authority|ProcedureVersions"
   },
   {
    "FieldGrantId": "fg-knowledge-authority-ProcedureVersions.ScopedOpenBlockingGapCount",
    "Principal": "principal-knowledge-authority",
    "TargetField": "ProcedureVersions.ScopedOpenBlockingGapCount",
    "CanRead": true,
    "CanWrite": false,
    "MaskStrategy": "plain",
    "SemanticTypeIri": "urn:effortless:pko-extension#FieldGrant",
    "Name": "principal-knowledge-authority -&gt; ProcedureVersions.ScopedOpenBlockingGapCount",
    "FieldTable": "ProcedureVersions",
    "FieldName": "ScopedOpenBlockingGapCount",
    "FieldIsDerived": true,
    "IsWritableDerivedField": false,
    "IsMasked": false,
    "GrantKeyWhenReadable": "principal-knowledge-authority|ProcedureVersions"
   },
   {
    "FieldGrantId": "fg-knowledge-authority-ProcedureVersions.IsBlockedOnPendingDecision",
    "Principal": "principal-knowledge-authority",
    "TargetField": "ProcedureVersions.IsBlockedOnPendingDecision",
    "CanRead": true,
    "CanWrite": false,
    "MaskStrategy": "plain",
    "SemanticTypeIri": "urn:effortless:pko-extension#FieldGrant",
    "Name": "principal-knowledge-authority -&gt; ProcedureVersions.IsBlockedOnPendingDecision",
    "FieldTable": "ProcedureVersions",
    "FieldName": "IsBlockedOnPendingDecision",
    "FieldIsDerived": true,
    "IsWritableDerivedField": false,
    "IsMasked": false,
    "GrantKeyWhenReadable": "principal-knowledge-authority|ProcedureVersions"
   },
   {
    "FieldGrantId": "fg-knowledge-authority-ProcedureVersions.UnexercisedHumanGateCount",
    "Principal": "principal-knowledge-authority",
    "TargetField": "ProcedureVersions.UnexercisedHumanGateCount",
    "CanRead": true,
    "CanWrite": false,
    "MaskStrategy": "plain",
    "SemanticTypeIri": "urn:effortless:pko-extension#FieldGrant",
    "Name": "principal-knowledge-authority -&gt; ProcedureVersions.UnexercisedHumanGateCount",
    "FieldTable": "ProcedureVersions",
    "FieldName": "UnexercisedHumanGateCount",
    "FieldIsDerived": true,
    "IsWritableDerivedField": false,
    "IsMasked": false,
    "GrantKeyWhenReadable": "principal-knowledge-authority|ProcedureVersions"
   },
   {
    "FieldGrantId": "fg-knowledge-authority-ProcedureVersions.AiBoundaryIsUnevidenced",
    "Principal": "principal-knowledge-authority",
    "TargetField": "ProcedureVersions.AiBoundaryIsUnevidenced",
    "CanRead": true,
    "CanWrite": false,
    "MaskStrategy": "plain",
    "SemanticTypeIri": "urn:effortless:pko-extension#FieldGrant",
    "Name": "principal-knowledge-authority -&gt; ProcedureVersions.AiBoundaryIsUnevidenced",
    "FieldTable": "ProcedureVersions",
    "FieldName": "AiBoundaryIsUnevidenced",
    "FieldIsDerived": true,
    "IsWritableDerivedField": false,
    "IsMasked": false,
    "GrantKeyWhenReadable": "principal-knowledge-authority|ProcedureVersions"
   },
   {
    "FieldGrantId": "fg-knowledge-authority-ProcedureVersions.LoadBearingUnapprovedCount",
    "Principal": "principal-knowledge-authority",
    "TargetField": "ProcedureVersions.LoadBearingUnapprovedCount",
    "CanRead": true,
    "CanWrite": false,
    "MaskStrategy": "plain",
    "SemanticTypeIri": "urn:effortless:pko-extension#FieldGrant",
    "Name": "principal-knowledge-authority -&gt; ProcedureVersions.LoadBearingUnapprovedCount",
    "FieldTable": "ProcedureVersions",
    "FieldName": "LoadBearingUnapprovedCount",
    "FieldIsDerived": true,
    "IsWritableDerivedField": false,
    "IsMasked": false,
    "GrantKeyWhenReadable": "principal-knowledge-authority|ProcedureVersions"
   },
   {
    "FieldGrantId": "fg-knowledge-authority-ProcedureVersions.UnlandedDecisionCount",
    "Principal": "principal-knowledge-authority",
    "TargetField": "ProcedureVersions.UnlandedDecisionCount",
    "CanRead": true,
    "CanWrite": false,
    "MaskStrategy": "plain",
    "SemanticTypeIri": "urn:effortless:pko-extension#FieldGrant",
    "Name": "principal-knowledge-authority -&gt; ProcedureVersions.UnlandedDecisionCount",
    "FieldTable": "ProcedureVersions",
    "FieldName": "UnlandedDecisionCount",
    "FieldIsDerived": true,
    "IsWritableDerivedField": false,
    "IsMasked": false,
    "GrantKeyWhenReadable": "principal-knowledge-authority|ProcedureVersions"
   },
   {
    "FieldGrantId": "fg-knowledge-authority-ProcedureVersions.UnrehearsedControlEntryCount",
    "Principal": "principal-knowledge-authority",
    "TargetField": "ProcedureVersions.UnrehearsedControlEntryCount",
    "CanRead": true,
    "CanWrite": false,
    "MaskStrategy": "plain",
    "SemanticTypeIri": "urn:effortless:pko-extension#FieldGrant",
    "Name": "principal-knowledge-authority -&gt; ProcedureVersions.UnrehearsedControlEntryCount",
    "FieldTable": "ProcedureVersions",
    "FieldName": "UnrehearsedControlEntryCount",
    "FieldIsDerived": true,
    "IsWritableDerivedField": false,
    "IsMasked": false,
    "GrantKeyWhenReadable": "principal-knowledge-authority|ProcedureVersions"
   },
   {
    "FieldGrantId": "fg-knowledge-authority-ProcedureVersions.HasUnrehearsedControlEntry",
    "Principal": "principal-knowledge-authority",
    "TargetField": "ProcedureVersions.HasUnrehearsedControlEntry",
    "CanRead": true,
    "CanWrite": false,
    "MaskStrategy": "plain",
    "SemanticTypeIri": "urn:effortless:pko-extension#FieldGrant",
    "Name": "principal-knowledge-authority -&gt; ProcedureVersions.HasUnrehearsedControlEntry",
    "FieldTable": "ProcedureVersions",
    "FieldName": "HasUnrehearsedControlEntry",
    "FieldIsDerived": true,
    "IsWritableDerivedField": false,
    "IsMasked": false,
    "GrantKeyWhenReadable": "principal-knowledge-authority|ProcedureVersions"
   },
   {
    "FieldGrantId": "fg-knowledge-authority-ProcedureVersions.IsLiveWithUnrehearsedControl",
    "Principal": "principal-knowledge-authority",
    "TargetField": "ProcedureVersions.IsLiveWithUnrehearsedControl",
    "CanRead": true,
    "CanWrite": false,
    "MaskStrategy": "plain",
    "SemanticTypeIri": "urn:effortless:pko-extension#FieldGrant",
    "Name": "principal-knowledge-authority -&gt; ProcedureVersions.IsLiveWithUnrehearsedControl",
    "FieldTable": "ProcedureVersions",
    "FieldName": "IsLiveWithUnrehearsedControl",
    "FieldIsDerived": true,
    "IsWritableDerivedField": false,
    "IsMasked": false,
    "GrantKeyWhenReadable": "principal-knowledge-authority|ProcedureVersions"
   },
   {
    "FieldGrantId": "fg-knowledge-authority-ProcedureVersions.CadenceBreachCount",
    "Principal": "principal-knowledge-authority",
    "TargetField": "ProcedureVersions.CadenceBreachCount",
    "CanRead": true,
    "CanWrite": false,
    "MaskStrategy": "plain",
    "SemanticTypeIri": "urn:effortless:pko-extension#FieldGrant",
    "Name": "principal-knowledge-authority -&gt; ProcedureVersions.CadenceBreachCount",
    "FieldTable": "ProcedureVersions",
    "FieldName": "CadenceBreachCount",
    "FieldIsDerived": true,
    "IsWritableDerivedField": false,
    "IsMasked": false,
    "GrantKeyWhenReadable": "principal-knowledge-authority|ProcedureVersions"
   },
   {
    "FieldGrantId": "fg-knowledge-authority-ProcedureVersions.IsInCadenceBreach",
    "Principal": "principal-knowledge-authority",
    "TargetField": "ProcedureVersions.IsInCadenceBreach",
    "CanRead": true,
    "CanWrite": false,
    "MaskStrategy": "plain",
    "SemanticTypeIri": "urn:effortless:pko-extension#FieldGrant",
    "Name": "principal-knowledge-authority -&gt; ProcedureVersions.IsInCadenceBreach",
    "FieldTable": "ProcedureVersions",
    "FieldName": "IsInCadenceBreach",
    "FieldIsDerived": true,
    "IsWritableDerivedField": false,
    "IsMasked": false,
    "GrantKeyWhenReadable": "principal-knowledge-authority|ProcedureVersions"
   },
   {
    "FieldGrantId": "fg-knowledge-authority-ProcedureVersions.HasDecisionInFlight",
    "Principal": "principal-knowledge-authority",
    "TargetField": "ProcedureVersions.HasDecisionInFlight",
    "CanRead": true,
    "CanWrite": false,
    "MaskStrategy": "plain",
    "SemanticTypeIri": "urn:effortless:pko-extension#FieldGrant",
    "Name": "principal-knowledge-authority -&gt; ProcedureVersions.HasDecisionInFlight",
    "FieldTable": "ProcedureVersions",
    "FieldName": "HasDecisionInFlight",
    "FieldIsDerived": true,
    "IsWritableDerivedField": false,
    "IsMasked": false,
    "GrantKeyWhenReadable": "principal-knowledge-authority|ProcedureVersions"
   },
   {
    "FieldGrantId": "fg-knowledge-authority-ProcedureVersions.IsUnremediatedCadenceBreach",
    "Principal": "principal-knowledge-authority",
    "TargetField": "ProcedureVersions.IsUnremediatedCadenceBreach",
    "CanRead": true,
    "CanWrite": false,
    "MaskStrategy": "plain",
    "SemanticTypeIri": "urn:effortless:pko-extension#FieldGrant",
    "Name": "principal-knowledge-authority -&gt; ProcedureVersions.IsUnremediatedCadenceBreach",
    "FieldTable": "ProcedureVersions",
    "FieldName": "IsUnremediatedCadenceBreach",
    "FieldIsDerived": true,
    "IsWritableDerivedField": false,
    "IsMasked": false,
    "GrantKeyWhenReadable": "principal-knowledge-authority|ProcedureVersions"
   },
   {
    "FieldGrantId": "fg-knowledge-authority-ProcedureVersions.IsManagedCadenceBreach",
    "Principal": "principal-knowledge-authority",
    "TargetField": "ProcedureVersions.IsManagedCadenceBreach",
    "CanRead": true,
    "CanWrite": false,
    "MaskStrategy": "plain",
    "SemanticTypeIri": "urn:effortless:pko-extension#FieldGrant",
    "Name": "principal-knowledge-authority -&gt; ProcedureVersions.IsManagedCadenceBreach",
    "FieldTable": "ProcedureVersions",
    "FieldName": "IsManagedCadenceBreach",
    "FieldIsDerived": true,
    "IsWritableDerivedField": false,
    "IsMasked": false,
    "GrantKeyWhenReadable": "principal-knowledge-authority|ProcedureVersions"
   },
   {
    "FieldGrantId": "fg-knowledge-authority-ProcedureVersions.GovernanceIsSilent",
    "Principal": "principal-knowledge-authority",
    "TargetField": "ProcedureVersions.GovernanceIsSilent",
    "CanRead": true,
    "CanWrite": false,
    "MaskStrategy": "plain",
    "SemanticTypeIri": "urn:effortless:pko-extension#FieldGrant",
    "Name": "principal-knowledge-authority -&gt; ProcedureVersions.GovernanceIsSilent",
    "FieldTable": "ProcedureVersions",
    "FieldName": "GovernanceIsSilent",
    "FieldIsDerived": true,
    "IsWritableDerivedField": false,
    "IsMasked": false,
    "GrantKeyWhenReadable": "principal-knowledge-authority|ProcedureVersions"
   },
   {
    "FieldGrantId": "fg-knowledge-authority-ProcedureVersions.ValidFragmentCount",
    "Principal": "principal-knowledge-authority",
    "TargetField": "ProcedureVersions.ValidFragmentCount",
    "CanRead": true,
    "CanWrite": false,
    "MaskStrategy": "plain",
    "SemanticTypeIri": "urn:effortless:pko-extension#FieldGrant",
    "Name": "principal-knowledge-authority -&gt; ProcedureVersions.ValidFragmentCount",
    "FieldTable": "ProcedureVersions",
    "FieldName": "ValidFragmentCount",
    "FieldIsDerived": true,
    "IsWritableDerivedField": false,
    "IsMasked": false,
    "GrantKeyWhenReadable": "principal-knowledge-authority|ProcedureVersions"
   },
   {
    "FieldGrantId": "fg-knowledge-authority-ProcedureVersions.StillOwnsValidKnowledge",
    "Principal": "principal-knowledge-authority",
    "TargetField": "ProcedureVersions.StillOwnsValidKnowledge",
    "CanRead": true,
    "CanWrite": false,
    "MaskStrategy": "plain",
    "SemanticTypeIri": "urn:effortless:pko-extension#FieldGrant",
    "Name": "principal-knowledge-authority -&gt; ProcedureVersions.StillOwnsValidKnowledge",
    "FieldTable": "ProcedureVersions",
    "FieldName": "StillOwnsValidKnowledge",
    "FieldIsDerived": true,
    "IsWritableDerivedField": false,
    "IsMasked": false,
    "GrantKeyWhenReadable": "principal-knowledge-authority|ProcedureVersions"
   },
   {
    "FieldGrantId": "fg-knowledge-authority-ProcedureVersions.IncomingSupersessionCount",
    "Principal": "principal-knowledge-authority",
    "TargetField": "ProcedureVersions.IncomingSupersessionCount",
    "CanRead": true,
    "CanWrite": false,
    "MaskStrategy": "plain",
    "SemanticTypeIri": "urn:effortless:pko-extension#FieldGrant",
    "Name": "principal-knowledge-authority -&gt; ProcedureVersions.IncomingSupersessionCount",
    "FieldTable": "ProcedureVersions",
    "FieldName": "IncomingSupersessionCount",
    "FieldIsDerived": true,
    "IsWritableDerivedField": false,
    "IsMasked": false,
    "GrantKeyWhenReadable": "principal-knowledge-authority|ProcedureVersions"
   },
   {
    "FieldGrantId": "fg-knowledge-authority-ProcedureVersions.IsStillReferenced",
    "Principal": "principal-knowledge-authority",
    "TargetField": "ProcedureVersions.IsStillReferenced",
    "CanRead": true,
    "CanWrite": false,
    "MaskStrategy": "plain",
    "SemanticTypeIri": "urn:effortless:pko-extension#FieldGrant",
    "Name": "principal-knowledge-authority -&gt; ProcedureVersions.IsStillReferenced",
    "FieldTable": "ProcedureVersions",
    "FieldName": "IsStillReferenced",
    "FieldIsDerived": true,
    "IsWritableDerivedField": false,
    "IsMasked": false,
    "GrantKeyWhenReadable": "principal-knowledge-authority|ProcedureVersions"
   },
   {
    "FieldGrantId": "fg-knowledge-authority-ProcedureVersions.IsLoadBearingOrphan",
    "Principal": "principal-knowledge-authority",
    "TargetField": "ProcedureVersions.IsLoadBearingOrphan",
    "CanRead": true,
    "CanWrite": false,
    "MaskStrategy": "plain",
    "SemanticTypeIri": "urn:effortless:pko-extension#FieldGrant",
    "Name": "principal-knowledge-authority -&gt; ProcedureVersions.IsLoadBearingOrphan",
    "FieldTable": "ProcedureVersions",
    "FieldName": "IsLoadBearingOrphan",
    "FieldIsDerived": true,
    "IsWritableDerivedField": false,
    "IsMasked": false,
    "GrantKeyWhenReadable": "principal-knowledge-authority|ProcedureVersions"
   },
   {
    "FieldGrantId": "fg-knowledge-authority-ProcedureVersions.IsCleanlyRetired",
    "Principal": "principal-knowledge-authority",
    "TargetField": "ProcedureVersions.IsCleanlyRetired",
    "CanRead": true,
    "CanWrite": false,
    "MaskStrategy": "plain",
    "SemanticTypeIri": "urn:effortless:pko-extension#FieldGrant",
    "Name": "principal-knowledge-authority -&gt; ProcedureVersions.IsCleanlyRetired",
    "FieldTable": "ProcedureVersions",
    "FieldName": "IsCleanlyRetired",
    "FieldIsDerived": true,
    "IsWritableDerivedField": false,
    "IsMasked": false,
    "GrantKeyWhenReadable": "principal-knowledge-authority|ProcedureVersions"
   },
   {
    "FieldGrantId": "fg-knowledge-authority-ProcedureVersions.StalledImplementationCount",
    "Principal": "principal-knowledge-authority",
    "TargetField": "ProcedureVersions.StalledImplementationCount",
    "CanRead": true,
    "CanWrite": false,
    "MaskStrategy": "plain",
    "SemanticTypeIri": "urn:effortless:pko-extension#FieldGrant",
    "Name": "principal-knowledge-authority -&gt; ProcedureVersions.StalledImplementationCount",
    "FieldTable": "ProcedureVersions",
    "FieldName": "StalledImplementationCount",
    "FieldIsDerived": true,
    "IsWritableDerivedField": false,
    "IsMasked": false,
    "GrantKeyWhenReadable": "principal-knowledge-authority|ProcedureVersions"
   },
   {
    "FieldGrantId": "fg-knowledge-authority-ProcedureVersions.IsHeldUnfitByLandedDecisions",
    "Principal": "principal-knowledge-authority",
    "TargetField": "ProcedureVersions.IsHeldUnfitByLandedDecisions",
    "CanRead": true,
    "CanWrite": false,
    "MaskStrategy": "plain",
    "SemanticTypeIri": "urn:effortless:pko-extension#FieldGrant",
    "Name": "principal-knowledge-authority -&gt; ProcedureVersions.IsHeldUnfitByLandedDecisions",
    "FieldTable": "ProcedureVersions",
    "FieldName": "IsHeldUnfitByLandedDecisions",
    "FieldIsDerived": true,
    "IsWritableDerivedField": false,
    "IsMasked": false,
    "GrantKeyWhenReadable": "principal-knowledge-authority|ProcedureVersions"
   },
   {
    "FieldGrantId": "fg-knowledge-authority-ProcedureVersions.UndeclaredControlKindCount",
    "Principal": "principal-knowledge-authority",
    "TargetField": "ProcedureVersions.UndeclaredControlKindCount",
    "CanRead": true,
    "CanWrite": false,
    "MaskStrategy": "plain",
    "SemanticTypeIri": "urn:effortless:pko-extension#FieldGrant",
    "Name": "principal-knowledge-authority -&gt; ProcedureVersions.UndeclaredControlKindCount",
    "FieldTable": "ProcedureVersions",
    "FieldName": "UndeclaredControlKindCount",
    "FieldIsDerived": true,
    "IsWritableDerivedField": false,
    "IsMasked": false,
    "GrantKeyWhenReadable": "principal-knowledge-authority|ProcedureVersions"
   },
   {
    "FieldGrantId": "fg-knowledge-authority-ProcedureVersions.ControlTaxonomyIsIncomplete",
    "Principal": "principal-knowledge-authority",
    "TargetField": "ProcedureVersions.ControlTaxonomyIsIncomplete",
    "CanRead": true,
    "CanWrite": false,
    "MaskStrategy": "plain",
    "SemanticTypeIri": "urn:effortless:pko-extension#FieldGrant",
    "Name": "principal-knowledge-authority -&gt; ProcedureVersions.ControlTaxonomyIsIncomplete",
    "FieldTable": "ProcedureVersions",
    "FieldName": "ControlTaxonomyIsIncomplete",
    "FieldIsDerived": true,
    "IsWritableDerivedField": false,
    "IsMasked": false,
    "GrantKeyWhenReadable": "principal-knowledge-authority|ProcedureVersions"
   },
   {
    "FieldGrantId": "fg-knowledge-authority-ProcedureVersions.HasApprovedChangeRequest",
    "Principal": "principal-knowledge-authority",
    "TargetField": "ProcedureVersions.HasApprovedChangeRequest",
    "CanRead": true,
    "CanWrite": false,
    "MaskStrategy": "plain",
    "SemanticTypeIri": "urn:effortless:pko-extension#FieldGrant",
    "Name": "principal-knowledge-authority -&gt; ProcedureVersions.HasApprovedChangeRequest",
    "FieldTable": "ProcedureVersions",
    "FieldName": "HasApprovedChangeRequest",
    "FieldIsDerived": true,
    "IsWritableDerivedField": false,
    "IsMasked": false,
    "GrantKeyWhenReadable": "principal-knowledge-authority|ProcedureVersions"
   },
   {
    "FieldGrantId": "fg-knowledge-authority-ProcedureVersions.ApprovedChangeRequestCount",
    "Principal": "principal-knowledge-authority",
    "TargetField": "ProcedureVersions.ApprovedChangeRequestCount",
    "CanRead": true,
    "CanWrite": false,
    "MaskStrategy": "plain",
    "SemanticTypeIri": "urn:effortless:pko-extension#FieldGrant",
    "Name": "principal-knowledge-authority -&gt; ProcedureVersions.ApprovedChangeRequestCount",
    "FieldTable": "ProcedureVersions",
    "FieldName": "ApprovedChangeRequestCount",
    "FieldIsDerived": true,
    "IsWritableDerivedField": false,
    "IsMasked": false,
    "GrantKeyWhenReadable": "principal-knowledge-authority|ProcedureVersions"
   },
   {
    "FieldGrantId": "fg-knowledge-authority-ProcedureVersions.UnwatchedUnownedControlCount",
    "Principal": "principal-knowledge-authority",
    "TargetField": "ProcedureVersions.UnwatchedUnownedControlCount",
    "CanRead": true,
    "CanWrite": false,
    "MaskStrategy": "plain",
    "SemanticTypeIri": "urn:effortless:pko-extension#FieldGrant",
    "Name": "principal-knowledge-authority -&gt; ProcedureVersions.UnwatchedUnownedControlCount",
    "FieldTable": "ProcedureVersions",
    "FieldName": "UnwatchedUnownedControlCount",
    "FieldIsDerived": true,
    "IsWritableDerivedField": false,
    "IsMasked": false,
    "GrantKeyWhenReadable": "principal-knowledge-authority|ProcedureVersions"
   },
   {
    "FieldGrantId": "fg-knowledge-authority-ProcedureVersions.SemanticTypeIri",
    "Principal": "principal-knowledge-authority",
    "TargetField": "ProcedureVersions.SemanticTypeIri",
    "CanRead": true,
    "CanWrite": false,
    "MaskStrategy": "plain",
    "SemanticTypeIri": "urn:effortless:pko-extension#FieldGrant",
    "Name": "principal-knowledge-authority -&gt; ProcedureVersions.SemanticTypeIri",
    "FieldTable": "ProcedureVersions",
    "FieldName": "SemanticTypeIri",
    "FieldIsDerived": false,
    "IsWritableDerivedField": false,
    "IsMasked": false,
    "GrantKeyWhenReadable": "principal-knowledge-authority|ProcedureVersions"
   },
   {
    "FieldGrantId": "fg-knowledge-authority-Procedures.ProcedureId",
    "Principal": "principal-knowledge-authority",
    "TargetField": "Procedures.ProcedureId",
    "CanRead": true,
    "CanWrite": false,
    "MaskStrategy": "plain",
    "SemanticTypeIri": "urn:effortless:pko-extension#FieldGrant",
    "Name": "principal-knowledge-authority -&gt; Procedures.ProcedureId",
    "FieldTable": "Procedures",
    "FieldName": "ProcedureId",
    "FieldIsDerived": false,
    "IsWritableDerivedField": false,
    "IsMasked": false,
    "GrantKeyWhenReadable": "principal-knowledge-authority|Procedures"
   },
   {
    "FieldGrantId": "fg-knowledge-authority-Procedures.Name",
    "Principal": "principal-knowledge-authority",
    "TargetField": "Procedures.Name",
    "CanRead": true,
    "CanWrite": false,
    "MaskStrategy": "plain",
    "SemanticTypeIri": "urn:effortless:pko-extension#FieldGrant",
    "Name": "principal-knowledge-authority -&gt; Procedures.Name",
    "FieldTable": "Procedures",
    "FieldName": "Name",
    "FieldIsDerived": true,
    "IsWritableDerivedField": false,
    "IsMasked": false,
    "GrantKeyWhenReadable": "principal-knowledge-authority|Procedures"
   },
   {
    "FieldGrantId": "fg-knowledge-authority-Procedures.Title",
    "Principal": "principal-knowledge-authority",
    "TargetField": "Procedures.Title",
    "CanRead": true,
    "CanWrite": false,
    "MaskStrategy": "plain",
    "SemanticTypeIri": "urn:effortless:pko-extension#FieldGrant",
    "Name": "principal-knowledge-authority -&gt; Procedures.Title",
    "FieldTable": "Procedures",
    "FieldName": "Title",
    "FieldIsDerived": false,
    "IsWritableDerivedField": false,
    "IsMasked": false,
    "GrantKeyWhenReadable": "principal-knowledge-authority|Procedures"
   },
   {
    "FieldGrantId": "fg-knowledge-authority-Procedures.ProcedureType",
    "Principal": "principal-knowledge-authority",
    "TargetField": "Procedures.ProcedureType",
    "CanRead": true,
    "CanWrite": false,
    "MaskStrategy": "plain",
    "SemanticTypeIri": "urn:effortless:pko-extension#FieldGrant",
    "Name": "principal-knowledge-authority -&gt; Procedures.ProcedureType",
    "FieldTable": "Procedures",
    "FieldName": "ProcedureType",
    "FieldIsDerived": false,
    "IsWritableDerivedField": false,
    "IsMasked": false,
    "GrantKeyWhenReadable": "principal-knowledge-authority|Procedures"
   },
   {
    "FieldGrantId": "fg-knowledge-authority-Procedures.OwnerOrganization",
    "Principal": "principal-knowledge-authority",
    "TargetField": "Procedures.OwnerOrganization",
    "CanRead": true,
    "CanWrite": false,
    "MaskStrategy": "plain",
    "SemanticTypeIri": "urn:effortless:pko-extension#FieldGrant",
    "Name": "principal-</t>
  </si>
  <si>
    <t xml:space="preserve">knowledge-authority -&gt; Procedures.OwnerOrganization",
    "FieldTable": "Procedures",
    "FieldName": "OwnerOrganization",
    "FieldIsDerived": false,
    "IsWritableDerivedField": false,
    "IsMasked": false,
    "GrantKeyWhenReadable": "principal-knowledge-authority|Procedures"
   },
   {
    "FieldGrantId": "fg-knowledge-authority-Procedures.AdoptedByOrganization",
    "Principal": "principal-knowledge-authority",
    "TargetField": "Procedures.AdoptedByOrganization",
    "CanRead": true,
    "CanWrite": false,
    "MaskStrategy": "plain",
    "SemanticTypeIri": "urn:effortless:pko-extension#FieldGrant",
    "Name": "principal-knowledge-authority -&gt; Procedures.AdoptedByOrganization",
    "FieldTable": "Procedures",
    "FieldName": "AdoptedByOrganization",
    "FieldIsDerived": false,
    "IsWritableDerivedField": false,
    "IsMasked": false,
    "GrantKeyWhenReadable": "principal-knowledge-authority|Procedures"
   },
   {
    "FieldGrantId": "fg-knowledge-authority-Procedures.Purpose",
    "Principal": "principal-knowledge-authority",
    "TargetField": "Procedures.Purpose",
    "CanRead": true,
    "CanWrite": false,
    "MaskStrategy": "plain",
    "SemanticTypeIri": "urn:effortless:pko-extension#FieldGrant",
    "Name": "principal-knowledge-authority -&gt; Procedures.Purpose",
    "FieldTable": "Procedures",
    "FieldName": "Purpose",
    "FieldIsDerived": false,
    "IsWritableDerivedField": false,
    "IsMasked": false,
    "GrantKeyWhenReadable": "principal-knowledge-authority|Procedures"
   },
   {
    "FieldGrantId": "fg-knowledge-authority-Procedures.Target",
    "Principal": "principal-knowledge-authority",
    "TargetField": "Procedures.Target",
    "CanRead": true,
    "CanWrite": false,
    "MaskStrategy": "plain",
    "SemanticTypeIri": "urn:effortless:pko-extension#FieldGrant",
    "Name": "principal-knowledge-authority -&gt; Procedures.Target",
    "FieldTable": "Procedures",
    "FieldName": "Target",
    "FieldIsDerived": false,
    "IsWritableDerivedField": false,
    "IsMasked": false,
    "GrantKeyWhenReadable": "principal-knowledge-authority|Procedures"
   },
   {
    "FieldGrantId": "fg-knowledge-authority-Procedures.IsTemplate",
    "Principal": "principal-knowledge-authority",
    "TargetField": "Procedures.IsTemplate",
    "CanRead": true,
    "CanWrite": false,
    "MaskStrategy": "plain",
    "SemanticTypeIri": "urn:effortless:pko-extension#FieldGrant",
    "Name": "principal-knowledge-authority -&gt; Procedures.IsTemplate",
    "FieldTable": "Procedures",
    "FieldName": "IsTemplate",
    "FieldIsDerived": false,
    "IsWritableDerivedField": false,
    "IsMasked": false,
    "GrantKeyWhenReadable": "principal-knowledge-authority|Procedures"
   },
   {
    "FieldGrantId": "fg-knowledge-authority-Procedures.CurrentVersionKey",
    "Principal": "principal-knowledge-authority",
    "TargetField": "Procedures.CurrentVersionKey",
    "CanRead": true,
    "CanWrite": false,
    "MaskStrategy": "plain",
    "SemanticTypeIri": "urn:effortless:pko-extension#FieldGrant",
    "Name": "principal-knowledge-authority -&gt; Procedures.CurrentVersionKey",
    "FieldTable": "Procedures",
    "FieldName": "CurrentVersionKey",
    "FieldIsDerived": false,
    "IsWritableDerivedField": false,
    "IsMasked": false,
    "GrantKeyWhenReadable": "principal-knowledge-authority|Procedures"
   },
   {
    "FieldGrantId": "fg-knowledge-authority-Procedures.SemanticTypeIri",
    "Principal": "principal-knowledge-authority",
    "TargetField": "Procedures.SemanticTypeIri",
    "CanRead": true,
    "CanWrite": false,
    "MaskStrategy": "plain",
    "SemanticTypeIri": "urn:effortless:pko-extension#FieldGrant",
    "Name": "principal-knowledge-authority -&gt; Procedures.SemanticTypeIri",
    "FieldTable": "Procedures",
    "FieldName": "SemanticTypeIri",
    "FieldIsDerived": false,
    "IsWritableDerivedField": false,
    "IsMasked": false,
    "GrantKeyWhenReadable": "principal-knowledge-authority|Procedures"
   },
   {
    "FieldGrantId": "fg-knowledge-authority-Rationales.RationaleId",
    "Principal": "principal-knowledge-authority",
    "TargetField": "Rationales.RationaleId",
    "CanRead": true,
    "CanWrite": false,
    "MaskStrategy": "plain",
    "SemanticTypeIri": "urn:effortless:pko-extension#FieldGrant",
    "Name": "principal-knowledge-authority -&gt; Rationales.RationaleId",
    "FieldTable": "Rationales",
    "FieldName": "RationaleId",
    "FieldIsDerived": false,
    "IsWritableDerivedField": false,
    "IsMasked": false,
    "GrantKeyWhenReadable": "principal-knowledge-authority|Rationales"
   },
   {
    "FieldGrantId": "fg-knowledge-authority-Rationales.Name",
    "Principal": "principal-knowledge-authority",
    "TargetField": "Rationales.Name",
    "CanRead": true,
    "CanWrite": false,
    "MaskStrategy": "plain",
    "SemanticTypeIri": "urn:effortless:pko-extension#FieldGrant",
    "Name": "principal-knowledge-authority -&gt; Rationales.Name",
    "FieldTable": "Rationales",
    "FieldName": "Name",
    "FieldIsDerived": true,
    "IsWritableDerivedField": false,
    "IsMasked": false,
    "GrantKeyWhenReadable": "principal-knowledge-authority|Rationales"
   },
   {
    "FieldGrantId": "fg-knowledge-authority-Rationales.ProcedureVersion",
    "Principal": "principal-knowledge-authority",
    "TargetField": "Rationales.ProcedureVersion",
    "CanRead": true,
    "CanWrite": false,
    "MaskStrategy": "plain",
    "SemanticTypeIri": "urn:effortless:pko-extension#FieldGrant",
    "Name": "principal-knowledge-authority -&gt; Rationales.ProcedureVersion",
    "FieldTable": "Rationales",
    "FieldName": "ProcedureVersion",
    "FieldIsDerived": false,
    "IsWritableDerivedField": false,
    "IsMasked": false,
    "GrantKeyWhenReadable": "principal-knowledge-authority|Rationales"
   },
   {
    "FieldGrantId": "fg-knowledge-authority-Rationales.Step",
    "Principal": "principal-knowledge-authority",
    "TargetField": "Rationales.Step",
    "CanRead": true,
    "CanWrite": false,
    "MaskStrategy": "plain",
    "SemanticTypeIri": "urn:effortless:pko-extension#FieldGrant",
    "Name": "principal-knowledge-authority -&gt; Rationales.Step",
    "FieldTable": "Rationales",
    "FieldName": "Step",
    "FieldIsDerived": false,
    "IsWritableDerivedField": false,
    "IsMasked": false,
    "GrantKeyWhenReadable": "principal-knowledge-authority|Rationales"
   },
   {
    "FieldGrantId": "fg-knowledge-authority-Rationales.Title",
    "Principal": "principal-knowledge-authority",
    "TargetField": "Rationales.Title",
    "CanRead": true,
    "CanWrite": false,
    "MaskStrategy": "plain",
    "SemanticTypeIri": "urn:effortless:pko-extension#FieldGrant",
    "Name": "principal-knowledge-authority -&gt; Rationales.Title",
    "FieldTable": "Rationales",
    "FieldName": "Title",
    "FieldIsDerived": false,
    "IsWritableDerivedField": false,
    "IsMasked": false,
    "GrantKeyWhenReadable": "principal-knowledge-authority|Rationales"
   },
   {
    "FieldGrantId": "fg-knowledge-authority-Rationales.Statement",
    "Principal": "principal-knowledge-authority",
    "TargetField": "Rationales.Statement",
    "CanRead": true,
    "CanWrite": false,
    "MaskStrategy": "plain",
    "SemanticTypeIri": "urn:effortless:pko-extension#FieldGrant",
    "Name": "principal-knowledge-authority -&gt; Rationales.Statement",
    "FieldTable": "Rationales",
    "FieldName": "Statement",
    "FieldIsDerived": false,
    "IsWritableDerivedField": false,
    "IsMasked": false,
    "GrantKeyWhenReadable": "principal-knowledge-authority|Rationales"
   },
   {
    "FieldGrantId": "fg-knowledge-authority-Rationales.Status",
    "Principal": "principal-knowledge-authority",
    "TargetField": "Rationales.Status",
    "CanRead": true,
    "CanWrite": false,
    "MaskStrategy": "plain",
    "SemanticTypeIri": "urn:effortless:pko-extension#FieldGrant",
    "Name": "principal-knowledge-authority -&gt; Rationales.Status",
    "FieldTable": "Rationales",
    "FieldName": "Status",
    "FieldIsDerived": false,
    "IsWritableDerivedField": false,
    "IsMasked": false,
    "GrantKeyWhenReadable": "principal-knowledge-authority|Rationales"
   },
   {
    "FieldGrantId": "fg-knowledge-authority-Rationales.AuthorityRole",
    "Principal": "principal-knowledge-authority",
    "TargetField": "Rationales.AuthorityRole",
    "CanRead": true,
    "CanWrite": false,
    "MaskStrategy": "plain",
    "SemanticTypeIri": "urn:effortless:pko-extension#FieldGrant",
    "Name": "principal-knowledge-authority -&gt; Rationales.AuthorityRole",
    "FieldTable": "Rationales",
    "FieldName": "AuthorityRole",
    "FieldIsDerived": false,
    "IsWritableDerivedField": false,
    "IsMasked": false,
    "GrantKeyWhenReadable": "principal-knowledge-authority|Rationales"
   },
   {
    "FieldGrantId": "fg-knowledge-authority-Rationales.SemanticTypeIri",
    "Principal": "principal-knowledge-authority",
    "TargetField": "Rationales.SemanticTypeIri",
    "CanRead": true,
    "CanWrite": false,
    "MaskStrategy": "plain",
    "SemanticTypeIri": "urn:effortless:pko-extension#FieldGrant",
    "Name": "principal-knowledge-authority -&gt; Rationales.SemanticTypeIri",
    "FieldTable": "Rationales",
    "FieldName": "SemanticTypeIri",
    "FieldIsDerived": false,
    "IsWritableDerivedField": false,
    "IsMasked": false,
    "GrantKeyWhenReadable": "principal-knowledge-authority|Rationales"
   },
   {
    "FieldGrantId": "fg-knowledge-authority-Recipients.RecipientId",
    "Principal": "principal-knowledge-authority",
    "TargetField": "Recipients.RecipientId",
    "CanRead": true,
    "CanWrite": false,
    "MaskStrategy": "plain",
    "SemanticTypeIri": "urn:effortless:pko-extension#FieldGrant",
    "Name": "principal-knowledge-authority -&gt; Recipients.RecipientId",
    "FieldTable": "Recipients",
    "FieldName": "RecipientId",
    "FieldIsDerived": false,
    "IsWritableDerivedField": false,
    "IsMasked": false,
    "GrantKeyWhenReadable": "principal-knowledge-authority|Recipients"
   },
   {
    "FieldGrantId": "fg-knowledge-authority-Recipients.Name",
    "Principal": "principal-knowledge-authority",
    "TargetField": "Recipients.Name",
    "CanRead": true,
    "CanWrite": false,
    "MaskStrategy": "plain",
    "SemanticTypeIri": "urn:effortless:pko-extension#FieldGrant",
    "Name": "principal-knowledge-authority -&gt; Recipients.Name",
    "FieldTable": "Recipients",
    "FieldName": "Name",
    "FieldIsDerived": true,
    "IsWritableDerivedField": false,
    "IsMasked": false,
    "GrantKeyWhenReadable": "principal-knowledge-authority|Recipients"
   },
   {
    "FieldGrantId": "fg-knowledge-authority-Recipients.DisplayName",
    "Principal": "principal-knowledge-authority",
    "TargetField": "Recipients.DisplayName",
    "CanRead": true,
    "CanWrite": false,
    "MaskStrategy": "plain",
    "SemanticTypeIri": "urn:effortless:pko-extension#FieldGrant",
    "Name": "principal-knowledge-authority -&gt; Recipients.DisplayName",
    "FieldTable": "Recipients",
    "FieldName": "DisplayName",
    "FieldIsDerived": false,
    "IsWritableDerivedField": false,
    "IsMasked": false,
    "GrantKeyWhenReadable": "principal-knowledge-authority|Recipients"
   },
   {
    "FieldGrantId": "fg-knowledge-authority-Recipients.Organization",
    "Principal": "principal-knowledge-authority",
    "TargetField": "Recipients.Organization",
    "CanRead": true,
    "CanWrite": false,
    "MaskStrategy": "plain",
    "SemanticTypeIri": "urn:effortless:pko-extension#FieldGrant",
    "Name": "principal-knowledge-authority -&gt; Recipients.Organization",
    "FieldTable": "Recipients",
    "FieldName": "Organization",
    "FieldIsDerived": false,
    "IsWritableDerivedField": false,
    "IsMasked": false,
    "GrantKeyWhenReadable": "principal-knowledge-authority|Recipients"
   },
   {
    "FieldGrantId": "fg-knowledge-authority-Recipients.EmailAddress",
    "Principal": "principal-knowledge-authority",
    "TargetField": "Recipients.EmailAddress",
    "CanRead": true,
    "CanWrite": false,
    "MaskStrategy": "plain",
    "SemanticTypeIri": "urn:effortless:pko-extension#FieldGrant",
    "Name": "principal-knowledge-authority -&gt; Recipients.EmailAddress",
    "FieldTable": "Recipients",
    "FieldName": "EmailAddress",
    "FieldIsDerived": false,
    "IsWritableDerivedField": false,
    "IsMasked": false,
    "GrantKeyWhenReadable": "principal-knowledge-authority|Recipients"
   },
   {
    "FieldGrantId": "fg-knowledge-authority-Recipients.MobileNumber",
    "Principal": "principal-knowledge-authority",
    "TargetField": "Recipients.MobileNumber",
    "CanRead": true,
    "CanWrite": false,
    "MaskStrategy": "plain",
    "SemanticTypeIri": "urn:effortless:pko-extension#FieldGrant",
    "Name": "principal-knowledge-authority -&gt; Recipients.MobileNumber",
    "FieldTable": "Recipients",
    "FieldName": "MobileNumber",
    "FieldIsDerived": false,
    "IsWritableDerivedField": false,
    "IsMasked": false,
    "GrantKeyWhenReadable": "principal-knowledge-authority|Recipients"
   },
   {
    "FieldGrantId": "fg-knowledge-authority-Recipients.SmsConsentStatus",
    "Principal": "principal-knowledge-authority",
    "TargetField": "Recipients.SmsConsentStatus",
    "CanRead": true,
    "CanWrite": false,
    "MaskStrategy": "plain",
    "SemanticTypeIri": "urn:effortless:pko-extension#FieldGrant",
    "Name": "principal-knowledge-authority -&gt; Recipients.SmsConsentStatus",
    "FieldTable": "Recipients",
    "FieldName": "SmsConsentStatus",
    "FieldIsDerived": false,
    "IsWritableDerivedField": false,
    "IsMasked": false,
    "GrantKeyWhenReadable": "principal-knowledge-authority|Recipients"
   },
   {
    "FieldGrantId": "fg-knowledge-authority-Recipients.SmsConsentAt",
    "Principal": "principal-knowledge-authority",
    "TargetField": "Recipients.SmsConsentAt",
    "CanRead": true,
    "CanWrite": false,
    "MaskStrategy": "plain",
    "SemanticTypeIri": "urn:effortless:pko-extension#FieldGrant",
    "Name": "principal-knowledge-authority -&gt; Recipients.SmsConsentAt",
    "FieldTable": "Recipients",
    "FieldName": "SmsConsentAt",
    "FieldIsDerived": false,
    "IsWritableDerivedField": false,
    "IsMasked": false,
    "GrantKeyWhenReadable": "principal-knowledge-authority|Recipients"
   },
   {
    "FieldGrantId": "fg-knowledge-authority-Recipients.ConsentBinding",
    "Principal": "principal-knowledge-authority",
    "TargetField": "Recipients.ConsentBinding",
    "CanRead": true,
    "CanWrite": false,
    "MaskStrategy": "plain",
    "SemanticTypeIri": "urn:effortless:pko-extension#FieldGrant",
    "Name": "principal-knowledge-authority -&gt; Recipients.ConsentBinding",
    "FieldTable": "Recipients",
    "FieldName": "ConsentBinding",
    "FieldIsDerived": false,
    "IsWritableDerivedField": false,
    "IsMasked": false,
    "GrantKeyWhenReadable": "principal-knowledge-authority|Recipients"
   },
   {
    "FieldGrantId": "fg-knowledge-authority-Recipients.HasSmsConsent",
    "Principal": "principal-knowledge-authority",
    "TargetField": "Recipients.HasSmsConsent",
    "CanRead": true,
    "CanWrite": false,
    "MaskStrategy": "plain",
    "SemanticTypeIri": "urn:effortless:pko-extension#FieldGrant",
    "Name": "principal-knowledge-authority -&gt; Recipients.HasSmsConsent",
    "FieldTable": "Recipients",
    "FieldName": "HasSmsConsent",
    "FieldIsDerived": true,
    "IsWritableDerivedField": false,
    "IsMasked": false,
    "GrantKeyWhenReadable": "principal-knowledge-authority|Recipients"
   },
   {
    "FieldGrantId": "fg-knowledge-authority-Recipients.IsEmailReachable",
    "Principal": "principal-knowledge-authority",
    "TargetField": "Recipients.IsEmailReachable",
    "CanRead": true,
    "CanWrite": false,
    "MaskStrategy": "plain",
    "SemanticTypeIri": "urn:effortless:pko-extension#FieldGrant",
    "Name": "principal-knowledge-authority -&gt; Recipients.IsEmailReachable",
    "FieldTable": "Recipients",
    "FieldName": "IsEmailReachable",
    "FieldIsDerived": true,
    "IsWritableDerivedField": false,
    "IsMasked": false,
    "GrantKeyWhenReadable": "principal-knowledge-authority|Recipients"
   },
   {
    "FieldGrantId": "fg-knowledge-authority-Recipients.IsSmsReachable",
    "Principal": "principal-knowledge-authority",
    "TargetField": "Recipients.IsSmsReachable",
    "CanRead": true,
    "CanWrite": false,
    "MaskStrategy": "plain",
    "SemanticTypeIri": "urn:effortless:pko-extension#FieldGrant",
    "Name": "principal-knowledge-authority -&gt; Recipients.IsSmsReachable",
    "FieldTable": "Recipients",
    "FieldName": "IsSmsReachable",
    "FieldIsDerived": true,
    "IsWritableDerivedField": false,
    "IsMasked": false,
    "GrantKeyWhenReadable": "principal-knowledge-authority|Recipients"
   },
   {
    "FieldGrantId": "fg-knowledge-authority-Recipients.IsUnreachable",
    "Principal": "principal-knowledge-authority",
    "TargetField": "Recipients.IsUnreachable",
    "CanRead": true,
    "CanWrite": false,
    "MaskStrategy": "plain",
    "SemanticTypeIri": "urn:effortless:pko-extension#FieldGrant",
    "Name": "principal-knowledge-authority -&gt; Recipients.IsUnreachable",
    "FieldTable": "Recipients",
    "FieldName": "IsUnreachable",
    "FieldIsDerived": true,
    "IsWritableDerivedField": false,
    "IsMasked": false,
    "GrantKeyWhenReadable": "principal-knowledge-authority|Recipients"
   },
   {
    "FieldGrantId": "fg-knowledge-authority-Recipients.IsCommunicationallyStranded",
    "Principal": "principal-knowledge-authority",
    "TargetField": "Recipients.IsCommunicationallyStranded",
    "CanRead": true,
    "CanWrite": false,
    "MaskStrategy": "plain",
    "SemanticTypeIri": "urn:effortless:pko-extension#FieldGrant",
    "Name": "principal-knowledge-authority -&gt; Recipients.IsCommunicationallyStranded",
    "FieldTable": "Recipients",
    "FieldName": "IsCommunicationallyStranded",
    "FieldIsDerived": true,
    "IsWritableDerivedField": false,
    "IsMasked": false,
    "GrantKeyWhenReadable": "principal-knowledge-authority|Recipients"
   },
   {
    "FieldGrantId": "fg-knowledge-authority-Recipients.SemanticTypeIri",
    "Principal": "principal-knowledge-authority",
    "TargetField": "Recipients.SemanticTypeIri",
    "CanRead": true,
    "CanWrite": false,
    "MaskStrategy": "plain",
    "SemanticTypeIri": "urn:effortless:pko-extension#FieldGrant",
    "Name": "principal-knowledge-authority -&gt; Recipients.SemanticTypeIri",
    "FieldTable": "Recipients",
    "FieldName": "SemanticTypeIri",
    "FieldIsDerived": false,
    "IsWritableDerivedField": false,
    "IsMasked": false,
    "GrantKeyWhenReadable": "principal-knowledge-authority|Recipients"
   },
   {
    "FieldGrantId": "fg-knowledge-authority-RequirementSatisfactions.RequirementSatisfactionId",
    "Principal": "principal-knowledge-authority",
    "TargetField": "RequirementSatisfactions.RequirementSatisfactionId",
    "CanRead": true,
    "CanWrite": false,
    "MaskStrategy": "plain",
    "SemanticTypeIri": "urn:effortless:pko-extension#FieldGrant",
    "Name": "principal-knowledge-authority -&gt; RequirementSatisfactions.RequirementSatisfactionId",
    "FieldTable": "RequirementSatisfactions",
    "FieldName": "RequirementSatisfactionId",
    "FieldIsDerived": false,
    "IsWritableDerivedField": false,
    "IsMasked": false,
    "GrantKeyWhenReadable": "principal-knowledge-authority|RequirementSatisfactions"
   },
   {
    "FieldGrantId": "fg-knowledge-authority-RequirementSatisfactions.Name",
    "Principal": "principal-knowledge-authority",
    "TargetField": "RequirementSatisfactions.Name",
    "CanRead": true,
    "CanWrite": false,
    "MaskStrategy": "plain",
    "SemanticTypeIri": "urn:effortless:pko-extension#FieldGrant",
    "Name": "principal-knowledge-authority -&gt; RequirementSatisfactions.Name",
    "FieldTable": "RequirementSatisfactions",
    "FieldName": "Name",
    "FieldIsDerived": true,
    "IsWritableDerivedField": false,
    "IsMasked": false,
    "GrantKeyWhenReadable": "principal-knowledge-authority|RequirementSatisfactions"
   },
   {
    "FieldGrantId": "fg-knowledge-authority-RequirementSatisfactions.StepExecution",
    "Principal": "principal-knowledge-authority",
    "TargetField": "RequirementSatisfactions.StepExecution",
    "CanRead": true,
    "CanWrite": false,
    "MaskStrategy": "plain",
    "SemanticTypeIri": "urn:effortless:pko-extension#FieldGrant",
    "Name": "principal-knowledge-authority -&gt; RequirementSatisfactions.StepExecution",
    "FieldTable": "RequirementSatisfactions",
    "FieldName": "StepExecution",
    "FieldIsDerived": false,
    "IsWritableDerivedField": false,
    "IsMasked": false,
    "GrantKeyWhenReadable": "principal-knowledge-authority|RequirementSatisfactions"
   },
   {
    "FieldGrantId": "fg-knowledge-authority-RequirementSatisfactions.Requirement",
    "Principal": "principal-knowledge-authority",
    "TargetField": "RequirementSatisfactions.Requirement",
    "CanRead": true,
    "CanWrite": false,
    "MaskStrategy": "plain",
    "SemanticTypeIri": "urn:effortless:pko-extension#FieldGrant",
    "Name": "principal-knowledge-authority -&gt; RequirementSatisfactions.Requirement",
    "FieldTable": "RequirementSatisfactions",
    "FieldName": "Requirement",
    "FieldIsDerived": false,
    "IsWritableDerivedField": false,
    "IsMasked": false,
    "GrantKeyWhenReadable": "principal-knowledge-authority|RequirementSatisfactions"
   },
   {
    "FieldGrantId": "fg-knowledge-authority-RequirementSatisfactions.SatisfactionLevel",
    "Principal": "principal-knowledge-authority",
    "TargetField": "RequirementSatisfactions.SatisfactionLevel",
    "CanRead": true,
    "CanWrite": false,
    "MaskStrategy": "plain",
    "SemanticTypeIri": "urn:effortless:pko-extension#FieldGrant",
    "Name": "principal-knowledge-authority -&gt; RequirementSatisfactions.SatisfactionLevel",
    "FieldTable": "RequirementSatisfactions",
    "FieldName": "SatisfactionLevel",
    "FieldIsDerived": false,
    "IsWritableDerivedField": false,
    "IsMasked": false,
    "GrantKeyWhenReadable": "principal-knowledge-authority|RequirementSatisfactions"
   },
   {
    "FieldGrantId": "fg-knowledge-authority-RequirementSatisfactions.Evidence",
    "Principal": "principal-knowledge-authority",
    "TargetField": "RequirementSatisfactions.Evidence",
    "CanRead": true,
    "CanWrite": false,
    "MaskStrategy": "plain",
    "SemanticTypeIri": "urn:effortless:pko-extension#FieldGrant",
    "Name": "principal-knowledge-authority -&gt; RequirementSatisfactions.Evidence",
    "FieldTable": "RequirementSatisfactions",
    "FieldName": "Evidence",
    "FieldIsDerived": false,
    "IsWritableDerivedField": false,
    "IsMasked": false,
    "GrantKeyWhenReadable": "principal-knowledge-authority|RequirementSatisfactions"
   },
   {
    "FieldGrantId": "fg-knowledge-authority-RequirementSatisfactions.EvaluatedByAgent",
    "Principal": "principal-knowledge-authority",
    "TargetField": "RequirementSatisfactions.EvaluatedByAgent",
    "CanRead": true,
    "CanWrite": false,
    "MaskStrategy": "plain",
    "SemanticTypeIri": "urn:effortless:pko-extension#FieldGrant",
    "Name": "principal-knowledge-authority -&gt; RequirementSatisfactions.EvaluatedByAgent",
    "FieldTable": "RequirementSatisfactions",
    "FieldName": "EvaluatedByAgent",
    "FieldIsDerived": false,
    "IsWritableDerivedField": false,
    "IsMasked": false,
    "GrantKeyWhenReadable": "principal-knowledge-authority|RequirementSatisfactions"
   },
   {
    "FieldGrantId": "fg-knowledge-authority-RequirementSatisfactions.EvaluatedAt",
    "Principal": "principal-knowledge-authority",
    "TargetField": "RequirementSatisfactions.EvaluatedAt",
    "CanRead": true,
    "CanWrite": false,
    "MaskStrategy": "plain",
    "SemanticTypeIri": "urn:effortless:pko-extension#FieldGrant",
    "Name": "principal-knowledge-authority -&gt; RequirementSatisfactions.EvaluatedAt",
    "FieldTable": "RequirementSatisfactions",
    "FieldName": "EvaluatedAt",
    "FieldIsDerived": false,
    "IsWritableDerivedField": false,
    "IsMasked": false,
    "GrantKeyWhenReadable": "principal-knowledge-authority|RequirementSatisfactions"
   },
   {
    "FieldGrantId": "fg-knowledge-authority-RequirementSatisfactions.RequirementIsBlocking",
    "Principal": "principal-knowledge-authority",
    "TargetField": "RequirementSatisfactions.RequirementIsBlocking",
    "CanRead": true,
    "CanWrite": false,
    "MaskStrategy": "plain",
    "SemanticTypeIri": "urn:effortless:pko-extension#FieldGrant",
    "Name": "principal-knowledge-authority -&gt; RequirementSatisfactions.RequirementIsBlocking",
    "FieldTable": "RequirementSatisfactions",
    "FieldName": "RequirementIsBlocking",
    "FieldIsDerived": true,
    "IsWritableDerivedField": false,
    "IsMasked": false,
    "GrantKeyWhenReadable": "principal-knowledge-authority|RequirementSatisfactions"
   },
   {
    "FieldGrantId": "fg-knowledge-authority-RequirementSatisfactions.IsFullySatisfied",
    "Principal": "principal-knowledge-authority",
    "TargetField": "RequirementSatisfactions.IsFullySatisfied",
    "CanRead": true,
    "CanWrite": false,
    "MaskStrategy": "plain",
    "SemanticTypeIri": "urn:effortless:pko-extension#FieldGrant",
    "Name": "principal-knowledge-authority -&gt; RequirementSatisfactions.IsFullySatisfied",
    "FieldTable": "RequirementSatisfactions",
    "FieldName": "IsFullySatisfied",
    "FieldIsDerived": true,
    "IsWritableDerivedField": false,
    "IsMasked": false,
    "GrantKeyWhenReadable": "principal-knowledge-authority|RequirementSatisfactions"
   },
   {
    "FieldGrantId": "fg-knowledge-authority-RequirementSatisfactions.IsBlockingAndUnmet",
    "Principal": "principal-knowledge-authority",
    "TargetField": "RequirementSatisfactions.IsBlockingAndUnmet",
    "CanRead": true,
    "CanWrite": false,
    "MaskStrategy": "plain",
    "SemanticTypeIri": "urn:effortless:pko-extension#FieldGrant",
    "Name": "principal-knowledge-authority -&gt; RequirementSatisfactions.IsBlockingAndUnmet",
    "FieldTable": "RequirementSatisfactions",
    "FieldName": "IsBlockingAndUnmet",
    "FieldIsDerived": true,
    "IsWritableDerivedField": false,
    "IsMasked": false,
    "GrantKeyWhenReadable": "principal-knowledge-authority|RequirementSatisfactions"
   },
   {
    "FieldGrantId": "fg-knowledge-authority-RequirementSatisfactions.BlockingUnmetStepKey",
    "Principal": "principal-knowledge-authority",
    "TargetField": "RequirementSatisfactions.BlockingUnmetStepKey",
    "CanRead": true,
    "CanWrite": false,
    "MaskStrategy": "plain",
    "SemanticTypeIri": "urn:effortless:pko-extension#FieldGrant",
    "Name": "principal-knowledge-authority -&gt; RequirementSatisfactions.BlockingUnmetStepKey",
    "FieldTable": "RequirementSatisfactions",
    "FieldName": "BlockingUnmetStepKey",
    "FieldIsDerived": true,
    "IsWritableDerivedField": false,
    "IsMasked": false,
    "GrantKeyWhenReadable": "principal-knowledge-authority|RequirementSatisfactions"
   },
   {
    "FieldGrantId": "fg-knowledge-authority-RequirementSatisfactions.BlockingSatisfactionStepKey",
    "Principal": "principal-knowledge-authority",
    "TargetField": "RequirementSatisfactions.BlockingSatisfactionStepKey",
    "CanRead": true,
    "CanWrite": false,
    "MaskStrategy": "plain",
    "SemanticTypeIri": "urn:effortless:pko-extension#FieldGrant",
    "Name": "principal-knowledge-authority -&gt; RequirementSatisfactions.BlockingSatisfactionStepKey",
    "FieldTable": "RequirementSatisfactions",
    "FieldName": "BlockingSatisfactionStepKey",
    "FieldIsDerived": true,
    "IsWritableDerivedField": false,
    "IsMasked": false,
    "GrantKeyWhenReadable": "principal-knowledge-authority|RequirementSatisfactions"
   },
   {
    "FieldGrantId": "fg-knowledge-authority-RequirementSatisfactions.NegativeOutcomeRequirementKey",
    "Principal": "principal-knowledge-authority",
    "TargetField": "RequirementSatisfactions.NegativeOutcomeRequirementKey",
    "CanRead": true,
    "CanWrite": false,
    "MaskStrategy": "plain",
    "SemanticTypeIri": "urn:effortless:pko-extension#FieldGrant",
    "Name": "principal-knowledge-authority -&gt; RequirementSatisfactions.NegativeOutcomeRequirementKey",
    "FieldTable": "RequirementSatisfactions",
    "FieldName": "NegativeOutcomeRequirementKey",
    "FieldIsDerived": true,
    "IsWritableDerivedField": false,
    "IsMasked": false,
    "GrantKeyWhenReadable": "principal-knowledge-authority|RequirementSatisfactions"
   },
   {
    "FieldGrantId": "fg-knowledge-authority-RequirementSatisfactions.EvaluatorAgentKind",
    "Principal": "principal-knowledge-authority",
    "TargetField": "RequirementSatisfactions.EvaluatorAgentKind",
    "CanRead": true,
    "CanWrite": false,
    "MaskStrategy": "plain",
    "SemanticTypeIri": "urn:effortless:pko-extension#FieldGrant",
    "Name": "principal-knowledge-authority -&gt; RequirementSatisfactions.EvaluatorAgentKind",
    "FieldTable": "RequirementSatisfactions",
    "FieldName": "EvaluatorAgentKind",
    "FieldIsDerived": true,
    "IsWritableDerivedField": false,
    "IsMasked": false,
    "GrantKeyWhenReadable": "principal-knowledge-authority|RequirementSatisfactions"
   },
   {
    "FieldGrantId": "fg-knowledge-authority-RequirementSatisfactions.NonHumanEvaluatedHumanControl",
    "Principal": "principal-knowledge-authority",
    "TargetField": "RequirementSatisfactions.NonHumanEvaluatedHumanControl",
    "CanRead": true,
    "CanWrite": false,
    "MaskStrategy": "plain",
    "SemanticTypeIri": "urn:effortless:pko-extension#FieldGrant",
    "Name": "principal-knowledge-authority -&gt; RequirementSatisfactions.NonHumanEvaluatedHumanControl",
    "FieldTable": "RequirementSatisfactions",
    "FieldName": "NonHumanEvaluatedHumanControl",
    "FieldIsDerived": true,
    "IsWritableDerivedField": false,
    "IsMasked": false,
    "GrantKeyWhenReadable": "principal-knowledge-authority|RequirementSatisfactions"
   },
   {
    "FieldGrantId": "fg-knowledge-authority-RequirementSatisfactions.RequirementHasComputedWitness",
    "Principal": "principal-knowledge-authority",
    "TargetField": "RequirementSatisfactions.RequirementHasComputedWitness",
    "CanRead": true,
    "CanWrite": false,
    "MaskStrategy": "plain",
    "SemanticTypeIri": "urn:effortless:pko-extension#FieldGrant",
    "Name": "principal-knowledge-authority -&gt; RequirementSatisfactions.RequirementHasComputedWitness",
    "FieldTable": "RequirementSatisfactions",
    "FieldName": "RequirementHasComputedWitness",
    "FieldIsDerived": true,
    "IsWritableDerivedField": false,
    "IsMasked": false,
    "GrantKeyWhenReadable": "principal-knowledge-authority|RequirementSatisfactions"
   },
   {
    "FieldGrantId": "fg-knowledge-authority-RequirementSatisfactions.IsAssertedOnly",
    "Principal": "principal-knowledge-authority",
    "TargetField": "RequirementSatisfactions.IsAssertedOnly",
    "CanRead": true,
    "CanWrite": false,
    "MaskStrategy": "plain",
    "SemanticTypeIri": "urn:effortless:pko-extension#FieldGrant",
    "Name": "principal-knowledge-authority -&gt; RequirementSatisfactions.IsAssertedOnly",
    "FieldTable": "RequirementSatisfactions",
    "FieldName": "IsAssertedOnly",
    "FieldIsDerived": true,
    "IsWritableDerivedField": false,
    "IsMasked": false,
    "GrantKeyWhenReadable": "principal-knowledge-authority|RequirementSatisfactions"
   },
   {
    "FieldGrantId": "fg-knowledge-authority-RequirementSatisfactions.AssertedOnlyExecutionKey",
    "Principal": "principal-knowledge-authority",
    "TargetField": "RequirementSatisfactions.AssertedOnlyExecutionKey",
    "CanRead": true,
    "CanWrite": false,
    "MaskStrategy": "plain",
    "SemanticTypeIri": "urn:effortless:pko-extension#FieldGrant",
    "Name": "principal-knowledge-authority -&gt; RequirementSatisfactions.AssertedOnlyExecutionKey",
    "FieldTable": "RequirementSatisfactions",
    "FieldName": "AssertedOnlyExecutionKey",
    "FieldIsDerived": true,
    "IsWritableDerivedField": false,
    "IsMasked": false,
    "GrantKeyWhenReadable": "principal-knowledge-authority|RequirementSatisfactions"
   },
   {
    "FieldGrantId": "fg-knowledge-authority-RequirementSatisfactions.ParentProcedureExecution",
    "Principal": "principal-knowledge-authority",
    "TargetField": "RequirementSatisfactions.ParentProcedureExecution",
    "CanRead": true,
    "CanWrite": false,
    "MaskStrategy": "plain",
    "SemanticTypeIri": "urn:effortless:pko-extension#FieldGrant",
    "Name": "principal-knowledge-authority -&gt; RequirementSatisfactions.ParentProcedureExecution",
    "FieldTable": "RequirementSatisfactions",
    "FieldName": "ParentProcedureExecution",
    "FieldIsDerived": true,
    "IsWritableDerivedField": false,
    "IsMasked": false</t>
  </si>
  <si>
    <t xml:space="preserve">,
    "GrantKeyWhenReadable": "principal-knowledge-authority|RequirementSatisfactions"
   },
   {
    "FieldGrantId": "fg-knowledge-authority-RequirementSatisfactions.StepExecutionWhenScored",
    "Principal": "principal-knowledge-authority",
    "TargetField": "RequirementSatisfactions.StepExecutionWhenScored",
    "CanRead": true,
    "CanWrite": false,
    "MaskStrategy": "plain",
    "SemanticTypeIri": "urn:effortless:pko-extension#FieldGrant",
    "Name": "principal-knowledge-authority -&gt; RequirementSatisfactions.StepExecutionWhenScored",
    "FieldTable": "RequirementSatisfactions",
    "FieldName": "StepExecutionWhenScored",
    "FieldIsDerived": true,
    "IsWritableDerivedField": false,
    "IsMasked": false,
    "GrantKeyWhenReadable": "principal-knowledge-authority|RequirementSatisfactions"
   },
   {
    "FieldGrantId": "fg-knowledge-authority-RequirementSatisfactions.IsHumanEvaluated",
    "Principal": "principal-knowledge-authority",
    "TargetField": "RequirementSatisfactions.IsHumanEvaluated",
    "CanRead": true,
    "CanWrite": false,
    "MaskStrategy": "plain",
    "SemanticTypeIri": "urn:effortless:pko-extension#FieldGrant",
    "Name": "principal-knowledge-authority -&gt; RequirementSatisfactions.IsHumanEvaluated",
    "FieldTable": "RequirementSatisfactions",
    "FieldName": "IsHumanEvaluated",
    "FieldIsDerived": true,
    "IsWritableDerivedField": false,
    "IsMasked": false,
    "GrantKeyWhenReadable": "principal-knowledge-authority|RequirementSatisfactions"
   },
   {
    "FieldGrantId": "fg-knowledge-authority-RequirementSatisfactions.RequirementIsApprovalType",
    "Principal": "principal-knowledge-authority",
    "TargetField": "RequirementSatisfactions.RequirementIsApprovalType",
    "CanRead": true,
    "CanWrite": false,
    "MaskStrategy": "plain",
    "SemanticTypeIri": "urn:effortless:pko-extension#FieldGrant",
    "Name": "principal-knowledge-authority -&gt; RequirementSatisfactions.RequirementIsApprovalType",
    "FieldTable": "RequirementSatisfactions",
    "FieldName": "RequirementIsApprovalType",
    "FieldIsDerived": true,
    "IsWritableDerivedField": false,
    "IsMasked": false,
    "GrantKeyWhenReadable": "principal-knowledge-authority|RequirementSatisfactions"
   },
   {
    "FieldGrantId": "fg-knowledge-authority-RequirementSatisfactions.IsInvalidApproval",
    "Principal": "principal-knowledge-authority",
    "TargetField": "RequirementSatisfactions.IsInvalidApproval",
    "CanRead": true,
    "CanWrite": false,
    "MaskStrategy": "plain",
    "SemanticTypeIri": "urn:effortless:pko-extension#FieldGrant",
    "Name": "principal-knowledge-authority -&gt; RequirementSatisfactions.IsInvalidApproval",
    "FieldTable": "RequirementSatisfactions",
    "FieldName": "IsInvalidApproval",
    "FieldIsDerived": true,
    "IsWritableDerivedField": false,
    "IsMasked": false,
    "GrantKeyWhenReadable": "principal-knowledge-authority|RequirementSatisfactions"
   },
   {
    "FieldGrantId": "fg-knowledge-authority-RequirementSatisfactions.ProcedureExecutionOfSatisfaction",
    "Principal": "principal-knowledge-authority",
    "TargetField": "RequirementSatisfactions.ProcedureExecutionOfSatisfaction",
    "CanRead": true,
    "CanWrite": false,
    "MaskStrategy": "plain",
    "SemanticTypeIri": "urn:effortless:pko-extension#FieldGrant",
    "Name": "principal-knowledge-authority -&gt; RequirementSatisfactions.ProcedureExecutionOfSatisfaction",
    "FieldTable": "RequirementSatisfactions",
    "FieldName": "ProcedureExecutionOfSatisfaction",
    "FieldIsDerived": true,
    "IsWritableDerivedField": false,
    "IsMasked": false,
    "GrantKeyWhenReadable": "principal-knowledge-authority|RequirementSatisfactions"
   },
   {
    "FieldGrantId": "fg-knowledge-authority-RequirementSatisfactions.RunWhenInvalidApproval",
    "Principal": "principal-knowledge-authority",
    "TargetField": "RequirementSatisfactions.RunWhenInvalidApproval",
    "CanRead": true,
    "CanWrite": false,
    "MaskStrategy": "plain",
    "SemanticTypeIri": "urn:effortless:pko-extension#FieldGrant",
    "Name": "principal-knowledge-authority -&gt; RequirementSatisfactions.RunWhenInvalidApproval",
    "FieldTable": "RequirementSatisfactions",
    "FieldName": "RunWhenInvalidApproval",
    "FieldIsDerived": true,
    "IsWritableDerivedField": false,
    "IsMasked": false,
    "GrantKeyWhenReadable": "principal-knowledge-authority|RequirementSatisfactions"
   },
   {
    "FieldGrantId": "fg-knowledge-authority-RequirementSatisfactions.RequirementIsUnfalsified",
    "Principal": "principal-knowledge-authority",
    "TargetField": "RequirementSatisfactions.RequirementIsUnfalsified",
    "CanRead": true,
    "CanWrite": false,
    "MaskStrategy": "plain",
    "SemanticTypeIri": "urn:effortless:pko-extension#FieldGrant",
    "Name": "principal-knowledge-authority -&gt; RequirementSatisfactions.RequirementIsUnfalsified",
    "FieldTable": "RequirementSatisfactions",
    "FieldName": "RequirementIsUnfalsified",
    "FieldIsDerived": true,
    "IsWritableDerivedField": false,
    "IsMasked": false,
    "GrantKeyWhenReadable": "principal-knowledge-authority|RequirementSatisfactions"
   },
   {
    "FieldGrantId": "fg-knowledge-authority-RequirementSatisfactions.IsClearanceByUnfalsifiedControl",
    "Principal": "principal-knowledge-authority",
    "TargetField": "RequirementSatisfactions.IsClearanceByUnfalsifiedControl",
    "CanRead": true,
    "CanWrite": false,
    "MaskStrategy": "plain",
    "SemanticTypeIri": "urn:effortless:pko-extension#FieldGrant",
    "Name": "principal-knowledge-authority -&gt; RequirementSatisfactions.IsClearanceByUnfalsifiedControl",
    "FieldTable": "RequirementSatisfactions",
    "FieldName": "IsClearanceByUnfalsifiedControl",
    "FieldIsDerived": true,
    "IsWritableDerivedField": false,
    "IsMasked": false,
    "GrantKeyWhenReadable": "principal-knowledge-authority|RequirementSatisfactions"
   },
   {
    "FieldGrantId": "fg-knowledge-authority-RequirementSatisfactions.UnfalsifiedClearanceStepKey",
    "Principal": "principal-knowledge-authority",
    "TargetField": "RequirementSatisfactions.UnfalsifiedClearanceStepKey",
    "CanRead": true,
    "CanWrite": false,
    "MaskStrategy": "plain",
    "SemanticTypeIri": "urn:effortless:pko-extension#FieldGrant",
    "Name": "principal-knowledge-authority -&gt; RequirementSatisfactions.UnfalsifiedClearanceStepKey",
    "FieldTable": "RequirementSatisfactions",
    "FieldName": "UnfalsifiedClearanceStepKey",
    "FieldIsDerived": true,
    "IsWritableDerivedField": false,
    "IsMasked": false,
    "GrantKeyWhenReadable": "principal-knowledge-authority|RequirementSatisfactions"
   },
   {
    "FieldGrantId": "fg-knowledge-authority-RequirementSatisfactions.SpecStepOfExecution",
    "Principal": "principal-knowledge-authority",
    "TargetField": "RequirementSatisfactions.SpecStepOfExecution",
    "CanRead": true,
    "CanWrite": false,
    "MaskStrategy": "plain",
    "SemanticTypeIri": "urn:effortless:pko-extension#FieldGrant",
    "Name": "principal-knowledge-authority -&gt; RequirementSatisfactions.SpecStepOfExecution",
    "FieldTable": "RequirementSatisfactions",
    "FieldName": "SpecStepOfExecution",
    "FieldIsDerived": true,
    "IsWritableDerivedField": false,
    "IsMasked": false,
    "GrantKeyWhenReadable": "principal-knowledge-authority|RequirementSatisfactions"
   },
   {
    "FieldGrantId": "fg-knowledge-authority-RequirementSatisfactions.BindingKey",
    "Principal": "principal-knowledge-authority",
    "TargetField": "RequirementSatisfactions.BindingKey",
    "CanRead": true,
    "CanWrite": false,
    "MaskStrategy": "plain",
    "SemanticTypeIri": "urn:effortless:pko-extension#FieldGrant",
    "Name": "principal-knowledge-authority -&gt; RequirementSatisfactions.BindingKey",
    "FieldTable": "RequirementSatisfactions",
    "FieldName": "BindingKey",
    "FieldIsDerived": true,
    "IsWritableDerivedField": false,
    "IsMasked": false,
    "GrantKeyWhenReadable": "principal-knowledge-authority|RequirementSatisfactions"
   },
   {
    "FieldGrantId": "fg-knowledge-authority-RequirementSatisfactions.ScoredStepExecutorAgent",
    "Principal": "principal-knowledge-authority",
    "TargetField": "RequirementSatisfactions.ScoredStepExecutorAgent",
    "CanRead": true,
    "CanWrite": false,
    "MaskStrategy": "plain",
    "SemanticTypeIri": "urn:effortless:pko-extension#FieldGrant",
    "Name": "principal-knowledge-authority -&gt; RequirementSatisfactions.ScoredStepExecutorAgent",
    "FieldTable": "RequirementSatisfactions",
    "FieldName": "ScoredStepExecutorAgent",
    "FieldIsDerived": true,
    "IsWritableDerivedField": false,
    "IsMasked": false,
    "GrantKeyWhenReadable": "principal-knowledge-authority|RequirementSatisfactions"
   },
   {
    "FieldGrantId": "fg-knowledge-authority-RequirementSatisfactions.EvaluatorIsStepExecutor",
    "Principal": "principal-knowledge-authority",
    "TargetField": "RequirementSatisfactions.EvaluatorIsStepExecutor",
    "CanRead": true,
    "CanWrite": false,
    "MaskStrategy": "plain",
    "SemanticTypeIri": "urn:effortless:pko-extension#FieldGrant",
    "Name": "principal-knowledge-authority -&gt; RequirementSatisfactions.EvaluatorIsStepExecutor",
    "FieldTable": "RequirementSatisfactions",
    "FieldName": "EvaluatorIsStepExecutor",
    "FieldIsDerived": true,
    "IsWritableDerivedField": false,
    "IsMasked": false,
    "GrantKeyWhenReadable": "principal-knowledge-authority|RequirementSatisfactions"
   },
   {
    "FieldGrantId": "fg-knowledge-authority-RequirementSatisfactions.RunOwnerAgent",
    "Principal": "principal-knowledge-authority",
    "TargetField": "RequirementSatisfactions.RunOwnerAgent",
    "CanRead": true,
    "CanWrite": false,
    "MaskStrategy": "plain",
    "SemanticTypeIri": "urn:effortless:pko-extension#FieldGrant",
    "Name": "principal-knowledge-authority -&gt; RequirementSatisfactions.RunOwnerAgent",
    "FieldTable": "RequirementSatisfactions",
    "FieldName": "RunOwnerAgent",
    "FieldIsDerived": true,
    "IsWritableDerivedField": false,
    "IsMasked": false,
    "GrantKeyWhenReadable": "principal-knowledge-authority|RequirementSatisfactions"
   },
   {
    "FieldGrantId": "fg-knowledge-authority-RequirementSatisfactions.EvaluatorOwnsTheRun",
    "Principal": "principal-knowledge-authority",
    "TargetField": "RequirementSatisfactions.EvaluatorOwnsTheRun",
    "CanRead": true,
    "CanWrite": false,
    "MaskStrategy": "plain",
    "SemanticTypeIri": "urn:effortless:pko-extension#FieldGrant",
    "Name": "principal-knowledge-authority -&gt; RequirementSatisfactions.EvaluatorOwnsTheRun",
    "FieldTable": "RequirementSatisfactions",
    "FieldName": "EvaluatorOwnsTheRun",
    "FieldIsDerived": true,
    "IsWritableDerivedField": false,
    "IsMasked": false,
    "GrantKeyWhenReadable": "principal-knowledge-authority|RequirementSatisfactions"
   },
   {
    "FieldGrantId": "fg-knowledge-authority-RequirementSatisfactions.IsInterestedPartyAssertion",
    "Principal": "principal-knowledge-authority",
    "TargetField": "RequirementSatisfactions.IsInterestedPartyAssertion",
    "CanRead": true,
    "CanWrite": false,
    "MaskStrategy": "plain",
    "SemanticTypeIri": "urn:effortless:pko-extension#FieldGrant",
    "Name": "principal-knowledge-authority -&gt; RequirementSatisfactions.IsInterestedPartyAssertion",
    "FieldTable": "RequirementSatisfactions",
    "FieldName": "IsInterestedPartyAssertion",
    "FieldIsDerived": true,
    "IsWritableDerivedField": false,
    "IsMasked": false,
    "GrantKeyWhenReadable": "principal-knowledge-authority|RequirementSatisfactions"
   },
   {
    "FieldGrantId": "fg-knowledge-authority-RequirementSatisfactions.HasWrittenEvidence",
    "Principal": "principal-knowledge-authority",
    "TargetField": "RequirementSatisfactions.HasWrittenEvidence",
    "CanRead": true,
    "CanWrite": false,
    "MaskStrategy": "plain",
    "SemanticTypeIri": "urn:effortless:pko-extension#FieldGrant",
    "Name": "principal-knowledge-authority -&gt; RequirementSatisfactions.HasWrittenEvidence",
    "FieldTable": "RequirementSatisfactions",
    "FieldName": "HasWrittenEvidence",
    "FieldIsDerived": true,
    "IsWritableDerivedField": false,
    "IsMasked": false,
    "GrantKeyWhenReadable": "principal-knowledge-authority|RequirementSatisfactions"
   },
   {
    "FieldGrantId": "fg-knowledge-authority-RequirementSatisfactions.IsBareAssertion",
    "Principal": "principal-knowledge-authority",
    "TargetField": "RequirementSatisfactions.IsBareAssertion",
    "CanRead": true,
    "CanWrite": false,
    "MaskStrategy": "plain",
    "SemanticTypeIri": "urn:effortless:pko-extension#FieldGrant",
    "Name": "principal-knowledge-authority -&gt; RequirementSatisfactions.IsBareAssertion",
    "FieldTable": "RequirementSatisfactions",
    "FieldName": "IsBareAssertion",
    "FieldIsDerived": true,
    "IsWritableDerivedField": false,
    "IsMasked": false,
    "GrantKeyWhenReadable": "principal-knowledge-authority|RequirementSatisfactions"
   },
   {
    "FieldGrantId": "fg-knowledge-authority-RequirementSatisfactions.InterestedAssertionExecutionKey",
    "Principal": "principal-knowledge-authority",
    "TargetField": "RequirementSatisfactions.InterestedAssertionExecutionKey",
    "CanRead": true,
    "CanWrite": false,
    "MaskStrategy": "plain",
    "SemanticTypeIri": "urn:effortless:pko-extension#FieldGrant",
    "Name": "principal-knowledge-authority -&gt; RequirementSatisfactions.InterestedAssertionExecutionKey",
    "FieldTable": "RequirementSatisfactions",
    "FieldName": "InterestedAssertionExecutionKey",
    "FieldIsDerived": true,
    "IsWritableDerivedField": false,
    "IsMasked": false,
    "GrantKeyWhenReadable": "principal-knowledge-authority|RequirementSatisfactions"
   },
   {
    "FieldGrantId": "fg-knowledge-authority-RequirementSatisfactions.IsComputedlyWitnessed",
    "Principal": "principal-knowledge-authority",
    "TargetField": "RequirementSatisfactions.IsComputedlyWitnessed",
    "CanRead": true,
    "CanWrite": false,
    "MaskStrategy": "plain",
    "SemanticTypeIri": "urn:effortless:pko-extension#FieldGrant",
    "Name": "principal-knowledge-authority -&gt; RequirementSatisfactions.IsComputedlyWitnessed",
    "FieldTable": "RequirementSatisfactions",
    "FieldName": "IsComputedlyWitnessed",
    "FieldIsDerived": true,
    "IsWritableDerivedField": false,
    "IsMasked": false,
    "GrantKeyWhenReadable": "principal-knowledge-authority|RequirementSatisfactions"
   },
   {
    "FieldGrantId": "fg-knowledge-authority-RequirementSatisfactions.ComputedWitnessExecutionKey",
    "Principal": "principal-knowledge-authority",
    "TargetField": "RequirementSatisfactions.ComputedWitnessExecutionKey",
    "CanRead": true,
    "CanWrite": false,
    "MaskStrategy": "plain",
    "SemanticTypeIri": "urn:effortless:pko-extension#FieldGrant",
    "Name": "principal-knowledge-authority -&gt; RequirementSatisfactions.ComputedWitnessExecutionKey",
    "FieldTable": "RequirementSatisfactions",
    "FieldName": "ComputedWitnessExecutionKey",
    "FieldIsDerived": true,
    "IsWritableDerivedField": false,
    "IsMasked": false,
    "GrantKeyWhenReadable": "principal-knowledge-authority|RequirementSatisfactions"
   },
   {
    "FieldGrantId": "fg-knowledge-authority-RequirementSatisfactions.StepExecutorAgent",
    "Principal": "principal-knowledge-authority",
    "TargetField": "RequirementSatisfactions.StepExecutorAgent",
    "CanRead": true,
    "CanWrite": false,
    "MaskStrategy": "plain",
    "SemanticTypeIri": "urn:effortless:pko-extension#FieldGrant",
    "Name": "principal-knowledge-authority -&gt; RequirementSatisfactions.StepExecutorAgent",
    "FieldTable": "RequirementSatisfactions",
    "FieldName": "StepExecutorAgent",
    "FieldIsDerived": true,
    "IsWritableDerivedField": false,
    "IsMasked": false,
    "GrantKeyWhenReadable": "principal-knowledge-authority|RequirementSatisfactions"
   },
   {
    "FieldGrantId": "fg-knowledge-authority-RequirementSatisfactions.WasScoredAfterAttestation",
    "Principal": "principal-knowledge-authority",
    "TargetField": "RequirementSatisfactions.WasScoredAfterAttestation",
    "CanRead": true,
    "CanWrite": false,
    "MaskStrategy": "plain",
    "SemanticTypeIri": "urn:effortless:pko-extension#FieldGrant",
    "Name": "principal-knowledge-authority -&gt; RequirementSatisfactions.WasScoredAfterAttestation",
    "FieldTable": "RequirementSatisfactions",
    "FieldName": "WasScoredAfterAttestation",
    "FieldIsDerived": true,
    "IsWritableDerivedField": false,
    "IsMasked": false,
    "GrantKeyWhenReadable": "principal-knowledge-authority|RequirementSatisfactions"
   },
   {
    "FieldGrantId": "fg-knowledge-authority-RequirementSatisfactions.AttestationInstantForRun",
    "Principal": "principal-knowledge-authority",
    "TargetField": "RequirementSatisfactions.AttestationInstantForRun",
    "CanRead": true,
    "CanWrite": false,
    "MaskStrategy": "plain",
    "SemanticTypeIri": "urn:effortless:pko-extension#FieldGrant",
    "Name": "principal-knowledge-authority -&gt; RequirementSatisfactions.AttestationInstantForRun",
    "FieldTable": "RequirementSatisfactions",
    "FieldName": "AttestationInstantForRun",
    "FieldIsDerived": true,
    "IsWritableDerivedField": false,
    "IsMasked": false,
    "GrantKeyWhenReadable": "principal-knowledge-authority|RequirementSatisfactions"
   },
   {
    "FieldGrantId": "fg-knowledge-authority-RequirementSatisfactions.PostAttestationScoreExecutionKey",
    "Principal": "principal-knowledge-authority",
    "TargetField": "RequirementSatisfactions.PostAttestationScoreExecutionKey",
    "CanRead": true,
    "CanWrite": false,
    "MaskStrategy": "plain",
    "SemanticTypeIri": "urn:effortless:pko-extension#FieldGrant",
    "Name": "principal-knowledge-authority -&gt; RequirementSatisfactions.PostAttestationScoreExecutionKey",
    "FieldTable": "RequirementSatisfactions",
    "FieldName": "PostAttestationScoreExecutionKey",
    "FieldIsDerived": true,
    "IsWritableDerivedField": false,
    "IsMasked": false,
    "GrantKeyWhenReadable": "principal-knowledge-authority|RequirementSatisfactions"
   },
   {
    "FieldGrantId": "fg-knowledge-authority-RequirementSatisfactions.SemanticTypeIri",
    "Principal": "principal-knowledge-authority",
    "TargetField": "RequirementSatisfactions.SemanticTypeIri",
    "CanRead": true,
    "CanWrite": false,
    "MaskStrategy": "plain",
    "SemanticTypeIri": "urn:effortless:pko-extension#FieldGrant",
    "Name": "principal-knowledge-authority -&gt; RequirementSatisfactions.SemanticTypeIri",
    "FieldTable": "RequirementSatisfactions",
    "FieldName": "SemanticTypeIri",
    "FieldIsDerived": false,
    "IsWritableDerivedField": false,
    "IsMasked": false,
    "GrantKeyWhenReadable": "principal-knowledge-authority|RequirementSatisfactions"
   },
   {
    "FieldGrantId": "fg-knowledge-authority-Requirements.RequirementId",
    "Principal": "principal-knowledge-authority",
    "TargetField": "Requirements.RequirementId",
    "CanRead": true,
    "CanWrite": false,
    "MaskStrategy": "plain",
    "SemanticTypeIri": "urn:effortless:pko-extension#FieldGrant",
    "Name": "principal-knowledge-authority -&gt; Requirements.RequirementId",
    "FieldTable": "Requirements",
    "FieldName": "RequirementId",
    "FieldIsDerived": false,
    "IsWritableDerivedField": false,
    "IsMasked": false,
    "GrantKeyWhenReadable": "principal-knowledge-authority|Requirements"
   },
   {
    "FieldGrantId": "fg-knowledge-authority-Requirements.Name",
    "Principal": "principal-knowledge-authority",
    "TargetField": "Requirements.Name",
    "CanRead": true,
    "CanWrite": false,
    "MaskStrategy": "plain",
    "SemanticTypeIri": "urn:effortless:pko-extension#FieldGrant",
    "Name": "principal-knowledge-authority -&gt; Requirements.Name",
    "FieldTable": "Requirements",
    "FieldName": "Name",
    "FieldIsDerived": true,
    "IsWritableDerivedField": false,
    "IsMasked": false,
    "GrantKeyWhenReadable": "principal-knowledge-authority|Requirements"
   },
   {
    "FieldGrantId": "fg-knowledge-authority-Requirements.Label",
    "Principal": "principal-knowledge-authority",
    "TargetField": "Requirements.Label",
    "CanRead": true,
    "CanWrite": false,
    "MaskStrategy": "plain",
    "SemanticTypeIri": "urn:effortless:pko-extension#FieldGrant",
    "Name": "principal-knowledge-authority -&gt; Requirements.Label",
    "FieldTable": "Requirements",
    "FieldName": "Label",
    "FieldIsDerived": false,
    "IsWritableDerivedField": false,
    "IsMasked": false,
    "GrantKeyWhenReadable": "principal-knowledge-authority|Requirements"
   },
   {
    "FieldGrantId": "fg-knowledge-authority-Requirements.RequirementType",
    "Principal": "principal-knowledge-authority",
    "TargetField": "Requirements.RequirementType",
    "CanRead": true,
    "CanWrite": false,
    "MaskStrategy": "plain",
    "SemanticTypeIri": "urn:effortless:pko-extension#FieldGrant",
    "Name": "principal-knowledge-authority -&gt; Requirements.RequirementType",
    "FieldTable": "Requirements",
    "FieldName": "RequirementType",
    "FieldIsDerived": false,
    "IsWritableDerivedField": false,
    "IsMasked": false,
    "GrantKeyWhenReadable": "principal-knowledge-authority|Requirements"
   },
   {
    "FieldGrantId": "fg-knowledge-authority-Requirements.Statement",
    "Principal": "principal-knowledge-authority",
    "TargetField": "Requirements.Statement",
    "CanRead": true,
    "CanWrite": false,
    "MaskStrategy": "plain",
    "SemanticTypeIri": "urn:effortless:pko-extension#FieldGrant",
    "Name": "principal-knowledge-authority -&gt; Requirements.Statement",
    "FieldTable": "Requirements",
    "FieldName": "Statement",
    "FieldIsDerived": false,
    "IsWritableDerivedField": false,
    "IsMasked": false,
    "GrantKeyWhenReadable": "principal-knowledge-authority|Requirements"
   },
   {
    "FieldGrantId": "fg-knowledge-authority-Requirements.Rationale",
    "Principal": "principal-knowledge-authority",
    "TargetField": "Requirements.Rationale",
    "CanRead": true,
    "CanWrite": false,
    "MaskStrategy": "plain",
    "SemanticTypeIri": "urn:effortless:pko-extension#FieldGrant",
    "Name": "principal-knowledge-authority -&gt; Requirements.Rationale",
    "FieldTable": "Requirements",
    "FieldName": "Rationale",
    "FieldIsDerived": false,
    "IsWritableDerivedField": false,
    "IsMasked": false,
    "GrantKeyWhenReadable": "principal-knowledge-authority|Requirements"
   },
   {
    "FieldGrantId": "fg-knowledge-authority-Requirements.IsBlocking",
    "Principal": "principal-knowledge-authority",
    "TargetField": "Requirements.IsBlocking",
    "CanRead": true,
    "CanWrite": false,
    "MaskStrategy": "plain",
    "SemanticTypeIri": "urn:effortless:pko-extension#FieldGrant",
    "Name": "principal-knowledge-authority -&gt; Requirements.IsBlocking",
    "FieldTable": "Requirements",
    "FieldName": "IsBlocking",
    "FieldIsDerived": false,
    "IsWritableDerivedField": false,
    "IsMasked": false,
    "GrantKeyWhenReadable": "principal-knowledge-authority|Requirements"
   },
   {
    "FieldGrantId": "fg-knowledge-authority-Requirements.SatisfactionRecordCount",
    "Principal": "principal-knowledge-authority",
    "TargetField": "Requirements.SatisfactionRecordCount",
    "CanRead": true,
    "CanWrite": false,
    "MaskStrategy": "plain",
    "SemanticTypeIri": "urn:effortless:pko-extension#FieldGrant",
    "Name": "principal-knowledge-authority -&gt; Requirements.SatisfactionRecordCount",
    "FieldTable": "Requirements",
    "FieldName": "SatisfactionRecordCount",
    "FieldIsDerived": true,
    "IsWritableDerivedField": false,
    "IsMasked": false,
    "GrantKeyWhenReadable": "principal-knowledge-authority|Requirements"
   },
   {
    "FieldGrantId": "fg-knowledge-authority-Requirements.StepBindingCount",
    "Principal": "principal-knowledge-authority",
    "TargetField": "Requirements.StepBindingCount",
    "CanRead": true,
    "CanWrite": false,
    "MaskStrategy": "plain",
    "SemanticTypeIri": "urn:effortless:pko-extension#FieldGrant",
    "Name": "principal-knowledge-authority -&gt; Requirements.StepBindingCount",
    "FieldTable": "Requirements",
    "FieldName": "StepBindingCount",
    "FieldIsDerived": true,
    "IsWritableDerivedField": false,
    "IsMasked": false,
    "GrantKeyWhenReadable": "principal-knowledge-authority|Requirements"
   },
   {
    "FieldGrantId": "fg-knowledge-authority-Requirements.IsBoundToAnyStep",
    "Principal": "principal-knowledge-authority",
    "TargetField": "Requirements.IsBoundToAnyStep",
    "CanRead": true,
    "CanWrite": false,
    "MaskStrategy": "plain",
    "SemanticTypeIri": "urn:effortless:pko-extension#FieldGrant",
    "Name": "principal-knowledge-authority -&gt; Requirements.IsBoundToAnyStep",
    "FieldTable": "Requirements",
    "FieldName": "IsBoundToAnyStep",
    "FieldIsDerived": true,
    "IsWritableDerivedField": false,
    "IsMasked": false,
    "GrantKeyWhenReadable": "principal-knowledge-authority|Requirements"
   },
   {
    "FieldGrantId": "fg-knowledge-authority-Requirements.HasEverBeenEvaluated",
    "Principal": "principal-knowledge-authority",
    "TargetField": "Requirements.HasEverBeenEvaluated",
    "CanRead": true,
    "CanWrite": false,
    "MaskStrategy": "plain",
    "SemanticTypeIri": "urn:effortless:pko-extension#FieldGrant",
    "Name": "principal-knowledge-authority -&gt; Requirements.HasEverBeenEvaluated",
    "FieldTable": "Requirements",
    "FieldName": "HasEverBeenEvaluated",
    "FieldIsDerived": true,
    "IsWritableDerivedField": false,
    "IsMasked": false,
    "GrantKeyWhenReadable": "principal-knowledge-authority|Requirements"
   },
   {
    "FieldGrantId": "fg-knowledge-authority-Requirements.NegativeOutcomeCount",
    "Principal": "principal-knowledge-authority",
    "TargetField": "Requirements.NegativeOutcomeCount",
    "CanRead": true,
    "CanWrite": false,
    "MaskStrategy": "plain",
    "SemanticTypeIri": "urn:effortless:pko-extension#FieldGrant",
    "Name": "principal-knowledge-authority -&gt; Requirements.NegativeOutcomeCount",
    "FieldTable": "Requirements",
    "FieldName": "NegativeOutcomeCount",
    "FieldIsDerived": true,
    "IsWritableDerivedField": false,
    "IsMasked": false,
    "GrantKeyWhenReadable": "principal-knowledge-authority|Requirements"
   },
   {
    "FieldGrantId": "fg-knowledge-authority-Requirements.IsInoperativeControl",
    "Principal": "principal-knowledge-authority",
    "TargetField": "Requirements.IsInoperativeControl",
    "CanRead": true,
    "CanWrite": false,
    "MaskStrategy": "plain",
    "SemanticTypeIri": "urn:effortless:pko-extension#FieldGrant",
    "Name": "principal-knowledge-authority -&gt; Requirements.IsInoperativeControl",
    "FieldTable": "Requirements",
    "FieldName": "IsInoperativeControl",
    "FieldIsDerived": true,
    "IsWritableDerivedField": false,
    "IsMasked": false,
    "GrantKeyWhenReadable": "principal-knowledge-authority|Requirements"
   },
   {
    "FieldGrantId": "fg-knowledge-authority-Requirements.IsDecorativeControl",
    "Principal": "principal-knowledge-authority",
    "TargetField": "Requirements.IsDecorativeControl",
    "CanRead": true,
    "CanWrite": false,
    "MaskStrategy": "plain",
    "SemanticTypeIri": "urn:effortless:pko-extension#FieldGrant",
    "Name": "principal-knowledge-authority -&gt; Requirements.IsDecorativeControl",
    "FieldTable": "Requirements",
    "FieldName": "IsDecorativeControl",
    "FieldIsDerived": true,
    "IsWritableDerivedField": false,
    "IsMasked": false,
    "GrantKeyWhenReadable": "principal-knowledge-authority|Requirements"
   },
   {
    "FieldGrantId": "fg-knowledge-authority-Requirements.HasComputedWitness",
    "Principal": "principal-knowledge-authority",
    "TargetField": "Requirements.HasComputedWitness",
    "CanRead": true,
    "CanWrite": false,
    "MaskStrategy": "plain",
    "SemanticTypeIri": "urn:effortless:pko-extension#FieldGrant",
    "Name": "principal-knowledge-authority -&gt; Requirements.HasComputedWitness",
    "FieldTable": "Requirements",
    "FieldName": "HasComputedWitness",
    "FieldIsDerived": false,
    "IsWritableDerivedField": false,
    "IsMasked": false,
    "GrantKeyWhenReadable": "principal-knowledge-authority|Requirements"
   },
   {
    "FieldGrantId": "fg-knowledge-authority-Requirements.WitnessFieldName",
    "Principal": "principal-knowledge-authority",
    "TargetField": "Requirements.WitnessFieldName",
    "CanRead": true,
    "CanWrite": false,
    "MaskStrategy": "plain",
    "SemanticTypeIri": "urn:effortless:pko-extension#FieldGrant",
    "Name": "principal-knowledge-authority -&gt; Requirements.WitnessFieldName",
    "FieldTable": "Requirements",
    "FieldName": "WitnessFieldName",
    "FieldIsDerived": false,
    "IsWritableDerivedField": false,
    "IsMasked": false,
    "GrantKeyWhenReadable": "principal-knowledge-authority|Requirements"
   },
   {
    "FieldGrantId": "fg-knowledge-authority-Requirements.HasEverProducedNegative",
    "Principal": "principal-knowledge-authority",
    "TargetField": "Requirements.HasEverProducedNegative",
    "CanRead": true,
    "CanWrite": false,
    "MaskStrategy": "plain",
    "SemanticTypeIri": "urn:effortless:pko-extension#FieldGrant",
    "Name": "principal-knowledge-authority -&gt; Requirements.HasEverProducedNegative",
    "FieldTable": "Requirements",
    "FieldName": "HasEverProducedNegative",
    "FieldIsDerived": true,
    "IsWritableDerivedField": false,
    "IsMasked": false,
    "GrantKeyWhenReadable": "principal-knowledge-authority|Requirements"
   },
   {
    "FieldGrantId": "fg-knowledge-authority-Requirements.IsUnfalsifiedControl",
    "Principal": "principal-knowledge-authority",
    "TargetField": "Requirements.IsUnfalsifiedControl",
    "CanRead": true,
    "CanWrite": false,
    "MaskStrategy": "plain",
    "SemanticTypeIri": "urn:effortless:pko-extension#FieldGrant",
    "Name": "principal-knowledge-authority -&gt; Requirements.IsUnfalsifiedControl",
    "FieldTable": "Requirements",
    "FieldName": "IsUnfalsifiedControl",
    "FieldIsDerived": true,
    "IsWritableDerivedField": false,
    "IsMasked": false,
    "GrantKeyWhenReadable": "principal-knowledge-authority|Requirements"
   },
   {
    "FieldGrantId": "fg-knowledge-authority-Requirements.ClaimsAWitnessField",
    "Principal": "principal-knowledge-authority",
    "TargetField": "Requirements.ClaimsAWitnessField",
    "CanRead": true,
    "CanWrite": false,
    "MaskStrategy": "plain",
    "SemanticTypeIri": "urn:effortless:pko-extension#FieldGrant",
    "Name": "principal-knowledge-authority -&gt; Requirements.ClaimsAWitnessField",
    "FieldTable": "Requirements",
    "FieldName": "ClaimsAWitnessField",
    "FieldIsDerived": true,
    "IsWritableDerivedField": false,
    "IsMasked": false,
    "GrantKeyWhenReadable": "principal-knowledge-authority|Requirements"
   },
   {
    "FieldGrantId": "fg-knowledge-authority-Requirements.NamedWitnessFieldExists",
    "Principal": "principal-knowledge-authority",
    "TargetField": "Requirements.NamedWitnessFieldExists",
    "CanRead": true,
    "CanWrite": false,
    "MaskStrategy": "plain",
    "SemanticTypeIri": "urn:effortless:pko-extension#FieldGrant",
    "Name": "principal-knowledge-authority -&gt; Requirements.NamedWitnessFieldExists",
    "FieldTable": "Requirements",
    "FieldName": "NamedWitnessFieldExists",
    "FieldIsDerived": true,
    "IsWritableDerivedField": false,
    "IsMasked": false,
    "GrantKeyWhenReadable": "principal-knowledge-authority|Requirements"
   },
   {
    "FieldGrantId": "fg-knowledge-authority-Requirements.DerivedHasComputedWitness",
    "Principal": "principal-knowledge-authority",
    "TargetField": "Requirements.DerivedHasComputedWitness",
    "CanRead": true,
    "CanWrite": false,
    "MaskStrategy": "plain",
    "SemanticTypeIri": "urn:effortless:pko-extension#FieldGrant",
    "Name": "principal-knowledge-authority -&gt; Requirements.DerivedHasComputedWitness",
    "FieldTable": "Requirements",
    "FieldName": "DerivedHasComputedWitness",
    "FieldIsDerived": true,
    "IsWritableDerivedField": false,
    "IsMasked": false,
    "GrantKeyWhenReadable": "principal-knowledge-authority|Requirements"
   },
   {
    "FieldGrantId": "fg-knowledge-authority-Requirements.WitnessClaimIsUnverified",
    "Principal": "principal-knowledge-authority",
    "TargetField": "Requirements.WitnessClaimIsUnverified",
    "CanRead": true,
    "CanWrite": false,
    "MaskStrategy": "plain",
    "SemanticTypeIri": "urn:effortless:pko-extension#FieldGrant",
    "Name": "principal-knowledge-authority -&gt; Requirements.WitnessClaimIsUnverified",
    "FieldTable": "Requirements</t>
  </si>
  <si>
    <t xml:space="preserve">",
    "FieldName": "WitnessClaimIsUnverified",
    "FieldIsDerived": true,
    "IsWritableDerivedField": false,
    "IsMasked": false,
    "GrantKeyWhenReadable": "principal-knowledge-authority|Requirements"
   },
   {
    "FieldGrantId": "fg-knowledge-authority-Requirements.IsUnwitnessedBlockingControl",
    "Principal": "principal-knowledge-authority",
    "TargetField": "Requirements.IsUnwitnessedBlockingControl",
    "CanRead": true,
    "CanWrite": false,
    "MaskStrategy": "plain",
    "SemanticTypeIri": "urn:effortless:pko-extension#FieldGrant",
    "Name": "principal-knowledge-authority -&gt; Requirements.IsUnwitnessedBlockingControl",
    "FieldTable": "Requirements",
    "FieldName": "IsUnwitnessedBlockingControl",
    "FieldIsDerived": true,
    "IsWritableDerivedField": false,
    "IsMasked": false,
    "GrantKeyWhenReadable": "principal-knowledge-authority|Requirements"
   },
   {
    "FieldGrantId": "fg-knowledge-authority-Requirements.WitnessFireCount",
    "Principal": "principal-knowledge-authority",
    "TargetField": "Requirements.WitnessFireCount",
    "CanRead": true,
    "CanWrite": false,
    "MaskStrategy": "plain",
    "SemanticTypeIri": "urn:effortless:pko-extension#FieldGrant",
    "Name": "principal-knowledge-authority -&gt; Requirements.WitnessFireCount",
    "FieldTable": "Requirements",
    "FieldName": "WitnessFireCount",
    "FieldIsDerived": true,
    "IsWritableDerivedField": false,
    "IsMasked": false,
    "GrantKeyWhenReadable": "principal-knowledge-authority|Requirements"
   },
   {
    "FieldGrantId": "fg-knowledge-authority-Requirements.WitnessHasNeverFired",
    "Principal": "principal-knowledge-authority",
    "TargetField": "Requirements.WitnessHasNeverFired",
    "CanRead": true,
    "CanWrite": false,
    "MaskStrategy": "plain",
    "SemanticTypeIri": "urn:effortless:pko-extension#FieldGrant",
    "Name": "principal-knowledge-authority -&gt; Requirements.WitnessHasNeverFired",
    "FieldTable": "Requirements",
    "FieldName": "WitnessHasNeverFired",
    "FieldIsDerived": true,
    "IsWritableDerivedField": false,
    "IsMasked": false,
    "GrantKeyWhenReadable": "principal-knowledge-authority|Requirements"
   },
   {
    "FieldGrantId": "fg-knowledge-authority-Requirements.EvaluationSampleSize",
    "Principal": "principal-knowledge-authority",
    "TargetField": "Requirements.EvaluationSampleSize",
    "CanRead": true,
    "CanWrite": false,
    "MaskStrategy": "plain",
    "SemanticTypeIri": "urn:effortless:pko-extension#FieldGrant",
    "Name": "principal-knowledge-authority -&gt; Requirements.EvaluationSampleSize",
    "FieldTable": "Requirements",
    "FieldName": "EvaluationSampleSize",
    "FieldIsDerived": true,
    "IsWritableDerivedField": false,
    "IsMasked": false,
    "GrantKeyWhenReadable": "principal-knowledge-authority|Requirements"
   },
   {
    "FieldGrantId": "fg-knowledge-authority-Requirements.HasMeaningfulSample",
    "Principal": "principal-knowledge-authority",
    "TargetField": "Requirements.HasMeaningfulSample",
    "CanRead": true,
    "CanWrite": false,
    "MaskStrategy": "plain",
    "SemanticTypeIri": "urn:effortless:pko-extension#FieldGrant",
    "Name": "principal-knowledge-authority -&gt; Requirements.HasMeaningfulSample",
    "FieldTable": "Requirements",
    "FieldName": "HasMeaningfulSample",
    "FieldIsDerived": true,
    "IsWritableDerivedField": false,
    "IsMasked": false,
    "GrantKeyWhenReadable": "principal-knowledge-authority|Requirements"
   },
   {
    "FieldGrantId": "fg-knowledge-authority-Requirements.MinimumSampleForAssurance",
    "Principal": "principal-knowledge-authority",
    "TargetField": "Requirements.MinimumSampleForAssurance",
    "CanRead": true,
    "CanWrite": false,
    "MaskStrategy": "plain",
    "SemanticTypeIri": "urn:effortless:pko-extension#FieldGrant",
    "Name": "principal-knowledge-authority -&gt; Requirements.MinimumSampleForAssurance",
    "FieldTable": "Requirements",
    "FieldName": "MinimumSampleForAssurance",
    "FieldIsDerived": false,
    "IsWritableDerivedField": false,
    "IsMasked": false,
    "GrantKeyWhenReadable": "principal-knowledge-authority|Requirements"
   },
   {
    "FieldGrantId": "fg-knowledge-authority-Requirements.IsUntestedWitness",
    "Principal": "principal-knowledge-authority",
    "TargetField": "Requirements.IsUntestedWitness",
    "CanRead": true,
    "CanWrite": false,
    "MaskStrategy": "plain",
    "SemanticTypeIri": "urn:effortless:pko-extension#FieldGrant",
    "Name": "principal-knowledge-authority -&gt; Requirements.IsUntestedWitness",
    "FieldTable": "Requirements",
    "FieldName": "IsUntestedWitness",
    "FieldIsDerived": true,
    "IsWritableDerivedField": false,
    "IsMasked": false,
    "GrantKeyWhenReadable": "principal-knowledge-authority|Requirements"
   },
   {
    "FieldGrantId": "fg-knowledge-authority-Requirements.IsEvidencedHoldingControl",
    "Principal": "principal-knowledge-authority",
    "TargetField": "Requirements.IsEvidencedHoldingControl",
    "CanRead": true,
    "CanWrite": false,
    "MaskStrategy": "plain",
    "SemanticTypeIri": "urn:effortless:pko-extension#FieldGrant",
    "Name": "principal-knowledge-authority -&gt; Requirements.IsEvidencedHoldingControl",
    "FieldTable": "Requirements",
    "FieldName": "IsEvidencedHoldingControl",
    "FieldIsDerived": true,
    "IsWritableDerivedField": false,
    "IsMasked": false,
    "GrantKeyWhenReadable": "principal-knowledge-authority|Requirements"
   },
   {
    "FieldGrantId": "fg-knowledge-authority-Requirements.ControlAssuranceState",
    "Principal": "principal-knowledge-authority",
    "TargetField": "Requirements.ControlAssuranceState",
    "CanRead": true,
    "CanWrite": false,
    "MaskStrategy": "plain",
    "SemanticTypeIri": "urn:effortless:pko-extension#FieldGrant",
    "Name": "principal-knowledge-authority -&gt; Requirements.ControlAssuranceState",
    "FieldTable": "Requirements",
    "FieldName": "ControlAssuranceState",
    "FieldIsDerived": true,
    "IsWritableDerivedField": false,
    "IsMasked": false,
    "GrantKeyWhenReadable": "principal-knowledge-authority|Requirements"
   },
   {
    "FieldGrantId": "fg-knowledge-authority-Requirements.UnexercisedBindingCount",
    "Principal": "principal-knowledge-authority",
    "TargetField": "Requirements.UnexercisedBindingCount",
    "CanRead": true,
    "CanWrite": false,
    "MaskStrategy": "plain",
    "SemanticTypeIri": "urn:effortless:pko-extension#FieldGrant",
    "Name": "principal-knowledge-authority -&gt; Requirements.UnexercisedBindingCount",
    "FieldTable": "Requirements",
    "FieldName": "UnexercisedBindingCount",
    "FieldIsDerived": true,
    "IsWritableDerivedField": false,
    "IsMasked": false,
    "GrantKeyWhenReadable": "principal-knowledge-authority|Requirements"
   },
   {
    "FieldGrantId": "fg-knowledge-authority-Requirements.WitnessIsPartiallyScoped",
    "Principal": "principal-knowledge-authority",
    "TargetField": "Requirements.WitnessIsPartiallyScoped",
    "CanRead": true,
    "CanWrite": false,
    "MaskStrategy": "plain",
    "SemanticTypeIri": "urn:effortless:pko-extension#FieldGrant",
    "Name": "principal-knowledge-authority -&gt; Requirements.WitnessIsPartiallyScoped",
    "FieldTable": "Requirements",
    "FieldName": "WitnessIsPartiallyScoped",
    "FieldIsDerived": true,
    "IsWritableDerivedField": false,
    "IsMasked": false,
    "GrantKeyWhenReadable": "principal-knowledge-authority|Requirements"
   },
   {
    "FieldGrantId": "fg-knowledge-authority-Requirements.AccountableRole",
    "Principal": "principal-knowledge-authority",
    "TargetField": "Requirements.AccountableRole",
    "CanRead": true,
    "CanWrite": false,
    "MaskStrategy": "plain",
    "SemanticTypeIri": "urn:effortless:pko-extension#FieldGrant",
    "Name": "principal-knowledge-authority -&gt; Requirements.AccountableRole",
    "FieldTable": "Requirements",
    "FieldName": "AccountableRole",
    "FieldIsDerived": false,
    "IsWritableDerivedField": false,
    "IsMasked": false,
    "GrantKeyWhenReadable": "principal-knowledge-authority|Requirements"
   },
   {
    "FieldGrantId": "fg-knowledge-authority-Requirements.AccountableAgent",
    "Principal": "principal-knowledge-authority",
    "TargetField": "Requirements.AccountableAgent",
    "CanRead": true,
    "CanWrite": false,
    "MaskStrategy": "plain",
    "SemanticTypeIri": "urn:effortless:pko-extension#FieldGrant",
    "Name": "principal-knowledge-authority -&gt; Requirements.AccountableAgent",
    "FieldTable": "Requirements",
    "FieldName": "AccountableAgent",
    "FieldIsDerived": true,
    "IsWritableDerivedField": false,
    "IsMasked": false,
    "GrantKeyWhenReadable": "principal-knowledge-authority|Requirements"
   },
   {
    "FieldGrantId": "fg-knowledge-authority-Requirements.HasNamedOwner",
    "Principal": "principal-knowledge-authority",
    "TargetField": "Requirements.HasNamedOwner",
    "CanRead": true,
    "CanWrite": false,
    "MaskStrategy": "plain",
    "SemanticTypeIri": "urn:effortless:pko-extension#FieldGrant",
    "Name": "principal-knowledge-authority -&gt; Requirements.HasNamedOwner",
    "FieldTable": "Requirements",
    "FieldName": "HasNamedOwner",
    "FieldIsDerived": true,
    "IsWritableDerivedField": false,
    "IsMasked": false,
    "GrantKeyWhenReadable": "principal-knowledge-authority|Requirements"
   },
   {
    "FieldGrantId": "fg-knowledge-authority-Requirements.IsOrphanedBlockingControl",
    "Principal": "principal-knowledge-authority",
    "TargetField": "Requirements.IsOrphanedBlockingControl",
    "CanRead": true,
    "CanWrite": false,
    "MaskStrategy": "plain",
    "SemanticTypeIri": "urn:effortless:pko-extension#FieldGrant",
    "Name": "principal-knowledge-authority -&gt; Requirements.IsOrphanedBlockingControl",
    "FieldTable": "Requirements",
    "FieldName": "IsOrphanedBlockingControl",
    "FieldIsDerived": true,
    "IsWritableDerivedField": false,
    "IsMasked": false,
    "GrantKeyWhenReadable": "principal-knowledge-authority|Requirements"
   },
   {
    "FieldGrantId": "fg-knowledge-authority-Requirements.IsUnwatchedAndUnowned",
    "Principal": "principal-knowledge-authority",
    "TargetField": "Requirements.IsUnwatchedAndUnowned",
    "CanRead": true,
    "CanWrite": false,
    "MaskStrategy": "plain",
    "SemanticTypeIri": "urn:effortless:pko-extension#FieldGrant",
    "Name": "principal-knowledge-authority -&gt; Requirements.IsUnwatchedAndUnowned",
    "FieldTable": "Requirements",
    "FieldName": "IsUnwatchedAndUnowned",
    "FieldIsDerived": true,
    "IsWritableDerivedField": false,
    "IsMasked": false,
    "GrantKeyWhenReadable": "principal-knowledge-authority|Requirements"
   },
   {
    "FieldGrantId": "fg-knowledge-authority-Requirements.AttestationExposureNote",
    "Principal": "principal-knowledge-authority",
    "TargetField": "Requirements.AttestationExposureNote",
    "CanRead": true,
    "CanWrite": false,
    "MaskStrategy": "plain",
    "SemanticTypeIri": "urn:effortless:pko-extension#FieldGrant",
    "Name": "principal-knowledge-authority -&gt; Requirements.AttestationExposureNote",
    "FieldTable": "Requirements",
    "FieldName": "AttestationExposureNote",
    "FieldIsDerived": true,
    "IsWritableDerivedField": false,
    "IsMasked": false,
    "GrantKeyWhenReadable": "principal-knowledge-authority|Requirements"
   },
   {
    "FieldGrantId": "fg-knowledge-authority-Requirements.UnwatchedUnownedFlag",
    "Principal": "principal-knowledge-authority",
    "TargetField": "Requirements.UnwatchedUnownedFlag",
    "CanRead": true,
    "CanWrite": false,
    "MaskStrategy": "plain",
    "SemanticTypeIri": "urn:effortless:pko-extension#FieldGrant",
    "Name": "principal-knowledge-authority -&gt; Requirements.UnwatchedUnownedFlag",
    "FieldTable": "Requirements",
    "FieldName": "UnwatchedUnownedFlag",
    "FieldIsDerived": true,
    "IsWritableDerivedField": false,
    "IsMasked": false,
    "GrantKeyWhenReadable": "principal-knowledge-authority|Requirements"
   },
   {
    "FieldGrantId": "fg-knowledge-authority-Requirements.SemanticTypeIri",
    "Principal": "principal-knowledge-authority",
    "TargetField": "Requirements.SemanticTypeIri",
    "CanRead": true,
    "CanWrite": false,
    "MaskStrategy": "plain",
    "SemanticTypeIri": "urn:effortless:pko-extension#FieldGrant",
    "Name": "principal-knowledge-authority -&gt; Requirements.SemanticTypeIri",
    "FieldTable": "Requirements",
    "FieldName": "SemanticTypeIri",
    "FieldIsDerived": false,
    "IsWritableDerivedField": false,
    "IsMasked": false,
    "GrantKeyWhenReadable": "principal-knowledge-authority|Requirements"
   },
   {
    "FieldGrantId": "fg-knowledge-authority-Resources.ResourceId",
    "Principal": "principal-knowledge-authority",
    "TargetField": "Resources.ResourceId",
    "CanRead": true,
    "CanWrite": false,
    "MaskStrategy": "plain",
    "SemanticTypeIri": "urn:effortless:pko-extension#FieldGrant",
    "Name": "principal-knowledge-authority -&gt; Resources.ResourceId",
    "FieldTable": "Resources",
    "FieldName": "ResourceId",
    "FieldIsDerived": false,
    "IsWritableDerivedField": false,
    "IsMasked": false,
    "GrantKeyWhenReadable": "principal-knowledge-authority|Resources"
   },
   {
    "FieldGrantId": "fg-knowledge-authority-Resources.Name",
    "Principal": "principal-knowledge-authority",
    "TargetField": "Resources.Name",
    "CanRead": true,
    "CanWrite": false,
    "MaskStrategy": "plain",
    "SemanticTypeIri": "urn:effortless:pko-extension#FieldGrant",
    "Name": "principal-knowledge-authority -&gt; Resources.Name",
    "FieldTable": "Resources",
    "FieldName": "Name",
    "FieldIsDerived": true,
    "IsWritableDerivedField": false,
    "IsMasked": false,
    "GrantKeyWhenReadable": "principal-knowledge-authority|Resources"
   },
   {
    "FieldGrantId": "fg-knowledge-authority-Resources.Title",
    "Principal": "principal-knowledge-authority",
    "TargetField": "Resources.Title",
    "CanRead": true,
    "CanWrite": false,
    "MaskStrategy": "plain",
    "SemanticTypeIri": "urn:effortless:pko-extension#FieldGrant",
    "Name": "principal-knowledge-authority -&gt; Resources.Title",
    "FieldTable": "Resources",
    "FieldName": "Title",
    "FieldIsDerived": false,
    "IsWritableDerivedField": false,
    "IsMasked": false,
    "GrantKeyWhenReadable": "principal-knowledge-authority|Resources"
   },
   {
    "FieldGrantId": "fg-knowledge-authority-Resources.ResourceKind",
    "Principal": "principal-knowledge-authority",
    "TargetField": "Resources.ResourceKind",
    "CanRead": true,
    "CanWrite": false,
    "MaskStrategy": "plain",
    "SemanticTypeIri": "urn:effortless:pko-extension#FieldGrant",
    "Name": "principal-knowledge-authority -&gt; Resources.ResourceKind",
    "FieldTable": "Resources",
    "FieldName": "ResourceKind",
    "FieldIsDerived": false,
    "IsWritableDerivedField": false,
    "IsMasked": false,
    "GrantKeyWhenReadable": "principal-knowledge-authority|Resources"
   },
   {
    "FieldGrantId": "fg-knowledge-authority-Resources.ExternalUri",
    "Principal": "principal-knowledge-authority",
    "TargetField": "Resources.ExternalUri",
    "CanRead": true,
    "CanWrite": false,
    "MaskStrategy": "plain",
    "SemanticTypeIri": "urn:effortless:pko-extension#FieldGrant",
    "Name": "principal-knowledge-authority -&gt; Resources.ExternalUri",
    "FieldTable": "Resources",
    "FieldName": "ExternalUri",
    "FieldIsDerived": false,
    "IsWritableDerivedField": false,
    "IsMasked": false,
    "GrantKeyWhenReadable": "principal-knowledge-authority|Resources"
   },
   {
    "FieldGrantId": "fg-knowledge-authority-Resources.CreatedAt",
    "Principal": "principal-knowledge-authority",
    "TargetField": "Resources.CreatedAt",
    "CanRead": true,
    "CanWrite": false,
    "MaskStrategy": "plain",
    "SemanticTypeIri": "urn:effortless:pko-extension#FieldGrant",
    "Name": "principal-knowledge-authority -&gt; Resources.CreatedAt",
    "FieldTable": "Resources",
    "FieldName": "CreatedAt",
    "FieldIsDerived": false,
    "IsWritableDerivedField": false,
    "IsMasked": false,
    "GrantKeyWhenReadable": "principal-knowledge-authority|Resources"
   },
   {
    "FieldGrantId": "fg-knowledge-authority-Resources.ModifiedAt",
    "Principal": "principal-knowledge-authority",
    "TargetField": "Resources.ModifiedAt",
    "CanRead": true,
    "CanWrite": false,
    "MaskStrategy": "plain",
    "SemanticTypeIri": "urn:effortless:pko-extension#FieldGrant",
    "Name": "principal-knowledge-authority -&gt; Resources.ModifiedAt",
    "FieldTable": "Resources",
    "FieldName": "ModifiedAt",
    "FieldIsDerived": false,
    "IsWritableDerivedField": false,
    "IsMasked": false,
    "GrantKeyWhenReadable": "principal-knowledge-authority|Resources"
   },
   {
    "FieldGrantId": "fg-knowledge-authority-Resources.Description",
    "Principal": "principal-knowledge-authority",
    "TargetField": "Resources.Description",
    "CanRead": true,
    "CanWrite": false,
    "MaskStrategy": "plain",
    "SemanticTypeIri": "urn:effortless:pko-extension#FieldGrant",
    "Name": "principal-knowledge-authority -&gt; Resources.Description",
    "FieldTable": "Resources",
    "FieldName": "Description",
    "FieldIsDerived": false,
    "IsWritableDerivedField": false,
    "IsMasked": false,
    "GrantKeyWhenReadable": "principal-knowledge-authority|Resources"
   },
   {
    "FieldGrantId": "fg-knowledge-authority-Resources.ApprovalStatus",
    "Principal": "principal-knowledge-authority",
    "TargetField": "Resources.ApprovalStatus",
    "CanRead": true,
    "CanWrite": false,
    "MaskStrategy": "plain",
    "SemanticTypeIri": "urn:effortless:pko-extension#FieldGrant",
    "Name": "principal-knowledge-authority -&gt; Resources.ApprovalStatus",
    "FieldTable": "Resources",
    "FieldName": "ApprovalStatus",
    "FieldIsDerived": false,
    "IsWritableDerivedField": false,
    "IsMasked": false,
    "GrantKeyWhenReadable": "principal-knowledge-authority|Resources"
   },
   {
    "FieldGrantId": "fg-knowledge-authority-Resources.IsApprovedSource",
    "Principal": "principal-knowledge-authority",
    "TargetField": "Resources.IsApprovedSource",
    "CanRead": true,
    "CanWrite": false,
    "MaskStrategy": "plain",
    "SemanticTypeIri": "urn:effortless:pko-extension#FieldGrant",
    "Name": "principal-knowledge-authority -&gt; Resources.IsApprovedSource",
    "FieldTable": "Resources",
    "FieldName": "IsApprovedSource",
    "FieldIsDerived": true,
    "IsWritableDerivedField": false,
    "IsMasked": false,
    "GrantKeyWhenReadable": "principal-knowledge-authority|Resources"
   },
   {
    "FieldGrantId": "fg-knowledge-authority-Resources.SemanticTypeIri",
    "Principal": "principal-knowledge-authority",
    "TargetField": "Resources.SemanticTypeIri",
    "CanRead": true,
    "CanWrite": false,
    "MaskStrategy": "plain",
    "SemanticTypeIri": "urn:effortless:pko-extension#FieldGrant",
    "Name": "principal-knowledge-authority -&gt; Resources.SemanticTypeIri",
    "FieldTable": "Resources",
    "FieldName": "SemanticTypeIri",
    "FieldIsDerived": false,
    "IsWritableDerivedField": false,
    "IsMasked": false,
    "GrantKeyWhenReadable": "principal-knowledge-authority|Resources"
   },
   {
    "FieldGrantId": "fg-knowledge-authority-ReviewEvents.ReviewEventId",
    "Principal": "principal-knowledge-authority",
    "TargetField": "ReviewEvents.ReviewEventId",
    "CanRead": true,
    "CanWrite": false,
    "MaskStrategy": "plain",
    "SemanticTypeIri": "urn:effortless:pko-extension#FieldGrant",
    "Name": "principal-knowledge-authority -&gt; ReviewEvents.ReviewEventId",
    "FieldTable": "ReviewEvents",
    "FieldName": "ReviewEventId",
    "FieldIsDerived": false,
    "IsWritableDerivedField": false,
    "IsMasked": false,
    "GrantKeyWhenReadable": "principal-knowledge-authority|ReviewEvents"
   },
   {
    "FieldGrantId": "fg-knowledge-authority-ReviewEvents.Name",
    "Principal": "principal-knowledge-authority",
    "TargetField": "ReviewEvents.Name",
    "CanRead": true,
    "CanWrite": false,
    "MaskStrategy": "plain",
    "SemanticTypeIri": "urn:effortless:pko-extension#FieldGrant",
    "Name": "principal-knowledge-authority -&gt; ReviewEvents.Name",
    "FieldTable": "ReviewEvents",
    "FieldName": "Name",
    "FieldIsDerived": true,
    "IsWritableDerivedField": false,
    "IsMasked": false,
    "GrantKeyWhenReadable": "principal-knowledge-authority|ReviewEvents"
   },
   {
    "FieldGrantId": "fg-knowledge-authority-ReviewEvents.ProcedureVersion",
    "Principal": "principal-knowledge-authority",
    "TargetField": "ReviewEvents.ProcedureVersion",
    "CanRead": true,
    "CanWrite": false,
    "MaskStrategy": "plain",
    "SemanticTypeIri": "urn:effortless:pko-extension#FieldGrant",
    "Name": "principal-knowledge-authority -&gt; ReviewEvents.ProcedureVersion",
    "FieldTable": "ReviewEvents",
    "FieldName": "ProcedureVersion",
    "FieldIsDerived": false,
    "IsWritableDerivedField": false,
    "IsMasked": false,
    "GrantKeyWhenReadable": "principal-knowledge-authority|ReviewEvents"
   },
   {
    "FieldGrantId": "fg-knowledge-authority-ReviewEvents.ReviewKind",
    "Principal": "principal-knowledge-authority",
    "TargetField": "ReviewEvents.ReviewKind",
    "CanRead": true,
    "CanWrite": false,
    "MaskStrategy": "plain",
    "SemanticTypeIri": "urn:effortless:pko-extension#FieldGrant",
    "Name": "principal-knowledge-authority -&gt; ReviewEvents.ReviewKind",
    "FieldTable": "ReviewEvents",
    "FieldName": "ReviewKind",
    "FieldIsDerived": false,
    "IsWritableDerivedField": false,
    "IsMasked": false,
    "GrantKeyWhenReadable": "principal-knowledge-authority|ReviewEvents"
   },
   {
    "FieldGrantId": "fg-knowledge-authority-ReviewEvents.ReviewedAt",
    "Principal": "principal-knowledge-authority",
    "TargetField": "ReviewEvents.ReviewedAt",
    "CanRead": true,
    "CanWrite": false,
    "MaskStrategy": "plain",
    "SemanticTypeIri": "urn:effortless:pko-extension#FieldGrant",
    "Name": "principal-knowledge-authority -&gt; ReviewEvents.ReviewedAt",
    "FieldTable": "ReviewEvents",
    "FieldName": "ReviewedAt",
    "FieldIsDerived": false,
    "IsWritableDerivedField": false,
    "IsMasked": false,
    "GrantKeyWhenReadable": "principal-knowledge-authority|ReviewEvents"
   },
   {
    "FieldGrantId": "fg-knowledge-authority-ReviewEvents.ReviewedByAgent",
    "Principal": "principal-knowledge-authority",
    "TargetField": "ReviewEvents.ReviewedByAgent",
    "CanRead": true,
    "CanWrite": false,
    "MaskStrategy": "plain",
    "SemanticTypeIri": "urn:effortless:pko-extension#FieldGrant",
    "Name": "principal-knowledge-authority -&gt; ReviewEvents.ReviewedByAgent",
    "FieldTable": "ReviewEvents",
    "FieldName": "ReviewedByAgent",
    "FieldIsDerived": false,
    "IsWritableDerivedField": false,
    "IsMasked": false,
    "GrantKeyWhenReadable": "principal-knowledge-authority|ReviewEvents"
   },
   {
    "FieldGrantId": "fg-knowledge-authority-ReviewEvents.Outcome",
    "Principal": "principal-knowledge-authority",
    "TargetField": "ReviewEvents.Outcome",
    "CanRead": true,
    "CanWrite": false,
    "MaskStrategy": "plain",
    "SemanticTypeIri": "urn:effortless:pko-extension#FieldGrant",
    "Name": "principal-knowledge-authority -&gt; ReviewEvents.Outcome",
    "FieldTable": "ReviewEvents",
    "FieldName": "Outcome",
    "FieldIsDerived": false,
    "IsWritableDerivedField": false,
    "IsMasked": false,
    "GrantKeyWhenReadable": "principal-knowledge-authority|ReviewEvents"
   },
   {
    "FieldGrantId": "fg-knowledge-authority-ReviewEvents.RelatedChangeRequest",
    "Principal": "principal-knowledge-authority",
    "TargetField": "ReviewEvents.RelatedChangeRequest",
    "CanRead": true,
    "CanWrite": false,
    "MaskStrategy": "plain",
    "SemanticTypeIri": "urn:effortless:pko-extension#FieldGrant",
    "Name": "principal-knowledge-authority -&gt; ReviewEvents.RelatedChangeRequest",
    "FieldTable": "ReviewEvents",
    "FieldName": "RelatedChangeRequest",
    "FieldIsDerived": false,
    "IsWritableDerivedField": false,
    "IsMasked": false,
    "GrantKeyWhenReadable": "principal-knowledge-authority|ReviewEvents"
   },
   {
    "FieldGrantId": "fg-knowledge-authority-ReviewEvents.NextReviewDue",
    "Principal": "principal-knowledge-authority",
    "TargetField": "ReviewEvents.NextReviewDue",
    "CanRead": true,
    "CanWrite": false,
    "MaskStrategy": "plain",
    "SemanticTypeIri": "urn:effortless:pko-extension#FieldGrant",
    "Name": "principal-knowledge-authority -&gt; ReviewEvents.NextReviewDue",
    "FieldTable": "ReviewEvents",
    "FieldName": "NextReviewDue",
    "FieldIsDerived": false,
    "IsWritableDerivedField": false,
    "IsMasked": false,
    "GrantKeyWhenReadable": "principal-knowledge-authority|ReviewEvents"
   },
   {
    "FieldGrantId": "fg-knowledge-authority-ReviewEvents.EvaluationContext",
    "Principal": "principal-knowledge-authority",
    "TargetField": "ReviewEvents.EvaluationContext",
    "CanRead": true,
    "CanWrite": false,
    "MaskStrategy": "plain",
    "SemanticTypeIri": "urn:effortless:pko-extension#FieldGrant",
    "Name": "principal-knowledge-authority -&gt; ReviewEvents.EvaluationContext",
    "FieldTable": "ReviewEvents",
    "FieldName": "EvaluationContext",
    "FieldIsDerived": false,
    "IsWritableDerivedField": false,
    "IsMasked": false,
    "GrantKeyWhenReadable": "principal-knowledge-authority|ReviewEvents"
   },
   {
    "FieldGrantId": "fg-knowledge-authority-ReviewEvents.AsOfInstant",
    "Principal": "principal-knowledge-authority",
    "TargetField": "ReviewEvents.AsOfInstant",
    "CanRead": true,
    "CanWrite": false,
    "MaskStrategy": "plain",
    "SemanticTypeIri": "urn:effortless:pko-extension#FieldGrant",
    "Name": "principal-knowledge-authority -&gt; ReviewEvents.AsOfInstant",
    "FieldTable": "ReviewEvents",
    "FieldName": "AsOfInstant",
    "FieldIsDerived": true,
    "IsWritableDerivedField": false,
    "IsMasked": false,
    "GrantKeyWhenReadable": "principal-knowledge-authority|ReviewEvents"
   },
   {
    "FieldGrantId": "fg-knowledge-authority-ReviewEvents.IsOverdue",
    "Principal": "principal-knowledge-authority",
    "TargetField": "ReviewEvents.IsOverdue",
    "CanRead": true,
    "CanWrite": false,
    "MaskStrategy": "plain",
    "SemanticTypeIri": "urn:effortless:pko-extension#FieldGrant",
    "Name": "principal-knowledge-authority -&gt; ReviewEvents.IsOverdue",
    "FieldTable": "ReviewEvents",
    "FieldName": "IsOverdue",
    "FieldIsDerived": true,
    "IsWritableDerivedField": false,
    "IsMasked": false,
    "GrantKeyWhenReadable": "principal-knowledge-authority|ReviewEvents"
   },
   {
    "FieldGrantId": "fg-knowledge-authority-ReviewEvents.OverdueVersionKey",
    "Principal": "principal-knowledge-authority",
    "TargetField": "ReviewEvents.OverdueVersionKey",
    "CanRead": true,
    "CanWrite": false,
    "MaskStrategy": "plain",
    "SemanticTypeIri": "urn:effortless:pko-extension#FieldGrant",
    "Name": "principal-knowledge-authority -&gt; ReviewEvents.OverdueVersionKey",
    "FieldTable": "ReviewEvents",
    "FieldName": "OverdueVersionKey",
    "FieldIsDerived": true,
    "IsWritableDerivedField": false,
    "IsMasked": false,
    "GrantKeyWhenReadable": "principal-knowledge-authority|ReviewEvents"
   },
   {
    "FieldGrantId": "fg-knowledge-authority-ReviewEvents.PromisedCadenceDays",
    "Principal": "principal-knowledge-authority",
    "TargetField": "ReviewEvents.PromisedCadenceDays",
    "CanRead": true,
    "CanWrite": false,
    "MaskStrategy": "plain",
    "SemanticTypeIri": "urn:effortless:pko-extension#FieldGrant",
    "Name": "principal-knowledge-authority -&gt; ReviewEvents.PromisedCadenceDays",
    "FieldTable": "ReviewEvents",
    "FieldName": "PromisedCadenceDays",
    "FieldIsDerived": true,
    "IsWritableDerivedField": false,
    "IsMasked": false,
    "GrantKeyWhenReadable": "principal-knowledge-authority|ReviewEvents"
   },
   {
    "FieldGrantId": "fg-knowledge-authority-ReviewEvents.DaysSinceReviewed",
    "Principal": "principal-knowledge-authority",
    "TargetField": "ReviewEvents.DaysSinceReviewed",
    "CanRead": true,
    "CanWrite": false,
    "MaskStrategy": "plain",
    "SemanticTypeIri": "urn:effortless:pko-extension#FieldGrant",
    "Name": "principal-knowledge-authority -&gt; ReviewEvents.DaysSinceReviewed",
    "FieldTable": "ReviewEvents",
    "FieldName": "DaysSinceReviewed",
    "FieldIsDerived": true,
    "IsWritableDerivedField": false,
    "IsMasked": false,
    "GrantKeyWhenReadable": "principal-knowledge-authority|ReviewEvents"
   },
   {
    "FieldGrantId": "fg-knowledge-authority-ReviewEvents.ExceedsPromisedCadence",
    "Principal": "principal-knowledge-authority",
    "TargetField": "ReviewEvents.ExceedsPromisedCadence",
    "CanRead": true,
    "CanWrite": false,
    "MaskStrategy": "plain",
    "SemanticTypeIri": "urn:effortless:pko-extension#FieldGrant",
    "Name": "principal-knowledge-authority -&gt; ReviewEvents.ExceedsPromisedCadence",
    "FieldTable": "ReviewEvents",
    "FieldName": "ExceedsPromisedCadence",
    "FieldIsDerived": true,
    "IsWritableDerivedField": false,
    "IsMasked": false,
    "GrantKeyWhenReadable": "principal-knowledge-authority|ReviewEvents"
   },
   {
    "FieldGrantId": "fg-knowledge-authority-ReviewEvents.CadenceDriftDays",
    "Principal": "principal-knowledge-authority",
    "TargetField": "ReviewEvents.CadenceDriftDays",
    "CanRead": true,
    "CanWrite": false,
    "MaskStrategy": "plain",
    "SemanticTypeIri": "urn:effortless:pko-extension#FieldGrant",
    "Name": "principal-knowledge-authority -&gt; ReviewEvents.CadenceDriftDays",
    "FieldTable": "ReviewEvents",
    "FieldName": "CadenceDriftDays",
    "FieldIsDerived": true,
    "IsWritableDerivedField": false,
    "IsMasked": false,
    "GrantKeyWhenReadable": "principal-knowledge-authority|ReviewEvents"
   },
   {
    "FieldGrantId": "fg-knowledge-authority-ReviewEvents.PromiseAndBehaviorDisagree",
    "Principal": "principal-knowledge-authority",
    "TargetField": "ReviewEvents.PromiseAndBehaviorDisagree",
    "CanRead": true,
    "CanWrite": false,
    "MaskStrategy": "plain",
    "SemanticTypeIri": "urn:effortless:pko-extension#FieldGrant",
    "Name": "principal-knowledge-authority -&gt; ReviewEvents.PromiseAndBehaviorDisagree",
    "FieldTable": "ReviewEvents",
    "FieldName": "PromiseAndBehaviorDisagree",
    "FieldIsDerived": true,
    "IsWritableDerivedField": false,
    "IsMasked": false,
    "GrantKeyWhenReadable": "principal-knowledge-authority|ReviewEvents"
   },
   {
    "FieldGrantId": "fg-knowledge-authority-ReviewEvents.CadenceBreachVersionKey",
    "Principal": "principal-knowledge-authority",
    "TargetField": "ReviewEvents.CadenceBreachVersionKey",
    "CanRead": true,
    "CanWrite": false,
    "MaskStrategy": "plain",
    "SemanticTypeIri": "urn:effortless:pko-extension#FieldGrant",
    "Name": "principal-knowledge-authority -&gt; ReviewEvents.CadenceBreachVersionKey",
    "FieldTable": "ReviewEvents",
    "FieldName": "CadenceBreachVersionKey",
    "FieldIsDerived": true,
    "IsWritableDerivedField": false,
    "IsMasked": false,
    "GrantKeyWhenReadable": "principal-knowledge-authority|ReviewEvents"
   },
   {
    "FieldGrantId": "fg-knowledge-authority-ReviewEvents.SemanticTypeIri",
    "Principal": "principal-knowledge-authority",
    "TargetField": "ReviewEvents.SemanticTypeIri",
    "CanRead": true,
    "CanWrite": false,
    "MaskStrategy": "plain",
    "SemanticTypeIri": "urn:effortless:pko-extension#FieldGrant",
    "Name": "principal-knowledge-authority -&gt; ReviewEvents.SemanticTypeIri",
    "FieldTable": "ReviewEvents",
    "FieldName": "SemanticTypeIri",
    "FieldIsDerived": false,
    "IsWritableDerivedField": false,
    "IsMasked": false,
    "GrantKeyWhenReadable": "principal-knowledge-authority|ReviewEvents"
   },
   {
    "FieldGrantId": "fg-knowledge-authority-RoleAssignments.RoleAssignmentId",
    "Principal": "principal-knowledge-authority",
    "TargetField": "RoleAssignments.RoleAssignmentId",
    "CanRead": true,
    "CanWrite": false,
    "MaskStrategy": "plain",
    "SemanticTypeIri": "urn:effortless:pko-extension#FieldGrant",
    "Name": "principal-knowledge-authority -&gt; RoleAssignments.RoleAssignmentId",
    "FieldTable": "RoleAssignments",
    "FieldName": "RoleAssignmentId",
    "FieldIsDerived": false,
    "IsWritableDerivedField": false,
    "IsMasked": false,
    "GrantKeyWhenReadable": "principal-knowledge-authority|RoleAssignments"
   },
   {
    "FieldGrantId": "fg-knowledge-authority-RoleAssignments.Name",
    "Principal": "principal-knowledge-authority",
    "Ta</t>
  </si>
  <si>
    <t xml:space="preserve">rgetField": "RoleAssignments.Name",
    "CanRead": true,
    "CanWrite": false,
    "MaskStrategy": "plain",
    "SemanticTypeIri": "urn:effortless:pko-extension#FieldGrant",
    "Name": "principal-knowledge-authority -&gt; RoleAssignments.Name",
    "FieldTable": "RoleAssignments",
    "FieldName": "Name",
    "FieldIsDerived": true,
    "IsWritableDerivedField": false,
    "IsMasked": false,
    "GrantKeyWhenReadable": "principal-knowledge-authority|RoleAssignments"
   },
   {
    "FieldGrantId": "fg-knowledge-authority-RoleAssignments.Role",
    "Principal": "principal-knowledge-authority",
    "TargetField": "RoleAssignments.Role",
    "CanRead": true,
    "CanWrite": false,
    "MaskStrategy": "plain",
    "SemanticTypeIri": "urn:effortless:pko-extension#FieldGrant",
    "Name": "principal-knowledge-authority -&gt; RoleAssignments.Role",
    "FieldTable": "RoleAssignments",
    "FieldName": "Role",
    "FieldIsDerived": false,
    "IsWritableDerivedField": false,
    "IsMasked": false,
    "GrantKeyWhenReadable": "principal-knowledge-authority|RoleAssignments"
   },
   {
    "FieldGrantId": "fg-knowledge-authority-RoleAssignments.Agent",
    "Principal": "principal-knowledge-authority",
    "TargetField": "RoleAssignments.Agent",
    "CanRead": true,
    "CanWrite": false,
    "MaskStrategy": "plain",
    "SemanticTypeIri": "urn:effortless:pko-extension#FieldGrant",
    "Name": "principal-knowledge-authority -&gt; RoleAssignments.Agent",
    "FieldTable": "RoleAssignments",
    "FieldName": "Agent",
    "FieldIsDerived": false,
    "IsWritableDerivedField": false,
    "IsMasked": false,
    "GrantKeyWhenReadable": "principal-knowledge-authority|RoleAssignments"
   },
   {
    "FieldGrantId": "fg-knowledge-authority-RoleAssignments.ValidFrom",
    "Principal": "principal-knowledge-authority",
    "TargetField": "RoleAssignments.ValidFrom",
    "CanRead": true,
    "CanWrite": false,
    "MaskStrategy": "plain",
    "SemanticTypeIri": "urn:effortless:pko-extension#FieldGrant",
    "Name": "principal-knowledge-authority -&gt; RoleAssignments.ValidFrom",
    "FieldTable": "RoleAssignments",
    "FieldName": "ValidFrom",
    "FieldIsDerived": false,
    "IsWritableDerivedField": false,
    "IsMasked": false,
    "GrantKeyWhenReadable": "principal-knowledge-authority|RoleAssignments"
   },
   {
    "FieldGrantId": "fg-knowledge-authority-RoleAssignments.ValidTo",
    "Principal": "principal-knowledge-authority",
    "TargetField": "RoleAssignments.ValidTo",
    "CanRead": true,
    "CanWrite": false,
    "MaskStrategy": "plain",
    "SemanticTypeIri": "urn:effortless:pko-extension#FieldGrant",
    "Name": "principal-knowledge-authority -&gt; RoleAssignments.ValidTo",
    "FieldTable": "RoleAssignments",
    "FieldName": "ValidTo",
    "FieldIsDerived": false,
    "IsWritableDerivedField": false,
    "IsMasked": false,
    "GrantKeyWhenReadable": "principal-knowledge-authority|RoleAssignments"
   },
   {
    "FieldGrantId": "fg-knowledge-authority-RoleAssignments.Reason",
    "Principal": "principal-knowledge-authority",
    "TargetField": "RoleAssignments.Reason",
    "CanRead": true,
    "CanWrite": false,
    "MaskStrategy": "plain",
    "SemanticTypeIri": "urn:effortless:pko-extension#FieldGrant",
    "Name": "principal-knowledge-authority -&gt; RoleAssignments.Reason",
    "FieldTable": "RoleAssignments",
    "FieldName": "Reason",
    "FieldIsDerived": false,
    "IsWritableDerivedField": false,
    "IsMasked": false,
    "GrantKeyWhenReadable": "principal-knowledge-authority|RoleAssignments"
   },
   {
    "FieldGrantId": "fg-knowledge-authority-RoleAssignments.Status",
    "Principal": "principal-knowledge-authority",
    "TargetField": "RoleAssignments.Status",
    "CanRead": true,
    "CanWrite": false,
    "MaskStrategy": "plain",
    "SemanticTypeIri": "urn:effortless:pko-extension#FieldGrant",
    "Name": "principal-knowledge-authority -&gt; RoleAssignments.Status",
    "FieldTable": "RoleAssignments",
    "FieldName": "Status",
    "FieldIsDerived": false,
    "IsWritableDerivedField": false,
    "IsMasked": false,
    "GrantKeyWhenReadable": "principal-knowledge-authority|RoleAssignments"
   },
   {
    "FieldGrantId": "fg-knowledge-authority-RoleAssignments.EvaluationContext",
    "Principal": "principal-knowledge-authority",
    "TargetField": "RoleAssignments.EvaluationContext",
    "CanRead": true,
    "CanWrite": false,
    "MaskStrategy": "plain",
    "SemanticTypeIri": "urn:effortless:pko-extension#FieldGrant",
    "Name": "principal-knowledge-authority -&gt; RoleAssignments.EvaluationContext",
    "FieldTable": "RoleAssignments",
    "FieldName": "EvaluationContext",
    "FieldIsDerived": false,
    "IsWritableDerivedField": false,
    "IsMasked": false,
    "GrantKeyWhenReadable": "principal-knowledge-authority|RoleAssignments"
   },
   {
    "FieldGrantId": "fg-knowledge-authority-RoleAssignments.AsOfInstant",
    "Principal": "principal-knowledge-authority",
    "TargetField": "RoleAssignments.AsOfInstant",
    "CanRead": true,
    "CanWrite": false,
    "MaskStrategy": "plain",
    "SemanticTypeIri": "urn:effortless:pko-extension#FieldGrant",
    "Name": "principal-knowledge-authority -&gt; RoleAssignments.AsOfInstant",
    "FieldTable": "RoleAssignments",
    "FieldName": "AsOfInstant",
    "FieldIsDerived": true,
    "IsWritableDerivedField": false,
    "IsMasked": false,
    "GrantKeyWhenReadable": "principal-knowledge-authority|RoleAssignments"
   },
   {
    "FieldGrantId": "fg-knowledge-authority-RoleAssignments.IsCurrent",
    "Principal": "principal-knowledge-authority",
    "TargetField": "RoleAssignments.IsCurrent",
    "CanRead": true,
    "CanWrite": false,
    "MaskStrategy": "plain",
    "SemanticTypeIri": "urn:effortless:pko-extension#FieldGrant",
    "Name": "principal-knowledge-authority -&gt; RoleAssignments.IsCurrent",
    "FieldTable": "RoleAssignments",
    "FieldName": "IsCurrent",
    "FieldIsDerived": true,
    "IsWritableDerivedField": false,
    "IsMasked": false,
    "GrantKeyWhenReadable": "principal-knowledge-authority|RoleAssignments"
   },
   {
    "FieldGrantId": "fg-knowledge-authority-RoleAssignments.CurrentAgentKey",
    "Principal": "principal-knowledge-authority",
    "TargetField": "RoleAssignments.CurrentAgentKey",
    "CanRead": true,
    "CanWrite": false,
    "MaskStrategy": "plain",
    "SemanticTypeIri": "urn:effortless:pko-extension#FieldGrant",
    "Name": "principal-knowledge-authority -&gt; RoleAssignments.CurrentAgentKey",
    "FieldTable": "RoleAssignments",
    "FieldName": "CurrentAgentKey",
    "FieldIsDerived": true,
    "IsWritableDerivedField": false,
    "IsMasked": false,
    "GrantKeyWhenReadable": "principal-knowledge-authority|RoleAssignments"
   },
   {
    "FieldGrantId": "fg-knowledge-authority-RoleAssignments.IsCurrentlyValid",
    "Principal": "principal-knowledge-authority",
    "TargetField": "RoleAssignments.IsCurrentlyValid",
    "CanRead": true,
    "CanWrite": false,
    "MaskStrategy": "plain",
    "SemanticTypeIri": "urn:effortless:pko-extension#FieldGrant",
    "Name": "principal-knowledge-authority -&gt; RoleAssignments.IsCurrentlyValid",
    "FieldTable": "RoleAssignments",
    "FieldName": "IsCurrentlyValid",
    "FieldIsDerived": true,
    "IsWritableDerivedField": false,
    "IsMasked": false,
    "GrantKeyWhenReadable": "principal-knowledge-authority|RoleAssignments"
   },
   {
    "FieldGrantId": "fg-knowledge-authority-RoleAssignments.AgentRoleKey",
    "Principal": "principal-knowledge-authority",
    "TargetField": "RoleAssignments.AgentRoleKey",
    "CanRead": true,
    "CanWrite": false,
    "MaskStrategy": "plain",
    "SemanticTypeIri": "urn:effortless:pko-extension#FieldGrant",
    "Name": "principal-knowledge-authority -&gt; RoleAssignments.AgentRoleKey",
    "FieldTable": "RoleAssignments",
    "FieldName": "AgentRoleKey",
    "FieldIsDerived": true,
    "IsWritableDerivedField": false,
    "IsMasked": false,
    "GrantKeyWhenReadable": "principal-knowledge-authority|RoleAssignments"
   },
   {
    "FieldGrantId": "fg-knowledge-authority-RoleAssignments.HasDeparted",
    "Principal": "principal-knowledge-authority",
    "TargetField": "RoleAssignments.HasDeparted",
    "CanRead": true,
    "CanWrite": false,
    "MaskStrategy": "plain",
    "SemanticTypeIri": "urn:effortless:pko-extension#FieldGrant",
    "Name": "principal-knowledge-authority -&gt; RoleAssignments.HasDeparted",
    "FieldTable": "RoleAssignments",
    "FieldName": "HasDeparted",
    "FieldIsDerived": true,
    "IsWritableDerivedField": false,
    "IsMasked": false,
    "GrantKeyWhenReadable": "principal-knowledge-authority|RoleAssignments"
   },
   {
    "FieldGrantId": "fg-knowledge-authority-RoleAssignments.CoversNow",
    "Principal": "principal-knowledge-authority",
    "TargetField": "RoleAssignments.CoversNow",
    "CanRead": true,
    "CanWrite": false,
    "MaskStrategy": "plain",
    "SemanticTypeIri": "urn:effortless:pko-extension#FieldGrant",
    "Name": "principal-knowledge-authority -&gt; RoleAssignments.CoversNow",
    "FieldTable": "RoleAssignments",
    "FieldName": "CoversNow",
    "FieldIsDerived": true,
    "IsWritableDerivedField": false,
    "IsMasked": false,
    "GrantKeyWhenReadable": "principal-knowledge-authority|RoleAssignments"
   },
   {
    "FieldGrantId": "fg-knowledge-authority-RoleAssignments.RoleWhenCovering",
    "Principal": "principal-knowledge-authority",
    "TargetField": "RoleAssignments.RoleWhenCovering",
    "CanRead": true,
    "CanWrite": false,
    "MaskStrategy": "plain",
    "SemanticTypeIri": "urn:effortless:pko-extension#FieldGrant",
    "Name": "principal-knowledge-authority -&gt; RoleAssignments.RoleWhenCovering",
    "FieldTable": "RoleAssignments",
    "FieldName": "RoleWhenCovering",
    "FieldIsDerived": true,
    "IsWritableDerivedField": false,
    "IsMasked": false,
    "GrantKeyWhenReadable": "principal-knowledge-authority|RoleAssignments"
   },
   {
    "FieldGrantId": "fg-knowledge-authority-RoleAssignments.AgentKind",
    "Principal": "principal-knowledge-authority",
    "TargetField": "RoleAssignments.AgentKind",
    "CanRead": true,
    "CanWrite": false,
    "MaskStrategy": "plain",
    "SemanticTypeIri": "urn:effortless:pko-extension#FieldGrant",
    "Name": "principal-knowledge-authority -&gt; RoleAssignments.AgentKind",
    "FieldTable": "RoleAssignments",
    "FieldName": "AgentKind",
    "FieldIsDerived": true,
    "IsWritableDerivedField": false,
    "IsMasked": false,
    "GrantKeyWhenReadable": "principal-knowledge-authority|RoleAssignments"
   },
   {
    "FieldGrantId": "fg-knowledge-authority-RoleAssignments.IsNonHumanAssignment",
    "Principal": "principal-knowledge-authority",
    "TargetField": "RoleAssignments.IsNonHumanAssignment",
    "CanRead": true,
    "CanWrite": false,
    "MaskStrategy": "plain",
    "SemanticTypeIri": "urn:effortless:pko-extension#FieldGrant",
    "Name": "principal-knowledge-authority -&gt; RoleAssignments.IsNonHumanAssignment",
    "FieldTable": "RoleAssignments",
    "FieldName": "IsNonHumanAssignment",
    "FieldIsDerived": true,
    "IsWritableDerivedField": false,
    "IsMasked": false,
    "GrantKeyWhenReadable": "principal-knowledge-authority|RoleAssignments"
   },
   {
    "FieldGrantId": "fg-knowledge-authority-RoleAssignments.SupersedesAssignment",
    "Principal": "principal-knowledge-authority",
    "TargetField": "RoleAssignments.SupersedesAssignment",
    "CanRead": true,
    "CanWrite": false,
    "MaskStrategy": "plain",
    "SemanticTypeIri": "urn:effortless:pko-extension#FieldGrant",
    "Name": "principal-knowledge-authority -&gt; RoleAssignments.SupersedesAssignment",
    "FieldTable": "RoleAssignments",
    "FieldName": "SupersedesAssignment",
    "FieldIsDerived": false,
    "IsWritableDerivedField": false,
    "IsMasked": false,
    "GrantKeyWhenReadable": "principal-knowledge-authority|RoleAssignments"
   },
   {
    "FieldGrantId": "fg-knowledge-authority-RoleAssignments.PredecessorAgentKind",
    "Principal": "principal-knowledge-authority",
    "TargetField": "RoleAssignments.PredecessorAgentKind",
    "CanRead": true,
    "CanWrite": false,
    "MaskStrategy": "plain",
    "SemanticTypeIri": "urn:effortless:pko-extension#FieldGrant",
    "Name": "principal-knowledge-authority -&gt; RoleAssignments.PredecessorAgentKind",
    "FieldTable": "RoleAssignments",
    "FieldName": "PredecessorAgentKind",
    "FieldIsDerived": true,
    "IsWritableDerivedField": false,
    "IsMasked": false,
    "GrantKeyWhenReadable": "principal-knowledge-authority|RoleAssignments"
   },
   {
    "FieldGrantId": "fg-knowledge-authority-RoleAssignments.IsHumanToNonHumanHandover",
    "Principal": "principal-knowledge-authority",
    "TargetField": "RoleAssignments.IsHumanToNonHumanHandover",
    "CanRead": true,
    "CanWrite": false,
    "MaskStrategy": "plain",
    "SemanticTypeIri": "urn:effortless:pko-extension#FieldGrant",
    "Name": "principal-knowledge-authority -&gt; RoleAssignments.IsHumanToNonHumanHandover",
    "FieldTable": "RoleAssignments",
    "FieldName": "IsHumanToNonHumanHandover",
    "FieldIsDerived": true,
    "IsWritableDerivedField": false,
    "IsMasked": false,
    "GrantKeyWhenReadable": "principal-knowledge-authority|RoleAssignments"
   },
   {
    "FieldGrantId": "fg-knowledge-authority-RoleAssignments.ApprovingAuthorityRole",
    "Principal": "principal-knowledge-authority",
    "TargetField": "RoleAssignments.ApprovingAuthorityRole",
    "CanRead": true,
    "CanWrite": false,
    "MaskStrategy": "plain",
    "SemanticTypeIri": "urn:effortless:pko-extension#FieldGrant",
    "Name": "principal-knowledge-authority -&gt; RoleAssignments.ApprovingAuthorityRole",
    "FieldTable": "RoleAssignments",
    "FieldName": "ApprovingAuthorityRole",
    "FieldIsDerived": false,
    "IsWritableDerivedField": false,
    "IsMasked": false,
    "GrantKeyWhenReadable": "principal-knowledge-authority|RoleAssignments"
   },
   {
    "FieldGrantId": "fg-knowledge-authority-RoleAssignments.AuthorizingChangeRequest",
    "Principal": "principal-knowledge-authority",
    "TargetField": "RoleAssignments.AuthorizingChangeRequest",
    "CanRead": true,
    "CanWrite": false,
    "MaskStrategy": "plain",
    "SemanticTypeIri": "urn:effortless:pko-extension#FieldGrant",
    "Name": "principal-knowledge-authority -&gt; RoleAssignments.AuthorizingChangeRequest",
    "FieldTable": "RoleAssignments",
    "FieldName": "AuthorizingChangeRequest",
    "FieldIsDerived": false,
    "IsWritableDerivedField": false,
    "IsMasked": false,
    "GrantKeyWhenReadable": "principal-knowledge-authority|RoleAssignments"
   },
   {
    "FieldGrantId": "fg-knowledge-authority-RoleAssignments.IsUnauthorizedNonHumanAssignment",
    "Principal": "principal-knowledge-authority",
    "TargetField": "RoleAssignments.IsUnauthorizedNonHumanAssignment",
    "CanRead": true,
    "CanWrite": false,
    "MaskStrategy": "plain",
    "SemanticTypeIri": "urn:effortless:pko-extension#FieldGrant",
    "Name": "principal-knowledge-authority -&gt; RoleAssignments.IsUnauthorizedNonHumanAssignment",
    "FieldTable": "RoleAssignments",
    "FieldName": "IsUnauthorizedNonHumanAssignment",
    "FieldIsDerived": true,
    "IsWritableDerivedField": false,
    "IsMasked": false,
    "GrantKeyWhenReadable": "principal-knowledge-authority|RoleAssignments"
   },
   {
    "FieldGrantId": "fg-knowledge-authority-RoleAssignments.WasAuthorizedByChangeRequest",
    "Principal": "principal-knowledge-authority",
    "TargetField": "RoleAssignments.WasAuthorizedByChangeRequest",
    "CanRead": true,
    "CanWrite": false,
    "MaskStrategy": "plain",
    "SemanticTypeIri": "urn:effortless:pko-extension#FieldGrant",
    "Name": "principal-knowledge-authority -&gt; RoleAssignments.WasAuthorizedByChangeRequest",
    "FieldTable": "RoleAssignments",
    "FieldName": "WasAuthorizedByChangeRequest",
    "FieldIsDerived": true,
    "IsWritableDerivedField": false,
    "IsMasked": false,
    "GrantKeyWhenReadable": "principal-knowledge-authority|RoleAssignments"
   },
   {
    "FieldGrantId": "fg-knowledge-authority-RoleAssignments.DecisionCount",
    "Principal": "principal-knowledge-authority",
    "TargetField": "RoleAssignments.DecisionCount",
    "CanRead": true,
    "CanWrite": false,
    "MaskStrategy": "plain",
    "SemanticTypeIri": "urn:effortless:pko-extension#FieldGrant",
    "Name": "principal-knowledge-authority -&gt; RoleAssignments.DecisionCount",
    "FieldTable": "RoleAssignments",
    "FieldName": "DecisionCount",
    "FieldIsDerived": true,
    "IsWritableDerivedField": false,
    "IsMasked": false,
    "GrantKeyWhenReadable": "principal-knowledge-authority|RoleAssignments"
   },
   {
    "FieldGrantId": "fg-knowledge-authority-RoleAssignments.OverriddenDecisionCount",
    "Principal": "principal-knowledge-authority",
    "TargetField": "RoleAssignments.OverriddenDecisionCount",
    "CanRead": true,
    "CanWrite": false,
    "MaskStrategy": "plain",
    "SemanticTypeIri": "urn:effortless:pko-extension#FieldGrant",
    "Name": "principal-knowledge-authority -&gt; RoleAssignments.OverriddenDecisionCount",
    "FieldTable": "RoleAssignments",
    "FieldName": "OverriddenDecisionCount",
    "FieldIsDerived": true,
    "IsWritableDerivedField": false,
    "IsMasked": false,
    "GrantKeyWhenReadable": "principal-knowledge-authority|RoleAssignments"
   },
   {
    "FieldGrantId": "fg-knowledge-authority-RoleAssignments.OverrideRatePercent",
    "Principal": "principal-knowledge-authority",
    "TargetField": "RoleAssignments.OverrideRatePercent",
    "CanRead": true,
    "CanWrite": false,
    "MaskStrategy": "plain",
    "SemanticTypeIri": "urn:effortless:pko-extension#FieldGrant",
    "Name": "principal-knowledge-authority -&gt; RoleAssignments.OverrideRatePercent",
    "FieldTable": "RoleAssignments",
    "FieldName": "OverrideRatePercent",
    "FieldIsDerived": true,
    "IsWritableDerivedField": false,
    "IsMasked": false,
    "GrantKeyWhenReadable": "principal-knowledge-authority|RoleAssignments"
   },
   {
    "FieldGrantId": "fg-knowledge-authority-RoleAssignments.PredecessorOverrideRatePercent",
    "Principal": "principal-knowledge-authority",
    "TargetField": "RoleAssignments.PredecessorOverrideRatePercent",
    "CanRead": true,
    "CanWrite": false,
    "MaskStrategy": "plain",
    "SemanticTypeIri": "urn:effortless:pko-extension#FieldGrant",
    "Name": "principal-knowledge-authority -&gt; RoleAssignments.PredecessorOverrideRatePercent",
    "FieldTable": "RoleAssignments",
    "FieldName": "PredecessorOverrideRatePercent",
    "FieldIsDerived": true,
    "IsWritableDerivedField": false,
    "IsMasked": false,
    "GrantKeyWhenReadable": "principal-knowledge-authority|RoleAssignments"
   },
   {
    "FieldGrantId": "fg-knowledge-authority-RoleAssignments.QualityRegressedVsPredecessor",
    "Principal": "principal-knowledge-authority",
    "TargetField": "RoleAssignments.QualityRegressedVsPredecessor",
    "CanRead": true,
    "CanWrite": false,
    "MaskStrategy": "plain",
    "SemanticTypeIri": "urn:effortless:pko-extension#FieldGrant",
    "Name": "principal-knowledge-authority -&gt; RoleAssignments.QualityRegressedVsPredecessor",
    "FieldTable": "RoleAssignments",
    "FieldName": "QualityRegressedVsPredecessor",
    "FieldIsDerived": true,
    "IsWritableDerivedField": false,
    "IsMasked": false,
    "GrantKeyWhenReadable": "principal-knowledge-authority|RoleAssignments"
   },
   {
    "FieldGrantId": "fg-knowledge-authority-RoleAssignments.DepartedRoleKey",
    "Principal": "principal-knowledge-authority",
    "TargetField": "RoleAssignments.DepartedRoleKey",
    "CanRead": true,
    "CanWrite": false,
    "MaskStrategy": "plain",
    "SemanticTypeIri": "urn:effortless:pko-extension#FieldGrant",
    "Name": "principal-knowledge-authority -&gt; RoleAssignments.DepartedRoleKey",
    "FieldTable": "RoleAssignments",
    "FieldName": "DepartedRoleKey",
    "FieldIsDerived": true,
    "IsWritableDerivedField": false,
    "IsMasked": false,
    "GrantKeyWhenReadable": "principal-knowledge-authority|RoleAssignments"
   },
   {
    "FieldGrantId": "fg-knowledge-authority-RoleAssignments.MinimumDecisionsForComparison",
    "Principal": "principal-knowledge-authority",
    "TargetField": "RoleAssignments.MinimumDecisionsForComparison",
    "CanRead": true,
    "CanWrite": false,
    "MaskStrategy": "plain",
    "SemanticTypeIri": "urn:effortless:pko-extension#FieldGrant",
    "Name": "principal-knowledge-authority -&gt; RoleAssignments.MinimumDecisionsForComparison",
    "FieldTable": "RoleAssignments",
    "FieldName": "MinimumDecisionsForComparison",
    "FieldIsDerived": false,
    "IsWritableDerivedField": false,
    "IsMasked": false,
    "GrantKeyWhenReadable": "principal-knowledge-authority|RoleAssignments"
   },
   {
    "FieldGrantId": "fg-knowledge-authority-RoleAssignments.PredecessorDecisionCount",
    "Principal": "principal-knowledge-authority",
    "TargetField": "RoleAssignments.PredecessorDecisionCount",
    "CanRead": true,
    "CanWrite": false,
    "MaskStrategy": "plain",
    "SemanticTypeIri": "urn:effortless:pko-extension#FieldGrant",
    "Name": "principal-knowledge-authority -&gt; RoleAssignments.PredecessorDecisionCount",
    "FieldTable": "RoleAssignments",
    "FieldName": "PredecessorDecisionCount",
    "FieldIsDerived": true,
    "IsWritableDerivedField": false,
    "IsMasked": false,
    "GrantKeyWhenReadable": "principal-knowledge-authority|RoleAssignments"
   },
   {
    "FieldGrantId": "fg-knowledge-authority-RoleAssignments.HasSufficientSample",
    "Principal": "principal-knowledge-authority",
    "TargetField": "RoleAssignments.HasSufficientSample",
    "CanRead": true,
    "CanWrite": false,
    "MaskStrategy": "plain",
    "SemanticTypeIri": "urn:effortless:pko-extension#FieldGrant",
    "Name": "principal-knowledge-authority -&gt; RoleAssignments.HasSufficientSample",
    "FieldTable": "RoleAssignments",
    "FieldName": "HasSufficientSample",
    "FieldIsDerived": true,
    "IsWritableDerivedField": false,
    "IsMasked": false,
    "GrantKeyWhenReadable": "principal-knowledge-authority|RoleAssignments"
   },
   {
    "FieldGrantId": "fg-knowledge-authority-RoleAssignments.PredecessorHasSufficientSample",
    "Principal": "principal-knowledge-authority",
    "TargetField": "RoleAssignments.PredecessorHasSufficientSample",
    "CanRead": true,
    "CanWrite": false,
    "MaskStrategy": "plain",
    "SemanticTypeIri": "urn:effortless:pko-extension#FieldGrant",
    "Name": "principal-knowledge-authority -&gt; RoleAssignments.PredecessorHasSufficientSample",
    "FieldTable": "RoleAssignments",
    "FieldName": "PredecessorHasSufficientSample",
    "FieldIsDerived": true,
    "IsWritableDerivedField": false,
    "IsMasked": false,
    "GrantKeyWhenReadable": "principal-knowledge-authority|RoleAssignments"
   },
   {
    "FieldGrantId": "fg-knowledge-authority-RoleAssignments.ComparisonIsEvidentiallySound",
    "Principal": "principal-knowledge-authority",
    "TargetField": "RoleAssignments.ComparisonIsEvidentiallySound",
    "CanRead": true,
    "CanWrite": false,
    "MaskStrategy": "plain",
    "SemanticTypeIri": "urn:effortless:pko-extension#FieldGrant",
    "Name": "principal-knowledge-authority -&gt; RoleAssignments.ComparisonIsEvidentiallySound",
    "FieldTable": "RoleAssignments",
    "FieldName": "ComparisonIsEvidentiallySound",
    "FieldIsDerived": true,
    "IsWritableDerivedField": false,
    "IsMasked": false,
    "GrantKeyWhenReadable": "principal-knowledge-authority|RoleAssignments"
   },
   {
    "FieldGrantId": "fg-knowledge-authority-RoleAssignments.SingleOverrideSwingPercent",
    "Principal": "principal-knowledge-authority",
    "TargetField": "RoleAssignments.SingleOverrideSwingPercent",
    "CanRead": true,
    "CanWrite": false,
    "MaskStrategy": "plain",
    "SemanticTypeIri": "urn:effortless:pko-extension#FieldGrant",
    "Name": "principal-knowledge-authority -&gt; RoleAssignments.SingleOverrideSwingPercent",
    "FieldTable": "RoleAssignments",
    "FieldName": "SingleOverrideSwingPercent",
    "FieldIsDerived": true,
    "IsWritableDerivedField": false,
    "IsMasked": false,
    "GrantKeyWhenReadable": "principal-knowledge-authority|RoleAssignments"
   },
   {
    "FieldGrantId": "fg-knowledge-authority-RoleAssignments.QualityVerdictIsUnsupported",
    "Principal": "principal-knowledge-authority",
    "TargetField": "RoleAssignments.QualityVerdictIsUnsupported",
    "CanRead": true,
    "CanWrite": false,
    "MaskStrategy": "plain",
    "SemanticTypeIri": "urn:effortless:pko-extension#FieldGrant",
    "Name": "principal-knowledge-authority -&gt; RoleAssignments.QualityVerdictIsUnsupported",
    "FieldTable": "RoleAssignments",
    "FieldName": "QualityVerdictIsUnsupported",
    "FieldIsDerived": true,
    "IsWritableDerivedField": false,
    "IsMasked": false,
    "GrantKeyWhenReadable": "principal-knowledge-authority|RoleAssignments"
   },
   {
    "FieldGrantId": "fg-knowledge-authority-RoleAssignments.IsUnmeasuredAutomationHandover",
    "Principal": "principal-knowledge-authority",
    "TargetField": "RoleAssignments.IsUnmeasuredAutomationHandover",
    "CanRead": true,
    "CanWrite": false,
    "MaskStrategy": "plain",
    "SemanticTypeIri": "urn:effortless:pko-extension#FieldGrant",
    "Name": "principal-knowledge-authority -&gt; RoleAssignments.IsUnmeasuredAutomationHandover",
    "FieldTable": "RoleAssignments",
    "FieldName": "IsUnmeasuredAutomationHandover",
    "FieldIsDerived": true,
    "IsWritableDerivedField": false,
    "IsMasked": false,
    "GrantKeyWhenReadable": "principal-knowledge-authority|RoleAssignments"
   },
   {
    "FieldGrantId": "fg-knowledge-authority-RoleAssignments.ErrorCorrectionCount",
    "Principal": "principal-knowledge-authority",
    "TargetField": "RoleAssignments.ErrorCorrectionCount",
    "CanRead": true,
    "CanWrite": false,
    "MaskStrategy": "plain",
    "SemanticTypeIri": "urn:effortless:pko-extension#FieldGrant",
    "Name": "principal-knowledge-authority -&gt; RoleAssignments.ErrorCorrectionCount",
    "FieldTable": "RoleAssignments",
    "FieldName": "ErrorCorrectionCount",
    "FieldIsDerived": true,
    "IsWritableDerivedField": false,
    "IsMasked": false,
    "GrantKeyWhenReadable": "principal-knowledge-authority|RoleAssignments"
   },
   {
    "FieldGrantId": "fg-knowledge-authority-RoleAssignments.ErrorRatePercent",
    "Principal": "principal-knowledge-authority",
    "TargetField": "RoleAssignments.ErrorRatePercent",
    "CanRead": true,
    "CanWrite": false,
    "MaskStrategy": "plain",
    "SemanticTypeIri": "urn:effortless:pko-extension#FieldGrant",
    "Name": "principal-knowledge-authority -&gt; RoleAssignments.ErrorRatePercent",
    "FieldTable": "RoleAssignments",
    "FieldName": "ErrorRatePercent",
    "FieldIsDerived": true,
    "IsWritableDerivedField": false,
    "IsMasked": false,
    "GrantKeyWhenReadable": "principal-knowledge-authority|RoleAssignments"
   },
   {
    "FieldGrantId": "fg-knowledge-authority-RoleAssignments.AuthorizationDecidedAt",
    "Principal": "principal-knowledge-authority",
    "TargetField": "RoleAssignments.AuthorizationDecidedAt",
    "CanRead": true,
    "CanWrite": false,
    "MaskStrategy": "plain",
    "SemanticTypeIri": "urn:effortless:pko-extension#FieldGrant",
    "Name": "principal-knowledge-authority -&gt; RoleAssignments.AuthorizationDecidedAt",
    "FieldTable": "RoleAssignments",
    "FieldName": "AuthorizationDecidedAt",
    "FieldIsDerived": false,
    "IsWritableDerivedField": false,
    "IsMasked": false,
    "GrantKeyWhenReadable": "principal-knowledge-authority|RoleAssignments"
   },
   {
    "FieldGrantId": "fg-knowledge-authority-RoleAssignments.AuthorizationReviewedAt",
    "Principal": "principal-knowledge-authority",
    "TargetField": "RoleAssignments.AuthorizationReviewedAt",
    "CanRead": true,
    "CanWrite": false,
    "MaskStrategy": "plain",
    "SemanticTypeIri": "urn:effortless:pko-extension#FieldGrant",
    "Name": "principal-knowledge-authority -&gt; RoleAssignments.AuthorizationReviewedAt",
    "FieldTable": "RoleAssignments",
    "FieldName": "AuthorizationReviewedAt",
    "FieldIsDerived": false,
    "IsWritableDerivedField": false,
    "IsMasked": false,
    "GrantKeyWhenReadable": "principal-knowledge-authority|RoleAssignments"
   },
   {
    "FieldGrantId": "fg-knowledge-authority-RoleAssignments.AuthorizationReviewCadenceDays",
    "Principal": "principal-knowledge-authority",
    "TargetField": "RoleAssignments.AuthorizationReviewCadenceDays",
    "CanRead": true,
    "CanWrite": false,
    "MaskStrategy": "plain",
    "SemanticTypeIri": "urn:effortless:pko-extension#FieldGrant",
    "Name": "principal-knowledge-authority -&gt; RoleAssignments.AuthorizationReviewCadenceDays",
    "FieldTable": "RoleAssignments",
    "FieldName": "AuthorizationReviewCadenceDays",
    "FieldIsDerived": false,
    "IsWritableDerivedField": false,
    "IsMasked": false,
    "GrantKeyWhenReadable": "principal-knowledge-authority|RoleAssignments"
   },
   {
    "FieldGrantId": "fg-knowledge-authority-RoleAssignments.HasDatedAuthorization",
    "Principal": "principal-knowledge-authority",
    "TargetField": "RoleAssignments.HasDatedAuthorization",
    "CanRead": true,
    "CanWrite": false,
    "MaskStrategy": "plain",
    "SemanticTypeIri": "urn:effortless:pko-extension#FieldGrant",
    "Name": "principal-knowledge-authority -&gt; RoleAssignments.HasDatedAuthorization",
    "FieldTable": "RoleAssignments",
    "FieldName": "HasDatedAuthorization",
    "FieldIsDerived": true,
    "IsWritableDerivedField": false,
    "IsMasked": false,
    "GrantKeyWhenReadable": "principal-knowledge-authority|RoleAssignments"
   },
   {
    "FieldGrantId": "fg-knowledge-authority-RoleAssignments.DaysSinceAuthorizationReview",
    "Principal": "principal-knowledge-authority",
    "TargetField": "RoleAssignments.DaysSinceAuthorizationReview",
    "CanRead": true,
    "CanWrite": false,
    "MaskStrategy": "plain",
    "SemanticTypeIri": "urn:effortless:pko-extension#FieldGrant",
    "Name": "principal-knowledge-authority -&gt; RoleAssignments.DaysSinceAuthorizationReview",
    "FieldTable": "RoleAssignments",
    "FieldName": "DaysSinceAuthorizationReview",
    "FieldIsDerived": true,
    "IsWritableDerivedField": false,
    "IsMasked": false,
    "GrantKeyWhenReadable": "principal-knowledge-authority|RoleAssignments"
   },
   {
    "FieldGrantId": "fg-knowledge-authority-RoleAssignments.AuthorizationIsOverdueForReview",
    "Principal": "principal-knowledge-authority",
    "TargetField": "RoleAssignments.AuthorizationIsOverdueForReview",
    "CanRead": true,
    "CanWrite": false,
    "MaskStrategy": "plain",
    "SemanticTypeIri": "urn:effortless:pko-extension#FieldGrant",
    "Name": "principal-knowledge-authority -&gt; RoleAssignments.AuthorizationIsOverdueForReview",
    "FieldTable": "RoleAssignments",
    "FieldName": "AuthorizationIsOverdueForReview",
    "FieldIsDerived": true,
    "IsWritableDerivedField": false,
    "IsMasked": false,
    "GrantKeyWhenReadable": "principal-knowledge-authority|RoleAssignments"
   },
   {
    "FieldGrantId": "fg-knowledge-authority-RoleAssignments.IsStandingUnreviewedAutomation",
    "Principal": "principal-knowledge-authority",
    "TargetField": "RoleAssignments.IsStandingUnreviewedAutomation",
    "CanRead": true,
    "CanWrite": false,
    "MaskStrategy": "plain",
    "SemanticTypeIri": "urn:effortless:pko-extension#FieldGrant",
    "Name": "principal-knowledge-authority -&gt; RoleAssignments.IsStandingUnreviewedAutomation",
    "FieldTable": "RoleAssignments",
    "FieldName": "IsStandingUnreviewedAutomation",
    "FieldIsDerived": true,
    "IsWritableDerivedField": false,
    "IsMasked": false,
    "GrantKeyWhenReadable": "principal-knowledge-authority|RoleAssignments"
   },
   {
    "FieldGrantId": "fg-knowledge-authority-RoleAssignments.IsUnconditionedAutomationHandover",
    "Principal": "principal-knowledge-authority",
    "TargetField": "RoleAssignments.IsUnconditionedAutomationHandover",
    "CanRead": true,
    "CanWrite": false,
    "MaskStrategy": "plain",
    "SemanticTypeIri": "urn:effortless:pko-extension#FieldGrant",
    "Name": "principal-knowledge-authority -&gt; RoleAssignments.IsUnconditionedAutomationHandover",
    "FieldTable": "RoleAssignments",
    "FieldName": "IsUnconditionedAutomationHandover",
    "FieldIsDerived": true,
    "IsWritableDerivedField": false,
    "IsMasked": false,
    "GrantKeyWhenReadable": "principal-knowledge-authority|RoleAssignments"
   },
   {
    "FieldGrantId": "fg-knowledge-authority-RoleAssignments.MaxTolerableErrorRatePercent",
    "Principal": "principal-knowledge-authority",
    "TargetField": "RoleAssignments.MaxTolerableErrorRatePe</t>
  </si>
  <si>
    <t xml:space="preserve">rcent",
    "CanRead": true,
    "CanWrite": false,
    "MaskStrategy": "plain",
    "SemanticTypeIri": "urn:effortless:pko-extension#FieldGrant",
    "Name": "principal-knowledge-authority -&gt; RoleAssignments.MaxTolerableErrorRatePercent",
    "FieldTable": "RoleAssignments",
    "FieldName": "MaxTolerableErrorRatePercent",
    "FieldIsDerived": false,
    "IsWritableDerivedField": false,
    "IsMasked": false,
    "GrantKeyWhenReadable": "principal-knowledge-authority|RoleAssignments"
   },
   {
    "FieldGrantId": "fg-knowledge-authority-RoleAssignments.ExceedsTolerableErrorRate",
    "Principal": "principal-knowledge-authority",
    "TargetField": "RoleAssignments.ExceedsTolerableErrorRate",
    "CanRead": true,
    "CanWrite": false,
    "MaskStrategy": "plain",
    "SemanticTypeIri": "urn:effortless:pko-extension#FieldGrant",
    "Name": "principal-knowledge-authority -&gt; RoleAssignments.ExceedsTolerableErrorRate",
    "FieldTable": "RoleAssignments",
    "FieldName": "ExceedsTolerableErrorRate",
    "FieldIsDerived": true,
    "IsWritableDerivedField": false,
    "IsMasked": false,
    "GrantKeyWhenReadable": "principal-knowledge-authority|RoleAssignments"
   },
   {
    "FieldGrantId": "fg-knowledge-authority-RoleAssignments.BoundaryViolationCountForAssignment",
    "Principal": "principal-knowledge-authority",
    "TargetField": "RoleAssignments.BoundaryViolationCountForAssignment",
    "CanRead": true,
    "CanWrite": false,
    "MaskStrategy": "plain",
    "SemanticTypeIri": "urn:effortless:pko-extension#FieldGrant",
    "Name": "principal-knowledge-authority -&gt; RoleAssignments.BoundaryViolationCountForAssignment",
    "FieldTable": "RoleAssignments",
    "FieldName": "BoundaryViolationCountForAssignment",
    "FieldIsDerived": true,
    "IsWritableDerivedField": false,
    "IsMasked": false,
    "GrantKeyWhenReadable": "principal-knowledge-authority|RoleAssignments"
   },
   {
    "FieldGrantId": "fg-knowledge-authority-RoleAssignments.HasAnyBoundaryViolation",
    "Principal": "principal-knowledge-authority",
    "TargetField": "RoleAssignments.HasAnyBoundaryViolation",
    "CanRead": true,
    "CanWrite": false,
    "MaskStrategy": "plain",
    "SemanticTypeIri": "urn:effortless:pko-extension#FieldGrant",
    "Name": "principal-knowledge-authority -&gt; RoleAssignments.HasAnyBoundaryViolation",
    "FieldTable": "RoleAssignments",
    "FieldName": "HasAnyBoundaryViolation",
    "FieldIsDerived": true,
    "IsWritableDerivedField": false,
    "IsMasked": false,
    "GrantKeyWhenReadable": "principal-knowledge-authority|RoleAssignments"
   },
   {
    "FieldGrantId": "fg-knowledge-authority-RoleAssignments.HasUngroundedGoverningBoundary",
    "Principal": "principal-knowledge-authority",
    "TargetField": "RoleAssignments.HasUngroundedGoverningBoundary",
    "CanRead": true,
    "CanWrite": false,
    "MaskStrategy": "plain",
    "SemanticTypeIri": "urn:effortless:pko-extension#FieldGrant",
    "Name": "principal-knowledge-authority -&gt; RoleAssignments.HasUngroundedGoverningBoundary",
    "FieldTable": "RoleAssignments",
    "FieldName": "HasUngroundedGoverningBoundary",
    "FieldIsDerived": true,
    "IsWritableDerivedField": false,
    "IsMasked": false,
    "GrantKeyWhenReadable": "principal-knowledge-authority|RoleAssignments"
   },
   {
    "FieldGrantId": "fg-knowledge-authority-RoleAssignments.SuspensionConditionMet",
    "Principal": "principal-knowledge-authority",
    "TargetField": "RoleAssignments.SuspensionConditionMet",
    "CanRead": true,
    "CanWrite": false,
    "MaskStrategy": "plain",
    "SemanticTypeIri": "urn:effortless:pko-extension#FieldGrant",
    "Name": "principal-knowledge-authority -&gt; RoleAssignments.SuspensionConditionMet",
    "FieldTable": "RoleAssignments",
    "FieldName": "SuspensionConditionMet",
    "FieldIsDerived": true,
    "IsWritableDerivedField": false,
    "IsMasked": false,
    "GrantKeyWhenReadable": "principal-knowledge-authority|RoleAssignments"
   },
   {
    "FieldGrantId": "fg-knowledge-authority-RoleAssignments.IsOperatingUnderMetSuspensionCondition",
    "Principal": "principal-knowledge-authority",
    "TargetField": "RoleAssignments.IsOperatingUnderMetSuspensionCondition",
    "CanRead": true,
    "CanWrite": false,
    "MaskStrategy": "plain",
    "SemanticTypeIri": "urn:effortless:pko-extension#FieldGrant",
    "Name": "principal-knowledge-authority -&gt; RoleAssignments.IsOperatingUnderMetSuspensionCondition",
    "FieldTable": "RoleAssignments",
    "FieldName": "IsOperatingUnderMetSuspensionCondition",
    "FieldIsDerived": true,
    "IsWritableDerivedField": false,
    "IsMasked": false,
    "GrantKeyWhenReadable": "principal-knowledge-authority|RoleAssignments"
   },
   {
    "FieldGrantId": "fg-knowledge-authority-RoleAssignments.HasDeclaredSuspensionCondition",
    "Principal": "principal-knowledge-authority",
    "TargetField": "RoleAssignments.HasDeclaredSuspensionCondition",
    "CanRead": true,
    "CanWrite": false,
    "MaskStrategy": "plain",
    "SemanticTypeIri": "urn:effortless:pko-extension#FieldGrant",
    "Name": "principal-knowledge-authority -&gt; RoleAssignments.HasDeclaredSuspensionCondition",
    "FieldTable": "RoleAssignments",
    "FieldName": "HasDeclaredSuspensionCondition",
    "FieldIsDerived": true,
    "IsWritableDerivedField": false,
    "IsMasked": false,
    "GrantKeyWhenReadable": "principal-knowledge-authority|RoleAssignments"
   },
   {
    "FieldGrantId": "fg-knowledge-authority-RoleAssignments.HasApprovingAuthority",
    "Principal": "principal-knowledge-authority",
    "TargetField": "RoleAssignments.HasApprovingAuthority",
    "CanRead": true,
    "CanWrite": false,
    "MaskStrategy": "plain",
    "SemanticTypeIri": "urn:effortless:pko-extension#FieldGrant",
    "Name": "principal-knowledge-authority -&gt; RoleAssignments.HasApprovingAuthority",
    "FieldTable": "RoleAssignments",
    "FieldName": "HasApprovingAuthority",
    "FieldIsDerived": true,
    "IsWritableDerivedField": false,
    "IsMasked": false,
    "GrantKeyWhenReadable": "principal-knowledge-authority|RoleAssignments"
   },
   {
    "FieldGrantId": "fg-knowledge-authority-RoleAssignments.HasAuthorizingChangeRequest",
    "Principal": "principal-knowledge-authority",
    "TargetField": "RoleAssignments.HasAuthorizingChangeRequest",
    "CanRead": true,
    "CanWrite": false,
    "MaskStrategy": "plain",
    "SemanticTypeIri": "urn:effortless:pko-extension#FieldGrant",
    "Name": "principal-knowledge-authority -&gt; RoleAssignments.HasAuthorizingChangeRequest",
    "FieldTable": "RoleAssignments",
    "FieldName": "HasAuthorizingChangeRequest",
    "FieldIsDerived": true,
    "IsWritableDerivedField": false,
    "IsMasked": false,
    "GrantKeyWhenReadable": "principal-knowledge-authority|RoleAssignments"
   },
   {
    "FieldGrantId": "fg-knowledge-authority-RoleAssignments.IsEnforcementRole",
    "Principal": "principal-knowledge-authority",
    "TargetField": "RoleAssignments.IsEnforcementRole",
    "CanRead": true,
    "CanWrite": false,
    "MaskStrategy": "plain",
    "SemanticTypeIri": "urn:effortless:pko-extension#FieldGrant",
    "Name": "principal-knowledge-authority -&gt; RoleAssignments.IsEnforcementRole",
    "FieldTable": "RoleAssignments",
    "FieldName": "IsEnforcementRole",
    "FieldIsDerived": false,
    "IsWritableDerivedField": false,
    "IsMasked": false,
    "GrantKeyWhenReadable": "principal-knowledge-authority|RoleAssignments"
   },
   {
    "FieldGrantId": "fg-knowledge-authority-RoleAssignments.IsUnauthorizedEnforcementAgent",
    "Principal": "principal-knowledge-authority",
    "TargetField": "RoleAssignments.IsUnauthorizedEnforcementAgent",
    "CanRead": true,
    "CanWrite": false,
    "MaskStrategy": "plain",
    "SemanticTypeIri": "urn:effortless:pko-extension#FieldGrant",
    "Name": "principal-knowledge-authority -&gt; RoleAssignments.IsUnauthorizedEnforcementAgent",
    "FieldTable": "RoleAssignments",
    "FieldName": "IsUnauthorizedEnforcementAgent",
    "FieldIsDerived": true,
    "IsWritableDerivedField": false,
    "IsMasked": false,
    "GrantKeyWhenReadable": "principal-knowledge-authority|RoleAssignments"
   },
   {
    "FieldGrantId": "fg-knowledge-authority-RoleAssignments.GovernanceEvidenceCount",
    "Principal": "principal-knowledge-authority",
    "TargetField": "RoleAssignments.GovernanceEvidenceCount",
    "CanRead": true,
    "CanWrite": false,
    "MaskStrategy": "plain",
    "SemanticTypeIri": "urn:effortless:pko-extension#FieldGrant",
    "Name": "principal-knowledge-authority -&gt; RoleAssignments.GovernanceEvidenceCount",
    "FieldTable": "RoleAssignments",
    "FieldName": "GovernanceEvidenceCount",
    "FieldIsDerived": true,
    "IsWritableDerivedField": false,
    "IsMasked": false,
    "GrantKeyWhenReadable": "principal-knowledge-authority|RoleAssignments"
   },
   {
    "FieldGrantId": "fg-knowledge-authority-RoleAssignments.UnauthorizedEnforcementRoleKey",
    "Principal": "principal-knowledge-authority",
    "TargetField": "RoleAssignments.UnauthorizedEnforcementRoleKey",
    "CanRead": true,
    "CanWrite": false,
    "MaskStrategy": "plain",
    "SemanticTypeIri": "urn:effortless:pko-extension#FieldGrant",
    "Name": "principal-knowledge-authority -&gt; RoleAssignments.UnauthorizedEnforcementRoleKey",
    "FieldTable": "RoleAssignments",
    "FieldName": "UnauthorizedEnforcementRoleKey",
    "FieldIsDerived": true,
    "IsWritableDerivedField": false,
    "IsMasked": false,
    "GrantKeyWhenReadable": "principal-knowledge-authority|RoleAssignments"
   },
   {
    "FieldGrantId": "fg-knowledge-authority-RoleAssignments.SemanticTypeIri",
    "Principal": "principal-knowledge-authority",
    "TargetField": "RoleAssignments.SemanticTypeIri",
    "CanRead": true,
    "CanWrite": false,
    "MaskStrategy": "plain",
    "SemanticTypeIri": "urn:effortless:pko-extension#FieldGrant",
    "Name": "principal-knowledge-authority -&gt; RoleAssignments.SemanticTypeIri",
    "FieldTable": "RoleAssignments",
    "FieldName": "SemanticTypeIri",
    "FieldIsDerived": false,
    "IsWritableDerivedField": false,
    "IsMasked": false,
    "GrantKeyWhenReadable": "principal-knowledge-authority|RoleAssignments"
   },
   {
    "FieldGrantId": "fg-knowledge-authority-RoleQuestions.RoleQuestionId",
    "Principal": "principal-knowledge-authority",
    "TargetField": "RoleQuestions.RoleQuestionId",
    "CanRead": true,
    "CanWrite": false,
    "MaskStrategy": "plain",
    "SemanticTypeIri": "urn:effortless:pko-extension#FieldGrant",
    "Name": "principal-knowledge-authority -&gt; RoleQuestions.RoleQuestionId",
    "FieldTable": "RoleQuestions",
    "FieldName": "RoleQuestionId",
    "FieldIsDerived": false,
    "IsWritableDerivedField": false,
    "IsMasked": false,
    "GrantKeyWhenReadable": "principal-knowledge-authority|RoleQuestions"
   },
   {
    "FieldGrantId": "fg-knowledge-authority-RoleQuestions.Name",
    "Principal": "principal-knowledge-authority",
    "TargetField": "RoleQuestions.Name",
    "CanRead": true,
    "CanWrite": false,
    "MaskStrategy": "plain",
    "SemanticTypeIri": "urn:effortless:pko-extension#FieldGrant",
    "Name": "principal-knowledge-authority -&gt; RoleQuestions.Name",
    "FieldTable": "RoleQuestions",
    "FieldName": "Name",
    "FieldIsDerived": true,
    "IsWritableDerivedField": false,
    "IsMasked": false,
    "GrantKeyWhenReadable": "principal-knowledge-authority|RoleQuestions"
   },
   {
    "FieldGrantId": "fg-knowledge-authority-RoleQuestions.AskingRole",
    "Principal": "principal-knowledge-authority",
    "TargetField": "RoleQuestions.AskingRole",
    "CanRead": true,
    "CanWrite": false,
    "MaskStrategy": "plain",
    "SemanticTypeIri": "urn:effortless:pko-extension#FieldGrant",
    "Name": "principal-knowledge-authority -&gt; RoleQuestions.AskingRole",
    "FieldTable": "RoleQuestions",
    "FieldName": "AskingRole",
    "FieldIsDerived": false,
    "IsWritableDerivedField": false,
    "IsMasked": false,
    "GrantKeyWhenReadable": "principal-knowledge-authority|RoleQuestions"
   },
   {
    "FieldGrantId": "fg-knowledge-authority-RoleQuestions.WitnessLoop",
    "Principal": "principal-knowledge-authority",
    "TargetField": "RoleQuestions.WitnessLoop",
    "CanRead": true,
    "CanWrite": false,
    "MaskStrategy": "plain",
    "SemanticTypeIri": "urn:effortless:pko-extension#FieldGrant",
    "Name": "principal-knowledge-authority -&gt; RoleQuestions.WitnessLoop",
    "FieldTable": "RoleQuestions",
    "FieldName": "WitnessLoop",
    "FieldIsDerived": false,
    "IsWritableDerivedField": false,
    "IsMasked": false,
    "GrantKeyWhenReadable": "principal-knowledge-authority|RoleQuestions"
   },
   {
    "FieldGrantId": "fg-knowledge-authority-RoleQuestions.QuestionText",
    "Principal": "principal-knowledge-authority",
    "TargetField": "RoleQuestions.QuestionText",
    "CanRead": true,
    "CanWrite": false,
    "MaskStrategy": "plain",
    "SemanticTypeIri": "urn:effortless:pko-extension#FieldGrant",
    "Name": "principal-knowledge-authority -&gt; RoleQuestions.QuestionText",
    "FieldTable": "RoleQuestions",
    "FieldName": "QuestionText",
    "FieldIsDerived": false,
    "IsWritableDerivedField": false,
    "IsMasked": false,
    "GrantKeyWhenReadable": "principal-knowledge-authority|RoleQuestions"
   },
   {
    "FieldGrantId": "fg-knowledge-authority-RoleQuestions.WhyItMatters",
    "Principal": "principal-knowledge-authority",
    "TargetField": "RoleQuestions.WhyItMatters",
    "CanRead": true,
    "CanWrite": false,
    "MaskStrategy": "plain",
    "SemanticTypeIri": "urn:effortless:pko-extension#FieldGrant",
    "Name": "principal-knowledge-authority -&gt; RoleQuestions.WhyItMatters",
    "FieldTable": "RoleQuestions",
    "FieldName": "WhyItMatters",
    "FieldIsDerived": false,
    "IsWritableDerivedField": false,
    "IsMasked": false,
    "GrantKeyWhenReadable": "principal-knowledge-authority|RoleQuestions"
   },
   {
    "FieldGrantId": "fg-knowledge-authority-RoleQuestions.AnswerableBefore",
    "Principal": "principal-knowledge-authority",
    "TargetField": "RoleQuestions.AnswerableBefore",
    "CanRead": true,
    "CanWrite": false,
    "MaskStrategy": "plain",
    "SemanticTypeIri": "urn:effortless:pko-extension#FieldGrant",
    "Name": "principal-knowledge-authority -&gt; RoleQuestions.AnswerableBefore",
    "FieldTable": "RoleQuestions",
    "FieldName": "AnswerableBefore",
    "FieldIsDerived": false,
    "IsWritableDerivedField": false,
    "IsMasked": false,
    "GrantKeyWhenReadable": "principal-knowledge-authority|RoleQuestions"
   },
   {
    "FieldGrantId": "fg-knowledge-authority-RoleQuestions.PredicateCount",
    "Principal": "principal-knowledge-authority",
    "TargetField": "RoleQuestions.PredicateCount",
    "CanRead": true,
    "CanWrite": false,
    "MaskStrategy": "plain",
    "SemanticTypeIri": "urn:effortless:pko-extension#FieldGrant",
    "Name": "principal-knowledge-authority -&gt; RoleQuestions.PredicateCount",
    "FieldTable": "RoleQuestions",
    "FieldName": "PredicateCount",
    "FieldIsDerived": true,
    "IsWritableDerivedField": false,
    "IsMasked": false,
    "GrantKeyWhenReadable": "principal-knowledge-authority|RoleQuestions"
   },
   {
    "FieldGrantId": "fg-knowledge-authority-RoleQuestions.IsAnswered",
    "Principal": "principal-knowledge-authority",
    "TargetField": "RoleQuestions.IsAnswered",
    "CanRead": true,
    "CanWrite": false,
    "MaskStrategy": "plain",
    "SemanticTypeIri": "urn:effortless:pko-extension#FieldGrant",
    "Name": "principal-knowledge-authority -&gt; RoleQuestions.IsAnswered",
    "FieldTable": "RoleQuestions",
    "FieldName": "IsAnswered",
    "FieldIsDerived": true,
    "IsWritableDerivedField": false,
    "IsMasked": false,
    "GrantKeyWhenReadable": "principal-knowledge-authority|RoleQuestions"
   },
   {
    "FieldGrantId": "fg-knowledge-authority-RoleQuestions.WitnessedAnswer",
    "Principal": "principal-knowledge-authority",
    "TargetField": "RoleQuestions.WitnessedAnswer",
    "CanRead": true,
    "CanWrite": false,
    "MaskStrategy": "plain",
    "SemanticTypeIri": "urn:effortless:pko-extension#FieldGrant",
    "Name": "principal-knowledge-authority -&gt; RoleQuestions.WitnessedAnswer",
    "FieldTable": "RoleQuestions",
    "FieldName": "WitnessedAnswer",
    "FieldIsDerived": false,
    "IsWritableDerivedField": false,
    "IsMasked": false,
    "GrantKeyWhenReadable": "principal-knowledge-authority|RoleQuestions"
   },
   {
    "FieldGrantId": "fg-knowledge-authority-RoleQuestions.SemanticTypeIri",
    "Principal": "principal-knowledge-authority",
    "TargetField": "RoleQuestions.SemanticTypeIri",
    "CanRead": true,
    "CanWrite": false,
    "MaskStrategy": "plain",
    "SemanticTypeIri": "urn:effortless:pko-extension#FieldGrant",
    "Name": "principal-knowledge-authority -&gt; RoleQuestions.SemanticTypeIri",
    "FieldTable": "RoleQuestions",
    "FieldName": "SemanticTypeIri",
    "FieldIsDerived": false,
    "IsWritableDerivedField": false,
    "IsMasked": false,
    "GrantKeyWhenReadable": "principal-knowledge-authority|RoleQuestions"
   },
   {
    "FieldGrantId": "fg-knowledge-authority-Roles.RoleId",
    "Principal": "principal-knowledge-authority",
    "TargetField": "Roles.RoleId",
    "CanRead": true,
    "CanWrite": false,
    "MaskStrategy": "plain",
    "SemanticTypeIri": "urn:effortless:pko-extension#FieldGrant",
    "Name": "principal-knowledge-authority -&gt; Roles.RoleId",
    "FieldTable": "Roles",
    "FieldName": "RoleId",
    "FieldIsDerived": false,
    "IsWritableDerivedField": false,
    "IsMasked": false,
    "GrantKeyWhenReadable": "principal-knowledge-authority|Roles"
   },
   {
    "FieldGrantId": "fg-knowledge-authority-Roles.Name",
    "Principal": "principal-knowledge-authority",
    "TargetField": "Roles.Name",
    "CanRead": true,
    "CanWrite": false,
    "MaskStrategy": "plain",
    "SemanticTypeIri": "urn:effortless:pko-extension#FieldGrant",
    "Name": "principal-knowledge-authority -&gt; Roles.Name",
    "FieldTable": "Roles",
    "FieldName": "Name",
    "FieldIsDerived": true,
    "IsWritableDerivedField": false,
    "IsMasked": false,
    "GrantKeyWhenReadable": "principal-knowledge-authority|Roles"
   },
   {
    "FieldGrantId": "fg-knowledge-authority-Roles.Label",
    "Principal": "principal-knowledge-authority",
    "TargetField": "Roles.Label",
    "CanRead": true,
    "CanWrite": false,
    "MaskStrategy": "plain",
    "SemanticTypeIri": "urn:effortless:pko-extension#FieldGrant",
    "Name": "principal-knowledge-authority -&gt; Roles.Label",
    "FieldTable": "Roles",
    "FieldName": "Label",
    "FieldIsDerived": false,
    "IsWritableDerivedField": false,
    "IsMasked": false,
    "GrantKeyWhenReadable": "principal-knowledge-authority|Roles"
   },
   {
    "FieldGrantId": "fg-knowledge-authority-Roles.Organization",
    "Principal": "principal-knowledge-authority",
    "TargetField": "Roles.Organization",
    "CanRead": true,
    "CanWrite": false,
    "MaskStrategy": "plain",
    "SemanticTypeIri": "urn:effortless:pko-extension#FieldGrant",
    "Name": "principal-knowledge-authority -&gt; Roles.Organization",
    "FieldTable": "Roles",
    "FieldName": "Organization",
    "FieldIsDerived": false,
    "IsWritableDerivedField": false,
    "IsMasked": false,
    "GrantKeyWhenReadable": "principal-knowledge-authority|Roles"
   },
   {
    "FieldGrantId": "fg-knowledge-authority-Roles.CurrentAgent",
    "Principal": "principal-knowledge-authority",
    "TargetField": "Roles.CurrentAgent",
    "CanRead": true,
    "CanWrite": false,
    "MaskStrategy": "plain",
    "SemanticTypeIri": "urn:effortless:pko-extension#FieldGrant",
    "Name": "principal-knowledge-authority -&gt; Roles.CurrentAgent",
    "FieldTable": "Roles",
    "FieldName": "CurrentAgent",
    "FieldIsDerived": false,
    "IsWritableDerivedField": false,
    "IsMasked": false,
    "GrantKeyWhenReadable": "principal-knowledge-authority|Roles"
   },
   {
    "FieldGrantId": "fg-knowledge-authority-Roles.CurrentAgentKind",
    "Principal": "principal-knowledge-authority",
    "TargetField": "Roles.CurrentAgentKind",
    "CanRead": true,
    "CanWrite": false,
    "MaskStrategy": "plain",
    "SemanticTypeIri": "urn:effortless:pko-extension#FieldGrant",
    "Name": "principal-knowledge-authority -&gt; Roles.CurrentAgentKind",
    "FieldTable": "Roles",
    "FieldName": "CurrentAgentKind",
    "FieldIsDerived": true,
    "IsWritableDerivedField": false,
    "IsMasked": false,
    "GrantKeyWhenReadable": "principal-knowledge-authority|Roles"
   },
   {
    "FieldGrantId": "fg-knowledge-authority-Roles.Responsibility",
    "Principal": "principal-knowledge-authority",
    "TargetField": "Roles.Responsibility",
    "CanRead": true,
    "CanWrite": false,
    "MaskStrategy": "plain",
    "SemanticTypeIri": "urn:effortless:pko-extension#FieldGrant",
    "Name": "principal-knowledge-authority -&gt; Roles.Responsibility",
    "FieldTable": "Roles",
    "FieldName": "Responsibility",
    "FieldIsDerived": false,
    "IsWritableDerivedField": false,
    "IsMasked": false,
    "GrantKeyWhenReadable": "principal-knowledge-authority|Roles"
   },
   {
    "FieldGrantId": "fg-knowledge-authority-Roles.ActiveAssignmentCount",
    "Principal": "principal-knowledge-authority",
    "TargetField": "Roles.ActiveAssignmentCount",
    "CanRead": true,
    "CanWrite": false,
    "MaskStrategy": "plain",
    "SemanticTypeIri": "urn:effortless:pko-extension#FieldGrant",
    "Name": "principal-knowledge-authority -&gt; Roles.ActiveAssignmentCount",
    "FieldTable": "Roles",
    "FieldName": "ActiveAssignmentCount",
    "FieldIsDerived": true,
    "IsWritableDerivedField": false,
    "IsMasked": false,
    "GrantKeyWhenReadable": "principal-knowledge-authority|Roles"
   },
   {
    "FieldGrantId": "fg-knowledge-authority-Roles.CurrentlyCoveredAssignmentCount",
    "Principal": "principal-knowledge-authority",
    "TargetField": "Roles.CurrentlyCoveredAssignmentCount",
    "CanRead": true,
    "CanWrite": false,
    "MaskStrategy": "plain",
    "SemanticTypeIri": "urn:effortless:pko-extension#FieldGrant",
    "Name": "principal-knowledge-authority -&gt; Roles.CurrentlyCoveredAssignmentCount",
    "FieldTable": "Roles",
    "FieldName": "CurrentlyCoveredAssignmentCount",
    "FieldIsDerived": true,
    "IsWritableDerivedField": false,
    "IsMasked": false,
    "GrantKeyWhenReadable": "principal-knowledge-authority|Roles"
   },
   {
    "FieldGrantId": "fg-knowledge-authority-Roles.HasNoCurrentHolder",
    "Principal": "principal-knowledge-authority",
    "TargetField": "Roles.HasNoCurrentHolder",
    "CanRead": true,
    "CanWrite": false,
    "MaskStrategy": "plain",
    "SemanticTypeIri": "urn:effortless:pko-extension#FieldGrant",
    "Name": "principal-knowledge-authority -&gt; Roles.HasNoCurrentHolder",
    "FieldTable": "Roles",
    "FieldName": "HasNoCurrentHolder",
    "FieldIsDerived": true,
    "IsWritableDerivedField": false,
    "IsMasked": false,
    "GrantKeyWhenReadable": "principal-knowledge-authority|Roles"
   },
   {
    "FieldGrantId": "fg-knowledge-authority-Roles.CountOfAwaitedDecisions",
    "Principal": "principal-knowledge-authority",
    "TargetField": "Roles.CountOfAwaitedDecisions",
    "CanRead": true,
    "CanWrite": false,
    "MaskStrategy": "plain",
    "SemanticTypeIri": "urn:effortless:pko-extension#FieldGrant",
    "Name": "principal-knowledge-authority -&gt; Roles.CountOfAwaitedDecisions",
    "FieldTable": "Roles",
    "FieldName": "CountOfAwaitedDecisions",
    "FieldIsDerived": true,
    "IsWritableDerivedField": false,
    "IsMasked": false,
    "GrantKeyWhenReadable": "principal-knowledge-authority|Roles"
   },
   {
    "FieldGrantId": "fg-knowledge-authority-Roles.CurrentAssignment",
    "Principal": "principal-knowledge-authority",
    "TargetField": "Roles.CurrentAssignment",
    "CanRead": true,
    "CanWrite": false,
    "MaskStrategy": "plain",
    "SemanticTypeIri": "urn:effortless:pko-extension#FieldGrant",
    "Name": "principal-knowledge-authority -&gt; Roles.CurrentAssignment",
    "FieldTable": "Roles",
    "FieldName": "CurrentAssignment",
    "FieldIsDerived": false,
    "IsWritableDerivedField": false,
    "IsMasked": false,
    "GrantKeyWhenReadable": "principal-knowledge-authority|Roles"
   },
   {
    "FieldGrantId": "fg-knowledge-authority-Roles.CurrentAssignmentValidFrom",
    "Principal": "principal-knowledge-authority",
    "TargetField": "Roles.CurrentAssignmentValidFrom",
    "CanRead": true,
    "CanWrite": false,
    "MaskStrategy": "plain",
    "SemanticTypeIri": "urn:effortless:pko-extension#FieldGrant",
    "Name": "principal-knowledge-authority -&gt; Roles.CurrentAssignmentValidFrom",
    "FieldTable": "Roles",
    "FieldName": "CurrentAssignmentValidFrom",
    "FieldIsDerived": true,
    "IsWritableDerivedField": false,
    "IsMasked": false,
    "GrantKeyWhenReadable": "principal-knowledge-authority|Roles"
   },
   {
    "FieldGrantId": "fg-knowledge-authority-Roles.IsNonHumanHeld",
    "Principal": "principal-knowledge-authority",
    "TargetField": "Roles.IsNonHumanHeld",
    "CanRead": true,
    "CanWrite": false,
    "MaskStrategy": "plain",
    "SemanticTypeIri": "urn:effortless:pko-extension#FieldGrant",
    "Name": "principal-knowledge-authority -&gt; Roles.IsNonHumanHeld",
    "FieldTable": "Roles",
    "FieldName": "IsNonHumanHeld",
    "FieldIsDerived": true,
    "IsWritableDerivedField": false,
    "IsMasked": false,
    "GrantKeyWhenReadable": "principal-knowledge-authority|Roles"
   },
   {
    "FieldGrantId": "fg-knowledge-authority-Roles.IsUngovernedNonHumanRole",
    "Principal": "principal-knowledge-authority",
    "TargetField": "Roles.IsUngovernedNonHumanRole",
    "CanRead": true,
    "CanWrite": false,
    "MaskStrategy": "plain",
    "SemanticTypeIri": "urn:effortless:pko-extension#FieldGrant",
    "Name": "principal-knowledge-authority -&gt; Roles.IsUngovernedNonHumanRole",
    "FieldTable": "Roles",
    "FieldName": "IsUngovernedNonHumanRole",
    "FieldIsDerived": true,
    "IsWritableDerivedField": false,
    "IsMasked": false,
    "GrantKeyWhenReadable": "principal-knowledge-authority|Roles"
   },
   {
    "FieldGrantId": "fg-knowledge-authority-Roles.DepartedAssignmentCount",
    "Principal": "principal-knowledge-authority",
    "TargetField": "Roles.DepartedAssignmentCount",
    "CanRead": true,
    "CanWrite": false,
    "MaskStrategy": "plain",
    "SemanticTypeIri": "urn:effortless:pko-extension#FieldGrant",
    "Name": "principal-knowledge-authority -&gt; Roles.DepartedAssignmentCount",
    "FieldTable": "Roles",
    "FieldName": "DepartedAssignmentCount",
    "FieldIsDerived": true,
    "IsWritableDerivedField": false,
    "IsMasked": false,
    "GrantKeyWhenReadable": "principal-knowledge-authority|Roles"
   },
   {
    "FieldGrantId": "fg-knowledge-authority-Roles.HasLostAHolder",
    "Principal": "principal-knowledge-authority",
    "TargetField": "Roles.HasLostAHolder",
    "CanRead": true,
    "CanWrite": false,
    "MaskStrategy": "plain",
    "SemanticTypeIri": "urn:effortless:pko-extension#FieldGrant",
    "Name": "principal-knowledge-authority -&gt; Roles.HasLostAHolder",
    "FieldTable": "Roles",
    "FieldName": "HasLostAHolder",
    "FieldIsDerived": true,
    "IsWritableDerivedField": false,
    "IsMasked": false,
    "GrantKeyWhenReadable": "principal-knowledge-authority|Roles"
   },
   {
    "FieldGrantId": "fg-knowledge-authority-Roles.IsVacatedRole",
    "Principal": "principal-knowledge-authority",
    "TargetField": "Roles.IsVacatedRole",
    "CanRead": true,
    "CanWrite": false,
    "MaskStrategy": "plain",
    "SemanticTypeIri": "urn:effortless:pko-extension#FieldGrant",
    "Name": "principal-knowledge-authority -&gt; Roles.IsVacatedRole",
    "FieldTable": "Roles",
    "FieldName": "IsVacatedRole",
    "FieldIsDerived": true,
    "IsWritableDerivedField": false,
    "IsMasked": false,
    "GrantKeyWhenReadable": "principal-knowledge-authority|Roles"
   },
   {
    "FieldGrantId": "fg-knowledge-authority-Roles.UngroundedBoundaryCount",
    "Principal": "principal-knowledge-authority",
    "TargetField": "Roles.UngroundedBoundaryCount",
    "CanRead": true,
    "CanWrite": false,
    "MaskStrategy": "plain",
    "SemanticTypeIri": "urn:effortless:pko-extension#FieldGrant",
    "Name": "principal-knowledge-authority -&gt; Roles.UngroundedBoundaryCount",
    "FieldTable": "Roles",
    "FieldName": "UngroundedBoundaryCount",
    "FieldIsDerived": true,
    "IsWritableDerivedField": false,
    "IsMasked": false,
    "GrantKeyWhenReadable": "principal-knowledge-authority|Roles"
   },
   {
    "FieldGrantId": "fg-knowledge-authority-Roles.IsGovernedByLapsedAuthority",
    "Principal": "principal-knowledge-authority",
    "TargetField": "Roles.IsGovernedByLapsedAuthority",
    "CanRead": true,
    "CanWrite": false,
    "MaskStrategy": "plain",
    "SemanticTypeIri": "urn:effortless:pko-extension#FieldGrant",
    "Name": "principal-knowledge-authority -&gt; Roles.IsGovernedByLapsedAuthority",
    "FieldTable": "Roles",
    "FieldName": "IsGovernedByLapsedAuthority",
    "FieldIsDerived": true,
    "IsWritableDerivedField": false,
    "IsMasked": false,
    "GrantKeyWhenReadable": "principal-knowledge-authority|Roles"
   },
   {
    "FieldGrantId": "fg-knowledge-authority-Roles.UnescalatedRefusalCount",
    "Principal": "principal-knowledge-authority",
    "TargetField": "Roles.UnescalatedRefusalCount",
    "CanRead": true,
    "CanWrite": false,
    "MaskStrategy": "plain",
    "SemanticTypeIri": "urn:effortless:pko-extension#FieldGrant",
    "Name": "principal-knowledge-authority -&gt; Roles.UnescalatedRefusalCount",
    "FieldTable": "Roles",
    "FieldName": "UnescalatedRefusalCount",
    "FieldIsDerived": true,
    "IsWritableDerivedField": false,
    "IsMasked": false,
    "GrantKeyWhenReadable": "principal-knowledge-authority|Roles"
   },
   {
    "FieldGrantId": "fg-knowledge-authority-Roles.UnauthorizedEnforcementAssignmentCount",
    "Principal": "principal-knowledge-authority",
    "TargetField": "Roles.UnauthorizedEnforcementAssignmentCount",
    "CanRead": true,
    "CanWrite": false,
    "MaskStrategy": "plain",
    "SemanticTypeIri": "urn:effortless:pko-extension#FieldGrant",
    "Name": "principal-knowledge-authority -&gt; Roles.UnauthorizedEnforcementAssignmentCount",
    "FieldTable": "Roles",
    "FieldName": "UnauthorizedEnforcementAssignmentCount",
    "FieldIsDerived": true,
    "IsWritableDerivedField": false,
    "IsMasked": false,
    "GrantKeyWhenReadable": "principal-knowledge-authority|Roles"
   },
   {
    "FieldGrantId": "fg-knowledge-authority-Roles.IsUngovernedEnforcementRole",
    "Principal": "principal-knowledge-authority",
    "TargetField": "Roles.IsUngovernedEnforcementRole",
    "CanRead": true,
    "CanWrite": false,
    "MaskStrategy": "plain",
    "SemanticTypeIri": "urn:effortless:pko-extension#FieldGrant",
    "Name": "principal-knowledge-authority -&gt; Roles.IsUngovernedEnforcementRole",
    "FieldTable": "Roles",
    "FieldName": "IsUngovernedEnforcementRole",
    "FieldIsDerived": true,
    "IsWritableDerivedField": false,
    "IsMasked": false,
    "GrantKeyWhenReadable": "principal-knowledge-authority|Roles"
   },
   {
    "FieldGrantId": "fg-knowledge-authority-Roles.SemanticTypeIri",
    "Principal": "principal-knowledge-authority",
    "TargetField": "Roles.SemanticTypeIri",
    "CanRead": true,
    "CanWrite": false,
    "MaskStrategy": "plain",
    "SemanticTypeIri": "urn:effortless:pko-extension#FieldGrant",
    "Name": "principal-knowledge-authority -&gt; Roles.SemanticTypeIri",
    "FieldTable": "Roles",
    "FieldName": "SemanticTypeIri",
    "FieldIsDerived": false,
    "IsWritableDerivedField": false,
    "IsMasked": false,
    "GrantKeyWhenReadable": "principal-knowledge-authority|Roles"
   },
   {
    "FieldGrantId": "fg-knowledge-authority-RulebookFields.RulebookFieldId",
    "Principal": "principal-knowledge-authority",
    "TargetField": "RulebookFields.RulebookFieldId",
    "CanRead": true,
    "CanWrite": false,
    "MaskStrategy": "plain",
    "SemanticTypeIri": "urn:effortless:pko-extension#FieldGrant",
    "Name": "principal-knowledge-authority -&gt; RulebookFields.RulebookFieldId",
    "FieldTable": "RulebookFields",
    "FieldName": "RulebookFieldId",
    "FieldIsDerived": false,
    "IsWritableDerivedField": false,
    "IsMasked": false,
    "GrantKeyWhenReadable": "principal-knowledge-authority|RulebookFields"
   },
   {
    "FieldGrantId": "fg-knowledge-authority-RulebookFields.Name",
    "Principal": "principal-knowledge-authority",
    "TargetField": "RulebookFields.Name",
    "CanRead": true,
    "CanWrite": false,
    "MaskStrategy": "plain",
    "SemanticTypeIri": "urn:effortless:pk</t>
  </si>
  <si>
    <t xml:space="preserve">o-extension#FieldGrant",
    "Name": "principal-knowledge-authority -&gt; RulebookFields.Name",
    "FieldTable": "RulebookFields",
    "FieldName": "Name",
    "FieldIsDerived": true,
    "IsWritableDerivedField": false,
    "IsMasked": false,
    "GrantKeyWhenReadable": "principal-knowledge-authority|RulebookFields"
   },
   {
    "FieldGrantId": "fg-knowledge-authority-RulebookFields.TargetTable",
    "Principal": "principal-knowledge-authority",
    "TargetField": "RulebookFields.TargetTable",
    "CanRead": true,
    "CanWrite": false,
    "MaskStrategy": "plain",
    "SemanticTypeIri": "urn:effortless:pko-extension#FieldGrant",
    "Name": "principal-knowledge-authority -&gt; RulebookFields.TargetTable",
    "FieldTable": "RulebookFields",
    "FieldName": "TargetTable",
    "FieldIsDerived": false,
    "IsWritableDerivedField": false,
    "IsMasked": false,
    "GrantKeyWhenReadable": "principal-knowledge-authority|RulebookFields"
   },
   {
    "FieldGrantId": "fg-knowledge-authority-RulebookFields.FieldName",
    "Principal": "principal-knowledge-authority",
    "TargetField": "RulebookFields.FieldName",
    "CanRead": true,
    "CanWrite": false,
    "MaskStrategy": "plain",
    "SemanticTypeIri": "urn:effortless:pko-extension#FieldGrant",
    "Name": "principal-knowledge-authority -&gt; RulebookFields.FieldName",
    "FieldTable": "RulebookFields",
    "FieldName": "FieldName",
    "FieldIsDerived": false,
    "IsWritableDerivedField": false,
    "IsMasked": false,
    "GrantKeyWhenReadable": "principal-knowledge-authority|RulebookFields"
   },
   {
    "FieldGrantId": "fg-knowledge-authority-RulebookFields.FieldType",
    "Principal": "principal-knowledge-authority",
    "TargetField": "RulebookFields.FieldType",
    "CanRead": true,
    "CanWrite": false,
    "MaskStrategy": "plain",
    "SemanticTypeIri": "urn:effortless:pko-extension#FieldGrant",
    "Name": "principal-knowledge-authority -&gt; RulebookFields.FieldType",
    "FieldTable": "RulebookFields",
    "FieldName": "FieldType",
    "FieldIsDerived": false,
    "IsWritableDerivedField": false,
    "IsMasked": false,
    "GrantKeyWhenReadable": "principal-knowledge-authority|RulebookFields"
   },
   {
    "FieldGrantId": "fg-knowledge-authority-RulebookFields.Datatype",
    "Principal": "principal-knowledge-authority",
    "TargetField": "RulebookFields.Datatype",
    "CanRead": true,
    "CanWrite": false,
    "MaskStrategy": "plain",
    "SemanticTypeIri": "urn:effortless:pko-extension#FieldGrant",
    "Name": "principal-knowledge-authority -&gt; RulebookFields.Datatype",
    "FieldTable": "RulebookFields",
    "FieldName": "Datatype",
    "FieldIsDerived": false,
    "IsWritableDerivedField": false,
    "IsMasked": false,
    "GrantKeyWhenReadable": "principal-knowledge-authority|RulebookFields"
   },
   {
    "FieldGrantId": "fg-knowledge-authority-RulebookFields.Formula",
    "Principal": "principal-knowledge-authority",
    "TargetField": "RulebookFields.Formula",
    "CanRead": true,
    "CanWrite": false,
    "MaskStrategy": "plain",
    "SemanticTypeIri": "urn:effortless:pko-extension#FieldGrant",
    "Name": "principal-knowledge-authority -&gt; RulebookFields.Formula",
    "FieldTable": "RulebookFields",
    "FieldName": "Formula",
    "FieldIsDerived": false,
    "IsWritableDerivedField": false,
    "IsMasked": false,
    "GrantKeyWhenReadable": "principal-knowledge-authority|RulebookFields"
   },
   {
    "FieldGrantId": "fg-knowledge-authority-RulebookFields.InventedForQuestion",
    "Principal": "principal-knowledge-authority",
    "TargetField": "RulebookFields.InventedForQuestion",
    "CanRead": true,
    "CanWrite": false,
    "MaskStrategy": "plain",
    "SemanticTypeIri": "urn:effortless:pko-extension#FieldGrant",
    "Name": "principal-knowledge-authority -&gt; RulebookFields.InventedForQuestion",
    "FieldTable": "RulebookFields",
    "FieldName": "InventedForQuestion",
    "FieldIsDerived": false,
    "IsWritableDerivedField": false,
    "IsMasked": false,
    "GrantKeyWhenReadable": "principal-knowledge-authority|RulebookFields"
   },
   {
    "FieldGrantId": "fg-knowledge-authority-RulebookFields.IsDerived",
    "Principal": "principal-knowledge-authority",
    "TargetField": "RulebookFields.IsDerived",
    "CanRead": true,
    "CanWrite": false,
    "MaskStrategy": "plain",
    "SemanticTypeIri": "urn:effortless:pko-extension#FieldGrant",
    "Name": "principal-knowledge-authority -&gt; RulebookFields.IsDerived",
    "FieldTable": "RulebookFields",
    "FieldName": "IsDerived",
    "FieldIsDerived": true,
    "IsWritableDerivedField": false,
    "IsMasked": false,
    "GrantKeyWhenReadable": "principal-knowledge-authority|RulebookFields"
   },
   {
    "FieldGrantId": "fg-knowledge-authority-RulebookFields.IsWitness",
    "Principal": "principal-knowledge-authority",
    "TargetField": "RulebookFields.IsWitness",
    "CanRead": true,
    "CanWrite": false,
    "MaskStrategy": "plain",
    "SemanticTypeIri": "urn:effortless:pko-extension#FieldGrant",
    "Name": "principal-knowledge-authority -&gt; RulebookFields.IsWitness",
    "FieldTable": "RulebookFields",
    "FieldName": "IsWitness",
    "FieldIsDerived": true,
    "IsWritableDerivedField": false,
    "IsMasked": false,
    "GrantKeyWhenReadable": "principal-knowledge-authority|RulebookFields"
   },
   {
    "FieldGrantId": "fg-knowledge-authority-RulebookFields.SemanticTypeIri",
    "Principal": "principal-knowledge-authority",
    "TargetField": "RulebookFields.SemanticTypeIri",
    "CanRead": true,
    "CanWrite": false,
    "MaskStrategy": "plain",
    "SemanticTypeIri": "urn:effortless:pko-extension#FieldGrant",
    "Name": "principal-knowledge-authority -&gt; RulebookFields.SemanticTypeIri",
    "FieldTable": "RulebookFields",
    "FieldName": "SemanticTypeIri",
    "FieldIsDerived": false,
    "IsWritableDerivedField": false,
    "IsMasked": false,
    "GrantKeyWhenReadable": "principal-knowledge-authority|RulebookFields"
   },
   {
    "FieldGrantId": "fg-knowledge-authority-RulebookReleases.RulebookReleaseId",
    "Principal": "principal-knowledge-authority",
    "TargetField": "RulebookReleases.RulebookReleaseId",
    "CanRead": true,
    "CanWrite": false,
    "MaskStrategy": "plain",
    "SemanticTypeIri": "urn:effortless:pko-extension#FieldGrant",
    "Name": "principal-knowledge-authority -&gt; RulebookReleases.RulebookReleaseId",
    "FieldTable": "RulebookReleases",
    "FieldName": "RulebookReleaseId",
    "FieldIsDerived": false,
    "IsWritableDerivedField": false,
    "IsMasked": false,
    "GrantKeyWhenReadable": "principal-knowledge-authority|RulebookReleases"
   },
   {
    "FieldGrantId": "fg-knowledge-authority-RulebookReleases.Name",
    "Principal": "principal-knowledge-authority",
    "TargetField": "RulebookReleases.Name",
    "CanRead": true,
    "CanWrite": false,
    "MaskStrategy": "plain",
    "SemanticTypeIri": "urn:effortless:pko-extension#FieldGrant",
    "Name": "principal-knowledge-authority -&gt; RulebookReleases.Name",
    "FieldTable": "RulebookReleases",
    "FieldName": "Name",
    "FieldIsDerived": true,
    "IsWritableDerivedField": false,
    "IsMasked": false,
    "GrantKeyWhenReadable": "principal-knowledge-authority|RulebookReleases"
   },
   {
    "FieldGrantId": "fg-knowledge-authority-RulebookReleases.RulebookVersion",
    "Principal": "principal-knowledge-authority",
    "TargetField": "RulebookReleases.RulebookVersion",
    "CanRead": true,
    "CanWrite": false,
    "MaskStrategy": "plain",
    "SemanticTypeIri": "urn:effortless:pko-extension#FieldGrant",
    "Name": "principal-knowledge-authority -&gt; RulebookReleases.RulebookVersion",
    "FieldTable": "RulebookReleases",
    "FieldName": "RulebookVersion",
    "FieldIsDerived": false,
    "IsWritableDerivedField": false,
    "IsMasked": false,
    "GrantKeyWhenReadable": "principal-knowledge-authority|RulebookReleases"
   },
   {
    "FieldGrantId": "fg-knowledge-authority-RulebookReleases.ProfileVersion",
    "Principal": "principal-knowledge-authority",
    "TargetField": "RulebookReleases.ProfileVersion",
    "CanRead": true,
    "CanWrite": false,
    "MaskStrategy": "plain",
    "SemanticTypeIri": "urn:effortless:pko-extension#FieldGrant",
    "Name": "principal-knowledge-authority -&gt; RulebookReleases.ProfileVersion",
    "FieldTable": "RulebookReleases",
    "FieldName": "ProfileVersion",
    "FieldIsDerived": false,
    "IsWritableDerivedField": false,
    "IsMasked": false,
    "GrantKeyWhenReadable": "principal-knowledge-authority|RulebookReleases"
   },
   {
    "FieldGrantId": "fg-knowledge-authority-RulebookReleases.ProfileSchemaPath",
    "Principal": "principal-knowledge-authority",
    "TargetField": "RulebookReleases.ProfileSchemaPath",
    "CanRead": true,
    "CanWrite": false,
    "MaskStrategy": "plain",
    "SemanticTypeIri": "urn:effortless:pko-extension#FieldGrant",
    "Name": "principal-knowledge-authority -&gt; RulebookReleases.ProfileSchemaPath",
    "FieldTable": "RulebookReleases",
    "FieldName": "ProfileSchemaPath",
    "FieldIsDerived": false,
    "IsWritableDerivedField": false,
    "IsMasked": false,
    "GrantKeyWhenReadable": "principal-knowledge-authority|RulebookReleases"
   },
   {
    "FieldGrantId": "fg-knowledge-authority-RulebookReleases.PkoCoreVersionIri",
    "Principal": "principal-knowledge-authority",
    "TargetField": "RulebookReleases.PkoCoreVersionIri",
    "CanRead": true,
    "CanWrite": false,
    "MaskStrategy": "plain",
    "SemanticTypeIri": "urn:effortless:pko-extension#FieldGrant",
    "Name": "principal-knowledge-authority -&gt; RulebookReleases.PkoCoreVersionIri",
    "FieldTable": "RulebookReleases",
    "FieldName": "PkoCoreVersionIri",
    "FieldIsDerived": false,
    "IsWritableDerivedField": false,
    "IsMasked": false,
    "GrantKeyWhenReadable": "principal-knowledge-authority|RulebookReleases"
   },
   {
    "FieldGrantId": "fg-knowledge-authority-RulebookReleases.PkoIndustryVersionIri",
    "Principal": "principal-knowledge-authority",
    "TargetField": "RulebookReleases.PkoIndustryVersionIri",
    "CanRead": true,
    "CanWrite": false,
    "MaskStrategy": "plain",
    "SemanticTypeIri": "urn:effortless:pko-extension#FieldGrant",
    "Name": "principal-knowledge-authority -&gt; RulebookReleases.PkoIndustryVersionIri",
    "FieldTable": "RulebookReleases",
    "FieldName": "PkoIndustryVersionIri",
    "FieldIsDerived": false,
    "IsWritableDerivedField": false,
    "IsMasked": false,
    "GrantKeyWhenReadable": "principal-knowledge-authority|RulebookReleases"
   },
   {
    "FieldGrantId": "fg-knowledge-authority-RulebookReleases.IssuedAt",
    "Principal": "principal-knowledge-authority",
    "TargetField": "RulebookReleases.IssuedAt",
    "CanRead": true,
    "CanWrite": false,
    "MaskStrategy": "plain",
    "SemanticTypeIri": "urn:effortless:pko-extension#FieldGrant",
    "Name": "principal-knowledge-authority -&gt; RulebookReleases.IssuedAt",
    "FieldTable": "RulebookReleases",
    "FieldName": "IssuedAt",
    "FieldIsDerived": false,
    "IsWritableDerivedField": false,
    "IsMasked": false,
    "GrantKeyWhenReadable": "principal-knowledge-authority|RulebookReleases"
   },
   {
    "FieldGrantId": "fg-knowledge-authority-RulebookReleases.Status",
    "Principal": "principal-knowledge-authority",
    "TargetField": "RulebookReleases.Status",
    "CanRead": true,
    "CanWrite": false,
    "MaskStrategy": "plain",
    "SemanticTypeIri": "urn:effortless:pko-extension#FieldGrant",
    "Name": "principal-knowledge-authority -&gt; RulebookReleases.Status",
    "FieldTable": "RulebookReleases",
    "FieldName": "Status",
    "FieldIsDerived": false,
    "IsWritableDerivedField": false,
    "IsMasked": false,
    "GrantKeyWhenReadable": "principal-knowledge-authority|RulebookReleases"
   },
   {
    "FieldGrantId": "fg-knowledge-authority-RulebookReleases.Changelog",
    "Principal": "principal-knowledge-authority",
    "TargetField": "RulebookReleases.Changelog",
    "CanRead": true,
    "CanWrite": false,
    "MaskStrategy": "plain",
    "SemanticTypeIri": "urn:effortless:pko-extension#FieldGrant",
    "Name": "principal-knowledge-authority -&gt; RulebookReleases.Changelog",
    "FieldTable": "RulebookReleases",
    "FieldName": "Changelog",
    "FieldIsDerived": false,
    "IsWritableDerivedField": false,
    "IsMasked": false,
    "GrantKeyWhenReadable": "principal-knowledge-authority|RulebookReleases"
   },
   {
    "FieldGrantId": "fg-knowledge-authority-RulebookReleases.IsCurrent",
    "Principal": "principal-knowledge-authority",
    "TargetField": "RulebookReleases.IsCurrent",
    "CanRead": true,
    "CanWrite": false,
    "MaskStrategy": "plain",
    "SemanticTypeIri": "urn:effortless:pko-extension#FieldGrant",
    "Name": "principal-knowledge-authority -&gt; RulebookReleases.IsCurrent",
    "FieldTable": "RulebookReleases",
    "FieldName": "IsCurrent",
    "FieldIsDerived": false,
    "IsWritableDerivedField": false,
    "IsMasked": false,
    "GrantKeyWhenReadable": "principal-knowledge-authority|RulebookReleases"
   },
   {
    "FieldGrantId": "fg-knowledge-authority-SemanticMappings.SemanticMappingId",
    "Principal": "principal-knowledge-authority",
    "TargetField": "SemanticMappings.SemanticMappingId",
    "CanRead": true,
    "CanWrite": false,
    "MaskStrategy": "plain",
    "SemanticTypeIri": "urn:effortless:pko-extension#FieldGrant",
    "Name": "principal-knowledge-authority -&gt; SemanticMappings.SemanticMappingId",
    "FieldTable": "SemanticMappings",
    "FieldName": "SemanticMappingId",
    "FieldIsDerived": false,
    "IsWritableDerivedField": false,
    "IsMasked": false,
    "GrantKeyWhenReadable": "principal-knowledge-authority|SemanticMappings"
   },
   {
    "FieldGrantId": "fg-knowledge-authority-SemanticMappings.Name",
    "Principal": "principal-knowledge-authority",
    "TargetField": "SemanticMappings.Name",
    "CanRead": true,
    "CanWrite": false,
    "MaskStrategy": "plain",
    "SemanticTypeIri": "urn:effortless:pko-extension#FieldGrant",
    "Name": "principal-knowledge-authority -&gt; SemanticMappings.Name",
    "FieldTable": "SemanticMappings",
    "FieldName": "Name",
    "FieldIsDerived": true,
    "IsWritableDerivedField": false,
    "IsMasked": false,
    "GrantKeyWhenReadable": "principal-knowledge-authority|SemanticMappings"
   },
   {
    "FieldGrantId": "fg-knowledge-authority-SemanticMappings.SourcePath",
    "Principal": "principal-knowledge-authority",
    "TargetField": "SemanticMappings.SourcePath",
    "CanRead": true,
    "CanWrite": false,
    "MaskStrategy": "plain",
    "SemanticTypeIri": "urn:effortless:pko-extension#FieldGrant",
    "Name": "principal-knowledge-authority -&gt; SemanticMappings.SourcePath",
    "FieldTable": "SemanticMappings",
    "FieldName": "SourcePath",
    "FieldIsDerived": false,
    "IsWritableDerivedField": false,
    "IsMasked": false,
    "GrantKeyWhenReadable": "principal-knowledge-authority|SemanticMappings"
   },
   {
    "FieldGrantId": "fg-knowledge-authority-SemanticMappings.MappingKind",
    "Principal": "principal-knowledge-authority",
    "TargetField": "SemanticMappings.MappingKind",
    "CanRead": true,
    "CanWrite": false,
    "MaskStrategy": "plain",
    "SemanticTypeIri": "urn:effortless:pko-extension#FieldGrant",
    "Name": "principal-knowledge-authority -&gt; SemanticMappings.MappingKind",
    "FieldTable": "SemanticMappings",
    "FieldName": "MappingKind",
    "FieldIsDerived": false,
    "IsWritableDerivedField": false,
    "IsMasked": false,
    "GrantKeyWhenReadable": "principal-knowledge-authority|SemanticMappings"
   },
   {
    "FieldGrantId": "fg-knowledge-authority-SemanticMappings.TargetIri",
    "Principal": "principal-knowledge-authority",
    "TargetField": "SemanticMappings.TargetIri",
    "CanRead": true,
    "CanWrite": false,
    "MaskStrategy": "plain",
    "SemanticTypeIri": "urn:effortless:pko-extension#FieldGrant",
    "Name": "principal-knowledge-authority -&gt; SemanticMappings.TargetIri",
    "FieldTable": "SemanticMappings",
    "FieldName": "TargetIri",
    "FieldIsDerived": false,
    "IsWritableDerivedField": false,
    "IsMasked": false,
    "GrantKeyWhenReadable": "principal-knowledge-authority|SemanticMappings"
   },
   {
    "FieldGrantId": "fg-knowledge-authority-SemanticMappings.MappingRelation",
    "Principal": "principal-knowledge-authority",
    "TargetField": "SemanticMappings.MappingRelation",
    "CanRead": true,
    "CanWrite": false,
    "MaskStrategy": "plain",
    "SemanticTypeIri": "urn:effortless:pko-extension#FieldGrant",
    "Name": "principal-knowledge-authority -&gt; SemanticMappings.MappingRelation",
    "FieldTable": "SemanticMappings",
    "FieldName": "MappingRelation",
    "FieldIsDerived": false,
    "IsWritableDerivedField": false,
    "IsMasked": false,
    "GrantKeyWhenReadable": "principal-knowledge-authority|SemanticMappings"
   },
   {
    "FieldGrantId": "fg-knowledge-authority-SemanticMappings.OntologyProfile",
    "Principal": "principal-knowledge-authority",
    "TargetField": "SemanticMappings.OntologyProfile",
    "CanRead": true,
    "CanWrite": false,
    "MaskStrategy": "plain",
    "SemanticTypeIri": "urn:effortless:pko-extension#FieldGrant",
    "Name": "principal-knowledge-authority -&gt; SemanticMappings.OntologyProfile",
    "FieldTable": "SemanticMappings",
    "FieldName": "OntologyProfile",
    "FieldIsDerived": false,
    "IsWritableDerivedField": false,
    "IsMasked": false,
    "GrantKeyWhenReadable": "principal-knowledge-authority|SemanticMappings"
   },
   {
    "FieldGrantId": "fg-knowledge-authority-SemanticMappings.Notes",
    "Principal": "principal-knowledge-authority",
    "TargetField": "SemanticMappings.Notes",
    "CanRead": true,
    "CanWrite": false,
    "MaskStrategy": "plain",
    "SemanticTypeIri": "urn:effortless:pko-extension#FieldGrant",
    "Name": "principal-knowledge-authority -&gt; SemanticMappings.Notes",
    "FieldTable": "SemanticMappings",
    "FieldName": "Notes",
    "FieldIsDerived": false,
    "IsWritableDerivedField": false,
    "IsMasked": false,
    "GrantKeyWhenReadable": "principal-knowledge-authority|SemanticMappings"
   },
   {
    "FieldGrantId": "fg-knowledge-authority-SendIntents.SendIntentId",
    "Principal": "principal-knowledge-authority",
    "TargetField": "SendIntents.SendIntentId",
    "CanRead": true,
    "CanWrite": false,
    "MaskStrategy": "plain",
    "SemanticTypeIri": "urn:effortless:pko-extension#FieldGrant",
    "Name": "principal-knowledge-authority -&gt; SendIntents.SendIntentId",
    "FieldTable": "SendIntents",
    "FieldName": "SendIntentId",
    "FieldIsDerived": false,
    "IsWritableDerivedField": false,
    "IsMasked": false,
    "GrantKeyWhenReadable": "principal-knowledge-authority|SendIntents"
   },
   {
    "FieldGrantId": "fg-knowledge-authority-SendIntents.Name",
    "Principal": "principal-knowledge-authority",
    "TargetField": "SendIntents.Name",
    "CanRead": true,
    "CanWrite": false,
    "MaskStrategy": "plain",
    "SemanticTypeIri": "urn:effortless:pko-extension#FieldGrant",
    "Name": "principal-knowledge-authority -&gt; SendIntents.Name",
    "FieldTable": "SendIntents",
    "FieldName": "Name",
    "FieldIsDerived": true,
    "IsWritableDerivedField": false,
    "IsMasked": false,
    "GrantKeyWhenReadable": "principal-knowledge-authority|SendIntents"
   },
   {
    "FieldGrantId": "fg-knowledge-authority-SendIntents.ProcedureExecution",
    "Principal": "principal-knowledge-authority",
    "TargetField": "SendIntents.ProcedureExecution",
    "CanRead": true,
    "CanWrite": false,
    "MaskStrategy": "plain",
    "SemanticTypeIri": "urn:effortless:pko-extension#FieldGrant",
    "Name": "principal-knowledge-authority -&gt; SendIntents.ProcedureExecution",
    "FieldTable": "SendIntents",
    "FieldName": "ProcedureExecution",
    "FieldIsDerived": false,
    "IsWritableDerivedField": false,
    "IsMasked": false,
    "GrantKeyWhenReadable": "principal-knowledge-authority|SendIntents"
   },
   {
    "FieldGrantId": "fg-knowledge-authority-SendIntents.StepExecution",
    "Principal": "principal-knowledge-authority",
    "TargetField": "SendIntents.StepExecution",
    "CanRead": true,
    "CanWrite": false,
    "MaskStrategy": "plain",
    "SemanticTypeIri": "urn:effortless:pko-extension#FieldGrant",
    "Name": "principal-knowledge-authority -&gt; SendIntents.StepExecution",
    "FieldTable": "SendIntents",
    "FieldName": "StepExecution",
    "FieldIsDerived": false,
    "IsWritableDerivedField": false,
    "IsMasked": false,
    "GrantKeyWhenReadable": "principal-knowledge-authority|SendIntents"
   },
   {
    "FieldGrantId": "fg-knowledge-authority-SendIntents.Recipient",
    "Principal": "principal-knowledge-authority",
    "TargetField": "SendIntents.Recipient",
    "CanRead": true,
    "CanWrite": false,
    "MaskStrategy": "plain",
    "SemanticTypeIri": "urn:effortless:pko-extension#FieldGrant",
    "Name": "principal-knowledge-authority -&gt; SendIntents.Recipient",
    "FieldTable": "SendIntents",
    "FieldName": "Recipient",
    "FieldIsDerived": false,
    "IsWritableDerivedField": false,
    "IsMasked": false,
    "GrantKeyWhenReadable": "principal-knowledge-authority|SendIntents"
   },
   {
    "FieldGrantId": "fg-knowledge-authority-SendIntents.MessageTemplate",
    "Principal": "principal-knowledge-authority",
    "TargetField": "SendIntents.MessageTemplate",
    "CanRead": true,
    "CanWrite": false,
    "MaskStrategy": "plain",
    "SemanticTypeIri": "urn:effortless:pko-extension#FieldGrant",
    "Name": "principal-knowledge-authority -&gt; SendIntents.MessageTemplate",
    "FieldTable": "SendIntents",
    "FieldName": "MessageTemplate",
    "FieldIsDerived": false,
    "IsWritableDerivedField": false,
    "IsMasked": false,
    "GrantKeyWhenReadable": "principal-knowledge-authority|SendIntents"
   },
   {
    "FieldGrantId": "fg-knowledge-authority-SendIntents.ProposedBody",
    "Principal": "principal-knowledge-authority",
    "TargetField": "SendIntents.ProposedBody",
    "CanRead": true,
    "CanWrite": false,
    "MaskStrategy": "plain",
    "SemanticTypeIri": "urn:effortless:pko-extension#FieldGrant",
    "Name": "principal-knowledge-authority -&gt; SendIntents.ProposedBody",
    "FieldTable": "SendIntents",
    "FieldName": "ProposedBody",
    "FieldIsDerived": false,
    "IsWritableDerivedField": false,
    "IsMasked": false,
    "GrantKeyWhenReadable": "principal-knowledge-authority|SendIntents"
   },
   {
    "FieldGrantId": "fg-knowledge-authority-SendIntents.ProposedSendAtLocalHour",
    "Principal": "principal-knowledge-authority",
    "TargetField": "SendIntents.ProposedSendAtLocalHour",
    "CanRead": true,
    "CanWrite": false,
    "MaskStrategy": "plain",
    "SemanticTypeIri": "urn:effortless:pko-extension#FieldGrant",
    "Name": "principal-knowledge-authority -&gt; SendIntents.ProposedSendAtLocalHour",
    "FieldTable": "SendIntents",
    "FieldName": "ProposedSendAtLocalHour",
    "FieldIsDerived": false,
    "IsWritableDerivedField": false,
    "IsMasked": false,
    "GrantKeyWhenReadable": "principal-knowledge-authority|SendIntents"
   },
   {
    "FieldGrantId": "fg-knowledge-authority-SendIntents.EvaluatedAt",
    "Principal": "principal-knowledge-authority",
    "TargetField": "SendIntents.EvaluatedAt",
    "CanRead": true,
    "CanWrite": false,
    "MaskStrategy": "plain",
    "SemanticTypeIri": "urn:effortless:pko-extension#FieldGrant",
    "Name": "principal-knowledge-authority -&gt; SendIntents.EvaluatedAt",
    "FieldTable": "SendIntents",
    "FieldName": "EvaluatedAt",
    "FieldIsDerived": false,
    "IsWritableDerivedField": false,
    "IsMasked": false,
    "GrantKeyWhenReadable": "principal-knowledge-authority|SendIntents"
   },
   {
    "FieldGrantId": "fg-knowledge-authority-SendIntents.ResultingDelivery",
    "Principal": "principal-knowledge-authority",
    "TargetField": "SendIntents.ResultingDelivery",
    "CanRead": true,
    "CanWrite": false,
    "MaskStrategy": "plain",
    "SemanticTypeIri": "urn:effortless:pko-extension#FieldGrant",
    "Name": "principal-knowledge-authority -&gt; SendIntents.ResultingDelivery",
    "FieldTable": "SendIntents",
    "FieldName": "ResultingDelivery",
    "FieldIsDerived": false,
    "IsWritableDerivedField": false,
    "IsMasked": false,
    "GrantKeyWhenReadable": "principal-knowledge-authority|SendIntents"
   },
   {
    "FieldGrantId": "fg-knowledge-authority-SendIntents.IntentPolicy",
    "Principal": "principal-knowledge-authority",
    "TargetField": "SendIntents.IntentPolicy",
    "CanRead": true,
    "CanWrite": false,
    "MaskStrategy": "plain",
    "SemanticTypeIri": "urn:effortless:pko-extension#FieldGrant",
    "Name": "principal-knowledge-authority -&gt; SendIntents.IntentPolicy",
    "FieldTable": "SendIntents",
    "FieldName": "IntentPolicy",
    "FieldIsDerived": true,
    "IsWritableDerivedField": false,
    "IsMasked": false,
    "GrantKeyWhenReadable": "principal-knowledge-authority|SendIntents"
   },
   {
    "FieldGrantId": "fg-knowledge-authority-SendIntents.IntentChannel",
    "Principal": "principal-knowledge-authority",
    "TargetField": "SendIntents.IntentChannel",
    "CanRead": true,
    "CanWrite": false,
    "MaskStrategy": "plain",
    "SemanticTypeIri": "urn:effortless:pko-extension#FieldGrant",
    "Name": "principal-knowledge-authority -&gt; SendIntents.IntentChannel",
    "FieldTable": "SendIntents",
    "FieldName": "IntentChannel",
    "FieldIsDerived": true,
    "IsWritableDerivedField": false,
    "IsMasked": false,
    "GrantKeyWhenReadable": "principal-knowledge-authority|SendIntents"
   },
   {
    "FieldGrantId": "fg-knowledge-authority-SendIntents.PolicyIsActive",
    "Principal": "principal-knowledge-authority",
    "TargetField": "SendIntents.PolicyIsActive",
    "CanRead": true,
    "CanWrite": false,
    "MaskStrategy": "plain",
    "SemanticTypeIri": "urn:effortless:pko-extension#FieldGrant",
    "Name": "principal-knowledge-authority -&gt; SendIntents.PolicyIsActive",
    "FieldTable": "SendIntents",
    "FieldName": "PolicyIsActive",
    "FieldIsDerived": true,
    "IsWritableDerivedField": false,
    "IsMasked": false,
    "GrantKeyWhenReadable": "principal-knowledge-authority|SendIntents"
   },
   {
    "FieldGrantId": "fg-knowledge-authority-SendIntents.IntentRequiresConsent",
    "Principal": "principal-knowledge-authority",
    "TargetField": "SendIntents.IntentRequiresConsent",
    "CanRead": true,
    "CanWrite": false,
    "MaskStrategy": "plain",
    "SemanticTypeIri": "urn:effortless:pko-extension#FieldGrant",
    "Name": "principal-knowledge-authority -&gt; SendIntents.IntentRequiresConsent",
    "FieldTable": "SendIntents",
    "FieldName": "IntentRequiresConsent",
    "FieldIsDerived": true,
    "IsWritableDerivedField": false,
    "IsMasked": false,
    "GrantKeyWhenReadable": "principal-knowledge-authority|SendIntents"
   },
   {
    "FieldGrantId": "fg-knowledge-authority-SendIntents.RecipientHasChannelConsent",
    "Principal": "principal-knowledge-authority",
    "TargetField": "SendIntents.RecipientHasChannelConsent",
    "CanRead": true,
    "CanWrite": false,
    "MaskStrategy": "plain",
    "SemanticTypeIri": "urn:effortless:pko-extension#FieldGrant",
    "Name": "principal-knowledge-authority -&gt; SendIntents.RecipientHasChannelConsent",
    "FieldTable": "SendIntents",
    "FieldName": "RecipientHasChannelConsent",
    "FieldIsDerived": true,
    "IsWritableDerivedField": false,
    "IsMasked": false,
    "GrantKeyWhenReadable": "principal-knowledge-authority|SendIntents"
   },
   {
    "FieldGrantId": "fg-knowledge-authority-SendIntents.ConsentGatePassed",
    "Principal": "principal-knowledge-authority",
    "TargetField": "SendIntents.ConsentGatePassed",
    "CanRead": true,
    "CanWrite": false,
    "MaskStrategy": "plain",
    "SemanticTypeIri": "urn:effortless:pko-extension#FieldGrant",
    "Name": "principal-knowledge-authority -&gt; SendIntents.ConsentGatePassed",
    "FieldTable": "SendIntents",
    "FieldName": "ConsentGatePassed",
    "FieldIsDerived": true,
    "IsWritableDerivedField": false,
    "IsMasked": false,
    "GrantKeyWhenReadable": "principal-knowledge-authority|SendIntents"
   },
   {
    "FieldGrantId": "fg-knowledge-authority-SendIntents.RecipientIsSmsReachable",
    "Principal": "principal-knowledge-authority",
    "TargetField": "SendIntents.RecipientIsSmsReachable",
    "CanRead": true,
    "CanWrite": false,
    "MaskStrategy": "plain",
    "SemanticTypeIri": "urn:effortless:pko-extension#FieldGrant",
    "Name": "principal-knowledge-authority -&gt; SendIntents.RecipientIsSmsReachable",
    "FieldTable": "SendIntents",
    "FieldName": "RecipientIsSmsReachable",
    "FieldIsDerived": true,
    "IsWritableDerivedField": false,
    "IsMasked": false,
    "GrantKeyWhenReadable": "principal-knowledge-authority|SendIntents"
   },
   {
    "FieldGrantId": "fg-knowledge-authority-SendIntents.RecipientIsEmailReachable",
    "Principal": "principal-knowledge-authority",
    "TargetField": "SendIntents.RecipientIsEmailReachable",
    "CanRead": true,
    "CanWrite": false,
    "MaskStrategy": "plain",
    "SemanticTypeIri": "urn:effortless:pko-extension#FieldGrant",
    "Name": "principal-knowledge-authority -&gt; SendIntents.RecipientIsEmailReachable",
    "FieldTable": "SendIntents",
    "FieldName": "RecipientIsEmailReachable",
    "FieldIsDerived": true,
    "IsWritableDerivedField": false,
    "IsMasked": false,
    "GrantKeyWhenReadable": "principal-knowledge-authority|SendIntents"
   },
   {
    "FieldGrantId": "fg-knowledge-authority-SendIntents.ReachabilityGatePassed",
    "Principal": "principal-knowledge-authority",
    "TargetField": "SendIntents.ReachabilityGatePassed",
    "CanRead": true,
    "CanWrite": false,
    "MaskStrategy": "plain",
    "SemanticTypeIri": "urn:effortless:pko-extension#FieldGrant",
    "Name": "principal-knowledge-authority -&gt; SendIntents.ReachabilityGatePassed",
    "FieldTable": "SendIntents",
    "FieldName": "ReachabilityGatePassed",
    "FieldIsDerived": true,
    "IsWritableDerivedField": false,
    "IsMasked": false,
    "GrantKeyWhenReadable": "principal-knowledge-authority|SendIntents"
   },
   {
    "FieldGrantId": "fg-knowledge-authority-SendIntents.PermissionGatePassed",
    "Principal": "principal-knowledge-authority",
    "TargetField": "SendIntents.PermissionGatePassed",
    "CanRead": true,
    "CanWrite": false,
    "MaskStrategy": "plain",
    "SemanticTypeIri": "urn:effortless:pko-extension#FieldGrant",
    "Name": "principal-knowledge-authority -&gt; SendIntents.PermissionGatePassed",
    "FieldTable": "SendIntents",
    "FieldName": "PermissionGatePassed",
    "FieldIsDerived": true,
    "IsWritableDerivedField": false,
    "IsMasked": false,
    "GrantKeyWhenReadable": "principal-knowledge-authority|SendIntents"
   },
   {
    "FieldGrantId": "fg-knowledge-authority-SendIntents.IntentQuietStartHour",
    "Principal": "principal-knowledge-authority",
    "TargetField": "SendIntents.IntentQuietStartHour",
    "CanRead": true,
    "CanWrite": false,
    "MaskStrategy": "plain",
    "SemanticTypeIri": "urn:effortless:pko-extension#FieldGrant",
    "Name": "principal-knowledge-authority -&gt; SendIntents.IntentQuietStartHour",
    "FieldTable": "SendIntents",
    "FieldName": "IntentQuietStartHour",
    "FieldIsDerived": true,
    "IsWritableDerivedField": false,
    "IsMasked": false,
    "GrantKeyWhenReadable": "principal-knowledge-authority|SendIntents"
   },
   {
    "FieldGrantId": "fg-knowledge-authority-SendIntents.IntentQuietEndHour",
    "Principal": "principal-knowledge-authority",
    "TargetField": "SendIntents.IntentQuietEndHour",
    "CanRead": true,
    "CanWrite": false,
    "MaskStrategy": "plain",
    "SemanticTypeIri": "urn:effortless:pko-extension#FieldGrant",
    "Name": "principal-knowledge-authority -&gt; SendIntents.IntentQuietEndHour",
    "FieldTable": "SendIntents",
    "FieldName": "IntentQuietEndHour",
    "FieldIsDerived": true,
    "IsWritableDerivedField": false,
    "IsMasked": false,
    "GrantKeyWhenReadable": "principal-knowledge-authority|SendIntents"
   },
   {
    "FieldGrantId": "fg-knowledge-authority-SendIntents.IntentPolicyHasQuietHours",
    "Principal": "principal-knowledge-authority",
    "TargetField": "SendIntents.IntentPolicyHasQuietHours",
    "CanRead": true,
    "CanWrite": false,
    "MaskStrategy": "plain",
    "SemanticTypeIri": "urn:effortless:pko-extension#FieldGrant",
    "Name": "principal-knowledge-authority -&gt; SendIntents.IntentPolicyHasQuietHours",
    "FieldTable": "SendIntents",
    "FieldName": "IntentPolicyHasQuietHours",
    "FieldIsDerived": true,
    "IsWritableDerivedField": false,
    "IsMasked": false,
    "GrantKeyWhenReadabl</t>
  </si>
  <si>
    <t xml:space="preserve">e": "principal-knowledge-authority|SendIntents"
   },
   {
    "FieldGrantId": "fg-knowledge-authority-SendIntents.IntentQuietWindowWraps",
    "Principal": "principal-knowledge-authority",
    "TargetField": "SendIntents.IntentQuietWindowWraps",
    "CanRead": true,
    "CanWrite": false,
    "MaskStrategy": "plain",
    "SemanticTypeIri": "urn:effortless:pko-extension#FieldGrant",
    "Name": "principal-knowledge-authority -&gt; SendIntents.IntentQuietWindowWraps",
    "FieldTable": "SendIntents",
    "FieldName": "IntentQuietWindowWraps",
    "FieldIsDerived": true,
    "IsWritableDerivedField": false,
    "IsMasked": false,
    "GrantKeyWhenReadable": "principal-knowledge-authority|SendIntents"
   },
   {
    "FieldGrantId": "fg-knowledge-authority-SendIntents.IntentIsInsideQuietWindow",
    "Principal": "principal-knowledge-authority",
    "TargetField": "SendIntents.IntentIsInsideQuietWindow",
    "CanRead": true,
    "CanWrite": false,
    "MaskStrategy": "plain",
    "SemanticTypeIri": "urn:effortless:pko-extension#FieldGrant",
    "Name": "principal-knowledge-authority -&gt; SendIntents.IntentIsInsideQuietWindow",
    "FieldTable": "SendIntents",
    "FieldName": "IntentIsInsideQuietWindow",
    "FieldIsDerived": true,
    "IsWritableDerivedField": false,
    "IsMasked": false,
    "GrantKeyWhenReadable": "principal-knowledge-authority|SendIntents"
   },
   {
    "FieldGrantId": "fg-knowledge-authority-SendIntents.TimingGatePassed",
    "Principal": "principal-knowledge-authority",
    "TargetField": "SendIntents.TimingGatePassed",
    "CanRead": true,
    "CanWrite": false,
    "MaskStrategy": "plain",
    "SemanticTypeIri": "urn:effortless:pko-extension#FieldGrant",
    "Name": "principal-knowledge-authority -&gt; SendIntents.TimingGatePassed",
    "FieldTable": "SendIntents",
    "FieldName": "TimingGatePassed",
    "FieldIsDerived": true,
    "IsWritableDerivedField": false,
    "IsMasked": false,
    "GrantKeyWhenReadable": "principal-knowledge-authority|SendIntents"
   },
   {
    "FieldGrantId": "fg-knowledge-authority-SendIntents.HoursUntilWindowOpens",
    "Principal": "principal-knowledge-authority",
    "TargetField": "SendIntents.HoursUntilWindowOpens",
    "CanRead": true,
    "CanWrite": false,
    "MaskStrategy": "plain",
    "SemanticTypeIri": "urn:effortless:pko-extension#FieldGrant",
    "Name": "principal-knowledge-authority -&gt; SendIntents.HoursUntilWindowOpens",
    "FieldTable": "SendIntents",
    "FieldName": "HoursUntilWindowOpens",
    "FieldIsDerived": true,
    "IsWritableDerivedField": false,
    "IsMasked": false,
    "GrantKeyWhenReadable": "principal-knowledge-authority|SendIntents"
   },
   {
    "FieldGrantId": "fg-knowledge-authority-SendIntents.IntentMaxMessageLength",
    "Principal": "principal-knowledge-authority",
    "TargetField": "SendIntents.IntentMaxMessageLength",
    "CanRead": true,
    "CanWrite": false,
    "MaskStrategy": "plain",
    "SemanticTypeIri": "urn:effortless:pko-extension#FieldGrant",
    "Name": "principal-knowledge-authority -&gt; SendIntents.IntentMaxMessageLength",
    "FieldTable": "SendIntents",
    "FieldName": "IntentMaxMessageLength",
    "FieldIsDerived": true,
    "IsWritableDerivedField": false,
    "IsMasked": false,
    "GrantKeyWhenReadable": "principal-knowledge-authority|SendIntents"
   },
   {
    "FieldGrantId": "fg-knowledge-authority-SendIntents.IntentMaxSegments",
    "Principal": "principal-knowledge-authority",
    "TargetField": "SendIntents.IntentMaxSegments",
    "CanRead": true,
    "CanWrite": false,
    "MaskStrategy": "plain",
    "SemanticTypeIri": "urn:effortless:pko-extension#FieldGrant",
    "Name": "principal-knowledge-authority -&gt; SendIntents.IntentMaxSegments",
    "FieldTable": "SendIntents",
    "FieldName": "IntentMaxSegments",
    "FieldIsDerived": true,
    "IsWritableDerivedField": false,
    "IsMasked": false,
    "GrantKeyWhenReadable": "principal-knowledge-authority|SendIntents"
   },
   {
    "FieldGrantId": "fg-knowledge-authority-SendIntents.ProposedBodyLength",
    "Principal": "principal-knowledge-authority",
    "TargetField": "SendIntents.ProposedBodyLength",
    "CanRead": true,
    "CanWrite": false,
    "MaskStrategy": "plain",
    "SemanticTypeIri": "urn:effortless:pko-extension#FieldGrant",
    "Name": "principal-knowledge-authority -&gt; SendIntents.ProposedBodyLength",
    "FieldTable": "SendIntents",
    "FieldName": "ProposedBodyLength",
    "FieldIsDerived": false,
    "IsWritableDerivedField": false,
    "IsMasked": false,
    "GrantKeyWhenReadable": "principal-knowledge-authority|SendIntents"
   },
   {
    "FieldGrantId": "fg-knowledge-authority-SendIntents.ProposedSegmentCount",
    "Principal": "principal-knowledge-authority",
    "TargetField": "SendIntents.ProposedSegmentCount",
    "CanRead": true,
    "CanWrite": false,
    "MaskStrategy": "plain",
    "SemanticTypeIri": "urn:effortless:pko-extension#FieldGrant",
    "Name": "principal-knowledge-authority -&gt; SendIntents.ProposedSegmentCount",
    "FieldTable": "SendIntents",
    "FieldName": "ProposedSegmentCount",
    "FieldIsDerived": false,
    "IsWritableDerivedField": false,
    "IsMasked": false,
    "GrantKeyWhenReadable": "principal-knowledge-authority|SendIntents"
   },
   {
    "FieldGrantId": "fg-knowledge-authority-SendIntents.LengthGatePassed",
    "Principal": "principal-knowledge-authority",
    "TargetField": "SendIntents.LengthGatePassed",
    "CanRead": true,
    "CanWrite": false,
    "MaskStrategy": "plain",
    "SemanticTypeIri": "urn:effortless:pko-extension#FieldGrant",
    "Name": "principal-knowledge-authority -&gt; SendIntents.LengthGatePassed",
    "FieldTable": "SendIntents",
    "FieldName": "LengthGatePassed",
    "FieldIsDerived": true,
    "IsWritableDerivedField": false,
    "IsMasked": false,
    "GrantKeyWhenReadable": "principal-knowledge-authority|SendIntents"
   },
   {
    "FieldGrantId": "fg-knowledge-authority-SendIntents.IntentRequiredOptOutPhrase",
    "Principal": "principal-knowledge-authority",
    "TargetField": "SendIntents.IntentRequiredOptOutPhrase",
    "CanRead": true,
    "CanWrite": false,
    "MaskStrategy": "plain",
    "SemanticTypeIri": "urn:effortless:pko-extension#FieldGrant",
    "Name": "principal-knowledge-authority -&gt; SendIntents.IntentRequiredOptOutPhrase",
    "FieldTable": "SendIntents",
    "FieldName": "IntentRequiredOptOutPhrase",
    "FieldIsDerived": true,
    "IsWritableDerivedField": false,
    "IsMasked": false,
    "GrantKeyWhenReadable": "principal-knowledge-authority|SendIntents"
   },
   {
    "FieldGrantId": "fg-knowledge-authority-SendIntents.ProposedOptOutPosition",
    "Principal": "principal-knowledge-authority",
    "TargetField": "SendIntents.ProposedOptOutPosition",
    "CanRead": true,
    "CanWrite": false,
    "MaskStrategy": "plain",
    "SemanticTypeIri": "urn:effortless:pko-extension#FieldGrant",
    "Name": "principal-knowledge-authority -&gt; SendIntents.ProposedOptOutPosition",
    "FieldTable": "SendIntents",
    "FieldName": "ProposedOptOutPosition",
    "FieldIsDerived": false,
    "IsWritableDerivedField": false,
    "IsMasked": false,
    "GrantKeyWhenReadable": "principal-knowledge-authority|SendIntents"
   },
   {
    "FieldGrantId": "fg-knowledge-authority-SendIntents.OptOutGatePassed",
    "Principal": "principal-knowledge-authority",
    "TargetField": "SendIntents.OptOutGatePassed",
    "CanRead": true,
    "CanWrite": false,
    "MaskStrategy": "plain",
    "SemanticTypeIri": "urn:effortless:pko-extension#FieldGrant",
    "Name": "principal-knowledge-authority -&gt; SendIntents.OptOutGatePassed",
    "FieldTable": "SendIntents",
    "FieldName": "OptOutGatePassed",
    "FieldIsDerived": true,
    "IsWritableDerivedField": false,
    "IsMasked": false,
    "GrantKeyWhenReadable": "principal-knowledge-authority|SendIntents"
   },
   {
    "FieldGrantId": "fg-knowledge-authority-SendIntents.ContentGatePassed",
    "Principal": "principal-knowledge-authority",
    "TargetField": "SendIntents.ContentGatePassed",
    "CanRead": true,
    "CanWrite": false,
    "MaskStrategy": "plain",
    "SemanticTypeIri": "urn:effortless:pko-extension#FieldGrant",
    "Name": "principal-knowledge-authority -&gt; SendIntents.ContentGatePassed",
    "FieldTable": "SendIntents",
    "FieldName": "ContentGatePassed",
    "FieldIsDerived": true,
    "IsWritableDerivedField": false,
    "IsMasked": false,
    "GrantKeyWhenReadable": "principal-knowledge-authority|SendIntents"
   },
   {
    "FieldGrantId": "fg-knowledge-authority-SendIntents.TemplateIsSendable",
    "Principal": "principal-knowledge-authority",
    "TargetField": "SendIntents.TemplateIsSendable",
    "CanRead": true,
    "CanWrite": false,
    "MaskStrategy": "plain",
    "SemanticTypeIri": "urn:effortless:pko-extension#FieldGrant",
    "Name": "principal-knowledge-authority -&gt; SendIntents.TemplateIsSendable",
    "FieldTable": "SendIntents",
    "FieldName": "TemplateIsSendable",
    "FieldIsDerived": true,
    "IsWritableDerivedField": false,
    "IsMasked": false,
    "GrantKeyWhenReadable": "principal-knowledge-authority|SendIntents"
   },
   {
    "FieldGrantId": "fg-knowledge-authority-SendIntents.ExecutionHasLegalClearance",
    "Principal": "principal-knowledge-authority",
    "TargetField": "SendIntents.ExecutionHasLegalClearance",
    "CanRead": true,
    "CanWrite": false,
    "MaskStrategy": "plain",
    "SemanticTypeIri": "urn:effortless:pko-extension#FieldGrant",
    "Name": "principal-knowledge-authority -&gt; SendIntents.ExecutionHasLegalClearance",
    "FieldTable": "SendIntents",
    "FieldName": "ExecutionHasLegalClearance",
    "FieldIsDerived": true,
    "IsWritableDerivedField": false,
    "IsMasked": false,
    "GrantKeyWhenReadable": "principal-knowledge-authority|SendIntents"
   },
   {
    "FieldGrantId": "fg-knowledge-authority-SendIntents.IntentApprovalRole",
    "Principal": "principal-knowledge-authority",
    "TargetField": "SendIntents.IntentApprovalRole",
    "CanRead": true,
    "CanWrite": false,
    "MaskStrategy": "plain",
    "SemanticTypeIri": "urn:effortless:pko-extension#FieldGrant",
    "Name": "principal-knowledge-authority -&gt; SendIntents.IntentApprovalRole",
    "FieldTable": "SendIntents",
    "FieldName": "IntentApprovalRole",
    "FieldIsDerived": true,
    "IsWritableDerivedField": false,
    "IsMasked": false,
    "GrantKeyWhenReadable": "principal-knowledge-authority|SendIntents"
   },
   {
    "FieldGrantId": "fg-knowledge-authority-SendIntents.ApprovalRoleAgentKind",
    "Principal": "principal-knowledge-authority",
    "TargetField": "SendIntents.ApprovalRoleAgentKind",
    "CanRead": true,
    "CanWrite": false,
    "MaskStrategy": "plain",
    "SemanticTypeIri": "urn:effortless:pko-extension#FieldGrant",
    "Name": "principal-knowledge-authority -&gt; SendIntents.ApprovalRoleAgentKind",
    "FieldTable": "SendIntents",
    "FieldName": "ApprovalRoleAgentKind",
    "FieldIsDerived": true,
    "IsWritableDerivedField": false,
    "IsMasked": false,
    "GrantKeyWhenReadable": "principal-knowledge-authority|SendIntents"
   },
   {
    "FieldGrantId": "fg-knowledge-authority-SendIntents.ApprovalIsHuman",
    "Principal": "principal-knowledge-authority",
    "TargetField": "SendIntents.ApprovalIsHuman",
    "CanRead": true,
    "CanWrite": false,
    "MaskStrategy": "plain",
    "SemanticTypeIri": "urn:effortless:pko-extension#FieldGrant",
    "Name": "principal-knowledge-authority -&gt; SendIntents.ApprovalIsHuman",
    "FieldTable": "SendIntents",
    "FieldName": "ApprovalIsHuman",
    "FieldIsDerived": true,
    "IsWritableDerivedField": false,
    "IsMasked": false,
    "GrantKeyWhenReadable": "principal-knowledge-authority|SendIntents"
   },
   {
    "FieldGrantId": "fg-knowledge-authority-SendIntents.AuthorizationGatePassed",
    "Principal": "principal-knowledge-authority",
    "TargetField": "SendIntents.AuthorizationGatePassed",
    "CanRead": true,
    "CanWrite": false,
    "MaskStrategy": "plain",
    "SemanticTypeIri": "urn:effortless:pko-extension#FieldGrant",
    "Name": "principal-knowledge-authority -&gt; SendIntents.AuthorizationGatePassed",
    "FieldTable": "SendIntents",
    "FieldName": "AuthorizationGatePassed",
    "FieldIsDerived": true,
    "IsWritableDerivedField": false,
    "IsMasked": false,
    "GrantKeyWhenReadable": "principal-knowledge-authority|SendIntents"
   },
   {
    "FieldGrantId": "fg-knowledge-authority-SendIntents.IsClearedToSend",
    "Principal": "principal-knowledge-authority",
    "TargetField": "SendIntents.IsClearedToSend",
    "CanRead": true,
    "CanWrite": false,
    "MaskStrategy": "plain",
    "SemanticTypeIri": "urn:effortless:pko-extension#FieldGrant",
    "Name": "principal-knowledge-authority -&gt; SendIntents.IsClearedToSend",
    "FieldTable": "SendIntents",
    "FieldName": "IsClearedToSend",
    "FieldIsDerived": true,
    "IsWritableDerivedField": false,
    "IsMasked": false,
    "GrantKeyWhenReadable": "principal-knowledge-authority|SendIntents"
   },
   {
    "FieldGrantId": "fg-knowledge-authority-SendIntents.BlockingGateName",
    "Principal": "principal-knowledge-authority",
    "TargetField": "SendIntents.BlockingGateName",
    "CanRead": true,
    "CanWrite": false,
    "MaskStrategy": "plain",
    "SemanticTypeIri": "urn:effortless:pko-extension#FieldGrant",
    "Name": "principal-knowledge-authority -&gt; SendIntents.BlockingGateName",
    "FieldTable": "SendIntents",
    "FieldName": "BlockingGateName",
    "FieldIsDerived": true,
    "IsWritableDerivedField": false,
    "IsMasked": false,
    "GrantKeyWhenReadable": "principal-knowledge-authority|SendIntents"
   },
   {
    "FieldGrantId": "fg-knowledge-authority-SendIntents.HasResultingDelivery",
    "Principal": "principal-knowledge-authority",
    "TargetField": "SendIntents.HasResultingDelivery",
    "CanRead": true,
    "CanWrite": false,
    "MaskStrategy": "plain",
    "SemanticTypeIri": "urn:effortless:pko-extension#FieldGrant",
    "Name": "principal-knowledge-authority -&gt; SendIntents.HasResultingDelivery",
    "FieldTable": "SendIntents",
    "FieldName": "HasResultingDelivery",
    "FieldIsDerived": true,
    "IsWritableDerivedField": false,
    "IsMasked": false,
    "GrantKeyWhenReadable": "principal-knowledge-authority|SendIntents"
   },
   {
    "FieldGrantId": "fg-knowledge-authority-SendIntents.ResultingDeliveryWasTransmitted",
    "Principal": "principal-knowledge-authority",
    "TargetField": "SendIntents.ResultingDeliveryWasTransmitted",
    "CanRead": true,
    "CanWrite": false,
    "MaskStrategy": "plain",
    "SemanticTypeIri": "urn:effortless:pko-extension#FieldGrant",
    "Name": "principal-knowledge-authority -&gt; SendIntents.ResultingDeliveryWasTransmitted",
    "FieldTable": "SendIntents",
    "FieldName": "ResultingDeliveryWasTransmitted",
    "FieldIsDerived": true,
    "IsWritableDerivedField": false,
    "IsMasked": false,
    "GrantKeyWhenReadable": "principal-knowledge-authority|SendIntents"
   },
   {
    "FieldGrantId": "fg-knowledge-authority-SendIntents.IsOverriddenRefusal",
    "Principal": "principal-knowledge-authority",
    "TargetField": "SendIntents.IsOverriddenRefusal",
    "CanRead": true,
    "CanWrite": false,
    "MaskStrategy": "plain",
    "SemanticTypeIri": "urn:effortless:pko-extension#FieldGrant",
    "Name": "principal-knowledge-authority -&gt; SendIntents.IsOverriddenRefusal",
    "FieldTable": "SendIntents",
    "FieldName": "IsOverriddenRefusal",
    "FieldIsDerived": true,
    "IsWritableDerivedField": false,
    "IsMasked": false,
    "GrantKeyWhenReadable": "principal-knowledge-authority|SendIntents"
   },
   {
    "FieldGrantId": "fg-knowledge-authority-SendIntents.IsSilentlyDropped",
    "Principal": "principal-knowledge-authority",
    "TargetField": "SendIntents.IsSilentlyDropped",
    "CanRead": true,
    "CanWrite": false,
    "MaskStrategy": "plain",
    "SemanticTypeIri": "urn:effortless:pko-extension#FieldGrant",
    "Name": "principal-knowledge-authority -&gt; SendIntents.IsSilentlyDropped",
    "FieldTable": "SendIntents",
    "FieldName": "IsSilentlyDropped",
    "FieldIsDerived": true,
    "IsWritableDerivedField": false,
    "IsMasked": false,
    "GrantKeyWhenReadable": "principal-knowledge-authority|SendIntents"
   },
   {
    "FieldGrantId": "fg-knowledge-authority-SendIntents.ResultingDeliveryException",
    "Principal": "principal-knowledge-authority",
    "TargetField": "SendIntents.ResultingDeliveryException",
    "CanRead": true,
    "CanWrite": false,
    "MaskStrategy": "plain",
    "SemanticTypeIri": "urn:effortless:pko-extension#FieldGrant",
    "Name": "principal-knowledge-authority -&gt; SendIntents.ResultingDeliveryException",
    "FieldTable": "SendIntents",
    "FieldName": "ResultingDeliveryException",
    "FieldIsDerived": true,
    "IsWritableDerivedField": false,
    "IsMasked": false,
    "GrantKeyWhenReadable": "principal-knowledge-authority|SendIntents"
   },
   {
    "FieldGrantId": "fg-knowledge-authority-SendIntents.RefusalCitedAnException",
    "Principal": "principal-knowledge-authority",
    "TargetField": "SendIntents.RefusalCitedAnException",
    "CanRead": true,
    "CanWrite": false,
    "MaskStrategy": "plain",
    "SemanticTypeIri": "urn:effortless:pko-extension#FieldGrant",
    "Name": "principal-knowledge-authority -&gt; SendIntents.RefusalCitedAnException",
    "FieldTable": "SendIntents",
    "FieldName": "RefusalCitedAnException",
    "FieldIsDerived": true,
    "IsWritableDerivedField": false,
    "IsMasked": false,
    "GrantKeyWhenReadable": "principal-knowledge-authority|SendIntents"
   },
   {
    "FieldGrantId": "fg-knowledge-authority-SendIntents.IsProperlyHandledRefusal",
    "Principal": "principal-knowledge-authority",
    "TargetField": "SendIntents.IsProperlyHandledRefusal",
    "CanRead": true,
    "CanWrite": false,
    "MaskStrategy": "plain",
    "SemanticTypeIri": "urn:effortless:pko-extension#FieldGrant",
    "Name": "principal-knowledge-authority -&gt; SendIntents.IsProperlyHandledRefusal",
    "FieldTable": "SendIntents",
    "FieldName": "IsProperlyHandledRefusal",
    "FieldIsDerived": true,
    "IsWritableDerivedField": false,
    "IsMasked": false,
    "GrantKeyWhenReadable": "principal-knowledge-authority|SendIntents"
   },
   {
    "FieldGrantId": "fg-knowledge-authority-SendIntents.RefusalFailureExecutionKey",
    "Principal": "principal-knowledge-authority",
    "TargetField": "SendIntents.RefusalFailureExecutionKey",
    "CanRead": true,
    "CanWrite": false,
    "MaskStrategy": "plain",
    "SemanticTypeIri": "urn:effortless:pko-extension#FieldGrant",
    "Name": "principal-knowledge-authority -&gt; SendIntents.RefusalFailureExecutionKey",
    "FieldTable": "SendIntents",
    "FieldName": "RefusalFailureExecutionKey",
    "FieldIsDerived": true,
    "IsWritableDerivedField": false,
    "IsMasked": false,
    "GrantKeyWhenReadable": "principal-knowledge-authority|SendIntents"
   },
   {
    "FieldGrantId": "fg-knowledge-authority-SendIntents.IntentExecutionKey",
    "Principal": "principal-knowledge-authority",
    "TargetField": "SendIntents.IntentExecutionKey",
    "CanRead": true,
    "CanWrite": false,
    "MaskStrategy": "plain",
    "SemanticTypeIri": "urn:effortless:pko-extension#FieldGrant",
    "Name": "principal-knowledge-authority -&gt; SendIntents.IntentExecutionKey",
    "FieldTable": "SendIntents",
    "FieldName": "IntentExecutionKey",
    "FieldIsDerived": true,
    "IsWritableDerivedField": false,
    "IsMasked": false,
    "GrantKeyWhenReadable": "principal-knowledge-authority|SendIntents"
   },
   {
    "FieldGrantId": "fg-knowledge-authority-SendIntents.DeliveredIntentExecutionKey",
    "Principal": "principal-knowledge-authority",
    "TargetField": "SendIntents.DeliveredIntentExecutionKey",
    "CanRead": true,
    "CanWrite": false,
    "MaskStrategy": "plain",
    "SemanticTypeIri": "urn:effortless:pko-extension#FieldGrant",
    "Name": "principal-knowledge-authority -&gt; SendIntents.DeliveredIntentExecutionKey",
    "FieldTable": "SendIntents",
    "FieldName": "DeliveredIntentExecutionKey",
    "FieldIsDerived": true,
    "IsWritableDerivedField": false,
    "IsMasked": false,
    "GrantKeyWhenReadable": "principal-knowledge-authority|SendIntents"
   },
   {
    "FieldGrantId": "fg-knowledge-authority-SendIntents.DroppedIntentExecutionKey",
    "Principal": "principal-knowledge-authority",
    "TargetField": "SendIntents.DroppedIntentExecutionKey",
    "CanRead": true,
    "CanWrite": false,
    "MaskStrategy": "plain",
    "SemanticTypeIri": "urn:effortless:pko-extension#FieldGrant",
    "Name": "principal-knowledge-authority -&gt; SendIntents.DroppedIntentExecutionKey",
    "FieldTable": "SendIntents",
    "FieldName": "DroppedIntentExecutionKey",
    "FieldIsDerived": true,
    "IsWritableDerivedField": false,
    "IsMasked": false,
    "GrantKeyWhenReadable": "principal-knowledge-authority|SendIntents"
   },
   {
    "FieldGrantId": "fg-knowledge-authority-SendIntents.MyApprovalWasInForce",
    "Principal": "principal-knowledge-authority",
    "TargetField": "SendIntents.MyApprovalWasInForce",
    "CanRead": true,
    "CanWrite": false,
    "MaskStrategy": "plain",
    "SemanticTypeIri": "urn:effortless:pko-extension#FieldGrant",
    "Name": "principal-knowledge-authority -&gt; SendIntents.MyApprovalWasInForce",
    "FieldTable": "SendIntents",
    "FieldName": "MyApprovalWasInForce",
    "FieldIsDerived": true,
    "IsWritableDerivedField": false,
    "IsMasked": false,
    "GrantKeyWhenReadable": "principal-knowledge-authority|SendIntents"
   },
   {
    "FieldGrantId": "fg-knowledge-authority-SendIntents.RefusedOnApprovedContent",
    "Principal": "principal-knowledge-authority",
    "TargetField": "SendIntents.RefusedOnApprovedContent",
    "CanRead": true,
    "CanWrite": false,
    "MaskStrategy": "plain",
    "SemanticTypeIri": "urn:effortless:pko-extension#FieldGrant",
    "Name": "principal-knowledge-authority -&gt; SendIntents.RefusedOnApprovedContent",
    "FieldTable": "SendIntents",
    "FieldName": "RefusedOnApprovedContent",
    "FieldIsDerived": true,
    "IsWritableDerivedField": false,
    "IsMasked": false,
    "GrantKeyWhenReadable": "principal-knowledge-authority|SendIntents"
   },
   {
    "FieldGrantId": "fg-knowledge-authority-SendIntents.RefusedOnOptOutOnly",
    "Principal": "principal-knowledge-authority",
    "TargetField": "SendIntents.RefusedOnOptOutOnly",
    "CanRead": true,
    "CanWrite": false,
    "MaskStrategy": "plain",
    "SemanticTypeIri": "urn:effortless:pko-extension#FieldGrant",
    "Name": "principal-knowledge-authority -&gt; SendIntents.RefusedOnOptOutOnly",
    "FieldTable": "SendIntents",
    "FieldName": "RefusedOnOptOutOnly",
    "FieldIsDerived": true,
    "IsWritableDerivedField": false,
    "IsMasked": false,
    "GrantKeyWhenReadable": "principal-knowledge-authority|SendIntents"
   },
   {
    "FieldGrantId": "fg-knowledge-authority-SendIntents.RefusalWasOnMyRules",
    "Principal": "principal-knowledge-authority",
    "TargetField": "SendIntents.RefusalWasOnMyRules",
    "CanRead": true,
    "CanWrite": false,
    "MaskStrategy": "plain",
    "SemanticTypeIri": "urn:effortless:pko-extension#FieldGrant",
    "Name": "principal-knowledge-authority -&gt; SendIntents.RefusalWasOnMyRules",
    "FieldTable": "SendIntents",
    "FieldName": "RefusalWasOnMyRules",
    "FieldIsDerived": true,
    "IsWritableDerivedField": false,
    "IsMasked": false,
    "GrantKeyWhenReadable": "principal-knowledge-authority|SendIntents"
   },
   {
    "FieldGrantId": "fg-knowledge-authority-SendIntents.RefusalWasOutsideMyControl",
    "Principal": "principal-knowledge-authority",
    "TargetField": "SendIntents.RefusalWasOutsideMyControl",
    "CanRead": true,
    "CanWrite": false,
    "MaskStrategy": "plain",
    "SemanticTypeIri": "urn:effortless:pko-extension#FieldGrant",
    "Name": "principal-knowledge-authority -&gt; SendIntents.RefusalWasOutsideMyControl",
    "FieldTable": "SendIntents",
    "FieldName": "RefusalWasOutsideMyControl",
    "FieldIsDerived": true,
    "IsWritableDerivedField": false,
    "IsMasked": false,
    "GrantKeyWhenReadable": "principal-knowledge-authority|SendIntents"
   },
   {
    "FieldGrantId": "fg-knowledge-authority-SendIntents.ApproverWasNotified",
    "Principal": "principal-knowledge-authority",
    "TargetField": "SendIntents.ApproverWasNotified",
    "CanRead": true,
    "CanWrite": false,
    "MaskStrategy": "plain",
    "SemanticTypeIri": "urn:effortless:pko-extension#FieldGrant",
    "Name": "principal-knowledge-authority -&gt; SendIntents.ApproverWasNotified",
    "FieldTable": "SendIntents",
    "FieldName": "ApproverWasNotified",
    "FieldIsDerived": false,
    "IsWritableDerivedField": false,
    "IsMasked": false,
    "GrantKeyWhenReadable": "principal-knowledge-authority|SendIntents"
   },
   {
    "FieldGrantId": "fg-knowledge-authority-SendIntents.IsUnreportedRefusalOnMyRules",
    "Principal": "principal-knowledge-authority",
    "TargetField": "SendIntents.IsUnreportedRefusalOnMyRules",
    "CanRead": true,
    "CanWrite": false,
    "MaskStrategy": "plain",
    "SemanticTypeIri": "urn:effortless:pko-extension#FieldGrant",
    "Name": "principal-knowledge-authority -&gt; SendIntents.IsUnreportedRefusalOnMyRules",
    "FieldTable": "SendIntents",
    "FieldName": "IsUnreportedRefusalOnMyRules",
    "FieldIsDerived": true,
    "IsWritableDerivedField": false,
    "IsMasked": false,
    "GrantKeyWhenReadable": "principal-knowledge-authority|SendIntents"
   },
   {
    "FieldGrantId": "fg-knowledge-authority-SendIntents.IsApprovalOverriddenSilently",
    "Principal": "principal-knowledge-authority",
    "TargetField": "SendIntents.IsApprovalOverriddenSilently",
    "CanRead": true,
    "CanWrite": false,
    "MaskStrategy": "plain",
    "SemanticTypeIri": "urn:effortless:pko-extension#FieldGrant",
    "Name": "principal-knowledge-authority -&gt; SendIntents.IsApprovalOverriddenSilently",
    "FieldTable": "SendIntents",
    "FieldName": "IsApprovalOverriddenSilently",
    "FieldIsDerived": true,
    "IsWritableDerivedField": false,
    "IsMasked": false,
    "GrantKeyWhenReadable": "principal-knowledge-authority|SendIntents"
   },
   {
    "FieldGrantId": "fg-knowledge-authority-SendIntents.AlternateChannelIntent",
    "Principal": "principal-knowledge-authority",
    "TargetField": "SendIntents.AlternateChannelIntent",
    "CanRead": true,
    "CanWrite": false,
    "MaskStrategy": "plain",
    "SemanticTypeIri": "urn:effortless:pko-extension#FieldGrant",
    "Name": "principal-knowledge-authority -&gt; SendIntents.AlternateChannelIntent",
    "FieldTable": "SendIntents",
    "FieldName": "AlternateChannelIntent",
    "FieldIsDerived": false,
    "IsWritableDerivedField": false,
    "IsMasked": false,
    "GrantKeyWhenReadable": "principal-knowledge-authority|SendIntents"
   },
   {
    "FieldGrantId": "fg-knowledge-authority-SendIntents.HasAlternateChannelAttempt",
    "Principal": "principal-knowledge-authority",
    "TargetField": "SendIntents.HasAlternateChannelAttempt",
    "CanRead": true,
    "CanWrite": false,
    "MaskStrategy": "plain",
    "SemanticTypeIri": "urn:effortless:pko-extension#FieldGrant",
    "Name": "principal-knowledge-authority -&gt; SendIntents.HasAlternateChannelAttempt",
    "FieldTable": "SendIntents",
    "FieldName": "HasAlternateChannelAttempt",
    "FieldIsDerived": true,
    "IsWritableDerivedField": false,
    "IsMasked": false,
    "GrantKeyWhenReadable": "principal-knowledge-authority|SendIntents"
   },
   {
    "FieldGrantId": "fg-knowledge-authority-SendIntents.AlternateAttemptWasCleared",
    "Principal": "principal-knowledge-authority",
    "TargetField": "SendIntents.AlternateAttemptWasCleared",
    "CanRead": true,
    "CanWrite": false,
    "MaskStrategy": "plain",
    "SemanticTypeIri": "urn:effortless:pko-extension#FieldGrant",
    "Name": "principal-knowledge-authority -&gt; SendIntents.AlternateAttemptWasCleared",
    "FieldTable": "SendIntents",
    "FieldName": "AlternateAttemptWasCleared",
    "FieldIsDerived": true,
    "IsWritableDerivedField": false,
    "IsMasked": false,
    "GrantKeyWhenReadable": "principal-knowledge-authority|SendIntents"
   },
   {
    "FieldGrantId": "fg-knowledge-authority-SendIntents.IsRefusedWithNoAlternative",
    "Principal": "principal-knowledge-authority",
    "TargetField": "SendIntents.IsRefusedWithNoAlternative",
    "CanRead": true,
    "CanWrite": false,
    "MaskStrategy": "plain",
    "SemanticTypeIri": "urn:effortless:pko-extension#FieldGrant",
    "Name": "principal-knowledge-authority -&gt; SendIntents.IsRefusedWithNoAlternative",
    "FieldTable": "SendIntents",
    "FieldName": "IsRefusedWithNoAlternative",
    "FieldIsDerived": true,
    "IsWritableDerivedField": false,
    "IsMasked": false,
    "GrantKeyWhenReadable": "principal-knowledge-authority|SendIntents"
   },
   {
    "FieldGrantId": "fg-knowledge-authority-SendIntents.ExceptionPrescribedAnAlternative",
    "Principal": "principal-knowledge-authority",
    "TargetField": "SendIntents.ExceptionPrescribedAnAlternative",
    "CanRead": true,
    "CanWrite": false,
    "MaskStrategy": "plain",
    "SemanticTypeIri": "urn:effortless:pko-extension#FieldGrant",
    "Name": "principal-knowledge-authority -&gt; SendIntents.ExceptionPrescribedAnAlternative",
    "FieldTable": "SendIntents",
    "FieldName": "ExceptionPrescribedAnAlternative",
    "FieldIsDerived": true,
    "IsWritableDerivedField": false,
    "IsMasked": false,
    "GrantKeyWhenReadable": "principal-knowledge-authority|SendIntents"
   },
   {
    "FieldGrantId": "fg-knowledge-authority-SendIntents.PrescribedHandlingWasPerformed",
    "Principal": "principal-knowledge-authority",
    "TargetField": "SendIntents.PrescribedHandlingWasPerformed",
    "CanRead": true,
    "CanWrite": false,
    "MaskStrategy": "plain",
    "SemanticTypeIri": "urn:effortless:pko-extension#FieldGrant",
    "Name": "principal-knowledge-authority -&gt; SendIntents.PrescribedHandlingWasPerformed",
    "FieldTable": "SendIntents",
    "FieldName": "PrescribedHandlingWasPerformed",
    "FieldIsDerived": true,
    "IsWritableDerivedField": false,
    "IsMasked": false,
    "GrantKeyWhenReadable": "principal-knowledge-authority|SendIntents"
   },
   {
    "FieldGrantId": "fg-knowledge-authority-SendIntents.IsSuppressionWithoutRemedy",
    "Principal": "principal-knowledge-authority",
    "TargetField": "SendIntents.IsSuppressionWithoutRemedy",
    "CanRead": true,
    "CanWrite": false,
    "MaskStrategy": "plain",
    "SemanticTypeIri": "urn:effortless:pko-extension#FieldGrant",
    "Name": "principal-knowledge-authority -&gt; SendIntents.IsSuppressionWithoutRemedy",
    "FieldTable": "SendIntents",
    "FieldName": "IsSuppressionWithoutRemedy",
    "FieldIsDerived": true,
    "IsWritableDerivedField": false,
    "IsMasked": false,
    "GrantKeyWhenReadable": "principal-knowledge-authority|SendIntents"
   },
   {
    "FieldGrantId": "fg-knowledge-authority-SendIntents.RefusalRecordedAt",
    "Principal": "principal-knowledge-authority",
    "TargetField": "SendIntents.RefusalRecordedAt",
    "CanRead": true,
    "CanWrite": false,
    "MaskStrategy": "plain",
    "SemanticTypeIri": "urn:effortless:pko-extension#FieldGrant",
    "Name": "principal-knowledge-authority -&gt; SendIntents.RefusalRecordedAt",
    "FieldTable": "SendIntents",
    "FieldName": "RefusalRecordedAt",
    "FieldIsDerived": false,
    "IsWritableDerivedField": false,
    "IsMasked": false,
    "GrantKeyWhenReadable": "principal-knowledge-authority|SendIntents"
   },
   {
    "FieldGrantId": "fg-knowledge-authority-SendIntents.RefusalNotifiedRole",
    "Principal": "principal-knowledge-authority",
    "TargetField": "SendIntents.RefusalNotifiedRole",
    "CanRead": true,
    "CanWrite": false,
    "MaskStrategy": "plain",
    "SemanticTypeIri": "urn:effortless:pko-extension#FieldGrant",
    "Name": "principal-knowledge-authority -&gt; SendIntents.RefusalNotifiedRole",
    "FieldTable": "SendIntents",
    "FieldName": "RefusalNotifiedRole",
    "FieldIsDerived": false,
    "IsWritableDerivedField": false,
    "IsMasked": false,
    "GrantKeyWhenReadable": "principal-knowledge-authority|SendIntents"
   },
   {
    "FieldGrantId": "fg-knowledge-authority-SendIntents.HasDurableRefusalRecord",
    "Principal": "principal-knowledge-authority",
    "TargetField": "SendIntents.HasDurableRefusalRecord",
    "CanRead": true,
    "CanWrite": false,
    "MaskStrategy": "plain",
    "SemanticTypeIri": "urn:effortless:pko-extension#FieldGrant",
    "Name": "principal-knowledge-authority -&gt; SendIntents.HasDurableRefusalRecord",
    "FieldTable": "SendIntents",
    "FieldName": "HasDurableRefusalRecord",
    "FieldIsDerived": true,
    "IsWri</t>
  </si>
  <si>
    <t xml:space="preserve">tableDerivedField": false,
    "IsMasked": false,
    "GrantKeyWhenReadable": "principal-knowledge-authority|SendIntents"
   },
   {
    "FieldGrantId": "fg-knowledge-authority-SendIntents.RefusalWasEscalated",
    "Principal": "principal-knowledge-authority",
    "TargetField": "SendIntents.RefusalWasEscalated",
    "CanRead": true,
    "CanWrite": false,
    "MaskStrategy": "plain",
    "SemanticTypeIri": "urn:effortless:pko-extension#FieldGrant",
    "Name": "principal-knowledge-authority -&gt; SendIntents.RefusalWasEscalated",
    "FieldTable": "SendIntents",
    "FieldName": "RefusalWasEscalated",
    "FieldIsDerived": true,
    "IsWritableDerivedField": false,
    "IsMasked": false,
    "GrantKeyWhenReadable": "principal-knowledge-authority|SendIntents"
   },
   {
    "FieldGrantId": "fg-knowledge-authority-SendIntents.IsUnrecordedRefusal",
    "Principal": "principal-knowledge-authority",
    "TargetField": "SendIntents.IsUnrecordedRefusal",
    "CanRead": true,
    "CanWrite": false,
    "MaskStrategy": "plain",
    "SemanticTypeIri": "urn:effortless:pko-extension#FieldGrant",
    "Name": "principal-knowledge-authority -&gt; SendIntents.IsUnrecordedRefusal",
    "FieldTable": "SendIntents",
    "FieldName": "IsUnrecordedRefusal",
    "FieldIsDerived": true,
    "IsWritableDerivedField": false,
    "IsMasked": false,
    "GrantKeyWhenReadable": "principal-knowledge-authority|SendIntents"
   },
   {
    "FieldGrantId": "fg-knowledge-authority-SendIntents.IsUnescalatedRefusal",
    "Principal": "principal-knowledge-authority",
    "TargetField": "SendIntents.IsUnescalatedRefusal",
    "CanRead": true,
    "CanWrite": false,
    "MaskStrategy": "plain",
    "SemanticTypeIri": "urn:effortless:pko-extension#FieldGrant",
    "Name": "principal-knowledge-authority -&gt; SendIntents.IsUnescalatedRefusal",
    "FieldTable": "SendIntents",
    "FieldName": "IsUnescalatedRefusal",
    "FieldIsDerived": true,
    "IsWritableDerivedField": false,
    "IsMasked": false,
    "GrantKeyWhenReadable": "principal-knowledge-authority|SendIntents"
   },
   {
    "FieldGrantId": "fg-knowledge-authority-SendIntents.UnescalatedRefusalRoleKey",
    "Principal": "principal-knowledge-authority",
    "TargetField": "SendIntents.UnescalatedRefusalRoleKey",
    "CanRead": true,
    "CanWrite": false,
    "MaskStrategy": "plain",
    "SemanticTypeIri": "urn:effortless:pko-extension#FieldGrant",
    "Name": "principal-knowledge-authority -&gt; SendIntents.UnescalatedRefusalRoleKey",
    "FieldTable": "SendIntents",
    "FieldName": "UnescalatedRefusalRoleKey",
    "FieldIsDerived": true,
    "IsWritableDerivedField": false,
    "IsMasked": false,
    "GrantKeyWhenReadable": "principal-knowledge-authority|SendIntents"
   },
   {
    "FieldGrantId": "fg-knowledge-authority-SendIntents.UnrecordedRefusalExecutionKey",
    "Principal": "principal-knowledge-authority",
    "TargetField": "SendIntents.UnrecordedRefusalExecutionKey",
    "CanRead": true,
    "CanWrite": false,
    "MaskStrategy": "plain",
    "SemanticTypeIri": "urn:effortless:pko-extension#FieldGrant",
    "Name": "principal-knowledge-authority -&gt; SendIntents.UnrecordedRefusalExecutionKey",
    "FieldTable": "SendIntents",
    "FieldName": "UnrecordedRefusalExecutionKey",
    "FieldIsDerived": true,
    "IsWritableDerivedField": false,
    "IsMasked": false,
    "GrantKeyWhenReadable": "principal-knowledge-authority|SendIntents"
   },
   {
    "FieldGrantId": "fg-knowledge-authority-SendIntents.RetryIntent",
    "Principal": "principal-knowledge-authority",
    "TargetField": "SendIntents.RetryIntent",
    "CanRead": true,
    "CanWrite": false,
    "MaskStrategy": "plain",
    "SemanticTypeIri": "urn:effortless:pko-extension#FieldGrant",
    "Name": "principal-knowledge-authority -&gt; SendIntents.RetryIntent",
    "FieldTable": "SendIntents",
    "FieldName": "RetryIntent",
    "FieldIsDerived": false,
    "IsWritableDerivedField": false,
    "IsMasked": false,
    "GrantKeyWhenReadable": "principal-knowledge-authority|SendIntents"
   },
   {
    "FieldGrantId": "fg-knowledge-authority-SendIntents.WasDeferredOnTiming",
    "Principal": "principal-knowledge-authority",
    "TargetField": "SendIntents.WasDeferredOnTiming",
    "CanRead": true,
    "CanWrite": false,
    "MaskStrategy": "plain",
    "SemanticTypeIri": "urn:effortless:pko-extension#FieldGrant",
    "Name": "principal-knowledge-authority -&gt; SendIntents.WasDeferredOnTiming",
    "FieldTable": "SendIntents",
    "FieldName": "WasDeferredOnTiming",
    "FieldIsDerived": true,
    "IsWritableDerivedField": false,
    "IsMasked": false,
    "GrantKeyWhenReadable": "principal-knowledge-authority|SendIntents"
   },
   {
    "FieldGrantId": "fg-knowledge-authority-SendIntents.EvaluationContext",
    "Principal": "principal-knowledge-authority",
    "TargetField": "SendIntents.EvaluationContext",
    "CanRead": true,
    "CanWrite": false,
    "MaskStrategy": "plain",
    "SemanticTypeIri": "urn:effortless:pko-extension#FieldGrant",
    "Name": "principal-knowledge-authority -&gt; SendIntents.EvaluationContext",
    "FieldTable": "SendIntents",
    "FieldName": "EvaluationContext",
    "FieldIsDerived": false,
    "IsWritableDerivedField": false,
    "IsMasked": false,
    "GrantKeyWhenReadable": "principal-knowledge-authority|SendIntents"
   },
   {
    "FieldGrantId": "fg-knowledge-authority-SendIntents.AsOfInstant",
    "Principal": "principal-knowledge-authority",
    "TargetField": "SendIntents.AsOfInstant",
    "CanRead": true,
    "CanWrite": false,
    "MaskStrategy": "plain",
    "SemanticTypeIri": "urn:effortless:pko-extension#FieldGrant",
    "Name": "principal-knowledge-authority -&gt; SendIntents.AsOfInstant",
    "FieldTable": "SendIntents",
    "FieldName": "AsOfInstant",
    "FieldIsDerived": true,
    "IsWritableDerivedField": false,
    "IsMasked": false,
    "GrantKeyWhenReadable": "principal-knowledge-authority|SendIntents"
   },
   {
    "FieldGrantId": "fg-knowledge-authority-SendIntents.WindowHasSinceReopened",
    "Principal": "principal-knowledge-authority",
    "TargetField": "SendIntents.WindowHasSinceReopened",
    "CanRead": true,
    "CanWrite": false,
    "MaskStrategy": "plain",
    "SemanticTypeIri": "urn:effortless:pko-extension#FieldGrant",
    "Name": "principal-knowledge-authority -&gt; SendIntents.WindowHasSinceReopened",
    "FieldTable": "SendIntents",
    "FieldName": "WindowHasSinceReopened",
    "FieldIsDerived": true,
    "IsWritableDerivedField": false,
    "IsMasked": false,
    "GrantKeyWhenReadable": "principal-knowledge-authority|SendIntents"
   },
   {
    "FieldGrantId": "fg-knowledge-authority-SendIntents.HasRetryAttempt",
    "Principal": "principal-knowledge-authority",
    "TargetField": "SendIntents.HasRetryAttempt",
    "CanRead": true,
    "CanWrite": false,
    "MaskStrategy": "plain",
    "SemanticTypeIri": "urn:effortless:pko-extension#FieldGrant",
    "Name": "principal-knowledge-authority -&gt; SendIntents.HasRetryAttempt",
    "FieldTable": "SendIntents",
    "FieldName": "HasRetryAttempt",
    "FieldIsDerived": true,
    "IsWritableDerivedField": false,
    "IsMasked": false,
    "GrantKeyWhenReadable": "principal-knowledge-authority|SendIntents"
   },
   {
    "FieldGrantId": "fg-knowledge-authority-SendIntents.RetryWasCleared",
    "Principal": "principal-knowledge-authority",
    "TargetField": "SendIntents.RetryWasCleared",
    "CanRead": true,
    "CanWrite": false,
    "MaskStrategy": "plain",
    "SemanticTypeIri": "urn:effortless:pko-extension#FieldGrant",
    "Name": "principal-knowledge-authority -&gt; SendIntents.RetryWasCleared",
    "FieldTable": "SendIntents",
    "FieldName": "RetryWasCleared",
    "FieldIsDerived": true,
    "IsWritableDerivedField": false,
    "IsMasked": false,
    "GrantKeyWhenReadable": "principal-knowledge-authority|SendIntents"
   },
   {
    "FieldGrantId": "fg-knowledge-authority-SendIntents.IsAbandonedDeferral",
    "Principal": "principal-knowledge-authority",
    "TargetField": "SendIntents.IsAbandonedDeferral",
    "CanRead": true,
    "CanWrite": false,
    "MaskStrategy": "plain",
    "SemanticTypeIri": "urn:effortless:pko-extension#FieldGrant",
    "Name": "principal-knowledge-authority -&gt; SendIntents.IsAbandonedDeferral",
    "FieldTable": "SendIntents",
    "FieldName": "IsAbandonedDeferral",
    "FieldIsDerived": true,
    "IsWritableDerivedField": false,
    "IsMasked": false,
    "GrantKeyWhenReadable": "principal-knowledge-authority|SendIntents"
   },
   {
    "FieldGrantId": "fg-knowledge-authority-SendIntents.DeferralAgeHours",
    "Principal": "principal-knowledge-authority",
    "TargetField": "SendIntents.DeferralAgeHours",
    "CanRead": true,
    "CanWrite": false,
    "MaskStrategy": "plain",
    "SemanticTypeIri": "urn:effortless:pko-extension#FieldGrant",
    "Name": "principal-knowledge-authority -&gt; SendIntents.DeferralAgeHours",
    "FieldTable": "SendIntents",
    "FieldName": "DeferralAgeHours",
    "FieldIsDerived": true,
    "IsWritableDerivedField": false,
    "IsMasked": false,
    "GrantKeyWhenReadable": "principal-knowledge-authority|SendIntents"
   },
   {
    "FieldGrantId": "fg-knowledge-authority-SendIntents.IsStaleDeferral",
    "Principal": "principal-knowledge-authority",
    "TargetField": "SendIntents.IsStaleDeferral",
    "CanRead": true,
    "CanWrite": false,
    "MaskStrategy": "plain",
    "SemanticTypeIri": "urn:effortless:pko-extension#FieldGrant",
    "Name": "principal-knowledge-authority -&gt; SendIntents.IsStaleDeferral",
    "FieldTable": "SendIntents",
    "FieldName": "IsStaleDeferral",
    "FieldIsDerived": true,
    "IsWritableDerivedField": false,
    "IsMasked": false,
    "GrantKeyWhenReadable": "principal-knowledge-authority|SendIntents"
   },
   {
    "FieldGrantId": "fg-knowledge-authority-SendIntents.EvaluatingRoleAssignment",
    "Principal": "principal-knowledge-authority",
    "TargetField": "SendIntents.EvaluatingRoleAssignment",
    "CanRead": true,
    "CanWrite": false,
    "MaskStrategy": "plain",
    "SemanticTypeIri": "urn:effortless:pko-extension#FieldGrant",
    "Name": "principal-knowledge-authority -&gt; SendIntents.EvaluatingRoleAssignment",
    "FieldTable": "SendIntents",
    "FieldName": "EvaluatingRoleAssignment",
    "FieldIsDerived": false,
    "IsWritableDerivedField": false,
    "IsMasked": false,
    "GrantKeyWhenReadable": "principal-knowledge-authority|SendIntents"
   },
   {
    "FieldGrantId": "fg-knowledge-authority-SendIntents.EnforcedByUnauthorizedAgent",
    "Principal": "principal-knowledge-authority",
    "TargetField": "SendIntents.EnforcedByUnauthorizedAgent",
    "CanRead": true,
    "CanWrite": false,
    "MaskStrategy": "plain",
    "SemanticTypeIri": "urn:effortless:pko-extension#FieldGrant",
    "Name": "principal-knowledge-authority -&gt; SendIntents.EnforcedByUnauthorizedAgent",
    "FieldTable": "SendIntents",
    "FieldName": "EnforcedByUnauthorizedAgent",
    "FieldIsDerived": true,
    "IsWritableDerivedField": false,
    "IsMasked": false,
    "GrantKeyWhenReadable": "principal-knowledge-authority|SendIntents"
   },
   {
    "FieldGrantId": "fg-knowledge-authority-SendIntents.ConsentInputWasResolvable",
    "Principal": "principal-knowledge-authority",
    "TargetField": "SendIntents.ConsentInputWasResolvable",
    "CanRead": true,
    "CanWrite": false,
    "MaskStrategy": "plain",
    "SemanticTypeIri": "urn:effortless:pko-extension#FieldGrant",
    "Name": "principal-knowledge-authority -&gt; SendIntents.ConsentInputWasResolvable",
    "FieldTable": "SendIntents",
    "FieldName": "ConsentInputWasResolvable",
    "FieldIsDerived": true,
    "IsWritableDerivedField": false,
    "IsMasked": false,
    "GrantKeyWhenReadable": "principal-knowledge-authority|SendIntents"
   },
   {
    "FieldGrantId": "fg-knowledge-authority-SendIntents.RecipientConsentStatusRaw",
    "Principal": "principal-knowledge-authority",
    "TargetField": "SendIntents.RecipientConsentStatusRaw",
    "CanRead": true,
    "CanWrite": false,
    "MaskStrategy": "plain",
    "SemanticTypeIri": "urn:effortless:pko-extension#FieldGrant",
    "Name": "principal-knowledge-authority -&gt; SendIntents.RecipientConsentStatusRaw",
    "FieldTable": "SendIntents",
    "FieldName": "RecipientConsentStatusRaw",
    "FieldIsDerived": true,
    "IsWritableDerivedField": false,
    "IsMasked": false,
    "GrantKeyWhenReadable": "principal-knowledge-authority|SendIntents"
   },
   {
    "FieldGrantId": "fg-knowledge-authority-SendIntents.PolicyInputWasResolvable",
    "Principal": "principal-knowledge-authority",
    "TargetField": "SendIntents.PolicyInputWasResolvable",
    "CanRead": true,
    "CanWrite": false,
    "MaskStrategy": "plain",
    "SemanticTypeIri": "urn:effortless:pko-extension#FieldGrant",
    "Name": "principal-knowledge-authority -&gt; SendIntents.PolicyInputWasResolvable",
    "FieldTable": "SendIntents",
    "FieldName": "PolicyInputWasResolvable",
    "FieldIsDerived": true,
    "IsWritableDerivedField": false,
    "IsMasked": false,
    "GrantKeyWhenReadable": "principal-knowledge-authority|SendIntents"
   },
   {
    "FieldGrantId": "fg-knowledge-authority-SendIntents.AllGateInputsResolved",
    "Principal": "principal-knowledge-authority",
    "TargetField": "SendIntents.AllGateInputsResolved",
    "CanRead": true,
    "CanWrite": false,
    "MaskStrategy": "plain",
    "SemanticTypeIri": "urn:effortless:pko-extension#FieldGrant",
    "Name": "principal-knowledge-authority -&gt; SendIntents.AllGateInputsResolved",
    "FieldTable": "SendIntents",
    "FieldName": "AllGateInputsResolved",
    "FieldIsDerived": true,
    "IsWritableDerivedField": false,
    "IsMasked": false,
    "GrantKeyWhenReadable": "principal-knowledge-authority|SendIntents"
   },
   {
    "FieldGrantId": "fg-knowledge-authority-SendIntents.IsUnevaluableRefusal",
    "Principal": "principal-knowledge-authority",
    "TargetField": "SendIntents.IsUnevaluableRefusal",
    "CanRead": true,
    "CanWrite": false,
    "MaskStrategy": "plain",
    "SemanticTypeIri": "urn:effortless:pko-extension#FieldGrant",
    "Name": "principal-knowledge-authority -&gt; SendIntents.IsUnevaluableRefusal",
    "FieldTable": "SendIntents",
    "FieldName": "IsUnevaluableRefusal",
    "FieldIsDerived": true,
    "IsWritableDerivedField": false,
    "IsMasked": false,
    "GrantKeyWhenReadable": "principal-knowledge-authority|SendIntents"
   },
   {
    "FieldGrantId": "fg-knowledge-authority-SendIntents.GateResultWasIndependentlyConfirmed",
    "Principal": "principal-knowledge-authority",
    "TargetField": "SendIntents.GateResultWasIndependentlyConfirmed",
    "CanRead": true,
    "CanWrite": false,
    "MaskStrategy": "plain",
    "SemanticTypeIri": "urn:effortless:pko-extension#FieldGrant",
    "Name": "principal-knowledge-authority -&gt; SendIntents.GateResultWasIndependentlyConfirmed",
    "FieldTable": "SendIntents",
    "FieldName": "GateResultWasIndependentlyConfirmed",
    "FieldIsDerived": false,
    "IsWritableDerivedField": false,
    "IsMasked": false,
    "GrantKeyWhenReadable": "principal-knowledge-authority|SendIntents"
   },
   {
    "FieldGrantId": "fg-knowledge-authority-SendIntents.IsSelfWitnessedDecision",
    "Principal": "principal-knowledge-authority",
    "TargetField": "SendIntents.IsSelfWitnessedDecision",
    "CanRead": true,
    "CanWrite": false,
    "MaskStrategy": "plain",
    "SemanticTypeIri": "urn:effortless:pko-extension#FieldGrant",
    "Name": "principal-knowledge-authority -&gt; SendIntents.IsSelfWitnessedDecision",
    "FieldTable": "SendIntents",
    "FieldName": "IsSelfWitnessedDecision",
    "FieldIsDerived": true,
    "IsWritableDerivedField": false,
    "IsMasked": false,
    "GrantKeyWhenReadable": "principal-knowledge-authority|SendIntents"
   },
   {
    "FieldGrantId": "fg-knowledge-authority-SendIntents.IsIndependentlyConfirmed",
    "Principal": "principal-knowledge-authority",
    "TargetField": "SendIntents.IsIndependentlyConfirmed",
    "CanRead": true,
    "CanWrite": false,
    "MaskStrategy": "plain",
    "SemanticTypeIri": "urn:effortless:pko-extension#FieldGrant",
    "Name": "principal-knowledge-authority -&gt; SendIntents.IsIndependentlyConfirmed",
    "FieldTable": "SendIntents",
    "FieldName": "IsIndependentlyConfirmed",
    "FieldIsDerived": true,
    "IsWritableDerivedField": false,
    "IsMasked": false,
    "GrantKeyWhenReadable": "principal-knowledge-authority|SendIntents"
   },
   {
    "FieldGrantId": "fg-knowledge-authority-SendIntents.IndependentlyConfirmedExecutionKey",
    "Principal": "principal-knowledge-authority",
    "TargetField": "SendIntents.IndependentlyConfirmedExecutionKey",
    "CanRead": true,
    "CanWrite": false,
    "MaskStrategy": "plain",
    "SemanticTypeIri": "urn:effortless:pko-extension#FieldGrant",
    "Name": "principal-knowledge-authority -&gt; SendIntents.IndependentlyConfirmedExecutionKey",
    "FieldTable": "SendIntents",
    "FieldName": "IndependentlyConfirmedExecutionKey",
    "FieldIsDerived": true,
    "IsWritableDerivedField": false,
    "IsMasked": false,
    "GrantKeyWhenReadable": "principal-knowledge-authority|SendIntents"
   },
   {
    "FieldGrantId": "fg-knowledge-authority-SendIntents.SemanticTypeIri",
    "Principal": "principal-knowledge-authority",
    "TargetField": "SendIntents.SemanticTypeIri",
    "CanRead": true,
    "CanWrite": false,
    "MaskStrategy": "plain",
    "SemanticTypeIri": "urn:effortless:pko-extension#FieldGrant",
    "Name": "principal-knowledge-authority -&gt; SendIntents.SemanticTypeIri",
    "FieldTable": "SendIntents",
    "FieldName": "SemanticTypeIri",
    "FieldIsDerived": false,
    "IsWritableDerivedField": false,
    "IsMasked": false,
    "GrantKeyWhenReadable": "principal-knowledge-authority|SendIntents"
   },
   {
    "FieldGrantId": "fg-knowledge-authority-StepActions.StepActionId",
    "Principal": "principal-knowledge-authority",
    "TargetField": "StepActions.StepActionId",
    "CanRead": true,
    "CanWrite": false,
    "MaskStrategy": "plain",
    "SemanticTypeIri": "urn:effortless:pko-extension#FieldGrant",
    "Name": "principal-knowledge-authority -&gt; StepActions.StepActionId",
    "FieldTable": "StepActions",
    "FieldName": "StepActionId",
    "FieldIsDerived": false,
    "IsWritableDerivedField": false,
    "IsMasked": false,
    "GrantKeyWhenReadable": "principal-knowledge-authority|StepActions"
   },
   {
    "FieldGrantId": "fg-knowledge-authority-StepActions.Name",
    "Principal": "principal-knowledge-authority",
    "TargetField": "StepActions.Name",
    "CanRead": true,
    "CanWrite": false,
    "MaskStrategy": "plain",
    "SemanticTypeIri": "urn:effortless:pko-extension#FieldGrant",
    "Name": "principal-knowledge-authority -&gt; StepActions.Name",
    "FieldTable": "StepActions",
    "FieldName": "Name",
    "FieldIsDerived": true,
    "IsWritableDerivedField": false,
    "IsMasked": false,
    "GrantKeyWhenReadable": "principal-knowledge-authority|StepActions"
   },
   {
    "FieldGrantId": "fg-knowledge-authority-StepActions.Step",
    "Principal": "principal-knowledge-authority",
    "TargetField": "StepActions.Step",
    "CanRead": true,
    "CanWrite": false,
    "MaskStrategy": "plain",
    "SemanticTypeIri": "urn:effortless:pko-extension#FieldGrant",
    "Name": "principal-knowledge-authority -&gt; StepActions.Step",
    "FieldTable": "StepActions",
    "FieldName": "Step",
    "FieldIsDerived": false,
    "IsWritableDerivedField": false,
    "IsMasked": false,
    "GrantKeyWhenReadable": "principal-knowledge-authority|StepActions"
   },
   {
    "FieldGrantId": "fg-knowledge-authority-StepActions.Action",
    "Principal": "principal-knowledge-authority",
    "TargetField": "StepActions.Action",
    "CanRead": true,
    "CanWrite": false,
    "MaskStrategy": "plain",
    "SemanticTypeIri": "urn:effortless:pko-extension#FieldGrant",
    "Name": "principal-knowledge-authority -&gt; StepActions.Action",
    "FieldTable": "StepActions",
    "FieldName": "Action",
    "FieldIsDerived": false,
    "IsWritableDerivedField": false,
    "IsMasked": false,
    "GrantKeyWhenReadable": "principal-knowledge-authority|StepActions"
   },
   {
    "FieldGrantId": "fg-knowledge-authority-StepExecutions.StepExecutionId",
    "Principal": "principal-knowledge-authority",
    "TargetField": "StepExecutions.StepExecutionId",
    "CanRead": true,
    "CanWrite": false,
    "MaskStrategy": "plain",
    "SemanticTypeIri": "urn:effortless:pko-extension#FieldGrant",
    "Name": "principal-knowledge-authority -&gt; StepExecutions.StepExecutionId",
    "FieldTable": "StepExecutions",
    "FieldName": "StepExecutionId",
    "FieldIsDerived": false,
    "IsWritableDerivedField": false,
    "IsMasked": false,
    "GrantKeyWhenReadable": "principal-knowledge-authority|StepExecutions"
   },
   {
    "FieldGrantId": "fg-knowledge-authority-StepExecutions.Name",
    "Principal": "principal-knowledge-authority",
    "TargetField": "StepExecutions.Name",
    "CanRead": true,
    "CanWrite": false,
    "MaskStrategy": "plain",
    "SemanticTypeIri": "urn:effortless:pko-extension#FieldGrant",
    "Name": "principal-knowledge-authority -&gt; StepExecutions.Name",
    "FieldTable": "StepExecutions",
    "FieldName": "Name",
    "FieldIsDerived": true,
    "IsWritableDerivedField": false,
    "IsMasked": false,
    "GrantKeyWhenReadable": "principal-knowledge-authority|StepExecutions"
   },
   {
    "FieldGrantId": "fg-knowledge-authority-StepExecutions.ProcedureExecution",
    "Principal": "principal-knowledge-authority",
    "TargetField": "StepExecutions.ProcedureExecution",
    "CanRead": true,
    "CanWrite": false,
    "MaskStrategy": "plain",
    "SemanticTypeIri": "urn:effortless:pko-extension#FieldGrant",
    "Name": "principal-knowledge-authority -&gt; StepExecutions.ProcedureExecution",
    "FieldTable": "StepExecutions",
    "FieldName": "ProcedureExecution",
    "FieldIsDerived": false,
    "IsWritableDerivedField": false,
    "IsMasked": false,
    "GrantKeyWhenReadable": "principal-knowledge-authority|StepExecutions"
   },
   {
    "FieldGrantId": "fg-knowledge-authority-StepExecutions.Step",
    "Principal": "principal-knowledge-authority",
    "TargetField": "StepExecutions.Step",
    "CanRead": true,
    "CanWrite": false,
    "MaskStrategy": "plain",
    "SemanticTypeIri": "urn:effortless:pko-extension#FieldGrant",
    "Name": "principal-knowledge-authority -&gt; StepExecutions.Step",
    "FieldTable": "StepExecutions",
    "FieldName": "Step",
    "FieldIsDerived": false,
    "IsWritableDerivedField": false,
    "IsMasked": false,
    "GrantKeyWhenReadable": "principal-knowledge-authority|StepExecutions"
   },
   {
    "FieldGrantId": "fg-knowledge-authority-StepExecutions.ExecutedByAgent",
    "Principal": "principal-knowledge-authority",
    "TargetField": "StepExecutions.ExecutedByAgent",
    "CanRead": true,
    "CanWrite": false,
    "MaskStrategy": "plain",
    "SemanticTypeIri": "urn:effortless:pko-extension#FieldGrant",
    "Name": "principal-knowledge-authority -&gt; StepExecutions.ExecutedByAgent",
    "FieldTable": "StepExecutions",
    "FieldName": "ExecutedByAgent",
    "FieldIsDerived": false,
    "IsWritableDerivedField": false,
    "IsMasked": false,
    "GrantKeyWhenReadable": "principal-knowledge-authority|StepExecutions"
   },
   {
    "FieldGrantId": "fg-knowledge-authority-StepExecutions.ExecutionStatus",
    "Principal": "principal-knowledge-authority",
    "TargetField": "StepExecutions.ExecutionStatus",
    "CanRead": true,
    "CanWrite": false,
    "MaskStrategy": "plain",
    "SemanticTypeIri": "urn:effortless:pko-extension#FieldGrant",
    "Name": "principal-knowledge-authority -&gt; StepExecutions.ExecutionStatus",
    "FieldTable": "StepExecutions",
    "FieldName": "ExecutionStatus",
    "FieldIsDerived": false,
    "IsWritableDerivedField": false,
    "IsMasked": false,
    "GrantKeyWhenReadable": "principal-knowledge-authority|StepExecutions"
   },
   {
    "FieldGrantId": "fg-knowledge-authority-StepExecutions.StartedAt",
    "Principal": "principal-knowledge-authority",
    "TargetField": "StepExecutions.StartedAt",
    "CanRead": true,
    "CanWrite": false,
    "MaskStrategy": "plain",
    "SemanticTypeIri": "urn:effortless:pko-extension#FieldGrant",
    "Name": "principal-knowledge-authority -&gt; StepExecutions.StartedAt",
    "FieldTable": "StepExecutions",
    "FieldName": "StartedAt",
    "FieldIsDerived": false,
    "IsWritableDerivedField": false,
    "IsMasked": false,
    "GrantKeyWhenReadable": "principal-knowledge-authority|StepExecutions"
   },
   {
    "FieldGrantId": "fg-knowledge-authority-StepExecutions.EndedAt",
    "Principal": "principal-knowledge-authority",
    "TargetField": "StepExecutions.EndedAt",
    "CanRead": true,
    "CanWrite": false,
    "MaskStrategy": "plain",
    "SemanticTypeIri": "urn:effortless:pko-extension#FieldGrant",
    "Name": "principal-knowledge-authority -&gt; StepExecutions.EndedAt",
    "FieldTable": "StepExecutions",
    "FieldName": "EndedAt",
    "FieldIsDerived": false,
    "IsWritableDerivedField": false,
    "IsMasked": false,
    "GrantKeyWhenReadable": "principal-knowledge-authority|StepExecutions"
   },
   {
    "FieldGrantId": "fg-knowledge-authority-StepExecutions.VerificationResult",
    "Principal": "principal-knowledge-authority",
    "TargetField": "StepExecutions.VerificationResult",
    "CanRead": true,
    "CanWrite": false,
    "MaskStrategy": "plain",
    "SemanticTypeIri": "urn:effortless:pko-extension#FieldGrant",
    "Name": "principal-knowledge-authority -&gt; StepExecutions.VerificationResult",
    "FieldTable": "StepExecutions",
    "FieldName": "VerificationResult",
    "FieldIsDerived": false,
    "IsWritableDerivedField": false,
    "IsMasked": false,
    "GrantKeyWhenReadable": "principal-knowledge-authority|StepExecutions"
   },
   {
    "FieldGrantId": "fg-knowledge-authority-StepExecutions.Deviation",
    "Principal": "principal-knowledge-authority",
    "TargetField": "StepExecutions.Deviation",
    "CanRead": true,
    "CanWrite": false,
    "MaskStrategy": "plain",
    "SemanticTypeIri": "urn:effortless:pko-extension#FieldGrant",
    "Name": "principal-knowledge-authority -&gt; StepExecutions.Deviation",
    "FieldTable": "StepExecutions",
    "FieldName": "Deviation",
    "FieldIsDerived": false,
    "IsWritableDerivedField": false,
    "IsMasked": false,
    "GrantKeyWhenReadable": "principal-knowledge-authority|StepExecutions"
   },
   {
    "FieldGrantId": "fg-knowledge-authority-StepExecutions.ActualDurationMinutes",
    "Principal": "principal-knowledge-authority",
    "TargetField": "StepExecutions.ActualDurationMinutes",
    "CanRead": true,
    "CanWrite": false,
    "MaskStrategy": "plain",
    "SemanticTypeIri": "urn:effortless:pko-extension#FieldGrant",
    "Name": "principal-knowledge-authority -&gt; StepExecutions.ActualDurationMinutes",
    "FieldTable": "StepExecutions",
    "FieldName": "ActualDurationMinutes",
    "FieldIsDerived": true,
    "IsWritableDerivedField": false,
    "IsMasked": false,
    "GrantKeyWhenReadable": "principal-knowledge-authority|StepExecutions"
   },
   {
    "FieldGrantId": "fg-knowledge-authority-StepExecutions.ExpectedDurationMinutes",
    "Principal": "principal-knowledge-authority",
    "TargetField": "StepExecutions.ExpectedDurationMinutes",
    "CanRead": true,
    "CanWrite": false,
    "MaskStrategy": "plain",
    "SemanticTypeIri": "urn:effortless:pko-extension#FieldGrant",
    "Name": "principal-knowledge-authority -&gt; StepExecutions.ExpectedDurationMinutes",
    "FieldTable": "StepExecutions",
    "FieldName": "ExpectedDurationMinutes",
    "FieldIsDerived": true,
    "IsWritableDerivedField": false,
    "IsMasked": false,
    "GrantKeyWhenReadable": "principal-knowledge-authority|StepExecutions"
   },
   {
    "FieldGrantId": "fg-knowledge-authority-StepExecutions.IsLate",
    "Principal": "principal-knowledge-authority",
    "TargetField": "StepExecutions.IsLate",
    "CanRead": true,
    "CanWrite": false,
    "MaskStrategy": "plain",
    "SemanticTypeIri": "urn:effortless:pko-extension#FieldGrant",
    "Name": "principal-knowledge-authority -&gt; StepExecutions.IsLate",
    "FieldTable": "StepExecutions",
    "FieldName": "IsLate",
    "FieldIsDerived": true,
    "IsWritableDerivedField": false,
    "IsMasked": false,
    "GrantKeyWhenReadable": "principal-knowledge-authority|StepExecutions"
   },
   {
    "FieldGrantId": "fg-knowledge-authority-StepExecutions.BlockingUnmetCount",
    "Principal": "principal-knowledge-authority",
    "TargetField": "StepExecutions.BlockingUnmetCount",
    "CanRead": true,
    "CanWrite": false,
    "MaskStrategy": "plain",
    "SemanticTypeIri": "urn:effortless:pko-extension#FieldGrant",
    "Name": "principal-knowledge-authority -&gt; StepExecutions.BlockingUnmetCount",
    "FieldTable": "StepExecutions",
    "FieldName": "BlockingUnmetCount",
    "FieldIsDerived": true,
    "IsWritableDerivedField": false,
    "IsMasked": false,
    "GrantKeyWhenReadable": "principal-knowledge-authority|StepExecutions"
   },
   {
    "FieldGrantId": "fg-knowledge-authority-StepExecutions.BlockingUnmetCountSafe",
    "Principal": "principal-knowledge-authority",
    "TargetField": "StepExecutions.BlockingUnmetCountSafe",
    "CanRead": true,
    "CanWrite": false,
    "MaskStrategy": "plain",
    "SemanticTypeIri": "urn:effortless:pko-extension#FieldGrant",
    "Name": "principal-knowledge-authority -&gt; StepExecutions.BlockingUnmetCountSafe",
    "FieldTable": "StepExecutions",
    "FieldName": "BlockingUnmetCountSafe",
    "FieldIsDerived": true,
    "IsWritableDerivedField": false,
    "IsMasked": false,
    "GrantKeyWhenReadable": "principal-knowledge-authority|StepExecutions"
   },
   {
    "FieldGrantId": "fg-knowledge-authority-StepExecutions.ProceededPastBlockingControl",
    "Principal": "principal-knowledge-authority",
    "TargetField": "StepExecutions.ProceededPastBlockingControl",
    "CanRead": true,
    "CanWrite": false,
    "MaskStrategy": "plain",
    "SemanticTypeIri": "urn:effortless:pko-extension#FieldGrant",
    "Name": "principal-knowledge-authority -&gt; StepExecutions.ProceededPastBlockingControl",
    "FieldTable": "StepExecutions",
    "FieldName": "ProceededPastBlockingControl",
    "FieldIsDerived": true,
    "IsWritableDerivedField": false,
    "IsMasked": false,
    "GrantKeyWhenReadable": "principal-knowledge-authority|StepExecutions"
   },
   {
    "FieldGrantId": "fg-knowledge-authority-StepExecutions.ExpectedBlockingCount",
    "Principal": "principal-knowledge-authority",
    "TargetField": "StepExecutions.ExpectedBlockingCount",
    "CanRead": true,
    "CanWrite": false,
    "MaskStrategy": "plain",
    "SemanticTypeIri": "urn:effortless:pko-extension#FieldGrant",
    "Name": "principal-knowledge-authority -&gt; StepExecutions.ExpectedBlockingCount",
    "FieldTable": "StepExecutions",
    "FieldName": "ExpectedBlockingCount",
    "FieldIsDerived": true,
    "IsWritableDerivedField": false,
    "IsMasked": false,
    "GrantKeyWhenReadable": "principal-knowledge-authority|StepExecutions"
   },
   {
    "FieldGrantId": "fg-knowledge-authority-StepExecutions.EvaluatedBlockingCount",
    "Principal": "principal-knowledge-authority",
    "TargetField": "StepExecutions.EvaluatedBlockingCount",
    "CanRead": true,
    "CanWrite": false,
    "MaskStrategy": "plain",
    "SemanticTypeIri": "urn:effortless:pko-extension#FieldGrant",
    "Name": "principal-knowledge-authority -&gt; StepExecutions.EvaluatedBlockingCount",
    "FieldTable": "StepExecutions",
    "FieldName": "EvaluatedBlockingCount",
    "FieldIsDerived": true,
    "IsWritableDerivedField": false,
    "IsMasked": false,
    "GrantKeyWhenReadable": "principal-knowledge-authority|StepExecutions"
   },
   {
    "FieldGrantId": "fg-knowledge-authority-StepExecutions.UnevaluatedBlockingCount",
    "Principal": "principal-knowledge-authority",
    "TargetField": "StepExecutions.UnevaluatedBlockingCount",
    "CanRead": true,
    "CanWrite": false,
    "MaskStrategy": "plain",
    "SemanticTypeIri": "urn:effortless:pko-extension#FieldGrant",
    "Name": "principal-knowledge-authority -&gt; StepExecutions.UnevaluatedBlockingCount",
    "FieldTable": "StepExecutions",
    "FieldName": "UnevaluatedBlockingCount",
    "FieldIsDerived": true,
    "IsWritableDerivedField": false,
    "IsMasked": false,
    "GrantKeyWhenReadable": "principal-knowledge-authority|StepExecutions"
   },
   {
    "FieldGrantId": "fg-knowledge-authority-StepExecutions.HasUnevaluatedBlockingControl",
    "Principal": "principal-knowledge-authority",
    "TargetField": "StepExecutions.HasUnevaluatedBlockingControl",
    "CanRead": true,
    "CanWrite": false,
    "MaskStrategy": "plain",
    "SemanticTypeIri": "u</t>
  </si>
  <si>
    <t xml:space="preserve">rn:effortless:pko-extension#FieldGrant",
    "Name": "principal-knowledge-authority -&gt; StepExecutions.HasUnevaluatedBlockingControl",
    "FieldTable": "StepExecutions",
    "FieldName": "HasUnevaluatedBlockingControl",
    "FieldIsDerived": true,
    "IsWritableDerivedField": false,
    "IsMasked": false,
    "GrantKeyWhenReadable": "principal-knowledge-authority|StepExecutions"
   },
   {
    "FieldGrantId": "fg-knowledge-authority-StepExecutions.StaleAuthoritativeSourceCount",
    "Principal": "principal-knowledge-authority",
    "TargetField": "StepExecutions.StaleAuthoritativeSourceCount",
    "CanRead": true,
    "CanWrite": false,
    "MaskStrategy": "plain",
    "SemanticTypeIri": "urn:effortless:pko-extension#FieldGrant",
    "Name": "principal-knowledge-authority -&gt; StepExecutions.StaleAuthoritativeSourceCount",
    "FieldTable": "StepExecutions",
    "FieldName": "StaleAuthoritativeSourceCount",
    "FieldIsDerived": true,
    "IsWritableDerivedField": false,
    "IsMasked": false,
    "GrantKeyWhenReadable": "principal-knowledge-authority|StepExecutions"
   },
   {
    "FieldGrantId": "fg-knowledge-authority-StepExecutions.RanOnStaleAuthoritativeSource",
    "Principal": "principal-knowledge-authority",
    "TargetField": "StepExecutions.RanOnStaleAuthoritativeSource",
    "CanRead": true,
    "CanWrite": false,
    "MaskStrategy": "plain",
    "SemanticTypeIri": "urn:effortless:pko-extension#FieldGrant",
    "Name": "principal-knowledge-authority -&gt; StepExecutions.RanOnStaleAuthoritativeSource",
    "FieldTable": "StepExecutions",
    "FieldName": "RanOnStaleAuthoritativeSource",
    "FieldIsDerived": true,
    "IsWritableDerivedField": false,
    "IsMasked": false,
    "GrantKeyWhenReadable": "principal-knowledge-authority|StepExecutions"
   },
   {
    "FieldGrantId": "fg-knowledge-authority-StepExecutions.HasDeviationNote",
    "Principal": "principal-knowledge-authority",
    "TargetField": "StepExecutions.HasDeviationNote",
    "CanRead": true,
    "CanWrite": false,
    "MaskStrategy": "plain",
    "SemanticTypeIri": "urn:effortless:pko-extension#FieldGrant",
    "Name": "principal-knowledge-authority -&gt; StepExecutions.HasDeviationNote",
    "FieldTable": "StepExecutions",
    "FieldName": "HasDeviationNote",
    "FieldIsDerived": true,
    "IsWritableDerivedField": false,
    "IsMasked": false,
    "GrantKeyWhenReadable": "principal-knowledge-authority|StepExecutions"
   },
   {
    "FieldGrantId": "fg-knowledge-authority-StepExecutions.IsLateAndUnexplained",
    "Principal": "principal-knowledge-authority",
    "TargetField": "StepExecutions.IsLateAndUnexplained",
    "CanRead": true,
    "CanWrite": false,
    "MaskStrategy": "plain",
    "SemanticTypeIri": "urn:effortless:pko-extension#FieldGrant",
    "Name": "principal-knowledge-authority -&gt; StepExecutions.IsLateAndUnexplained",
    "FieldTable": "StepExecutions",
    "FieldName": "IsLateAndUnexplained",
    "FieldIsDerived": true,
    "IsWritableDerivedField": false,
    "IsMasked": false,
    "GrantKeyWhenReadable": "principal-knowledge-authority|StepExecutions"
   },
   {
    "FieldGrantId": "fg-knowledge-authority-StepExecutions.AvailableExceptionCountForStep",
    "Principal": "principal-knowledge-authority",
    "TargetField": "StepExecutions.AvailableExceptionCountForStep",
    "CanRead": true,
    "CanWrite": false,
    "MaskStrategy": "plain",
    "SemanticTypeIri": "urn:effortless:pko-extension#FieldGrant",
    "Name": "principal-knowledge-authority -&gt; StepExecutions.AvailableExceptionCountForStep",
    "FieldTable": "StepExecutions",
    "FieldName": "AvailableExceptionCountForStep",
    "FieldIsDerived": true,
    "IsWritableDerivedField": false,
    "IsMasked": false,
    "GrantKeyWhenReadable": "principal-knowledge-authority|StepExecutions"
   },
   {
    "FieldGrantId": "fg-knowledge-authority-StepExecutions.HadUninvokedExceptionAvailable",
    "Principal": "principal-knowledge-authority",
    "TargetField": "StepExecutions.HadUninvokedExceptionAvailable",
    "CanRead": true,
    "CanWrite": false,
    "MaskStrategy": "plain",
    "SemanticTypeIri": "urn:effortless:pko-extension#FieldGrant",
    "Name": "principal-knowledge-authority -&gt; StepExecutions.HadUninvokedExceptionAvailable",
    "FieldTable": "StepExecutions",
    "FieldName": "HadUninvokedExceptionAvailable",
    "FieldIsDerived": true,
    "IsWritableDerivedField": false,
    "IsMasked": false,
    "GrantKeyWhenReadable": "principal-knowledge-authority|StepExecutions"
   },
   {
    "FieldGrantId": "fg-knowledge-authority-StepExecutions.ExpectedVerificationCount",
    "Principal": "principal-knowledge-authority",
    "TargetField": "StepExecutions.ExpectedVerificationCount",
    "CanRead": true,
    "CanWrite": false,
    "MaskStrategy": "plain",
    "SemanticTypeIri": "urn:effortless:pko-extension#FieldGrant",
    "Name": "principal-knowledge-authority -&gt; StepExecutions.ExpectedVerificationCount",
    "FieldTable": "StepExecutions",
    "FieldName": "ExpectedVerificationCount",
    "FieldIsDerived": true,
    "IsWritableDerivedField": false,
    "IsMasked": false,
    "GrantKeyWhenReadable": "principal-knowledge-authority|StepExecutions"
   },
   {
    "FieldGrantId": "fg-knowledge-authority-StepExecutions.PerformedVerificationCount",
    "Principal": "principal-knowledge-authority",
    "TargetField": "StepExecutions.PerformedVerificationCount",
    "CanRead": true,
    "CanWrite": false,
    "MaskStrategy": "plain",
    "SemanticTypeIri": "urn:effortless:pko-extension#FieldGrant",
    "Name": "principal-knowledge-authority -&gt; StepExecutions.PerformedVerificationCount",
    "FieldTable": "StepExecutions",
    "FieldName": "PerformedVerificationCount",
    "FieldIsDerived": true,
    "IsWritableDerivedField": false,
    "IsMasked": false,
    "GrantKeyWhenReadable": "principal-knowledge-authority|StepExecutions"
   },
   {
    "FieldGrantId": "fg-knowledge-authority-StepExecutions.SkippedVerificationCount",
    "Principal": "principal-knowledge-authority",
    "TargetField": "StepExecutions.SkippedVerificationCount",
    "CanRead": true,
    "CanWrite": false,
    "MaskStrategy": "plain",
    "SemanticTypeIri": "urn:effortless:pko-extension#FieldGrant",
    "Name": "principal-knowledge-authority -&gt; StepExecutions.SkippedVerificationCount",
    "FieldTable": "StepExecutions",
    "FieldName": "SkippedVerificationCount",
    "FieldIsDerived": true,
    "IsWritableDerivedField": false,
    "IsMasked": false,
    "GrantKeyWhenReadable": "principal-knowledge-authority|StepExecutions"
   },
   {
    "FieldGrantId": "fg-knowledge-authority-StepExecutions.HasSkippedVerification",
    "Principal": "principal-knowledge-authority",
    "TargetField": "StepExecutions.HasSkippedVerification",
    "CanRead": true,
    "CanWrite": false,
    "MaskStrategy": "plain",
    "SemanticTypeIri": "urn:effortless:pko-extension#FieldGrant",
    "Name": "principal-knowledge-authority -&gt; StepExecutions.HasSkippedVerification",
    "FieldTable": "StepExecutions",
    "FieldName": "HasSkippedVerification",
    "FieldIsDerived": true,
    "IsWritableDerivedField": false,
    "IsMasked": false,
    "GrantKeyWhenReadable": "principal-knowledge-authority|StepExecutions"
   },
   {
    "FieldGrantId": "fg-knowledge-authority-StepExecutions.ClaimsPassWithoutEvidence",
    "Principal": "principal-knowledge-authority",
    "TargetField": "StepExecutions.ClaimsPassWithoutEvidence",
    "CanRead": true,
    "CanWrite": false,
    "MaskStrategy": "plain",
    "SemanticTypeIri": "urn:effortless:pko-extension#FieldGrant",
    "Name": "principal-knowledge-authority -&gt; StepExecutions.ClaimsPassWithoutEvidence",
    "FieldTable": "StepExecutions",
    "FieldName": "ClaimsPassWithoutEvidence",
    "FieldIsDerived": true,
    "IsWritableDerivedField": false,
    "IsMasked": false,
    "GrantKeyWhenReadable": "principal-knowledge-authority|StepExecutions"
   },
   {
    "FieldGrantId": "fg-knowledge-authority-StepExecutions.StepIsPreparation",
    "Principal": "principal-knowledge-authority",
    "TargetField": "StepExecutions.StepIsPreparation",
    "CanRead": true,
    "CanWrite": false,
    "MaskStrategy": "plain",
    "SemanticTypeIri": "urn:effortless:pko-extension#FieldGrant",
    "Name": "principal-knowledge-authority -&gt; StepExecutions.StepIsPreparation",
    "FieldTable": "StepExecutions",
    "FieldName": "StepIsPreparation",
    "FieldIsDerived": true,
    "IsWritableDerivedField": false,
    "IsMasked": false,
    "GrantKeyWhenReadable": "principal-knowledge-authority|StepExecutions"
   },
   {
    "FieldGrantId": "fg-knowledge-authority-StepExecutions.StepIsApproval",
    "Principal": "principal-knowledge-authority",
    "TargetField": "StepExecutions.StepIsApproval",
    "CanRead": true,
    "CanWrite": false,
    "MaskStrategy": "plain",
    "SemanticTypeIri": "urn:effortless:pko-extension#FieldGrant",
    "Name": "principal-knowledge-authority -&gt; StepExecutions.StepIsApproval",
    "FieldTable": "StepExecutions",
    "FieldName": "StepIsApproval",
    "FieldIsDerived": true,
    "IsWritableDerivedField": false,
    "IsMasked": false,
    "GrantKeyWhenReadable": "principal-knowledge-authority|StepExecutions"
   },
   {
    "FieldGrantId": "fg-knowledge-authority-StepExecutions.PreparerAgentKey",
    "Principal": "principal-knowledge-authority",
    "TargetField": "StepExecutions.PreparerAgentKey",
    "CanRead": true,
    "CanWrite": false,
    "MaskStrategy": "plain",
    "SemanticTypeIri": "urn:effortless:pko-extension#FieldGrant",
    "Name": "principal-knowledge-authority -&gt; StepExecutions.PreparerAgentKey",
    "FieldTable": "StepExecutions",
    "FieldName": "PreparerAgentKey",
    "FieldIsDerived": true,
    "IsWritableDerivedField": false,
    "IsMasked": false,
    "GrantKeyWhenReadable": "principal-knowledge-authority|StepExecutions"
   },
   {
    "FieldGrantId": "fg-knowledge-authority-StepExecutions.ApproverAgentKey",
    "Principal": "principal-knowledge-authority",
    "TargetField": "StepExecutions.ApproverAgentKey",
    "CanRead": true,
    "CanWrite": false,
    "MaskStrategy": "plain",
    "SemanticTypeIri": "urn:effortless:pko-extension#FieldGrant",
    "Name": "principal-knowledge-authority -&gt; StepExecutions.ApproverAgentKey",
    "FieldTable": "StepExecutions",
    "FieldName": "ApproverAgentKey",
    "FieldIsDerived": true,
    "IsWritableDerivedField": false,
    "IsMasked": false,
    "GrantKeyWhenReadable": "principal-knowledge-authority|StepExecutions"
   },
   {
    "FieldGrantId": "fg-knowledge-authority-StepExecutions.PreparedByThisAgentCount",
    "Principal": "principal-knowledge-authority",
    "TargetField": "StepExecutions.PreparedByThisAgentCount",
    "CanRead": true,
    "CanWrite": false,
    "MaskStrategy": "plain",
    "SemanticTypeIri": "urn:effortless:pko-extension#FieldGrant",
    "Name": "principal-knowledge-authority -&gt; StepExecutions.PreparedByThisAgentCount",
    "FieldTable": "StepExecutions",
    "FieldName": "PreparedByThisAgentCount",
    "FieldIsDerived": true,
    "IsWritableDerivedField": false,
    "IsMasked": false,
    "GrantKeyWhenReadable": "principal-knowledge-authority|StepExecutions"
   },
   {
    "FieldGrantId": "fg-knowledge-authority-StepExecutions.ViolatesSeparationOfDuties",
    "Principal": "principal-knowledge-authority",
    "TargetField": "StepExecutions.ViolatesSeparationOfDuties",
    "CanRead": true,
    "CanWrite": false,
    "MaskStrategy": "plain",
    "SemanticTypeIri": "urn:effortless:pko-extension#FieldGrant",
    "Name": "principal-knowledge-authority -&gt; StepExecutions.ViolatesSeparationOfDuties",
    "FieldTable": "StepExecutions",
    "FieldName": "ViolatesSeparationOfDuties",
    "FieldIsDerived": true,
    "IsWritableDerivedField": false,
    "IsMasked": false,
    "GrantKeyWhenReadable": "principal-knowledge-authority|StepExecutions"
   },
   {
    "FieldGrantId": "fg-knowledge-authority-StepExecutions.RequiredRoleForStep",
    "Principal": "principal-knowledge-authority",
    "TargetField": "StepExecutions.RequiredRoleForStep",
    "CanRead": true,
    "CanWrite": false,
    "MaskStrategy": "plain",
    "SemanticTypeIri": "urn:effortless:pko-extension#FieldGrant",
    "Name": "principal-knowledge-authority -&gt; StepExecutions.RequiredRoleForStep",
    "FieldTable": "StepExecutions",
    "FieldName": "RequiredRoleForStep",
    "FieldIsDerived": true,
    "IsWritableDerivedField": false,
    "IsMasked": false,
    "GrantKeyWhenReadable": "principal-knowledge-authority|StepExecutions"
   },
   {
    "FieldGrantId": "fg-knowledge-authority-StepExecutions.ExecutorRoleKey",
    "Principal": "principal-knowledge-authority",
    "TargetField": "StepExecutions.ExecutorRoleKey",
    "CanRead": true,
    "CanWrite": false,
    "MaskStrategy": "plain",
    "SemanticTypeIri": "urn:effortless:pko-extension#FieldGrant",
    "Name": "principal-knowledge-authority -&gt; StepExecutions.ExecutorRoleKey",
    "FieldTable": "StepExecutions",
    "FieldName": "ExecutorRoleKey",
    "FieldIsDerived": true,
    "IsWritableDerivedField": false,
    "IsMasked": false,
    "GrantKeyWhenReadable": "principal-knowledge-authority|StepExecutions"
   },
   {
    "FieldGrantId": "fg-knowledge-authority-StepExecutions.ExecutorAuthorityCount",
    "Principal": "principal-knowledge-authority",
    "TargetField": "StepExecutions.ExecutorAuthorityCount",
    "CanRead": true,
    "CanWrite": false,
    "MaskStrategy": "plain",
    "SemanticTypeIri": "urn:effortless:pko-extension#FieldGrant",
    "Name": "principal-knowledge-authority -&gt; StepExecutions.ExecutorAuthorityCount",
    "FieldTable": "StepExecutions",
    "FieldName": "ExecutorAuthorityCount",
    "FieldIsDerived": true,
    "IsWritableDerivedField": false,
    "IsMasked": false,
    "GrantKeyWhenReadable": "principal-knowledge-authority|StepExecutions"
   },
   {
    "FieldGrantId": "fg-knowledge-authority-StepExecutions.ExecutorHeldRequiredRole",
    "Principal": "principal-knowledge-authority",
    "TargetField": "StepExecutions.ExecutorHeldRequiredRole",
    "CanRead": true,
    "CanWrite": false,
    "MaskStrategy": "plain",
    "SemanticTypeIri": "urn:effortless:pko-extension#FieldGrant",
    "Name": "principal-knowledge-authority -&gt; StepExecutions.ExecutorHeldRequiredRole",
    "FieldTable": "StepExecutions",
    "FieldName": "ExecutorHeldRequiredRole",
    "FieldIsDerived": true,
    "IsWritableDerivedField": false,
    "IsMasked": false,
    "GrantKeyWhenReadable": "principal-knowledge-authority|StepExecutions"
   },
   {
    "FieldGrantId": "fg-knowledge-authority-StepExecutions.IsUnauthorizedApproval",
    "Principal": "principal-knowledge-authority",
    "TargetField": "StepExecutions.IsUnauthorizedApproval",
    "CanRead": true,
    "CanWrite": false,
    "MaskStrategy": "plain",
    "SemanticTypeIri": "urn:effortless:pko-extension#FieldGrant",
    "Name": "principal-knowledge-authority -&gt; StepExecutions.IsUnauthorizedApproval",
    "FieldTable": "StepExecutions",
    "FieldName": "IsUnauthorizedApproval",
    "FieldIsDerived": true,
    "IsWritableDerivedField": false,
    "IsMasked": false,
    "GrantKeyWhenReadable": "principal-knowledge-authority|StepExecutions"
   },
   {
    "FieldGrantId": "fg-knowledge-authority-StepExecutions.CompletedExecutionKey",
    "Principal": "principal-knowledge-authority",
    "TargetField": "StepExecutions.CompletedExecutionKey",
    "CanRead": true,
    "CanWrite": false,
    "MaskStrategy": "plain",
    "SemanticTypeIri": "urn:effortless:pko-extension#FieldGrant",
    "Name": "principal-knowledge-authority -&gt; StepExecutions.CompletedExecutionKey",
    "FieldTable": "StepExecutions",
    "FieldName": "CompletedExecutionKey",
    "FieldIsDerived": true,
    "IsWritableDerivedField": false,
    "IsMasked": false,
    "GrantKeyWhenReadable": "principal-knowledge-authority|StepExecutions"
   },
   {
    "FieldGrantId": "fg-knowledge-authority-StepExecutions.ControlBreachExecutionKey",
    "Principal": "principal-knowledge-authority",
    "TargetField": "StepExecutions.ControlBreachExecutionKey",
    "CanRead": true,
    "CanWrite": false,
    "MaskStrategy": "plain",
    "SemanticTypeIri": "urn:effortless:pko-extension#FieldGrant",
    "Name": "principal-knowledge-authority -&gt; StepExecutions.ControlBreachExecutionKey",
    "FieldTable": "StepExecutions",
    "FieldName": "ControlBreachExecutionKey",
    "FieldIsDerived": true,
    "IsWritableDerivedField": false,
    "IsMasked": false,
    "GrantKeyWhenReadable": "principal-knowledge-authority|StepExecutions"
   },
   {
    "FieldGrantId": "fg-knowledge-authority-StepExecutions.LateExecutionKey",
    "Principal": "principal-knowledge-authority",
    "TargetField": "StepExecutions.LateExecutionKey",
    "CanRead": true,
    "CanWrite": false,
    "MaskStrategy": "plain",
    "SemanticTypeIri": "urn:effortless:pko-extension#FieldGrant",
    "Name": "principal-knowledge-authority -&gt; StepExecutions.LateExecutionKey",
    "FieldTable": "StepExecutions",
    "FieldName": "LateExecutionKey",
    "FieldIsDerived": true,
    "IsWritableDerivedField": false,
    "IsMasked": false,
    "GrantKeyWhenReadable": "principal-knowledge-authority|StepExecutions"
   },
   {
    "FieldGrantId": "fg-knowledge-authority-StepExecutions.ExecutorAgentKind",
    "Principal": "principal-knowledge-authority",
    "TargetField": "StepExecutions.ExecutorAgentKind",
    "CanRead": true,
    "CanWrite": false,
    "MaskStrategy": "plain",
    "SemanticTypeIri": "urn:effortless:pko-extension#FieldGrant",
    "Name": "principal-knowledge-authority -&gt; StepExecutions.ExecutorAgentKind",
    "FieldTable": "StepExecutions",
    "FieldName": "ExecutorAgentKind",
    "FieldIsDerived": true,
    "IsWritableDerivedField": false,
    "IsMasked": false,
    "GrantKeyWhenReadable": "principal-knowledge-authority|StepExecutions"
   },
   {
    "FieldGrantId": "fg-knowledge-authority-StepExecutions.ExecutorIsHuman",
    "Principal": "principal-knowledge-authority",
    "TargetField": "StepExecutions.ExecutorIsHuman",
    "CanRead": true,
    "CanWrite": false,
    "MaskStrategy": "plain",
    "SemanticTypeIri": "urn:effortless:pko-extension#FieldGrant",
    "Name": "principal-knowledge-authority -&gt; StepExecutions.ExecutorIsHuman",
    "FieldTable": "StepExecutions",
    "FieldName": "ExecutorIsHuman",
    "FieldIsDerived": true,
    "IsWritableDerivedField": false,
    "IsMasked": false,
    "GrantKeyWhenReadable": "principal-knowledge-authority|StepExecutions"
   },
   {
    "FieldGrantId": "fg-knowledge-authority-StepExecutions.StepRequiresHumanConfirmation",
    "Principal": "principal-knowledge-authority",
    "TargetField": "StepExecutions.StepRequiresHumanConfirmation",
    "CanRead": true,
    "CanWrite": false,
    "MaskStrategy": "plain",
    "SemanticTypeIri": "urn:effortless:pko-extension#FieldGrant",
    "Name": "principal-knowledge-authority -&gt; StepExecutions.StepRequiresHumanConfirmation",
    "FieldTable": "StepExecutions",
    "FieldName": "StepRequiresHumanConfirmation",
    "FieldIsDerived": true,
    "IsWritableDerivedField": false,
    "IsMasked": false,
    "GrantKeyWhenReadable": "principal-knowledge-authority|StepExecutions"
   },
   {
    "FieldGrantId": "fg-knowledge-authority-StepExecutions.NonHumanRanHumanStep",
    "Principal": "principal-knowledge-authority",
    "TargetField": "StepExecutions.NonHumanRanHumanStep",
    "CanRead": true,
    "CanWrite": false,
    "MaskStrategy": "plain",
    "SemanticTypeIri": "urn:effortless:pko-extension#FieldGrant",
    "Name": "principal-knowledge-authority -&gt; StepExecutions.NonHumanRanHumanStep",
    "FieldTable": "StepExecutions",
    "FieldName": "NonHumanRanHumanStep",
    "FieldIsDerived": true,
    "IsWritableDerivedField": false,
    "IsMasked": false,
    "GrantKeyWhenReadable": "principal-knowledge-authority|StepExecutions"
   },
   {
    "FieldGrantId": "fg-knowledge-authority-StepExecutions.NonHumanApproval",
    "Principal": "principal-knowledge-authority",
    "TargetField": "StepExecutions.NonHumanApproval",
    "CanRead": true,
    "CanWrite": false,
    "MaskStrategy": "plain",
    "SemanticTypeIri": "urn:effortless:pko-extension#FieldGrant",
    "Name": "principal-knowledge-authority -&gt; StepExecutions.NonHumanApproval",
    "FieldTable": "StepExecutions",
    "FieldName": "NonHumanApproval",
    "FieldIsDerived": true,
    "IsWritableDerivedField": false,
    "IsMasked": false,
    "GrantKeyWhenReadable": "principal-knowledge-authority|StepExecutions"
   },
   {
    "FieldGrantId": "fg-knowledge-authority-StepExecutions.UnevaluatedBlockingExecutionKey",
    "Principal": "principal-knowledge-authority",
    "TargetField": "StepExecutions.UnevaluatedBlockingExecutionKey",
    "CanRead": true,
    "CanWrite": false,
    "MaskStrategy": "plain",
    "SemanticTypeIri": "urn:effortless:pko-extension#FieldGrant",
    "Name": "principal-knowledge-authority -&gt; StepExecutions.UnevaluatedBlockingExecutionKey",
    "FieldTable": "StepExecutions",
    "FieldName": "UnevaluatedBlockingExecutionKey",
    "FieldIsDerived": true,
    "IsWritableDerivedField": false,
    "IsMasked": false,
    "GrantKeyWhenReadable": "principal-knowledge-authority|StepExecutions"
   },
   {
    "FieldGrantId": "fg-knowledge-authority-StepExecutions.SeparationViolationExecutionKey",
    "Principal": "principal-knowledge-authority",
    "TargetField": "StepExecutions.SeparationViolationExecutionKey",
    "CanRead": true,
    "CanWrite": false,
    "MaskStrategy": "plain",
    "SemanticTypeIri": "urn:effortless:pko-extension#FieldGrant",
    "Name": "principal-knowledge-authority -&gt; StepExecutions.SeparationViolationExecutionKey",
    "FieldTable": "StepExecutions",
    "FieldName": "SeparationViolationExecutionKey",
    "FieldIsDerived": true,
    "IsWritableDerivedField": false,
    "IsMasked": false,
    "GrantKeyWhenReadable": "principal-knowledge-authority|StepExecutions"
   },
   {
    "FieldGrantId": "fg-knowledge-authority-StepExecutions.SelfWitnessedVerificationCount",
    "Principal": "principal-knowledge-authority",
    "TargetField": "StepExecutions.SelfWitnessedVerificationCount",
    "CanRead": true,
    "CanWrite": false,
    "MaskStrategy": "plain",
    "SemanticTypeIri": "urn:effortless:pko-extension#FieldGrant",
    "Name": "principal-knowledge-authority -&gt; StepExecutions.SelfWitnessedVerificationCount",
    "FieldTable": "StepExecutions",
    "FieldName": "SelfWitnessedVerificationCount",
    "FieldIsDerived": true,
    "IsWritableDerivedField": false,
    "IsMasked": false,
    "GrantKeyWhenReadable": "principal-knowledge-authority|StepExecutions"
   },
   {
    "FieldGrantId": "fg-knowledge-authority-StepExecutions.UnbackedVerificationCount",
    "Principal": "principal-knowledge-authority",
    "TargetField": "StepExecutions.UnbackedVerificationCount",
    "CanRead": true,
    "CanWrite": false,
    "MaskStrategy": "plain",
    "SemanticTypeIri": "urn:effortless:pko-extension#FieldGrant",
    "Name": "principal-knowledge-authority -&gt; StepExecutions.UnbackedVerificationCount",
    "FieldTable": "StepExecutions",
    "FieldName": "UnbackedVerificationCount",
    "FieldIsDerived": true,
    "IsWritableDerivedField": false,
    "IsMasked": false,
    "GrantKeyWhenReadable": "principal-knowledge-authority|StepExecutions"
   },
   {
    "FieldGrantId": "fg-knowledge-authority-StepExecutions.ApprovalRestsOnSelfAttestation",
    "Principal": "principal-knowledge-authority",
    "TargetField": "StepExecutions.ApprovalRestsOnSelfAttestation",
    "CanRead": true,
    "CanWrite": false,
    "MaskStrategy": "plain",
    "SemanticTypeIri": "urn:effortless:pko-extension#FieldGrant",
    "Name": "principal-knowledge-authority -&gt; StepExecutions.ApprovalRestsOnSelfAttestation",
    "FieldTable": "StepExecutions",
    "FieldName": "ApprovalRestsOnSelfAttestation",
    "FieldIsDerived": true,
    "IsWritableDerivedField": false,
    "IsMasked": false,
    "GrantKeyWhenReadable": "principal-knowledge-authority|StepExecutions"
   },
   {
    "FieldGrantId": "fg-knowledge-authority-StepExecutions.ExceptionInvocationCount",
    "Principal": "principal-knowledge-authority",
    "TargetField": "StepExecutions.ExceptionInvocationCount",
    "CanRead": true,
    "CanWrite": false,
    "MaskStrategy": "plain",
    "SemanticTypeIri": "urn:effortless:pko-extension#FieldGrant",
    "Name": "principal-knowledge-authority -&gt; StepExecutions.ExceptionInvocationCount",
    "FieldTable": "StepExecutions",
    "FieldName": "ExceptionInvocationCount",
    "FieldIsDerived": true,
    "IsWritableDerivedField": false,
    "IsMasked": false,
    "GrantKeyWhenReadable": "principal-knowledge-authority|StepExecutions"
   },
   {
    "FieldGrantId": "fg-knowledge-authority-StepExecutions.RanUnderException",
    "Principal": "principal-knowledge-authority",
    "TargetField": "StepExecutions.RanUnderException",
    "CanRead": true,
    "CanWrite": false,
    "MaskStrategy": "plain",
    "SemanticTypeIri": "urn:effortless:pko-extension#FieldGrant",
    "Name": "principal-knowledge-authority -&gt; StepExecutions.RanUnderException",
    "FieldTable": "StepExecutions",
    "FieldName": "RanUnderException",
    "FieldIsDerived": true,
    "IsWritableDerivedField": false,
    "IsMasked": false,
    "GrantKeyWhenReadable": "principal-knowledge-authority|StepExecutions"
   },
   {
    "FieldGrantId": "fg-knowledge-authority-StepExecutions.IsCompleted",
    "Principal": "principal-knowledge-authority",
    "TargetField": "StepExecutions.IsCompleted",
    "CanRead": true,
    "CanWrite": false,
    "MaskStrategy": "plain",
    "SemanticTypeIri": "urn:effortless:pko-extension#FieldGrant",
    "Name": "principal-knowledge-authority -&gt; StepExecutions.IsCompleted",
    "FieldTable": "StepExecutions",
    "FieldName": "IsCompleted",
    "FieldIsDerived": true,
    "IsWritableDerivedField": false,
    "IsMasked": false,
    "GrantKeyWhenReadable": "principal-knowledge-authority|StepExecutions"
   },
   {
    "FieldGrantId": "fg-knowledge-authority-StepExecutions.IsVerificationPassed",
    "Principal": "principal-knowledge-authority",
    "TargetField": "StepExecutions.IsVerificationPassed",
    "CanRead": true,
    "CanWrite": false,
    "MaskStrategy": "plain",
    "SemanticTypeIri": "urn:effortless:pko-extension#FieldGrant",
    "Name": "principal-knowledge-authority -&gt; StepExecutions.IsVerificationPassed",
    "FieldTable": "StepExecutions",
    "FieldName": "IsVerificationPassed",
    "FieldIsDerived": true,
    "IsWritableDerivedField": false,
    "IsMasked": false,
    "GrantKeyWhenReadable": "principal-knowledge-authority|StepExecutions"
   },
   {
    "FieldGrantId": "fg-knowledge-authority-StepExecutions.IsLegalReviewStep",
    "Principal": "principal-knowledge-authority",
    "TargetField": "StepExecutions.IsLegalReviewStep",
    "CanRead": true,
    "CanWrite": false,
    "MaskStrategy": "plain",
    "SemanticTypeIri": "urn:effortless:pko-extension#FieldGrant",
    "Name": "principal-knowledge-authority -&gt; StepExecutions.IsLegalReviewStep",
    "FieldTable": "StepExecutions",
    "FieldName": "IsLegalReviewStep",
    "FieldIsDerived": true,
    "IsWritableDerivedField": false,
    "IsMasked": false,
    "GrantKeyWhenReadable": "principal-knowledge-authority|StepExecutions"
   },
   {
    "FieldGrantId": "fg-knowledge-authority-StepExecutions.ClearedLegalReviewKey",
    "Principal": "principal-knowledge-authority",
    "TargetField": "StepExecutions.ClearedLegalReviewKey",
    "CanRead": true,
    "CanWrite": false,
    "MaskStrategy": "plain",
    "SemanticTypeIri": "urn:effortless:pko-extension#FieldGrant",
    "Name": "principal-knowledge-authority -&gt; StepExecutions.ClearedLegalReviewKey",
    "FieldTable": "StepExecutions",
    "FieldName": "ClearedLegalReviewKey",
    "FieldIsDerived": true,
    "IsWritableDerivedField": false,
    "IsMasked": false,
    "GrantKeyWhenReadable": "principal-knowledge-authority|StepExecutions"
   },
   {
    "FieldGrantId": "fg-knowledge-authority-StepExecutions.AssignedRole",
    "Principal": "principal-knowledge-authority",
    "TargetField": "StepExecutions.AssignedRole",
    "CanRead": true,
    "CanWrite": false,
    "MaskStrategy": "plain",
    "SemanticTypeIri": "urn:effortless:pko-extension#FieldGrant",
    "Name": "principal-knowledge-authority -&gt; StepExecutions.AssignedRole",
    "FieldTable": "StepExecutions",
    "FieldName": "AssignedRole",
    "FieldIsDerived": true,
    "IsWritableDerivedField": false,
    "IsMasked": false,
    "GrantKeyWhenReadable": "principal-knowledge-authority|StepExecutions"
   },
   {
    "FieldGrantId": "fg-knowledge-authority-StepExecutions.RoleCurrentAgent",
    "Principal": "principal-knowledge-authority",
    "TargetField": "StepExecutions.RoleCurrentAgent",
    "CanRead": true,
    "CanWrite": false,
    "MaskStrategy": "plain",
    "SemanticTypeIri": "urn:effortless:pko-extension#FieldGrant",
    "Name": "principal-knowledge-authority -&gt; StepExecutions.RoleCurrentAgent",
    "FieldTable": "StepExecutions",
    "FieldName": "RoleCurrentAgent",
    "FieldIsDerived": true,
    "IsWritableDerivedField": false,
    "IsMasked": false,
    "GrantKeyWhenReadable": "principal-knowledge-authority|StepExecutions"
   },
   {
    "FieldGrantId": "fg-knowledge-authority-StepExecutions.ExecutorIsDesignatedAgent",
    "Principal": "principal-knowledge-authority",
    "TargetField": "StepExecutions.ExecutorIsDesignatedAgent",
    "CanRead": true,
    "CanWrite": false,
    "MaskStrategy": "plain",
    "SemanticTypeIri": "urn:effortless:pko-extension#FieldGrant",
    "Name": "principal-knowledge-authority -&gt; StepExecutions.ExecutorIsDesignatedAgent",
    "FieldTable": "StepExecutions",
    "FieldName": "ExecutorIsDesignatedAgent",
    "FieldIsDerived": true,
    "IsWritableDerivedField": false,
    "IsMasked": false,
    "GrantKeyWhenReadable": "principal-knowledge-authority|StepExecutions"
   },
   {
    "FieldGrantId": "fg-knowledge-authority-StepExecutions.InputsWereFreshAtRun",
    "Principal": "principal-knowledge-authority",
    "TargetField": "StepExecutions.InputsWereFreshAtRun",
    "CanRead": true,
    "CanWrite": false,
    "MaskStrategy": "plain",
    "SemanticTypeIri": "urn:effortless:pko-extension#FieldGrant",
    "Name": "principal-knowledge-authority -&gt; StepExecutions.InputsWereFreshAtRun",
    "FieldTable": "StepExecutions",
    "FieldName": "InputsWereFreshAtRun",
    "FieldIsDerived": true,
    "IsWritableDerivedField": false,
    "IsMasked": false,
    "GrantKeyWhenReadable": "principal-knowledge-authority|StepExecutions"
   },
   {
    "FieldGrantId": "fg-knowledge-authority-StepExecutions.RanOnStaleInputs",
    "Principal": "principal-knowledge-authority",
    "TargetField": "StepExecutions.RanOnStaleInputs",
    "CanRead": true,
    "CanWrite": false,
    "MaskStrategy": "plain",
    "SemanticTypeIri": "urn:effortless:pko-extension#FieldGrant",
    "Name": "principal-knowledge-authority -&gt; StepExecutions.RanOnStaleInputs",
    "FieldTable": "StepExecutions",
    "FieldName": "RanOnStaleInputs",
    "FieldIsDerived": true,
    "IsWritableDerivedField": false,
    "IsMasked": false,
    "GrantKeyWhenReadable": "principal-knowledge-authority|StepExecutions"
   },
   {
    "FieldGrantId": "fg-knowledge-authority-StepExecutions.UnresolvedIssueCount",
    "Principal": "principal-knowledge-authority",
    "TargetField": "StepExecutions.UnresolvedIssueCount",
    "CanRead": true,
    "CanWrite": false,
    "MaskStrategy": "plain",
    "SemanticTypeIri": "urn:effortless:pko-extension#FieldGrant",
    "Name": "principal-knowledge-authority -&gt; StepExecutions.UnresolvedIssueCount",
    "FieldTable": "StepExecutions",
    "FieldName": "UnresolvedIssueCount",
    "FieldIsDerived": true,
    "IsWritableDerivedField": false,
    "IsMasked": false,
    "GrantKeyWhenReadable": "principal-knowledge-authority|StepExecutions"
   },
   {
    "FieldGrantId": "fg-knowledge-authority-StepExecutions.HasDeviation",
    "Principal": "principal-knowledge-authority",
    "TargetField": "StepExecutions.HasDeviation",
    "CanRead": true,
    "CanWrite": false,
    "MaskStrategy": "plain",
    "SemanticTypeIri": "urn:effortless:pko-extension#FieldGrant",
    "Name": "principal-knowledge-authority -&gt; StepExecutions.HasDeviation",
    "FieldTable": "StepExecutions",
    "FieldName": "HasDeviation",
    "FieldIsDerived": true,
    "IsWritableDerivedField": false,
    "IsMasked": false,
    "GrantKeyWhenReadable": "principal-knowledge-authority|StepExecutions"
   },
   {
    "FieldGrantId": "fg-knowledge-authority-StepExecutions.IsClean",
    "Principal": "principal-knowledge-authority",
    "TargetField": "StepExecutions.IsClean",
    "CanRead": true,
    "CanWrite": false,
    "MaskStrategy": "</t>
  </si>
  <si>
    <t xml:space="preserve">plain",
    "SemanticTypeIri": "urn:effortless:pko-extension#FieldGrant",
    "Name": "principal-knowledge-authority -&gt; StepExecutions.IsClean",
    "FieldTable": "StepExecutions",
    "FieldName": "IsClean",
    "FieldIsDerived": true,
    "IsWritableDerivedField": false,
    "IsMasked": false,
    "GrantKeyWhenReadable": "principal-knowledge-authority|StepExecutions"
   },
   {
    "FieldGrantId": "fg-knowledge-authority-StepExecutions.ProcedureExecutionWhenUnclean",
    "Principal": "principal-knowledge-authority",
    "TargetField": "StepExecutions.ProcedureExecutionWhenUnclean",
    "CanRead": true,
    "CanWrite": false,
    "MaskStrategy": "plain",
    "SemanticTypeIri": "urn:effortless:pko-extension#FieldGrant",
    "Name": "principal-knowledge-authority -&gt; StepExecutions.ProcedureExecutionWhenUnclean",
    "FieldTable": "StepExecutions",
    "FieldName": "ProcedureExecutionWhenUnclean",
    "FieldIsDerived": true,
    "IsWritableDerivedField": false,
    "IsMasked": false,
    "GrantKeyWhenReadable": "principal-knowledge-authority|StepExecutions"
   },
   {
    "FieldGrantId": "fg-knowledge-authority-StepExecutions.EvaluatedRequirementCount",
    "Principal": "principal-knowledge-authority",
    "TargetField": "StepExecutions.EvaluatedRequirementCount",
    "CanRead": true,
    "CanWrite": false,
    "MaskStrategy": "plain",
    "SemanticTypeIri": "urn:effortless:pko-extension#FieldGrant",
    "Name": "principal-knowledge-authority -&gt; StepExecutions.EvaluatedRequirementCount",
    "FieldTable": "StepExecutions",
    "FieldName": "EvaluatedRequirementCount",
    "FieldIsDerived": true,
    "IsWritableDerivedField": false,
    "IsMasked": false,
    "GrantKeyWhenReadable": "principal-knowledge-authority|StepExecutions"
   },
   {
    "FieldGrantId": "fg-knowledge-authority-StepExecutions.RequiredBlockingCount",
    "Principal": "principal-knowledge-authority",
    "TargetField": "StepExecutions.RequiredBlockingCount",
    "CanRead": true,
    "CanWrite": false,
    "MaskStrategy": "plain",
    "SemanticTypeIri": "urn:effortless:pko-extension#FieldGrant",
    "Name": "principal-knowledge-authority -&gt; StepExecutions.RequiredBlockingCount",
    "FieldTable": "StepExecutions",
    "FieldName": "RequiredBlockingCount",
    "FieldIsDerived": true,
    "IsWritableDerivedField": false,
    "IsMasked": false,
    "GrantKeyWhenReadable": "principal-knowledge-authority|StepExecutions"
   },
   {
    "FieldGrantId": "fg-knowledge-authority-StepExecutions.HasUnevaluatedBlockingRequirement",
    "Principal": "principal-knowledge-authority",
    "TargetField": "StepExecutions.HasUnevaluatedBlockingRequirement",
    "CanRead": true,
    "CanWrite": false,
    "MaskStrategy": "plain",
    "SemanticTypeIri": "urn:effortless:pko-extension#FieldGrant",
    "Name": "principal-knowledge-authority -&gt; StepExecutions.HasUnevaluatedBlockingRequirement",
    "FieldTable": "StepExecutions",
    "FieldName": "HasUnevaluatedBlockingRequirement",
    "FieldIsDerived": true,
    "IsWritableDerivedField": false,
    "IsMasked": false,
    "GrantKeyWhenReadable": "principal-knowledge-authority|StepExecutions"
   },
   {
    "FieldGrantId": "fg-knowledge-authority-StepExecutions.ExecutingAgentKind",
    "Principal": "principal-knowledge-authority",
    "TargetField": "StepExecutions.ExecutingAgentKind",
    "CanRead": true,
    "CanWrite": false,
    "MaskStrategy": "plain",
    "SemanticTypeIri": "urn:effortless:pko-extension#FieldGrant",
    "Name": "principal-knowledge-authority -&gt; StepExecutions.ExecutingAgentKind",
    "FieldTable": "StepExecutions",
    "FieldName": "ExecutingAgentKind",
    "FieldIsDerived": true,
    "IsWritableDerivedField": false,
    "IsMasked": false,
    "GrantKeyWhenReadable": "principal-knowledge-authority|StepExecutions"
   },
   {
    "FieldGrantId": "fg-knowledge-authority-StepExecutions.WasExecutedBySoftware",
    "Principal": "principal-knowledge-authority",
    "TargetField": "StepExecutions.WasExecutedBySoftware",
    "CanRead": true,
    "CanWrite": false,
    "MaskStrategy": "plain",
    "SemanticTypeIri": "urn:effortless:pko-extension#FieldGrant",
    "Name": "principal-knowledge-authority -&gt; StepExecutions.WasExecutedBySoftware",
    "FieldTable": "StepExecutions",
    "FieldName": "WasExecutedBySoftware",
    "FieldIsDerived": true,
    "IsWritableDerivedField": false,
    "IsMasked": false,
    "GrantKeyWhenReadable": "principal-knowledge-authority|StepExecutions"
   },
   {
    "FieldGrantId": "fg-knowledge-authority-StepExecutions.StepIsSoftwareAssigned",
    "Principal": "principal-knowledge-authority",
    "TargetField": "StepExecutions.StepIsSoftwareAssigned",
    "CanRead": true,
    "CanWrite": false,
    "MaskStrategy": "plain",
    "SemanticTypeIri": "urn:effortless:pko-extension#FieldGrant",
    "Name": "principal-knowledge-authority -&gt; StepExecutions.StepIsSoftwareAssigned",
    "FieldTable": "StepExecutions",
    "FieldName": "StepIsSoftwareAssigned",
    "FieldIsDerived": true,
    "IsWritableDerivedField": false,
    "IsMasked": false,
    "GrantKeyWhenReadable": "principal-knowledge-authority|StepExecutions"
   },
   {
    "FieldGrantId": "fg-knowledge-authority-StepExecutions.SoftwareDidHumanWork",
    "Principal": "principal-knowledge-authority",
    "TargetField": "StepExecutions.SoftwareDidHumanWork",
    "CanRead": true,
    "CanWrite": false,
    "MaskStrategy": "plain",
    "SemanticTypeIri": "urn:effortless:pko-extension#FieldGrant",
    "Name": "principal-knowledge-authority -&gt; StepExecutions.SoftwareDidHumanWork",
    "FieldTable": "StepExecutions",
    "FieldName": "SoftwareDidHumanWork",
    "FieldIsDerived": true,
    "IsWritableDerivedField": false,
    "IsMasked": false,
    "GrantKeyWhenReadable": "principal-knowledge-authority|StepExecutions"
   },
   {
    "FieldGrantId": "fg-knowledge-authority-StepExecutions.IsApprovalExecution",
    "Principal": "principal-knowledge-authority",
    "TargetField": "StepExecutions.IsApprovalExecution",
    "CanRead": true,
    "CanWrite": false,
    "MaskStrategy": "plain",
    "SemanticTypeIri": "urn:effortless:pko-extension#FieldGrant",
    "Name": "principal-knowledge-authority -&gt; StepExecutions.IsApprovalExecution",
    "FieldTable": "StepExecutions",
    "FieldName": "IsApprovalExecution",
    "FieldIsDerived": true,
    "IsWritableDerivedField": false,
    "IsMasked": false,
    "GrantKeyWhenReadable": "principal-knowledge-authority|StepExecutions"
   },
   {
    "FieldGrantId": "fg-knowledge-authority-StepExecutions.IsVerified",
    "Principal": "principal-knowledge-authority",
    "TargetField": "StepExecutions.IsVerified",
    "CanRead": true,
    "CanWrite": false,
    "MaskStrategy": "plain",
    "SemanticTypeIri": "urn:effortless:pko-extension#FieldGrant",
    "Name": "principal-knowledge-authority -&gt; StepExecutions.IsVerified",
    "FieldTable": "StepExecutions",
    "FieldName": "IsVerified",
    "FieldIsDerived": true,
    "IsWritableDerivedField": false,
    "IsMasked": false,
    "GrantKeyWhenReadable": "principal-knowledge-authority|StepExecutions"
   },
   {
    "FieldGrantId": "fg-knowledge-authority-StepExecutions.UnconfirmedNonHumanDecisionCount",
    "Principal": "principal-knowledge-authority",
    "TargetField": "StepExecutions.UnconfirmedNonHumanDecisionCount",
    "CanRead": true,
    "CanWrite": false,
    "MaskStrategy": "plain",
    "SemanticTypeIri": "urn:effortless:pko-extension#FieldGrant",
    "Name": "principal-knowledge-authority -&gt; StepExecutions.UnconfirmedNonHumanDecisionCount",
    "FieldTable": "StepExecutions",
    "FieldName": "UnconfirmedNonHumanDecisionCount",
    "FieldIsDerived": true,
    "IsWritableDerivedField": false,
    "IsMasked": false,
    "GrantKeyWhenReadable": "principal-knowledge-authority|StepExecutions"
   },
   {
    "FieldGrantId": "fg-knowledge-authority-StepExecutions.RequiresHumanConfirmation",
    "Principal": "principal-knowledge-authority",
    "TargetField": "StepExecutions.RequiresHumanConfirmation",
    "CanRead": true,
    "CanWrite": false,
    "MaskStrategy": "plain",
    "SemanticTypeIri": "urn:effortless:pko-extension#FieldGrant",
    "Name": "principal-knowledge-authority -&gt; StepExecutions.RequiresHumanConfirmation",
    "FieldTable": "StepExecutions",
    "FieldName": "RequiresHumanConfirmation",
    "FieldIsDerived": true,
    "IsWritableDerivedField": false,
    "IsMasked": false,
    "GrantKeyWhenReadable": "principal-knowledge-authority|StepExecutions"
   },
   {
    "FieldGrantId": "fg-knowledge-authority-StepExecutions.HumanConfirmationMissing",
    "Principal": "principal-knowledge-authority",
    "TargetField": "StepExecutions.HumanConfirmationMissing",
    "CanRead": true,
    "CanWrite": false,
    "MaskStrategy": "plain",
    "SemanticTypeIri": "urn:effortless:pko-extension#FieldGrant",
    "Name": "principal-knowledge-authority -&gt; StepExecutions.HumanConfirmationMissing",
    "FieldTable": "StepExecutions",
    "FieldName": "HumanConfirmationMissing",
    "FieldIsDerived": true,
    "IsWritableDerivedField": false,
    "IsMasked": false,
    "GrantKeyWhenReadable": "principal-knowledge-authority|StepExecutions"
   },
   {
    "FieldGrantId": "fg-knowledge-authority-StepExecutions.DraftedFromUnusableSource",
    "Principal": "principal-knowledge-authority",
    "TargetField": "StepExecutions.DraftedFromUnusableSource",
    "CanRead": true,
    "CanWrite": false,
    "MaskStrategy": "plain",
    "SemanticTypeIri": "urn:effortless:pko-extension#FieldGrant",
    "Name": "principal-knowledge-authority -&gt; StepExecutions.DraftedFromUnusableSource",
    "FieldTable": "StepExecutions",
    "FieldName": "DraftedFromUnusableSource",
    "FieldIsDerived": true,
    "IsWritableDerivedField": false,
    "IsMasked": false,
    "GrantKeyWhenReadable": "principal-knowledge-authority|StepExecutions"
   },
   {
    "FieldGrantId": "fg-knowledge-authority-StepExecutions.InputsWereUsable",
    "Principal": "principal-knowledge-authority",
    "TargetField": "StepExecutions.InputsWereUsable",
    "CanRead": true,
    "CanWrite": false,
    "MaskStrategy": "plain",
    "SemanticTypeIri": "urn:effortless:pko-extension#FieldGrant",
    "Name": "principal-knowledge-authority -&gt; StepExecutions.InputsWereUsable",
    "FieldTable": "StepExecutions",
    "FieldName": "InputsWereUsable",
    "FieldIsDerived": true,
    "IsWritableDerivedField": false,
    "IsMasked": false,
    "GrantKeyWhenReadable": "principal-knowledge-authority|StepExecutions"
   },
   {
    "FieldGrantId": "fg-knowledge-authority-StepExecutions.SoftwareExecutionStepKey",
    "Principal": "principal-knowledge-authority",
    "TargetField": "StepExecutions.SoftwareExecutionStepKey",
    "CanRead": true,
    "CanWrite": false,
    "MaskStrategy": "plain",
    "SemanticTypeIri": "urn:effortless:pko-extension#FieldGrant",
    "Name": "principal-knowledge-authority -&gt; StepExecutions.SoftwareExecutionStepKey",
    "FieldTable": "StepExecutions",
    "FieldName": "SoftwareExecutionStepKey",
    "FieldIsDerived": true,
    "IsWritableDerivedField": false,
    "IsMasked": false,
    "GrantKeyWhenReadable": "principal-knowledge-authority|StepExecutions"
   },
   {
    "FieldGrantId": "fg-knowledge-authority-StepExecutions.StepControlKind",
    "Principal": "principal-knowledge-authority",
    "TargetField": "StepExecutions.StepControlKind",
    "CanRead": true,
    "CanWrite": false,
    "MaskStrategy": "plain",
    "SemanticTypeIri": "urn:effortless:pko-extension#FieldGrant",
    "Name": "principal-knowledge-authority -&gt; StepExecutions.StepControlKind",
    "FieldTable": "StepExecutions",
    "FieldName": "StepControlKind",
    "FieldIsDerived": true,
    "IsWritableDerivedField": false,
    "IsMasked": false,
    "GrantKeyWhenReadable": "principal-knowledge-authority|StepExecutions"
   },
   {
    "FieldGrantId": "fg-knowledge-authority-StepExecutions.UnfalsifiedClearanceCount",
    "Principal": "principal-knowledge-authority",
    "TargetField": "StepExecutions.UnfalsifiedClearanceCount",
    "CanRead": true,
    "CanWrite": false,
    "MaskStrategy": "plain",
    "SemanticTypeIri": "urn:effortless:pko-extension#FieldGrant",
    "Name": "principal-knowledge-authority -&gt; StepExecutions.UnfalsifiedClearanceCount",
    "FieldTable": "StepExecutions",
    "FieldName": "UnfalsifiedClearanceCount",
    "FieldIsDerived": true,
    "IsWritableDerivedField": false,
    "IsMasked": false,
    "GrantKeyWhenReadable": "principal-knowledge-authority|StepExecutions"
   },
   {
    "FieldGrantId": "fg-knowledge-authority-StepExecutions.AllClearancesAreUnfalsified",
    "Principal": "principal-knowledge-authority",
    "TargetField": "StepExecutions.AllClearancesAreUnfalsified",
    "CanRead": true,
    "CanWrite": false,
    "MaskStrategy": "plain",
    "SemanticTypeIri": "urn:effortless:pko-extension#FieldGrant",
    "Name": "principal-knowledge-authority -&gt; StepExecutions.AllClearancesAreUnfalsified",
    "FieldTable": "StepExecutions",
    "FieldName": "AllClearancesAreUnfalsified",
    "FieldIsDerived": true,
    "IsWritableDerivedField": false,
    "IsMasked": false,
    "GrantKeyWhenReadable": "principal-knowledge-authority|StepExecutions"
   },
   {
    "FieldGrantId": "fg-knowledge-authority-StepExecutions.StaleAtRunCount",
    "Principal": "principal-knowledge-authority",
    "TargetField": "StepExecutions.StaleAtRunCount",
    "CanRead": true,
    "CanWrite": false,
    "MaskStrategy": "plain",
    "SemanticTypeIri": "urn:effortless:pko-extension#FieldGrant",
    "Name": "principal-knowledge-authority -&gt; StepExecutions.StaleAtRunCount",
    "FieldTable": "StepExecutions",
    "FieldName": "StaleAtRunCount",
    "FieldIsDerived": true,
    "IsWritableDerivedField": false,
    "IsMasked": false,
    "GrantKeyWhenReadable": "principal-knowledge-authority|StepExecutions"
   },
   {
    "FieldGrantId": "fg-knowledge-authority-StepExecutions.WasStaleWhenIRanIt",
    "Principal": "principal-knowledge-authority",
    "TargetField": "StepExecutions.WasStaleWhenIRanIt",
    "CanRead": true,
    "CanWrite": false,
    "MaskStrategy": "plain",
    "SemanticTypeIri": "urn:effortless:pko-extension#FieldGrant",
    "Name": "principal-knowledge-authority -&gt; StepExecutions.WasStaleWhenIRanIt",
    "FieldTable": "StepExecutions",
    "FieldName": "WasStaleWhenIRanIt",
    "FieldIsDerived": true,
    "IsWritableDerivedField": false,
    "IsMasked": false,
    "GrantKeyWhenReadable": "principal-knowledge-authority|StepExecutions"
   },
   {
    "FieldGrantId": "fg-knowledge-authority-StepExecutions.StalenessAnswerIsTenseDependent",
    "Principal": "principal-knowledge-authority",
    "TargetField": "StepExecutions.StalenessAnswerIsTenseDependent",
    "CanRead": true,
    "CanWrite": false,
    "MaskStrategy": "plain",
    "SemanticTypeIri": "urn:effortless:pko-extension#FieldGrant",
    "Name": "principal-knowledge-authority -&gt; StepExecutions.StalenessAnswerIsTenseDependent",
    "FieldTable": "StepExecutions",
    "FieldName": "StalenessAnswerIsTenseDependent",
    "FieldIsDerived": true,
    "IsWritableDerivedField": false,
    "IsMasked": false,
    "GrantKeyWhenReadable": "principal-knowledge-authority|StepExecutions"
   },
   {
    "FieldGrantId": "fg-knowledge-authority-StepExecutions.HasAnyDeclaredCheck",
    "Principal": "principal-knowledge-authority",
    "TargetField": "StepExecutions.HasAnyDeclaredCheck",
    "CanRead": true,
    "CanWrite": false,
    "MaskStrategy": "plain",
    "SemanticTypeIri": "urn:effortless:pko-extension#FieldGrant",
    "Name": "principal-knowledge-authority -&gt; StepExecutions.HasAnyDeclaredCheck",
    "FieldTable": "StepExecutions",
    "FieldName": "HasAnyDeclaredCheck",
    "FieldIsDerived": true,
    "IsWritableDerivedField": false,
    "IsMasked": false,
    "GrantKeyWhenReadable": "principal-knowledge-authority|StepExecutions"
   },
   {
    "FieldGrantId": "fg-knowledge-authority-StepExecutions.PerformedCheckCount",
    "Principal": "principal-knowledge-authority",
    "TargetField": "StepExecutions.PerformedCheckCount",
    "CanRead": true,
    "CanWrite": false,
    "MaskStrategy": "plain",
    "SemanticTypeIri": "urn:effortless:pko-extension#FieldGrant",
    "Name": "principal-knowledge-authority -&gt; StepExecutions.PerformedCheckCount",
    "FieldTable": "StepExecutions",
    "FieldName": "PerformedCheckCount",
    "FieldIsDerived": true,
    "IsWritableDerivedField": false,
    "IsMasked": false,
    "GrantKeyWhenReadable": "principal-knowledge-authority|StepExecutions"
   },
   {
    "FieldGrantId": "fg-knowledge-authority-StepExecutions.DeclaredCheckCount",
    "Principal": "principal-knowledge-authority",
    "TargetField": "StepExecutions.DeclaredCheckCount",
    "CanRead": true,
    "CanWrite": false,
    "MaskStrategy": "plain",
    "SemanticTypeIri": "urn:effortless:pko-extension#FieldGrant",
    "Name": "principal-knowledge-authority -&gt; StepExecutions.DeclaredCheckCount",
    "FieldTable": "StepExecutions",
    "FieldName": "DeclaredCheckCount",
    "FieldIsDerived": true,
    "IsWritableDerivedField": false,
    "IsMasked": false,
    "GrantKeyWhenReadable": "principal-knowledge-authority|StepExecutions"
   },
   {
    "FieldGrantId": "fg-knowledge-authority-StepExecutions.IsUncheckedByDesign",
    "Principal": "principal-knowledge-authority",
    "TargetField": "StepExecutions.IsUncheckedByDesign",
    "CanRead": true,
    "CanWrite": false,
    "MaskStrategy": "plain",
    "SemanticTypeIri": "urn:effortless:pko-extension#FieldGrant",
    "Name": "principal-knowledge-authority -&gt; StepExecutions.IsUncheckedByDesign",
    "FieldTable": "StepExecutions",
    "FieldName": "IsUncheckedByDesign",
    "FieldIsDerived": true,
    "IsWritableDerivedField": false,
    "IsMasked": false,
    "GrantKeyWhenReadable": "principal-knowledge-authority|StepExecutions"
   },
   {
    "FieldGrantId": "fg-knowledge-authority-StepExecutions.IsVacuouslyClean",
    "Principal": "principal-knowledge-authority",
    "TargetField": "StepExecutions.IsVacuouslyClean",
    "CanRead": true,
    "CanWrite": false,
    "MaskStrategy": "plain",
    "SemanticTypeIri": "urn:effortless:pko-extension#FieldGrant",
    "Name": "principal-knowledge-authority -&gt; StepExecutions.IsVacuouslyClean",
    "FieldTable": "StepExecutions",
    "FieldName": "IsVacuouslyClean",
    "FieldIsDerived": true,
    "IsWritableDerivedField": false,
    "IsMasked": false,
    "GrantKeyWhenReadable": "principal-knowledge-authority|StepExecutions"
   },
   {
    "FieldGrantId": "fg-knowledge-authority-StepExecutions.IsSubstantivelyClean",
    "Principal": "principal-knowledge-authority",
    "TargetField": "StepExecutions.IsSubstantivelyClean",
    "CanRead": true,
    "CanWrite": false,
    "MaskStrategy": "plain",
    "SemanticTypeIri": "urn:effortless:pko-extension#FieldGrant",
    "Name": "principal-knowledge-authority -&gt; StepExecutions.IsSubstantivelyClean",
    "FieldTable": "StepExecutions",
    "FieldName": "IsSubstantivelyClean",
    "FieldIsDerived": true,
    "IsWritableDerivedField": false,
    "IsMasked": false,
    "GrantKeyWhenReadable": "principal-knowledge-authority|StepExecutions"
   },
   {
    "FieldGrantId": "fg-knowledge-authority-StepExecutions.VacuouslyCleanExecutionKey",
    "Principal": "principal-knowledge-authority",
    "TargetField": "StepExecutions.VacuouslyCleanExecutionKey",
    "CanRead": true,
    "CanWrite": false,
    "MaskStrategy": "plain",
    "SemanticTypeIri": "urn:effortless:pko-extension#FieldGrant",
    "Name": "principal-knowledge-authority -&gt; StepExecutions.VacuouslyCleanExecutionKey",
    "FieldTable": "StepExecutions",
    "FieldName": "VacuouslyCleanExecutionKey",
    "FieldIsDerived": true,
    "IsWritableDerivedField": false,
    "IsMasked": false,
    "GrantKeyWhenReadable": "principal-knowledge-authority|StepExecutions"
   },
   {
    "FieldGrantId": "fg-knowledge-authority-StepExecutions.UncorroboratedPassCount",
    "Principal": "principal-knowledge-authority",
    "TargetField": "StepExecutions.UncorroboratedPassCount",
    "CanRead": true,
    "CanWrite": false,
    "MaskStrategy": "plain",
    "SemanticTypeIri": "urn:effortless:pko-extension#FieldGrant",
    "Name": "principal-knowledge-authority -&gt; StepExecutions.UncorroboratedPassCount",
    "FieldTable": "StepExecutions",
    "FieldName": "UncorroboratedPassCount",
    "FieldIsDerived": true,
    "IsWritableDerivedField": false,
    "IsMasked": false,
    "GrantKeyWhenReadable": "principal-knowledge-authority|StepExecutions"
   },
   {
    "FieldGrantId": "fg-knowledge-authority-StepExecutions.EvidencePositionIsWeak",
    "Principal": "principal-knowledge-authority",
    "TargetField": "StepExecutions.EvidencePositionIsWeak",
    "CanRead": true,
    "CanWrite": false,
    "MaskStrategy": "plain",
    "SemanticTypeIri": "urn:effortless:pko-extension#FieldGrant",
    "Name": "principal-knowledge-authority -&gt; StepExecutions.EvidencePositionIsWeak",
    "FieldTable": "StepExecutions",
    "FieldName": "EvidencePositionIsWeak",
    "FieldIsDerived": true,
    "IsWritableDerivedField": false,
    "IsMasked": false,
    "GrantKeyWhenReadable": "principal-knowledge-authority|StepExecutions"
   },
   {
    "FieldGrantId": "fg-knowledge-authority-StepExecutions.PreparationExecutionKey",
    "Principal": "principal-knowledge-authority",
    "TargetField": "StepExecutions.PreparationExecutionKey",
    "CanRead": true,
    "CanWrite": false,
    "MaskStrategy": "plain",
    "SemanticTypeIri": "urn:effortless:pko-extension#FieldGrant",
    "Name": "principal-knowledge-authority -&gt; StepExecutions.PreparationExecutionKey",
    "FieldTable": "StepExecutions",
    "FieldName": "PreparationExecutionKey",
    "FieldIsDerived": true,
    "IsWritableDerivedField": false,
    "IsMasked": false,
    "GrantKeyWhenReadable": "principal-knowledge-authority|StepExecutions"
   },
   {
    "FieldGrantId": "fg-knowledge-authority-StepExecutions.ApprovalExecutionKey",
    "Principal": "principal-knowledge-authority",
    "TargetField": "StepExecutions.ApprovalExecutionKey",
    "CanRead": true,
    "CanWrite": false,
    "MaskStrategy": "plain",
    "SemanticTypeIri": "urn:effortless:pko-extension#FieldGrant",
    "Name": "principal-knowledge-authority -&gt; StepExecutions.ApprovalExecutionKey",
    "FieldTable": "StepExecutions",
    "FieldName": "ApprovalExecutionKey",
    "FieldIsDerived": true,
    "IsWritableDerivedField": false,
    "IsMasked": false,
    "GrantKeyWhenReadable": "principal-knowledge-authority|StepExecutions"
   },
   {
    "FieldGrantId": "fg-knowledge-authority-StepExecutions.HasGoverningInstrument",
    "Principal": "principal-knowledge-authority",
    "TargetField": "StepExecutions.HasGoverningInstrument",
    "CanRead": true,
    "CanWrite": false,
    "MaskStrategy": "plain",
    "SemanticTypeIri": "urn:effortless:pko-extension#FieldGrant",
    "Name": "principal-knowledge-authority -&gt; StepExecutions.HasGoverningInstrument",
    "FieldTable": "StepExecutions",
    "FieldName": "HasGoverningInstrument",
    "FieldIsDerived": true,
    "IsWritableDerivedField": false,
    "IsMasked": false,
    "GrantKeyWhenReadable": "principal-knowledge-authority|StepExecutions"
   },
   {
    "FieldGrantId": "fg-knowledge-authority-StepExecutions.HasApprovedChangeCoverage",
    "Principal": "principal-knowledge-authority",
    "TargetField": "StepExecutions.HasApprovedChangeCoverage",
    "CanRead": true,
    "CanWrite": false,
    "MaskStrategy": "plain",
    "SemanticTypeIri": "urn:effortless:pko-extension#FieldGrant",
    "Name": "principal-knowledge-authority -&gt; StepExecutions.HasApprovedChangeCoverage",
    "FieldTable": "StepExecutions",
    "FieldName": "HasApprovedChangeCoverage",
    "FieldIsDerived": true,
    "IsWritableDerivedField": false,
    "IsMasked": false,
    "GrantKeyWhenReadable": "principal-knowledge-authority|StepExecutions"
   },
   {
    "FieldGrantId": "fg-knowledge-authority-StepExecutions.VersionOfStep",
    "Principal": "principal-knowledge-authority",
    "TargetField": "StepExecutions.VersionOfStep",
    "CanRead": true,
    "CanWrite": false,
    "MaskStrategy": "plain",
    "SemanticTypeIri": "urn:effortless:pko-extension#FieldGrant",
    "Name": "principal-knowledge-authority -&gt; StepExecutions.VersionOfStep",
    "FieldTable": "StepExecutions",
    "FieldName": "VersionOfStep",
    "FieldIsDerived": true,
    "IsWritableDerivedField": false,
    "IsMasked": false,
    "GrantKeyWhenReadable": "principal-knowledge-authority|StepExecutions"
   },
   {
    "FieldGrantId": "fg-knowledge-authority-StepExecutions.IsUngovernedDivergence",
    "Principal": "principal-knowledge-authority",
    "TargetField": "StepExecutions.IsUngovernedDivergence",
    "CanRead": true,
    "CanWrite": false,
    "MaskStrategy": "plain",
    "SemanticTypeIri": "urn:effortless:pko-extension#FieldGrant",
    "Name": "principal-knowledge-authority -&gt; StepExecutions.IsUngovernedDivergence",
    "FieldTable": "StepExecutions",
    "FieldName": "IsUngovernedDivergence",
    "FieldIsDerived": true,
    "IsWritableDerivedField": false,
    "IsMasked": false,
    "GrantKeyWhenReadable": "principal-knowledge-authority|StepExecutions"
   },
   {
    "FieldGrantId": "fg-knowledge-authority-StepExecutions.UngovernedDivergenceExecutionKey",
    "Principal": "principal-knowledge-authority",
    "TargetField": "StepExecutions.UngovernedDivergenceExecutionKey",
    "CanRead": true,
    "CanWrite": false,
    "MaskStrategy": "plain",
    "SemanticTypeIri": "urn:effortless:pko-extension#FieldGrant",
    "Name": "principal-knowledge-authority -&gt; StepExecutions.UngovernedDivergenceExecutionKey",
    "FieldTable": "StepExecutions",
    "FieldName": "UngovernedDivergenceExecutionKey",
    "FieldIsDerived": true,
    "IsWritableDerivedField": false,
    "IsMasked": false,
    "GrantKeyWhenReadable": "principal-knowledge-authority|StepExecutions"
   },
   {
    "FieldGrantId": "fg-knowledge-authority-StepExecutions.SelfAttestedApprovalExecutionKey",
    "Principal": "principal-knowledge-authority",
    "TargetField": "StepExecutions.SelfAttestedApprovalExecutionKey",
    "CanRead": true,
    "CanWrite": false,
    "MaskStrategy": "plain",
    "SemanticTypeIri": "urn:effortless:pko-extension#FieldGrant",
    "Name": "principal-knowledge-authority -&gt; StepExecutions.SelfAttestedApprovalExecutionKey",
    "FieldTable": "StepExecutions",
    "FieldName": "SelfAttestedApprovalExecutionKey",
    "FieldIsDerived": true,
    "IsWritableDerivedField": false,
    "IsMasked": false,
    "GrantKeyWhenReadable": "principal-knowledge-authority|StepExecutions"
   },
   {
    "FieldGrantId": "fg-knowledge-authority-StepExecutions.SemanticTypeIri",
    "Principal": "principal-knowledge-authority",
    "TargetField": "StepExecutions.SemanticTypeIri",
    "CanRead": true,
    "CanWrite": false,
    "MaskStrategy": "plain",
    "SemanticTypeIri": "urn:effortless:pko-extension#FieldGrant",
    "Name": "principal-knowledge-authority -&gt; StepExecutions.SemanticTypeIri",
    "FieldTable": "StepExecutions",
    "FieldName": "SemanticTypeIri",
    "FieldIsDerived": false,
    "IsWritableDerivedField": false,
    "IsMasked": false,
    "GrantKeyWhenReadable": "principal-knowledge-authority|StepExecutions"
   },
   {
    "FieldGrantId": "fg-knowledge-authority-StepFunctions.StepFunctionId",
    "Principal": "principal-knowledge-authority",
    "TargetField": "StepFunctions.StepFunctionId",
    "CanRead": true,
    "CanWrite": false,
    "MaskStrategy": "plain",
    "SemanticTypeIri": "urn:effortless:pko-extension#FieldGrant",
    "Name": "principal-knowledge-authority -&gt; StepFunctions.StepFunctionId",
    "FieldTable": "StepFunctions",
    "FieldName": "StepFunctionId",
    "FieldIsDerived": false,
    "IsWritableDerivedField": false,
    "IsMasked": false,
    "GrantKeyWhenReadable": "principal-knowledge-authority|StepFunctions"
   },
   {
    "FieldGrantId": "fg-knowledge-authority-StepFunctions.Name",
    "Principal": "principal-knowledge-authority",
    "TargetField": "StepFunctions.Name",
    "CanRead": true,
    "CanWrite": false,
    "MaskStrategy": "plain",
    "SemanticTypeIri": "urn:effortless:pko-extension#FieldGrant",
    "Name": "principal-knowledge-authority -&gt; StepFunctions.Name",
    "FieldTable": "StepFunctions",
    "FieldName": "Name",
    "FieldIsDerived": true,
    "IsWritableDerivedField": false,
    "IsMasked": false,
    "GrantKeyWhenReadable": "principal-knowledge-authority|StepFunctions"
   },
   {
    "FieldGrantId": "fg-knowledge-authority-StepFunctions.Step",
    "Principal": "principal-knowledge-authority",
    "TargetField": "StepFunctions.Step",
    "CanRead": true,
    "CanWrite": false,
    "MaskStrategy": "plain",
    "SemanticTypeIri": "urn:effortless:pko-extension#FieldGrant",
    "Name": "principal-knowledge-authority -&gt; StepFunctions.Step",
    "FieldTable": "StepFunctions",
    "FieldName": "Step",
    "FieldIsDerived": false,
    "IsWritableDerivedField": false,
    "IsMasked": false,
    "GrantKeyWhenReadable": "principal-knowledge-authority|StepFunctions"
   },
   {
    "FieldGrantId": "fg-knowledge-authority-StepFunctions.Function",
    "Principal": "principal-knowledge-authority",
    "TargetField": "StepFunctions.Function",
    "CanRead": true,
    "CanWrite": false,
    "MaskStrategy": "plain",
    "SemanticTypeIri": "urn:effortless:pko-extension#FieldGrant",
    "Name": "principal-knowledge-authority -&gt; StepFunctions.Function",
    "FieldTable": "StepFunctions",
    "FieldName": "Function",
    "FieldIsDerived": false,
    "IsWritableDerivedField": false,
    "IsMasked": false,
    "GrantKeyWhenReadable": "principal-knowledge-authority|StepFunctions"
   },
   {
    "FieldGrantId": "fg-knowledge-authority-StepRequirements.StepRequirementId",
    "Principal": "principal-knowledge-authority",
    "TargetField": "StepRequirements.StepRequirementId",
    "CanRead": true,
    "CanWrite": false,
    "MaskStrategy": "plain",
    "SemanticTypeIri": "urn:effortless:pko-extension#FieldGrant",
    "Name": "principal-knowledge-authority -&gt; StepRequirements.StepRequirementId",
    "FieldTable": "StepRequirements",
    "FieldName": "StepRequirementId",
    "FieldIsDerived": false,
    "IsWritableDerivedField": false,
    "IsMasked": false,
    "GrantKeyWhenReadable": "principal-knowledge-authority|StepRequirements"
   },
   {
    "FieldGrantId": "fg-knowledge-authority-StepRequirements.Name",
    "Principal": "principal-knowledge-authority",
    "TargetField": "StepRequirements.Name",
    "CanRead": true,
    "CanWrite": false,
    "MaskStrategy": "plain",
    "SemanticTypeIri": "urn:effortless:pko-extension#FieldGrant",
    "Name": "principal-knowledge-authority -&gt; StepRequirements.Name",
    "FieldTable": "StepRequirements",
    "FieldName": "Name",
    "FieldIsDerived": true,
    "IsWritableDerivedField": false,
    "IsMasked": false,
    "GrantKeyWhenReadable": "principal-knowledge-authority|StepRequirements"
   },
   {
    "FieldGrantId": "fg-knowledge-authority-StepRequirements.Step",
    "Principal": "principal-knowledge-authority",
    "TargetField": "StepRequirements.Step",
    "CanRead": true,
    "CanWrite": false,
    "MaskStrategy": "plain",
    "SemanticTypeIri": "urn:effortless:pko-extension#FieldGrant",
    "Name": "principal-knowledge-authority -&gt; StepRequirements.Step",
    "FieldTable": "StepRequirements",
    "FieldName": "Step",
    "FieldIsDerived": false,
    "IsWritableDerivedField": false,
    "IsMasked": false,
    "GrantKeyWhenReadable": "principal-knowledge-authority|StepRequirements"
   },
   {
    "FieldGrantId": "fg-knowledge-authority-StepRequirements.Requirement",
    "Principal": "principal-knowledge-authority",
    "TargetField": "StepRequirements.Requirement",
    "CanRead": true,
    "CanWrite": false,
    "MaskStrategy": "plain",
    "SemanticTypeIri": "urn:effortless:pko-extension#FieldGrant",
    "Name": "principal-knowledge-authority -&gt; StepRequirements.Requirement",
    "FieldTable": "StepRequirements",
    "FieldName": "Requirement",
    "FieldIsDerived": false,
    "IsWritableDerivedField": false,
    "IsMasked": false,
    "GrantKeyWhenReadable": "principal-knowledge-authority|StepRequirements"
   },
   {
    "FieldGrantId": "fg-knowledge-authority-StepRequirements.RequirementIsBlocking",
    "Principal": "principal-knowledge-authority",
    "TargetField": "StepRequirements.RequirementIsBlocking",
    "CanRead": true,
    "CanWrite": false,
    "MaskStrategy": "plain",
    "SemanticTypeIri": "urn:effortless:pko-extension#FieldGrant",
    "Name": "principal-knowledge-authority -&gt; StepRequirements.RequirementIsBlocking",
    "FieldTable": "StepRequirements",
    "FieldName": "RequirementIsBlocking",
    "FieldIsDerived": true,
    "Is</t>
  </si>
  <si>
    <t xml:space="preserve">WritableDerivedField": false,
    "IsMasked": false,
    "GrantKeyWhenReadable": "principal-knowledge-authority|StepRequirements"
   },
   {
    "FieldGrantId": "fg-knowledge-authority-StepRequirements.BlockingStepKey",
    "Principal": "principal-knowledge-authority",
    "TargetField": "StepRequirements.BlockingStepKey",
    "CanRead": true,
    "CanWrite": false,
    "MaskStrategy": "plain",
    "SemanticTypeIri": "urn:effortless:pko-extension#FieldGrant",
    "Name": "principal-knowledge-authority -&gt; StepRequirements.BlockingStepKey",
    "FieldTable": "StepRequirements",
    "FieldName": "BlockingStepKey",
    "FieldIsDerived": true,
    "IsWritableDerivedField": false,
    "IsMasked": false,
    "GrantKeyWhenReadable": "principal-knowledge-authority|StepRequirements"
   },
   {
    "FieldGrantId": "fg-knowledge-authority-StepRequirements.StepWhenBlocking",
    "Principal": "principal-knowledge-authority",
    "TargetField": "StepRequirements.StepWhenBlocking",
    "CanRead": true,
    "CanWrite": false,
    "MaskStrategy": "plain",
    "SemanticTypeIri": "urn:effortless:pko-extension#FieldGrant",
    "Name": "principal-knowledge-authority -&gt; StepRequirements.StepWhenBlocking",
    "FieldTable": "StepRequirements",
    "FieldName": "StepWhenBlocking",
    "FieldIsDerived": true,
    "IsWritableDerivedField": false,
    "IsMasked": false,
    "GrantKeyWhenReadable": "principal-knowledge-authority|StepRequirements"
   },
   {
    "FieldGrantId": "fg-knowledge-authority-StepRequirements.RequirementLacksWitness",
    "Principal": "principal-knowledge-authority",
    "TargetField": "StepRequirements.RequirementLacksWitness",
    "CanRead": true,
    "CanWrite": false,
    "MaskStrategy": "plain",
    "SemanticTypeIri": "urn:effortless:pko-extension#FieldGrant",
    "Name": "principal-knowledge-authority -&gt; StepRequirements.RequirementLacksWitness",
    "FieldTable": "StepRequirements",
    "FieldName": "RequirementLacksWitness",
    "FieldIsDerived": true,
    "IsWritableDerivedField": false,
    "IsMasked": false,
    "GrantKeyWhenReadable": "principal-knowledge-authority|StepRequirements"
   },
   {
    "FieldGrantId": "fg-knowledge-authority-StepRequirements.UnwitnessedStepKey",
    "Principal": "principal-knowledge-authority",
    "TargetField": "StepRequirements.UnwitnessedStepKey",
    "CanRead": true,
    "CanWrite": false,
    "MaskStrategy": "plain",
    "SemanticTypeIri": "urn:effortless:pko-extension#FieldGrant",
    "Name": "principal-knowledge-authority -&gt; StepRequirements.UnwitnessedStepKey",
    "FieldTable": "StepRequirements",
    "FieldName": "UnwitnessedStepKey",
    "FieldIsDerived": true,
    "IsWritableDerivedField": false,
    "IsMasked": false,
    "GrantKeyWhenReadable": "principal-knowledge-authority|StepRequirements"
   },
   {
    "FieldGrantId": "fg-knowledge-authority-StepRequirements.SatisfactionCountForBinding",
    "Principal": "principal-knowledge-authority",
    "TargetField": "StepRequirements.SatisfactionCountForBinding",
    "CanRead": true,
    "CanWrite": false,
    "MaskStrategy": "plain",
    "SemanticTypeIri": "urn:effortless:pko-extension#FieldGrant",
    "Name": "principal-knowledge-authority -&gt; StepRequirements.SatisfactionCountForBinding",
    "FieldTable": "StepRequirements",
    "FieldName": "SatisfactionCountForBinding",
    "FieldIsDerived": true,
    "IsWritableDerivedField": false,
    "IsMasked": false,
    "GrantKeyWhenReadable": "principal-knowledge-authority|StepRequirements"
   },
   {
    "FieldGrantId": "fg-knowledge-authority-StepRequirements.BindingWasEverExercised",
    "Principal": "principal-knowledge-authority",
    "TargetField": "StepRequirements.BindingWasEverExercised",
    "CanRead": true,
    "CanWrite": false,
    "MaskStrategy": "plain",
    "SemanticTypeIri": "urn:effortless:pko-extension#FieldGrant",
    "Name": "principal-knowledge-authority -&gt; StepRequirements.BindingWasEverExercised",
    "FieldTable": "StepRequirements",
    "FieldName": "BindingWasEverExercised",
    "FieldIsDerived": true,
    "IsWritableDerivedField": false,
    "IsMasked": false,
    "GrantKeyWhenReadable": "principal-knowledge-authority|StepRequirements"
   },
   {
    "FieldGrantId": "fg-knowledge-authority-StepRequirements.IsUnexercisedBlockingBinding",
    "Principal": "principal-knowledge-authority",
    "TargetField": "StepRequirements.IsUnexercisedBlockingBinding",
    "CanRead": true,
    "CanWrite": false,
    "MaskStrategy": "plain",
    "SemanticTypeIri": "urn:effortless:pko-extension#FieldGrant",
    "Name": "principal-knowledge-authority -&gt; StepRequirements.IsUnexercisedBlockingBinding",
    "FieldTable": "StepRequirements",
    "FieldName": "IsUnexercisedBlockingBinding",
    "FieldIsDerived": true,
    "IsWritableDerivedField": false,
    "IsMasked": false,
    "GrantKeyWhenReadable": "principal-knowledge-authority|StepRequirements"
   },
   {
    "FieldGrantId": "fg-knowledge-authority-StepRequirements.UnexercisedBindingRequirementKey",
    "Principal": "principal-knowledge-authority",
    "TargetField": "StepRequirements.UnexercisedBindingRequirementKey",
    "CanRead": true,
    "CanWrite": false,
    "MaskStrategy": "plain",
    "SemanticTypeIri": "urn:effortless:pko-extension#FieldGrant",
    "Name": "principal-knowledge-authority -&gt; StepRequirements.UnexercisedBindingRequirementKey",
    "FieldTable": "StepRequirements",
    "FieldName": "UnexercisedBindingRequirementKey",
    "FieldIsDerived": true,
    "IsWritableDerivedField": false,
    "IsMasked": false,
    "GrantKeyWhenReadable": "principal-knowledge-authority|StepRequirements"
   },
   {
    "FieldGrantId": "fg-knowledge-authority-StepTools.StepToolId",
    "Principal": "principal-knowledge-authority",
    "TargetField": "StepTools.StepToolId",
    "CanRead": true,
    "CanWrite": false,
    "MaskStrategy": "plain",
    "SemanticTypeIri": "urn:effortless:pko-extension#FieldGrant",
    "Name": "principal-knowledge-authority -&gt; StepTools.StepToolId",
    "FieldTable": "StepTools",
    "FieldName": "StepToolId",
    "FieldIsDerived": false,
    "IsWritableDerivedField": false,
    "IsMasked": false,
    "GrantKeyWhenReadable": "principal-knowledge-authority|StepTools"
   },
   {
    "FieldGrantId": "fg-knowledge-authority-StepTools.Name",
    "Principal": "principal-knowledge-authority",
    "TargetField": "StepTools.Name",
    "CanRead": true,
    "CanWrite": false,
    "MaskStrategy": "plain",
    "SemanticTypeIri": "urn:effortless:pko-extension#FieldGrant",
    "Name": "principal-knowledge-authority -&gt; StepTools.Name",
    "FieldTable": "StepTools",
    "FieldName": "Name",
    "FieldIsDerived": true,
    "IsWritableDerivedField": false,
    "IsMasked": false,
    "GrantKeyWhenReadable": "principal-knowledge-authority|StepTools"
   },
   {
    "FieldGrantId": "fg-knowledge-authority-StepTools.Step",
    "Principal": "principal-knowledge-authority",
    "TargetField": "StepTools.Step",
    "CanRead": true,
    "CanWrite": false,
    "MaskStrategy": "plain",
    "SemanticTypeIri": "urn:effortless:pko-extension#FieldGrant",
    "Name": "principal-knowledge-authority -&gt; StepTools.Step",
    "FieldTable": "StepTools",
    "FieldName": "Step",
    "FieldIsDerived": false,
    "IsWritableDerivedField": false,
    "IsMasked": false,
    "GrantKeyWhenReadable": "principal-knowledge-authority|StepTools"
   },
   {
    "FieldGrantId": "fg-knowledge-authority-StepTools.Tool",
    "Principal": "principal-knowledge-authority",
    "TargetField": "StepTools.Tool",
    "CanRead": true,
    "CanWrite": false,
    "MaskStrategy": "plain",
    "SemanticTypeIri": "urn:effortless:pko-extension#FieldGrant",
    "Name": "principal-knowledge-authority -&gt; StepTools.Tool",
    "FieldTable": "StepTools",
    "FieldName": "Tool",
    "FieldIsDerived": false,
    "IsWritableDerivedField": false,
    "IsMasked": false,
    "GrantKeyWhenReadable": "principal-knowledge-authority|StepTools"
   },
   {
    "FieldGrantId": "fg-knowledge-authority-StepTransitions.StepTransitionId",
    "Principal": "principal-knowledge-authority",
    "TargetField": "StepTransitions.StepTransitionId",
    "CanRead": true,
    "CanWrite": false,
    "MaskStrategy": "plain",
    "SemanticTypeIri": "urn:effortless:pko-extension#FieldGrant",
    "Name": "principal-knowledge-authority -&gt; StepTransitions.StepTransitionId",
    "FieldTable": "StepTransitions",
    "FieldName": "StepTransitionId",
    "FieldIsDerived": false,
    "IsWritableDerivedField": false,
    "IsMasked": false,
    "GrantKeyWhenReadable": "principal-knowledge-authority|StepTransitions"
   },
   {
    "FieldGrantId": "fg-knowledge-authority-StepTransitions.Name",
    "Principal": "principal-knowledge-authority",
    "TargetField": "StepTransitions.Name",
    "CanRead": true,
    "CanWrite": false,
    "MaskStrategy": "plain",
    "SemanticTypeIri": "urn:effortless:pko-extension#FieldGrant",
    "Name": "principal-knowledge-authority -&gt; StepTransitions.Name",
    "FieldTable": "StepTransitions",
    "FieldName": "Name",
    "FieldIsDerived": true,
    "IsWritableDerivedField": false,
    "IsMasked": false,
    "GrantKeyWhenReadable": "principal-knowledge-authority|StepTransitions"
   },
   {
    "FieldGrantId": "fg-knowledge-authority-StepTransitions.ProcedureVersion",
    "Principal": "principal-knowledge-authority",
    "TargetField": "StepTransitions.ProcedureVersion",
    "CanRead": true,
    "CanWrite": false,
    "MaskStrategy": "plain",
    "SemanticTypeIri": "urn:effortless:pko-extension#FieldGrant",
    "Name": "principal-knowledge-authority -&gt; StepTransitions.ProcedureVersion",
    "FieldTable": "StepTransitions",
    "FieldName": "ProcedureVersion",
    "FieldIsDerived": false,
    "IsWritableDerivedField": false,
    "IsMasked": false,
    "GrantKeyWhenReadable": "principal-knowledge-authority|StepTransitions"
   },
   {
    "FieldGrantId": "fg-knowledge-authority-StepTransitions.FromStep",
    "Principal": "principal-knowledge-authority",
    "TargetField": "StepTransitions.FromStep",
    "CanRead": true,
    "CanWrite": false,
    "MaskStrategy": "plain",
    "SemanticTypeIri": "urn:effortless:pko-extension#FieldGrant",
    "Name": "principal-knowledge-authority -&gt; StepTransitions.FromStep",
    "FieldTable": "StepTransitions",
    "FieldName": "FromStep",
    "FieldIsDerived": false,
    "IsWritableDerivedField": false,
    "IsMasked": false,
    "GrantKeyWhenReadable": "principal-knowledge-authority|StepTransitions"
   },
   {
    "FieldGrantId": "fg-knowledge-authority-StepTransitions.ToStep",
    "Principal": "principal-knowledge-authority",
    "TargetField": "StepTransitions.ToStep",
    "CanRead": true,
    "CanWrite": false,
    "MaskStrategy": "plain",
    "SemanticTypeIri": "urn:effortless:pko-extension#FieldGrant",
    "Name": "principal-knowledge-authority -&gt; StepTransitions.ToStep",
    "FieldTable": "StepTransitions",
    "FieldName": "ToStep",
    "FieldIsDerived": false,
    "IsWritableDerivedField": false,
    "IsMasked": false,
    "GrantKeyWhenReadable": "principal-knowledge-authority|StepTransitions"
   },
   {
    "FieldGrantId": "fg-knowledge-authority-StepTransitions.TransitionKind",
    "Principal": "principal-knowledge-authority",
    "TargetField": "StepTransitions.TransitionKind",
    "CanRead": true,
    "CanWrite": false,
    "MaskStrategy": "plain",
    "SemanticTypeIri": "urn:effortless:pko-extension#FieldGrant",
    "Name": "principal-knowledge-authority -&gt; StepTransitions.TransitionKind",
    "FieldTable": "StepTransitions",
    "FieldName": "TransitionKind",
    "FieldIsDerived": false,
    "IsWritableDerivedField": false,
    "IsMasked": false,
    "GrantKeyWhenReadable": "principal-knowledge-authority|StepTransitions"
   },
   {
    "FieldGrantId": "fg-knowledge-authority-StepTransitions.Condition",
    "Principal": "principal-knowledge-authority",
    "TargetField": "StepTransitions.Condition",
    "CanRead": true,
    "CanWrite": false,
    "MaskStrategy": "plain",
    "SemanticTypeIri": "urn:effortless:pko-extension#FieldGrant",
    "Name": "principal-knowledge-authority -&gt; StepTransitions.Condition",
    "FieldTable": "StepTransitions",
    "FieldName": "Condition",
    "FieldIsDerived": false,
    "IsWritableDerivedField": false,
    "IsMasked": false,
    "GrantKeyWhenReadable": "principal-knowledge-authority|StepTransitions"
   },
   {
    "FieldGrantId": "fg-knowledge-authority-StepTransitions.Priority",
    "Principal": "principal-knowledge-authority",
    "TargetField": "StepTransitions.Priority",
    "CanRead": true,
    "CanWrite": false,
    "MaskStrategy": "plain",
    "SemanticTypeIri": "urn:effortless:pko-extension#FieldGrant",
    "Name": "principal-knowledge-authority -&gt; StepTransitions.Priority",
    "FieldTable": "StepTransitions",
    "FieldName": "Priority",
    "FieldIsDerived": false,
    "IsWritableDerivedField": false,
    "IsMasked": false,
    "GrantKeyWhenReadable": "principal-knowledge-authority|StepTransitions"
   },
   {
    "FieldGrantId": "fg-knowledge-authority-StepTransitions.IsRecoveryPath",
    "Principal": "principal-knowledge-authority",
    "TargetField": "StepTransitions.IsRecoveryPath",
    "CanRead": true,
    "CanWrite": false,
    "MaskStrategy": "plain",
    "SemanticTypeIri": "urn:effortless:pko-extension#FieldGrant",
    "Name": "principal-knowledge-authority -&gt; StepTransitions.IsRecoveryPath",
    "FieldTable": "StepTransitions",
    "FieldName": "IsRecoveryPath",
    "FieldIsDerived": true,
    "IsWritableDerivedField": false,
    "IsMasked": false,
    "GrantKeyWhenReadable": "principal-knowledge-authority|StepTransitions"
   },
   {
    "FieldGrantId": "fg-knowledge-authority-StepTransitions.CountOfFromStepExecutions",
    "Principal": "principal-knowledge-authority",
    "TargetField": "StepTransitions.CountOfFromStepExecutions",
    "CanRead": true,
    "CanWrite": false,
    "MaskStrategy": "plain",
    "SemanticTypeIri": "urn:effortless:pko-extension#FieldGrant",
    "Name": "principal-knowledge-authority -&gt; StepTransitions.CountOfFromStepExecutions",
    "FieldTable": "StepTransitions",
    "FieldName": "CountOfFromStepExecutions",
    "FieldIsDerived": true,
    "IsWritableDerivedField": false,
    "IsMasked": false,
    "GrantKeyWhenReadable": "principal-knowledge-authority|StepTransitions"
   },
   {
    "FieldGrantId": "fg-knowledge-authority-StepTransitions.CountOfToStepExecutions",
    "Principal": "principal-knowledge-authority",
    "TargetField": "StepTransitions.CountOfToStepExecutions",
    "CanRead": true,
    "CanWrite": false,
    "MaskStrategy": "plain",
    "SemanticTypeIri": "urn:effortless:pko-extension#FieldGrant",
    "Name": "principal-knowledge-authority -&gt; StepTransitions.CountOfToStepExecutions",
    "FieldTable": "StepTransitions",
    "FieldName": "CountOfToStepExecutions",
    "FieldIsDerived": true,
    "IsWritableDerivedField": false,
    "IsMasked": false,
    "GrantKeyWhenReadable": "principal-knowledge-authority|StepTransitions"
   },
   {
    "FieldGrantId": "fg-knowledge-authority-StepTransitions.HasReachableOrigin",
    "Principal": "principal-knowledge-authority",
    "TargetField": "StepTransitions.HasReachableOrigin",
    "CanRead": true,
    "CanWrite": false,
    "MaskStrategy": "plain",
    "SemanticTypeIri": "urn:effortless:pko-extension#FieldGrant",
    "Name": "principal-knowledge-authority -&gt; StepTransitions.HasReachableOrigin",
    "FieldTable": "StepTransitions",
    "FieldName": "HasReachableOrigin",
    "FieldIsDerived": true,
    "IsWritableDerivedField": false,
    "IsMasked": false,
    "GrantKeyWhenReadable": "principal-knowledge-authority|StepTransitions"
   },
   {
    "FieldGrantId": "fg-knowledge-authority-StepTransitions.HasReachableTarget",
    "Principal": "principal-knowledge-authority",
    "TargetField": "StepTransitions.HasReachableTarget",
    "CanRead": true,
    "CanWrite": false,
    "MaskStrategy": "plain",
    "SemanticTypeIri": "urn:effortless:pko-extension#FieldGrant",
    "Name": "principal-knowledge-authority -&gt; StepTransitions.HasReachableTarget",
    "FieldTable": "StepTransitions",
    "FieldName": "HasReachableTarget",
    "FieldIsDerived": true,
    "IsWritableDerivedField": false,
    "IsMasked": false,
    "GrantKeyWhenReadable": "principal-knowledge-authority|StepTransitions"
   },
   {
    "FieldGrantId": "fg-knowledge-authority-StepTransitions.IsNeverExercised",
    "Principal": "principal-knowledge-authority",
    "TargetField": "StepTransitions.IsNeverExercised",
    "CanRead": true,
    "CanWrite": false,
    "MaskStrategy": "plain",
    "SemanticTypeIri": "urn:effortless:pko-extension#FieldGrant",
    "Name": "principal-knowledge-authority -&gt; StepTransitions.IsNeverExercised",
    "FieldTable": "StepTransitions",
    "FieldName": "IsNeverExercised",
    "FieldIsDerived": true,
    "IsWritableDerivedField": false,
    "IsMasked": false,
    "GrantKeyWhenReadable": "principal-knowledge-authority|StepTransitions"
   },
   {
    "FieldGrantId": "fg-knowledge-authority-StepTransitions.IsUntestedRecoveryPath",
    "Principal": "principal-knowledge-authority",
    "TargetField": "StepTransitions.IsUntestedRecoveryPath",
    "CanRead": true,
    "CanWrite": false,
    "MaskStrategy": "plain",
    "SemanticTypeIri": "urn:effortless:pko-extension#FieldGrant",
    "Name": "principal-knowledge-authority -&gt; StepTransitions.IsUntestedRecoveryPath",
    "FieldTable": "StepTransitions",
    "FieldName": "IsUntestedRecoveryPath",
    "FieldIsDerived": true,
    "IsWritableDerivedField": false,
    "IsMasked": false,
    "GrantKeyWhenReadable": "principal-knowledge-authority|StepTransitions"
   },
   {
    "FieldGrantId": "fg-knowledge-authority-StepTransitions.CountOfObservedTraversals",
    "Principal": "principal-knowledge-authority",
    "TargetField": "StepTransitions.CountOfObservedTraversals",
    "CanRead": true,
    "CanWrite": false,
    "MaskStrategy": "plain",
    "SemanticTypeIri": "urn:effortless:pko-extension#FieldGrant",
    "Name": "principal-knowledge-authority -&gt; StepTransitions.CountOfObservedTraversals",
    "FieldTable": "StepTransitions",
    "FieldName": "CountOfObservedTraversals",
    "FieldIsDerived": true,
    "IsWritableDerivedField": false,
    "IsMasked": false,
    "GrantKeyWhenReadable": "principal-knowledge-authority|StepTransitions"
   },
   {
    "FieldGrantId": "fg-knowledge-authority-StepTransitions.HasBeenTraversed",
    "Principal": "principal-knowledge-authority",
    "TargetField": "StepTransitions.HasBeenTraversed",
    "CanRead": true,
    "CanWrite": false,
    "MaskStrategy": "plain",
    "SemanticTypeIri": "urn:effortless:pko-extension#FieldGrant",
    "Name": "principal-knowledge-authority -&gt; StepTransitions.HasBeenTraversed",
    "FieldTable": "StepTransitions",
    "FieldName": "HasBeenTraversed",
    "FieldIsDerived": true,
    "IsWritableDerivedField": false,
    "IsMasked": false,
    "GrantKeyWhenReadable": "principal-knowledge-authority|StepTransitions"
   },
   {
    "FieldGrantId": "fg-knowledge-authority-StepTransitions.IsUnwalkedRecoveryPath",
    "Principal": "principal-knowledge-authority",
    "TargetField": "StepTransitions.IsUnwalkedRecoveryPath",
    "CanRead": true,
    "CanWrite": false,
    "MaskStrategy": "plain",
    "SemanticTypeIri": "urn:effortless:pko-extension#FieldGrant",
    "Name": "principal-knowledge-authority -&gt; StepTransitions.IsUnwalkedRecoveryPath",
    "FieldTable": "StepTransitions",
    "FieldName": "IsUnwalkedRecoveryPath",
    "FieldIsDerived": true,
    "IsWritableDerivedField": false,
    "IsMasked": false,
    "GrantKeyWhenReadable": "principal-knowledge-authority|StepTransitions"
   },
   {
    "FieldGrantId": "fg-knowledge-authority-StepTransitions.TargetBlockingRequirementCount",
    "Principal": "principal-knowledge-authority",
    "TargetField": "StepTransitions.TargetBlockingRequirementCount",
    "CanRead": true,
    "CanWrite": false,
    "MaskStrategy": "plain",
    "SemanticTypeIri": "urn:effortless:pko-extension#FieldGrant",
    "Name": "principal-knowledge-authority -&gt; StepTransitions.TargetBlockingRequirementCount",
    "FieldTable": "StepTransitions",
    "FieldName": "TargetBlockingRequirementCount",
    "FieldIsDerived": true,
    "IsWritableDerivedField": false,
    "IsMasked": false,
    "GrantKeyWhenReadable": "principal-knowledge-authority|StepTransitions"
   },
   {
    "FieldGrantId": "fg-knowledge-authority-StepTransitions.TargetCarriesBlockingControl",
    "Principal": "principal-knowledge-authority",
    "TargetField": "StepTransitions.TargetCarriesBlockingControl",
    "CanRead": true,
    "CanWrite": false,
    "MaskStrategy": "plain",
    "SemanticTypeIri": "urn:effortless:pko-extension#FieldGrant",
    "Name": "principal-knowledge-authority -&gt; StepTransitions.TargetCarriesBlockingControl",
    "FieldTable": "StepTransitions",
    "FieldName": "TargetCarriesBlockingControl",
    "FieldIsDerived": true,
    "IsWritableDerivedField": false,
    "IsMasked": false,
    "GrantKeyWhenReadable": "principal-knowledge-authority|StepTransitions"
   },
   {
    "FieldGrantId": "fg-knowledge-authority-StepTransitions.IsUnrehearsedControlEntry",
    "Principal": "principal-knowledge-authority",
    "TargetField": "StepTransitions.IsUnrehearsedControlEntry",
    "CanRead": true,
    "CanWrite": false,
    "MaskStrategy": "plain",
    "SemanticTypeIri": "urn:effortless:pko-extension#FieldGrant",
    "Name": "principal-knowledge-authority -&gt; StepTransitions.IsUnrehearsedControlEntry",
    "FieldTable": "StepTransitions",
    "FieldName": "IsUnrehearsedControlEntry",
    "FieldIsDerived": true,
    "IsWritableDerivedField": false,
    "IsMasked": false,
    "GrantKeyWhenReadable": "principal-knowledge-authority|StepTransitions"
   },
   {
    "FieldGrantId": "fg-knowledge-authority-StepTransitions.UnrehearsedControlVersionKey",
    "Principal": "principal-knowledge-authority",
    "TargetField": "StepTransitions.UnrehearsedControlVersionKey",
    "CanRead": true,
    "CanWrite": false,
    "MaskStrategy": "plain",
    "SemanticTypeIri": "urn:effortless:pko-extension#FieldGrant",
    "Name": "principal-knowledge-authority -&gt; StepTransitions.UnrehearsedControlVersionKey",
    "FieldTable": "StepTransitions",
    "FieldName": "UnrehearsedControlVersionKey",
    "FieldIsDerived": true,
    "IsWritableDerivedField": false,
    "IsMasked": false,
    "GrantKeyWhenReadable": "principal-knowledge-authority|StepTransitions"
   },
   {
    "FieldGrantId": "fg-knowledge-authority-StepTransitions.SemanticTypeIri",
    "Principal": "principal-knowledge-authority",
    "TargetField": "StepTransitions.SemanticTypeIri",
    "CanRead": true,
    "CanWrite": false,
    "MaskStrategy": "plain",
    "SemanticTypeIri": "urn:effortless:pko-extension#FieldGrant",
    "Name": "principal-knowledge-authority -&gt; StepTransitions.SemanticTypeIri",
    "FieldTable": "StepTransitions",
    "FieldName": "SemanticTypeIri",
    "FieldIsDerived": false,
    "IsWritableDerivedField": false,
    "IsMasked": false,
    "GrantKeyWhenReadable": "principal-knowledge-authority|StepTransitions"
   },
   {
    "FieldGrantId": "fg-knowledge-authority-StepVerifications.StepVerificationId",
    "Principal": "principal-knowledge-authority",
    "TargetField": "StepVerifications.StepVerificationId",
    "CanRead": true,
    "CanWrite": false,
    "MaskStrategy": "plain",
    "SemanticTypeIri": "urn:effortless:pko-extension#FieldGrant",
    "Name": "principal-knowledge-authority -&gt; StepVerifications.StepVerificationId",
    "FieldTable": "StepVerifications",
    "FieldName": "StepVerificationId",
    "FieldIsDerived": false,
    "IsWritableDerivedField": false,
    "IsMasked": false,
    "GrantKeyWhenReadable": "principal-knowledge-authority|StepVerifications"
   },
   {
    "FieldGrantId": "fg-knowledge-authority-StepVerifications.Name",
    "Principal": "principal-knowledge-authority",
    "TargetField": "StepVerifications.Name",
    "CanRead": true,
    "CanWrite": false,
    "MaskStrategy": "plain",
    "SemanticTypeIri": "urn:effortless:pko-extension#FieldGrant",
    "Name": "principal-knowledge-authority -&gt; StepVerifications.Name",
    "FieldTable": "StepVerifications",
    "FieldName": "Name",
    "FieldIsDerived": true,
    "IsWritableDerivedField": false,
    "IsMasked": false,
    "GrantKeyWhenReadable": "principal-knowledge-authority|StepVerifications"
   },
   {
    "FieldGrantId": "fg-knowledge-authority-StepVerifications.Step",
    "Principal": "principal-knowledge-authority",
    "TargetField": "StepVerifications.Step",
    "CanRead": true,
    "CanWrite": false,
    "MaskStrategy": "plain",
    "SemanticTypeIri": "urn:effortless:pko-extension#FieldGrant",
    "Name": "principal-knowledge-authority -&gt; StepVerifications.Step",
    "FieldTable": "StepVerifications",
    "FieldName": "Step",
    "FieldIsDerived": false,
    "IsWritableDerivedField": false,
    "IsMasked": false,
    "GrantKeyWhenReadable": "principal-knowledge-authority|StepVerifications"
   },
   {
    "FieldGrantId": "fg-knowledge-authority-StepVerifications.VerificationKind",
    "Principal": "principal-knowledge-authority",
    "TargetField": "StepVerifications.VerificationKind",
    "CanRead": true,
    "CanWrite": false,
    "MaskStrategy": "plain",
    "SemanticTypeIri": "urn:effortless:pko-extension#FieldGrant",
    "Name": "principal-knowledge-authority -&gt; StepVerifications.VerificationKind",
    "FieldTable": "StepVerifications",
    "FieldName": "VerificationKind",
    "FieldIsDerived": false,
    "IsWritableDerivedField": false,
    "IsMasked": false,
    "GrantKeyWhenReadable": "principal-knowledge-authority|StepVerifications"
   },
   {
    "FieldGrantId": "fg-knowledge-authority-StepVerifications.SignalIdentifier",
    "Principal": "principal-knowledge-authority",
    "TargetField": "StepVerifications.SignalIdentifier",
    "CanRead": true,
    "CanWrite": false,
    "MaskStrategy": "plain",
    "SemanticTypeIri": "urn:effortless:pko-extension#FieldGrant",
    "Name": "principal-knowledge-authority -&gt; StepVerifications.SignalIdentifier",
    "FieldTable": "StepVerifications",
    "FieldName": "SignalIdentifier",
    "FieldIsDerived": false,
    "IsWritableDerivedField": false,
    "IsMasked": false,
    "GrantKeyWhenReadable": "principal-knowledge-authority|StepVerifications"
   },
   {
    "FieldGrantId": "fg-knowledge-authority-StepVerifications.ExpectedSignalValue",
    "Principal": "principal-knowledge-authority",
    "TargetField": "StepVerifications.ExpectedSignalValue",
    "CanRead": true,
    "CanWrite": false,
    "MaskStrategy": "plain",
    "SemanticTypeIri": "urn:effortless:pko-extension#FieldGrant",
    "Name": "principal-knowledge-authority -&gt; StepVerifications.ExpectedSignalValue",
    "FieldTable": "StepVerifications",
    "FieldName": "ExpectedSignalValue",
    "FieldIsDerived": false,
    "IsWritableDerivedField": false,
    "IsMasked": false,
    "GrantKeyWhenReadable": "principal-knowledge-authority|StepVerifications"
   },
   {
    "FieldGrantId": "fg-knowledge-authority-StepVerifications.Instruction",
    "Principal": "principal-knowledge-authority",
    "TargetField": "StepVerifications.Instruction",
    "CanRead": true,
    "CanWrite": false,
    "MaskStrategy": "plain",
    "SemanticTypeIri": "urn:effortless:pko-extension#FieldGrant",
    "Name": "principal-knowledge-authority -&gt; StepVerifications.Instruction",
    "FieldTable": "StepVerifications",
    "FieldName": "Instruction",
    "FieldIsDerived": false,
    "IsWritableDerivedField": false,
    "IsMasked": false,
    "GrantKeyWhenReadable": "principal-knowledge-authority|StepVerifications"
   },
   {
    "FieldGrantId": "fg-knowledge-authority-StepVerifications.SemanticTypeIri",
    "Principal": "principal-knowledge-authority",
    "TargetField": "StepVerifications.SemanticTypeIri",
    "CanRead": true,
    "CanWrite": false,
    "MaskStrategy": "plain",
    "SemanticTypeIri": "urn:effortless:pko-extension#FieldGrant",
    "Name": "principal-knowledge-authority -&gt; StepVerifications.SemanticTypeIri",
    "FieldTable": "StepVerifications",
    "FieldName": "SemanticTypeIri",
    "FieldIsDerived": false,
    "IsWritableDerivedField": false,
    "IsMasked": false,
    "GrantKeyWhenReadable": "principal-knowledge-authority|StepVerifications"
   },
   {
    "FieldGrantId": "fg-knowledge-authority-Steps.StepId",
    "Principal": "principal-knowledge-authority",
    "TargetField": "Steps.StepId",
    "CanRead": true,
    "CanWrite": false,
    "MaskStrategy": "plain",
    "SemanticTypeIri": "urn:effortless:pko-extension#FieldGrant",
    "Name": "principal-knowledge-authority -&gt; Steps.StepId",
    "FieldTable": "Steps",
    "FieldName": "StepId",
    "FieldIsDerived": false,
    "IsWritableDerivedField": false,
    "IsMasked": false,
    "GrantKeyWhenReadable": "principal-knowledge-authority|Steps"
   },
   {
    "FieldGrantId": "fg-knowledge-authority-Steps.Name",
    "Principal": "principal-knowledge-authority",
    "TargetField": "Steps.Name",
    "CanRead": true,
    "CanWrite": false,
    "MaskStrategy": "plain",
    "SemanticTypeIri": "urn:effortless:pko-extension#FieldGrant",
    "Name": "principal-knowledge-authority -&gt; Steps.Name",
    "FieldTable": "Steps",
    "FieldName": "Name",
    "FieldIsDerived": true,
    "IsWritableDerivedField": false,
    "IsMasked": false,
    "GrantKeyWhenReadable": "principal-knowledge-authority|Steps"
   },
   {
    "FieldGrantId": "fg-knowledge-authority-Steps.ProcedureVersion",
    "Principal": "principal-knowledge-authority",
    "TargetField": "Steps.ProcedureVersion",
    "CanRead": true,
    "CanWrite": false,
    "MaskStrategy": "plain",
    "SemanticTypeIri": "urn:effortless:pko-extension#FieldGrant",
    "Name": "principal-knowledge-authority -&gt; Steps.ProcedureVersion",
    "FieldTable": "Steps",
    "FieldName": "ProcedureVersion",
    "FieldIsDerived": false,
    "IsWritableDerivedField": false,
    "IsMasked": false,
    "GrantKeyWhenReadable": "principal-knowledge-authority|Steps"
   },
   {
    "FieldGrantId": "fg-knowledge-authority-Steps.StepNumber",
    "Principal": "principal-knowledge-authority",
    "TargetField": "Steps.StepNumber",
    "CanRead": true,
    "CanWrite": false,
    "MaskStrategy": "plain",
    "SemanticTypeIri": "urn:effortless:pko-extension#FieldGrant",
    "Name": "principal-knowledge-authority -&gt; Steps.StepNumber",
    "FieldTable": "Steps",
    "FieldName": "StepNumber",
    "FieldIsDerived": false,
    "IsWritableDerivedField": false,
    "IsMasked": false,
    "GrantKeyWhenReadable": "principal-knowledge-authority|Steps"
   },
   {
    "FieldGrantId": "fg-knowledge-authority-Steps.Title",
    "Principal": "principal-knowledge-authority",
    "TargetField": "Steps.Title",
    "CanRead": true,
    "CanWrite": false,
    "MaskStrategy": "plain",
    "SemanticTypeIri": "urn:effortless:pko-extension#FieldGrant",
    "Name": "principal-knowledge-authority -&gt; Steps.Title",
    "FieldTable": "Steps",
    "FieldName": "Title",
    "FieldIsDerived": false,
    "IsWritableDerivedField": false,
    "IsMasked": false,
    "GrantKeyWhenReadable": "principal-knowledge-authority|Steps"
   },
   {
    "FieldGrantId": "fg-knowledge-authority-Steps.StepKind",
    "Principal": "principal-knowledge-authority",
    "TargetField": "Steps.StepKind",
    "CanRead": true,
    "CanWrite": false,
    "MaskStrategy": "plain",
    "SemanticTypeIri": "urn:effortless:pko-extension#FieldGrant",
    "Name": "principal-knowledge-authority -&gt; Steps.StepKind",
    "FieldTable": "Steps",
    "FieldName": "StepKind",
    "FieldIsDerived": false,
    "IsWritableDerivedField": false,
    "IsMasked": false,
    "GrantKeyWhenReadable": "principal-knowledge-authority|Steps"
   },
   {
    "FieldGrantId": "fg-knowledge-authority-Steps.AssignedRole",
    "Principal": "principal-knowledge-authority",
    "TargetField": "Steps.AssignedRole",
    "CanRead": true,
    "CanWrite": false,
    "MaskStrategy": "plain",
    "SemanticTypeIri": "urn:effortless:pko-extension#FieldGrant",
    "Name": "principal-knowledge-authority -&gt; Steps.AssignedRole",
    "FieldTable": "Steps",
    "FieldName": "AssignedRole",
    "FieldIsDerived": false,
    "IsWritableDerivedField": false,
    "IsMasked": false,
    "GrantKeyWhenReadable": "principal-knowledge-authority|Steps"
   },
   {
    "FieldGrantId": "fg-knowledge-authority-Steps.AssignedRoleLabel",
    "Principal": "principal-knowledge-authority",
    "TargetField": "Steps.AssignedRoleLabel",
    "CanRead": true,
    "CanWrite": false,
    "MaskStrategy": "plain",
    "SemanticTypeIri": "urn:effortless:pko-extension#FieldGrant",
    "Name": "principal-knowledge-authority -&gt; Steps.AssignedRoleLabel",
    "FieldTable": "Steps",
  </t>
  </si>
  <si>
    <t xml:space="preserve">  "FieldName": "AssignedRoleLabel",
    "FieldIsDerived": true,
    "IsWritableDerivedField": false,
    "IsMasked": false,
    "GrantKeyWhenReadable": "principal-knowledge-authority|Steps"
   },
   {
    "FieldGrantId": "fg-knowledge-authority-Steps.AssignedAgentKind",
    "Principal": "principal-knowledge-authority",
    "TargetField": "Steps.AssignedAgentKind",
    "CanRead": true,
    "CanWrite": false,
    "MaskStrategy": "plain",
    "SemanticTypeIri": "urn:effortless:pko-extension#FieldGrant",
    "Name": "principal-knowledge-authority -&gt; Steps.AssignedAgentKind",
    "FieldTable": "Steps",
    "FieldName": "AssignedAgentKind",
    "FieldIsDerived": true,
    "IsWritableDerivedField": false,
    "IsMasked": false,
    "GrantKeyWhenReadable": "principal-knowledge-authority|Steps"
   },
   {
    "FieldGrantId": "fg-knowledge-authority-Steps.Instruction",
    "Principal": "principal-knowledge-authority",
    "TargetField": "Steps.Instruction",
    "CanRead": true,
    "CanWrite": false,
    "MaskStrategy": "plain",
    "SemanticTypeIri": "urn:effortless:pko-extension#FieldGrant",
    "Name": "principal-knowledge-authority -&gt; Steps.Instruction",
    "FieldTable": "Steps",
    "FieldName": "Instruction",
    "FieldIsDerived": false,
    "IsWritableDerivedField": false,
    "IsMasked": false,
    "GrantKeyWhenReadable": "principal-knowledge-authority|Steps"
   },
   {
    "FieldGrantId": "fg-knowledge-authority-Steps.ExpectedDurationMinutes",
    "Principal": "principal-knowledge-authority",
    "TargetField": "Steps.ExpectedDurationMinutes",
    "CanRead": true,
    "CanWrite": false,
    "MaskStrategy": "plain",
    "SemanticTypeIri": "urn:effortless:pko-extension#FieldGrant",
    "Name": "principal-knowledge-authority -&gt; Steps.ExpectedDurationMinutes",
    "FieldTable": "Steps",
    "FieldName": "ExpectedDurationMinutes",
    "FieldIsDerived": false,
    "IsWritableDerivedField": false,
    "IsMasked": false,
    "GrantKeyWhenReadable": "principal-knowledge-authority|Steps"
   },
   {
    "FieldGrantId": "fg-knowledge-authority-Steps.ExpertiseLevel",
    "Principal": "principal-knowledge-authority",
    "TargetField": "Steps.ExpertiseLevel",
    "CanRead": true,
    "CanWrite": false,
    "MaskStrategy": "plain",
    "SemanticTypeIri": "urn:effortless:pko-extension#FieldGrant",
    "Name": "principal-knowledge-authority -&gt; Steps.ExpertiseLevel",
    "FieldTable": "Steps",
    "FieldName": "ExpertiseLevel",
    "FieldIsDerived": false,
    "IsWritableDerivedField": false,
    "IsMasked": false,
    "GrantKeyWhenReadable": "principal-knowledge-authority|Steps"
   },
   {
    "FieldGrantId": "fg-knowledge-authority-Steps.RequiresHumanConfirmation",
    "Principal": "principal-knowledge-authority",
    "TargetField": "Steps.RequiresHumanConfirmation",
    "CanRead": true,
    "CanWrite": false,
    "MaskStrategy": "plain",
    "SemanticTypeIri": "urn:effortless:pko-extension#FieldGrant",
    "Name": "principal-knowledge-authority -&gt; Steps.RequiresHumanConfirmation",
    "FieldTable": "Steps",
    "FieldName": "RequiresHumanConfirmation",
    "FieldIsDerived": false,
    "IsWritableDerivedField": false,
    "IsMasked": false,
    "GrantKeyWhenReadable": "principal-knowledge-authority|Steps"
   },
   {
    "FieldGrantId": "fg-knowledge-authority-Steps.BlockingRequirementCount",
    "Principal": "principal-knowledge-authority",
    "TargetField": "Steps.BlockingRequirementCount",
    "CanRead": true,
    "CanWrite": false,
    "MaskStrategy": "plain",
    "SemanticTypeIri": "urn:effortless:pko-extension#FieldGrant",
    "Name": "principal-knowledge-authority -&gt; Steps.BlockingRequirementCount",
    "FieldTable": "Steps",
    "FieldName": "BlockingRequirementCount",
    "FieldIsDerived": true,
    "IsWritableDerivedField": false,
    "IsMasked": false,
    "GrantKeyWhenReadable": "principal-knowledge-authority|Steps"
   },
   {
    "FieldGrantId": "fg-knowledge-authority-Steps.StaleBindingCount",
    "Principal": "principal-knowledge-authority",
    "TargetField": "Steps.StaleBindingCount",
    "CanRead": true,
    "CanWrite": false,
    "MaskStrategy": "plain",
    "SemanticTypeIri": "urn:effortless:pko-extension#FieldGrant",
    "Name": "principal-knowledge-authority -&gt; Steps.StaleBindingCount",
    "FieldTable": "Steps",
    "FieldName": "StaleBindingCount",
    "FieldIsDerived": true,
    "IsWritableDerivedField": false,
    "IsMasked": false,
    "GrantKeyWhenReadable": "principal-knowledge-authority|Steps"
   },
   {
    "FieldGrantId": "fg-knowledge-authority-Steps.AuthoritativeStaleCount",
    "Principal": "principal-knowledge-authority",
    "TargetField": "Steps.AuthoritativeStaleCount",
    "CanRead": true,
    "CanWrite": false,
    "MaskStrategy": "plain",
    "SemanticTypeIri": "urn:effortless:pko-extension#FieldGrant",
    "Name": "principal-knowledge-authority -&gt; Steps.AuthoritativeStaleCount",
    "FieldTable": "Steps",
    "FieldName": "AuthoritativeStaleCount",
    "FieldIsDerived": true,
    "IsWritableDerivedField": false,
    "IsMasked": false,
    "GrantKeyWhenReadable": "principal-knowledge-authority|Steps"
   },
   {
    "FieldGrantId": "fg-knowledge-authority-Steps.AvailableExceptionCount",
    "Principal": "principal-knowledge-authority",
    "TargetField": "Steps.AvailableExceptionCount",
    "CanRead": true,
    "CanWrite": false,
    "MaskStrategy": "plain",
    "SemanticTypeIri": "urn:effortless:pko-extension#FieldGrant",
    "Name": "principal-knowledge-authority -&gt; Steps.AvailableExceptionCount",
    "FieldTable": "Steps",
    "FieldName": "AvailableExceptionCount",
    "FieldIsDerived": true,
    "IsWritableDerivedField": false,
    "IsMasked": false,
    "GrantKeyWhenReadable": "principal-knowledge-authority|Steps"
   },
   {
    "FieldGrantId": "fg-knowledge-authority-Steps.DeclaredVerificationCount",
    "Principal": "principal-knowledge-authority",
    "TargetField": "Steps.DeclaredVerificationCount",
    "CanRead": true,
    "CanWrite": false,
    "MaskStrategy": "plain",
    "SemanticTypeIri": "urn:effortless:pko-extension#FieldGrant",
    "Name": "principal-knowledge-authority -&gt; Steps.DeclaredVerificationCount",
    "FieldTable": "Steps",
    "FieldName": "DeclaredVerificationCount",
    "FieldIsDerived": true,
    "IsWritableDerivedField": false,
    "IsMasked": false,
    "GrantKeyWhenReadable": "principal-knowledge-authority|Steps"
   },
   {
    "FieldGrantId": "fg-knowledge-authority-Steps.IsPreparationStep",
    "Principal": "principal-knowledge-authority",
    "TargetField": "Steps.IsPreparationStep",
    "CanRead": true,
    "CanWrite": false,
    "MaskStrategy": "plain",
    "SemanticTypeIri": "urn:effortless:pko-extension#FieldGrant",
    "Name": "principal-knowledge-authority -&gt; Steps.IsPreparationStep",
    "FieldTable": "Steps",
    "FieldName": "IsPreparationStep",
    "FieldIsDerived": true,
    "IsWritableDerivedField": false,
    "IsMasked": false,
    "GrantKeyWhenReadable": "principal-knowledge-authority|Steps"
   },
   {
    "FieldGrantId": "fg-knowledge-authority-Steps.IsApprovalStep",
    "Principal": "principal-knowledge-authority",
    "TargetField": "Steps.IsApprovalStep",
    "CanRead": true,
    "CanWrite": false,
    "MaskStrategy": "plain",
    "SemanticTypeIri": "urn:effortless:pko-extension#FieldGrant",
    "Name": "principal-knowledge-authority -&gt; Steps.IsApprovalStep",
    "FieldTable": "Steps",
    "FieldName": "IsApprovalStep",
    "FieldIsDerived": true,
    "IsWritableDerivedField": false,
    "IsMasked": false,
    "GrantKeyWhenReadable": "principal-knowledge-authority|Steps"
   },
   {
    "FieldGrantId": "fg-knowledge-authority-Steps.StaleAuthoritativeBindingCount",
    "Principal": "principal-knowledge-authority",
    "TargetField": "Steps.StaleAuthoritativeBindingCount",
    "CanRead": true,
    "CanWrite": false,
    "MaskStrategy": "plain",
    "SemanticTypeIri": "urn:effortless:pko-extension#FieldGrant",
    "Name": "principal-knowledge-authority -&gt; Steps.StaleAuthoritativeBindingCount",
    "FieldTable": "Steps",
    "FieldName": "StaleAuthoritativeBindingCount",
    "FieldIsDerived": true,
    "IsWritableDerivedField": false,
    "IsMasked": false,
    "GrantKeyWhenReadable": "principal-knowledge-authority|Steps"
   },
   {
    "FieldGrantId": "fg-knowledge-authority-Steps.InputsAreFresh",
    "Principal": "principal-knowledge-authority",
    "TargetField": "Steps.InputsAreFresh",
    "CanRead": true,
    "CanWrite": false,
    "MaskStrategy": "plain",
    "SemanticTypeIri": "urn:effortless:pko-extension#FieldGrant",
    "Name": "principal-knowledge-authority -&gt; Steps.InputsAreFresh",
    "FieldTable": "Steps",
    "FieldName": "InputsAreFresh",
    "FieldIsDerived": true,
    "IsWritableDerivedField": false,
    "IsMasked": false,
    "GrantKeyWhenReadable": "principal-knowledge-authority|Steps"
   },
   {
    "FieldGrantId": "fg-knowledge-authority-Steps.IsSoftwareAssigned",
    "Principal": "principal-knowledge-authority",
    "TargetField": "Steps.IsSoftwareAssigned",
    "CanRead": true,
    "CanWrite": false,
    "MaskStrategy": "plain",
    "SemanticTypeIri": "urn:effortless:pko-extension#FieldGrant",
    "Name": "principal-knowledge-authority -&gt; Steps.IsSoftwareAssigned",
    "FieldTable": "Steps",
    "FieldName": "IsSoftwareAssigned",
    "FieldIsDerived": true,
    "IsWritableDerivedField": false,
    "IsMasked": false,
    "GrantKeyWhenReadable": "principal-knowledge-authority|Steps"
   },
   {
    "FieldGrantId": "fg-knowledge-authority-Steps.IsHumanApprovalGate",
    "Principal": "principal-knowledge-authority",
    "TargetField": "Steps.IsHumanApprovalGate",
    "CanRead": true,
    "CanWrite": false,
    "MaskStrategy": "plain",
    "SemanticTypeIri": "urn:effortless:pko-extension#FieldGrant",
    "Name": "principal-knowledge-authority -&gt; Steps.IsHumanApprovalGate",
    "FieldTable": "Steps",
    "FieldName": "IsHumanApprovalGate",
    "FieldIsDerived": true,
    "IsWritableDerivedField": false,
    "IsMasked": false,
    "GrantKeyWhenReadable": "principal-knowledge-authority|Steps"
   },
   {
    "FieldGrantId": "fg-knowledge-authority-Steps.GateHeldByHuman",
    "Principal": "principal-knowledge-authority",
    "TargetField": "Steps.GateHeldByHuman",
    "CanRead": true,
    "CanWrite": false,
    "MaskStrategy": "plain",
    "SemanticTypeIri": "urn:effortless:pko-extension#FieldGrant",
    "Name": "principal-knowledge-authority -&gt; Steps.GateHeldByHuman",
    "FieldTable": "Steps",
    "FieldName": "GateHeldByHuman",
    "FieldIsDerived": true,
    "IsWritableDerivedField": false,
    "IsMasked": false,
    "GrantKeyWhenReadable": "principal-knowledge-authority|Steps"
   },
   {
    "FieldGrantId": "fg-knowledge-authority-Steps.BindingBoundaryCount",
    "Principal": "principal-knowledge-authority",
    "TargetField": "Steps.BindingBoundaryCount",
    "CanRead": true,
    "CanWrite": false,
    "MaskStrategy": "plain",
    "SemanticTypeIri": "urn:effortless:pko-extension#FieldGrant",
    "Name": "principal-knowledge-authority -&gt; Steps.BindingBoundaryCount",
    "FieldTable": "Steps",
    "FieldName": "BindingBoundaryCount",
    "FieldIsDerived": true,
    "IsWritableDerivedField": false,
    "IsMasked": false,
    "GrantKeyWhenReadable": "principal-knowledge-authority|Steps"
   },
   {
    "FieldGrantId": "fg-knowledge-authority-Steps.AssignedRoleIsUngoverned",
    "Principal": "principal-knowledge-authority",
    "TargetField": "Steps.AssignedRoleIsUngoverned",
    "CanRead": true,
    "CanWrite": false,
    "MaskStrategy": "plain",
    "SemanticTypeIri": "urn:effortless:pko-extension#FieldGrant",
    "Name": "principal-knowledge-authority -&gt; Steps.AssignedRoleIsUngoverned",
    "FieldTable": "Steps",
    "FieldName": "AssignedRoleIsUngoverned",
    "FieldIsDerived": true,
    "IsWritableDerivedField": false,
    "IsMasked": false,
    "GrantKeyWhenReadable": "principal-knowledge-authority|Steps"
   },
   {
    "FieldGrantId": "fg-knowledge-authority-Steps.UnusableBindingCount",
    "Principal": "principal-knowledge-authority",
    "TargetField": "Steps.UnusableBindingCount",
    "CanRead": true,
    "CanWrite": false,
    "MaskStrategy": "plain",
    "SemanticTypeIri": "urn:effortless:pko-extension#FieldGrant",
    "Name": "principal-knowledge-authority -&gt; Steps.UnusableBindingCount",
    "FieldTable": "Steps",
    "FieldName": "UnusableBindingCount",
    "FieldIsDerived": true,
    "IsWritableDerivedField": false,
    "IsMasked": false,
    "GrantKeyWhenReadable": "principal-knowledge-authority|Steps"
   },
   {
    "FieldGrantId": "fg-knowledge-authority-Steps.AllSourcesUsable",
    "Principal": "principal-knowledge-authority",
    "TargetField": "Steps.AllSourcesUsable",
    "CanRead": true,
    "CanWrite": false,
    "MaskStrategy": "plain",
    "SemanticTypeIri": "urn:effortless:pko-extension#FieldGrant",
    "Name": "principal-knowledge-authority -&gt; Steps.AllSourcesUsable",
    "FieldTable": "Steps",
    "FieldName": "AllSourcesUsable",
    "FieldIsDerived": true,
    "IsWritableDerivedField": false,
    "IsMasked": false,
    "GrantKeyWhenReadable": "principal-knowledge-authority|Steps"
   },
   {
    "FieldGrantId": "fg-knowledge-authority-Steps.ControlKind",
    "Principal": "principal-knowledge-authority",
    "TargetField": "Steps.ControlKind",
    "CanRead": true,
    "CanWrite": false,
    "MaskStrategy": "plain",
    "SemanticTypeIri": "urn:effortless:pko-extension#FieldGrant",
    "Name": "principal-knowledge-authority -&gt; Steps.ControlKind",
    "FieldTable": "Steps",
    "FieldName": "ControlKind",
    "FieldIsDerived": false,
    "IsWritableDerivedField": false,
    "IsMasked": false,
    "GrantKeyWhenReadable": "principal-knowledge-authority|Steps"
   },
   {
    "FieldGrantId": "fg-knowledge-authority-Steps.UnwarrantedBoundaryCount",
    "Principal": "principal-knowledge-authority",
    "TargetField": "Steps.UnwarrantedBoundaryCount",
    "CanRead": true,
    "CanWrite": false,
    "MaskStrategy": "plain",
    "SemanticTypeIri": "urn:effortless:pko-extension#FieldGrant",
    "Name": "principal-knowledge-authority -&gt; Steps.UnwarrantedBoundaryCount",
    "FieldTable": "Steps",
    "FieldName": "UnwarrantedBoundaryCount",
    "FieldIsDerived": true,
    "IsWritableDerivedField": false,
    "IsMasked": false,
    "GrantKeyWhenReadable": "principal-knowledge-authority|Steps"
   },
   {
    "FieldGrantId": "fg-knowledge-authority-Steps.IsGovernedByUnwarrantedBoundary",
    "Principal": "principal-knowledge-authority",
    "TargetField": "Steps.IsGovernedByUnwarrantedBoundary",
    "CanRead": true,
    "CanWrite": false,
    "MaskStrategy": "plain",
    "SemanticTypeIri": "urn:effortless:pko-extension#FieldGrant",
    "Name": "principal-knowledge-authority -&gt; Steps.IsGovernedByUnwarrantedBoundary",
    "FieldTable": "Steps",
    "FieldName": "IsGovernedByUnwarrantedBoundary",
    "FieldIsDerived": true,
    "IsWritableDerivedField": false,
    "IsMasked": false,
    "GrantKeyWhenReadable": "principal-knowledge-authority|Steps"
   },
   {
    "FieldGrantId": "fg-knowledge-authority-Steps.SoftwareExecutionCount",
    "Principal": "principal-knowledge-authority",
    "TargetField": "Steps.SoftwareExecutionCount",
    "CanRead": true,
    "CanWrite": false,
    "MaskStrategy": "plain",
    "SemanticTypeIri": "urn:effortless:pko-extension#FieldGrant",
    "Name": "principal-knowledge-authority -&gt; Steps.SoftwareExecutionCount",
    "FieldTable": "Steps",
    "FieldName": "SoftwareExecutionCount",
    "FieldIsDerived": true,
    "IsWritableDerivedField": false,
    "IsMasked": false,
    "GrantKeyWhenReadable": "principal-knowledge-authority|Steps"
   },
   {
    "FieldGrantId": "fg-knowledge-authority-Steps.HasBeenApproachedBySoftware",
    "Principal": "principal-knowledge-authority",
    "TargetField": "Steps.HasBeenApproachedBySoftware",
    "CanRead": true,
    "CanWrite": false,
    "MaskStrategy": "plain",
    "SemanticTypeIri": "urn:effortless:pko-extension#FieldGrant",
    "Name": "principal-knowledge-authority -&gt; Steps.HasBeenApproachedBySoftware",
    "FieldTable": "Steps",
    "FieldName": "HasBeenApproachedBySoftware",
    "FieldIsDerived": true,
    "IsWritableDerivedField": false,
    "IsMasked": false,
    "GrantKeyWhenReadable": "principal-knowledge-authority|Steps"
   },
   {
    "FieldGrantId": "fg-knowledge-authority-Steps.IsUnexercisedHumanGate",
    "Principal": "principal-knowledge-authority",
    "TargetField": "Steps.IsUnexercisedHumanGate",
    "CanRead": true,
    "CanWrite": false,
    "MaskStrategy": "plain",
    "SemanticTypeIri": "urn:effortless:pko-extension#FieldGrant",
    "Name": "principal-knowledge-authority -&gt; Steps.IsUnexercisedHumanGate",
    "FieldTable": "Steps",
    "FieldName": "IsUnexercisedHumanGate",
    "FieldIsDerived": true,
    "IsWritableDerivedField": false,
    "IsMasked": false,
    "GrantKeyWhenReadable": "principal-knowledge-authority|Steps"
   },
   {
    "FieldGrantId": "fg-knowledge-authority-Steps.IsDemonstratedHumanGate",
    "Principal": "principal-knowledge-authority",
    "TargetField": "Steps.IsDemonstratedHumanGate",
    "CanRead": true,
    "CanWrite": false,
    "MaskStrategy": "plain",
    "SemanticTypeIri": "urn:effortless:pko-extension#FieldGrant",
    "Name": "principal-knowledge-authority -&gt; Steps.IsDemonstratedHumanGate",
    "FieldTable": "Steps",
    "FieldName": "IsDemonstratedHumanGate",
    "FieldIsDerived": true,
    "IsWritableDerivedField": false,
    "IsMasked": false,
    "GrantKeyWhenReadable": "principal-knowledge-authority|Steps"
   },
   {
    "FieldGrantId": "fg-knowledge-authority-Steps.UnexercisedGateVersionKey",
    "Principal": "principal-knowledge-authority",
    "TargetField": "Steps.UnexercisedGateVersionKey",
    "CanRead": true,
    "CanWrite": false,
    "MaskStrategy": "plain",
    "SemanticTypeIri": "urn:effortless:pko-extension#FieldGrant",
    "Name": "principal-knowledge-authority -&gt; Steps.UnexercisedGateVersionKey",
    "FieldTable": "Steps",
    "FieldName": "UnexercisedGateVersionKey",
    "FieldIsDerived": true,
    "IsWritableDerivedField": false,
    "IsMasked": false,
    "GrantKeyWhenReadable": "principal-knowledge-authority|Steps"
   },
   {
    "FieldGrantId": "fg-knowledge-authority-Steps.HasDeclaredControlKind",
    "Principal": "principal-knowledge-authority",
    "TargetField": "Steps.HasDeclaredControlKind",
    "CanRead": true,
    "CanWrite": false,
    "MaskStrategy": "plain",
    "SemanticTypeIri": "urn:effortless:pko-extension#FieldGrant",
    "Name": "principal-knowledge-authority -&gt; Steps.HasDeclaredControlKind",
    "FieldTable": "Steps",
    "FieldName": "HasDeclaredControlKind",
    "FieldIsDerived": true,
    "IsWritableDerivedField": false,
    "IsMasked": false,
    "GrantKeyWhenReadable": "principal-knowledge-authority|Steps"
   },
   {
    "FieldGrantId": "fg-knowledge-authority-Steps.UndeclaredControlVersionKey",
    "Principal": "principal-knowledge-authority",
    "TargetField": "Steps.UndeclaredControlVersionKey",
    "CanRead": true,
    "CanWrite": false,
    "MaskStrategy": "plain",
    "SemanticTypeIri": "urn:effortless:pko-extension#FieldGrant",
    "Name": "principal-knowledge-authority -&gt; Steps.UndeclaredControlVersionKey",
    "FieldTable": "Steps",
    "FieldName": "UndeclaredControlVersionKey",
    "FieldIsDerived": true,
    "IsWritableDerivedField": false,
    "IsMasked": false,
    "GrantKeyWhenReadable": "principal-knowledge-authority|Steps"
   },
   {
    "FieldGrantId": "fg-knowledge-authority-Steps.ApprovalStepIsSoftwareAssigned",
    "Principal": "principal-knowledge-authority",
    "TargetField": "Steps.ApprovalStepIsSoftwareAssigned",
    "CanRead": true,
    "CanWrite": false,
    "MaskStrategy": "plain",
    "SemanticTypeIri": "urn:effortless:pko-extension#FieldGrant",
    "Name": "principal-knowledge-authority -&gt; Steps.ApprovalStepIsSoftwareAssigned",
    "FieldTable": "Steps",
    "FieldName": "ApprovalStepIsSoftwareAssigned",
    "FieldIsDerived": true,
    "IsWritableDerivedField": false,
    "IsMasked": false,
    "GrantKeyWhenReadable": "principal-knowledge-authority|Steps"
   },
   {
    "FieldGrantId": "fg-knowledge-authority-Steps.UnwitnessedBlockingCount",
    "Principal": "principal-knowledge-authority",
    "TargetField": "Steps.UnwitnessedBlockingCount",
    "CanRead": true,
    "CanWrite": false,
    "MaskStrategy": "plain",
    "SemanticTypeIri": "urn:effortless:pko-extension#FieldGrant",
    "Name": "principal-knowledge-authority -&gt; Steps.UnwitnessedBlockingCount",
    "FieldTable": "Steps",
    "FieldName": "UnwitnessedBlockingCount",
    "FieldIsDerived": true,
    "IsWritableDerivedField": false,
    "IsMasked": false,
    "GrantKeyWhenReadable": "principal-knowledge-authority|Steps"
   },
   {
    "FieldGrantId": "fg-knowledge-authority-Steps.SemanticTypeIri",
    "Principal": "principal-knowledge-authority",
    "TargetField": "Steps.SemanticTypeIri",
    "CanRead": true,
    "CanWrite": false,
    "MaskStrategy": "plain",
    "SemanticTypeIri": "urn:effortless:pko-extension#FieldGrant",
    "Name": "principal-knowledge-authority -&gt; Steps.SemanticTypeIri",
    "FieldTable": "Steps",
    "FieldName": "SemanticTypeIri",
    "FieldIsDerived": false,
    "IsWritableDerivedField": false,
    "IsMasked": false,
    "GrantKeyWhenReadable": "principal-knowledge-authority|Steps"
   },
   {
    "FieldGrantId": "fg-knowledge-authority-StewardshipAssignments.StewardshipAssignmentId",
    "Principal": "principal-knowledge-authority",
    "TargetField": "StewardshipAssignments.StewardshipAssignmentId",
    "CanRead": true,
    "CanWrite": false,
    "MaskStrategy": "plain",
    "SemanticTypeIri": "urn:effortless:pko-extension#FieldGrant",
    "Name": "principal-knowledge-authority -&gt; StewardshipAssignments.StewardshipAssignmentId",
    "FieldTable": "StewardshipAssignments",
    "FieldName": "StewardshipAssignmentId",
    "FieldIsDerived": false,
    "IsWritableDerivedField": false,
    "IsMasked": false,
    "GrantKeyWhenReadable": "principal-knowledge-authority|StewardshipAssignments"
   },
   {
    "FieldGrantId": "fg-knowledge-authority-StewardshipAssignments.Name",
    "Principal": "principal-knowledge-authority",
    "TargetField": "StewardshipAssignments.Name",
    "CanRead": true,
    "CanWrite": false,
    "MaskStrategy": "plain",
    "SemanticTypeIri": "urn:effortless:pko-extension#FieldGrant",
    "Name": "principal-knowledge-authority -&gt; StewardshipAssignments.Name",
    "FieldTable": "StewardshipAssignments",
    "FieldName": "Name",
    "FieldIsDerived": true,
    "IsWritableDerivedField": false,
    "IsMasked": false,
    "GrantKeyWhenReadable": "principal-knowledge-authority|StewardshipAssignments"
   },
   {
    "FieldGrantId": "fg-knowledge-authority-StewardshipAssignments.ProcedureVersion",
    "Principal": "principal-knowledge-authority",
    "TargetField": "StewardshipAssignments.ProcedureVersion",
    "CanRead": true,
    "CanWrite": false,
    "MaskStrategy": "plain",
    "SemanticTypeIri": "urn:effortless:pko-extension#FieldGrant",
    "Name": "principal-knowledge-authority -&gt; StewardshipAssignments.ProcedureVersion",
    "FieldTable": "StewardshipAssignments",
    "FieldName": "ProcedureVersion",
    "FieldIsDerived": false,
    "IsWritableDerivedField": false,
    "IsMasked": false,
    "GrantKeyWhenReadable": "principal-knowledge-authority|StewardshipAssignments"
   },
   {
    "FieldGrantId": "fg-knowledge-authority-StewardshipAssignments.StewardRole",
    "Principal": "principal-knowledge-authority",
    "TargetField": "StewardshipAssignments.StewardRole",
    "CanRead": true,
    "CanWrite": false,
    "MaskStrategy": "plain",
    "SemanticTypeIri": "urn:effortless:pko-extension#FieldGrant",
    "Name": "principal-knowledge-authority -&gt; StewardshipAssignments.StewardRole",
    "FieldTable": "StewardshipAssignments",
    "FieldName": "StewardRole",
    "FieldIsDerived": false,
    "IsWritableDerivedField": false,
    "IsMasked": false,
    "GrantKeyWhenReadable": "principal-knowledge-authority|StewardshipAssignments"
   },
   {
    "FieldGrantId": "fg-knowledge-authority-StewardshipAssignments.AuthorityRole",
    "Principal": "principal-knowledge-authority",
    "TargetField": "StewardshipAssignments.AuthorityRole",
    "CanRead": true,
    "CanWrite": false,
    "MaskStrategy": "plain",
    "SemanticTypeIri": "urn:effortless:pko-extension#FieldGrant",
    "Name": "principal-knowledge-authority -&gt; StewardshipAssignments.AuthorityRole",
    "FieldTable": "StewardshipAssignments",
    "FieldName": "AuthorityRole",
    "FieldIsDerived": false,
    "IsWritableDerivedField": false,
    "IsMasked": false,
    "GrantKeyWhenReadable": "principal-knowledge-authority|StewardshipAssignments"
   },
   {
    "FieldGrantId": "fg-knowledge-authority-StewardshipAssignments.ValidFrom",
    "Principal": "principal-knowledge-authority",
    "TargetField": "StewardshipAssignments.ValidFrom",
    "CanRead": true,
    "CanWrite": false,
    "MaskStrategy": "plain",
    "SemanticTypeIri": "urn:effortless:pko-extension#FieldGrant",
    "Name": "principal-knowledge-authority -&gt; StewardshipAssignments.ValidFrom",
    "FieldTable": "StewardshipAssignments",
    "FieldName": "ValidFrom",
    "FieldIsDerived": false,
    "IsWritableDerivedField": false,
    "IsMasked": false,
    "GrantKeyWhenReadable": "principal-knowledge-authority|StewardshipAssignments"
   },
   {
    "FieldGrantId": "fg-knowledge-authority-StewardshipAssignments.ValidTo",
    "Principal": "principal-knowledge-authority",
    "TargetField": "StewardshipAssignments.ValidTo",
    "CanRead": true,
    "CanWrite": false,
    "MaskStrategy": "plain",
    "SemanticTypeIri": "urn:effortless:pko-extension#FieldGrant",
    "Name": "principal-knowledge-authority -&gt; StewardshipAssignments.ValidTo",
    "FieldTable": "StewardshipAssignments",
    "FieldName": "ValidTo",
    "FieldIsDerived": false,
    "IsWritableDerivedField": false,
    "IsMasked": false,
    "GrantKeyWhenReadable": "principal-knowledge-authority|StewardshipAssignments"
   },
   {
    "FieldGrantId": "fg-knowledge-authority-StewardshipAssignments.ReviewCadenceDays",
    "Principal": "principal-knowledge-authority",
    "TargetField": "StewardshipAssignments.ReviewCadenceDays",
    "CanRead": true,
    "CanWrite": false,
    "MaskStrategy": "plain",
    "SemanticTypeIri": "urn:effortless:pko-extension#FieldGrant",
    "Name": "principal-knowledge-authority -&gt; StewardshipAssignments.ReviewCadenceDays",
    "FieldTable": "StewardshipAssignments",
    "FieldName": "ReviewCadenceDays",
    "FieldIsDerived": false,
    "IsWritableDerivedField": false,
    "IsMasked": false,
    "GrantKeyWhenReadable": "principal-knowledge-authority|StewardshipAssignments"
   },
   {
    "FieldGrantId": "fg-knowledge-authority-StewardshipAssignments.CountOfReviewEvents",
    "Principal": "principal-knowledge-authority",
    "TargetField": "StewardshipAssignments.CountOfReviewEvents",
    "CanRead": true,
    "CanWrite": false,
    "MaskStrategy": "plain",
    "SemanticTypeIri": "urn:effortless:pko-extension#FieldGrant",
    "Name": "principal-knowledge-authority -&gt; StewardshipAssignments.CountOfReviewEvents",
    "FieldTable": "StewardshipAssignments",
    "FieldName": "CountOfReviewEvents",
    "FieldIsDerived": true,
    "IsWritableDerivedField": false,
    "IsMasked": false,
    "GrantKeyWhenReadable": "principal-knowledge-authority|StewardshipAssignments"
   },
   {
    "FieldGrantId": "fg-knowledge-authority-StewardshipAssignments.HasEverBeenReviewed",
    "Principal": "principal-knowledge-authority",
    "TargetField": "StewardshipAssignments.HasEverBeenReviewed",
    "CanRead": true,
    "CanWrite": false,
    "MaskStrategy": "plain",
    "SemanticTypeIri": "urn:effortless:pko-extension#FieldGrant",
    "Name": "principal-knowledge-authority -&gt; StewardshipAssignments.HasEverBeenReviewed",
    "FieldTable": "StewardshipAssignments",
    "FieldName": "HasEverBeenReviewed",
    "FieldIsDerived": true,
    "IsWritableDerivedField": false,
    "IsMasked": false,
    "GrantKeyWhenReadable": "principal-knowledge-authority|StewardshipAssignments"
   },
   {
    "FieldGrantId": "fg-knowledge-authority-StewardshipAssignments.EvaluationContext",
    "Principal": "principal-knowledge-authority",
    "TargetField": "StewardshipAssignments.EvaluationContext",
    "CanRead": true,
    "CanWrite": false,
    "MaskStrategy": "plain",
    "SemanticTypeIri": "urn:effortless:pko-extension#FieldGrant",
    "Name": "principal-knowledge-authority -&gt; StewardshipAssignments.EvaluationContext",
    "FieldTable": "StewardshipAssignments",
    "FieldName": "EvaluationContext",
    "FieldIsDerived": false,
    "IsWritableDerivedField": false,
    "IsMasked": false,
    "GrantKeyWhenReadable": "principal-knowledge-authority|StewardshipAssignments"
   },
   {
    "FieldGrantId": "fg-knowledge-authority-StewardshipAssignments.AsOfInstant",
    "Principal": "principal-knowledge-authority",
    "TargetField": "StewardshipAssignments.AsOfInstant",
    "CanRead": true,
    "CanWrite": false,
    "MaskStrategy": "plain",
    "SemanticTypeIri": "urn:effortless:pko-extension#FieldGrant",
    "Name": "principal-knowledge-authority -&gt; StewardshipAssignments.AsOfInstant",
    "FieldTable": "StewardshipAssignments",
    "FieldName": "AsOfInstant",
    "FieldIsDerived": true,
    "IsWritableDerivedField": false,
    "IsMasked": false,
    "GrantKeyWhenReadable": "principal-knowledge-authority|StewardshipAssignments"
   },
   {
    "FieldGrantId": "fg-knowledge-authority-StewardshipAssignments.IsCurrentAssignment",
    "Principal": "principal-knowledge-authority",
    "TargetField": "StewardshipAssignments.IsCurrentAssignment",
    "CanRead": true,
    "CanWrite": false,
    "MaskStrategy": "plain",
    "SemanticTypeIri": "urn:effortless:pko-extension#FieldGrant",
    "Name": "principal-knowledge-authority -&gt; StewardshipAssignments.IsCurrentAssignment",
    "FieldTable": "StewardshipAssignments",
    "FieldName": "IsCurrentAssignment",
    "FieldIsDerived": true,
    "IsWritableDerivedField": false,
    "IsMasked": false,
    "GrantKeyWhenReadable": "principal-knowledge-authority|StewardshipAssignments"
   },
   {
    "FieldGrantId": "fg-knowledge-authority-StewardshipAssignments.SemanticTypeIri",
    "Principal": "principal-knowledge-authority",
    "TargetField": "StewardshipAssignments.SemanticTypeIri",
    "CanRead": true,
    "CanWrite": false,
    "MaskStrategy": "plain",
    "SemanticTypeIri": "urn:effortless:pko-extension#FieldGrant",
    "Name": "principal-knowledge-authority -&gt; StewardshipAssignments.SemanticTypeIri",
    "FieldTable": "StewardshipAssignments",
    "FieldName": "SemanticTypeIri",
    "FieldIsDerived": false,
    "IsWritableDerivedField": false,
    "IsMasked": false,
    "GrantKeyWhenReadable": "principal-knowledge-authority|StewardshipAssignments"
   },
   {
    "FieldGrantId": "fg-knowledge-authority-TemplateApprovals.TemplateApprovalId",
    "Principal": "principal-knowledge-authority",
    "TargetField": "TemplateApprovals.TemplateApprovalId",
    "CanRead": true,
    "CanWrite": false,
    "MaskStrategy": "plain",
    "SemanticTypeIri": "urn:effortless:pko-extension#FieldGrant",
    "Name": "principal-knowledge-authority -&gt; TemplateApprovals.TemplateApprovalId",
    "FieldTable": "TemplateApprovals",
    "FieldName": "TemplateApprovalId",
    "FieldIsDerived": false,
    "IsWritableDerivedField": false,
    "IsMasked": false,
    "GrantKeyWhenReadable": "principal-knowledge-authority|TemplateApprovals"
   },
   {
    "FieldGrantId": "fg-knowledge-authority-TemplateApprovals.Name",
    "Principal": "principal-knowledge-authority",
    "TargetField": "TemplateApprovals.Name",
    "CanRead": true,
    "CanWrite": false,
    "MaskStrategy": "plain",
    "SemanticTypeIri": "urn:effortless:pko-extension#FieldGrant",
    "Name": "principal-knowledge-authority -&gt; TemplateApprovals.Name",
    "FieldTable": "TemplateApprovals",
    "FieldName": "Name",
    "FieldIsDerived": true,
    "IsWritableDerivedField": false,
    "IsMasked": false,
    "GrantKeyWhenReadable": "principal-knowledge-authority|TemplateApprovals"
   },
   {
    "FieldGrantId": "fg-knowledge-authority-TemplateApprovals.MessageTemplate",
    "Principal": "principal-knowledge-authority",
    "TargetField": "TemplateApprovals.MessageTemplate",
    "CanRead": true,
    "CanWrite": false,
    "MaskStrategy": "plain",
    "SemanticTypeIri": "urn:effortless:pko-extension#FieldGrant",
    "Name": "principal-knowledge-authority -&gt; TemplateApprovals.MessageTemplate",
    "FieldTable": "TemplateApprovals",
    "FieldName": "MessageTemplate",
    "FieldIsDerived": false,
    "IsWritableDerivedField": false,
    "I</t>
  </si>
  <si>
    <t xml:space="preserve">sMasked": false,
    "GrantKeyWhenReadable": "principal-knowledge-authority|TemplateApprovals"
   },
   {
    "FieldGrantId": "fg-knowledge-authority-TemplateApprovals.DecidedByAgent",
    "Principal": "principal-knowledge-authority",
    "TargetField": "TemplateApprovals.DecidedByAgent",
    "CanRead": true,
    "CanWrite": false,
    "MaskStrategy": "plain",
    "SemanticTypeIri": "urn:effortless:pko-extension#FieldGrant",
    "Name": "principal-knowledge-authority -&gt; TemplateApprovals.DecidedByAgent",
    "FieldTable": "TemplateApprovals",
    "FieldName": "DecidedByAgent",
    "FieldIsDerived": false,
    "IsWritableDerivedField": false,
    "IsMasked": false,
    "GrantKeyWhenReadable": "principal-knowledge-authority|TemplateApprovals"
   },
   {
    "FieldGrantId": "fg-knowledge-authority-TemplateApprovals.DecidedInRole",
    "Principal": "principal-knowledge-authority",
    "TargetField": "TemplateApprovals.DecidedInRole",
    "CanRead": true,
    "CanWrite": false,
    "MaskStrategy": "plain",
    "SemanticTypeIri": "urn:effortless:pko-extension#FieldGrant",
    "Name": "principal-knowledge-authority -&gt; TemplateApprovals.DecidedInRole",
    "FieldTable": "TemplateApprovals",
    "FieldName": "DecidedInRole",
    "FieldIsDerived": false,
    "IsWritableDerivedField": false,
    "IsMasked": false,
    "GrantKeyWhenReadable": "principal-knowledge-authority|TemplateApprovals"
   },
   {
    "FieldGrantId": "fg-knowledge-authority-TemplateApprovals.Decision",
    "Principal": "principal-knowledge-authority",
    "TargetField": "TemplateApprovals.Decision",
    "CanRead": true,
    "CanWrite": false,
    "MaskStrategy": "plain",
    "SemanticTypeIri": "urn:effortless:pko-extension#FieldGrant",
    "Name": "principal-knowledge-authority -&gt; TemplateApprovals.Decision",
    "FieldTable": "TemplateApprovals",
    "FieldName": "Decision",
    "FieldIsDerived": false,
    "IsWritableDerivedField": false,
    "IsMasked": false,
    "GrantKeyWhenReadable": "principal-knowledge-authority|TemplateApprovals"
   },
   {
    "FieldGrantId": "fg-knowledge-authority-TemplateApprovals.DecidedAt",
    "Principal": "principal-knowledge-authority",
    "TargetField": "TemplateApprovals.DecidedAt",
    "CanRead": true,
    "CanWrite": false,
    "MaskStrategy": "plain",
    "SemanticTypeIri": "urn:effortless:pko-extension#FieldGrant",
    "Name": "principal-knowledge-authority -&gt; TemplateApprovals.DecidedAt",
    "FieldTable": "TemplateApprovals",
    "FieldName": "DecidedAt",
    "FieldIsDerived": false,
    "IsWritableDerivedField": false,
    "IsMasked": false,
    "GrantKeyWhenReadable": "principal-knowledge-authority|TemplateApprovals"
   },
   {
    "FieldGrantId": "fg-knowledge-authority-TemplateApprovals.ApprovedBodyHash",
    "Principal": "principal-knowledge-authority",
    "TargetField": "TemplateApprovals.ApprovedBodyHash",
    "CanRead": true,
    "CanWrite": false,
    "MaskStrategy": "plain",
    "SemanticTypeIri": "urn:effortless:pko-extension#FieldGrant",
    "Name": "principal-knowledge-authority -&gt; TemplateApprovals.ApprovedBodyHash",
    "FieldTable": "TemplateApprovals",
    "FieldName": "ApprovedBodyHash",
    "FieldIsDerived": false,
    "IsWritableDerivedField": false,
    "IsMasked": false,
    "GrantKeyWhenReadable": "principal-knowledge-authority|TemplateApprovals"
   },
   {
    "FieldGrantId": "fg-knowledge-authority-TemplateApprovals.Notes",
    "Principal": "principal-knowledge-authority",
    "TargetField": "TemplateApprovals.Notes",
    "CanRead": true,
    "CanWrite": false,
    "MaskStrategy": "plain",
    "SemanticTypeIri": "urn:effortless:pko-extension#FieldGrant",
    "Name": "principal-knowledge-authority -&gt; TemplateApprovals.Notes",
    "FieldTable": "TemplateApprovals",
    "FieldName": "Notes",
    "FieldIsDerived": false,
    "IsWritableDerivedField": false,
    "IsMasked": false,
    "GrantKeyWhenReadable": "principal-knowledge-authority|TemplateApprovals"
   },
   {
    "FieldGrantId": "fg-knowledge-authority-TemplateApprovals.IsApprovalDecision",
    "Principal": "principal-knowledge-authority",
    "TargetField": "TemplateApprovals.IsApprovalDecision",
    "CanRead": true,
    "CanWrite": false,
    "MaskStrategy": "plain",
    "SemanticTypeIri": "urn:effortless:pko-extension#FieldGrant",
    "Name": "principal-knowledge-authority -&gt; TemplateApprovals.IsApprovalDecision",
    "FieldTable": "TemplateApprovals",
    "FieldName": "IsApprovalDecision",
    "FieldIsDerived": true,
    "IsWritableDerivedField": false,
    "IsMasked": false,
    "GrantKeyWhenReadable": "principal-knowledge-authority|TemplateApprovals"
   },
   {
    "FieldGrantId": "fg-knowledge-authority-TemplateApprovals.TemplatePolicy",
    "Principal": "principal-knowledge-authority",
    "TargetField": "TemplateApprovals.TemplatePolicy",
    "CanRead": true,
    "CanWrite": false,
    "MaskStrategy": "plain",
    "SemanticTypeIri": "urn:effortless:pko-extension#FieldGrant",
    "Name": "principal-knowledge-authority -&gt; TemplateApprovals.TemplatePolicy",
    "FieldTable": "TemplateApprovals",
    "FieldName": "TemplatePolicy",
    "FieldIsDerived": true,
    "IsWritableDerivedField": false,
    "IsMasked": false,
    "GrantKeyWhenReadable": "principal-knowledge-authority|TemplateApprovals"
   },
   {
    "FieldGrantId": "fg-knowledge-authority-TemplateApprovals.RequiredApprovalRole",
    "Principal": "principal-knowledge-authority",
    "TargetField": "TemplateApprovals.RequiredApprovalRole",
    "CanRead": true,
    "CanWrite": false,
    "MaskStrategy": "plain",
    "SemanticTypeIri": "urn:effortless:pko-extension#FieldGrant",
    "Name": "principal-knowledge-authority -&gt; TemplateApprovals.RequiredApprovalRole",
    "FieldTable": "TemplateApprovals",
    "FieldName": "RequiredApprovalRole",
    "FieldIsDerived": true,
    "IsWritableDerivedField": false,
    "IsMasked": false,
    "GrantKeyWhenReadable": "principal-knowledge-authority|TemplateApprovals"
   },
   {
    "FieldGrantId": "fg-knowledge-authority-TemplateApprovals.IsDecidedByRequiredRole",
    "Principal": "principal-knowledge-authority",
    "TargetField": "TemplateApprovals.IsDecidedByRequiredRole",
    "CanRead": true,
    "CanWrite": false,
    "MaskStrategy": "plain",
    "SemanticTypeIri": "urn:effortless:pko-extension#FieldGrant",
    "Name": "principal-knowledge-authority -&gt; TemplateApprovals.IsDecidedByRequiredRole",
    "FieldTable": "TemplateApprovals",
    "FieldName": "IsDecidedByRequiredRole",
    "FieldIsDerived": true,
    "IsWritableDerivedField": false,
    "IsMasked": false,
    "GrantKeyWhenReadable": "principal-knowledge-authority|TemplateApprovals"
   },
   {
    "FieldGrantId": "fg-knowledge-authority-TemplateApprovals.ValidApprovalTemplateKey",
    "Principal": "principal-knowledge-authority",
    "TargetField": "TemplateApprovals.ValidApprovalTemplateKey",
    "CanRead": true,
    "CanWrite": false,
    "MaskStrategy": "plain",
    "SemanticTypeIri": "urn:effortless:pko-extension#FieldGrant",
    "Name": "principal-knowledge-authority -&gt; TemplateApprovals.ValidApprovalTemplateKey",
    "FieldTable": "TemplateApprovals",
    "FieldName": "ValidApprovalTemplateKey",
    "FieldIsDerived": true,
    "IsWritableDerivedField": false,
    "IsMasked": false,
    "GrantKeyWhenReadable": "principal-knowledge-authority|TemplateApprovals"
   },
   {
    "FieldGrantId": "fg-knowledge-authority-TemplateApprovals.SemanticTypeIri",
    "Principal": "principal-knowledge-authority",
    "TargetField": "TemplateApprovals.SemanticTypeIri",
    "CanRead": true,
    "CanWrite": false,
    "MaskStrategy": "plain",
    "SemanticTypeIri": "urn:effortless:pko-extension#FieldGrant",
    "Name": "principal-knowledge-authority -&gt; TemplateApprovals.SemanticTypeIri",
    "FieldTable": "TemplateApprovals",
    "FieldName": "SemanticTypeIri",
    "FieldIsDerived": false,
    "IsWritableDerivedField": false,
    "IsMasked": false,
    "GrantKeyWhenReadable": "principal-knowledge-authority|TemplateApprovals"
   },
   {
    "FieldGrantId": "fg-knowledge-authority-TestCases.TestCaseId",
    "Principal": "principal-knowledge-authority",
    "TargetField": "TestCases.TestCaseId",
    "CanRead": true,
    "CanWrite": false,
    "MaskStrategy": "plain",
    "SemanticTypeIri": "urn:effortless:pko-extension#FieldGrant",
    "Name": "principal-knowledge-authority -&gt; TestCases.TestCaseId",
    "FieldTable": "TestCases",
    "FieldName": "TestCaseId",
    "FieldIsDerived": false,
    "IsWritableDerivedField": false,
    "IsMasked": false,
    "GrantKeyWhenReadable": "principal-knowledge-authority|TestCases"
   },
   {
    "FieldGrantId": "fg-knowledge-authority-TestCases.Name",
    "Principal": "principal-knowledge-authority",
    "TargetField": "TestCases.Name",
    "CanRead": true,
    "CanWrite": false,
    "MaskStrategy": "plain",
    "SemanticTypeIri": "urn:effortless:pko-extension#FieldGrant",
    "Name": "principal-knowledge-authority -&gt; TestCases.Name",
    "FieldTable": "TestCases",
    "FieldName": "Name",
    "FieldIsDerived": true,
    "IsWritableDerivedField": false,
    "IsMasked": false,
    "GrantKeyWhenReadable": "principal-knowledge-authority|TestCases"
   },
   {
    "FieldGrantId": "fg-knowledge-authority-TestCases.TestKind",
    "Principal": "principal-knowledge-authority",
    "TargetField": "TestCases.TestKind",
    "CanRead": true,
    "CanWrite": false,
    "MaskStrategy": "plain",
    "SemanticTypeIri": "urn:effortless:pko-extension#FieldGrant",
    "Name": "principal-knowledge-authority -&gt; TestCases.TestKind",
    "FieldTable": "TestCases",
    "FieldName": "TestKind",
    "FieldIsDerived": false,
    "IsWritableDerivedField": false,
    "IsMasked": false,
    "GrantKeyWhenReadable": "principal-knowledge-authority|TestCases"
   },
   {
    "FieldGrantId": "fg-knowledge-authority-TestCases.Subject",
    "Principal": "principal-knowledge-authority",
    "TargetField": "TestCases.Subject",
    "CanRead": true,
    "CanWrite": false,
    "MaskStrategy": "plain",
    "SemanticTypeIri": "urn:effortless:pko-extension#FieldGrant",
    "Name": "principal-knowledge-authority -&gt; TestCases.Subject",
    "FieldTable": "TestCases",
    "FieldName": "Subject",
    "FieldIsDerived": false,
    "IsWritableDerivedField": false,
    "IsMasked": false,
    "GrantKeyWhenReadable": "principal-knowledge-authority|TestCases"
   },
   {
    "FieldGrantId": "fg-knowledge-authority-TestCases.TargetTable",
    "Principal": "principal-knowledge-authority",
    "TargetField": "TestCases.TargetTable",
    "CanRead": true,
    "CanWrite": false,
    "MaskStrategy": "plain",
    "SemanticTypeIri": "urn:effortless:pko-extension#FieldGrant",
    "Name": "principal-knowledge-authority -&gt; TestCases.TargetTable",
    "FieldTable": "TestCases",
    "FieldName": "TargetTable",
    "FieldIsDerived": false,
    "IsWritableDerivedField": false,
    "IsMasked": false,
    "GrantKeyWhenReadable": "principal-knowledge-authority|TestCases"
   },
   {
    "FieldGrantId": "fg-knowledge-authority-TestCases.TargetField",
    "Principal": "principal-knowledge-authority",
    "TargetField": "TestCases.TargetField",
    "CanRead": true,
    "CanWrite": false,
    "MaskStrategy": "plain",
    "SemanticTypeIri": "urn:effortless:pko-extension#FieldGrant",
    "Name": "principal-knowledge-authority -&gt; TestCases.TargetField",
    "FieldTable": "TestCases",
    "FieldName": "TargetField",
    "FieldIsDerived": false,
    "IsWritableDerivedField": false,
    "IsMasked": false,
    "GrantKeyWhenReadable": "principal-knowledge-authority|TestCases"
   },
   {
    "FieldGrantId": "fg-knowledge-authority-TestCases.Assertion",
    "Principal": "principal-knowledge-authority",
    "TargetField": "TestCases.Assertion",
    "CanRead": true,
    "CanWrite": false,
    "MaskStrategy": "plain",
    "SemanticTypeIri": "urn:effortless:pko-extension#FieldGrant",
    "Name": "principal-knowledge-authority -&gt; TestCases.Assertion",
    "FieldTable": "TestCases",
    "FieldName": "Assertion",
    "FieldIsDerived": false,
    "IsWritableDerivedField": false,
    "IsMasked": false,
    "GrantKeyWhenReadable": "principal-knowledge-authority|TestCases"
   },
   {
    "FieldGrantId": "fg-knowledge-authority-TestCases.DefendsQuestion",
    "Principal": "principal-knowledge-authority",
    "TargetField": "TestCases.DefendsQuestion",
    "CanRead": true,
    "CanWrite": false,
    "MaskStrategy": "plain",
    "SemanticTypeIri": "urn:effortless:pko-extension#FieldGrant",
    "Name": "principal-knowledge-authority -&gt; TestCases.DefendsQuestion",
    "FieldTable": "TestCases",
    "FieldName": "DefendsQuestion",
    "FieldIsDerived": false,
    "IsWritableDerivedField": false,
    "IsMasked": false,
    "GrantKeyWhenReadable": "principal-knowledge-authority|TestCases"
   },
   {
    "FieldGrantId": "fg-knowledge-authority-TestCases.Suite",
    "Principal": "principal-knowledge-authority",
    "TargetField": "TestCases.Suite",
    "CanRead": true,
    "CanWrite": false,
    "MaskStrategy": "plain",
    "SemanticTypeIri": "urn:effortless:pko-extension#FieldGrant",
    "Name": "principal-knowledge-authority -&gt; TestCases.Suite",
    "FieldTable": "TestCases",
    "FieldName": "Suite",
    "FieldIsDerived": false,
    "IsWritableDerivedField": false,
    "IsMasked": false,
    "GrantKeyWhenReadable": "principal-knowledge-authority|TestCases"
   },
   {
    "FieldGrantId": "fg-knowledge-authority-TestCases.Severity",
    "Principal": "principal-knowledge-authority",
    "TargetField": "TestCases.Severity",
    "CanRead": true,
    "CanWrite": false,
    "MaskStrategy": "plain",
    "SemanticTypeIri": "urn:effortless:pko-extension#FieldGrant",
    "Name": "principal-knowledge-authority -&gt; TestCases.Severity",
    "FieldTable": "TestCases",
    "FieldName": "Severity",
    "FieldIsDerived": false,
    "IsWritableDerivedField": false,
    "IsMasked": false,
    "GrantKeyWhenReadable": "principal-knowledge-authority|TestCases"
   },
   {
    "FieldGrantId": "fg-knowledge-authority-TestCases.IsBlocking",
    "Principal": "principal-knowledge-authority",
    "TargetField": "TestCases.IsBlocking",
    "CanRead": true,
    "CanWrite": false,
    "MaskStrategy": "plain",
    "SemanticTypeIri": "urn:effortless:pko-extension#FieldGrant",
    "Name": "principal-knowledge-authority -&gt; TestCases.IsBlocking",
    "FieldTable": "TestCases",
    "FieldName": "IsBlocking",
    "FieldIsDerived": true,
    "IsWritableDerivedField": false,
    "IsMasked": false,
    "GrantKeyWhenReadable": "principal-knowledge-authority|TestCases"
   },
   {
    "FieldGrantId": "fg-knowledge-authority-TestCases.LastOutcome",
    "Principal": "principal-knowledge-authority",
    "TargetField": "TestCases.LastOutcome",
    "CanRead": true,
    "CanWrite": false,
    "MaskStrategy": "plain",
    "SemanticTypeIri": "urn:effortless:pko-extension#FieldGrant",
    "Name": "principal-knowledge-authority -&gt; TestCases.LastOutcome",
    "FieldTable": "TestCases",
    "FieldName": "LastOutcome",
    "FieldIsDerived": false,
    "IsWritableDerivedField": false,
    "IsMasked": false,
    "GrantKeyWhenReadable": "principal-knowledge-authority|TestCases"
   },
   {
    "FieldGrantId": "fg-knowledge-authority-TestCases.LastDetail",
    "Principal": "principal-knowledge-authority",
    "TargetField": "TestCases.LastDetail",
    "CanRead": true,
    "CanWrite": false,
    "MaskStrategy": "plain",
    "SemanticTypeIri": "urn:effortless:pko-extension#FieldGrant",
    "Name": "principal-knowledge-authority -&gt; TestCases.LastDetail",
    "FieldTable": "TestCases",
    "FieldName": "LastDetail",
    "FieldIsDerived": false,
    "IsWritableDerivedField": false,
    "IsMasked": false,
    "GrantKeyWhenReadable": "principal-knowledge-authority|TestCases"
   },
   {
    "FieldGrantId": "fg-knowledge-authority-TestCases.LastRunAt",
    "Principal": "principal-knowledge-authority",
    "TargetField": "TestCases.LastRunAt",
    "CanRead": true,
    "CanWrite": false,
    "MaskStrategy": "plain",
    "SemanticTypeIri": "urn:effortless:pko-extension#FieldGrant",
    "Name": "principal-knowledge-authority -&gt; TestCases.LastRunAt",
    "FieldTable": "TestCases",
    "FieldName": "LastRunAt",
    "FieldIsDerived": false,
    "IsWritableDerivedField": false,
    "IsMasked": false,
    "GrantKeyWhenReadable": "principal-knowledge-authority|TestCases"
   },
   {
    "FieldGrantId": "fg-knowledge-authority-TestCases.IsPassing",
    "Principal": "principal-knowledge-authority",
    "TargetField": "TestCases.IsPassing",
    "CanRead": true,
    "CanWrite": false,
    "MaskStrategy": "plain",
    "SemanticTypeIri": "urn:effortless:pko-extension#FieldGrant",
    "Name": "principal-knowledge-authority -&gt; TestCases.IsPassing",
    "FieldTable": "TestCases",
    "FieldName": "IsPassing",
    "FieldIsDerived": true,
    "IsWritableDerivedField": false,
    "IsMasked": false,
    "GrantKeyWhenReadable": "principal-knowledge-authority|TestCases"
   },
   {
    "FieldGrantId": "fg-knowledge-authority-TestCases.IsFailing",
    "Principal": "principal-knowledge-authority",
    "TargetField": "TestCases.IsFailing",
    "CanRead": true,
    "CanWrite": false,
    "MaskStrategy": "plain",
    "SemanticTypeIri": "urn:effortless:pko-extension#FieldGrant",
    "Name": "principal-knowledge-authority -&gt; TestCases.IsFailing",
    "FieldTable": "TestCases",
    "FieldName": "IsFailing",
    "FieldIsDerived": true,
    "IsWritableDerivedField": false,
    "IsMasked": false,
    "GrantKeyWhenReadable": "principal-knowledge-authority|TestCases"
   },
   {
    "FieldGrantId": "fg-knowledge-authority-TestCases.NeedsAttention",
    "Principal": "principal-knowledge-authority",
    "TargetField": "TestCases.NeedsAttention",
    "CanRead": true,
    "CanWrite": false,
    "MaskStrategy": "plain",
    "SemanticTypeIri": "urn:effortless:pko-extension#FieldGrant",
    "Name": "principal-knowledge-authority -&gt; TestCases.NeedsAttention",
    "FieldTable": "TestCases",
    "FieldName": "NeedsAttention",
    "FieldIsDerived": true,
    "IsWritableDerivedField": false,
    "IsMasked": false,
    "GrantKeyWhenReadable": "principal-knowledge-authority|TestCases"
   },
   {
    "FieldGrantId": "fg-knowledge-authority-TestCases.PassingSuiteKey",
    "Principal": "principal-knowledge-authority",
    "TargetField": "TestCases.PassingSuiteKey",
    "CanRead": true,
    "CanWrite": false,
    "MaskStrategy": "plain",
    "SemanticTypeIri": "urn:effortless:pko-extension#FieldGrant",
    "Name": "principal-knowledge-authority -&gt; TestCases.PassingSuiteKey",
    "FieldTable": "TestCases",
    "FieldName": "PassingSuiteKey",
    "FieldIsDerived": true,
    "IsWritableDerivedField": false,
    "IsMasked": false,
    "GrantKeyWhenReadable": "principal-knowledge-authority|TestCases"
   },
   {
    "FieldGrantId": "fg-knowledge-authority-TestCases.NeedsAttentionSuiteKey",
    "Principal": "principal-knowledge-authority",
    "TargetField": "TestCases.NeedsAttentionSuiteKey",
    "CanRead": true,
    "CanWrite": false,
    "MaskStrategy": "plain",
    "SemanticTypeIri": "urn:effortless:pko-extension#FieldGrant",
    "Name": "principal-knowledge-authority -&gt; TestCases.NeedsAttentionSuiteKey",
    "FieldTable": "TestCases",
    "FieldName": "NeedsAttentionSuiteKey",
    "FieldIsDerived": true,
    "IsWritableDerivedField": false,
    "IsMasked": false,
    "GrantKeyWhenReadable": "principal-knowledge-authority|TestCases"
   },
   {
    "FieldGrantId": "fg-knowledge-authority-TestCases.SemanticTypeIri",
    "Principal": "principal-knowledge-authority",
    "TargetField": "TestCases.SemanticTypeIri",
    "CanRead": true,
    "CanWrite": false,
    "MaskStrategy": "plain",
    "SemanticTypeIri": "urn:effortless:pko-extension#FieldGrant",
    "Name": "principal-knowledge-authority -&gt; TestCases.SemanticTypeIri",
    "FieldTable": "TestCases",
    "FieldName": "SemanticTypeIri",
    "FieldIsDerived": false,
    "IsWritableDerivedField": false,
    "IsMasked": false,
    "GrantKeyWhenReadable": "principal-knowledge-authority|TestCases"
   },
   {
    "FieldGrantId": "fg-knowledge-authority-TestSuites.TestSuiteId",
    "Principal": "principal-knowledge-authority",
    "TargetField": "TestSuites.TestSuiteId",
    "CanRead": true,
    "CanWrite": false,
    "MaskStrategy": "plain",
    "SemanticTypeIri": "urn:effortless:pko-extension#FieldGrant",
    "Name": "principal-knowledge-authority -&gt; TestSuites.TestSuiteId",
    "FieldTable": "TestSuites",
    "FieldName": "TestSuiteId",
    "FieldIsDerived": false,
    "IsWritableDerivedField": false,
    "IsMasked": false,
    "GrantKeyWhenReadable": "principal-knowledge-authority|TestSuites"
   },
   {
    "FieldGrantId": "fg-knowledge-authority-TestSuites.Name",
    "Principal": "principal-knowledge-authority",
    "TargetField": "TestSuites.Name",
    "CanRead": true,
    "CanWrite": false,
    "MaskStrategy": "plain",
    "SemanticTypeIri": "urn:effortless:pko-extension#FieldGrant",
    "Name": "principal-knowledge-authority -&gt; TestSuites.Name",
    "FieldTable": "TestSuites",
    "FieldName": "Name",
    "FieldIsDerived": true,
    "IsWritableDerivedField": false,
    "IsMasked": false,
    "GrantKeyWhenReadable": "principal-knowledge-authority|TestSuites"
   },
   {
    "FieldGrantId": "fg-knowledge-authority-TestSuites.Label",
    "Principal": "principal-knowledge-authority",
    "TargetField": "TestSuites.Label",
    "CanRead": true,
    "CanWrite": false,
    "MaskStrategy": "plain",
    "SemanticTypeIri": "urn:effortless:pko-extension#FieldGrant",
    "Name": "principal-knowledge-authority -&gt; TestSuites.Label",
    "FieldTable": "TestSuites",
    "FieldName": "Label",
    "FieldIsDerived": false,
    "IsWritableDerivedField": false,
    "IsMasked": false,
    "GrantKeyWhenReadable": "principal-knowledge-authority|TestSuites"
   },
   {
    "FieldGrantId": "fg-knowledge-authority-TestSuites.TestCount",
    "Principal": "principal-knowledge-authority",
    "TargetField": "TestSuites.TestCount",
    "CanRead": true,
    "CanWrite": false,
    "MaskStrategy": "plain",
    "SemanticTypeIri": "urn:effortless:pko-extension#FieldGrant",
    "Name": "principal-knowledge-authority -&gt; TestSuites.TestCount",
    "FieldTable": "TestSuites",
    "FieldName": "TestCount",
    "FieldIsDerived": true,
    "IsWritableDerivedField": false,
    "IsMasked": false,
    "GrantKeyWhenReadable": "principal-knowledge-authority|TestSuites"
   },
   {
    "FieldGrantId": "fg-knowledge-authority-TestSuites.PassCount",
    "Principal": "principal-knowledge-authority",
    "TargetField": "TestSuites.PassCount",
    "CanRead": true,
    "CanWrite": false,
    "MaskStrategy": "plain",
    "SemanticTypeIri": "urn:effortless:pko-extension#FieldGrant",
    "Name": "principal-knowledge-authority -&gt; TestSuites.PassCount",
    "FieldTable": "TestSuites",
    "FieldName": "PassCount",
    "FieldIsDerived": true,
    "IsWritableDerivedField": false,
    "IsMasked": false,
    "GrantKeyWhenReadable": "principal-knowledge-authority|TestSuites"
   },
   {
    "FieldGrantId": "fg-knowledge-authority-TestSuites.BlockingFailCount",
    "Principal": "principal-knowledge-authority",
    "TargetField": "TestSuites.BlockingFailCount",
    "CanRead": true,
    "CanWrite": false,
    "MaskStrategy": "plain",
    "SemanticTypeIri": "urn:effortless:pko-extension#FieldGrant",
    "Name": "principal-knowledge-authority -&gt; TestSuites.BlockingFailCount",
    "FieldTable": "TestSuites",
    "FieldName": "BlockingFailCount",
    "FieldIsDerived": true,
    "IsWritableDerivedField": false,
    "IsMasked": false,
    "GrantKeyWhenReadable": "principal-knowledge-authority|TestSuites"
   },
   {
    "FieldGrantId": "fg-knowledge-authority-TestSuites.IsGreen",
    "Principal": "principal-knowledge-authority",
    "TargetField": "TestSuites.IsGreen",
    "CanRead": true,
    "CanWrite": false,
    "MaskStrategy": "plain",
    "SemanticTypeIri": "urn:effortless:pko-extension#FieldGrant",
    "Name": "principal-knowledge-authority -&gt; TestSuites.IsGreen",
    "FieldTable": "TestSuites",
    "FieldName": "IsGreen",
    "FieldIsDerived": true,
    "IsWritableDerivedField": false,
    "IsMasked": false,
    "GrantKeyWhenReadable": "principal-knowledge-authority|TestSuites"
   },
   {
    "FieldGrantId": "fg-knowledge-authority-TestSuites.SemanticTypeIri",
    "Principal": "principal-knowledge-authority",
    "TargetField": "TestSuites.SemanticTypeIri",
    "CanRead": true,
    "CanWrite": false,
    "MaskStrategy": "plain",
    "SemanticTypeIri": "urn:effortless:pko-extension#FieldGrant",
    "Name": "principal-knowledge-authority -&gt; TestSuites.SemanticTypeIri",
    "FieldTable": "TestSuites",
    "FieldName": "SemanticTypeIri",
    "FieldIsDerived": false,
    "IsWritableDerivedField": false,
    "IsMasked": false,
    "GrantKeyWhenReadable": "principal-knowledge-authority|TestSuites"
   },
   {
    "FieldGrantId": "fg-knowledge-authority-Tools.ToolId",
    "Principal": "principal-knowledge-authority",
    "TargetField": "Tools.ToolId",
    "CanRead": true,
    "CanWrite": false,
    "MaskStrategy": "plain",
    "SemanticTypeIri": "urn:effortless:pko-extension#FieldGrant",
    "Name": "principal-knowledge-authority -&gt; Tools.ToolId",
    "FieldTable": "Tools",
    "FieldName": "ToolId",
    "FieldIsDerived": false,
    "IsWritableDerivedField": false,
    "IsMasked": false,
    "GrantKeyWhenReadable": "principal-knowledge-authority|Tools"
   },
   {
    "FieldGrantId": "fg-knowledge-authority-Tools.Name",
    "Principal": "principal-knowledge-authority",
    "TargetField": "Tools.Name",
    "CanRead": true,
    "CanWrite": false,
    "MaskStrategy": "plain",
    "SemanticTypeIri": "urn:effortless:pko-extension#FieldGrant",
    "Name": "principal-knowledge-authority -&gt; Tools.Name",
    "FieldTable": "Tools",
    "FieldName": "Name",
    "FieldIsDerived": true,
    "IsWritableDerivedField": false,
    "IsMasked": false,
    "GrantKeyWhenReadable": "principal-knowledge-authority|Tools"
   },
   {
    "FieldGrantId": "fg-knowledge-authority-Tools.Label",
    "Principal": "principal-knowledge-authority",
    "TargetField": "Tools.Label",
    "CanRead": true,
    "CanWrite": false,
    "MaskStrategy": "plain",
    "SemanticTypeIri": "urn:effortless:pko-extension#FieldGrant",
    "Name": "principal-knowledge-authority -&gt; Tools.Label",
    "FieldTable": "Tools",
    "FieldName": "Label",
    "FieldIsDerived": false,
    "IsWritableDerivedField": false,
    "IsMasked": false,
    "GrantKeyWhenReadable": "principal-knowledge-authority|Tools"
   },
   {
    "FieldGrantId": "fg-knowledge-authority-Tools.Purpose",
    "Principal": "principal-knowledge-authority",
    "TargetField": "Tools.Purpose",
    "CanRead": true,
    "CanWrite": false,
    "MaskStrategy": "plain",
    "SemanticTypeIri": "urn:effortless:pko-extension#FieldGrant",
    "Name": "principal-knowledge-authority -&gt; Tools.Purpose",
    "FieldTable": "Tools",
    "FieldName": "Purpose",
    "FieldIsDerived": false,
    "IsWritableDerivedField": false,
    "IsMasked": false,
    "GrantKeyWhenReadable": "principal-knowledge-authority|Tools"
   },
   {
    "FieldGrantId": "fg-knowledge-authority-Tools.SemanticTypeIri",
    "Principal": "principal-knowledge-authority",
    "TargetField": "Tools.SemanticTypeIri",
    "CanRead": true,
    "CanWrite": false,
    "MaskStrategy": "plain",
    "SemanticTypeIri": "urn:effortless:pko-extension#FieldGrant",
    "Name": "principal-knowledge-authority -&gt; Tools.SemanticTypeIri",
    "FieldTable": "Tools",
    "FieldName": "SemanticTypeIri",
    "FieldIsDerived": false,
    "IsWritableDerivedField": false,
    "IsMasked": false,
    "GrantKeyWhenReadable": "principal-knowledge-authority|Tools"
   },
   {
    "FieldGrantId": "fg-knowledge-authority-UserFeedback.UserFeedbackId",
    "Principal": "principal-knowledge-authority",
    "TargetField": "UserFeedback.UserFeedbackId",
    "CanRead": true,
    "CanWrite": false,
    "MaskStrategy": "plain",
    "SemanticTypeIri": "urn:effortless:pko-extension#FieldGrant",
    "Name": "principal-knowledge-authority -&gt; UserFeedback.UserFeedbackId",
    "FieldTable": "UserFeedback",
    "FieldName": "UserFeedbackId",
    "FieldIsDerived": false,
    "IsWritableDerivedField": false,
    "IsMasked": false,
    "GrantKeyWhenReadable": "principal-knowledge-authority|UserFeedback"
   },
   {
    "FieldGrantId": "fg-knowledge-authority-UserFeedback.Name",
    "Principal": "principal-knowledge-authority",
    "TargetField": "UserFeedback.Name",
    "CanRead": true,
    "CanWrite": false,
    "MaskStrategy": "plain",
    "SemanticTypeIri": "urn:effortless:pko-extension#FieldGrant",
    "Name": "principal-knowledge-authority -&gt; UserFeedback.Name",
    "FieldTable": "UserFeedback",
    "FieldName": "Name",
    "FieldIsDerived": true,
    "IsWritableDerivedField": false,
    "IsMasked": false,
    "GrantKeyWhenReadable": "principal-knowledge-authority|UserFeedback"
   },
   {
    "FieldGrantId": "fg-knowledge-authority-UserFeedback.ProcedureExecution",
    "Principal": "principal-knowledge-authority",
    "TargetField": "UserFeedback.ProcedureExecution",
    "CanRead": true,
    "CanWrite": false,
    "MaskStrategy": "plain",
    "SemanticTypeIri": "urn:effortless:pko-extension#FieldGrant",
    "Name": "principal-knowledge-authority -&gt; UserFeedback.ProcedureExecution",
    "FieldTable": "UserFeedback",
    "FieldName": "ProcedureExecution",
    "FieldIsDerived": false,
    "IsWritableDerivedField": false,
    "IsMasked": false,
    "GrantKeyWhenReadable": "principal-knowledge-authority|UserFeedback"
   },
   {
    "FieldGrantId": "fg-knowledge-authority-UserFeedback.ProvidedByAgent",
    "Principal": "principal-knowledge-authority",
    "TargetField": "UserFeedback.ProvidedByAgent",
    "CanRead": true,
    "CanWrite": false,
    "MaskStrategy": "plain",
    "SemanticTypeIri": "urn:effortless:pko-extension#FieldGrant",
    "Name": "principal-knowledge-authority -&gt; UserFeedback.ProvidedByAgent",
    "FieldTable": "UserFeedback",
    "FieldName": "ProvidedByAgent",
    "FieldIsDerived": false,
    "IsWritableDerivedField": false,
    "IsMasked": false,
    "GrantKeyWhenReadable": "principal-knowledge-authority|UserFeedback"
   },
   {
    "FieldGrantId": "fg-knowledge-authority-UserFeedback.ProvidedAt",
    "Principal": "principal-knowledge-authority",
    "TargetField": "UserFeedback.ProvidedAt",
    "CanRead": true,
    "CanWrite": false,
    "MaskStrategy": "plain",
    "SemanticTypeIri": "urn:effortless:pko-extension#FieldGrant",
    "Name": "principal-knowledge-authority -&gt; UserFeedback.ProvidedAt",
    "FieldTable": "UserFeedback",
    "FieldName": "ProvidedAt",
    "FieldIsDerived": false,
    "IsWritableDerivedField": false,
    "IsMasked": false,
    "GrantKeyWhenReadable": "principal-knowledge-authority|UserFeedback"
   },
   {
    "FieldGrantId": "fg-knowledge-authority-UserFeedback.FeedbackText",
    "Principal": "principal-knowledge-authority",
    "TargetField": "UserFeedback.FeedbackText",
    "CanRead": true,
    "CanWrite": false,
    "MaskStrategy": "plain",
    "SemanticTypeIri": "urn:effortless:pko-extension#FieldGrant",
    "Name": "principal-knowledge-authority -&gt; UserFeedback.FeedbackText",
    "FieldTable": "UserFeedback",
    "FieldName": "FeedbackText",
    "FieldIsDerived": false,
    "IsWritableDerivedField": false,
    "IsMasked": false,
    "GrantKeyWhenReadable": "principal-knowledge-authority|UserFeedback"
   },
   {
    "FieldGrantId": "fg-knowledge-authority-UserFeedback.Disposition",
    "Principal": "principal-knowledge-authority",
    "TargetField": "UserFeedback.Disposition",
    "CanRead": true,
    "CanWrite": false,
    "MaskStrategy": "plain",
    "SemanticTypeIri": "urn:effortless:pko-extension#FieldGrant",
    "Name": "principal-knowledge-authority -&gt; UserFeedback.Disposition",
    "FieldTable": "UserFeedback",
    "FieldName": "Disposition",
    "FieldIsDerived": false,
    "IsWritableDerivedField": false,
    "IsMasked": false,
    "GrantKeyWhenReadable": "principal-knowledge-authority|UserFeedback"
   },
   {
    "FieldGrantId": "fg-knowledge-authority-UserFeedback.ChangeRequestKey",
    "Principal": "principal-knowledge-authority",
    "TargetField": "UserFeedback.ChangeRequestKey",
    "CanRead": true,
    "CanWrite": false,
    "MaskStrategy": "plain",
    "SemanticTypeIri": "urn:effortless:pko-extension#FieldGrant",
    "Name": "principal-knowledge-authority -&gt; UserFeedback.ChangeRequestKey",
    "FieldTable": "UserFeedback",
    "FieldName": "ChangeRequestKey",
    "FieldIsDerived": false,
    "IsWritableDerivedField": false,
    "IsMasked": false,
    "GrantKeyWhenReadable": "principal-knowledge-authority|UserFeedback"
   },
   {
    "FieldGrantId": "fg-knowledge-author</t>
  </si>
  <si>
    <t xml:space="preserve">ity-UserFeedback.SemanticTypeIri",
    "Principal": "principal-knowledge-authority",
    "TargetField": "UserFeedback.SemanticTypeIri",
    "CanRead": true,
    "CanWrite": false,
    "MaskStrategy": "plain",
    "SemanticTypeIri": "urn:effortless:pko-extension#FieldGrant",
    "Name": "principal-knowledge-authority -&gt; UserFeedback.SemanticTypeIri",
    "FieldTable": "UserFeedback",
    "FieldName": "SemanticTypeIri",
    "FieldIsDerived": false,
    "IsWritableDerivedField": false,
    "IsMasked": false,
    "GrantKeyWhenReadable": "principal-knowledge-authority|UserFeedback"
   },
   {
    "FieldGrantId": "fg-knowledge-authority-UserQuestions.UserQuestionId",
    "Principal": "principal-knowledge-authority",
    "TargetField": "UserQuestions.UserQuestionId",
    "CanRead": true,
    "CanWrite": false,
    "MaskStrategy": "plain",
    "SemanticTypeIri": "urn:effortless:pko-extension#FieldGrant",
    "Name": "principal-knowledge-authority -&gt; UserQuestions.UserQuestionId",
    "FieldTable": "UserQuestions",
    "FieldName": "UserQuestionId",
    "FieldIsDerived": false,
    "IsWritableDerivedField": false,
    "IsMasked": false,
    "GrantKeyWhenReadable": "principal-knowledge-authority|UserQuestions"
   },
   {
    "FieldGrantId": "fg-knowledge-authority-UserQuestions.Name",
    "Principal": "principal-knowledge-authority",
    "TargetField": "UserQuestions.Name",
    "CanRead": true,
    "CanWrite": false,
    "MaskStrategy": "plain",
    "SemanticTypeIri": "urn:effortless:pko-extension#FieldGrant",
    "Name": "principal-knowledge-authority -&gt; UserQuestions.Name",
    "FieldTable": "UserQuestions",
    "FieldName": "Name",
    "FieldIsDerived": true,
    "IsWritableDerivedField": false,
    "IsMasked": false,
    "GrantKeyWhenReadable": "principal-knowledge-authority|UserQuestions"
   },
   {
    "FieldGrantId": "fg-knowledge-authority-UserQuestions.StepExecution",
    "Principal": "principal-knowledge-authority",
    "TargetField": "UserQuestions.StepExecution",
    "CanRead": true,
    "CanWrite": false,
    "MaskStrategy": "plain",
    "SemanticTypeIri": "urn:effortless:pko-extension#FieldGrant",
    "Name": "principal-knowledge-authority -&gt; UserQuestions.StepExecution",
    "FieldTable": "UserQuestions",
    "FieldName": "StepExecution",
    "FieldIsDerived": false,
    "IsWritableDerivedField": false,
    "IsMasked": false,
    "GrantKeyWhenReadable": "principal-knowledge-authority|UserQuestions"
   },
   {
    "FieldGrantId": "fg-knowledge-authority-UserQuestions.AskedByAgent",
    "Principal": "principal-knowledge-authority",
    "TargetField": "UserQuestions.AskedByAgent",
    "CanRead": true,
    "CanWrite": false,
    "MaskStrategy": "plain",
    "SemanticTypeIri": "urn:effortless:pko-extension#FieldGrant",
    "Name": "principal-knowledge-authority -&gt; UserQuestions.AskedByAgent",
    "FieldTable": "UserQuestions",
    "FieldName": "AskedByAgent",
    "FieldIsDerived": false,
    "IsWritableDerivedField": false,
    "IsMasked": false,
    "GrantKeyWhenReadable": "principal-knowledge-authority|UserQuestions"
   },
   {
    "FieldGrantId": "fg-knowledge-authority-UserQuestions.AskedAt",
    "Principal": "principal-knowledge-authority",
    "TargetField": "UserQuestions.AskedAt",
    "CanRead": true,
    "CanWrite": false,
    "MaskStrategy": "plain",
    "SemanticTypeIri": "urn:effortless:pko-extension#FieldGrant",
    "Name": "principal-knowledge-authority -&gt; UserQuestions.AskedAt",
    "FieldTable": "UserQuestions",
    "FieldName": "AskedAt",
    "FieldIsDerived": false,
    "IsWritableDerivedField": false,
    "IsMasked": false,
    "GrantKeyWhenReadable": "principal-knowledge-authority|UserQuestions"
   },
   {
    "FieldGrantId": "fg-knowledge-authority-UserQuestions.QuestionText",
    "Principal": "principal-knowledge-authority",
    "TargetField": "UserQuestions.QuestionText",
    "CanRead": true,
    "CanWrite": false,
    "MaskStrategy": "plain",
    "SemanticTypeIri": "urn:effortless:pko-extension#FieldGrant",
    "Name": "principal-knowledge-authority -&gt; UserQuestions.QuestionText",
    "FieldTable": "UserQuestions",
    "FieldName": "QuestionText",
    "FieldIsDerived": false,
    "IsWritableDerivedField": false,
    "IsMasked": false,
    "GrantKeyWhenReadable": "principal-knowledge-authority|UserQuestions"
   },
   {
    "FieldGrantId": "fg-knowledge-authority-UserQuestions.ResolvedByFaq",
    "Principal": "principal-knowledge-authority",
    "TargetField": "UserQuestions.ResolvedByFaq",
    "CanRead": true,
    "CanWrite": false,
    "MaskStrategy": "plain",
    "SemanticTypeIri": "urn:effortless:pko-extension#FieldGrant",
    "Name": "principal-knowledge-authority -&gt; UserQuestions.ResolvedByFaq",
    "FieldTable": "UserQuestions",
    "FieldName": "ResolvedByFaq",
    "FieldIsDerived": false,
    "IsWritableDerivedField": false,
    "IsMasked": false,
    "GrantKeyWhenReadable": "principal-knowledge-authority|UserQuestions"
   },
   {
    "FieldGrantId": "fg-knowledge-authority-UserQuestions.AddressedByResource",
    "Principal": "principal-knowledge-authority",
    "TargetField": "UserQuestions.AddressedByResource",
    "CanRead": true,
    "CanWrite": false,
    "MaskStrategy": "plain",
    "SemanticTypeIri": "urn:effortless:pko-extension#FieldGrant",
    "Name": "principal-knowledge-authority -&gt; UserQuestions.AddressedByResource",
    "FieldTable": "UserQuestions",
    "FieldName": "AddressedByResource",
    "FieldIsDerived": false,
    "IsWritableDerivedField": false,
    "IsMasked": false,
    "GrantKeyWhenReadable": "principal-knowledge-authority|UserQuestions"
   },
   {
    "FieldGrantId": "fg-knowledge-authority-UserQuestions.Status",
    "Principal": "principal-knowledge-authority",
    "TargetField": "UserQuestions.Status",
    "CanRead": true,
    "CanWrite": false,
    "MaskStrategy": "plain",
    "SemanticTypeIri": "urn:effortless:pko-extension#FieldGrant",
    "Name": "principal-knowledge-authority -&gt; UserQuestions.Status",
    "FieldTable": "UserQuestions",
    "FieldName": "Status",
    "FieldIsDerived": false,
    "IsWritableDerivedField": false,
    "IsMasked": false,
    "GrantKeyWhenReadable": "principal-knowledge-authority|UserQuestions"
   },
   {
    "FieldGrantId": "fg-knowledge-authority-UserQuestions.SemanticTypeIri",
    "Principal": "principal-knowledge-authority",
    "TargetField": "UserQuestions.SemanticTypeIri",
    "CanRead": true,
    "CanWrite": false,
    "MaskStrategy": "plain",
    "SemanticTypeIri": "urn:effortless:pko-extension#FieldGrant",
    "Name": "principal-knowledge-authority -&gt; UserQuestions.SemanticTypeIri",
    "FieldTable": "UserQuestions",
    "FieldName": "SemanticTypeIri",
    "FieldIsDerived": false,
    "IsWritableDerivedField": false,
    "IsMasked": false,
    "GrantKeyWhenReadable": "principal-knowledge-authority|UserQuestions"
   },
   {
    "FieldGrantId": "fg-knowledge-authority-VerificationOutcomes.VerificationOutcomeId",
    "Principal": "principal-knowledge-authority",
    "TargetField": "VerificationOutcomes.VerificationOutcomeId",
    "CanRead": true,
    "CanWrite": false,
    "MaskStrategy": "plain",
    "SemanticTypeIri": "urn:effortless:pko-extension#FieldGrant",
    "Name": "principal-knowledge-authority -&gt; VerificationOutcomes.VerificationOutcomeId",
    "FieldTable": "VerificationOutcomes",
    "FieldName": "VerificationOutcomeId",
    "FieldIsDerived": false,
    "IsWritableDerivedField": false,
    "IsMasked": false,
    "GrantKeyWhenReadable": "principal-knowledge-authority|VerificationOutcomes"
   },
   {
    "FieldGrantId": "fg-knowledge-authority-VerificationOutcomes.Name",
    "Principal": "principal-knowledge-authority",
    "TargetField": "VerificationOutcomes.Name",
    "CanRead": true,
    "CanWrite": false,
    "MaskStrategy": "plain",
    "SemanticTypeIri": "urn:effortless:pko-extension#FieldGrant",
    "Name": "principal-knowledge-authority -&gt; VerificationOutcomes.Name",
    "FieldTable": "VerificationOutcomes",
    "FieldName": "Name",
    "FieldIsDerived": true,
    "IsWritableDerivedField": false,
    "IsMasked": false,
    "GrantKeyWhenReadable": "principal-knowledge-authority|VerificationOutcomes"
   },
   {
    "FieldGrantId": "fg-knowledge-authority-VerificationOutcomes.StepExecution",
    "Principal": "principal-knowledge-authority",
    "TargetField": "VerificationOutcomes.StepExecution",
    "CanRead": true,
    "CanWrite": false,
    "MaskStrategy": "plain",
    "SemanticTypeIri": "urn:effortless:pko-extension#FieldGrant",
    "Name": "principal-knowledge-authority -&gt; VerificationOutcomes.StepExecution",
    "FieldTable": "VerificationOutcomes",
    "FieldName": "StepExecution",
    "FieldIsDerived": false,
    "IsWritableDerivedField": false,
    "IsMasked": false,
    "GrantKeyWhenReadable": "principal-knowledge-authority|VerificationOutcomes"
   },
   {
    "FieldGrantId": "fg-knowledge-authority-VerificationOutcomes.StepVerification",
    "Principal": "principal-knowledge-authority",
    "TargetField": "VerificationOutcomes.StepVerification",
    "CanRead": true,
    "CanWrite": false,
    "MaskStrategy": "plain",
    "SemanticTypeIri": "urn:effortless:pko-extension#FieldGrant",
    "Name": "principal-knowledge-authority -&gt; VerificationOutcomes.StepVerification",
    "FieldTable": "VerificationOutcomes",
    "FieldName": "StepVerification",
    "FieldIsDerived": false,
    "IsWritableDerivedField": false,
    "IsMasked": false,
    "GrantKeyWhenReadable": "principal-knowledge-authority|VerificationOutcomes"
   },
   {
    "FieldGrantId": "fg-knowledge-authority-VerificationOutcomes.ObservedSignalValue",
    "Principal": "principal-knowledge-authority",
    "TargetField": "VerificationOutcomes.ObservedSignalValue",
    "CanRead": true,
    "CanWrite": false,
    "MaskStrategy": "plain",
    "SemanticTypeIri": "urn:effortless:pko-extension#FieldGrant",
    "Name": "principal-knowledge-authority -&gt; VerificationOutcomes.ObservedSignalValue",
    "FieldTable": "VerificationOutcomes",
    "FieldName": "ObservedSignalValue",
    "FieldIsDerived": false,
    "IsWritableDerivedField": false,
    "IsMasked": false,
    "GrantKeyWhenReadable": "principal-knowledge-authority|VerificationOutcomes"
   },
   {
    "FieldGrantId": "fg-knowledge-authority-VerificationOutcomes.ObservedByAgent",
    "Principal": "principal-knowledge-authority",
    "TargetField": "VerificationOutcomes.ObservedByAgent",
    "CanRead": true,
    "CanWrite": false,
    "MaskStrategy": "plain",
    "SemanticTypeIri": "urn:effortless:pko-extension#FieldGrant",
    "Name": "principal-knowledge-authority -&gt; VerificationOutcomes.ObservedByAgent",
    "FieldTable": "VerificationOutcomes",
    "FieldName": "ObservedByAgent",
    "FieldIsDerived": false,
    "IsWritableDerivedField": false,
    "IsMasked": false,
    "GrantKeyWhenReadable": "principal-knowledge-authority|VerificationOutcomes"
   },
   {
    "FieldGrantId": "fg-knowledge-authority-VerificationOutcomes.ObservedAt",
    "Principal": "principal-knowledge-authority",
    "TargetField": "VerificationOutcomes.ObservedAt",
    "CanRead": true,
    "CanWrite": false,
    "MaskStrategy": "plain",
    "SemanticTypeIri": "urn:effortless:pko-extension#FieldGrant",
    "Name": "principal-knowledge-authority -&gt; VerificationOutcomes.ObservedAt",
    "FieldTable": "VerificationOutcomes",
    "FieldName": "ObservedAt",
    "FieldIsDerived": false,
    "IsWritableDerivedField": false,
    "IsMasked": false,
    "GrantKeyWhenReadable": "principal-knowledge-authority|VerificationOutcomes"
   },
   {
    "FieldGrantId": "fg-knowledge-authority-VerificationOutcomes.EvidenceUri",
    "Principal": "principal-knowledge-authority",
    "TargetField": "VerificationOutcomes.EvidenceUri",
    "CanRead": true,
    "CanWrite": false,
    "MaskStrategy": "plain",
    "SemanticTypeIri": "urn:effortless:pko-extension#FieldGrant",
    "Name": "principal-knowledge-authority -&gt; VerificationOutcomes.EvidenceUri",
    "FieldTable": "VerificationOutcomes",
    "FieldName": "EvidenceUri",
    "FieldIsDerived": false,
    "IsWritableDerivedField": false,
    "IsMasked": false,
    "GrantKeyWhenReadable": "principal-knowledge-authority|VerificationOutcomes"
   },
   {
    "FieldGrantId": "fg-knowledge-authority-VerificationOutcomes.ExpectedSignalValue",
    "Principal": "principal-knowledge-authority",
    "TargetField": "VerificationOutcomes.ExpectedSignalValue",
    "CanRead": true,
    "CanWrite": false,
    "MaskStrategy": "plain",
    "SemanticTypeIri": "urn:effortless:pko-extension#FieldGrant",
    "Name": "principal-knowledge-authority -&gt; VerificationOutcomes.ExpectedSignalValue",
    "FieldTable": "VerificationOutcomes",
    "FieldName": "ExpectedSignalValue",
    "FieldIsDerived": true,
    "IsWritableDerivedField": false,
    "IsMasked": false,
    "GrantKeyWhenReadable": "principal-knowledge-authority|VerificationOutcomes"
   },
   {
    "FieldGrantId": "fg-knowledge-authority-VerificationOutcomes.SignalIdentifier",
    "Principal": "principal-knowledge-authority",
    "TargetField": "VerificationOutcomes.SignalIdentifier",
    "CanRead": true,
    "CanWrite": false,
    "MaskStrategy": "plain",
    "SemanticTypeIri": "urn:effortless:pko-extension#FieldGrant",
    "Name": "principal-knowledge-authority -&gt; VerificationOutcomes.SignalIdentifier",
    "FieldTable": "VerificationOutcomes",
    "FieldName": "SignalIdentifier",
    "FieldIsDerived": true,
    "IsWritableDerivedField": false,
    "IsMasked": false,
    "GrantKeyWhenReadable": "principal-knowledge-authority|VerificationOutcomes"
   },
   {
    "FieldGrantId": "fg-knowledge-authority-VerificationOutcomes.SignalMatchesExpected",
    "Principal": "principal-knowledge-authority",
    "TargetField": "VerificationOutcomes.SignalMatchesExpected",
    "CanRead": true,
    "CanWrite": false,
    "MaskStrategy": "plain",
    "SemanticTypeIri": "urn:effortless:pko-extension#FieldGrant",
    "Name": "principal-knowledge-authority -&gt; VerificationOutcomes.SignalMatchesExpected",
    "FieldTable": "VerificationOutcomes",
    "FieldName": "SignalMatchesExpected",
    "FieldIsDerived": true,
    "IsWritableDerivedField": false,
    "IsMasked": false,
    "GrantKeyWhenReadable": "principal-knowledge-authority|VerificationOutcomes"
   },
   {
    "FieldGrantId": "fg-knowledge-authority-VerificationOutcomes.HasEvidence",
    "Principal": "principal-knowledge-authority",
    "TargetField": "VerificationOutcomes.HasEvidence",
    "CanRead": true,
    "CanWrite": false,
    "MaskStrategy": "plain",
    "SemanticTypeIri": "urn:effortless:pko-extension#FieldGrant",
    "Name": "principal-knowledge-authority -&gt; VerificationOutcomes.HasEvidence",
    "FieldTable": "VerificationOutcomes",
    "FieldName": "HasEvidence",
    "FieldIsDerived": true,
    "IsWritableDerivedField": false,
    "IsMasked": false,
    "GrantKeyWhenReadable": "principal-knowledge-authority|VerificationOutcomes"
   },
   {
    "FieldGrantId": "fg-knowledge-authority-VerificationOutcomes.IsUnbackedObservation",
    "Principal": "principal-knowledge-authority",
    "TargetField": "VerificationOutcomes.IsUnbackedObservation",
    "CanRead": true,
    "CanWrite": false,
    "MaskStrategy": "plain",
    "SemanticTypeIri": "urn:effortless:pko-extension#FieldGrant",
    "Name": "principal-knowledge-authority -&gt; VerificationOutcomes.IsUnbackedObservation",
    "FieldTable": "VerificationOutcomes",
    "FieldName": "IsUnbackedObservation",
    "FieldIsDerived": true,
    "IsWritableDerivedField": false,
    "IsMasked": false,
    "GrantKeyWhenReadable": "principal-knowledge-authority|VerificationOutcomes"
   },
   {
    "FieldGrantId": "fg-knowledge-authority-VerificationOutcomes.IsSelfWitnessed",
    "Principal": "principal-knowledge-authority",
    "TargetField": "VerificationOutcomes.IsSelfWitnessed",
    "CanRead": true,
    "CanWrite": false,
    "MaskStrategy": "plain",
    "SemanticTypeIri": "urn:effortless:pko-extension#FieldGrant",
    "Name": "principal-knowledge-authority -&gt; VerificationOutcomes.IsSelfWitnessed",
    "FieldTable": "VerificationOutcomes",
    "FieldName": "IsSelfWitnessed",
    "FieldIsDerived": true,
    "IsWritableDerivedField": false,
    "IsMasked": false,
    "GrantKeyWhenReadable": "principal-knowledge-authority|VerificationOutcomes"
   },
   {
    "FieldGrantId": "fg-knowledge-authority-VerificationOutcomes.StepExecutorAgent",
    "Principal": "principal-knowledge-authority",
    "TargetField": "VerificationOutcomes.StepExecutorAgent",
    "CanRead": true,
    "CanWrite": false,
    "MaskStrategy": "plain",
    "SemanticTypeIri": "urn:effortless:pko-extension#FieldGrant",
    "Name": "principal-knowledge-authority -&gt; VerificationOutcomes.StepExecutorAgent",
    "FieldTable": "VerificationOutcomes",
    "FieldName": "StepExecutorAgent",
    "FieldIsDerived": true,
    "IsWritableDerivedField": false,
    "IsMasked": false,
    "GrantKeyWhenReadable": "principal-knowledge-authority|VerificationOutcomes"
   },
   {
    "FieldGrantId": "fg-knowledge-authority-VerificationOutcomes.SelfWitnessedStepKey",
    "Principal": "principal-knowledge-authority",
    "TargetField": "VerificationOutcomes.SelfWitnessedStepKey",
    "CanRead": true,
    "CanWrite": false,
    "MaskStrategy": "plain",
    "SemanticTypeIri": "urn:effortless:pko-extension#FieldGrant",
    "Name": "principal-knowledge-authority -&gt; VerificationOutcomes.SelfWitnessedStepKey",
    "FieldTable": "VerificationOutcomes",
    "FieldName": "SelfWitnessedStepKey",
    "FieldIsDerived": true,
    "IsWritableDerivedField": false,
    "IsMasked": false,
    "GrantKeyWhenReadable": "principal-knowledge-authority|VerificationOutcomes"
   },
   {
    "FieldGrantId": "fg-knowledge-authority-VerificationOutcomes.UnbackedStepKey",
    "Principal": "principal-knowledge-authority",
    "TargetField": "VerificationOutcomes.UnbackedStepKey",
    "CanRead": true,
    "CanWrite": false,
    "MaskStrategy": "plain",
    "SemanticTypeIri": "urn:effortless:pko-extension#FieldGrant",
    "Name": "principal-knowledge-authority -&gt; VerificationOutcomes.UnbackedStepKey",
    "FieldTable": "VerificationOutcomes",
    "FieldName": "UnbackedStepKey",
    "FieldIsDerived": true,
    "IsWritableDerivedField": false,
    "IsMasked": false,
    "GrantKeyWhenReadable": "principal-knowledge-authority|VerificationOutcomes"
   },
   {
    "FieldGrantId": "fg-knowledge-authority-VerificationOutcomes.IsSelfWitnessedAndUnbacked",
    "Principal": "principal-knowledge-authority",
    "TargetField": "VerificationOutcomes.IsSelfWitnessedAndUnbacked",
    "CanRead": true,
    "CanWrite": false,
    "MaskStrategy": "plain",
    "SemanticTypeIri": "urn:effortless:pko-extension#FieldGrant",
    "Name": "principal-knowledge-authority -&gt; VerificationOutcomes.IsSelfWitnessedAndUnbacked",
    "FieldTable": "VerificationOutcomes",
    "FieldName": "IsSelfWitnessedAndUnbacked",
    "FieldIsDerived": true,
    "IsWritableDerivedField": false,
    "IsMasked": false,
    "GrantKeyWhenReadable": "principal-knowledge-authority|VerificationOutcomes"
   },
   {
    "FieldGrantId": "fg-knowledge-authority-VerificationOutcomes.IsUncorroboratedPass",
    "Principal": "principal-knowledge-authority",
    "TargetField": "VerificationOutcomes.IsUncorroboratedPass",
    "CanRead": true,
    "CanWrite": false,
    "MaskStrategy": "plain",
    "SemanticTypeIri": "urn:effortless:pko-extension#FieldGrant",
    "Name": "principal-knowledge-authority -&gt; VerificationOutcomes.IsUncorroboratedPass",
    "FieldTable": "VerificationOutcomes",
    "FieldName": "IsUncorroboratedPass",
    "FieldIsDerived": true,
    "IsWritableDerivedField": false,
    "IsMasked": false,
    "GrantKeyWhenReadable": "principal-knowledge-authority|VerificationOutcomes"
   },
   {
    "FieldGrantId": "fg-knowledge-authority-VerificationOutcomes.UncorroboratedPassStepKey",
    "Principal": "principal-knowledge-authority",
    "TargetField": "VerificationOutcomes.UncorroboratedPassStepKey",
    "CanRead": true,
    "CanWrite": false,
    "MaskStrategy": "plain",
    "SemanticTypeIri": "urn:effortless:pko-extension#FieldGrant",
    "Name": "principal-knowledge-authority -&gt; VerificationOutcomes.UncorroboratedPassStepKey",
    "FieldTable": "VerificationOutcomes",
    "FieldName": "UncorroboratedPassStepKey",
    "FieldIsDerived": true,
    "IsWritableDerivedField": false,
    "IsMasked": false,
    "GrantKeyWhenReadable": "principal-knowledge-authority|VerificationOutcomes"
   },
   {
    "FieldGrantId": "fg-knowledge-authority-VerificationOutcomes.ObserverIsNonHuman",
    "Principal": "principal-knowledge-authority",
    "TargetField": "VerificationOutcomes.ObserverIsNonHuman",
    "CanRead": true,
    "CanWrite": false,
    "MaskStrategy": "plain",
    "SemanticTypeIri": "urn:effortless:pko-extension#FieldGrant",
    "Name": "principal-knowledge-authority -&gt; VerificationOutcomes.ObserverIsNonHuman",
    "FieldTable": "VerificationOutcomes",
    "FieldName": "ObserverIsNonHuman",
    "FieldIsDerived": true,
    "IsWritableDerivedField": false,
    "IsMasked": false,
    "GrantKeyWhenReadable": "principal-knowledge-authority|VerificationOutcomes"
   },
   {
    "FieldGrantId": "fg-knowledge-authority-VerificationOutcomes.ObserverIsIndependentOfExecutor",
    "Principal": "principal-knowledge-authority",
    "TargetField": "VerificationOutcomes.ObserverIsIndependentOfExecutor",
    "CanRead": true,
    "CanWrite": false,
    "MaskStrategy": "plain",
    "SemanticTypeIri": "urn:effortless:pko-extension#FieldGrant",
    "Name": "principal-knowledge-authority -&gt; VerificationOutcomes.ObserverIsIndependentOfExecutor",
    "FieldTable": "VerificationOutcomes",
    "FieldName": "ObserverIsIndependentOfExecutor",
    "FieldIsDerived": true,
    "IsWritableDerivedField": false,
    "IsMasked": false,
    "GrantKeyWhenReadable": "principal-knowledge-authority|VerificationOutcomes"
   },
   {
    "FieldGrantId": "fg-knowledge-authority-VerificationOutcomes.IsIndependentHumanObservation",
    "Principal": "principal-knowledge-authority",
    "TargetField": "VerificationOutcomes.IsIndependentHumanObservation",
    "CanRead": true,
    "CanWrite": false,
    "MaskStrategy": "plain",
    "SemanticTypeIri": "urn:effortless:pko-extension#FieldGrant",
    "Name": "principal-knowledge-authority -&gt; VerificationOutcomes.IsIndependentHumanObservation",
    "FieldTable": "VerificationOutcomes",
    "FieldName": "IsIndependentHumanObservation",
    "FieldIsDerived": true,
    "IsWritableDerivedField": false,
    "IsMasked": false,
    "GrantKeyWhenReadable": "principal-knowledge-authority|VerificationOutcomes"
   },
   {
    "FieldGrantId": "fg-knowledge-authority-VerificationOutcomes.IndependentObservationExecutionKey",
    "Principal": "principal-knowledge-authority",
    "TargetField": "VerificationOutcomes.IndependentObservationExecutionKey",
    "CanRead": true,
    "CanWrite": false,
    "MaskStrategy": "plain",
    "SemanticTypeIri": "urn:effortless:pko-extension#FieldGrant",
    "Name": "principal-knowledge-authority -&gt; VerificationOutcomes.IndependentObservationExecutionKey",
    "FieldTable": "VerificationOutcomes",
    "FieldName": "IndependentObservationExecutionKey",
    "FieldIsDerived": true,
    "IsWritableDerivedField": false,
    "IsMasked": false,
    "GrantKeyWhenReadable": "principal-knowledge-authority|VerificationOutcomes"
   },
   {
    "FieldGrantId": "fg-knowledge-authority-VerificationOutcomes.ParentProcedureExecutionOfOutcome",
    "Principal": "principal-knowledge-authority",
    "TargetField": "VerificationOutcomes.ParentProcedureExecutionOfOutcome",
    "CanRead": true,
    "CanWrite": false,
    "MaskStrategy": "plain",
    "SemanticTypeIri": "urn:effortless:pko-extension#FieldGrant",
    "Name": "principal-knowledge-authority -&gt; VerificationOutcomes.ParentProcedureExecutionOfOutcome",
    "FieldTable": "VerificationOutcomes",
    "FieldName": "ParentProcedureExecutionOfOutcome",
    "FieldIsDerived": true,
    "IsWritableDerivedField": false,
    "IsMasked": false,
    "GrantKeyWhenReadable": "principal-knowledge-authority|VerificationOutcomes"
   },
   {
    "FieldGrantId": "fg-knowledge-authority-VerificationOutcomes.SemanticTypeIri",
    "Principal": "principal-knowledge-authority",
    "TargetField": "VerificationOutcomes.SemanticTypeIri",
    "CanRead": true,
    "CanWrite": false,
    "MaskStrategy": "plain",
    "SemanticTypeIri": "urn:effortless:pko-extension#FieldGrant",
    "Name": "principal-knowledge-authority -&gt; VerificationOutcomes.SemanticTypeIri",
    "FieldTable": "VerificationOutcomes",
    "FieldName": "SemanticTypeIri",
    "FieldIsDerived": false,
    "IsWritableDerivedField": false,
    "IsMasked": false,
    "GrantKeyWhenReadable": "principal-knowledge-authority|VerificationOutcomes"
   },
   {
    "FieldGrantId": "fg-knowledge-authority-WitnessLoops.WitnessLoopId",
    "Principal": "principal-knowledge-authority",
    "TargetField": "WitnessLoops.WitnessLoopId",
    "CanRead": true,
    "CanWrite": false,
    "MaskStrategy": "plain",
    "SemanticTypeIri": "urn:effortless:pko-extension#FieldGrant",
    "Name": "principal-knowledge-authority -&gt; WitnessLoops.WitnessLoopId",
    "FieldTable": "WitnessLoops",
    "FieldName": "WitnessLoopId",
    "FieldIsDerived": false,
    "IsWritableDerivedField": false,
    "IsMasked": false,
    "GrantKeyWhenReadable": "principal-knowledge-authority|WitnessLoops"
   },
   {
    "FieldGrantId": "fg-knowledge-authority-WitnessLoops.Name",
    "Principal": "principal-knowledge-authority",
    "TargetField": "WitnessLoops.Name",
    "CanRead": true,
    "CanWrite": false,
    "MaskStrategy": "plain",
    "SemanticTypeIri": "urn:effortless:pko-extension#FieldGrant",
    "Name": "principal-knowledge-authority -&gt; WitnessLoops.Name",
    "FieldTable": "WitnessLoops",
    "FieldName": "Name",
    "FieldIsDerived": true,
    "IsWritableDerivedField": false,
    "IsMasked": false,
    "GrantKeyWhenReadable": "principal-knowledge-authority|WitnessLoops"
   },
   {
    "FieldGrantId": "fg-knowledge-authority-WitnessLoops.LoopNumber",
    "Principal": "principal-knowledge-authority",
    "TargetField": "WitnessLoops.LoopNumber",
    "CanRead": true,
    "CanWrite": false,
    "MaskStrategy": "plain",
    "SemanticTypeIri": "urn:effortless:pko-extension#FieldGrant",
    "Name": "principal-knowledge-authority -&gt; WitnessLoops.LoopNumber",
    "FieldTable": "WitnessLoops",
    "FieldName": "LoopNumber",
    "FieldIsDerived": false,
    "IsWritableDerivedField": false,
    "IsMasked": false,
    "GrantKeyWhenReadable": "principal-knowledge-authority|WitnessLoops"
   },
   {
    "FieldGrantId": "fg-knowledge-authority-WitnessLoops.Title",
    "Principal": "principal-knowledge-authority",
    "TargetField": "WitnessLoops.Title",
    "CanRead": true,
    "CanWrite": false,
    "MaskStrategy": "plain",
    "SemanticTypeIri": "urn:effortless:pko-extension#FieldGrant",
    "Name": "principal-knowledge-authority -&gt; WitnessLoops.Title",
    "FieldTable": "WitnessLoops",
    "FieldName": "Title",
    "FieldIsDerived": false,
    "IsWritableDerivedField": false,
    "IsMasked": false,
    "GrantKeyWhenReadable": "principal-knowledge-authority|WitnessLoops"
   },
   {
    "FieldGrantId": "fg-knowledge-authority-WitnessLoops.Premise",
    "Principal": "principal-knowledge-authority",
    "TargetField": "WitnessLoops.Premise",
    "CanRead": true,
    "CanWrite": false,
    "MaskStrategy": "plain",
    "SemanticTypeIri": "urn:effortless:pko-extension#FieldGrant",
    "Name": "principal-knowledge-authority -&gt; WitnessLoops.Premise",
    "FieldTable": "WitnessLoops",
    "FieldName": "Premise",
    "FieldIsDerived": false,
    "IsWritableDerivedField": false,
    "IsMasked": false,
    "GrantKeyWhenReadable": "principal-knowledge-authority|WitnessLoops"
   },
   {
    "FieldGrantId": "fg-knowledge-authority-WitnessLoops.StartedAt",
    "Principal": "principal-knowledge-authority",
    "TargetField": "WitnessLoops.StartedAt",
    "CanRead": true,
    "CanWrite": false,
    "MaskStrategy": "plain",
    "SemanticTypeIri": "urn:effortless:pko-extension#FieldGrant",
    "Name": "principal-knowledge-authority -&gt; WitnessLoops.StartedAt",
    "FieldTable": "WitnessLoops",
    "FieldName": "StartedAt",
    "FieldIsDerived": false,
    "IsWritableDerivedField": false,
    "IsMasked": false,
    "GrantKeyWhenReadable": "principal-knowledge-authority|WitnessLoops"
   },
   {
    "FieldGrantId": "fg-knowledge-authority-WitnessLoops.CompletedAt",
    "Principal": "principal-knowledge-authority",
    "TargetField": "WitnessLoops.CompletedAt",
    "CanRead": true,
    "CanWrite": false,
    "MaskStrategy": "plain",
    "SemanticTypeIri": "urn:effortless:pko-extension#FieldGrant",
    "Name": "principal-knowledge-authority -&gt; WitnessLoops.CompletedAt",
    "FieldTable": "WitnessLoops",
    "FieldName": "CompletedAt",
    "FieldIsDerived": false,
    "IsWritableDerivedField": false,
    "IsMasked": false,
    "GrantKeyWhenReadable": "principal-knowledge-authority|WitnessLoops"
   },
   {
    "FieldGrantId": "fg-knowledge-authority-WitnessLoops.QuestionCount",
    "Principal": "principal-knowledge-authority",
    "TargetField": "WitnessLoops.QuestionCount",
    "CanRead": true,
    "CanWrite": false,
    "MaskStrategy": "plain",
    "SemanticTypeIri": "urn:effortless:pko-extension#FieldGrant",
    "Name": "principal-knowledge-authority -&gt; WitnessLoops.QuestionCount",
    "FieldTable": "WitnessLoops",
    "FieldName": "QuestionCount",
    "FieldIsDerived": true,
    "IsWritableDerivedField": false,
    "IsMasked": false,
    "GrantKeyWhenReadable": "principal-knowledge-authority|WitnessLoops"
   },
   {
    "FieldGrantId": "fg-knowledge-authority-WitnessLoops.IsComplete",
    "Principal": "principal-knowledge-authority",
    "TargetField": "WitnessLoops.IsComplete",
    "CanRead": true,
    "CanWrite": false,
    "MaskStrategy": "plain",
    "SemanticTypeIri": "urn:effortless:pko-extension#FieldGrant",
    "Name": "principal-knowledge-authority -&gt; WitnessLoops.IsComplete",
    "FieldTable": "WitnessLoops",
    "FieldName": "IsComplete",
    "FieldIsDerived": true,
    "IsWritableDerivedField": false,
    "IsMasked": false,
    "GrantKeyWhenReadable": "principal-knowledge-authority|WitnessLoops"
   },
   {
    "FieldGrantId": "fg-knowledge-authority-WitnessLoops.FieldsAfter",
    "Principal": "principal-knowledge-authority",
    "TargetField": "WitnessLoops.FieldsAfter",
    "CanRead": true,
    "CanWrite": false,
    "MaskStrategy": "plain",
    "SemanticTypeIri": "urn:effortless:pko-extension#FieldGrant",
    "Name": "principal-knowledge-authority -&gt; WitnessLoops.FieldsAfter",
    "FieldTable": "WitnessLoops",
    "FieldName": "FieldsAfter",
    "FieldIsDerived": false,
    "IsWritableDerivedField": false,
    "IsMasked": false,
    "GrantKeyWhenReadable": "principal-knowledge-authority|WitnessLoops"
   },
   {
    "FieldGrantId": "fg-knowledge-authority-WitnessLoops.DerivedAfter",
    "Principal": "principal-knowledge-authority",
    "TargetField": "WitnessLoops.DerivedAfter",
    "CanRead": true,
    "CanWrite": false,
    "MaskStrategy": "plain",
    "SemanticTypeIri": "urn:effortless:pko-extension#FieldGrant",
    "Name": "principal-knowledge-authority -&gt; WitnessLoops.DerivedAfter",
    "FieldTable": "WitnessLoops",
    "FieldName": "DerivedAfter",
    "FieldIsDerived": false,
    "IsWritableDerivedField": false,
    "IsMasked": false,
    "GrantKeyWhenReadable": "principal-knowledge-authority|WitnessLoops"
   },
   {
    "FieldGrantId": "fg-knowledge-authority-WitnessLoops.WitnessedAfter",
    "Principal": "principal-knowledge-authority",
    "TargetField": "WitnessLoops.WitnessedAfter",
    "CanRead": true,
    "CanWrite": false,
    "MaskStrategy": "plain",
    "SemanticTypeIri": "urn:effortless:pko-extension#FieldGrant",
    "Name": "principal-knowledge-authority -&gt; WitnessLoops.WitnessedAfter",
    "FieldTable": "WitnessLoops",
    "FieldName": "WitnessedAfter",
    "FieldIsDerived": false,
    "IsWritableDerivedField": false,
    "IsMasked": false,
    "GrantKeyWhenReadable": "principal-knowledge-authority|WitnessLoops"
   },
   {
    "FieldGrantId": "fg-knowledge-authority-WitnessLoops.SemanticTypeIri",
    "Principal": "principal-knowledge-authority",
    "TargetField": "WitnessLoops.SemanticTypeIri",
    "CanRead": true,
    "CanWrite": false,
    "MaskStrategy": "plain",
    "SemanticTypeIri": "urn:effortless:pko-extension#FieldGrant",
    "Name": "principal-knowledge-authority -&gt; WitnessLoops.SemanticTypeIri",
    "FieldTable": "WitnessLoops",
    "FieldName": "SemanticTypeIri",
    "FieldIsDerived": false,
    "IsWritableDerivedField": false,
    "IsMasked": false,
    "GrantKeyWhenReadable": "principa</t>
  </si>
  <si>
    <t xml:space="preserve">l-knowledge-authority|WitnessLoops"
   },
   {
    "FieldGrantId": "fg-process-steward-ProcessMiningRuns.ProcessMiningRunId",
    "Principal": "principal-process-steward",
    "TargetField": "ProcessMiningRuns.ProcessMiningRunId",
    "CanRead": true,
    "CanWrite": false,
    "MaskStrategy": "plain",
    "SemanticTypeIri": "urn:effortless:pko-extension#FieldGrant",
    "Name": "principal-process-steward -&gt; ProcessMiningRuns.ProcessMiningRunId",
    "FieldTable": "ProcessMiningRuns",
    "FieldName": "ProcessMiningRunId",
    "FieldIsDerived": false,
    "IsWritableDerivedField": false,
    "IsMasked": false,
    "GrantKeyWhenReadable": "principal-process-steward|ProcessMiningRuns"
   },
   {
    "FieldGrantId": "fg-process-steward-ProcessMiningRuns.Name",
    "Principal": "principal-process-steward",
    "TargetField": "ProcessMiningRuns.Name",
    "CanRead": true,
    "CanWrite": false,
    "MaskStrategy": "plain",
    "SemanticTypeIri": "urn:effortless:pko-extension#FieldGrant",
    "Name": "principal-process-steward -&gt; ProcessMiningRuns.Name",
    "FieldTable": "ProcessMiningRuns",
    "FieldName": "Name",
    "FieldIsDerived": true,
    "IsWritableDerivedField": false,
    "IsMasked": false,
    "GrantKeyWhenReadable": "principal-process-steward|ProcessMiningRuns"
   },
   {
    "FieldGrantId": "fg-process-steward-ProcessMiningRuns.ProcedureVersion",
    "Principal": "principal-process-steward",
    "TargetField": "ProcessMiningRuns.ProcedureVersion",
    "CanRead": true,
    "CanWrite": false,
    "MaskStrategy": "plain",
    "SemanticTypeIri": "urn:effortless:pko-extension#FieldGrant",
    "Name": "principal-process-steward -&gt; ProcessMiningRuns.ProcedureVersion",
    "FieldTable": "ProcessMiningRuns",
    "FieldName": "ProcedureVersion",
    "FieldIsDerived": false,
    "IsWritableDerivedField": false,
    "IsMasked": false,
    "GrantKeyWhenReadable": "principal-process-steward|ProcessMiningRuns"
   },
   {
    "FieldGrantId": "fg-process-steward-ProcessMiningRuns.EventLogSource",
    "Principal": "principal-process-steward",
    "TargetField": "ProcessMiningRuns.EventLogSource",
    "CanRead": true,
    "CanWrite": false,
    "MaskStrategy": "plain",
    "SemanticTypeIri": "urn:effortless:pko-extension#FieldGrant",
    "Name": "principal-process-steward -&gt; ProcessMiningRuns.EventLogSource",
    "FieldTable": "ProcessMiningRuns",
    "FieldName": "EventLogSource",
    "FieldIsDerived": false,
    "IsWritableDerivedField": false,
    "IsMasked": false,
    "GrantKeyWhenReadable": "principal-process-steward|ProcessMiningRuns"
   },
   {
    "FieldGrantId": "fg-process-steward-ProcessMiningRuns.MinedAt",
    "Principal": "principal-process-steward",
    "TargetField": "ProcessMiningRuns.MinedAt",
    "CanRead": true,
    "CanWrite": false,
    "MaskStrategy": "plain",
    "SemanticTypeIri": "urn:effortless:pko-extension#FieldGrant",
    "Name": "principal-process-steward -&gt; ProcessMiningRuns.MinedAt",
    "FieldTable": "ProcessMiningRuns",
    "FieldName": "MinedAt",
    "FieldIsDerived": false,
    "IsWritableDerivedField": false,
    "IsMasked": false,
    "GrantKeyWhenReadable": "principal-process-steward|ProcessMiningRuns"
   },
   {
    "FieldGrantId": "fg-process-steward-ProcessMiningRuns.DiscoveredVariantCount",
    "Principal": "principal-process-steward",
    "TargetField": "ProcessMiningRuns.DiscoveredVariantCount",
    "CanRead": true,
    "CanWrite": false,
    "MaskStrategy": "plain",
    "SemanticTypeIri": "urn:effortless:pko-extension#FieldGrant",
    "Name": "principal-process-steward -&gt; ProcessMiningRuns.DiscoveredVariantCount",
    "FieldTable": "ProcessMiningRuns",
    "FieldName": "DiscoveredVariantCount",
    "FieldIsDerived": false,
    "IsWritableDerivedField": false,
    "IsMasked": false,
    "GrantKeyWhenReadable": "principal-process-steward|ProcessMiningRuns"
   },
   {
    "FieldGrantId": "fg-process-steward-ProcessMiningRuns.ConformingVariantCount",
    "Principal": "principal-process-steward",
    "TargetField": "ProcessMiningRuns.ConformingVariantCount",
    "CanRead": true,
    "CanWrite": false,
    "MaskStrategy": "plain",
    "SemanticTypeIri": "urn:effortless:pko-extension#FieldGrant",
    "Name": "principal-process-steward -&gt; ProcessMiningRuns.ConformingVariantCount",
    "FieldTable": "ProcessMiningRuns",
    "FieldName": "ConformingVariantCount",
    "FieldIsDerived": false,
    "IsWritableDerivedField": false,
    "IsMasked": false,
    "GrantKeyWhenReadable": "principal-process-steward|ProcessMiningRuns"
   },
   {
    "FieldGrantId": "fg-process-steward-ProcessMiningRuns.DeviationDescription",
    "Principal": "principal-process-steward",
    "TargetField": "ProcessMiningRuns.DeviationDescription",
    "CanRead": true,
    "CanWrite": false,
    "MaskStrategy": "plain",
    "SemanticTypeIri": "urn:effortless:pko-extension#FieldGrant",
    "Name": "principal-process-steward -&gt; ProcessMiningRuns.DeviationDescription",
    "FieldTable": "ProcessMiningRuns",
    "FieldName": "DeviationDescription",
    "FieldIsDerived": false,
    "IsWritableDerivedField": false,
    "IsMasked": false,
    "GrantKeyWhenReadable": "principal-process-steward|ProcessMiningRuns"
   },
   {
    "FieldGrantId": "fg-process-steward-ProcessMiningRuns.EvaluationContext",
    "Principal": "principal-process-steward",
    "TargetField": "ProcessMiningRuns.EvaluationContext",
    "CanRead": true,
    "CanWrite": false,
    "MaskStrategy": "plain",
    "SemanticTypeIri": "urn:effortless:pko-extension#FieldGrant",
    "Name": "principal-process-steward -&gt; ProcessMiningRuns.EvaluationContext",
    "FieldTable": "ProcessMiningRuns",
    "FieldName": "EvaluationContext",
    "FieldIsDerived": false,
    "IsWritableDerivedField": false,
    "IsMasked": false,
    "GrantKeyWhenReadable": "principal-process-steward|ProcessMiningRuns"
   },
   {
    "FieldGrantId": "fg-process-steward-ProcessMiningRuns.AsOfInstant",
    "Principal": "principal-process-steward",
    "TargetField": "ProcessMiningRuns.AsOfInstant",
    "CanRead": true,
    "CanWrite": false,
    "MaskStrategy": "plain",
    "SemanticTypeIri": "urn:effortless:pko-extension#FieldGrant",
    "Name": "principal-process-steward -&gt; ProcessMiningRuns.AsOfInstant",
    "FieldTable": "ProcessMiningRuns",
    "FieldName": "AsOfInstant",
    "FieldIsDerived": true,
    "IsWritableDerivedField": false,
    "IsMasked": false,
    "GrantKeyWhenReadable": "principal-process-steward|ProcessMiningRuns"
   },
   {
    "FieldGrantId": "fg-process-steward-ProcessMiningRuns.ConformanceRate",
    "Principal": "principal-process-steward",
    "TargetField": "ProcessMiningRuns.ConformanceRate",
    "CanRead": true,
    "CanWrite": false,
    "MaskStrategy": "plain",
    "SemanticTypeIri": "urn:effortless:pko-extension#FieldGrant",
    "Name": "principal-process-steward -&gt; ProcessMiningRuns.ConformanceRate",
    "FieldTable": "ProcessMiningRuns",
    "FieldName": "ConformanceRate",
    "FieldIsDerived": true,
    "IsWritableDerivedField": false,
    "IsMasked": false,
    "GrantKeyWhenReadable": "principal-process-steward|ProcessMiningRuns"
   },
   {
    "FieldGrantId": "fg-process-steward-ProcessMiningRuns.IsConformant",
    "Principal": "principal-process-steward",
    "TargetField": "ProcessMiningRuns.IsConformant",
    "CanRead": true,
    "CanWrite": false,
    "MaskStrategy": "plain",
    "SemanticTypeIri": "urn:effortless:pko-extension#FieldGrant",
    "Name": "principal-process-steward -&gt; ProcessMiningRuns.IsConformant",
    "FieldTable": "ProcessMiningRuns",
    "FieldName": "IsConformant",
    "FieldIsDerived": true,
    "IsWritableDerivedField": false,
    "IsMasked": false,
    "GrantKeyWhenReadable": "principal-process-steward|ProcessMiningRuns"
   },
   {
    "FieldGrantId": "fg-process-steward-ProcessMiningRuns.HasMajorDriftFromDocumentation",
    "Principal": "principal-process-steward",
    "TargetField": "ProcessMiningRuns.HasMajorDriftFromDocumentation",
    "CanRead": true,
    "CanWrite": false,
    "MaskStrategy": "plain",
    "SemanticTypeIri": "urn:effortless:pko-extension#FieldGrant",
    "Name": "principal-process-steward -&gt; ProcessMiningRuns.HasMajorDriftFromDocumentation",
    "FieldTable": "ProcessMiningRuns",
    "FieldName": "HasMajorDriftFromDocumentation",
    "FieldIsDerived": true,
    "IsWritableDerivedField": false,
    "IsMasked": false,
    "GrantKeyWhenReadable": "principal-process-steward|ProcessMiningRuns"
   },
   {
    "FieldGrantId": "fg-process-steward-ProcessMiningRuns.DaysSinceMined",
    "Principal": "principal-process-steward",
    "TargetField": "ProcessMiningRuns.DaysSinceMined",
    "CanRead": true,
    "CanWrite": false,
    "MaskStrategy": "plain",
    "SemanticTypeIri": "urn:effortless:pko-extension#FieldGrant",
    "Name": "principal-process-steward -&gt; ProcessMiningRuns.DaysSinceMined",
    "FieldTable": "ProcessMiningRuns",
    "FieldName": "DaysSinceMined",
    "FieldIsDerived": true,
    "IsWritableDerivedField": false,
    "IsMasked": false,
    "GrantKeyWhenReadable": "principal-process-steward|ProcessMiningRuns"
   },
   {
    "FieldGrantId": "fg-process-steward-ProcessMiningRuns.IsStaleMiningEvidence",
    "Principal": "principal-process-steward",
    "TargetField": "ProcessMiningRuns.IsStaleMiningEvidence",
    "CanRead": true,
    "CanWrite": false,
    "MaskStrategy": "plain",
    "SemanticTypeIri": "urn:effortless:pko-extension#FieldGrant",
    "Name": "principal-process-steward -&gt; ProcessMiningRuns.IsStaleMiningEvidence",
    "FieldTable": "ProcessMiningRuns",
    "FieldName": "IsStaleMiningEvidence",
    "FieldIsDerived": true,
    "IsWritableDerivedField": false,
    "IsMasked": false,
    "GrantKeyWhenReadable": "principal-process-steward|ProcessMiningRuns"
   },
   {
    "FieldGrantId": "fg-process-steward-ProcessMiningRuns.ProcedureVersionIsLive",
    "Principal": "principal-process-steward",
    "TargetField": "ProcessMiningRuns.ProcedureVersionIsLive",
    "CanRead": true,
    "CanWrite": false,
    "MaskStrategy": "plain",
    "SemanticTypeIri": "urn:effortless:pko-extension#FieldGrant",
    "Name": "principal-process-steward -&gt; ProcessMiningRuns.ProcedureVersionIsLive",
    "FieldTable": "ProcessMiningRuns",
    "FieldName": "ProcedureVersionIsLive",
    "FieldIsDerived": true,
    "IsWritableDerivedField": false,
    "IsMasked": false,
    "GrantKeyWhenReadable": "principal-process-steward|ProcessMiningRuns"
   },
   {
    "FieldGrantId": "fg-process-steward-ProcessMiningRuns.IsDriftOnLiveVersion",
    "Principal": "principal-process-steward",
    "TargetField": "ProcessMiningRuns.IsDriftOnLiveVersion",
    "CanRead": true,
    "CanWrite": false,
    "MaskStrategy": "plain",
    "SemanticTypeIri": "urn:effortless:pko-extension#FieldGrant",
    "Name": "principal-process-steward -&gt; ProcessMiningRuns.IsDriftOnLiveVersion",
    "FieldTable": "ProcessMiningRuns",
    "FieldName": "IsDriftOnLiveVersion",
    "FieldIsDerived": true,
    "IsWritableDerivedField": false,
    "IsMasked": false,
    "GrantKeyWhenReadable": "principal-process-steward|ProcessMiningRuns"
   },
   {
    "FieldGrantId": "fg-process-steward-ProcessMiningRuns.DriftedMiningRunKey",
    "Principal": "principal-process-steward",
    "TargetField": "ProcessMiningRuns.DriftedMiningRunKey",
    "CanRead": true,
    "CanWrite": false,
    "MaskStrategy": "plain",
    "SemanticTypeIri": "urn:effortless:pko-extension#FieldGrant",
    "Name": "principal-process-steward -&gt; ProcessMiningRuns.DriftedMiningRunKey",
    "FieldTable": "ProcessMiningRuns",
    "FieldName": "DriftedMiningRunKey",
    "FieldIsDerived": true,
    "IsWritableDerivedField": false,
    "IsMasked": false,
    "GrantKeyWhenReadable": "principal-process-steward|ProcessMiningRuns"
   },
   {
    "FieldGrantId": "fg-process-steward-ProcessMiningRuns.SemanticTypeIri",
    "Principal": "principal-process-steward",
    "TargetField": "ProcessMiningRuns.SemanticTypeIri",
    "CanRead": true,
    "CanWrite": false,
    "MaskStrategy": "plain",
    "SemanticTypeIri": "urn:effortless:pko-extension#FieldGrant",
    "Name": "principal-process-steward -&gt; ProcessMiningRuns.SemanticTypeIri",
    "FieldTable": "ProcessMiningRuns",
    "FieldName": "SemanticTypeIri",
    "FieldIsDerived": false,
    "IsWritableDerivedField": false,
    "IsMasked": false,
    "GrantKeyWhenReadable": "principal-process-steward|ProcessMiningRuns"
   },
   {
    "FieldGrantId": "fg-process-steward-Vocabularies.VocabularyId",
    "Principal": "principal-process-steward",
    "TargetField": "Vocabularies.VocabularyId",
    "CanRead": true,
    "CanWrite": false,
    "MaskStrategy": "plain",
    "SemanticTypeIri": "urn:effortless:pko-extension#FieldGrant",
    "Name": "principal-process-steward -&gt; Vocabularies.VocabularyId",
    "FieldTable": "Vocabularies",
    "FieldName": "VocabularyId",
    "FieldIsDerived": false,
    "IsWritableDerivedField": false,
    "IsMasked": false,
    "GrantKeyWhenReadable": "principal-process-steward|Vocabularies"
   },
   {
    "FieldGrantId": "fg-process-steward-Vocabularies.Name",
    "Principal": "principal-process-steward",
    "TargetField": "Vocabularies.Name",
    "CanRead": true,
    "CanWrite": false,
    "MaskStrategy": "plain",
    "SemanticTypeIri": "urn:effortless:pko-extension#FieldGrant",
    "Name": "principal-process-steward -&gt; Vocabularies.Name",
    "FieldTable": "Vocabularies",
    "FieldName": "Name",
    "FieldIsDerived": true,
    "IsWritableDerivedField": false,
    "IsMasked": false,
    "GrantKeyWhenReadable": "principal-process-steward|Vocabularies"
   },
   {
    "FieldGrantId": "fg-process-steward-Vocabularies.Title",
    "Principal": "principal-process-steward",
    "TargetField": "Vocabularies.Title",
    "CanRead": true,
    "CanWrite": false,
    "MaskStrategy": "plain",
    "SemanticTypeIri": "urn:effortless:pko-extension#FieldGrant",
    "Name": "principal-process-steward -&gt; Vocabularies.Title",
    "FieldTable": "Vocabularies",
    "FieldName": "Title",
    "FieldIsDerived": false,
    "IsWritableDerivedField": false,
    "IsMasked": false,
    "GrantKeyWhenReadable": "principal-process-steward|Vocabularies"
   },
   {
    "FieldGrantId": "fg-process-steward-Vocabularies.SchemeUri",
    "Principal": "principal-process-steward",
    "TargetField": "Vocabularies.SchemeUri",
    "CanRead": true,
    "CanWrite": false,
    "MaskStrategy": "plain",
    "SemanticTypeIri": "urn:effortless:pko-extension#FieldGrant",
    "Name": "principal-process-steward -&gt; Vocabularies.SchemeUri",
    "FieldTable": "Vocabularies",
    "FieldName": "SchemeUri",
    "FieldIsDerived": false,
    "IsWritableDerivedField": false,
    "IsMasked": false,
    "GrantKeyWhenReadable": "principal-process-steward|Vocabularies"
   },
   {
    "FieldGrantId": "fg-process-steward-Vocabularies.GoverningRole",
    "Principal": "principal-process-steward",
    "TargetField": "Vocabularies.GoverningRole",
    "CanRead": true,
    "CanWrite": false,
    "MaskStrategy": "plain",
    "SemanticTypeIri": "urn:effortless:pko-extension#FieldGrant",
    "Name": "principal-process-steward -&gt; Vocabularies.GoverningRole",
    "FieldTable": "Vocabularies",
    "FieldName": "GoverningRole",
    "FieldIsDerived": false,
    "IsWritableDerivedField": false,
    "IsMasked": false,
    "GrantKeyWhenReadable": "principal-process-steward|Vocabularies"
   },
   {
    "FieldGrantId": "fg-process-steward-Vocabularies.TermCount",
    "Principal": "principal-process-steward",
    "TargetField": "Vocabularies.TermCount",
    "CanRead": true,
    "CanWrite": false,
    "MaskStrategy": "plain",
    "SemanticTypeIri": "urn:effortless:pko-extension#FieldGrant",
    "Name": "principal-process-steward -&gt; Vocabularies.TermCount",
    "FieldTable": "Vocabularies",
    "FieldName": "TermCount",
    "FieldIsDerived": true,
    "IsWritableDerivedField": false,
    "IsMasked": false,
    "GrantKeyWhenReadable": "principal-process-steward|Vocabularies"
   },
   {
    "FieldGrantId": "fg-process-steward-Vocabularies.OrphanTermCount",
    "Principal": "principal-process-steward",
    "TargetField": "Vocabularies.OrphanTermCount",
    "CanRead": true,
    "CanWrite": false,
    "MaskStrategy": "plain",
    "SemanticTypeIri": "urn:effortless:pko-extension#FieldGrant",
    "Name": "principal-process-steward -&gt; Vocabularies.OrphanTermCount",
    "FieldTable": "Vocabularies",
    "FieldName": "OrphanTermCount",
    "FieldIsDerived": true,
    "IsWritableDerivedField": false,
    "IsMasked": false,
    "GrantKeyWhenReadable": "principal-process-steward|Vocabularies"
   },
   {
    "FieldGrantId": "fg-process-steward-Vocabularies.HasOrphanTerms",
    "Principal": "principal-process-steward",
    "TargetField": "Vocabularies.HasOrphanTerms",
    "CanRead": true,
    "CanWrite": false,
    "MaskStrategy": "plain",
    "SemanticTypeIri": "urn:effortless:pko-extension#FieldGrant",
    "Name": "principal-process-steward -&gt; Vocabularies.HasOrphanTerms",
    "FieldTable": "Vocabularies",
    "FieldName": "HasOrphanTerms",
    "FieldIsDerived": true,
    "IsWritableDerivedField": false,
    "IsMasked": false,
    "GrantKeyWhenReadable": "principal-process-steward|Vocabularies"
   },
   {
    "FieldGrantId": "fg-process-steward-Vocabularies.SemanticTypeIri",
    "Principal": "principal-process-steward",
    "TargetField": "Vocabularies.SemanticTypeIri",
    "CanRead": true,
    "CanWrite": false,
    "MaskStrategy": "plain",
    "SemanticTypeIri": "urn:effortless:pko-extension#FieldGrant",
    "Name": "principal-process-steward -&gt; Vocabularies.SemanticTypeIri",
    "FieldTable": "Vocabularies",
    "FieldName": "SemanticTypeIri",
    "FieldIsDerived": false,
    "IsWritableDerivedField": false,
    "IsMasked": false,
    "GrantKeyWhenReadable": "principal-process-steward|Vocabularies"
   },
   {
    "FieldGrantId": "fg-process-steward-VocabularyTerms.VocabularyTermId",
    "Principal": "principal-process-steward",
    "TargetField": "VocabularyTerms.VocabularyTermId",
    "CanRead": true,
    "CanWrite": false,
    "MaskStrategy": "plain",
    "SemanticTypeIri": "urn:effortless:pko-extension#FieldGrant",
    "Name": "principal-process-steward -&gt; VocabularyTerms.VocabularyTermId",
    "FieldTable": "VocabularyTerms",
    "FieldName": "VocabularyTermId",
    "FieldIsDerived": false,
    "IsWritableDerivedField": false,
    "IsMasked": false,
    "GrantKeyWhenReadable": "principal-process-steward|VocabularyTerms"
   },
   {
    "FieldGrantId": "fg-process-steward-VocabularyTerms.Name",
    "Principal": "principal-process-steward",
    "TargetField": "VocabularyTerms.Name",
    "CanRead": true,
    "CanWrite": false,
    "MaskStrategy": "plain",
    "SemanticTypeIri": "urn:effortless:pko-extension#FieldGrant",
    "Name": "principal-process-steward -&gt; VocabularyTerms.Name",
    "FieldTable": "VocabularyTerms",
    "FieldName": "Name",
    "FieldIsDerived": true,
    "IsWritableDerivedField": false,
    "IsMasked": false,
    "GrantKeyWhenReadable": "principal-process-steward|VocabularyTerms"
   },
   {
    "FieldGrantId": "fg-process-steward-VocabularyTerms.Vocabulary",
    "Principal": "principal-process-steward",
    "TargetField": "VocabularyTerms.Vocabulary",
    "CanRead": true,
    "CanWrite": false,
    "MaskStrategy": "plain",
    "SemanticTypeIri": "urn:effortless:pko-extension#FieldGrant",
    "Name": "principal-process-steward -&gt; VocabularyTerms.Vocabulary",
    "FieldTable": "VocabularyTerms",
    "FieldName": "Vocabulary",
    "FieldIsDerived": false,
    "IsWritableDerivedField": false,
    "IsMasked": false,
    "GrantKeyWhenReadable": "principal-process-steward|VocabularyTerms"
   },
   {
    "FieldGrantId": "fg-process-steward-VocabularyTerms.PrefLabel",
    "Principal": "principal-process-steward",
    "TargetField": "VocabularyTerms.PrefLabel",
    "CanRead": true,
    "CanWrite": false,
    "MaskStrategy": "plain",
    "SemanticTypeIri": "urn:effortless:pko-extension#FieldGrant",
    "Name": "principal-process-steward -&gt; VocabularyTerms.PrefLabel",
    "FieldTable": "VocabularyTerms",
    "FieldName": "PrefLabel",
    "FieldIsDerived": false,
    "IsWritableDerivedField": false,
    "IsMasked": false,
    "GrantKeyWhenReadable": "principal-process-steward|VocabularyTerms"
   },
   {
    "FieldGrantId": "fg-process-steward-VocabularyTerms.AltLabels",
    "Principal": "principal-process-steward",
    "TargetField": "VocabularyTerms.AltLabels",
    "CanRead": true,
    "CanWrite": false,
    "MaskStrategy": "plain",
    "SemanticTypeIri": "urn:effortless:pko-extension#FieldGrant",
    "Name": "principal-process-steward -&gt; VocabularyTerms.AltLabels",
    "FieldTable": "VocabularyTerms",
    "FieldName": "AltLabels",
    "FieldIsDerived": false,
    "IsWritableDerivedField": false,
    "IsMasked": false,
    "GrantKeyWhenReadable": "principal-process-steward|VocabularyTerms"
   },
   {
    "FieldGrantId": "fg-process-steward-VocabularyTerms.Definition",
    "Principal": "principal-process-steward",
    "TargetField": "VocabularyTerms.Definition",
    "CanRead": true,
    "CanWrite": false,
    "MaskStrategy": "plain",
    "SemanticTypeIri": "urn:effortless:pko-extension#FieldGrant",
    "Name": "principal-process-steward -&gt; VocabularyTerms.Definition",
    "FieldTable": "VocabularyTerms",
    "FieldName": "Definition",
    "FieldIsDerived": false,
    "IsWritableDerivedField": false,
    "IsMasked": false,
    "GrantKeyWhenReadable": "principal-process-steward|VocabularyTerms"
   },
   {
    "FieldGrantId": "fg-process-steward-VocabularyTerms.UsageCount",
    "Principal": "principal-process-steward",
    "TargetField": "VocabularyTerms.UsageCount",
    "CanRead": true,
    "CanWrite": false,
    "MaskStrategy": "plain",
    "SemanticTypeIri": "urn:effortless:pko-extension#FieldGrant",
    "Name": "principal-process-steward -&gt; VocabularyTerms.UsageCount",
    "FieldTable": "VocabularyTerms",
    "FieldName": "UsageCount",
    "FieldIsDerived": true,
    "IsWritableDerivedField": false,
    "IsMasked": false,
    "GrantKeyWhenReadable": "principal-process-steward|VocabularyTerms"
   },
   {
    "FieldGrantId": "fg-process-steward-VocabularyTerms.IsOrphanTerm",
    "Principal": "principal-process-steward",
    "TargetField": "VocabularyTerms.IsOrphanTerm",
    "CanRead": true,
    "CanWrite": false,
    "MaskStrategy": "plain",
    "SemanticTypeIri": "urn:effortless:pko-extension#FieldGrant",
    "Name": "principal-process-steward -&gt; VocabularyTerms.IsOrphanTerm",
    "FieldTable": "VocabularyTerms",
    "FieldName": "IsOrphanTerm",
    "FieldIsDerived": true,
    "IsWritableDerivedField": false,
    "IsMasked": false,
    "GrantKeyWhenReadable": "principal-process-steward|VocabularyTerms"
   },
   {
    "FieldGrantId": "fg-process-steward-VocabularyTerms.IsWidelyAdoptedTerm",
    "Principal": "principal-process-steward",
    "TargetField": "VocabularyTerms.IsWidelyAdoptedTerm",
    "CanRead": true,
    "CanWrite": false,
    "MaskStrategy": "plain",
    "SemanticTypeIri": "urn:effortless:pko-extension#FieldGrant",
    "Name": "principal-process-steward -&gt; VocabularyTerms.IsWidelyAdoptedTerm",
    "FieldTable": "VocabularyTerms",
    "FieldName": "IsWidelyAdoptedTerm",
    "FieldIsDerived": true,
    "IsWritableDerivedField": false,
    "IsMasked": false,
    "GrantKeyWhenReadable": "principal-process-steward|VocabularyTerms"
   },
   {
    "FieldGrantId": "fg-process-steward-VocabularyTerms.OrphanTermVocabularyKey",
    "Principal": "principal-process-steward",
    "TargetField": "VocabularyTerms.OrphanTermVocabularyKey",
    "CanRead": true,
    "CanWrite": false,
    "MaskStrategy": "plain",
    "SemanticTypeIri": "urn:effortless:pko-extension#FieldGrant",
    "Name": "principal-process-steward -&gt; VocabularyTerms.OrphanTermVocabularyKey",
    "FieldTable": "VocabularyTerms",
    "FieldName": "OrphanTermVocabularyKey",
    "FieldIsDerived": true,
    "IsWritableDerivedField": false,
    "IsMasked": false,
    "GrantKeyWhenReadable": "principal-process-steward|VocabularyTerms"
   },
   {
    "FieldGrantId": "fg-process-steward-VocabularyTerms.SemanticTypeIri",
    "Principal": "principal-process-steward",
    "TargetField": "VocabularyTerms.SemanticTypeIri",
    "CanRead": true,
    "CanWrite": false,
    "MaskStrategy": "plain",
    "SemanticTypeIri": "urn:effortless:pko-extension#FieldGrant",
    "Name": "principal-process-steward -&gt; VocabularyTerms.SemanticTypeIri",
    "FieldTable": "VocabularyTerms",
    "FieldName": "SemanticTypeIri",
    "FieldIsDerived": false,
    "IsWritableDerivedField": false,
    "IsMasked": false,
    "GrantKeyWhenReadable": "principal-process-steward|VocabularyTerms"
   },
   {
    "FieldGrantId": "fg-process-steward-KnowledgeBrokerLinks.KnowledgeBrokerLinkId",
    "Principal": "principal-process-steward",
    "TargetField": "KnowledgeBrokerLinks.KnowledgeBrokerLinkId",
    "CanRead": true,
    "CanWrite": false,
    "MaskStrategy": "plain",
    "SemanticTypeIri": "urn:effortless:pko-extension#FieldGrant",
    "Name": "principal-process-steward -&gt; KnowledgeBrokerLinks.KnowledgeBrokerLinkId",
    "FieldTable": "KnowledgeBrokerLinks",
    "FieldName": "KnowledgeBrokerLinkId",
    "FieldIsDerived": false,
    "IsWritableDerivedField": false,
    "IsMasked": false,
    "GrantKeyWhenReadable": "principal-process-steward|KnowledgeBrokerLinks"
   },
   {
    "FieldGrantId": "fg-process-steward-KnowledgeBrokerLinks.Name",
    "Principal": "principal-process-steward",
    "TargetField": "KnowledgeBrokerLinks.Name",
    "CanRead": true,
    "CanWrite": false,
    "MaskStrategy": "plain",
    "SemanticTypeIri": "urn:effortless:pko-extension#FieldGrant",
    "Name": "principal-process-steward -&gt; KnowledgeBrokerLinks.Name",
    "FieldTable": "KnowledgeBrokerLinks",
    "FieldName": "Name",
    "FieldIsDerived": true,
    "IsWritableDerivedField": false,
    "IsMasked": false,
    "GrantKeyWhenReadable": "principal-process-steward|KnowledgeBrokerLinks"
   },
   {
    "FieldGrantId": "fg-process-steward-KnowledgeBrokerLinks.Seeker",
    "Principal": "principal-process-steward",
    "TargetField": "KnowledgeBrokerLinks.Seeker",
    "CanRead": true,
    "CanWrite": false,
    "MaskStrategy": "plain",
    "SemanticTypeIri": "urn:effortless:pko-extension#FieldGrant",
    "Name": "principal-process-steward -&gt; KnowledgeBrokerLinks.Seeker",
    "FieldTable": "KnowledgeBrokerLinks",
    "FieldName": "Seeker",
    "FieldIsDerived": false,
    "IsWritableDerivedField": false,
    "IsMasked": false,
    "GrantKeyWhenReadable": "principal-process-steward|KnowledgeBrokerLinks"
   },
   {
    "FieldGrantId": "fg-process-steward-KnowledgeBrokerLinks.Broker",
    "Principal": "principal-process-steward",
    "TargetField": "KnowledgeBrokerLinks.Broker",
    "CanRead": true,
    "CanWrite": false,
    "MaskStrategy": "plain",
    "SemanticTypeIri": "urn:effortless:pko-extension#FieldGrant",
    "Name": "principal-process-steward -&gt; KnowledgeBrokerLinks.Broker",
    "FieldTable": "KnowledgeBrokerLinks",
    "FieldName": "Broker",
    "FieldIsDerived": false,
    "IsWritableDerivedField": false,
    "IsMasked": false,
    "GrantKeyWhenReadable": "principal-process-steward|KnowledgeBrokerLinks"
   },
   {
    "FieldGrantId": "fg-process-steward-KnowledgeBrokerLinks.Topic",
    "Principal": "principal-process-steward",
    "TargetField": "KnowledgeBrokerLinks.Topic",
    "CanRead": true,
    "CanWrite": false,
    "MaskStrategy": "plain",
    "SemanticTypeIri": "urn:effortless:pko-extension#FieldGrant",
    "Name": "principal-process-steward -&gt; KnowledgeBrokerLinks.Topic",
    "FieldTable": "KnowledgeBrokerLinks",
    "FieldName": "Topic",
    "FieldIsDerived": false,
    "IsWritableDerivedField": false,
    "IsMasked": false,
    "GrantKeyWhenReadable": "principal-process-steward|KnowledgeBrokerLinks"
   },
   {
    "FieldGrantId": "fg-process-steward-KnowledgeBrokerLinks.Frequency",
    "Principal": "principal-process-steward",
    "TargetField": "KnowledgeBrokerLinks.Frequency",
    "CanRead": true,
    "CanWrite": false,
    "MaskStrategy": "plain",
    "SemanticTypeIri": "urn:effortless:pko-extension#FieldGrant",
    "Name": "principal-process-steward -&gt; KnowledgeBrokerLinks.Frequency",
    "FieldTable": "KnowledgeBrokerLinks",
    "FieldName": "Frequency",
    "FieldIsDerived": false,
    "IsWritableDerivedField": false,
    "IsMasked": false,
    "GrantKeyWhenReadable": "principal-process-steward|KnowledgeBrokerLinks"
   },
   {
    "FieldGrantId": "fg-process-steward-KnowledgeBrokerLinks.LastConsultedAt",
    "Principal": "principal-process-steward",
    "TargetField": "KnowledgeBrokerLinks.LastConsultedAt",
    "CanRead": true,
    "CanWrite": false,
    "MaskStrategy": "plain",
    "SemanticTypeIri": "urn:effortless:pko-extension#FieldGrant",
    "Name": "principal-process-steward -&gt; KnowledgeBrokerLinks.LastConsultedAt",
    "FieldTable": "KnowledgeBrokerLinks",
    "FieldName": "LastConsultedAt",
    "FieldIsDerived": false,
    "IsWritableDerivedField": false,
    "IsMasked": false,
    "GrantKeyWhenReadable": "principal-process-steward|KnowledgeBrokerLinks"
   },
   {
    "FieldGrantId": "fg-process-steward-KnowledgeBrokerLinks.EvaluationContext",
    "Principal": "principal-process-steward",
    "TargetField": "KnowledgeBrokerLinks.EvaluationContext",
    "CanRead": true,
    "CanWrite": false,
    "MaskStrategy": "plain",
    "SemanticTypeIri": "urn:effortless:pko-extension#FieldGrant",
    "Name": "principal-process-steward -&gt; KnowledgeBrokerLinks.EvaluationContext",
    "FieldTable": "KnowledgeBrokerLinks",
    "FieldName": "EvaluationContext",
    "FieldIsDerived": false,
    "IsWritableDerivedField": false,
    "IsMasked": false,
    "GrantKeyWhenReadable": "principal-process-steward|KnowledgeBrokerLinks"
   },
   {
    "FieldGrantId": "fg-process-steward-KnowledgeBrokerLinks.AsOfInstant",
    "Principal": "principal-process-steward",
    "TargetField": "KnowledgeBrokerLinks.AsOfInstant",
    "CanRead": true,
    "CanWrite": false,
    "MaskStrategy": "plain",
    "SemanticTypeIri": "urn:effortless:pko-extension#FieldGrant",
    "Name": "principal-process-steward -&gt; KnowledgeBrokerLinks.AsOfInstant",
    "FieldTable": "KnowledgeBrokerLinks",
    "FieldName": "AsOfInstant",
    "FieldIsDerived": true,
    "IsWritableDerivedField": false,
    "IsMasked": false,
    "GrantKeyWhenReadable": "principal-process-steward|KnowledgeBrokerLinks"
   },
   {
    "FieldGrantId": "fg-process-steward-KnowledgeBrokerLinks.DaysSinceConsulted",
    "Principal": "principal-process-steward",
    "TargetField": "KnowledgeBrokerLinks.DaysSinceConsulted",
    "CanRead": true,
    "CanWrite": false,
    "MaskStrategy": "plain",
    "SemanticTypeIri": "urn:effortless:pko-extension#FieldGrant",
    "Name": "principal-process-steward -&gt; KnowledgeBrokerLinks.DaysSinceConsulted",
    "FieldTable": "KnowledgeBrokerLinks",
    "FieldName": "DaysSinceConsulted",
    "FieldIsDerived": true,
    "IsWritableDerivedField": false,
    "IsMasked": false,
    "GrantKeyWhenReadable": "principal-process-steward|KnowledgeBrokerLinks"
   },
   {
    "FieldGrantId": "fg-process-steward-KnowledgeBrokerLinks.IsActiveReliance",
    "Principal": "principal-process-steward",
    "TargetField": "KnowledgeBrokerLinks.IsActiveReliance",
    "CanRead": true,
    "CanWrite": false,
    "MaskStrategy": "plain",
    "SemanticTypeIri": "urn:effortless:pko-extension#FieldGrant",
    "Name": "principal-process-steward -&gt; KnowledgeBrokerLinks.IsActiveReliance",
    "FieldTable": "KnowledgeBrokerLinks",
    "FieldName": "IsActiveReliance",
    "FieldIsDerived": true,
    "IsWritableDerivedField": false,
    "IsMasked": false,
    "GrantKeyWhenReadable": "principal-process-steward|KnowledgeBrokerLinks"
   },
   {
    "FieldGrantId": "fg-process-steward-KnowledgeBrokerLinks.BrokerIsStillEngaged",
    "Principal": "principal-process-steward",
    "TargetField": "KnowledgeBrokerLinks.BrokerIsStillEngaged",
    "CanRead": true,
    "CanWrite": false,
    "MaskStrategy": "plain",
    "SemanticTypeIri": "urn:effortless:pko-extension#FieldGrant",
    "Name": "principal-process-steward -&gt; KnowledgeBrokerLinks.BrokerIsStillEngaged",
    "FieldTable": "KnowledgeBrokerLinks",
    "FieldName": "BrokerIsStillEngaged",
    "FieldIsDerived": true,
    "IsWritableDerivedField": false,
    "IsMasked": false,
    "GrantKeyWhenReadable": "principal-process-steward|KnowledgeBrokerLinks"
   },
   {
    "FieldGrantId": "fg-process-steward-KnowledgeBrokerLinks.IsAtRiskReliance",
    "Principal": "principal-process-steward",
    "TargetField": "KnowledgeBrokerLinks.IsAtRiskReliance",
    "CanRead": true,
    "CanWrite": false,
    "MaskStrategy": "plain",
    "SemanticTypeIri": "urn:effortless:pko-extension#Fie</t>
  </si>
  <si>
    <t xml:space="preserve">ldGrant",
    "Name": "principal-process-steward -&gt; KnowledgeBrokerLinks.IsAtRiskReliance",
    "FieldTable": "KnowledgeBrokerLinks",
    "FieldName": "IsAtRiskReliance",
    "FieldIsDerived": true,
    "IsWritableDerivedField": false,
    "IsMasked": false,
    "GrantKeyWhenReadable": "principal-process-steward|KnowledgeBrokerLinks"
   },
   {
    "FieldGrantId": "fg-process-steward-KnowledgeBrokerLinks.ActiveRelianceBrokerKey",
    "Principal": "principal-process-steward",
    "TargetField": "KnowledgeBrokerLinks.ActiveRelianceBrokerKey",
    "CanRead": true,
    "CanWrite": false,
    "MaskStrategy": "plain",
    "SemanticTypeIri": "urn:effortless:pko-extension#FieldGrant",
    "Name": "principal-process-steward -&gt; KnowledgeBrokerLinks.ActiveRelianceBrokerKey",
    "FieldTable": "KnowledgeBrokerLinks",
    "FieldName": "ActiveRelianceBrokerKey",
    "FieldIsDerived": true,
    "IsWritableDerivedField": false,
    "IsMasked": false,
    "GrantKeyWhenReadable": "principal-process-steward|KnowledgeBrokerLinks"
   },
   {
    "FieldGrantId": "fg-process-steward-KnowledgeBrokerLinks.AtRiskBrokerKey",
    "Principal": "principal-process-steward",
    "TargetField": "KnowledgeBrokerLinks.AtRiskBrokerKey",
    "CanRead": true,
    "CanWrite": false,
    "MaskStrategy": "plain",
    "SemanticTypeIri": "urn:effortless:pko-extension#FieldGrant",
    "Name": "principal-process-steward -&gt; KnowledgeBrokerLinks.AtRiskBrokerKey",
    "FieldTable": "KnowledgeBrokerLinks",
    "FieldName": "AtRiskBrokerKey",
    "FieldIsDerived": true,
    "IsWritableDerivedField": false,
    "IsMasked": false,
    "GrantKeyWhenReadable": "principal-process-steward|KnowledgeBrokerLinks"
   },
   {
    "FieldGrantId": "fg-process-steward-KnowledgeBrokerLinks.SemanticTypeIri",
    "Principal": "principal-process-steward",
    "TargetField": "KnowledgeBrokerLinks.SemanticTypeIri",
    "CanRead": true,
    "CanWrite": false,
    "MaskStrategy": "plain",
    "SemanticTypeIri": "urn:effortless:pko-extension#FieldGrant",
    "Name": "principal-process-steward -&gt; KnowledgeBrokerLinks.SemanticTypeIri",
    "FieldTable": "KnowledgeBrokerLinks",
    "FieldName": "SemanticTypeIri",
    "FieldIsDerived": false,
    "IsWritableDerivedField": false,
    "IsMasked": false,
    "GrantKeyWhenReadable": "principal-process-steward|KnowledgeBrokerLinks"
   },
   {
    "FieldGrantId": "fg-process-steward-ProcedureVersions.MiningRunCount",
    "Principal": "principal-process-steward",
    "TargetField": "ProcedureVersions.MiningRunCount",
    "CanRead": true,
    "CanWrite": false,
    "MaskStrategy": "plain",
    "SemanticTypeIri": "urn:effortless:pko-extension#FieldGrant",
    "Name": "principal-process-steward -&gt; ProcedureVersions.MiningRunCount",
    "FieldTable": "ProcedureVersions",
    "FieldName": "MiningRunCount",
    "FieldIsDerived": true,
    "IsWritableDerivedField": false,
    "IsMasked": false,
    "GrantKeyWhenReadable": "principal-process-steward|ProcedureVersions"
   },
   {
    "FieldGrantId": "fg-process-steward-ProcedureVersions.DriftedMiningRunCount",
    "Principal": "principal-process-steward",
    "TargetField": "ProcedureVersions.DriftedMiningRunCount",
    "CanRead": true,
    "CanWrite": false,
    "MaskStrategy": "plain",
    "SemanticTypeIri": "urn:effortless:pko-extension#FieldGrant",
    "Name": "principal-process-steward -&gt; ProcedureVersions.DriftedMiningRunCount",
    "FieldTable": "ProcedureVersions",
    "FieldName": "DriftedMiningRunCount",
    "FieldIsDerived": true,
    "IsWritableDerivedField": false,
    "IsMasked": false,
    "GrantKeyWhenReadable": "principal-process-steward|ProcedureVersions"
   },
   {
    "FieldGrantId": "fg-process-steward-ProcedureVersions.HasUnresolvedMiningDrift",
    "Principal": "principal-process-steward",
    "TargetField": "ProcedureVersions.HasUnresolvedMiningDrift",
    "CanRead": true,
    "CanWrite": false,
    "MaskStrategy": "plain",
    "SemanticTypeIri": "urn:effortless:pko-extension#FieldGrant",
    "Name": "principal-process-steward -&gt; ProcedureVersions.HasUnresolvedMiningDrift",
    "FieldTable": "ProcedureVersions",
    "FieldName": "HasUnresolvedMiningDrift",
    "FieldIsDerived": true,
    "IsWritableDerivedField": false,
    "IsMasked": false,
    "GrantKeyWhenReadable": "principal-process-steward|ProcedureVersions"
   },
   {
    "FieldGrantId": "fg-process-steward-Requirements.ControlledTerm",
    "Principal": "principal-process-steward",
    "TargetField": "Requirements.ControlledTerm",
    "CanRead": true,
    "CanWrite": false,
    "MaskStrategy": "plain",
    "SemanticTypeIri": "urn:effortless:pko-extension#FieldGrant",
    "Name": "principal-process-steward -&gt; Requirements.ControlledTerm",
    "FieldTable": "Requirements",
    "FieldName": "ControlledTerm",
    "FieldIsDerived": false,
    "IsWritableDerivedField": false,
    "IsMasked": false,
    "GrantKeyWhenReadable": "principal-process-steward|Requirements"
   },
   {
    "FieldGrantId": "fg-process-steward-Requirements.UsesControlledVocabulary",
    "Principal": "principal-process-steward",
    "TargetField": "Requirements.UsesControlledVocabulary",
    "CanRead": true,
    "CanWrite": false,
    "MaskStrategy": "plain",
    "SemanticTypeIri": "urn:effortless:pko-extension#FieldGrant",
    "Name": "principal-process-steward -&gt; Requirements.UsesControlledVocabulary",
    "FieldTable": "Requirements",
    "FieldName": "UsesControlledVocabulary",
    "FieldIsDerived": true,
    "IsWritableDerivedField": false,
    "IsMasked": false,
    "GrantKeyWhenReadable": "principal-process-steward|Requirements"
   },
   {
    "FieldGrantId": "fg-process-steward-Agents.TimesNamedAsBroker",
    "Principal": "principal-process-steward",
    "TargetField": "Agents.TimesNamedAsBroker",
    "CanRead": true,
    "CanWrite": false,
    "MaskStrategy": "plain",
    "SemanticTypeIri": "urn:effortless:pko-extension#FieldGrant",
    "Name": "principal-process-steward -&gt; Agents.TimesNamedAsBroker",
    "FieldTable": "Agents",
    "FieldName": "TimesNamedAsBroker",
    "FieldIsDerived": true,
    "IsWritableDerivedField": false,
    "IsMasked": false,
    "GrantKeyWhenReadable": "principal-process-steward|Agents"
   },
   {
    "FieldGrantId": "fg-process-steward-Agents.IsRecognizedBroker",
    "Principal": "principal-process-steward",
    "TargetField": "Agents.IsRecognizedBroker",
    "CanRead": true,
    "CanWrite": false,
    "MaskStrategy": "plain",
    "SemanticTypeIri": "urn:effortless:pko-extension#FieldGrant",
    "Name": "principal-process-steward -&gt; Agents.IsRecognizedBroker",
    "FieldTable": "Agents",
    "FieldName": "IsRecognizedBroker",
    "FieldIsDerived": true,
    "IsWritableDerivedField": false,
    "IsMasked": false,
    "GrantKeyWhenReadable": "principal-process-steward|Agents"
   },
   {
    "FieldGrantId": "fg-process-steward-Agents.AtRiskRelianceCount",
    "Principal": "principal-process-steward",
    "TargetField": "Agents.AtRiskRelianceCount",
    "CanRead": true,
    "CanWrite": false,
    "MaskStrategy": "plain",
    "SemanticTypeIri": "urn:effortless:pko-extension#FieldGrant",
    "Name": "principal-process-steward -&gt; Agents.AtRiskRelianceCount",
    "FieldTable": "Agents",
    "FieldName": "AtRiskRelianceCount",
    "FieldIsDerived": true,
    "IsWritableDerivedField": false,
    "IsMasked": false,
    "GrantKeyWhenReadable": "principal-process-steward|Agents"
   },
   {
    "FieldGrantId": "fg-process-steward-Agents.HasAtRiskKnowledgeReliance",
    "Principal": "principal-process-steward",
    "TargetField": "Agents.HasAtRiskKnowledgeReliance",
    "CanRead": true,
    "CanWrite": false,
    "MaskStrategy": "plain",
    "SemanticTypeIri": "urn:effortless:pko-extension#FieldGrant",
    "Name": "principal-process-steward -&gt; Agents.HasAtRiskKnowledgeReliance",
    "FieldTable": "Agents",
    "FieldName": "HasAtRiskKnowledgeReliance",
    "FieldIsDerived": true,
    "IsWritableDerivedField": false,
    "IsMasked": false,
    "GrantKeyWhenReadable": "principal-process-steward|Agents"
   },
   {
    "FieldGrantId": "fg-knowledge-authority-ProcessMiningRuns.ProcessMiningRunId",
    "Principal": "principal-knowledge-authority",
    "TargetField": "ProcessMiningRuns.ProcessMiningRunId",
    "CanRead": true,
    "CanWrite": false,
    "MaskStrategy": "plain",
    "SemanticTypeIri": "urn:effortless:pko-extension#FieldGrant",
    "Name": "principal-knowledge-authority -&gt; ProcessMiningRuns.ProcessMiningRunId",
    "FieldTable": "ProcessMiningRuns",
    "FieldName": "ProcessMiningRunId",
    "FieldIsDerived": false,
    "IsWritableDerivedField": false,
    "IsMasked": false,
    "GrantKeyWhenReadable": "principal-knowledge-authority|ProcessMiningRuns"
   },
   {
    "FieldGrantId": "fg-knowledge-authority-ProcessMiningRuns.Name",
    "Principal": "principal-knowledge-authority",
    "TargetField": "ProcessMiningRuns.Name",
    "CanRead": true,
    "CanWrite": false,
    "MaskStrategy": "plain",
    "SemanticTypeIri": "urn:effortless:pko-extension#FieldGrant",
    "Name": "principal-knowledge-authority -&gt; ProcessMiningRuns.Name",
    "FieldTable": "ProcessMiningRuns",
    "FieldName": "Name",
    "FieldIsDerived": true,
    "IsWritableDerivedField": false,
    "IsMasked": false,
    "GrantKeyWhenReadable": "principal-knowledge-authority|ProcessMiningRuns"
   },
   {
    "FieldGrantId": "fg-knowledge-authority-ProcessMiningRuns.ProcedureVersion",
    "Principal": "principal-knowledge-authority",
    "TargetField": "ProcessMiningRuns.ProcedureVersion",
    "CanRead": true,
    "CanWrite": false,
    "MaskStrategy": "plain",
    "SemanticTypeIri": "urn:effortless:pko-extension#FieldGrant",
    "Name": "principal-knowledge-authority -&gt; ProcessMiningRuns.ProcedureVersion",
    "FieldTable": "ProcessMiningRuns",
    "FieldName": "ProcedureVersion",
    "FieldIsDerived": false,
    "IsWritableDerivedField": false,
    "IsMasked": false,
    "GrantKeyWhenReadable": "principal-knowledge-authority|ProcessMiningRuns"
   },
   {
    "FieldGrantId": "fg-knowledge-authority-ProcessMiningRuns.EventLogSource",
    "Principal": "principal-knowledge-authority",
    "TargetField": "ProcessMiningRuns.EventLogSource",
    "CanRead": true,
    "CanWrite": false,
    "MaskStrategy": "plain",
    "SemanticTypeIri": "urn:effortless:pko-extension#FieldGrant",
    "Name": "principal-knowledge-authority -&gt; ProcessMiningRuns.EventLogSource",
    "FieldTable": "ProcessMiningRuns",
    "FieldName": "EventLogSource",
    "FieldIsDerived": false,
    "IsWritableDerivedField": false,
    "IsMasked": false,
    "GrantKeyWhenReadable": "principal-knowledge-authority|ProcessMiningRuns"
   },
   {
    "FieldGrantId": "fg-knowledge-authority-ProcessMiningRuns.MinedAt",
    "Principal": "principal-knowledge-authority",
    "TargetField": "ProcessMiningRuns.MinedAt",
    "CanRead": true,
    "CanWrite": false,
    "MaskStrategy": "plain",
    "SemanticTypeIri": "urn:effortless:pko-extension#FieldGrant",
    "Name": "principal-knowledge-authority -&gt; ProcessMiningRuns.MinedAt",
    "FieldTable": "ProcessMiningRuns",
    "FieldName": "MinedAt",
    "FieldIsDerived": false,
    "IsWritableDerivedField": false,
    "IsMasked": false,
    "GrantKeyWhenReadable": "principal-knowledge-authority|ProcessMiningRuns"
   },
   {
    "FieldGrantId": "fg-knowledge-authority-ProcessMiningRuns.DiscoveredVariantCount",
    "Principal": "principal-knowledge-authority",
    "TargetField": "ProcessMiningRuns.DiscoveredVariantCount",
    "CanRead": true,
    "CanWrite": false,
    "MaskStrategy": "plain",
    "SemanticTypeIri": "urn:effortless:pko-extension#FieldGrant",
    "Name": "principal-knowledge-authority -&gt; ProcessMiningRuns.DiscoveredVariantCount",
    "FieldTable": "ProcessMiningRuns",
    "FieldName": "DiscoveredVariantCount",
    "FieldIsDerived": false,
    "IsWritableDerivedField": false,
    "IsMasked": false,
    "GrantKeyWhenReadable": "principal-knowledge-authority|ProcessMiningRuns"
   },
   {
    "FieldGrantId": "fg-knowledge-authority-ProcessMiningRuns.ConformingVariantCount",
    "Principal": "principal-knowledge-authority",
    "TargetField": "ProcessMiningRuns.ConformingVariantCount",
    "CanRead": true,
    "CanWrite": false,
    "MaskStrategy": "plain",
    "SemanticTypeIri": "urn:effortless:pko-extension#FieldGrant",
    "Name": "principal-knowledge-authority -&gt; ProcessMiningRuns.ConformingVariantCount",
    "FieldTable": "ProcessMiningRuns",
    "FieldName": "ConformingVariantCount",
    "FieldIsDerived": false,
    "IsWritableDerivedField": false,
    "IsMasked": false,
    "GrantKeyWhenReadable": "principal-knowledge-authority|ProcessMiningRuns"
   },
   {
    "FieldGrantId": "fg-knowledge-authority-ProcessMiningRuns.DeviationDescription",
    "Principal": "principal-knowledge-authority",
    "TargetField": "ProcessMiningRuns.DeviationDescription",
    "CanRead": true,
    "CanWrite": false,
    "MaskStrategy": "plain",
    "SemanticTypeIri": "urn:effortless:pko-extension#FieldGrant",
    "Name": "principal-knowledge-authority -&gt; ProcessMiningRuns.DeviationDescription",
    "FieldTable": "ProcessMiningRuns",
    "FieldName": "DeviationDescription",
    "FieldIsDerived": false,
    "IsWritableDerivedField": false,
    "IsMasked": false,
    "GrantKeyWhenReadable": "principal-knowledge-authority|ProcessMiningRuns"
   },
   {
    "FieldGrantId": "fg-knowledge-authority-ProcessMiningRuns.EvaluationContext",
    "Principal": "principal-knowledge-authority",
    "TargetField": "ProcessMiningRuns.EvaluationContext",
    "CanRead": true,
    "CanWrite": false,
    "MaskStrategy": "plain",
    "SemanticTypeIri": "urn:effortless:pko-extension#FieldGrant",
    "Name": "principal-knowledge-authority -&gt; ProcessMiningRuns.EvaluationContext",
    "FieldTable": "ProcessMiningRuns",
    "FieldName": "EvaluationContext",
    "FieldIsDerived": false,
    "IsWritableDerivedField": false,
    "IsMasked": false,
    "GrantKeyWhenReadable": "principal-knowledge-authority|ProcessMiningRuns"
   },
   {
    "FieldGrantId": "fg-knowledge-authority-ProcessMiningRuns.AsOfInstant",
    "Principal": "principal-knowledge-authority",
    "TargetField": "ProcessMiningRuns.AsOfInstant",
    "CanRead": true,
    "CanWrite": false,
    "MaskStrategy": "plain",
    "SemanticTypeIri": "urn:effortless:pko-extension#FieldGrant",
    "Name": "principal-knowledge-authority -&gt; ProcessMiningRuns.AsOfInstant",
    "FieldTable": "ProcessMiningRuns",
    "FieldName": "AsOfInstant",
    "FieldIsDerived": true,
    "IsWritableDerivedField": false,
    "IsMasked": false,
    "GrantKeyWhenReadable": "principal-knowledge-authority|ProcessMiningRuns"
   },
   {
    "FieldGrantId": "fg-knowledge-authority-ProcessMiningRuns.ConformanceRate",
    "Principal": "principal-knowledge-authority",
    "TargetField": "ProcessMiningRuns.ConformanceRate",
    "CanRead": true,
    "CanWrite": false,
    "MaskStrategy": "plain",
    "SemanticTypeIri": "urn:effortless:pko-extension#FieldGrant",
    "Name": "principal-knowledge-authority -&gt; ProcessMiningRuns.ConformanceRate",
    "FieldTable": "ProcessMiningRuns",
    "FieldName": "ConformanceRate",
    "FieldIsDerived": true,
    "IsWritableDerivedField": false,
    "IsMasked": false,
    "GrantKeyWhenReadable": "principal-knowledge-authority|ProcessMiningRuns"
   },
   {
    "FieldGrantId": "fg-knowledge-authority-ProcessMiningRuns.IsConformant",
    "Principal": "principal-knowledge-authority",
    "TargetField": "ProcessMiningRuns.IsConformant",
    "CanRead": true,
    "CanWrite": false,
    "MaskStrategy": "plain",
    "SemanticTypeIri": "urn:effortless:pko-extension#FieldGrant",
    "Name": "principal-knowledge-authority -&gt; ProcessMiningRuns.IsConformant",
    "FieldTable": "ProcessMiningRuns",
    "FieldName": "IsConformant",
    "FieldIsDerived": true,
    "IsWritableDerivedField": false,
    "IsMasked": false,
    "GrantKeyWhenReadable": "principal-knowledge-authority|ProcessMiningRuns"
   },
   {
    "FieldGrantId": "fg-knowledge-authority-ProcessMiningRuns.HasMajorDriftFromDocumentation",
    "Principal": "principal-knowledge-authority",
    "TargetField": "ProcessMiningRuns.HasMajorDriftFromDocumentation",
    "CanRead": true,
    "CanWrite": false,
    "MaskStrategy": "plain",
    "SemanticTypeIri": "urn:effortless:pko-extension#FieldGrant",
    "Name": "principal-knowledge-authority -&gt; ProcessMiningRuns.HasMajorDriftFromDocumentation",
    "FieldTable": "ProcessMiningRuns",
    "FieldName": "HasMajorDriftFromDocumentation",
    "FieldIsDerived": true,
    "IsWritableDerivedField": false,
    "IsMasked": false,
    "GrantKeyWhenReadable": "principal-knowledge-authority|ProcessMiningRuns"
   },
   {
    "FieldGrantId": "fg-knowledge-authority-ProcessMiningRuns.DaysSinceMined",
    "Principal": "principal-knowledge-authority",
    "TargetField": "ProcessMiningRuns.DaysSinceMined",
    "CanRead": true,
    "CanWrite": false,
    "MaskStrategy": "plain",
    "SemanticTypeIri": "urn:effortless:pko-extension#FieldGrant",
    "Name": "principal-knowledge-authority -&gt; ProcessMiningRuns.DaysSinceMined",
    "FieldTable": "ProcessMiningRuns",
    "FieldName": "DaysSinceMined",
    "FieldIsDerived": true,
    "IsWritableDerivedField": false,
    "IsMasked": false,
    "GrantKeyWhenReadable": "principal-knowledge-authority|ProcessMiningRuns"
   },
   {
    "FieldGrantId": "fg-knowledge-authority-ProcessMiningRuns.IsStaleMiningEvidence",
    "Principal": "principal-knowledge-authority",
    "TargetField": "ProcessMiningRuns.IsStaleMiningEvidence",
    "CanRead": true,
    "CanWrite": false,
    "MaskStrategy": "plain",
    "SemanticTypeIri": "urn:effortless:pko-extension#FieldGrant",
    "Name": "principal-knowledge-authority -&gt; ProcessMiningRuns.IsStaleMiningEvidence",
    "FieldTable": "ProcessMiningRuns",
    "FieldName": "IsStaleMiningEvidence",
    "FieldIsDerived": true,
    "IsWritableDerivedField": false,
    "IsMasked": false,
    "GrantKeyWhenReadable": "principal-knowledge-authority|ProcessMiningRuns"
   },
   {
    "FieldGrantId": "fg-knowledge-authority-ProcessMiningRuns.ProcedureVersionIsLive",
    "Principal": "principal-knowledge-authority",
    "TargetField": "ProcessMiningRuns.ProcedureVersionIsLive",
    "CanRead": true,
    "CanWrite": false,
    "MaskStrategy": "plain",
    "SemanticTypeIri": "urn:effortless:pko-extension#FieldGrant",
    "Name": "principal-knowledge-authority -&gt; ProcessMiningRuns.ProcedureVersionIsLive",
    "FieldTable": "ProcessMiningRuns",
    "FieldName": "ProcedureVersionIsLive",
    "FieldIsDerived": true,
    "IsWritableDerivedField": false,
    "IsMasked": false,
    "GrantKeyWhenReadable": "principal-knowledge-authority|ProcessMiningRuns"
   },
   {
    "FieldGrantId": "fg-knowledge-authority-ProcessMiningRuns.IsDriftOnLiveVersion",
    "Principal": "principal-knowledge-authority",
    "TargetField": "ProcessMiningRuns.IsDriftOnLiveVersion",
    "CanRead": true,
    "CanWrite": false,
    "MaskStrategy": "plain",
    "SemanticTypeIri": "urn:effortless:pko-extension#FieldGrant",
    "Name": "principal-knowledge-authority -&gt; ProcessMiningRuns.IsDriftOnLiveVersion",
    "FieldTable": "ProcessMiningRuns",
    "FieldName": "IsDriftOnLiveVersion",
    "FieldIsDerived": true,
    "IsWritableDerivedField": false,
    "IsMasked": false,
    "GrantKeyWhenReadable": "principal-knowledge-authority|ProcessMiningRuns"
   },
   {
    "FieldGrantId": "fg-knowledge-authority-ProcessMiningRuns.DriftedMiningRunKey",
    "Principal": "principal-knowledge-authority",
    "TargetField": "ProcessMiningRuns.DriftedMiningRunKey",
    "CanRead": true,
    "CanWrite": false,
    "MaskStrategy": "plain",
    "SemanticTypeIri": "urn:effortless:pko-extension#FieldGrant",
    "Name": "principal-knowledge-authority -&gt; ProcessMiningRuns.DriftedMiningRunKey",
    "FieldTable": "ProcessMiningRuns",
    "FieldName": "DriftedMiningRunKey",
    "FieldIsDerived": true,
    "IsWritableDerivedField": false,
    "IsMasked": false,
    "GrantKeyWhenReadable": "principal-knowledge-authority|ProcessMiningRuns"
   },
   {
    "FieldGrantId": "fg-knowledge-authority-ProcessMiningRuns.SemanticTypeIri",
    "Principal": "principal-knowledge-authority",
    "TargetField": "ProcessMiningRuns.SemanticTypeIri",
    "CanRead": true,
    "CanWrite": false,
    "MaskStrategy": "plain",
    "SemanticTypeIri": "urn:effortless:pko-extension#FieldGrant",
    "Name": "principal-knowledge-authority -&gt; ProcessMiningRuns.SemanticTypeIri",
    "FieldTable": "ProcessMiningRuns",
    "FieldName": "SemanticTypeIri",
    "FieldIsDerived": false,
    "IsWritableDerivedField": false,
    "IsMasked": false,
    "GrantKeyWhenReadable": "principal-knowledge-authority|ProcessMiningRuns"
   },
   {
    "FieldGrantId": "fg-knowledge-authority-Vocabularies.VocabularyId",
    "Principal": "principal-knowledge-authority",
    "TargetField": "Vocabularies.VocabularyId",
    "CanRead": true,
    "CanWrite": false,
    "MaskStrategy": "plain",
    "SemanticTypeIri": "urn:effortless:pko-extension#FieldGrant",
    "Name": "principal-knowledge-authority -&gt; Vocabularies.VocabularyId",
    "FieldTable": "Vocabularies",
    "FieldName": "VocabularyId",
    "FieldIsDerived": false,
    "IsWritableDerivedField": false,
    "IsMasked": false,
    "GrantKeyWhenReadable": "principal-knowledge-authority|Vocabularies"
   },
   {
    "FieldGrantId": "fg-knowledge-authority-Vocabularies.Name",
    "Principal": "principal-knowledge-authority",
    "TargetField": "Vocabularies.Name",
    "CanRead": true,
    "CanWrite": false,
    "MaskStrategy": "plain",
    "SemanticTypeIri": "urn:effortless:pko-extension#FieldGrant",
    "Name": "principal-knowledge-authority -&gt; Vocabularies.Name",
    "FieldTable": "Vocabularies",
    "FieldName": "Name",
    "FieldIsDerived": true,
    "IsWritableDerivedField": false,
    "IsMasked": false,
    "GrantKeyWhenReadable": "principal-knowledge-authority|Vocabularies"
   },
   {
    "FieldGrantId": "fg-knowledge-authority-Vocabularies.Title",
    "Principal": "principal-knowledge-authority",
    "TargetField": "Vocabularies.Title",
    "CanRead": true,
    "CanWrite": false,
    "MaskStrategy": "plain",
    "SemanticTypeIri": "urn:effortless:pko-extension#FieldGrant",
    "Name": "principal-knowledge-authority -&gt; Vocabularies.Title",
    "FieldTable": "Vocabularies",
    "FieldName": "Title",
    "FieldIsDerived": false,
    "IsWritableDerivedField": false,
    "IsMasked": false,
    "GrantKeyWhenReadable": "principal-knowledge-authority|Vocabularies"
   },
   {
    "FieldGrantId": "fg-knowledge-authority-Vocabularies.SchemeUri",
    "Principal": "principal-knowledge-authority",
    "TargetField": "Vocabularies.SchemeUri",
    "CanRead": true,
    "CanWrite": false,
    "MaskStrategy": "plain",
    "SemanticTypeIri": "urn:effortless:pko-extension#FieldGrant",
    "Name": "principal-knowledge-authority -&gt; Vocabularies.SchemeUri",
    "FieldTable": "Vocabularies",
    "FieldName": "SchemeUri",
    "FieldIsDerived": false,
    "IsWritableDerivedField": false,
    "IsMasked": false,
    "GrantKeyWhenReadable": "principal-knowledge-authority|Vocabularies"
   },
   {
    "FieldGrantId": "fg-knowledge-authority-Vocabularies.GoverningRole",
    "Principal": "principal-knowledge-authority",
    "TargetField": "Vocabularies.GoverningRole",
    "CanRead": true,
    "CanWrite": false,
    "MaskStrategy": "plain",
    "SemanticTypeIri": "urn:effortless:pko-extension#FieldGrant",
    "Name": "principal-knowledge-authority -&gt; Vocabularies.GoverningRole",
    "FieldTable": "Vocabularies",
    "FieldName": "GoverningRole",
    "FieldIsDerived": false,
    "IsWritableDerivedField": false,
    "IsMasked": false,
    "GrantKeyWhenReadable": "principal-knowledge-authority|Vocabularies"
   },
   {
    "FieldGrantId": "fg-knowledge-authority-Vocabularies.TermCount",
    "Principal": "principal-knowledge-authority",
    "TargetField": "Vocabularies.TermCount",
    "CanRead": true,
    "CanWrite": false,
    "MaskStrategy": "plain",
    "SemanticTypeIri": "urn:effortless:pko-extension#FieldGrant",
    "Name": "principal-knowledge-authority -&gt; Vocabularies.TermCount",
    "FieldTable": "Vocabularies",
    "FieldName": "TermCount",
    "FieldIsDerived": true,
    "IsWritableDerivedField": false,
    "IsMasked": false,
    "GrantKeyWhenReadable": "principal-knowledge-authority|Vocabularies"
   },
   {
    "FieldGrantId": "fg-knowledge-authority-Vocabularies.OrphanTermCount",
    "Principal": "principal-knowledge-authority",
    "TargetField": "Vocabularies.OrphanTermCount",
    "CanRead": true,
    "CanWrite": false,
    "MaskStrategy": "plain",
    "SemanticTypeIri": "urn:effortless:pko-extension#FieldGrant",
    "Name": "principal-knowledge-authority -&gt; Vocabularies.OrphanTermCount",
    "FieldTable": "Vocabularies",
    "FieldName": "OrphanTermCount",
    "FieldIsDerived": true,
    "IsWritableDerivedField": false,
    "IsMasked": false,
    "GrantKeyWhenReadable": "principal-knowledge-authority|Vocabularies"
   },
   {
    "FieldGrantId": "fg-knowledge-authority-Vocabularies.HasOrphanTerms",
    "Principal": "principal-knowledge-authority",
    "TargetField": "Vocabularies.HasOrphanTerms",
    "CanRead": true,
    "CanWrite": false,
    "MaskStrategy": "plain",
    "SemanticTypeIri": "urn:effortless:pko-extension#FieldGrant",
    "Name": "principal-knowledge-authority -&gt; Vocabularies.HasOrphanTerms",
    "FieldTable": "Vocabularies",
    "FieldName": "HasOrphanTerms",
    "FieldIsDerived": true,
    "IsWritableDerivedField": false,
    "IsMasked": false,
    "GrantKeyWhenReadable": "principal-knowledge-authority|Vocabularies"
   },
   {
    "FieldGrantId": "fg-knowledge-authority-Vocabularies.SemanticTypeIri",
    "Principal": "principal-knowledge-authority",
    "TargetField": "Vocabularies.SemanticTypeIri",
    "CanRead": true,
    "CanWrite": false,
    "MaskStrategy": "plain",
    "SemanticTypeIri": "urn:effortless:pko-extension#FieldGrant",
    "Name": "principal-knowledge-authority -&gt; Vocabularies.SemanticTypeIri",
    "FieldTable": "Vocabularies",
    "FieldName": "SemanticTypeIri",
    "FieldIsDerived": false,
    "IsWritableDerivedField": false,
    "IsMasked": false,
    "GrantKeyWhenReadable": "principal-knowledge-authority|Vocabularies"
   },
   {
    "FieldGrantId": "fg-knowledge-authority-VocabularyTerms.VocabularyTermId",
    "Principal": "principal-knowledge-authority",
    "TargetField": "VocabularyTerms.VocabularyTermId",
    "CanRead": true,
    "CanWrite": false,
    "MaskStrategy": "plain",
    "SemanticTypeIri": "urn:effortless:pko-extension#FieldGrant",
    "Name": "principal-knowledge-authority -&gt; VocabularyTerms.VocabularyTermId",
    "FieldTable": "VocabularyTerms",
    "FieldName": "VocabularyTermId",
    "FieldIsDerived": false,
    "IsWritableDerivedField": false,
    "IsMasked": false,
    "GrantKeyWhenReadable": "principal-knowledge-authority|VocabularyTerms"
   },
   {
    "FieldGrantId": "fg-knowledge-authority-VocabularyTerms.Name",
    "Principal": "principal-knowledge-authority",
    "TargetField": "VocabularyTerms.Name",
    "CanRead": true,
    "CanWrite": false,
    "MaskStrategy": "plain",
    "SemanticTypeIri": "urn:effortless:pko-extension#FieldGrant",
    "Name": "principal-knowledge-authority -&gt; VocabularyTerms.Name",
    "FieldTable": "VocabularyTerms",
    "FieldName": "Name",
    "FieldIsDerived": true,
    "IsWritableDerivedField": false,
    "IsMasked": false,
    "GrantKeyWhenReadable": "principal-knowledge-authority|VocabularyTerms"
   },
   {
    "FieldGrantId": "fg-knowledge-authority-VocabularyTerms.Vocabulary",
    "Principal": "principal-knowledge-authority",
    "TargetField": "VocabularyTerms.Vocabulary",
    "CanRead": true,
    "CanWrite": false,
    "MaskStrategy": "plain",
    "SemanticTypeIri": "urn:effortless:pko-extension#FieldGrant",
    "Name": "principal-knowledge-authority -&gt; VocabularyTerms.Vocabulary",
    "FieldTable": "VocabularyTerms",
    "FieldName": "Vocabulary",
    "FieldIsDerived": false,
    "IsWritableDerivedField": false,
    "IsMasked": false,
    "GrantKeyWhenReadable": "principal-knowledge-authority|VocabularyTerms"
   },
   {
    "FieldGrantId": "fg-knowledge-authority-VocabularyTerms.PrefLabel",
    "Principal": "principal-knowledge-authority",
    "TargetField": "VocabularyTerms.PrefLabel",
    "CanRead": true,
    "CanWrite": false,
    "MaskStrategy": "plain",
    "SemanticTypeIri": "urn:effortless:pko-extension#FieldGrant",
    "Name": "principal-knowledge-authority -&gt; VocabularyTerms.PrefLabel",
    "FieldTable": "VocabularyTerms",
    "FieldName": "PrefLabel",
    "FieldIsDerived": false,
    "IsWritableDerivedField": false,
    "IsMasked": false,
    "GrantKeyWhenReadable": "principal-knowledge-authority|VocabularyTerms"
   },
   {
    "FieldGrantId": "fg-knowledge-authority-VocabularyTerms.AltLabels",
    "Principal": "principal-knowledge-authority",
    "TargetField": "VocabularyTerms.AltLabels",
    "CanRead": true,
    "CanWrite": false,
    "MaskStrategy": "plain",
    "SemanticTypeIri": "urn:effortless:pko-extension#FieldGrant",
    "Name": "principal-knowledge-authority -&gt; VocabularyTerms.AltLabels",
    "FieldTable": "VocabularyTerms",
    "FieldName": "AltLabels",
    "FieldIsDerived": false,
    "IsWritableDerivedField": false,
    "IsMasked": false,
    "GrantKeyWhenReadable": "principal-knowledge-authority|VocabularyTerms"
   },
   {
    "FieldGrantId": "fg-knowledge-authority-VocabularyTerms.Definition",
    "Principal": "principal-knowledge-authority",
    "TargetField": "VocabularyTerms.Definition",
    "CanRead": true,
    "CanWrite": false,
    "MaskStrategy": "plain",
    "SemanticTypeIri": "urn:effortless:pko-extension#FieldGrant",
    "Name": "principal-knowledge-authority -&gt; VocabularyTerms.Definition",
    "FieldTable": "VocabularyTerms",
    "FieldName": "Definition",
    "FieldIsDerived": false,
    "IsWritableDerivedField": false,
    "IsMasked": false,
    "GrantKeyWhenReadable": "principal-knowledge-authority|VocabularyTerms"
   },
   {
    "FieldGrantId": "fg-knowledge-authority-VocabularyTerms.UsageCount",
    "Principal": "principal-knowledge-authority",
    "TargetField": "VocabularyTerms.UsageCount",
    "CanRead": true,
    "CanWrite": false,
    "MaskStrategy": "plain",
    "SemanticTypeIri": "urn:effortless:pko-extension#FieldGrant",
    "Name": "principal-knowledge-authority -&gt; VocabularyTerms.UsageCount",
    "FieldTable": "VocabularyTerms",
    "FieldName": "UsageCount",
    "FieldIsDerived": true,
    "IsWritableDerivedField": false,
    "IsMasked": false,
    "GrantKeyWhenReadable": "principal-knowledge-authority|VocabularyTerms"
   },
   {
    "FieldGrantId": "fg-knowledge-authority-VocabularyTerms.IsOrphanTerm",
    "Principal": "principal-knowledge-authority",
    "TargetField": "VocabularyTerms.IsOrphanTerm",
    "CanRead": true,
    "CanWrite": false,
    "MaskStrategy": "plain",
    "SemanticTypeIri": "urn:effortless:pko-extension#FieldGrant",
    "Name": "principal-knowledge-authority -&gt; VocabularyTerms.IsOrphanTerm",
    "FieldTable": "VocabularyTerms",
    "FieldName": "IsOrphanTerm",
    "FieldIsDerived": true,
    "IsWritableDerivedField": false,
    "IsMasked": false,
    "GrantKeyWhenReadable": "principal-knowledge-authority|VocabularyTerms"
   },
   {
    "FieldGrantId": "fg-knowledge-authority-VocabularyTerms.IsWidelyAdoptedTerm",
    "Principal": "principal-knowledge-authority",
    "TargetField": "VocabularyTerms.IsWidelyAdoptedTerm",
    "CanRead": true,
    "CanWrite": false,
    "MaskStrategy": "plain",
    "SemanticTypeIri": "urn:effortless:pko-extension#FieldGrant",
    "Name": "principal-knowledge-authority -&gt; VocabularyTerms.IsWidelyAdoptedTerm",
    "FieldTable": "VocabularyTerms",
    "FieldName": "IsWidelyAdoptedTerm",
    "FieldIsDerived": true,
    "IsWritableDerivedField": false,
    "IsMasked": false,
    "GrantKeyWhenReadable": "principal-knowledge-authority|VocabularyTerms"
   },
   {
    "FieldGrantId": "fg-knowledge-authority-VocabularyTerms.OrphanTermVocabularyKey",
    "Principal": "principal-knowledge-authority",
    "TargetField": "VocabularyTerms.OrphanTermVocabularyKey",
    "CanRead": true,
    "CanWrite": false,
    "MaskStrategy": "plain",
    "SemanticTypeIri": "urn:effortless:pko-extension#FieldGrant",
    "Name": "principal-knowledge-authority -&gt; VocabularyTerms.OrphanTermVocabularyKey",
    "FieldTable": "VocabularyTerms",
    "FieldName": "OrphanTermVocabularyKey",
    "FieldIsDerived": true,
    "IsWritableDerivedField": false,
    "IsMasked": false,
    "GrantKeyWhenReadable": "principal-knowledge-authority|VocabularyTerms"
   },
   {
    "FieldGrantId": "fg-knowledge-authority-VocabularyTerms.SemanticTypeIri",
    "Principal": "principal-knowledge-aut</t>
  </si>
  <si>
    <t xml:space="preserve">hority",
    "TargetField": "VocabularyTerms.SemanticTypeIri",
    "CanRead": true,
    "CanWrite": false,
    "MaskStrategy": "plain",
    "SemanticTypeIri": "urn:effortless:pko-extension#FieldGrant",
    "Name": "principal-knowledge-authority -&gt; VocabularyTerms.SemanticTypeIri",
    "FieldTable": "VocabularyTerms",
    "FieldName": "SemanticTypeIri",
    "FieldIsDerived": false,
    "IsWritableDerivedField": false,
    "IsMasked": false,
    "GrantKeyWhenReadable": "principal-knowledge-authority|VocabularyTerms"
   },
   {
    "FieldGrantId": "fg-knowledge-authority-KnowledgeBrokerLinks.KnowledgeBrokerLinkId",
    "Principal": "principal-knowledge-authority",
    "TargetField": "KnowledgeBrokerLinks.KnowledgeBrokerLinkId",
    "CanRead": true,
    "CanWrite": false,
    "MaskStrategy": "plain",
    "SemanticTypeIri": "urn:effortless:pko-extension#FieldGrant",
    "Name": "principal-knowledge-authority -&gt; KnowledgeBrokerLinks.KnowledgeBrokerLinkId",
    "FieldTable": "KnowledgeBrokerLinks",
    "FieldName": "KnowledgeBrokerLinkId",
    "FieldIsDerived": false,
    "IsWritableDerivedField": false,
    "IsMasked": false,
    "GrantKeyWhenReadable": "principal-knowledge-authority|KnowledgeBrokerLinks"
   },
   {
    "FieldGrantId": "fg-knowledge-authority-KnowledgeBrokerLinks.Name",
    "Principal": "principal-knowledge-authority",
    "TargetField": "KnowledgeBrokerLinks.Name",
    "CanRead": true,
    "CanWrite": false,
    "MaskStrategy": "plain",
    "SemanticTypeIri": "urn:effortless:pko-extension#FieldGrant",
    "Name": "principal-knowledge-authority -&gt; KnowledgeBrokerLinks.Name",
    "FieldTable": "KnowledgeBrokerLinks",
    "FieldName": "Name",
    "FieldIsDerived": true,
    "IsWritableDerivedField": false,
    "IsMasked": false,
    "GrantKeyWhenReadable": "principal-knowledge-authority|KnowledgeBrokerLinks"
   },
   {
    "FieldGrantId": "fg-knowledge-authority-KnowledgeBrokerLinks.Seeker",
    "Principal": "principal-knowledge-authority",
    "TargetField": "KnowledgeBrokerLinks.Seeker",
    "CanRead": true,
    "CanWrite": false,
    "MaskStrategy": "plain",
    "SemanticTypeIri": "urn:effortless:pko-extension#FieldGrant",
    "Name": "principal-knowledge-authority -&gt; KnowledgeBrokerLinks.Seeker",
    "FieldTable": "KnowledgeBrokerLinks",
    "FieldName": "Seeker",
    "FieldIsDerived": false,
    "IsWritableDerivedField": false,
    "IsMasked": false,
    "GrantKeyWhenReadable": "principal-knowledge-authority|KnowledgeBrokerLinks"
   },
   {
    "FieldGrantId": "fg-knowledge-authority-KnowledgeBrokerLinks.Broker",
    "Principal": "principal-knowledge-authority",
    "TargetField": "KnowledgeBrokerLinks.Broker",
    "CanRead": true,
    "CanWrite": false,
    "MaskStrategy": "plain",
    "SemanticTypeIri": "urn:effortless:pko-extension#FieldGrant",
    "Name": "principal-knowledge-authority -&gt; KnowledgeBrokerLinks.Broker",
    "FieldTable": "KnowledgeBrokerLinks",
    "FieldName": "Broker",
    "FieldIsDerived": false,
    "IsWritableDerivedField": false,
    "IsMasked": false,
    "GrantKeyWhenReadable": "principal-knowledge-authority|KnowledgeBrokerLinks"
   },
   {
    "FieldGrantId": "fg-knowledge-authority-KnowledgeBrokerLinks.Topic",
    "Principal": "principal-knowledge-authority",
    "TargetField": "KnowledgeBrokerLinks.Topic",
    "CanRead": true,
    "CanWrite": false,
    "MaskStrategy": "plain",
    "SemanticTypeIri": "urn:effortless:pko-extension#FieldGrant",
    "Name": "principal-knowledge-authority -&gt; KnowledgeBrokerLinks.Topic",
    "FieldTable": "KnowledgeBrokerLinks",
    "FieldName": "Topic",
    "FieldIsDerived": false,
    "IsWritableDerivedField": false,
    "IsMasked": false,
    "GrantKeyWhenReadable": "principal-knowledge-authority|KnowledgeBrokerLinks"
   },
   {
    "FieldGrantId": "fg-knowledge-authority-KnowledgeBrokerLinks.Frequency",
    "Principal": "principal-knowledge-authority",
    "TargetField": "KnowledgeBrokerLinks.Frequency",
    "CanRead": true,
    "CanWrite": false,
    "MaskStrategy": "plain",
    "SemanticTypeIri": "urn:effortless:pko-extension#FieldGrant",
    "Name": "principal-knowledge-authority -&gt; KnowledgeBrokerLinks.Frequency",
    "FieldTable": "KnowledgeBrokerLinks",
    "FieldName": "Frequency",
    "FieldIsDerived": false,
    "IsWritableDerivedField": false,
    "IsMasked": false,
    "GrantKeyWhenReadable": "principal-knowledge-authority|KnowledgeBrokerLinks"
   },
   {
    "FieldGrantId": "fg-knowledge-authority-KnowledgeBrokerLinks.LastConsultedAt",
    "Principal": "principal-knowledge-authority",
    "TargetField": "KnowledgeBrokerLinks.LastConsultedAt",
    "CanRead": true,
    "CanWrite": false,
    "MaskStrategy": "plain",
    "SemanticTypeIri": "urn:effortless:pko-extension#FieldGrant",
    "Name": "principal-knowledge-authority -&gt; KnowledgeBrokerLinks.LastConsultedAt",
    "FieldTable": "KnowledgeBrokerLinks",
    "FieldName": "LastConsultedAt",
    "FieldIsDerived": false,
    "IsWritableDerivedField": false,
    "IsMasked": false,
    "GrantKeyWhenReadable": "principal-knowledge-authority|KnowledgeBrokerLinks"
   },
   {
    "FieldGrantId": "fg-knowledge-authority-KnowledgeBrokerLinks.EvaluationContext",
    "Principal": "principal-knowledge-authority",
    "TargetField": "KnowledgeBrokerLinks.EvaluationContext",
    "CanRead": true,
    "CanWrite": false,
    "MaskStrategy": "plain",
    "SemanticTypeIri": "urn:effortless:pko-extension#FieldGrant",
    "Name": "principal-knowledge-authority -&gt; KnowledgeBrokerLinks.EvaluationContext",
    "FieldTable": "KnowledgeBrokerLinks",
    "FieldName": "EvaluationContext",
    "FieldIsDerived": false,
    "IsWritableDerivedField": false,
    "IsMasked": false,
    "GrantKeyWhenReadable": "principal-knowledge-authority|KnowledgeBrokerLinks"
   },
   {
    "FieldGrantId": "fg-knowledge-authority-KnowledgeBrokerLinks.AsOfInstant",
    "Principal": "principal-knowledge-authority",
    "TargetField": "KnowledgeBrokerLinks.AsOfInstant",
    "CanRead": true,
    "CanWrite": false,
    "MaskStrategy": "plain",
    "SemanticTypeIri": "urn:effortless:pko-extension#FieldGrant",
    "Name": "principal-knowledge-authority -&gt; KnowledgeBrokerLinks.AsOfInstant",
    "FieldTable": "KnowledgeBrokerLinks",
    "FieldName": "AsOfInstant",
    "FieldIsDerived": true,
    "IsWritableDerivedField": false,
    "IsMasked": false,
    "GrantKeyWhenReadable": "principal-knowledge-authority|KnowledgeBrokerLinks"
   },
   {
    "FieldGrantId": "fg-knowledge-authority-KnowledgeBrokerLinks.DaysSinceConsulted",
    "Principal": "principal-knowledge-authority",
    "TargetField": "KnowledgeBrokerLinks.DaysSinceConsulted",
    "CanRead": true,
    "CanWrite": false,
    "MaskStrategy": "plain",
    "SemanticTypeIri": "urn:effortless:pko-extension#FieldGrant",
    "Name": "principal-knowledge-authority -&gt; KnowledgeBrokerLinks.DaysSinceConsulted",
    "FieldTable": "KnowledgeBrokerLinks",
    "FieldName": "DaysSinceConsulted",
    "FieldIsDerived": true,
    "IsWritableDerivedField": false,
    "IsMasked": false,
    "GrantKeyWhenReadable": "principal-knowledge-authority|KnowledgeBrokerLinks"
   },
   {
    "FieldGrantId": "fg-knowledge-authority-KnowledgeBrokerLinks.IsActiveReliance",
    "Principal": "principal-knowledge-authority",
    "TargetField": "KnowledgeBrokerLinks.IsActiveReliance",
    "CanRead": true,
    "CanWrite": false,
    "MaskStrategy": "plain",
    "SemanticTypeIri": "urn:effortless:pko-extension#FieldGrant",
    "Name": "principal-knowledge-authority -&gt; KnowledgeBrokerLinks.IsActiveReliance",
    "FieldTable": "KnowledgeBrokerLinks",
    "FieldName": "IsActiveReliance",
    "FieldIsDerived": true,
    "IsWritableDerivedField": false,
    "IsMasked": false,
    "GrantKeyWhenReadable": "principal-knowledge-authority|KnowledgeBrokerLinks"
   },
   {
    "FieldGrantId": "fg-knowledge-authority-KnowledgeBrokerLinks.BrokerIsStillEngaged",
    "Principal": "principal-knowledge-authority",
    "TargetField": "KnowledgeBrokerLinks.BrokerIsStillEngaged",
    "CanRead": true,
    "CanWrite": false,
    "MaskStrategy": "plain",
    "SemanticTypeIri": "urn:effortless:pko-extension#FieldGrant",
    "Name": "principal-knowledge-authority -&gt; KnowledgeBrokerLinks.BrokerIsStillEngaged",
    "FieldTable": "KnowledgeBrokerLinks",
    "FieldName": "BrokerIsStillEngaged",
    "FieldIsDerived": true,
    "IsWritableDerivedField": false,
    "IsMasked": false,
    "GrantKeyWhenReadable": "principal-knowledge-authority|KnowledgeBrokerLinks"
   },
   {
    "FieldGrantId": "fg-knowledge-authority-KnowledgeBrokerLinks.IsAtRiskReliance",
    "Principal": "principal-knowledge-authority",
    "TargetField": "KnowledgeBrokerLinks.IsAtRiskReliance",
    "CanRead": true,
    "CanWrite": false,
    "MaskStrategy": "plain",
    "SemanticTypeIri": "urn:effortless:pko-extension#FieldGrant",
    "Name": "principal-knowledge-authority -&gt; KnowledgeBrokerLinks.IsAtRiskReliance",
    "FieldTable": "KnowledgeBrokerLinks",
    "FieldName": "IsAtRiskReliance",
    "FieldIsDerived": true,
    "IsWritableDerivedField": false,
    "IsMasked": false,
    "GrantKeyWhenReadable": "principal-knowledge-authority|KnowledgeBrokerLinks"
   },
   {
    "FieldGrantId": "fg-knowledge-authority-KnowledgeBrokerLinks.ActiveRelianceBrokerKey",
    "Principal": "principal-knowledge-authority",
    "TargetField": "KnowledgeBrokerLinks.ActiveRelianceBrokerKey",
    "CanRead": true,
    "CanWrite": false,
    "MaskStrategy": "plain",
    "SemanticTypeIri": "urn:effortless:pko-extension#FieldGrant",
    "Name": "principal-knowledge-authority -&gt; KnowledgeBrokerLinks.ActiveRelianceBrokerKey",
    "FieldTable": "KnowledgeBrokerLinks",
    "FieldName": "ActiveRelianceBrokerKey",
    "FieldIsDerived": true,
    "IsWritableDerivedField": false,
    "IsMasked": false,
    "GrantKeyWhenReadable": "principal-knowledge-authority|KnowledgeBrokerLinks"
   },
   {
    "FieldGrantId": "fg-knowledge-authority-KnowledgeBrokerLinks.AtRiskBrokerKey",
    "Principal": "principal-knowledge-authority",
    "TargetField": "KnowledgeBrokerLinks.AtRiskBrokerKey",
    "CanRead": true,
    "CanWrite": false,
    "MaskStrategy": "plain",
    "SemanticTypeIri": "urn:effortless:pko-extension#FieldGrant",
    "Name": "principal-knowledge-authority -&gt; KnowledgeBrokerLinks.AtRiskBrokerKey",
    "FieldTable": "KnowledgeBrokerLinks",
    "FieldName": "AtRiskBrokerKey",
    "FieldIsDerived": true,
    "IsWritableDerivedField": false,
    "IsMasked": false,
    "GrantKeyWhenReadable": "principal-knowledge-authority|KnowledgeBrokerLinks"
   },
   {
    "FieldGrantId": "fg-knowledge-authority-KnowledgeBrokerLinks.SemanticTypeIri",
    "Principal": "principal-knowledge-authority",
    "TargetField": "KnowledgeBrokerLinks.SemanticTypeIri",
    "CanRead": true,
    "CanWrite": false,
    "MaskStrategy": "plain",
    "SemanticTypeIri": "urn:effortless:pko-extension#FieldGrant",
    "Name": "principal-knowledge-authority -&gt; KnowledgeBrokerLinks.SemanticTypeIri",
    "FieldTable": "KnowledgeBrokerLinks",
    "FieldName": "SemanticTypeIri",
    "FieldIsDerived": false,
    "IsWritableDerivedField": false,
    "IsMasked": false,
    "GrantKeyWhenReadable": "principal-knowledge-authority|KnowledgeBrokerLinks"
   },
   {
    "FieldGrantId": "fg-knowledge-authority-ProcedureVersions.MiningRunCount",
    "Principal": "principal-knowledge-authority",
    "TargetField": "ProcedureVersions.MiningRunCount",
    "CanRead": true,
    "CanWrite": false,
    "MaskStrategy": "plain",
    "SemanticTypeIri": "urn:effortless:pko-extension#FieldGrant",
    "Name": "principal-knowledge-authority -&gt; ProcedureVersions.MiningRunCount",
    "FieldTable": "ProcedureVersions",
    "FieldName": "MiningRunCount",
    "FieldIsDerived": true,
    "IsWritableDerivedField": false,
    "IsMasked": false,
    "GrantKeyWhenReadable": "principal-knowledge-authority|ProcedureVersions"
   },
   {
    "FieldGrantId": "fg-knowledge-authority-ProcedureVersions.DriftedMiningRunCount",
    "Principal": "principal-knowledge-authority",
    "TargetField": "ProcedureVersions.DriftedMiningRunCount",
    "CanRead": true,
    "CanWrite": false,
    "MaskStrategy": "plain",
    "SemanticTypeIri": "urn:effortless:pko-extension#FieldGrant",
    "Name": "principal-knowledge-authority -&gt; ProcedureVersions.DriftedMiningRunCount",
    "FieldTable": "ProcedureVersions",
    "FieldName": "DriftedMiningRunCount",
    "FieldIsDerived": true,
    "IsWritableDerivedField": false,
    "IsMasked": false,
    "GrantKeyWhenReadable": "principal-knowledge-authority|ProcedureVersions"
   },
   {
    "FieldGrantId": "fg-knowledge-authority-ProcedureVersions.HasUnresolvedMiningDrift",
    "Principal": "principal-knowledge-authority",
    "TargetField": "ProcedureVersions.HasUnresolvedMiningDrift",
    "CanRead": true,
    "CanWrite": false,
    "MaskStrategy": "plain",
    "SemanticTypeIri": "urn:effortless:pko-extension#FieldGrant",
    "Name": "principal-knowledge-authority -&gt; ProcedureVersions.HasUnresolvedMiningDrift",
    "FieldTable": "ProcedureVersions",
    "FieldName": "HasUnresolvedMiningDrift",
    "FieldIsDerived": true,
    "IsWritableDerivedField": false,
    "IsMasked": false,
    "GrantKeyWhenReadable": "principal-knowledge-authority|ProcedureVersions"
   },
   {
    "FieldGrantId": "fg-knowledge-authority-Requirements.ControlledTerm",
    "Principal": "principal-knowledge-authority",
    "TargetField": "Requirements.ControlledTerm",
    "CanRead": true,
    "CanWrite": false,
    "MaskStrategy": "plain",
    "SemanticTypeIri": "urn:effortless:pko-extension#FieldGrant",
    "Name": "principal-knowledge-authority -&gt; Requirements.ControlledTerm",
    "FieldTable": "Requirements",
    "FieldName": "ControlledTerm",
    "FieldIsDerived": false,
    "IsWritableDerivedField": false,
    "IsMasked": false,
    "GrantKeyWhenReadable": "principal-knowledge-authority|Requirements"
   },
   {
    "FieldGrantId": "fg-knowledge-authority-Requirements.UsesControlledVocabulary",
    "Principal": "principal-knowledge-authority",
    "TargetField": "Requirements.UsesControlledVocabulary",
    "CanRead": true,
    "CanWrite": false,
    "MaskStrategy": "plain",
    "SemanticTypeIri": "urn:effortless:pko-extension#FieldGrant",
    "Name": "principal-knowledge-authority -&gt; Requirements.UsesControlledVocabulary",
    "FieldTable": "Requirements",
    "FieldName": "UsesControlledVocabulary",
    "FieldIsDerived": true,
    "IsWritableDerivedField": false,
    "IsMasked": false,
    "GrantKeyWhenReadable": "principal-knowledge-authority|Requirements"
   },
   {
    "FieldGrantId": "fg-knowledge-authority-Agents.TimesNamedAsBroker",
    "Principal": "principal-knowledge-authority",
    "TargetField": "Agents.TimesNamedAsBroker",
    "CanRead": true,
    "CanWrite": false,
    "MaskStrategy": "plain",
    "SemanticTypeIri": "urn:effortless:pko-extension#FieldGrant",
    "Name": "principal-knowledge-authority -&gt; Agents.TimesNamedAsBroker",
    "FieldTable": "Agents",
    "FieldName": "TimesNamedAsBroker",
    "FieldIsDerived": true,
    "IsWritableDerivedField": false,
    "IsMasked": false,
    "GrantKeyWhenReadable": "principal-knowledge-authority|Agents"
   },
   {
    "FieldGrantId": "fg-knowledge-authority-Agents.IsRecognizedBroker",
    "Principal": "principal-knowledge-authority",
    "TargetField": "Agents.IsRecognizedBroker",
    "CanRead": true,
    "CanWrite": false,
    "MaskStrategy": "plain",
    "SemanticTypeIri": "urn:effortless:pko-extension#FieldGrant",
    "Name": "principal-knowledge-authority -&gt; Agents.IsRecognizedBroker",
    "FieldTable": "Agents",
    "FieldName": "IsRecognizedBroker",
    "FieldIsDerived": true,
    "IsWritableDerivedField": false,
    "IsMasked": false,
    "GrantKeyWhenReadable": "principal-knowledge-authority|Agents"
   },
   {
    "FieldGrantId": "fg-knowledge-authority-Agents.AtRiskRelianceCount",
    "Principal": "principal-knowledge-authority",
    "TargetField": "Agents.AtRiskRelianceCount",
    "CanRead": true,
    "CanWrite": false,
    "MaskStrategy": "plain",
    "SemanticTypeIri": "urn:effortless:pko-extension#FieldGrant",
    "Name": "principal-knowledge-authority -&gt; Agents.AtRiskRelianceCount",
    "FieldTable": "Agents",
    "FieldName": "AtRiskRelianceCount",
    "FieldIsDerived": true,
    "IsWritableDerivedField": false,
    "IsMasked": false,
    "GrantKeyWhenReadable": "principal-knowledge-authority|Agents"
   },
   {
    "FieldGrantId": "fg-knowledge-authority-Agents.HasAtRiskKnowledgeReliance",
    "Principal": "principal-knowledge-authority",
    "TargetField": "Agents.HasAtRiskKnowledgeReliance",
    "CanRead": true,
    "CanWrite": false,
    "MaskStrategy": "plain",
    "SemanticTypeIri": "urn:effortless:pko-extension#FieldGrant",
    "Name": "principal-knowledge-authority -&gt; Agents.HasAtRiskKnowledgeReliance",
    "FieldTable": "Agents",
    "FieldName": "HasAtRiskKnowledgeReliance",
    "FieldIsDerived": true,
    "IsWritableDerivedField": false,
    "IsMasked": false,
    "GrantKeyWhenReadable": "principal-knowledge-authority|Agents"
   }
  ]
 },
 "RoleSchemas": {
  "Description": "One Postgres schema per principal -- the principal's entire visible world. The schema is the only entry on that principal's search_path, so a table absent from it cannot be named at all.",
  "important": true,
  "schema": [
   {
    "name": "RoleSchemaId",
    "datatype": "string",
    "type": "raw",
    "nullable": false,
    "Description": "Stored logical identifier, e.g. 'schema-controller'."
   },
   {
    "name": "Name",
    "datatype": "string",
    "type": "calculated",
    "nullable": true,
    "Description": "Human-readable calculated display alias.",
    "formula": "={{SchemaName}}"
   },
   {
    "name": "Principal",
    "datatype": "string",
    "type": "relationship",
    "nullable": true,
    "Description": "Principal that owns this schema.",
    "RelatedTo": "AccessPrincipals"
   },
   {
    "name": "SchemaName",
    "datatype": "string",
    "type": "raw",
    "nullable": true,
    "Description": "Postgres schema name, e.g. 'pko_controller'."
   },
   {
    "name": "SearchPath",
    "datatype": "string",
    "type": "calculated",
    "nullable": true,
    "Description": "search_path set for this principal's sessions. The principal's own schema only -- public is deliberately excluded so base tables cannot be named.",
    "formula": "={{SchemaName}}"
   },
   {
    "name": "IsSealed",
    "datatype": "boolean",
    "type": "raw",
    "nullable": true,
    "Description": "True when the principal may not create objects in its own schema."
   },
   {
    "name": "ViewCount",
    "datatype": "number",
    "type": "aggregation",
    "nullable": true,
    "Description": "Number of views exposed in this schema.",
    "formula": "=COUNTIFS(RoleSchemaViews!{{RoleSchema}}, {{RoleSchemaId}})"
   },
   {
    "name": "IsEmptySchema",
    "datatype": "boolean",
    "type": "calculated",
    "nullable": true,
    "Description": "True when the schema exposes no views, so the principal can read nothing at all.",
    "formula": "={{ViewCount}} = 0"
   },
   {
    "name": "SemanticTypeIri",
    "datatype": "string",
    "type": "raw",
    "nullable": true,
    "Description": "Semantic type IRI."
   }
  ],
  "data": [
   {
    "RoleSchemaId": "schema-finance-analyst",
    "Principal": "principal-finance-analyst",
    "SchemaName": "pko_finance_analyst",
    "IsSealed": true,
    "SemanticTypeIri": "urn:effortless:pko-extension#RoleSchema",
    "Name": "pko_finance_analyst",
    "SearchPath": "pko_finance_analyst",
    "ViewCount": 7,
    "IsEmptySchema": false
   },
   {
    "RoleSchemaId": "schema-controller",
    "Principal": "principal-controller",
    "SchemaName": "pko_controller",
    "IsSealed": true,
    "SemanticTypeIri": "urn:effortless:pko-extension#RoleSchema",
    "Name": "pko_controller",
    "SearchPath": "pko_controller",
    "ViewCount": 8,
    "IsEmptySchema": false
   },
   {
    "RoleSchemaId": "schema-cfo",
    "Principal": "principal-cfo",
    "SchemaName": "pko_cfo",
    "IsSealed": true,
    "SemanticTypeIri": "urn:effortless:pko-extension#RoleSchema",
    "Name": "pko_cfo",
    "SearchPath": "pko_cfo",
    "ViewCount": 5,
    "IsEmptySchema": false
   },
   {
    "RoleSchemaId": "schema-hr-policy-owner",
    "Principal": "principal-hr-policy-owner",
    "SchemaName": "pko_hr_policy_owner",
    "IsSealed": true,
    "SemanticTypeIri": "urn:effortless:pko-extension#RoleSchema",
    "Name": "pko_hr_policy_owner",
    "SearchPath": "pko_hr_policy_owner",
    "ViewCount": 6,
    "IsEmptySchema": false
   },
   {
    "RoleSchemaId": "schema-employment-counsel",
    "Principal": "principal-employment-counsel",
    "SchemaName": "pko_employment_counsel",
    "IsSealed": true,
    "SemanticTypeIri": "urn:effortless:pko-extension#RoleSchema",
    "Name": "pko_employment_counsel",
    "SearchPath": "pko_employment_counsel",
    "ViewCount": 5,
    "IsEmptySchema": false
   },
   {
    "RoleSchemaId": "schema-communications-manager",
    "Principal": "principal-communications-manager",
    "SchemaName": "pko_communications_manager",
    "IsSealed": true,
    "SemanticTypeIri": "urn:effortless:pko-extension#RoleSchema",
    "Name": "pko_communications_manager",
    "SearchPath": "pko_communications_manager",
    "ViewCount": 6,
    "IsEmptySchema": false
   },
   {
    "RoleSchemaId": "schema-close-automation",
    "Principal": "principal-close-automation",
    "SchemaName": "pko_close_automation",
    "IsSealed": true,
    "SemanticTypeIri": "urn:effortless:pko-extension#RoleSchema",
    "Name": "pko_close_automation",
    "SearchPath": "pko_close_automation",
    "ViewCount": 3,
    "IsEmptySchema": false
   },
   {
    "RoleSchemaId": "schema-variance-review-agent",
    "Principal": "principal-variance-review-agent",
    "SchemaName": "pko_variance_review_agent",
    "IsSealed": true,
    "SemanticTypeIri": "urn:effortless:pko-extension#RoleSchema",
    "Name": "pko_variance_review_agent",
    "SearchPath": "pko_variance_review_agent",
    "ViewCount": 5,
    "IsEmptySchema": false
   },
   {
    "RoleSchemaId": "schema-policy-drafting-agent",
    "Principal": "principal-policy-drafting-agent",
    "SchemaName": "pko_policy_drafting_agent",
    "IsSealed": true,
    "SemanticTypeIri": "urn:effortless:pko-extension#RoleSchema",
    "Name": "pko_policy_drafting_agent",
    "SearchPath": "pko_policy_drafting_agent",
    "ViewCount": 4,
    "IsEmptySchema": false
   },
   {
    "RoleSchemaId": "schema-notification-publisher",
    "Principal": "principal-notification-publisher",
    "SchemaName": "pko_notification_publisher",
    "IsSealed": true,
    "SemanticTypeIri": "urn:effortless:pko-extension#RoleSchema",
    "Name": "pko_notification_publisher",
    "SearchPath": "pko_notification_publisher",
    "ViewCount": 5,
    "IsEmptySchema": false
   },
   {
    "RoleSchemaId": "schema-process-steward",
    "Principal": "principal-process-steward",
    "SchemaName": "pko_process_steward",
    "IsSealed": true,
    "SemanticTypeIri": "urn:effortless:pko-extension#RoleSchema",
    "Name": "pko_process_steward",
    "SearchPath": "pko_process_steward",
    "ViewCount": 74,
    "IsEmptySchema": false
   },
   {
    "RoleSchemaId": "schema-knowledge-authority",
    "Principal": "principal-knowledge-authority",
    "SchemaName": "pko_knowledge_authority",
    "IsSealed": true,
    "SemanticTypeIri": "urn:effortless:pko-extension#RoleSchema",
    "Name": "pko_knowledge_authority",
    "SearchPath": "pko_knowledge_authority",
    "ViewCount": 74,
    "IsEmptySchema": false
   }
  ]
 },
 "RoleSchemaViews": {
  "Description": "The emitted views: one per principal x table. ColumnList is DERIVED from FieldGrants, so toggling a single grant changes the emitted DDL with no second edit anywhere. This is what makes an admin's save reshape the database without touching UI code.",
  "important": true,
  "schema": [
   {
    "name": "RoleSchemaViewId",
    "datatype": "string",
    "type": "raw",
    "nullable": false,
    "Description": "Stored logical identifier, e.g. 'rsv-controller-procedures'."
   },
   {
    "name": "Name",
    "datatype": "string",
    "type": "calculated",
    "nullable": true,
    "Description": "Human-readable calculated display alias.",
    "formula": "={{SchemaName}} &amp; \".\" &amp; {{ViewName}}"
   },
   {
    "name": "RoleSchema",
    "datatype": "string",
    "type": "relationship",
    "nullable": true,
    "Description": "Schema this view is emitted into.",
    "RelatedTo": "RoleSchemas"
   },
   {
    "name": "Principal",
    "datatype": "string",
    "type": "relationship",
    "nullable": true,
    "Description": "Principal that will read this view.",
    "RelatedTo": "AccessPrincipals"
   },
   {
    "name": "TargetTable",
    "datatype": "string",
    "type": "relationship",
    "nullable": true,
    "Description": "Rulebook table this view exposes.",
    "RelatedTo": "RulebookTables"
   },
   {
    "name": "ViewName",
    "datatype": "string",
    "type": "raw",
    "nullable": true,
    "Description": "Unqualified view name inside the principal's schema, e.g. 'procedures'."
   },
   {
    "name": "SchemaName",
    "datatype": "string",
    "type": "lookup",
    "nullable": true,
    "Description": "Schema name, from the owning RoleSchemas row.",
    "formula": "=INDEX(RoleSchemas!{{SchemaName}}, MATCH({{RoleSchema}}, RoleSchemas!{{RoleSchemaId}}, 0))"
   },
   {
    "name": "SourceView",
    "datatype": "string",
    "type": "lookup",
    "nullable": true,
    "Description": "Underlying computed view this narrows, e.g. 'vw_procedures'.",
    "formula": "=INDEX(RulebookTables!{{PhysicalView}}, MATCH({{TargetTable}}, RulebookTables!{{RulebookTableId}}, 0))"
   },
   {
    "name": "GrantKey",
    "datatype": "string",
    "type": "calculated",
    "nullable": true,
    "Description": "Composite key matching FieldGrants.GrantKeyWhenReadable, used to roll up this view's readable column count.",
    "formula": "={{Principal}} &amp; \"|\" &amp; {{TargetTable}}"
   },
   {
    "name": "ColumnCount",
    "datatype": "number",
    "type": "aggregation",
    "nullable": true,
    "Description": "Number of columns exposed, derived live from the principal's readable field grants. Change one grant and this view's shape changes.",
    "formula": "=COUNTIFS(FieldGrants!{{GrantKeyWhenReadable}}, {{GrantKey}})"
   },
   {
    "name": "TableFieldCount",
    "datatype": "number",
    "type": "lookup",
    "nullable": true,
    "Description": "Total catalogued fields on the target table.",
    "formula": "=INDEX(RulebookTables!{{FieldCount}}, MATCH({{TargetTable}}, RulebookTables!{{RulebookTableId}}, 0))"
   },
   {
    "name": "IsFullWidth",
    "datatype": "boolean",
    "type": "calculated",
    "nullable": true,
    "Description": "True when every field on the table is exposed, so the horizontal cut removes nothing.",
    "formula": "=AND({{ColumnCount}} &gt; 0, {{ColumnCount}} &gt;= {{TableFieldCount}})"
   },
   {
    "name": "IsDegenerateView",
    "datatype": "boolean",
    "type": "calculated",
    "nullable": true,
    "Description": "True when the view exposes zero columns -- an emitted view that cannot be selected from. A generator that emits this has produced invalid DDL.",
    "formula": "={{ColumnCount}} = 0"
   },
   {
    "name": "SemanticTypeIri",
    "datatype": "string",
    "type": "raw",
    "nullable": true,
    "Description": "Semantic type IRI."
   }
  ],
  "data": [
   {
    "RoleSchemaViewId": "rsv-finance-analyst-steps",
    "RoleSchema": "schema-finance-analyst",
    "Principal": "principal-finance-analyst",
    "TargetTable": "Steps",
    "ViewName": "steps",
    "SemanticTypeIri": "urn:effortless:pko-extension#RoleSchemaView",
    "Name": "pko_finance_analyst.steps",
    "SchemaName": "pko_finance_analyst",
    "SourceView": "vw_steps",
    "GrantKey": "principal-finance-analyst|Steps",
    "ColumnCount": 12,
    "TableFieldCount": 54.0,
    "IsFullWidth": false,
    "IsDegenerateView": false
   },
   {
    "RoleSchemaViewId": "rsv-finance-analyst-step_executions",
    "RoleSchema": "schema-finance-analyst",
    "Principal": "principal-finance-analyst",
    "TargetTable": "StepExecutions",
    "ViewName": "step_executions",
    "SemanticTypeIri": "urn:effortless:pko-extension#RoleSchemaView",
    "Name": "pko_finance_analyst.step_executions",
    "SchemaName": "pko_finance_analyst",
    "SourceView": "vw_step_executions",
    "GrantKey": "principal-finance-analyst|StepExecutions",
    "ColumnCount": 10,
    "TableFieldCount": 109,
    "IsFullWidth": false,
    "IsDegenerateView": false
   },
   {
    "RoleSchemaViewId": "rsv-finance-analyst-procedure_executions",
    "RoleSchema": "schema-finance-analyst",
    "Principal": "principal-finance-analyst",
    "TargetTable": "ProcedureExecutions",
    "ViewName": "procedure_executions",
    "SemanticTypeIri": "urn:effortless:pko-extension#RoleSchemaView",
    "Name": "pko_finance_analyst.procedure_executions",
    "SchemaName": "pko_finance_analyst",
    "SourceView": "vw_procedure_executions",
    "GrantKey": "principal-finance-analyst|ProcedureExecutions",
    "ColumnCount": 6,
    "TableFieldCount": 78,
    "IsFullWidth": false,
    "IsDegenerateView": false
   },
   {
    "RoleSchemaViewId": "rsv-finance-analyst-requirements",
    "RoleSchema": "schema-finance-analyst",
    "Principal": "principal-finance-analyst",
    "TargetTable": "Requirements",
    "ViewName": "requirements",
    "SemanticTypeIri": "urn:effortless:pko-extension#RoleSchemaView",
    "Name": "pko_finance_analyst.requirements",
    "SchemaName": "pko_finance_analyst",
    "SourceView": "vw_requirements",
    "GrantKey": "principal-finance-analyst|Requirements",
    "ColumnCount": 6,
    "TableFieldCount": 43,
    "IsFullWidth": false,
    "IsDegenerateView": false
   },
   {
    "RoleSchemaViewId": "rsv-finance-analyst-requirement_satisfactions",
    "RoleSchema": "schema-finance-analyst",
    "Principal": "principal-finance-analyst",
    "TargetTable": "RequirementSatisfactions",
    "ViewName": "requirement_satisfactions",
    "SemanticTypeIri": "urn:effortless:pko-extension#RoleSchemaView",
    "Name": "pko_finance_analyst.requirement_satisfactions",
    "SchemaName": "pko_finance_analyst",
    "SourceView": "vw_requirement_satisfactions",
    "GrantKey": "principal-finance-analyst|RequirementSatisfactions",
    "ColumnCount": 6,
    "TableFieldCount": 46,
    "IsFullWidth": false,
    "IsDegenerateView": false
   },
   {
    "RoleSchemaViewId": "rsv-finance-analyst-procedures",
    "RoleSchema": "schema-finance-analyst",
    "Principal": "principal-finance-analyst",
    "TargetTable": "Procedures",
    "ViewName": "procedures",
    "SemanticTypeIri": "urn:effortless:pko-extension#RoleSchemaView",
    "Name": "pko_finance_analyst.procedures",
    "SchemaName": "pko_finance_analyst",
    "SourceView": "vw_procedures",
    "GrantKey": "principal-finance-analyst|Procedures",
    "ColumnCount": 4,
    "TableFieldCount": 11,
    "IsFullWidth": false,
    "IsDegenerateView": false
   },
   {
    "RoleSchemaViewId": "rsv-finance-analyst-procedure_versions",
    "RoleSchema": "schema-finance-analyst",
    "Principal": "principal-finance-analyst",
    "TargetTable": "ProcedureVersions",
    "ViewName": "procedure_versions",
    "SemanticTypeIri": "urn:effortless:pko-extension#RoleSchemaView",
    "Name": "pko_finance_analyst.procedure_versions",
    "SchemaName": "pko_finance_analyst",
    "SourceView": "vw_procedure_versions",
    "GrantKey": "principal-finance-analyst|ProcedureVersions",
    "ColumnCount": 7,
    "TableFieldCount": 87.0,
    "IsFullWidth": false,
    "IsDegenerateView": false
   },
   {
    "RoleSchemaViewId": "rsv-controller-steps",
    "RoleSchema": "schema-controller",
    "Principal": "principal-controller",
    "TargetTable": "Steps",
    "ViewName": "steps",
    "SemanticTypeIri": "urn:effortless:pko-extension#RoleSchemaView",
    "Name": "pko_controller.steps",
    "SchemaName": "pko_controller",
    "SourceView": "vw_steps",
    "GrantKey": "principal-controller|Steps",
    "ColumnCount": 13,
    "TableFieldCount": 54.0,
    "IsFullWidth": false,
    "IsDegenerateView": false
   },
   {
    "RoleSchemaViewId": "rsv-controller-step_executions",
    "RoleSchema": "schema-controller",
    "Principal": "principal-controller",
    "TargetTable": "StepExecutions",
    "ViewName": "step_executions",
    "SemanticTypeIri": "urn:effortless:pko-extension#RoleSchemaView",
    "Name": "pko_controller.step_executions",
    "SchemaName": "pko_controller",
    "SourceView": "vw_step_executions",
    "GrantKey": "principal-controller|StepExecutions",
    "ColumnCount": 8,
    "TableFieldCount": 109,
    "IsFullWidth": false,</t>
  </si>
  <si>
    <t xml:space="preserve">
    "IsDegenerateView": false
   },
   {
    "RoleSchemaViewId": "rsv-controller-procedure_executions",
    "RoleSchema": "schema-controller",
    "Principal": "principal-controller",
    "TargetTable": "ProcedureExecutions",
    "ViewName": "procedure_executions",
    "SemanticTypeIri": "urn:effortless:pko-extension#RoleSchemaView",
    "Name": "pko_controller.procedure_executions",
    "SchemaName": "pko_controller",
    "SourceView": "vw_procedure_executions",
    "GrantKey": "principal-controller|ProcedureExecutions",
    "ColumnCount": 6,
    "TableFieldCount": 78,
    "IsFullWidth": false,
    "IsDegenerateView": false
   },
   {
    "RoleSchemaViewId": "rsv-controller-exceptions",
    "RoleSchema": "schema-controller",
    "Principal": "principal-controller",
    "TargetTable": "Exceptions",
    "ViewName": "exceptions",
    "SemanticTypeIri": "urn:effortless:pko-extension#RoleSchemaView",
    "Name": "pko_controller.exceptions",
    "SchemaName": "pko_controller",
    "SourceView": "vw_exceptions",
    "GrantKey": "principal-controller|Exceptions",
    "ColumnCount": 11,
    "TableFieldCount": 11,
    "IsFullWidth": true,
    "IsDegenerateView": false
   },
   {
    "RoleSchemaViewId": "rsv-controller-change_requests",
    "RoleSchema": "schema-controller",
    "Principal": "principal-controller",
    "TargetTable": "ChangeRequests",
    "ViewName": "change_requests",
    "SemanticTypeIri": "urn:effortless:pko-extension#RoleSchemaView",
    "Name": "pko_controller.change_requests",
    "SchemaName": "pko_controller",
    "SourceView": "vw_change_requests",
    "GrantKey": "principal-controller|ChangeRequests",
    "ColumnCount": 10,
    "TableFieldCount": 45,
    "IsFullWidth": false,
    "IsDegenerateView": false
   },
   {
    "RoleSchemaViewId": "rsv-controller-knowledge_fragments",
    "RoleSchema": "schema-controller",
    "Principal": "principal-controller",
    "TargetTable": "KnowledgeFragments",
    "ViewName": "knowledge_fragments",
    "SemanticTypeIri": "urn:effortless:pko-extension#RoleSchemaView",
    "Name": "pko_controller.knowledge_fragments",
    "SchemaName": "pko_controller",
    "SourceView": "vw_knowledge_fragments",
    "GrantKey": "principal-controller|KnowledgeFragments",
    "ColumnCount": 8,
    "TableFieldCount": 80,
    "IsFullWidth": false,
    "IsDegenerateView": false
   },
   {
    "RoleSchemaViewId": "rsv-controller-requirements",
    "RoleSchema": "schema-controller",
    "Principal": "principal-controller",
    "TargetTable": "Requirements",
    "ViewName": "requirements",
    "SemanticTypeIri": "urn:effortless:pko-extension#RoleSchemaView",
    "Name": "pko_controller.requirements",
    "SchemaName": "pko_controller",
    "SourceView": "vw_requirements",
    "GrantKey": "principal-controller|Requirements",
    "ColumnCount": 6,
    "TableFieldCount": 43,
    "IsFullWidth": false,
    "IsDegenerateView": false
   },
   {
    "RoleSchemaViewId": "rsv-controller-procedure_versions",
    "RoleSchema": "schema-controller",
    "Principal": "principal-controller",
    "TargetTable": "ProcedureVersions",
    "ViewName": "procedure_versions",
    "SemanticTypeIri": "urn:effortless:pko-extension#RoleSchemaView",
    "Name": "pko_controller.procedure_versions",
    "SchemaName": "pko_controller",
    "SourceView": "vw_procedure_versions",
    "GrantKey": "principal-controller|ProcedureVersions",
    "ColumnCount": 7,
    "TableFieldCount": 87.0,
    "IsFullWidth": false,
    "IsDegenerateView": false
   },
   {
    "RoleSchemaViewId": "rsv-cfo-procedure_executions",
    "RoleSchema": "schema-cfo",
    "Principal": "principal-cfo",
    "TargetTable": "ProcedureExecutions",
    "ViewName": "procedure_executions",
    "SemanticTypeIri": "urn:effortless:pko-extension#RoleSchemaView",
    "Name": "pko_cfo.procedure_executions",
    "SchemaName": "pko_cfo",
    "SourceView": "vw_procedure_executions",
    "GrantKey": "principal-cfo|ProcedureExecutions",
    "ColumnCount": 6,
    "TableFieldCount": 78,
    "IsFullWidth": false,
    "IsDegenerateView": false
   },
   {
    "RoleSchemaViewId": "rsv-cfo-exceptions",
    "RoleSchema": "schema-cfo",
    "Principal": "principal-cfo",
    "TargetTable": "Exceptions",
    "ViewName": "exceptions",
    "SemanticTypeIri": "urn:effortless:pko-extension#RoleSchemaView",
    "Name": "pko_cfo.exceptions",
    "SchemaName": "pko_cfo",
    "SourceView": "vw_exceptions",
    "GrantKey": "principal-cfo|Exceptions",
    "ColumnCount": 11,
    "TableFieldCount": 11,
    "IsFullWidth": true,
    "IsDegenerateView": false
   },
   {
    "RoleSchemaViewId": "rsv-cfo-change_requests",
    "RoleSchema": "schema-cfo",
    "Principal": "principal-cfo",
    "TargetTable": "ChangeRequests",
    "ViewName": "change_requests",
    "SemanticTypeIri": "urn:effortless:pko-extension#RoleSchemaView",
    "Name": "pko_cfo.change_requests",
    "SchemaName": "pko_cfo",
    "SourceView": "vw_change_requests",
    "GrantKey": "principal-cfo|ChangeRequests",
    "ColumnCount": 9,
    "TableFieldCount": 45,
    "IsFullWidth": false,
    "IsDegenerateView": false
   },
   {
    "RoleSchemaViewId": "rsv-cfo-authority_boundaries",
    "RoleSchema": "schema-cfo",
    "Principal": "principal-cfo",
    "TargetTable": "AuthorityBoundaries",
    "ViewName": "authority_boundaries",
    "SemanticTypeIri": "urn:effortless:pko-extension#RoleSchemaView",
    "Name": "pko_cfo.authority_boundaries",
    "SchemaName": "pko_cfo",
    "SourceView": "vw_authority_boundaries",
    "GrantKey": "principal-cfo|AuthorityBoundaries",
    "ColumnCount": 7,
    "TableFieldCount": 33,
    "IsFullWidth": false,
    "IsDegenerateView": false
   },
   {
    "RoleSchemaViewId": "rsv-cfo-procedures",
    "RoleSchema": "schema-cfo",
    "Principal": "principal-cfo",
    "TargetTable": "Procedures",
    "ViewName": "procedures",
    "SemanticTypeIri": "urn:effortless:pko-extension#RoleSchemaView",
    "Name": "pko_cfo.procedures",
    "SchemaName": "pko_cfo",
    "SourceView": "vw_procedures",
    "GrantKey": "principal-cfo|Procedures",
    "ColumnCount": 4,
    "TableFieldCount": 11,
    "IsFullWidth": false,
    "IsDegenerateView": false
   },
   {
    "RoleSchemaViewId": "rsv-hr-policy-owner-steps",
    "RoleSchema": "schema-hr-policy-owner",
    "Principal": "principal-hr-policy-owner",
    "TargetTable": "Steps",
    "ViewName": "steps",
    "SemanticTypeIri": "urn:effortless:pko-extension#RoleSchemaView",
    "Name": "pko_hr_policy_owner.steps",
    "SchemaName": "pko_hr_policy_owner",
    "SourceView": "vw_steps",
    "GrantKey": "principal-hr-policy-owner|Steps",
    "ColumnCount": 12,
    "TableFieldCount": 54.0,
    "IsFullWidth": false,
    "IsDegenerateView": false
   },
   {
    "RoleSchemaViewId": "rsv-hr-policy-owner-knowledge_fragments",
    "RoleSchema": "schema-hr-policy-owner",
    "Principal": "principal-hr-policy-owner",
    "TargetTable": "KnowledgeFragments",
    "ViewName": "knowledge_fragments",
    "SemanticTypeIri": "urn:effortless:pko-extension#RoleSchemaView",
    "Name": "pko_hr_policy_owner.knowledge_fragments",
    "SchemaName": "pko_hr_policy_owner",
    "SourceView": "vw_knowledge_fragments",
    "GrantKey": "principal-hr-policy-owner|KnowledgeFragments",
    "ColumnCount": 10,
    "TableFieldCount": 80,
    "IsFullWidth": false,
    "IsDegenerateView": false
   },
   {
    "RoleSchemaViewId": "rsv-hr-policy-owner-knowledge_gaps",
    "RoleSchema": "schema-hr-policy-owner",
    "Principal": "principal-hr-policy-owner",
    "TargetTable": "KnowledgeGaps",
    "ViewName": "knowledge_gaps",
    "SemanticTypeIri": "urn:effortless:pko-extension#RoleSchemaView",
    "Name": "pko_hr_policy_owner.knowledge_gaps",
    "SchemaName": "pko_hr_policy_owner",
    "SourceView": "vw_knowledge_gaps",
    "GrantKey": "principal-hr-policy-owner|KnowledgeGaps",
    "ColumnCount": 8,
    "TableFieldCount": 28,
    "IsFullWidth": false,
    "IsDegenerateView": false
   },
   {
    "RoleSchemaViewId": "rsv-hr-policy-owner-change_requests",
    "RoleSchema": "schema-hr-policy-owner",
    "Principal": "principal-hr-policy-owner",
    "TargetTable": "ChangeRequests",
    "ViewName": "change_requests",
    "SemanticTypeIri": "urn:effortless:pko-extension#RoleSchemaView",
    "Name": "pko_hr_policy_owner.change_requests",
    "SchemaName": "pko_hr_policy_owner",
    "SourceView": "vw_change_requests",
    "GrantKey": "principal-hr-policy-owner|ChangeRequests",
    "ColumnCount": 10,
    "TableFieldCount": 45,
    "IsFullWidth": false,
    "IsDegenerateView": false
   },
   {
    "RoleSchemaViewId": "rsv-hr-policy-owner-exceptions",
    "RoleSchema": "schema-hr-policy-owner",
    "Principal": "principal-hr-policy-owner",
    "TargetTable": "Exceptions",
    "ViewName": "exceptions",
    "SemanticTypeIri": "urn:effortless:pko-extension#RoleSchemaView",
    "Name": "pko_hr_policy_owner.exceptions",
    "SchemaName": "pko_hr_policy_owner",
    "SourceView": "vw_exceptions",
    "GrantKey": "principal-hr-policy-owner|Exceptions",
    "ColumnCount": 11,
    "TableFieldCount": 11,
    "IsFullWidth": true,
    "IsDegenerateView": false
   },
   {
    "RoleSchemaViewId": "rsv-hr-policy-owner-message_templates",
    "RoleSchema": "schema-hr-policy-owner",
    "Principal": "principal-hr-policy-owner",
    "TargetTable": "MessageTemplates",
    "ViewName": "message_templates",
    "SemanticTypeIri": "urn:effortless:pko-extension#RoleSchemaView",
    "Name": "pko_hr_policy_owner.message_templates",
    "SchemaName": "pko_hr_policy_owner",
    "SourceView": "vw_message_templates",
    "GrantKey": "principal-hr-policy-owner|MessageTemplates",
    "ColumnCount": 5,
    "TableFieldCount": 26,
    "IsFullWidth": false,
    "IsDegenerateView": false
   },
   {
    "RoleSchemaViewId": "rsv-employment-counsel-change_requests",
    "RoleSchema": "schema-employment-counsel",
    "Principal": "principal-employment-counsel",
    "TargetTable": "ChangeRequests",
    "ViewName": "change_requests",
    "SemanticTypeIri": "urn:effortless:pko-extension#RoleSchemaView",
    "Name": "pko_employment_counsel.change_requests",
    "SchemaName": "pko_employment_counsel",
    "SourceView": "vw_change_requests",
    "GrantKey": "principal-employment-counsel|ChangeRequests",
    "ColumnCount": 9,
    "TableFieldCount": 45,
    "IsFullWidth": false,
    "IsDegenerateView": false
   },
   {
    "RoleSchemaViewId": "rsv-employment-counsel-knowledge_fragments",
    "RoleSchema": "schema-employment-counsel",
    "Principal": "principal-employment-counsel",
    "TargetTable": "KnowledgeFragments",
    "ViewName": "knowledge_fragments",
    "SemanticTypeIri": "urn:effortless:pko-extension#RoleSchemaView",
    "Name": "pko_employment_counsel.knowledge_fragments",
    "SchemaName": "pko_employment_counsel",
    "SourceView": "vw_knowledge_fragments",
    "GrantKey": "principal-employment-counsel|KnowledgeFragments",
    "ColumnCount": 8,
    "TableFieldCount": 80,
    "IsFullWidth": false,
    "IsDegenerateView": false
   },
   {
    "RoleSchemaViewId": "rsv-employment-counsel-authority_boundaries",
    "RoleSchema": "schema-employment-counsel",
    "Principal": "principal-employment-counsel",
    "TargetTable": "AuthorityBoundaries",
    "ViewName": "authority_boundaries",
    "SemanticTypeIri": "urn:effortless:pko-extension#RoleSchemaView",
    "Name": "pko_employment_counsel.authority_boundaries",
    "SchemaName": "pko_employment_counsel",
    "SourceView": "vw_authority_boundaries",
    "GrantKey": "principal-employment-counsel|AuthorityBoundaries",
    "ColumnCount": 6,
    "TableFieldCount": 33,
    "IsFullWidth": false,
    "IsDegenerateView": false
   },
   {
    "RoleSchemaViewId": "rsv-employment-counsel-communication_policies",
    "RoleSchema": "schema-employment-counsel",
    "Principal": "principal-employment-counsel",
    "TargetTable": "CommunicationPolicies",
    "ViewName": "communication_policies",
    "SemanticTypeIri": "urn:effortless:pko-extension#RoleSchemaView",
    "Name": "pko_employment_counsel.communication_policies",
    "SchemaName": "pko_employment_counsel",
    "SourceView": "vw_communication_policies",
    "GrantKey": "principal-employment-counsel|CommunicationPolicies",
    "ColumnCount": 8,
    "TableFieldCount": 22,
    "IsFullWidth": false,
    "IsDegenerateView": false
   },
   {
    "RoleSchemaViewId": "rsv-employment-counsel-steps",
    "RoleSchema": "schema-employment-counsel",
    "Principal": "principal-employment-counsel",
    "TargetTable": "Steps",
    "ViewName": "steps",
    "SemanticTypeIri": "urn:effortless:pko-extension#RoleSchemaView",
    "Name": "pko_employment_counsel.steps",
    "SchemaName": "pko_employment_counsel",
    "SourceView": "vw_steps",
    "GrantKey": "principal-employment-counsel|Steps",
    "ColumnCount": 9,
    "TableFieldCount": 54.0,
    "IsFullWidth": false,
    "IsDegenerateView": false
   },
   {
    "RoleSchemaViewId": "rsv-communications-manager-communication_policies",
    "RoleSchema": "schema-communications-manager",
    "Principal": "principal-communications-manager",
    "TargetTable": "CommunicationPolicies",
    "ViewName": "communication_policies",
    "SemanticTypeIri": "urn:effortless:pko-extension#RoleSchemaView",
    "Name": "pko_communications_manager.communication_policies",
    "SchemaName": "pko_communications_manager",
    "SourceView": "vw_communication_policies",
    "GrantKey": "principal-communications-manager|CommunicationPolicies",
    "ColumnCount": 22,
    "TableFieldCount": 22,
    "IsFullWidth": true,
    "IsDegenerateView": false
   },
   {
    "RoleSchemaViewId": "rsv-communications-manager-message_templates",
    "RoleSchema": "schema-communications-manager",
    "Principal": "principal-communications-manager",
    "TargetTable": "MessageTemplates",
    "ViewName": "message_templates",
    "SemanticTypeIri": "urn:effortless:pko-extension#RoleSchemaView",
    "Name": "pko_communications_manager.message_templates",
    "SchemaName": "pko_communications_manager",
    "SourceView": "vw_message_templates",
    "GrantKey": "principal-communications-manager|MessageTemplates",
    "ColumnCount": 7,
    "TableFieldCount": 26,
    "IsFullWidth": false,
    "IsDegenerateView": false
   },
   {
    "RoleSchemaViewId": "rsv-communications-manager-send_intents",
    "RoleSchema": "schema-communications-manager",
    "Principal": "principal-communications-manager",
    "TargetTable": "SendIntents",
    "ViewName": "send_intents",
    "SemanticTypeIri": "urn:effortless:pko-extension#RoleSchemaView",
    "Name": "pko_communications_manager.send_intents",
    "SchemaName": "pko_communications_manager",
    "SourceView": "vw_send_intents",
    "GrantKey": "principal-communications-manager|SendIntents",
    "ColumnCount": 7,
    "TableFieldCount": 100,
    "IsFullWidth": false,
    "IsDegenerateView": false
   },
   {
    "RoleSchemaViewId": "rsv-communications-manager-message_deliveries",
    "RoleSchema": "schema-communications-manager",
    "Principal": "principal-communications-manager",
    "TargetTable": "MessageDeliveries",
    "ViewName": "message_deliveries",
    "SemanticTypeIri": "urn:effortless:pko-extension#RoleSchemaView",
    "Name": "pko_communications_manager.message_deliveries",
    "SchemaName": "pko_communications_manager",
    "SourceView": "vw_message_deliveries",
    "GrantKey": "principal-communications-manager|MessageDeliveries",
    "ColumnCount": 8,
    "TableFieldCount": 94,
    "IsFullWidth": false,
    "IsDegenerateView": false
   },
   {
    "RoleSchemaViewId": "rsv-communications-manager-recipients",
    "RoleSchema": "schema-communications-manager",
    "Principal": "principal-communications-manager",
    "TargetTable": "Recipients",
    "ViewName": "recipients",
    "SemanticTypeIri": "urn:effortless:pko-extension#RoleSchemaView",
    "Name": "pko_communications_manager.recipients",
    "SchemaName": "pko_communications_manager",
    "SourceView": "vw_recipients",
    "GrantKey": "principal-communications-manager|Recipients",
    "ColumnCount": 6,
    "TableFieldCount": 15,
    "IsFullWidth": false,
    "IsDegenerateView": false
   },
   {
    "RoleSchemaViewId": "rsv-communications-manager-knowledge_gaps",
    "RoleSchema": "schema-communications-manager",
    "Principal": "principal-communications-manager",
    "TargetTable": "KnowledgeGaps",
    "ViewName": "knowledge_gaps",
    "SemanticTypeIri": "urn:effortless:pko-extension#RoleSchemaView",
    "Name": "pko_communications_manager.knowledge_gaps",
    "SchemaName": "pko_communications_manager",
    "SourceView": "vw_knowledge_gaps",
    "GrantKey": "principal-communications-manager|KnowledgeGaps",
    "ColumnCount": 7,
    "TableFieldCount": 28,
    "IsFullWidth": false,
    "IsDegenerateView": false
   },
   {
    "RoleSchemaViewId": "rsv-close-automation-steps",
    "RoleSchema": "schema-close-automation",
    "Principal": "principal-close-automation",
    "TargetTable": "Steps",
    "ViewName": "steps",
    "SemanticTypeIri": "urn:effortless:pko-extension#RoleSchemaView",
    "Name": "pko_close_automation.steps",
    "SchemaName": "pko_close_automation",
    "SourceView": "vw_steps",
    "GrantKey": "principal-close-automation|Steps",
    "ColumnCount": 10,
    "TableFieldCount": 54.0,
    "IsFullWidth": false,
    "IsDegenerateView": false
   },
   {
    "RoleSchemaViewId": "rsv-close-automation-step_executions",
    "RoleSchema": "schema-close-automation",
    "Principal": "principal-close-automation",
    "TargetTable": "StepExecutions",
    "ViewName": "step_executions",
    "SemanticTypeIri": "urn:effortless:pko-extension#RoleSchemaView",
    "Name": "pko_close_automation.step_executions",
    "SchemaName": "pko_close_automation",
    "SourceView": "vw_step_executions",
    "GrantKey": "principal-close-automation|StepExecutions",
    "ColumnCount": 7,
    "TableFieldCount": 109,
    "IsFullWidth": false,
    "IsDegenerateView": false
   },
   {
    "RoleSchemaViewId": "rsv-close-automation-errors",
    "RoleSchema": "schema-close-automation",
    "Principal": "principal-close-automation",
    "TargetTable": "Errors",
    "ViewName": "errors",
    "SemanticTypeIri": "urn:effortless:pko-extension#RoleSchemaView",
    "Name": "pko_close_automation.errors",
    "SchemaName": "pko_close_automation",
    "SourceView": "vw_errors",
    "GrantKey": "principal-close-automation|Errors",
    "ColumnCount": 6,
    "TableFieldCount": 6,
    "IsFullWidth": true,
    "IsDegenerateView": false
   },
   {
    "RoleSchemaViewId": "rsv-variance-review-agent-steps",
    "RoleSchema": "schema-variance-review-agent",
    "Principal": "principal-variance-review-agent",
    "TargetTable": "Steps",
    "ViewName": "steps",
    "SemanticTypeIri": "urn:effortless:pko-extension#RoleSchemaView",
    "Name": "pko_variance_review_agent.steps",
    "SchemaName": "pko_variance_review_agent",
    "SourceView": "vw_steps",
    "GrantKey": "principal-variance-review-agent|Steps",
    "ColumnCount": 9,
    "TableFieldCount": 54.0,
    "IsFullWidth": false,
    "IsDegenerateView": false
   },
   {
    "RoleSchemaViewId": "rsv-variance-review-agent-step_executions",
    "RoleSchema": "schema-variance-review-agent",
    "Principal": "principal-variance-review-agent",
    "TargetTable": "StepExecutions",
    "ViewName": "step_executions",
    "SemanticTypeIri": "urn:effortless:pko-extension#RoleSchemaView",
    "Name": "pko_variance_review_agent.step_executions",
    "SchemaName": "pko_variance_review_agent",
    "SourceView": "vw_step_executions",
    "GrantKey": "principal-variance-review-agent|StepExecutions",
    "ColumnCount": 9,
    "TableFieldCount": 109,
    "IsFullWidth": false,
    "IsDegenerateView": false
   },
   {
    "RoleSchemaViewId": "rsv-variance-review-agent-requirements",
    "RoleSchema": "schema-variance-review-agent",
    "Principal": "principal-variance-review-agent",
    "TargetTable": "Requirements",
    "ViewName": "requirements",
    "SemanticTypeIri": "urn:effortless:pko-extension#RoleSchemaView",
    "Name": "pko_variance_review_agent.requirements",
    "SchemaName": "pko_variance_review_agent",
    "SourceView": "vw_requirements",
    "GrantKey": "principal-variance-review-agent|Requirements",
    "ColumnCount": 6,
    "TableFieldCount": 43,
    "IsFullWidth": false,
    "IsDegenerateView": false
   },
   {
    "RoleSchemaViewId": "rsv-variance-review-agent-requirement_satisfactions",
    "RoleSchema": "schema-variance-review-agent",
    "Principal": "principal-variance-review-agent",
    "TargetTable": "RequirementSatisfactions",
    "ViewName": "requirement_satisfactions",
    "SemanticTypeIri": "urn:effortless:pko-extension#RoleSchemaView",
    "Name": "pko_variance_review_agent.requirement_satisfactions",
    "SchemaName": "pko_variance_review_agent",
    "SourceView": "vw_requirement_satisfactions",
    "GrantKey": "principal-variance-review-agent|RequirementSatisfactions",
    "ColumnCount": 5,
    "TableFieldCount": 46,
    "IsFullWidth": false,
    "IsDegenerateView": false
   },
   {
    "RoleSchemaViewId": "rsv-variance-review-agent-errors",
    "RoleSchema": "schema-variance-review-agent",
    "Principal": "principal-variance-review-agent",
    "TargetTable": "Errors",
    "ViewName": "errors",
    "SemanticTypeIri": "urn:effortless:pko-extension#RoleSchemaView",
    "Name": "pko_variance_review_agent.errors",
    "SchemaName": "pko_variance_review_agent",
    "SourceView": "vw_errors",
    "GrantKey": "principal-variance-review-agent|Errors",
    "ColumnCount": 6,
    "TableFieldCount": 6,
    "IsFullWidth": true,
    "IsDegenerateView": false
   },
   {
    "RoleSchemaViewId": "rsv-policy-drafting-agent-message_templates",
    "RoleSchema": "schema-policy-drafting-agent",
    "Principal": "principal-policy-drafting-agent",
    "TargetTable": "MessageTemplates",
    "ViewName": "message_templates",
    "SemanticTypeIri": "urn:effortless:pko-extension#RoleSchemaView",
    "Name": "pko_policy_drafting_agent.message_templates",
    "SchemaName": "pko_policy_drafting_agent",
    "SourceView": "vw_message_templates",
    "GrantKey": "principal-policy-drafting-agent|MessageTemplates",
    "ColumnCount": 6,
    "TableFieldCount": 26,
    "IsFullWidth": false,
    "IsDegenerateView": false
   },
   {
    "RoleSchemaViewId": "rsv-policy-drafting-agent-communication_policies",
    "RoleSchema": "schema-policy-drafting-agent",
    "Principal": "principal-policy-drafting-agent",
    "TargetTable": "CommunicationPolicies",
    "ViewName": "communication_policies",
    "SemanticTypeIri": "urn:effortless:pko-extension#RoleSchemaView",
    "Name": "pko_policy_drafting_agent.communication_policies",
    "SchemaName": "pko_policy_drafting_agent",
    "SourceView": "vw_communication_policies",
    "GrantKey": "principal-policy-drafting-agent|CommunicationPolicies",
    "ColumnCount": 9,
    "TableFieldCount": 22,
    "IsFullWidth": false,
    "IsDegenerateView": false
   },
   {
    "RoleSchemaViewId": "rsv-policy-drafting-agent-knowledge_fragments",
    "RoleSchema": "schema-policy-drafting-agent",
    "Principal": "principal-policy-drafting-agent",
    "TargetTable": "KnowledgeFragments",
    "ViewName": "knowledge_fragments",
    "SemanticTypeIri": "urn:effortless:pko-extension#RoleSchemaView",
    "Name": "pko_policy_drafting_agent.knowledge_fragments",
    "SchemaName": "pko_policy_drafting_agent",
    "SourceView": "vw_knowledge_fragments",
    "GrantKey": "principal-policy-drafting-agent|KnowledgeFragments",
    "ColumnCount": 5,
    "TableFieldCount": 80,
    "IsFullWidth": false,
    "IsDegenerateView": false
   },
   {
    "RoleSchemaViewId": "rsv-policy-drafting-agent-steps",
    "RoleSchema": "schema-policy-drafting-agent",
    "Principal": "principal-policy-drafting-agent",
    "TargetTable": "Steps",
    "ViewName": "steps",
    "SemanticTypeIri": "urn:effortless:pko-extension#RoleSchemaView",
    "Name": "pko_policy_drafting_agent.steps",
    "SchemaName": "pko_policy_drafting_agent",
    "SourceView": "vw_steps",
    "GrantKey": "principal-policy-drafting-agent|Steps",
    "ColumnCount": 9,
    "TableFieldCount": 54.0,
    "IsFullWidth": false,
    "IsDegenerateView": false
   },
   {
    "RoleSchemaViewId": "rsv-notification-publisher-communication_policies",
    "RoleSchema": "schema-notification-publisher",
    "Principal": "principal-notification-publisher",
    "TargetTable": "CommunicationPolicies",
    "ViewName": "communication_policies",
    "SemanticTypeIri": "urn:effortless:pko-extension#RoleSchemaView",
    "Name": "pko_notification_publisher.communication_policies",
    "SchemaName": "pko_notification_publisher",
    "SourceView": "vw_communication_policies",
    "GrantKey": "principal-notification-publisher|CommunicationPolicies",
    "ColumnCount": 9,
    "TableFieldCount": 22,
    "IsFullWidth": false,
    "IsDegenerateView": false
   },
   {
    "RoleSchemaViewId": "rsv-notification-publisher-send_intents",
    "RoleSchema": "schema-notification-publisher",
    "Principal": "principal-notification-publisher",
    "TargetTable": "SendIntents",
    "ViewName": "send_intents",
    "SemanticTypeIri": "urn:effortless:pko-extension#RoleSchemaView",
    "Name": "pko_notification_publisher.send_intents",
    "SchemaName": "pko_notification_publisher",
    "SourceView": "vw_send_intents",
    "GrantKey": "principal-notification-publisher|SendIntents",
    "ColumnCount": 6,
    "TableFieldCount": 100,
    "IsFullWidth": false,
    "IsDegenerateView": false
   },
   {
    "RoleSchemaViewId": "rsv-notification-publisher-message_deliveries",
    "RoleSchema": "schema-notification-publisher",
    "Principal": "principal-notification-publisher",
    "TargetTable": "MessageDeliveries",
    "ViewName": "message_deliveries",
    "SemanticTypeIri": "urn:effortless:pko-extension#RoleSchemaView",
    "Name": "pko_notification_publisher.message_deliveries",
    "SchemaName": "pko_notification_publisher",
    "SourceView": "vw_message_deliveries",
    "GrantKey": "principal-notification-publisher|MessageDeliveries",
    "ColumnCount": 7,
    "TableFieldCount": 94,
    "IsFullWidth": false,
    "IsDegenerateView": false
   },
   {
    "RoleSchemaViewId": "rsv-notification-publisher-recipients",
    "RoleSchema": "schema-notification-publisher",
    "Principal": "principal-notification-publisher",
    "TargetTable": "Recipients",
    "ViewName": "recipients",
    "SemanticTypeIri": "urn:effortless:pko-extension#RoleSchemaView",
    "Name": "pko_notification_publisher.recipients",
    "SchemaName": "pko_notification_publisher",
    "SourceView": "vw_recipients",
    "GrantKey": "principal-notification-publisher|Recipients",
    "ColumnCount": 5,
    "TableFieldCount": 15,
    "IsFullWidth": false,
    "IsDegenerateView": false
   },
   {
    "RoleSchemaViewId": "rsv-notification-publisher-steps",
    "RoleSchema": "schema-notification-publisher",
    "Principal": "principal-notification-publisher",
    "TargetTable": "Steps",
    "ViewName": "steps",
    "SemanticTypeIri": "urn:effortless:pko-extension#RoleSchemaView",
    "Name": "pko_notification_publisher.steps",
    "SchemaName": "pko_notification_publisher",
    "SourceView": "vw_steps",
    "GrantKey": "principal-notification-publisher|Steps",
    "ColumnCount": 9,
    "TableFieldCount": 54.0,
    "IsFullWidth": false,
    "IsDegenerateView": false
   },
   {
    "RoleSchemaViewId": "rsv-process-steward-actions",
    "RoleSchema": "schema-process-steward",
    "Principal": "principal-process-steward",
    "TargetTable": "Actions",
    "ViewName": "actions",
    "SemanticTypeIri": "urn:effortless:pko-extension#RoleSchemaView",
    "Name": "pko_process_steward.actions",
    "SchemaName": "pko_process_steward",
    "SourceView": "vw_actions",
    "GrantKey": "principal-process-steward|Actions",
    "ColumnCount": 5,
    "TableFieldCount": 5,
    "IsFullWidth": true,
    "IsDegenerateView": false
   },
   {
    "RoleSchemaViewId": "rsv-process-steward-agent_decision_records",
    "RoleSchema": "schema-process-steward",
    "Principal": "principal-process-steward",
    "TargetTable": "AgentDecisionRecords",
    "ViewName": "agent_decision_records",
    "SemanticTypeIri": "urn:effortless:pko-extension#RoleSchemaView",
    "Name": "pko_process_steward.agent_decision_records",
    "SchemaName": "pko_process_steward",
    "SourceView": "vw_agent_decision_records",
    "GrantKey": "principal-process-steward|AgentDecisionRecords",
    "ColumnCount": 40,
    "TableFieldCount": 40,
    "IsFullWidth": true,
    "IsDegenerateView": false
   },
   {
    "RoleSchemaViewId": "rsv-process-steward-agents",
    "RoleSchema": "schema-process-steward",
    "Principal": "principal-process-steward",
    "TargetTable": "Agents",
    "ViewName": "agents",
    "SemanticTypeIri": "urn:effortless:pko-extension#RoleSchemaView",
    "Name": "pko_process_steward.agents",
    "SchemaName": "pko_process_steward",
    "SourceView": "vw_agents",
    "GrantKey": "principal-process-steward|Agents",
    "ColumnCount": 23,
    "TableFieldCount": 23,
    "IsFullWidth": true,
    "IsDegenerateView": false
   },
   {
    "RoleSchemaViewId": "rsv-process-steward-app_nav_groups",
    "RoleSchema": "schema-process-steward",
    "Principal": "principal-process-steward",
    "TargetTable": "AppNavGroups",
    "ViewName": "app_nav_groups",
    "SemanticTypeIri": "urn:effortless:pko-extension#RoleSchemaView",
    "Name": "pko_process_steward.app_nav_groups",
    "SchemaName": "pko_process_steward",
    "SourceView": "vw_app_nav_groups",
    "GrantKey": "principal-process-steward|AppNavGroups",
    "ColumnCount": 5,
    "TableFieldCount": 5,
    "IsFullWidth": true,
    "IsDegenerateView": false
   },
   {
    "RoleSchemaViewId": "rsv-process-steward-app_role_profiles",
    "RoleSchema": "schema-process-steward",
    "Principal": "principal-process-steward",
    "TargetTable": "AppRoleProfiles",
    "ViewName": "app_role_profiles",
    "SemanticTypeIri": "urn:effortless:pko-extension#RoleSchemaView",
    "Name": "pko_process_steward.app_role_profiles",
    "SchemaName": "pko_process_steward",
    "SourceView": "vw_app_role_profiles",
    "GrantKey": "principal-process-steward|AppRoleProfiles",
    "ColumnCount": 12,
    "TableFieldCount": 12,
    "IsFullWidth": true,
    "IsDegenerateView": false
   },
   {
    "RoleSchemaViewId": "rsv-process-steward-app_route_questions",
    "RoleSchema": "schema-process-steward",
    "Principal": "principal-process-steward",
    "TargetTable": "AppRouteQuestions",
    "ViewName": "app_route_questions",
    "SemanticTypeIri": "urn:effortless:pko-extension#RoleSchemaView",
    "Name": "pko_process_steward.app_route_questions",
    "SchemaName": "pko_process_steward",
    "SourceView": "vw_app_route_questions",
    "GrantKey": "principal-process-steward|AppRouteQuestions",
    "ColumnCount": 5,
    "TableFieldCount": 5,
    "IsFullWidth": true,
    "IsDegenerateView": false
   },
   {
    "RoleSchemaViewId": "rsv-process-steward-app_route_references",
    "RoleSchema": "schema-process-steward",
    "Principal": "principal-process-steward",
    "TargetTable": "AppRouteReferences",
    "ViewName": "app_route_references",
    "SemanticTypeIri": "urn:effortless:pko-extension#RoleSchemaView",
    "Name": "pko_process_steward.app_route_references",
    "SchemaName": "pko_process_steward",
    "SourceView": "vw_app_route_references",
    "GrantKey": "principal-process-steward|AppRouteReferences",
    "ColumnCount": 5,
    "TableFieldCount": 5,
    "IsFullWidth": true,
    "IsDegenerateView": false
   },
   {
    "RoleSchemaViewId": "rsv-process-steward-app_routes",
    "RoleSchema": "schema-process-steward",
    "Principal": "principal-process-steward",
    "TargetTable": "AppRoutes",
    "ViewName": "app_routes",
    "SemanticTypeIri": "urn:effortless:pko-extension#RoleSchemaView",
    "Name": "pko_process_steward.app_routes",
    "SchemaName": "pko_process_steward",
    "SourceView": "vw_app_routes",
    "GrantKey": "principal-process-steward|AppRoutes",
    "ColumnCount": 18,
    "TableFieldCount": 18,
    "IsFullWidth": true,
    "IsDegenerateView": false
   },
   {
    "RoleSchemaViewId": "rsv-process-steward-attestations",
    "RoleSchema": "schema-process-steward",
    "Principal": "principal-process-steward",
    "TargetTable": "Attestations",
    "ViewName": "attestations",
    "SemanticTypeIri": "urn:effortless:pko-extension#RoleSchemaView",
    "Name": "pko_process_steward.attestations",
    "SchemaName": "pko_process_steward",
    "SourceView": "vw_attestations",
    "GrantKey": "principal-process-steward|Attestations",
    "ColumnCount": 12,
    "TableFieldCount": 12,
    "IsFullWidth": true,
    "IsDegenerateView": false
   },
   {
    "RoleSchemaV</t>
  </si>
  <si>
    <t xml:space="preserve">iewId": "rsv-process-steward-authority_boundaries",
    "RoleSchema": "schema-process-steward",
    "Principal": "principal-process-steward",
    "TargetTable": "AuthorityBoundaries",
    "ViewName": "authority_boundaries",
    "SemanticTypeIri": "urn:effortless:pko-extension#RoleSchemaView",
    "Name": "pko_process_steward.authority_boundaries",
    "SchemaName": "pko_process_steward",
    "SourceView": "vw_authority_boundaries",
    "GrantKey": "principal-process-steward|AuthorityBoundaries",
    "ColumnCount": 33,
    "TableFieldCount": 33,
    "IsFullWidth": true,
    "IsDegenerateView": false
   },
   {
    "RoleSchemaViewId": "rsv-process-steward-binding_observations",
    "RoleSchema": "schema-process-steward",
    "Principal": "principal-process-steward",
    "TargetTable": "BindingObservations",
    "ViewName": "binding_observations",
    "SemanticTypeIri": "urn:effortless:pko-extension#RoleSchemaView",
    "Name": "pko_process_steward.binding_observations",
    "SchemaName": "pko_process_steward",
    "SourceView": "vw_binding_observations",
    "GrantKey": "principal-process-steward|BindingObservations",
    "ColumnCount": 11,
    "TableFieldCount": 11,
    "IsFullWidth": true,
    "IsDegenerateView": false
   },
   {
    "RoleSchemaViewId": "rsv-process-steward-change_requests",
    "RoleSchema": "schema-process-steward",
    "Principal": "principal-process-steward",
    "TargetTable": "ChangeRequests",
    "ViewName": "change_requests",
    "SemanticTypeIri": "urn:effortless:pko-extension#RoleSchemaView",
    "Name": "pko_process_steward.change_requests",
    "SchemaName": "pko_process_steward",
    "SourceView": "vw_change_requests",
    "GrantKey": "principal-process-steward|ChangeRequests",
    "ColumnCount": 45,
    "TableFieldCount": 45,
    "IsFullWidth": true,
    "IsDegenerateView": false
   },
   {
    "RoleSchemaViewId": "rsv-process-steward-communication_policies",
    "RoleSchema": "schema-process-steward",
    "Principal": "principal-process-steward",
    "TargetTable": "CommunicationPolicies",
    "ViewName": "communication_policies",
    "SemanticTypeIri": "urn:effortless:pko-extension#RoleSchemaView",
    "Name": "pko_process_steward.communication_policies",
    "SchemaName": "pko_process_steward",
    "SourceView": "vw_communication_policies",
    "GrantKey": "principal-process-steward|CommunicationPolicies",
    "ColumnCount": 22,
    "TableFieldCount": 22,
    "IsFullWidth": true,
    "IsDegenerateView": false
   },
   {
    "RoleSchemaViewId": "rsv-process-steward-communities_of_practice",
    "RoleSchema": "schema-process-steward",
    "Principal": "principal-process-steward",
    "TargetTable": "CommunitiesOfPractice",
    "ViewName": "communities_of_practice",
    "SemanticTypeIri": "urn:effortless:pko-extension#RoleSchemaView",
    "Name": "pko_process_steward.communities_of_practice",
    "SchemaName": "pko_process_steward",
    "SourceView": "vw_communities_of_practice",
    "GrantKey": "principal-process-steward|CommunitiesOfPractice",
    "ColumnCount": 8,
    "TableFieldCount": 8,
    "IsFullWidth": true,
    "IsDegenerateView": false
   },
   {
    "RoleSchemaViewId": "rsv-process-steward-delivered_communications",
    "RoleSchema": "schema-process-steward",
    "Principal": "principal-process-steward",
    "TargetTable": "DeliveredCommunications",
    "ViewName": "delivered_communications",
    "SemanticTypeIri": "urn:effortless:pko-extension#RoleSchemaView",
    "Name": "pko_process_steward.delivered_communications",
    "SchemaName": "pko_process_steward",
    "SourceView": "vw_delivered_communications",
    "GrantKey": "principal-process-steward|DeliveredCommunications",
    "ColumnCount": 18,
    "TableFieldCount": 18,
    "IsFullWidth": true,
    "IsDegenerateView": false
   },
   {
    "RoleSchemaViewId": "rsv-process-steward-elicitation_sessions",
    "RoleSchema": "schema-process-steward",
    "Principal": "principal-process-steward",
    "TargetTable": "ElicitationSessions",
    "ViewName": "elicitation_sessions",
    "SemanticTypeIri": "urn:effortless:pko-extension#RoleSchemaView",
    "Name": "pko_process_steward.elicitation_sessions",
    "SchemaName": "pko_process_steward",
    "SourceView": "vw_elicitation_sessions",
    "GrantKey": "principal-process-steward|ElicitationSessions",
    "ColumnCount": 21,
    "TableFieldCount": 21,
    "IsFullWidth": true,
    "IsDegenerateView": false
   },
   {
    "RoleSchemaViewId": "rsv-process-steward-errors",
    "RoleSchema": "schema-process-steward",
    "Principal": "principal-process-steward",
    "TargetTable": "Errors",
    "ViewName": "errors",
    "SemanticTypeIri": "urn:effortless:pko-extension#RoleSchemaView",
    "Name": "pko_process_steward.errors",
    "SchemaName": "pko_process_steward",
    "SourceView": "vw_errors",
    "GrantKey": "principal-process-steward|Errors",
    "ColumnCount": 6,
    "TableFieldCount": 6,
    "IsFullWidth": true,
    "IsDegenerateView": false
   },
   {
    "RoleSchemaViewId": "rsv-process-steward-evaluation_contexts",
    "RoleSchema": "schema-process-steward",
    "Principal": "principal-process-steward",
    "TargetTable": "EvaluationContexts",
    "ViewName": "evaluation_contexts",
    "SemanticTypeIri": "urn:effortless:pko-extension#RoleSchemaView",
    "Name": "pko_process_steward.evaluation_contexts",
    "SchemaName": "pko_process_steward",
    "SourceView": "vw_evaluation_contexts",
    "GrantKey": "principal-process-steward|EvaluationContexts",
    "ColumnCount": 7,
    "TableFieldCount": 7,
    "IsFullWidth": true,
    "IsDegenerateView": false
   },
   {
    "RoleSchemaViewId": "rsv-process-steward-exception_invocations",
    "RoleSchema": "schema-process-steward",
    "Principal": "principal-process-steward",
    "TargetTable": "ExceptionInvocations",
    "ViewName": "exception_invocations",
    "SemanticTypeIri": "urn:effortless:pko-extension#RoleSchemaView",
    "Name": "pko_process_steward.exception_invocations",
    "SchemaName": "pko_process_steward",
    "SourceView": "vw_exception_invocations",
    "GrantKey": "principal-process-steward|ExceptionInvocations",
    "ColumnCount": 21,
    "TableFieldCount": 21,
    "IsFullWidth": true,
    "IsDegenerateView": false
   },
   {
    "RoleSchemaViewId": "rsv-process-steward-exceptions",
    "RoleSchema": "schema-process-steward",
    "Principal": "principal-process-steward",
    "TargetTable": "Exceptions",
    "ViewName": "exceptions",
    "SemanticTypeIri": "urn:effortless:pko-extension#RoleSchemaView",
    "Name": "pko_process_steward.exceptions",
    "SchemaName": "pko_process_steward",
    "SourceView": "vw_exceptions",
    "GrantKey": "principal-process-steward|Exceptions",
    "ColumnCount": 11,
    "TableFieldCount": 11,
    "IsFullWidth": true,
    "IsDegenerateView": false
   },
   {
    "RoleSchemaViewId": "rsv-process-steward-explanations",
    "RoleSchema": "schema-process-steward",
    "Principal": "principal-process-steward",
    "TargetTable": "Explanations",
    "ViewName": "explanations",
    "SemanticTypeIri": "urn:effortless:pko-extension#RoleSchemaView",
    "Name": "pko_process_steward.explanations",
    "SchemaName": "pko_process_steward",
    "SourceView": "vw_explanations",
    "GrantKey": "principal-process-steward|Explanations",
    "ColumnCount": 7,
    "TableFieldCount": 7,
    "IsFullWidth": true,
    "IsDegenerateView": false
   },
   {
    "RoleSchemaViewId": "rsv-process-steward-functions",
    "RoleSchema": "schema-process-steward",
    "Principal": "principal-process-steward",
    "TargetTable": "Functions",
    "ViewName": "functions",
    "SemanticTypeIri": "urn:effortless:pko-extension#RoleSchemaView",
    "Name": "pko_process_steward.functions",
    "SchemaName": "pko_process_steward",
    "SourceView": "vw_functions",
    "GrantKey": "principal-process-steward|Functions",
    "ColumnCount": 6,
    "TableFieldCount": 6,
    "IsFullWidth": true,
    "IsDegenerateView": false
   },
   {
    "RoleSchemaViewId": "rsv-process-steward-issue_occurrences",
    "RoleSchema": "schema-process-steward",
    "Principal": "principal-process-steward",
    "TargetTable": "IssueOccurrences",
    "ViewName": "issue_occurrences",
    "SemanticTypeIri": "urn:effortless:pko-extension#RoleSchemaView",
    "Name": "pko_process_steward.issue_occurrences",
    "SchemaName": "pko_process_steward",
    "SourceView": "vw_issue_occurrences",
    "GrantKey": "principal-process-steward|IssueOccurrences",
    "ColumnCount": 12,
    "TableFieldCount": 12,
    "IsFullWidth": true,
    "IsDegenerateView": false
   },
   {
    "RoleSchemaViewId": "rsv-process-steward-knowledge_fragments",
    "RoleSchema": "schema-process-steward",
    "Principal": "principal-process-steward",
    "TargetTable": "KnowledgeFragments",
    "ViewName": "knowledge_fragments",
    "SemanticTypeIri": "urn:effortless:pko-extension#RoleSchemaView",
    "Name": "pko_process_steward.knowledge_fragments",
    "SchemaName": "pko_process_steward",
    "SourceView": "vw_knowledge_fragments",
    "GrantKey": "principal-process-steward|KnowledgeFragments",
    "ColumnCount": 80,
    "TableFieldCount": 80,
    "IsFullWidth": true,
    "IsDegenerateView": false
   },
   {
    "RoleSchemaViewId": "rsv-process-steward-knowledge_gaps",
    "RoleSchema": "schema-process-steward",
    "Principal": "principal-process-steward",
    "TargetTable": "KnowledgeGaps",
    "ViewName": "knowledge_gaps",
    "SemanticTypeIri": "urn:effortless:pko-extension#RoleSchemaView",
    "Name": "pko_process_steward.knowledge_gaps",
    "SchemaName": "pko_process_steward",
    "SourceView": "vw_knowledge_gaps",
    "GrantKey": "principal-process-steward|KnowledgeGaps",
    "ColumnCount": 28,
    "TableFieldCount": 28,
    "IsFullWidth": true,
    "IsDegenerateView": false
   },
   {
    "RoleSchemaViewId": "rsv-process-steward-learning_activities",
    "RoleSchema": "schema-process-steward",
    "Principal": "principal-process-steward",
    "TargetTable": "LearningActivities",
    "ViewName": "learning_activities",
    "SemanticTypeIri": "urn:effortless:pko-extension#RoleSchemaView",
    "Name": "pko_process_steward.learning_activities",
    "SchemaName": "pko_process_steward",
    "SourceView": "vw_learning_activities",
    "GrantKey": "principal-process-steward|LearningActivities",
    "ColumnCount": 10,
    "TableFieldCount": 10,
    "IsFullWidth": true,
    "IsDegenerateView": false
   },
   {
    "RoleSchemaViewId": "rsv-process-steward-mentorships",
    "RoleSchema": "schema-process-steward",
    "Principal": "principal-process-steward",
    "TargetTable": "Mentorships",
    "ViewName": "mentorships",
    "SemanticTypeIri": "urn:effortless:pko-extension#RoleSchemaView",
    "Name": "pko_process_steward.mentorships",
    "SchemaName": "pko_process_steward",
    "SourceView": "vw_mentorships",
    "GrantKey": "principal-process-steward|Mentorships",
    "ColumnCount": 10,
    "TableFieldCount": 10,
    "IsFullWidth": true,
    "IsDegenerateView": false
   },
   {
    "RoleSchemaViewId": "rsv-process-steward-message_deliveries",
    "RoleSchema": "schema-process-steward",
    "Principal": "principal-process-steward",
    "TargetTable": "MessageDeliveries",
    "ViewName": "message_deliveries",
    "SemanticTypeIri": "urn:effortless:pko-extension#RoleSchemaView",
    "Name": "pko_process_steward.message_deliveries",
    "SchemaName": "pko_process_steward",
    "SourceView": "vw_message_deliveries",
    "GrantKey": "principal-process-steward|MessageDeliveries",
    "ColumnCount": 94,
    "TableFieldCount": 94,
    "IsFullWidth": true,
    "IsDegenerateView": false
   },
   {
    "RoleSchemaViewId": "rsv-process-steward-message_templates",
    "RoleSchema": "schema-process-steward",
    "Principal": "principal-process-steward",
    "TargetTable": "MessageTemplates",
    "ViewName": "message_templates",
    "SemanticTypeIri": "urn:effortless:pko-extension#RoleSchemaView",
    "Name": "pko_process_steward.message_templates",
    "SchemaName": "pko_process_steward",
    "SourceView": "vw_message_templates",
    "GrantKey": "principal-process-steward|MessageTemplates",
    "ColumnCount": 26,
    "TableFieldCount": 26,
    "IsFullWidth": true,
    "IsDegenerateView": false
   },
   {
    "RoleSchemaViewId": "rsv-process-steward-observed_transitions",
    "RoleSchema": "schema-process-steward",
    "Principal": "principal-process-steward",
    "TargetTable": "ObservedTransitions",
    "ViewName": "observed_transitions",
    "SemanticTypeIri": "urn:effortless:pko-extension#RoleSchemaView",
    "Name": "pko_process_steward.observed_transitions",
    "SchemaName": "pko_process_steward",
    "SourceView": "vw_observed_transitions",
    "GrantKey": "principal-process-steward|ObservedTransitions",
    "ColumnCount": 8,
    "TableFieldCount": 8,
    "IsFullWidth": true,
    "IsDegenerateView": false
   },
   {
    "RoleSchemaViewId": "rsv-process-steward-ontology_profiles",
    "RoleSchema": "schema-process-steward",
    "Principal": "principal-process-steward",
    "TargetTable": "OntologyProfiles",
    "ViewName": "ontology_profiles",
    "SemanticTypeIri": "urn:effortless:pko-extension#RoleSchemaView",
    "Name": "pko_process_steward.ontology_profiles",
    "SchemaName": "pko_process_steward",
    "SourceView": "vw_ontology_profiles",
    "GrantKey": "principal-process-steward|OntologyProfiles",
    "ColumnCount": 8,
    "TableFieldCount": 8,
    "IsFullWidth": true,
    "IsDegenerateView": false
   },
   {
    "RoleSchemaViewId": "rsv-process-steward-operational_bindings",
    "RoleSchema": "schema-process-steward",
    "Principal": "principal-process-steward",
    "TargetTable": "OperationalBindings",
    "ViewName": "operational_bindings",
    "SemanticTypeIri": "urn:effortless:pko-extension#RoleSchemaView",
    "Name": "pko_process_steward.operational_bindings",
    "SchemaName": "pko_process_steward",
    "SourceView": "vw_operational_bindings",
    "GrantKey": "principal-process-steward|OperationalBindings",
    "ColumnCount": 22,
    "TableFieldCount": 22,
    "IsFullWidth": true,
    "IsDegenerateView": false
   },
   {
    "RoleSchemaViewId": "rsv-process-steward-organizations",
    "RoleSchema": "schema-process-steward",
    "Principal": "principal-process-steward",
    "TargetTable": "Organizations",
    "ViewName": "organizations",
    "SemanticTypeIri": "urn:effortless:pko-extension#RoleSchemaView",
    "Name": "pko_process_steward.organizations",
    "SchemaName": "pko_process_steward",
    "SourceView": "vw_organizations",
    "GrantKey": "principal-process-steward|Organizations",
    "ColumnCount": 6,
    "TableFieldCount": 6,
    "IsFullWidth": true,
    "IsDegenerateView": false
   },
   {
    "RoleSchemaViewId": "rsv-process-steward-procedure_executions",
    "RoleSchema": "schema-process-steward",
    "Principal": "principal-process-steward",
    "TargetTable": "ProcedureExecutions",
    "ViewName": "procedure_executions",
    "SemanticTypeIri": "urn:effortless:pko-extension#RoleSchemaView",
    "Name": "pko_process_steward.procedure_executions",
    "SchemaName": "pko_process_steward",
    "SourceView": "vw_procedure_executions",
    "GrantKey": "principal-process-steward|ProcedureExecutions",
    "ColumnCount": 78,
    "TableFieldCount": 78,
    "IsFullWidth": true,
    "IsDegenerateView": false
   },
   {
    "RoleSchemaViewId": "rsv-process-steward-procedure_resources",
    "RoleSchema": "schema-process-steward",
    "Principal": "principal-process-steward",
    "TargetTable": "ProcedureResources",
    "ViewName": "procedure_resources",
    "SemanticTypeIri": "urn:effortless:pko-extension#RoleSchemaView",
    "Name": "pko_process_steward.procedure_resources",
    "SchemaName": "pko_process_steward",
    "SourceView": "vw_procedure_resources",
    "GrantKey": "principal-process-steward|ProcedureResources",
    "ColumnCount": 6,
    "TableFieldCount": 6,
    "IsFullWidth": true,
    "IsDegenerateView": false
   },
   {
    "RoleSchemaViewId": "rsv-process-steward-procedure_status_changes",
    "RoleSchema": "schema-process-steward",
    "Principal": "principal-process-steward",
    "TargetTable": "ProcedureStatusChanges",
    "ViewName": "procedure_status_changes",
    "SemanticTypeIri": "urn:effortless:pko-extension#RoleSchemaView",
    "Name": "pko_process_steward.procedure_status_changes",
    "SchemaName": "pko_process_steward",
    "SourceView": "vw_procedure_status_changes",
    "GrantKey": "principal-process-steward|ProcedureStatusChanges",
    "ColumnCount": 9,
    "TableFieldCount": 9,
    "IsFullWidth": true,
    "IsDegenerateView": false
   },
   {
    "RoleSchemaViewId": "rsv-process-steward-procedure_types",
    "RoleSchema": "schema-process-steward",
    "Principal": "principal-process-steward",
    "TargetTable": "ProcedureTypes",
    "ViewName": "procedure_types",
    "SemanticTypeIri": "urn:effortless:pko-extension#RoleSchemaView",
    "Name": "pko_process_steward.procedure_types",
    "SchemaName": "pko_process_steward",
    "SourceView": "vw_procedure_types",
    "GrantKey": "principal-process-steward|ProcedureTypes",
    "ColumnCount": 5,
    "TableFieldCount": 5,
    "IsFullWidth": true,
    "IsDegenerateView": false
   },
   {
    "RoleSchemaViewId": "rsv-process-steward-procedure_version_links",
    "RoleSchema": "schema-process-steward",
    "Principal": "principal-process-steward",
    "TargetTable": "ProcedureVersionLinks",
    "ViewName": "procedure_version_links",
    "SemanticTypeIri": "urn:effortless:pko-extension#RoleSchemaView",
    "Name": "pko_process_steward.procedure_version_links",
    "SchemaName": "pko_process_steward",
    "SourceView": "vw_procedure_version_links",
    "GrantKey": "principal-process-steward|ProcedureVersionLinks",
    "ColumnCount": 7,
    "TableFieldCount": 7,
    "IsFullWidth": true,
    "IsDegenerateView": false
   },
   {
    "RoleSchemaViewId": "rsv-process-steward-procedure_versions",
    "RoleSchema": "schema-process-steward",
    "Principal": "principal-process-steward",
    "TargetTable": "ProcedureVersions",
    "ViewName": "procedure_versions",
    "SemanticTypeIri": "urn:effortless:pko-extension#RoleSchemaView",
    "Name": "pko_process_steward.procedure_versions",
    "SchemaName": "pko_process_steward",
    "SourceView": "vw_procedure_versions",
    "GrantKey": "principal-process-steward|ProcedureVersions",
    "ColumnCount": 86,
    "TableFieldCount": 87.0,
    "IsFullWidth": false,
    "IsDegenerateView": false
   },
   {
    "RoleSchemaViewId": "rsv-process-steward-procedures",
    "RoleSchema": "schema-process-steward",
    "Principal": "principal-process-steward",
    "TargetTable": "Procedures",
    "ViewName": "procedures",
    "SemanticTypeIri": "urn:effortless:pko-extension#RoleSchemaView",
    "Name": "pko_process_steward.procedures",
    "SchemaName": "pko_process_steward",
    "SourceView": "vw_procedures",
    "GrantKey": "principal-process-steward|Procedures",
    "ColumnCount": 11,
    "TableFieldCount": 11,
    "IsFullWidth": true,
    "IsDegenerateView": false
   },
   {
    "RoleSchemaViewId": "rsv-process-steward-rationales",
    "RoleSchema": "schema-process-steward",
    "Principal": "principal-process-steward",
    "TargetTable": "Rationales",
    "ViewName": "rationales",
    "SemanticTypeIri": "urn:effortless:pko-extension#RoleSchemaView",
    "Name": "pko_process_steward.rationales",
    "SchemaName": "pko_process_steward",
    "SourceView": "vw_rationales",
    "GrantKey": "principal-process-steward|Rationales",
    "ColumnCount": 9,
    "TableFieldCount": 9,
    "IsFullWidth": true,
    "IsDegenerateView": false
   },
   {
    "RoleSchemaViewId": "rsv-process-steward-recipients",
    "RoleSchema": "schema-process-steward",
    "Principal": "principal-process-steward",
    "TargetTable": "Recipients",
    "ViewName": "recipients",
    "SemanticTypeIri": "urn:effortless:pko-extension#RoleSchemaView",
    "Name": "pko_process_steward.recipients",
    "SchemaName": "pko_process_steward",
    "SourceView": "vw_recipients",
    "GrantKey": "principal-process-steward|Recipients",
    "ColumnCount": 15,
    "TableFieldCount": 15,
    "IsFullWidth": true,
    "IsDegenerateView": false
   },
   {
    "RoleSchemaViewId": "rsv-process-steward-requirement_satisfactions",
    "RoleSchema": "schema-process-steward",
    "Principal": "principal-process-steward",
    "TargetTable": "RequirementSatisfactions",
    "ViewName": "requirement_satisfactions",
    "SemanticTypeIri": "urn:effortless:pko-extension#RoleSchemaView",
    "Name": "pko_process_steward.requirement_satisfactions",
    "SchemaName": "pko_process_steward",
    "SourceView": "vw_requirement_satisfactions",
    "GrantKey": "principal-process-steward|RequirementSatisfactions",
    "ColumnCount": 46,
    "TableFieldCount": 46,
    "IsFullWidth": true,
    "IsDegenerateView": false
   },
   {
    "RoleSchemaViewId": "rsv-process-steward-requirements",
    "RoleSchema": "schema-process-steward",
    "Principal": "principal-process-steward",
    "TargetTable": "Requirements",
    "ViewName": "requirements",
    "SemanticTypeIri": "urn:effortless:pko-extension#RoleSchemaView",
    "Name": "pko_process_steward.requirements",
    "SchemaName": "pko_process_steward",
    "SourceView": "vw_requirements",
    "GrantKey": "principal-process-steward|Requirements",
    "ColumnCount": 43,
    "TableFieldCount": 43,
    "IsFullWidth": true,
    "IsDegenerateView": false
   },
   {
    "RoleSchemaViewId": "rsv-process-steward-resources",
    "RoleSchema": "schema-process-steward",
    "Principal": "principal-process-steward",
    "TargetTable": "Resources",
    "ViewName": "resources",
    "SemanticTypeIri": "urn:effortless:pko-extension#RoleSchemaView",
    "Name": "pko_process_steward.resources",
    "SchemaName": "pko_process_steward",
    "SourceView": "vw_resources",
    "GrantKey": "principal-process-steward|Resources",
    "ColumnCount": 11,
    "TableFieldCount": 11,
    "IsFullWidth": true,
    "IsDegenerateView": false
   },
   {
    "RoleSchemaViewId": "rsv-process-steward-review_events",
    "RoleSchema": "schema-process-steward",
    "Principal": "principal-process-steward",
    "TargetTable": "ReviewEvents",
    "ViewName": "review_events",
    "SemanticTypeIri": "urn:effortless:pko-extension#RoleSchemaView",
    "Name": "pko_process_steward.review_events",
    "SchemaName": "pko_process_steward",
    "SourceView": "vw_review_events",
    "GrantKey": "principal-process-steward|ReviewEvents",
    "ColumnCount": 20,
    "TableFieldCount": 20,
    "IsFullWidth": true,
    "IsDegenerateView": false
   },
   {
    "RoleSchemaViewId": "rsv-process-steward-role_assignments",
    "RoleSchema": "schema-process-steward",
    "Principal": "principal-process-steward",
    "TargetTable": "RoleAssignments",
    "ViewName": "role_assignments",
    "SemanticTypeIri": "urn:effortless:pko-extension#RoleSchemaView",
    "Name": "pko_process_steward.role_assignments",
    "SchemaName": "pko_process_steward",
    "SourceView": "vw_role_assignments",
    "GrantKey": "principal-process-steward|RoleAssignments",
    "ColumnCount": 65,
    "TableFieldCount": 65,
    "IsFullWidth": true,
    "IsDegenerateView": false
   },
   {
    "RoleSchemaViewId": "rsv-process-steward-role_questions",
    "RoleSchema": "schema-process-steward",
    "Principal": "principal-process-steward",
    "TargetTable": "RoleQuestions",
    "ViewName": "role_questions",
    "SemanticTypeIri": "urn:effortless:pko-extension#RoleSchemaView",
    "Name": "pko_process_steward.role_questions",
    "SchemaName": "pko_process_steward",
    "SourceView": "vw_role_questions",
    "GrantKey": "principal-process-steward|RoleQuestions",
    "ColumnCount": 11,
    "TableFieldCount": 11,
    "IsFullWidth": true,
    "IsDegenerateView": false
   },
   {
    "RoleSchemaViewId": "rsv-process-steward-roles",
    "RoleSchema": "schema-process-steward",
    "Principal": "principal-process-steward",
    "TargetTable": "Roles",
    "ViewName": "roles",
    "SemanticTypeIri": "urn:effortless:pko-extension#RoleSchemaView",
    "Name": "pko_process_steward.roles",
    "SchemaName": "pko_process_steward",
    "SourceView": "vw_roles",
    "GrantKey": "principal-process-steward|Roles",
    "ColumnCount": 24,
    "TableFieldCount": 24,
    "IsFullWidth": true,
    "IsDegenerateView": false
   },
   {
    "RoleSchemaViewId": "rsv-process-steward-rulebook_fields",
    "RoleSchema": "schema-process-steward",
    "Principal": "principal-process-steward",
    "TargetTable": "RulebookFields",
    "ViewName": "rulebook_fields",
    "SemanticTypeIri": "urn:effortless:pko-extension#RoleSchemaView",
    "Name": "pko_process_steward.rulebook_fields",
    "SchemaName": "pko_process_steward",
    "SourceView": "vw_rulebook_fields",
    "GrantKey": "principal-process-steward|RulebookFields",
    "ColumnCount": 11,
    "TableFieldCount": 13,
    "IsFullWidth": false,
    "IsDegenerateView": false
   },
   {
    "RoleSchemaViewId": "rsv-process-steward-rulebook_releases",
    "RoleSchema": "schema-process-steward",
    "Principal": "principal-process-steward",
    "TargetTable": "RulebookReleases",
    "ViewName": "rulebook_releases",
    "SemanticTypeIri": "urn:effortless:pko-extension#RoleSchemaView",
    "Name": "pko_process_steward.rulebook_releases",
    "SchemaName": "pko_process_steward",
    "SourceView": "vw_rulebook_releases",
    "GrantKey": "principal-process-steward|RulebookReleases",
    "ColumnCount": 11,
    "TableFieldCount": 11,
    "IsFullWidth": true,
    "IsDegenerateView": false
   },
   {
    "RoleSchemaViewId": "rsv-process-steward-semantic_mappings",
    "RoleSchema": "schema-process-steward",
    "Principal": "principal-process-steward",
    "TargetTable": "SemanticMappings",
    "ViewName": "semantic_mappings",
    "SemanticTypeIri": "urn:effortless:pko-extension#RoleSchemaView",
    "Name": "pko_process_steward.semantic_mappings",
    "SchemaName": "pko_process_steward",
    "SourceView": "vw_semantic_mappings",
    "GrantKey": "principal-process-steward|SemanticMappings",
    "ColumnCount": 8,
    "TableFieldCount": 8,
    "IsFullWidth": true,
    "IsDegenerateView": false
   },
   {
    "RoleSchemaViewId": "rsv-process-steward-send_intents",
    "RoleSchema": "schema-process-steward",
    "Principal": "principal-process-steward",
    "TargetTable": "SendIntents",
    "ViewName": "send_intents",
    "SemanticTypeIri": "urn:effortless:pko-extension#RoleSchemaView",
    "Name": "pko_process_steward.send_intents",
    "SchemaName": "pko_process_steward",
    "SourceView": "vw_send_intents",
    "GrantKey": "principal-process-steward|SendIntents",
    "ColumnCount": 100,
    "TableFieldCount": 100,
    "IsFullWidth": true,
    "IsDegenerateView": false
   },
   {
    "RoleSchemaViewId": "rsv-process-steward-step_actions",
    "RoleSchema": "schema-process-steward",
    "Principal": "principal-process-steward",
    "TargetTable": "StepActions",
    "ViewName": "step_actions",
    "SemanticTypeIri": "urn:effortless:pko-extension#RoleSchemaView",
    "Name": "pko_process_steward.step_actions",
    "SchemaName": "pko_process_steward",
    "SourceView": "vw_step_actions",
    "GrantKey": "principal-process-steward|StepActions",
    "ColumnCount": 4,
    "TableFieldCount": 4,
    "IsFullWidth": true,
    "IsDegenerateView": false
   },
   {
    "RoleSchemaViewId": "rsv-process-steward-step_executions",
    "RoleSchema": "schema-process-steward",
    "Principal": "principal-process-steward",
    "TargetTable": "StepExecutions",
    "ViewName": "step_executions",
    "SemanticTypeIri": "urn:effortless:pko-extension#RoleSchemaView",
    "Name": "pko_process_steward.step_executions",
    "SchemaName": "pko_process_steward",
    "SourceView": "vw_step_executions",
    "GrantKey": "principal-process-steward|StepExecutions",
    "ColumnCount": 109,
    "TableFieldCount": 109,
    "IsFullWidth": true,
    "IsDegenerateView": false
   },
   {
    "RoleSchemaViewId": "rsv-process-steward-step_functions",
    "RoleSchema": "schema-process-steward",
    "Principal": "principal-process-steward",
    "TargetTable": "StepFunctions",
    "ViewName": "step_functions",
    "SemanticTypeIri": "urn:effortless:pko-extension#RoleSchemaView",
    "Name": "pko_process_steward.step_functions",
    "SchemaName": "pko_process_steward",
    "SourceView": "vw_step_functions",
    "GrantKey": "principal-process-steward|StepFunctions",
    "ColumnCount": 4,
    "TableFieldCount": 4,
    "IsFullWidth": true,
    "IsDegenerateView": false
   },
   {
    "RoleSchemaViewId": "rsv-process-steward-step_requirements",
    "RoleSchema": "schema-process-steward",
    "Principal": "principal-process-steward",
    "TargetTable": "StepRequirements",
    "ViewName": "step_requirements",
    "SemanticTypeIri": "urn:effortless:pko-extension#RoleSchemaView",
    "Name": "pko_process_steward.step_requirements",
    "SchemaName": "pko_process_steward",
    "SourceView": "vw_step_requirements",
    "GrantKey": "principal-process-steward|StepRequirements",
    "ColumnCount": 13,
    "TableFieldCount": 13,
    "IsFullWidth": true,
    "IsDegenerateView": false
   },
   {
    "RoleSchemaViewId": "rsv-process-steward-step_tools",
    "RoleSchema": "schema-process-steward",
    "Principal": "principal-process-steward",
    "TargetTable": "StepTools",
    "ViewName": "step_tools",
    "SemanticTypeIri": "urn:effortless:pko-extension#RoleSchemaView",
    "Name": "pko_process_steward.step_tools",
    "SchemaName": "pko_process_steward",
    "SourceView": "vw_step_tools",
    "GrantKey": "principal-process-steward|StepTools",
    "ColumnCount": 4,
    "TableFieldCount": 4,
    "IsFullWidth": true,
    "IsDegenerateView": false
   },
   {
    "RoleSchemaViewId": "rsv-process-steward-step_transitions",
    "RoleSchema": "schema-process-steward",
    "Principal": "principal-process-steward",
    "TargetTable": "StepTransitions",
    "ViewName": "step_transitions",
    "SemanticTypeIri": "urn:effortless:pko-extension#RoleSchemaView",
    "Name": "pko_process_steward.step_transitions",
    "SchemaName": "pko_process_steward",
    "SourceView": "vw_step_transitions",
    "GrantKey": "principal-process-steward|StepTransitions",
    "ColumnCount": 23,
    "TableFieldCount": 28.0,
    "IsFullWidth": false,
    "IsDegenerateView": false
   },
   {
    "RoleSchemaViewId": "rsv-process-steward-step_verifications",
    "RoleSchema": "schema-process-steward",
    "Principal": "principal-process-steward",
    "TargetTable": "StepVerifications",
    "ViewName": "step_verifications",
    "SemanticTypeIri": "urn:effortless:pko-extension#RoleSchemaView",
    "Name": "pko_process_steward.step_verifications",
    "SchemaName": "pko_process_steward",
    "SourceView": "vw_step_verifications",
    "GrantKey": "principal-process-steward|StepVerifications",
    "ColumnCount": 8,
    "TableFieldCount": 8,
    "IsFullWidth": true,
    "IsDegenerateView": false
   },
   {
    "RoleSchemaViewId": "rsv-process-steward-steps",
    "RoleSchema": "schema-process-steward",
    "Principal": "principal-process-steward",
    "TargetTable": "Steps",
    "ViewName": "steps",
    "SemanticTypeIri": "urn:effortless:pko-extension#RoleSchemaView",
    "Name": "pko_process_steward.steps",
    "SchemaName": "pko_process_steward",
    "SourceView": "vw_steps",
    "GrantKey": "principal-process-steward|Steps",
    "ColumnCount": 42,
    "TableFieldCount": 54.0,
    "IsFullWidth": false,
    "IsDegenerateView": false
   },
   {
    "RoleSchemaViewId": "rsv-process-steward-stewardship_assignments",
    "RoleSchema": "schema-process-steward",
    "Principal": "principal-process-steward",
    "TargetTable": "StewardshipAssignments",
    "ViewName": "stewardship_assignments",
    "SemanticTypeIri": "urn:effortless:pko-extension#RoleSchemaView",
    "Name": "pko_process_steward.stewardship_assignments",
    "SchemaName": "pko_process_steward",
    "SourceView": "vw_stewardship_assignments",
    "GrantKey": "principal-process-steward|StewardshipAssignments",
    "ColumnCount": 14,
    "TableFieldCount": 14,
    "IsFullWidth": true,
    "IsDegenerateView": false
   },
   {
    "RoleSchemaViewId": "rsv-process-steward-template_approvals",
    "RoleSchema": "schema-process-steward",
    "Principal": "principal-process-steward",
    "TargetTable": "TemplateApprovals",
    "ViewName": "template_approvals",
    "SemanticTypeIri": "urn:effortless:pko-extension#RoleSchemaView",
    "Name": "pko_process_steward.template_approvals",
    "SchemaName": "pko_process_steward",
    "SourceView": "vw_template_approvals",
    "GrantKey": "principal-process-steward|TemplateApprovals",
    "ColumnCount": 15,
    "TableFieldCount": 15,
 </t>
  </si>
  <si>
    <t xml:space="preserve">   "IsFullWidth": true,
    "IsDegenerateView": false
   },
   {
    "RoleSchemaViewId": "rsv-process-steward-test_cases",
    "RoleSchema": "schema-process-steward",
    "Principal": "principal-process-steward",
    "TargetTable": "TestCases",
    "ViewName": "test_cases",
    "SemanticTypeIri": "urn:effortless:pko-extension#RoleSchemaView",
    "Name": "pko_process_steward.test_cases",
    "SchemaName": "pko_process_steward",
    "SourceView": "vw_test_cases",
    "GrantKey": "principal-process-steward|TestCases",
    "ColumnCount": 20,
    "TableFieldCount": 20,
    "IsFullWidth": true,
    "IsDegenerateView": false
   },
   {
    "RoleSchemaViewId": "rsv-process-steward-test_suites",
    "RoleSchema": "schema-process-steward",
    "Principal": "principal-process-steward",
    "TargetTable": "TestSuites",
    "ViewName": "test_suites",
    "SemanticTypeIri": "urn:effortless:pko-extension#RoleSchemaView",
    "Name": "pko_process_steward.test_suites",
    "SchemaName": "pko_process_steward",
    "SourceView": "vw_test_suites",
    "GrantKey": "principal-process-steward|TestSuites",
    "ColumnCount": 8,
    "TableFieldCount": 8,
    "IsFullWidth": true,
    "IsDegenerateView": false
   },
   {
    "RoleSchemaViewId": "rsv-process-steward-tools",
    "RoleSchema": "schema-process-steward",
    "Principal": "principal-process-steward",
    "TargetTable": "Tools",
    "ViewName": "tools",
    "SemanticTypeIri": "urn:effortless:pko-extension#RoleSchemaView",
    "Name": "pko_process_steward.tools",
    "SchemaName": "pko_process_steward",
    "SourceView": "vw_tools",
    "GrantKey": "principal-process-steward|Tools",
    "ColumnCount": 5,
    "TableFieldCount": 5,
    "IsFullWidth": true,
    "IsDegenerateView": false
   },
   {
    "RoleSchemaViewId": "rsv-process-steward-user_feedback",
    "RoleSchema": "schema-process-steward",
    "Principal": "principal-process-steward",
    "TargetTable": "UserFeedback",
    "ViewName": "user_feedback",
    "SemanticTypeIri": "urn:effortless:pko-extension#RoleSchemaView",
    "Name": "pko_process_steward.user_feedback",
    "SchemaName": "pko_process_steward",
    "SourceView": "vw_user_feedback",
    "GrantKey": "principal-process-steward|UserFeedback",
    "ColumnCount": 9,
    "TableFieldCount": 9,
    "IsFullWidth": true,
    "IsDegenerateView": false
   },
   {
    "RoleSchemaViewId": "rsv-process-steward-user_questions",
    "RoleSchema": "schema-process-steward",
    "Principal": "principal-process-steward",
    "TargetTable": "UserQuestions",
    "ViewName": "user_questions",
    "SemanticTypeIri": "urn:effortless:pko-extension#RoleSchemaView",
    "Name": "pko_process_steward.user_questions",
    "SchemaName": "pko_process_steward",
    "SourceView": "vw_user_questions",
    "GrantKey": "principal-process-steward|UserQuestions",
    "ColumnCount": 10,
    "TableFieldCount": 10,
    "IsFullWidth": true,
    "IsDegenerateView": false
   },
   {
    "RoleSchemaViewId": "rsv-process-steward-verification_outcomes",
    "RoleSchema": "schema-process-steward",
    "Principal": "principal-process-steward",
    "TargetTable": "VerificationOutcomes",
    "ViewName": "verification_outcomes",
    "SemanticTypeIri": "urn:effortless:pko-extension#RoleSchemaView",
    "Name": "pko_process_steward.verification_outcomes",
    "SchemaName": "pko_process_steward",
    "SourceView": "vw_verification_outcomes",
    "GrantKey": "principal-process-steward|VerificationOutcomes",
    "ColumnCount": 26,
    "TableFieldCount": 26,
    "IsFullWidth": true,
    "IsDegenerateView": false
   },
   {
    "RoleSchemaViewId": "rsv-process-steward-witness_loops",
    "RoleSchema": "schema-process-steward",
    "Principal": "principal-process-steward",
    "TargetTable": "WitnessLoops",
    "ViewName": "witness_loops",
    "SemanticTypeIri": "urn:effortless:pko-extension#RoleSchemaView",
    "Name": "pko_process_steward.witness_loops",
    "SchemaName": "pko_process_steward",
    "SourceView": "vw_witness_loops",
    "GrantKey": "principal-process-steward|WitnessLoops",
    "ColumnCount": 13,
    "TableFieldCount": 13,
    "IsFullWidth": true,
    "IsDegenerateView": false
   },
   {
    "RoleSchemaViewId": "rsv-knowledge-authority-actions",
    "RoleSchema": "schema-knowledge-authority",
    "Principal": "principal-knowledge-authority",
    "TargetTable": "Actions",
    "ViewName": "actions",
    "SemanticTypeIri": "urn:effortless:pko-extension#RoleSchemaView",
    "Name": "pko_knowledge_authority.actions",
    "SchemaName": "pko_knowledge_authority",
    "SourceView": "vw_actions",
    "GrantKey": "principal-knowledge-authority|Actions",
    "ColumnCount": 5,
    "TableFieldCount": 5,
    "IsFullWidth": true,
    "IsDegenerateView": false
   },
   {
    "RoleSchemaViewId": "rsv-knowledge-authority-agent_decision_records",
    "RoleSchema": "schema-knowledge-authority",
    "Principal": "principal-knowledge-authority",
    "TargetTable": "AgentDecisionRecords",
    "ViewName": "agent_decision_records",
    "SemanticTypeIri": "urn:effortless:pko-extension#RoleSchemaView",
    "Name": "pko_knowledge_authority.agent_decision_records",
    "SchemaName": "pko_knowledge_authority",
    "SourceView": "vw_agent_decision_records",
    "GrantKey": "principal-knowledge-authority|AgentDecisionRecords",
    "ColumnCount": 40,
    "TableFieldCount": 40,
    "IsFullWidth": true,
    "IsDegenerateView": false
   },
   {
    "RoleSchemaViewId": "rsv-knowledge-authority-agents",
    "RoleSchema": "schema-knowledge-authority",
    "Principal": "principal-knowledge-authority",
    "TargetTable": "Agents",
    "ViewName": "agents",
    "SemanticTypeIri": "urn:effortless:pko-extension#RoleSchemaView",
    "Name": "pko_knowledge_authority.agents",
    "SchemaName": "pko_knowledge_authority",
    "SourceView": "vw_agents",
    "GrantKey": "principal-knowledge-authority|Agents",
    "ColumnCount": 23,
    "TableFieldCount": 23,
    "IsFullWidth": true,
    "IsDegenerateView": false
   },
   {
    "RoleSchemaViewId": "rsv-knowledge-authority-app_nav_groups",
    "RoleSchema": "schema-knowledge-authority",
    "Principal": "principal-knowledge-authority",
    "TargetTable": "AppNavGroups",
    "ViewName": "app_nav_groups",
    "SemanticTypeIri": "urn:effortless:pko-extension#RoleSchemaView",
    "Name": "pko_knowledge_authority.app_nav_groups",
    "SchemaName": "pko_knowledge_authority",
    "SourceView": "vw_app_nav_groups",
    "GrantKey": "principal-knowledge-authority|AppNavGroups",
    "ColumnCount": 5,
    "TableFieldCount": 5,
    "IsFullWidth": true,
    "IsDegenerateView": false
   },
   {
    "RoleSchemaViewId": "rsv-knowledge-authority-app_role_profiles",
    "RoleSchema": "schema-knowledge-authority",
    "Principal": "principal-knowledge-authority",
    "TargetTable": "AppRoleProfiles",
    "ViewName": "app_role_profiles",
    "SemanticTypeIri": "urn:effortless:pko-extension#RoleSchemaView",
    "Name": "pko_knowledge_authority.app_role_profiles",
    "SchemaName": "pko_knowledge_authority",
    "SourceView": "vw_app_role_profiles",
    "GrantKey": "principal-knowledge-authority|AppRoleProfiles",
    "ColumnCount": 12,
    "TableFieldCount": 12,
    "IsFullWidth": true,
    "IsDegenerateView": false
   },
   {
    "RoleSchemaViewId": "rsv-knowledge-authority-app_route_questions",
    "RoleSchema": "schema-knowledge-authority",
    "Principal": "principal-knowledge-authority",
    "TargetTable": "AppRouteQuestions",
    "ViewName": "app_route_questions",
    "SemanticTypeIri": "urn:effortless:pko-extension#RoleSchemaView",
    "Name": "pko_knowledge_authority.app_route_questions",
    "SchemaName": "pko_knowledge_authority",
    "SourceView": "vw_app_route_questions",
    "GrantKey": "principal-knowledge-authority|AppRouteQuestions",
    "ColumnCount": 5,
    "TableFieldCount": 5,
    "IsFullWidth": true,
    "IsDegenerateView": false
   },
   {
    "RoleSchemaViewId": "rsv-knowledge-authority-app_route_references",
    "RoleSchema": "schema-knowledge-authority",
    "Principal": "principal-knowledge-authority",
    "TargetTable": "AppRouteReferences",
    "ViewName": "app_route_references",
    "SemanticTypeIri": "urn:effortless:pko-extension#RoleSchemaView",
    "Name": "pko_knowledge_authority.app_route_references",
    "SchemaName": "pko_knowledge_authority",
    "SourceView": "vw_app_route_references",
    "GrantKey": "principal-knowledge-authority|AppRouteReferences",
    "ColumnCount": 5,
    "TableFieldCount": 5,
    "IsFullWidth": true,
    "IsDegenerateView": false
   },
   {
    "RoleSchemaViewId": "rsv-knowledge-authority-app_routes",
    "RoleSchema": "schema-knowledge-authority",
    "Principal": "principal-knowledge-authority",
    "TargetTable": "AppRoutes",
    "ViewName": "app_routes",
    "SemanticTypeIri": "urn:effortless:pko-extension#RoleSchemaView",
    "Name": "pko_knowledge_authority.app_routes",
    "SchemaName": "pko_knowledge_authority",
    "SourceView": "vw_app_routes",
    "GrantKey": "principal-knowledge-authority|AppRoutes",
    "ColumnCount": 18,
    "TableFieldCount": 18,
    "IsFullWidth": true,
    "IsDegenerateView": false
   },
   {
    "RoleSchemaViewId": "rsv-knowledge-authority-attestations",
    "RoleSchema": "schema-knowledge-authority",
    "Principal": "principal-knowledge-authority",
    "TargetTable": "Attestations",
    "ViewName": "attestations",
    "SemanticTypeIri": "urn:effortless:pko-extension#RoleSchemaView",
    "Name": "pko_knowledge_authority.attestations",
    "SchemaName": "pko_knowledge_authority",
    "SourceView": "vw_attestations",
    "GrantKey": "principal-knowledge-authority|Attestations",
    "ColumnCount": 12,
    "TableFieldCount": 12,
    "IsFullWidth": true,
    "IsDegenerateView": false
   },
   {
    "RoleSchemaViewId": "rsv-knowledge-authority-authority_boundaries",
    "RoleSchema": "schema-knowledge-authority",
    "Principal": "principal-knowledge-authority",
    "TargetTable": "AuthorityBoundaries",
    "ViewName": "authority_boundaries",
    "SemanticTypeIri": "urn:effortless:pko-extension#RoleSchemaView",
    "Name": "pko_knowledge_authority.authority_boundaries",
    "SchemaName": "pko_knowledge_authority",
    "SourceView": "vw_authority_boundaries",
    "GrantKey": "principal-knowledge-authority|AuthorityBoundaries",
    "ColumnCount": 33,
    "TableFieldCount": 33,
    "IsFullWidth": true,
    "IsDegenerateView": false
   },
   {
    "RoleSchemaViewId": "rsv-knowledge-authority-binding_observations",
    "RoleSchema": "schema-knowledge-authority",
    "Principal": "principal-knowledge-authority",
    "TargetTable": "BindingObservations",
    "ViewName": "binding_observations",
    "SemanticTypeIri": "urn:effortless:pko-extension#RoleSchemaView",
    "Name": "pko_knowledge_authority.binding_observations",
    "SchemaName": "pko_knowledge_authority",
    "SourceView": "vw_binding_observations",
    "GrantKey": "principal-knowledge-authority|BindingObservations",
    "ColumnCount": 11,
    "TableFieldCount": 11,
    "IsFullWidth": true,
    "IsDegenerateView": false
   },
   {
    "RoleSchemaViewId": "rsv-knowledge-authority-change_requests",
    "RoleSchema": "schema-knowledge-authority",
    "Principal": "principal-knowledge-authority",
    "TargetTable": "ChangeRequests",
    "ViewName": "change_requests",
    "SemanticTypeIri": "urn:effortless:pko-extension#RoleSchemaView",
    "Name": "pko_knowledge_authority.change_requests",
    "SchemaName": "pko_knowledge_authority",
    "SourceView": "vw_change_requests",
    "GrantKey": "principal-knowledge-authority|ChangeRequests",
    "ColumnCount": 45,
    "TableFieldCount": 45,
    "IsFullWidth": true,
    "IsDegenerateView": false
   },
   {
    "RoleSchemaViewId": "rsv-knowledge-authority-communication_policies",
    "RoleSchema": "schema-knowledge-authority",
    "Principal": "principal-knowledge-authority",
    "TargetTable": "CommunicationPolicies",
    "ViewName": "communication_policies",
    "SemanticTypeIri": "urn:effortless:pko-extension#RoleSchemaView",
    "Name": "pko_knowledge_authority.communication_policies",
    "SchemaName": "pko_knowledge_authority",
    "SourceView": "vw_communication_policies",
    "GrantKey": "principal-knowledge-authority|CommunicationPolicies",
    "ColumnCount": 22,
    "TableFieldCount": 22,
    "IsFullWidth": true,
    "IsDegenerateView": false
   },
   {
    "RoleSchemaViewId": "rsv-knowledge-authority-communities_of_practice",
    "RoleSchema": "schema-knowledge-authority",
    "Principal": "principal-knowledge-authority",
    "TargetTable": "CommunitiesOfPractice",
    "ViewName": "communities_of_practice",
    "SemanticTypeIri": "urn:effortless:pko-extension#RoleSchemaView",
    "Name": "pko_knowledge_authority.communities_of_practice",
    "SchemaName": "pko_knowledge_authority",
    "SourceView": "vw_communities_of_practice",
    "GrantKey": "principal-knowledge-authority|CommunitiesOfPractice",
    "ColumnCount": 8,
    "TableFieldCount": 8,
    "IsFullWidth": true,
    "IsDegenerateView": false
   },
   {
    "RoleSchemaViewId": "rsv-knowledge-authority-delivered_communications",
    "RoleSchema": "schema-knowledge-authority",
    "Principal": "principal-knowledge-authority",
    "TargetTable": "DeliveredCommunications",
    "ViewName": "delivered_communications",
    "SemanticTypeIri": "urn:effortless:pko-extension#RoleSchemaView",
    "Name": "pko_knowledge_authority.delivered_communications",
    "SchemaName": "pko_knowledge_authority",
    "SourceView": "vw_delivered_communications",
    "GrantKey": "principal-knowledge-authority|DeliveredCommunications",
    "ColumnCount": 18,
    "TableFieldCount": 18,
    "IsFullWidth": true,
    "IsDegenerateView": false
   },
   {
    "RoleSchemaViewId": "rsv-knowledge-authority-elicitation_sessions",
    "RoleSchema": "schema-knowledge-authority",
    "Principal": "principal-knowledge-authority",
    "TargetTable": "ElicitationSessions",
    "ViewName": "elicitation_sessions",
    "SemanticTypeIri": "urn:effortless:pko-extension#RoleSchemaView",
    "Name": "pko_knowledge_authority.elicitation_sessions",
    "SchemaName": "pko_knowledge_authority",
    "SourceView": "vw_elicitation_sessions",
    "GrantKey": "principal-knowledge-authority|ElicitationSessions",
    "ColumnCount": 21,
    "TableFieldCount": 21,
    "IsFullWidth": true,
    "IsDegenerateView": false
   },
   {
    "RoleSchemaViewId": "rsv-knowledge-authority-errors",
    "RoleSchema": "schema-knowledge-authority",
    "Principal": "principal-knowledge-authority",
    "TargetTable": "Errors",
    "ViewName": "errors",
    "SemanticTypeIri": "urn:effortless:pko-extension#RoleSchemaView",
    "Name": "pko_knowledge_authority.errors",
    "SchemaName": "pko_knowledge_authority",
    "SourceView": "vw_errors",
    "GrantKey": "principal-knowledge-authority|Errors",
    "ColumnCount": 6,
    "TableFieldCount": 6,
    "IsFullWidth": true,
    "IsDegenerateView": false
   },
   {
    "RoleSchemaViewId": "rsv-knowledge-authority-evaluation_contexts",
    "RoleSchema": "schema-knowledge-authority",
    "Principal": "principal-knowledge-authority",
    "TargetTable": "EvaluationContexts",
    "ViewName": "evaluation_contexts",
    "SemanticTypeIri": "urn:effortless:pko-extension#RoleSchemaView",
    "Name": "pko_knowledge_authority.evaluation_contexts",
    "SchemaName": "pko_knowledge_authority",
    "SourceView": "vw_evaluation_contexts",
    "GrantKey": "principal-knowledge-authority|EvaluationContexts",
    "ColumnCount": 7,
    "TableFieldCount": 7,
    "IsFullWidth": true,
    "IsDegenerateView": false
   },
   {
    "RoleSchemaViewId": "rsv-knowledge-authority-exception_invocations",
    "RoleSchema": "schema-knowledge-authority",
    "Principal": "principal-knowledge-authority",
    "TargetTable": "ExceptionInvocations",
    "ViewName": "exception_invocations",
    "SemanticTypeIri": "urn:effortless:pko-extension#RoleSchemaView",
    "Name": "pko_knowledge_authority.exception_invocations",
    "SchemaName": "pko_knowledge_authority",
    "SourceView": "vw_exception_invocations",
    "GrantKey": "principal-knowledge-authority|ExceptionInvocations",
    "ColumnCount": 21,
    "TableFieldCount": 21,
    "IsFullWidth": true,
    "IsDegenerateView": false
   },
   {
    "RoleSchemaViewId": "rsv-knowledge-authority-exceptions",
    "RoleSchema": "schema-knowledge-authority",
    "Principal": "principal-knowledge-authority",
    "TargetTable": "Exceptions",
    "ViewName": "exceptions",
    "SemanticTypeIri": "urn:effortless:pko-extension#RoleSchemaView",
    "Name": "pko_knowledge_authority.exceptions",
    "SchemaName": "pko_knowledge_authority",
    "SourceView": "vw_exceptions",
    "GrantKey": "principal-knowledge-authority|Exceptions",
    "ColumnCount": 11,
    "TableFieldCount": 11,
    "IsFullWidth": true,
    "IsDegenerateView": false
   },
   {
    "RoleSchemaViewId": "rsv-knowledge-authority-explanations",
    "RoleSchema": "schema-knowledge-authority",
    "Principal": "principal-knowledge-authority",
    "TargetTable": "Explanations",
    "ViewName": "explanations",
    "SemanticTypeIri": "urn:effortless:pko-extension#RoleSchemaView",
    "Name": "pko_knowledge_authority.explanations",
    "SchemaName": "pko_knowledge_authority",
    "SourceView": "vw_explanations",
    "GrantKey": "principal-knowledge-authority|Explanations",
    "ColumnCount": 7,
    "TableFieldCount": 7,
    "IsFullWidth": true,
    "IsDegenerateView": false
   },
   {
    "RoleSchemaViewId": "rsv-knowledge-authority-functions",
    "RoleSchema": "schema-knowledge-authority",
    "Principal": "principal-knowledge-authority",
    "TargetTable": "Functions",
    "ViewName": "functions",
    "SemanticTypeIri": "urn:effortless:pko-extension#RoleSchemaView",
    "Name": "pko_knowledge_authority.functions",
    "SchemaName": "pko_knowledge_authority",
    "SourceView": "vw_functions",
    "GrantKey": "principal-knowledge-authority|Functions",
    "ColumnCount": 6,
    "TableFieldCount": 6,
    "IsFullWidth": true,
    "IsDegenerateView": false
   },
   {
    "RoleSchemaViewId": "rsv-knowledge-authority-issue_occurrences",
    "RoleSchema": "schema-knowledge-authority",
    "Principal": "principal-knowledge-authority",
    "TargetTable": "IssueOccurrences",
    "ViewName": "issue_occurrences",
    "SemanticTypeIri": "urn:effortless:pko-extension#RoleSchemaView",
    "Name": "pko_knowledge_authority.issue_occurrences",
    "SchemaName": "pko_knowledge_authority",
    "SourceView": "vw_issue_occurrences",
    "GrantKey": "principal-knowledge-authority|IssueOccurrences",
    "ColumnCount": 12,
    "TableFieldCount": 12,
    "IsFullWidth": true,
    "IsDegenerateView": false
   },
   {
    "RoleSchemaViewId": "rsv-knowledge-authority-knowledge_fragments",
    "RoleSchema": "schema-knowledge-authority",
    "Principal": "principal-knowledge-authority",
    "TargetTable": "KnowledgeFragments",
    "ViewName": "knowledge_fragments",
    "SemanticTypeIri": "urn:effortless:pko-extension#RoleSchemaView",
    "Name": "pko_knowledge_authority.knowledge_fragments",
    "SchemaName": "pko_knowledge_authority",
    "SourceView": "vw_knowledge_fragments",
    "GrantKey": "principal-knowledge-authority|KnowledgeFragments",
    "ColumnCount": 80,
    "TableFieldCount": 80,
    "IsFullWidth": true,
    "IsDegenerateView": false
   },
   {
    "RoleSchemaViewId": "rsv-knowledge-authority-knowledge_gaps",
    "RoleSchema": "schema-knowledge-authority",
    "Principal": "principal-knowledge-authority",
    "TargetTable": "KnowledgeGaps",
    "ViewName": "knowledge_gaps",
    "SemanticTypeIri": "urn:effortless:pko-extension#RoleSchemaView",
    "Name": "pko_knowledge_authority.knowledge_gaps",
    "SchemaName": "pko_knowledge_authority",
    "SourceView": "vw_knowledge_gaps",
    "GrantKey": "principal-knowledge-authority|KnowledgeGaps",
    "ColumnCount": 28,
    "TableFieldCount": 28,
    "IsFullWidth": true,
    "IsDegenerateView": false
   },
   {
    "RoleSchemaViewId": "rsv-knowledge-authority-learning_activities",
    "RoleSchema": "schema-knowledge-authority",
    "Principal": "principal-knowledge-authority",
    "TargetTable": "LearningActivities",
    "ViewName": "learning_activities",
    "SemanticTypeIri": "urn:effortless:pko-extension#RoleSchemaView",
    "Name": "pko_knowledge_authority.learning_activities",
    "SchemaName": "pko_knowledge_authority",
    "SourceView": "vw_learning_activities",
    "GrantKey": "principal-knowledge-authority|LearningActivities",
    "ColumnCount": 10,
    "TableFieldCount": 10,
    "IsFullWidth": true,
    "IsDegenerateView": false
   },
   {
    "RoleSchemaViewId": "rsv-knowledge-authority-mentorships",
    "RoleSchema": "schema-knowledge-authority",
    "Principal": "principal-knowledge-authority",
    "TargetTable": "Mentorships",
    "ViewName": "mentorships",
    "SemanticTypeIri": "urn:effortless:pko-extension#RoleSchemaView",
    "Name": "pko_knowledge_authority.mentorships",
    "SchemaName": "pko_knowledge_authority",
    "SourceView": "vw_mentorships",
    "GrantKey": "principal-knowledge-authority|Mentorships",
    "ColumnCount": 10,
    "TableFieldCount": 10,
    "IsFullWidth": true,
    "IsDegenerateView": false
   },
   {
    "RoleSchemaViewId": "rsv-knowledge-authority-message_deliveries",
    "RoleSchema": "schema-knowledge-authority",
    "Principal": "principal-knowledge-authority",
    "TargetTable": "MessageDeliveries",
    "ViewName": "message_deliveries",
    "SemanticTypeIri": "urn:effortless:pko-extension#RoleSchemaView",
    "Name": "pko_knowledge_authority.message_deliveries",
    "SchemaName": "pko_knowledge_authority",
    "SourceView": "vw_message_deliveries",
    "GrantKey": "principal-knowledge-authority|MessageDeliveries",
    "ColumnCount": 94,
    "TableFieldCount": 94,
    "IsFullWidth": true,
    "IsDegenerateView": false
   },
   {
    "RoleSchemaViewId": "rsv-knowledge-authority-message_templates",
    "RoleSchema": "schema-knowledge-authority",
    "Principal": "principal-knowledge-authority",
    "TargetTable": "MessageTemplates",
    "ViewName": "message_templates",
    "SemanticTypeIri": "urn:effortless:pko-extension#RoleSchemaView",
    "Name": "pko_knowledge_authority.message_templates",
    "SchemaName": "pko_knowledge_authority",
    "SourceView": "vw_message_templates",
    "GrantKey": "principal-knowledge-authority|MessageTemplates",
    "ColumnCount": 26,
    "TableFieldCount": 26,
    "IsFullWidth": true,
    "IsDegenerateView": false
   },
   {
    "RoleSchemaViewId": "rsv-knowledge-authority-observed_transitions",
    "RoleSchema": "schema-knowledge-authority",
    "Principal": "principal-knowledge-authority",
    "TargetTable": "ObservedTransitions",
    "ViewName": "observed_transitions",
    "SemanticTypeIri": "urn:effortless:pko-extension#RoleSchemaView",
    "Name": "pko_knowledge_authority.observed_transitions",
    "SchemaName": "pko_knowledge_authority",
    "SourceView": "vw_observed_transitions",
    "GrantKey": "principal-knowledge-authority|ObservedTransitions",
    "ColumnCount": 8,
    "TableFieldCount": 8,
    "IsFullWidth": true,
    "IsDegenerateView": false
   },
   {
    "RoleSchemaViewId": "rsv-knowledge-authority-ontology_profiles",
    "RoleSchema": "schema-knowledge-authority",
    "Principal": "principal-knowledge-authority",
    "TargetTable": "OntologyProfiles",
    "ViewName": "ontology_profiles",
    "SemanticTypeIri": "urn:effortless:pko-extension#RoleSchemaView",
    "Name": "pko_knowledge_authority.ontology_profiles",
    "SchemaName": "pko_knowledge_authority",
    "SourceView": "vw_ontology_profiles",
    "GrantKey": "principal-knowledge-authority|OntologyProfiles",
    "ColumnCount": 8,
    "TableFieldCount": 8,
    "IsFullWidth": true,
    "IsDegenerateView": false
   },
   {
    "RoleSchemaViewId": "rsv-knowledge-authority-operational_bindings",
    "RoleSchema": "schema-knowledge-authority",
    "Principal": "principal-knowledge-authority",
    "TargetTable": "OperationalBindings",
    "ViewName": "operational_bindings",
    "SemanticTypeIri": "urn:effortless:pko-extension#RoleSchemaView",
    "Name": "pko_knowledge_authority.operational_bindings",
    "SchemaName": "pko_knowledge_authority",
    "SourceView": "vw_operational_bindings",
    "GrantKey": "principal-knowledge-authority|OperationalBindings",
    "ColumnCount": 22,
    "TableFieldCount": 22,
    "IsFullWidth": true,
    "IsDegenerateView": false
   },
   {
    "RoleSchemaViewId": "rsv-knowledge-authority-organizations",
    "RoleSchema": "schema-knowledge-authority",
    "Principal": "principal-knowledge-authority",
    "TargetTable": "Organizations",
    "ViewName": "organizations",
    "SemanticTypeIri": "urn:effortless:pko-extension#RoleSchemaView",
    "Name": "pko_knowledge_authority.organizations",
    "SchemaName": "pko_knowledge_authority",
    "SourceView": "vw_organizations",
    "GrantKey": "principal-knowledge-authority|Organizations",
    "ColumnCount": 6,
    "TableFieldCount": 6,
    "IsFullWidth": true,
    "IsDegenerateView": false
   },
   {
    "RoleSchemaViewId": "rsv-knowledge-authority-procedure_executions",
    "RoleSchema": "schema-knowledge-authority",
    "Principal": "principal-knowledge-authority",
    "TargetTable": "ProcedureExecutions",
    "ViewName": "procedure_executions",
    "SemanticTypeIri": "urn:effortless:pko-extension#RoleSchemaView",
    "Name": "pko_knowledge_authority.procedure_executions",
    "SchemaName": "pko_knowledge_authority",
    "SourceView": "vw_procedure_executions",
    "GrantKey": "principal-knowledge-authority|ProcedureExecutions",
    "ColumnCount": 78,
    "TableFieldCount": 78,
    "IsFullWidth": true,
    "IsDegenerateView": false
   },
   {
    "RoleSchemaViewId": "rsv-knowledge-authority-procedure_resources",
    "RoleSchema": "schema-knowledge-authority",
    "Principal": "principal-knowledge-authority",
    "TargetTable": "ProcedureResources",
    "ViewName": "procedure_resources",
    "SemanticTypeIri": "urn:effortless:pko-extension#RoleSchemaView",
    "Name": "pko_knowledge_authority.procedure_resources",
    "SchemaName": "pko_knowledge_authority",
    "SourceView": "vw_procedure_resources",
    "GrantKey": "principal-knowledge-authority|ProcedureResources",
    "ColumnCount": 6,
    "TableFieldCount": 6,
    "IsFullWidth": true,
    "IsDegenerateView": false
   },
   {
    "RoleSchemaViewId": "rsv-knowledge-authority-procedure_status_changes",
    "RoleSchema": "schema-knowledge-authority",
    "Principal": "principal-knowledge-authority",
    "TargetTable": "ProcedureStatusChanges",
    "ViewName": "procedure_status_changes",
    "SemanticTypeIri": "urn:effortless:pko-extension#RoleSchemaView",
    "Name": "pko_knowledge_authority.procedure_status_changes",
    "SchemaName": "pko_knowledge_authority",
    "SourceView": "vw_procedure_status_changes",
    "GrantKey": "principal-knowledge-authority|ProcedureStatusChanges",
    "ColumnCount": 9,
    "TableFieldCount": 9,
    "IsFullWidth": true,
    "IsDegenerateView": false
   },
   {
    "RoleSchemaViewId": "rsv-knowledge-authority-procedure_types",
    "RoleSchema": "schema-knowledge-authority",
    "Principal": "principal-knowledge-authority",
    "TargetTable": "ProcedureTypes",
    "ViewName": "procedure_types",
    "SemanticTypeIri": "urn:effortless:pko-extension#RoleSchemaView",
    "Name": "pko_knowledge_authority.procedure_types",
    "SchemaName": "pko_knowledge_authority",
    "SourceView": "vw_procedure_types",
    "GrantKey": "principal-knowledge-authority|ProcedureTypes",
    "ColumnCount": 5,
    "TableFieldCount": 5,
    "IsFullWidth": true,
    "IsDegenerateView": false
   },
   {
    "RoleSchemaViewId": "rsv-knowledge-authority-procedure_version_links",
    "RoleSchema": "schema-knowledge-authority",
    "Principal": "principal-knowledge-authority",
    "TargetTable": "ProcedureVersionLinks",
    "ViewName": "procedure_version_links",
    "SemanticTypeIri": "urn:effortless:pko-extension#RoleSchemaView",
    "Name": "pko_knowledge_authority.procedure_version_links",
    "SchemaName": "pko_knowledge_authority",
    "SourceView": "vw_procedure_version_links",
    "GrantKey": "principal-knowledge-authority|ProcedureVersionLinks",
    "ColumnCount": 7,
    "TableFieldCount": 7,
    "IsFullWidth": true,
    "IsDegenerateView": false
   },
   {
    "RoleSchemaViewId": "rsv-knowledge-authority-procedure_versions",
    "RoleSchema": "schema-knowledge-authority",
    "Principal": "principal-knowledge-authority",
    "TargetTable": "ProcedureVersions",
    "ViewName": "procedure_versions",
    "SemanticTypeIri": "urn:effortless:pko-extension#RoleSchemaView",
    "Name": "pko_knowledge_authority.procedure_versions",
    "SchemaName": "pko_knowledge_authority",
    "SourceView": "vw_procedure_versions",
    "GrantKey": "principal-knowledge-authority|ProcedureVersions",
    "ColumnCount": 86,
    "TableFieldCount": 87.0,
    "IsFullWidth": false,
    "IsDegenerateView": false
   },
   {
    "RoleSchemaViewId": "rsv-knowledge-authority-procedures",
    "RoleSchema": "schema-knowledge-authority",
    "Principal": "principal-knowledge-authority",
    "TargetTable": "Procedures",
    "ViewName": "procedures",
    "SemanticTypeIri": "urn:effortless:pko-extension#RoleSchemaView",
    "Name": "pko_knowledge_authority.procedures",
    "SchemaName": "pko_knowledge_authority",
    "SourceView": "vw_procedures",
    "GrantKey": "principal-knowledge-authority|Procedures",
    "ColumnCount": 11,
    "TableFieldCount": 11,
    "IsFullWidth": true,
    "IsDegenerateView": false
   },
   {
    "RoleSchemaViewId": "rsv-knowledge-authority-rationales",
    "RoleSchema": "schema-knowledge-authority",
    "Principal": "principal-knowledge-authority",
    "TargetTable": "Rationales",
    "ViewName": "rationales",
    "SemanticTypeIri": "urn:effortless:pko-extension#RoleSchemaView",
    "Name": "pko_knowledge_authority.rationales",
    "SchemaName": "pko_knowledge_authority",
    "SourceView": "vw_rationales",
    "GrantKey": "principal-knowledge-authority|Rationales",
    "ColumnCount": 9,
    "TableFieldCount": 9,
    "IsFullWidth": true,
    "IsDegenerateView": false
   },
   {
    "RoleSchemaViewId": "rsv-knowledge-authority-recipients",
    "RoleSchema": "schema-knowledge-authority",
    "Principal": "principal-knowledge-authority",
    "TargetTable": "Recipients",
    "ViewName": "recipients",
    "SemanticTypeIri": "urn:effortless:pko-extension#RoleSchemaView",
    "Name": "pko_knowledge_authority.recipients",
    "SchemaName": "pko_knowledge_authority",
    "SourceView": "vw_recipients",
    "GrantKey": "principal-knowledge-authority|Recipients",
    "ColumnCount": 15,
    "TableFieldCount": 15,
    "IsFullWidth": true,
    "IsDegenerateView": false
   },
   {
    "RoleSchemaViewId": "rsv-knowledge-authority-requirement_satisfactions",
    "RoleSchema": "schema-knowledge-authority",
    "Principal": "principal-knowledge-authority",
    "TargetTable": "RequirementSatisfactions",
    "ViewName": "requirement_satisfactions",
    "SemanticTypeIri": "urn:effortless:pko-extension#RoleSchemaView",
    "Name": "pko_knowledge_authority.requirement_satisfactions",
    "SchemaName": "pko_knowledge_authority",
    "SourceView": "vw_requirement_satisfactions",
    "GrantKey": "principal-knowledge-authority|RequirementSatisfactions",
    "ColumnCount": 46,
    "TableFieldCount": 46,
    "IsFullWidth": true,
    "IsDegenerateView": false
   },
   {
    "RoleSchemaViewId": "rsv-knowledge-authority-requirements",
    "RoleSchema": "schema-knowledge-authority",
    "Principal": "principal-knowledge-authority",
    "TargetTable": "Requirements",
    "ViewName": "requirements",
    "SemanticTypeIri": "urn:effortless:pko-extension#RoleSchemaView",
    "Name": "pko_knowledge_authority.requirements",
    "SchemaName": "pko_knowledge_authority",
    "SourceView": "vw_requirements",
    "GrantKey": "principal-knowledge-authority|Requirements",
    "ColumnCount": 43,
    "TableFieldCount": 43,
    "IsFullWidth": true,
    "IsDegenerateView": false
   },
   {
    "RoleSchemaViewId": "rsv-knowledge-authority-resources",
    "RoleSchema": "schema-knowledge-authority",
    "Principal": "principal-knowledge-authority",
    "TargetTable": "Resources",
    "ViewName": "resources",
    "SemanticTypeIri": "urn:effortless:pko-extension#RoleSchemaView",
    "Name": "pko_knowledge_authority.resources",
    "SchemaName": "pko_knowledge_authority",
    "SourceView": "vw_resources",
    "GrantKey": "principal-knowledge-authority|Resources",
    "ColumnCount": 11,
    "TableFieldCount": 11,
    "IsFullWidth": true,
    "IsDegenerateView": false
   },
   {
    "RoleSchemaViewId": "rsv-knowledge-authority-review_events",
    "RoleSchem</t>
  </si>
  <si>
    <t xml:space="preserve">a": "schema-knowledge-authority",
    "Principal": "principal-knowledge-authority",
    "TargetTable": "ReviewEvents",
    "ViewName": "review_events",
    "SemanticTypeIri": "urn:effortless:pko-extension#RoleSchemaView",
    "Name": "pko_knowledge_authority.review_events",
    "SchemaName": "pko_knowledge_authority",
    "SourceView": "vw_review_events",
    "GrantKey": "principal-knowledge-authority|ReviewEvents",
    "ColumnCount": 20,
    "TableFieldCount": 20,
    "IsFullWidth": true,
    "IsDegenerateView": false
   },
   {
    "RoleSchemaViewId": "rsv-knowledge-authority-role_assignments",
    "RoleSchema": "schema-knowledge-authority",
    "Principal": "principal-knowledge-authority",
    "TargetTable": "RoleAssignments",
    "ViewName": "role_assignments",
    "SemanticTypeIri": "urn:effortless:pko-extension#RoleSchemaView",
    "Name": "pko_knowledge_authority.role_assignments",
    "SchemaName": "pko_knowledge_authority",
    "SourceView": "vw_role_assignments",
    "GrantKey": "principal-knowledge-authority|RoleAssignments",
    "ColumnCount": 65,
    "TableFieldCount": 65,
    "IsFullWidth": true,
    "IsDegenerateView": false
   },
   {
    "RoleSchemaViewId": "rsv-knowledge-authority-role_questions",
    "RoleSchema": "schema-knowledge-authority",
    "Principal": "principal-knowledge-authority",
    "TargetTable": "RoleQuestions",
    "ViewName": "role_questions",
    "SemanticTypeIri": "urn:effortless:pko-extension#RoleSchemaView",
    "Name": "pko_knowledge_authority.role_questions",
    "SchemaName": "pko_knowledge_authority",
    "SourceView": "vw_role_questions",
    "GrantKey": "principal-knowledge-authority|RoleQuestions",
    "ColumnCount": 11,
    "TableFieldCount": 11,
    "IsFullWidth": true,
    "IsDegenerateView": false
   },
   {
    "RoleSchemaViewId": "rsv-knowledge-authority-roles",
    "RoleSchema": "schema-knowledge-authority",
    "Principal": "principal-knowledge-authority",
    "TargetTable": "Roles",
    "ViewName": "roles",
    "SemanticTypeIri": "urn:effortless:pko-extension#RoleSchemaView",
    "Name": "pko_knowledge_authority.roles",
    "SchemaName": "pko_knowledge_authority",
    "SourceView": "vw_roles",
    "GrantKey": "principal-knowledge-authority|Roles",
    "ColumnCount": 24,
    "TableFieldCount": 24,
    "IsFullWidth": true,
    "IsDegenerateView": false
   },
   {
    "RoleSchemaViewId": "rsv-knowledge-authority-rulebook_fields",
    "RoleSchema": "schema-knowledge-authority",
    "Principal": "principal-knowledge-authority",
    "TargetTable": "RulebookFields",
    "ViewName": "rulebook_fields",
    "SemanticTypeIri": "urn:effortless:pko-extension#RoleSchemaView",
    "Name": "pko_knowledge_authority.rulebook_fields",
    "SchemaName": "pko_knowledge_authority",
    "SourceView": "vw_rulebook_fields",
    "GrantKey": "principal-knowledge-authority|RulebookFields",
    "ColumnCount": 11,
    "TableFieldCount": 13,
    "IsFullWidth": false,
    "IsDegenerateView": false
   },
   {
    "RoleSchemaViewId": "rsv-knowledge-authority-rulebook_releases",
    "RoleSchema": "schema-knowledge-authority",
    "Principal": "principal-knowledge-authority",
    "TargetTable": "RulebookReleases",
    "ViewName": "rulebook_releases",
    "SemanticTypeIri": "urn:effortless:pko-extension#RoleSchemaView",
    "Name": "pko_knowledge_authority.rulebook_releases",
    "SchemaName": "pko_knowledge_authority",
    "SourceView": "vw_rulebook_releases",
    "GrantKey": "principal-knowledge-authority|RulebookReleases",
    "ColumnCount": 11,
    "TableFieldCount": 11,
    "IsFullWidth": true,
    "IsDegenerateView": false
   },
   {
    "RoleSchemaViewId": "rsv-knowledge-authority-semantic_mappings",
    "RoleSchema": "schema-knowledge-authority",
    "Principal": "principal-knowledge-authority",
    "TargetTable": "SemanticMappings",
    "ViewName": "semantic_mappings",
    "SemanticTypeIri": "urn:effortless:pko-extension#RoleSchemaView",
    "Name": "pko_knowledge_authority.semantic_mappings",
    "SchemaName": "pko_knowledge_authority",
    "SourceView": "vw_semantic_mappings",
    "GrantKey": "principal-knowledge-authority|SemanticMappings",
    "ColumnCount": 8,
    "TableFieldCount": 8,
    "IsFullWidth": true,
    "IsDegenerateView": false
   },
   {
    "RoleSchemaViewId": "rsv-knowledge-authority-send_intents",
    "RoleSchema": "schema-knowledge-authority",
    "Principal": "principal-knowledge-authority",
    "TargetTable": "SendIntents",
    "ViewName": "send_intents",
    "SemanticTypeIri": "urn:effortless:pko-extension#RoleSchemaView",
    "Name": "pko_knowledge_authority.send_intents",
    "SchemaName": "pko_knowledge_authority",
    "SourceView": "vw_send_intents",
    "GrantKey": "principal-knowledge-authority|SendIntents",
    "ColumnCount": 100,
    "TableFieldCount": 100,
    "IsFullWidth": true,
    "IsDegenerateView": false
   },
   {
    "RoleSchemaViewId": "rsv-knowledge-authority-step_actions",
    "RoleSchema": "schema-knowledge-authority",
    "Principal": "principal-knowledge-authority",
    "TargetTable": "StepActions",
    "ViewName": "step_actions",
    "SemanticTypeIri": "urn:effortless:pko-extension#RoleSchemaView",
    "Name": "pko_knowledge_authority.step_actions",
    "SchemaName": "pko_knowledge_authority",
    "SourceView": "vw_step_actions",
    "GrantKey": "principal-knowledge-authority|StepActions",
    "ColumnCount": 4,
    "TableFieldCount": 4,
    "IsFullWidth": true,
    "IsDegenerateView": false
   },
   {
    "RoleSchemaViewId": "rsv-knowledge-authority-step_executions",
    "RoleSchema": "schema-knowledge-authority",
    "Principal": "principal-knowledge-authority",
    "TargetTable": "StepExecutions",
    "ViewName": "step_executions",
    "SemanticTypeIri": "urn:effortless:pko-extension#RoleSchemaView",
    "Name": "pko_knowledge_authority.step_executions",
    "SchemaName": "pko_knowledge_authority",
    "SourceView": "vw_step_executions",
    "GrantKey": "principal-knowledge-authority|StepExecutions",
    "ColumnCount": 109,
    "TableFieldCount": 109,
    "IsFullWidth": true,
    "IsDegenerateView": false
   },
   {
    "RoleSchemaViewId": "rsv-knowledge-authority-step_functions",
    "RoleSchema": "schema-knowledge-authority",
    "Principal": "principal-knowledge-authority",
    "TargetTable": "StepFunctions",
    "ViewName": "step_functions",
    "SemanticTypeIri": "urn:effortless:pko-extension#RoleSchemaView",
    "Name": "pko_knowledge_authority.step_functions",
    "SchemaName": "pko_knowledge_authority",
    "SourceView": "vw_step_functions",
    "GrantKey": "principal-knowledge-authority|StepFunctions",
    "ColumnCount": 4,
    "TableFieldCount": 4,
    "IsFullWidth": true,
    "IsDegenerateView": false
   },
   {
    "RoleSchemaViewId": "rsv-knowledge-authority-step_requirements",
    "RoleSchema": "schema-knowledge-authority",
    "Principal": "principal-knowledge-authority",
    "TargetTable": "StepRequirements",
    "ViewName": "step_requirements",
    "SemanticTypeIri": "urn:effortless:pko-extension#RoleSchemaView",
    "Name": "pko_knowledge_authority.step_requirements",
    "SchemaName": "pko_knowledge_authority",
    "SourceView": "vw_step_requirements",
    "GrantKey": "principal-knowledge-authority|StepRequirements",
    "ColumnCount": 13,
    "TableFieldCount": 13,
    "IsFullWidth": true,
    "IsDegenerateView": false
   },
   {
    "RoleSchemaViewId": "rsv-knowledge-authority-step_tools",
    "RoleSchema": "schema-knowledge-authority",
    "Principal": "principal-knowledge-authority",
    "TargetTable": "StepTools",
    "ViewName": "step_tools",
    "SemanticTypeIri": "urn:effortless:pko-extension#RoleSchemaView",
    "Name": "pko_knowledge_authority.step_tools",
    "SchemaName": "pko_knowledge_authority",
    "SourceView": "vw_step_tools",
    "GrantKey": "principal-knowledge-authority|StepTools",
    "ColumnCount": 4,
    "TableFieldCount": 4,
    "IsFullWidth": true,
    "IsDegenerateView": false
   },
   {
    "RoleSchemaViewId": "rsv-knowledge-authority-step_transitions",
    "RoleSchema": "schema-knowledge-authority",
    "Principal": "principal-knowledge-authority",
    "TargetTable": "StepTransitions",
    "ViewName": "step_transitions",
    "SemanticTypeIri": "urn:effortless:pko-extension#RoleSchemaView",
    "Name": "pko_knowledge_authority.step_transitions",
    "SchemaName": "pko_knowledge_authority",
    "SourceView": "vw_step_transitions",
    "GrantKey": "principal-knowledge-authority|StepTransitions",
    "ColumnCount": 23,
    "TableFieldCount": 28.0,
    "IsFullWidth": false,
    "IsDegenerateView": false
   },
   {
    "RoleSchemaViewId": "rsv-knowledge-authority-step_verifications",
    "RoleSchema": "schema-knowledge-authority",
    "Principal": "principal-knowledge-authority",
    "TargetTable": "StepVerifications",
    "ViewName": "step_verifications",
    "SemanticTypeIri": "urn:effortless:pko-extension#RoleSchemaView",
    "Name": "pko_knowledge_authority.step_verifications",
    "SchemaName": "pko_knowledge_authority",
    "SourceView": "vw_step_verifications",
    "GrantKey": "principal-knowledge-authority|StepVerifications",
    "ColumnCount": 8,
    "TableFieldCount": 8,
    "IsFullWidth": true,
    "IsDegenerateView": false
   },
   {
    "RoleSchemaViewId": "rsv-knowledge-authority-steps",
    "RoleSchema": "schema-knowledge-authority",
    "Principal": "principal-knowledge-authority",
    "TargetTable": "Steps",
    "ViewName": "steps",
    "SemanticTypeIri": "urn:effortless:pko-extension#RoleSchemaView",
    "Name": "pko_knowledge_authority.steps",
    "SchemaName": "pko_knowledge_authority",
    "SourceView": "vw_steps",
    "GrantKey": "principal-knowledge-authority|Steps",
    "ColumnCount": 42,
    "TableFieldCount": 54.0,
    "IsFullWidth": false,
    "IsDegenerateView": false
   },
   {
    "RoleSchemaViewId": "rsv-knowledge-authority-stewardship_assignments",
    "RoleSchema": "schema-knowledge-authority",
    "Principal": "principal-knowledge-authority",
    "TargetTable": "StewardshipAssignments",
    "ViewName": "stewardship_assignments",
    "SemanticTypeIri": "urn:effortless:pko-extension#RoleSchemaView",
    "Name": "pko_knowledge_authority.stewardship_assignments",
    "SchemaName": "pko_knowledge_authority",
    "SourceView": "vw_stewardship_assignments",
    "GrantKey": "principal-knowledge-authority|StewardshipAssignments",
    "ColumnCount": 14,
    "TableFieldCount": 14,
    "IsFullWidth": true,
    "IsDegenerateView": false
   },
   {
    "RoleSchemaViewId": "rsv-knowledge-authority-template_approvals",
    "RoleSchema": "schema-knowledge-authority",
    "Principal": "principal-knowledge-authority",
    "TargetTable": "TemplateApprovals",
    "ViewName": "template_approvals",
    "SemanticTypeIri": "urn:effortless:pko-extension#RoleSchemaView",
    "Name": "pko_knowledge_authority.template_approvals",
    "SchemaName": "pko_knowledge_authority",
    "SourceView": "vw_template_approvals",
    "GrantKey": "principal-knowledge-authority|TemplateApprovals",
    "ColumnCount": 15,
    "TableFieldCount": 15,
    "IsFullWidth": true,
    "IsDegenerateView": false
   },
   {
    "RoleSchemaViewId": "rsv-knowledge-authority-test_cases",
    "RoleSchema": "schema-knowledge-authority",
    "Principal": "principal-knowledge-authority",
    "TargetTable": "TestCases",
    "ViewName": "test_cases",
    "SemanticTypeIri": "urn:effortless:pko-extension#RoleSchemaView",
    "Name": "pko_knowledge_authority.test_cases",
    "SchemaName": "pko_knowledge_authority",
    "SourceView": "vw_test_cases",
    "GrantKey": "principal-knowledge-authority|TestCases",
    "ColumnCount": 20,
    "TableFieldCount": 20,
    "IsFullWidth": true,
    "IsDegenerateView": false
   },
   {
    "RoleSchemaViewId": "rsv-knowledge-authority-test_suites",
    "RoleSchema": "schema-knowledge-authority",
    "Principal": "principal-knowledge-authority",
    "TargetTable": "TestSuites",
    "ViewName": "test_suites",
    "SemanticTypeIri": "urn:effortless:pko-extension#RoleSchemaView",
    "Name": "pko_knowledge_authority.test_suites",
    "SchemaName": "pko_knowledge_authority",
    "SourceView": "vw_test_suites",
    "GrantKey": "principal-knowledge-authority|TestSuites",
    "ColumnCount": 8,
    "TableFieldCount": 8,
    "IsFullWidth": true,
    "IsDegenerateView": false
   },
   {
    "RoleSchemaViewId": "rsv-knowledge-authority-tools",
    "RoleSchema": "schema-knowledge-authority",
    "Principal": "principal-knowledge-authority",
    "TargetTable": "Tools",
    "ViewName": "tools",
    "SemanticTypeIri": "urn:effortless:pko-extension#RoleSchemaView",
    "Name": "pko_knowledge_authority.tools",
    "SchemaName": "pko_knowledge_authority",
    "SourceView": "vw_tools",
    "GrantKey": "principal-knowledge-authority|Tools",
    "ColumnCount": 5,
    "TableFieldCount": 5,
    "IsFullWidth": true,
    "IsDegenerateView": false
   },
   {
    "RoleSchemaViewId": "rsv-knowledge-authority-user_feedback",
    "RoleSchema": "schema-knowledge-authority",
    "Principal": "principal-knowledge-authority",
    "TargetTable": "UserFeedback",
    "ViewName": "user_feedback",
    "SemanticTypeIri": "urn:effortless:pko-extension#RoleSchemaView",
    "Name": "pko_knowledge_authority.user_feedback",
    "SchemaName": "pko_knowledge_authority",
    "SourceView": "vw_user_feedback",
    "GrantKey": "principal-knowledge-authority|UserFeedback",
    "ColumnCount": 9,
    "TableFieldCount": 9,
    "IsFullWidth": true,
    "IsDegenerateView": false
   },
   {
    "RoleSchemaViewId": "rsv-knowledge-authority-user_questions",
    "RoleSchema": "schema-knowledge-authority",
    "Principal": "principal-knowledge-authority",
    "TargetTable": "UserQuestions",
    "ViewName": "user_questions",
    "SemanticTypeIri": "urn:effortless:pko-extension#RoleSchemaView",
    "Name": "pko_knowledge_authority.user_questions",
    "SchemaName": "pko_knowledge_authority",
    "SourceView": "vw_user_questions",
    "GrantKey": "principal-knowledge-authority|UserQuestions",
    "ColumnCount": 10,
    "TableFieldCount": 10,
    "IsFullWidth": true,
    "IsDegenerateView": false
   },
   {
    "RoleSchemaViewId": "rsv-knowledge-authority-verification_outcomes",
    "RoleSchema": "schema-knowledge-authority",
    "Principal": "principal-knowledge-authority",
    "TargetTable": "VerificationOutcomes",
    "ViewName": "verification_outcomes",
    "SemanticTypeIri": "urn:effortless:pko-extension#RoleSchemaView",
    "Name": "pko_knowledge_authority.verification_outcomes",
    "SchemaName": "pko_knowledge_authority",
    "SourceView": "vw_verification_outcomes",
    "GrantKey": "principal-knowledge-authority|VerificationOutcomes",
    "ColumnCount": 26,
    "TableFieldCount": 26,
    "IsFullWidth": true,
    "IsDegenerateView": false
   },
   {
    "RoleSchemaViewId": "rsv-knowledge-authority-witness_loops",
    "RoleSchema": "schema-knowledge-authority",
    "Principal": "principal-knowledge-authority",
    "TargetTable": "WitnessLoops",
    "ViewName": "witness_loops",
    "SemanticTypeIri": "urn:effortless:pko-extension#RoleSchemaView",
    "Name": "pko_knowledge_authority.witness_loops",
    "SchemaName": "pko_knowledge_authority",
    "SourceView": "vw_witness_loops",
    "GrantKey": "principal-knowledge-authority|WitnessLoops",
    "ColumnCount": 13,
    "TableFieldCount": 13,
    "IsFullWidth": true,
    "IsDegenerateView": false
   },
   {
    "RoleSchemaViewId": "rsv-process-steward-process_mining_runs",
    "RoleSchema": "schema-process-steward",
    "Principal": "principal-process-steward",
    "TargetTable": "ProcessMiningRuns",
    "ViewName": "process_mining_runs",
    "SemanticTypeIri": "urn:effortless:pko-extension#RoleSchemaView",
    "Name": "pko_process_steward.process_mining_runs",
    "SchemaName": "pko_process_steward",
    "SourceView": "vw_process_mining_runs",
    "GrantKey": "principal-process-steward|ProcessMiningRuns",
    "ColumnCount": 19,
    "TableFieldCount": 19,
    "IsFullWidth": true,
    "IsDegenerateView": false
   },
   {
    "RoleSchemaViewId": "rsv-process-steward-vocabularies",
    "RoleSchema": "schema-process-steward",
    "Principal": "principal-process-steward",
    "TargetTable": "Vocabularies",
    "ViewName": "vocabularies",
    "SemanticTypeIri": "urn:effortless:pko-extension#RoleSchemaView",
    "Name": "pko_process_steward.vocabularies",
    "SchemaName": "pko_process_steward",
    "SourceView": "vw_vocabularies",
    "GrantKey": "principal-process-steward|Vocabularies",
    "ColumnCount": 9,
    "TableFieldCount": 9,
    "IsFullWidth": true,
    "IsDegenerateView": false
   },
   {
    "RoleSchemaViewId": "rsv-process-steward-vocabulary_terms",
    "RoleSchema": "schema-process-steward",
    "Principal": "principal-process-steward",
    "TargetTable": "VocabularyTerms",
    "ViewName": "vocabulary_terms",
    "SemanticTypeIri": "urn:effortless:pko-extension#RoleSchemaView",
    "Name": "pko_process_steward.vocabulary_terms",
    "SchemaName": "pko_process_steward",
    "SourceView": "vw_vocabulary_terms",
    "GrantKey": "principal-process-steward|VocabularyTerms",
    "ColumnCount": 11,
    "TableFieldCount": 11,
    "IsFullWidth": true,
    "IsDegenerateView": false
   },
   {
    "RoleSchemaViewId": "rsv-process-steward-knowledge_broker_links",
    "RoleSchema": "schema-process-steward",
    "Principal": "principal-process-steward",
    "TargetTable": "KnowledgeBrokerLinks",
    "ViewName": "knowledge_broker_links",
    "SemanticTypeIri": "urn:effortless:pko-extension#RoleSchemaView",
    "Name": "pko_process_steward.knowledge_broker_links",
    "SchemaName": "pko_process_steward",
    "SourceView": "vw_knowledge_broker_links",
    "GrantKey": "principal-process-steward|KnowledgeBrokerLinks",
    "ColumnCount": 16,
    "TableFieldCount": 16,
    "IsFullWidth": true,
    "IsDegenerateView": false
   },
   {
    "RoleSchemaViewId": "rsv-knowledge-authority-process_mining_runs",
    "RoleSchema": "schema-knowledge-authority",
    "Principal": "principal-knowledge-authority",
    "TargetTable": "ProcessMiningRuns",
    "ViewName": "process_mining_runs",
    "SemanticTypeIri": "urn:effortless:pko-extension#RoleSchemaView",
    "Name": "pko_knowledge_authority.process_mining_runs",
    "SchemaName": "pko_knowledge_authority",
    "SourceView": "vw_process_mining_runs",
    "GrantKey": "principal-knowledge-authority|ProcessMiningRuns",
    "ColumnCount": 19,
    "TableFieldCount": 19,
    "IsFullWidth": true,
    "IsDegenerateView": false
   },
   {
    "RoleSchemaViewId": "rsv-knowledge-authority-vocabularies",
    "RoleSchema": "schema-knowledge-authority",
    "Principal": "principal-knowledge-authority",
    "TargetTable": "Vocabularies",
    "ViewName": "vocabularies",
    "SemanticTypeIri": "urn:effortless:pko-extension#RoleSchemaView",
    "Name": "pko_knowledge_authority.vocabularies",
    "SchemaName": "pko_knowledge_authority",
    "SourceView": "vw_vocabularies",
    "GrantKey": "principal-knowledge-authority|Vocabularies",
    "ColumnCount": 9,
    "TableFieldCount": 9,
    "IsFullWidth": true,
    "IsDegenerateView": false
   },
   {
    "RoleSchemaViewId": "rsv-knowledge-authority-vocabulary_terms",
    "RoleSchema": "schema-knowledge-authority",
    "Principal": "principal-knowledge-authority",
    "TargetTable": "VocabularyTerms",
    "ViewName": "vocabulary_terms",
    "SemanticTypeIri": "urn:effortless:pko-extension#RoleSchemaView",
    "Name": "pko_knowledge_authority.vocabulary_terms",
    "SchemaName": "pko_knowledge_authority",
    "SourceView": "vw_vocabulary_terms",
    "GrantKey": "principal-knowledge-authority|VocabularyTerms",
    "ColumnCount": 11,
    "TableFieldCount": 11,
    "IsFullWidth": true,
    "IsDegenerateView": false
   },
   {
    "RoleSchemaViewId": "rsv-knowledge-authority-knowledge_broker_links",
    "RoleSchema": "schema-knowledge-authority",
    "Principal": "principal-knowledge-authority",
    "TargetTable": "KnowledgeBrokerLinks",
    "ViewName": "knowledge_broker_links",
    "SemanticTypeIri": "urn:effortless:pko-extension#RoleSchemaView",
    "Name": "pko_knowledge_authority.knowledge_broker_links",
    "SchemaName": "pko_knowledge_authority",
    "SourceView": "vw_knowledge_broker_links",
    "GrantKey": "principal-knowledge-authority|KnowledgeBrokerLinks",
    "ColumnCount": 16,
    "TableFieldCount": 16,
    "IsFullWidth": true,
    "IsDegenerateView": false
   }
  ]
 },
 "JwtClaimMappings": {
  "Description": "Maps verified JWT claims onto the SQL accessors row predicates call. Magic-links is the notary: it asserts only that the bearer controls an email address. This table records how that verified email, and any additional claims, become values a policy can test.",
  "important": true,
  "schema": [
   {
    "name": "JwtClaimMappingId",
    "datatype": "string",
    "type": "raw",
    "nullable": false,
    "Description": "Stored logical identifier, e.g. 'claim-email'."
   },
   {
    "name": "Name",
    "datatype": "string",
    "type": "calculated",
    "nullable": true,
    "Description": "Human-readable calculated display alias.",
    "formula": "={{ClaimName}} &amp; \" -&gt; \" &amp; {{SqlAccessor}}"
   },
   {
    "name": "ClaimName",
    "datatype": "string",
    "type": "raw",
    "nullable": true,
    "Description": "Claim key as it appears in the verified JWT payload, e.g. 'email'."
   },
   {
    "name": "SqlAccessor",
    "datatype": "string",
    "type": "raw",
    "nullable": true,
    "Description": "SQL function a policy calls to read the claim, e.g. 'app.jwt_email()'."
   },
   {
    "name": "IsReservedClaim",
    "datatype": "boolean",
    "type": "raw",
    "nullable": true,
    "Description": "True for claims magic-links controls and an app cannot override: email, iss, iat, nbf, exp, sub, tenant_id."
   },
   {
    "name": "MapsToPrincipal",
    "datatype": "boolean",
    "type": "raw",
    "nullable": true,
    "Description": "True when this claim is what resolves the caller to an AccessPrincipals row."
   },
   {
    "name": "Description2",
    "datatype": "string",
    "type": "raw",
    "nullable": true,
    "Description": "What the claim asserts and who vouches for it."
   },
   {
    "name": "UsageCount",
    "datatype": "number",
    "type": "aggregation",
    "nullable": true,
    "Description": "Number of policies whose predicate calls this accessor.",
    "formula": "=COUNTIFS(AccessPolicies!{{RowPredicate}}, {{SqlAccessor}})"
   },
   {
    "name": "SemanticTypeIri",
    "datatype": "string",
    "type": "raw",
    "nullable": true,
    "Description": "Semantic type IRI."
   }
  ],
  "data": [
   {
    "JwtClaimMappingId": "claim-email",
    "ClaimName": "email",
    "SqlAccessor": "app.jwt_email()",
    "IsReservedClaim": true,
    "MapsToPrincipal": true,
    "Description2": "Verified email address. Magic-links asserts only that the bearer controls this mailbox; everything else about the caller is resolved from it inside this database.",
    "SemanticTypeIri": "urn:effortless:pko-extension#JwtClaimMapping",
    "Name": "email -&gt; app.jwt_email()",
    "UsageCount": 0
   },
   {
    "JwtClaimMappingId": "claim-tenant",
    "ClaimName": "tenant_id",
    "SqlAccessor": "app.jwt_tenant_id()",
    "IsReservedClaim": true,
    "MapsToPrincipal": false,
    "Description2": "Magic-links tenant the token was minted for. Pinned so a token from another tenant cannot authenticate here.",
    "SemanticTypeIri": "urn:effortless:pko-extension#JwtClaimMapping",
    "Name": "tenant_id -&gt; app.jwt_tenant_id()",
    "UsageCount": 0
   },
   {
    "JwtClaimMappingId": "claim-principal",
    "ClaimName": "principal",
    "SqlAccessor": "app.jwt_principal()",
    "IsReservedClaim": false,
    "MapsToPrincipal": true,
    "Description2": "AccessPrincipals row the caller acts as, resolved from the verified email via vw_agents. Not trusted from the token itself.",
    "SemanticTypeIri": "urn:effortless:pko-extension#JwtClaimMapping",
    "Name": "principal -&gt; app.jwt_principal()",
    "UsageCount": 0
   },
   {
    "JwtClaimMappingId": "claim-org",
    "ClaimName": "organization",
    "SqlAccessor": "app.jwt_organization()",
    "IsReservedClaim": false,
    "MapsToPrincipal": false,
    "Description2": "Organization the caller belongs to, derived from their principal's domain role. The default tenancy boundary for row predicates.",
    "SemanticTypeIri": "urn:effortless:pko-extension#JwtClaimMapping",
    "Name": "organization -&gt; app.jwt_organization()",
    "UsageCount": 0
   }
  ]
 },
 "AccessDenialTests": {
  "Description": "Denial witnesses. A policy with no failing case seeded against it is an assertion, not evidence -- the same acceptance bar the rest of this rulebook holds. Each row names a principal, a query, and the row that MUST NOT come back, so a policy that silently stops enforcing is caught by a red test rather than by an incident.",
  "important": true,
  "schema": [
   {
    "name": "AccessDenialTestId",
    "datatype": "string",
    "type": "raw",
    "nullable": false,
    "Description": "Stored logical identifier, e.g. 'deny-analyst-other-org-procedures'."
   },
   {
    "name": "Name",
    "datatype": "string",
    "type": "calculated",
    "nullable": true,
    "Description": "Human-readable calculated display alias.",
    "formula": "={{Principal}} &amp; \" must not see \" &amp; {{ForbiddenRowId}}"
   },
   {
    "name": "TargetPolicy",
    "datatype": "string",
    "type": "relationship",
    "nullable": true,
    "Description": "Policy this test exercises.",
    "RelatedTo": "AccessPolicies"
   },
   {
    "name": "Principal",
    "datatype": "string",
    "type": "relationship",
    "nullable": true,
    "Description": "Principal the query runs as.",
    "RelatedTo": "AccessPrincipals"
   },
   {
    "name": "TargetTable",
    "datatype": "string",
    "type": "relationship",
    "nullable": true,
    "Description": "Table queried.",
    "RelatedTo": "RulebookTables"
   },
   {
    "name": "ForbiddenRowId",
    "datatype": "string",
    "type": "raw",
    "nullable": true,
    "Description": "Primary key of the row that must be invisible to this principal."
   },
   {
    "name": "ExpectedVisible",
    "datatype": "boolean",
    "type": "raw",
    "nullable": true,
    "Description": "False for a denial test: the row must not appear. True asserts a row the principal is entitled to does appear."
   },
   {
    "name": "ObservedVisible",
    "datatype": "boolean",
    "type": "raw",
    "nullable": true,
    "Description": "What the substrate actually returned on the last run. Written back by the verifier, never hand-set."
   },
   {
    "name": "LastRunAt",
    "datatype": "datetime",
    "type": "raw",
    "nullable": true,
    "Description": "When this test was last executed against Postgres."
   },
   {
    "name": "HasRun",
    "datatype": "boolean",
    "type": "calculated",
    "nullable": true,
    "Description": "True once the test has been executed at least once.",
    "formula": "={{LastRunAt}} &lt;&gt; \"\""
   },
   {
    "name": "IsPassing",
    "datatype": "boolean",
    "type": "calculated",
    "nullable": true,
    "Description": "True when observed visibility matches expectation.",
    "formula": "={{ObservedVisible}} = {{ExpectedVisible}}"
   },
   {
    "name": "IsLeak",
    "datatype": "boolean",
    "type": "calculated",
    "nullable": true,
    "Description": "True when a row that must be invisible was returned. A confirmed access-control breach.",
    "formula": "=AND(NOT({{ExpectedVisible}}), {{ObservedVisible}})"
   },
   {
    "name": "IsUnproven",
    "datatype": "boolean",
    "type": "calculated",
    "nullable": true,
    "Description": "True when the test has never run, so it proves nothing regardless of how it is written.",
    "formula": "=NOT({{HasRun}})"
   },
   {
    "name": "Rationale",
    "datatype": "string",
    "type": "raw",
    "nullable": true,
    "Description": "Why this row must (or must not) be visible, and which predicate it exercises."
   },
   {
    "name": "IsPositiveControl",
    "datatype": "boolean",
    "type": "calculated",
    "nullable": true,
    "Description": "True when this test asserts a row the principal IS entitled to. A denial suite with no positive controls cannot distinguish a working policy from one that denies everything.",
    "formula": "={{ExpectedVisible}}"
   },
   {
    "name": "ForbiddenTable",
    "datatype": "string",
    "type": "raw",
    "nullable": true,
    "Description": "For a table-absence witness: the table that must NOT exist in this principal's schema. Selecting it must raise 'relation does not exist', not return zero rows."
   },
   {
    "name": "ForbiddenColumn",
    "datatype": "string",
    "type": "raw",
    "nullable": true,
    "Description": "For a column-absence witness: the column that must NOT exist in this principal's view. Selecting it must raise 'column does not exist', not return null."
   },
   {
    "name": "SemanticTypeIri",
    "datatype": "string",
    "type": "raw",
    "nullable": true,
    "Description": "Semantic type IRI."
   }
  ],
  "data": [
   {
    "AccessDenialTestId": "deny-analyst-superseded-version",
    "TargetPolicy": "pol-financeanalyst-procedure_versions-select",
    "Principal": "principal-finance-analyst",
    "TargetTable": "ProcedureVersions",
    "ForbiddenRowId": "close-v1.0.0",
    "ExpectedVisible": false,
    "ObservedVisible": false,
    "LastRunAt": "2026-09-13T18:36:06+00:00",
    "Rationale": "close-v1.0.0 is superseded (is_current=false). Only current versions are visible to an operating role; version history is for stewards.",
    "SemanticTypeIri": "urn:effortless:pko-extension#AccessDenialTest",
    "Name": "principal-finance-analyst must not see close-v1.0.0",
    "HasRun": true,
    "IsPassing": true,
    "IsLeak": false,
    "IsUnproven": false,
    "IsPositiveControl": false
   },
   {
    "AccessDenialTestId": "allow-analyst-current-version",
    "TargetPolicy": "pol-financeanalyst-procedure_versions-select",
    "Principal": "principal-finance-analyst",
    "TargetTable": "ProcedureVersions",
    "ForbiddenRowId": "close-v1.1.0",
    "ExpectedVisible": true,
    "ObservedVisible": true,
    "LastRunAt": "2026-09-13T18:36:06+00:00",
    "Rationale": "Positive control. close-v1.1.0 is the current version and must remain visible.",
    "SemanticTypeIri": "urn:effortless:pko-extension#AccessDenialTest",
    "Name": "principal-finance-analyst must not see close-v1.1.0",
    "HasRun": true,
    "IsPassing": true,
    "IsLeak": false,
    "IsUnproven": false,
    "IsPositiveControl": true
   },
   {
    "AccessDenialTestId": "deny-controller-decided-change-request",
    "TargetPolicy": "pol-controller-change_requests-select",
    "Principal": "principal-controller",
    "TargetTable": "ChangeRequests",
    "ForbiddenRowId": "cr-close-timestamp",
    "ExpectedVisible": false,
    "ObservedVisible": false,
    "LastRunAt": "2026-09-13T18:36:06+00:00",
    "Rationale": "cr-close-timestamp is decided (is_open=false). The inference-backed predicate must exclude it, proving a policy can cut on a derived field rather than a stored column.",
    "SemanticTypeIri": "urn:effortless:pko-extension#AccessDenialTest",
    "Name": "principal-controller must not see cr-close-timestamp",
    "HasRun": true,
    "IsPassing": true,
    "IsLeak": false,
    "IsUnproven": false,
    "IsPositiveControl": false
   },
   {
    "AccessDenialTestId": "allow-controller-open-change-request",
    "TargetPolicy": "pol-controller-change_requests-select",
    "Principal": "principal-controller",
    "TargetTable": "ChangeRequests",
    "ForbiddenRowId": "cr-policy-delivery",
    "ExpectedVisible": true,
    "ObservedVisible": true,
    "LastRunAt": "2026-09-13T18:36:06+00:00",
    "Rationale": "Positive control for the inference predicate. cr-policy-delivery is open (is_open=true) and must remain visible.",
    "SemanticTypeIri": "urn:effortless:pko-extension#AccessDenialTest",
    "Name": "principal-controller must not see cr-policy-delivery",
    "HasRun": true,
    "IsPassing": true,
    "IsLeak": false,
    "IsUnproven": false,
    "IsPositiveControl": true
   },
   {
    "AccessDenialTestId": "deny-counsel-controller-fragment",
    "TargetPolicy": "pol-employmentcounsel-knowledge_fragments-select",
    "Principal": "principal-employment-counsel",
    "TargetTable": "KnowledgeFragments",
    "ForbiddenRowId": "kf-close-fx-time",
    "ExpectedVisible": false,
    "ObservedVisible": false,
    "LastRunAt": "2026-09-13T18:36:06+00:00",
    "Rationale": "kf-close-fx-time is owned by the controller. Employment counsel must not read another role's knowledge fragment.",
    "SemanticTypeIri": "urn:effortless:pko-extension#AccessDenialTest",
  </t>
  </si>
  <si>
    <t xml:space="preserve">  "Name": "principal-employment-counsel must not see kf-close-fx-time",
    "HasRun": true,
    "IsPassing": true,
    "IsLeak": false,
    "IsUnproven": false,
    "IsPositiveControl": false
   },
   {
    "AccessDenialTestId": "allow-counsel-own-fragment",
    "TargetPolicy": "pol-employmentcounsel-knowledge_fragments-select",
    "Principal": "principal-employment-counsel",
    "TargetTable": "KnowledgeFragments",
    "ForbiddenRowId": "kf-policy-ai-boundary",
    "ExpectedVisible": true,
    "ObservedVisible": true,
    "LastRunAt": "2026-09-13T18:36:06+00:00",
    "Rationale": "Positive control for the ownership predicate. kf-policy-ai-boundary is owned by employment-counsel and must be visible.",
    "SemanticTypeIri": "urn:effortless:pko-extension#AccessDenialTest",
    "Name": "principal-employment-counsel must not see kf-policy-ai-boundary",
    "HasRun": true,
    "IsPassing": true,
    "IsLeak": false,
    "IsUnproven": false,
    "IsPositiveControl": true
   },
   {
    "AccessDenialTestId": "deny-hr-resolved-gap",
    "TargetPolicy": "pol-hrpolicyowner-knowledge_gaps-select",
    "Principal": "principal-hr-policy-owner",
    "TargetTable": "KnowledgeGaps",
    "ForbiddenRowId": "gap-close-cadence-unmeasured",
    "ExpectedVisible": false,
    "ObservedVisible": false,
    "LastRunAt": "2026-09-13T18:36:06+00:00",
    "Rationale": "gap-close-cadence-unmeasured is Resolved (is_open=false) and must not appear.",
    "SemanticTypeIri": "urn:effortless:pko-extension#AccessDenialTest",
    "Name": "principal-hr-policy-owner must not see gap-close-cadence-unmeasured",
    "HasRun": true,
    "IsPassing": true,
    "IsLeak": false,
    "IsUnproven": false,
    "IsPositiveControl": false
   },
   {
    "AccessDenialTestId": "allow-hr-open-gap",
    "TargetPolicy": "pol-hrpolicyowner-knowledge_gaps-select",
    "Principal": "principal-hr-policy-owner",
    "TargetTable": "KnowledgeGaps",
    "ForbiddenRowId": "gap-policy-delivery-receipts",
    "ExpectedVisible": true,
    "ObservedVisible": true,
    "LastRunAt": "2026-09-13T18:36:06+00:00",
    "Rationale": "Positive control. gap-policy-delivery-receipts is Open and must remain visible.",
    "SemanticTypeIri": "urn:effortless:pko-extension#AccessDenialTest",
    "Name": "principal-hr-policy-owner must not see gap-policy-delivery-receipts",
    "HasRun": true,
    "IsPassing": true,
    "IsLeak": false,
    "IsUnproven": false,
    "IsPositiveControl": true
   },
   {
    "AccessDenialTestId": "deny-controller-fragment-diagnostics",
    "TargetPolicy": "pol-controller-knowledge_fragments-select",
    "Principal": "principal-controller",
    "TargetTable": "KnowledgeFragments",
    "ForbiddenRowId": "kf-close-fx-time",
    "ExpectedVisible": false,
    "ObservedVisible": false,
    "LastRunAt": "2026-09-13T18:36:06+00:00",
    "Rationale": "Column-granularity withholding. The controller reads knowledge_fragments but is not granted the stewardship diagnostic columns. evidence_has_expired EXISTS on public.vw_knowledge_fragments and must be ABSENT from the controller's view -- selecting it must raise 'column does not exist', not return null.",
    "SemanticTypeIri": "urn:effortless:pko-extension#AccessDenialTest",
    "ForbiddenColumn": "evidence_has_expired",
    "Name": "principal-controller must not see kf-close-fx-time",
    "HasRun": true,
    "IsPassing": true,
    "IsLeak": false,
    "IsUnproven": false,
    "IsPositiveControl": false
   },
   {
    "AccessDenialTestId": "deny-cfo-send-intents",
    "TargetPolicy": null,
    "Principal": "principal-cfo",
    "TargetTable": "SendIntents",
    "ForbiddenTable": "SendIntents",
    "ForbiddenRowId": null,
    "ExpectedVisible": false,
    "ObservedVisible": false,
    "LastRunAt": "2026-09-13T18:36:06+00:00",
    "Rationale": "The CFO approves financial decisions. The outbound message queue is the communications manager's surface and must not appear in the CFO's schema at all.",
    "SemanticTypeIri": "urn:effortless:pko-extension#AccessDenialTest",
    "Name": "principal-cfo must not see ",
    "HasRun": true,
    "IsPassing": true,
    "IsLeak": false,
    "IsUnproven": false,
    "IsPositiveControl": false
   },
   {
    "AccessDenialTestId": "deny-cfo-step-executions",
    "TargetPolicy": null,
    "Principal": "principal-cfo",
    "TargetTable": "StepExecutions",
    "ForbiddenTable": "StepExecutions",
    "ForbiddenRowId": null,
    "ExpectedVisible": false,
    "ObservedVisible": false,
    "LastRunAt": "2026-09-13T18:36:06+00:00",
    "Rationale": "Preparation telemetry is not a CFO concern; he sees the close's headline state, not each step's execution record.",
    "SemanticTypeIri": "urn:effortless:pko-extension#AccessDenialTest",
    "Name": "principal-cfo must not see ",
    "HasRun": true,
    "IsPassing": true,
    "IsLeak": false,
    "IsUnproven": false,
    "IsPositiveControl": false
   },
   {
    "AccessDenialTestId": "deny-close-automation-recipients",
    "TargetPolicy": null,
    "Principal": "principal-close-automation",
    "TargetTable": "Recipients",
    "ForbiddenTable": "Recipients",
    "ForbiddenRowId": null,
    "ExpectedVisible": false,
    "ObservedVisible": false,
    "LastRunAt": "2026-09-13T18:36:06+00:00",
    "Rationale": "A posting pipeline has no business reading employee contact details. close-automation is granted 3 tables and Recipients is not one.",
    "SemanticTypeIri": "urn:effortless:pko-extension#AccessDenialTest",
    "Name": "principal-close-automation must not see ",
    "HasRun": true,
    "IsPassing": true,
    "IsLeak": false,
    "IsUnproven": false,
    "IsPositiveControl": false
   },
   {
    "AccessDenialTestId": "deny-close-automation-change-requests",
    "TargetPolicy": null,
    "Principal": "principal-close-automation",
    "TargetTable": "ChangeRequests",
    "ForbiddenTable": "ChangeRequests",
    "ForbiddenRowId": null,
    "ExpectedVisible": false,
    "ObservedVisible": false,
    "LastRunAt": "2026-09-13T18:36:06+00:00",
    "Rationale": "Governance is not a robot's surface.",
    "SemanticTypeIri": "urn:effortless:pko-extension#AccessDenialTest",
    "Name": "principal-close-automation must not see ",
    "HasRun": true,
    "IsPassing": true,
    "IsLeak": false,
    "IsUnproven": false,
    "IsPositiveControl": false
   },
   {
    "AccessDenialTestId": "deny-policy-drafting-agent-recipients",
    "TargetPolicy": null,
    "Principal": "principal-policy-drafting-agent",
    "TargetTable": "Recipients",
    "ForbiddenTable": "Recipients",
    "ForbiddenRowId": null,
    "ExpectedVisible": false,
    "ObservedVisible": false,
    "LastRunAt": "2026-09-13T18:36:06+00:00",
    "Rationale": "The drafting AI writes policy variants. It never needs to know WHO is addressed, so consent data is out of its reach entirely.",
    "SemanticTypeIri": "urn:effortless:pko-extension#AccessDenialTest",
    "Name": "principal-policy-drafting-agent must not see ",
    "HasRun": true,
    "IsPassing": true,
    "IsLeak": false,
    "IsUnproven": false,
    "IsPositiveControl": false
   },
   {
    "AccessDenialTestId": "deny-notification-publisher-knowledge-fragments",
    "TargetPolicy": null,
    "Principal": "principal-notification-publisher",
    "TargetTable": "KnowledgeFragments",
    "ForbiddenTable": "KnowledgeFragments",
    "ForbiddenRowId": null,
    "ExpectedVisible": false,
    "ObservedVisible": false,
    "LastRunAt": "2026-09-13T18:36:06+00:00",
    "Rationale": "The publisher applies channel rules and sends. Procedural knowledge is not its surface.",
    "SemanticTypeIri": "urn:effortless:pko-extension#AccessDenialTest",
    "Name": "principal-notification-publisher must not see ",
    "HasRun": true,
    "IsPassing": true,
    "IsLeak": false,
    "IsUnproven": false,
    "IsPositiveControl": false
   },
   {
    "AccessDenialTestId": "deny-employment-counsel-step-executions",
    "TargetPolicy": null,
    "Principal": "principal-employment-counsel",
    "TargetTable": "StepExecutions",
    "ForbiddenTable": "StepExecutions",
    "ForbiddenRowId": null,
    "ExpectedVisible": false,
    "ObservedVisible": false,
    "LastRunAt": "2026-09-13T18:36:06+00:00",
    "Rationale": "Legal review reads what is proposed, not the finance close's execution telemetry.",
    "SemanticTypeIri": "urn:effortless:pko-extension#AccessDenialTest",
    "Name": "principal-employment-counsel must not see ",
    "HasRun": true,
    "IsPassing": true,
    "IsLeak": false,
    "IsUnproven": false,
    "IsPositiveControl": false
   },
   {
    "AccessDenialTestId": "deny-variance-review-agent-recipients",
    "TargetPolicy": null,
    "Principal": "principal-variance-review-agent",
    "TargetTable": "Recipients",
    "ForbiddenTable": "Recipients",
    "ForbiddenRowId": null,
    "ExpectedVisible": false,
    "ObservedVisible": false,
    "LastRunAt": "2026-09-13T18:36:06+00:00",
    "Rationale": "A variance classifier has no path to personal data.",
    "SemanticTypeIri": "urn:effortless:pko-extension#AccessDenialTest",
    "Name": "principal-variance-review-agent must not see ",
    "HasRun": true,
    "IsPassing": true,
    "IsLeak": false,
    "IsUnproven": false,
    "IsPositiveControl": false
   }
  ]
 },
 "AppUsers": {
  "Description": "Sign-in identities. One row per person or automation that can authenticate. EmailAddress is what a verified token asserts; everything else about the caller is resolved from here inside the database, never trusted from the token.",
  "important": true,
  "schema": [
   {
    "name": "AppUserId",
    "datatype": "string",
    "type": "raw",
    "nullable": false,
    "Description": "Stored logical identifier, e.g. 'user-maria-chen'."
   },
   {
    "name": "Name",
    "datatype": "string",
    "type": "calculated",
    "nullable": true,
    "Description": "Human-readable calculated display alias.",
    "formula": "={{DisplayName}}"
   },
   {
    "name": "EmailAddress",
    "datatype": "string",
    "type": "raw",
    "nullable": true,
    "Description": "Verified email. The one claim magic-links vouches for, and the join key from a token back to this row."
   },
   {
    "name": "DisplayName",
    "datatype": "string",
    "type": "raw",
    "nullable": true,
    "Description": "Name shown in the console."
   },
   {
    "name": "LinkedAgent",
    "datatype": "string",
    "type": "relationship",
    "nullable": true,
    "Description": "Domain agent this sign-in identity corresponds to.",
    "RelatedTo": "Agents"
   },
   {
    "name": "IsEnabled",
    "datatype": "boolean",
    "type": "raw",
    "nullable": true,
    "Description": "False disables sign-in without deleting the identity or its history."
   },
   {
    "name": "AgentKind",
    "datatype": "string",
    "type": "lookup",
    "nullable": true,
    "Description": "Whether the linked agent is Human, AIAgent or AutomatedPipeline.",
    "formula": "=INDEX(Agents!{{AgentKind}}, MATCH({{LinkedAgent}}, Agents!{{AgentId}}, 0))"
   },
   {
    "name": "Organization",
    "datatype": "string",
    "type": "lookup",
    "nullable": true,
    "Description": "Organization inherited from the linked agent; the tenancy claim baked into issued tokens.",
    "formula": "=INDEX(Agents!{{Organization}}, MATCH({{LinkedAgent}}, Agents!{{AgentId}}, 0))"
   },
   {
    "name": "AssignmentCount",
    "datatype": "number",
    "type": "aggregation",
    "nullable": true,
    "Description": "Number of principals this user may act as.",
    "formula": "=COUNTIFS(PrincipalAssignments!{{AppUser}}, {{AppUserId}})"
   },
   {
    "name": "HasNoPrincipal",
    "datatype": "boolean",
    "type": "calculated",
    "nullable": true,
    "Description": "True when the user may act as no principal at all, so a successfully verified token still grants nothing. Authentication without authorization.",
    "formula": "={{AssignmentCount}} = 0"
   },
   {
    "name": "HoldsMultiplePrincipals",
    "datatype": "boolean",
    "type": "calculated",
    "nullable": true,
    "Description": "True when the user may act as more than one principal, so the principal cannot be inferred from the email alone and must be chosen explicitly at sign-in.",
    "formula": "={{AssignmentCount}} &gt; 1"
   },
   {
    "name": "IsNonHumanSignIn",
    "datatype": "boolean",
    "type": "calculated",
    "nullable": true,
    "Description": "True when a non-human agent has a sign-in identity. Pipelines and AI agents authenticate too, and their tokens are scoped exactly like a person's.",
    "formula": "=OR({{AgentKind}} = \"AIAgent\", {{AgentKind}} = \"AutomatedPipeline\")"
   },
   {
    "name": "SemanticTypeIri",
    "datatype": "string",
    "type": "raw",
    "nullable": true,
    "Description": "Semantic type IRI."
   }
  ],
  "data": [
   {
    "AppUserId": "user-amina-yusuf",
    "EmailAddress": "amina.yusuf@example.com",
    "DisplayName": "Amina Yusuf",
    "LinkedAgent": "amina-yusuf",
    "IsEnabled": true,
    "SemanticTypeIri": "urn:effortless:pko-extension#AppUser",
    "Name": "Amina Yusuf",
    "AgentKind": "Human",
    "Organization": "acme-people",
    "AssignmentCount": 1,
    "HasNoPrincipal": false,
    "HoldsMultiplePrincipals": false,
    "IsNonHumanSignIn": false
   },
   {
    "AppUserId": "user-close-pipeline",
    "EmailAddress": "close-pipeline@pipelines.internal",
    "DisplayName": "Close Pipeline",
    "LinkedAgent": "close-pipeline",
    "IsEnabled": true,
    "SemanticTypeIri": "urn:effortless:pko-extension#AppUser",
    "Name": "Close Pipeline",
    "AgentKind": "AutomatedPipeline",
    "Organization": "acme-finance",
    "AssignmentCount": 1,
    "HasNoPrincipal": false,
    "HoldsMultiplePrincipals": false,
    "IsNonHumanSignIn": true
   },
   {
    "AppUserId": "user-devon-okafor",
    "EmailAddress": "devon.okafor@example.com",
    "DisplayName": "Devon Okafor",
    "LinkedAgent": "devon-okafor",
    "IsEnabled": true,
    "SemanticTypeIri": "urn:effortless:pko-extension#AppUser",
    "Name": "Devon Okafor",
    "AgentKind": "Human",
    "Organization": "acme-finance",
    "AssignmentCount": 1,
    "HasNoPrincipal": false,
    "HoldsMultiplePrincipals": false,
    "IsNonHumanSignIn": false
   },
   {
    "AppUserId": "user-elena-garcia",
    "EmailAddress": "elena.garcia@example.com",
    "DisplayName": "Elena Garcia",
    "LinkedAgent": "elena-garcia",
    "IsEnabled": true,
    "SemanticTypeIri": "urn:effortless:pko-extension#AppUser",
    "Name": "Elena Garcia",
    "AgentKind": "Human",
    "Organization": "acme-people",
    "AssignmentCount": 2,
    "HasNoPrincipal": false,
    "HoldsMultiplePrincipals": true,
    "IsNonHumanSignIn": false
   },
   {
    "AppUserId": "user-maria-chen",
    "EmailAddress": "maria.chen@example.com",
    "DisplayName": "Maria Chen",
    "LinkedAgent": "maria-chen",
    "IsEnabled": true,
    "SemanticTypeIri": "urn:effortless:pko-extension#AppUser",
    "Name": "Maria Chen",
    "AgentKind": "Human",
    "Organization": "acme-finance",
    "AssignmentCount": 1,
    "HasNoPrincipal": false,
    "HoldsMultiplePrincipals": false,
    "IsNonHumanSignIn": false
   },
   {
    "AppUserId": "user-noah-williams",
    "EmailAddress": "noah.williams@example.com",
    "DisplayName": "Noah Williams",
    "LinkedAgent": "noah-williams",
    "IsEnabled": true,
    "SemanticTypeIri": "urn:effortless:pko-extension#AppUser",
    "Name": "Noah Williams",
    "AgentKind": "Human",
    "Organization": "acme-legal",
    "AssignmentCount": 1,
    "HasNoPrincipal": false,
    "HoldsMultiplePrincipals": false,
    "IsNonHumanSignIn": false
   },
   {
    "AppUserId": "user-notification-pipeline",
    "EmailAddress": "notification-pipeline@pipelines.internal",
    "DisplayName": "Notification Pipeline",
    "LinkedAgent": "notification-pipeline",
    "IsEnabled": true,
    "SemanticTypeIri": "urn:effortless:pko-extension#AppUser",
    "Name": "Notification Pipeline",
    "AgentKind": "AutomatedPipeline",
    "Organization": "acme-people",
    "AssignmentCount": 1,
    "HasNoPrincipal": false,
    "HoldsMultiplePrincipals": false,
    "IsNonHumanSignIn": true
   },
   {
    "AppUserId": "user-policy-drafting-ai",
    "EmailAddress": "policy-drafting-ai@pipelines.internal",
    "DisplayName": "Policy Drafting Ai",
    "LinkedAgent": "policy-drafting-ai",
    "IsEnabled": true,
    "SemanticTypeIri": "urn:effortless:pko-extension#AppUser",
    "Name": "Policy Drafting Ai",
    "AgentKind": "AIAgent",
    "Organization": "acme-people",
    "AssignmentCount": 1,
    "HasNoPrincipal": false,
    "HoldsMultiplePrincipals": false,
    "IsNonHumanSignIn": true
   },
   {
    "AppUserId": "user-priya-raman",
    "EmailAddress": "priya.raman@example.com",
    "DisplayName": "Priya Raman",
    "LinkedAgent": "priya-raman",
    "IsEnabled": true,
    "SemanticTypeIri": "urn:effortless:pko-extension#AppUser",
    "Name": "Priya Raman",
    "AgentKind": "Human",
    "Organization": "acme-finance",
    "AssignmentCount": 2,
    "HasNoPrincipal": false,
    "HoldsMultiplePrincipals": true,
    "IsNonHumanSignIn": false
   },
   {
    "AppUserId": "user-variance-ai",
    "EmailAddress": "variance-ai@pipelines.internal",
    "DisplayName": "Variance Ai",
    "LinkedAgent": "variance-ai",
    "IsEnabled": true,
    "SemanticTypeIri": "urn:effortless:pko-extension#AppUser",
    "Name": "Variance Ai",
    "AgentKind": "AIAgent",
    "Organization": "acme-finance",
    "AssignmentCount": 1,
    "HasNoPrincipal": false,
    "HoldsMultiplePrincipals": false,
    "IsNonHumanSignIn": true
   }
  ]
 },
 "PrincipalAssignments": {
  "Description": "Which principals a user may act as. The authorization half of sign-in: a verified email proves who you are, this table decides what you may become. A user with two assignments picks one at sign-in, and the choice is verified here rather than accepted from the client.",
  "important": true,
  "schema": [
   {
    "name": "PrincipalAssignmentId",
    "datatype": "string",
    "type": "raw",
    "nullable": false,
    "Description": "Stored logical identifier, e.g. 'pa-maria-finance-analyst'."
   },
   {
    "name": "Name",
    "datatype": "string",
    "type": "calculated",
    "nullable": true,
    "Description": "Human-readable calculated display alias.",
    "formula": "={{AppUser}} &amp; \" as \" &amp; {{Principal}}"
   },
   {
    "name": "AppUser",
    "datatype": "string",
    "type": "relationship",
    "nullable": true,
    "Description": "Sign-in identity being granted.",
    "RelatedTo": "AppUsers"
   },
   {
    "name": "Principal",
    "datatype": "string",
    "type": "relationship",
    "nullable": true,
    "Description": "Principal the user may act as.",
    "RelatedTo": "AccessPrincipals"
   },
   {
    "name": "IsDefault",
    "datatype": "boolean",
    "type": "raw",
    "nullable": true,
    "Description": "True for the principal selected when the user does not name one."
   },
   {
    "name": "GrantedRationale",
    "datatype": "string",
    "type": "raw",
    "nullable": true,
    "Description": "Why this user may act as this principal."
   },
   {
    "name": "PrincipalIsAdmin",
    "datatype": "boolean",
    "type": "lookup",
    "nullable": true,
    "Description": "Whether the assigned principal is an administrator.",
    "formula": "=INDEX(AccessPrincipals!{{IsAdministrator}}, MATCH({{Principal}}, AccessPrincipals!{{AccessPrincipalId}}, 0))"
   },
   {
    "name": "UserOrganization",
    "datatype": "string",
    "type": "lookup",
    "nullable": true,
    "Description": "Organization of the signing-in user.",
    "formula": "=INDEX(AppUsers!{{Organization}}, MATCH({{AppUser}}, AppUsers!{{AppUserId}}, 0))"
   },
   {
    "name": "PrincipalOrganization",
    "datatype": "string",
    "type": "lookup",
    "nullable": true,
    "Description": "Organization of the principal being assumed.",
    "formula": "=INDEX(AccessPrincipals!{{OrganizationScope}}, MATCH({{Principal}}, AccessPrincipals!{{AccessPrincipalId}}, 0))"
   },
   {
    "name": "IsCrossOrganizationGrant",
    "datatype": "boolean",
    "type": "calculated",
    "nullable": true,
    "Description": "True when a user is allowed to act as a principal in a different organization. Legitimate for shared-service roles, but it crosses the tenancy boundary and should be deliberate rather than accidental.",
    "formula": "=AND({{UserOrganization}} &lt;&gt; \"\", {{PrincipalOrganization}} &lt;&gt; \"\", {{UserOrganization}} &lt;&gt; {{PrincipalOrganization}})"
   },
   {
    "name": "SemanticTypeIri",
    "datatype": "string",
    "type": "raw",
    "nullable": true,
    "Description": "Semantic type IRI."
   }
  ],
  "data": [
   {
    "PrincipalAssignmentId": "pa-amina-yusuf-communications-manager",
    "AppUser": "user-amina-yusuf",
    "Principal": "principal-communications-manager",
    "IsDefault": true,
    "GrantedRationale": "amina-yusuf currently holds the communications-manager role in the domain model, so may act as its principal.",
    "SemanticTypeIri": "urn:effortless:pko-extension#PrincipalAssignment",
    "Name": "user-amina-yusuf as principal-communications-manager",
    "PrincipalIsAdmin": false,
    "UserOrganization": "acme-people",
    "PrincipalOrganization": "acme-people",
    "IsCrossOrganizationGrant": false
   },
   {
    "PrincipalAssignmentId": "pa-close-pipeline-close-automation",
    "AppUser": "user-close-pipeline",
    "Principal": "principal-close-automation",
    "IsDefault": true,
    "GrantedRationale": "close-pipeline currently holds the close-automation role in the domain model, so may act as its principal.",
    "SemanticTypeIri": "urn:effortless:pko-extension#PrincipalAssignment",
    "Name": "user-close-pipeline as principal-close-automation",
    "PrincipalIsAdmin": false,
    "UserOrganization": "acme-finance",
    "PrincipalOrganization": "acme-finance",
    "IsCrossOrganizationGrant": false
   },
   {
    "PrincipalAssignmentId": "pa-devon-okafor-controller",
    "AppUser": "user-devon-okafor",
    "Principal": "principal-controller",
    "IsDefault": true,
    "GrantedRationale": "devon-okafor currently holds the controller role in the domain model, so may act as its principal.",
    "SemanticTypeIri": "urn:effortless:pko-extension#PrincipalAssignment",
    "Name": "user-devon-okafor as principal-controller",
    "PrincipalIsAdmin": false,
    "UserOrganization": "acme-finance",
    "PrincipalOrganization": "acme-finance",
    "IsCrossOrganizationGrant": false
   },
   {
    "PrincipalAssignmentId": "pa-elena-garcia-hr-policy-owner",
    "AppUser": "user-elena-garcia",
    "Principal": "principal-hr-policy-owner",
    "IsDefault": true,
    "GrantedRationale": "elena-garcia currently holds the hr-policy-owner role in the domain model, so may act as its principal.",
    "SemanticTypeIri": "urn:effortless:pko-extension#PrincipalAssignment",
    "Name": "user-elena-garcia as principal-hr-policy-owner",
    "PrincipalIsAdmin": false,
    "UserOrganization": "acme-people",
    "PrincipalOrganization": "acme-people",
    "IsCrossOrganizationGrant": false
   },
   {
    "PrincipalAssignmentId": "pa-elena-garcia-process-steward",
    "AppUser": "user-elena-garcia",
    "Principal": "principal-process-steward",
    "IsDefault": false,
    "GrantedRationale": "elena-garcia currently holds the process-steward role in the domain model, so may act as its principal.",
    "SemanticTypeIri": "urn:effortless:pko-extension#PrincipalAssignment",
    "Name": "user-elena-garcia as principal-process-steward",
    "PrincipalIsAdmin": true,
    "UserOrganization": "acme-people",
    "PrincipalOrganization": "acme-people",
    "IsCrossOrganizationGrant": false
   },
   {
    "PrincipalAssignmentId": "pa-maria-chen-finance-analyst",
    "AppUser": "user-maria-chen",
    "Principal": "principal-finance-analyst",
    "IsDefault": true,
    "GrantedRationale": "maria-chen currently holds the finance-analyst role in the domain model, so may act as its principal.",
    "SemanticTypeIri": "urn:effortless:pko-extension#PrincipalAssignment",
    "Name": "user-maria-chen as principal-finance-analyst",
    "PrincipalIsAdmin": false,
    "UserOrganization": "acme-finance",
    "PrincipalOrganization": "acme-finance",
    "IsCrossOrganizationGrant": false
   },
   {
    "PrincipalAssignmentId": "pa-noah-williams-employment-counsel",
    "AppUser": "user-noah-williams",
    "Principal": "principal-employment-counsel",
    "IsDefault": true,
    "GrantedRationale": "noah-williams currently holds the employment-counsel role in the domain model, so may act as its principal.",
    "SemanticTypeIri": "urn:effortless:pko-extension#PrincipalAssignment",
    "Name": "user-noah-williams as principal-employment-counsel",
    "PrincipalIsAdmin": false,
    "UserOrganization": "acme-legal",
    "PrincipalOrganization": "acme-legal",
    "IsCrossOrganizationGrant": false
   },
   {
    "PrincipalAssignmentId": "pa-notification-pipeline-notification-publisher",
    "AppUser": "user-notification-pipeline",
    "Principal": "principal-notification-publisher",
    "IsDefault": true,
    "GrantedRationale": "notification-pipeline currently holds the notification-publisher role in the domain model, so may act as its principal.",
    "SemanticTypeIri": "urn:effortless:pko-extension#PrincipalAssignment",
    "Name": "user-notification-pipeline as principal-notification-publisher",
    "PrincipalIsAdmin": false,
    "UserOrganization": "acme-people",
    "PrincipalOrganization": "acme-people",
    "IsCrossOrganizationGrant": false
   },
   {
    "PrincipalAssignmentId": "pa-policy-drafting-ai-policy-drafting-agent",
    "AppUser": "user-policy-drafting-ai",
    "Principal": "principal-policy-drafting-agent",
    "IsDefault": true,
    "GrantedRationale": "policy-drafting-ai currently holds the policy-drafting-agent role in the domain model, so may act as its principal.",
    "SemanticTypeIri": "urn:effortless:pko-extension#PrincipalAssignment",
    "Name": "user-policy-drafting-ai as principal-policy-drafting-agent",
    "PrincipalIsAdmin": false,
    "UserOrganization": "acme-people",
    "PrincipalOrganization": "acme-people",
    "IsCrossOrganizationGrant": false
   },
   {
    "PrincipalAssignmentId": "pa-priya-raman-cfo",
    "AppUser": "user-priya-raman",
    "Principal": "principal-cfo",
    "IsDefault": true,
    "GrantedRationale": "priya-raman currently holds the cfo role in the domain model, so may act as its principal.",
    "SemanticTypeIri": "urn:effortless:pko-extension#PrincipalAssignment",
    "Name": "user-priya-raman as principal-cfo",
    "PrincipalIsAdmin": false,
    "UserOrganization": "acme-finance",
    "PrincipalOrganization": "acme-finance",
    "IsCrossOrganizationGrant": false
   },
   {
    "PrincipalAssignmentId": "pa-priya-raman-knowledge-authority",
    "AppUser": "user-priya-raman",
    "Principal": "principal-knowledge-authority",
    "IsDefault": false,
    "GrantedRationale": "priya-raman currently holds the knowledge-authority role in the domain model, so may act as its principal.",
    "SemanticTypeIri": "urn:effortless:pko-extension#PrincipalAssignment",
    "Name": "user-priya-raman as principal-knowledge-authority",
    "PrincipalIsAdmin": true,
    "UserOrganization": "acme-finance",
    "PrincipalOrganization": "acme-finance",
    "IsCrossOrganizationGrant": false
   },
   {
    "PrincipalAssignmentId": "pa-variance-ai-variance-review-agent",
    "AppUser": "user-variance-ai",
    "Principal": "principal-variance-review-agent",
    "IsDefault": true,
    "GrantedRationale": "variance-ai currently holds the variance-review-agent role in the domain model, so may act as its principal.",
    "SemanticTypeIri": "urn:effortless:pko-extension#PrincipalAssignment",
    "Name": "user-variance-ai as principal-variance-review-agent",
    "PrincipalIsAdmin": false,
    "UserOrganization": "acme-finance",
    "PrincipalOrganization": "acme-finance",
    "IsCrossOrganizationGrant": false
   }
  ]
 },
 "IssuedTokens": {
  "Description": "Audit trail of every token minted. A token records which user signed in, which principal they chose, and the claims that were joined from the database at mint time -- so a later question of 'what could this session see' is answerable from data rather than reconstruction.",
  "important": true,
  "schema": [
   {
    "name": "IssuedTokenId",
    "datatype": "string",
    "type": "raw",
    "nullable": false,
    "Description": "Stored logical identifier for one mint event."
   },
   {
    "name": "Name",
    "datatype": "string",
    "type": "calculated",
    "nullable": true,
    "Description": "Human-readable calculated display alias.",
    "formula": "={{AppUser}} &amp; \" as \" &amp; {{Principal}} &amp; \" @ \" &amp; {{IssuedAt}}"
   },
   {
    "name": "AppUser",
    "datatype": "string",
    "type": "relationship",
    "nullable": true,
    "Description": "Identity that signed in.",
    "RelatedTo": "AppUsers"
   },
   {
    "name": "Principal",
    "datatype": "string",
    "type": "relationship",
    "nullable": true,
    "Description": "Principal the token authorises.",
    "RelatedTo": "AccessPrincipals"
   },
   {
    "name": "IssuedAt",
    "datatype": "datetime",
    "type": "raw",
    "nullable": true,
    "Description": "When the token was minted."
   },
   {
    "name": "ExpiresAt",
    "datatype": "datetime",
    "type": "raw",
    "nullable": true,
    "Description": "When the token stops being accepted."
   },
   {
    "name": "Issuer",
    "datatype": "string",
    "type": "raw",
    "nullable": true,
    "Description": "Who minted it: 'dev-mint' locally, or the magic-links tenant URL in production."
   },
   {
    "name": "SubjectClaim",
    "datatype": "string",
    "type": "raw",
    "nullable": true,
    "Description": "The 'sub' claim: the AppUserId the bearer is asserted to be."
   },
   {
    "name": "ClaimsSnapshot",
    "datatype": "string",
    "type": "raw",
    "nullable": true,
    "Description": "JSON of the additional claims joined from the database at mint time."
   },
   {
    "name": "IsDevMinted",
    "datatype": "boolean",
    "type": "calculated",
    "nullable": true,
    "Description": "True when issued by the local dev minter rather than a real magic-links tenant. Dev tokens are genuine RS256 tokens with a genuine keypair; they simply skip the email round-trip.",
    "formula": "={{Issuer}} = \"dev-mint\""
   },
   {
    "name": "SemanticTypeIri",
    "datatype": "string",
    "type": "raw",
    "nullable": true,
    "Description": "Semantic type IRI."
   }
  ],
  "data": []
 },
 "ProcessMiningRuns": {
  "Description": "One conformance-checking run of a mined event log against a documented procedure version — a third kind of evidence, distinct from an elicitation session (someone's account) or a knowledge fragment (a claim): what the system of record actually did, discovered by process mining rather than told to us.",
  "important": true,
  "schema": [
   {
    "name": "ProcessMiningRunId",
    "datatype": "string",
    "type": "raw",
    "nullable": false,
    "Description": "Stored logical identifier for one ProcessMiningRuns row."
   },
   {
    "name": "Name",
    "datatype": "string",
    "type": "calculated",
    "nullable": true,
    "Description": "Human-readable calculated display alias for the ProcessMiningRuns row.",
    "formula": "={{EventLogSource}} &amp; \" / \" &amp; {{MinedAt}}"
   },
   {
    "name": "ProcedureVersion",
    "datatype": "string",
    "type": "relationship",
    "nullable": true,
    "Description": "Procedure version this mined event log is checked against.",
    "RelatedTo": "ProcedureVersions"
   },
   {
    "name": "EventLogSource",
    "datatype": "string",
    "type": "raw",
    "nullable": true,
    "Description": "System or log the event log was extracted from (e.g. an ERP audit log)."
   },
   {
    "name": "MinedAt",
    "datatype": "datetime",
    "type": "raw",
    "nullable": true,
    "Description": "When this mining/conformance-checking run was performed."
   },
   {
    "name": "DiscoveredVariantCount",
    "datatype": "integer",
    "type": "raw",
    "nullable": true,
    "Description": "Distinct process variants discovered in the mined event log."
   },
   {
    "name": "ConformingVariantCount",
    "datatype": "integer",
    "type": "raw",
    "nullable": true,
    "Description": "How many of the discovered variants exactly match a documented path through StepTransitions."
   },
   {
    "name": "DeviationDescription",
    "datatype": "string",
    "type": "raw",
    "nullable": true,
    "Description": "Narrative of the most significant discovered deviation, if any."
   },
   {
    "name": "EvaluationContext",
    "datatype": "string",
    "type": "relationship",
    "nullable": true,
    "Description": "The eva</t>
  </si>
  <si>
    <t xml:space="preserve">luation context this row's time-dependent witnesses are judged under.",
    "RelatedTo": "EvaluationContexts"
   },
   {
    "name": "AsOfInstant",
    "datatype": "datetime",
    "type": "lookup",
    "nullable": true,
    "Description": "The evaluation instant this row's time-dependent witnesses are judged under.",
    "formula": "=INDEX(EvaluationContexts!{{AsOfInstant}}, MATCH({{EvaluationContext}}, EvaluationContexts!{{EvaluationContextId}}, 0))"
   },
   {
    "name": "ConformanceRate",
    "datatype": "number",
    "type": "calculated",
    "nullable": true,
    "Description": "Share of discovered variants that conform to the documented procedure.",
    "formula": "=IF({{DiscoveredVariantCount}} = 0, 0, {{ConformingVariantCount}} / {{DiscoveredVariantCount}})"
   },
   {
    "name": "IsConformant",
    "datatype": "boolean",
    "type": "calculated",
    "nullable": true,
    "Description": "TRUE when at least 80% of what actually happened matches what was documented.",
    "formula": "={{ConformanceRate}} &gt;= 0.8"
   },
   {
    "name": "HasMajorDriftFromDocumentation",
    "datatype": "boolean",
    "type": "calculated",
    "nullable": true,
    "Description": "TRUE when less than half of what actually happened matches what was documented.",
    "formula": "={{ConformanceRate}} &lt; 0.5"
   },
   {
    "name": "DaysSinceMined",
    "datatype": "integer",
    "type": "calculated",
    "nullable": true,
    "Description": "Days elapsed since this event log was mined.",
    "formula": "=DATETIME_DIFF({{AsOfInstant}}, {{MinedAt}}, \"days\")"
   },
   {
    "name": "IsStaleMiningEvidence",
    "datatype": "boolean",
    "type": "calculated",
    "nullable": true,
    "Description": "TRUE when this mining evidence is more than 180 days old.",
    "formula": "={{DaysSinceMined}} &gt; 180"
   },
   {
    "name": "ProcedureVersionIsLive",
    "datatype": "boolean",
    "type": "lookup",
    "nullable": true,
    "Description": "Whether the procedure version this run was checked against is currently live.",
    "formula": "=INDEX(ProcedureVersions!{{IsLive}}, MATCH({{ProcedureVersion}}, ProcedureVersions!{{ProcedureVersionId}}, 0))"
   },
   {
    "name": "IsDriftOnLiveVersion",
    "datatype": "boolean",
    "type": "calculated",
    "nullable": true,
    "Description": "TRUE when a major, real, mined deviation exists against a procedure version people are actually executing right now.",
    "formula": "=AND({{HasMajorDriftFromDocumentation}}, {{ProcedureVersionIsLive}})"
   },
   {
    "name": "DriftedMiningRunKey",
    "datatype": "string",
    "type": "calculated",
    "nullable": true,
    "Description": "Composite-key echo: this run's procedure version when the run drifted on a live version, else blank.",
    "formula": "=IF({{IsDriftOnLiveVersion}}, {{ProcedureVersion}}, \"\")"
   },
   {
    "name": "SemanticTypeIri",
    "datatype": "string",
    "type": "raw",
    "nullable": true,
    "Description": "Extension class IRI."
   }
  ],
  "data": [
   {
    "ProcessMiningRunId": "pmr-close-v11-q3",
    "ProcedureVersion": "close-v1.1.0",
    "EventLogSource": "ERP General Ledger Audit Log",
    "MinedAt": "2026-07-15T09:00:00-05:00",
    "DiscoveredVariantCount": 6,
    "ConformingVariantCount": 5,
    "DeviationDescription": "One variant closes a day early with no recorded controller approval; otherwise matches the documented path.",
    "EvaluationContext": "eval-current",
    "SemanticTypeIri": "urn:effortless:pko-extension#ProcessMiningRun",
    "Name": "ERP General Ledger Audit Log / 2026-07-15T14:00:00+00:00",
    "AsOfInstant": "2026-07-19T13:00:00-05:00",
    "ConformanceRate": 0.8333333333333334,
    "IsConformant": true,
    "HasMajorDriftFromDocumentation": false,
    "DaysSinceMined": 4,
    "IsStaleMiningEvidence": false,
    "ProcedureVersionIsLive": true,
    "IsDriftOnLiveVersion": false,
    "DriftedMiningRunKey": null
   },
   {
    "ProcessMiningRunId": "pmr-close-v11-cutoff-bypass",
    "ProcedureVersion": "close-v1.1.0",
    "EventLogSource": "ERP General Ledger Audit Log",
    "MinedAt": "2026-07-17T09:00:00-05:00",
    "DiscoveredVariantCount": 8,
    "ConformingVariantCount": 3,
    "DeviationDescription": "Ledger entries posted after the documented cutoff step with no recorded reopening approval — a path StepTransitions never modeled.",
    "EvaluationContext": "eval-current",
    "SemanticTypeIri": "urn:effortless:pko-extension#ProcessMiningRun",
    "Name": "ERP General Ledger Audit Log / 2026-07-17T14:00:00+00:00",
    "AsOfInstant": "2026-07-19T13:00:00-05:00",
    "ConformanceRate": 0.375,
    "IsConformant": false,
    "HasMajorDriftFromDocumentation": true,
    "DaysSinceMined": 2,
    "IsStaleMiningEvidence": false,
    "ProcedureVersionIsLive": true,
    "IsDriftOnLiveVersion": true,
    "DriftedMiningRunKey": "close-v1.1.0"
   },
   {
    "ProcessMiningRunId": "pmr-policy-v1-notify",
    "ProcedureVersion": "policy-v1.0.0",
    "EventLogSource": "Notification Pipeline Delivery Log",
    "MinedAt": "2026-01-10T09:00:00-05:00",
    "DiscoveredVariantCount": 4,
    "ConformingVariantCount": 4,
    "DeviationDescription": "",
    "EvaluationContext": "eval-current",
    "SemanticTypeIri": "urn:effortless:pko-extension#ProcessMiningRun",
    "Name": "Notification Pipeline Delivery Log / 2026-01-10T14:00:00+00:00",
    "AsOfInstant": "2026-07-19T13:00:00-05:00",
    "ConformanceRate": 1.0,
    "IsConformant": true,
    "HasMajorDriftFromDocumentation": false,
    "DaysSinceMined": 190,
    "IsStaleMiningEvidence": true,
    "ProcedureVersionIsLive": true,
    "IsDriftOnLiveVersion": false,
    "DriftedMiningRunKey": null
   },
   {
    "ProcessMiningRunId": "pmr-close-v10-archived",
    "ProcedureVersion": "close-v1.0.0",
    "EventLogSource": "ERP General Ledger Audit Log",
    "MinedAt": "2026-01-01T09:00:00-05:00",
    "DiscoveredVariantCount": 5,
    "ConformingVariantCount": 1,
    "DeviationDescription": "Heavily drifted, but this version was archived before anyone mined it — nobody executes this path anymore.",
    "EvaluationContext": "eval-current",
    "SemanticTypeIri": "urn:effortless:pko-extension#ProcessMiningRun",
    "Name": "ERP General Ledger Audit Log / 2026-01-01T14:00:00+00:00",
    "AsOfInstant": "2026-07-19T13:00:00-05:00",
    "ConformanceRate": 0.2,
    "IsConformant": false,
    "HasMajorDriftFromDocumentation": true,
    "DaysSinceMined": 199,
    "IsStaleMiningEvidence": true,
    "ProcedureVersionIsLive": false,
    "IsDriftOnLiveVersion": false,
    "DriftedMiningRunKey": null
   }
  ]
 },
 "Vocabularies": {
  "Description": "A controlled vocabulary / SKOS-style concept scheme — one facet of standardized terminology (e.g. a family of control categories) that Requirements and other rows can point at instead of restating the concept in free text each time.",
  "important": true,
  "schema": [
   {
    "name": "VocabularyId",
    "datatype": "string",
    "type": "raw",
    "nullable": false,
    "Description": "Stored logical identifier for one Vocabularies row."
   },
   {
    "name": "Name",
    "datatype": "string",
    "type": "calculated",
    "nullable": true,
    "Description": "Human-readable calculated display alias for the Vocabularies row.",
    "formula": "={{Title}}"
   },
   {
    "name": "Title",
    "datatype": "string",
    "type": "raw",
    "nullable": true,
    "Description": "Human-facing name of this controlled vocabulary."
   },
   {
    "name": "SchemeUri",
    "datatype": "string",
    "type": "raw",
    "nullable": true,
    "Description": "SKOS ConceptScheme IRI for this vocabulary."
   },
   {
    "name": "GoverningRole",
    "datatype": "string",
    "type": "relationship",
    "nullable": true,
    "Description": "Role accountable for defining and maintaining terms in this vocabulary.",
    "RelatedTo": "Roles"
   },
   {
    "name": "TermCount",
    "datatype": "number",
    "type": "aggregation",
    "nullable": true,
    "Description": "How many terms belong to this vocabulary.",
    "formula": "=COUNTIFS(VocabularyTerms!{{Vocabulary}}, {{VocabularyId}})"
   },
   {
    "name": "OrphanTermCount",
    "datatype": "number",
    "type": "aggregation",
    "nullable": true,
    "Description": "How many terms in this vocabulary have never actually been used.",
    "formula": "=COUNTIFS(VocabularyTerms!{{OrphanTermVocabularyKey}}, {{VocabularyId}})"
   },
   {
    "name": "HasOrphanTerms",
    "datatype": "boolean",
    "type": "calculated",
    "nullable": true,
    "Description": "TRUE when this vocabulary has at least one defined-but-unused term.",
    "formula": "={{OrphanTermCount}} &gt; 0"
   },
   {
    "name": "SemanticTypeIri",
    "datatype": "string",
    "type": "raw",
    "nullable": true,
    "Description": "Extension class IRI."
   }
  ],
  "data": [
   {
    "VocabularyId": "voc-close-controls",
    "Title": "Close Control Categories",
    "SchemeUri": "urn:effortless:pko-extension:vocab#close-controls",
    "GoverningRole": "knowledge-authority",
    "SemanticTypeIri": "urn:effortless:pko-extension#Vocabulary",
    "Name": "Close Control Categories",
    "TermCount": 5,
    "OrphanTermCount": 0,
    "HasOrphanTerms": false
   },
   {
    "VocabularyId": "voc-policy-domains",
    "Title": "Policy Compliance Domains",
    "SchemeUri": "urn:effortless:pko-extension:vocab#policy-domains",
    "GoverningRole": "knowledge-authority",
    "SemanticTypeIri": "urn:effortless:pko-extension#Vocabulary",
    "Name": "Policy Compliance Domains",
    "TermCount": 7,
    "OrphanTermCount": 2,
    "HasOrphanTerms": true
   }
  ]
 },
 "VocabularyTerms": {
  "Description": "One controlled, defined term (a SKOS Concept) within a Vocabulary. Requirements point at a VocabularyTerm instead of free-texting the same concept in a new Statement every time.",
  "important": true,
  "schema": [
   {
    "name": "VocabularyTermId",
    "datatype": "string",
    "type": "raw",
    "nullable": false,
    "Description": "Stored logical identifier for one VocabularyTerms row."
   },
   {
    "name": "Name",
    "datatype": "string",
    "type": "calculated",
    "nullable": true,
    "Description": "Human-readable calculated display alias for the VocabularyTerms row.",
    "formula": "={{PrefLabel}}"
   },
   {
    "name": "Vocabulary",
    "datatype": "string",
    "type": "relationship",
    "nullable": true,
    "Description": "Vocabulary this term belongs to.",
    "RelatedTo": "Vocabularies"
   },
   {
    "name": "PrefLabel",
    "datatype": "string",
    "type": "raw",
    "nullable": true,
    "Description": "SKOS preferred label — the controlled term itself."
   },
   {
    "name": "AltLabels",
    "datatype": "string",
    "type": "raw",
    "nullable": true,
    "Description": "Comma-separated synonyms this term should also match."
   },
   {
    "name": "Definition",
    "datatype": "string",
    "type": "raw",
    "nullable": true,
    "Description": "SKOS definition of what this term means."
   },
   {
    "name": "UsageCount",
    "datatype": "number",
    "type": "aggregation",
    "nullable": true,
    "Description": "How many Requirements point at this exact term instead of free-texting the concept.",
    "formula": "=COUNTIFS(Requirements!{{ControlledTerm}}, {{VocabularyTermId}})"
   },
   {
    "name": "IsOrphanTerm",
    "datatype": "boolean",
    "type": "calculated",
    "nullable": true,
    "Description": "TRUE when this term has been defined but nothing in the model actually uses it yet.",
    "formula": "={{UsageCount}} = 0"
   },
   {
    "name": "IsWidelyAdoptedTerm",
    "datatype": "boolean",
    "type": "calculated",
    "nullable": true,
    "Description": "TRUE when more than one Requirement shares this exact controlled term.",
    "formula": "={{UsageCount}} &gt;= 2"
   },
   {
    "name": "OrphanTermVocabularyKey",
    "datatype": "string",
    "type": "calculated",
    "nullable": true,
    "Description": "Composite-key echo: this term's vocabulary when the term is an orphan, else blank.",
    "formula": "=IF({{IsOrphanTerm}}, {{Vocabulary}}, \"\")"
   },
   {
    "name": "SemanticTypeIri",
    "datatype": "string",
    "type": "raw",
    "nullable": true,
    "Description": "Extension class IRI."
   }
  ],
  "data": [
   {
    "VocabularyTermId": "vt-cutoff",
    "Vocabulary": "voc-close-controls",
    "PrefLabel": "Cutoff Control",
    "AltLabels": "posting cutoff, period cutoff",
    "Definition": "A control preventing ledger entries after the period close boundary without an approved reopening.",
    "SemanticTypeIri": "urn:effortless:pko-extension#VocabularyTerm",
    "Name": "Cutoff Control",
    "UsageCount": 1,
    "IsOrphanTerm": false,
    "IsWidelyAdoptedTerm": false,
    "OrphanTermVocabularyKey": null
   },
   {
    "VocabularyTermId": "vt-reconciliation",
    "Vocabulary": "voc-close-controls",
    "PrefLabel": "Reconciliation Control",
    "AltLabels": "account reconciliation, balance control",
    "Definition": "A control requiring a material account to reconcile or carry an approved exception.",
    "SemanticTypeIri": "urn:effortless:pko-extension#VocabularyTerm",
    "Name": "Reconciliation Control",
    "UsageCount": 1,
    "IsOrphanTerm": false,
    "IsWidelyAdoptedTerm": false,
    "OrphanTermVocabularyKey": null
   },
   {
    "VocabularyTermId": "vt-segregation",
    "Vocabulary": "voc-close-controls",
    "PrefLabel": "Segregation of Duties",
    "AltLabels": "SoD, maker-checker",
    "Definition": "A control requiring the preparer and the final approver of an action to be different agents.",
    "SemanticTypeIri": "urn:effortless:pko-extension#VocabularyTerm",
    "Name": "Segregation of Duties",
    "UsageCount": 1,
    "IsOrphanTerm": false,
    "IsWidelyAdoptedTerm": false,
    "OrphanTermVocabularyKey": null
   },
   {
    "VocabularyTermId": "vt-evidence-retention",
    "Vocabulary": "voc-close-controls",
    "PrefLabel": "Evidence Retention",
    "AltLabels": "records retention, retention period",
    "Definition": "A requirement that evidence of an action remain retrievable for a fixed retention window.",
    "SemanticTypeIri": "urn:effortless:pko-extension#VocabularyTerm",
    "Name": "Evidence Retention",
    "UsageCount": 2,
    "IsOrphanTerm": false,
    "IsWidelyAdoptedTerm": true,
    "OrphanTermVocabularyKey": null
   },
   {
    "VocabularyTermId": "vt-human-approval-gate",
    "Vocabulary": "voc-close-controls",
    "PrefLabel": "Human Approval Gate",
    "AltLabels": "human-in-the-loop, human confirmation",
    "Definition": "A control requiring a human, not an automated agent, to confirm an approval.",
    "SemanticTypeIri": "urn:effortless:pko-extension#VocabularyTerm",
    "Name": "Human Approval Gate",
    "UsageCount": 1,
    "IsOrphanTerm": false,
    "IsWidelyAdoptedTerm": false,
    "OrphanTermVocabularyKey": null
   },
   {
    "VocabularyTermId": "vt-consent",
    "Vocabulary": "voc-policy-domains",
    "PrefLabel": "Consent Requirement",
    "AltLabels": "opt-in, active consent",
    "Definition": "A requirement that a communication only be sent to a recipient with active, recorded consent.",
    "SemanticTypeIri": "urn:effortless:pko-extension#VocabularyTerm",
    "Name": "Consent Requirement",
    "UsageCount": 1,
    "IsOrphanTerm": false,
    "IsWidelyAdoptedTerm": false,
    "OrphanTermVocabularyKey": null
   },
   {
    "VocabularyTermId": "vt-quiet-hours",
    "Vocabulary": "voc-policy-domains",
    "PrefLabel": "Quiet Hours Restriction",
    "AltLabels": "do-not-disturb window",
    "Definition": "A requirement restricting delivery to a defined local-time window.",
    "SemanticTypeIri": "urn:effortless:pko-extension#VocabularyTerm",
    "Name": "Quiet Hours Restriction",
    "UsageCount": 1,
    "IsOrphanTerm": false,
    "IsWidelyAdoptedTerm": false,
    "OrphanTermVocabularyKey": null
   },
   {
    "VocabularyTermId": "vt-optout",
    "Vocabulary": "voc-policy-domains",
    "PrefLabel": "Opt-Out Requirement",
    "AltLabels": "unsubscribe language",
    "Definition": "A requirement that a message include approved opt-out language.",
    "SemanticTypeIri": "urn:effortless:pko-extension#VocabularyTerm",
    "Name": "Opt-Out Requirement",
    "UsageCount": 1,
    "IsOrphanTerm": false,
    "IsWidelyAdoptedTerm": false,
    "OrphanTermVocabularyKey": null
   },
   {
    "VocabularyTermId": "vt-accessibility",
    "Vocabulary": "voc-policy-domains",
    "PrefLabel": "Accessibility Requirement",
    "AltLabels": "readable content, alternate contact",
    "Definition": "A requirement that content be readable, accessible, and offer an alternate contact method.",
    "SemanticTypeIri": "urn:effortless:pko-extension#VocabularyTerm",
    "Name": "Accessibility Requirement",
    "UsageCount": 1,
    "IsOrphanTerm": false,
    "IsWidelyAdoptedTerm": false,
    "OrphanTermVocabularyKey": null
   },
   {
    "VocabularyTermId": "vt-legal-review",
    "Vocabulary": "voc-policy-domains",
    "PrefLabel": "Legal Review Gate",
    "AltLabels": "counsel approval",
    "Definition": "A requirement that employment counsel approve a legal or privacy commitment before it ships.",
    "SemanticTypeIri": "urn:effortless:pko-extension#VocabularyTerm",
    "Name": "Legal Review Gate",
    "UsageCount": 1,
    "IsOrphanTerm": false,
    "IsWidelyAdoptedTerm": false,
    "OrphanTermVocabularyKey": null
   },
   {
    "VocabularyTermId": "vt-privacy-impact",
    "Vocabulary": "voc-policy-domains",
    "PrefLabel": "Data Privacy Impact",
    "AltLabels": "DPIA, privacy impact assessment",
    "Definition": "An assessment of how a change affects personal data handling. Defined, not yet applied to any Requirement.",
    "SemanticTypeIri": "urn:effortless:pko-extension#VocabularyTerm",
    "Name": "Data Privacy Impact",
    "UsageCount": 0,
    "IsOrphanTerm": true,
    "IsWidelyAdoptedTerm": false,
    "OrphanTermVocabularyKey": "voc-policy-domains"
   },
   {
    "VocabularyTermId": "vt-third-party-attestation",
    "Vocabulary": "voc-policy-domains",
    "PrefLabel": "Third-Party Attestation",
    "AltLabels": "vendor attestation",
    "Definition": "A requirement that an external vendor attest to a control. Defined, not yet applied to any Requirement.",
    "SemanticTypeIri": "urn:effortless:pko-extension#VocabularyTerm",
    "Name": "Third-Party Attestation",
    "UsageCount": 0,
    "IsOrphanTerm": true,
    "IsWidelyAdoptedTerm": false,
    "OrphanTermVocabularyKey": "voc-policy-domains"
   }
  ]
 },
 "KnowledgeBrokerLinks": {
  "Description": "An informal expertise-network edge: one agent naming another as who they actually go to for a topic, independent of any formal Role or RoleAssignment. RoleAssignments and CommunitiesOfPractice record who is SUPPOSED to know something; this records who people ACTUALLY rely on.",
  "important": true,
  "schema": [
   {
    "name": "KnowledgeBrokerLinkId",
    "datatype": "string",
    "type": "raw",
    "nullable": false,
    "Description": "Stored logical identifier for one KnowledgeBrokerLinks row."
   },
   {
    "name": "Name",
    "datatype": "string",
    "type": "calculated",
    "nullable": true,
    "Description": "Human-readable calculated display alias for the KnowledgeBrokerLinks row.",
    "formula": "={{Seeker}} &amp; \" -&gt; \" &amp; {{Broker}}"
   },
   {
    "name": "Seeker",
    "datatype": "string",
    "type": "relationship",
    "nullable": true,
    "Description": "The agent who goes to someone else for this topic.",
    "RelatedTo": "Agents"
   },
   {
    "name": "Broker",
    "datatype": "string",
    "type": "relationship",
    "nullable": true,
    "Description": "The agent who is actually consulted, whether or not they hold a formal role for it.",
    "RelatedTo": "Agents"
   },
   {
    "name": "Topic",
    "datatype": "string",
    "type": "relationship",
    "nullable": true,
    "Description": "The controlled topic this reliance is about.",
    "RelatedTo": "VocabularyTerms"
   },
   {
    "name": "Frequency",
    "datatype": "string",
    "type": "raw",
    "nullable": true,
    "Description": "Rarely, Sometimes, or Often."
   },
   {
    "name": "LastConsultedAt",
    "datatype": "datetime",
    "type": "raw",
    "nullable": true,
    "Description": "When the seeker last actually consulted the broker on this topic."
   },
   {
    "name": "EvaluationContext",
    "datatype": "string",
    "type": "relationship",
    "nullable": true,
    "Description": "The evaluation context this row's time-dependent witnesses are judged under.",
    "RelatedTo": "EvaluationContexts"
   },
   {
    "name": "AsOfInstant",
    "datatype": "datetime",
    "type": "lookup",
    "nullable": true,
    "Description": "The evaluation instant this row's time-dependent witnesses are judged under.",
    "formula": "=INDEX(EvaluationContexts!{{AsOfInstant}}, MATCH({{EvaluationContext}}, EvaluationContexts!{{EvaluationContextId}}, 0))"
   },
   {
    "name": "DaysSinceConsulted",
    "datatype": "integer",
    "type": "calculated",
    "nullable": true,
    "Description": "Days elapsed since the seeker last consulted the broker.",
    "formula": "=DATETIME_DIFF({{AsOfInstant}}, {{LastConsultedAt}}, \"days\")"
   },
   {
    "name": "IsActiveReliance",
    "datatype": "boolean",
    "type": "calculated",
    "nullable": true,
    "Description": "TRUE when this is a live, ongoing informal dependency rather than a one-off or stale contact.",
    "formula": "=AND(NOT({{Frequency}} = \"Rarely\"), {{DaysSinceConsulted}} &lt;= 180)"
   },
   {
    "name": "BrokerIsStillEngaged",
    "datatype": "boolean",
    "type": "lookup",
    "nullable": true,
    "Description": "Whether the broker being relied on still holds any current role at all.",
    "formula": "=INDEX(Agents!{{IsStillEngaged}}, MATCH({{Broker}}, Agents!{{AgentId}}, 0))"
   },
   {
    "name": "IsAtRiskReliance",
    "datatype": "boolean",
    "type": "calculated",
    "nullable": true,
    "Description": "TRUE when someone is actively relying on a broker who has already left every role they held.",
    "formula": "=AND({{IsActiveReliance}}, NOT({{BrokerIsStillEngaged}}))"
   },
   {
    "name": "ActiveRelianceBrokerKey",
    "datatype": "string",
    "type": "calculated",
    "nullable": true,
    "Description": "Composite-key echo: the broker this link names when the reliance is active, else blank.",
    "formula": "=IF({{IsActiveReliance}}, {{Broker}}, \"\")"
   },
   {
    "name": "AtRiskBrokerKey",
    "datatype": "string",
    "type": "calculated",
    "nullable": true,
    "Description": "Composite-key echo: the broker this link names when the reliance is at risk, else blank.",
    "formula": "=IF({{IsAtRiskReliance}}, {{Broker}}, \"\")"
   },
   {
    "name": "SemanticTypeIri",
    "datatype": "string",
    "type": "raw",
    "nullable": true,
    "Description": "Extension class IRI."
   }
  ],
  "data": [
   {
    "KnowledgeBrokerLinkId": "kbl-maria-priya-recon",
    "Seeker": "maria-chen",
    "Broker": "priya-raman",
    "Topic": "vt-reconciliation",
    "Frequency": "Often",
    "LastConsultedAt": "2026-07-10T09:00:00-05:00",
    "EvaluationContext": "eval-current",
    "SemanticTypeIri": "urn:effortless:pko-extension#KnowledgeBrokerLink",
    "Name": "maria-chen -&gt; priya-raman",
    "AsOfInstant": "2026-07-19T13:00:00-05:00",
    "DaysSinceConsulted": 9,
    "IsActiveReliance": true,
    "BrokerIsStillEngaged": true,
    "IsAtRiskReliance": false,
    "ActiveRelianceBrokerKey": "priya-raman",
    "AtRiskBrokerKey": null
   },
   {
    "KnowledgeBrokerLinkId": "kbl-devon-priya-recon",
    "Seeker": "devon-okafor",
    "Broker": "priya-raman",
    "Topic": "vt-reconciliation",
    "Frequency": "Sometimes",
    "LastConsultedAt": "2026-06-20T09:00:00-05:00",
    "EvaluationContext": "eval-current",
    "SemanticTypeIri": "urn:effortless:pko-extension#KnowledgeBrokerLink",
    "Name": "devon-okafor -&gt; priya-raman",
    "AsOfInstant": "2026-07-19T13:00:00-05:00",
    "DaysSinceConsulted": 29,
    "IsActiveReliance": true,
    "BrokerIsStillEngaged": true,
    "IsAtRiskReliance": false,
    "ActiveRelianceBrokerKey": "priya-raman",
    "AtRiskBrokerKey": null
   },
   {
    "KnowledgeBrokerLinkId": "kbl-elena-priya-sod",
    "Seeker": "elena-garcia",
    "Broker": "priya-raman",
    "Topic": "vt-segregation",
    "Frequency": "Often",
    "LastConsultedAt": "2026-07-05T09:00:00-05:00",
    "EvaluationContext": "eval-current",
    "SemanticTypeIri": "urn:effortless:pko-extension#KnowledgeBrokerLink",
    "Name": "elena-garcia -&gt; priya-raman",
    "AsOfInstant": "2026-07-19T13:00:00-05:00",
    "DaysSinceConsulted": 14,
    "IsActiveReliance": true,
    "BrokerIsStillEngaged": true,
    "IsAtRiskReliance": false,
    "ActiveRelianceBrokerKey": "priya-raman",
    "AtRiskBrokerKey": null
   },
   {
    "KnowledgeBrokerLinkId": "kbl-amina-jordan-sod",
    "Seeker": "amina-yusuf",
    "Broker": "jordan-park",
    "Topic": "vt-segregation",
    "Frequency": "Often",
    "LastConsultedAt": "2026-07-01T09:00:00-05:00",
    "EvaluationContext": "eval-current",
    "SemanticTypeIri": "urn:effortless:pko-extension#KnowledgeBrokerLink",
    "Name": "amina-yusuf -&gt; jordan-park",
    "AsOfInstant": "2026-07-19T13:00:00-05:00",
    "DaysSinceConsulted": 18,
    "IsActiveReliance": true,
    "BrokerIsStillEngaged": false,
    "IsAtRiskReliance": true,
    "ActiveRelianceBrokerKey": "jordan-park",
    "AtRiskBrokerKey": "jordan-park"
   },
   {
    "KnowledgeBrokerLinkId": "kbl-noah-elena-quiet",
    "Seeker": "noah-williams",
    "Broker": "elena-garcia",
    "Topic": "vt-quiet-hours",
    "Frequency": "Rarely",
    "LastConsultedAt": "2025-01-01T09:00:00-05:00",
    "EvaluationContext": "eval-current",
    "SemanticTypeIri": "urn:effortless:pko-extension#KnowledgeBrokerLink",
    "Name": "noah-williams -&gt; elena-garcia",
    "AsOfInstant": "2026-07-19T13:00:00-05:00",
    "DaysSinceConsulted": 564,
    "IsActiveReliance": false,
    "BrokerIsStillEngaged": true,
    "IsAtRiskReliance": false,
    "ActiveRelianceBrokerKey": null,
    "AtRiskBrokerKey": null
   }
  ]
 },
 "ConformanceSubstrates": {
  "Description": "Every tool that compiles this rulebook into something that computes. One is the answer-key author (compile-rulebook bakes derived values into the rulebook's own rows); the rest are graded substrates that re-derive those values natively and are scored cell by cell against them.",
  "important": true,
  "schema": [
   {
    "name": "ConformanceSubstrateId",
    "datatype": "string",
    "type": "raw",
    "nullable": false,
    "Description": "Substrate name as the conformance harness knows it, e.g. 'effortless-python'."
   },
   {
    "name": "Name",
    "datatype": "string",
    "type": "calculated",
    "nullable": true,
    "Description": "Human-readable calculated display alias.",
    "formula": "={{Label}}"
   },
   {
    "name": "Label",
    "datatype": "string",
    "type": "raw",
    "nullable": true,
    "Description": "Short human label, e.g. 'Python'."
   },
   {
    "name": "Transpiler",
    "datatype": "string",
    "type": "raw",
    "nullable": true,
    "Description": "The effortless.json tool that produces this substrate, e.g. 'rulebook-to-python'."
   },
   {
    "name": "OutputFolder",
    "datatype": "string",
    "type": "raw",
    "nullable": true,
    "Description": "Project folder the tool writes into, e.g. '/effortless-python'."
   },
   {
    "name": "Engine",
    "datatype": "string",
    "type": "raw",
    "nullable": true,
    "Description": "What actually evaluates the formulas: a database, a language runtime, a spreadsheet engine or a reasoner."
   },
   {
    "name": "HowItComputes",
    "datatype": "string",
    "type": "raw",
    "nullable": true,
    "Description": "One paragraph a curious reader can follow: what the tool emits and how the harness makes it produce answers."
   },
   {
    "name": "Role",
    "datatype": "string",
    "type": "raw",
    "nullable": true,
    "Description": "'answer-key' for the tool whose stored values every other substrate is graded against; 'graded' for everything else."
   },
   {
    "name": "SortOrder",
    "datatype": "number",
    "type": "raw",
    "nullable": true,
    "Description": "Display order."
   },
   {
    "name": "IsGraded",
    "datatype": "boolean",
    "type": "calculated",
    "nullable": true,
    "Description": "True for substrates the harness scores.",
    "formula": "={{Role}} = \"graded\""
   },
   {
    "name": "RunCount",
    "datatype": "number",
    "type": "aggregation",
    "nullable": true,
    "Description": "How many recorded conformance runs graded this substrate.",
    "formula": "=COUNTIFS(SubstrateRunScores!{{Substrate}}, {{ConformanceSubstrateId}})"
   },
   {
    "name": "LatestCellsTested",
    "datatype": "number",
    "type": "aggregation",
    "nullable": true,
    "Description": "Cells graded in the latest run: every (record x derived field) pair in the answer keys.",
    "formula": "=SUMIFS(SubstrateRunScores!{{LatestCellsTested}}, SubstrateRunScores!{{Substrate}}, {{ConformanceSubstrateId}})"
   },
   {
    "name": "LatestCellsPassed",
    "datatype": "number",
    "type": "aggregation",
    "nullable": true,
    "Description": "Cells this substrate computed identically to the answer key in the latest run.",
    "formula": "=SUMIFS(SubstrateRunScores!{{LatestCellsPassed}}, SubstrateRunScores!{{Substrate}}, {{ConformanceSubstrateId}})"
   },
   {
    "name": "LatestHarnessErrors",
    "datatype": "number",
    "type": "aggregation",
    "nullable": true,
    "Description": "1 when the latest run could not execute this substrate at all.",
    "formula": "=SUMIFS(SubstrateRunScores!{{LatestErrorFlag}}, SubstrateRunScores!{{Substrate}}, {{ConformanceSubstrateId}})"
   },
   {
    "name": "LatestCellsFailed",
    "datatype": "number",
    "type": "calculated",
    "nullable": true,
    "Description": "Cells this substrate got wrong, or did not produce, in the latest run.",
    "formula": "={{LatestCellsTested}} - {{LatestCellsPassed}}"
   },
   {
    "name": "LatestScore",
    "datatype": "number",
    "type": "calculated",
    "nullable": true,
    "Description": "Percent of cells agreeing with the answer key in the latest run.",
    "formula": "=IF({{LatestCellsTested}} = 0, 0, ROUND(100 * {{LatestCellsPassed}} / {{LatestCellsTested}}, 2))"
   },
   {
    "name": "DisagreeingFieldCount",
    "datatype": "number",
    "type": "aggregation",
    "nullable": true,
    "Description": "Derived fields on which this substrate got at least one cell wrong in the latest run.",
    "formula": "=COUNTIFS(FieldDisagreements!{{Substrate}}, {{ConformanceSubstrateId}})"
   },
   {
    "name": "DisagreeingTableCount",
    "datatype": "number",
    "type": "aggregation",
    "nullable": true,
    "Description": "Tables on which this substrate got at least one cell wrong in the latest run.",
    "formula": "=COUNTIFS(TableConformance!{{ImperfectSubstrateKey}}, {{ConformanceSubstrateId}})"
   },
   {
    "name": "IsFullyConformant",
    "datatype": "boolean",
    "type": "calculated",
    "nullable": true,
    "Description": "True when the latest run graded this substrate, it ran, and every cell agreed. A substrate never graded is not conformant.",
    "formula": "=AND({{LatestCellsTested}} &gt; 0, {{LatestCellsFailed}} = 0, {{LatestHarnessErrors}} = 0)"
   },
   {
    "name": "SemanticTypeIri",
    "datatype": "string",
    "type": "raw",
    "nullable": true,
    "Description": "Semantic type IRI."
   }
  ],
  "data": [
   {
    "ConformanceSubstrateId": "compile-rulebook",
    "Label": "compile-rulebook",
    "SortOrder": 0,
    "Role": "answer-key",
    "Engine": "Python formula engine (shared with rulebook-to-python)",
    "HowItComputes": "Runs first in the build and rewrites the rulebook in place: every calculated, lookup and aggregation value is computed across all tables to a fixed point and upserted into the rows. Those stored values become the answer keys. It is not graded against itself; when another substrate disagrees, either side can be the one that is wrong.",
    "Transpiler": "compile-rulebook",
    "OutputFolder": "/effortless-rulebook",
    "SemanticTypeIri": "urn:effortless:pko-extension#ConformanceSubstrate",
    "Name": "compile-rulebook",
    "IsGraded": false,
    "RunCount": 0,
    "LatestCellsTested": 0,
    "LatestCellsPassed": 0,
    "LatestHarnessErrors": 0,
    "LatestCellsFailed": 0,
    "LatestScore": 0,
    "DisagreeingFieldCount": 0,
    "DisagreeingTableCount": 0,
    "IsFullyConformant": false
   },
   {
    "ConformanceSubstrateId": "effortless-postgres",
    "Label": "PostgreSQL",
    "SortOrder": 1,
    "Role": "graded",
    "Engine": "PostgreSQL views and calc_* SQL functions",
    </t>
  </si>
  <si>
    <t xml:space="preserve">"HowItComputes": "rulebook-to-postgres emits a table, a set of calc_* functions and a vw_&lt;entity&gt; view per table. The database is reset from the rulebook, and the harness reads SELECT * from every view.",
    "Transpiler": "rulebook-to-postgres",
    "OutputFolder": "/postgres-bootstrap",
    "SemanticTypeIri": "urn:effortless:pko-extension#ConformanceSubstrate",
    "Name": "PostgreSQL",
    "IsGraded": true,
    "RunCount": 4.0,
    "LatestCellsTested": 67447.0,
    "LatestCellsPassed": 67447.0,
    "LatestHarnessErrors": 0.0,
    "LatestCellsFailed": 0.0,
    "LatestScore": 100.0,
    "DisagreeingFieldCount": 0.0,
    "DisagreeingTableCount": 0.0,
    "IsFullyConformant": true
   },
   {
    "ConformanceSubstrateId": "effortless-python",
    "Label": "Python",
    "SortOrder": 2,
    "Role": "graded",
    "Engine": "CPython",
    "HowItComputes": "rulebook-to-python emits an SDK with one computed property per derived field. The harness loads the blank test rows (raw fields only) and asks the SDK for every derived value.",
    "Transpiler": "rulebook-to-python",
    "OutputFolder": "/effortless-python",
    "SemanticTypeIri": "urn:effortless:pko-extension#ConformanceSubstrate",
    "Name": "Python",
    "IsGraded": true,
    "RunCount": 4.0,
    "LatestCellsTested": 67447.0,
    "LatestCellsPassed": 67447.0,
    "LatestHarnessErrors": 0.0,
    "LatestCellsFailed": 0.0,
    "LatestScore": 100.0,
    "DisagreeingFieldCount": 0.0,
    "DisagreeingTableCount": 0.0,
    "IsFullyConformant": true
   },
   {
    "ConformanceSubstrateId": "effortless-golang",
    "Label": "Go",
    "SortOrder": 3,
    "Role": "graded",
    "Engine": "Go toolchain (compiled)",
    "HowItComputes": "rulebook-to-go emits a Go module. The harness compiles it with go build, runs it over the blank test rows, and reads back every derived value.",
    "Transpiler": "rulebook-to-go",
    "OutputFolder": "/effortless-golang",
    "SemanticTypeIri": "urn:effortless:pko-extension#ConformanceSubstrate",
    "Name": "Go",
    "IsGraded": true,
    "RunCount": 4.0,
    "LatestCellsTested": 67447.0,
    "LatestCellsPassed": 67447.0,
    "LatestHarnessErrors": 0.0,
    "LatestCellsFailed": 0.0,
    "LatestScore": 100.0,
    "DisagreeingFieldCount": 0.0,
    "DisagreeingTableCount": 0.0,
    "IsFullyConformant": true
   },
   {
    "ConformanceSubstrateId": "effortless-typescript",
    "Label": "TypeScript",
    "SortOrder": 4,
    "Role": "graded",
    "Engine": "Node.js running tsc output",
    "HowItComputes": "rulebook-to-typescript emits a typed SDK. The harness compiles it with tsc and runs it on Node over the blank test rows.",
    "Transpiler": "rulebook-to-typescript",
    "OutputFolder": "/effortless-typescript",
    "SemanticTypeIri": "urn:effortless:pko-extension#ConformanceSubstrate",
    "Name": "TypeScript",
    "IsGraded": true,
    "RunCount": 4.0,
    "LatestCellsTested": 67447.0,
    "LatestCellsPassed": 67447.0,
    "LatestHarnessErrors": 0.0,
    "LatestCellsFailed": 0.0,
    "LatestScore": 100.0,
    "DisagreeingFieldCount": 0.0,
    "DisagreeingTableCount": 0.0,
    "IsFullyConformant": true
   },
   {
    "ConformanceSubstrateId": "effortless-entity-framework",
    "Label": "C# / Entity Framework",
    "SortOrder": 5,
    "Role": "graded",
    "Engine": ".NET (C# Formula* properties)",
    "HowItComputes": "rulebook-to-entity-framework emits C# data classes whose Formula* properties compute derived fields. The harness compiles them with EF Core into a runner, loads the blank test rows into the generated context over a throwaway SQLite database, and reads every computed property back per row.",
    "Transpiler": "rulebook-to-entity-framework",
    "OutputFolder": "/effortless-entity-framework",
    "SemanticTypeIri": "urn:effortless:pko-extension#ConformanceSubstrate",
    "Name": "C# / Entity Framework",
    "IsGraded": true,
    "RunCount": 4.0,
    "LatestCellsTested": 67447.0,
    "LatestCellsPassed": 67447.0,
    "LatestHarnessErrors": 0.0,
    "LatestCellsFailed": 0.0,
    "LatestScore": 100.0,
    "DisagreeingFieldCount": 0.0,
    "DisagreeingTableCount": 0.0,
    "IsFullyConformant": true
   },
   {
    "ConformanceSubstrateId": "effortless-xlsx",
    "Label": "Excel",
    "SortOrder": 6,
    "Role": "graded",
    "Engine": "Spreadsheet formulas (cached values read with openpyxl)",
    "HowItComputes": "rulebook-to-xlsx compiles every formula into a real Excel formula over cells in the same workbook. The harness reads the workbook's cached values, after a LibreOffice recalc when LibreOffice is installed; a value that was never calculated reads as blank.",
    "Transpiler": "rulebook-to-xlsx",
    "OutputFolder": "/effortless-xlsx",
    "SemanticTypeIri": "urn:effortless:pko-extension#ConformanceSubstrate",
    "Name": "Excel",
    "IsGraded": true,
    "RunCount": 4.0,
    "LatestCellsTested": 67447.0,
    "LatestCellsPassed": 67242.0,
    "LatestHarnessErrors": 0.0,
    "LatestCellsFailed": 205.0,
    "LatestScore": 99.7,
    "DisagreeingFieldCount": 27.0,
    "DisagreeingTableCount": 8.0,
    "IsFullyConformant": false
   },
   {
    "ConformanceSubstrateId": "effortless-owl",
    "Label": "OWL / SHACL",
    "SortOrder": 7,
    "Role": "graded",
    "Engine": "SPARQL 1.1 (pyoxigraph) executing SHACL-AF rules",
    "HowItComputes": "rulebook-to-owl emits an ontology, an ABox of individuals carrying raw fields only, and one SHACL-AF SPARQL rule per derived field. The harness executes the rules in dependency order and reads the inferred triples back.",
    "Transpiler": "rulebook-to-owl",
    "OutputFolder": "/effortless-owl",
    "SemanticTypeIri": "urn:effortless:pko-extension#ConformanceSubstrate",
    "Name": "OWL / SHACL",
    "IsGraded": true,
    "RunCount": 4.0,
    "LatestCellsTested": 67447.0,
    "LatestCellsPassed": 67017.0,
    "LatestHarnessErrors": 0.0,
    "LatestCellsFailed": 430.0,
    "LatestScore": 99.36,
    "DisagreeingFieldCount": 22.0,
    "DisagreeingTableCount": 9.0,
    "IsFullyConformant": false
   }
  ]
 },
 "ConformanceRuns": {
  "Description": "One execution of the conformance harness over every graded substrate. Kept as history; exactly one run is marked IsLatest, and the per-table, per-field and per-cell detail tables describe that run.",
  "important": true,
  "schema": [
   {
    "name": "ConformanceRunId",
    "datatype": "string",
    "type": "raw",
    "nullable": false,
    "Description": "Stored logical identifier, e.g. 'run-20260913-171500'."
   },
   {
    "name": "Name",
    "datatype": "string",
    "type": "calculated",
    "nullable": true,
    "Description": "Human-readable calculated display alias.",
    "formula": "={{ConformanceRunId}}"
   },
   {
    "name": "RanOn",
    "datatype": "datetime",
    "type": "raw",
    "nullable": true,
    "Description": "When the harness graded the substrates."
   },
   {
    "name": "RulebookCommit",
    "datatype": "string",
    "type": "raw",
    "nullable": true,
    "Description": "git HEAD of the repository when the run was recorded; the rulebook may also carry uncommitted edits, noted in Notes."
   },
   {
    "name": "AnswerKeyAuthor",
    "datatype": "string",
    "type": "relationship",
    "nullable": true,
    "Description": "The substrate whose stored values were the answer keys for this run.",
    "RelatedTo": "ConformanceSubstrates"
   },
   {
    "name": "IsLatest",
    "datatype": "boolean",
    "type": "raw",
    "nullable": true,
    "Description": "True for the most recent recorded run only. The recorder moves it."
   },
   {
    "name": "Notes",
    "datatype": "string",
    "type": "raw",
    "nullable": true,
    "Description": "Anything a reader needs to interpret the run."
   },
   {
    "name": "SubstrateCount",
    "datatype": "number",
    "type": "aggregation",
    "nullable": true,
    "Description": "Substrates graded in this run.",
    "formula": "=COUNTIFS(SubstrateRunScores!{{Run}}, {{ConformanceRunId}})"
   },
   {
    "name": "PerfectSubstrateCount",
    "datatype": "number",
    "type": "aggregation",
    "nullable": true,
    "Description": "Substrates that ran and agreed on every cell.",
    "formula": "=COUNTIFS(SubstrateRunScores!{{PerfectRunKey}}, {{ConformanceRunId}})"
   },
   {
    "name": "CellsTested",
    "datatype": "number",
    "type": "aggregation",
    "nullable": true,
    "Description": "Cells graded across all substrates.",
    "formula": "=SUMIFS(SubstrateRunScores!{{CellsTested}}, SubstrateRunScores!{{Run}}, {{ConformanceRunId}})"
   },
   {
    "name": "CellsPassed",
    "datatype": "number",
    "type": "aggregation",
    "nullable": true,
    "Description": "Cells that agreed across all substrates.",
    "formula": "=SUMIFS(SubstrateRunScores!{{CellsPassed}}, SubstrateRunScores!{{Run}}, {{ConformanceRunId}})"
   },
   {
    "name": "CellsFailed",
    "datatype": "number",
    "type": "calculated",
    "nullable": true,
    "Description": "Cells that disagreed across all substrates.",
    "formula": "={{CellsTested}} - {{CellsPassed}}"
   },
   {
    "name": "OverallScore",
    "datatype": "number",
    "type": "calculated",
    "nullable": true,
    "Description": "Percent of all graded cells, across all substrates, that agreed.",
    "formula": "=IF({{CellsTested}} = 0, 0, ROUND(100 * {{CellsPassed}} / {{CellsTested}}, 2))"
   },
   {
    "name": "ImperfectSubstrateCount",
    "datatype": "number",
    "type": "calculated",
    "nullable": true,
    "Description": "Substrates with at least one disagreeing cell or a harness error.",
    "formula": "={{SubstrateCount}} - {{PerfectSubstrateCount}}"
   },
   {
    "name": "IsFullyConformant",
    "datatype": "boolean",
    "type": "calculated",
    "nullable": true,
    "Description": "True when every substrate graded in this run agreed on every cell: the 100% bar.",
    "formula": "=AND({{SubstrateCount}} &gt; 0, {{ImperfectSubstrateCount}} = 0)"
   },
   {
    "name": "SemanticTypeIri",
    "datatype": "string",
    "type": "raw",
    "nullable": true,
    "Description": "Semantic type IRI."
   }
  ],
  "data": [
   {
    "ConformanceRunId": "run-20260913-165336",
    "RanOn": "2026-09-13T16:53:36-05:00",
    "RulebookCommit": "4960f638",
    "AnswerKeyAuthor": "compile-rulebook",
    "IsLatest": false,
    "Notes": "First recorded run: all a1 tools installed; EF runner rebuilt for EF Core output; OWL rules dependency-ordered.",
    "SemanticTypeIri": "urn:effortless:pko-extension#ConformanceRun",
    "Name": "run-20260913-165336",
    "SubstrateCount": 7,
    "PerfectSubstrateCount": 0,
    "CellsTested": 419146.0,
    "CellsPassed": 412274.0,
    "CellsFailed": 6872.0,
    "OverallScore": 98.36,
    "ImperfectSubstrateCount": 7,
    "IsFullyConformant": false
   },
   {
    "ConformanceRunId": "run-20260913-203118",
    "RanOn": "2026-09-13T20:31:18-05:00",
    "RulebookCommit": "4717a575",
    "AnswerKeyAuthor": "compile-rulebook",
    "IsLatest": false,
    "Notes": "Loop 4: closure over StepTransitions (cyclic step graph); rulebook-to-postgres closure view now emits (x, x) for steps on a cycle; rulebook-to-owl accepts the self-reach COUNTIFS pair. Postgres/Python/Go/TypeScript/OWL agree on all new cells; EF and xlsx have no closure engine.",
    "SemanticTypeIri": "urn:effortless:pko-extension#ConformanceRun",
    "Name": "run-20260913-203118",
    "SubstrateCount": 7,
    "PerfectSubstrateCount": 0,
    "CellsTested": 508137.0,
    "CellsPassed": 498748.0,
    "CellsFailed": 9389.0,
    "OverallScore": 98.15,
    "ImperfectSubstrateCount": 7,
    "IsFullyConformant": false
   },
   {
    "ConformanceRunId": "run-20260914-083430",
    "RanOn": "2026-09-14T08:34:30-05:00",
    "RulebookCommit": "6b0287f8",
    "AnswerKeyAuthor": "compile-rulebook",
    "IsLatest": false,
    "Notes": "ERB build parameters: every substrate built under erbDateDiff=calendar, erbTimezone=UTC, erbDateTimeText=iso8601, erbBlankLogic=coerce, erbWholeNumber=by-field-type; Postgres/Python/Go/TypeScript at 100%, EF 99.93 (closure views), xlsx 99.82, OWL 97.15",
    "SemanticTypeIri": "urn:effortless:pko-extension#ConformanceRun",
    "Name": "run-20260914-083430",
    "SubstrateCount": 7.0,
    "PerfectSubstrateCount": 4.0,
    "CellsTested": 518238.0,
    "CellsPassed": 515942.0,
    "CellsFailed": 2296.0,
    "OverallScore": 99.56,
    "ImperfectSubstrateCount": 3.0,
    "IsFullyConformant": false
   },
   {
    "ConformanceRunId": "run-20260914-223223",
    "RanOn": "2026-09-14T22:32:23-05:00",
    "RulebookCommit": "c377d831",
    "AnswerKeyAuthor": "compile-rulebook",
    "IsLatest": true,
    "Notes": "Plain build against the published tools (all eight at v2026.09.14.*), no local overrides; first run after the ERB build parameters and the EdgeFilterColumn closure shipped",
    "SemanticTypeIri": "urn:effortless:pko-extension#ConformanceRun",
    "Name": "run-20260914-223223",
    "SubstrateCount": 7.0,
    "PerfectSubstrateCount": 5.0,
    "CellsTested": 472129.0,
    "CellsPassed": 471494.0,
    "CellsFailed": 635.0,
    "OverallScore": 99.87,
    "ImperfectSubstrateCount": 2.0,
    "IsFullyConformant": false
   }
  ]
 },
 "SubstrateRunScores": {
  "Description": "One substrate's grade in one conformance run, split by field class so a substrate that does scalar math natively but not cross-table joins reads as exactly that.",
  "important": true,
  "schema": [
   {
    "name": "SubstrateRunScoreId",
    "datatype": "string",
    "type": "raw",
    "nullable": false,
    "Description": "Stored logical identifier: '&lt;run&gt;|&lt;substrate&gt;'."
   },
   {
    "name": "Name",
    "datatype": "string",
    "type": "calculated",
    "nullable": true,
    "Description": "Human-readable calculated display alias.",
    "formula": "=CONCAT({{Run}}, \" / \", {{Substrate}})"
   },
   {
    "name": "Run",
    "datatype": "string",
    "type": "relationship",
    "nullable": true,
    "Description": "The run that produced this grade.",
    "RelatedTo": "ConformanceRuns"
   },
   {
    "name": "Substrate",
    "datatype": "string",
    "type": "relationship",
    "nullable": true,
    "Description": "The substrate graded.",
    "RelatedTo": "ConformanceSubstrates"
   },
   {
    "name": "HarnessError",
    "datatype": "string",
    "type": "raw",
    "nullable": true,
    "Description": "Why the substrate could not be run, verbatim from the harness. Blank when it ran."
   },
   {
    "name": "DurationSeconds",
    "datatype": "number",
    "type": "raw",
    "nullable": true,
    "Description": "Wall-clock seconds to produce answers."
   },
   {
    "name": "CellsTested",
    "datatype": "number",
    "type": "raw",
    "nullable": true,
    "Description": "Every (record x derived field) pair in the answer keys."
   },
   {
    "name": "CellsPassed",
    "datatype": "number",
    "type": "raw",
    "nullable": true,
    "Description": "Cells matching the answer key."
   },
   {
    "name": "CalculatedTested",
    "datatype": "number",
    "type": "raw",
    "nullable": true,
    "Description": "Cells of calculated (same-row formula) fields."
   },
   {
    "name": "CalculatedPassed",
    "datatype": "number",
    "type": "raw",
    "nullable": true,
    "Description": "Calculated cells that matched."
   },
   {
    "name": "LookupTested",
    "datatype": "number",
    "type": "raw",
    "nullable": true,
    "Description": "Cells of lookup (cross-table INDEX/MATCH) fields."
   },
   {
    "name": "LookupPassed",
    "datatype": "number",
    "type": "raw",
    "nullable": true,
    "Description": "Lookup cells that matched."
   },
   {
    "name": "AggregationTested",
    "datatype": "number",
    "type": "raw",
    "nullable": true,
    "Description": "Cells of aggregation (COUNTIFS/SUMIFS rollup) fields."
   },
   {
    "name": "AggregationPassed",
    "datatype": "number",
    "type": "raw",
    "nullable": true,
    "Description": "Aggregation cells that matched."
   },
   {
    "name": "CellsFailed",
    "datatype": "number",
    "type": "calculated",
    "nullable": true,
    "Description": "Cells that did not match.",
    "formula": "={{CellsTested}} - {{CellsPassed}}"
   },
   {
    "name": "Score",
    "datatype": "number",
    "type": "calculated",
    "nullable": true,
    "Description": "Percent of cells matching.",
    "formula": "=IF({{CellsTested}} = 0, 0, ROUND(100 * {{CellsPassed}} / {{CellsTested}}, 2))"
   },
   {
    "name": "CalculatedScore",
    "datatype": "number",
    "type": "calculated",
    "nullable": true,
    "Description": "Percent of calculated cells matching.",
    "formula": "=IF({{CalculatedTested}} = 0, 0, ROUND(100 * {{CalculatedPassed}} / {{CalculatedTested}}, 2))"
   },
   {
    "name": "LookupScore",
    "datatype": "number",
    "type": "calculated",
    "nullable": true,
    "Description": "Percent of lookup cells matching.",
    "formula": "=IF({{LookupTested}} = 0, 0, ROUND(100 * {{LookupPassed}} / {{LookupTested}}, 2))"
   },
   {
    "name": "AggregationScore",
    "datatype": "number",
    "type": "calculated",
    "nullable": true,
    "Description": "Percent of aggregation cells matching.",
    "formula": "=IF({{AggregationTested}} = 0, 0, ROUND(100 * {{AggregationPassed}} / {{AggregationTested}}, 2))"
   },
   {
    "name": "IsPerfect",
    "datatype": "boolean",
    "type": "calculated",
    "nullable": true,
    "Description": "True when the substrate ran and matched every cell.",
    "formula": "=AND({{HarnessError}} = \"\", {{CellsTested}} &gt; 0, {{CellsFailed}} = 0)"
   },
   {
    "name": "PerfectRunKey",
    "datatype": "string",
    "type": "calculated",
    "nullable": true,
    "Description": "The run id when this grade is perfect, else blank; lets the run count its perfect substrates with a single-criterion COUNTIFS.",
    "formula": "=IF({{IsPerfect}}, {{Run}}, \"\")"
   },
   {
    "name": "IsInLatestRun",
    "datatype": "boolean",
    "type": "lookup",
    "nullable": true,
    "Description": "Whether this grade belongs to the latest run.",
    "formula": "=INDEX(ConformanceRuns!{{IsLatest}}, MATCH({{Run}}, ConformanceRuns!{{ConformanceRunId}}, 0))"
   },
   {
    "name": "LatestCellsTested",
    "datatype": "number",
    "type": "calculated",
    "nullable": true,
    "Description": "CellsTested when in the latest run, else 0.",
    "formula": "=IF({{IsInLatestRun}}, {{CellsTested}}, 0)"
   },
   {
    "name": "LatestCellsPassed",
    "datatype": "number",
    "type": "calculated",
    "nullable": true,
    "Description": "CellsPassed when in the latest run, else 0.",
    "formula": "=IF({{IsInLatestRun}}, {{CellsPassed}}, 0)"
   },
   {
    "name": "LatestErrorFlag",
    "datatype": "number",
    "type": "calculated",
    "nullable": true,
    "Description": "1 when this is the latest run and the harness could not run the substrate.",
    "formula": "=IF(AND({{IsInLatestRun}}, {{HarnessError}} &lt;&gt; \"\"), 1, 0)"
   },
   {
    "name": "SubstrateLabel",
    "datatype": "string",
    "type": "lookup",
    "nullable": true,
    "Description": "The substrate's short label.",
    "formula": "=INDEX(ConformanceSubstrates!{{Label}}, MATCH({{Substrate}}, ConformanceSubstrates!{{ConformanceSubstrateId}}, 0))"
   },
   {
    "name": "SemanticTypeIri",
    "datatype": "string",
    "type": "raw",
    "nullable": true,
    "Description": "Semantic type IRI."
   }
  ],
  "data": [
   {
    "SubstrateRunScoreId": "run-20260913-165336|effortless-postgres",
    "Run": "run-20260913-165336",
    "Substrate": "effortless-postgres",
    "HarnessError": "",
    "DurationSeconds": 24.1,
    "CellsTested": 59878,
    "CellsPassed": 59763,
    "CalculatedTested": 42928,
    "CalculatedPassed": 42816,
    "LookupTested": 12929,
    "LookupPassed": 12926,
    "AggregationTested": 4021,
    "AggregationPassed": 4021,
    "SemanticTypeIri": "urn:effortless:pko-extension#SubstrateRunScore",
    "Name": "run-20260913-165336 / effortless-postgres",
    "CellsFailed": 115,
    "Score": 99.81,
    "CalculatedScore": 99.74,
    "LookupScore": 99.98,
    "AggregationScore": 100.0,
    "IsPerfect": false,
    "PerfectRunKey": null,
    "IsInLatestRun": false,
    "LatestCellsTested": 0,
    "LatestCellsPassed": 0,
    "LatestErrorFlag": 0,
    "SubstrateLabel": "PostgreSQL"
   },
   {
    "SubstrateRunScoreId": "run-20260913-165336|effortless-xlsx",
    "Run": "run-20260913-165336",
    "Substrate": "effortless-xlsx",
    "HarnessError": "",
    "DurationSeconds": 1.3,
    "CellsTested": 59878,
    "CellsPassed": 53868,
    "CalculatedTested": 42928,
    "CalculatedPassed": 40792,
    "LookupTested": 12929,
    "LookupPassed": 9334,
    "AggregationTested": 4021,
    "AggregationPassed": 3742,
    "SemanticTypeIri": "urn:effortless:pko-extension#SubstrateRunScore",
    "Name": "run-20260913-165336 / effortless-xlsx",
    "CellsFailed": 6010,
    "Score": 89.96,
    "CalculatedScore": 95.02,
    "LookupScore": 72.19,
    "AggregationScore": 93.06,
    "IsPerfect": false,
    "PerfectRunKey": null,
    "IsInLatestRun": false,
    "LatestCellsTested": 0,
    "LatestCellsPassed": 0,
    "LatestErrorFlag": 0,
    "SubstrateLabel": "Excel"
   },
   {
    "SubstrateRunScoreId": "run-20260913-165336|effortless-entity-framework",
    "Run": "run-20260913-165336",
    "Substrate": "effortless-entity-framework",
    "HarnessError": "",
    "DurationSeconds": 5.8,
    "CellsTested": 59878,
    "CellsPassed": 59764,
    "CalculatedTested": 42928,
    "CalculatedPassed": 42817,
    "LookupTested": 12929,
    "LookupPassed": 12926,
    "AggregationTested": 4021,
    "AggregationPassed": 4021,
    "SemanticTypeIri": "urn:effortless:pko-extension#SubstrateRunScore",
    "Name": "run-20260913-165336 / effortless-entity-framework",
    "CellsFailed": 114,
    "Score": 99.81,
    "CalculatedScore": 99.74,
    "LookupScore": 99.98,
    "AggregationScore": 100.0,
    "IsPerfect": false,
    "PerfectRunKey": null,
    "IsInLatestRun": false,
    "LatestCellsTested": 0,
    "LatestCellsPassed": 0,
    "LatestErrorFlag": 0,
    "SubstrateLabel": "C# / Entity Framework"
   },
   {
    "SubstrateRunScoreId": "run-20260913-165336|effortless-golang",
    "Run": "run-20260913-165336",
    "Substrate": "effortless-golang",
    "HarnessError": "",
    "DurationSeconds": 3.3,
    "CellsTested": 59878,
    "CellsPassed": 59764,
    "CalculatedTested": 42928,
    "CalculatedPassed": 42817,
    "LookupTested": 12929,
    "LookupPassed": 12926,
    "AggregationTested": 4021,
    "AggregationPassed": 4021,
    "SemanticTypeIri": "urn:effortless:pko-extension#SubstrateRunScore",
    "Name": "run-20260913-165336 / effortless-golang",
    "CellsFailed": 114,
    "Score": 99.81,
    "CalculatedScore": 99.74,
    "LookupScore": 99.98,
    "AggregationScore": 100.0,
    "IsPerfect": false,
    "PerfectRunKey": null,
    "IsInLatestRun": false,
    "LatestCellsTested": 0,
    "LatestCellsPassed": 0,
    "LatestErrorFlag": 0,
    "SubstrateLabel": "Go"
   },
   {
    "SubstrateRunScoreId": "run-20260913-165336|effortless-owl",
    "Run": "run-20260913-165336",
    "Substrate": "effortless-owl",
    "HarnessError": "",
    "DurationSeconds": 79.7,
    "CellsTested": 59878,
    "CellsPassed": 59587,
    "CalculatedTested": 42928,
    "CalculatedPassed": 42704,
    "LookupTested": 12929,
    "LookupPassed": 12922,
    "AggregationTested": 4021,
    "AggregationPassed": 3961,
    "SemanticTypeIri": "urn:effortless:pko-extension#SubstrateRunScore",
    "Name": "run-20260913-165336 / effortless-owl",
    "CellsFailed": 291,
    "Score": 99.51,
    "CalculatedScore": 99.48,
    "LookupScore": 99.95,
    "AggregationScore": 98.51,
    "IsPerfect": false,
    "PerfectRunKey": null,
    "IsInLatestRun": false,
    "LatestCellsTested": 0,
    "LatestCellsPassed": 0,
    "LatestErrorFlag": 0,
    "SubstrateLabel": "OWL / SHACL"
   },
   {
    "SubstrateRunScoreId": "run-20260913-165336|effortless-python",
    "Run": "run-20260913-165336",
    "Substrate": "effortless-python",
    "HarnessError": "",
    "DurationSeconds": 0.9,
    "CellsTested": 59878,
    "CellsPassed": 59764,
    "CalculatedTested": 42928,
    "CalculatedPassed": 42817,
    "LookupTested": 12929,
    "LookupPassed": 12926,
    "AggregationTested": 4021,
    "AggregationPassed": 4021,
    "SemanticTypeIri": "urn:effortless:pko-extension#SubstrateRunScore",
    "Name": "run-20260913-165336 / effortless-python",
    "CellsFailed": 114,
    "Score": 99.81,
    "CalculatedScore": 99.74,
    "LookupScore": 99.98,
    "AggregationScore": 100.0,
    "IsPerfect": false,
    "PerfectRunKey": null,
    "IsInLatestRun": false,
    "LatestCellsTested": 0,
    "LatestCellsPassed": 0,
    "LatestErrorFlag": 0,
    "SubstrateLabel": "Python"
   },
   {
    "SubstrateRunScoreId": "run-20260913-165336|effortless-typescript",
    "Run": "run-20260913-165336",
    "Substrate": "effortless-typescript",
    "HarnessError": "",
    "DurationSeconds": 1.9,
    "CellsTested": 59878,
    "CellsPassed": 59764,
    "CalculatedTested": 42928,
    "CalculatedPassed": 42817,
    "LookupTested": 12929,
    "LookupPassed": 12926,
    "AggregationTested": 4021,
    "AggregationPassed": 4021,
    "SemanticTypeIri": "urn:effortless:pko-extension#SubstrateRunScore",
    "Name": "run-20260913-165336 / effortless-typescript",
    "CellsFailed": 114,
    "Score": 99.81,
    "CalculatedScore": 99.74,
    "LookupScore": 99.98,
    "AggregationScore": 100.0,
    "IsPerfect": false,
    "PerfectRunKey": null,
    "IsInLatestRun": false,
    "LatestCellsTested": 0,
    "LatestCellsPassed": 0,
    "LatestErrorFlag": 0,
    "SubstrateLabel": "TypeScript"
   },
   {
    "SubstrateRunScoreId": "run-20260913-203118|effortless-postgres",
    "Run": "run-20260913-203118",
    "Substrate": "effortless-postgres",
    "HarnessError": "",
    "DurationSeconds": 24.6,
    "CellsTested": 72591,
    "CellsPassed": 72449,
    "CalculatedTested": 49123,
    "CalculatedPassed": 48984,
    "LookupTested": 18355,
    "LookupPassed": 18352,
    "AggregationTested": 5113,
    "AggregationPassed": 5113,
    "SemanticTypeIri": "urn:effortless:pko-extension#SubstrateRunScore",
    "Name": "run-20260913-203118 / effortless-postgres",
    "CellsFailed": 142,
    "Score": 99.8,
    "CalculatedScore": 99.72,
    "LookupScore": 99.98,
    "AggregationScore": 100.0,
    "IsPerfect": false,
    "PerfectRunKey": null,
    "IsInLatestRun": false,
    "LatestCellsTested": 0.0,
    "LatestCellsPassed": 0.0,
    "LatestErrorFlag": 0,
    "SubstrateLabel": "PostgreSQL"
   },
   {
    "SubstrateRunScoreId": "run-20260913-203118|effortless-xlsx",
    "Run": "run-20260913-203118",
    "Substrate": "effortless-xlsx",
    "HarnessError": "",
    "DurationSeconds": 1.6,
    "CellsTested": 72591,
    "CellsPassed": 65892,
    "CalculatedTested": 49123,
    "CalculatedPassed": 46734,
    "LookupTested": 18355,
    "LookupPassed": 14581,
    "AggregationTested": 5113,
    "AggregationPassed": 4577,
    "SemanticTypeIri": "urn:effortless:pko-extension#SubstrateRunScore",
    "Name": "run-20260913-203118 / effortless-xlsx",
    "CellsFailed": 6699,
    "Score": 90.77,
    "CalculatedScore": 95.14,
    "LookupScore": 79.44,
    "AggregationScore": 89.52,
    "IsPerfect": false,
    "PerfectRunKey": null,
    "IsInLatestRun": false,
    "LatestCellsTested": 0.0,
    "LatestCellsPassed": 0.0,
    "LatestErrorFlag": 0,
    "SubstrateLabel": "Excel"
   },
   {
    "SubstrateRunScoreId": "run-20260913-203118|effortless-entity-framework",
    "Run": "run-20260913-203118",
    "Substrate": "effortless-entity-framework",
    "HarnessError": "",
    "DurationSeconds": 6.2,
    "CellsTested": 72591,
    "CellsPassed": 72417,
    "CalculatedTested": 49123,
    "CalculatedPassed": 48990,
    "LookupTested": 18355,
    "LookupPassed": 18352,
    "AggregationTested": 5113,
    "AggregationPassed": 5075,
    "SemanticTypeIri": "urn:effortless:pko-extension#SubstrateRunScore",
    "Name": "run-20260913-203118 / effortless-entity-framework",
    "CellsFailed": 174,
    "Score": 99.76,
    "CalculatedScore": 99.73,
    "LookupScore": 99.98,
    "AggregationScore": 99.26,
    "IsPerfect": false,
    "PerfectRunKey": null,
    "IsInLatestRun": false,
    "LatestCellsTested": 0.0,
    "LatestCellsPassed": 0.0,
    "LatestErrorFlag": 0,
    "SubstrateLabel": "C# / Entity Framework"
   },
   {
    "SubstrateRunScoreId": "run-20260913-203118|effortless-golang",
    "Run": "run-20260913-203118",
    "Substrate": "effortless-golang",
    "HarnessError": "",
    "DurationSeconds": 3.6,
    "CellsTested": 72591,
    "CellsPassed": 72470,
    "CalculatedTested": 49123,
    "CalculatedPassed": 49005,
    "LookupTested": 18355,
    "LookupPassed": 18352,
    "AggregationTested": 5113,
    "AggregationPassed": 5113,
    "SemanticTypeIri": "urn:effortless:pko-extension#SubstrateRunScore",
    "Name": "run-20260913-203118 / effortless-golang",
    "CellsFailed": 121,
    "Score": 99.83,
    "CalculatedScore": 99.76,
    "LookupScore": 99.98,
    "AggregationScore": 100.0,
    "IsPerfect": false,
    "PerfectRunKey": null,
    "IsInLatestRun": false,
    "LatestCellsTested": 0.0,
    "LatestCellsPassed": 0.0,
    "LatestErrorFlag": 0,
    "SubstrateLabel": "Go"
   },
   {
    "SubstrateRunScoreId": "run-20260913-203118|effortless-owl",
    "Run": "run-20260913-203118",
    "Substrate": "effortless-owl",
    "HarnessError": "",
    "DurationSeconds": 82.4,
    "CellsTested": 72591,
    "CellsPassed": 70580,
    "CalculatedTested": 49123,
    "CalculatedPassed": 47179,
    "LookupTested": 18355,
    "LookupPassed": 18348,
    "AggregationTested": 5113,
    "AggregationPassed": 5053,
    "SemanticTypeIri": "urn:effortless:pko-extension#SubstrateRunScore",
    "Name": "run-20260913-203118 / effortless-owl",
    "CellsFailed": 2011,
    "Score": 97.23,
    "CalculatedScore": 96.04,
    "LookupScore": 99.96,
    "AggregationScore": 98.83,
    "IsPerfect": false,
    "PerfectRunKey": null,
    "IsInLatestRun": false,
    "LatestCellsTested": 0.0,
    "LatestCellsPassed": 0.0,
    "LatestErrorFlag": 0,
    "SubstrateLabel": "OWL / SHACL"
   },
   {
    "SubstrateRunScoreId": "run-20260913-203118|effortless-python",
    "Run": "run-20260913-203118",
    "Substrate": "effortless-python",
    "HarnessError": "",
    "DurationSeconds": 1.7,
    "CellsTested": 72591,
    "CellsPassed": 72470,
    "CalculatedTested": 49123,
    "CalculatedPassed": 49005,
    "LookupTested": 18355,
    "LookupPassed": 18352,
    "AggregationTested": 5113,
    "AggregationPassed": 5113,
    "SemanticTypeIri": "urn:effortless:pko-extension#SubstrateRunScore",
    "Name": "run-20260913-203118 / effortless-python",
    "CellsFailed": 121,
    "Score": 99.83,
    "CalculatedScore": 99.76,
    "LookupScore": 99.98,
    "AggregationScore": 100.0,
    "IsPerfect": false,
    "PerfectRunKey": null,
    "IsInLatestRun": false,
    "LatestCellsTested": 0.0,
    "LatestCellsPassed": 0.0,
    "LatestErrorFlag": 0,
    "SubstrateLabel": "Python"
   },
   {
    "SubstrateRunScoreId": "run-20260913-203118|effortless-typescript",
    "Run": "run-20260913-203118",
    "Substrate": "effortless-typescript",
    "HarnessError": "",
    "DurationSeconds": 2.3,
    "CellsTested": 72591,
    "CellsPassed": 72470,
    "CalculatedTested": 49123,
    "CalculatedPassed": 49005,
    "LookupTested": 18355,
    "LookupPassed": 18352,
    "AggregationTested": 5113,
    "AggregationPassed": 5113,
    "SemanticTypeIri": "urn:effortless:pko-extension#SubstrateRunScore",
    "Name": "run-20260913-203118 / effortless-typescript",
    "CellsFailed": 121,
    "Score": 99.83,
    "CalculatedScore": 99.76,
    "LookupScore": 99.98,
    "AggregationScore": 100.0,
    "IsPerfect": false,
    "PerfectRunKey": null,
    "IsInLatestRun": false,
    "LatestCellsTested": 0.0,
    "LatestCellsPassed": 0.0,
    "LatestErrorFlag": 0,
    "SubstrateLabel": "TypeScript"
   },
   {
    "SubstrateRunScoreId": "run-20260914-083430|effortless-postgres",
    "Run": "run-20260914-083430",
    "Substrate": "effortless-postgres",
    "HarnessError": "",
    "DurationSeconds": 45.0,
    "CellsTested": 74034,
    "CellsPassed": 74034,
    "CalculatedTested": 49788,
    "CalculatedPassed": 49788,
    "LookupTested": 19059,
    "LookupPassed": 19059,
    "AggregationTested": 5187,
    "AggregationPassed": 5187,
    "SemanticTypeIri": "urn:effortless:pko-extension#SubstrateRunScore",
    "Name": "run-20260914-083430 / effortless-postgres",
    "CellsFailed": 0.0,
    "Score": 100.0,
    "CalculatedScore": 100.0,
    "LookupScore": 100.0,
    "AggregationScore": 100.0,
    "IsPerfect": true,
    "PerfectRunKey": "run-20260914-083430",
    "IsInLatestRun": false,
    "LatestCellsTested": 0.0,
    "LatestCellsPassed": 0.0,
    "LatestErrorFlag": 0.0,
    "SubstrateLabel": "Po</t>
  </si>
  <si>
    <t xml:space="preserve">stgreSQL"
   },
   {
    "SubstrateRunScoreId": "run-20260914-083430|effortless-xlsx",
    "Run": "run-20260914-083430",
    "Substrate": "effortless-xlsx",
    "HarnessError": "",
    "DurationSeconds": 1.6,
    "CellsTested": 74034,
    "CellsPassed": 73899,
    "CalculatedTested": 49788,
    "CalculatedPassed": 49718,
    "LookupTested": 19059,
    "LookupPassed": 19050,
    "AggregationTested": 5187,
    "AggregationPassed": 5131,
    "SemanticTypeIri": "urn:effortless:pko-extension#SubstrateRunScore",
    "Name": "run-20260914-083430 / effortless-xlsx",
    "CellsFailed": 135.0,
    "Score": 99.82,
    "CalculatedScore": 99.86,
    "LookupScore": 99.95,
    "AggregationScore": 98.92,
    "IsPerfect": false,
    "PerfectRunKey": null,
    "IsInLatestRun": false,
    "LatestCellsTested": 0.0,
    "LatestCellsPassed": 0.0,
    "LatestErrorFlag": 0.0,
    "SubstrateLabel": "Excel"
   },
   {
    "SubstrateRunScoreId": "run-20260914-083430|effortless-entity-framework",
    "Run": "run-20260914-083430",
    "Substrate": "effortless-entity-framework",
    "HarnessError": "",
    "DurationSeconds": 5.8,
    "CellsTested": 74034,
    "CellsPassed": 73981,
    "CalculatedTested": 49788,
    "CalculatedPassed": 49773,
    "LookupTested": 19059,
    "LookupPassed": 19059,
    "AggregationTested": 5187,
    "AggregationPassed": 5149,
    "SemanticTypeIri": "urn:effortless:pko-extension#SubstrateRunScore",
    "Name": "run-20260914-083430 / effortless-entity-framework",
    "CellsFailed": 53.0,
    "Score": 99.93,
    "CalculatedScore": 99.97,
    "LookupScore": 100.0,
    "AggregationScore": 99.27,
    "IsPerfect": false,
    "PerfectRunKey": null,
    "IsInLatestRun": false,
    "LatestCellsTested": 0.0,
    "LatestCellsPassed": 0.0,
    "LatestErrorFlag": 0.0,
    "SubstrateLabel": "C# / Entity Framework"
   },
   {
    "SubstrateRunScoreId": "run-20260914-083430|effortless-golang",
    "Run": "run-20260914-083430",
    "Substrate": "effortless-golang",
    "HarnessError": "",
    "DurationSeconds": 2.5,
    "CellsTested": 74034,
    "CellsPassed": 74034,
    "CalculatedTested": 49788,
    "CalculatedPassed": 49788,
    "LookupTested": 19059,
    "LookupPassed": 19059,
    "AggregationTested": 5187,
    "AggregationPassed": 5187,
    "SemanticTypeIri": "urn:effortless:pko-extension#SubstrateRunScore",
    "Name": "run-20260914-083430 / effortless-golang",
    "CellsFailed": 0.0,
    "Score": 100.0,
    "CalculatedScore": 100.0,
    "LookupScore": 100.0,
    "AggregationScore": 100.0,
    "IsPerfect": true,
    "PerfectRunKey": "run-20260914-083430",
    "IsInLatestRun": false,
    "LatestCellsTested": 0.0,
    "LatestCellsPassed": 0.0,
    "LatestErrorFlag": 0.0,
    "SubstrateLabel": "Go"
   },
   {
    "SubstrateRunScoreId": "run-20260914-083430|effortless-owl",
    "Run": "run-20260914-083430",
    "Substrate": "effortless-owl",
    "HarnessError": "",
    "DurationSeconds": 81.0,
    "CellsTested": 74034,
    "CellsPassed": 71926,
    "CalculatedTested": 49788,
    "CalculatedPassed": 47724,
    "LookupTested": 19059,
    "LookupPassed": 19059,
    "AggregationTested": 5187,
    "AggregationPassed": 5143,
    "SemanticTypeIri": "urn:effortless:pko-extension#SubstrateRunScore",
    "Name": "run-20260914-083430 / effortless-owl",
    "CellsFailed": 2108.0,
    "Score": 97.15,
    "CalculatedScore": 95.85,
    "LookupScore": 100.0,
    "AggregationScore": 99.15,
    "IsPerfect": false,
    "PerfectRunKey": null,
    "IsInLatestRun": false,
    "LatestCellsTested": 0.0,
    "LatestCellsPassed": 0.0,
    "LatestErrorFlag": 0.0,
    "SubstrateLabel": "OWL / SHACL"
   },
   {
    "SubstrateRunScoreId": "run-20260914-083430|effortless-python",
    "Run": "run-20260914-083430",
    "Substrate": "effortless-python",
    "HarnessError": "",
    "DurationSeconds": 2.1,
    "CellsTested": 74034,
    "CellsPassed": 74034,
    "CalculatedTested": 49788,
    "CalculatedPassed": 49788,
    "LookupTested": 19059,
    "LookupPassed": 19059,
    "AggregationTested": 5187,
    "AggregationPassed": 5187,
    "SemanticTypeIri": "urn:effortless:pko-extension#SubstrateRunScore",
    "Name": "run-20260914-083430 / effortless-python",
    "CellsFailed": 0.0,
    "Score": 100.0,
    "CalculatedScore": 100.0,
    "LookupScore": 100.0,
    "AggregationScore": 100.0,
    "IsPerfect": true,
    "PerfectRunKey": "run-20260914-083430",
    "IsInLatestRun": false,
    "LatestCellsTested": 0.0,
    "LatestCellsPassed": 0.0,
    "LatestErrorFlag": 0.0,
    "SubstrateLabel": "Python"
   },
   {
    "SubstrateRunScoreId": "run-20260914-083430|effortless-typescript",
    "Run": "run-20260914-083430",
    "Substrate": "effortless-typescript",
    "HarnessError": "",
    "DurationSeconds": 2.4,
    "CellsTested": 74034,
    "CellsPassed": 74034,
    "CalculatedTested": 49788,
    "CalculatedPassed": 49788,
    "LookupTested": 19059,
    "LookupPassed": 19059,
    "AggregationTested": 5187,
    "AggregationPassed": 5187,
    "SemanticTypeIri": "urn:effortless:pko-extension#SubstrateRunScore",
    "Name": "run-20260914-083430 / effortless-typescript",
    "CellsFailed": 0.0,
    "Score": 100.0,
    "CalculatedScore": 100.0,
    "LookupScore": 100.0,
    "AggregationScore": 100.0,
    "IsPerfect": true,
    "PerfectRunKey": "run-20260914-083430",
    "IsInLatestRun": false,
    "LatestCellsTested": 0.0,
    "LatestCellsPassed": 0.0,
    "LatestErrorFlag": 0.0,
    "SubstrateLabel": "TypeScript"
   },
   {
    "SubstrateRunScoreId": "run-20260914-223223|effortless-postgres",
    "Run": "run-20260914-223223",
    "Substrate": "effortless-postgres",
    "HarnessError": "",
    "DurationSeconds": 24.3,
    "CellsTested": 67447,
    "CellsPassed": 67447,
    "CalculatedTested": 47577,
    "CalculatedPassed": 47577,
    "LookupTested": 15005,
    "LookupPassed": 15005,
    "AggregationTested": 4865,
    "AggregationPassed": 4865,
    "SemanticTypeIri": "urn:effortless:pko-extension#SubstrateRunScore",
    "Name": "run-20260914-223223 / effortless-postgres",
    "CellsFailed": 0.0,
    "Score": 100.0,
    "CalculatedScore": 100.0,
    "LookupScore": 100.0,
    "AggregationScore": 100.0,
    "IsPerfect": true,
    "PerfectRunKey": "run-20260914-223223",
    "IsInLatestRun": true,
    "LatestCellsTested": 67447.0,
    "LatestCellsPassed": 67447.0,
    "LatestErrorFlag": 0.0,
    "SubstrateLabel": "PostgreSQL"
   },
   {
    "SubstrateRunScoreId": "run-20260914-223223|effortless-xlsx",
    "Run": "run-20260914-223223",
    "Substrate": "effortless-xlsx",
    "HarnessError": "",
    "DurationSeconds": 1.6,
    "CellsTested": 67447,
    "CellsPassed": 67242,
    "CalculatedTested": 47577,
    "CalculatedPassed": 47473,
    "LookupTested": 15005,
    "LookupPassed": 14979,
    "AggregationTested": 4865,
    "AggregationPassed": 4790,
    "SemanticTypeIri": "urn:effortless:pko-extension#SubstrateRunScore",
    "Name": "run-20260914-223223 / effortless-xlsx",
    "CellsFailed": 205.0,
    "Score": 99.7,
    "CalculatedScore": 99.78,
    "LookupScore": 99.83,
    "AggregationScore": 98.46,
    "IsPerfect": false,
    "PerfectRunKey": null,
    "IsInLatestRun": true,
    "LatestCellsTested": 67447.0,
    "LatestCellsPassed": 67242.0,
    "LatestErrorFlag": 0.0,
    "SubstrateLabel": "Excel"
   },
   {
    "SubstrateRunScoreId": "run-20260914-223223|effortless-entity-framework",
    "Run": "run-20260914-223223",
    "Substrate": "effortless-entity-framework",
    "HarnessError": "",
    "DurationSeconds": 6.5,
    "CellsTested": 67447,
    "CellsPassed": 67447,
    "CalculatedTested": 47577,
    "CalculatedPassed": 47577,
    "LookupTested": 15005,
    "LookupPassed": 15005,
    "AggregationTested": 4865,
    "AggregationPassed": 4865,
    "SemanticTypeIri": "urn:effortless:pko-extension#SubstrateRunScore",
    "Name": "run-20260914-223223 / effortless-entity-framework",
    "CellsFailed": 0.0,
    "Score": 100.0,
    "CalculatedScore": 100.0,
    "LookupScore": 100.0,
    "AggregationScore": 100.0,
    "IsPerfect": true,
    "PerfectRunKey": "run-20260914-223223",
    "IsInLatestRun": true,
    "LatestCellsTested": 67447.0,
    "LatestCellsPassed": 67447.0,
    "LatestErrorFlag": 0.0,
    "SubstrateLabel": "C# / Entity Framework"
   },
   {
    "SubstrateRunScoreId": "run-20260914-223223|effortless-golang",
    "Run": "run-20260914-223223",
    "Substrate": "effortless-golang",
    "HarnessError": "",
    "DurationSeconds": 2.5,
    "CellsTested": 67447,
    "CellsPassed": 67447,
    "CalculatedTested": 47577,
    "CalculatedPassed": 47577,
    "LookupTested": 15005,
    "LookupPassed": 15005,
    "AggregationTested": 4865,
    "AggregationPassed": 4865,
    "SemanticTypeIri": "urn:effortless:pko-extension#SubstrateRunScore",
    "Name": "run-20260914-223223 / effortless-golang",
    "CellsFailed": 0.0,
    "Score": 100.0,
    "CalculatedScore": 100.0,
    "LookupScore": 100.0,
    "AggregationScore": 100.0,
    "IsPerfect": true,
    "PerfectRunKey": "run-20260914-223223",
    "IsInLatestRun": true,
    "LatestCellsTested": 67447.0,
    "LatestCellsPassed": 67447.0,
    "LatestErrorFlag": 0.0,
    "SubstrateLabel": "Go"
   },
   {
    "SubstrateRunScoreId": "run-20260914-223223|effortless-owl",
    "Run": "run-20260914-223223",
    "Substrate": "effortless-owl",
    "HarnessError": "",
    "DurationSeconds": 140.7,
    "CellsTested": 67447,
    "CellsPassed": 67017,
    "CalculatedTested": 47577,
    "CalculatedPassed": 47193,
    "LookupTested": 15005,
    "LookupPassed": 15005,
    "AggregationTested": 4865,
    "AggregationPassed": 4819,
    "SemanticTypeIri": "urn:effortless:pko-extension#SubstrateRunScore",
    "Name": "run-20260914-223223 / effortless-owl",
    "CellsFailed": 430.0,
    "Score": 99.36,
    "CalculatedScore": 99.19,
    "LookupScore": 100.0,
    "AggregationScore": 99.05,
    "IsPerfect": false,
    "PerfectRunKey": null,
    "IsInLatestRun": true,
    "LatestCellsTested": 67447.0,
    "LatestCellsPassed": 67017.0,
    "LatestErrorFlag": 0.0,
    "SubstrateLabel": "OWL / SHACL"
   },
   {
    "SubstrateRunScoreId": "run-20260914-223223|effortless-python",
    "Run": "run-20260914-223223",
    "Substrate": "effortless-python",
    "HarnessError": "",
    "DurationSeconds": 1.3,
    "CellsTested": 67447,
    "CellsPassed": 67447,
    "CalculatedTested": 47577,
    "CalculatedPassed": 47577,
    "LookupTested": 15005,
    "LookupPassed": 15005,
    "AggregationTested": 4865,
    "AggregationPassed": 4865,
    "SemanticTypeIri": "urn:effortless:pko-extension#SubstrateRunScore",
    "Name": "run-20260914-223223 / effortless-python",
    "CellsFailed": 0.0,
    "Score": 100.0,
    "CalculatedScore": 100.0,
    "LookupScore": 100.0,
    "AggregationScore": 100.0,
    "IsPerfect": true,
    "PerfectRunKey": "run-20260914-223223",
    "IsInLatestRun": true,
    "LatestCellsTested": 67447.0,
    "LatestCellsPassed": 67447.0,
    "LatestErrorFlag": 0.0,
    "SubstrateLabel": "Python"
   },
   {
    "SubstrateRunScoreId": "run-20260914-223223|effortless-typescript",
    "Run": "run-20260914-223223",
    "Substrate": "effortless-typescript",
    "HarnessError": "",
    "DurationSeconds": 1.9,
    "CellsTested": 67447,
    "CellsPassed": 67447,
    "CalculatedTested": 47577,
    "CalculatedPassed": 47577,
    "LookupTested": 15005,
    "LookupPassed": 15005,
    "AggregationTested": 4865,
    "AggregationPassed": 4865,
    "SemanticTypeIri": "urn:effortless:pko-extension#SubstrateRunScore",
    "Name": "run-20260914-223223 / effortless-typescript",
    "CellsFailed": 0.0,
    "Score": 100.0,
    "CalculatedScore": 100.0,
    "LookupScore": 100.0,
    "AggregationScore": 100.0,
    "IsPerfect": true,
    "PerfectRunKey": "run-20260914-223223",
    "IsInLatestRun": true,
    "LatestCellsTested": 67447.0,
    "LatestCellsPassed": 67447.0,
    "LatestErrorFlag": 0.0,
    "SubstrateLabel": "TypeScript"
   }
  ]
 },
 "TableConformance": {
  "Description": "Latest run only: how one substrate did on one table. The grid of these rows is the substrate-by-table heatmap.",
  "important": true,
  "schema": [
   {
    "name": "TableConformanceId",
    "datatype": "string",
    "type": "raw",
    "nullable": false,
    "Description": "Stored logical identifier: '&lt;substrate&gt;|&lt;Table&gt;'."
   },
   {
    "name": "Name",
    "datatype": "string",
    "type": "calculated",
    "nullable": true,
    "Description": "Human-readable calculated display alias.",
    "formula": "=CONCAT({{Substrate}}, \" / \", {{RulebookTable}})"
   },
   {
    "name": "Run",
    "datatype": "string",
    "type": "relationship",
    "nullable": true,
    "Description": "The run this row describes.",
    "RelatedTo": "ConformanceRuns"
   },
   {
    "name": "Substrate",
    "datatype": "string",
    "type": "relationship",
    "nullable": true,
    "Description": "The substrate graded.",
    "RelatedTo": "ConformanceSubstrates"
   },
   {
    "name": "RulebookTable",
    "datatype": "string",
    "type": "relationship",
    "nullable": true,
    "Description": "The table graded.",
    "RelatedTo": "RulebookTables"
   },
   {
    "name": "RecordCount",
    "datatype": "number",
    "type": "raw",
    "nullable": true,
    "Description": "Rows in the answer key for this table."
   },
   {
    "name": "DerivedFieldCount",
    "datatype": "number",
    "type": "raw",
    "nullable": true,
    "Description": "Derived fields graded on this table."
   },
   {
    "name": "CellsTested",
    "datatype": "number",
    "type": "raw",
    "nullable": true,
    "Description": "RecordCount x DerivedFieldCount."
   },
   {
    "name": "CellsPassed",
    "datatype": "number",
    "type": "raw",
    "nullable": true,
    "Description": "Cells matching the answer key."
   },
   {
    "name": "IsMissingAnswerFile",
    "datatype": "boolean",
    "type": "raw",
    "nullable": true,
    "Description": "True when the substrate produced no answers for this table at all; every cell then counts as failed."
   },
   {
    "name": "CellsFailed",
    "datatype": "number",
    "type": "calculated",
    "nullable": true,
    "Description": "Cells that did not match.",
    "formula": "={{CellsTested}} - {{CellsPassed}}"
   },
   {
    "name": "Score",
    "datatype": "number",
    "type": "calculated",
    "nullable": true,
    "Description": "Percent of cells matching.",
    "formula": "=IF({{CellsTested}} = 0, 0, ROUND(100 * {{CellsPassed}} / {{CellsTested}}, 2))"
   },
   {
    "name": "IsPerfect",
    "datatype": "boolean",
    "type": "calculated",
    "nullable": true,
    "Description": "True when every cell matched.",
    "formula": "={{CellsFailed}} = 0"
   },
   {
    "name": "ImperfectSubstrateKey",
    "datatype": "string",
    "type": "calculated",
    "nullable": true,
    "Description": "The substrate id when this table is imperfect, else blank.",
    "formula": "=IF({{IsPerfect}}, \"\", {{Substrate}})"
   },
   {
    "name": "ImperfectTableKey",
    "datatype": "string",
    "type": "calculated",
    "nullable": true,
    "Description": "The table id when this table is imperfect, else blank.",
    "formula": "=IF({{IsPerfect}}, \"\", {{RulebookTable}})"
   },
   {
    "name": "DisagreeingFieldCount",
    "datatype": "number",
    "type": "aggregation",
    "nullable": true,
    "Description": "Fields on this table the substrate got at least one cell wrong.",
    "formula": "=COUNTIFS(FieldDisagreements!{{TableConformance}}, {{TableConformanceId}})"
   },
   {
    "name": "SubstrateLabel",
    "datatype": "string",
    "type": "lookup",
    "nullable": true,
    "Description": "The substrate's short label.",
    "formula": "=INDEX(ConformanceSubstrates!{{Label}}, MATCH({{Substrate}}, ConformanceSubstrates!{{ConformanceSubstrateId}}, 0))"
   },
   {
    "name": "SubjectArea",
    "datatype": "string",
    "type": "lookup",
    "nullable": true,
    "Description": "The table's subject area.",
    "formula": "=INDEX(RulebookTables!{{SubjectArea}}, MATCH({{RulebookTable}}, RulebookTables!{{RulebookTableId}}, 0))"
   },
   {
    "name": "SemanticTypeIri",
    "datatype": "string",
    "type": "raw",
    "nullable": true,
    "Description": "Semantic type IRI."
   }
  ],
  "data": [
   {
    "TableConformanceId": "effortless-postgres|RulebookReleases",
    "Run": "run-20260914-223223",
    "Substrate": "effortless-postgres",
    "RulebookTable": "RulebookReleases",
    "RecordCount": 1,
    "DerivedFieldCount": 1,
    "CellsTested": 1,
    "CellsPassed": 1,
    "IsMissingAnswerFile": false,
    "SemanticTypeIri": "urn:effortless:pko-extension#TableConformance",
    "Name": "effortless-postgres / RulebookReleases",
    "CellsFailed": 0.0,
    "Score": 100.0,
    "IsPerfect": true,
    "ImperfectSubstrateKey": null,
    "ImperfectTableKey": null,
    "DisagreeingFieldCount": 0.0,
    "SubstrateLabel": "PostgreSQL",
    "SubjectArea": "meta"
   },
   {
    "TableConformanceId": "effortless-postgres|OntologyProfiles",
    "Run": "run-20260914-223223",
    "Substrate": "effortless-postgres",
    "RulebookTable": "OntologyProfiles",
    "RecordCount": 11,
    "DerivedFieldCount": 1,
    "CellsTested": 11,
    "CellsPassed": 11,
    "IsMissingAnswerFile": false,
    "SemanticTypeIri": "urn:effortless:pko-extension#TableConformance",
    "Name": "effortless-postgres / OntologyProfiles",
    "CellsFailed": 0.0,
    "Score": 100.0,
    "IsPerfect": true,
    "ImperfectSubstrateKey": null,
    "ImperfectTableKey": null,
    "DisagreeingFieldCount": 0.0,
    "SubstrateLabel": "PostgreSQL",
    "SubjectArea": "domain"
   },
   {
    "TableConformanceId": "effortless-postgres|EvaluationContexts",
    "Run": "run-20260914-223223",
    "Substrate": "effortless-postgres",
    "RulebookTable": "EvaluationContexts",
    "RecordCount": 1,
    "DerivedFieldCount": 1,
    "CellsTested": 1,
    "CellsPassed": 1,
    "IsMissingAnswerFile": false,
    "SemanticTypeIri": "urn:effortless:pko-extension#TableConformance",
    "Name": "effortless-postgres / EvaluationContexts",
    "CellsFailed": 0.0,
    "Score": 100.0,
    "IsPerfect": true,
    "ImperfectSubstrateKey": null,
    "ImperfectTableKey": null,
    "DisagreeingFieldCount": 0.0,
    "SubstrateLabel": "PostgreSQL",
    "SubjectArea": "meta"
   },
   {
    "TableConformanceId": "effortless-postgres|Organizations",
    "Run": "run-20260914-223223",
    "Substrate": "effortless-postgres",
    "RulebookTable": "Organizations",
    "RecordCount": 4,
    "DerivedFieldCount": 1,
    "CellsTested": 4,
    "CellsPassed": 4,
    "IsMissingAnswerFile": false,
    "SemanticTypeIri": "urn:effortless:pko-extension#TableConformance",
    "Name": "effortless-postgres / Organizations",
    "CellsFailed": 0.0,
    "Score": 100.0,
    "IsPerfect": true,
    "ImperfectSubstrateKey": null,
    "ImperfectTableKey": null,
    "DisagreeingFieldCount": 0.0,
    "SubstrateLabel": "PostgreSQL",
    "SubjectArea": "org"
   },
   {
    "TableConformanceId": "effortless-postgres|Agents",
    "Run": "run-20260914-223223",
    "Substrate": "effortless-postgres",
    "RulebookTable": "Agents",
    "RecordCount": 11,
    "DerivedFieldCount": 16,
    "CellsTested": 176,
    "CellsPassed": 176,
    "IsMissingAnswerFile": false,
    "SemanticTypeIri": "urn:effortless:pko-extension#TableConformance",
    "Name": "effortless-postgres / Agents",
    "CellsFailed": 0.0,
    "Score": 100.0,
    "IsPerfect": true,
    "ImperfectSubstrateKey": null,
    "ImperfectTableKey": null,
    "DisagreeingFieldCount": 0.0,
    "SubstrateLabel": "PostgreSQL",
    "SubjectArea": "org"
   },
   {
    "TableConformanceId": "effortless-postgres|Roles",
    "Run": "run-20260914-223223",
    "Substrate": "effortless-postgres",
    "RulebookTable": "Roles",
    "RecordCount": 12,
    "DerivedFieldCount": 17,
    "CellsTested": 204,
    "CellsPassed": 204,
    "IsMissingAnswerFile": false,
    "SemanticTypeIri": "urn:effortless:pko-extension#TableConformance",
    "Name": "effortless-postgres / Roles",
    "CellsFailed": 0.0,
    "Score": 100.0,
    "IsPerfect": true,
    "ImperfectSubstrateKey": null,
    "ImperfectTableKey": null,
    "DisagreeingFieldCount": 0.0,
    "SubstrateLabel": "PostgreSQL",
    "SubjectArea": "org"
   },
   {
    "TableConformanceId": "effortless-postgres|RoleAssignments",
    "Run": "run-20260914-223223",
    "Substrate": "effortless-postgres",
    "RulebookTable": "RoleAssignments",
    "RecordCount": 13,
    "DerivedFieldCount": 47,
    "CellsTested": 611,
    "CellsPassed": 611,
    "IsMissingAnswerFile": false,
    "SemanticTypeIri": "urn:effortless:pko-extension#TableConformance",
    "Name": "effortless-postgres / RoleAssignments",
    "CellsFailed": 0.0,
    "Score": 100.0,
    "IsPerfect": true,
    "ImperfectSubstrateKey": null,
    "ImperfectTableKey": null,
    "DisagreeingFieldCount": 0.0,
    "SubstrateLabel": "PostgreSQL",
    "SubjectArea": "org"
   },
   {
    "TableConformanceId": "effortless-postgres|CommunitiesOfPractice",
    "Run": "run-20260914-223223",
    "Substrate": "effortless-postgres",
    "RulebookTable": "CommunitiesOfPractice",
    "RecordCount": 2,
    "DerivedFieldCount": 1,
    "CellsTested": 2,
    "CellsPassed": 2,
    "IsMissingAnswerFile": false,
    "SemanticTypeIri": "urn:effortless:pko-extension#TableConformance",
    "Name": "effortless-postgres / CommunitiesOfPractice",
    "CellsFailed": 0.0,
    "Score": 100.0,
    "IsPerfect": true,
    "ImperfectSubstrateKey": null,
    "ImperfectTableKey": null,
    "DisagreeingFieldCount": 0.0,
    "SubstrateLabel": "PostgreSQL",
    "SubjectArea": "org"
   },
   {
    "TableConformanceId": "effortless-postgres|Mentorships",
    "Run": "run-20260914-223223",
    "Substrate": "effortless-postgres",
    "RulebookTable": "Mentorships",
    "RecordCount": 1,
    "DerivedFieldCount": 1,
    "CellsTested": 1,
    "CellsPassed": 1,
    "IsMissingAnswerFile": false,
    "SemanticTypeIri": "urn:effortless:pko-extension#TableConformance",
    "Name": "effortless-postgres / Mentorships",
    "CellsFailed": 0.0,
    "Score": 100.0,
    "IsPerfect": true,
    "ImperfectSubstrateKey": null,
    "ImperfectTableKey": null,
    "DisagreeingFieldCount": 0.0,
    "SubstrateLabel": "PostgreSQL",
    "SubjectArea": "org"
   },
   {
    "TableConformanceId": "effortless-postgres|ProcedureTypes",
    "Run": "run-20260914-223223",
    "Substrate": "effortless-postgres",
    "RulebookTable": "ProcedureTypes",
    "RecordCount": 2,
    "DerivedFieldCount": 1,
    "CellsTested": 2,
    "CellsPassed": 2,
    "IsMissingAnswerFile": false,
    "SemanticTypeIri": "urn:effortless:pko-extension#TableConformance",
    "Name": "effortless-postgres / ProcedureTypes",
    "CellsFailed": 0.0,
    "Score": 100.0,
    "IsPerfect": true,
    "ImperfectSubstrateKey": null,
    "ImperfectTableKey": null,
    "DisagreeingFieldCount": 0.0,
    "SubstrateLabel": "PostgreSQL",
    "SubjectArea": "specification"
   },
   {
    "TableConformanceId": "effortless-postgres|Procedures",
    "Run": "run-20260914-223223",
    "Substrate": "effortless-postgres",
    "RulebookTable": "Procedures",
    "RecordCount": 2,
    "DerivedFieldCount": 1,
    "CellsTested": 2,
    "CellsPassed": 2,
    "IsMissingAnswerFile": false,
    "SemanticTypeIri": "urn:effortless:pko-extension#TableConformance",
    "Name": "effortless-postgres / Procedures",
    "CellsFailed": 0.0,
    "Score": 100.0,
    "IsPerfect": true,
    "ImperfectSubstrateKey": null,
    "ImperfectTableKey": null,
    "DisagreeingFieldCount": 0.0,
    "SubstrateLabel": "PostgreSQL",
    "SubjectArea": "specification"
   },
   {
    "TableConformanceId": "effortless-postgres|ProcedureVersions",
    "Run": "run-20260914-223223",
    "Substrate": "effortless-postgres",
    "RulebookTable": "ProcedureVersions",
    "RecordCount": 3,
    "DerivedFieldCount": 73,
    "CellsTested": 219,
    "CellsPassed": 219,
    "IsMissingAnswerFile": false,
    "SemanticTypeIri": "urn:effortless:pko-extension#TableConformance",
    "Name": "effortless-postgres / ProcedureVersions",
    "CellsFailed": 0.0,
    "Score": 100.0,
    "IsPerfect": true,
    "ImperfectSubstrateKey": null,
    "ImperfectTableKey": null,
    "DisagreeingFieldCount": 0.0,
    "SubstrateLabel": "PostgreSQL",
    "SubjectArea": "specification"
   },
   {
    "TableConformanceId": "effortless-postgres|ProcedureVersionLinks",
    "Run": "run-20260914-223223",
    "Substrate": "effortless-postgres",
    "RulebookTable": "ProcedureVersionLinks",
    "RecordCount": 1,
    "DerivedFieldCount": 2,
    "CellsTested": 2,
    "CellsPassed": 2,
    "IsMissingAnswerFile": false,
    "SemanticTypeIri": "urn:effortless:pko-extension#TableConformance",
    "Name": "effortless-postgres / ProcedureVersionLinks",
    "CellsFailed": 0.0,
    "Score": 100.0,
    "IsPerfect": true,
    "ImperfectSubstrateKey": null,
    "ImperfectTableKey": null,
    "DisagreeingFieldCount": 0.0,
    "SubstrateLabel": "PostgreSQL",
    "SubjectArea": "specification"
   },
   {
    "TableConformanceId": "effortless-postgres|ProcedureStatusChanges",
    "Run": "run-20260914-223223",
    "Substrate": "effortless-postgres",
    "RulebookTable": "ProcedureStatusChanges",
    "RecordCount": 5,
    "DerivedFieldCount": 1,
    "CellsTested": 5,
    "CellsPassed": 5,
    "IsMissingAnswerFile": false,
    "SemanticTypeIri": "urn:effortless:pko-extension#TableConformance",
    "Name": "effortless-postgres / ProcedureStatusChanges",
    "CellsFailed": 0.0,
    "Score": 100.0,
    "IsPerfect": true,
    "ImperfectSubstrateKey": null,
    "ImperfectTableKey": null,
    "DisagreeingFieldCount": 0.0,
    "SubstrateLabel": "PostgreSQL",
    "SubjectArea": "specification"
   },
   {
    "TableConformanceId": "effortless-postgres|Steps",
    "Run": "run-20260914-223223",
    "Substrate": "effortless-postgres",
    "RulebookTable": "Steps",
    "RecordCount": 17,
    "DerivedFieldCount": 42,
    "CellsTested": 714,
    "CellsPassed": 714,
    "IsMissingAnswerFile": false,
    "SemanticTypeIri": "urn:effortless:pko-extension#TableConformance",
    "Name": "effortless-postgres / Steps",
    "CellsFailed": 0.0,
    "Score": 100.0,
    "IsPerfect": true,
    "ImperfectSubstrateKey": null,
    "ImperfectTableKey": null,
    "DisagreeingFieldCount": 0.0,
    "SubstrateLabel": "PostgreSQL",
    "SubjectArea": "specification"
   },
   {
    "TableConformanceId": "effortless-postgres|StepTransitions",
    "Run": "run-20260914-223223",
    "Substrate": "effortless-postgres",
    "RulebookTable": "StepTransitions",
    "RecordCount": 20,
    "DerivedFieldCount": 18,
    "CellsTested": 360,
    "CellsPassed": 360,
    "IsMissingAnswerFile": false,
    "SemanticTypeIri": "urn:effortless:pko-extension#TableConformance",
    "Name": "effortless-postgres / StepTransitions",
    "CellsFailed": 0.0,
    "Score": 100.0,
    "IsPerfect": true,
    "ImperfectSubstrateKey": null,
    "ImperfectTableKey": null,
    "DisagreeingFieldCount": 0.0,
    "SubstrateLabel": "PostgreSQL",
    "SubjectArea": "specification"
   },
   {
    "TableConformanceId": "effortless-postgres|Actions",
    "Run": "run-20260914-223223",
    "Substrate": "effortless-postgres",
    "RulebookTable": "Actions",
    "RecordCount": 9,
    "DerivedFieldCount": 1,
    "CellsTested": 9,
    "CellsPassed": 9,
    "IsMissingAnswerFile": false,
    "SemanticTypeIri": "urn:effortless:pko-extension#TableConformance",
    "Name": "effortless-postgres / Actions",
    "CellsFailed": 0.0,
    "Score": 100.0,
    "IsPerfect": true,
    "ImperfectSubstrateKey": null,
    "ImperfectTableKey": null,
    "DisagreeingFieldCount": 0.0,
    "SubstrateLabel": "PostgreSQL",
    "SubjectArea": "specification"
   },
   {
    "TableConformanceId": "effortless-postgres|Functions",
    "Run": "run-20260914-223223",
    "Substrate": "effortless-postgres",
    "RulebookTable": "Functions",
    "RecordCount": 8,
    "DerivedFieldCount": 1,
    "CellsTested": 8,
    "CellsPassed": 8,
    "IsMissingAnswerFile": false,
    "SemanticTypeIri": "urn:effortless:pko-extension#TableConformance",
    "Name": "effortless-postgres / Functions",
    "CellsFailed": 0.0,
    "Score": 100.0,
    "IsPerfect": true,
    "ImperfectSubstrateKey": null,
    "ImperfectTableKey": null,
    "DisagreeingFieldCount": 0.0,
    "SubstrateLabel": "PostgreSQL",
    "SubjectArea": "specification"
   },
   {
    "TableConformanceId": "effortless-postgres|Tools",
    "Run": "run-20260914-223223",
    "Substrate": "effortless-postgres",
    "RulebookTable": "Tools",
    "RecordCount": 8,
    "DerivedFieldCount": 1,
    "CellsTested": 8,
    "CellsPassed": 8,
    "IsMissingAnswerFile": false,
    "SemanticTypeIri": "urn:effortless:pko-extension#TableConformance",
    "Name": "effortless-postgres / Tools",
    "CellsFailed": 0.0,
    "Score": 100.0,
    "IsPerfect": true,
    "ImperfectSubstrateKey": null,
    "ImperfectTableKey": null,
    "DisagreeingFieldCount": 0.0,
    "SubstrateLabel": "PostgreSQL",
    "SubjectArea": "specification"
   },
   {
    "TableConformanceId": "effortless-postgres|StepActions",
    "Run": "run-20260914-223223",
    "Substrate": "effortless-postgres",
    "RulebookTable": "StepActions",
    "RecordCount": 9,
    "DerivedFieldCount": 1,
    "CellsTested": 9,
    "CellsPassed": 9,
    "IsMissingAnswerFile": false,
    "SemanticTypeIri": "urn:effortless:pko-extension#TableConformance",
    "Name": "effortless-postgres / StepActions",
    "CellsFailed": 0.0,
    "Score": 100.0,
    "IsPerfect": true,
    "ImperfectSubstrateKey": null,
    "ImperfectTableKey": null,
    "DisagreeingFieldCount": 0.0,
    "SubstrateLabel": "PostgreSQL",
    "SubjectArea": "specification"
   },
   {
    "TableConformanceId": "effortless-postgres|StepFunctions",
    "Run": "run-20260914-223223",
    "Substrate": "effortless-postgres",
    "RulebookTable": "StepFunctions",
    "RecordCount": 8,
    "DerivedFieldCount": 1,
    "CellsTested": 8,
    "CellsPassed": 8,
    "IsMissingAnswerFile": false,
    "SemanticTypeIri": "urn:effortless:pko-extension#TableConformance",
    "Name": "effortless-postgres / StepFunctions",
    "CellsFailed": 0.0,
    "Score": 100.0,
    "IsPerfect": true,
    "ImperfectSubstrateKey": null,
    "ImperfectTableKey": null,
    "DisagreeingFieldCount": 0.0,
    "SubstrateLabel": "PostgreSQL",
    "SubjectArea": "specification"
   },
   {
    "TableConformanceId": "effortless-postgres|StepTools",
    "Run": "run-20260914-223223",
    "Substrate": "effortless-postgres",
    "RulebookTable": "StepTools",
    "RecordCount": 10,
    "DerivedFieldCount": 1,
    "CellsTested": 10,
    "CellsPassed": 10,
    "IsMissingAnswerFile": false,
    "SemanticTypeIri": "urn:effortless:pko-extension#TableConformance",
    "Name": "effortless-postgres / StepTools",
    "CellsFailed": 0.0,
    "Score": 100.0,
    "IsPerfect": true,
    "ImperfectSubstrateKey": null,
    "ImperfectTableKey": null,
    "DisagreeingFieldCount": 0.0,
    "SubstrateLabel": "PostgreSQL",
    "SubjectArea": "specification"
   },
   {
    "TableConformanceId": "effortless-postgres|Requirements",
    "Run": "run-20260914-223223",
    "Substrate": "effortless-postgres",
    "RulebookTable": "Requirements",
    "RecordCount": 13,
    "DerivedFieldCount": 31,
    "CellsTested": 403,
    "CellsPassed": 403,
    "IsMissingAnswerFile": false,
    "SemanticTypeIri": "urn:effortless:pko-extension#TableConformance",
    "Name": "effortless-postgres / Requirements",
    "CellsFailed": 0.0,
    "Score": 100.0,
    "IsPerfect": true,
    "ImperfectSubstrateKey": null,
    "ImperfectTableKey": null,
    "DisagreeingFieldCount": 0.0,
    "SubstrateLabel": "PostgreSQL",
    "SubjectArea": "governance"
   },
   {
    "TableConformanceId": "effortless-postgres|StepRequirements",
    "Run": "run-20260914-223223",
    "Substrate": "effortless-postgres",
    "RulebookTable": "StepRequirements",
    "RecordCount": 15,
    "DerivedFieldCount": 10,
    "CellsTested": 150,
    "CellsPassed": 150,
    "IsMissingAnswerFile": false,
    "SemanticTypeIri": "urn:effortless:pko-extension#TableConformance",
    "Name": "effortless-postgres / StepRequirements",
    "CellsFailed": 0.0,
    "Score": 100.0,
    "IsPerfect": true,
    "ImperfectSubstrateKey": null,
    "ImperfectTableKey": null,
    "DisagreeingFieldCount": 0.0,
    "SubstrateLabel": "PostgreSQL",
    "SubjectArea": "specification"
   },
   {
    "TableConformanceId": "effortless-postgres|StepVerifications",
    "Run": "run-20260914-223223",
    "Substrate": "effortless-postgres",
    "RulebookTable": "StepVerifications",
    "RecordCount": 11,
    "DerivedFieldCount": 1,
    "CellsTested": 11,
    "CellsPassed": 11,
    "IsMissingAnswerFile": false,
    "SemanticTypeIri": "urn:effortless:pko-extension#TableConformance",
    "Name": "effortless-postgres / StepVerification</t>
  </si>
  <si>
    <t xml:space="preserve">s",
    "CellsFailed": 0.0,
    "Score": 100.0,
    "IsPerfect": true,
    "ImperfectSubstrateKey": null,
    "ImperfectTableKey": null,
    "DisagreeingFieldCount": 0.0,
    "SubstrateLabel": "PostgreSQL",
    "SubjectArea": "specification"
   },
   {
    "TableConformanceId": "effortless-postgres|Rationales",
    "Run": "run-20260914-223223",
    "Substrate": "effortless-postgres",
    "RulebookTable": "Rationales",
    "RecordCount": 4,
    "DerivedFieldCount": 1,
    "CellsTested": 4,
    "CellsPassed": 4,
    "IsMissingAnswerFile": false,
    "SemanticTypeIri": "urn:effortless:pko-extension#TableConformance",
    "Name": "effortless-postgres / Rationales",
    "CellsFailed": 0.0,
    "Score": 100.0,
    "IsPerfect": true,
    "ImperfectSubstrateKey": null,
    "ImperfectTableKey": null,
    "DisagreeingFieldCount": 0.0,
    "SubstrateLabel": "PostgreSQL",
    "SubjectArea": "governance"
   },
   {
    "TableConformanceId": "effortless-postgres|Exceptions",
    "Run": "run-20260914-223223",
    "Substrate": "effortless-postgres",
    "RulebookTable": "Exceptions",
    "RecordCount": 4,
    "DerivedFieldCount": 2,
    "CellsTested": 8,
    "CellsPassed": 8,
    "IsMissingAnswerFile": false,
    "SemanticTypeIri": "urn:effortless:pko-extension#TableConformance",
    "Name": "effortless-postgres / Exceptions",
    "CellsFailed": 0.0,
    "Score": 100.0,
    "IsPerfect": true,
    "ImperfectSubstrateKey": null,
    "ImperfectTableKey": null,
    "DisagreeingFieldCount": 0.0,
    "SubstrateLabel": "PostgreSQL",
    "SubjectArea": "governance"
   },
   {
    "TableConformanceId": "effortless-postgres|Resources",
    "Run": "run-20260914-223223",
    "Substrate": "effortless-postgres",
    "RulebookTable": "Resources",
    "RecordCount": 8,
    "DerivedFieldCount": 2,
    "CellsTested": 16,
    "CellsPassed": 16,
    "IsMissingAnswerFile": false,
    "SemanticTypeIri": "urn:effortless:pko-extension#TableConformance",
    "Name": "effortless-postgres / Resources",
    "CellsFailed": 0.0,
    "Score": 100.0,
    "IsPerfect": true,
    "ImperfectSubstrateKey": null,
    "ImperfectTableKey": null,
    "DisagreeingFieldCount": 0.0,
    "SubstrateLabel": "PostgreSQL",
    "SubjectArea": "domain"
   },
   {
    "TableConformanceId": "effortless-postgres|ProcedureResources",
    "Run": "run-20260914-223223",
    "Substrate": "effortless-postgres",
    "RulebookTable": "ProcedureResources",
    "RecordCount": 8,
    "DerivedFieldCount": 2,
    "CellsTested": 16,
    "CellsPassed": 16,
    "IsMissingAnswerFile": false,
    "SemanticTypeIri": "urn:effortless:pko-extension#TableConformance",
    "Name": "effortless-postgres / ProcedureResources",
    "CellsFailed": 0.0,
    "Score": 100.0,
    "IsPerfect": true,
    "ImperfectSubstrateKey": null,
    "ImperfectTableKey": null,
    "DisagreeingFieldCount": 0.0,
    "SubstrateLabel": "PostgreSQL",
    "SubjectArea": "specification"
   },
   {
    "TableConformanceId": "effortless-postgres|ElicitationSessions",
    "Run": "run-20260914-223223",
    "Substrate": "effortless-postgres",
    "RulebookTable": "ElicitationSessions",
    "RecordCount": 3,
    "DerivedFieldCount": 10,
    "CellsTested": 30,
    "CellsPassed": 30,
    "IsMissingAnswerFile": false,
    "SemanticTypeIri": "urn:effortless:pko-extension#TableConformance",
    "Name": "effortless-postgres / ElicitationSessions",
    "CellsFailed": 0.0,
    "Score": 100.0,
    "IsPerfect": true,
    "ImperfectSubstrateKey": null,
    "ImperfectTableKey": null,
    "DisagreeingFieldCount": 0.0,
    "SubstrateLabel": "PostgreSQL",
    "SubjectArea": "knowledge"
   },
   {
    "TableConformanceId": "effortless-postgres|KnowledgeFragments",
    "Run": "run-20260914-223223",
    "Substrate": "effortless-postgres",
    "RulebookTable": "KnowledgeFragments",
    "RecordCount": 7,
    "DerivedFieldCount": 65,
    "CellsTested": 455,
    "CellsPassed": 455,
    "IsMissingAnswerFile": false,
    "SemanticTypeIri": "urn:effortless:pko-extension#TableConformance",
    "Name": "effortless-postgres / KnowledgeFragments",
    "CellsFailed": 0.0,
    "Score": 100.0,
    "IsPerfect": true,
    "ImperfectSubstrateKey": null,
    "ImperfectTableKey": null,
    "DisagreeingFieldCount": 0.0,
    "SubstrateLabel": "PostgreSQL",
    "SubjectArea": "knowledge"
   },
   {
    "TableConformanceId": "effortless-postgres|KnowledgeGaps",
    "Run": "run-20260914-223223",
    "Substrate": "effortless-postgres",
    "RulebookTable": "KnowledgeGaps",
    "RecordCount": 8,
    "DerivedFieldCount": 16,
    "CellsTested": 128,
    "CellsPassed": 128,
    "IsMissingAnswerFile": false,
    "SemanticTypeIri": "urn:effortless:pko-extension#TableConformance",
    "Name": "effortless-postgres / KnowledgeGaps",
    "CellsFailed": 0.0,
    "Score": 100.0,
    "IsPerfect": true,
    "ImperfectSubstrateKey": null,
    "ImperfectTableKey": null,
    "DisagreeingFieldCount": 0.0,
    "SubstrateLabel": "PostgreSQL",
    "SubjectArea": "knowledge"
   },
   {
    "TableConformanceId": "effortless-postgres|FAQs",
    "Run": "run-20260914-223223",
    "Substrate": "effortless-postgres",
    "RulebookTable": "FAQs",
    "RecordCount": 3,
    "DerivedFieldCount": 1,
    "CellsTested": 3,
    "CellsPassed": 3,
    "IsMissingAnswerFile": false,
    "SemanticTypeIri": "urn:effortless:pko-extension#TableConformance",
    "Name": "effortless-postgres / FAQs",
    "CellsFailed": 0.0,
    "Score": 100.0,
    "IsPerfect": true,
    "ImperfectSubstrateKey": null,
    "ImperfectTableKey": null,
    "DisagreeingFieldCount": 0.0,
    "SubstrateLabel": "PostgreSQL",
    "SubjectArea": "knowledge"
   },
   {
    "TableConformanceId": "effortless-postgres|Explanations",
    "Run": "run-20260914-223223",
    "Substrate": "effortless-postgres",
    "RulebookTable": "Explanations",
    "RecordCount": 2,
    "DerivedFieldCount": 1,
    "CellsTested": 2,
    "CellsPassed": 2,
    "IsMissingAnswerFile": false,
    "SemanticTypeIri": "urn:effortless:pko-extension#TableConformance",
    "Name": "effortless-postgres / Explanations",
    "CellsFailed": 0.0,
    "Score": 100.0,
    "IsPerfect": true,
    "ImperfectSubstrateKey": null,
    "ImperfectTableKey": null,
    "DisagreeingFieldCount": 0.0,
    "SubstrateLabel": "PostgreSQL",
    "SubjectArea": "knowledge"
   },
   {
    "TableConformanceId": "effortless-postgres|ProcedureExecutions",
    "Run": "run-20260914-223223",
    "Substrate": "effortless-postgres",
    "RulebookTable": "ProcedureExecutions",
    "RecordCount": 2,
    "DerivedFieldCount": 69,
    "CellsTested": 138,
    "CellsPassed": 138,
    "IsMissingAnswerFile": false,
    "SemanticTypeIri": "urn:effortless:pko-extension#TableConformance",
    "Name": "effortless-postgres / ProcedureExecutions",
    "CellsFailed": 0.0,
    "Score": 100.0,
    "IsPerfect": true,
    "ImperfectSubstrateKey": null,
    "ImperfectTableKey": null,
    "DisagreeingFieldCount": 0.0,
    "SubstrateLabel": "PostgreSQL",
    "SubjectArea": "specification"
   },
   {
    "TableConformanceId": "effortless-postgres|StepExecutions",
    "Run": "run-20260914-223223",
    "Substrate": "effortless-postgres",
    "RulebookTable": "StepExecutions",
    "RecordCount": 12,
    "DerivedFieldCount": 99,
    "CellsTested": 1188,
    "CellsPassed": 1188,
    "IsMissingAnswerFile": false,
    "SemanticTypeIri": "urn:effortless:pko-extension#TableConformance",
    "Name": "effortless-postgres / StepExecutions",
    "CellsFailed": 0.0,
    "Score": 100.0,
    "IsPerfect": true,
    "ImperfectSubstrateKey": null,
    "ImperfectTableKey": null,
    "DisagreeingFieldCount": 0.0,
    "SubstrateLabel": "PostgreSQL",
    "SubjectArea": "specification"
   },
   {
    "TableConformanceId": "effortless-postgres|RequirementSatisfactions",
    "Run": "run-20260914-223223",
    "Substrate": "effortless-postgres",
    "RulebookTable": "RequirementSatisfactions",
    "RecordCount": 8,
    "DerivedFieldCount": 38,
    "CellsTested": 304,
    "CellsPassed": 304,
    "IsMissingAnswerFile": false,
    "SemanticTypeIri": "urn:effortless:pko-extension#TableConformance",
    "Name": "effortless-postgres / RequirementSatisfactions",
    "CellsFailed": 0.0,
    "Score": 100.0,
    "IsPerfect": true,
    "ImperfectSubstrateKey": null,
    "ImperfectTableKey": null,
    "DisagreeingFieldCount": 0.0,
    "SubstrateLabel": "PostgreSQL",
    "SubjectArea": "execution"
   },
   {
    "TableConformanceId": "effortless-postgres|Errors",
    "Run": "run-20260914-223223",
    "Substrate": "effortless-postgres",
    "RulebookTable": "Errors",
    "RecordCount": 2,
    "DerivedFieldCount": 1,
    "CellsTested": 2,
    "CellsPassed": 2,
    "IsMissingAnswerFile": false,
    "SemanticTypeIri": "urn:effortless:pko-extension#TableConformance",
    "Name": "effortless-postgres / Errors",
    "CellsFailed": 0.0,
    "Score": 100.0,
    "IsPerfect": true,
    "ImperfectSubstrateKey": null,
    "ImperfectTableKey": null,
    "DisagreeingFieldCount": 0.0,
    "SubstrateLabel": "PostgreSQL",
    "SubjectArea": "execution"
   },
   {
    "TableConformanceId": "effortless-postgres|IssueOccurrences",
    "Run": "run-20260914-223223",
    "Substrate": "effortless-postgres",
    "RulebookTable": "IssueOccurrences",
    "RecordCount": 2,
    "DerivedFieldCount": 3,
    "CellsTested": 6,
    "CellsPassed": 6,
    "IsMissingAnswerFile": false,
    "SemanticTypeIri": "urn:effortless:pko-extension#TableConformance",
    "Name": "effortless-postgres / IssueOccurrences",
    "CellsFailed": 0.0,
    "Score": 100.0,
    "IsPerfect": true,
    "ImperfectSubstrateKey": null,
    "ImperfectTableKey": null,
    "DisagreeingFieldCount": 0.0,
    "SubstrateLabel": "PostgreSQL",
    "SubjectArea": "execution"
   },
   {
    "TableConformanceId": "effortless-postgres|UserQuestions",
    "Run": "run-20260914-223223",
    "Substrate": "effortless-postgres",
    "RulebookTable": "UserQuestions",
    "RecordCount": 2,
    "DerivedFieldCount": 1,
    "CellsTested": 2,
    "CellsPassed": 2,
    "IsMissingAnswerFile": false,
    "SemanticTypeIri": "urn:effortless:pko-extension#TableConformance",
    "Name": "effortless-postgres / UserQuestions",
    "CellsFailed": 0.0,
    "Score": 100.0,
    "IsPerfect": true,
    "ImperfectSubstrateKey": null,
    "ImperfectTableKey": null,
    "DisagreeingFieldCount": 0.0,
    "SubstrateLabel": "PostgreSQL",
    "SubjectArea": "domain"
   },
   {
    "TableConformanceId": "effortless-postgres|UserFeedback",
    "Run": "run-20260914-223223",
    "Substrate": "effortless-postgres",
    "RulebookTable": "UserFeedback",
    "RecordCount": 2,
    "DerivedFieldCount": 1,
    "CellsTested": 2,
    "CellsPassed": 2,
    "IsMissingAnswerFile": false,
    "SemanticTypeIri": "urn:effortless:pko-extension#TableConformance",
    "Name": "effortless-postgres / UserFeedback",
    "CellsFailed": 0.0,
    "Score": 100.0,
    "IsPerfect": true,
    "ImperfectSubstrateKey": null,
    "ImperfectTableKey": null,
    "DisagreeingFieldCount": 0.0,
    "SubstrateLabel": "PostgreSQL",
    "SubjectArea": "domain"
   },
   {
    "TableConformanceId": "effortless-postgres|StewardshipAssignments",
    "Run": "run-20260914-223223",
    "Substrate": "effortless-postgres",
    "RulebookTable": "StewardshipAssignments",
    "RecordCount": 2,
    "DerivedFieldCount": 5,
    "CellsTested": 10,
    "CellsPassed": 10,
    "IsMissingAnswerFile": false,
    "SemanticTypeIri": "urn:effortless:pko-extension#TableConformance",
    "Name": "effortless-postgres / StewardshipAssignments",
    "CellsFailed": 0.0,
    "Score": 100.0,
    "IsPerfect": true,
    "ImperfectSubstrateKey": null,
    "ImperfectTableKey": null,
    "DisagreeingFieldCount": 0.0,
    "SubstrateLabel": "PostgreSQL",
    "SubjectArea": "org"
   },
   {
    "TableConformanceId": "effortless-postgres|ChangeRequests",
    "Run": "run-20260914-223223",
    "Substrate": "effortless-postgres",
    "RulebookTable": "ChangeRequests",
    "RecordCount": 2,
    "DerivedFieldCount": 32,
    "CellsTested": 64,
    "CellsPassed": 64,
    "IsMissingAnswerFile": false,
    "SemanticTypeIri": "urn:effortless:pko-extension#TableConformance",
    "Name": "effortless-postgres / ChangeRequests",
    "CellsFailed": 0.0,
    "Score": 100.0,
    "IsPerfect": true,
    "ImperfectSubstrateKey": null,
    "ImperfectTableKey": null,
    "DisagreeingFieldCount": 0.0,
    "SubstrateLabel": "PostgreSQL",
    "SubjectArea": "domain"
   },
   {
    "TableConformanceId": "effortless-postgres|ReviewEvents",
    "Run": "run-20260914-223223",
    "Substrate": "effortless-postgres",
    "RulebookTable": "ReviewEvents",
    "RecordCount": 3,
    "DerivedFieldCount": 10,
    "CellsTested": 30,
    "CellsPassed": 30,
    "IsMissingAnswerFile": false,
    "SemanticTypeIri": "urn:effortless:pko-extension#TableConformance",
    "Name": "effortless-postgres / ReviewEvents",
    "CellsFailed": 0.0,
    "Score": 100.0,
    "IsPerfect": true,
    "ImperfectSubstrateKey": null,
    "ImperfectTableKey": null,
    "DisagreeingFieldCount": 0.0,
    "SubstrateLabel": "PostgreSQL",
    "SubjectArea": "domain"
   },
   {
    "TableConformanceId": "effortless-postgres|LearningActivities",
    "Run": "run-20260914-223223",
    "Substrate": "effortless-postgres",
    "RulebookTable": "LearningActivities",
    "RecordCount": 2,
    "DerivedFieldCount": 1,
    "CellsTested": 2,
    "CellsPassed": 2,
    "IsMissingAnswerFile": false,
    "SemanticTypeIri": "urn:effortless:pko-extension#TableConformance",
    "Name": "effortless-postgres / LearningActivities",
    "CellsFailed": 0.0,
    "Score": 100.0,
    "IsPerfect": true,
    "ImperfectSubstrateKey": null,
    "ImperfectTableKey": null,
    "DisagreeingFieldCount": 0.0,
    "SubstrateLabel": "PostgreSQL",
    "SubjectArea": "domain"
   },
   {
    "TableConformanceId": "effortless-postgres|OperationalBindings",
    "Run": "run-20260914-223223",
    "Substrate": "effortless-postgres",
    "RulebookTable": "OperationalBindings",
    "RecordCount": 5,
    "DerivedFieldCount": 11,
    "CellsTested": 55,
    "CellsPassed": 55,
    "IsMissingAnswerFile": false,
    "SemanticTypeIri": "urn:effortless:pko-extension#TableConformance",
    "Name": "effortless-postgres / OperationalBindings",
    "CellsFailed": 0.0,
    "Score": 100.0,
    "IsPerfect": true,
    "ImperfectSubstrateKey": null,
    "ImperfectTableKey": null,
    "DisagreeingFieldCount": 0.0,
    "SubstrateLabel": "PostgreSQL",
    "SubjectArea": "domain"
   },
   {
    "TableConformanceId": "effortless-postgres|CommunicationPolicies",
    "Run": "run-20260914-223223",
    "Substrate": "effortless-postgres",
    "RulebookTable": "CommunicationPolicies",
    "RecordCount": 2,
    "DerivedFieldCount": 4,
    "CellsTested": 8,
    "CellsPassed": 8,
    "IsMissingAnswerFile": false,
    "SemanticTypeIri": "urn:effortless:pko-extension#TableConformance",
    "Name": "effortless-postgres / CommunicationPolicies",
    "CellsFailed": 0.0,
    "Score": 100.0,
    "IsPerfect": true,
    "ImperfectSubstrateKey": null,
    "ImperfectTableKey": null,
    "DisagreeingFieldCount": 0.0,
    "SubstrateLabel": "PostgreSQL",
    "SubjectArea": "communication"
   },
   {
    "TableConformanceId": "effortless-postgres|MessageTemplates",
    "Run": "run-20260914-223223",
    "Substrate": "effortless-postgres",
    "RulebookTable": "MessageTemplates",
    "RecordCount": 2,
    "DerivedFieldCount": 16,
    "CellsTested": 32,
    "CellsPassed": 32,
    "IsMissingAnswerFile": false,
    "SemanticTypeIri": "urn:effortless:pko-extension#TableConformance",
    "Name": "effortless-postgres / MessageTemplates",
    "CellsFailed": 0.0,
    "Score": 100.0,
    "IsPerfect": true,
    "ImperfectSubstrateKey": null,
    "ImperfectTableKey": null,
    "DisagreeingFieldCount": 0.0,
    "SubstrateLabel": "PostgreSQL",
    "SubjectArea": "communication"
   },
   {
    "TableConformanceId": "effortless-postgres|SemanticMappings",
    "Run": "run-20260914-223223",
    "Substrate": "effortless-postgres",
    "RulebookTable": "SemanticMappings",
    "RecordCount": 47,
    "DerivedFieldCount": 1,
    "CellsTested": 47,
    "CellsPassed": 47,
    "IsMissingAnswerFile": false,
    "SemanticTypeIri": "urn:effortless:pko-extension#TableConformance",
    "Name": "effortless-postgres / SemanticMappings",
    "CellsFailed": 0.0,
    "Score": 100.0,
    "IsPerfect": true,
    "ImperfectSubstrateKey": null,
    "ImperfectTableKey": null,
    "DisagreeingFieldCount": 0.0,
    "SubstrateLabel": "PostgreSQL",
    "SubjectArea": "meta"
   },
   {
    "TableConformanceId": "effortless-postgres|WitnessLoops",
    "Run": "run-20260914-223223",
    "Substrate": "effortless-postgres",
    "RulebookTable": "WitnessLoops",
    "RecordCount": 4,
    "DerivedFieldCount": 3,
    "CellsTested": 12,
    "CellsPassed": 12,
    "IsMissingAnswerFile": false,
    "SemanticTypeIri": "urn:effortless:pko-extension#TableConformance",
    "Name": "effortless-postgres / WitnessLoops",
    "CellsFailed": 0.0,
    "Score": 100.0,
    "IsPerfect": true,
    "ImperfectSubstrateKey": null,
    "ImperfectTableKey": null,
    "DisagreeingFieldCount": 0.0,
    "SubstrateLabel": "PostgreSQL",
    "SubjectArea": "meta"
   },
   {
    "TableConformanceId": "effortless-postgres|RoleQuestions",
    "Run": "run-20260914-223223",
    "Substrate": "effortless-postgres",
    "RulebookTable": "RoleQuestions",
    "RecordCount": 111,
    "DerivedFieldCount": 3,
    "CellsTested": 333,
    "CellsPassed": 333,
    "IsMissingAnswerFile": false,
    "SemanticTypeIri": "urn:effortless:pko-extension#TableConformance",
    "Name": "effortless-postgres / RoleQuestions",
    "CellsFailed": 0.0,
    "Score": 100.0,
    "IsPerfect": true,
    "ImperfectSubstrateKey": null,
    "ImperfectTableKey": null,
    "DisagreeingFieldCount": 0.0,
    "SubstrateLabel": "PostgreSQL",
    "SubjectArea": "org"
   },
   {
    "TableConformanceId": "effortless-postgres|RulebookFields",
    "Run": "run-20260914-223223",
    "Substrate": "effortless-postgres",
    "RulebookTable": "RulebookFields",
    "RecordCount": 1897,
    "DerivedFieldCount": 5,
    "CellsTested": 9485,
    "CellsPassed": 9485,
    "IsMissingAnswerFile": false,
    "SemanticTypeIri": "urn:effortless:pko-extension#TableConformance",
    "Name": "effortless-postgres / RulebookFields",
    "CellsFailed": 0.0,
    "Score": 100.0,
    "IsPerfect": true,
    "ImperfectSubstrateKey": null,
    "ImperfectTableKey": null,
    "DisagreeingFieldCount": 0.0,
    "SubstrateLabel": "PostgreSQL",
    "SubjectArea": "access-control"
   },
   {
    "TableConformanceId": "effortless-postgres|TestSuites",
    "Run": "run-20260914-223223",
    "Substrate": "effortless-postgres",
    "RulebookTable": "TestSuites",
    "RecordCount": 6,
    "DerivedFieldCount": 5,
    "CellsTested": 30,
    "CellsPassed": 30,
    "IsMissingAnswerFile": false,
    "SemanticTypeIri": "urn:effortless:pko-extension#TableConformance",
    "Name": "effortless-postgres / TestSuites",
    "CellsFailed": 0.0,
    "Score": 100.0,
    "IsPerfect": true,
    "ImperfectSubstrateKey": null,
    "ImperfectTableKey": null,
    "DisagreeingFieldCount": 0.0,
    "SubstrateLabel": "PostgreSQL",
    "SubjectArea": "meta"
   },
   {
    "TableConformanceId": "effortless-postgres|TestCases",
    "Run": "run-20260914-223223",
    "Substrate": "effortless-postgres",
    "RulebookTable": "TestCases",
    "RecordCount": 1794,
    "DerivedFieldCount": 7,
    "CellsTested": 12558,
    "CellsPassed": 12558,
    "IsMissingAnswerFile": false,
    "SemanticTypeIri": "urn:effortless:pko-extension#TableConformance",
    "Name": "effortless-postgres / TestCases",
    "CellsFailed": 0.0,
    "Score": 100.0,
    "IsPerfect": true,
    "ImperfectSubstrateKey": null,
    "ImperfectTableKey": null,
    "DisagreeingFieldCount": 0.0,
    "SubstrateLabel": "PostgreSQL",
    "SubjectArea": "meta"
   },
   {
    "TableConformanceId": "effortless-postgres|ExceptionInvocations",
    "Run": "run-20260914-223223",
    "Substrate": "effortless-postgres",
    "RulebookTable": "ExceptionInvocations",
    "RecordCount": 1,
    "DerivedFieldCount": 13,
    "CellsTested": 13,
    "CellsPassed": 13,
    "IsMissingAnswerFile": false,
    "SemanticTypeIri": "urn:effortless:pko-extension#TableConformance",
    "Name": "effortless-postgres / ExceptionInvocations",
    "CellsFailed": 0.0,
    "Score": 100.0,
    "IsPerfect": true,
    "ImperfectSubstrateKey": null,
    "ImperfectTableKey": null,
    "DisagreeingFieldCount": 0.0,
    "SubstrateLabel": "PostgreSQL",
    "SubjectArea": "governance"
   },
   {
    "TableConformanceId": "effortless-postgres|VerificationOutcomes",
    "Run": "run-20260914-223223",
    "Substrate": "effortless-postgres",
    "RulebookTable": "VerificationOutcomes",
    "RecordCount": 4,
    "DerivedFieldCount": 18,
    "CellsTested": 72,
    "CellsPassed": 72,
    "IsMissingAnswerFile": false,
    "SemanticTypeIri": "urn:effortless:pko-extension#TableConformance",
    "Name": "effortless-postgres / VerificationOutcomes",
    "CellsFailed": 0.0,
    "Score": 100.0,
    "IsPerfect": true,
    "ImperfectSubstrateKey": null,
    "ImperfectTableKey": null,
    "DisagreeingFieldCount": 0.0,
    "SubstrateLabel": "PostgreSQL",
    "SubjectArea": "execution"
   },
   {
    "TableConformanceId": "effortless-postgres|ObservedTransitions",
    "Run": "run-20260914-223223",
    "Substrate": "effortless-postgres",
    "RulebookTable": "ObservedTransitions",
    "RecordCount": 10,
    "DerivedFieldCount": 1,
    "CellsTested": 10,
    "CellsPassed": 10,
    "IsMissingAnswerFile": false,
    "SemanticTypeIri": "urn:effortless:pko-extension#TableConformance",
    "Name": "effortless-postgres / ObservedTransitions",
    "CellsFailed": 0.0,
    "Score": 100.0,
    "IsPerfect": true,
    "ImperfectSubstrateKey": null,
    "ImperfectTableKey": null,
    "DisagreeingFieldCount": 0.0,
    "SubstrateLabel": "PostgreSQL",
    "SubjectArea": "specification"
   },
   {
    "TableConformanceId": "effortless-postgres|Recipients",
    "Run": "run-20260914-223223",
    "Substrate": "effortless-postgres",
    "RulebookTable": "Recipients",
    "RecordCount": 5,
    "DerivedFieldCount": 6,
    "CellsTested": 30,
    "CellsPassed": 30,
    "IsMissingAnswerFile": false,
    "SemanticTypeIri": "urn:effortless:pko-extension#TableConformance",
    "Name": "effortless-postgres / Recipients",
    "CellsFailed": 0.0,
    "Score": 100.0,
    "IsPerfect": true,
    "ImperfectSubstrateKey": null,
    "ImperfectTableKey": null,
    "DisagreeingFieldCount": 0.0,
    "SubstrateLabel": "PostgreSQL",
    "SubjectArea": "communication"
   },
   {
    "TableConformanceId": "effortless-postgres|MessageDeliveries",
    "Run": "run-20260914-223223",
    "Substrate": "effortless-postgres",
    "RulebookTable": "MessageDeliveries",
    "RecordCount": 6,
    "DerivedFieldCount": 74,
    "CellsTested": 444,
    "CellsPassed": 444,
    "IsMissingAnswerFile": false,
    "SemanticTypeIri": "urn:effortless:pko-extension#TableConformance",
    "Name": "effortless-postgres / MessageDeliveries",
    "CellsFailed": 0.0,
    "Score": 100.0,
    "IsPerfect": true,
    "ImperfectSubstrateKey": null,
    "ImperfectTableKey": null,
    "DisagreeingFieldCount": 0.0,
    "SubstrateLabel": "PostgreSQL",
    "SubjectArea": "communication"
   },
   {
    "TableConformanceId": "effortless-postgres|TemplateApprovals",
    "Run": "run-20260914-223223",
    "Substrate": "effortless-postgres",
    "RulebookTable": "TemplateApprovals",
    "RecordCount": 2,
    "DerivedFieldCount": 6,
    "CellsTested": 12,
    "CellsPassed": 12,
    "IsMissingAnswerFile": false,
    "SemanticTypeIri": "urn:effortless:pko-extension#TableConformance",
    "Name": "effortless-postgres / TemplateApprovals",
    "CellsFailed": 0.0,
    "Score": 100.0,
    "IsPerfect": true,
    "ImperfectSubstrateKey": null,
    "ImperfectTableKey": null,
    "DisagreeingFieldCount": 0.0,
    "SubstrateLabel": "PostgreSQL",
    "SubjectArea": "communication"
   },
   {
    "TableConformanceId": "effortless-postgres|SendIntents",
    "Run": "run-20260914-223223",
    "Substrate": "effortless-postgres",
    "RulebookTable": "SendIntents",
    "RecordCount": 7,
    "DerivedFieldCount": 79,
    "CellsTested": 553,
    "CellsPassed": 553,
    "IsMissingAnswerFile": false,
    "SemanticTypeIri": "urn:effortless:pko-extension#TableConformance",
    "Name": "effortless-postgres / SendIntents",
    "CellsFailed": 0.0,
    "Score": 100.0,
    "IsPerfect": true,
    "ImperfectSubstrateKey": null,
    "ImperfectTableKey": null,
    "DisagreeingFieldCount": 0.0,
    "SubstrateLabel": "PostgreSQL",
    "SubjectArea": "communication"
   },
   {
    "TableConformanceId": "effortless-postgres|AgentDecisionRecords",
    "Run": "run-20260914-223223",
    "Substrate": "effortless-postgres",
    "RulebookTable": "AgentDecisionRecords",
    "RecordCount": 3,
    "DerivedFieldCount": 27,
    "CellsTested": 81,
    "CellsPassed": 81,
    "IsMissingAnswerFile": false,
    "SemanticTypeIri": "urn:effortless:pko-extension#TableConformance",
    "Name": "effortless-postgres / AgentDecisionRecords",
    "CellsFailed": 0.0,
    "Score": 100.0,
    "IsPerfect": true,
    "ImperfectSubstrateKey": null,
    "ImperfectTableKey": null,
    "DisagreeingFieldCount": 0.0,
    "SubstrateLabel": "PostgreSQL",
    "SubjectArea": "org"
   },
   {
    "TableConformanceId": "effortless-postgres|DeliveredCommunications",
    "Run": "run-20260914-223223",
    "Substrate": "effortless-postgres",
    "RulebookTable": "DeliveredCommunications",
    "RecordCount": 1,
    "DerivedFieldCount": 6,
    "CellsTested": 6,
    "CellsPassed": 6,
    "IsMissingAnswerFile": false,
    "SemanticTypeIri": "urn:effortless:pko-extension#TableConformance",
    "Name": "effortless-postgres / DeliveredCommunications",
    "CellsFailed": 0.0,
    "Score": 100.0,
    "IsPerfect": true,
    "ImperfectSubstrateKey": null,
    "ImperfectTableKey": null,
    "DisagreeingFieldCount": 0.0,
    "SubstrateLabel": "PostgreSQL",
    "SubjectArea": "communication"
   },
   {
    "TableConformanceId": "effortless-postgres|AuthorityBoundaries",
    "Run": "run-20260914-223223",
    "Substrate": "effortless-postgres",
    "RulebookTable": "AuthorityBoundaries",
    "RecordCount": 3,
    "DerivedFieldCount": 21,
    "CellsTested": 63,
    "CellsPassed": 63,
    "IsMissingAnswerFile": false,
    "SemanticTypeIri": "urn:effortless:pko-extension#TableConformance",
    "Name": "effortless-postgres / AuthorityBoundaries",
    "CellsFailed": 0.0,
    "Score": 100.0,
    "IsPerfect": true,
    "ImperfectSubstrateKey": null,
    "ImperfectTableKey": null,
    "DisagreeingFieldCount": 0.0,
    "SubstrateLabel": "PostgreSQL",
    "SubjectArea": "governance"
   },
   {
    "TableConformanceId": "effortless-postgres|AppRoleProfiles",
    "Run": "run-20260914-223223",
    "Substrate": "effortless-postgres",
    "RulebookTable": "AppRoleProfiles",
    "RecordCount": 12,
    "DerivedFieldCount": 2,
    "CellsTested": 24,
    "CellsPassed": 24,
    "IsMissingAnswerFile": false,
    "SemanticTypeIri": "urn:effortless:pko-extension#TableConformance",
    "Name": "effortless-postgres / AppRoleProfiles",
    "CellsFailed": 0.0,
    "Score": 100.0,
    "IsPerfect": true,
    "ImperfectSubstrateKey": null,
    "ImperfectTableKey": null,
    "DisagreeingFieldCount": 0.0,
    "SubstrateLabel": "PostgreSQL",
    "SubjectArea": "org"
   },
   {
    "TableConformanceId": "effortless-postgres|AppNavGroups",
    "Run": "run-20260914-223223",
    "Substrate": "effortless-postgres",
    "RulebookTable": "AppNavGroups",
    "RecordCount": 23,
    "DerivedFieldCount": 2,
    "CellsTested": 46,
    "CellsPassed": 46,
    "IsMissingAnswerFile": false,
    "SemanticTypeIri": "urn:effortless:pko-extension#TableConformance",
    "Name": "effortless-postgres / AppNavGroups",
    "CellsFailed": 0.0,
    "Score": 100.0,
    "IsPerfect": true,
    "ImperfectSubstrateKey": null,
    "ImperfectTableKey": null,
    "DisagreeingFieldCount": 0.0,
    "SubstrateLabel": "PostgreSQL",
    "SubjectArea": "application"
   },
   {
    "TableConformanceId": "effortless-postgres|AppRoutes",
    "Run": "run-20260914-223223",
    "Substrate": "effortless-postgres",
    "RulebookTable": "AppRoutes",
    "RecordCount": 149,
    "DerivedFieldCount": 7,
    "CellsTested": 1043,
    "CellsPassed": 1043,
    "IsMissingAnswerFile": false,
    "SemanticTypeIri": "urn:effortless:pko-extension#TableConformance",
    "Name": "effortless-postgres / AppRoutes",
    "CellsFailed": 0.0,
    "Score": 100.0,
    "IsPerfect": true,
    "ImperfectSubstrateKey": null,
    "ImperfectTableKey": null,
    "DisagreeingFieldCount": 0.0,
    "SubstrateLabel": "PostgreSQL",
    "SubjectArea": "application"
   },
   {
    "TableConformanceId": "effortless-postgres|AppRouteQuestions",
    "Run": "run-20260914-223223",
    "Substrate": "effortless-postgres",
    "RulebookTable": "AppRouteQuestions",
    "RecordCount": 151,
    "DerivedFieldCount": 1,
    "CellsTested": 151,
    "CellsPassed": 151,
    "IsMissingAnswerFile": false,
    "SemanticTypeIri": "urn:effortless:pko-extension#TableConformance",
    "Name": "effortless-postgres / AppRouteQuestions",
    "CellsFailed": 0.0,
    "Score": 100.0,
    "IsPerfect": true,
    "ImperfectSubstrateKey": null,
    "ImperfectTableKey": null,
    "DisagreeingFieldCount": 0.0,
    "SubstrateLabel": "PostgreSQL",
    "SubjectArea": "application"
   },
   {
    "TableConformanceId": "effortless-postgres|AppRouteReferences",
    "Run": "run-20260914-223223",
    "Substrate": "effortless-postgres",
    "RulebookTable": "AppRouteReferences",
    "RecordCount": 315,
    "DerivedFieldCount": 1,
    "CellsTested": 315,
    "CellsPassed": 315,
    "IsMissingAnswerFile": false,
    "SemanticTypeIri": "urn:effortless:pko-extension#TableConformance",
    "Name": "effortless-postgres / AppRouteReferences",
    "CellsFailed": 0.0,
    "Score": 100.0,
    "IsPerfect": true,
    "ImperfectSubstrateKey": null,
    "ImperfectTableKey": null,
    "DisagreeingFieldCount": 0.0,
    "SubstrateLabel": "PostgreSQL",
    "SubjectArea": "application"
   },
   {
    "TableConformanceId": "effortless-postgres|RulebookTables",
    "Run": "run-20260914-223223",
    "Substrate": "effortless-postgres",
    "RulebookTable": "RulebookTables",
    "RecordCount": 92,
    "DerivedFieldCount": 5,
    "CellsTested": 460,
    "CellsPassed": 460,
    "IsMissingAnswerFile": false,
    "SemanticTypeIri": "urn:effortless:pko-extension#TableConformance",
    "Name": "effortless-postgres / RulebookTables",
    "CellsFailed": 0.0,
    "Score": 100.0,
    "IsPerfect": true,
    "ImperfectSubstrateKey": null,
    "ImperfectTableKey": null,
    "DisagreeingFieldCount": 0.0,
    "SubstrateLabel": "PostgreSQL",
    "SubjectArea": "meta"
   },
   {
    "TableConformanceId": "effortless-postgres|AccessPrincipals",
    "Run": "run-20260914-223223",
    "Substrate": "effortless-postgres",
    "RulebookTable": "AccessPrincipals",
    "RecordCount": 12,
    "DerivedFieldCount": 8,
    "CellsTested": 96,
    "CellsPassed": 96,
    "IsMissingAnswerFile": false,
    "SemanticTypeIri": "urn:effortless:pko-extension#TableConformance",
    "Name": "effortless-postgres / AccessPrincipals",
    "CellsFailed": 0.0,
    "Score": 100.0,
    "IsPerfect": true,
    "ImperfectSubstrateKey": null,
    "ImperfectTableKey": null,
    "DisagreeingFieldCount": 0.0,
    "SubstrateLabel": "PostgreSQL",
    "SubjectArea": "access-control"
   },
   {
    "TableConformanceId": "effortless-postgres|AccessPolicies",
    "Run": "run-20260914-223223",
    "Substrate": "effortless-postgres",
    "RulebookTable": "AccessPolicies",
    "RecordCount": 202,
    "DerivedFieldCount": 7,
    "CellsTested": 1414,
    "CellsPassed": 1414,
    "IsMissingAnswerFile": false,
    "SemanticTypeIri": "urn:effortless:pko-extension#TableConformance",
    "Name": "effortless-postgres / AccessPolicies",
    "CellsFailed": 0.0,
    "Score": 100.0,
    "IsPerfect": true,
    "ImperfectSubstrateKey": null,
    "ImperfectTableKey": null,
    "DisagreeingFieldCount": 0.0,
    "SubstrateLabel": "PostgreSQL",
    "SubjectArea": "access-control"
   },
   {
    "TableConformanceId": "effortless-postgres|FieldGrants",
    "Run": "run-20260914-223223",
    "Substrate": "effortless-postgres",
    "RulebookTable": "FieldGrants",
    "RecordCount": 3639,
    "DerivedFieldCount": 7,
    "CellsTested": 25473,
    "CellsPassed": 25473,
    "IsMissingAnswerFile": false,
    "SemanticTypeIri": "urn:effortless:pko-extension#TableConformance",
    "Name": "effortless-postgres / FieldGrants",
    "CellsFailed": 0.0,
    "Score": 100.0,
    "IsPerfect": true,
    "ImperfectSubstrateKey": null,
    "Imperf</t>
  </si>
  <si>
    <t xml:space="preserve">ectTableKey": null,
    "DisagreeingFieldCount": 0.0,
    "SubstrateLabel": "PostgreSQL",
    "SubjectArea": "access-control"
   },
   {
    "TableConformanceId": "effortless-postgres|RoleSchemas",
    "Run": "run-20260914-223223",
    "Substrate": "effortless-postgres",
    "RulebookTable": "RoleSchemas",
    "RecordCount": 12,
    "DerivedFieldCount": 4,
    "CellsTested": 48,
    "CellsPassed": 48,
    "IsMissingAnswerFile": false,
    "SemanticTypeIri": "urn:effortless:pko-extension#TableConformance",
    "Name": "effortless-postgres / RoleSchemas",
    "CellsFailed": 0.0,
    "Score": 100.0,
    "IsPerfect": true,
    "ImperfectSubstrateKey": null,
    "ImperfectTableKey": null,
    "DisagreeingFieldCount": 0.0,
    "SubstrateLabel": "PostgreSQL",
    "SubjectArea": "org"
   },
   {
    "TableConformanceId": "effortless-postgres|RoleSchemaViews",
    "Run": "run-20260914-223223",
    "Substrate": "effortless-postgres",
    "RulebookTable": "RoleSchemaViews",
    "RecordCount": 202,
    "DerivedFieldCount": 8,
    "CellsTested": 1616,
    "CellsPassed": 1616,
    "IsMissingAnswerFile": false,
    "SemanticTypeIri": "urn:effortless:pko-extension#TableConformance",
    "Name": "effortless-postgres / RoleSchemaViews",
    "CellsFailed": 0.0,
    "Score": 100.0,
    "IsPerfect": true,
    "ImperfectSubstrateKey": null,
    "ImperfectTableKey": null,
    "DisagreeingFieldCount": 0.0,
    "SubstrateLabel": "PostgreSQL",
    "SubjectArea": "org"
   },
   {
    "TableConformanceId": "effortless-postgres|JwtClaimMappings",
    "Run": "run-20260914-223223",
    "Substrate": "effortless-postgres",
    "RulebookTable": "JwtClaimMappings",
    "RecordCount": 4,
    "DerivedFieldCount": 2,
    "CellsTested": 8,
    "CellsPassed": 8,
    "IsMissingAnswerFile": false,
    "SemanticTypeIri": "urn:effortless:pko-extension#TableConformance",
    "Name": "effortless-postgres / JwtClaimMappings",
    "CellsFailed": 0.0,
    "Score": 100.0,
    "IsPerfect": true,
    "ImperfectSubstrateKey": null,
    "ImperfectTableKey": null,
    "DisagreeingFieldCount": 0.0,
    "SubstrateLabel": "PostgreSQL",
    "SubjectArea": "access-control"
   },
   {
    "TableConformanceId": "effortless-postgres|AccessDenialTests",
    "Run": "run-20260914-223223",
    "Substrate": "effortless-postgres",
    "RulebookTable": "AccessDenialTests",
    "RecordCount": 17,
    "DerivedFieldCount": 6,
    "CellsTested": 102,
    "CellsPassed": 102,
    "IsMissingAnswerFile": false,
    "SemanticTypeIri": "urn:effortless:pko-extension#TableConformance",
    "Name": "effortless-postgres / AccessDenialTests",
    "CellsFailed": 0.0,
    "Score": 100.0,
    "IsPerfect": true,
    "ImperfectSubstrateKey": null,
    "ImperfectTableKey": null,
    "DisagreeingFieldCount": 0.0,
    "SubstrateLabel": "PostgreSQL",
    "SubjectArea": "access-control"
   },
   {
    "TableConformanceId": "effortless-postgres|AppUsers",
    "Run": "run-20260914-223223",
    "Substrate": "effortless-postgres",
    "RulebookTable": "AppUsers",
    "RecordCount": 10,
    "DerivedFieldCount": 7,
    "CellsTested": 70,
    "CellsPassed": 70,
    "IsMissingAnswerFile": false,
    "SemanticTypeIri": "urn:effortless:pko-extension#TableConformance",
    "Name": "effortless-postgres / AppUsers",
    "CellsFailed": 0.0,
    "Score": 100.0,
    "IsPerfect": true,
    "ImperfectSubstrateKey": null,
    "ImperfectTableKey": null,
    "DisagreeingFieldCount": 0.0,
    "SubstrateLabel": "PostgreSQL",
    "SubjectArea": null
   },
   {
    "TableConformanceId": "effortless-postgres|PrincipalAssignments",
    "Run": "run-20260914-223223",
    "Substrate": "effortless-postgres",
    "RulebookTable": "PrincipalAssignments",
    "RecordCount": 12,
    "DerivedFieldCount": 5,
    "CellsTested": 60,
    "CellsPassed": 60,
    "IsMissingAnswerFile": false,
    "SemanticTypeIri": "urn:effortless:pko-extension#TableConformance",
    "Name": "effortless-postgres / PrincipalAssignments",
    "CellsFailed": 0.0,
    "Score": 100.0,
    "IsPerfect": true,
    "ImperfectSubstrateKey": null,
    "ImperfectTableKey": null,
    "DisagreeingFieldCount": 0.0,
    "SubstrateLabel": "PostgreSQL",
    "SubjectArea": null
   },
   {
    "TableConformanceId": "effortless-postgres|ProcessMiningRuns",
    "Run": "run-20260914-223223",
    "Substrate": "effortless-postgres",
    "RulebookTable": "ProcessMiningRuns",
    "RecordCount": 4,
    "DerivedFieldCount": 10,
    "CellsTested": 40,
    "CellsPassed": 40,
    "IsMissingAnswerFile": false,
    "SemanticTypeIri": "urn:effortless:pko-extension#TableConformance",
    "Name": "effortless-postgres / ProcessMiningRuns",
    "CellsFailed": 0.0,
    "Score": 100.0,
    "IsPerfect": true,
    "ImperfectSubstrateKey": null,
    "ImperfectTableKey": null,
    "DisagreeingFieldCount": 0.0,
    "SubstrateLabel": "PostgreSQL",
    "SubjectArea": "knowledge"
   },
   {
    "TableConformanceId": "effortless-postgres|Vocabularies",
    "Run": "run-20260914-223223",
    "Substrate": "effortless-postgres",
    "RulebookTable": "Vocabularies",
    "RecordCount": 2,
    "DerivedFieldCount": 4,
    "CellsTested": 8,
    "CellsPassed": 8,
    "IsMissingAnswerFile": false,
    "SemanticTypeIri": "urn:effortless:pko-extension#TableConformance",
    "Name": "effortless-postgres / Vocabularies",
    "CellsFailed": 0.0,
    "Score": 100.0,
    "IsPerfect": true,
    "ImperfectSubstrateKey": null,
    "ImperfectTableKey": null,
    "DisagreeingFieldCount": 0.0,
    "SubstrateLabel": "PostgreSQL",
    "SubjectArea": "knowledge"
   },
   {
    "TableConformanceId": "effortless-postgres|VocabularyTerms",
    "Run": "run-20260914-223223",
    "Substrate": "effortless-postgres",
    "RulebookTable": "VocabularyTerms",
    "RecordCount": 12,
    "DerivedFieldCount": 5,
    "CellsTested": 60,
    "CellsPassed": 60,
    "IsMissingAnswerFile": false,
    "SemanticTypeIri": "urn:effortless:pko-extension#TableConformance",
    "Name": "effortless-postgres / VocabularyTerms",
    "CellsFailed": 0.0,
    "Score": 100.0,
    "IsPerfect": true,
    "ImperfectSubstrateKey": null,
    "ImperfectTableKey": null,
    "DisagreeingFieldCount": 0.0,
    "SubstrateLabel": "PostgreSQL",
    "SubjectArea": "knowledge"
   },
   {
    "TableConformanceId": "effortless-postgres|KnowledgeBrokerLinks",
    "Run": "run-20260914-223223",
    "Substrate": "effortless-postgres",
    "RulebookTable": "KnowledgeBrokerLinks",
    "RecordCount": 5,
    "DerivedFieldCount": 8,
    "CellsTested": 40,
    "CellsPassed": 40,
    "IsMissingAnswerFile": false,
    "SemanticTypeIri": "urn:effortless:pko-extension#TableConformance",
    "Name": "effortless-postgres / KnowledgeBrokerLinks",
    "CellsFailed": 0.0,
    "Score": 100.0,
    "IsPerfect": true,
    "ImperfectSubstrateKey": null,
    "ImperfectTableKey": null,
    "DisagreeingFieldCount": 0.0,
    "SubstrateLabel": "PostgreSQL",
    "SubjectArea": "knowledge"
   },
   {
    "TableConformanceId": "effortless-postgres|ConformanceSubstrates",
    "Run": "run-20260914-223223",
    "Substrate": "effortless-postgres",
    "RulebookTable": "ConformanceSubstrates",
    "RecordCount": 8,
    "DerivedFieldCount": 11,
    "CellsTested": 88,
    "CellsPassed": 88,
    "IsMissingAnswerFile": false,
    "SemanticTypeIri": "urn:effortless:pko-extension#TableConformance",
    "Name": "effortless-postgres / ConformanceSubstrates",
    "CellsFailed": 0.0,
    "Score": 100.0,
    "IsPerfect": true,
    "ImperfectSubstrateKey": null,
    "ImperfectTableKey": null,
    "DisagreeingFieldCount": 0.0,
    "SubstrateLabel": "PostgreSQL",
    "SubjectArea": "meta"
   },
   {
    "TableConformanceId": "effortless-postgres|ConformanceRuns",
    "Run": "run-20260914-223223",
    "Substrate": "effortless-postgres",
    "RulebookTable": "ConformanceRuns",
    "RecordCount": 3,
    "DerivedFieldCount": 9,
    "CellsTested": 27,
    "CellsPassed": 27,
    "IsMissingAnswerFile": false,
    "SemanticTypeIri": "urn:effortless:pko-extension#TableConformance",
    "Name": "effortless-postgres / ConformanceRuns",
    "CellsFailed": 0.0,
    "Score": 100.0,
    "IsPerfect": true,
    "ImperfectSubstrateKey": null,
    "ImperfectTableKey": null,
    "DisagreeingFieldCount": 0.0,
    "SubstrateLabel": "PostgreSQL",
    "SubjectArea": "meta"
   },
   {
    "TableConformanceId": "effortless-postgres|SubstrateRunScores",
    "Run": "run-20260914-223223",
    "Substrate": "effortless-postgres",
    "RulebookTable": "SubstrateRunScores",
    "RecordCount": 21,
    "DerivedFieldCount": 13,
    "CellsTested": 273,
    "CellsPassed": 273,
    "IsMissingAnswerFile": false,
    "SemanticTypeIri": "urn:effortless:pko-extension#TableConformance",
    "Name": "effortless-postgres / SubstrateRunScores",
    "CellsFailed": 0.0,
    "Score": 100.0,
    "IsPerfect": true,
    "ImperfectSubstrateKey": null,
    "ImperfectTableKey": null,
    "DisagreeingFieldCount": 0.0,
    "SubstrateLabel": "PostgreSQL",
    "SubjectArea": "meta"
   },
   {
    "TableConformanceId": "effortless-postgres|TableConformance",
    "Run": "run-20260914-223223",
    "Substrate": "effortless-postgres",
    "RulebookTable": "TableConformance",
    "RecordCount": 623,
    "DerivedFieldCount": 9,
    "CellsTested": 5607,
    "CellsPassed": 5607,
    "IsMissingAnswerFile": false,
    "SemanticTypeIri": "urn:effortless:pko-extension#TableConformance",
    "Name": "effortless-postgres / TableConformance",
    "CellsFailed": 0.0,
    "Score": 100.0,
    "IsPerfect": true,
    "ImperfectSubstrateKey": null,
    "ImperfectTableKey": null,
    "DisagreeingFieldCount": 0.0,
    "SubstrateLabel": "PostgreSQL",
    "SubjectArea": "meta"
   },
   {
    "TableConformanceId": "effortless-postgres|FieldDisagreements",
    "Run": "run-20260914-223223",
    "Substrate": "effortless-postgres",
    "RulebookTable": "FieldDisagreements",
    "RecordCount": 49,
    "DerivedFieldCount": 5,
    "CellsTested": 245,
    "CellsPassed": 245,
    "IsMissingAnswerFile": false,
    "SemanticTypeIri": "urn:effortless:pko-extension#TableConformance",
    "Name": "effortless-postgres / FieldDisagreements",
    "CellsFailed": 0.0,
    "Score": 100.0,
    "IsPerfect": true,
    "ImperfectSubstrateKey": null,
    "ImperfectTableKey": null,
    "DisagreeingFieldCount": 0.0,
    "SubstrateLabel": "PostgreSQL",
    "SubjectArea": "meta"
   },
   {
    "TableConformanceId": "effortless-postgres|CellDisagreements",
    "Run": "run-20260914-223223",
    "Substrate": "effortless-postgres",
    "RulebookTable": "CellDisagreements",
    "RecordCount": 316,
    "DerivedFieldCount": 3,
    "CellsTested": 948,
    "CellsPassed": 948,
    "IsMissingAnswerFile": false,
    "SemanticTypeIri": "urn:effortless:pko-extension#TableConformance",
    "Name": "effortless-postgres / CellDisagreements",
    "CellsFailed": 0.0,
    "Score": 100.0,
    "IsPerfect": true,
    "ImperfectSubstrateKey": null,
    "ImperfectTableKey": null,
    "DisagreeingFieldCount": 0.0,
    "SubstrateLabel": "PostgreSQL",
    "SubjectArea": "meta"
   },
   {
    "TableConformanceId": "effortless-xlsx|RulebookReleases",
    "Run": "run-20260914-223223",
    "Substrate": "effortless-xlsx",
    "RulebookTable": "RulebookReleases",
    "RecordCount": 1,
    "DerivedFieldCount": 1,
    "CellsTested": 1,
    "CellsPassed": 1,
    "IsMissingAnswerFile": false,
    "SemanticTypeIri": "urn:effortless:pko-extension#TableConformance",
    "Name": "effortless-xlsx / RulebookReleases",
    "CellsFailed": 0.0,
    "Score": 100.0,
    "IsPerfect": true,
    "ImperfectSubstrateKey": null,
    "ImperfectTableKey": null,
    "DisagreeingFieldCount": 0.0,
    "SubstrateLabel": "Excel",
    "SubjectArea": "meta"
   },
   {
    "TableConformanceId": "effortless-xlsx|OntologyProfiles",
    "Run": "run-20260914-223223",
    "Substrate": "effortless-xlsx",
    "RulebookTable": "OntologyProfiles",
    "RecordCount": 11,
    "DerivedFieldCount": 1,
    "CellsTested": 11,
    "CellsPassed": 11,
    "IsMissingAnswerFile": false,
    "SemanticTypeIri": "urn:effortless:pko-extension#TableConformance",
    "Name": "effortless-xlsx / OntologyProfiles",
    "CellsFailed": 0.0,
    "Score": 100.0,
    "IsPerfect": true,
    "ImperfectSubstrateKey": null,
    "ImperfectTableKey": null,
    "DisagreeingFieldCount": 0.0,
    "SubstrateLabel": "Excel",
    "SubjectArea": "domain"
   },
   {
    "TableConformanceId": "effortless-xlsx|EvaluationContexts",
    "Run": "run-20260914-223223",
    "Substrate": "effortless-xlsx",
    "RulebookTable": "EvaluationContexts",
    "RecordCount": 1,
    "DerivedFieldCount": 1,
    "CellsTested": 1,
    "CellsPassed": 1,
    "IsMissingAnswerFile": false,
    "SemanticTypeIri": "urn:effortless:pko-extension#TableConformance",
    "Name": "effortless-xlsx / EvaluationContexts",
    "CellsFailed": 0.0,
    "Score": 100.0,
    "IsPerfect": true,
    "ImperfectSubstrateKey": null,
    "ImperfectTableKey": null,
    "DisagreeingFieldCount": 0.0,
    "SubstrateLabel": "Excel",
    "SubjectArea": "meta"
   },
   {
    "TableConformanceId": "effortless-xlsx|Organizations",
    "Run": "run-20260914-223223",
    "Substrate": "effortless-xlsx",
    "RulebookTable": "Organizations",
    "RecordCount": 4,
    "DerivedFieldCount": 1,
    "CellsTested": 4,
    "CellsPassed": 4,
    "IsMissingAnswerFile": false,
    "SemanticTypeIri": "urn:effortless:pko-extension#TableConformance",
    "Name": "effortless-xlsx / Organizations",
    "CellsFailed": 0.0,
    "Score": 100.0,
    "IsPerfect": true,
    "ImperfectSubstrateKey": null,
    "ImperfectTableKey": null,
    "DisagreeingFieldCount": 0.0,
    "SubstrateLabel": "Excel",
    "SubjectArea": "org"
   },
   {
    "TableConformanceId": "effortless-xlsx|Agents",
    "Run": "run-20260914-223223",
    "Substrate": "effortless-xlsx",
    "RulebookTable": "Agents",
    "RecordCount": 11,
    "DerivedFieldCount": 16,
    "CellsTested": 176,
    "CellsPassed": 176,
    "IsMissingAnswerFile": false,
    "SemanticTypeIri": "urn:effortless:pko-extension#TableConformance",
    "Name": "effortless-xlsx / Agents",
    "CellsFailed": 0.0,
    "Score": 100.0,
    "IsPerfect": true,
    "ImperfectSubstrateKey": null,
    "ImperfectTableKey": null,
    "DisagreeingFieldCount": 0.0,
    "SubstrateLabel": "Excel",
    "SubjectArea": "org"
   },
   {
    "TableConformanceId": "effortless-xlsx|Roles",
    "Run": "run-20260914-223223",
    "Substrate": "effortless-xlsx",
    "RulebookTable": "Roles",
    "RecordCount": 12,
    "DerivedFieldCount": 17,
    "CellsTested": 204,
    "CellsPassed": 204,
    "IsMissingAnswerFile": false,
    "SemanticTypeIri": "urn:effortless:pko-extension#TableConformance",
    "Name": "effortless-xlsx / Roles",
    "CellsFailed": 0.0,
    "Score": 100.0,
    "IsPerfect": true,
    "ImperfectSubstrateKey": null,
    "ImperfectTableKey": null,
    "DisagreeingFieldCount": 0.0,
    "SubstrateLabel": "Excel",
    "SubjectArea": "org"
   },
   {
    "TableConformanceId": "effortless-xlsx|RoleAssignments",
    "Run": "run-20260914-223223",
    "Substrate": "effortless-xlsx",
    "RulebookTable": "RoleAssignments",
    "RecordCount": 13,
    "DerivedFieldCount": 47,
    "CellsTested": 611,
    "CellsPassed": 608,
    "IsMissingAnswerFile": false,
    "SemanticTypeIri": "urn:effortless:pko-extension#TableConformance",
    "Name": "effortless-xlsx / RoleAssignments",
    "CellsFailed": 3.0,
    "Score": 99.51,
    "IsPerfect": false,
    "ImperfectSubstrateKey": "effortless-xlsx",
    "ImperfectTableKey": "RoleAssignments",
    "DisagreeingFieldCount": 3.0,
    "SubstrateLabel": "Excel",
    "SubjectArea": "org"
   },
   {
    "TableConformanceId": "effortless-xlsx|CommunitiesOfPractice",
    "Run": "run-20260914-223223",
    "Substrate": "effortless-xlsx",
    "RulebookTable": "CommunitiesOfPractice",
    "RecordCount": 2,
    "DerivedFieldCount": 1,
    "CellsTested": 2,
    "CellsPassed": 2,
    "IsMissingAnswerFile": false,
    "SemanticTypeIri": "urn:effortless:pko-extension#TableConformance",
    "Name": "effortless-xlsx / CommunitiesOfPractice",
    "CellsFailed": 0.0,
    "Score": 100.0,
    "IsPerfect": true,
    "ImperfectSubstrateKey": null,
    "ImperfectTableKey": null,
    "DisagreeingFieldCount": 0.0,
    "SubstrateLabel": "Excel",
    "SubjectArea": "org"
   },
   {
    "TableConformanceId": "effortless-xlsx|Mentorships",
    "Run": "run-20260914-223223",
    "Substrate": "effortless-xlsx",
    "RulebookTable": "Mentorships",
    "RecordCount": 1,
    "DerivedFieldCount": 1,
    "CellsTested": 1,
    "CellsPassed": 1,
    "IsMissingAnswerFile": false,
    "SemanticTypeIri": "urn:effortless:pko-extension#TableConformance",
    "Name": "effortless-xlsx / Mentorships",
    "CellsFailed": 0.0,
    "Score": 100.0,
    "IsPerfect": true,
    "ImperfectSubstrateKey": null,
    "ImperfectTableKey": null,
    "DisagreeingFieldCount": 0.0,
    "SubstrateLabel": "Excel",
    "SubjectArea": "org"
   },
   {
    "TableConformanceId": "effortless-xlsx|ProcedureTypes",
    "Run": "run-20260914-223223",
    "Substrate": "effortless-xlsx",
    "RulebookTable": "ProcedureTypes",
    "RecordCount": 2,
    "DerivedFieldCount": 1,
    "CellsTested": 2,
    "CellsPassed": 2,
    "IsMissingAnswerFile": false,
    "SemanticTypeIri": "urn:effortless:pko-extension#TableConformance",
    "Name": "effortless-xlsx / ProcedureTypes",
    "CellsFailed": 0.0,
    "Score": 100.0,
    "IsPerfect": true,
    "ImperfectSubstrateKey": null,
    "ImperfectTableKey": null,
    "DisagreeingFieldCount": 0.0,
    "SubstrateLabel": "Excel",
    "SubjectArea": "specification"
   },
   {
    "TableConformanceId": "effortless-xlsx|Procedures",
    "Run": "run-20260914-223223",
    "Substrate": "effortless-xlsx",
    "RulebookTable": "Procedures",
    "RecordCount": 2,
    "DerivedFieldCount": 1,
    "CellsTested": 2,
    "CellsPassed": 2,
    "IsMissingAnswerFile": false,
    "SemanticTypeIri": "urn:effortless:pko-extension#TableConformance",
    "Name": "effortless-xlsx / Procedures",
    "CellsFailed": 0.0,
    "Score": 100.0,
    "IsPerfect": true,
    "ImperfectSubstrateKey": null,
    "ImperfectTableKey": null,
    "DisagreeingFieldCount": 0.0,
    "SubstrateLabel": "Excel",
    "SubjectArea": "specification"
   },
   {
    "TableConformanceId": "effortless-xlsx|ProcedureVersions",
    "Run": "run-20260914-223223",
    "Substrate": "effortless-xlsx",
    "RulebookTable": "ProcedureVersions",
    "RecordCount": 3,
    "DerivedFieldCount": 73,
    "CellsTested": 219,
    "CellsPassed": 215,
    "IsMissingAnswerFile": false,
    "SemanticTypeIri": "urn:effortless:pko-extension#TableConformance",
    "Name": "effortless-xlsx / ProcedureVersions",
    "CellsFailed": 4.0,
    "Score": 98.17,
    "IsPerfect": false,
    "ImperfectSubstrateKey": "effortless-xlsx",
    "ImperfectTableKey": "ProcedureVersions",
    "DisagreeingFieldCount": 3.0,
    "SubstrateLabel": "Excel",
    "SubjectArea": "specification"
   },
   {
    "TableConformanceId": "effortless-xlsx|ProcedureVersionLinks",
    "Run": "run-20260914-223223",
    "Substrate": "effortless-xlsx",
    "RulebookTable": "ProcedureVersionLinks",
    "RecordCount": 1,
    "DerivedFieldCount": 2,
    "CellsTested": 2,
    "CellsPassed": 2,
    "IsMissingAnswerFile": false,
    "SemanticTypeIri": "urn:effortless:pko-extension#TableConformance",
    "Name": "effortless-xlsx / ProcedureVersionLinks",
    "CellsFailed": 0.0,
    "Score": 100.0,
    "IsPerfect": true,
    "ImperfectSubstrateKey": null,
    "ImperfectTableKey": null,
    "DisagreeingFieldCount": 0.0,
    "SubstrateLabel": "Excel",
    "SubjectArea": "specification"
   },
   {
    "TableConformanceId": "effortless-xlsx|ProcedureStatusChanges",
    "Run": "run-20260914-223223",
    "Substrate": "effortless-xlsx",
    "RulebookTable": "ProcedureStatusChanges",
    "RecordCount": 5,
    "DerivedFieldCount": 1,
    "CellsTested": 5,
    "CellsPassed": 5,
    "IsMissingAnswerFile": false,
    "SemanticTypeIri": "urn:effortless:pko-extension#TableConformance",
    "Name": "effortless-xlsx / ProcedureStatusChanges",
    "CellsFailed": 0.0,
    "Score": 100.0,
    "IsPerfect": true,
    "ImperfectSubstrateKey": null,
    "ImperfectTableKey": null,
    "DisagreeingFieldCount": 0.0,
    "SubstrateLabel": "Excel",
    "SubjectArea": "specification"
   },
   {
    "TableConformanceId": "effortless-xlsx|Steps",
    "Run": "run-20260914-223223",
    "Substrate": "effortless-xlsx",
    "RulebookTable": "Steps",
    "RecordCount": 17,
    "DerivedFieldCount": 42,
    "CellsTested": 714,
    "CellsPassed": 561,
    "IsMissingAnswerFile": false,
    "SemanticTypeIri": "urn:effortless:pko-extension#TableConformance",
    "Name": "effortless-xlsx / Steps",
    "CellsFailed": 153.0,
    "Score": 78.57,
    "IsPerfect": false,
    "ImperfectSubstrateKey": "effortless-xlsx",
    "ImperfectTableKey": "Steps",
    "DisagreeingFieldCount": 9.0,
    "SubstrateLabel": "Excel",
    "SubjectArea": "specification"
   },
   {
    "TableConformanceId": "effortless-xlsx|StepTransitions",
    "Run": "run-20260914-223223",
    "Substrate": "effortless-xlsx",
    "RulebookTable": "StepTransitions",
    "RecordCount": 20,
    "DerivedFieldCount": 18,
    "CellsTested": 360,
    "CellsPassed": 360,
    "IsMissingAnswerFile": false,
    "SemanticTypeIri": "urn:effortless:pko-extension#TableConformance",
    "Name": "effortless-xlsx / StepTransitions",
    "CellsFailed": 0.0,
    "Score": 100.0,
    "IsPerfect": true,
    "ImperfectSubstrateKey": null,
    "ImperfectTableKey": null,
    "DisagreeingFieldCount": 0.0,
    "SubstrateLabel": "Excel",
    "SubjectArea": "specification"
   },
   {
    "TableConformanceId": "effortless-xlsx|Actions",
    "Run": "run-20260914-223223",
    "Substrate": "effortless-xlsx",
    "RulebookTable": "Actions",
    "RecordCount": 9,
    "DerivedFieldCount": 1,
    "CellsTested": 9,
    "CellsPassed": 9,
    "IsMissingAnswerFile": false,
    "SemanticTypeIri": "urn:effortless:pko-extension#TableConformance",
    "Name": "effortless-xlsx / Actions",
    "CellsFailed": 0.0,
    "Score": 100.0,
    "IsPerfect": true,
    "ImperfectSubstrateKey": null,
    "ImperfectTableKey": null,
    "DisagreeingFieldCount": 0.0,
    "SubstrateLabel": "Excel",
    "SubjectArea": "specification"
   },
   {
    "TableConformanceId": "effortless-xlsx|Functions",
    "Run": "run-20260914-223223",
    "Substrate": "effortless-xlsx",
    "RulebookTable": "Functions",
    "RecordCount": 8,
    "DerivedFieldCount": 1,
    "CellsTested": 8,
    "CellsPassed": 8,
    "IsMissingAnswerFile": false,
    "SemanticTypeIri": "urn:effortless:pko-extension#TableConformance",
    "Name": "effortless-xlsx / Functions",
    "CellsFailed": 0.0,
    "Score": 100.0,
    "IsPerfect": true,
    "ImperfectSubstrateKey": null,
    "ImperfectTableKey": null,
    "DisagreeingFieldCount": 0.0,
    "SubstrateLabel": "Excel",
    "SubjectArea": "specification"
   },
   {
    "TableConformanceId": "effortless-xlsx|Tools",
    "Run": "run-20260914-223223",
    "Substrate": "effortless-xlsx",
    "RulebookTable": "Tools",
    "RecordCount": 8,
    "DerivedFieldCount": 1,
    "CellsTested": 8,
    "CellsPassed": 8,
    "IsMissingAnswerFile": false,
    "SemanticTypeIri": "urn:effortless:pko-extension#TableConformance",
    "Name": "effortless-xlsx / Tools",
    "CellsFailed": 0.0,
    "Score": 100.0,
    "IsPerfect": true,
    "ImperfectSubstrateKey": null,
    "ImperfectTableKey": null,
    "DisagreeingFieldCount": 0.0,
    "SubstrateLabel": "Excel",
    "SubjectArea": "specification"
   },
   {
    "TableConformanceId": "effortless-xlsx|StepActions",
    "Run": "run-20260914-223223",
    "Substrate": "effortless-xlsx",
    "RulebookTable": "StepActions",
    "RecordCount": 9,
    "DerivedFieldCount": 1,
    "CellsTested": 9,
    "CellsPassed": 9,
    "IsMissingAnswerFile": false,
    "SemanticTypeIri": "urn:effortless:pko-extension#TableConformance",
    "Name": "effortless-xlsx / StepActions",
    "CellsFailed": 0.0,
    "Score": 100.0,
    "IsPerfect": true,
    "ImperfectSubstrateKey": null,
    "ImperfectTableKey": null,
    "DisagreeingFieldCount": 0.0,
    "SubstrateLabel": "Excel",
    "SubjectArea": "specification"
   },
   {
    "TableConformanceId": "effortless-xlsx|StepFunctions",
    "Run": "run-20260914-223223",
    "Substrate": "effortless-xlsx",
    "RulebookTable": "StepFunctions",
    "RecordCount": 8,
    "DerivedFieldCount": 1,
    "CellsTested": 8,
    "CellsPassed": 8,
    "IsMissingAnswerFile": false,
    "SemanticTypeIri": "urn:effortless:pko-extension#TableConformance",
    "Name": "effortless-xlsx / StepFunctions",
    "CellsFailed": 0.0,
    "Score": 100.0,
    "IsPerfect": true,
    "ImperfectSubstrateKey": null,
    "ImperfectTableKey": null,
    "DisagreeingFieldCount": 0.0,
    "SubstrateLabel": "Excel",
    "SubjectArea": "specification"
   },
   {
    "TableConformanceId": "effortless-xlsx|StepTools",
    "Run": "run-20260914-223223",
    "Substrate": "effortless-xlsx",
    "RulebookTable": "StepTools",
    "RecordCount": 10,
    "DerivedFieldCount": 1,
    "CellsTested": 10,
    "CellsPassed": 10,
    "IsMissingAnswerFile": false,
    "SemanticTypeIri": "urn:effortless:pko-extension#TableConformance",
    "Name": "effortless-xlsx / StepTools",
    "CellsFailed": 0.0,
    "Score": 100.0,
    "IsPerfect": true,
    "ImperfectSubstrateKey": null,
    "ImperfectTableKey": null,
    "DisagreeingFieldCount": 0.0,
    "SubstrateLabel": "Excel",
    "SubjectArea": "specification"
   },
   {
    "TableConformanceId": "effortless-xlsx|Requirements",
    "Run": "run-20260914-223223",
    "Substrate": "effortless-xlsx",
    "RulebookTable": "Requirements",
    "RecordCount": 13,
    "DerivedFieldCount": 31,
    "CellsTested": 403,
    "CellsPassed": 403,
    "IsMissingAnswerFile": false,
    "SemanticTypeIri": "urn:effortless:pko-extension#TableConformance",
    "Name": "effortless-xlsx / Requirements",
    "CellsFailed": 0.0,
    "Score": 100.0,
    "IsPerfect": true,
    "ImperfectSubstrateKey": null,
    "ImperfectTableKey": null,
    "DisagreeingFieldCount": 0.0,
    "SubstrateLabel": "Excel",
    "SubjectArea": "governance"
   },
   {
    "TableConformanceId": "effortless-xlsx|StepRequirements",
    "Run": "run-20260914-223223",
    "Substrate": "effortless-xlsx",
    "RulebookTable": "StepRequirements",
    "RecordCount": 15,
    "DerivedFieldCount": 10,
    "CellsTested": 150,
    "CellsPassed": 150,
    "IsMissingAnswerFile": false,
    "SemanticTypeIri": "urn:effortless:pko-extension#TableConformance",
    "Name": "effortless-xlsx / StepRequirements",
    "CellsFailed": 0.0,
    "Score": 100.0,
    "IsPerfect": true,
    "ImperfectSubstrateKey": null,
    "ImperfectTableKey": null,
    "DisagreeingFieldCount": 0.0,
    "SubstrateLabel": "Excel",
    "SubjectArea": "specification"
   },
   {
    "TableConformanceId": "effortless-xlsx|StepVerifications",
    "Run": "run-20260914-223223",
    "Substrate": "effortless-xlsx",
    "RulebookTable": "StepVerifications",
    "RecordCount": 11,
    "DerivedFieldCount": 1,
    "CellsTested": 11,
    "CellsPassed": 11,
    "IsMissingAnswerFile": false,
    "SemanticTypeIri": "urn:effortless:pko-extension#TableConformance",
    "Name": "effortless-xlsx / StepVerifications",
    "CellsFailed": 0.0,
    "Score": 100.0,
    "IsPerfect": true,
    "ImperfectSubstrateKey": null,
    "ImperfectTableKey": null,
    "DisagreeingFieldCount": 0.0,
    "SubstrateLabel": "Excel",
    "SubjectArea": "specification"
   },
   {
    "TableConformanceId": "effortless-xlsx|Rationales",
    "Run": "run-20260914-223223",
    "Substrate": "effortless-xlsx",
    "RulebookTable": "Rationales",
    "RecordCount": 4,
    "DerivedFieldCount": 1,
    "CellsTested": 4,
    "CellsPassed": 4,
    "IsMissingAnswerFile": false,
    "SemanticTypeIri": "urn:effortless:pko-extension#TableConformance",
    "Name": "effortless-xlsx / Rationales",
    "CellsFailed": 0.0,
    "Score": 100.0,
    "IsPerfect": true,
    "ImperfectSubstrateKey": null,
    "ImperfectTableKey": null,
    "DisagreeingFieldCount": 0.0,
    "SubstrateLabel": "Excel",
    "SubjectArea": "governance"
   },
   {
    "TableConformanceId": "effortless-xlsx|Exceptions",
    "Run": "run-20260914-223223",
    "Substrate": "effortless-xlsx",
    "RulebookTable": "Exceptions",
    "RecordCount": 4,
    "DerivedFieldCount": 2,
    "CellsTested": 8,
    "CellsPassed": 8,
    "IsMissingAnswerFile": false,
    "SemanticTypeIri": "urn:effortless:pko-extension#TableConformance",
    "Name": "effortless-xlsx / Exceptions",
    "CellsFailed": 0.0,
    "Score": 100.0,
    "IsPerfect": true,
    "ImperfectSubstrateKey": null,
    "ImperfectTableKey": null,
    "DisagreeingFieldCount": 0.0,
    "SubstrateLabel": "Excel",
    "SubjectArea": "governance"
   },
   {
    "TableConformanceId": "effortless-xlsx|Resources",
    "Run": "run-20260914-223223",
    "Substrate": "effortless-xlsx",
    "RulebookTable": "Resources",
    "RecordCount": 8,
    "DerivedFieldCount": 2,
    "CellsTested": 16,
    "CellsPassed": 16,
    "IsMissingAnswerFile": false,
    "SemanticTypeIri": "urn:effortless:pko-extension#TableConformance",
    "Name": "effortless-xlsx / Resources",
    "CellsFailed": 0.0,
    "Score": 100.0,
    "IsPerfect": true,
    "ImperfectSubstrateKey": null,
    "ImperfectTableKey": null,
    "DisagreeingFieldCount": 0.0,
    "SubstrateLabel": "Excel",
    "SubjectArea": "domain"
   },
   {
    "TableConformanceId": "effortless-xlsx|ProcedureResources",
    "Run": "run-20260914-223223",
    "Substrate": "effortless-xlsx",
    "RulebookTable": "ProcedureResources",
    "RecordCount": 8,
    "DerivedFieldCount": 2,
    "CellsTested": 16,
    "CellsPassed": 16,
    "IsMissingAnswerFile": false,
    "SemanticTypeIri": "urn:effortless:pko-extension#TableConformance",
    "Name": "effortless-xlsx / ProcedureResources",
    "CellsFailed": 0.0,
    "Score": 100.0,
    "IsPerfect": true,
    "ImperfectSubstrateKey": null,
    "ImperfectTableKey": null,
    "DisagreeingFieldCount": 0.0,
    "SubstrateLabel": "Excel",
    "SubjectArea": "specification"
   },
   {
    "TableConformanceId": "effortless-xlsx|ElicitationSessions",
    "Run": "run-20260914-223223",
    "Substrate": "effortless-xlsx",
    "RulebookTable": "ElicitationSessions",
    "RecordCount": 3,
    "DerivedFieldCount": 10,
    "CellsTested": 30,
    "CellsPassed": 30,
    "IsMissingAnswerFile": false,
    "SemanticTypeIri": "urn:effortless:pko-extension#TableConformance",
    "Name": "effortless-xlsx / ElicitationSessions",
    "CellsFailed": 0.0,
    "Score": 100.0,
    "IsPerfect": true,
    "ImperfectSubstrateKey": null,
    "ImperfectTableKey": null,
    "DisagreeingFieldCount": 0.0,
    "SubstrateLabel": "Excel",
    "SubjectArea": "knowledge"
   },
   {
    "TableConformanceId": "effortless-xlsx|KnowledgeFragments",
    "Run": "run-20260914-223223",
    "Substrate": "effortless-xlsx",
    "RulebookTable": "KnowledgeFragments",
    "RecordCount": 7,
    "DerivedFieldCount": 65,
    "CellsTested": 455,
    "CellsPassed": 455,
    "IsMissingAnswerFile": false,
    "SemanticTypeIri": "urn:effortless:pko-extension#TableConformance",
    "Name": "effortless-xlsx / KnowledgeFragments",
    "CellsFailed": 0.0,
    "Score": 100.0,
    "IsPerfect": true,
    "ImperfectSubstrateKey": null,
    "ImperfectTableKey": null,
    "DisagreeingFieldCount": 0.0,
    "SubstrateLabel": "Excel",
    "SubjectArea": "knowledge"
   },
   {
    "TableConformanceId": "effortless-xlsx|KnowledgeGaps",
    "Run": "run-20260914-223223",
    "Substrate": "effortless-xlsx",
    "RulebookTable": "KnowledgeGaps",
    "RecordCount": 8,
    "DerivedFieldCount": 16,
    "CellsTested": 128,
    "CellsPassed": 128,
    "IsMissingAnswerFile": false,
    "SemanticTypeIri": "urn:effortless:pko-extension#TableConformance",
    "Name": "effortless-xlsx / KnowledgeGaps",
    "CellsFailed": 0.0,
    "Score": 100.0,
    "IsPerfect": true,
    "ImperfectSubstrateKey": null,
    "ImperfectTableKey": null,
    "DisagreeingFieldCount": 0.0,
    "SubstrateLabel": "Excel",
    "SubjectArea": "knowledge"
   },
   {
    "TableConformanceId": "effortless-xlsx|FAQs",
    "Run": "run-20260914-223223",
    "Substrate": "effortless-xlsx",
    "RulebookTable": "FAQs",
    "RecordCount": 3,
    "DerivedFieldCount": 1,
    "CellsTested": 3,
    "CellsPassed": 0,
    "IsMissingAnswerFile": true,
    "SemanticTypeIri": "urn:effortless:pko-extension#TableConformance",
    "Name": "effortless-xlsx / FAQs",
    "CellsFailed": 3.0,
    "Score": 0.0,
    "IsPerfect": false,
    "ImperfectSubstrateKey": "effortless-xlsx",
    "ImperfectTableKey": "FAQs",
    "DisagreeingFieldCount": 1.0,
    "SubstrateLabel": "Excel",
    "SubjectArea": "knowledge"
 </t>
  </si>
  <si>
    <t xml:space="preserve">  },
   {
    "TableConformanceId": "effortless-xlsx|Explanations",
    "Run": "run-20260914-223223",
    "Substrate": "effortless-xlsx",
    "RulebookTable": "Explanations",
    "RecordCount": 2,
    "DerivedFieldCount": 1,
    "CellsTested": 2,
    "CellsPassed": 2,
    "IsMissingAnswerFile": false,
    "SemanticTypeIri": "urn:effortless:pko-extension#TableConformance",
    "Name": "effortless-xlsx / Explanations",
    "CellsFailed": 0.0,
    "Score": 100.0,
    "IsPerfect": true,
    "ImperfectSubstrateKey": null,
    "ImperfectTableKey": null,
    "DisagreeingFieldCount": 0.0,
    "SubstrateLabel": "Excel",
    "SubjectArea": "knowledge"
   },
   {
    "TableConformanceId": "effortless-xlsx|ProcedureExecutions",
    "Run": "run-20260914-223223",
    "Substrate": "effortless-xlsx",
    "RulebookTable": "ProcedureExecutions",
    "RecordCount": 2,
    "DerivedFieldCount": 69,
    "CellsTested": 138,
    "CellsPassed": 134,
    "IsMissingAnswerFile": false,
    "SemanticTypeIri": "urn:effortless:pko-extension#TableConformance",
    "Name": "effortless-xlsx / ProcedureExecutions",
    "CellsFailed": 4.0,
    "Score": 97.1,
    "IsPerfect": false,
    "ImperfectSubstrateKey": "effortless-xlsx",
    "ImperfectTableKey": "ProcedureExecutions",
    "DisagreeingFieldCount": 2.0,
    "SubstrateLabel": "Excel",
    "SubjectArea": "specification"
   },
   {
    "TableConformanceId": "effortless-xlsx|StepExecutions",
    "Run": "run-20260914-223223",
    "Substrate": "effortless-xlsx",
    "RulebookTable": "StepExecutions",
    "RecordCount": 12,
    "DerivedFieldCount": 99,
    "CellsTested": 1188,
    "CellsPassed": 1188,
    "IsMissingAnswerFile": false,
    "SemanticTypeIri": "urn:effortless:pko-extension#TableConformance",
    "Name": "effortless-xlsx / StepExecutions",
    "CellsFailed": 0.0,
    "Score": 100.0,
    "IsPerfect": true,
    "ImperfectSubstrateKey": null,
    "ImperfectTableKey": null,
    "DisagreeingFieldCount": 0.0,
    "SubstrateLabel": "Excel",
    "SubjectArea": "specification"
   },
   {
    "TableConformanceId": "effortless-xlsx|RequirementSatisfactions",
    "Run": "run-20260914-223223",
    "Substrate": "effortless-xlsx",
    "RulebookTable": "RequirementSatisfactions",
    "RecordCount": 8,
    "DerivedFieldCount": 38,
    "CellsTested": 304,
    "CellsPassed": 280,
    "IsMissingAnswerFile": false,
    "SemanticTypeIri": "urn:effortless:pko-extension#TableConformance",
    "Name": "effortless-xlsx / RequirementSatisfactions",
    "CellsFailed": 24.0,
    "Score": 92.11,
    "IsPerfect": false,
    "ImperfectSubstrateKey": "effortless-xlsx",
    "ImperfectTableKey": "RequirementSatisfactions",
    "DisagreeingFieldCount": 3.0,
    "SubstrateLabel": "Excel",
    "SubjectArea": "execution"
   },
   {
    "TableConformanceId": "effortless-xlsx|Errors",
    "Run": "run-20260914-223223",
    "Substrate": "effortless-xlsx",
    "RulebookTable": "Errors",
    "RecordCount": 2,
    "DerivedFieldCount": 1,
    "CellsTested": 2,
    "CellsPassed": 2,
    "IsMissingAnswerFile": false,
    "SemanticTypeIri": "urn:effortless:pko-extension#TableConformance",
    "Name": "effortless-xlsx / Errors",
    "CellsFailed": 0.0,
    "Score": 100.0,
    "IsPerfect": true,
    "ImperfectSubstrateKey": null,
    "ImperfectTableKey": null,
    "DisagreeingFieldCount": 0.0,
    "SubstrateLabel": "Excel",
    "SubjectArea": "execution"
   },
   {
    "TableConformanceId": "effortless-xlsx|IssueOccurrences",
    "Run": "run-20260914-223223",
    "Substrate": "effortless-xlsx",
    "RulebookTable": "IssueOccurrences",
    "RecordCount": 2,
    "DerivedFieldCount": 3,
    "CellsTested": 6,
    "CellsPassed": 6,
    "IsMissingAnswerFile": false,
    "SemanticTypeIri": "urn:effortless:pko-extension#TableConformance",
    "Name": "effortless-xlsx / IssueOccurrences",
    "CellsFailed": 0.0,
    "Score": 100.0,
    "IsPerfect": true,
    "ImperfectSubstrateKey": null,
    "ImperfectTableKey": null,
    "DisagreeingFieldCount": 0.0,
    "SubstrateLabel": "Excel",
    "SubjectArea": "execution"
   },
   {
    "TableConformanceId": "effortless-xlsx|UserQuestions",
    "Run": "run-20260914-223223",
    "Substrate": "effortless-xlsx",
    "RulebookTable": "UserQuestions",
    "RecordCount": 2,
    "DerivedFieldCount": 1,
    "CellsTested": 2,
    "CellsPassed": 2,
    "IsMissingAnswerFile": false,
    "SemanticTypeIri": "urn:effortless:pko-extension#TableConformance",
    "Name": "effortless-xlsx / UserQuestions",
    "CellsFailed": 0.0,
    "Score": 100.0,
    "IsPerfect": true,
    "ImperfectSubstrateKey": null,
    "ImperfectTableKey": null,
    "DisagreeingFieldCount": 0.0,
    "SubstrateLabel": "Excel",
    "SubjectArea": "domain"
   },
   {
    "TableConformanceId": "effortless-xlsx|UserFeedback",
    "Run": "run-20260914-223223",
    "Substrate": "effortless-xlsx",
    "RulebookTable": "UserFeedback",
    "RecordCount": 2,
    "DerivedFieldCount": 1,
    "CellsTested": 2,
    "CellsPassed": 2,
    "IsMissingAnswerFile": false,
    "SemanticTypeIri": "urn:effortless:pko-extension#TableConformance",
    "Name": "effortless-xlsx / UserFeedback",
    "CellsFailed": 0.0,
    "Score": 100.0,
    "IsPerfect": true,
    "ImperfectSubstrateKey": null,
    "ImperfectTableKey": null,
    "DisagreeingFieldCount": 0.0,
    "SubstrateLabel": "Excel",
    "SubjectArea": "domain"
   },
   {
    "TableConformanceId": "effortless-xlsx|StewardshipAssignments",
    "Run": "run-20260914-223223",
    "Substrate": "effortless-xlsx",
    "RulebookTable": "StewardshipAssignments",
    "RecordCount": 2,
    "DerivedFieldCount": 5,
    "CellsTested": 10,
    "CellsPassed": 10,
    "IsMissingAnswerFile": false,
    "SemanticTypeIri": "urn:effortless:pko-extension#TableConformance",
    "Name": "effortless-xlsx / StewardshipAssignments",
    "CellsFailed": 0.0,
    "Score": 100.0,
    "IsPerfect": true,
    "ImperfectSubstrateKey": null,
    "ImperfectTableKey": null,
    "DisagreeingFieldCount": 0.0,
    "SubstrateLabel": "Excel",
    "SubjectArea": "org"
   },
   {
    "TableConformanceId": "effortless-xlsx|ChangeRequests",
    "Run": "run-20260914-223223",
    "Substrate": "effortless-xlsx",
    "RulebookTable": "ChangeRequests",
    "RecordCount": 2,
    "DerivedFieldCount": 32,
    "CellsTested": 64,
    "CellsPassed": 64,
    "IsMissingAnswerFile": false,
    "SemanticTypeIri": "urn:effortless:pko-extension#TableConformance",
    "Name": "effortless-xlsx / ChangeRequests",
    "CellsFailed": 0.0,
    "Score": 100.0,
    "IsPerfect": true,
    "ImperfectSubstrateKey": null,
    "ImperfectTableKey": null,
    "DisagreeingFieldCount": 0.0,
    "SubstrateLabel": "Excel",
    "SubjectArea": "domain"
   },
   {
    "TableConformanceId": "effortless-xlsx|ReviewEvents",
    "Run": "run-20260914-223223",
    "Substrate": "effortless-xlsx",
    "RulebookTable": "ReviewEvents",
    "RecordCount": 3,
    "DerivedFieldCount": 10,
    "CellsTested": 30,
    "CellsPassed": 30,
    "IsMissingAnswerFile": false,
    "SemanticTypeIri": "urn:effortless:pko-extension#TableConformance",
    "Name": "effortless-xlsx / ReviewEvents",
    "CellsFailed": 0.0,
    "Score": 100.0,
    "IsPerfect": true,
    "ImperfectSubstrateKey": null,
    "ImperfectTableKey": null,
    "DisagreeingFieldCount": 0.0,
    "SubstrateLabel": "Excel",
    "SubjectArea": "domain"
   },
   {
    "TableConformanceId": "effortless-xlsx|LearningActivities",
    "Run": "run-20260914-223223",
    "Substrate": "effortless-xlsx",
    "RulebookTable": "LearningActivities",
    "RecordCount": 2,
    "DerivedFieldCount": 1,
    "CellsTested": 2,
    "CellsPassed": 2,
    "IsMissingAnswerFile": false,
    "SemanticTypeIri": "urn:effortless:pko-extension#TableConformance",
    "Name": "effortless-xlsx / LearningActivities",
    "CellsFailed": 0.0,
    "Score": 100.0,
    "IsPerfect": true,
    "ImperfectSubstrateKey": null,
    "ImperfectTableKey": null,
    "DisagreeingFieldCount": 0.0,
    "SubstrateLabel": "Excel",
    "SubjectArea": "domain"
   },
   {
    "TableConformanceId": "effortless-xlsx|OperationalBindings",
    "Run": "run-20260914-223223",
    "Substrate": "effortless-xlsx",
    "RulebookTable": "OperationalBindings",
    "RecordCount": 5,
    "DerivedFieldCount": 11,
    "CellsTested": 55,
    "CellsPassed": 55,
    "IsMissingAnswerFile": false,
    "SemanticTypeIri": "urn:effortless:pko-extension#TableConformance",
    "Name": "effortless-xlsx / OperationalBindings",
    "CellsFailed": 0.0,
    "Score": 100.0,
    "IsPerfect": true,
    "ImperfectSubstrateKey": null,
    "ImperfectTableKey": null,
    "DisagreeingFieldCount": 0.0,
    "SubstrateLabel": "Excel",
    "SubjectArea": "domain"
   },
   {
    "TableConformanceId": "effortless-xlsx|CommunicationPolicies",
    "Run": "run-20260914-223223",
    "Substrate": "effortless-xlsx",
    "RulebookTable": "CommunicationPolicies",
    "RecordCount": 2,
    "DerivedFieldCount": 4,
    "CellsTested": 8,
    "CellsPassed": 8,
    "IsMissingAnswerFile": false,
    "SemanticTypeIri": "urn:effortless:pko-extension#TableConformance",
    "Name": "effortless-xlsx / CommunicationPolicies",
    "CellsFailed": 0.0,
    "Score": 100.0,
    "IsPerfect": true,
    "ImperfectSubstrateKey": null,
    "ImperfectTableKey": null,
    "DisagreeingFieldCount": 0.0,
    "SubstrateLabel": "Excel",
    "SubjectArea": "communication"
   },
   {
    "TableConformanceId": "effortless-xlsx|MessageTemplates",
    "Run": "run-20260914-223223",
    "Substrate": "effortless-xlsx",
    "RulebookTable": "MessageTemplates",
    "RecordCount": 2,
    "DerivedFieldCount": 16,
    "CellsTested": 32,
    "CellsPassed": 32,
    "IsMissingAnswerFile": false,
    "SemanticTypeIri": "urn:effortless:pko-extension#TableConformance",
    "Name": "effortless-xlsx / MessageTemplates",
    "CellsFailed": 0.0,
    "Score": 100.0,
    "IsPerfect": true,
    "ImperfectSubstrateKey": null,
    "ImperfectTableKey": null,
    "DisagreeingFieldCount": 0.0,
    "SubstrateLabel": "Excel",
    "SubjectArea": "communication"
   },
   {
    "TableConformanceId": "effortless-xlsx|SemanticMappings",
    "Run": "run-20260914-223223",
    "Substrate": "effortless-xlsx",
    "RulebookTable": "SemanticMappings",
    "RecordCount": 47,
    "DerivedFieldCount": 1,
    "CellsTested": 47,
    "CellsPassed": 47,
    "IsMissingAnswerFile": false,
    "SemanticTypeIri": "urn:effortless:pko-extension#TableConformance",
    "Name": "effortless-xlsx / SemanticMappings",
    "CellsFailed": 0.0,
    "Score": 100.0,
    "IsPerfect": true,
    "ImperfectSubstrateKey": null,
    "ImperfectTableKey": null,
    "DisagreeingFieldCount": 0.0,
    "SubstrateLabel": "Excel",
    "SubjectArea": "meta"
   },
   {
    "TableConformanceId": "effortless-xlsx|WitnessLoops",
    "Run": "run-20260914-223223",
    "Substrate": "effortless-xlsx",
    "RulebookTable": "WitnessLoops",
    "RecordCount": 4,
    "DerivedFieldCount": 3,
    "CellsTested": 12,
    "CellsPassed": 12,
    "IsMissingAnswerFile": false,
    "SemanticTypeIri": "urn:effortless:pko-extension#TableConformance",
    "Name": "effortless-xlsx / WitnessLoops",
    "CellsFailed": 0.0,
    "Score": 100.0,
    "IsPerfect": true,
    "ImperfectSubstrateKey": null,
    "ImperfectTableKey": null,
    "DisagreeingFieldCount": 0.0,
    "SubstrateLabel": "Excel",
    "SubjectArea": "meta"
   },
   {
    "TableConformanceId": "effortless-xlsx|RoleQuestions",
    "Run": "run-20260914-223223",
    "Substrate": "effortless-xlsx",
    "RulebookTable": "RoleQuestions",
    "RecordCount": 111,
    "DerivedFieldCount": 3,
    "CellsTested": 333,
    "CellsPassed": 333,
    "IsMissingAnswerFile": false,
    "SemanticTypeIri": "urn:effortless:pko-extension#TableConformance",
    "Name": "effortless-xlsx / RoleQuestions",
    "CellsFailed": 0.0,
    "Score": 100.0,
    "IsPerfect": true,
    "ImperfectSubstrateKey": null,
    "ImperfectTableKey": null,
    "DisagreeingFieldCount": 0.0,
    "SubstrateLabel": "Excel",
    "SubjectArea": "org"
   },
   {
    "TableConformanceId": "effortless-xlsx|RulebookFields",
    "Run": "run-20260914-223223",
    "Substrate": "effortless-xlsx",
    "RulebookTable": "RulebookFields",
    "RecordCount": 1897,
    "DerivedFieldCount": 5,
    "CellsTested": 9485,
    "CellsPassed": 9485,
    "IsMissingAnswerFile": false,
    "SemanticTypeIri": "urn:effortless:pko-extension#TableConformance",
    "Name": "effortless-xlsx / RulebookFields",
    "CellsFailed": 0.0,
    "Score": 100.0,
    "IsPerfect": true,
    "ImperfectSubstrateKey": null,
    "ImperfectTableKey": null,
    "DisagreeingFieldCount": 0.0,
    "SubstrateLabel": "Excel",
    "SubjectArea": "access-control"
   },
   {
    "TableConformanceId": "effortless-xlsx|TestSuites",
    "Run": "run-20260914-223223",
    "Substrate": "effortless-xlsx",
    "RulebookTable": "TestSuites",
    "RecordCount": 6,
    "DerivedFieldCount": 5,
    "CellsTested": 30,
    "CellsPassed": 30,
    "IsMissingAnswerFile": false,
    "SemanticTypeIri": "urn:effortless:pko-extension#TableConformance",
    "Name": "effortless-xlsx / TestSuites",
    "CellsFailed": 0.0,
    "Score": 100.0,
    "IsPerfect": true,
    "ImperfectSubstrateKey": null,
    "ImperfectTableKey": null,
    "DisagreeingFieldCount": 0.0,
    "SubstrateLabel": "Excel",
    "SubjectArea": "meta"
   },
   {
    "TableConformanceId": "effortless-xlsx|TestCases",
    "Run": "run-20260914-223223",
    "Substrate": "effortless-xlsx",
    "RulebookTable": "TestCases",
    "RecordCount": 1794,
    "DerivedFieldCount": 7,
    "CellsTested": 12558,
    "CellsPassed": 12558,
    "IsMissingAnswerFile": false,
    "SemanticTypeIri": "urn:effortless:pko-extension#TableConformance",
    "Name": "effortless-xlsx / TestCases",
    "CellsFailed": 0.0,
    "Score": 100.0,
    "IsPerfect": true,
    "ImperfectSubstrateKey": null,
    "ImperfectTableKey": null,
    "DisagreeingFieldCount": 0.0,
    "SubstrateLabel": "Excel",
    "SubjectArea": "meta"
   },
   {
    "TableConformanceId": "effortless-xlsx|ExceptionInvocations",
    "Run": "run-20260914-223223",
    "Substrate": "effortless-xlsx",
    "RulebookTable": "ExceptionInvocations",
    "RecordCount": 1,
    "DerivedFieldCount": 13,
    "CellsTested": 13,
    "CellsPassed": 13,
    "IsMissingAnswerFile": false,
    "SemanticTypeIri": "urn:effortless:pko-extension#TableConformance",
    "Name": "effortless-xlsx / ExceptionInvocations",
    "CellsFailed": 0.0,
    "Score": 100.0,
    "IsPerfect": true,
    "ImperfectSubstrateKey": null,
    "ImperfectTableKey": null,
    "DisagreeingFieldCount": 0.0,
    "SubstrateLabel": "Excel",
    "SubjectArea": "governance"
   },
   {
    "TableConformanceId": "effortless-xlsx|VerificationOutcomes",
    "Run": "run-20260914-223223",
    "Substrate": "effortless-xlsx",
    "RulebookTable": "VerificationOutcomes",
    "RecordCount": 4,
    "DerivedFieldCount": 18,
    "CellsTested": 72,
    "CellsPassed": 72,
    "IsMissingAnswerFile": false,
    "SemanticTypeIri": "urn:effortless:pko-extension#TableConformance",
    "Name": "effortless-xlsx / VerificationOutcomes",
    "CellsFailed": 0.0,
    "Score": 100.0,
    "IsPerfect": true,
    "ImperfectSubstrateKey": null,
    "ImperfectTableKey": null,
    "DisagreeingFieldCount": 0.0,
    "SubstrateLabel": "Excel",
    "SubjectArea": "execution"
   },
   {
    "TableConformanceId": "effortless-xlsx|ObservedTransitions",
    "Run": "run-20260914-223223",
    "Substrate": "effortless-xlsx",
    "RulebookTable": "ObservedTransitions",
    "RecordCount": 10,
    "DerivedFieldCount": 1,
    "CellsTested": 10,
    "CellsPassed": 10,
    "IsMissingAnswerFile": false,
    "SemanticTypeIri": "urn:effortless:pko-extension#TableConformance",
    "Name": "effortless-xlsx / ObservedTransitions",
    "CellsFailed": 0.0,
    "Score": 100.0,
    "IsPerfect": true,
    "ImperfectSubstrateKey": null,
    "ImperfectTableKey": null,
    "DisagreeingFieldCount": 0.0,
    "SubstrateLabel": "Excel",
    "SubjectArea": "specification"
   },
   {
    "TableConformanceId": "effortless-xlsx|Recipients",
    "Run": "run-20260914-223223",
    "Substrate": "effortless-xlsx",
    "RulebookTable": "Recipients",
    "RecordCount": 5,
    "DerivedFieldCount": 6,
    "CellsTested": 30,
    "CellsPassed": 30,
    "IsMissingAnswerFile": false,
    "SemanticTypeIri": "urn:effortless:pko-extension#TableConformance",
    "Name": "effortless-xlsx / Recipients",
    "CellsFailed": 0.0,
    "Score": 100.0,
    "IsPerfect": true,
    "ImperfectSubstrateKey": null,
    "ImperfectTableKey": null,
    "DisagreeingFieldCount": 0.0,
    "SubstrateLabel": "Excel",
    "SubjectArea": "communication"
   },
   {
    "TableConformanceId": "effortless-xlsx|MessageDeliveries",
    "Run": "run-20260914-223223",
    "Substrate": "effortless-xlsx",
    "RulebookTable": "MessageDeliveries",
    "RecordCount": 6,
    "DerivedFieldCount": 74,
    "CellsTested": 444,
    "CellsPassed": 433,
    "IsMissingAnswerFile": false,
    "SemanticTypeIri": "urn:effortless:pko-extension#TableConformance",
    "Name": "effortless-xlsx / MessageDeliveries",
    "CellsFailed": 11.0,
    "Score": 97.52,
    "IsPerfect": false,
    "ImperfectSubstrateKey": "effortless-xlsx",
    "ImperfectTableKey": "MessageDeliveries",
    "DisagreeingFieldCount": 5.0,
    "SubstrateLabel": "Excel",
    "SubjectArea": "communication"
   },
   {
    "TableConformanceId": "effortless-xlsx|TemplateApprovals",
    "Run": "run-20260914-223223",
    "Substrate": "effortless-xlsx",
    "RulebookTable": "TemplateApprovals",
    "RecordCount": 2,
    "DerivedFieldCount": 6,
    "CellsTested": 12,
    "CellsPassed": 12,
    "IsMissingAnswerFile": false,
    "SemanticTypeIri": "urn:effortless:pko-extension#TableConformance",
    "Name": "effortless-xlsx / TemplateApprovals",
    "CellsFailed": 0.0,
    "Score": 100.0,
    "IsPerfect": true,
    "ImperfectSubstrateKey": null,
    "ImperfectTableKey": null,
    "DisagreeingFieldCount": 0.0,
    "SubstrateLabel": "Excel",
    "SubjectArea": "communication"
   },
   {
    "TableConformanceId": "effortless-xlsx|SendIntents",
    "Run": "run-20260914-223223",
    "Substrate": "effortless-xlsx",
    "RulebookTable": "SendIntents",
    "RecordCount": 7,
    "DerivedFieldCount": 79,
    "CellsTested": 553,
    "CellsPassed": 553,
    "IsMissingAnswerFile": false,
    "SemanticTypeIri": "urn:effortless:pko-extension#TableConformance",
    "Name": "effortless-xlsx / SendIntents",
    "CellsFailed": 0.0,
    "Score": 100.0,
    "IsPerfect": true,
    "ImperfectSubstrateKey": null,
    "ImperfectTableKey": null,
    "DisagreeingFieldCount": 0.0,
    "SubstrateLabel": "Excel",
    "SubjectArea": "communication"
   },
   {
    "TableConformanceId": "effortless-xlsx|AgentDecisionRecords",
    "Run": "run-20260914-223223",
    "Substrate": "effortless-xlsx",
    "RulebookTable": "AgentDecisionRecords",
    "RecordCount": 3,
    "DerivedFieldCount": 27,
    "CellsTested": 81,
    "CellsPassed": 78,
    "IsMissingAnswerFile": false,
    "SemanticTypeIri": "urn:effortless:pko-extension#TableConformance",
    "Name": "effortless-xlsx / AgentDecisionRecords",
    "CellsFailed": 3.0,
    "Score": 96.3,
    "IsPerfect": false,
    "ImperfectSubstrateKey": "effortless-xlsx",
    "ImperfectTableKey": "AgentDecisionRecords",
    "DisagreeingFieldCount": 1.0,
    "SubstrateLabel": "Excel",
    "SubjectArea": "org"
   },
   {
    "TableConformanceId": "effortless-xlsx|DeliveredCommunications",
    "Run": "run-20260914-223223",
    "Substrate": "effortless-xlsx",
    "RulebookTable": "DeliveredCommunications",
    "RecordCount": 1,
    "DerivedFieldCount": 6,
    "CellsTested": 6,
    "CellsPassed": 6,
    "IsMissingAnswerFile": false,
    "SemanticTypeIri": "urn:effortless:pko-extension#TableConformance",
    "Name": "effortless-xlsx / DeliveredCommunications",
    "CellsFailed": 0.0,
    "Score": 100.0,
    "IsPerfect": true,
    "ImperfectSubstrateKey": null,
    "ImperfectTableKey": null,
    "DisagreeingFieldCount": 0.0,
    "SubstrateLabel": "Excel",
    "SubjectArea": "communication"
   },
   {
    "TableConformanceId": "effortless-xlsx|AuthorityBoundaries",
    "Run": "run-20260914-223223",
    "Substrate": "effortless-xlsx",
    "RulebookTable": "AuthorityBoundaries",
    "RecordCount": 3,
    "DerivedFieldCount": 21,
    "CellsTested": 63,
    "CellsPassed": 63,
    "IsMissingAnswerFile": false,
    "SemanticTypeIri": "urn:effortless:pko-extension#TableConformance",
    "Name": "effortless-xlsx / AuthorityBoundaries",
    "CellsFailed": 0.0,
    "Score": 100.0,
    "IsPerfect": true,
    "ImperfectSubstrateKey": null,
    "ImperfectTableKey": null,
    "DisagreeingFieldCount": 0.0,
    "SubstrateLabel": "Excel",
    "SubjectArea": "governance"
   },
   {
    "TableConformanceId": "effortless-xlsx|AppRoleProfiles",
    "Run": "run-20260914-223223",
    "Substrate": "effortless-xlsx",
    "RulebookTable": "AppRoleProfiles",
    "RecordCount": 12,
    "DerivedFieldCount": 2,
    "CellsTested": 24,
    "CellsPassed": 24,
    "IsMissingAnswerFile": false,
    "SemanticTypeIri": "urn:effortless:pko-extension#TableConformance",
    "Name": "effortless-xlsx / AppRoleProfiles",
    "CellsFailed": 0.0,
    "Score": 100.0,
    "IsPerfect": true,
    "ImperfectSubstrateKey": null,
    "ImperfectTableKey": null,
    "DisagreeingFieldCount": 0.0,
    "SubstrateLabel": "Excel",
    "SubjectArea": "org"
   },
   {
    "TableConformanceId": "effortless-xlsx|AppNavGroups",
    "Run": "run-20260914-223223",
    "Substrate": "effortless-xlsx",
    "RulebookTable": "AppNavGroups",
    "RecordCount": 23,
    "DerivedFieldCount": 2,
    "CellsTested": 46,
    "CellsPassed": 46,
    "IsMissingAnswerFile": false,
    "SemanticTypeIri": "urn:effortless:pko-extension#TableConformance",
    "Name": "effortless-xlsx / AppNavGroups",
    "CellsFailed": 0.0,
    "Score": 100.0,
    "IsPerfect": true,
    "ImperfectSubstrateKey": null,
    "ImperfectTableKey": null,
    "DisagreeingFieldCount": 0.0,
    "SubstrateLabel": "Excel",
    "SubjectArea": "application"
   },
   {
    "TableConformanceId": "effortless-xlsx|AppRoutes",
    "Run": "run-20260914-223223",
    "Substrate": "effortless-xlsx",
    "RulebookTable": "AppRoutes",
    "RecordCount": 149,
    "DerivedFieldCount": 7,
    "CellsTested": 1043,
    "CellsPassed": 1043,
    "IsMissingAnswerFile": false,
    "SemanticTypeIri": "urn:effortless:pko-extension#TableConformance",
    "Name": "effortless-xlsx / AppRoutes",
    "CellsFailed": 0.0,
    "Score": 100.0,
    "IsPerfect": true,
    "ImperfectSubstrateKey": null,
    "ImperfectTableKey": null,
    "DisagreeingFieldCount": 0.0,
    "SubstrateLabel": "Excel",
    "SubjectArea": "application"
   },
   {
    "TableConformanceId": "effortless-xlsx|AppRouteQuestions",
    "Run": "run-20260914-223223",
    "Substrate": "effortless-xlsx",
    "RulebookTable": "AppRouteQuestions",
    "RecordCount": 151,
    "DerivedFieldCount": 1,
    "CellsTested": 151,
    "CellsPassed": 151,
    "IsMissingAnswerFile": false,
    "SemanticTypeIri": "urn:effortless:pko-extension#TableConformance",
    "Name": "effortless-xlsx / AppRouteQuestions",
    "CellsFailed": 0.0,
    "Score": 100.0,
    "IsPerfect": true,
    "ImperfectSubstrateKey": null,
    "ImperfectTableKey": null,
    "DisagreeingFieldCount": 0.0,
    "SubstrateLabel": "Excel",
    "SubjectArea": "application"
   },
   {
    "TableConformanceId": "effortless-xlsx|AppRouteReferences",
    "Run": "run-20260914-223223",
    "Substrate": "effortless-xlsx",
    "RulebookTable": "AppRouteReferences",
    "RecordCount": 315,
    "DerivedFieldCount": 1,
    "CellsTested": 315,
    "CellsPassed": 315,
    "IsMissingAnswerFile": false,
    "SemanticTypeIri": "urn:effortless:pko-extension#TableConformance",
    "Name": "effortless-xlsx / AppRouteReferences",
    "CellsFailed": 0.0,
    "Score": 100.0,
    "IsPerfect": true,
    "ImperfectSubstrateKey": null,
    "ImperfectTableKey": null,
    "DisagreeingFieldCount": 0.0,
    "SubstrateLabel": "Excel",
    "SubjectArea": "application"
   },
   {
    "TableConformanceId": "effortless-xlsx|RulebookTables",
    "Run": "run-20260914-223223",
    "Substrate": "effortless-xlsx",
    "RulebookTable": "RulebookTables",
    "RecordCount": 92,
    "DerivedFieldCount": 5,
    "CellsTested": 460,
    "CellsPassed": 460,
    "IsMissingAnswerFile": false,
    "SemanticTypeIri": "urn:effortless:pko-extension#TableConformance",
    "Name": "effortless-xlsx / RulebookTables",
    "CellsFailed": 0.0,
    "Score": 100.0,
    "IsPerfect": true,
    "ImperfectSubstrateKey": null,
    "ImperfectTableKey": null,
    "DisagreeingFieldCount": 0.0,
    "SubstrateLabel": "Excel",
    "SubjectArea": "meta"
   },
   {
    "TableConformanceId": "effortless-xlsx|AccessPrincipals",
    "Run": "run-20260914-223223",
    "Substrate": "effortless-xlsx",
    "RulebookTable": "AccessPrincipals",
    "RecordCount": 12,
    "DerivedFieldCount": 8,
    "CellsTested": 96,
    "CellsPassed": 96,
    "IsMissingAnswerFile": false,
    "SemanticTypeIri": "urn:effortless:pko-extension#TableConformance",
    "Name": "effortless-xlsx / AccessPrincipals",
    "CellsFailed": 0.0,
    "Score": 100.0,
    "IsPerfect": true,
    "ImperfectSubstrateKey": null,
    "ImperfectTableKey": null,
    "DisagreeingFieldCount": 0.0,
    "SubstrateLabel": "Excel",
    "SubjectArea": "access-control"
   },
   {
    "TableConformanceId": "effortless-xlsx|AccessPolicies",
    "Run": "run-20260914-223223",
    "Substrate": "effortless-xlsx",
    "RulebookTable": "AccessPolicies",
    "RecordCount": 202,
    "DerivedFieldCount": 7,
    "CellsTested": 1414,
    "CellsPassed": 1414,
    "IsMissingAnswerFile": false,
    "SemanticTypeIri": "urn:effortless:pko-extension#TableConformance",
    "Name": "effortless-xlsx / AccessPolicies",
    "CellsFailed": 0.0,
    "Score": 100.0,
    "IsPerfect": true,
    "ImperfectSubstrateKey": null,
    "ImperfectTableKey": null,
    "DisagreeingFieldCount": 0.0,
    "SubstrateLabel": "Excel",
    "SubjectArea": "access-control"
   },
   {
    "TableConformanceId": "effortless-xlsx|FieldGrants",
    "Run": "run-20260914-223223",
    "Substrate": "effortless-xlsx",
    "RulebookTable": "FieldGrants",
    "RecordCount": 3639,
    "DerivedFieldCount": 7,
    "CellsTested": 25473,
    "CellsPassed": 25473,
    "IsMissingAnswerFile": false,
    "SemanticTypeIri": "urn:effortless:pko-extension#TableConformance",
    "Name": "effortless-xlsx / FieldGrants",
    "CellsFailed": 0.0,
    "Score": 100.0,
    "IsPerfect": true,
    "ImperfectSubstrateKey": null,
    "ImperfectTableKey": null,
    "DisagreeingFieldCount": 0.0,
    "SubstrateLabel": "Excel",
    "SubjectArea": "access-control"
   },
   {
    "TableConformanceId": "effortless-xlsx|RoleSchemas",
    "Run": "run-20260914-223223",
    "Substrate": "effortless-xlsx",
    "RulebookTable": "RoleSchemas",
    "RecordCount": 12,
    "DerivedFieldCount": 4,
    "CellsTested": 48,
    "CellsPassed": 48,
    "IsMissingAnswerFile": false,
    "SemanticTypeIri": "urn:effortless:pko-extension#TableConformance",
    "Name": "effortless-xlsx / RoleSchemas",
    "CellsFailed": 0.0,
    "Score": 100.0,
    "IsPerfect": true,
    "ImperfectSubstrateKey": null,
    "ImperfectTableKey": null,
    "DisagreeingFieldCount": 0.0,
    "SubstrateLabel": "Excel",
    "SubjectArea": "org"
   },
   {
    "TableConformanceId": "effortless-xlsx|RoleSchemaViews",
    "Run": "run-20260914-223223",
    "Substrate": "effortless-xlsx",
    "RulebookTable": "RoleSchemaViews",
    "RecordCount": 202,
    "DerivedFieldCount": 8,
    "CellsTested": 1616,
    "CellsPassed": 1616,
    "IsMissingAnswerFile": false,
    "SemanticTypeIri": "urn:effortless:pko-extension#TableConformance",
    "Name": "effortless-xlsx / RoleSchemaViews",
    "CellsFailed": 0.0,
    "Score": 100.0,
    "IsPerfect": true,
    "ImperfectSubstrateKey": null,
    "ImperfectTableKey": null,
    "DisagreeingFieldCount": 0.0,
    "SubstrateLabel": "Excel",
    "SubjectArea": "org"
   },
   {
    "TableConformanceId": "effortless-xlsx|JwtClaimMappings",
    "Run": "run-20260914-223223",
    "Substrate": "effortless-xlsx",
    "RulebookTable": "JwtClaimMappings",
    "RecordCount": 4,
    "DerivedFieldCount": 2,
    "CellsTested": 8,
    "CellsPassed": 8,
    "IsMissingAnswerFile": false,
    "SemanticTypeIri": "urn:effortless:pko-extension#TableConformance",
    "Name": "effortless-xlsx / JwtClaimMappings",
    "CellsFailed": 0.0,
    "Score": 100.0,
    "IsPerfect": true,
    "ImperfectSubstrateKey": null,
    "ImperfectTableKey": null,
    "DisagreeingFieldCount": 0.0,
    "SubstrateLabel": "Excel",
    "SubjectArea": "access-control"
   },
   {
    "TableConformanceId": "effortless-xlsx|AccessDenialTests",
    "Run": "run-20260914-223223",
    "Substrate": "effortless-xlsx",
    "RulebookTable": "AccessDenialTests",
    "RecordCount": 17,
    "DerivedFieldCount": 6,
    "CellsTested": 102,
    "CellsPassed": 102,
    "IsMissingAnswerFile": false,
    "SemanticTypeIri": "urn:effortless:pko-extension#TableConformance",
    "Name": "effortless-xlsx / AccessDenialTests",
    "CellsFailed": 0.0,
    "Score": 100.0,
    "IsPerfect": true,
    "ImperfectSubstrateKey": null,
    "ImperfectTableKey": null,
    "DisagreeingFieldCount": 0.0,
    "SubstrateLabel": "Excel",
    "SubjectArea": "access-control"
   },
   {
    "TableConformanceId": "effortless-xlsx|AppUsers",
    "Run": "run-20260914-223223",
    "Substrate": "effortless-xlsx",
    "RulebookTable": "AppUsers",
    "RecordCount": 10,
    "DerivedFieldCount": 7,
    "CellsTested": 70,
    "CellsPassed": 70,
    "IsMissingAnswerFile": false,
    "SemanticTypeIri": "urn:effortless:pko-extension#TableConformance",
    "Name": "effortless-xlsx / AppUsers",
    "CellsFailed": 0.0,
    "Score": 100.0,
    "IsPerfect": true,
    "ImperfectSubstrateKey": null,
    "ImperfectTableKey": null,
    "DisagreeingFieldCount": 0.0,
    "SubstrateLabel": "Excel",
    "SubjectArea": null
   },
   {
    "TableConformanceId": "effortless-xlsx|PrincipalAssignments",
    "Run": "run-20260914-223223",
    "Substrate": "effortless-xlsx",
    "RulebookTable": "PrincipalAssignments",
    "RecordCount": 12,
    "DerivedFieldCount": 5,
    "CellsTested": 60,
    "CellsPassed": 60,
    "IsMissingAnswerFile": false,
    "SemanticTypeIri": "urn:effortless:pko-extension#TableConformance",
    "Name": "effortless-xlsx / PrincipalAssignments",
    "CellsFailed": 0.0,
    "Score": 100.0,
    "IsPerfect": true,
    "ImperfectSubstrateKey": null,
    "ImperfectTableKey": null,
    "DisagreeingFieldCount": 0.0,
    "SubstrateLabel": "Excel",
    "SubjectArea": null
   },
   {
    "TableConformanceId": "effortless-xlsx|ProcessMiningRuns",
    "Run": "run-20260914-223223",
    "Substrate": "effortless-xlsx",
    "RulebookTable": "ProcessMiningRuns",
    "RecordCount": 4,
    "DerivedFieldCount": 10,
    "CellsTested": 40,
    "CellsPassed": 40,
    "IsMissingAnswerFile": false,
    "SemanticTypeIri": "urn:effortless:pko-extension#TableConformance",
    "Name": "effortless-xlsx / ProcessMiningRuns",
    "CellsFailed": 0.0,
    "Score": 100.0,
    "IsPerfect": true,
    "ImperfectSubstrateKey": null,
    "ImperfectTableKey": null,
    "DisagreeingFieldCount": 0.0,
    "SubstrateLabel": "Excel",
    "SubjectArea": "knowledge"
   },
   {
    "TableConformanceId": "effortless-xlsx|Vocabularies",
    "Run": "run-20260914-223223",
    "Substrate": "effortless-xlsx",
    "RulebookTable": "Vocabularies",
    "RecordCount": 2,
    "DerivedFieldCount": 4,
    "CellsTested": 8,
    "CellsPassed": 8,
    "IsMissingAnswerFile": false,
    "SemanticTypeIri": "urn:effortless:pko-extension#TableConformance",
    "Name": "effortless-xlsx / Vocabularies",
    "CellsFailed": 0.0,
    "Score": 100.0,
    "IsPerfect": true,
    "ImperfectSubstrateKey": null,
    "ImperfectTableKey": null,
    "DisagreeingFieldCount": 0.0,
    "SubstrateLabel": "Excel",
    "SubjectArea": "knowledge"
   },
   {
    "TableConformanceId": "effortless-xlsx|VocabularyTerms",
    "Run": "run-20260914-223223",
    "Substrate": "effortless-xlsx",
    "RulebookTable": "VocabularyTerms",
    "RecordCount": 12,
    "DerivedFieldCount": 5,
    "CellsTested": 60,
    "CellsPassed": 60,
    "IsMissingAnswerFile": false,
    "SemanticTypeIri": "urn:effortless:pko-extension#TableConformance",
    "Name": "effortless-xlsx / VocabularyTerms",
    "CellsFailed": 0.0,
    "Score": 100.0,
    "IsPerfect": true,
    "ImperfectSubstrateKey": null,
    "ImperfectTableKey": null,
    "DisagreeingFieldCount": 0.0,
    "SubstrateLabel": "Excel",
    "SubjectArea": "knowledge"
   },
   {
    "TableConformanceId": "effortless-xlsx|KnowledgeBrokerLinks",
    "Run": "run-20260914-223223</t>
  </si>
  <si>
    <t xml:space="preserve">",
    "Substrate": "effortless-xlsx",
    "RulebookTable": "KnowledgeBrokerLinks",
    "RecordCount": 5,
    "DerivedFieldCount": 8,
    "CellsTested": 40,
    "CellsPassed": 40,
    "IsMissingAnswerFile": false,
    "SemanticTypeIri": "urn:effortless:pko-extension#TableConformance",
    "Name": "effortless-xlsx / KnowledgeBrokerLinks",
    "CellsFailed": 0.0,
    "Score": 100.0,
    "IsPerfect": true,
    "ImperfectSubstrateKey": null,
    "ImperfectTableKey": null,
    "DisagreeingFieldCount": 0.0,
    "SubstrateLabel": "Excel",
    "SubjectArea": "knowledge"
   },
   {
    "TableConformanceId": "effortless-xlsx|ConformanceSubstrates",
    "Run": "run-20260914-223223",
    "Substrate": "effortless-xlsx",
    "RulebookTable": "ConformanceSubstrates",
    "RecordCount": 8,
    "DerivedFieldCount": 11,
    "CellsTested": 88,
    "CellsPassed": 88,
    "IsMissingAnswerFile": false,
    "SemanticTypeIri": "urn:effortless:pko-extension#TableConformance",
    "Name": "effortless-xlsx / ConformanceSubstrates",
    "CellsFailed": 0.0,
    "Score": 100.0,
    "IsPerfect": true,
    "ImperfectSubstrateKey": null,
    "ImperfectTableKey": null,
    "DisagreeingFieldCount": 0.0,
    "SubstrateLabel": "Excel",
    "SubjectArea": "meta"
   },
   {
    "TableConformanceId": "effortless-xlsx|ConformanceRuns",
    "Run": "run-20260914-223223",
    "Substrate": "effortless-xlsx",
    "RulebookTable": "ConformanceRuns",
    "RecordCount": 3,
    "DerivedFieldCount": 9,
    "CellsTested": 27,
    "CellsPassed": 27,
    "IsMissingAnswerFile": false,
    "SemanticTypeIri": "urn:effortless:pko-extension#TableConformance",
    "Name": "effortless-xlsx / ConformanceRuns",
    "CellsFailed": 0.0,
    "Score": 100.0,
    "IsPerfect": true,
    "ImperfectSubstrateKey": null,
    "ImperfectTableKey": null,
    "DisagreeingFieldCount": 0.0,
    "SubstrateLabel": "Excel",
    "SubjectArea": "meta"
   },
   {
    "TableConformanceId": "effortless-xlsx|SubstrateRunScores",
    "Run": "run-20260914-223223",
    "Substrate": "effortless-xlsx",
    "RulebookTable": "SubstrateRunScores",
    "RecordCount": 21,
    "DerivedFieldCount": 13,
    "CellsTested": 273,
    "CellsPassed": 273,
    "IsMissingAnswerFile": false,
    "SemanticTypeIri": "urn:effortless:pko-extension#TableConformance",
    "Name": "effortless-xlsx / SubstrateRunScores",
    "CellsFailed": 0.0,
    "Score": 100.0,
    "IsPerfect": true,
    "ImperfectSubstrateKey": null,
    "ImperfectTableKey": null,
    "DisagreeingFieldCount": 0.0,
    "SubstrateLabel": "Excel",
    "SubjectArea": "meta"
   },
   {
    "TableConformanceId": "effortless-xlsx|TableConformance",
    "Run": "run-20260914-223223",
    "Substrate": "effortless-xlsx",
    "RulebookTable": "TableConformance",
    "RecordCount": 623,
    "DerivedFieldCount": 9,
    "CellsTested": 5607,
    "CellsPassed": 5607,
    "IsMissingAnswerFile": false,
    "SemanticTypeIri": "urn:effortless:pko-extension#TableConformance",
    "Name": "effortless-xlsx / TableConformance",
    "CellsFailed": 0.0,
    "Score": 100.0,
    "IsPerfect": true,
    "ImperfectSubstrateKey": null,
    "ImperfectTableKey": null,
    "DisagreeingFieldCount": 0.0,
    "SubstrateLabel": "Excel",
    "SubjectArea": "meta"
   },
   {
    "TableConformanceId": "effortless-xlsx|FieldDisagreements",
    "Run": "run-20260914-223223",
    "Substrate": "effortless-xlsx",
    "RulebookTable": "FieldDisagreements",
    "RecordCount": 49,
    "DerivedFieldCount": 5,
    "CellsTested": 245,
    "CellsPassed": 245,
    "IsMissingAnswerFile": false,
    "SemanticTypeIri": "urn:effortless:pko-extension#TableConformance",
    "Name": "effortless-xlsx / FieldDisagreements",
    "CellsFailed": 0.0,
    "Score": 100.0,
    "IsPerfect": true,
    "ImperfectSubstrateKey": null,
    "ImperfectTableKey": null,
    "DisagreeingFieldCount": 0.0,
    "SubstrateLabel": "Excel",
    "SubjectArea": "meta"
   },
   {
    "TableConformanceId": "effortless-xlsx|CellDisagreements",
    "Run": "run-20260914-223223",
    "Substrate": "effortless-xlsx",
    "RulebookTable": "CellDisagreements",
    "RecordCount": 316,
    "DerivedFieldCount": 3,
    "CellsTested": 948,
    "CellsPassed": 948,
    "IsMissingAnswerFile": false,
    "SemanticTypeIri": "urn:effortless:pko-extension#TableConformance",
    "Name": "effortless-xlsx / CellDisagreements",
    "CellsFailed": 0.0,
    "Score": 100.0,
    "IsPerfect": true,
    "ImperfectSubstrateKey": null,
    "ImperfectTableKey": null,
    "DisagreeingFieldCount": 0.0,
    "SubstrateLabel": "Excel",
    "SubjectArea": "meta"
   },
   {
    "TableConformanceId": "effortless-entity-framework|RulebookReleases",
    "Run": "run-20260914-223223",
    "Substrate": "effortless-entity-framework",
    "RulebookTable": "RulebookReleases",
    "RecordCount": 1,
    "DerivedFieldCount": 1,
    "CellsTested": 1,
    "CellsPassed": 1,
    "IsMissingAnswerFile": false,
    "SemanticTypeIri": "urn:effortless:pko-extension#TableConformance",
    "Name": "effortless-entity-framework / RulebookReleases",
    "CellsFailed": 0.0,
    "Score": 100.0,
    "IsPerfect": true,
    "ImperfectSubstrateKey": null,
    "ImperfectTableKey": null,
    "DisagreeingFieldCount": 0.0,
    "SubstrateLabel": "C# / Entity Framework",
    "SubjectArea": "meta"
   },
   {
    "TableConformanceId": "effortless-entity-framework|OntologyProfiles",
    "Run": "run-20260914-223223",
    "Substrate": "effortless-entity-framework",
    "RulebookTable": "OntologyProfiles",
    "RecordCount": 11,
    "DerivedFieldCount": 1,
    "CellsTested": 11,
    "CellsPassed": 11,
    "IsMissingAnswerFile": false,
    "SemanticTypeIri": "urn:effortless:pko-extension#TableConformance",
    "Name": "effortless-entity-framework / OntologyProfiles",
    "CellsFailed": 0.0,
    "Score": 100.0,
    "IsPerfect": true,
    "ImperfectSubstrateKey": null,
    "ImperfectTableKey": null,
    "DisagreeingFieldCount": 0.0,
    "SubstrateLabel": "C# / Entity Framework",
    "SubjectArea": "domain"
   },
   {
    "TableConformanceId": "effortless-entity-framework|EvaluationContexts",
    "Run": "run-20260914-223223",
    "Substrate": "effortless-entity-framework",
    "RulebookTable": "EvaluationContexts",
    "RecordCount": 1,
    "DerivedFieldCount": 1,
    "CellsTested": 1,
    "CellsPassed": 1,
    "IsMissingAnswerFile": false,
    "SemanticTypeIri": "urn:effortless:pko-extension#TableConformance",
    "Name": "effortless-entity-framework / EvaluationContexts",
    "CellsFailed": 0.0,
    "Score": 100.0,
    "IsPerfect": true,
    "ImperfectSubstrateKey": null,
    "ImperfectTableKey": null,
    "DisagreeingFieldCount": 0.0,
    "SubstrateLabel": "C# / Entity Framework",
    "SubjectArea": "meta"
   },
   {
    "TableConformanceId": "effortless-entity-framework|Organizations",
    "Run": "run-20260914-223223",
    "Substrate": "effortless-entity-framework",
    "RulebookTable": "Organizations",
    "RecordCount": 4,
    "DerivedFieldCount": 1,
    "CellsTested": 4,
    "CellsPassed": 4,
    "IsMissingAnswerFile": false,
    "SemanticTypeIri": "urn:effortless:pko-extension#TableConformance",
    "Name": "effortless-entity-framework / Organizations",
    "CellsFailed": 0.0,
    "Score": 100.0,
    "IsPerfect": true,
    "ImperfectSubstrateKey": null,
    "ImperfectTableKey": null,
    "DisagreeingFieldCount": 0.0,
    "SubstrateLabel": "C# / Entity Framework",
    "SubjectArea": "org"
   },
   {
    "TableConformanceId": "effortless-entity-framework|Agents",
    "Run": "run-20260914-223223",
    "Substrate": "effortless-entity-framework",
    "RulebookTable": "Agents",
    "RecordCount": 11,
    "DerivedFieldCount": 16,
    "CellsTested": 176,
    "CellsPassed": 176,
    "IsMissingAnswerFile": false,
    "SemanticTypeIri": "urn:effortless:pko-extension#TableConformance",
    "Name": "effortless-entity-framework / Agents",
    "CellsFailed": 0.0,
    "Score": 100.0,
    "IsPerfect": true,
    "ImperfectSubstrateKey": null,
    "ImperfectTableKey": null,
    "DisagreeingFieldCount": 0.0,
    "SubstrateLabel": "C# / Entity Framework",
    "SubjectArea": "org"
   },
   {
    "TableConformanceId": "effortless-entity-framework|Roles",
    "Run": "run-20260914-223223",
    "Substrate": "effortless-entity-framework",
    "RulebookTable": "Roles",
    "RecordCount": 12,
    "DerivedFieldCount": 17,
    "CellsTested": 204,
    "CellsPassed": 204,
    "IsMissingAnswerFile": false,
    "SemanticTypeIri": "urn:effortless:pko-extension#TableConformance",
    "Name": "effortless-entity-framework / Roles",
    "CellsFailed": 0.0,
    "Score": 100.0,
    "IsPerfect": true,
    "ImperfectSubstrateKey": null,
    "ImperfectTableKey": null,
    "DisagreeingFieldCount": 0.0,
    "SubstrateLabel": "C# / Entity Framework",
    "SubjectArea": "org"
   },
   {
    "TableConformanceId": "effortless-entity-framework|RoleAssignments",
    "Run": "run-20260914-223223",
    "Substrate": "effortless-entity-framework",
    "RulebookTable": "RoleAssignments",
    "RecordCount": 13,
    "DerivedFieldCount": 47,
    "CellsTested": 611,
    "CellsPassed": 611,
    "IsMissingAnswerFile": false,
    "SemanticTypeIri": "urn:effortless:pko-extension#TableConformance",
    "Name": "effortless-entity-framework / RoleAssignments",
    "CellsFailed": 0.0,
    "Score": 100.0,
    "IsPerfect": true,
    "ImperfectSubstrateKey": null,
    "ImperfectTableKey": null,
    "DisagreeingFieldCount": 0.0,
    "SubstrateLabel": "C# / Entity Framework",
    "SubjectArea": "org"
   },
   {
    "TableConformanceId": "effortless-entity-framework|CommunitiesOfPractice",
    "Run": "run-20260914-223223",
    "Substrate": "effortless-entity-framework",
    "RulebookTable": "CommunitiesOfPractice",
    "RecordCount": 2,
    "DerivedFieldCount": 1,
    "CellsTested": 2,
    "CellsPassed": 2,
    "IsMissingAnswerFile": false,
    "SemanticTypeIri": "urn:effortless:pko-extension#TableConformance",
    "Name": "effortless-entity-framework / CommunitiesOfPractice",
    "CellsFailed": 0.0,
    "Score": 100.0,
    "IsPerfect": true,
    "ImperfectSubstrateKey": null,
    "ImperfectTableKey": null,
    "DisagreeingFieldCount": 0.0,
    "SubstrateLabel": "C# / Entity Framework",
    "SubjectArea": "org"
   },
   {
    "TableConformanceId": "effortless-entity-framework|Mentorships",
    "Run": "run-20260914-223223",
    "Substrate": "effortless-entity-framework",
    "RulebookTable": "Mentorships",
    "RecordCount": 1,
    "DerivedFieldCount": 1,
    "CellsTested": 1,
    "CellsPassed": 1,
    "IsMissingAnswerFile": false,
    "SemanticTypeIri": "urn:effortless:pko-extension#TableConformance",
    "Name": "effortless-entity-framework / Mentorships",
    "CellsFailed": 0.0,
    "Score": 100.0,
    "IsPerfect": true,
    "ImperfectSubstrateKey": null,
    "ImperfectTableKey": null,
    "DisagreeingFieldCount": 0.0,
    "SubstrateLabel": "C# / Entity Framework",
    "SubjectArea": "org"
   },
   {
    "TableConformanceId": "effortless-entity-framework|ProcedureTypes",
    "Run": "run-20260914-223223",
    "Substrate": "effortless-entity-framework",
    "RulebookTable": "ProcedureTypes",
    "RecordCount": 2,
    "DerivedFieldCount": 1,
    "CellsTested": 2,
    "CellsPassed": 2,
    "IsMissingAnswerFile": false,
    "SemanticTypeIri": "urn:effortless:pko-extension#TableConformance",
    "Name": "effortless-entity-framework / ProcedureTypes",
    "CellsFailed": 0.0,
    "Score": 100.0,
    "IsPerfect": true,
    "ImperfectSubstrateKey": null,
    "ImperfectTableKey": null,
    "DisagreeingFieldCount": 0.0,
    "SubstrateLabel": "C# / Entity Framework",
    "SubjectArea": "specification"
   },
   {
    "TableConformanceId": "effortless-entity-framework|Procedures",
    "Run": "run-20260914-223223",
    "Substrate": "effortless-entity-framework",
    "RulebookTable": "Procedures",
    "RecordCount": 2,
    "DerivedFieldCount": 1,
    "CellsTested": 2,
    "CellsPassed": 2,
    "IsMissingAnswerFile": false,
    "SemanticTypeIri": "urn:effortless:pko-extension#TableConformance",
    "Name": "effortless-entity-framework / Procedures",
    "CellsFailed": 0.0,
    "Score": 100.0,
    "IsPerfect": true,
    "ImperfectSubstrateKey": null,
    "ImperfectTableKey": null,
    "DisagreeingFieldCount": 0.0,
    "SubstrateLabel": "C# / Entity Framework",
    "SubjectArea": "specification"
   },
   {
    "TableConformanceId": "effortless-entity-framework|ProcedureVersions",
    "Run": "run-20260914-223223",
    "Substrate": "effortless-entity-framework",
    "RulebookTable": "ProcedureVersions",
    "RecordCount": 3,
    "DerivedFieldCount": 73,
    "CellsTested": 219,
    "CellsPassed": 219,
    "IsMissingAnswerFile": false,
    "SemanticTypeIri": "urn:effortless:pko-extension#TableConformance",
    "Name": "effortless-entity-framework / ProcedureVersions",
    "CellsFailed": 0.0,
    "Score": 100.0,
    "IsPerfect": true,
    "ImperfectSubstrateKey": null,
    "ImperfectTableKey": null,
    "DisagreeingFieldCount": 0.0,
    "SubstrateLabel": "C# / Entity Framework",
    "SubjectArea": "specification"
   },
   {
    "TableConformanceId": "effortless-entity-framework|ProcedureVersionLinks",
    "Run": "run-20260914-223223",
    "Substrate": "effortless-entity-framework",
    "RulebookTable": "ProcedureVersionLinks",
    "RecordCount": 1,
    "DerivedFieldCount": 2,
    "CellsTested": 2,
    "CellsPassed": 2,
    "IsMissingAnswerFile": false,
    "SemanticTypeIri": "urn:effortless:pko-extension#TableConformance",
    "Name": "effortless-entity-framework / ProcedureVersionLinks",
    "CellsFailed": 0.0,
    "Score": 100.0,
    "IsPerfect": true,
    "ImperfectSubstrateKey": null,
    "ImperfectTableKey": null,
    "DisagreeingFieldCount": 0.0,
    "SubstrateLabel": "C# / Entity Framework",
    "SubjectArea": "specification"
   },
   {
    "TableConformanceId": "effortless-entity-framework|ProcedureStatusChanges",
    "Run": "run-20260914-223223",
    "Substrate": "effortless-entity-framework",
    "RulebookTable": "ProcedureStatusChanges",
    "RecordCount": 5,
    "DerivedFieldCount": 1,
    "CellsTested": 5,
    "CellsPassed": 5,
    "IsMissingAnswerFile": false,
    "SemanticTypeIri": "urn:effortless:pko-extension#TableConformance",
    "Name": "effortless-entity-framework / ProcedureStatusChanges",
    "CellsFailed": 0.0,
    "Score": 100.0,
    "IsPerfect": true,
    "ImperfectSubstrateKey": null,
    "ImperfectTableKey": null,
    "DisagreeingFieldCount": 0.0,
    "SubstrateLabel": "C# / Entity Framework",
    "SubjectArea": "specification"
   },
   {
    "TableConformanceId": "effortless-entity-framework|Steps",
    "Run": "run-20260914-223223",
    "Substrate": "effortless-entity-framework",
    "RulebookTable": "Steps",
    "RecordCount": 17,
    "DerivedFieldCount": 42,
    "CellsTested": 714,
    "CellsPassed": 714,
    "IsMissingAnswerFile": false,
    "SemanticTypeIri": "urn:effortless:pko-extension#TableConformance",
    "Name": "effortless-entity-framework / Steps",
    "CellsFailed": 0.0,
    "Score": 100.0,
    "IsPerfect": true,
    "ImperfectSubstrateKey": null,
    "ImperfectTableKey": null,
    "DisagreeingFieldCount": 0.0,
    "SubstrateLabel": "C# / Entity Framework",
    "SubjectArea": "specification"
   },
   {
    "TableConformanceId": "effortless-entity-framework|StepTransitions",
    "Run": "run-20260914-223223",
    "Substrate": "effortless-entity-framework",
    "RulebookTable": "StepTransitions",
    "RecordCount": 20,
    "DerivedFieldCount": 18,
    "CellsTested": 360,
    "CellsPassed": 360,
    "IsMissingAnswerFile": false,
    "SemanticTypeIri": "urn:effortless:pko-extension#TableConformance",
    "Name": "effortless-entity-framework / StepTransitions",
    "CellsFailed": 0.0,
    "Score": 100.0,
    "IsPerfect": true,
    "ImperfectSubstrateKey": null,
    "ImperfectTableKey": null,
    "DisagreeingFieldCount": 0.0,
    "SubstrateLabel": "C# / Entity Framework",
    "SubjectArea": "specification"
   },
   {
    "TableConformanceId": "effortless-entity-framework|Actions",
    "Run": "run-20260914-223223",
    "Substrate": "effortless-entity-framework",
    "RulebookTable": "Actions",
    "RecordCount": 9,
    "DerivedFieldCount": 1,
    "CellsTested": 9,
    "CellsPassed": 9,
    "IsMissingAnswerFile": false,
    "SemanticTypeIri": "urn:effortless:pko-extension#TableConformance",
    "Name": "effortless-entity-framework / Actions",
    "CellsFailed": 0.0,
    "Score": 100.0,
    "IsPerfect": true,
    "ImperfectSubstrateKey": null,
    "ImperfectTableKey": null,
    "DisagreeingFieldCount": 0.0,
    "SubstrateLabel": "C# / Entity Framework",
    "SubjectArea": "specification"
   },
   {
    "TableConformanceId": "effortless-entity-framework|Functions",
    "Run": "run-20260914-223223",
    "Substrate": "effortless-entity-framework",
    "RulebookTable": "Functions",
    "RecordCount": 8,
    "DerivedFieldCount": 1,
    "CellsTested": 8,
    "CellsPassed": 8,
    "IsMissingAnswerFile": false,
    "SemanticTypeIri": "urn:effortless:pko-extension#TableConformance",
    "Name": "effortless-entity-framework / Functions",
    "CellsFailed": 0.0,
    "Score": 100.0,
    "IsPerfect": true,
    "ImperfectSubstrateKey": null,
    "ImperfectTableKey": null,
    "DisagreeingFieldCount": 0.0,
    "SubstrateLabel": "C# / Entity Framework",
    "SubjectArea": "specification"
   },
   {
    "TableConformanceId": "effortless-entity-framework|Tools",
    "Run": "run-20260914-223223",
    "Substrate": "effortless-entity-framework",
    "RulebookTable": "Tools",
    "RecordCount": 8,
    "DerivedFieldCount": 1,
    "CellsTested": 8,
    "CellsPassed": 8,
    "IsMissingAnswerFile": false,
    "SemanticTypeIri": "urn:effortless:pko-extension#TableConformance",
    "Name": "effortless-entity-framework / Tools",
    "CellsFailed": 0.0,
    "Score": 100.0,
    "IsPerfect": true,
    "ImperfectSubstrateKey": null,
    "ImperfectTableKey": null,
    "DisagreeingFieldCount": 0.0,
    "SubstrateLabel": "C# / Entity Framework",
    "SubjectArea": "specification"
   },
   {
    "TableConformanceId": "effortless-entity-framework|StepActions",
    "Run": "run-20260914-223223",
    "Substrate": "effortless-entity-framework",
    "RulebookTable": "StepActions",
    "RecordCount": 9,
    "DerivedFieldCount": 1,
    "CellsTested": 9,
    "CellsPassed": 9,
    "IsMissingAnswerFile": false,
    "SemanticTypeIri": "urn:effortless:pko-extension#TableConformance",
    "Name": "effortless-entity-framework / StepActions",
    "CellsFailed": 0.0,
    "Score": 100.0,
    "IsPerfect": true,
    "ImperfectSubstrateKey": null,
    "ImperfectTableKey": null,
    "DisagreeingFieldCount": 0.0,
    "SubstrateLabel": "C# / Entity Framework",
    "SubjectArea": "specification"
   },
   {
    "TableConformanceId": "effortless-entity-framework|StepFunctions",
    "Run": "run-20260914-223223",
    "Substrate": "effortless-entity-framework",
    "RulebookTable": "StepFunctions",
    "RecordCount": 8,
    "DerivedFieldCount": 1,
    "CellsTested": 8,
    "CellsPassed": 8,
    "IsMissingAnswerFile": false,
    "SemanticTypeIri": "urn:effortless:pko-extension#TableConformance",
    "Name": "effortless-entity-framework / StepFunctions",
    "CellsFailed": 0.0,
    "Score": 100.0,
    "IsPerfect": true,
    "ImperfectSubstrateKey": null,
    "ImperfectTableKey": null,
    "DisagreeingFieldCount": 0.0,
    "SubstrateLabel": "C# / Entity Framework",
    "SubjectArea": "specification"
   },
   {
    "TableConformanceId": "effortless-entity-framework|StepTools",
    "Run": "run-20260914-223223",
    "Substrate": "effortless-entity-framework",
    "RulebookTable": "StepTools",
    "RecordCount": 10,
    "DerivedFieldCount": 1,
    "CellsTested": 10,
    "CellsPassed": 10,
    "IsMissingAnswerFile": false,
    "SemanticTypeIri": "urn:effortless:pko-extension#TableConformance",
    "Name": "effortless-entity-framework / StepTools",
    "CellsFailed": 0.0,
    "Score": 100.0,
    "IsPerfect": true,
    "ImperfectSubstrateKey": null,
    "ImperfectTableKey": null,
    "DisagreeingFieldCount": 0.0,
    "SubstrateLabel": "C# / Entity Framework",
    "SubjectArea": "specification"
   },
   {
    "TableConformanceId": "effortless-entity-framework|Requirements",
    "Run": "run-20260914-223223",
    "Substrate": "effortless-entity-framework",
    "RulebookTable": "Requirements",
    "RecordCount": 13,
    "DerivedFieldCount": 31,
    "CellsTested": 403,
    "CellsPassed": 403,
    "IsMissingAnswerFile": false,
    "SemanticTypeIri": "urn:effortless:pko-extension#TableConformance",
    "Name": "effortless-entity-framework / Requirements",
    "CellsFailed": 0.0,
    "Score": 100.0,
    "IsPerfect": true,
    "ImperfectSubstrateKey": null,
    "ImperfectTableKey": null,
    "DisagreeingFieldCount": 0.0,
    "SubstrateLabel": "C# / Entity Framework",
    "SubjectArea": "governance"
   },
   {
    "TableConformanceId": "effortless-entity-framework|StepRequirements",
    "Run": "run-20260914-223223",
    "Substrate": "effortless-entity-framework",
    "RulebookTable": "StepRequirements",
    "RecordCount": 15,
    "DerivedFieldCount": 10,
    "CellsTested": 150,
    "CellsPassed": 150,
    "IsMissingAnswerFile": false,
    "SemanticTypeIri": "urn:effortless:pko-extension#TableConformance",
    "Name": "effortless-entity-framework / StepRequirements",
    "CellsFailed": 0.0,
    "Score": 100.0,
    "IsPerfect": true,
    "ImperfectSubstrateKey": null,
    "ImperfectTableKey": null,
    "DisagreeingFieldCount": 0.0,
    "SubstrateLabel": "C# / Entity Framework",
    "SubjectArea": "specification"
   },
   {
    "TableConformanceId": "effortless-entity-framework|StepVerifications",
    "Run": "run-20260914-223223",
    "Substrate": "effortless-entity-framework",
    "RulebookTable": "StepVerifications",
    "RecordCount": 11,
    "DerivedFieldCount": 1,
    "CellsTested": 11,
    "CellsPassed": 11,
    "IsMissingAnswerFile": false,
    "SemanticTypeIri": "urn:effortless:pko-extension#TableConformance",
    "Name": "effortless-entity-framework / StepVerifications",
    "CellsFailed": 0.0,
    "Score": 100.0,
    "IsPerfect": true,
    "ImperfectSubstrateKey": null,
    "ImperfectTableKey": null,
    "DisagreeingFieldCount": 0.0,
    "SubstrateLabel": "C# / Entity Framework",
    "SubjectArea": "specification"
   },
   {
    "TableConformanceId": "effortless-entity-framework|Rationales",
    "Run": "run-20260914-223223",
    "Substrate": "effortless-entity-framework",
    "RulebookTable": "Rationales",
    "RecordCount": 4,
    "DerivedFieldCount": 1,
    "CellsTested": 4,
    "CellsPassed": 4,
    "IsMissingAnswerFile": false,
    "SemanticTypeIri": "urn:effortless:pko-extension#TableConformance",
    "Name": "effortless-entity-framework / Rationales",
    "CellsFailed": 0.0,
    "Score": 100.0,
    "IsPerfect": true,
    "ImperfectSubstrateKey": null,
    "ImperfectTableKey": null,
    "DisagreeingFieldCount": 0.0,
    "SubstrateLabel": "C# / Entity Framework",
    "SubjectArea": "governance"
   },
   {
    "TableConformanceId": "effortless-entity-framework|Exceptions",
    "Run": "run-20260914-223223",
    "Substrate": "effortless-entity-framework",
    "RulebookTable": "Exceptions",
    "RecordCount": 4,
    "DerivedFieldCount": 2,
    "CellsTested": 8,
    "CellsPassed": 8,
    "IsMissingAnswerFile": false,
    "SemanticTypeIri": "urn:effortless:pko-extension#TableConformance",
    "Name": "effortless-entity-framework / Exceptions",
    "CellsFailed": 0.0,
    "Score": 100.0,
    "IsPerfect": true,
    "ImperfectSubstrateKey": null,
    "ImperfectTableKey": null,
    "DisagreeingFieldCount": 0.0,
    "SubstrateLabel": "C# / Entity Framework",
    "SubjectArea": "governance"
   },
   {
    "TableConformanceId": "effortless-entity-framework|Resources",
    "Run": "run-20260914-223223",
    "Substrate": "effortless-entity-framework",
    "RulebookTable": "Resources",
    "RecordCount": 8,
    "DerivedFieldCount": 2,
    "CellsTested": 16,
    "CellsPassed": 16,
    "IsMissingAnswerFile": false,
    "SemanticTypeIri": "urn:effortless:pko-extension#TableConformance",
    "Name": "effortless-entity-framework / Resources",
    "CellsFailed": 0.0,
    "Score": 100.0,
    "IsPerfect": true,
    "ImperfectSubstrateKey": null,
    "ImperfectTableKey": null,
    "DisagreeingFieldCount": 0.0,
    "SubstrateLabel": "C# / Entity Framework",
    "SubjectArea": "domain"
   },
   {
    "TableConformanceId": "effortless-entity-framework|ProcedureResources",
    "Run": "run-20260914-223223",
    "Substrate": "effortless-entity-framework",
    "RulebookTable": "ProcedureResources",
    "RecordCount": 8,
    "DerivedFieldCount": 2,
    "CellsTested": 16,
    "CellsPassed": 16,
    "IsMissingAnswerFile": false,
    "SemanticTypeIri": "urn:effortless:pko-extension#TableConformance",
    "Name": "effortless-entity-framework / ProcedureResources",
    "CellsFailed": 0.0,
    "Score": 100.0,
    "IsPerfect": true,
    "ImperfectSubstrateKey": null,
    "ImperfectTableKey": null,
    "DisagreeingFieldCount": 0.0,
    "SubstrateLabel": "C# / Entity Framework",
    "SubjectArea": "specification"
   },
   {
    "TableConformanceId": "effortless-entity-framework|ElicitationSessions",
    "Run": "run-20260914-223223",
    "Substrate": "effortless-entity-framework",
    "RulebookTable": "ElicitationSessions",
    "RecordCount": 3,
    "DerivedFieldCount": 10,
    "CellsTested": 30,
    "CellsPassed": 30,
    "IsMissingAnswerFile": false,
    "SemanticTypeIri": "urn:effortless:pko-extension#TableConformance",
    "Name": "effortless-entity-framework / ElicitationSessions",
    "CellsFailed": 0.0,
    "Score": 100.0,
    "IsPerfect": true,
    "ImperfectSubstrateKey": null,
    "ImperfectTableKey": null,
    "DisagreeingFieldCount": 0.0,
    "SubstrateLabel": "C# / Entity Framework",
    "SubjectArea": "knowledge"
   },
   {
    "TableConformanceId": "effortless-entity-framework|KnowledgeFragments",
    "Run": "run-20260914-223223",
    "Substrate": "effortless-entity-framework",
    "RulebookTable": "KnowledgeFragments",
    "RecordCount": 7,
    "DerivedFieldCount": 65,
    "CellsTested": 455,
    "CellsPassed": 455,
    "IsMissingAnswerFile": false,
    "SemanticTypeIri": "urn:effortless:pko-extension#TableConformance",
    "Name": "effortless-entity-framework / KnowledgeFragments",
    "CellsFailed": 0.0,
    "Score": 100.0,
    "IsPerfect": true,
    "ImperfectSubstrateKey": null,
    "ImperfectTableKey": null,
    "DisagreeingFieldCount": 0.0,
    "SubstrateLabel": "C# / Entity Framework",
    "SubjectArea": "knowledge"
   },
   {
    "TableConformanceId": "effortless-entity-framework|KnowledgeGaps",
    "Run": "run-20260914-223223",
    "Substrate": "effortless-entity-framework",
    "RulebookTable": "KnowledgeGaps",
    "RecordCount": 8,
    "DerivedFieldCount": 16,
    "CellsTested": 128,
    "CellsPassed": 128,
    "IsMissingAnswerFile": false,
    "SemanticTypeIri": "urn:effortless:pko-extension#TableConformance",
    "Name": "effortless-entity-framework / KnowledgeGaps",
    "CellsFailed": 0.0,
    "Score": 100.0,
    "IsPerfect": true,
    "ImperfectSubstrateKey": null,
    "ImperfectTableKey": null,
    "DisagreeingFieldCount": 0.0,
    "SubstrateLabel": "C# / Entity Framework",
    "SubjectArea": "knowledge"
   },
   {
    "TableConformanceId": "effortless-entity-framework|FAQs",
    "Run": "run-20260914-223223",
    "Substrate": "effortless-entity-framework",
    "RulebookTable": "FAQs",
    "RecordCount": 3,
    "DerivedFieldCount": 1,
    "CellsTested": 3,
    "CellsPassed": 3,
    "IsMissingAnswerFile": false,
    "SemanticTypeIri": "urn:effortless:pko-extension#TableConformance",
    "Name": "effortless-entity-framework / FAQs",
    "CellsFailed": 0.0,
    "Score": 100.0,
    "IsPerfect": true,
    "ImperfectSubstrateKey": null,
    "ImperfectTableKey": null,
    "DisagreeingFieldCount": 0.0,
    "SubstrateLabel": "C# / Entity Framework",
    "SubjectArea": "knowledge"
   },
   {
    "TableConformanceId": "effortless-entity-framework|Explanations",
    "Run": "run-20260914-223223",
    "Substrate": "effortless-entity-framework",
    "RulebookTable": "Explanations",
    "RecordCount": 2,
    "DerivedFieldCount": 1,
    "CellsTested": 2,
    "CellsPassed": 2,
    "IsMissingAnswerFile": false,
    "SemanticTypeIri": "urn:effortless:pko-extension#TableConformance",
    "Name": "effortless-entity-framework / Explanations",
    "CellsFailed": 0.0,
    "Score": 100.0,
    "IsPerfect": true,
    "ImperfectSubstrateKey": null,
    "ImperfectTableKey": null,
    "DisagreeingFieldCount": 0.0,
    "SubstrateLabel": "C# / Entity Framework",
    "SubjectArea": "knowledge"
   },
   {
    "TableConformanceId": "effortless-entity-framework|ProcedureExecutions",
    "Run": "run-20260914-223223",
    "Substrate": "effortless-entity-framework",
    "RulebookTable": "ProcedureExecutions",
    "RecordCount": 2,
    "DerivedFieldCount": 69,
    "CellsTested": 138,
    "CellsPassed": 138,
    "IsMissingAnswerFile": false,
    "SemanticTypeIri": "urn:effortless:pko-extension#TableConformance",
    "Name": "effortless-entity-framework / ProcedureExecutions",
    "CellsFailed": 0.0,
    "Score": 100.0,
    "IsPerfect": true,
    "ImperfectSubstrateKey": null,
    "ImperfectTableKey": null,
    "DisagreeingFieldCount": 0.0,
    "SubstrateLabel": "C# / Entity Framework",
    "SubjectArea": "specification"
   },
   {
    "TableConformanceId": "effortless-entity-framework|StepExecutions",
    "Run": "run-20260914-223223",
    "Substrate": "effortless-entity-framework",
    "RulebookTable": "StepExecutions",
    "RecordCount": 12,
    "DerivedFieldCount": 99,
    "CellsTested": 1188,
    "CellsPassed": 1188,
    "IsMissingAnswerFile": false,
    "SemanticTypeIri": "urn:effortless:pko-extension#TableConformance",
    "Name": "effortless-entity-framework / StepExecutions",
    "CellsFailed": 0.0,
    "Score": 100.0,
    "IsPerfect": true,
    "ImperfectSubstrateKey": null,
    "ImperfectTableKey": null,
    "DisagreeingFieldCount": 0.0,
    "SubstrateLabel": "C# / Entity Framework",
    "SubjectArea": "specification"
   },
   {
    "TableConformanceId": "effortless-entity-framework|RequirementSatisfactions",
    "Run": "run-20260914-223223",
    "Substrate": "effortless-entity-framework",
    "RulebookTable": "RequirementSatisfactions",
    "RecordCount": 8,
    "DerivedFieldCount": 38,
    "CellsTested": 304,
    "CellsPassed": 304,
    "IsMissingAnswerFile": false,
    "SemanticTypeIri": "urn:effortless:pko-extension#TableConformance",
    "Name": "effortless-entity-framework / RequirementSatisfactions",
    "CellsFailed": 0.0,
    "Score": 100.0,
    "IsPerfect": true,
    "ImperfectSubstrateKey": null,
    "ImperfectTableKey": null,
    "DisagreeingFieldCount": 0.0,
    "SubstrateLabel": "C# / Entity Framework",
    "SubjectArea": "execution"
   },
   {
    "TableConformanceId": "effortless-entity-framework|Errors",
    "Run": "run-20260914-223223",
    "Substrate": "effortless-entity-framework",
    "RulebookTable": "Errors",
    "RecordCount": 2,
    "DerivedFieldCount": 1,
    "CellsTested": 2,
    "CellsPassed": 2,
    "IsMissingAnswerFile": false,
    "SemanticTypeIri": "urn:effortless:pko-extension#TableConformance",
    "Name": "effortless-entity-framework / Errors",
    "CellsFailed": 0.0,
    "Score": 100.0,
    "IsPerfect": true,
    "ImperfectSubstrateKey": null,
    "ImperfectTableKey": null,
    "DisagreeingFieldCount": 0.0,
    "SubstrateLabel": "C# / Entity Framework",
    "SubjectArea": "execution"
   },
   {
    "TableConformanceId": "effortless-entity-framework|IssueOccurrences",
    "Run": "run-20260914-223223",
    "Substrate": "effortless-entity-framework",
    "RulebookTable": "IssueOccurrences",
    "RecordCount": 2,
    "DerivedFieldCount": 3,
    "CellsTested": 6,
    "CellsPassed": 6,
    "IsMissingAnswerFile": false,
    "SemanticTypeIri": "urn:effortless:pko-extension#TableConformance",
    "Name": "effortless-entity-framework / IssueOccurrences",
    "CellsFailed": 0.0,
    "Score": 100.0,
    "IsPerfect": true,
    "ImperfectSubstrateKey": null,
    "ImperfectTableKey": null,
    "DisagreeingFieldCount": 0.0,
    "SubstrateLabel": "C# / Entity Framework",
    "SubjectArea": "execution"
   },
   {
    "TableConformanceId": "effortless-entity-framework|UserQuestions",
    "Run": "run-20260914-223223",
    "Substrate": "effortless-entity-framework",
    "RulebookTable": "UserQuestions",
    "RecordCount": 2,
    "DerivedFieldCount": 1,
    "CellsTested": 2,
    "CellsPassed": 2,
    "IsMissingAnswerFile": false,
    "SemanticTypeIri": "urn:effortless:pko-extension#TableConformance",
    "Name": "effortless-entity-framework / UserQuestions",
    "CellsFailed": 0.0,
    "Score": 100.0,
    "IsPerfec</t>
  </si>
  <si>
    <t xml:space="preserve">t": true,
    "ImperfectSubstrateKey": null,
    "ImperfectTableKey": null,
    "DisagreeingFieldCount": 0.0,
    "SubstrateLabel": "C# / Entity Framework",
    "SubjectArea": "domain"
   },
   {
    "TableConformanceId": "effortless-entity-framework|UserFeedback",
    "Run": "run-20260914-223223",
    "Substrate": "effortless-entity-framework",
    "RulebookTable": "UserFeedback",
    "RecordCount": 2,
    "DerivedFieldCount": 1,
    "CellsTested": 2,
    "CellsPassed": 2,
    "IsMissingAnswerFile": false,
    "SemanticTypeIri": "urn:effortless:pko-extension#TableConformance",
    "Name": "effortless-entity-framework / UserFeedback",
    "CellsFailed": 0.0,
    "Score": 100.0,
    "IsPerfect": true,
    "ImperfectSubstrateKey": null,
    "ImperfectTableKey": null,
    "DisagreeingFieldCount": 0.0,
    "SubstrateLabel": "C# / Entity Framework",
    "SubjectArea": "domain"
   },
   {
    "TableConformanceId": "effortless-entity-framework|StewardshipAssignments",
    "Run": "run-20260914-223223",
    "Substrate": "effortless-entity-framework",
    "RulebookTable": "StewardshipAssignments",
    "RecordCount": 2,
    "DerivedFieldCount": 5,
    "CellsTested": 10,
    "CellsPassed": 10,
    "IsMissingAnswerFile": false,
    "SemanticTypeIri": "urn:effortless:pko-extension#TableConformance",
    "Name": "effortless-entity-framework / StewardshipAssignments",
    "CellsFailed": 0.0,
    "Score": 100.0,
    "IsPerfect": true,
    "ImperfectSubstrateKey": null,
    "ImperfectTableKey": null,
    "DisagreeingFieldCount": 0.0,
    "SubstrateLabel": "C# / Entity Framework",
    "SubjectArea": "org"
   },
   {
    "TableConformanceId": "effortless-entity-framework|ChangeRequests",
    "Run": "run-20260914-223223",
    "Substrate": "effortless-entity-framework",
    "RulebookTable": "ChangeRequests",
    "RecordCount": 2,
    "DerivedFieldCount": 32,
    "CellsTested": 64,
    "CellsPassed": 64,
    "IsMissingAnswerFile": false,
    "SemanticTypeIri": "urn:effortless:pko-extension#TableConformance",
    "Name": "effortless-entity-framework / ChangeRequests",
    "CellsFailed": 0.0,
    "Score": 100.0,
    "IsPerfect": true,
    "ImperfectSubstrateKey": null,
    "ImperfectTableKey": null,
    "DisagreeingFieldCount": 0.0,
    "SubstrateLabel": "C# / Entity Framework",
    "SubjectArea": "domain"
   },
   {
    "TableConformanceId": "effortless-entity-framework|ReviewEvents",
    "Run": "run-20260914-223223",
    "Substrate": "effortless-entity-framework",
    "RulebookTable": "ReviewEvents",
    "RecordCount": 3,
    "DerivedFieldCount": 10,
    "CellsTested": 30,
    "CellsPassed": 30,
    "IsMissingAnswerFile": false,
    "SemanticTypeIri": "urn:effortless:pko-extension#TableConformance",
    "Name": "effortless-entity-framework / ReviewEvents",
    "CellsFailed": 0.0,
    "Score": 100.0,
    "IsPerfect": true,
    "ImperfectSubstrateKey": null,
    "ImperfectTableKey": null,
    "DisagreeingFieldCount": 0.0,
    "SubstrateLabel": "C# / Entity Framework",
    "SubjectArea": "domain"
   },
   {
    "TableConformanceId": "effortless-entity-framework|LearningActivities",
    "Run": "run-20260914-223223",
    "Substrate": "effortless-entity-framework",
    "RulebookTable": "LearningActivities",
    "RecordCount": 2,
    "DerivedFieldCount": 1,
    "CellsTested": 2,
    "CellsPassed": 2,
    "IsMissingAnswerFile": false,
    "SemanticTypeIri": "urn:effortless:pko-extension#TableConformance",
    "Name": "effortless-entity-framework / LearningActivities",
    "CellsFailed": 0.0,
    "Score": 100.0,
    "IsPerfect": true,
    "ImperfectSubstrateKey": null,
    "ImperfectTableKey": null,
    "DisagreeingFieldCount": 0.0,
    "SubstrateLabel": "C# / Entity Framework",
    "SubjectArea": "domain"
   },
   {
    "TableConformanceId": "effortless-entity-framework|OperationalBindings",
    "Run": "run-20260914-223223",
    "Substrate": "effortless-entity-framework",
    "RulebookTable": "OperationalBindings",
    "RecordCount": 5,
    "DerivedFieldCount": 11,
    "CellsTested": 55,
    "CellsPassed": 55,
    "IsMissingAnswerFile": false,
    "SemanticTypeIri": "urn:effortless:pko-extension#TableConformance",
    "Name": "effortless-entity-framework / OperationalBindings",
    "CellsFailed": 0.0,
    "Score": 100.0,
    "IsPerfect": true,
    "ImperfectSubstrateKey": null,
    "ImperfectTableKey": null,
    "DisagreeingFieldCount": 0.0,
    "SubstrateLabel": "C# / Entity Framework",
    "SubjectArea": "domain"
   },
   {
    "TableConformanceId": "effortless-entity-framework|CommunicationPolicies",
    "Run": "run-20260914-223223",
    "Substrate": "effortless-entity-framework",
    "RulebookTable": "CommunicationPolicies",
    "RecordCount": 2,
    "DerivedFieldCount": 4,
    "CellsTested": 8,
    "CellsPassed": 8,
    "IsMissingAnswerFile": false,
    "SemanticTypeIri": "urn:effortless:pko-extension#TableConformance",
    "Name": "effortless-entity-framework / CommunicationPolicies",
    "CellsFailed": 0.0,
    "Score": 100.0,
    "IsPerfect": true,
    "ImperfectSubstrateKey": null,
    "ImperfectTableKey": null,
    "DisagreeingFieldCount": 0.0,
    "SubstrateLabel": "C# / Entity Framework",
    "SubjectArea": "communication"
   },
   {
    "TableConformanceId": "effortless-entity-framework|MessageTemplates",
    "Run": "run-20260914-223223",
    "Substrate": "effortless-entity-framework",
    "RulebookTable": "MessageTemplates",
    "RecordCount": 2,
    "DerivedFieldCount": 16,
    "CellsTested": 32,
    "CellsPassed": 32,
    "IsMissingAnswerFile": false,
    "SemanticTypeIri": "urn:effortless:pko-extension#TableConformance",
    "Name": "effortless-entity-framework / MessageTemplates",
    "CellsFailed": 0.0,
    "Score": 100.0,
    "IsPerfect": true,
    "ImperfectSubstrateKey": null,
    "ImperfectTableKey": null,
    "DisagreeingFieldCount": 0.0,
    "SubstrateLabel": "C# / Entity Framework",
    "SubjectArea": "communication"
   },
   {
    "TableConformanceId": "effortless-entity-framework|SemanticMappings",
    "Run": "run-20260914-223223",
    "Substrate": "effortless-entity-framework",
    "RulebookTable": "SemanticMappings",
    "RecordCount": 47,
    "DerivedFieldCount": 1,
    "CellsTested": 47,
    "CellsPassed": 47,
    "IsMissingAnswerFile": false,
    "SemanticTypeIri": "urn:effortless:pko-extension#TableConformance",
    "Name": "effortless-entity-framework / SemanticMappings",
    "CellsFailed": 0.0,
    "Score": 100.0,
    "IsPerfect": true,
    "ImperfectSubstrateKey": null,
    "ImperfectTableKey": null,
    "DisagreeingFieldCount": 0.0,
    "SubstrateLabel": "C# / Entity Framework",
    "SubjectArea": "meta"
   },
   {
    "TableConformanceId": "effortless-entity-framework|WitnessLoops",
    "Run": "run-20260914-223223",
    "Substrate": "effortless-entity-framework",
    "RulebookTable": "WitnessLoops",
    "RecordCount": 4,
    "DerivedFieldCount": 3,
    "CellsTested": 12,
    "CellsPassed": 12,
    "IsMissingAnswerFile": false,
    "SemanticTypeIri": "urn:effortless:pko-extension#TableConformance",
    "Name": "effortless-entity-framework / WitnessLoops",
    "CellsFailed": 0.0,
    "Score": 100.0,
    "IsPerfect": true,
    "ImperfectSubstrateKey": null,
    "ImperfectTableKey": null,
    "DisagreeingFieldCount": 0.0,
    "SubstrateLabel": "C# / Entity Framework",
    "SubjectArea": "meta"
   },
   {
    "TableConformanceId": "effortless-entity-framework|RoleQuestions",
    "Run": "run-20260914-223223",
    "Substrate": "effortless-entity-framework",
    "RulebookTable": "RoleQuestions",
    "RecordCount": 111,
    "DerivedFieldCount": 3,
    "CellsTested": 333,
    "CellsPassed": 333,
    "IsMissingAnswerFile": false,
    "SemanticTypeIri": "urn:effortless:pko-extension#TableConformance",
    "Name": "effortless-entity-framework / RoleQuestions",
    "CellsFailed": 0.0,
    "Score": 100.0,
    "IsPerfect": true,
    "ImperfectSubstrateKey": null,
    "ImperfectTableKey": null,
    "DisagreeingFieldCount": 0.0,
    "SubstrateLabel": "C# / Entity Framework",
    "SubjectArea": "org"
   },
   {
    "TableConformanceId": "effortless-entity-framework|RulebookFields",
    "Run": "run-20260914-223223",
    "Substrate": "effortless-entity-framework",
    "RulebookTable": "RulebookFields",
    "RecordCount": 1897,
    "DerivedFieldCount": 5,
    "CellsTested": 9485,
    "CellsPassed": 9485,
    "IsMissingAnswerFile": false,
    "SemanticTypeIri": "urn:effortless:pko-extension#TableConformance",
    "Name": "effortless-entity-framework / RulebookFields",
    "CellsFailed": 0.0,
    "Score": 100.0,
    "IsPerfect": true,
    "ImperfectSubstrateKey": null,
    "ImperfectTableKey": null,
    "DisagreeingFieldCount": 0.0,
    "SubstrateLabel": "C# / Entity Framework",
    "SubjectArea": "access-control"
   },
   {
    "TableConformanceId": "effortless-entity-framework|TestSuites",
    "Run": "run-20260914-223223",
    "Substrate": "effortless-entity-framework",
    "RulebookTable": "TestSuites",
    "RecordCount": 6,
    "DerivedFieldCount": 5,
    "CellsTested": 30,
    "CellsPassed": 30,
    "IsMissingAnswerFile": false,
    "SemanticTypeIri": "urn:effortless:pko-extension#TableConformance",
    "Name": "effortless-entity-framework / TestSuites",
    "CellsFailed": 0.0,
    "Score": 100.0,
    "IsPerfect": true,
    "ImperfectSubstrateKey": null,
    "ImperfectTableKey": null,
    "DisagreeingFieldCount": 0.0,
    "SubstrateLabel": "C# / Entity Framework",
    "SubjectArea": "meta"
   },
   {
    "TableConformanceId": "effortless-entity-framework|TestCases",
    "Run": "run-20260914-223223",
    "Substrate": "effortless-entity-framework",
    "RulebookTable": "TestCases",
    "RecordCount": 1794,
    "DerivedFieldCount": 7,
    "CellsTested": 12558,
    "CellsPassed": 12558,
    "IsMissingAnswerFile": false,
    "SemanticTypeIri": "urn:effortless:pko-extension#TableConformance",
    "Name": "effortless-entity-framework / TestCases",
    "CellsFailed": 0.0,
    "Score": 100.0,
    "IsPerfect": true,
    "ImperfectSubstrateKey": null,
    "ImperfectTableKey": null,
    "DisagreeingFieldCount": 0.0,
    "SubstrateLabel": "C# / Entity Framework",
    "SubjectArea": "meta"
   },
   {
    "TableConformanceId": "effortless-entity-framework|ExceptionInvocations",
    "Run": "run-20260914-223223",
    "Substrate": "effortless-entity-framework",
    "RulebookTable": "ExceptionInvocations",
    "RecordCount": 1,
    "DerivedFieldCount": 13,
    "CellsTested": 13,
    "CellsPassed": 13,
    "IsMissingAnswerFile": false,
    "SemanticTypeIri": "urn:effortless:pko-extension#TableConformance",
    "Name": "effortless-entity-framework / ExceptionInvocations",
    "CellsFailed": 0.0,
    "Score": 100.0,
    "IsPerfect": true,
    "ImperfectSubstrateKey": null,
    "ImperfectTableKey": null,
    "DisagreeingFieldCount": 0.0,
    "SubstrateLabel": "C# / Entity Framework",
    "SubjectArea": "governance"
   },
   {
    "TableConformanceId": "effortless-entity-framework|VerificationOutcomes",
    "Run": "run-20260914-223223",
    "Substrate": "effortless-entity-framework",
    "RulebookTable": "VerificationOutcomes",
    "RecordCount": 4,
    "DerivedFieldCount": 18,
    "CellsTested": 72,
    "CellsPassed": 72,
    "IsMissingAnswerFile": false,
    "SemanticTypeIri": "urn:effortless:pko-extension#TableConformance",
    "Name": "effortless-entity-framework / VerificationOutcomes",
    "CellsFailed": 0.0,
    "Score": 100.0,
    "IsPerfect": true,
    "ImperfectSubstrateKey": null,
    "ImperfectTableKey": null,
    "DisagreeingFieldCount": 0.0,
    "SubstrateLabel": "C# / Entity Framework",
    "SubjectArea": "execution"
   },
   {
    "TableConformanceId": "effortless-entity-framework|ObservedTransitions",
    "Run": "run-20260914-223223",
    "Substrate": "effortless-entity-framework",
    "RulebookTable": "ObservedTransitions",
    "RecordCount": 10,
    "DerivedFieldCount": 1,
    "CellsTested": 10,
    "CellsPassed": 10,
    "IsMissingAnswerFile": false,
    "SemanticTypeIri": "urn:effortless:pko-extension#TableConformance",
    "Name": "effortless-entity-framework / ObservedTransitions",
    "CellsFailed": 0.0,
    "Score": 100.0,
    "IsPerfect": true,
    "ImperfectSubstrateKey": null,
    "ImperfectTableKey": null,
    "DisagreeingFieldCount": 0.0,
    "SubstrateLabel": "C# / Entity Framework",
    "SubjectArea": "specification"
   },
   {
    "TableConformanceId": "effortless-entity-framework|Recipients",
    "Run": "run-20260914-223223",
    "Substrate": "effortless-entity-framework",
    "RulebookTable": "Recipients",
    "RecordCount": 5,
    "DerivedFieldCount": 6,
    "CellsTested": 30,
    "CellsPassed": 30,
    "IsMissingAnswerFile": false,
    "SemanticTypeIri": "urn:effortless:pko-extension#TableConformance",
    "Name": "effortless-entity-framework / Recipients",
    "CellsFailed": 0.0,
    "Score": 100.0,
    "IsPerfect": true,
    "ImperfectSubstrateKey": null,
    "ImperfectTableKey": null,
    "DisagreeingFieldCount": 0.0,
    "SubstrateLabel": "C# / Entity Framework",
    "SubjectArea": "communication"
   },
   {
    "TableConformanceId": "effortless-entity-framework|MessageDeliveries",
    "Run": "run-20260914-223223",
    "Substrate": "effortless-entity-framework",
    "RulebookTable": "MessageDeliveries",
    "RecordCount": 6,
    "DerivedFieldCount": 74,
    "CellsTested": 444,
    "CellsPassed": 444,
    "IsMissingAnswerFile": false,
    "SemanticTypeIri": "urn:effortless:pko-extension#TableConformance",
    "Name": "effortless-entity-framework / MessageDeliveries",
    "CellsFailed": 0.0,
    "Score": 100.0,
    "IsPerfect": true,
    "ImperfectSubstrateKey": null,
    "ImperfectTableKey": null,
    "DisagreeingFieldCount": 0.0,
    "SubstrateLabel": "C# / Entity Framework",
    "SubjectArea": "communication"
   },
   {
    "TableConformanceId": "effortless-entity-framework|TemplateApprovals",
    "Run": "run-20260914-223223",
    "Substrate": "effortless-entity-framework",
    "RulebookTable": "TemplateApprovals",
    "RecordCount": 2,
    "DerivedFieldCount": 6,
    "CellsTested": 12,
    "CellsPassed": 12,
    "IsMissingAnswerFile": false,
    "SemanticTypeIri": "urn:effortless:pko-extension#TableConformance",
    "Name": "effortless-entity-framework / TemplateApprovals",
    "CellsFailed": 0.0,
    "Score": 100.0,
    "IsPerfect": true,
    "ImperfectSubstrateKey": null,
    "ImperfectTableKey": null,
    "DisagreeingFieldCount": 0.0,
    "SubstrateLabel": "C# / Entity Framework",
    "SubjectArea": "communication"
   },
   {
    "TableConformanceId": "effortless-entity-framework|SendIntents",
    "Run": "run-20260914-223223",
    "Substrate": "effortless-entity-framework",
    "RulebookTable": "SendIntents",
    "RecordCount": 7,
    "DerivedFieldCount": 79,
    "CellsTested": 553,
    "CellsPassed": 553,
    "IsMissingAnswerFile": false,
    "SemanticTypeIri": "urn:effortless:pko-extension#TableConformance",
    "Name": "effortless-entity-framework / SendIntents",
    "CellsFailed": 0.0,
    "Score": 100.0,
    "IsPerfect": true,
    "ImperfectSubstrateKey": null,
    "ImperfectTableKey": null,
    "DisagreeingFieldCount": 0.0,
    "SubstrateLabel": "C# / Entity Framework",
    "SubjectArea": "communication"
   },
   {
    "TableConformanceId": "effortless-entity-framework|AgentDecisionRecords",
    "Run": "run-20260914-223223",
    "Substrate": "effortless-entity-framework",
    "RulebookTable": "AgentDecisionRecords",
    "RecordCount": 3,
    "DerivedFieldCount": 27,
    "CellsTested": 81,
    "CellsPassed": 81,
    "IsMissingAnswerFile": false,
    "SemanticTypeIri": "urn:effortless:pko-extension#TableConformance",
    "Name": "effortless-entity-framework / AgentDecisionRecords",
    "CellsFailed": 0.0,
    "Score": 100.0,
    "IsPerfect": true,
    "ImperfectSubstrateKey": null,
    "ImperfectTableKey": null,
    "DisagreeingFieldCount": 0.0,
    "SubstrateLabel": "C# / Entity Framework",
    "SubjectArea": "org"
   },
   {
    "TableConformanceId": "effortless-entity-framework|DeliveredCommunications",
    "Run": "run-20260914-223223",
    "Substrate": "effortless-entity-framework",
    "RulebookTable": "DeliveredCommunications",
    "RecordCount": 1,
    "DerivedFieldCount": 6,
    "CellsTested": 6,
    "CellsPassed": 6,
    "IsMissingAnswerFile": false,
    "SemanticTypeIri": "urn:effortless:pko-extension#TableConformance",
    "Name": "effortless-entity-framework / DeliveredCommunications",
    "CellsFailed": 0.0,
    "Score": 100.0,
    "IsPerfect": true,
    "ImperfectSubstrateKey": null,
    "ImperfectTableKey": null,
    "DisagreeingFieldCount": 0.0,
    "SubstrateLabel": "C# / Entity Framework",
    "SubjectArea": "communication"
   },
   {
    "TableConformanceId": "effortless-entity-framework|AuthorityBoundaries",
    "Run": "run-20260914-223223",
    "Substrate": "effortless-entity-framework",
    "RulebookTable": "AuthorityBoundaries",
    "RecordCount": 3,
    "DerivedFieldCount": 21,
    "CellsTested": 63,
    "CellsPassed": 63,
    "IsMissingAnswerFile": false,
    "SemanticTypeIri": "urn:effortless:pko-extension#TableConformance",
    "Name": "effortless-entity-framework / AuthorityBoundaries",
    "CellsFailed": 0.0,
    "Score": 100.0,
    "IsPerfect": true,
    "ImperfectSubstrateKey": null,
    "ImperfectTableKey": null,
    "DisagreeingFieldCount": 0.0,
    "SubstrateLabel": "C# / Entity Framework",
    "SubjectArea": "governance"
   },
   {
    "TableConformanceId": "effortless-entity-framework|AppRoleProfiles",
    "Run": "run-20260914-223223",
    "Substrate": "effortless-entity-framework",
    "RulebookTable": "AppRoleProfiles",
    "RecordCount": 12,
    "DerivedFieldCount": 2,
    "CellsTested": 24,
    "CellsPassed": 24,
    "IsMissingAnswerFile": false,
    "SemanticTypeIri": "urn:effortless:pko-extension#TableConformance",
    "Name": "effortless-entity-framework / AppRoleProfiles",
    "CellsFailed": 0.0,
    "Score": 100.0,
    "IsPerfect": true,
    "ImperfectSubstrateKey": null,
    "ImperfectTableKey": null,
    "DisagreeingFieldCount": 0.0,
    "SubstrateLabel": "C# / Entity Framework",
    "SubjectArea": "org"
   },
   {
    "TableConformanceId": "effortless-entity-framework|AppNavGroups",
    "Run": "run-20260914-223223",
    "Substrate": "effortless-entity-framework",
    "RulebookTable": "AppNavGroups",
    "RecordCount": 23,
    "DerivedFieldCount": 2,
    "CellsTested": 46,
    "CellsPassed": 46,
    "IsMissingAnswerFile": false,
    "SemanticTypeIri": "urn:effortless:pko-extension#TableConformance",
    "Name": "effortless-entity-framework / AppNavGroups",
    "CellsFailed": 0.0,
    "Score": 100.0,
    "IsPerfect": true,
    "ImperfectSubstrateKey": null,
    "ImperfectTableKey": null,
    "DisagreeingFieldCount": 0.0,
    "SubstrateLabel": "C# / Entity Framework",
    "SubjectArea": "application"
   },
   {
    "TableConformanceId": "effortless-entity-framework|AppRoutes",
    "Run": "run-20260914-223223",
    "Substrate": "effortless-entity-framework",
    "RulebookTable": "AppRoutes",
    "RecordCount": 149,
    "DerivedFieldCount": 7,
    "CellsTested": 1043,
    "CellsPassed": 1043,
    "IsMissingAnswerFile": false,
    "SemanticTypeIri": "urn:effortless:pko-extension#TableConformance",
    "Name": "effortless-entity-framework / AppRoutes",
    "CellsFailed": 0.0,
    "Score": 100.0,
    "IsPerfect": true,
    "ImperfectSubstrateKey": null,
    "ImperfectTableKey": null,
    "DisagreeingFieldCount": 0.0,
    "SubstrateLabel": "C# / Entity Framework",
    "SubjectArea": "application"
   },
   {
    "TableConformanceId": "effortless-entity-framework|AppRouteQuestions",
    "Run": "run-20260914-223223",
    "Substrate": "effortless-entity-framework",
    "RulebookTable": "AppRouteQuestions",
    "RecordCount": 151,
    "DerivedFieldCount": 1,
    "CellsTested": 151,
    "CellsPassed": 151,
    "IsMissingAnswerFile": false,
    "SemanticTypeIri": "urn:effortless:pko-extension#TableConformance",
    "Name": "effortless-entity-framework / AppRouteQuestions",
    "CellsFailed": 0.0,
    "Score": 100.0,
    "IsPerfect": true,
    "ImperfectSubstrateKey": null,
    "ImperfectTableKey": null,
    "DisagreeingFieldCount": 0.0,
    "SubstrateLabel": "C# / Entity Framework",
    "SubjectArea": "application"
   },
   {
    "TableConformanceId": "effortless-entity-framework|AppRouteReferences",
    "Run": "run-20260914-223223",
    "Substrate": "effortless-entity-framework",
    "RulebookTable": "AppRouteReferences",
    "RecordCount": 315,
    "DerivedFieldCount": 1,
    "CellsTested": 315,
    "CellsPassed": 315,
    "IsMissingAnswerFile": false,
    "SemanticTypeIri": "urn:effortless:pko-extension#TableConformance",
    "Name": "effortless-entity-framework / AppRouteReferences",
    "CellsFailed": 0.0,
    "Score": 100.0,
    "IsPerfect": true,
    "ImperfectSubstrateKey": null,
    "ImperfectTableKey": null,
    "DisagreeingFieldCount": 0.0,
    "SubstrateLabel": "C# / Entity Framework",
    "SubjectArea": "application"
   },
   {
    "TableConformanceId": "effortless-entity-framework|RulebookTables",
    "Run": "run-20260914-223223",
    "Substrate": "effortless-entity-framework",
    "RulebookTable": "RulebookTables",
    "RecordCount": 92,
    "DerivedFieldCount": 5,
    "CellsTested": 460,
    "CellsPassed": 460,
    "IsMissingAnswerFile": false,
    "SemanticTypeIri": "urn:effortless:pko-extension#TableConformance",
    "Name": "effortless-entity-framework / RulebookTables",
    "CellsFailed": 0.0,
    "Score": 100.0,
    "IsPerfect": true,
    "ImperfectSubstrateKey": null,
    "ImperfectTableKey": null,
    "DisagreeingFieldCount": 0.0,
    "SubstrateLabel": "C# / Entity Framework",
    "SubjectArea": "meta"
   },
   {
    "TableConformanceId": "effortless-entity-framework|AccessPrincipals",
    "Run": "run-20260914-223223",
    "Substrate": "effortless-entity-framework",
    "RulebookTable": "AccessPrincipals",
    "RecordCount": 12,
    "DerivedFieldCount": 8,
    "CellsTested": 96,
    "CellsPassed": 96,
    "IsMissingAnswerFile": false,
    "SemanticTypeIri": "urn:effortless:pko-extension#TableConformance",
    "Name": "effortless-entity-framework / AccessPrincipals",
    "CellsFailed": 0.0,
    "Score": 100.0,
    "IsPerfect": true,
    "ImperfectSubstrateKey": null,
    "ImperfectTableKey": null,
    "DisagreeingFieldCount": 0.0,
    "SubstrateLabel": "C# / Entity Framework",
    "SubjectArea": "access-control"
   },
   {
    "TableConformanceId": "effortless-entity-framework|AccessPolicies",
    "Run": "run-20260914-223223",
    "Substrate": "effortless-entity-framework",
    "RulebookTable": "AccessPolicies",
    "RecordCount": 202,
    "DerivedFieldCount": 7,
    "CellsTested": 1414,
    "CellsPassed": 1414,
    "IsMissingAnswerFile": false,
    "SemanticTypeIri": "urn:effortless:pko-extension#TableConformance",
    "Name": "effortless-entity-framework / AccessPolicies",
    "CellsFailed": 0.0,
    "Score": 100.0,
    "IsPerfect": true,
    "ImperfectSubstrateKey": null,
    "ImperfectTableKey": null,
    "DisagreeingFieldCount": 0.0,
    "SubstrateLabel": "C# / Entity Framework",
    "SubjectArea": "access-control"
   },
   {
    "TableConformanceId": "effortless-entity-framework|FieldGrants",
    "Run": "run-20260914-223223",
    "Substrate": "effortless-entity-framework",
    "RulebookTable": "FieldGrants",
    "RecordCount": 3639,
    "DerivedFieldCount": 7,
    "CellsTested": 25473,
    "CellsPassed": 25473,
    "IsMissingAnswerFile": false,
    "SemanticTypeIri": "urn:effortless:pko-extension#TableConformance",
    "Name": "effortless-entity-framework / FieldGrants",
    "CellsFailed": 0.0,
    "Score": 100.0,
    "IsPerfect": true,
    "ImperfectSubstrateKey": null,
    "ImperfectTableKey": null,
    "DisagreeingFieldCount": 0.0,
    "SubstrateLabel": "C# / Entity Framework",
    "SubjectArea": "access-control"
   },
   {
    "TableConformanceId": "effortless-entity-framework|RoleSchemas",
    "Run": "run-20260914-223223",
    "Substrate": "effortless-entity-framework",
    "RulebookTable": "RoleSchemas",
    "RecordCount": 12,
    "DerivedFieldCount": 4,
    "CellsTested": 48,
    "CellsPassed": 48,
    "IsMissingAnswerFile": false,
    "SemanticTypeIri": "urn:effortless:pko-extension#TableConformance",
    "Name": "effortless-entity-framework / RoleSchemas",
    "CellsFailed": 0.0,
    "Score": 100.0,
    "IsPerfect": true,
    "ImperfectSubstrateKey": null,
    "ImperfectTableKey": null,
    "DisagreeingFieldCount": 0.0,
    "SubstrateLabel": "C# / Entity Framework",
    "SubjectArea": "org"
   },
   {
    "TableConformanceId": "effortless-entity-framework|RoleSchemaViews",
    "Run": "run-20260914-223223",
    "Substrate": "effortless-entity-framework",
    "RulebookTable": "RoleSchemaViews",
    "RecordCount": 202,
    "DerivedFieldCount": 8,
    "CellsTested": 1616,
    "CellsPassed": 1616,
    "IsMissingAnswerFile": false,
    "SemanticTypeIri": "urn:effortless:pko-extension#TableConformance",
    "Name": "effortless-entity-framework / RoleSchemaViews",
    "CellsFailed": 0.0,
    "Score": 100.0,
    "IsPerfect": true,
    "ImperfectSubstrateKey": null,
    "ImperfectTableKey": null,
    "DisagreeingFieldCount": 0.0,
    "SubstrateLabel": "C# / Entity Framework",
    "SubjectArea": "org"
   },
   {
    "TableConformanceId": "effortless-entity-framework|JwtClaimMappings",
    "Run": "run-20260914-223223",
    "Substrate": "effortless-entity-framework",
    "RulebookTable": "JwtClaimMappings",
    "RecordCount": 4,
    "DerivedFieldCount": 2,
    "CellsTested": 8,
    "CellsPassed": 8,
    "IsMissingAnswerFile": false,
    "SemanticTypeIri": "urn:effortless:pko-extension#TableConformance",
    "Name": "effortless-entity-framework / JwtClaimMappings",
    "CellsFailed": 0.0,
    "Score": 100.0,
    "IsPerfect": true,
    "ImperfectSubstrateKey": null,
    "ImperfectTableKey": null,
    "DisagreeingFieldCount": 0.0,
    "SubstrateLabel": "C# / Entity Framework",
    "SubjectArea": "access-control"
   },
   {
    "TableConformanceId": "effortless-entity-framework|AccessDenialTests",
    "Run": "run-20260914-223223",
    "Substrate": "effortless-entity-framework",
    "RulebookTable": "AccessDenialTests",
    "RecordCount": 17,
    "DerivedFieldCount": 6,
    "CellsTested": 102,
    "CellsPassed": 102,
    "IsMissingAnswerFile": false,
    "SemanticTypeIri": "urn:effortless:pko-extension#TableConformance",
    "Name": "effortless-entity-framework / AccessDenialTests",
    "CellsFailed": 0.0,
    "Score": 100.0,
    "IsPerfect": true,
    "ImperfectSubstrateKey": null,
    "ImperfectTableKey": null,
    "DisagreeingFieldCount": 0.0,
    "SubstrateLabel": "C# / Entity Framework",
    "SubjectArea": "access-control"
   },
   {
    "TableConformanceId": "effortless-entity-framework|AppUsers",
    "Run": "run-20260914-223223",
    "Substrate": "effortless-entity-framework",
    "RulebookTable": "AppUsers",
    "RecordCount": 10,
    "DerivedFieldCount": 7,
    "CellsTested": 70,
    "CellsPassed": 70,
    "IsMissingAnswerFile": false,
    "SemanticTypeIri": "urn:effortless:pko-extension#TableConformance",
    "Name": "effortless-entity-framework / AppUsers",
    "CellsFailed": 0.0,
    "Score": 100.0,
    "IsPerfect": true,
    "ImperfectSubstrateKey": null,
    "ImperfectTableKey": null,
    "DisagreeingFieldCount": 0.0,
    "SubstrateLabel": "C# / Entity Framework",
    "SubjectArea": null
   },
   {
    "TableConformanceId": "effortless-entity-framework|PrincipalAssignments",
    "Run": "run-20260914-223223",
    "Substrate": "effortless-entity-framework",
    "RulebookTable": "PrincipalAssignments",
    "RecordCount": 12,
    "DerivedFieldCount": 5,
    "CellsTested": 60,
    "CellsPassed": 60,
    "IsMissingAnswerFile": false,
    "SemanticTypeIri": "urn:effortless:pko-extension#TableConformance",
    "Name": "effortless-entity-framework / PrincipalAssignments",
    "CellsFailed": 0.0,
    "Score": 100.0,
    "IsPerfect": true,
    "ImperfectSubstrateKey": null,
    "ImperfectTableKey": null,
    "DisagreeingFieldCount": 0.0,
    "SubstrateLabel": "C# / Entity Framework",
    "SubjectArea": null
   },
   {
    "TableConformanceId": "effortless-entity-framework|ProcessMiningRuns",
    "Run": "run-20260914-223223",
    "Substrate": "effortless-entity-framework",
    "RulebookTable": "ProcessMiningRuns",
    "RecordCount": 4,
    "DerivedFieldCount": 10,
    "CellsTested": 40,
    "CellsPassed": 40,
    "IsMissingAnswerFile": false,
    "SemanticTypeIri": "urn:effortless:pko-extension#TableConformance",
    "Name": "effortless-entity-framework / ProcessMiningRuns",
    "CellsFailed": 0.0,
    "Score": 100.0,
    "IsPerfect": true,
    "ImperfectSubstrateKey": null,
    "ImperfectTableKey": null,
    "DisagreeingFieldCount": 0.0,
    "SubstrateLabel": "C# / Entity Framework",
    "SubjectArea": "knowledge"
   },
   {
    "TableConformanceId": "effortless-entity-framework|Vocabularies",
    "Run": "run-20260914-223223",
    "Substrate": "effortless-entity-framework",
    "RulebookTable": "Vocabularies",
    "RecordCount": 2,
    "DerivedFieldCount": 4,
    "CellsTested": 8,
    "CellsPassed": 8,
    "IsMissingAnswerFile": false,
    "SemanticTypeIri": "urn:effortless:pko-extension#TableConformance",
    "Name": "effortless-entity-framework / Vocabularies",
    "CellsFailed": 0.0,
    "Score": 100.0,
    "IsPerfect": true,
    "ImperfectSubstrateKey": null,
    "ImperfectTableKey": null,
    "DisagreeingFieldCount": 0.0,
    "SubstrateLabel": "C# / Entity Framework",
    "SubjectArea": "knowledge"
   },
   {
    "TableConformanceId": "effortless-entity-framework|VocabularyTerms",
    "Run": "run-20260914-223223",
    "Substrate": "effortless-entity-framework",
    "RulebookTable": "VocabularyTerms",
    "RecordCount": 12,
    "DerivedFieldCount": 5,
    "CellsTested": 60,
    "CellsPassed": 60,
    "IsMissingAnswerFile": false,
    "SemanticTypeIri": "urn:effortless:pko-extension#TableConformance",
    "Name": "effortless-entity-framework / VocabularyTerms",
    "CellsFailed": 0.0,
    "Score": 100.0,
    "IsPerfect": true,
    "ImperfectSubstrateKey": null,
    "ImperfectTableKey": null,
    "DisagreeingFieldCount": 0.0,
    "SubstrateLabel": "C# / Entity Framework",
    "SubjectArea": "knowledge"
   },
   {
    "TableConformanceId": "effortless-entity-framework|KnowledgeBrokerLinks",
    "Run": "run-20260914-223223",
    "Substrate": "effortless-entity-framework",
    "RulebookTable": "KnowledgeBrokerLinks",
    "RecordCount": 5,
    "DerivedFieldCount": 8,
    "CellsTested": 40,
    "CellsPassed": 40,
    "IsMissingAnswerFile": false,
    "SemanticTypeIri": "urn:effortless:pko-extension#TableConformance",
    "Name": "effortless-entity-framework / KnowledgeBrokerLinks",
    "CellsFailed": 0.0,
    "Score": 100.0,
    "IsPerfect": true,
    "ImperfectSubstrateKey": null,
    "ImperfectTableKey": null,
    "DisagreeingFieldCount": 0.0,
    "SubstrateLabel": "C# / Entity Framework",
    "SubjectArea": "knowledge"
   },
   {
    "TableConformanceId": "effortless-entity-framework|ConformanceSubstrates",
    "Run": "run-20260914-223223",
    "Substrate": "effortless-entity-framework",
    "RulebookTable": "ConformanceSubstrates",
    "RecordCount": 8,
    "DerivedFieldCount": 11,
    "CellsTested": 88,
    "CellsPassed": 88,
    "IsMissingAnswerFile": false,
    "SemanticTypeIri": "urn:effortless:pko-extension#TableConformance",
    "Name": "effortless-entity-framework / ConformanceSubstrates",
    "CellsFailed": 0.0,
    "Score": 100.0,
    "IsPerfect": true,
    "ImperfectSubstrateKey": null,
    "ImperfectTableKey": null,
    "DisagreeingFieldCount": 0.0,
    "SubstrateLabel": "C# / Entity Framework",
    "SubjectArea": "meta"
   },
   {
    "TableConformanceId": "effortless-entity-framework|ConformanceRuns",
    "Run": "run-20260914-223223",
    "Substrate": "effortless-entity-framework",
    "RulebookTable": "ConformanceRuns",
    "RecordCount": 3,
    "DerivedFieldCount": 9,
    "CellsTested": 27,
    "CellsPassed": 27,
    "IsMissingAnswerFile": false,
    "SemanticTypeIri": "urn:effortless:pko-extension#TableConformance",
    "Name": "effortless-entity-framework / ConformanceRuns",
    "CellsFailed": 0.0,
    "Score": 100.0,
    "IsPerfect": true,
    "ImperfectSubstrateKey": null,
    "ImperfectTableKey": null,
    "DisagreeingFieldCount": 0.0,
    "SubstrateLabel": "C# / Entity Framework",
    "SubjectArea": "meta"
   },
   {
    "TableConformanceId": "effortless-entity-framework|SubstrateRunScores",
    "Run": "run-20260914-223223",
    "Substrate": "effortless-entity-framework",
    "RulebookTable": "SubstrateRunScores",
    "RecordCount": 21,
    "DerivedFieldCount": 13,
    "CellsTested": 273,
    "CellsPassed": 273,
    "IsMissingAnswerFile": f</t>
  </si>
  <si>
    <t xml:space="preserve">alse,
    "SemanticTypeIri": "urn:effortless:pko-extension#TableConformance",
    "Name": "effortless-entity-framework / SubstrateRunScores",
    "CellsFailed": 0.0,
    "Score": 100.0,
    "IsPerfect": true,
    "ImperfectSubstrateKey": null,
    "ImperfectTableKey": null,
    "DisagreeingFieldCount": 0.0,
    "SubstrateLabel": "C# / Entity Framework",
    "SubjectArea": "meta"
   },
   {
    "TableConformanceId": "effortless-entity-framework|TableConformance",
    "Run": "run-20260914-223223",
    "Substrate": "effortless-entity-framework",
    "RulebookTable": "TableConformance",
    "RecordCount": 623,
    "DerivedFieldCount": 9,
    "CellsTested": 5607,
    "CellsPassed": 5607,
    "IsMissingAnswerFile": false,
    "SemanticTypeIri": "urn:effortless:pko-extension#TableConformance",
    "Name": "effortless-entity-framework / TableConformance",
    "CellsFailed": 0.0,
    "Score": 100.0,
    "IsPerfect": true,
    "ImperfectSubstrateKey": null,
    "ImperfectTableKey": null,
    "DisagreeingFieldCount": 0.0,
    "SubstrateLabel": "C# / Entity Framework",
    "SubjectArea": "meta"
   },
   {
    "TableConformanceId": "effortless-entity-framework|FieldDisagreements",
    "Run": "run-20260914-223223",
    "Substrate": "effortless-entity-framework",
    "RulebookTable": "FieldDisagreements",
    "RecordCount": 49,
    "DerivedFieldCount": 5,
    "CellsTested": 245,
    "CellsPassed": 245,
    "IsMissingAnswerFile": false,
    "SemanticTypeIri": "urn:effortless:pko-extension#TableConformance",
    "Name": "effortless-entity-framework / FieldDisagreements",
    "CellsFailed": 0.0,
    "Score": 100.0,
    "IsPerfect": true,
    "ImperfectSubstrateKey": null,
    "ImperfectTableKey": null,
    "DisagreeingFieldCount": 0.0,
    "SubstrateLabel": "C# / Entity Framework",
    "SubjectArea": "meta"
   },
   {
    "TableConformanceId": "effortless-entity-framework|CellDisagreements",
    "Run": "run-20260914-223223",
    "Substrate": "effortless-entity-framework",
    "RulebookTable": "CellDisagreements",
    "RecordCount": 316,
    "DerivedFieldCount": 3,
    "CellsTested": 948,
    "CellsPassed": 948,
    "IsMissingAnswerFile": false,
    "SemanticTypeIri": "urn:effortless:pko-extension#TableConformance",
    "Name": "effortless-entity-framework / CellDisagreements",
    "CellsFailed": 0.0,
    "Score": 100.0,
    "IsPerfect": true,
    "ImperfectSubstrateKey": null,
    "ImperfectTableKey": null,
    "DisagreeingFieldCount": 0.0,
    "SubstrateLabel": "C# / Entity Framework",
    "SubjectArea": "meta"
   },
   {
    "TableConformanceId": "effortless-golang|RulebookReleases",
    "Run": "run-20260914-223223",
    "Substrate": "effortless-golang",
    "RulebookTable": "RulebookReleases",
    "RecordCount": 1,
    "DerivedFieldCount": 1,
    "CellsTested": 1,
    "CellsPassed": 1,
    "IsMissingAnswerFile": false,
    "SemanticTypeIri": "urn:effortless:pko-extension#TableConformance",
    "Name": "effortless-golang / RulebookReleases",
    "CellsFailed": 0.0,
    "Score": 100.0,
    "IsPerfect": true,
    "ImperfectSubstrateKey": null,
    "ImperfectTableKey": null,
    "DisagreeingFieldCount": 0.0,
    "SubstrateLabel": "Go",
    "SubjectArea": "meta"
   },
   {
    "TableConformanceId": "effortless-golang|OntologyProfiles",
    "Run": "run-20260914-223223",
    "Substrate": "effortless-golang",
    "RulebookTable": "OntologyProfiles",
    "RecordCount": 11,
    "DerivedFieldCount": 1,
    "CellsTested": 11,
    "CellsPassed": 11,
    "IsMissingAnswerFile": false,
    "SemanticTypeIri": "urn:effortless:pko-extension#TableConformance",
    "Name": "effortless-golang / OntologyProfiles",
    "CellsFailed": 0.0,
    "Score": 100.0,
    "IsPerfect": true,
    "ImperfectSubstrateKey": null,
    "ImperfectTableKey": null,
    "DisagreeingFieldCount": 0.0,
    "SubstrateLabel": "Go",
    "SubjectArea": "domain"
   },
   {
    "TableConformanceId": "effortless-golang|EvaluationContexts",
    "Run": "run-20260914-223223",
    "Substrate": "effortless-golang",
    "RulebookTable": "EvaluationContexts",
    "RecordCount": 1,
    "DerivedFieldCount": 1,
    "CellsTested": 1,
    "CellsPassed": 1,
    "IsMissingAnswerFile": false,
    "SemanticTypeIri": "urn:effortless:pko-extension#TableConformance",
    "Name": "effortless-golang / EvaluationContexts",
    "CellsFailed": 0.0,
    "Score": 100.0,
    "IsPerfect": true,
    "ImperfectSubstrateKey": null,
    "ImperfectTableKey": null,
    "DisagreeingFieldCount": 0.0,
    "SubstrateLabel": "Go",
    "SubjectArea": "meta"
   },
   {
    "TableConformanceId": "effortless-golang|Organizations",
    "Run": "run-20260914-223223",
    "Substrate": "effortless-golang",
    "RulebookTable": "Organizations",
    "RecordCount": 4,
    "DerivedFieldCount": 1,
    "CellsTested": 4,
    "CellsPassed": 4,
    "IsMissingAnswerFile": false,
    "SemanticTypeIri": "urn:effortless:pko-extension#TableConformance",
    "Name": "effortless-golang / Organizations",
    "CellsFailed": 0.0,
    "Score": 100.0,
    "IsPerfect": true,
    "ImperfectSubstrateKey": null,
    "ImperfectTableKey": null,
    "DisagreeingFieldCount": 0.0,
    "SubstrateLabel": "Go",
    "SubjectArea": "org"
   },
   {
    "TableConformanceId": "effortless-golang|Agents",
    "Run": "run-20260914-223223",
    "Substrate": "effortless-golang",
    "RulebookTable": "Agents",
    "RecordCount": 11,
    "DerivedFieldCount": 16,
    "CellsTested": 176,
    "CellsPassed": 176,
    "IsMissingAnswerFile": false,
    "SemanticTypeIri": "urn:effortless:pko-extension#TableConformance",
    "Name": "effortless-golang / Agents",
    "CellsFailed": 0.0,
    "Score": 100.0,
    "IsPerfect": true,
    "ImperfectSubstrateKey": null,
    "ImperfectTableKey": null,
    "DisagreeingFieldCount": 0.0,
    "SubstrateLabel": "Go",
    "SubjectArea": "org"
   },
   {
    "TableConformanceId": "effortless-golang|Roles",
    "Run": "run-20260914-223223",
    "Substrate": "effortless-golang",
    "RulebookTable": "Roles",
    "RecordCount": 12,
    "DerivedFieldCount": 17,
    "CellsTested": 204,
    "CellsPassed": 204,
    "IsMissingAnswerFile": false,
    "SemanticTypeIri": "urn:effortless:pko-extension#TableConformance",
    "Name": "effortless-golang / Roles",
    "CellsFailed": 0.0,
    "Score": 100.0,
    "IsPerfect": true,
    "ImperfectSubstrateKey": null,
    "ImperfectTableKey": null,
    "DisagreeingFieldCount": 0.0,
    "SubstrateLabel": "Go",
    "SubjectArea": "org"
   },
   {
    "TableConformanceId": "effortless-golang|RoleAssignments",
    "Run": "run-20260914-223223",
    "Substrate": "effortless-golang",
    "RulebookTable": "RoleAssignments",
    "RecordCount": 13,
    "DerivedFieldCount": 47,
    "CellsTested": 611,
    "CellsPassed": 611,
    "IsMissingAnswerFile": false,
    "SemanticTypeIri": "urn:effortless:pko-extension#TableConformance",
    "Name": "effortless-golang / RoleAssignments",
    "CellsFailed": 0.0,
    "Score": 100.0,
    "IsPerfect": true,
    "ImperfectSubstrateKey": null,
    "ImperfectTableKey": null,
    "DisagreeingFieldCount": 0.0,
    "SubstrateLabel": "Go",
    "SubjectArea": "org"
   },
   {
    "TableConformanceId": "effortless-golang|CommunitiesOfPractice",
    "Run": "run-20260914-223223",
    "Substrate": "effortless-golang",
    "RulebookTable": "CommunitiesOfPractice",
    "RecordCount": 2,
    "DerivedFieldCount": 1,
    "CellsTested": 2,
    "CellsPassed": 2,
    "IsMissingAnswerFile": false,
    "SemanticTypeIri": "urn:effortless:pko-extension#TableConformance",
    "Name": "effortless-golang / CommunitiesOfPractice",
    "CellsFailed": 0.0,
    "Score": 100.0,
    "IsPerfect": true,
    "ImperfectSubstrateKey": null,
    "ImperfectTableKey": null,
    "DisagreeingFieldCount": 0.0,
    "SubstrateLabel": "Go",
    "SubjectArea": "org"
   },
   {
    "TableConformanceId": "effortless-golang|Mentorships",
    "Run": "run-20260914-223223",
    "Substrate": "effortless-golang",
    "RulebookTable": "Mentorships",
    "RecordCount": 1,
    "DerivedFieldCount": 1,
    "CellsTested": 1,
    "CellsPassed": 1,
    "IsMissingAnswerFile": false,
    "SemanticTypeIri": "urn:effortless:pko-extension#TableConformance",
    "Name": "effortless-golang / Mentorships",
    "CellsFailed": 0.0,
    "Score": 100.0,
    "IsPerfect": true,
    "ImperfectSubstrateKey": null,
    "ImperfectTableKey": null,
    "DisagreeingFieldCount": 0.0,
    "SubstrateLabel": "Go",
    "SubjectArea": "org"
   },
   {
    "TableConformanceId": "effortless-golang|ProcedureTypes",
    "Run": "run-20260914-223223",
    "Substrate": "effortless-golang",
    "RulebookTable": "ProcedureTypes",
    "RecordCount": 2,
    "DerivedFieldCount": 1,
    "CellsTested": 2,
    "CellsPassed": 2,
    "IsMissingAnswerFile": false,
    "SemanticTypeIri": "urn:effortless:pko-extension#TableConformance",
    "Name": "effortless-golang / ProcedureTypes",
    "CellsFailed": 0.0,
    "Score": 100.0,
    "IsPerfect": true,
    "ImperfectSubstrateKey": null,
    "ImperfectTableKey": null,
    "DisagreeingFieldCount": 0.0,
    "SubstrateLabel": "Go",
    "SubjectArea": "specification"
   },
   {
    "TableConformanceId": "effortless-golang|Procedures",
    "Run": "run-20260914-223223",
    "Substrate": "effortless-golang",
    "RulebookTable": "Procedures",
    "RecordCount": 2,
    "DerivedFieldCount": 1,
    "CellsTested": 2,
    "CellsPassed": 2,
    "IsMissingAnswerFile": false,
    "SemanticTypeIri": "urn:effortless:pko-extension#TableConformance",
    "Name": "effortless-golang / Procedures",
    "CellsFailed": 0.0,
    "Score": 100.0,
    "IsPerfect": true,
    "ImperfectSubstrateKey": null,
    "ImperfectTableKey": null,
    "DisagreeingFieldCount": 0.0,
    "SubstrateLabel": "Go",
    "SubjectArea": "specification"
   },
   {
    "TableConformanceId": "effortless-golang|ProcedureVersions",
    "Run": "run-20260914-223223",
    "Substrate": "effortless-golang",
    "RulebookTable": "ProcedureVersions",
    "RecordCount": 3,
    "DerivedFieldCount": 73,
    "CellsTested": 219,
    "CellsPassed": 219,
    "IsMissingAnswerFile": false,
    "SemanticTypeIri": "urn:effortless:pko-extension#TableConformance",
    "Name": "effortless-golang / ProcedureVersions",
    "CellsFailed": 0.0,
    "Score": 100.0,
    "IsPerfect": true,
    "ImperfectSubstrateKey": null,
    "ImperfectTableKey": null,
    "DisagreeingFieldCount": 0.0,
    "SubstrateLabel": "Go",
    "SubjectArea": "specification"
   },
   {
    "TableConformanceId": "effortless-golang|ProcedureVersionLinks",
    "Run": "run-20260914-223223",
    "Substrate": "effortless-golang",
    "RulebookTable": "ProcedureVersionLinks",
    "RecordCount": 1,
    "DerivedFieldCount": 2,
    "CellsTested": 2,
    "CellsPassed": 2,
    "IsMissingAnswerFile": false,
    "SemanticTypeIri": "urn:effortless:pko-extension#TableConformance",
    "Name": "effortless-golang / ProcedureVersionLinks",
    "CellsFailed": 0.0,
    "Score": 100.0,
    "IsPerfect": true,
    "ImperfectSubstrateKey": null,
    "ImperfectTableKey": null,
    "DisagreeingFieldCount": 0.0,
    "SubstrateLabel": "Go",
    "SubjectArea": "specification"
   },
   {
    "TableConformanceId": "effortless-golang|ProcedureStatusChanges",
    "Run": "run-20260914-223223",
    "Substrate": "effortless-golang",
    "RulebookTable": "ProcedureStatusChanges",
    "RecordCount": 5,
    "DerivedFieldCount": 1,
    "CellsTested": 5,
    "CellsPassed": 5,
    "IsMissingAnswerFile": false,
    "SemanticTypeIri": "urn:effortless:pko-extension#TableConformance",
    "Name": "effortless-golang / ProcedureStatusChanges",
    "CellsFailed": 0.0,
    "Score": 100.0,
    "IsPerfect": true,
    "ImperfectSubstrateKey": null,
    "ImperfectTableKey": null,
    "DisagreeingFieldCount": 0.0,
    "SubstrateLabel": "Go",
    "SubjectArea": "specification"
   },
   {
    "TableConformanceId": "effortless-golang|Steps",
    "Run": "run-20260914-223223",
    "Substrate": "effortless-golang",
    "RulebookTable": "Steps",
    "RecordCount": 17,
    "DerivedFieldCount": 42,
    "CellsTested": 714,
    "CellsPassed": 714,
    "IsMissingAnswerFile": false,
    "SemanticTypeIri": "urn:effortless:pko-extension#TableConformance",
    "Name": "effortless-golang / Steps",
    "CellsFailed": 0.0,
    "Score": 100.0,
    "IsPerfect": true,
    "ImperfectSubstrateKey": null,
    "ImperfectTableKey": null,
    "DisagreeingFieldCount": 0.0,
    "SubstrateLabel": "Go",
    "SubjectArea": "specification"
   },
   {
    "TableConformanceId": "effortless-golang|StepTransitions",
    "Run": "run-20260914-223223",
    "Substrate": "effortless-golang",
    "RulebookTable": "StepTransitions",
    "RecordCount": 20,
    "DerivedFieldCount": 18,
    "CellsTested": 360,
    "CellsPassed": 360,
    "IsMissingAnswerFile": false,
    "SemanticTypeIri": "urn:effortless:pko-extension#TableConformance",
    "Name": "effortless-golang / StepTransitions",
    "CellsFailed": 0.0,
    "Score": 100.0,
    "IsPerfect": true,
    "ImperfectSubstrateKey": null,
    "ImperfectTableKey": null,
    "DisagreeingFieldCount": 0.0,
    "SubstrateLabel": "Go",
    "SubjectArea": "specification"
   },
   {
    "TableConformanceId": "effortless-golang|Actions",
    "Run": "run-20260914-223223",
    "Substrate": "effortless-golang",
    "RulebookTable": "Actions",
    "RecordCount": 9,
    "DerivedFieldCount": 1,
    "CellsTested": 9,
    "CellsPassed": 9,
    "IsMissingAnswerFile": false,
    "SemanticTypeIri": "urn:effortless:pko-extension#TableConformance",
    "Name": "effortless-golang / Actions",
    "CellsFailed": 0.0,
    "Score": 100.0,
    "IsPerfect": true,
    "ImperfectSubstrateKey": null,
    "ImperfectTableKey": null,
    "DisagreeingFieldCount": 0.0,
    "SubstrateLabel": "Go",
    "SubjectArea": "specification"
   },
   {
    "TableConformanceId": "effortless-golang|Functions",
    "Run": "run-20260914-223223",
    "Substrate": "effortless-golang",
    "RulebookTable": "Functions",
    "RecordCount": 8,
    "DerivedFieldCount": 1,
    "CellsTested": 8,
    "CellsPassed": 8,
    "IsMissingAnswerFile": false,
    "SemanticTypeIri": "urn:effortless:pko-extension#TableConformance",
    "Name": "effortless-golang / Functions",
    "CellsFailed": 0.0,
    "Score": 100.0,
    "IsPerfect": true,
    "ImperfectSubstrateKey": null,
    "ImperfectTableKey": null,
    "DisagreeingFieldCount": 0.0,
    "SubstrateLabel": "Go",
    "SubjectArea": "specification"
   },
   {
    "TableConformanceId": "effortless-golang|Tools",
    "Run": "run-20260914-223223",
    "Substrate": "effortless-golang",
    "RulebookTable": "Tools",
    "RecordCount": 8,
    "DerivedFieldCount": 1,
    "CellsTested": 8,
    "CellsPassed": 8,
    "IsMissingAnswerFile": false,
    "SemanticTypeIri": "urn:effortless:pko-extension#TableConformance",
    "Name": "effortless-golang / Tools",
    "CellsFailed": 0.0,
    "Score": 100.0,
    "IsPerfect": true,
    "ImperfectSubstrateKey": null,
    "ImperfectTableKey": null,
    "DisagreeingFieldCount": 0.0,
    "SubstrateLabel": "Go",
    "SubjectArea": "specification"
   },
   {
    "TableConformanceId": "effortless-golang|StepActions",
    "Run": "run-20260914-223223",
    "Substrate": "effortless-golang",
    "RulebookTable": "StepActions",
    "RecordCount": 9,
    "DerivedFieldCount": 1,
    "CellsTested": 9,
    "CellsPassed": 9,
    "IsMissingAnswerFile": false,
    "SemanticTypeIri": "urn:effortless:pko-extension#TableConformance",
    "Name": "effortless-golang / StepActions",
    "CellsFailed": 0.0,
    "Score": 100.0,
    "IsPerfect": true,
    "ImperfectSubstrateKey": null,
    "ImperfectTableKey": null,
    "DisagreeingFieldCount": 0.0,
    "SubstrateLabel": "Go",
    "SubjectArea": "specification"
   },
   {
    "TableConformanceId": "effortless-golang|StepFunctions",
    "Run": "run-20260914-223223",
    "Substrate": "effortless-golang",
    "RulebookTable": "StepFunctions",
    "RecordCount": 8,
    "DerivedFieldCount": 1,
    "CellsTested": 8,
    "CellsPassed": 8,
    "IsMissingAnswerFile": false,
    "SemanticTypeIri": "urn:effortless:pko-extension#TableConformance",
    "Name": "effortless-golang / StepFunctions",
    "CellsFailed": 0.0,
    "Score": 100.0,
    "IsPerfect": true,
    "ImperfectSubstrateKey": null,
    "ImperfectTableKey": null,
    "DisagreeingFieldCount": 0.0,
    "SubstrateLabel": "Go",
    "SubjectArea": "specification"
   },
   {
    "TableConformanceId": "effortless-golang|StepTools",
    "Run": "run-20260914-223223",
    "Substrate": "effortless-golang",
    "RulebookTable": "StepTools",
    "RecordCount": 10,
    "DerivedFieldCount": 1,
    "CellsTested": 10,
    "CellsPassed": 10,
    "IsMissingAnswerFile": false,
    "SemanticTypeIri": "urn:effortless:pko-extension#TableConformance",
    "Name": "effortless-golang / StepTools",
    "CellsFailed": 0.0,
    "Score": 100.0,
    "IsPerfect": true,
    "ImperfectSubstrateKey": null,
    "ImperfectTableKey": null,
    "DisagreeingFieldCount": 0.0,
    "SubstrateLabel": "Go",
    "SubjectArea": "specification"
   },
   {
    "TableConformanceId": "effortless-golang|Requirements",
    "Run": "run-20260914-223223",
    "Substrate": "effortless-golang",
    "RulebookTable": "Requirements",
    "RecordCount": 13,
    "DerivedFieldCount": 31,
    "CellsTested": 403,
    "CellsPassed": 403,
    "IsMissingAnswerFile": false,
    "SemanticTypeIri": "urn:effortless:pko-extension#TableConformance",
    "Name": "effortless-golang / Requirements",
    "CellsFailed": 0.0,
    "Score": 100.0,
    "IsPerfect": true,
    "ImperfectSubstrateKey": null,
    "ImperfectTableKey": null,
    "DisagreeingFieldCount": 0.0,
    "SubstrateLabel": "Go",
    "SubjectArea": "governance"
   },
   {
    "TableConformanceId": "effortless-golang|StepRequirements",
    "Run": "run-20260914-223223",
    "Substrate": "effortless-golang",
    "RulebookTable": "StepRequirements",
    "RecordCount": 15,
    "DerivedFieldCount": 10,
    "CellsTested": 150,
    "CellsPassed": 150,
    "IsMissingAnswerFile": false,
    "SemanticTypeIri": "urn:effortless:pko-extension#TableConformance",
    "Name": "effortless-golang / StepRequirements",
    "CellsFailed": 0.0,
    "Score": 100.0,
    "IsPerfect": true,
    "ImperfectSubstrateKey": null,
    "ImperfectTableKey": null,
    "DisagreeingFieldCount": 0.0,
    "SubstrateLabel": "Go",
    "SubjectArea": "specification"
   },
   {
    "TableConformanceId": "effortless-golang|StepVerifications",
    "Run": "run-20260914-223223",
    "Substrate": "effortless-golang",
    "RulebookTable": "StepVerifications",
    "RecordCount": 11,
    "DerivedFieldCount": 1,
    "CellsTested": 11,
    "CellsPassed": 11,
    "IsMissingAnswerFile": false,
    "SemanticTypeIri": "urn:effortless:pko-extension#TableConformance",
    "Name": "effortless-golang / StepVerifications",
    "CellsFailed": 0.0,
    "Score": 100.0,
    "IsPerfect": true,
    "ImperfectSubstrateKey": null,
    "ImperfectTableKey": null,
    "DisagreeingFieldCount": 0.0,
    "SubstrateLabel": "Go",
    "SubjectArea": "specification"
   },
   {
    "TableConformanceId": "effortless-golang|Rationales",
    "Run": "run-20260914-223223",
    "Substrate": "effortless-golang",
    "RulebookTable": "Rationales",
    "RecordCount": 4,
    "DerivedFieldCount": 1,
    "CellsTested": 4,
    "CellsPassed": 4,
    "IsMissingAnswerFile": false,
    "SemanticTypeIri": "urn:effortless:pko-extension#TableConformance",
    "Name": "effortless-golang / Rationales",
    "CellsFailed": 0.0,
    "Score": 100.0,
    "IsPerfect": true,
    "ImperfectSubstrateKey": null,
    "ImperfectTableKey": null,
    "DisagreeingFieldCount": 0.0,
    "SubstrateLabel": "Go",
    "SubjectArea": "governance"
   },
   {
    "TableConformanceId": "effortless-golang|Exceptions",
    "Run": "run-20260914-223223",
    "Substrate": "effortless-golang",
    "RulebookTable": "Exceptions",
    "RecordCount": 4,
    "DerivedFieldCount": 2,
    "CellsTested": 8,
    "CellsPassed": 8,
    "IsMissingAnswerFile": false,
    "SemanticTypeIri": "urn:effortless:pko-extension#TableConformance",
    "Name": "effortless-golang / Exceptions",
    "CellsFailed": 0.0,
    "Score": 100.0,
    "IsPerfect": true,
    "ImperfectSubstrateKey": null,
    "ImperfectTableKey": null,
    "DisagreeingFieldCount": 0.0,
    "SubstrateLabel": "Go",
    "SubjectArea": "governance"
   },
   {
    "TableConformanceId": "effortless-golang|Resources",
    "Run": "run-20260914-223223",
    "Substrate": "effortless-golang",
    "RulebookTable": "Resources",
    "RecordCount": 8,
    "DerivedFieldCount": 2,
    "CellsTested": 16,
    "CellsPassed": 16,
    "IsMissingAnswerFile": false,
    "SemanticTypeIri": "urn:effortless:pko-extension#TableConformance",
    "Name": "effortless-golang / Resources",
    "CellsFailed": 0.0,
    "Score": 100.0,
    "IsPerfect": true,
    "ImperfectSubstrateKey": null,
    "ImperfectTableKey": null,
    "DisagreeingFieldCount": 0.0,
    "SubstrateLabel": "Go",
    "SubjectArea": "domain"
   },
   {
    "TableConformanceId": "effortless-golang|ProcedureResources",
    "Run": "run-20260914-223223",
    "Substrate": "effortless-golang",
    "RulebookTable": "ProcedureResources",
    "RecordCount": 8,
    "DerivedFieldCount": 2,
    "CellsTested": 16,
    "CellsPassed": 16,
    "IsMissingAnswerFile": false,
    "SemanticTypeIri": "urn:effortless:pko-extension#TableConformance",
    "Name": "effortless-golang / ProcedureResources",
    "CellsFailed": 0.0,
    "Score": 100.0,
    "IsPerfect": true,
    "ImperfectSubstrateKey": null,
    "ImperfectTableKey": null,
    "DisagreeingFieldCount": 0.0,
    "SubstrateLabel": "Go",
    "SubjectArea": "specification"
   },
   {
    "TableConformanceId": "effortless-golang|ElicitationSessions",
    "Run": "run-20260914-223223",
    "Substrate": "effortless-golang",
    "RulebookTable": "ElicitationSessions",
    "RecordCount": 3,
    "DerivedFieldCount": 10,
    "CellsTested": 30,
    "CellsPassed": 30,
    "IsMissingAnswerFile": false,
    "SemanticTypeIri": "urn:effortless:pko-extension#TableConformance",
    "Name": "effortless-golang / ElicitationSessions",
    "CellsFailed": 0.0,
    "Score": 100.0,
    "IsPerfect": true,
    "ImperfectSubstrateKey": null,
    "ImperfectTableKey": null,
    "DisagreeingFieldCount": 0.0,
    "SubstrateLabel": "Go",
    "SubjectArea": "knowledge"
   },
   {
    "TableConformanceId": "effortless-golang|KnowledgeFragments",
    "Run": "run-20260914-223223",
    "Substrate": "effortless-golang",
    "RulebookTable": "KnowledgeFragments",
    "RecordCount": 7,
    "DerivedFieldCount": 65,
    "CellsTested": 455,
    "CellsPassed": 455,
    "IsMissingAnswerFile": false,
    "SemanticTypeIri": "urn:effortless:pko-extension#TableConformance",
    "Name": "effortless-golang / KnowledgeFragments",
    "CellsFailed": 0.0,
    "Score": 100.0,
    "IsPerfect": true,
    "ImperfectSubstrateKey": null,
    "ImperfectTableKey": null,
    "DisagreeingFieldCount": 0.0,
    "SubstrateLabel": "Go",
    "SubjectArea": "knowledge"
   },
   {
    "TableConformanceId": "effortless-golang|KnowledgeGaps",
    "Run": "run-20260914-223223",
    "Substrate": "effortless-golang",
    "RulebookTable": "KnowledgeGaps",
    "RecordCount": 8,
    "DerivedFieldCount": 16,
    "CellsTested": 128,
    "CellsPassed": 128,
    "IsMissingAnswerFile": false,
    "SemanticTypeIri": "urn:effortless:pko-extension#TableConformance",
    "Name": "effortless-golang / KnowledgeGaps",
    "CellsFailed": 0.0,
    "Score": 100.0,
    "IsPerfect": true,
    "ImperfectSubstrateKey": null,
    "ImperfectTableKey": null,
    "DisagreeingFieldCount": 0.0,
    "SubstrateLabel": "Go",
    "SubjectArea": "knowledge"
   },
   {
    "TableConformanceId": "effortless-golang|FAQs",
    "Run": "run-20260914-223223",
    "Substrate": "effortless-golang",
    "RulebookTable": "FAQs",
    "RecordCount": 3,
    "DerivedFieldCount": 1,
    "CellsTested": 3,
    "CellsPassed": 3,
    "IsMissingAnswerFile": false,
    "SemanticTypeIri": "urn:effortless:pko-extension#TableConformance",
    "Name": "effortless-golang / FAQs",
    "CellsFailed": 0.0,
    "Score": 100.0,
    "IsPerfect": true,
    "ImperfectSubstrateKey": null,
    "ImperfectTableKey": null,
    "DisagreeingFieldCount": 0.0,
    "SubstrateLabel": "Go",
    "SubjectArea": "knowledge"
   },
   {
    "TableConformanceId": "effortless-golang|Explanations",
    "Run": "run-20260914-223223",
    "Substrate": "effortless-golang",
    "RulebookTable": "Explanations",
    "RecordCount": 2,
    "DerivedFieldCount": 1,
    "CellsTested": 2,
    "CellsPassed": 2,
    "IsMissingAnswerFile": false,
    "SemanticTypeIri": "urn:effortless:pko-extension#TableConformance",
    "Name": "effortless-golang / Explanations",
    "CellsFailed": 0.0,
    "Score": 100.0,
    "IsPerfect": true,
    "ImperfectSubstrateKey": null,
    "ImperfectTableKey": null,
    "DisagreeingFieldCount": 0.0,
    "SubstrateLabel": "Go",
    "SubjectArea": "knowledge"
   },
   {
    "TableConformanceId": "effortless-golang|ProcedureExecutions",
    "Run": "run-20260914-223223",
    "Substrate": "effortless-golang",
    "RulebookTable": "ProcedureExecutions",
    "RecordCount": 2,
    "DerivedFieldCount": 69,
    "CellsTested": 138,
    "CellsPassed": 138,
    "IsMissingAnswerFile": false,
    "SemanticTypeIri": "urn:effortless:pko-extension#TableConformance",
    "Name": "effortless-golang / ProcedureExecutions",
    "CellsFailed": 0.0,
    "Score": 100.0,
    "IsPerfect": true,
    "ImperfectSubstrateKey": null,
    "ImperfectTableKey": null,
    "DisagreeingFieldCount": 0.0,
    "SubstrateLabel": "Go",
    "SubjectArea": "specification"
   },
   {
    "TableConformanceId": "effortless-golang|StepExecutions",
    "Run": "run-20260914-223223",
    "Substrate": "effortless-golang",
    "RulebookTable": "StepExecutions",
    "RecordCount": 12,
    "DerivedFieldCount": 99,
    "CellsTested": 1188,
    "CellsPassed": 1188,
    "IsMissingAnswerFile": false,
    "SemanticTypeIri": "urn:effortless:pko-extension#TableConformance",
    "Name": "effortless-golang / StepExecutions",
    "CellsFailed": 0.0,
    "Score": 100.0,
    "IsPerfect": true,
    "ImperfectSubstrateKey": null,
    "ImperfectTableKey": null,
    "DisagreeingFieldCount": 0.0,
    "SubstrateLabel": "Go",
    "SubjectArea": "specification"
   },
   {
    "TableConformanceId": "effortless-golang|RequirementSatisfactions",
    "Run": "run-20260914-223223",
    "Substrate": "effortless-golang",
    "RulebookTable": "RequirementSatisfactions",
    "RecordCount": 8,
    "DerivedFieldCount": 38,
    "CellsTested": 304,
    "CellsPassed": 304,
    "IsMissingAnswerFile": false,
    "SemanticTypeIri": "urn:effortless:pko-extension#TableConformance",
    "Name": "effortless-golang / RequirementSatisfactions",
    "CellsFailed": 0.0,
    "Score": 100.0,
    "IsPerfect": true,
    "ImperfectSubstrateKey": null,
    "ImperfectTableKey": null,
    "DisagreeingFieldCount": 0.0,
    "SubstrateLabel": "Go",
    "SubjectArea": "execution"
   },
   {
    "TableConformanceId": "effortless-golang|Errors",
    "Run": "run-20260914-223223",
    "Substrate": "effortless-golang",
    "RulebookTable": "Errors",
    "RecordCount": 2,
    "DerivedFieldCount": 1,
    "CellsTested": 2,
    "CellsPassed": 2,
    "IsMissingAnswerFile": false,
    "SemanticTypeIri": "urn:effortless:pko-extension#TableConformance",
    "Name": "effortless-golang / Errors",
    "CellsFailed": 0.0,
    "Score": 100.0,
    "IsPerfect": true,
    "ImperfectSubstrateKey": null,
    "ImperfectTableKey": null,
    "DisagreeingFieldCount": 0.0,
    "SubstrateLabel": "Go",
    "SubjectArea": "execution"
   },
   {
    "TableConformanceId": "effortless-golang|IssueOccurrences",
    "Run": "run-20260914-223223",
    "Substrate": "effortless-golang",
    "RulebookTable": "IssueOccurrences",
    "RecordCount": 2,
    "DerivedFieldCount": 3,
    "CellsTested": 6,
    "CellsPassed": 6,
    "IsMissingAnswerFile": false,
    "SemanticTypeIri": "urn:effortless:pko-extension#TableConformance",
    "Name": "effortless-golang / IssueOccurrences",
    "CellsFailed": 0.0,
    "Score": 100.0,
    "IsPerfect": true,
    "ImperfectSubstrateKey": null,
    "ImperfectTableKey": null,
    "DisagreeingFieldCount": 0.0,
    "SubstrateLabel": "Go",
    "SubjectArea": "execution"
   },
   {
    "TableConformanceId": "effortless-golang|UserQuestions",
    "Run": "run-20260914-223223",
    "Substrate": "effortless-golang",
    "RulebookTable": "UserQuestions",
    "RecordCount": 2,
    "DerivedFieldCount": 1,
    "CellsTested": 2,
    "CellsPassed": 2,
    "IsMissingAnswerFile": false,
    "SemanticTypeIri": "urn:effortless:pko-extension#TableConformance",
    "Name": "effortless-golang / UserQuestions",
    "CellsFailed": 0.0,
    "Score": 100.0,
    "IsPerfect": true,
    "ImperfectSubstrateKey": null,
    "ImperfectTableKey": null,
    "DisagreeingFieldCount": 0.0,
    "SubstrateLabel": "Go",
    "SubjectArea": "domain"
   },
   {
    "TableConformanceId": "effortless-golang|UserFeedback",
    "Run": "run-20260914-223223",
    "Substrate": "effortless-golang",
    "RulebookTable": "UserFeedback",
    "RecordCount": 2,
    "DerivedFieldCount": 1,
    "CellsTested": 2,
    "CellsPassed": 2,
    "IsMissingAnswerFile": false,
    "SemanticTypeIri": "urn:effortless:pko-extension#TableConformance",
    "Name": "effortless-golang / UserFeedback",
    "CellsFailed": 0.0,
    "Score": 100.0,
    "IsPerfect": true,
    "ImperfectSubstrateKey": null,
    "ImperfectTableKey": null,
    "DisagreeingFieldCount": 0.0,
    "SubstrateLabel": "Go",
    "SubjectArea": "domain"
   },
   {
    "TableConformanceId": "effortless-golang|StewardshipAssignments",
    "Run": "run-20260914-223223",
    "Substrate": "effortless-golang",
    "RulebookTable": "StewardshipAssignments",
    "RecordCount": 2,
    "DerivedFieldCount": 5,
    "CellsTested": 10,
    "CellsPassed": 10,
    "IsMissingAnswerFile": false,
    "SemanticTypeIri": "urn:effortless:pko-extension#TableConformance",
    "Name": "effortless-golang / StewardshipAssignments",
    "CellsFailed": 0.0,
    "Score": 100.0,
    "IsPerfect": true,
    "ImperfectSubstrateKey": null,
    "ImperfectTableKey": null,
    "DisagreeingFieldCount": 0.0,
    "SubstrateLabel": "Go",
    "SubjectArea": "org"
   },
   {
    "TableConformanceId": "effortless-golang|ChangeRequests",
    "Run": "run-20260914-223223",
    "Substrate": "effortless-golang",
    "RulebookTable": "ChangeRequests",
    "RecordCount": 2,
    "DerivedFieldCount": 32,
    "CellsTested": 64,
    "CellsPassed": 64,
    "IsMissingAnswerFile": false,
    "SemanticTypeIri": "urn:effortless:pko-extension#TableConformance",
    "Name": "effortless-golang / ChangeRequests",
    "CellsFailed": 0.0,
    "Score": 100.0,
    "IsPerfect": true,
    "ImperfectSubstrateKey": null,
    "ImperfectTableKey": null,
    "DisagreeingFieldCount": 0.0,
    "SubstrateLabel": "Go",
    "SubjectArea": "domain"
   },
   {
    "TableConformanceId": "effortless-golang|ReviewEvents",
    "Run": "run-20260914-223223",
    "Substrate": "effortless-golang",
    "RulebookTable": "ReviewEvents",
    "RecordCount": 3,
    "DerivedFieldCount": 10,
    "CellsTested": 30,
    "CellsPassed": 30,
    "IsMissingAnswerFile": false,
    "SemanticTypeIri": "urn:effortless:pko-extension#TableConformance",
    "Name": "effortless-golang / ReviewEvents",
    "CellsFailed": 0.0,
    "Score": 100.0,
    "IsPerfect": true,
    "ImperfectSubstrateKey": null,
    "ImperfectTableKey": null,
    "DisagreeingFieldCount": 0.0,
    "SubstrateLabel": "Go",
    "SubjectArea": "domain"
   },
   {
    "TableConformanceId": "effortless-golang|LearningActivities",
    "Run": "run-20260914-223223",
    "Substrate": "effortless-golang",
    "RulebookTable": "LearningActivities",
    "RecordCount": 2,
    "DerivedFieldCount": 1,
    "CellsTested": 2,
    "CellsPassed": 2,
    "IsMissingAnswerFile": false,
    "SemanticTypeIri": "urn:effortless:pko-extension#TableConformance",
    "Name": "effortless-golang / LearningActivities",
    "CellsFailed": 0.0,
    "Score": 100.0,
    "IsPerfect": true,
    "ImperfectSubstrateKey": null,
    "ImperfectTableKey": null,
    "DisagreeingFieldCount": 0.0,
    "SubstrateLabel": "Go",
    "SubjectArea": "domain"
   },
   {
    "TableConformanceId": "effortless-golang|OperationalBindings",
    "Run": "run-20260914-223223",
    "Substrate": "effortless-golang",
    "RulebookTable": "OperationalBindings",
    "RecordCount": 5,
    "DerivedFieldCount": 11,
    "CellsTested": 55,
    "CellsPassed": 55,
    "IsMissingAnswerFile": false,
    "SemanticTypeIri": "urn:effortless:pko-extension#TableConformance",
    "Name": "effortless-golang / OperationalBindings",
    "CellsFailed": 0.0,
    "Score": 100.0,</t>
  </si>
  <si>
    <t xml:space="preserve">
    "IsPerfect": true,
    "ImperfectSubstrateKey": null,
    "ImperfectTableKey": null,
    "DisagreeingFieldCount": 0.0,
    "SubstrateLabel": "Go",
    "SubjectArea": "domain"
   },
   {
    "TableConformanceId": "effortless-golang|CommunicationPolicies",
    "Run": "run-20260914-223223",
    "Substrate": "effortless-golang",
    "RulebookTable": "CommunicationPolicies",
    "RecordCount": 2,
    "DerivedFieldCount": 4,
    "CellsTested": 8,
    "CellsPassed": 8,
    "IsMissingAnswerFile": false,
    "SemanticTypeIri": "urn:effortless:pko-extension#TableConformance",
    "Name": "effortless-golang / CommunicationPolicies",
    "CellsFailed": 0.0,
    "Score": 100.0,
    "IsPerfect": true,
    "ImperfectSubstrateKey": null,
    "ImperfectTableKey": null,
    "DisagreeingFieldCount": 0.0,
    "SubstrateLabel": "Go",
    "SubjectArea": "communication"
   },
   {
    "TableConformanceId": "effortless-golang|MessageTemplates",
    "Run": "run-20260914-223223",
    "Substrate": "effortless-golang",
    "RulebookTable": "MessageTemplates",
    "RecordCount": 2,
    "DerivedFieldCount": 16,
    "CellsTested": 32,
    "CellsPassed": 32,
    "IsMissingAnswerFile": false,
    "SemanticTypeIri": "urn:effortless:pko-extension#TableConformance",
    "Name": "effortless-golang / MessageTemplates",
    "CellsFailed": 0.0,
    "Score": 100.0,
    "IsPerfect": true,
    "ImperfectSubstrateKey": null,
    "ImperfectTableKey": null,
    "DisagreeingFieldCount": 0.0,
    "SubstrateLabel": "Go",
    "SubjectArea": "communication"
   },
   {
    "TableConformanceId": "effortless-golang|SemanticMappings",
    "Run": "run-20260914-223223",
    "Substrate": "effortless-golang",
    "RulebookTable": "SemanticMappings",
    "RecordCount": 47,
    "DerivedFieldCount": 1,
    "CellsTested": 47,
    "CellsPassed": 47,
    "IsMissingAnswerFile": false,
    "SemanticTypeIri": "urn:effortless:pko-extension#TableConformance",
    "Name": "effortless-golang / SemanticMappings",
    "CellsFailed": 0.0,
    "Score": 100.0,
    "IsPerfect": true,
    "ImperfectSubstrateKey": null,
    "ImperfectTableKey": null,
    "DisagreeingFieldCount": 0.0,
    "SubstrateLabel": "Go",
    "SubjectArea": "meta"
   },
   {
    "TableConformanceId": "effortless-golang|WitnessLoops",
    "Run": "run-20260914-223223",
    "Substrate": "effortless-golang",
    "RulebookTable": "WitnessLoops",
    "RecordCount": 4,
    "DerivedFieldCount": 3,
    "CellsTested": 12,
    "CellsPassed": 12,
    "IsMissingAnswerFile": false,
    "SemanticTypeIri": "urn:effortless:pko-extension#TableConformance",
    "Name": "effortless-golang / WitnessLoops",
    "CellsFailed": 0.0,
    "Score": 100.0,
    "IsPerfect": true,
    "ImperfectSubstrateKey": null,
    "ImperfectTableKey": null,
    "DisagreeingFieldCount": 0.0,
    "SubstrateLabel": "Go",
    "SubjectArea": "meta"
   },
   {
    "TableConformanceId": "effortless-golang|RoleQuestions",
    "Run": "run-20260914-223223",
    "Substrate": "effortless-golang",
    "RulebookTable": "RoleQuestions",
    "RecordCount": 111,
    "DerivedFieldCount": 3,
    "CellsTested": 333,
    "CellsPassed": 333,
    "IsMissingAnswerFile": false,
    "SemanticTypeIri": "urn:effortless:pko-extension#TableConformance",
    "Name": "effortless-golang / RoleQuestions",
    "CellsFailed": 0.0,
    "Score": 100.0,
    "IsPerfect": true,
    "ImperfectSubstrateKey": null,
    "ImperfectTableKey": null,
    "DisagreeingFieldCount": 0.0,
    "SubstrateLabel": "Go",
    "SubjectArea": "org"
   },
   {
    "TableConformanceId": "effortless-golang|RulebookFields",
    "Run": "run-20260914-223223",
    "Substrate": "effortless-golang",
    "RulebookTable": "RulebookFields",
    "RecordCount": 1897,
    "DerivedFieldCount": 5,
    "CellsTested": 9485,
    "CellsPassed": 9485,
    "IsMissingAnswerFile": false,
    "SemanticTypeIri": "urn:effortless:pko-extension#TableConformance",
    "Name": "effortless-golang / RulebookFields",
    "CellsFailed": 0.0,
    "Score": 100.0,
    "IsPerfect": true,
    "ImperfectSubstrateKey": null,
    "ImperfectTableKey": null,
    "DisagreeingFieldCount": 0.0,
    "SubstrateLabel": "Go",
    "SubjectArea": "access-control"
   },
   {
    "TableConformanceId": "effortless-golang|TestSuites",
    "Run": "run-20260914-223223",
    "Substrate": "effortless-golang",
    "RulebookTable": "TestSuites",
    "RecordCount": 6,
    "DerivedFieldCount": 5,
    "CellsTested": 30,
    "CellsPassed": 30,
    "IsMissingAnswerFile": false,
    "SemanticTypeIri": "urn:effortless:pko-extension#TableConformance",
    "Name": "effortless-golang / TestSuites",
    "CellsFailed": 0.0,
    "Score": 100.0,
    "IsPerfect": true,
    "ImperfectSubstrateKey": null,
    "ImperfectTableKey": null,
    "DisagreeingFieldCount": 0.0,
    "SubstrateLabel": "Go",
    "SubjectArea": "meta"
   },
   {
    "TableConformanceId": "effortless-golang|TestCases",
    "Run": "run-20260914-223223",
    "Substrate": "effortless-golang",
    "RulebookTable": "TestCases",
    "RecordCount": 1794,
    "DerivedFieldCount": 7,
    "CellsTested": 12558,
    "CellsPassed": 12558,
    "IsMissingAnswerFile": false,
    "SemanticTypeIri": "urn:effortless:pko-extension#TableConformance",
    "Name": "effortless-golang / TestCases",
    "CellsFailed": 0.0,
    "Score": 100.0,
    "IsPerfect": true,
    "ImperfectSubstrateKey": null,
    "ImperfectTableKey": null,
    "DisagreeingFieldCount": 0.0,
    "SubstrateLabel": "Go",
    "SubjectArea": "meta"
   },
   {
    "TableConformanceId": "effortless-golang|ExceptionInvocations",
    "Run": "run-20260914-223223",
    "Substrate": "effortless-golang",
    "RulebookTable": "ExceptionInvocations",
    "RecordCount": 1,
    "DerivedFieldCount": 13,
    "CellsTested": 13,
    "CellsPassed": 13,
    "IsMissingAnswerFile": false,
    "SemanticTypeIri": "urn:effortless:pko-extension#TableConformance",
    "Name": "effortless-golang / ExceptionInvocations",
    "CellsFailed": 0.0,
    "Score": 100.0,
    "IsPerfect": true,
    "ImperfectSubstrateKey": null,
    "ImperfectTableKey": null,
    "DisagreeingFieldCount": 0.0,
    "SubstrateLabel": "Go",
    "SubjectArea": "governance"
   },
   {
    "TableConformanceId": "effortless-golang|VerificationOutcomes",
    "Run": "run-20260914-223223",
    "Substrate": "effortless-golang",
    "RulebookTable": "VerificationOutcomes",
    "RecordCount": 4,
    "DerivedFieldCount": 18,
    "CellsTested": 72,
    "CellsPassed": 72,
    "IsMissingAnswerFile": false,
    "SemanticTypeIri": "urn:effortless:pko-extension#TableConformance",
    "Name": "effortless-golang / VerificationOutcomes",
    "CellsFailed": 0.0,
    "Score": 100.0,
    "IsPerfect": true,
    "ImperfectSubstrateKey": null,
    "ImperfectTableKey": null,
    "DisagreeingFieldCount": 0.0,
    "SubstrateLabel": "Go",
    "SubjectArea": "execution"
   },
   {
    "TableConformanceId": "effortless-golang|ObservedTransitions",
    "Run": "run-20260914-223223",
    "Substrate": "effortless-golang",
    "RulebookTable": "ObservedTransitions",
    "RecordCount": 10,
    "DerivedFieldCount": 1,
    "CellsTested": 10,
    "CellsPassed": 10,
    "IsMissingAnswerFile": false,
    "SemanticTypeIri": "urn:effortless:pko-extension#TableConformance",
    "Name": "effortless-golang / ObservedTransitions",
    "CellsFailed": 0.0,
    "Score": 100.0,
    "IsPerfect": true,
    "ImperfectSubstrateKey": null,
    "ImperfectTableKey": null,
    "DisagreeingFieldCount": 0.0,
    "SubstrateLabel": "Go",
    "SubjectArea": "specification"
   },
   {
    "TableConformanceId": "effortless-golang|Recipients",
    "Run": "run-20260914-223223",
    "Substrate": "effortless-golang",
    "RulebookTable": "Recipients",
    "RecordCount": 5,
    "DerivedFieldCount": 6,
    "CellsTested": 30,
    "CellsPassed": 30,
    "IsMissingAnswerFile": false,
    "SemanticTypeIri": "urn:effortless:pko-extension#TableConformance",
    "Name": "effortless-golang / Recipients",
    "CellsFailed": 0.0,
    "Score": 100.0,
    "IsPerfect": true,
    "ImperfectSubstrateKey": null,
    "ImperfectTableKey": null,
    "DisagreeingFieldCount": 0.0,
    "SubstrateLabel": "Go",
    "SubjectArea": "communication"
   },
   {
    "TableConformanceId": "effortless-golang|MessageDeliveries",
    "Run": "run-20260914-223223",
    "Substrate": "effortless-golang",
    "RulebookTable": "MessageDeliveries",
    "RecordCount": 6,
    "DerivedFieldCount": 74,
    "CellsTested": 444,
    "CellsPassed": 444,
    "IsMissingAnswerFile": false,
    "SemanticTypeIri": "urn:effortless:pko-extension#TableConformance",
    "Name": "effortless-golang / MessageDeliveries",
    "CellsFailed": 0.0,
    "Score": 100.0,
    "IsPerfect": true,
    "ImperfectSubstrateKey": null,
    "ImperfectTableKey": null,
    "DisagreeingFieldCount": 0.0,
    "SubstrateLabel": "Go",
    "SubjectArea": "communication"
   },
   {
    "TableConformanceId": "effortless-golang|TemplateApprovals",
    "Run": "run-20260914-223223",
    "Substrate": "effortless-golang",
    "RulebookTable": "TemplateApprovals",
    "RecordCount": 2,
    "DerivedFieldCount": 6,
    "CellsTested": 12,
    "CellsPassed": 12,
    "IsMissingAnswerFile": false,
    "SemanticTypeIri": "urn:effortless:pko-extension#TableConformance",
    "Name": "effortless-golang / TemplateApprovals",
    "CellsFailed": 0.0,
    "Score": 100.0,
    "IsPerfect": true,
    "ImperfectSubstrateKey": null,
    "ImperfectTableKey": null,
    "DisagreeingFieldCount": 0.0,
    "SubstrateLabel": "Go",
    "SubjectArea": "communication"
   },
   {
    "TableConformanceId": "effortless-golang|SendIntents",
    "Run": "run-20260914-223223",
    "Substrate": "effortless-golang",
    "RulebookTable": "SendIntents",
    "RecordCount": 7,
    "DerivedFieldCount": 79,
    "CellsTested": 553,
    "CellsPassed": 553,
    "IsMissingAnswerFile": false,
    "SemanticTypeIri": "urn:effortless:pko-extension#TableConformance",
    "Name": "effortless-golang / SendIntents",
    "CellsFailed": 0.0,
    "Score": 100.0,
    "IsPerfect": true,
    "ImperfectSubstrateKey": null,
    "ImperfectTableKey": null,
    "DisagreeingFieldCount": 0.0,
    "SubstrateLabel": "Go",
    "SubjectArea": "communication"
   },
   {
    "TableConformanceId": "effortless-golang|AgentDecisionRecords",
    "Run": "run-20260914-223223",
    "Substrate": "effortless-golang",
    "RulebookTable": "AgentDecisionRecords",
    "RecordCount": 3,
    "DerivedFieldCount": 27,
    "CellsTested": 81,
    "CellsPassed": 81,
    "IsMissingAnswerFile": false,
    "SemanticTypeIri": "urn:effortless:pko-extension#TableConformance",
    "Name": "effortless-golang / AgentDecisionRecords",
    "CellsFailed": 0.0,
    "Score": 100.0,
    "IsPerfect": true,
    "ImperfectSubstrateKey": null,
    "ImperfectTableKey": null,
    "DisagreeingFieldCount": 0.0,
    "SubstrateLabel": "Go",
    "SubjectArea": "org"
   },
   {
    "TableConformanceId": "effortless-golang|DeliveredCommunications",
    "Run": "run-20260914-223223",
    "Substrate": "effortless-golang",
    "RulebookTable": "DeliveredCommunications",
    "RecordCount": 1,
    "DerivedFieldCount": 6,
    "CellsTested": 6,
    "CellsPassed": 6,
    "IsMissingAnswerFile": false,
    "SemanticTypeIri": "urn:effortless:pko-extension#TableConformance",
    "Name": "effortless-golang / DeliveredCommunications",
    "CellsFailed": 0.0,
    "Score": 100.0,
    "IsPerfect": true,
    "ImperfectSubstrateKey": null,
    "ImperfectTableKey": null,
    "DisagreeingFieldCount": 0.0,
    "SubstrateLabel": "Go",
    "SubjectArea": "communication"
   },
   {
    "TableConformanceId": "effortless-golang|AuthorityBoundaries",
    "Run": "run-20260914-223223",
    "Substrate": "effortless-golang",
    "RulebookTable": "AuthorityBoundaries",
    "RecordCount": 3,
    "DerivedFieldCount": 21,
    "CellsTested": 63,
    "CellsPassed": 63,
    "IsMissingAnswerFile": false,
    "SemanticTypeIri": "urn:effortless:pko-extension#TableConformance",
    "Name": "effortless-golang / AuthorityBoundaries",
    "CellsFailed": 0.0,
    "Score": 100.0,
    "IsPerfect": true,
    "ImperfectSubstrateKey": null,
    "ImperfectTableKey": null,
    "DisagreeingFieldCount": 0.0,
    "SubstrateLabel": "Go",
    "SubjectArea": "governance"
   },
   {
    "TableConformanceId": "effortless-golang|AppRoleProfiles",
    "Run": "run-20260914-223223",
    "Substrate": "effortless-golang",
    "RulebookTable": "AppRoleProfiles",
    "RecordCount": 12,
    "DerivedFieldCount": 2,
    "CellsTested": 24,
    "CellsPassed": 24,
    "IsMissingAnswerFile": false,
    "SemanticTypeIri": "urn:effortless:pko-extension#TableConformance",
    "Name": "effortless-golang / AppRoleProfiles",
    "CellsFailed": 0.0,
    "Score": 100.0,
    "IsPerfect": true,
    "ImperfectSubstrateKey": null,
    "ImperfectTableKey": null,
    "DisagreeingFieldCount": 0.0,
    "SubstrateLabel": "Go",
    "SubjectArea": "org"
   },
   {
    "TableConformanceId": "effortless-golang|AppNavGroups",
    "Run": "run-20260914-223223",
    "Substrate": "effortless-golang",
    "RulebookTable": "AppNavGroups",
    "RecordCount": 23,
    "DerivedFieldCount": 2,
    "CellsTested": 46,
    "CellsPassed": 46,
    "IsMissingAnswerFile": false,
    "SemanticTypeIri": "urn:effortless:pko-extension#TableConformance",
    "Name": "effortless-golang / AppNavGroups",
    "CellsFailed": 0.0,
    "Score": 100.0,
    "IsPerfect": true,
    "ImperfectSubstrateKey": null,
    "ImperfectTableKey": null,
    "DisagreeingFieldCount": 0.0,
    "SubstrateLabel": "Go",
    "SubjectArea": "application"
   },
   {
    "TableConformanceId": "effortless-golang|AppRoutes",
    "Run": "run-20260914-223223",
    "Substrate": "effortless-golang",
    "RulebookTable": "AppRoutes",
    "RecordCount": 149,
    "DerivedFieldCount": 7,
    "CellsTested": 1043,
    "CellsPassed": 1043,
    "IsMissingAnswerFile": false,
    "SemanticTypeIri": "urn:effortless:pko-extension#TableConformance",
    "Name": "effortless-golang / AppRoutes",
    "CellsFailed": 0.0,
    "Score": 100.0,
    "IsPerfect": true,
    "ImperfectSubstrateKey": null,
    "ImperfectTableKey": null,
    "DisagreeingFieldCount": 0.0,
    "SubstrateLabel": "Go",
    "SubjectArea": "application"
   },
   {
    "TableConformanceId": "effortless-golang|AppRouteQuestions",
    "Run": "run-20260914-223223",
    "Substrate": "effortless-golang",
    "RulebookTable": "AppRouteQuestions",
    "RecordCount": 151,
    "DerivedFieldCount": 1,
    "CellsTested": 151,
    "CellsPassed": 151,
    "IsMissingAnswerFile": false,
    "SemanticTypeIri": "urn:effortless:pko-extension#TableConformance",
    "Name": "effortless-golang / AppRouteQuestions",
    "CellsFailed": 0.0,
    "Score": 100.0,
    "IsPerfect": true,
    "ImperfectSubstrateKey": null,
    "ImperfectTableKey": null,
    "DisagreeingFieldCount": 0.0,
    "SubstrateLabel": "Go",
    "SubjectArea": "application"
   },
   {
    "TableConformanceId": "effortless-golang|AppRouteReferences",
    "Run": "run-20260914-223223",
    "Substrate": "effortless-golang",
    "RulebookTable": "AppRouteReferences",
    "RecordCount": 315,
    "DerivedFieldCount": 1,
    "CellsTested": 315,
    "CellsPassed": 315,
    "IsMissingAnswerFile": false,
    "SemanticTypeIri": "urn:effortless:pko-extension#TableConformance",
    "Name": "effortless-golang / AppRouteReferences",
    "CellsFailed": 0.0,
    "Score": 100.0,
    "IsPerfect": true,
    "ImperfectSubstrateKey": null,
    "ImperfectTableKey": null,
    "DisagreeingFieldCount": 0.0,
    "SubstrateLabel": "Go",
    "SubjectArea": "application"
   },
   {
    "TableConformanceId": "effortless-golang|RulebookTables",
    "Run": "run-20260914-223223",
    "Substrate": "effortless-golang",
    "RulebookTable": "RulebookTables",
    "RecordCount": 92,
    "DerivedFieldCount": 5,
    "CellsTested": 460,
    "CellsPassed": 460,
    "IsMissingAnswerFile": false,
    "SemanticTypeIri": "urn:effortless:pko-extension#TableConformance",
    "Name": "effortless-golang / RulebookTables",
    "CellsFailed": 0.0,
    "Score": 100.0,
    "IsPerfect": true,
    "ImperfectSubstrateKey": null,
    "ImperfectTableKey": null,
    "DisagreeingFieldCount": 0.0,
    "SubstrateLabel": "Go",
    "SubjectArea": "meta"
   },
   {
    "TableConformanceId": "effortless-golang|AccessPrincipals",
    "Run": "run-20260914-223223",
    "Substrate": "effortless-golang",
    "RulebookTable": "AccessPrincipals",
    "RecordCount": 12,
    "DerivedFieldCount": 8,
    "CellsTested": 96,
    "CellsPassed": 96,
    "IsMissingAnswerFile": false,
    "SemanticTypeIri": "urn:effortless:pko-extension#TableConformance",
    "Name": "effortless-golang / AccessPrincipals",
    "CellsFailed": 0.0,
    "Score": 100.0,
    "IsPerfect": true,
    "ImperfectSubstrateKey": null,
    "ImperfectTableKey": null,
    "DisagreeingFieldCount": 0.0,
    "SubstrateLabel": "Go",
    "SubjectArea": "access-control"
   },
   {
    "TableConformanceId": "effortless-golang|AccessPolicies",
    "Run": "run-20260914-223223",
    "Substrate": "effortless-golang",
    "RulebookTable": "AccessPolicies",
    "RecordCount": 202,
    "DerivedFieldCount": 7,
    "CellsTested": 1414,
    "CellsPassed": 1414,
    "IsMissingAnswerFile": false,
    "SemanticTypeIri": "urn:effortless:pko-extension#TableConformance",
    "Name": "effortless-golang / AccessPolicies",
    "CellsFailed": 0.0,
    "Score": 100.0,
    "IsPerfect": true,
    "ImperfectSubstrateKey": null,
    "ImperfectTableKey": null,
    "DisagreeingFieldCount": 0.0,
    "SubstrateLabel": "Go",
    "SubjectArea": "access-control"
   },
   {
    "TableConformanceId": "effortless-golang|FieldGrants",
    "Run": "run-20260914-223223",
    "Substrate": "effortless-golang",
    "RulebookTable": "FieldGrants",
    "RecordCount": 3639,
    "DerivedFieldCount": 7,
    "CellsTested": 25473,
    "CellsPassed": 25473,
    "IsMissingAnswerFile": false,
    "SemanticTypeIri": "urn:effortless:pko-extension#TableConformance",
    "Name": "effortless-golang / FieldGrants",
    "CellsFailed": 0.0,
    "Score": 100.0,
    "IsPerfect": true,
    "ImperfectSubstrateKey": null,
    "ImperfectTableKey": null,
    "DisagreeingFieldCount": 0.0,
    "SubstrateLabel": "Go",
    "SubjectArea": "access-control"
   },
   {
    "TableConformanceId": "effortless-golang|RoleSchemas",
    "Run": "run-20260914-223223",
    "Substrate": "effortless-golang",
    "RulebookTable": "RoleSchemas",
    "RecordCount": 12,
    "DerivedFieldCount": 4,
    "CellsTested": 48,
    "CellsPassed": 48,
    "IsMissingAnswerFile": false,
    "SemanticTypeIri": "urn:effortless:pko-extension#TableConformance",
    "Name": "effortless-golang / RoleSchemas",
    "CellsFailed": 0.0,
    "Score": 100.0,
    "IsPerfect": true,
    "ImperfectSubstrateKey": null,
    "ImperfectTableKey": null,
    "DisagreeingFieldCount": 0.0,
    "SubstrateLabel": "Go",
    "SubjectArea": "org"
   },
   {
    "TableConformanceId": "effortless-golang|RoleSchemaViews",
    "Run": "run-20260914-223223",
    "Substrate": "effortless-golang",
    "RulebookTable": "RoleSchemaViews",
    "RecordCount": 202,
    "DerivedFieldCount": 8,
    "CellsTested": 1616,
    "CellsPassed": 1616,
    "IsMissingAnswerFile": false,
    "SemanticTypeIri": "urn:effortless:pko-extension#TableConformance",
    "Name": "effortless-golang / RoleSchemaViews",
    "CellsFailed": 0.0,
    "Score": 100.0,
    "IsPerfect": true,
    "ImperfectSubstrateKey": null,
    "ImperfectTableKey": null,
    "DisagreeingFieldCount": 0.0,
    "SubstrateLabel": "Go",
    "SubjectArea": "org"
   },
   {
    "TableConformanceId": "effortless-golang|JwtClaimMappings",
    "Run": "run-20260914-223223",
    "Substrate": "effortless-golang",
    "RulebookTable": "JwtClaimMappings",
    "RecordCount": 4,
    "DerivedFieldCount": 2,
    "CellsTested": 8,
    "CellsPassed": 8,
    "IsMissingAnswerFile": false,
    "SemanticTypeIri": "urn:effortless:pko-extension#TableConformance",
    "Name": "effortless-golang / JwtClaimMappings",
    "CellsFailed": 0.0,
    "Score": 100.0,
    "IsPerfect": true,
    "ImperfectSubstrateKey": null,
    "ImperfectTableKey": null,
    "DisagreeingFieldCount": 0.0,
    "SubstrateLabel": "Go",
    "SubjectArea": "access-control"
   },
   {
    "TableConformanceId": "effortless-golang|AccessDenialTests",
    "Run": "run-20260914-223223",
    "Substrate": "effortless-golang",
    "RulebookTable": "AccessDenialTests",
    "RecordCount": 17,
    "DerivedFieldCount": 6,
    "CellsTested": 102,
    "CellsPassed": 102,
    "IsMissingAnswerFile": false,
    "SemanticTypeIri": "urn:effortless:pko-extension#TableConformance",
    "Name": "effortless-golang / AccessDenialTests",
    "CellsFailed": 0.0,
    "Score": 100.0,
    "IsPerfect": true,
    "ImperfectSubstrateKey": null,
    "ImperfectTableKey": null,
    "DisagreeingFieldCount": 0.0,
    "SubstrateLabel": "Go",
    "SubjectArea": "access-control"
   },
   {
    "TableConformanceId": "effortless-golang|AppUsers",
    "Run": "run-20260914-223223",
    "Substrate": "effortless-golang",
    "RulebookTable": "AppUsers",
    "RecordCount": 10,
    "DerivedFieldCount": 7,
    "CellsTested": 70,
    "CellsPassed": 70,
    "IsMissingAnswerFile": false,
    "SemanticTypeIri": "urn:effortless:pko-extension#TableConformance",
    "Name": "effortless-golang / AppUsers",
    "CellsFailed": 0.0,
    "Score": 100.0,
    "IsPerfect": true,
    "ImperfectSubstrateKey": null,
    "ImperfectTableKey": null,
    "DisagreeingFieldCount": 0.0,
    "SubstrateLabel": "Go",
    "SubjectArea": null
   },
   {
    "TableConformanceId": "effortless-golang|PrincipalAssignments",
    "Run": "run-20260914-223223",
    "Substrate": "effortless-golang",
    "RulebookTable": "PrincipalAssignments",
    "RecordCount": 12,
    "DerivedFieldCount": 5,
    "CellsTested": 60,
    "CellsPassed": 60,
    "IsMissingAnswerFile": false,
    "SemanticTypeIri": "urn:effortless:pko-extension#TableConformance",
    "Name": "effortless-golang / PrincipalAssignments",
    "CellsFailed": 0.0,
    "Score": 100.0,
    "IsPerfect": true,
    "ImperfectSubstrateKey": null,
    "ImperfectTableKey": null,
    "DisagreeingFieldCount": 0.0,
    "SubstrateLabel": "Go",
    "SubjectArea": null
   },
   {
    "TableConformanceId": "effortless-golang|ProcessMiningRuns",
    "Run": "run-20260914-223223",
    "Substrate": "effortless-golang",
    "RulebookTable": "ProcessMiningRuns",
    "RecordCount": 4,
    "DerivedFieldCount": 10,
    "CellsTested": 40,
    "CellsPassed": 40,
    "IsMissingAnswerFile": false,
    "SemanticTypeIri": "urn:effortless:pko-extension#TableConformance",
    "Name": "effortless-golang / ProcessMiningRuns",
    "CellsFailed": 0.0,
    "Score": 100.0,
    "IsPerfect": true,
    "ImperfectSubstrateKey": null,
    "ImperfectTableKey": null,
    "DisagreeingFieldCount": 0.0,
    "SubstrateLabel": "Go",
    "SubjectArea": "knowledge"
   },
   {
    "TableConformanceId": "effortless-golang|Vocabularies",
    "Run": "run-20260914-223223",
    "Substrate": "effortless-golang",
    "RulebookTable": "Vocabularies",
    "RecordCount": 2,
    "DerivedFieldCount": 4,
    "CellsTested": 8,
    "CellsPassed": 8,
    "IsMissingAnswerFile": false,
    "SemanticTypeIri": "urn:effortless:pko-extension#TableConformance",
    "Name": "effortless-golang / Vocabularies",
    "CellsFailed": 0.0,
    "Score": 100.0,
    "IsPerfect": true,
    "ImperfectSubstrateKey": null,
    "ImperfectTableKey": null,
    "DisagreeingFieldCount": 0.0,
    "SubstrateLabel": "Go",
    "SubjectArea": "knowledge"
   },
   {
    "TableConformanceId": "effortless-golang|VocabularyTerms",
    "Run": "run-20260914-223223",
    "Substrate": "effortless-golang",
    "RulebookTable": "VocabularyTerms",
    "RecordCount": 12,
    "DerivedFieldCount": 5,
    "CellsTested": 60,
    "CellsPassed": 60,
    "IsMissingAnswerFile": false,
    "SemanticTypeIri": "urn:effortless:pko-extension#TableConformance",
    "Name": "effortless-golang / VocabularyTerms",
    "CellsFailed": 0.0,
    "Score": 100.0,
    "IsPerfect": true,
    "ImperfectSubstrateKey": null,
    "ImperfectTableKey": null,
    "DisagreeingFieldCount": 0.0,
    "SubstrateLabel": "Go",
    "SubjectArea": "knowledge"
   },
   {
    "TableConformanceId": "effortless-golang|KnowledgeBrokerLinks",
    "Run": "run-20260914-223223",
    "Substrate": "effortless-golang",
    "RulebookTable": "KnowledgeBrokerLinks",
    "RecordCount": 5,
    "DerivedFieldCount": 8,
    "CellsTested": 40,
    "CellsPassed": 40,
    "IsMissingAnswerFile": false,
    "SemanticTypeIri": "urn:effortless:pko-extension#TableConformance",
    "Name": "effortless-golang / KnowledgeBrokerLinks",
    "CellsFailed": 0.0,
    "Score": 100.0,
    "IsPerfect": true,
    "ImperfectSubstrateKey": null,
    "ImperfectTableKey": null,
    "DisagreeingFieldCount": 0.0,
    "SubstrateLabel": "Go",
    "SubjectArea": "knowledge"
   },
   {
    "TableConformanceId": "effortless-golang|ConformanceSubstrates",
    "Run": "run-20260914-223223",
    "Substrate": "effortless-golang",
    "RulebookTable": "ConformanceSubstrates",
    "RecordCount": 8,
    "DerivedFieldCount": 11,
    "CellsTested": 88,
    "CellsPassed": 88,
    "IsMissingAnswerFile": false,
    "SemanticTypeIri": "urn:effortless:pko-extension#TableConformance",
    "Name": "effortless-golang / ConformanceSubstrates",
    "CellsFailed": 0.0,
    "Score": 100.0,
    "IsPerfect": true,
    "ImperfectSubstrateKey": null,
    "ImperfectTableKey": null,
    "DisagreeingFieldCount": 0.0,
    "SubstrateLabel": "Go",
    "SubjectArea": "meta"
   },
   {
    "TableConformanceId": "effortless-golang|ConformanceRuns",
    "Run": "run-20260914-223223",
    "Substrate": "effortless-golang",
    "RulebookTable": "ConformanceRuns",
    "RecordCount": 3,
    "DerivedFieldCount": 9,
    "CellsTested": 27,
    "CellsPassed": 27,
    "IsMissingAnswerFile": false,
    "SemanticTypeIri": "urn:effortless:pko-extension#TableConformance",
    "Name": "effortless-golang / ConformanceRuns",
    "CellsFailed": 0.0,
    "Score": 100.0,
    "IsPerfect": true,
    "ImperfectSubstrateKey": null,
    "ImperfectTableKey": null,
    "DisagreeingFieldCount": 0.0,
    "SubstrateLabel": "Go",
    "SubjectArea": "meta"
   },
   {
    "TableConformanceId": "effortless-golang|SubstrateRunScores",
    "Run": "run-20260914-223223",
    "Substrate": "effortless-golang",
    "RulebookTable": "SubstrateRunScores",
    "RecordCount": 21,
    "DerivedFieldCount": 13,
    "CellsTested": 273,
    "CellsPassed": 273,
    "IsMissingAnswerFile": false,
    "SemanticTypeIri": "urn:effortless:pko-extension#TableConformance",
    "Name": "effortless-golang / SubstrateRunScores",
    "CellsFailed": 0.0,
    "Score": 100.0,
    "IsPerfect": true,
    "ImperfectSubstrateKey": null,
    "ImperfectTableKey": null,
    "DisagreeingFieldCount": 0.0,
    "SubstrateLabel": "Go",
    "SubjectArea": "meta"
   },
   {
    "TableConformanceId": "effortless-golang|TableConformance",
    "Run": "run-20260914-223223",
    "Substrate": "effortless-golang",
    "RulebookTable": "TableConformance",
    "RecordCount": 623,
    "DerivedFieldCount": 9,
    "CellsTested": 5607,
    "CellsPassed": 5607,
    "IsMissingAnswerFile": false,
    "SemanticTypeIri": "urn:effortless:pko-extension#TableConformance",
    "Name": "effortless-golang / TableConformance",
    "CellsFailed": 0.0,
    "Score": 100.0,
    "IsPerfect": true,
    "ImperfectSubstrateKey": null,
    "ImperfectTableKey": null,
    "DisagreeingFieldCount": 0.0,
    "SubstrateLabel": "Go",
    "SubjectArea": "meta"
   },
   {
    "TableConformanceId": "effortless-golang|FieldDisagreements",
    "Run": "run-20260914-223223",
    "Substrate": "effortless-golang",
    "RulebookTable": "FieldDisagreements",
    "RecordCount": 49,
    "DerivedFieldCount": 5,
    "CellsTested": 245,
    "CellsPassed": 245,
    "IsMissingAnswerFile": false,
    "SemanticTypeIri": "urn:effortless:pko-extension#TableConformance",
    "Name": "effortless-golang / FieldDisagreements",
    "CellsFailed": 0.0,
    "Score": 100.0,
    "IsPerfect": true,
    "ImperfectSubstrateKey": null,
    "ImperfectTableKey": null,
    "DisagreeingFieldCount": 0.0,
    "SubstrateLabel": "Go",
    "SubjectArea": "meta"
   },
   {
    "TableConformanceId": "effortless-golang|CellDisagreements",
    "Run": "run-20260914-223223",
    "Substrate": "effortless-golang",
    "RulebookTable": "CellDisagreements",
    "RecordCount": 316,
    "DerivedFieldCount": 3,
    "CellsTested": 948,
    "CellsPassed": 948,
    "IsMissingAnswerFile": false,
    "SemanticTypeIri": "urn:effortless:pko-extension#TableConformance",
    "Name": "effortless-golang / CellDisagreements",
    "CellsFailed": 0.0,
    "Score": 100.0,
    "IsPerfect": true,
    "ImperfectSubstrateKey": null,
    "ImperfectTableKey": null,
    "DisagreeingFieldCount": 0.0,
    "SubstrateLabel": "Go",
    "SubjectArea": "meta"
   },
   {
    "TableConformanceId": "effortless-owl|RulebookReleases",
    "Run": "run-20260914-223223",
    "Substrate": "effortless-owl",
    "RulebookTable": "RulebookReleases",
    "RecordCount": 1,
    "DerivedFieldCount": 1,
    "CellsTested": 1,
    "CellsPassed": 0,
    "IsMissingAnswerFile": false,
    "SemanticTypeIri": "urn:effortless:pko-extension#TableConformance",
    "Name": "effortless-owl / RulebookReleases",
    "CellsFailed": 1.0,
    "Score": 0.0,
    "IsPerfect": false,
    "ImperfectSubstrateKey": "effortless-owl",
    "ImperfectTableKey": "RulebookReleases",
    "DisagreeingFieldCount": 1.0,
    "SubstrateLabel": "OWL / SHACL",
    "SubjectArea": "meta"
   },
   {
    "TableConformanceId": "effortless-owl|OntologyProfiles",
    "Run": "run-20260914-223223",
    "Substrate": "effortless-owl",
    "RulebookTable": "OntologyProfiles",
    "RecordCount": 11,
    "DerivedFieldCount": 1,
    "CellsTested": 11,
    "CellsPassed": 11,
    "IsMissingAnswerFile": false,
    "SemanticTypeIri": "urn:effortless:pko-extension#TableConformance",
    "Name": "effortless-owl / OntologyProfiles",
    "CellsFailed": 0.0,
    "Score": 100.0,
    "IsPerfect": true,
    "ImperfectSubstrateKey": null,
    "ImperfectTableKey": null,
    "DisagreeingFieldCount": 0.0,
    "SubstrateLabel": "OWL / SHACL",
    "SubjectArea": "domain"
   },
   {
    "TableConformanceId": "effortless-owl|EvaluationContexts",
    "Run": "run-20260914-223223",
    "Substrate": "effortless-owl",
    "RulebookTable": "EvaluationContexts",
    "RecordCount": 1,
    "DerivedFieldCount": 1,
    "CellsTested": 1,
    "CellsPassed": 1,
    "IsMissingAnswerFile": false,
    "SemanticTypeIri": "urn:effortless:pko-extension#TableConformance",
    "Name": "effortless-owl / EvaluationContexts",
    "CellsFailed": 0.0,
    "Score": 100.0,
    "IsPerfect": true,
    "ImperfectSubstrateKey": null,
    "ImperfectTableKey": null,
    "DisagreeingFieldCount": 0.0,
    "SubstrateLabel": "OWL / SHACL",
    "SubjectArea": "meta"
   },
   {
    "TableConformanceId": "effortless-owl|Organizations",
    "Run": "run-20260914-223223",
    "Substrate": "effortless-owl",
    "RulebookTable": "Organizations",
    "RecordCount": 4,
    "DerivedFieldCount": 1,
    "CellsTested": 4,
    "CellsPassed": 4,
    "IsMissingAnswerFile": false,
    "SemanticTypeIri": "urn:effortless:pko-extension#TableConformance",
    "Name": "effortless-owl / Organizations",
    "CellsFailed": 0.0,
    "Score": 100.0,
    "IsPerfect": true,
    "ImperfectSubstrateKey": null,
    "ImperfectTableKey": null,
    "DisagreeingFieldCount": 0.0,
    "SubstrateLabel": "OWL / SHACL",
    "SubjectArea": "org"
   },
   {
    "TableConformanceId": "effortless-owl|Agents",
    "Run": "run-20260914-223223",
    "Substrate": "effortless-owl",
    "RulebookTable": "Agents",
    "RecordCount": 11,
    "DerivedFieldCount": 16,
    "CellsTested": 176,
    "CellsPassed": 176,
    "IsMissingAnswerFile": false,
    "SemanticTypeIri": "urn:effortless:pko-extension#TableConformance",
    "Name": "effortless-owl / Agents",
    "CellsFailed": 0.0,
    "Score": 100.0,
    "IsPerfect": true,
    "ImperfectSubstrateKey": null,
    "ImperfectTableKey": null,
    "DisagreeingFieldCount": 0.0,
    "SubstrateLabel": "OWL / SHACL",
    "SubjectArea": "org"
   },
   {
    "TableConformanceId": "effortless-owl|Roles",
    "Run": "run-20260914-223223",
    "Substrate": "effortless-owl",
    "RulebookTable": "Roles",
    "RecordCount": 12,
    "DerivedFieldCount": 17,
    "CellsTested": 204,
    "CellsPassed": 204,
    "IsMissingAnswerFile": false,
    "SemanticTypeIri": "urn:effortless:pko-extension#TableConformance",
    "Name": "effortless-owl / Roles",
    "CellsFailed": 0.0,
    "Score": 100.0,
    "IsPerfect": true,
    "ImperfectSubstrateKey": null,
    "ImperfectTableKey": null,
    "Disagre</t>
  </si>
  <si>
    <t xml:space="preserve">eingFieldCount": 0.0,
    "SubstrateLabel": "OWL / SHACL",
    "SubjectArea": "org"
   },
   {
    "TableConformanceId": "effortless-owl|RoleAssignments",
    "Run": "run-20260914-223223",
    "Substrate": "effortless-owl",
    "RulebookTable": "RoleAssignments",
    "RecordCount": 13,
    "DerivedFieldCount": 47,
    "CellsTested": 611,
    "CellsPassed": 611,
    "IsMissingAnswerFile": false,
    "SemanticTypeIri": "urn:effortless:pko-extension#TableConformance",
    "Name": "effortless-owl / RoleAssignments",
    "CellsFailed": 0.0,
    "Score": 100.0,
    "IsPerfect": true,
    "ImperfectSubstrateKey": null,
    "ImperfectTableKey": null,
    "DisagreeingFieldCount": 0.0,
    "SubstrateLabel": "OWL / SHACL",
    "SubjectArea": "org"
   },
   {
    "TableConformanceId": "effortless-owl|CommunitiesOfPractice",
    "Run": "run-20260914-223223",
    "Substrate": "effortless-owl",
    "RulebookTable": "CommunitiesOfPractice",
    "RecordCount": 2,
    "DerivedFieldCount": 1,
    "CellsTested": 2,
    "CellsPassed": 2,
    "IsMissingAnswerFile": false,
    "SemanticTypeIri": "urn:effortless:pko-extension#TableConformance",
    "Name": "effortless-owl / CommunitiesOfPractice",
    "CellsFailed": 0.0,
    "Score": 100.0,
    "IsPerfect": true,
    "ImperfectSubstrateKey": null,
    "ImperfectTableKey": null,
    "DisagreeingFieldCount": 0.0,
    "SubstrateLabel": "OWL / SHACL",
    "SubjectArea": "org"
   },
   {
    "TableConformanceId": "effortless-owl|Mentorships",
    "Run": "run-20260914-223223",
    "Substrate": "effortless-owl",
    "RulebookTable": "Mentorships",
    "RecordCount": 1,
    "DerivedFieldCount": 1,
    "CellsTested": 1,
    "CellsPassed": 1,
    "IsMissingAnswerFile": false,
    "SemanticTypeIri": "urn:effortless:pko-extension#TableConformance",
    "Name": "effortless-owl / Mentorships",
    "CellsFailed": 0.0,
    "Score": 100.0,
    "IsPerfect": true,
    "ImperfectSubstrateKey": null,
    "ImperfectTableKey": null,
    "DisagreeingFieldCount": 0.0,
    "SubstrateLabel": "OWL / SHACL",
    "SubjectArea": "org"
   },
   {
    "TableConformanceId": "effortless-owl|ProcedureTypes",
    "Run": "run-20260914-223223",
    "Substrate": "effortless-owl",
    "RulebookTable": "ProcedureTypes",
    "RecordCount": 2,
    "DerivedFieldCount": 1,
    "CellsTested": 2,
    "CellsPassed": 2,
    "IsMissingAnswerFile": false,
    "SemanticTypeIri": "urn:effortless:pko-extension#TableConformance",
    "Name": "effortless-owl / ProcedureTypes",
    "CellsFailed": 0.0,
    "Score": 100.0,
    "IsPerfect": true,
    "ImperfectSubstrateKey": null,
    "ImperfectTableKey": null,
    "DisagreeingFieldCount": 0.0,
    "SubstrateLabel": "OWL / SHACL",
    "SubjectArea": "specification"
   },
   {
    "TableConformanceId": "effortless-owl|Procedures",
    "Run": "run-20260914-223223",
    "Substrate": "effortless-owl",
    "RulebookTable": "Procedures",
    "RecordCount": 2,
    "DerivedFieldCount": 1,
    "CellsTested": 2,
    "CellsPassed": 2,
    "IsMissingAnswerFile": false,
    "SemanticTypeIri": "urn:effortless:pko-extension#TableConformance",
    "Name": "effortless-owl / Procedures",
    "CellsFailed": 0.0,
    "Score": 100.0,
    "IsPerfect": true,
    "ImperfectSubstrateKey": null,
    "ImperfectTableKey": null,
    "DisagreeingFieldCount": 0.0,
    "SubstrateLabel": "OWL / SHACL",
    "SubjectArea": "specification"
   },
   {
    "TableConformanceId": "effortless-owl|ProcedureVersions",
    "Run": "run-20260914-223223",
    "Substrate": "effortless-owl",
    "RulebookTable": "ProcedureVersions",
    "RecordCount": 3,
    "DerivedFieldCount": 73,
    "CellsTested": 219,
    "CellsPassed": 213,
    "IsMissingAnswerFile": false,
    "SemanticTypeIri": "urn:effortless:pko-extension#TableConformance",
    "Name": "effortless-owl / ProcedureVersions",
    "CellsFailed": 6.0,
    "Score": 97.26,
    "IsPerfect": false,
    "ImperfectSubstrateKey": "effortless-owl",
    "ImperfectTableKey": "ProcedureVersions",
    "DisagreeingFieldCount": 5.0,
    "SubstrateLabel": "OWL / SHACL",
    "SubjectArea": "specification"
   },
   {
    "TableConformanceId": "effortless-owl|ProcedureVersionLinks",
    "Run": "run-20260914-223223",
    "Substrate": "effortless-owl",
    "RulebookTable": "ProcedureVersionLinks",
    "RecordCount": 1,
    "DerivedFieldCount": 2,
    "CellsTested": 2,
    "CellsPassed": 1,
    "IsMissingAnswerFile": false,
    "SemanticTypeIri": "urn:effortless:pko-extension#TableConformance",
    "Name": "effortless-owl / ProcedureVersionLinks",
    "CellsFailed": 1.0,
    "Score": 50.0,
    "IsPerfect": false,
    "ImperfectSubstrateKey": "effortless-owl",
    "ImperfectTableKey": "ProcedureVersionLinks",
    "DisagreeingFieldCount": 1.0,
    "SubstrateLabel": "OWL / SHACL",
    "SubjectArea": "specification"
   },
   {
    "TableConformanceId": "effortless-owl|ProcedureStatusChanges",
    "Run": "run-20260914-223223",
    "Substrate": "effortless-owl",
    "RulebookTable": "ProcedureStatusChanges",
    "RecordCount": 5,
    "DerivedFieldCount": 1,
    "CellsTested": 5,
    "CellsPassed": 5,
    "IsMissingAnswerFile": false,
    "SemanticTypeIri": "urn:effortless:pko-extension#TableConformance",
    "Name": "effortless-owl / ProcedureStatusChanges",
    "CellsFailed": 0.0,
    "Score": 100.0,
    "IsPerfect": true,
    "ImperfectSubstrateKey": null,
    "ImperfectTableKey": null,
    "DisagreeingFieldCount": 0.0,
    "SubstrateLabel": "OWL / SHACL",
    "SubjectArea": "specification"
   },
   {
    "TableConformanceId": "effortless-owl|Steps",
    "Run": "run-20260914-223223",
    "Substrate": "effortless-owl",
    "RulebookTable": "Steps",
    "RecordCount": 17,
    "DerivedFieldCount": 42,
    "CellsTested": 714,
    "CellsPassed": 714,
    "IsMissingAnswerFile": false,
    "SemanticTypeIri": "urn:effortless:pko-extension#TableConformance",
    "Name": "effortless-owl / Steps",
    "CellsFailed": 0.0,
    "Score": 100.0,
    "IsPerfect": true,
    "ImperfectSubstrateKey": null,
    "ImperfectTableKey": null,
    "DisagreeingFieldCount": 0.0,
    "SubstrateLabel": "OWL / SHACL",
    "SubjectArea": "specification"
   },
   {
    "TableConformanceId": "effortless-owl|StepTransitions",
    "Run": "run-20260914-223223",
    "Substrate": "effortless-owl",
    "RulebookTable": "StepTransitions",
    "RecordCount": 20,
    "DerivedFieldCount": 18,
    "CellsTested": 360,
    "CellsPassed": 284,
    "IsMissingAnswerFile": false,
    "SemanticTypeIri": "urn:effortless:pko-extension#TableConformance",
    "Name": "effortless-owl / StepTransitions",
    "CellsFailed": 76.0,
    "Score": 78.89,
    "IsPerfect": false,
    "ImperfectSubstrateKey": "effortless-owl",
    "ImperfectTableKey": "StepTransitions",
    "DisagreeingFieldCount": 6.0,
    "SubstrateLabel": "OWL / SHACL",
    "SubjectArea": "specification"
   },
   {
    "TableConformanceId": "effortless-owl|Actions",
    "Run": "run-20260914-223223",
    "Substrate": "effortless-owl",
    "RulebookTable": "Actions",
    "RecordCount": 9,
    "DerivedFieldCount": 1,
    "CellsTested": 9,
    "CellsPassed": 9,
    "IsMissingAnswerFile": false,
    "SemanticTypeIri": "urn:effortless:pko-extension#TableConformance",
    "Name": "effortless-owl / Actions",
    "CellsFailed": 0.0,
    "Score": 100.0,
    "IsPerfect": true,
    "ImperfectSubstrateKey": null,
    "ImperfectTableKey": null,
    "DisagreeingFieldCount": 0.0,
    "SubstrateLabel": "OWL / SHACL",
    "SubjectArea": "specification"
   },
   {
    "TableConformanceId": "effortless-owl|Functions",
    "Run": "run-20260914-223223",
    "Substrate": "effortless-owl",
    "RulebookTable": "Functions",
    "RecordCount": 8,
    "DerivedFieldCount": 1,
    "CellsTested": 8,
    "CellsPassed": 8,
    "IsMissingAnswerFile": false,
    "SemanticTypeIri": "urn:effortless:pko-extension#TableConformance",
    "Name": "effortless-owl / Functions",
    "CellsFailed": 0.0,
    "Score": 100.0,
    "IsPerfect": true,
    "ImperfectSubstrateKey": null,
    "ImperfectTableKey": null,
    "DisagreeingFieldCount": 0.0,
    "SubstrateLabel": "OWL / SHACL",
    "SubjectArea": "specification"
   },
   {
    "TableConformanceId": "effortless-owl|Tools",
    "Run": "run-20260914-223223",
    "Substrate": "effortless-owl",
    "RulebookTable": "Tools",
    "RecordCount": 8,
    "DerivedFieldCount": 1,
    "CellsTested": 8,
    "CellsPassed": 8,
    "IsMissingAnswerFile": false,
    "SemanticTypeIri": "urn:effortless:pko-extension#TableConformance",
    "Name": "effortless-owl / Tools",
    "CellsFailed": 0.0,
    "Score": 100.0,
    "IsPerfect": true,
    "ImperfectSubstrateKey": null,
    "ImperfectTableKey": null,
    "DisagreeingFieldCount": 0.0,
    "SubstrateLabel": "OWL / SHACL",
    "SubjectArea": "specification"
   },
   {
    "TableConformanceId": "effortless-owl|StepActions",
    "Run": "run-20260914-223223",
    "Substrate": "effortless-owl",
    "RulebookTable": "StepActions",
    "RecordCount": 9,
    "DerivedFieldCount": 1,
    "CellsTested": 9,
    "CellsPassed": 9,
    "IsMissingAnswerFile": false,
    "SemanticTypeIri": "urn:effortless:pko-extension#TableConformance",
    "Name": "effortless-owl / StepActions",
    "CellsFailed": 0.0,
    "Score": 100.0,
    "IsPerfect": true,
    "ImperfectSubstrateKey": null,
    "ImperfectTableKey": null,
    "DisagreeingFieldCount": 0.0,
    "SubstrateLabel": "OWL / SHACL",
    "SubjectArea": "specification"
   },
   {
    "TableConformanceId": "effortless-owl|StepFunctions",
    "Run": "run-20260914-223223",
    "Substrate": "effortless-owl",
    "RulebookTable": "StepFunctions",
    "RecordCount": 8,
    "DerivedFieldCount": 1,
    "CellsTested": 8,
    "CellsPassed": 8,
    "IsMissingAnswerFile": false,
    "SemanticTypeIri": "urn:effortless:pko-extension#TableConformance",
    "Name": "effortless-owl / StepFunctions",
    "CellsFailed": 0.0,
    "Score": 100.0,
    "IsPerfect": true,
    "ImperfectSubstrateKey": null,
    "ImperfectTableKey": null,
    "DisagreeingFieldCount": 0.0,
    "SubstrateLabel": "OWL / SHACL",
    "SubjectArea": "specification"
   },
   {
    "TableConformanceId": "effortless-owl|StepTools",
    "Run": "run-20260914-223223",
    "Substrate": "effortless-owl",
    "RulebookTable": "StepTools",
    "RecordCount": 10,
    "DerivedFieldCount": 1,
    "CellsTested": 10,
    "CellsPassed": 10,
    "IsMissingAnswerFile": false,
    "SemanticTypeIri": "urn:effortless:pko-extension#TableConformance",
    "Name": "effortless-owl / StepTools",
    "CellsFailed": 0.0,
    "Score": 100.0,
    "IsPerfect": true,
    "ImperfectSubstrateKey": null,
    "ImperfectTableKey": null,
    "DisagreeingFieldCount": 0.0,
    "SubstrateLabel": "OWL / SHACL",
    "SubjectArea": "specification"
   },
   {
    "TableConformanceId": "effortless-owl|Requirements",
    "Run": "run-20260914-223223",
    "Substrate": "effortless-owl",
    "RulebookTable": "Requirements",
    "RecordCount": 13,
    "DerivedFieldCount": 31,
    "CellsTested": 403,
    "CellsPassed": 403,
    "IsMissingAnswerFile": false,
    "SemanticTypeIri": "urn:effortless:pko-extension#TableConformance",
    "Name": "effortless-owl / Requirements",
    "CellsFailed": 0.0,
    "Score": 100.0,
    "IsPerfect": true,
    "ImperfectSubstrateKey": null,
    "ImperfectTableKey": null,
    "DisagreeingFieldCount": 0.0,
    "SubstrateLabel": "OWL / SHACL",
    "SubjectArea": "governance"
   },
   {
    "TableConformanceId": "effortless-owl|StepRequirements",
    "Run": "run-20260914-223223",
    "Substrate": "effortless-owl",
    "RulebookTable": "StepRequirements",
    "RecordCount": 15,
    "DerivedFieldCount": 10,
    "CellsTested": 150,
    "CellsPassed": 150,
    "IsMissingAnswerFile": false,
    "SemanticTypeIri": "urn:effortless:pko-extension#TableConformance",
    "Name": "effortless-owl / StepRequirements",
    "CellsFailed": 0.0,
    "Score": 100.0,
    "IsPerfect": true,
    "ImperfectSubstrateKey": null,
    "ImperfectTableKey": null,
    "DisagreeingFieldCount": 0.0,
    "SubstrateLabel": "OWL / SHACL",
    "SubjectArea": "specification"
   },
   {
    "TableConformanceId": "effortless-owl|StepVerifications",
    "Run": "run-20260914-223223",
    "Substrate": "effortless-owl",
    "RulebookTable": "StepVerifications",
    "RecordCount": 11,
    "DerivedFieldCount": 1,
    "CellsTested": 11,
    "CellsPassed": 11,
    "IsMissingAnswerFile": false,
    "SemanticTypeIri": "urn:effortless:pko-extension#TableConformance",
    "Name": "effortless-owl / StepVerifications",
    "CellsFailed": 0.0,
    "Score": 100.0,
    "IsPerfect": true,
    "ImperfectSubstrateKey": null,
    "ImperfectTableKey": null,
    "DisagreeingFieldCount": 0.0,
    "SubstrateLabel": "OWL / SHACL",
    "SubjectArea": "specification"
   },
   {
    "TableConformanceId": "effortless-owl|Rationales",
    "Run": "run-20260914-223223",
    "Substrate": "effortless-owl",
    "RulebookTable": "Rationales",
    "RecordCount": 4,
    "DerivedFieldCount": 1,
    "CellsTested": 4,
    "CellsPassed": 4,
    "IsMissingAnswerFile": false,
    "SemanticTypeIri": "urn:effortless:pko-extension#TableConformance",
    "Name": "effortless-owl / Rationales",
    "CellsFailed": 0.0,
    "Score": 100.0,
    "IsPerfect": true,
    "ImperfectSubstrateKey": null,
    "ImperfectTableKey": null,
    "DisagreeingFieldCount": 0.0,
    "SubstrateLabel": "OWL / SHACL",
    "SubjectArea": "governance"
   },
   {
    "TableConformanceId": "effortless-owl|Exceptions",
    "Run": "run-20260914-223223",
    "Substrate": "effortless-owl",
    "RulebookTable": "Exceptions",
    "RecordCount": 4,
    "DerivedFieldCount": 2,
    "CellsTested": 8,
    "CellsPassed": 8,
    "IsMissingAnswerFile": false,
    "SemanticTypeIri": "urn:effortless:pko-extension#TableConformance",
    "Name": "effortless-owl / Exceptions",
    "CellsFailed": 0.0,
    "Score": 100.0,
    "IsPerfect": true,
    "ImperfectSubstrateKey": null,
    "ImperfectTableKey": null,
    "DisagreeingFieldCount": 0.0,
    "SubstrateLabel": "OWL / SHACL",
    "SubjectArea": "governance"
   },
   {
    "TableConformanceId": "effortless-owl|Resources",
    "Run": "run-20260914-223223",
    "Substrate": "effortless-owl",
    "RulebookTable": "Resources",
    "RecordCount": 8,
    "DerivedFieldCount": 2,
    "CellsTested": 16,
    "CellsPassed": 16,
    "IsMissingAnswerFile": false,
    "SemanticTypeIri": "urn:effortless:pko-extension#TableConformance",
    "Name": "effortless-owl / Resources",
    "CellsFailed": 0.0,
    "Score": 100.0,
    "IsPerfect": true,
    "ImperfectSubstrateKey": null,
    "ImperfectTableKey": null,
    "DisagreeingFieldCount": 0.0,
    "SubstrateLabel": "OWL / SHACL",
    "SubjectArea": "domain"
   },
   {
    "TableConformanceId": "effortless-owl|ProcedureResources",
    "Run": "run-20260914-223223",
    "Substrate": "effortless-owl",
    "RulebookTable": "ProcedureResources",
    "RecordCount": 8,
    "DerivedFieldCount": 2,
    "CellsTested": 16,
    "CellsPassed": 16,
    "IsMissingAnswerFile": false,
    "SemanticTypeIri": "urn:effortless:pko-extension#TableConformance",
    "Name": "effortless-owl / ProcedureResources",
    "CellsFailed": 0.0,
    "Score": 100.0,
    "IsPerfect": true,
    "ImperfectSubstrateKey": null,
    "ImperfectTableKey": null,
    "DisagreeingFieldCount": 0.0,
    "SubstrateLabel": "OWL / SHACL",
    "SubjectArea": "specification"
   },
   {
    "TableConformanceId": "effortless-owl|ElicitationSessions",
    "Run": "run-20260914-223223",
    "Substrate": "effortless-owl",
    "RulebookTable": "ElicitationSessions",
    "RecordCount": 3,
    "DerivedFieldCount": 10,
    "CellsTested": 30,
    "CellsPassed": 30,
    "IsMissingAnswerFile": false,
    "SemanticTypeIri": "urn:effortless:pko-extension#TableConformance",
    "Name": "effortless-owl / ElicitationSessions",
    "CellsFailed": 0.0,
    "Score": 100.0,
    "IsPerfect": true,
    "ImperfectSubstrateKey": null,
    "ImperfectTableKey": null,
    "DisagreeingFieldCount": 0.0,
    "SubstrateLabel": "OWL / SHACL",
    "SubjectArea": "knowledge"
   },
   {
    "TableConformanceId": "effortless-owl|KnowledgeFragments",
    "Run": "run-20260914-223223",
    "Substrate": "effortless-owl",
    "RulebookTable": "KnowledgeFragments",
    "RecordCount": 7,
    "DerivedFieldCount": 65,
    "CellsTested": 455,
    "CellsPassed": 446,
    "IsMissingAnswerFile": false,
    "SemanticTypeIri": "urn:effortless:pko-extension#TableConformance",
    "Name": "effortless-owl / KnowledgeFragments",
    "CellsFailed": 9.0,
    "Score": 98.02,
    "IsPerfect": false,
    "ImperfectSubstrateKey": "effortless-owl",
    "ImperfectTableKey": "KnowledgeFragments",
    "DisagreeingFieldCount": 5.0,
    "SubstrateLabel": "OWL / SHACL",
    "SubjectArea": "knowledge"
   },
   {
    "TableConformanceId": "effortless-owl|KnowledgeGaps",
    "Run": "run-20260914-223223",
    "Substrate": "effortless-owl",
    "RulebookTable": "KnowledgeGaps",
    "RecordCount": 8,
    "DerivedFieldCount": 16,
    "CellsTested": 128,
    "CellsPassed": 128,
    "IsMissingAnswerFile": false,
    "SemanticTypeIri": "urn:effortless:pko-extension#TableConformance",
    "Name": "effortless-owl / KnowledgeGaps",
    "CellsFailed": 0.0,
    "Score": 100.0,
    "IsPerfect": true,
    "ImperfectSubstrateKey": null,
    "ImperfectTableKey": null,
    "DisagreeingFieldCount": 0.0,
    "SubstrateLabel": "OWL / SHACL",
    "SubjectArea": "knowledge"
   },
   {
    "TableConformanceId": "effortless-owl|FAQs",
    "Run": "run-20260914-223223",
    "Substrate": "effortless-owl",
    "RulebookTable": "FAQs",
    "RecordCount": 3,
    "DerivedFieldCount": 1,
    "CellsTested": 3,
    "CellsPassed": 3,
    "IsMissingAnswerFile": false,
    "SemanticTypeIri": "urn:effortless:pko-extension#TableConformance",
    "Name": "effortless-owl / FAQs",
    "CellsFailed": 0.0,
    "Score": 100.0,
    "IsPerfect": true,
    "ImperfectSubstrateKey": null,
    "ImperfectTableKey": null,
    "DisagreeingFieldCount": 0.0,
    "SubstrateLabel": "OWL / SHACL",
    "SubjectArea": "knowledge"
   },
   {
    "TableConformanceId": "effortless-owl|Explanations",
    "Run": "run-20260914-223223",
    "Substrate": "effortless-owl",
    "RulebookTable": "Explanations",
    "RecordCount": 2,
    "DerivedFieldCount": 1,
    "CellsTested": 2,
    "CellsPassed": 2,
    "IsMissingAnswerFile": false,
    "SemanticTypeIri": "urn:effortless:pko-extension#TableConformance",
    "Name": "effortless-owl / Explanations",
    "CellsFailed": 0.0,
    "Score": 100.0,
    "IsPerfect": true,
    "ImperfectSubstrateKey": null,
    "ImperfectTableKey": null,
    "DisagreeingFieldCount": 0.0,
    "SubstrateLabel": "OWL / SHACL",
    "SubjectArea": "knowledge"
   },
   {
    "TableConformanceId": "effortless-owl|ProcedureExecutions",
    "Run": "run-20260914-223223",
    "Substrate": "effortless-owl",
    "RulebookTable": "ProcedureExecutions",
    "RecordCount": 2,
    "DerivedFieldCount": 69,
    "CellsTested": 138,
    "CellsPassed": 138,
    "IsMissingAnswerFile": false,
    "SemanticTypeIri": "urn:effortless:pko-extension#TableConformance",
    "Name": "effortless-owl / ProcedureExecutions",
    "CellsFailed": 0.0,
    "Score": 100.0,
    "IsPerfect": true,
    "ImperfectSubstrateKey": null,
    "ImperfectTableKey": null,
    "DisagreeingFieldCount": 0.0,
    "SubstrateLabel": "OWL / SHACL",
    "SubjectArea": "specification"
   },
   {
    "TableConformanceId": "effortless-owl|StepExecutions",
    "Run": "run-20260914-223223",
    "Substrate": "effortless-owl",
    "RulebookTable": "StepExecutions",
    "RecordCount": 12,
    "DerivedFieldCount": 99,
    "CellsTested": 1188,
    "CellsPassed": 1188,
    "IsMissingAnswerFile": false,
    "SemanticTypeIri": "urn:effortless:pko-extension#TableConformance",
    "Name": "effortless-owl / StepExecutions",
    "CellsFailed": 0.0,
    "Score": 100.0,
    "IsPerfect": true,
    "ImperfectSubstrateKey": null,
    "ImperfectTableKey": null,
    "DisagreeingFieldCount": 0.0,
    "SubstrateLabel": "OWL / SHACL",
    "SubjectArea": "specification"
   },
   {
    "TableConformanceId": "effortless-owl|RequirementSatisfactions",
    "Run": "run-20260914-223223",
    "Substrate": "effortless-owl",
    "RulebookTable": "RequirementSatisfactions",
    "RecordCount": 8,
    "DerivedFieldCount": 38,
    "CellsTested": 304,
    "CellsPassed": 304,
    "IsMissingAnswerFile": false,
    "SemanticTypeIri": "urn:effortless:pko-extension#TableConformance",
    "Name": "effortless-owl / RequirementSatisfactions",
    "CellsFailed": 0.0,
    "Score": 100.0,
    "IsPerfect": true,
    "ImperfectSubstrateKey": null,
    "ImperfectTableKey": null,
    "DisagreeingFieldCount": 0.0,
    "SubstrateLabel": "OWL / SHACL",
    "SubjectArea": "execution"
   },
   {
    "TableConformanceId": "effortless-owl|Errors",
    "Run": "run-20260914-223223",
    "Substrate": "effortless-owl",
    "RulebookTable": "Errors",
    "RecordCount": 2,
    "DerivedFieldCount": 1,
    "CellsTested": 2,
    "CellsPassed": 2,
    "IsMissingAnswerFile": false,
    "SemanticTypeIri": "urn:effortless:pko-extension#TableConformance",
    "Name": "effortless-owl / Errors",
    "CellsFailed": 0.0,
    "Score": 100.0,
    "IsPerfect": true,
    "ImperfectSubstrateKey": null,
    "ImperfectTableKey": null,
    "DisagreeingFieldCount": 0.0,
    "SubstrateLabel": "OWL / SHACL",
    "SubjectArea": "execution"
   },
   {
    "TableConformanceId": "effortless-owl|IssueOccurrences",
    "Run": "run-20260914-223223",
    "Substrate": "effortless-owl",
    "RulebookTable": "IssueOccurrences",
    "RecordCount": 2,
    "DerivedFieldCount": 3,
    "CellsTested": 6,
    "CellsPassed": 6,
    "IsMissingAnswerFile": false,
    "SemanticTypeIri": "urn:effortless:pko-extension#TableConformance",
    "Name": "effortless-owl / IssueOccurrences",
    "CellsFailed": 0.0,
    "Score": 100.0,
    "IsPerfect": true,
    "ImperfectSubstrateKey": null,
    "ImperfectTableKey": null,
    "DisagreeingFieldCount": 0.0,
    "SubstrateLabel": "OWL / SHACL",
    "SubjectArea": "execution"
   },
   {
    "TableConformanceId": "effortless-owl|UserQuestions",
    "Run": "run-20260914-223223",
    "Substrate": "effortless-owl",
    "RulebookTable": "UserQuestions",
    "RecordCount": 2,
    "DerivedFieldCount": 1,
    "CellsTested": 2,
    "CellsPassed": 2,
    "IsMissingAnswerFile": false,
    "SemanticTypeIri": "urn:effortless:pko-extension#TableConformance",
    "Name": "effortless-owl / UserQuestions",
    "CellsFailed": 0.0,
    "Score": 100.0,
    "IsPerfect": true,
    "ImperfectSubstrateKey": null,
    "ImperfectTableKey": null,
    "DisagreeingFieldCount": 0.0,
    "SubstrateLabel": "OWL / SHACL",
    "SubjectArea": "domain"
   },
   {
    "TableConformanceId": "effortless-owl|UserFeedback",
    "Run": "run-20260914-223223",
    "Substrate": "effortless-owl",
    "RulebookTable": "UserFeedback",
    "RecordCount": 2,
    "DerivedFieldCount": 1,
    "CellsTested": 2,
    "CellsPassed": 2,
    "IsMissingAnswerFile": false,
    "SemanticTypeIri": "urn:effortless:pko-extension#TableConformance",
    "Name": "effortless-owl / UserFeedback",
    "CellsFailed": 0.0,
    "Score": 100.0,
    "IsPerfect": true,
    "ImperfectSubstrateKey": null,
    "ImperfectTableKey": null,
    "DisagreeingFieldCount": 0.0,
    "SubstrateLabel": "OWL / SHACL",
    "SubjectArea": "domain"
   },
   {
    "TableConformanceId": "effortless-owl|StewardshipAssignments",
    "Run": "run-20260914-223223",
    "Substrate": "effortless-owl",
    "RulebookTable": "StewardshipAssignments",
    "RecordCount": 2,
    "DerivedFieldCount": 5,
    "CellsTested": 10,
    "CellsPassed": 10,
    "IsMissingAnswerFile": false,
    "SemanticTypeIri": "urn:effortless:pko-extension#TableConformance",
    "Name": "effortless-owl / StewardshipAssignments",
    "CellsFailed": 0.0,
    "Score": 100.0,
    "IsPerfect": true,
    "ImperfectSubstrateKey": null,
    "ImperfectTableKey": null,
    "DisagreeingFieldCount": 0.0,
    "SubstrateLabel": "OWL / SHACL",
    "SubjectArea": "org"
   },
   {
    "TableConformanceId": "effortless-owl|ChangeRequests",
    "Run": "run-20260914-223223",
    "Substrate": "effortless-owl",
    "RulebookTable": "ChangeRequests",
    "RecordCount": 2,
    "DerivedFieldCount": 32,
    "CellsTested": 64,
    "CellsPassed": 64,
    "IsMissingAnswerFile": false,
    "SemanticTypeIri": "urn:effortless:pko-extension#TableConformance",
    "Name": "effortless-owl / ChangeRequests",
    "CellsFailed": 0.0,
    "Score": 100.0,
    "IsPerfect": true,
    "ImperfectSubstrateKey": null,
    "ImperfectTableKey": null,
    "DisagreeingFieldCount": 0.0,
    "SubstrateLabel": "OWL / SHACL",
    "SubjectArea": "domain"
   },
   {
    "TableConformanceId": "effortless-owl|ReviewEvents",
    "Run": "run-20260914-223223",
    "Substrate": "effortless-owl",
    "RulebookTable": "ReviewEvents",
    "RecordCount": 3,
    "DerivedFieldCount": 10,
    "CellsTested": 30,
    "CellsPassed": 30,
    "IsMissingAnswerFile": false,
    "SemanticTypeIri": "urn:effortless:pko-extension#TableConformance",
    "Name": "effortless-owl / ReviewEvents",
    "CellsFailed": 0.0,
    "Score": 100.0,
    "IsPerfect": true,
    "ImperfectSubstrateKey": null,
    "ImperfectTableKey": null,
    "DisagreeingFieldCount": 0.0,
    "SubstrateLabel": "OWL / SHACL",
    "SubjectArea": "domain"
   },
   {
    "TableConformanceId": "effortless-owl|LearningActivities",
    "Run": "run-20260914-223223",
    "Substrate": "effortless-owl",
    "RulebookTable": "LearningActivities",
    "RecordCount": 2,
    "DerivedFieldCount": 1,
    "CellsTested": 2,
    "CellsPassed": 2,
    "IsMissingAnswerFile": false,
    "SemanticTypeIri": "urn:effortless:pko-extension#TableConformance",
    "Name": "effortless-owl / LearningActivities",
    "CellsFailed": 0.0,
    "Score": 100.0,
    "IsPerfect": true,
    "ImperfectSubstrateKey": null,
    "ImperfectTableKey": null,
    "DisagreeingFieldCount": 0.0,
    "SubstrateLabel": "OWL / SHACL",
    "SubjectArea": "domain"
   },
   {
    "TableConformanceId": "effortless-owl|OperationalBindings",
    "Run": "run-20260914-223223",
    "Substrate": "effortless-owl",
    "RulebookTable": "OperationalBindings",
    "RecordCount": 5,
    "DerivedFieldCount": 11,
    "CellsTested": 55,
    "CellsPassed": 55,
    "IsMissingAnswerFile": false,
    "SemanticTypeIri": "urn:effortless:pko-extension#TableConformance",
    "Name": "effortless-owl / OperationalBindings",
    "CellsFailed": 0.0,
    "Score": 100.0,
    "IsPerfect": true,
    "ImperfectSubstrateKey": null,
    "ImperfectTableKey": null,
    "DisagreeingFieldCount": 0.0,
    "SubstrateLabel": "OWL / SHACL",
    "SubjectArea": "domain"
   },
   {
    "TableConformanceId": "effortless-owl|CommunicationPolicies",
    "Run": "run-20260914-223223",
    "Substrate": "effortless-owl",
    "RulebookTable": "CommunicationPolicies",
    "RecordCount": 2,
    "DerivedFieldCount": 4,
    "CellsTested": 8,
    "CellsPassed": 8,
    "IsMissingAnswerFile": false,
    "SemanticTypeIri": "urn:effortless:pko-extension#TableConformance",
    "Name": "effortless-owl / CommunicationPolicies",
    "CellsFailed": 0.0,
    "Score": 100.0,
    "IsPerfect": true,
    "ImperfectSubstrateKey": null,
    "ImperfectTableKey": null,
    "DisagreeingFieldCount": 0.0,
    "SubstrateLabel": "OWL / SHACL",
    "SubjectArea": "communication"
   },
   {
    "TableConformanceId": "effortless-owl|MessageTemplates",
    "Run": "run-20260914-223223",
    "Substrate": "effortless-owl",
    "RulebookTable": "MessageTemplates",
    "RecordCount": 2,
    "DerivedFieldCount": 16,
    "CellsTested": 32,
    "CellsPassed": 32,
    "IsMissingAnswerFile": false,
    "SemanticTypeIri": "urn:effortless:pko-extension#TableConformance",
    "Name": "effortless-owl / MessageTemplates",
    "CellsFailed": 0.0,
    "Score": 100.0,
    "IsPerfect": true,
    "ImperfectSubstrateKey": null,
    "ImperfectTableKey": null,
    "DisagreeingFieldCount": 0.0,
    "SubstrateLabel": "OWL / SHACL",
    "SubjectArea": "communication"
   },
   {
    "TableConformanceId": "effortless-owl|SemanticMappings",
    "Run": "run-20260914-223223",
    "Substrate": "effortless-owl",
    "RulebookTable": "SemanticMappings",
    "RecordCount": 47,
    "DerivedFieldCount": 1,
    "CellsTested": 47,
    "CellsPassed": 47,
    "IsMissingAnswerFile": false,
    "SemanticTypeIri": "urn:effortless:pko-extension#TableConformance",
    "Name": "effortless-owl / SemanticMappings",
    "CellsFailed": 0.0,
    "Score": 100.0,
    "IsPerfect": true,
    "ImperfectSubstrateKey": null,
    "ImperfectTableKey": null,
    "DisagreeingFieldCount": 0.0,
    "SubstrateLabel": "OWL / SHACL",
    "SubjectArea": "meta"
   },
   {
    "TableConformanceId": "effortless-owl|WitnessLoops",
    "Run": "run-20260914-223223",
    "Substrate": "effortless-owl",
    "RulebookTable": "WitnessLoops",
    "RecordCount": 4,
    "DerivedFieldCount": 3,
    "CellsTested": 12,
    "CellsPassed": 12,
    "IsMissingAnswerFile": false,
    "SemanticTypeIri": "urn:effortless:pko-extension#TableConformance",
    "Name": "effortless-owl / WitnessLoops",
    "CellsFailed": 0.0,
    "Score": 100.0,
    "IsPerfect": true,
    "ImperfectSubstrateKey": null,
    "ImperfectTableKey": null,
    "DisagreeingFieldCount": 0.0,
    "SubstrateLabel": "OWL / SHACL",
    "SubjectArea": "meta"
   },
   {
    "TableConformanceId": "effortless-owl|RoleQuestions",
    "Run": "run-20260914-223223",
    "Substrate": "effortless-owl",
    "RulebookTable": "RoleQuestions",
    "RecordCount": 111,
    "DerivedFieldCount": 3,
    "CellsTested": 333,
    "CellsPassed": 333,
    "IsMissingAnswerFile": false,
    "SemanticTypeIri": "urn:effortless:pko-extension#TableConformance",
    "Name": "effortless-owl / RoleQuestions",
    "CellsFailed": 0.0,
    "Score": 100.0,
    "IsPerfect": true,
    "ImperfectSubstrateKey": null,
    "ImperfectTableKey": null,
    "DisagreeingFieldCount": 0.0,
    "SubstrateLabel": "OWL / SHACL",
    "SubjectArea": "org"
   },
   {
    "TableConformanceId": "effortless-owl|RulebookFields",
    "Run": "run-20260914-223223",
    "Substrate": "effortless-owl",
    "RulebookTable": "RulebookFields",
    "RecordCount": 1897,
    "DerivedFieldCount": 5,
    "CellsTested": 9485,
    "CellsPassed": 9485,
    "IsMissingAnswerFile": false,
    "SemanticTypeIri": "urn:effortless:pko-extension#TableConformance",
    "Name": "effortless-owl / RulebookFields",
    "CellsFailed": 0.0,
    "Score": 100.0,
    "IsPerfect": true,
    "ImperfectSubstrateKey": null,
    "ImperfectTableKey": null,
    "DisagreeingFieldCount": 0.0,
    "SubstrateLabel": "OWL / SHACL",
    "SubjectArea": "access-control"
   },
   {
    "TableConformanceId": "effortless-owl|TestSuites",
    "Run": "run-20260914-223223",
    "Substrate": "effortless-owl",
    "RulebookTable": "TestSuites",
    "RecordCount": 6,
    "DerivedFieldCount": 5,
    "CellsTested": 30,
    "CellsPassed": 30,
    "IsMissingAnswerFile": false,
    "SemanticTypeIri": "urn:effortless:pko-extension#TableConformance",
    "Name": "effortless-owl / TestSuites",
    "CellsFailed": 0.0,
    "Score": 100.0,
    "IsPerfect": true,
    "ImperfectSubstrateKey": null,
    "ImperfectTableKey": null,
    "DisagreeingFieldCount": 0.0,
    "SubstrateLabel": "OWL / SHACL",
    "SubjectArea": "meta"
   },
   {
    "TableConformanceId": "effortless-owl|TestCases",
    "Run": "run-20260914-223223",
    "Substrate": "effortless-owl",
    "RulebookTable": "TestCases",
    "RecordCount": 1794,
    "DerivedFieldCount": 7,
    "CellsTested": 12558,
    "CellsPassed": 12558,
    "IsMissingAnswerFile": false,
    "SemanticTypeIri": "urn:effortless:pko-extension#TableConformance",
    "Name": "effortless-owl / TestCases",
    "CellsFailed": 0.0,
    "Score": 100.0,
    "IsPerfect": true,
    "ImperfectSubstrateKey": null,
    "ImperfectTableKey": null,
    "DisagreeingFieldCount": 0.0,
    "SubstrateLabel": "OWL / SHACL",
    "SubjectArea": "meta"
   },
   {
    "TableConformanceId": "effortless-owl|ExceptionInvocations",
    "Run": "run-20260914-223223",
    "Substrate": "effortless-owl",
    "RulebookTable": "ExceptionInvocations",
    "RecordCount": 1,
    "DerivedFieldCount": 13,
    "CellsTested": 13,
    "CellsPassed": 13,
    "IsMissingAnswerFile": false,
    "SemanticTypeIri": "urn:effortless:pko-extension#TableConformance",
    "Name": "effortless-owl / ExceptionInvocations",
    "CellsFailed": 0.0,
    "Score": 100.0,
    "IsPerfect": true,
    "ImperfectSubstrateKey": null,
    "ImperfectTableKey": null,
    "DisagreeingFieldCount": 0.0,
    "SubstrateLabel": "OWL / SHACL",
    "SubjectArea": "governance"
   },
   {
    "TableConformanceId": "effortless-owl|VerificationOutcomes",
    "Run": "run-2</t>
  </si>
  <si>
    <t xml:space="preserve">0260914-223223",
    "Substrate": "effortless-owl",
    "RulebookTable": "VerificationOutcomes",
    "RecordCount": 4,
    "DerivedFieldCount": 18,
    "CellsTested": 72,
    "CellsPassed": 72,
    "IsMissingAnswerFile": false,
    "SemanticTypeIri": "urn:effortless:pko-extension#TableConformance",
    "Name": "effortless-owl / VerificationOutcomes",
    "CellsFailed": 0.0,
    "Score": 100.0,
    "IsPerfect": true,
    "ImperfectSubstrateKey": null,
    "ImperfectTableKey": null,
    "DisagreeingFieldCount": 0.0,
    "SubstrateLabel": "OWL / SHACL",
    "SubjectArea": "execution"
   },
   {
    "TableConformanceId": "effortless-owl|ObservedTransitions",
    "Run": "run-20260914-223223",
    "Substrate": "effortless-owl",
    "RulebookTable": "ObservedTransitions",
    "RecordCount": 10,
    "DerivedFieldCount": 1,
    "CellsTested": 10,
    "CellsPassed": 10,
    "IsMissingAnswerFile": false,
    "SemanticTypeIri": "urn:effortless:pko-extension#TableConformance",
    "Name": "effortless-owl / ObservedTransitions",
    "CellsFailed": 0.0,
    "Score": 100.0,
    "IsPerfect": true,
    "ImperfectSubstrateKey": null,
    "ImperfectTableKey": null,
    "DisagreeingFieldCount": 0.0,
    "SubstrateLabel": "OWL / SHACL",
    "SubjectArea": "specification"
   },
   {
    "TableConformanceId": "effortless-owl|Recipients",
    "Run": "run-20260914-223223",
    "Substrate": "effortless-owl",
    "RulebookTable": "Recipients",
    "RecordCount": 5,
    "DerivedFieldCount": 6,
    "CellsTested": 30,
    "CellsPassed": 30,
    "IsMissingAnswerFile": false,
    "SemanticTypeIri": "urn:effortless:pko-extension#TableConformance",
    "Name": "effortless-owl / Recipients",
    "CellsFailed": 0.0,
    "Score": 100.0,
    "IsPerfect": true,
    "ImperfectSubstrateKey": null,
    "ImperfectTableKey": null,
    "DisagreeingFieldCount": 0.0,
    "SubstrateLabel": "OWL / SHACL",
    "SubjectArea": "communication"
   },
   {
    "TableConformanceId": "effortless-owl|MessageDeliveries",
    "Run": "run-20260914-223223",
    "Substrate": "effortless-owl",
    "RulebookTable": "MessageDeliveries",
    "RecordCount": 6,
    "DerivedFieldCount": 74,
    "CellsTested": 444,
    "CellsPassed": 444,
    "IsMissingAnswerFile": false,
    "SemanticTypeIri": "urn:effortless:pko-extension#TableConformance",
    "Name": "effortless-owl / MessageDeliveries",
    "CellsFailed": 0.0,
    "Score": 100.0,
    "IsPerfect": true,
    "ImperfectSubstrateKey": null,
    "ImperfectTableKey": null,
    "DisagreeingFieldCount": 0.0,
    "SubstrateLabel": "OWL / SHACL",
    "SubjectArea": "communication"
   },
   {
    "TableConformanceId": "effortless-owl|TemplateApprovals",
    "Run": "run-20260914-223223",
    "Substrate": "effortless-owl",
    "RulebookTable": "TemplateApprovals",
    "RecordCount": 2,
    "DerivedFieldCount": 6,
    "CellsTested": 12,
    "CellsPassed": 12,
    "IsMissingAnswerFile": false,
    "SemanticTypeIri": "urn:effortless:pko-extension#TableConformance",
    "Name": "effortless-owl / TemplateApprovals",
    "CellsFailed": 0.0,
    "Score": 100.0,
    "IsPerfect": true,
    "ImperfectSubstrateKey": null,
    "ImperfectTableKey": null,
    "DisagreeingFieldCount": 0.0,
    "SubstrateLabel": "OWL / SHACL",
    "SubjectArea": "communication"
   },
   {
    "TableConformanceId": "effortless-owl|SendIntents",
    "Run": "run-20260914-223223",
    "Substrate": "effortless-owl",
    "RulebookTable": "SendIntents",
    "RecordCount": 7,
    "DerivedFieldCount": 79,
    "CellsTested": 553,
    "CellsPassed": 553,
    "IsMissingAnswerFile": false,
    "SemanticTypeIri": "urn:effortless:pko-extension#TableConformance",
    "Name": "effortless-owl / SendIntents",
    "CellsFailed": 0.0,
    "Score": 100.0,
    "IsPerfect": true,
    "ImperfectSubstrateKey": null,
    "ImperfectTableKey": null,
    "DisagreeingFieldCount": 0.0,
    "SubstrateLabel": "OWL / SHACL",
    "SubjectArea": "communication"
   },
   {
    "TableConformanceId": "effortless-owl|AgentDecisionRecords",
    "Run": "run-20260914-223223",
    "Substrate": "effortless-owl",
    "RulebookTable": "AgentDecisionRecords",
    "RecordCount": 3,
    "DerivedFieldCount": 27,
    "CellsTested": 81,
    "CellsPassed": 81,
    "IsMissingAnswerFile": false,
    "SemanticTypeIri": "urn:effortless:pko-extension#TableConformance",
    "Name": "effortless-owl / AgentDecisionRecords",
    "CellsFailed": 0.0,
    "Score": 100.0,
    "IsPerfect": true,
    "ImperfectSubstrateKey": null,
    "ImperfectTableKey": null,
    "DisagreeingFieldCount": 0.0,
    "SubstrateLabel": "OWL / SHACL",
    "SubjectArea": "org"
   },
   {
    "TableConformanceId": "effortless-owl|DeliveredCommunications",
    "Run": "run-20260914-223223",
    "Substrate": "effortless-owl",
    "RulebookTable": "DeliveredCommunications",
    "RecordCount": 1,
    "DerivedFieldCount": 6,
    "CellsTested": 6,
    "CellsPassed": 5,
    "IsMissingAnswerFile": false,
    "SemanticTypeIri": "urn:effortless:pko-extension#TableConformance",
    "Name": "effortless-owl / DeliveredCommunications",
    "CellsFailed": 1.0,
    "Score": 83.33,
    "IsPerfect": false,
    "ImperfectSubstrateKey": "effortless-owl",
    "ImperfectTableKey": "DeliveredCommunications",
    "DisagreeingFieldCount": 1.0,
    "SubstrateLabel": "OWL / SHACL",
    "SubjectArea": "communication"
   },
   {
    "TableConformanceId": "effortless-owl|AuthorityBoundaries",
    "Run": "run-20260914-223223",
    "Substrate": "effortless-owl",
    "RulebookTable": "AuthorityBoundaries",
    "RecordCount": 3,
    "DerivedFieldCount": 21,
    "CellsTested": 63,
    "CellsPassed": 63,
    "IsMissingAnswerFile": false,
    "SemanticTypeIri": "urn:effortless:pko-extension#TableConformance",
    "Name": "effortless-owl / AuthorityBoundaries",
    "CellsFailed": 0.0,
    "Score": 100.0,
    "IsPerfect": true,
    "ImperfectSubstrateKey": null,
    "ImperfectTableKey": null,
    "DisagreeingFieldCount": 0.0,
    "SubstrateLabel": "OWL / SHACL",
    "SubjectArea": "governance"
   },
   {
    "TableConformanceId": "effortless-owl|AppRoleProfiles",
    "Run": "run-20260914-223223",
    "Substrate": "effortless-owl",
    "RulebookTable": "AppRoleProfiles",
    "RecordCount": 12,
    "DerivedFieldCount": 2,
    "CellsTested": 24,
    "CellsPassed": 12,
    "IsMissingAnswerFile": false,
    "SemanticTypeIri": "urn:effortless:pko-extension#TableConformance",
    "Name": "effortless-owl / AppRoleProfiles",
    "CellsFailed": 12.0,
    "Score": 50.0,
    "IsPerfect": false,
    "ImperfectSubstrateKey": "effortless-owl",
    "ImperfectTableKey": "AppRoleProfiles",
    "DisagreeingFieldCount": 1.0,
    "SubstrateLabel": "OWL / SHACL",
    "SubjectArea": "org"
   },
   {
    "TableConformanceId": "effortless-owl|AppNavGroups",
    "Run": "run-20260914-223223",
    "Substrate": "effortless-owl",
    "RulebookTable": "AppNavGroups",
    "RecordCount": 23,
    "DerivedFieldCount": 2,
    "CellsTested": 46,
    "CellsPassed": 46,
    "IsMissingAnswerFile": false,
    "SemanticTypeIri": "urn:effortless:pko-extension#TableConformance",
    "Name": "effortless-owl / AppNavGroups",
    "CellsFailed": 0.0,
    "Score": 100.0,
    "IsPerfect": true,
    "ImperfectSubstrateKey": null,
    "ImperfectTableKey": null,
    "DisagreeingFieldCount": 0.0,
    "SubstrateLabel": "OWL / SHACL",
    "SubjectArea": "application"
   },
   {
    "TableConformanceId": "effortless-owl|AppRoutes",
    "Run": "run-20260914-223223",
    "Substrate": "effortless-owl",
    "RulebookTable": "AppRoutes",
    "RecordCount": 149,
    "DerivedFieldCount": 7,
    "CellsTested": 1043,
    "CellsPassed": 1043,
    "IsMissingAnswerFile": false,
    "SemanticTypeIri": "urn:effortless:pko-extension#TableConformance",
    "Name": "effortless-owl / AppRoutes",
    "CellsFailed": 0.0,
    "Score": 100.0,
    "IsPerfect": true,
    "ImperfectSubstrateKey": null,
    "ImperfectTableKey": null,
    "DisagreeingFieldCount": 0.0,
    "SubstrateLabel": "OWL / SHACL",
    "SubjectArea": "application"
   },
   {
    "TableConformanceId": "effortless-owl|AppRouteQuestions",
    "Run": "run-20260914-223223",
    "Substrate": "effortless-owl",
    "RulebookTable": "AppRouteQuestions",
    "RecordCount": 151,
    "DerivedFieldCount": 1,
    "CellsTested": 151,
    "CellsPassed": 151,
    "IsMissingAnswerFile": false,
    "SemanticTypeIri": "urn:effortless:pko-extension#TableConformance",
    "Name": "effortless-owl / AppRouteQuestions",
    "CellsFailed": 0.0,
    "Score": 100.0,
    "IsPerfect": true,
    "ImperfectSubstrateKey": null,
    "ImperfectTableKey": null,
    "DisagreeingFieldCount": 0.0,
    "SubstrateLabel": "OWL / SHACL",
    "SubjectArea": "application"
   },
   {
    "TableConformanceId": "effortless-owl|AppRouteReferences",
    "Run": "run-20260914-223223",
    "Substrate": "effortless-owl",
    "RulebookTable": "AppRouteReferences",
    "RecordCount": 315,
    "DerivedFieldCount": 1,
    "CellsTested": 315,
    "CellsPassed": 315,
    "IsMissingAnswerFile": false,
    "SemanticTypeIri": "urn:effortless:pko-extension#TableConformance",
    "Name": "effortless-owl / AppRouteReferences",
    "CellsFailed": 0.0,
    "Score": 100.0,
    "IsPerfect": true,
    "ImperfectSubstrateKey": null,
    "ImperfectTableKey": null,
    "DisagreeingFieldCount": 0.0,
    "SubstrateLabel": "OWL / SHACL",
    "SubjectArea": "application"
   },
   {
    "TableConformanceId": "effortless-owl|RulebookTables",
    "Run": "run-20260914-223223",
    "Substrate": "effortless-owl",
    "RulebookTable": "RulebookTables",
    "RecordCount": 92,
    "DerivedFieldCount": 5,
    "CellsTested": 460,
    "CellsPassed": 460,
    "IsMissingAnswerFile": false,
    "SemanticTypeIri": "urn:effortless:pko-extension#TableConformance",
    "Name": "effortless-owl / RulebookTables",
    "CellsFailed": 0.0,
    "Score": 100.0,
    "IsPerfect": true,
    "ImperfectSubstrateKey": null,
    "ImperfectTableKey": null,
    "DisagreeingFieldCount": 0.0,
    "SubstrateLabel": "OWL / SHACL",
    "SubjectArea": "meta"
   },
   {
    "TableConformanceId": "effortless-owl|AccessPrincipals",
    "Run": "run-20260914-223223",
    "Substrate": "effortless-owl",
    "RulebookTable": "AccessPrincipals",
    "RecordCount": 12,
    "DerivedFieldCount": 8,
    "CellsTested": 96,
    "CellsPassed": 96,
    "IsMissingAnswerFile": false,
    "SemanticTypeIri": "urn:effortless:pko-extension#TableConformance",
    "Name": "effortless-owl / AccessPrincipals",
    "CellsFailed": 0.0,
    "Score": 100.0,
    "IsPerfect": true,
    "ImperfectSubstrateKey": null,
    "ImperfectTableKey": null,
    "DisagreeingFieldCount": 0.0,
    "SubstrateLabel": "OWL / SHACL",
    "SubjectArea": "access-control"
   },
   {
    "TableConformanceId": "effortless-owl|AccessPolicies",
    "Run": "run-20260914-223223",
    "Substrate": "effortless-owl",
    "RulebookTable": "AccessPolicies",
    "RecordCount": 202,
    "DerivedFieldCount": 7,
    "CellsTested": 1414,
    "CellsPassed": 1414,
    "IsMissingAnswerFile": false,
    "SemanticTypeIri": "urn:effortless:pko-extension#TableConformance",
    "Name": "effortless-owl / AccessPolicies",
    "CellsFailed": 0.0,
    "Score": 100.0,
    "IsPerfect": true,
    "ImperfectSubstrateKey": null,
    "ImperfectTableKey": null,
    "DisagreeingFieldCount": 0.0,
    "SubstrateLabel": "OWL / SHACL",
    "SubjectArea": "access-control"
   },
   {
    "TableConformanceId": "effortless-owl|FieldGrants",
    "Run": "run-20260914-223223",
    "Substrate": "effortless-owl",
    "RulebookTable": "FieldGrants",
    "RecordCount": 3639,
    "DerivedFieldCount": 7,
    "CellsTested": 25473,
    "CellsPassed": 25473,
    "IsMissingAnswerFile": false,
    "SemanticTypeIri": "urn:effortless:pko-extension#TableConformance",
    "Name": "effortless-owl / FieldGrants",
    "CellsFailed": 0.0,
    "Score": 100.0,
    "IsPerfect": true,
    "ImperfectSubstrateKey": null,
    "ImperfectTableKey": null,
    "DisagreeingFieldCount": 0.0,
    "SubstrateLabel": "OWL / SHACL",
    "SubjectArea": "access-control"
   },
   {
    "TableConformanceId": "effortless-owl|RoleSchemas",
    "Run": "run-20260914-223223",
    "Substrate": "effortless-owl",
    "RulebookTable": "RoleSchemas",
    "RecordCount": 12,
    "DerivedFieldCount": 4,
    "CellsTested": 48,
    "CellsPassed": 48,
    "IsMissingAnswerFile": false,
    "SemanticTypeIri": "urn:effortless:pko-extension#TableConformance",
    "Name": "effortless-owl / RoleSchemas",
    "CellsFailed": 0.0,
    "Score": 100.0,
    "IsPerfect": true,
    "ImperfectSubstrateKey": null,
    "ImperfectTableKey": null,
    "DisagreeingFieldCount": 0.0,
    "SubstrateLabel": "OWL / SHACL",
    "SubjectArea": "org"
   },
   {
    "TableConformanceId": "effortless-owl|RoleSchemaViews",
    "Run": "run-20260914-223223",
    "Substrate": "effortless-owl",
    "RulebookTable": "RoleSchemaViews",
    "RecordCount": 202,
    "DerivedFieldCount": 8,
    "CellsTested": 1616,
    "CellsPassed": 1616,
    "IsMissingAnswerFile": false,
    "SemanticTypeIri": "urn:effortless:pko-extension#TableConformance",
    "Name": "effortless-owl / RoleSchemaViews",
    "CellsFailed": 0.0,
    "Score": 100.0,
    "IsPerfect": true,
    "ImperfectSubstrateKey": null,
    "ImperfectTableKey": null,
    "DisagreeingFieldCount": 0.0,
    "SubstrateLabel": "OWL / SHACL",
    "SubjectArea": "org"
   },
   {
    "TableConformanceId": "effortless-owl|JwtClaimMappings",
    "Run": "run-20260914-223223",
    "Substrate": "effortless-owl",
    "RulebookTable": "JwtClaimMappings",
    "RecordCount": 4,
    "DerivedFieldCount": 2,
    "CellsTested": 8,
    "CellsPassed": 8,
    "IsMissingAnswerFile": false,
    "SemanticTypeIri": "urn:effortless:pko-extension#TableConformance",
    "Name": "effortless-owl / JwtClaimMappings",
    "CellsFailed": 0.0,
    "Score": 100.0,
    "IsPerfect": true,
    "ImperfectSubstrateKey": null,
    "ImperfectTableKey": null,
    "DisagreeingFieldCount": 0.0,
    "SubstrateLabel": "OWL / SHACL",
    "SubjectArea": "access-control"
   },
   {
    "TableConformanceId": "effortless-owl|AccessDenialTests",
    "Run": "run-20260914-223223",
    "Substrate": "effortless-owl",
    "RulebookTable": "AccessDenialTests",
    "RecordCount": 17,
    "DerivedFieldCount": 6,
    "CellsTested": 102,
    "CellsPassed": 94,
    "IsMissingAnswerFile": false,
    "SemanticTypeIri": "urn:effortless:pko-extension#TableConformance",
    "Name": "effortless-owl / AccessDenialTests",
    "CellsFailed": 8.0,
    "Score": 92.16,
    "IsPerfect": false,
    "ImperfectSubstrateKey": "effortless-owl",
    "ImperfectTableKey": "AccessDenialTests",
    "DisagreeingFieldCount": 1.0,
    "SubstrateLabel": "OWL / SHACL",
    "SubjectArea": "access-control"
   },
   {
    "TableConformanceId": "effortless-owl|AppUsers",
    "Run": "run-20260914-223223",
    "Substrate": "effortless-owl",
    "RulebookTable": "AppUsers",
    "RecordCount": 10,
    "DerivedFieldCount": 7,
    "CellsTested": 70,
    "CellsPassed": 70,
    "IsMissingAnswerFile": false,
    "SemanticTypeIri": "urn:effortless:pko-extension#TableConformance",
    "Name": "effortless-owl / AppUsers",
    "CellsFailed": 0.0,
    "Score": 100.0,
    "IsPerfect": true,
    "ImperfectSubstrateKey": null,
    "ImperfectTableKey": null,
    "DisagreeingFieldCount": 0.0,
    "SubstrateLabel": "OWL / SHACL",
    "SubjectArea": null
   },
   {
    "TableConformanceId": "effortless-owl|PrincipalAssignments",
    "Run": "run-20260914-223223",
    "Substrate": "effortless-owl",
    "RulebookTable": "PrincipalAssignments",
    "RecordCount": 12,
    "DerivedFieldCount": 5,
    "CellsTested": 60,
    "CellsPassed": 60,
    "IsMissingAnswerFile": false,
    "SemanticTypeIri": "urn:effortless:pko-extension#TableConformance",
    "Name": "effortless-owl / PrincipalAssignments",
    "CellsFailed": 0.0,
    "Score": 100.0,
    "IsPerfect": true,
    "ImperfectSubstrateKey": null,
    "ImperfectTableKey": null,
    "DisagreeingFieldCount": 0.0,
    "SubstrateLabel": "OWL / SHACL",
    "SubjectArea": null
   },
   {
    "TableConformanceId": "effortless-owl|ProcessMiningRuns",
    "Run": "run-20260914-223223",
    "Substrate": "effortless-owl",
    "RulebookTable": "ProcessMiningRuns",
    "RecordCount": 4,
    "DerivedFieldCount": 10,
    "CellsTested": 40,
    "CellsPassed": 40,
    "IsMissingAnswerFile": false,
    "SemanticTypeIri": "urn:effortless:pko-extension#TableConformance",
    "Name": "effortless-owl / ProcessMiningRuns",
    "CellsFailed": 0.0,
    "Score": 100.0,
    "IsPerfect": true,
    "ImperfectSubstrateKey": null,
    "ImperfectTableKey": null,
    "DisagreeingFieldCount": 0.0,
    "SubstrateLabel": "OWL / SHACL",
    "SubjectArea": "knowledge"
   },
   {
    "TableConformanceId": "effortless-owl|Vocabularies",
    "Run": "run-20260914-223223",
    "Substrate": "effortless-owl",
    "RulebookTable": "Vocabularies",
    "RecordCount": 2,
    "DerivedFieldCount": 4,
    "CellsTested": 8,
    "CellsPassed": 8,
    "IsMissingAnswerFile": false,
    "SemanticTypeIri": "urn:effortless:pko-extension#TableConformance",
    "Name": "effortless-owl / Vocabularies",
    "CellsFailed": 0.0,
    "Score": 100.0,
    "IsPerfect": true,
    "ImperfectSubstrateKey": null,
    "ImperfectTableKey": null,
    "DisagreeingFieldCount": 0.0,
    "SubstrateLabel": "OWL / SHACL",
    "SubjectArea": "knowledge"
   },
   {
    "TableConformanceId": "effortless-owl|VocabularyTerms",
    "Run": "run-20260914-223223",
    "Substrate": "effortless-owl",
    "RulebookTable": "VocabularyTerms",
    "RecordCount": 12,
    "DerivedFieldCount": 5,
    "CellsTested": 60,
    "CellsPassed": 60,
    "IsMissingAnswerFile": false,
    "SemanticTypeIri": "urn:effortless:pko-extension#TableConformance",
    "Name": "effortless-owl / VocabularyTerms",
    "CellsFailed": 0.0,
    "Score": 100.0,
    "IsPerfect": true,
    "ImperfectSubstrateKey": null,
    "ImperfectTableKey": null,
    "DisagreeingFieldCount": 0.0,
    "SubstrateLabel": "OWL / SHACL",
    "SubjectArea": "knowledge"
   },
   {
    "TableConformanceId": "effortless-owl|KnowledgeBrokerLinks",
    "Run": "run-20260914-223223",
    "Substrate": "effortless-owl",
    "RulebookTable": "KnowledgeBrokerLinks",
    "RecordCount": 5,
    "DerivedFieldCount": 8,
    "CellsTested": 40,
    "CellsPassed": 40,
    "IsMissingAnswerFile": false,
    "SemanticTypeIri": "urn:effortless:pko-extension#TableConformance",
    "Name": "effortless-owl / KnowledgeBrokerLinks",
    "CellsFailed": 0.0,
    "Score": 100.0,
    "IsPerfect": true,
    "ImperfectSubstrateKey": null,
    "ImperfectTableKey": null,
    "DisagreeingFieldCount": 0.0,
    "SubstrateLabel": "OWL / SHACL",
    "SubjectArea": "knowledge"
   },
   {
    "TableConformanceId": "effortless-owl|ConformanceSubstrates",
    "Run": "run-20260914-223223",
    "Substrate": "effortless-owl",
    "RulebookTable": "ConformanceSubstrates",
    "RecordCount": 8,
    "DerivedFieldCount": 11,
    "CellsTested": 88,
    "CellsPassed": 88,
    "IsMissingAnswerFile": false,
    "SemanticTypeIri": "urn:effortless:pko-extension#TableConformance",
    "Name": "effortless-owl / ConformanceSubstrates",
    "CellsFailed": 0.0,
    "Score": 100.0,
    "IsPerfect": true,
    "ImperfectSubstrateKey": null,
    "ImperfectTableKey": null,
    "DisagreeingFieldCount": 0.0,
    "SubstrateLabel": "OWL / SHACL",
    "SubjectArea": "meta"
   },
   {
    "TableConformanceId": "effortless-owl|ConformanceRuns",
    "Run": "run-20260914-223223",
    "Substrate": "effortless-owl",
    "RulebookTable": "ConformanceRuns",
    "RecordCount": 3,
    "DerivedFieldCount": 9,
    "CellsTested": 27,
    "CellsPassed": 27,
    "IsMissingAnswerFile": false,
    "SemanticTypeIri": "urn:effortless:pko-extension#TableConformance",
    "Name": "effortless-owl / ConformanceRuns",
    "CellsFailed": 0.0,
    "Score": 100.0,
    "IsPerfect": true,
    "ImperfectSubstrateKey": null,
    "ImperfectTableKey": null,
    "DisagreeingFieldCount": 0.0,
    "SubstrateLabel": "OWL / SHACL",
    "SubjectArea": "meta"
   },
   {
    "TableConformanceId": "effortless-owl|SubstrateRunScores",
    "Run": "run-20260914-223223",
    "Substrate": "effortless-owl",
    "RulebookTable": "SubstrateRunScores",
    "RecordCount": 21,
    "DerivedFieldCount": 13,
    "CellsTested": 273,
    "CellsPassed": 273,
    "IsMissingAnswerFile": false,
    "SemanticTypeIri": "urn:effortless:pko-extension#TableConformance",
    "Name": "effortless-owl / SubstrateRunScores",
    "CellsFailed": 0.0,
    "Score": 100.0,
    "IsPerfect": true,
    "ImperfectSubstrateKey": null,
    "ImperfectTableKey": null,
    "DisagreeingFieldCount": 0.0,
    "SubstrateLabel": "OWL / SHACL",
    "SubjectArea": "meta"
   },
   {
    "TableConformanceId": "effortless-owl|TableConformance",
    "Run": "run-20260914-223223",
    "Substrate": "effortless-owl",
    "RulebookTable": "TableConformance",
    "RecordCount": 623,
    "DerivedFieldCount": 9,
    "CellsTested": 5607,
    "CellsPassed": 5607,
    "IsMissingAnswerFile": false,
    "SemanticTypeIri": "urn:effortless:pko-extension#TableConformance",
    "Name": "effortless-owl / TableConformance",
    "CellsFailed": 0.0,
    "Score": 100.0,
    "IsPerfect": true,
    "ImperfectSubstrateKey": null,
    "ImperfectTableKey": null,
    "DisagreeingFieldCount": 0.0,
    "SubstrateLabel": "OWL / SHACL",
    "SubjectArea": "meta"
   },
   {
    "TableConformanceId": "effortless-owl|FieldDisagreements",
    "Run": "run-20260914-223223",
    "Substrate": "effortless-owl",
    "RulebookTable": "FieldDisagreements",
    "RecordCount": 49,
    "DerivedFieldCount": 5,
    "CellsTested": 245,
    "CellsPassed": 245,
    "IsMissingAnswerFile": false,
    "SemanticTypeIri": "urn:effortless:pko-extension#TableConformance",
    "Name": "effortless-owl / FieldDisagreements",
    "CellsFailed": 0.0,
    "Score": 100.0,
    "IsPerfect": true,
    "ImperfectSubstrateKey": null,
    "ImperfectTableKey": null,
    "DisagreeingFieldCount": 0.0,
    "SubstrateLabel": "OWL / SHACL",
    "SubjectArea": "meta"
   },
   {
    "TableConformanceId": "effortless-owl|CellDisagreements",
    "Run": "run-20260914-223223",
    "Substrate": "effortless-owl",
    "RulebookTable": "CellDisagreements",
    "RecordCount": 316,
    "DerivedFieldCount": 3,
    "CellsTested": 948,
    "CellsPassed": 632,
    "IsMissingAnswerFile": false,
    "SemanticTypeIri": "urn:effortless:pko-extension#TableConformance",
    "Name": "effortless-owl / CellDisagreements",
    "CellsFailed": 316.0,
    "Score": 66.67,
    "IsPerfect": false,
    "ImperfectSubstrateKey": "effortless-owl",
    "ImperfectTableKey": "CellDisagreements",
    "DisagreeingFieldCount": 1.0,
    "SubstrateLabel": "OWL / SHACL",
    "SubjectArea": "meta"
   },
   {
    "TableConformanceId": "effortless-python|RulebookReleases",
    "Run": "run-20260914-223223",
    "Substrate": "effortless-python",
    "RulebookTable": "RulebookReleases",
    "RecordCount": 1,
    "DerivedFieldCount": 1,
    "CellsTested": 1,
    "CellsPassed": 1,
    "IsMissingAnswerFile": false,
    "SemanticTypeIri": "urn:effortless:pko-extension#TableConformance",
    "Name": "effortless-python / RulebookReleases",
    "CellsFailed": 0.0,
    "Score": 100.0,
    "IsPerfect": true,
    "ImperfectSubstrateKey": null,
    "ImperfectTableKey": null,
    "DisagreeingFieldCount": 0.0,
    "SubstrateLabel": "Python",
    "SubjectArea": "meta"
   },
   {
    "TableConformanceId": "effortless-python|OntologyProfiles",
    "Run": "run-20260914-223223",
    "Substrate": "effortless-python",
    "RulebookTable": "OntologyProfiles",
    "RecordCount": 11,
    "DerivedFieldCount": 1,
    "CellsTested": 11,
    "CellsPassed": 11,
    "IsMissingAnswerFile": false,
    "SemanticTypeIri": "urn:effortless:pko-extension#TableConformance",
    "Name": "effortless-python / OntologyProfiles",
    "CellsFailed": 0.0,
    "Score": 100.0,
    "IsPerfect": true,
    "ImperfectSubstrateKey": null,
    "ImperfectTableKey": null,
    "DisagreeingFieldCount": 0.0,
    "SubstrateLabel": "Python",
    "SubjectArea": "domain"
   },
   {
    "TableConformanceId": "effortless-python|EvaluationContexts",
    "Run": "run-20260914-223223",
    "Substrate": "effortless-python",
    "RulebookTable": "EvaluationContexts",
    "RecordCount": 1,
    "DerivedFieldCount": 1,
    "CellsTested": 1,
    "CellsPassed": 1,
    "IsMissingAnswerFile": false,
    "SemanticTypeIri": "urn:effortless:pko-extension#TableConformance",
    "Name": "effortless-python / EvaluationContexts",
    "CellsFailed": 0.0,
    "Score": 100.0,
    "IsPerfect": true,
    "ImperfectSubstrateKey": null,
    "ImperfectTableKey": null,
    "DisagreeingFieldCount": 0.0,
    "SubstrateLabel": "Python",
    "SubjectArea": "meta"
   },
   {
    "TableConformanceId": "effortless-python|Organizations",
    "Run": "run-20260914-223223",
    "Substrate": "effortless-python",
    "RulebookTable": "Organizations",
    "RecordCount": 4,
    "DerivedFieldCount": 1,
    "CellsTested": 4,
    "CellsPassed": 4,
    "IsMissingAnswerFile": false,
    "SemanticTypeIri": "urn:effortless:pko-extension#TableConformance",
    "Name": "effortless-python / Organizations",
    "CellsFailed": 0.0,
    "Score": 100.0,
    "IsPerfect": true,
    "ImperfectSubstrateKey": null,
    "ImperfectTableKey": null,
    "DisagreeingFieldCount": 0.0,
    "SubstrateLabel": "Python",
    "SubjectArea": "org"
   },
   {
    "TableConformanceId": "effortless-python|Agents",
    "Run": "run-20260914-223223",
    "Substrate": "effortless-python",
    "RulebookTable": "Agents",
    "RecordCount": 11,
    "DerivedFieldCount": 16,
    "CellsTested": 176,
    "CellsPassed": 176,
    "IsMissingAnswerFile": false,
    "SemanticTypeIri": "urn:effortless:pko-extension#TableConformance",
    "Name": "effortless-python / Agents",
    "CellsFailed": 0.0,
    "Score": 100.0,
    "IsPerfect": true,
    "ImperfectSubstrateKey": null,
    "ImperfectTableKey": null,
    "DisagreeingFieldCount": 0.0,
    "SubstrateLabel": "Python",
    "SubjectArea": "org"
   },
   {
    "TableConformanceId": "effortless-python|Roles",
    "Run": "run-20260914-223223",
    "Substrate": "effortless-python",
    "RulebookTable": "Roles",
    "RecordCount": 12,
    "DerivedFieldCount": 17,
    "CellsTested": 204,
    "CellsPassed": 204,
    "IsMissingAnswerFile": false,
    "SemanticTypeIri": "urn:effortless:pko-extension#TableConformance",
    "Name": "effortless-python / Roles",
    "CellsFailed": 0.0,
    "Score": 100.0,
    "IsPerfect": true,
    "ImperfectSubstrateKey": null,
    "ImperfectTableKey": null,
    "DisagreeingFieldCount": 0.0,
    "SubstrateLabel": "Python",
    "SubjectArea": "org"
   },
   {
    "TableConformanceId": "effortless-python|RoleAssignments",
    "Run": "run-20260914-223223",
    "Substrate": "effortless-python",
    "RulebookTable": "RoleAssignments",
    "RecordCount": 13,
    "DerivedFieldCount": 47,
    "CellsTested": 611,
    "CellsPassed": 611,
    "IsMissingAnswerFile": false,
    "SemanticTypeIri": "urn:effortless:pko-extension#TableConformance",
    "Name": "effortless-python / RoleAssignments",
    "CellsFailed": 0.0,
    "Score": 100.0,
    "IsPerfect": true,
    "ImperfectSubstrateKey": null,
    "ImperfectTableKey": null,
    "DisagreeingFieldCount": 0.0,
    "SubstrateLabel": "Python",
    "SubjectArea": "org"
   },
   {
    "TableConformanceId": "effortless-python|CommunitiesOfPractice",
    "Run": "run-20260914-223223",
    "Substrate": "effortless-python",
    "RulebookTable": "CommunitiesOfPractice",
    "RecordCount": 2,
    "DerivedFieldCount": 1,
    "CellsTested": 2,
    "CellsPassed": 2,
    "IsMissingAnswerFile": false,
    "SemanticTypeIri": "urn:effortless:pko-extension#TableConformance",
    "Name": "effortless-python / CommunitiesOfPractice",
    "CellsFailed": 0.0,
    "Score": 100.0,
    "IsPerfect": true,
    "ImperfectSubstrateKey": null,
    "ImperfectTableKey": null,
    "DisagreeingFieldCount": 0.0,
    "SubstrateLabel": "Python",
    "SubjectArea": "org"
   },
   {
    "TableConformanceId": "effortless-python|Mentorships",
    "Run": "run-20260914-223223",
    "Substrate": "effortless-python",
    "RulebookTable": "Mentorships",
    "RecordCount": 1,
    "DerivedFieldCount": 1,
    "CellsTested": 1,
    "CellsPassed": 1,
    "IsMissingAnswerFile": false,
    "SemanticTypeIri": "urn:effortless:pko-extension#TableConformance",
    "Name": "effortless-python / Mentorships",
    "CellsFailed": 0.0,
    "Score": 100.0,
    "IsPerfect": true,
    "ImperfectSubstrateKey": null,
    "ImperfectTableKey": null,
    "DisagreeingFieldCount": 0.0,
    "SubstrateLabel": "Python",
    "SubjectArea": "org"
   },
   {
    "TableConformanceId": "effortless-python|ProcedureTypes",
    "Run": "run-20260914-223223",
    "Substrate": "effortless-python",
    "RulebookTable": "ProcedureTypes",
    "RecordCount": 2,
    "DerivedFieldCount": 1,
    "CellsTested": 2,
    "CellsPassed": 2,
    "IsMissingAnswerFile": false,
    "SemanticTypeIri": "urn:effortless:pko-extension#TableConformance",
    "Name": "effortless-python / ProcedureTypes",
    "CellsFailed": 0.0,
    "Score": 100.0,
    "IsPerfect": true,
    "ImperfectSubstrateKey": null,
    "ImperfectTableKey": null,
    "DisagreeingFieldCount": 0.0,
    "SubstrateLabel": "Python",
    "SubjectArea": "specification"
   },
   {
    "TableConformanceId": "effortless-python|Procedures",
    "Run": "run-20260914-223223",
    "Substrate": "effortless-python",
    "RulebookTable": "Procedures",
    "RecordCount": 2,
    "DerivedFieldCount": 1,
    "CellsTested": 2,
    "CellsPassed": 2,
    "IsMissingAnswerFile": false,
    "SemanticTypeIri": "urn:effortless:pko-extension#TableConformance",
    "Name": "effortless-python / Procedures",
    "CellsFailed": 0.0,
    "Score": 100.0,
    "IsPerfect": true,
    "ImperfectSubstrateKey": null,
    "ImperfectTableKey": null,
    "DisagreeingFieldCount": 0.0,
    "SubstrateLabel": "Python",
    "SubjectArea": "specification"
   },
   {
    "TableConformanceId": "effortless-python|ProcedureVersions",
    "Run": "run-20260914-223223",
    "Substrate": "effortless-python",
    "RulebookTable": "ProcedureVersions",
    "RecordCount": 3,
    "DerivedFieldCount": 73,
    "CellsTested": 219,
    "CellsPassed": 219,
    "IsMissingAnswerFile": false,
    "SemanticTypeIri": "urn:effortless:pko-extension#TableConformance",
    "Name": "effortless-python / ProcedureVersions",
    "CellsFailed": 0.0,
    "Score": 100.0,
    "IsPerfect": true,
    "ImperfectSubstrateKey": null,
    "ImperfectTableKey": null,
    "DisagreeingFieldCount": 0.0,
    "SubstrateLabel": "Python",
    "SubjectArea": "specification"
   },
   {
    "TableConformanceId": "effortless-python|ProcedureVersionLinks",
    "Run": "run-20260914-223223",
    "Substrate": "effortless-python",
    "RulebookTable": "ProcedureVersionLinks",
    "RecordCount": 1,
    "DerivedFieldCount": 2,
    "CellsTested": 2,
    "CellsPassed": 2,
    "IsMissingAnswerFile": false,
    "SemanticTypeIri": "urn:effortless:pko-extension#TableConformance",
    "Name": "effortless-python / ProcedureVersionLinks",
    "CellsFailed": 0.0,
    "Score": 100.0,
    "IsPerfect": true,
    "ImperfectSubstrateKey": null,
    "ImperfectTableKey": null,
    "DisagreeingFieldCount": 0.0,
    "SubstrateLabel": "Python",
    "SubjectArea": "specification"
   },
   {
    "TableConformanceId": "effortless-python|ProcedureStatusChanges",
    "Run": "run-20260914-223223",
    "Substrate": "effortless-python",
    "RulebookTable": "ProcedureStatusChanges",
    "RecordCount": 5,
    "DerivedFieldCount": 1,
    "CellsTested": 5,
    "CellsPassed": 5,
    "IsMissingAnswerFile": false,
    "SemanticTypeIri": "urn:effortless:pko-extension#TableConformance",
    "Name": "effortless-python / ProcedureStatusChanges",
    "CellsFailed": 0.0,
    "Score": 100.0,
    "IsPerfect": true,
    "ImperfectSubstrateKey": null,
    "ImperfectTableKey": null,
    "DisagreeingFieldCount": 0.0,
    "SubstrateLabel": "Python",
    "SubjectArea": "specification"
   },
   {
    "TableConformanceId": "effortless-python|Steps",
    "Run": "run-20260914-223223",
    "Substrate": "effortless-python",
    "RulebookTable": "Steps",
    "RecordCount": 17,
    "DerivedFieldCount": 42,
    "CellsTested": 714,
    "CellsPassed": 714,
    "IsMissingAnswerFile": false,
    "SemanticTypeIri": "urn:effortless:pko-extension#TableConformance",
    "Name": "effortless-python / Steps",
    "CellsFailed": 0.0,
    "Score": 100.0,
    "IsPerfect": true,
    "ImperfectSubstrateKey": null,
    "ImperfectTableKey": null,
    "DisagreeingFieldCount": 0.0,
    "SubstrateLabel": "Python",
    "SubjectArea": "specification"
   },
   {
    "TableConfo</t>
  </si>
  <si>
    <t xml:space="preserve">rmanceId": "effortless-python|StepTransitions",
    "Run": "run-20260914-223223",
    "Substrate": "effortless-python",
    "RulebookTable": "StepTransitions",
    "RecordCount": 20,
    "DerivedFieldCount": 18,
    "CellsTested": 360,
    "CellsPassed": 360,
    "IsMissingAnswerFile": false,
    "SemanticTypeIri": "urn:effortless:pko-extension#TableConformance",
    "Name": "effortless-python / StepTransitions",
    "CellsFailed": 0.0,
    "Score": 100.0,
    "IsPerfect": true,
    "ImperfectSubstrateKey": null,
    "ImperfectTableKey": null,
    "DisagreeingFieldCount": 0.0,
    "SubstrateLabel": "Python",
    "SubjectArea": "specification"
   },
   {
    "TableConformanceId": "effortless-python|Actions",
    "Run": "run-20260914-223223",
    "Substrate": "effortless-python",
    "RulebookTable": "Actions",
    "RecordCount": 9,
    "DerivedFieldCount": 1,
    "CellsTested": 9,
    "CellsPassed": 9,
    "IsMissingAnswerFile": false,
    "SemanticTypeIri": "urn:effortless:pko-extension#TableConformance",
    "Name": "effortless-python / Actions",
    "CellsFailed": 0.0,
    "Score": 100.0,
    "IsPerfect": true,
    "ImperfectSubstrateKey": null,
    "ImperfectTableKey": null,
    "DisagreeingFieldCount": 0.0,
    "SubstrateLabel": "Python",
    "SubjectArea": "specification"
   },
   {
    "TableConformanceId": "effortless-python|Functions",
    "Run": "run-20260914-223223",
    "Substrate": "effortless-python",
    "RulebookTable": "Functions",
    "RecordCount": 8,
    "DerivedFieldCount": 1,
    "CellsTested": 8,
    "CellsPassed": 8,
    "IsMissingAnswerFile": false,
    "SemanticTypeIri": "urn:effortless:pko-extension#TableConformance",
    "Name": "effortless-python / Functions",
    "CellsFailed": 0.0,
    "Score": 100.0,
    "IsPerfect": true,
    "ImperfectSubstrateKey": null,
    "ImperfectTableKey": null,
    "DisagreeingFieldCount": 0.0,
    "SubstrateLabel": "Python",
    "SubjectArea": "specification"
   },
   {
    "TableConformanceId": "effortless-python|Tools",
    "Run": "run-20260914-223223",
    "Substrate": "effortless-python",
    "RulebookTable": "Tools",
    "RecordCount": 8,
    "DerivedFieldCount": 1,
    "CellsTested": 8,
    "CellsPassed": 8,
    "IsMissingAnswerFile": false,
    "SemanticTypeIri": "urn:effortless:pko-extension#TableConformance",
    "Name": "effortless-python / Tools",
    "CellsFailed": 0.0,
    "Score": 100.0,
    "IsPerfect": true,
    "ImperfectSubstrateKey": null,
    "ImperfectTableKey": null,
    "DisagreeingFieldCount": 0.0,
    "SubstrateLabel": "Python",
    "SubjectArea": "specification"
   },
   {
    "TableConformanceId": "effortless-python|StepActions",
    "Run": "run-20260914-223223",
    "Substrate": "effortless-python",
    "RulebookTable": "StepActions",
    "RecordCount": 9,
    "DerivedFieldCount": 1,
    "CellsTested": 9,
    "CellsPassed": 9,
    "IsMissingAnswerFile": false,
    "SemanticTypeIri": "urn:effortless:pko-extension#TableConformance",
    "Name": "effortless-python / StepActions",
    "CellsFailed": 0.0,
    "Score": 100.0,
    "IsPerfect": true,
    "ImperfectSubstrateKey": null,
    "ImperfectTableKey": null,
    "DisagreeingFieldCount": 0.0,
    "SubstrateLabel": "Python",
    "SubjectArea": "specification"
   },
   {
    "TableConformanceId": "effortless-python|StepFunctions",
    "Run": "run-20260914-223223",
    "Substrate": "effortless-python",
    "RulebookTable": "StepFunctions",
    "RecordCount": 8,
    "DerivedFieldCount": 1,
    "CellsTested": 8,
    "CellsPassed": 8,
    "IsMissingAnswerFile": false,
    "SemanticTypeIri": "urn:effortless:pko-extension#TableConformance",
    "Name": "effortless-python / StepFunctions",
    "CellsFailed": 0.0,
    "Score": 100.0,
    "IsPerfect": true,
    "ImperfectSubstrateKey": null,
    "ImperfectTableKey": null,
    "DisagreeingFieldCount": 0.0,
    "SubstrateLabel": "Python",
    "SubjectArea": "specification"
   },
   {
    "TableConformanceId": "effortless-python|StepTools",
    "Run": "run-20260914-223223",
    "Substrate": "effortless-python",
    "RulebookTable": "StepTools",
    "RecordCount": 10,
    "DerivedFieldCount": 1,
    "CellsTested": 10,
    "CellsPassed": 10,
    "IsMissingAnswerFile": false,
    "SemanticTypeIri": "urn:effortless:pko-extension#TableConformance",
    "Name": "effortless-python / StepTools",
    "CellsFailed": 0.0,
    "Score": 100.0,
    "IsPerfect": true,
    "ImperfectSubstrateKey": null,
    "ImperfectTableKey": null,
    "DisagreeingFieldCount": 0.0,
    "SubstrateLabel": "Python",
    "SubjectArea": "specification"
   },
   {
    "TableConformanceId": "effortless-python|Requirements",
    "Run": "run-20260914-223223",
    "Substrate": "effortless-python",
    "RulebookTable": "Requirements",
    "RecordCount": 13,
    "DerivedFieldCount": 31,
    "CellsTested": 403,
    "CellsPassed": 403,
    "IsMissingAnswerFile": false,
    "SemanticTypeIri": "urn:effortless:pko-extension#TableConformance",
    "Name": "effortless-python / Requirements",
    "CellsFailed": 0.0,
    "Score": 100.0,
    "IsPerfect": true,
    "ImperfectSubstrateKey": null,
    "ImperfectTableKey": null,
    "DisagreeingFieldCount": 0.0,
    "SubstrateLabel": "Python",
    "SubjectArea": "governance"
   },
   {
    "TableConformanceId": "effortless-python|StepRequirements",
    "Run": "run-20260914-223223",
    "Substrate": "effortless-python",
    "RulebookTable": "StepRequirements",
    "RecordCount": 15,
    "DerivedFieldCount": 10,
    "CellsTested": 150,
    "CellsPassed": 150,
    "IsMissingAnswerFile": false,
    "SemanticTypeIri": "urn:effortless:pko-extension#TableConformance",
    "Name": "effortless-python / StepRequirements",
    "CellsFailed": 0.0,
    "Score": 100.0,
    "IsPerfect": true,
    "ImperfectSubstrateKey": null,
    "ImperfectTableKey": null,
    "DisagreeingFieldCount": 0.0,
    "SubstrateLabel": "Python",
    "SubjectArea": "specification"
   },
   {
    "TableConformanceId": "effortless-python|StepVerifications",
    "Run": "run-20260914-223223",
    "Substrate": "effortless-python",
    "RulebookTable": "StepVerifications",
    "RecordCount": 11,
    "DerivedFieldCount": 1,
    "CellsTested": 11,
    "CellsPassed": 11,
    "IsMissingAnswerFile": false,
    "SemanticTypeIri": "urn:effortless:pko-extension#TableConformance",
    "Name": "effortless-python / StepVerifications",
    "CellsFailed": 0.0,
    "Score": 100.0,
    "IsPerfect": true,
    "ImperfectSubstrateKey": null,
    "ImperfectTableKey": null,
    "DisagreeingFieldCount": 0.0,
    "SubstrateLabel": "Python",
    "SubjectArea": "specification"
   },
   {
    "TableConformanceId": "effortless-python|Rationales",
    "Run": "run-20260914-223223",
    "Substrate": "effortless-python",
    "RulebookTable": "Rationales",
    "RecordCount": 4,
    "DerivedFieldCount": 1,
    "CellsTested": 4,
    "CellsPassed": 4,
    "IsMissingAnswerFile": false,
    "SemanticTypeIri": "urn:effortless:pko-extension#TableConformance",
    "Name": "effortless-python / Rationales",
    "CellsFailed": 0.0,
    "Score": 100.0,
    "IsPerfect": true,
    "ImperfectSubstrateKey": null,
    "ImperfectTableKey": null,
    "DisagreeingFieldCount": 0.0,
    "SubstrateLabel": "Python",
    "SubjectArea": "governance"
   },
   {
    "TableConformanceId": "effortless-python|Exceptions",
    "Run": "run-20260914-223223",
    "Substrate": "effortless-python",
    "RulebookTable": "Exceptions",
    "RecordCount": 4,
    "DerivedFieldCount": 2,
    "CellsTested": 8,
    "CellsPassed": 8,
    "IsMissingAnswerFile": false,
    "SemanticTypeIri": "urn:effortless:pko-extension#TableConformance",
    "Name": "effortless-python / Exceptions",
    "CellsFailed": 0.0,
    "Score": 100.0,
    "IsPerfect": true,
    "ImperfectSubstrateKey": null,
    "ImperfectTableKey": null,
    "DisagreeingFieldCount": 0.0,
    "SubstrateLabel": "Python",
    "SubjectArea": "governance"
   },
   {
    "TableConformanceId": "effortless-python|Resources",
    "Run": "run-20260914-223223",
    "Substrate": "effortless-python",
    "RulebookTable": "Resources",
    "RecordCount": 8,
    "DerivedFieldCount": 2,
    "CellsTested": 16,
    "CellsPassed": 16,
    "IsMissingAnswerFile": false,
    "SemanticTypeIri": "urn:effortless:pko-extension#TableConformance",
    "Name": "effortless-python / Resources",
    "CellsFailed": 0.0,
    "Score": 100.0,
    "IsPerfect": true,
    "ImperfectSubstrateKey": null,
    "ImperfectTableKey": null,
    "DisagreeingFieldCount": 0.0,
    "SubstrateLabel": "Python",
    "SubjectArea": "domain"
   },
   {
    "TableConformanceId": "effortless-python|ProcedureResources",
    "Run": "run-20260914-223223",
    "Substrate": "effortless-python",
    "RulebookTable": "ProcedureResources",
    "RecordCount": 8,
    "DerivedFieldCount": 2,
    "CellsTested": 16,
    "CellsPassed": 16,
    "IsMissingAnswerFile": false,
    "SemanticTypeIri": "urn:effortless:pko-extension#TableConformance",
    "Name": "effortless-python / ProcedureResources",
    "CellsFailed": 0.0,
    "Score": 100.0,
    "IsPerfect": true,
    "ImperfectSubstrateKey": null,
    "ImperfectTableKey": null,
    "DisagreeingFieldCount": 0.0,
    "SubstrateLabel": "Python",
    "SubjectArea": "specification"
   },
   {
    "TableConformanceId": "effortless-python|ElicitationSessions",
    "Run": "run-20260914-223223",
    "Substrate": "effortless-python",
    "RulebookTable": "ElicitationSessions",
    "RecordCount": 3,
    "DerivedFieldCount": 10,
    "CellsTested": 30,
    "CellsPassed": 30,
    "IsMissingAnswerFile": false,
    "SemanticTypeIri": "urn:effortless:pko-extension#TableConformance",
    "Name": "effortless-python / ElicitationSessions",
    "CellsFailed": 0.0,
    "Score": 100.0,
    "IsPerfect": true,
    "ImperfectSubstrateKey": null,
    "ImperfectTableKey": null,
    "DisagreeingFieldCount": 0.0,
    "SubstrateLabel": "Python",
    "SubjectArea": "knowledge"
   },
   {
    "TableConformanceId": "effortless-python|KnowledgeFragments",
    "Run": "run-20260914-223223",
    "Substrate": "effortless-python",
    "RulebookTable": "KnowledgeFragments",
    "RecordCount": 7,
    "DerivedFieldCount": 65,
    "CellsTested": 455,
    "CellsPassed": 455,
    "IsMissingAnswerFile": false,
    "SemanticTypeIri": "urn:effortless:pko-extension#TableConformance",
    "Name": "effortless-python / KnowledgeFragments",
    "CellsFailed": 0.0,
    "Score": 100.0,
    "IsPerfect": true,
    "ImperfectSubstrateKey": null,
    "ImperfectTableKey": null,
    "DisagreeingFieldCount": 0.0,
    "SubstrateLabel": "Python",
    "SubjectArea": "knowledge"
   },
   {
    "TableConformanceId": "effortless-python|KnowledgeGaps",
    "Run": "run-20260914-223223",
    "Substrate": "effortless-python",
    "RulebookTable": "KnowledgeGaps",
    "RecordCount": 8,
    "DerivedFieldCount": 16,
    "CellsTested": 128,
    "CellsPassed": 128,
    "IsMissingAnswerFile": false,
    "SemanticTypeIri": "urn:effortless:pko-extension#TableConformance",
    "Name": "effortless-python / KnowledgeGaps",
    "CellsFailed": 0.0,
    "Score": 100.0,
    "IsPerfect": true,
    "ImperfectSubstrateKey": null,
    "ImperfectTableKey": null,
    "DisagreeingFieldCount": 0.0,
    "SubstrateLabel": "Python",
    "SubjectArea": "knowledge"
   },
   {
    "TableConformanceId": "effortless-python|FAQs",
    "Run": "run-20260914-223223",
    "Substrate": "effortless-python",
    "RulebookTable": "FAQs",
    "RecordCount": 3,
    "DerivedFieldCount": 1,
    "CellsTested": 3,
    "CellsPassed": 3,
    "IsMissingAnswerFile": false,
    "SemanticTypeIri": "urn:effortless:pko-extension#TableConformance",
    "Name": "effortless-python / FAQs",
    "CellsFailed": 0.0,
    "Score": 100.0,
    "IsPerfect": true,
    "ImperfectSubstrateKey": null,
    "ImperfectTableKey": null,
    "DisagreeingFieldCount": 0.0,
    "SubstrateLabel": "Python",
    "SubjectArea": "knowledge"
   },
   {
    "TableConformanceId": "effortless-python|Explanations",
    "Run": "run-20260914-223223",
    "Substrate": "effortless-python",
    "RulebookTable": "Explanations",
    "RecordCount": 2,
    "DerivedFieldCount": 1,
    "CellsTested": 2,
    "CellsPassed": 2,
    "IsMissingAnswerFile": false,
    "SemanticTypeIri": "urn:effortless:pko-extension#TableConformance",
    "Name": "effortless-python / Explanations",
    "CellsFailed": 0.0,
    "Score": 100.0,
    "IsPerfect": true,
    "ImperfectSubstrateKey": null,
    "ImperfectTableKey": null,
    "DisagreeingFieldCount": 0.0,
    "SubstrateLabel": "Python",
    "SubjectArea": "knowledge"
   },
   {
    "TableConformanceId": "effortless-python|ProcedureExecutions",
    "Run": "run-20260914-223223",
    "Substrate": "effortless-python",
    "RulebookTable": "ProcedureExecutions",
    "RecordCount": 2,
    "DerivedFieldCount": 69,
    "CellsTested": 138,
    "CellsPassed": 138,
    "IsMissingAnswerFile": false,
    "SemanticTypeIri": "urn:effortless:pko-extension#TableConformance",
    "Name": "effortless-python / ProcedureExecutions",
    "CellsFailed": 0.0,
    "Score": 100.0,
    "IsPerfect": true,
    "ImperfectSubstrateKey": null,
    "ImperfectTableKey": null,
    "DisagreeingFieldCount": 0.0,
    "SubstrateLabel": "Python",
    "SubjectArea": "specification"
   },
   {
    "TableConformanceId": "effortless-python|StepExecutions",
    "Run": "run-20260914-223223",
    "Substrate": "effortless-python",
    "RulebookTable": "StepExecutions",
    "RecordCount": 12,
    "DerivedFieldCount": 99,
    "CellsTested": 1188,
    "CellsPassed": 1188,
    "IsMissingAnswerFile": false,
    "SemanticTypeIri": "urn:effortless:pko-extension#TableConformance",
    "Name": "effortless-python / StepExecutions",
    "CellsFailed": 0.0,
    "Score": 100.0,
    "IsPerfect": true,
    "ImperfectSubstrateKey": null,
    "ImperfectTableKey": null,
    "DisagreeingFieldCount": 0.0,
    "SubstrateLabel": "Python",
    "SubjectArea": "specification"
   },
   {
    "TableConformanceId": "effortless-python|RequirementSatisfactions",
    "Run": "run-20260914-223223",
    "Substrate": "effortless-python",
    "RulebookTable": "RequirementSatisfactions",
    "RecordCount": 8,
    "DerivedFieldCount": 38,
    "CellsTested": 304,
    "CellsPassed": 304,
    "IsMissingAnswerFile": false,
    "SemanticTypeIri": "urn:effortless:pko-extension#TableConformance",
    "Name": "effortless-python / RequirementSatisfactions",
    "CellsFailed": 0.0,
    "Score": 100.0,
    "IsPerfect": true,
    "ImperfectSubstrateKey": null,
    "ImperfectTableKey": null,
    "DisagreeingFieldCount": 0.0,
    "SubstrateLabel": "Python",
    "SubjectArea": "execution"
   },
   {
    "TableConformanceId": "effortless-python|Errors",
    "Run": "run-20260914-223223",
    "Substrate": "effortless-python",
    "RulebookTable": "Errors",
    "RecordCount": 2,
    "DerivedFieldCount": 1,
    "CellsTested": 2,
    "CellsPassed": 2,
    "IsMissingAnswerFile": false,
    "SemanticTypeIri": "urn:effortless:pko-extension#TableConformance",
    "Name": "effortless-python / Errors",
    "CellsFailed": 0.0,
    "Score": 100.0,
    "IsPerfect": true,
    "ImperfectSubstrateKey": null,
    "ImperfectTableKey": null,
    "DisagreeingFieldCount": 0.0,
    "SubstrateLabel": "Python",
    "SubjectArea": "execution"
   },
   {
    "TableConformanceId": "effortless-python|IssueOccurrences",
    "Run": "run-20260914-223223",
    "Substrate": "effortless-python",
    "RulebookTable": "IssueOccurrences",
    "RecordCount": 2,
    "DerivedFieldCount": 3,
    "CellsTested": 6,
    "CellsPassed": 6,
    "IsMissingAnswerFile": false,
    "SemanticTypeIri": "urn:effortless:pko-extension#TableConformance",
    "Name": "effortless-python / IssueOccurrences",
    "CellsFailed": 0.0,
    "Score": 100.0,
    "IsPerfect": true,
    "ImperfectSubstrateKey": null,
    "ImperfectTableKey": null,
    "DisagreeingFieldCount": 0.0,
    "SubstrateLabel": "Python",
    "SubjectArea": "execution"
   },
   {
    "TableConformanceId": "effortless-python|UserQuestions",
    "Run": "run-20260914-223223",
    "Substrate": "effortless-python",
    "RulebookTable": "UserQuestions",
    "RecordCount": 2,
    "DerivedFieldCount": 1,
    "CellsTested": 2,
    "CellsPassed": 2,
    "IsMissingAnswerFile": false,
    "SemanticTypeIri": "urn:effortless:pko-extension#TableConformance",
    "Name": "effortless-python / UserQuestions",
    "CellsFailed": 0.0,
    "Score": 100.0,
    "IsPerfect": true,
    "ImperfectSubstrateKey": null,
    "ImperfectTableKey": null,
    "DisagreeingFieldCount": 0.0,
    "SubstrateLabel": "Python",
    "SubjectArea": "domain"
   },
   {
    "TableConformanceId": "effortless-python|UserFeedback",
    "Run": "run-20260914-223223",
    "Substrate": "effortless-python",
    "RulebookTable": "UserFeedback",
    "RecordCount": 2,
    "DerivedFieldCount": 1,
    "CellsTested": 2,
    "CellsPassed": 2,
    "IsMissingAnswerFile": false,
    "SemanticTypeIri": "urn:effortless:pko-extension#TableConformance",
    "Name": "effortless-python / UserFeedback",
    "CellsFailed": 0.0,
    "Score": 100.0,
    "IsPerfect": true,
    "ImperfectSubstrateKey": null,
    "ImperfectTableKey": null,
    "DisagreeingFieldCount": 0.0,
    "SubstrateLabel": "Python",
    "SubjectArea": "domain"
   },
   {
    "TableConformanceId": "effortless-python|StewardshipAssignments",
    "Run": "run-20260914-223223",
    "Substrate": "effortless-python",
    "RulebookTable": "StewardshipAssignments",
    "RecordCount": 2,
    "DerivedFieldCount": 5,
    "CellsTested": 10,
    "CellsPassed": 10,
    "IsMissingAnswerFile": false,
    "SemanticTypeIri": "urn:effortless:pko-extension#TableConformance",
    "Name": "effortless-python / StewardshipAssignments",
    "CellsFailed": 0.0,
    "Score": 100.0,
    "IsPerfect": true,
    "ImperfectSubstrateKey": null,
    "ImperfectTableKey": null,
    "DisagreeingFieldCount": 0.0,
    "SubstrateLabel": "Python",
    "SubjectArea": "org"
   },
   {
    "TableConformanceId": "effortless-python|ChangeRequests",
    "Run": "run-20260914-223223",
    "Substrate": "effortless-python",
    "RulebookTable": "ChangeRequests",
    "RecordCount": 2,
    "DerivedFieldCount": 32,
    "CellsTested": 64,
    "CellsPassed": 64,
    "IsMissingAnswerFile": false,
    "SemanticTypeIri": "urn:effortless:pko-extension#TableConformance",
    "Name": "effortless-python / ChangeRequests",
    "CellsFailed": 0.0,
    "Score": 100.0,
    "IsPerfect": true,
    "ImperfectSubstrateKey": null,
    "ImperfectTableKey": null,
    "DisagreeingFieldCount": 0.0,
    "SubstrateLabel": "Python",
    "SubjectArea": "domain"
   },
   {
    "TableConformanceId": "effortless-python|ReviewEvents",
    "Run": "run-20260914-223223",
    "Substrate": "effortless-python",
    "RulebookTable": "ReviewEvents",
    "RecordCount": 3,
    "DerivedFieldCount": 10,
    "CellsTested": 30,
    "CellsPassed": 30,
    "IsMissingAnswerFile": false,
    "SemanticTypeIri": "urn:effortless:pko-extension#TableConformance",
    "Name": "effortless-python / ReviewEvents",
    "CellsFailed": 0.0,
    "Score": 100.0,
    "IsPerfect": true,
    "ImperfectSubstrateKey": null,
    "ImperfectTableKey": null,
    "DisagreeingFieldCount": 0.0,
    "SubstrateLabel": "Python",
    "SubjectArea": "domain"
   },
   {
    "TableConformanceId": "effortless-python|LearningActivities",
    "Run": "run-20260914-223223",
    "Substrate": "effortless-python",
    "RulebookTable": "LearningActivities",
    "RecordCount": 2,
    "DerivedFieldCount": 1,
    "CellsTested": 2,
    "CellsPassed": 2,
    "IsMissingAnswerFile": false,
    "SemanticTypeIri": "urn:effortless:pko-extension#TableConformance",
    "Name": "effortless-python / LearningActivities",
    "CellsFailed": 0.0,
    "Score": 100.0,
    "IsPerfect": true,
    "ImperfectSubstrateKey": null,
    "ImperfectTableKey": null,
    "DisagreeingFieldCount": 0.0,
    "SubstrateLabel": "Python",
    "SubjectArea": "domain"
   },
   {
    "TableConformanceId": "effortless-python|OperationalBindings",
    "Run": "run-20260914-223223",
    "Substrate": "effortless-python",
    "RulebookTable": "OperationalBindings",
    "RecordCount": 5,
    "DerivedFieldCount": 11,
    "CellsTested": 55,
    "CellsPassed": 55,
    "IsMissingAnswerFile": false,
    "SemanticTypeIri": "urn:effortless:pko-extension#TableConformance",
    "Name": "effortless-python / OperationalBindings",
    "CellsFailed": 0.0,
    "Score": 100.0,
    "IsPerfect": true,
    "ImperfectSubstrateKey": null,
    "ImperfectTableKey": null,
    "DisagreeingFieldCount": 0.0,
    "SubstrateLabel": "Python",
    "SubjectArea": "domain"
   },
   {
    "TableConformanceId": "effortless-python|CommunicationPolicies",
    "Run": "run-20260914-223223",
    "Substrate": "effortless-python",
    "RulebookTable": "CommunicationPolicies",
    "RecordCount": 2,
    "DerivedFieldCount": 4,
    "CellsTested": 8,
    "CellsPassed": 8,
    "IsMissingAnswerFile": false,
    "SemanticTypeIri": "urn:effortless:pko-extension#TableConformance",
    "Name": "effortless-python / CommunicationPolicies",
    "CellsFailed": 0.0,
    "Score": 100.0,
    "IsPerfect": true,
    "ImperfectSubstrateKey": null,
    "ImperfectTableKey": null,
    "DisagreeingFieldCount": 0.0,
    "SubstrateLabel": "Python",
    "SubjectArea": "communication"
   },
   {
    "TableConformanceId": "effortless-python|MessageTemplates",
    "Run": "run-20260914-223223",
    "Substrate": "effortless-python",
    "RulebookTable": "MessageTemplates",
    "RecordCount": 2,
    "DerivedFieldCount": 16,
    "CellsTested": 32,
    "CellsPassed": 32,
    "IsMissingAnswerFile": false,
    "SemanticTypeIri": "urn:effortless:pko-extension#TableConformance",
    "Name": "effortless-python / MessageTemplates",
    "CellsFailed": 0.0,
    "Score": 100.0,
    "IsPerfect": true,
    "ImperfectSubstrateKey": null,
    "ImperfectTableKey": null,
    "DisagreeingFieldCount": 0.0,
    "SubstrateLabel": "Python",
    "SubjectArea": "communication"
   },
   {
    "TableConformanceId": "effortless-python|SemanticMappings",
    "Run": "run-20260914-223223",
    "Substrate": "effortless-python",
    "RulebookTable": "SemanticMappings",
    "RecordCount": 47,
    "DerivedFieldCount": 1,
    "CellsTested": 47,
    "CellsPassed": 47,
    "IsMissingAnswerFile": false,
    "SemanticTypeIri": "urn:effortless:pko-extension#TableConformance",
    "Name": "effortless-python / SemanticMappings",
    "CellsFailed": 0.0,
    "Score": 100.0,
    "IsPerfect": true,
    "ImperfectSubstrateKey": null,
    "ImperfectTableKey": null,
    "DisagreeingFieldCount": 0.0,
    "SubstrateLabel": "Python",
    "SubjectArea": "meta"
   },
   {
    "TableConformanceId": "effortless-python|WitnessLoops",
    "Run": "run-20260914-223223",
    "Substrate": "effortless-python",
    "RulebookTable": "WitnessLoops",
    "RecordCount": 4,
    "DerivedFieldCount": 3,
    "CellsTested": 12,
    "CellsPassed": 12,
    "IsMissingAnswerFile": false,
    "SemanticTypeIri": "urn:effortless:pko-extension#TableConformance",
    "Name": "effortless-python / WitnessLoops",
    "CellsFailed": 0.0,
    "Score": 100.0,
    "IsPerfect": true,
    "ImperfectSubstrateKey": null,
    "ImperfectTableKey": null,
    "DisagreeingFieldCount": 0.0,
    "SubstrateLabel": "Python",
    "SubjectArea": "meta"
   },
   {
    "TableConformanceId": "effortless-python|RoleQuestions",
    "Run": "run-20260914-223223",
    "Substrate": "effortless-python",
    "RulebookTable": "RoleQuestions",
    "RecordCount": 111,
    "DerivedFieldCount": 3,
    "CellsTested": 333,
    "CellsPassed": 333,
    "IsMissingAnswerFile": false,
    "SemanticTypeIri": "urn:effortless:pko-extension#TableConformance",
    "Name": "effortless-python / RoleQuestions",
    "CellsFailed": 0.0,
    "Score": 100.0,
    "IsPerfect": true,
    "ImperfectSubstrateKey": null,
    "ImperfectTableKey": null,
    "DisagreeingFieldCount": 0.0,
    "SubstrateLabel": "Python",
    "SubjectArea": "org"
   },
   {
    "TableConformanceId": "effortless-python|RulebookFields",
    "Run": "run-20260914-223223",
    "Substrate": "effortless-python",
    "RulebookTable": "RulebookFields",
    "RecordCount": 1897,
    "DerivedFieldCount": 5,
    "CellsTested": 9485,
    "CellsPassed": 9485,
    "IsMissingAnswerFile": false,
    "SemanticTypeIri": "urn:effortless:pko-extension#TableConformance",
    "Name": "effortless-python / RulebookFields",
    "CellsFailed": 0.0,
    "Score": 100.0,
    "IsPerfect": true,
    "ImperfectSubstrateKey": null,
    "ImperfectTableKey": null,
    "DisagreeingFieldCount": 0.0,
    "SubstrateLabel": "Python",
    "SubjectArea": "access-control"
   },
   {
    "TableConformanceId": "effortless-python|TestSuites",
    "Run": "run-20260914-223223",
    "Substrate": "effortless-python",
    "RulebookTable": "TestSuites",
    "RecordCount": 6,
    "DerivedFieldCount": 5,
    "CellsTested": 30,
    "CellsPassed": 30,
    "IsMissingAnswerFile": false,
    "SemanticTypeIri": "urn:effortless:pko-extension#TableConformance",
    "Name": "effortless-python / TestSuites",
    "CellsFailed": 0.0,
    "Score": 100.0,
    "IsPerfect": true,
    "ImperfectSubstrateKey": null,
    "ImperfectTableKey": null,
    "DisagreeingFieldCount": 0.0,
    "SubstrateLabel": "Python",
    "SubjectArea": "meta"
   },
   {
    "TableConformanceId": "effortless-python|TestCases",
    "Run": "run-20260914-223223",
    "Substrate": "effortless-python",
    "RulebookTable": "TestCases",
    "RecordCount": 1794,
    "DerivedFieldCount": 7,
    "CellsTested": 12558,
    "CellsPassed": 12558,
    "IsMissingAnswerFile": false,
    "SemanticTypeIri": "urn:effortless:pko-extension#TableConformance",
    "Name": "effortless-python / TestCases",
    "CellsFailed": 0.0,
    "Score": 100.0,
    "IsPerfect": true,
    "ImperfectSubstrateKey": null,
    "ImperfectTableKey": null,
    "DisagreeingFieldCount": 0.0,
    "SubstrateLabel": "Python",
    "SubjectArea": "meta"
   },
   {
    "TableConformanceId": "effortless-python|ExceptionInvocations",
    "Run": "run-20260914-223223",
    "Substrate": "effortless-python",
    "RulebookTable": "ExceptionInvocations",
    "RecordCount": 1,
    "DerivedFieldCount": 13,
    "CellsTested": 13,
    "CellsPassed": 13,
    "IsMissingAnswerFile": false,
    "SemanticTypeIri": "urn:effortless:pko-extension#TableConformance",
    "Name": "effortless-python / ExceptionInvocations",
    "CellsFailed": 0.0,
    "Score": 100.0,
    "IsPerfect": true,
    "ImperfectSubstrateKey": null,
    "ImperfectTableKey": null,
    "DisagreeingFieldCount": 0.0,
    "SubstrateLabel": "Python",
    "SubjectArea": "governance"
   },
   {
    "TableConformanceId": "effortless-python|VerificationOutcomes",
    "Run": "run-20260914-223223",
    "Substrate": "effortless-python",
    "RulebookTable": "VerificationOutcomes",
    "RecordCount": 4,
    "DerivedFieldCount": 18,
    "CellsTested": 72,
    "CellsPassed": 72,
    "IsMissingAnswerFile": false,
    "SemanticTypeIri": "urn:effortless:pko-extension#TableConformance",
    "Name": "effortless-python / VerificationOutcomes",
    "CellsFailed": 0.0,
    "Score": 100.0,
    "IsPerfect": true,
    "ImperfectSubstrateKey": null,
    "ImperfectTableKey": null,
    "DisagreeingFieldCount": 0.0,
    "SubstrateLabel": "Python",
    "SubjectArea": "execution"
   },
   {
    "TableConformanceId": "effortless-python|ObservedTransitions",
    "Run": "run-20260914-223223",
    "Substrate": "effortless-python",
    "RulebookTable": "ObservedTransitions",
    "RecordCount": 10,
    "DerivedFieldCount": 1,
    "CellsTested": 10,
    "CellsPassed": 10,
    "IsMissingAnswerFile": false,
    "SemanticTypeIri": "urn:effortless:pko-extension#TableConformance",
    "Name": "effortless-python / ObservedTransitions",
    "CellsFailed": 0.0,
    "Score": 100.0,
    "IsPerfect": true,
    "ImperfectSubstrateKey": null,
    "ImperfectTableKey": null,
    "DisagreeingFieldCount": 0.0,
    "SubstrateLabel": "Python",
    "SubjectArea": "specification"
   },
   {
    "TableConformanceId": "effortless-python|Recipients",
    "Run": "run-20260914-223223",
    "Substrate": "effortless-python",
    "RulebookTable": "Recipients",
    "RecordCount": 5,
    "DerivedFieldCount": 6,
    "CellsTested": 30,
    "CellsPassed": 30,
    "IsMissingAnswerFile": false,
    "SemanticTypeIri": "urn:effortless:pko-extension#TableConformance",
    "Name": "effortless-python / Recipients",
    "CellsFailed": 0.0,
    "Score": 100.0,
    "IsPerfect": true,
    "ImperfectSubstrateKey": null,
    "ImperfectTableKey": null,
    "DisagreeingFieldCount": 0.0,
    "SubstrateLabel": "Python",
    "SubjectArea": "communication"
   },
   {
    "TableConformanceId": "effortless-python|MessageDeliveries",
    "Run": "run-20260914-223223",
    "Substrate": "effortless-python",
    "RulebookTable": "MessageDeliveries",
    "RecordCount": 6,
    "DerivedFieldCount": 74,
    "CellsTested": 444,
    "CellsPassed": 444,
    "IsMissingAnswerFile": false,
    "SemanticTypeIri": "urn:effortless:pko-extension#TableConformance",
    "Name": "effortless-python / MessageDeliveries",
    "CellsFailed": 0.0,
    "Score": 100.0,
    "IsPerfect": true,
    "ImperfectSubstrateKey": null,
    "ImperfectTableKey": null,
    "DisagreeingFieldCount": 0.0,
    "SubstrateLabel": "Python",
    "SubjectArea": "communication"
   },
   {
    "TableConformanceId": "effortless-python|TemplateApprovals",
    "Run": "run-20260914-223223",
    "Substrate": "effortless-python",
    "RulebookTable": "TemplateApprovals",
    "RecordCount": 2,
    "DerivedFieldCount": 6,
    "CellsTested": 12,
    "CellsPassed": 12,
    "IsMissingAnswerFile": false,
    "SemanticTypeIri": "urn:effortless:pko-extension#TableConformance",
    "Name": "effortless-python / TemplateApprovals",
    "CellsFailed": 0.0,
    "Score": 100.0,
    "IsPerfect": true,
    "ImperfectSubstrateKey": null,
    "ImperfectTableKey": null,
    "DisagreeingFieldCount": 0.0,
    "SubstrateLabel": "Python",
    "SubjectArea": "communication"
   },
   {
    "TableConformanceId": "effortless-python|SendIntents",
    "Run": "run-20260914-223223",
    "Substrate": "effortless-python",
    "RulebookTable": "SendIntents",
    "RecordCount": 7,
    "DerivedFieldCount": 79,
    "CellsTested": 553,
    "CellsPassed": 553,
    "IsMissingAnswerFile": false,
    "SemanticTypeIri": "urn:effortless:pko-extension#TableConformance",
    "Name": "effortless-python / SendIntents",
    "CellsFailed": 0.0,
    "Score": 100.0,
    "IsPerfect": true,
    "ImperfectSubstrateKey": null,
    "ImperfectTableKey": null,
    "DisagreeingFieldCount": 0.0,
    "SubstrateLabel": "Python",
    "SubjectArea": "communication"
   },
   {
    "TableConformanceId": "effortless-python|AgentDecisionRecords",
    "Run": "run-20260914-223223",
    "Substrate": "effortless-python",
    "RulebookTable": "AgentDecisionRecords",
    "RecordCount": 3,
    "DerivedFieldCount": 27,
    "CellsTested": 81,
    "CellsPassed": 81,
    "IsMissingAnswerFile": false,
    "SemanticTypeIri": "urn:effortless:pko-extension#TableConformance",
    "Name": "effortless-python / AgentDecisionRecords",
    "CellsFailed": 0.0,
    "Score": 100.0,
    "IsPerfect": true,
    "ImperfectSubstrateKey": null,
    "ImperfectTableKey": null,
    "DisagreeingFieldCount": 0.0,
    "SubstrateLabel": "Python",
    "SubjectArea": "org"
   },
   {
    "TableConformanceId": "effortless-python|DeliveredCommunications",
    "Run": "run-20260914-223223",
    "Substrate": "effortless-python",
    "RulebookTable": "DeliveredCommunications",
    "RecordCount": 1,
    "DerivedFieldCount": 6,
    "CellsTested": 6,
    "CellsPassed": 6,
    "IsMissingAnswerFile": false,
    "SemanticTypeIri": "urn:effortless:pko-extension#TableConformance",
    "Name": "effortless-python / DeliveredCommunications",
    "CellsFailed": 0.0,
    "Score": 100.0,
    "IsPerfect": true,
    "ImperfectSubstrateKey": null,
    "ImperfectTableKey": null,
    "DisagreeingFieldCount": 0.0,
    "SubstrateLabel": "Python",
    "SubjectArea": "communication"
   },
   {
    "TableConformanceId": "effortless-python|AuthorityBoundaries",
    "Run": "run-20260914-223223",
    "Substrate": "effortless-python",
    "RulebookTable": "AuthorityBoundaries",
    "RecordCount": 3,
    "DerivedFieldCount": 21,
    "CellsTested": 63,
    "CellsPassed": 63,
    "IsMissingAnswerFile": false,
    "SemanticTypeIri": "urn:effortless:pko-extension#TableConformance",
    "Name": "effortless-python / AuthorityBoundaries",
    "CellsFailed": 0.0,
    "Score": 100.0,
    "IsPerfect": true,
    "ImperfectSubstrateKey": null,
    "ImperfectTableKey": null,
    "DisagreeingFieldCount": 0.0,
    "SubstrateLabel": "Python",
    "SubjectArea": "governance"
   },
   {
    "TableConformanceId": "ef</t>
  </si>
  <si>
    <t xml:space="preserve">fortless-python|AppRoleProfiles",
    "Run": "run-20260914-223223",
    "Substrate": "effortless-python",
    "RulebookTable": "AppRoleProfiles",
    "RecordCount": 12,
    "DerivedFieldCount": 2,
    "CellsTested": 24,
    "CellsPassed": 24,
    "IsMissingAnswerFile": false,
    "SemanticTypeIri": "urn:effortless:pko-extension#TableConformance",
    "Name": "effortless-python / AppRoleProfiles",
    "CellsFailed": 0.0,
    "Score": 100.0,
    "IsPerfect": true,
    "ImperfectSubstrateKey": null,
    "ImperfectTableKey": null,
    "DisagreeingFieldCount": 0.0,
    "SubstrateLabel": "Python",
    "SubjectArea": "org"
   },
   {
    "TableConformanceId": "effortless-python|AppNavGroups",
    "Run": "run-20260914-223223",
    "Substrate": "effortless-python",
    "RulebookTable": "AppNavGroups",
    "RecordCount": 23,
    "DerivedFieldCount": 2,
    "CellsTested": 46,
    "CellsPassed": 46,
    "IsMissingAnswerFile": false,
    "SemanticTypeIri": "urn:effortless:pko-extension#TableConformance",
    "Name": "effortless-python / AppNavGroups",
    "CellsFailed": 0.0,
    "Score": 100.0,
    "IsPerfect": true,
    "ImperfectSubstrateKey": null,
    "ImperfectTableKey": null,
    "DisagreeingFieldCount": 0.0,
    "SubstrateLabel": "Python",
    "SubjectArea": "application"
   },
   {
    "TableConformanceId": "effortless-python|AppRoutes",
    "Run": "run-20260914-223223",
    "Substrate": "effortless-python",
    "RulebookTable": "AppRoutes",
    "RecordCount": 149,
    "DerivedFieldCount": 7,
    "CellsTested": 1043,
    "CellsPassed": 1043,
    "IsMissingAnswerFile": false,
    "SemanticTypeIri": "urn:effortless:pko-extension#TableConformance",
    "Name": "effortless-python / AppRoutes",
    "CellsFailed": 0.0,
    "Score": 100.0,
    "IsPerfect": true,
    "ImperfectSubstrateKey": null,
    "ImperfectTableKey": null,
    "DisagreeingFieldCount": 0.0,
    "SubstrateLabel": "Python",
    "SubjectArea": "application"
   },
   {
    "TableConformanceId": "effortless-python|AppRouteQuestions",
    "Run": "run-20260914-223223",
    "Substrate": "effortless-python",
    "RulebookTable": "AppRouteQuestions",
    "RecordCount": 151,
    "DerivedFieldCount": 1,
    "CellsTested": 151,
    "CellsPassed": 151,
    "IsMissingAnswerFile": false,
    "SemanticTypeIri": "urn:effortless:pko-extension#TableConformance",
    "Name": "effortless-python / AppRouteQuestions",
    "CellsFailed": 0.0,
    "Score": 100.0,
    "IsPerfect": true,
    "ImperfectSubstrateKey": null,
    "ImperfectTableKey": null,
    "DisagreeingFieldCount": 0.0,
    "SubstrateLabel": "Python",
    "SubjectArea": "application"
   },
   {
    "TableConformanceId": "effortless-python|AppRouteReferences",
    "Run": "run-20260914-223223",
    "Substrate": "effortless-python",
    "RulebookTable": "AppRouteReferences",
    "RecordCount": 315,
    "DerivedFieldCount": 1,
    "CellsTested": 315,
    "CellsPassed": 315,
    "IsMissingAnswerFile": false,
    "SemanticTypeIri": "urn:effortless:pko-extension#TableConformance",
    "Name": "effortless-python / AppRouteReferences",
    "CellsFailed": 0.0,
    "Score": 100.0,
    "IsPerfect": true,
    "ImperfectSubstrateKey": null,
    "ImperfectTableKey": null,
    "DisagreeingFieldCount": 0.0,
    "SubstrateLabel": "Python",
    "SubjectArea": "application"
   },
   {
    "TableConformanceId": "effortless-python|RulebookTables",
    "Run": "run-20260914-223223",
    "Substrate": "effortless-python",
    "RulebookTable": "RulebookTables",
    "RecordCount": 92,
    "DerivedFieldCount": 5,
    "CellsTested": 460,
    "CellsPassed": 460,
    "IsMissingAnswerFile": false,
    "SemanticTypeIri": "urn:effortless:pko-extension#TableConformance",
    "Name": "effortless-python / RulebookTables",
    "CellsFailed": 0.0,
    "Score": 100.0,
    "IsPerfect": true,
    "ImperfectSubstrateKey": null,
    "ImperfectTableKey": null,
    "DisagreeingFieldCount": 0.0,
    "SubstrateLabel": "Python",
    "SubjectArea": "meta"
   },
   {
    "TableConformanceId": "effortless-python|AccessPrincipals",
    "Run": "run-20260914-223223",
    "Substrate": "effortless-python",
    "RulebookTable": "AccessPrincipals",
    "RecordCount": 12,
    "DerivedFieldCount": 8,
    "CellsTested": 96,
    "CellsPassed": 96,
    "IsMissingAnswerFile": false,
    "SemanticTypeIri": "urn:effortless:pko-extension#TableConformance",
    "Name": "effortless-python / AccessPrincipals",
    "CellsFailed": 0.0,
    "Score": 100.0,
    "IsPerfect": true,
    "ImperfectSubstrateKey": null,
    "ImperfectTableKey": null,
    "DisagreeingFieldCount": 0.0,
    "SubstrateLabel": "Python",
    "SubjectArea": "access-control"
   },
   {
    "TableConformanceId": "effortless-python|AccessPolicies",
    "Run": "run-20260914-223223",
    "Substrate": "effortless-python",
    "RulebookTable": "AccessPolicies",
    "RecordCount": 202,
    "DerivedFieldCount": 7,
    "CellsTested": 1414,
    "CellsPassed": 1414,
    "IsMissingAnswerFile": false,
    "SemanticTypeIri": "urn:effortless:pko-extension#TableConformance",
    "Name": "effortless-python / AccessPolicies",
    "CellsFailed": 0.0,
    "Score": 100.0,
    "IsPerfect": true,
    "ImperfectSubstrateKey": null,
    "ImperfectTableKey": null,
    "DisagreeingFieldCount": 0.0,
    "SubstrateLabel": "Python",
    "SubjectArea": "access-control"
   },
   {
    "TableConformanceId": "effortless-python|FieldGrants",
    "Run": "run-20260914-223223",
    "Substrate": "effortless-python",
    "RulebookTable": "FieldGrants",
    "RecordCount": 3639,
    "DerivedFieldCount": 7,
    "CellsTested": 25473,
    "CellsPassed": 25473,
    "IsMissingAnswerFile": false,
    "SemanticTypeIri": "urn:effortless:pko-extension#TableConformance",
    "Name": "effortless-python / FieldGrants",
    "CellsFailed": 0.0,
    "Score": 100.0,
    "IsPerfect": true,
    "ImperfectSubstrateKey": null,
    "ImperfectTableKey": null,
    "DisagreeingFieldCount": 0.0,
    "SubstrateLabel": "Python",
    "SubjectArea": "access-control"
   },
   {
    "TableConformanceId": "effortless-python|RoleSchemas",
    "Run": "run-20260914-223223",
    "Substrate": "effortless-python",
    "RulebookTable": "RoleSchemas",
    "RecordCount": 12,
    "DerivedFieldCount": 4,
    "CellsTested": 48,
    "CellsPassed": 48,
    "IsMissingAnswerFile": false,
    "SemanticTypeIri": "urn:effortless:pko-extension#TableConformance",
    "Name": "effortless-python / RoleSchemas",
    "CellsFailed": 0.0,
    "Score": 100.0,
    "IsPerfect": true,
    "ImperfectSubstrateKey": null,
    "ImperfectTableKey": null,
    "DisagreeingFieldCount": 0.0,
    "SubstrateLabel": "Python",
    "SubjectArea": "org"
   },
   {
    "TableConformanceId": "effortless-python|RoleSchemaViews",
    "Run": "run-20260914-223223",
    "Substrate": "effortless-python",
    "RulebookTable": "RoleSchemaViews",
    "RecordCount": 202,
    "DerivedFieldCount": 8,
    "CellsTested": 1616,
    "CellsPassed": 1616,
    "IsMissingAnswerFile": false,
    "SemanticTypeIri": "urn:effortless:pko-extension#TableConformance",
    "Name": "effortless-python / RoleSchemaViews",
    "CellsFailed": 0.0,
    "Score": 100.0,
    "IsPerfect": true,
    "ImperfectSubstrateKey": null,
    "ImperfectTableKey": null,
    "DisagreeingFieldCount": 0.0,
    "SubstrateLabel": "Python",
    "SubjectArea": "org"
   },
   {
    "TableConformanceId": "effortless-python|JwtClaimMappings",
    "Run": "run-20260914-223223",
    "Substrate": "effortless-python",
    "RulebookTable": "JwtClaimMappings",
    "RecordCount": 4,
    "DerivedFieldCount": 2,
    "CellsTested": 8,
    "CellsPassed": 8,
    "IsMissingAnswerFile": false,
    "SemanticTypeIri": "urn:effortless:pko-extension#TableConformance",
    "Name": "effortless-python / JwtClaimMappings",
    "CellsFailed": 0.0,
    "Score": 100.0,
    "IsPerfect": true,
    "ImperfectSubstrateKey": null,
    "ImperfectTableKey": null,
    "DisagreeingFieldCount": 0.0,
    "SubstrateLabel": "Python",
    "SubjectArea": "access-control"
   },
   {
    "TableConformanceId": "effortless-python|AccessDenialTests",
    "Run": "run-20260914-223223",
    "Substrate": "effortless-python",
    "RulebookTable": "AccessDenialTests",
    "RecordCount": 17,
    "DerivedFieldCount": 6,
    "CellsTested": 102,
    "CellsPassed": 102,
    "IsMissingAnswerFile": false,
    "SemanticTypeIri": "urn:effortless:pko-extension#TableConformance",
    "Name": "effortless-python / AccessDenialTests",
    "CellsFailed": 0.0,
    "Score": 100.0,
    "IsPerfect": true,
    "ImperfectSubstrateKey": null,
    "ImperfectTableKey": null,
    "DisagreeingFieldCount": 0.0,
    "SubstrateLabel": "Python",
    "SubjectArea": "access-control"
   },
   {
    "TableConformanceId": "effortless-python|AppUsers",
    "Run": "run-20260914-223223",
    "Substrate": "effortless-python",
    "RulebookTable": "AppUsers",
    "RecordCount": 10,
    "DerivedFieldCount": 7,
    "CellsTested": 70,
    "CellsPassed": 70,
    "IsMissingAnswerFile": false,
    "SemanticTypeIri": "urn:effortless:pko-extension#TableConformance",
    "Name": "effortless-python / AppUsers",
    "CellsFailed": 0.0,
    "Score": 100.0,
    "IsPerfect": true,
    "ImperfectSubstrateKey": null,
    "ImperfectTableKey": null,
    "DisagreeingFieldCount": 0.0,
    "SubstrateLabel": "Python",
    "SubjectArea": null
   },
   {
    "TableConformanceId": "effortless-python|PrincipalAssignments",
    "Run": "run-20260914-223223",
    "Substrate": "effortless-python",
    "RulebookTable": "PrincipalAssignments",
    "RecordCount": 12,
    "DerivedFieldCount": 5,
    "CellsTested": 60,
    "CellsPassed": 60,
    "IsMissingAnswerFile": false,
    "SemanticTypeIri": "urn:effortless:pko-extension#TableConformance",
    "Name": "effortless-python / PrincipalAssignments",
    "CellsFailed": 0.0,
    "Score": 100.0,
    "IsPerfect": true,
    "ImperfectSubstrateKey": null,
    "ImperfectTableKey": null,
    "DisagreeingFieldCount": 0.0,
    "SubstrateLabel": "Python",
    "SubjectArea": null
   },
   {
    "TableConformanceId": "effortless-python|ProcessMiningRuns",
    "Run": "run-20260914-223223",
    "Substrate": "effortless-python",
    "RulebookTable": "ProcessMiningRuns",
    "RecordCount": 4,
    "DerivedFieldCount": 10,
    "CellsTested": 40,
    "CellsPassed": 40,
    "IsMissingAnswerFile": false,
    "SemanticTypeIri": "urn:effortless:pko-extension#TableConformance",
    "Name": "effortless-python / ProcessMiningRuns",
    "CellsFailed": 0.0,
    "Score": 100.0,
    "IsPerfect": true,
    "ImperfectSubstrateKey": null,
    "ImperfectTableKey": null,
    "DisagreeingFieldCount": 0.0,
    "SubstrateLabel": "Python",
    "SubjectArea": "knowledge"
   },
   {
    "TableConformanceId": "effortless-python|Vocabularies",
    "Run": "run-20260914-223223",
    "Substrate": "effortless-python",
    "RulebookTable": "Vocabularies",
    "RecordCount": 2,
    "DerivedFieldCount": 4,
    "CellsTested": 8,
    "CellsPassed": 8,
    "IsMissingAnswerFile": false,
    "SemanticTypeIri": "urn:effortless:pko-extension#TableConformance",
    "Name": "effortless-python / Vocabularies",
    "CellsFailed": 0.0,
    "Score": 100.0,
    "IsPerfect": true,
    "ImperfectSubstrateKey": null,
    "ImperfectTableKey": null,
    "DisagreeingFieldCount": 0.0,
    "SubstrateLabel": "Python",
    "SubjectArea": "knowledge"
   },
   {
    "TableConformanceId": "effortless-python|VocabularyTerms",
    "Run": "run-20260914-223223",
    "Substrate": "effortless-python",
    "RulebookTable": "VocabularyTerms",
    "RecordCount": 12,
    "DerivedFieldCount": 5,
    "CellsTested": 60,
    "CellsPassed": 60,
    "IsMissingAnswerFile": false,
    "SemanticTypeIri": "urn:effortless:pko-extension#TableConformance",
    "Name": "effortless-python / VocabularyTerms",
    "CellsFailed": 0.0,
    "Score": 100.0,
    "IsPerfect": true,
    "ImperfectSubstrateKey": null,
    "ImperfectTableKey": null,
    "DisagreeingFieldCount": 0.0,
    "SubstrateLabel": "Python",
    "SubjectArea": "knowledge"
   },
   {
    "TableConformanceId": "effortless-python|KnowledgeBrokerLinks",
    "Run": "run-20260914-223223",
    "Substrate": "effortless-python",
    "RulebookTable": "KnowledgeBrokerLinks",
    "RecordCount": 5,
    "DerivedFieldCount": 8,
    "CellsTested": 40,
    "CellsPassed": 40,
    "IsMissingAnswerFile": false,
    "SemanticTypeIri": "urn:effortless:pko-extension#TableConformance",
    "Name": "effortless-python / KnowledgeBrokerLinks",
    "CellsFailed": 0.0,
    "Score": 100.0,
    "IsPerfect": true,
    "ImperfectSubstrateKey": null,
    "ImperfectTableKey": null,
    "DisagreeingFieldCount": 0.0,
    "SubstrateLabel": "Python",
    "SubjectArea": "knowledge"
   },
   {
    "TableConformanceId": "effortless-python|ConformanceSubstrates",
    "Run": "run-20260914-223223",
    "Substrate": "effortless-python",
    "RulebookTable": "ConformanceSubstrates",
    "RecordCount": 8,
    "DerivedFieldCount": 11,
    "CellsTested": 88,
    "CellsPassed": 88,
    "IsMissingAnswerFile": false,
    "SemanticTypeIri": "urn:effortless:pko-extension#TableConformance",
    "Name": "effortless-python / ConformanceSubstrates",
    "CellsFailed": 0.0,
    "Score": 100.0,
    "IsPerfect": true,
    "ImperfectSubstrateKey": null,
    "ImperfectTableKey": null,
    "DisagreeingFieldCount": 0.0,
    "SubstrateLabel": "Python",
    "SubjectArea": "meta"
   },
   {
    "TableConformanceId": "effortless-python|ConformanceRuns",
    "Run": "run-20260914-223223",
    "Substrate": "effortless-python",
    "RulebookTable": "ConformanceRuns",
    "RecordCount": 3,
    "DerivedFieldCount": 9,
    "CellsTested": 27,
    "CellsPassed": 27,
    "IsMissingAnswerFile": false,
    "SemanticTypeIri": "urn:effortless:pko-extension#TableConformance",
    "Name": "effortless-python / ConformanceRuns",
    "CellsFailed": 0.0,
    "Score": 100.0,
    "IsPerfect": true,
    "ImperfectSubstrateKey": null,
    "ImperfectTableKey": null,
    "DisagreeingFieldCount": 0.0,
    "SubstrateLabel": "Python",
    "SubjectArea": "meta"
   },
   {
    "TableConformanceId": "effortless-python|SubstrateRunScores",
    "Run": "run-20260914-223223",
    "Substrate": "effortless-python",
    "RulebookTable": "SubstrateRunScores",
    "RecordCount": 21,
    "DerivedFieldCount": 13,
    "CellsTested": 273,
    "CellsPassed": 273,
    "IsMissingAnswerFile": false,
    "SemanticTypeIri": "urn:effortless:pko-extension#TableConformance",
    "Name": "effortless-python / SubstrateRunScores",
    "CellsFailed": 0.0,
    "Score": 100.0,
    "IsPerfect": true,
    "ImperfectSubstrateKey": null,
    "ImperfectTableKey": null,
    "DisagreeingFieldCount": 0.0,
    "SubstrateLabel": "Python",
    "SubjectArea": "meta"
   },
   {
    "TableConformanceId": "effortless-python|TableConformance",
    "Run": "run-20260914-223223",
    "Substrate": "effortless-python",
    "RulebookTable": "TableConformance",
    "RecordCount": 623,
    "DerivedFieldCount": 9,
    "CellsTested": 5607,
    "CellsPassed": 5607,
    "IsMissingAnswerFile": false,
    "SemanticTypeIri": "urn:effortless:pko-extension#TableConformance",
    "Name": "effortless-python / TableConformance",
    "CellsFailed": 0.0,
    "Score": 100.0,
    "IsPerfect": true,
    "ImperfectSubstrateKey": null,
    "ImperfectTableKey": null,
    "DisagreeingFieldCount": 0.0,
    "SubstrateLabel": "Python",
    "SubjectArea": "meta"
   },
   {
    "TableConformanceId": "effortless-python|FieldDisagreements",
    "Run": "run-20260914-223223",
    "Substrate": "effortless-python",
    "RulebookTable": "FieldDisagreements",
    "RecordCount": 49,
    "DerivedFieldCount": 5,
    "CellsTested": 245,
    "CellsPassed": 245,
    "IsMissingAnswerFile": false,
    "SemanticTypeIri": "urn:effortless:pko-extension#TableConformance",
    "Name": "effortless-python / FieldDisagreements",
    "CellsFailed": 0.0,
    "Score": 100.0,
    "IsPerfect": true,
    "ImperfectSubstrateKey": null,
    "ImperfectTableKey": null,
    "DisagreeingFieldCount": 0.0,
    "SubstrateLabel": "Python",
    "SubjectArea": "meta"
   },
   {
    "TableConformanceId": "effortless-python|CellDisagreements",
    "Run": "run-20260914-223223",
    "Substrate": "effortless-python",
    "RulebookTable": "CellDisagreements",
    "RecordCount": 316,
    "DerivedFieldCount": 3,
    "CellsTested": 948,
    "CellsPassed": 948,
    "IsMissingAnswerFile": false,
    "SemanticTypeIri": "urn:effortless:pko-extension#TableConformance",
    "Name": "effortless-python / CellDisagreements",
    "CellsFailed": 0.0,
    "Score": 100.0,
    "IsPerfect": true,
    "ImperfectSubstrateKey": null,
    "ImperfectTableKey": null,
    "DisagreeingFieldCount": 0.0,
    "SubstrateLabel": "Python",
    "SubjectArea": "meta"
   },
   {
    "TableConformanceId": "effortless-typescript|RulebookReleases",
    "Run": "run-20260914-223223",
    "Substrate": "effortless-typescript",
    "RulebookTable": "RulebookReleases",
    "RecordCount": 1,
    "DerivedFieldCount": 1,
    "CellsTested": 1,
    "CellsPassed": 1,
    "IsMissingAnswerFile": false,
    "SemanticTypeIri": "urn:effortless:pko-extension#TableConformance",
    "Name": "effortless-typescript / RulebookReleases",
    "CellsFailed": 0.0,
    "Score": 100.0,
    "IsPerfect": true,
    "ImperfectSubstrateKey": null,
    "ImperfectTableKey": null,
    "DisagreeingFieldCount": 0.0,
    "SubstrateLabel": "TypeScript",
    "SubjectArea": "meta"
   },
   {
    "TableConformanceId": "effortless-typescript|OntologyProfiles",
    "Run": "run-20260914-223223",
    "Substrate": "effortless-typescript",
    "RulebookTable": "OntologyProfiles",
    "RecordCount": 11,
    "DerivedFieldCount": 1,
    "CellsTested": 11,
    "CellsPassed": 11,
    "IsMissingAnswerFile": false,
    "SemanticTypeIri": "urn:effortless:pko-extension#TableConformance",
    "Name": "effortless-typescript / OntologyProfiles",
    "CellsFailed": 0.0,
    "Score": 100.0,
    "IsPerfect": true,
    "ImperfectSubstrateKey": null,
    "ImperfectTableKey": null,
    "DisagreeingFieldCount": 0.0,
    "SubstrateLabel": "TypeScript",
    "SubjectArea": "domain"
   },
   {
    "TableConformanceId": "effortless-typescript|EvaluationContexts",
    "Run": "run-20260914-223223",
    "Substrate": "effortless-typescript",
    "RulebookTable": "EvaluationContexts",
    "RecordCount": 1,
    "DerivedFieldCount": 1,
    "CellsTested": 1,
    "CellsPassed": 1,
    "IsMissingAnswerFile": false,
    "SemanticTypeIri": "urn:effortless:pko-extension#TableConformance",
    "Name": "effortless-typescript / EvaluationContexts",
    "CellsFailed": 0.0,
    "Score": 100.0,
    "IsPerfect": true,
    "ImperfectSubstrateKey": null,
    "ImperfectTableKey": null,
    "DisagreeingFieldCount": 0.0,
    "SubstrateLabel": "TypeScript",
    "SubjectArea": "meta"
   },
   {
    "TableConformanceId": "effortless-typescript|Organizations",
    "Run": "run-20260914-223223",
    "Substrate": "effortless-typescript",
    "RulebookTable": "Organizations",
    "RecordCount": 4,
    "DerivedFieldCount": 1,
    "CellsTested": 4,
    "CellsPassed": 4,
    "IsMissingAnswerFile": false,
    "SemanticTypeIri": "urn:effortless:pko-extension#TableConformance",
    "Name": "effortless-typescript / Organizations",
    "CellsFailed": 0.0,
    "Score": 100.0,
    "IsPerfect": true,
    "ImperfectSubstrateKey": null,
    "ImperfectTableKey": null,
    "DisagreeingFieldCount": 0.0,
    "SubstrateLabel": "TypeScript",
    "SubjectArea": "org"
   },
   {
    "TableConformanceId": "effortless-typescript|Agents",
    "Run": "run-20260914-223223",
    "Substrate": "effortless-typescript",
    "RulebookTable": "Agents",
    "RecordCount": 11,
    "DerivedFieldCount": 16,
    "CellsTested": 176,
    "CellsPassed": 176,
    "IsMissingAnswerFile": false,
    "SemanticTypeIri": "urn:effortless:pko-extension#TableConformance",
    "Name": "effortless-typescript / Agents",
    "CellsFailed": 0.0,
    "Score": 100.0,
    "IsPerfect": true,
    "ImperfectSubstrateKey": null,
    "ImperfectTableKey": null,
    "DisagreeingFieldCount": 0.0,
    "SubstrateLabel": "TypeScript",
    "SubjectArea": "org"
   },
   {
    "TableConformanceId": "effortless-typescript|Roles",
    "Run": "run-20260914-223223",
    "Substrate": "effortless-typescript",
    "RulebookTable": "Roles",
    "RecordCount": 12,
    "DerivedFieldCount": 17,
    "CellsTested": 204,
    "CellsPassed": 204,
    "IsMissingAnswerFile": false,
    "SemanticTypeIri": "urn:effortless:pko-extension#TableConformance",
    "Name": "effortless-typescript / Roles",
    "CellsFailed": 0.0,
    "Score": 100.0,
    "IsPerfect": true,
    "ImperfectSubstrateKey": null,
    "ImperfectTableKey": null,
    "DisagreeingFieldCount": 0.0,
    "SubstrateLabel": "TypeScript",
    "SubjectArea": "org"
   },
   {
    "TableConformanceId": "effortless-typescript|RoleAssignments",
    "Run": "run-20260914-223223",
    "Substrate": "effortless-typescript",
    "RulebookTable": "RoleAssignments",
    "RecordCount": 13,
    "DerivedFieldCount": 47,
    "CellsTested": 611,
    "CellsPassed": 611,
    "IsMissingAnswerFile": false,
    "SemanticTypeIri": "urn:effortless:pko-extension#TableConformance",
    "Name": "effortless-typescript / RoleAssignments",
    "CellsFailed": 0.0,
    "Score": 100.0,
    "IsPerfect": true,
    "ImperfectSubstrateKey": null,
    "ImperfectTableKey": null,
    "DisagreeingFieldCount": 0.0,
    "SubstrateLabel": "TypeScript",
    "SubjectArea": "org"
   },
   {
    "TableConformanceId": "effortless-typescript|CommunitiesOfPractice",
    "Run": "run-20260914-223223",
    "Substrate": "effortless-typescript",
    "RulebookTable": "CommunitiesOfPractice",
    "RecordCount": 2,
    "DerivedFieldCount": 1,
    "CellsTested": 2,
    "CellsPassed": 2,
    "IsMissingAnswerFile": false,
    "SemanticTypeIri": "urn:effortless:pko-extension#TableConformance",
    "Name": "effortless-typescript / CommunitiesOfPractice",
    "CellsFailed": 0.0,
    "Score": 100.0,
    "IsPerfect": true,
    "ImperfectSubstrateKey": null,
    "ImperfectTableKey": null,
    "DisagreeingFieldCount": 0.0,
    "SubstrateLabel": "TypeScript",
    "SubjectArea": "org"
   },
   {
    "TableConformanceId": "effortless-typescript|Mentorships",
    "Run": "run-20260914-223223",
    "Substrate": "effortless-typescript",
    "RulebookTable": "Mentorships",
    "RecordCount": 1,
    "DerivedFieldCount": 1,
    "CellsTested": 1,
    "CellsPassed": 1,
    "IsMissingAnswerFile": false,
    "SemanticTypeIri": "urn:effortless:pko-extension#TableConformance",
    "Name": "effortless-typescript / Mentorships",
    "CellsFailed": 0.0,
    "Score": 100.0,
    "IsPerfect": true,
    "ImperfectSubstrateKey": null,
    "ImperfectTableKey": null,
    "DisagreeingFieldCount": 0.0,
    "SubstrateLabel": "TypeScript",
    "SubjectArea": "org"
   },
   {
    "TableConformanceId": "effortless-typescript|ProcedureTypes",
    "Run": "run-20260914-223223",
    "Substrate": "effortless-typescript",
    "RulebookTable": "ProcedureTypes",
    "RecordCount": 2,
    "DerivedFieldCount": 1,
    "CellsTested": 2,
    "CellsPassed": 2,
    "IsMissingAnswerFile": false,
    "SemanticTypeIri": "urn:effortless:pko-extension#TableConformance",
    "Name": "effortless-typescript / ProcedureTypes",
    "CellsFailed": 0.0,
    "Score": 100.0,
    "IsPerfect": true,
    "ImperfectSubstrateKey": null,
    "ImperfectTableKey": null,
    "DisagreeingFieldCount": 0.0,
    "SubstrateLabel": "TypeScript",
    "SubjectArea": "specification"
   },
   {
    "TableConformanceId": "effortless-typescript|Procedures",
    "Run": "run-20260914-223223",
    "Substrate": "effortless-typescript",
    "RulebookTable": "Procedures",
    "RecordCount": 2,
    "DerivedFieldCount": 1,
    "CellsTested": 2,
    "CellsPassed": 2,
    "IsMissingAnswerFile": false,
    "SemanticTypeIri": "urn:effortless:pko-extension#TableConformance",
    "Name": "effortless-typescript / Procedures",
    "CellsFailed": 0.0,
    "Score": 100.0,
    "IsPerfect": true,
    "ImperfectSubstrateKey": null,
    "ImperfectTableKey": null,
    "DisagreeingFieldCount": 0.0,
    "SubstrateLabel": "TypeScript",
    "SubjectArea": "specification"
   },
   {
    "TableConformanceId": "effortless-typescript|ProcedureVersions",
    "Run": "run-20260914-223223",
    "Substrate": "effortless-typescript",
    "RulebookTable": "ProcedureVersions",
    "RecordCount": 3,
    "DerivedFieldCount": 73,
    "CellsTested": 219,
    "CellsPassed": 219,
    "IsMissingAnswerFile": false,
    "SemanticTypeIri": "urn:effortless:pko-extension#TableConformance",
    "Name": "effortless-typescript / ProcedureVersions",
    "CellsFailed": 0.0,
    "Score": 100.0,
    "IsPerfect": true,
    "ImperfectSubstrateKey": null,
    "ImperfectTableKey": null,
    "DisagreeingFieldCount": 0.0,
    "SubstrateLabel": "TypeScript",
    "SubjectArea": "specification"
   },
   {
    "TableConformanceId": "effortless-typescript|ProcedureVersionLinks",
    "Run": "run-20260914-223223",
    "Substrate": "effortless-typescript",
    "RulebookTable": "ProcedureVersionLinks",
    "RecordCount": 1,
    "DerivedFieldCount": 2,
    "CellsTested": 2,
    "CellsPassed": 2,
    "IsMissingAnswerFile": false,
    "SemanticTypeIri": "urn:effortless:pko-extension#TableConformance",
    "Name": "effortless-typescript / ProcedureVersionLinks",
    "CellsFailed": 0.0,
    "Score": 100.0,
    "IsPerfect": true,
    "ImperfectSubstrateKey": null,
    "ImperfectTableKey": null,
    "DisagreeingFieldCount": 0.0,
    "SubstrateLabel": "TypeScript",
    "SubjectArea": "specification"
   },
   {
    "TableConformanceId": "effortless-typescript|ProcedureStatusChanges",
    "Run": "run-20260914-223223",
    "Substrate": "effortless-typescript",
    "RulebookTable": "ProcedureStatusChanges",
    "RecordCount": 5,
    "DerivedFieldCount": 1,
    "CellsTested": 5,
    "CellsPassed": 5,
    "IsMissingAnswerFile": false,
    "SemanticTypeIri": "urn:effortless:pko-extension#TableConformance",
    "Name": "effortless-typescript / ProcedureStatusChanges",
    "CellsFailed": 0.0,
    "Score": 100.0,
    "IsPerfect": true,
    "ImperfectSubstrateKey": null,
    "ImperfectTableKey": null,
    "DisagreeingFieldCount": 0.0,
    "SubstrateLabel": "TypeScript",
    "SubjectArea": "specification"
   },
   {
    "TableConformanceId": "effortless-typescript|Steps",
    "Run": "run-20260914-223223",
    "Substrate": "effortless-typescript",
    "RulebookTable": "Steps",
    "RecordCount": 17,
    "DerivedFieldCount": 42,
    "CellsTested": 714,
    "CellsPassed": 714,
    "IsMissingAnswerFile": false,
    "SemanticTypeIri": "urn:effortless:pko-extension#TableConformance",
    "Name": "effortless-typescript / Steps",
    "CellsFailed": 0.0,
    "Score": 100.0,
    "IsPerfect": true,
    "ImperfectSubstrateKey": null,
    "ImperfectTableKey": null,
    "DisagreeingFieldCount": 0.0,
    "SubstrateLabel": "TypeScript",
    "SubjectArea": "specification"
   },
   {
    "TableConformanceId": "effortless-typescript|StepTransitions",
    "Run": "run-20260914-223223",
    "Substrate": "effortless-typescript",
    "RulebookTable": "StepTransitions",
    "RecordCount": 20,
    "DerivedFieldCount": 18,
    "CellsTested": 360,
    "CellsPassed": 360,
    "IsMissingAnswerFile": false,
    "SemanticTypeIri": "urn:effortless:pko-extension#TableConformance",
    "Name": "effortless-typescript / StepTransitions",
    "CellsFailed": 0.0,
    "Score": 100.0,
    "IsPerfect": true,
    "ImperfectSubstrateKey": null,
    "ImperfectTableKey": null,
    "DisagreeingFieldCount": 0.0,
    "SubstrateLabel": "TypeScript",
    "SubjectArea": "specification"
   },
   {
    "TableConformanceId": "effortless-typescript|Actions",
    "Run": "run-20260914-223223",
    "Substrate": "effortless-typescript",
    "RulebookTable": "Actions",
    "RecordCount": 9,
    "DerivedFieldCount": 1,
    "CellsTested": 9,
    "CellsPassed": 9,
    "IsMissingAnswerFile": false,
    "SemanticTypeIri": "urn:effortless:pko-extension#TableConformance",
    "Name": "effortless-typescript / Actions",
    "CellsFailed": 0.0,
    "Score": 100.0,
    "IsPerfect": true,
    "ImperfectSubstrateKey": null,
    "ImperfectTableKey": null,
    "DisagreeingFieldCount": 0.0,
    "SubstrateLabel": "TypeScript",
    "SubjectArea": "specification"
   },
   {
    "TableConformanceId": "effortless-typescript|Functions",
    "Run": "run-20260914-223223",
    "Substrate": "effortless-typescript",
    "RulebookTable": "Functions",
    "RecordCount": 8,
    "DerivedFieldCount": 1,
    "CellsTested": 8,
    "CellsPassed": 8,
    "IsMissingAnswerFile": false,
    "SemanticTypeIri": "urn:effortless:pko-extension#TableConformance",
    "Name": "effortless-typescript / Functions",
    "CellsFailed": 0.0,
    "Score": 100.0,
    "IsPerfect": true,
    "ImperfectSubstrateKey": null,
    "ImperfectTableKey": null,
    "DisagreeingFieldCount": 0.0,
    "SubstrateLabel": "TypeScript",
    "SubjectArea": "specification"
   },
   {
    "TableConformanceId": "effortless-typescript|Tools",
    "Run": "run-20260914-223223",
    "Substrate": "effortless-typescript",
    "RulebookTable": "Tools",
    "RecordCount": 8,
    "DerivedFieldCount": 1,
    "CellsTested": 8,
    "CellsPassed": 8,
    "IsMissingAnswerFile": false,
    "SemanticTypeIri": "urn:effortless:pko-extension#TableConformance",
    "Name": "effortless-typescript / Tools",
    "CellsFailed": 0.0,
    "Score": 100.0,
    "IsPerfect": true,
    "ImperfectSubstrateKey": null,
    "ImperfectTableKey": null,
    "DisagreeingFieldCount": 0.0,
    "SubstrateLabel": "TypeScript",
    "SubjectArea": "specification"
   },
   {
    "TableConformanceId": "effortless-typescript|StepActions",
    "Run": "run-20260914-223223",
    "Substrate": "effortless-typescript",
    "RulebookTable": "StepActions",
    "RecordCount": 9,
    "DerivedFieldCount": 1,
    "CellsTested": 9,
    "CellsPassed": 9,
    "IsMissingAnswerFile": false,
    "SemanticTypeIri": "urn:effortless:pko-extension#TableConformance",
    "Name": "effortless-typescript / StepActions",
    "CellsFailed": 0.0,
    "Score": 100.0,
    "IsPerfect": true,
    "ImperfectSubstrateKey": null,
    "ImperfectTableKey": null,
    "DisagreeingFieldCount": 0.0,
    "SubstrateLabel": "TypeScript",
    "SubjectArea": "specification"
   },
   {
    "TableConformanceId": "effortless-typescript|StepFunctions",
    "Run": "run-20260914-223223",
    "Substrate": "effortless-typescript",
    "RulebookTable": "StepFunctions",
    "RecordCount": 8,
    "DerivedFieldCount": 1,
    "CellsTested": 8,
    "CellsPassed": 8,
    "IsMissingAnswerFile": false,
    "SemanticTypeIri": "urn:effortless:pko-extension#TableConformance",
    "Name": "effortless-typescript / StepFunctions",
    "CellsFailed": 0.0,
    "Score": 100.0,
    "IsPerfect": true,
    "ImperfectSubstrateKey": null,
    "ImperfectTableKey": null,
    "DisagreeingFieldCount": 0.0,
    "SubstrateLabel": "TypeScript",
    "SubjectArea": "specification"
   },
   {
    "TableConformanceId": "effortless-typescript|StepTools",
    "Run": "run-20260914-223223",
    "Substrate": "effortless-typescript",
    "RulebookTable": "StepTools",
    "RecordCount": 10,
    "DerivedFieldCount": 1,
    "CellsTested": 10,
    "CellsPassed": 10,
    "IsMissingAnswerFile": false,
    "SemanticTypeIri": "urn:effortless:pko-extension#TableConformance",
    "Name": "effortless-typescript / StepTools",
    "CellsFailed": 0.0,
    "Score": 100.0,
    "IsPerfect": true,
    "ImperfectSubstrateKey": null,
    "ImperfectTableKey": null,
    "DisagreeingFieldCount": 0.0,
    "SubstrateLabel": "TypeScript",
    "SubjectArea": "specification"
   },
   {
    "TableConformanceId": "effortless-typescript|Requirements",
    "Run": "run-20260914-223223",
    "Substrate": "effortless-typescript",
    "RulebookTable": "Requirements",
    "RecordCount": 13,
    "DerivedFieldCount": 31,
    "CellsTested": 403,
    "CellsPassed": 403,
    "IsMissingAnswerFile": false,
    "SemanticTypeIri": "urn:effortless:pko-extension#TableConformance",
    "Name": "effortless-typescript / Requirements",
    "CellsFailed": 0.0,
    "Score": 100.0,
    "IsPerfect": true,
    "ImperfectSubstrateKey": null,
    "ImperfectTableKey": null,
    "DisagreeingFieldCount": 0.0,
    "SubstrateLabel": "TypeScript",
    "SubjectArea": "governance"
   },
   {
    "TableConformanceId": "effortless-typescript|StepRequirements",
    "Run": "run-20260914-223223",
    "Substrate": "effortless-typescript",
    "RulebookTable": "StepRequirements",
    "RecordCount": 15,
    "DerivedFieldCount": 10,
    "CellsTested": 150,
    "CellsPassed": 150,
    "IsMissingAnswerFile": false,
    "SemanticTypeIri": "urn:effortless:pko-extension#TableConformance",
    "Name": "effortless-typescri</t>
  </si>
  <si>
    <t xml:space="preserve">pt / StepRequirements",
    "CellsFailed": 0.0,
    "Score": 100.0,
    "IsPerfect": true,
    "ImperfectSubstrateKey": null,
    "ImperfectTableKey": null,
    "DisagreeingFieldCount": 0.0,
    "SubstrateLabel": "TypeScript",
    "SubjectArea": "specification"
   },
   {
    "TableConformanceId": "effortless-typescript|StepVerifications",
    "Run": "run-20260914-223223",
    "Substrate": "effortless-typescript",
    "RulebookTable": "StepVerifications",
    "RecordCount": 11,
    "DerivedFieldCount": 1,
    "CellsTested": 11,
    "CellsPassed": 11,
    "IsMissingAnswerFile": false,
    "SemanticTypeIri": "urn:effortless:pko-extension#TableConformance",
    "Name": "effortless-typescript / StepVerifications",
    "CellsFailed": 0.0,
    "Score": 100.0,
    "IsPerfect": true,
    "ImperfectSubstrateKey": null,
    "ImperfectTableKey": null,
    "DisagreeingFieldCount": 0.0,
    "SubstrateLabel": "TypeScript",
    "SubjectArea": "specification"
   },
   {
    "TableConformanceId": "effortless-typescript|Rationales",
    "Run": "run-20260914-223223",
    "Substrate": "effortless-typescript",
    "RulebookTable": "Rationales",
    "RecordCount": 4,
    "DerivedFieldCount": 1,
    "CellsTested": 4,
    "CellsPassed": 4,
    "IsMissingAnswerFile": false,
    "SemanticTypeIri": "urn:effortless:pko-extension#TableConformance",
    "Name": "effortless-typescript / Rationales",
    "CellsFailed": 0.0,
    "Score": 100.0,
    "IsPerfect": true,
    "ImperfectSubstrateKey": null,
    "ImperfectTableKey": null,
    "DisagreeingFieldCount": 0.0,
    "SubstrateLabel": "TypeScript",
    "SubjectArea": "governance"
   },
   {
    "TableConformanceId": "effortless-typescript|Exceptions",
    "Run": "run-20260914-223223",
    "Substrate": "effortless-typescript",
    "RulebookTable": "Exceptions",
    "RecordCount": 4,
    "DerivedFieldCount": 2,
    "CellsTested": 8,
    "CellsPassed": 8,
    "IsMissingAnswerFile": false,
    "SemanticTypeIri": "urn:effortless:pko-extension#TableConformance",
    "Name": "effortless-typescript / Exceptions",
    "CellsFailed": 0.0,
    "Score": 100.0,
    "IsPerfect": true,
    "ImperfectSubstrateKey": null,
    "ImperfectTableKey": null,
    "DisagreeingFieldCount": 0.0,
    "SubstrateLabel": "TypeScript",
    "SubjectArea": "governance"
   },
   {
    "TableConformanceId": "effortless-typescript|Resources",
    "Run": "run-20260914-223223",
    "Substrate": "effortless-typescript",
    "RulebookTable": "Resources",
    "RecordCount": 8,
    "DerivedFieldCount": 2,
    "CellsTested": 16,
    "CellsPassed": 16,
    "IsMissingAnswerFile": false,
    "SemanticTypeIri": "urn:effortless:pko-extension#TableConformance",
    "Name": "effortless-typescript / Resources",
    "CellsFailed": 0.0,
    "Score": 100.0,
    "IsPerfect": true,
    "ImperfectSubstrateKey": null,
    "ImperfectTableKey": null,
    "DisagreeingFieldCount": 0.0,
    "SubstrateLabel": "TypeScript",
    "SubjectArea": "domain"
   },
   {
    "TableConformanceId": "effortless-typescript|ProcedureResources",
    "Run": "run-20260914-223223",
    "Substrate": "effortless-typescript",
    "RulebookTable": "ProcedureResources",
    "RecordCount": 8,
    "DerivedFieldCount": 2,
    "CellsTested": 16,
    "CellsPassed": 16,
    "IsMissingAnswerFile": false,
    "SemanticTypeIri": "urn:effortless:pko-extension#TableConformance",
    "Name": "effortless-typescript / ProcedureResources",
    "CellsFailed": 0.0,
    "Score": 100.0,
    "IsPerfect": true,
    "ImperfectSubstrateKey": null,
    "ImperfectTableKey": null,
    "DisagreeingFieldCount": 0.0,
    "SubstrateLabel": "TypeScript",
    "SubjectArea": "specification"
   },
   {
    "TableConformanceId": "effortless-typescript|ElicitationSessions",
    "Run": "run-20260914-223223",
    "Substrate": "effortless-typescript",
    "RulebookTable": "ElicitationSessions",
    "RecordCount": 3,
    "DerivedFieldCount": 10,
    "CellsTested": 30,
    "CellsPassed": 30,
    "IsMissingAnswerFile": false,
    "SemanticTypeIri": "urn:effortless:pko-extension#TableConformance",
    "Name": "effortless-typescript / ElicitationSessions",
    "CellsFailed": 0.0,
    "Score": 100.0,
    "IsPerfect": true,
    "ImperfectSubstrateKey": null,
    "ImperfectTableKey": null,
    "DisagreeingFieldCount": 0.0,
    "SubstrateLabel": "TypeScript",
    "SubjectArea": "knowledge"
   },
   {
    "TableConformanceId": "effortless-typescript|KnowledgeFragments",
    "Run": "run-20260914-223223",
    "Substrate": "effortless-typescript",
    "RulebookTable": "KnowledgeFragments",
    "RecordCount": 7,
    "DerivedFieldCount": 65,
    "CellsTested": 455,
    "CellsPassed": 455,
    "IsMissingAnswerFile": false,
    "SemanticTypeIri": "urn:effortless:pko-extension#TableConformance",
    "Name": "effortless-typescript / KnowledgeFragments",
    "CellsFailed": 0.0,
    "Score": 100.0,
    "IsPerfect": true,
    "ImperfectSubstrateKey": null,
    "ImperfectTableKey": null,
    "DisagreeingFieldCount": 0.0,
    "SubstrateLabel": "TypeScript",
    "SubjectArea": "knowledge"
   },
   {
    "TableConformanceId": "effortless-typescript|KnowledgeGaps",
    "Run": "run-20260914-223223",
    "Substrate": "effortless-typescript",
    "RulebookTable": "KnowledgeGaps",
    "RecordCount": 8,
    "DerivedFieldCount": 16,
    "CellsTested": 128,
    "CellsPassed": 128,
    "IsMissingAnswerFile": false,
    "SemanticTypeIri": "urn:effortless:pko-extension#TableConformance",
    "Name": "effortless-typescript / KnowledgeGaps",
    "CellsFailed": 0.0,
    "Score": 100.0,
    "IsPerfect": true,
    "ImperfectSubstrateKey": null,
    "ImperfectTableKey": null,
    "DisagreeingFieldCount": 0.0,
    "SubstrateLabel": "TypeScript",
    "SubjectArea": "knowledge"
   },
   {
    "TableConformanceId": "effortless-typescript|FAQs",
    "Run": "run-20260914-223223",
    "Substrate": "effortless-typescript",
    "RulebookTable": "FAQs",
    "RecordCount": 3,
    "DerivedFieldCount": 1,
    "CellsTested": 3,
    "CellsPassed": 3,
    "IsMissingAnswerFile": false,
    "SemanticTypeIri": "urn:effortless:pko-extension#TableConformance",
    "Name": "effortless-typescript / FAQs",
    "CellsFailed": 0.0,
    "Score": 100.0,
    "IsPerfect": true,
    "ImperfectSubstrateKey": null,
    "ImperfectTableKey": null,
    "DisagreeingFieldCount": 0.0,
    "SubstrateLabel": "TypeScript",
    "SubjectArea": "knowledge"
   },
   {
    "TableConformanceId": "effortless-typescript|Explanations",
    "Run": "run-20260914-223223",
    "Substrate": "effortless-typescript",
    "RulebookTable": "Explanations",
    "RecordCount": 2,
    "DerivedFieldCount": 1,
    "CellsTested": 2,
    "CellsPassed": 2,
    "IsMissingAnswerFile": false,
    "SemanticTypeIri": "urn:effortless:pko-extension#TableConformance",
    "Name": "effortless-typescript / Explanations",
    "CellsFailed": 0.0,
    "Score": 100.0,
    "IsPerfect": true,
    "ImperfectSubstrateKey": null,
    "ImperfectTableKey": null,
    "DisagreeingFieldCount": 0.0,
    "SubstrateLabel": "TypeScript",
    "SubjectArea": "knowledge"
   },
   {
    "TableConformanceId": "effortless-typescript|ProcedureExecutions",
    "Run": "run-20260914-223223",
    "Substrate": "effortless-typescript",
    "RulebookTable": "ProcedureExecutions",
    "RecordCount": 2,
    "DerivedFieldCount": 69,
    "CellsTested": 138,
    "CellsPassed": 138,
    "IsMissingAnswerFile": false,
    "SemanticTypeIri": "urn:effortless:pko-extension#TableConformance",
    "Name": "effortless-typescript / ProcedureExecutions",
    "CellsFailed": 0.0,
    "Score": 100.0,
    "IsPerfect": true,
    "ImperfectSubstrateKey": null,
    "ImperfectTableKey": null,
    "DisagreeingFieldCount": 0.0,
    "SubstrateLabel": "TypeScript",
    "SubjectArea": "specification"
   },
   {
    "TableConformanceId": "effortless-typescript|StepExecutions",
    "Run": "run-20260914-223223",
    "Substrate": "effortless-typescript",
    "RulebookTable": "StepExecutions",
    "RecordCount": 12,
    "DerivedFieldCount": 99,
    "CellsTested": 1188,
    "CellsPassed": 1188,
    "IsMissingAnswerFile": false,
    "SemanticTypeIri": "urn:effortless:pko-extension#TableConformance",
    "Name": "effortless-typescript / StepExecutions",
    "CellsFailed": 0.0,
    "Score": 100.0,
    "IsPerfect": true,
    "ImperfectSubstrateKey": null,
    "ImperfectTableKey": null,
    "DisagreeingFieldCount": 0.0,
    "SubstrateLabel": "TypeScript",
    "SubjectArea": "specification"
   },
   {
    "TableConformanceId": "effortless-typescript|RequirementSatisfactions",
    "Run": "run-20260914-223223",
    "Substrate": "effortless-typescript",
    "RulebookTable": "RequirementSatisfactions",
    "RecordCount": 8,
    "DerivedFieldCount": 38,
    "CellsTested": 304,
    "CellsPassed": 304,
    "IsMissingAnswerFile": false,
    "SemanticTypeIri": "urn:effortless:pko-extension#TableConformance",
    "Name": "effortless-typescript / RequirementSatisfactions",
    "CellsFailed": 0.0,
    "Score": 100.0,
    "IsPerfect": true,
    "ImperfectSubstrateKey": null,
    "ImperfectTableKey": null,
    "DisagreeingFieldCount": 0.0,
    "SubstrateLabel": "TypeScript",
    "SubjectArea": "execution"
   },
   {
    "TableConformanceId": "effortless-typescript|Errors",
    "Run": "run-20260914-223223",
    "Substrate": "effortless-typescript",
    "RulebookTable": "Errors",
    "RecordCount": 2,
    "DerivedFieldCount": 1,
    "CellsTested": 2,
    "CellsPassed": 2,
    "IsMissingAnswerFile": false,
    "SemanticTypeIri": "urn:effortless:pko-extension#TableConformance",
    "Name": "effortless-typescript / Errors",
    "CellsFailed": 0.0,
    "Score": 100.0,
    "IsPerfect": true,
    "ImperfectSubstrateKey": null,
    "ImperfectTableKey": null,
    "DisagreeingFieldCount": 0.0,
    "SubstrateLabel": "TypeScript",
    "SubjectArea": "execution"
   },
   {
    "TableConformanceId": "effortless-typescript|IssueOccurrences",
    "Run": "run-20260914-223223",
    "Substrate": "effortless-typescript",
    "RulebookTable": "IssueOccurrences",
    "RecordCount": 2,
    "DerivedFieldCount": 3,
    "CellsTested": 6,
    "CellsPassed": 6,
    "IsMissingAnswerFile": false,
    "SemanticTypeIri": "urn:effortless:pko-extension#TableConformance",
    "Name": "effortless-typescript / IssueOccurrences",
    "CellsFailed": 0.0,
    "Score": 100.0,
    "IsPerfect": true,
    "ImperfectSubstrateKey": null,
    "ImperfectTableKey": null,
    "DisagreeingFieldCount": 0.0,
    "SubstrateLabel": "TypeScript",
    "SubjectArea": "execution"
   },
   {
    "TableConformanceId": "effortless-typescript|UserQuestions",
    "Run": "run-20260914-223223",
    "Substrate": "effortless-typescript",
    "RulebookTable": "UserQuestions",
    "RecordCount": 2,
    "DerivedFieldCount": 1,
    "CellsTested": 2,
    "CellsPassed": 2,
    "IsMissingAnswerFile": false,
    "SemanticTypeIri": "urn:effortless:pko-extension#TableConformance",
    "Name": "effortless-typescript / UserQuestions",
    "CellsFailed": 0.0,
    "Score": 100.0,
    "IsPerfect": true,
    "ImperfectSubstrateKey": null,
    "ImperfectTableKey": null,
    "DisagreeingFieldCount": 0.0,
    "SubstrateLabel": "TypeScript",
    "SubjectArea": "domain"
   },
   {
    "TableConformanceId": "effortless-typescript|UserFeedback",
    "Run": "run-20260914-223223",
    "Substrate": "effortless-typescript",
    "RulebookTable": "UserFeedback",
    "RecordCount": 2,
    "DerivedFieldCount": 1,
    "CellsTested": 2,
    "CellsPassed": 2,
    "IsMissingAnswerFile": false,
    "SemanticTypeIri": "urn:effortless:pko-extension#TableConformance",
    "Name": "effortless-typescript / UserFeedback",
    "CellsFailed": 0.0,
    "Score": 100.0,
    "IsPerfect": true,
    "ImperfectSubstrateKey": null,
    "ImperfectTableKey": null,
    "DisagreeingFieldCount": 0.0,
    "SubstrateLabel": "TypeScript",
    "SubjectArea": "domain"
   },
   {
    "TableConformanceId": "effortless-typescript|StewardshipAssignments",
    "Run": "run-20260914-223223",
    "Substrate": "effortless-typescript",
    "RulebookTable": "StewardshipAssignments",
    "RecordCount": 2,
    "DerivedFieldCount": 5,
    "CellsTested": 10,
    "CellsPassed": 10,
    "IsMissingAnswerFile": false,
    "SemanticTypeIri": "urn:effortless:pko-extension#TableConformance",
    "Name": "effortless-typescript / StewardshipAssignments",
    "CellsFailed": 0.0,
    "Score": 100.0,
    "IsPerfect": true,
    "ImperfectSubstrateKey": null,
    "ImperfectTableKey": null,
    "DisagreeingFieldCount": 0.0,
    "SubstrateLabel": "TypeScript",
    "SubjectArea": "org"
   },
   {
    "TableConformanceId": "effortless-typescript|ChangeRequests",
    "Run": "run-20260914-223223",
    "Substrate": "effortless-typescript",
    "RulebookTable": "ChangeRequests",
    "RecordCount": 2,
    "DerivedFieldCount": 32,
    "CellsTested": 64,
    "CellsPassed": 64,
    "IsMissingAnswerFile": false,
    "SemanticTypeIri": "urn:effortless:pko-extension#TableConformance",
    "Name": "effortless-typescript / ChangeRequests",
    "CellsFailed": 0.0,
    "Score": 100.0,
    "IsPerfect": true,
    "ImperfectSubstrateKey": null,
    "ImperfectTableKey": null,
    "DisagreeingFieldCount": 0.0,
    "SubstrateLabel": "TypeScript",
    "SubjectArea": "domain"
   },
   {
    "TableConformanceId": "effortless-typescript|ReviewEvents",
    "Run": "run-20260914-223223",
    "Substrate": "effortless-typescript",
    "RulebookTable": "ReviewEvents",
    "RecordCount": 3,
    "DerivedFieldCount": 10,
    "CellsTested": 30,
    "CellsPassed": 30,
    "IsMissingAnswerFile": false,
    "SemanticTypeIri": "urn:effortless:pko-extension#TableConformance",
    "Name": "effortless-typescript / ReviewEvents",
    "CellsFailed": 0.0,
    "Score": 100.0,
    "IsPerfect": true,
    "ImperfectSubstrateKey": null,
    "ImperfectTableKey": null,
    "DisagreeingFieldCount": 0.0,
    "SubstrateLabel": "TypeScript",
    "SubjectArea": "domain"
   },
   {
    "TableConformanceId": "effortless-typescript|LearningActivities",
    "Run": "run-20260914-223223",
    "Substrate": "effortless-typescript",
    "RulebookTable": "LearningActivities",
    "RecordCount": 2,
    "DerivedFieldCount": 1,
    "CellsTested": 2,
    "CellsPassed": 2,
    "IsMissingAnswerFile": false,
    "SemanticTypeIri": "urn:effortless:pko-extension#TableConformance",
    "Name": "effortless-typescript / LearningActivities",
    "CellsFailed": 0.0,
    "Score": 100.0,
    "IsPerfect": true,
    "ImperfectSubstrateKey": null,
    "ImperfectTableKey": null,
    "DisagreeingFieldCount": 0.0,
    "SubstrateLabel": "TypeScript",
    "SubjectArea": "domain"
   },
   {
    "TableConformanceId": "effortless-typescript|OperationalBindings",
    "Run": "run-20260914-223223",
    "Substrate": "effortless-typescript",
    "RulebookTable": "OperationalBindings",
    "RecordCount": 5,
    "DerivedFieldCount": 11,
    "CellsTested": 55,
    "CellsPassed": 55,
    "IsMissingAnswerFile": false,
    "SemanticTypeIri": "urn:effortless:pko-extension#TableConformance",
    "Name": "effortless-typescript / OperationalBindings",
    "CellsFailed": 0.0,
    "Score": 100.0,
    "IsPerfect": true,
    "ImperfectSubstrateKey": null,
    "ImperfectTableKey": null,
    "DisagreeingFieldCount": 0.0,
    "SubstrateLabel": "TypeScript",
    "SubjectArea": "domain"
   },
   {
    "TableConformanceId": "effortless-typescript|CommunicationPolicies",
    "Run": "run-20260914-223223",
    "Substrate": "effortless-typescript",
    "RulebookTable": "CommunicationPolicies",
    "RecordCount": 2,
    "DerivedFieldCount": 4,
    "CellsTested": 8,
    "CellsPassed": 8,
    "IsMissingAnswerFile": false,
    "SemanticTypeIri": "urn:effortless:pko-extension#TableConformance",
    "Name": "effortless-typescript / CommunicationPolicies",
    "CellsFailed": 0.0,
    "Score": 100.0,
    "IsPerfect": true,
    "ImperfectSubstrateKey": null,
    "ImperfectTableKey": null,
    "DisagreeingFieldCount": 0.0,
    "SubstrateLabel": "TypeScript",
    "SubjectArea": "communication"
   },
   {
    "TableConformanceId": "effortless-typescript|MessageTemplates",
    "Run": "run-20260914-223223",
    "Substrate": "effortless-typescript",
    "RulebookTable": "MessageTemplates",
    "RecordCount": 2,
    "DerivedFieldCount": 16,
    "CellsTested": 32,
    "CellsPassed": 32,
    "IsMissingAnswerFile": false,
    "SemanticTypeIri": "urn:effortless:pko-extension#TableConformance",
    "Name": "effortless-typescript / MessageTemplates",
    "CellsFailed": 0.0,
    "Score": 100.0,
    "IsPerfect": true,
    "ImperfectSubstrateKey": null,
    "ImperfectTableKey": null,
    "DisagreeingFieldCount": 0.0,
    "SubstrateLabel": "TypeScript",
    "SubjectArea": "communication"
   },
   {
    "TableConformanceId": "effortless-typescript|SemanticMappings",
    "Run": "run-20260914-223223",
    "Substrate": "effortless-typescript",
    "RulebookTable": "SemanticMappings",
    "RecordCount": 47,
    "DerivedFieldCount": 1,
    "CellsTested": 47,
    "CellsPassed": 47,
    "IsMissingAnswerFile": false,
    "SemanticTypeIri": "urn:effortless:pko-extension#TableConformance",
    "Name": "effortless-typescript / SemanticMappings",
    "CellsFailed": 0.0,
    "Score": 100.0,
    "IsPerfect": true,
    "ImperfectSubstrateKey": null,
    "ImperfectTableKey": null,
    "DisagreeingFieldCount": 0.0,
    "SubstrateLabel": "TypeScript",
    "SubjectArea": "meta"
   },
   {
    "TableConformanceId": "effortless-typescript|WitnessLoops",
    "Run": "run-20260914-223223",
    "Substrate": "effortless-typescript",
    "RulebookTable": "WitnessLoops",
    "RecordCount": 4,
    "DerivedFieldCount": 3,
    "CellsTested": 12,
    "CellsPassed": 12,
    "IsMissingAnswerFile": false,
    "SemanticTypeIri": "urn:effortless:pko-extension#TableConformance",
    "Name": "effortless-typescript / WitnessLoops",
    "CellsFailed": 0.0,
    "Score": 100.0,
    "IsPerfect": true,
    "ImperfectSubstrateKey": null,
    "ImperfectTableKey": null,
    "DisagreeingFieldCount": 0.0,
    "SubstrateLabel": "TypeScript",
    "SubjectArea": "meta"
   },
   {
    "TableConformanceId": "effortless-typescript|RoleQuestions",
    "Run": "run-20260914-223223",
    "Substrate": "effortless-typescript",
    "RulebookTable": "RoleQuestions",
    "RecordCount": 111,
    "DerivedFieldCount": 3,
    "CellsTested": 333,
    "CellsPassed": 333,
    "IsMissingAnswerFile": false,
    "SemanticTypeIri": "urn:effortless:pko-extension#TableConformance",
    "Name": "effortless-typescript / RoleQuestions",
    "CellsFailed": 0.0,
    "Score": 100.0,
    "IsPerfect": true,
    "ImperfectSubstrateKey": null,
    "ImperfectTableKey": null,
    "DisagreeingFieldCount": 0.0,
    "SubstrateLabel": "TypeScript",
    "SubjectArea": "org"
   },
   {
    "TableConformanceId": "effortless-typescript|RulebookFields",
    "Run": "run-20260914-223223",
    "Substrate": "effortless-typescript",
    "RulebookTable": "RulebookFields",
    "RecordCount": 1897,
    "DerivedFieldCount": 5,
    "CellsTested": 9485,
    "CellsPassed": 9485,
    "IsMissingAnswerFile": false,
    "SemanticTypeIri": "urn:effortless:pko-extension#TableConformance",
    "Name": "effortless-typescript / RulebookFields",
    "CellsFailed": 0.0,
    "Score": 100.0,
    "IsPerfect": true,
    "ImperfectSubstrateKey": null,
    "ImperfectTableKey": null,
    "DisagreeingFieldCount": 0.0,
    "SubstrateLabel": "TypeScript",
    "SubjectArea": "access-control"
   },
   {
    "TableConformanceId": "effortless-typescript|TestSuites",
    "Run": "run-20260914-223223",
    "Substrate": "effortless-typescript",
    "RulebookTable": "TestSuites",
    "RecordCount": 6,
    "DerivedFieldCount": 5,
    "CellsTested": 30,
    "CellsPassed": 30,
    "IsMissingAnswerFile": false,
    "SemanticTypeIri": "urn:effortless:pko-extension#TableConformance",
    "Name": "effortless-typescript / TestSuites",
    "CellsFailed": 0.0,
    "Score": 100.0,
    "IsPerfect": true,
    "ImperfectSubstrateKey": null,
    "ImperfectTableKey": null,
    "DisagreeingFieldCount": 0.0,
    "SubstrateLabel": "TypeScript",
    "SubjectArea": "meta"
   },
   {
    "TableConformanceId": "effortless-typescript|TestCases",
    "Run": "run-20260914-223223",
    "Substrate": "effortless-typescript",
    "RulebookTable": "TestCases",
    "RecordCount": 1794,
    "DerivedFieldCount": 7,
    "CellsTested": 12558,
    "CellsPassed": 12558,
    "IsMissingAnswerFile": false,
    "SemanticTypeIri": "urn:effortless:pko-extension#TableConformance",
    "Name": "effortless-typescript / TestCases",
    "CellsFailed": 0.0,
    "Score": 100.0,
    "IsPerfect": true,
    "ImperfectSubstrateKey": null,
    "ImperfectTableKey": null,
    "DisagreeingFieldCount": 0.0,
    "SubstrateLabel": "TypeScript",
    "SubjectArea": "meta"
   },
   {
    "TableConformanceId": "effortless-typescript|ExceptionInvocations",
    "Run": "run-20260914-223223",
    "Substrate": "effortless-typescript",
    "RulebookTable": "ExceptionInvocations",
    "RecordCount": 1,
    "DerivedFieldCount": 13,
    "CellsTested": 13,
    "CellsPassed": 13,
    "IsMissingAnswerFile": false,
    "SemanticTypeIri": "urn:effortless:pko-extension#TableConformance",
    "Name": "effortless-typescript / ExceptionInvocations",
    "CellsFailed": 0.0,
    "Score": 100.0,
    "IsPerfect": true,
    "ImperfectSubstrateKey": null,
    "ImperfectTableKey": null,
    "DisagreeingFieldCount": 0.0,
    "SubstrateLabel": "TypeScript",
    "SubjectArea": "governance"
   },
   {
    "TableConformanceId": "effortless-typescript|VerificationOutcomes",
    "Run": "run-20260914-223223",
    "Substrate": "effortless-typescript",
    "RulebookTable": "VerificationOutcomes",
    "RecordCount": 4,
    "DerivedFieldCount": 18,
    "CellsTested": 72,
    "CellsPassed": 72,
    "IsMissingAnswerFile": false,
    "SemanticTypeIri": "urn:effortless:pko-extension#TableConformance",
    "Name": "effortless-typescript / VerificationOutcomes",
    "CellsFailed": 0.0,
    "Score": 100.0,
    "IsPerfect": true,
    "ImperfectSubstrateKey": null,
    "ImperfectTableKey": null,
    "DisagreeingFieldCount": 0.0,
    "SubstrateLabel": "TypeScript",
    "SubjectArea": "execution"
   },
   {
    "TableConformanceId": "effortless-typescript|ObservedTransitions",
    "Run": "run-20260914-223223",
    "Substrate": "effortless-typescript",
    "RulebookTable": "ObservedTransitions",
    "RecordCount": 10,
    "DerivedFieldCount": 1,
    "CellsTested": 10,
    "CellsPassed": 10,
    "IsMissingAnswerFile": false,
    "SemanticTypeIri": "urn:effortless:pko-extension#TableConformance",
    "Name": "effortless-typescript / ObservedTransitions",
    "CellsFailed": 0.0,
    "Score": 100.0,
    "IsPerfect": true,
    "ImperfectSubstrateKey": null,
    "ImperfectTableKey": null,
    "DisagreeingFieldCount": 0.0,
    "SubstrateLabel": "TypeScript",
    "SubjectArea": "specification"
   },
   {
    "TableConformanceId": "effortless-typescript|Recipients",
    "Run": "run-20260914-223223",
    "Substrate": "effortless-typescript",
    "RulebookTable": "Recipients",
    "RecordCount": 5,
    "DerivedFieldCount": 6,
    "CellsTested": 30,
    "CellsPassed": 30,
    "IsMissingAnswerFile": false,
    "SemanticTypeIri": "urn:effortless:pko-extension#TableConformance",
    "Name": "effortless-typescript / Recipients",
    "CellsFailed": 0.0,
    "Score": 100.0,
    "IsPerfect": true,
    "ImperfectSubstrateKey": null,
    "ImperfectTableKey": null,
    "DisagreeingFieldCount": 0.0,
    "SubstrateLabel": "TypeScript",
    "SubjectArea": "communication"
   },
   {
    "TableConformanceId": "effortless-typescript|MessageDeliveries",
    "Run": "run-20260914-223223",
    "Substrate": "effortless-typescript",
    "RulebookTable": "MessageDeliveries",
    "RecordCount": 6,
    "DerivedFieldCount": 74,
    "CellsTested": 444,
    "CellsPassed": 444,
    "IsMissingAnswerFile": false,
    "SemanticTypeIri": "urn:effortless:pko-extension#TableConformance",
    "Name": "effortless-typescript / MessageDeliveries",
    "CellsFailed": 0.0,
    "Score": 100.0,
    "IsPerfect": true,
    "ImperfectSubstrateKey": null,
    "ImperfectTableKey": null,
    "DisagreeingFieldCount": 0.0,
    "SubstrateLabel": "TypeScript",
    "SubjectArea": "communication"
   },
   {
    "TableConformanceId": "effortless-typescript|TemplateApprovals",
    "Run": "run-20260914-223223",
    "Substrate": "effortless-typescript",
    "RulebookTable": "TemplateApprovals",
    "RecordCount": 2,
    "DerivedFieldCount": 6,
    "CellsTested": 12,
    "CellsPassed": 12,
    "IsMissingAnswerFile": false,
    "SemanticTypeIri": "urn:effortless:pko-extension#TableConformance",
    "Name": "effortless-typescript / TemplateApprovals",
    "CellsFailed": 0.0,
    "Score": 100.0,
    "IsPerfect": true,
    "ImperfectSubstrateKey": null,
    "ImperfectTableKey": null,
    "DisagreeingFieldCount": 0.0,
    "SubstrateLabel": "TypeScript",
    "SubjectArea": "communication"
   },
   {
    "TableConformanceId": "effortless-typescript|SendIntents",
    "Run": "run-20260914-223223",
    "Substrate": "effortless-typescript",
    "RulebookTable": "SendIntents",
    "RecordCount": 7,
    "DerivedFieldCount": 79,
    "CellsTested": 553,
    "CellsPassed": 553,
    "IsMissingAnswerFile": false,
    "SemanticTypeIri": "urn:effortless:pko-extension#TableConformance",
    "Name": "effortless-typescript / SendIntents",
    "CellsFailed": 0.0,
    "Score": 100.0,
    "IsPerfect": true,
    "ImperfectSubstrateKey": null,
    "ImperfectTableKey": null,
    "DisagreeingFieldCount": 0.0,
    "SubstrateLabel": "TypeScript",
    "SubjectArea": "communication"
   },
   {
    "TableConformanceId": "effortless-typescript|AgentDecisionRecords",
    "Run": "run-20260914-223223",
    "Substrate": "effortless-typescript",
    "RulebookTable": "AgentDecisionRecords",
    "RecordCount": 3,
    "DerivedFieldCount": 27,
    "CellsTested": 81,
    "CellsPassed": 81,
    "IsMissingAnswerFile": false,
    "SemanticTypeIri": "urn:effortless:pko-extension#TableConformance",
    "Name": "effortless-typescript / AgentDecisionRecords",
    "CellsFailed": 0.0,
    "Score": 100.0,
    "IsPerfect": true,
    "ImperfectSubstrateKey": null,
    "ImperfectTableKey": null,
    "DisagreeingFieldCount": 0.0,
    "SubstrateLabel": "TypeScript",
    "SubjectArea": "org"
   },
   {
    "TableConformanceId": "effortless-typescript|DeliveredCommunications",
    "Run": "run-20260914-223223",
    "Substrate": "effortless-typescript",
    "RulebookTable": "DeliveredCommunications",
    "RecordCount": 1,
    "DerivedFieldCount": 6,
    "CellsTested": 6,
    "CellsPassed": 6,
    "IsMissingAnswerFile": false,
    "SemanticTypeIri": "urn:effortless:pko-extension#TableConformance",
    "Name": "effortless-typescript / DeliveredCommunications",
    "CellsFailed": 0.0,
    "Score": 100.0,
    "IsPerfect": true,
    "ImperfectSubstrateKey": null,
    "ImperfectTableKey": null,
    "DisagreeingFieldCount": 0.0,
    "SubstrateLabel": "TypeScript",
    "SubjectArea": "communication"
   },
   {
    "TableConformanceId": "effortless-typescript|AuthorityBoundaries",
    "Run": "run-20260914-223223",
    "Substrate": "effortless-typescript",
    "RulebookTable": "AuthorityBoundaries",
    "RecordCount": 3,
    "DerivedFieldCount": 21,
    "CellsTested": 63,
    "CellsPassed": 63,
    "IsMissingAnswerFile": false,
    "SemanticTypeIri": "urn:effortless:pko-extension#TableConformance",
    "Name": "effortless-typescript / AuthorityBoundaries",
    "CellsFailed": 0.0,
    "Score": 100.0,
    "IsPerfect": true,
    "ImperfectSubstrateKey": null,
    "ImperfectTableKey": null,
    "DisagreeingFieldCount": 0.0,
    "SubstrateLabel": "TypeScript",
    "SubjectArea": "governance"
   },
   {
    "TableConformanceId": "effortless-typescript|AppRoleProfiles",
    "Run": "run-20260914-223223",
    "Substrate": "effortless-typescript",
    "RulebookTable": "AppRoleProfiles",
    "RecordCount": 12,
    "DerivedFieldCount": 2,
    "CellsTested": 24,
    "CellsPassed": 24,
    "IsMissingAnswerFile": false,
    "SemanticTypeIri": "urn:effortless:pko-extension#TableConformance",
    "Name": "effortless-typescript / AppRoleProfiles",
    "CellsFailed": 0.0,
    "Score": 100.0,
    "IsPerfect": true,
    "ImperfectSubstrateKey": null,
    "ImperfectTableKey": null,
    "DisagreeingFieldCount": 0.0,
    "SubstrateLabel": "TypeScript",
    "SubjectArea": "org"
   },
   {
    "TableConformanceId": "effortless-typescript|AppNavGroups",
    "Run": "run-20260914-223223",
    "Substrate": "effortless-typescript",
    "RulebookTable": "AppNavGroups",
    "RecordCount": 23,
    "DerivedFieldCount": 2,
    "CellsTested": 46,
    "CellsPassed": 46,
    "IsMissingAnswerFile": false,
    "SemanticTypeIri": "urn:effortless:pko-extension#TableConformance",
    "Name": "effortless-typescript / AppNavGroups",
    "CellsFailed": 0.0,
    "Score": 100.0,
    "IsPerfect": true,
    "ImperfectSubstrateKey": null,
    "ImperfectTableKey": null,
    "DisagreeingFieldCount": 0.0,
    "SubstrateLabel": "TypeScript",
    "SubjectArea": "application"
   },
   {
    "TableConformanceId": "effortless-typescript|AppRoutes",
    "Run": "run-20260914-223223",
    "Substrate": "effortless-typescript",
    "RulebookTable": "AppRoutes",
    "RecordCount": 149,
    "DerivedFieldCount": 7,
    "CellsTested": 1043,
    "CellsPassed": 1043,
    "IsMissingAnswerFile": false,
    "SemanticTypeIri": "urn:effortless:pko-extension#TableConformance",
    "Name": "effortless-typescript / AppRoutes",
    "CellsFailed": 0.0,
    "Score": 100.0,
    "IsPerfect": true,
    "ImperfectSubstrateKey": null,
    "ImperfectTableKey": null,
    "DisagreeingFieldCount": 0.0,
    "SubstrateLabel": "TypeScript",
    "SubjectArea": "application"
   },
   {
    "TableConformanceId": "effortless-typescript|AppRouteQuestions",
    "Run": "run-20260914-223223",
    "Substrate": "effortless-typescript",
    "RulebookTable": "AppRouteQuestions",
    "RecordCount": 151,
    "DerivedFieldCount": 1,
    "CellsTested": 151,
    "CellsPassed": 151,
    "IsMissingAnswerFile": false,
    "SemanticTypeIri": "urn:effortless:pko-extension#TableConformance",
    "Name": "effortless-typescript / AppRouteQuestions",
    "CellsFailed": 0.0,
    "Score": 100.0,
    "IsPerfect": true,
    "ImperfectSubstrateKey": null,
    "ImperfectTableKey": null,
    "DisagreeingFieldCount": 0.0,
    "SubstrateLabel": "TypeScript",
    "SubjectArea": "application"
   },
   {
    "TableConformanceId": "effortless-typescript|AppRouteReferences",
    "Run": "run-20260914-223223",
    "Substrate": "effortless-typescript",
    "RulebookTable": "AppRouteReferences",
    "RecordCount": 315,
    "DerivedFieldCount": 1,
    "CellsTested": 315,
    "CellsPassed": 315,
    "IsMissingAnswerFile": false,
    "SemanticTypeIri": "urn:effortless:pko-extension#TableConformance",
    "Name": "effortless-typescript / AppRouteReferences",
    "CellsFailed": 0.0,
    "Score": 100.0,
    "IsPerfect": true,
    "ImperfectSubstrateKey": null,
    "ImperfectTableKey": null,
    "DisagreeingFieldCount": 0.0,
    "SubstrateLabel": "TypeScript",
    "SubjectArea": "application"
   },
   {
    "TableConformanceId": "effortless-typescript|RulebookTables",
    "Run": "run-20260914-223223",
    "Substrate": "effortless-typescript",
    "RulebookTable": "RulebookTables",
    "RecordCount": 92,
    "DerivedFieldCount": 5,
    "CellsTested": 460,
    "CellsPassed": 460,
    "IsMissingAnswerFile": false,
    "SemanticTypeIri": "urn:effortless:pko-extension#TableConformance",
    "Name": "effortless-typescript / RulebookTables",
    "CellsFailed": 0.0,
    "Score": 100.0,
    "IsPerfect": true,
    "ImperfectSubstrateKey": null,
    "ImperfectTableKey": null,
    "DisagreeingFieldCount": 0.0,
    "SubstrateLabel": "TypeScript",
    "SubjectArea": "meta"
   },
   {
    "TableConformanceId": "effortless-typescript|AccessPrincipals",
    "Run": "run-20260914-223223",
    "Substrate": "effortless-typescript",
    "RulebookTable": "AccessPrincipals",
    "RecordCount": 12,
    "DerivedFieldCount": 8,
    "CellsTested": 96,
    "CellsPassed": 96,
    "IsMissingAnswerFile": false,
    "SemanticTypeIri": "urn:effortless:pko-extension#TableConformance",
    "Name": "effortless-typescript / AccessPrincipals",
    "CellsFailed": 0.0,
    "Score": 100.0,
    "IsPerfect": true,
    "ImperfectSubstrateKey": null,
    "ImperfectTableKey": null,
    "DisagreeingFieldCount": 0.0,
    "SubstrateLabel": "TypeScript",
    "SubjectArea": "access-control"
   },
   {
    "TableConformanceId": "effortless-typescript|AccessPolicies",
    "Run": "run-20260914-223223",
    "Substrate": "effortless-typescript",
    "RulebookTable": "AccessPolicies",
    "RecordCount": 202,
    "DerivedFieldCount": 7,
    "C</t>
  </si>
  <si>
    <t xml:space="preserve">ellsTested": 1414,
    "CellsPassed": 1414,
    "IsMissingAnswerFile": false,
    "SemanticTypeIri": "urn:effortless:pko-extension#TableConformance",
    "Name": "effortless-typescript / AccessPolicies",
    "CellsFailed": 0.0,
    "Score": 100.0,
    "IsPerfect": true,
    "ImperfectSubstrateKey": null,
    "ImperfectTableKey": null,
    "DisagreeingFieldCount": 0.0,
    "SubstrateLabel": "TypeScript",
    "SubjectArea": "access-control"
   },
   {
    "TableConformanceId": "effortless-typescript|FieldGrants",
    "Run": "run-20260914-223223",
    "Substrate": "effortless-typescript",
    "RulebookTable": "FieldGrants",
    "RecordCount": 3639,
    "DerivedFieldCount": 7,
    "CellsTested": 25473,
    "CellsPassed": 25473,
    "IsMissingAnswerFile": false,
    "SemanticTypeIri": "urn:effortless:pko-extension#TableConformance",
    "Name": "effortless-typescript / FieldGrants",
    "CellsFailed": 0.0,
    "Score": 100.0,
    "IsPerfect": true,
    "ImperfectSubstrateKey": null,
    "ImperfectTableKey": null,
    "DisagreeingFieldCount": 0.0,
    "SubstrateLabel": "TypeScript",
    "SubjectArea": "access-control"
   },
   {
    "TableConformanceId": "effortless-typescript|RoleSchemas",
    "Run": "run-20260914-223223",
    "Substrate": "effortless-typescript",
    "RulebookTable": "RoleSchemas",
    "RecordCount": 12,
    "DerivedFieldCount": 4,
    "CellsTested": 48,
    "CellsPassed": 48,
    "IsMissingAnswerFile": false,
    "SemanticTypeIri": "urn:effortless:pko-extension#TableConformance",
    "Name": "effortless-typescript / RoleSchemas",
    "CellsFailed": 0.0,
    "Score": 100.0,
    "IsPerfect": true,
    "ImperfectSubstrateKey": null,
    "ImperfectTableKey": null,
    "DisagreeingFieldCount": 0.0,
    "SubstrateLabel": "TypeScript",
    "SubjectArea": "org"
   },
   {
    "TableConformanceId": "effortless-typescript|RoleSchemaViews",
    "Run": "run-20260914-223223",
    "Substrate": "effortless-typescript",
    "RulebookTable": "RoleSchemaViews",
    "RecordCount": 202,
    "DerivedFieldCount": 8,
    "CellsTested": 1616,
    "CellsPassed": 1616,
    "IsMissingAnswerFile": false,
    "SemanticTypeIri": "urn:effortless:pko-extension#TableConformance",
    "Name": "effortless-typescript / RoleSchemaViews",
    "CellsFailed": 0.0,
    "Score": 100.0,
    "IsPerfect": true,
    "ImperfectSubstrateKey": null,
    "ImperfectTableKey": null,
    "DisagreeingFieldCount": 0.0,
    "SubstrateLabel": "TypeScript",
    "SubjectArea": "org"
   },
   {
    "TableConformanceId": "effortless-typescript|JwtClaimMappings",
    "Run": "run-20260914-223223",
    "Substrate": "effortless-typescript",
    "RulebookTable": "JwtClaimMappings",
    "RecordCount": 4,
    "DerivedFieldCount": 2,
    "CellsTested": 8,
    "CellsPassed": 8,
    "IsMissingAnswerFile": false,
    "SemanticTypeIri": "urn:effortless:pko-extension#TableConformance",
    "Name": "effortless-typescript / JwtClaimMappings",
    "CellsFailed": 0.0,
    "Score": 100.0,
    "IsPerfect": true,
    "ImperfectSubstrateKey": null,
    "ImperfectTableKey": null,
    "DisagreeingFieldCount": 0.0,
    "SubstrateLabel": "TypeScript",
    "SubjectArea": "access-control"
   },
   {
    "TableConformanceId": "effortless-typescript|AccessDenialTests",
    "Run": "run-20260914-223223",
    "Substrate": "effortless-typescript",
    "RulebookTable": "AccessDenialTests",
    "RecordCount": 17,
    "DerivedFieldCount": 6,
    "CellsTested": 102,
    "CellsPassed": 102,
    "IsMissingAnswerFile": false,
    "SemanticTypeIri": "urn:effortless:pko-extension#TableConformance",
    "Name": "effortless-typescript / AccessDenialTests",
    "CellsFailed": 0.0,
    "Score": 100.0,
    "IsPerfect": true,
    "ImperfectSubstrateKey": null,
    "ImperfectTableKey": null,
    "DisagreeingFieldCount": 0.0,
    "SubstrateLabel": "TypeScript",
    "SubjectArea": "access-control"
   },
   {
    "TableConformanceId": "effortless-typescript|AppUsers",
    "Run": "run-20260914-223223",
    "Substrate": "effortless-typescript",
    "RulebookTable": "AppUsers",
    "RecordCount": 10,
    "DerivedFieldCount": 7,
    "CellsTested": 70,
    "CellsPassed": 70,
    "IsMissingAnswerFile": false,
    "SemanticTypeIri": "urn:effortless:pko-extension#TableConformance",
    "Name": "effortless-typescript / AppUsers",
    "CellsFailed": 0.0,
    "Score": 100.0,
    "IsPerfect": true,
    "ImperfectSubstrateKey": null,
    "ImperfectTableKey": null,
    "DisagreeingFieldCount": 0.0,
    "SubstrateLabel": "TypeScript",
    "SubjectArea": null
   },
   {
    "TableConformanceId": "effortless-typescript|PrincipalAssignments",
    "Run": "run-20260914-223223",
    "Substrate": "effortless-typescript",
    "RulebookTable": "PrincipalAssignments",
    "RecordCount": 12,
    "DerivedFieldCount": 5,
    "CellsTested": 60,
    "CellsPassed": 60,
    "IsMissingAnswerFile": false,
    "SemanticTypeIri": "urn:effortless:pko-extension#TableConformance",
    "Name": "effortless-typescript / PrincipalAssignments",
    "CellsFailed": 0.0,
    "Score": 100.0,
    "IsPerfect": true,
    "ImperfectSubstrateKey": null,
    "ImperfectTableKey": null,
    "DisagreeingFieldCount": 0.0,
    "SubstrateLabel": "TypeScript",
    "SubjectArea": null
   },
   {
    "TableConformanceId": "effortless-typescript|ProcessMiningRuns",
    "Run": "run-20260914-223223",
    "Substrate": "effortless-typescript",
    "RulebookTable": "ProcessMiningRuns",
    "RecordCount": 4,
    "DerivedFieldCount": 10,
    "CellsTested": 40,
    "CellsPassed": 40,
    "IsMissingAnswerFile": false,
    "SemanticTypeIri": "urn:effortless:pko-extension#TableConformance",
    "Name": "effortless-typescript / ProcessMiningRuns",
    "CellsFailed": 0.0,
    "Score": 100.0,
    "IsPerfect": true,
    "ImperfectSubstrateKey": null,
    "ImperfectTableKey": null,
    "DisagreeingFieldCount": 0.0,
    "SubstrateLabel": "TypeScript",
    "SubjectArea": "knowledge"
   },
   {
    "TableConformanceId": "effortless-typescript|Vocabularies",
    "Run": "run-20260914-223223",
    "Substrate": "effortless-typescript",
    "RulebookTable": "Vocabularies",
    "RecordCount": 2,
    "DerivedFieldCount": 4,
    "CellsTested": 8,
    "CellsPassed": 8,
    "IsMissingAnswerFile": false,
    "SemanticTypeIri": "urn:effortless:pko-extension#TableConformance",
    "Name": "effortless-typescript / Vocabularies",
    "CellsFailed": 0.0,
    "Score": 100.0,
    "IsPerfect": true,
    "ImperfectSubstrateKey": null,
    "ImperfectTableKey": null,
    "DisagreeingFieldCount": 0.0,
    "SubstrateLabel": "TypeScript",
    "SubjectArea": "knowledge"
   },
   {
    "TableConformanceId": "effortless-typescript|VocabularyTerms",
    "Run": "run-20260914-223223",
    "Substrate": "effortless-typescript",
    "RulebookTable": "VocabularyTerms",
    "RecordCount": 12,
    "DerivedFieldCount": 5,
    "CellsTested": 60,
    "CellsPassed": 60,
    "IsMissingAnswerFile": false,
    "SemanticTypeIri": "urn:effortless:pko-extension#TableConformance",
    "Name": "effortless-typescript / VocabularyTerms",
    "CellsFailed": 0.0,
    "Score": 100.0,
    "IsPerfect": true,
    "ImperfectSubstrateKey": null,
    "ImperfectTableKey": null,
    "DisagreeingFieldCount": 0.0,
    "SubstrateLabel": "TypeScript",
    "SubjectArea": "knowledge"
   },
   {
    "TableConformanceId": "effortless-typescript|KnowledgeBrokerLinks",
    "Run": "run-20260914-223223",
    "Substrate": "effortless-typescript",
    "RulebookTable": "KnowledgeBrokerLinks",
    "RecordCount": 5,
    "DerivedFieldCount": 8,
    "CellsTested": 40,
    "CellsPassed": 40,
    "IsMissingAnswerFile": false,
    "SemanticTypeIri": "urn:effortless:pko-extension#TableConformance",
    "Name": "effortless-typescript / KnowledgeBrokerLinks",
    "CellsFailed": 0.0,
    "Score": 100.0,
    "IsPerfect": true,
    "ImperfectSubstrateKey": null,
    "ImperfectTableKey": null,
    "DisagreeingFieldCount": 0.0,
    "SubstrateLabel": "TypeScript",
    "SubjectArea": "knowledge"
   },
   {
    "TableConformanceId": "effortless-typescript|ConformanceSubstrates",
    "Run": "run-20260914-223223",
    "Substrate": "effortless-typescript",
    "RulebookTable": "ConformanceSubstrates",
    "RecordCount": 8,
    "DerivedFieldCount": 11,
    "CellsTested": 88,
    "CellsPassed": 88,
    "IsMissingAnswerFile": false,
    "SemanticTypeIri": "urn:effortless:pko-extension#TableConformance",
    "Name": "effortless-typescript / ConformanceSubstrates",
    "CellsFailed": 0.0,
    "Score": 100.0,
    "IsPerfect": true,
    "ImperfectSubstrateKey": null,
    "ImperfectTableKey": null,
    "DisagreeingFieldCount": 0.0,
    "SubstrateLabel": "TypeScript",
    "SubjectArea": "meta"
   },
   {
    "TableConformanceId": "effortless-typescript|ConformanceRuns",
    "Run": "run-20260914-223223",
    "Substrate": "effortless-typescript",
    "RulebookTable": "ConformanceRuns",
    "RecordCount": 3,
    "DerivedFieldCount": 9,
    "CellsTested": 27,
    "CellsPassed": 27,
    "IsMissingAnswerFile": false,
    "SemanticTypeIri": "urn:effortless:pko-extension#TableConformance",
    "Name": "effortless-typescript / ConformanceRuns",
    "CellsFailed": 0.0,
    "Score": 100.0,
    "IsPerfect": true,
    "ImperfectSubstrateKey": null,
    "ImperfectTableKey": null,
    "DisagreeingFieldCount": 0.0,
    "SubstrateLabel": "TypeScript",
    "SubjectArea": "meta"
   },
   {
    "TableConformanceId": "effortless-typescript|SubstrateRunScores",
    "Run": "run-20260914-223223",
    "Substrate": "effortless-typescript",
    "RulebookTable": "SubstrateRunScores",
    "RecordCount": 21,
    "DerivedFieldCount": 13,
    "CellsTested": 273,
    "CellsPassed": 273,
    "IsMissingAnswerFile": false,
    "SemanticTypeIri": "urn:effortless:pko-extension#TableConformance",
    "Name": "effortless-typescript / SubstrateRunScores",
    "CellsFailed": 0.0,
    "Score": 100.0,
    "IsPerfect": true,
    "ImperfectSubstrateKey": null,
    "ImperfectTableKey": null,
    "DisagreeingFieldCount": 0.0,
    "SubstrateLabel": "TypeScript",
    "SubjectArea": "meta"
   },
   {
    "TableConformanceId": "effortless-typescript|TableConformance",
    "Run": "run-20260914-223223",
    "Substrate": "effortless-typescript",
    "RulebookTable": "TableConformance",
    "RecordCount": 623,
    "DerivedFieldCount": 9,
    "CellsTested": 5607,
    "CellsPassed": 5607,
    "IsMissingAnswerFile": false,
    "SemanticTypeIri": "urn:effortless:pko-extension#TableConformance",
    "Name": "effortless-typescript / TableConformance",
    "CellsFailed": 0.0,
    "Score": 100.0,
    "IsPerfect": true,
    "ImperfectSubstrateKey": null,
    "ImperfectTableKey": null,
    "DisagreeingFieldCount": 0.0,
    "SubstrateLabel": "TypeScript",
    "SubjectArea": "meta"
   },
   {
    "TableConformanceId": "effortless-typescript|FieldDisagreements",
    "Run": "run-20260914-223223",
    "Substrate": "effortless-typescript",
    "RulebookTable": "FieldDisagreements",
    "RecordCount": 49,
    "DerivedFieldCount": 5,
    "CellsTested": 245,
    "CellsPassed": 245,
    "IsMissingAnswerFile": false,
    "SemanticTypeIri": "urn:effortless:pko-extension#TableConformance",
    "Name": "effortless-typescript / FieldDisagreements",
    "CellsFailed": 0.0,
    "Score": 100.0,
    "IsPerfect": true,
    "ImperfectSubstrateKey": null,
    "ImperfectTableKey": null,
    "DisagreeingFieldCount": 0.0,
    "SubstrateLabel": "TypeScript",
    "SubjectArea": "meta"
   },
   {
    "TableConformanceId": "effortless-typescript|CellDisagreements",
    "Run": "run-20260914-223223",
    "Substrate": "effortless-typescript",
    "RulebookTable": "CellDisagreements",
    "RecordCount": 316,
    "DerivedFieldCount": 3,
    "CellsTested": 948,
    "CellsPassed": 948,
    "IsMissingAnswerFile": false,
    "SemanticTypeIri": "urn:effortless:pko-extension#TableConformance",
    "Name": "effortless-typescript / CellDisagreements",
    "CellsFailed": 0.0,
    "Score": 100.0,
    "IsPerfect": true,
    "ImperfectSubstrateKey": null,
    "ImperfectTableKey": null,
    "DisagreeingFieldCount": 0.0,
    "SubstrateLabel": "TypeScript",
    "SubjectArea": "meta"
   }
  ]
 },
 "FieldDisagreements": {
  "Description": "Latest run only: a derived field on which one substrate got at least one cell wrong. A field with no row here agreed everywhere. CellsFailed is the true count; CellDisagreements holds a sample of the cells.",
  "important": true,
  "schema": [
   {
    "name": "FieldDisagreementId",
    "datatype": "string",
    "type": "raw",
    "nullable": false,
    "Description": "Stored logical identifier: '&lt;substrate&gt;|&lt;Table&gt;.&lt;Field&gt;'."
   },
   {
    "name": "Name",
    "datatype": "string",
    "type": "calculated",
    "nullable": true,
    "Description": "Human-readable calculated display alias.",
    "formula": "=CONCAT({{Substrate}}, \" / \", {{RulebookField}})"
   },
   {
    "name": "Substrate",
    "datatype": "string",
    "type": "relationship",
    "nullable": true,
    "Description": "The substrate that disagreed.",
    "RelatedTo": "ConformanceSubstrates"
   },
   {
    "name": "RulebookField",
    "datatype": "string",
    "type": "relationship",
    "nullable": true,
    "Description": "The field it disagreed on.",
    "RelatedTo": "RulebookFields"
   },
   {
    "name": "TableConformance",
    "datatype": "string",
    "type": "relationship",
    "nullable": true,
    "Description": "The substrate-by-table row this field belongs to.",
    "RelatedTo": "TableConformance"
   },
   {
    "name": "FieldClass",
    "datatype": "string",
    "type": "raw",
    "nullable": true,
    "Description": "calculated, lookup or aggregation."
   },
   {
    "name": "CellsFailed",
    "datatype": "number",
    "type": "raw",
    "nullable": true,
    "Description": "Every cell of this field the substrate got wrong, not just the sampled ones."
   },
   {
    "name": "DominantReason",
    "datatype": "string",
    "type": "raw",
    "nullable": true,
    "Description": "The harness's most frequent reason: 'wrong/null value', 'missing record' or 'missing entity file'."
   },
   {
    "name": "SampledCellCount",
    "datatype": "number",
    "type": "aggregation",
    "nullable": true,
    "Description": "Failing cells recorded as CellDisagreements rows.",
    "formula": "=COUNTIFS(CellDisagreements!{{FieldDisagreement}}, {{FieldDisagreementId}})"
   },
   {
    "name": "IsFullySampled",
    "datatype": "boolean",
    "type": "calculated",
    "nullable": true,
    "Description": "True when every failing cell is recorded, not just a sample.",
    "formula": "={{SampledCellCount}} = {{CellsFailed}}"
   },
   {
    "name": "Formula",
    "datatype": "string",
    "type": "lookup",
    "nullable": true,
    "Description": "The formula every substrate was asked to compute, shown as evidence.",
    "formula": "=INDEX(RulebookFields!{{Formula}}, MATCH({{RulebookField}}, RulebookFields!{{RulebookFieldId}}, 0))"
   },
   {
    "name": "SubstrateLabel",
    "datatype": "string",
    "type": "lookup",
    "nullable": true,
    "Description": "The substrate's short label.",
    "formula": "=INDEX(ConformanceSubstrates!{{Label}}, MATCH({{Substrate}}, ConformanceSubstrates!{{ConformanceSubstrateId}}, 0))"
   },
   {
    "name": "SemanticTypeIri",
    "datatype": "string",
    "type": "raw",
    "nullable": true,
    "Description": "Semantic type IRI."
   }
  ],
  "data": [
   {
    "FieldDisagreementId": "effortless-xlsx|RoleAssignments.PredecessorAgentKind",
    "Substrate": "effortless-xlsx",
    "RulebookField": "RoleAssignments.PredecessorAgentKind",
    "TableConformance": "effortless-xlsx|RoleAssignments",
    "FieldClass": "lookup",
    "CellsFailed": 1,
    "DominantReason": "wrong/null value",
    "SemanticTypeIri": "urn:effortless:pko-extension#FieldDisagreement",
    "Name": "effortless-xlsx / RoleAssignments.PredecessorAgentKind",
    "SampledCellCount": 1.0,
    "IsFullySampled": true,
    "Formula": "=INDEX(RoleAssignments!{{AgentKind}}, MATCH({{SupersedesAssignment}}, RoleAssignments!{{RoleAssignmentId}}, 0))",
    "SubstrateLabel": "Excel"
   },
   {
    "FieldDisagreementId": "effortless-xlsx|RoleAssignments.IsHumanToNonHumanHandover",
    "Substrate": "effortless-xlsx",
    "RulebookField": "RoleAssignments.IsHumanToNonHumanHandover",
    "TableConformance": "effortless-xlsx|RoleAssignments",
    "FieldClass": "calculated",
    "CellsFailed": 1,
    "DominantReason": "wrong/null value",
    "SemanticTypeIri": "urn:effortless:pko-extension#FieldDisagreement",
    "Name": "effortless-xlsx / RoleAssignments.IsHumanToNonHumanHandover",
    "SampledCellCount": 1.0,
    "IsFullySampled": true,
    "Formula": "=AND({{PredecessorAgentKind}} = \"Human\", {{IsNonHumanAssignment}})",
    "SubstrateLabel": "Excel"
   },
   {
    "FieldDisagreementId": "effortless-xlsx|RoleAssignments.IsUnconditionedAutomationHandover",
    "Substrate": "effortless-xlsx",
    "RulebookField": "RoleAssignments.IsUnconditionedAutomationHandover",
    "TableConformance": "effortless-xlsx|RoleAssignments",
    "FieldClass": "calculated",
    "CellsFailed": 1,
    "DominantReason": "wrong/null value",
    "SemanticTypeIri": "urn:effortless:pko-extension#FieldDisagreement",
    "Name": "effortless-xlsx / RoleAssignments.IsUnconditionedAutomationHandover",
    "SampledCellCount": 1.0,
    "IsFullySampled": true,
    "Formula": "=AND({{IsHumanToNonHumanHandover}}, {{AuthorizationReviewCadenceDays}} = 0)",
    "SubstrateLabel": "Excel"
   },
   {
    "FieldDisagreementId": "effortless-xlsx|ProcedureVersions.DaysSinceLastReview",
    "Substrate": "effortless-xlsx",
    "RulebookField": "ProcedureVersions.DaysSinceLastReview",
    "TableConformance": "effortless-xlsx|ProcedureVersions",
    "FieldClass": "aggregation",
    "CellsFailed": 1,
    "DominantReason": "wrong/null value",
    "SemanticTypeIri": "urn:effortless:pko-extension#FieldDisagreement",
    "Name": "effortless-xlsx / ProcedureVersions.DaysSinceLastReview",
    "SampledCellCount": 1.0,
    "IsFullySampled": true,
    "Formula": "=DATETIME_DIFF({{AsOfInstant}}, MAXIFS(ReviewEvents!{{ReviewedAt}}, ReviewEvents!{{ProcedureVersion}}, ProcedureVersions!{{ProcedureVersionId}}), \"days\")",
    "SubstrateLabel": "Excel"
   },
   {
    "FieldDisagreementId": "effortless-xlsx|ProcedureVersions.WasModifiedSinceLastReview",
    "Substrate": "effortless-xlsx",
    "RulebookField": "ProcedureVersions.WasModifiedSinceLastReview",
    "TableConformance": "effortless-xlsx|ProcedureVersions",
    "FieldClass": "calculated",
    "CellsFailed": 1,
    "DominantReason": "wrong/null value",
    "SemanticTypeIri": "urn:effortless:pko-extension#FieldDisagreement",
    "Name": "effortless-xlsx / ProcedureVersions.WasModifiedSinceLastReview",
    "SampledCellCount": 1.0,
    "IsFullySampled": true,
    "Formula": "={{DaysSinceModified}} &lt; {{DaysSinceLastReview}}",
    "SubstrateLabel": "Excel"
   },
   {
    "FieldDisagreementId": "effortless-xlsx|ProcedureVersions.EntryStepId",
    "Substrate": "effortless-xlsx",
    "RulebookField": "ProcedureVersions.EntryStepId",
    "TableConformance": "effortless-xlsx|ProcedureVersions",
    "FieldClass": "aggregation",
    "CellsFailed": 2,
    "DominantReason": "wrong/null value",
    "SemanticTypeIri": "urn:effortless:pko-extension#FieldDisagreement",
    "Name": "effortless-xlsx / ProcedureVersions.EntryStepId",
    "SampledCellCount": 2.0,
    "IsFullySampled": true,
    "Formula": "=MAXIFS(Steps!{{EntryStepKey}}, Steps!{{ProcedureVersion}}, ProcedureVersions!{{ProcedureVersionId}})",
    "SubstrateLabel": "Excel"
   },
   {
    "FieldDisagreementId": "effortless-xlsx|Steps.ReachableStepCount",
    "Substrate": "effortless-xlsx",
    "RulebookField": "Steps.ReachableStepCount",
    "TableConformance": "effortless-xlsx|Steps",
    "FieldClass": "aggregation",
    "CellsFailed": 17,
    "DominantReason": "wrong/null value",
    "SemanticTypeIri": "urn:effortless:pko-extension#FieldDisagreement",
    "Name": "effortless-xlsx / Steps.ReachableStepCount",
    "SampledCellCount": 17.0,
    "IsFullySampled": true,
    "Formula": "=COUNTIFS(vw_step_transitions_closure!{{FromId}}, Steps!{{StepId}})",
    "SubstrateLabel": "Excel"
   },
   {
    "FieldDisagreementId": "effortless-xlsx|Steps.ReachedFromStepCount",
    "Substrate": "effortless-xlsx",
    "RulebookField": "Steps.ReachedFromStepCount",
    "TableConformance": "effortless-xlsx|Steps",
    "FieldClass": "aggregation",
    "CellsFailed": 17,
    "DominantReason": "wrong/null value",
    "SemanticTypeIri": "urn:effortless:pko-extension#FieldDisagreement",
    "Name": "effortless-xlsx / Steps.ReachedFromStepCount",
    "SampledCellCount": 17.0,
    "IsFullySampled": true,
    "Formula": "=COUNTIFS(vw_step_transitions_closure!{{ToId}}, Steps!{{StepId}})",
    "SubstrateLabel": "Excel"
   },
   {
    "FieldDisagreementId": "effortless-xlsx|Steps.SelfReachCount",
    "Substrate": "effortless-xlsx",
    "RulebookField": "Steps.SelfReachCount",
    "TableConformance": "effortless-xlsx|Steps",
    "FieldClass": "aggregation",
    "CellsFailed": 17,
    "DominantReason": "wrong/null value",
    "SemanticTypeIri": "urn:effortless:pko-extension#FieldDisagreement",
    "Name": "effortless-xlsx / Steps.SelfReachCount",
    "SampledCellCount": 17.0,
    "IsFullySampled": true,
    "Formula": "=COUNTIFS(vw_step_transitions_closure!{{FromId}}, Steps!{{StepId}}, vw_step_transitions_closure!{{ToId}}, Steps!{{StepId}})",
    "SubstrateLabel": "Excel"
   },
   {
    "FieldDisagreementId": "effortless-xlsx|Steps.IsOnReworkLoop",
    "Substrate": "effortless-xlsx",
    "RulebookField": "Steps.IsOnReworkLoop",
    "TableConformance": "effortless-xlsx|Steps",
    "FieldClass": "calculated",
    "CellsFailed": 17,
    "DominantReason": "wrong/null value",
    "SemanticTypeIri": "urn:effortless:pko-extension#FieldDisagreement",
    "Name": "effortless-xlsx / Steps.IsOnReworkLoop",
    "SampledCellCount": 17.0,
    "IsFullySampled": true,
    "Formula": "={{SelfReachCount}} &gt; 0",
    "SubstrateLabel": "Excel"
   },
   {
    "FieldDisagreementId": "effortless-xlsx|Steps.IsBlockingControlOnReworkLoop",
    "Substrate": "effortless-xlsx",
    "RulebookField": "Steps.IsBlockingControlOnReworkLoop",
    "TableConformance": "effortless-xlsx|Steps",
    "FieldClass": "calculated",
    "CellsFailed": 17,
    "DominantReason": "wrong/null value",
    "SemanticTypeIri": "urn:effortless:pko-extension#FieldDisagreement",
    "Name": "effortless-xlsx / Steps.IsBlockingControlOnReworkLoop",
    "SampledCellCount": 17.0,
    "IsFullySampled": true,
    "Formula": "=AND({{IsOnReworkLoop}}, {{BlockingRequirementCount}} &gt; 0)",
    "SubstrateLabel": "Excel"
   },
   {
    "FieldDisagreementId": "effortless-xlsx|Steps.VersionEntryStepId",
    "Substrate": "effortless-xlsx",
    "RulebookField": "Steps.VersionEntryStepId",
    "TableConformance": "effortless-xlsx|Steps",
    "FieldClass": "lookup",
    "CellsFailed": 17,
    "DominantReason": "wrong/null value",
    "SemanticTypeIri": "urn:effortless:pko-extension#FieldDisagreement",
    "Name": "effortless-xlsx / Steps.VersionEntryStepId",
    "SampledCellCount": 17.0,
    "IsFullySampled": true,
    "Formula": "=INDEX(ProcedureVersions!{{EntryStepId}}, MATCH({{ProcedureVersion}}, ProcedureVersions!{{ProcedureVersionId}}, 0))",
    "SubstrateLabel": "Excel"
   },
   {
    "FieldDisagreementId": "effortless-xlsx|Steps.GateFreeReachFromEntryCount",
    "Substrate": "effortless-xlsx",
    "RulebookField": "Steps.GateFreeReachFromEntryCount",
    "TableConformance": "effortless-xlsx|Steps",
    "FieldClass": "aggregation",
    "CellsFailed": 17,
    "DominantReason": "wrong/null value",
    "SemanticTypeIri": "urn:effortless:pko-extension#FieldDisagreement",
    "Name": "effortless-xlsx / Steps.GateFreeReachFromEntryCount",
    "SampledCellCount": 17.0,
    "IsFullySampled": true,
    "Formula": "=COUNTIFS(vw_step_transitions_closure_where_avoids_human_approval_gate!{{FromId}}, {{VersionEntryStepId}}, vw_step_transitions_closure_where_avoids_human_approval_gate!{{ToId}}, Steps!{{StepId}})",
    "SubstrateLabel": "Excel"
   },
   {
    "FieldDisagreementId": "effortless-xlsx|Steps.IsReachableFromEntryWithoutHumanGate",
    "Substrate": "effortless-xlsx",
    "RulebookField": "Steps.IsReachableFromEntryWithoutHumanGate",
    "TableConformance": "effortless-xlsx|Steps",
    "FieldClass": "calculated",
    "CellsFailed": 17,
    "DominantReason": "wrong/null value",
    "SemanticTypeIri": "urn:effortless:pko-extension#FieldDisagreement",
    "Name": "effortless-xlsx / Steps.IsReachableFromEntryWithoutHumanGate",
    "SampledCellCount": 17.0,
    "IsFullySampled": true,
    "Formula": "={{GateFreeReachFromEntryCount}} &gt; 0",
    "SubstrateLabel": "Excel"
   },
   {
    "FieldDisagreementId": "effortless-xlsx|Steps.IsGateBypassedPublication",
    "Substrate": "effortless-xlsx",
    "RulebookField": "Steps.IsGateBypassedPublication",
    "TableConformance": "effortless-xlsx|Steps",
    "FieldClass": "calculated",
    "CellsFailed": 17,
    "DominantReason": "wrong/null value",
    "SemanticTypeIri": "urn:effortless:pko-extension#FieldDisagreement",
    "Name": "effortless-xlsx / Steps.IsGateBypassedPublication",
    "SampledCellCount": 17.0,
    "IsFullySampled": true,
    "Formula": "=AND({{ControlKind}} = \"Publication\", {{IsReachableFromEntryWithoutHumanGate}})",
    "SubstrateLabel": "Excel"
   },
   {
    "FieldDisagreementId": "effortless-xlsx|FAQs.Name",
    "Substrate": "effortless-xlsx",
    "RulebookField": "FAQs.Name",
    "TableConformance": "effortless-xlsx|FAQs",
    "FieldClass": "calculated",
    "CellsFailed": 3,
    "DominantReason": "missing entity file",
    "SemanticTypeIri": "urn:effortless:pko-extension#FieldDisagreement",
    "Name": "effortless-xlsx / FAQs.Name",
    "SampledCellCount": 3.0,
    "IsFullySampled": true,
    "Formula": "={{Question}}",
    "SubstrateLabel": "Excel"
   },
   {
    "FieldDisagreementId": "effortless-xlsx|ProcedureExecutions.LatestAttestationInstant",
    "Substrate": "effortless-xlsx",
    "RulebookField": "ProcedureExecutions.LatestAttestationInstant",
    "TableConformance": "effortless-xlsx|ProcedureExecutions",
    "FieldClass": "aggregation",
    "CellsFailed": 2,
    "DominantReason": "wrong/null value",
    "SemanticTypeIri": "urn:effortless:pko-extension#FieldDisagreement",
    "Name": "effortless-xlsx / ProcedureExecutions.LatestAttestationInstant",
    "SampledCellCount": 2.0,
    "IsFullySampled": true,
    "Formula": "=MAXIFS(Attestations!{{SignedAt}}, Attestations!{{ProcedureExecution}}, {{ProcedureExecutionId}})",
    "SubstrateLabel": "Excel"
   },
   {
    "FieldDisagreementId": "effortless-xlsx|ProcedureExecutions.PostAttestationScoreCount",
    "Substrate": "effortless-xlsx",
    "RulebookField": "ProcedureExecutions.PostAttestationScoreCount",
    "TableConformance": "effortless-xlsx|ProcedureExecutions",
    "FieldClass": "aggregation",
    "CellsFailed": 2,
    "DominantReason": "wrong/null value",
    "SemanticTypeIri": "urn:effortless:pko-extension#FieldDisagreement",
    "Name": "effortless-xlsx / ProcedureExecutions.PostAttestationScoreCount",
    "SampledCellCount": 2.0,
    "IsFullySampled": true,
    "Formula": "=COUNTIFS(RequirementSatisfactions!{{PostAttestationScoreExecutionKey}}, {{ProcedureExecutionId}})",
    "SubstrateLabel": "Excel"
   },
   {
    "FieldDisagreementId": "effortless-xlsx|RequirementSatisfactions.WasScoredAfterAttestation",
    "Substrate": "effortless-xlsx",
    "RulebookField": "RequirementSatisfactions.WasScoredAfterAttestation",
    "TableConformance": "effortless-xlsx|RequirementSatisfactions",
    "FieldClass": "calculated",
    "CellsFailed": 8,
    "DominantReason": "wrong/null value",
    "SemanticTypeIri": "urn:effortless:pko-extension#FieldDisagreement",
    "Name": "effortless-xlsx / RequirementSatisfactions.WasScoredAfterAttestation",
    "SampledCellCount": 8.0,
    "IsFullySampled": true,
    "Formula": "=DATETIME_DIFF({{EvaluatedAt}}, {{AttestationInstantForRun}}, \"minutes\") &gt; 0",
    "SubstrateLabel": "Excel"
   },
   {
    "FieldDisagreementId": "effortless-xlsx|RequirementSatisfactions.AttestationInstantForRun",
    "Substrate": "effortless-xlsx",
    "RulebookField": "RequirementSatisfactions.AttestationInstantForRun",
    "TableConformance": "effortless-xlsx|RequirementSatisfactions",
    "FieldClass": "lookup",
    "CellsFailed": 8,
    "DominantReason": "wrong/null value",
    "SemanticTypeIri": "urn:effortless:pko-extension#FieldDisagreement",
    "Name": "effortless-xlsx / RequirementSatisfactions.AttestationInstantForRun",
    "SampledCellCount": 8.0,
    "IsFullySampled": true,
    "Formula": "=INDEX(ProcedureExecutions!{{LatestAttestationInstant}}, MATCH({{ParentProcedureExecution}}, ProcedureExecutions!{{ProcedureExecutionId}}, 0))",
    "SubstrateLabel": "Excel"
   },
   {
    "FieldDisagreementId": "effortless-xlsx|RequirementSatisfactions.PostAttestationScoreExecutionKey",
    "Substrate": "effortless-xlsx",
    "RulebookField": "RequirementSatisfactions.PostAttestationScoreExecutionKey",
    "TableConformance": "effortless-xlsx|RequirementSatisfactions",
    "FieldClass": "calculated",
    "CellsFailed": 8,
    "DominantReason": "wrong/null value",
    "SemanticTypeIri": "urn:effortless:pko-extension#FieldDisagreement",
    "Name": "effortless-xlsx / RequirementSatisfactions.PostAttestationScoreExecutionKey",
    "SampledCellCount": 8.0,
    "IsFullySampled": true,
    "Formula": "=IF({{WasScoredAfterAttestation}}, {{ParentProcedureExecution}}, \"\")",
    "SubstrateLabel": "Excel"
   },
   {
    "FieldDisagreementId": "effortless-xlsx|MessageDeliveries.OptOutPhrasePosition",
    "Substrate": "effortless-xlsx",
    "RulebookField": "MessageDeliveries.OptOutPhrasePosition",
    "TableConformance": "effortless-xlsx|MessageDeliveries",
    "FieldClass": "calculated",
    "CellsFailed": 3,
    "DominantReason": "wrong/null value",
    "SemanticTypeIri": "urn:effortless:pko-extension#FieldDisagreement",
    "Name": "effortless-xlsx / MessageDeliveries.OptOutPhrasePosition",
    "SampledCellCount": 3.0,
    "IsFullySampled": true,
    "Formula": "=FIND({{PolicyRequiredOptOutPhrase}}, {{RenderedBody}})",
    "SubstrateLabel": "Excel"
   },
   {
    "FieldDisagreementId": "effortless-xlsx|MessageDeliveries.HasOptOutPhrase",
    "Substrate": "effortless-xlsx",
    "RulebookField": "MessageDeliveries.HasOptOutPhrase",
    "TableConformance": "effortless-xlsx|MessageDeliveries",
    "FieldClass": "calculated",
    "CellsFailed": 3,
    "DominantReason": "wrong/null value",
    "SemanticTypeIri": "urn:effortless:pko-extension#FieldDisagreement",
    "Name": "effortless-xlsx / MessageDeliveries.HasOptOutPhrase",
    "SampledCellCount": 3.0,
    "IsFullySampled": true,
    "Formula": "={{OptOutPhrasePosition}} &gt; 0",
    "SubstrateLabel": "Excel"
   },
   {
    "FieldDisagreementId": "effortless-xlsx|MessageDeliveries.IsOptOutInFirstSegment",
    "Substrate": "effortless-xlsx",
    "RulebookField": "MessageDeliveries.IsOptOutInFirstSegment",
    "TableConformance": "effortless-xlsx|MessageDeliveries",
    "FieldClass": "calculated",
    "CellsFailed": 3,
    "DominantReason": "wrong/null value",
    "SemanticTypeIri": "urn:effortless:pko-extension#FieldDisagreement",
    "Name": "effortless-xlsx / MessageDeliveries.IsOptOutInFirstSegment",
    "SampledCellCount": 3.0,
    "IsFullySampled": true,
    "Formula": "=AND({{HasOptOutPhrase}}, {{OptOutPhrasePosition}} &lt;= {{PolicyMaxMessageLengthAtSend}})",
    "SubstrateLabel": "Excel"
   },
   {
    "FieldDisagreementId": "effortless-xlsx|MessageDeliveries.IsMissingRequiredOptOut",
    "Substrate": "effortless-xlsx",
    "RulebookField": "MessageDeliveries.IsMissingRequiredOptOut",
    "TableConformance": "effortless-xlsx|MessageDeliveries",
    "FieldClass": "calculated",
    "CellsFailed": 1,
    "DominantReason": "wrong/null value",
    "SemanticTypeIri": "urn:effortless:pko-extension#FieldDisagreement",
    "Name": "effortless-xlsx / MessageDeliveries.IsMissingRequiredOptOut",
    "SampledCellCount": 1.0,
    "IsFullySampled": true,
    "Formula": "=AND({{WasActuallyTransmitted}}, AND({{PolicyRequiresOptOut}}, NOT({{HasOptOutPhrase}})))",
    "SubstrateLabel": "Excel"
   },
   {
    "FieldDisagreementId": "effortless-xlsx|MessageDeliveries.IsOptOutAtRiskOfTruncation",
    "Substrate": "effortless-xlsx",
    "RulebookField": "MessageDeliveries.IsOptOutAtRiskOfTruncation",
    "TableConformance": "effortless-xlsx|MessageDeliveries",
    "FieldClass": "calculated",
    "CellsFailed": 1,
    "DominantReason": "wrong/null value",
    "SemanticTypeIri": "urn:effortless:pko-extension#FieldDisagreement",
    "Name": "effortless-xlsx / MessageDeliver</t>
  </si>
  <si>
    <t xml:space="preserve">ies.IsOptOutAtRiskOfTruncation",
    "SampledCellCount": 1.0,
    "IsFullySampled": true,
    "Formula": "=AND({{WasActuallyTransmitted}}, AND({{PolicyRequiresOptOut}}, AND({{HasOptOutPhrase}}, NOT({{IsOptOutInFirstSegment}}))))",
    "SubstrateLabel": "Excel"
   },
   {
    "FieldDisagreementId": "effortless-xlsx|AgentDecisionRecords.ReviewLatencyMinutes",
    "Substrate": "effortless-xlsx",
    "RulebookField": "AgentDecisionRecords.ReviewLatencyMinutes",
    "TableConformance": "effortless-xlsx|AgentDecisionRecords",
    "FieldClass": "calculated",
    "CellsFailed": 3,
    "DominantReason": "wrong/null value",
    "SemanticTypeIri": "urn:effortless:pko-extension#FieldDisagreement",
    "Name": "effortless-xlsx / AgentDecisionRecords.ReviewLatencyMinutes",
    "SampledCellCount": 3.0,
    "IsFullySampled": true,
    "Formula": "=IF({{ReviewedAt}} = \"\", 0, DATETIME_DIFF({{ReviewedAt}}, {{DecidedAt}}, \"minutes\"))",
    "SubstrateLabel": "Excel"
   },
   {
    "FieldDisagreementId": "effortless-owl|RulebookReleases.Name",
    "Substrate": "effortless-owl",
    "RulebookField": "RulebookReleases.Name",
    "TableConformance": "effortless-owl|RulebookReleases",
    "FieldClass": "calculated",
    "CellsFailed": 1,
    "DominantReason": "wrong/null value",
    "SemanticTypeIri": "urn:effortless:pko-extension#FieldDisagreement",
    "Name": "effortless-owl / RulebookReleases.Name",
    "SampledCellCount": 1.0,
    "IsFullySampled": true,
    "Formula": "={{RulebookVersion}} &amp; \" / PKO \" &amp; {{PkoCoreVersionIri}}",
    "SubstrateLabel": "OWL / SHACL"
   },
   {
    "FieldDisagreementId": "effortless-owl|ProcedureVersions.IncomingSupersessionCount",
    "Substrate": "effortless-owl",
    "RulebookField": "ProcedureVersions.IncomingSupersessionCount",
    "TableConformance": "effortless-owl|ProcedureVersions",
    "FieldClass": "aggregation",
    "CellsFailed": 1,
    "DominantReason": "wrong/null value",
    "SemanticTypeIri": "urn:effortless:pko-extension#FieldDisagreement",
    "Name": "effortless-owl / ProcedureVersions.IncomingSupersessionCount",
    "SampledCellCount": 1.0,
    "IsFullySampled": true,
    "Formula": "=COUNTIFS(ProcedureVersionLinks!{{SupersededVersionKey}}, {{ProcedureVersionId}})",
    "SubstrateLabel": "OWL / SHACL"
   },
   {
    "FieldDisagreementId": "effortless-owl|ProcedureVersions.IsStillReferenced",
    "Substrate": "effortless-owl",
    "RulebookField": "ProcedureVersions.IsStillReferenced",
    "TableConformance": "effortless-owl|ProcedureVersions",
    "FieldClass": "calculated",
    "CellsFailed": 1,
    "DominantReason": "wrong/null value",
    "SemanticTypeIri": "urn:effortless:pko-extension#FieldDisagreement",
    "Name": "effortless-owl / ProcedureVersions.IsStillReferenced",
    "SampledCellCount": 1.0,
    "IsFullySampled": true,
    "Formula": "={{IncomingSupersessionCount}} &gt; 0",
    "SubstrateLabel": "OWL / SHACL"
   },
   {
    "FieldDisagreementId": "effortless-owl|ProcedureVersions.IsLoadBearingOrphan",
    "Substrate": "effortless-owl",
    "RulebookField": "ProcedureVersions.IsLoadBearingOrphan",
    "TableConformance": "effortless-owl|ProcedureVersions",
    "FieldClass": "calculated",
    "CellsFailed": 1,
    "DominantReason": "wrong/null value",
    "SemanticTypeIri": "urn:effortless:pko-extension#FieldDisagreement",
    "Name": "effortless-owl / ProcedureVersions.IsLoadBearingOrphan",
    "SampledCellCount": 1.0,
    "IsFullySampled": true,
    "Formula": "=AND({{IsUnstewarded}}, OR({{StillOwnsValidKnowledge}}, {{IsStillReferenced}}))",
    "SubstrateLabel": "OWL / SHACL"
   },
   {
    "FieldDisagreementId": "effortless-owl|ProcedureVersions.IsCleanlyRetired",
    "Substrate": "effortless-owl",
    "RulebookField": "ProcedureVersions.IsCleanlyRetired",
    "TableConformance": "effortless-owl|ProcedureVersions",
    "FieldClass": "calculated",
    "CellsFailed": 1,
    "DominantReason": "wrong/null value",
    "SemanticTypeIri": "urn:effortless:pko-extension#FieldDisagreement",
    "Name": "effortless-owl / ProcedureVersions.IsCleanlyRetired",
    "SampledCellCount": 1.0,
    "IsFullySampled": true,
    "Formula": "=AND({{IsUnstewarded}}, NOT({{StillOwnsValidKnowledge}}), NOT({{IsStillReferenced}}))",
    "SubstrateLabel": "OWL / SHACL"
   },
   {
    "FieldDisagreementId": "effortless-owl|ProcedureVersions.DaysSinceLastReview",
    "Substrate": "effortless-owl",
    "RulebookField": "ProcedureVersions.DaysSinceLastReview",
    "TableConformance": "effortless-owl|ProcedureVersions",
    "FieldClass": "aggregation",
    "CellsFailed": 2,
    "DominantReason": "wrong/null value",
    "SemanticTypeIri": "urn:effortless:pko-extension#FieldDisagreement",
    "Name": "effortless-owl / ProcedureVersions.DaysSinceLastReview",
    "SampledCellCount": 2.0,
    "IsFullySampled": true,
    "Formula": "=DATETIME_DIFF({{AsOfInstant}}, MAXIFS(ReviewEvents!{{ReviewedAt}}, ReviewEvents!{{ProcedureVersion}}, ProcedureVersions!{{ProcedureVersionId}}), \"days\")",
    "SubstrateLabel": "OWL / SHACL"
   },
   {
    "FieldDisagreementId": "effortless-owl|ProcedureVersionLinks.SupersededVersionKey",
    "Substrate": "effortless-owl",
    "RulebookField": "ProcedureVersionLinks.SupersededVersionKey",
    "TableConformance": "effortless-owl|ProcedureVersionLinks",
    "FieldClass": "calculated",
    "CellsFailed": 1,
    "DominantReason": "wrong/null value",
    "SemanticTypeIri": "urn:effortless:pko-extension#FieldDisagreement",
    "Name": "effortless-owl / ProcedureVersionLinks.SupersededVersionKey",
    "SampledCellCount": 1.0,
    "IsFullySampled": true,
    "Formula": "=IF({{RelationIri}} = \"https://w3id.org/pko#nextVersion\", {{PreviousProcedureVersion}}, \"\")",
    "SubstrateLabel": "OWL / SHACL"
   },
   {
    "FieldDisagreementId": "effortless-owl|StepTransitions.CountOfFromStepExecutions",
    "Substrate": "effortless-owl",
    "RulebookField": "StepTransitions.CountOfFromStepExecutions",
    "TableConformance": "effortless-owl|StepTransitions",
    "FieldClass": "aggregation",
    "CellsFailed": 15,
    "DominantReason": "wrong/null value",
    "SemanticTypeIri": "urn:effortless:pko-extension#FieldDisagreement",
    "Name": "effortless-owl / StepTransitions.CountOfFromStepExecutions",
    "SampledCellCount": 15.0,
    "IsFullySampled": true,
    "Formula": "=COUNTIFS(StepExecutions!{{Step}}, StepTransitions!{{FromStep}})",
    "SubstrateLabel": "OWL / SHACL"
   },
   {
    "FieldDisagreementId": "effortless-owl|StepTransitions.CountOfToStepExecutions",
    "Substrate": "effortless-owl",
    "RulebookField": "StepTransitions.CountOfToStepExecutions",
    "TableConformance": "effortless-owl|StepTransitions",
    "FieldClass": "aggregation",
    "CellsFailed": 14,
    "DominantReason": "wrong/null value",
    "SemanticTypeIri": "urn:effortless:pko-extension#FieldDisagreement",
    "Name": "effortless-owl / StepTransitions.CountOfToStepExecutions",
    "SampledCellCount": 14.0,
    "IsFullySampled": true,
    "Formula": "=COUNTIFS(StepExecutions!{{Step}}, StepTransitions!{{ToStep}})",
    "SubstrateLabel": "OWL / SHACL"
   },
   {
    "FieldDisagreementId": "effortless-owl|StepTransitions.HasReachableOrigin",
    "Substrate": "effortless-owl",
    "RulebookField": "StepTransitions.HasReachableOrigin",
    "TableConformance": "effortless-owl|StepTransitions",
    "FieldClass": "calculated",
    "CellsFailed": 15,
    "DominantReason": "wrong/null value",
    "SemanticTypeIri": "urn:effortless:pko-extension#FieldDisagreement",
    "Name": "effortless-owl / StepTransitions.HasReachableOrigin",
    "SampledCellCount": 15.0,
    "IsFullySampled": true,
    "Formula": "={{CountOfFromStepExecutions}} &gt; 0",
    "SubstrateLabel": "OWL / SHACL"
   },
   {
    "FieldDisagreementId": "effortless-owl|StepTransitions.HasReachableTarget",
    "Substrate": "effortless-owl",
    "RulebookField": "StepTransitions.HasReachableTarget",
    "TableConformance": "effortless-owl|StepTransitions",
    "FieldClass": "calculated",
    "CellsFailed": 14,
    "DominantReason": "wrong/null value",
    "SemanticTypeIri": "urn:effortless:pko-extension#FieldDisagreement",
    "Name": "effortless-owl / StepTransitions.HasReachableTarget",
    "SampledCellCount": 14.0,
    "IsFullySampled": true,
    "Formula": "={{CountOfToStepExecutions}} &gt; 0",
    "SubstrateLabel": "OWL / SHACL"
   },
   {
    "FieldDisagreementId": "effortless-owl|StepTransitions.IsNeverExercised",
    "Substrate": "effortless-owl",
    "RulebookField": "StepTransitions.IsNeverExercised",
    "TableConformance": "effortless-owl|StepTransitions",
    "FieldClass": "calculated",
    "CellsFailed": 14,
    "DominantReason": "wrong/null value",
    "SemanticTypeIri": "urn:effortless:pko-extension#FieldDisagreement",
    "Name": "effortless-owl / StepTransitions.IsNeverExercised",
    "SampledCellCount": 14.0,
    "IsFullySampled": true,
    "Formula": "=NOT(AND({{HasReachableOrigin}}, {{HasReachableTarget}}))",
    "SubstrateLabel": "OWL / SHACL"
   },
   {
    "FieldDisagreementId": "effortless-owl|StepTransitions.IsUntestedRecoveryPath",
    "Substrate": "effortless-owl",
    "RulebookField": "StepTransitions.IsUntestedRecoveryPath",
    "TableConformance": "effortless-owl|StepTransitions",
    "FieldClass": "calculated",
    "CellsFailed": 4,
    "DominantReason": "wrong/null value",
    "SemanticTypeIri": "urn:effortless:pko-extension#FieldDisagreement",
    "Name": "effortless-owl / StepTransitions.IsUntestedRecoveryPath",
    "SampledCellCount": 4.0,
    "IsFullySampled": true,
    "Formula": "=AND({{IsRecoveryPath}}, {{IsNeverExercised}})",
    "SubstrateLabel": "OWL / SHACL"
   },
   {
    "FieldDisagreementId": "effortless-owl|KnowledgeFragments.IsInvokedByAnException",
    "Substrate": "effortless-owl",
    "RulebookField": "KnowledgeFragments.IsInvokedByAnException",
    "TableConformance": "effortless-owl|KnowledgeFragments",
    "FieldClass": "aggregation",
    "CellsFailed": 2,
    "DominantReason": "wrong/null value",
    "SemanticTypeIri": "urn:effortless:pko-extension#FieldDisagreement",
    "Name": "effortless-owl / KnowledgeFragments.IsInvokedByAnException",
    "SampledCellCount": 2.0,
    "IsFullySampled": true,
    "Formula": "=COUNTIFS(Exceptions!{{TriggerStep}}, KnowledgeFragments!{{Step}})",
    "SubstrateLabel": "OWL / SHACL"
   },
   {
    "FieldDisagreementId": "effortless-owl|KnowledgeFragments.HasOperationalReliance",
    "Substrate": "effortless-owl",
    "RulebookField": "KnowledgeFragments.HasOperationalReliance",
    "TableConformance": "effortless-owl|KnowledgeFragments",
    "FieldClass": "calculated",
    "CellsFailed": 2,
    "DominantReason": "wrong/null value",
    "SemanticTypeIri": "urn:effortless:pko-extension#FieldDisagreement",
    "Name": "effortless-owl / KnowledgeFragments.HasOperationalReliance",
    "SampledCellCount": 2.0,
    "IsFullySampled": true,
    "Formula": "={{IsInvokedByAnException}} &gt; 0",
    "SubstrateLabel": "OWL / SHACL"
   },
   {
    "FieldDisagreementId": "effortless-owl|KnowledgeFragments.FragilitySignalCount",
    "Substrate": "effortless-owl",
    "RulebookField": "KnowledgeFragments.FragilitySignalCount",
    "TableConformance": "effortless-owl|KnowledgeFragments",
    "FieldClass": "calculated",
    "CellsFailed": 2,
    "DominantReason": "wrong/null value",
    "SemanticTypeIri": "urn:effortless:pko-extension#FieldDisagreement",
    "Name": "effortless-owl / KnowledgeFragments.FragilitySignalCount",
    "SampledCellCount": 2.0,
    "IsFullySampled": true,
    "Formula": "=IF({{IsFromSingleWitness}}, 1, 0) + IF({{IsOverdueForReview}}, 1, 0) + IF({{IsLowConfidence}}, 1, 0) + IF({{HasOperationalReliance}}, 1, 0)",
    "SubstrateLabel": "OWL / SHACL"
   },
   {
    "FieldDisagreementId": "effortless-owl|KnowledgeFragments.RelianceSurfaceCount",
    "Substrate": "effortless-owl",
    "RulebookField": "KnowledgeFragments.RelianceSurfaceCount",
    "TableConformance": "effortless-owl|KnowledgeFragments",
    "FieldClass": "calculated",
    "CellsFailed": 2,
    "DominantReason": "wrong/null value",
    "SemanticTypeIri": "urn:effortless:pko-extension#FieldDisagreement",
    "Name": "effortless-owl / KnowledgeFragments.RelianceSurfaceCount",
    "SampledCellCount": 2.0,
    "IsFullySampled": true,
    "Formula": "={{IsInvokedByAnException}} + {{RatifiedBoundaryCount}}",
    "SubstrateLabel": "OWL / SHACL"
   },
   {
    "FieldDisagreementId": "effortless-owl|KnowledgeFragments.IsUnapprovedAndOperationallyLive",
    "Substrate": "effortless-owl",
    "RulebookField": "KnowledgeFragments.IsUnapprovedAndOperationallyLive",
    "TableConformance": "effortless-owl|KnowledgeFragments",
    "FieldClass": "calculated",
    "CellsFailed": 1,
    "DominantReason": "wrong/null value",
    "SemanticTypeIri": "urn:effortless:pko-extension#FieldDisagreement",
    "Name": "effortless-owl / KnowledgeFragments.IsUnapprovedAndOperationallyLive",
    "SampledCellCount": 1.0,
    "IsFullySampled": true,
    "Formula": "=AND({{IsMyUnfinishedApproval}}, {{HasOperationalReliance}})",
    "SubstrateLabel": "OWL / SHACL"
   },
   {
    "FieldDisagreementId": "effortless-owl|DeliveredCommunications.Name",
    "Substrate": "effortless-owl",
    "RulebookField": "DeliveredCommunications.Name",
    "TableConformance": "effortless-owl|DeliveredCommunications",
    "FieldClass": "calculated",
    "CellsFailed": 1,
    "DominantReason": "wrong/null value",
    "SemanticTypeIri": "urn:effortless:pko-extension#FieldDisagreement",
    "Name": "effortless-owl / DeliveredCommunications.Name",
    "SampledCellCount": 1.0,
    "IsFullySampled": true,
    "Formula": "={{Channel}} &amp; \" -&gt; \" &amp; {{RecipientKey}} &amp; \" @ \" &amp; {{SentAt}}",
    "SubstrateLabel": "OWL / SHACL"
   },
   {
    "FieldDisagreementId": "effortless-owl|AppRoleProfiles.RouteCount",
    "Substrate": "effortless-owl",
    "RulebookField": "AppRoleProfiles.RouteCount",
    "TableConformance": "effortless-owl|AppRoleProfiles",
    "FieldClass": "aggregation",
    "CellsFailed": 12,
    "DominantReason": "wrong/null value",
    "SemanticTypeIri": "urn:effortless:pko-extension#FieldDisagreement",
    "Name": "effortless-owl / AppRoleProfiles.RouteCount",
    "SampledCellCount": 12.0,
    "IsFullySampled": true,
    "Formula": "=COUNTIFS(AppRoutes!{{OwningRole}}, {{Role}})",
    "SubstrateLabel": "OWL / SHACL"
   },
   {
    "FieldDisagreementId": "effortless-owl|AccessDenialTests.Name",
    "Substrate": "effortless-owl",
    "RulebookField": "AccessDenialTests.Name",
    "TableConformance": "effortless-owl|AccessDenialTests",
    "FieldClass": "calculated",
    "CellsFailed": 8,
    "DominantReason": "wrong/null value",
    "SemanticTypeIri": "urn:effortless:pko-extension#FieldDisagreement",
    "Name": "effortless-owl / AccessDenialTests.Name",
    "SampledCellCount": 8.0,
    "IsFullySampled": true,
    "Formula": "={{Principal}} &amp; \" must not see \" &amp; {{ForbiddenRowId}}",
    "SubstrateLabel": "OWL / SHACL"
   },
   {
    "FieldDisagreementId": "effortless-owl|CellDisagreements.Name",
    "Substrate": "effortless-owl",
    "RulebookField": "CellDisagreements.Name",
    "TableConformance": "effortless-owl|CellDisagreements",
    "FieldClass": "calculated",
    "CellsFailed": 316,
    "DominantReason": "wrong/null value",
    "SemanticTypeIri": "urn:effortless:pko-extension#FieldDisagreement",
    "Name": "effortless-owl / CellDisagreements.Name",
    "SampledCellCount": 20.0,
    "IsFullySampled": false,
    "Formula": "=CONCAT({{FieldDisagreement}}, \" @ \", {{RecordId}})",
    "SubstrateLabel": "OWL / SHACL"
   }
  ]
 },
 "CellDisagreements": {
  "Description": "Latest run only: one cell a substrate computed differently from the answer key, with both values verbatim. Sampled per field; see FieldDisagreements.IsFullySampled.",
  "important": true,
  "schema": [
   {
    "name": "CellDisagreementId",
    "datatype": "string",
    "type": "raw",
    "nullable": false,
    "Description": "Stored logical identifier: '&lt;substrate&gt;|&lt;Table&gt;.&lt;Field&gt;|&lt;record id&gt;'."
   },
   {
    "name": "Name",
    "datatype": "string",
    "type": "calculated",
    "nullable": true,
    "Description": "Human-readable calculated display alias.",
    "formula": "=CONCAT({{FieldDisagreement}}, \" @ \", {{RecordId}})"
   },
   {
    "name": "FieldDisagreement",
    "datatype": "string",
    "type": "relationship",
    "nullable": true,
    "Description": "The substrate-by-field disagreement this cell belongs to.",
    "RelatedTo": "FieldDisagreements"
   },
   {
    "name": "RecordId",
    "datatype": "string",
    "type": "raw",
    "nullable": true,
    "Description": "Primary key of the row whose cell disagreed."
   },
   {
    "name": "ExpectedValue",
    "datatype": "string",
    "type": "raw",
    "nullable": true,
    "Description": "The answer key's value, JSON-encoded so null, '', false and 0 stay distinguishable."
   },
   {
    "name": "ActualValue",
    "datatype": "string",
    "type": "raw",
    "nullable": true,
    "Description": "The substrate's value, JSON-encoded the same way."
   },
   {
    "name": "Reason",
    "datatype": "string",
    "type": "raw",
    "nullable": true,
    "Description": "The harness's reason: 'wrong/null value', 'missing record' or 'missing entity file'."
   },
   {
    "name": "Substrate",
    "datatype": "string",
    "type": "lookup",
    "nullable": true,
    "Description": "The substrate that produced ActualValue.",
    "formula": "=INDEX(FieldDisagreements!{{Substrate}}, MATCH({{FieldDisagreement}}, FieldDisagreements!{{FieldDisagreementId}}, 0))"
   },
   {
    "name": "RulebookField",
    "datatype": "string",
    "type": "lookup",
    "nullable": true,
    "Description": "The field.",
    "formula": "=INDEX(FieldDisagreements!{{RulebookField}}, MATCH({{FieldDisagreement}}, FieldDisagreements!{{FieldDisagreementId}}, 0))"
   },
   {
    "name": "SemanticTypeIri",
    "datatype": "string",
    "type": "raw",
    "nullable": true,
    "Description": "Semantic type IRI."
   }
  ],
  "data": [
   {
    "CellDisagreementId": "effortless-xlsx|RoleAssignments.PredecessorAgentKind|ra-new-variance",
    "FieldDisagreement": "effortless-xlsx|RoleAssignments.PredecessorAgentKind",
    "RecordId": "ra-new-variance",
    "ExpectedValue": "\"Human\"",
    "ActualValue": "null",
    "Reason": "wrong/null value",
    "SemanticTypeIri": "urn:effortless:pko-extension#CellDisagreement",
    "Name": "effortless-xlsx|RoleAssignments.PredecessorAgentKind @ ra-new-variance",
    "Substrate": "effortless-xlsx",
    "RulebookField": "RoleAssignments.PredecessorAgentKind"
   },
   {
    "CellDisagreementId": "effortless-xlsx|RoleAssignments.IsHumanToNonHumanHandover|ra-new-variance",
    "FieldDisagreement": "effortless-xlsx|RoleAssignments.IsHumanToNonHumanHandover",
    "RecordId": "ra-new-variance",
    "ExpectedValue": "true",
    "ActualValue": "false",
    "Reason": "wrong/null value",
    "SemanticTypeIri": "urn:effortless:pko-extension#CellDisagreement",
    "Name": "effortless-xlsx|RoleAssignments.IsHumanToNonHumanHandover @ ra-new-variance",
    "Substrate": "effortless-xlsx",
    "RulebookField": "RoleAssignments.IsHumanToNonHumanHandover"
   },
   {
    "CellDisagreementId": "effortless-xlsx|RoleAssignments.IsUnconditionedAutomationHandover|ra-new-variance",
    "FieldDisagreement": "effortless-xlsx|RoleAssignments.IsUnconditionedAutomationHandover",
    "RecordId": "ra-new-variance",
    "ExpectedValue": "true",
    "ActualValue": "false",
    "Reason": "wrong/null value",
    "SemanticTypeIri": "urn:effortless:pko-extension#CellDisagreement",
    "Name": "effortless-xlsx|RoleAssignments.IsUnconditionedAutomationHandover @ ra-new-variance",
    "Substrate": "effortless-xlsx",
    "RulebookField": "RoleAssignments.IsUnconditionedAutomationHandover"
   },
   {
    "CellDisagreementId": "effortless-xlsx|ProcedureVersions.DaysSinceLastReview|close-v1.0.0",
    "FieldDisagreement": "effortless-xlsx|ProcedureVersions.DaysSinceLastReview",
    "RecordId": "close-v1.0.0",
    "ExpectedValue": "null",
    "ActualValue": "46222",
    "Reason": "wrong/null value",
    "SemanticTypeIri": "urn:effortless:pko-extension#CellDisagreement",
    "Name": "effortless-xlsx|ProcedureVersions.DaysSinceLastReview @ close-v1.0.0",
    "Substrate": "effortless-xlsx",
    "RulebookField": "ProcedureVersions.DaysSinceLastReview"
   },
   {
    "CellDisagreementId": "effortless-xlsx|ProcedureVersions.WasModifiedSinceLastReview|close-v1.0.0",
    "FieldDisagreement": "effortless-xlsx|ProcedureVersions.WasModifiedSinceLastReview",
    "RecordId": "close-v1.0.0",
    "ExpectedValue": "false",
    "ActualValue": "true",
    "Reason": "wrong/null value",
    "SemanticTypeIri": "urn:effortless:pko-extension#CellDisagreement",
    "Name": "effortless-xlsx|ProcedureVersions.WasModifiedSinceLastReview @ close-v1.0.0",
    "Substrate": "effortless-xlsx",
    "RulebookField": "ProcedureVersions.WasModifiedSinceLastReview"
   },
   {
    "CellDisagreementId": "effortless-xlsx|ProcedureVersions.EntryStepId|close-v1.1.0",
    "FieldDisagreement": "effortless-xlsx|ProcedureVersions.EntryStepId",
    "RecordId": "close-v1.1.0",
    "ExpectedValue": "\"close-01\"",
    "ActualValue": "0",
    "Reason": "wrong/null value",
    "SemanticTypeIri": "urn:effortless:pko-extension#CellDisagreement",
    "Name": "effortless-xlsx|ProcedureVersions.EntryStepId @ close-v1.1.0",
    "Substrate": "effortless-xlsx",
    "RulebookField": "ProcedureVersions.EntryStepId"
   },
   {
    "CellDisagreementId": "effortless-xlsx|ProcedureVersions.EntryStepId|policy-v1.0.0",
    "FieldDisagreement": "effortless-xlsx|ProcedureVersions.EntryStepId",
    "RecordId": "policy-v1.0.0",
    "ExpectedValue": "\"policy-01\"",
    "ActualValue": "0",
    "Reason": "wrong/null value",
    "SemanticTypeIri": "urn:effortless:pko-extension#CellDisagreement",
    "Name": "effortless-xlsx|ProcedureVersions.EntryStepId @ policy-v1.0.0",
    "Substrate": "effortless-xlsx",
    "RulebookField": "ProcedureVersions.EntryStepId"
   },
   {
    "CellDisagreementId": "effortless-xlsx|Steps.ReachableStepCount|close-01",
    "FieldDisagreement": "effortless-xlsx|Steps.ReachableStepCount",
    "RecordId": "close-01",
    "ExpectedValue": "7",
    "ActualValue": "\"#VALUE!\"",
    "Reason": "wrong/null value",
    "SemanticTypeIri": "urn:effortless:pko-extension#CellDisagreement",
    "Name": "effortless-xlsx|Steps.ReachableStepCount @ close-01",
    "Substrate": "effortless-xlsx",
    "RulebookField": "Steps.ReachableStepCount"
   },
   {
    "CellDisagreementId": "effortless-xlsx|Steps.ReachableStepCount|close-02",
    "FieldDisagreement": "effortless-xlsx|Steps.ReachableStepCount",
    "RecordId": "close-02",
    "ExpectedValue": "6",
    "ActualValue": "\"#VALUE!\"",
    "Reason": "wrong/null value",
    "SemanticTypeIri": "urn:effortless:pko-extension#CellDisagreement",
    "Name": "effortless-xlsx|Steps.ReachableStepCount @ close-02",
    "Substrate": "effortless-xlsx",
    "RulebookField": "Steps.ReachableStepCount"
   },
   {
    "CellDisagreementId": "effortless-xlsx|Steps.ReachableStepCount|close-03",
    "FieldDisagreement": "effortless-xlsx|Steps.ReachableStepCount",
    "RecordId": "close-03",
    "ExpectedValue": "6",
    "ActualValue": "\"#VALUE!\"",
    "Reason": "wrong/null value",
    "SemanticTypeIri": "urn:effortless:pko-extension#CellDisagreement",
    "Name": "effortless-xlsx|Steps.ReachableStepCount @ close-03",
    "Substrate": "effortless-xlsx",
    "RulebookField": "Steps.ReachableStepCount"
   },
   {
    "CellDisagreementId": "effortless-xlsx|Steps.ReachableStepCount|close-04",
    "FieldDisagreement": "effortless-xlsx|Steps.ReachableStepCount",
    "RecordId": "close-04",
    "ExpectedValue": "6",
    "ActualValue": "\"#VALUE!\"",
    "Reason": "wrong/null value",
    "SemanticTypeIri": "urn:effortless:pko-extension#CellDisagreement",
    "Name": "effortless-xlsx|Steps.ReachableStepCount @ close-04",
    "Substrate": "effortless-xlsx",
    "RulebookField": "Steps.ReachableStepCount"
   },
   {
    "CellDisagreementId": "effortless-xlsx|Steps.ReachableStepCount|close-05",
    "FieldDisagreement": "effortless-xlsx|Steps.ReachableStepCount",
    "RecordId": "close-05",
    "ExpectedValue": "6",
    "ActualValue": "\"#VALUE!\"",
    "Reason": "wrong/null value",
    "SemanticTypeIri": "urn:effortless:pko-extension#CellDisagreement",
    "Name": "effortless-xlsx|Steps.ReachableStepCount @ close-05",
    "Substrate": "effortless-xlsx",
    "RulebookField": "Steps.ReachableStepCount"
   },
   {
    "CellDisagreementId": "effortless-xlsx|Steps.ReachableStepCount|close-06",
    "FieldDisagreement": "effortless-xlsx|Steps.ReachableStepCount",
    "RecordId": "close-06",
    "ExpectedValue": "6",
    "ActualValue": "\"#VALUE!\"",
    "Reason": "wrong/null value",
    "SemanticTypeIri": "urn:effortless:pko-extension#CellDisagreement",
    "Name": "effortless-xlsx|Steps.ReachableStepCount @ close-06",
    "Substrate": "effortless-xlsx",
    "RulebookField": "Steps.ReachableStepCount"
   },
   {
    "CellDisagreementId": "effortless-xlsx|Steps.ReachableStepCount|close-07",
    "FieldDisagreement": "effortless-xlsx|Steps.ReachableStepCount",
    "RecordId": "close-07",
    "ExpectedValue": "1",
    "ActualValue": "\"#VALUE!\"",
    "Reason": "wrong/null value",
    "SemanticTypeIri": "urn:effortless:pko-extension#CellDisagreement",
    "Name": "effortless-xlsx|Steps.ReachableStepCount @ close-07",
    "Substrate": "effortless-xlsx",
    "RulebookField": "Steps.ReachableStepCount"
   },
   {
    "CellDisagreementId": "effortless-xlsx|Steps.ReachableStepCount|close-08",
    "FieldDisagreement": "effortless-xlsx|Steps.ReachableStepCount",
    "RecordId": "close-08",
    "ExpectedValue": "0",
    "ActualValue": "\"#VALUE!\"",
    "Reason": "wrong/null value",
    "SemanticTypeIri": "urn:effortless:pko-extension#CellDisagreement",
    "Name": "effortless-xlsx|Steps.ReachableStepCount @ close-08",
    "Substrate": "effortless-xlsx",
    "RulebookField": "Steps.ReachableStepCount"
   },
   {
    "CellDisagreementId": "effortless-xlsx|Steps.ReachableStepCount|policy-01",
    "FieldDisagreement": "effortless-xlsx|Steps.ReachableStepCount",
    "RecordId": "policy-01",
    "ExpectedValue": "8",
    "ActualValue": "\"#VALUE!\"",
    "Reason": "wrong/null value",
    "SemanticTypeIri": "urn:effortless:pko-extension#CellDisagreement",
    "Name": "effortless-xlsx|Steps.ReachableStepCount @ policy-01",
    "Substrate": "effortless-xlsx",
    "RulebookField": "Steps.ReachableStepCount"
   },
   {
    "CellDisagreementId": "effortless-xlsx|Steps.ReachableStepCount|policy-02",
    "FieldDisagreement": "effortless-xlsx|Steps.ReachableStepCount",
    "RecordId": "policy-02",
    "ExpectedValue": "7",
    "ActualValue": "\"#VALUE!\"",
    "Reason": "wrong/null value",
    "SemanticTypeIri": "urn:effortless:pko-extension#CellDisagreement",
    "Name": "effortless-xlsx|Steps.ReachableStepCount @ policy-02",
    "Substrate": "effortless-xlsx",
    "RulebookField": "Steps.ReachableStepCount"
   },
   {
    "CellDisagreementId": "effortless-xlsx|Steps.ReachableStepCount|policy-03",
    "FieldDisagreement": "effortless-xlsx|Steps.ReachableStepCount",
    "RecordId": "policy-03",
    "ExpectedValue": "7",
    "ActualValue": "\"#VALUE!\"",
    "Reason": "wrong/null value",
    "SemanticTypeIri": "urn:effortless:pko-extension#CellDisagreement",
    "Name": "effortless-xlsx|Steps.ReachableStepCount @ policy-03",
    "Substrate": "effortless-xlsx",
    "RulebookField": "Steps.ReachableStepCount"
   },
   {
    "CellDisagreementId": "effortless-xlsx|Steps.ReachableStepCount|policy-04",
    "FieldDisagreement": "effortless-xlsx|Steps.ReachableStepCount",
    "RecordId": "policy-04",
    "ExpectedValue": "7",
    "ActualValue": "\"#VALUE!\"",
    "Reason": "wrong/null value",
    "SemanticTypeIri": "urn:effortless:pko-extension#CellDisagreement",
    "Name": "effortless-xlsx|Steps.ReachableStepCount @ policy-04",
    "Substrate": "effortless-xlsx",
    "RulebookField": "Steps.ReachableStepCount"
   },
   {
    "CellDisagreementId": "effortless-xlsx|Steps.ReachableStepCount|policy-05",
    "FieldDisagreement": "effortless-xlsx|Steps.ReachableStepCount",
    "RecordId": "policy-05",
    "ExpectedValue": "4",
    "ActualValue": "\"#VALUE!\"",
    "Reason": "wrong/null value",
    "SemanticTypeIri": "urn:effortless:pko-extension#CellDisagreement",
    "Name": "effortless-xlsx|Steps.ReachableStepCount @ policy-05",
    "Substrate": "effortless-xlsx",
    "RulebookField": "Steps.ReachableStepCount"
   },
   {
    "CellDisagreementId": "effortless-xlsx|Steps.ReachableStepCount|policy-06",
    "FieldDisagreement": "effortless-xlsx|Steps.ReachableStepCount",
    "RecordId": "policy-06",
    "ExpectedValue": "4",
    "ActualValue": "\"#VALUE!\"",
    "Reason": "wrong/null value",
    "SemanticTypeIri": "urn:effortless:pko-extension#CellDisagreement",
    "Name": "effortless-xlsx|Steps.ReachableStepCount @ policy-06",
    "Substrate": "effortless-xlsx",
    "RulebookField": "Steps.ReachableStepCount"
   },
   {
    "CellDisagreementId": "effortless-xlsx|Steps.ReachableStepCount|policy-07",
    "FieldDisagreement": "effortless-xlsx|Steps.ReachableStepCount",
    "RecordId": "policy-07",
    "ExpectedValue": "4",
    "ActualValue": "\"#VALUE!\"",
    "Reason": "wrong/null value",
    "SemanticTypeIri": "urn:effortless:pko-extension#CellDisagreement",
    "Name": "effortless-xlsx|Steps.ReachableStepCount @ policy-07",
    "Substrate": "effortless-xlsx",
    "RulebookField": "Steps.ReachableStepCount"
   },
   {
    "CellDisagreementId": "effortless-xlsx|Steps.ReachableStepCount|policy-08",
    "FieldDisagreement": "effortless-xlsx|Steps.ReachableStepCount",
    "RecordId": "policy-08",
    "ExpectedValue": "1",
    "ActualValue": "\"#VALUE!\"",
    "Reason": "wrong/null value",
    "SemanticTypeIri": "urn:effortless:pko-extension#CellDisagreement",
    "Name": "effortless-xlsx|Steps.ReachableStepCount @ policy-08",
    "Substrate": "effortless-xlsx",
    "RulebookField": "Steps.ReachableStepCount"
   },
   {
    "CellDisagreementId": "effortless-xlsx|Steps.ReachableStepCount|policy-09",
    "FieldDisagreement": "effortless-xlsx|Steps.ReachableStepCount",
    "RecordId": "policy-09",
    "ExpectedValue": "0",
    "ActualValue": "\"#VALUE!\"",
    "Reason": "wrong/null value",
    "SemanticTypeIri": "urn:effortless:pko-extension#CellDisagreement",
    "Name": "effortless-xlsx|Steps.ReachableStepCount @ policy-09",
    "Substrate": "effortless-xlsx",
    "RulebookField": "Steps.ReachableStepCount"
   },
   {
    "CellDisagreementId": "effortless-xlsx|Steps.ReachedFromStepCount|close-01",
    "FieldDisagreement": "effortless-xlsx|Steps.ReachedFromStepCount",
    "RecordId": "close-01",
    "ExpectedValue": "0",
    "ActualValue": "\"#VALUE!\"",
    "Reason": "wrong/null value",
    "SemanticTypeIri": "urn:effortless:pko-extension#CellDisagreement",
    "Name": "effortless-xlsx|Steps.ReachedFromStepCount @ close-01",
    "Substrate": "effortless-xlsx",
    "RulebookField": "Steps.ReachedFromStepCount"
   },
   {
    "CellDisagreementId": "effortless-xlsx|Steps.ReachedFromStepCount|close-02",
    "FieldDisagreement": "effortless-xlsx|Steps.ReachedFromStepCount",
    "RecordId": "close-02",
    "ExpectedValue": "1",
    "ActualValue": "\"#VALUE!\"",
    "Reason": "wrong/null value",
    "SemanticTypeIri": "urn:effortless:pko-extension#CellDisagreement",
    "Name": "effortless-xlsx|Steps.ReachedFromStepCount @ close-02",
    "Substrate": "effortless-xlsx",
    "RulebookField": "Steps.ReachedFromStepCount"
   },
   {
    "CellDisagreementId": "effortless-xlsx|Steps.ReachedFromStepCount|close-03",
    "FieldDisagreement": "effortless-xlsx|Steps.ReachedFromStepCount",
    "RecordId": "close-03",
    "ExpectedValue": "6",
    "ActualValue": "\"#VALUE!\"",
    "Reason": "wrong/null value",
    "SemanticTypeIri": "urn:effortless:pko-extension#CellDisagreement",
    "Name": "effortless-xlsx|Steps.ReachedFromStepCount @ close-03",
    "Substrate": "effortless-xlsx",
    "RulebookField": "Steps.ReachedFromStepCount"
   },
   {
    "CellDisagreementId": "effortless-xlsx|Steps.ReachedFromStepCount|close-04",
    "FieldDisagreement": "effortless-xlsx|Steps.ReachedFromStepCount",
    "RecordId": "close-04",
    "ExpectedValue": "6",
    "ActualValue": "\"#VALUE!\"",
    "Reason": "wrong/null value",
    "SemanticTypeIri": "urn:effortless:pko-extension#CellDisagreement",
    "Name": "effortless-xlsx|Steps.ReachedFromStepCount @ close-04",
    "Substrate": "effortless-xlsx",
    "RulebookField": "Steps.ReachedFromStepCount"
   },
   {
    "CellDisagreementId": "effortless-xlsx|Steps.ReachedFromStepCount|close-0</t>
  </si>
  <si>
    <t xml:space="preserve">5",
    "FieldDisagreement": "effortless-xlsx|Steps.ReachedFromStepCount",
    "RecordId": "close-05",
    "ExpectedValue": "6",
    "ActualValue": "\"#VALUE!\"",
    "Reason": "wrong/null value",
    "SemanticTypeIri": "urn:effortless:pko-extension#CellDisagreement",
    "Name": "effortless-xlsx|Steps.ReachedFromStepCount @ close-05",
    "Substrate": "effortless-xlsx",
    "RulebookField": "Steps.ReachedFromStepCount"
   },
   {
    "CellDisagreementId": "effortless-xlsx|Steps.ReachedFromStepCount|close-06",
    "FieldDisagreement": "effortless-xlsx|Steps.ReachedFromStepCount",
    "RecordId": "close-06",
    "ExpectedValue": "6",
    "ActualValue": "\"#VALUE!\"",
    "Reason": "wrong/null value",
    "SemanticTypeIri": "urn:effortless:pko-extension#CellDisagreement",
    "Name": "effortless-xlsx|Steps.ReachedFromStepCount @ close-06",
    "Substrate": "effortless-xlsx",
    "RulebookField": "Steps.ReachedFromStepCount"
   },
   {
    "CellDisagreementId": "effortless-xlsx|Steps.ReachedFromStepCount|close-07",
    "FieldDisagreement": "effortless-xlsx|Steps.ReachedFromStepCount",
    "RecordId": "close-07",
    "ExpectedValue": "6",
    "ActualValue": "\"#VALUE!\"",
    "Reason": "wrong/null value",
    "SemanticTypeIri": "urn:effortless:pko-extension#CellDisagreement",
    "Name": "effortless-xlsx|Steps.ReachedFromStepCount @ close-07",
    "Substrate": "effortless-xlsx",
    "RulebookField": "Steps.ReachedFromStepCount"
   },
   {
    "CellDisagreementId": "effortless-xlsx|Steps.ReachedFromStepCount|close-08",
    "FieldDisagreement": "effortless-xlsx|Steps.ReachedFromStepCount",
    "RecordId": "close-08",
    "ExpectedValue": "7",
    "ActualValue": "\"#VALUE!\"",
    "Reason": "wrong/null value",
    "SemanticTypeIri": "urn:effortless:pko-extension#CellDisagreement",
    "Name": "effortless-xlsx|Steps.ReachedFromStepCount @ close-08",
    "Substrate": "effortless-xlsx",
    "RulebookField": "Steps.ReachedFromStepCount"
   },
   {
    "CellDisagreementId": "effortless-xlsx|Steps.ReachedFromStepCount|policy-01",
    "FieldDisagreement": "effortless-xlsx|Steps.ReachedFromStepCount",
    "RecordId": "policy-01",
    "ExpectedValue": "0",
    "ActualValue": "\"#VALUE!\"",
    "Reason": "wrong/null value",
    "SemanticTypeIri": "urn:effortless:pko-extension#CellDisagreement",
    "Name": "effortless-xlsx|Steps.ReachedFromStepCount @ policy-01",
    "Substrate": "effortless-xlsx",
    "RulebookField": "Steps.ReachedFromStepCount"
   },
   {
    "CellDisagreementId": "effortless-xlsx|Steps.ReachedFromStepCount|policy-02",
    "FieldDisagreement": "effortless-xlsx|Steps.ReachedFromStepCount",
    "RecordId": "policy-02",
    "ExpectedValue": "1",
    "ActualValue": "\"#VALUE!\"",
    "Reason": "wrong/null value",
    "SemanticTypeIri": "urn:effortless:pko-extension#CellDisagreement",
    "Name": "effortless-xlsx|Steps.ReachedFromStepCount @ policy-02",
    "Substrate": "effortless-xlsx",
    "RulebookField": "Steps.ReachedFromStepCount"
   },
   {
    "CellDisagreementId": "effortless-xlsx|Steps.ReachedFromStepCount|policy-03",
    "FieldDisagreement": "effortless-xlsx|Steps.ReachedFromStepCount",
    "RecordId": "policy-03",
    "ExpectedValue": "4",
    "ActualValue": "\"#VALUE!\"",
    "Reason": "wrong/null value",
    "SemanticTypeIri": "urn:effortless:pko-extension#CellDisagreement",
    "Name": "effortless-xlsx|Steps.ReachedFromStepCount @ policy-03",
    "Substrate": "effortless-xlsx",
    "RulebookField": "Steps.ReachedFromStepCount"
   },
   {
    "CellDisagreementId": "effortless-xlsx|Steps.ReachedFromStepCount|policy-04",
    "FieldDisagreement": "effortless-xlsx|Steps.ReachedFromStepCount",
    "RecordId": "policy-04",
    "ExpectedValue": "4",
    "ActualValue": "\"#VALUE!\"",
    "Reason": "wrong/null value",
    "SemanticTypeIri": "urn:effortless:pko-extension#CellDisagreement",
    "Name": "effortless-xlsx|Steps.ReachedFromStepCount @ policy-04",
    "Substrate": "effortless-xlsx",
    "RulebookField": "Steps.ReachedFromStepCount"
   },
   {
    "CellDisagreementId": "effortless-xlsx|Steps.ReachedFromStepCount|policy-05",
    "FieldDisagreement": "effortless-xlsx|Steps.ReachedFromStepCount",
    "RecordId": "policy-05",
    "ExpectedValue": "4",
    "ActualValue": "\"#VALUE!\"",
    "Reason": "wrong/null value",
    "SemanticTypeIri": "urn:effortless:pko-extension#CellDisagreement",
    "Name": "effortless-xlsx|Steps.ReachedFromStepCount @ policy-05",
    "Substrate": "effortless-xlsx",
    "RulebookField": "Steps.ReachedFromStepCount"
   },
   {
    "CellDisagreementId": "effortless-xlsx|Steps.ReachedFromStepCount|policy-06",
    "FieldDisagreement": "effortless-xlsx|Steps.ReachedFromStepCount",
    "RecordId": "policy-06",
    "ExpectedValue": "7",
    "ActualValue": "\"#VALUE!\"",
    "Reason": "wrong/null value",
    "SemanticTypeIri": "urn:effortless:pko-extension#CellDisagreement",
    "Name": "effortless-xlsx|Steps.ReachedFromStepCount @ policy-06",
    "Substrate": "effortless-xlsx",
    "RulebookField": "Steps.ReachedFromStepCount"
   },
   {
    "CellDisagreementId": "effortless-xlsx|Steps.ReachedFromStepCount|policy-07",
    "FieldDisagreement": "effortless-xlsx|Steps.ReachedFromStepCount",
    "RecordId": "policy-07",
    "ExpectedValue": "7",
    "ActualValue": "\"#VALUE!\"",
    "Reason": "wrong/null value",
    "SemanticTypeIri": "urn:effortless:pko-extension#CellDisagreement",
    "Name": "effortless-xlsx|Steps.ReachedFromStepCount @ policy-07",
    "Substrate": "effortless-xlsx",
    "RulebookField": "Steps.ReachedFromStepCount"
   },
   {
    "CellDisagreementId": "effortless-xlsx|Steps.ReachedFromStepCount|policy-08",
    "FieldDisagreement": "effortless-xlsx|Steps.ReachedFromStepCount",
    "RecordId": "policy-08",
    "ExpectedValue": "7",
    "ActualValue": "\"#VALUE!\"",
    "Reason": "wrong/null value",
    "SemanticTypeIri": "urn:effortless:pko-extension#CellDisagreement",
    "Name": "effortless-xlsx|Steps.ReachedFromStepCount @ policy-08",
    "Substrate": "effortless-xlsx",
    "RulebookField": "Steps.ReachedFromStepCount"
   },
   {
    "CellDisagreementId": "effortless-xlsx|Steps.ReachedFromStepCount|policy-09",
    "FieldDisagreement": "effortless-xlsx|Steps.ReachedFromStepCount",
    "RecordId": "policy-09",
    "ExpectedValue": "8",
    "ActualValue": "\"#VALUE!\"",
    "Reason": "wrong/null value",
    "SemanticTypeIri": "urn:effortless:pko-extension#CellDisagreement",
    "Name": "effortless-xlsx|Steps.ReachedFromStepCount @ policy-09",
    "Substrate": "effortless-xlsx",
    "RulebookField": "Steps.ReachedFromStepCount"
   },
   {
    "CellDisagreementId": "effortless-xlsx|Steps.SelfReachCount|close-01",
    "FieldDisagreement": "effortless-xlsx|Steps.SelfReachCount",
    "RecordId": "close-01",
    "ExpectedValue": "0",
    "ActualValue": "\"#VALUE!\"",
    "Reason": "wrong/null value",
    "SemanticTypeIri": "urn:effortless:pko-extension#CellDisagreement",
    "Name": "effortless-xlsx|Steps.SelfReachCount @ close-01",
    "Substrate": "effortless-xlsx",
    "RulebookField": "Steps.SelfReachCount"
   },
   {
    "CellDisagreementId": "effortless-xlsx|Steps.SelfReachCount|close-02",
    "FieldDisagreement": "effortless-xlsx|Steps.SelfReachCount",
    "RecordId": "close-02",
    "ExpectedValue": "0",
    "ActualValue": "\"#VALUE!\"",
    "Reason": "wrong/null value",
    "SemanticTypeIri": "urn:effortless:pko-extension#CellDisagreement",
    "Name": "effortless-xlsx|Steps.SelfReachCount @ close-02",
    "Substrate": "effortless-xlsx",
    "RulebookField": "Steps.SelfReachCount"
   },
   {
    "CellDisagreementId": "effortless-xlsx|Steps.SelfReachCount|close-03",
    "FieldDisagreement": "effortless-xlsx|Steps.SelfReachCount",
    "RecordId": "close-03",
    "ExpectedValue": "1",
    "ActualValue": "\"#VALUE!\"",
    "Reason": "wrong/null value",
    "SemanticTypeIri": "urn:effortless:pko-extension#CellDisagreement",
    "Name": "effortless-xlsx|Steps.SelfReachCount @ close-03",
    "Substrate": "effortless-xlsx",
    "RulebookField": "Steps.SelfReachCount"
   },
   {
    "CellDisagreementId": "effortless-xlsx|Steps.SelfReachCount|close-04",
    "FieldDisagreement": "effortless-xlsx|Steps.SelfReachCount",
    "RecordId": "close-04",
    "ExpectedValue": "1",
    "ActualValue": "\"#VALUE!\"",
    "Reason": "wrong/null value",
    "SemanticTypeIri": "urn:effortless:pko-extension#CellDisagreement",
    "Name": "effortless-xlsx|Steps.SelfReachCount @ close-04",
    "Substrate": "effortless-xlsx",
    "RulebookField": "Steps.SelfReachCount"
   },
   {
    "CellDisagreementId": "effortless-xlsx|Steps.SelfReachCount|close-05",
    "FieldDisagreement": "effortless-xlsx|Steps.SelfReachCount",
    "RecordId": "close-05",
    "ExpectedValue": "1",
    "ActualValue": "\"#VALUE!\"",
    "Reason": "wrong/null value",
    "SemanticTypeIri": "urn:effortless:pko-extension#CellDisagreement",
    "Name": "effortless-xlsx|Steps.SelfReachCount @ close-05",
    "Substrate": "effortless-xlsx",
    "RulebookField": "Steps.SelfReachCount"
   },
   {
    "CellDisagreementId": "effortless-xlsx|Steps.SelfReachCount|close-06",
    "FieldDisagreement": "effortless-xlsx|Steps.SelfReachCount",
    "RecordId": "close-06",
    "ExpectedValue": "1",
    "ActualValue": "\"#VALUE!\"",
    "Reason": "wrong/null value",
    "SemanticTypeIri": "urn:effortless:pko-extension#CellDisagreement",
    "Name": "effortless-xlsx|Steps.SelfReachCount @ close-06",
    "Substrate": "effortless-xlsx",
    "RulebookField": "Steps.SelfReachCount"
   },
   {
    "CellDisagreementId": "effortless-xlsx|Steps.SelfReachCount|close-07",
    "FieldDisagreement": "effortless-xlsx|Steps.SelfReachCount",
    "RecordId": "close-07",
    "ExpectedValue": "0",
    "ActualValue": "\"#VALUE!\"",
    "Reason": "wrong/null value",
    "SemanticTypeIri": "urn:effortless:pko-extension#CellDisagreement",
    "Name": "effortless-xlsx|Steps.SelfReachCount @ close-07",
    "Substrate": "effortless-xlsx",
    "RulebookField": "Steps.SelfReachCount"
   },
   {
    "CellDisagreementId": "effortless-xlsx|Steps.SelfReachCount|close-08",
    "FieldDisagreement": "effortless-xlsx|Steps.SelfReachCount",
    "RecordId": "close-08",
    "ExpectedValue": "0",
    "ActualValue": "\"#VALUE!\"",
    "Reason": "wrong/null value",
    "SemanticTypeIri": "urn:effortless:pko-extension#CellDisagreement",
    "Name": "effortless-xlsx|Steps.SelfReachCount @ close-08",
    "Substrate": "effortless-xlsx",
    "RulebookField": "Steps.SelfReachCount"
   },
   {
    "CellDisagreementId": "effortless-xlsx|Steps.SelfReachCount|policy-01",
    "FieldDisagreement": "effortless-xlsx|Steps.SelfReachCount",
    "RecordId": "policy-01",
    "ExpectedValue": "0",
    "ActualValue": "\"#VALUE!\"",
    "Reason": "wrong/null value",
    "SemanticTypeIri": "urn:effortless:pko-extension#CellDisagreement",
    "Name": "effortless-xlsx|Steps.SelfReachCount @ policy-01",
    "Substrate": "effortless-xlsx",
    "RulebookField": "Steps.SelfReachCount"
   },
   {
    "CellDisagreementId": "effortless-xlsx|Steps.SelfReachCount|policy-02",
    "FieldDisagreement": "effortless-xlsx|Steps.SelfReachCount",
    "RecordId": "policy-02",
    "ExpectedValue": "0",
    "ActualValue": "\"#VALUE!\"",
    "Reason": "wrong/null value",
    "SemanticTypeIri": "urn:effortless:pko-extension#CellDisagreement",
    "Name": "effortless-xlsx|Steps.SelfReachCount @ policy-02",
    "Substrate": "effortless-xlsx",
    "RulebookField": "Steps.SelfReachCount"
   },
   {
    "CellDisagreementId": "effortless-xlsx|Steps.SelfReachCount|policy-03",
    "FieldDisagreement": "effortless-xlsx|Steps.SelfReachCount",
    "RecordId": "policy-03",
    "ExpectedValue": "1",
    "ActualValue": "\"#VALUE!\"",
    "Reason": "wrong/null value",
    "SemanticTypeIri": "urn:effortless:pko-extension#CellDisagreement",
    "Name": "effortless-xlsx|Steps.SelfReachCount @ policy-03",
    "Substrate": "effortless-xlsx",
    "RulebookField": "Steps.SelfReachCount"
   },
   {
    "CellDisagreementId": "effortless-xlsx|Steps.SelfReachCount|policy-04",
    "FieldDisagreement": "effortless-xlsx|Steps.SelfReachCount",
    "RecordId": "policy-04",
    "ExpectedValue": "1",
    "ActualValue": "\"#VALUE!\"",
    "Reason": "wrong/null value",
    "SemanticTypeIri": "urn:effortless:pko-extension#CellDisagreement",
    "Name": "effortless-xlsx|Steps.SelfReachCount @ policy-04",
    "Substrate": "effortless-xlsx",
    "RulebookField": "Steps.SelfReachCount"
   },
   {
    "CellDisagreementId": "effortless-xlsx|Steps.SelfReachCount|policy-05",
    "FieldDisagreement": "effortless-xlsx|Steps.SelfReachCount",
    "RecordId": "policy-05",
    "ExpectedValue": "0",
    "ActualValue": "\"#VALUE!\"",
    "Reason": "wrong/null value",
    "SemanticTypeIri": "urn:effortless:pko-extension#CellDisagreement",
    "Name": "effortless-xlsx|Steps.SelfReachCount @ policy-05",
    "Substrate": "effortless-xlsx",
    "RulebookField": "Steps.SelfReachCount"
   },
   {
    "CellDisagreementId": "effortless-xlsx|Steps.SelfReachCount|policy-06",
    "FieldDisagreement": "effortless-xlsx|Steps.SelfReachCount",
    "RecordId": "policy-06",
    "ExpectedValue": "1",
    "ActualValue": "\"#VALUE!\"",
    "Reason": "wrong/null value",
    "SemanticTypeIri": "urn:effortless:pko-extension#CellDisagreement",
    "Name": "effortless-xlsx|Steps.SelfReachCount @ policy-06",
    "Substrate": "effortless-xlsx",
    "RulebookField": "Steps.SelfReachCount"
   },
   {
    "CellDisagreementId": "effortless-xlsx|Steps.SelfReachCount|policy-07",
    "FieldDisagreement": "effortless-xlsx|Steps.SelfReachCount",
    "RecordId": "policy-07",
    "ExpectedValue": "1",
    "ActualValue": "\"#VALUE!\"",
    "Reason": "wrong/null value",
    "SemanticTypeIri": "urn:effortless:pko-extension#CellDisagreement",
    "Name": "effortless-xlsx|Steps.SelfReachCount @ policy-07",
    "Substrate": "effortless-xlsx",
    "RulebookField": "Steps.SelfReachCount"
   },
   {
    "CellDisagreementId": "effortless-xlsx|Steps.SelfReachCount|policy-08",
    "FieldDisagreement": "effortless-xlsx|Steps.SelfReachCount",
    "RecordId": "policy-08",
    "ExpectedValue": "0",
    "ActualValue": "\"#VALUE!\"",
    "Reason": "wrong/null value",
    "SemanticTypeIri": "urn:effortless:pko-extension#CellDisagreement",
    "Name": "effortless-xlsx|Steps.SelfReachCount @ policy-08",
    "Substrate": "effortless-xlsx",
    "RulebookField": "Steps.SelfReachCount"
   },
   {
    "CellDisagreementId": "effortless-xlsx|Steps.SelfReachCount|policy-09",
    "FieldDisagreement": "effortless-xlsx|Steps.SelfReachCount",
    "RecordId": "policy-09",
    "ExpectedValue": "0",
    "ActualValue": "\"#VALUE!\"",
    "Reason": "wrong/null value",
    "SemanticTypeIri": "urn:effortless:pko-extension#CellDisagreement",
    "Name": "effortless-xlsx|Steps.SelfReachCount @ policy-09",
    "Substrate": "effortless-xlsx",
    "RulebookField": "Steps.SelfReachCount"
   },
   {
    "CellDisagreementId": "effortless-xlsx|Steps.IsOnReworkLoop|close-01",
    "FieldDisagreement": "effortless-xlsx|Steps.IsOnReworkLoop",
    "RecordId": "close-01",
    "ExpectedValue": "false",
    "ActualValue": "\"#VALUE!\"",
    "Reason": "wrong/null value",
    "SemanticTypeIri": "urn:effortless:pko-extension#CellDisagreement",
    "Name": "effortless-xlsx|Steps.IsOnReworkLoop @ close-01",
    "Substrate": "effortless-xlsx",
    "RulebookField": "Steps.IsOnReworkLoop"
   },
   {
    "CellDisagreementId": "effortless-xlsx|Steps.IsOnReworkLoop|close-02",
    "FieldDisagreement": "effortless-xlsx|Steps.IsOnReworkLoop",
    "RecordId": "close-02",
    "ExpectedValue": "false",
    "ActualValue": "\"#VALUE!\"",
    "Reason": "wrong/null value",
    "SemanticTypeIri": "urn:effortless:pko-extension#CellDisagreement",
    "Name": "effortless-xlsx|Steps.IsOnReworkLoop @ close-02",
    "Substrate": "effortless-xlsx",
    "RulebookField": "Steps.IsOnReworkLoop"
   },
   {
    "CellDisagreementId": "effortless-xlsx|Steps.IsOnReworkLoop|close-03",
    "FieldDisagreement": "effortless-xlsx|Steps.IsOnReworkLoop",
    "RecordId": "close-03",
    "ExpectedValue": "true",
    "ActualValue": "\"#VALUE!\"",
    "Reason": "wrong/null value",
    "SemanticTypeIri": "urn:effortless:pko-extension#CellDisagreement",
    "Name": "effortless-xlsx|Steps.IsOnReworkLoop @ close-03",
    "Substrate": "effortless-xlsx",
    "RulebookField": "Steps.IsOnReworkLoop"
   },
   {
    "CellDisagreementId": "effortless-xlsx|Steps.IsOnReworkLoop|close-04",
    "FieldDisagreement": "effortless-xlsx|Steps.IsOnReworkLoop",
    "RecordId": "close-04",
    "ExpectedValue": "true",
    "ActualValue": "\"#VALUE!\"",
    "Reason": "wrong/null value",
    "SemanticTypeIri": "urn:effortless:pko-extension#CellDisagreement",
    "Name": "effortless-xlsx|Steps.IsOnReworkLoop @ close-04",
    "Substrate": "effortless-xlsx",
    "RulebookField": "Steps.IsOnReworkLoop"
   },
   {
    "CellDisagreementId": "effortless-xlsx|Steps.IsOnReworkLoop|close-05",
    "FieldDisagreement": "effortless-xlsx|Steps.IsOnReworkLoop",
    "RecordId": "close-05",
    "ExpectedValue": "true",
    "ActualValue": "\"#VALUE!\"",
    "Reason": "wrong/null value",
    "SemanticTypeIri": "urn:effortless:pko-extension#CellDisagreement",
    "Name": "effortless-xlsx|Steps.IsOnReworkLoop @ close-05",
    "Substrate": "effortless-xlsx",
    "RulebookField": "Steps.IsOnReworkLoop"
   },
   {
    "CellDisagreementId": "effortless-xlsx|Steps.IsOnReworkLoop|close-06",
    "FieldDisagreement": "effortless-xlsx|Steps.IsOnReworkLoop",
    "RecordId": "close-06",
    "ExpectedValue": "true",
    "ActualValue": "\"#VALUE!\"",
    "Reason": "wrong/null value",
    "SemanticTypeIri": "urn:effortless:pko-extension#CellDisagreement",
    "Name": "effortless-xlsx|Steps.IsOnReworkLoop @ close-06",
    "Substrate": "effortless-xlsx",
    "RulebookField": "Steps.IsOnReworkLoop"
   },
   {
    "CellDisagreementId": "effortless-xlsx|Steps.IsOnReworkLoop|close-07",
    "FieldDisagreement": "effortless-xlsx|Steps.IsOnReworkLoop",
    "RecordId": "close-07",
    "ExpectedValue": "false",
    "ActualValue": "\"#VALUE!\"",
    "Reason": "wrong/null value",
    "SemanticTypeIri": "urn:effortless:pko-extension#CellDisagreement",
    "Name": "effortless-xlsx|Steps.IsOnReworkLoop @ close-07",
    "Substrate": "effortless-xlsx",
    "RulebookField": "Steps.IsOnReworkLoop"
   },
   {
    "CellDisagreementId": "effortless-xlsx|Steps.IsOnReworkLoop|close-08",
    "FieldDisagreement": "effortless-xlsx|Steps.IsOnReworkLoop",
    "RecordId": "close-08",
    "ExpectedValue": "false",
    "ActualValue": "\"#VALUE!\"",
    "Reason": "wrong/null value",
    "SemanticTypeIri": "urn:effortless:pko-extension#CellDisagreement",
    "Name": "effortless-xlsx|Steps.IsOnReworkLoop @ close-08",
    "Substrate": "effortless-xlsx",
    "RulebookField": "Steps.IsOnReworkLoop"
   },
   {
    "CellDisagreementId": "effortless-xlsx|Steps.IsOnReworkLoop|policy-01",
    "FieldDisagreement": "effortless-xlsx|Steps.IsOnReworkLoop",
    "RecordId": "policy-01",
    "ExpectedValue": "false",
    "ActualValue": "\"#VALUE!\"",
    "Reason": "wrong/null value",
    "SemanticTypeIri": "urn:effortless:pko-extension#CellDisagreement",
    "Name": "effortless-xlsx|Steps.IsOnReworkLoop @ policy-01",
    "Substrate": "effortless-xlsx",
    "RulebookField": "Steps.IsOnReworkLoop"
   },
   {
    "CellDisagreementId": "effortless-xlsx|Steps.IsOnReworkLoop|policy-02",
    "FieldDisagreement": "effortless-xlsx|Steps.IsOnReworkLoop",
    "RecordId": "policy-02",
    "ExpectedValue": "false",
    "ActualValue": "\"#VALUE!\"",
    "Reason": "wrong/null value",
    "SemanticTypeIri": "urn:effortless:pko-extension#CellDisagreement",
    "Name": "effortless-xlsx|Steps.IsOnReworkLoop @ policy-02",
    "Substrate": "effortless-xlsx",
    "RulebookField": "Steps.IsOnReworkLoop"
   },
   {
    "CellDisagreementId": "effortless-xlsx|Steps.IsOnReworkLoop|policy-03",
    "FieldDisagreement": "effortless-xlsx|Steps.IsOnReworkLoop",
    "RecordId": "policy-03",
    "ExpectedValue": "true",
    "ActualValue": "\"#VALUE!\"",
    "Reason": "wrong/null value",
    "SemanticTypeIri": "urn:effortless:pko-extension#CellDisagreement",
    "Name": "effortless-xlsx|Steps.IsOnReworkLoop @ policy-03",
    "Substrate": "effortless-xlsx",
    "RulebookField": "Steps.IsOnReworkLoop"
   },
   {
    "CellDisagreementId": "effortless-xlsx|Steps.IsOnReworkLoop|policy-04",
    "FieldDisagreement": "effortless-xlsx|Steps.IsOnReworkLoop",
    "RecordId": "policy-04",
    "ExpectedValue": "true",
    "ActualValue": "\"#VALUE!\"",
    "Reason": "wrong/null value",
    "SemanticTypeIri": "urn:effortless:pko-extension#CellDisagreement",
    "Name": "effortless-xlsx|Steps.IsOnReworkLoop @ policy-04",
    "Substrate": "effortless-xlsx",
    "RulebookField": "Steps.IsOnReworkLoop"
   },
   {
    "CellDisagreementId": "effortless-xlsx|Steps.IsOnReworkLoop|policy-05",
    "FieldDisagreement": "effortless-xlsx|Steps.IsOnReworkLoop",
    "RecordId": "policy-05",
    "ExpectedValue": "false",
    "ActualValue": "\"#VALUE!\"",
    "Reason": "wrong/null value",
    "SemanticTypeIri": "urn:effortless:pko-extension#CellDisagreement",
    "Name": "effortless-xlsx|Steps.IsOnReworkLoop @ policy-05",
    "Substrate": "effortless-xlsx",
    "RulebookField": "Steps.IsOnReworkLoop"
   },
   {
    "CellDisagreementId": "effortless-xlsx|Steps.IsOnReworkLoop|policy-06",
    "FieldDisagreement": "effortless-xlsx|Steps.IsOnReworkLoop",
    "RecordId": "policy-06",
    "ExpectedValue": "true",
    "ActualValue": "\"#VALUE!\"",
    "Reason": "wrong/null value",
    "SemanticTypeIri": "urn:effortless:pko-extension#CellDisagreement",
    "Name": "effortless-xlsx|Steps.IsOnReworkLoop @ policy-06",
    "Substrate": "effortless-xlsx",
    "RulebookField": "Steps.IsOnReworkLoop"
   },
   {
    "CellDisagreementId": "effortless-xlsx|Steps.IsOnReworkLoop|policy-07",
    "FieldDisagreement": "effortless-xlsx|Steps.IsOnReworkLoop",
    "RecordId": "policy-07",
    "ExpectedValue": "true",
    "ActualValue": "\"#VALUE!\"",
    "Reason": "wrong/null value",
    "SemanticTypeIri": "urn:effortless:pko-extension#CellDisagreement",
    "Name": "effortless-xlsx|Steps.IsOnReworkLoop @ policy-07",
    "Substrate": "effortless-xlsx",
    "RulebookField": "Steps.IsOnReworkLoop"
   },
   {
    "CellDisagreementId": "effortless-xlsx|Steps.IsOnReworkLoop|policy-08",
    "FieldDisagreement": "effortless-xlsx|Steps.IsOnReworkLoop",
    "RecordId": "policy-08",
    "ExpectedValue": "false",
    "ActualValue": "\"#VALUE!\"",
    "Reason": "wrong/null value",
    "SemanticTypeIri": "urn:effortless:pko-extension#CellDisagreement",
    "Name": "effortless-xlsx|Steps.IsOnReworkLoop @ policy-08",
    "Substrate": "effortless-xlsx",
    "RulebookField": "Steps.IsOnReworkLoop"
   },
   {
    "CellDisagreementId": "effortless-xlsx|Steps.IsOnReworkLoop|policy-09",
    "FieldDisagreement": "effortless-xlsx|Steps.IsOnReworkLoop",
    "RecordId": "policy-09",
    "ExpectedValue": "false",
    "ActualValue": "\"#VALUE!\"",
    "Reason": "wrong/null value",
    "SemanticTypeIri": "urn:effortless:pko-extension#CellDisagreement",
    "Name": "effortless-xlsx|Steps.IsOnReworkLoop @ policy-09",
    "Substrate": "effortless-xlsx",
    "RulebookField": "Steps.IsOnReworkLoop"
   },
   {
    "CellDisagreementId": "effortless-xlsx|Steps.IsBlockingControlOnReworkLoop|close-01",
    "FieldDisagreement": "effortless-xlsx|Steps.IsBlockingControlOnReworkLoop",
    "RecordId": "close-01",
    "ExpectedValue": "false",
    "ActualValue": "\"#VALUE!\"",
    "Reason": "wrong/null value",
    "SemanticTypeIri": "urn:effortless:pko-extension#CellDisagreement",
    "Name": "effortless-xlsx|Steps.IsBlockingControlOnReworkLoop @ close-01",
    "Substrate": "effortless-xlsx",
    "RulebookField": "Steps.IsBlockingControlOnReworkLoop"
   },
   {
    "CellDisagreementId": "effortless-xlsx|Steps.IsBlockingControlOnReworkLoop|close-02",
    "FieldDisagreement": "effortless-xlsx|Steps.IsBlockingControlOnReworkLoop",
    "RecordId": "close-02",
    "ExpectedValue": "false",
    "ActualValue": "\"#VALUE!\"",
    "Reason": "wrong/null value",
    "SemanticTypeIri": "urn:effortless:pko-extension#CellDisagreement",
    "Name": "effortless-xlsx|Steps.IsBlockingControlOnReworkLoop @ close-02",
    "Substrate": "effortless-xlsx",
    "RulebookField": "Steps.IsBlockingControlOnReworkLoop"
   },
   {
    "CellDisagreementId": "effortless-xlsx|Steps.IsBlockingControlOnReworkLoop|close-03",
    "FieldDisagreement": "effortless-xlsx|Steps.IsBlockingControlOnReworkLoop",
    "RecordId": "close-03",
    "ExpectedValue": "true",
    "ActualValue": "\"#VALUE!\"",
    "Reason": "wrong/null value",
    "SemanticTypeIri": "urn:effortless:pko-extension#CellDisagreement",
    "Name": "effortless-xlsx|Steps.IsBlockingControlOnReworkLoop @ close-03",
    "Substrate": "effortless-xlsx",
    "RulebookField": "Steps.IsBlockingControlOnReworkLoop"
   },
   {
    "CellDisagreementId": "effortless-xlsx|Steps.IsBlockingControlOnReworkLoop|close-04",
    "FieldDisagreement": "effortless-xlsx|Steps.IsBlockingControlOnReworkLoop",
    "RecordId": "close-04",
    "ExpectedValue": "false",
    "ActualValue": "\"#VALUE!\"",
    "Reason": "wrong/null value",
    "SemanticTypeIri": "urn:effortless:pko-extension#CellDisagreement",
    "Name": "effortless-xlsx|Steps.IsBlockingControlOnReworkLoop @ close-04",
    "Substrate": "effortless-xlsx",
    "RulebookField": "Steps.IsBlockingControlOnReworkLoop"
   },
   {
    "CellDisagreementId": "effortless-xlsx|Steps.IsBlockingControlOnReworkLoop|close-05",
    "FieldDisagreement": "effortless-xlsx|Steps.IsBlockingControlOnReworkLoop",
    "RecordId": "close-05",
    "ExpectedValue": "true",
    "ActualValue": "\"#VALUE!\"",
    "Reason": "wrong/null value",
    "SemanticTypeIri": "urn:effortless:pko-extension#CellDisagreement",
    "Name": "effortless-xlsx|Steps.IsBlockingControlOnReworkLoop @ close-05",
    "Substrate": "effortless-xlsx",
    "RulebookField": "Steps.IsBlockingControlOnReworkLoop"
   },
   {
    "CellDisagreementId": "effortless-xlsx|Steps.IsBlockingControlOnReworkLoop|close-06",
    "FieldDisagreement": "effortless-xlsx|Steps.IsBlockingControlOnReworkLoop",
    "RecordId": "close-06",
    "ExpectedValue": "true",
    "ActualValue": "\"#VALUE!\"",
    "Reason": "wrong/null value",
    "SemanticTypeIri": "urn:effortless:pko-extension#CellDisagreement",
    "Name": "effortless-xlsx|Steps.IsBlockingControlOnReworkLoop @ close-06",
    "Substrate": "effortless-xlsx",
    "RulebookField": "Steps.IsBlockingControlOnReworkLoop"
   },
   {
    "CellDisagreementId": "effortless-xlsx|Steps.IsBlockingControlOnReworkLoop|close-07",
    "FieldDisagreement": "effortless-xlsx|Steps.IsBlockingControlOnReworkLoop",
    "RecordId": "close-07",
    "ExpectedValue": "false",
    "ActualValue": "\"#VALUE!\"",
    "Reason": "wrong/null value",
    "SemanticTypeIri": "urn:effortless:pko-extension#CellDisagreement",
    "Name": "effortless-xlsx|Steps.IsBlockingControlOnReworkLoop @ close-07",
    "Substrate": "effortless-xlsx",
    "RulebookField": "Steps.IsBlockingControlOnReworkLoop"
   },
   {
    "CellDisagreementId": "effortless-xlsx|Steps.IsBlockingControlOnReworkLoop|close-08",
    "FieldDisagreement": "effortless-xlsx|Steps.IsBlockingControlOnReworkLoop",
    "RecordId": "close-08",
    "ExpectedValue": "false",
    "ActualValue": "\"#VALUE!\"",
    "Reason": "wrong/null value",
    "SemanticTypeIri": "urn:effortless:pko-extension#CellDisagreement",
    "Name": "effortless-xlsx|Steps.IsBlockingControlOnReworkLoop @ close-08",
    "Substrate": "effortless-xlsx",
    "RulebookField": "Steps.IsBlockingControlOnReworkLoop"
   },
   {
    "CellDisagreementId": "effortless-xlsx|Steps.IsBlockingControlOnReworkLoop|policy-01",
    "FieldDisagreement": "effortless-xlsx|Steps.IsBlockingControlOnReworkLoop",
    "RecordId": "policy-01",
    "ExpectedValue": "false",
    "ActualValue": "\"#VALUE!\"",
    "Reason": "wrong/null value",
    "SemanticTypeIri": "urn:effortless:pko-extension#CellDisagreement",
    "Name": "effortless-xlsx|Steps.IsBlockingControlOnReworkLoop @ policy-01",
    "Substrate": "effortless-xlsx",
    "RulebookField": "Steps.IsBlockingControlOnReworkLoop"
   },
   {
    "CellDisagreementId": "effortless-xlsx|Steps.IsBlockingControlOnReworkLoop|policy-02",
    "FieldDisagreement": "effortless-xlsx|Steps.IsBlockingControlOnReworkLoop",
    "RecordId": "policy-02",
    "ExpectedValue": "false",
    "ActualValue": "\"#VALUE!\"",
    "Reason": "wrong/null value",
    "SemanticTypeIri": "urn:effortless:pko-extension#CellDisagreement",
    "Name": "effortless-xlsx|Steps.IsBlockingControlOnReworkLoop @ policy-02",
    "Substrate": "effortless-xlsx",
    "RulebookField": "Steps.IsBlockingControlOnReworkLoop"
   },
   {
    "CellDisagreementId": "effortless-xlsx|Steps.IsBlockingControlOnReworkLoop|policy-03",
    "FieldDisagreement": "effortless-xlsx|Steps.IsBlockingControlOnReworkLoop",
    "RecordId": "policy-03",
    "ExpectedValue": "true",
    "ActualValue": "\"#VALUE!\"",
    "Reason": "wrong/null value",
    "SemanticTypeIri": "urn:effortless:pko-extension#CellDisagreement",
    "Name": "effortless-xlsx|Steps.IsBlockingControlOnReworkLoop @ policy-03",
    "Substrate": "effortless-xlsx",
    "RulebookField": "Steps.IsBlockingControlOnReworkLoop"
   },
   {
    "CellDisagreementId": "effortless-xlsx|Steps.IsBlockingControlOnReworkLoop|policy-04",
    "FieldDisagreement": "effortless-xlsx|Steps.IsBlockingControlOnReworkLoop",
    "RecordId": "policy-04",
    "ExpectedValue": "true",
    "ActualValue": "\"#VALUE!\"",
    "Reason": "wrong/null value",
    "SemanticTypeIri": "urn:effortless:pko-extension#CellDisagreement",
    "Name": "effortless-xlsx|Steps.IsBlockingControlOnReworkLoop @ policy-04",
    "Substrate": "effortless-xlsx",
    "RulebookField": "Steps.IsBlockingControlOnReworkLoop"
   },
   {
    "CellDisagreementId": "effortless-xlsx|Steps.IsBlockingControlOnReworkLoop|policy-05",
    "FieldDisagreement": "effortless-xlsx|Steps.IsBlockingControlOnReworkLoop",
    "RecordId": "policy-05",
    "ExpectedValue": "false",
    "ActualValue": "\"#VALUE!\"",
    "Reason": "wrong/null value",
    "SemanticTypeIri": "urn:effortless:pko-extension#CellDisagreement",
    "Name": "effortless-xlsx|Steps.IsBlockingControlOnReworkLoop @ policy-05",
    "Substrate": "effortless-xlsx",
    "RulebookField": "Steps.IsBlockingControlOnReworkLoop"
   },
   {
    "CellDisagreementId": "effortless-xlsx|Steps.IsBlockingControlOnReworkLoop|policy-06",
    "FieldDisagreement": "effortless-xlsx|Steps.IsBlockingControlOnReworkLoop",
    "RecordId": "policy-06",
    "ExpectedValue": "true",
    "ActualValue": "\"#VALUE!\"",
    "Reason": "wrong/null value",
    "SemanticTypeIri": "urn:effortless:pko-extension#CellDisagreement",
    "Name": "effortless-xlsx|Steps.IsBlockingControlOnReworkLoop @ policy-06",
    "Substrate": "effortless-xlsx",
    "RulebookField": "Steps.IsBlockingControlOnReworkLoop"
   },
   {
    "CellDisagreementId": "effortless-xlsx|Steps.IsBlockingControlOnReworkLoop|policy-07",
    "FieldDisagreement": "effortless-xlsx|Steps.IsBlockingControlOnReworkLoop",
    "RecordId": "policy-07",
    "ExpectedValue": "true",
    "ActualValue": "\"#VALUE!\"",
    "Reason": "wrong/null value",
    "SemanticTypeIri": "urn:effortless:pko-extension#CellDisagreement",
    "Name": "effortless-xlsx|Steps.IsBlockingControlOnReworkLoop @ policy-07",
    "Substrate": "effortless-xlsx",
    "RulebookField": "Steps.IsBlockingControlOnReworkLoop"
   },
   {
    "CellDisagreementId": "effortless-xlsx|Steps.IsBlockingControlOnReworkLoop|policy-08",
    "FieldDisagreement": "effortless-xlsx|Steps.IsBlockingControlOnReworkLoop",
    "RecordId": "policy-08",
    "ExpectedValue": "false",
    "ActualValue": "\"#VALUE!\"",
    "Reason": "wrong/null value",
    "SemanticTypeIri": "urn:effortless:pko-extension#CellDisagreement",
    "Name": "effortless-xlsx|Steps.IsBlockingControlOnReworkLoop @ policy-08",
    "Substrate": "effortless-xlsx",
    "RulebookField": "Steps.IsBlockingControlOnReworkLoop"
   },
   {
    "CellDisagreementId": "effortless-xlsx|Steps.IsBlockingControlOnReworkLoop|policy-09",
    "FieldDisagreement": "effortless-xlsx|Steps.IsBlockingControlOnReworkLoop",
    "RecordId": "policy-09",
    "ExpectedValue": "false",
    "ActualValue": "\"#VALUE!\"",
    "Reason": "wrong/null value",
    "SemanticTypeIri": "urn:effortless:pko-extension#CellDisagreement",
    "Name": "effortless-xlsx|Steps.IsBlockingControlOnReworkLoop @ policy-09",
    "Substrate": "effortless-xlsx",
    "RulebookField": "Steps.IsBlockingControlOnReworkLoop"
   },
   {
    "CellDisagreementId": "effortless-xlsx|Steps.Ve</t>
  </si>
  <si>
    <t xml:space="preserve">rsionEntryStepId|close-01",
    "FieldDisagreement": "effortless-xlsx|Steps.VersionEntryStepId",
    "RecordId": "close-01",
    "ExpectedValue": "\"close-01\"",
    "ActualValue": "0",
    "Reason": "wrong/null value",
    "SemanticTypeIri": "urn:effortless:pko-extension#CellDisagreement",
    "Name": "effortless-xlsx|Steps.VersionEntryStepId @ close-01",
    "Substrate": "effortless-xlsx",
    "RulebookField": "Steps.VersionEntryStepId"
   },
   {
    "CellDisagreementId": "effortless-xlsx|Steps.VersionEntryStepId|close-02",
    "FieldDisagreement": "effortless-xlsx|Steps.VersionEntryStepId",
    "RecordId": "close-02",
    "ExpectedValue": "\"close-01\"",
    "ActualValue": "0",
    "Reason": "wrong/null value",
    "SemanticTypeIri": "urn:effortless:pko-extension#CellDisagreement",
    "Name": "effortless-xlsx|Steps.VersionEntryStepId @ close-02",
    "Substrate": "effortless-xlsx",
    "RulebookField": "Steps.VersionEntryStepId"
   },
   {
    "CellDisagreementId": "effortless-xlsx|Steps.VersionEntryStepId|close-03",
    "FieldDisagreement": "effortless-xlsx|Steps.VersionEntryStepId",
    "RecordId": "close-03",
    "ExpectedValue": "\"close-01\"",
    "ActualValue": "0",
    "Reason": "wrong/null value",
    "SemanticTypeIri": "urn:effortless:pko-extension#CellDisagreement",
    "Name": "effortless-xlsx|Steps.VersionEntryStepId @ close-03",
    "Substrate": "effortless-xlsx",
    "RulebookField": "Steps.VersionEntryStepId"
   },
   {
    "CellDisagreementId": "effortless-xlsx|Steps.VersionEntryStepId|close-04",
    "FieldDisagreement": "effortless-xlsx|Steps.VersionEntryStepId",
    "RecordId": "close-04",
    "ExpectedValue": "\"close-01\"",
    "ActualValue": "0",
    "Reason": "wrong/null value",
    "SemanticTypeIri": "urn:effortless:pko-extension#CellDisagreement",
    "Name": "effortless-xlsx|Steps.VersionEntryStepId @ close-04",
    "Substrate": "effortless-xlsx",
    "RulebookField": "Steps.VersionEntryStepId"
   },
   {
    "CellDisagreementId": "effortless-xlsx|Steps.VersionEntryStepId|close-05",
    "FieldDisagreement": "effortless-xlsx|Steps.VersionEntryStepId",
    "RecordId": "close-05",
    "ExpectedValue": "\"close-01\"",
    "ActualValue": "0",
    "Reason": "wrong/null value",
    "SemanticTypeIri": "urn:effortless:pko-extension#CellDisagreement",
    "Name": "effortless-xlsx|Steps.VersionEntryStepId @ close-05",
    "Substrate": "effortless-xlsx",
    "RulebookField": "Steps.VersionEntryStepId"
   },
   {
    "CellDisagreementId": "effortless-xlsx|Steps.VersionEntryStepId|close-06",
    "FieldDisagreement": "effortless-xlsx|Steps.VersionEntryStepId",
    "RecordId": "close-06",
    "ExpectedValue": "\"close-01\"",
    "ActualValue": "0",
    "Reason": "wrong/null value",
    "SemanticTypeIri": "urn:effortless:pko-extension#CellDisagreement",
    "Name": "effortless-xlsx|Steps.VersionEntryStepId @ close-06",
    "Substrate": "effortless-xlsx",
    "RulebookField": "Steps.VersionEntryStepId"
   },
   {
    "CellDisagreementId": "effortless-xlsx|Steps.VersionEntryStepId|close-07",
    "FieldDisagreement": "effortless-xlsx|Steps.VersionEntryStepId",
    "RecordId": "close-07",
    "ExpectedValue": "\"close-01\"",
    "ActualValue": "0",
    "Reason": "wrong/null value",
    "SemanticTypeIri": "urn:effortless:pko-extension#CellDisagreement",
    "Name": "effortless-xlsx|Steps.VersionEntryStepId @ close-07",
    "Substrate": "effortless-xlsx",
    "RulebookField": "Steps.VersionEntryStepId"
   },
   {
    "CellDisagreementId": "effortless-xlsx|Steps.VersionEntryStepId|close-08",
    "FieldDisagreement": "effortless-xlsx|Steps.VersionEntryStepId",
    "RecordId": "close-08",
    "ExpectedValue": "\"close-01\"",
    "ActualValue": "0",
    "Reason": "wrong/null value",
    "SemanticTypeIri": "urn:effortless:pko-extension#CellDisagreement",
    "Name": "effortless-xlsx|Steps.VersionEntryStepId @ close-08",
    "Substrate": "effortless-xlsx",
    "RulebookField": "Steps.VersionEntryStepId"
   },
   {
    "CellDisagreementId": "effortless-xlsx|Steps.VersionEntryStepId|policy-01",
    "FieldDisagreement": "effortless-xlsx|Steps.VersionEntryStepId",
    "RecordId": "policy-01",
    "ExpectedValue": "\"policy-01\"",
    "ActualValue": "0",
    "Reason": "wrong/null value",
    "SemanticTypeIri": "urn:effortless:pko-extension#CellDisagreement",
    "Name": "effortless-xlsx|Steps.VersionEntryStepId @ policy-01",
    "Substrate": "effortless-xlsx",
    "RulebookField": "Steps.VersionEntryStepId"
   },
   {
    "CellDisagreementId": "effortless-xlsx|Steps.VersionEntryStepId|policy-02",
    "FieldDisagreement": "effortless-xlsx|Steps.VersionEntryStepId",
    "RecordId": "policy-02",
    "ExpectedValue": "\"policy-01\"",
    "ActualValue": "0",
    "Reason": "wrong/null value",
    "SemanticTypeIri": "urn:effortless:pko-extension#CellDisagreement",
    "Name": "effortless-xlsx|Steps.VersionEntryStepId @ policy-02",
    "Substrate": "effortless-xlsx",
    "RulebookField": "Steps.VersionEntryStepId"
   },
   {
    "CellDisagreementId": "effortless-xlsx|Steps.VersionEntryStepId|policy-03",
    "FieldDisagreement": "effortless-xlsx|Steps.VersionEntryStepId",
    "RecordId": "policy-03",
    "ExpectedValue": "\"policy-01\"",
    "ActualValue": "0",
    "Reason": "wrong/null value",
    "SemanticTypeIri": "urn:effortless:pko-extension#CellDisagreement",
    "Name": "effortless-xlsx|Steps.VersionEntryStepId @ policy-03",
    "Substrate": "effortless-xlsx",
    "RulebookField": "Steps.VersionEntryStepId"
   },
   {
    "CellDisagreementId": "effortless-xlsx|Steps.VersionEntryStepId|policy-04",
    "FieldDisagreement": "effortless-xlsx|Steps.VersionEntryStepId",
    "RecordId": "policy-04",
    "ExpectedValue": "\"policy-01\"",
    "ActualValue": "0",
    "Reason": "wrong/null value",
    "SemanticTypeIri": "urn:effortless:pko-extension#CellDisagreement",
    "Name": "effortless-xlsx|Steps.VersionEntryStepId @ policy-04",
    "Substrate": "effortless-xlsx",
    "RulebookField": "Steps.VersionEntryStepId"
   },
   {
    "CellDisagreementId": "effortless-xlsx|Steps.VersionEntryStepId|policy-05",
    "FieldDisagreement": "effortless-xlsx|Steps.VersionEntryStepId",
    "RecordId": "policy-05",
    "ExpectedValue": "\"policy-01\"",
    "ActualValue": "0",
    "Reason": "wrong/null value",
    "SemanticTypeIri": "urn:effortless:pko-extension#CellDisagreement",
    "Name": "effortless-xlsx|Steps.VersionEntryStepId @ policy-05",
    "Substrate": "effortless-xlsx",
    "RulebookField": "Steps.VersionEntryStepId"
   },
   {
    "CellDisagreementId": "effortless-xlsx|Steps.VersionEntryStepId|policy-06",
    "FieldDisagreement": "effortless-xlsx|Steps.VersionEntryStepId",
    "RecordId": "policy-06",
    "ExpectedValue": "\"policy-01\"",
    "ActualValue": "0",
    "Reason": "wrong/null value",
    "SemanticTypeIri": "urn:effortless:pko-extension#CellDisagreement",
    "Name": "effortless-xlsx|Steps.VersionEntryStepId @ policy-06",
    "Substrate": "effortless-xlsx",
    "RulebookField": "Steps.VersionEntryStepId"
   },
   {
    "CellDisagreementId": "effortless-xlsx|Steps.VersionEntryStepId|policy-07",
    "FieldDisagreement": "effortless-xlsx|Steps.VersionEntryStepId",
    "RecordId": "policy-07",
    "ExpectedValue": "\"policy-01\"",
    "ActualValue": "0",
    "Reason": "wrong/null value",
    "SemanticTypeIri": "urn:effortless:pko-extension#CellDisagreement",
    "Name": "effortless-xlsx|Steps.VersionEntryStepId @ policy-07",
    "Substrate": "effortless-xlsx",
    "RulebookField": "Steps.VersionEntryStepId"
   },
   {
    "CellDisagreementId": "effortless-xlsx|Steps.VersionEntryStepId|policy-08",
    "FieldDisagreement": "effortless-xlsx|Steps.VersionEntryStepId",
    "RecordId": "policy-08",
    "ExpectedValue": "\"policy-01\"",
    "ActualValue": "0",
    "Reason": "wrong/null value",
    "SemanticTypeIri": "urn:effortless:pko-extension#CellDisagreement",
    "Name": "effortless-xlsx|Steps.VersionEntryStepId @ policy-08",
    "Substrate": "effortless-xlsx",
    "RulebookField": "Steps.VersionEntryStepId"
   },
   {
    "CellDisagreementId": "effortless-xlsx|Steps.VersionEntryStepId|policy-09",
    "FieldDisagreement": "effortless-xlsx|Steps.VersionEntryStepId",
    "RecordId": "policy-09",
    "ExpectedValue": "\"policy-01\"",
    "ActualValue": "0",
    "Reason": "wrong/null value",
    "SemanticTypeIri": "urn:effortless:pko-extension#CellDisagreement",
    "Name": "effortless-xlsx|Steps.VersionEntryStepId @ policy-09",
    "Substrate": "effortless-xlsx",
    "RulebookField": "Steps.VersionEntryStepId"
   },
   {
    "CellDisagreementId": "effortless-xlsx|Steps.GateFreeReachFromEntryCount|close-01",
    "FieldDisagreement": "effortless-xlsx|Steps.GateFreeReachFromEntryCount",
    "RecordId": "close-01",
    "ExpectedValue": "0",
    "ActualValue": "\"#VALUE!\"",
    "Reason": "wrong/null value",
    "SemanticTypeIri": "urn:effortless:pko-extension#CellDisagreement",
    "Name": "effortless-xlsx|Steps.GateFreeReachFromEntryCount @ close-01",
    "Substrate": "effortless-xlsx",
    "RulebookField": "Steps.GateFreeReachFromEntryCount"
   },
   {
    "CellDisagreementId": "effortless-xlsx|Steps.GateFreeReachFromEntryCount|close-02",
    "FieldDisagreement": "effortless-xlsx|Steps.GateFreeReachFromEntryCount",
    "RecordId": "close-02",
    "ExpectedValue": "1",
    "ActualValue": "\"#VALUE!\"",
    "Reason": "wrong/null value",
    "SemanticTypeIri": "urn:effortless:pko-extension#CellDisagreement",
    "Name": "effortless-xlsx|Steps.GateFreeReachFromEntryCount @ close-02",
    "Substrate": "effortless-xlsx",
    "RulebookField": "Steps.GateFreeReachFromEntryCount"
   },
   {
    "CellDisagreementId": "effortless-xlsx|Steps.GateFreeReachFromEntryCount|close-03",
    "FieldDisagreement": "effortless-xlsx|Steps.GateFreeReachFromEntryCount",
    "RecordId": "close-03",
    "ExpectedValue": "1",
    "ActualValue": "\"#VALUE!\"",
    "Reason": "wrong/null value",
    "SemanticTypeIri": "urn:effortless:pko-extension#CellDisagreement",
    "Name": "effortless-xlsx|Steps.GateFreeReachFromEntryCount @ close-03",
    "Substrate": "effortless-xlsx",
    "RulebookField": "Steps.GateFreeReachFromEntryCount"
   },
   {
    "CellDisagreementId": "effortless-xlsx|Steps.GateFreeReachFromEntryCount|close-04",
    "FieldDisagreement": "effortless-xlsx|Steps.GateFreeReachFromEntryCount",
    "RecordId": "close-04",
    "ExpectedValue": "1",
    "ActualValue": "\"#VALUE!\"",
    "Reason": "wrong/null value",
    "SemanticTypeIri": "urn:effortless:pko-extension#CellDisagreement",
    "Name": "effortless-xlsx|Steps.GateFreeReachFromEntryCount @ close-04",
    "Substrate": "effortless-xlsx",
    "RulebookField": "Steps.GateFreeReachFromEntryCount"
   },
   {
    "CellDisagreementId": "effortless-xlsx|Steps.GateFreeReachFromEntryCount|close-05",
    "FieldDisagreement": "effortless-xlsx|Steps.GateFreeReachFromEntryCount",
    "RecordId": "close-05",
    "ExpectedValue": "1",
    "ActualValue": "\"#VALUE!\"",
    "Reason": "wrong/null value",
    "SemanticTypeIri": "urn:effortless:pko-extension#CellDisagreement",
    "Name": "effortless-xlsx|Steps.GateFreeReachFromEntryCount @ close-05",
    "Substrate": "effortless-xlsx",
    "RulebookField": "Steps.GateFreeReachFromEntryCount"
   },
   {
    "CellDisagreementId": "effortless-xlsx|Steps.GateFreeReachFromEntryCount|close-06",
    "FieldDisagreement": "effortless-xlsx|Steps.GateFreeReachFromEntryCount",
    "RecordId": "close-06",
    "ExpectedValue": "0",
    "ActualValue": "\"#VALUE!\"",
    "Reason": "wrong/null value",
    "SemanticTypeIri": "urn:effortless:pko-extension#CellDisagreement",
    "Name": "effortless-xlsx|Steps.GateFreeReachFromEntryCount @ close-06",
    "Substrate": "effortless-xlsx",
    "RulebookField": "Steps.GateFreeReachFromEntryCount"
   },
   {
    "CellDisagreementId": "effortless-xlsx|Steps.GateFreeReachFromEntryCount|close-07",
    "FieldDisagreement": "effortless-xlsx|Steps.GateFreeReachFromEntryCount",
    "RecordId": "close-07",
    "ExpectedValue": "1",
    "ActualValue": "\"#VALUE!\"",
    "Reason": "wrong/null value",
    "SemanticTypeIri": "urn:effortless:pko-extension#CellDisagreement",
    "Name": "effortless-xlsx|Steps.GateFreeReachFromEntryCount @ close-07",
    "Substrate": "effortless-xlsx",
    "RulebookField": "Steps.GateFreeReachFromEntryCount"
   },
   {
    "CellDisagreementId": "effortless-xlsx|Steps.GateFreeReachFromEntryCount|close-08",
    "FieldDisagreement": "effortless-xlsx|Steps.GateFreeReachFromEntryCount",
    "RecordId": "close-08",
    "ExpectedValue": "1",
    "ActualValue": "\"#VALUE!\"",
    "Reason": "wrong/null value",
    "SemanticTypeIri": "urn:effortless:pko-extension#CellDisagreement",
    "Name": "effortless-xlsx|Steps.GateFreeReachFromEntryCount @ close-08",
    "Substrate": "effortless-xlsx",
    "RulebookField": "Steps.GateFreeReachFromEntryCount"
   },
   {
    "CellDisagreementId": "effortless-xlsx|Steps.GateFreeReachFromEntryCount|policy-01",
    "FieldDisagreement": "effortless-xlsx|Steps.GateFreeReachFromEntryCount",
    "RecordId": "policy-01",
    "ExpectedValue": "0",
    "ActualValue": "\"#VALUE!\"",
    "Reason": "wrong/null value",
    "SemanticTypeIri": "urn:effortless:pko-extension#CellDisagreement",
    "Name": "effortless-xlsx|Steps.GateFreeReachFromEntryCount @ policy-01",
    "Substrate": "effortless-xlsx",
    "RulebookField": "Steps.GateFreeReachFromEntryCount"
   },
   {
    "CellDisagreementId": "effortless-xlsx|Steps.GateFreeReachFromEntryCount|policy-02",
    "FieldDisagreement": "effortless-xlsx|Steps.GateFreeReachFromEntryCount",
    "RecordId": "policy-02",
    "ExpectedValue": "1",
    "ActualValue": "\"#VALUE!\"",
    "Reason": "wrong/null value",
    "SemanticTypeIri": "urn:effortless:pko-extension#CellDisagreement",
    "Name": "effortless-xlsx|Steps.GateFreeReachFromEntryCount @ policy-02",
    "Substrate": "effortless-xlsx",
    "RulebookField": "Steps.GateFreeReachFromEntryCount"
   },
   {
    "CellDisagreementId": "effortless-xlsx|Steps.GateFreeReachFromEntryCount|policy-03",
    "FieldDisagreement": "effortless-xlsx|Steps.GateFreeReachFromEntryCount",
    "RecordId": "policy-03",
    "ExpectedValue": "1",
    "ActualValue": "\"#VALUE!\"",
    "Reason": "wrong/null value",
    "SemanticTypeIri": "urn:effortless:pko-extension#CellDisagreement",
    "Name": "effortless-xlsx|Steps.GateFreeReachFromEntryCount @ policy-03",
    "Substrate": "effortless-xlsx",
    "RulebookField": "Steps.GateFreeReachFromEntryCount"
   },
   {
    "CellDisagreementId": "effortless-xlsx|Steps.GateFreeReachFromEntryCount|policy-04",
    "FieldDisagreement": "effortless-xlsx|Steps.GateFreeReachFromEntryCount",
    "RecordId": "policy-04",
    "ExpectedValue": "1",
    "ActualValue": "\"#VALUE!\"",
    "Reason": "wrong/null value",
    "SemanticTypeIri": "urn:effortless:pko-extension#CellDisagreement",
    "Name": "effortless-xlsx|Steps.GateFreeReachFromEntryCount @ policy-04",
    "Substrate": "effortless-xlsx",
    "RulebookField": "Steps.GateFreeReachFromEntryCount"
   },
   {
    "CellDisagreementId": "effortless-xlsx|Steps.GateFreeReachFromEntryCount|policy-05",
    "FieldDisagreement": "effortless-xlsx|Steps.GateFreeReachFromEntryCount",
    "RecordId": "policy-05",
    "ExpectedValue": "0",
    "ActualValue": "\"#VALUE!\"",
    "Reason": "wrong/null value",
    "SemanticTypeIri": "urn:effortless:pko-extension#CellDisagreement",
    "Name": "effortless-xlsx|Steps.GateFreeReachFromEntryCount @ policy-05",
    "Substrate": "effortless-xlsx",
    "RulebookField": "Steps.GateFreeReachFromEntryCount"
   },
   {
    "CellDisagreementId": "effortless-xlsx|Steps.GateFreeReachFromEntryCount|policy-06",
    "FieldDisagreement": "effortless-xlsx|Steps.GateFreeReachFromEntryCount",
    "RecordId": "policy-06",
    "ExpectedValue": "0",
    "ActualValue": "\"#VALUE!\"",
    "Reason": "wrong/null value",
    "SemanticTypeIri": "urn:effortless:pko-extension#CellDisagreement",
    "Name": "effortless-xlsx|Steps.GateFreeReachFromEntryCount @ policy-06",
    "Substrate": "effortless-xlsx",
    "RulebookField": "Steps.GateFreeReachFromEntryCount"
   },
   {
    "CellDisagreementId": "effortless-xlsx|Steps.GateFreeReachFromEntryCount|policy-07",
    "FieldDisagreement": "effortless-xlsx|Steps.GateFreeReachFromEntryCount",
    "RecordId": "policy-07",
    "ExpectedValue": "0",
    "ActualValue": "\"#VALUE!\"",
    "Reason": "wrong/null value",
    "SemanticTypeIri": "urn:effortless:pko-extension#CellDisagreement",
    "Name": "effortless-xlsx|Steps.GateFreeReachFromEntryCount @ policy-07",
    "Substrate": "effortless-xlsx",
    "RulebookField": "Steps.GateFreeReachFromEntryCount"
   },
   {
    "CellDisagreementId": "effortless-xlsx|Steps.GateFreeReachFromEntryCount|policy-08",
    "FieldDisagreement": "effortless-xlsx|Steps.GateFreeReachFromEntryCount",
    "RecordId": "policy-08",
    "ExpectedValue": "0",
    "ActualValue": "\"#VALUE!\"",
    "Reason": "wrong/null value",
    "SemanticTypeIri": "urn:effortless:pko-extension#CellDisagreement",
    "Name": "effortless-xlsx|Steps.GateFreeReachFromEntryCount @ policy-08",
    "Substrate": "effortless-xlsx",
    "RulebookField": "Steps.GateFreeReachFromEntryCount"
   },
   {
    "CellDisagreementId": "effortless-xlsx|Steps.GateFreeReachFromEntryCount|policy-09",
    "FieldDisagreement": "effortless-xlsx|Steps.GateFreeReachFromEntryCount",
    "RecordId": "policy-09",
    "ExpectedValue": "0",
    "ActualValue": "\"#VALUE!\"",
    "Reason": "wrong/null value",
    "SemanticTypeIri": "urn:effortless:pko-extension#CellDisagreement",
    "Name": "effortless-xlsx|Steps.GateFreeReachFromEntryCount @ policy-09",
    "Substrate": "effortless-xlsx",
    "RulebookField": "Steps.GateFreeReachFromEntryCount"
   },
   {
    "CellDisagreementId": "effortless-xlsx|Steps.IsReachableFromEntryWithoutHumanGate|close-01",
    "FieldDisagreement": "effortless-xlsx|Steps.IsReachableFromEntryWithoutHumanGate",
    "RecordId": "close-01",
    "ExpectedValue": "false",
    "ActualValue": "\"#VALUE!\"",
    "Reason": "wrong/null value",
    "SemanticTypeIri": "urn:effortless:pko-extension#CellDisagreement",
    "Name": "effortless-xlsx|Steps.IsReachableFromEntryWithoutHumanGate @ close-01",
    "Substrate": "effortless-xlsx",
    "RulebookField": "Steps.IsReachableFromEntryWithoutHumanGate"
   },
   {
    "CellDisagreementId": "effortless-xlsx|Steps.IsReachableFromEntryWithoutHumanGate|close-02",
    "FieldDisagreement": "effortless-xlsx|Steps.IsReachableFromEntryWithoutHumanGate",
    "RecordId": "close-02",
    "ExpectedValue": "true",
    "ActualValue": "\"#VALUE!\"",
    "Reason": "wrong/null value",
    "SemanticTypeIri": "urn:effortless:pko-extension#CellDisagreement",
    "Name": "effortless-xlsx|Steps.IsReachableFromEntryWithoutHumanGate @ close-02",
    "Substrate": "effortless-xlsx",
    "RulebookField": "Steps.IsReachableFromEntryWithoutHumanGate"
   },
   {
    "CellDisagreementId": "effortless-xlsx|Steps.IsReachableFromEntryWithoutHumanGate|close-03",
    "FieldDisagreement": "effortless-xlsx|Steps.IsReachableFromEntryWithoutHumanGate",
    "RecordId": "close-03",
    "ExpectedValue": "true",
    "ActualValue": "\"#VALUE!\"",
    "Reason": "wrong/null value",
    "SemanticTypeIri": "urn:effortless:pko-extension#CellDisagreement",
    "Name": "effortless-xlsx|Steps.IsReachableFromEntryWithoutHumanGate @ close-03",
    "Substrate": "effortless-xlsx",
    "RulebookField": "Steps.IsReachableFromEntryWithoutHumanGate"
   },
   {
    "CellDisagreementId": "effortless-xlsx|Steps.IsReachableFromEntryWithoutHumanGate|close-04",
    "FieldDisagreement": "effortless-xlsx|Steps.IsReachableFromEntryWithoutHumanGate",
    "RecordId": "close-04",
    "ExpectedValue": "true",
    "ActualValue": "\"#VALUE!\"",
    "Reason": "wrong/null value",
    "SemanticTypeIri": "urn:effortless:pko-extension#CellDisagreement",
    "Name": "effortless-xlsx|Steps.IsReachableFromEntryWithoutHumanGate @ close-04",
    "Substrate": "effortless-xlsx",
    "RulebookField": "Steps.IsReachableFromEntryWithoutHumanGate"
   },
   {
    "CellDisagreementId": "effortless-xlsx|Steps.IsReachableFromEntryWithoutHumanGate|close-05",
    "FieldDisagreement": "effortless-xlsx|Steps.IsReachableFromEntryWithoutHumanGate",
    "RecordId": "close-05",
    "ExpectedValue": "true",
    "ActualValue": "\"#VALUE!\"",
    "Reason": "wrong/null value",
    "SemanticTypeIri": "urn:effortless:pko-extension#CellDisagreement",
    "Name": "effortless-xlsx|Steps.IsReachableFromEntryWithoutHumanGate @ close-05",
    "Substrate": "effortless-xlsx",
    "RulebookField": "Steps.IsReachableFromEntryWithoutHumanGate"
   },
   {
    "CellDisagreementId": "effortless-xlsx|Steps.IsReachableFromEntryWithoutHumanGate|close-06",
    "FieldDisagreement": "effortless-xlsx|Steps.IsReachableFromEntryWithoutHumanGate",
    "RecordId": "close-06",
    "ExpectedValue": "false",
    "ActualValue": "\"#VALUE!\"",
    "Reason": "wrong/null value",
    "SemanticTypeIri": "urn:effortless:pko-extension#CellDisagreement",
    "Name": "effortless-xlsx|Steps.IsReachableFromEntryWithoutHumanGate @ close-06",
    "Substrate": "effortless-xlsx",
    "RulebookField": "Steps.IsReachableFromEntryWithoutHumanGate"
   },
   {
    "CellDisagreementId": "effortless-xlsx|Steps.IsReachableFromEntryWithoutHumanGate|close-07",
    "FieldDisagreement": "effortless-xlsx|Steps.IsReachableFromEntryWithoutHumanGate",
    "RecordId": "close-07",
    "ExpectedValue": "true",
    "ActualValue": "\"#VALUE!\"",
    "Reason": "wrong/null value",
    "SemanticTypeIri": "urn:effortless:pko-extension#CellDisagreement",
    "Name": "effortless-xlsx|Steps.IsReachableFromEntryWithoutHumanGate @ close-07",
    "Substrate": "effortless-xlsx",
    "RulebookField": "Steps.IsReachableFromEntryWithoutHumanGate"
   },
   {
    "CellDisagreementId": "effortless-xlsx|Steps.IsReachableFromEntryWithoutHumanGate|close-08",
    "FieldDisagreement": "effortless-xlsx|Steps.IsReachableFromEntryWithoutHumanGate",
    "RecordId": "close-08",
    "ExpectedValue": "true",
    "ActualValue": "\"#VALUE!\"",
    "Reason": "wrong/null value",
    "SemanticTypeIri": "urn:effortless:pko-extension#CellDisagreement",
    "Name": "effortless-xlsx|Steps.IsReachableFromEntryWithoutHumanGate @ close-08",
    "Substrate": "effortless-xlsx",
    "RulebookField": "Steps.IsReachableFromEntryWithoutHumanGate"
   },
   {
    "CellDisagreementId": "effortless-xlsx|Steps.IsReachableFromEntryWithoutHumanGate|policy-01",
    "FieldDisagreement": "effortless-xlsx|Steps.IsReachableFromEntryWithoutHumanGate",
    "RecordId": "policy-01",
    "ExpectedValue": "false",
    "ActualValue": "\"#VALUE!\"",
    "Reason": "wrong/null value",
    "SemanticTypeIri": "urn:effortless:pko-extension#CellDisagreement",
    "Name": "effortless-xlsx|Steps.IsReachableFromEntryWithoutHumanGate @ policy-01",
    "Substrate": "effortless-xlsx",
    "RulebookField": "Steps.IsReachableFromEntryWithoutHumanGate"
   },
   {
    "CellDisagreementId": "effortless-xlsx|Steps.IsReachableFromEntryWithoutHumanGate|policy-02",
    "FieldDisagreement": "effortless-xlsx|Steps.IsReachableFromEntryWithoutHumanGate",
    "RecordId": "policy-02",
    "ExpectedValue": "true",
    "ActualValue": "\"#VALUE!\"",
    "Reason": "wrong/null value",
    "SemanticTypeIri": "urn:effortless:pko-extension#CellDisagreement",
    "Name": "effortless-xlsx|Steps.IsReachableFromEntryWithoutHumanGate @ policy-02",
    "Substrate": "effortless-xlsx",
    "RulebookField": "Steps.IsReachableFromEntryWithoutHumanGate"
   },
   {
    "CellDisagreementId": "effortless-xlsx|Steps.IsReachableFromEntryWithoutHumanGate|policy-03",
    "FieldDisagreement": "effortless-xlsx|Steps.IsReachableFromEntryWithoutHumanGate",
    "RecordId": "policy-03",
    "ExpectedValue": "true",
    "ActualValue": "\"#VALUE!\"",
    "Reason": "wrong/null value",
    "SemanticTypeIri": "urn:effortless:pko-extension#CellDisagreement",
    "Name": "effortless-xlsx|Steps.IsReachableFromEntryWithoutHumanGate @ policy-03",
    "Substrate": "effortless-xlsx",
    "RulebookField": "Steps.IsReachableFromEntryWithoutHumanGate"
   },
   {
    "CellDisagreementId": "effortless-xlsx|Steps.IsReachableFromEntryWithoutHumanGate|policy-04",
    "FieldDisagreement": "effortless-xlsx|Steps.IsReachableFromEntryWithoutHumanGate",
    "RecordId": "policy-04",
    "ExpectedValue": "true",
    "ActualValue": "\"#VALUE!\"",
    "Reason": "wrong/null value",
    "SemanticTypeIri": "urn:effortless:pko-extension#CellDisagreement",
    "Name": "effortless-xlsx|Steps.IsReachableFromEntryWithoutHumanGate @ policy-04",
    "Substrate": "effortless-xlsx",
    "RulebookField": "Steps.IsReachableFromEntryWithoutHumanGate"
   },
   {
    "CellDisagreementId": "effortless-xlsx|Steps.IsReachableFromEntryWithoutHumanGate|policy-05",
    "FieldDisagreement": "effortless-xlsx|Steps.IsReachableFromEntryWithoutHumanGate",
    "RecordId": "policy-05",
    "ExpectedValue": "false",
    "ActualValue": "\"#VALUE!\"",
    "Reason": "wrong/null value",
    "SemanticTypeIri": "urn:effortless:pko-extension#CellDisagreement",
    "Name": "effortless-xlsx|Steps.IsReachableFromEntryWithoutHumanGate @ policy-05",
    "Substrate": "effortless-xlsx",
    "RulebookField": "Steps.IsReachableFromEntryWithoutHumanGate"
   },
   {
    "CellDisagreementId": "effortless-xlsx|Steps.IsReachableFromEntryWithoutHumanGate|policy-06",
    "FieldDisagreement": "effortless-xlsx|Steps.IsReachableFromEntryWithoutHumanGate",
    "RecordId": "policy-06",
    "ExpectedValue": "false",
    "ActualValue": "\"#VALUE!\"",
    "Reason": "wrong/null value",
    "SemanticTypeIri": "urn:effortless:pko-extension#CellDisagreement",
    "Name": "effortless-xlsx|Steps.IsReachableFromEntryWithoutHumanGate @ policy-06",
    "Substrate": "effortless-xlsx",
    "RulebookField": "Steps.IsReachableFromEntryWithoutHumanGate"
   },
   {
    "CellDisagreementId": "effortless-xlsx|Steps.IsReachableFromEntryWithoutHumanGate|policy-07",
    "FieldDisagreement": "effortless-xlsx|Steps.IsReachableFromEntryWithoutHumanGate",
    "RecordId": "policy-07",
    "ExpectedValue": "false",
    "ActualValue": "\"#VALUE!\"",
    "Reason": "wrong/null value",
    "SemanticTypeIri": "urn:effortless:pko-extension#CellDisagreement",
    "Name": "effortless-xlsx|Steps.IsReachableFromEntryWithoutHumanGate @ policy-07",
    "Substrate": "effortless-xlsx",
    "RulebookField": "Steps.IsReachableFromEntryWithoutHumanGate"
   },
   {
    "CellDisagreementId": "effortless-xlsx|Steps.IsReachableFromEntryWithoutHumanGate|policy-08",
    "FieldDisagreement": "effortless-xlsx|Steps.IsReachableFromEntryWithoutHumanGate",
    "RecordId": "policy-08",
    "ExpectedValue": "false",
    "ActualValue": "\"#VALUE!\"",
    "Reason": "wrong/null value",
    "SemanticTypeIri": "urn:effortless:pko-extension#CellDisagreement",
    "Name": "effortless-xlsx|Steps.IsReachableFromEntryWithoutHumanGate @ policy-08",
    "Substrate": "effortless-xlsx",
    "RulebookField": "Steps.IsReachableFromEntryWithoutHumanGate"
   },
   {
    "CellDisagreementId": "effortless-xlsx|Steps.IsReachableFromEntryWithoutHumanGate|policy-09",
    "FieldDisagreement": "effortless-xlsx|Steps.IsReachableFromEntryWithoutHumanGate",
    "RecordId": "policy-09",
    "ExpectedValue": "false",
    "ActualValue": "\"#VALUE!\"",
    "Reason": "wrong/null value",
    "SemanticTypeIri": "urn:effortless:pko-extension#CellDisagreement",
    "Name": "effortless-xlsx|Steps.IsReachableFromEntryWithoutHumanGate @ policy-09",
    "Substrate": "effortless-xlsx",
    "RulebookField": "Steps.IsReachableFromEntryWithoutHumanGate"
   },
   {
    "CellDisagreementId": "effortless-xlsx|Steps.IsGateBypassedPublication|close-01",
    "FieldDisagreement": "effortless-xlsx|Steps.IsGateBypassedPublication",
    "RecordId": "close-01",
    "ExpectedValue": "false",
    "ActualValue": "\"#VALUE!\"",
    "Reason": "wrong/null value",
    "SemanticTypeIri": "urn:effortless:pko-extension#CellDisagreement",
    "Name": "effortless-xlsx|Steps.IsGateBypassedPublication @ close-01",
    "Substrate": "effortless-xlsx",
    "RulebookField": "Steps.IsGateBypassedPublication"
   },
   {
    "CellDisagreementId": "effortless-xlsx|Steps.IsGateBypassedPublication|close-02",
    "FieldDisagreement": "effortless-xlsx|Steps.IsGateBypassedPublication",
    "RecordId": "close-02",
    "ExpectedValue": "false",
    "ActualValue": "\"#VALUE!\"",
    "Reason": "wrong/null value",
    "SemanticTypeIri": "urn:effortless:pko-extension#CellDisagreement",
    "Name": "effortless-xlsx|Steps.IsGateBypassedPublication @ close-02",
    "Substrate": "effortless-xlsx",
    "RulebookField": "Steps.IsGateBypassedPublication"
   },
   {
    "CellDisagreementId": "effortless-xlsx|Steps.IsGateBypassedPublication|close-03",
    "FieldDisagreement": "effortless-xlsx|Steps.IsGateBypassedPublication",
    "RecordId": "close-03",
    "ExpectedValue": "false",
    "ActualValue": "\"#VALUE!\"",
    "Reason": "wrong/null value",
    "SemanticTypeIri": "urn:effortless:pko-extension#CellDisagreement",
    "Name": "effortless-xlsx|Steps.IsGateBypassedPublication @ close-03",
    "Substrate": "effortless-xlsx",
    "RulebookField": "Steps.IsGateBypassedPublication"
   },
   {
    "CellDisagreementId": "effortless-xlsx|Steps.IsGateBypassedPublication|close-04",
    "FieldDisagreement": "effortless-xlsx|Steps.IsGateBypassedPublication",
    "RecordId": "close-04",
    "ExpectedValue": "false",
    "ActualValue": "\"#VALUE!\"",
    "Reason": "wrong/null value",
    "SemanticTypeIri": "urn:effortless:pko-extension#CellDisagreement",
    "Name": "effortless-xlsx|Steps.IsGateBypassedPublication @ close-04",
    "Substrate": "effortless-xlsx",
    "RulebookField": "Steps.IsGateBypassedPublication"
   },
   {
    "CellDisagreementId": "effortless-xlsx|Steps.IsGateBypassedPublication|close-05",
    "FieldDisagreement": "effortless-xlsx|Steps.IsGateBypassedPublication",
    "RecordId": "close-05",
    "ExpectedValue": "false",
    "ActualValue": "\"#VALUE!\"",
    "Reason": "wrong/null value",
    "SemanticTypeIri": "urn:effortless:pko-extension#CellDisagreement",
    "Name": "effortless-xlsx|Steps.IsGateBypassedPublication @ close-05",
    "Substrate": "effortless-xlsx",
    "RulebookField": "Steps.IsGateBypassedPublication"
   },
   {
    "CellDisagreementId": "effortless-xlsx|Steps.IsGateBypassedPublication|close-06",
    "FieldDisagreement": "effortless-xlsx|Steps.IsGateBypassedPublication",
    "RecordId": "close-06",
    "ExpectedValue": "false",
    "ActualValue": "\"#VALUE!\"",
    "Reason": "wrong/null value",
    "SemanticTypeIri": "urn:effortless:pko-extension#CellDisagreement",
    "Name": "effortless-xlsx|Steps.IsGateBypassedPublication @ close-06",
    "Substrate": "effortless-xlsx",
    "RulebookField": "Steps.IsGateBypassedPublication"
   },
   {
    "CellDisagreementId": "effortless-xlsx|Steps.IsGateBypassedPublication|close-07",
    "FieldDisagreement": "effortless-xlsx|Steps.IsGateBypassedPublication",
    "RecordId": "close-07",
    "ExpectedValue": "true",
    "ActualValue": "\"#VALUE!\"",
    "Reason": "wrong/null value",
    "SemanticTypeIri": "urn:effortless:pko-extension#CellDisagreement",
    "Name": "effortless-xlsx|Steps.IsGateBypassedPublication @ close-07",
    "Substrate": "effortless-xlsx",
    "RulebookField": "Steps.IsGateBypassedPublication"
   },
   {
    "CellDisagreementId": "effortless-xlsx|Steps.IsGateBypassedPublication|close-08",
    "FieldDisagreement": "effortless-xlsx|Steps.IsGateBypassedPublication",
    "RecordId": "close-08",
    "ExpectedValue": "false",
    "ActualValue": "\"#VALUE!\"",
    "Reason": "wrong/null value",
    "SemanticTypeIri": "urn:effortless:pko-extension#CellDisagreement",
    "Name": "effortless-xlsx|Steps.IsGateBypassedPublication @ close-08",
    "Substrate": "effortless-xlsx",
    "RulebookField": "Steps.IsGateBypassedPublication"
   },
   {
    "CellDisagreementId": "effortless-xlsx|Steps.IsGateBypassedPublication|policy-01",
    "FieldDisagreement": "effortless-xlsx|Steps.IsGateBypassedPublication",
    "RecordId": "policy-01",
    "ExpectedValue": "false",
    "ActualValue": "\"#VALUE!\"",
    "Reason": "wrong/null value",
    "SemanticTypeIri": "urn:effortless:pko-extension#CellDisagreement",
    "Name": "effortless-xlsx|Steps.IsGateBypassedPublication @ policy-01",
    "Substrate": "effortless-xlsx",
    "RulebookField": "Steps.IsGateBypassedPublication"
   },
   {
    "CellDisagreementId": "effortless-xlsx|Steps.IsGateBypassedPublication|policy-02",
    "FieldDisagreement": "effortless-xlsx|Steps.IsGateBypassedPublication",
    "RecordId": "policy-02",
    "ExpectedValue": "false",
    "ActualValue": "\"#VALUE!\"",
    "Reason": "wrong/null valu</t>
  </si>
  <si>
    <t xml:space="preserve">e",
    "SemanticTypeIri": "urn:effortless:pko-extension#CellDisagreement",
    "Name": "effortless-xlsx|Steps.IsGateBypassedPublication @ policy-02",
    "Substrate": "effortless-xlsx",
    "RulebookField": "Steps.IsGateBypassedPublication"
   },
   {
    "CellDisagreementId": "effortless-xlsx|Steps.IsGateBypassedPublication|policy-03",
    "FieldDisagreement": "effortless-xlsx|Steps.IsGateBypassedPublication",
    "RecordId": "policy-03",
    "ExpectedValue": "false",
    "ActualValue": "\"#VALUE!\"",
    "Reason": "wrong/null value",
    "SemanticTypeIri": "urn:effortless:pko-extension#CellDisagreement",
    "Name": "effortless-xlsx|Steps.IsGateBypassedPublication @ policy-03",
    "Substrate": "effortless-xlsx",
    "RulebookField": "Steps.IsGateBypassedPublication"
   },
   {
    "CellDisagreementId": "effortless-xlsx|Steps.IsGateBypassedPublication|policy-04",
    "FieldDisagreement": "effortless-xlsx|Steps.IsGateBypassedPublication",
    "RecordId": "policy-04",
    "ExpectedValue": "false",
    "ActualValue": "\"#VALUE!\"",
    "Reason": "wrong/null value",
    "SemanticTypeIri": "urn:effortless:pko-extension#CellDisagreement",
    "Name": "effortless-xlsx|Steps.IsGateBypassedPublication @ policy-04",
    "Substrate": "effortless-xlsx",
    "RulebookField": "Steps.IsGateBypassedPublication"
   },
   {
    "CellDisagreementId": "effortless-xlsx|Steps.IsGateBypassedPublication|policy-05",
    "FieldDisagreement": "effortless-xlsx|Steps.IsGateBypassedPublication",
    "RecordId": "policy-05",
    "ExpectedValue": "false",
    "ActualValue": "\"#VALUE!\"",
    "Reason": "wrong/null value",
    "SemanticTypeIri": "urn:effortless:pko-extension#CellDisagreement",
    "Name": "effortless-xlsx|Steps.IsGateBypassedPublication @ policy-05",
    "Substrate": "effortless-xlsx",
    "RulebookField": "Steps.IsGateBypassedPublication"
   },
   {
    "CellDisagreementId": "effortless-xlsx|Steps.IsGateBypassedPublication|policy-06",
    "FieldDisagreement": "effortless-xlsx|Steps.IsGateBypassedPublication",
    "RecordId": "policy-06",
    "ExpectedValue": "false",
    "ActualValue": "\"#VALUE!\"",
    "Reason": "wrong/null value",
    "SemanticTypeIri": "urn:effortless:pko-extension#CellDisagreement",
    "Name": "effortless-xlsx|Steps.IsGateBypassedPublication @ policy-06",
    "Substrate": "effortless-xlsx",
    "RulebookField": "Steps.IsGateBypassedPublication"
   },
   {
    "CellDisagreementId": "effortless-xlsx|Steps.IsGateBypassedPublication|policy-07",
    "FieldDisagreement": "effortless-xlsx|Steps.IsGateBypassedPublication",
    "RecordId": "policy-07",
    "ExpectedValue": "false",
    "ActualValue": "\"#VALUE!\"",
    "Reason": "wrong/null value",
    "SemanticTypeIri": "urn:effortless:pko-extension#CellDisagreement",
    "Name": "effortless-xlsx|Steps.IsGateBypassedPublication @ policy-07",
    "Substrate": "effortless-xlsx",
    "RulebookField": "Steps.IsGateBypassedPublication"
   },
   {
    "CellDisagreementId": "effortless-xlsx|Steps.IsGateBypassedPublication|policy-08",
    "FieldDisagreement": "effortless-xlsx|Steps.IsGateBypassedPublication",
    "RecordId": "policy-08",
    "ExpectedValue": "false",
    "ActualValue": "\"#VALUE!\"",
    "Reason": "wrong/null value",
    "SemanticTypeIri": "urn:effortless:pko-extension#CellDisagreement",
    "Name": "effortless-xlsx|Steps.IsGateBypassedPublication @ policy-08",
    "Substrate": "effortless-xlsx",
    "RulebookField": "Steps.IsGateBypassedPublication"
   },
   {
    "CellDisagreementId": "effortless-xlsx|Steps.IsGateBypassedPublication|policy-09",
    "FieldDisagreement": "effortless-xlsx|Steps.IsGateBypassedPublication",
    "RecordId": "policy-09",
    "ExpectedValue": "false",
    "ActualValue": "\"#VALUE!\"",
    "Reason": "wrong/null value",
    "SemanticTypeIri": "urn:effortless:pko-extension#CellDisagreement",
    "Name": "effortless-xlsx|Steps.IsGateBypassedPublication @ policy-09",
    "Substrate": "effortless-xlsx",
    "RulebookField": "Steps.IsGateBypassedPublication"
   },
   {
    "CellDisagreementId": "effortless-xlsx|FAQs.Name|faq-close-workpapers",
    "FieldDisagreement": "effortless-xlsx|FAQs.Name",
    "RecordId": "faq-close-workpapers",
    "ExpectedValue": "\"Where are close workpapers stored?\"",
    "ActualValue": "null",
    "Reason": "missing entity file",
    "SemanticTypeIri": "urn:effortless:pko-extension#CellDisagreement",
    "Name": "effortless-xlsx|FAQs.Name @ faq-close-workpapers",
    "Substrate": "effortless-xlsx",
    "RulebookField": "FAQs.Name"
   },
   {
    "CellDisagreementId": "effortless-xlsx|FAQs.Name|faq-policy-ai",
    "FieldDisagreement": "effortless-xlsx|FAQs.Name",
    "RecordId": "faq-policy-ai",
    "ExpectedValue": "\"Can the drafting AI approve a workforce policy?\"",
    "ActualValue": "null",
    "Reason": "missing entity file",
    "SemanticTypeIri": "urn:effortless:pko-extension#CellDisagreement",
    "Name": "effortless-xlsx|FAQs.Name @ faq-policy-ai",
    "Substrate": "effortless-xlsx",
    "RulebookField": "FAQs.Name"
   },
   {
    "CellDisagreementId": "effortless-xlsx|FAQs.Name|faq-policy-optout",
    "FieldDisagreement": "effortless-xlsx|FAQs.Name",
    "RecordId": "faq-policy-optout",
    "ExpectedValue": "\"What happens when an employee opts out of SMS?\"",
    "ActualValue": "null",
    "Reason": "missing entity file",
    "SemanticTypeIri": "urn:effortless:pko-extension#CellDisagreement",
    "Name": "effortless-xlsx|FAQs.Name @ faq-policy-optout",
    "Substrate": "effortless-xlsx",
    "RulebookField": "FAQs.Name"
   },
   {
    "CellDisagreementId": "effortless-xlsx|ProcedureExecutions.LatestAttestationInstant|exec-close-2026-q2",
    "FieldDisagreement": "effortless-xlsx|ProcedureExecutions.LatestAttestationInstant",
    "RecordId": "exec-close-2026-q2",
    "ExpectedValue": "null",
    "ActualValue": "\"00:00:00\"",
    "Reason": "wrong/null value",
    "SemanticTypeIri": "urn:effortless:pko-extension#CellDisagreement",
    "Name": "effortless-xlsx|ProcedureExecutions.LatestAttestationInstant @ exec-close-2026-q2",
    "Substrate": "effortless-xlsx",
    "RulebookField": "ProcedureExecutions.LatestAttestationInstant"
   },
   {
    "CellDisagreementId": "effortless-xlsx|ProcedureExecutions.LatestAttestationInstant|exec-policy-hr4821",
    "FieldDisagreement": "effortless-xlsx|ProcedureExecutions.LatestAttestationInstant",
    "RecordId": "exec-policy-hr4821",
    "ExpectedValue": "null",
    "ActualValue": "\"00:00:00\"",
    "Reason": "wrong/null value",
    "SemanticTypeIri": "urn:effortless:pko-extension#CellDisagreement",
    "Name": "effortless-xlsx|ProcedureExecutions.LatestAttestationInstant @ exec-policy-hr4821",
    "Substrate": "effortless-xlsx",
    "RulebookField": "ProcedureExecutions.LatestAttestationInstant"
   },
   {
    "CellDisagreementId": "effortless-xlsx|ProcedureExecutions.PostAttestationScoreCount|exec-close-2026-q2",
    "FieldDisagreement": "effortless-xlsx|ProcedureExecutions.PostAttestationScoreCount",
    "RecordId": "exec-close-2026-q2",
    "ExpectedValue": "0",
    "ActualValue": "6",
    "Reason": "wrong/null value",
    "SemanticTypeIri": "urn:effortless:pko-extension#CellDisagreement",
    "Name": "effortless-xlsx|ProcedureExecutions.PostAttestationScoreCount @ exec-close-2026-q2",
    "Substrate": "effortless-xlsx",
    "RulebookField": "ProcedureExecutions.PostAttestationScoreCount"
   },
   {
    "CellDisagreementId": "effortless-xlsx|ProcedureExecutions.PostAttestationScoreCount|exec-policy-hr4821",
    "FieldDisagreement": "effortless-xlsx|ProcedureExecutions.PostAttestationScoreCount",
    "RecordId": "exec-policy-hr4821",
    "ExpectedValue": "0",
    "ActualValue": "2",
    "Reason": "wrong/null value",
    "SemanticTypeIri": "urn:effortless:pko-extension#CellDisagreement",
    "Name": "effortless-xlsx|ProcedureExecutions.PostAttestationScoreCount @ exec-policy-hr4821",
    "Substrate": "effortless-xlsx",
    "RulebookField": "ProcedureExecutions.PostAttestationScoreCount"
   },
   {
    "CellDisagreementId": "effortless-xlsx|RequirementSatisfactions.WasScoredAfterAttestation|sat-close-balance",
    "FieldDisagreement": "effortless-xlsx|RequirementSatisfactions.WasScoredAfterAttestation",
    "RecordId": "sat-close-balance",
    "ExpectedValue": "false",
    "ActualValue": "true",
    "Reason": "wrong/null value",
    "SemanticTypeIri": "urn:effortless:pko-extension#CellDisagreement",
    "Name": "effortless-xlsx|RequirementSatisfactions.WasScoredAfterAttestation @ sat-close-balance",
    "Substrate": "effortless-xlsx",
    "RulebookField": "RequirementSatisfactions.WasScoredAfterAttestation"
   },
   {
    "CellDisagreementId": "effortless-xlsx|RequirementSatisfactions.WasScoredAfterAttestation|sat-close-cutoff",
    "FieldDisagreement": "effortless-xlsx|RequirementSatisfactions.WasScoredAfterAttestation",
    "RecordId": "sat-close-cutoff",
    "ExpectedValue": "false",
    "ActualValue": "true",
    "Reason": "wrong/null value",
    "SemanticTypeIri": "urn:effortless:pko-extension#CellDisagreement",
    "Name": "effortless-xlsx|RequirementSatisfactions.WasScoredAfterAttestation @ sat-close-cutoff",
    "Substrate": "effortless-xlsx",
    "RulebookField": "RequirementSatisfactions.WasScoredAfterAttestation"
   },
   {
    "CellDisagreementId": "effortless-xlsx|RequirementSatisfactions.WasScoredAfterAttestation|sat-close-evidence",
    "FieldDisagreement": "effortless-xlsx|RequirementSatisfactions.WasScoredAfterAttestation",
    "RecordId": "sat-close-evidence",
    "ExpectedValue": "false",
    "ActualValue": "true",
    "Reason": "wrong/null value",
    "SemanticTypeIri": "urn:effortless:pko-extension#CellDisagreement",
    "Name": "effortless-xlsx|RequirementSatisfactions.WasScoredAfterAttestation @ sat-close-evidence",
    "Substrate": "effortless-xlsx",
    "RulebookField": "RequirementSatisfactions.WasScoredAfterAttestation"
   },
   {
    "CellDisagreementId": "effortless-xlsx|RequirementSatisfactions.WasScoredAfterAttestation|sat-close-human",
    "FieldDisagreement": "effortless-xlsx|RequirementSatisfactions.WasScoredAfterAttestation",
    "RecordId": "sat-close-human",
    "ExpectedValue": "false",
    "ActualValue": "true",
    "Reason": "wrong/null value",
    "SemanticTypeIri": "urn:effortless:pko-extension#CellDisagreement",
    "Name": "effortless-xlsx|RequirementSatisfactions.WasScoredAfterAttestation @ sat-close-human",
    "Substrate": "effortless-xlsx",
    "RulebookField": "RequirementSatisfactions.WasScoredAfterAttestation"
   },
   {
    "CellDisagreementId": "effortless-xlsx|RequirementSatisfactions.WasScoredAfterAttestation|sat-close-separation",
    "FieldDisagreement": "effortless-xlsx|RequirementSatisfactions.WasScoredAfterAttestation",
    "RecordId": "sat-close-separation",
    "ExpectedValue": "false",
    "ActualValue": "true",
    "Reason": "wrong/null value",
    "SemanticTypeIri": "urn:effortless:pko-extension#CellDisagreement",
    "Name": "effortless-xlsx|RequirementSatisfactions.WasScoredAfterAttestation @ sat-close-separation",
    "Substrate": "effortless-xlsx",
    "RulebookField": "RequirementSatisfactions.WasScoredAfterAttestation"
   },
   {
    "CellDisagreementId": "effortless-xlsx|RequirementSatisfactions.WasScoredAfterAttestation|sat-close08-evidence",
    "FieldDisagreement": "effortless-xlsx|RequirementSatisfactions.WasScoredAfterAttestation",
    "RecordId": "sat-close08-evidence",
    "ExpectedValue": "false",
    "ActualValue": "true",
    "Reason": "wrong/null value",
    "SemanticTypeIri": "urn:effortless:pko-extension#CellDisagreement",
    "Name": "effortless-xlsx|RequirementSatisfactions.WasScoredAfterAttestation @ sat-close08-evidence",
    "Substrate": "effortless-xlsx",
    "RulebookField": "RequirementSatisfactions.WasScoredAfterAttestation"
   },
   {
    "CellDisagreementId": "effortless-xlsx|RequirementSatisfactions.WasScoredAfterAttestation|sat-policy-legal",
    "FieldDisagreement": "effortless-xlsx|RequirementSatisfactions.WasScoredAfterAttestation",
    "RecordId": "sat-policy-legal",
    "ExpectedValue": "false",
    "ActualValue": "true",
    "Reason": "wrong/null value",
    "SemanticTypeIri": "urn:effortless:pko-extension#CellDisagreement",
    "Name": "effortless-xlsx|RequirementSatisfactions.WasScoredAfterAttestation @ sat-policy-legal",
    "Substrate": "effortless-xlsx",
    "RulebookField": "RequirementSatisfactions.WasScoredAfterAttestation"
   },
   {
    "CellDisagreementId": "effortless-xlsx|RequirementSatisfactions.WasScoredAfterAttestation|sat-policy-source",
    "FieldDisagreement": "effortless-xlsx|RequirementSatisfactions.WasScoredAfterAttestation",
    "RecordId": "sat-policy-source",
    "ExpectedValue": "false",
    "ActualValue": "true",
    "Reason": "wrong/null value",
    "SemanticTypeIri": "urn:effortless:pko-extension#CellDisagreement",
    "Name": "effortless-xlsx|RequirementSatisfactions.WasScoredAfterAttestation @ sat-policy-source",
    "Substrate": "effortless-xlsx",
    "RulebookField": "RequirementSatisfactions.WasScoredAfterAttestation"
   },
   {
    "CellDisagreementId": "effortless-xlsx|RequirementSatisfactions.AttestationInstantForRun|sat-close-balance",
    "FieldDisagreement": "effortless-xlsx|RequirementSatisfactions.AttestationInstantForRun",
    "RecordId": "sat-close-balance",
    "ExpectedValue": "null",
    "ActualValue": "\"00:00:00\"",
    "Reason": "wrong/null value",
    "SemanticTypeIri": "urn:effortless:pko-extension#CellDisagreement",
    "Name": "effortless-xlsx|RequirementSatisfactions.AttestationInstantForRun @ sat-close-balance",
    "Substrate": "effortless-xlsx",
    "RulebookField": "RequirementSatisfactions.AttestationInstantForRun"
   },
   {
    "CellDisagreementId": "effortless-xlsx|RequirementSatisfactions.AttestationInstantForRun|sat-close-cutoff",
    "FieldDisagreement": "effortless-xlsx|RequirementSatisfactions.AttestationInstantForRun",
    "RecordId": "sat-close-cutoff",
    "ExpectedValue": "null",
    "ActualValue": "\"00:00:00\"",
    "Reason": "wrong/null value",
    "SemanticTypeIri": "urn:effortless:pko-extension#CellDisagreement",
    "Name": "effortless-xlsx|RequirementSatisfactions.AttestationInstantForRun @ sat-close-cutoff",
    "Substrate": "effortless-xlsx",
    "RulebookField": "RequirementSatisfactions.AttestationInstantForRun"
   },
   {
    "CellDisagreementId": "effortless-xlsx|RequirementSatisfactions.AttestationInstantForRun|sat-close-evidence",
    "FieldDisagreement": "effortless-xlsx|RequirementSatisfactions.AttestationInstantForRun",
    "RecordId": "sat-close-evidence",
    "ExpectedValue": "null",
    "ActualValue": "\"00:00:00\"",
    "Reason": "wrong/null value",
    "SemanticTypeIri": "urn:effortless:pko-extension#CellDisagreement",
    "Name": "effortless-xlsx|RequirementSatisfactions.AttestationInstantForRun @ sat-close-evidence",
    "Substrate": "effortless-xlsx",
    "RulebookField": "RequirementSatisfactions.AttestationInstantForRun"
   },
   {
    "CellDisagreementId": "effortless-xlsx|RequirementSatisfactions.AttestationInstantForRun|sat-close-human",
    "FieldDisagreement": "effortless-xlsx|RequirementSatisfactions.AttestationInstantForRun",
    "RecordId": "sat-close-human",
    "ExpectedValue": "null",
    "ActualValue": "\"00:00:00\"",
    "Reason": "wrong/null value",
    "SemanticTypeIri": "urn:effortless:pko-extension#CellDisagreement",
    "Name": "effortless-xlsx|RequirementSatisfactions.AttestationInstantForRun @ sat-close-human",
    "Substrate": "effortless-xlsx",
    "RulebookField": "RequirementSatisfactions.AttestationInstantForRun"
   },
   {
    "CellDisagreementId": "effortless-xlsx|RequirementSatisfactions.AttestationInstantForRun|sat-close-separation",
    "FieldDisagreement": "effortless-xlsx|RequirementSatisfactions.AttestationInstantForRun",
    "RecordId": "sat-close-separation",
    "ExpectedValue": "null",
    "ActualValue": "\"00:00:00\"",
    "Reason": "wrong/null value",
    "SemanticTypeIri": "urn:effortless:pko-extension#CellDisagreement",
    "Name": "effortless-xlsx|RequirementSatisfactions.AttestationInstantForRun @ sat-close-separation",
    "Substrate": "effortless-xlsx",
    "RulebookField": "RequirementSatisfactions.AttestationInstantForRun"
   },
   {
    "CellDisagreementId": "effortless-xlsx|RequirementSatisfactions.AttestationInstantForRun|sat-close08-evidence",
    "FieldDisagreement": "effortless-xlsx|RequirementSatisfactions.AttestationInstantForRun",
    "RecordId": "sat-close08-evidence",
    "ExpectedValue": "null",
    "ActualValue": "\"00:00:00\"",
    "Reason": "wrong/null value",
    "SemanticTypeIri": "urn:effortless:pko-extension#CellDisagreement",
    "Name": "effortless-xlsx|RequirementSatisfactions.AttestationInstantForRun @ sat-close08-evidence",
    "Substrate": "effortless-xlsx",
    "RulebookField": "RequirementSatisfactions.AttestationInstantForRun"
   },
   {
    "CellDisagreementId": "effortless-xlsx|RequirementSatisfactions.AttestationInstantForRun|sat-policy-legal",
    "FieldDisagreement": "effortless-xlsx|RequirementSatisfactions.AttestationInstantForRun",
    "RecordId": "sat-policy-legal",
    "ExpectedValue": "null",
    "ActualValue": "\"00:00:00\"",
    "Reason": "wrong/null value",
    "SemanticTypeIri": "urn:effortless:pko-extension#CellDisagreement",
    "Name": "effortless-xlsx|RequirementSatisfactions.AttestationInstantForRun @ sat-policy-legal",
    "Substrate": "effortless-xlsx",
    "RulebookField": "RequirementSatisfactions.AttestationInstantForRun"
   },
   {
    "CellDisagreementId": "effortless-xlsx|RequirementSatisfactions.AttestationInstantForRun|sat-policy-source",
    "FieldDisagreement": "effortless-xlsx|RequirementSatisfactions.AttestationInstantForRun",
    "RecordId": "sat-policy-source",
    "ExpectedValue": "null",
    "ActualValue": "\"00:00:00\"",
    "Reason": "wrong/null value",
    "SemanticTypeIri": "urn:effortless:pko-extension#CellDisagreement",
    "Name": "effortless-xlsx|RequirementSatisfactions.AttestationInstantForRun @ sat-policy-source",
    "Substrate": "effortless-xlsx",
    "RulebookField": "RequirementSatisfactions.AttestationInstantForRun"
   },
   {
    "CellDisagreementId": "effortless-xlsx|RequirementSatisfactions.PostAttestationScoreExecutionKey|sat-close-balance",
    "FieldDisagreement": "effortless-xlsx|RequirementSatisfactions.PostAttestationScoreExecutionKey",
    "RecordId": "sat-close-balance",
    "ExpectedValue": "null",
    "ActualValue": "\"exec-close-2026-q2\"",
    "Reason": "wrong/null value",
    "SemanticTypeIri": "urn:effortless:pko-extension#CellDisagreement",
    "Name": "effortless-xlsx|RequirementSatisfactions.PostAttestationScoreExecutionKey @ sat-close-balance",
    "Substrate": "effortless-xlsx",
    "RulebookField": "RequirementSatisfactions.PostAttestationScoreExecutionKey"
   },
   {
    "CellDisagreementId": "effortless-xlsx|RequirementSatisfactions.PostAttestationScoreExecutionKey|sat-close-cutoff",
    "FieldDisagreement": "effortless-xlsx|RequirementSatisfactions.PostAttestationScoreExecutionKey",
    "RecordId": "sat-close-cutoff",
    "ExpectedValue": "null",
    "ActualValue": "\"exec-close-2026-q2\"",
    "Reason": "wrong/null value",
    "SemanticTypeIri": "urn:effortless:pko-extension#CellDisagreement",
    "Name": "effortless-xlsx|RequirementSatisfactions.PostAttestationScoreExecutionKey @ sat-close-cutoff",
    "Substrate": "effortless-xlsx",
    "RulebookField": "RequirementSatisfactions.PostAttestationScoreExecutionKey"
   },
   {
    "CellDisagreementId": "effortless-xlsx|RequirementSatisfactions.PostAttestationScoreExecutionKey|sat-close-evidence",
    "FieldDisagreement": "effortless-xlsx|RequirementSatisfactions.PostAttestationScoreExecutionKey",
    "RecordId": "sat-close-evidence",
    "ExpectedValue": "null",
    "ActualValue": "\"exec-close-2026-q2\"",
    "Reason": "wrong/null value",
    "SemanticTypeIri": "urn:effortless:pko-extension#CellDisagreement",
    "Name": "effortless-xlsx|RequirementSatisfactions.PostAttestationScoreExecutionKey @ sat-close-evidence",
    "Substrate": "effortless-xlsx",
    "RulebookField": "RequirementSatisfactions.PostAttestationScoreExecutionKey"
   },
   {
    "CellDisagreementId": "effortless-xlsx|RequirementSatisfactions.PostAttestationScoreExecutionKey|sat-close-human",
    "FieldDisagreement": "effortless-xlsx|RequirementSatisfactions.PostAttestationScoreExecutionKey",
    "RecordId": "sat-close-human",
    "ExpectedValue": "null",
    "ActualValue": "\"exec-close-2026-q2\"",
    "Reason": "wrong/null value",
    "SemanticTypeIri": "urn:effortless:pko-extension#CellDisagreement",
    "Name": "effortless-xlsx|RequirementSatisfactions.PostAttestationScoreExecutionKey @ sat-close-human",
    "Substrate": "effortless-xlsx",
    "RulebookField": "RequirementSatisfactions.PostAttestationScoreExecutionKey"
   },
   {
    "CellDisagreementId": "effortless-xlsx|RequirementSatisfactions.PostAttestationScoreExecutionKey|sat-close-separation",
    "FieldDisagreement": "effortless-xlsx|RequirementSatisfactions.PostAttestationScoreExecutionKey",
    "RecordId": "sat-close-separation",
    "ExpectedValue": "null",
    "ActualValue": "\"exec-close-2026-q2\"",
    "Reason": "wrong/null value",
    "SemanticTypeIri": "urn:effortless:pko-extension#CellDisagreement",
    "Name": "effortless-xlsx|RequirementSatisfactions.PostAttestationScoreExecutionKey @ sat-close-separation",
    "Substrate": "effortless-xlsx",
    "RulebookField": "RequirementSatisfactions.PostAttestationScoreExecutionKey"
   },
   {
    "CellDisagreementId": "effortless-xlsx|RequirementSatisfactions.PostAttestationScoreExecutionKey|sat-close08-evidence",
    "FieldDisagreement": "effortless-xlsx|RequirementSatisfactions.PostAttestationScoreExecutionKey",
    "RecordId": "sat-close08-evidence",
    "ExpectedValue": "null",
    "ActualValue": "\"exec-close-2026-q2\"",
    "Reason": "wrong/null value",
    "SemanticTypeIri": "urn:effortless:pko-extension#CellDisagreement",
    "Name": "effortless-xlsx|RequirementSatisfactions.PostAttestationScoreExecutionKey @ sat-close08-evidence",
    "Substrate": "effortless-xlsx",
    "RulebookField": "RequirementSatisfactions.PostAttestationScoreExecutionKey"
   },
   {
    "CellDisagreementId": "effortless-xlsx|RequirementSatisfactions.PostAttestationScoreExecutionKey|sat-policy-legal",
    "FieldDisagreement": "effortless-xlsx|RequirementSatisfactions.PostAttestationScoreExecutionKey",
    "RecordId": "sat-policy-legal",
    "ExpectedValue": "null",
    "ActualValue": "\"exec-policy-hr4821\"",
    "Reason": "wrong/null value",
    "SemanticTypeIri": "urn:effortless:pko-extension#CellDisagreement",
    "Name": "effortless-xlsx|RequirementSatisfactions.PostAttestationScoreExecutionKey @ sat-policy-legal",
    "Substrate": "effortless-xlsx",
    "RulebookField": "RequirementSatisfactions.PostAttestationScoreExecutionKey"
   },
   {
    "CellDisagreementId": "effortless-xlsx|RequirementSatisfactions.PostAttestationScoreExecutionKey|sat-policy-source",
    "FieldDisagreement": "effortless-xlsx|RequirementSatisfactions.PostAttestationScoreExecutionKey",
    "RecordId": "sat-policy-source",
    "ExpectedValue": "null",
    "ActualValue": "\"exec-policy-hr4821\"",
    "Reason": "wrong/null value",
    "SemanticTypeIri": "urn:effortless:pko-extension#CellDisagreement",
    "Name": "effortless-xlsx|RequirementSatisfactions.PostAttestationScoreExecutionKey @ sat-policy-source",
    "Substrate": "effortless-xlsx",
    "RulebookField": "RequirementSatisfactions.PostAttestationScoreExecutionKey"
   },
   {
    "CellDisagreementId": "effortless-xlsx|MessageDeliveries.OptOutPhrasePosition|md-001",
    "FieldDisagreement": "effortless-xlsx|MessageDeliveries.OptOutPhrasePosition",
    "RecordId": "md-001",
    "ExpectedValue": "null",
    "ActualValue": "1",
    "Reason": "wrong/null value",
    "SemanticTypeIri": "urn:effortless:pko-extension#CellDisagreement",
    "Name": "effortless-xlsx|MessageDeliveries.OptOutPhrasePosition @ md-001",
    "Substrate": "effortless-xlsx",
    "RulebookField": "MessageDeliveries.OptOutPhrasePosition"
   },
   {
    "CellDisagreementId": "effortless-xlsx|MessageDeliveries.OptOutPhrasePosition|md-002",
    "FieldDisagreement": "effortless-xlsx|MessageDeliveries.OptOutPhrasePosition",
    "RecordId": "md-002",
    "ExpectedValue": "null",
    "ActualValue": "1",
    "Reason": "wrong/null value",
    "SemanticTypeIri": "urn:effortless:pko-extension#CellDisagreement",
    "Name": "effortless-xlsx|MessageDeliveries.OptOutPhrasePosition @ md-002",
    "Substrate": "effortless-xlsx",
    "RulebookField": "MessageDeliveries.OptOutPhrasePosition"
   },
   {
    "CellDisagreementId": "effortless-xlsx|MessageDeliveries.OptOutPhrasePosition|md-005",
    "FieldDisagreement": "effortless-xlsx|MessageDeliveries.OptOutPhrasePosition",
    "RecordId": "md-005",
    "ExpectedValue": "0",
    "ActualValue": "\"#VALUE!\"",
    "Reason": "wrong/null value",
    "SemanticTypeIri": "urn:effortless:pko-extension#CellDisagreement",
    "Name": "effortless-xlsx|MessageDeliveries.OptOutPhrasePosition @ md-005",
    "Substrate": "effortless-xlsx",
    "RulebookField": "MessageDeliveries.OptOutPhrasePosition"
   },
   {
    "CellDisagreementId": "effortless-xlsx|MessageDeliveries.HasOptOutPhrase|md-001",
    "FieldDisagreement": "effortless-xlsx|MessageDeliveries.HasOptOutPhrase",
    "RecordId": "md-001",
    "ExpectedValue": "false",
    "ActualValue": "true",
    "Reason": "wrong/null value",
    "SemanticTypeIri": "urn:effortless:pko-extension#CellDisagreement",
    "Name": "effortless-xlsx|MessageDeliveries.HasOptOutPhrase @ md-001",
    "Substrate": "effortless-xlsx",
    "RulebookField": "MessageDeliveries.HasOptOutPhrase"
   },
   {
    "CellDisagreementId": "effortless-xlsx|MessageDeliveries.HasOptOutPhrase|md-002",
    "FieldDisagreement": "effortless-xlsx|MessageDeliveries.HasOptOutPhrase",
    "RecordId": "md-002",
    "ExpectedValue": "false",
    "ActualValue": "true",
    "Reason": "wrong/null value",
    "SemanticTypeIri": "urn:effortless:pko-extension#CellDisagreement",
    "Name": "effortless-xlsx|MessageDeliveries.HasOptOutPhrase @ md-002",
    "Substrate": "effortless-xlsx",
    "RulebookField": "MessageDeliveries.HasOptOutPhrase"
   },
   {
    "CellDisagreementId": "effortless-xlsx|MessageDeliveries.HasOptOutPhrase|md-005",
    "FieldDisagreement": "effortless-xlsx|MessageDeliveries.HasOptOutPhrase",
    "RecordId": "md-005",
    "ExpectedValue": "false",
    "ActualValue": "\"#VALUE!\"",
    "Reason": "wrong/null value",
    "SemanticTypeIri": "urn:effortless:pko-extension#CellDisagreement",
    "Name": "effortless-xlsx|MessageDeliveries.HasOptOutPhrase @ md-005",
    "Substrate": "effortless-xlsx",
    "RulebookField": "MessageDeliveries.HasOptOutPhrase"
   },
   {
    "CellDisagreementId": "effortless-xlsx|MessageDeliveries.IsOptOutInFirstSegment|md-001",
    "FieldDisagreement": "effortless-xlsx|MessageDeliveries.IsOptOutInFirstSegment",
    "RecordId": "md-001",
    "ExpectedValue": "false",
    "ActualValue": "true",
    "Reason": "wrong/null value",
    "SemanticTypeIri": "urn:effortless:pko-extension#CellDisagreement",
    "Name": "effortless-xlsx|MessageDeliveries.IsOptOutInFirstSegment @ md-001",
    "Substrate": "effortless-xlsx",
    "RulebookField": "MessageDeliveries.IsOptOutInFirstSegment"
   },
   {
    "CellDisagreementId": "effortless-xlsx|MessageDeliveries.IsOptOutInFirstSegment|md-002",
    "FieldDisagreement": "effortless-xlsx|MessageDeliveries.IsOptOutInFirstSegment",
    "RecordId": "md-002",
    "ExpectedValue": "false",
    "ActualValue": "true",
    "Reason": "wrong/null value",
    "SemanticTypeIri": "urn:effortless:pko-extension#CellDisagreement",
    "Name": "effortless-xlsx|MessageDeliveries.IsOptOutInFirstSegment @ md-002",
    "Substrate": "effortless-xlsx",
    "RulebookField": "MessageDeliveries.IsOptOutInFirstSegment"
   },
   {
    "CellDisagreementId": "effortless-xlsx|MessageDeliveries.IsOptOutInFirstSegment|md-005",
    "FieldDisagreement": "effortless-xlsx|MessageDeliveries.IsOptOutInFirstSegment",
    "RecordId": "md-005",
    "ExpectedValue": "false",
    "ActualValue": "\"#VALUE!\"",
    "Reason": "wrong/null value",
    "SemanticTypeIri": "urn:effortless:pko-extension#CellDisagreement",
    "Name": "effortless-xlsx|MessageDeliveries.IsOptOutInFirstSegment @ md-005",
    "Substrate": "effortless-xlsx",
    "RulebookField": "MessageDeliveries.IsOptOutInFirstSegment"
   },
   {
    "CellDisagreementId": "effortless-xlsx|MessageDeliveries.IsMissingRequiredOptOut|md-005",
    "FieldDisagreement": "effortless-xlsx|MessageDeliveries.IsMissingRequiredOptOut",
    "RecordId": "md-005",
    "ExpectedValue": "true",
    "ActualValue": "\"#VALUE!\"",
    "Reason": "wrong/null value",
    "SemanticTypeIri": "urn:effortless:pko-extension#CellDisagreement",
    "Name": "effortless-xlsx|MessageDeliveries.IsMissingRequiredOptOut @ md-005",
    "Substrate": "effortless-xlsx",
    "RulebookField": "MessageDeliveries.IsMissingRequiredOptOut"
   },
   {
    "CellDisagreementId": "effortless-xlsx|MessageDeliveries.IsOptOutAtRiskOfTruncation|md-005",
    "FieldDisagreement": "effortless-xlsx|MessageDeliveries.IsOptOutAtRiskOfTruncation",
    "RecordId": "md-005",
    "ExpectedValue": "false",
    "ActualValue": "\"#VALUE!\"",
    "Reason": "wrong/null value",
    "SemanticTypeIri": "urn:effortless:pko-extension#CellDisagreement",
    "Name": "effortless-xlsx|MessageDeliveries.IsOptOutAtRiskOfTruncation @ md-005",
    "Substrate": "effortless-xlsx",
    "RulebookField": "MessageDeliveries.IsOptOutAtRiskOfTruncation"
   },
   {
    "CellDisagreementId": "effortless-xlsx|AgentDecisionRecords.ReviewLatencyMinutes|adr-close-extract-q2",
    "FieldDisagreement": "effortless-xlsx|AgentDecisionRecords.ReviewLatencyMinutes",
    "RecordId": "adr-close-extract-q2",
    "ExpectedValue": "4.0",
    "ActualValue": "3.999999992083758",
    "Reason": "wrong/null value",
    "SemanticTypeIri": "urn:effortless:pko-extension#CellDisagreement",
    "Name": "effortless-xlsx|AgentDecisionRecords.ReviewLatencyMinutes @ adr-close-extract-q2",
    "Substrate": "effortless-xlsx",
    "RulebookField": "AgentDecisionRecords.ReviewLatencyMinutes"
   },
   {
    "CellDisagreementId": "effortless-xlsx|AgentDecisionRecords.ReviewLatencyMinutes|adr-close-freeze-q2",
    "FieldDisagreement": "effortless-xlsx|AgentDecisionRecords.ReviewLatencyMinutes",
    "RecordId": "adr-close-freeze-q2",
    "ExpectedValue": "18.0",
    "ActualValue": "17.99999999580905",
    "Reason": "wrong/null value",
    "SemanticTypeIri": "urn:effortless:pko-extension#CellDisagreement",
    "Name": "effortless-xlsx|AgentDecisionRecords.ReviewLatencyMinutes @ adr-close-freeze-q2",
    "Substrate": "effortless-xlsx",
    "RulebookField": "AgentDecisionRecords.ReviewLatencyMinutes"
   },
   {
    "CellDisagreementId": "effortless-xlsx|AgentDecisionRecords.ReviewLatencyMinutes|adr-close-post-q2",
    "FieldDisagreement": "effortless-xlsx|AgentDecisionRecords.ReviewLatencyMinutes",
    "RecordId": "adr-close-post-q2",
    "ExpectedValue": "30.0",
    "ActualValue": "30.00000000349246",
    "Reason": "wrong/null value",
    "SemanticTypeIri": "urn:effortless:pko-extension#CellDisagreement",
    "Name": "effortless-xlsx|AgentDecisionRecords.ReviewLatencyMinutes @ adr-close-post-q2",
    "Substrate": "effortless-xlsx",
    "RulebookField": "AgentDecisionRecords.ReviewLatencyMinutes"
   },
   {
    "CellDisagreementId": "effortless-owl|RulebookReleases.Name|erb-pko-1.0.0",
    "FieldDisagreement": "effortless-owl|RulebookReleases.Name",
    "RecordId": "erb-pko-1.0.0",
    "ExpectedValue": "\"1.0.0 / PKO https://w3id.org/pko/2.0.0\"",
    "ActualValue": "null",
    "Reason": "wrong/null value",
    "SemanticTypeIri": "urn:effortless:pko-extension#CellDisagreement",
    "Name": "effortless-owl|RulebookReleases.Name @ erb-pko-1.0.0",
    "Substrate": "effortless-owl",
    "RulebookField": "RulebookReleases.Name"
   },
   {
    "CellDisagreementId": "effortless-owl|ProcedureVersions.IncomingSupersessionCount|close-v1.0.0",
    "FieldDisagreement": "effortless-owl|ProcedureVersions.IncomingSupersessionCount",
    "RecordId": "close-v1.0.0",
    "ExpectedValue": "1",
    "ActualValue": "0",
    "Reason": "wrong/null value",
    "SemanticTypeIri": "urn:effortless:pko-extension#CellDisagreement",
    "Name": "effortless-owl|ProcedureVersions.IncomingSupersessionCount @ close-v1.0.0",
    "Substrate": "effortless-owl",
    "RulebookField": "ProcedureVersions.IncomingSupersessionCount"
   },
   {
    "CellDisagreementId": "effortless-owl|ProcedureVersions.IsStillReferenced|close-v1.0.0",
    "FieldDisagreement": "effortless-owl|Proced</t>
  </si>
  <si>
    <t xml:space="preserve">ureVersions.IsStillReferenced",
    "RecordId": "close-v1.0.0",
    "ExpectedValue": "true",
    "ActualValue": "false",
    "Reason": "wrong/null value",
    "SemanticTypeIri": "urn:effortless:pko-extension#CellDisagreement",
    "Name": "effortless-owl|ProcedureVersions.IsStillReferenced @ close-v1.0.0",
    "Substrate": "effortless-owl",
    "RulebookField": "ProcedureVersions.IsStillReferenced"
   },
   {
    "CellDisagreementId": "effortless-owl|ProcedureVersions.IsLoadBearingOrphan|close-v1.0.0",
    "FieldDisagreement": "effortless-owl|ProcedureVersions.IsLoadBearingOrphan",
    "RecordId": "close-v1.0.0",
    "ExpectedValue": "true",
    "ActualValue": "false",
    "Reason": "wrong/null value",
    "SemanticTypeIri": "urn:effortless:pko-extension#CellDisagreement",
    "Name": "effortless-owl|ProcedureVersions.IsLoadBearingOrphan @ close-v1.0.0",
    "Substrate": "effortless-owl",
    "RulebookField": "ProcedureVersions.IsLoadBearingOrphan"
   },
   {
    "CellDisagreementId": "effortless-owl|ProcedureVersions.IsCleanlyRetired|close-v1.0.0",
    "FieldDisagreement": "effortless-owl|ProcedureVersions.IsCleanlyRetired",
    "RecordId": "close-v1.0.0",
    "ExpectedValue": "false",
    "ActualValue": "true",
    "Reason": "wrong/null value",
    "SemanticTypeIri": "urn:effortless:pko-extension#CellDisagreement",
    "Name": "effortless-owl|ProcedureVersions.IsCleanlyRetired @ close-v1.0.0",
    "Substrate": "effortless-owl",
    "RulebookField": "ProcedureVersions.IsCleanlyRetired"
   },
   {
    "CellDisagreementId": "effortless-owl|ProcedureVersions.DaysSinceLastReview|close-v1.1.0",
    "FieldDisagreement": "effortless-owl|ProcedureVersions.DaysSinceLastReview",
    "RecordId": "close-v1.1.0",
    "ExpectedValue": "17",
    "ActualValue": "null",
    "Reason": "wrong/null value",
    "SemanticTypeIri": "urn:effortless:pko-extension#CellDisagreement",
    "Name": "effortless-owl|ProcedureVersions.DaysSinceLastReview @ close-v1.1.0",
    "Substrate": "effortless-owl",
    "RulebookField": "ProcedureVersions.DaysSinceLastReview"
   },
   {
    "CellDisagreementId": "effortless-owl|ProcedureVersions.DaysSinceLastReview|policy-v1.0.0",
    "FieldDisagreement": "effortless-owl|ProcedureVersions.DaysSinceLastReview",
    "RecordId": "policy-v1.0.0",
    "ExpectedValue": "1",
    "ActualValue": "null",
    "Reason": "wrong/null value",
    "SemanticTypeIri": "urn:effortless:pko-extension#CellDisagreement",
    "Name": "effortless-owl|ProcedureVersions.DaysSinceLastReview @ policy-v1.0.0",
    "Substrate": "effortless-owl",
    "RulebookField": "ProcedureVersions.DaysSinceLastReview"
   },
   {
    "CellDisagreementId": "effortless-owl|ProcedureVersionLinks.SupersededVersionKey|close-v1.0.0-to-v1.1.0",
    "FieldDisagreement": "effortless-owl|ProcedureVersionLinks.SupersededVersionKey",
    "RecordId": "close-v1.0.0-to-v1.1.0",
    "ExpectedValue": "\"close-v1.0.0\"",
    "ActualValue": "null",
    "Reason": "wrong/null value",
    "SemanticTypeIri": "urn:effortless:pko-extension#CellDisagreement",
    "Name": "effortless-owl|ProcedureVersionLinks.SupersededVersionKey @ close-v1.0.0-to-v1.1.0",
    "Substrate": "effortless-owl",
    "RulebookField": "ProcedureVersionLinks.SupersededVersionKey"
   },
   {
    "CellDisagreementId": "effortless-owl|StepTransitions.CountOfFromStepExecutions|close-01-to-close-02",
    "FieldDisagreement": "effortless-owl|StepTransitions.CountOfFromStepExecutions",
    "RecordId": "close-01-to-close-02",
    "ExpectedValue": "1",
    "ActualValue": "0",
    "Reason": "wrong/null value",
    "SemanticTypeIri": "urn:effortless:pko-extension#CellDisagreement",
    "Name": "effortless-owl|StepTransitions.CountOfFromStepExecutions @ close-01-to-close-02",
    "Substrate": "effortless-owl",
    "RulebookField": "StepTransitions.CountOfFromStepExecutions"
   },
   {
    "CellDisagreementId": "effortless-owl|StepTransitions.CountOfFromStepExecutions|close-02-to-close-03",
    "FieldDisagreement": "effortless-owl|StepTransitions.CountOfFromStepExecutions",
    "RecordId": "close-02-to-close-03",
    "ExpectedValue": "1",
    "ActualValue": "0",
    "Reason": "wrong/null value",
    "SemanticTypeIri": "urn:effortless:pko-extension#CellDisagreement",
    "Name": "effortless-owl|StepTransitions.CountOfFromStepExecutions @ close-02-to-close-03",
    "Substrate": "effortless-owl",
    "RulebookField": "StepTransitions.CountOfFromStepExecutions"
   },
   {
    "CellDisagreementId": "effortless-owl|StepTransitions.CountOfFromStepExecutions|close-03-to-close-04",
    "FieldDisagreement": "effortless-owl|StepTransitions.CountOfFromStepExecutions",
    "RecordId": "close-03-to-close-04",
    "ExpectedValue": "1",
    "ActualValue": "0",
    "Reason": "wrong/null value",
    "SemanticTypeIri": "urn:effortless:pko-extension#CellDisagreement",
    "Name": "effortless-owl|StepTransitions.CountOfFromStepExecutions @ close-03-to-close-04",
    "Substrate": "effortless-owl",
    "RulebookField": "StepTransitions.CountOfFromStepExecutions"
   },
   {
    "CellDisagreementId": "effortless-owl|StepTransitions.CountOfFromStepExecutions|close-04-fallback-close-03",
    "FieldDisagreement": "effortless-owl|StepTransitions.CountOfFromStepExecutions",
    "RecordId": "close-04-fallback-close-03",
    "ExpectedValue": "1",
    "ActualValue": "0",
    "Reason": "wrong/null value",
    "SemanticTypeIri": "urn:effortless:pko-extension#CellDisagreement",
    "Name": "effortless-owl|StepTransitions.CountOfFromStepExecutions @ close-04-fallback-close-03",
    "Substrate": "effortless-owl",
    "RulebookField": "StepTransitions.CountOfFromStepExecutions"
   },
   {
    "CellDisagreementId": "effortless-owl|StepTransitions.CountOfFromStepExecutions|close-04-to-close-05",
    "FieldDisagreement": "effortless-owl|StepTransitions.CountOfFromStepExecutions",
    "RecordId": "close-04-to-close-05",
    "ExpectedValue": "1",
    "ActualValue": "0",
    "Reason": "wrong/null value",
    "SemanticTypeIri": "urn:effortless:pko-extension#CellDisagreement",
    "Name": "effortless-owl|StepTransitions.CountOfFromStepExecutions @ close-04-to-close-05",
    "Substrate": "effortless-owl",
    "RulebookField": "StepTransitions.CountOfFromStepExecutions"
   },
   {
    "CellDisagreementId": "effortless-owl|StepTransitions.CountOfFromStepExecutions|close-05-expedite-close-07",
    "FieldDisagreement": "effortless-owl|StepTransitions.CountOfFromStepExecutions",
    "RecordId": "close-05-expedite-close-07",
    "ExpectedValue": "1",
    "ActualValue": "0",
    "Reason": "wrong/null value",
    "SemanticTypeIri": "urn:effortless:pko-extension#CellDisagreement",
    "Name": "effortless-owl|StepTransitions.CountOfFromStepExecutions @ close-05-expedite-close-07",
    "Substrate": "effortless-owl",
    "RulebookField": "StepTransitions.CountOfFromStepExecutions"
   },
   {
    "CellDisagreementId": "effortless-owl|StepTransitions.CountOfFromStepExecutions|close-05-to-close-06",
    "FieldDisagreement": "effortless-owl|StepTransitions.CountOfFromStepExecutions",
    "RecordId": "close-05-to-close-06",
    "ExpectedValue": "1",
    "ActualValue": "0",
    "Reason": "wrong/null value",
    "SemanticTypeIri": "urn:effortless:pko-extension#CellDisagreement",
    "Name": "effortless-owl|StepTransitions.CountOfFromStepExecutions @ close-05-to-close-06",
    "Substrate": "effortless-owl",
    "RulebookField": "StepTransitions.CountOfFromStepExecutions"
   },
   {
    "CellDisagreementId": "effortless-owl|StepTransitions.CountOfFromStepExecutions|close-06-return-close-04",
    "FieldDisagreement": "effortless-owl|StepTransitions.CountOfFromStepExecutions",
    "RecordId": "close-06-return-close-04",
    "ExpectedValue": "1",
    "ActualValue": "0",
    "Reason": "wrong/null value",
    "SemanticTypeIri": "urn:effortless:pko-extension#CellDisagreement",
    "Name": "effortless-owl|StepTransitions.CountOfFromStepExecutions @ close-06-return-close-04",
    "Substrate": "effortless-owl",
    "RulebookField": "StepTransitions.CountOfFromStepExecutions"
   },
   {
    "CellDisagreementId": "effortless-owl|StepTransitions.CountOfFromStepExecutions|close-06-to-close-07",
    "FieldDisagreement": "effortless-owl|StepTransitions.CountOfFromStepExecutions",
    "RecordId": "close-06-to-close-07",
    "ExpectedValue": "1",
    "ActualValue": "0",
    "Reason": "wrong/null value",
    "SemanticTypeIri": "urn:effortless:pko-extension#CellDisagreement",
    "Name": "effortless-owl|StepTransitions.CountOfFromStepExecutions @ close-06-to-close-07",
    "Substrate": "effortless-owl",
    "RulebookField": "StepTransitions.CountOfFromStepExecutions"
   },
   {
    "CellDisagreementId": "effortless-owl|StepTransitions.CountOfFromStepExecutions|close-07-to-close-08",
    "FieldDisagreement": "effortless-owl|StepTransitions.CountOfFromStepExecutions",
    "RecordId": "close-07-to-close-08",
    "ExpectedValue": "1",
    "ActualValue": "0",
    "Reason": "wrong/null value",
    "SemanticTypeIri": "urn:effortless:pko-extension#CellDisagreement",
    "Name": "effortless-owl|StepTransitions.CountOfFromStepExecutions @ close-07-to-close-08",
    "Substrate": "effortless-owl",
    "RulebookField": "StepTransitions.CountOfFromStepExecutions"
   },
   {
    "CellDisagreementId": "effortless-owl|StepTransitions.CountOfFromStepExecutions|policy-01-to-policy-02",
    "FieldDisagreement": "effortless-owl|StepTransitions.CountOfFromStepExecutions",
    "RecordId": "policy-01-to-policy-02",
    "ExpectedValue": "1",
    "ActualValue": "0",
    "Reason": "wrong/null value",
    "SemanticTypeIri": "urn:effortless:pko-extension#CellDisagreement",
    "Name": "effortless-owl|StepTransitions.CountOfFromStepExecutions @ policy-01-to-policy-02",
    "Substrate": "effortless-owl",
    "RulebookField": "StepTransitions.CountOfFromStepExecutions"
   },
   {
    "CellDisagreementId": "effortless-owl|StepTransitions.CountOfFromStepExecutions|policy-02-to-policy-03",
    "FieldDisagreement": "effortless-owl|StepTransitions.CountOfFromStepExecutions",
    "RecordId": "policy-02-to-policy-03",
    "ExpectedValue": "1",
    "ActualValue": "0",
    "Reason": "wrong/null value",
    "SemanticTypeIri": "urn:effortless:pko-extension#CellDisagreement",
    "Name": "effortless-owl|StepTransitions.CountOfFromStepExecutions @ policy-02-to-policy-03",
    "Substrate": "effortless-owl",
    "RulebookField": "StepTransitions.CountOfFromStepExecutions"
   },
   {
    "CellDisagreementId": "effortless-owl|StepTransitions.CountOfFromStepExecutions|policy-03-to-policy-04",
    "FieldDisagreement": "effortless-owl|StepTransitions.CountOfFromStepExecutions",
    "RecordId": "policy-03-to-policy-04",
    "ExpectedValue": "1",
    "ActualValue": "0",
    "Reason": "wrong/null value",
    "SemanticTypeIri": "urn:effortless:pko-extension#CellDisagreement",
    "Name": "effortless-owl|StepTransitions.CountOfFromStepExecutions @ policy-03-to-policy-04",
    "Substrate": "effortless-owl",
    "RulebookField": "StepTransitions.CountOfFromStepExecutions"
   },
   {
    "CellDisagreementId": "effortless-owl|StepTransitions.CountOfFromStepExecutions|policy-04-return-policy-03",
    "FieldDisagreement": "effortless-owl|StepTransitions.CountOfFromStepExecutions",
    "RecordId": "policy-04-return-policy-03",
    "ExpectedValue": "1",
    "ActualValue": "0",
    "Reason": "wrong/null value",
    "SemanticTypeIri": "urn:effortless:pko-extension#CellDisagreement",
    "Name": "effortless-owl|StepTransitions.CountOfFromStepExecutions @ policy-04-return-policy-03",
    "Substrate": "effortless-owl",
    "RulebookField": "StepTransitions.CountOfFromStepExecutions"
   },
   {
    "CellDisagreementId": "effortless-owl|StepTransitions.CountOfFromStepExecutions|policy-04-to-policy-05",
    "FieldDisagreement": "effortless-owl|StepTransitions.CountOfFromStepExecutions",
    "RecordId": "policy-04-to-policy-05",
    "ExpectedValue": "1",
    "ActualValue": "0",
    "Reason": "wrong/null value",
    "SemanticTypeIri": "urn:effortless:pko-extension#CellDisagreement",
    "Name": "effortless-owl|StepTransitions.CountOfFromStepExecutions @ policy-04-to-policy-05",
    "Substrate": "effortless-owl",
    "RulebookField": "StepTransitions.CountOfFromStepExecutions"
   },
   {
    "CellDisagreementId": "effortless-owl|StepTransitions.CountOfToStepExecutions|close-01-to-close-02",
    "FieldDisagreement": "effortless-owl|StepTransitions.CountOfToStepExecutions",
    "RecordId": "close-01-to-close-02",
    "ExpectedValue": "1",
    "ActualValue": "0",
    "Reason": "wrong/null value",
    "SemanticTypeIri": "urn:effortless:pko-extension#CellDisagreement",
    "Name": "effortless-owl|StepTransitions.CountOfToStepExecutions @ close-01-to-close-02",
    "Substrate": "effortless-owl",
    "RulebookField": "StepTransitions.CountOfToStepExecutions"
   },
   {
    "CellDisagreementId": "effortless-owl|StepTransitions.CountOfToStepExecutions|close-02-to-close-03",
    "FieldDisagreement": "effortless-owl|StepTransitions.CountOfToStepExecutions",
    "RecordId": "close-02-to-close-03",
    "ExpectedValue": "1",
    "ActualValue": "0",
    "Reason": "wrong/null value",
    "SemanticTypeIri": "urn:effortless:pko-extension#CellDisagreement",
    "Name": "effortless-owl|StepTransitions.CountOfToStepExecutions @ close-02-to-close-03",
    "Substrate": "effortless-owl",
    "RulebookField": "StepTransitions.CountOfToStepExecutions"
   },
   {
    "CellDisagreementId": "effortless-owl|StepTransitions.CountOfToStepExecutions|close-03-to-close-04",
    "FieldDisagreement": "effortless-owl|StepTransitions.CountOfToStepExecutions",
    "RecordId": "close-03-to-close-04",
    "ExpectedValue": "1",
    "ActualValue": "0",
    "Reason": "wrong/null value",
    "SemanticTypeIri": "urn:effortless:pko-extension#CellDisagreement",
    "Name": "effortless-owl|StepTransitions.CountOfToStepExecutions @ close-03-to-close-04",
    "Substrate": "effortless-owl",
    "RulebookField": "StepTransitions.CountOfToStepExecutions"
   },
   {
    "CellDisagreementId": "effortless-owl|StepTransitions.CountOfToStepExecutions|close-04-fallback-close-03",
    "FieldDisagreement": "effortless-owl|StepTransitions.CountOfToStepExecutions",
    "RecordId": "close-04-fallback-close-03",
    "ExpectedValue": "1",
    "ActualValue": "0",
    "Reason": "wrong/null value",
    "SemanticTypeIri": "urn:effortless:pko-extension#CellDisagreement",
    "Name": "effortless-owl|StepTransitions.CountOfToStepExecutions @ close-04-fallback-close-03",
    "Substrate": "effortless-owl",
    "RulebookField": "StepTransitions.CountOfToStepExecutions"
   },
   {
    "CellDisagreementId": "effortless-owl|StepTransitions.CountOfToStepExecutions|close-04-to-close-05",
    "FieldDisagreement": "effortless-owl|StepTransitions.CountOfToStepExecutions",
    "RecordId": "close-04-to-close-05",
    "ExpectedValue": "1",
    "ActualValue": "0",
    "Reason": "wrong/null value",
    "SemanticTypeIri": "urn:effortless:pko-extension#CellDisagreement",
    "Name": "effortless-owl|StepTransitions.CountOfToStepExecutions @ close-04-to-close-05",
    "Substrate": "effortless-owl",
    "RulebookField": "StepTransitions.CountOfToStepExecutions"
   },
   {
    "CellDisagreementId": "effortless-owl|StepTransitions.CountOfToStepExecutions|close-05-expedite-close-07",
    "FieldDisagreement": "effortless-owl|StepTransitions.CountOfToStepExecutions",
    "RecordId": "close-05-expedite-close-07",
    "ExpectedValue": "1",
    "ActualValue": "0",
    "Reason": "wrong/null value",
    "SemanticTypeIri": "urn:effortless:pko-extension#CellDisagreement",
    "Name": "effortless-owl|StepTransitions.CountOfToStepExecutions @ close-05-expedite-close-07",
    "Substrate": "effortless-owl",
    "RulebookField": "StepTransitions.CountOfToStepExecutions"
   },
   {
    "CellDisagreementId": "effortless-owl|StepTransitions.CountOfToStepExecutions|close-05-to-close-06",
    "FieldDisagreement": "effortless-owl|StepTransitions.CountOfToStepExecutions",
    "RecordId": "close-05-to-close-06",
    "ExpectedValue": "1",
    "ActualValue": "0",
    "Reason": "wrong/null value",
    "SemanticTypeIri": "urn:effortless:pko-extension#CellDisagreement",
    "Name": "effortless-owl|StepTransitions.CountOfToStepExecutions @ close-05-to-close-06",
    "Substrate": "effortless-owl",
    "RulebookField": "StepTransitions.CountOfToStepExecutions"
   },
   {
    "CellDisagreementId": "effortless-owl|StepTransitions.CountOfToStepExecutions|close-06-return-close-04",
    "FieldDisagreement": "effortless-owl|StepTransitions.CountOfToStepExecutions",
    "RecordId": "close-06-return-close-04",
    "ExpectedValue": "1",
    "ActualValue": "0",
    "Reason": "wrong/null value",
    "SemanticTypeIri": "urn:effortless:pko-extension#CellDisagreement",
    "Name": "effortless-owl|StepTransitions.CountOfToStepExecutions @ close-06-return-close-04",
    "Substrate": "effortless-owl",
    "RulebookField": "StepTransitions.CountOfToStepExecutions"
   },
   {
    "CellDisagreementId": "effortless-owl|StepTransitions.CountOfToStepExecutions|close-06-to-close-07",
    "FieldDisagreement": "effortless-owl|StepTransitions.CountOfToStepExecutions",
    "RecordId": "close-06-to-close-07",
    "ExpectedValue": "1",
    "ActualValue": "0",
    "Reason": "wrong/null value",
    "SemanticTypeIri": "urn:effortless:pko-extension#CellDisagreement",
    "Name": "effortless-owl|StepTransitions.CountOfToStepExecutions @ close-06-to-close-07",
    "Substrate": "effortless-owl",
    "RulebookField": "StepTransitions.CountOfToStepExecutions"
   },
   {
    "CellDisagreementId": "effortless-owl|StepTransitions.CountOfToStepExecutions|close-07-to-close-08",
    "FieldDisagreement": "effortless-owl|StepTransitions.CountOfToStepExecutions",
    "RecordId": "close-07-to-close-08",
    "ExpectedValue": "1",
    "ActualValue": "0",
    "Reason": "wrong/null value",
    "SemanticTypeIri": "urn:effortless:pko-extension#CellDisagreement",
    "Name": "effortless-owl|StepTransitions.CountOfToStepExecutions @ close-07-to-close-08",
    "Substrate": "effortless-owl",
    "RulebookField": "StepTransitions.CountOfToStepExecutions"
   },
   {
    "CellDisagreementId": "effortless-owl|StepTransitions.CountOfToStepExecutions|policy-01-to-policy-02",
    "FieldDisagreement": "effortless-owl|StepTransitions.CountOfToStepExecutions",
    "RecordId": "policy-01-to-policy-02",
    "ExpectedValue": "1",
    "ActualValue": "0",
    "Reason": "wrong/null value",
    "SemanticTypeIri": "urn:effortless:pko-extension#CellDisagreement",
    "Name": "effortless-owl|StepTransitions.CountOfToStepExecutions @ policy-01-to-policy-02",
    "Substrate": "effortless-owl",
    "RulebookField": "StepTransitions.CountOfToStepExecutions"
   },
   {
    "CellDisagreementId": "effortless-owl|StepTransitions.CountOfToStepExecutions|policy-02-to-policy-03",
    "FieldDisagreement": "effortless-owl|StepTransitions.CountOfToStepExecutions",
    "RecordId": "policy-02-to-policy-03",
    "ExpectedValue": "1",
    "ActualValue": "0",
    "Reason": "wrong/null value",
    "SemanticTypeIri": "urn:effortless:pko-extension#CellDisagreement",
    "Name": "effortless-owl|StepTransitions.CountOfToStepExecutions @ policy-02-to-policy-03",
    "Substrate": "effortless-owl",
    "RulebookField": "StepTransitions.CountOfToStepExecutions"
   },
   {
    "CellDisagreementId": "effortless-owl|StepTransitions.CountOfToStepExecutions|policy-03-to-policy-04",
    "FieldDisagreement": "effortless-owl|StepTransitions.CountOfToStepExecutions",
    "RecordId": "policy-03-to-policy-04",
    "ExpectedValue": "1",
    "ActualValue": "0",
    "Reason": "wrong/null value",
    "SemanticTypeIri": "urn:effortless:pko-extension#CellDisagreement",
    "Name": "effortless-owl|StepTransitions.CountOfToStepExecutions @ policy-03-to-policy-04",
    "Substrate": "effortless-owl",
    "RulebookField": "StepTransitions.CountOfToStepExecutions"
   },
   {
    "CellDisagreementId": "effortless-owl|StepTransitions.CountOfToStepExecutions|policy-04-return-policy-03",
    "FieldDisagreement": "effortless-owl|StepTransitions.CountOfToStepExecutions",
    "RecordId": "policy-04-return-policy-03",
    "ExpectedValue": "1",
    "ActualValue": "0",
    "Reason": "wrong/null value",
    "SemanticTypeIri": "urn:effortless:pko-extension#CellDisagreement",
    "Name": "effortless-owl|StepTransitions.CountOfToStepExecutions @ policy-04-return-policy-03",
    "Substrate": "effortless-owl",
    "RulebookField": "StepTransitions.CountOfToStepExecutions"
   },
   {
    "CellDisagreementId": "effortless-owl|StepTransitions.HasReachableOrigin|close-01-to-close-02",
    "FieldDisagreement": "effortless-owl|StepTransitions.HasReachableOrigin",
    "RecordId": "close-01-to-close-02",
    "ExpectedValue": "true",
    "ActualValue": "false",
    "Reason": "wrong/null value",
    "SemanticTypeIri": "urn:effortless:pko-extension#CellDisagreement",
    "Name": "effortless-owl|StepTransitions.HasReachableOrigin @ close-01-to-close-02",
    "Substrate": "effortless-owl",
    "RulebookField": "StepTransitions.HasReachableOrigin"
   },
   {
    "CellDisagreementId": "effortless-owl|StepTransitions.HasReachableOrigin|close-02-to-close-03",
    "FieldDisagreement": "effortless-owl|StepTransitions.HasReachableOrigin",
    "RecordId": "close-02-to-close-03",
    "ExpectedValue": "true",
    "ActualValue": "false",
    "Reason": "wrong/null value",
    "SemanticTypeIri": "urn:effortless:pko-extension#CellDisagreement",
    "Name": "effortless-owl|StepTransitions.HasReachableOrigin @ close-02-to-close-03",
    "Substrate": "effortless-owl",
    "RulebookField": "StepTransitions.HasReachableOrigin"
   },
   {
    "CellDisagreementId": "effortless-owl|StepTransitions.HasReachableOrigin|close-03-to-close-04",
    "FieldDisagreement": "effortless-owl|StepTransitions.HasReachableOrigin",
    "RecordId": "close-03-to-close-04",
    "ExpectedValue": "true",
    "ActualValue": "false",
    "Reason": "wrong/null value",
    "SemanticTypeIri": "urn:effortless:pko-extension#CellDisagreement",
    "Name": "effortless-owl|StepTransitions.HasReachableOrigin @ close-03-to-close-04",
    "Substrate": "effortless-owl",
    "RulebookField": "StepTransitions.HasReachableOrigin"
   },
   {
    "CellDisagreementId": "effortless-owl|StepTransitions.HasReachableOrigin|close-04-fallback-close-03",
    "FieldDisagreement": "effortless-owl|StepTransitions.HasReachableOrigin",
    "RecordId": "close-04-fallback-close-03",
    "ExpectedValue": "true",
    "ActualValue": "false",
    "Reason": "wrong/null value",
    "SemanticTypeIri": "urn:effortless:pko-extension#CellDisagreement",
    "Name": "effortless-owl|StepTransitions.HasReachableOrigin @ close-04-fallback-close-03",
    "Substrate": "effortless-owl",
    "RulebookField": "StepTransitions.HasReachableOrigin"
   },
   {
    "CellDisagreementId": "effortless-owl|StepTransitions.HasReachableOrigin|close-04-to-close-05",
    "FieldDisagreement": "effortless-owl|StepTransitions.HasReachableOrigin",
    "RecordId": "close-04-to-close-05",
    "ExpectedValue": "true",
    "ActualValue": "false",
    "Reason": "wrong/null value",
    "SemanticTypeIri": "urn:effortless:pko-extension#CellDisagreement",
    "Name": "effortless-owl|StepTransitions.HasReachableOrigin @ close-04-to-close-05",
    "Substrate": "effortless-owl",
    "RulebookField": "StepTransitions.HasReachableOrigin"
   },
   {
    "CellDisagreementId": "effortless-owl|StepTransitions.HasReachableOrigin|close-05-expedite-close-07",
    "FieldDisagreement": "effortless-owl|StepTransitions.HasReachableOrigin",
    "RecordId": "close-05-expedite-close-07",
    "ExpectedValue": "true",
    "ActualValue": "false",
    "Reason": "wrong/null value",
    "SemanticTypeIri": "urn:effortless:pko-extension#CellDisagreement",
    "Name": "effortless-owl|StepTransitions.HasReachableOrigin @ close-05-expedite-close-07",
    "Substrate": "effortless-owl",
    "RulebookField": "StepTransitions.HasReachableOrigin"
   },
   {
    "CellDisagreementId": "effortless-owl|StepTransitions.HasReachableOrigin|close-05-to-close-06",
    "FieldDisagreement": "effortless-owl|StepTransitions.HasReachableOrigin",
    "RecordId": "close-05-to-close-06",
    "ExpectedValue": "true",
    "ActualValue": "false",
    "Reason": "wrong/null value",
    "SemanticTypeIri": "urn:effortless:pko-extension#CellDisagreement",
    "Name": "effortless-owl|StepTransitions.HasReachableOrigin @ close-05-to-close-06",
    "Substrate": "effortless-owl",
    "RulebookField": "StepTransitions.HasReachableOrigin"
   },
   {
    "CellDisagreementId": "effortless-owl|StepTransitions.HasReachableOrigin|close-06-return-close-04",
    "FieldDisagreement": "effortless-owl|StepTransitions.HasReachableOrigin",
    "RecordId": "close-06-return-close-04",
    "ExpectedValue": "true",
    "ActualValue": "false",
    "Reason": "wrong/null value",
    "SemanticTypeIri": "urn:effortless:pko-extension#CellDisagreement",
    "Name": "effortless-owl|StepTransitions.HasReachableOrigin @ close-06-return-close-04",
    "Substrate": "effortless-owl",
    "RulebookField": "StepTransitions.HasReachableOrigin"
   },
   {
    "CellDisagreementId": "effortless-owl|StepTransitions.HasReachableOrigin|close-06-to-close-07",
    "FieldDisagreement": "effortless-owl|StepTransitions.HasReachableOrigin",
    "RecordId": "close-06-to-close-07",
    "ExpectedValue": "true",
    "ActualValue": "false",
    "Reason": "wrong/null value",
    "SemanticTypeIri": "urn:effortless:pko-extension#CellDisagreement",
    "Name": "effortless-owl|StepTransitions.HasReachableOrigin @ close-06-to-close-07",
    "Substrate": "effortless-owl",
    "RulebookField": "StepTransitions.HasReachableOrigin"
   },
   {
    "CellDisagreementId": "effortless-owl|StepTransitions.HasReachableOrigin|close-07-to-close-08",
    "FieldDisagreement": "effortless-owl|StepTransitions.HasReachableOrigin",
    "RecordId": "close-07-to-close-08",
    "ExpectedValue": "true",
    "ActualValue": "false",
    "Reason": "wrong/null value",
    "SemanticTypeIri": "urn:effortless:pko-extension#CellDisagreement",
    "Name": "effortless-owl|StepTransitions.HasReachableOrigin @ close-07-to-close-08",
    "Substrate": "effortless-owl",
    "RulebookField": "StepTransitions.HasReachableOrigin"
   },
   {
    "CellDisagreementId": "effortless-owl|StepTransitions.HasReachableOrigin|policy-01-to-policy-02",
    "FieldDisagreement": "effortless-owl|StepTransitions.HasReachableOrigin",
    "RecordId": "policy-01-to-policy-02",
    "ExpectedValue": "true",
    "ActualValue": "false",
    "Reason": "wrong/null value",
    "SemanticTypeIri": "urn:effortless:pko-extension#CellDisagreement",
    "Name": "effortless-owl|StepTransitions.HasReachableOrigin @ policy-01-to-policy-02",
    "Substrate": "effortless-owl",
    "RulebookField": "StepTransitions.HasReachableOrigin"
   },
   {
    "CellDisagreementId": "effortless-owl|StepTransitions.HasReachableOrigin|policy-02-to-policy-03",
    "FieldDisagreement": "effortless-owl|StepTransitions.HasReachableOrigin",
    "RecordId": "policy-02-to-policy-03",
    "ExpectedValue": "true",
    "ActualValue": "false",
    "Reason": "wrong/null value",
    "SemanticTypeIri": "urn:effortless:pko-extension#CellDisagreement",
    "Name": "effortless-owl|StepTransitions.HasReachableOrigin @ policy-02-to-policy-03",
    "Substrate": "effortless-owl",
    "RulebookField": "StepTransitions.HasReachableOrigin"
   },
   {
    "CellDisagreementId": "effortless-owl|StepTransitions.HasReachableOrigin|policy-03-to-policy-04",
    "FieldDisagreement": "effortless-owl|StepTransitions.HasReachableOrigin",
    "RecordId": "policy-03-to-policy-04",
    "ExpectedValue": "true",
    "ActualValue": "false",
    "Reason": "wrong/null value",
    "SemanticTypeIri": "urn:effortless:pko-extension#CellDisagreement",
    "Name": "effortless-owl|StepTransitions.HasReachableOrigin @ policy-03-to-policy-04",
    "Substrate": "effortless-owl",
    "RulebookField": "StepTransitions.HasReachableOrigin"
   },
   {
    "CellDisagreementId": "effortless-owl|StepTransitions.HasReachableOrigin|policy-04-return-policy-03",
    "FieldDisagreement": "effortless-owl|StepTransitions.HasReachableOrigin",
    "RecordId": "policy-04-return-policy-03",
    "ExpectedValue": "true",
    "ActualValue": "false",
    "Reason": "wrong/null value",
    "SemanticTypeIri": "urn:effortless:pko-extension#CellDisagreement",
    "Name": "effortless-owl|StepTransitions.HasReachableOrigin @ policy-04-return-policy-03",
    "Substrate": "effortless-owl",
    "RulebookField": "StepTransitions.HasReachableOrigin"
   },
   {
    "CellDisagreementId": "effortless-owl|StepTransitions.HasReachableOrigin|policy-04-to-policy-05",
    "FieldDisagreement": "effortless-owl|StepTransitions.HasReachableOrigin",
    "RecordId": "policy-04-to-policy-05",
    "ExpectedValue": "true",
    "ActualValue": "false",
    "Reason": "wrong/null value",
    "SemanticTypeIri": "urn:effortless:pko-extension#CellDisagreement",
    "Name": "effortless-owl|StepTransitions.HasReachableOrigin @ policy-04-to-policy-05",
    "Substrate": "effortless-owl",
    "RulebookField": "StepTransitions.HasReachableOrigin"
   },
   {
    "CellDisagreementId": "effortless-owl|StepTransitions.HasReachableTarget|close-01-to-close-02",
    "FieldDisagreement": "effortless-owl|StepTransitions.HasReachableTarget",
    "RecordId": "close-01-to-close-02",
    "ExpectedValue": "true",
    "ActualValue": "false",
    "Reason": "wrong/null value",
    "SemanticTypeIri": "urn:effortless:pko-extension#CellDisagreement",
    "Name": "effortless-owl|StepTransitions.HasReachableTarget @ close-01-to-close-02",
    "Substrate": "effortless-owl",
    "RulebookField": "StepTransitions.HasReachableTarget"
   },
   {
    "CellDisagreementId": "effortless-owl|StepTransitions.HasReachableTarget|close-02-to-close-03",
    "FieldDisagreement": "effortless-owl|StepTransitions.HasReachableTarget",
    "RecordId": "close-02-to-close-03",
    "ExpectedValue": "true",
    "ActualValue": "false",
    "Reason": "wrong/null value",
    "SemanticTypeIri": "urn:effortless:pko-extension#CellDisagreement",
    "Name": "effortless-owl|StepTransitions.HasReachableTarget @ close-02-to-close-03",
    "Substrate": "effortless-owl",
    "RulebookField": "StepTransitions.HasReachableTarget"
   },
   {
    "CellDisagreementId": "effortless-owl|StepTransitions.HasReachableTarget|close-03-to-close-04",
    "FieldDisagreement": "effortless-owl|StepTransitions.HasReachableTarget",
    "RecordId": "close-03-to-close-04",
    "ExpectedValue": "true",
    "ActualValue": "false",
    "Reason": "wrong/null value",
    "SemanticTypeIri": "urn:effortless:pko-extension#CellDisagreement",
    "Name": "effortless-owl|StepTransitions.HasReachableTarget @ close-03-to-close-04",
    "Substrate": "effortless-owl",
    "RulebookField": "StepTransitions.HasReachableTarget"
   },
   {
    "CellDisagreementId": "effortless-owl|StepTransitions.HasReachableTarget|close-04-fallback-close-03",
    "FieldDisagreement": "effortless-owl|StepTransitions.HasReachableTarget",
    "RecordId": "close-04-fallback-close-03",
    "ExpectedValue": "true",
    "ActualValue": "false",
    "Reason": "wrong/null value",
    "SemanticTypeIri": "urn:effortless:pko-extension#CellDisagreement",
    "Name": "effortless-owl|StepTransitions.HasReachableTarget @ close-04-fallback-close-03",
    "Substrate": "effortless-owl",
    "RulebookField": "StepTransitions.HasReachableTarget"
   },
   {
    "CellDisagreementId": "effortless-owl|StepTransitions.HasReachableTarget|close-04-to-close-05",
    "FieldDisagreement": "effortless-owl|StepTransitions.HasReachableTarget",
    "RecordId": "close-04-to-close-05",
    "ExpectedValue": "true",
    "ActualValue": "false",
    "Reason": "wrong/null value",
    "SemanticTypeIri": "urn:effortless:pko-extension#CellDisagreement",
    "Name": "effortless-owl|StepTransitions.HasReachableTarget @ close-04-to-close-05",
    "Substrate": "effortless-owl",
    "RulebookField": "StepTransitions.HasReachableTarget"
   },
   {
    "CellDisagreementId": "effortless-owl|StepTransitions.HasReachableTarget|close-05-expedite-close-07",
    "FieldDisagreement": "effortless-owl|StepTransitions.HasReachableTarget",
    "RecordId": "close-05-expedite-close-07",
    "ExpectedValue": "true",
    "ActualValue": "false",
    "Reason": "wrong/null value",
    "SemanticTypeIri": "urn:effortless:pko-extension#CellDisagreement",
    "Name": "effortless-owl|StepTransitions.HasReachableTarget @ close-05-expedite-close-07",
    "Substrate": "effortless-owl",
    "RulebookField": "StepTransitions.HasReachableTarget"
   },
   {
    "CellDisagreementId": "effortless-owl|StepTransitions</t>
  </si>
  <si>
    <t xml:space="preserve">.HasReachableTarget|close-05-to-close-06",
    "FieldDisagreement": "effortless-owl|StepTransitions.HasReachableTarget",
    "RecordId": "close-05-to-close-06",
    "ExpectedValue": "true",
    "ActualValue": "false",
    "Reason": "wrong/null value",
    "SemanticTypeIri": "urn:effortless:pko-extension#CellDisagreement",
    "Name": "effortless-owl|StepTransitions.HasReachableTarget @ close-05-to-close-06",
    "Substrate": "effortless-owl",
    "RulebookField": "StepTransitions.HasReachableTarget"
   },
   {
    "CellDisagreementId": "effortless-owl|StepTransitions.HasReachableTarget|close-06-return-close-04",
    "FieldDisagreement": "effortless-owl|StepTransitions.HasReachableTarget",
    "RecordId": "close-06-return-close-04",
    "ExpectedValue": "true",
    "ActualValue": "false",
    "Reason": "wrong/null value",
    "SemanticTypeIri": "urn:effortless:pko-extension#CellDisagreement",
    "Name": "effortless-owl|StepTransitions.HasReachableTarget @ close-06-return-close-04",
    "Substrate": "effortless-owl",
    "RulebookField": "StepTransitions.HasReachableTarget"
   },
   {
    "CellDisagreementId": "effortless-owl|StepTransitions.HasReachableTarget|close-06-to-close-07",
    "FieldDisagreement": "effortless-owl|StepTransitions.HasReachableTarget",
    "RecordId": "close-06-to-close-07",
    "ExpectedValue": "true",
    "ActualValue": "false",
    "Reason": "wrong/null value",
    "SemanticTypeIri": "urn:effortless:pko-extension#CellDisagreement",
    "Name": "effortless-owl|StepTransitions.HasReachableTarget @ close-06-to-close-07",
    "Substrate": "effortless-owl",
    "RulebookField": "StepTransitions.HasReachableTarget"
   },
   {
    "CellDisagreementId": "effortless-owl|StepTransitions.HasReachableTarget|close-07-to-close-08",
    "FieldDisagreement": "effortless-owl|StepTransitions.HasReachableTarget",
    "RecordId": "close-07-to-close-08",
    "ExpectedValue": "true",
    "ActualValue": "false",
    "Reason": "wrong/null value",
    "SemanticTypeIri": "urn:effortless:pko-extension#CellDisagreement",
    "Name": "effortless-owl|StepTransitions.HasReachableTarget @ close-07-to-close-08",
    "Substrate": "effortless-owl",
    "RulebookField": "StepTransitions.HasReachableTarget"
   },
   {
    "CellDisagreementId": "effortless-owl|StepTransitions.HasReachableTarget|policy-01-to-policy-02",
    "FieldDisagreement": "effortless-owl|StepTransitions.HasReachableTarget",
    "RecordId": "policy-01-to-policy-02",
    "ExpectedValue": "true",
    "ActualValue": "false",
    "Reason": "wrong/null value",
    "SemanticTypeIri": "urn:effortless:pko-extension#CellDisagreement",
    "Name": "effortless-owl|StepTransitions.HasReachableTarget @ policy-01-to-policy-02",
    "Substrate": "effortless-owl",
    "RulebookField": "StepTransitions.HasReachableTarget"
   },
   {
    "CellDisagreementId": "effortless-owl|StepTransitions.HasReachableTarget|policy-02-to-policy-03",
    "FieldDisagreement": "effortless-owl|StepTransitions.HasReachableTarget",
    "RecordId": "policy-02-to-policy-03",
    "ExpectedValue": "true",
    "ActualValue": "false",
    "Reason": "wrong/null value",
    "SemanticTypeIri": "urn:effortless:pko-extension#CellDisagreement",
    "Name": "effortless-owl|StepTransitions.HasReachableTarget @ policy-02-to-policy-03",
    "Substrate": "effortless-owl",
    "RulebookField": "StepTransitions.HasReachableTarget"
   },
   {
    "CellDisagreementId": "effortless-owl|StepTransitions.HasReachableTarget|policy-03-to-policy-04",
    "FieldDisagreement": "effortless-owl|StepTransitions.HasReachableTarget",
    "RecordId": "policy-03-to-policy-04",
    "ExpectedValue": "true",
    "ActualValue": "false",
    "Reason": "wrong/null value",
    "SemanticTypeIri": "urn:effortless:pko-extension#CellDisagreement",
    "Name": "effortless-owl|StepTransitions.HasReachableTarget @ policy-03-to-policy-04",
    "Substrate": "effortless-owl",
    "RulebookField": "StepTransitions.HasReachableTarget"
   },
   {
    "CellDisagreementId": "effortless-owl|StepTransitions.HasReachableTarget|policy-04-return-policy-03",
    "FieldDisagreement": "effortless-owl|StepTransitions.HasReachableTarget",
    "RecordId": "policy-04-return-policy-03",
    "ExpectedValue": "true",
    "ActualValue": "false",
    "Reason": "wrong/null value",
    "SemanticTypeIri": "urn:effortless:pko-extension#CellDisagreement",
    "Name": "effortless-owl|StepTransitions.HasReachableTarget @ policy-04-return-policy-03",
    "Substrate": "effortless-owl",
    "RulebookField": "StepTransitions.HasReachableTarget"
   },
   {
    "CellDisagreementId": "effortless-owl|StepTransitions.IsNeverExercised|close-01-to-close-02",
    "FieldDisagreement": "effortless-owl|StepTransitions.IsNeverExercised",
    "RecordId": "close-01-to-close-02",
    "ExpectedValue": "false",
    "ActualValue": "true",
    "Reason": "wrong/null value",
    "SemanticTypeIri": "urn:effortless:pko-extension#CellDisagreement",
    "Name": "effortless-owl|StepTransitions.IsNeverExercised @ close-01-to-close-02",
    "Substrate": "effortless-owl",
    "RulebookField": "StepTransitions.IsNeverExercised"
   },
   {
    "CellDisagreementId": "effortless-owl|StepTransitions.IsNeverExercised|close-02-to-close-03",
    "FieldDisagreement": "effortless-owl|StepTransitions.IsNeverExercised",
    "RecordId": "close-02-to-close-03",
    "ExpectedValue": "false",
    "ActualValue": "true",
    "Reason": "wrong/null value",
    "SemanticTypeIri": "urn:effortless:pko-extension#CellDisagreement",
    "Name": "effortless-owl|StepTransitions.IsNeverExercised @ close-02-to-close-03",
    "Substrate": "effortless-owl",
    "RulebookField": "StepTransitions.IsNeverExercised"
   },
   {
    "CellDisagreementId": "effortless-owl|StepTransitions.IsNeverExercised|close-03-to-close-04",
    "FieldDisagreement": "effortless-owl|StepTransitions.IsNeverExercised",
    "RecordId": "close-03-to-close-04",
    "ExpectedValue": "false",
    "ActualValue": "true",
    "Reason": "wrong/null value",
    "SemanticTypeIri": "urn:effortless:pko-extension#CellDisagreement",
    "Name": "effortless-owl|StepTransitions.IsNeverExercised @ close-03-to-close-04",
    "Substrate": "effortless-owl",
    "RulebookField": "StepTransitions.IsNeverExercised"
   },
   {
    "CellDisagreementId": "effortless-owl|StepTransitions.IsNeverExercised|close-04-fallback-close-03",
    "FieldDisagreement": "effortless-owl|StepTransitions.IsNeverExercised",
    "RecordId": "close-04-fallback-close-03",
    "ExpectedValue": "false",
    "ActualValue": "true",
    "Reason": "wrong/null value",
    "SemanticTypeIri": "urn:effortless:pko-extension#CellDisagreement",
    "Name": "effortless-owl|StepTransitions.IsNeverExercised @ close-04-fallback-close-03",
    "Substrate": "effortless-owl",
    "RulebookField": "StepTransitions.IsNeverExercised"
   },
   {
    "CellDisagreementId": "effortless-owl|StepTransitions.IsNeverExercised|close-04-to-close-05",
    "FieldDisagreement": "effortless-owl|StepTransitions.IsNeverExercised",
    "RecordId": "close-04-to-close-05",
    "ExpectedValue": "false",
    "ActualValue": "true",
    "Reason": "wrong/null value",
    "SemanticTypeIri": "urn:effortless:pko-extension#CellDisagreement",
    "Name": "effortless-owl|StepTransitions.IsNeverExercised @ close-04-to-close-05",
    "Substrate": "effortless-owl",
    "RulebookField": "StepTransitions.IsNeverExercised"
   },
   {
    "CellDisagreementId": "effortless-owl|StepTransitions.IsNeverExercised|close-05-expedite-close-07",
    "FieldDisagreement": "effortless-owl|StepTransitions.IsNeverExercised",
    "RecordId": "close-05-expedite-close-07",
    "ExpectedValue": "false",
    "ActualValue": "true",
    "Reason": "wrong/null value",
    "SemanticTypeIri": "urn:effortless:pko-extension#CellDisagreement",
    "Name": "effortless-owl|StepTransitions.IsNeverExercised @ close-05-expedite-close-07",
    "Substrate": "effortless-owl",
    "RulebookField": "StepTransitions.IsNeverExercised"
   },
   {
    "CellDisagreementId": "effortless-owl|StepTransitions.IsNeverExercised|close-05-to-close-06",
    "FieldDisagreement": "effortless-owl|StepTransitions.IsNeverExercised",
    "RecordId": "close-05-to-close-06",
    "ExpectedValue": "false",
    "ActualValue": "true",
    "Reason": "wrong/null value",
    "SemanticTypeIri": "urn:effortless:pko-extension#CellDisagreement",
    "Name": "effortless-owl|StepTransitions.IsNeverExercised @ close-05-to-close-06",
    "Substrate": "effortless-owl",
    "RulebookField": "StepTransitions.IsNeverExercised"
   },
   {
    "CellDisagreementId": "effortless-owl|StepTransitions.IsNeverExercised|close-06-return-close-04",
    "FieldDisagreement": "effortless-owl|StepTransitions.IsNeverExercised",
    "RecordId": "close-06-return-close-04",
    "ExpectedValue": "false",
    "ActualValue": "true",
    "Reason": "wrong/null value",
    "SemanticTypeIri": "urn:effortless:pko-extension#CellDisagreement",
    "Name": "effortless-owl|StepTransitions.IsNeverExercised @ close-06-return-close-04",
    "Substrate": "effortless-owl",
    "RulebookField": "StepTransitions.IsNeverExercised"
   },
   {
    "CellDisagreementId": "effortless-owl|StepTransitions.IsNeverExercised|close-06-to-close-07",
    "FieldDisagreement": "effortless-owl|StepTransitions.IsNeverExercised",
    "RecordId": "close-06-to-close-07",
    "ExpectedValue": "false",
    "ActualValue": "true",
    "Reason": "wrong/null value",
    "SemanticTypeIri": "urn:effortless:pko-extension#CellDisagreement",
    "Name": "effortless-owl|StepTransitions.IsNeverExercised @ close-06-to-close-07",
    "Substrate": "effortless-owl",
    "RulebookField": "StepTransitions.IsNeverExercised"
   },
   {
    "CellDisagreementId": "effortless-owl|StepTransitions.IsNeverExercised|close-07-to-close-08",
    "FieldDisagreement": "effortless-owl|StepTransitions.IsNeverExercised",
    "RecordId": "close-07-to-close-08",
    "ExpectedValue": "false",
    "ActualValue": "true",
    "Reason": "wrong/null value",
    "SemanticTypeIri": "urn:effortless:pko-extension#CellDisagreement",
    "Name": "effortless-owl|StepTransitions.IsNeverExercised @ close-07-to-close-08",
    "Substrate": "effortless-owl",
    "RulebookField": "StepTransitions.IsNeverExercised"
   },
   {
    "CellDisagreementId": "effortless-owl|StepTransitions.IsNeverExercised|policy-01-to-policy-02",
    "FieldDisagreement": "effortless-owl|StepTransitions.IsNeverExercised",
    "RecordId": "policy-01-to-policy-02",
    "ExpectedValue": "false",
    "ActualValue": "true",
    "Reason": "wrong/null value",
    "SemanticTypeIri": "urn:effortless:pko-extension#CellDisagreement",
    "Name": "effortless-owl|StepTransitions.IsNeverExercised @ policy-01-to-policy-02",
    "Substrate": "effortless-owl",
    "RulebookField": "StepTransitions.IsNeverExercised"
   },
   {
    "CellDisagreementId": "effortless-owl|StepTransitions.IsNeverExercised|policy-02-to-policy-03",
    "FieldDisagreement": "effortless-owl|StepTransitions.IsNeverExercised",
    "RecordId": "policy-02-to-policy-03",
    "ExpectedValue": "false",
    "ActualValue": "true",
    "Reason": "wrong/null value",
    "SemanticTypeIri": "urn:effortless:pko-extension#CellDisagreement",
    "Name": "effortless-owl|StepTransitions.IsNeverExercised @ policy-02-to-policy-03",
    "Substrate": "effortless-owl",
    "RulebookField": "StepTransitions.IsNeverExercised"
   },
   {
    "CellDisagreementId": "effortless-owl|StepTransitions.IsNeverExercised|policy-03-to-policy-04",
    "FieldDisagreement": "effortless-owl|StepTransitions.IsNeverExercised",
    "RecordId": "policy-03-to-policy-04",
    "ExpectedValue": "false",
    "ActualValue": "true",
    "Reason": "wrong/null value",
    "SemanticTypeIri": "urn:effortless:pko-extension#CellDisagreement",
    "Name": "effortless-owl|StepTransitions.IsNeverExercised @ policy-03-to-policy-04",
    "Substrate": "effortless-owl",
    "RulebookField": "StepTransitions.IsNeverExercised"
   },
   {
    "CellDisagreementId": "effortless-owl|StepTransitions.IsNeverExercised|policy-04-return-policy-03",
    "FieldDisagreement": "effortless-owl|StepTransitions.IsNeverExercised",
    "RecordId": "policy-04-return-policy-03",
    "ExpectedValue": "false",
    "ActualValue": "true",
    "Reason": "wrong/null value",
    "SemanticTypeIri": "urn:effortless:pko-extension#CellDisagreement",
    "Name": "effortless-owl|StepTransitions.IsNeverExercised @ policy-04-return-policy-03",
    "Substrate": "effortless-owl",
    "RulebookField": "StepTransitions.IsNeverExercised"
   },
   {
    "CellDisagreementId": "effortless-owl|StepTransitions.IsUntestedRecoveryPath|close-04-fallback-close-03",
    "FieldDisagreement": "effortless-owl|StepTransitions.IsUntestedRecoveryPath",
    "RecordId": "close-04-fallback-close-03",
    "ExpectedValue": "false",
    "ActualValue": "true",
    "Reason": "wrong/null value",
    "SemanticTypeIri": "urn:effortless:pko-extension#CellDisagreement",
    "Name": "effortless-owl|StepTransitions.IsUntestedRecoveryPath @ close-04-fallback-close-03",
    "Substrate": "effortless-owl",
    "RulebookField": "StepTransitions.IsUntestedRecoveryPath"
   },
   {
    "CellDisagreementId": "effortless-owl|StepTransitions.IsUntestedRecoveryPath|close-05-expedite-close-07",
    "FieldDisagreement": "effortless-owl|StepTransitions.IsUntestedRecoveryPath",
    "RecordId": "close-05-expedite-close-07",
    "ExpectedValue": "false",
    "ActualValue": "true",
    "Reason": "wrong/null value",
    "SemanticTypeIri": "urn:effortless:pko-extension#CellDisagreement",
    "Name": "effortless-owl|StepTransitions.IsUntestedRecoveryPath @ close-05-expedite-close-07",
    "Substrate": "effortless-owl",
    "RulebookField": "StepTransitions.IsUntestedRecoveryPath"
   },
   {
    "CellDisagreementId": "effortless-owl|StepTransitions.IsUntestedRecoveryPath|close-06-return-close-04",
    "FieldDisagreement": "effortless-owl|StepTransitions.IsUntestedRecoveryPath",
    "RecordId": "close-06-return-close-04",
    "ExpectedValue": "false",
    "ActualValue": "true",
    "Reason": "wrong/null value",
    "SemanticTypeIri": "urn:effortless:pko-extension#CellDisagreement",
    "Name": "effortless-owl|StepTransitions.IsUntestedRecoveryPath @ close-06-return-close-04",
    "Substrate": "effortless-owl",
    "RulebookField": "StepTransitions.IsUntestedRecoveryPath"
   },
   {
    "CellDisagreementId": "effortless-owl|StepTransitions.IsUntestedRecoveryPath|policy-04-return-policy-03",
    "FieldDisagreement": "effortless-owl|StepTransitions.IsUntestedRecoveryPath",
    "RecordId": "policy-04-return-policy-03",
    "ExpectedValue": "false",
    "ActualValue": "true",
    "Reason": "wrong/null value",
    "SemanticTypeIri": "urn:effortless:pko-extension#CellDisagreement",
    "Name": "effortless-owl|StepTransitions.IsUntestedRecoveryPath @ policy-04-return-policy-03",
    "Substrate": "effortless-owl",
    "RulebookField": "StepTransitions.IsUntestedRecoveryPath"
   },
   {
    "CellDisagreementId": "effortless-owl|KnowledgeFragments.IsInvokedByAnException|kf-policy-channel",
    "FieldDisagreement": "effortless-owl|KnowledgeFragments.IsInvokedByAnException",
    "RecordId": "kf-policy-channel",
    "ExpectedValue": "1",
    "ActualValue": "0",
    "Reason": "wrong/null value",
    "SemanticTypeIri": "urn:effortless:pko-extension#CellDisagreement",
    "Name": "effortless-owl|KnowledgeFragments.IsInvokedByAnException @ kf-policy-channel",
    "Substrate": "effortless-owl",
    "RulebookField": "KnowledgeFragments.IsInvokedByAnException"
   },
   {
    "CellDisagreementId": "effortless-owl|KnowledgeFragments.IsInvokedByAnException|kf-policy-manager-route",
    "FieldDisagreement": "effortless-owl|KnowledgeFragments.IsInvokedByAnException",
    "RecordId": "kf-policy-manager-route",
    "ExpectedValue": "1",
    "ActualValue": "0",
    "Reason": "wrong/null value",
    "SemanticTypeIri": "urn:effortless:pko-extension#CellDisagreement",
    "Name": "effortless-owl|KnowledgeFragments.IsInvokedByAnException @ kf-policy-manager-route",
    "Substrate": "effortless-owl",
    "RulebookField": "KnowledgeFragments.IsInvokedByAnException"
   },
   {
    "CellDisagreementId": "effortless-owl|KnowledgeFragments.HasOperationalReliance|kf-policy-channel",
    "FieldDisagreement": "effortless-owl|KnowledgeFragments.HasOperationalReliance",
    "RecordId": "kf-policy-channel",
    "ExpectedValue": "true",
    "ActualValue": "false",
    "Reason": "wrong/null value",
    "SemanticTypeIri": "urn:effortless:pko-extension#CellDisagreement",
    "Name": "effortless-owl|KnowledgeFragments.HasOperationalReliance @ kf-policy-channel",
    "Substrate": "effortless-owl",
    "RulebookField": "KnowledgeFragments.HasOperationalReliance"
   },
   {
    "CellDisagreementId": "effortless-owl|KnowledgeFragments.HasOperationalReliance|kf-policy-manager-route",
    "FieldDisagreement": "effortless-owl|KnowledgeFragments.HasOperationalReliance",
    "RecordId": "kf-policy-manager-route",
    "ExpectedValue": "true",
    "ActualValue": "false",
    "Reason": "wrong/null value",
    "SemanticTypeIri": "urn:effortless:pko-extension#CellDisagreement",
    "Name": "effortless-owl|KnowledgeFragments.HasOperationalReliance @ kf-policy-manager-route",
    "Substrate": "effortless-owl",
    "RulebookField": "KnowledgeFragments.HasOperationalReliance"
   },
   {
    "CellDisagreementId": "effortless-owl|KnowledgeFragments.FragilitySignalCount|kf-policy-channel",
    "FieldDisagreement": "effortless-owl|KnowledgeFragments.FragilitySignalCount",
    "RecordId": "kf-policy-channel",
    "ExpectedValue": "2",
    "ActualValue": "1",
    "Reason": "wrong/null value",
    "SemanticTypeIri": "urn:effortless:pko-extension#CellDisagreement",
    "Name": "effortless-owl|KnowledgeFragments.FragilitySignalCount @ kf-policy-channel",
    "Substrate": "effortless-owl",
    "RulebookField": "KnowledgeFragments.FragilitySignalCount"
   },
   {
    "CellDisagreementId": "effortless-owl|KnowledgeFragments.FragilitySignalCount|kf-policy-manager-route",
    "FieldDisagreement": "effortless-owl|KnowledgeFragments.FragilitySignalCount",
    "RecordId": "kf-policy-manager-route",
    "ExpectedValue": "2",
    "ActualValue": "1",
    "Reason": "wrong/null value",
    "SemanticTypeIri": "urn:effortless:pko-extension#CellDisagreement",
    "Name": "effortless-owl|KnowledgeFragments.FragilitySignalCount @ kf-policy-manager-route",
    "Substrate": "effortless-owl",
    "RulebookField": "KnowledgeFragments.FragilitySignalCount"
   },
   {
    "CellDisagreementId": "effortless-owl|KnowledgeFragments.RelianceSurfaceCount|kf-policy-channel",
    "FieldDisagreement": "effortless-owl|KnowledgeFragments.RelianceSurfaceCount",
    "RecordId": "kf-policy-channel",
    "ExpectedValue": "1",
    "ActualValue": "0",
    "Reason": "wrong/null value",
    "SemanticTypeIri": "urn:effortless:pko-extension#CellDisagreement",
    "Name": "effortless-owl|KnowledgeFragments.RelianceSurfaceCount @ kf-policy-channel",
    "Substrate": "effortless-owl",
    "RulebookField": "KnowledgeFragments.RelianceSurfaceCount"
   },
   {
    "CellDisagreementId": "effortless-owl|KnowledgeFragments.RelianceSurfaceCount|kf-policy-manager-route",
    "FieldDisagreement": "effortless-owl|KnowledgeFragments.RelianceSurfaceCount",
    "RecordId": "kf-policy-manager-route",
    "ExpectedValue": "1",
    "ActualValue": "0",
    "Reason": "wrong/null value",
    "SemanticTypeIri": "urn:effortless:pko-extension#CellDisagreement",
    "Name": "effortless-owl|KnowledgeFragments.RelianceSurfaceCount @ kf-policy-manager-route",
    "Substrate": "effortless-owl",
    "RulebookField": "KnowledgeFragments.RelianceSurfaceCount"
   },
   {
    "CellDisagreementId": "effortless-owl|KnowledgeFragments.IsUnapprovedAndOperationallyLive|kf-policy-manager-route",
    "FieldDisagreement": "effortless-owl|KnowledgeFragments.IsUnapprovedAndOperationallyLive",
    "RecordId": "kf-policy-manager-route",
    "ExpectedValue": "true",
    "ActualValue": "false",
    "Reason": "wrong/null value",
    "SemanticTypeIri": "urn:effortless:pko-extension#CellDisagreement",
    "Name": "effortless-owl|KnowledgeFragments.IsUnapprovedAndOperationallyLive @ kf-policy-manager-route",
    "Substrate": "effortless-owl",
    "RulebookField": "KnowledgeFragments.IsUnapprovedAndOperationallyLive"
   },
   {
    "CellDisagreementId": "effortless-owl|DeliveredCommunications.Name|dc-hr4821-email-001",
    "FieldDisagreement": "effortless-owl|DeliveredCommunications.Name",
    "RecordId": "dc-hr4821-email-001",
    "ExpectedValue": "\"Email -&gt; emp-anon-0001 @ \"",
    "ActualValue": "null",
    "Reason": "wrong/null value",
    "SemanticTypeIri": "urn:effortless:pko-extension#CellDisagreement",
    "Name": "effortless-owl|DeliveredCommunications.Name @ dc-hr4821-email-001",
    "Substrate": "effortless-owl",
    "RulebookField": "DeliveredCommunications.Name"
   },
   {
    "CellDisagreementId": "effortless-owl|AppRoleProfiles.RouteCount|profile-cfo",
    "FieldDisagreement": "effortless-owl|AppRoleProfiles.RouteCount",
    "RecordId": "profile-cfo",
    "ExpectedValue": "12",
    "ActualValue": "0",
    "Reason": "wrong/null value",
    "SemanticTypeIri": "urn:effortless:pko-extension#CellDisagreement",
    "Name": "effortless-owl|AppRoleProfiles.RouteCount @ profile-cfo",
    "Substrate": "effortless-owl",
    "RulebookField": "AppRoleProfiles.RouteCount"
   },
   {
    "CellDisagreementId": "effortless-owl|AppRoleProfiles.RouteCount|profile-close-automation",
    "FieldDisagreement": "effortless-owl|AppRoleProfiles.RouteCount",
    "RecordId": "profile-close-automation",
    "ExpectedValue": "6",
    "ActualValue": "0",
    "Reason": "wrong/null value",
    "SemanticTypeIri": "urn:effortless:pko-extension#CellDisagreement",
    "Name": "effortless-owl|AppRoleProfiles.RouteCount @ profile-close-automation",
    "Substrate": "effortless-owl",
    "RulebookField": "AppRoleProfiles.RouteCount"
   },
   {
    "CellDisagreementId": "effortless-owl|AppRoleProfiles.RouteCount|profile-communications-manager",
    "FieldDisagreement": "effortless-owl|AppRoleProfiles.RouteCount",
    "RecordId": "profile-communications-manager",
    "ExpectedValue": "11",
    "ActualValue": "0",
    "Reason": "wrong/null value",
    "SemanticTypeIri": "urn:effortless:pko-extension#CellDisagreement",
    "Name": "effortless-owl|AppRoleProfiles.RouteCount @ profile-communications-manager",
    "Substrate": "effortless-owl",
    "RulebookField": "AppRoleProfiles.RouteCount"
   },
   {
    "CellDisagreementId": "effortless-owl|AppRoleProfiles.RouteCount|profile-controller",
    "FieldDisagreement": "effortless-owl|AppRoleProfiles.RouteCount",
    "RecordId": "profile-controller",
    "ExpectedValue": "10",
    "ActualValue": "0",
    "Reason": "wrong/null value",
    "SemanticTypeIri": "urn:effortless:pko-extension#CellDisagreement",
    "Name": "effortless-owl|AppRoleProfiles.RouteCount @ profile-controller",
    "Substrate": "effortless-owl",
    "RulebookField": "AppRoleProfiles.RouteCount"
   },
   {
    "CellDisagreementId": "effortless-owl|AppRoleProfiles.RouteCount|profile-employment-counsel",
    "FieldDisagreement": "effortless-owl|AppRoleProfiles.RouteCount",
    "RecordId": "profile-employment-counsel",
    "ExpectedValue": "6",
    "ActualValue": "0",
    "Reason": "wrong/null value",
    "SemanticTypeIri": "urn:effortless:pko-extension#CellDisagreement",
    "Name": "effortless-owl|AppRoleProfiles.RouteCount @ profile-employment-counsel",
    "Substrate": "effortless-owl",
    "RulebookField": "AppRoleProfiles.RouteCount"
   },
   {
    "CellDisagreementId": "effortless-owl|AppRoleProfiles.RouteCount|profile-finance-analyst",
    "FieldDisagreement": "effortless-owl|AppRoleProfiles.RouteCount",
    "RecordId": "profile-finance-analyst",
    "ExpectedValue": "11",
    "ActualValue": "0",
    "Reason": "wrong/null value",
    "SemanticTypeIri": "urn:effortless:pko-extension#CellDisagreement",
    "Name": "effortless-owl|AppRoleProfiles.RouteCount @ profile-finance-analyst",
    "Substrate": "effortless-owl",
    "RulebookField": "AppRoleProfiles.RouteCount"
   },
   {
    "CellDisagreementId": "effortless-owl|AppRoleProfiles.RouteCount|profile-hr-policy-owner",
    "FieldDisagreement": "effortless-owl|AppRoleProfiles.RouteCount",
    "RecordId": "profile-hr-policy-owner",
    "ExpectedValue": "10",
    "ActualValue": "0",
    "Reason": "wrong/null value",
    "SemanticTypeIri": "urn:effortless:pko-extension#CellDisagreement",
    "Name": "effortless-owl|AppRoleProfiles.RouteCount @ profile-hr-policy-owner",
    "Substrate": "effortless-owl",
    "RulebookField": "AppRoleProfiles.RouteCount"
   },
   {
    "CellDisagreementId": "effortless-owl|AppRoleProfiles.RouteCount|profile-knowledge-authority",
    "FieldDisagreement": "effortless-owl|AppRoleProfiles.RouteCount",
    "RecordId": "profile-knowledge-authority",
    "ExpectedValue": "11",
    "ActualValue": "0",
    "Reason": "wrong/null value",
    "SemanticTypeIri": "urn:effortless:pko-extension#CellDisagreement",
    "Name": "effortless-owl|AppRoleProfiles.RouteCount @ profile-knowledge-authority",
    "Substrate": "effortless-owl",
    "RulebookField": "AppRoleProfiles.RouteCount"
   },
   {
    "CellDisagreementId": "effortless-owl|AppRoleProfiles.RouteCount|profile-notification-publisher",
    "FieldDisagreement": "effortless-owl|AppRoleProfiles.RouteCount",
    "RecordId": "profile-notification-publisher",
    "ExpectedValue": "11",
    "ActualValue": "0",
    "Reason": "wrong/null value",
    "SemanticTypeIri": "urn:effortless:pko-extension#CellDisagreement",
    "Name": "effortless-owl|AppRoleProfiles.RouteCount @ profile-notification-publisher",
    "Substrate": "effortless-owl",
    "RulebookField": "AppRoleProfiles.RouteCount"
   },
   {
    "CellDisagreementId": "effortless-owl|AppRoleProfiles.RouteCount|profile-policy-drafting-agent",
    "FieldDisagreement": "effortless-owl|AppRoleProfiles.RouteCount",
    "RecordId": "profile-policy-drafting-agent",
    "ExpectedValue": "6",
    "ActualValue": "0",
    "Reason": "wrong/null value",
    "SemanticTypeIri": "urn:effortless:pko-extension#CellDisagreement",
    "Name": "effortless-owl|AppRoleProfiles.RouteCount @ profile-policy-drafting-agent",
    "Substrate": "effortless-owl",
    "RulebookField": "AppRoleProfiles.RouteCount"
   },
   {
    "CellDisagreementId": "effortless-owl|AppRoleProfiles.RouteCount|profile-process-steward",
    "FieldDisagreement": "effortless-owl|AppRoleProfiles.RouteCount",
    "RecordId": "profile-process-steward",
    "ExpectedValue": "11",
    "ActualValue": "0",
    "Reason": "wrong/null value",
    "SemanticTypeIri": "urn:effortless:pko-extension#CellDisagreement",
    "Name": "effortless-owl|AppRoleProfiles.RouteCount @ profile-process-steward",
    "Substrate": "effortless-owl",
    "RulebookField": "AppRoleProfiles.RouteCount"
   },
   {
    "CellDisagreementId": "effortless-owl|AppRoleProfiles.RouteCount|profile-variance-review-agent",
    "FieldDisagreement": "effortless-owl|AppRoleProfiles.RouteCount",
    "RecordId": "profile-variance-review-agent",
    "ExpectedValue": "11",
    "ActualValue": "0",
    "Reason": "wrong/null value",
    "SemanticTypeIri": "urn:effortless:pko-extension#CellDisagreement",
    "Name": "effortless-owl|AppRoleProfiles.RouteCount @ profile-variance-review-agent",
    "Substrate": "effortless-owl",
    "RulebookField": "AppRoleProfiles.RouteCount"
   },
   {
    "CellDisagreementId": "effortless-owl|AccessDenialTests.Name|deny-cfo-send-intents",
    "FieldDisagreement": "effortless-owl|AccessDenialTests.Name",
    "RecordId": "deny-cfo-send-intents",
    "ExpectedValue": "\"principal-cfo must not see \"",
    "ActualValue": "null",
    "Reason": "wrong/null value",
    "SemanticTypeIri": "urn:effortless:pko-extension#CellDisagreement",
    "Name": "effortless-owl|AccessDenialTests.Name @ deny-cfo-send-intents",
    "Substrate": "effortless-owl",
    "RulebookField": "AccessDenialTests.Name"
   },
   {
    "CellDisagreementId": "effortless-owl|AccessDenialTests.Name|deny-cfo-step-executions",
    "FieldDisagreement": "effortless-owl|AccessDenialTests.Name",
    "RecordId": "deny-cfo-step-executions",
    "ExpectedValue": "\"principal-cfo must not see \"",
    "ActualValue": "null",
    "Reason": "wrong/null value",
    "SemanticTypeIri": "urn:effortless:pko-extension#CellDisagreement",
    "Name": "effortless-owl|AccessDenialTests.Name @ deny-cfo-step-executions",
    "Substrate": "effortless-owl",
    "RulebookField": "AccessDenialTests.Name"
   },
   {
    "CellDisagreementId": "effortless-owl|AccessDenialTests.Name|deny-close-automation-change-requests",
    "FieldDisagreement": "effortless-owl|AccessDenialTests.Name",
    "RecordId": "deny-close-automation-change-requests",
    "ExpectedValue": "\"principal-close-automation must not see \"",
    "ActualValue": "null",
    "Reason": "wrong/null value",
    "SemanticTypeIri": "urn:effortless:pko-extension#CellDisagreement",
    "Name": "effortless-owl|AccessDenialTests.Name @ deny-close-automation-change-requests",
    "Substrate": "effortless-owl",
    "RulebookField": "AccessDenialTests.Name"
   },
   {
    "CellDisagreementId": "effortless-owl|AccessDenialTests.Name|deny-close-automation-recipients",
    "FieldDisagreement": "effortless-owl|AccessDenialTests.Name",
    "RecordId": "deny-close-automation-recipients",
    "ExpectedValue": "\"principal-close-automation must not see \"",
    "ActualValue": "null",
    "Reason": "wrong/null value",
    "SemanticTypeIri": "urn:effortless:pko-extension#CellDisagreement",
    "Name": "effortless-owl|AccessDenialTests.Name @ deny-close-automation-recipients",
    "Substrate": "effortless-owl",
    "RulebookField": "AccessDenialTests.Name"
   },
   {
    "CellDisagreementId": "effortless-owl|AccessDenialTests.Name|deny-employment-counsel-step-executions",
    "FieldDisagreement": "effortless-owl|AccessDenialTests.Name",
    "RecordId": "deny-employment-counsel-step-executions",
    "ExpectedValue": "\"principal-employment-counsel must not see \"",
    "ActualValue": "null",
    "Reason": "wrong/null value",
    "SemanticTypeIri": "urn:effortless:pko-extension#CellDisagreement",
    "Name": "effortless-owl|AccessDenialTests.Name @ deny-employment-counsel-step-executions",
    "Substrate": "effortless-owl",
    "RulebookField": "AccessDenialTests.Name"
   },
   {
    "CellDisagreementId": "effortless-owl|AccessDenialTests.Name|deny-notification-publisher-knowledge-fragments",
    "FieldDisagreement": "effortless-owl|AccessDenialTests.Name",
    "RecordId": "deny-notification-publisher-knowledge-fragments",
    "ExpectedValue": "\"principal-notification-publisher must not see \"",
    "ActualValue": "null",
    "Reason": "wrong/null value",
    "SemanticTypeIri": "urn:effortless:pko-extension#CellDisagreement",
    "Name": "effortless-owl|AccessDenialTests.Name @ deny-notification-publisher-knowledge-fragments",
    "Substrate": "effortless-owl",
    "RulebookField": "AccessDenialTests.Name"
   },
   {
    "CellDisagreementId": "effortless-owl|AccessDenialTests.Name|deny-policy-drafting-agent-recipients",
    "FieldDisagreement": "effortless-owl|AccessDenialTests.Name",
    "RecordId": "deny-policy-drafting-agent-recipients",
    "ExpectedValue": "\"principal-policy-drafting-agent must not see \"",
    "ActualValue": "null",
    "Reason": "wrong/null value",
    "SemanticTypeIri": "urn:effortless:pko-extension#CellDisagreement",
    "Name": "effortless-owl|AccessDenialTests.Name @ deny-policy-drafting-agent-recipients",
    "Substrate": "effortless-owl",
    "RulebookField": "AccessDenialTests.Name"
   },
   {
    "CellDisagreementId": "effortless-owl|AccessDenialTests.Name|deny-variance-review-agent-recipients",
    "FieldDisagreement": "effortless-owl|AccessDenialTests.Name",
    "RecordId": "deny-variance-review-agent-recipients",
    "ExpectedValue": "\"principal-variance-review-agent must not see \"",
    "ActualValue": "null",
    "Reason": "wrong/null value",
    "SemanticTypeIri": "urn:effortless:pko-extension#CellDisagreement",
    "Name": "effortless-owl|AccessDenialTests.Name @ deny-variance-review-agent-recipients",
    "Substrate": "effortless-owl",
    "RulebookField": "AccessDenialTests.Name"
   },
   {
    "CellDisagreementId": "effortless-owl|CellDisagreements.Name|effortless-entity-framework|Steps.IsBlockingControlOnReworkLoop|close-03",
    "FieldDisagreement": "effortless-owl|CellDisagreements.Name",
    "RecordId": "effortless-entity-framework|Steps.IsBlockingControlOnReworkLoop|close-03",
    "ExpectedValue": "\"effortless-entity-framework|Steps.IsBlockingControlOnReworkLoop @ close-03\"",</t>
  </si>
  <si>
    <t xml:space="preserve">
    "ActualValue": "\"effortless-entity-framework-Steps.IsBlockingControlOnReworkLoop @ close-03\"",
    "Reason": "wrong/null value",
    "SemanticTypeIri": "urn:effortless:pko-extension#CellDisagreement",
    "Name": "effortless-owl|CellDisagreements.Name @ effortless-entity-framework|Steps.IsBlockingControlOnReworkLoop|close-03",
    "Substrate": "effortless-owl",
    "RulebookField": "CellDisagreements.Name"
   },
   {
    "CellDisagreementId": "effortless-owl|CellDisagreements.Name|effortless-entity-framework|Steps.IsBlockingControlOnReworkLoop|close-05",
    "FieldDisagreement": "effortless-owl|CellDisagreements.Name",
    "RecordId": "effortless-entity-framework|Steps.IsBlockingControlOnReworkLoop|close-05",
    "ExpectedValue": "\"effortless-entity-framework|Steps.IsBlockingControlOnReworkLoop @ close-05\"",
    "ActualValue": "\"effortless-entity-framework-Steps.IsBlockingControlOnReworkLoop @ close-05\"",
    "Reason": "wrong/null value",
    "SemanticTypeIri": "urn:effortless:pko-extension#CellDisagreement",
    "Name": "effortless-owl|CellDisagreements.Name @ effortless-entity-framework|Steps.IsBlockingControlOnReworkLoop|close-05",
    "Substrate": "effortless-owl",
    "RulebookField": "CellDisagreements.Name"
   },
   {
    "CellDisagreementId": "effortless-owl|CellDisagreements.Name|effortless-entity-framework|Steps.IsBlockingControlOnReworkLoop|close-06",
    "FieldDisagreement": "effortless-owl|CellDisagreements.Name",
    "RecordId": "effortless-entity-framework|Steps.IsBlockingControlOnReworkLoop|close-06",
    "ExpectedValue": "\"effortless-entity-framework|Steps.IsBlockingControlOnReworkLoop @ close-06\"",
    "ActualValue": "\"effortless-entity-framework-Steps.IsBlockingControlOnReworkLoop @ close-06\"",
    "Reason": "wrong/null value",
    "SemanticTypeIri": "urn:effortless:pko-extension#CellDisagreement",
    "Name": "effortless-owl|CellDisagreements.Name @ effortless-entity-framework|Steps.IsBlockingControlOnReworkLoop|close-06",
    "Substrate": "effortless-owl",
    "RulebookField": "CellDisagreements.Name"
   },
   {
    "CellDisagreementId": "effortless-owl|CellDisagreements.Name|effortless-entity-framework|Steps.IsBlockingControlOnReworkLoop|policy-03",
    "FieldDisagreement": "effortless-owl|CellDisagreements.Name",
    "RecordId": "effortless-entity-framework|Steps.IsBlockingControlOnReworkLoop|policy-03",
    "ExpectedValue": "\"effortless-entity-framework|Steps.IsBlockingControlOnReworkLoop @ policy-03\"",
    "ActualValue": "\"effortless-entity-framework-Steps.IsBlockingControlOnReworkLoop @ policy-03\"",
    "Reason": "wrong/null value",
    "SemanticTypeIri": "urn:effortless:pko-extension#CellDisagreement",
    "Name": "effortless-owl|CellDisagreements.Name @ effortless-entity-framework|Steps.IsBlockingControlOnReworkLoop|policy-03",
    "Substrate": "effortless-owl",
    "RulebookField": "CellDisagreements.Name"
   },
   {
    "CellDisagreementId": "effortless-owl|CellDisagreements.Name|effortless-entity-framework|Steps.IsBlockingControlOnReworkLoop|policy-04",
    "FieldDisagreement": "effortless-owl|CellDisagreements.Name",
    "RecordId": "effortless-entity-framework|Steps.IsBlockingControlOnReworkLoop|policy-04",
    "ExpectedValue": "\"effortless-entity-framework|Steps.IsBlockingControlOnReworkLoop @ policy-04\"",
    "ActualValue": "\"effortless-entity-framework-Steps.IsBlockingControlOnReworkLoop @ policy-04\"",
    "Reason": "wrong/null value",
    "SemanticTypeIri": "urn:effortless:pko-extension#CellDisagreement",
    "Name": "effortless-owl|CellDisagreements.Name @ effortless-entity-framework|Steps.IsBlockingControlOnReworkLoop|policy-04",
    "Substrate": "effortless-owl",
    "RulebookField": "CellDisagreements.Name"
   },
   {
    "CellDisagreementId": "effortless-owl|CellDisagreements.Name|effortless-entity-framework|Steps.IsBlockingControlOnReworkLoop|policy-06",
    "FieldDisagreement": "effortless-owl|CellDisagreements.Name",
    "RecordId": "effortless-entity-framework|Steps.IsBlockingControlOnReworkLoop|policy-06",
    "ExpectedValue": "\"effortless-entity-framework|Steps.IsBlockingControlOnReworkLoop @ policy-06\"",
    "ActualValue": "\"effortless-entity-framework-Steps.IsBlockingControlOnReworkLoop @ policy-06\"",
    "Reason": "wrong/null value",
    "SemanticTypeIri": "urn:effortless:pko-extension#CellDisagreement",
    "Name": "effortless-owl|CellDisagreements.Name @ effortless-entity-framework|Steps.IsBlockingControlOnReworkLoop|policy-06",
    "Substrate": "effortless-owl",
    "RulebookField": "CellDisagreements.Name"
   },
   {
    "CellDisagreementId": "effortless-owl|CellDisagreements.Name|effortless-entity-framework|Steps.IsBlockingControlOnReworkLoop|policy-07",
    "FieldDisagreement": "effortless-owl|CellDisagreements.Name",
    "RecordId": "effortless-entity-framework|Steps.IsBlockingControlOnReworkLoop|policy-07",
    "ExpectedValue": "\"effortless-entity-framework|Steps.IsBlockingControlOnReworkLoop @ policy-07\"",
    "ActualValue": "\"effortless-entity-framework-Steps.IsBlockingControlOnReworkLoop @ policy-07\"",
    "Reason": "wrong/null value",
    "SemanticTypeIri": "urn:effortless:pko-extension#CellDisagreement",
    "Name": "effortless-owl|CellDisagreements.Name @ effortless-entity-framework|Steps.IsBlockingControlOnReworkLoop|policy-07",
    "Substrate": "effortless-owl",
    "RulebookField": "CellDisagreements.Name"
   },
   {
    "CellDisagreementId": "effortless-owl|CellDisagreements.Name|effortless-entity-framework|Steps.IsOnReworkLoop|close-03",
    "FieldDisagreement": "effortless-owl|CellDisagreements.Name",
    "RecordId": "effortless-entity-framework|Steps.IsOnReworkLoop|close-03",
    "ExpectedValue": "\"effortless-entity-framework|Steps.IsOnReworkLoop @ close-03\"",
    "ActualValue": "\"effortless-entity-framework-Steps.IsOnReworkLoop @ close-03\"",
    "Reason": "wrong/null value",
    "SemanticTypeIri": "urn:effortless:pko-extension#CellDisagreement",
    "Name": "effortless-owl|CellDisagreements.Name @ effortless-entity-framework|Steps.IsOnReworkLoop|close-03",
    "Substrate": "effortless-owl",
    "RulebookField": "CellDisagreements.Name"
   },
   {
    "CellDisagreementId": "effortless-owl|CellDisagreements.Name|effortless-entity-framework|Steps.IsOnReworkLoop|close-04",
    "FieldDisagreement": "effortless-owl|CellDisagreements.Name",
    "RecordId": "effortless-entity-framework|Steps.IsOnReworkLoop|close-04",
    "ExpectedValue": "\"effortless-entity-framework|Steps.IsOnReworkLoop @ close-04\"",
    "ActualValue": "\"effortless-entity-framework-Steps.IsOnReworkLoop @ close-04\"",
    "Reason": "wrong/null value",
    "SemanticTypeIri": "urn:effortless:pko-extension#CellDisagreement",
    "Name": "effortless-owl|CellDisagreements.Name @ effortless-entity-framework|Steps.IsOnReworkLoop|close-04",
    "Substrate": "effortless-owl",
    "RulebookField": "CellDisagreements.Name"
   },
   {
    "CellDisagreementId": "effortless-owl|CellDisagreements.Name|effortless-entity-framework|Steps.IsOnReworkLoop|close-05",
    "FieldDisagreement": "effortless-owl|CellDisagreements.Name",
    "RecordId": "effortless-entity-framework|Steps.IsOnReworkLoop|close-05",
    "ExpectedValue": "\"effortless-entity-framework|Steps.IsOnReworkLoop @ close-05\"",
    "ActualValue": "\"effortless-entity-framework-Steps.IsOnReworkLoop @ close-05\"",
    "Reason": "wrong/null value",
    "SemanticTypeIri": "urn:effortless:pko-extension#CellDisagreement",
    "Name": "effortless-owl|CellDisagreements.Name @ effortless-entity-framework|Steps.IsOnReworkLoop|close-05",
    "Substrate": "effortless-owl",
    "RulebookField": "CellDisagreements.Name"
   },
   {
    "CellDisagreementId": "effortless-owl|CellDisagreements.Name|effortless-entity-framework|Steps.IsOnReworkLoop|close-06",
    "FieldDisagreement": "effortless-owl|CellDisagreements.Name",
    "RecordId": "effortless-entity-framework|Steps.IsOnReworkLoop|close-06",
    "ExpectedValue": "\"effortless-entity-framework|Steps.IsOnReworkLoop @ close-06\"",
    "ActualValue": "\"effortless-entity-framework-Steps.IsOnReworkLoop @ close-06\"",
    "Reason": "wrong/null value",
    "SemanticTypeIri": "urn:effortless:pko-extension#CellDisagreement",
    "Name": "effortless-owl|CellDisagreements.Name @ effortless-entity-framework|Steps.IsOnReworkLoop|close-06",
    "Substrate": "effortless-owl",
    "RulebookField": "CellDisagreements.Name"
   },
   {
    "CellDisagreementId": "effortless-owl|CellDisagreements.Name|effortless-entity-framework|Steps.IsOnReworkLoop|policy-03",
    "FieldDisagreement": "effortless-owl|CellDisagreements.Name",
    "RecordId": "effortless-entity-framework|Steps.IsOnReworkLoop|policy-03",
    "ExpectedValue": "\"effortless-entity-framework|Steps.IsOnReworkLoop @ policy-03\"",
    "ActualValue": "\"effortless-entity-framework-Steps.IsOnReworkLoop @ policy-03\"",
    "Reason": "wrong/null value",
    "SemanticTypeIri": "urn:effortless:pko-extension#CellDisagreement",
    "Name": "effortless-owl|CellDisagreements.Name @ effortless-entity-framework|Steps.IsOnReworkLoop|policy-03",
    "Substrate": "effortless-owl",
    "RulebookField": "CellDisagreements.Name"
   },
   {
    "CellDisagreementId": "effortless-owl|CellDisagreements.Name|effortless-entity-framework|Steps.IsOnReworkLoop|policy-04",
    "FieldDisagreement": "effortless-owl|CellDisagreements.Name",
    "RecordId": "effortless-entity-framework|Steps.IsOnReworkLoop|policy-04",
    "ExpectedValue": "\"effortless-entity-framework|Steps.IsOnReworkLoop @ policy-04\"",
    "ActualValue": "\"effortless-entity-framework-Steps.IsOnReworkLoop @ policy-04\"",
    "Reason": "wrong/null value",
    "SemanticTypeIri": "urn:effortless:pko-extension#CellDisagreement",
    "Name": "effortless-owl|CellDisagreements.Name @ effortless-entity-framework|Steps.IsOnReworkLoop|policy-04",
    "Substrate": "effortless-owl",
    "RulebookField": "CellDisagreements.Name"
   },
   {
    "CellDisagreementId": "effortless-owl|CellDisagreements.Name|effortless-entity-framework|Steps.IsOnReworkLoop|policy-06",
    "FieldDisagreement": "effortless-owl|CellDisagreements.Name",
    "RecordId": "effortless-entity-framework|Steps.IsOnReworkLoop|policy-06",
    "ExpectedValue": "\"effortless-entity-framework|Steps.IsOnReworkLoop @ policy-06\"",
    "ActualValue": "\"effortless-entity-framework-Steps.IsOnReworkLoop @ policy-06\"",
    "Reason": "wrong/null value",
    "SemanticTypeIri": "urn:effortless:pko-extension#CellDisagreement",
    "Name": "effortless-owl|CellDisagreements.Name @ effortless-entity-framework|Steps.IsOnReworkLoop|policy-06",
    "Substrate": "effortless-owl",
    "RulebookField": "CellDisagreements.Name"
   },
   {
    "CellDisagreementId": "effortless-owl|CellDisagreements.Name|effortless-entity-framework|Steps.IsOnReworkLoop|policy-07",
    "FieldDisagreement": "effortless-owl|CellDisagreements.Name",
    "RecordId": "effortless-entity-framework|Steps.IsOnReworkLoop|policy-07",
    "ExpectedValue": "\"effortless-entity-framework|Steps.IsOnReworkLoop @ policy-07\"",
    "ActualValue": "\"effortless-entity-framework-Steps.IsOnReworkLoop @ policy-07\"",
    "Reason": "wrong/null value",
    "SemanticTypeIri": "urn:effortless:pko-extension#CellDisagreement",
    "Name": "effortless-owl|CellDisagreements.Name @ effortless-entity-framework|Steps.IsOnReworkLoop|policy-07",
    "Substrate": "effortless-owl",
    "RulebookField": "CellDisagreements.Name"
   },
   {
    "CellDisagreementId": "effortless-owl|CellDisagreements.Name|effortless-entity-framework|Steps.ReachableStepCount|close-01",
    "FieldDisagreement": "effortless-owl|CellDisagreements.Name",
    "RecordId": "effortless-entity-framework|Steps.ReachableStepCount|close-01",
    "ExpectedValue": "\"effortless-entity-framework|Steps.ReachableStepCount @ close-01\"",
    "ActualValue": "\"effortless-entity-framework-Steps.ReachableStepCount @ close-01\"",
    "Reason": "wrong/null value",
    "SemanticTypeIri": "urn:effortless:pko-extension#CellDisagreement",
    "Name": "effortless-owl|CellDisagreements.Name @ effortless-entity-framework|Steps.ReachableStepCount|close-01",
    "Substrate": "effortless-owl",
    "RulebookField": "CellDisagreements.Name"
   },
   {
    "CellDisagreementId": "effortless-owl|CellDisagreements.Name|effortless-entity-framework|Steps.ReachableStepCount|close-02",
    "FieldDisagreement": "effortless-owl|CellDisagreements.Name",
    "RecordId": "effortless-entity-framework|Steps.ReachableStepCount|close-02",
    "ExpectedValue": "\"effortless-entity-framework|Steps.ReachableStepCount @ close-02\"",
    "ActualValue": "\"effortless-entity-framework-Steps.ReachableStepCount @ close-02\"",
    "Reason": "wrong/null value",
    "SemanticTypeIri": "urn:effortless:pko-extension#CellDisagreement",
    "Name": "effortless-owl|CellDisagreements.Name @ effortless-entity-framework|Steps.ReachableStepCount|close-02",
    "Substrate": "effortless-owl",
    "RulebookField": "CellDisagreements.Name"
   },
   {
    "CellDisagreementId": "effortless-owl|CellDisagreements.Name|effortless-entity-framework|Steps.ReachableStepCount|close-03",
    "FieldDisagreement": "effortless-owl|CellDisagreements.Name",
    "RecordId": "effortless-entity-framework|Steps.ReachableStepCount|close-03",
    "ExpectedValue": "\"effortless-entity-framework|Steps.ReachableStepCount @ close-03\"",
    "ActualValue": "\"effortless-entity-framework-Steps.ReachableStepCount @ close-03\"",
    "Reason": "wrong/null value",
    "SemanticTypeIri": "urn:effortless:pko-extension#CellDisagreement",
    "Name": "effortless-owl|CellDisagreements.Name @ effortless-entity-framework|Steps.ReachableStepCount|close-03",
    "Substrate": "effortless-owl",
    "RulebookField": "CellDisagreements.Name"
   },
   {
    "CellDisagreementId": "effortless-owl|CellDisagreements.Name|effortless-entity-framework|Steps.ReachableStepCount|close-04",
    "FieldDisagreement": "effortless-owl|CellDisagreements.Name",
    "RecordId": "effortless-entity-framework|Steps.ReachableStepCount|close-04",
    "ExpectedValue": "\"effortless-entity-framework|Steps.ReachableStepCount @ close-04\"",
    "ActualValue": "\"effortless-entity-framework-Steps.ReachableStepCount @ close-04\"",
    "Reason": "wrong/null value",
    "SemanticTypeIri": "urn:effortless:pko-extension#CellDisagreement",
    "Name": "effortless-owl|CellDisagreements.Name @ effortless-entity-framework|Steps.ReachableStepCount|close-04",
    "Substrate": "effortless-owl",
    "RulebookField": "CellDisagreements.Name"
   },
   {
    "CellDisagreementId": "effortless-owl|CellDisagreements.Name|effortless-entity-framework|Steps.ReachableStepCount|close-05",
    "FieldDisagreement": "effortless-owl|CellDisagreements.Name",
    "RecordId": "effortless-entity-framework|Steps.ReachableStepCount|close-05",
    "ExpectedValue": "\"effortless-entity-framework|Steps.ReachableStepCount @ close-05\"",
    "ActualValue": "\"effortless-entity-framework-Steps.ReachableStepCount @ close-05\"",
    "Reason": "wrong/null value",
    "SemanticTypeIri": "urn:effortless:pko-extension#CellDisagreement",
    "Name": "effortless-owl|CellDisagreements.Name @ effortless-entity-framework|Steps.ReachableStepCount|close-05",
    "Substrate": "effortless-owl",
    "RulebookField": "CellDisagreements.Name"
   }
  ]
 }
}
</t>
  </si>
</sst>
</file>

<file path=xl/styles.xml><?xml version="1.0" encoding="utf-8"?>
<styleSheet xmlns="http://schemas.openxmlformats.org/spreadsheetml/2006/main">
  <numFmts count="1">
    <numFmt numFmtId="164" formatCode="m/d/yyyy h:mm:ss AM/PM"/>
  </numFmts>
  <fonts count="3">
    <font>
      <sz val="11"/>
      <name val="Aptos Narrow"/>
    </font>
    <font>
      <b/>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9">
    <xf numFmtId="0" fontId="0" xfId="0"/>
    <xf numFmtId="0" fontId="1" applyFont="1"/>
    <xf numFmtId="0" fontId="2" applyFont="1" fillId="2" applyFill="1"/>
    <xf numFmtId="0" fontId="0" fillId="3" applyFill="1"/>
    <xf numFmtId="0" fontId="0" fillId="4" applyFill="1"/>
    <xf numFmtId="164" applyNumberFormat="1" fontId="0" fillId="3" applyFill="1"/>
    <xf numFmtId="1" applyNumberFormat="1" fontId="0" fillId="4" applyFill="1"/>
    <xf numFmtId="164" applyNumberFormat="1" fontId="0" fillId="4" applyFill="1"/>
    <xf numFmtId="1"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worksheet" Target="worksheets/sheet41.xml"/><Relationship Id="rId43" Type="http://schemas.openxmlformats.org/officeDocument/2006/relationships/worksheet" Target="worksheets/sheet42.xml"/><Relationship Id="rId44" Type="http://schemas.openxmlformats.org/officeDocument/2006/relationships/worksheet" Target="worksheets/sheet43.xml"/><Relationship Id="rId45" Type="http://schemas.openxmlformats.org/officeDocument/2006/relationships/worksheet" Target="worksheets/sheet44.xml"/><Relationship Id="rId46" Type="http://schemas.openxmlformats.org/officeDocument/2006/relationships/worksheet" Target="worksheets/sheet45.xml"/><Relationship Id="rId47" Type="http://schemas.openxmlformats.org/officeDocument/2006/relationships/worksheet" Target="worksheets/sheet46.xml"/><Relationship Id="rId48" Type="http://schemas.openxmlformats.org/officeDocument/2006/relationships/worksheet" Target="worksheets/sheet47.xml"/><Relationship Id="rId49" Type="http://schemas.openxmlformats.org/officeDocument/2006/relationships/worksheet" Target="worksheets/sheet48.xml"/><Relationship Id="rId50" Type="http://schemas.openxmlformats.org/officeDocument/2006/relationships/worksheet" Target="worksheets/sheet49.xml"/><Relationship Id="rId51" Type="http://schemas.openxmlformats.org/officeDocument/2006/relationships/worksheet" Target="worksheets/sheet50.xml"/><Relationship Id="rId52" Type="http://schemas.openxmlformats.org/officeDocument/2006/relationships/worksheet" Target="worksheets/sheet51.xml"/><Relationship Id="rId53" Type="http://schemas.openxmlformats.org/officeDocument/2006/relationships/worksheet" Target="worksheets/sheet52.xml"/><Relationship Id="rId54" Type="http://schemas.openxmlformats.org/officeDocument/2006/relationships/worksheet" Target="worksheets/sheet53.xml"/><Relationship Id="rId55" Type="http://schemas.openxmlformats.org/officeDocument/2006/relationships/worksheet" Target="worksheets/sheet54.xml"/><Relationship Id="rId56" Type="http://schemas.openxmlformats.org/officeDocument/2006/relationships/worksheet" Target="worksheets/sheet55.xml"/><Relationship Id="rId57" Type="http://schemas.openxmlformats.org/officeDocument/2006/relationships/worksheet" Target="worksheets/sheet56.xml"/><Relationship Id="rId58" Type="http://schemas.openxmlformats.org/officeDocument/2006/relationships/worksheet" Target="worksheets/sheet57.xml"/><Relationship Id="rId59" Type="http://schemas.openxmlformats.org/officeDocument/2006/relationships/worksheet" Target="worksheets/sheet58.xml"/><Relationship Id="rId60" Type="http://schemas.openxmlformats.org/officeDocument/2006/relationships/worksheet" Target="worksheets/sheet59.xml"/><Relationship Id="rId61" Type="http://schemas.openxmlformats.org/officeDocument/2006/relationships/worksheet" Target="worksheets/sheet60.xml"/><Relationship Id="rId62" Type="http://schemas.openxmlformats.org/officeDocument/2006/relationships/worksheet" Target="worksheets/sheet61.xml"/><Relationship Id="rId63" Type="http://schemas.openxmlformats.org/officeDocument/2006/relationships/worksheet" Target="worksheets/sheet62.xml"/><Relationship Id="rId64" Type="http://schemas.openxmlformats.org/officeDocument/2006/relationships/worksheet" Target="worksheets/sheet63.xml"/><Relationship Id="rId65" Type="http://schemas.openxmlformats.org/officeDocument/2006/relationships/worksheet" Target="worksheets/sheet64.xml"/><Relationship Id="rId66" Type="http://schemas.openxmlformats.org/officeDocument/2006/relationships/worksheet" Target="worksheets/sheet65.xml"/><Relationship Id="rId67" Type="http://schemas.openxmlformats.org/officeDocument/2006/relationships/worksheet" Target="worksheets/sheet66.xml"/><Relationship Id="rId68" Type="http://schemas.openxmlformats.org/officeDocument/2006/relationships/worksheet" Target="worksheets/sheet67.xml"/><Relationship Id="rId69" Type="http://schemas.openxmlformats.org/officeDocument/2006/relationships/worksheet" Target="worksheets/sheet68.xml"/><Relationship Id="rId70" Type="http://schemas.openxmlformats.org/officeDocument/2006/relationships/worksheet" Target="worksheets/sheet69.xml"/><Relationship Id="rId71" Type="http://schemas.openxmlformats.org/officeDocument/2006/relationships/worksheet" Target="worksheets/sheet70.xml"/><Relationship Id="rId72" Type="http://schemas.openxmlformats.org/officeDocument/2006/relationships/worksheet" Target="worksheets/sheet71.xml"/><Relationship Id="rId73" Type="http://schemas.openxmlformats.org/officeDocument/2006/relationships/worksheet" Target="worksheets/sheet72.xml"/><Relationship Id="rId74" Type="http://schemas.openxmlformats.org/officeDocument/2006/relationships/worksheet" Target="worksheets/sheet73.xml"/><Relationship Id="rId75" Type="http://schemas.openxmlformats.org/officeDocument/2006/relationships/worksheet" Target="worksheets/sheet74.xml"/><Relationship Id="rId76" Type="http://schemas.openxmlformats.org/officeDocument/2006/relationships/worksheet" Target="worksheets/sheet75.xml"/><Relationship Id="rId77" Type="http://schemas.openxmlformats.org/officeDocument/2006/relationships/worksheet" Target="worksheets/sheet76.xml"/><Relationship Id="rId78" Type="http://schemas.openxmlformats.org/officeDocument/2006/relationships/worksheet" Target="worksheets/sheet77.xml"/><Relationship Id="rId79" Type="http://schemas.openxmlformats.org/officeDocument/2006/relationships/worksheet" Target="worksheets/sheet78.xml"/><Relationship Id="rId80" Type="http://schemas.openxmlformats.org/officeDocument/2006/relationships/worksheet" Target="worksheets/sheet79.xml"/><Relationship Id="rId81" Type="http://schemas.openxmlformats.org/officeDocument/2006/relationships/worksheet" Target="worksheets/sheet80.xml"/><Relationship Id="rId82" Type="http://schemas.openxmlformats.org/officeDocument/2006/relationships/worksheet" Target="worksheets/sheet81.xml"/><Relationship Id="rId83" Type="http://schemas.openxmlformats.org/officeDocument/2006/relationships/worksheet" Target="worksheets/sheet82.xml"/><Relationship Id="rId84" Type="http://schemas.openxmlformats.org/officeDocument/2006/relationships/worksheet" Target="worksheets/sheet83.xml"/><Relationship Id="rId85" Type="http://schemas.openxmlformats.org/officeDocument/2006/relationships/worksheet" Target="worksheets/sheet84.xml"/><Relationship Id="rId86" Type="http://schemas.openxmlformats.org/officeDocument/2006/relationships/worksheet" Target="worksheets/sheet85.xml"/><Relationship Id="rId87" Type="http://schemas.openxmlformats.org/officeDocument/2006/relationships/worksheet" Target="worksheets/sheet86.xml"/><Relationship Id="rId88" Type="http://schemas.openxmlformats.org/officeDocument/2006/relationships/worksheet" Target="worksheets/sheet87.xml"/><Relationship Id="rId89" Type="http://schemas.openxmlformats.org/officeDocument/2006/relationships/worksheet" Target="worksheets/sheet88.xml"/><Relationship Id="rId90" Type="http://schemas.openxmlformats.org/officeDocument/2006/relationships/worksheet" Target="worksheets/sheet89.xml"/><Relationship Id="rId91" Type="http://schemas.openxmlformats.org/officeDocument/2006/relationships/worksheet" Target="worksheets/sheet90.xml"/><Relationship Id="rId92" Type="http://schemas.openxmlformats.org/officeDocument/2006/relationships/worksheet" Target="worksheets/sheet91.xml"/><Relationship Id="rId93" Type="http://schemas.openxmlformats.org/officeDocument/2006/relationships/worksheet" Target="worksheets/sheet92.xml"/><Relationship Id="rId94" Type="http://schemas.openxmlformats.org/officeDocument/2006/relationships/worksheet" Target="worksheets/sheet93.xml"/><Relationship Id="rId95" Type="http://schemas.openxmlformats.org/officeDocument/2006/relationships/worksheet" Target="worksheets/sheet94.xml"/><Relationship Id="rId96" Type="http://schemas.openxmlformats.org/officeDocument/2006/relationships/worksheet" Target="worksheets/sheet95.xml"/><Relationship Id="rId97" Type="http://schemas.openxmlformats.org/officeDocument/2006/relationships/worksheet" Target="worksheets/sheet96.xml"/><Relationship Id="rId98"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_rels/sheet39.xml.rels><?xml version="1.0" encoding="UTF-8" standalone="yes"?><Relationships xmlns="http://schemas.openxmlformats.org/package/2006/relationships"><Relationship Id="rId1" Type="http://schemas.openxmlformats.org/officeDocument/2006/relationships/vmlDrawing" Target="../drawings/vmlDrawing39.vml"/><Relationship Id="rId2" Type="http://schemas.openxmlformats.org/officeDocument/2006/relationships/comments" Target="../comments39.xml"/></Relationships>
</file>

<file path=xl/worksheets/_rels/sheet40.xml.rels><?xml version="1.0" encoding="UTF-8" standalone="yes"?><Relationships xmlns="http://schemas.openxmlformats.org/package/2006/relationships"><Relationship Id="rId1" Type="http://schemas.openxmlformats.org/officeDocument/2006/relationships/vmlDrawing" Target="../drawings/vmlDrawing40.vml"/><Relationship Id="rId2" Type="http://schemas.openxmlformats.org/officeDocument/2006/relationships/comments" Target="../comments40.xml"/></Relationships>
</file>

<file path=xl/worksheets/_rels/sheet41.xml.rels><?xml version="1.0" encoding="UTF-8" standalone="yes"?><Relationships xmlns="http://schemas.openxmlformats.org/package/2006/relationships"><Relationship Id="rId1" Type="http://schemas.openxmlformats.org/officeDocument/2006/relationships/vmlDrawing" Target="../drawings/vmlDrawing41.vml"/><Relationship Id="rId2" Type="http://schemas.openxmlformats.org/officeDocument/2006/relationships/comments" Target="../comments41.xml"/></Relationships>
</file>

<file path=xl/worksheets/_rels/sheet42.xml.rels><?xml version="1.0" encoding="UTF-8" standalone="yes"?><Relationships xmlns="http://schemas.openxmlformats.org/package/2006/relationships"><Relationship Id="rId1" Type="http://schemas.openxmlformats.org/officeDocument/2006/relationships/vmlDrawing" Target="../drawings/vmlDrawing42.vml"/><Relationship Id="rId2" Type="http://schemas.openxmlformats.org/officeDocument/2006/relationships/comments" Target="../comments42.xml"/></Relationships>
</file>

<file path=xl/worksheets/_rels/sheet43.xml.rels><?xml version="1.0" encoding="UTF-8" standalone="yes"?><Relationships xmlns="http://schemas.openxmlformats.org/package/2006/relationships"><Relationship Id="rId1" Type="http://schemas.openxmlformats.org/officeDocument/2006/relationships/vmlDrawing" Target="../drawings/vmlDrawing43.vml"/><Relationship Id="rId2" Type="http://schemas.openxmlformats.org/officeDocument/2006/relationships/comments" Target="../comments43.xml"/></Relationships>
</file>

<file path=xl/worksheets/_rels/sheet44.xml.rels><?xml version="1.0" encoding="UTF-8" standalone="yes"?><Relationships xmlns="http://schemas.openxmlformats.org/package/2006/relationships"><Relationship Id="rId1" Type="http://schemas.openxmlformats.org/officeDocument/2006/relationships/vmlDrawing" Target="../drawings/vmlDrawing44.vml"/><Relationship Id="rId2" Type="http://schemas.openxmlformats.org/officeDocument/2006/relationships/comments" Target="../comments44.xml"/></Relationships>
</file>

<file path=xl/worksheets/_rels/sheet45.xml.rels><?xml version="1.0" encoding="UTF-8" standalone="yes"?><Relationships xmlns="http://schemas.openxmlformats.org/package/2006/relationships"><Relationship Id="rId1" Type="http://schemas.openxmlformats.org/officeDocument/2006/relationships/vmlDrawing" Target="../drawings/vmlDrawing45.vml"/><Relationship Id="rId2" Type="http://schemas.openxmlformats.org/officeDocument/2006/relationships/comments" Target="../comments45.xml"/></Relationships>
</file>

<file path=xl/worksheets/_rels/sheet46.xml.rels><?xml version="1.0" encoding="UTF-8" standalone="yes"?><Relationships xmlns="http://schemas.openxmlformats.org/package/2006/relationships"><Relationship Id="rId1" Type="http://schemas.openxmlformats.org/officeDocument/2006/relationships/vmlDrawing" Target="../drawings/vmlDrawing46.vml"/><Relationship Id="rId2" Type="http://schemas.openxmlformats.org/officeDocument/2006/relationships/comments" Target="../comments46.xml"/></Relationships>
</file>

<file path=xl/worksheets/_rels/sheet47.xml.rels><?xml version="1.0" encoding="UTF-8" standalone="yes"?><Relationships xmlns="http://schemas.openxmlformats.org/package/2006/relationships"><Relationship Id="rId1" Type="http://schemas.openxmlformats.org/officeDocument/2006/relationships/vmlDrawing" Target="../drawings/vmlDrawing47.vml"/><Relationship Id="rId2" Type="http://schemas.openxmlformats.org/officeDocument/2006/relationships/comments" Target="../comments47.xml"/></Relationships>
</file>

<file path=xl/worksheets/_rels/sheet48.xml.rels><?xml version="1.0" encoding="UTF-8" standalone="yes"?><Relationships xmlns="http://schemas.openxmlformats.org/package/2006/relationships"><Relationship Id="rId1" Type="http://schemas.openxmlformats.org/officeDocument/2006/relationships/vmlDrawing" Target="../drawings/vmlDrawing48.vml"/><Relationship Id="rId2" Type="http://schemas.openxmlformats.org/officeDocument/2006/relationships/comments" Target="../comments48.xml"/></Relationships>
</file>

<file path=xl/worksheets/_rels/sheet49.xml.rels><?xml version="1.0" encoding="UTF-8" standalone="yes"?><Relationships xmlns="http://schemas.openxmlformats.org/package/2006/relationships"><Relationship Id="rId1" Type="http://schemas.openxmlformats.org/officeDocument/2006/relationships/vmlDrawing" Target="../drawings/vmlDrawing49.vml"/><Relationship Id="rId2" Type="http://schemas.openxmlformats.org/officeDocument/2006/relationships/comments" Target="../comments49.xml"/></Relationships>
</file>

<file path=xl/worksheets/_rels/sheet50.xml.rels><?xml version="1.0" encoding="UTF-8" standalone="yes"?><Relationships xmlns="http://schemas.openxmlformats.org/package/2006/relationships"><Relationship Id="rId1" Type="http://schemas.openxmlformats.org/officeDocument/2006/relationships/vmlDrawing" Target="../drawings/vmlDrawing50.vml"/><Relationship Id="rId2" Type="http://schemas.openxmlformats.org/officeDocument/2006/relationships/comments" Target="../comments50.xml"/></Relationships>
</file>

<file path=xl/worksheets/_rels/sheet51.xml.rels><?xml version="1.0" encoding="UTF-8" standalone="yes"?><Relationships xmlns="http://schemas.openxmlformats.org/package/2006/relationships"><Relationship Id="rId1" Type="http://schemas.openxmlformats.org/officeDocument/2006/relationships/vmlDrawing" Target="../drawings/vmlDrawing51.vml"/><Relationship Id="rId2" Type="http://schemas.openxmlformats.org/officeDocument/2006/relationships/comments" Target="../comments51.xml"/></Relationships>
</file>

<file path=xl/worksheets/_rels/sheet52.xml.rels><?xml version="1.0" encoding="UTF-8" standalone="yes"?><Relationships xmlns="http://schemas.openxmlformats.org/package/2006/relationships"><Relationship Id="rId1" Type="http://schemas.openxmlformats.org/officeDocument/2006/relationships/vmlDrawing" Target="../drawings/vmlDrawing52.vml"/><Relationship Id="rId2" Type="http://schemas.openxmlformats.org/officeDocument/2006/relationships/comments" Target="../comments52.xml"/></Relationships>
</file>

<file path=xl/worksheets/_rels/sheet53.xml.rels><?xml version="1.0" encoding="UTF-8" standalone="yes"?><Relationships xmlns="http://schemas.openxmlformats.org/package/2006/relationships"><Relationship Id="rId1" Type="http://schemas.openxmlformats.org/officeDocument/2006/relationships/vmlDrawing" Target="../drawings/vmlDrawing53.vml"/><Relationship Id="rId2" Type="http://schemas.openxmlformats.org/officeDocument/2006/relationships/comments" Target="../comments53.xml"/></Relationships>
</file>

<file path=xl/worksheets/_rels/sheet54.xml.rels><?xml version="1.0" encoding="UTF-8" standalone="yes"?><Relationships xmlns="http://schemas.openxmlformats.org/package/2006/relationships"><Relationship Id="rId1" Type="http://schemas.openxmlformats.org/officeDocument/2006/relationships/vmlDrawing" Target="../drawings/vmlDrawing54.vml"/><Relationship Id="rId2" Type="http://schemas.openxmlformats.org/officeDocument/2006/relationships/comments" Target="../comments54.xml"/></Relationships>
</file>

<file path=xl/worksheets/_rels/sheet55.xml.rels><?xml version="1.0" encoding="UTF-8" standalone="yes"?><Relationships xmlns="http://schemas.openxmlformats.org/package/2006/relationships"><Relationship Id="rId1" Type="http://schemas.openxmlformats.org/officeDocument/2006/relationships/vmlDrawing" Target="../drawings/vmlDrawing55.vml"/><Relationship Id="rId2" Type="http://schemas.openxmlformats.org/officeDocument/2006/relationships/comments" Target="../comments55.xml"/></Relationships>
</file>

<file path=xl/worksheets/_rels/sheet56.xml.rels><?xml version="1.0" encoding="UTF-8" standalone="yes"?><Relationships xmlns="http://schemas.openxmlformats.org/package/2006/relationships"><Relationship Id="rId1" Type="http://schemas.openxmlformats.org/officeDocument/2006/relationships/vmlDrawing" Target="../drawings/vmlDrawing56.vml"/><Relationship Id="rId2" Type="http://schemas.openxmlformats.org/officeDocument/2006/relationships/comments" Target="../comments56.xml"/></Relationships>
</file>

<file path=xl/worksheets/_rels/sheet57.xml.rels><?xml version="1.0" encoding="UTF-8" standalone="yes"?><Relationships xmlns="http://schemas.openxmlformats.org/package/2006/relationships"><Relationship Id="rId1" Type="http://schemas.openxmlformats.org/officeDocument/2006/relationships/vmlDrawing" Target="../drawings/vmlDrawing57.vml"/><Relationship Id="rId2" Type="http://schemas.openxmlformats.org/officeDocument/2006/relationships/comments" Target="../comments57.xml"/></Relationships>
</file>

<file path=xl/worksheets/_rels/sheet58.xml.rels><?xml version="1.0" encoding="UTF-8" standalone="yes"?><Relationships xmlns="http://schemas.openxmlformats.org/package/2006/relationships"><Relationship Id="rId1" Type="http://schemas.openxmlformats.org/officeDocument/2006/relationships/vmlDrawing" Target="../drawings/vmlDrawing58.vml"/><Relationship Id="rId2" Type="http://schemas.openxmlformats.org/officeDocument/2006/relationships/comments" Target="../comments58.xml"/></Relationships>
</file>

<file path=xl/worksheets/_rels/sheet59.xml.rels><?xml version="1.0" encoding="UTF-8" standalone="yes"?><Relationships xmlns="http://schemas.openxmlformats.org/package/2006/relationships"><Relationship Id="rId1" Type="http://schemas.openxmlformats.org/officeDocument/2006/relationships/vmlDrawing" Target="../drawings/vmlDrawing59.vml"/><Relationship Id="rId2" Type="http://schemas.openxmlformats.org/officeDocument/2006/relationships/comments" Target="../comments59.xml"/></Relationships>
</file>

<file path=xl/worksheets/_rels/sheet60.xml.rels><?xml version="1.0" encoding="UTF-8" standalone="yes"?><Relationships xmlns="http://schemas.openxmlformats.org/package/2006/relationships"><Relationship Id="rId1" Type="http://schemas.openxmlformats.org/officeDocument/2006/relationships/vmlDrawing" Target="../drawings/vmlDrawing60.vml"/><Relationship Id="rId2" Type="http://schemas.openxmlformats.org/officeDocument/2006/relationships/comments" Target="../comments60.xml"/></Relationships>
</file>

<file path=xl/worksheets/_rels/sheet61.xml.rels><?xml version="1.0" encoding="UTF-8" standalone="yes"?><Relationships xmlns="http://schemas.openxmlformats.org/package/2006/relationships"><Relationship Id="rId1" Type="http://schemas.openxmlformats.org/officeDocument/2006/relationships/vmlDrawing" Target="../drawings/vmlDrawing61.vml"/><Relationship Id="rId2" Type="http://schemas.openxmlformats.org/officeDocument/2006/relationships/comments" Target="../comments61.xml"/></Relationships>
</file>

<file path=xl/worksheets/_rels/sheet62.xml.rels><?xml version="1.0" encoding="UTF-8" standalone="yes"?><Relationships xmlns="http://schemas.openxmlformats.org/package/2006/relationships"><Relationship Id="rId1" Type="http://schemas.openxmlformats.org/officeDocument/2006/relationships/vmlDrawing" Target="../drawings/vmlDrawing62.vml"/><Relationship Id="rId2" Type="http://schemas.openxmlformats.org/officeDocument/2006/relationships/comments" Target="../comments62.xml"/></Relationships>
</file>

<file path=xl/worksheets/_rels/sheet63.xml.rels><?xml version="1.0" encoding="UTF-8" standalone="yes"?><Relationships xmlns="http://schemas.openxmlformats.org/package/2006/relationships"><Relationship Id="rId1" Type="http://schemas.openxmlformats.org/officeDocument/2006/relationships/vmlDrawing" Target="../drawings/vmlDrawing63.vml"/><Relationship Id="rId2" Type="http://schemas.openxmlformats.org/officeDocument/2006/relationships/comments" Target="../comments63.xml"/></Relationships>
</file>

<file path=xl/worksheets/_rels/sheet64.xml.rels><?xml version="1.0" encoding="UTF-8" standalone="yes"?><Relationships xmlns="http://schemas.openxmlformats.org/package/2006/relationships"><Relationship Id="rId1" Type="http://schemas.openxmlformats.org/officeDocument/2006/relationships/vmlDrawing" Target="../drawings/vmlDrawing64.vml"/><Relationship Id="rId2" Type="http://schemas.openxmlformats.org/officeDocument/2006/relationships/comments" Target="../comments64.xml"/></Relationships>
</file>

<file path=xl/worksheets/_rels/sheet65.xml.rels><?xml version="1.0" encoding="UTF-8" standalone="yes"?><Relationships xmlns="http://schemas.openxmlformats.org/package/2006/relationships"><Relationship Id="rId1" Type="http://schemas.openxmlformats.org/officeDocument/2006/relationships/vmlDrawing" Target="../drawings/vmlDrawing65.vml"/><Relationship Id="rId2" Type="http://schemas.openxmlformats.org/officeDocument/2006/relationships/comments" Target="../comments65.xml"/></Relationships>
</file>

<file path=xl/worksheets/_rels/sheet66.xml.rels><?xml version="1.0" encoding="UTF-8" standalone="yes"?><Relationships xmlns="http://schemas.openxmlformats.org/package/2006/relationships"><Relationship Id="rId1" Type="http://schemas.openxmlformats.org/officeDocument/2006/relationships/vmlDrawing" Target="../drawings/vmlDrawing66.vml"/><Relationship Id="rId2" Type="http://schemas.openxmlformats.org/officeDocument/2006/relationships/comments" Target="../comments66.xml"/></Relationships>
</file>

<file path=xl/worksheets/_rels/sheet67.xml.rels><?xml version="1.0" encoding="UTF-8" standalone="yes"?><Relationships xmlns="http://schemas.openxmlformats.org/package/2006/relationships"><Relationship Id="rId1" Type="http://schemas.openxmlformats.org/officeDocument/2006/relationships/vmlDrawing" Target="../drawings/vmlDrawing67.vml"/><Relationship Id="rId2" Type="http://schemas.openxmlformats.org/officeDocument/2006/relationships/comments" Target="../comments67.xml"/></Relationships>
</file>

<file path=xl/worksheets/_rels/sheet68.xml.rels><?xml version="1.0" encoding="UTF-8" standalone="yes"?><Relationships xmlns="http://schemas.openxmlformats.org/package/2006/relationships"><Relationship Id="rId1" Type="http://schemas.openxmlformats.org/officeDocument/2006/relationships/vmlDrawing" Target="../drawings/vmlDrawing68.vml"/><Relationship Id="rId2" Type="http://schemas.openxmlformats.org/officeDocument/2006/relationships/comments" Target="../comments68.xml"/></Relationships>
</file>

<file path=xl/worksheets/_rels/sheet69.xml.rels><?xml version="1.0" encoding="UTF-8" standalone="yes"?><Relationships xmlns="http://schemas.openxmlformats.org/package/2006/relationships"><Relationship Id="rId1" Type="http://schemas.openxmlformats.org/officeDocument/2006/relationships/vmlDrawing" Target="../drawings/vmlDrawing69.vml"/><Relationship Id="rId2" Type="http://schemas.openxmlformats.org/officeDocument/2006/relationships/comments" Target="../comments69.xml"/></Relationships>
</file>

<file path=xl/worksheets/_rels/sheet70.xml.rels><?xml version="1.0" encoding="UTF-8" standalone="yes"?><Relationships xmlns="http://schemas.openxmlformats.org/package/2006/relationships"><Relationship Id="rId1" Type="http://schemas.openxmlformats.org/officeDocument/2006/relationships/vmlDrawing" Target="../drawings/vmlDrawing70.vml"/><Relationship Id="rId2" Type="http://schemas.openxmlformats.org/officeDocument/2006/relationships/comments" Target="../comments70.xml"/></Relationships>
</file>

<file path=xl/worksheets/_rels/sheet71.xml.rels><?xml version="1.0" encoding="UTF-8" standalone="yes"?><Relationships xmlns="http://schemas.openxmlformats.org/package/2006/relationships"><Relationship Id="rId1" Type="http://schemas.openxmlformats.org/officeDocument/2006/relationships/vmlDrawing" Target="../drawings/vmlDrawing71.vml"/><Relationship Id="rId2" Type="http://schemas.openxmlformats.org/officeDocument/2006/relationships/comments" Target="../comments71.xml"/></Relationships>
</file>

<file path=xl/worksheets/_rels/sheet72.xml.rels><?xml version="1.0" encoding="UTF-8" standalone="yes"?><Relationships xmlns="http://schemas.openxmlformats.org/package/2006/relationships"><Relationship Id="rId1" Type="http://schemas.openxmlformats.org/officeDocument/2006/relationships/vmlDrawing" Target="../drawings/vmlDrawing72.vml"/><Relationship Id="rId2" Type="http://schemas.openxmlformats.org/officeDocument/2006/relationships/comments" Target="../comments72.xml"/></Relationships>
</file>

<file path=xl/worksheets/_rels/sheet73.xml.rels><?xml version="1.0" encoding="UTF-8" standalone="yes"?><Relationships xmlns="http://schemas.openxmlformats.org/package/2006/relationships"><Relationship Id="rId1" Type="http://schemas.openxmlformats.org/officeDocument/2006/relationships/vmlDrawing" Target="../drawings/vmlDrawing73.vml"/><Relationship Id="rId2" Type="http://schemas.openxmlformats.org/officeDocument/2006/relationships/comments" Target="../comments73.xml"/></Relationships>
</file>

<file path=xl/worksheets/_rels/sheet74.xml.rels><?xml version="1.0" encoding="UTF-8" standalone="yes"?><Relationships xmlns="http://schemas.openxmlformats.org/package/2006/relationships"><Relationship Id="rId1" Type="http://schemas.openxmlformats.org/officeDocument/2006/relationships/vmlDrawing" Target="../drawings/vmlDrawing74.vml"/><Relationship Id="rId2" Type="http://schemas.openxmlformats.org/officeDocument/2006/relationships/comments" Target="../comments74.xml"/></Relationships>
</file>

<file path=xl/worksheets/_rels/sheet75.xml.rels><?xml version="1.0" encoding="UTF-8" standalone="yes"?><Relationships xmlns="http://schemas.openxmlformats.org/package/2006/relationships"><Relationship Id="rId1" Type="http://schemas.openxmlformats.org/officeDocument/2006/relationships/vmlDrawing" Target="../drawings/vmlDrawing75.vml"/><Relationship Id="rId2" Type="http://schemas.openxmlformats.org/officeDocument/2006/relationships/comments" Target="../comments75.xml"/></Relationships>
</file>

<file path=xl/worksheets/_rels/sheet76.xml.rels><?xml version="1.0" encoding="UTF-8" standalone="yes"?><Relationships xmlns="http://schemas.openxmlformats.org/package/2006/relationships"><Relationship Id="rId1" Type="http://schemas.openxmlformats.org/officeDocument/2006/relationships/vmlDrawing" Target="../drawings/vmlDrawing76.vml"/><Relationship Id="rId2" Type="http://schemas.openxmlformats.org/officeDocument/2006/relationships/comments" Target="../comments76.xml"/></Relationships>
</file>

<file path=xl/worksheets/_rels/sheet77.xml.rels><?xml version="1.0" encoding="UTF-8" standalone="yes"?><Relationships xmlns="http://schemas.openxmlformats.org/package/2006/relationships"><Relationship Id="rId1" Type="http://schemas.openxmlformats.org/officeDocument/2006/relationships/vmlDrawing" Target="../drawings/vmlDrawing77.vml"/><Relationship Id="rId2" Type="http://schemas.openxmlformats.org/officeDocument/2006/relationships/comments" Target="../comments77.xml"/></Relationships>
</file>

<file path=xl/worksheets/_rels/sheet78.xml.rels><?xml version="1.0" encoding="UTF-8" standalone="yes"?><Relationships xmlns="http://schemas.openxmlformats.org/package/2006/relationships"><Relationship Id="rId1" Type="http://schemas.openxmlformats.org/officeDocument/2006/relationships/vmlDrawing" Target="../drawings/vmlDrawing78.vml"/><Relationship Id="rId2" Type="http://schemas.openxmlformats.org/officeDocument/2006/relationships/comments" Target="../comments78.xml"/></Relationships>
</file>

<file path=xl/worksheets/_rels/sheet79.xml.rels><?xml version="1.0" encoding="UTF-8" standalone="yes"?><Relationships xmlns="http://schemas.openxmlformats.org/package/2006/relationships"><Relationship Id="rId1" Type="http://schemas.openxmlformats.org/officeDocument/2006/relationships/vmlDrawing" Target="../drawings/vmlDrawing79.vml"/><Relationship Id="rId2" Type="http://schemas.openxmlformats.org/officeDocument/2006/relationships/comments" Target="../comments79.xml"/></Relationships>
</file>

<file path=xl/worksheets/_rels/sheet80.xml.rels><?xml version="1.0" encoding="UTF-8" standalone="yes"?><Relationships xmlns="http://schemas.openxmlformats.org/package/2006/relationships"><Relationship Id="rId1" Type="http://schemas.openxmlformats.org/officeDocument/2006/relationships/vmlDrawing" Target="../drawings/vmlDrawing80.vml"/><Relationship Id="rId2" Type="http://schemas.openxmlformats.org/officeDocument/2006/relationships/comments" Target="../comments80.xml"/></Relationships>
</file>

<file path=xl/worksheets/_rels/sheet81.xml.rels><?xml version="1.0" encoding="UTF-8" standalone="yes"?><Relationships xmlns="http://schemas.openxmlformats.org/package/2006/relationships"><Relationship Id="rId1" Type="http://schemas.openxmlformats.org/officeDocument/2006/relationships/vmlDrawing" Target="../drawings/vmlDrawing81.vml"/><Relationship Id="rId2" Type="http://schemas.openxmlformats.org/officeDocument/2006/relationships/comments" Target="../comments81.xml"/></Relationships>
</file>

<file path=xl/worksheets/_rels/sheet82.xml.rels><?xml version="1.0" encoding="UTF-8" standalone="yes"?><Relationships xmlns="http://schemas.openxmlformats.org/package/2006/relationships"><Relationship Id="rId1" Type="http://schemas.openxmlformats.org/officeDocument/2006/relationships/vmlDrawing" Target="../drawings/vmlDrawing82.vml"/><Relationship Id="rId2" Type="http://schemas.openxmlformats.org/officeDocument/2006/relationships/comments" Target="../comments82.xml"/></Relationships>
</file>

<file path=xl/worksheets/_rels/sheet83.xml.rels><?xml version="1.0" encoding="UTF-8" standalone="yes"?><Relationships xmlns="http://schemas.openxmlformats.org/package/2006/relationships"><Relationship Id="rId1" Type="http://schemas.openxmlformats.org/officeDocument/2006/relationships/vmlDrawing" Target="../drawings/vmlDrawing83.vml"/><Relationship Id="rId2" Type="http://schemas.openxmlformats.org/officeDocument/2006/relationships/comments" Target="../comments83.xml"/></Relationships>
</file>

<file path=xl/worksheets/_rels/sheet84.xml.rels><?xml version="1.0" encoding="UTF-8" standalone="yes"?><Relationships xmlns="http://schemas.openxmlformats.org/package/2006/relationships"><Relationship Id="rId1" Type="http://schemas.openxmlformats.org/officeDocument/2006/relationships/vmlDrawing" Target="../drawings/vmlDrawing84.vml"/><Relationship Id="rId2" Type="http://schemas.openxmlformats.org/officeDocument/2006/relationships/comments" Target="../comments84.xml"/></Relationships>
</file>

<file path=xl/worksheets/_rels/sheet85.xml.rels><?xml version="1.0" encoding="UTF-8" standalone="yes"?><Relationships xmlns="http://schemas.openxmlformats.org/package/2006/relationships"><Relationship Id="rId1" Type="http://schemas.openxmlformats.org/officeDocument/2006/relationships/vmlDrawing" Target="../drawings/vmlDrawing85.vml"/><Relationship Id="rId2" Type="http://schemas.openxmlformats.org/officeDocument/2006/relationships/comments" Target="../comments85.xml"/></Relationships>
</file>

<file path=xl/worksheets/_rels/sheet86.xml.rels><?xml version="1.0" encoding="UTF-8" standalone="yes"?><Relationships xmlns="http://schemas.openxmlformats.org/package/2006/relationships"><Relationship Id="rId1" Type="http://schemas.openxmlformats.org/officeDocument/2006/relationships/vmlDrawing" Target="../drawings/vmlDrawing86.vml"/><Relationship Id="rId2" Type="http://schemas.openxmlformats.org/officeDocument/2006/relationships/comments" Target="../comments86.xml"/></Relationships>
</file>

<file path=xl/worksheets/_rels/sheet87.xml.rels><?xml version="1.0" encoding="UTF-8" standalone="yes"?><Relationships xmlns="http://schemas.openxmlformats.org/package/2006/relationships"><Relationship Id="rId1" Type="http://schemas.openxmlformats.org/officeDocument/2006/relationships/vmlDrawing" Target="../drawings/vmlDrawing87.vml"/><Relationship Id="rId2" Type="http://schemas.openxmlformats.org/officeDocument/2006/relationships/comments" Target="../comments87.xml"/></Relationships>
</file>

<file path=xl/worksheets/_rels/sheet88.xml.rels><?xml version="1.0" encoding="UTF-8" standalone="yes"?><Relationships xmlns="http://schemas.openxmlformats.org/package/2006/relationships"><Relationship Id="rId1" Type="http://schemas.openxmlformats.org/officeDocument/2006/relationships/vmlDrawing" Target="../drawings/vmlDrawing88.vml"/><Relationship Id="rId2" Type="http://schemas.openxmlformats.org/officeDocument/2006/relationships/comments" Target="../comments88.xml"/></Relationships>
</file>

<file path=xl/worksheets/_rels/sheet89.xml.rels><?xml version="1.0" encoding="UTF-8" standalone="yes"?><Relationships xmlns="http://schemas.openxmlformats.org/package/2006/relationships"><Relationship Id="rId1" Type="http://schemas.openxmlformats.org/officeDocument/2006/relationships/vmlDrawing" Target="../drawings/vmlDrawing89.vml"/><Relationship Id="rId2" Type="http://schemas.openxmlformats.org/officeDocument/2006/relationships/comments" Target="../comments89.xml"/></Relationships>
</file>

<file path=xl/worksheets/_rels/sheet90.xml.rels><?xml version="1.0" encoding="UTF-8" standalone="yes"?><Relationships xmlns="http://schemas.openxmlformats.org/package/2006/relationships"><Relationship Id="rId1" Type="http://schemas.openxmlformats.org/officeDocument/2006/relationships/vmlDrawing" Target="../drawings/vmlDrawing90.vml"/><Relationship Id="rId2" Type="http://schemas.openxmlformats.org/officeDocument/2006/relationships/comments" Target="../comments90.xml"/></Relationships>
</file>

<file path=xl/worksheets/_rels/sheet91.xml.rels><?xml version="1.0" encoding="UTF-8" standalone="yes"?><Relationships xmlns="http://schemas.openxmlformats.org/package/2006/relationships"><Relationship Id="rId1" Type="http://schemas.openxmlformats.org/officeDocument/2006/relationships/vmlDrawing" Target="../drawings/vmlDrawing91.vml"/><Relationship Id="rId2" Type="http://schemas.openxmlformats.org/officeDocument/2006/relationships/comments" Target="../comments91.xml"/></Relationships>
</file>

<file path=xl/worksheets/_rels/sheet92.xml.rels><?xml version="1.0" encoding="UTF-8" standalone="yes"?><Relationships xmlns="http://schemas.openxmlformats.org/package/2006/relationships"><Relationship Id="rId1" Type="http://schemas.openxmlformats.org/officeDocument/2006/relationships/vmlDrawing" Target="../drawings/vmlDrawing92.vml"/><Relationship Id="rId2" Type="http://schemas.openxmlformats.org/officeDocument/2006/relationships/comments" Target="../comments92.xml"/></Relationships>
</file>

<file path=xl/worksheets/_rels/sheet93.xml.rels><?xml version="1.0" encoding="UTF-8" standalone="yes"?><Relationships xmlns="http://schemas.openxmlformats.org/package/2006/relationships"><Relationship Id="rId1" Type="http://schemas.openxmlformats.org/officeDocument/2006/relationships/vmlDrawing" Target="../drawings/vmlDrawing93.vml"/><Relationship Id="rId2" Type="http://schemas.openxmlformats.org/officeDocument/2006/relationships/comments" Target="../comments93.xml"/></Relationships>
</file>

<file path=xl/worksheets/_rels/sheet94.xml.rels><?xml version="1.0" encoding="UTF-8" standalone="yes"?><Relationships xmlns="http://schemas.openxmlformats.org/package/2006/relationships"><Relationship Id="rId1" Type="http://schemas.openxmlformats.org/officeDocument/2006/relationships/vmlDrawing" Target="../drawings/vmlDrawing94.vml"/><Relationship Id="rId2" Type="http://schemas.openxmlformats.org/officeDocument/2006/relationships/comments" Target="../comments94.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19.588756561279297" customWidth="1"/>
    <col min="2" max="2" width="37.594600677490234" customWidth="1"/>
    <col min="3" max="3" width="17.443378448486328" customWidth="1"/>
    <col min="4" max="4" width="17.443378448486328" customWidth="1"/>
    <col min="5" max="5" width="41.96395492553711" customWidth="1"/>
    <col min="6" max="6" width="26.15152931213379" customWidth="1"/>
    <col min="7" max="7" width="33.928855895996094" customWidth="1"/>
    <col min="8" max="8" width="23.35041618347168" customWidth="1"/>
    <col min="9" max="9" width="17.443378448486328" customWidth="1"/>
    <col min="10" max="10" width="71.5992431640625" customWidth="1"/>
    <col min="11" max="11" width="17.443378448486328" customWidth="1"/>
  </cols>
  <sheetData>
    <row r="1">
      <c r="A1" s="2" t="s">
        <v>0</v>
      </c>
      <c r="B1" s="2" t="s">
        <v>1</v>
      </c>
      <c r="C1" s="2" t="s">
        <v>2</v>
      </c>
      <c r="D1" s="2" t="s">
        <v>3</v>
      </c>
      <c r="E1" s="2" t="s">
        <v>4</v>
      </c>
      <c r="F1" s="2" t="s">
        <v>5</v>
      </c>
      <c r="G1" s="2" t="s">
        <v>6</v>
      </c>
      <c r="H1" s="2" t="s">
        <v>7</v>
      </c>
      <c r="I1" s="2" t="s">
        <v>8</v>
      </c>
      <c r="J1" s="2" t="s">
        <v>9</v>
      </c>
      <c r="K1" s="2" t="s">
        <v>10</v>
      </c>
    </row>
    <row r="2">
      <c r="A2" s="3" t="s">
        <v>11</v>
      </c>
      <c r="B2" s="4" t="str">
        <f>C2 &amp; " / PKO " &amp; F2</f>
        <v>1.0.0 / PKO https://w3id.org/pko/2.0.0</v>
      </c>
      <c r="C2" s="3" t="s">
        <v>12</v>
      </c>
      <c r="D2" s="3" t="s">
        <v>12</v>
      </c>
      <c r="E2" s="3" t="s">
        <v>13</v>
      </c>
      <c r="F2" s="3" t="s">
        <v>14</v>
      </c>
      <c r="G2" s="3" t="s">
        <v>15</v>
      </c>
      <c r="H2" s="5">
        <v>46222.708333333336</v>
      </c>
      <c r="I2" s="3" t="s">
        <v>16</v>
      </c>
      <c r="J2" s="3" t="s">
        <v>17</v>
      </c>
      <c r="K2" s="3" t="b">
        <v>1</v>
      </c>
    </row>
  </sheetData>
  <autoFilter ref="A1:K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2"/>
  <sheetViews>
    <sheetView workbookViewId="0">
      <pane ySplit="1" topLeftCell="A2" state="frozen" activePane="bottomLeft"/>
      <selection pane="bottomLeft" activeCell="A1" sqref="A1"/>
    </sheetView>
  </sheetViews>
  <sheetFormatPr defaultRowHeight="15"/>
  <cols>
    <col min="1" max="1" width="23.879928588867188" customWidth="1"/>
    <col min="2" max="2" width="34.889366149902344" customWidth="1"/>
    <col min="3" max="3" width="29.198530197143555" customWidth="1"/>
    <col min="4" max="4" width="17.443378448486328" customWidth="1"/>
    <col min="5" max="5" width="64.22055053710938" customWidth="1"/>
    <col min="6" max="6" width="38.82413101196289" customWidth="1"/>
    <col min="7" max="7" width="17.443378448486328" customWidth="1"/>
    <col min="8" max="8" width="123.98747253417969" customWidth="1"/>
  </cols>
  <sheetData>
    <row r="1">
      <c r="A1" s="2" t="s">
        <v>18</v>
      </c>
      <c r="B1" s="2" t="s">
        <v>1</v>
      </c>
      <c r="C1" s="2" t="s">
        <v>19</v>
      </c>
      <c r="D1" s="2" t="s">
        <v>20</v>
      </c>
      <c r="E1" s="2" t="s">
        <v>21</v>
      </c>
      <c r="F1" s="2" t="s">
        <v>22</v>
      </c>
      <c r="G1" s="2" t="s">
        <v>23</v>
      </c>
      <c r="H1" s="2" t="s">
        <v>24</v>
      </c>
    </row>
    <row r="2">
      <c r="A2" s="3" t="s">
        <v>25</v>
      </c>
      <c r="B2" s="4" t="str">
        <f>C2 &amp; " " &amp; D2</f>
        <v>PKO Core 2.0.0</v>
      </c>
      <c r="C2" s="3" t="s">
        <v>26</v>
      </c>
      <c r="D2" s="3" t="s">
        <v>27</v>
      </c>
      <c r="E2" s="3" t="s">
        <v>14</v>
      </c>
      <c r="F2" s="3" t="s">
        <v>28</v>
      </c>
      <c r="G2" s="3" t="s">
        <v>29</v>
      </c>
      <c r="H2" s="3" t="s">
        <v>30</v>
      </c>
    </row>
    <row r="3">
      <c r="A3" s="3" t="s">
        <v>31</v>
      </c>
      <c r="B3" s="4" t="str">
        <f>C3 &amp; " " &amp; D3</f>
        <v>PKO Industry 2.0.0</v>
      </c>
      <c r="C3" s="3" t="s">
        <v>32</v>
      </c>
      <c r="D3" s="3" t="s">
        <v>27</v>
      </c>
      <c r="E3" s="3" t="s">
        <v>15</v>
      </c>
      <c r="F3" s="3" t="s">
        <v>33</v>
      </c>
      <c r="G3" s="3" t="s">
        <v>29</v>
      </c>
      <c r="H3" s="3" t="s">
        <v>34</v>
      </c>
    </row>
    <row r="4">
      <c r="A4" s="3" t="s">
        <v>35</v>
      </c>
      <c r="B4" s="4" t="str">
        <f>C4 &amp; " " &amp; D4</f>
        <v>P-Plan 1</v>
      </c>
      <c r="C4" s="3" t="s">
        <v>36</v>
      </c>
      <c r="D4" s="3" t="s">
        <v>37</v>
      </c>
      <c r="E4" s="3" t="s">
        <v>38</v>
      </c>
      <c r="F4" s="3" t="s">
        <v>39</v>
      </c>
      <c r="G4" s="3" t="s">
        <v>40</v>
      </c>
      <c r="H4" s="3" t="s">
        <v>41</v>
      </c>
    </row>
    <row r="5">
      <c r="A5" s="3" t="s">
        <v>42</v>
      </c>
      <c r="B5" s="4" t="str">
        <f>C5 &amp; " " &amp; D5</f>
        <v>PROV-O 2013</v>
      </c>
      <c r="C5" s="3" t="s">
        <v>43</v>
      </c>
      <c r="D5" s="3" t="s">
        <v>44</v>
      </c>
      <c r="E5" s="3" t="s">
        <v>45</v>
      </c>
      <c r="F5" s="3" t="s">
        <v>46</v>
      </c>
      <c r="G5" s="3" t="s">
        <v>47</v>
      </c>
      <c r="H5" s="3" t="s">
        <v>48</v>
      </c>
    </row>
    <row r="6">
      <c r="A6" s="3" t="s">
        <v>49</v>
      </c>
      <c r="B6" s="4" t="str">
        <f>C6 &amp; " " &amp; D6</f>
        <v>DCAT 3</v>
      </c>
      <c r="C6" s="3" t="s">
        <v>50</v>
      </c>
      <c r="D6" s="3" t="s">
        <v>51</v>
      </c>
      <c r="E6" s="3" t="s">
        <v>52</v>
      </c>
      <c r="F6" s="3" t="s">
        <v>53</v>
      </c>
      <c r="G6" s="3" t="s">
        <v>47</v>
      </c>
      <c r="H6" s="3" t="s">
        <v>54</v>
      </c>
    </row>
    <row r="7">
      <c r="A7" s="3" t="s">
        <v>55</v>
      </c>
      <c r="B7" s="4" t="str">
        <f>C7 &amp; " " &amp; D7</f>
        <v>DCMI Terms current</v>
      </c>
      <c r="C7" s="3" t="s">
        <v>56</v>
      </c>
      <c r="D7" s="3" t="s">
        <v>57</v>
      </c>
      <c r="E7" s="3" t="s">
        <v>58</v>
      </c>
      <c r="F7" s="3" t="s">
        <v>59</v>
      </c>
      <c r="G7" s="3" t="s">
        <v>60</v>
      </c>
      <c r="H7" s="3" t="s">
        <v>61</v>
      </c>
    </row>
    <row r="8">
      <c r="A8" s="3" t="s">
        <v>62</v>
      </c>
      <c r="B8" s="4" t="str">
        <f>C8 &amp; " " &amp; D8</f>
        <v>OWL-Time 2017</v>
      </c>
      <c r="C8" s="3" t="s">
        <v>63</v>
      </c>
      <c r="D8" s="3" t="s">
        <v>64</v>
      </c>
      <c r="E8" s="3" t="s">
        <v>65</v>
      </c>
      <c r="F8" s="3" t="s">
        <v>66</v>
      </c>
      <c r="G8" s="3" t="s">
        <v>47</v>
      </c>
      <c r="H8" s="3" t="s">
        <v>67</v>
      </c>
    </row>
    <row r="9">
      <c r="A9" s="3" t="s">
        <v>68</v>
      </c>
      <c r="B9" s="4" t="str">
        <f>C9 &amp; " " &amp; D9</f>
        <v>Publishing Roles Ontology current</v>
      </c>
      <c r="C9" s="3" t="s">
        <v>69</v>
      </c>
      <c r="D9" s="3" t="s">
        <v>57</v>
      </c>
      <c r="E9" s="3" t="s">
        <v>70</v>
      </c>
      <c r="F9" s="3" t="s">
        <v>71</v>
      </c>
      <c r="G9" s="3" t="s">
        <v>72</v>
      </c>
      <c r="H9" s="3" t="s">
        <v>73</v>
      </c>
    </row>
    <row r="10">
      <c r="A10" s="3" t="s">
        <v>74</v>
      </c>
      <c r="B10" s="4" t="str">
        <f>C10 &amp; " " &amp; D10</f>
        <v>Metadata4Ing current</v>
      </c>
      <c r="C10" s="3" t="s">
        <v>75</v>
      </c>
      <c r="D10" s="3" t="s">
        <v>57</v>
      </c>
      <c r="E10" s="3" t="s">
        <v>76</v>
      </c>
      <c r="F10" s="3" t="s">
        <v>77</v>
      </c>
      <c r="G10" s="3" t="s">
        <v>40</v>
      </c>
      <c r="H10" s="3" t="s">
        <v>78</v>
      </c>
    </row>
    <row r="11">
      <c r="A11" s="3" t="s">
        <v>79</v>
      </c>
      <c r="B11" s="4" t="str">
        <f>C11 &amp; " " &amp; D11</f>
        <v>ODRL 2.2</v>
      </c>
      <c r="C11" s="3" t="s">
        <v>80</v>
      </c>
      <c r="D11" s="3" t="s">
        <v>81</v>
      </c>
      <c r="E11" s="3" t="s">
        <v>82</v>
      </c>
      <c r="F11" s="3" t="s">
        <v>83</v>
      </c>
      <c r="G11" s="3" t="s">
        <v>47</v>
      </c>
      <c r="H11" s="3" t="s">
        <v>84</v>
      </c>
    </row>
    <row r="12">
      <c r="A12" s="3" t="s">
        <v>85</v>
      </c>
      <c r="B12" s="4" t="str">
        <f>C12 &amp; " " &amp; D12</f>
        <v>ERB-PKO Enterprise Extension 1.0.0</v>
      </c>
      <c r="C12" s="3" t="s">
        <v>86</v>
      </c>
      <c r="D12" s="3" t="s">
        <v>12</v>
      </c>
      <c r="E12" s="3" t="s">
        <v>87</v>
      </c>
      <c r="F12" s="3" t="s">
        <v>88</v>
      </c>
      <c r="G12" s="3" t="s">
        <v>89</v>
      </c>
      <c r="H12" s="3" t="s">
        <v>90</v>
      </c>
    </row>
  </sheetData>
  <autoFilter ref="A1:H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2"/>
  <sheetViews>
    <sheetView workbookViewId="0">
      <pane ySplit="1" topLeftCell="A2" state="frozen" activePane="bottomLeft"/>
      <selection pane="bottomLeft" activeCell="A1" sqref="A1"/>
    </sheetView>
  </sheetViews>
  <sheetFormatPr defaultRowHeight="15"/>
  <cols>
    <col min="1" max="1" width="20.59099006652832" customWidth="1"/>
    <col min="2" max="2" width="53.22152328491211" customWidth="1"/>
    <col min="3" max="3" width="21.07795524597168" customWidth="1"/>
    <col min="4" max="4" width="23.35041618347168" customWidth="1"/>
    <col min="5" max="5" width="17.443378448486328" customWidth="1"/>
    <col min="6" max="6" width="199.48695373535156" customWidth="1"/>
    <col min="7" max="7" width="45.5624885559082" customWidth="1"/>
  </cols>
  <sheetData>
    <row r="1">
      <c r="A1" s="2" t="s">
        <v>91</v>
      </c>
      <c r="B1" s="2" t="s">
        <v>1</v>
      </c>
      <c r="C1" s="2" t="s">
        <v>19</v>
      </c>
      <c r="D1" s="2" t="s">
        <v>92</v>
      </c>
      <c r="E1" s="2" t="s">
        <v>10</v>
      </c>
      <c r="F1" s="2" t="s">
        <v>93</v>
      </c>
      <c r="G1" s="2" t="s">
        <v>94</v>
      </c>
    </row>
    <row r="2">
      <c r="A2" s="3" t="s">
        <v>95</v>
      </c>
      <c r="B2" s="4" t="str">
        <f>C2 &amp; " @ " &amp; IF(((D2="")=TRUE),  "",  TEXT(D2, "yyyy-mm-dd\Thh:mm:ss")&amp;"+00:00")</f>
        <v>Post-close evaluation @ 2026-07-19T18:00:00+00:00</v>
      </c>
      <c r="C2" s="3" t="s">
        <v>96</v>
      </c>
      <c r="D2" s="5">
        <v>46222.75</v>
      </c>
      <c r="E2" s="3" t="b">
        <v>1</v>
      </c>
      <c r="F2" s="3" t="s">
        <v>97</v>
      </c>
      <c r="G2" s="3" t="s">
        <v>98</v>
      </c>
    </row>
  </sheetData>
  <autoFilter ref="A1:G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5"/>
  <sheetViews>
    <sheetView workbookViewId="0">
      <pane ySplit="1" topLeftCell="A2" state="frozen" activePane="bottomLeft"/>
      <selection pane="bottomLeft" activeCell="A1" sqref="A1"/>
    </sheetView>
  </sheetViews>
  <sheetFormatPr defaultRowHeight="15"/>
  <cols>
    <col min="1" max="1" width="17.443378448486328" customWidth="1"/>
    <col min="2" max="2" width="24.363523483276367" customWidth="1"/>
    <col min="3" max="3" width="24.363523483276367" customWidth="1"/>
    <col min="4" max="4" width="18.103038787841797" customWidth="1"/>
    <col min="5" max="5" width="17.805295944213867" customWidth="1"/>
    <col min="6" max="6" width="41.099857330322266" customWidth="1"/>
  </cols>
  <sheetData>
    <row r="1">
      <c r="A1" s="2" t="s">
        <v>99</v>
      </c>
      <c r="B1" s="2" t="s">
        <v>1</v>
      </c>
      <c r="C1" s="2" t="s">
        <v>100</v>
      </c>
      <c r="D1" s="2" t="s">
        <v>101</v>
      </c>
      <c r="E1" s="2" t="s">
        <v>102</v>
      </c>
      <c r="F1" s="2" t="s">
        <v>94</v>
      </c>
    </row>
    <row r="2">
      <c r="A2" s="3" t="s">
        <v>103</v>
      </c>
      <c r="B2" s="4" t="str">
        <f>C2</f>
        <v>ACME Corporation</v>
      </c>
      <c r="C2" s="3" t="s">
        <v>104</v>
      </c>
      <c r="D2" s="3" t="s">
        <v>105</v>
      </c>
      <c r="E2" s="3" t="s">
        <v>106</v>
      </c>
      <c r="F2" s="3" t="s">
        <v>107</v>
      </c>
    </row>
    <row r="3">
      <c r="A3" s="3" t="s">
        <v>108</v>
      </c>
      <c r="B3" s="4" t="str">
        <f>C3</f>
        <v>ACME Finance</v>
      </c>
      <c r="C3" s="3" t="s">
        <v>109</v>
      </c>
      <c r="D3" s="3" t="s">
        <v>110</v>
      </c>
      <c r="E3" s="3" t="s">
        <v>111</v>
      </c>
      <c r="F3" s="3" t="s">
        <v>112</v>
      </c>
    </row>
    <row r="4">
      <c r="A4" s="3" t="s">
        <v>113</v>
      </c>
      <c r="B4" s="4" t="str">
        <f>C4</f>
        <v>ACME People Operations</v>
      </c>
      <c r="C4" s="3" t="s">
        <v>114</v>
      </c>
      <c r="D4" s="3" t="s">
        <v>110</v>
      </c>
      <c r="E4" s="3" t="s">
        <v>115</v>
      </c>
      <c r="F4" s="3" t="s">
        <v>112</v>
      </c>
    </row>
    <row r="5">
      <c r="A5" s="3" t="s">
        <v>116</v>
      </c>
      <c r="B5" s="4" t="str">
        <f>C5</f>
        <v>ACME Legal</v>
      </c>
      <c r="C5" s="3" t="s">
        <v>117</v>
      </c>
      <c r="D5" s="3" t="s">
        <v>110</v>
      </c>
      <c r="E5" s="3" t="s">
        <v>118</v>
      </c>
      <c r="F5" s="3" t="s">
        <v>112</v>
      </c>
    </row>
  </sheetData>
  <autoFilter ref="A1:F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W12"/>
  <sheetViews>
    <sheetView workbookViewId="0">
      <pane ySplit="1" topLeftCell="A2" state="frozen" activePane="bottomLeft"/>
      <selection pane="bottomLeft" activeCell="A1" sqref="A1"/>
    </sheetView>
  </sheetViews>
  <sheetFormatPr defaultRowHeight="15"/>
  <cols>
    <col min="1" max="1" width="19.900266647338867" customWidth="1"/>
    <col min="2" max="2" width="29.297666549682617" customWidth="1"/>
    <col min="3" max="3" width="29.297666549682617" customWidth="1"/>
    <col min="4" max="4" width="18.9503231048584" customWidth="1"/>
    <col min="5" max="5" width="17.443378448486328" customWidth="1"/>
    <col min="6" max="6" width="28.497310638427734" customWidth="1"/>
    <col min="7" max="7" width="26.32103157043457" customWidth="1"/>
    <col min="8" max="8" width="31.67704963684082" customWidth="1"/>
    <col min="9" max="9" width="17.443378448486328" customWidth="1"/>
    <col min="10" max="10" width="17.443378448486328" customWidth="1"/>
    <col min="11" max="11" width="25.283065795898438" customWidth="1"/>
    <col min="12" max="12" width="20.971384048461914" customWidth="1"/>
    <col min="13" max="13" width="17.443378448486328" customWidth="1"/>
    <col min="14" max="14" width="24.13643455505371" customWidth="1"/>
    <col min="15" max="15" width="28.410320281982422" customWidth="1"/>
    <col min="16" max="16" width="19.769926071166992" customWidth="1"/>
    <col min="17" max="17" width="22.41827964782715" customWidth="1"/>
    <col min="18" max="18" width="24.67127799987793" customWidth="1"/>
    <col min="19" max="19" width="22.068429946899414" customWidth="1"/>
    <col min="20" max="20" width="20.41396141052246" customWidth="1"/>
    <col min="21" max="21" width="20.591585159301758" customWidth="1"/>
    <col min="22" max="22" width="28.40933609008789" customWidth="1"/>
    <col min="23" max="23" width="19.96092414855957" customWidth="1"/>
  </cols>
  <sheetData>
    <row r="1">
      <c r="A1" s="2" t="s">
        <v>119</v>
      </c>
      <c r="B1" s="2" t="s">
        <v>1</v>
      </c>
      <c r="C1" s="2" t="s">
        <v>100</v>
      </c>
      <c r="D1" s="2" t="s">
        <v>120</v>
      </c>
      <c r="E1" s="2" t="s">
        <v>121</v>
      </c>
      <c r="F1" s="2" t="s">
        <v>122</v>
      </c>
      <c r="G1" s="2" t="s">
        <v>123</v>
      </c>
      <c r="H1" s="2" t="s">
        <v>124</v>
      </c>
      <c r="I1" s="2" t="s">
        <v>125</v>
      </c>
      <c r="J1" s="2" t="s">
        <v>126</v>
      </c>
      <c r="K1" s="2" t="s">
        <v>127</v>
      </c>
      <c r="L1" s="2" t="s">
        <v>128</v>
      </c>
      <c r="M1" s="2" t="s">
        <v>129</v>
      </c>
      <c r="N1" s="2" t="s">
        <v>130</v>
      </c>
      <c r="O1" s="2" t="s">
        <v>131</v>
      </c>
      <c r="P1" s="2" t="s">
        <v>132</v>
      </c>
      <c r="Q1" s="2" t="s">
        <v>133</v>
      </c>
      <c r="R1" s="2" t="s">
        <v>134</v>
      </c>
      <c r="S1" s="2" t="s">
        <v>135</v>
      </c>
      <c r="T1" s="2" t="s">
        <v>136</v>
      </c>
      <c r="U1" s="2" t="s">
        <v>137</v>
      </c>
      <c r="V1" s="2" t="s">
        <v>138</v>
      </c>
      <c r="W1" s="2" t="s">
        <v>94</v>
      </c>
    </row>
    <row r="2">
      <c r="A2" s="3" t="s">
        <v>139</v>
      </c>
      <c r="B2" s="4" t="str">
        <f>C2</f>
        <v>Maria Chen</v>
      </c>
      <c r="C2" s="3" t="s">
        <v>140</v>
      </c>
      <c r="D2" s="3" t="s">
        <v>141</v>
      </c>
      <c r="E2" s="3" t="s">
        <v>108</v>
      </c>
      <c r="F2" s="3" t="s">
        <v>142</v>
      </c>
      <c r="G2" s="3" t="s">
        <v>143</v>
      </c>
      <c r="H2" s="6">
        <f>IF((COUNTIFS(RoleAssignments!L2:L14, A2))="", "", ROUND((COUNTIFS(RoleAssignments!L2:L14, A2)), 0))</f>
        <v>1</v>
      </c>
      <c r="I2" s="4" t="b">
        <f>H2 &gt; 0</f>
        <v>1</v>
      </c>
      <c r="J2" s="4">
        <f>COUNTIFS(AgentDecisionRecords!D2:D4, A2)</f>
        <v>0</v>
      </c>
      <c r="K2" s="4">
        <f>COUNTIFS(AgentDecisionRecords!O2:O4, A2)</f>
        <v>0</v>
      </c>
      <c r="L2" s="4">
        <f>IF(((J2 = 0)=TRUE),  0,  (K2 * 100) / J2)</f>
        <v>0</v>
      </c>
      <c r="M2" s="4" t="b">
        <f>NOT(((D2 = "Human")=TRUE))</f>
        <v>0</v>
      </c>
      <c r="N2" s="4">
        <f>COUNTIFS(AgentDecisionRecords!AB2:AB4, A2)</f>
        <v>0</v>
      </c>
      <c r="O2" s="4" t="b">
        <f>N2 &gt; 0</f>
        <v>0</v>
      </c>
      <c r="P2" s="4">
        <f>COUNTIFS(AgentDecisionRecords!AF2:AF4, A2)</f>
        <v>0</v>
      </c>
      <c r="Q2" s="4">
        <f>COUNTIFS(AgentDecisionRecords!AE2:AE4, A2)</f>
        <v>0</v>
      </c>
      <c r="R2" s="4">
        <f>IF(((P2 = 0)=TRUE),  0,  (Q2 * 100) / P2)</f>
        <v>0</v>
      </c>
      <c r="S2" s="4">
        <f>COUNTIFS(KnowledgeBrokerLinks!N2:N6, A2)</f>
        <v>0</v>
      </c>
      <c r="T2" s="4" t="b">
        <f>S2 &gt;= 3</f>
        <v>0</v>
      </c>
      <c r="U2" s="4">
        <f>COUNTIFS(KnowledgeBrokerLinks!O2:O6, A2)</f>
        <v>0</v>
      </c>
      <c r="V2" s="4" t="b">
        <f>U2 &gt; 0</f>
        <v>0</v>
      </c>
      <c r="W2" s="3" t="s">
        <v>144</v>
      </c>
    </row>
    <row r="3">
      <c r="A3" s="3" t="s">
        <v>145</v>
      </c>
      <c r="B3" s="4" t="str">
        <f>C3</f>
        <v>Devon Okafor</v>
      </c>
      <c r="C3" s="3" t="s">
        <v>146</v>
      </c>
      <c r="D3" s="3" t="s">
        <v>141</v>
      </c>
      <c r="E3" s="3" t="s">
        <v>108</v>
      </c>
      <c r="F3" s="3" t="s">
        <v>147</v>
      </c>
      <c r="G3" s="3" t="s">
        <v>148</v>
      </c>
      <c r="H3" s="6">
        <f>IF((COUNTIFS(RoleAssignments!L2:L14, A3))="", "", ROUND((COUNTIFS(RoleAssignments!L2:L14, A3)), 0))</f>
        <v>1</v>
      </c>
      <c r="I3" s="4" t="b">
        <f>H3 &gt; 0</f>
        <v>1</v>
      </c>
      <c r="J3" s="4">
        <f>COUNTIFS(AgentDecisionRecords!D2:D4, A3)</f>
        <v>0</v>
      </c>
      <c r="K3" s="4">
        <f>COUNTIFS(AgentDecisionRecords!O2:O4, A3)</f>
        <v>0</v>
      </c>
      <c r="L3" s="4">
        <f>IF(((J3 = 0)=TRUE),  0,  (K3 * 100) / J3)</f>
        <v>0</v>
      </c>
      <c r="M3" s="4" t="b">
        <f>NOT(((D3 = "Human")=TRUE))</f>
        <v>0</v>
      </c>
      <c r="N3" s="4">
        <f>COUNTIFS(AgentDecisionRecords!AB2:AB4, A3)</f>
        <v>0</v>
      </c>
      <c r="O3" s="4" t="b">
        <f>N3 &gt; 0</f>
        <v>0</v>
      </c>
      <c r="P3" s="4">
        <f>COUNTIFS(AgentDecisionRecords!AF2:AF4, A3)</f>
        <v>0</v>
      </c>
      <c r="Q3" s="4">
        <f>COUNTIFS(AgentDecisionRecords!AE2:AE4, A3)</f>
        <v>0</v>
      </c>
      <c r="R3" s="4">
        <f>IF(((P3 = 0)=TRUE),  0,  (Q3 * 100) / P3)</f>
        <v>0</v>
      </c>
      <c r="S3" s="4">
        <f>COUNTIFS(KnowledgeBrokerLinks!N2:N6, A3)</f>
        <v>0</v>
      </c>
      <c r="T3" s="4" t="b">
        <f>S3 &gt;= 3</f>
        <v>0</v>
      </c>
      <c r="U3" s="4">
        <f>COUNTIFS(KnowledgeBrokerLinks!O2:O6, A3)</f>
        <v>0</v>
      </c>
      <c r="V3" s="4" t="b">
        <f>U3 &gt; 0</f>
        <v>0</v>
      </c>
      <c r="W3" s="3" t="s">
        <v>144</v>
      </c>
    </row>
    <row r="4">
      <c r="A4" s="3" t="s">
        <v>149</v>
      </c>
      <c r="B4" s="4" t="str">
        <f>C4</f>
        <v>Priya Raman</v>
      </c>
      <c r="C4" s="3" t="s">
        <v>150</v>
      </c>
      <c r="D4" s="3" t="s">
        <v>141</v>
      </c>
      <c r="E4" s="3" t="s">
        <v>108</v>
      </c>
      <c r="F4" s="3" t="s">
        <v>151</v>
      </c>
      <c r="G4" s="3" t="s">
        <v>152</v>
      </c>
      <c r="H4" s="6">
        <f>IF((COUNTIFS(RoleAssignments!L2:L14, A4))="", "", ROUND((COUNTIFS(RoleAssignments!L2:L14, A4)), 0))</f>
        <v>2</v>
      </c>
      <c r="I4" s="4" t="b">
        <f>H4 &gt; 0</f>
        <v>1</v>
      </c>
      <c r="J4" s="4">
        <f>COUNTIFS(AgentDecisionRecords!D2:D4, A4)</f>
        <v>0</v>
      </c>
      <c r="K4" s="4">
        <f>COUNTIFS(AgentDecisionRecords!O2:O4, A4)</f>
        <v>0</v>
      </c>
      <c r="L4" s="4">
        <f>IF(((J4 = 0)=TRUE),  0,  (K4 * 100) / J4)</f>
        <v>0</v>
      </c>
      <c r="M4" s="4" t="b">
        <f>NOT(((D4 = "Human")=TRUE))</f>
        <v>0</v>
      </c>
      <c r="N4" s="4">
        <f>COUNTIFS(AgentDecisionRecords!AB2:AB4, A4)</f>
        <v>0</v>
      </c>
      <c r="O4" s="4" t="b">
        <f>N4 &gt; 0</f>
        <v>0</v>
      </c>
      <c r="P4" s="4">
        <f>COUNTIFS(AgentDecisionRecords!AF2:AF4, A4)</f>
        <v>0</v>
      </c>
      <c r="Q4" s="4">
        <f>COUNTIFS(AgentDecisionRecords!AE2:AE4, A4)</f>
        <v>0</v>
      </c>
      <c r="R4" s="4">
        <f>IF(((P4 = 0)=TRUE),  0,  (Q4 * 100) / P4)</f>
        <v>0</v>
      </c>
      <c r="S4" s="4">
        <f>COUNTIFS(KnowledgeBrokerLinks!N2:N6, A4)</f>
        <v>3</v>
      </c>
      <c r="T4" s="4" t="b">
        <f>S4 &gt;= 3</f>
        <v>1</v>
      </c>
      <c r="U4" s="4">
        <f>COUNTIFS(KnowledgeBrokerLinks!O2:O6, A4)</f>
        <v>0</v>
      </c>
      <c r="V4" s="4" t="b">
        <f>U4 &gt; 0</f>
        <v>0</v>
      </c>
      <c r="W4" s="3" t="s">
        <v>144</v>
      </c>
    </row>
    <row r="5">
      <c r="A5" s="3" t="s">
        <v>153</v>
      </c>
      <c r="B5" s="4" t="str">
        <f>C5</f>
        <v>Elena Garcia</v>
      </c>
      <c r="C5" s="3" t="s">
        <v>154</v>
      </c>
      <c r="D5" s="3" t="s">
        <v>141</v>
      </c>
      <c r="E5" s="3" t="s">
        <v>113</v>
      </c>
      <c r="F5" s="3" t="s">
        <v>155</v>
      </c>
      <c r="G5" s="3" t="s">
        <v>156</v>
      </c>
      <c r="H5" s="6">
        <f>IF((COUNTIFS(RoleAssignments!L2:L14, A5))="", "", ROUND((COUNTIFS(RoleAssignments!L2:L14, A5)), 0))</f>
        <v>2</v>
      </c>
      <c r="I5" s="4" t="b">
        <f>H5 &gt; 0</f>
        <v>1</v>
      </c>
      <c r="J5" s="4">
        <f>COUNTIFS(AgentDecisionRecords!D2:D4, A5)</f>
        <v>0</v>
      </c>
      <c r="K5" s="4">
        <f>COUNTIFS(AgentDecisionRecords!O2:O4, A5)</f>
        <v>0</v>
      </c>
      <c r="L5" s="4">
        <f>IF(((J5 = 0)=TRUE),  0,  (K5 * 100) / J5)</f>
        <v>0</v>
      </c>
      <c r="M5" s="4" t="b">
        <f>NOT(((D5 = "Human")=TRUE))</f>
        <v>0</v>
      </c>
      <c r="N5" s="4">
        <f>COUNTIFS(AgentDecisionRecords!AB2:AB4, A5)</f>
        <v>0</v>
      </c>
      <c r="O5" s="4" t="b">
        <f>N5 &gt; 0</f>
        <v>0</v>
      </c>
      <c r="P5" s="4">
        <f>COUNTIFS(AgentDecisionRecords!AF2:AF4, A5)</f>
        <v>0</v>
      </c>
      <c r="Q5" s="4">
        <f>COUNTIFS(AgentDecisionRecords!AE2:AE4, A5)</f>
        <v>0</v>
      </c>
      <c r="R5" s="4">
        <f>IF(((P5 = 0)=TRUE),  0,  (Q5 * 100) / P5)</f>
        <v>0</v>
      </c>
      <c r="S5" s="4">
        <f>COUNTIFS(KnowledgeBrokerLinks!N2:N6, A5)</f>
        <v>0</v>
      </c>
      <c r="T5" s="4" t="b">
        <f>S5 &gt;= 3</f>
        <v>0</v>
      </c>
      <c r="U5" s="4">
        <f>COUNTIFS(KnowledgeBrokerLinks!O2:O6, A5)</f>
        <v>0</v>
      </c>
      <c r="V5" s="4" t="b">
        <f>U5 &gt; 0</f>
        <v>0</v>
      </c>
      <c r="W5" s="3" t="s">
        <v>144</v>
      </c>
    </row>
    <row r="6">
      <c r="A6" s="3" t="s">
        <v>157</v>
      </c>
      <c r="B6" s="4" t="str">
        <f>C6</f>
        <v>Noah Williams</v>
      </c>
      <c r="C6" s="3" t="s">
        <v>158</v>
      </c>
      <c r="D6" s="3" t="s">
        <v>141</v>
      </c>
      <c r="E6" s="3" t="s">
        <v>116</v>
      </c>
      <c r="F6" s="3" t="s">
        <v>159</v>
      </c>
      <c r="G6" s="3" t="s">
        <v>160</v>
      </c>
      <c r="H6" s="6">
        <f>IF((COUNTIFS(RoleAssignments!L2:L14, A6))="", "", ROUND((COUNTIFS(RoleAssignments!L2:L14, A6)), 0))</f>
        <v>1</v>
      </c>
      <c r="I6" s="4" t="b">
        <f>H6 &gt; 0</f>
        <v>1</v>
      </c>
      <c r="J6" s="4">
        <f>COUNTIFS(AgentDecisionRecords!D2:D4, A6)</f>
        <v>0</v>
      </c>
      <c r="K6" s="4">
        <f>COUNTIFS(AgentDecisionRecords!O2:O4, A6)</f>
        <v>0</v>
      </c>
      <c r="L6" s="4">
        <f>IF(((J6 = 0)=TRUE),  0,  (K6 * 100) / J6)</f>
        <v>0</v>
      </c>
      <c r="M6" s="4" t="b">
        <f>NOT(((D6 = "Human")=TRUE))</f>
        <v>0</v>
      </c>
      <c r="N6" s="4">
        <f>COUNTIFS(AgentDecisionRecords!AB2:AB4, A6)</f>
        <v>0</v>
      </c>
      <c r="O6" s="4" t="b">
        <f>N6 &gt; 0</f>
        <v>0</v>
      </c>
      <c r="P6" s="4">
        <f>COUNTIFS(AgentDecisionRecords!AF2:AF4, A6)</f>
        <v>0</v>
      </c>
      <c r="Q6" s="4">
        <f>COUNTIFS(AgentDecisionRecords!AE2:AE4, A6)</f>
        <v>0</v>
      </c>
      <c r="R6" s="4">
        <f>IF(((P6 = 0)=TRUE),  0,  (Q6 * 100) / P6)</f>
        <v>0</v>
      </c>
      <c r="S6" s="4">
        <f>COUNTIFS(KnowledgeBrokerLinks!N2:N6, A6)</f>
        <v>0</v>
      </c>
      <c r="T6" s="4" t="b">
        <f>S6 &gt;= 3</f>
        <v>0</v>
      </c>
      <c r="U6" s="4">
        <f>COUNTIFS(KnowledgeBrokerLinks!O2:O6, A6)</f>
        <v>0</v>
      </c>
      <c r="V6" s="4" t="b">
        <f>U6 &gt; 0</f>
        <v>0</v>
      </c>
      <c r="W6" s="3" t="s">
        <v>144</v>
      </c>
    </row>
    <row r="7">
      <c r="A7" s="3" t="s">
        <v>161</v>
      </c>
      <c r="B7" s="4" t="str">
        <f>C7</f>
        <v>Amina Yusuf</v>
      </c>
      <c r="C7" s="3" t="s">
        <v>162</v>
      </c>
      <c r="D7" s="3" t="s">
        <v>141</v>
      </c>
      <c r="E7" s="3" t="s">
        <v>113</v>
      </c>
      <c r="F7" s="3" t="s">
        <v>163</v>
      </c>
      <c r="G7" s="3" t="s">
        <v>164</v>
      </c>
      <c r="H7" s="6">
        <f>IF((COUNTIFS(RoleAssignments!L2:L14, A7))="", "", ROUND((COUNTIFS(RoleAssignments!L2:L14, A7)), 0))</f>
        <v>1</v>
      </c>
      <c r="I7" s="4" t="b">
        <f>H7 &gt; 0</f>
        <v>1</v>
      </c>
      <c r="J7" s="4">
        <f>COUNTIFS(AgentDecisionRecords!D2:D4, A7)</f>
        <v>0</v>
      </c>
      <c r="K7" s="4">
        <f>COUNTIFS(AgentDecisionRecords!O2:O4, A7)</f>
        <v>0</v>
      </c>
      <c r="L7" s="4">
        <f>IF(((J7 = 0)=TRUE),  0,  (K7 * 100) / J7)</f>
        <v>0</v>
      </c>
      <c r="M7" s="4" t="b">
        <f>NOT(((D7 = "Human")=TRUE))</f>
        <v>0</v>
      </c>
      <c r="N7" s="4">
        <f>COUNTIFS(AgentDecisionRecords!AB2:AB4, A7)</f>
        <v>0</v>
      </c>
      <c r="O7" s="4" t="b">
        <f>N7 &gt; 0</f>
        <v>0</v>
      </c>
      <c r="P7" s="4">
        <f>COUNTIFS(AgentDecisionRecords!AF2:AF4, A7)</f>
        <v>0</v>
      </c>
      <c r="Q7" s="4">
        <f>COUNTIFS(AgentDecisionRecords!AE2:AE4, A7)</f>
        <v>0</v>
      </c>
      <c r="R7" s="4">
        <f>IF(((P7 = 0)=TRUE),  0,  (Q7 * 100) / P7)</f>
        <v>0</v>
      </c>
      <c r="S7" s="4">
        <f>COUNTIFS(KnowledgeBrokerLinks!N2:N6, A7)</f>
        <v>0</v>
      </c>
      <c r="T7" s="4" t="b">
        <f>S7 &gt;= 3</f>
        <v>0</v>
      </c>
      <c r="U7" s="4">
        <f>COUNTIFS(KnowledgeBrokerLinks!O2:O6, A7)</f>
        <v>0</v>
      </c>
      <c r="V7" s="4" t="b">
        <f>U7 &gt; 0</f>
        <v>0</v>
      </c>
      <c r="W7" s="3" t="s">
        <v>144</v>
      </c>
    </row>
    <row r="8">
      <c r="A8" s="3" t="s">
        <v>165</v>
      </c>
      <c r="B8" s="4" t="str">
        <f>C8</f>
        <v>Close Automation Pipeline</v>
      </c>
      <c r="C8" s="3" t="s">
        <v>166</v>
      </c>
      <c r="D8" s="3" t="s">
        <v>167</v>
      </c>
      <c r="E8" s="3" t="s">
        <v>108</v>
      </c>
      <c r="F8" s="3" t="s">
        <v>168</v>
      </c>
      <c r="G8" s="3" t="s">
        <v>169</v>
      </c>
      <c r="H8" s="6">
        <f>IF((COUNTIFS(RoleAssignments!L2:L14, A8))="", "", ROUND((COUNTIFS(RoleAssignments!L2:L14, A8)), 0))</f>
        <v>1</v>
      </c>
      <c r="I8" s="4" t="b">
        <f>H8 &gt; 0</f>
        <v>1</v>
      </c>
      <c r="J8" s="4">
        <f>COUNTIFS(AgentDecisionRecords!D2:D4, A8)</f>
        <v>3</v>
      </c>
      <c r="K8" s="4">
        <f>COUNTIFS(AgentDecisionRecords!O2:O4, A8)</f>
        <v>1</v>
      </c>
      <c r="L8" s="4">
        <f>IF(((J8 = 0)=TRUE),  0,  (K8 * 100) / J8)</f>
        <v>33.333333333333336</v>
      </c>
      <c r="M8" s="4" t="b">
        <f>NOT(((D8 = "Human")=TRUE))</f>
        <v>1</v>
      </c>
      <c r="N8" s="4">
        <f>COUNTIFS(AgentDecisionRecords!AB2:AB4, A8)</f>
        <v>0</v>
      </c>
      <c r="O8" s="4" t="b">
        <f>N8 &gt; 0</f>
        <v>0</v>
      </c>
      <c r="P8" s="4">
        <f>COUNTIFS(AgentDecisionRecords!AF2:AF4, A8)</f>
        <v>0</v>
      </c>
      <c r="Q8" s="4">
        <f>COUNTIFS(AgentDecisionRecords!AE2:AE4, A8)</f>
        <v>0</v>
      </c>
      <c r="R8" s="4">
        <f>IF(((P8 = 0)=TRUE),  0,  (Q8 * 100) / P8)</f>
        <v>0</v>
      </c>
      <c r="S8" s="4">
        <f>COUNTIFS(KnowledgeBrokerLinks!N2:N6, A8)</f>
        <v>0</v>
      </c>
      <c r="T8" s="4" t="b">
        <f>S8 &gt;= 3</f>
        <v>0</v>
      </c>
      <c r="U8" s="4">
        <f>COUNTIFS(KnowledgeBrokerLinks!O2:O6, A8)</f>
        <v>0</v>
      </c>
      <c r="V8" s="4" t="b">
        <f>U8 &gt; 0</f>
        <v>0</v>
      </c>
      <c r="W8" s="3" t="s">
        <v>170</v>
      </c>
    </row>
    <row r="9">
      <c r="A9" s="3" t="s">
        <v>171</v>
      </c>
      <c r="B9" s="4" t="str">
        <f>C9</f>
        <v>Variance Analysis AI</v>
      </c>
      <c r="C9" s="3" t="s">
        <v>172</v>
      </c>
      <c r="D9" s="3" t="s">
        <v>173</v>
      </c>
      <c r="E9" s="3" t="s">
        <v>108</v>
      </c>
      <c r="F9" s="3" t="s">
        <v>168</v>
      </c>
      <c r="G9" s="3" t="s">
        <v>174</v>
      </c>
      <c r="H9" s="6">
        <f>IF((COUNTIFS(RoleAssignments!L2:L14, A9))="", "", ROUND((COUNTIFS(RoleAssignments!L2:L14, A9)), 0))</f>
        <v>1</v>
      </c>
      <c r="I9" s="4" t="b">
        <f>H9 &gt; 0</f>
        <v>1</v>
      </c>
      <c r="J9" s="4">
        <f>COUNTIFS(AgentDecisionRecords!D2:D4, A9)</f>
        <v>0</v>
      </c>
      <c r="K9" s="4">
        <f>COUNTIFS(AgentDecisionRecords!O2:O4, A9)</f>
        <v>0</v>
      </c>
      <c r="L9" s="4">
        <f>IF(((J9 = 0)=TRUE),  0,  (K9 * 100) / J9)</f>
        <v>0</v>
      </c>
      <c r="M9" s="4" t="b">
        <f>NOT(((D9 = "Human")=TRUE))</f>
        <v>1</v>
      </c>
      <c r="N9" s="4">
        <f>COUNTIFS(AgentDecisionRecords!AB2:AB4, A9)</f>
        <v>0</v>
      </c>
      <c r="O9" s="4" t="b">
        <f>N9 &gt; 0</f>
        <v>0</v>
      </c>
      <c r="P9" s="4">
        <f>COUNTIFS(AgentDecisionRecords!AF2:AF4, A9)</f>
        <v>0</v>
      </c>
      <c r="Q9" s="4">
        <f>COUNTIFS(AgentDecisionRecords!AE2:AE4, A9)</f>
        <v>0</v>
      </c>
      <c r="R9" s="4">
        <f>IF(((P9 = 0)=TRUE),  0,  (Q9 * 100) / P9)</f>
        <v>0</v>
      </c>
      <c r="S9" s="4">
        <f>COUNTIFS(KnowledgeBrokerLinks!N2:N6, A9)</f>
        <v>0</v>
      </c>
      <c r="T9" s="4" t="b">
        <f>S9 &gt;= 3</f>
        <v>0</v>
      </c>
      <c r="U9" s="4">
        <f>COUNTIFS(KnowledgeBrokerLinks!O2:O6, A9)</f>
        <v>0</v>
      </c>
      <c r="V9" s="4" t="b">
        <f>U9 &gt; 0</f>
        <v>0</v>
      </c>
      <c r="W9" s="3" t="s">
        <v>170</v>
      </c>
    </row>
    <row r="10">
      <c r="A10" s="3" t="s">
        <v>175</v>
      </c>
      <c r="B10" s="4" t="str">
        <f>C10</f>
        <v>Policy Drafting AI</v>
      </c>
      <c r="C10" s="3" t="s">
        <v>176</v>
      </c>
      <c r="D10" s="3" t="s">
        <v>173</v>
      </c>
      <c r="E10" s="3" t="s">
        <v>113</v>
      </c>
      <c r="F10" s="3" t="s">
        <v>168</v>
      </c>
      <c r="G10" s="3" t="s">
        <v>177</v>
      </c>
      <c r="H10" s="6">
        <f>IF((COUNTIFS(RoleAssignments!L2:L14, A10))="", "", ROUND((COUNTIFS(RoleAssignments!L2:L14, A10)), 0))</f>
        <v>1</v>
      </c>
      <c r="I10" s="4" t="b">
        <f>H10 &gt; 0</f>
        <v>1</v>
      </c>
      <c r="J10" s="4">
        <f>COUNTIFS(AgentDecisionRecords!D2:D4, A10)</f>
        <v>0</v>
      </c>
      <c r="K10" s="4">
        <f>COUNTIFS(AgentDecisionRecords!O2:O4, A10)</f>
        <v>0</v>
      </c>
      <c r="L10" s="4">
        <f>IF(((J10 = 0)=TRUE),  0,  (K10 * 100) / J10)</f>
        <v>0</v>
      </c>
      <c r="M10" s="4" t="b">
        <f>NOT(((D10 = "Human")=TRUE))</f>
        <v>1</v>
      </c>
      <c r="N10" s="4">
        <f>COUNTIFS(AgentDecisionRecords!AB2:AB4, A10)</f>
        <v>0</v>
      </c>
      <c r="O10" s="4" t="b">
        <f>N10 &gt; 0</f>
        <v>0</v>
      </c>
      <c r="P10" s="4">
        <f>COUNTIFS(AgentDecisionRecords!AF2:AF4, A10)</f>
        <v>0</v>
      </c>
      <c r="Q10" s="4">
        <f>COUNTIFS(AgentDecisionRecords!AE2:AE4, A10)</f>
        <v>0</v>
      </c>
      <c r="R10" s="4">
        <f>IF(((P10 = 0)=TRUE),  0,  (Q10 * 100) / P10)</f>
        <v>0</v>
      </c>
      <c r="S10" s="4">
        <f>COUNTIFS(KnowledgeBrokerLinks!N2:N6, A10)</f>
        <v>0</v>
      </c>
      <c r="T10" s="4" t="b">
        <f>S10 &gt;= 3</f>
        <v>0</v>
      </c>
      <c r="U10" s="4">
        <f>COUNTIFS(KnowledgeBrokerLinks!O2:O6, A10)</f>
        <v>0</v>
      </c>
      <c r="V10" s="4" t="b">
        <f>U10 &gt; 0</f>
        <v>0</v>
      </c>
      <c r="W10" s="3" t="s">
        <v>170</v>
      </c>
    </row>
    <row r="11">
      <c r="A11" s="3" t="s">
        <v>178</v>
      </c>
      <c r="B11" s="4" t="str">
        <f>C11</f>
        <v>Employee Notification Pipeline</v>
      </c>
      <c r="C11" s="3" t="s">
        <v>179</v>
      </c>
      <c r="D11" s="3" t="s">
        <v>167</v>
      </c>
      <c r="E11" s="3" t="s">
        <v>113</v>
      </c>
      <c r="F11" s="3" t="s">
        <v>168</v>
      </c>
      <c r="G11" s="3" t="s">
        <v>180</v>
      </c>
      <c r="H11" s="6">
        <f>IF((COUNTIFS(RoleAssignments!L2:L14, A11))="", "", ROUND((COUNTIFS(RoleAssignments!L2:L14, A11)), 0))</f>
        <v>1</v>
      </c>
      <c r="I11" s="4" t="b">
        <f>H11 &gt; 0</f>
        <v>1</v>
      </c>
      <c r="J11" s="4">
        <f>COUNTIFS(AgentDecisionRecords!D2:D4, A11)</f>
        <v>0</v>
      </c>
      <c r="K11" s="4">
        <f>COUNTIFS(AgentDecisionRecords!O2:O4, A11)</f>
        <v>0</v>
      </c>
      <c r="L11" s="4">
        <f>IF(((J11 = 0)=TRUE),  0,  (K11 * 100) / J11)</f>
        <v>0</v>
      </c>
      <c r="M11" s="4" t="b">
        <f>NOT(((D11 = "Human")=TRUE))</f>
        <v>1</v>
      </c>
      <c r="N11" s="4">
        <f>COUNTIFS(AgentDecisionRecords!AB2:AB4, A11)</f>
        <v>0</v>
      </c>
      <c r="O11" s="4" t="b">
        <f>N11 &gt; 0</f>
        <v>0</v>
      </c>
      <c r="P11" s="4">
        <f>COUNTIFS(AgentDecisionRecords!AF2:AF4, A11)</f>
        <v>0</v>
      </c>
      <c r="Q11" s="4">
        <f>COUNTIFS(AgentDecisionRecords!AE2:AE4, A11)</f>
        <v>0</v>
      </c>
      <c r="R11" s="4">
        <f>IF(((P11 = 0)=TRUE),  0,  (Q11 * 100) / P11)</f>
        <v>0</v>
      </c>
      <c r="S11" s="4">
        <f>COUNTIFS(KnowledgeBrokerLinks!N2:N6, A11)</f>
        <v>0</v>
      </c>
      <c r="T11" s="4" t="b">
        <f>S11 &gt;= 3</f>
        <v>0</v>
      </c>
      <c r="U11" s="4">
        <f>COUNTIFS(KnowledgeBrokerLinks!O2:O6, A11)</f>
        <v>0</v>
      </c>
      <c r="V11" s="4" t="b">
        <f>U11 &gt; 0</f>
        <v>0</v>
      </c>
      <c r="W11" s="3" t="s">
        <v>170</v>
      </c>
    </row>
    <row r="12">
      <c r="A12" s="3" t="s">
        <v>181</v>
      </c>
      <c r="B12" s="4" t="str">
        <f>C12</f>
        <v>Jordan Park</v>
      </c>
      <c r="C12" s="3" t="s">
        <v>182</v>
      </c>
      <c r="D12" s="3" t="s">
        <v>141</v>
      </c>
      <c r="E12" s="3" t="s">
        <v>108</v>
      </c>
      <c r="F12" s="3" t="s">
        <v>168</v>
      </c>
      <c r="G12" s="3" t="s">
        <v>168</v>
      </c>
      <c r="H12" s="6">
        <f>IF((COUNTIFS(RoleAssignments!L2:L14, A12))="", "", ROUND((COUNTIFS(RoleAssignments!L2:L14, A12)), 0))</f>
        <v>0</v>
      </c>
      <c r="I12" s="4" t="b">
        <f>H12 &gt; 0</f>
        <v>0</v>
      </c>
      <c r="J12" s="4">
        <f>COUNTIFS(AgentDecisionRecords!D2:D4, A12)</f>
        <v>0</v>
      </c>
      <c r="K12" s="4">
        <f>COUNTIFS(AgentDecisionRecords!O2:O4, A12)</f>
        <v>0</v>
      </c>
      <c r="L12" s="4">
        <f>IF(((J12 = 0)=TRUE),  0,  (K12 * 100) / J12)</f>
        <v>0</v>
      </c>
      <c r="M12" s="4" t="b">
        <f>NOT(((D12 = "Human")=TRUE))</f>
        <v>0</v>
      </c>
      <c r="N12" s="4">
        <f>COUNTIFS(AgentDecisionRecords!AB2:AB4, A12)</f>
        <v>0</v>
      </c>
      <c r="O12" s="4" t="b">
        <f>N12 &gt; 0</f>
        <v>0</v>
      </c>
      <c r="P12" s="4">
        <f>COUNTIFS(AgentDecisionRecords!AF2:AF4, A12)</f>
        <v>0</v>
      </c>
      <c r="Q12" s="4">
        <f>COUNTIFS(AgentDecisionRecords!AE2:AE4, A12)</f>
        <v>0</v>
      </c>
      <c r="R12" s="4">
        <f>IF(((P12 = 0)=TRUE),  0,  (Q12 * 100) / P12)</f>
        <v>0</v>
      </c>
      <c r="S12" s="4">
        <f>COUNTIFS(KnowledgeBrokerLinks!N2:N6, A12)</f>
        <v>1</v>
      </c>
      <c r="T12" s="4" t="b">
        <f>S12 &gt;= 3</f>
        <v>0</v>
      </c>
      <c r="U12" s="4">
        <f>COUNTIFS(KnowledgeBrokerLinks!O2:O6, A12)</f>
        <v>1</v>
      </c>
      <c r="V12" s="4" t="b">
        <f>U12 &gt; 0</f>
        <v>1</v>
      </c>
      <c r="W12" s="3" t="s">
        <v>144</v>
      </c>
    </row>
  </sheetData>
  <autoFilter ref="A1:W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X13"/>
  <sheetViews>
    <sheetView workbookViewId="0">
      <pane ySplit="1" topLeftCell="A2" state="frozen" activePane="bottomLeft"/>
      <selection pane="bottomLeft" activeCell="A1" sqref="A1"/>
    </sheetView>
  </sheetViews>
  <sheetFormatPr defaultRowHeight="15"/>
  <cols>
    <col min="1" max="1" width="25.59624671936035" customWidth="1"/>
    <col min="2" max="2" width="35.03915786743164" customWidth="1"/>
    <col min="3" max="3" width="35.03915786743164" customWidth="1"/>
    <col min="4" max="4" width="17.443378448486328" customWidth="1"/>
    <col min="5" max="5" width="19.900266647338867" customWidth="1"/>
    <col min="6" max="6" width="18.9503231048584" customWidth="1"/>
    <col min="7" max="7" width="63.167091369628906" customWidth="1"/>
    <col min="8" max="8" width="23.344497680664062" customWidth="1"/>
    <col min="9" max="9" width="33.78933334350586" customWidth="1"/>
    <col min="10" max="10" width="21.181604385375977" customWidth="1"/>
    <col min="11" max="11" width="25.285717010498047" customWidth="1"/>
    <col min="12" max="12" width="23.055267333984375" customWidth="1"/>
    <col min="13" max="13" width="28.29361915588379" customWidth="1"/>
    <col min="14" max="14" width="18.26754379272461" customWidth="1"/>
    <col min="15" max="15" width="29.141708374023438" customWidth="1"/>
    <col min="16" max="16" width="26.37601661682129" customWidth="1"/>
    <col min="17" max="17" width="17.443378448486328" customWidth="1"/>
    <col min="18" max="18" width="17.443378448486328" customWidth="1"/>
    <col min="19" max="19" width="27.693925857543945" customWidth="1"/>
    <col min="20" max="20" width="29.618083953857422" customWidth="1"/>
    <col min="21" max="21" width="25.04017448425293" customWidth="1"/>
    <col min="22" max="22" width="42.202579498291016" customWidth="1"/>
    <col min="23" max="23" width="30.36478042602539" customWidth="1"/>
    <col min="24" max="24" width="27.849199295043945" customWidth="1"/>
  </cols>
  <sheetData>
    <row r="1">
      <c r="A1" s="2" t="s">
        <v>183</v>
      </c>
      <c r="B1" s="2" t="s">
        <v>1</v>
      </c>
      <c r="C1" s="2" t="s">
        <v>19</v>
      </c>
      <c r="D1" s="2" t="s">
        <v>121</v>
      </c>
      <c r="E1" s="2" t="s">
        <v>184</v>
      </c>
      <c r="F1" s="2" t="s">
        <v>185</v>
      </c>
      <c r="G1" s="2" t="s">
        <v>186</v>
      </c>
      <c r="H1" s="2" t="s">
        <v>187</v>
      </c>
      <c r="I1" s="2" t="s">
        <v>188</v>
      </c>
      <c r="J1" s="2" t="s">
        <v>189</v>
      </c>
      <c r="K1" s="2" t="s">
        <v>190</v>
      </c>
      <c r="L1" s="2" t="s">
        <v>191</v>
      </c>
      <c r="M1" s="2" t="s">
        <v>192</v>
      </c>
      <c r="N1" s="2" t="s">
        <v>193</v>
      </c>
      <c r="O1" s="2" t="s">
        <v>194</v>
      </c>
      <c r="P1" s="2" t="s">
        <v>195</v>
      </c>
      <c r="Q1" s="2" t="s">
        <v>196</v>
      </c>
      <c r="R1" s="2" t="s">
        <v>197</v>
      </c>
      <c r="S1" s="2" t="s">
        <v>198</v>
      </c>
      <c r="T1" s="2" t="s">
        <v>199</v>
      </c>
      <c r="U1" s="2" t="s">
        <v>200</v>
      </c>
      <c r="V1" s="2" t="s">
        <v>201</v>
      </c>
      <c r="W1" s="2" t="s">
        <v>202</v>
      </c>
      <c r="X1" s="2" t="s">
        <v>94</v>
      </c>
    </row>
    <row r="2">
      <c r="A2" s="3" t="s">
        <v>203</v>
      </c>
      <c r="B2" s="4" t="str">
        <f>C2</f>
        <v>Finance Analyst</v>
      </c>
      <c r="C2" s="3" t="s">
        <v>204</v>
      </c>
      <c r="D2" s="3" t="s">
        <v>108</v>
      </c>
      <c r="E2" s="3" t="s">
        <v>139</v>
      </c>
      <c r="F2" s="4" t="str">
        <f>_xlfn.IFNA(IF(((INDEX(Agents!D2:D12, MATCH(E2,Agents!A2:A12, 0))="")=TRUE),  "",  INDEX(Agents!D2:D12, MATCH(E2,Agents!A2:A12, 0))), "")</f>
        <v>Human</v>
      </c>
      <c r="G2" s="3" t="s">
        <v>205</v>
      </c>
      <c r="H2" s="4">
        <f>COUNTIFS(RoleAssignments!C2:C14, A2)</f>
        <v>1</v>
      </c>
      <c r="I2" s="4">
        <f>COUNTIFS(RoleAssignments!Q2:Q14, A2)</f>
        <v>1</v>
      </c>
      <c r="J2" s="4" t="b">
        <f>I2 = 0</f>
        <v>0</v>
      </c>
      <c r="K2" s="6">
        <f>IF((COUNTIFS(ChangeRequests!H2:H3,A2))="", "", ROUND((COUNTIFS(ChangeRequests!H2:H3,A2)), 0))</f>
        <v>0</v>
      </c>
      <c r="L2" s="3" t="s">
        <v>206</v>
      </c>
      <c r="M2" s="7">
        <f>_xlfn.IFNA(IF(((INDEX(RoleAssignments!E2:E14, MATCH(L2,RoleAssignments!A2:A14, 0))="")=TRUE),  "",  INDEX(RoleAssignments!E2:E14, MATCH(L2,RoleAssignments!A2:A14, 0))), "")</f>
        <v>46023.25</v>
      </c>
      <c r="N2" s="4" t="b">
        <f>NOT(((F2 = "Human")=TRUE))</f>
        <v>0</v>
      </c>
      <c r="O2" s="4" t="b">
        <f>AND(((N2)=TRUE), ((J2)=TRUE))</f>
        <v>0</v>
      </c>
      <c r="P2" s="4">
        <f>COUNTIFS(RoleAssignments!AF2:AF14, A2)</f>
        <v>0</v>
      </c>
      <c r="Q2" s="4" t="b">
        <f>P2 &gt; 0</f>
        <v>0</v>
      </c>
      <c r="R2" s="4" t="b">
        <f>AND(((Q2)=TRUE), ((J2)=TRUE))</f>
        <v>0</v>
      </c>
      <c r="S2" s="4">
        <f>COUNTIFS(AuthorityBoundaries!AF2:AF4, A2)</f>
        <v>0</v>
      </c>
      <c r="T2" s="4" t="b">
        <f>(S2 &gt; 0)</f>
        <v>0</v>
      </c>
      <c r="U2" s="4">
        <f>COUNTIFS(SendIntents!BY2:BY8, A2)</f>
        <v>0</v>
      </c>
      <c r="V2" s="4">
        <f>COUNTIFS(RoleAssignments!BL2:BL14, A2)</f>
        <v>0</v>
      </c>
      <c r="W2" s="4" t="b">
        <f>(V2 &gt; 0)</f>
        <v>0</v>
      </c>
      <c r="X2" s="3" t="s">
        <v>207</v>
      </c>
    </row>
    <row r="3">
      <c r="A3" s="3" t="s">
        <v>208</v>
      </c>
      <c r="B3" s="4" t="str">
        <f>C3</f>
        <v>Corporate Controller</v>
      </c>
      <c r="C3" s="3" t="s">
        <v>209</v>
      </c>
      <c r="D3" s="3" t="s">
        <v>108</v>
      </c>
      <c r="E3" s="3" t="s">
        <v>145</v>
      </c>
      <c r="F3" s="4" t="str">
        <f>_xlfn.IFNA(IF(((INDEX(Agents!D2:D12, MATCH(E3,Agents!A2:A12, 0))="")=TRUE),  "",  INDEX(Agents!D2:D12, MATCH(E3,Agents!A2:A12, 0))), "")</f>
        <v>Human</v>
      </c>
      <c r="G3" s="3" t="s">
        <v>210</v>
      </c>
      <c r="H3" s="4">
        <f>COUNTIFS(RoleAssignments!C2:C14, A3)</f>
        <v>1</v>
      </c>
      <c r="I3" s="4">
        <f>COUNTIFS(RoleAssignments!Q2:Q14, A3)</f>
        <v>1</v>
      </c>
      <c r="J3" s="4" t="b">
        <f>I3 = 0</f>
        <v>0</v>
      </c>
      <c r="K3" s="6">
        <f>IF((COUNTIFS(ChangeRequests!H2:H3,A3))="", "", ROUND((COUNTIFS(ChangeRequests!H2:H3,A3)), 0))</f>
        <v>0</v>
      </c>
      <c r="L3" s="3" t="s">
        <v>211</v>
      </c>
      <c r="M3" s="7">
        <f>_xlfn.IFNA(IF(((INDEX(RoleAssignments!E2:E14, MATCH(L3,RoleAssignments!A2:A14, 0))="")=TRUE),  "",  INDEX(RoleAssignments!E2:E14, MATCH(L3,RoleAssignments!A2:A14, 0))), "")</f>
        <v>46023.25</v>
      </c>
      <c r="N3" s="4" t="b">
        <f>NOT(((F3 = "Human")=TRUE))</f>
        <v>0</v>
      </c>
      <c r="O3" s="4" t="b">
        <f>AND(((N3)=TRUE), ((J3)=TRUE))</f>
        <v>0</v>
      </c>
      <c r="P3" s="4">
        <f>COUNTIFS(RoleAssignments!AF2:AF14, A3)</f>
        <v>0</v>
      </c>
      <c r="Q3" s="4" t="b">
        <f>P3 &gt; 0</f>
        <v>0</v>
      </c>
      <c r="R3" s="4" t="b">
        <f>AND(((Q3)=TRUE), ((J3)=TRUE))</f>
        <v>0</v>
      </c>
      <c r="S3" s="4">
        <f>COUNTIFS(AuthorityBoundaries!AF2:AF4, A3)</f>
        <v>0</v>
      </c>
      <c r="T3" s="4" t="b">
        <f>(S3 &gt; 0)</f>
        <v>0</v>
      </c>
      <c r="U3" s="4">
        <f>COUNTIFS(SendIntents!BY2:BY8, A3)</f>
        <v>0</v>
      </c>
      <c r="V3" s="4">
        <f>COUNTIFS(RoleAssignments!BL2:BL14, A3)</f>
        <v>0</v>
      </c>
      <c r="W3" s="4" t="b">
        <f>(V3 &gt; 0)</f>
        <v>0</v>
      </c>
      <c r="X3" s="3" t="s">
        <v>207</v>
      </c>
    </row>
    <row r="4">
      <c r="A4" s="3" t="s">
        <v>212</v>
      </c>
      <c r="B4" s="4" t="str">
        <f>C4</f>
        <v>Chief Financial Officer</v>
      </c>
      <c r="C4" s="3" t="s">
        <v>213</v>
      </c>
      <c r="D4" s="3" t="s">
        <v>108</v>
      </c>
      <c r="E4" s="3" t="s">
        <v>149</v>
      </c>
      <c r="F4" s="4" t="str">
        <f>_xlfn.IFNA(IF(((INDEX(Agents!D2:D12, MATCH(E4,Agents!A2:A12, 0))="")=TRUE),  "",  INDEX(Agents!D2:D12, MATCH(E4,Agents!A2:A12, 0))), "")</f>
        <v>Human</v>
      </c>
      <c r="G4" s="3" t="s">
        <v>214</v>
      </c>
      <c r="H4" s="4">
        <f>COUNTIFS(RoleAssignments!C2:C14, A4)</f>
        <v>1</v>
      </c>
      <c r="I4" s="4">
        <f>COUNTIFS(RoleAssignments!Q2:Q14, A4)</f>
        <v>1</v>
      </c>
      <c r="J4" s="4" t="b">
        <f>I4 = 0</f>
        <v>0</v>
      </c>
      <c r="K4" s="6">
        <f>IF((COUNTIFS(ChangeRequests!H2:H3,A4))="", "", ROUND((COUNTIFS(ChangeRequests!H2:H3,A4)), 0))</f>
        <v>0</v>
      </c>
      <c r="L4" s="3" t="s">
        <v>215</v>
      </c>
      <c r="M4" s="7">
        <f>_xlfn.IFNA(IF(((INDEX(RoleAssignments!E2:E14, MATCH(L4,RoleAssignments!A2:A14, 0))="")=TRUE),  "",  INDEX(RoleAssignments!E2:E14, MATCH(L4,RoleAssignments!A2:A14, 0))), "")</f>
        <v>46023.25</v>
      </c>
      <c r="N4" s="4" t="b">
        <f>NOT(((F4 = "Human")=TRUE))</f>
        <v>0</v>
      </c>
      <c r="O4" s="4" t="b">
        <f>AND(((N4)=TRUE), ((J4)=TRUE))</f>
        <v>0</v>
      </c>
      <c r="P4" s="4">
        <f>COUNTIFS(RoleAssignments!AF2:AF14, A4)</f>
        <v>0</v>
      </c>
      <c r="Q4" s="4" t="b">
        <f>P4 &gt; 0</f>
        <v>0</v>
      </c>
      <c r="R4" s="4" t="b">
        <f>AND(((Q4)=TRUE), ((J4)=TRUE))</f>
        <v>0</v>
      </c>
      <c r="S4" s="4">
        <f>COUNTIFS(AuthorityBoundaries!AF2:AF4, A4)</f>
        <v>0</v>
      </c>
      <c r="T4" s="4" t="b">
        <f>(S4 &gt; 0)</f>
        <v>0</v>
      </c>
      <c r="U4" s="4">
        <f>COUNTIFS(SendIntents!BY2:BY8, A4)</f>
        <v>0</v>
      </c>
      <c r="V4" s="4">
        <f>COUNTIFS(RoleAssignments!BL2:BL14, A4)</f>
        <v>0</v>
      </c>
      <c r="W4" s="4" t="b">
        <f>(V4 &gt; 0)</f>
        <v>0</v>
      </c>
      <c r="X4" s="3" t="s">
        <v>207</v>
      </c>
    </row>
    <row r="5">
      <c r="A5" s="3" t="s">
        <v>216</v>
      </c>
      <c r="B5" s="4" t="str">
        <f>C5</f>
        <v>People Policy Owner</v>
      </c>
      <c r="C5" s="3" t="s">
        <v>217</v>
      </c>
      <c r="D5" s="3" t="s">
        <v>113</v>
      </c>
      <c r="E5" s="3" t="s">
        <v>153</v>
      </c>
      <c r="F5" s="4" t="str">
        <f>_xlfn.IFNA(IF(((INDEX(Agents!D2:D12, MATCH(E5,Agents!A2:A12, 0))="")=TRUE),  "",  INDEX(Agents!D2:D12, MATCH(E5,Agents!A2:A12, 0))), "")</f>
        <v>Human</v>
      </c>
      <c r="G5" s="3" t="s">
        <v>218</v>
      </c>
      <c r="H5" s="4">
        <f>COUNTIFS(RoleAssignments!C2:C14, A5)</f>
        <v>1</v>
      </c>
      <c r="I5" s="4">
        <f>COUNTIFS(RoleAssignments!Q2:Q14, A5)</f>
        <v>1</v>
      </c>
      <c r="J5" s="4" t="b">
        <f>I5 = 0</f>
        <v>0</v>
      </c>
      <c r="K5" s="6">
        <f>IF((COUNTIFS(ChangeRequests!H2:H3,A5))="", "", ROUND((COUNTIFS(ChangeRequests!H2:H3,A5)), 0))</f>
        <v>1</v>
      </c>
      <c r="L5" s="3" t="s">
        <v>219</v>
      </c>
      <c r="M5" s="7">
        <f>_xlfn.IFNA(IF(((INDEX(RoleAssignments!E2:E14, MATCH(L5,RoleAssignments!A2:A14, 0))="")=TRUE),  "",  INDEX(RoleAssignments!E2:E14, MATCH(L5,RoleAssignments!A2:A14, 0))), "")</f>
        <v>46054.25</v>
      </c>
      <c r="N5" s="4" t="b">
        <f>NOT(((F5 = "Human")=TRUE))</f>
        <v>0</v>
      </c>
      <c r="O5" s="4" t="b">
        <f>AND(((N5)=TRUE), ((J5)=TRUE))</f>
        <v>0</v>
      </c>
      <c r="P5" s="4">
        <f>COUNTIFS(RoleAssignments!AF2:AF14, A5)</f>
        <v>0</v>
      </c>
      <c r="Q5" s="4" t="b">
        <f>P5 &gt; 0</f>
        <v>0</v>
      </c>
      <c r="R5" s="4" t="b">
        <f>AND(((Q5)=TRUE), ((J5)=TRUE))</f>
        <v>0</v>
      </c>
      <c r="S5" s="4">
        <f>COUNTIFS(AuthorityBoundaries!AF2:AF4, A5)</f>
        <v>0</v>
      </c>
      <c r="T5" s="4" t="b">
        <f>(S5 &gt; 0)</f>
        <v>0</v>
      </c>
      <c r="U5" s="4">
        <f>COUNTIFS(SendIntents!BY2:BY8, A5)</f>
        <v>0</v>
      </c>
      <c r="V5" s="4">
        <f>COUNTIFS(RoleAssignments!BL2:BL14, A5)</f>
        <v>0</v>
      </c>
      <c r="W5" s="4" t="b">
        <f>(V5 &gt; 0)</f>
        <v>0</v>
      </c>
      <c r="X5" s="3" t="s">
        <v>207</v>
      </c>
    </row>
    <row r="6">
      <c r="A6" s="3" t="s">
        <v>220</v>
      </c>
      <c r="B6" s="4" t="str">
        <f>C6</f>
        <v>Employment Counsel</v>
      </c>
      <c r="C6" s="3" t="s">
        <v>221</v>
      </c>
      <c r="D6" s="3" t="s">
        <v>116</v>
      </c>
      <c r="E6" s="3" t="s">
        <v>157</v>
      </c>
      <c r="F6" s="4" t="str">
        <f>_xlfn.IFNA(IF(((INDEX(Agents!D2:D12, MATCH(E6,Agents!A2:A12, 0))="")=TRUE),  "",  INDEX(Agents!D2:D12, MATCH(E6,Agents!A2:A12, 0))), "")</f>
        <v>Human</v>
      </c>
      <c r="G6" s="3" t="s">
        <v>222</v>
      </c>
      <c r="H6" s="4">
        <f>COUNTIFS(RoleAssignments!C2:C14, A6)</f>
        <v>1</v>
      </c>
      <c r="I6" s="4">
        <f>COUNTIFS(RoleAssignments!Q2:Q14, A6)</f>
        <v>1</v>
      </c>
      <c r="J6" s="4" t="b">
        <f>I6 = 0</f>
        <v>0</v>
      </c>
      <c r="K6" s="6">
        <f>IF((COUNTIFS(ChangeRequests!H2:H3,A6))="", "", ROUND((COUNTIFS(ChangeRequests!H2:H3,A6)), 0))</f>
        <v>0</v>
      </c>
      <c r="L6" s="3" t="s">
        <v>223</v>
      </c>
      <c r="M6" s="7">
        <f>_xlfn.IFNA(IF(((INDEX(RoleAssignments!E2:E14, MATCH(L6,RoleAssignments!A2:A14, 0))="")=TRUE),  "",  INDEX(RoleAssignments!E2:E14, MATCH(L6,RoleAssignments!A2:A14, 0))), "")</f>
        <v>46037.25</v>
      </c>
      <c r="N6" s="4" t="b">
        <f>NOT(((F6 = "Human")=TRUE))</f>
        <v>0</v>
      </c>
      <c r="O6" s="4" t="b">
        <f>AND(((N6)=TRUE), ((J6)=TRUE))</f>
        <v>0</v>
      </c>
      <c r="P6" s="4">
        <f>COUNTIFS(RoleAssignments!AF2:AF14, A6)</f>
        <v>0</v>
      </c>
      <c r="Q6" s="4" t="b">
        <f>P6 &gt; 0</f>
        <v>0</v>
      </c>
      <c r="R6" s="4" t="b">
        <f>AND(((Q6)=TRUE), ((J6)=TRUE))</f>
        <v>0</v>
      </c>
      <c r="S6" s="4">
        <f>COUNTIFS(AuthorityBoundaries!AF2:AF4, A6)</f>
        <v>0</v>
      </c>
      <c r="T6" s="4" t="b">
        <f>(S6 &gt; 0)</f>
        <v>0</v>
      </c>
      <c r="U6" s="4">
        <f>COUNTIFS(SendIntents!BY2:BY8, A6)</f>
        <v>0</v>
      </c>
      <c r="V6" s="4">
        <f>COUNTIFS(RoleAssignments!BL2:BL14, A6)</f>
        <v>0</v>
      </c>
      <c r="W6" s="4" t="b">
        <f>(V6 &gt; 0)</f>
        <v>0</v>
      </c>
      <c r="X6" s="3" t="s">
        <v>207</v>
      </c>
    </row>
    <row r="7">
      <c r="A7" s="3" t="s">
        <v>224</v>
      </c>
      <c r="B7" s="4" t="str">
        <f>C7</f>
        <v>Employee Communications Manager</v>
      </c>
      <c r="C7" s="3" t="s">
        <v>225</v>
      </c>
      <c r="D7" s="3" t="s">
        <v>113</v>
      </c>
      <c r="E7" s="3" t="s">
        <v>161</v>
      </c>
      <c r="F7" s="4" t="str">
        <f>_xlfn.IFNA(IF(((INDEX(Agents!D2:D12, MATCH(E7,Agents!A2:A12, 0))="")=TRUE),  "",  INDEX(Agents!D2:D12, MATCH(E7,Agents!A2:A12, 0))), "")</f>
        <v>Human</v>
      </c>
      <c r="G7" s="3" t="s">
        <v>226</v>
      </c>
      <c r="H7" s="4">
        <f>COUNTIFS(RoleAssignments!C2:C14, A7)</f>
        <v>1</v>
      </c>
      <c r="I7" s="4">
        <f>COUNTIFS(RoleAssignments!Q2:Q14, A7)</f>
        <v>1</v>
      </c>
      <c r="J7" s="4" t="b">
        <f>I7 = 0</f>
        <v>0</v>
      </c>
      <c r="K7" s="6">
        <f>IF((COUNTIFS(ChangeRequests!H2:H3,A7))="", "", ROUND((COUNTIFS(ChangeRequests!H2:H3,A7)), 0))</f>
        <v>0</v>
      </c>
      <c r="L7" s="3" t="s">
        <v>227</v>
      </c>
      <c r="M7" s="7">
        <f>_xlfn.IFNA(IF(((INDEX(RoleAssignments!E2:E14, MATCH(L7,RoleAssignments!A2:A14, 0))="")=TRUE),  "",  INDEX(RoleAssignments!E2:E14, MATCH(L7,RoleAssignments!A2:A14, 0))), "")</f>
        <v>46054.25</v>
      </c>
      <c r="N7" s="4" t="b">
        <f>NOT(((F7 = "Human")=TRUE))</f>
        <v>0</v>
      </c>
      <c r="O7" s="4" t="b">
        <f>AND(((N7)=TRUE), ((J7)=TRUE))</f>
        <v>0</v>
      </c>
      <c r="P7" s="4">
        <f>COUNTIFS(RoleAssignments!AF2:AF14, A7)</f>
        <v>0</v>
      </c>
      <c r="Q7" s="4" t="b">
        <f>P7 &gt; 0</f>
        <v>0</v>
      </c>
      <c r="R7" s="4" t="b">
        <f>AND(((Q7)=TRUE), ((J7)=TRUE))</f>
        <v>0</v>
      </c>
      <c r="S7" s="4">
        <f>COUNTIFS(AuthorityBoundaries!AF2:AF4, A7)</f>
        <v>0</v>
      </c>
      <c r="T7" s="4" t="b">
        <f>(S7 &gt; 0)</f>
        <v>0</v>
      </c>
      <c r="U7" s="4">
        <f>COUNTIFS(SendIntents!BY2:BY8, A7)</f>
        <v>0</v>
      </c>
      <c r="V7" s="4">
        <f>COUNTIFS(RoleAssignments!BL2:BL14, A7)</f>
        <v>0</v>
      </c>
      <c r="W7" s="4" t="b">
        <f>(V7 &gt; 0)</f>
        <v>0</v>
      </c>
      <c r="X7" s="3" t="s">
        <v>207</v>
      </c>
    </row>
    <row r="8">
      <c r="A8" s="3" t="s">
        <v>228</v>
      </c>
      <c r="B8" s="4" t="str">
        <f>C8</f>
        <v>Close Automation Operator</v>
      </c>
      <c r="C8" s="3" t="s">
        <v>229</v>
      </c>
      <c r="D8" s="3" t="s">
        <v>108</v>
      </c>
      <c r="E8" s="3" t="s">
        <v>165</v>
      </c>
      <c r="F8" s="4" t="str">
        <f>_xlfn.IFNA(IF(((INDEX(Agents!D2:D12, MATCH(E8,Agents!A2:A12, 0))="")=TRUE),  "",  INDEX(Agents!D2:D12, MATCH(E8,Agents!A2:A12, 0))), "")</f>
        <v>AutomatedPipeline</v>
      </c>
      <c r="G8" s="3" t="s">
        <v>230</v>
      </c>
      <c r="H8" s="4">
        <f>COUNTIFS(RoleAssignments!C2:C14, A8)</f>
        <v>1</v>
      </c>
      <c r="I8" s="4">
        <f>COUNTIFS(RoleAssignments!Q2:Q14, A8)</f>
        <v>1</v>
      </c>
      <c r="J8" s="4" t="b">
        <f>I8 = 0</f>
        <v>0</v>
      </c>
      <c r="K8" s="6">
        <f>IF((COUNTIFS(ChangeRequests!H2:H3,A8))="", "", ROUND((COUNTIFS(ChangeRequests!H2:H3,A8)), 0))</f>
        <v>0</v>
      </c>
      <c r="L8" s="3" t="s">
        <v>231</v>
      </c>
      <c r="M8" s="7">
        <f>_xlfn.IFNA(IF(((INDEX(RoleAssignments!E2:E14, MATCH(L8,RoleAssignments!A2:A14, 0))="")=TRUE),  "",  INDEX(RoleAssignments!E2:E14, MATCH(L8,RoleAssignments!A2:A14, 0))), "")</f>
        <v>46023.25</v>
      </c>
      <c r="N8" s="4" t="b">
        <f>NOT(((F8 = "Human")=TRUE))</f>
        <v>1</v>
      </c>
      <c r="O8" s="4" t="b">
        <f>AND(((N8)=TRUE), ((J8)=TRUE))</f>
        <v>0</v>
      </c>
      <c r="P8" s="4">
        <f>COUNTIFS(RoleAssignments!AF2:AF14, A8)</f>
        <v>0</v>
      </c>
      <c r="Q8" s="4" t="b">
        <f>P8 &gt; 0</f>
        <v>0</v>
      </c>
      <c r="R8" s="4" t="b">
        <f>AND(((Q8)=TRUE), ((J8)=TRUE))</f>
        <v>0</v>
      </c>
      <c r="S8" s="4">
        <f>COUNTIFS(AuthorityBoundaries!AF2:AF4, A8)</f>
        <v>0</v>
      </c>
      <c r="T8" s="4" t="b">
        <f>(S8 &gt; 0)</f>
        <v>0</v>
      </c>
      <c r="U8" s="4">
        <f>COUNTIFS(SendIntents!BY2:BY8, A8)</f>
        <v>0</v>
      </c>
      <c r="V8" s="4">
        <f>COUNTIFS(RoleAssignments!BL2:BL14, A8)</f>
        <v>1</v>
      </c>
      <c r="W8" s="4" t="b">
        <f>(V8 &gt; 0)</f>
        <v>1</v>
      </c>
      <c r="X8" s="3" t="s">
        <v>207</v>
      </c>
    </row>
    <row r="9">
      <c r="A9" s="3" t="s">
        <v>232</v>
      </c>
      <c r="B9" s="4" t="str">
        <f>C9</f>
        <v>Variance Review Agent</v>
      </c>
      <c r="C9" s="3" t="s">
        <v>233</v>
      </c>
      <c r="D9" s="3" t="s">
        <v>108</v>
      </c>
      <c r="E9" s="3" t="s">
        <v>171</v>
      </c>
      <c r="F9" s="4" t="str">
        <f>_xlfn.IFNA(IF(((INDEX(Agents!D2:D12, MATCH(E9,Agents!A2:A12, 0))="")=TRUE),  "",  INDEX(Agents!D2:D12, MATCH(E9,Agents!A2:A12, 0))), "")</f>
        <v>AIAgent</v>
      </c>
      <c r="G9" s="3" t="s">
        <v>234</v>
      </c>
      <c r="H9" s="4">
        <f>COUNTIFS(RoleAssignments!C2:C14, A9)</f>
        <v>2</v>
      </c>
      <c r="I9" s="4">
        <f>COUNTIFS(RoleAssignments!Q2:Q14, A9)</f>
        <v>1</v>
      </c>
      <c r="J9" s="4" t="b">
        <f>I9 = 0</f>
        <v>0</v>
      </c>
      <c r="K9" s="6">
        <f>IF((COUNTIFS(ChangeRequests!H2:H3,A9))="", "", ROUND((COUNTIFS(ChangeRequests!H2:H3,A9)), 0))</f>
        <v>0</v>
      </c>
      <c r="L9" s="3" t="s">
        <v>235</v>
      </c>
      <c r="M9" s="7">
        <f>_xlfn.IFNA(IF(((INDEX(RoleAssignments!E2:E14, MATCH(L9,RoleAssignments!A2:A14, 0))="")=TRUE),  "",  INDEX(RoleAssignments!E2:E14, MATCH(L9,RoleAssignments!A2:A14, 0))), "")</f>
        <v>46113.208333333336</v>
      </c>
      <c r="N9" s="4" t="b">
        <f>NOT(((F9 = "Human")=TRUE))</f>
        <v>1</v>
      </c>
      <c r="O9" s="4" t="b">
        <f>AND(((N9)=TRUE), ((J9)=TRUE))</f>
        <v>0</v>
      </c>
      <c r="P9" s="4">
        <f>COUNTIFS(RoleAssignments!AF2:AF14, A9)</f>
        <v>1</v>
      </c>
      <c r="Q9" s="4" t="b">
        <f>P9 &gt; 0</f>
        <v>1</v>
      </c>
      <c r="R9" s="4" t="b">
        <f>AND(((Q9)=TRUE), ((J9)=TRUE))</f>
        <v>0</v>
      </c>
      <c r="S9" s="4">
        <f>COUNTIFS(AuthorityBoundaries!AF2:AF4, A9)</f>
        <v>0</v>
      </c>
      <c r="T9" s="4" t="b">
        <f>(S9 &gt; 0)</f>
        <v>0</v>
      </c>
      <c r="U9" s="4">
        <f>COUNTIFS(SendIntents!BY2:BY8, A9)</f>
        <v>0</v>
      </c>
      <c r="V9" s="4">
        <f>COUNTIFS(RoleAssignments!BL2:BL14, A9)</f>
        <v>0</v>
      </c>
      <c r="W9" s="4" t="b">
        <f>(V9 &gt; 0)</f>
        <v>0</v>
      </c>
      <c r="X9" s="3" t="s">
        <v>207</v>
      </c>
    </row>
    <row r="10">
      <c r="A10" s="3" t="s">
        <v>236</v>
      </c>
      <c r="B10" s="4" t="str">
        <f>C10</f>
        <v>Policy Drafting Agent</v>
      </c>
      <c r="C10" s="3" t="s">
        <v>237</v>
      </c>
      <c r="D10" s="3" t="s">
        <v>113</v>
      </c>
      <c r="E10" s="3" t="s">
        <v>175</v>
      </c>
      <c r="F10" s="4" t="str">
        <f>_xlfn.IFNA(IF(((INDEX(Agents!D2:D12, MATCH(E10,Agents!A2:A12, 0))="")=TRUE),  "",  INDEX(Agents!D2:D12, MATCH(E10,Agents!A2:A12, 0))), "")</f>
        <v>AIAgent</v>
      </c>
      <c r="G10" s="3" t="s">
        <v>238</v>
      </c>
      <c r="H10" s="4">
        <f>COUNTIFS(RoleAssignments!C2:C14, A10)</f>
        <v>1</v>
      </c>
      <c r="I10" s="4">
        <f>COUNTIFS(RoleAssignments!Q2:Q14, A10)</f>
        <v>1</v>
      </c>
      <c r="J10" s="4" t="b">
        <f>I10 = 0</f>
        <v>0</v>
      </c>
      <c r="K10" s="6">
        <f>IF((COUNTIFS(ChangeRequests!H2:H3,A10))="", "", ROUND((COUNTIFS(ChangeRequests!H2:H3,A10)), 0))</f>
        <v>0</v>
      </c>
      <c r="L10" s="3" t="s">
        <v>239</v>
      </c>
      <c r="M10" s="7">
        <f>_xlfn.IFNA(IF(((INDEX(RoleAssignments!E2:E14, MATCH(L10,RoleAssignments!A2:A14, 0))="")=TRUE),  "",  INDEX(RoleAssignments!E2:E14, MATCH(L10,RoleAssignments!A2:A14, 0))), "")</f>
        <v>46143.208333333336</v>
      </c>
      <c r="N10" s="4" t="b">
        <f>NOT(((F10 = "Human")=TRUE))</f>
        <v>1</v>
      </c>
      <c r="O10" s="4" t="b">
        <f>AND(((N10)=TRUE), ((J10)=TRUE))</f>
        <v>0</v>
      </c>
      <c r="P10" s="4">
        <f>COUNTIFS(RoleAssignments!AF2:AF14, A10)</f>
        <v>0</v>
      </c>
      <c r="Q10" s="4" t="b">
        <f>P10 &gt; 0</f>
        <v>0</v>
      </c>
      <c r="R10" s="4" t="b">
        <f>AND(((Q10)=TRUE), ((J10)=TRUE))</f>
        <v>0</v>
      </c>
      <c r="S10" s="4">
        <f>COUNTIFS(AuthorityBoundaries!AF2:AF4, A10)</f>
        <v>0</v>
      </c>
      <c r="T10" s="4" t="b">
        <f>(S10 &gt; 0)</f>
        <v>0</v>
      </c>
      <c r="U10" s="4">
        <f>COUNTIFS(SendIntents!BY2:BY8, A10)</f>
        <v>0</v>
      </c>
      <c r="V10" s="4">
        <f>COUNTIFS(RoleAssignments!BL2:BL14, A10)</f>
        <v>1</v>
      </c>
      <c r="W10" s="4" t="b">
        <f>(V10 &gt; 0)</f>
        <v>1</v>
      </c>
      <c r="X10" s="3" t="s">
        <v>207</v>
      </c>
    </row>
    <row r="11">
      <c r="A11" s="3" t="s">
        <v>240</v>
      </c>
      <c r="B11" s="4" t="str">
        <f>C11</f>
        <v>Notification Publisher</v>
      </c>
      <c r="C11" s="3" t="s">
        <v>241</v>
      </c>
      <c r="D11" s="3" t="s">
        <v>113</v>
      </c>
      <c r="E11" s="3" t="s">
        <v>178</v>
      </c>
      <c r="F11" s="4" t="str">
        <f>_xlfn.IFNA(IF(((INDEX(Agents!D2:D12, MATCH(E11,Agents!A2:A12, 0))="")=TRUE),  "",  INDEX(Agents!D2:D12, MATCH(E11,Agents!A2:A12, 0))), "")</f>
        <v>AutomatedPipeline</v>
      </c>
      <c r="G11" s="3" t="s">
        <v>242</v>
      </c>
      <c r="H11" s="4">
        <f>COUNTIFS(RoleAssignments!C2:C14, A11)</f>
        <v>1</v>
      </c>
      <c r="I11" s="4">
        <f>COUNTIFS(RoleAssignments!Q2:Q14, A11)</f>
        <v>1</v>
      </c>
      <c r="J11" s="4" t="b">
        <f>I11 = 0</f>
        <v>0</v>
      </c>
      <c r="K11" s="6">
        <f>IF((COUNTIFS(ChangeRequests!H2:H3,A11))="", "", ROUND((COUNTIFS(ChangeRequests!H2:H3,A11)), 0))</f>
        <v>0</v>
      </c>
      <c r="L11" s="3" t="s">
        <v>243</v>
      </c>
      <c r="M11" s="7">
        <f>_xlfn.IFNA(IF(((INDEX(RoleAssignments!E2:E14, MATCH(L11,RoleAssignments!A2:A14, 0))="")=TRUE),  "",  INDEX(RoleAssignments!E2:E14, MATCH(L11,RoleAssignments!A2:A14, 0))), "")</f>
        <v>46082.25</v>
      </c>
      <c r="N11" s="4" t="b">
        <f>NOT(((F11 = "Human")=TRUE))</f>
        <v>1</v>
      </c>
      <c r="O11" s="4" t="b">
        <f>AND(((N11)=TRUE), ((J11)=TRUE))</f>
        <v>0</v>
      </c>
      <c r="P11" s="4">
        <f>COUNTIFS(RoleAssignments!AF2:AF14, A11)</f>
        <v>0</v>
      </c>
      <c r="Q11" s="4" t="b">
        <f>P11 &gt; 0</f>
        <v>0</v>
      </c>
      <c r="R11" s="4" t="b">
        <f>AND(((Q11)=TRUE), ((J11)=TRUE))</f>
        <v>0</v>
      </c>
      <c r="S11" s="4">
        <f>COUNTIFS(AuthorityBoundaries!AF2:AF4, A11)</f>
        <v>0</v>
      </c>
      <c r="T11" s="4" t="b">
        <f>(S11 &gt; 0)</f>
        <v>0</v>
      </c>
      <c r="U11" s="4">
        <f>COUNTIFS(SendIntents!BY2:BY8, A11)</f>
        <v>0</v>
      </c>
      <c r="V11" s="4">
        <f>COUNTIFS(RoleAssignments!BL2:BL14, A11)</f>
        <v>1</v>
      </c>
      <c r="W11" s="4" t="b">
        <f>(V11 &gt; 0)</f>
        <v>1</v>
      </c>
      <c r="X11" s="3" t="s">
        <v>207</v>
      </c>
    </row>
    <row r="12">
      <c r="A12" s="3" t="s">
        <v>244</v>
      </c>
      <c r="B12" s="4" t="str">
        <f>C12</f>
        <v>Procedural Knowledge Steward</v>
      </c>
      <c r="C12" s="3" t="s">
        <v>245</v>
      </c>
      <c r="D12" s="3" t="s">
        <v>113</v>
      </c>
      <c r="E12" s="3" t="s">
        <v>153</v>
      </c>
      <c r="F12" s="4" t="str">
        <f>_xlfn.IFNA(IF(((INDEX(Agents!D2:D12, MATCH(E12,Agents!A2:A12, 0))="")=TRUE),  "",  INDEX(Agents!D2:D12, MATCH(E12,Agents!A2:A12, 0))), "")</f>
        <v>Human</v>
      </c>
      <c r="G12" s="3" t="s">
        <v>246</v>
      </c>
      <c r="H12" s="4">
        <f>COUNTIFS(RoleAssignments!C2:C14, A12)</f>
        <v>1</v>
      </c>
      <c r="I12" s="4">
        <f>COUNTIFS(RoleAssignments!Q2:Q14, A12)</f>
        <v>1</v>
      </c>
      <c r="J12" s="4" t="b">
        <f>I12 = 0</f>
        <v>0</v>
      </c>
      <c r="K12" s="6">
        <f>IF((COUNTIFS(ChangeRequests!H2:H3,A12))="", "", ROUND((COUNTIFS(ChangeRequests!H2:H3,A12)), 0))</f>
        <v>0</v>
      </c>
      <c r="L12" s="3" t="s">
        <v>247</v>
      </c>
      <c r="M12" s="7">
        <f>_xlfn.IFNA(IF(((INDEX(RoleAssignments!E2:E14, MATCH(L12,RoleAssignments!A2:A14, 0))="")=TRUE),  "",  INDEX(RoleAssignments!E2:E14, MATCH(L12,RoleAssignments!A2:A14, 0))), "")</f>
        <v>46127.583333333336</v>
      </c>
      <c r="N12" s="4" t="b">
        <f>NOT(((F12 = "Human")=TRUE))</f>
        <v>0</v>
      </c>
      <c r="O12" s="4" t="b">
        <f>AND(((N12)=TRUE), ((J12)=TRUE))</f>
        <v>0</v>
      </c>
      <c r="P12" s="4">
        <f>COUNTIFS(RoleAssignments!AF2:AF14, A12)</f>
        <v>0</v>
      </c>
      <c r="Q12" s="4" t="b">
        <f>P12 &gt; 0</f>
        <v>0</v>
      </c>
      <c r="R12" s="4" t="b">
        <f>AND(((Q12)=TRUE), ((J12)=TRUE))</f>
        <v>0</v>
      </c>
      <c r="S12" s="4">
        <f>COUNTIFS(AuthorityBoundaries!AF2:AF4, A12)</f>
        <v>0</v>
      </c>
      <c r="T12" s="4" t="b">
        <f>(S12 &gt; 0)</f>
        <v>0</v>
      </c>
      <c r="U12" s="4">
        <f>COUNTIFS(SendIntents!BY2:BY8, A12)</f>
        <v>0</v>
      </c>
      <c r="V12" s="4">
        <f>COUNTIFS(RoleAssignments!BL2:BL14, A12)</f>
        <v>0</v>
      </c>
      <c r="W12" s="4" t="b">
        <f>(V12 &gt; 0)</f>
        <v>0</v>
      </c>
      <c r="X12" s="3" t="s">
        <v>207</v>
      </c>
    </row>
    <row r="13">
      <c r="A13" s="3" t="s">
        <v>248</v>
      </c>
      <c r="B13" s="4" t="str">
        <f>C13</f>
        <v>Procedural Knowledge Authority</v>
      </c>
      <c r="C13" s="3" t="s">
        <v>249</v>
      </c>
      <c r="D13" s="3" t="s">
        <v>108</v>
      </c>
      <c r="E13" s="3" t="s">
        <v>149</v>
      </c>
      <c r="F13" s="4" t="str">
        <f>_xlfn.IFNA(IF(((INDEX(Agents!D2:D12, MATCH(E13,Agents!A2:A12, 0))="")=TRUE),  "",  INDEX(Agents!D2:D12, MATCH(E13,Agents!A2:A12, 0))), "")</f>
        <v>Human</v>
      </c>
      <c r="G13" s="3" t="s">
        <v>250</v>
      </c>
      <c r="H13" s="4">
        <f>COUNTIFS(RoleAssignments!C2:C14, A13)</f>
        <v>1</v>
      </c>
      <c r="I13" s="4">
        <f>COUNTIFS(RoleAssignments!Q2:Q14, A13)</f>
        <v>1</v>
      </c>
      <c r="J13" s="4" t="b">
        <f>I13 = 0</f>
        <v>0</v>
      </c>
      <c r="K13" s="6">
        <f>IF((COUNTIFS(ChangeRequests!H2:H3,A13))="", "", ROUND((COUNTIFS(ChangeRequests!H2:H3,A13)), 0))</f>
        <v>1</v>
      </c>
      <c r="L13" s="3" t="s">
        <v>251</v>
      </c>
      <c r="M13" s="7">
        <f>_xlfn.IFNA(IF(((INDEX(RoleAssignments!E2:E14, MATCH(L13,RoleAssignments!A2:A14, 0))="")=TRUE),  "",  INDEX(RoleAssignments!E2:E14, MATCH(L13,RoleAssignments!A2:A14, 0))), "")</f>
        <v>46023.25</v>
      </c>
      <c r="N13" s="4" t="b">
        <f>NOT(((F13 = "Human")=TRUE))</f>
        <v>0</v>
      </c>
      <c r="O13" s="4" t="b">
        <f>AND(((N13)=TRUE), ((J13)=TRUE))</f>
        <v>0</v>
      </c>
      <c r="P13" s="4">
        <f>COUNTIFS(RoleAssignments!AF2:AF14, A13)</f>
        <v>0</v>
      </c>
      <c r="Q13" s="4" t="b">
        <f>P13 &gt; 0</f>
        <v>0</v>
      </c>
      <c r="R13" s="4" t="b">
        <f>AND(((Q13)=TRUE), ((J13)=TRUE))</f>
        <v>0</v>
      </c>
      <c r="S13" s="4">
        <f>COUNTIFS(AuthorityBoundaries!AF2:AF4, A13)</f>
        <v>0</v>
      </c>
      <c r="T13" s="4" t="b">
        <f>(S13 &gt; 0)</f>
        <v>0</v>
      </c>
      <c r="U13" s="4">
        <f>COUNTIFS(SendIntents!BY2:BY8, A13)</f>
        <v>0</v>
      </c>
      <c r="V13" s="4">
        <f>COUNTIFS(RoleAssignments!BL2:BL14, A13)</f>
        <v>0</v>
      </c>
      <c r="W13" s="4" t="b">
        <f>(V13 &gt; 0)</f>
        <v>0</v>
      </c>
      <c r="X13" s="3" t="s">
        <v>207</v>
      </c>
    </row>
  </sheetData>
  <autoFilter ref="A1:X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M14"/>
  <sheetViews>
    <sheetView workbookViewId="0">
      <pane ySplit="1" topLeftCell="A2" state="frozen" activePane="bottomLeft"/>
      <selection pane="bottomLeft" activeCell="A1" sqref="A1"/>
    </sheetView>
  </sheetViews>
  <sheetFormatPr defaultRowHeight="15"/>
  <cols>
    <col min="1" max="1" width="23.055267333984375" customWidth="1"/>
    <col min="2" max="2" width="58.09070587158203" customWidth="1"/>
    <col min="3" max="3" width="25.59624671936035" customWidth="1"/>
    <col min="4" max="4" width="19.900266647338867" customWidth="1"/>
    <col min="5" max="5" width="23.46630859375" customWidth="1"/>
    <col min="6" max="6" width="22.287551879882812" customWidth="1"/>
    <col min="7" max="7" width="62.91910171508789" customWidth="1"/>
    <col min="8" max="8" width="17.443378448486328" customWidth="1"/>
    <col min="9" max="9" width="18.547500610351562" customWidth="1"/>
    <col min="10" max="10" width="23.35041618347168" customWidth="1"/>
    <col min="11" max="11" width="17.443378448486328" customWidth="1"/>
    <col min="12" max="12" width="19.900266647338867" customWidth="1"/>
    <col min="13" max="13" width="17.443378448486328" customWidth="1"/>
    <col min="14" max="14" width="39.773616790771484" customWidth="1"/>
    <col min="15" max="15" width="17.443378448486328" customWidth="1"/>
    <col min="16" max="16" width="17.443378448486328" customWidth="1"/>
    <col min="17" max="17" width="25.59624671936035" customWidth="1"/>
    <col min="18" max="18" width="18.9503231048584" customWidth="1"/>
    <col min="19" max="19" width="24.657712936401367" customWidth="1"/>
    <col min="20" max="20" width="23.171161651611328" customWidth="1"/>
    <col min="21" max="21" width="22.545223236083984" customWidth="1"/>
    <col min="22" max="22" width="31.872604370117188" customWidth="1"/>
    <col min="23" max="23" width="23.88873291015625" customWidth="1"/>
    <col min="24" max="24" width="26.662763595581055" customWidth="1"/>
    <col min="25" max="25" width="36.92859649658203" customWidth="1"/>
    <col min="26" max="26" width="32.02808380126953" customWidth="1"/>
    <col min="27" max="27" width="17.443378448486328" customWidth="1"/>
    <col min="28" max="28" width="25.283065795898438" customWidth="1"/>
    <col min="29" max="29" width="20.971384048461914" customWidth="1"/>
    <col min="30" max="30" width="31.851945877075195" customWidth="1"/>
    <col min="31" max="31" width="30.863210678100586" customWidth="1"/>
    <col min="32" max="32" width="22.35959815979004" customWidth="1"/>
    <col min="33" max="33" width="32.478397369384766" customWidth="1"/>
    <col min="34" max="34" width="26.17863655090332" customWidth="1"/>
    <col min="35" max="35" width="20.58944320678711" customWidth="1"/>
    <col min="36" max="36" width="31.451631546020508" customWidth="1"/>
    <col min="37" max="37" width="30.463977813720703" customWidth="1"/>
    <col min="38" max="38" width="27.701581954956055" customWidth="1"/>
    <col min="39" max="39" width="28.10294532775879" customWidth="1"/>
    <col min="40" max="40" width="34.676570892333984" customWidth="1"/>
    <col min="41" max="41" width="21.790910720825195" customWidth="1"/>
    <col min="42" max="42" width="17.84084129333496" customWidth="1"/>
    <col min="43" max="43" width="23.390396118164062" customWidth="1"/>
    <col min="44" max="44" width="24.796438217163086" customWidth="1"/>
    <col min="45" max="45" width="32.660614013671875" customWidth="1"/>
    <col min="46" max="46" width="23.09230613708496" customWidth="1"/>
    <col min="47" max="47" width="29.66206932067871" customWidth="1"/>
    <col min="48" max="48" width="33.1143913269043" customWidth="1"/>
    <col min="49" max="49" width="32.93393325805664" customWidth="1"/>
    <col min="50" max="50" width="36.44257354736328" customWidth="1"/>
    <col min="51" max="51" width="29.660985946655273" customWidth="1"/>
    <col min="52" max="52" width="26.701648712158203" customWidth="1"/>
    <col min="53" max="53" width="37.75251007080078" customWidth="1"/>
    <col min="54" max="54" width="25.527151107788086" customWidth="1"/>
    <col min="55" max="55" width="35.35024642944336" customWidth="1"/>
    <col min="56" max="56" width="24.507986068725586" customWidth="1"/>
    <col min="57" max="57" width="41.127506256103516" customWidth="1"/>
    <col min="58" max="58" width="32.39413070678711" customWidth="1"/>
    <col min="59" max="59" width="23.343996047973633" customWidth="1"/>
    <col min="60" max="60" width="29.85264778137207" customWidth="1"/>
    <col min="61" max="61" width="19.462005615234375" customWidth="1"/>
    <col min="62" max="62" width="32.80073928833008" customWidth="1"/>
    <col min="63" max="63" width="26.493213653564453" customWidth="1"/>
    <col min="64" max="64" width="33.06682205200195" customWidth="1"/>
    <col min="65" max="65" width="34.424339294433594" customWidth="1"/>
  </cols>
  <sheetData>
    <row r="1">
      <c r="A1" s="2" t="s">
        <v>252</v>
      </c>
      <c r="B1" s="2" t="s">
        <v>1</v>
      </c>
      <c r="C1" s="2" t="s">
        <v>253</v>
      </c>
      <c r="D1" s="2" t="s">
        <v>254</v>
      </c>
      <c r="E1" s="2" t="s">
        <v>255</v>
      </c>
      <c r="F1" s="2" t="s">
        <v>256</v>
      </c>
      <c r="G1" s="2" t="s">
        <v>257</v>
      </c>
      <c r="H1" s="2" t="s">
        <v>8</v>
      </c>
      <c r="I1" s="2" t="s">
        <v>258</v>
      </c>
      <c r="J1" s="2" t="s">
        <v>92</v>
      </c>
      <c r="K1" s="2" t="s">
        <v>10</v>
      </c>
      <c r="L1" s="2" t="s">
        <v>259</v>
      </c>
      <c r="M1" s="2" t="s">
        <v>260</v>
      </c>
      <c r="N1" s="2" t="s">
        <v>261</v>
      </c>
      <c r="O1" s="2" t="s">
        <v>262</v>
      </c>
      <c r="P1" s="2" t="s">
        <v>263</v>
      </c>
      <c r="Q1" s="2" t="s">
        <v>264</v>
      </c>
      <c r="R1" s="2" t="s">
        <v>120</v>
      </c>
      <c r="S1" s="2" t="s">
        <v>265</v>
      </c>
      <c r="T1" s="2" t="s">
        <v>266</v>
      </c>
      <c r="U1" s="2" t="s">
        <v>267</v>
      </c>
      <c r="V1" s="2" t="s">
        <v>268</v>
      </c>
      <c r="W1" s="2" t="s">
        <v>269</v>
      </c>
      <c r="X1" s="2" t="s">
        <v>270</v>
      </c>
      <c r="Y1" s="2" t="s">
        <v>271</v>
      </c>
      <c r="Z1" s="2" t="s">
        <v>272</v>
      </c>
      <c r="AA1" s="2" t="s">
        <v>126</v>
      </c>
      <c r="AB1" s="2" t="s">
        <v>127</v>
      </c>
      <c r="AC1" s="2" t="s">
        <v>128</v>
      </c>
      <c r="AD1" s="2" t="s">
        <v>273</v>
      </c>
      <c r="AE1" s="2" t="s">
        <v>274</v>
      </c>
      <c r="AF1" s="2" t="s">
        <v>275</v>
      </c>
      <c r="AG1" s="2" t="s">
        <v>276</v>
      </c>
      <c r="AH1" s="2" t="s">
        <v>277</v>
      </c>
      <c r="AI1" s="2" t="s">
        <v>278</v>
      </c>
      <c r="AJ1" s="2" t="s">
        <v>279</v>
      </c>
      <c r="AK1" s="2" t="s">
        <v>280</v>
      </c>
      <c r="AL1" s="2" t="s">
        <v>281</v>
      </c>
      <c r="AM1" s="2" t="s">
        <v>282</v>
      </c>
      <c r="AN1" s="2" t="s">
        <v>283</v>
      </c>
      <c r="AO1" s="2" t="s">
        <v>284</v>
      </c>
      <c r="AP1" s="2" t="s">
        <v>285</v>
      </c>
      <c r="AQ1" s="2" t="s">
        <v>286</v>
      </c>
      <c r="AR1" s="2" t="s">
        <v>287</v>
      </c>
      <c r="AS1" s="2" t="s">
        <v>288</v>
      </c>
      <c r="AT1" s="2" t="s">
        <v>289</v>
      </c>
      <c r="AU1" s="2" t="s">
        <v>290</v>
      </c>
      <c r="AV1" s="2" t="s">
        <v>291</v>
      </c>
      <c r="AW1" s="2" t="s">
        <v>292</v>
      </c>
      <c r="AX1" s="2" t="s">
        <v>293</v>
      </c>
      <c r="AY1" s="2" t="s">
        <v>294</v>
      </c>
      <c r="AZ1" s="2" t="s">
        <v>295</v>
      </c>
      <c r="BA1" s="2" t="s">
        <v>296</v>
      </c>
      <c r="BB1" s="2" t="s">
        <v>297</v>
      </c>
      <c r="BC1" s="2" t="s">
        <v>298</v>
      </c>
      <c r="BD1" s="2" t="s">
        <v>299</v>
      </c>
      <c r="BE1" s="2" t="s">
        <v>300</v>
      </c>
      <c r="BF1" s="2" t="s">
        <v>301</v>
      </c>
      <c r="BG1" s="2" t="s">
        <v>302</v>
      </c>
      <c r="BH1" s="2" t="s">
        <v>303</v>
      </c>
      <c r="BI1" s="2" t="s">
        <v>304</v>
      </c>
      <c r="BJ1" s="2" t="s">
        <v>305</v>
      </c>
      <c r="BK1" s="2" t="s">
        <v>306</v>
      </c>
      <c r="BL1" s="2" t="s">
        <v>307</v>
      </c>
      <c r="BM1" s="2" t="s">
        <v>94</v>
      </c>
    </row>
    <row r="2">
      <c r="A2" s="3" t="s">
        <v>206</v>
      </c>
      <c r="B2" s="4" t="str">
        <f>C2 &amp; " @ " &amp; IF(((E2="")=TRUE),  "",  TEXT(E2, "yyyy-mm-dd\Thh:mm:ss")&amp;"+00:00")</f>
        <v>finance-analyst @ 2026-01-01T06:00:00+00:00</v>
      </c>
      <c r="C2" s="3" t="s">
        <v>203</v>
      </c>
      <c r="D2" s="3" t="s">
        <v>139</v>
      </c>
      <c r="E2" s="5">
        <v>46023.25</v>
      </c>
      <c r="F2" s="5"/>
      <c r="G2" s="3" t="s">
        <v>308</v>
      </c>
      <c r="H2" s="3" t="s">
        <v>309</v>
      </c>
      <c r="I2" s="3" t="s">
        <v>95</v>
      </c>
      <c r="J2" s="7">
        <f>_xlfn.IFNA(IF(((INDEX(EvaluationContexts!D2:D2, MATCH(I2,EvaluationContexts!A2:A2, 0))="")=TRUE),  "",  INDEX(EvaluationContexts!D2:D2, MATCH(I2,EvaluationContexts!A2:A2, 0))), "")</f>
        <v>46222.75</v>
      </c>
      <c r="K2" s="4" t="b">
        <f>AND(((E2 &lt;= J2)=TRUE), ((OR(((F2 = "")=TRUE), ((F2 &gt; J2)=TRUE)))=TRUE))</f>
        <v>1</v>
      </c>
      <c r="L2" s="4" t="str">
        <f>IF(((K2)=TRUE),  D2,  "")</f>
        <v>maria-chen</v>
      </c>
      <c r="M2" s="4" t="b">
        <f>AND(((H2 = "Active")=TRUE), ((OR(((F2 = "")=TRUE), ((F2 &gt; J2)=TRUE)))=TRUE))</f>
        <v>1</v>
      </c>
      <c r="N2" s="4" t="str">
        <f>IF(((M2)=TRUE),  D2 &amp; "|" &amp; C2,  "")</f>
        <v>maria-chen|finance-analyst</v>
      </c>
      <c r="O2" s="4" t="b">
        <f>AND(((F2 &lt;&gt; "")=TRUE), ((F2 &lt;= J2)=TRUE))</f>
        <v>0</v>
      </c>
      <c r="P2" s="4" t="b">
        <f>AND(((H2 = "Active")=TRUE), ((E2 &lt;= J2)=TRUE), ((OR(((F2 = "")=TRUE), ((F2 &gt; J2)=TRUE)))=TRUE))</f>
        <v>1</v>
      </c>
      <c r="Q2" s="4" t="str">
        <f>IF(((P2)=TRUE),  C2,  "")</f>
        <v>finance-analyst</v>
      </c>
      <c r="R2" s="4" t="str">
        <f>_xlfn.IFNA(IF(((INDEX(Agents!D2:D12, MATCH(D2,Agents!A2:A12, 0))="")=TRUE),  "",  INDEX(Agents!D2:D12, MATCH(D2,Agents!A2:A12, 0))), "")</f>
        <v>Human</v>
      </c>
      <c r="S2" s="4" t="b">
        <f>NOT(((R2 = "Human")=TRUE))</f>
        <v>0</v>
      </c>
      <c r="T2" s="3"/>
      <c r="U2" s="4" t="str">
        <f>_xlfn.IFNA(IF(((INDEX(R2, MATCH(T2,A2, 0))="")=TRUE),  "",  INDEX(R2, MATCH(T2,A2, 0))), "")</f>
      </c>
      <c r="V2" s="4" t="b">
        <f>AND(((U2 = "Human")=TRUE), ((S2)=TRUE))</f>
        <v>0</v>
      </c>
      <c r="W2" s="3"/>
      <c r="X2" s="3"/>
      <c r="Y2" s="4" t="b">
        <f>AND(((S2)=TRUE), ((NOT(((BG2)=TRUE)))=TRUE))</f>
        <v>0</v>
      </c>
      <c r="Z2" s="4" t="b">
        <f>AND(((BG2)=TRUE), ((X2 &lt;&gt; "")=TRUE))</f>
        <v>0</v>
      </c>
      <c r="AA2" s="4">
        <f>COUNTIFS(AgentDecisionRecords!Q2:Q4, A2)</f>
        <v>0</v>
      </c>
      <c r="AB2" s="4">
        <f>COUNTIFS(AgentDecisionRecords!R2:R4, A2)</f>
        <v>0</v>
      </c>
      <c r="AC2" s="4">
        <f>IF(((AA2 = 0)=TRUE),  0,  (AB2 * 100) / AA2)</f>
        <v>0</v>
      </c>
      <c r="AD2" s="4" t="str">
        <f>_xlfn.IFNA(IF(((INDEX(AC2, MATCH(T2,A2, 0))="")=TRUE),  "",  INDEX(AC2, MATCH(T2,A2, 0))), "")</f>
      </c>
      <c r="AE2" s="4" t="b">
        <f>AND(((T2 &lt;&gt; "")=TRUE), ((AC2 &gt; AD2)=TRUE))</f>
        <v>0</v>
      </c>
      <c r="AF2" s="4" t="str">
        <f>IF(((O2)=TRUE),  C2,  "")</f>
      </c>
      <c r="AG2" s="8"/>
      <c r="AH2" s="4" t="str">
        <f>_xlfn.IFNA(IF(((INDEX(AA2, MATCH(T2,A2, 0))="")=TRUE),  "",  INDEX(AA2, MATCH(T2,A2, 0))), "")</f>
      </c>
      <c r="AI2" s="4" t="b">
        <f>AA2 &gt;= AG2</f>
        <v>1</v>
      </c>
      <c r="AJ2" s="4" t="b">
        <f>AH2 &gt;= AG2</f>
        <v>1</v>
      </c>
      <c r="AK2" s="4" t="b">
        <f>AND(((AI2)=TRUE), ((AJ2)=TRUE))</f>
        <v>1</v>
      </c>
      <c r="AL2" s="4">
        <f>IF(((AA2 &gt; 0)=TRUE),  100 / AA2,  0)</f>
        <v>0</v>
      </c>
      <c r="AM2" s="4" t="b">
        <f>AND(((NOT(((AK2)=TRUE)))=TRUE), ((NOT(((AE2)=TRUE)))=TRUE))</f>
        <v>0</v>
      </c>
      <c r="AN2" s="4" t="b">
        <f>AND(((V2)=TRUE), ((NOT(((AK2)=TRUE)))=TRUE))</f>
        <v>0</v>
      </c>
      <c r="AO2" s="4">
        <f>COUNTIFS(AgentDecisionRecords!AL2:AL4, A2)</f>
        <v>0</v>
      </c>
      <c r="AP2" s="4">
        <f>IF(((AA2 &gt; 0)=TRUE),  AO2 * 100 / AA2,  0)</f>
        <v>0</v>
      </c>
      <c r="AQ2" s="5"/>
      <c r="AR2" s="5"/>
      <c r="AS2" s="8"/>
      <c r="AT2" s="4" t="b">
        <f>AND(((W2 &lt;&gt; "")=TRUE), ((AQ2 &lt;&gt; "")=TRUE))</f>
        <v>0</v>
      </c>
      <c r="AU2" s="6">
        <f>IF((IF(((AR2 &lt;&gt; "")=TRUE),  IF(((OR((((J2)="")=TRUE), (((AR2)="")=TRUE)))=TRUE),  0,  (INT(J2) - INT(AR2))),  IF(((OR((((J2)="")=TRUE), (((E2)="")=TRUE)))=TRUE),  0,  (INT(J2) - INT(E2)))))="", "", ROUND((IF(((AR2 &lt;&gt; "")=TRUE),  IF(((OR((((J2)="")=TRUE), (((AR2)="")=TRUE)))=TRUE),  0,  (INT(J2) - INT(AR2))),  IF(((OR((((J2)="")=TRUE), (((E2)="")=TRUE)))=TRUE),  0,  (INT(J2) - INT(E2))))), 0))</f>
        <v>199</v>
      </c>
      <c r="AV2" s="4" t="b">
        <f>AND(((AS2 &gt; 0)=TRUE), ((AU2 &gt; AS2)=TRUE))</f>
        <v>0</v>
      </c>
      <c r="AW2" s="4" t="b">
        <f>AND(((P2)=TRUE), ((AND(((S2)=TRUE), ((AV2)=TRUE)))=TRUE))</f>
        <v>0</v>
      </c>
      <c r="AX2" s="4" t="b">
        <f>AND(((V2)=TRUE), ((AS2 = 0)=TRUE))</f>
        <v>0</v>
      </c>
      <c r="AY2" s="8"/>
      <c r="AZ2" s="4" t="b">
        <f>AND(((AY2 &gt; 0)=TRUE), ((AP2 &gt;= AY2)=TRUE))</f>
        <v>0</v>
      </c>
      <c r="BA2" s="4">
        <f>COUNTIFS(AgentDecisionRecords!AM2:AM4, A2)</f>
        <v>0</v>
      </c>
      <c r="BB2" s="4" t="b">
        <f>(BA2 &gt; 0)</f>
        <v>0</v>
      </c>
      <c r="BC2" s="4" t="b">
        <f>_xlfn.IFNA(IF(((INDEX(Roles!T2:T13, MATCH(C2,Roles!A2:A13, 0))="")=TRUE),  "",  INDEX(Roles!T2:T13, MATCH(C2,Roles!A2:A13, 0))), "")</f>
        <v>0</v>
      </c>
      <c r="BD2" s="4" t="b">
        <f>OR(((AZ2)=TRUE), ((OR(((BB2)=TRUE), ((BC2)=TRUE)))=TRUE))</f>
        <v>0</v>
      </c>
      <c r="BE2" s="4" t="b">
        <f>AND(((BD2)=TRUE), ((AND(((P2)=TRUE), ((S2)=TRUE)))=TRUE))</f>
        <v>0</v>
      </c>
      <c r="BF2" s="4" t="b">
        <f>AY2 &gt; 0</f>
        <v>0</v>
      </c>
      <c r="BG2" s="4" t="b">
        <f>W2 &lt;&gt; ""</f>
        <v>0</v>
      </c>
      <c r="BH2" s="4" t="b">
        <f>X2 &lt;&gt; ""</f>
        <v>0</v>
      </c>
      <c r="BI2" s="3"/>
      <c r="BJ2" s="4" t="b">
        <f>AND(((BI2)=TRUE), ((Y2)=TRUE))</f>
        <v>0</v>
      </c>
      <c r="BK2" s="6">
        <f>IF((IF(((BG2)=TRUE),  1,  0) + IF(((BH2)=TRUE),  1,  0))="", "", ROUND((IF(((BG2)=TRUE),  1,  0) + IF(((BH2)=TRUE),  1,  0)), 0))</f>
        <v>0</v>
      </c>
      <c r="BL2" s="4" t="str">
        <f>IF(((Y2)=TRUE),  C2,  "")</f>
      </c>
      <c r="BM2" s="3" t="s">
        <v>310</v>
      </c>
    </row>
    <row r="3">
      <c r="A3" s="3" t="s">
        <v>211</v>
      </c>
      <c r="B3" s="4" t="str">
        <f>C3 &amp; " @ " &amp; IF(((E3="")=TRUE),  "",  TEXT(E3, "yyyy-mm-dd\Thh:mm:ss")&amp;"+00:00")</f>
        <v>controller @ 2026-01-01T06:00:00+00:00</v>
      </c>
      <c r="C3" s="3" t="s">
        <v>208</v>
      </c>
      <c r="D3" s="3" t="s">
        <v>145</v>
      </c>
      <c r="E3" s="5">
        <v>46023.25</v>
      </c>
      <c r="F3" s="5"/>
      <c r="G3" s="3" t="s">
        <v>311</v>
      </c>
      <c r="H3" s="3" t="s">
        <v>309</v>
      </c>
      <c r="I3" s="3" t="s">
        <v>95</v>
      </c>
      <c r="J3" s="7">
        <f>_xlfn.IFNA(IF(((INDEX(EvaluationContexts!D2:D2, MATCH(I3,EvaluationContexts!A2:A2, 0))="")=TRUE),  "",  INDEX(EvaluationContexts!D2:D2, MATCH(I3,EvaluationContexts!A2:A2, 0))), "")</f>
        <v>46222.75</v>
      </c>
      <c r="K3" s="4" t="b">
        <f>AND(((E3 &lt;= J3)=TRUE), ((OR(((F3 = "")=TRUE), ((F3 &gt; J3)=TRUE)))=TRUE))</f>
        <v>1</v>
      </c>
      <c r="L3" s="4" t="str">
        <f>IF(((K3)=TRUE),  D3,  "")</f>
        <v>devon-okafor</v>
      </c>
      <c r="M3" s="4" t="b">
        <f>AND(((H3 = "Active")=TRUE), ((OR(((F3 = "")=TRUE), ((F3 &gt; J3)=TRUE)))=TRUE))</f>
        <v>1</v>
      </c>
      <c r="N3" s="4" t="str">
        <f>IF(((M3)=TRUE),  D3 &amp; "|" &amp; C3,  "")</f>
        <v>devon-okafor|controller</v>
      </c>
      <c r="O3" s="4" t="b">
        <f>AND(((F3 &lt;&gt; "")=TRUE), ((F3 &lt;= J3)=TRUE))</f>
        <v>0</v>
      </c>
      <c r="P3" s="4" t="b">
        <f>AND(((H3 = "Active")=TRUE), ((E3 &lt;= J3)=TRUE), ((OR(((F3 = "")=TRUE), ((F3 &gt; J3)=TRUE)))=TRUE))</f>
        <v>1</v>
      </c>
      <c r="Q3" s="4" t="str">
        <f>IF(((P3)=TRUE),  C3,  "")</f>
        <v>controller</v>
      </c>
      <c r="R3" s="4" t="str">
        <f>_xlfn.IFNA(IF(((INDEX(Agents!D2:D12, MATCH(D3,Agents!A2:A12, 0))="")=TRUE),  "",  INDEX(Agents!D2:D12, MATCH(D3,Agents!A2:A12, 0))), "")</f>
        <v>Human</v>
      </c>
      <c r="S3" s="4" t="b">
        <f>NOT(((R3 = "Human")=TRUE))</f>
        <v>0</v>
      </c>
      <c r="T3" s="3"/>
      <c r="U3" s="4" t="str">
        <f>_xlfn.IFNA(IF(((INDEX(R3, MATCH(T3,A3, 0))="")=TRUE),  "",  INDEX(R3, MATCH(T3,A3, 0))), "")</f>
      </c>
      <c r="V3" s="4" t="b">
        <f>AND(((U3 = "Human")=TRUE), ((S3)=TRUE))</f>
        <v>0</v>
      </c>
      <c r="W3" s="3"/>
      <c r="X3" s="3"/>
      <c r="Y3" s="4" t="b">
        <f>AND(((S3)=TRUE), ((NOT(((BG3)=TRUE)))=TRUE))</f>
        <v>0</v>
      </c>
      <c r="Z3" s="4" t="b">
        <f>AND(((BG3)=TRUE), ((X3 &lt;&gt; "")=TRUE))</f>
        <v>0</v>
      </c>
      <c r="AA3" s="4">
        <f>COUNTIFS(AgentDecisionRecords!Q2:Q4, A3)</f>
        <v>0</v>
      </c>
      <c r="AB3" s="4">
        <f>COUNTIFS(AgentDecisionRecords!R2:R4, A3)</f>
        <v>0</v>
      </c>
      <c r="AC3" s="4">
        <f>IF(((AA3 = 0)=TRUE),  0,  (AB3 * 100) / AA3)</f>
        <v>0</v>
      </c>
      <c r="AD3" s="4" t="str">
        <f>_xlfn.IFNA(IF(((INDEX(AC3, MATCH(T3,A3, 0))="")=TRUE),  "",  INDEX(AC3, MATCH(T3,A3, 0))), "")</f>
      </c>
      <c r="AE3" s="4" t="b">
        <f>AND(((T3 &lt;&gt; "")=TRUE), ((AC3 &gt; AD3)=TRUE))</f>
        <v>0</v>
      </c>
      <c r="AF3" s="4" t="str">
        <f>IF(((O3)=TRUE),  C3,  "")</f>
      </c>
      <c r="AG3" s="8"/>
      <c r="AH3" s="4" t="str">
        <f>_xlfn.IFNA(IF(((INDEX(AA3, MATCH(T3,A3, 0))="")=TRUE),  "",  INDEX(AA3, MATCH(T3,A3, 0))), "")</f>
      </c>
      <c r="AI3" s="4" t="b">
        <f>AA3 &gt;= AG3</f>
        <v>1</v>
      </c>
      <c r="AJ3" s="4" t="b">
        <f>AH3 &gt;= AG3</f>
        <v>1</v>
      </c>
      <c r="AK3" s="4" t="b">
        <f>AND(((AI3)=TRUE), ((AJ3)=TRUE))</f>
        <v>1</v>
      </c>
      <c r="AL3" s="4">
        <f>IF(((AA3 &gt; 0)=TRUE),  100 / AA3,  0)</f>
        <v>0</v>
      </c>
      <c r="AM3" s="4" t="b">
        <f>AND(((NOT(((AK3)=TRUE)))=TRUE), ((NOT(((AE3)=TRUE)))=TRUE))</f>
        <v>0</v>
      </c>
      <c r="AN3" s="4" t="b">
        <f>AND(((V3)=TRUE), ((NOT(((AK3)=TRUE)))=TRUE))</f>
        <v>0</v>
      </c>
      <c r="AO3" s="4">
        <f>COUNTIFS(AgentDecisionRecords!AL2:AL4, A3)</f>
        <v>0</v>
      </c>
      <c r="AP3" s="4">
        <f>IF(((AA3 &gt; 0)=TRUE),  AO3 * 100 / AA3,  0)</f>
        <v>0</v>
      </c>
      <c r="AQ3" s="5"/>
      <c r="AR3" s="5"/>
      <c r="AS3" s="8"/>
      <c r="AT3" s="4" t="b">
        <f>AND(((W3 &lt;&gt; "")=TRUE), ((AQ3 &lt;&gt; "")=TRUE))</f>
        <v>0</v>
      </c>
      <c r="AU3" s="6">
        <f>IF((IF(((AR3 &lt;&gt; "")=TRUE),  IF(((OR((((J3)="")=TRUE), (((AR3)="")=TRUE)))=TRUE),  0,  (INT(J3) - INT(AR3))),  IF(((OR((((J3)="")=TRUE), (((E3)="")=TRUE)))=TRUE),  0,  (INT(J3) - INT(E3)))))="", "", ROUND((IF(((AR3 &lt;&gt; "")=TRUE),  IF(((OR((((J3)="")=TRUE), (((AR3)="")=TRUE)))=TRUE),  0,  (INT(J3) - INT(AR3))),  IF(((OR((((J3)="")=TRUE), (((E3)="")=TRUE)))=TRUE),  0,  (INT(J3) - INT(E3))))), 0))</f>
        <v>199</v>
      </c>
      <c r="AV3" s="4" t="b">
        <f>AND(((AS3 &gt; 0)=TRUE), ((AU3 &gt; AS3)=TRUE))</f>
        <v>0</v>
      </c>
      <c r="AW3" s="4" t="b">
        <f>AND(((P3)=TRUE), ((AND(((S3)=TRUE), ((AV3)=TRUE)))=TRUE))</f>
        <v>0</v>
      </c>
      <c r="AX3" s="4" t="b">
        <f>AND(((V3)=TRUE), ((AS3 = 0)=TRUE))</f>
        <v>0</v>
      </c>
      <c r="AY3" s="8"/>
      <c r="AZ3" s="4" t="b">
        <f>AND(((AY3 &gt; 0)=TRUE), ((AP3 &gt;= AY3)=TRUE))</f>
        <v>0</v>
      </c>
      <c r="BA3" s="4">
        <f>COUNTIFS(AgentDecisionRecords!AM2:AM4, A3)</f>
        <v>0</v>
      </c>
      <c r="BB3" s="4" t="b">
        <f>(BA3 &gt; 0)</f>
        <v>0</v>
      </c>
      <c r="BC3" s="4" t="b">
        <f>_xlfn.IFNA(IF(((INDEX(Roles!T2:T13, MATCH(C3,Roles!A2:A13, 0))="")=TRUE),  "",  INDEX(Roles!T2:T13, MATCH(C3,Roles!A2:A13, 0))), "")</f>
        <v>0</v>
      </c>
      <c r="BD3" s="4" t="b">
        <f>OR(((AZ3)=TRUE), ((OR(((BB3)=TRUE), ((BC3)=TRUE)))=TRUE))</f>
        <v>0</v>
      </c>
      <c r="BE3" s="4" t="b">
        <f>AND(((BD3)=TRUE), ((AND(((P3)=TRUE), ((S3)=TRUE)))=TRUE))</f>
        <v>0</v>
      </c>
      <c r="BF3" s="4" t="b">
        <f>AY3 &gt; 0</f>
        <v>0</v>
      </c>
      <c r="BG3" s="4" t="b">
        <f>W3 &lt;&gt; ""</f>
        <v>0</v>
      </c>
      <c r="BH3" s="4" t="b">
        <f>X3 &lt;&gt; ""</f>
        <v>0</v>
      </c>
      <c r="BI3" s="3"/>
      <c r="BJ3" s="4" t="b">
        <f>AND(((BI3)=TRUE), ((Y3)=TRUE))</f>
        <v>0</v>
      </c>
      <c r="BK3" s="6">
        <f>IF((IF(((BG3)=TRUE),  1,  0) + IF(((BH3)=TRUE),  1,  0))="", "", ROUND((IF(((BG3)=TRUE),  1,  0) + IF(((BH3)=TRUE),  1,  0)), 0))</f>
        <v>0</v>
      </c>
      <c r="BL3" s="4" t="str">
        <f>IF(((Y3)=TRUE),  C3,  "")</f>
      </c>
      <c r="BM3" s="3" t="s">
        <v>310</v>
      </c>
    </row>
    <row r="4">
      <c r="A4" s="3" t="s">
        <v>215</v>
      </c>
      <c r="B4" s="4" t="str">
        <f>C4 &amp; " @ " &amp; IF(((E4="")=TRUE),  "",  TEXT(E4, "yyyy-mm-dd\Thh:mm:ss")&amp;"+00:00")</f>
        <v>cfo @ 2026-01-01T06:00:00+00:00</v>
      </c>
      <c r="C4" s="3" t="s">
        <v>212</v>
      </c>
      <c r="D4" s="3" t="s">
        <v>149</v>
      </c>
      <c r="E4" s="5">
        <v>46023.25</v>
      </c>
      <c r="F4" s="5"/>
      <c r="G4" s="3" t="s">
        <v>312</v>
      </c>
      <c r="H4" s="3" t="s">
        <v>309</v>
      </c>
      <c r="I4" s="3" t="s">
        <v>95</v>
      </c>
      <c r="J4" s="7">
        <f>_xlfn.IFNA(IF(((INDEX(EvaluationContexts!D2:D2, MATCH(I4,EvaluationContexts!A2:A2, 0))="")=TRUE),  "",  INDEX(EvaluationContexts!D2:D2, MATCH(I4,EvaluationContexts!A2:A2, 0))), "")</f>
        <v>46222.75</v>
      </c>
      <c r="K4" s="4" t="b">
        <f>AND(((E4 &lt;= J4)=TRUE), ((OR(((F4 = "")=TRUE), ((F4 &gt; J4)=TRUE)))=TRUE))</f>
        <v>1</v>
      </c>
      <c r="L4" s="4" t="str">
        <f>IF(((K4)=TRUE),  D4,  "")</f>
        <v>priya-raman</v>
      </c>
      <c r="M4" s="4" t="b">
        <f>AND(((H4 = "Active")=TRUE), ((OR(((F4 = "")=TRUE), ((F4 &gt; J4)=TRUE)))=TRUE))</f>
        <v>1</v>
      </c>
      <c r="N4" s="4" t="str">
        <f>IF(((M4)=TRUE),  D4 &amp; "|" &amp; C4,  "")</f>
        <v>priya-raman|cfo</v>
      </c>
      <c r="O4" s="4" t="b">
        <f>AND(((F4 &lt;&gt; "")=TRUE), ((F4 &lt;= J4)=TRUE))</f>
        <v>0</v>
      </c>
      <c r="P4" s="4" t="b">
        <f>AND(((H4 = "Active")=TRUE), ((E4 &lt;= J4)=TRUE), ((OR(((F4 = "")=TRUE), ((F4 &gt; J4)=TRUE)))=TRUE))</f>
        <v>1</v>
      </c>
      <c r="Q4" s="4" t="str">
        <f>IF(((P4)=TRUE),  C4,  "")</f>
        <v>cfo</v>
      </c>
      <c r="R4" s="4" t="str">
        <f>_xlfn.IFNA(IF(((INDEX(Agents!D2:D12, MATCH(D4,Agents!A2:A12, 0))="")=TRUE),  "",  INDEX(Agents!D2:D12, MATCH(D4,Agents!A2:A12, 0))), "")</f>
        <v>Human</v>
      </c>
      <c r="S4" s="4" t="b">
        <f>NOT(((R4 = "Human")=TRUE))</f>
        <v>0</v>
      </c>
      <c r="T4" s="3"/>
      <c r="U4" s="4" t="str">
        <f>_xlfn.IFNA(IF(((INDEX(R4, MATCH(T4,A4, 0))="")=TRUE),  "",  INDEX(R4, MATCH(T4,A4, 0))), "")</f>
      </c>
      <c r="V4" s="4" t="b">
        <f>AND(((U4 = "Human")=TRUE), ((S4)=TRUE))</f>
        <v>0</v>
      </c>
      <c r="W4" s="3"/>
      <c r="X4" s="3"/>
      <c r="Y4" s="4" t="b">
        <f>AND(((S4)=TRUE), ((NOT(((BG4)=TRUE)))=TRUE))</f>
        <v>0</v>
      </c>
      <c r="Z4" s="4" t="b">
        <f>AND(((BG4)=TRUE), ((X4 &lt;&gt; "")=TRUE))</f>
        <v>0</v>
      </c>
      <c r="AA4" s="4">
        <f>COUNTIFS(AgentDecisionRecords!Q2:Q4, A4)</f>
        <v>0</v>
      </c>
      <c r="AB4" s="4">
        <f>COUNTIFS(AgentDecisionRecords!R2:R4, A4)</f>
        <v>0</v>
      </c>
      <c r="AC4" s="4">
        <f>IF(((AA4 = 0)=TRUE),  0,  (AB4 * 100) / AA4)</f>
        <v>0</v>
      </c>
      <c r="AD4" s="4" t="str">
        <f>_xlfn.IFNA(IF(((INDEX(AC4, MATCH(T4,A4, 0))="")=TRUE),  "",  INDEX(AC4, MATCH(T4,A4, 0))), "")</f>
      </c>
      <c r="AE4" s="4" t="b">
        <f>AND(((T4 &lt;&gt; "")=TRUE), ((AC4 &gt; AD4)=TRUE))</f>
        <v>0</v>
      </c>
      <c r="AF4" s="4" t="str">
        <f>IF(((O4)=TRUE),  C4,  "")</f>
      </c>
      <c r="AG4" s="8"/>
      <c r="AH4" s="4" t="str">
        <f>_xlfn.IFNA(IF(((INDEX(AA4, MATCH(T4,A4, 0))="")=TRUE),  "",  INDEX(AA4, MATCH(T4,A4, 0))), "")</f>
      </c>
      <c r="AI4" s="4" t="b">
        <f>AA4 &gt;= AG4</f>
        <v>1</v>
      </c>
      <c r="AJ4" s="4" t="b">
        <f>AH4 &gt;= AG4</f>
        <v>1</v>
      </c>
      <c r="AK4" s="4" t="b">
        <f>AND(((AI4)=TRUE), ((AJ4)=TRUE))</f>
        <v>1</v>
      </c>
      <c r="AL4" s="4">
        <f>IF(((AA4 &gt; 0)=TRUE),  100 / AA4,  0)</f>
        <v>0</v>
      </c>
      <c r="AM4" s="4" t="b">
        <f>AND(((NOT(((AK4)=TRUE)))=TRUE), ((NOT(((AE4)=TRUE)))=TRUE))</f>
        <v>0</v>
      </c>
      <c r="AN4" s="4" t="b">
        <f>AND(((V4)=TRUE), ((NOT(((AK4)=TRUE)))=TRUE))</f>
        <v>0</v>
      </c>
      <c r="AO4" s="4">
        <f>COUNTIFS(AgentDecisionRecords!AL2:AL4, A4)</f>
        <v>0</v>
      </c>
      <c r="AP4" s="4">
        <f>IF(((AA4 &gt; 0)=TRUE),  AO4 * 100 / AA4,  0)</f>
        <v>0</v>
      </c>
      <c r="AQ4" s="5"/>
      <c r="AR4" s="5"/>
      <c r="AS4" s="8"/>
      <c r="AT4" s="4" t="b">
        <f>AND(((W4 &lt;&gt; "")=TRUE), ((AQ4 &lt;&gt; "")=TRUE))</f>
        <v>0</v>
      </c>
      <c r="AU4" s="6">
        <f>IF((IF(((AR4 &lt;&gt; "")=TRUE),  IF(((OR((((J4)="")=TRUE), (((AR4)="")=TRUE)))=TRUE),  0,  (INT(J4) - INT(AR4))),  IF(((OR((((J4)="")=TRUE), (((E4)="")=TRUE)))=TRUE),  0,  (INT(J4) - INT(E4)))))="", "", ROUND((IF(((AR4 &lt;&gt; "")=TRUE),  IF(((OR((((J4)="")=TRUE), (((AR4)="")=TRUE)))=TRUE),  0,  (INT(J4) - INT(AR4))),  IF(((OR((((J4)="")=TRUE), (((E4)="")=TRUE)))=TRUE),  0,  (INT(J4) - INT(E4))))), 0))</f>
        <v>199</v>
      </c>
      <c r="AV4" s="4" t="b">
        <f>AND(((AS4 &gt; 0)=TRUE), ((AU4 &gt; AS4)=TRUE))</f>
        <v>0</v>
      </c>
      <c r="AW4" s="4" t="b">
        <f>AND(((P4)=TRUE), ((AND(((S4)=TRUE), ((AV4)=TRUE)))=TRUE))</f>
        <v>0</v>
      </c>
      <c r="AX4" s="4" t="b">
        <f>AND(((V4)=TRUE), ((AS4 = 0)=TRUE))</f>
        <v>0</v>
      </c>
      <c r="AY4" s="8"/>
      <c r="AZ4" s="4" t="b">
        <f>AND(((AY4 &gt; 0)=TRUE), ((AP4 &gt;= AY4)=TRUE))</f>
        <v>0</v>
      </c>
      <c r="BA4" s="4">
        <f>COUNTIFS(AgentDecisionRecords!AM2:AM4, A4)</f>
        <v>0</v>
      </c>
      <c r="BB4" s="4" t="b">
        <f>(BA4 &gt; 0)</f>
        <v>0</v>
      </c>
      <c r="BC4" s="4" t="b">
        <f>_xlfn.IFNA(IF(((INDEX(Roles!T2:T13, MATCH(C4,Roles!A2:A13, 0))="")=TRUE),  "",  INDEX(Roles!T2:T13, MATCH(C4,Roles!A2:A13, 0))), "")</f>
        <v>0</v>
      </c>
      <c r="BD4" s="4" t="b">
        <f>OR(((AZ4)=TRUE), ((OR(((BB4)=TRUE), ((BC4)=TRUE)))=TRUE))</f>
        <v>0</v>
      </c>
      <c r="BE4" s="4" t="b">
        <f>AND(((BD4)=TRUE), ((AND(((P4)=TRUE), ((S4)=TRUE)))=TRUE))</f>
        <v>0</v>
      </c>
      <c r="BF4" s="4" t="b">
        <f>AY4 &gt; 0</f>
        <v>0</v>
      </c>
      <c r="BG4" s="4" t="b">
        <f>W4 &lt;&gt; ""</f>
        <v>0</v>
      </c>
      <c r="BH4" s="4" t="b">
        <f>X4 &lt;&gt; ""</f>
        <v>0</v>
      </c>
      <c r="BI4" s="3"/>
      <c r="BJ4" s="4" t="b">
        <f>AND(((BI4)=TRUE), ((Y4)=TRUE))</f>
        <v>0</v>
      </c>
      <c r="BK4" s="6">
        <f>IF((IF(((BG4)=TRUE),  1,  0) + IF(((BH4)=TRUE),  1,  0))="", "", ROUND((IF(((BG4)=TRUE),  1,  0) + IF(((BH4)=TRUE),  1,  0)), 0))</f>
        <v>0</v>
      </c>
      <c r="BL4" s="4" t="str">
        <f>IF(((Y4)=TRUE),  C4,  "")</f>
      </c>
      <c r="BM4" s="3" t="s">
        <v>310</v>
      </c>
    </row>
    <row r="5">
      <c r="A5" s="3" t="s">
        <v>219</v>
      </c>
      <c r="B5" s="4" t="str">
        <f>C5 &amp; " @ " &amp; IF(((E5="")=TRUE),  "",  TEXT(E5, "yyyy-mm-dd\Thh:mm:ss")&amp;"+00:00")</f>
        <v>hr-policy-owner @ 2026-02-01T06:00:00+00:00</v>
      </c>
      <c r="C5" s="3" t="s">
        <v>216</v>
      </c>
      <c r="D5" s="3" t="s">
        <v>153</v>
      </c>
      <c r="E5" s="5">
        <v>46054.25</v>
      </c>
      <c r="F5" s="5"/>
      <c r="G5" s="3" t="s">
        <v>313</v>
      </c>
      <c r="H5" s="3" t="s">
        <v>309</v>
      </c>
      <c r="I5" s="3" t="s">
        <v>95</v>
      </c>
      <c r="J5" s="7">
        <f>_xlfn.IFNA(IF(((INDEX(EvaluationContexts!D2:D2, MATCH(I5,EvaluationContexts!A2:A2, 0))="")=TRUE),  "",  INDEX(EvaluationContexts!D2:D2, MATCH(I5,EvaluationContexts!A2:A2, 0))), "")</f>
        <v>46222.75</v>
      </c>
      <c r="K5" s="4" t="b">
        <f>AND(((E5 &lt;= J5)=TRUE), ((OR(((F5 = "")=TRUE), ((F5 &gt; J5)=TRUE)))=TRUE))</f>
        <v>1</v>
      </c>
      <c r="L5" s="4" t="str">
        <f>IF(((K5)=TRUE),  D5,  "")</f>
        <v>elena-garcia</v>
      </c>
      <c r="M5" s="4" t="b">
        <f>AND(((H5 = "Active")=TRUE), ((OR(((F5 = "")=TRUE), ((F5 &gt; J5)=TRUE)))=TRUE))</f>
        <v>1</v>
      </c>
      <c r="N5" s="4" t="str">
        <f>IF(((M5)=TRUE),  D5 &amp; "|" &amp; C5,  "")</f>
        <v>elena-garcia|hr-policy-owner</v>
      </c>
      <c r="O5" s="4" t="b">
        <f>AND(((F5 &lt;&gt; "")=TRUE), ((F5 &lt;= J5)=TRUE))</f>
        <v>0</v>
      </c>
      <c r="P5" s="4" t="b">
        <f>AND(((H5 = "Active")=TRUE), ((E5 &lt;= J5)=TRUE), ((OR(((F5 = "")=TRUE), ((F5 &gt; J5)=TRUE)))=TRUE))</f>
        <v>1</v>
      </c>
      <c r="Q5" s="4" t="str">
        <f>IF(((P5)=TRUE),  C5,  "")</f>
        <v>hr-policy-owner</v>
      </c>
      <c r="R5" s="4" t="str">
        <f>_xlfn.IFNA(IF(((INDEX(Agents!D2:D12, MATCH(D5,Agents!A2:A12, 0))="")=TRUE),  "",  INDEX(Agents!D2:D12, MATCH(D5,Agents!A2:A12, 0))), "")</f>
        <v>Human</v>
      </c>
      <c r="S5" s="4" t="b">
        <f>NOT(((R5 = "Human")=TRUE))</f>
        <v>0</v>
      </c>
      <c r="T5" s="3"/>
      <c r="U5" s="4" t="str">
        <f>_xlfn.IFNA(IF(((INDEX(R5, MATCH(T5,A5, 0))="")=TRUE),  "",  INDEX(R5, MATCH(T5,A5, 0))), "")</f>
      </c>
      <c r="V5" s="4" t="b">
        <f>AND(((U5 = "Human")=TRUE), ((S5)=TRUE))</f>
        <v>0</v>
      </c>
      <c r="W5" s="3"/>
      <c r="X5" s="3"/>
      <c r="Y5" s="4" t="b">
        <f>AND(((S5)=TRUE), ((NOT(((BG5)=TRUE)))=TRUE))</f>
        <v>0</v>
      </c>
      <c r="Z5" s="4" t="b">
        <f>AND(((BG5)=TRUE), ((X5 &lt;&gt; "")=TRUE))</f>
        <v>0</v>
      </c>
      <c r="AA5" s="4">
        <f>COUNTIFS(AgentDecisionRecords!Q2:Q4, A5)</f>
        <v>0</v>
      </c>
      <c r="AB5" s="4">
        <f>COUNTIFS(AgentDecisionRecords!R2:R4, A5)</f>
        <v>0</v>
      </c>
      <c r="AC5" s="4">
        <f>IF(((AA5 = 0)=TRUE),  0,  (AB5 * 100) / AA5)</f>
        <v>0</v>
      </c>
      <c r="AD5" s="4" t="str">
        <f>_xlfn.IFNA(IF(((INDEX(AC5, MATCH(T5,A5, 0))="")=TRUE),  "",  INDEX(AC5, MATCH(T5,A5, 0))), "")</f>
      </c>
      <c r="AE5" s="4" t="b">
        <f>AND(((T5 &lt;&gt; "")=TRUE), ((AC5 &gt; AD5)=TRUE))</f>
        <v>0</v>
      </c>
      <c r="AF5" s="4" t="str">
        <f>IF(((O5)=TRUE),  C5,  "")</f>
      </c>
      <c r="AG5" s="8"/>
      <c r="AH5" s="4" t="str">
        <f>_xlfn.IFNA(IF(((INDEX(AA5, MATCH(T5,A5, 0))="")=TRUE),  "",  INDEX(AA5, MATCH(T5,A5, 0))), "")</f>
      </c>
      <c r="AI5" s="4" t="b">
        <f>AA5 &gt;= AG5</f>
        <v>1</v>
      </c>
      <c r="AJ5" s="4" t="b">
        <f>AH5 &gt;= AG5</f>
        <v>1</v>
      </c>
      <c r="AK5" s="4" t="b">
        <f>AND(((AI5)=TRUE), ((AJ5)=TRUE))</f>
        <v>1</v>
      </c>
      <c r="AL5" s="4">
        <f>IF(((AA5 &gt; 0)=TRUE),  100 / AA5,  0)</f>
        <v>0</v>
      </c>
      <c r="AM5" s="4" t="b">
        <f>AND(((NOT(((AK5)=TRUE)))=TRUE), ((NOT(((AE5)=TRUE)))=TRUE))</f>
        <v>0</v>
      </c>
      <c r="AN5" s="4" t="b">
        <f>AND(((V5)=TRUE), ((NOT(((AK5)=TRUE)))=TRUE))</f>
        <v>0</v>
      </c>
      <c r="AO5" s="4">
        <f>COUNTIFS(AgentDecisionRecords!AL2:AL4, A5)</f>
        <v>0</v>
      </c>
      <c r="AP5" s="4">
        <f>IF(((AA5 &gt; 0)=TRUE),  AO5 * 100 / AA5,  0)</f>
        <v>0</v>
      </c>
      <c r="AQ5" s="5"/>
      <c r="AR5" s="5"/>
      <c r="AS5" s="8"/>
      <c r="AT5" s="4" t="b">
        <f>AND(((W5 &lt;&gt; "")=TRUE), ((AQ5 &lt;&gt; "")=TRUE))</f>
        <v>0</v>
      </c>
      <c r="AU5" s="6">
        <f>IF((IF(((AR5 &lt;&gt; "")=TRUE),  IF(((OR((((J5)="")=TRUE), (((AR5)="")=TRUE)))=TRUE),  0,  (INT(J5) - INT(AR5))),  IF(((OR((((J5)="")=TRUE), (((E5)="")=TRUE)))=TRUE),  0,  (INT(J5) - INT(E5)))))="", "", ROUND((IF(((AR5 &lt;&gt; "")=TRUE),  IF(((OR((((J5)="")=TRUE), (((AR5)="")=TRUE)))=TRUE),  0,  (INT(J5) - INT(AR5))),  IF(((OR((((J5)="")=TRUE), (((E5)="")=TRUE)))=TRUE),  0,  (INT(J5) - INT(E5))))), 0))</f>
        <v>168</v>
      </c>
      <c r="AV5" s="4" t="b">
        <f>AND(((AS5 &gt; 0)=TRUE), ((AU5 &gt; AS5)=TRUE))</f>
        <v>0</v>
      </c>
      <c r="AW5" s="4" t="b">
        <f>AND(((P5)=TRUE), ((AND(((S5)=TRUE), ((AV5)=TRUE)))=TRUE))</f>
        <v>0</v>
      </c>
      <c r="AX5" s="4" t="b">
        <f>AND(((V5)=TRUE), ((AS5 = 0)=TRUE))</f>
        <v>0</v>
      </c>
      <c r="AY5" s="8"/>
      <c r="AZ5" s="4" t="b">
        <f>AND(((AY5 &gt; 0)=TRUE), ((AP5 &gt;= AY5)=TRUE))</f>
        <v>0</v>
      </c>
      <c r="BA5" s="4">
        <f>COUNTIFS(AgentDecisionRecords!AM2:AM4, A5)</f>
        <v>0</v>
      </c>
      <c r="BB5" s="4" t="b">
        <f>(BA5 &gt; 0)</f>
        <v>0</v>
      </c>
      <c r="BC5" s="4" t="b">
        <f>_xlfn.IFNA(IF(((INDEX(Roles!T2:T13, MATCH(C5,Roles!A2:A13, 0))="")=TRUE),  "",  INDEX(Roles!T2:T13, MATCH(C5,Roles!A2:A13, 0))), "")</f>
        <v>0</v>
      </c>
      <c r="BD5" s="4" t="b">
        <f>OR(((AZ5)=TRUE), ((OR(((BB5)=TRUE), ((BC5)=TRUE)))=TRUE))</f>
        <v>0</v>
      </c>
      <c r="BE5" s="4" t="b">
        <f>AND(((BD5)=TRUE), ((AND(((P5)=TRUE), ((S5)=TRUE)))=TRUE))</f>
        <v>0</v>
      </c>
      <c r="BF5" s="4" t="b">
        <f>AY5 &gt; 0</f>
        <v>0</v>
      </c>
      <c r="BG5" s="4" t="b">
        <f>W5 &lt;&gt; ""</f>
        <v>0</v>
      </c>
      <c r="BH5" s="4" t="b">
        <f>X5 &lt;&gt; ""</f>
        <v>0</v>
      </c>
      <c r="BI5" s="3"/>
      <c r="BJ5" s="4" t="b">
        <f>AND(((BI5)=TRUE), ((Y5)=TRUE))</f>
        <v>0</v>
      </c>
      <c r="BK5" s="6">
        <f>IF((IF(((BG5)=TRUE),  1,  0) + IF(((BH5)=TRUE),  1,  0))="", "", ROUND((IF(((BG5)=TRUE),  1,  0) + IF(((BH5)=TRUE),  1,  0)), 0))</f>
        <v>0</v>
      </c>
      <c r="BL5" s="4" t="str">
        <f>IF(((Y5)=TRUE),  C5,  "")</f>
      </c>
      <c r="BM5" s="3" t="s">
        <v>310</v>
      </c>
    </row>
    <row r="6">
      <c r="A6" s="3" t="s">
        <v>223</v>
      </c>
      <c r="B6" s="4" t="str">
        <f>C6 &amp; " @ " &amp; IF(((E6="")=TRUE),  "",  TEXT(E6, "yyyy-mm-dd\Thh:mm:ss")&amp;"+00:00")</f>
        <v>employment-counsel @ 2026-01-15T06:00:00+00:00</v>
      </c>
      <c r="C6" s="3" t="s">
        <v>220</v>
      </c>
      <c r="D6" s="3" t="s">
        <v>157</v>
      </c>
      <c r="E6" s="5">
        <v>46037.25</v>
      </c>
      <c r="F6" s="5"/>
      <c r="G6" s="3" t="s">
        <v>314</v>
      </c>
      <c r="H6" s="3" t="s">
        <v>309</v>
      </c>
      <c r="I6" s="3" t="s">
        <v>95</v>
      </c>
      <c r="J6" s="7">
        <f>_xlfn.IFNA(IF(((INDEX(EvaluationContexts!D2:D2, MATCH(I6,EvaluationContexts!A2:A2, 0))="")=TRUE),  "",  INDEX(EvaluationContexts!D2:D2, MATCH(I6,EvaluationContexts!A2:A2, 0))), "")</f>
        <v>46222.75</v>
      </c>
      <c r="K6" s="4" t="b">
        <f>AND(((E6 &lt;= J6)=TRUE), ((OR(((F6 = "")=TRUE), ((F6 &gt; J6)=TRUE)))=TRUE))</f>
        <v>1</v>
      </c>
      <c r="L6" s="4" t="str">
        <f>IF(((K6)=TRUE),  D6,  "")</f>
        <v>noah-williams</v>
      </c>
      <c r="M6" s="4" t="b">
        <f>AND(((H6 = "Active")=TRUE), ((OR(((F6 = "")=TRUE), ((F6 &gt; J6)=TRUE)))=TRUE))</f>
        <v>1</v>
      </c>
      <c r="N6" s="4" t="str">
        <f>IF(((M6)=TRUE),  D6 &amp; "|" &amp; C6,  "")</f>
        <v>noah-williams|employment-counsel</v>
      </c>
      <c r="O6" s="4" t="b">
        <f>AND(((F6 &lt;&gt; "")=TRUE), ((F6 &lt;= J6)=TRUE))</f>
        <v>0</v>
      </c>
      <c r="P6" s="4" t="b">
        <f>AND(((H6 = "Active")=TRUE), ((E6 &lt;= J6)=TRUE), ((OR(((F6 = "")=TRUE), ((F6 &gt; J6)=TRUE)))=TRUE))</f>
        <v>1</v>
      </c>
      <c r="Q6" s="4" t="str">
        <f>IF(((P6)=TRUE),  C6,  "")</f>
        <v>employment-counsel</v>
      </c>
      <c r="R6" s="4" t="str">
        <f>_xlfn.IFNA(IF(((INDEX(Agents!D2:D12, MATCH(D6,Agents!A2:A12, 0))="")=TRUE),  "",  INDEX(Agents!D2:D12, MATCH(D6,Agents!A2:A12, 0))), "")</f>
        <v>Human</v>
      </c>
      <c r="S6" s="4" t="b">
        <f>NOT(((R6 = "Human")=TRUE))</f>
        <v>0</v>
      </c>
      <c r="T6" s="3"/>
      <c r="U6" s="4" t="str">
        <f>_xlfn.IFNA(IF(((INDEX(R6, MATCH(T6,A6, 0))="")=TRUE),  "",  INDEX(R6, MATCH(T6,A6, 0))), "")</f>
      </c>
      <c r="V6" s="4" t="b">
        <f>AND(((U6 = "Human")=TRUE), ((S6)=TRUE))</f>
        <v>0</v>
      </c>
      <c r="W6" s="3"/>
      <c r="X6" s="3"/>
      <c r="Y6" s="4" t="b">
        <f>AND(((S6)=TRUE), ((NOT(((BG6)=TRUE)))=TRUE))</f>
        <v>0</v>
      </c>
      <c r="Z6" s="4" t="b">
        <f>AND(((BG6)=TRUE), ((X6 &lt;&gt; "")=TRUE))</f>
        <v>0</v>
      </c>
      <c r="AA6" s="4">
        <f>COUNTIFS(AgentDecisionRecords!Q2:Q4, A6)</f>
        <v>0</v>
      </c>
      <c r="AB6" s="4">
        <f>COUNTIFS(AgentDecisionRecords!R2:R4, A6)</f>
        <v>0</v>
      </c>
      <c r="AC6" s="4">
        <f>IF(((AA6 = 0)=TRUE),  0,  (AB6 * 100) / AA6)</f>
        <v>0</v>
      </c>
      <c r="AD6" s="4" t="str">
        <f>_xlfn.IFNA(IF(((INDEX(AC6, MATCH(T6,A6, 0))="")=TRUE),  "",  INDEX(AC6, MATCH(T6,A6, 0))), "")</f>
      </c>
      <c r="AE6" s="4" t="b">
        <f>AND(((T6 &lt;&gt; "")=TRUE), ((AC6 &gt; AD6)=TRUE))</f>
        <v>0</v>
      </c>
      <c r="AF6" s="4" t="str">
        <f>IF(((O6)=TRUE),  C6,  "")</f>
      </c>
      <c r="AG6" s="8"/>
      <c r="AH6" s="4" t="str">
        <f>_xlfn.IFNA(IF(((INDEX(AA6, MATCH(T6,A6, 0))="")=TRUE),  "",  INDEX(AA6, MATCH(T6,A6, 0))), "")</f>
      </c>
      <c r="AI6" s="4" t="b">
        <f>AA6 &gt;= AG6</f>
        <v>1</v>
      </c>
      <c r="AJ6" s="4" t="b">
        <f>AH6 &gt;= AG6</f>
        <v>1</v>
      </c>
      <c r="AK6" s="4" t="b">
        <f>AND(((AI6)=TRUE), ((AJ6)=TRUE))</f>
        <v>1</v>
      </c>
      <c r="AL6" s="4">
        <f>IF(((AA6 &gt; 0)=TRUE),  100 / AA6,  0)</f>
        <v>0</v>
      </c>
      <c r="AM6" s="4" t="b">
        <f>AND(((NOT(((AK6)=TRUE)))=TRUE), ((NOT(((AE6)=TRUE)))=TRUE))</f>
        <v>0</v>
      </c>
      <c r="AN6" s="4" t="b">
        <f>AND(((V6)=TRUE), ((NOT(((AK6)=TRUE)))=TRUE))</f>
        <v>0</v>
      </c>
      <c r="AO6" s="4">
        <f>COUNTIFS(AgentDecisionRecords!AL2:AL4, A6)</f>
        <v>0</v>
      </c>
      <c r="AP6" s="4">
        <f>IF(((AA6 &gt; 0)=TRUE),  AO6 * 100 / AA6,  0)</f>
        <v>0</v>
      </c>
      <c r="AQ6" s="5"/>
      <c r="AR6" s="5"/>
      <c r="AS6" s="8"/>
      <c r="AT6" s="4" t="b">
        <f>AND(((W6 &lt;&gt; "")=TRUE), ((AQ6 &lt;&gt; "")=TRUE))</f>
        <v>0</v>
      </c>
      <c r="AU6" s="6">
        <f>IF((IF(((AR6 &lt;&gt; "")=TRUE),  IF(((OR((((J6)="")=TRUE), (((AR6)="")=TRUE)))=TRUE),  0,  (INT(J6) - INT(AR6))),  IF(((OR((((J6)="")=TRUE), (((E6)="")=TRUE)))=TRUE),  0,  (INT(J6) - INT(E6)))))="", "", ROUND((IF(((AR6 &lt;&gt; "")=TRUE),  IF(((OR((((J6)="")=TRUE), (((AR6)="")=TRUE)))=TRUE),  0,  (INT(J6) - INT(AR6))),  IF(((OR((((J6)="")=TRUE), (((E6)="")=TRUE)))=TRUE),  0,  (INT(J6) - INT(E6))))), 0))</f>
        <v>185</v>
      </c>
      <c r="AV6" s="4" t="b">
        <f>AND(((AS6 &gt; 0)=TRUE), ((AU6 &gt; AS6)=TRUE))</f>
        <v>0</v>
      </c>
      <c r="AW6" s="4" t="b">
        <f>AND(((P6)=TRUE), ((AND(((S6)=TRUE), ((AV6)=TRUE)))=TRUE))</f>
        <v>0</v>
      </c>
      <c r="AX6" s="4" t="b">
        <f>AND(((V6)=TRUE), ((AS6 = 0)=TRUE))</f>
        <v>0</v>
      </c>
      <c r="AY6" s="8"/>
      <c r="AZ6" s="4" t="b">
        <f>AND(((AY6 &gt; 0)=TRUE), ((AP6 &gt;= AY6)=TRUE))</f>
        <v>0</v>
      </c>
      <c r="BA6" s="4">
        <f>COUNTIFS(AgentDecisionRecords!AM2:AM4, A6)</f>
        <v>0</v>
      </c>
      <c r="BB6" s="4" t="b">
        <f>(BA6 &gt; 0)</f>
        <v>0</v>
      </c>
      <c r="BC6" s="4" t="b">
        <f>_xlfn.IFNA(IF(((INDEX(Roles!T2:T13, MATCH(C6,Roles!A2:A13, 0))="")=TRUE),  "",  INDEX(Roles!T2:T13, MATCH(C6,Roles!A2:A13, 0))), "")</f>
        <v>0</v>
      </c>
      <c r="BD6" s="4" t="b">
        <f>OR(((AZ6)=TRUE), ((OR(((BB6)=TRUE), ((BC6)=TRUE)))=TRUE))</f>
        <v>0</v>
      </c>
      <c r="BE6" s="4" t="b">
        <f>AND(((BD6)=TRUE), ((AND(((P6)=TRUE), ((S6)=TRUE)))=TRUE))</f>
        <v>0</v>
      </c>
      <c r="BF6" s="4" t="b">
        <f>AY6 &gt; 0</f>
        <v>0</v>
      </c>
      <c r="BG6" s="4" t="b">
        <f>W6 &lt;&gt; ""</f>
        <v>0</v>
      </c>
      <c r="BH6" s="4" t="b">
        <f>X6 &lt;&gt; ""</f>
        <v>0</v>
      </c>
      <c r="BI6" s="3"/>
      <c r="BJ6" s="4" t="b">
        <f>AND(((BI6)=TRUE), ((Y6)=TRUE))</f>
        <v>0</v>
      </c>
      <c r="BK6" s="6">
        <f>IF((IF(((BG6)=TRUE),  1,  0) + IF(((BH6)=TRUE),  1,  0))="", "", ROUND((IF(((BG6)=TRUE),  1,  0) + IF(((BH6)=TRUE),  1,  0)), 0))</f>
        <v>0</v>
      </c>
      <c r="BL6" s="4" t="str">
        <f>IF(((Y6)=TRUE),  C6,  "")</f>
      </c>
      <c r="BM6" s="3" t="s">
        <v>310</v>
      </c>
    </row>
    <row r="7">
      <c r="A7" s="3" t="s">
        <v>243</v>
      </c>
      <c r="B7" s="4" t="str">
        <f>C7 &amp; " @ " &amp; IF(((E7="")=TRUE),  "",  TEXT(E7, "yyyy-mm-dd\Thh:mm:ss")&amp;"+00:00")</f>
        <v>notification-publisher @ 2026-03-01T06:00:00+00:00</v>
      </c>
      <c r="C7" s="3" t="s">
        <v>240</v>
      </c>
      <c r="D7" s="3" t="s">
        <v>178</v>
      </c>
      <c r="E7" s="5">
        <v>46082.25</v>
      </c>
      <c r="F7" s="5"/>
      <c r="G7" s="3" t="s">
        <v>315</v>
      </c>
      <c r="H7" s="3" t="s">
        <v>309</v>
      </c>
      <c r="I7" s="3" t="s">
        <v>95</v>
      </c>
      <c r="J7" s="7">
        <f>_xlfn.IFNA(IF(((INDEX(EvaluationContexts!D2:D2, MATCH(I7,EvaluationContexts!A2:A2, 0))="")=TRUE),  "",  INDEX(EvaluationContexts!D2:D2, MATCH(I7,EvaluationContexts!A2:A2, 0))), "")</f>
        <v>46222.75</v>
      </c>
      <c r="K7" s="4" t="b">
        <f>AND(((E7 &lt;= J7)=TRUE), ((OR(((F7 = "")=TRUE), ((F7 &gt; J7)=TRUE)))=TRUE))</f>
        <v>1</v>
      </c>
      <c r="L7" s="4" t="str">
        <f>IF(((K7)=TRUE),  D7,  "")</f>
        <v>notification-pipeline</v>
      </c>
      <c r="M7" s="4" t="b">
        <f>AND(((H7 = "Active")=TRUE), ((OR(((F7 = "")=TRUE), ((F7 &gt; J7)=TRUE)))=TRUE))</f>
        <v>1</v>
      </c>
      <c r="N7" s="4" t="str">
        <f>IF(((M7)=TRUE),  D7 &amp; "|" &amp; C7,  "")</f>
        <v>notification-pipeline|notification-publisher</v>
      </c>
      <c r="O7" s="4" t="b">
        <f>AND(((F7 &lt;&gt; "")=TRUE), ((F7 &lt;= J7)=TRUE))</f>
        <v>0</v>
      </c>
      <c r="P7" s="4" t="b">
        <f>AND(((H7 = "Active")=TRUE), ((E7 &lt;= J7)=TRUE), ((OR(((F7 = "")=TRUE), ((F7 &gt; J7)=TRUE)))=TRUE))</f>
        <v>1</v>
      </c>
      <c r="Q7" s="4" t="str">
        <f>IF(((P7)=TRUE),  C7,  "")</f>
        <v>notification-publisher</v>
      </c>
      <c r="R7" s="4" t="str">
        <f>_xlfn.IFNA(IF(((INDEX(Agents!D2:D12, MATCH(D7,Agents!A2:A12, 0))="")=TRUE),  "",  INDEX(Agents!D2:D12, MATCH(D7,Agents!A2:A12, 0))), "")</f>
        <v>AutomatedPipeline</v>
      </c>
      <c r="S7" s="4" t="b">
        <f>NOT(((R7 = "Human")=TRUE))</f>
        <v>1</v>
      </c>
      <c r="T7" s="3"/>
      <c r="U7" s="4" t="str">
        <f>_xlfn.IFNA(IF(((INDEX(R7, MATCH(T7,A7, 0))="")=TRUE),  "",  INDEX(R7, MATCH(T7,A7, 0))), "")</f>
      </c>
      <c r="V7" s="4" t="b">
        <f>AND(((U7 = "Human")=TRUE), ((S7)=TRUE))</f>
        <v>0</v>
      </c>
      <c r="W7" s="3"/>
      <c r="X7" s="3"/>
      <c r="Y7" s="4" t="b">
        <f>AND(((S7)=TRUE), ((NOT(((BG7)=TRUE)))=TRUE))</f>
        <v>1</v>
      </c>
      <c r="Z7" s="4" t="b">
        <f>AND(((BG7)=TRUE), ((X7 &lt;&gt; "")=TRUE))</f>
        <v>0</v>
      </c>
      <c r="AA7" s="4">
        <f>COUNTIFS(AgentDecisionRecords!Q2:Q4, A7)</f>
        <v>0</v>
      </c>
      <c r="AB7" s="4">
        <f>COUNTIFS(AgentDecisionRecords!R2:R4, A7)</f>
        <v>0</v>
      </c>
      <c r="AC7" s="4">
        <f>IF(((AA7 = 0)=TRUE),  0,  (AB7 * 100) / AA7)</f>
        <v>0</v>
      </c>
      <c r="AD7" s="4" t="str">
        <f>_xlfn.IFNA(IF(((INDEX(AC7, MATCH(T7,A7, 0))="")=TRUE),  "",  INDEX(AC7, MATCH(T7,A7, 0))), "")</f>
      </c>
      <c r="AE7" s="4" t="b">
        <f>AND(((T7 &lt;&gt; "")=TRUE), ((AC7 &gt; AD7)=TRUE))</f>
        <v>0</v>
      </c>
      <c r="AF7" s="4" t="str">
        <f>IF(((O7)=TRUE),  C7,  "")</f>
      </c>
      <c r="AG7" s="8"/>
      <c r="AH7" s="4" t="str">
        <f>_xlfn.IFNA(IF(((INDEX(AA7, MATCH(T7,A7, 0))="")=TRUE),  "",  INDEX(AA7, MATCH(T7,A7, 0))), "")</f>
      </c>
      <c r="AI7" s="4" t="b">
        <f>AA7 &gt;= AG7</f>
        <v>1</v>
      </c>
      <c r="AJ7" s="4" t="b">
        <f>AH7 &gt;= AG7</f>
        <v>1</v>
      </c>
      <c r="AK7" s="4" t="b">
        <f>AND(((AI7)=TRUE), ((AJ7)=TRUE))</f>
        <v>1</v>
      </c>
      <c r="AL7" s="4">
        <f>IF(((AA7 &gt; 0)=TRUE),  100 / AA7,  0)</f>
        <v>0</v>
      </c>
      <c r="AM7" s="4" t="b">
        <f>AND(((NOT(((AK7)=TRUE)))=TRUE), ((NOT(((AE7)=TRUE)))=TRUE))</f>
        <v>0</v>
      </c>
      <c r="AN7" s="4" t="b">
        <f>AND(((V7)=TRUE), ((NOT(((AK7)=TRUE)))=TRUE))</f>
        <v>0</v>
      </c>
      <c r="AO7" s="4">
        <f>COUNTIFS(AgentDecisionRecords!AL2:AL4, A7)</f>
        <v>0</v>
      </c>
      <c r="AP7" s="4">
        <f>IF(((AA7 &gt; 0)=TRUE),  AO7 * 100 / AA7,  0)</f>
        <v>0</v>
      </c>
      <c r="AQ7" s="5"/>
      <c r="AR7" s="5"/>
      <c r="AS7" s="8"/>
      <c r="AT7" s="4" t="b">
        <f>AND(((W7 &lt;&gt; "")=TRUE), ((AQ7 &lt;&gt; "")=TRUE))</f>
        <v>0</v>
      </c>
      <c r="AU7" s="6">
        <f>IF((IF(((AR7 &lt;&gt; "")=TRUE),  IF(((OR((((J7)="")=TRUE), (((AR7)="")=TRUE)))=TRUE),  0,  (INT(J7) - INT(AR7))),  IF(((OR((((J7)="")=TRUE), (((E7)="")=TRUE)))=TRUE),  0,  (INT(J7) - INT(E7)))))="", "", ROUND((IF(((AR7 &lt;&gt; "")=TRUE),  IF(((OR((((J7)="")=TRUE), (((AR7)="")=TRUE)))=TRUE),  0,  (INT(J7) - INT(AR7))),  IF(((OR((((J7)="")=TRUE), (((E7)="")=TRUE)))=TRUE),  0,  (INT(J7) - INT(E7))))), 0))</f>
        <v>140</v>
      </c>
      <c r="AV7" s="4" t="b">
        <f>AND(((AS7 &gt; 0)=TRUE), ((AU7 &gt; AS7)=TRUE))</f>
        <v>0</v>
      </c>
      <c r="AW7" s="4" t="b">
        <f>AND(((P7)=TRUE), ((AND(((S7)=TRUE), ((AV7)=TRUE)))=TRUE))</f>
        <v>0</v>
      </c>
      <c r="AX7" s="4" t="b">
        <f>AND(((V7)=TRUE), ((AS7 = 0)=TRUE))</f>
        <v>0</v>
      </c>
      <c r="AY7" s="8"/>
      <c r="AZ7" s="4" t="b">
        <f>AND(((AY7 &gt; 0)=TRUE), ((AP7 &gt;= AY7)=TRUE))</f>
        <v>0</v>
      </c>
      <c r="BA7" s="4">
        <f>COUNTIFS(AgentDecisionRecords!AM2:AM4, A7)</f>
        <v>0</v>
      </c>
      <c r="BB7" s="4" t="b">
        <f>(BA7 &gt; 0)</f>
        <v>0</v>
      </c>
      <c r="BC7" s="4" t="b">
        <f>_xlfn.IFNA(IF(((INDEX(Roles!T2:T13, MATCH(C7,Roles!A2:A13, 0))="")=TRUE),  "",  INDEX(Roles!T2:T13, MATCH(C7,Roles!A2:A13, 0))), "")</f>
        <v>0</v>
      </c>
      <c r="BD7" s="4" t="b">
        <f>OR(((AZ7)=TRUE), ((OR(((BB7)=TRUE), ((BC7)=TRUE)))=TRUE))</f>
        <v>0</v>
      </c>
      <c r="BE7" s="4" t="b">
        <f>AND(((BD7)=TRUE), ((AND(((P7)=TRUE), ((S7)=TRUE)))=TRUE))</f>
        <v>0</v>
      </c>
      <c r="BF7" s="4" t="b">
        <f>AY7 &gt; 0</f>
        <v>0</v>
      </c>
      <c r="BG7" s="4" t="b">
        <f>W7 &lt;&gt; ""</f>
        <v>0</v>
      </c>
      <c r="BH7" s="4" t="b">
        <f>X7 &lt;&gt; ""</f>
        <v>0</v>
      </c>
      <c r="BI7" s="3"/>
      <c r="BJ7" s="4" t="b">
        <f>AND(((BI7)=TRUE), ((Y7)=TRUE))</f>
        <v>0</v>
      </c>
      <c r="BK7" s="6">
        <f>IF((IF(((BG7)=TRUE),  1,  0) + IF(((BH7)=TRUE),  1,  0))="", "", ROUND((IF(((BG7)=TRUE),  1,  0) + IF(((BH7)=TRUE),  1,  0)), 0))</f>
        <v>0</v>
      </c>
      <c r="BL7" s="4" t="str">
        <f>IF(((Y7)=TRUE),  C7,  "")</f>
        <v>notification-publisher</v>
      </c>
      <c r="BM7" s="3" t="s">
        <v>310</v>
      </c>
    </row>
    <row r="8">
      <c r="A8" s="3" t="s">
        <v>316</v>
      </c>
      <c r="B8" s="4" t="str">
        <f>C8 &amp; " @ " &amp; IF(((E8="")=TRUE),  "",  TEXT(E8, "yyyy-mm-dd\Thh:mm:ss")&amp;"+00:00")</f>
        <v>variance-review-agent @ 2025-01-01T06:00:00+00:00</v>
      </c>
      <c r="C8" s="3" t="s">
        <v>232</v>
      </c>
      <c r="D8" s="3" t="s">
        <v>139</v>
      </c>
      <c r="E8" s="5">
        <v>45658.25</v>
      </c>
      <c r="F8" s="5">
        <v>46113.20832175926</v>
      </c>
      <c r="G8" s="3" t="s">
        <v>317</v>
      </c>
      <c r="H8" s="3" t="s">
        <v>318</v>
      </c>
      <c r="I8" s="3" t="s">
        <v>95</v>
      </c>
      <c r="J8" s="7">
        <f>_xlfn.IFNA(IF(((INDEX(EvaluationContexts!D2:D2, MATCH(I8,EvaluationContexts!A2:A2, 0))="")=TRUE),  "",  INDEX(EvaluationContexts!D2:D2, MATCH(I8,EvaluationContexts!A2:A2, 0))), "")</f>
        <v>46222.75</v>
      </c>
      <c r="K8" s="4" t="b">
        <f>AND(((E8 &lt;= J8)=TRUE), ((OR(((F8 = "")=TRUE), ((F8 &gt; J8)=TRUE)))=TRUE))</f>
        <v>0</v>
      </c>
      <c r="L8" s="4" t="str">
        <f>IF(((K8)=TRUE),  D8,  "")</f>
      </c>
      <c r="M8" s="4" t="b">
        <f>AND(((H8 = "Active")=TRUE), ((OR(((F8 = "")=TRUE), ((F8 &gt; J8)=TRUE)))=TRUE))</f>
        <v>0</v>
      </c>
      <c r="N8" s="4" t="str">
        <f>IF(((M8)=TRUE),  D8 &amp; "|" &amp; C8,  "")</f>
      </c>
      <c r="O8" s="4" t="b">
        <f>AND(((F8 &lt;&gt; "")=TRUE), ((F8 &lt;= J8)=TRUE))</f>
        <v>1</v>
      </c>
      <c r="P8" s="4" t="b">
        <f>AND(((H8 = "Active")=TRUE), ((E8 &lt;= J8)=TRUE), ((OR(((F8 = "")=TRUE), ((F8 &gt; J8)=TRUE)))=TRUE))</f>
        <v>0</v>
      </c>
      <c r="Q8" s="4" t="str">
        <f>IF(((P8)=TRUE),  C8,  "")</f>
      </c>
      <c r="R8" s="4" t="str">
        <f>_xlfn.IFNA(IF(((INDEX(Agents!D2:D12, MATCH(D8,Agents!A2:A12, 0))="")=TRUE),  "",  INDEX(Agents!D2:D12, MATCH(D8,Agents!A2:A12, 0))), "")</f>
        <v>Human</v>
      </c>
      <c r="S8" s="4" t="b">
        <f>NOT(((R8 = "Human")=TRUE))</f>
        <v>0</v>
      </c>
      <c r="T8" s="3"/>
      <c r="U8" s="4" t="str">
        <f>_xlfn.IFNA(IF(((INDEX(R8, MATCH(T8,A8, 0))="")=TRUE),  "",  INDEX(R8, MATCH(T8,A8, 0))), "")</f>
      </c>
      <c r="V8" s="4" t="b">
        <f>AND(((U8 = "Human")=TRUE), ((S8)=TRUE))</f>
        <v>0</v>
      </c>
      <c r="W8" s="3"/>
      <c r="X8" s="3"/>
      <c r="Y8" s="4" t="b">
        <f>AND(((S8)=TRUE), ((NOT(((BG8)=TRUE)))=TRUE))</f>
        <v>0</v>
      </c>
      <c r="Z8" s="4" t="b">
        <f>AND(((BG8)=TRUE), ((X8 &lt;&gt; "")=TRUE))</f>
        <v>0</v>
      </c>
      <c r="AA8" s="4">
        <f>COUNTIFS(AgentDecisionRecords!Q2:Q4, A8)</f>
        <v>0</v>
      </c>
      <c r="AB8" s="4">
        <f>COUNTIFS(AgentDecisionRecords!R2:R4, A8)</f>
        <v>0</v>
      </c>
      <c r="AC8" s="4">
        <f>IF(((AA8 = 0)=TRUE),  0,  (AB8 * 100) / AA8)</f>
        <v>0</v>
      </c>
      <c r="AD8" s="4" t="str">
        <f>_xlfn.IFNA(IF(((INDEX(AC8, MATCH(T8,A8, 0))="")=TRUE),  "",  INDEX(AC8, MATCH(T8,A8, 0))), "")</f>
      </c>
      <c r="AE8" s="4" t="b">
        <f>AND(((T8 &lt;&gt; "")=TRUE), ((AC8 &gt; AD8)=TRUE))</f>
        <v>0</v>
      </c>
      <c r="AF8" s="4" t="str">
        <f>IF(((O8)=TRUE),  C8,  "")</f>
        <v>variance-review-agent</v>
      </c>
      <c r="AG8" s="8"/>
      <c r="AH8" s="4" t="str">
        <f>_xlfn.IFNA(IF(((INDEX(AA8, MATCH(T8,A8, 0))="")=TRUE),  "",  INDEX(AA8, MATCH(T8,A8, 0))), "")</f>
      </c>
      <c r="AI8" s="4" t="b">
        <f>AA8 &gt;= AG8</f>
        <v>1</v>
      </c>
      <c r="AJ8" s="4" t="b">
        <f>AH8 &gt;= AG8</f>
        <v>1</v>
      </c>
      <c r="AK8" s="4" t="b">
        <f>AND(((AI8)=TRUE), ((AJ8)=TRUE))</f>
        <v>1</v>
      </c>
      <c r="AL8" s="4">
        <f>IF(((AA8 &gt; 0)=TRUE),  100 / AA8,  0)</f>
        <v>0</v>
      </c>
      <c r="AM8" s="4" t="b">
        <f>AND(((NOT(((AK8)=TRUE)))=TRUE), ((NOT(((AE8)=TRUE)))=TRUE))</f>
        <v>0</v>
      </c>
      <c r="AN8" s="4" t="b">
        <f>AND(((V8)=TRUE), ((NOT(((AK8)=TRUE)))=TRUE))</f>
        <v>0</v>
      </c>
      <c r="AO8" s="4">
        <f>COUNTIFS(AgentDecisionRecords!AL2:AL4, A8)</f>
        <v>0</v>
      </c>
      <c r="AP8" s="4">
        <f>IF(((AA8 &gt; 0)=TRUE),  AO8 * 100 / AA8,  0)</f>
        <v>0</v>
      </c>
      <c r="AQ8" s="5"/>
      <c r="AR8" s="5"/>
      <c r="AS8" s="8"/>
      <c r="AT8" s="4" t="b">
        <f>AND(((W8 &lt;&gt; "")=TRUE), ((AQ8 &lt;&gt; "")=TRUE))</f>
        <v>0</v>
      </c>
      <c r="AU8" s="6">
        <f>IF((IF(((AR8 &lt;&gt; "")=TRUE),  IF(((OR((((J8)="")=TRUE), (((AR8)="")=TRUE)))=TRUE),  0,  (INT(J8) - INT(AR8))),  IF(((OR((((J8)="")=TRUE), (((E8)="")=TRUE)))=TRUE),  0,  (INT(J8) - INT(E8)))))="", "", ROUND((IF(((AR8 &lt;&gt; "")=TRUE),  IF(((OR((((J8)="")=TRUE), (((AR8)="")=TRUE)))=TRUE),  0,  (INT(J8) - INT(AR8))),  IF(((OR((((J8)="")=TRUE), (((E8)="")=TRUE)))=TRUE),  0,  (INT(J8) - INT(E8))))), 0))</f>
        <v>564</v>
      </c>
      <c r="AV8" s="4" t="b">
        <f>AND(((AS8 &gt; 0)=TRUE), ((AU8 &gt; AS8)=TRUE))</f>
        <v>0</v>
      </c>
      <c r="AW8" s="4" t="b">
        <f>AND(((P8)=TRUE), ((AND(((S8)=TRUE), ((AV8)=TRUE)))=TRUE))</f>
        <v>0</v>
      </c>
      <c r="AX8" s="4" t="b">
        <f>AND(((V8)=TRUE), ((AS8 = 0)=TRUE))</f>
        <v>0</v>
      </c>
      <c r="AY8" s="8"/>
      <c r="AZ8" s="4" t="b">
        <f>AND(((AY8 &gt; 0)=TRUE), ((AP8 &gt;= AY8)=TRUE))</f>
        <v>0</v>
      </c>
      <c r="BA8" s="4">
        <f>COUNTIFS(AgentDecisionRecords!AM2:AM4, A8)</f>
        <v>0</v>
      </c>
      <c r="BB8" s="4" t="b">
        <f>(BA8 &gt; 0)</f>
        <v>0</v>
      </c>
      <c r="BC8" s="4" t="b">
        <f>_xlfn.IFNA(IF(((INDEX(Roles!T2:T13, MATCH(C8,Roles!A2:A13, 0))="")=TRUE),  "",  INDEX(Roles!T2:T13, MATCH(C8,Roles!A2:A13, 0))), "")</f>
        <v>0</v>
      </c>
      <c r="BD8" s="4" t="b">
        <f>OR(((AZ8)=TRUE), ((OR(((BB8)=TRUE), ((BC8)=TRUE)))=TRUE))</f>
        <v>0</v>
      </c>
      <c r="BE8" s="4" t="b">
        <f>AND(((BD8)=TRUE), ((AND(((P8)=TRUE), ((S8)=TRUE)))=TRUE))</f>
        <v>0</v>
      </c>
      <c r="BF8" s="4" t="b">
        <f>AY8 &gt; 0</f>
        <v>0</v>
      </c>
      <c r="BG8" s="4" t="b">
        <f>W8 &lt;&gt; ""</f>
        <v>0</v>
      </c>
      <c r="BH8" s="4" t="b">
        <f>X8 &lt;&gt; ""</f>
        <v>0</v>
      </c>
      <c r="BI8" s="3"/>
      <c r="BJ8" s="4" t="b">
        <f>AND(((BI8)=TRUE), ((Y8)=TRUE))</f>
        <v>0</v>
      </c>
      <c r="BK8" s="6">
        <f>IF((IF(((BG8)=TRUE),  1,  0) + IF(((BH8)=TRUE),  1,  0))="", "", ROUND((IF(((BG8)=TRUE),  1,  0) + IF(((BH8)=TRUE),  1,  0)), 0))</f>
        <v>0</v>
      </c>
      <c r="BL8" s="4" t="str">
        <f>IF(((Y8)=TRUE),  C8,  "")</f>
      </c>
      <c r="BM8" s="3" t="s">
        <v>310</v>
      </c>
    </row>
    <row r="9">
      <c r="A9" s="3" t="s">
        <v>235</v>
      </c>
      <c r="B9" s="4" t="str">
        <f>C9 &amp; " @ " &amp; IF(((E9="")=TRUE),  "",  TEXT(E9, "yyyy-mm-dd\Thh:mm:ss")&amp;"+00:00")</f>
        <v>variance-review-agent @ 2026-04-01T05:00:00+00:00</v>
      </c>
      <c r="C9" s="3" t="s">
        <v>232</v>
      </c>
      <c r="D9" s="3" t="s">
        <v>171</v>
      </c>
      <c r="E9" s="5">
        <v>46113.208333333336</v>
      </c>
      <c r="F9" s="5"/>
      <c r="G9" s="3" t="s">
        <v>319</v>
      </c>
      <c r="H9" s="3" t="s">
        <v>309</v>
      </c>
      <c r="I9" s="3" t="s">
        <v>95</v>
      </c>
      <c r="J9" s="7">
        <f>_xlfn.IFNA(IF(((INDEX(EvaluationContexts!D2:D2, MATCH(I9,EvaluationContexts!A2:A2, 0))="")=TRUE),  "",  INDEX(EvaluationContexts!D2:D2, MATCH(I9,EvaluationContexts!A2:A2, 0))), "")</f>
        <v>46222.75</v>
      </c>
      <c r="K9" s="4" t="b">
        <f>AND(((E9 &lt;= J9)=TRUE), ((OR(((F9 = "")=TRUE), ((F9 &gt; J9)=TRUE)))=TRUE))</f>
        <v>1</v>
      </c>
      <c r="L9" s="4" t="str">
        <f>IF(((K9)=TRUE),  D9,  "")</f>
        <v>variance-ai</v>
      </c>
      <c r="M9" s="4" t="b">
        <f>AND(((H9 = "Active")=TRUE), ((OR(((F9 = "")=TRUE), ((F9 &gt; J9)=TRUE)))=TRUE))</f>
        <v>1</v>
      </c>
      <c r="N9" s="4" t="str">
        <f>IF(((M9)=TRUE),  D9 &amp; "|" &amp; C9,  "")</f>
        <v>variance-ai|variance-review-agent</v>
      </c>
      <c r="O9" s="4" t="b">
        <f>AND(((F9 &lt;&gt; "")=TRUE), ((F9 &lt;= J9)=TRUE))</f>
        <v>0</v>
      </c>
      <c r="P9" s="4" t="b">
        <f>AND(((H9 = "Active")=TRUE), ((E9 &lt;= J9)=TRUE), ((OR(((F9 = "")=TRUE), ((F9 &gt; J9)=TRUE)))=TRUE))</f>
        <v>1</v>
      </c>
      <c r="Q9" s="4" t="str">
        <f>IF(((P9)=TRUE),  C9,  "")</f>
        <v>variance-review-agent</v>
      </c>
      <c r="R9" s="4" t="str">
        <f>_xlfn.IFNA(IF(((INDEX(Agents!D2:D12, MATCH(D9,Agents!A2:A12, 0))="")=TRUE),  "",  INDEX(Agents!D2:D12, MATCH(D9,Agents!A2:A12, 0))), "")</f>
        <v>AIAgent</v>
      </c>
      <c r="S9" s="4" t="b">
        <f>NOT(((R9 = "Human")=TRUE))</f>
        <v>1</v>
      </c>
      <c r="T9" s="3" t="s">
        <v>316</v>
      </c>
      <c r="U9" s="4" t="str">
        <f>_xlfn.IFNA(IF(((INDEX(R9, MATCH(T9,A9, 0))="")=TRUE),  "",  INDEX(R9, MATCH(T9,A9, 0))), "")</f>
      </c>
      <c r="V9" s="4" t="b">
        <f>AND(((U9 = "Human")=TRUE), ((S9)=TRUE))</f>
        <v>0</v>
      </c>
      <c r="W9" s="3" t="s">
        <v>212</v>
      </c>
      <c r="X9" s="3"/>
      <c r="Y9" s="4" t="b">
        <f>AND(((S9)=TRUE), ((NOT(((BG9)=TRUE)))=TRUE))</f>
        <v>0</v>
      </c>
      <c r="Z9" s="4" t="b">
        <f>AND(((BG9)=TRUE), ((X9 &lt;&gt; "")=TRUE))</f>
        <v>0</v>
      </c>
      <c r="AA9" s="4">
        <f>COUNTIFS(AgentDecisionRecords!Q2:Q4, A9)</f>
        <v>0</v>
      </c>
      <c r="AB9" s="4">
        <f>COUNTIFS(AgentDecisionRecords!R2:R4, A9)</f>
        <v>0</v>
      </c>
      <c r="AC9" s="4">
        <f>IF(((AA9 = 0)=TRUE),  0,  (AB9 * 100) / AA9)</f>
        <v>0</v>
      </c>
      <c r="AD9" s="4" t="str">
        <f>_xlfn.IFNA(IF(((INDEX(AC9, MATCH(T9,A9, 0))="")=TRUE),  "",  INDEX(AC9, MATCH(T9,A9, 0))), "")</f>
      </c>
      <c r="AE9" s="4" t="b">
        <f>AND(((T9 &lt;&gt; "")=TRUE), ((AC9 &gt; AD9)=TRUE))</f>
        <v>0</v>
      </c>
      <c r="AF9" s="4" t="str">
        <f>IF(((O9)=TRUE),  C9,  "")</f>
      </c>
      <c r="AG9" s="8"/>
      <c r="AH9" s="4" t="str">
        <f>_xlfn.IFNA(IF(((INDEX(AA9, MATCH(T9,A9, 0))="")=TRUE),  "",  INDEX(AA9, MATCH(T9,A9, 0))), "")</f>
      </c>
      <c r="AI9" s="4" t="b">
        <f>AA9 &gt;= AG9</f>
        <v>1</v>
      </c>
      <c r="AJ9" s="4" t="b">
        <f>AH9 &gt;= AG9</f>
        <v>1</v>
      </c>
      <c r="AK9" s="4" t="b">
        <f>AND(((AI9)=TRUE), ((AJ9)=TRUE))</f>
        <v>1</v>
      </c>
      <c r="AL9" s="4">
        <f>IF(((AA9 &gt; 0)=TRUE),  100 / AA9,  0)</f>
        <v>0</v>
      </c>
      <c r="AM9" s="4" t="b">
        <f>AND(((NOT(((AK9)=TRUE)))=TRUE), ((NOT(((AE9)=TRUE)))=TRUE))</f>
        <v>0</v>
      </c>
      <c r="AN9" s="4" t="b">
        <f>AND(((V9)=TRUE), ((NOT(((AK9)=TRUE)))=TRUE))</f>
        <v>0</v>
      </c>
      <c r="AO9" s="4">
        <f>COUNTIFS(AgentDecisionRecords!AL2:AL4, A9)</f>
        <v>0</v>
      </c>
      <c r="AP9" s="4">
        <f>IF(((AA9 &gt; 0)=TRUE),  AO9 * 100 / AA9,  0)</f>
        <v>0</v>
      </c>
      <c r="AQ9" s="5"/>
      <c r="AR9" s="5"/>
      <c r="AS9" s="8"/>
      <c r="AT9" s="4" t="b">
        <f>AND(((W9 &lt;&gt; "")=TRUE), ((AQ9 &lt;&gt; "")=TRUE))</f>
        <v>0</v>
      </c>
      <c r="AU9" s="6">
        <f>IF((IF(((AR9 &lt;&gt; "")=TRUE),  IF(((OR((((J9)="")=TRUE), (((AR9)="")=TRUE)))=TRUE),  0,  (INT(J9) - INT(AR9))),  IF(((OR((((J9)="")=TRUE), (((E9)="")=TRUE)))=TRUE),  0,  (INT(J9) - INT(E9)))))="", "", ROUND((IF(((AR9 &lt;&gt; "")=TRUE),  IF(((OR((((J9)="")=TRUE), (((AR9)="")=TRUE)))=TRUE),  0,  (INT(J9) - INT(AR9))),  IF(((OR((((J9)="")=TRUE), (((E9)="")=TRUE)))=TRUE),  0,  (INT(J9) - INT(E9))))), 0))</f>
        <v>109</v>
      </c>
      <c r="AV9" s="4" t="b">
        <f>AND(((AS9 &gt; 0)=TRUE), ((AU9 &gt; AS9)=TRUE))</f>
        <v>0</v>
      </c>
      <c r="AW9" s="4" t="b">
        <f>AND(((P9)=TRUE), ((AND(((S9)=TRUE), ((AV9)=TRUE)))=TRUE))</f>
        <v>0</v>
      </c>
      <c r="AX9" s="4" t="b">
        <f>AND(((V9)=TRUE), ((AS9 = 0)=TRUE))</f>
        <v>0</v>
      </c>
      <c r="AY9" s="8"/>
      <c r="AZ9" s="4" t="b">
        <f>AND(((AY9 &gt; 0)=TRUE), ((AP9 &gt;= AY9)=TRUE))</f>
        <v>0</v>
      </c>
      <c r="BA9" s="4">
        <f>COUNTIFS(AgentDecisionRecords!AM2:AM4, A9)</f>
        <v>0</v>
      </c>
      <c r="BB9" s="4" t="b">
        <f>(BA9 &gt; 0)</f>
        <v>0</v>
      </c>
      <c r="BC9" s="4" t="b">
        <f>_xlfn.IFNA(IF(((INDEX(Roles!T2:T13, MATCH(C9,Roles!A2:A13, 0))="")=TRUE),  "",  INDEX(Roles!T2:T13, MATCH(C9,Roles!A2:A13, 0))), "")</f>
        <v>0</v>
      </c>
      <c r="BD9" s="4" t="b">
        <f>OR(((AZ9)=TRUE), ((OR(((BB9)=TRUE), ((BC9)=TRUE)))=TRUE))</f>
        <v>0</v>
      </c>
      <c r="BE9" s="4" t="b">
        <f>AND(((BD9)=TRUE), ((AND(((P9)=TRUE), ((S9)=TRUE)))=TRUE))</f>
        <v>0</v>
      </c>
      <c r="BF9" s="4" t="b">
        <f>AY9 &gt; 0</f>
        <v>0</v>
      </c>
      <c r="BG9" s="4" t="b">
        <f>W9 &lt;&gt; ""</f>
        <v>1</v>
      </c>
      <c r="BH9" s="4" t="b">
        <f>X9 &lt;&gt; ""</f>
        <v>0</v>
      </c>
      <c r="BI9" s="3"/>
      <c r="BJ9" s="4" t="b">
        <f>AND(((BI9)=TRUE), ((Y9)=TRUE))</f>
        <v>0</v>
      </c>
      <c r="BK9" s="6">
        <f>IF((IF(((BG9)=TRUE),  1,  0) + IF(((BH9)=TRUE),  1,  0))="", "", ROUND((IF(((BG9)=TRUE),  1,  0) + IF(((BH9)=TRUE),  1,  0)), 0))</f>
        <v>1</v>
      </c>
      <c r="BL9" s="4" t="str">
        <f>IF(((Y9)=TRUE),  C9,  "")</f>
      </c>
      <c r="BM9" s="3" t="s">
        <v>310</v>
      </c>
    </row>
    <row r="10">
      <c r="A10" s="3" t="s">
        <v>227</v>
      </c>
      <c r="B10" s="4" t="str">
        <f>C10 &amp; " @ " &amp; IF(((E10="")=TRUE),  "",  TEXT(E10, "yyyy-mm-dd\Thh:mm:ss")&amp;"+00:00")</f>
        <v>communications-manager @ 2026-02-01T06:00:00+00:00</v>
      </c>
      <c r="C10" s="3" t="s">
        <v>224</v>
      </c>
      <c r="D10" s="3" t="s">
        <v>161</v>
      </c>
      <c r="E10" s="5">
        <v>46054.25</v>
      </c>
      <c r="F10" s="5"/>
      <c r="G10" s="3" t="s">
        <v>320</v>
      </c>
      <c r="H10" s="3" t="s">
        <v>309</v>
      </c>
      <c r="I10" s="3" t="s">
        <v>95</v>
      </c>
      <c r="J10" s="7">
        <f>_xlfn.IFNA(IF(((INDEX(EvaluationContexts!D2:D2, MATCH(I10,EvaluationContexts!A2:A2, 0))="")=TRUE),  "",  INDEX(EvaluationContexts!D2:D2, MATCH(I10,EvaluationContexts!A2:A2, 0))), "")</f>
        <v>46222.75</v>
      </c>
      <c r="K10" s="4" t="b">
        <f>AND(((E10 &lt;= J10)=TRUE), ((OR(((F10 = "")=TRUE), ((F10 &gt; J10)=TRUE)))=TRUE))</f>
        <v>1</v>
      </c>
      <c r="L10" s="4" t="str">
        <f>IF(((K10)=TRUE),  D10,  "")</f>
        <v>amina-yusuf</v>
      </c>
      <c r="M10" s="4" t="b">
        <f>AND(((H10 = "Active")=TRUE), ((OR(((F10 = "")=TRUE), ((F10 &gt; J10)=TRUE)))=TRUE))</f>
        <v>1</v>
      </c>
      <c r="N10" s="4" t="str">
        <f>IF(((M10)=TRUE),  D10 &amp; "|" &amp; C10,  "")</f>
        <v>amina-yusuf|communications-manager</v>
      </c>
      <c r="O10" s="4" t="b">
        <f>AND(((F10 &lt;&gt; "")=TRUE), ((F10 &lt;= J10)=TRUE))</f>
        <v>0</v>
      </c>
      <c r="P10" s="4" t="b">
        <f>AND(((H10 = "Active")=TRUE), ((E10 &lt;= J10)=TRUE), ((OR(((F10 = "")=TRUE), ((F10 &gt; J10)=TRUE)))=TRUE))</f>
        <v>1</v>
      </c>
      <c r="Q10" s="4" t="str">
        <f>IF(((P10)=TRUE),  C10,  "")</f>
        <v>communications-manager</v>
      </c>
      <c r="R10" s="4" t="str">
        <f>_xlfn.IFNA(IF(((INDEX(Agents!D2:D12, MATCH(D10,Agents!A2:A12, 0))="")=TRUE),  "",  INDEX(Agents!D2:D12, MATCH(D10,Agents!A2:A12, 0))), "")</f>
        <v>Human</v>
      </c>
      <c r="S10" s="4" t="b">
        <f>NOT(((R10 = "Human")=TRUE))</f>
        <v>0</v>
      </c>
      <c r="T10" s="3"/>
      <c r="U10" s="4" t="str">
        <f>_xlfn.IFNA(IF(((INDEX(R10, MATCH(T10,A10, 0))="")=TRUE),  "",  INDEX(R10, MATCH(T10,A10, 0))), "")</f>
      </c>
      <c r="V10" s="4" t="b">
        <f>AND(((U10 = "Human")=TRUE), ((S10)=TRUE))</f>
        <v>0</v>
      </c>
      <c r="W10" s="3"/>
      <c r="X10" s="3"/>
      <c r="Y10" s="4" t="b">
        <f>AND(((S10)=TRUE), ((NOT(((BG10)=TRUE)))=TRUE))</f>
        <v>0</v>
      </c>
      <c r="Z10" s="4" t="b">
        <f>AND(((BG10)=TRUE), ((X10 &lt;&gt; "")=TRUE))</f>
        <v>0</v>
      </c>
      <c r="AA10" s="4">
        <f>COUNTIFS(AgentDecisionRecords!Q2:Q4, A10)</f>
        <v>0</v>
      </c>
      <c r="AB10" s="4">
        <f>COUNTIFS(AgentDecisionRecords!R2:R4, A10)</f>
        <v>0</v>
      </c>
      <c r="AC10" s="4">
        <f>IF(((AA10 = 0)=TRUE),  0,  (AB10 * 100) / AA10)</f>
        <v>0</v>
      </c>
      <c r="AD10" s="4" t="str">
        <f>_xlfn.IFNA(IF(((INDEX(AC10, MATCH(T10,A10, 0))="")=TRUE),  "",  INDEX(AC10, MATCH(T10,A10, 0))), "")</f>
      </c>
      <c r="AE10" s="4" t="b">
        <f>AND(((T10 &lt;&gt; "")=TRUE), ((AC10 &gt; AD10)=TRUE))</f>
        <v>0</v>
      </c>
      <c r="AF10" s="4" t="str">
        <f>IF(((O10)=TRUE),  C10,  "")</f>
      </c>
      <c r="AG10" s="8"/>
      <c r="AH10" s="4" t="str">
        <f>_xlfn.IFNA(IF(((INDEX(AA10, MATCH(T10,A10, 0))="")=TRUE),  "",  INDEX(AA10, MATCH(T10,A10, 0))), "")</f>
      </c>
      <c r="AI10" s="4" t="b">
        <f>AA10 &gt;= AG10</f>
        <v>1</v>
      </c>
      <c r="AJ10" s="4" t="b">
        <f>AH10 &gt;= AG10</f>
        <v>1</v>
      </c>
      <c r="AK10" s="4" t="b">
        <f>AND(((AI10)=TRUE), ((AJ10)=TRUE))</f>
        <v>1</v>
      </c>
      <c r="AL10" s="4">
        <f>IF(((AA10 &gt; 0)=TRUE),  100 / AA10,  0)</f>
        <v>0</v>
      </c>
      <c r="AM10" s="4" t="b">
        <f>AND(((NOT(((AK10)=TRUE)))=TRUE), ((NOT(((AE10)=TRUE)))=TRUE))</f>
        <v>0</v>
      </c>
      <c r="AN10" s="4" t="b">
        <f>AND(((V10)=TRUE), ((NOT(((AK10)=TRUE)))=TRUE))</f>
        <v>0</v>
      </c>
      <c r="AO10" s="4">
        <f>COUNTIFS(AgentDecisionRecords!AL2:AL4, A10)</f>
        <v>0</v>
      </c>
      <c r="AP10" s="4">
        <f>IF(((AA10 &gt; 0)=TRUE),  AO10 * 100 / AA10,  0)</f>
        <v>0</v>
      </c>
      <c r="AQ10" s="5"/>
      <c r="AR10" s="5"/>
      <c r="AS10" s="8"/>
      <c r="AT10" s="4" t="b">
        <f>AND(((W10 &lt;&gt; "")=TRUE), ((AQ10 &lt;&gt; "")=TRUE))</f>
        <v>0</v>
      </c>
      <c r="AU10" s="6">
        <f>IF((IF(((AR10 &lt;&gt; "")=TRUE),  IF(((OR((((J10)="")=TRUE), (((AR10)="")=TRUE)))=TRUE),  0,  (INT(J10) - INT(AR10))),  IF(((OR((((J10)="")=TRUE), (((E10)="")=TRUE)))=TRUE),  0,  (INT(J10) - INT(E10)))))="", "", ROUND((IF(((AR10 &lt;&gt; "")=TRUE),  IF(((OR((((J10)="")=TRUE), (((AR10)="")=TRUE)))=TRUE),  0,  (INT(J10) - INT(AR10))),  IF(((OR((((J10)="")=TRUE), (((E10)="")=TRUE)))=TRUE),  0,  (INT(J10) - INT(E10))))), 0))</f>
        <v>168</v>
      </c>
      <c r="AV10" s="4" t="b">
        <f>AND(((AS10 &gt; 0)=TRUE), ((AU10 &gt; AS10)=TRUE))</f>
        <v>0</v>
      </c>
      <c r="AW10" s="4" t="b">
        <f>AND(((P10)=TRUE), ((AND(((S10)=TRUE), ((AV10)=TRUE)))=TRUE))</f>
        <v>0</v>
      </c>
      <c r="AX10" s="4" t="b">
        <f>AND(((V10)=TRUE), ((AS10 = 0)=TRUE))</f>
        <v>0</v>
      </c>
      <c r="AY10" s="8"/>
      <c r="AZ10" s="4" t="b">
        <f>AND(((AY10 &gt; 0)=TRUE), ((AP10 &gt;= AY10)=TRUE))</f>
        <v>0</v>
      </c>
      <c r="BA10" s="4">
        <f>COUNTIFS(AgentDecisionRecords!AM2:AM4, A10)</f>
        <v>0</v>
      </c>
      <c r="BB10" s="4" t="b">
        <f>(BA10 &gt; 0)</f>
        <v>0</v>
      </c>
      <c r="BC10" s="4" t="b">
        <f>_xlfn.IFNA(IF(((INDEX(Roles!T2:T13, MATCH(C10,Roles!A2:A13, 0))="")=TRUE),  "",  INDEX(Roles!T2:T13, MATCH(C10,Roles!A2:A13, 0))), "")</f>
        <v>0</v>
      </c>
      <c r="BD10" s="4" t="b">
        <f>OR(((AZ10)=TRUE), ((OR(((BB10)=TRUE), ((BC10)=TRUE)))=TRUE))</f>
        <v>0</v>
      </c>
      <c r="BE10" s="4" t="b">
        <f>AND(((BD10)=TRUE), ((AND(((P10)=TRUE), ((S10)=TRUE)))=TRUE))</f>
        <v>0</v>
      </c>
      <c r="BF10" s="4" t="b">
        <f>AY10 &gt; 0</f>
        <v>0</v>
      </c>
      <c r="BG10" s="4" t="b">
        <f>W10 &lt;&gt; ""</f>
        <v>0</v>
      </c>
      <c r="BH10" s="4" t="b">
        <f>X10 &lt;&gt; ""</f>
        <v>0</v>
      </c>
      <c r="BI10" s="3"/>
      <c r="BJ10" s="4" t="b">
        <f>AND(((BI10)=TRUE), ((Y10)=TRUE))</f>
        <v>0</v>
      </c>
      <c r="BK10" s="6">
        <f>IF((IF(((BG10)=TRUE),  1,  0) + IF(((BH10)=TRUE),  1,  0))="", "", ROUND((IF(((BG10)=TRUE),  1,  0) + IF(((BH10)=TRUE),  1,  0)), 0))</f>
        <v>0</v>
      </c>
      <c r="BL10" s="4" t="str">
        <f>IF(((Y10)=TRUE),  C10,  "")</f>
      </c>
      <c r="BM10" s="3" t="s">
        <v>310</v>
      </c>
    </row>
    <row r="11">
      <c r="A11" s="3" t="s">
        <v>251</v>
      </c>
      <c r="B11" s="4" t="str">
        <f>C11 &amp; " @ " &amp; IF(((E11="")=TRUE),  "",  TEXT(E11, "yyyy-mm-dd\Thh:mm:ss")&amp;"+00:00")</f>
        <v>knowledge-authority @ 2026-01-01T06:00:00+00:00</v>
      </c>
      <c r="C11" s="3" t="s">
        <v>248</v>
      </c>
      <c r="D11" s="3" t="s">
        <v>149</v>
      </c>
      <c r="E11" s="5">
        <v>46023.25</v>
      </c>
      <c r="F11" s="5"/>
      <c r="G11" s="3" t="s">
        <v>321</v>
      </c>
      <c r="H11" s="3" t="s">
        <v>309</v>
      </c>
      <c r="I11" s="3" t="s">
        <v>95</v>
      </c>
      <c r="J11" s="7">
        <f>_xlfn.IFNA(IF(((INDEX(EvaluationContexts!D2:D2, MATCH(I11,EvaluationContexts!A2:A2, 0))="")=TRUE),  "",  INDEX(EvaluationContexts!D2:D2, MATCH(I11,EvaluationContexts!A2:A2, 0))), "")</f>
        <v>46222.75</v>
      </c>
      <c r="K11" s="4" t="b">
        <f>AND(((E11 &lt;= J11)=TRUE), ((OR(((F11 = "")=TRUE), ((F11 &gt; J11)=TRUE)))=TRUE))</f>
        <v>1</v>
      </c>
      <c r="L11" s="4" t="str">
        <f>IF(((K11)=TRUE),  D11,  "")</f>
        <v>priya-raman</v>
      </c>
      <c r="M11" s="4" t="b">
        <f>AND(((H11 = "Active")=TRUE), ((OR(((F11 = "")=TRUE), ((F11 &gt; J11)=TRUE)))=TRUE))</f>
        <v>1</v>
      </c>
      <c r="N11" s="4" t="str">
        <f>IF(((M11)=TRUE),  D11 &amp; "|" &amp; C11,  "")</f>
        <v>priya-raman|knowledge-authority</v>
      </c>
      <c r="O11" s="4" t="b">
        <f>AND(((F11 &lt;&gt; "")=TRUE), ((F11 &lt;= J11)=TRUE))</f>
        <v>0</v>
      </c>
      <c r="P11" s="4" t="b">
        <f>AND(((H11 = "Active")=TRUE), ((E11 &lt;= J11)=TRUE), ((OR(((F11 = "")=TRUE), ((F11 &gt; J11)=TRUE)))=TRUE))</f>
        <v>1</v>
      </c>
      <c r="Q11" s="4" t="str">
        <f>IF(((P11)=TRUE),  C11,  "")</f>
        <v>knowledge-authority</v>
      </c>
      <c r="R11" s="4" t="str">
        <f>_xlfn.IFNA(IF(((INDEX(Agents!D2:D12, MATCH(D11,Agents!A2:A12, 0))="")=TRUE),  "",  INDEX(Agents!D2:D12, MATCH(D11,Agents!A2:A12, 0))), "")</f>
        <v>Human</v>
      </c>
      <c r="S11" s="4" t="b">
        <f>NOT(((R11 = "Human")=TRUE))</f>
        <v>0</v>
      </c>
      <c r="T11" s="3"/>
      <c r="U11" s="4" t="str">
        <f>_xlfn.IFNA(IF(((INDEX(R11, MATCH(T11,A11, 0))="")=TRUE),  "",  INDEX(R11, MATCH(T11,A11, 0))), "")</f>
      </c>
      <c r="V11" s="4" t="b">
        <f>AND(((U11 = "Human")=TRUE), ((S11)=TRUE))</f>
        <v>0</v>
      </c>
      <c r="W11" s="3"/>
      <c r="X11" s="3"/>
      <c r="Y11" s="4" t="b">
        <f>AND(((S11)=TRUE), ((NOT(((BG11)=TRUE)))=TRUE))</f>
        <v>0</v>
      </c>
      <c r="Z11" s="4" t="b">
        <f>AND(((BG11)=TRUE), ((X11 &lt;&gt; "")=TRUE))</f>
        <v>0</v>
      </c>
      <c r="AA11" s="4">
        <f>COUNTIFS(AgentDecisionRecords!Q2:Q4, A11)</f>
        <v>0</v>
      </c>
      <c r="AB11" s="4">
        <f>COUNTIFS(AgentDecisionRecords!R2:R4, A11)</f>
        <v>0</v>
      </c>
      <c r="AC11" s="4">
        <f>IF(((AA11 = 0)=TRUE),  0,  (AB11 * 100) / AA11)</f>
        <v>0</v>
      </c>
      <c r="AD11" s="4" t="str">
        <f>_xlfn.IFNA(IF(((INDEX(AC11, MATCH(T11,A11, 0))="")=TRUE),  "",  INDEX(AC11, MATCH(T11,A11, 0))), "")</f>
      </c>
      <c r="AE11" s="4" t="b">
        <f>AND(((T11 &lt;&gt; "")=TRUE), ((AC11 &gt; AD11)=TRUE))</f>
        <v>0</v>
      </c>
      <c r="AF11" s="4" t="str">
        <f>IF(((O11)=TRUE),  C11,  "")</f>
      </c>
      <c r="AG11" s="8"/>
      <c r="AH11" s="4" t="str">
        <f>_xlfn.IFNA(IF(((INDEX(AA11, MATCH(T11,A11, 0))="")=TRUE),  "",  INDEX(AA11, MATCH(T11,A11, 0))), "")</f>
      </c>
      <c r="AI11" s="4" t="b">
        <f>AA11 &gt;= AG11</f>
        <v>1</v>
      </c>
      <c r="AJ11" s="4" t="b">
        <f>AH11 &gt;= AG11</f>
        <v>1</v>
      </c>
      <c r="AK11" s="4" t="b">
        <f>AND(((AI11)=TRUE), ((AJ11)=TRUE))</f>
        <v>1</v>
      </c>
      <c r="AL11" s="4">
        <f>IF(((AA11 &gt; 0)=TRUE),  100 / AA11,  0)</f>
        <v>0</v>
      </c>
      <c r="AM11" s="4" t="b">
        <f>AND(((NOT(((AK11)=TRUE)))=TRUE), ((NOT(((AE11)=TRUE)))=TRUE))</f>
        <v>0</v>
      </c>
      <c r="AN11" s="4" t="b">
        <f>AND(((V11)=TRUE), ((NOT(((AK11)=TRUE)))=TRUE))</f>
        <v>0</v>
      </c>
      <c r="AO11" s="4">
        <f>COUNTIFS(AgentDecisionRecords!AL2:AL4, A11)</f>
        <v>0</v>
      </c>
      <c r="AP11" s="4">
        <f>IF(((AA11 &gt; 0)=TRUE),  AO11 * 100 / AA11,  0)</f>
        <v>0</v>
      </c>
      <c r="AQ11" s="5"/>
      <c r="AR11" s="5"/>
      <c r="AS11" s="8"/>
      <c r="AT11" s="4" t="b">
        <f>AND(((W11 &lt;&gt; "")=TRUE), ((AQ11 &lt;&gt; "")=TRUE))</f>
        <v>0</v>
      </c>
      <c r="AU11" s="6">
        <f>IF((IF(((AR11 &lt;&gt; "")=TRUE),  IF(((OR((((J11)="")=TRUE), (((AR11)="")=TRUE)))=TRUE),  0,  (INT(J11) - INT(AR11))),  IF(((OR((((J11)="")=TRUE), (((E11)="")=TRUE)))=TRUE),  0,  (INT(J11) - INT(E11)))))="", "", ROUND((IF(((AR11 &lt;&gt; "")=TRUE),  IF(((OR((((J11)="")=TRUE), (((AR11)="")=TRUE)))=TRUE),  0,  (INT(J11) - INT(AR11))),  IF(((OR((((J11)="")=TRUE), (((E11)="")=TRUE)))=TRUE),  0,  (INT(J11) - INT(E11))))), 0))</f>
        <v>199</v>
      </c>
      <c r="AV11" s="4" t="b">
        <f>AND(((AS11 &gt; 0)=TRUE), ((AU11 &gt; AS11)=TRUE))</f>
        <v>0</v>
      </c>
      <c r="AW11" s="4" t="b">
        <f>AND(((P11)=TRUE), ((AND(((S11)=TRUE), ((AV11)=TRUE)))=TRUE))</f>
        <v>0</v>
      </c>
      <c r="AX11" s="4" t="b">
        <f>AND(((V11)=TRUE), ((AS11 = 0)=TRUE))</f>
        <v>0</v>
      </c>
      <c r="AY11" s="8"/>
      <c r="AZ11" s="4" t="b">
        <f>AND(((AY11 &gt; 0)=TRUE), ((AP11 &gt;= AY11)=TRUE))</f>
        <v>0</v>
      </c>
      <c r="BA11" s="4">
        <f>COUNTIFS(AgentDecisionRecords!AM2:AM4, A11)</f>
        <v>0</v>
      </c>
      <c r="BB11" s="4" t="b">
        <f>(BA11 &gt; 0)</f>
        <v>0</v>
      </c>
      <c r="BC11" s="4" t="b">
        <f>_xlfn.IFNA(IF(((INDEX(Roles!T2:T13, MATCH(C11,Roles!A2:A13, 0))="")=TRUE),  "",  INDEX(Roles!T2:T13, MATCH(C11,Roles!A2:A13, 0))), "")</f>
        <v>0</v>
      </c>
      <c r="BD11" s="4" t="b">
        <f>OR(((AZ11)=TRUE), ((OR(((BB11)=TRUE), ((BC11)=TRUE)))=TRUE))</f>
        <v>0</v>
      </c>
      <c r="BE11" s="4" t="b">
        <f>AND(((BD11)=TRUE), ((AND(((P11)=TRUE), ((S11)=TRUE)))=TRUE))</f>
        <v>0</v>
      </c>
      <c r="BF11" s="4" t="b">
        <f>AY11 &gt; 0</f>
        <v>0</v>
      </c>
      <c r="BG11" s="4" t="b">
        <f>W11 &lt;&gt; ""</f>
        <v>0</v>
      </c>
      <c r="BH11" s="4" t="b">
        <f>X11 &lt;&gt; ""</f>
        <v>0</v>
      </c>
      <c r="BI11" s="3"/>
      <c r="BJ11" s="4" t="b">
        <f>AND(((BI11)=TRUE), ((Y11)=TRUE))</f>
        <v>0</v>
      </c>
      <c r="BK11" s="6">
        <f>IF((IF(((BG11)=TRUE),  1,  0) + IF(((BH11)=TRUE),  1,  0))="", "", ROUND((IF(((BG11)=TRUE),  1,  0) + IF(((BH11)=TRUE),  1,  0)), 0))</f>
        <v>0</v>
      </c>
      <c r="BL11" s="4" t="str">
        <f>IF(((Y11)=TRUE),  C11,  "")</f>
      </c>
      <c r="BM11" s="3" t="s">
        <v>310</v>
      </c>
    </row>
    <row r="12">
      <c r="A12" s="3" t="s">
        <v>247</v>
      </c>
      <c r="B12" s="4" t="str">
        <f>C12 &amp; " @ " &amp; IF(((E12="")=TRUE),  "",  TEXT(E12, "yyyy-mm-dd\Thh:mm:ss")&amp;"+00:00")</f>
        <v>process-steward @ 2026-04-15T14:00:00+00:00</v>
      </c>
      <c r="C12" s="3" t="s">
        <v>244</v>
      </c>
      <c r="D12" s="3" t="s">
        <v>153</v>
      </c>
      <c r="E12" s="5">
        <v>46127.583333333336</v>
      </c>
      <c r="F12" s="5"/>
      <c r="G12" s="3" t="s">
        <v>322</v>
      </c>
      <c r="H12" s="3" t="s">
        <v>309</v>
      </c>
      <c r="I12" s="3" t="s">
        <v>95</v>
      </c>
      <c r="J12" s="7">
        <f>_xlfn.IFNA(IF(((INDEX(EvaluationContexts!D2:D2, MATCH(I12,EvaluationContexts!A2:A2, 0))="")=TRUE),  "",  INDEX(EvaluationContexts!D2:D2, MATCH(I12,EvaluationContexts!A2:A2, 0))), "")</f>
        <v>46222.75</v>
      </c>
      <c r="K12" s="4" t="b">
        <f>AND(((E12 &lt;= J12)=TRUE), ((OR(((F12 = "")=TRUE), ((F12 &gt; J12)=TRUE)))=TRUE))</f>
        <v>1</v>
      </c>
      <c r="L12" s="4" t="str">
        <f>IF(((K12)=TRUE),  D12,  "")</f>
        <v>elena-garcia</v>
      </c>
      <c r="M12" s="4" t="b">
        <f>AND(((H12 = "Active")=TRUE), ((OR(((F12 = "")=TRUE), ((F12 &gt; J12)=TRUE)))=TRUE))</f>
        <v>1</v>
      </c>
      <c r="N12" s="4" t="str">
        <f>IF(((M12)=TRUE),  D12 &amp; "|" &amp; C12,  "")</f>
        <v>elena-garcia|process-steward</v>
      </c>
      <c r="O12" s="4" t="b">
        <f>AND(((F12 &lt;&gt; "")=TRUE), ((F12 &lt;= J12)=TRUE))</f>
        <v>0</v>
      </c>
      <c r="P12" s="4" t="b">
        <f>AND(((H12 = "Active")=TRUE), ((E12 &lt;= J12)=TRUE), ((OR(((F12 = "")=TRUE), ((F12 &gt; J12)=TRUE)))=TRUE))</f>
        <v>1</v>
      </c>
      <c r="Q12" s="4" t="str">
        <f>IF(((P12)=TRUE),  C12,  "")</f>
        <v>process-steward</v>
      </c>
      <c r="R12" s="4" t="str">
        <f>_xlfn.IFNA(IF(((INDEX(Agents!D2:D12, MATCH(D12,Agents!A2:A12, 0))="")=TRUE),  "",  INDEX(Agents!D2:D12, MATCH(D12,Agents!A2:A12, 0))), "")</f>
        <v>Human</v>
      </c>
      <c r="S12" s="4" t="b">
        <f>NOT(((R12 = "Human")=TRUE))</f>
        <v>0</v>
      </c>
      <c r="T12" s="3"/>
      <c r="U12" s="4" t="str">
        <f>_xlfn.IFNA(IF(((INDEX(R12, MATCH(T12,A12, 0))="")=TRUE),  "",  INDEX(R12, MATCH(T12,A12, 0))), "")</f>
      </c>
      <c r="V12" s="4" t="b">
        <f>AND(((U12 = "Human")=TRUE), ((S12)=TRUE))</f>
        <v>0</v>
      </c>
      <c r="W12" s="3"/>
      <c r="X12" s="3"/>
      <c r="Y12" s="4" t="b">
        <f>AND(((S12)=TRUE), ((NOT(((BG12)=TRUE)))=TRUE))</f>
        <v>0</v>
      </c>
      <c r="Z12" s="4" t="b">
        <f>AND(((BG12)=TRUE), ((X12 &lt;&gt; "")=TRUE))</f>
        <v>0</v>
      </c>
      <c r="AA12" s="4">
        <f>COUNTIFS(AgentDecisionRecords!Q2:Q4, A12)</f>
        <v>0</v>
      </c>
      <c r="AB12" s="4">
        <f>COUNTIFS(AgentDecisionRecords!R2:R4, A12)</f>
        <v>0</v>
      </c>
      <c r="AC12" s="4">
        <f>IF(((AA12 = 0)=TRUE),  0,  (AB12 * 100) / AA12)</f>
        <v>0</v>
      </c>
      <c r="AD12" s="4" t="str">
        <f>_xlfn.IFNA(IF(((INDEX(AC12, MATCH(T12,A12, 0))="")=TRUE),  "",  INDEX(AC12, MATCH(T12,A12, 0))), "")</f>
      </c>
      <c r="AE12" s="4" t="b">
        <f>AND(((T12 &lt;&gt; "")=TRUE), ((AC12 &gt; AD12)=TRUE))</f>
        <v>0</v>
      </c>
      <c r="AF12" s="4" t="str">
        <f>IF(((O12)=TRUE),  C12,  "")</f>
      </c>
      <c r="AG12" s="8"/>
      <c r="AH12" s="4" t="str">
        <f>_xlfn.IFNA(IF(((INDEX(AA12, MATCH(T12,A12, 0))="")=TRUE),  "",  INDEX(AA12, MATCH(T12,A12, 0))), "")</f>
      </c>
      <c r="AI12" s="4" t="b">
        <f>AA12 &gt;= AG12</f>
        <v>1</v>
      </c>
      <c r="AJ12" s="4" t="b">
        <f>AH12 &gt;= AG12</f>
        <v>1</v>
      </c>
      <c r="AK12" s="4" t="b">
        <f>AND(((AI12)=TRUE), ((AJ12)=TRUE))</f>
        <v>1</v>
      </c>
      <c r="AL12" s="4">
        <f>IF(((AA12 &gt; 0)=TRUE),  100 / AA12,  0)</f>
        <v>0</v>
      </c>
      <c r="AM12" s="4" t="b">
        <f>AND(((NOT(((AK12)=TRUE)))=TRUE), ((NOT(((AE12)=TRUE)))=TRUE))</f>
        <v>0</v>
      </c>
      <c r="AN12" s="4" t="b">
        <f>AND(((V12)=TRUE), ((NOT(((AK12)=TRUE)))=TRUE))</f>
        <v>0</v>
      </c>
      <c r="AO12" s="4">
        <f>COUNTIFS(AgentDecisionRecords!AL2:AL4, A12)</f>
        <v>0</v>
      </c>
      <c r="AP12" s="4">
        <f>IF(((AA12 &gt; 0)=TRUE),  AO12 * 100 / AA12,  0)</f>
        <v>0</v>
      </c>
      <c r="AQ12" s="5"/>
      <c r="AR12" s="5"/>
      <c r="AS12" s="8"/>
      <c r="AT12" s="4" t="b">
        <f>AND(((W12 &lt;&gt; "")=TRUE), ((AQ12 &lt;&gt; "")=TRUE))</f>
        <v>0</v>
      </c>
      <c r="AU12" s="6">
        <f>IF((IF(((AR12 &lt;&gt; "")=TRUE),  IF(((OR((((J12)="")=TRUE), (((AR12)="")=TRUE)))=TRUE),  0,  (INT(J12) - INT(AR12))),  IF(((OR((((J12)="")=TRUE), (((E12)="")=TRUE)))=TRUE),  0,  (INT(J12) - INT(E12)))))="", "", ROUND((IF(((AR12 &lt;&gt; "")=TRUE),  IF(((OR((((J12)="")=TRUE), (((AR12)="")=TRUE)))=TRUE),  0,  (INT(J12) - INT(AR12))),  IF(((OR((((J12)="")=TRUE), (((E12)="")=TRUE)))=TRUE),  0,  (INT(J12) - INT(E12))))), 0))</f>
        <v>95</v>
      </c>
      <c r="AV12" s="4" t="b">
        <f>AND(((AS12 &gt; 0)=TRUE), ((AU12 &gt; AS12)=TRUE))</f>
        <v>0</v>
      </c>
      <c r="AW12" s="4" t="b">
        <f>AND(((P12)=TRUE), ((AND(((S12)=TRUE), ((AV12)=TRUE)))=TRUE))</f>
        <v>0</v>
      </c>
      <c r="AX12" s="4" t="b">
        <f>AND(((V12)=TRUE), ((AS12 = 0)=TRUE))</f>
        <v>0</v>
      </c>
      <c r="AY12" s="8"/>
      <c r="AZ12" s="4" t="b">
        <f>AND(((AY12 &gt; 0)=TRUE), ((AP12 &gt;= AY12)=TRUE))</f>
        <v>0</v>
      </c>
      <c r="BA12" s="4">
        <f>COUNTIFS(AgentDecisionRecords!AM2:AM4, A12)</f>
        <v>0</v>
      </c>
      <c r="BB12" s="4" t="b">
        <f>(BA12 &gt; 0)</f>
        <v>0</v>
      </c>
      <c r="BC12" s="4" t="b">
        <f>_xlfn.IFNA(IF(((INDEX(Roles!T2:T13, MATCH(C12,Roles!A2:A13, 0))="")=TRUE),  "",  INDEX(Roles!T2:T13, MATCH(C12,Roles!A2:A13, 0))), "")</f>
        <v>0</v>
      </c>
      <c r="BD12" s="4" t="b">
        <f>OR(((AZ12)=TRUE), ((OR(((BB12)=TRUE), ((BC12)=TRUE)))=TRUE))</f>
        <v>0</v>
      </c>
      <c r="BE12" s="4" t="b">
        <f>AND(((BD12)=TRUE), ((AND(((P12)=TRUE), ((S12)=TRUE)))=TRUE))</f>
        <v>0</v>
      </c>
      <c r="BF12" s="4" t="b">
        <f>AY12 &gt; 0</f>
        <v>0</v>
      </c>
      <c r="BG12" s="4" t="b">
        <f>W12 &lt;&gt; ""</f>
        <v>0</v>
      </c>
      <c r="BH12" s="4" t="b">
        <f>X12 &lt;&gt; ""</f>
        <v>0</v>
      </c>
      <c r="BI12" s="3"/>
      <c r="BJ12" s="4" t="b">
        <f>AND(((BI12)=TRUE), ((Y12)=TRUE))</f>
        <v>0</v>
      </c>
      <c r="BK12" s="6">
        <f>IF((IF(((BG12)=TRUE),  1,  0) + IF(((BH12)=TRUE),  1,  0))="", "", ROUND((IF(((BG12)=TRUE),  1,  0) + IF(((BH12)=TRUE),  1,  0)), 0))</f>
        <v>0</v>
      </c>
      <c r="BL12" s="4" t="str">
        <f>IF(((Y12)=TRUE),  C12,  "")</f>
      </c>
      <c r="BM12" s="3" t="s">
        <v>310</v>
      </c>
    </row>
    <row r="13">
      <c r="A13" s="3" t="s">
        <v>231</v>
      </c>
      <c r="B13" s="4" t="str">
        <f>C13 &amp; " @ " &amp; IF(((E13="")=TRUE),  "",  TEXT(E13, "yyyy-mm-dd\Thh:mm:ss")&amp;"+00:00")</f>
        <v>close-automation @ 2026-01-01T06:00:00+00:00</v>
      </c>
      <c r="C13" s="3" t="s">
        <v>228</v>
      </c>
      <c r="D13" s="3" t="s">
        <v>165</v>
      </c>
      <c r="E13" s="5">
        <v>46023.25</v>
      </c>
      <c r="F13" s="5"/>
      <c r="G13" s="3" t="s">
        <v>323</v>
      </c>
      <c r="H13" s="3" t="s">
        <v>309</v>
      </c>
      <c r="I13" s="3" t="s">
        <v>95</v>
      </c>
      <c r="J13" s="7">
        <f>_xlfn.IFNA(IF(((INDEX(EvaluationContexts!D2:D2, MATCH(I13,EvaluationContexts!A2:A2, 0))="")=TRUE),  "",  INDEX(EvaluationContexts!D2:D2, MATCH(I13,EvaluationContexts!A2:A2, 0))), "")</f>
        <v>46222.75</v>
      </c>
      <c r="K13" s="4" t="b">
        <f>AND(((E13 &lt;= J13)=TRUE), ((OR(((F13 = "")=TRUE), ((F13 &gt; J13)=TRUE)))=TRUE))</f>
        <v>1</v>
      </c>
      <c r="L13" s="4" t="str">
        <f>IF(((K13)=TRUE),  D13,  "")</f>
        <v>close-pipeline</v>
      </c>
      <c r="M13" s="4" t="b">
        <f>AND(((H13 = "Active")=TRUE), ((OR(((F13 = "")=TRUE), ((F13 &gt; J13)=TRUE)))=TRUE))</f>
        <v>1</v>
      </c>
      <c r="N13" s="4" t="str">
        <f>IF(((M13)=TRUE),  D13 &amp; "|" &amp; C13,  "")</f>
        <v>close-pipeline|close-automation</v>
      </c>
      <c r="O13" s="4" t="b">
        <f>AND(((F13 &lt;&gt; "")=TRUE), ((F13 &lt;= J13)=TRUE))</f>
        <v>0</v>
      </c>
      <c r="P13" s="4" t="b">
        <f>AND(((H13 = "Active")=TRUE), ((E13 &lt;= J13)=TRUE), ((OR(((F13 = "")=TRUE), ((F13 &gt; J13)=TRUE)))=TRUE))</f>
        <v>1</v>
      </c>
      <c r="Q13" s="4" t="str">
        <f>IF(((P13)=TRUE),  C13,  "")</f>
        <v>close-automation</v>
      </c>
      <c r="R13" s="4" t="str">
        <f>_xlfn.IFNA(IF(((INDEX(Agents!D2:D12, MATCH(D13,Agents!A2:A12, 0))="")=TRUE),  "",  INDEX(Agents!D2:D12, MATCH(D13,Agents!A2:A12, 0))), "")</f>
        <v>AutomatedPipeline</v>
      </c>
      <c r="S13" s="4" t="b">
        <f>NOT(((R13 = "Human")=TRUE))</f>
        <v>1</v>
      </c>
      <c r="T13" s="3"/>
      <c r="U13" s="4" t="str">
        <f>_xlfn.IFNA(IF(((INDEX(R13, MATCH(T13,A13, 0))="")=TRUE),  "",  INDEX(R13, MATCH(T13,A13, 0))), "")</f>
      </c>
      <c r="V13" s="4" t="b">
        <f>AND(((U13 = "Human")=TRUE), ((S13)=TRUE))</f>
        <v>0</v>
      </c>
      <c r="W13" s="3"/>
      <c r="X13" s="3"/>
      <c r="Y13" s="4" t="b">
        <f>AND(((S13)=TRUE), ((NOT(((BG13)=TRUE)))=TRUE))</f>
        <v>1</v>
      </c>
      <c r="Z13" s="4" t="b">
        <f>AND(((BG13)=TRUE), ((X13 &lt;&gt; "")=TRUE))</f>
        <v>0</v>
      </c>
      <c r="AA13" s="4">
        <f>COUNTIFS(AgentDecisionRecords!Q2:Q4, A13)</f>
        <v>0</v>
      </c>
      <c r="AB13" s="4">
        <f>COUNTIFS(AgentDecisionRecords!R2:R4, A13)</f>
        <v>0</v>
      </c>
      <c r="AC13" s="4">
        <f>IF(((AA13 = 0)=TRUE),  0,  (AB13 * 100) / AA13)</f>
        <v>0</v>
      </c>
      <c r="AD13" s="4" t="str">
        <f>_xlfn.IFNA(IF(((INDEX(AC13, MATCH(T13,A13, 0))="")=TRUE),  "",  INDEX(AC13, MATCH(T13,A13, 0))), "")</f>
      </c>
      <c r="AE13" s="4" t="b">
        <f>AND(((T13 &lt;&gt; "")=TRUE), ((AC13 &gt; AD13)=TRUE))</f>
        <v>0</v>
      </c>
      <c r="AF13" s="4" t="str">
        <f>IF(((O13)=TRUE),  C13,  "")</f>
      </c>
      <c r="AG13" s="8"/>
      <c r="AH13" s="4" t="str">
        <f>_xlfn.IFNA(IF(((INDEX(AA13, MATCH(T13,A13, 0))="")=TRUE),  "",  INDEX(AA13, MATCH(T13,A13, 0))), "")</f>
      </c>
      <c r="AI13" s="4" t="b">
        <f>AA13 &gt;= AG13</f>
        <v>1</v>
      </c>
      <c r="AJ13" s="4" t="b">
        <f>AH13 &gt;= AG13</f>
        <v>1</v>
      </c>
      <c r="AK13" s="4" t="b">
        <f>AND(((AI13)=TRUE), ((AJ13)=TRUE))</f>
        <v>1</v>
      </c>
      <c r="AL13" s="4">
        <f>IF(((AA13 &gt; 0)=TRUE),  100 / AA13,  0)</f>
        <v>0</v>
      </c>
      <c r="AM13" s="4" t="b">
        <f>AND(((NOT(((AK13)=TRUE)))=TRUE), ((NOT(((AE13)=TRUE)))=TRUE))</f>
        <v>0</v>
      </c>
      <c r="AN13" s="4" t="b">
        <f>AND(((V13)=TRUE), ((NOT(((AK13)=TRUE)))=TRUE))</f>
        <v>0</v>
      </c>
      <c r="AO13" s="4">
        <f>COUNTIFS(AgentDecisionRecords!AL2:AL4, A13)</f>
        <v>0</v>
      </c>
      <c r="AP13" s="4">
        <f>IF(((AA13 &gt; 0)=TRUE),  AO13 * 100 / AA13,  0)</f>
        <v>0</v>
      </c>
      <c r="AQ13" s="5"/>
      <c r="AR13" s="5"/>
      <c r="AS13" s="8"/>
      <c r="AT13" s="4" t="b">
        <f>AND(((W13 &lt;&gt; "")=TRUE), ((AQ13 &lt;&gt; "")=TRUE))</f>
        <v>0</v>
      </c>
      <c r="AU13" s="6">
        <f>IF((IF(((AR13 &lt;&gt; "")=TRUE),  IF(((OR((((J13)="")=TRUE), (((AR13)="")=TRUE)))=TRUE),  0,  (INT(J13) - INT(AR13))),  IF(((OR((((J13)="")=TRUE), (((E13)="")=TRUE)))=TRUE),  0,  (INT(J13) - INT(E13)))))="", "", ROUND((IF(((AR13 &lt;&gt; "")=TRUE),  IF(((OR((((J13)="")=TRUE), (((AR13)="")=TRUE)))=TRUE),  0,  (INT(J13) - INT(AR13))),  IF(((OR((((J13)="")=TRUE), (((E13)="")=TRUE)))=TRUE),  0,  (INT(J13) - INT(E13))))), 0))</f>
        <v>199</v>
      </c>
      <c r="AV13" s="4" t="b">
        <f>AND(((AS13 &gt; 0)=TRUE), ((AU13 &gt; AS13)=TRUE))</f>
        <v>0</v>
      </c>
      <c r="AW13" s="4" t="b">
        <f>AND(((P13)=TRUE), ((AND(((S13)=TRUE), ((AV13)=TRUE)))=TRUE))</f>
        <v>0</v>
      </c>
      <c r="AX13" s="4" t="b">
        <f>AND(((V13)=TRUE), ((AS13 = 0)=TRUE))</f>
        <v>0</v>
      </c>
      <c r="AY13" s="8"/>
      <c r="AZ13" s="4" t="b">
        <f>AND(((AY13 &gt; 0)=TRUE), ((AP13 &gt;= AY13)=TRUE))</f>
        <v>0</v>
      </c>
      <c r="BA13" s="4">
        <f>COUNTIFS(AgentDecisionRecords!AM2:AM4, A13)</f>
        <v>0</v>
      </c>
      <c r="BB13" s="4" t="b">
        <f>(BA13 &gt; 0)</f>
        <v>0</v>
      </c>
      <c r="BC13" s="4" t="b">
        <f>_xlfn.IFNA(IF(((INDEX(Roles!T2:T13, MATCH(C13,Roles!A2:A13, 0))="")=TRUE),  "",  INDEX(Roles!T2:T13, MATCH(C13,Roles!A2:A13, 0))), "")</f>
        <v>0</v>
      </c>
      <c r="BD13" s="4" t="b">
        <f>OR(((AZ13)=TRUE), ((OR(((BB13)=TRUE), ((BC13)=TRUE)))=TRUE))</f>
        <v>0</v>
      </c>
      <c r="BE13" s="4" t="b">
        <f>AND(((BD13)=TRUE), ((AND(((P13)=TRUE), ((S13)=TRUE)))=TRUE))</f>
        <v>0</v>
      </c>
      <c r="BF13" s="4" t="b">
        <f>AY13 &gt; 0</f>
        <v>0</v>
      </c>
      <c r="BG13" s="4" t="b">
        <f>W13 &lt;&gt; ""</f>
        <v>0</v>
      </c>
      <c r="BH13" s="4" t="b">
        <f>X13 &lt;&gt; ""</f>
        <v>0</v>
      </c>
      <c r="BI13" s="3"/>
      <c r="BJ13" s="4" t="b">
        <f>AND(((BI13)=TRUE), ((Y13)=TRUE))</f>
        <v>0</v>
      </c>
      <c r="BK13" s="6">
        <f>IF((IF(((BG13)=TRUE),  1,  0) + IF(((BH13)=TRUE),  1,  0))="", "", ROUND((IF(((BG13)=TRUE),  1,  0) + IF(((BH13)=TRUE),  1,  0)), 0))</f>
        <v>0</v>
      </c>
      <c r="BL13" s="4" t="str">
        <f>IF(((Y13)=TRUE),  C13,  "")</f>
        <v>close-automation</v>
      </c>
      <c r="BM13" s="3" t="s">
        <v>310</v>
      </c>
    </row>
    <row r="14">
      <c r="A14" s="3" t="s">
        <v>239</v>
      </c>
      <c r="B14" s="4" t="str">
        <f>C14 &amp; " @ " &amp; IF(((E14="")=TRUE),  "",  TEXT(E14, "yyyy-mm-dd\Thh:mm:ss")&amp;"+00:00")</f>
        <v>policy-drafting-agent @ 2026-05-01T05:00:00+00:00</v>
      </c>
      <c r="C14" s="3" t="s">
        <v>236</v>
      </c>
      <c r="D14" s="3" t="s">
        <v>175</v>
      </c>
      <c r="E14" s="5">
        <v>46143.208333333336</v>
      </c>
      <c r="F14" s="5"/>
      <c r="G14" s="3" t="s">
        <v>324</v>
      </c>
      <c r="H14" s="3" t="s">
        <v>309</v>
      </c>
      <c r="I14" s="3" t="s">
        <v>95</v>
      </c>
      <c r="J14" s="7">
        <f>_xlfn.IFNA(IF(((INDEX(EvaluationContexts!D2:D2, MATCH(I14,EvaluationContexts!A2:A2, 0))="")=TRUE),  "",  INDEX(EvaluationContexts!D2:D2, MATCH(I14,EvaluationContexts!A2:A2, 0))), "")</f>
        <v>46222.75</v>
      </c>
      <c r="K14" s="4" t="b">
        <f>AND(((E14 &lt;= J14)=TRUE), ((OR(((F14 = "")=TRUE), ((F14 &gt; J14)=TRUE)))=TRUE))</f>
        <v>1</v>
      </c>
      <c r="L14" s="4" t="str">
        <f>IF(((K14)=TRUE),  D14,  "")</f>
        <v>policy-drafting-ai</v>
      </c>
      <c r="M14" s="4" t="b">
        <f>AND(((H14 = "Active")=TRUE), ((OR(((F14 = "")=TRUE), ((F14 &gt; J14)=TRUE)))=TRUE))</f>
        <v>1</v>
      </c>
      <c r="N14" s="4" t="str">
        <f>IF(((M14)=TRUE),  D14 &amp; "|" &amp; C14,  "")</f>
        <v>policy-drafting-ai|policy-drafting-agent</v>
      </c>
      <c r="O14" s="4" t="b">
        <f>AND(((F14 &lt;&gt; "")=TRUE), ((F14 &lt;= J14)=TRUE))</f>
        <v>0</v>
      </c>
      <c r="P14" s="4" t="b">
        <f>AND(((H14 = "Active")=TRUE), ((E14 &lt;= J14)=TRUE), ((OR(((F14 = "")=TRUE), ((F14 &gt; J14)=TRUE)))=TRUE))</f>
        <v>1</v>
      </c>
      <c r="Q14" s="4" t="str">
        <f>IF(((P14)=TRUE),  C14,  "")</f>
        <v>policy-drafting-agent</v>
      </c>
      <c r="R14" s="4" t="str">
        <f>_xlfn.IFNA(IF(((INDEX(Agents!D2:D12, MATCH(D14,Agents!A2:A12, 0))="")=TRUE),  "",  INDEX(Agents!D2:D12, MATCH(D14,Agents!A2:A12, 0))), "")</f>
        <v>AIAgent</v>
      </c>
      <c r="S14" s="4" t="b">
        <f>NOT(((R14 = "Human")=TRUE))</f>
        <v>1</v>
      </c>
      <c r="T14" s="3"/>
      <c r="U14" s="4" t="str">
        <f>_xlfn.IFNA(IF(((INDEX(R14, MATCH(T14,A14, 0))="")=TRUE),  "",  INDEX(R14, MATCH(T14,A14, 0))), "")</f>
      </c>
      <c r="V14" s="4" t="b">
        <f>AND(((U14 = "Human")=TRUE), ((S14)=TRUE))</f>
        <v>0</v>
      </c>
      <c r="W14" s="3"/>
      <c r="X14" s="3"/>
      <c r="Y14" s="4" t="b">
        <f>AND(((S14)=TRUE), ((NOT(((BG14)=TRUE)))=TRUE))</f>
        <v>1</v>
      </c>
      <c r="Z14" s="4" t="b">
        <f>AND(((BG14)=TRUE), ((X14 &lt;&gt; "")=TRUE))</f>
        <v>0</v>
      </c>
      <c r="AA14" s="4">
        <f>COUNTIFS(AgentDecisionRecords!Q2:Q4, A14)</f>
        <v>0</v>
      </c>
      <c r="AB14" s="4">
        <f>COUNTIFS(AgentDecisionRecords!R2:R4, A14)</f>
        <v>0</v>
      </c>
      <c r="AC14" s="4">
        <f>IF(((AA14 = 0)=TRUE),  0,  (AB14 * 100) / AA14)</f>
        <v>0</v>
      </c>
      <c r="AD14" s="4" t="str">
        <f>_xlfn.IFNA(IF(((INDEX(AC14, MATCH(T14,A14, 0))="")=TRUE),  "",  INDEX(AC14, MATCH(T14,A14, 0))), "")</f>
      </c>
      <c r="AE14" s="4" t="b">
        <f>AND(((T14 &lt;&gt; "")=TRUE), ((AC14 &gt; AD14)=TRUE))</f>
        <v>0</v>
      </c>
      <c r="AF14" s="4" t="str">
        <f>IF(((O14)=TRUE),  C14,  "")</f>
      </c>
      <c r="AG14" s="8"/>
      <c r="AH14" s="4" t="str">
        <f>_xlfn.IFNA(IF(((INDEX(AA14, MATCH(T14,A14, 0))="")=TRUE),  "",  INDEX(AA14, MATCH(T14,A14, 0))), "")</f>
      </c>
      <c r="AI14" s="4" t="b">
        <f>AA14 &gt;= AG14</f>
        <v>1</v>
      </c>
      <c r="AJ14" s="4" t="b">
        <f>AH14 &gt;= AG14</f>
        <v>1</v>
      </c>
      <c r="AK14" s="4" t="b">
        <f>AND(((AI14)=TRUE), ((AJ14)=TRUE))</f>
        <v>1</v>
      </c>
      <c r="AL14" s="4">
        <f>IF(((AA14 &gt; 0)=TRUE),  100 / AA14,  0)</f>
        <v>0</v>
      </c>
      <c r="AM14" s="4" t="b">
        <f>AND(((NOT(((AK14)=TRUE)))=TRUE), ((NOT(((AE14)=TRUE)))=TRUE))</f>
        <v>0</v>
      </c>
      <c r="AN14" s="4" t="b">
        <f>AND(((V14)=TRUE), ((NOT(((AK14)=TRUE)))=TRUE))</f>
        <v>0</v>
      </c>
      <c r="AO14" s="4">
        <f>COUNTIFS(AgentDecisionRecords!AL2:AL4, A14)</f>
        <v>0</v>
      </c>
      <c r="AP14" s="4">
        <f>IF(((AA14 &gt; 0)=TRUE),  AO14 * 100 / AA14,  0)</f>
        <v>0</v>
      </c>
      <c r="AQ14" s="5"/>
      <c r="AR14" s="5"/>
      <c r="AS14" s="8"/>
      <c r="AT14" s="4" t="b">
        <f>AND(((W14 &lt;&gt; "")=TRUE), ((AQ14 &lt;&gt; "")=TRUE))</f>
        <v>0</v>
      </c>
      <c r="AU14" s="6">
        <f>IF((IF(((AR14 &lt;&gt; "")=TRUE),  IF(((OR((((J14)="")=TRUE), (((AR14)="")=TRUE)))=TRUE),  0,  (INT(J14) - INT(AR14))),  IF(((OR((((J14)="")=TRUE), (((E14)="")=TRUE)))=TRUE),  0,  (INT(J14) - INT(E14)))))="", "", ROUND((IF(((AR14 &lt;&gt; "")=TRUE),  IF(((OR((((J14)="")=TRUE), (((AR14)="")=TRUE)))=TRUE),  0,  (INT(J14) - INT(AR14))),  IF(((OR((((J14)="")=TRUE), (((E14)="")=TRUE)))=TRUE),  0,  (INT(J14) - INT(E14))))), 0))</f>
        <v>79</v>
      </c>
      <c r="AV14" s="4" t="b">
        <f>AND(((AS14 &gt; 0)=TRUE), ((AU14 &gt; AS14)=TRUE))</f>
        <v>0</v>
      </c>
      <c r="AW14" s="4" t="b">
        <f>AND(((P14)=TRUE), ((AND(((S14)=TRUE), ((AV14)=TRUE)))=TRUE))</f>
        <v>0</v>
      </c>
      <c r="AX14" s="4" t="b">
        <f>AND(((V14)=TRUE), ((AS14 = 0)=TRUE))</f>
        <v>0</v>
      </c>
      <c r="AY14" s="8"/>
      <c r="AZ14" s="4" t="b">
        <f>AND(((AY14 &gt; 0)=TRUE), ((AP14 &gt;= AY14)=TRUE))</f>
        <v>0</v>
      </c>
      <c r="BA14" s="4">
        <f>COUNTIFS(AgentDecisionRecords!AM2:AM4, A14)</f>
        <v>0</v>
      </c>
      <c r="BB14" s="4" t="b">
        <f>(BA14 &gt; 0)</f>
        <v>0</v>
      </c>
      <c r="BC14" s="4" t="b">
        <f>_xlfn.IFNA(IF(((INDEX(Roles!T2:T13, MATCH(C14,Roles!A2:A13, 0))="")=TRUE),  "",  INDEX(Roles!T2:T13, MATCH(C14,Roles!A2:A13, 0))), "")</f>
        <v>0</v>
      </c>
      <c r="BD14" s="4" t="b">
        <f>OR(((AZ14)=TRUE), ((OR(((BB14)=TRUE), ((BC14)=TRUE)))=TRUE))</f>
        <v>0</v>
      </c>
      <c r="BE14" s="4" t="b">
        <f>AND(((BD14)=TRUE), ((AND(((P14)=TRUE), ((S14)=TRUE)))=TRUE))</f>
        <v>0</v>
      </c>
      <c r="BF14" s="4" t="b">
        <f>AY14 &gt; 0</f>
        <v>0</v>
      </c>
      <c r="BG14" s="4" t="b">
        <f>W14 &lt;&gt; ""</f>
        <v>0</v>
      </c>
      <c r="BH14" s="4" t="b">
        <f>X14 &lt;&gt; ""</f>
        <v>0</v>
      </c>
      <c r="BI14" s="3"/>
      <c r="BJ14" s="4" t="b">
        <f>AND(((BI14)=TRUE), ((Y14)=TRUE))</f>
        <v>0</v>
      </c>
      <c r="BK14" s="6">
        <f>IF((IF(((BG14)=TRUE),  1,  0) + IF(((BH14)=TRUE),  1,  0))="", "", ROUND((IF(((BG14)=TRUE),  1,  0) + IF(((BH14)=TRUE),  1,  0)), 0))</f>
        <v>0</v>
      </c>
      <c r="BL14" s="4" t="str">
        <f>IF(((Y14)=TRUE),  C14,  "")</f>
        <v>policy-drafting-agent</v>
      </c>
      <c r="BM14" s="3" t="s">
        <v>310</v>
      </c>
    </row>
  </sheetData>
  <autoFilter ref="A1:BM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3"/>
  <sheetViews>
    <sheetView workbookViewId="0">
      <pane ySplit="1" topLeftCell="A2" state="frozen" activePane="bottomLeft"/>
      <selection pane="bottomLeft" activeCell="A1" sqref="A1"/>
    </sheetView>
  </sheetViews>
  <sheetFormatPr defaultRowHeight="15"/>
  <cols>
    <col min="1" max="1" width="23.591171264648438" customWidth="1"/>
    <col min="2" max="2" width="36.758056640625" customWidth="1"/>
    <col min="3" max="3" width="36.758056640625" customWidth="1"/>
    <col min="4" max="4" width="17.443378448486328" customWidth="1"/>
    <col min="5" max="5" width="17.443378448486328" customWidth="1"/>
    <col min="6" max="6" width="82.62125396728516" customWidth="1"/>
    <col min="7" max="7" width="35.888980865478516" customWidth="1"/>
    <col min="8" max="8" width="49.13412094116211" customWidth="1"/>
  </cols>
  <sheetData>
    <row r="1">
      <c r="A1" s="2" t="s">
        <v>325</v>
      </c>
      <c r="B1" s="2" t="s">
        <v>1</v>
      </c>
      <c r="C1" s="2" t="s">
        <v>19</v>
      </c>
      <c r="D1" s="2" t="s">
        <v>121</v>
      </c>
      <c r="E1" s="2" t="s">
        <v>326</v>
      </c>
      <c r="F1" s="2" t="s">
        <v>327</v>
      </c>
      <c r="G1" s="2" t="s">
        <v>328</v>
      </c>
      <c r="H1" s="2" t="s">
        <v>94</v>
      </c>
    </row>
    <row r="2">
      <c r="A2" s="3" t="s">
        <v>329</v>
      </c>
      <c r="B2" s="4" t="str">
        <f>C2</f>
        <v>Financial Close Community of Practice</v>
      </c>
      <c r="C2" s="3" t="s">
        <v>330</v>
      </c>
      <c r="D2" s="3" t="s">
        <v>108</v>
      </c>
      <c r="E2" s="3" t="s">
        <v>208</v>
      </c>
      <c r="F2" s="3" t="s">
        <v>331</v>
      </c>
      <c r="G2" s="3" t="s">
        <v>332</v>
      </c>
      <c r="H2" s="3" t="s">
        <v>333</v>
      </c>
    </row>
    <row r="3">
      <c r="A3" s="3" t="s">
        <v>334</v>
      </c>
      <c r="B3" s="4" t="str">
        <f>C3</f>
        <v>Policy Stewardship Circle</v>
      </c>
      <c r="C3" s="3" t="s">
        <v>335</v>
      </c>
      <c r="D3" s="3" t="s">
        <v>113</v>
      </c>
      <c r="E3" s="3" t="s">
        <v>244</v>
      </c>
      <c r="F3" s="3" t="s">
        <v>336</v>
      </c>
      <c r="G3" s="3" t="s">
        <v>337</v>
      </c>
      <c r="H3" s="3" t="s">
        <v>333</v>
      </c>
    </row>
  </sheetData>
  <autoFilter ref="A1:H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
  <sheetViews>
    <sheetView workbookViewId="0">
      <pane ySplit="1" topLeftCell="A2" state="frozen" activePane="bottomLeft"/>
      <selection pane="bottomLeft" activeCell="A1" sqref="A1"/>
    </sheetView>
  </sheetViews>
  <sheetFormatPr defaultRowHeight="15"/>
  <cols>
    <col min="1" max="1" width="19.432287216186523" customWidth="1"/>
    <col min="2" max="2" width="27.68403434753418" customWidth="1"/>
    <col min="3" max="3" width="21.611921310424805" customWidth="1"/>
    <col min="4" max="4" width="17.443378448486328" customWidth="1"/>
    <col min="5" max="5" width="17.443378448486328" customWidth="1"/>
    <col min="6" max="6" width="23.46630859375" customWidth="1"/>
    <col min="7" max="7" width="23.46630859375" customWidth="1"/>
    <col min="8" max="8" width="94.56621551513672" customWidth="1"/>
    <col min="9" max="9" width="56.884342193603516" customWidth="1"/>
    <col min="10" max="10" width="38.85033416748047" customWidth="1"/>
  </cols>
  <sheetData>
    <row r="1">
      <c r="A1" s="2" t="s">
        <v>338</v>
      </c>
      <c r="B1" s="2" t="s">
        <v>1</v>
      </c>
      <c r="C1" s="2" t="s">
        <v>339</v>
      </c>
      <c r="D1" s="2" t="s">
        <v>340</v>
      </c>
      <c r="E1" s="2" t="s">
        <v>341</v>
      </c>
      <c r="F1" s="2" t="s">
        <v>255</v>
      </c>
      <c r="G1" s="2" t="s">
        <v>256</v>
      </c>
      <c r="H1" s="2" t="s">
        <v>342</v>
      </c>
      <c r="I1" s="2" t="s">
        <v>343</v>
      </c>
      <c r="J1" s="2" t="s">
        <v>94</v>
      </c>
    </row>
    <row r="2">
      <c r="A2" s="3" t="s">
        <v>344</v>
      </c>
      <c r="B2" s="4" t="str">
        <f>D2 &amp; " -&gt; " &amp; E2</f>
        <v>devon-okafor -&gt; maria-chen</v>
      </c>
      <c r="C2" s="3" t="s">
        <v>329</v>
      </c>
      <c r="D2" s="3" t="s">
        <v>145</v>
      </c>
      <c r="E2" s="3" t="s">
        <v>139</v>
      </c>
      <c r="F2" s="5">
        <v>46037.25</v>
      </c>
      <c r="G2" s="5">
        <v>46296.20832175926</v>
      </c>
      <c r="H2" s="3" t="s">
        <v>345</v>
      </c>
      <c r="I2" s="3" t="s">
        <v>346</v>
      </c>
      <c r="J2" s="3" t="s">
        <v>347</v>
      </c>
    </row>
  </sheetData>
  <autoFilter ref="A1:J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3"/>
  <sheetViews>
    <sheetView workbookViewId="0">
      <pane ySplit="1" topLeftCell="A2" state="frozen" activePane="bottomLeft"/>
      <selection pane="bottomLeft" activeCell="A1" sqref="A1"/>
    </sheetView>
  </sheetViews>
  <sheetFormatPr defaultRowHeight="15"/>
  <cols>
    <col min="1" max="1" width="21.954973220825195" customWidth="1"/>
    <col min="2" max="2" width="41.68744659423828" customWidth="1"/>
    <col min="3" max="3" width="41.68744659423828" customWidth="1"/>
    <col min="4" max="4" width="92.52925109863281" customWidth="1"/>
    <col min="5" max="5" width="35.68355178833008" customWidth="1"/>
  </cols>
  <sheetData>
    <row r="1">
      <c r="A1" s="2" t="s">
        <v>348</v>
      </c>
      <c r="B1" s="2" t="s">
        <v>1</v>
      </c>
      <c r="C1" s="2" t="s">
        <v>19</v>
      </c>
      <c r="D1" s="2" t="s">
        <v>349</v>
      </c>
      <c r="E1" s="2" t="s">
        <v>94</v>
      </c>
    </row>
    <row r="2">
      <c r="A2" s="3" t="s">
        <v>350</v>
      </c>
      <c r="B2" s="4" t="str">
        <f>C2</f>
        <v>Financial Standard Operating Procedure</v>
      </c>
      <c r="C2" s="3" t="s">
        <v>351</v>
      </c>
      <c r="D2" s="3" t="s">
        <v>352</v>
      </c>
      <c r="E2" s="3" t="s">
        <v>353</v>
      </c>
    </row>
    <row r="3">
      <c r="A3" s="3" t="s">
        <v>354</v>
      </c>
      <c r="B3" s="4" t="str">
        <f>C3</f>
        <v>Employee Communication Policy Procedure</v>
      </c>
      <c r="C3" s="3" t="s">
        <v>355</v>
      </c>
      <c r="D3" s="3" t="s">
        <v>356</v>
      </c>
      <c r="E3" s="3" t="s">
        <v>353</v>
      </c>
    </row>
  </sheetData>
  <autoFilter ref="A1:E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3"/>
  <sheetViews>
    <sheetView workbookViewId="0">
      <pane ySplit="1" topLeftCell="A2" state="frozen" activePane="bottomLeft"/>
      <selection pane="bottomLeft" activeCell="A1" sqref="A1"/>
    </sheetView>
  </sheetViews>
  <sheetFormatPr defaultRowHeight="15"/>
  <cols>
    <col min="1" max="1" width="27.62737464904785" customWidth="1"/>
    <col min="2" max="2" width="49.8086051940918" customWidth="1"/>
    <col min="3" max="3" width="49.8086051940918" customWidth="1"/>
    <col min="4" max="4" width="21.954973220825195" customWidth="1"/>
    <col min="5" max="5" width="19.720186233520508" customWidth="1"/>
    <col min="6" max="6" width="23.592164993286133" customWidth="1"/>
    <col min="7" max="7" width="125.6585464477539" customWidth="1"/>
    <col min="8" max="8" width="50.299495697021484" customWidth="1"/>
    <col min="9" max="9" width="17.443378448486328" customWidth="1"/>
    <col min="10" max="10" width="19.070581436157227" customWidth="1"/>
    <col min="11" max="11" width="31.002588272094727" customWidth="1"/>
  </cols>
  <sheetData>
    <row r="1">
      <c r="A1" s="2" t="s">
        <v>357</v>
      </c>
      <c r="B1" s="2" t="s">
        <v>1</v>
      </c>
      <c r="C1" s="2" t="s">
        <v>358</v>
      </c>
      <c r="D1" s="2" t="s">
        <v>359</v>
      </c>
      <c r="E1" s="2" t="s">
        <v>360</v>
      </c>
      <c r="F1" s="2" t="s">
        <v>361</v>
      </c>
      <c r="G1" s="2" t="s">
        <v>327</v>
      </c>
      <c r="H1" s="2" t="s">
        <v>362</v>
      </c>
      <c r="I1" s="2" t="s">
        <v>363</v>
      </c>
      <c r="J1" s="2" t="s">
        <v>364</v>
      </c>
      <c r="K1" s="2" t="s">
        <v>94</v>
      </c>
    </row>
    <row r="2">
      <c r="A2" s="3" t="s">
        <v>365</v>
      </c>
      <c r="B2" s="4" t="str">
        <f>C2</f>
        <v>Quarter-End Financial Close</v>
      </c>
      <c r="C2" s="3" t="s">
        <v>366</v>
      </c>
      <c r="D2" s="3" t="s">
        <v>350</v>
      </c>
      <c r="E2" s="3" t="s">
        <v>108</v>
      </c>
      <c r="F2" s="3" t="s">
        <v>103</v>
      </c>
      <c r="G2" s="3" t="s">
        <v>367</v>
      </c>
      <c r="H2" s="3" t="s">
        <v>368</v>
      </c>
      <c r="I2" s="3" t="b">
        <v>0</v>
      </c>
      <c r="J2" s="3" t="s">
        <v>369</v>
      </c>
      <c r="K2" s="3" t="s">
        <v>370</v>
      </c>
    </row>
    <row r="3">
      <c r="A3" s="3" t="s">
        <v>371</v>
      </c>
      <c r="B3" s="4" t="str">
        <f>C3</f>
        <v>Workforce Policy Change and Employee Notification</v>
      </c>
      <c r="C3" s="3" t="s">
        <v>372</v>
      </c>
      <c r="D3" s="3" t="s">
        <v>354</v>
      </c>
      <c r="E3" s="3" t="s">
        <v>113</v>
      </c>
      <c r="F3" s="3" t="s">
        <v>103</v>
      </c>
      <c r="G3" s="3" t="s">
        <v>373</v>
      </c>
      <c r="H3" s="3" t="s">
        <v>374</v>
      </c>
      <c r="I3" s="3" t="b">
        <v>0</v>
      </c>
      <c r="J3" s="3" t="s">
        <v>375</v>
      </c>
      <c r="K3" s="3" t="s">
        <v>370</v>
      </c>
    </row>
  </sheetData>
  <autoFilter ref="A1:K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I4"/>
  <sheetViews>
    <sheetView workbookViewId="0">
      <pane ySplit="1" topLeftCell="A2" state="frozen" activePane="bottomLeft"/>
      <selection pane="bottomLeft" activeCell="A1" sqref="A1"/>
    </sheetView>
  </sheetViews>
  <sheetFormatPr defaultRowHeight="15"/>
  <cols>
    <col min="1" max="1" width="20.28622055053711" customWidth="1"/>
    <col min="2" max="2" width="56.67448806762695" customWidth="1"/>
    <col min="3" max="3" width="27.62737464904785" customWidth="1"/>
    <col min="4" max="4" width="17.443378448486328" customWidth="1"/>
    <col min="5" max="5" width="56.67448806762695" customWidth="1"/>
    <col min="6" max="6" width="17.443378448486328" customWidth="1"/>
    <col min="7" max="7" width="23.35041618347168" customWidth="1"/>
    <col min="8" max="8" width="24.515466690063477" customWidth="1"/>
    <col min="9" max="9" width="17.443378448486328" customWidth="1"/>
    <col min="10" max="10" width="17.443378448486328" customWidth="1"/>
    <col min="11" max="11" width="65.26506805419922" customWidth="1"/>
    <col min="12" max="12" width="103.24541473388672" customWidth="1"/>
    <col min="13" max="13" width="17.443378448486328" customWidth="1"/>
    <col min="14" max="14" width="17.443378448486328" customWidth="1"/>
    <col min="15" max="15" width="28.910858154296875" customWidth="1"/>
    <col min="16" max="16" width="21.483816146850586" customWidth="1"/>
    <col min="17" max="17" width="19.771488189697266" customWidth="1"/>
    <col min="18" max="18" width="21.81779670715332" customWidth="1"/>
    <col min="19" max="19" width="26.572404861450195" customWidth="1"/>
    <col min="20" max="20" width="27.493824005126953" customWidth="1"/>
    <col min="21" max="21" width="17.443378448486328" customWidth="1"/>
    <col min="22" max="22" width="28.084131240844727" customWidth="1"/>
    <col min="23" max="23" width="32.08055877685547" customWidth="1"/>
    <col min="24" max="24" width="17.443378448486328" customWidth="1"/>
    <col min="25" max="25" width="17.443378448486328" customWidth="1"/>
    <col min="26" max="26" width="17.443378448486328" customWidth="1"/>
    <col min="27" max="27" width="23.045581817626953" customWidth="1"/>
    <col min="28" max="28" width="26.616191864013672" customWidth="1"/>
    <col min="29" max="29" width="21.689512252807617" customWidth="1"/>
    <col min="30" max="30" width="22.84103775024414" customWidth="1"/>
    <col min="31" max="31" width="23.83965492248535" customWidth="1"/>
    <col min="32" max="32" width="38.1004524230957" customWidth="1"/>
    <col min="33" max="33" width="30.266616821289062" customWidth="1"/>
    <col min="34" max="34" width="22.07114028930664" customWidth="1"/>
    <col min="35" max="35" width="24.828632354736328" customWidth="1"/>
    <col min="36" max="36" width="22.246395111083984" customWidth="1"/>
    <col min="37" max="37" width="22.996122360229492" customWidth="1"/>
    <col min="38" max="38" width="18.547500610351562" customWidth="1"/>
    <col min="39" max="39" width="23.35041618347168" customWidth="1"/>
    <col min="40" max="40" width="19.069751739501953" customWidth="1"/>
    <col min="41" max="41" width="21.607839584350586" customWidth="1"/>
    <col min="42" max="42" width="28.41063117980957" customWidth="1"/>
    <col min="43" max="43" width="19.560850143432617" customWidth="1"/>
    <col min="44" max="44" width="23.91769790649414" customWidth="1"/>
    <col min="45" max="45" width="23.715333938598633" customWidth="1"/>
    <col min="46" max="46" width="31.084819793701172" customWidth="1"/>
    <col min="47" max="47" width="32.02621078491211" customWidth="1"/>
    <col min="48" max="48" width="35.66947937011719" customWidth="1"/>
    <col min="49" max="49" width="33.52405548095703" customWidth="1"/>
    <col min="50" max="50" width="29.967147827148438" customWidth="1"/>
    <col min="51" max="51" width="35.755863189697266" customWidth="1"/>
    <col min="52" max="52" width="39.579288482666016" customWidth="1"/>
    <col min="53" max="53" width="32.877296447753906" customWidth="1"/>
    <col min="54" max="54" width="22.29422950744629" customWidth="1"/>
    <col min="55" max="55" width="30.0471248626709" customWidth="1"/>
    <col min="56" max="56" width="28.292512893676758" customWidth="1"/>
    <col min="57" max="57" width="29.066852569580078" customWidth="1"/>
    <col min="58" max="58" width="25.890972137451172" customWidth="1"/>
    <col min="59" max="59" width="29.808929443359375" customWidth="1"/>
    <col min="60" max="60" width="23.717111587524414" customWidth="1"/>
    <col min="61" max="61" width="30.417343139648438" customWidth="1"/>
    <col min="62" max="62" width="28.527910232543945" customWidth="1"/>
    <col min="63" max="63" width="29.547426223754883" customWidth="1"/>
    <col min="64" max="64" width="21.43819236755371" customWidth="1"/>
    <col min="65" max="65" width="19.71910285949707" customWidth="1"/>
    <col min="66" max="66" width="20.073720932006836" customWidth="1"/>
    <col min="67" max="67" width="30.09133529663086" customWidth="1"/>
    <col min="68" max="68" width="25.965511322021484" customWidth="1"/>
    <col min="69" max="69" width="19.766286849975586" customWidth="1"/>
    <col min="70" max="70" width="20.543001174926758" customWidth="1"/>
    <col min="71" max="71" width="24.67369270324707" customWidth="1"/>
    <col min="72" max="72" width="28.017030715942383" customWidth="1"/>
    <col min="73" max="73" width="17.443378448486328" customWidth="1"/>
    <col min="74" max="74" width="22.117507934570312" customWidth="1"/>
    <col min="75" max="75" width="17.443378448486328" customWidth="1"/>
    <col min="76" max="76" width="27.703134536743164" customWidth="1"/>
    <col min="77" max="77" width="29.429792404174805" customWidth="1"/>
    <col min="78" max="78" width="28.17953872680664" customWidth="1"/>
    <col min="79" max="79" width="29.966650009155273" customWidth="1"/>
    <col min="80" max="80" width="28.440216064453125" customWidth="1"/>
    <col min="81" max="81" width="30.316986083984375" customWidth="1"/>
    <col min="82" max="82" width="32.840755462646484" customWidth="1"/>
    <col min="83" max="83" width="17.443378448486328" customWidth="1"/>
    <col min="84" max="84" width="23.4721622467041" customWidth="1"/>
    <col min="85" max="85" width="25.69413185119629" customWidth="1"/>
    <col min="86" max="86" width="17.443378448486328" customWidth="1"/>
    <col min="87" max="87" width="31.002588272094727" customWidth="1"/>
  </cols>
  <sheetData>
    <row r="1">
      <c r="A1" s="2" t="s">
        <v>376</v>
      </c>
      <c r="B1" s="2" t="s">
        <v>1</v>
      </c>
      <c r="C1" s="2" t="s">
        <v>377</v>
      </c>
      <c r="D1" s="2" t="s">
        <v>378</v>
      </c>
      <c r="E1" s="2" t="s">
        <v>358</v>
      </c>
      <c r="F1" s="2" t="s">
        <v>8</v>
      </c>
      <c r="G1" s="2" t="s">
        <v>7</v>
      </c>
      <c r="H1" s="2" t="s">
        <v>379</v>
      </c>
      <c r="I1" s="2" t="s">
        <v>380</v>
      </c>
      <c r="J1" s="2" t="s">
        <v>381</v>
      </c>
      <c r="K1" s="2" t="s">
        <v>382</v>
      </c>
      <c r="L1" s="2" t="s">
        <v>383</v>
      </c>
      <c r="M1" s="2" t="s">
        <v>10</v>
      </c>
      <c r="N1" s="2" t="s">
        <v>384</v>
      </c>
      <c r="O1" s="2" t="s">
        <v>385</v>
      </c>
      <c r="P1" s="2" t="s">
        <v>386</v>
      </c>
      <c r="Q1" s="2" t="s">
        <v>387</v>
      </c>
      <c r="R1" s="2" t="s">
        <v>388</v>
      </c>
      <c r="S1" s="2" t="s">
        <v>389</v>
      </c>
      <c r="T1" s="2" t="s">
        <v>390</v>
      </c>
      <c r="U1" s="2" t="s">
        <v>391</v>
      </c>
      <c r="V1" s="2" t="s">
        <v>392</v>
      </c>
      <c r="W1" s="2" t="s">
        <v>393</v>
      </c>
      <c r="X1" s="2" t="s">
        <v>394</v>
      </c>
      <c r="Y1" s="2" t="s">
        <v>395</v>
      </c>
      <c r="Z1" s="2" t="s">
        <v>396</v>
      </c>
      <c r="AA1" s="2" t="s">
        <v>397</v>
      </c>
      <c r="AB1" s="2" t="s">
        <v>398</v>
      </c>
      <c r="AC1" s="2" t="s">
        <v>399</v>
      </c>
      <c r="AD1" s="2" t="s">
        <v>400</v>
      </c>
      <c r="AE1" s="2" t="s">
        <v>401</v>
      </c>
      <c r="AF1" s="2" t="s">
        <v>402</v>
      </c>
      <c r="AG1" s="2" t="s">
        <v>403</v>
      </c>
      <c r="AH1" s="2" t="s">
        <v>404</v>
      </c>
      <c r="AI1" s="2" t="s">
        <v>405</v>
      </c>
      <c r="AJ1" s="2" t="s">
        <v>406</v>
      </c>
      <c r="AK1" s="2" t="s">
        <v>407</v>
      </c>
      <c r="AL1" s="2" t="s">
        <v>258</v>
      </c>
      <c r="AM1" s="2" t="s">
        <v>92</v>
      </c>
      <c r="AN1" s="2" t="s">
        <v>408</v>
      </c>
      <c r="AO1" s="2" t="s">
        <v>409</v>
      </c>
      <c r="AP1" s="2" t="s">
        <v>410</v>
      </c>
      <c r="AQ1" s="2" t="s">
        <v>411</v>
      </c>
      <c r="AR1" s="2" t="s">
        <v>412</v>
      </c>
      <c r="AS1" s="2" t="s">
        <v>413</v>
      </c>
      <c r="AT1" s="2" t="s">
        <v>414</v>
      </c>
      <c r="AU1" s="2" t="s">
        <v>415</v>
      </c>
      <c r="AV1" s="2" t="s">
        <v>416</v>
      </c>
      <c r="AW1" s="2" t="s">
        <v>417</v>
      </c>
      <c r="AX1" s="2" t="s">
        <v>418</v>
      </c>
      <c r="AY1" s="2" t="s">
        <v>419</v>
      </c>
      <c r="AZ1" s="2" t="s">
        <v>420</v>
      </c>
      <c r="BA1" s="2" t="s">
        <v>421</v>
      </c>
      <c r="BB1" s="2" t="s">
        <v>422</v>
      </c>
      <c r="BC1" s="2" t="s">
        <v>423</v>
      </c>
      <c r="BD1" s="2" t="s">
        <v>424</v>
      </c>
      <c r="BE1" s="2" t="s">
        <v>425</v>
      </c>
      <c r="BF1" s="2" t="s">
        <v>426</v>
      </c>
      <c r="BG1" s="2" t="s">
        <v>427</v>
      </c>
      <c r="BH1" s="2" t="s">
        <v>428</v>
      </c>
      <c r="BI1" s="2" t="s">
        <v>429</v>
      </c>
      <c r="BJ1" s="2" t="s">
        <v>430</v>
      </c>
      <c r="BK1" s="2" t="s">
        <v>431</v>
      </c>
      <c r="BL1" s="2" t="s">
        <v>432</v>
      </c>
      <c r="BM1" s="2" t="s">
        <v>433</v>
      </c>
      <c r="BN1" s="2" t="s">
        <v>434</v>
      </c>
      <c r="BO1" s="2" t="s">
        <v>435</v>
      </c>
      <c r="BP1" s="2" t="s">
        <v>436</v>
      </c>
      <c r="BQ1" s="2" t="s">
        <v>437</v>
      </c>
      <c r="BR1" s="2" t="s">
        <v>438</v>
      </c>
      <c r="BS1" s="2" t="s">
        <v>439</v>
      </c>
      <c r="BT1" s="2" t="s">
        <v>440</v>
      </c>
      <c r="BU1" s="2" t="s">
        <v>441</v>
      </c>
      <c r="BV1" s="2" t="s">
        <v>442</v>
      </c>
      <c r="BW1" s="2" t="s">
        <v>443</v>
      </c>
      <c r="BX1" s="2" t="s">
        <v>444</v>
      </c>
      <c r="BY1" s="2" t="s">
        <v>445</v>
      </c>
      <c r="BZ1" s="2" t="s">
        <v>446</v>
      </c>
      <c r="CA1" s="2" t="s">
        <v>447</v>
      </c>
      <c r="CB1" s="2" t="s">
        <v>448</v>
      </c>
      <c r="CC1" s="2" t="s">
        <v>449</v>
      </c>
      <c r="CD1" s="2" t="s">
        <v>450</v>
      </c>
      <c r="CE1" s="2" t="s">
        <v>451</v>
      </c>
      <c r="CF1" s="2" t="s">
        <v>452</v>
      </c>
      <c r="CG1" s="2" t="s">
        <v>453</v>
      </c>
      <c r="CH1" s="2" t="s">
        <v>454</v>
      </c>
      <c r="CI1" s="2" t="s">
        <v>94</v>
      </c>
    </row>
    <row r="2">
      <c r="A2" s="3" t="s">
        <v>455</v>
      </c>
      <c r="B2" s="4" t="str">
        <f>E2</f>
        <v>Quarter-End Financial Close v1.0.0</v>
      </c>
      <c r="C2" s="3" t="s">
        <v>365</v>
      </c>
      <c r="D2" s="3" t="s">
        <v>12</v>
      </c>
      <c r="E2" s="3" t="s">
        <v>456</v>
      </c>
      <c r="F2" s="3" t="s">
        <v>457</v>
      </c>
      <c r="G2" s="5">
        <v>45931.583333333336</v>
      </c>
      <c r="H2" s="5">
        <v>46112.916666666664</v>
      </c>
      <c r="I2" s="3" t="s">
        <v>145</v>
      </c>
      <c r="J2" s="3" t="s">
        <v>145</v>
      </c>
      <c r="K2" s="3" t="s">
        <v>458</v>
      </c>
      <c r="L2" s="3" t="s">
        <v>459</v>
      </c>
      <c r="M2" s="3" t="b">
        <v>0</v>
      </c>
      <c r="N2" s="6">
        <f>IF((COUNTIFS(Steps!C2:C18,A2))="", "", ROUND((COUNTIFS(Steps!C2:C18,A2)), 0))</f>
        <v>0</v>
      </c>
      <c r="O2" s="6">
        <f>IF((COUNTIFS(KnowledgeGaps!C2:C9,A2,KnowledgeGaps!H2:H9, "Open"))="", "", ROUND((COUNTIFS(KnowledgeGaps!C2:C9,A2,KnowledgeGaps!H2:H9, "Open")), 0))</f>
        <v>0</v>
      </c>
      <c r="P2" s="4" t="b">
        <f>AND(((F2 = "Approved")=TRUE), ((N2 &gt; 0)=TRUE), ((O2 = 0)=TRUE))</f>
        <v>0</v>
      </c>
      <c r="Q2" s="4">
        <f>COUNTIFS(Steps!C2:C18, A2)</f>
        <v>0</v>
      </c>
      <c r="R2" s="4">
        <f>COUNTIFS(ReviewEvents!M2:M4, A2)</f>
        <v>0</v>
      </c>
      <c r="S2" s="4">
        <f>COUNTIFS(ChangeRequests!M2:M3, A2)</f>
        <v>0</v>
      </c>
      <c r="T2" s="4">
        <f>COUNTIFS(KnowledgeGaps!M2:M9, A2)</f>
        <v>0</v>
      </c>
      <c r="U2" s="4" t="b">
        <f>AND(((F2 = "Approved")=TRUE), ((R2 = 0)=TRUE), ((S2 = 0)=TRUE), ((T2 = 0)=TRUE))</f>
        <v>0</v>
      </c>
      <c r="V2" s="4">
        <f>SUMIFS(StewardshipAssignments!H2:H3,StewardshipAssignments!C2:C3, A2)</f>
        <v>0</v>
      </c>
      <c r="W2" s="6">
        <f>IF((COUNTIFS(StewardshipAssignments!C2:C3,A2))="", "", ROUND((COUNTIFS(StewardshipAssignments!C2:C3,A2)), 0))</f>
        <v>0</v>
      </c>
      <c r="X2" s="4" t="b">
        <f>W2 &gt; 0</f>
        <v>0</v>
      </c>
      <c r="Y2" s="4" t="b">
        <f>OR(((F2 = "Approved")=TRUE), ((F2 = "Published")=TRUE))</f>
        <v>0</v>
      </c>
      <c r="Z2" s="4" t="b">
        <f>NOT(((X2)=TRUE))</f>
        <v>1</v>
      </c>
      <c r="AA2" s="4" t="b">
        <f>AND(((Y2)=TRUE), ((Z2)=TRUE))</f>
        <v>0</v>
      </c>
      <c r="AB2" s="6">
        <f>IF((COUNTIFS(KnowledgeGaps!O2:O9, TRUE))="", "", ROUND((COUNTIFS(KnowledgeGaps!O2:O9, TRUE)), 0))</f>
        <v>0</v>
      </c>
      <c r="AC2" s="4" t="b">
        <f>AB2 &gt; 0</f>
        <v>0</v>
      </c>
      <c r="AD2" s="4" t="b">
        <f>AND(((Y2)=TRUE), ((AC2)=TRUE))</f>
        <v>0</v>
      </c>
      <c r="AE2" s="4" t="b">
        <f>AND(((P2)=TRUE), ((AC2)=TRUE))</f>
        <v>0</v>
      </c>
      <c r="AF2" s="6">
        <f>IF((COUNTIFS(KnowledgeFragments!AA2:AA8, TRUE))="", "", ROUND((COUNTIFS(KnowledgeFragments!AA2:AA8, TRUE)), 0))</f>
        <v>1</v>
      </c>
      <c r="AG2" s="4" t="b">
        <f>AF2 &gt; 0</f>
        <v>1</v>
      </c>
      <c r="AH2" s="6">
        <f>IF((COUNTIFS(KnowledgeGaps!T2:T9, TRUE))="", "", ROUND((COUNTIFS(KnowledgeGaps!T2:T9, TRUE)), 0))</f>
        <v>0</v>
      </c>
      <c r="AI2" s="6">
        <f>IF((COUNTIFS(ChangeRequests!C2:C3,A2))="", "", ROUND((COUNTIFS(ChangeRequests!C2:C3,A2)), 0))</f>
        <v>0</v>
      </c>
      <c r="AJ2" s="6">
        <f>IF((COUNTIFS(ReviewEvents!C2:C4,A2))="", "", ROUND((COUNTIFS(ReviewEvents!C2:C4,A2)), 0))</f>
        <v>0</v>
      </c>
      <c r="AK2" s="4" t="b">
        <f>OR(((AI2 &gt; 0)=TRUE), ((AJ2 &gt; 0)=TRUE))</f>
        <v>0</v>
      </c>
      <c r="AL2" s="3" t="s">
        <v>95</v>
      </c>
      <c r="AM2" s="7">
        <f>_xlfn.IFNA(IF(((INDEX(EvaluationContexts!D2:D2, MATCH(AL2,EvaluationContexts!A2:A2, 0))="")=TRUE),  "",  INDEX(EvaluationContexts!D2:D2, MATCH(AL2,EvaluationContexts!A2:A2, 0))), "")</f>
        <v>46222.75</v>
      </c>
      <c r="AN2" s="6">
        <f>IF((IF(((OR((((AM2)="")=TRUE), (((H2)="")=TRUE)))=TRUE),  0,  (INT(AM2) - INT(H2))))="", "", ROUND((IF(((OR((((AM2)="")=TRUE), (((H2)="")=TRUE)))=TRUE),  0,  (INT(AM2) - INT(H2)))), 0))</f>
        <v>110</v>
      </c>
      <c r="AO2" s="6">
        <f>IF((IF(((OR((((AM2)="")=TRUE), (((_xlfn.MAXIFS(ReviewEvents!E2:E4,ReviewEvents!C2:C4,A2))="")=TRUE)))=TRUE),  0,  (INT(AM2) - INT(_xlfn.MAXIFS(ReviewEvents!E2:E4,ReviewEvents!C2:C4,A2)))))="", "", ROUND((IF(((OR((((AM2)="")=TRUE), (((_xlfn.MAXIFS(ReviewEvents!E2:E4,ReviewEvents!C2:C4,A2))="")=TRUE)))=TRUE),  0,  (INT(AM2) - INT(_xlfn.MAXIFS(ReviewEvents!E2:E4,ReviewEvents!C2:C4,A2))))), 0))</f>
        <v>46222</v>
      </c>
      <c r="AP2" s="4" t="b">
        <f>AN2 &lt; AO2</f>
        <v>1</v>
      </c>
      <c r="AQ2" s="4" t="str">
        <f>_xlfn.IFNA(IF(((INDEX(Agents!D2:D12, MATCH(J2,Agents!A2:A12, 0))="")=TRUE),  "",  INDEX(Agents!D2:D12, MATCH(J2,Agents!A2:A12, 0))), "")</f>
        <v>Human</v>
      </c>
      <c r="AR2" s="4" t="b">
        <f>AND(((Y2)=TRUE), ((AP2)=TRUE))</f>
        <v>0</v>
      </c>
      <c r="AS2" s="6">
        <f>IF((COUNTIFS(KnowledgeFragments!AQ2:AQ8, TRUE))="", "", ROUND((COUNTIFS(KnowledgeFragments!AQ2:AQ8, TRUE)), 0))</f>
        <v>7</v>
      </c>
      <c r="AT2" s="4" t="b">
        <f>AS2 &gt; 0</f>
        <v>1</v>
      </c>
      <c r="AU2" s="4">
        <f>COUNTIFS(KnowledgeFragments!BE2:BE8, A2)</f>
        <v>0</v>
      </c>
      <c r="AV2" s="4" t="b">
        <f>AND(((Y2)=TRUE), ((AU2 &gt; 0)=TRUE))</f>
        <v>0</v>
      </c>
      <c r="AW2" s="4">
        <f>COUNTIFS(ElicitationSessions!T2:T4, A2)</f>
        <v>0</v>
      </c>
      <c r="AX2" s="4" t="b">
        <f>AND(((Y2)=TRUE), ((AW2 &gt; 0)=TRUE))</f>
        <v>0</v>
      </c>
      <c r="AY2" s="4">
        <f>COUNTIFS(KnowledgeFragments!BK2:BK8, A2)</f>
        <v>0</v>
      </c>
      <c r="AZ2" s="4" t="b">
        <f>AND(((Y2)=TRUE), ((AY2 &gt; 0)=TRUE))</f>
        <v>0</v>
      </c>
      <c r="BA2" s="4">
        <f>COUNTIFS(KnowledgeFragments!BR2:BR8, A2)</f>
        <v>0</v>
      </c>
      <c r="BB2" s="4">
        <f>COUNTIFS(ChangeRequests!AB2:AB3, A2)</f>
        <v>0</v>
      </c>
      <c r="BC2" s="4">
        <f>COUNTIFS(KnowledgeGaps!Y2:Y9, A2)</f>
        <v>0</v>
      </c>
      <c r="BD2" s="4" t="b">
        <f>AND(((BB2 &gt; 0)=TRUE), ((BC2 &gt; 0)=TRUE))</f>
        <v>0</v>
      </c>
      <c r="BE2" s="4">
        <f>COUNTIFS(Steps!AK2:AK18, A2)</f>
        <v>0</v>
      </c>
      <c r="BF2" s="4" t="b">
        <f>AND(((Y2)=TRUE), ((BE2 &gt; 0)=TRUE))</f>
        <v>0</v>
      </c>
      <c r="BG2" s="4">
        <f>COUNTIFS(KnowledgeFragments!BX2:BX8, A2)</f>
        <v>0</v>
      </c>
      <c r="BH2" s="4">
        <f>COUNTIFS(ChangeRequests!AL2:AL3, A2)</f>
        <v>0</v>
      </c>
      <c r="BI2" s="4">
        <f>COUNTIFS(StepTransitions!V2:V21, A2)</f>
        <v>0</v>
      </c>
      <c r="BJ2" s="4" t="b">
        <f>BI2 &gt; 0</f>
        <v>0</v>
      </c>
      <c r="BK2" s="4" t="b">
        <f>AND(((Y2)=TRUE), ((BJ2)=TRUE))</f>
        <v>0</v>
      </c>
      <c r="BL2" s="4">
        <f>COUNTIFS(ReviewEvents!S2:S4, A2)</f>
        <v>0</v>
      </c>
      <c r="BM2" s="4" t="b">
        <f>BL2 &gt; 0</f>
        <v>0</v>
      </c>
      <c r="BN2" s="4" t="b">
        <f>S2 &gt; 0</f>
        <v>0</v>
      </c>
      <c r="BO2" s="4" t="b">
        <f>AND(((BM2)=TRUE), ((NOT(((BN2)=TRUE)))=TRUE))</f>
        <v>0</v>
      </c>
      <c r="BP2" s="4" t="b">
        <f>AND(((BM2)=TRUE), ((BN2)=TRUE))</f>
        <v>0</v>
      </c>
      <c r="BQ2" s="4" t="b">
        <f>AND(((Y2)=TRUE), ((NOT(((AK2)=TRUE)))=TRUE))</f>
        <v>0</v>
      </c>
      <c r="BR2" s="4">
        <f>COUNTIFS(KnowledgeFragments!CA2:CA8, A2)</f>
        <v>0</v>
      </c>
      <c r="BS2" s="4" t="b">
        <f>BR2 &gt; 0</f>
        <v>0</v>
      </c>
      <c r="BT2" s="4">
        <f>COUNTIFS(ProcedureVersionLinks!G2:G2, A2)</f>
        <v>1</v>
      </c>
      <c r="BU2" s="4" t="b">
        <f>BT2 &gt; 0</f>
        <v>1</v>
      </c>
      <c r="BV2" s="4" t="b">
        <f>AND(((Z2)=TRUE), ((OR(((BS2)=TRUE), ((BU2)=TRUE)))=TRUE))</f>
        <v>1</v>
      </c>
      <c r="BW2" s="4" t="b">
        <f>AND(((Z2)=TRUE), ((NOT(((BS2)=TRUE)))=TRUE), ((NOT(((BU2)=TRUE)))=TRUE))</f>
        <v>0</v>
      </c>
      <c r="BX2" s="4">
        <f>COUNTIFS(ChangeRequests!AP2:AP3, A2)</f>
        <v>0</v>
      </c>
      <c r="BY2" s="4" t="b">
        <f>AND(((NOT(((U2)=TRUE)))=TRUE), ((BX2 &gt; 0)=TRUE))</f>
        <v>0</v>
      </c>
      <c r="BZ2" s="4">
        <f>COUNTIFS(Steps!AM2:AM18, A2)</f>
        <v>0</v>
      </c>
      <c r="CA2" s="4" t="b">
        <f>BZ2 &gt; 0</f>
        <v>0</v>
      </c>
      <c r="CB2" s="4" t="b">
        <f>CC2 &gt; 0</f>
        <v>0</v>
      </c>
      <c r="CC2" s="4">
        <f>COUNTIFS(ChangeRequests!AQ2:AQ3, A2)</f>
        <v>0</v>
      </c>
      <c r="CD2" s="4">
        <f>COUNTIFS(Requirements!AN2:AN14, "unwatched-unowned")</f>
        <v>9</v>
      </c>
      <c r="CE2" s="4">
        <f>COUNTIFS(ProcessMiningRuns!C2:C5, A2)</f>
        <v>1</v>
      </c>
      <c r="CF2" s="4">
        <f>COUNTIFS(ProcessMiningRuns!R2:R5, A2)</f>
        <v>0</v>
      </c>
      <c r="CG2" s="4" t="b">
        <f>CF2 &gt; 0</f>
        <v>0</v>
      </c>
      <c r="CH2" s="4">
        <f>_xlfn.MAXIFS(Steps!AW2:AW18,Steps!C2:C18,A2)</f>
        <v>0</v>
      </c>
      <c r="CI2" s="3" t="s">
        <v>370</v>
      </c>
    </row>
    <row r="3">
      <c r="A3" s="3" t="s">
        <v>369</v>
      </c>
      <c r="B3" s="4" t="str">
        <f>E3</f>
        <v>Quarter-End Financial Close v1.1.0</v>
      </c>
      <c r="C3" s="3" t="s">
        <v>365</v>
      </c>
      <c r="D3" s="3" t="s">
        <v>460</v>
      </c>
      <c r="E3" s="3" t="s">
        <v>461</v>
      </c>
      <c r="F3" s="3" t="s">
        <v>462</v>
      </c>
      <c r="G3" s="5">
        <v>46127.583333333336</v>
      </c>
      <c r="H3" s="5">
        <v>46205.833333333336</v>
      </c>
      <c r="I3" s="3" t="s">
        <v>145</v>
      </c>
      <c r="J3" s="3" t="s">
        <v>139</v>
      </c>
      <c r="K3" s="3" t="s">
        <v>463</v>
      </c>
      <c r="L3" s="3" t="s">
        <v>464</v>
      </c>
      <c r="M3" s="3" t="b">
        <v>1</v>
      </c>
      <c r="N3" s="6">
        <f>IF((COUNTIFS(Steps!C2:C18,A3))="", "", ROUND((COUNTIFS(Steps!C2:C18,A3)), 0))</f>
        <v>8</v>
      </c>
      <c r="O3" s="6">
        <f>IF((COUNTIFS(KnowledgeGaps!C2:C9,A3,KnowledgeGaps!H2:H9, "Open"))="", "", ROUND((COUNTIFS(KnowledgeGaps!C2:C9,A3,KnowledgeGaps!H2:H9, "Open")), 0))</f>
        <v>0</v>
      </c>
      <c r="P3" s="4" t="b">
        <f>AND(((F3 = "Approved")=TRUE), ((N3 &gt; 0)=TRUE), ((O3 = 0)=TRUE))</f>
        <v>1</v>
      </c>
      <c r="Q3" s="4">
        <f>COUNTIFS(Steps!C2:C18, A3)</f>
        <v>8</v>
      </c>
      <c r="R3" s="4">
        <f>COUNTIFS(ReviewEvents!M2:M4, A3)</f>
        <v>1</v>
      </c>
      <c r="S3" s="4">
        <f>COUNTIFS(ChangeRequests!M2:M3, A3)</f>
        <v>0</v>
      </c>
      <c r="T3" s="4">
        <f>COUNTIFS(KnowledgeGaps!M2:M9, A3)</f>
        <v>0</v>
      </c>
      <c r="U3" s="4" t="b">
        <f>AND(((F3 = "Approved")=TRUE), ((R3 = 0)=TRUE), ((S3 = 0)=TRUE), ((T3 = 0)=TRUE))</f>
        <v>0</v>
      </c>
      <c r="V3" s="4">
        <f>SUMIFS(StewardshipAssignments!H2:H3,StewardshipAssignments!C2:C3, A3)</f>
        <v>90</v>
      </c>
      <c r="W3" s="6">
        <f>IF((COUNTIFS(StewardshipAssignments!C2:C3,A3))="", "", ROUND((COUNTIFS(StewardshipAssignments!C2:C3,A3)), 0))</f>
        <v>1</v>
      </c>
      <c r="X3" s="4" t="b">
        <f>W3 &gt; 0</f>
        <v>1</v>
      </c>
      <c r="Y3" s="4" t="b">
        <f>OR(((F3 = "Approved")=TRUE), ((F3 = "Published")=TRUE))</f>
        <v>1</v>
      </c>
      <c r="Z3" s="4" t="b">
        <f>NOT(((X3)=TRUE))</f>
        <v>0</v>
      </c>
      <c r="AA3" s="4" t="b">
        <f>AND(((Y3)=TRUE), ((Z3)=TRUE))</f>
        <v>0</v>
      </c>
      <c r="AB3" s="6">
        <f>IF((COUNTIFS(KnowledgeGaps!O2:O9, TRUE))="", "", ROUND((COUNTIFS(KnowledgeGaps!O2:O9, TRUE)), 0))</f>
        <v>0</v>
      </c>
      <c r="AC3" s="4" t="b">
        <f>AB3 &gt; 0</f>
        <v>0</v>
      </c>
      <c r="AD3" s="4" t="b">
        <f>AND(((Y3)=TRUE), ((AC3)=TRUE))</f>
        <v>0</v>
      </c>
      <c r="AE3" s="4" t="b">
        <f>AND(((P3)=TRUE), ((AC3)=TRUE))</f>
        <v>0</v>
      </c>
      <c r="AF3" s="6">
        <f>IF((COUNTIFS(KnowledgeFragments!AA2:AA8, TRUE))="", "", ROUND((COUNTIFS(KnowledgeFragments!AA2:AA8, TRUE)), 0))</f>
        <v>1</v>
      </c>
      <c r="AG3" s="4" t="b">
        <f>AF3 &gt; 0</f>
        <v>1</v>
      </c>
      <c r="AH3" s="6">
        <f>IF((COUNTIFS(KnowledgeGaps!T2:T9, TRUE))="", "", ROUND((COUNTIFS(KnowledgeGaps!T2:T9, TRUE)), 0))</f>
        <v>0</v>
      </c>
      <c r="AI3" s="6">
        <f>IF((COUNTIFS(ChangeRequests!C2:C3,A3))="", "", ROUND((COUNTIFS(ChangeRequests!C2:C3,A3)), 0))</f>
        <v>1</v>
      </c>
      <c r="AJ3" s="6">
        <f>IF((COUNTIFS(ReviewEvents!C2:C4,A3))="", "", ROUND((COUNTIFS(ReviewEvents!C2:C4,A3)), 0))</f>
        <v>2</v>
      </c>
      <c r="AK3" s="4" t="b">
        <f>OR(((AI3 &gt; 0)=TRUE), ((AJ3 &gt; 0)=TRUE))</f>
        <v>1</v>
      </c>
      <c r="AL3" s="3" t="s">
        <v>95</v>
      </c>
      <c r="AM3" s="7">
        <f>_xlfn.IFNA(IF(((INDEX(EvaluationContexts!D2:D2, MATCH(AL3,EvaluationContexts!A2:A2, 0))="")=TRUE),  "",  INDEX(EvaluationContexts!D2:D2, MATCH(AL3,EvaluationContexts!A2:A2, 0))), "")</f>
        <v>46222.75</v>
      </c>
      <c r="AN3" s="6">
        <f>IF((IF(((OR((((AM3)="")=TRUE), (((H3)="")=TRUE)))=TRUE),  0,  (INT(AM3) - INT(H3))))="", "", ROUND((IF(((OR((((AM3)="")=TRUE), (((H3)="")=TRUE)))=TRUE),  0,  (INT(AM3) - INT(H3)))), 0))</f>
        <v>17</v>
      </c>
      <c r="AO3" s="6">
        <f>IF((IF(((OR((((AM3)="")=TRUE), (((_xlfn.MAXIFS(ReviewEvents!E2:E4,ReviewEvents!C2:C4,A3))="")=TRUE)))=TRUE),  0,  (INT(AM3) - INT(_xlfn.MAXIFS(ReviewEvents!E2:E4,ReviewEvents!C2:C4,A3)))))="", "", ROUND((IF(((OR((((AM3)="")=TRUE), (((_xlfn.MAXIFS(ReviewEvents!E2:E4,ReviewEvents!C2:C4,A3))="")=TRUE)))=TRUE),  0,  (INT(AM3) - INT(_xlfn.MAXIFS(ReviewEvents!E2:E4,ReviewEvents!C2:C4,A3))))), 0))</f>
        <v>17</v>
      </c>
      <c r="AP3" s="4" t="b">
        <f>AN3 &lt; AO3</f>
        <v>0</v>
      </c>
      <c r="AQ3" s="4" t="str">
        <f>_xlfn.IFNA(IF(((INDEX(Agents!D2:D12, MATCH(J3,Agents!A2:A12, 0))="")=TRUE),  "",  INDEX(Agents!D2:D12, MATCH(J3,Agents!A2:A12, 0))), "")</f>
        <v>Human</v>
      </c>
      <c r="AR3" s="4" t="b">
        <f>AND(((Y3)=TRUE), ((AP3)=TRUE))</f>
        <v>0</v>
      </c>
      <c r="AS3" s="6">
        <f>IF((COUNTIFS(KnowledgeFragments!AQ2:AQ8, TRUE))="", "", ROUND((COUNTIFS(KnowledgeFragments!AQ2:AQ8, TRUE)), 0))</f>
        <v>7</v>
      </c>
      <c r="AT3" s="4" t="b">
        <f>AS3 &gt; 0</f>
        <v>1</v>
      </c>
      <c r="AU3" s="4">
        <f>COUNTIFS(KnowledgeFragments!BE2:BE8, A3)</f>
        <v>1</v>
      </c>
      <c r="AV3" s="4" t="b">
        <f>AND(((Y3)=TRUE), ((AU3 &gt; 0)=TRUE))</f>
        <v>1</v>
      </c>
      <c r="AW3" s="4">
        <f>COUNTIFS(ElicitationSessions!T2:T4, A3)</f>
        <v>1</v>
      </c>
      <c r="AX3" s="4" t="b">
        <f>AND(((Y3)=TRUE), ((AW3 &gt; 0)=TRUE))</f>
        <v>1</v>
      </c>
      <c r="AY3" s="4">
        <f>COUNTIFS(KnowledgeFragments!BK2:BK8, A3)</f>
        <v>0</v>
      </c>
      <c r="AZ3" s="4" t="b">
        <f>AND(((Y3)=TRUE), ((AY3 &gt; 0)=TRUE))</f>
        <v>0</v>
      </c>
      <c r="BA3" s="4">
        <f>COUNTIFS(KnowledgeFragments!BR2:BR8, A3)</f>
        <v>0</v>
      </c>
      <c r="BB3" s="4">
        <f>COUNTIFS(ChangeRequests!AB2:AB3, A3)</f>
        <v>0</v>
      </c>
      <c r="BC3" s="4">
        <f>COUNTIFS(KnowledgeGaps!Y2:Y9, A3)</f>
        <v>0</v>
      </c>
      <c r="BD3" s="4" t="b">
        <f>AND(((BB3 &gt; 0)=TRUE), ((BC3 &gt; 0)=TRUE))</f>
        <v>0</v>
      </c>
      <c r="BE3" s="4">
        <f>COUNTIFS(Steps!AK2:AK18, A3)</f>
        <v>1</v>
      </c>
      <c r="BF3" s="4" t="b">
        <f>AND(((Y3)=TRUE), ((BE3 &gt; 0)=TRUE))</f>
        <v>1</v>
      </c>
      <c r="BG3" s="4">
        <f>COUNTIFS(KnowledgeFragments!BX2:BX8, A3)</f>
        <v>0</v>
      </c>
      <c r="BH3" s="4">
        <f>COUNTIFS(ChangeRequests!AL2:AL3, A3)</f>
        <v>0</v>
      </c>
      <c r="BI3" s="4">
        <f>COUNTIFS(StepTransitions!V2:V21, A3)</f>
        <v>1</v>
      </c>
      <c r="BJ3" s="4" t="b">
        <f>BI3 &gt; 0</f>
        <v>1</v>
      </c>
      <c r="BK3" s="4" t="b">
        <f>AND(((Y3)=TRUE), ((BJ3)=TRUE))</f>
        <v>1</v>
      </c>
      <c r="BL3" s="4">
        <f>COUNTIFS(ReviewEvents!S2:S4, A3)</f>
        <v>1</v>
      </c>
      <c r="BM3" s="4" t="b">
        <f>BL3 &gt; 0</f>
        <v>1</v>
      </c>
      <c r="BN3" s="4" t="b">
        <f>S3 &gt; 0</f>
        <v>0</v>
      </c>
      <c r="BO3" s="4" t="b">
        <f>AND(((BM3)=TRUE), ((NOT(((BN3)=TRUE)))=TRUE))</f>
        <v>1</v>
      </c>
      <c r="BP3" s="4" t="b">
        <f>AND(((BM3)=TRUE), ((BN3)=TRUE))</f>
        <v>0</v>
      </c>
      <c r="BQ3" s="4" t="b">
        <f>AND(((Y3)=TRUE), ((NOT(((AK3)=TRUE)))=TRUE))</f>
        <v>0</v>
      </c>
      <c r="BR3" s="4">
        <f>COUNTIFS(KnowledgeFragments!CA2:CA8, A3)</f>
        <v>4</v>
      </c>
      <c r="BS3" s="4" t="b">
        <f>BR3 &gt; 0</f>
        <v>1</v>
      </c>
      <c r="BT3" s="4">
        <f>COUNTIFS(ProcedureVersionLinks!G2:G2, A3)</f>
        <v>0</v>
      </c>
      <c r="BU3" s="4" t="b">
        <f>BT3 &gt; 0</f>
        <v>0</v>
      </c>
      <c r="BV3" s="4" t="b">
        <f>AND(((Z3)=TRUE), ((OR(((BS3)=TRUE), ((BU3)=TRUE)))=TRUE))</f>
        <v>0</v>
      </c>
      <c r="BW3" s="4" t="b">
        <f>AND(((Z3)=TRUE), ((NOT(((BS3)=TRUE)))=TRUE), ((NOT(((BU3)=TRUE)))=TRUE))</f>
        <v>0</v>
      </c>
      <c r="BX3" s="4">
        <f>COUNTIFS(ChangeRequests!AP2:AP3, A3)</f>
        <v>0</v>
      </c>
      <c r="BY3" s="4" t="b">
        <f>AND(((NOT(((U3)=TRUE)))=TRUE), ((BX3 &gt; 0)=TRUE))</f>
        <v>0</v>
      </c>
      <c r="BZ3" s="4">
        <f>COUNTIFS(Steps!AM2:AM18, A3)</f>
        <v>0</v>
      </c>
      <c r="CA3" s="4" t="b">
        <f>BZ3 &gt; 0</f>
        <v>0</v>
      </c>
      <c r="CB3" s="4" t="b">
        <f>CC3 &gt; 0</f>
        <v>1</v>
      </c>
      <c r="CC3" s="4">
        <f>COUNTIFS(ChangeRequests!AQ2:AQ3, A3)</f>
        <v>1</v>
      </c>
      <c r="CD3" s="4">
        <f>COUNTIFS(Requirements!AN2:AN14, "unwatched-unowned")</f>
        <v>9</v>
      </c>
      <c r="CE3" s="4">
        <f>COUNTIFS(ProcessMiningRuns!C2:C5, A3)</f>
        <v>2</v>
      </c>
      <c r="CF3" s="4">
        <f>COUNTIFS(ProcessMiningRuns!R2:R5, A3)</f>
        <v>1</v>
      </c>
      <c r="CG3" s="4" t="b">
        <f>CF3 &gt; 0</f>
        <v>1</v>
      </c>
      <c r="CH3" s="4">
        <f>_xlfn.MAXIFS(Steps!AW2:AW18,Steps!C2:C18,A3)</f>
        <v>0</v>
      </c>
      <c r="CI3" s="3" t="s">
        <v>370</v>
      </c>
    </row>
    <row r="4">
      <c r="A4" s="3" t="s">
        <v>375</v>
      </c>
      <c r="B4" s="4" t="str">
        <f>E4</f>
        <v>Workforce Policy Change and Employee Notification v1.0.0</v>
      </c>
      <c r="C4" s="3" t="s">
        <v>371</v>
      </c>
      <c r="D4" s="3" t="s">
        <v>12</v>
      </c>
      <c r="E4" s="3" t="s">
        <v>465</v>
      </c>
      <c r="F4" s="3" t="s">
        <v>462</v>
      </c>
      <c r="G4" s="5">
        <v>46174.583333333336</v>
      </c>
      <c r="H4" s="5">
        <v>46221.895833333336</v>
      </c>
      <c r="I4" s="3" t="s">
        <v>153</v>
      </c>
      <c r="J4" s="3" t="s">
        <v>161</v>
      </c>
      <c r="K4" s="3" t="s">
        <v>466</v>
      </c>
      <c r="L4" s="3" t="s">
        <v>467</v>
      </c>
      <c r="M4" s="3" t="b">
        <v>1</v>
      </c>
      <c r="N4" s="6">
        <f>IF((COUNTIFS(Steps!C2:C18,A4))="", "", ROUND((COUNTIFS(Steps!C2:C18,A4)), 0))</f>
        <v>9</v>
      </c>
      <c r="O4" s="6">
        <f>IF((COUNTIFS(KnowledgeGaps!C2:C9,A4,KnowledgeGaps!H2:H9, "Open"))="", "", ROUND((COUNTIFS(KnowledgeGaps!C2:C9,A4,KnowledgeGaps!H2:H9, "Open")), 0))</f>
        <v>1</v>
      </c>
      <c r="P4" s="4" t="b">
        <f>AND(((F4 = "Approved")=TRUE), ((N4 &gt; 0)=TRUE), ((O4 = 0)=TRUE))</f>
        <v>0</v>
      </c>
      <c r="Q4" s="4">
        <f>COUNTIFS(Steps!C2:C18, A4)</f>
        <v>9</v>
      </c>
      <c r="R4" s="4">
        <f>COUNTIFS(ReviewEvents!M2:M4, A4)</f>
        <v>0</v>
      </c>
      <c r="S4" s="4">
        <f>COUNTIFS(ChangeRequests!M2:M3, A4)</f>
        <v>1</v>
      </c>
      <c r="T4" s="4">
        <f>COUNTIFS(KnowledgeGaps!M2:M9, A4)</f>
        <v>0</v>
      </c>
      <c r="U4" s="4" t="b">
        <f>AND(((F4 = "Approved")=TRUE), ((R4 = 0)=TRUE), ((S4 = 0)=TRUE), ((T4 = 0)=TRUE))</f>
        <v>0</v>
      </c>
      <c r="V4" s="4">
        <f>SUMIFS(StewardshipAssignments!H2:H3,StewardshipAssignments!C2:C3, A4)</f>
        <v>60</v>
      </c>
      <c r="W4" s="6">
        <f>IF((COUNTIFS(StewardshipAssignments!C2:C3,A4))="", "", ROUND((COUNTIFS(StewardshipAssignments!C2:C3,A4)), 0))</f>
        <v>1</v>
      </c>
      <c r="X4" s="4" t="b">
        <f>W4 &gt; 0</f>
        <v>1</v>
      </c>
      <c r="Y4" s="4" t="b">
        <f>OR(((F4 = "Approved")=TRUE), ((F4 = "Published")=TRUE))</f>
        <v>1</v>
      </c>
      <c r="Z4" s="4" t="b">
        <f>NOT(((X4)=TRUE))</f>
        <v>0</v>
      </c>
      <c r="AA4" s="4" t="b">
        <f>AND(((Y4)=TRUE), ((Z4)=TRUE))</f>
        <v>0</v>
      </c>
      <c r="AB4" s="6">
        <f>IF((COUNTIFS(KnowledgeGaps!O2:O9, TRUE))="", "", ROUND((COUNTIFS(KnowledgeGaps!O2:O9, TRUE)), 0))</f>
        <v>0</v>
      </c>
      <c r="AC4" s="4" t="b">
        <f>AB4 &gt; 0</f>
        <v>0</v>
      </c>
      <c r="AD4" s="4" t="b">
        <f>AND(((Y4)=TRUE), ((AC4)=TRUE))</f>
        <v>0</v>
      </c>
      <c r="AE4" s="4" t="b">
        <f>AND(((P4)=TRUE), ((AC4)=TRUE))</f>
        <v>0</v>
      </c>
      <c r="AF4" s="6">
        <f>IF((COUNTIFS(KnowledgeFragments!AA2:AA8, TRUE))="", "", ROUND((COUNTIFS(KnowledgeFragments!AA2:AA8, TRUE)), 0))</f>
        <v>1</v>
      </c>
      <c r="AG4" s="4" t="b">
        <f>AF4 &gt; 0</f>
        <v>1</v>
      </c>
      <c r="AH4" s="6">
        <f>IF((COUNTIFS(KnowledgeGaps!T2:T9, TRUE))="", "", ROUND((COUNTIFS(KnowledgeGaps!T2:T9, TRUE)), 0))</f>
        <v>0</v>
      </c>
      <c r="AI4" s="6">
        <f>IF((COUNTIFS(ChangeRequests!C2:C3,A4))="", "", ROUND((COUNTIFS(ChangeRequests!C2:C3,A4)), 0))</f>
        <v>1</v>
      </c>
      <c r="AJ4" s="6">
        <f>IF((COUNTIFS(ReviewEvents!C2:C4,A4))="", "", ROUND((COUNTIFS(ReviewEvents!C2:C4,A4)), 0))</f>
        <v>1</v>
      </c>
      <c r="AK4" s="4" t="b">
        <f>OR(((AI4 &gt; 0)=TRUE), ((AJ4 &gt; 0)=TRUE))</f>
        <v>1</v>
      </c>
      <c r="AL4" s="3" t="s">
        <v>95</v>
      </c>
      <c r="AM4" s="7">
        <f>_xlfn.IFNA(IF(((INDEX(EvaluationContexts!D2:D2, MATCH(AL4,EvaluationContexts!A2:A2, 0))="")=TRUE),  "",  INDEX(EvaluationContexts!D2:D2, MATCH(AL4,EvaluationContexts!A2:A2, 0))), "")</f>
        <v>46222.75</v>
      </c>
      <c r="AN4" s="6">
        <f>IF((IF(((OR((((AM4)="")=TRUE), (((H4)="")=TRUE)))=TRUE),  0,  (INT(AM4) - INT(H4))))="", "", ROUND((IF(((OR((((AM4)="")=TRUE), (((H4)="")=TRUE)))=TRUE),  0,  (INT(AM4) - INT(H4)))), 0))</f>
        <v>1</v>
      </c>
      <c r="AO4" s="6">
        <f>IF((IF(((OR((((AM4)="")=TRUE), (((_xlfn.MAXIFS(ReviewEvents!E2:E4,ReviewEvents!C2:C4,A4))="")=TRUE)))=TRUE),  0,  (INT(AM4) - INT(_xlfn.MAXIFS(ReviewEvents!E2:E4,ReviewEvents!C2:C4,A4)))))="", "", ROUND((IF(((OR((((AM4)="")=TRUE), (((_xlfn.MAXIFS(ReviewEvents!E2:E4,ReviewEvents!C2:C4,A4))="")=TRUE)))=TRUE),  0,  (INT(AM4) - INT(_xlfn.MAXIFS(ReviewEvents!E2:E4,ReviewEvents!C2:C4,A4))))), 0))</f>
        <v>1</v>
      </c>
      <c r="AP4" s="4" t="b">
        <f>AN4 &lt; AO4</f>
        <v>0</v>
      </c>
      <c r="AQ4" s="4" t="str">
        <f>_xlfn.IFNA(IF(((INDEX(Agents!D2:D12, MATCH(J4,Agents!A2:A12, 0))="")=TRUE),  "",  INDEX(Agents!D2:D12, MATCH(J4,Agents!A2:A12, 0))), "")</f>
        <v>Human</v>
      </c>
      <c r="AR4" s="4" t="b">
        <f>AND(((Y4)=TRUE), ((AP4)=TRUE))</f>
        <v>0</v>
      </c>
      <c r="AS4" s="6">
        <f>IF((COUNTIFS(KnowledgeFragments!AQ2:AQ8, TRUE))="", "", ROUND((COUNTIFS(KnowledgeFragments!AQ2:AQ8, TRUE)), 0))</f>
        <v>7</v>
      </c>
      <c r="AT4" s="4" t="b">
        <f>AS4 &gt; 0</f>
        <v>1</v>
      </c>
      <c r="AU4" s="4">
        <f>COUNTIFS(KnowledgeFragments!BE2:BE8, A4)</f>
        <v>0</v>
      </c>
      <c r="AV4" s="4" t="b">
        <f>AND(((Y4)=TRUE), ((AU4 &gt; 0)=TRUE))</f>
        <v>0</v>
      </c>
      <c r="AW4" s="4">
        <f>COUNTIFS(ElicitationSessions!T2:T4, A4)</f>
        <v>0</v>
      </c>
      <c r="AX4" s="4" t="b">
        <f>AND(((Y4)=TRUE), ((AW4 &gt; 0)=TRUE))</f>
        <v>0</v>
      </c>
      <c r="AY4" s="4">
        <f>COUNTIFS(KnowledgeFragments!BK2:BK8, A4)</f>
        <v>1</v>
      </c>
      <c r="AZ4" s="4" t="b">
        <f>AND(((Y4)=TRUE), ((AY4 &gt; 0)=TRUE))</f>
        <v>1</v>
      </c>
      <c r="BA4" s="4">
        <f>COUNTIFS(KnowledgeFragments!BR2:BR8, A4)</f>
        <v>0</v>
      </c>
      <c r="BB4" s="4">
        <f>COUNTIFS(ChangeRequests!AB2:AB3, A4)</f>
        <v>1</v>
      </c>
      <c r="BC4" s="4">
        <f>COUNTIFS(KnowledgeGaps!Y2:Y9, A4)</f>
        <v>0</v>
      </c>
      <c r="BD4" s="4" t="b">
        <f>AND(((BB4 &gt; 0)=TRUE), ((BC4 &gt; 0)=TRUE))</f>
        <v>0</v>
      </c>
      <c r="BE4" s="4">
        <f>COUNTIFS(Steps!AK2:AK18, A4)</f>
        <v>1</v>
      </c>
      <c r="BF4" s="4" t="b">
        <f>AND(((Y4)=TRUE), ((BE4 &gt; 0)=TRUE))</f>
        <v>1</v>
      </c>
      <c r="BG4" s="4">
        <f>COUNTIFS(KnowledgeFragments!BX2:BX8, A4)</f>
        <v>0</v>
      </c>
      <c r="BH4" s="4">
        <f>COUNTIFS(ChangeRequests!AL2:AL3, A4)</f>
        <v>0</v>
      </c>
      <c r="BI4" s="4">
        <f>COUNTIFS(StepTransitions!V2:V21, A4)</f>
        <v>2</v>
      </c>
      <c r="BJ4" s="4" t="b">
        <f>BI4 &gt; 0</f>
        <v>1</v>
      </c>
      <c r="BK4" s="4" t="b">
        <f>AND(((Y4)=TRUE), ((BJ4)=TRUE))</f>
        <v>1</v>
      </c>
      <c r="BL4" s="4">
        <f>COUNTIFS(ReviewEvents!S2:S4, A4)</f>
        <v>0</v>
      </c>
      <c r="BM4" s="4" t="b">
        <f>BL4 &gt; 0</f>
        <v>0</v>
      </c>
      <c r="BN4" s="4" t="b">
        <f>S4 &gt; 0</f>
        <v>1</v>
      </c>
      <c r="BO4" s="4" t="b">
        <f>AND(((BM4)=TRUE), ((NOT(((BN4)=TRUE)))=TRUE))</f>
        <v>0</v>
      </c>
      <c r="BP4" s="4" t="b">
        <f>AND(((BM4)=TRUE), ((BN4)=TRUE))</f>
        <v>0</v>
      </c>
      <c r="BQ4" s="4" t="b">
        <f>AND(((Y4)=TRUE), ((NOT(((AK4)=TRUE)))=TRUE))</f>
        <v>0</v>
      </c>
      <c r="BR4" s="4">
        <f>COUNTIFS(KnowledgeFragments!CA2:CA8, A4)</f>
        <v>2</v>
      </c>
      <c r="BS4" s="4" t="b">
        <f>BR4 &gt; 0</f>
        <v>1</v>
      </c>
      <c r="BT4" s="4">
        <f>COUNTIFS(ProcedureVersionLinks!G2:G2, A4)</f>
        <v>0</v>
      </c>
      <c r="BU4" s="4" t="b">
        <f>BT4 &gt; 0</f>
        <v>0</v>
      </c>
      <c r="BV4" s="4" t="b">
        <f>AND(((Z4)=TRUE), ((OR(((BS4)=TRUE), ((BU4)=TRUE)))=TRUE))</f>
        <v>0</v>
      </c>
      <c r="BW4" s="4" t="b">
        <f>AND(((Z4)=TRUE), ((NOT(((BS4)=TRUE)))=TRUE), ((NOT(((BU4)=TRUE)))=TRUE))</f>
        <v>0</v>
      </c>
      <c r="BX4" s="4">
        <f>COUNTIFS(ChangeRequests!AP2:AP3, A4)</f>
        <v>0</v>
      </c>
      <c r="BY4" s="4" t="b">
        <f>AND(((NOT(((U4)=TRUE)))=TRUE), ((BX4 &gt; 0)=TRUE))</f>
        <v>0</v>
      </c>
      <c r="BZ4" s="4">
        <f>COUNTIFS(Steps!AM2:AM18, A4)</f>
        <v>0</v>
      </c>
      <c r="CA4" s="4" t="b">
        <f>BZ4 &gt; 0</f>
        <v>0</v>
      </c>
      <c r="CB4" s="4" t="b">
        <f>CC4 &gt; 0</f>
        <v>0</v>
      </c>
      <c r="CC4" s="4">
        <f>COUNTIFS(ChangeRequests!AQ2:AQ3, A4)</f>
        <v>0</v>
      </c>
      <c r="CD4" s="4">
        <f>COUNTIFS(Requirements!AN2:AN14, "unwatched-unowned")</f>
        <v>9</v>
      </c>
      <c r="CE4" s="4">
        <f>COUNTIFS(ProcessMiningRuns!C2:C5, A4)</f>
        <v>1</v>
      </c>
      <c r="CF4" s="4">
        <f>COUNTIFS(ProcessMiningRuns!R2:R5, A4)</f>
        <v>0</v>
      </c>
      <c r="CG4" s="4" t="b">
        <f>CF4 &gt; 0</f>
        <v>0</v>
      </c>
      <c r="CH4" s="4">
        <f>_xlfn.MAXIFS(Steps!AW2:AW18,Steps!C2:C18,A4)</f>
        <v>0</v>
      </c>
      <c r="CI4" s="3" t="s">
        <v>370</v>
      </c>
    </row>
  </sheetData>
  <autoFilter ref="A1:CI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2"/>
  <sheetViews>
    <sheetView workbookViewId="0">
      <pane ySplit="1" topLeftCell="A2" state="frozen" activePane="bottomLeft"/>
      <selection pane="bottomLeft" activeCell="A1" sqref="A1"/>
    </sheetView>
  </sheetViews>
  <sheetFormatPr defaultRowHeight="15"/>
  <cols>
    <col min="1" max="1" width="24.008716583251953" customWidth="1"/>
    <col min="2" max="2" width="27.849239349365234" customWidth="1"/>
    <col min="3" max="3" width="26.057283401489258" customWidth="1"/>
    <col min="4" max="4" width="22.542871475219727" customWidth="1"/>
    <col min="5" max="5" width="32.481082916259766" customWidth="1"/>
    <col min="6" max="6" width="74.36966705322266" customWidth="1"/>
    <col min="7" max="7" width="23.044584274291992" customWidth="1"/>
  </cols>
  <sheetData>
    <row r="1">
      <c r="A1" s="2" t="s">
        <v>468</v>
      </c>
      <c r="B1" s="2" t="s">
        <v>1</v>
      </c>
      <c r="C1" s="2" t="s">
        <v>469</v>
      </c>
      <c r="D1" s="2" t="s">
        <v>470</v>
      </c>
      <c r="E1" s="2" t="s">
        <v>471</v>
      </c>
      <c r="F1" s="2" t="s">
        <v>472</v>
      </c>
      <c r="G1" s="2" t="s">
        <v>473</v>
      </c>
    </row>
    <row r="2">
      <c r="A2" s="3" t="s">
        <v>474</v>
      </c>
      <c r="B2" s="4" t="str">
        <f>C2 &amp; " -&gt; " &amp; D2</f>
        <v>close-v1.0.0 -&gt; close-v1.1.0</v>
      </c>
      <c r="C2" s="3" t="s">
        <v>455</v>
      </c>
      <c r="D2" s="3" t="s">
        <v>369</v>
      </c>
      <c r="E2" s="3" t="s">
        <v>475</v>
      </c>
      <c r="F2" s="3" t="s">
        <v>476</v>
      </c>
      <c r="G2" s="4" t="str">
        <f>IF(((E2 = "https://w3id.org/pko#nextVersion")=TRUE),  C2,  "")</f>
        <v>close-v1.0.0</v>
      </c>
    </row>
  </sheetData>
  <autoFilter ref="A1:G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6"/>
  <sheetViews>
    <sheetView workbookViewId="0">
      <pane ySplit="1" topLeftCell="A2" state="frozen" activePane="bottomLeft"/>
      <selection pane="bottomLeft" activeCell="A1" sqref="A1"/>
    </sheetView>
  </sheetViews>
  <sheetFormatPr defaultRowHeight="15"/>
  <cols>
    <col min="1" max="1" width="31.585161209106445" customWidth="1"/>
    <col min="2" max="2" width="36.29981231689453" customWidth="1"/>
    <col min="3" max="3" width="18.236316680908203" customWidth="1"/>
    <col min="4" max="4" width="17.443378448486328" customWidth="1"/>
    <col min="5" max="5" width="17.443378448486328" customWidth="1"/>
    <col min="6" max="6" width="23.35041618347168" customWidth="1"/>
    <col min="7" max="7" width="17.611085891723633" customWidth="1"/>
    <col min="8" max="8" width="42.849403381347656" customWidth="1"/>
    <col min="9" max="9" width="36.48196792602539" customWidth="1"/>
  </cols>
  <sheetData>
    <row r="1">
      <c r="A1" s="2" t="s">
        <v>477</v>
      </c>
      <c r="B1" s="2" t="s">
        <v>1</v>
      </c>
      <c r="C1" s="2" t="s">
        <v>478</v>
      </c>
      <c r="D1" s="2" t="s">
        <v>479</v>
      </c>
      <c r="E1" s="2" t="s">
        <v>480</v>
      </c>
      <c r="F1" s="2" t="s">
        <v>481</v>
      </c>
      <c r="G1" s="2" t="s">
        <v>482</v>
      </c>
      <c r="H1" s="2" t="s">
        <v>483</v>
      </c>
      <c r="I1" s="2" t="s">
        <v>94</v>
      </c>
    </row>
    <row r="2">
      <c r="A2" s="3" t="s">
        <v>484</v>
      </c>
      <c r="B2" s="4" t="str">
        <f>C2 &amp; ": " &amp; D2 &amp; " -&gt; " &amp; E2</f>
        <v>close-v1.1.0: Draft -&gt; Validation</v>
      </c>
      <c r="C2" s="3" t="s">
        <v>369</v>
      </c>
      <c r="D2" s="3" t="s">
        <v>485</v>
      </c>
      <c r="E2" s="3" t="s">
        <v>486</v>
      </c>
      <c r="F2" s="5">
        <v>46120.625</v>
      </c>
      <c r="G2" s="3" t="s">
        <v>139</v>
      </c>
      <c r="H2" s="3" t="s">
        <v>487</v>
      </c>
      <c r="I2" s="3" t="s">
        <v>488</v>
      </c>
    </row>
    <row r="3">
      <c r="A3" s="3" t="s">
        <v>489</v>
      </c>
      <c r="B3" s="4" t="str">
        <f>C3 &amp; ": " &amp; D3 &amp; " -&gt; " &amp; E3</f>
        <v>close-v1.1.0: Validation -&gt; Approval</v>
      </c>
      <c r="C3" s="3" t="s">
        <v>369</v>
      </c>
      <c r="D3" s="3" t="s">
        <v>486</v>
      </c>
      <c r="E3" s="3" t="s">
        <v>490</v>
      </c>
      <c r="F3" s="5">
        <v>46124.791666666664</v>
      </c>
      <c r="G3" s="3" t="s">
        <v>145</v>
      </c>
      <c r="H3" s="3" t="s">
        <v>491</v>
      </c>
      <c r="I3" s="3" t="s">
        <v>488</v>
      </c>
    </row>
    <row r="4">
      <c r="A4" s="3" t="s">
        <v>492</v>
      </c>
      <c r="B4" s="4" t="str">
        <f>C4 &amp; ": " &amp; D4 &amp; " -&gt; " &amp; E4</f>
        <v>close-v1.1.0: Approval -&gt; Approved</v>
      </c>
      <c r="C4" s="3" t="s">
        <v>369</v>
      </c>
      <c r="D4" s="3" t="s">
        <v>490</v>
      </c>
      <c r="E4" s="3" t="s">
        <v>462</v>
      </c>
      <c r="F4" s="5">
        <v>46127.583333333336</v>
      </c>
      <c r="G4" s="3" t="s">
        <v>149</v>
      </c>
      <c r="H4" s="3" t="s">
        <v>493</v>
      </c>
      <c r="I4" s="3" t="s">
        <v>488</v>
      </c>
    </row>
    <row r="5">
      <c r="A5" s="3" t="s">
        <v>494</v>
      </c>
      <c r="B5" s="4" t="str">
        <f>C5 &amp; ": " &amp; D5 &amp; " -&gt; " &amp; E5</f>
        <v>policy-v1.0.0: Draft -&gt; Validation</v>
      </c>
      <c r="C5" s="3" t="s">
        <v>375</v>
      </c>
      <c r="D5" s="3" t="s">
        <v>485</v>
      </c>
      <c r="E5" s="3" t="s">
        <v>486</v>
      </c>
      <c r="F5" s="5">
        <v>46162.583333333336</v>
      </c>
      <c r="G5" s="3" t="s">
        <v>153</v>
      </c>
      <c r="H5" s="3" t="s">
        <v>495</v>
      </c>
      <c r="I5" s="3" t="s">
        <v>488</v>
      </c>
    </row>
    <row r="6">
      <c r="A6" s="3" t="s">
        <v>496</v>
      </c>
      <c r="B6" s="4" t="str">
        <f>C6 &amp; ": " &amp; D6 &amp; " -&gt; " &amp; E6</f>
        <v>policy-v1.0.0: Validation -&gt; Approved</v>
      </c>
      <c r="C6" s="3" t="s">
        <v>375</v>
      </c>
      <c r="D6" s="3" t="s">
        <v>486</v>
      </c>
      <c r="E6" s="3" t="s">
        <v>462</v>
      </c>
      <c r="F6" s="5">
        <v>46174.583333333336</v>
      </c>
      <c r="G6" s="3" t="s">
        <v>149</v>
      </c>
      <c r="H6" s="3" t="s">
        <v>497</v>
      </c>
      <c r="I6" s="3" t="s">
        <v>488</v>
      </c>
    </row>
  </sheetData>
  <autoFilter ref="A1:I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B18"/>
  <sheetViews>
    <sheetView workbookViewId="0">
      <pane ySplit="1" topLeftCell="A2" state="frozen" activePane="bottomLeft"/>
      <selection pane="bottomLeft" activeCell="A1" sqref="A1"/>
    </sheetView>
  </sheetViews>
  <sheetFormatPr defaultRowHeight="15"/>
  <cols>
    <col min="1" max="1" width="17.443378448486328" customWidth="1"/>
    <col min="2" max="2" width="47.64772415161133" customWidth="1"/>
    <col min="3" max="3" width="18.236316680908203" customWidth="1"/>
    <col min="4" max="4" width="17.443378448486328" customWidth="1"/>
    <col min="5" max="5" width="43.767982482910156" customWidth="1"/>
    <col min="6" max="6" width="17.443378448486328" customWidth="1"/>
    <col min="7" max="7" width="22.35959815979004" customWidth="1"/>
    <col min="8" max="8" width="29.93553352355957" customWidth="1"/>
    <col min="9" max="9" width="19.46396255493164" customWidth="1"/>
    <col min="10" max="10" width="88.52417755126953" customWidth="1"/>
    <col min="11" max="11" width="25.40670394897461" customWidth="1"/>
    <col min="12" max="12" width="17.443378448486328" customWidth="1"/>
    <col min="13" max="13" width="28.131574630737305" customWidth="1"/>
    <col min="14" max="14" width="26.661638259887695" customWidth="1"/>
    <col min="15" max="15" width="18.681589126586914" customWidth="1"/>
    <col min="16" max="16" width="23.561147689819336" customWidth="1"/>
    <col min="17" max="17" width="24.301973342895508" customWidth="1"/>
    <col min="18" max="18" width="25.49582862854004" customWidth="1"/>
    <col min="19" max="19" width="18.54766845703125" customWidth="1"/>
    <col min="20" max="20" width="17.443378448486328" customWidth="1"/>
    <col min="21" max="21" width="29.982799530029297" customWidth="1"/>
    <col min="22" max="22" width="17.443378448486328" customWidth="1"/>
    <col min="23" max="23" width="20.15882682800293" customWidth="1"/>
    <col min="24" max="24" width="22.745859146118164" customWidth="1"/>
    <col min="25" max="25" width="19.229677200317383" customWidth="1"/>
    <col min="26" max="26" width="23.175174713134766" customWidth="1"/>
    <col min="27" max="27" width="27.019977569580078" customWidth="1"/>
    <col min="28" max="28" width="22.67380142211914" customWidth="1"/>
    <col min="29" max="29" width="17.443378448486328" customWidth="1"/>
    <col min="30" max="30" width="17.443378448486328" customWidth="1"/>
    <col min="31" max="31" width="28.09103012084961" customWidth="1"/>
    <col min="32" max="32" width="35.80137634277344" customWidth="1"/>
    <col min="33" max="33" width="24.63006019592285" customWidth="1"/>
    <col min="34" max="34" width="31.169235229492188" customWidth="1"/>
    <col min="35" max="35" width="25.599285125732422" customWidth="1"/>
    <col min="36" max="36" width="27.4479923248291" customWidth="1"/>
    <col min="37" max="37" width="27.297605514526367" customWidth="1"/>
    <col min="38" max="38" width="24.13197135925293" customWidth="1"/>
    <col min="39" max="39" width="28.806028366088867" customWidth="1"/>
    <col min="40" max="40" width="32.12822723388672" customWidth="1"/>
    <col min="41" max="41" width="26.54390525817871" customWidth="1"/>
    <col min="42" max="42" width="20.92820930480957" customWidth="1"/>
    <col min="43" max="43" width="24.165727615356445" customWidth="1"/>
    <col min="44" max="44" width="17.443378448486328" customWidth="1"/>
    <col min="45" max="45" width="18.007051467895508" customWidth="1"/>
    <col min="46" max="46" width="32.07889175415039" customWidth="1"/>
    <col min="47" max="47" width="25.16598892211914" customWidth="1"/>
    <col min="48" max="48" width="17.443378448486328" customWidth="1"/>
    <col min="49" max="49" width="17.443378448486328" customWidth="1"/>
    <col min="50" max="50" width="19.90011978149414" customWidth="1"/>
    <col min="51" max="51" width="30.629348754882812" customWidth="1"/>
    <col min="52" max="52" width="41.0207633972168" customWidth="1"/>
    <col min="53" max="53" width="26.46272087097168" customWidth="1"/>
    <col min="54" max="54" width="34.72551345825195" customWidth="1"/>
  </cols>
  <sheetData>
    <row r="1">
      <c r="A1" s="2" t="s">
        <v>498</v>
      </c>
      <c r="B1" s="2" t="s">
        <v>1</v>
      </c>
      <c r="C1" s="2" t="s">
        <v>478</v>
      </c>
      <c r="D1" s="2" t="s">
        <v>499</v>
      </c>
      <c r="E1" s="2" t="s">
        <v>358</v>
      </c>
      <c r="F1" s="2" t="s">
        <v>500</v>
      </c>
      <c r="G1" s="2" t="s">
        <v>501</v>
      </c>
      <c r="H1" s="2" t="s">
        <v>502</v>
      </c>
      <c r="I1" s="2" t="s">
        <v>503</v>
      </c>
      <c r="J1" s="2" t="s">
        <v>504</v>
      </c>
      <c r="K1" s="2" t="s">
        <v>505</v>
      </c>
      <c r="L1" s="2" t="s">
        <v>506</v>
      </c>
      <c r="M1" s="2" t="s">
        <v>507</v>
      </c>
      <c r="N1" s="2" t="s">
        <v>508</v>
      </c>
      <c r="O1" s="2" t="s">
        <v>509</v>
      </c>
      <c r="P1" s="2" t="s">
        <v>510</v>
      </c>
      <c r="Q1" s="2" t="s">
        <v>511</v>
      </c>
      <c r="R1" s="2" t="s">
        <v>512</v>
      </c>
      <c r="S1" s="2" t="s">
        <v>513</v>
      </c>
      <c r="T1" s="2" t="s">
        <v>514</v>
      </c>
      <c r="U1" s="2" t="s">
        <v>515</v>
      </c>
      <c r="V1" s="2" t="s">
        <v>516</v>
      </c>
      <c r="W1" s="2" t="s">
        <v>517</v>
      </c>
      <c r="X1" s="2" t="s">
        <v>518</v>
      </c>
      <c r="Y1" s="2" t="s">
        <v>519</v>
      </c>
      <c r="Z1" s="2" t="s">
        <v>520</v>
      </c>
      <c r="AA1" s="2" t="s">
        <v>521</v>
      </c>
      <c r="AB1" s="2" t="s">
        <v>522</v>
      </c>
      <c r="AC1" s="2" t="s">
        <v>523</v>
      </c>
      <c r="AD1" s="2" t="s">
        <v>524</v>
      </c>
      <c r="AE1" s="2" t="s">
        <v>525</v>
      </c>
      <c r="AF1" s="2" t="s">
        <v>526</v>
      </c>
      <c r="AG1" s="2" t="s">
        <v>527</v>
      </c>
      <c r="AH1" s="2" t="s">
        <v>528</v>
      </c>
      <c r="AI1" s="2" t="s">
        <v>529</v>
      </c>
      <c r="AJ1" s="2" t="s">
        <v>530</v>
      </c>
      <c r="AK1" s="2" t="s">
        <v>531</v>
      </c>
      <c r="AL1" s="2" t="s">
        <v>532</v>
      </c>
      <c r="AM1" s="2" t="s">
        <v>533</v>
      </c>
      <c r="AN1" s="2" t="s">
        <v>534</v>
      </c>
      <c r="AO1" s="2" t="s">
        <v>535</v>
      </c>
      <c r="AP1" s="2" t="s">
        <v>536</v>
      </c>
      <c r="AQ1" s="2" t="s">
        <v>537</v>
      </c>
      <c r="AR1" s="2" t="s">
        <v>538</v>
      </c>
      <c r="AS1" s="2" t="s">
        <v>539</v>
      </c>
      <c r="AT1" s="2" t="s">
        <v>540</v>
      </c>
      <c r="AU1" s="2" t="s">
        <v>541</v>
      </c>
      <c r="AV1" s="2" t="s">
        <v>542</v>
      </c>
      <c r="AW1" s="2" t="s">
        <v>543</v>
      </c>
      <c r="AX1" s="2" t="s">
        <v>544</v>
      </c>
      <c r="AY1" s="2" t="s">
        <v>545</v>
      </c>
      <c r="AZ1" s="2" t="s">
        <v>546</v>
      </c>
      <c r="BA1" s="2" t="s">
        <v>547</v>
      </c>
      <c r="BB1" s="2" t="s">
        <v>94</v>
      </c>
    </row>
    <row r="2">
      <c r="A2" s="3" t="s">
        <v>548</v>
      </c>
      <c r="B2" s="4" t="str">
        <f>D2 &amp; ". " &amp; E2</f>
        <v>01. Freeze transaction entry</v>
      </c>
      <c r="C2" s="3" t="s">
        <v>369</v>
      </c>
      <c r="D2" s="3" t="s">
        <v>549</v>
      </c>
      <c r="E2" s="3" t="s">
        <v>550</v>
      </c>
      <c r="F2" s="3" t="s">
        <v>551</v>
      </c>
      <c r="G2" s="3" t="s">
        <v>228</v>
      </c>
      <c r="H2" s="4" t="str">
        <f>_xlfn.IFNA(IF(((INDEX(Roles!C2:C13, MATCH(G2,Roles!A2:A13, 0))="")=TRUE),  "",  INDEX(Roles!C2:C13, MATCH(G2,Roles!A2:A13, 0))), "")</f>
        <v>Close Automation Operator</v>
      </c>
      <c r="I2" s="4" t="str">
        <f>_xlfn.IFNA(IF(((INDEX(Roles!F2:F13, MATCH(G2,Roles!A2:A13, 0))="")=TRUE),  "",  INDEX(Roles!F2:F13, MATCH(G2,Roles!A2:A13, 0))), "")</f>
        <v>AutomatedPipeline</v>
      </c>
      <c r="J2" s="3" t="s">
        <v>552</v>
      </c>
      <c r="K2" s="8">
        <v>5</v>
      </c>
      <c r="L2" s="3" t="s">
        <v>553</v>
      </c>
      <c r="M2" s="3" t="b">
        <v>0</v>
      </c>
      <c r="N2" s="4">
        <f>COUNTIFS(StepRequirements!F2:F16, A2)</f>
        <v>1</v>
      </c>
      <c r="O2" s="4">
        <f>COUNTIFS(OperationalBindings!O2:O6, A2)</f>
        <v>0</v>
      </c>
      <c r="P2" s="4">
        <f>COUNTIFS(OperationalBindings!P2:P6, A2)</f>
        <v>0</v>
      </c>
      <c r="Q2" s="4">
        <f>COUNTIFS(Exceptions!J2:J5, A2)</f>
        <v>0</v>
      </c>
      <c r="R2" s="4">
        <f>COUNTIFS(StepVerifications!C2:C12, A2)</f>
        <v>1</v>
      </c>
      <c r="S2" s="4" t="b">
        <f>OR(((G2 = "finance-analyst")=TRUE), ((G2 = "variance-review-agent")=TRUE))</f>
        <v>0</v>
      </c>
      <c r="T2" s="4" t="b">
        <f>OR(((G2 = "controller")=TRUE), ((G2 = "cfo")=TRUE))</f>
        <v>0</v>
      </c>
      <c r="U2" s="4">
        <f>COUNTIFS(OperationalBindings!R2:R6, A2)</f>
        <v>0</v>
      </c>
      <c r="V2" s="4" t="b">
        <f>U2 = 0</f>
        <v>1</v>
      </c>
      <c r="W2" s="4" t="b">
        <f>OR(((I2 = "AIAgent")=TRUE), ((I2 = "AutomatedPipeline")=TRUE))</f>
        <v>1</v>
      </c>
      <c r="X2" s="4" t="b">
        <f>AND(((NOT(((W2)=TRUE)))=TRUE), ((OR(((A2 = "policy-05")=TRUE), ((A2 = "close-06")=TRUE)))=TRUE))</f>
        <v>0</v>
      </c>
      <c r="Y2" s="4" t="b">
        <f>AND(((X2)=TRUE), ((I2 = "Human")=TRUE))</f>
        <v>0</v>
      </c>
      <c r="Z2" s="4">
        <f>COUNTIFS(AuthorityBoundaries!P2:P4, A2)</f>
        <v>0</v>
      </c>
      <c r="AA2" s="4" t="b">
        <f>_xlfn.IFNA(IF(((INDEX(Roles!O2:O13, MATCH(G2,Roles!A2:A13, 0))="")=TRUE),  "",  INDEX(Roles!O2:O13, MATCH(G2,Roles!A2:A13, 0))), "")</f>
        <v>0</v>
      </c>
      <c r="AB2" s="4">
        <f>COUNTIFS(OperationalBindings!U2:U6, A2)</f>
        <v>0</v>
      </c>
      <c r="AC2" s="4" t="b">
        <f>AB2 = 0</f>
        <v>1</v>
      </c>
      <c r="AD2" s="3" t="s">
        <v>554</v>
      </c>
      <c r="AE2" s="4">
        <f>COUNTIFS(AuthorityBoundaries!Z2:Z4, A2)</f>
        <v>0</v>
      </c>
      <c r="AF2" s="4" t="b">
        <f>AE2 &gt; 0</f>
        <v>0</v>
      </c>
      <c r="AG2" s="4">
        <f>COUNTIFS(StepExecutions!CG2:CG13, A2)</f>
        <v>1</v>
      </c>
      <c r="AH2" s="4" t="b">
        <f>AG2 &gt; 0</f>
        <v>1</v>
      </c>
      <c r="AI2" s="4" t="b">
        <f>AND(((X2)=TRUE), ((NOT(((AH2)=TRUE)))=TRUE))</f>
        <v>0</v>
      </c>
      <c r="AJ2" s="4" t="b">
        <f>AND(((X2)=TRUE), ((AH2)=TRUE), ((Y2)=TRUE))</f>
        <v>0</v>
      </c>
      <c r="AK2" s="4" t="str">
        <f>IF(((AI2)=TRUE),  C2,  "")</f>
      </c>
      <c r="AL2" s="4" t="b">
        <f>AD2 &lt;&gt; ""</f>
        <v>1</v>
      </c>
      <c r="AM2" s="4" t="str">
        <f>IF(((AL2)=TRUE),  "",  C2)</f>
      </c>
      <c r="AN2" s="4" t="b">
        <f>AND(((AD2 = "Approval")=TRUE), ((W2)=TRUE))</f>
        <v>0</v>
      </c>
      <c r="AO2" s="4">
        <f>COUNTIFS(StepRequirements!I2:I16, A2)</f>
        <v>0</v>
      </c>
      <c r="AP2" s="6" t="e">
        <f>IF((COUNTIFS(vw_step_transitions_closure!{{FromId}},A2))="", "", ROUND((COUNTIFS(vw_step_transitions_closure!{{FromId}},A2)), 0))</f>
        <v>#VALUE!</v>
      </c>
      <c r="AQ2" s="6" t="e">
        <f>IF((COUNTIFS(vw_step_transitions_closure!{{ToId}},A2))="", "", ROUND((COUNTIFS(vw_step_transitions_closure!{{ToId}},A2)), 0))</f>
        <v>#VALUE!</v>
      </c>
      <c r="AR2" s="6" t="e">
        <f>IF((COUNTIFS(vw_step_transitions_closure!{{FromId}},A2, vw_step_transitions_closure!{{ToId}},A2))="", "", ROUND((COUNTIFS(vw_step_transitions_closure!{{FromId}},A2, vw_step_transitions_closure!{{ToId}},A2)), 0))</f>
        <v>#VALUE!</v>
      </c>
      <c r="AS2" s="4" t="e">
        <f>AR2 &gt; 0</f>
        <v>#VALUE!</v>
      </c>
      <c r="AT2" s="4" t="e">
        <f>AND(((AS2)=TRUE), ((N2 &gt; 0)=TRUE))</f>
        <v>#VALUE!</v>
      </c>
      <c r="AU2" s="6">
        <f>IF((COUNTIFS(StepTransitions!E2:E21,A2))="", "", ROUND((COUNTIFS(StepTransitions!E2:E21,A2)), 0))</f>
        <v>0</v>
      </c>
      <c r="AV2" s="4" t="b">
        <f>AU2 = 0</f>
        <v>1</v>
      </c>
      <c r="AW2" s="4" t="str">
        <f>IF(((AV2)=TRUE),  A2,  "")</f>
        <v>close-01</v>
      </c>
      <c r="AX2" s="4">
        <f>_xlfn.IFNA(IF(((INDEX(ProcedureVersions!CH2:CH4, MATCH(C2,ProcedureVersions!A2:A4, 0))="")=TRUE),  "",  INDEX(ProcedureVersions!CH2:CH4, MATCH(C2,ProcedureVersions!A2:A4, 0))), "")</f>
        <v>0</v>
      </c>
      <c r="AY2" s="6" t="e">
        <f>IF((COUNTIFS(vw_step_transitions_closure_where_avoids_human_approval_gate!{{FromId}}, AX2, vw_step_transitions_closure_where_avoids_human_approval_gate!{{ToId}},A2))="", "", ROUND((COUNTIFS(vw_step_transitions_closure_where_avoids_human_approval_gate!{{FromId}}, AX2, vw_step_transitions_closure_where_avoids_human_approval_gate!{{ToId}},A2)), 0))</f>
        <v>#VALUE!</v>
      </c>
      <c r="AZ2" s="4" t="e">
        <f>AY2 &gt; 0</f>
        <v>#VALUE!</v>
      </c>
      <c r="BA2" s="4" t="e">
        <f>AND(((AD2 = "Publication")=TRUE), ((AZ2)=TRUE))</f>
        <v>#VALUE!</v>
      </c>
      <c r="BB2" s="3" t="s">
        <v>555</v>
      </c>
    </row>
    <row r="3">
      <c r="A3" s="3" t="s">
        <v>556</v>
      </c>
      <c r="B3" s="4" t="str">
        <f>D3 &amp; ". " &amp; E3</f>
        <v>02. Extract trial balance and feed timestamps</v>
      </c>
      <c r="C3" s="3" t="s">
        <v>369</v>
      </c>
      <c r="D3" s="3" t="s">
        <v>557</v>
      </c>
      <c r="E3" s="3" t="s">
        <v>558</v>
      </c>
      <c r="F3" s="3" t="s">
        <v>551</v>
      </c>
      <c r="G3" s="3" t="s">
        <v>228</v>
      </c>
      <c r="H3" s="4" t="str">
        <f>_xlfn.IFNA(IF(((INDEX(Roles!C2:C13, MATCH(G3,Roles!A2:A13, 0))="")=TRUE),  "",  INDEX(Roles!C2:C13, MATCH(G3,Roles!A2:A13, 0))), "")</f>
        <v>Close Automation Operator</v>
      </c>
      <c r="I3" s="4" t="str">
        <f>_xlfn.IFNA(IF(((INDEX(Roles!F2:F13, MATCH(G3,Roles!A2:A13, 0))="")=TRUE),  "",  INDEX(Roles!F2:F13, MATCH(G3,Roles!A2:A13, 0))), "")</f>
        <v>AutomatedPipeline</v>
      </c>
      <c r="J3" s="3" t="s">
        <v>559</v>
      </c>
      <c r="K3" s="8">
        <v>10</v>
      </c>
      <c r="L3" s="3" t="s">
        <v>553</v>
      </c>
      <c r="M3" s="3" t="b">
        <v>0</v>
      </c>
      <c r="N3" s="4">
        <f>COUNTIFS(StepRequirements!F2:F16, A3)</f>
        <v>0</v>
      </c>
      <c r="O3" s="4">
        <f>COUNTIFS(OperationalBindings!O2:O6, A3)</f>
        <v>1</v>
      </c>
      <c r="P3" s="4">
        <f>COUNTIFS(OperationalBindings!P2:P6, A3)</f>
        <v>1</v>
      </c>
      <c r="Q3" s="4">
        <f>COUNTIFS(Exceptions!J2:J5, A3)</f>
        <v>1</v>
      </c>
      <c r="R3" s="4">
        <f>COUNTIFS(StepVerifications!C2:C12, A3)</f>
        <v>1</v>
      </c>
      <c r="S3" s="4" t="b">
        <f>OR(((G3 = "finance-analyst")=TRUE), ((G3 = "variance-review-agent")=TRUE))</f>
        <v>0</v>
      </c>
      <c r="T3" s="4" t="b">
        <f>OR(((G3 = "controller")=TRUE), ((G3 = "cfo")=TRUE))</f>
        <v>0</v>
      </c>
      <c r="U3" s="4">
        <f>COUNTIFS(OperationalBindings!R2:R6, A3)</f>
        <v>1</v>
      </c>
      <c r="V3" s="4" t="b">
        <f>U3 = 0</f>
        <v>0</v>
      </c>
      <c r="W3" s="4" t="b">
        <f>OR(((I3 = "AIAgent")=TRUE), ((I3 = "AutomatedPipeline")=TRUE))</f>
        <v>1</v>
      </c>
      <c r="X3" s="4" t="b">
        <f>AND(((NOT(((W3)=TRUE)))=TRUE), ((OR(((A3 = "policy-05")=TRUE), ((A3 = "close-06")=TRUE)))=TRUE))</f>
        <v>0</v>
      </c>
      <c r="Y3" s="4" t="b">
        <f>AND(((X3)=TRUE), ((I3 = "Human")=TRUE))</f>
        <v>0</v>
      </c>
      <c r="Z3" s="4">
        <f>COUNTIFS(AuthorityBoundaries!P2:P4, A3)</f>
        <v>0</v>
      </c>
      <c r="AA3" s="4" t="b">
        <f>_xlfn.IFNA(IF(((INDEX(Roles!O2:O13, MATCH(G3,Roles!A2:A13, 0))="")=TRUE),  "",  INDEX(Roles!O2:O13, MATCH(G3,Roles!A2:A13, 0))), "")</f>
        <v>0</v>
      </c>
      <c r="AB3" s="4">
        <f>COUNTIFS(OperationalBindings!U2:U6, A3)</f>
        <v>1</v>
      </c>
      <c r="AC3" s="4" t="b">
        <f>AB3 = 0</f>
        <v>0</v>
      </c>
      <c r="AD3" s="3" t="s">
        <v>554</v>
      </c>
      <c r="AE3" s="4">
        <f>COUNTIFS(AuthorityBoundaries!Z2:Z4, A3)</f>
        <v>0</v>
      </c>
      <c r="AF3" s="4" t="b">
        <f>AE3 &gt; 0</f>
        <v>0</v>
      </c>
      <c r="AG3" s="4">
        <f>COUNTIFS(StepExecutions!CG2:CG13, A3)</f>
        <v>1</v>
      </c>
      <c r="AH3" s="4" t="b">
        <f>AG3 &gt; 0</f>
        <v>1</v>
      </c>
      <c r="AI3" s="4" t="b">
        <f>AND(((X3)=TRUE), ((NOT(((AH3)=TRUE)))=TRUE))</f>
        <v>0</v>
      </c>
      <c r="AJ3" s="4" t="b">
        <f>AND(((X3)=TRUE), ((AH3)=TRUE), ((Y3)=TRUE))</f>
        <v>0</v>
      </c>
      <c r="AK3" s="4" t="str">
        <f>IF(((AI3)=TRUE),  C3,  "")</f>
      </c>
      <c r="AL3" s="4" t="b">
        <f>AD3 &lt;&gt; ""</f>
        <v>1</v>
      </c>
      <c r="AM3" s="4" t="str">
        <f>IF(((AL3)=TRUE),  "",  C3)</f>
      </c>
      <c r="AN3" s="4" t="b">
        <f>AND(((AD3 = "Approval")=TRUE), ((W3)=TRUE))</f>
        <v>0</v>
      </c>
      <c r="AO3" s="4">
        <f>COUNTIFS(StepRequirements!I2:I16, A3)</f>
        <v>0</v>
      </c>
      <c r="AP3" s="6" t="e">
        <f>IF((COUNTIFS(vw_step_transitions_closure!{{FromId}},A3))="", "", ROUND((COUNTIFS(vw_step_transitions_closure!{{FromId}},A3)), 0))</f>
        <v>#VALUE!</v>
      </c>
      <c r="AQ3" s="6" t="e">
        <f>IF((COUNTIFS(vw_step_transitions_closure!{{ToId}},A3))="", "", ROUND((COUNTIFS(vw_step_transitions_closure!{{ToId}},A3)), 0))</f>
        <v>#VALUE!</v>
      </c>
      <c r="AR3" s="6" t="e">
        <f>IF((COUNTIFS(vw_step_transitions_closure!{{FromId}},A3, vw_step_transitions_closure!{{ToId}},A3))="", "", ROUND((COUNTIFS(vw_step_transitions_closure!{{FromId}},A3, vw_step_transitions_closure!{{ToId}},A3)), 0))</f>
        <v>#VALUE!</v>
      </c>
      <c r="AS3" s="4" t="e">
        <f>AR3 &gt; 0</f>
        <v>#VALUE!</v>
      </c>
      <c r="AT3" s="4" t="e">
        <f>AND(((AS3)=TRUE), ((N3 &gt; 0)=TRUE))</f>
        <v>#VALUE!</v>
      </c>
      <c r="AU3" s="6">
        <f>IF((COUNTIFS(StepTransitions!E2:E21,A3))="", "", ROUND((COUNTIFS(StepTransitions!E2:E21,A3)), 0))</f>
        <v>1</v>
      </c>
      <c r="AV3" s="4" t="b">
        <f>AU3 = 0</f>
        <v>0</v>
      </c>
      <c r="AW3" s="4" t="str">
        <f>IF(((AV3)=TRUE),  A3,  "")</f>
      </c>
      <c r="AX3" s="4">
        <f>_xlfn.IFNA(IF(((INDEX(ProcedureVersions!CH2:CH4, MATCH(C3,ProcedureVersions!A2:A4, 0))="")=TRUE),  "",  INDEX(ProcedureVersions!CH2:CH4, MATCH(C3,ProcedureVersions!A2:A4, 0))), "")</f>
        <v>0</v>
      </c>
      <c r="AY3" s="6" t="e">
        <f>IF((COUNTIFS(vw_step_transitions_closure_where_avoids_human_approval_gate!{{FromId}}, AX3, vw_step_transitions_closure_where_avoids_human_approval_gate!{{ToId}},A3))="", "", ROUND((COUNTIFS(vw_step_transitions_closure_where_avoids_human_approval_gate!{{FromId}}, AX3, vw_step_transitions_closure_where_avoids_human_approval_gate!{{ToId}},A3)), 0))</f>
        <v>#VALUE!</v>
      </c>
      <c r="AZ3" s="4" t="e">
        <f>AY3 &gt; 0</f>
        <v>#VALUE!</v>
      </c>
      <c r="BA3" s="4" t="e">
        <f>AND(((AD3 = "Publication")=TRUE), ((AZ3)=TRUE))</f>
        <v>#VALUE!</v>
      </c>
      <c r="BB3" s="3" t="s">
        <v>555</v>
      </c>
    </row>
    <row r="4">
      <c r="A4" s="3" t="s">
        <v>560</v>
      </c>
      <c r="B4" s="4" t="str">
        <f>D4 &amp; ". " &amp; E4</f>
        <v>03. Reconcile material accounts</v>
      </c>
      <c r="C4" s="3" t="s">
        <v>369</v>
      </c>
      <c r="D4" s="3" t="s">
        <v>561</v>
      </c>
      <c r="E4" s="3" t="s">
        <v>562</v>
      </c>
      <c r="F4" s="3" t="s">
        <v>563</v>
      </c>
      <c r="G4" s="3" t="s">
        <v>203</v>
      </c>
      <c r="H4" s="4" t="str">
        <f>_xlfn.IFNA(IF(((INDEX(Roles!C2:C13, MATCH(G4,Roles!A2:A13, 0))="")=TRUE),  "",  INDEX(Roles!C2:C13, MATCH(G4,Roles!A2:A13, 0))), "")</f>
        <v>Finance Analyst</v>
      </c>
      <c r="I4" s="4" t="str">
        <f>_xlfn.IFNA(IF(((INDEX(Roles!F2:F13, MATCH(G4,Roles!A2:A13, 0))="")=TRUE),  "",  INDEX(Roles!F2:F13, MATCH(G4,Roles!A2:A13, 0))), "")</f>
        <v>Human</v>
      </c>
      <c r="J4" s="3" t="s">
        <v>564</v>
      </c>
      <c r="K4" s="8">
        <v>120</v>
      </c>
      <c r="L4" s="3" t="s">
        <v>553</v>
      </c>
      <c r="M4" s="3" t="b">
        <v>0</v>
      </c>
      <c r="N4" s="4">
        <f>COUNTIFS(StepRequirements!F2:F16, A4)</f>
        <v>2</v>
      </c>
      <c r="O4" s="4">
        <f>COUNTIFS(OperationalBindings!O2:O6, A4)</f>
        <v>0</v>
      </c>
      <c r="P4" s="4">
        <f>COUNTIFS(OperationalBindings!P2:P6, A4)</f>
        <v>0</v>
      </c>
      <c r="Q4" s="4">
        <f>COUNTIFS(Exceptions!J2:J5, A4)</f>
        <v>0</v>
      </c>
      <c r="R4" s="4">
        <f>COUNTIFS(StepVerifications!C2:C12, A4)</f>
        <v>1</v>
      </c>
      <c r="S4" s="4" t="b">
        <f>OR(((G4 = "finance-analyst")=TRUE), ((G4 = "variance-review-agent")=TRUE))</f>
        <v>1</v>
      </c>
      <c r="T4" s="4" t="b">
        <f>OR(((G4 = "controller")=TRUE), ((G4 = "cfo")=TRUE))</f>
        <v>0</v>
      </c>
      <c r="U4" s="4">
        <f>COUNTIFS(OperationalBindings!R2:R6, A4)</f>
        <v>0</v>
      </c>
      <c r="V4" s="4" t="b">
        <f>U4 = 0</f>
        <v>1</v>
      </c>
      <c r="W4" s="4" t="b">
        <f>OR(((I4 = "AIAgent")=TRUE), ((I4 = "AutomatedPipeline")=TRUE))</f>
        <v>0</v>
      </c>
      <c r="X4" s="4" t="b">
        <f>AND(((NOT(((W4)=TRUE)))=TRUE), ((OR(((A4 = "policy-05")=TRUE), ((A4 = "close-06")=TRUE)))=TRUE))</f>
        <v>0</v>
      </c>
      <c r="Y4" s="4" t="b">
        <f>AND(((X4)=TRUE), ((I4 = "Human")=TRUE))</f>
        <v>0</v>
      </c>
      <c r="Z4" s="4">
        <f>COUNTIFS(AuthorityBoundaries!P2:P4, A4)</f>
        <v>0</v>
      </c>
      <c r="AA4" s="4" t="b">
        <f>_xlfn.IFNA(IF(((INDEX(Roles!O2:O13, MATCH(G4,Roles!A2:A13, 0))="")=TRUE),  "",  INDEX(Roles!O2:O13, MATCH(G4,Roles!A2:A13, 0))), "")</f>
        <v>0</v>
      </c>
      <c r="AB4" s="4">
        <f>COUNTIFS(OperationalBindings!U2:U6, A4)</f>
        <v>0</v>
      </c>
      <c r="AC4" s="4" t="b">
        <f>AB4 = 0</f>
        <v>1</v>
      </c>
      <c r="AD4" s="3" t="s">
        <v>565</v>
      </c>
      <c r="AE4" s="4">
        <f>COUNTIFS(AuthorityBoundaries!Z2:Z4, A4)</f>
        <v>0</v>
      </c>
      <c r="AF4" s="4" t="b">
        <f>AE4 &gt; 0</f>
        <v>0</v>
      </c>
      <c r="AG4" s="4">
        <f>COUNTIFS(StepExecutions!CG2:CG13, A4)</f>
        <v>0</v>
      </c>
      <c r="AH4" s="4" t="b">
        <f>AG4 &gt; 0</f>
        <v>0</v>
      </c>
      <c r="AI4" s="4" t="b">
        <f>AND(((X4)=TRUE), ((NOT(((AH4)=TRUE)))=TRUE))</f>
        <v>0</v>
      </c>
      <c r="AJ4" s="4" t="b">
        <f>AND(((X4)=TRUE), ((AH4)=TRUE), ((Y4)=TRUE))</f>
        <v>0</v>
      </c>
      <c r="AK4" s="4" t="str">
        <f>IF(((AI4)=TRUE),  C4,  "")</f>
      </c>
      <c r="AL4" s="4" t="b">
        <f>AD4 &lt;&gt; ""</f>
        <v>1</v>
      </c>
      <c r="AM4" s="4" t="str">
        <f>IF(((AL4)=TRUE),  "",  C4)</f>
      </c>
      <c r="AN4" s="4" t="b">
        <f>AND(((AD4 = "Approval")=TRUE), ((W4)=TRUE))</f>
        <v>0</v>
      </c>
      <c r="AO4" s="4">
        <f>COUNTIFS(StepRequirements!I2:I16, A4)</f>
        <v>0</v>
      </c>
      <c r="AP4" s="6" t="e">
        <f>IF((COUNTIFS(vw_step_transitions_closure!{{FromId}},A4))="", "", ROUND((COUNTIFS(vw_step_transitions_closure!{{FromId}},A4)), 0))</f>
        <v>#VALUE!</v>
      </c>
      <c r="AQ4" s="6" t="e">
        <f>IF((COUNTIFS(vw_step_transitions_closure!{{ToId}},A4))="", "", ROUND((COUNTIFS(vw_step_transitions_closure!{{ToId}},A4)), 0))</f>
        <v>#VALUE!</v>
      </c>
      <c r="AR4" s="6" t="e">
        <f>IF((COUNTIFS(vw_step_transitions_closure!{{FromId}},A4, vw_step_transitions_closure!{{ToId}},A4))="", "", ROUND((COUNTIFS(vw_step_transitions_closure!{{FromId}},A4, vw_step_transitions_closure!{{ToId}},A4)), 0))</f>
        <v>#VALUE!</v>
      </c>
      <c r="AS4" s="4" t="e">
        <f>AR4 &gt; 0</f>
        <v>#VALUE!</v>
      </c>
      <c r="AT4" s="4" t="e">
        <f>AND(((AS4)=TRUE), ((N4 &gt; 0)=TRUE))</f>
        <v>#VALUE!</v>
      </c>
      <c r="AU4" s="6">
        <f>IF((COUNTIFS(StepTransitions!E2:E21,A4))="", "", ROUND((COUNTIFS(StepTransitions!E2:E21,A4)), 0))</f>
        <v>2</v>
      </c>
      <c r="AV4" s="4" t="b">
        <f>AU4 = 0</f>
        <v>0</v>
      </c>
      <c r="AW4" s="4" t="str">
        <f>IF(((AV4)=TRUE),  A4,  "")</f>
      </c>
      <c r="AX4" s="4">
        <f>_xlfn.IFNA(IF(((INDEX(ProcedureVersions!CH2:CH4, MATCH(C4,ProcedureVersions!A2:A4, 0))="")=TRUE),  "",  INDEX(ProcedureVersions!CH2:CH4, MATCH(C4,ProcedureVersions!A2:A4, 0))), "")</f>
        <v>0</v>
      </c>
      <c r="AY4" s="6" t="e">
        <f>IF((COUNTIFS(vw_step_transitions_closure_where_avoids_human_approval_gate!{{FromId}}, AX4, vw_step_transitions_closure_where_avoids_human_approval_gate!{{ToId}},A4))="", "", ROUND((COUNTIFS(vw_step_transitions_closure_where_avoids_human_approval_gate!{{FromId}}, AX4, vw_step_transitions_closure_where_avoids_human_approval_gate!{{ToId}},A4)), 0))</f>
        <v>#VALUE!</v>
      </c>
      <c r="AZ4" s="4" t="e">
        <f>AY4 &gt; 0</f>
        <v>#VALUE!</v>
      </c>
      <c r="BA4" s="4" t="e">
        <f>AND(((AD4 = "Publication")=TRUE), ((AZ4)=TRUE))</f>
        <v>#VALUE!</v>
      </c>
      <c r="BB4" s="3" t="s">
        <v>566</v>
      </c>
    </row>
    <row r="5">
      <c r="A5" s="3" t="s">
        <v>567</v>
      </c>
      <c r="B5" s="4" t="str">
        <f>D5 &amp; ". " &amp; E5</f>
        <v>04. Classify and investigate variances</v>
      </c>
      <c r="C5" s="3" t="s">
        <v>369</v>
      </c>
      <c r="D5" s="3" t="s">
        <v>568</v>
      </c>
      <c r="E5" s="3" t="s">
        <v>569</v>
      </c>
      <c r="F5" s="3" t="s">
        <v>563</v>
      </c>
      <c r="G5" s="3" t="s">
        <v>232</v>
      </c>
      <c r="H5" s="4" t="str">
        <f>_xlfn.IFNA(IF(((INDEX(Roles!C2:C13, MATCH(G5,Roles!A2:A13, 0))="")=TRUE),  "",  INDEX(Roles!C2:C13, MATCH(G5,Roles!A2:A13, 0))), "")</f>
        <v>Variance Review Agent</v>
      </c>
      <c r="I5" s="4" t="str">
        <f>_xlfn.IFNA(IF(((INDEX(Roles!F2:F13, MATCH(G5,Roles!A2:A13, 0))="")=TRUE),  "",  INDEX(Roles!F2:F13, MATCH(G5,Roles!A2:A13, 0))), "")</f>
        <v>AIAgent</v>
      </c>
      <c r="J5" s="3" t="s">
        <v>570</v>
      </c>
      <c r="K5" s="8">
        <v>90</v>
      </c>
      <c r="L5" s="3" t="s">
        <v>571</v>
      </c>
      <c r="M5" s="3" t="b">
        <v>0</v>
      </c>
      <c r="N5" s="4">
        <f>COUNTIFS(StepRequirements!F2:F16, A5)</f>
        <v>0</v>
      </c>
      <c r="O5" s="4">
        <f>COUNTIFS(OperationalBindings!O2:O6, A5)</f>
        <v>0</v>
      </c>
      <c r="P5" s="4">
        <f>COUNTIFS(OperationalBindings!P2:P6, A5)</f>
        <v>0</v>
      </c>
      <c r="Q5" s="4">
        <f>COUNTIFS(Exceptions!J2:J5, A5)</f>
        <v>0</v>
      </c>
      <c r="R5" s="4">
        <f>COUNTIFS(StepVerifications!C2:C12, A5)</f>
        <v>0</v>
      </c>
      <c r="S5" s="4" t="b">
        <f>OR(((G5 = "finance-analyst")=TRUE), ((G5 = "variance-review-agent")=TRUE))</f>
        <v>1</v>
      </c>
      <c r="T5" s="4" t="b">
        <f>OR(((G5 = "controller")=TRUE), ((G5 = "cfo")=TRUE))</f>
        <v>0</v>
      </c>
      <c r="U5" s="4">
        <f>COUNTIFS(OperationalBindings!R2:R6, A5)</f>
        <v>0</v>
      </c>
      <c r="V5" s="4" t="b">
        <f>U5 = 0</f>
        <v>1</v>
      </c>
      <c r="W5" s="4" t="b">
        <f>OR(((I5 = "AIAgent")=TRUE), ((I5 = "AutomatedPipeline")=TRUE))</f>
        <v>1</v>
      </c>
      <c r="X5" s="4" t="b">
        <f>AND(((NOT(((W5)=TRUE)))=TRUE), ((OR(((A5 = "policy-05")=TRUE), ((A5 = "close-06")=TRUE)))=TRUE))</f>
        <v>0</v>
      </c>
      <c r="Y5" s="4" t="b">
        <f>AND(((X5)=TRUE), ((I5 = "Human")=TRUE))</f>
        <v>0</v>
      </c>
      <c r="Z5" s="4">
        <f>COUNTIFS(AuthorityBoundaries!P2:P4, A5)</f>
        <v>1</v>
      </c>
      <c r="AA5" s="4" t="b">
        <f>_xlfn.IFNA(IF(((INDEX(Roles!O2:O13, MATCH(G5,Roles!A2:A13, 0))="")=TRUE),  "",  INDEX(Roles!O2:O13, MATCH(G5,Roles!A2:A13, 0))), "")</f>
        <v>0</v>
      </c>
      <c r="AB5" s="4">
        <f>COUNTIFS(OperationalBindings!U2:U6, A5)</f>
        <v>0</v>
      </c>
      <c r="AC5" s="4" t="b">
        <f>AB5 = 0</f>
        <v>1</v>
      </c>
      <c r="AD5" s="3" t="s">
        <v>565</v>
      </c>
      <c r="AE5" s="4">
        <f>COUNTIFS(AuthorityBoundaries!Z2:Z4, A5)</f>
        <v>0</v>
      </c>
      <c r="AF5" s="4" t="b">
        <f>AE5 &gt; 0</f>
        <v>0</v>
      </c>
      <c r="AG5" s="4">
        <f>COUNTIFS(StepExecutions!CG2:CG13, A5)</f>
        <v>1</v>
      </c>
      <c r="AH5" s="4" t="b">
        <f>AG5 &gt; 0</f>
        <v>1</v>
      </c>
      <c r="AI5" s="4" t="b">
        <f>AND(((X5)=TRUE), ((NOT(((AH5)=TRUE)))=TRUE))</f>
        <v>0</v>
      </c>
      <c r="AJ5" s="4" t="b">
        <f>AND(((X5)=TRUE), ((AH5)=TRUE), ((Y5)=TRUE))</f>
        <v>0</v>
      </c>
      <c r="AK5" s="4" t="str">
        <f>IF(((AI5)=TRUE),  C5,  "")</f>
      </c>
      <c r="AL5" s="4" t="b">
        <f>AD5 &lt;&gt; ""</f>
        <v>1</v>
      </c>
      <c r="AM5" s="4" t="str">
        <f>IF(((AL5)=TRUE),  "",  C5)</f>
      </c>
      <c r="AN5" s="4" t="b">
        <f>AND(((AD5 = "Approval")=TRUE), ((W5)=TRUE))</f>
        <v>0</v>
      </c>
      <c r="AO5" s="4">
        <f>COUNTIFS(StepRequirements!I2:I16, A5)</f>
        <v>0</v>
      </c>
      <c r="AP5" s="6" t="e">
        <f>IF((COUNTIFS(vw_step_transitions_closure!{{FromId}},A5))="", "", ROUND((COUNTIFS(vw_step_transitions_closure!{{FromId}},A5)), 0))</f>
        <v>#VALUE!</v>
      </c>
      <c r="AQ5" s="6" t="e">
        <f>IF((COUNTIFS(vw_step_transitions_closure!{{ToId}},A5))="", "", ROUND((COUNTIFS(vw_step_transitions_closure!{{ToId}},A5)), 0))</f>
        <v>#VALUE!</v>
      </c>
      <c r="AR5" s="6" t="e">
        <f>IF((COUNTIFS(vw_step_transitions_closure!{{FromId}},A5, vw_step_transitions_closure!{{ToId}},A5))="", "", ROUND((COUNTIFS(vw_step_transitions_closure!{{FromId}},A5, vw_step_transitions_closure!{{ToId}},A5)), 0))</f>
        <v>#VALUE!</v>
      </c>
      <c r="AS5" s="4" t="e">
        <f>AR5 &gt; 0</f>
        <v>#VALUE!</v>
      </c>
      <c r="AT5" s="4" t="e">
        <f>AND(((AS5)=TRUE), ((N5 &gt; 0)=TRUE))</f>
        <v>#VALUE!</v>
      </c>
      <c r="AU5" s="6">
        <f>IF((COUNTIFS(StepTransitions!E2:E21,A5))="", "", ROUND((COUNTIFS(StepTransitions!E2:E21,A5)), 0))</f>
        <v>2</v>
      </c>
      <c r="AV5" s="4" t="b">
        <f>AU5 = 0</f>
        <v>0</v>
      </c>
      <c r="AW5" s="4" t="str">
        <f>IF(((AV5)=TRUE),  A5,  "")</f>
      </c>
      <c r="AX5" s="4">
        <f>_xlfn.IFNA(IF(((INDEX(ProcedureVersions!CH2:CH4, MATCH(C5,ProcedureVersions!A2:A4, 0))="")=TRUE),  "",  INDEX(ProcedureVersions!CH2:CH4, MATCH(C5,ProcedureVersions!A2:A4, 0))), "")</f>
        <v>0</v>
      </c>
      <c r="AY5" s="6" t="e">
        <f>IF((COUNTIFS(vw_step_transitions_closure_where_avoids_human_approval_gate!{{FromId}}, AX5, vw_step_transitions_closure_where_avoids_human_approval_gate!{{ToId}},A5))="", "", ROUND((COUNTIFS(vw_step_transitions_closure_where_avoids_human_approval_gate!{{FromId}}, AX5, vw_step_transitions_closure_where_avoids_human_approval_gate!{{ToId}},A5)), 0))</f>
        <v>#VALUE!</v>
      </c>
      <c r="AZ5" s="4" t="e">
        <f>AY5 &gt; 0</f>
        <v>#VALUE!</v>
      </c>
      <c r="BA5" s="4" t="e">
        <f>AND(((AD5 = "Publication")=TRUE), ((AZ5)=TRUE))</f>
        <v>#VALUE!</v>
      </c>
      <c r="BB5" s="3" t="s">
        <v>566</v>
      </c>
    </row>
    <row r="6">
      <c r="A6" s="3" t="s">
        <v>572</v>
      </c>
      <c r="B6" s="4" t="str">
        <f>D6 &amp; ". " &amp; E6</f>
        <v>05. Controller review</v>
      </c>
      <c r="C6" s="3" t="s">
        <v>369</v>
      </c>
      <c r="D6" s="3" t="s">
        <v>573</v>
      </c>
      <c r="E6" s="3" t="s">
        <v>574</v>
      </c>
      <c r="F6" s="3" t="s">
        <v>551</v>
      </c>
      <c r="G6" s="3" t="s">
        <v>208</v>
      </c>
      <c r="H6" s="4" t="str">
        <f>_xlfn.IFNA(IF(((INDEX(Roles!C2:C13, MATCH(G6,Roles!A2:A13, 0))="")=TRUE),  "",  INDEX(Roles!C2:C13, MATCH(G6,Roles!A2:A13, 0))), "")</f>
        <v>Corporate Controller</v>
      </c>
      <c r="I6" s="4" t="str">
        <f>_xlfn.IFNA(IF(((INDEX(Roles!F2:F13, MATCH(G6,Roles!A2:A13, 0))="")=TRUE),  "",  INDEX(Roles!F2:F13, MATCH(G6,Roles!A2:A13, 0))), "")</f>
        <v>Human</v>
      </c>
      <c r="J6" s="3" t="s">
        <v>575</v>
      </c>
      <c r="K6" s="8">
        <v>60</v>
      </c>
      <c r="L6" s="3" t="s">
        <v>571</v>
      </c>
      <c r="M6" s="3" t="b">
        <v>1</v>
      </c>
      <c r="N6" s="4">
        <f>COUNTIFS(StepRequirements!F2:F16, A6)</f>
        <v>1</v>
      </c>
      <c r="O6" s="4">
        <f>COUNTIFS(OperationalBindings!O2:O6, A6)</f>
        <v>0</v>
      </c>
      <c r="P6" s="4">
        <f>COUNTIFS(OperationalBindings!P2:P6, A6)</f>
        <v>0</v>
      </c>
      <c r="Q6" s="4">
        <f>COUNTIFS(Exceptions!J2:J5, A6)</f>
        <v>0</v>
      </c>
      <c r="R6" s="4">
        <f>COUNTIFS(StepVerifications!C2:C12, A6)</f>
        <v>1</v>
      </c>
      <c r="S6" s="4" t="b">
        <f>OR(((G6 = "finance-analyst")=TRUE), ((G6 = "variance-review-agent")=TRUE))</f>
        <v>0</v>
      </c>
      <c r="T6" s="4" t="b">
        <f>OR(((G6 = "controller")=TRUE), ((G6 = "cfo")=TRUE))</f>
        <v>1</v>
      </c>
      <c r="U6" s="4">
        <f>COUNTIFS(OperationalBindings!R2:R6, A6)</f>
        <v>0</v>
      </c>
      <c r="V6" s="4" t="b">
        <f>U6 = 0</f>
        <v>1</v>
      </c>
      <c r="W6" s="4" t="b">
        <f>OR(((I6 = "AIAgent")=TRUE), ((I6 = "AutomatedPipeline")=TRUE))</f>
        <v>0</v>
      </c>
      <c r="X6" s="4" t="b">
        <f>AND(((NOT(((W6)=TRUE)))=TRUE), ((OR(((A6 = "policy-05")=TRUE), ((A6 = "close-06")=TRUE)))=TRUE))</f>
        <v>0</v>
      </c>
      <c r="Y6" s="4" t="b">
        <f>AND(((X6)=TRUE), ((I6 = "Human")=TRUE))</f>
        <v>0</v>
      </c>
      <c r="Z6" s="4">
        <f>COUNTIFS(AuthorityBoundaries!P2:P4, A6)</f>
        <v>0</v>
      </c>
      <c r="AA6" s="4" t="b">
        <f>_xlfn.IFNA(IF(((INDEX(Roles!O2:O13, MATCH(G6,Roles!A2:A13, 0))="")=TRUE),  "",  INDEX(Roles!O2:O13, MATCH(G6,Roles!A2:A13, 0))), "")</f>
        <v>0</v>
      </c>
      <c r="AB6" s="4">
        <f>COUNTIFS(OperationalBindings!U2:U6, A6)</f>
        <v>0</v>
      </c>
      <c r="AC6" s="4" t="b">
        <f>AB6 = 0</f>
        <v>1</v>
      </c>
      <c r="AD6" s="3" t="s">
        <v>490</v>
      </c>
      <c r="AE6" s="4">
        <f>COUNTIFS(AuthorityBoundaries!Z2:Z4, A6)</f>
        <v>0</v>
      </c>
      <c r="AF6" s="4" t="b">
        <f>AE6 &gt; 0</f>
        <v>0</v>
      </c>
      <c r="AG6" s="4">
        <f>COUNTIFS(StepExecutions!CG2:CG13, A6)</f>
        <v>0</v>
      </c>
      <c r="AH6" s="4" t="b">
        <f>AG6 &gt; 0</f>
        <v>0</v>
      </c>
      <c r="AI6" s="4" t="b">
        <f>AND(((X6)=TRUE), ((NOT(((AH6)=TRUE)))=TRUE))</f>
        <v>0</v>
      </c>
      <c r="AJ6" s="4" t="b">
        <f>AND(((X6)=TRUE), ((AH6)=TRUE), ((Y6)=TRUE))</f>
        <v>0</v>
      </c>
      <c r="AK6" s="4" t="str">
        <f>IF(((AI6)=TRUE),  C6,  "")</f>
      </c>
      <c r="AL6" s="4" t="b">
        <f>AD6 &lt;&gt; ""</f>
        <v>1</v>
      </c>
      <c r="AM6" s="4" t="str">
        <f>IF(((AL6)=TRUE),  "",  C6)</f>
      </c>
      <c r="AN6" s="4" t="b">
        <f>AND(((AD6 = "Approval")=TRUE), ((W6)=TRUE))</f>
        <v>0</v>
      </c>
      <c r="AO6" s="4">
        <f>COUNTIFS(StepRequirements!I2:I16, A6)</f>
        <v>0</v>
      </c>
      <c r="AP6" s="6" t="e">
        <f>IF((COUNTIFS(vw_step_transitions_closure!{{FromId}},A6))="", "", ROUND((COUNTIFS(vw_step_transitions_closure!{{FromId}},A6)), 0))</f>
        <v>#VALUE!</v>
      </c>
      <c r="AQ6" s="6" t="e">
        <f>IF((COUNTIFS(vw_step_transitions_closure!{{ToId}},A6))="", "", ROUND((COUNTIFS(vw_step_transitions_closure!{{ToId}},A6)), 0))</f>
        <v>#VALUE!</v>
      </c>
      <c r="AR6" s="6" t="e">
        <f>IF((COUNTIFS(vw_step_transitions_closure!{{FromId}},A6, vw_step_transitions_closure!{{ToId}},A6))="", "", ROUND((COUNTIFS(vw_step_transitions_closure!{{FromId}},A6, vw_step_transitions_closure!{{ToId}},A6)), 0))</f>
        <v>#VALUE!</v>
      </c>
      <c r="AS6" s="4" t="e">
        <f>AR6 &gt; 0</f>
        <v>#VALUE!</v>
      </c>
      <c r="AT6" s="4" t="e">
        <f>AND(((AS6)=TRUE), ((N6 &gt; 0)=TRUE))</f>
        <v>#VALUE!</v>
      </c>
      <c r="AU6" s="6">
        <f>IF((COUNTIFS(StepTransitions!E2:E21,A6))="", "", ROUND((COUNTIFS(StepTransitions!E2:E21,A6)), 0))</f>
        <v>1</v>
      </c>
      <c r="AV6" s="4" t="b">
        <f>AU6 = 0</f>
        <v>0</v>
      </c>
      <c r="AW6" s="4" t="str">
        <f>IF(((AV6)=TRUE),  A6,  "")</f>
      </c>
      <c r="AX6" s="4">
        <f>_xlfn.IFNA(IF(((INDEX(ProcedureVersions!CH2:CH4, MATCH(C6,ProcedureVersions!A2:A4, 0))="")=TRUE),  "",  INDEX(ProcedureVersions!CH2:CH4, MATCH(C6,ProcedureVersions!A2:A4, 0))), "")</f>
        <v>0</v>
      </c>
      <c r="AY6" s="6" t="e">
        <f>IF((COUNTIFS(vw_step_transitions_closure_where_avoids_human_approval_gate!{{FromId}}, AX6, vw_step_transitions_closure_where_avoids_human_approval_gate!{{ToId}},A6))="", "", ROUND((COUNTIFS(vw_step_transitions_closure_where_avoids_human_approval_gate!{{FromId}}, AX6, vw_step_transitions_closure_where_avoids_human_approval_gate!{{ToId}},A6)), 0))</f>
        <v>#VALUE!</v>
      </c>
      <c r="AZ6" s="4" t="e">
        <f>AY6 &gt; 0</f>
        <v>#VALUE!</v>
      </c>
      <c r="BA6" s="4" t="e">
        <f>AND(((AD6 = "Publication")=TRUE), ((AZ6)=TRUE))</f>
        <v>#VALUE!</v>
      </c>
      <c r="BB6" s="3" t="s">
        <v>555</v>
      </c>
    </row>
    <row r="7">
      <c r="A7" s="3" t="s">
        <v>576</v>
      </c>
      <c r="B7" s="4" t="str">
        <f>D7 &amp; ". " &amp; E7</f>
        <v>06. CFO approval</v>
      </c>
      <c r="C7" s="3" t="s">
        <v>369</v>
      </c>
      <c r="D7" s="3" t="s">
        <v>577</v>
      </c>
      <c r="E7" s="3" t="s">
        <v>578</v>
      </c>
      <c r="F7" s="3" t="s">
        <v>551</v>
      </c>
      <c r="G7" s="3" t="s">
        <v>212</v>
      </c>
      <c r="H7" s="4" t="str">
        <f>_xlfn.IFNA(IF(((INDEX(Roles!C2:C13, MATCH(G7,Roles!A2:A13, 0))="")=TRUE),  "",  INDEX(Roles!C2:C13, MATCH(G7,Roles!A2:A13, 0))), "")</f>
        <v>Chief Financial Officer</v>
      </c>
      <c r="I7" s="4" t="str">
        <f>_xlfn.IFNA(IF(((INDEX(Roles!F2:F13, MATCH(G7,Roles!A2:A13, 0))="")=TRUE),  "",  INDEX(Roles!F2:F13, MATCH(G7,Roles!A2:A13, 0))), "")</f>
        <v>Human</v>
      </c>
      <c r="J7" s="3" t="s">
        <v>579</v>
      </c>
      <c r="K7" s="8">
        <v>30</v>
      </c>
      <c r="L7" s="3" t="s">
        <v>580</v>
      </c>
      <c r="M7" s="3" t="b">
        <v>1</v>
      </c>
      <c r="N7" s="4">
        <f>COUNTIFS(StepRequirements!F2:F16, A7)</f>
        <v>1</v>
      </c>
      <c r="O7" s="4">
        <f>COUNTIFS(OperationalBindings!O2:O6, A7)</f>
        <v>0</v>
      </c>
      <c r="P7" s="4">
        <f>COUNTIFS(OperationalBindings!P2:P6, A7)</f>
        <v>0</v>
      </c>
      <c r="Q7" s="4">
        <f>COUNTIFS(Exceptions!J2:J5, A7)</f>
        <v>1</v>
      </c>
      <c r="R7" s="4">
        <f>COUNTIFS(StepVerifications!C2:C12, A7)</f>
        <v>1</v>
      </c>
      <c r="S7" s="4" t="b">
        <f>OR(((G7 = "finance-analyst")=TRUE), ((G7 = "variance-review-agent")=TRUE))</f>
        <v>0</v>
      </c>
      <c r="T7" s="4" t="b">
        <f>OR(((G7 = "controller")=TRUE), ((G7 = "cfo")=TRUE))</f>
        <v>1</v>
      </c>
      <c r="U7" s="4">
        <f>COUNTIFS(OperationalBindings!R2:R6, A7)</f>
        <v>0</v>
      </c>
      <c r="V7" s="4" t="b">
        <f>U7 = 0</f>
        <v>1</v>
      </c>
      <c r="W7" s="4" t="b">
        <f>OR(((I7 = "AIAgent")=TRUE), ((I7 = "AutomatedPipeline")=TRUE))</f>
        <v>0</v>
      </c>
      <c r="X7" s="4" t="b">
        <f>AND(((NOT(((W7)=TRUE)))=TRUE), ((OR(((A7 = "policy-05")=TRUE), ((A7 = "close-06")=TRUE)))=TRUE))</f>
        <v>1</v>
      </c>
      <c r="Y7" s="4" t="b">
        <f>AND(((X7)=TRUE), ((I7 = "Human")=TRUE))</f>
        <v>1</v>
      </c>
      <c r="Z7" s="4">
        <f>COUNTIFS(AuthorityBoundaries!P2:P4, A7)</f>
        <v>1</v>
      </c>
      <c r="AA7" s="4" t="b">
        <f>_xlfn.IFNA(IF(((INDEX(Roles!O2:O13, MATCH(G7,Roles!A2:A13, 0))="")=TRUE),  "",  INDEX(Roles!O2:O13, MATCH(G7,Roles!A2:A13, 0))), "")</f>
        <v>0</v>
      </c>
      <c r="AB7" s="4">
        <f>COUNTIFS(OperationalBindings!U2:U6, A7)</f>
        <v>0</v>
      </c>
      <c r="AC7" s="4" t="b">
        <f>AB7 = 0</f>
        <v>1</v>
      </c>
      <c r="AD7" s="3" t="s">
        <v>490</v>
      </c>
      <c r="AE7" s="4">
        <f>COUNTIFS(AuthorityBoundaries!Z2:Z4, A7)</f>
        <v>1</v>
      </c>
      <c r="AF7" s="4" t="b">
        <f>AE7 &gt; 0</f>
        <v>1</v>
      </c>
      <c r="AG7" s="4">
        <f>COUNTIFS(StepExecutions!CG2:CG13, A7)</f>
        <v>0</v>
      </c>
      <c r="AH7" s="4" t="b">
        <f>AG7 &gt; 0</f>
        <v>0</v>
      </c>
      <c r="AI7" s="4" t="b">
        <f>AND(((X7)=TRUE), ((NOT(((AH7)=TRUE)))=TRUE))</f>
        <v>1</v>
      </c>
      <c r="AJ7" s="4" t="b">
        <f>AND(((X7)=TRUE), ((AH7)=TRUE), ((Y7)=TRUE))</f>
        <v>0</v>
      </c>
      <c r="AK7" s="4" t="str">
        <f>IF(((AI7)=TRUE),  C7,  "")</f>
        <v>close-v1.1.0</v>
      </c>
      <c r="AL7" s="4" t="b">
        <f>AD7 &lt;&gt; ""</f>
        <v>1</v>
      </c>
      <c r="AM7" s="4" t="str">
        <f>IF(((AL7)=TRUE),  "",  C7)</f>
      </c>
      <c r="AN7" s="4" t="b">
        <f>AND(((AD7 = "Approval")=TRUE), ((W7)=TRUE))</f>
        <v>0</v>
      </c>
      <c r="AO7" s="4">
        <f>COUNTIFS(StepRequirements!I2:I16, A7)</f>
        <v>1</v>
      </c>
      <c r="AP7" s="6" t="e">
        <f>IF((COUNTIFS(vw_step_transitions_closure!{{FromId}},A7))="", "", ROUND((COUNTIFS(vw_step_transitions_closure!{{FromId}},A7)), 0))</f>
        <v>#VALUE!</v>
      </c>
      <c r="AQ7" s="6" t="e">
        <f>IF((COUNTIFS(vw_step_transitions_closure!{{ToId}},A7))="", "", ROUND((COUNTIFS(vw_step_transitions_closure!{{ToId}},A7)), 0))</f>
        <v>#VALUE!</v>
      </c>
      <c r="AR7" s="6" t="e">
        <f>IF((COUNTIFS(vw_step_transitions_closure!{{FromId}},A7, vw_step_transitions_closure!{{ToId}},A7))="", "", ROUND((COUNTIFS(vw_step_transitions_closure!{{FromId}},A7, vw_step_transitions_closure!{{ToId}},A7)), 0))</f>
        <v>#VALUE!</v>
      </c>
      <c r="AS7" s="4" t="e">
        <f>AR7 &gt; 0</f>
        <v>#VALUE!</v>
      </c>
      <c r="AT7" s="4" t="e">
        <f>AND(((AS7)=TRUE), ((N7 &gt; 0)=TRUE))</f>
        <v>#VALUE!</v>
      </c>
      <c r="AU7" s="6">
        <f>IF((COUNTIFS(StepTransitions!E2:E21,A7))="", "", ROUND((COUNTIFS(StepTransitions!E2:E21,A7)), 0))</f>
        <v>1</v>
      </c>
      <c r="AV7" s="4" t="b">
        <f>AU7 = 0</f>
        <v>0</v>
      </c>
      <c r="AW7" s="4" t="str">
        <f>IF(((AV7)=TRUE),  A7,  "")</f>
      </c>
      <c r="AX7" s="4">
        <f>_xlfn.IFNA(IF(((INDEX(ProcedureVersions!CH2:CH4, MATCH(C7,ProcedureVersions!A2:A4, 0))="")=TRUE),  "",  INDEX(ProcedureVersions!CH2:CH4, MATCH(C7,ProcedureVersions!A2:A4, 0))), "")</f>
        <v>0</v>
      </c>
      <c r="AY7" s="6" t="e">
        <f>IF((COUNTIFS(vw_step_transitions_closure_where_avoids_human_approval_gate!{{FromId}}, AX7, vw_step_transitions_closure_where_avoids_human_approval_gate!{{ToId}},A7))="", "", ROUND((COUNTIFS(vw_step_transitions_closure_where_avoids_human_approval_gate!{{FromId}}, AX7, vw_step_transitions_closure_where_avoids_human_approval_gate!{{ToId}},A7)), 0))</f>
        <v>#VALUE!</v>
      </c>
      <c r="AZ7" s="4" t="e">
        <f>AY7 &gt; 0</f>
        <v>#VALUE!</v>
      </c>
      <c r="BA7" s="4" t="e">
        <f>AND(((AD7 = "Publication")=TRUE), ((AZ7)=TRUE))</f>
        <v>#VALUE!</v>
      </c>
      <c r="BB7" s="3" t="s">
        <v>555</v>
      </c>
    </row>
    <row r="8">
      <c r="A8" s="3" t="s">
        <v>581</v>
      </c>
      <c r="B8" s="4" t="str">
        <f>D8 &amp; ". " &amp; E8</f>
        <v>07. Post close and publish package</v>
      </c>
      <c r="C8" s="3" t="s">
        <v>369</v>
      </c>
      <c r="D8" s="3" t="s">
        <v>582</v>
      </c>
      <c r="E8" s="3" t="s">
        <v>583</v>
      </c>
      <c r="F8" s="3" t="s">
        <v>551</v>
      </c>
      <c r="G8" s="3" t="s">
        <v>228</v>
      </c>
      <c r="H8" s="4" t="str">
        <f>_xlfn.IFNA(IF(((INDEX(Roles!C2:C13, MATCH(G8,Roles!A2:A13, 0))="")=TRUE),  "",  INDEX(Roles!C2:C13, MATCH(G8,Roles!A2:A13, 0))), "")</f>
        <v>Close Automation Operator</v>
      </c>
      <c r="I8" s="4" t="str">
        <f>_xlfn.IFNA(IF(((INDEX(Roles!F2:F13, MATCH(G8,Roles!A2:A13, 0))="")=TRUE),  "",  INDEX(Roles!F2:F13, MATCH(G8,Roles!A2:A13, 0))), "")</f>
        <v>AutomatedPipeline</v>
      </c>
      <c r="J8" s="3" t="s">
        <v>584</v>
      </c>
      <c r="K8" s="8">
        <v>20</v>
      </c>
      <c r="L8" s="3" t="s">
        <v>553</v>
      </c>
      <c r="M8" s="3" t="b">
        <v>0</v>
      </c>
      <c r="N8" s="4">
        <f>COUNTIFS(StepRequirements!F2:F16, A8)</f>
        <v>0</v>
      </c>
      <c r="O8" s="4">
        <f>COUNTIFS(OperationalBindings!O2:O6, A8)</f>
        <v>0</v>
      </c>
      <c r="P8" s="4">
        <f>COUNTIFS(OperationalBindings!P2:P6, A8)</f>
        <v>0</v>
      </c>
      <c r="Q8" s="4">
        <f>COUNTIFS(Exceptions!J2:J5, A8)</f>
        <v>0</v>
      </c>
      <c r="R8" s="4">
        <f>COUNTIFS(StepVerifications!C2:C12, A8)</f>
        <v>0</v>
      </c>
      <c r="S8" s="4" t="b">
        <f>OR(((G8 = "finance-analyst")=TRUE), ((G8 = "variance-review-agent")=TRUE))</f>
        <v>0</v>
      </c>
      <c r="T8" s="4" t="b">
        <f>OR(((G8 = "controller")=TRUE), ((G8 = "cfo")=TRUE))</f>
        <v>0</v>
      </c>
      <c r="U8" s="4">
        <f>COUNTIFS(OperationalBindings!R2:R6, A8)</f>
        <v>0</v>
      </c>
      <c r="V8" s="4" t="b">
        <f>U8 = 0</f>
        <v>1</v>
      </c>
      <c r="W8" s="4" t="b">
        <f>OR(((I8 = "AIAgent")=TRUE), ((I8 = "AutomatedPipeline")=TRUE))</f>
        <v>1</v>
      </c>
      <c r="X8" s="4" t="b">
        <f>AND(((NOT(((W8)=TRUE)))=TRUE), ((OR(((A8 = "policy-05")=TRUE), ((A8 = "close-06")=TRUE)))=TRUE))</f>
        <v>0</v>
      </c>
      <c r="Y8" s="4" t="b">
        <f>AND(((X8)=TRUE), ((I8 = "Human")=TRUE))</f>
        <v>0</v>
      </c>
      <c r="Z8" s="4">
        <f>COUNTIFS(AuthorityBoundaries!P2:P4, A8)</f>
        <v>0</v>
      </c>
      <c r="AA8" s="4" t="b">
        <f>_xlfn.IFNA(IF(((INDEX(Roles!O2:O13, MATCH(G8,Roles!A2:A13, 0))="")=TRUE),  "",  INDEX(Roles!O2:O13, MATCH(G8,Roles!A2:A13, 0))), "")</f>
        <v>0</v>
      </c>
      <c r="AB8" s="4">
        <f>COUNTIFS(OperationalBindings!U2:U6, A8)</f>
        <v>0</v>
      </c>
      <c r="AC8" s="4" t="b">
        <f>AB8 = 0</f>
        <v>1</v>
      </c>
      <c r="AD8" s="3" t="s">
        <v>585</v>
      </c>
      <c r="AE8" s="4">
        <f>COUNTIFS(AuthorityBoundaries!Z2:Z4, A8)</f>
        <v>0</v>
      </c>
      <c r="AF8" s="4" t="b">
        <f>AE8 &gt; 0</f>
        <v>0</v>
      </c>
      <c r="AG8" s="4">
        <f>COUNTIFS(StepExecutions!CG2:CG13, A8)</f>
        <v>1</v>
      </c>
      <c r="AH8" s="4" t="b">
        <f>AG8 &gt; 0</f>
        <v>1</v>
      </c>
      <c r="AI8" s="4" t="b">
        <f>AND(((X8)=TRUE), ((NOT(((AH8)=TRUE)))=TRUE))</f>
        <v>0</v>
      </c>
      <c r="AJ8" s="4" t="b">
        <f>AND(((X8)=TRUE), ((AH8)=TRUE), ((Y8)=TRUE))</f>
        <v>0</v>
      </c>
      <c r="AK8" s="4" t="str">
        <f>IF(((AI8)=TRUE),  C8,  "")</f>
      </c>
      <c r="AL8" s="4" t="b">
        <f>AD8 &lt;&gt; ""</f>
        <v>1</v>
      </c>
      <c r="AM8" s="4" t="str">
        <f>IF(((AL8)=TRUE),  "",  C8)</f>
      </c>
      <c r="AN8" s="4" t="b">
        <f>AND(((AD8 = "Approval")=TRUE), ((W8)=TRUE))</f>
        <v>0</v>
      </c>
      <c r="AO8" s="4">
        <f>COUNTIFS(StepRequirements!I2:I16, A8)</f>
        <v>0</v>
      </c>
      <c r="AP8" s="6" t="e">
        <f>IF((COUNTIFS(vw_step_transitions_closure!{{FromId}},A8))="", "", ROUND((COUNTIFS(vw_step_transitions_closure!{{FromId}},A8)), 0))</f>
        <v>#VALUE!</v>
      </c>
      <c r="AQ8" s="6" t="e">
        <f>IF((COUNTIFS(vw_step_transitions_closure!{{ToId}},A8))="", "", ROUND((COUNTIFS(vw_step_transitions_closure!{{ToId}},A8)), 0))</f>
        <v>#VALUE!</v>
      </c>
      <c r="AR8" s="6" t="e">
        <f>IF((COUNTIFS(vw_step_transitions_closure!{{FromId}},A8, vw_step_transitions_closure!{{ToId}},A8))="", "", ROUND((COUNTIFS(vw_step_transitions_closure!{{FromId}},A8, vw_step_transitions_closure!{{ToId}},A8)), 0))</f>
        <v>#VALUE!</v>
      </c>
      <c r="AS8" s="4" t="e">
        <f>AR8 &gt; 0</f>
        <v>#VALUE!</v>
      </c>
      <c r="AT8" s="4" t="e">
        <f>AND(((AS8)=TRUE), ((N8 &gt; 0)=TRUE))</f>
        <v>#VALUE!</v>
      </c>
      <c r="AU8" s="6">
        <f>IF((COUNTIFS(StepTransitions!E2:E21,A8))="", "", ROUND((COUNTIFS(StepTransitions!E2:E21,A8)), 0))</f>
        <v>2</v>
      </c>
      <c r="AV8" s="4" t="b">
        <f>AU8 = 0</f>
        <v>0</v>
      </c>
      <c r="AW8" s="4" t="str">
        <f>IF(((AV8)=TRUE),  A8,  "")</f>
      </c>
      <c r="AX8" s="4">
        <f>_xlfn.IFNA(IF(((INDEX(ProcedureVersions!CH2:CH4, MATCH(C8,ProcedureVersions!A2:A4, 0))="")=TRUE),  "",  INDEX(ProcedureVersions!CH2:CH4, MATCH(C8,ProcedureVersions!A2:A4, 0))), "")</f>
        <v>0</v>
      </c>
      <c r="AY8" s="6" t="e">
        <f>IF((COUNTIFS(vw_step_transitions_closure_where_avoids_human_approval_gate!{{FromId}}, AX8, vw_step_transitions_closure_where_avoids_human_approval_gate!{{ToId}},A8))="", "", ROUND((COUNTIFS(vw_step_transitions_closure_where_avoids_human_approval_gate!{{FromId}}, AX8, vw_step_transitions_closure_where_avoids_human_approval_gate!{{ToId}},A8)), 0))</f>
        <v>#VALUE!</v>
      </c>
      <c r="AZ8" s="4" t="e">
        <f>AY8 &gt; 0</f>
        <v>#VALUE!</v>
      </c>
      <c r="BA8" s="4" t="e">
        <f>AND(((AD8 = "Publication")=TRUE), ((AZ8)=TRUE))</f>
        <v>#VALUE!</v>
      </c>
      <c r="BB8" s="3" t="s">
        <v>555</v>
      </c>
    </row>
    <row r="9">
      <c r="A9" s="3" t="s">
        <v>586</v>
      </c>
      <c r="B9" s="4" t="str">
        <f>D9 &amp; ". " &amp; E9</f>
        <v>08. Archive evidence and hold retrospective</v>
      </c>
      <c r="C9" s="3" t="s">
        <v>369</v>
      </c>
      <c r="D9" s="3" t="s">
        <v>587</v>
      </c>
      <c r="E9" s="3" t="s">
        <v>588</v>
      </c>
      <c r="F9" s="3" t="s">
        <v>563</v>
      </c>
      <c r="G9" s="3" t="s">
        <v>244</v>
      </c>
      <c r="H9" s="4" t="str">
        <f>_xlfn.IFNA(IF(((INDEX(Roles!C2:C13, MATCH(G9,Roles!A2:A13, 0))="")=TRUE),  "",  INDEX(Roles!C2:C13, MATCH(G9,Roles!A2:A13, 0))), "")</f>
        <v>Procedural Knowledge Steward</v>
      </c>
      <c r="I9" s="4" t="str">
        <f>_xlfn.IFNA(IF(((INDEX(Roles!F2:F13, MATCH(G9,Roles!A2:A13, 0))="")=TRUE),  "",  INDEX(Roles!F2:F13, MATCH(G9,Roles!A2:A13, 0))), "")</f>
        <v>Human</v>
      </c>
      <c r="J9" s="3" t="s">
        <v>589</v>
      </c>
      <c r="K9" s="8">
        <v>45</v>
      </c>
      <c r="L9" s="3" t="s">
        <v>553</v>
      </c>
      <c r="M9" s="3" t="b">
        <v>0</v>
      </c>
      <c r="N9" s="4">
        <f>COUNTIFS(StepRequirements!F2:F16, A9)</f>
        <v>1</v>
      </c>
      <c r="O9" s="4">
        <f>COUNTIFS(OperationalBindings!O2:O6, A9)</f>
        <v>0</v>
      </c>
      <c r="P9" s="4">
        <f>COUNTIFS(OperationalBindings!P2:P6, A9)</f>
        <v>0</v>
      </c>
      <c r="Q9" s="4">
        <f>COUNTIFS(Exceptions!J2:J5, A9)</f>
        <v>0</v>
      </c>
      <c r="R9" s="4">
        <f>COUNTIFS(StepVerifications!C2:C12, A9)</f>
        <v>0</v>
      </c>
      <c r="S9" s="4" t="b">
        <f>OR(((G9 = "finance-analyst")=TRUE), ((G9 = "variance-review-agent")=TRUE))</f>
        <v>0</v>
      </c>
      <c r="T9" s="4" t="b">
        <f>OR(((G9 = "controller")=TRUE), ((G9 = "cfo")=TRUE))</f>
        <v>0</v>
      </c>
      <c r="U9" s="4">
        <f>COUNTIFS(OperationalBindings!R2:R6, A9)</f>
        <v>0</v>
      </c>
      <c r="V9" s="4" t="b">
        <f>U9 = 0</f>
        <v>1</v>
      </c>
      <c r="W9" s="4" t="b">
        <f>OR(((I9 = "AIAgent")=TRUE), ((I9 = "AutomatedPipeline")=TRUE))</f>
        <v>0</v>
      </c>
      <c r="X9" s="4" t="b">
        <f>AND(((NOT(((W9)=TRUE)))=TRUE), ((OR(((A9 = "policy-05")=TRUE), ((A9 = "close-06")=TRUE)))=TRUE))</f>
        <v>0</v>
      </c>
      <c r="Y9" s="4" t="b">
        <f>AND(((X9)=TRUE), ((I9 = "Human")=TRUE))</f>
        <v>0</v>
      </c>
      <c r="Z9" s="4">
        <f>COUNTIFS(AuthorityBoundaries!P2:P4, A9)</f>
        <v>0</v>
      </c>
      <c r="AA9" s="4" t="b">
        <f>_xlfn.IFNA(IF(((INDEX(Roles!O2:O13, MATCH(G9,Roles!A2:A13, 0))="")=TRUE),  "",  INDEX(Roles!O2:O13, MATCH(G9,Roles!A2:A13, 0))), "")</f>
        <v>0</v>
      </c>
      <c r="AB9" s="4">
        <f>COUNTIFS(OperationalBindings!U2:U6, A9)</f>
        <v>0</v>
      </c>
      <c r="AC9" s="4" t="b">
        <f>AB9 = 0</f>
        <v>1</v>
      </c>
      <c r="AD9" s="3" t="s">
        <v>590</v>
      </c>
      <c r="AE9" s="4">
        <f>COUNTIFS(AuthorityBoundaries!Z2:Z4, A9)</f>
        <v>0</v>
      </c>
      <c r="AF9" s="4" t="b">
        <f>AE9 &gt; 0</f>
        <v>0</v>
      </c>
      <c r="AG9" s="4">
        <f>COUNTIFS(StepExecutions!CG2:CG13, A9)</f>
        <v>0</v>
      </c>
      <c r="AH9" s="4" t="b">
        <f>AG9 &gt; 0</f>
        <v>0</v>
      </c>
      <c r="AI9" s="4" t="b">
        <f>AND(((X9)=TRUE), ((NOT(((AH9)=TRUE)))=TRUE))</f>
        <v>0</v>
      </c>
      <c r="AJ9" s="4" t="b">
        <f>AND(((X9)=TRUE), ((AH9)=TRUE), ((Y9)=TRUE))</f>
        <v>0</v>
      </c>
      <c r="AK9" s="4" t="str">
        <f>IF(((AI9)=TRUE),  C9,  "")</f>
      </c>
      <c r="AL9" s="4" t="b">
        <f>AD9 &lt;&gt; ""</f>
        <v>1</v>
      </c>
      <c r="AM9" s="4" t="str">
        <f>IF(((AL9)=TRUE),  "",  C9)</f>
      </c>
      <c r="AN9" s="4" t="b">
        <f>AND(((AD9 = "Approval")=TRUE), ((W9)=TRUE))</f>
        <v>0</v>
      </c>
      <c r="AO9" s="4">
        <f>COUNTIFS(StepRequirements!I2:I16, A9)</f>
        <v>0</v>
      </c>
      <c r="AP9" s="6" t="e">
        <f>IF((COUNTIFS(vw_step_transitions_closure!{{FromId}},A9))="", "", ROUND((COUNTIFS(vw_step_transitions_closure!{{FromId}},A9)), 0))</f>
        <v>#VALUE!</v>
      </c>
      <c r="AQ9" s="6" t="e">
        <f>IF((COUNTIFS(vw_step_transitions_closure!{{ToId}},A9))="", "", ROUND((COUNTIFS(vw_step_transitions_closure!{{ToId}},A9)), 0))</f>
        <v>#VALUE!</v>
      </c>
      <c r="AR9" s="6" t="e">
        <f>IF((COUNTIFS(vw_step_transitions_closure!{{FromId}},A9, vw_step_transitions_closure!{{ToId}},A9))="", "", ROUND((COUNTIFS(vw_step_transitions_closure!{{FromId}},A9, vw_step_transitions_closure!{{ToId}},A9)), 0))</f>
        <v>#VALUE!</v>
      </c>
      <c r="AS9" s="4" t="e">
        <f>AR9 &gt; 0</f>
        <v>#VALUE!</v>
      </c>
      <c r="AT9" s="4" t="e">
        <f>AND(((AS9)=TRUE), ((N9 &gt; 0)=TRUE))</f>
        <v>#VALUE!</v>
      </c>
      <c r="AU9" s="6">
        <f>IF((COUNTIFS(StepTransitions!E2:E21,A9))="", "", ROUND((COUNTIFS(StepTransitions!E2:E21,A9)), 0))</f>
        <v>1</v>
      </c>
      <c r="AV9" s="4" t="b">
        <f>AU9 = 0</f>
        <v>0</v>
      </c>
      <c r="AW9" s="4" t="str">
        <f>IF(((AV9)=TRUE),  A9,  "")</f>
      </c>
      <c r="AX9" s="4">
        <f>_xlfn.IFNA(IF(((INDEX(ProcedureVersions!CH2:CH4, MATCH(C9,ProcedureVersions!A2:A4, 0))="")=TRUE),  "",  INDEX(ProcedureVersions!CH2:CH4, MATCH(C9,ProcedureVersions!A2:A4, 0))), "")</f>
        <v>0</v>
      </c>
      <c r="AY9" s="6" t="e">
        <f>IF((COUNTIFS(vw_step_transitions_closure_where_avoids_human_approval_gate!{{FromId}}, AX9, vw_step_transitions_closure_where_avoids_human_approval_gate!{{ToId}},A9))="", "", ROUND((COUNTIFS(vw_step_transitions_closure_where_avoids_human_approval_gate!{{FromId}}, AX9, vw_step_transitions_closure_where_avoids_human_approval_gate!{{ToId}},A9)), 0))</f>
        <v>#VALUE!</v>
      </c>
      <c r="AZ9" s="4" t="e">
        <f>AY9 &gt; 0</f>
        <v>#VALUE!</v>
      </c>
      <c r="BA9" s="4" t="e">
        <f>AND(((AD9 = "Publication")=TRUE), ((AZ9)=TRUE))</f>
        <v>#VALUE!</v>
      </c>
      <c r="BB9" s="3" t="s">
        <v>566</v>
      </c>
    </row>
    <row r="10">
      <c r="A10" s="3" t="s">
        <v>591</v>
      </c>
      <c r="B10" s="4" t="str">
        <f>D10 &amp; ". " &amp; E10</f>
        <v>01. Identify policy trigger and affected population</v>
      </c>
      <c r="C10" s="3" t="s">
        <v>375</v>
      </c>
      <c r="D10" s="3" t="s">
        <v>549</v>
      </c>
      <c r="E10" s="3" t="s">
        <v>592</v>
      </c>
      <c r="F10" s="3" t="s">
        <v>551</v>
      </c>
      <c r="G10" s="3" t="s">
        <v>216</v>
      </c>
      <c r="H10" s="4" t="str">
        <f>_xlfn.IFNA(IF(((INDEX(Roles!C2:C13, MATCH(G10,Roles!A2:A13, 0))="")=TRUE),  "",  INDEX(Roles!C2:C13, MATCH(G10,Roles!A2:A13, 0))), "")</f>
        <v>People Policy Owner</v>
      </c>
      <c r="I10" s="4" t="str">
        <f>_xlfn.IFNA(IF(((INDEX(Roles!F2:F13, MATCH(G10,Roles!A2:A13, 0))="")=TRUE),  "",  INDEX(Roles!F2:F13, MATCH(G10,Roles!A2:A13, 0))), "")</f>
        <v>Human</v>
      </c>
      <c r="J10" s="3" t="s">
        <v>593</v>
      </c>
      <c r="K10" s="8">
        <v>30</v>
      </c>
      <c r="L10" s="3" t="s">
        <v>553</v>
      </c>
      <c r="M10" s="3" t="b">
        <v>0</v>
      </c>
      <c r="N10" s="4">
        <f>COUNTIFS(StepRequirements!F2:F16, A10)</f>
        <v>0</v>
      </c>
      <c r="O10" s="4">
        <f>COUNTIFS(OperationalBindings!O2:O6, A10)</f>
        <v>1</v>
      </c>
      <c r="P10" s="4">
        <f>COUNTIFS(OperationalBindings!P2:P6, A10)</f>
        <v>1</v>
      </c>
      <c r="Q10" s="4">
        <f>COUNTIFS(Exceptions!J2:J5, A10)</f>
        <v>0</v>
      </c>
      <c r="R10" s="4">
        <f>COUNTIFS(StepVerifications!C2:C12, A10)</f>
        <v>0</v>
      </c>
      <c r="S10" s="4" t="b">
        <f>OR(((G10 = "finance-analyst")=TRUE), ((G10 = "variance-review-agent")=TRUE))</f>
        <v>0</v>
      </c>
      <c r="T10" s="4" t="b">
        <f>OR(((G10 = "controller")=TRUE), ((G10 = "cfo")=TRUE))</f>
        <v>0</v>
      </c>
      <c r="U10" s="4">
        <f>COUNTIFS(OperationalBindings!R2:R6, A10)</f>
        <v>1</v>
      </c>
      <c r="V10" s="4" t="b">
        <f>U10 = 0</f>
        <v>0</v>
      </c>
      <c r="W10" s="4" t="b">
        <f>OR(((I10 = "AIAgent")=TRUE), ((I10 = "AutomatedPipeline")=TRUE))</f>
        <v>0</v>
      </c>
      <c r="X10" s="4" t="b">
        <f>AND(((NOT(((W10)=TRUE)))=TRUE), ((OR(((A10 = "policy-05")=TRUE), ((A10 = "close-06")=TRUE)))=TRUE))</f>
        <v>0</v>
      </c>
      <c r="Y10" s="4" t="b">
        <f>AND(((X10)=TRUE), ((I10 = "Human")=TRUE))</f>
        <v>0</v>
      </c>
      <c r="Z10" s="4">
        <f>COUNTIFS(AuthorityBoundaries!P2:P4, A10)</f>
        <v>0</v>
      </c>
      <c r="AA10" s="4" t="b">
        <f>_xlfn.IFNA(IF(((INDEX(Roles!O2:O13, MATCH(G10,Roles!A2:A13, 0))="")=TRUE),  "",  INDEX(Roles!O2:O13, MATCH(G10,Roles!A2:A13, 0))), "")</f>
        <v>0</v>
      </c>
      <c r="AB10" s="4">
        <f>COUNTIFS(OperationalBindings!U2:U6, A10)</f>
        <v>1</v>
      </c>
      <c r="AC10" s="4" t="b">
        <f>AB10 = 0</f>
        <v>0</v>
      </c>
      <c r="AD10" s="3" t="s">
        <v>565</v>
      </c>
      <c r="AE10" s="4">
        <f>COUNTIFS(AuthorityBoundaries!Z2:Z4, A10)</f>
        <v>0</v>
      </c>
      <c r="AF10" s="4" t="b">
        <f>AE10 &gt; 0</f>
        <v>0</v>
      </c>
      <c r="AG10" s="4">
        <f>COUNTIFS(StepExecutions!CG2:CG13, A10)</f>
        <v>0</v>
      </c>
      <c r="AH10" s="4" t="b">
        <f>AG10 &gt; 0</f>
        <v>0</v>
      </c>
      <c r="AI10" s="4" t="b">
        <f>AND(((X10)=TRUE), ((NOT(((AH10)=TRUE)))=TRUE))</f>
        <v>0</v>
      </c>
      <c r="AJ10" s="4" t="b">
        <f>AND(((X10)=TRUE), ((AH10)=TRUE), ((Y10)=TRUE))</f>
        <v>0</v>
      </c>
      <c r="AK10" s="4" t="str">
        <f>IF(((AI10)=TRUE),  C10,  "")</f>
      </c>
      <c r="AL10" s="4" t="b">
        <f>AD10 &lt;&gt; ""</f>
        <v>1</v>
      </c>
      <c r="AM10" s="4" t="str">
        <f>IF(((AL10)=TRUE),  "",  C10)</f>
      </c>
      <c r="AN10" s="4" t="b">
        <f>AND(((AD10 = "Approval")=TRUE), ((W10)=TRUE))</f>
        <v>0</v>
      </c>
      <c r="AO10" s="4">
        <f>COUNTIFS(StepRequirements!I2:I16, A10)</f>
        <v>0</v>
      </c>
      <c r="AP10" s="6" t="e">
        <f>IF((COUNTIFS(vw_step_transitions_closure!{{FromId}},A10))="", "", ROUND((COUNTIFS(vw_step_transitions_closure!{{FromId}},A10)), 0))</f>
        <v>#VALUE!</v>
      </c>
      <c r="AQ10" s="6" t="e">
        <f>IF((COUNTIFS(vw_step_transitions_closure!{{ToId}},A10))="", "", ROUND((COUNTIFS(vw_step_transitions_closure!{{ToId}},A10)), 0))</f>
        <v>#VALUE!</v>
      </c>
      <c r="AR10" s="6" t="e">
        <f>IF((COUNTIFS(vw_step_transitions_closure!{{FromId}},A10, vw_step_transitions_closure!{{ToId}},A10))="", "", ROUND((COUNTIFS(vw_step_transitions_closure!{{FromId}},A10, vw_step_transitions_closure!{{ToId}},A10)), 0))</f>
        <v>#VALUE!</v>
      </c>
      <c r="AS10" s="4" t="e">
        <f>AR10 &gt; 0</f>
        <v>#VALUE!</v>
      </c>
      <c r="AT10" s="4" t="e">
        <f>AND(((AS10)=TRUE), ((N10 &gt; 0)=TRUE))</f>
        <v>#VALUE!</v>
      </c>
      <c r="AU10" s="6">
        <f>IF((COUNTIFS(StepTransitions!E2:E21,A10))="", "", ROUND((COUNTIFS(StepTransitions!E2:E21,A10)), 0))</f>
        <v>0</v>
      </c>
      <c r="AV10" s="4" t="b">
        <f>AU10 = 0</f>
        <v>1</v>
      </c>
      <c r="AW10" s="4" t="str">
        <f>IF(((AV10)=TRUE),  A10,  "")</f>
        <v>policy-01</v>
      </c>
      <c r="AX10" s="4">
        <f>_xlfn.IFNA(IF(((INDEX(ProcedureVersions!CH2:CH4, MATCH(C10,ProcedureVersions!A2:A4, 0))="")=TRUE),  "",  INDEX(ProcedureVersions!CH2:CH4, MATCH(C10,ProcedureVersions!A2:A4, 0))), "")</f>
        <v>0</v>
      </c>
      <c r="AY10" s="6" t="e">
        <f>IF((COUNTIFS(vw_step_transitions_closure_where_avoids_human_approval_gate!{{FromId}}, AX10, vw_step_transitions_closure_where_avoids_human_approval_gate!{{ToId}},A10))="", "", ROUND((COUNTIFS(vw_step_transitions_closure_where_avoids_human_approval_gate!{{FromId}}, AX10, vw_step_transitions_closure_where_avoids_human_approval_gate!{{ToId}},A10)), 0))</f>
        <v>#VALUE!</v>
      </c>
      <c r="AZ10" s="4" t="e">
        <f>AY10 &gt; 0</f>
        <v>#VALUE!</v>
      </c>
      <c r="BA10" s="4" t="e">
        <f>AND(((AD10 = "Publication")=TRUE), ((AZ10)=TRUE))</f>
        <v>#VALUE!</v>
      </c>
      <c r="BB10" s="3" t="s">
        <v>555</v>
      </c>
    </row>
    <row r="11">
      <c r="A11" s="3" t="s">
        <v>594</v>
      </c>
      <c r="B11" s="4" t="str">
        <f>D11 &amp; ". " &amp; E11</f>
        <v>02. Elicit process and practitioner knowledge</v>
      </c>
      <c r="C11" s="3" t="s">
        <v>375</v>
      </c>
      <c r="D11" s="3" t="s">
        <v>557</v>
      </c>
      <c r="E11" s="3" t="s">
        <v>595</v>
      </c>
      <c r="F11" s="3" t="s">
        <v>563</v>
      </c>
      <c r="G11" s="3" t="s">
        <v>244</v>
      </c>
      <c r="H11" s="4" t="str">
        <f>_xlfn.IFNA(IF(((INDEX(Roles!C2:C13, MATCH(G11,Roles!A2:A13, 0))="")=TRUE),  "",  INDEX(Roles!C2:C13, MATCH(G11,Roles!A2:A13, 0))), "")</f>
        <v>Procedural Knowledge Steward</v>
      </c>
      <c r="I11" s="4" t="str">
        <f>_xlfn.IFNA(IF(((INDEX(Roles!F2:F13, MATCH(G11,Roles!A2:A13, 0))="")=TRUE),  "",  INDEX(Roles!F2:F13, MATCH(G11,Roles!A2:A13, 0))), "")</f>
        <v>Human</v>
      </c>
      <c r="J11" s="3" t="s">
        <v>596</v>
      </c>
      <c r="K11" s="8">
        <v>180</v>
      </c>
      <c r="L11" s="3" t="s">
        <v>571</v>
      </c>
      <c r="M11" s="3" t="b">
        <v>0</v>
      </c>
      <c r="N11" s="4">
        <f>COUNTIFS(StepRequirements!F2:F16, A11)</f>
        <v>0</v>
      </c>
      <c r="O11" s="4">
        <f>COUNTIFS(OperationalBindings!O2:O6, A11)</f>
        <v>0</v>
      </c>
      <c r="P11" s="4">
        <f>COUNTIFS(OperationalBindings!P2:P6, A11)</f>
        <v>0</v>
      </c>
      <c r="Q11" s="4">
        <f>COUNTIFS(Exceptions!J2:J5, A11)</f>
        <v>0</v>
      </c>
      <c r="R11" s="4">
        <f>COUNTIFS(StepVerifications!C2:C12, A11)</f>
        <v>0</v>
      </c>
      <c r="S11" s="4" t="b">
        <f>OR(((G11 = "finance-analyst")=TRUE), ((G11 = "variance-review-agent")=TRUE))</f>
        <v>0</v>
      </c>
      <c r="T11" s="4" t="b">
        <f>OR(((G11 = "controller")=TRUE), ((G11 = "cfo")=TRUE))</f>
        <v>0</v>
      </c>
      <c r="U11" s="4">
        <f>COUNTIFS(OperationalBindings!R2:R6, A11)</f>
        <v>0</v>
      </c>
      <c r="V11" s="4" t="b">
        <f>U11 = 0</f>
        <v>1</v>
      </c>
      <c r="W11" s="4" t="b">
        <f>OR(((I11 = "AIAgent")=TRUE), ((I11 = "AutomatedPipeline")=TRUE))</f>
        <v>0</v>
      </c>
      <c r="X11" s="4" t="b">
        <f>AND(((NOT(((W11)=TRUE)))=TRUE), ((OR(((A11 = "policy-05")=TRUE), ((A11 = "close-06")=TRUE)))=TRUE))</f>
        <v>0</v>
      </c>
      <c r="Y11" s="4" t="b">
        <f>AND(((X11)=TRUE), ((I11 = "Human")=TRUE))</f>
        <v>0</v>
      </c>
      <c r="Z11" s="4">
        <f>COUNTIFS(AuthorityBoundaries!P2:P4, A11)</f>
        <v>0</v>
      </c>
      <c r="AA11" s="4" t="b">
        <f>_xlfn.IFNA(IF(((INDEX(Roles!O2:O13, MATCH(G11,Roles!A2:A13, 0))="")=TRUE),  "",  INDEX(Roles!O2:O13, MATCH(G11,Roles!A2:A13, 0))), "")</f>
        <v>0</v>
      </c>
      <c r="AB11" s="4">
        <f>COUNTIFS(OperationalBindings!U2:U6, A11)</f>
        <v>0</v>
      </c>
      <c r="AC11" s="4" t="b">
        <f>AB11 = 0</f>
        <v>1</v>
      </c>
      <c r="AD11" s="3" t="s">
        <v>565</v>
      </c>
      <c r="AE11" s="4">
        <f>COUNTIFS(AuthorityBoundaries!Z2:Z4, A11)</f>
        <v>0</v>
      </c>
      <c r="AF11" s="4" t="b">
        <f>AE11 &gt; 0</f>
        <v>0</v>
      </c>
      <c r="AG11" s="4">
        <f>COUNTIFS(StepExecutions!CG2:CG13, A11)</f>
        <v>0</v>
      </c>
      <c r="AH11" s="4" t="b">
        <f>AG11 &gt; 0</f>
        <v>0</v>
      </c>
      <c r="AI11" s="4" t="b">
        <f>AND(((X11)=TRUE), ((NOT(((AH11)=TRUE)))=TRUE))</f>
        <v>0</v>
      </c>
      <c r="AJ11" s="4" t="b">
        <f>AND(((X11)=TRUE), ((AH11)=TRUE), ((Y11)=TRUE))</f>
        <v>0</v>
      </c>
      <c r="AK11" s="4" t="str">
        <f>IF(((AI11)=TRUE),  C11,  "")</f>
      </c>
      <c r="AL11" s="4" t="b">
        <f>AD11 &lt;&gt; ""</f>
        <v>1</v>
      </c>
      <c r="AM11" s="4" t="str">
        <f>IF(((AL11)=TRUE),  "",  C11)</f>
      </c>
      <c r="AN11" s="4" t="b">
        <f>AND(((AD11 = "Approval")=TRUE), ((W11)=TRUE))</f>
        <v>0</v>
      </c>
      <c r="AO11" s="4">
        <f>COUNTIFS(StepRequirements!I2:I16, A11)</f>
        <v>0</v>
      </c>
      <c r="AP11" s="6" t="e">
        <f>IF((COUNTIFS(vw_step_transitions_closure!{{FromId}},A11))="", "", ROUND((COUNTIFS(vw_step_transitions_closure!{{FromId}},A11)), 0))</f>
        <v>#VALUE!</v>
      </c>
      <c r="AQ11" s="6" t="e">
        <f>IF((COUNTIFS(vw_step_transitions_closure!{{ToId}},A11))="", "", ROUND((COUNTIFS(vw_step_transitions_closure!{{ToId}},A11)), 0))</f>
        <v>#VALUE!</v>
      </c>
      <c r="AR11" s="6" t="e">
        <f>IF((COUNTIFS(vw_step_transitions_closure!{{FromId}},A11, vw_step_transitions_closure!{{ToId}},A11))="", "", ROUND((COUNTIFS(vw_step_transitions_closure!{{FromId}},A11, vw_step_transitions_closure!{{ToId}},A11)), 0))</f>
        <v>#VALUE!</v>
      </c>
      <c r="AS11" s="4" t="e">
        <f>AR11 &gt; 0</f>
        <v>#VALUE!</v>
      </c>
      <c r="AT11" s="4" t="e">
        <f>AND(((AS11)=TRUE), ((N11 &gt; 0)=TRUE))</f>
        <v>#VALUE!</v>
      </c>
      <c r="AU11" s="6">
        <f>IF((COUNTIFS(StepTransitions!E2:E21,A11))="", "", ROUND((COUNTIFS(StepTransitions!E2:E21,A11)), 0))</f>
        <v>1</v>
      </c>
      <c r="AV11" s="4" t="b">
        <f>AU11 = 0</f>
        <v>0</v>
      </c>
      <c r="AW11" s="4" t="str">
        <f>IF(((AV11)=TRUE),  A11,  "")</f>
      </c>
      <c r="AX11" s="4">
        <f>_xlfn.IFNA(IF(((INDEX(ProcedureVersions!CH2:CH4, MATCH(C11,ProcedureVersions!A2:A4, 0))="")=TRUE),  "",  INDEX(ProcedureVersions!CH2:CH4, MATCH(C11,ProcedureVersions!A2:A4, 0))), "")</f>
        <v>0</v>
      </c>
      <c r="AY11" s="6" t="e">
        <f>IF((COUNTIFS(vw_step_transitions_closure_where_avoids_human_approval_gate!{{FromId}}, AX11, vw_step_transitions_closure_where_avoids_human_approval_gate!{{ToId}},A11))="", "", ROUND((COUNTIFS(vw_step_transitions_closure_where_avoids_human_approval_gate!{{FromId}}, AX11, vw_step_transitions_closure_where_avoids_human_approval_gate!{{ToId}},A11)), 0))</f>
        <v>#VALUE!</v>
      </c>
      <c r="AZ11" s="4" t="e">
        <f>AY11 &gt; 0</f>
        <v>#VALUE!</v>
      </c>
      <c r="BA11" s="4" t="e">
        <f>AND(((AD11 = "Publication")=TRUE), ((AZ11)=TRUE))</f>
        <v>#VALUE!</v>
      </c>
      <c r="BB11" s="3" t="s">
        <v>566</v>
      </c>
    </row>
    <row r="12">
      <c r="A12" s="3" t="s">
        <v>597</v>
      </c>
      <c r="B12" s="4" t="str">
        <f>D12 &amp; ". " &amp; E12</f>
        <v>03. Draft policy and channel variants</v>
      </c>
      <c r="C12" s="3" t="s">
        <v>375</v>
      </c>
      <c r="D12" s="3" t="s">
        <v>561</v>
      </c>
      <c r="E12" s="3" t="s">
        <v>598</v>
      </c>
      <c r="F12" s="3" t="s">
        <v>563</v>
      </c>
      <c r="G12" s="3" t="s">
        <v>236</v>
      </c>
      <c r="H12" s="4" t="str">
        <f>_xlfn.IFNA(IF(((INDEX(Roles!C2:C13, MATCH(G12,Roles!A2:A13, 0))="")=TRUE),  "",  INDEX(Roles!C2:C13, MATCH(G12,Roles!A2:A13, 0))), "")</f>
        <v>Policy Drafting Agent</v>
      </c>
      <c r="I12" s="4" t="str">
        <f>_xlfn.IFNA(IF(((INDEX(Roles!F2:F13, MATCH(G12,Roles!A2:A13, 0))="")=TRUE),  "",  INDEX(Roles!F2:F13, MATCH(G12,Roles!A2:A13, 0))), "")</f>
        <v>AIAgent</v>
      </c>
      <c r="J12" s="3" t="s">
        <v>599</v>
      </c>
      <c r="K12" s="8">
        <v>90</v>
      </c>
      <c r="L12" s="3" t="s">
        <v>553</v>
      </c>
      <c r="M12" s="3" t="b">
        <v>0</v>
      </c>
      <c r="N12" s="4">
        <f>COUNTIFS(StepRequirements!F2:F16, A12)</f>
        <v>1</v>
      </c>
      <c r="O12" s="4">
        <f>COUNTIFS(OperationalBindings!O2:O6, A12)</f>
        <v>0</v>
      </c>
      <c r="P12" s="4">
        <f>COUNTIFS(OperationalBindings!P2:P6, A12)</f>
        <v>0</v>
      </c>
      <c r="Q12" s="4">
        <f>COUNTIFS(Exceptions!J2:J5, A12)</f>
        <v>0</v>
      </c>
      <c r="R12" s="4">
        <f>COUNTIFS(StepVerifications!C2:C12, A12)</f>
        <v>1</v>
      </c>
      <c r="S12" s="4" t="b">
        <f>OR(((G12 = "finance-analyst")=TRUE), ((G12 = "variance-review-agent")=TRUE))</f>
        <v>0</v>
      </c>
      <c r="T12" s="4" t="b">
        <f>OR(((G12 = "controller")=TRUE), ((G12 = "cfo")=TRUE))</f>
        <v>0</v>
      </c>
      <c r="U12" s="4">
        <f>COUNTIFS(OperationalBindings!R2:R6, A12)</f>
        <v>0</v>
      </c>
      <c r="V12" s="4" t="b">
        <f>U12 = 0</f>
        <v>1</v>
      </c>
      <c r="W12" s="4" t="b">
        <f>OR(((I12 = "AIAgent")=TRUE), ((I12 = "AutomatedPipeline")=TRUE))</f>
        <v>1</v>
      </c>
      <c r="X12" s="4" t="b">
        <f>AND(((NOT(((W12)=TRUE)))=TRUE), ((OR(((A12 = "policy-05")=TRUE), ((A12 = "close-06")=TRUE)))=TRUE))</f>
        <v>0</v>
      </c>
      <c r="Y12" s="4" t="b">
        <f>AND(((X12)=TRUE), ((I12 = "Human")=TRUE))</f>
        <v>0</v>
      </c>
      <c r="Z12" s="4">
        <f>COUNTIFS(AuthorityBoundaries!P2:P4, A12)</f>
        <v>1</v>
      </c>
      <c r="AA12" s="4" t="b">
        <f>_xlfn.IFNA(IF(((INDEX(Roles!O2:O13, MATCH(G12,Roles!A2:A13, 0))="")=TRUE),  "",  INDEX(Roles!O2:O13, MATCH(G12,Roles!A2:A13, 0))), "")</f>
        <v>0</v>
      </c>
      <c r="AB12" s="4">
        <f>COUNTIFS(OperationalBindings!U2:U6, A12)</f>
        <v>0</v>
      </c>
      <c r="AC12" s="4" t="b">
        <f>AB12 = 0</f>
        <v>1</v>
      </c>
      <c r="AD12" s="3" t="s">
        <v>565</v>
      </c>
      <c r="AE12" s="4">
        <f>COUNTIFS(AuthorityBoundaries!Z2:Z4, A12)</f>
        <v>0</v>
      </c>
      <c r="AF12" s="4" t="b">
        <f>AE12 &gt; 0</f>
        <v>0</v>
      </c>
      <c r="AG12" s="4">
        <f>COUNTIFS(StepExecutions!CG2:CG13, A12)</f>
        <v>1</v>
      </c>
      <c r="AH12" s="4" t="b">
        <f>AG12 &gt; 0</f>
        <v>1</v>
      </c>
      <c r="AI12" s="4" t="b">
        <f>AND(((X12)=TRUE), ((NOT(((AH12)=TRUE)))=TRUE))</f>
        <v>0</v>
      </c>
      <c r="AJ12" s="4" t="b">
        <f>AND(((X12)=TRUE), ((AH12)=TRUE), ((Y12)=TRUE))</f>
        <v>0</v>
      </c>
      <c r="AK12" s="4" t="str">
        <f>IF(((AI12)=TRUE),  C12,  "")</f>
      </c>
      <c r="AL12" s="4" t="b">
        <f>AD12 &lt;&gt; ""</f>
        <v>1</v>
      </c>
      <c r="AM12" s="4" t="str">
        <f>IF(((AL12)=TRUE),  "",  C12)</f>
      </c>
      <c r="AN12" s="4" t="b">
        <f>AND(((AD12 = "Approval")=TRUE), ((W12)=TRUE))</f>
        <v>0</v>
      </c>
      <c r="AO12" s="4">
        <f>COUNTIFS(StepRequirements!I2:I16, A12)</f>
        <v>1</v>
      </c>
      <c r="AP12" s="6" t="e">
        <f>IF((COUNTIFS(vw_step_transitions_closure!{{FromId}},A12))="", "", ROUND((COUNTIFS(vw_step_transitions_closure!{{FromId}},A12)), 0))</f>
        <v>#VALUE!</v>
      </c>
      <c r="AQ12" s="6" t="e">
        <f>IF((COUNTIFS(vw_step_transitions_closure!{{ToId}},A12))="", "", ROUND((COUNTIFS(vw_step_transitions_closure!{{ToId}},A12)), 0))</f>
        <v>#VALUE!</v>
      </c>
      <c r="AR12" s="6" t="e">
        <f>IF((COUNTIFS(vw_step_transitions_closure!{{FromId}},A12, vw_step_transitions_closure!{{ToId}},A12))="", "", ROUND((COUNTIFS(vw_step_transitions_closure!{{FromId}},A12, vw_step_transitions_closure!{{ToId}},A12)), 0))</f>
        <v>#VALUE!</v>
      </c>
      <c r="AS12" s="4" t="e">
        <f>AR12 &gt; 0</f>
        <v>#VALUE!</v>
      </c>
      <c r="AT12" s="4" t="e">
        <f>AND(((AS12)=TRUE), ((N12 &gt; 0)=TRUE))</f>
        <v>#VALUE!</v>
      </c>
      <c r="AU12" s="6">
        <f>IF((COUNTIFS(StepTransitions!E2:E21,A12))="", "", ROUND((COUNTIFS(StepTransitions!E2:E21,A12)), 0))</f>
        <v>2</v>
      </c>
      <c r="AV12" s="4" t="b">
        <f>AU12 = 0</f>
        <v>0</v>
      </c>
      <c r="AW12" s="4" t="str">
        <f>IF(((AV12)=TRUE),  A12,  "")</f>
      </c>
      <c r="AX12" s="4">
        <f>_xlfn.IFNA(IF(((INDEX(ProcedureVersions!CH2:CH4, MATCH(C12,ProcedureVersions!A2:A4, 0))="")=TRUE),  "",  INDEX(ProcedureVersions!CH2:CH4, MATCH(C12,ProcedureVersions!A2:A4, 0))), "")</f>
        <v>0</v>
      </c>
      <c r="AY12" s="6" t="e">
        <f>IF((COUNTIFS(vw_step_transitions_closure_where_avoids_human_approval_gate!{{FromId}}, AX12, vw_step_transitions_closure_where_avoids_human_approval_gate!{{ToId}},A12))="", "", ROUND((COUNTIFS(vw_step_transitions_closure_where_avoids_human_approval_gate!{{FromId}}, AX12, vw_step_transitions_closure_where_avoids_human_approval_gate!{{ToId}},A12)), 0))</f>
        <v>#VALUE!</v>
      </c>
      <c r="AZ12" s="4" t="e">
        <f>AY12 &gt; 0</f>
        <v>#VALUE!</v>
      </c>
      <c r="BA12" s="4" t="e">
        <f>AND(((AD12 = "Publication")=TRUE), ((AZ12)=TRUE))</f>
        <v>#VALUE!</v>
      </c>
      <c r="BB12" s="3" t="s">
        <v>566</v>
      </c>
    </row>
    <row r="13">
      <c r="A13" s="3" t="s">
        <v>600</v>
      </c>
      <c r="B13" s="4" t="str">
        <f>D13 &amp; ". " &amp; E13</f>
        <v>04. Legal and privacy review</v>
      </c>
      <c r="C13" s="3" t="s">
        <v>375</v>
      </c>
      <c r="D13" s="3" t="s">
        <v>568</v>
      </c>
      <c r="E13" s="3" t="s">
        <v>601</v>
      </c>
      <c r="F13" s="3" t="s">
        <v>551</v>
      </c>
      <c r="G13" s="3" t="s">
        <v>220</v>
      </c>
      <c r="H13" s="4" t="str">
        <f>_xlfn.IFNA(IF(((INDEX(Roles!C2:C13, MATCH(G13,Roles!A2:A13, 0))="")=TRUE),  "",  INDEX(Roles!C2:C13, MATCH(G13,Roles!A2:A13, 0))), "")</f>
        <v>Employment Counsel</v>
      </c>
      <c r="I13" s="4" t="str">
        <f>_xlfn.IFNA(IF(((INDEX(Roles!F2:F13, MATCH(G13,Roles!A2:A13, 0))="")=TRUE),  "",  INDEX(Roles!F2:F13, MATCH(G13,Roles!A2:A13, 0))), "")</f>
        <v>Human</v>
      </c>
      <c r="J13" s="3" t="s">
        <v>602</v>
      </c>
      <c r="K13" s="8">
        <v>120</v>
      </c>
      <c r="L13" s="3" t="s">
        <v>571</v>
      </c>
      <c r="M13" s="3" t="b">
        <v>1</v>
      </c>
      <c r="N13" s="4">
        <f>COUNTIFS(StepRequirements!F2:F16, A13)</f>
        <v>1</v>
      </c>
      <c r="O13" s="4">
        <f>COUNTIFS(OperationalBindings!O2:O6, A13)</f>
        <v>0</v>
      </c>
      <c r="P13" s="4">
        <f>COUNTIFS(OperationalBindings!P2:P6, A13)</f>
        <v>0</v>
      </c>
      <c r="Q13" s="4">
        <f>COUNTIFS(Exceptions!J2:J5, A13)</f>
        <v>0</v>
      </c>
      <c r="R13" s="4">
        <f>COUNTIFS(StepVerifications!C2:C12, A13)</f>
        <v>1</v>
      </c>
      <c r="S13" s="4" t="b">
        <f>OR(((G13 = "finance-analyst")=TRUE), ((G13 = "variance-review-agent")=TRUE))</f>
        <v>0</v>
      </c>
      <c r="T13" s="4" t="b">
        <f>OR(((G13 = "controller")=TRUE), ((G13 = "cfo")=TRUE))</f>
        <v>0</v>
      </c>
      <c r="U13" s="4">
        <f>COUNTIFS(OperationalBindings!R2:R6, A13)</f>
        <v>0</v>
      </c>
      <c r="V13" s="4" t="b">
        <f>U13 = 0</f>
        <v>1</v>
      </c>
      <c r="W13" s="4" t="b">
        <f>OR(((I13 = "AIAgent")=TRUE), ((I13 = "AutomatedPipeline")=TRUE))</f>
        <v>0</v>
      </c>
      <c r="X13" s="4" t="b">
        <f>AND(((NOT(((W13)=TRUE)))=TRUE), ((OR(((A13 = "policy-05")=TRUE), ((A13 = "close-06")=TRUE)))=TRUE))</f>
        <v>0</v>
      </c>
      <c r="Y13" s="4" t="b">
        <f>AND(((X13)=TRUE), ((I13 = "Human")=TRUE))</f>
        <v>0</v>
      </c>
      <c r="Z13" s="4">
        <f>COUNTIFS(AuthorityBoundaries!P2:P4, A13)</f>
        <v>0</v>
      </c>
      <c r="AA13" s="4" t="b">
        <f>_xlfn.IFNA(IF(((INDEX(Roles!O2:O13, MATCH(G13,Roles!A2:A13, 0))="")=TRUE),  "",  INDEX(Roles!O2:O13, MATCH(G13,Roles!A2:A13, 0))), "")</f>
        <v>0</v>
      </c>
      <c r="AB13" s="4">
        <f>COUNTIFS(OperationalBindings!U2:U6, A13)</f>
        <v>0</v>
      </c>
      <c r="AC13" s="4" t="b">
        <f>AB13 = 0</f>
        <v>1</v>
      </c>
      <c r="AD13" s="3" t="s">
        <v>603</v>
      </c>
      <c r="AE13" s="4">
        <f>COUNTIFS(AuthorityBoundaries!Z2:Z4, A13)</f>
        <v>0</v>
      </c>
      <c r="AF13" s="4" t="b">
        <f>AE13 &gt; 0</f>
        <v>0</v>
      </c>
      <c r="AG13" s="4">
        <f>COUNTIFS(StepExecutions!CG2:CG13, A13)</f>
        <v>0</v>
      </c>
      <c r="AH13" s="4" t="b">
        <f>AG13 &gt; 0</f>
        <v>0</v>
      </c>
      <c r="AI13" s="4" t="b">
        <f>AND(((X13)=TRUE), ((NOT(((AH13)=TRUE)))=TRUE))</f>
        <v>0</v>
      </c>
      <c r="AJ13" s="4" t="b">
        <f>AND(((X13)=TRUE), ((AH13)=TRUE), ((Y13)=TRUE))</f>
        <v>0</v>
      </c>
      <c r="AK13" s="4" t="str">
        <f>IF(((AI13)=TRUE),  C13,  "")</f>
      </c>
      <c r="AL13" s="4" t="b">
        <f>AD13 &lt;&gt; ""</f>
        <v>1</v>
      </c>
      <c r="AM13" s="4" t="str">
        <f>IF(((AL13)=TRUE),  "",  C13)</f>
      </c>
      <c r="AN13" s="4" t="b">
        <f>AND(((AD13 = "Approval")=TRUE), ((W13)=TRUE))</f>
        <v>0</v>
      </c>
      <c r="AO13" s="4">
        <f>COUNTIFS(StepRequirements!I2:I16, A13)</f>
        <v>1</v>
      </c>
      <c r="AP13" s="6" t="e">
        <f>IF((COUNTIFS(vw_step_transitions_closure!{{FromId}},A13))="", "", ROUND((COUNTIFS(vw_step_transitions_closure!{{FromId}},A13)), 0))</f>
        <v>#VALUE!</v>
      </c>
      <c r="AQ13" s="6" t="e">
        <f>IF((COUNTIFS(vw_step_transitions_closure!{{ToId}},A13))="", "", ROUND((COUNTIFS(vw_step_transitions_closure!{{ToId}},A13)), 0))</f>
        <v>#VALUE!</v>
      </c>
      <c r="AR13" s="6" t="e">
        <f>IF((COUNTIFS(vw_step_transitions_closure!{{FromId}},A13, vw_step_transitions_closure!{{ToId}},A13))="", "", ROUND((COUNTIFS(vw_step_transitions_closure!{{FromId}},A13, vw_step_transitions_closure!{{ToId}},A13)), 0))</f>
        <v>#VALUE!</v>
      </c>
      <c r="AS13" s="4" t="e">
        <f>AR13 &gt; 0</f>
        <v>#VALUE!</v>
      </c>
      <c r="AT13" s="4" t="e">
        <f>AND(((AS13)=TRUE), ((N13 &gt; 0)=TRUE))</f>
        <v>#VALUE!</v>
      </c>
      <c r="AU13" s="6">
        <f>IF((COUNTIFS(StepTransitions!E2:E21,A13))="", "", ROUND((COUNTIFS(StepTransitions!E2:E21,A13)), 0))</f>
        <v>1</v>
      </c>
      <c r="AV13" s="4" t="b">
        <f>AU13 = 0</f>
        <v>0</v>
      </c>
      <c r="AW13" s="4" t="str">
        <f>IF(((AV13)=TRUE),  A13,  "")</f>
      </c>
      <c r="AX13" s="4">
        <f>_xlfn.IFNA(IF(((INDEX(ProcedureVersions!CH2:CH4, MATCH(C13,ProcedureVersions!A2:A4, 0))="")=TRUE),  "",  INDEX(ProcedureVersions!CH2:CH4, MATCH(C13,ProcedureVersions!A2:A4, 0))), "")</f>
        <v>0</v>
      </c>
      <c r="AY13" s="6" t="e">
        <f>IF((COUNTIFS(vw_step_transitions_closure_where_avoids_human_approval_gate!{{FromId}}, AX13, vw_step_transitions_closure_where_avoids_human_approval_gate!{{ToId}},A13))="", "", ROUND((COUNTIFS(vw_step_transitions_closure_where_avoids_human_approval_gate!{{FromId}}, AX13, vw_step_transitions_closure_where_avoids_human_approval_gate!{{ToId}},A13)), 0))</f>
        <v>#VALUE!</v>
      </c>
      <c r="AZ13" s="4" t="e">
        <f>AY13 &gt; 0</f>
        <v>#VALUE!</v>
      </c>
      <c r="BA13" s="4" t="e">
        <f>AND(((AD13 = "Publication")=TRUE), ((AZ13)=TRUE))</f>
        <v>#VALUE!</v>
      </c>
      <c r="BB13" s="3" t="s">
        <v>555</v>
      </c>
    </row>
    <row r="14">
      <c r="A14" s="3" t="s">
        <v>604</v>
      </c>
      <c r="B14" s="4" t="str">
        <f>D14 &amp; ". " &amp; E14</f>
        <v>05. Human authority approval</v>
      </c>
      <c r="C14" s="3" t="s">
        <v>375</v>
      </c>
      <c r="D14" s="3" t="s">
        <v>573</v>
      </c>
      <c r="E14" s="3" t="s">
        <v>605</v>
      </c>
      <c r="F14" s="3" t="s">
        <v>551</v>
      </c>
      <c r="G14" s="3" t="s">
        <v>216</v>
      </c>
      <c r="H14" s="4" t="str">
        <f>_xlfn.IFNA(IF(((INDEX(Roles!C2:C13, MATCH(G14,Roles!A2:A13, 0))="")=TRUE),  "",  INDEX(Roles!C2:C13, MATCH(G14,Roles!A2:A13, 0))), "")</f>
        <v>People Policy Owner</v>
      </c>
      <c r="I14" s="4" t="str">
        <f>_xlfn.IFNA(IF(((INDEX(Roles!F2:F13, MATCH(G14,Roles!A2:A13, 0))="")=TRUE),  "",  INDEX(Roles!F2:F13, MATCH(G14,Roles!A2:A13, 0))), "")</f>
        <v>Human</v>
      </c>
      <c r="J14" s="3" t="s">
        <v>606</v>
      </c>
      <c r="K14" s="8">
        <v>45</v>
      </c>
      <c r="L14" s="3" t="s">
        <v>580</v>
      </c>
      <c r="M14" s="3" t="b">
        <v>1</v>
      </c>
      <c r="N14" s="4">
        <f>COUNTIFS(StepRequirements!F2:F16, A14)</f>
        <v>1</v>
      </c>
      <c r="O14" s="4">
        <f>COUNTIFS(OperationalBindings!O2:O6, A14)</f>
        <v>0</v>
      </c>
      <c r="P14" s="4">
        <f>COUNTIFS(OperationalBindings!P2:P6, A14)</f>
        <v>0</v>
      </c>
      <c r="Q14" s="4">
        <f>COUNTIFS(Exceptions!J2:J5, A14)</f>
        <v>0</v>
      </c>
      <c r="R14" s="4">
        <f>COUNTIFS(StepVerifications!C2:C12, A14)</f>
        <v>1</v>
      </c>
      <c r="S14" s="4" t="b">
        <f>OR(((G14 = "finance-analyst")=TRUE), ((G14 = "variance-review-agent")=TRUE))</f>
        <v>0</v>
      </c>
      <c r="T14" s="4" t="b">
        <f>OR(((G14 = "controller")=TRUE), ((G14 = "cfo")=TRUE))</f>
        <v>0</v>
      </c>
      <c r="U14" s="4">
        <f>COUNTIFS(OperationalBindings!R2:R6, A14)</f>
        <v>0</v>
      </c>
      <c r="V14" s="4" t="b">
        <f>U14 = 0</f>
        <v>1</v>
      </c>
      <c r="W14" s="4" t="b">
        <f>OR(((I14 = "AIAgent")=TRUE), ((I14 = "AutomatedPipeline")=TRUE))</f>
        <v>0</v>
      </c>
      <c r="X14" s="4" t="b">
        <f>AND(((NOT(((W14)=TRUE)))=TRUE), ((OR(((A14 = "policy-05")=TRUE), ((A14 = "close-06")=TRUE)))=TRUE))</f>
        <v>1</v>
      </c>
      <c r="Y14" s="4" t="b">
        <f>AND(((X14)=TRUE), ((I14 = "Human")=TRUE))</f>
        <v>1</v>
      </c>
      <c r="Z14" s="4">
        <f>COUNTIFS(AuthorityBoundaries!P2:P4, A14)</f>
        <v>0</v>
      </c>
      <c r="AA14" s="4" t="b">
        <f>_xlfn.IFNA(IF(((INDEX(Roles!O2:O13, MATCH(G14,Roles!A2:A13, 0))="")=TRUE),  "",  INDEX(Roles!O2:O13, MATCH(G14,Roles!A2:A13, 0))), "")</f>
        <v>0</v>
      </c>
      <c r="AB14" s="4">
        <f>COUNTIFS(OperationalBindings!U2:U6, A14)</f>
        <v>0</v>
      </c>
      <c r="AC14" s="4" t="b">
        <f>AB14 = 0</f>
        <v>1</v>
      </c>
      <c r="AD14" s="3" t="s">
        <v>490</v>
      </c>
      <c r="AE14" s="4">
        <f>COUNTIFS(AuthorityBoundaries!Z2:Z4, A14)</f>
        <v>0</v>
      </c>
      <c r="AF14" s="4" t="b">
        <f>AE14 &gt; 0</f>
        <v>0</v>
      </c>
      <c r="AG14" s="4">
        <f>COUNTIFS(StepExecutions!CG2:CG13, A14)</f>
        <v>0</v>
      </c>
      <c r="AH14" s="4" t="b">
        <f>AG14 &gt; 0</f>
        <v>0</v>
      </c>
      <c r="AI14" s="4" t="b">
        <f>AND(((X14)=TRUE), ((NOT(((AH14)=TRUE)))=TRUE))</f>
        <v>1</v>
      </c>
      <c r="AJ14" s="4" t="b">
        <f>AND(((X14)=TRUE), ((AH14)=TRUE), ((Y14)=TRUE))</f>
        <v>0</v>
      </c>
      <c r="AK14" s="4" t="str">
        <f>IF(((AI14)=TRUE),  C14,  "")</f>
        <v>policy-v1.0.0</v>
      </c>
      <c r="AL14" s="4" t="b">
        <f>AD14 &lt;&gt; ""</f>
        <v>1</v>
      </c>
      <c r="AM14" s="4" t="str">
        <f>IF(((AL14)=TRUE),  "",  C14)</f>
      </c>
      <c r="AN14" s="4" t="b">
        <f>AND(((AD14 = "Approval")=TRUE), ((W14)=TRUE))</f>
        <v>0</v>
      </c>
      <c r="AO14" s="4">
        <f>COUNTIFS(StepRequirements!I2:I16, A14)</f>
        <v>1</v>
      </c>
      <c r="AP14" s="6" t="e">
        <f>IF((COUNTIFS(vw_step_transitions_closure!{{FromId}},A14))="", "", ROUND((COUNTIFS(vw_step_transitions_closure!{{FromId}},A14)), 0))</f>
        <v>#VALUE!</v>
      </c>
      <c r="AQ14" s="6" t="e">
        <f>IF((COUNTIFS(vw_step_transitions_closure!{{ToId}},A14))="", "", ROUND((COUNTIFS(vw_step_transitions_closure!{{ToId}},A14)), 0))</f>
        <v>#VALUE!</v>
      </c>
      <c r="AR14" s="6" t="e">
        <f>IF((COUNTIFS(vw_step_transitions_closure!{{FromId}},A14, vw_step_transitions_closure!{{ToId}},A14))="", "", ROUND((COUNTIFS(vw_step_transitions_closure!{{FromId}},A14, vw_step_transitions_closure!{{ToId}},A14)), 0))</f>
        <v>#VALUE!</v>
      </c>
      <c r="AS14" s="4" t="e">
        <f>AR14 &gt; 0</f>
        <v>#VALUE!</v>
      </c>
      <c r="AT14" s="4" t="e">
        <f>AND(((AS14)=TRUE), ((N14 &gt; 0)=TRUE))</f>
        <v>#VALUE!</v>
      </c>
      <c r="AU14" s="6">
        <f>IF((COUNTIFS(StepTransitions!E2:E21,A14))="", "", ROUND((COUNTIFS(StepTransitions!E2:E21,A14)), 0))</f>
        <v>1</v>
      </c>
      <c r="AV14" s="4" t="b">
        <f>AU14 = 0</f>
        <v>0</v>
      </c>
      <c r="AW14" s="4" t="str">
        <f>IF(((AV14)=TRUE),  A14,  "")</f>
      </c>
      <c r="AX14" s="4">
        <f>_xlfn.IFNA(IF(((INDEX(ProcedureVersions!CH2:CH4, MATCH(C14,ProcedureVersions!A2:A4, 0))="")=TRUE),  "",  INDEX(ProcedureVersions!CH2:CH4, MATCH(C14,ProcedureVersions!A2:A4, 0))), "")</f>
        <v>0</v>
      </c>
      <c r="AY14" s="6" t="e">
        <f>IF((COUNTIFS(vw_step_transitions_closure_where_avoids_human_approval_gate!{{FromId}}, AX14, vw_step_transitions_closure_where_avoids_human_approval_gate!{{ToId}},A14))="", "", ROUND((COUNTIFS(vw_step_transitions_closure_where_avoids_human_approval_gate!{{FromId}}, AX14, vw_step_transitions_closure_where_avoids_human_approval_gate!{{ToId}},A14)), 0))</f>
        <v>#VALUE!</v>
      </c>
      <c r="AZ14" s="4" t="e">
        <f>AY14 &gt; 0</f>
        <v>#VALUE!</v>
      </c>
      <c r="BA14" s="4" t="e">
        <f>AND(((AD14 = "Publication")=TRUE), ((AZ14)=TRUE))</f>
        <v>#VALUE!</v>
      </c>
      <c r="BB14" s="3" t="s">
        <v>555</v>
      </c>
    </row>
    <row r="15">
      <c r="A15" s="3" t="s">
        <v>607</v>
      </c>
      <c r="B15" s="4" t="str">
        <f>D15 &amp; ". " &amp; E15</f>
        <v>06. Generate approved communications</v>
      </c>
      <c r="C15" s="3" t="s">
        <v>375</v>
      </c>
      <c r="D15" s="3" t="s">
        <v>577</v>
      </c>
      <c r="E15" s="3" t="s">
        <v>608</v>
      </c>
      <c r="F15" s="3" t="s">
        <v>551</v>
      </c>
      <c r="G15" s="3" t="s">
        <v>236</v>
      </c>
      <c r="H15" s="4" t="str">
        <f>_xlfn.IFNA(IF(((INDEX(Roles!C2:C13, MATCH(G15,Roles!A2:A13, 0))="")=TRUE),  "",  INDEX(Roles!C2:C13, MATCH(G15,Roles!A2:A13, 0))), "")</f>
        <v>Policy Drafting Agent</v>
      </c>
      <c r="I15" s="4" t="str">
        <f>_xlfn.IFNA(IF(((INDEX(Roles!F2:F13, MATCH(G15,Roles!A2:A13, 0))="")=TRUE),  "",  INDEX(Roles!F2:F13, MATCH(G15,Roles!A2:A13, 0))), "")</f>
        <v>AIAgent</v>
      </c>
      <c r="J15" s="3" t="s">
        <v>609</v>
      </c>
      <c r="K15" s="8">
        <v>30</v>
      </c>
      <c r="L15" s="3" t="s">
        <v>553</v>
      </c>
      <c r="M15" s="3" t="b">
        <v>0</v>
      </c>
      <c r="N15" s="4">
        <f>COUNTIFS(StepRequirements!F2:F16, A15)</f>
        <v>1</v>
      </c>
      <c r="O15" s="4">
        <f>COUNTIFS(OperationalBindings!O2:O6, A15)</f>
        <v>0</v>
      </c>
      <c r="P15" s="4">
        <f>COUNTIFS(OperationalBindings!P2:P6, A15)</f>
        <v>0</v>
      </c>
      <c r="Q15" s="4">
        <f>COUNTIFS(Exceptions!J2:J5, A15)</f>
        <v>0</v>
      </c>
      <c r="R15" s="4">
        <f>COUNTIFS(StepVerifications!C2:C12, A15)</f>
        <v>0</v>
      </c>
      <c r="S15" s="4" t="b">
        <f>OR(((G15 = "finance-analyst")=TRUE), ((G15 = "variance-review-agent")=TRUE))</f>
        <v>0</v>
      </c>
      <c r="T15" s="4" t="b">
        <f>OR(((G15 = "controller")=TRUE), ((G15 = "cfo")=TRUE))</f>
        <v>0</v>
      </c>
      <c r="U15" s="4">
        <f>COUNTIFS(OperationalBindings!R2:R6, A15)</f>
        <v>0</v>
      </c>
      <c r="V15" s="4" t="b">
        <f>U15 = 0</f>
        <v>1</v>
      </c>
      <c r="W15" s="4" t="b">
        <f>OR(((I15 = "AIAgent")=TRUE), ((I15 = "AutomatedPipeline")=TRUE))</f>
        <v>1</v>
      </c>
      <c r="X15" s="4" t="b">
        <f>AND(((NOT(((W15)=TRUE)))=TRUE), ((OR(((A15 = "policy-05")=TRUE), ((A15 = "close-06")=TRUE)))=TRUE))</f>
        <v>0</v>
      </c>
      <c r="Y15" s="4" t="b">
        <f>AND(((X15)=TRUE), ((I15 = "Human")=TRUE))</f>
        <v>0</v>
      </c>
      <c r="Z15" s="4">
        <f>COUNTIFS(AuthorityBoundaries!P2:P4, A15)</f>
        <v>0</v>
      </c>
      <c r="AA15" s="4" t="b">
        <f>_xlfn.IFNA(IF(((INDEX(Roles!O2:O13, MATCH(G15,Roles!A2:A13, 0))="")=TRUE),  "",  INDEX(Roles!O2:O13, MATCH(G15,Roles!A2:A13, 0))), "")</f>
        <v>0</v>
      </c>
      <c r="AB15" s="4">
        <f>COUNTIFS(OperationalBindings!U2:U6, A15)</f>
        <v>0</v>
      </c>
      <c r="AC15" s="4" t="b">
        <f>AB15 = 0</f>
        <v>1</v>
      </c>
      <c r="AD15" s="3" t="s">
        <v>585</v>
      </c>
      <c r="AE15" s="4">
        <f>COUNTIFS(AuthorityBoundaries!Z2:Z4, A15)</f>
        <v>0</v>
      </c>
      <c r="AF15" s="4" t="b">
        <f>AE15 &gt; 0</f>
        <v>0</v>
      </c>
      <c r="AG15" s="4">
        <f>COUNTIFS(StepExecutions!CG2:CG13, A15)</f>
        <v>0</v>
      </c>
      <c r="AH15" s="4" t="b">
        <f>AG15 &gt; 0</f>
        <v>0</v>
      </c>
      <c r="AI15" s="4" t="b">
        <f>AND(((X15)=TRUE), ((NOT(((AH15)=TRUE)))=TRUE))</f>
        <v>0</v>
      </c>
      <c r="AJ15" s="4" t="b">
        <f>AND(((X15)=TRUE), ((AH15)=TRUE), ((Y15)=TRUE))</f>
        <v>0</v>
      </c>
      <c r="AK15" s="4" t="str">
        <f>IF(((AI15)=TRUE),  C15,  "")</f>
      </c>
      <c r="AL15" s="4" t="b">
        <f>AD15 &lt;&gt; ""</f>
        <v>1</v>
      </c>
      <c r="AM15" s="4" t="str">
        <f>IF(((AL15)=TRUE),  "",  C15)</f>
      </c>
      <c r="AN15" s="4" t="b">
        <f>AND(((AD15 = "Approval")=TRUE), ((W15)=TRUE))</f>
        <v>0</v>
      </c>
      <c r="AO15" s="4">
        <f>COUNTIFS(StepRequirements!I2:I16, A15)</f>
        <v>1</v>
      </c>
      <c r="AP15" s="6" t="e">
        <f>IF((COUNTIFS(vw_step_transitions_closure!{{FromId}},A15))="", "", ROUND((COUNTIFS(vw_step_transitions_closure!{{FromId}},A15)), 0))</f>
        <v>#VALUE!</v>
      </c>
      <c r="AQ15" s="6" t="e">
        <f>IF((COUNTIFS(vw_step_transitions_closure!{{ToId}},A15))="", "", ROUND((COUNTIFS(vw_step_transitions_closure!{{ToId}},A15)), 0))</f>
        <v>#VALUE!</v>
      </c>
      <c r="AR15" s="6" t="e">
        <f>IF((COUNTIFS(vw_step_transitions_closure!{{FromId}},A15, vw_step_transitions_closure!{{ToId}},A15))="", "", ROUND((COUNTIFS(vw_step_transitions_closure!{{FromId}},A15, vw_step_transitions_closure!{{ToId}},A15)), 0))</f>
        <v>#VALUE!</v>
      </c>
      <c r="AS15" s="4" t="e">
        <f>AR15 &gt; 0</f>
        <v>#VALUE!</v>
      </c>
      <c r="AT15" s="4" t="e">
        <f>AND(((AS15)=TRUE), ((N15 &gt; 0)=TRUE))</f>
        <v>#VALUE!</v>
      </c>
      <c r="AU15" s="6">
        <f>IF((COUNTIFS(StepTransitions!E2:E21,A15))="", "", ROUND((COUNTIFS(StepTransitions!E2:E21,A15)), 0))</f>
        <v>2</v>
      </c>
      <c r="AV15" s="4" t="b">
        <f>AU15 = 0</f>
        <v>0</v>
      </c>
      <c r="AW15" s="4" t="str">
        <f>IF(((AV15)=TRUE),  A15,  "")</f>
      </c>
      <c r="AX15" s="4">
        <f>_xlfn.IFNA(IF(((INDEX(ProcedureVersions!CH2:CH4, MATCH(C15,ProcedureVersions!A2:A4, 0))="")=TRUE),  "",  INDEX(ProcedureVersions!CH2:CH4, MATCH(C15,ProcedureVersions!A2:A4, 0))), "")</f>
        <v>0</v>
      </c>
      <c r="AY15" s="6" t="e">
        <f>IF((COUNTIFS(vw_step_transitions_closure_where_avoids_human_approval_gate!{{FromId}}, AX15, vw_step_transitions_closure_where_avoids_human_approval_gate!{{ToId}},A15))="", "", ROUND((COUNTIFS(vw_step_transitions_closure_where_avoids_human_approval_gate!{{FromId}}, AX15, vw_step_transitions_closure_where_avoids_human_approval_gate!{{ToId}},A15)), 0))</f>
        <v>#VALUE!</v>
      </c>
      <c r="AZ15" s="4" t="e">
        <f>AY15 &gt; 0</f>
        <v>#VALUE!</v>
      </c>
      <c r="BA15" s="4" t="e">
        <f>AND(((AD15 = "Publication")=TRUE), ((AZ15)=TRUE))</f>
        <v>#VALUE!</v>
      </c>
      <c r="BB15" s="3" t="s">
        <v>555</v>
      </c>
    </row>
    <row r="16">
      <c r="A16" s="3" t="s">
        <v>610</v>
      </c>
      <c r="B16" s="4" t="str">
        <f>D16 &amp; ". " &amp; E16</f>
        <v>07. Apply channel controls and send</v>
      </c>
      <c r="C16" s="3" t="s">
        <v>375</v>
      </c>
      <c r="D16" s="3" t="s">
        <v>582</v>
      </c>
      <c r="E16" s="3" t="s">
        <v>611</v>
      </c>
      <c r="F16" s="3" t="s">
        <v>563</v>
      </c>
      <c r="G16" s="3" t="s">
        <v>240</v>
      </c>
      <c r="H16" s="4" t="str">
        <f>_xlfn.IFNA(IF(((INDEX(Roles!C2:C13, MATCH(G16,Roles!A2:A13, 0))="")=TRUE),  "",  INDEX(Roles!C2:C13, MATCH(G16,Roles!A2:A13, 0))), "")</f>
        <v>Notification Publisher</v>
      </c>
      <c r="I16" s="4" t="str">
        <f>_xlfn.IFNA(IF(((INDEX(Roles!F2:F13, MATCH(G16,Roles!A2:A13, 0))="")=TRUE),  "",  INDEX(Roles!F2:F13, MATCH(G16,Roles!A2:A13, 0))), "")</f>
        <v>AutomatedPipeline</v>
      </c>
      <c r="J16" s="3" t="s">
        <v>612</v>
      </c>
      <c r="K16" s="8">
        <v>60</v>
      </c>
      <c r="L16" s="3" t="s">
        <v>553</v>
      </c>
      <c r="M16" s="3" t="b">
        <v>0</v>
      </c>
      <c r="N16" s="4">
        <f>COUNTIFS(StepRequirements!F2:F16, A16)</f>
        <v>4</v>
      </c>
      <c r="O16" s="4">
        <f>COUNTIFS(OperationalBindings!O2:O6, A16)</f>
        <v>1</v>
      </c>
      <c r="P16" s="4">
        <f>COUNTIFS(OperationalBindings!P2:P6, A16)</f>
        <v>1</v>
      </c>
      <c r="Q16" s="4">
        <f>COUNTIFS(Exceptions!J2:J5, A16)</f>
        <v>1</v>
      </c>
      <c r="R16" s="4">
        <f>COUNTIFS(StepVerifications!C2:C12, A16)</f>
        <v>2</v>
      </c>
      <c r="S16" s="4" t="b">
        <f>OR(((G16 = "finance-analyst")=TRUE), ((G16 = "variance-review-agent")=TRUE))</f>
        <v>0</v>
      </c>
      <c r="T16" s="4" t="b">
        <f>OR(((G16 = "controller")=TRUE), ((G16 = "cfo")=TRUE))</f>
        <v>0</v>
      </c>
      <c r="U16" s="4">
        <f>COUNTIFS(OperationalBindings!R2:R6, A16)</f>
        <v>1</v>
      </c>
      <c r="V16" s="4" t="b">
        <f>U16 = 0</f>
        <v>0</v>
      </c>
      <c r="W16" s="4" t="b">
        <f>OR(((I16 = "AIAgent")=TRUE), ((I16 = "AutomatedPipeline")=TRUE))</f>
        <v>1</v>
      </c>
      <c r="X16" s="4" t="b">
        <f>AND(((NOT(((W16)=TRUE)))=TRUE), ((OR(((A16 = "policy-05")=TRUE), ((A16 = "close-06")=TRUE)))=TRUE))</f>
        <v>0</v>
      </c>
      <c r="Y16" s="4" t="b">
        <f>AND(((X16)=TRUE), ((I16 = "Human")=TRUE))</f>
        <v>0</v>
      </c>
      <c r="Z16" s="4">
        <f>COUNTIFS(AuthorityBoundaries!P2:P4, A16)</f>
        <v>0</v>
      </c>
      <c r="AA16" s="4" t="b">
        <f>_xlfn.IFNA(IF(((INDEX(Roles!O2:O13, MATCH(G16,Roles!A2:A13, 0))="")=TRUE),  "",  INDEX(Roles!O2:O13, MATCH(G16,Roles!A2:A13, 0))), "")</f>
        <v>0</v>
      </c>
      <c r="AB16" s="4">
        <f>COUNTIFS(OperationalBindings!U2:U6, A16)</f>
        <v>3</v>
      </c>
      <c r="AC16" s="4" t="b">
        <f>AB16 = 0</f>
        <v>0</v>
      </c>
      <c r="AD16" s="3" t="s">
        <v>585</v>
      </c>
      <c r="AE16" s="4">
        <f>COUNTIFS(AuthorityBoundaries!Z2:Z4, A16)</f>
        <v>0</v>
      </c>
      <c r="AF16" s="4" t="b">
        <f>AE16 &gt; 0</f>
        <v>0</v>
      </c>
      <c r="AG16" s="4">
        <f>COUNTIFS(StepExecutions!CG2:CG13, A16)</f>
        <v>0</v>
      </c>
      <c r="AH16" s="4" t="b">
        <f>AG16 &gt; 0</f>
        <v>0</v>
      </c>
      <c r="AI16" s="4" t="b">
        <f>AND(((X16)=TRUE), ((NOT(((AH16)=TRUE)))=TRUE))</f>
        <v>0</v>
      </c>
      <c r="AJ16" s="4" t="b">
        <f>AND(((X16)=TRUE), ((AH16)=TRUE), ((Y16)=TRUE))</f>
        <v>0</v>
      </c>
      <c r="AK16" s="4" t="str">
        <f>IF(((AI16)=TRUE),  C16,  "")</f>
      </c>
      <c r="AL16" s="4" t="b">
        <f>AD16 &lt;&gt; ""</f>
        <v>1</v>
      </c>
      <c r="AM16" s="4" t="str">
        <f>IF(((AL16)=TRUE),  "",  C16)</f>
      </c>
      <c r="AN16" s="4" t="b">
        <f>AND(((AD16 = "Approval")=TRUE), ((W16)=TRUE))</f>
        <v>0</v>
      </c>
      <c r="AO16" s="4">
        <f>COUNTIFS(StepRequirements!I2:I16, A16)</f>
        <v>4</v>
      </c>
      <c r="AP16" s="6" t="e">
        <f>IF((COUNTIFS(vw_step_transitions_closure!{{FromId}},A16))="", "", ROUND((COUNTIFS(vw_step_transitions_closure!{{FromId}},A16)), 0))</f>
        <v>#VALUE!</v>
      </c>
      <c r="AQ16" s="6" t="e">
        <f>IF((COUNTIFS(vw_step_transitions_closure!{{ToId}},A16))="", "", ROUND((COUNTIFS(vw_step_transitions_closure!{{ToId}},A16)), 0))</f>
        <v>#VALUE!</v>
      </c>
      <c r="AR16" s="6" t="e">
        <f>IF((COUNTIFS(vw_step_transitions_closure!{{FromId}},A16, vw_step_transitions_closure!{{ToId}},A16))="", "", ROUND((COUNTIFS(vw_step_transitions_closure!{{FromId}},A16, vw_step_transitions_closure!{{ToId}},A16)), 0))</f>
        <v>#VALUE!</v>
      </c>
      <c r="AS16" s="4" t="e">
        <f>AR16 &gt; 0</f>
        <v>#VALUE!</v>
      </c>
      <c r="AT16" s="4" t="e">
        <f>AND(((AS16)=TRUE), ((N16 &gt; 0)=TRUE))</f>
        <v>#VALUE!</v>
      </c>
      <c r="AU16" s="6">
        <f>IF((COUNTIFS(StepTransitions!E2:E21,A16))="", "", ROUND((COUNTIFS(StepTransitions!E2:E21,A16)), 0))</f>
        <v>1</v>
      </c>
      <c r="AV16" s="4" t="b">
        <f>AU16 = 0</f>
        <v>0</v>
      </c>
      <c r="AW16" s="4" t="str">
        <f>IF(((AV16)=TRUE),  A16,  "")</f>
      </c>
      <c r="AX16" s="4">
        <f>_xlfn.IFNA(IF(((INDEX(ProcedureVersions!CH2:CH4, MATCH(C16,ProcedureVersions!A2:A4, 0))="")=TRUE),  "",  INDEX(ProcedureVersions!CH2:CH4, MATCH(C16,ProcedureVersions!A2:A4, 0))), "")</f>
        <v>0</v>
      </c>
      <c r="AY16" s="6" t="e">
        <f>IF((COUNTIFS(vw_step_transitions_closure_where_avoids_human_approval_gate!{{FromId}}, AX16, vw_step_transitions_closure_where_avoids_human_approval_gate!{{ToId}},A16))="", "", ROUND((COUNTIFS(vw_step_transitions_closure_where_avoids_human_approval_gate!{{FromId}}, AX16, vw_step_transitions_closure_where_avoids_human_approval_gate!{{ToId}},A16)), 0))</f>
        <v>#VALUE!</v>
      </c>
      <c r="AZ16" s="4" t="e">
        <f>AY16 &gt; 0</f>
        <v>#VALUE!</v>
      </c>
      <c r="BA16" s="4" t="e">
        <f>AND(((AD16 = "Publication")=TRUE), ((AZ16)=TRUE))</f>
        <v>#VALUE!</v>
      </c>
      <c r="BB16" s="3" t="s">
        <v>566</v>
      </c>
    </row>
    <row r="17">
      <c r="A17" s="3" t="s">
        <v>613</v>
      </c>
      <c r="B17" s="4" t="str">
        <f>D17 &amp; ". " &amp; E17</f>
        <v>08. Collect acknowledgements and exceptions</v>
      </c>
      <c r="C17" s="3" t="s">
        <v>375</v>
      </c>
      <c r="D17" s="3" t="s">
        <v>587</v>
      </c>
      <c r="E17" s="3" t="s">
        <v>614</v>
      </c>
      <c r="F17" s="3" t="s">
        <v>551</v>
      </c>
      <c r="G17" s="3" t="s">
        <v>240</v>
      </c>
      <c r="H17" s="4" t="str">
        <f>_xlfn.IFNA(IF(((INDEX(Roles!C2:C13, MATCH(G17,Roles!A2:A13, 0))="")=TRUE),  "",  INDEX(Roles!C2:C13, MATCH(G17,Roles!A2:A13, 0))), "")</f>
        <v>Notification Publisher</v>
      </c>
      <c r="I17" s="4" t="str">
        <f>_xlfn.IFNA(IF(((INDEX(Roles!F2:F13, MATCH(G17,Roles!A2:A13, 0))="")=TRUE),  "",  INDEX(Roles!F2:F13, MATCH(G17,Roles!A2:A13, 0))), "")</f>
        <v>AutomatedPipeline</v>
      </c>
      <c r="J17" s="3" t="s">
        <v>615</v>
      </c>
      <c r="K17" s="8">
        <v>1440</v>
      </c>
      <c r="L17" s="3" t="s">
        <v>553</v>
      </c>
      <c r="M17" s="3" t="b">
        <v>0</v>
      </c>
      <c r="N17" s="4">
        <f>COUNTIFS(StepRequirements!F2:F16, A17)</f>
        <v>1</v>
      </c>
      <c r="O17" s="4">
        <f>COUNTIFS(OperationalBindings!O2:O6, A17)</f>
        <v>0</v>
      </c>
      <c r="P17" s="4">
        <f>COUNTIFS(OperationalBindings!P2:P6, A17)</f>
        <v>0</v>
      </c>
      <c r="Q17" s="4">
        <f>COUNTIFS(Exceptions!J2:J5, A17)</f>
        <v>1</v>
      </c>
      <c r="R17" s="4">
        <f>COUNTIFS(StepVerifications!C2:C12, A17)</f>
        <v>1</v>
      </c>
      <c r="S17" s="4" t="b">
        <f>OR(((G17 = "finance-analyst")=TRUE), ((G17 = "variance-review-agent")=TRUE))</f>
        <v>0</v>
      </c>
      <c r="T17" s="4" t="b">
        <f>OR(((G17 = "controller")=TRUE), ((G17 = "cfo")=TRUE))</f>
        <v>0</v>
      </c>
      <c r="U17" s="4">
        <f>COUNTIFS(OperationalBindings!R2:R6, A17)</f>
        <v>0</v>
      </c>
      <c r="V17" s="4" t="b">
        <f>U17 = 0</f>
        <v>1</v>
      </c>
      <c r="W17" s="4" t="b">
        <f>OR(((I17 = "AIAgent")=TRUE), ((I17 = "AutomatedPipeline")=TRUE))</f>
        <v>1</v>
      </c>
      <c r="X17" s="4" t="b">
        <f>AND(((NOT(((W17)=TRUE)))=TRUE), ((OR(((A17 = "policy-05")=TRUE), ((A17 = "close-06")=TRUE)))=TRUE))</f>
        <v>0</v>
      </c>
      <c r="Y17" s="4" t="b">
        <f>AND(((X17)=TRUE), ((I17 = "Human")=TRUE))</f>
        <v>0</v>
      </c>
      <c r="Z17" s="4">
        <f>COUNTIFS(AuthorityBoundaries!P2:P4, A17)</f>
        <v>0</v>
      </c>
      <c r="AA17" s="4" t="b">
        <f>_xlfn.IFNA(IF(((INDEX(Roles!O2:O13, MATCH(G17,Roles!A2:A13, 0))="")=TRUE),  "",  INDEX(Roles!O2:O13, MATCH(G17,Roles!A2:A13, 0))), "")</f>
        <v>0</v>
      </c>
      <c r="AB17" s="4">
        <f>COUNTIFS(OperationalBindings!U2:U6, A17)</f>
        <v>0</v>
      </c>
      <c r="AC17" s="4" t="b">
        <f>AB17 = 0</f>
        <v>1</v>
      </c>
      <c r="AD17" s="3" t="s">
        <v>616</v>
      </c>
      <c r="AE17" s="4">
        <f>COUNTIFS(AuthorityBoundaries!Z2:Z4, A17)</f>
        <v>0</v>
      </c>
      <c r="AF17" s="4" t="b">
        <f>AE17 &gt; 0</f>
        <v>0</v>
      </c>
      <c r="AG17" s="4">
        <f>COUNTIFS(StepExecutions!CG2:CG13, A17)</f>
        <v>0</v>
      </c>
      <c r="AH17" s="4" t="b">
        <f>AG17 &gt; 0</f>
        <v>0</v>
      </c>
      <c r="AI17" s="4" t="b">
        <f>AND(((X17)=TRUE), ((NOT(((AH17)=TRUE)))=TRUE))</f>
        <v>0</v>
      </c>
      <c r="AJ17" s="4" t="b">
        <f>AND(((X17)=TRUE), ((AH17)=TRUE), ((Y17)=TRUE))</f>
        <v>0</v>
      </c>
      <c r="AK17" s="4" t="str">
        <f>IF(((AI17)=TRUE),  C17,  "")</f>
      </c>
      <c r="AL17" s="4" t="b">
        <f>AD17 &lt;&gt; ""</f>
        <v>1</v>
      </c>
      <c r="AM17" s="4" t="str">
        <f>IF(((AL17)=TRUE),  "",  C17)</f>
      </c>
      <c r="AN17" s="4" t="b">
        <f>AND(((AD17 = "Approval")=TRUE), ((W17)=TRUE))</f>
        <v>0</v>
      </c>
      <c r="AO17" s="4">
        <f>COUNTIFS(StepRequirements!I2:I16, A17)</f>
        <v>1</v>
      </c>
      <c r="AP17" s="6" t="e">
        <f>IF((COUNTIFS(vw_step_transitions_closure!{{FromId}},A17))="", "", ROUND((COUNTIFS(vw_step_transitions_closure!{{FromId}},A17)), 0))</f>
        <v>#VALUE!</v>
      </c>
      <c r="AQ17" s="6" t="e">
        <f>IF((COUNTIFS(vw_step_transitions_closure!{{ToId}},A17))="", "", ROUND((COUNTIFS(vw_step_transitions_closure!{{ToId}},A17)), 0))</f>
        <v>#VALUE!</v>
      </c>
      <c r="AR17" s="6" t="e">
        <f>IF((COUNTIFS(vw_step_transitions_closure!{{FromId}},A17, vw_step_transitions_closure!{{ToId}},A17))="", "", ROUND((COUNTIFS(vw_step_transitions_closure!{{FromId}},A17, vw_step_transitions_closure!{{ToId}},A17)), 0))</f>
        <v>#VALUE!</v>
      </c>
      <c r="AS17" s="4" t="e">
        <f>AR17 &gt; 0</f>
        <v>#VALUE!</v>
      </c>
      <c r="AT17" s="4" t="e">
        <f>AND(((AS17)=TRUE), ((N17 &gt; 0)=TRUE))</f>
        <v>#VALUE!</v>
      </c>
      <c r="AU17" s="6">
        <f>IF((COUNTIFS(StepTransitions!E2:E21,A17))="", "", ROUND((COUNTIFS(StepTransitions!E2:E21,A17)), 0))</f>
        <v>1</v>
      </c>
      <c r="AV17" s="4" t="b">
        <f>AU17 = 0</f>
        <v>0</v>
      </c>
      <c r="AW17" s="4" t="str">
        <f>IF(((AV17)=TRUE),  A17,  "")</f>
      </c>
      <c r="AX17" s="4">
        <f>_xlfn.IFNA(IF(((INDEX(ProcedureVersions!CH2:CH4, MATCH(C17,ProcedureVersions!A2:A4, 0))="")=TRUE),  "",  INDEX(ProcedureVersions!CH2:CH4, MATCH(C17,ProcedureVersions!A2:A4, 0))), "")</f>
        <v>0</v>
      </c>
      <c r="AY17" s="6" t="e">
        <f>IF((COUNTIFS(vw_step_transitions_closure_where_avoids_human_approval_gate!{{FromId}}, AX17, vw_step_transitions_closure_where_avoids_human_approval_gate!{{ToId}},A17))="", "", ROUND((COUNTIFS(vw_step_transitions_closure_where_avoids_human_approval_gate!{{FromId}}, AX17, vw_step_transitions_closure_where_avoids_human_approval_gate!{{ToId}},A17)), 0))</f>
        <v>#VALUE!</v>
      </c>
      <c r="AZ17" s="4" t="e">
        <f>AY17 &gt; 0</f>
        <v>#VALUE!</v>
      </c>
      <c r="BA17" s="4" t="e">
        <f>AND(((AD17 = "Publication")=TRUE), ((AZ17)=TRUE))</f>
        <v>#VALUE!</v>
      </c>
      <c r="BB17" s="3" t="s">
        <v>555</v>
      </c>
    </row>
    <row r="18">
      <c r="A18" s="3" t="s">
        <v>617</v>
      </c>
      <c r="B18" s="4" t="str">
        <f>D18 &amp; ". " &amp; E18</f>
        <v>09. Review feedback and update knowledge</v>
      </c>
      <c r="C18" s="3" t="s">
        <v>375</v>
      </c>
      <c r="D18" s="3" t="s">
        <v>618</v>
      </c>
      <c r="E18" s="3" t="s">
        <v>619</v>
      </c>
      <c r="F18" s="3" t="s">
        <v>563</v>
      </c>
      <c r="G18" s="3" t="s">
        <v>244</v>
      </c>
      <c r="H18" s="4" t="str">
        <f>_xlfn.IFNA(IF(((INDEX(Roles!C2:C13, MATCH(G18,Roles!A2:A13, 0))="")=TRUE),  "",  INDEX(Roles!C2:C13, MATCH(G18,Roles!A2:A13, 0))), "")</f>
        <v>Procedural Knowledge Steward</v>
      </c>
      <c r="I18" s="4" t="str">
        <f>_xlfn.IFNA(IF(((INDEX(Roles!F2:F13, MATCH(G18,Roles!A2:A13, 0))="")=TRUE),  "",  INDEX(Roles!F2:F13, MATCH(G18,Roles!A2:A13, 0))), "")</f>
        <v>Human</v>
      </c>
      <c r="J18" s="3" t="s">
        <v>620</v>
      </c>
      <c r="K18" s="8">
        <v>120</v>
      </c>
      <c r="L18" s="3" t="s">
        <v>571</v>
      </c>
      <c r="M18" s="3" t="b">
        <v>0</v>
      </c>
      <c r="N18" s="4">
        <f>COUNTIFS(StepRequirements!F2:F16, A18)</f>
        <v>0</v>
      </c>
      <c r="O18" s="4">
        <f>COUNTIFS(OperationalBindings!O2:O6, A18)</f>
        <v>0</v>
      </c>
      <c r="P18" s="4">
        <f>COUNTIFS(OperationalBindings!P2:P6, A18)</f>
        <v>0</v>
      </c>
      <c r="Q18" s="4">
        <f>COUNTIFS(Exceptions!J2:J5, A18)</f>
        <v>0</v>
      </c>
      <c r="R18" s="4">
        <f>COUNTIFS(StepVerifications!C2:C12, A18)</f>
        <v>0</v>
      </c>
      <c r="S18" s="4" t="b">
        <f>OR(((G18 = "finance-analyst")=TRUE), ((G18 = "variance-review-agent")=TRUE))</f>
        <v>0</v>
      </c>
      <c r="T18" s="4" t="b">
        <f>OR(((G18 = "controller")=TRUE), ((G18 = "cfo")=TRUE))</f>
        <v>0</v>
      </c>
      <c r="U18" s="4">
        <f>COUNTIFS(OperationalBindings!R2:R6, A18)</f>
        <v>0</v>
      </c>
      <c r="V18" s="4" t="b">
        <f>U18 = 0</f>
        <v>1</v>
      </c>
      <c r="W18" s="4" t="b">
        <f>OR(((I18 = "AIAgent")=TRUE), ((I18 = "AutomatedPipeline")=TRUE))</f>
        <v>0</v>
      </c>
      <c r="X18" s="4" t="b">
        <f>AND(((NOT(((W18)=TRUE)))=TRUE), ((OR(((A18 = "policy-05")=TRUE), ((A18 = "close-06")=TRUE)))=TRUE))</f>
        <v>0</v>
      </c>
      <c r="Y18" s="4" t="b">
        <f>AND(((X18)=TRUE), ((I18 = "Human")=TRUE))</f>
        <v>0</v>
      </c>
      <c r="Z18" s="4">
        <f>COUNTIFS(AuthorityBoundaries!P2:P4, A18)</f>
        <v>0</v>
      </c>
      <c r="AA18" s="4" t="b">
        <f>_xlfn.IFNA(IF(((INDEX(Roles!O2:O13, MATCH(G18,Roles!A2:A13, 0))="")=TRUE),  "",  INDEX(Roles!O2:O13, MATCH(G18,Roles!A2:A13, 0))), "")</f>
        <v>0</v>
      </c>
      <c r="AB18" s="4">
        <f>COUNTIFS(OperationalBindings!U2:U6, A18)</f>
        <v>0</v>
      </c>
      <c r="AC18" s="4" t="b">
        <f>AB18 = 0</f>
        <v>1</v>
      </c>
      <c r="AD18" s="3" t="s">
        <v>590</v>
      </c>
      <c r="AE18" s="4">
        <f>COUNTIFS(AuthorityBoundaries!Z2:Z4, A18)</f>
        <v>0</v>
      </c>
      <c r="AF18" s="4" t="b">
        <f>AE18 &gt; 0</f>
        <v>0</v>
      </c>
      <c r="AG18" s="4">
        <f>COUNTIFS(StepExecutions!CG2:CG13, A18)</f>
        <v>0</v>
      </c>
      <c r="AH18" s="4" t="b">
        <f>AG18 &gt; 0</f>
        <v>0</v>
      </c>
      <c r="AI18" s="4" t="b">
        <f>AND(((X18)=TRUE), ((NOT(((AH18)=TRUE)))=TRUE))</f>
        <v>0</v>
      </c>
      <c r="AJ18" s="4" t="b">
        <f>AND(((X18)=TRUE), ((AH18)=TRUE), ((Y18)=TRUE))</f>
        <v>0</v>
      </c>
      <c r="AK18" s="4" t="str">
        <f>IF(((AI18)=TRUE),  C18,  "")</f>
      </c>
      <c r="AL18" s="4" t="b">
        <f>AD18 &lt;&gt; ""</f>
        <v>1</v>
      </c>
      <c r="AM18" s="4" t="str">
        <f>IF(((AL18)=TRUE),  "",  C18)</f>
      </c>
      <c r="AN18" s="4" t="b">
        <f>AND(((AD18 = "Approval")=TRUE), ((W18)=TRUE))</f>
        <v>0</v>
      </c>
      <c r="AO18" s="4">
        <f>COUNTIFS(StepRequirements!I2:I16, A18)</f>
        <v>0</v>
      </c>
      <c r="AP18" s="6" t="e">
        <f>IF((COUNTIFS(vw_step_transitions_closure!{{FromId}},A18))="", "", ROUND((COUNTIFS(vw_step_transitions_closure!{{FromId}},A18)), 0))</f>
        <v>#VALUE!</v>
      </c>
      <c r="AQ18" s="6" t="e">
        <f>IF((COUNTIFS(vw_step_transitions_closure!{{ToId}},A18))="", "", ROUND((COUNTIFS(vw_step_transitions_closure!{{ToId}},A18)), 0))</f>
        <v>#VALUE!</v>
      </c>
      <c r="AR18" s="6" t="e">
        <f>IF((COUNTIFS(vw_step_transitions_closure!{{FromId}},A18, vw_step_transitions_closure!{{ToId}},A18))="", "", ROUND((COUNTIFS(vw_step_transitions_closure!{{FromId}},A18, vw_step_transitions_closure!{{ToId}},A18)), 0))</f>
        <v>#VALUE!</v>
      </c>
      <c r="AS18" s="4" t="e">
        <f>AR18 &gt; 0</f>
        <v>#VALUE!</v>
      </c>
      <c r="AT18" s="4" t="e">
        <f>AND(((AS18)=TRUE), ((N18 &gt; 0)=TRUE))</f>
        <v>#VALUE!</v>
      </c>
      <c r="AU18" s="6">
        <f>IF((COUNTIFS(StepTransitions!E2:E21,A18))="", "", ROUND((COUNTIFS(StepTransitions!E2:E21,A18)), 0))</f>
        <v>1</v>
      </c>
      <c r="AV18" s="4" t="b">
        <f>AU18 = 0</f>
        <v>0</v>
      </c>
      <c r="AW18" s="4" t="str">
        <f>IF(((AV18)=TRUE),  A18,  "")</f>
      </c>
      <c r="AX18" s="4">
        <f>_xlfn.IFNA(IF(((INDEX(ProcedureVersions!CH2:CH4, MATCH(C18,ProcedureVersions!A2:A4, 0))="")=TRUE),  "",  INDEX(ProcedureVersions!CH2:CH4, MATCH(C18,ProcedureVersions!A2:A4, 0))), "")</f>
        <v>0</v>
      </c>
      <c r="AY18" s="6" t="e">
        <f>IF((COUNTIFS(vw_step_transitions_closure_where_avoids_human_approval_gate!{{FromId}}, AX18, vw_step_transitions_closure_where_avoids_human_approval_gate!{{ToId}},A18))="", "", ROUND((COUNTIFS(vw_step_transitions_closure_where_avoids_human_approval_gate!{{FromId}}, AX18, vw_step_transitions_closure_where_avoids_human_approval_gate!{{ToId}},A18)), 0))</f>
        <v>#VALUE!</v>
      </c>
      <c r="AZ18" s="4" t="e">
        <f>AY18 &gt; 0</f>
        <v>#VALUE!</v>
      </c>
      <c r="BA18" s="4" t="e">
        <f>AND(((AD18 = "Publication")=TRUE), ((AZ18)=TRUE))</f>
        <v>#VALUE!</v>
      </c>
      <c r="BB18" s="3" t="s">
        <v>566</v>
      </c>
    </row>
  </sheetData>
  <autoFilter ref="A1:BB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B21"/>
  <sheetViews>
    <sheetView workbookViewId="0">
      <pane ySplit="1" topLeftCell="A2" state="frozen" activePane="bottomLeft"/>
      <selection pane="bottomLeft" activeCell="A1" sqref="A1"/>
    </sheetView>
  </sheetViews>
  <sheetFormatPr defaultRowHeight="15"/>
  <cols>
    <col min="1" max="1" width="27.143239974975586" customWidth="1"/>
    <col min="2" max="2" width="22.42055892944336" customWidth="1"/>
    <col min="3" max="3" width="18.236316680908203" customWidth="1"/>
    <col min="4" max="4" width="17.443378448486328" customWidth="1"/>
    <col min="5" max="5" width="17.443378448486328" customWidth="1"/>
    <col min="6" max="6" width="17.443378448486328" customWidth="1"/>
    <col min="7" max="7" width="95.42529296875" customWidth="1"/>
    <col min="8" max="8" width="17.443378448486328" customWidth="1"/>
    <col min="9" max="9" width="17.443378448486328" customWidth="1"/>
    <col min="10" max="10" width="28.133821487426758" customWidth="1"/>
    <col min="11" max="11" width="25.895551681518555" customWidth="1"/>
    <col min="12" max="12" width="20.28169822692871" customWidth="1"/>
    <col min="13" max="13" width="20.795621871948242" customWidth="1"/>
    <col min="14" max="14" width="17.835586547851562" customWidth="1"/>
    <col min="15" max="15" width="24.502605438232422" customWidth="1"/>
    <col min="16" max="16" width="27.537084579467773" customWidth="1"/>
    <col min="17" max="17" width="19.147634506225586" customWidth="1"/>
    <col min="18" max="18" width="25.236631393432617" customWidth="1"/>
    <col min="19" max="19" width="32.53030014038086" customWidth="1"/>
    <col min="20" max="20" width="28.381319046020508" customWidth="1"/>
    <col min="21" max="21" width="26.94521141052246" customWidth="1"/>
    <col min="22" max="22" width="30.144563674926758" customWidth="1"/>
    <col min="23" max="23" width="17.443378448486328" customWidth="1"/>
    <col min="24" max="24" width="31.300548553466797" customWidth="1"/>
    <col min="25" max="25" width="28.95114517211914" customWidth="1"/>
    <col min="26" max="26" width="26.85232162475586" customWidth="1"/>
    <col min="27" max="27" width="31.890310287475586" customWidth="1"/>
    <col min="28" max="28" width="30.819232940673828" customWidth="1"/>
  </cols>
  <sheetData>
    <row r="1">
      <c r="A1" s="2" t="s">
        <v>621</v>
      </c>
      <c r="B1" s="2" t="s">
        <v>1</v>
      </c>
      <c r="C1" s="2" t="s">
        <v>478</v>
      </c>
      <c r="D1" s="2" t="s">
        <v>622</v>
      </c>
      <c r="E1" s="2" t="s">
        <v>623</v>
      </c>
      <c r="F1" s="2" t="s">
        <v>624</v>
      </c>
      <c r="G1" s="2" t="s">
        <v>625</v>
      </c>
      <c r="H1" s="2" t="s">
        <v>626</v>
      </c>
      <c r="I1" s="2" t="s">
        <v>627</v>
      </c>
      <c r="J1" s="2" t="s">
        <v>628</v>
      </c>
      <c r="K1" s="2" t="s">
        <v>629</v>
      </c>
      <c r="L1" s="2" t="s">
        <v>630</v>
      </c>
      <c r="M1" s="2" t="s">
        <v>631</v>
      </c>
      <c r="N1" s="2" t="s">
        <v>632</v>
      </c>
      <c r="O1" s="2" t="s">
        <v>633</v>
      </c>
      <c r="P1" s="2" t="s">
        <v>634</v>
      </c>
      <c r="Q1" s="2" t="s">
        <v>635</v>
      </c>
      <c r="R1" s="2" t="s">
        <v>636</v>
      </c>
      <c r="S1" s="2" t="s">
        <v>637</v>
      </c>
      <c r="T1" s="2" t="s">
        <v>638</v>
      </c>
      <c r="U1" s="2" t="s">
        <v>639</v>
      </c>
      <c r="V1" s="2" t="s">
        <v>640</v>
      </c>
      <c r="W1" s="2" t="s">
        <v>641</v>
      </c>
      <c r="X1" s="2" t="s">
        <v>642</v>
      </c>
      <c r="Y1" s="2" t="s">
        <v>643</v>
      </c>
      <c r="Z1" s="2" t="s">
        <v>644</v>
      </c>
      <c r="AA1" s="2" t="s">
        <v>645</v>
      </c>
      <c r="AB1" s="2" t="s">
        <v>94</v>
      </c>
    </row>
    <row r="2">
      <c r="A2" s="3" t="s">
        <v>646</v>
      </c>
      <c r="B2" s="4" t="str">
        <f>D2 &amp; " -&gt; " &amp; E2</f>
        <v>close-01 -&gt; close-02</v>
      </c>
      <c r="C2" s="3" t="s">
        <v>369</v>
      </c>
      <c r="D2" s="3" t="s">
        <v>548</v>
      </c>
      <c r="E2" s="3" t="s">
        <v>556</v>
      </c>
      <c r="F2" s="3" t="s">
        <v>647</v>
      </c>
      <c r="G2" s="3" t="s">
        <v>648</v>
      </c>
      <c r="H2" s="8">
        <v>1</v>
      </c>
      <c r="I2" s="4" t="b">
        <f>OR(((F2 = "Fallback")=TRUE), ((F2 = "Alternative")=TRUE))</f>
        <v>0</v>
      </c>
      <c r="J2" s="6">
        <f>IF((COUNTIFS(StepExecutions!D2:D13,D2))="", "", ROUND((COUNTIFS(StepExecutions!D2:D13,D2)), 0))</f>
        <v>1</v>
      </c>
      <c r="K2" s="6">
        <f>IF((COUNTIFS(StepExecutions!D2:D13,E2))="", "", ROUND((COUNTIFS(StepExecutions!D2:D13,E2)), 0))</f>
        <v>1</v>
      </c>
      <c r="L2" s="4" t="b">
        <f>J2 &gt; 0</f>
        <v>1</v>
      </c>
      <c r="M2" s="4" t="b">
        <f>K2 &gt; 0</f>
        <v>1</v>
      </c>
      <c r="N2" s="4" t="b">
        <f>NOT(((AND(((L2)=TRUE), ((M2)=TRUE)))=TRUE))</f>
        <v>0</v>
      </c>
      <c r="O2" s="4" t="b">
        <f>AND(((I2)=TRUE), ((N2)=TRUE))</f>
        <v>0</v>
      </c>
      <c r="P2" s="6">
        <f>IF((COUNTIFS(ObservedTransitions!D2:D11,A2))="", "", ROUND((COUNTIFS(ObservedTransitions!D2:D11,A2)), 0))</f>
        <v>1</v>
      </c>
      <c r="Q2" s="4" t="b">
        <f>P2 &gt; 0</f>
        <v>1</v>
      </c>
      <c r="R2" s="4" t="b">
        <f>AND(((I2)=TRUE), ((NOT(((Q2)=TRUE)))=TRUE))</f>
        <v>0</v>
      </c>
      <c r="S2" s="4">
        <f>_xlfn.IFNA(IF(((INDEX(Steps!N2:N18, MATCH(E2,Steps!A2:A18, 0))="")=TRUE),  "",  INDEX(Steps!N2:N18, MATCH(E2,Steps!A2:A18, 0))), "")</f>
        <v>0</v>
      </c>
      <c r="T2" s="4" t="b">
        <f>S2 &gt; 0</f>
        <v>0</v>
      </c>
      <c r="U2" s="4" t="b">
        <f>AND(((R2)=TRUE), ((T2)=TRUE))</f>
        <v>0</v>
      </c>
      <c r="V2" s="4" t="str">
        <f>IF(((U2)=TRUE),  C2,  "")</f>
      </c>
      <c r="W2" s="3"/>
      <c r="X2" s="4" t="b">
        <f>_xlfn.IFNA(IF(((INDEX(Steps!X2:X18, MATCH(D2,Steps!A2:A18, 0))="")=TRUE),  "",  INDEX(Steps!X2:X18, MATCH(D2,Steps!A2:A18, 0))), "")</f>
        <v>0</v>
      </c>
      <c r="Y2" s="4" t="b">
        <f>_xlfn.IFNA(IF(((INDEX(Steps!X2:X18, MATCH(E2,Steps!A2:A18, 0))="")=TRUE),  "",  INDEX(Steps!X2:X18, MATCH(E2,Steps!A2:A18, 0))), "")</f>
        <v>0</v>
      </c>
      <c r="Z2" s="4" t="b">
        <f>AND(((NOT(((X2)=TRUE)))=TRUE), ((NOT(((Y2)=TRUE)))=TRUE))</f>
        <v>1</v>
      </c>
      <c r="AA2" s="3"/>
      <c r="AB2" s="3" t="s">
        <v>649</v>
      </c>
    </row>
    <row r="3">
      <c r="A3" s="3" t="s">
        <v>650</v>
      </c>
      <c r="B3" s="4" t="str">
        <f>D3 &amp; " -&gt; " &amp; E3</f>
        <v>close-02 -&gt; close-03</v>
      </c>
      <c r="C3" s="3" t="s">
        <v>369</v>
      </c>
      <c r="D3" s="3" t="s">
        <v>556</v>
      </c>
      <c r="E3" s="3" t="s">
        <v>560</v>
      </c>
      <c r="F3" s="3" t="s">
        <v>647</v>
      </c>
      <c r="G3" s="3" t="s">
        <v>648</v>
      </c>
      <c r="H3" s="8">
        <v>1</v>
      </c>
      <c r="I3" s="4" t="b">
        <f>OR(((F3 = "Fallback")=TRUE), ((F3 = "Alternative")=TRUE))</f>
        <v>0</v>
      </c>
      <c r="J3" s="6">
        <f>IF((COUNTIFS(StepExecutions!D2:D13,D3))="", "", ROUND((COUNTIFS(StepExecutions!D2:D13,D3)), 0))</f>
        <v>1</v>
      </c>
      <c r="K3" s="6">
        <f>IF((COUNTIFS(StepExecutions!D2:D13,E3))="", "", ROUND((COUNTIFS(StepExecutions!D2:D13,E3)), 0))</f>
        <v>1</v>
      </c>
      <c r="L3" s="4" t="b">
        <f>J3 &gt; 0</f>
        <v>1</v>
      </c>
      <c r="M3" s="4" t="b">
        <f>K3 &gt; 0</f>
        <v>1</v>
      </c>
      <c r="N3" s="4" t="b">
        <f>NOT(((AND(((L3)=TRUE), ((M3)=TRUE)))=TRUE))</f>
        <v>0</v>
      </c>
      <c r="O3" s="4" t="b">
        <f>AND(((I3)=TRUE), ((N3)=TRUE))</f>
        <v>0</v>
      </c>
      <c r="P3" s="6">
        <f>IF((COUNTIFS(ObservedTransitions!D2:D11,A3))="", "", ROUND((COUNTIFS(ObservedTransitions!D2:D11,A3)), 0))</f>
        <v>1</v>
      </c>
      <c r="Q3" s="4" t="b">
        <f>P3 &gt; 0</f>
        <v>1</v>
      </c>
      <c r="R3" s="4" t="b">
        <f>AND(((I3)=TRUE), ((NOT(((Q3)=TRUE)))=TRUE))</f>
        <v>0</v>
      </c>
      <c r="S3" s="4">
        <f>_xlfn.IFNA(IF(((INDEX(Steps!N2:N18, MATCH(E3,Steps!A2:A18, 0))="")=TRUE),  "",  INDEX(Steps!N2:N18, MATCH(E3,Steps!A2:A18, 0))), "")</f>
        <v>2</v>
      </c>
      <c r="T3" s="4" t="b">
        <f>S3 &gt; 0</f>
        <v>1</v>
      </c>
      <c r="U3" s="4" t="b">
        <f>AND(((R3)=TRUE), ((T3)=TRUE))</f>
        <v>0</v>
      </c>
      <c r="V3" s="4" t="str">
        <f>IF(((U3)=TRUE),  C3,  "")</f>
      </c>
      <c r="W3" s="3"/>
      <c r="X3" s="4" t="b">
        <f>_xlfn.IFNA(IF(((INDEX(Steps!X2:X18, MATCH(D3,Steps!A2:A18, 0))="")=TRUE),  "",  INDEX(Steps!X2:X18, MATCH(D3,Steps!A2:A18, 0))), "")</f>
        <v>0</v>
      </c>
      <c r="Y3" s="4" t="b">
        <f>_xlfn.IFNA(IF(((INDEX(Steps!X2:X18, MATCH(E3,Steps!A2:A18, 0))="")=TRUE),  "",  INDEX(Steps!X2:X18, MATCH(E3,Steps!A2:A18, 0))), "")</f>
        <v>0</v>
      </c>
      <c r="Z3" s="4" t="b">
        <f>AND(((NOT(((X3)=TRUE)))=TRUE), ((NOT(((Y3)=TRUE)))=TRUE))</f>
        <v>1</v>
      </c>
      <c r="AA3" s="3"/>
      <c r="AB3" s="3" t="s">
        <v>649</v>
      </c>
    </row>
    <row r="4">
      <c r="A4" s="3" t="s">
        <v>651</v>
      </c>
      <c r="B4" s="4" t="str">
        <f>D4 &amp; " -&gt; " &amp; E4</f>
        <v>close-03 -&gt; close-04</v>
      </c>
      <c r="C4" s="3" t="s">
        <v>369</v>
      </c>
      <c r="D4" s="3" t="s">
        <v>560</v>
      </c>
      <c r="E4" s="3" t="s">
        <v>567</v>
      </c>
      <c r="F4" s="3" t="s">
        <v>647</v>
      </c>
      <c r="G4" s="3" t="s">
        <v>648</v>
      </c>
      <c r="H4" s="8">
        <v>1</v>
      </c>
      <c r="I4" s="4" t="b">
        <f>OR(((F4 = "Fallback")=TRUE), ((F4 = "Alternative")=TRUE))</f>
        <v>0</v>
      </c>
      <c r="J4" s="6">
        <f>IF((COUNTIFS(StepExecutions!D2:D13,D4))="", "", ROUND((COUNTIFS(StepExecutions!D2:D13,D4)), 0))</f>
        <v>1</v>
      </c>
      <c r="K4" s="6">
        <f>IF((COUNTIFS(StepExecutions!D2:D13,E4))="", "", ROUND((COUNTIFS(StepExecutions!D2:D13,E4)), 0))</f>
        <v>1</v>
      </c>
      <c r="L4" s="4" t="b">
        <f>J4 &gt; 0</f>
        <v>1</v>
      </c>
      <c r="M4" s="4" t="b">
        <f>K4 &gt; 0</f>
        <v>1</v>
      </c>
      <c r="N4" s="4" t="b">
        <f>NOT(((AND(((L4)=TRUE), ((M4)=TRUE)))=TRUE))</f>
        <v>0</v>
      </c>
      <c r="O4" s="4" t="b">
        <f>AND(((I4)=TRUE), ((N4)=TRUE))</f>
        <v>0</v>
      </c>
      <c r="P4" s="6">
        <f>IF((COUNTIFS(ObservedTransitions!D2:D11,A4))="", "", ROUND((COUNTIFS(ObservedTransitions!D2:D11,A4)), 0))</f>
        <v>1</v>
      </c>
      <c r="Q4" s="4" t="b">
        <f>P4 &gt; 0</f>
        <v>1</v>
      </c>
      <c r="R4" s="4" t="b">
        <f>AND(((I4)=TRUE), ((NOT(((Q4)=TRUE)))=TRUE))</f>
        <v>0</v>
      </c>
      <c r="S4" s="4">
        <f>_xlfn.IFNA(IF(((INDEX(Steps!N2:N18, MATCH(E4,Steps!A2:A18, 0))="")=TRUE),  "",  INDEX(Steps!N2:N18, MATCH(E4,Steps!A2:A18, 0))), "")</f>
        <v>0</v>
      </c>
      <c r="T4" s="4" t="b">
        <f>S4 &gt; 0</f>
        <v>0</v>
      </c>
      <c r="U4" s="4" t="b">
        <f>AND(((R4)=TRUE), ((T4)=TRUE))</f>
        <v>0</v>
      </c>
      <c r="V4" s="4" t="str">
        <f>IF(((U4)=TRUE),  C4,  "")</f>
      </c>
      <c r="W4" s="3"/>
      <c r="X4" s="4" t="b">
        <f>_xlfn.IFNA(IF(((INDEX(Steps!X2:X18, MATCH(D4,Steps!A2:A18, 0))="")=TRUE),  "",  INDEX(Steps!X2:X18, MATCH(D4,Steps!A2:A18, 0))), "")</f>
        <v>0</v>
      </c>
      <c r="Y4" s="4" t="b">
        <f>_xlfn.IFNA(IF(((INDEX(Steps!X2:X18, MATCH(E4,Steps!A2:A18, 0))="")=TRUE),  "",  INDEX(Steps!X2:X18, MATCH(E4,Steps!A2:A18, 0))), "")</f>
        <v>0</v>
      </c>
      <c r="Z4" s="4" t="b">
        <f>AND(((NOT(((X4)=TRUE)))=TRUE), ((NOT(((Y4)=TRUE)))=TRUE))</f>
        <v>1</v>
      </c>
      <c r="AA4" s="3"/>
      <c r="AB4" s="3" t="s">
        <v>649</v>
      </c>
    </row>
    <row r="5">
      <c r="A5" s="3" t="s">
        <v>652</v>
      </c>
      <c r="B5" s="4" t="str">
        <f>D5 &amp; " -&gt; " &amp; E5</f>
        <v>close-04 -&gt; close-05</v>
      </c>
      <c r="C5" s="3" t="s">
        <v>369</v>
      </c>
      <c r="D5" s="3" t="s">
        <v>567</v>
      </c>
      <c r="E5" s="3" t="s">
        <v>572</v>
      </c>
      <c r="F5" s="3" t="s">
        <v>647</v>
      </c>
      <c r="G5" s="3" t="s">
        <v>648</v>
      </c>
      <c r="H5" s="8">
        <v>1</v>
      </c>
      <c r="I5" s="4" t="b">
        <f>OR(((F5 = "Fallback")=TRUE), ((F5 = "Alternative")=TRUE))</f>
        <v>0</v>
      </c>
      <c r="J5" s="6">
        <f>IF((COUNTIFS(StepExecutions!D2:D13,D5))="", "", ROUND((COUNTIFS(StepExecutions!D2:D13,D5)), 0))</f>
        <v>1</v>
      </c>
      <c r="K5" s="6">
        <f>IF((COUNTIFS(StepExecutions!D2:D13,E5))="", "", ROUND((COUNTIFS(StepExecutions!D2:D13,E5)), 0))</f>
        <v>1</v>
      </c>
      <c r="L5" s="4" t="b">
        <f>J5 &gt; 0</f>
        <v>1</v>
      </c>
      <c r="M5" s="4" t="b">
        <f>K5 &gt; 0</f>
        <v>1</v>
      </c>
      <c r="N5" s="4" t="b">
        <f>NOT(((AND(((L5)=TRUE), ((M5)=TRUE)))=TRUE))</f>
        <v>0</v>
      </c>
      <c r="O5" s="4" t="b">
        <f>AND(((I5)=TRUE), ((N5)=TRUE))</f>
        <v>0</v>
      </c>
      <c r="P5" s="6">
        <f>IF((COUNTIFS(ObservedTransitions!D2:D11,A5))="", "", ROUND((COUNTIFS(ObservedTransitions!D2:D11,A5)), 0))</f>
        <v>1</v>
      </c>
      <c r="Q5" s="4" t="b">
        <f>P5 &gt; 0</f>
        <v>1</v>
      </c>
      <c r="R5" s="4" t="b">
        <f>AND(((I5)=TRUE), ((NOT(((Q5)=TRUE)))=TRUE))</f>
        <v>0</v>
      </c>
      <c r="S5" s="4">
        <f>_xlfn.IFNA(IF(((INDEX(Steps!N2:N18, MATCH(E5,Steps!A2:A18, 0))="")=TRUE),  "",  INDEX(Steps!N2:N18, MATCH(E5,Steps!A2:A18, 0))), "")</f>
        <v>1</v>
      </c>
      <c r="T5" s="4" t="b">
        <f>S5 &gt; 0</f>
        <v>1</v>
      </c>
      <c r="U5" s="4" t="b">
        <f>AND(((R5)=TRUE), ((T5)=TRUE))</f>
        <v>0</v>
      </c>
      <c r="V5" s="4" t="str">
        <f>IF(((U5)=TRUE),  C5,  "")</f>
      </c>
      <c r="W5" s="3"/>
      <c r="X5" s="4" t="b">
        <f>_xlfn.IFNA(IF(((INDEX(Steps!X2:X18, MATCH(D5,Steps!A2:A18, 0))="")=TRUE),  "",  INDEX(Steps!X2:X18, MATCH(D5,Steps!A2:A18, 0))), "")</f>
        <v>0</v>
      </c>
      <c r="Y5" s="4" t="b">
        <f>_xlfn.IFNA(IF(((INDEX(Steps!X2:X18, MATCH(E5,Steps!A2:A18, 0))="")=TRUE),  "",  INDEX(Steps!X2:X18, MATCH(E5,Steps!A2:A18, 0))), "")</f>
        <v>0</v>
      </c>
      <c r="Z5" s="4" t="b">
        <f>AND(((NOT(((X5)=TRUE)))=TRUE), ((NOT(((Y5)=TRUE)))=TRUE))</f>
        <v>1</v>
      </c>
      <c r="AA5" s="3"/>
      <c r="AB5" s="3" t="s">
        <v>649</v>
      </c>
    </row>
    <row r="6">
      <c r="A6" s="3" t="s">
        <v>653</v>
      </c>
      <c r="B6" s="4" t="str">
        <f>D6 &amp; " -&gt; " &amp; E6</f>
        <v>close-05 -&gt; close-06</v>
      </c>
      <c r="C6" s="3" t="s">
        <v>369</v>
      </c>
      <c r="D6" s="3" t="s">
        <v>572</v>
      </c>
      <c r="E6" s="3" t="s">
        <v>576</v>
      </c>
      <c r="F6" s="3" t="s">
        <v>647</v>
      </c>
      <c r="G6" s="3" t="s">
        <v>648</v>
      </c>
      <c r="H6" s="8">
        <v>1</v>
      </c>
      <c r="I6" s="4" t="b">
        <f>OR(((F6 = "Fallback")=TRUE), ((F6 = "Alternative")=TRUE))</f>
        <v>0</v>
      </c>
      <c r="J6" s="6">
        <f>IF((COUNTIFS(StepExecutions!D2:D13,D6))="", "", ROUND((COUNTIFS(StepExecutions!D2:D13,D6)), 0))</f>
        <v>1</v>
      </c>
      <c r="K6" s="6">
        <f>IF((COUNTIFS(StepExecutions!D2:D13,E6))="", "", ROUND((COUNTIFS(StepExecutions!D2:D13,E6)), 0))</f>
        <v>1</v>
      </c>
      <c r="L6" s="4" t="b">
        <f>J6 &gt; 0</f>
        <v>1</v>
      </c>
      <c r="M6" s="4" t="b">
        <f>K6 &gt; 0</f>
        <v>1</v>
      </c>
      <c r="N6" s="4" t="b">
        <f>NOT(((AND(((L6)=TRUE), ((M6)=TRUE)))=TRUE))</f>
        <v>0</v>
      </c>
      <c r="O6" s="4" t="b">
        <f>AND(((I6)=TRUE), ((N6)=TRUE))</f>
        <v>0</v>
      </c>
      <c r="P6" s="6">
        <f>IF((COUNTIFS(ObservedTransitions!D2:D11,A6))="", "", ROUND((COUNTIFS(ObservedTransitions!D2:D11,A6)), 0))</f>
        <v>1</v>
      </c>
      <c r="Q6" s="4" t="b">
        <f>P6 &gt; 0</f>
        <v>1</v>
      </c>
      <c r="R6" s="4" t="b">
        <f>AND(((I6)=TRUE), ((NOT(((Q6)=TRUE)))=TRUE))</f>
        <v>0</v>
      </c>
      <c r="S6" s="4">
        <f>_xlfn.IFNA(IF(((INDEX(Steps!N2:N18, MATCH(E6,Steps!A2:A18, 0))="")=TRUE),  "",  INDEX(Steps!N2:N18, MATCH(E6,Steps!A2:A18, 0))), "")</f>
        <v>1</v>
      </c>
      <c r="T6" s="4" t="b">
        <f>S6 &gt; 0</f>
        <v>1</v>
      </c>
      <c r="U6" s="4" t="b">
        <f>AND(((R6)=TRUE), ((T6)=TRUE))</f>
        <v>0</v>
      </c>
      <c r="V6" s="4" t="str">
        <f>IF(((U6)=TRUE),  C6,  "")</f>
      </c>
      <c r="W6" s="3"/>
      <c r="X6" s="4" t="b">
        <f>_xlfn.IFNA(IF(((INDEX(Steps!X2:X18, MATCH(D6,Steps!A2:A18, 0))="")=TRUE),  "",  INDEX(Steps!X2:X18, MATCH(D6,Steps!A2:A18, 0))), "")</f>
        <v>0</v>
      </c>
      <c r="Y6" s="4" t="b">
        <f>_xlfn.IFNA(IF(((INDEX(Steps!X2:X18, MATCH(E6,Steps!A2:A18, 0))="")=TRUE),  "",  INDEX(Steps!X2:X18, MATCH(E6,Steps!A2:A18, 0))), "")</f>
        <v>1</v>
      </c>
      <c r="Z6" s="4" t="b">
        <f>AND(((NOT(((X6)=TRUE)))=TRUE), ((NOT(((Y6)=TRUE)))=TRUE))</f>
        <v>0</v>
      </c>
      <c r="AA6" s="3"/>
      <c r="AB6" s="3" t="s">
        <v>649</v>
      </c>
    </row>
    <row r="7">
      <c r="A7" s="3" t="s">
        <v>654</v>
      </c>
      <c r="B7" s="4" t="str">
        <f>D7 &amp; " -&gt; " &amp; E7</f>
        <v>close-06 -&gt; close-07</v>
      </c>
      <c r="C7" s="3" t="s">
        <v>369</v>
      </c>
      <c r="D7" s="3" t="s">
        <v>576</v>
      </c>
      <c r="E7" s="3" t="s">
        <v>581</v>
      </c>
      <c r="F7" s="3" t="s">
        <v>647</v>
      </c>
      <c r="G7" s="3" t="s">
        <v>648</v>
      </c>
      <c r="H7" s="8">
        <v>1</v>
      </c>
      <c r="I7" s="4" t="b">
        <f>OR(((F7 = "Fallback")=TRUE), ((F7 = "Alternative")=TRUE))</f>
        <v>0</v>
      </c>
      <c r="J7" s="6">
        <f>IF((COUNTIFS(StepExecutions!D2:D13,D7))="", "", ROUND((COUNTIFS(StepExecutions!D2:D13,D7)), 0))</f>
        <v>1</v>
      </c>
      <c r="K7" s="6">
        <f>IF((COUNTIFS(StepExecutions!D2:D13,E7))="", "", ROUND((COUNTIFS(StepExecutions!D2:D13,E7)), 0))</f>
        <v>1</v>
      </c>
      <c r="L7" s="4" t="b">
        <f>J7 &gt; 0</f>
        <v>1</v>
      </c>
      <c r="M7" s="4" t="b">
        <f>K7 &gt; 0</f>
        <v>1</v>
      </c>
      <c r="N7" s="4" t="b">
        <f>NOT(((AND(((L7)=TRUE), ((M7)=TRUE)))=TRUE))</f>
        <v>0</v>
      </c>
      <c r="O7" s="4" t="b">
        <f>AND(((I7)=TRUE), ((N7)=TRUE))</f>
        <v>0</v>
      </c>
      <c r="P7" s="6">
        <f>IF((COUNTIFS(ObservedTransitions!D2:D11,A7))="", "", ROUND((COUNTIFS(ObservedTransitions!D2:D11,A7)), 0))</f>
        <v>1</v>
      </c>
      <c r="Q7" s="4" t="b">
        <f>P7 &gt; 0</f>
        <v>1</v>
      </c>
      <c r="R7" s="4" t="b">
        <f>AND(((I7)=TRUE), ((NOT(((Q7)=TRUE)))=TRUE))</f>
        <v>0</v>
      </c>
      <c r="S7" s="4">
        <f>_xlfn.IFNA(IF(((INDEX(Steps!N2:N18, MATCH(E7,Steps!A2:A18, 0))="")=TRUE),  "",  INDEX(Steps!N2:N18, MATCH(E7,Steps!A2:A18, 0))), "")</f>
        <v>0</v>
      </c>
      <c r="T7" s="4" t="b">
        <f>S7 &gt; 0</f>
        <v>0</v>
      </c>
      <c r="U7" s="4" t="b">
        <f>AND(((R7)=TRUE), ((T7)=TRUE))</f>
        <v>0</v>
      </c>
      <c r="V7" s="4" t="str">
        <f>IF(((U7)=TRUE),  C7,  "")</f>
      </c>
      <c r="W7" s="3"/>
      <c r="X7" s="4" t="b">
        <f>_xlfn.IFNA(IF(((INDEX(Steps!X2:X18, MATCH(D7,Steps!A2:A18, 0))="")=TRUE),  "",  INDEX(Steps!X2:X18, MATCH(D7,Steps!A2:A18, 0))), "")</f>
        <v>1</v>
      </c>
      <c r="Y7" s="4" t="b">
        <f>_xlfn.IFNA(IF(((INDEX(Steps!X2:X18, MATCH(E7,Steps!A2:A18, 0))="")=TRUE),  "",  INDEX(Steps!X2:X18, MATCH(E7,Steps!A2:A18, 0))), "")</f>
        <v>0</v>
      </c>
      <c r="Z7" s="4" t="b">
        <f>AND(((NOT(((X7)=TRUE)))=TRUE), ((NOT(((Y7)=TRUE)))=TRUE))</f>
        <v>0</v>
      </c>
      <c r="AA7" s="3"/>
      <c r="AB7" s="3" t="s">
        <v>649</v>
      </c>
    </row>
    <row r="8">
      <c r="A8" s="3" t="s">
        <v>655</v>
      </c>
      <c r="B8" s="4" t="str">
        <f>D8 &amp; " -&gt; " &amp; E8</f>
        <v>close-07 -&gt; close-08</v>
      </c>
      <c r="C8" s="3" t="s">
        <v>369</v>
      </c>
      <c r="D8" s="3" t="s">
        <v>581</v>
      </c>
      <c r="E8" s="3" t="s">
        <v>586</v>
      </c>
      <c r="F8" s="3" t="s">
        <v>647</v>
      </c>
      <c r="G8" s="3" t="s">
        <v>648</v>
      </c>
      <c r="H8" s="8">
        <v>1</v>
      </c>
      <c r="I8" s="4" t="b">
        <f>OR(((F8 = "Fallback")=TRUE), ((F8 = "Alternative")=TRUE))</f>
        <v>0</v>
      </c>
      <c r="J8" s="6">
        <f>IF((COUNTIFS(StepExecutions!D2:D13,D8))="", "", ROUND((COUNTIFS(StepExecutions!D2:D13,D8)), 0))</f>
        <v>1</v>
      </c>
      <c r="K8" s="6">
        <f>IF((COUNTIFS(StepExecutions!D2:D13,E8))="", "", ROUND((COUNTIFS(StepExecutions!D2:D13,E8)), 0))</f>
        <v>1</v>
      </c>
      <c r="L8" s="4" t="b">
        <f>J8 &gt; 0</f>
        <v>1</v>
      </c>
      <c r="M8" s="4" t="b">
        <f>K8 &gt; 0</f>
        <v>1</v>
      </c>
      <c r="N8" s="4" t="b">
        <f>NOT(((AND(((L8)=TRUE), ((M8)=TRUE)))=TRUE))</f>
        <v>0</v>
      </c>
      <c r="O8" s="4" t="b">
        <f>AND(((I8)=TRUE), ((N8)=TRUE))</f>
        <v>0</v>
      </c>
      <c r="P8" s="6">
        <f>IF((COUNTIFS(ObservedTransitions!D2:D11,A8))="", "", ROUND((COUNTIFS(ObservedTransitions!D2:D11,A8)), 0))</f>
        <v>1</v>
      </c>
      <c r="Q8" s="4" t="b">
        <f>P8 &gt; 0</f>
        <v>1</v>
      </c>
      <c r="R8" s="4" t="b">
        <f>AND(((I8)=TRUE), ((NOT(((Q8)=TRUE)))=TRUE))</f>
        <v>0</v>
      </c>
      <c r="S8" s="4">
        <f>_xlfn.IFNA(IF(((INDEX(Steps!N2:N18, MATCH(E8,Steps!A2:A18, 0))="")=TRUE),  "",  INDEX(Steps!N2:N18, MATCH(E8,Steps!A2:A18, 0))), "")</f>
        <v>1</v>
      </c>
      <c r="T8" s="4" t="b">
        <f>S8 &gt; 0</f>
        <v>1</v>
      </c>
      <c r="U8" s="4" t="b">
        <f>AND(((R8)=TRUE), ((T8)=TRUE))</f>
        <v>0</v>
      </c>
      <c r="V8" s="4" t="str">
        <f>IF(((U8)=TRUE),  C8,  "")</f>
      </c>
      <c r="W8" s="3"/>
      <c r="X8" s="4" t="b">
        <f>_xlfn.IFNA(IF(((INDEX(Steps!X2:X18, MATCH(D8,Steps!A2:A18, 0))="")=TRUE),  "",  INDEX(Steps!X2:X18, MATCH(D8,Steps!A2:A18, 0))), "")</f>
        <v>0</v>
      </c>
      <c r="Y8" s="4" t="b">
        <f>_xlfn.IFNA(IF(((INDEX(Steps!X2:X18, MATCH(E8,Steps!A2:A18, 0))="")=TRUE),  "",  INDEX(Steps!X2:X18, MATCH(E8,Steps!A2:A18, 0))), "")</f>
        <v>0</v>
      </c>
      <c r="Z8" s="4" t="b">
        <f>AND(((NOT(((X8)=TRUE)))=TRUE), ((NOT(((Y8)=TRUE)))=TRUE))</f>
        <v>1</v>
      </c>
      <c r="AA8" s="3"/>
      <c r="AB8" s="3" t="s">
        <v>649</v>
      </c>
    </row>
    <row r="9">
      <c r="A9" s="3" t="s">
        <v>656</v>
      </c>
      <c r="B9" s="4" t="str">
        <f>D9 &amp; " -&gt; " &amp; E9</f>
        <v>policy-01 -&gt; policy-02</v>
      </c>
      <c r="C9" s="3" t="s">
        <v>375</v>
      </c>
      <c r="D9" s="3" t="s">
        <v>591</v>
      </c>
      <c r="E9" s="3" t="s">
        <v>594</v>
      </c>
      <c r="F9" s="3" t="s">
        <v>647</v>
      </c>
      <c r="G9" s="3" t="s">
        <v>648</v>
      </c>
      <c r="H9" s="8">
        <v>1</v>
      </c>
      <c r="I9" s="4" t="b">
        <f>OR(((F9 = "Fallback")=TRUE), ((F9 = "Alternative")=TRUE))</f>
        <v>0</v>
      </c>
      <c r="J9" s="6">
        <f>IF((COUNTIFS(StepExecutions!D2:D13,D9))="", "", ROUND((COUNTIFS(StepExecutions!D2:D13,D9)), 0))</f>
        <v>1</v>
      </c>
      <c r="K9" s="6">
        <f>IF((COUNTIFS(StepExecutions!D2:D13,E9))="", "", ROUND((COUNTIFS(StepExecutions!D2:D13,E9)), 0))</f>
        <v>1</v>
      </c>
      <c r="L9" s="4" t="b">
        <f>J9 &gt; 0</f>
        <v>1</v>
      </c>
      <c r="M9" s="4" t="b">
        <f>K9 &gt; 0</f>
        <v>1</v>
      </c>
      <c r="N9" s="4" t="b">
        <f>NOT(((AND(((L9)=TRUE), ((M9)=TRUE)))=TRUE))</f>
        <v>0</v>
      </c>
      <c r="O9" s="4" t="b">
        <f>AND(((I9)=TRUE), ((N9)=TRUE))</f>
        <v>0</v>
      </c>
      <c r="P9" s="6">
        <f>IF((COUNTIFS(ObservedTransitions!D2:D11,A9))="", "", ROUND((COUNTIFS(ObservedTransitions!D2:D11,A9)), 0))</f>
        <v>1</v>
      </c>
      <c r="Q9" s="4" t="b">
        <f>P9 &gt; 0</f>
        <v>1</v>
      </c>
      <c r="R9" s="4" t="b">
        <f>AND(((I9)=TRUE), ((NOT(((Q9)=TRUE)))=TRUE))</f>
        <v>0</v>
      </c>
      <c r="S9" s="4">
        <f>_xlfn.IFNA(IF(((INDEX(Steps!N2:N18, MATCH(E9,Steps!A2:A18, 0))="")=TRUE),  "",  INDEX(Steps!N2:N18, MATCH(E9,Steps!A2:A18, 0))), "")</f>
        <v>0</v>
      </c>
      <c r="T9" s="4" t="b">
        <f>S9 &gt; 0</f>
        <v>0</v>
      </c>
      <c r="U9" s="4" t="b">
        <f>AND(((R9)=TRUE), ((T9)=TRUE))</f>
        <v>0</v>
      </c>
      <c r="V9" s="4" t="str">
        <f>IF(((U9)=TRUE),  C9,  "")</f>
      </c>
      <c r="W9" s="3"/>
      <c r="X9" s="4" t="b">
        <f>_xlfn.IFNA(IF(((INDEX(Steps!X2:X18, MATCH(D9,Steps!A2:A18, 0))="")=TRUE),  "",  INDEX(Steps!X2:X18, MATCH(D9,Steps!A2:A18, 0))), "")</f>
        <v>0</v>
      </c>
      <c r="Y9" s="4" t="b">
        <f>_xlfn.IFNA(IF(((INDEX(Steps!X2:X18, MATCH(E9,Steps!A2:A18, 0))="")=TRUE),  "",  INDEX(Steps!X2:X18, MATCH(E9,Steps!A2:A18, 0))), "")</f>
        <v>0</v>
      </c>
      <c r="Z9" s="4" t="b">
        <f>AND(((NOT(((X9)=TRUE)))=TRUE), ((NOT(((Y9)=TRUE)))=TRUE))</f>
        <v>1</v>
      </c>
      <c r="AA9" s="3"/>
      <c r="AB9" s="3" t="s">
        <v>649</v>
      </c>
    </row>
    <row r="10">
      <c r="A10" s="3" t="s">
        <v>657</v>
      </c>
      <c r="B10" s="4" t="str">
        <f>D10 &amp; " -&gt; " &amp; E10</f>
        <v>policy-02 -&gt; policy-03</v>
      </c>
      <c r="C10" s="3" t="s">
        <v>375</v>
      </c>
      <c r="D10" s="3" t="s">
        <v>594</v>
      </c>
      <c r="E10" s="3" t="s">
        <v>597</v>
      </c>
      <c r="F10" s="3" t="s">
        <v>647</v>
      </c>
      <c r="G10" s="3" t="s">
        <v>648</v>
      </c>
      <c r="H10" s="8">
        <v>1</v>
      </c>
      <c r="I10" s="4" t="b">
        <f>OR(((F10 = "Fallback")=TRUE), ((F10 = "Alternative")=TRUE))</f>
        <v>0</v>
      </c>
      <c r="J10" s="6">
        <f>IF((COUNTIFS(StepExecutions!D2:D13,D10))="", "", ROUND((COUNTIFS(StepExecutions!D2:D13,D10)), 0))</f>
        <v>1</v>
      </c>
      <c r="K10" s="6">
        <f>IF((COUNTIFS(StepExecutions!D2:D13,E10))="", "", ROUND((COUNTIFS(StepExecutions!D2:D13,E10)), 0))</f>
        <v>1</v>
      </c>
      <c r="L10" s="4" t="b">
        <f>J10 &gt; 0</f>
        <v>1</v>
      </c>
      <c r="M10" s="4" t="b">
        <f>K10 &gt; 0</f>
        <v>1</v>
      </c>
      <c r="N10" s="4" t="b">
        <f>NOT(((AND(((L10)=TRUE), ((M10)=TRUE)))=TRUE))</f>
        <v>0</v>
      </c>
      <c r="O10" s="4" t="b">
        <f>AND(((I10)=TRUE), ((N10)=TRUE))</f>
        <v>0</v>
      </c>
      <c r="P10" s="6">
        <f>IF((COUNTIFS(ObservedTransitions!D2:D11,A10))="", "", ROUND((COUNTIFS(ObservedTransitions!D2:D11,A10)), 0))</f>
        <v>1</v>
      </c>
      <c r="Q10" s="4" t="b">
        <f>P10 &gt; 0</f>
        <v>1</v>
      </c>
      <c r="R10" s="4" t="b">
        <f>AND(((I10)=TRUE), ((NOT(((Q10)=TRUE)))=TRUE))</f>
        <v>0</v>
      </c>
      <c r="S10" s="4">
        <f>_xlfn.IFNA(IF(((INDEX(Steps!N2:N18, MATCH(E10,Steps!A2:A18, 0))="")=TRUE),  "",  INDEX(Steps!N2:N18, MATCH(E10,Steps!A2:A18, 0))), "")</f>
        <v>1</v>
      </c>
      <c r="T10" s="4" t="b">
        <f>S10 &gt; 0</f>
        <v>1</v>
      </c>
      <c r="U10" s="4" t="b">
        <f>AND(((R10)=TRUE), ((T10)=TRUE))</f>
        <v>0</v>
      </c>
      <c r="V10" s="4" t="str">
        <f>IF(((U10)=TRUE),  C10,  "")</f>
      </c>
      <c r="W10" s="3"/>
      <c r="X10" s="4" t="b">
        <f>_xlfn.IFNA(IF(((INDEX(Steps!X2:X18, MATCH(D10,Steps!A2:A18, 0))="")=TRUE),  "",  INDEX(Steps!X2:X18, MATCH(D10,Steps!A2:A18, 0))), "")</f>
        <v>0</v>
      </c>
      <c r="Y10" s="4" t="b">
        <f>_xlfn.IFNA(IF(((INDEX(Steps!X2:X18, MATCH(E10,Steps!A2:A18, 0))="")=TRUE),  "",  INDEX(Steps!X2:X18, MATCH(E10,Steps!A2:A18, 0))), "")</f>
        <v>0</v>
      </c>
      <c r="Z10" s="4" t="b">
        <f>AND(((NOT(((X10)=TRUE)))=TRUE), ((NOT(((Y10)=TRUE)))=TRUE))</f>
        <v>1</v>
      </c>
      <c r="AA10" s="3"/>
      <c r="AB10" s="3" t="s">
        <v>649</v>
      </c>
    </row>
    <row r="11">
      <c r="A11" s="3" t="s">
        <v>658</v>
      </c>
      <c r="B11" s="4" t="str">
        <f>D11 &amp; " -&gt; " &amp; E11</f>
        <v>policy-03 -&gt; policy-04</v>
      </c>
      <c r="C11" s="3" t="s">
        <v>375</v>
      </c>
      <c r="D11" s="3" t="s">
        <v>597</v>
      </c>
      <c r="E11" s="3" t="s">
        <v>600</v>
      </c>
      <c r="F11" s="3" t="s">
        <v>647</v>
      </c>
      <c r="G11" s="3" t="s">
        <v>648</v>
      </c>
      <c r="H11" s="8">
        <v>1</v>
      </c>
      <c r="I11" s="4" t="b">
        <f>OR(((F11 = "Fallback")=TRUE), ((F11 = "Alternative")=TRUE))</f>
        <v>0</v>
      </c>
      <c r="J11" s="6">
        <f>IF((COUNTIFS(StepExecutions!D2:D13,D11))="", "", ROUND((COUNTIFS(StepExecutions!D2:D13,D11)), 0))</f>
        <v>1</v>
      </c>
      <c r="K11" s="6">
        <f>IF((COUNTIFS(StepExecutions!D2:D13,E11))="", "", ROUND((COUNTIFS(StepExecutions!D2:D13,E11)), 0))</f>
        <v>1</v>
      </c>
      <c r="L11" s="4" t="b">
        <f>J11 &gt; 0</f>
        <v>1</v>
      </c>
      <c r="M11" s="4" t="b">
        <f>K11 &gt; 0</f>
        <v>1</v>
      </c>
      <c r="N11" s="4" t="b">
        <f>NOT(((AND(((L11)=TRUE), ((M11)=TRUE)))=TRUE))</f>
        <v>0</v>
      </c>
      <c r="O11" s="4" t="b">
        <f>AND(((I11)=TRUE), ((N11)=TRUE))</f>
        <v>0</v>
      </c>
      <c r="P11" s="6">
        <f>IF((COUNTIFS(ObservedTransitions!D2:D11,A11))="", "", ROUND((COUNTIFS(ObservedTransitions!D2:D11,A11)), 0))</f>
        <v>1</v>
      </c>
      <c r="Q11" s="4" t="b">
        <f>P11 &gt; 0</f>
        <v>1</v>
      </c>
      <c r="R11" s="4" t="b">
        <f>AND(((I11)=TRUE), ((NOT(((Q11)=TRUE)))=TRUE))</f>
        <v>0</v>
      </c>
      <c r="S11" s="4">
        <f>_xlfn.IFNA(IF(((INDEX(Steps!N2:N18, MATCH(E11,Steps!A2:A18, 0))="")=TRUE),  "",  INDEX(Steps!N2:N18, MATCH(E11,Steps!A2:A18, 0))), "")</f>
        <v>1</v>
      </c>
      <c r="T11" s="4" t="b">
        <f>S11 &gt; 0</f>
        <v>1</v>
      </c>
      <c r="U11" s="4" t="b">
        <f>AND(((R11)=TRUE), ((T11)=TRUE))</f>
        <v>0</v>
      </c>
      <c r="V11" s="4" t="str">
        <f>IF(((U11)=TRUE),  C11,  "")</f>
      </c>
      <c r="W11" s="3"/>
      <c r="X11" s="4" t="b">
        <f>_xlfn.IFNA(IF(((INDEX(Steps!X2:X18, MATCH(D11,Steps!A2:A18, 0))="")=TRUE),  "",  INDEX(Steps!X2:X18, MATCH(D11,Steps!A2:A18, 0))), "")</f>
        <v>0</v>
      </c>
      <c r="Y11" s="4" t="b">
        <f>_xlfn.IFNA(IF(((INDEX(Steps!X2:X18, MATCH(E11,Steps!A2:A18, 0))="")=TRUE),  "",  INDEX(Steps!X2:X18, MATCH(E11,Steps!A2:A18, 0))), "")</f>
        <v>0</v>
      </c>
      <c r="Z11" s="4" t="b">
        <f>AND(((NOT(((X11)=TRUE)))=TRUE), ((NOT(((Y11)=TRUE)))=TRUE))</f>
        <v>1</v>
      </c>
      <c r="AA11" s="3"/>
      <c r="AB11" s="3" t="s">
        <v>649</v>
      </c>
    </row>
    <row r="12">
      <c r="A12" s="3" t="s">
        <v>659</v>
      </c>
      <c r="B12" s="4" t="str">
        <f>D12 &amp; " -&gt; " &amp; E12</f>
        <v>policy-04 -&gt; policy-05</v>
      </c>
      <c r="C12" s="3" t="s">
        <v>375</v>
      </c>
      <c r="D12" s="3" t="s">
        <v>600</v>
      </c>
      <c r="E12" s="3" t="s">
        <v>604</v>
      </c>
      <c r="F12" s="3" t="s">
        <v>647</v>
      </c>
      <c r="G12" s="3" t="s">
        <v>648</v>
      </c>
      <c r="H12" s="8">
        <v>1</v>
      </c>
      <c r="I12" s="4" t="b">
        <f>OR(((F12 = "Fallback")=TRUE), ((F12 = "Alternative")=TRUE))</f>
        <v>0</v>
      </c>
      <c r="J12" s="6">
        <f>IF((COUNTIFS(StepExecutions!D2:D13,D12))="", "", ROUND((COUNTIFS(StepExecutions!D2:D13,D12)), 0))</f>
        <v>1</v>
      </c>
      <c r="K12" s="6">
        <f>IF((COUNTIFS(StepExecutions!D2:D13,E12))="", "", ROUND((COUNTIFS(StepExecutions!D2:D13,E12)), 0))</f>
        <v>0</v>
      </c>
      <c r="L12" s="4" t="b">
        <f>J12 &gt; 0</f>
        <v>1</v>
      </c>
      <c r="M12" s="4" t="b">
        <f>K12 &gt; 0</f>
        <v>0</v>
      </c>
      <c r="N12" s="4" t="b">
        <f>NOT(((AND(((L12)=TRUE), ((M12)=TRUE)))=TRUE))</f>
        <v>1</v>
      </c>
      <c r="O12" s="4" t="b">
        <f>AND(((I12)=TRUE), ((N12)=TRUE))</f>
        <v>0</v>
      </c>
      <c r="P12" s="6">
        <f>IF((COUNTIFS(ObservedTransitions!D2:D11,A12))="", "", ROUND((COUNTIFS(ObservedTransitions!D2:D11,A12)), 0))</f>
        <v>0</v>
      </c>
      <c r="Q12" s="4" t="b">
        <f>P12 &gt; 0</f>
        <v>0</v>
      </c>
      <c r="R12" s="4" t="b">
        <f>AND(((I12)=TRUE), ((NOT(((Q12)=TRUE)))=TRUE))</f>
        <v>0</v>
      </c>
      <c r="S12" s="4">
        <f>_xlfn.IFNA(IF(((INDEX(Steps!N2:N18, MATCH(E12,Steps!A2:A18, 0))="")=TRUE),  "",  INDEX(Steps!N2:N18, MATCH(E12,Steps!A2:A18, 0))), "")</f>
        <v>1</v>
      </c>
      <c r="T12" s="4" t="b">
        <f>S12 &gt; 0</f>
        <v>1</v>
      </c>
      <c r="U12" s="4" t="b">
        <f>AND(((R12)=TRUE), ((T12)=TRUE))</f>
        <v>0</v>
      </c>
      <c r="V12" s="4" t="str">
        <f>IF(((U12)=TRUE),  C12,  "")</f>
      </c>
      <c r="W12" s="3"/>
      <c r="X12" s="4" t="b">
        <f>_xlfn.IFNA(IF(((INDEX(Steps!X2:X18, MATCH(D12,Steps!A2:A18, 0))="")=TRUE),  "",  INDEX(Steps!X2:X18, MATCH(D12,Steps!A2:A18, 0))), "")</f>
        <v>0</v>
      </c>
      <c r="Y12" s="4" t="b">
        <f>_xlfn.IFNA(IF(((INDEX(Steps!X2:X18, MATCH(E12,Steps!A2:A18, 0))="")=TRUE),  "",  INDEX(Steps!X2:X18, MATCH(E12,Steps!A2:A18, 0))), "")</f>
        <v>1</v>
      </c>
      <c r="Z12" s="4" t="b">
        <f>AND(((NOT(((X12)=TRUE)))=TRUE), ((NOT(((Y12)=TRUE)))=TRUE))</f>
        <v>0</v>
      </c>
      <c r="AA12" s="3"/>
      <c r="AB12" s="3" t="s">
        <v>649</v>
      </c>
    </row>
    <row r="13">
      <c r="A13" s="3" t="s">
        <v>660</v>
      </c>
      <c r="B13" s="4" t="str">
        <f>D13 &amp; " -&gt; " &amp; E13</f>
        <v>policy-05 -&gt; policy-06</v>
      </c>
      <c r="C13" s="3" t="s">
        <v>375</v>
      </c>
      <c r="D13" s="3" t="s">
        <v>604</v>
      </c>
      <c r="E13" s="3" t="s">
        <v>607</v>
      </c>
      <c r="F13" s="3" t="s">
        <v>647</v>
      </c>
      <c r="G13" s="3" t="s">
        <v>648</v>
      </c>
      <c r="H13" s="8">
        <v>1</v>
      </c>
      <c r="I13" s="4" t="b">
        <f>OR(((F13 = "Fallback")=TRUE), ((F13 = "Alternative")=TRUE))</f>
        <v>0</v>
      </c>
      <c r="J13" s="6">
        <f>IF((COUNTIFS(StepExecutions!D2:D13,D13))="", "", ROUND((COUNTIFS(StepExecutions!D2:D13,D13)), 0))</f>
        <v>0</v>
      </c>
      <c r="K13" s="6">
        <f>IF((COUNTIFS(StepExecutions!D2:D13,E13))="", "", ROUND((COUNTIFS(StepExecutions!D2:D13,E13)), 0))</f>
        <v>0</v>
      </c>
      <c r="L13" s="4" t="b">
        <f>J13 &gt; 0</f>
        <v>0</v>
      </c>
      <c r="M13" s="4" t="b">
        <f>K13 &gt; 0</f>
        <v>0</v>
      </c>
      <c r="N13" s="4" t="b">
        <f>NOT(((AND(((L13)=TRUE), ((M13)=TRUE)))=TRUE))</f>
        <v>1</v>
      </c>
      <c r="O13" s="4" t="b">
        <f>AND(((I13)=TRUE), ((N13)=TRUE))</f>
        <v>0</v>
      </c>
      <c r="P13" s="6">
        <f>IF((COUNTIFS(ObservedTransitions!D2:D11,A13))="", "", ROUND((COUNTIFS(ObservedTransitions!D2:D11,A13)), 0))</f>
        <v>0</v>
      </c>
      <c r="Q13" s="4" t="b">
        <f>P13 &gt; 0</f>
        <v>0</v>
      </c>
      <c r="R13" s="4" t="b">
        <f>AND(((I13)=TRUE), ((NOT(((Q13)=TRUE)))=TRUE))</f>
        <v>0</v>
      </c>
      <c r="S13" s="4">
        <f>_xlfn.IFNA(IF(((INDEX(Steps!N2:N18, MATCH(E13,Steps!A2:A18, 0))="")=TRUE),  "",  INDEX(Steps!N2:N18, MATCH(E13,Steps!A2:A18, 0))), "")</f>
        <v>1</v>
      </c>
      <c r="T13" s="4" t="b">
        <f>S13 &gt; 0</f>
        <v>1</v>
      </c>
      <c r="U13" s="4" t="b">
        <f>AND(((R13)=TRUE), ((T13)=TRUE))</f>
        <v>0</v>
      </c>
      <c r="V13" s="4" t="str">
        <f>IF(((U13)=TRUE),  C13,  "")</f>
      </c>
      <c r="W13" s="3"/>
      <c r="X13" s="4" t="b">
        <f>_xlfn.IFNA(IF(((INDEX(Steps!X2:X18, MATCH(D13,Steps!A2:A18, 0))="")=TRUE),  "",  INDEX(Steps!X2:X18, MATCH(D13,Steps!A2:A18, 0))), "")</f>
        <v>1</v>
      </c>
      <c r="Y13" s="4" t="b">
        <f>_xlfn.IFNA(IF(((INDEX(Steps!X2:X18, MATCH(E13,Steps!A2:A18, 0))="")=TRUE),  "",  INDEX(Steps!X2:X18, MATCH(E13,Steps!A2:A18, 0))), "")</f>
        <v>0</v>
      </c>
      <c r="Z13" s="4" t="b">
        <f>AND(((NOT(((X13)=TRUE)))=TRUE), ((NOT(((Y13)=TRUE)))=TRUE))</f>
        <v>0</v>
      </c>
      <c r="AA13" s="3"/>
      <c r="AB13" s="3" t="s">
        <v>649</v>
      </c>
    </row>
    <row r="14">
      <c r="A14" s="3" t="s">
        <v>661</v>
      </c>
      <c r="B14" s="4" t="str">
        <f>D14 &amp; " -&gt; " &amp; E14</f>
        <v>policy-06 -&gt; policy-07</v>
      </c>
      <c r="C14" s="3" t="s">
        <v>375</v>
      </c>
      <c r="D14" s="3" t="s">
        <v>607</v>
      </c>
      <c r="E14" s="3" t="s">
        <v>610</v>
      </c>
      <c r="F14" s="3" t="s">
        <v>647</v>
      </c>
      <c r="G14" s="3" t="s">
        <v>648</v>
      </c>
      <c r="H14" s="8">
        <v>1</v>
      </c>
      <c r="I14" s="4" t="b">
        <f>OR(((F14 = "Fallback")=TRUE), ((F14 = "Alternative")=TRUE))</f>
        <v>0</v>
      </c>
      <c r="J14" s="6">
        <f>IF((COUNTIFS(StepExecutions!D2:D13,D14))="", "", ROUND((COUNTIFS(StepExecutions!D2:D13,D14)), 0))</f>
        <v>0</v>
      </c>
      <c r="K14" s="6">
        <f>IF((COUNTIFS(StepExecutions!D2:D13,E14))="", "", ROUND((COUNTIFS(StepExecutions!D2:D13,E14)), 0))</f>
        <v>0</v>
      </c>
      <c r="L14" s="4" t="b">
        <f>J14 &gt; 0</f>
        <v>0</v>
      </c>
      <c r="M14" s="4" t="b">
        <f>K14 &gt; 0</f>
        <v>0</v>
      </c>
      <c r="N14" s="4" t="b">
        <f>NOT(((AND(((L14)=TRUE), ((M14)=TRUE)))=TRUE))</f>
        <v>1</v>
      </c>
      <c r="O14" s="4" t="b">
        <f>AND(((I14)=TRUE), ((N14)=TRUE))</f>
        <v>0</v>
      </c>
      <c r="P14" s="6">
        <f>IF((COUNTIFS(ObservedTransitions!D2:D11,A14))="", "", ROUND((COUNTIFS(ObservedTransitions!D2:D11,A14)), 0))</f>
        <v>0</v>
      </c>
      <c r="Q14" s="4" t="b">
        <f>P14 &gt; 0</f>
        <v>0</v>
      </c>
      <c r="R14" s="4" t="b">
        <f>AND(((I14)=TRUE), ((NOT(((Q14)=TRUE)))=TRUE))</f>
        <v>0</v>
      </c>
      <c r="S14" s="4">
        <f>_xlfn.IFNA(IF(((INDEX(Steps!N2:N18, MATCH(E14,Steps!A2:A18, 0))="")=TRUE),  "",  INDEX(Steps!N2:N18, MATCH(E14,Steps!A2:A18, 0))), "")</f>
        <v>4</v>
      </c>
      <c r="T14" s="4" t="b">
        <f>S14 &gt; 0</f>
        <v>1</v>
      </c>
      <c r="U14" s="4" t="b">
        <f>AND(((R14)=TRUE), ((T14)=TRUE))</f>
        <v>0</v>
      </c>
      <c r="V14" s="4" t="str">
        <f>IF(((U14)=TRUE),  C14,  "")</f>
      </c>
      <c r="W14" s="3"/>
      <c r="X14" s="4" t="b">
        <f>_xlfn.IFNA(IF(((INDEX(Steps!X2:X18, MATCH(D14,Steps!A2:A18, 0))="")=TRUE),  "",  INDEX(Steps!X2:X18, MATCH(D14,Steps!A2:A18, 0))), "")</f>
        <v>0</v>
      </c>
      <c r="Y14" s="4" t="b">
        <f>_xlfn.IFNA(IF(((INDEX(Steps!X2:X18, MATCH(E14,Steps!A2:A18, 0))="")=TRUE),  "",  INDEX(Steps!X2:X18, MATCH(E14,Steps!A2:A18, 0))), "")</f>
        <v>0</v>
      </c>
      <c r="Z14" s="4" t="b">
        <f>AND(((NOT(((X14)=TRUE)))=TRUE), ((NOT(((Y14)=TRUE)))=TRUE))</f>
        <v>1</v>
      </c>
      <c r="AA14" s="3"/>
      <c r="AB14" s="3" t="s">
        <v>649</v>
      </c>
    </row>
    <row r="15">
      <c r="A15" s="3" t="s">
        <v>662</v>
      </c>
      <c r="B15" s="4" t="str">
        <f>D15 &amp; " -&gt; " &amp; E15</f>
        <v>policy-07 -&gt; policy-08</v>
      </c>
      <c r="C15" s="3" t="s">
        <v>375</v>
      </c>
      <c r="D15" s="3" t="s">
        <v>610</v>
      </c>
      <c r="E15" s="3" t="s">
        <v>613</v>
      </c>
      <c r="F15" s="3" t="s">
        <v>647</v>
      </c>
      <c r="G15" s="3" t="s">
        <v>648</v>
      </c>
      <c r="H15" s="8">
        <v>1</v>
      </c>
      <c r="I15" s="4" t="b">
        <f>OR(((F15 = "Fallback")=TRUE), ((F15 = "Alternative")=TRUE))</f>
        <v>0</v>
      </c>
      <c r="J15" s="6">
        <f>IF((COUNTIFS(StepExecutions!D2:D13,D15))="", "", ROUND((COUNTIFS(StepExecutions!D2:D13,D15)), 0))</f>
        <v>0</v>
      </c>
      <c r="K15" s="6">
        <f>IF((COUNTIFS(StepExecutions!D2:D13,E15))="", "", ROUND((COUNTIFS(StepExecutions!D2:D13,E15)), 0))</f>
        <v>0</v>
      </c>
      <c r="L15" s="4" t="b">
        <f>J15 &gt; 0</f>
        <v>0</v>
      </c>
      <c r="M15" s="4" t="b">
        <f>K15 &gt; 0</f>
        <v>0</v>
      </c>
      <c r="N15" s="4" t="b">
        <f>NOT(((AND(((L15)=TRUE), ((M15)=TRUE)))=TRUE))</f>
        <v>1</v>
      </c>
      <c r="O15" s="4" t="b">
        <f>AND(((I15)=TRUE), ((N15)=TRUE))</f>
        <v>0</v>
      </c>
      <c r="P15" s="6">
        <f>IF((COUNTIFS(ObservedTransitions!D2:D11,A15))="", "", ROUND((COUNTIFS(ObservedTransitions!D2:D11,A15)), 0))</f>
        <v>0</v>
      </c>
      <c r="Q15" s="4" t="b">
        <f>P15 &gt; 0</f>
        <v>0</v>
      </c>
      <c r="R15" s="4" t="b">
        <f>AND(((I15)=TRUE), ((NOT(((Q15)=TRUE)))=TRUE))</f>
        <v>0</v>
      </c>
      <c r="S15" s="4">
        <f>_xlfn.IFNA(IF(((INDEX(Steps!N2:N18, MATCH(E15,Steps!A2:A18, 0))="")=TRUE),  "",  INDEX(Steps!N2:N18, MATCH(E15,Steps!A2:A18, 0))), "")</f>
        <v>1</v>
      </c>
      <c r="T15" s="4" t="b">
        <f>S15 &gt; 0</f>
        <v>1</v>
      </c>
      <c r="U15" s="4" t="b">
        <f>AND(((R15)=TRUE), ((T15)=TRUE))</f>
        <v>0</v>
      </c>
      <c r="V15" s="4" t="str">
        <f>IF(((U15)=TRUE),  C15,  "")</f>
      </c>
      <c r="W15" s="3"/>
      <c r="X15" s="4" t="b">
        <f>_xlfn.IFNA(IF(((INDEX(Steps!X2:X18, MATCH(D15,Steps!A2:A18, 0))="")=TRUE),  "",  INDEX(Steps!X2:X18, MATCH(D15,Steps!A2:A18, 0))), "")</f>
        <v>0</v>
      </c>
      <c r="Y15" s="4" t="b">
        <f>_xlfn.IFNA(IF(((INDEX(Steps!X2:X18, MATCH(E15,Steps!A2:A18, 0))="")=TRUE),  "",  INDEX(Steps!X2:X18, MATCH(E15,Steps!A2:A18, 0))), "")</f>
        <v>0</v>
      </c>
      <c r="Z15" s="4" t="b">
        <f>AND(((NOT(((X15)=TRUE)))=TRUE), ((NOT(((Y15)=TRUE)))=TRUE))</f>
        <v>1</v>
      </c>
      <c r="AA15" s="3"/>
      <c r="AB15" s="3" t="s">
        <v>649</v>
      </c>
    </row>
    <row r="16">
      <c r="A16" s="3" t="s">
        <v>663</v>
      </c>
      <c r="B16" s="4" t="str">
        <f>D16 &amp; " -&gt; " &amp; E16</f>
        <v>policy-08 -&gt; policy-09</v>
      </c>
      <c r="C16" s="3" t="s">
        <v>375</v>
      </c>
      <c r="D16" s="3" t="s">
        <v>613</v>
      </c>
      <c r="E16" s="3" t="s">
        <v>617</v>
      </c>
      <c r="F16" s="3" t="s">
        <v>647</v>
      </c>
      <c r="G16" s="3" t="s">
        <v>648</v>
      </c>
      <c r="H16" s="8">
        <v>1</v>
      </c>
      <c r="I16" s="4" t="b">
        <f>OR(((F16 = "Fallback")=TRUE), ((F16 = "Alternative")=TRUE))</f>
        <v>0</v>
      </c>
      <c r="J16" s="6">
        <f>IF((COUNTIFS(StepExecutions!D2:D13,D16))="", "", ROUND((COUNTIFS(StepExecutions!D2:D13,D16)), 0))</f>
        <v>0</v>
      </c>
      <c r="K16" s="6">
        <f>IF((COUNTIFS(StepExecutions!D2:D13,E16))="", "", ROUND((COUNTIFS(StepExecutions!D2:D13,E16)), 0))</f>
        <v>0</v>
      </c>
      <c r="L16" s="4" t="b">
        <f>J16 &gt; 0</f>
        <v>0</v>
      </c>
      <c r="M16" s="4" t="b">
        <f>K16 &gt; 0</f>
        <v>0</v>
      </c>
      <c r="N16" s="4" t="b">
        <f>NOT(((AND(((L16)=TRUE), ((M16)=TRUE)))=TRUE))</f>
        <v>1</v>
      </c>
      <c r="O16" s="4" t="b">
        <f>AND(((I16)=TRUE), ((N16)=TRUE))</f>
        <v>0</v>
      </c>
      <c r="P16" s="6">
        <f>IF((COUNTIFS(ObservedTransitions!D2:D11,A16))="", "", ROUND((COUNTIFS(ObservedTransitions!D2:D11,A16)), 0))</f>
        <v>0</v>
      </c>
      <c r="Q16" s="4" t="b">
        <f>P16 &gt; 0</f>
        <v>0</v>
      </c>
      <c r="R16" s="4" t="b">
        <f>AND(((I16)=TRUE), ((NOT(((Q16)=TRUE)))=TRUE))</f>
        <v>0</v>
      </c>
      <c r="S16" s="4">
        <f>_xlfn.IFNA(IF(((INDEX(Steps!N2:N18, MATCH(E16,Steps!A2:A18, 0))="")=TRUE),  "",  INDEX(Steps!N2:N18, MATCH(E16,Steps!A2:A18, 0))), "")</f>
        <v>0</v>
      </c>
      <c r="T16" s="4" t="b">
        <f>S16 &gt; 0</f>
        <v>0</v>
      </c>
      <c r="U16" s="4" t="b">
        <f>AND(((R16)=TRUE), ((T16)=TRUE))</f>
        <v>0</v>
      </c>
      <c r="V16" s="4" t="str">
        <f>IF(((U16)=TRUE),  C16,  "")</f>
      </c>
      <c r="W16" s="3"/>
      <c r="X16" s="4" t="b">
        <f>_xlfn.IFNA(IF(((INDEX(Steps!X2:X18, MATCH(D16,Steps!A2:A18, 0))="")=TRUE),  "",  INDEX(Steps!X2:X18, MATCH(D16,Steps!A2:A18, 0))), "")</f>
        <v>0</v>
      </c>
      <c r="Y16" s="4" t="b">
        <f>_xlfn.IFNA(IF(((INDEX(Steps!X2:X18, MATCH(E16,Steps!A2:A18, 0))="")=TRUE),  "",  INDEX(Steps!X2:X18, MATCH(E16,Steps!A2:A18, 0))), "")</f>
        <v>0</v>
      </c>
      <c r="Z16" s="4" t="b">
        <f>AND(((NOT(((X16)=TRUE)))=TRUE), ((NOT(((Y16)=TRUE)))=TRUE))</f>
        <v>1</v>
      </c>
      <c r="AA16" s="3"/>
      <c r="AB16" s="3" t="s">
        <v>649</v>
      </c>
    </row>
    <row r="17">
      <c r="A17" s="3" t="s">
        <v>664</v>
      </c>
      <c r="B17" s="4" t="str">
        <f>D17 &amp; " -&gt; " &amp; E17</f>
        <v>close-04 -&gt; close-03</v>
      </c>
      <c r="C17" s="3" t="s">
        <v>369</v>
      </c>
      <c r="D17" s="3" t="s">
        <v>567</v>
      </c>
      <c r="E17" s="3" t="s">
        <v>560</v>
      </c>
      <c r="F17" s="3" t="s">
        <v>665</v>
      </c>
      <c r="G17" s="3" t="s">
        <v>666</v>
      </c>
      <c r="H17" s="8">
        <v>2</v>
      </c>
      <c r="I17" s="4" t="b">
        <f>OR(((F17 = "Fallback")=TRUE), ((F17 = "Alternative")=TRUE))</f>
        <v>1</v>
      </c>
      <c r="J17" s="6">
        <f>IF((COUNTIFS(StepExecutions!D2:D13,D17))="", "", ROUND((COUNTIFS(StepExecutions!D2:D13,D17)), 0))</f>
        <v>1</v>
      </c>
      <c r="K17" s="6">
        <f>IF((COUNTIFS(StepExecutions!D2:D13,E17))="", "", ROUND((COUNTIFS(StepExecutions!D2:D13,E17)), 0))</f>
        <v>1</v>
      </c>
      <c r="L17" s="4" t="b">
        <f>J17 &gt; 0</f>
        <v>1</v>
      </c>
      <c r="M17" s="4" t="b">
        <f>K17 &gt; 0</f>
        <v>1</v>
      </c>
      <c r="N17" s="4" t="b">
        <f>NOT(((AND(((L17)=TRUE), ((M17)=TRUE)))=TRUE))</f>
        <v>0</v>
      </c>
      <c r="O17" s="4" t="b">
        <f>AND(((I17)=TRUE), ((N17)=TRUE))</f>
        <v>0</v>
      </c>
      <c r="P17" s="6">
        <f>IF((COUNTIFS(ObservedTransitions!D2:D11,A17))="", "", ROUND((COUNTIFS(ObservedTransitions!D2:D11,A17)), 0))</f>
        <v>0</v>
      </c>
      <c r="Q17" s="4" t="b">
        <f>P17 &gt; 0</f>
        <v>0</v>
      </c>
      <c r="R17" s="4" t="b">
        <f>AND(((I17)=TRUE), ((NOT(((Q17)=TRUE)))=TRUE))</f>
        <v>1</v>
      </c>
      <c r="S17" s="4">
        <f>_xlfn.IFNA(IF(((INDEX(Steps!N2:N18, MATCH(E17,Steps!A2:A18, 0))="")=TRUE),  "",  INDEX(Steps!N2:N18, MATCH(E17,Steps!A2:A18, 0))), "")</f>
        <v>2</v>
      </c>
      <c r="T17" s="4" t="b">
        <f>S17 &gt; 0</f>
        <v>1</v>
      </c>
      <c r="U17" s="4" t="b">
        <f>AND(((R17)=TRUE), ((T17)=TRUE))</f>
        <v>1</v>
      </c>
      <c r="V17" s="4" t="str">
        <f>IF(((U17)=TRUE),  C17,  "")</f>
        <v>close-v1.1.0</v>
      </c>
      <c r="W17" s="3"/>
      <c r="X17" s="4" t="b">
        <f>_xlfn.IFNA(IF(((INDEX(Steps!X2:X18, MATCH(D17,Steps!A2:A18, 0))="")=TRUE),  "",  INDEX(Steps!X2:X18, MATCH(D17,Steps!A2:A18, 0))), "")</f>
        <v>0</v>
      </c>
      <c r="Y17" s="4" t="b">
        <f>_xlfn.IFNA(IF(((INDEX(Steps!X2:X18, MATCH(E17,Steps!A2:A18, 0))="")=TRUE),  "",  INDEX(Steps!X2:X18, MATCH(E17,Steps!A2:A18, 0))), "")</f>
        <v>0</v>
      </c>
      <c r="Z17" s="4" t="b">
        <f>AND(((NOT(((X17)=TRUE)))=TRUE), ((NOT(((Y17)=TRUE)))=TRUE))</f>
        <v>1</v>
      </c>
      <c r="AA17" s="3"/>
      <c r="AB17" s="3" t="s">
        <v>649</v>
      </c>
    </row>
    <row r="18">
      <c r="A18" s="3" t="s">
        <v>667</v>
      </c>
      <c r="B18" s="4" t="str">
        <f>D18 &amp; " -&gt; " &amp; E18</f>
        <v>close-06 -&gt; close-04</v>
      </c>
      <c r="C18" s="3" t="s">
        <v>369</v>
      </c>
      <c r="D18" s="3" t="s">
        <v>576</v>
      </c>
      <c r="E18" s="3" t="s">
        <v>567</v>
      </c>
      <c r="F18" s="3" t="s">
        <v>668</v>
      </c>
      <c r="G18" s="3" t="s">
        <v>669</v>
      </c>
      <c r="H18" s="8">
        <v>2</v>
      </c>
      <c r="I18" s="4" t="b">
        <f>OR(((F18 = "Fallback")=TRUE), ((F18 = "Alternative")=TRUE))</f>
        <v>1</v>
      </c>
      <c r="J18" s="6">
        <f>IF((COUNTIFS(StepExecutions!D2:D13,D18))="", "", ROUND((COUNTIFS(StepExecutions!D2:D13,D18)), 0))</f>
        <v>1</v>
      </c>
      <c r="K18" s="6">
        <f>IF((COUNTIFS(StepExecutions!D2:D13,E18))="", "", ROUND((COUNTIFS(StepExecutions!D2:D13,E18)), 0))</f>
        <v>1</v>
      </c>
      <c r="L18" s="4" t="b">
        <f>J18 &gt; 0</f>
        <v>1</v>
      </c>
      <c r="M18" s="4" t="b">
        <f>K18 &gt; 0</f>
        <v>1</v>
      </c>
      <c r="N18" s="4" t="b">
        <f>NOT(((AND(((L18)=TRUE), ((M18)=TRUE)))=TRUE))</f>
        <v>0</v>
      </c>
      <c r="O18" s="4" t="b">
        <f>AND(((I18)=TRUE), ((N18)=TRUE))</f>
        <v>0</v>
      </c>
      <c r="P18" s="6">
        <f>IF((COUNTIFS(ObservedTransitions!D2:D11,A18))="", "", ROUND((COUNTIFS(ObservedTransitions!D2:D11,A18)), 0))</f>
        <v>0</v>
      </c>
      <c r="Q18" s="4" t="b">
        <f>P18 &gt; 0</f>
        <v>0</v>
      </c>
      <c r="R18" s="4" t="b">
        <f>AND(((I18)=TRUE), ((NOT(((Q18)=TRUE)))=TRUE))</f>
        <v>1</v>
      </c>
      <c r="S18" s="4">
        <f>_xlfn.IFNA(IF(((INDEX(Steps!N2:N18, MATCH(E18,Steps!A2:A18, 0))="")=TRUE),  "",  INDEX(Steps!N2:N18, MATCH(E18,Steps!A2:A18, 0))), "")</f>
        <v>0</v>
      </c>
      <c r="T18" s="4" t="b">
        <f>S18 &gt; 0</f>
        <v>0</v>
      </c>
      <c r="U18" s="4" t="b">
        <f>AND(((R18)=TRUE), ((T18)=TRUE))</f>
        <v>0</v>
      </c>
      <c r="V18" s="4" t="str">
        <f>IF(((U18)=TRUE),  C18,  "")</f>
      </c>
      <c r="W18" s="3"/>
      <c r="X18" s="4" t="b">
        <f>_xlfn.IFNA(IF(((INDEX(Steps!X2:X18, MATCH(D18,Steps!A2:A18, 0))="")=TRUE),  "",  INDEX(Steps!X2:X18, MATCH(D18,Steps!A2:A18, 0))), "")</f>
        <v>1</v>
      </c>
      <c r="Y18" s="4" t="b">
        <f>_xlfn.IFNA(IF(((INDEX(Steps!X2:X18, MATCH(E18,Steps!A2:A18, 0))="")=TRUE),  "",  INDEX(Steps!X2:X18, MATCH(E18,Steps!A2:A18, 0))), "")</f>
        <v>0</v>
      </c>
      <c r="Z18" s="4" t="b">
        <f>AND(((NOT(((X18)=TRUE)))=TRUE), ((NOT(((Y18)=TRUE)))=TRUE))</f>
        <v>0</v>
      </c>
      <c r="AA18" s="3"/>
      <c r="AB18" s="3" t="s">
        <v>649</v>
      </c>
    </row>
    <row r="19">
      <c r="A19" s="3" t="s">
        <v>670</v>
      </c>
      <c r="B19" s="4" t="str">
        <f>D19 &amp; " -&gt; " &amp; E19</f>
        <v>close-05 -&gt; close-07</v>
      </c>
      <c r="C19" s="3" t="s">
        <v>369</v>
      </c>
      <c r="D19" s="3" t="s">
        <v>572</v>
      </c>
      <c r="E19" s="3" t="s">
        <v>581</v>
      </c>
      <c r="F19" s="3" t="s">
        <v>668</v>
      </c>
      <c r="G19" s="3" t="s">
        <v>671</v>
      </c>
      <c r="H19" s="8">
        <v>3</v>
      </c>
      <c r="I19" s="4" t="b">
        <f>OR(((F19 = "Fallback")=TRUE), ((F19 = "Alternative")=TRUE))</f>
        <v>1</v>
      </c>
      <c r="J19" s="6">
        <f>IF((COUNTIFS(StepExecutions!D2:D13,D19))="", "", ROUND((COUNTIFS(StepExecutions!D2:D13,D19)), 0))</f>
        <v>1</v>
      </c>
      <c r="K19" s="6">
        <f>IF((COUNTIFS(StepExecutions!D2:D13,E19))="", "", ROUND((COUNTIFS(StepExecutions!D2:D13,E19)), 0))</f>
        <v>1</v>
      </c>
      <c r="L19" s="4" t="b">
        <f>J19 &gt; 0</f>
        <v>1</v>
      </c>
      <c r="M19" s="4" t="b">
        <f>K19 &gt; 0</f>
        <v>1</v>
      </c>
      <c r="N19" s="4" t="b">
        <f>NOT(((AND(((L19)=TRUE), ((M19)=TRUE)))=TRUE))</f>
        <v>0</v>
      </c>
      <c r="O19" s="4" t="b">
        <f>AND(((I19)=TRUE), ((N19)=TRUE))</f>
        <v>0</v>
      </c>
      <c r="P19" s="6">
        <f>IF((COUNTIFS(ObservedTransitions!D2:D11,A19))="", "", ROUND((COUNTIFS(ObservedTransitions!D2:D11,A19)), 0))</f>
        <v>0</v>
      </c>
      <c r="Q19" s="4" t="b">
        <f>P19 &gt; 0</f>
        <v>0</v>
      </c>
      <c r="R19" s="4" t="b">
        <f>AND(((I19)=TRUE), ((NOT(((Q19)=TRUE)))=TRUE))</f>
        <v>1</v>
      </c>
      <c r="S19" s="4">
        <f>_xlfn.IFNA(IF(((INDEX(Steps!N2:N18, MATCH(E19,Steps!A2:A18, 0))="")=TRUE),  "",  INDEX(Steps!N2:N18, MATCH(E19,Steps!A2:A18, 0))), "")</f>
        <v>0</v>
      </c>
      <c r="T19" s="4" t="b">
        <f>S19 &gt; 0</f>
        <v>0</v>
      </c>
      <c r="U19" s="4" t="b">
        <f>AND(((R19)=TRUE), ((T19)=TRUE))</f>
        <v>0</v>
      </c>
      <c r="V19" s="4" t="str">
        <f>IF(((U19)=TRUE),  C19,  "")</f>
      </c>
      <c r="W19" s="3"/>
      <c r="X19" s="4" t="b">
        <f>_xlfn.IFNA(IF(((INDEX(Steps!X2:X18, MATCH(D19,Steps!A2:A18, 0))="")=TRUE),  "",  INDEX(Steps!X2:X18, MATCH(D19,Steps!A2:A18, 0))), "")</f>
        <v>0</v>
      </c>
      <c r="Y19" s="4" t="b">
        <f>_xlfn.IFNA(IF(((INDEX(Steps!X2:X18, MATCH(E19,Steps!A2:A18, 0))="")=TRUE),  "",  INDEX(Steps!X2:X18, MATCH(E19,Steps!A2:A18, 0))), "")</f>
        <v>0</v>
      </c>
      <c r="Z19" s="4" t="b">
        <f>AND(((NOT(((X19)=TRUE)))=TRUE), ((NOT(((Y19)=TRUE)))=TRUE))</f>
        <v>1</v>
      </c>
      <c r="AA19" s="3"/>
      <c r="AB19" s="3" t="s">
        <v>649</v>
      </c>
    </row>
    <row r="20">
      <c r="A20" s="3" t="s">
        <v>672</v>
      </c>
      <c r="B20" s="4" t="str">
        <f>D20 &amp; " -&gt; " &amp; E20</f>
        <v>policy-04 -&gt; policy-03</v>
      </c>
      <c r="C20" s="3" t="s">
        <v>375</v>
      </c>
      <c r="D20" s="3" t="s">
        <v>600</v>
      </c>
      <c r="E20" s="3" t="s">
        <v>597</v>
      </c>
      <c r="F20" s="3" t="s">
        <v>668</v>
      </c>
      <c r="G20" s="3" t="s">
        <v>673</v>
      </c>
      <c r="H20" s="8">
        <v>2</v>
      </c>
      <c r="I20" s="4" t="b">
        <f>OR(((F20 = "Fallback")=TRUE), ((F20 = "Alternative")=TRUE))</f>
        <v>1</v>
      </c>
      <c r="J20" s="6">
        <f>IF((COUNTIFS(StepExecutions!D2:D13,D20))="", "", ROUND((COUNTIFS(StepExecutions!D2:D13,D20)), 0))</f>
        <v>1</v>
      </c>
      <c r="K20" s="6">
        <f>IF((COUNTIFS(StepExecutions!D2:D13,E20))="", "", ROUND((COUNTIFS(StepExecutions!D2:D13,E20)), 0))</f>
        <v>1</v>
      </c>
      <c r="L20" s="4" t="b">
        <f>J20 &gt; 0</f>
        <v>1</v>
      </c>
      <c r="M20" s="4" t="b">
        <f>K20 &gt; 0</f>
        <v>1</v>
      </c>
      <c r="N20" s="4" t="b">
        <f>NOT(((AND(((L20)=TRUE), ((M20)=TRUE)))=TRUE))</f>
        <v>0</v>
      </c>
      <c r="O20" s="4" t="b">
        <f>AND(((I20)=TRUE), ((N20)=TRUE))</f>
        <v>0</v>
      </c>
      <c r="P20" s="6">
        <f>IF((COUNTIFS(ObservedTransitions!D2:D11,A20))="", "", ROUND((COUNTIFS(ObservedTransitions!D2:D11,A20)), 0))</f>
        <v>0</v>
      </c>
      <c r="Q20" s="4" t="b">
        <f>P20 &gt; 0</f>
        <v>0</v>
      </c>
      <c r="R20" s="4" t="b">
        <f>AND(((I20)=TRUE), ((NOT(((Q20)=TRUE)))=TRUE))</f>
        <v>1</v>
      </c>
      <c r="S20" s="4">
        <f>_xlfn.IFNA(IF(((INDEX(Steps!N2:N18, MATCH(E20,Steps!A2:A18, 0))="")=TRUE),  "",  INDEX(Steps!N2:N18, MATCH(E20,Steps!A2:A18, 0))), "")</f>
        <v>1</v>
      </c>
      <c r="T20" s="4" t="b">
        <f>S20 &gt; 0</f>
        <v>1</v>
      </c>
      <c r="U20" s="4" t="b">
        <f>AND(((R20)=TRUE), ((T20)=TRUE))</f>
        <v>1</v>
      </c>
      <c r="V20" s="4" t="str">
        <f>IF(((U20)=TRUE),  C20,  "")</f>
        <v>policy-v1.0.0</v>
      </c>
      <c r="W20" s="3"/>
      <c r="X20" s="4" t="b">
        <f>_xlfn.IFNA(IF(((INDEX(Steps!X2:X18, MATCH(D20,Steps!A2:A18, 0))="")=TRUE),  "",  INDEX(Steps!X2:X18, MATCH(D20,Steps!A2:A18, 0))), "")</f>
        <v>0</v>
      </c>
      <c r="Y20" s="4" t="b">
        <f>_xlfn.IFNA(IF(((INDEX(Steps!X2:X18, MATCH(E20,Steps!A2:A18, 0))="")=TRUE),  "",  INDEX(Steps!X2:X18, MATCH(E20,Steps!A2:A18, 0))), "")</f>
        <v>0</v>
      </c>
      <c r="Z20" s="4" t="b">
        <f>AND(((NOT(((X20)=TRUE)))=TRUE), ((NOT(((Y20)=TRUE)))=TRUE))</f>
        <v>1</v>
      </c>
      <c r="AA20" s="3"/>
      <c r="AB20" s="3" t="s">
        <v>649</v>
      </c>
    </row>
    <row r="21">
      <c r="A21" s="3" t="s">
        <v>674</v>
      </c>
      <c r="B21" s="4" t="str">
        <f>D21 &amp; " -&gt; " &amp; E21</f>
        <v>policy-07 -&gt; policy-06</v>
      </c>
      <c r="C21" s="3" t="s">
        <v>375</v>
      </c>
      <c r="D21" s="3" t="s">
        <v>610</v>
      </c>
      <c r="E21" s="3" t="s">
        <v>607</v>
      </c>
      <c r="F21" s="3" t="s">
        <v>665</v>
      </c>
      <c r="G21" s="3" t="s">
        <v>675</v>
      </c>
      <c r="H21" s="8">
        <v>2</v>
      </c>
      <c r="I21" s="4" t="b">
        <f>OR(((F21 = "Fallback")=TRUE), ((F21 = "Alternative")=TRUE))</f>
        <v>1</v>
      </c>
      <c r="J21" s="6">
        <f>IF((COUNTIFS(StepExecutions!D2:D13,D21))="", "", ROUND((COUNTIFS(StepExecutions!D2:D13,D21)), 0))</f>
        <v>0</v>
      </c>
      <c r="K21" s="6">
        <f>IF((COUNTIFS(StepExecutions!D2:D13,E21))="", "", ROUND((COUNTIFS(StepExecutions!D2:D13,E21)), 0))</f>
        <v>0</v>
      </c>
      <c r="L21" s="4" t="b">
        <f>J21 &gt; 0</f>
        <v>0</v>
      </c>
      <c r="M21" s="4" t="b">
        <f>K21 &gt; 0</f>
        <v>0</v>
      </c>
      <c r="N21" s="4" t="b">
        <f>NOT(((AND(((L21)=TRUE), ((M21)=TRUE)))=TRUE))</f>
        <v>1</v>
      </c>
      <c r="O21" s="4" t="b">
        <f>AND(((I21)=TRUE), ((N21)=TRUE))</f>
        <v>1</v>
      </c>
      <c r="P21" s="6">
        <f>IF((COUNTIFS(ObservedTransitions!D2:D11,A21))="", "", ROUND((COUNTIFS(ObservedTransitions!D2:D11,A21)), 0))</f>
        <v>0</v>
      </c>
      <c r="Q21" s="4" t="b">
        <f>P21 &gt; 0</f>
        <v>0</v>
      </c>
      <c r="R21" s="4" t="b">
        <f>AND(((I21)=TRUE), ((NOT(((Q21)=TRUE)))=TRUE))</f>
        <v>1</v>
      </c>
      <c r="S21" s="4">
        <f>_xlfn.IFNA(IF(((INDEX(Steps!N2:N18, MATCH(E21,Steps!A2:A18, 0))="")=TRUE),  "",  INDEX(Steps!N2:N18, MATCH(E21,Steps!A2:A18, 0))), "")</f>
        <v>1</v>
      </c>
      <c r="T21" s="4" t="b">
        <f>S21 &gt; 0</f>
        <v>1</v>
      </c>
      <c r="U21" s="4" t="b">
        <f>AND(((R21)=TRUE), ((T21)=TRUE))</f>
        <v>1</v>
      </c>
      <c r="V21" s="4" t="str">
        <f>IF(((U21)=TRUE),  C21,  "")</f>
        <v>policy-v1.0.0</v>
      </c>
      <c r="W21" s="3"/>
      <c r="X21" s="4" t="b">
        <f>_xlfn.IFNA(IF(((INDEX(Steps!X2:X18, MATCH(D21,Steps!A2:A18, 0))="")=TRUE),  "",  INDEX(Steps!X2:X18, MATCH(D21,Steps!A2:A18, 0))), "")</f>
        <v>0</v>
      </c>
      <c r="Y21" s="4" t="b">
        <f>_xlfn.IFNA(IF(((INDEX(Steps!X2:X18, MATCH(E21,Steps!A2:A18, 0))="")=TRUE),  "",  INDEX(Steps!X2:X18, MATCH(E21,Steps!A2:A18, 0))), "")</f>
        <v>0</v>
      </c>
      <c r="Z21" s="4" t="b">
        <f>AND(((NOT(((X21)=TRUE)))=TRUE), ((NOT(((Y21)=TRUE)))=TRUE))</f>
        <v>1</v>
      </c>
      <c r="AA21" s="3"/>
      <c r="AB21" s="3" t="s">
        <v>649</v>
      </c>
    </row>
  </sheetData>
  <autoFilter ref="A1:AB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0"/>
  <sheetViews>
    <sheetView workbookViewId="0">
      <pane ySplit="1" topLeftCell="A2" state="frozen" activePane="bottomLeft"/>
      <selection pane="bottomLeft" activeCell="A1" sqref="A1"/>
    </sheetView>
  </sheetViews>
  <sheetFormatPr defaultRowHeight="15"/>
  <cols>
    <col min="1" max="1" width="21.72210121154785" customWidth="1"/>
    <col min="2" max="2" width="27.573198318481445" customWidth="1"/>
    <col min="3" max="3" width="27.573198318481445" customWidth="1"/>
    <col min="4" max="4" width="77.01494598388672" customWidth="1"/>
    <col min="5" max="5" width="27.604047775268555" customWidth="1"/>
  </cols>
  <sheetData>
    <row r="1">
      <c r="A1" s="2" t="s">
        <v>676</v>
      </c>
      <c r="B1" s="2" t="s">
        <v>1</v>
      </c>
      <c r="C1" s="2" t="s">
        <v>19</v>
      </c>
      <c r="D1" s="2" t="s">
        <v>349</v>
      </c>
      <c r="E1" s="2" t="s">
        <v>94</v>
      </c>
    </row>
    <row r="2">
      <c r="A2" s="3" t="s">
        <v>677</v>
      </c>
      <c r="B2" s="4" t="str">
        <f>C2</f>
        <v>Freeze ledgers</v>
      </c>
      <c r="C2" s="3" t="s">
        <v>678</v>
      </c>
      <c r="D2" s="3" t="s">
        <v>679</v>
      </c>
      <c r="E2" s="3" t="s">
        <v>680</v>
      </c>
    </row>
    <row r="3">
      <c r="A3" s="3" t="s">
        <v>681</v>
      </c>
      <c r="B3" s="4" t="str">
        <f>C3</f>
        <v>Reconcile account</v>
      </c>
      <c r="C3" s="3" t="s">
        <v>682</v>
      </c>
      <c r="D3" s="3" t="s">
        <v>683</v>
      </c>
      <c r="E3" s="3" t="s">
        <v>680</v>
      </c>
    </row>
    <row r="4">
      <c r="A4" s="3" t="s">
        <v>684</v>
      </c>
      <c r="B4" s="4" t="str">
        <f>C4</f>
        <v>Investigate variance</v>
      </c>
      <c r="C4" s="3" t="s">
        <v>685</v>
      </c>
      <c r="D4" s="3" t="s">
        <v>686</v>
      </c>
      <c r="E4" s="3" t="s">
        <v>680</v>
      </c>
    </row>
    <row r="5">
      <c r="A5" s="3" t="s">
        <v>687</v>
      </c>
      <c r="B5" s="4" t="str">
        <f>C5</f>
        <v>Review close package</v>
      </c>
      <c r="C5" s="3" t="s">
        <v>688</v>
      </c>
      <c r="D5" s="3" t="s">
        <v>689</v>
      </c>
      <c r="E5" s="3" t="s">
        <v>680</v>
      </c>
    </row>
    <row r="6">
      <c r="A6" s="3" t="s">
        <v>690</v>
      </c>
      <c r="B6" s="4" t="str">
        <f>C6</f>
        <v>Approve close</v>
      </c>
      <c r="C6" s="3" t="s">
        <v>691</v>
      </c>
      <c r="D6" s="3" t="s">
        <v>692</v>
      </c>
      <c r="E6" s="3" t="s">
        <v>680</v>
      </c>
    </row>
    <row r="7">
      <c r="A7" s="3" t="s">
        <v>693</v>
      </c>
      <c r="B7" s="4" t="str">
        <f>C7</f>
        <v>Interview practitioner</v>
      </c>
      <c r="C7" s="3" t="s">
        <v>694</v>
      </c>
      <c r="D7" s="3" t="s">
        <v>695</v>
      </c>
      <c r="E7" s="3" t="s">
        <v>680</v>
      </c>
    </row>
    <row r="8">
      <c r="A8" s="3" t="s">
        <v>696</v>
      </c>
      <c r="B8" s="4" t="str">
        <f>C8</f>
        <v>Review employment policy</v>
      </c>
      <c r="C8" s="3" t="s">
        <v>697</v>
      </c>
      <c r="D8" s="3" t="s">
        <v>698</v>
      </c>
      <c r="E8" s="3" t="s">
        <v>680</v>
      </c>
    </row>
    <row r="9">
      <c r="A9" s="3" t="s">
        <v>699</v>
      </c>
      <c r="B9" s="4" t="str">
        <f>C9</f>
        <v>Approve employment policy</v>
      </c>
      <c r="C9" s="3" t="s">
        <v>700</v>
      </c>
      <c r="D9" s="3" t="s">
        <v>701</v>
      </c>
      <c r="E9" s="3" t="s">
        <v>680</v>
      </c>
    </row>
    <row r="10">
      <c r="A10" s="3" t="s">
        <v>702</v>
      </c>
      <c r="B10" s="4" t="str">
        <f>C10</f>
        <v>Review procedural feedback</v>
      </c>
      <c r="C10" s="3" t="s">
        <v>703</v>
      </c>
      <c r="D10" s="3" t="s">
        <v>704</v>
      </c>
      <c r="E10" s="3" t="s">
        <v>680</v>
      </c>
    </row>
  </sheetData>
  <autoFilter ref="A1:E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9"/>
  <sheetViews>
    <sheetView workbookViewId="0">
      <pane ySplit="1" topLeftCell="A2" state="frozen" activePane="bottomLeft"/>
      <selection pane="bottomLeft" activeCell="A1" sqref="A1"/>
    </sheetView>
  </sheetViews>
  <sheetFormatPr defaultRowHeight="15"/>
  <cols>
    <col min="1" max="1" width="25.089616775512695" customWidth="1"/>
    <col min="2" max="2" width="25.202529907226562" customWidth="1"/>
    <col min="3" max="3" width="25.202529907226562" customWidth="1"/>
    <col min="4" max="4" width="75.84587097167969" customWidth="1"/>
    <col min="5" max="5" width="29.511524200439453" customWidth="1"/>
    <col min="6" max="6" width="29.5372371673584" customWidth="1"/>
  </cols>
  <sheetData>
    <row r="1">
      <c r="A1" s="2" t="s">
        <v>705</v>
      </c>
      <c r="B1" s="2" t="s">
        <v>1</v>
      </c>
      <c r="C1" s="2" t="s">
        <v>19</v>
      </c>
      <c r="D1" s="2" t="s">
        <v>349</v>
      </c>
      <c r="E1" s="2" t="s">
        <v>706</v>
      </c>
      <c r="F1" s="2" t="s">
        <v>94</v>
      </c>
    </row>
    <row r="2">
      <c r="A2" s="3" t="s">
        <v>707</v>
      </c>
      <c r="B2" s="4" t="str">
        <f>C2</f>
        <v>Extract trial balance</v>
      </c>
      <c r="C2" s="3" t="s">
        <v>708</v>
      </c>
      <c r="D2" s="3" t="s">
        <v>709</v>
      </c>
      <c r="E2" s="3" t="s">
        <v>710</v>
      </c>
      <c r="F2" s="3" t="s">
        <v>711</v>
      </c>
    </row>
    <row r="3">
      <c r="A3" s="3" t="s">
        <v>712</v>
      </c>
      <c r="B3" s="4" t="str">
        <f>C3</f>
        <v>Classify variance</v>
      </c>
      <c r="C3" s="3" t="s">
        <v>713</v>
      </c>
      <c r="D3" s="3" t="s">
        <v>714</v>
      </c>
      <c r="E3" s="3" t="s">
        <v>715</v>
      </c>
      <c r="F3" s="3" t="s">
        <v>711</v>
      </c>
    </row>
    <row r="4">
      <c r="A4" s="3" t="s">
        <v>716</v>
      </c>
      <c r="B4" s="4" t="str">
        <f>C4</f>
        <v>Post close entries</v>
      </c>
      <c r="C4" s="3" t="s">
        <v>717</v>
      </c>
      <c r="D4" s="3" t="s">
        <v>718</v>
      </c>
      <c r="E4" s="3" t="s">
        <v>719</v>
      </c>
      <c r="F4" s="3" t="s">
        <v>711</v>
      </c>
    </row>
    <row r="5">
      <c r="A5" s="3" t="s">
        <v>720</v>
      </c>
      <c r="B5" s="4" t="str">
        <f>C5</f>
        <v>Draft policy</v>
      </c>
      <c r="C5" s="3" t="s">
        <v>721</v>
      </c>
      <c r="D5" s="3" t="s">
        <v>722</v>
      </c>
      <c r="E5" s="3" t="s">
        <v>723</v>
      </c>
      <c r="F5" s="3" t="s">
        <v>711</v>
      </c>
    </row>
    <row r="6">
      <c r="A6" s="3" t="s">
        <v>724</v>
      </c>
      <c r="B6" s="4" t="str">
        <f>C6</f>
        <v>Render email</v>
      </c>
      <c r="C6" s="3" t="s">
        <v>725</v>
      </c>
      <c r="D6" s="3" t="s">
        <v>726</v>
      </c>
      <c r="E6" s="3" t="s">
        <v>727</v>
      </c>
      <c r="F6" s="3" t="s">
        <v>711</v>
      </c>
    </row>
    <row r="7">
      <c r="A7" s="3" t="s">
        <v>728</v>
      </c>
      <c r="B7" s="4" t="str">
        <f>C7</f>
        <v>Render SMS</v>
      </c>
      <c r="C7" s="3" t="s">
        <v>729</v>
      </c>
      <c r="D7" s="3" t="s">
        <v>730</v>
      </c>
      <c r="E7" s="3" t="s">
        <v>731</v>
      </c>
      <c r="F7" s="3" t="s">
        <v>711</v>
      </c>
    </row>
    <row r="8">
      <c r="A8" s="3" t="s">
        <v>732</v>
      </c>
      <c r="B8" s="4" t="str">
        <f>C8</f>
        <v>Send notification</v>
      </c>
      <c r="C8" s="3" t="s">
        <v>733</v>
      </c>
      <c r="D8" s="3" t="s">
        <v>734</v>
      </c>
      <c r="E8" s="3" t="s">
        <v>735</v>
      </c>
      <c r="F8" s="3" t="s">
        <v>711</v>
      </c>
    </row>
    <row r="9">
      <c r="A9" s="3" t="s">
        <v>736</v>
      </c>
      <c r="B9" s="4" t="str">
        <f>C9</f>
        <v>Collect acknowledgement</v>
      </c>
      <c r="C9" s="3" t="s">
        <v>737</v>
      </c>
      <c r="D9" s="3" t="s">
        <v>738</v>
      </c>
      <c r="E9" s="3" t="s">
        <v>739</v>
      </c>
      <c r="F9" s="3" t="s">
        <v>711</v>
      </c>
    </row>
  </sheetData>
  <autoFilter ref="A1:F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9"/>
  <sheetViews>
    <sheetView workbookViewId="0">
      <pane ySplit="1" topLeftCell="A2" state="frozen" activePane="bottomLeft"/>
      <selection pane="bottomLeft" activeCell="A1" sqref="A1"/>
    </sheetView>
  </sheetViews>
  <sheetFormatPr defaultRowHeight="15"/>
  <cols>
    <col min="1" max="1" width="24.35968589782715" customWidth="1"/>
    <col min="2" max="2" width="27.031147003173828" customWidth="1"/>
    <col min="3" max="3" width="27.031147003173828" customWidth="1"/>
    <col min="4" max="4" width="40.63338088989258" customWidth="1"/>
    <col min="5" max="5" width="43.01316452026367" customWidth="1"/>
  </cols>
  <sheetData>
    <row r="1">
      <c r="A1" s="2" t="s">
        <v>740</v>
      </c>
      <c r="B1" s="2" t="s">
        <v>1</v>
      </c>
      <c r="C1" s="2" t="s">
        <v>19</v>
      </c>
      <c r="D1" s="2" t="s">
        <v>327</v>
      </c>
      <c r="E1" s="2" t="s">
        <v>94</v>
      </c>
    </row>
    <row r="2">
      <c r="A2" s="3" t="s">
        <v>741</v>
      </c>
      <c r="B2" s="4" t="str">
        <f>C2</f>
        <v>ERP General Ledger</v>
      </c>
      <c r="C2" s="3" t="s">
        <v>742</v>
      </c>
      <c r="D2" s="3" t="s">
        <v>743</v>
      </c>
      <c r="E2" s="3" t="s">
        <v>744</v>
      </c>
    </row>
    <row r="3">
      <c r="A3" s="3" t="s">
        <v>745</v>
      </c>
      <c r="B3" s="4" t="str">
        <f>C3</f>
        <v>Close Workpaper Workbook</v>
      </c>
      <c r="C3" s="3" t="s">
        <v>746</v>
      </c>
      <c r="D3" s="3" t="s">
        <v>747</v>
      </c>
      <c r="E3" s="3" t="s">
        <v>744</v>
      </c>
    </row>
    <row r="4">
      <c r="A4" s="3" t="s">
        <v>748</v>
      </c>
      <c r="B4" s="4" t="str">
        <f>C4</f>
        <v>Variance AI Console</v>
      </c>
      <c r="C4" s="3" t="s">
        <v>749</v>
      </c>
      <c r="D4" s="3" t="s">
        <v>750</v>
      </c>
      <c r="E4" s="3" t="s">
        <v>744</v>
      </c>
    </row>
    <row r="5">
      <c r="A5" s="3" t="s">
        <v>751</v>
      </c>
      <c r="B5" s="4" t="str">
        <f>C5</f>
        <v>Policy Registry</v>
      </c>
      <c r="C5" s="3" t="s">
        <v>752</v>
      </c>
      <c r="D5" s="3" t="s">
        <v>753</v>
      </c>
      <c r="E5" s="3" t="s">
        <v>744</v>
      </c>
    </row>
    <row r="6">
      <c r="A6" s="3" t="s">
        <v>754</v>
      </c>
      <c r="B6" s="4" t="str">
        <f>C6</f>
        <v>Employee Consent Registry</v>
      </c>
      <c r="C6" s="3" t="s">
        <v>755</v>
      </c>
      <c r="D6" s="3" t="s">
        <v>756</v>
      </c>
      <c r="E6" s="3" t="s">
        <v>744</v>
      </c>
    </row>
    <row r="7">
      <c r="A7" s="3" t="s">
        <v>757</v>
      </c>
      <c r="B7" s="4" t="str">
        <f>C7</f>
        <v>Email Gateway</v>
      </c>
      <c r="C7" s="3" t="s">
        <v>758</v>
      </c>
      <c r="D7" s="3" t="s">
        <v>759</v>
      </c>
      <c r="E7" s="3" t="s">
        <v>744</v>
      </c>
    </row>
    <row r="8">
      <c r="A8" s="3" t="s">
        <v>760</v>
      </c>
      <c r="B8" s="4" t="str">
        <f>C8</f>
        <v>SMS Gateway</v>
      </c>
      <c r="C8" s="3" t="s">
        <v>761</v>
      </c>
      <c r="D8" s="3" t="s">
        <v>762</v>
      </c>
      <c r="E8" s="3" t="s">
        <v>744</v>
      </c>
    </row>
    <row r="9">
      <c r="A9" s="3" t="s">
        <v>763</v>
      </c>
      <c r="B9" s="4" t="str">
        <f>C9</f>
        <v>Knowledge Capture Form</v>
      </c>
      <c r="C9" s="3" t="s">
        <v>764</v>
      </c>
      <c r="D9" s="3" t="s">
        <v>765</v>
      </c>
      <c r="E9" s="3" t="s">
        <v>744</v>
      </c>
    </row>
  </sheetData>
  <autoFilter ref="A1:E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10"/>
  <sheetViews>
    <sheetView workbookViewId="0">
      <pane ySplit="1" topLeftCell="A2" state="frozen" activePane="bottomLeft"/>
      <selection pane="bottomLeft" activeCell="A1" sqref="A1"/>
    </sheetView>
  </sheetViews>
  <sheetFormatPr defaultRowHeight="15"/>
  <cols>
    <col min="1" max="1" width="17.443378448486328" customWidth="1"/>
    <col min="2" max="2" width="31.586328506469727" customWidth="1"/>
    <col min="3" max="3" width="17.443378448486328" customWidth="1"/>
    <col min="4" max="4" width="21.72210121154785" customWidth="1"/>
  </cols>
  <sheetData>
    <row r="1">
      <c r="A1" s="2" t="s">
        <v>766</v>
      </c>
      <c r="B1" s="2" t="s">
        <v>1</v>
      </c>
      <c r="C1" s="2" t="s">
        <v>767</v>
      </c>
      <c r="D1" s="2" t="s">
        <v>768</v>
      </c>
    </row>
    <row r="2">
      <c r="A2" s="3" t="s">
        <v>769</v>
      </c>
      <c r="B2" s="4" t="str">
        <f>C2 &amp; " / " &amp; D2</f>
        <v>close-01 / freeze-ledgers</v>
      </c>
      <c r="C2" s="3" t="s">
        <v>548</v>
      </c>
      <c r="D2" s="3" t="s">
        <v>677</v>
      </c>
    </row>
    <row r="3">
      <c r="A3" s="3" t="s">
        <v>770</v>
      </c>
      <c r="B3" s="4" t="str">
        <f>C3 &amp; " / " &amp; D3</f>
        <v>close-03 / reconcile-account</v>
      </c>
      <c r="C3" s="3" t="s">
        <v>560</v>
      </c>
      <c r="D3" s="3" t="s">
        <v>681</v>
      </c>
    </row>
    <row r="4">
      <c r="A4" s="3" t="s">
        <v>771</v>
      </c>
      <c r="B4" s="4" t="str">
        <f>C4 &amp; " / " &amp; D4</f>
        <v>close-04 / investigate-variance</v>
      </c>
      <c r="C4" s="3" t="s">
        <v>567</v>
      </c>
      <c r="D4" s="3" t="s">
        <v>684</v>
      </c>
    </row>
    <row r="5">
      <c r="A5" s="3" t="s">
        <v>772</v>
      </c>
      <c r="B5" s="4" t="str">
        <f>C5 &amp; " / " &amp; D5</f>
        <v>close-05 / review-close-package</v>
      </c>
      <c r="C5" s="3" t="s">
        <v>572</v>
      </c>
      <c r="D5" s="3" t="s">
        <v>687</v>
      </c>
    </row>
    <row r="6">
      <c r="A6" s="3" t="s">
        <v>773</v>
      </c>
      <c r="B6" s="4" t="str">
        <f>C6 &amp; " / " &amp; D6</f>
        <v>close-06 / approve-close</v>
      </c>
      <c r="C6" s="3" t="s">
        <v>576</v>
      </c>
      <c r="D6" s="3" t="s">
        <v>690</v>
      </c>
    </row>
    <row r="7">
      <c r="A7" s="3" t="s">
        <v>774</v>
      </c>
      <c r="B7" s="4" t="str">
        <f>C7 &amp; " / " &amp; D7</f>
        <v>policy-02 / interview-practitioner</v>
      </c>
      <c r="C7" s="3" t="s">
        <v>594</v>
      </c>
      <c r="D7" s="3" t="s">
        <v>693</v>
      </c>
    </row>
    <row r="8">
      <c r="A8" s="3" t="s">
        <v>775</v>
      </c>
      <c r="B8" s="4" t="str">
        <f>C8 &amp; " / " &amp; D8</f>
        <v>policy-04 / review-policy</v>
      </c>
      <c r="C8" s="3" t="s">
        <v>600</v>
      </c>
      <c r="D8" s="3" t="s">
        <v>696</v>
      </c>
    </row>
    <row r="9">
      <c r="A9" s="3" t="s">
        <v>776</v>
      </c>
      <c r="B9" s="4" t="str">
        <f>C9 &amp; " / " &amp; D9</f>
        <v>policy-05 / approve-policy</v>
      </c>
      <c r="C9" s="3" t="s">
        <v>604</v>
      </c>
      <c r="D9" s="3" t="s">
        <v>699</v>
      </c>
    </row>
    <row r="10">
      <c r="A10" s="3" t="s">
        <v>777</v>
      </c>
      <c r="B10" s="4" t="str">
        <f>C10 &amp; " / " &amp; D10</f>
        <v>policy-09 / review-feedback</v>
      </c>
      <c r="C10" s="3" t="s">
        <v>617</v>
      </c>
      <c r="D10" s="3" t="s">
        <v>702</v>
      </c>
    </row>
  </sheetData>
  <autoFilter ref="A1:D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9"/>
  <sheetViews>
    <sheetView workbookViewId="0">
      <pane ySplit="1" topLeftCell="A2" state="frozen" activePane="bottomLeft"/>
      <selection pane="bottomLeft" activeCell="A1" sqref="A1"/>
    </sheetView>
  </sheetViews>
  <sheetFormatPr defaultRowHeight="15"/>
  <cols>
    <col min="1" max="1" width="17.686737060546875" customWidth="1"/>
    <col min="2" max="2" width="35.46518325805664" customWidth="1"/>
    <col min="3" max="3" width="17.443378448486328" customWidth="1"/>
    <col min="4" max="4" width="25.089616775512695" customWidth="1"/>
  </cols>
  <sheetData>
    <row r="1">
      <c r="A1" s="2" t="s">
        <v>778</v>
      </c>
      <c r="B1" s="2" t="s">
        <v>1</v>
      </c>
      <c r="C1" s="2" t="s">
        <v>767</v>
      </c>
      <c r="D1" s="2" t="s">
        <v>779</v>
      </c>
    </row>
    <row r="2">
      <c r="A2" s="3" t="s">
        <v>780</v>
      </c>
      <c r="B2" s="4" t="str">
        <f>C2 &amp; " / " &amp; D2</f>
        <v>close-02 / extract-trial-balance</v>
      </c>
      <c r="C2" s="3" t="s">
        <v>556</v>
      </c>
      <c r="D2" s="3" t="s">
        <v>707</v>
      </c>
    </row>
    <row r="3">
      <c r="A3" s="3" t="s">
        <v>781</v>
      </c>
      <c r="B3" s="4" t="str">
        <f>C3 &amp; " / " &amp; D3</f>
        <v>close-04 / classify-variance</v>
      </c>
      <c r="C3" s="3" t="s">
        <v>567</v>
      </c>
      <c r="D3" s="3" t="s">
        <v>712</v>
      </c>
    </row>
    <row r="4">
      <c r="A4" s="3" t="s">
        <v>782</v>
      </c>
      <c r="B4" s="4" t="str">
        <f>C4 &amp; " / " &amp; D4</f>
        <v>close-07 / post-close-entries</v>
      </c>
      <c r="C4" s="3" t="s">
        <v>581</v>
      </c>
      <c r="D4" s="3" t="s">
        <v>716</v>
      </c>
    </row>
    <row r="5">
      <c r="A5" s="3" t="s">
        <v>783</v>
      </c>
      <c r="B5" s="4" t="str">
        <f>C5 &amp; " / " &amp; D5</f>
        <v>policy-03 / draft-policy</v>
      </c>
      <c r="C5" s="3" t="s">
        <v>597</v>
      </c>
      <c r="D5" s="3" t="s">
        <v>720</v>
      </c>
    </row>
    <row r="6">
      <c r="A6" s="3" t="s">
        <v>784</v>
      </c>
      <c r="B6" s="4" t="str">
        <f>C6 &amp; " / " &amp; D6</f>
        <v>policy-06 / render-email</v>
      </c>
      <c r="C6" s="3" t="s">
        <v>607</v>
      </c>
      <c r="D6" s="3" t="s">
        <v>724</v>
      </c>
    </row>
    <row r="7">
      <c r="A7" s="3" t="s">
        <v>785</v>
      </c>
      <c r="B7" s="4" t="str">
        <f>C7 &amp; " / " &amp; D7</f>
        <v>policy-06 / render-sms</v>
      </c>
      <c r="C7" s="3" t="s">
        <v>607</v>
      </c>
      <c r="D7" s="3" t="s">
        <v>728</v>
      </c>
    </row>
    <row r="8">
      <c r="A8" s="3" t="s">
        <v>786</v>
      </c>
      <c r="B8" s="4" t="str">
        <f>C8 &amp; " / " &amp; D8</f>
        <v>policy-07 / send-notification</v>
      </c>
      <c r="C8" s="3" t="s">
        <v>610</v>
      </c>
      <c r="D8" s="3" t="s">
        <v>732</v>
      </c>
    </row>
    <row r="9">
      <c r="A9" s="3" t="s">
        <v>787</v>
      </c>
      <c r="B9" s="4" t="str">
        <f>C9 &amp; " / " &amp; D9</f>
        <v>policy-08 / collect-acknowledgement</v>
      </c>
      <c r="C9" s="3" t="s">
        <v>613</v>
      </c>
      <c r="D9" s="3" t="s">
        <v>736</v>
      </c>
    </row>
  </sheetData>
  <autoFilter ref="A1:D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11"/>
  <sheetViews>
    <sheetView workbookViewId="0">
      <pane ySplit="1" topLeftCell="A2" state="frozen" activePane="bottomLeft"/>
      <selection pane="bottomLeft" activeCell="A1" sqref="A1"/>
    </sheetView>
  </sheetViews>
  <sheetFormatPr defaultRowHeight="15"/>
  <cols>
    <col min="1" max="1" width="17.443378448486328" customWidth="1"/>
    <col min="2" max="2" width="34.66645812988281" customWidth="1"/>
    <col min="3" max="3" width="17.443378448486328" customWidth="1"/>
    <col min="4" max="4" width="24.35968589782715" customWidth="1"/>
  </cols>
  <sheetData>
    <row r="1">
      <c r="A1" s="2" t="s">
        <v>788</v>
      </c>
      <c r="B1" s="2" t="s">
        <v>1</v>
      </c>
      <c r="C1" s="2" t="s">
        <v>767</v>
      </c>
      <c r="D1" s="2" t="s">
        <v>789</v>
      </c>
    </row>
    <row r="2">
      <c r="A2" s="3" t="s">
        <v>790</v>
      </c>
      <c r="B2" s="4" t="str">
        <f>C2 &amp; " / " &amp; D2</f>
        <v>close-01 / erp-ledger</v>
      </c>
      <c r="C2" s="3" t="s">
        <v>548</v>
      </c>
      <c r="D2" s="3" t="s">
        <v>741</v>
      </c>
    </row>
    <row r="3">
      <c r="A3" s="3" t="s">
        <v>791</v>
      </c>
      <c r="B3" s="4" t="str">
        <f>C3 &amp; " / " &amp; D3</f>
        <v>close-02 / erp-ledger</v>
      </c>
      <c r="C3" s="3" t="s">
        <v>556</v>
      </c>
      <c r="D3" s="3" t="s">
        <v>741</v>
      </c>
    </row>
    <row r="4">
      <c r="A4" s="3" t="s">
        <v>792</v>
      </c>
      <c r="B4" s="4" t="str">
        <f>C4 &amp; " / " &amp; D4</f>
        <v>close-03 / close-workpaper</v>
      </c>
      <c r="C4" s="3" t="s">
        <v>560</v>
      </c>
      <c r="D4" s="3" t="s">
        <v>745</v>
      </c>
    </row>
    <row r="5">
      <c r="A5" s="3" t="s">
        <v>793</v>
      </c>
      <c r="B5" s="4" t="str">
        <f>C5 &amp; " / " &amp; D5</f>
        <v>close-04 / variance-model</v>
      </c>
      <c r="C5" s="3" t="s">
        <v>567</v>
      </c>
      <c r="D5" s="3" t="s">
        <v>748</v>
      </c>
    </row>
    <row r="6">
      <c r="A6" s="3" t="s">
        <v>794</v>
      </c>
      <c r="B6" s="4" t="str">
        <f>C6 &amp; " / " &amp; D6</f>
        <v>close-04 / close-workpaper</v>
      </c>
      <c r="C6" s="3" t="s">
        <v>567</v>
      </c>
      <c r="D6" s="3" t="s">
        <v>745</v>
      </c>
    </row>
    <row r="7">
      <c r="A7" s="3" t="s">
        <v>795</v>
      </c>
      <c r="B7" s="4" t="str">
        <f>C7 &amp; " / " &amp; D7</f>
        <v>policy-02 / knowledge-capture-form</v>
      </c>
      <c r="C7" s="3" t="s">
        <v>594</v>
      </c>
      <c r="D7" s="3" t="s">
        <v>763</v>
      </c>
    </row>
    <row r="8">
      <c r="A8" s="3" t="s">
        <v>796</v>
      </c>
      <c r="B8" s="4" t="str">
        <f>C8 &amp; " / " &amp; D8</f>
        <v>policy-03 / policy-registry</v>
      </c>
      <c r="C8" s="3" t="s">
        <v>597</v>
      </c>
      <c r="D8" s="3" t="s">
        <v>751</v>
      </c>
    </row>
    <row r="9">
      <c r="A9" s="3" t="s">
        <v>797</v>
      </c>
      <c r="B9" s="4" t="str">
        <f>C9 &amp; " / " &amp; D9</f>
        <v>policy-07 / consent-registry</v>
      </c>
      <c r="C9" s="3" t="s">
        <v>610</v>
      </c>
      <c r="D9" s="3" t="s">
        <v>754</v>
      </c>
    </row>
    <row r="10">
      <c r="A10" s="3" t="s">
        <v>798</v>
      </c>
      <c r="B10" s="4" t="str">
        <f>C10 &amp; " / " &amp; D10</f>
        <v>policy-07 / email-gateway</v>
      </c>
      <c r="C10" s="3" t="s">
        <v>610</v>
      </c>
      <c r="D10" s="3" t="s">
        <v>757</v>
      </c>
    </row>
    <row r="11">
      <c r="A11" s="3" t="s">
        <v>799</v>
      </c>
      <c r="B11" s="4" t="str">
        <f>C11 &amp; " / " &amp; D11</f>
        <v>policy-07 / sms-gateway</v>
      </c>
      <c r="C11" s="3" t="s">
        <v>610</v>
      </c>
      <c r="D11" s="3" t="s">
        <v>760</v>
      </c>
    </row>
  </sheetData>
  <autoFilter ref="A1:D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Q14"/>
  <sheetViews>
    <sheetView workbookViewId="0">
      <pane ySplit="1" topLeftCell="A2" state="frozen" activePane="bottomLeft"/>
      <selection pane="bottomLeft" activeCell="A1" sqref="A1"/>
    </sheetView>
  </sheetViews>
  <sheetFormatPr defaultRowHeight="15"/>
  <cols>
    <col min="1" max="1" width="26.427637100219727" customWidth="1"/>
    <col min="2" max="2" width="33.37171936035156" customWidth="1"/>
    <col min="3" max="3" width="33.37171936035156" customWidth="1"/>
    <col min="4" max="4" width="18.18536949157715" customWidth="1"/>
    <col min="5" max="5" width="94.22319030761719" customWidth="1"/>
    <col min="6" max="6" width="27.464584350585938" customWidth="1"/>
    <col min="7" max="7" width="17.443378448486328" customWidth="1"/>
    <col min="8" max="8" width="24.429719924926758" customWidth="1"/>
    <col min="9" max="9" width="18.372060775756836" customWidth="1"/>
    <col min="10" max="10" width="19.67605972290039" customWidth="1"/>
    <col min="11" max="11" width="23.040740966796875" customWidth="1"/>
    <col min="12" max="12" width="23.667940139770508" customWidth="1"/>
    <col min="13" max="13" width="21.022953033447266" customWidth="1"/>
    <col min="14" max="14" width="20.20351219177246" customWidth="1"/>
    <col min="15" max="15" width="21.94721794128418" customWidth="1"/>
    <col min="16" max="16" width="44.641273498535156" customWidth="1"/>
    <col min="17" max="17" width="26.24978256225586" customWidth="1"/>
    <col min="18" max="18" width="19.867633819580078" customWidth="1"/>
    <col min="19" max="19" width="20.20347023010254" customWidth="1"/>
    <col min="20" max="20" width="24.9147891998291" customWidth="1"/>
    <col min="21" max="21" width="28.7175350189209" customWidth="1"/>
    <col min="22" max="22" width="24.83953857421875" customWidth="1"/>
    <col min="23" max="23" width="29.319272994995117" customWidth="1"/>
    <col min="24" max="24" width="17.84260368347168" customWidth="1"/>
    <col min="25" max="25" width="22.539798736572266" customWidth="1"/>
    <col min="26" max="26" width="21.783626556396484" customWidth="1"/>
    <col min="27" max="27" width="22.11738395690918" customWidth="1"/>
    <col min="28" max="28" width="28.951019287109375" customWidth="1"/>
    <col min="29" max="29" width="18.942859649658203" customWidth="1"/>
    <col min="30" max="30" width="26.70601463317871" customWidth="1"/>
    <col min="31" max="31" width="22.718408584594727" customWidth="1"/>
    <col min="32" max="32" width="25.28563117980957" customWidth="1"/>
    <col min="33" max="33" width="24.717802047729492" customWidth="1"/>
    <col min="34" max="34" width="17.443378448486328" customWidth="1"/>
    <col min="35" max="35" width="18.369426727294922" customWidth="1"/>
    <col min="36" max="36" width="17.953428268432617" customWidth="1"/>
    <col min="37" max="37" width="27.065332412719727" customWidth="1"/>
    <col min="38" max="38" width="26.16978645324707" customWidth="1"/>
    <col min="39" max="39" width="58.728477478027344" customWidth="1"/>
    <col min="40" max="40" width="24.660337448120117" customWidth="1"/>
    <col min="41" max="41" width="23.90658950805664" customWidth="1"/>
    <col min="42" max="42" width="25.694416046142578" customWidth="1"/>
    <col min="43" max="43" width="33.71207809448242" customWidth="1"/>
  </cols>
  <sheetData>
    <row r="1">
      <c r="A1" s="2" t="s">
        <v>800</v>
      </c>
      <c r="B1" s="2" t="s">
        <v>1</v>
      </c>
      <c r="C1" s="2" t="s">
        <v>19</v>
      </c>
      <c r="D1" s="2" t="s">
        <v>801</v>
      </c>
      <c r="E1" s="2" t="s">
        <v>802</v>
      </c>
      <c r="F1" s="2" t="s">
        <v>93</v>
      </c>
      <c r="G1" s="2" t="s">
        <v>803</v>
      </c>
      <c r="H1" s="2" t="s">
        <v>804</v>
      </c>
      <c r="I1" s="2" t="s">
        <v>805</v>
      </c>
      <c r="J1" s="2" t="s">
        <v>806</v>
      </c>
      <c r="K1" s="2" t="s">
        <v>807</v>
      </c>
      <c r="L1" s="2" t="s">
        <v>808</v>
      </c>
      <c r="M1" s="2" t="s">
        <v>809</v>
      </c>
      <c r="N1" s="2" t="s">
        <v>810</v>
      </c>
      <c r="O1" s="2" t="s">
        <v>811</v>
      </c>
      <c r="P1" s="2" t="s">
        <v>812</v>
      </c>
      <c r="Q1" s="2" t="s">
        <v>813</v>
      </c>
      <c r="R1" s="2" t="s">
        <v>814</v>
      </c>
      <c r="S1" s="2" t="s">
        <v>815</v>
      </c>
      <c r="T1" s="2" t="s">
        <v>816</v>
      </c>
      <c r="U1" s="2" t="s">
        <v>817</v>
      </c>
      <c r="V1" s="2" t="s">
        <v>818</v>
      </c>
      <c r="W1" s="2" t="s">
        <v>819</v>
      </c>
      <c r="X1" s="2" t="s">
        <v>820</v>
      </c>
      <c r="Y1" s="2" t="s">
        <v>821</v>
      </c>
      <c r="Z1" s="2" t="s">
        <v>822</v>
      </c>
      <c r="AA1" s="2" t="s">
        <v>823</v>
      </c>
      <c r="AB1" s="2" t="s">
        <v>824</v>
      </c>
      <c r="AC1" s="2" t="s">
        <v>825</v>
      </c>
      <c r="AD1" s="2" t="s">
        <v>826</v>
      </c>
      <c r="AE1" s="2" t="s">
        <v>827</v>
      </c>
      <c r="AF1" s="2" t="s">
        <v>828</v>
      </c>
      <c r="AG1" s="2" t="s">
        <v>829</v>
      </c>
      <c r="AH1" s="2" t="s">
        <v>830</v>
      </c>
      <c r="AI1" s="2" t="s">
        <v>831</v>
      </c>
      <c r="AJ1" s="2" t="s">
        <v>832</v>
      </c>
      <c r="AK1" s="2" t="s">
        <v>833</v>
      </c>
      <c r="AL1" s="2" t="s">
        <v>834</v>
      </c>
      <c r="AM1" s="2" t="s">
        <v>835</v>
      </c>
      <c r="AN1" s="2" t="s">
        <v>836</v>
      </c>
      <c r="AO1" s="2" t="s">
        <v>837</v>
      </c>
      <c r="AP1" s="2" t="s">
        <v>838</v>
      </c>
      <c r="AQ1" s="2" t="s">
        <v>94</v>
      </c>
    </row>
    <row r="2">
      <c r="A2" s="3" t="s">
        <v>839</v>
      </c>
      <c r="B2" s="4" t="str">
        <f>C2</f>
        <v>Close cutoff enforced</v>
      </c>
      <c r="C2" s="3" t="s">
        <v>840</v>
      </c>
      <c r="D2" s="3" t="s">
        <v>841</v>
      </c>
      <c r="E2" s="3" t="s">
        <v>842</v>
      </c>
      <c r="F2" s="3" t="s">
        <v>843</v>
      </c>
      <c r="G2" s="3" t="b">
        <v>1</v>
      </c>
      <c r="H2" s="4">
        <f>COUNTIFS(RequirementSatisfactions!D2:D9, A2)</f>
        <v>1</v>
      </c>
      <c r="I2" s="4">
        <f>COUNTIFS(StepRequirements!D2:D16, A2)</f>
        <v>1</v>
      </c>
      <c r="J2" s="4" t="b">
        <f>I2 &gt; 0</f>
        <v>1</v>
      </c>
      <c r="K2" s="4" t="b">
        <f>H2 &gt; 0</f>
        <v>1</v>
      </c>
      <c r="L2" s="4">
        <f>COUNTIFS(RequirementSatisfactions!N2:N9, A2)</f>
        <v>0</v>
      </c>
      <c r="M2" s="4" t="b">
        <f>AND(((G2)=TRUE), ((J2)=TRUE), ((NOT(((K2)=TRUE)))=TRUE))</f>
        <v>0</v>
      </c>
      <c r="N2" s="4" t="b">
        <f>AND(((G2)=TRUE), ((NOT(((J2)=TRUE)))=TRUE))</f>
        <v>0</v>
      </c>
      <c r="O2" s="3" t="b">
        <v>1</v>
      </c>
      <c r="P2" s="3" t="s">
        <v>844</v>
      </c>
      <c r="Q2" s="4" t="b">
        <f>L2 &gt; 0</f>
        <v>0</v>
      </c>
      <c r="R2" s="4" t="b">
        <f>AND(((G2)=TRUE), ((K2)=TRUE), ((NOT(((Q2)=TRUE)))=TRUE))</f>
        <v>1</v>
      </c>
      <c r="S2" s="4" t="b">
        <f>P2 &lt;&gt; ""</f>
        <v>1</v>
      </c>
      <c r="T2" s="4" t="b">
        <f>_xlfn.IFNA(IF(((INDEX(RulebookFields!I2:I1898, MATCH(P2,RulebookFields!A2:A1898, 0))="")=TRUE),  "",  INDEX(RulebookFields!I2:I1898, MATCH(P2,RulebookFields!A2:A1898, 0))), "")</f>
        <v>1</v>
      </c>
      <c r="U2" s="4" t="b">
        <f>AND(((S2)=TRUE), ((T2)=TRUE))</f>
        <v>1</v>
      </c>
      <c r="V2" s="4" t="b">
        <f>NOT(((O2 = U2)=TRUE))</f>
        <v>0</v>
      </c>
      <c r="W2" s="4" t="b">
        <f>AND(((G2)=TRUE), ((NOT(((U2)=TRUE)))=TRUE))</f>
        <v>0</v>
      </c>
      <c r="X2" s="4">
        <f>L2</f>
        <v>0</v>
      </c>
      <c r="Y2" s="4" t="b">
        <f>AND(((O2)=TRUE), ((X2 = 0)=TRUE))</f>
        <v>1</v>
      </c>
      <c r="Z2" s="4">
        <f>H2</f>
        <v>1</v>
      </c>
      <c r="AA2" s="4" t="b">
        <f>Z2 &gt;= AB2</f>
        <v>1</v>
      </c>
      <c r="AB2" s="8"/>
      <c r="AC2" s="4" t="b">
        <f>AND(((Y2)=TRUE), ((NOT(((AA2)=TRUE)))=TRUE))</f>
        <v>0</v>
      </c>
      <c r="AD2" s="4" t="b">
        <f>AND(((Y2)=TRUE), ((AA2)=TRUE))</f>
        <v>1</v>
      </c>
      <c r="AE2" s="4" t="str">
        <f>IF(((NOT(((J2)=TRUE)))=TRUE),  "Decorative",  IF(((NOT(((K2)=TRUE)))=TRUE),  "Inoperative",  IF(((NOT(((O2)=TRUE)))=TRUE),  "Asserted",  IF(((X2 &gt; 0)=TRUE),  "Demonstrated",  IF(((AA2)=TRUE),  "Holding",  "Untested")))))</f>
        <v>Holding</v>
      </c>
      <c r="AF2" s="4">
        <f>COUNTIFS(StepRequirements!M2:M16, A2)</f>
        <v>1</v>
      </c>
      <c r="AG2" s="4" t="b">
        <f>AND(((O2)=TRUE), ((AF2 &gt; 0)=TRUE))</f>
        <v>1</v>
      </c>
      <c r="AH2" s="3"/>
      <c r="AI2" s="4" t="str">
        <f>_xlfn.IFNA(IF(((INDEX(Roles!E2:E13, MATCH(AH2,Roles!A2:A13, 0))="")=TRUE),  "",  INDEX(Roles!E2:E13, MATCH(AH2,Roles!A2:A13, 0))), "")</f>
      </c>
      <c r="AJ2" s="4" t="b">
        <f>AH2 &lt;&gt; ""</f>
        <v>0</v>
      </c>
      <c r="AK2" s="4" t="b">
        <f>AND(((G2)=TRUE), ((NOT(((AJ2)=TRUE)))=TRUE))</f>
        <v>1</v>
      </c>
      <c r="AL2" s="4" t="b">
        <f>AND(((G2)=TRUE), ((NOT(((O2)=TRUE)))=TRUE), ((NOT(((AJ2)=TRUE)))=TRUE))</f>
        <v>0</v>
      </c>
      <c r="AM2" s="4" t="str">
        <f>IF(((NOT(((G2)=TRUE)))=TRUE),  "",  IF(((AL2)=TRUE),  "Unwatched and unowned: exposure defaults to the signatory.",  IF(((AK2)=TRUE),  "Witnessed but unowned: no named accountability.",  IF(((NOT(((O2)=TRUE)))=TRUE),  "Owned but unwitnessed: rests on human judgement.",  ""))))</f>
        <v>Witnessed but unowned: no named accountability.</v>
      </c>
      <c r="AN2" s="4" t="str">
        <f>IF(((AL2)=TRUE),  "unwatched-unowned",  "")</f>
      </c>
      <c r="AO2" s="3" t="s">
        <v>845</v>
      </c>
      <c r="AP2" s="4" t="b">
        <f>AO2 &lt;&gt; ""</f>
        <v>1</v>
      </c>
      <c r="AQ2" s="3" t="s">
        <v>846</v>
      </c>
    </row>
    <row r="3">
      <c r="A3" s="3" t="s">
        <v>847</v>
      </c>
      <c r="B3" s="4" t="str">
        <f>C3</f>
        <v>Reconciled balance integrity</v>
      </c>
      <c r="C3" s="3" t="s">
        <v>848</v>
      </c>
      <c r="D3" s="3" t="s">
        <v>616</v>
      </c>
      <c r="E3" s="3" t="s">
        <v>849</v>
      </c>
      <c r="F3" s="3" t="s">
        <v>850</v>
      </c>
      <c r="G3" s="3" t="b">
        <v>1</v>
      </c>
      <c r="H3" s="4">
        <f>COUNTIFS(RequirementSatisfactions!D2:D9, A3)</f>
        <v>1</v>
      </c>
      <c r="I3" s="4">
        <f>COUNTIFS(StepRequirements!D2:D16, A3)</f>
        <v>1</v>
      </c>
      <c r="J3" s="4" t="b">
        <f>I3 &gt; 0</f>
        <v>1</v>
      </c>
      <c r="K3" s="4" t="b">
        <f>H3 &gt; 0</f>
        <v>1</v>
      </c>
      <c r="L3" s="4">
        <f>COUNTIFS(RequirementSatisfactions!N2:N9, A3)</f>
        <v>0</v>
      </c>
      <c r="M3" s="4" t="b">
        <f>AND(((G3)=TRUE), ((J3)=TRUE), ((NOT(((K3)=TRUE)))=TRUE))</f>
        <v>0</v>
      </c>
      <c r="N3" s="4" t="b">
        <f>AND(((G3)=TRUE), ((NOT(((J3)=TRUE)))=TRUE))</f>
        <v>0</v>
      </c>
      <c r="O3" s="3" t="b">
        <v>1</v>
      </c>
      <c r="P3" s="3" t="s">
        <v>851</v>
      </c>
      <c r="Q3" s="4" t="b">
        <f>L3 &gt; 0</f>
        <v>0</v>
      </c>
      <c r="R3" s="4" t="b">
        <f>AND(((G3)=TRUE), ((K3)=TRUE), ((NOT(((Q3)=TRUE)))=TRUE))</f>
        <v>1</v>
      </c>
      <c r="S3" s="4" t="b">
        <f>P3 &lt;&gt; ""</f>
        <v>1</v>
      </c>
      <c r="T3" s="4" t="b">
        <f>_xlfn.IFNA(IF(((INDEX(RulebookFields!I2:I1898, MATCH(P3,RulebookFields!A2:A1898, 0))="")=TRUE),  "",  INDEX(RulebookFields!I2:I1898, MATCH(P3,RulebookFields!A2:A1898, 0))), "")</f>
        <v>1</v>
      </c>
      <c r="U3" s="4" t="b">
        <f>AND(((S3)=TRUE), ((T3)=TRUE))</f>
        <v>1</v>
      </c>
      <c r="V3" s="4" t="b">
        <f>NOT(((O3 = U3)=TRUE))</f>
        <v>0</v>
      </c>
      <c r="W3" s="4" t="b">
        <f>AND(((G3)=TRUE), ((NOT(((U3)=TRUE)))=TRUE))</f>
        <v>0</v>
      </c>
      <c r="X3" s="4">
        <f>L3</f>
        <v>0</v>
      </c>
      <c r="Y3" s="4" t="b">
        <f>AND(((O3)=TRUE), ((X3 = 0)=TRUE))</f>
        <v>1</v>
      </c>
      <c r="Z3" s="4">
        <f>H3</f>
        <v>1</v>
      </c>
      <c r="AA3" s="4" t="b">
        <f>Z3 &gt;= AB3</f>
        <v>1</v>
      </c>
      <c r="AB3" s="8"/>
      <c r="AC3" s="4" t="b">
        <f>AND(((Y3)=TRUE), ((NOT(((AA3)=TRUE)))=TRUE))</f>
        <v>0</v>
      </c>
      <c r="AD3" s="4" t="b">
        <f>AND(((Y3)=TRUE), ((AA3)=TRUE))</f>
        <v>1</v>
      </c>
      <c r="AE3" s="4" t="str">
        <f>IF(((NOT(((J3)=TRUE)))=TRUE),  "Decorative",  IF(((NOT(((K3)=TRUE)))=TRUE),  "Inoperative",  IF(((NOT(((O3)=TRUE)))=TRUE),  "Asserted",  IF(((X3 &gt; 0)=TRUE),  "Demonstrated",  IF(((AA3)=TRUE),  "Holding",  "Untested")))))</f>
        <v>Holding</v>
      </c>
      <c r="AF3" s="4">
        <f>COUNTIFS(StepRequirements!M2:M16, A3)</f>
        <v>1</v>
      </c>
      <c r="AG3" s="4" t="b">
        <f>AND(((O3)=TRUE), ((AF3 &gt; 0)=TRUE))</f>
        <v>1</v>
      </c>
      <c r="AH3" s="3"/>
      <c r="AI3" s="4" t="str">
        <f>_xlfn.IFNA(IF(((INDEX(Roles!E2:E13, MATCH(AH3,Roles!A2:A13, 0))="")=TRUE),  "",  INDEX(Roles!E2:E13, MATCH(AH3,Roles!A2:A13, 0))), "")</f>
      </c>
      <c r="AJ3" s="4" t="b">
        <f>AH3 &lt;&gt; ""</f>
        <v>0</v>
      </c>
      <c r="AK3" s="4" t="b">
        <f>AND(((G3)=TRUE), ((NOT(((AJ3)=TRUE)))=TRUE))</f>
        <v>1</v>
      </c>
      <c r="AL3" s="4" t="b">
        <f>AND(((G3)=TRUE), ((NOT(((O3)=TRUE)))=TRUE), ((NOT(((AJ3)=TRUE)))=TRUE))</f>
        <v>0</v>
      </c>
      <c r="AM3" s="4" t="str">
        <f>IF(((NOT(((G3)=TRUE)))=TRUE),  "",  IF(((AL3)=TRUE),  "Unwatched and unowned: exposure defaults to the signatory.",  IF(((AK3)=TRUE),  "Witnessed but unowned: no named accountability.",  IF(((NOT(((O3)=TRUE)))=TRUE),  "Owned but unwitnessed: rests on human judgement.",  ""))))</f>
        <v>Witnessed but unowned: no named accountability.</v>
      </c>
      <c r="AN3" s="4" t="str">
        <f>IF(((AL3)=TRUE),  "unwatched-unowned",  "")</f>
      </c>
      <c r="AO3" s="3" t="s">
        <v>852</v>
      </c>
      <c r="AP3" s="4" t="b">
        <f>AO3 &lt;&gt; ""</f>
        <v>1</v>
      </c>
      <c r="AQ3" s="3" t="s">
        <v>846</v>
      </c>
    </row>
    <row r="4">
      <c r="A4" s="3" t="s">
        <v>853</v>
      </c>
      <c r="B4" s="4" t="str">
        <f>C4</f>
        <v>Preparer/approver separation</v>
      </c>
      <c r="C4" s="3" t="s">
        <v>854</v>
      </c>
      <c r="D4" s="3" t="s">
        <v>855</v>
      </c>
      <c r="E4" s="3" t="s">
        <v>856</v>
      </c>
      <c r="F4" s="3" t="s">
        <v>857</v>
      </c>
      <c r="G4" s="3" t="b">
        <v>1</v>
      </c>
      <c r="H4" s="4">
        <f>COUNTIFS(RequirementSatisfactions!D2:D9, A4)</f>
        <v>1</v>
      </c>
      <c r="I4" s="4">
        <f>COUNTIFS(StepRequirements!D2:D16, A4)</f>
        <v>1</v>
      </c>
      <c r="J4" s="4" t="b">
        <f>I4 &gt; 0</f>
        <v>1</v>
      </c>
      <c r="K4" s="4" t="b">
        <f>H4 &gt; 0</f>
        <v>1</v>
      </c>
      <c r="L4" s="4">
        <f>COUNTIFS(RequirementSatisfactions!N2:N9, A4)</f>
        <v>0</v>
      </c>
      <c r="M4" s="4" t="b">
        <f>AND(((G4)=TRUE), ((J4)=TRUE), ((NOT(((K4)=TRUE)))=TRUE))</f>
        <v>0</v>
      </c>
      <c r="N4" s="4" t="b">
        <f>AND(((G4)=TRUE), ((NOT(((J4)=TRUE)))=TRUE))</f>
        <v>0</v>
      </c>
      <c r="O4" s="3" t="b">
        <v>1</v>
      </c>
      <c r="P4" s="3" t="s">
        <v>858</v>
      </c>
      <c r="Q4" s="4" t="b">
        <f>L4 &gt; 0</f>
        <v>0</v>
      </c>
      <c r="R4" s="4" t="b">
        <f>AND(((G4)=TRUE), ((K4)=TRUE), ((NOT(((Q4)=TRUE)))=TRUE))</f>
        <v>1</v>
      </c>
      <c r="S4" s="4" t="b">
        <f>P4 &lt;&gt; ""</f>
        <v>1</v>
      </c>
      <c r="T4" s="4" t="b">
        <f>_xlfn.IFNA(IF(((INDEX(RulebookFields!I2:I1898, MATCH(P4,RulebookFields!A2:A1898, 0))="")=TRUE),  "",  INDEX(RulebookFields!I2:I1898, MATCH(P4,RulebookFields!A2:A1898, 0))), "")</f>
        <v>1</v>
      </c>
      <c r="U4" s="4" t="b">
        <f>AND(((S4)=TRUE), ((T4)=TRUE))</f>
        <v>1</v>
      </c>
      <c r="V4" s="4" t="b">
        <f>NOT(((O4 = U4)=TRUE))</f>
        <v>0</v>
      </c>
      <c r="W4" s="4" t="b">
        <f>AND(((G4)=TRUE), ((NOT(((U4)=TRUE)))=TRUE))</f>
        <v>0</v>
      </c>
      <c r="X4" s="4">
        <f>L4</f>
        <v>0</v>
      </c>
      <c r="Y4" s="4" t="b">
        <f>AND(((O4)=TRUE), ((X4 = 0)=TRUE))</f>
        <v>1</v>
      </c>
      <c r="Z4" s="4">
        <f>H4</f>
        <v>1</v>
      </c>
      <c r="AA4" s="4" t="b">
        <f>Z4 &gt;= AB4</f>
        <v>1</v>
      </c>
      <c r="AB4" s="8"/>
      <c r="AC4" s="4" t="b">
        <f>AND(((Y4)=TRUE), ((NOT(((AA4)=TRUE)))=TRUE))</f>
        <v>0</v>
      </c>
      <c r="AD4" s="4" t="b">
        <f>AND(((Y4)=TRUE), ((AA4)=TRUE))</f>
        <v>1</v>
      </c>
      <c r="AE4" s="4" t="str">
        <f>IF(((NOT(((J4)=TRUE)))=TRUE),  "Decorative",  IF(((NOT(((K4)=TRUE)))=TRUE),  "Inoperative",  IF(((NOT(((O4)=TRUE)))=TRUE),  "Asserted",  IF(((X4 &gt; 0)=TRUE),  "Demonstrated",  IF(((AA4)=TRUE),  "Holding",  "Untested")))))</f>
        <v>Holding</v>
      </c>
      <c r="AF4" s="4">
        <f>COUNTIFS(StepRequirements!M2:M16, A4)</f>
        <v>1</v>
      </c>
      <c r="AG4" s="4" t="b">
        <f>AND(((O4)=TRUE), ((AF4 &gt; 0)=TRUE))</f>
        <v>1</v>
      </c>
      <c r="AH4" s="3"/>
      <c r="AI4" s="4" t="str">
        <f>_xlfn.IFNA(IF(((INDEX(Roles!E2:E13, MATCH(AH4,Roles!A2:A13, 0))="")=TRUE),  "",  INDEX(Roles!E2:E13, MATCH(AH4,Roles!A2:A13, 0))), "")</f>
      </c>
      <c r="AJ4" s="4" t="b">
        <f>AH4 &lt;&gt; ""</f>
        <v>0</v>
      </c>
      <c r="AK4" s="4" t="b">
        <f>AND(((G4)=TRUE), ((NOT(((AJ4)=TRUE)))=TRUE))</f>
        <v>1</v>
      </c>
      <c r="AL4" s="4" t="b">
        <f>AND(((G4)=TRUE), ((NOT(((O4)=TRUE)))=TRUE), ((NOT(((AJ4)=TRUE)))=TRUE))</f>
        <v>0</v>
      </c>
      <c r="AM4" s="4" t="str">
        <f>IF(((NOT(((G4)=TRUE)))=TRUE),  "",  IF(((AL4)=TRUE),  "Unwatched and unowned: exposure defaults to the signatory.",  IF(((AK4)=TRUE),  "Witnessed but unowned: no named accountability.",  IF(((NOT(((O4)=TRUE)))=TRUE),  "Owned but unwitnessed: rests on human judgement.",  ""))))</f>
        <v>Witnessed but unowned: no named accountability.</v>
      </c>
      <c r="AN4" s="4" t="str">
        <f>IF(((AL4)=TRUE),  "unwatched-unowned",  "")</f>
      </c>
      <c r="AO4" s="3" t="s">
        <v>859</v>
      </c>
      <c r="AP4" s="4" t="b">
        <f>AO4 &lt;&gt; ""</f>
        <v>1</v>
      </c>
      <c r="AQ4" s="3" t="s">
        <v>846</v>
      </c>
    </row>
    <row r="5">
      <c r="A5" s="3" t="s">
        <v>860</v>
      </c>
      <c r="B5" s="4" t="str">
        <f>C5</f>
        <v>Evidence retention</v>
      </c>
      <c r="C5" s="3" t="s">
        <v>861</v>
      </c>
      <c r="D5" s="3" t="s">
        <v>862</v>
      </c>
      <c r="E5" s="3" t="s">
        <v>863</v>
      </c>
      <c r="F5" s="3" t="s">
        <v>864</v>
      </c>
      <c r="G5" s="3" t="b">
        <v>1</v>
      </c>
      <c r="H5" s="4">
        <f>COUNTIFS(RequirementSatisfactions!D2:D9, A5)</f>
        <v>2</v>
      </c>
      <c r="I5" s="4">
        <f>COUNTIFS(StepRequirements!D2:D16, A5)</f>
        <v>2</v>
      </c>
      <c r="J5" s="4" t="b">
        <f>I5 &gt; 0</f>
        <v>1</v>
      </c>
      <c r="K5" s="4" t="b">
        <f>H5 &gt; 0</f>
        <v>1</v>
      </c>
      <c r="L5" s="4">
        <f>COUNTIFS(RequirementSatisfactions!N2:N9, A5)</f>
        <v>1</v>
      </c>
      <c r="M5" s="4" t="b">
        <f>AND(((G5)=TRUE), ((J5)=TRUE), ((NOT(((K5)=TRUE)))=TRUE))</f>
        <v>0</v>
      </c>
      <c r="N5" s="4" t="b">
        <f>AND(((G5)=TRUE), ((NOT(((J5)=TRUE)))=TRUE))</f>
        <v>0</v>
      </c>
      <c r="O5" s="3" t="b">
        <v>1</v>
      </c>
      <c r="P5" s="3" t="s">
        <v>865</v>
      </c>
      <c r="Q5" s="4" t="b">
        <f>L5 &gt; 0</f>
        <v>1</v>
      </c>
      <c r="R5" s="4" t="b">
        <f>AND(((G5)=TRUE), ((K5)=TRUE), ((NOT(((Q5)=TRUE)))=TRUE))</f>
        <v>0</v>
      </c>
      <c r="S5" s="4" t="b">
        <f>P5 &lt;&gt; ""</f>
        <v>1</v>
      </c>
      <c r="T5" s="4" t="b">
        <f>_xlfn.IFNA(IF(((INDEX(RulebookFields!I2:I1898, MATCH(P5,RulebookFields!A2:A1898, 0))="")=TRUE),  "",  INDEX(RulebookFields!I2:I1898, MATCH(P5,RulebookFields!A2:A1898, 0))), "")</f>
        <v>1</v>
      </c>
      <c r="U5" s="4" t="b">
        <f>AND(((S5)=TRUE), ((T5)=TRUE))</f>
        <v>1</v>
      </c>
      <c r="V5" s="4" t="b">
        <f>NOT(((O5 = U5)=TRUE))</f>
        <v>0</v>
      </c>
      <c r="W5" s="4" t="b">
        <f>AND(((G5)=TRUE), ((NOT(((U5)=TRUE)))=TRUE))</f>
        <v>0</v>
      </c>
      <c r="X5" s="4">
        <f>L5</f>
        <v>1</v>
      </c>
      <c r="Y5" s="4" t="b">
        <f>AND(((O5)=TRUE), ((X5 = 0)=TRUE))</f>
        <v>0</v>
      </c>
      <c r="Z5" s="4">
        <f>H5</f>
        <v>2</v>
      </c>
      <c r="AA5" s="4" t="b">
        <f>Z5 &gt;= AB5</f>
        <v>1</v>
      </c>
      <c r="AB5" s="8"/>
      <c r="AC5" s="4" t="b">
        <f>AND(((Y5)=TRUE), ((NOT(((AA5)=TRUE)))=TRUE))</f>
        <v>0</v>
      </c>
      <c r="AD5" s="4" t="b">
        <f>AND(((Y5)=TRUE), ((AA5)=TRUE))</f>
        <v>0</v>
      </c>
      <c r="AE5" s="4" t="str">
        <f>IF(((NOT(((J5)=TRUE)))=TRUE),  "Decorative",  IF(((NOT(((K5)=TRUE)))=TRUE),  "Inoperative",  IF(((NOT(((O5)=TRUE)))=TRUE),  "Asserted",  IF(((X5 &gt; 0)=TRUE),  "Demonstrated",  IF(((AA5)=TRUE),  "Holding",  "Untested")))))</f>
        <v>Demonstrated</v>
      </c>
      <c r="AF5" s="4">
        <f>COUNTIFS(StepRequirements!M2:M16, A5)</f>
        <v>2</v>
      </c>
      <c r="AG5" s="4" t="b">
        <f>AND(((O5)=TRUE), ((AF5 &gt; 0)=TRUE))</f>
        <v>1</v>
      </c>
      <c r="AH5" s="3"/>
      <c r="AI5" s="4" t="str">
        <f>_xlfn.IFNA(IF(((INDEX(Roles!E2:E13, MATCH(AH5,Roles!A2:A13, 0))="")=TRUE),  "",  INDEX(Roles!E2:E13, MATCH(AH5,Roles!A2:A13, 0))), "")</f>
      </c>
      <c r="AJ5" s="4" t="b">
        <f>AH5 &lt;&gt; ""</f>
        <v>0</v>
      </c>
      <c r="AK5" s="4" t="b">
        <f>AND(((G5)=TRUE), ((NOT(((AJ5)=TRUE)))=TRUE))</f>
        <v>1</v>
      </c>
      <c r="AL5" s="4" t="b">
        <f>AND(((G5)=TRUE), ((NOT(((O5)=TRUE)))=TRUE), ((NOT(((AJ5)=TRUE)))=TRUE))</f>
        <v>0</v>
      </c>
      <c r="AM5" s="4" t="str">
        <f>IF(((NOT(((G5)=TRUE)))=TRUE),  "",  IF(((AL5)=TRUE),  "Unwatched and unowned: exposure defaults to the signatory.",  IF(((AK5)=TRUE),  "Witnessed but unowned: no named accountability.",  IF(((NOT(((O5)=TRUE)))=TRUE),  "Owned but unwitnessed: rests on human judgement.",  ""))))</f>
        <v>Witnessed but unowned: no named accountability.</v>
      </c>
      <c r="AN5" s="4" t="str">
        <f>IF(((AL5)=TRUE),  "unwatched-unowned",  "")</f>
      </c>
      <c r="AO5" s="3" t="s">
        <v>866</v>
      </c>
      <c r="AP5" s="4" t="b">
        <f>AO5 &lt;&gt; ""</f>
        <v>1</v>
      </c>
      <c r="AQ5" s="3" t="s">
        <v>846</v>
      </c>
    </row>
    <row r="6">
      <c r="A6" s="3" t="s">
        <v>867</v>
      </c>
      <c r="B6" s="4" t="str">
        <f>C6</f>
        <v>Human final approval</v>
      </c>
      <c r="C6" s="3" t="s">
        <v>868</v>
      </c>
      <c r="D6" s="3" t="s">
        <v>490</v>
      </c>
      <c r="E6" s="3" t="s">
        <v>869</v>
      </c>
      <c r="F6" s="3" t="s">
        <v>870</v>
      </c>
      <c r="G6" s="3" t="b">
        <v>1</v>
      </c>
      <c r="H6" s="4">
        <f>COUNTIFS(RequirementSatisfactions!D2:D9, A6)</f>
        <v>1</v>
      </c>
      <c r="I6" s="4">
        <f>COUNTIFS(StepRequirements!D2:D16, A6)</f>
        <v>1</v>
      </c>
      <c r="J6" s="4" t="b">
        <f>I6 &gt; 0</f>
        <v>1</v>
      </c>
      <c r="K6" s="4" t="b">
        <f>H6 &gt; 0</f>
        <v>1</v>
      </c>
      <c r="L6" s="4">
        <f>COUNTIFS(RequirementSatisfactions!N2:N9, A6)</f>
        <v>0</v>
      </c>
      <c r="M6" s="4" t="b">
        <f>AND(((G6)=TRUE), ((J6)=TRUE), ((NOT(((K6)=TRUE)))=TRUE))</f>
        <v>0</v>
      </c>
      <c r="N6" s="4" t="b">
        <f>AND(((G6)=TRUE), ((NOT(((J6)=TRUE)))=TRUE))</f>
        <v>0</v>
      </c>
      <c r="O6" s="3" t="b">
        <v>0</v>
      </c>
      <c r="P6" s="3"/>
      <c r="Q6" s="4" t="b">
        <f>L6 &gt; 0</f>
        <v>0</v>
      </c>
      <c r="R6" s="4" t="b">
        <f>AND(((G6)=TRUE), ((K6)=TRUE), ((NOT(((Q6)=TRUE)))=TRUE))</f>
        <v>1</v>
      </c>
      <c r="S6" s="4" t="b">
        <f>P6 &lt;&gt; ""</f>
        <v>0</v>
      </c>
      <c r="T6" s="4" t="str">
        <f>_xlfn.IFNA(IF(((INDEX(RulebookFields!I2:I1898, MATCH(P6,RulebookFields!A2:A1898, 0))="")=TRUE),  "",  INDEX(RulebookFields!I2:I1898, MATCH(P6,RulebookFields!A2:A1898, 0))), "")</f>
      </c>
      <c r="U6" s="4" t="b">
        <f>AND(((S6)=TRUE), ((T6)=TRUE))</f>
        <v>0</v>
      </c>
      <c r="V6" s="4" t="b">
        <f>NOT(((O6 = U6)=TRUE))</f>
        <v>0</v>
      </c>
      <c r="W6" s="4" t="b">
        <f>AND(((G6)=TRUE), ((NOT(((U6)=TRUE)))=TRUE))</f>
        <v>1</v>
      </c>
      <c r="X6" s="4">
        <f>L6</f>
        <v>0</v>
      </c>
      <c r="Y6" s="4" t="b">
        <f>AND(((O6)=TRUE), ((X6 = 0)=TRUE))</f>
        <v>0</v>
      </c>
      <c r="Z6" s="4">
        <f>H6</f>
        <v>1</v>
      </c>
      <c r="AA6" s="4" t="b">
        <f>Z6 &gt;= AB6</f>
        <v>1</v>
      </c>
      <c r="AB6" s="8"/>
      <c r="AC6" s="4" t="b">
        <f>AND(((Y6)=TRUE), ((NOT(((AA6)=TRUE)))=TRUE))</f>
        <v>0</v>
      </c>
      <c r="AD6" s="4" t="b">
        <f>AND(((Y6)=TRUE), ((AA6)=TRUE))</f>
        <v>0</v>
      </c>
      <c r="AE6" s="4" t="str">
        <f>IF(((NOT(((J6)=TRUE)))=TRUE),  "Decorative",  IF(((NOT(((K6)=TRUE)))=TRUE),  "Inoperative",  IF(((NOT(((O6)=TRUE)))=TRUE),  "Asserted",  IF(((X6 &gt; 0)=TRUE),  "Demonstrated",  IF(((AA6)=TRUE),  "Holding",  "Untested")))))</f>
        <v>Asserted</v>
      </c>
      <c r="AF6" s="4">
        <f>COUNTIFS(StepRequirements!M2:M16, A6)</f>
        <v>1</v>
      </c>
      <c r="AG6" s="4" t="b">
        <f>AND(((O6)=TRUE), ((AF6 &gt; 0)=TRUE))</f>
        <v>0</v>
      </c>
      <c r="AH6" s="3"/>
      <c r="AI6" s="4" t="str">
        <f>_xlfn.IFNA(IF(((INDEX(Roles!E2:E13, MATCH(AH6,Roles!A2:A13, 0))="")=TRUE),  "",  INDEX(Roles!E2:E13, MATCH(AH6,Roles!A2:A13, 0))), "")</f>
      </c>
      <c r="AJ6" s="4" t="b">
        <f>AH6 &lt;&gt; ""</f>
        <v>0</v>
      </c>
      <c r="AK6" s="4" t="b">
        <f>AND(((G6)=TRUE), ((NOT(((AJ6)=TRUE)))=TRUE))</f>
        <v>1</v>
      </c>
      <c r="AL6" s="4" t="b">
        <f>AND(((G6)=TRUE), ((NOT(((O6)=TRUE)))=TRUE), ((NOT(((AJ6)=TRUE)))=TRUE))</f>
        <v>1</v>
      </c>
      <c r="AM6" s="4" t="str">
        <f>IF(((NOT(((G6)=TRUE)))=TRUE),  "",  IF(((AL6)=TRUE),  "Unwatched and unowned: exposure defaults to the signatory.",  IF(((AK6)=TRUE),  "Witnessed but unowned: no named accountability.",  IF(((NOT(((O6)=TRUE)))=TRUE),  "Owned but unwitnessed: rests on human judgement.",  ""))))</f>
        <v>Unwatched and unowned: exposure defaults to the signatory.</v>
      </c>
      <c r="AN6" s="4" t="str">
        <f>IF(((AL6)=TRUE),  "unwatched-unowned",  "")</f>
        <v>unwatched-unowned</v>
      </c>
      <c r="AO6" s="3" t="s">
        <v>871</v>
      </c>
      <c r="AP6" s="4" t="b">
        <f>AO6 &lt;&gt; ""</f>
        <v>1</v>
      </c>
      <c r="AQ6" s="3" t="s">
        <v>846</v>
      </c>
    </row>
    <row r="7">
      <c r="A7" s="3" t="s">
        <v>872</v>
      </c>
      <c r="B7" s="4" t="str">
        <f>C7</f>
        <v>Approved source only</v>
      </c>
      <c r="C7" s="3" t="s">
        <v>873</v>
      </c>
      <c r="D7" s="3" t="s">
        <v>874</v>
      </c>
      <c r="E7" s="3" t="s">
        <v>875</v>
      </c>
      <c r="F7" s="3" t="s">
        <v>876</v>
      </c>
      <c r="G7" s="3" t="b">
        <v>1</v>
      </c>
      <c r="H7" s="4">
        <f>COUNTIFS(RequirementSatisfactions!D2:D9, A7)</f>
        <v>1</v>
      </c>
      <c r="I7" s="4">
        <f>COUNTIFS(StepRequirements!D2:D16, A7)</f>
        <v>1</v>
      </c>
      <c r="J7" s="4" t="b">
        <f>I7 &gt; 0</f>
        <v>1</v>
      </c>
      <c r="K7" s="4" t="b">
        <f>H7 &gt; 0</f>
        <v>1</v>
      </c>
      <c r="L7" s="4">
        <f>COUNTIFS(RequirementSatisfactions!N2:N9, A7)</f>
        <v>0</v>
      </c>
      <c r="M7" s="4" t="b">
        <f>AND(((G7)=TRUE), ((J7)=TRUE), ((NOT(((K7)=TRUE)))=TRUE))</f>
        <v>0</v>
      </c>
      <c r="N7" s="4" t="b">
        <f>AND(((G7)=TRUE), ((NOT(((J7)=TRUE)))=TRUE))</f>
        <v>0</v>
      </c>
      <c r="O7" s="3" t="b">
        <v>0</v>
      </c>
      <c r="P7" s="3"/>
      <c r="Q7" s="4" t="b">
        <f>L7 &gt; 0</f>
        <v>0</v>
      </c>
      <c r="R7" s="4" t="b">
        <f>AND(((G7)=TRUE), ((K7)=TRUE), ((NOT(((Q7)=TRUE)))=TRUE))</f>
        <v>1</v>
      </c>
      <c r="S7" s="4" t="b">
        <f>P7 &lt;&gt; ""</f>
        <v>0</v>
      </c>
      <c r="T7" s="4" t="str">
        <f>_xlfn.IFNA(IF(((INDEX(RulebookFields!I2:I1898, MATCH(P7,RulebookFields!A2:A1898, 0))="")=TRUE),  "",  INDEX(RulebookFields!I2:I1898, MATCH(P7,RulebookFields!A2:A1898, 0))), "")</f>
      </c>
      <c r="U7" s="4" t="b">
        <f>AND(((S7)=TRUE), ((T7)=TRUE))</f>
        <v>0</v>
      </c>
      <c r="V7" s="4" t="b">
        <f>NOT(((O7 = U7)=TRUE))</f>
        <v>0</v>
      </c>
      <c r="W7" s="4" t="b">
        <f>AND(((G7)=TRUE), ((NOT(((U7)=TRUE)))=TRUE))</f>
        <v>1</v>
      </c>
      <c r="X7" s="4">
        <f>L7</f>
        <v>0</v>
      </c>
      <c r="Y7" s="4" t="b">
        <f>AND(((O7)=TRUE), ((X7 = 0)=TRUE))</f>
        <v>0</v>
      </c>
      <c r="Z7" s="4">
        <f>H7</f>
        <v>1</v>
      </c>
      <c r="AA7" s="4" t="b">
        <f>Z7 &gt;= AB7</f>
        <v>1</v>
      </c>
      <c r="AB7" s="8"/>
      <c r="AC7" s="4" t="b">
        <f>AND(((Y7)=TRUE), ((NOT(((AA7)=TRUE)))=TRUE))</f>
        <v>0</v>
      </c>
      <c r="AD7" s="4" t="b">
        <f>AND(((Y7)=TRUE), ((AA7)=TRUE))</f>
        <v>0</v>
      </c>
      <c r="AE7" s="4" t="str">
        <f>IF(((NOT(((J7)=TRUE)))=TRUE),  "Decorative",  IF(((NOT(((K7)=TRUE)))=TRUE),  "Inoperative",  IF(((NOT(((O7)=TRUE)))=TRUE),  "Asserted",  IF(((X7 &gt; 0)=TRUE),  "Demonstrated",  IF(((AA7)=TRUE),  "Holding",  "Untested")))))</f>
        <v>Asserted</v>
      </c>
      <c r="AF7" s="4">
        <f>COUNTIFS(StepRequirements!M2:M16, A7)</f>
        <v>1</v>
      </c>
      <c r="AG7" s="4" t="b">
        <f>AND(((O7)=TRUE), ((AF7 &gt; 0)=TRUE))</f>
        <v>0</v>
      </c>
      <c r="AH7" s="3"/>
      <c r="AI7" s="4" t="str">
        <f>_xlfn.IFNA(IF(((INDEX(Roles!E2:E13, MATCH(AH7,Roles!A2:A13, 0))="")=TRUE),  "",  INDEX(Roles!E2:E13, MATCH(AH7,Roles!A2:A13, 0))), "")</f>
      </c>
      <c r="AJ7" s="4" t="b">
        <f>AH7 &lt;&gt; ""</f>
        <v>0</v>
      </c>
      <c r="AK7" s="4" t="b">
        <f>AND(((G7)=TRUE), ((NOT(((AJ7)=TRUE)))=TRUE))</f>
        <v>1</v>
      </c>
      <c r="AL7" s="4" t="b">
        <f>AND(((G7)=TRUE), ((NOT(((O7)=TRUE)))=TRUE), ((NOT(((AJ7)=TRUE)))=TRUE))</f>
        <v>1</v>
      </c>
      <c r="AM7" s="4" t="str">
        <f>IF(((NOT(((G7)=TRUE)))=TRUE),  "",  IF(((AL7)=TRUE),  "Unwatched and unowned: exposure defaults to the signatory.",  IF(((AK7)=TRUE),  "Witnessed but unowned: no named accountability.",  IF(((NOT(((O7)=TRUE)))=TRUE),  "Owned but unwitnessed: rests on human judgement.",  ""))))</f>
        <v>Unwatched and unowned: exposure defaults to the signatory.</v>
      </c>
      <c r="AN7" s="4" t="str">
        <f>IF(((AL7)=TRUE),  "unwatched-unowned",  "")</f>
        <v>unwatched-unowned</v>
      </c>
      <c r="AO7" s="3"/>
      <c r="AP7" s="4" t="b">
        <f>AO7 &lt;&gt; ""</f>
        <v>0</v>
      </c>
      <c r="AQ7" s="3" t="s">
        <v>846</v>
      </c>
    </row>
    <row r="8">
      <c r="A8" s="3" t="s">
        <v>877</v>
      </c>
      <c r="B8" s="4" t="str">
        <f>C8</f>
        <v>Legal review required</v>
      </c>
      <c r="C8" s="3" t="s">
        <v>878</v>
      </c>
      <c r="D8" s="3" t="s">
        <v>490</v>
      </c>
      <c r="E8" s="3" t="s">
        <v>879</v>
      </c>
      <c r="F8" s="3" t="s">
        <v>880</v>
      </c>
      <c r="G8" s="3" t="b">
        <v>1</v>
      </c>
      <c r="H8" s="4">
        <f>COUNTIFS(RequirementSatisfactions!D2:D9, A8)</f>
        <v>1</v>
      </c>
      <c r="I8" s="4">
        <f>COUNTIFS(StepRequirements!D2:D16, A8)</f>
        <v>1</v>
      </c>
      <c r="J8" s="4" t="b">
        <f>I8 &gt; 0</f>
        <v>1</v>
      </c>
      <c r="K8" s="4" t="b">
        <f>H8 &gt; 0</f>
        <v>1</v>
      </c>
      <c r="L8" s="4">
        <f>COUNTIFS(RequirementSatisfactions!N2:N9, A8)</f>
        <v>0</v>
      </c>
      <c r="M8" s="4" t="b">
        <f>AND(((G8)=TRUE), ((J8)=TRUE), ((NOT(((K8)=TRUE)))=TRUE))</f>
        <v>0</v>
      </c>
      <c r="N8" s="4" t="b">
        <f>AND(((G8)=TRUE), ((NOT(((J8)=TRUE)))=TRUE))</f>
        <v>0</v>
      </c>
      <c r="O8" s="3" t="b">
        <v>0</v>
      </c>
      <c r="P8" s="3"/>
      <c r="Q8" s="4" t="b">
        <f>L8 &gt; 0</f>
        <v>0</v>
      </c>
      <c r="R8" s="4" t="b">
        <f>AND(((G8)=TRUE), ((K8)=TRUE), ((NOT(((Q8)=TRUE)))=TRUE))</f>
        <v>1</v>
      </c>
      <c r="S8" s="4" t="b">
        <f>P8 &lt;&gt; ""</f>
        <v>0</v>
      </c>
      <c r="T8" s="4" t="str">
        <f>_xlfn.IFNA(IF(((INDEX(RulebookFields!I2:I1898, MATCH(P8,RulebookFields!A2:A1898, 0))="")=TRUE),  "",  INDEX(RulebookFields!I2:I1898, MATCH(P8,RulebookFields!A2:A1898, 0))), "")</f>
      </c>
      <c r="U8" s="4" t="b">
        <f>AND(((S8)=TRUE), ((T8)=TRUE))</f>
        <v>0</v>
      </c>
      <c r="V8" s="4" t="b">
        <f>NOT(((O8 = U8)=TRUE))</f>
        <v>0</v>
      </c>
      <c r="W8" s="4" t="b">
        <f>AND(((G8)=TRUE), ((NOT(((U8)=TRUE)))=TRUE))</f>
        <v>1</v>
      </c>
      <c r="X8" s="4">
        <f>L8</f>
        <v>0</v>
      </c>
      <c r="Y8" s="4" t="b">
        <f>AND(((O8)=TRUE), ((X8 = 0)=TRUE))</f>
        <v>0</v>
      </c>
      <c r="Z8" s="4">
        <f>H8</f>
        <v>1</v>
      </c>
      <c r="AA8" s="4" t="b">
        <f>Z8 &gt;= AB8</f>
        <v>1</v>
      </c>
      <c r="AB8" s="8"/>
      <c r="AC8" s="4" t="b">
        <f>AND(((Y8)=TRUE), ((NOT(((AA8)=TRUE)))=TRUE))</f>
        <v>0</v>
      </c>
      <c r="AD8" s="4" t="b">
        <f>AND(((Y8)=TRUE), ((AA8)=TRUE))</f>
        <v>0</v>
      </c>
      <c r="AE8" s="4" t="str">
        <f>IF(((NOT(((J8)=TRUE)))=TRUE),  "Decorative",  IF(((NOT(((K8)=TRUE)))=TRUE),  "Inoperative",  IF(((NOT(((O8)=TRUE)))=TRUE),  "Asserted",  IF(((X8 &gt; 0)=TRUE),  "Demonstrated",  IF(((AA8)=TRUE),  "Holding",  "Untested")))))</f>
        <v>Asserted</v>
      </c>
      <c r="AF8" s="4">
        <f>COUNTIFS(StepRequirements!M2:M16, A8)</f>
        <v>1</v>
      </c>
      <c r="AG8" s="4" t="b">
        <f>AND(((O8)=TRUE), ((AF8 &gt; 0)=TRUE))</f>
        <v>0</v>
      </c>
      <c r="AH8" s="3"/>
      <c r="AI8" s="4" t="str">
        <f>_xlfn.IFNA(IF(((INDEX(Roles!E2:E13, MATCH(AH8,Roles!A2:A13, 0))="")=TRUE),  "",  INDEX(Roles!E2:E13, MATCH(AH8,Roles!A2:A13, 0))), "")</f>
      </c>
      <c r="AJ8" s="4" t="b">
        <f>AH8 &lt;&gt; ""</f>
        <v>0</v>
      </c>
      <c r="AK8" s="4" t="b">
        <f>AND(((G8)=TRUE), ((NOT(((AJ8)=TRUE)))=TRUE))</f>
        <v>1</v>
      </c>
      <c r="AL8" s="4" t="b">
        <f>AND(((G8)=TRUE), ((NOT(((O8)=TRUE)))=TRUE), ((NOT(((AJ8)=TRUE)))=TRUE))</f>
        <v>1</v>
      </c>
      <c r="AM8" s="4" t="str">
        <f>IF(((NOT(((G8)=TRUE)))=TRUE),  "",  IF(((AL8)=TRUE),  "Unwatched and unowned: exposure defaults to the signatory.",  IF(((AK8)=TRUE),  "Witnessed but unowned: no named accountability.",  IF(((NOT(((O8)=TRUE)))=TRUE),  "Owned but unwitnessed: rests on human judgement.",  ""))))</f>
        <v>Unwatched and unowned: exposure defaults to the signatory.</v>
      </c>
      <c r="AN8" s="4" t="str">
        <f>IF(((AL8)=TRUE),  "unwatched-unowned",  "")</f>
        <v>unwatched-unowned</v>
      </c>
      <c r="AO8" s="3" t="s">
        <v>881</v>
      </c>
      <c r="AP8" s="4" t="b">
        <f>AO8 &lt;&gt; ""</f>
        <v>1</v>
      </c>
      <c r="AQ8" s="3" t="s">
        <v>846</v>
      </c>
    </row>
    <row r="9">
      <c r="A9" s="3" t="s">
        <v>882</v>
      </c>
      <c r="B9" s="4" t="str">
        <f>C9</f>
        <v>Human meaning approval</v>
      </c>
      <c r="C9" s="3" t="s">
        <v>883</v>
      </c>
      <c r="D9" s="3" t="s">
        <v>490</v>
      </c>
      <c r="E9" s="3" t="s">
        <v>884</v>
      </c>
      <c r="F9" s="3" t="s">
        <v>885</v>
      </c>
      <c r="G9" s="3" t="b">
        <v>1</v>
      </c>
      <c r="H9" s="4">
        <f>COUNTIFS(RequirementSatisfactions!D2:D9, A9)</f>
        <v>0</v>
      </c>
      <c r="I9" s="4">
        <f>COUNTIFS(StepRequirements!D2:D16, A9)</f>
        <v>1</v>
      </c>
      <c r="J9" s="4" t="b">
        <f>I9 &gt; 0</f>
        <v>1</v>
      </c>
      <c r="K9" s="4" t="b">
        <f>H9 &gt; 0</f>
        <v>0</v>
      </c>
      <c r="L9" s="4">
        <f>COUNTIFS(RequirementSatisfactions!N2:N9, A9)</f>
        <v>0</v>
      </c>
      <c r="M9" s="4" t="b">
        <f>AND(((G9)=TRUE), ((J9)=TRUE), ((NOT(((K9)=TRUE)))=TRUE))</f>
        <v>1</v>
      </c>
      <c r="N9" s="4" t="b">
        <f>AND(((G9)=TRUE), ((NOT(((J9)=TRUE)))=TRUE))</f>
        <v>0</v>
      </c>
      <c r="O9" s="3" t="b">
        <v>0</v>
      </c>
      <c r="P9" s="3"/>
      <c r="Q9" s="4" t="b">
        <f>L9 &gt; 0</f>
        <v>0</v>
      </c>
      <c r="R9" s="4" t="b">
        <f>AND(((G9)=TRUE), ((K9)=TRUE), ((NOT(((Q9)=TRUE)))=TRUE))</f>
        <v>0</v>
      </c>
      <c r="S9" s="4" t="b">
        <f>P9 &lt;&gt; ""</f>
        <v>0</v>
      </c>
      <c r="T9" s="4" t="str">
        <f>_xlfn.IFNA(IF(((INDEX(RulebookFields!I2:I1898, MATCH(P9,RulebookFields!A2:A1898, 0))="")=TRUE),  "",  INDEX(RulebookFields!I2:I1898, MATCH(P9,RulebookFields!A2:A1898, 0))), "")</f>
      </c>
      <c r="U9" s="4" t="b">
        <f>AND(((S9)=TRUE), ((T9)=TRUE))</f>
        <v>0</v>
      </c>
      <c r="V9" s="4" t="b">
        <f>NOT(((O9 = U9)=TRUE))</f>
        <v>0</v>
      </c>
      <c r="W9" s="4" t="b">
        <f>AND(((G9)=TRUE), ((NOT(((U9)=TRUE)))=TRUE))</f>
        <v>1</v>
      </c>
      <c r="X9" s="4">
        <f>L9</f>
        <v>0</v>
      </c>
      <c r="Y9" s="4" t="b">
        <f>AND(((O9)=TRUE), ((X9 = 0)=TRUE))</f>
        <v>0</v>
      </c>
      <c r="Z9" s="4">
        <f>H9</f>
        <v>0</v>
      </c>
      <c r="AA9" s="4" t="b">
        <f>Z9 &gt;= AB9</f>
        <v>1</v>
      </c>
      <c r="AB9" s="8"/>
      <c r="AC9" s="4" t="b">
        <f>AND(((Y9)=TRUE), ((NOT(((AA9)=TRUE)))=TRUE))</f>
        <v>0</v>
      </c>
      <c r="AD9" s="4" t="b">
        <f>AND(((Y9)=TRUE), ((AA9)=TRUE))</f>
        <v>0</v>
      </c>
      <c r="AE9" s="4" t="str">
        <f>IF(((NOT(((J9)=TRUE)))=TRUE),  "Decorative",  IF(((NOT(((K9)=TRUE)))=TRUE),  "Inoperative",  IF(((NOT(((O9)=TRUE)))=TRUE),  "Asserted",  IF(((X9 &gt; 0)=TRUE),  "Demonstrated",  IF(((AA9)=TRUE),  "Holding",  "Untested")))))</f>
        <v>Inoperative</v>
      </c>
      <c r="AF9" s="4">
        <f>COUNTIFS(StepRequirements!M2:M16, A9)</f>
        <v>1</v>
      </c>
      <c r="AG9" s="4" t="b">
        <f>AND(((O9)=TRUE), ((AF9 &gt; 0)=TRUE))</f>
        <v>0</v>
      </c>
      <c r="AH9" s="3"/>
      <c r="AI9" s="4" t="str">
        <f>_xlfn.IFNA(IF(((INDEX(Roles!E2:E13, MATCH(AH9,Roles!A2:A13, 0))="")=TRUE),  "",  INDEX(Roles!E2:E13, MATCH(AH9,Roles!A2:A13, 0))), "")</f>
      </c>
      <c r="AJ9" s="4" t="b">
        <f>AH9 &lt;&gt; ""</f>
        <v>0</v>
      </c>
      <c r="AK9" s="4" t="b">
        <f>AND(((G9)=TRUE), ((NOT(((AJ9)=TRUE)))=TRUE))</f>
        <v>1</v>
      </c>
      <c r="AL9" s="4" t="b">
        <f>AND(((G9)=TRUE), ((NOT(((O9)=TRUE)))=TRUE), ((NOT(((AJ9)=TRUE)))=TRUE))</f>
        <v>1</v>
      </c>
      <c r="AM9" s="4" t="str">
        <f>IF(((NOT(((G9)=TRUE)))=TRUE),  "",  IF(((AL9)=TRUE),  "Unwatched and unowned: exposure defaults to the signatory.",  IF(((AK9)=TRUE),  "Witnessed but unowned: no named accountability.",  IF(((NOT(((O9)=TRUE)))=TRUE),  "Owned but unwitnessed: rests on human judgement.",  ""))))</f>
        <v>Unwatched and unowned: exposure defaults to the signatory.</v>
      </c>
      <c r="AN9" s="4" t="str">
        <f>IF(((AL9)=TRUE),  "unwatched-unowned",  "")</f>
        <v>unwatched-unowned</v>
      </c>
      <c r="AO9" s="3"/>
      <c r="AP9" s="4" t="b">
        <f>AO9 &lt;&gt; ""</f>
        <v>0</v>
      </c>
      <c r="AQ9" s="3" t="s">
        <v>846</v>
      </c>
    </row>
    <row r="10">
      <c r="A10" s="3" t="s">
        <v>886</v>
      </c>
      <c r="B10" s="4" t="str">
        <f>C10</f>
        <v>SMS consent required</v>
      </c>
      <c r="C10" s="3" t="s">
        <v>887</v>
      </c>
      <c r="D10" s="3" t="s">
        <v>888</v>
      </c>
      <c r="E10" s="3" t="s">
        <v>889</v>
      </c>
      <c r="F10" s="3" t="s">
        <v>890</v>
      </c>
      <c r="G10" s="3" t="b">
        <v>1</v>
      </c>
      <c r="H10" s="4">
        <f>COUNTIFS(RequirementSatisfactions!D2:D9, A10)</f>
        <v>0</v>
      </c>
      <c r="I10" s="4">
        <f>COUNTIFS(StepRequirements!D2:D16, A10)</f>
        <v>1</v>
      </c>
      <c r="J10" s="4" t="b">
        <f>I10 &gt; 0</f>
        <v>1</v>
      </c>
      <c r="K10" s="4" t="b">
        <f>H10 &gt; 0</f>
        <v>0</v>
      </c>
      <c r="L10" s="4">
        <f>COUNTIFS(RequirementSatisfactions!N2:N9, A10)</f>
        <v>0</v>
      </c>
      <c r="M10" s="4" t="b">
        <f>AND(((G10)=TRUE), ((J10)=TRUE), ((NOT(((K10)=TRUE)))=TRUE))</f>
        <v>1</v>
      </c>
      <c r="N10" s="4" t="b">
        <f>AND(((G10)=TRUE), ((NOT(((J10)=TRUE)))=TRUE))</f>
        <v>0</v>
      </c>
      <c r="O10" s="3" t="b">
        <v>0</v>
      </c>
      <c r="P10" s="3"/>
      <c r="Q10" s="4" t="b">
        <f>L10 &gt; 0</f>
        <v>0</v>
      </c>
      <c r="R10" s="4" t="b">
        <f>AND(((G10)=TRUE), ((K10)=TRUE), ((NOT(((Q10)=TRUE)))=TRUE))</f>
        <v>0</v>
      </c>
      <c r="S10" s="4" t="b">
        <f>P10 &lt;&gt; ""</f>
        <v>0</v>
      </c>
      <c r="T10" s="4" t="str">
        <f>_xlfn.IFNA(IF(((INDEX(RulebookFields!I2:I1898, MATCH(P10,RulebookFields!A2:A1898, 0))="")=TRUE),  "",  INDEX(RulebookFields!I2:I1898, MATCH(P10,RulebookFields!A2:A1898, 0))), "")</f>
      </c>
      <c r="U10" s="4" t="b">
        <f>AND(((S10)=TRUE), ((T10)=TRUE))</f>
        <v>0</v>
      </c>
      <c r="V10" s="4" t="b">
        <f>NOT(((O10 = U10)=TRUE))</f>
        <v>0</v>
      </c>
      <c r="W10" s="4" t="b">
        <f>AND(((G10)=TRUE), ((NOT(((U10)=TRUE)))=TRUE))</f>
        <v>1</v>
      </c>
      <c r="X10" s="4">
        <f>L10</f>
        <v>0</v>
      </c>
      <c r="Y10" s="4" t="b">
        <f>AND(((O10)=TRUE), ((X10 = 0)=TRUE))</f>
        <v>0</v>
      </c>
      <c r="Z10" s="4">
        <f>H10</f>
        <v>0</v>
      </c>
      <c r="AA10" s="4" t="b">
        <f>Z10 &gt;= AB10</f>
        <v>1</v>
      </c>
      <c r="AB10" s="8"/>
      <c r="AC10" s="4" t="b">
        <f>AND(((Y10)=TRUE), ((NOT(((AA10)=TRUE)))=TRUE))</f>
        <v>0</v>
      </c>
      <c r="AD10" s="4" t="b">
        <f>AND(((Y10)=TRUE), ((AA10)=TRUE))</f>
        <v>0</v>
      </c>
      <c r="AE10" s="4" t="str">
        <f>IF(((NOT(((J10)=TRUE)))=TRUE),  "Decorative",  IF(((NOT(((K10)=TRUE)))=TRUE),  "Inoperative",  IF(((NOT(((O10)=TRUE)))=TRUE),  "Asserted",  IF(((X10 &gt; 0)=TRUE),  "Demonstrated",  IF(((AA10)=TRUE),  "Holding",  "Untested")))))</f>
        <v>Inoperative</v>
      </c>
      <c r="AF10" s="4">
        <f>COUNTIFS(StepRequirements!M2:M16, A10)</f>
        <v>1</v>
      </c>
      <c r="AG10" s="4" t="b">
        <f>AND(((O10)=TRUE), ((AF10 &gt; 0)=TRUE))</f>
        <v>0</v>
      </c>
      <c r="AH10" s="3"/>
      <c r="AI10" s="4" t="str">
        <f>_xlfn.IFNA(IF(((INDEX(Roles!E2:E13, MATCH(AH10,Roles!A2:A13, 0))="")=TRUE),  "",  INDEX(Roles!E2:E13, MATCH(AH10,Roles!A2:A13, 0))), "")</f>
      </c>
      <c r="AJ10" s="4" t="b">
        <f>AH10 &lt;&gt; ""</f>
        <v>0</v>
      </c>
      <c r="AK10" s="4" t="b">
        <f>AND(((G10)=TRUE), ((NOT(((AJ10)=TRUE)))=TRUE))</f>
        <v>1</v>
      </c>
      <c r="AL10" s="4" t="b">
        <f>AND(((G10)=TRUE), ((NOT(((O10)=TRUE)))=TRUE), ((NOT(((AJ10)=TRUE)))=TRUE))</f>
        <v>1</v>
      </c>
      <c r="AM10" s="4" t="str">
        <f>IF(((NOT(((G10)=TRUE)))=TRUE),  "",  IF(((AL10)=TRUE),  "Unwatched and unowned: exposure defaults to the signatory.",  IF(((AK10)=TRUE),  "Witnessed but unowned: no named accountability.",  IF(((NOT(((O10)=TRUE)))=TRUE),  "Owned but unwitnessed: rests on human judgement.",  ""))))</f>
        <v>Unwatched and unowned: exposure defaults to the signatory.</v>
      </c>
      <c r="AN10" s="4" t="str">
        <f>IF(((AL10)=TRUE),  "unwatched-unowned",  "")</f>
        <v>unwatched-unowned</v>
      </c>
      <c r="AO10" s="3" t="s">
        <v>891</v>
      </c>
      <c r="AP10" s="4" t="b">
        <f>AO10 &lt;&gt; ""</f>
        <v>1</v>
      </c>
      <c r="AQ10" s="3" t="s">
        <v>846</v>
      </c>
    </row>
    <row r="11">
      <c r="A11" s="3" t="s">
        <v>892</v>
      </c>
      <c r="B11" s="4" t="str">
        <f>C11</f>
        <v>Quiet hours enforced</v>
      </c>
      <c r="C11" s="3" t="s">
        <v>893</v>
      </c>
      <c r="D11" s="3" t="s">
        <v>894</v>
      </c>
      <c r="E11" s="3" t="s">
        <v>895</v>
      </c>
      <c r="F11" s="3" t="s">
        <v>896</v>
      </c>
      <c r="G11" s="3" t="b">
        <v>1</v>
      </c>
      <c r="H11" s="4">
        <f>COUNTIFS(RequirementSatisfactions!D2:D9, A11)</f>
        <v>0</v>
      </c>
      <c r="I11" s="4">
        <f>COUNTIFS(StepRequirements!D2:D16, A11)</f>
        <v>1</v>
      </c>
      <c r="J11" s="4" t="b">
        <f>I11 &gt; 0</f>
        <v>1</v>
      </c>
      <c r="K11" s="4" t="b">
        <f>H11 &gt; 0</f>
        <v>0</v>
      </c>
      <c r="L11" s="4">
        <f>COUNTIFS(RequirementSatisfactions!N2:N9, A11)</f>
        <v>0</v>
      </c>
      <c r="M11" s="4" t="b">
        <f>AND(((G11)=TRUE), ((J11)=TRUE), ((NOT(((K11)=TRUE)))=TRUE))</f>
        <v>1</v>
      </c>
      <c r="N11" s="4" t="b">
        <f>AND(((G11)=TRUE), ((NOT(((J11)=TRUE)))=TRUE))</f>
        <v>0</v>
      </c>
      <c r="O11" s="3" t="b">
        <v>0</v>
      </c>
      <c r="P11" s="3"/>
      <c r="Q11" s="4" t="b">
        <f>L11 &gt; 0</f>
        <v>0</v>
      </c>
      <c r="R11" s="4" t="b">
        <f>AND(((G11)=TRUE), ((K11)=TRUE), ((NOT(((Q11)=TRUE)))=TRUE))</f>
        <v>0</v>
      </c>
      <c r="S11" s="4" t="b">
        <f>P11 &lt;&gt; ""</f>
        <v>0</v>
      </c>
      <c r="T11" s="4" t="str">
        <f>_xlfn.IFNA(IF(((INDEX(RulebookFields!I2:I1898, MATCH(P11,RulebookFields!A2:A1898, 0))="")=TRUE),  "",  INDEX(RulebookFields!I2:I1898, MATCH(P11,RulebookFields!A2:A1898, 0))), "")</f>
      </c>
      <c r="U11" s="4" t="b">
        <f>AND(((S11)=TRUE), ((T11)=TRUE))</f>
        <v>0</v>
      </c>
      <c r="V11" s="4" t="b">
        <f>NOT(((O11 = U11)=TRUE))</f>
        <v>0</v>
      </c>
      <c r="W11" s="4" t="b">
        <f>AND(((G11)=TRUE), ((NOT(((U11)=TRUE)))=TRUE))</f>
        <v>1</v>
      </c>
      <c r="X11" s="4">
        <f>L11</f>
        <v>0</v>
      </c>
      <c r="Y11" s="4" t="b">
        <f>AND(((O11)=TRUE), ((X11 = 0)=TRUE))</f>
        <v>0</v>
      </c>
      <c r="Z11" s="4">
        <f>H11</f>
        <v>0</v>
      </c>
      <c r="AA11" s="4" t="b">
        <f>Z11 &gt;= AB11</f>
        <v>1</v>
      </c>
      <c r="AB11" s="8"/>
      <c r="AC11" s="4" t="b">
        <f>AND(((Y11)=TRUE), ((NOT(((AA11)=TRUE)))=TRUE))</f>
        <v>0</v>
      </c>
      <c r="AD11" s="4" t="b">
        <f>AND(((Y11)=TRUE), ((AA11)=TRUE))</f>
        <v>0</v>
      </c>
      <c r="AE11" s="4" t="str">
        <f>IF(((NOT(((J11)=TRUE)))=TRUE),  "Decorative",  IF(((NOT(((K11)=TRUE)))=TRUE),  "Inoperative",  IF(((NOT(((O11)=TRUE)))=TRUE),  "Asserted",  IF(((X11 &gt; 0)=TRUE),  "Demonstrated",  IF(((AA11)=TRUE),  "Holding",  "Untested")))))</f>
        <v>Inoperative</v>
      </c>
      <c r="AF11" s="4">
        <f>COUNTIFS(StepRequirements!M2:M16, A11)</f>
        <v>1</v>
      </c>
      <c r="AG11" s="4" t="b">
        <f>AND(((O11)=TRUE), ((AF11 &gt; 0)=TRUE))</f>
        <v>0</v>
      </c>
      <c r="AH11" s="3"/>
      <c r="AI11" s="4" t="str">
        <f>_xlfn.IFNA(IF(((INDEX(Roles!E2:E13, MATCH(AH11,Roles!A2:A13, 0))="")=TRUE),  "",  INDEX(Roles!E2:E13, MATCH(AH11,Roles!A2:A13, 0))), "")</f>
      </c>
      <c r="AJ11" s="4" t="b">
        <f>AH11 &lt;&gt; ""</f>
        <v>0</v>
      </c>
      <c r="AK11" s="4" t="b">
        <f>AND(((G11)=TRUE), ((NOT(((AJ11)=TRUE)))=TRUE))</f>
        <v>1</v>
      </c>
      <c r="AL11" s="4" t="b">
        <f>AND(((G11)=TRUE), ((NOT(((O11)=TRUE)))=TRUE), ((NOT(((AJ11)=TRUE)))=TRUE))</f>
        <v>1</v>
      </c>
      <c r="AM11" s="4" t="str">
        <f>IF(((NOT(((G11)=TRUE)))=TRUE),  "",  IF(((AL11)=TRUE),  "Unwatched and unowned: exposure defaults to the signatory.",  IF(((AK11)=TRUE),  "Witnessed but unowned: no named accountability.",  IF(((NOT(((O11)=TRUE)))=TRUE),  "Owned but unwitnessed: rests on human judgement.",  ""))))</f>
        <v>Unwatched and unowned: exposure defaults to the signatory.</v>
      </c>
      <c r="AN11" s="4" t="str">
        <f>IF(((AL11)=TRUE),  "unwatched-unowned",  "")</f>
        <v>unwatched-unowned</v>
      </c>
      <c r="AO11" s="3" t="s">
        <v>897</v>
      </c>
      <c r="AP11" s="4" t="b">
        <f>AO11 &lt;&gt; ""</f>
        <v>1</v>
      </c>
      <c r="AQ11" s="3" t="s">
        <v>846</v>
      </c>
    </row>
    <row r="12">
      <c r="A12" s="3" t="s">
        <v>898</v>
      </c>
      <c r="B12" s="4" t="str">
        <f>C12</f>
        <v>Opt-out text required</v>
      </c>
      <c r="C12" s="3" t="s">
        <v>899</v>
      </c>
      <c r="D12" s="3" t="s">
        <v>894</v>
      </c>
      <c r="E12" s="3" t="s">
        <v>900</v>
      </c>
      <c r="F12" s="3" t="s">
        <v>901</v>
      </c>
      <c r="G12" s="3" t="b">
        <v>1</v>
      </c>
      <c r="H12" s="4">
        <f>COUNTIFS(RequirementSatisfactions!D2:D9, A12)</f>
        <v>0</v>
      </c>
      <c r="I12" s="4">
        <f>COUNTIFS(StepRequirements!D2:D16, A12)</f>
        <v>1</v>
      </c>
      <c r="J12" s="4" t="b">
        <f>I12 &gt; 0</f>
        <v>1</v>
      </c>
      <c r="K12" s="4" t="b">
        <f>H12 &gt; 0</f>
        <v>0</v>
      </c>
      <c r="L12" s="4">
        <f>COUNTIFS(RequirementSatisfactions!N2:N9, A12)</f>
        <v>0</v>
      </c>
      <c r="M12" s="4" t="b">
        <f>AND(((G12)=TRUE), ((J12)=TRUE), ((NOT(((K12)=TRUE)))=TRUE))</f>
        <v>1</v>
      </c>
      <c r="N12" s="4" t="b">
        <f>AND(((G12)=TRUE), ((NOT(((J12)=TRUE)))=TRUE))</f>
        <v>0</v>
      </c>
      <c r="O12" s="3" t="b">
        <v>0</v>
      </c>
      <c r="P12" s="3"/>
      <c r="Q12" s="4" t="b">
        <f>L12 &gt; 0</f>
        <v>0</v>
      </c>
      <c r="R12" s="4" t="b">
        <f>AND(((G12)=TRUE), ((K12)=TRUE), ((NOT(((Q12)=TRUE)))=TRUE))</f>
        <v>0</v>
      </c>
      <c r="S12" s="4" t="b">
        <f>P12 &lt;&gt; ""</f>
        <v>0</v>
      </c>
      <c r="T12" s="4" t="str">
        <f>_xlfn.IFNA(IF(((INDEX(RulebookFields!I2:I1898, MATCH(P12,RulebookFields!A2:A1898, 0))="")=TRUE),  "",  INDEX(RulebookFields!I2:I1898, MATCH(P12,RulebookFields!A2:A1898, 0))), "")</f>
      </c>
      <c r="U12" s="4" t="b">
        <f>AND(((S12)=TRUE), ((T12)=TRUE))</f>
        <v>0</v>
      </c>
      <c r="V12" s="4" t="b">
        <f>NOT(((O12 = U12)=TRUE))</f>
        <v>0</v>
      </c>
      <c r="W12" s="4" t="b">
        <f>AND(((G12)=TRUE), ((NOT(((U12)=TRUE)))=TRUE))</f>
        <v>1</v>
      </c>
      <c r="X12" s="4">
        <f>L12</f>
        <v>0</v>
      </c>
      <c r="Y12" s="4" t="b">
        <f>AND(((O12)=TRUE), ((X12 = 0)=TRUE))</f>
        <v>0</v>
      </c>
      <c r="Z12" s="4">
        <f>H12</f>
        <v>0</v>
      </c>
      <c r="AA12" s="4" t="b">
        <f>Z12 &gt;= AB12</f>
        <v>1</v>
      </c>
      <c r="AB12" s="8"/>
      <c r="AC12" s="4" t="b">
        <f>AND(((Y12)=TRUE), ((NOT(((AA12)=TRUE)))=TRUE))</f>
        <v>0</v>
      </c>
      <c r="AD12" s="4" t="b">
        <f>AND(((Y12)=TRUE), ((AA12)=TRUE))</f>
        <v>0</v>
      </c>
      <c r="AE12" s="4" t="str">
        <f>IF(((NOT(((J12)=TRUE)))=TRUE),  "Decorative",  IF(((NOT(((K12)=TRUE)))=TRUE),  "Inoperative",  IF(((NOT(((O12)=TRUE)))=TRUE),  "Asserted",  IF(((X12 &gt; 0)=TRUE),  "Demonstrated",  IF(((AA12)=TRUE),  "Holding",  "Untested")))))</f>
        <v>Inoperative</v>
      </c>
      <c r="AF12" s="4">
        <f>COUNTIFS(StepRequirements!M2:M16, A12)</f>
        <v>1</v>
      </c>
      <c r="AG12" s="4" t="b">
        <f>AND(((O12)=TRUE), ((AF12 &gt; 0)=TRUE))</f>
        <v>0</v>
      </c>
      <c r="AH12" s="3"/>
      <c r="AI12" s="4" t="str">
        <f>_xlfn.IFNA(IF(((INDEX(Roles!E2:E13, MATCH(AH12,Roles!A2:A13, 0))="")=TRUE),  "",  INDEX(Roles!E2:E13, MATCH(AH12,Roles!A2:A13, 0))), "")</f>
      </c>
      <c r="AJ12" s="4" t="b">
        <f>AH12 &lt;&gt; ""</f>
        <v>0</v>
      </c>
      <c r="AK12" s="4" t="b">
        <f>AND(((G12)=TRUE), ((NOT(((AJ12)=TRUE)))=TRUE))</f>
        <v>1</v>
      </c>
      <c r="AL12" s="4" t="b">
        <f>AND(((G12)=TRUE), ((NOT(((O12)=TRUE)))=TRUE), ((NOT(((AJ12)=TRUE)))=TRUE))</f>
        <v>1</v>
      </c>
      <c r="AM12" s="4" t="str">
        <f>IF(((NOT(((G12)=TRUE)))=TRUE),  "",  IF(((AL12)=TRUE),  "Unwatched and unowned: exposure defaults to the signatory.",  IF(((AK12)=TRUE),  "Witnessed but unowned: no named accountability.",  IF(((NOT(((O12)=TRUE)))=TRUE),  "Owned but unwitnessed: rests on human judgement.",  ""))))</f>
        <v>Unwatched and unowned: exposure defaults to the signatory.</v>
      </c>
      <c r="AN12" s="4" t="str">
        <f>IF(((AL12)=TRUE),  "unwatched-unowned",  "")</f>
        <v>unwatched-unowned</v>
      </c>
      <c r="AO12" s="3" t="s">
        <v>902</v>
      </c>
      <c r="AP12" s="4" t="b">
        <f>AO12 &lt;&gt; ""</f>
        <v>1</v>
      </c>
      <c r="AQ12" s="3" t="s">
        <v>846</v>
      </c>
    </row>
    <row r="13">
      <c r="A13" s="3" t="s">
        <v>903</v>
      </c>
      <c r="B13" s="4" t="str">
        <f>C13</f>
        <v>Communication evidence retention</v>
      </c>
      <c r="C13" s="3" t="s">
        <v>904</v>
      </c>
      <c r="D13" s="3" t="s">
        <v>862</v>
      </c>
      <c r="E13" s="3" t="s">
        <v>905</v>
      </c>
      <c r="F13" s="3" t="s">
        <v>906</v>
      </c>
      <c r="G13" s="3" t="b">
        <v>1</v>
      </c>
      <c r="H13" s="4">
        <f>COUNTIFS(RequirementSatisfactions!D2:D9, A13)</f>
        <v>0</v>
      </c>
      <c r="I13" s="4">
        <f>COUNTIFS(StepRequirements!D2:D16, A13)</f>
        <v>2</v>
      </c>
      <c r="J13" s="4" t="b">
        <f>I13 &gt; 0</f>
        <v>1</v>
      </c>
      <c r="K13" s="4" t="b">
        <f>H13 &gt; 0</f>
        <v>0</v>
      </c>
      <c r="L13" s="4">
        <f>COUNTIFS(RequirementSatisfactions!N2:N9, A13)</f>
        <v>0</v>
      </c>
      <c r="M13" s="4" t="b">
        <f>AND(((G13)=TRUE), ((J13)=TRUE), ((NOT(((K13)=TRUE)))=TRUE))</f>
        <v>1</v>
      </c>
      <c r="N13" s="4" t="b">
        <f>AND(((G13)=TRUE), ((NOT(((J13)=TRUE)))=TRUE))</f>
        <v>0</v>
      </c>
      <c r="O13" s="3" t="b">
        <v>0</v>
      </c>
      <c r="P13" s="3"/>
      <c r="Q13" s="4" t="b">
        <f>L13 &gt; 0</f>
        <v>0</v>
      </c>
      <c r="R13" s="4" t="b">
        <f>AND(((G13)=TRUE), ((K13)=TRUE), ((NOT(((Q13)=TRUE)))=TRUE))</f>
        <v>0</v>
      </c>
      <c r="S13" s="4" t="b">
        <f>P13 &lt;&gt; ""</f>
        <v>0</v>
      </c>
      <c r="T13" s="4" t="str">
        <f>_xlfn.IFNA(IF(((INDEX(RulebookFields!I2:I1898, MATCH(P13,RulebookFields!A2:A1898, 0))="")=TRUE),  "",  INDEX(RulebookFields!I2:I1898, MATCH(P13,RulebookFields!A2:A1898, 0))), "")</f>
      </c>
      <c r="U13" s="4" t="b">
        <f>AND(((S13)=TRUE), ((T13)=TRUE))</f>
        <v>0</v>
      </c>
      <c r="V13" s="4" t="b">
        <f>NOT(((O13 = U13)=TRUE))</f>
        <v>0</v>
      </c>
      <c r="W13" s="4" t="b">
        <f>AND(((G13)=TRUE), ((NOT(((U13)=TRUE)))=TRUE))</f>
        <v>1</v>
      </c>
      <c r="X13" s="4">
        <f>L13</f>
        <v>0</v>
      </c>
      <c r="Y13" s="4" t="b">
        <f>AND(((O13)=TRUE), ((X13 = 0)=TRUE))</f>
        <v>0</v>
      </c>
      <c r="Z13" s="4">
        <f>H13</f>
        <v>0</v>
      </c>
      <c r="AA13" s="4" t="b">
        <f>Z13 &gt;= AB13</f>
        <v>1</v>
      </c>
      <c r="AB13" s="8"/>
      <c r="AC13" s="4" t="b">
        <f>AND(((Y13)=TRUE), ((NOT(((AA13)=TRUE)))=TRUE))</f>
        <v>0</v>
      </c>
      <c r="AD13" s="4" t="b">
        <f>AND(((Y13)=TRUE), ((AA13)=TRUE))</f>
        <v>0</v>
      </c>
      <c r="AE13" s="4" t="str">
        <f>IF(((NOT(((J13)=TRUE)))=TRUE),  "Decorative",  IF(((NOT(((K13)=TRUE)))=TRUE),  "Inoperative",  IF(((NOT(((O13)=TRUE)))=TRUE),  "Asserted",  IF(((X13 &gt; 0)=TRUE),  "Demonstrated",  IF(((AA13)=TRUE),  "Holding",  "Untested")))))</f>
        <v>Inoperative</v>
      </c>
      <c r="AF13" s="4">
        <f>COUNTIFS(StepRequirements!M2:M16, A13)</f>
        <v>2</v>
      </c>
      <c r="AG13" s="4" t="b">
        <f>AND(((O13)=TRUE), ((AF13 &gt; 0)=TRUE))</f>
        <v>0</v>
      </c>
      <c r="AH13" s="3"/>
      <c r="AI13" s="4" t="str">
        <f>_xlfn.IFNA(IF(((INDEX(Roles!E2:E13, MATCH(AH13,Roles!A2:A13, 0))="")=TRUE),  "",  INDEX(Roles!E2:E13, MATCH(AH13,Roles!A2:A13, 0))), "")</f>
      </c>
      <c r="AJ13" s="4" t="b">
        <f>AH13 &lt;&gt; ""</f>
        <v>0</v>
      </c>
      <c r="AK13" s="4" t="b">
        <f>AND(((G13)=TRUE), ((NOT(((AJ13)=TRUE)))=TRUE))</f>
        <v>1</v>
      </c>
      <c r="AL13" s="4" t="b">
        <f>AND(((G13)=TRUE), ((NOT(((O13)=TRUE)))=TRUE), ((NOT(((AJ13)=TRUE)))=TRUE))</f>
        <v>1</v>
      </c>
      <c r="AM13" s="4" t="str">
        <f>IF(((NOT(((G13)=TRUE)))=TRUE),  "",  IF(((AL13)=TRUE),  "Unwatched and unowned: exposure defaults to the signatory.",  IF(((AK13)=TRUE),  "Witnessed but unowned: no named accountability.",  IF(((NOT(((O13)=TRUE)))=TRUE),  "Owned but unwitnessed: rests on human judgement.",  ""))))</f>
        <v>Unwatched and unowned: exposure defaults to the signatory.</v>
      </c>
      <c r="AN13" s="4" t="str">
        <f>IF(((AL13)=TRUE),  "unwatched-unowned",  "")</f>
        <v>unwatched-unowned</v>
      </c>
      <c r="AO13" s="3" t="s">
        <v>866</v>
      </c>
      <c r="AP13" s="4" t="b">
        <f>AO13 &lt;&gt; ""</f>
        <v>1</v>
      </c>
      <c r="AQ13" s="3" t="s">
        <v>846</v>
      </c>
    </row>
    <row r="14">
      <c r="A14" s="3" t="s">
        <v>907</v>
      </c>
      <c r="B14" s="4" t="str">
        <f>C14</f>
        <v>Plain-language and accessibility</v>
      </c>
      <c r="C14" s="3" t="s">
        <v>908</v>
      </c>
      <c r="D14" s="3" t="s">
        <v>909</v>
      </c>
      <c r="E14" s="3" t="s">
        <v>910</v>
      </c>
      <c r="F14" s="3" t="s">
        <v>911</v>
      </c>
      <c r="G14" s="3" t="b">
        <v>1</v>
      </c>
      <c r="H14" s="4">
        <f>COUNTIFS(RequirementSatisfactions!D2:D9, A14)</f>
        <v>0</v>
      </c>
      <c r="I14" s="4">
        <f>COUNTIFS(StepRequirements!D2:D16, A14)</f>
        <v>1</v>
      </c>
      <c r="J14" s="4" t="b">
        <f>I14 &gt; 0</f>
        <v>1</v>
      </c>
      <c r="K14" s="4" t="b">
        <f>H14 &gt; 0</f>
        <v>0</v>
      </c>
      <c r="L14" s="4">
        <f>COUNTIFS(RequirementSatisfactions!N2:N9, A14)</f>
        <v>0</v>
      </c>
      <c r="M14" s="4" t="b">
        <f>AND(((G14)=TRUE), ((J14)=TRUE), ((NOT(((K14)=TRUE)))=TRUE))</f>
        <v>1</v>
      </c>
      <c r="N14" s="4" t="b">
        <f>AND(((G14)=TRUE), ((NOT(((J14)=TRUE)))=TRUE))</f>
        <v>0</v>
      </c>
      <c r="O14" s="3" t="b">
        <v>0</v>
      </c>
      <c r="P14" s="3"/>
      <c r="Q14" s="4" t="b">
        <f>L14 &gt; 0</f>
        <v>0</v>
      </c>
      <c r="R14" s="4" t="b">
        <f>AND(((G14)=TRUE), ((K14)=TRUE), ((NOT(((Q14)=TRUE)))=TRUE))</f>
        <v>0</v>
      </c>
      <c r="S14" s="4" t="b">
        <f>P14 &lt;&gt; ""</f>
        <v>0</v>
      </c>
      <c r="T14" s="4" t="str">
        <f>_xlfn.IFNA(IF(((INDEX(RulebookFields!I2:I1898, MATCH(P14,RulebookFields!A2:A1898, 0))="")=TRUE),  "",  INDEX(RulebookFields!I2:I1898, MATCH(P14,RulebookFields!A2:A1898, 0))), "")</f>
      </c>
      <c r="U14" s="4" t="b">
        <f>AND(((S14)=TRUE), ((T14)=TRUE))</f>
        <v>0</v>
      </c>
      <c r="V14" s="4" t="b">
        <f>NOT(((O14 = U14)=TRUE))</f>
        <v>0</v>
      </c>
      <c r="W14" s="4" t="b">
        <f>AND(((G14)=TRUE), ((NOT(((U14)=TRUE)))=TRUE))</f>
        <v>1</v>
      </c>
      <c r="X14" s="4">
        <f>L14</f>
        <v>0</v>
      </c>
      <c r="Y14" s="4" t="b">
        <f>AND(((O14)=TRUE), ((X14 = 0)=TRUE))</f>
        <v>0</v>
      </c>
      <c r="Z14" s="4">
        <f>H14</f>
        <v>0</v>
      </c>
      <c r="AA14" s="4" t="b">
        <f>Z14 &gt;= AB14</f>
        <v>1</v>
      </c>
      <c r="AB14" s="8"/>
      <c r="AC14" s="4" t="b">
        <f>AND(((Y14)=TRUE), ((NOT(((AA14)=TRUE)))=TRUE))</f>
        <v>0</v>
      </c>
      <c r="AD14" s="4" t="b">
        <f>AND(((Y14)=TRUE), ((AA14)=TRUE))</f>
        <v>0</v>
      </c>
      <c r="AE14" s="4" t="str">
        <f>IF(((NOT(((J14)=TRUE)))=TRUE),  "Decorative",  IF(((NOT(((K14)=TRUE)))=TRUE),  "Inoperative",  IF(((NOT(((O14)=TRUE)))=TRUE),  "Asserted",  IF(((X14 &gt; 0)=TRUE),  "Demonstrated",  IF(((AA14)=TRUE),  "Holding",  "Untested")))))</f>
        <v>Inoperative</v>
      </c>
      <c r="AF14" s="4">
        <f>COUNTIFS(StepRequirements!M2:M16, A14)</f>
        <v>1</v>
      </c>
      <c r="AG14" s="4" t="b">
        <f>AND(((O14)=TRUE), ((AF14 &gt; 0)=TRUE))</f>
        <v>0</v>
      </c>
      <c r="AH14" s="3"/>
      <c r="AI14" s="4" t="str">
        <f>_xlfn.IFNA(IF(((INDEX(Roles!E2:E13, MATCH(AH14,Roles!A2:A13, 0))="")=TRUE),  "",  INDEX(Roles!E2:E13, MATCH(AH14,Roles!A2:A13, 0))), "")</f>
      </c>
      <c r="AJ14" s="4" t="b">
        <f>AH14 &lt;&gt; ""</f>
        <v>0</v>
      </c>
      <c r="AK14" s="4" t="b">
        <f>AND(((G14)=TRUE), ((NOT(((AJ14)=TRUE)))=TRUE))</f>
        <v>1</v>
      </c>
      <c r="AL14" s="4" t="b">
        <f>AND(((G14)=TRUE), ((NOT(((O14)=TRUE)))=TRUE), ((NOT(((AJ14)=TRUE)))=TRUE))</f>
        <v>1</v>
      </c>
      <c r="AM14" s="4" t="str">
        <f>IF(((NOT(((G14)=TRUE)))=TRUE),  "",  IF(((AL14)=TRUE),  "Unwatched and unowned: exposure defaults to the signatory.",  IF(((AK14)=TRUE),  "Witnessed but unowned: no named accountability.",  IF(((NOT(((O14)=TRUE)))=TRUE),  "Owned but unwitnessed: rests on human judgement.",  ""))))</f>
        <v>Unwatched and unowned: exposure defaults to the signatory.</v>
      </c>
      <c r="AN14" s="4" t="str">
        <f>IF(((AL14)=TRUE),  "unwatched-unowned",  "")</f>
        <v>unwatched-unowned</v>
      </c>
      <c r="AO14" s="3" t="s">
        <v>912</v>
      </c>
      <c r="AP14" s="4" t="b">
        <f>AO14 &lt;&gt; ""</f>
        <v>1</v>
      </c>
      <c r="AQ14" s="3" t="s">
        <v>846</v>
      </c>
    </row>
  </sheetData>
  <autoFilter ref="A1:AQ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16"/>
  <sheetViews>
    <sheetView workbookViewId="0">
      <pane ySplit="1" topLeftCell="A2" state="frozen" activePane="bottomLeft"/>
      <selection pane="bottomLeft" activeCell="A1" sqref="A1"/>
    </sheetView>
  </sheetViews>
  <sheetFormatPr defaultRowHeight="15"/>
  <cols>
    <col min="1" max="1" width="19.85036849975586" customWidth="1"/>
    <col min="2" max="2" width="36.94690704345703" customWidth="1"/>
    <col min="3" max="3" width="17.443378448486328" customWidth="1"/>
    <col min="4" max="4" width="26.427637100219727" customWidth="1"/>
    <col min="5" max="5" width="23.09225845336914" customWidth="1"/>
    <col min="6" max="6" width="17.443378448486328" customWidth="1"/>
    <col min="7" max="7" width="19.024593353271484" customWidth="1"/>
    <col min="8" max="8" width="25.768842697143555" customWidth="1"/>
    <col min="9" max="9" width="21.056377410888672" customWidth="1"/>
    <col min="10" max="10" width="27.63242530822754" customWidth="1"/>
    <col min="11" max="11" width="25.40498924255371" customWidth="1"/>
    <col min="12" max="12" width="28.966201782226562" customWidth="1"/>
    <col min="13" max="13" width="34.77509307861328" customWidth="1"/>
  </cols>
  <sheetData>
    <row r="1">
      <c r="A1" s="2" t="s">
        <v>913</v>
      </c>
      <c r="B1" s="2" t="s">
        <v>1</v>
      </c>
      <c r="C1" s="2" t="s">
        <v>767</v>
      </c>
      <c r="D1" s="2" t="s">
        <v>914</v>
      </c>
      <c r="E1" s="2" t="s">
        <v>915</v>
      </c>
      <c r="F1" s="2" t="s">
        <v>916</v>
      </c>
      <c r="G1" s="2" t="s">
        <v>917</v>
      </c>
      <c r="H1" s="2" t="s">
        <v>918</v>
      </c>
      <c r="I1" s="2" t="s">
        <v>919</v>
      </c>
      <c r="J1" s="2" t="s">
        <v>920</v>
      </c>
      <c r="K1" s="2" t="s">
        <v>921</v>
      </c>
      <c r="L1" s="2" t="s">
        <v>922</v>
      </c>
      <c r="M1" s="2" t="s">
        <v>923</v>
      </c>
    </row>
    <row r="2">
      <c r="A2" s="3" t="s">
        <v>924</v>
      </c>
      <c r="B2" s="4" t="str">
        <f>C2 &amp; " / " &amp; D2</f>
        <v>close-01 / req-close-cutoff</v>
      </c>
      <c r="C2" s="3" t="s">
        <v>548</v>
      </c>
      <c r="D2" s="3" t="s">
        <v>839</v>
      </c>
      <c r="E2" s="4" t="b">
        <f>_xlfn.IFNA(IF(((INDEX(Requirements!G2:G14, MATCH(D2,Requirements!A2:A14, 0))="")=TRUE),  "",  INDEX(Requirements!G2:G14, MATCH(D2,Requirements!A2:A14, 0))), "")</f>
        <v>1</v>
      </c>
      <c r="F2" s="4" t="str">
        <f>IF(((E2)=TRUE),  C2,  "")</f>
        <v>close-01</v>
      </c>
      <c r="G2" s="4" t="str">
        <f>IF(((E2)=TRUE),  C2,  "")</f>
        <v>close-01</v>
      </c>
      <c r="H2" s="4" t="b">
        <f>_xlfn.IFNA(IF(((INDEX(Requirements!W2:W14, MATCH(D2,Requirements!A2:A14, 0))="")=TRUE),  "",  INDEX(Requirements!W2:W14, MATCH(D2,Requirements!A2:A14, 0))), "")</f>
        <v>0</v>
      </c>
      <c r="I2" s="4" t="str">
        <f>IF(((H2)=TRUE),  C2,  "")</f>
      </c>
      <c r="J2" s="4">
        <f>COUNTIFS(RequirementSatisfactions!AE2:AE9, A2)</f>
        <v>0</v>
      </c>
      <c r="K2" s="4" t="b">
        <f>J2 &gt; 0</f>
        <v>0</v>
      </c>
      <c r="L2" s="4" t="b">
        <f>AND(((E2)=TRUE), ((NOT(((K2)=TRUE)))=TRUE))</f>
        <v>1</v>
      </c>
      <c r="M2" s="4" t="str">
        <f>IF(((L2)=TRUE),  D2,  "")</f>
        <v>req-close-cutoff</v>
      </c>
    </row>
    <row r="3">
      <c r="A3" s="3" t="s">
        <v>925</v>
      </c>
      <c r="B3" s="4" t="str">
        <f>C3 &amp; " / " &amp; D3</f>
        <v>close-03 / req-close-balance</v>
      </c>
      <c r="C3" s="3" t="s">
        <v>560</v>
      </c>
      <c r="D3" s="3" t="s">
        <v>847</v>
      </c>
      <c r="E3" s="4" t="b">
        <f>_xlfn.IFNA(IF(((INDEX(Requirements!G2:G14, MATCH(D3,Requirements!A2:A14, 0))="")=TRUE),  "",  INDEX(Requirements!G2:G14, MATCH(D3,Requirements!A2:A14, 0))), "")</f>
        <v>1</v>
      </c>
      <c r="F3" s="4" t="str">
        <f>IF(((E3)=TRUE),  C3,  "")</f>
        <v>close-03</v>
      </c>
      <c r="G3" s="4" t="str">
        <f>IF(((E3)=TRUE),  C3,  "")</f>
        <v>close-03</v>
      </c>
      <c r="H3" s="4" t="b">
        <f>_xlfn.IFNA(IF(((INDEX(Requirements!W2:W14, MATCH(D3,Requirements!A2:A14, 0))="")=TRUE),  "",  INDEX(Requirements!W2:W14, MATCH(D3,Requirements!A2:A14, 0))), "")</f>
        <v>0</v>
      </c>
      <c r="I3" s="4" t="str">
        <f>IF(((H3)=TRUE),  C3,  "")</f>
      </c>
      <c r="J3" s="4">
        <f>COUNTIFS(RequirementSatisfactions!AE2:AE9, A3)</f>
        <v>0</v>
      </c>
      <c r="K3" s="4" t="b">
        <f>J3 &gt; 0</f>
        <v>0</v>
      </c>
      <c r="L3" s="4" t="b">
        <f>AND(((E3)=TRUE), ((NOT(((K3)=TRUE)))=TRUE))</f>
        <v>1</v>
      </c>
      <c r="M3" s="4" t="str">
        <f>IF(((L3)=TRUE),  D3,  "")</f>
        <v>req-close-balance</v>
      </c>
    </row>
    <row r="4">
      <c r="A4" s="3" t="s">
        <v>926</v>
      </c>
      <c r="B4" s="4" t="str">
        <f>C4 &amp; " / " &amp; D4</f>
        <v>close-03 / req-close-evidence</v>
      </c>
      <c r="C4" s="3" t="s">
        <v>560</v>
      </c>
      <c r="D4" s="3" t="s">
        <v>860</v>
      </c>
      <c r="E4" s="4" t="b">
        <f>_xlfn.IFNA(IF(((INDEX(Requirements!G2:G14, MATCH(D4,Requirements!A2:A14, 0))="")=TRUE),  "",  INDEX(Requirements!G2:G14, MATCH(D4,Requirements!A2:A14, 0))), "")</f>
        <v>1</v>
      </c>
      <c r="F4" s="4" t="str">
        <f>IF(((E4)=TRUE),  C4,  "")</f>
        <v>close-03</v>
      </c>
      <c r="G4" s="4" t="str">
        <f>IF(((E4)=TRUE),  C4,  "")</f>
        <v>close-03</v>
      </c>
      <c r="H4" s="4" t="b">
        <f>_xlfn.IFNA(IF(((INDEX(Requirements!W2:W14, MATCH(D4,Requirements!A2:A14, 0))="")=TRUE),  "",  INDEX(Requirements!W2:W14, MATCH(D4,Requirements!A2:A14, 0))), "")</f>
        <v>0</v>
      </c>
      <c r="I4" s="4" t="str">
        <f>IF(((H4)=TRUE),  C4,  "")</f>
      </c>
      <c r="J4" s="4">
        <f>COUNTIFS(RequirementSatisfactions!AE2:AE9, A4)</f>
        <v>0</v>
      </c>
      <c r="K4" s="4" t="b">
        <f>J4 &gt; 0</f>
        <v>0</v>
      </c>
      <c r="L4" s="4" t="b">
        <f>AND(((E4)=TRUE), ((NOT(((K4)=TRUE)))=TRUE))</f>
        <v>1</v>
      </c>
      <c r="M4" s="4" t="str">
        <f>IF(((L4)=TRUE),  D4,  "")</f>
        <v>req-close-evidence</v>
      </c>
    </row>
    <row r="5">
      <c r="A5" s="3" t="s">
        <v>927</v>
      </c>
      <c r="B5" s="4" t="str">
        <f>C5 &amp; " / " &amp; D5</f>
        <v>close-05 / req-close-separation</v>
      </c>
      <c r="C5" s="3" t="s">
        <v>572</v>
      </c>
      <c r="D5" s="3" t="s">
        <v>853</v>
      </c>
      <c r="E5" s="4" t="b">
        <f>_xlfn.IFNA(IF(((INDEX(Requirements!G2:G14, MATCH(D5,Requirements!A2:A14, 0))="")=TRUE),  "",  INDEX(Requirements!G2:G14, MATCH(D5,Requirements!A2:A14, 0))), "")</f>
        <v>1</v>
      </c>
      <c r="F5" s="4" t="str">
        <f>IF(((E5)=TRUE),  C5,  "")</f>
        <v>close-05</v>
      </c>
      <c r="G5" s="4" t="str">
        <f>IF(((E5)=TRUE),  C5,  "")</f>
        <v>close-05</v>
      </c>
      <c r="H5" s="4" t="b">
        <f>_xlfn.IFNA(IF(((INDEX(Requirements!W2:W14, MATCH(D5,Requirements!A2:A14, 0))="")=TRUE),  "",  INDEX(Requirements!W2:W14, MATCH(D5,Requirements!A2:A14, 0))), "")</f>
        <v>0</v>
      </c>
      <c r="I5" s="4" t="str">
        <f>IF(((H5)=TRUE),  C5,  "")</f>
      </c>
      <c r="J5" s="4">
        <f>COUNTIFS(RequirementSatisfactions!AE2:AE9, A5)</f>
        <v>0</v>
      </c>
      <c r="K5" s="4" t="b">
        <f>J5 &gt; 0</f>
        <v>0</v>
      </c>
      <c r="L5" s="4" t="b">
        <f>AND(((E5)=TRUE), ((NOT(((K5)=TRUE)))=TRUE))</f>
        <v>1</v>
      </c>
      <c r="M5" s="4" t="str">
        <f>IF(((L5)=TRUE),  D5,  "")</f>
        <v>req-close-separation</v>
      </c>
    </row>
    <row r="6">
      <c r="A6" s="3" t="s">
        <v>928</v>
      </c>
      <c r="B6" s="4" t="str">
        <f>C6 &amp; " / " &amp; D6</f>
        <v>close-06 / req-close-human-approval</v>
      </c>
      <c r="C6" s="3" t="s">
        <v>576</v>
      </c>
      <c r="D6" s="3" t="s">
        <v>867</v>
      </c>
      <c r="E6" s="4" t="b">
        <f>_xlfn.IFNA(IF(((INDEX(Requirements!G2:G14, MATCH(D6,Requirements!A2:A14, 0))="")=TRUE),  "",  INDEX(Requirements!G2:G14, MATCH(D6,Requirements!A2:A14, 0))), "")</f>
        <v>1</v>
      </c>
      <c r="F6" s="4" t="str">
        <f>IF(((E6)=TRUE),  C6,  "")</f>
        <v>close-06</v>
      </c>
      <c r="G6" s="4" t="str">
        <f>IF(((E6)=TRUE),  C6,  "")</f>
        <v>close-06</v>
      </c>
      <c r="H6" s="4" t="b">
        <f>_xlfn.IFNA(IF(((INDEX(Requirements!W2:W14, MATCH(D6,Requirements!A2:A14, 0))="")=TRUE),  "",  INDEX(Requirements!W2:W14, MATCH(D6,Requirements!A2:A14, 0))), "")</f>
        <v>1</v>
      </c>
      <c r="I6" s="4" t="str">
        <f>IF(((H6)=TRUE),  C6,  "")</f>
        <v>close-06</v>
      </c>
      <c r="J6" s="4">
        <f>COUNTIFS(RequirementSatisfactions!AE2:AE9, A6)</f>
        <v>0</v>
      </c>
      <c r="K6" s="4" t="b">
        <f>J6 &gt; 0</f>
        <v>0</v>
      </c>
      <c r="L6" s="4" t="b">
        <f>AND(((E6)=TRUE), ((NOT(((K6)=TRUE)))=TRUE))</f>
        <v>1</v>
      </c>
      <c r="M6" s="4" t="str">
        <f>IF(((L6)=TRUE),  D6,  "")</f>
        <v>req-close-human-approval</v>
      </c>
    </row>
    <row r="7">
      <c r="A7" s="3" t="s">
        <v>929</v>
      </c>
      <c r="B7" s="4" t="str">
        <f>C7 &amp; " / " &amp; D7</f>
        <v>close-08 / req-close-evidence</v>
      </c>
      <c r="C7" s="3" t="s">
        <v>586</v>
      </c>
      <c r="D7" s="3" t="s">
        <v>860</v>
      </c>
      <c r="E7" s="4" t="b">
        <f>_xlfn.IFNA(IF(((INDEX(Requirements!G2:G14, MATCH(D7,Requirements!A2:A14, 0))="")=TRUE),  "",  INDEX(Requirements!G2:G14, MATCH(D7,Requirements!A2:A14, 0))), "")</f>
        <v>1</v>
      </c>
      <c r="F7" s="4" t="str">
        <f>IF(((E7)=TRUE),  C7,  "")</f>
        <v>close-08</v>
      </c>
      <c r="G7" s="4" t="str">
        <f>IF(((E7)=TRUE),  C7,  "")</f>
        <v>close-08</v>
      </c>
      <c r="H7" s="4" t="b">
        <f>_xlfn.IFNA(IF(((INDEX(Requirements!W2:W14, MATCH(D7,Requirements!A2:A14, 0))="")=TRUE),  "",  INDEX(Requirements!W2:W14, MATCH(D7,Requirements!A2:A14, 0))), "")</f>
        <v>0</v>
      </c>
      <c r="I7" s="4" t="str">
        <f>IF(((H7)=TRUE),  C7,  "")</f>
      </c>
      <c r="J7" s="4">
        <f>COUNTIFS(RequirementSatisfactions!AE2:AE9, A7)</f>
        <v>0</v>
      </c>
      <c r="K7" s="4" t="b">
        <f>J7 &gt; 0</f>
        <v>0</v>
      </c>
      <c r="L7" s="4" t="b">
        <f>AND(((E7)=TRUE), ((NOT(((K7)=TRUE)))=TRUE))</f>
        <v>1</v>
      </c>
      <c r="M7" s="4" t="str">
        <f>IF(((L7)=TRUE),  D7,  "")</f>
        <v>req-close-evidence</v>
      </c>
    </row>
    <row r="8">
      <c r="A8" s="3" t="s">
        <v>930</v>
      </c>
      <c r="B8" s="4" t="str">
        <f>C8 &amp; " / " &amp; D8</f>
        <v>policy-03 / req-policy-source</v>
      </c>
      <c r="C8" s="3" t="s">
        <v>597</v>
      </c>
      <c r="D8" s="3" t="s">
        <v>872</v>
      </c>
      <c r="E8" s="4" t="b">
        <f>_xlfn.IFNA(IF(((INDEX(Requirements!G2:G14, MATCH(D8,Requirements!A2:A14, 0))="")=TRUE),  "",  INDEX(Requirements!G2:G14, MATCH(D8,Requirements!A2:A14, 0))), "")</f>
        <v>1</v>
      </c>
      <c r="F8" s="4" t="str">
        <f>IF(((E8)=TRUE),  C8,  "")</f>
        <v>policy-03</v>
      </c>
      <c r="G8" s="4" t="str">
        <f>IF(((E8)=TRUE),  C8,  "")</f>
        <v>policy-03</v>
      </c>
      <c r="H8" s="4" t="b">
        <f>_xlfn.IFNA(IF(((INDEX(Requirements!W2:W14, MATCH(D8,Requirements!A2:A14, 0))="")=TRUE),  "",  INDEX(Requirements!W2:W14, MATCH(D8,Requirements!A2:A14, 0))), "")</f>
        <v>1</v>
      </c>
      <c r="I8" s="4" t="str">
        <f>IF(((H8)=TRUE),  C8,  "")</f>
        <v>policy-03</v>
      </c>
      <c r="J8" s="4">
        <f>COUNTIFS(RequirementSatisfactions!AE2:AE9, A8)</f>
        <v>0</v>
      </c>
      <c r="K8" s="4" t="b">
        <f>J8 &gt; 0</f>
        <v>0</v>
      </c>
      <c r="L8" s="4" t="b">
        <f>AND(((E8)=TRUE), ((NOT(((K8)=TRUE)))=TRUE))</f>
        <v>1</v>
      </c>
      <c r="M8" s="4" t="str">
        <f>IF(((L8)=TRUE),  D8,  "")</f>
        <v>req-policy-source</v>
      </c>
    </row>
    <row r="9">
      <c r="A9" s="3" t="s">
        <v>931</v>
      </c>
      <c r="B9" s="4" t="str">
        <f>C9 &amp; " / " &amp; D9</f>
        <v>policy-04 / req-policy-legal</v>
      </c>
      <c r="C9" s="3" t="s">
        <v>600</v>
      </c>
      <c r="D9" s="3" t="s">
        <v>877</v>
      </c>
      <c r="E9" s="4" t="b">
        <f>_xlfn.IFNA(IF(((INDEX(Requirements!G2:G14, MATCH(D9,Requirements!A2:A14, 0))="")=TRUE),  "",  INDEX(Requirements!G2:G14, MATCH(D9,Requirements!A2:A14, 0))), "")</f>
        <v>1</v>
      </c>
      <c r="F9" s="4" t="str">
        <f>IF(((E9)=TRUE),  C9,  "")</f>
        <v>policy-04</v>
      </c>
      <c r="G9" s="4" t="str">
        <f>IF(((E9)=TRUE),  C9,  "")</f>
        <v>policy-04</v>
      </c>
      <c r="H9" s="4" t="b">
        <f>_xlfn.IFNA(IF(((INDEX(Requirements!W2:W14, MATCH(D9,Requirements!A2:A14, 0))="")=TRUE),  "",  INDEX(Requirements!W2:W14, MATCH(D9,Requirements!A2:A14, 0))), "")</f>
        <v>1</v>
      </c>
      <c r="I9" s="4" t="str">
        <f>IF(((H9)=TRUE),  C9,  "")</f>
        <v>policy-04</v>
      </c>
      <c r="J9" s="4">
        <f>COUNTIFS(RequirementSatisfactions!AE2:AE9, A9)</f>
        <v>0</v>
      </c>
      <c r="K9" s="4" t="b">
        <f>J9 &gt; 0</f>
        <v>0</v>
      </c>
      <c r="L9" s="4" t="b">
        <f>AND(((E9)=TRUE), ((NOT(((K9)=TRUE)))=TRUE))</f>
        <v>1</v>
      </c>
      <c r="M9" s="4" t="str">
        <f>IF(((L9)=TRUE),  D9,  "")</f>
        <v>req-policy-legal</v>
      </c>
    </row>
    <row r="10">
      <c r="A10" s="3" t="s">
        <v>932</v>
      </c>
      <c r="B10" s="4" t="str">
        <f>C10 &amp; " / " &amp; D10</f>
        <v>policy-05 / req-policy-human-approval</v>
      </c>
      <c r="C10" s="3" t="s">
        <v>604</v>
      </c>
      <c r="D10" s="3" t="s">
        <v>882</v>
      </c>
      <c r="E10" s="4" t="b">
        <f>_xlfn.IFNA(IF(((INDEX(Requirements!G2:G14, MATCH(D10,Requirements!A2:A14, 0))="")=TRUE),  "",  INDEX(Requirements!G2:G14, MATCH(D10,Requirements!A2:A14, 0))), "")</f>
        <v>1</v>
      </c>
      <c r="F10" s="4" t="str">
        <f>IF(((E10)=TRUE),  C10,  "")</f>
        <v>policy-05</v>
      </c>
      <c r="G10" s="4" t="str">
        <f>IF(((E10)=TRUE),  C10,  "")</f>
        <v>policy-05</v>
      </c>
      <c r="H10" s="4" t="b">
        <f>_xlfn.IFNA(IF(((INDEX(Requirements!W2:W14, MATCH(D10,Requirements!A2:A14, 0))="")=TRUE),  "",  INDEX(Requirements!W2:W14, MATCH(D10,Requirements!A2:A14, 0))), "")</f>
        <v>1</v>
      </c>
      <c r="I10" s="4" t="str">
        <f>IF(((H10)=TRUE),  C10,  "")</f>
        <v>policy-05</v>
      </c>
      <c r="J10" s="4">
        <f>COUNTIFS(RequirementSatisfactions!AE2:AE9, A10)</f>
        <v>0</v>
      </c>
      <c r="K10" s="4" t="b">
        <f>J10 &gt; 0</f>
        <v>0</v>
      </c>
      <c r="L10" s="4" t="b">
        <f>AND(((E10)=TRUE), ((NOT(((K10)=TRUE)))=TRUE))</f>
        <v>1</v>
      </c>
      <c r="M10" s="4" t="str">
        <f>IF(((L10)=TRUE),  D10,  "")</f>
        <v>req-policy-human-approval</v>
      </c>
    </row>
    <row r="11">
      <c r="A11" s="3" t="s">
        <v>933</v>
      </c>
      <c r="B11" s="4" t="str">
        <f>C11 &amp; " / " &amp; D11</f>
        <v>policy-06 / req-policy-accessibility</v>
      </c>
      <c r="C11" s="3" t="s">
        <v>607</v>
      </c>
      <c r="D11" s="3" t="s">
        <v>907</v>
      </c>
      <c r="E11" s="4" t="b">
        <f>_xlfn.IFNA(IF(((INDEX(Requirements!G2:G14, MATCH(D11,Requirements!A2:A14, 0))="")=TRUE),  "",  INDEX(Requirements!G2:G14, MATCH(D11,Requirements!A2:A14, 0))), "")</f>
        <v>1</v>
      </c>
      <c r="F11" s="4" t="str">
        <f>IF(((E11)=TRUE),  C11,  "")</f>
        <v>policy-06</v>
      </c>
      <c r="G11" s="4" t="str">
        <f>IF(((E11)=TRUE),  C11,  "")</f>
        <v>policy-06</v>
      </c>
      <c r="H11" s="4" t="b">
        <f>_xlfn.IFNA(IF(((INDEX(Requirements!W2:W14, MATCH(D11,Requirements!A2:A14, 0))="")=TRUE),  "",  INDEX(Requirements!W2:W14, MATCH(D11,Requirements!A2:A14, 0))), "")</f>
        <v>1</v>
      </c>
      <c r="I11" s="4" t="str">
        <f>IF(((H11)=TRUE),  C11,  "")</f>
        <v>policy-06</v>
      </c>
      <c r="J11" s="4">
        <f>COUNTIFS(RequirementSatisfactions!AE2:AE9, A11)</f>
        <v>0</v>
      </c>
      <c r="K11" s="4" t="b">
        <f>J11 &gt; 0</f>
        <v>0</v>
      </c>
      <c r="L11" s="4" t="b">
        <f>AND(((E11)=TRUE), ((NOT(((K11)=TRUE)))=TRUE))</f>
        <v>1</v>
      </c>
      <c r="M11" s="4" t="str">
        <f>IF(((L11)=TRUE),  D11,  "")</f>
        <v>req-policy-accessibility</v>
      </c>
    </row>
    <row r="12">
      <c r="A12" s="3" t="s">
        <v>934</v>
      </c>
      <c r="B12" s="4" t="str">
        <f>C12 &amp; " / " &amp; D12</f>
        <v>policy-07 / req-policy-consent</v>
      </c>
      <c r="C12" s="3" t="s">
        <v>610</v>
      </c>
      <c r="D12" s="3" t="s">
        <v>886</v>
      </c>
      <c r="E12" s="4" t="b">
        <f>_xlfn.IFNA(IF(((INDEX(Requirements!G2:G14, MATCH(D12,Requirements!A2:A14, 0))="")=TRUE),  "",  INDEX(Requirements!G2:G14, MATCH(D12,Requirements!A2:A14, 0))), "")</f>
        <v>1</v>
      </c>
      <c r="F12" s="4" t="str">
        <f>IF(((E12)=TRUE),  C12,  "")</f>
        <v>policy-07</v>
      </c>
      <c r="G12" s="4" t="str">
        <f>IF(((E12)=TRUE),  C12,  "")</f>
        <v>policy-07</v>
      </c>
      <c r="H12" s="4" t="b">
        <f>_xlfn.IFNA(IF(((INDEX(Requirements!W2:W14, MATCH(D12,Requirements!A2:A14, 0))="")=TRUE),  "",  INDEX(Requirements!W2:W14, MATCH(D12,Requirements!A2:A14, 0))), "")</f>
        <v>1</v>
      </c>
      <c r="I12" s="4" t="str">
        <f>IF(((H12)=TRUE),  C12,  "")</f>
        <v>policy-07</v>
      </c>
      <c r="J12" s="4">
        <f>COUNTIFS(RequirementSatisfactions!AE2:AE9, A12)</f>
        <v>0</v>
      </c>
      <c r="K12" s="4" t="b">
        <f>J12 &gt; 0</f>
        <v>0</v>
      </c>
      <c r="L12" s="4" t="b">
        <f>AND(((E12)=TRUE), ((NOT(((K12)=TRUE)))=TRUE))</f>
        <v>1</v>
      </c>
      <c r="M12" s="4" t="str">
        <f>IF(((L12)=TRUE),  D12,  "")</f>
        <v>req-policy-consent</v>
      </c>
    </row>
    <row r="13">
      <c r="A13" s="3" t="s">
        <v>935</v>
      </c>
      <c r="B13" s="4" t="str">
        <f>C13 &amp; " / " &amp; D13</f>
        <v>policy-07 / req-policy-quiet-hours</v>
      </c>
      <c r="C13" s="3" t="s">
        <v>610</v>
      </c>
      <c r="D13" s="3" t="s">
        <v>892</v>
      </c>
      <c r="E13" s="4" t="b">
        <f>_xlfn.IFNA(IF(((INDEX(Requirements!G2:G14, MATCH(D13,Requirements!A2:A14, 0))="")=TRUE),  "",  INDEX(Requirements!G2:G14, MATCH(D13,Requirements!A2:A14, 0))), "")</f>
        <v>1</v>
      </c>
      <c r="F13" s="4" t="str">
        <f>IF(((E13)=TRUE),  C13,  "")</f>
        <v>policy-07</v>
      </c>
      <c r="G13" s="4" t="str">
        <f>IF(((E13)=TRUE),  C13,  "")</f>
        <v>policy-07</v>
      </c>
      <c r="H13" s="4" t="b">
        <f>_xlfn.IFNA(IF(((INDEX(Requirements!W2:W14, MATCH(D13,Requirements!A2:A14, 0))="")=TRUE),  "",  INDEX(Requirements!W2:W14, MATCH(D13,Requirements!A2:A14, 0))), "")</f>
        <v>1</v>
      </c>
      <c r="I13" s="4" t="str">
        <f>IF(((H13)=TRUE),  C13,  "")</f>
        <v>policy-07</v>
      </c>
      <c r="J13" s="4">
        <f>COUNTIFS(RequirementSatisfactions!AE2:AE9, A13)</f>
        <v>0</v>
      </c>
      <c r="K13" s="4" t="b">
        <f>J13 &gt; 0</f>
        <v>0</v>
      </c>
      <c r="L13" s="4" t="b">
        <f>AND(((E13)=TRUE), ((NOT(((K13)=TRUE)))=TRUE))</f>
        <v>1</v>
      </c>
      <c r="M13" s="4" t="str">
        <f>IF(((L13)=TRUE),  D13,  "")</f>
        <v>req-policy-quiet-hours</v>
      </c>
    </row>
    <row r="14">
      <c r="A14" s="3" t="s">
        <v>936</v>
      </c>
      <c r="B14" s="4" t="str">
        <f>C14 &amp; " / " &amp; D14</f>
        <v>policy-07 / req-policy-optout</v>
      </c>
      <c r="C14" s="3" t="s">
        <v>610</v>
      </c>
      <c r="D14" s="3" t="s">
        <v>898</v>
      </c>
      <c r="E14" s="4" t="b">
        <f>_xlfn.IFNA(IF(((INDEX(Requirements!G2:G14, MATCH(D14,Requirements!A2:A14, 0))="")=TRUE),  "",  INDEX(Requirements!G2:G14, MATCH(D14,Requirements!A2:A14, 0))), "")</f>
        <v>1</v>
      </c>
      <c r="F14" s="4" t="str">
        <f>IF(((E14)=TRUE),  C14,  "")</f>
        <v>policy-07</v>
      </c>
      <c r="G14" s="4" t="str">
        <f>IF(((E14)=TRUE),  C14,  "")</f>
        <v>policy-07</v>
      </c>
      <c r="H14" s="4" t="b">
        <f>_xlfn.IFNA(IF(((INDEX(Requirements!W2:W14, MATCH(D14,Requirements!A2:A14, 0))="")=TRUE),  "",  INDEX(Requirements!W2:W14, MATCH(D14,Requirements!A2:A14, 0))), "")</f>
        <v>1</v>
      </c>
      <c r="I14" s="4" t="str">
        <f>IF(((H14)=TRUE),  C14,  "")</f>
        <v>policy-07</v>
      </c>
      <c r="J14" s="4">
        <f>COUNTIFS(RequirementSatisfactions!AE2:AE9, A14)</f>
        <v>0</v>
      </c>
      <c r="K14" s="4" t="b">
        <f>J14 &gt; 0</f>
        <v>0</v>
      </c>
      <c r="L14" s="4" t="b">
        <f>AND(((E14)=TRUE), ((NOT(((K14)=TRUE)))=TRUE))</f>
        <v>1</v>
      </c>
      <c r="M14" s="4" t="str">
        <f>IF(((L14)=TRUE),  D14,  "")</f>
        <v>req-policy-optout</v>
      </c>
    </row>
    <row r="15">
      <c r="A15" s="3" t="s">
        <v>937</v>
      </c>
      <c r="B15" s="4" t="str">
        <f>C15 &amp; " / " &amp; D15</f>
        <v>policy-07 / req-policy-retention</v>
      </c>
      <c r="C15" s="3" t="s">
        <v>610</v>
      </c>
      <c r="D15" s="3" t="s">
        <v>903</v>
      </c>
      <c r="E15" s="4" t="b">
        <f>_xlfn.IFNA(IF(((INDEX(Requirements!G2:G14, MATCH(D15,Requirements!A2:A14, 0))="")=TRUE),  "",  INDEX(Requirements!G2:G14, MATCH(D15,Requirements!A2:A14, 0))), "")</f>
        <v>1</v>
      </c>
      <c r="F15" s="4" t="str">
        <f>IF(((E15)=TRUE),  C15,  "")</f>
        <v>policy-07</v>
      </c>
      <c r="G15" s="4" t="str">
        <f>IF(((E15)=TRUE),  C15,  "")</f>
        <v>policy-07</v>
      </c>
      <c r="H15" s="4" t="b">
        <f>_xlfn.IFNA(IF(((INDEX(Requirements!W2:W14, MATCH(D15,Requirements!A2:A14, 0))="")=TRUE),  "",  INDEX(Requirements!W2:W14, MATCH(D15,Requirements!A2:A14, 0))), "")</f>
        <v>1</v>
      </c>
      <c r="I15" s="4" t="str">
        <f>IF(((H15)=TRUE),  C15,  "")</f>
        <v>policy-07</v>
      </c>
      <c r="J15" s="4">
        <f>COUNTIFS(RequirementSatisfactions!AE2:AE9, A15)</f>
        <v>0</v>
      </c>
      <c r="K15" s="4" t="b">
        <f>J15 &gt; 0</f>
        <v>0</v>
      </c>
      <c r="L15" s="4" t="b">
        <f>AND(((E15)=TRUE), ((NOT(((K15)=TRUE)))=TRUE))</f>
        <v>1</v>
      </c>
      <c r="M15" s="4" t="str">
        <f>IF(((L15)=TRUE),  D15,  "")</f>
        <v>req-policy-retention</v>
      </c>
    </row>
    <row r="16">
      <c r="A16" s="3" t="s">
        <v>938</v>
      </c>
      <c r="B16" s="4" t="str">
        <f>C16 &amp; " / " &amp; D16</f>
        <v>policy-08 / req-policy-retention</v>
      </c>
      <c r="C16" s="3" t="s">
        <v>613</v>
      </c>
      <c r="D16" s="3" t="s">
        <v>903</v>
      </c>
      <c r="E16" s="4" t="b">
        <f>_xlfn.IFNA(IF(((INDEX(Requirements!G2:G14, MATCH(D16,Requirements!A2:A14, 0))="")=TRUE),  "",  INDEX(Requirements!G2:G14, MATCH(D16,Requirements!A2:A14, 0))), "")</f>
        <v>1</v>
      </c>
      <c r="F16" s="4" t="str">
        <f>IF(((E16)=TRUE),  C16,  "")</f>
        <v>policy-08</v>
      </c>
      <c r="G16" s="4" t="str">
        <f>IF(((E16)=TRUE),  C16,  "")</f>
        <v>policy-08</v>
      </c>
      <c r="H16" s="4" t="b">
        <f>_xlfn.IFNA(IF(((INDEX(Requirements!W2:W14, MATCH(D16,Requirements!A2:A14, 0))="")=TRUE),  "",  INDEX(Requirements!W2:W14, MATCH(D16,Requirements!A2:A14, 0))), "")</f>
        <v>1</v>
      </c>
      <c r="I16" s="4" t="str">
        <f>IF(((H16)=TRUE),  C16,  "")</f>
        <v>policy-08</v>
      </c>
      <c r="J16" s="4">
        <f>COUNTIFS(RequirementSatisfactions!AE2:AE9, A16)</f>
        <v>0</v>
      </c>
      <c r="K16" s="4" t="b">
        <f>J16 &gt; 0</f>
        <v>0</v>
      </c>
      <c r="L16" s="4" t="b">
        <f>AND(((E16)=TRUE), ((NOT(((K16)=TRUE)))=TRUE))</f>
        <v>1</v>
      </c>
      <c r="M16" s="4" t="str">
        <f>IF(((L16)=TRUE),  D16,  "")</f>
        <v>req-policy-retention</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2"/>
  <sheetViews>
    <sheetView workbookViewId="0">
      <pane ySplit="1" topLeftCell="A2" state="frozen" activePane="bottomLeft"/>
      <selection pane="bottomLeft" activeCell="A1" sqref="A1"/>
    </sheetView>
  </sheetViews>
  <sheetFormatPr defaultRowHeight="15"/>
  <cols>
    <col min="1" max="1" width="19.900236129760742" customWidth="1"/>
    <col min="2" max="2" width="32.94248580932617" customWidth="1"/>
    <col min="3" max="3" width="17.443378448486328" customWidth="1"/>
    <col min="4" max="4" width="22.763486862182617" customWidth="1"/>
    <col min="5" max="5" width="29.353212356567383" customWidth="1"/>
    <col min="6" max="6" width="20.845239639282227" customWidth="1"/>
    <col min="7" max="7" width="52.574039459228516" customWidth="1"/>
    <col min="8" max="8" width="37.96083450317383" customWidth="1"/>
  </cols>
  <sheetData>
    <row r="1">
      <c r="A1" s="2" t="s">
        <v>939</v>
      </c>
      <c r="B1" s="2" t="s">
        <v>1</v>
      </c>
      <c r="C1" s="2" t="s">
        <v>767</v>
      </c>
      <c r="D1" s="2" t="s">
        <v>940</v>
      </c>
      <c r="E1" s="2" t="s">
        <v>941</v>
      </c>
      <c r="F1" s="2" t="s">
        <v>942</v>
      </c>
      <c r="G1" s="2" t="s">
        <v>504</v>
      </c>
      <c r="H1" s="2" t="s">
        <v>94</v>
      </c>
    </row>
    <row r="2">
      <c r="A2" s="3" t="s">
        <v>943</v>
      </c>
      <c r="B2" s="4" t="str">
        <f>C2 &amp; " / " &amp; D2</f>
        <v>close-01 / SignalVerification</v>
      </c>
      <c r="C2" s="3" t="s">
        <v>548</v>
      </c>
      <c r="D2" s="3" t="s">
        <v>944</v>
      </c>
      <c r="E2" s="3" t="s">
        <v>945</v>
      </c>
      <c r="F2" s="3" t="s">
        <v>946</v>
      </c>
      <c r="G2" s="3" t="s">
        <v>947</v>
      </c>
      <c r="H2" s="3" t="s">
        <v>948</v>
      </c>
    </row>
    <row r="3">
      <c r="A3" s="3" t="s">
        <v>949</v>
      </c>
      <c r="B3" s="4" t="str">
        <f>C3 &amp; " / " &amp; D3</f>
        <v>close-02 / SignalVerification</v>
      </c>
      <c r="C3" s="3" t="s">
        <v>556</v>
      </c>
      <c r="D3" s="3" t="s">
        <v>944</v>
      </c>
      <c r="E3" s="3" t="s">
        <v>950</v>
      </c>
      <c r="F3" s="3" t="s">
        <v>951</v>
      </c>
      <c r="G3" s="3" t="s">
        <v>952</v>
      </c>
      <c r="H3" s="3" t="s">
        <v>948</v>
      </c>
    </row>
    <row r="4">
      <c r="A4" s="3" t="s">
        <v>953</v>
      </c>
      <c r="B4" s="4" t="str">
        <f>C4 &amp; " / " &amp; D4</f>
        <v>close-03 / SignalVerification</v>
      </c>
      <c r="C4" s="3" t="s">
        <v>560</v>
      </c>
      <c r="D4" s="3" t="s">
        <v>944</v>
      </c>
      <c r="E4" s="3" t="s">
        <v>954</v>
      </c>
      <c r="F4" s="3" t="s">
        <v>955</v>
      </c>
      <c r="G4" s="3" t="s">
        <v>956</v>
      </c>
      <c r="H4" s="3" t="s">
        <v>948</v>
      </c>
    </row>
    <row r="5">
      <c r="A5" s="3" t="s">
        <v>957</v>
      </c>
      <c r="B5" s="4" t="str">
        <f>C5 &amp; " / " &amp; D5</f>
        <v>close-05 / ApprovalVerification</v>
      </c>
      <c r="C5" s="3" t="s">
        <v>572</v>
      </c>
      <c r="D5" s="3" t="s">
        <v>958</v>
      </c>
      <c r="E5" s="3" t="s">
        <v>959</v>
      </c>
      <c r="F5" s="3" t="s">
        <v>960</v>
      </c>
      <c r="G5" s="3" t="s">
        <v>961</v>
      </c>
      <c r="H5" s="3" t="s">
        <v>962</v>
      </c>
    </row>
    <row r="6">
      <c r="A6" s="3" t="s">
        <v>963</v>
      </c>
      <c r="B6" s="4" t="str">
        <f>C6 &amp; " / " &amp; D6</f>
        <v>close-06 / ApprovalVerification</v>
      </c>
      <c r="C6" s="3" t="s">
        <v>576</v>
      </c>
      <c r="D6" s="3" t="s">
        <v>958</v>
      </c>
      <c r="E6" s="3" t="s">
        <v>964</v>
      </c>
      <c r="F6" s="3" t="s">
        <v>960</v>
      </c>
      <c r="G6" s="3" t="s">
        <v>965</v>
      </c>
      <c r="H6" s="3" t="s">
        <v>962</v>
      </c>
    </row>
    <row r="7">
      <c r="A7" s="3" t="s">
        <v>966</v>
      </c>
      <c r="B7" s="4" t="str">
        <f>C7 &amp; " / " &amp; D7</f>
        <v>policy-03 / ProvenanceVerification</v>
      </c>
      <c r="C7" s="3" t="s">
        <v>597</v>
      </c>
      <c r="D7" s="3" t="s">
        <v>967</v>
      </c>
      <c r="E7" s="3" t="s">
        <v>968</v>
      </c>
      <c r="F7" s="3" t="s">
        <v>955</v>
      </c>
      <c r="G7" s="3" t="s">
        <v>969</v>
      </c>
      <c r="H7" s="3" t="s">
        <v>962</v>
      </c>
    </row>
    <row r="8">
      <c r="A8" s="3" t="s">
        <v>970</v>
      </c>
      <c r="B8" s="4" t="str">
        <f>C8 &amp; " / " &amp; D8</f>
        <v>policy-04 / ApprovalVerification</v>
      </c>
      <c r="C8" s="3" t="s">
        <v>600</v>
      </c>
      <c r="D8" s="3" t="s">
        <v>958</v>
      </c>
      <c r="E8" s="3" t="s">
        <v>971</v>
      </c>
      <c r="F8" s="3" t="s">
        <v>960</v>
      </c>
      <c r="G8" s="3" t="s">
        <v>972</v>
      </c>
      <c r="H8" s="3" t="s">
        <v>962</v>
      </c>
    </row>
    <row r="9">
      <c r="A9" s="3" t="s">
        <v>973</v>
      </c>
      <c r="B9" s="4" t="str">
        <f>C9 &amp; " / " &amp; D9</f>
        <v>policy-05 / ApprovalVerification</v>
      </c>
      <c r="C9" s="3" t="s">
        <v>604</v>
      </c>
      <c r="D9" s="3" t="s">
        <v>958</v>
      </c>
      <c r="E9" s="3" t="s">
        <v>974</v>
      </c>
      <c r="F9" s="3" t="s">
        <v>960</v>
      </c>
      <c r="G9" s="3" t="s">
        <v>975</v>
      </c>
      <c r="H9" s="3" t="s">
        <v>962</v>
      </c>
    </row>
    <row r="10">
      <c r="A10" s="3" t="s">
        <v>976</v>
      </c>
      <c r="B10" s="4" t="str">
        <f>C10 &amp; " / " &amp; D10</f>
        <v>policy-07 / SignalVerification</v>
      </c>
      <c r="C10" s="3" t="s">
        <v>610</v>
      </c>
      <c r="D10" s="3" t="s">
        <v>944</v>
      </c>
      <c r="E10" s="3" t="s">
        <v>977</v>
      </c>
      <c r="F10" s="3" t="s">
        <v>955</v>
      </c>
      <c r="G10" s="3" t="s">
        <v>978</v>
      </c>
      <c r="H10" s="3" t="s">
        <v>948</v>
      </c>
    </row>
    <row r="11">
      <c r="A11" s="3" t="s">
        <v>979</v>
      </c>
      <c r="B11" s="4" t="str">
        <f>C11 &amp; " / " &amp; D11</f>
        <v>policy-07 / SignalVerification</v>
      </c>
      <c r="C11" s="3" t="s">
        <v>610</v>
      </c>
      <c r="D11" s="3" t="s">
        <v>944</v>
      </c>
      <c r="E11" s="3" t="s">
        <v>980</v>
      </c>
      <c r="F11" s="3" t="s">
        <v>955</v>
      </c>
      <c r="G11" s="3" t="s">
        <v>981</v>
      </c>
      <c r="H11" s="3" t="s">
        <v>948</v>
      </c>
    </row>
    <row r="12">
      <c r="A12" s="3" t="s">
        <v>982</v>
      </c>
      <c r="B12" s="4" t="str">
        <f>C12 &amp; " / " &amp; D12</f>
        <v>policy-08 / SignalVerification</v>
      </c>
      <c r="C12" s="3" t="s">
        <v>613</v>
      </c>
      <c r="D12" s="3" t="s">
        <v>944</v>
      </c>
      <c r="E12" s="3" t="s">
        <v>983</v>
      </c>
      <c r="F12" s="3" t="s">
        <v>955</v>
      </c>
      <c r="G12" s="3" t="s">
        <v>984</v>
      </c>
      <c r="H12" s="3" t="s">
        <v>948</v>
      </c>
    </row>
  </sheetData>
  <autoFilter ref="A1:H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5"/>
  <sheetViews>
    <sheetView workbookViewId="0">
      <pane ySplit="1" topLeftCell="A2" state="frozen" activePane="bottomLeft"/>
      <selection pane="bottomLeft" activeCell="A1" sqref="A1"/>
    </sheetView>
  </sheetViews>
  <sheetFormatPr defaultRowHeight="15"/>
  <cols>
    <col min="1" max="1" width="22.935653686523438" customWidth="1"/>
    <col min="2" max="2" width="40.570220947265625" customWidth="1"/>
    <col min="3" max="3" width="18.236316680908203" customWidth="1"/>
    <col min="4" max="4" width="17.443378448486328" customWidth="1"/>
    <col min="5" max="5" width="40.570220947265625" customWidth="1"/>
    <col min="6" max="6" width="117.89289093017578" customWidth="1"/>
    <col min="7" max="7" width="17.443378448486328" customWidth="1"/>
    <col min="8" max="8" width="25.59624671936035" customWidth="1"/>
    <col min="9" max="9" width="37.43392562866211" customWidth="1"/>
  </cols>
  <sheetData>
    <row r="1">
      <c r="A1" s="2" t="s">
        <v>985</v>
      </c>
      <c r="B1" s="2" t="s">
        <v>1</v>
      </c>
      <c r="C1" s="2" t="s">
        <v>478</v>
      </c>
      <c r="D1" s="2" t="s">
        <v>767</v>
      </c>
      <c r="E1" s="2" t="s">
        <v>358</v>
      </c>
      <c r="F1" s="2" t="s">
        <v>802</v>
      </c>
      <c r="G1" s="2" t="s">
        <v>8</v>
      </c>
      <c r="H1" s="2" t="s">
        <v>986</v>
      </c>
      <c r="I1" s="2" t="s">
        <v>94</v>
      </c>
    </row>
    <row r="2">
      <c r="A2" s="3" t="s">
        <v>987</v>
      </c>
      <c r="B2" s="4" t="str">
        <f>E2</f>
        <v>Why the preparer cannot approve</v>
      </c>
      <c r="C2" s="3" t="s">
        <v>369</v>
      </c>
      <c r="D2" s="3" t="s">
        <v>572</v>
      </c>
      <c r="E2" s="3" t="s">
        <v>988</v>
      </c>
      <c r="F2" s="3" t="s">
        <v>989</v>
      </c>
      <c r="G2" s="3" t="s">
        <v>462</v>
      </c>
      <c r="H2" s="3" t="s">
        <v>208</v>
      </c>
      <c r="I2" s="3" t="s">
        <v>990</v>
      </c>
    </row>
    <row r="3">
      <c r="A3" s="3" t="s">
        <v>991</v>
      </c>
      <c r="B3" s="4" t="str">
        <f>E3</f>
        <v>Why AI ranks but does not close variances</v>
      </c>
      <c r="C3" s="3" t="s">
        <v>369</v>
      </c>
      <c r="D3" s="3" t="s">
        <v>567</v>
      </c>
      <c r="E3" s="3" t="s">
        <v>992</v>
      </c>
      <c r="F3" s="3" t="s">
        <v>993</v>
      </c>
      <c r="G3" s="3" t="s">
        <v>462</v>
      </c>
      <c r="H3" s="3" t="s">
        <v>208</v>
      </c>
      <c r="I3" s="3" t="s">
        <v>990</v>
      </c>
    </row>
    <row r="4">
      <c r="A4" s="3" t="s">
        <v>994</v>
      </c>
      <c r="B4" s="4" t="str">
        <f>E4</f>
        <v>Why AI may draft but not approve</v>
      </c>
      <c r="C4" s="3" t="s">
        <v>375</v>
      </c>
      <c r="D4" s="3" t="s">
        <v>597</v>
      </c>
      <c r="E4" s="3" t="s">
        <v>995</v>
      </c>
      <c r="F4" s="3" t="s">
        <v>996</v>
      </c>
      <c r="G4" s="3" t="s">
        <v>462</v>
      </c>
      <c r="H4" s="3" t="s">
        <v>216</v>
      </c>
      <c r="I4" s="3" t="s">
        <v>990</v>
      </c>
    </row>
    <row r="5">
      <c r="A5" s="3" t="s">
        <v>997</v>
      </c>
      <c r="B5" s="4" t="str">
        <f>E5</f>
        <v>Why both email and SMS exist</v>
      </c>
      <c r="C5" s="3" t="s">
        <v>375</v>
      </c>
      <c r="D5" s="3" t="s">
        <v>610</v>
      </c>
      <c r="E5" s="3" t="s">
        <v>998</v>
      </c>
      <c r="F5" s="3" t="s">
        <v>999</v>
      </c>
      <c r="G5" s="3" t="s">
        <v>462</v>
      </c>
      <c r="H5" s="3" t="s">
        <v>224</v>
      </c>
      <c r="I5" s="3" t="s">
        <v>990</v>
      </c>
    </row>
  </sheetData>
  <autoFilter ref="A1:I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5"/>
  <sheetViews>
    <sheetView workbookViewId="0">
      <pane ySplit="1" topLeftCell="A2" state="frozen" activePane="bottomLeft"/>
      <selection pane="bottomLeft" activeCell="A1" sqref="A1"/>
    </sheetView>
  </sheetViews>
  <sheetFormatPr defaultRowHeight="15"/>
  <cols>
    <col min="1" max="1" width="20.079631805419922" customWidth="1"/>
    <col min="2" max="2" width="28.118703842163086" customWidth="1"/>
    <col min="3" max="3" width="18.236316680908203" customWidth="1"/>
    <col min="4" max="4" width="17.443378448486328" customWidth="1"/>
    <col min="5" max="5" width="28.118703842163086" customWidth="1"/>
    <col min="6" max="6" width="110.68605041503906" customWidth="1"/>
    <col min="7" max="7" width="17.443378448486328" customWidth="1"/>
    <col min="8" max="8" width="21.020431518554688" customWidth="1"/>
    <col min="9" max="9" width="17.443378448486328" customWidth="1"/>
    <col min="10" max="10" width="23.760543823242188" customWidth="1"/>
    <col min="11" max="11" width="37.680904388427734" customWidth="1"/>
  </cols>
  <sheetData>
    <row r="1">
      <c r="A1" s="2" t="s">
        <v>1000</v>
      </c>
      <c r="B1" s="2" t="s">
        <v>1</v>
      </c>
      <c r="C1" s="2" t="s">
        <v>478</v>
      </c>
      <c r="D1" s="2" t="s">
        <v>1001</v>
      </c>
      <c r="E1" s="2" t="s">
        <v>625</v>
      </c>
      <c r="F1" s="2" t="s">
        <v>1002</v>
      </c>
      <c r="G1" s="2" t="s">
        <v>1003</v>
      </c>
      <c r="H1" s="2" t="s">
        <v>1004</v>
      </c>
      <c r="I1" s="2" t="s">
        <v>8</v>
      </c>
      <c r="J1" s="2" t="s">
        <v>1005</v>
      </c>
      <c r="K1" s="2" t="s">
        <v>94</v>
      </c>
    </row>
    <row r="2">
      <c r="A2" s="3" t="s">
        <v>1006</v>
      </c>
      <c r="B2" s="4" t="str">
        <f>E2</f>
        <v>CFO unavailable during close</v>
      </c>
      <c r="C2" s="3" t="s">
        <v>369</v>
      </c>
      <c r="D2" s="3" t="s">
        <v>576</v>
      </c>
      <c r="E2" s="3" t="s">
        <v>1007</v>
      </c>
      <c r="F2" s="3" t="s">
        <v>1008</v>
      </c>
      <c r="G2" s="3" t="s">
        <v>212</v>
      </c>
      <c r="H2" s="3" t="s">
        <v>208</v>
      </c>
      <c r="I2" s="3" t="s">
        <v>309</v>
      </c>
      <c r="J2" s="4" t="str">
        <f>IF(((I2 = "Active")=TRUE),  D2,  "")</f>
        <v>close-06</v>
      </c>
      <c r="K2" s="3" t="s">
        <v>1009</v>
      </c>
    </row>
    <row r="3">
      <c r="A3" s="3" t="s">
        <v>1010</v>
      </c>
      <c r="B3" s="4" t="str">
        <f>E3</f>
        <v>ERP source unavailable</v>
      </c>
      <c r="C3" s="3" t="s">
        <v>369</v>
      </c>
      <c r="D3" s="3" t="s">
        <v>556</v>
      </c>
      <c r="E3" s="3" t="s">
        <v>1011</v>
      </c>
      <c r="F3" s="3" t="s">
        <v>1012</v>
      </c>
      <c r="G3" s="3" t="s">
        <v>208</v>
      </c>
      <c r="H3" s="3" t="s">
        <v>228</v>
      </c>
      <c r="I3" s="3" t="s">
        <v>309</v>
      </c>
      <c r="J3" s="4" t="str">
        <f>IF(((I3 = "Active")=TRUE),  D3,  "")</f>
        <v>close-02</v>
      </c>
      <c r="K3" s="3" t="s">
        <v>1009</v>
      </c>
    </row>
    <row r="4">
      <c r="A4" s="3" t="s">
        <v>1013</v>
      </c>
      <c r="B4" s="4" t="str">
        <f>E4</f>
        <v>Recipient lacks SMS consent</v>
      </c>
      <c r="C4" s="3" t="s">
        <v>375</v>
      </c>
      <c r="D4" s="3" t="s">
        <v>610</v>
      </c>
      <c r="E4" s="3" t="s">
        <v>1014</v>
      </c>
      <c r="F4" s="3" t="s">
        <v>1015</v>
      </c>
      <c r="G4" s="3" t="s">
        <v>216</v>
      </c>
      <c r="H4" s="3" t="s">
        <v>240</v>
      </c>
      <c r="I4" s="3" t="s">
        <v>309</v>
      </c>
      <c r="J4" s="4" t="str">
        <f>IF(((I4 = "Active")=TRUE),  D4,  "")</f>
        <v>policy-07</v>
      </c>
      <c r="K4" s="3" t="s">
        <v>1009</v>
      </c>
    </row>
    <row r="5">
      <c r="A5" s="3" t="s">
        <v>1016</v>
      </c>
      <c r="B5" s="4" t="str">
        <f>E5</f>
        <v>Recipient unreachable</v>
      </c>
      <c r="C5" s="3" t="s">
        <v>375</v>
      </c>
      <c r="D5" s="3" t="s">
        <v>613</v>
      </c>
      <c r="E5" s="3" t="s">
        <v>1017</v>
      </c>
      <c r="F5" s="3" t="s">
        <v>1018</v>
      </c>
      <c r="G5" s="3" t="s">
        <v>216</v>
      </c>
      <c r="H5" s="3" t="s">
        <v>244</v>
      </c>
      <c r="I5" s="3" t="s">
        <v>309</v>
      </c>
      <c r="J5" s="4" t="str">
        <f>IF(((I5 = "Active")=TRUE),  D5,  "")</f>
        <v>policy-08</v>
      </c>
      <c r="K5" s="3" t="s">
        <v>1009</v>
      </c>
    </row>
  </sheetData>
  <autoFilter ref="A1:K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9"/>
  <sheetViews>
    <sheetView workbookViewId="0">
      <pane ySplit="1" topLeftCell="A2" state="frozen" activePane="bottomLeft"/>
      <selection pane="bottomLeft" activeCell="A1" sqref="A1"/>
    </sheetView>
  </sheetViews>
  <sheetFormatPr defaultRowHeight="15"/>
  <cols>
    <col min="1" max="1" width="19.96071434020996" customWidth="1"/>
    <col min="2" max="2" width="41.8110466003418" customWidth="1"/>
    <col min="3" max="3" width="41.8110466003418" customWidth="1"/>
    <col min="4" max="4" width="18.949037551879883" customWidth="1"/>
    <col min="5" max="5" width="34.822574615478516" customWidth="1"/>
    <col min="6" max="6" width="23.35041618347168" customWidth="1"/>
    <col min="7" max="7" width="23.35041618347168" customWidth="1"/>
    <col min="8" max="8" width="73.01481628417969" customWidth="1"/>
    <col min="9" max="9" width="17.443378448486328" customWidth="1"/>
    <col min="10" max="10" width="19.023061752319336" customWidth="1"/>
    <col min="11" max="11" width="36.788185119628906" customWidth="1"/>
  </cols>
  <sheetData>
    <row r="1">
      <c r="A1" s="2" t="s">
        <v>1019</v>
      </c>
      <c r="B1" s="2" t="s">
        <v>1</v>
      </c>
      <c r="C1" s="2" t="s">
        <v>358</v>
      </c>
      <c r="D1" s="2" t="s">
        <v>1020</v>
      </c>
      <c r="E1" s="2" t="s">
        <v>1021</v>
      </c>
      <c r="F1" s="2" t="s">
        <v>1022</v>
      </c>
      <c r="G1" s="2" t="s">
        <v>379</v>
      </c>
      <c r="H1" s="2" t="s">
        <v>1023</v>
      </c>
      <c r="I1" s="2" t="s">
        <v>1024</v>
      </c>
      <c r="J1" s="2" t="s">
        <v>1025</v>
      </c>
      <c r="K1" s="2" t="s">
        <v>94</v>
      </c>
    </row>
    <row r="2">
      <c r="A2" s="3" t="s">
        <v>1026</v>
      </c>
      <c r="B2" s="4" t="str">
        <f>C2</f>
        <v>Quarter-End Close SOP PDF</v>
      </c>
      <c r="C2" s="3" t="s">
        <v>1027</v>
      </c>
      <c r="D2" s="3" t="s">
        <v>1028</v>
      </c>
      <c r="E2" s="3" t="s">
        <v>1029</v>
      </c>
      <c r="F2" s="5">
        <v>45931.583333333336</v>
      </c>
      <c r="G2" s="5">
        <v>46113.583333333336</v>
      </c>
      <c r="H2" s="3" t="s">
        <v>1030</v>
      </c>
      <c r="I2" s="3"/>
      <c r="J2" s="4" t="b">
        <f>I2 = "Approved"</f>
        <v>0</v>
      </c>
      <c r="K2" s="3" t="s">
        <v>1031</v>
      </c>
    </row>
    <row r="3">
      <c r="A3" s="3" t="s">
        <v>1032</v>
      </c>
      <c r="B3" s="4" t="str">
        <f>C3</f>
        <v>ERP Ledger API</v>
      </c>
      <c r="C3" s="3" t="s">
        <v>1033</v>
      </c>
      <c r="D3" s="3" t="s">
        <v>1034</v>
      </c>
      <c r="E3" s="3" t="s">
        <v>1035</v>
      </c>
      <c r="F3" s="5">
        <v>46023.25</v>
      </c>
      <c r="G3" s="5">
        <v>46222.541666666664</v>
      </c>
      <c r="H3" s="3" t="s">
        <v>1036</v>
      </c>
      <c r="I3" s="3"/>
      <c r="J3" s="4" t="b">
        <f>I3 = "Approved"</f>
        <v>0</v>
      </c>
      <c r="K3" s="3" t="s">
        <v>1031</v>
      </c>
    </row>
    <row r="4">
      <c r="A4" s="3" t="s">
        <v>1037</v>
      </c>
      <c r="B4" s="4" t="str">
        <f>C4</f>
        <v>Close Control Checklist</v>
      </c>
      <c r="C4" s="3" t="s">
        <v>1038</v>
      </c>
      <c r="D4" s="3" t="s">
        <v>1039</v>
      </c>
      <c r="E4" s="3" t="s">
        <v>1040</v>
      </c>
      <c r="F4" s="5">
        <v>46127.583333333336</v>
      </c>
      <c r="G4" s="5">
        <v>46205.833333333336</v>
      </c>
      <c r="H4" s="3" t="s">
        <v>1041</v>
      </c>
      <c r="I4" s="3"/>
      <c r="J4" s="4" t="b">
        <f>I4 = "Approved"</f>
        <v>0</v>
      </c>
      <c r="K4" s="3" t="s">
        <v>1031</v>
      </c>
    </row>
    <row r="5">
      <c r="A5" s="3" t="s">
        <v>1042</v>
      </c>
      <c r="B5" s="4" t="str">
        <f>C5</f>
        <v>Approved Workforce Policy Source</v>
      </c>
      <c r="C5" s="3" t="s">
        <v>1043</v>
      </c>
      <c r="D5" s="3" t="s">
        <v>1028</v>
      </c>
      <c r="E5" s="3" t="s">
        <v>1044</v>
      </c>
      <c r="F5" s="5">
        <v>46174.583333333336</v>
      </c>
      <c r="G5" s="5">
        <v>46221.895833333336</v>
      </c>
      <c r="H5" s="3" t="s">
        <v>1045</v>
      </c>
      <c r="I5" s="3"/>
      <c r="J5" s="4" t="b">
        <f>I5 = "Approved"</f>
        <v>0</v>
      </c>
      <c r="K5" s="3" t="s">
        <v>1031</v>
      </c>
    </row>
    <row r="6">
      <c r="A6" s="3" t="s">
        <v>1046</v>
      </c>
      <c r="B6" s="4" t="str">
        <f>C6</f>
        <v>Employee Communication Consent Registry</v>
      </c>
      <c r="C6" s="3" t="s">
        <v>1047</v>
      </c>
      <c r="D6" s="3" t="s">
        <v>1048</v>
      </c>
      <c r="E6" s="3" t="s">
        <v>1049</v>
      </c>
      <c r="F6" s="5">
        <v>46082.25</v>
      </c>
      <c r="G6" s="5">
        <v>46222.697916666664</v>
      </c>
      <c r="H6" s="3" t="s">
        <v>1050</v>
      </c>
      <c r="I6" s="3"/>
      <c r="J6" s="4" t="b">
        <f>I6 = "Approved"</f>
        <v>0</v>
      </c>
      <c r="K6" s="3" t="s">
        <v>1031</v>
      </c>
    </row>
    <row r="7">
      <c r="A7" s="3" t="s">
        <v>1051</v>
      </c>
      <c r="B7" s="4" t="str">
        <f>C7</f>
        <v>Employee Policy Email Template</v>
      </c>
      <c r="C7" s="3" t="s">
        <v>1052</v>
      </c>
      <c r="D7" s="3" t="s">
        <v>1053</v>
      </c>
      <c r="E7" s="3" t="s">
        <v>1054</v>
      </c>
      <c r="F7" s="5">
        <v>46174.583333333336</v>
      </c>
      <c r="G7" s="5">
        <v>46221.895833333336</v>
      </c>
      <c r="H7" s="3" t="s">
        <v>1055</v>
      </c>
      <c r="I7" s="3"/>
      <c r="J7" s="4" t="b">
        <f>I7 = "Approved"</f>
        <v>0</v>
      </c>
      <c r="K7" s="3" t="s">
        <v>1031</v>
      </c>
    </row>
    <row r="8">
      <c r="A8" s="3" t="s">
        <v>1056</v>
      </c>
      <c r="B8" s="4" t="str">
        <f>C8</f>
        <v>Employee Policy SMS Template</v>
      </c>
      <c r="C8" s="3" t="s">
        <v>1057</v>
      </c>
      <c r="D8" s="3" t="s">
        <v>1053</v>
      </c>
      <c r="E8" s="3" t="s">
        <v>1058</v>
      </c>
      <c r="F8" s="5">
        <v>46174.583333333336</v>
      </c>
      <c r="G8" s="5">
        <v>46221.895833333336</v>
      </c>
      <c r="H8" s="3" t="s">
        <v>1059</v>
      </c>
      <c r="I8" s="3"/>
      <c r="J8" s="4" t="b">
        <f>I8 = "Approved"</f>
        <v>0</v>
      </c>
      <c r="K8" s="3" t="s">
        <v>1031</v>
      </c>
    </row>
    <row r="9">
      <c r="A9" s="3" t="s">
        <v>1060</v>
      </c>
      <c r="B9" s="4" t="str">
        <f>C9</f>
        <v>Policy Change Ticket HR-4821</v>
      </c>
      <c r="C9" s="3" t="s">
        <v>1061</v>
      </c>
      <c r="D9" s="3" t="s">
        <v>1062</v>
      </c>
      <c r="E9" s="3" t="s">
        <v>1063</v>
      </c>
      <c r="F9" s="5">
        <v>46221.583333333336</v>
      </c>
      <c r="G9" s="5">
        <v>46222.645833333336</v>
      </c>
      <c r="H9" s="3" t="s">
        <v>1064</v>
      </c>
      <c r="I9" s="3"/>
      <c r="J9" s="4" t="b">
        <f>I9 = "Approved"</f>
        <v>0</v>
      </c>
      <c r="K9" s="3" t="s">
        <v>1031</v>
      </c>
    </row>
  </sheetData>
  <autoFilter ref="A1:K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9"/>
  <sheetViews>
    <sheetView workbookViewId="0">
      <pane ySplit="1" topLeftCell="A2" state="frozen" activePane="bottomLeft"/>
      <selection pane="bottomLeft" activeCell="A1" sqref="A1"/>
    </sheetView>
  </sheetViews>
  <sheetFormatPr defaultRowHeight="15"/>
  <cols>
    <col min="1" max="1" width="21.99313735961914" customWidth="1"/>
    <col min="2" max="2" width="33.64899826049805" customWidth="1"/>
    <col min="3" max="3" width="18.236316680908203" customWidth="1"/>
    <col min="4" max="4" width="19.96071434020996" customWidth="1"/>
    <col min="5" max="5" width="18.88961410522461" customWidth="1"/>
    <col min="6" max="6" width="39.19222640991211" customWidth="1"/>
  </cols>
  <sheetData>
    <row r="1">
      <c r="A1" s="2" t="s">
        <v>1065</v>
      </c>
      <c r="B1" s="2" t="s">
        <v>1</v>
      </c>
      <c r="C1" s="2" t="s">
        <v>478</v>
      </c>
      <c r="D1" s="2" t="s">
        <v>1066</v>
      </c>
      <c r="E1" s="2" t="s">
        <v>1067</v>
      </c>
      <c r="F1" s="2" t="s">
        <v>471</v>
      </c>
    </row>
    <row r="2">
      <c r="A2" s="3" t="s">
        <v>1068</v>
      </c>
      <c r="B2" s="4" t="str">
        <f>C2 &amp; " / " &amp; D2</f>
        <v>close-v1.1.0 / res-close-sop-pdf</v>
      </c>
      <c r="C2" s="3" t="s">
        <v>369</v>
      </c>
      <c r="D2" s="3" t="s">
        <v>1026</v>
      </c>
      <c r="E2" s="3" t="s">
        <v>1069</v>
      </c>
      <c r="F2" s="4" t="str">
        <f>IF(((E2 = "wasExtractedFrom")=TRUE),  "https://w3id.org/pko#wasExtractedFrom",  "http://purl.org/dc/terms/references")</f>
        <v>https://w3id.org/pko#wasExtractedFrom</v>
      </c>
    </row>
    <row r="3">
      <c r="A3" s="3" t="s">
        <v>1070</v>
      </c>
      <c r="B3" s="4" t="str">
        <f>C3 &amp; " / " &amp; D3</f>
        <v>close-v1.1.0 / res-erp-api</v>
      </c>
      <c r="C3" s="3" t="s">
        <v>369</v>
      </c>
      <c r="D3" s="3" t="s">
        <v>1032</v>
      </c>
      <c r="E3" s="3" t="s">
        <v>1071</v>
      </c>
      <c r="F3" s="4" t="str">
        <f>IF(((E3 = "wasExtractedFrom")=TRUE),  "https://w3id.org/pko#wasExtractedFrom",  "http://purl.org/dc/terms/references")</f>
        <v>http://purl.org/dc/terms/references</v>
      </c>
    </row>
    <row r="4">
      <c r="A4" s="3" t="s">
        <v>1072</v>
      </c>
      <c r="B4" s="4" t="str">
        <f>C4 &amp; " / " &amp; D4</f>
        <v>close-v1.1.0 / res-close-checklist</v>
      </c>
      <c r="C4" s="3" t="s">
        <v>369</v>
      </c>
      <c r="D4" s="3" t="s">
        <v>1037</v>
      </c>
      <c r="E4" s="3" t="s">
        <v>1071</v>
      </c>
      <c r="F4" s="4" t="str">
        <f>IF(((E4 = "wasExtractedFrom")=TRUE),  "https://w3id.org/pko#wasExtractedFrom",  "http://purl.org/dc/terms/references")</f>
        <v>http://purl.org/dc/terms/references</v>
      </c>
    </row>
    <row r="5">
      <c r="A5" s="3" t="s">
        <v>1073</v>
      </c>
      <c r="B5" s="4" t="str">
        <f>C5 &amp; " / " &amp; D5</f>
        <v>policy-v1.0.0 / res-policy-source</v>
      </c>
      <c r="C5" s="3" t="s">
        <v>375</v>
      </c>
      <c r="D5" s="3" t="s">
        <v>1042</v>
      </c>
      <c r="E5" s="3" t="s">
        <v>1069</v>
      </c>
      <c r="F5" s="4" t="str">
        <f>IF(((E5 = "wasExtractedFrom")=TRUE),  "https://w3id.org/pko#wasExtractedFrom",  "http://purl.org/dc/terms/references")</f>
        <v>https://w3id.org/pko#wasExtractedFrom</v>
      </c>
    </row>
    <row r="6">
      <c r="A6" s="3" t="s">
        <v>1074</v>
      </c>
      <c r="B6" s="4" t="str">
        <f>C6 &amp; " / " &amp; D6</f>
        <v>policy-v1.0.0 / res-consent-registry</v>
      </c>
      <c r="C6" s="3" t="s">
        <v>375</v>
      </c>
      <c r="D6" s="3" t="s">
        <v>1046</v>
      </c>
      <c r="E6" s="3" t="s">
        <v>1071</v>
      </c>
      <c r="F6" s="4" t="str">
        <f>IF(((E6 = "wasExtractedFrom")=TRUE),  "https://w3id.org/pko#wasExtractedFrom",  "http://purl.org/dc/terms/references")</f>
        <v>http://purl.org/dc/terms/references</v>
      </c>
    </row>
    <row r="7">
      <c r="A7" s="3" t="s">
        <v>1075</v>
      </c>
      <c r="B7" s="4" t="str">
        <f>C7 &amp; " / " &amp; D7</f>
        <v>policy-v1.0.0 / res-email-template</v>
      </c>
      <c r="C7" s="3" t="s">
        <v>375</v>
      </c>
      <c r="D7" s="3" t="s">
        <v>1051</v>
      </c>
      <c r="E7" s="3" t="s">
        <v>1071</v>
      </c>
      <c r="F7" s="4" t="str">
        <f>IF(((E7 = "wasExtractedFrom")=TRUE),  "https://w3id.org/pko#wasExtractedFrom",  "http://purl.org/dc/terms/references")</f>
        <v>http://purl.org/dc/terms/references</v>
      </c>
    </row>
    <row r="8">
      <c r="A8" s="3" t="s">
        <v>1076</v>
      </c>
      <c r="B8" s="4" t="str">
        <f>C8 &amp; " / " &amp; D8</f>
        <v>policy-v1.0.0 / res-sms-template</v>
      </c>
      <c r="C8" s="3" t="s">
        <v>375</v>
      </c>
      <c r="D8" s="3" t="s">
        <v>1056</v>
      </c>
      <c r="E8" s="3" t="s">
        <v>1071</v>
      </c>
      <c r="F8" s="4" t="str">
        <f>IF(((E8 = "wasExtractedFrom")=TRUE),  "https://w3id.org/pko#wasExtractedFrom",  "http://purl.org/dc/terms/references")</f>
        <v>http://purl.org/dc/terms/references</v>
      </c>
    </row>
    <row r="9">
      <c r="A9" s="3" t="s">
        <v>1077</v>
      </c>
      <c r="B9" s="4" t="str">
        <f>C9 &amp; " / " &amp; D9</f>
        <v>policy-v1.0.0 / res-change-ticket</v>
      </c>
      <c r="C9" s="3" t="s">
        <v>375</v>
      </c>
      <c r="D9" s="3" t="s">
        <v>1060</v>
      </c>
      <c r="E9" s="3" t="s">
        <v>1071</v>
      </c>
      <c r="F9" s="4" t="str">
        <f>IF(((E9 = "wasExtractedFrom")=TRUE),  "https://w3id.org/pko#wasExtractedFrom",  "http://purl.org/dc/terms/references")</f>
        <v>http://purl.org/dc/terms/references</v>
      </c>
    </row>
  </sheetData>
  <autoFilter ref="A1:F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4"/>
  <sheetViews>
    <sheetView workbookViewId="0">
      <pane ySplit="1" topLeftCell="A2" state="frozen" activePane="bottomLeft"/>
      <selection pane="bottomLeft" activeCell="A1" sqref="A1"/>
    </sheetView>
  </sheetViews>
  <sheetFormatPr defaultRowHeight="15"/>
  <cols>
    <col min="1" max="1" width="21.721635818481445" customWidth="1"/>
    <col min="2" max="2" width="51.86770248413086" customWidth="1"/>
    <col min="3" max="3" width="18.236316680908203" customWidth="1"/>
    <col min="4" max="4" width="20.961528778076172" customWidth="1"/>
    <col min="5" max="5" width="23.35041618347168" customWidth="1"/>
    <col min="6" max="6" width="23.35041618347168" customWidth="1"/>
    <col min="7" max="7" width="17.759117126464844" customWidth="1"/>
    <col min="8" max="8" width="17.443378448486328" customWidth="1"/>
    <col min="9" max="9" width="89.01746368408203" customWidth="1"/>
    <col min="10" max="10" width="17.443378448486328" customWidth="1"/>
    <col min="11" max="11" width="18.547500610351562" customWidth="1"/>
    <col min="12" max="12" width="23.35041618347168" customWidth="1"/>
    <col min="13" max="13" width="17.622900009155273" customWidth="1"/>
    <col min="14" max="14" width="23.22098731994629" customWidth="1"/>
    <col min="15" max="15" width="25.42095947265625" customWidth="1"/>
    <col min="16" max="16" width="24.74830436706543" customWidth="1"/>
    <col min="17" max="17" width="19.249311447143555" customWidth="1"/>
    <col min="18" max="18" width="28.33909034729004" customWidth="1"/>
    <col min="19" max="19" width="27.347814559936523" customWidth="1"/>
    <col min="20" max="20" width="31.00108528137207" customWidth="1"/>
    <col min="21" max="21" width="34.941070556640625" customWidth="1"/>
  </cols>
  <sheetData>
    <row r="1">
      <c r="A1" s="2" t="s">
        <v>1078</v>
      </c>
      <c r="B1" s="2" t="s">
        <v>1</v>
      </c>
      <c r="C1" s="2" t="s">
        <v>478</v>
      </c>
      <c r="D1" s="2" t="s">
        <v>1079</v>
      </c>
      <c r="E1" s="2" t="s">
        <v>1080</v>
      </c>
      <c r="F1" s="2" t="s">
        <v>1081</v>
      </c>
      <c r="G1" s="2" t="s">
        <v>1082</v>
      </c>
      <c r="H1" s="2" t="s">
        <v>1083</v>
      </c>
      <c r="I1" s="2" t="s">
        <v>1084</v>
      </c>
      <c r="J1" s="2" t="s">
        <v>8</v>
      </c>
      <c r="K1" s="2" t="s">
        <v>258</v>
      </c>
      <c r="L1" s="2" t="s">
        <v>92</v>
      </c>
      <c r="M1" s="2" t="s">
        <v>1085</v>
      </c>
      <c r="N1" s="2" t="s">
        <v>1086</v>
      </c>
      <c r="O1" s="2" t="s">
        <v>1087</v>
      </c>
      <c r="P1" s="2" t="s">
        <v>1088</v>
      </c>
      <c r="Q1" s="2" t="s">
        <v>1089</v>
      </c>
      <c r="R1" s="2" t="s">
        <v>1090</v>
      </c>
      <c r="S1" s="2" t="s">
        <v>1091</v>
      </c>
      <c r="T1" s="2" t="s">
        <v>1092</v>
      </c>
      <c r="U1" s="2" t="s">
        <v>94</v>
      </c>
    </row>
    <row r="2">
      <c r="A2" s="3" t="s">
        <v>1093</v>
      </c>
      <c r="B2" s="4" t="str">
        <f>D2 &amp; " / " &amp; IF(((E2="")=TRUE),  "",  TEXT(E2, "yyyy-mm-dd\Thh:mm:ss")&amp;"+00:00")</f>
        <v>Shadowing / 2026-04-03T14:00:00+00:00</v>
      </c>
      <c r="C2" s="3" t="s">
        <v>369</v>
      </c>
      <c r="D2" s="3" t="s">
        <v>1094</v>
      </c>
      <c r="E2" s="5">
        <v>46115.583333333336</v>
      </c>
      <c r="F2" s="5">
        <v>46115.708333333336</v>
      </c>
      <c r="G2" s="3" t="s">
        <v>145</v>
      </c>
      <c r="H2" s="3" t="s">
        <v>139</v>
      </c>
      <c r="I2" s="3" t="s">
        <v>1095</v>
      </c>
      <c r="J2" s="3" t="s">
        <v>462</v>
      </c>
      <c r="K2" s="3" t="s">
        <v>95</v>
      </c>
      <c r="L2" s="7">
        <f>_xlfn.IFNA(IF(((INDEX(EvaluationContexts!D2:D2, MATCH(K2,EvaluationContexts!A2:A2, 0))="")=TRUE),  "",  INDEX(EvaluationContexts!D2:D2, MATCH(K2,EvaluationContexts!A2:A2, 0))), "")</f>
        <v>46222.75</v>
      </c>
      <c r="M2" s="6">
        <f>IF((IF(((OR((((L2)="")=TRUE), (((F2)="")=TRUE)))=TRUE),  0,  (INT(L2) - INT(F2))))="", "", ROUND((IF(((OR((((L2)="")=TRUE), (((F2)="")=TRUE)))=TRUE),  0,  (INT(L2) - INT(F2)))), 0))</f>
        <v>107</v>
      </c>
      <c r="N2" s="4" t="b">
        <f>OR(((D2 = "Shadowing")=TRUE), ((D2 = "PractitionerInterview")=TRUE))</f>
        <v>1</v>
      </c>
      <c r="O2" s="4" t="b">
        <f>_xlfn.IFNA(IF(((INDEX(Agents!I2:I12, MATCH(G2,Agents!A2:A12, 0))="")=TRUE),  "",  INDEX(Agents!I2:I12, MATCH(G2,Agents!A2:A12, 0))), "")</f>
        <v>1</v>
      </c>
      <c r="P2" s="4">
        <f>COUNTIFS(KnowledgeFragments!BF2:BF8, A2)</f>
        <v>3</v>
      </c>
      <c r="Q2" s="4" t="b">
        <f>P2 &gt;= 3</f>
        <v>1</v>
      </c>
      <c r="R2" s="4" t="b">
        <f>AND(((N2)=TRUE), ((Q2)=TRUE))</f>
        <v>1</v>
      </c>
      <c r="S2" s="4" t="b">
        <f>AND(((R2)=TRUE), ((M2 &gt; 180)=TRUE))</f>
        <v>0</v>
      </c>
      <c r="T2" s="4" t="str">
        <f>IF(((R2)=TRUE),  C2,  "")</f>
        <v>close-v1.1.0</v>
      </c>
      <c r="U2" s="3" t="s">
        <v>1096</v>
      </c>
    </row>
    <row r="3">
      <c r="A3" s="3" t="s">
        <v>1097</v>
      </c>
      <c r="B3" s="4" t="str">
        <f>D3 &amp; " / " &amp; IF(((E3="")=TRUE),  "",  TEXT(E3, "yyyy-mm-dd\Thh:mm:ss")&amp;"+00:00")</f>
        <v>FacilitatedWorkshop / 2026-05-10T15:00:00+00:00</v>
      </c>
      <c r="C3" s="3" t="s">
        <v>375</v>
      </c>
      <c r="D3" s="3" t="s">
        <v>1098</v>
      </c>
      <c r="E3" s="5">
        <v>46152.625</v>
      </c>
      <c r="F3" s="5">
        <v>46152.791666666664</v>
      </c>
      <c r="G3" s="3" t="s">
        <v>153</v>
      </c>
      <c r="H3" s="3" t="s">
        <v>161</v>
      </c>
      <c r="I3" s="3" t="s">
        <v>1099</v>
      </c>
      <c r="J3" s="3" t="s">
        <v>462</v>
      </c>
      <c r="K3" s="3" t="s">
        <v>95</v>
      </c>
      <c r="L3" s="7">
        <f>_xlfn.IFNA(IF(((INDEX(EvaluationContexts!D2:D2, MATCH(K3,EvaluationContexts!A2:A2, 0))="")=TRUE),  "",  INDEX(EvaluationContexts!D2:D2, MATCH(K3,EvaluationContexts!A2:A2, 0))), "")</f>
        <v>46222.75</v>
      </c>
      <c r="M3" s="6">
        <f>IF((IF(((OR((((L3)="")=TRUE), (((F3)="")=TRUE)))=TRUE),  0,  (INT(L3) - INT(F3))))="", "", ROUND((IF(((OR((((L3)="")=TRUE), (((F3)="")=TRUE)))=TRUE),  0,  (INT(L3) - INT(F3)))), 0))</f>
        <v>70</v>
      </c>
      <c r="N3" s="4" t="b">
        <f>OR(((D3 = "Shadowing")=TRUE), ((D3 = "PractitionerInterview")=TRUE))</f>
        <v>0</v>
      </c>
      <c r="O3" s="4" t="b">
        <f>_xlfn.IFNA(IF(((INDEX(Agents!I2:I12, MATCH(G3,Agents!A2:A12, 0))="")=TRUE),  "",  INDEX(Agents!I2:I12, MATCH(G3,Agents!A2:A12, 0))), "")</f>
        <v>1</v>
      </c>
      <c r="P3" s="4">
        <f>COUNTIFS(KnowledgeFragments!BF2:BF8, A3)</f>
        <v>1</v>
      </c>
      <c r="Q3" s="4" t="b">
        <f>P3 &gt;= 3</f>
        <v>0</v>
      </c>
      <c r="R3" s="4" t="b">
        <f>AND(((N3)=TRUE), ((Q3)=TRUE))</f>
        <v>0</v>
      </c>
      <c r="S3" s="4" t="b">
        <f>AND(((R3)=TRUE), ((M3 &gt; 180)=TRUE))</f>
        <v>0</v>
      </c>
      <c r="T3" s="4" t="str">
        <f>IF(((R3)=TRUE),  C3,  "")</f>
      </c>
      <c r="U3" s="3" t="s">
        <v>1096</v>
      </c>
    </row>
    <row r="4">
      <c r="A4" s="3" t="s">
        <v>1100</v>
      </c>
      <c r="B4" s="4" t="str">
        <f>D4 &amp; " / " &amp; IF(((E4="")=TRUE),  "",  TEXT(E4, "yyyy-mm-dd\Thh:mm:ss")&amp;"+00:00")</f>
        <v>PractitionerInterview / 2026-05-12T18:00:00+00:00</v>
      </c>
      <c r="C4" s="3" t="s">
        <v>375</v>
      </c>
      <c r="D4" s="3" t="s">
        <v>1101</v>
      </c>
      <c r="E4" s="5">
        <v>46154.75</v>
      </c>
      <c r="F4" s="5">
        <v>46154.8125</v>
      </c>
      <c r="G4" s="3" t="s">
        <v>157</v>
      </c>
      <c r="H4" s="3" t="s">
        <v>153</v>
      </c>
      <c r="I4" s="3" t="s">
        <v>1102</v>
      </c>
      <c r="J4" s="3" t="s">
        <v>462</v>
      </c>
      <c r="K4" s="3" t="s">
        <v>95</v>
      </c>
      <c r="L4" s="7">
        <f>_xlfn.IFNA(IF(((INDEX(EvaluationContexts!D2:D2, MATCH(K4,EvaluationContexts!A2:A2, 0))="")=TRUE),  "",  INDEX(EvaluationContexts!D2:D2, MATCH(K4,EvaluationContexts!A2:A2, 0))), "")</f>
        <v>46222.75</v>
      </c>
      <c r="M4" s="6">
        <f>IF((IF(((OR((((L4)="")=TRUE), (((F4)="")=TRUE)))=TRUE),  0,  (INT(L4) - INT(F4))))="", "", ROUND((IF(((OR((((L4)="")=TRUE), (((F4)="")=TRUE)))=TRUE),  0,  (INT(L4) - INT(F4)))), 0))</f>
        <v>68</v>
      </c>
      <c r="N4" s="4" t="b">
        <f>OR(((D4 = "Shadowing")=TRUE), ((D4 = "PractitionerInterview")=TRUE))</f>
        <v>1</v>
      </c>
      <c r="O4" s="4" t="b">
        <f>_xlfn.IFNA(IF(((INDEX(Agents!I2:I12, MATCH(G4,Agents!A2:A12, 0))="")=TRUE),  "",  INDEX(Agents!I2:I12, MATCH(G4,Agents!A2:A12, 0))), "")</f>
        <v>1</v>
      </c>
      <c r="P4" s="4">
        <f>COUNTIFS(KnowledgeFragments!BF2:BF8, A4)</f>
        <v>1</v>
      </c>
      <c r="Q4" s="4" t="b">
        <f>P4 &gt;= 3</f>
        <v>0</v>
      </c>
      <c r="R4" s="4" t="b">
        <f>AND(((N4)=TRUE), ((Q4)=TRUE))</f>
        <v>0</v>
      </c>
      <c r="S4" s="4" t="b">
        <f>AND(((R4)=TRUE), ((M4 &gt; 180)=TRUE))</f>
        <v>0</v>
      </c>
      <c r="T4" s="4" t="str">
        <f>IF(((R4)=TRUE),  C4,  "")</f>
      </c>
      <c r="U4" s="3" t="s">
        <v>1096</v>
      </c>
    </row>
  </sheetData>
  <autoFilter ref="A1:U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B8"/>
  <sheetViews>
    <sheetView workbookViewId="0">
      <pane ySplit="1" topLeftCell="A2" state="frozen" activePane="bottomLeft"/>
      <selection pane="bottomLeft" activeCell="A1" sqref="A1"/>
    </sheetView>
  </sheetViews>
  <sheetFormatPr defaultRowHeight="15"/>
  <cols>
    <col min="1" max="1" width="23.963361740112305" customWidth="1"/>
    <col min="2" max="2" width="76.34149169921875" customWidth="1"/>
    <col min="3" max="3" width="18.236316680908203" customWidth="1"/>
    <col min="4" max="4" width="17.443378448486328" customWidth="1"/>
    <col min="5" max="5" width="18.166099548339844" customWidth="1"/>
    <col min="6" max="6" width="126.63520812988281" customWidth="1"/>
    <col min="7" max="7" width="21.721635818481445" customWidth="1"/>
    <col min="8" max="8" width="17.443378448486328" customWidth="1"/>
    <col min="9" max="9" width="17.443378448486328" customWidth="1"/>
    <col min="10" max="10" width="23.35041618347168" customWidth="1"/>
    <col min="11" max="11" width="17.443378448486328" customWidth="1"/>
    <col min="12" max="12" width="17.443378448486328" customWidth="1"/>
    <col min="13" max="13" width="25.59624671936035" customWidth="1"/>
    <col min="14" max="14" width="18.547500610351562" customWidth="1"/>
    <col min="15" max="15" width="23.35041618347168" customWidth="1"/>
    <col min="16" max="16" width="17.443378448486328" customWidth="1"/>
    <col min="17" max="17" width="26.586549758911133" customWidth="1"/>
    <col min="18" max="18" width="17.661924362182617" customWidth="1"/>
    <col min="19" max="19" width="18.399028778076172" customWidth="1"/>
    <col min="20" max="20" width="25.31153678894043" customWidth="1"/>
    <col min="21" max="21" width="25.449506759643555" customWidth="1"/>
    <col min="22" max="22" width="17.443378448486328" customWidth="1"/>
    <col min="23" max="23" width="23.39350700378418" customWidth="1"/>
    <col min="24" max="24" width="17.443378448486328" customWidth="1"/>
    <col min="25" max="25" width="27.941390991210938" customWidth="1"/>
    <col min="26" max="26" width="24.548154830932617" customWidth="1"/>
    <col min="27" max="27" width="26.133777618408203" customWidth="1"/>
    <col min="28" max="28" width="18.05153465270996" customWidth="1"/>
    <col min="29" max="29" width="22.88836669921875" customWidth="1"/>
    <col min="30" max="30" width="21.103544235229492" customWidth="1"/>
    <col min="31" max="31" width="20.409366607666016" customWidth="1"/>
    <col min="32" max="32" width="20.53921890258789" customWidth="1"/>
    <col min="33" max="33" width="17.443378448486328" customWidth="1"/>
    <col min="34" max="34" width="19.640636444091797" customWidth="1"/>
    <col min="35" max="35" width="17.443378448486328" customWidth="1"/>
    <col min="36" max="36" width="24.134780883789062" customWidth="1"/>
    <col min="37" max="37" width="24.871187210083008" customWidth="1"/>
    <col min="38" max="38" width="23.508134841918945" customWidth="1"/>
    <col min="39" max="39" width="34.10164260864258" customWidth="1"/>
    <col min="40" max="40" width="17.443378448486328" customWidth="1"/>
    <col min="41" max="41" width="17.660905838012695" customWidth="1"/>
    <col min="42" max="42" width="27.849763870239258" customWidth="1"/>
    <col min="43" max="43" width="24.163497924804688" customWidth="1"/>
    <col min="44" max="44" width="27.541410446166992" customWidth="1"/>
    <col min="45" max="45" width="21.439895629882812" customWidth="1"/>
    <col min="46" max="46" width="17.443378448486328" customWidth="1"/>
    <col min="47" max="47" width="17.491825103759766" customWidth="1"/>
    <col min="48" max="48" width="20.747098922729492" customWidth="1"/>
    <col min="49" max="49" width="21.17921257019043" customWidth="1"/>
    <col min="50" max="50" width="26.943134307861328" customWidth="1"/>
    <col min="51" max="51" width="31.35341453552246" customWidth="1"/>
    <col min="52" max="52" width="23.35041618347168" customWidth="1"/>
    <col min="53" max="53" width="20.12349510192871" customWidth="1"/>
    <col min="54" max="54" width="19.850061416625977" customWidth="1"/>
    <col min="55" max="55" width="22.132854461669922" customWidth="1"/>
    <col min="56" max="56" width="29.28501319885254" customWidth="1"/>
    <col min="57" max="57" width="28.012454986572266" customWidth="1"/>
    <col min="58" max="58" width="25.28095054626465" customWidth="1"/>
    <col min="59" max="59" width="34.329708099365234" customWidth="1"/>
    <col min="60" max="60" width="25.60809898376465" customWidth="1"/>
    <col min="61" max="61" width="35.620548248291016" customWidth="1"/>
    <col min="62" max="62" width="34.71349334716797" customWidth="1"/>
    <col min="63" max="63" width="40.70363998413086" customWidth="1"/>
    <col min="64" max="64" width="18.44802474975586" customWidth="1"/>
    <col min="65" max="65" width="23.339160919189453" customWidth="1"/>
    <col min="66" max="66" width="28.176898956298828" customWidth="1"/>
    <col min="67" max="67" width="20.666500091552734" customWidth="1"/>
    <col min="68" max="68" width="25.403196334838867" customWidth="1"/>
    <col min="69" max="69" width="30.009748458862305" customWidth="1"/>
    <col min="70" max="70" width="28.757068634033203" customWidth="1"/>
    <col min="71" max="71" width="23.22011947631836" customWidth="1"/>
    <col min="72" max="72" width="21.913434982299805" customWidth="1"/>
    <col min="73" max="73" width="24.99332046508789" customWidth="1"/>
    <col min="74" max="74" width="29.388891220092773" customWidth="1"/>
    <col min="75" max="75" width="19.673070907592773" customWidth="1"/>
    <col min="76" max="76" width="34.72513961791992" customWidth="1"/>
    <col min="77" max="77" width="21.054323196411133" customWidth="1"/>
    <col min="78" max="78" width="19.15142250061035" customWidth="1"/>
    <col min="79" max="79" width="25.158809661865234" customWidth="1"/>
    <col min="80" max="80" width="48.1507568359375" customWidth="1"/>
  </cols>
  <sheetData>
    <row r="1">
      <c r="A1" s="2" t="s">
        <v>1103</v>
      </c>
      <c r="B1" s="2" t="s">
        <v>1</v>
      </c>
      <c r="C1" s="2" t="s">
        <v>478</v>
      </c>
      <c r="D1" s="2" t="s">
        <v>767</v>
      </c>
      <c r="E1" s="2" t="s">
        <v>1104</v>
      </c>
      <c r="F1" s="2" t="s">
        <v>802</v>
      </c>
      <c r="G1" s="2" t="s">
        <v>1105</v>
      </c>
      <c r="H1" s="2" t="s">
        <v>1106</v>
      </c>
      <c r="I1" s="2" t="s">
        <v>1107</v>
      </c>
      <c r="J1" s="2" t="s">
        <v>255</v>
      </c>
      <c r="K1" s="2" t="s">
        <v>256</v>
      </c>
      <c r="L1" s="2" t="s">
        <v>8</v>
      </c>
      <c r="M1" s="2" t="s">
        <v>1108</v>
      </c>
      <c r="N1" s="2" t="s">
        <v>258</v>
      </c>
      <c r="O1" s="2" t="s">
        <v>92</v>
      </c>
      <c r="P1" s="2" t="s">
        <v>260</v>
      </c>
      <c r="Q1" s="2" t="s">
        <v>1109</v>
      </c>
      <c r="R1" s="2" t="s">
        <v>1110</v>
      </c>
      <c r="S1" s="2" t="s">
        <v>1111</v>
      </c>
      <c r="T1" s="2" t="s">
        <v>1112</v>
      </c>
      <c r="U1" s="2" t="s">
        <v>1113</v>
      </c>
      <c r="V1" s="2" t="s">
        <v>1114</v>
      </c>
      <c r="W1" s="2" t="s">
        <v>1115</v>
      </c>
      <c r="X1" s="2" t="s">
        <v>1116</v>
      </c>
      <c r="Y1" s="2" t="s">
        <v>1117</v>
      </c>
      <c r="Z1" s="2" t="s">
        <v>1118</v>
      </c>
      <c r="AA1" s="2" t="s">
        <v>1119</v>
      </c>
      <c r="AB1" s="2" t="s">
        <v>1120</v>
      </c>
      <c r="AC1" s="2" t="s">
        <v>1121</v>
      </c>
      <c r="AD1" s="2" t="s">
        <v>1122</v>
      </c>
      <c r="AE1" s="2" t="s">
        <v>1123</v>
      </c>
      <c r="AF1" s="2" t="s">
        <v>1124</v>
      </c>
      <c r="AG1" s="2" t="s">
        <v>1125</v>
      </c>
      <c r="AH1" s="2" t="s">
        <v>1126</v>
      </c>
      <c r="AI1" s="2" t="s">
        <v>1127</v>
      </c>
      <c r="AJ1" s="2" t="s">
        <v>1128</v>
      </c>
      <c r="AK1" s="2" t="s">
        <v>1129</v>
      </c>
      <c r="AL1" s="2" t="s">
        <v>1130</v>
      </c>
      <c r="AM1" s="2" t="s">
        <v>1131</v>
      </c>
      <c r="AN1" s="2" t="s">
        <v>1132</v>
      </c>
      <c r="AO1" s="2" t="s">
        <v>1133</v>
      </c>
      <c r="AP1" s="2" t="s">
        <v>1134</v>
      </c>
      <c r="AQ1" s="2" t="s">
        <v>1135</v>
      </c>
      <c r="AR1" s="2" t="s">
        <v>1136</v>
      </c>
      <c r="AS1" s="2" t="s">
        <v>1137</v>
      </c>
      <c r="AT1" s="2" t="s">
        <v>1138</v>
      </c>
      <c r="AU1" s="2" t="s">
        <v>1139</v>
      </c>
      <c r="AV1" s="2" t="s">
        <v>1140</v>
      </c>
      <c r="AW1" s="2" t="s">
        <v>1141</v>
      </c>
      <c r="AX1" s="2" t="s">
        <v>1142</v>
      </c>
      <c r="AY1" s="2" t="s">
        <v>1143</v>
      </c>
      <c r="AZ1" s="2" t="s">
        <v>1144</v>
      </c>
      <c r="BA1" s="2" t="s">
        <v>1145</v>
      </c>
      <c r="BB1" s="2" t="s">
        <v>1146</v>
      </c>
      <c r="BC1" s="2" t="s">
        <v>1147</v>
      </c>
      <c r="BD1" s="2" t="s">
        <v>1148</v>
      </c>
      <c r="BE1" s="2" t="s">
        <v>1149</v>
      </c>
      <c r="BF1" s="2" t="s">
        <v>1150</v>
      </c>
      <c r="BG1" s="2" t="s">
        <v>1151</v>
      </c>
      <c r="BH1" s="2" t="s">
        <v>1152</v>
      </c>
      <c r="BI1" s="2" t="s">
        <v>1153</v>
      </c>
      <c r="BJ1" s="2" t="s">
        <v>1154</v>
      </c>
      <c r="BK1" s="2" t="s">
        <v>1155</v>
      </c>
      <c r="BL1" s="2" t="s">
        <v>1156</v>
      </c>
      <c r="BM1" s="2" t="s">
        <v>1157</v>
      </c>
      <c r="BN1" s="2" t="s">
        <v>1158</v>
      </c>
      <c r="BO1" s="2" t="s">
        <v>1159</v>
      </c>
      <c r="BP1" s="2" t="s">
        <v>1160</v>
      </c>
      <c r="BQ1" s="2" t="s">
        <v>1161</v>
      </c>
      <c r="BR1" s="2" t="s">
        <v>1162</v>
      </c>
      <c r="BS1" s="2" t="s">
        <v>1163</v>
      </c>
      <c r="BT1" s="2" t="s">
        <v>1164</v>
      </c>
      <c r="BU1" s="2" t="s">
        <v>1165</v>
      </c>
      <c r="BV1" s="2" t="s">
        <v>1166</v>
      </c>
      <c r="BW1" s="2" t="s">
        <v>1167</v>
      </c>
      <c r="BX1" s="2" t="s">
        <v>1168</v>
      </c>
      <c r="BY1" s="2" t="s">
        <v>1169</v>
      </c>
      <c r="BZ1" s="2" t="s">
        <v>1170</v>
      </c>
      <c r="CA1" s="2" t="s">
        <v>1171</v>
      </c>
      <c r="CB1" s="2" t="s">
        <v>94</v>
      </c>
    </row>
    <row r="2">
      <c r="A2" s="3" t="s">
        <v>1172</v>
      </c>
      <c r="B2" s="4" t="str">
        <f>E2 &amp; ": " &amp; LEFT(F2, 60)</f>
        <v>Tacit: When FX variance spikes near a daylight-saving cutover, comp</v>
      </c>
      <c r="C2" s="3" t="s">
        <v>369</v>
      </c>
      <c r="D2" s="3" t="s">
        <v>567</v>
      </c>
      <c r="E2" s="3" t="s">
        <v>1173</v>
      </c>
      <c r="F2" s="3" t="s">
        <v>1174</v>
      </c>
      <c r="G2" s="3" t="s">
        <v>1093</v>
      </c>
      <c r="H2" s="3" t="s">
        <v>145</v>
      </c>
      <c r="I2" s="3" t="s">
        <v>1175</v>
      </c>
      <c r="J2" s="5">
        <v>46115.708333333336</v>
      </c>
      <c r="K2" s="5"/>
      <c r="L2" s="3" t="s">
        <v>462</v>
      </c>
      <c r="M2" s="3" t="s">
        <v>208</v>
      </c>
      <c r="N2" s="3" t="s">
        <v>95</v>
      </c>
      <c r="O2" s="7">
        <f>_xlfn.IFNA(IF(((INDEX(EvaluationContexts!D2:D2, MATCH(N2,EvaluationContexts!A2:A2, 0))="")=TRUE),  "",  INDEX(EvaluationContexts!D2:D2, MATCH(N2,EvaluationContexts!A2:A2, 0))), "")</f>
        <v>46222.75</v>
      </c>
      <c r="P2" s="4" t="b">
        <f>AND(((J2 &lt;= O2)=TRUE), ((OR(((K2 = "")=TRUE), ((K2 &gt; O2)=TRUE)))=TRUE), ((L2 = "Approved")=TRUE))</f>
        <v>1</v>
      </c>
      <c r="Q2" s="4" t="b">
        <f>_xlfn.IFNA(IF(((INDEX(Agents!I2:I12, MATCH(H2,Agents!A2:A12, 0))="")=TRUE),  "",  INDEX(Agents!I2:I12, MATCH(H2,Agents!A2:A12, 0))), "")</f>
        <v>1</v>
      </c>
      <c r="R2" s="4" t="str">
        <f>_xlfn.IFNA(IF(((INDEX(Agents!D2:D12, MATCH(H2,Agents!A2:A12, 0))="")=TRUE),  "",  INDEX(Agents!D2:D12, MATCH(H2,Agents!A2:A12, 0))), "")</f>
        <v>Human</v>
      </c>
      <c r="S2" s="4" t="b">
        <f>R2 = "Human"</f>
        <v>1</v>
      </c>
      <c r="T2" s="4" t="b">
        <f>AND(((P2)=TRUE), ((NOT(((Q2)=TRUE)))=TRUE))</f>
        <v>0</v>
      </c>
      <c r="U2" s="4" t="b">
        <f>AND(((T2)=TRUE), ((OR(((E2 = "Tacit")=TRUE), ((E2 = "SituatedJudgment")=TRUE)))=TRUE))</f>
        <v>0</v>
      </c>
      <c r="V2" s="4" t="b">
        <f>L2 = "Approved"</f>
        <v>1</v>
      </c>
      <c r="W2" s="4" t="b">
        <f>AND(((J2 &lt;= O2)=TRUE), ((OR(((K2 = "")=TRUE), ((K2 &gt; O2)=TRUE)))=TRUE))</f>
        <v>1</v>
      </c>
      <c r="X2" s="4" t="b">
        <f>AND(((D2 &lt;&gt; "")=TRUE), ((W2)=TRUE))</f>
        <v>1</v>
      </c>
      <c r="Y2" s="4" t="str">
        <f>_xlfn.IFNA(IF(((INDEX(Steps!C2:C18, MATCH(D2,Steps!A2:A18, 0))="")=TRUE),  "",  INDEX(Steps!C2:C18, MATCH(D2,Steps!A2:A18, 0))), "")</f>
        <v>close-v1.1.0</v>
      </c>
      <c r="Z2" s="4" t="b">
        <f>_xlfn.IFNA(IF(((INDEX(ProcedureVersions!Y2:Y4, MATCH(C2,ProcedureVersions!A2:A4, 0))="")=TRUE),  "",  INDEX(ProcedureVersions!Y2:Y4, MATCH(C2,ProcedureVersions!A2:A4, 0))), "")</f>
        <v>1</v>
      </c>
      <c r="AA2" s="4" t="b">
        <f>AND(((X2)=TRUE), ((Z2)=TRUE), ((NOT(((V2)=TRUE)))=TRUE))</f>
        <v>0</v>
      </c>
      <c r="AB2" s="6">
        <f>IF((_xlfn.IFNA(IF(((INDEX(ElicitationSessions!M2:M4, MATCH(G2,ElicitationSessions!A2:A4, 0))="")=TRUE),  "",  INDEX(ElicitationSessions!M2:M4, MATCH(G2,ElicitationSessions!A2:A4, 0))), ""))="", "", ROUND((_xlfn.IFNA(IF(((INDEX(ElicitationSessions!M2:M4, MATCH(G2,ElicitationSessions!A2:A4, 0))="")=TRUE),  "",  INDEX(ElicitationSessions!M2:M4, MATCH(G2,ElicitationSessions!A2:A4, 0))), "")), 0))</f>
        <v>107</v>
      </c>
      <c r="AC2" s="4" t="b">
        <f>G2 &lt;&gt; ""</f>
        <v>1</v>
      </c>
      <c r="AD2" s="4" t="b">
        <f>_xlfn.IFNA(IF(((INDEX(ElicitationSessions!N2:N4, MATCH(G2,ElicitationSessions!A2:A4, 0))="")=TRUE),  "",  INDEX(ElicitationSessions!N2:N4, MATCH(G2,ElicitationSessions!A2:A4, 0))), "")</f>
        <v>1</v>
      </c>
      <c r="AE2" s="6">
        <f>IF((IF(((AD2)=TRUE),  180,  365))="", "", ROUND((IF(((AD2)=TRUE),  180,  365)), 0))</f>
        <v>180</v>
      </c>
      <c r="AF2" s="4" t="b">
        <f>AND(((AC2)=TRUE), ((AB2 &gt; AE2)=TRUE))</f>
        <v>0</v>
      </c>
      <c r="AG2" s="4" t="str">
        <f>_xlfn.IFNA(IF(((INDEX(Roles!E2:E13, MATCH(M2,Roles!A2:A13, 0))="")=TRUE),  "",  INDEX(Roles!E2:E13, MATCH(M2,Roles!A2:A13, 0))), "")</f>
        <v>devon-okafor</v>
      </c>
      <c r="AH2" s="4" t="b">
        <f>L2 = "Reviewed"</f>
        <v>0</v>
      </c>
      <c r="AI2" s="4" t="b">
        <f>M2 = "hr-policy-owner"</f>
        <v>0</v>
      </c>
      <c r="AJ2" s="4" t="b">
        <f>AND(((AI2)=TRUE), ((AH2)=TRUE))</f>
        <v>0</v>
      </c>
      <c r="AK2" s="6">
        <f>IF((COUNTIFS(Exceptions!D2:D5,D2))="", "", ROUND((COUNTIFS(Exceptions!D2:D5,D2)), 0))</f>
        <v>0</v>
      </c>
      <c r="AL2" s="4" t="b">
        <f>AK2 &gt; 0</f>
        <v>0</v>
      </c>
      <c r="AM2" s="4" t="b">
        <f>AND(((AJ2)=TRUE), ((AL2)=TRUE))</f>
        <v>0</v>
      </c>
      <c r="AN2" s="6">
        <f>IF((IF(((OR((((O2)="")=TRUE), (((J2)="")=TRUE)))=TRUE),  0,  (INT(O2) - INT(J2))))="", "", ROUND((IF(((OR((((O2)="")=TRUE), (((J2)="")=TRUE)))=TRUE),  0,  (INT(O2) - INT(J2)))), 0))</f>
        <v>107</v>
      </c>
      <c r="AO2" s="4" t="b">
        <f>OR(((I2 = "Medium")=TRUE), ((I2 = "Low")=TRUE))</f>
        <v>0</v>
      </c>
      <c r="AP2" s="6">
        <f>IF((_xlfn.IFNA(IF(((INDEX(ProcedureVersions!V2:V4, MATCH(C2,ProcedureVersions!A2:A4, 0))="")=TRUE),  "",  INDEX(ProcedureVersions!V2:V4, MATCH(C2,ProcedureVersions!A2:A4, 0))), ""))="", "", ROUND((_xlfn.IFNA(IF(((INDEX(ProcedureVersions!V2:V4, MATCH(C2,ProcedureVersions!A2:A4, 0))="")=TRUE),  "",  INDEX(ProcedureVersions!V2:V4, MATCH(C2,ProcedureVersions!A2:A4, 0))), "")), 0))</f>
        <v>90</v>
      </c>
      <c r="AQ2" s="4" t="b">
        <f>AN2 &gt; AP2</f>
        <v>1</v>
      </c>
      <c r="AR2" s="4" t="b">
        <f>AND(((AQ2)=TRUE), ((AO2)=TRUE))</f>
        <v>0</v>
      </c>
      <c r="AS2" s="4" t="str">
        <f>_xlfn.IFNA(IF(((INDEX(Roles!F2:F13, MATCH(M2,Roles!A2:A13, 0))="")=TRUE),  "",  INDEX(Roles!F2:F13, MATCH(M2,Roles!A2:A13, 0))), "")</f>
        <v>Human</v>
      </c>
      <c r="AT2" s="4" t="b">
        <f>AS2 = "Human"</f>
        <v>1</v>
      </c>
      <c r="AU2" s="4" t="b">
        <f>AND(((NOT(((R2 = "Human")=TRUE)))=TRUE), ((NOT(((AT2)=TRUE)))=TRUE))</f>
        <v>0</v>
      </c>
      <c r="AV2" s="6">
        <f>IF((_xlfn.IFNA(IF(((INDEX(ProcedureVersions!V2:V4, MATCH(C2,ProcedureVersions!A2:A4, 0))="")=TRUE),  "",  INDEX(ProcedureVersions!V2:V4, MATCH(C2,ProcedureVersions!A2:A4, 0))), ""))="", "", ROUND((_xlfn.IFNA(IF(((INDEX(ProcedureVersions!V2:V4, MATCH(C2,ProcedureVersions!A2:A4, 0))="")=TRUE),  "",  INDEX(ProcedureVersions!V2:V4, MATCH(C2,ProcedureVersions!A2:A4, 0))), "")), 0))</f>
        <v>90</v>
      </c>
      <c r="AW2" s="4" t="b">
        <f>AND(((P2)=TRUE), ((AN2 &gt; AV2)=TRUE))</f>
        <v>1</v>
      </c>
      <c r="AX2" s="4" t="b">
        <f>AND(((AS2 &lt;&gt; "")=TRUE), ((J2 &lt; AY2)=TRUE))</f>
        <v>0</v>
      </c>
      <c r="AY2" s="7">
        <f>_xlfn.IFNA(IF(((INDEX(Roles!M2:M13, MATCH(M2,Roles!A2:A13, 0))="")=TRUE),  "",  INDEX(Roles!M2:M13, MATCH(M2,Roles!A2:A13, 0))), "")</f>
        <v>46023.25</v>
      </c>
      <c r="AZ2" s="5">
        <v>46205.875</v>
      </c>
      <c r="BA2" s="6">
        <f>IF((IF(((AD2)=TRUE),  1,  0) + IF(((AW2)=TRUE),  1,  0) + IF(((AO2)=TRUE),  1,  0) + IF(((AL2)=TRUE),  1,  0))="", "", ROUND((IF(((AD2)=TRUE),  1,  0) + IF(((AW2)=TRUE),  1,  0) + IF(((AO2)=TRUE),  1,  0) + IF(((AL2)=TRUE),  1,  0)), 0))</f>
        <v>2</v>
      </c>
      <c r="BB2" s="4" t="b">
        <f>BA2 &gt;= 3</f>
        <v>0</v>
      </c>
      <c r="BC2" s="4" t="b">
        <f>AND(((AD2)=TRUE), ((AL2)=TRUE))</f>
        <v>0</v>
      </c>
      <c r="BD2" s="4" t="b">
        <f>AND(((BC2)=TRUE), ((AW2)=TRUE))</f>
        <v>0</v>
      </c>
      <c r="BE2" s="4" t="str">
        <f>IF(((BB2)=TRUE),  C2,  "")</f>
      </c>
      <c r="BF2" s="4" t="str">
        <f>IF(((P2)=TRUE),  G2,  "")</f>
        <v>elicit-close-shadow</v>
      </c>
      <c r="BG2" s="4" t="b">
        <f>_xlfn.IFNA(IF(((INDEX(Steps!W2:W18, MATCH(D2,Steps!A2:A18, 0))="")=TRUE),  "",  INDEX(Steps!W2:W18, MATCH(D2,Steps!A2:A18, 0))), "")</f>
        <v>1</v>
      </c>
      <c r="BH2" s="4" t="str">
        <f>_xlfn.IFNA(IF(((INDEX(Steps!I2:I18, MATCH(D2,Steps!A2:A18, 0))="")=TRUE),  "",  INDEX(Steps!I2:I18, MATCH(D2,Steps!A2:A18, 0))), "")</f>
        <v>AIAgent</v>
      </c>
      <c r="BI2" s="4" t="b">
        <f>AND(((AA2)=TRUE), ((BG2)=TRUE))</f>
        <v>0</v>
      </c>
      <c r="BJ2" s="4" t="b">
        <f>AND(((AA2)=TRUE), ((NOT(((BG2)=TRUE)))=TRUE))</f>
        <v>0</v>
      </c>
      <c r="BK2" s="4" t="str">
        <f>IF(((BI2)=TRUE),  C2,  "")</f>
      </c>
      <c r="BL2" s="4" t="b">
        <f>AZ2 &lt;&gt; ""</f>
        <v>1</v>
      </c>
      <c r="BM2" s="6">
        <f>IF((IF(((BL2)=TRUE),  IF(((OR((((O2)="")=TRUE), (((AZ2)="")=TRUE)))=TRUE),  0,  (INT(O2) - INT(AZ2))),  0))="", "", ROUND((IF(((BL2)=TRUE),  IF(((OR((((O2)="")=TRUE), (((AZ2)="")=TRUE)))=TRUE),  0,  (INT(O2) - INT(AZ2))),  0)), 0))</f>
        <v>17</v>
      </c>
      <c r="BN2" s="4" t="b">
        <f>AND(((P2)=TRUE), ((NOT(((BL2)=TRUE)))=TRUE))</f>
        <v>0</v>
      </c>
      <c r="BO2" s="4" t="b">
        <f>AND(((P2)=TRUE), ((BL2)=TRUE), ((BM2 &gt; AV2)=TRUE))</f>
        <v>0</v>
      </c>
      <c r="BP2" s="4" t="b">
        <f>AND(((AW2)=TRUE), ((NOT(((BL2)=TRUE)))=TRUE))</f>
        <v>0</v>
      </c>
      <c r="BQ2" s="4" t="b">
        <f>AND(((BL2)=TRUE), ((AW2)=TRUE), ((NOT(((BO2)=TRUE)))=TRUE))</f>
        <v>1</v>
      </c>
      <c r="BR2" s="4" t="str">
        <f>IF(((BO2)=TRUE),  C2,  "")</f>
      </c>
      <c r="BS2" s="4">
        <f>COUNTIFS(AuthorityBoundaries!AA2:AA4, A2)</f>
        <v>0</v>
      </c>
      <c r="BT2" s="6">
        <f>IF((AK2 + BS2)="", "", ROUND((AK2 + BS2), 0))</f>
        <v>0</v>
      </c>
      <c r="BU2" s="6">
        <f>IF((IF(((AJ2)=TRUE),  IF(((OR((((O2)="")=TRUE), (((J2)="")=TRUE)))=TRUE),  0,  (INT(O2) - INT(J2))),  0))="", "", ROUND((IF(((AJ2)=TRUE),  IF(((OR((((O2)="")=TRUE), (((J2)="")=TRUE)))=TRUE),  0,  (INT(O2) - INT(J2))),  0)), 0))</f>
        <v>0</v>
      </c>
      <c r="BV2" s="4" t="b">
        <f>AND(((AM2)=TRUE), ((BT2 &gt; 1)=TRUE))</f>
        <v>0</v>
      </c>
      <c r="BW2" s="4" t="b">
        <f>AND(((AJ2)=TRUE), ((BU2 &gt; 30)=TRUE))</f>
        <v>0</v>
      </c>
      <c r="BX2" s="4" t="str">
        <f>IF(((BV2)=TRUE),  C2,  "")</f>
      </c>
      <c r="BY2" s="4" t="b">
        <f>_xlfn.IFNA(IF(((INDEX(Roles!R2:R13, MATCH(M2,Roles!A2:A13, 0))="")=TRUE),  "",  INDEX(Roles!R2:R13, MATCH(M2,Roles!A2:A13, 0))), "")</f>
        <v>0</v>
      </c>
      <c r="BZ2" s="4" t="b">
        <f>AND(((P2)=TRUE), ((BY2)=TRUE))</f>
        <v>0</v>
      </c>
      <c r="CA2" s="4" t="str">
        <f>IF(((P2)=TRUE),  C2,  "")</f>
        <v>close-v1.1.0</v>
      </c>
      <c r="CB2" s="3" t="s">
        <v>1176</v>
      </c>
    </row>
    <row r="3">
      <c r="A3" s="3" t="s">
        <v>1177</v>
      </c>
      <c r="B3" s="4" t="str">
        <f>E3 &amp; ": " &amp; LEFT(F3, 60)</f>
        <v>Implicit: The controller normally reviews the ten largest unexplained </v>
      </c>
      <c r="C3" s="3" t="s">
        <v>369</v>
      </c>
      <c r="D3" s="3" t="s">
        <v>567</v>
      </c>
      <c r="E3" s="3" t="s">
        <v>1178</v>
      </c>
      <c r="F3" s="3" t="s">
        <v>1179</v>
      </c>
      <c r="G3" s="3" t="s">
        <v>1093</v>
      </c>
      <c r="H3" s="3" t="s">
        <v>145</v>
      </c>
      <c r="I3" s="3" t="s">
        <v>1180</v>
      </c>
      <c r="J3" s="5">
        <v>46115.708333333336</v>
      </c>
      <c r="K3" s="5"/>
      <c r="L3" s="3" t="s">
        <v>462</v>
      </c>
      <c r="M3" s="3" t="s">
        <v>208</v>
      </c>
      <c r="N3" s="3" t="s">
        <v>95</v>
      </c>
      <c r="O3" s="7">
        <f>_xlfn.IFNA(IF(((INDEX(EvaluationContexts!D2:D2, MATCH(N3,EvaluationContexts!A2:A2, 0))="")=TRUE),  "",  INDEX(EvaluationContexts!D2:D2, MATCH(N3,EvaluationContexts!A2:A2, 0))), "")</f>
        <v>46222.75</v>
      </c>
      <c r="P3" s="4" t="b">
        <f>AND(((J3 &lt;= O3)=TRUE), ((OR(((K3 = "")=TRUE), ((K3 &gt; O3)=TRUE)))=TRUE), ((L3 = "Approved")=TRUE))</f>
        <v>1</v>
      </c>
      <c r="Q3" s="4" t="b">
        <f>_xlfn.IFNA(IF(((INDEX(Agents!I2:I12, MATCH(H3,Agents!A2:A12, 0))="")=TRUE),  "",  INDEX(Agents!I2:I12, MATCH(H3,Agents!A2:A12, 0))), "")</f>
        <v>1</v>
      </c>
      <c r="R3" s="4" t="str">
        <f>_xlfn.IFNA(IF(((INDEX(Agents!D2:D12, MATCH(H3,Agents!A2:A12, 0))="")=TRUE),  "",  INDEX(Agents!D2:D12, MATCH(H3,Agents!A2:A12, 0))), "")</f>
        <v>Human</v>
      </c>
      <c r="S3" s="4" t="b">
        <f>R3 = "Human"</f>
        <v>1</v>
      </c>
      <c r="T3" s="4" t="b">
        <f>AND(((P3)=TRUE), ((NOT(((Q3)=TRUE)))=TRUE))</f>
        <v>0</v>
      </c>
      <c r="U3" s="4" t="b">
        <f>AND(((T3)=TRUE), ((OR(((E3 = "Tacit")=TRUE), ((E3 = "SituatedJudgment")=TRUE)))=TRUE))</f>
        <v>0</v>
      </c>
      <c r="V3" s="4" t="b">
        <f>L3 = "Approved"</f>
        <v>1</v>
      </c>
      <c r="W3" s="4" t="b">
        <f>AND(((J3 &lt;= O3)=TRUE), ((OR(((K3 = "")=TRUE), ((K3 &gt; O3)=TRUE)))=TRUE))</f>
        <v>1</v>
      </c>
      <c r="X3" s="4" t="b">
        <f>AND(((D3 &lt;&gt; "")=TRUE), ((W3)=TRUE))</f>
        <v>1</v>
      </c>
      <c r="Y3" s="4" t="str">
        <f>_xlfn.IFNA(IF(((INDEX(Steps!C2:C18, MATCH(D3,Steps!A2:A18, 0))="")=TRUE),  "",  INDEX(Steps!C2:C18, MATCH(D3,Steps!A2:A18, 0))), "")</f>
        <v>close-v1.1.0</v>
      </c>
      <c r="Z3" s="4" t="b">
        <f>_xlfn.IFNA(IF(((INDEX(ProcedureVersions!Y2:Y4, MATCH(C3,ProcedureVersions!A2:A4, 0))="")=TRUE),  "",  INDEX(ProcedureVersions!Y2:Y4, MATCH(C3,ProcedureVersions!A2:A4, 0))), "")</f>
        <v>1</v>
      </c>
      <c r="AA3" s="4" t="b">
        <f>AND(((X3)=TRUE), ((Z3)=TRUE), ((NOT(((V3)=TRUE)))=TRUE))</f>
        <v>0</v>
      </c>
      <c r="AB3" s="6">
        <f>IF((_xlfn.IFNA(IF(((INDEX(ElicitationSessions!M2:M4, MATCH(G3,ElicitationSessions!A2:A4, 0))="")=TRUE),  "",  INDEX(ElicitationSessions!M2:M4, MATCH(G3,ElicitationSessions!A2:A4, 0))), ""))="", "", ROUND((_xlfn.IFNA(IF(((INDEX(ElicitationSessions!M2:M4, MATCH(G3,ElicitationSessions!A2:A4, 0))="")=TRUE),  "",  INDEX(ElicitationSessions!M2:M4, MATCH(G3,ElicitationSessions!A2:A4, 0))), "")), 0))</f>
        <v>107</v>
      </c>
      <c r="AC3" s="4" t="b">
        <f>G3 &lt;&gt; ""</f>
        <v>1</v>
      </c>
      <c r="AD3" s="4" t="b">
        <f>_xlfn.IFNA(IF(((INDEX(ElicitationSessions!N2:N4, MATCH(G3,ElicitationSessions!A2:A4, 0))="")=TRUE),  "",  INDEX(ElicitationSessions!N2:N4, MATCH(G3,ElicitationSessions!A2:A4, 0))), "")</f>
        <v>1</v>
      </c>
      <c r="AE3" s="6">
        <f>IF((IF(((AD3)=TRUE),  180,  365))="", "", ROUND((IF(((AD3)=TRUE),  180,  365)), 0))</f>
        <v>180</v>
      </c>
      <c r="AF3" s="4" t="b">
        <f>AND(((AC3)=TRUE), ((AB3 &gt; AE3)=TRUE))</f>
        <v>0</v>
      </c>
      <c r="AG3" s="4" t="str">
        <f>_xlfn.IFNA(IF(((INDEX(Roles!E2:E13, MATCH(M3,Roles!A2:A13, 0))="")=TRUE),  "",  INDEX(Roles!E2:E13, MATCH(M3,Roles!A2:A13, 0))), "")</f>
        <v>devon-okafor</v>
      </c>
      <c r="AH3" s="4" t="b">
        <f>L3 = "Reviewed"</f>
        <v>0</v>
      </c>
      <c r="AI3" s="4" t="b">
        <f>M3 = "hr-policy-owner"</f>
        <v>0</v>
      </c>
      <c r="AJ3" s="4" t="b">
        <f>AND(((AI3)=TRUE), ((AH3)=TRUE))</f>
        <v>0</v>
      </c>
      <c r="AK3" s="6">
        <f>IF((COUNTIFS(Exceptions!D2:D5,D3))="", "", ROUND((COUNTIFS(Exceptions!D2:D5,D3)), 0))</f>
        <v>0</v>
      </c>
      <c r="AL3" s="4" t="b">
        <f>AK3 &gt; 0</f>
        <v>0</v>
      </c>
      <c r="AM3" s="4" t="b">
        <f>AND(((AJ3)=TRUE), ((AL3)=TRUE))</f>
        <v>0</v>
      </c>
      <c r="AN3" s="6">
        <f>IF((IF(((OR((((O3)="")=TRUE), (((J3)="")=TRUE)))=TRUE),  0,  (INT(O3) - INT(J3))))="", "", ROUND((IF(((OR((((O3)="")=TRUE), (((J3)="")=TRUE)))=TRUE),  0,  (INT(O3) - INT(J3)))), 0))</f>
        <v>107</v>
      </c>
      <c r="AO3" s="4" t="b">
        <f>OR(((I3 = "Medium")=TRUE), ((I3 = "Low")=TRUE))</f>
        <v>1</v>
      </c>
      <c r="AP3" s="6">
        <f>IF((_xlfn.IFNA(IF(((INDEX(ProcedureVersions!V2:V4, MATCH(C3,ProcedureVersions!A2:A4, 0))="")=TRUE),  "",  INDEX(ProcedureVersions!V2:V4, MATCH(C3,ProcedureVersions!A2:A4, 0))), ""))="", "", ROUND((_xlfn.IFNA(IF(((INDEX(ProcedureVersions!V2:V4, MATCH(C3,ProcedureVersions!A2:A4, 0))="")=TRUE),  "",  INDEX(ProcedureVersions!V2:V4, MATCH(C3,ProcedureVersions!A2:A4, 0))), "")), 0))</f>
        <v>90</v>
      </c>
      <c r="AQ3" s="4" t="b">
        <f>AN3 &gt; AP3</f>
        <v>1</v>
      </c>
      <c r="AR3" s="4" t="b">
        <f>AND(((AQ3)=TRUE), ((AO3)=TRUE))</f>
        <v>1</v>
      </c>
      <c r="AS3" s="4" t="str">
        <f>_xlfn.IFNA(IF(((INDEX(Roles!F2:F13, MATCH(M3,Roles!A2:A13, 0))="")=TRUE),  "",  INDEX(Roles!F2:F13, MATCH(M3,Roles!A2:A13, 0))), "")</f>
        <v>Human</v>
      </c>
      <c r="AT3" s="4" t="b">
        <f>AS3 = "Human"</f>
        <v>1</v>
      </c>
      <c r="AU3" s="4" t="b">
        <f>AND(((NOT(((R3 = "Human")=TRUE)))=TRUE), ((NOT(((AT3)=TRUE)))=TRUE))</f>
        <v>0</v>
      </c>
      <c r="AV3" s="6">
        <f>IF((_xlfn.IFNA(IF(((INDEX(ProcedureVersions!V2:V4, MATCH(C3,ProcedureVersions!A2:A4, 0))="")=TRUE),  "",  INDEX(ProcedureVersions!V2:V4, MATCH(C3,ProcedureVersions!A2:A4, 0))), ""))="", "", ROUND((_xlfn.IFNA(IF(((INDEX(ProcedureVersions!V2:V4, MATCH(C3,ProcedureVersions!A2:A4, 0))="")=TRUE),  "",  INDEX(ProcedureVersions!V2:V4, MATCH(C3,ProcedureVersions!A2:A4, 0))), "")), 0))</f>
        <v>90</v>
      </c>
      <c r="AW3" s="4" t="b">
        <f>AND(((P3)=TRUE), ((AN3 &gt; AV3)=TRUE))</f>
        <v>1</v>
      </c>
      <c r="AX3" s="4" t="b">
        <f>AND(((AS3 &lt;&gt; "")=TRUE), ((J3 &lt; AY3)=TRUE))</f>
        <v>0</v>
      </c>
      <c r="AY3" s="7">
        <f>_xlfn.IFNA(IF(((INDEX(Roles!M2:M13, MATCH(M3,Roles!A2:A13, 0))="")=TRUE),  "",  INDEX(Roles!M2:M13, MATCH(M3,Roles!A2:A13, 0))), "")</f>
        <v>46023.25</v>
      </c>
      <c r="AZ3" s="5">
        <v>46205.875</v>
      </c>
      <c r="BA3" s="6">
        <f>IF((IF(((AD3)=TRUE),  1,  0) + IF(((AW3)=TRUE),  1,  0) + IF(((AO3)=TRUE),  1,  0) + IF(((AL3)=TRUE),  1,  0))="", "", ROUND((IF(((AD3)=TRUE),  1,  0) + IF(((AW3)=TRUE),  1,  0) + IF(((AO3)=TRUE),  1,  0) + IF(((AL3)=TRUE),  1,  0)), 0))</f>
        <v>3</v>
      </c>
      <c r="BB3" s="4" t="b">
        <f>BA3 &gt;= 3</f>
        <v>1</v>
      </c>
      <c r="BC3" s="4" t="b">
        <f>AND(((AD3)=TRUE), ((AL3)=TRUE))</f>
        <v>0</v>
      </c>
      <c r="BD3" s="4" t="b">
        <f>AND(((BC3)=TRUE), ((AW3)=TRUE))</f>
        <v>0</v>
      </c>
      <c r="BE3" s="4" t="str">
        <f>IF(((BB3)=TRUE),  C3,  "")</f>
        <v>close-v1.1.0</v>
      </c>
      <c r="BF3" s="4" t="str">
        <f>IF(((P3)=TRUE),  G3,  "")</f>
        <v>elicit-close-shadow</v>
      </c>
      <c r="BG3" s="4" t="b">
        <f>_xlfn.IFNA(IF(((INDEX(Steps!W2:W18, MATCH(D3,Steps!A2:A18, 0))="")=TRUE),  "",  INDEX(Steps!W2:W18, MATCH(D3,Steps!A2:A18, 0))), "")</f>
        <v>1</v>
      </c>
      <c r="BH3" s="4" t="str">
        <f>_xlfn.IFNA(IF(((INDEX(Steps!I2:I18, MATCH(D3,Steps!A2:A18, 0))="")=TRUE),  "",  INDEX(Steps!I2:I18, MATCH(D3,Steps!A2:A18, 0))), "")</f>
        <v>AIAgent</v>
      </c>
      <c r="BI3" s="4" t="b">
        <f>AND(((AA3)=TRUE), ((BG3)=TRUE))</f>
        <v>0</v>
      </c>
      <c r="BJ3" s="4" t="b">
        <f>AND(((AA3)=TRUE), ((NOT(((BG3)=TRUE)))=TRUE))</f>
        <v>0</v>
      </c>
      <c r="BK3" s="4" t="str">
        <f>IF(((BI3)=TRUE),  C3,  "")</f>
      </c>
      <c r="BL3" s="4" t="b">
        <f>AZ3 &lt;&gt; ""</f>
        <v>1</v>
      </c>
      <c r="BM3" s="6">
        <f>IF((IF(((BL3)=TRUE),  IF(((OR((((O3)="")=TRUE), (((AZ3)="")=TRUE)))=TRUE),  0,  (INT(O3) - INT(AZ3))),  0))="", "", ROUND((IF(((BL3)=TRUE),  IF(((OR((((O3)="")=TRUE), (((AZ3)="")=TRUE)))=TRUE),  0,  (INT(O3) - INT(AZ3))),  0)), 0))</f>
        <v>17</v>
      </c>
      <c r="BN3" s="4" t="b">
        <f>AND(((P3)=TRUE), ((NOT(((BL3)=TRUE)))=TRUE))</f>
        <v>0</v>
      </c>
      <c r="BO3" s="4" t="b">
        <f>AND(((P3)=TRUE), ((BL3)=TRUE), ((BM3 &gt; AV3)=TRUE))</f>
        <v>0</v>
      </c>
      <c r="BP3" s="4" t="b">
        <f>AND(((AW3)=TRUE), ((NOT(((BL3)=TRUE)))=TRUE))</f>
        <v>0</v>
      </c>
      <c r="BQ3" s="4" t="b">
        <f>AND(((BL3)=TRUE), ((AW3)=TRUE), ((NOT(((BO3)=TRUE)))=TRUE))</f>
        <v>1</v>
      </c>
      <c r="BR3" s="4" t="str">
        <f>IF(((BO3)=TRUE),  C3,  "")</f>
      </c>
      <c r="BS3" s="4">
        <f>COUNTIFS(AuthorityBoundaries!AA2:AA4, A3)</f>
        <v>0</v>
      </c>
      <c r="BT3" s="6">
        <f>IF((AK3 + BS3)="", "", ROUND((AK3 + BS3), 0))</f>
        <v>0</v>
      </c>
      <c r="BU3" s="6">
        <f>IF((IF(((AJ3)=TRUE),  IF(((OR((((O3)="")=TRUE), (((J3)="")=TRUE)))=TRUE),  0,  (INT(O3) - INT(J3))),  0))="", "", ROUND((IF(((AJ3)=TRUE),  IF(((OR((((O3)="")=TRUE), (((J3)="")=TRUE)))=TRUE),  0,  (INT(O3) - INT(J3))),  0)), 0))</f>
        <v>0</v>
      </c>
      <c r="BV3" s="4" t="b">
        <f>AND(((AM3)=TRUE), ((BT3 &gt; 1)=TRUE))</f>
        <v>0</v>
      </c>
      <c r="BW3" s="4" t="b">
        <f>AND(((AJ3)=TRUE), ((BU3 &gt; 30)=TRUE))</f>
        <v>0</v>
      </c>
      <c r="BX3" s="4" t="str">
        <f>IF(((BV3)=TRUE),  C3,  "")</f>
      </c>
      <c r="BY3" s="4" t="b">
        <f>_xlfn.IFNA(IF(((INDEX(Roles!R2:R13, MATCH(M3,Roles!A2:A13, 0))="")=TRUE),  "",  INDEX(Roles!R2:R13, MATCH(M3,Roles!A2:A13, 0))), "")</f>
        <v>0</v>
      </c>
      <c r="BZ3" s="4" t="b">
        <f>AND(((P3)=TRUE), ((BY3)=TRUE))</f>
        <v>0</v>
      </c>
      <c r="CA3" s="4" t="str">
        <f>IF(((P3)=TRUE),  C3,  "")</f>
        <v>close-v1.1.0</v>
      </c>
      <c r="CB3" s="3" t="s">
        <v>1176</v>
      </c>
    </row>
    <row r="4">
      <c r="A4" s="3" t="s">
        <v>1181</v>
      </c>
      <c r="B4" s="4" t="str">
        <f>E4 &amp; ": " &amp; LEFT(F4, 60)</f>
        <v>Explicit: Close evidence is retained for seven years and must remain l</v>
      </c>
      <c r="C4" s="3" t="s">
        <v>369</v>
      </c>
      <c r="D4" s="3" t="s">
        <v>586</v>
      </c>
      <c r="E4" s="3" t="s">
        <v>1182</v>
      </c>
      <c r="F4" s="3" t="s">
        <v>1183</v>
      </c>
      <c r="G4" s="3"/>
      <c r="H4" s="3" t="s">
        <v>145</v>
      </c>
      <c r="I4" s="3" t="s">
        <v>1175</v>
      </c>
      <c r="J4" s="5">
        <v>46127.583333333336</v>
      </c>
      <c r="K4" s="5"/>
      <c r="L4" s="3" t="s">
        <v>462</v>
      </c>
      <c r="M4" s="3" t="s">
        <v>208</v>
      </c>
      <c r="N4" s="3" t="s">
        <v>95</v>
      </c>
      <c r="O4" s="7">
        <f>_xlfn.IFNA(IF(((INDEX(EvaluationContexts!D2:D2, MATCH(N4,EvaluationContexts!A2:A2, 0))="")=TRUE),  "",  INDEX(EvaluationContexts!D2:D2, MATCH(N4,EvaluationContexts!A2:A2, 0))), "")</f>
        <v>46222.75</v>
      </c>
      <c r="P4" s="4" t="b">
        <f>AND(((J4 &lt;= O4)=TRUE), ((OR(((K4 = "")=TRUE), ((K4 &gt; O4)=TRUE)))=TRUE), ((L4 = "Approved")=TRUE))</f>
        <v>1</v>
      </c>
      <c r="Q4" s="4" t="b">
        <f>_xlfn.IFNA(IF(((INDEX(Agents!I2:I12, MATCH(H4,Agents!A2:A12, 0))="")=TRUE),  "",  INDEX(Agents!I2:I12, MATCH(H4,Agents!A2:A12, 0))), "")</f>
        <v>1</v>
      </c>
      <c r="R4" s="4" t="str">
        <f>_xlfn.IFNA(IF(((INDEX(Agents!D2:D12, MATCH(H4,Agents!A2:A12, 0))="")=TRUE),  "",  INDEX(Agents!D2:D12, MATCH(H4,Agents!A2:A12, 0))), "")</f>
        <v>Human</v>
      </c>
      <c r="S4" s="4" t="b">
        <f>R4 = "Human"</f>
        <v>1</v>
      </c>
      <c r="T4" s="4" t="b">
        <f>AND(((P4)=TRUE), ((NOT(((Q4)=TRUE)))=TRUE))</f>
        <v>0</v>
      </c>
      <c r="U4" s="4" t="b">
        <f>AND(((T4)=TRUE), ((OR(((E4 = "Tacit")=TRUE), ((E4 = "SituatedJudgment")=TRUE)))=TRUE))</f>
        <v>0</v>
      </c>
      <c r="V4" s="4" t="b">
        <f>L4 = "Approved"</f>
        <v>1</v>
      </c>
      <c r="W4" s="4" t="b">
        <f>AND(((J4 &lt;= O4)=TRUE), ((OR(((K4 = "")=TRUE), ((K4 &gt; O4)=TRUE)))=TRUE))</f>
        <v>1</v>
      </c>
      <c r="X4" s="4" t="b">
        <f>AND(((D4 &lt;&gt; "")=TRUE), ((W4)=TRUE))</f>
        <v>1</v>
      </c>
      <c r="Y4" s="4" t="str">
        <f>_xlfn.IFNA(IF(((INDEX(Steps!C2:C18, MATCH(D4,Steps!A2:A18, 0))="")=TRUE),  "",  INDEX(Steps!C2:C18, MATCH(D4,Steps!A2:A18, 0))), "")</f>
        <v>close-v1.1.0</v>
      </c>
      <c r="Z4" s="4" t="b">
        <f>_xlfn.IFNA(IF(((INDEX(ProcedureVersions!Y2:Y4, MATCH(C4,ProcedureVersions!A2:A4, 0))="")=TRUE),  "",  INDEX(ProcedureVersions!Y2:Y4, MATCH(C4,ProcedureVersions!A2:A4, 0))), "")</f>
        <v>1</v>
      </c>
      <c r="AA4" s="4" t="b">
        <f>AND(((X4)=TRUE), ((Z4)=TRUE), ((NOT(((V4)=TRUE)))=TRUE))</f>
        <v>0</v>
      </c>
      <c r="AB4" s="6" t="str">
        <f>IF((_xlfn.IFNA(IF(((INDEX(ElicitationSessions!M2:M4, MATCH(G4,ElicitationSessions!A2:A4, 0))="")=TRUE),  "",  INDEX(ElicitationSessions!M2:M4, MATCH(G4,ElicitationSessions!A2:A4, 0))), ""))="", "", ROUND((_xlfn.IFNA(IF(((INDEX(ElicitationSessions!M2:M4, MATCH(G4,ElicitationSessions!A2:A4, 0))="")=TRUE),  "",  INDEX(ElicitationSessions!M2:M4, MATCH(G4,ElicitationSessions!A2:A4, 0))), "")), 0))</f>
      </c>
      <c r="AC4" s="4" t="b">
        <f>G4 &lt;&gt; ""</f>
        <v>0</v>
      </c>
      <c r="AD4" s="4" t="str">
        <f>_xlfn.IFNA(IF(((INDEX(ElicitationSessions!N2:N4, MATCH(G4,ElicitationSessions!A2:A4, 0))="")=TRUE),  "",  INDEX(ElicitationSessions!N2:N4, MATCH(G4,ElicitationSessions!A2:A4, 0))), "")</f>
      </c>
      <c r="AE4" s="6">
        <f>IF((IF(((AD4)=TRUE),  180,  365))="", "", ROUND((IF(((AD4)=TRUE),  180,  365)), 0))</f>
        <v>365</v>
      </c>
      <c r="AF4" s="4" t="b">
        <f>AND(((AC4)=TRUE), ((AB4 &gt; AE4)=TRUE))</f>
        <v>0</v>
      </c>
      <c r="AG4" s="4" t="str">
        <f>_xlfn.IFNA(IF(((INDEX(Roles!E2:E13, MATCH(M4,Roles!A2:A13, 0))="")=TRUE),  "",  INDEX(Roles!E2:E13, MATCH(M4,Roles!A2:A13, 0))), "")</f>
        <v>devon-okafor</v>
      </c>
      <c r="AH4" s="4" t="b">
        <f>L4 = "Reviewed"</f>
        <v>0</v>
      </c>
      <c r="AI4" s="4" t="b">
        <f>M4 = "hr-policy-owner"</f>
        <v>0</v>
      </c>
      <c r="AJ4" s="4" t="b">
        <f>AND(((AI4)=TRUE), ((AH4)=TRUE))</f>
        <v>0</v>
      </c>
      <c r="AK4" s="6">
        <f>IF((COUNTIFS(Exceptions!D2:D5,D4))="", "", ROUND((COUNTIFS(Exceptions!D2:D5,D4)), 0))</f>
        <v>0</v>
      </c>
      <c r="AL4" s="4" t="b">
        <f>AK4 &gt; 0</f>
        <v>0</v>
      </c>
      <c r="AM4" s="4" t="b">
        <f>AND(((AJ4)=TRUE), ((AL4)=TRUE))</f>
        <v>0</v>
      </c>
      <c r="AN4" s="6">
        <f>IF((IF(((OR((((O4)="")=TRUE), (((J4)="")=TRUE)))=TRUE),  0,  (INT(O4) - INT(J4))))="", "", ROUND((IF(((OR((((O4)="")=TRUE), (((J4)="")=TRUE)))=TRUE),  0,  (INT(O4) - INT(J4)))), 0))</f>
        <v>95</v>
      </c>
      <c r="AO4" s="4" t="b">
        <f>OR(((I4 = "Medium")=TRUE), ((I4 = "Low")=TRUE))</f>
        <v>0</v>
      </c>
      <c r="AP4" s="6">
        <f>IF((_xlfn.IFNA(IF(((INDEX(ProcedureVersions!V2:V4, MATCH(C4,ProcedureVersions!A2:A4, 0))="")=TRUE),  "",  INDEX(ProcedureVersions!V2:V4, MATCH(C4,ProcedureVersions!A2:A4, 0))), ""))="", "", ROUND((_xlfn.IFNA(IF(((INDEX(ProcedureVersions!V2:V4, MATCH(C4,ProcedureVersions!A2:A4, 0))="")=TRUE),  "",  INDEX(ProcedureVersions!V2:V4, MATCH(C4,ProcedureVersions!A2:A4, 0))), "")), 0))</f>
        <v>90</v>
      </c>
      <c r="AQ4" s="4" t="b">
        <f>AN4 &gt; AP4</f>
        <v>1</v>
      </c>
      <c r="AR4" s="4" t="b">
        <f>AND(((AQ4)=TRUE), ((AO4)=TRUE))</f>
        <v>0</v>
      </c>
      <c r="AS4" s="4" t="str">
        <f>_xlfn.IFNA(IF(((INDEX(Roles!F2:F13, MATCH(M4,Roles!A2:A13, 0))="")=TRUE),  "",  INDEX(Roles!F2:F13, MATCH(M4,Roles!A2:A13, 0))), "")</f>
        <v>Human</v>
      </c>
      <c r="AT4" s="4" t="b">
        <f>AS4 = "Human"</f>
        <v>1</v>
      </c>
      <c r="AU4" s="4" t="b">
        <f>AND(((NOT(((R4 = "Human")=TRUE)))=TRUE), ((NOT(((AT4)=TRUE)))=TRUE))</f>
        <v>0</v>
      </c>
      <c r="AV4" s="6">
        <f>IF((_xlfn.IFNA(IF(((INDEX(ProcedureVersions!V2:V4, MATCH(C4,ProcedureVersions!A2:A4, 0))="")=TRUE),  "",  INDEX(ProcedureVersions!V2:V4, MATCH(C4,ProcedureVersions!A2:A4, 0))), ""))="", "", ROUND((_xlfn.IFNA(IF(((INDEX(ProcedureVersions!V2:V4, MATCH(C4,ProcedureVersions!A2:A4, 0))="")=TRUE),  "",  INDEX(ProcedureVersions!V2:V4, MATCH(C4,ProcedureVersions!A2:A4, 0))), "")), 0))</f>
        <v>90</v>
      </c>
      <c r="AW4" s="4" t="b">
        <f>AND(((P4)=TRUE), ((AN4 &gt; AV4)=TRUE))</f>
        <v>1</v>
      </c>
      <c r="AX4" s="4" t="b">
        <f>AND(((AS4 &lt;&gt; "")=TRUE), ((J4 &lt; AY4)=TRUE))</f>
        <v>0</v>
      </c>
      <c r="AY4" s="7">
        <f>_xlfn.IFNA(IF(((INDEX(Roles!M2:M13, MATCH(M4,Roles!A2:A13, 0))="")=TRUE),  "",  INDEX(Roles!M2:M13, MATCH(M4,Roles!A2:A13, 0))), "")</f>
        <v>46023.25</v>
      </c>
      <c r="AZ4" s="5"/>
      <c r="BA4" s="6">
        <f>IF((IF(((AD4)=TRUE),  1,  0) + IF(((AW4)=TRUE),  1,  0) + IF(((AO4)=TRUE),  1,  0) + IF(((AL4)=TRUE),  1,  0))="", "", ROUND((IF(((AD4)=TRUE),  1,  0) + IF(((AW4)=TRUE),  1,  0) + IF(((AO4)=TRUE),  1,  0) + IF(((AL4)=TRUE),  1,  0)), 0))</f>
        <v>1</v>
      </c>
      <c r="BB4" s="4" t="b">
        <f>BA4 &gt;= 3</f>
        <v>0</v>
      </c>
      <c r="BC4" s="4" t="b">
        <f>AND(((AD4)=TRUE), ((AL4)=TRUE))</f>
        <v>0</v>
      </c>
      <c r="BD4" s="4" t="b">
        <f>AND(((BC4)=TRUE), ((AW4)=TRUE))</f>
        <v>0</v>
      </c>
      <c r="BE4" s="4" t="str">
        <f>IF(((BB4)=TRUE),  C4,  "")</f>
      </c>
      <c r="BF4" s="4">
        <f>IF(((P4)=TRUE),  G4,  "")</f>
        <v>0</v>
      </c>
      <c r="BG4" s="4" t="b">
        <f>_xlfn.IFNA(IF(((INDEX(Steps!W2:W18, MATCH(D4,Steps!A2:A18, 0))="")=TRUE),  "",  INDEX(Steps!W2:W18, MATCH(D4,Steps!A2:A18, 0))), "")</f>
        <v>0</v>
      </c>
      <c r="BH4" s="4" t="str">
        <f>_xlfn.IFNA(IF(((INDEX(Steps!I2:I18, MATCH(D4,Steps!A2:A18, 0))="")=TRUE),  "",  INDEX(Steps!I2:I18, MATCH(D4,Steps!A2:A18, 0))), "")</f>
        <v>Human</v>
      </c>
      <c r="BI4" s="4" t="b">
        <f>AND(((AA4)=TRUE), ((BG4)=TRUE))</f>
        <v>0</v>
      </c>
      <c r="BJ4" s="4" t="b">
        <f>AND(((AA4)=TRUE), ((NOT(((BG4)=TRUE)))=TRUE))</f>
        <v>0</v>
      </c>
      <c r="BK4" s="4" t="str">
        <f>IF(((BI4)=TRUE),  C4,  "")</f>
      </c>
      <c r="BL4" s="4" t="b">
        <f>AZ4 &lt;&gt; ""</f>
        <v>0</v>
      </c>
      <c r="BM4" s="6">
        <f>IF((IF(((BL4)=TRUE),  IF(((OR((((O4)="")=TRUE), (((AZ4)="")=TRUE)))=TRUE),  0,  (INT(O4) - INT(AZ4))),  0))="", "", ROUND((IF(((BL4)=TRUE),  IF(((OR((((O4)="")=TRUE), (((AZ4)="")=TRUE)))=TRUE),  0,  (INT(O4) - INT(AZ4))),  0)), 0))</f>
        <v>0</v>
      </c>
      <c r="BN4" s="4" t="b">
        <f>AND(((P4)=TRUE), ((NOT(((BL4)=TRUE)))=TRUE))</f>
        <v>1</v>
      </c>
      <c r="BO4" s="4" t="b">
        <f>AND(((P4)=TRUE), ((BL4)=TRUE), ((BM4 &gt; AV4)=TRUE))</f>
        <v>0</v>
      </c>
      <c r="BP4" s="4" t="b">
        <f>AND(((AW4)=TRUE), ((NOT(((BL4)=TRUE)))=TRUE))</f>
        <v>1</v>
      </c>
      <c r="BQ4" s="4" t="b">
        <f>AND(((BL4)=TRUE), ((AW4)=TRUE), ((NOT(((BO4)=TRUE)))=TRUE))</f>
        <v>0</v>
      </c>
      <c r="BR4" s="4" t="str">
        <f>IF(((BO4)=TRUE),  C4,  "")</f>
      </c>
      <c r="BS4" s="4">
        <f>COUNTIFS(AuthorityBoundaries!AA2:AA4, A4)</f>
        <v>0</v>
      </c>
      <c r="BT4" s="6">
        <f>IF((AK4 + BS4)="", "", ROUND((AK4 + BS4), 0))</f>
        <v>0</v>
      </c>
      <c r="BU4" s="6">
        <f>IF((IF(((AJ4)=TRUE),  IF(((OR((((O4)="")=TRUE), (((J4)="")=TRUE)))=TRUE),  0,  (INT(O4) - INT(J4))),  0))="", "", ROUND((IF(((AJ4)=TRUE),  IF(((OR((((O4)="")=TRUE), (((J4)="")=TRUE)))=TRUE),  0,  (INT(O4) - INT(J4))),  0)), 0))</f>
        <v>0</v>
      </c>
      <c r="BV4" s="4" t="b">
        <f>AND(((AM4)=TRUE), ((BT4 &gt; 1)=TRUE))</f>
        <v>0</v>
      </c>
      <c r="BW4" s="4" t="b">
        <f>AND(((AJ4)=TRUE), ((BU4 &gt; 30)=TRUE))</f>
        <v>0</v>
      </c>
      <c r="BX4" s="4" t="str">
        <f>IF(((BV4)=TRUE),  C4,  "")</f>
      </c>
      <c r="BY4" s="4" t="b">
        <f>_xlfn.IFNA(IF(((INDEX(Roles!R2:R13, MATCH(M4,Roles!A2:A13, 0))="")=TRUE),  "",  INDEX(Roles!R2:R13, MATCH(M4,Roles!A2:A13, 0))), "")</f>
        <v>0</v>
      </c>
      <c r="BZ4" s="4" t="b">
        <f>AND(((P4)=TRUE), ((BY4)=TRUE))</f>
        <v>0</v>
      </c>
      <c r="CA4" s="4" t="str">
        <f>IF(((P4)=TRUE),  C4,  "")</f>
        <v>close-v1.1.0</v>
      </c>
      <c r="CB4" s="3" t="s">
        <v>1176</v>
      </c>
    </row>
    <row r="5">
      <c r="A5" s="3" t="s">
        <v>1184</v>
      </c>
      <c r="B5" s="4" t="str">
        <f>E5 &amp; ": " &amp; LEFT(F5, 60)</f>
        <v>SituatedJudgment: Escalate a variance when its pattern is anomalous or recurri</v>
      </c>
      <c r="C5" s="3" t="s">
        <v>369</v>
      </c>
      <c r="D5" s="3" t="s">
        <v>567</v>
      </c>
      <c r="E5" s="3" t="s">
        <v>1185</v>
      </c>
      <c r="F5" s="3" t="s">
        <v>1186</v>
      </c>
      <c r="G5" s="3" t="s">
        <v>1093</v>
      </c>
      <c r="H5" s="3" t="s">
        <v>145</v>
      </c>
      <c r="I5" s="3" t="s">
        <v>1175</v>
      </c>
      <c r="J5" s="5">
        <v>46115.708333333336</v>
      </c>
      <c r="K5" s="5"/>
      <c r="L5" s="3" t="s">
        <v>462</v>
      </c>
      <c r="M5" s="3" t="s">
        <v>208</v>
      </c>
      <c r="N5" s="3" t="s">
        <v>95</v>
      </c>
      <c r="O5" s="7">
        <f>_xlfn.IFNA(IF(((INDEX(EvaluationContexts!D2:D2, MATCH(N5,EvaluationContexts!A2:A2, 0))="")=TRUE),  "",  INDEX(EvaluationContexts!D2:D2, MATCH(N5,EvaluationContexts!A2:A2, 0))), "")</f>
        <v>46222.75</v>
      </c>
      <c r="P5" s="4" t="b">
        <f>AND(((J5 &lt;= O5)=TRUE), ((OR(((K5 = "")=TRUE), ((K5 &gt; O5)=TRUE)))=TRUE), ((L5 = "Approved")=TRUE))</f>
        <v>1</v>
      </c>
      <c r="Q5" s="4" t="b">
        <f>_xlfn.IFNA(IF(((INDEX(Agents!I2:I12, MATCH(H5,Agents!A2:A12, 0))="")=TRUE),  "",  INDEX(Agents!I2:I12, MATCH(H5,Agents!A2:A12, 0))), "")</f>
        <v>1</v>
      </c>
      <c r="R5" s="4" t="str">
        <f>_xlfn.IFNA(IF(((INDEX(Agents!D2:D12, MATCH(H5,Agents!A2:A12, 0))="")=TRUE),  "",  INDEX(Agents!D2:D12, MATCH(H5,Agents!A2:A12, 0))), "")</f>
        <v>Human</v>
      </c>
      <c r="S5" s="4" t="b">
        <f>R5 = "Human"</f>
        <v>1</v>
      </c>
      <c r="T5" s="4" t="b">
        <f>AND(((P5)=TRUE), ((NOT(((Q5)=TRUE)))=TRUE))</f>
        <v>0</v>
      </c>
      <c r="U5" s="4" t="b">
        <f>AND(((T5)=TRUE), ((OR(((E5 = "Tacit")=TRUE), ((E5 = "SituatedJudgment")=TRUE)))=TRUE))</f>
        <v>0</v>
      </c>
      <c r="V5" s="4" t="b">
        <f>L5 = "Approved"</f>
        <v>1</v>
      </c>
      <c r="W5" s="4" t="b">
        <f>AND(((J5 &lt;= O5)=TRUE), ((OR(((K5 = "")=TRUE), ((K5 &gt; O5)=TRUE)))=TRUE))</f>
        <v>1</v>
      </c>
      <c r="X5" s="4" t="b">
        <f>AND(((D5 &lt;&gt; "")=TRUE), ((W5)=TRUE))</f>
        <v>1</v>
      </c>
      <c r="Y5" s="4" t="str">
        <f>_xlfn.IFNA(IF(((INDEX(Steps!C2:C18, MATCH(D5,Steps!A2:A18, 0))="")=TRUE),  "",  INDEX(Steps!C2:C18, MATCH(D5,Steps!A2:A18, 0))), "")</f>
        <v>close-v1.1.0</v>
      </c>
      <c r="Z5" s="4" t="b">
        <f>_xlfn.IFNA(IF(((INDEX(ProcedureVersions!Y2:Y4, MATCH(C5,ProcedureVersions!A2:A4, 0))="")=TRUE),  "",  INDEX(ProcedureVersions!Y2:Y4, MATCH(C5,ProcedureVersions!A2:A4, 0))), "")</f>
        <v>1</v>
      </c>
      <c r="AA5" s="4" t="b">
        <f>AND(((X5)=TRUE), ((Z5)=TRUE), ((NOT(((V5)=TRUE)))=TRUE))</f>
        <v>0</v>
      </c>
      <c r="AB5" s="6">
        <f>IF((_xlfn.IFNA(IF(((INDEX(ElicitationSessions!M2:M4, MATCH(G5,ElicitationSessions!A2:A4, 0))="")=TRUE),  "",  INDEX(ElicitationSessions!M2:M4, MATCH(G5,ElicitationSessions!A2:A4, 0))), ""))="", "", ROUND((_xlfn.IFNA(IF(((INDEX(ElicitationSessions!M2:M4, MATCH(G5,ElicitationSessions!A2:A4, 0))="")=TRUE),  "",  INDEX(ElicitationSessions!M2:M4, MATCH(G5,ElicitationSessions!A2:A4, 0))), "")), 0))</f>
        <v>107</v>
      </c>
      <c r="AC5" s="4" t="b">
        <f>G5 &lt;&gt; ""</f>
        <v>1</v>
      </c>
      <c r="AD5" s="4" t="b">
        <f>_xlfn.IFNA(IF(((INDEX(ElicitationSessions!N2:N4, MATCH(G5,ElicitationSessions!A2:A4, 0))="")=TRUE),  "",  INDEX(ElicitationSessions!N2:N4, MATCH(G5,ElicitationSessions!A2:A4, 0))), "")</f>
        <v>1</v>
      </c>
      <c r="AE5" s="6">
        <f>IF((IF(((AD5)=TRUE),  180,  365))="", "", ROUND((IF(((AD5)=TRUE),  180,  365)), 0))</f>
        <v>180</v>
      </c>
      <c r="AF5" s="4" t="b">
        <f>AND(((AC5)=TRUE), ((AB5 &gt; AE5)=TRUE))</f>
        <v>0</v>
      </c>
      <c r="AG5" s="4" t="str">
        <f>_xlfn.IFNA(IF(((INDEX(Roles!E2:E13, MATCH(M5,Roles!A2:A13, 0))="")=TRUE),  "",  INDEX(Roles!E2:E13, MATCH(M5,Roles!A2:A13, 0))), "")</f>
        <v>devon-okafor</v>
      </c>
      <c r="AH5" s="4" t="b">
        <f>L5 = "Reviewed"</f>
        <v>0</v>
      </c>
      <c r="AI5" s="4" t="b">
        <f>M5 = "hr-policy-owner"</f>
        <v>0</v>
      </c>
      <c r="AJ5" s="4" t="b">
        <f>AND(((AI5)=TRUE), ((AH5)=TRUE))</f>
        <v>0</v>
      </c>
      <c r="AK5" s="6">
        <f>IF((COUNTIFS(Exceptions!D2:D5,D5))="", "", ROUND((COUNTIFS(Exceptions!D2:D5,D5)), 0))</f>
        <v>0</v>
      </c>
      <c r="AL5" s="4" t="b">
        <f>AK5 &gt; 0</f>
        <v>0</v>
      </c>
      <c r="AM5" s="4" t="b">
        <f>AND(((AJ5)=TRUE), ((AL5)=TRUE))</f>
        <v>0</v>
      </c>
      <c r="AN5" s="6">
        <f>IF((IF(((OR((((O5)="")=TRUE), (((J5)="")=TRUE)))=TRUE),  0,  (INT(O5) - INT(J5))))="", "", ROUND((IF(((OR((((O5)="")=TRUE), (((J5)="")=TRUE)))=TRUE),  0,  (INT(O5) - INT(J5)))), 0))</f>
        <v>107</v>
      </c>
      <c r="AO5" s="4" t="b">
        <f>OR(((I5 = "Medium")=TRUE), ((I5 = "Low")=TRUE))</f>
        <v>0</v>
      </c>
      <c r="AP5" s="6">
        <f>IF((_xlfn.IFNA(IF(((INDEX(ProcedureVersions!V2:V4, MATCH(C5,ProcedureVersions!A2:A4, 0))="")=TRUE),  "",  INDEX(ProcedureVersions!V2:V4, MATCH(C5,ProcedureVersions!A2:A4, 0))), ""))="", "", ROUND((_xlfn.IFNA(IF(((INDEX(ProcedureVersions!V2:V4, MATCH(C5,ProcedureVersions!A2:A4, 0))="")=TRUE),  "",  INDEX(ProcedureVersions!V2:V4, MATCH(C5,ProcedureVersions!A2:A4, 0))), "")), 0))</f>
        <v>90</v>
      </c>
      <c r="AQ5" s="4" t="b">
        <f>AN5 &gt; AP5</f>
        <v>1</v>
      </c>
      <c r="AR5" s="4" t="b">
        <f>AND(((AQ5)=TRUE), ((AO5)=TRUE))</f>
        <v>0</v>
      </c>
      <c r="AS5" s="4" t="str">
        <f>_xlfn.IFNA(IF(((INDEX(Roles!F2:F13, MATCH(M5,Roles!A2:A13, 0))="")=TRUE),  "",  INDEX(Roles!F2:F13, MATCH(M5,Roles!A2:A13, 0))), "")</f>
        <v>Human</v>
      </c>
      <c r="AT5" s="4" t="b">
        <f>AS5 = "Human"</f>
        <v>1</v>
      </c>
      <c r="AU5" s="4" t="b">
        <f>AND(((NOT(((R5 = "Human")=TRUE)))=TRUE), ((NOT(((AT5)=TRUE)))=TRUE))</f>
        <v>0</v>
      </c>
      <c r="AV5" s="6">
        <f>IF((_xlfn.IFNA(IF(((INDEX(ProcedureVersions!V2:V4, MATCH(C5,ProcedureVersions!A2:A4, 0))="")=TRUE),  "",  INDEX(ProcedureVersions!V2:V4, MATCH(C5,ProcedureVersions!A2:A4, 0))), ""))="", "", ROUND((_xlfn.IFNA(IF(((INDEX(ProcedureVersions!V2:V4, MATCH(C5,ProcedureVersions!A2:A4, 0))="")=TRUE),  "",  INDEX(ProcedureVersions!V2:V4, MATCH(C5,ProcedureVersions!A2:A4, 0))), "")), 0))</f>
        <v>90</v>
      </c>
      <c r="AW5" s="4" t="b">
        <f>AND(((P5)=TRUE), ((AN5 &gt; AV5)=TRUE))</f>
        <v>1</v>
      </c>
      <c r="AX5" s="4" t="b">
        <f>AND(((AS5 &lt;&gt; "")=TRUE), ((J5 &lt; AY5)=TRUE))</f>
        <v>0</v>
      </c>
      <c r="AY5" s="7">
        <f>_xlfn.IFNA(IF(((INDEX(Roles!M2:M13, MATCH(M5,Roles!A2:A13, 0))="")=TRUE),  "",  INDEX(Roles!M2:M13, MATCH(M5,Roles!A2:A13, 0))), "")</f>
        <v>46023.25</v>
      </c>
      <c r="AZ5" s="5"/>
      <c r="BA5" s="6">
        <f>IF((IF(((AD5)=TRUE),  1,  0) + IF(((AW5)=TRUE),  1,  0) + IF(((AO5)=TRUE),  1,  0) + IF(((AL5)=TRUE),  1,  0))="", "", ROUND((IF(((AD5)=TRUE),  1,  0) + IF(((AW5)=TRUE),  1,  0) + IF(((AO5)=TRUE),  1,  0) + IF(((AL5)=TRUE),  1,  0)), 0))</f>
        <v>2</v>
      </c>
      <c r="BB5" s="4" t="b">
        <f>BA5 &gt;= 3</f>
        <v>0</v>
      </c>
      <c r="BC5" s="4" t="b">
        <f>AND(((AD5)=TRUE), ((AL5)=TRUE))</f>
        <v>0</v>
      </c>
      <c r="BD5" s="4" t="b">
        <f>AND(((BC5)=TRUE), ((AW5)=TRUE))</f>
        <v>0</v>
      </c>
      <c r="BE5" s="4" t="str">
        <f>IF(((BB5)=TRUE),  C5,  "")</f>
      </c>
      <c r="BF5" s="4" t="str">
        <f>IF(((P5)=TRUE),  G5,  "")</f>
        <v>elicit-close-shadow</v>
      </c>
      <c r="BG5" s="4" t="b">
        <f>_xlfn.IFNA(IF(((INDEX(Steps!W2:W18, MATCH(D5,Steps!A2:A18, 0))="")=TRUE),  "",  INDEX(Steps!W2:W18, MATCH(D5,Steps!A2:A18, 0))), "")</f>
        <v>1</v>
      </c>
      <c r="BH5" s="4" t="str">
        <f>_xlfn.IFNA(IF(((INDEX(Steps!I2:I18, MATCH(D5,Steps!A2:A18, 0))="")=TRUE),  "",  INDEX(Steps!I2:I18, MATCH(D5,Steps!A2:A18, 0))), "")</f>
        <v>AIAgent</v>
      </c>
      <c r="BI5" s="4" t="b">
        <f>AND(((AA5)=TRUE), ((BG5)=TRUE))</f>
        <v>0</v>
      </c>
      <c r="BJ5" s="4" t="b">
        <f>AND(((AA5)=TRUE), ((NOT(((BG5)=TRUE)))=TRUE))</f>
        <v>0</v>
      </c>
      <c r="BK5" s="4" t="str">
        <f>IF(((BI5)=TRUE),  C5,  "")</f>
      </c>
      <c r="BL5" s="4" t="b">
        <f>AZ5 &lt;&gt; ""</f>
        <v>0</v>
      </c>
      <c r="BM5" s="6">
        <f>IF((IF(((BL5)=TRUE),  IF(((OR((((O5)="")=TRUE), (((AZ5)="")=TRUE)))=TRUE),  0,  (INT(O5) - INT(AZ5))),  0))="", "", ROUND((IF(((BL5)=TRUE),  IF(((OR((((O5)="")=TRUE), (((AZ5)="")=TRUE)))=TRUE),  0,  (INT(O5) - INT(AZ5))),  0)), 0))</f>
        <v>0</v>
      </c>
      <c r="BN5" s="4" t="b">
        <f>AND(((P5)=TRUE), ((NOT(((BL5)=TRUE)))=TRUE))</f>
        <v>1</v>
      </c>
      <c r="BO5" s="4" t="b">
        <f>AND(((P5)=TRUE), ((BL5)=TRUE), ((BM5 &gt; AV5)=TRUE))</f>
        <v>0</v>
      </c>
      <c r="BP5" s="4" t="b">
        <f>AND(((AW5)=TRUE), ((NOT(((BL5)=TRUE)))=TRUE))</f>
        <v>1</v>
      </c>
      <c r="BQ5" s="4" t="b">
        <f>AND(((BL5)=TRUE), ((AW5)=TRUE), ((NOT(((BO5)=TRUE)))=TRUE))</f>
        <v>0</v>
      </c>
      <c r="BR5" s="4" t="str">
        <f>IF(((BO5)=TRUE),  C5,  "")</f>
      </c>
      <c r="BS5" s="4">
        <f>COUNTIFS(AuthorityBoundaries!AA2:AA4, A5)</f>
        <v>1</v>
      </c>
      <c r="BT5" s="6">
        <f>IF((AK5 + BS5)="", "", ROUND((AK5 + BS5), 0))</f>
        <v>1</v>
      </c>
      <c r="BU5" s="6">
        <f>IF((IF(((AJ5)=TRUE),  IF(((OR((((O5)="")=TRUE), (((J5)="")=TRUE)))=TRUE),  0,  (INT(O5) - INT(J5))),  0))="", "", ROUND((IF(((AJ5)=TRUE),  IF(((OR((((O5)="")=TRUE), (((J5)="")=TRUE)))=TRUE),  0,  (INT(O5) - INT(J5))),  0)), 0))</f>
        <v>0</v>
      </c>
      <c r="BV5" s="4" t="b">
        <f>AND(((AM5)=TRUE), ((BT5 &gt; 1)=TRUE))</f>
        <v>0</v>
      </c>
      <c r="BW5" s="4" t="b">
        <f>AND(((AJ5)=TRUE), ((BU5 &gt; 30)=TRUE))</f>
        <v>0</v>
      </c>
      <c r="BX5" s="4" t="str">
        <f>IF(((BV5)=TRUE),  C5,  "")</f>
      </c>
      <c r="BY5" s="4" t="b">
        <f>_xlfn.IFNA(IF(((INDEX(Roles!R2:R13, MATCH(M5,Roles!A2:A13, 0))="")=TRUE),  "",  INDEX(Roles!R2:R13, MATCH(M5,Roles!A2:A13, 0))), "")</f>
        <v>0</v>
      </c>
      <c r="BZ5" s="4" t="b">
        <f>AND(((P5)=TRUE), ((BY5)=TRUE))</f>
        <v>0</v>
      </c>
      <c r="CA5" s="4" t="str">
        <f>IF(((P5)=TRUE),  C5,  "")</f>
        <v>close-v1.1.0</v>
      </c>
      <c r="CB5" s="3" t="s">
        <v>1176</v>
      </c>
    </row>
    <row r="6">
      <c r="A6" s="3" t="s">
        <v>1187</v>
      </c>
      <c r="B6" s="4" t="str">
        <f>E6 &amp; ": " &amp; LEFT(F6, 60)</f>
        <v>Explicit: AI may draft from approved sources but may not create new le</v>
      </c>
      <c r="C6" s="3" t="s">
        <v>375</v>
      </c>
      <c r="D6" s="3" t="s">
        <v>597</v>
      </c>
      <c r="E6" s="3" t="s">
        <v>1182</v>
      </c>
      <c r="F6" s="3" t="s">
        <v>1188</v>
      </c>
      <c r="G6" s="3" t="s">
        <v>1100</v>
      </c>
      <c r="H6" s="3" t="s">
        <v>157</v>
      </c>
      <c r="I6" s="3" t="s">
        <v>1175</v>
      </c>
      <c r="J6" s="5">
        <v>46154.8125</v>
      </c>
      <c r="K6" s="5"/>
      <c r="L6" s="3" t="s">
        <v>462</v>
      </c>
      <c r="M6" s="3" t="s">
        <v>220</v>
      </c>
      <c r="N6" s="3" t="s">
        <v>95</v>
      </c>
      <c r="O6" s="7">
        <f>_xlfn.IFNA(IF(((INDEX(EvaluationContexts!D2:D2, MATCH(N6,EvaluationContexts!A2:A2, 0))="")=TRUE),  "",  INDEX(EvaluationContexts!D2:D2, MATCH(N6,EvaluationContexts!A2:A2, 0))), "")</f>
        <v>46222.75</v>
      </c>
      <c r="P6" s="4" t="b">
        <f>AND(((J6 &lt;= O6)=TRUE), ((OR(((K6 = "")=TRUE), ((K6 &gt; O6)=TRUE)))=TRUE), ((L6 = "Approved")=TRUE))</f>
        <v>1</v>
      </c>
      <c r="Q6" s="4" t="b">
        <f>_xlfn.IFNA(IF(((INDEX(Agents!I2:I12, MATCH(H6,Agents!A2:A12, 0))="")=TRUE),  "",  INDEX(Agents!I2:I12, MATCH(H6,Agents!A2:A12, 0))), "")</f>
        <v>1</v>
      </c>
      <c r="R6" s="4" t="str">
        <f>_xlfn.IFNA(IF(((INDEX(Agents!D2:D12, MATCH(H6,Agents!A2:A12, 0))="")=TRUE),  "",  INDEX(Agents!D2:D12, MATCH(H6,Agents!A2:A12, 0))), "")</f>
        <v>Human</v>
      </c>
      <c r="S6" s="4" t="b">
        <f>R6 = "Human"</f>
        <v>1</v>
      </c>
      <c r="T6" s="4" t="b">
        <f>AND(((P6)=TRUE), ((NOT(((Q6)=TRUE)))=TRUE))</f>
        <v>0</v>
      </c>
      <c r="U6" s="4" t="b">
        <f>AND(((T6)=TRUE), ((OR(((E6 = "Tacit")=TRUE), ((E6 = "SituatedJudgment")=TRUE)))=TRUE))</f>
        <v>0</v>
      </c>
      <c r="V6" s="4" t="b">
        <f>L6 = "Approved"</f>
        <v>1</v>
      </c>
      <c r="W6" s="4" t="b">
        <f>AND(((J6 &lt;= O6)=TRUE), ((OR(((K6 = "")=TRUE), ((K6 &gt; O6)=TRUE)))=TRUE))</f>
        <v>1</v>
      </c>
      <c r="X6" s="4" t="b">
        <f>AND(((D6 &lt;&gt; "")=TRUE), ((W6)=TRUE))</f>
        <v>1</v>
      </c>
      <c r="Y6" s="4" t="str">
        <f>_xlfn.IFNA(IF(((INDEX(Steps!C2:C18, MATCH(D6,Steps!A2:A18, 0))="")=TRUE),  "",  INDEX(Steps!C2:C18, MATCH(D6,Steps!A2:A18, 0))), "")</f>
        <v>policy-v1.0.0</v>
      </c>
      <c r="Z6" s="4" t="b">
        <f>_xlfn.IFNA(IF(((INDEX(ProcedureVersions!Y2:Y4, MATCH(C6,ProcedureVersions!A2:A4, 0))="")=TRUE),  "",  INDEX(ProcedureVersions!Y2:Y4, MATCH(C6,ProcedureVersions!A2:A4, 0))), "")</f>
        <v>1</v>
      </c>
      <c r="AA6" s="4" t="b">
        <f>AND(((X6)=TRUE), ((Z6)=TRUE), ((NOT(((V6)=TRUE)))=TRUE))</f>
        <v>0</v>
      </c>
      <c r="AB6" s="6">
        <f>IF((_xlfn.IFNA(IF(((INDEX(ElicitationSessions!M2:M4, MATCH(G6,ElicitationSessions!A2:A4, 0))="")=TRUE),  "",  INDEX(ElicitationSessions!M2:M4, MATCH(G6,ElicitationSessions!A2:A4, 0))), ""))="", "", ROUND((_xlfn.IFNA(IF(((INDEX(ElicitationSessions!M2:M4, MATCH(G6,ElicitationSessions!A2:A4, 0))="")=TRUE),  "",  INDEX(ElicitationSessions!M2:M4, MATCH(G6,ElicitationSessions!A2:A4, 0))), "")), 0))</f>
        <v>68</v>
      </c>
      <c r="AC6" s="4" t="b">
        <f>G6 &lt;&gt; ""</f>
        <v>1</v>
      </c>
      <c r="AD6" s="4" t="b">
        <f>_xlfn.IFNA(IF(((INDEX(ElicitationSessions!N2:N4, MATCH(G6,ElicitationSessions!A2:A4, 0))="")=TRUE),  "",  INDEX(ElicitationSessions!N2:N4, MATCH(G6,ElicitationSessions!A2:A4, 0))), "")</f>
        <v>1</v>
      </c>
      <c r="AE6" s="6">
        <f>IF((IF(((AD6)=TRUE),  180,  365))="", "", ROUND((IF(((AD6)=TRUE),  180,  365)), 0))</f>
        <v>180</v>
      </c>
      <c r="AF6" s="4" t="b">
        <f>AND(((AC6)=TRUE), ((AB6 &gt; AE6)=TRUE))</f>
        <v>0</v>
      </c>
      <c r="AG6" s="4" t="str">
        <f>_xlfn.IFNA(IF(((INDEX(Roles!E2:E13, MATCH(M6,Roles!A2:A13, 0))="")=TRUE),  "",  INDEX(Roles!E2:E13, MATCH(M6,Roles!A2:A13, 0))), "")</f>
        <v>noah-williams</v>
      </c>
      <c r="AH6" s="4" t="b">
        <f>L6 = "Reviewed"</f>
        <v>0</v>
      </c>
      <c r="AI6" s="4" t="b">
        <f>M6 = "hr-policy-owner"</f>
        <v>0</v>
      </c>
      <c r="AJ6" s="4" t="b">
        <f>AND(((AI6)=TRUE), ((AH6)=TRUE))</f>
        <v>0</v>
      </c>
      <c r="AK6" s="6">
        <f>IF((COUNTIFS(Exceptions!D2:D5,D6))="", "", ROUND((COUNTIFS(Exceptions!D2:D5,D6)), 0))</f>
        <v>0</v>
      </c>
      <c r="AL6" s="4" t="b">
        <f>AK6 &gt; 0</f>
        <v>0</v>
      </c>
      <c r="AM6" s="4" t="b">
        <f>AND(((AJ6)=TRUE), ((AL6)=TRUE))</f>
        <v>0</v>
      </c>
      <c r="AN6" s="6">
        <f>IF((IF(((OR((((O6)="")=TRUE), (((J6)="")=TRUE)))=TRUE),  0,  (INT(O6) - INT(J6))))="", "", ROUND((IF(((OR((((O6)="")=TRUE), (((J6)="")=TRUE)))=TRUE),  0,  (INT(O6) - INT(J6)))), 0))</f>
        <v>68</v>
      </c>
      <c r="AO6" s="4" t="b">
        <f>OR(((I6 = "Medium")=TRUE), ((I6 = "Low")=TRUE))</f>
        <v>0</v>
      </c>
      <c r="AP6" s="6">
        <f>IF((_xlfn.IFNA(IF(((INDEX(ProcedureVersions!V2:V4, MATCH(C6,ProcedureVersions!A2:A4, 0))="")=TRUE),  "",  INDEX(ProcedureVersions!V2:V4, MATCH(C6,ProcedureVersions!A2:A4, 0))), ""))="", "", ROUND((_xlfn.IFNA(IF(((INDEX(ProcedureVersions!V2:V4, MATCH(C6,ProcedureVersions!A2:A4, 0))="")=TRUE),  "",  INDEX(ProcedureVersions!V2:V4, MATCH(C6,ProcedureVersions!A2:A4, 0))), "")), 0))</f>
        <v>60</v>
      </c>
      <c r="AQ6" s="4" t="b">
        <f>AN6 &gt; AP6</f>
        <v>1</v>
      </c>
      <c r="AR6" s="4" t="b">
        <f>AND(((AQ6)=TRUE), ((AO6)=TRUE))</f>
        <v>0</v>
      </c>
      <c r="AS6" s="4" t="str">
        <f>_xlfn.IFNA(IF(((INDEX(Roles!F2:F13, MATCH(M6,Roles!A2:A13, 0))="")=TRUE),  "",  INDEX(Roles!F2:F13, MATCH(M6,Roles!A2:A13, 0))), "")</f>
        <v>Human</v>
      </c>
      <c r="AT6" s="4" t="b">
        <f>AS6 = "Human"</f>
        <v>1</v>
      </c>
      <c r="AU6" s="4" t="b">
        <f>AND(((NOT(((R6 = "Human")=TRUE)))=TRUE), ((NOT(((AT6)=TRUE)))=TRUE))</f>
        <v>0</v>
      </c>
      <c r="AV6" s="6">
        <f>IF((_xlfn.IFNA(IF(((INDEX(ProcedureVersions!V2:V4, MATCH(C6,ProcedureVersions!A2:A4, 0))="")=TRUE),  "",  INDEX(ProcedureVersions!V2:V4, MATCH(C6,ProcedureVersions!A2:A4, 0))), ""))="", "", ROUND((_xlfn.IFNA(IF(((INDEX(ProcedureVersions!V2:V4, MATCH(C6,ProcedureVersions!A2:A4, 0))="")=TRUE),  "",  INDEX(ProcedureVersions!V2:V4, MATCH(C6,ProcedureVersions!A2:A4, 0))), "")), 0))</f>
        <v>60</v>
      </c>
      <c r="AW6" s="4" t="b">
        <f>AND(((P6)=TRUE), ((AN6 &gt; AV6)=TRUE))</f>
        <v>1</v>
      </c>
      <c r="AX6" s="4" t="b">
        <f>AND(((AS6 &lt;&gt; "")=TRUE), ((J6 &lt; AY6)=TRUE))</f>
        <v>0</v>
      </c>
      <c r="AY6" s="7">
        <f>_xlfn.IFNA(IF(((INDEX(Roles!M2:M13, MATCH(M6,Roles!A2:A13, 0))="")=TRUE),  "",  INDEX(Roles!M2:M13, MATCH(M6,Roles!A2:A13, 0))), "")</f>
        <v>46037.25</v>
      </c>
      <c r="AZ6" s="5"/>
      <c r="BA6" s="6">
        <f>IF((IF(((AD6)=TRUE),  1,  0) + IF(((AW6)=TRUE),  1,  0) + IF(((AO6)=TRUE),  1,  0) + IF(((AL6)=TRUE),  1,  0))="", "", ROUND((IF(((AD6)=TRUE),  1,  0) + IF(((AW6)=TRUE),  1,  0) + IF(((AO6)=TRUE),  1,  0) + IF(((AL6)=TRUE),  1,  0)), 0))</f>
        <v>2</v>
      </c>
      <c r="BB6" s="4" t="b">
        <f>BA6 &gt;= 3</f>
        <v>0</v>
      </c>
      <c r="BC6" s="4" t="b">
        <f>AND(((AD6)=TRUE), ((AL6)=TRUE))</f>
        <v>0</v>
      </c>
      <c r="BD6" s="4" t="b">
        <f>AND(((BC6)=TRUE), ((AW6)=TRUE))</f>
        <v>0</v>
      </c>
      <c r="BE6" s="4" t="str">
        <f>IF(((BB6)=TRUE),  C6,  "")</f>
      </c>
      <c r="BF6" s="4" t="str">
        <f>IF(((P6)=TRUE),  G6,  "")</f>
        <v>elicit-policy-interview</v>
      </c>
      <c r="BG6" s="4" t="b">
        <f>_xlfn.IFNA(IF(((INDEX(Steps!W2:W18, MATCH(D6,Steps!A2:A18, 0))="")=TRUE),  "",  INDEX(Steps!W2:W18, MATCH(D6,Steps!A2:A18, 0))), "")</f>
        <v>1</v>
      </c>
      <c r="BH6" s="4" t="str">
        <f>_xlfn.IFNA(IF(((INDEX(Steps!I2:I18, MATCH(D6,Steps!A2:A18, 0))="")=TRUE),  "",  INDEX(Steps!I2:I18, MATCH(D6,Steps!A2:A18, 0))), "")</f>
        <v>AIAgent</v>
      </c>
      <c r="BI6" s="4" t="b">
        <f>AND(((AA6)=TRUE), ((BG6)=TRUE))</f>
        <v>0</v>
      </c>
      <c r="BJ6" s="4" t="b">
        <f>AND(((AA6)=TRUE), ((NOT(((BG6)=TRUE)))=TRUE))</f>
        <v>0</v>
      </c>
      <c r="BK6" s="4" t="str">
        <f>IF(((BI6)=TRUE),  C6,  "")</f>
      </c>
      <c r="BL6" s="4" t="b">
        <f>AZ6 &lt;&gt; ""</f>
        <v>0</v>
      </c>
      <c r="BM6" s="6">
        <f>IF((IF(((BL6)=TRUE),  IF(((OR((((O6)="")=TRUE), (((AZ6)="")=TRUE)))=TRUE),  0,  (INT(O6) - INT(AZ6))),  0))="", "", ROUND((IF(((BL6)=TRUE),  IF(((OR((((O6)="")=TRUE), (((AZ6)="")=TRUE)))=TRUE),  0,  (INT(O6) - INT(AZ6))),  0)), 0))</f>
        <v>0</v>
      </c>
      <c r="BN6" s="4" t="b">
        <f>AND(((P6)=TRUE), ((NOT(((BL6)=TRUE)))=TRUE))</f>
        <v>1</v>
      </c>
      <c r="BO6" s="4" t="b">
        <f>AND(((P6)=TRUE), ((BL6)=TRUE), ((BM6 &gt; AV6)=TRUE))</f>
        <v>0</v>
      </c>
      <c r="BP6" s="4" t="b">
        <f>AND(((AW6)=TRUE), ((NOT(((BL6)=TRUE)))=TRUE))</f>
        <v>1</v>
      </c>
      <c r="BQ6" s="4" t="b">
        <f>AND(((BL6)=TRUE), ((AW6)=TRUE), ((NOT(((BO6)=TRUE)))=TRUE))</f>
        <v>0</v>
      </c>
      <c r="BR6" s="4" t="str">
        <f>IF(((BO6)=TRUE),  C6,  "")</f>
      </c>
      <c r="BS6" s="4">
        <f>COUNTIFS(AuthorityBoundaries!AA2:AA4, A6)</f>
        <v>1</v>
      </c>
      <c r="BT6" s="6">
        <f>IF((AK6 + BS6)="", "", ROUND((AK6 + BS6), 0))</f>
        <v>1</v>
      </c>
      <c r="BU6" s="6">
        <f>IF((IF(((AJ6)=TRUE),  IF(((OR((((O6)="")=TRUE), (((J6)="")=TRUE)))=TRUE),  0,  (INT(O6) - INT(J6))),  0))="", "", ROUND((IF(((AJ6)=TRUE),  IF(((OR((((O6)="")=TRUE), (((J6)="")=TRUE)))=TRUE),  0,  (INT(O6) - INT(J6))),  0)), 0))</f>
        <v>0</v>
      </c>
      <c r="BV6" s="4" t="b">
        <f>AND(((AM6)=TRUE), ((BT6 &gt; 1)=TRUE))</f>
        <v>0</v>
      </c>
      <c r="BW6" s="4" t="b">
        <f>AND(((AJ6)=TRUE), ((BU6 &gt; 30)=TRUE))</f>
        <v>0</v>
      </c>
      <c r="BX6" s="4" t="str">
        <f>IF(((BV6)=TRUE),  C6,  "")</f>
      </c>
      <c r="BY6" s="4" t="b">
        <f>_xlfn.IFNA(IF(((INDEX(Roles!R2:R13, MATCH(M6,Roles!A2:A13, 0))="")=TRUE),  "",  INDEX(Roles!R2:R13, MATCH(M6,Roles!A2:A13, 0))), "")</f>
        <v>0</v>
      </c>
      <c r="BZ6" s="4" t="b">
        <f>AND(((P6)=TRUE), ((BY6)=TRUE))</f>
        <v>0</v>
      </c>
      <c r="CA6" s="4" t="str">
        <f>IF(((P6)=TRUE),  C6,  "")</f>
        <v>policy-v1.0.0</v>
      </c>
      <c r="CB6" s="3" t="s">
        <v>1176</v>
      </c>
    </row>
    <row r="7">
      <c r="A7" s="3" t="s">
        <v>1189</v>
      </c>
      <c r="B7" s="4" t="str">
        <f>E7 &amp; ": " &amp; LEFT(F7, 60)</f>
        <v>Tacit: Employees respond faster to concise SMS notices, but dispute</v>
      </c>
      <c r="C7" s="3" t="s">
        <v>375</v>
      </c>
      <c r="D7" s="3" t="s">
        <v>610</v>
      </c>
      <c r="E7" s="3" t="s">
        <v>1173</v>
      </c>
      <c r="F7" s="3" t="s">
        <v>1190</v>
      </c>
      <c r="G7" s="3" t="s">
        <v>1097</v>
      </c>
      <c r="H7" s="3" t="s">
        <v>161</v>
      </c>
      <c r="I7" s="3" t="s">
        <v>1175</v>
      </c>
      <c r="J7" s="5">
        <v>46152.791666666664</v>
      </c>
      <c r="K7" s="5"/>
      <c r="L7" s="3" t="s">
        <v>462</v>
      </c>
      <c r="M7" s="3" t="s">
        <v>224</v>
      </c>
      <c r="N7" s="3" t="s">
        <v>95</v>
      </c>
      <c r="O7" s="7">
        <f>_xlfn.IFNA(IF(((INDEX(EvaluationContexts!D2:D2, MATCH(N7,EvaluationContexts!A2:A2, 0))="")=TRUE),  "",  INDEX(EvaluationContexts!D2:D2, MATCH(N7,EvaluationContexts!A2:A2, 0))), "")</f>
        <v>46222.75</v>
      </c>
      <c r="P7" s="4" t="b">
        <f>AND(((J7 &lt;= O7)=TRUE), ((OR(((K7 = "")=TRUE), ((K7 &gt; O7)=TRUE)))=TRUE), ((L7 = "Approved")=TRUE))</f>
        <v>1</v>
      </c>
      <c r="Q7" s="4" t="b">
        <f>_xlfn.IFNA(IF(((INDEX(Agents!I2:I12, MATCH(H7,Agents!A2:A12, 0))="")=TRUE),  "",  INDEX(Agents!I2:I12, MATCH(H7,Agents!A2:A12, 0))), "")</f>
        <v>1</v>
      </c>
      <c r="R7" s="4" t="str">
        <f>_xlfn.IFNA(IF(((INDEX(Agents!D2:D12, MATCH(H7,Agents!A2:A12, 0))="")=TRUE),  "",  INDEX(Agents!D2:D12, MATCH(H7,Agents!A2:A12, 0))), "")</f>
        <v>Human</v>
      </c>
      <c r="S7" s="4" t="b">
        <f>R7 = "Human"</f>
        <v>1</v>
      </c>
      <c r="T7" s="4" t="b">
        <f>AND(((P7)=TRUE), ((NOT(((Q7)=TRUE)))=TRUE))</f>
        <v>0</v>
      </c>
      <c r="U7" s="4" t="b">
        <f>AND(((T7)=TRUE), ((OR(((E7 = "Tacit")=TRUE), ((E7 = "SituatedJudgment")=TRUE)))=TRUE))</f>
        <v>0</v>
      </c>
      <c r="V7" s="4" t="b">
        <f>L7 = "Approved"</f>
        <v>1</v>
      </c>
      <c r="W7" s="4" t="b">
        <f>AND(((J7 &lt;= O7)=TRUE), ((OR(((K7 = "")=TRUE), ((K7 &gt; O7)=TRUE)))=TRUE))</f>
        <v>1</v>
      </c>
      <c r="X7" s="4" t="b">
        <f>AND(((D7 &lt;&gt; "")=TRUE), ((W7)=TRUE))</f>
        <v>1</v>
      </c>
      <c r="Y7" s="4" t="str">
        <f>_xlfn.IFNA(IF(((INDEX(Steps!C2:C18, MATCH(D7,Steps!A2:A18, 0))="")=TRUE),  "",  INDEX(Steps!C2:C18, MATCH(D7,Steps!A2:A18, 0))), "")</f>
        <v>policy-v1.0.0</v>
      </c>
      <c r="Z7" s="4" t="b">
        <f>_xlfn.IFNA(IF(((INDEX(ProcedureVersions!Y2:Y4, MATCH(C7,ProcedureVersions!A2:A4, 0))="")=TRUE),  "",  INDEX(ProcedureVersions!Y2:Y4, MATCH(C7,ProcedureVersions!A2:A4, 0))), "")</f>
        <v>1</v>
      </c>
      <c r="AA7" s="4" t="b">
        <f>AND(((X7)=TRUE), ((Z7)=TRUE), ((NOT(((V7)=TRUE)))=TRUE))</f>
        <v>0</v>
      </c>
      <c r="AB7" s="6">
        <f>IF((_xlfn.IFNA(IF(((INDEX(ElicitationSessions!M2:M4, MATCH(G7,ElicitationSessions!A2:A4, 0))="")=TRUE),  "",  INDEX(ElicitationSessions!M2:M4, MATCH(G7,ElicitationSessions!A2:A4, 0))), ""))="", "", ROUND((_xlfn.IFNA(IF(((INDEX(ElicitationSessions!M2:M4, MATCH(G7,ElicitationSessions!A2:A4, 0))="")=TRUE),  "",  INDEX(ElicitationSessions!M2:M4, MATCH(G7,ElicitationSessions!A2:A4, 0))), "")), 0))</f>
        <v>70</v>
      </c>
      <c r="AC7" s="4" t="b">
        <f>G7 &lt;&gt; ""</f>
        <v>1</v>
      </c>
      <c r="AD7" s="4" t="b">
        <f>_xlfn.IFNA(IF(((INDEX(ElicitationSessions!N2:N4, MATCH(G7,ElicitationSessions!A2:A4, 0))="")=TRUE),  "",  INDEX(ElicitationSessions!N2:N4, MATCH(G7,ElicitationSessions!A2:A4, 0))), "")</f>
        <v>0</v>
      </c>
      <c r="AE7" s="6">
        <f>IF((IF(((AD7)=TRUE),  180,  365))="", "", ROUND((IF(((AD7)=TRUE),  180,  365)), 0))</f>
        <v>365</v>
      </c>
      <c r="AF7" s="4" t="b">
        <f>AND(((AC7)=TRUE), ((AB7 &gt; AE7)=TRUE))</f>
        <v>0</v>
      </c>
      <c r="AG7" s="4" t="str">
        <f>_xlfn.IFNA(IF(((INDEX(Roles!E2:E13, MATCH(M7,Roles!A2:A13, 0))="")=TRUE),  "",  INDEX(Roles!E2:E13, MATCH(M7,Roles!A2:A13, 0))), "")</f>
        <v>amina-yusuf</v>
      </c>
      <c r="AH7" s="4" t="b">
        <f>L7 = "Reviewed"</f>
        <v>0</v>
      </c>
      <c r="AI7" s="4" t="b">
        <f>M7 = "hr-policy-owner"</f>
        <v>0</v>
      </c>
      <c r="AJ7" s="4" t="b">
        <f>AND(((AI7)=TRUE), ((AH7)=TRUE))</f>
        <v>0</v>
      </c>
      <c r="AK7" s="6">
        <f>IF((COUNTIFS(Exceptions!D2:D5,D7))="", "", ROUND((COUNTIFS(Exceptions!D2:D5,D7)), 0))</f>
        <v>1</v>
      </c>
      <c r="AL7" s="4" t="b">
        <f>AK7 &gt; 0</f>
        <v>1</v>
      </c>
      <c r="AM7" s="4" t="b">
        <f>AND(((AJ7)=TRUE), ((AL7)=TRUE))</f>
        <v>0</v>
      </c>
      <c r="AN7" s="6">
        <f>IF((IF(((OR((((O7)="")=TRUE), (((J7)="")=TRUE)))=TRUE),  0,  (INT(O7) - INT(J7))))="", "", ROUND((IF(((OR((((O7)="")=TRUE), (((J7)="")=TRUE)))=TRUE),  0,  (INT(O7) - INT(J7)))), 0))</f>
        <v>70</v>
      </c>
      <c r="AO7" s="4" t="b">
        <f>OR(((I7 = "Medium")=TRUE), ((I7 = "Low")=TRUE))</f>
        <v>0</v>
      </c>
      <c r="AP7" s="6">
        <f>IF((_xlfn.IFNA(IF(((INDEX(ProcedureVersions!V2:V4, MATCH(C7,ProcedureVersions!A2:A4, 0))="")=TRUE),  "",  INDEX(ProcedureVersions!V2:V4, MATCH(C7,ProcedureVersions!A2:A4, 0))), ""))="", "", ROUND((_xlfn.IFNA(IF(((INDEX(ProcedureVersions!V2:V4, MATCH(C7,ProcedureVersions!A2:A4, 0))="")=TRUE),  "",  INDEX(ProcedureVersions!V2:V4, MATCH(C7,ProcedureVersions!A2:A4, 0))), "")), 0))</f>
        <v>60</v>
      </c>
      <c r="AQ7" s="4" t="b">
        <f>AN7 &gt; AP7</f>
        <v>1</v>
      </c>
      <c r="AR7" s="4" t="b">
        <f>AND(((AQ7)=TRUE), ((AO7)=TRUE))</f>
        <v>0</v>
      </c>
      <c r="AS7" s="4" t="str">
        <f>_xlfn.IFNA(IF(((INDEX(Roles!F2:F13, MATCH(M7,Roles!A2:A13, 0))="")=TRUE),  "",  INDEX(Roles!F2:F13, MATCH(M7,Roles!A2:A13, 0))), "")</f>
        <v>Human</v>
      </c>
      <c r="AT7" s="4" t="b">
        <f>AS7 = "Human"</f>
        <v>1</v>
      </c>
      <c r="AU7" s="4" t="b">
        <f>AND(((NOT(((R7 = "Human")=TRUE)))=TRUE), ((NOT(((AT7)=TRUE)))=TRUE))</f>
        <v>0</v>
      </c>
      <c r="AV7" s="6">
        <f>IF((_xlfn.IFNA(IF(((INDEX(ProcedureVersions!V2:V4, MATCH(C7,ProcedureVersions!A2:A4, 0))="")=TRUE),  "",  INDEX(ProcedureVersions!V2:V4, MATCH(C7,ProcedureVersions!A2:A4, 0))), ""))="", "", ROUND((_xlfn.IFNA(IF(((INDEX(ProcedureVersions!V2:V4, MATCH(C7,ProcedureVersions!A2:A4, 0))="")=TRUE),  "",  INDEX(ProcedureVersions!V2:V4, MATCH(C7,ProcedureVersions!A2:A4, 0))), "")), 0))</f>
        <v>60</v>
      </c>
      <c r="AW7" s="4" t="b">
        <f>AND(((P7)=TRUE), ((AN7 &gt; AV7)=TRUE))</f>
        <v>1</v>
      </c>
      <c r="AX7" s="4" t="b">
        <f>AND(((AS7 &lt;&gt; "")=TRUE), ((J7 &lt; AY7)=TRUE))</f>
        <v>0</v>
      </c>
      <c r="AY7" s="7">
        <f>_xlfn.IFNA(IF(((INDEX(Roles!M2:M13, MATCH(M7,Roles!A2:A13, 0))="")=TRUE),  "",  INDEX(Roles!M2:M13, MATCH(M7,Roles!A2:A13, 0))), "")</f>
        <v>46054.25</v>
      </c>
      <c r="AZ7" s="5">
        <v>46221.875</v>
      </c>
      <c r="BA7" s="6">
        <f>IF((IF(((AD7)=TRUE),  1,  0) + IF(((AW7)=TRUE),  1,  0) + IF(((AO7)=TRUE),  1,  0) + IF(((AL7)=TRUE),  1,  0))="", "", ROUND((IF(((AD7)=TRUE),  1,  0) + IF(((AW7)=TRUE),  1,  0) + IF(((AO7)=TRUE),  1,  0) + IF(((AL7)=TRUE),  1,  0)), 0))</f>
        <v>2</v>
      </c>
      <c r="BB7" s="4" t="b">
        <f>BA7 &gt;= 3</f>
        <v>0</v>
      </c>
      <c r="BC7" s="4" t="b">
        <f>AND(((AD7)=TRUE), ((AL7)=TRUE))</f>
        <v>0</v>
      </c>
      <c r="BD7" s="4" t="b">
        <f>AND(((BC7)=TRUE), ((AW7)=TRUE))</f>
        <v>0</v>
      </c>
      <c r="BE7" s="4" t="str">
        <f>IF(((BB7)=TRUE),  C7,  "")</f>
      </c>
      <c r="BF7" s="4" t="str">
        <f>IF(((P7)=TRUE),  G7,  "")</f>
        <v>elicit-policy-workshop</v>
      </c>
      <c r="BG7" s="4" t="b">
        <f>_xlfn.IFNA(IF(((INDEX(Steps!W2:W18, MATCH(D7,Steps!A2:A18, 0))="")=TRUE),  "",  INDEX(Steps!W2:W18, MATCH(D7,Steps!A2:A18, 0))), "")</f>
        <v>1</v>
      </c>
      <c r="BH7" s="4" t="str">
        <f>_xlfn.IFNA(IF(((INDEX(Steps!I2:I18, MATCH(D7,Steps!A2:A18, 0))="")=TRUE),  "",  INDEX(Steps!I2:I18, MATCH(D7,Steps!A2:A18, 0))), "")</f>
        <v>AutomatedPipeline</v>
      </c>
      <c r="BI7" s="4" t="b">
        <f>AND(((AA7)=TRUE), ((BG7)=TRUE))</f>
        <v>0</v>
      </c>
      <c r="BJ7" s="4" t="b">
        <f>AND(((AA7)=TRUE), ((NOT(((BG7)=TRUE)))=TRUE))</f>
        <v>0</v>
      </c>
      <c r="BK7" s="4" t="str">
        <f>IF(((BI7)=TRUE),  C7,  "")</f>
      </c>
      <c r="BL7" s="4" t="b">
        <f>AZ7 &lt;&gt; ""</f>
        <v>1</v>
      </c>
      <c r="BM7" s="6">
        <f>IF((IF(((BL7)=TRUE),  IF(((OR((((O7)="")=TRUE), (((AZ7)="")=TRUE)))=TRUE),  0,  (INT(O7) - INT(AZ7))),  0))="", "", ROUND((IF(((BL7)=TRUE),  IF(((OR((((O7)="")=TRUE), (((AZ7)="")=TRUE)))=TRUE),  0,  (INT(O7) - INT(AZ7))),  0)), 0))</f>
        <v>1</v>
      </c>
      <c r="BN7" s="4" t="b">
        <f>AND(((P7)=TRUE), ((NOT(((BL7)=TRUE)))=TRUE))</f>
        <v>0</v>
      </c>
      <c r="BO7" s="4" t="b">
        <f>AND(((P7)=TRUE), ((BL7)=TRUE), ((BM7 &gt; AV7)=TRUE))</f>
        <v>0</v>
      </c>
      <c r="BP7" s="4" t="b">
        <f>AND(((AW7)=TRUE), ((NOT(((BL7)=TRUE)))=TRUE))</f>
        <v>0</v>
      </c>
      <c r="BQ7" s="4" t="b">
        <f>AND(((BL7)=TRUE), ((AW7)=TRUE), ((NOT(((BO7)=TRUE)))=TRUE))</f>
        <v>1</v>
      </c>
      <c r="BR7" s="4" t="str">
        <f>IF(((BO7)=TRUE),  C7,  "")</f>
      </c>
      <c r="BS7" s="4">
        <f>COUNTIFS(AuthorityBoundaries!AA2:AA4, A7)</f>
        <v>0</v>
      </c>
      <c r="BT7" s="6">
        <f>IF((AK7 + BS7)="", "", ROUND((AK7 + BS7), 0))</f>
        <v>1</v>
      </c>
      <c r="BU7" s="6">
        <f>IF((IF(((AJ7)=TRUE),  IF(((OR((((O7)="")=TRUE), (((J7)="")=TRUE)))=TRUE),  0,  (INT(O7) - INT(J7))),  0))="", "", ROUND((IF(((AJ7)=TRUE),  IF(((OR((((O7)="")=TRUE), (((J7)="")=TRUE)))=TRUE),  0,  (INT(O7) - INT(J7))),  0)), 0))</f>
        <v>0</v>
      </c>
      <c r="BV7" s="4" t="b">
        <f>AND(((AM7)=TRUE), ((BT7 &gt; 1)=TRUE))</f>
        <v>0</v>
      </c>
      <c r="BW7" s="4" t="b">
        <f>AND(((AJ7)=TRUE), ((BU7 &gt; 30)=TRUE))</f>
        <v>0</v>
      </c>
      <c r="BX7" s="4" t="str">
        <f>IF(((BV7)=TRUE),  C7,  "")</f>
      </c>
      <c r="BY7" s="4" t="b">
        <f>_xlfn.IFNA(IF(((INDEX(Roles!R2:R13, MATCH(M7,Roles!A2:A13, 0))="")=TRUE),  "",  INDEX(Roles!R2:R13, MATCH(M7,Roles!A2:A13, 0))), "")</f>
        <v>0</v>
      </c>
      <c r="BZ7" s="4" t="b">
        <f>AND(((P7)=TRUE), ((BY7)=TRUE))</f>
        <v>0</v>
      </c>
      <c r="CA7" s="4" t="str">
        <f>IF(((P7)=TRUE),  C7,  "")</f>
        <v>policy-v1.0.0</v>
      </c>
      <c r="CB7" s="3" t="s">
        <v>1176</v>
      </c>
    </row>
    <row r="8">
      <c r="A8" s="3" t="s">
        <v>1191</v>
      </c>
      <c r="B8" s="4" t="str">
        <f>E8 &amp; ": " &amp; LEFT(F8, 60)</f>
        <v>Implicit: When an employee is unreachable for 48 hours, the communicat</v>
      </c>
      <c r="C8" s="3" t="s">
        <v>375</v>
      </c>
      <c r="D8" s="3" t="s">
        <v>613</v>
      </c>
      <c r="E8" s="3" t="s">
        <v>1178</v>
      </c>
      <c r="F8" s="3" t="s">
        <v>1192</v>
      </c>
      <c r="G8" s="3" t="s">
        <v>1097</v>
      </c>
      <c r="H8" s="3" t="s">
        <v>161</v>
      </c>
      <c r="I8" s="3" t="s">
        <v>1180</v>
      </c>
      <c r="J8" s="5">
        <v>46152.791666666664</v>
      </c>
      <c r="K8" s="5"/>
      <c r="L8" s="3" t="s">
        <v>1193</v>
      </c>
      <c r="M8" s="3" t="s">
        <v>216</v>
      </c>
      <c r="N8" s="3" t="s">
        <v>95</v>
      </c>
      <c r="O8" s="7">
        <f>_xlfn.IFNA(IF(((INDEX(EvaluationContexts!D2:D2, MATCH(N8,EvaluationContexts!A2:A2, 0))="")=TRUE),  "",  INDEX(EvaluationContexts!D2:D2, MATCH(N8,EvaluationContexts!A2:A2, 0))), "")</f>
        <v>46222.75</v>
      </c>
      <c r="P8" s="4" t="b">
        <f>AND(((J8 &lt;= O8)=TRUE), ((OR(((K8 = "")=TRUE), ((K8 &gt; O8)=TRUE)))=TRUE), ((L8 = "Approved")=TRUE))</f>
        <v>0</v>
      </c>
      <c r="Q8" s="4" t="b">
        <f>_xlfn.IFNA(IF(((INDEX(Agents!I2:I12, MATCH(H8,Agents!A2:A12, 0))="")=TRUE),  "",  INDEX(Agents!I2:I12, MATCH(H8,Agents!A2:A12, 0))), "")</f>
        <v>1</v>
      </c>
      <c r="R8" s="4" t="str">
        <f>_xlfn.IFNA(IF(((INDEX(Agents!D2:D12, MATCH(H8,Agents!A2:A12, 0))="")=TRUE),  "",  INDEX(Agents!D2:D12, MATCH(H8,Agents!A2:A12, 0))), "")</f>
        <v>Human</v>
      </c>
      <c r="S8" s="4" t="b">
        <f>R8 = "Human"</f>
        <v>1</v>
      </c>
      <c r="T8" s="4" t="b">
        <f>AND(((P8)=TRUE), ((NOT(((Q8)=TRUE)))=TRUE))</f>
        <v>0</v>
      </c>
      <c r="U8" s="4" t="b">
        <f>AND(((T8)=TRUE), ((OR(((E8 = "Tacit")=TRUE), ((E8 = "SituatedJudgment")=TRUE)))=TRUE))</f>
        <v>0</v>
      </c>
      <c r="V8" s="4" t="b">
        <f>L8 = "Approved"</f>
        <v>0</v>
      </c>
      <c r="W8" s="4" t="b">
        <f>AND(((J8 &lt;= O8)=TRUE), ((OR(((K8 = "")=TRUE), ((K8 &gt; O8)=TRUE)))=TRUE))</f>
        <v>1</v>
      </c>
      <c r="X8" s="4" t="b">
        <f>AND(((D8 &lt;&gt; "")=TRUE), ((W8)=TRUE))</f>
        <v>1</v>
      </c>
      <c r="Y8" s="4" t="str">
        <f>_xlfn.IFNA(IF(((INDEX(Steps!C2:C18, MATCH(D8,Steps!A2:A18, 0))="")=TRUE),  "",  INDEX(Steps!C2:C18, MATCH(D8,Steps!A2:A18, 0))), "")</f>
        <v>policy-v1.0.0</v>
      </c>
      <c r="Z8" s="4" t="b">
        <f>_xlfn.IFNA(IF(((INDEX(ProcedureVersions!Y2:Y4, MATCH(C8,ProcedureVersions!A2:A4, 0))="")=TRUE),  "",  INDEX(ProcedureVersions!Y2:Y4, MATCH(C8,ProcedureVersions!A2:A4, 0))), "")</f>
        <v>1</v>
      </c>
      <c r="AA8" s="4" t="b">
        <f>AND(((X8)=TRUE), ((Z8)=TRUE), ((NOT(((V8)=TRUE)))=TRUE))</f>
        <v>1</v>
      </c>
      <c r="AB8" s="6">
        <f>IF((_xlfn.IFNA(IF(((INDEX(ElicitationSessions!M2:M4, MATCH(G8,ElicitationSessions!A2:A4, 0))="")=TRUE),  "",  INDEX(ElicitationSessions!M2:M4, MATCH(G8,ElicitationSessions!A2:A4, 0))), ""))="", "", ROUND((_xlfn.IFNA(IF(((INDEX(ElicitationSessions!M2:M4, MATCH(G8,ElicitationSessions!A2:A4, 0))="")=TRUE),  "",  INDEX(ElicitationSessions!M2:M4, MATCH(G8,ElicitationSessions!A2:A4, 0))), "")), 0))</f>
        <v>70</v>
      </c>
      <c r="AC8" s="4" t="b">
        <f>G8 &lt;&gt; ""</f>
        <v>1</v>
      </c>
      <c r="AD8" s="4" t="b">
        <f>_xlfn.IFNA(IF(((INDEX(ElicitationSessions!N2:N4, MATCH(G8,ElicitationSessions!A2:A4, 0))="")=TRUE),  "",  INDEX(ElicitationSessions!N2:N4, MATCH(G8,ElicitationSessions!A2:A4, 0))), "")</f>
        <v>0</v>
      </c>
      <c r="AE8" s="6">
        <f>IF((IF(((AD8)=TRUE),  180,  365))="", "", ROUND((IF(((AD8)=TRUE),  180,  365)), 0))</f>
        <v>365</v>
      </c>
      <c r="AF8" s="4" t="b">
        <f>AND(((AC8)=TRUE), ((AB8 &gt; AE8)=TRUE))</f>
        <v>0</v>
      </c>
      <c r="AG8" s="4" t="str">
        <f>_xlfn.IFNA(IF(((INDEX(Roles!E2:E13, MATCH(M8,Roles!A2:A13, 0))="")=TRUE),  "",  INDEX(Roles!E2:E13, MATCH(M8,Roles!A2:A13, 0))), "")</f>
        <v>elena-garcia</v>
      </c>
      <c r="AH8" s="4" t="b">
        <f>L8 = "Reviewed"</f>
        <v>1</v>
      </c>
      <c r="AI8" s="4" t="b">
        <f>M8 = "hr-policy-owner"</f>
        <v>1</v>
      </c>
      <c r="AJ8" s="4" t="b">
        <f>AND(((AI8)=TRUE), ((AH8)=TRUE))</f>
        <v>1</v>
      </c>
      <c r="AK8" s="6">
        <f>IF((COUNTIFS(Exceptions!D2:D5,D8))="", "", ROUND((COUNTIFS(Exceptions!D2:D5,D8)), 0))</f>
        <v>1</v>
      </c>
      <c r="AL8" s="4" t="b">
        <f>AK8 &gt; 0</f>
        <v>1</v>
      </c>
      <c r="AM8" s="4" t="b">
        <f>AND(((AJ8)=TRUE), ((AL8)=TRUE))</f>
        <v>1</v>
      </c>
      <c r="AN8" s="6">
        <f>IF((IF(((OR((((O8)="")=TRUE), (((J8)="")=TRUE)))=TRUE),  0,  (INT(O8) - INT(J8))))="", "", ROUND((IF(((OR((((O8)="")=TRUE), (((J8)="")=TRUE)))=TRUE),  0,  (INT(O8) - INT(J8)))), 0))</f>
        <v>70</v>
      </c>
      <c r="AO8" s="4" t="b">
        <f>OR(((I8 = "Medium")=TRUE), ((I8 = "Low")=TRUE))</f>
        <v>1</v>
      </c>
      <c r="AP8" s="6">
        <f>IF((_xlfn.IFNA(IF(((INDEX(ProcedureVersions!V2:V4, MATCH(C8,ProcedureVersions!A2:A4, 0))="")=TRUE),  "",  INDEX(ProcedureVersions!V2:V4, MATCH(C8,ProcedureVersions!A2:A4, 0))), ""))="", "", ROUND((_xlfn.IFNA(IF(((INDEX(ProcedureVersions!V2:V4, MATCH(C8,ProcedureVersions!A2:A4, 0))="")=TRUE),  "",  INDEX(ProcedureVersions!V2:V4, MATCH(C8,ProcedureVersions!A2:A4, 0))), "")), 0))</f>
        <v>60</v>
      </c>
      <c r="AQ8" s="4" t="b">
        <f>AN8 &gt; AP8</f>
        <v>1</v>
      </c>
      <c r="AR8" s="4" t="b">
        <f>AND(((AQ8)=TRUE), ((AO8)=TRUE))</f>
        <v>1</v>
      </c>
      <c r="AS8" s="4" t="str">
        <f>_xlfn.IFNA(IF(((INDEX(Roles!F2:F13, MATCH(M8,Roles!A2:A13, 0))="")=TRUE),  "",  INDEX(Roles!F2:F13, MATCH(M8,Roles!A2:A13, 0))), "")</f>
        <v>Human</v>
      </c>
      <c r="AT8" s="4" t="b">
        <f>AS8 = "Human"</f>
        <v>1</v>
      </c>
      <c r="AU8" s="4" t="b">
        <f>AND(((NOT(((R8 = "Human")=TRUE)))=TRUE), ((NOT(((AT8)=TRUE)))=TRUE))</f>
        <v>0</v>
      </c>
      <c r="AV8" s="6">
        <f>IF((_xlfn.IFNA(IF(((INDEX(ProcedureVersions!V2:V4, MATCH(C8,ProcedureVersions!A2:A4, 0))="")=TRUE),  "",  INDEX(ProcedureVersions!V2:V4, MATCH(C8,ProcedureVersions!A2:A4, 0))), ""))="", "", ROUND((_xlfn.IFNA(IF(((INDEX(ProcedureVersions!V2:V4, MATCH(C8,ProcedureVersions!A2:A4, 0))="")=TRUE),  "",  INDEX(ProcedureVersions!V2:V4, MATCH(C8,ProcedureVersions!A2:A4, 0))), "")), 0))</f>
        <v>60</v>
      </c>
      <c r="AW8" s="4" t="b">
        <f>AND(((P8)=TRUE), ((AN8 &gt; AV8)=TRUE))</f>
        <v>0</v>
      </c>
      <c r="AX8" s="4" t="b">
        <f>AND(((AS8 &lt;&gt; "")=TRUE), ((J8 &lt; AY8)=TRUE))</f>
        <v>0</v>
      </c>
      <c r="AY8" s="7">
        <f>_xlfn.IFNA(IF(((INDEX(Roles!M2:M13, MATCH(M8,Roles!A2:A13, 0))="")=TRUE),  "",  INDEX(Roles!M2:M13, MATCH(M8,Roles!A2:A13, 0))), "")</f>
        <v>46054.25</v>
      </c>
      <c r="AZ8" s="5"/>
      <c r="BA8" s="6">
        <f>IF((IF(((AD8)=TRUE),  1,  0) + IF(((AW8)=TRUE),  1,  0) + IF(((AO8)=TRUE),  1,  0) + IF(((AL8)=TRUE),  1,  0))="", "", ROUND((IF(((AD8)=TRUE),  1,  0) + IF(((AW8)=TRUE),  1,  0) + IF(((AO8)=TRUE),  1,  0) + IF(((AL8)=TRUE),  1,  0)), 0))</f>
        <v>2</v>
      </c>
      <c r="BB8" s="4" t="b">
        <f>BA8 &gt;= 3</f>
        <v>0</v>
      </c>
      <c r="BC8" s="4" t="b">
        <f>AND(((AD8)=TRUE), ((AL8)=TRUE))</f>
        <v>0</v>
      </c>
      <c r="BD8" s="4" t="b">
        <f>AND(((BC8)=TRUE), ((AW8)=TRUE))</f>
        <v>0</v>
      </c>
      <c r="BE8" s="4" t="str">
        <f>IF(((BB8)=TRUE),  C8,  "")</f>
      </c>
      <c r="BF8" s="4" t="str">
        <f>IF(((P8)=TRUE),  G8,  "")</f>
      </c>
      <c r="BG8" s="4" t="b">
        <f>_xlfn.IFNA(IF(((INDEX(Steps!W2:W18, MATCH(D8,Steps!A2:A18, 0))="")=TRUE),  "",  INDEX(Steps!W2:W18, MATCH(D8,Steps!A2:A18, 0))), "")</f>
        <v>1</v>
      </c>
      <c r="BH8" s="4" t="str">
        <f>_xlfn.IFNA(IF(((INDEX(Steps!I2:I18, MATCH(D8,Steps!A2:A18, 0))="")=TRUE),  "",  INDEX(Steps!I2:I18, MATCH(D8,Steps!A2:A18, 0))), "")</f>
        <v>AutomatedPipeline</v>
      </c>
      <c r="BI8" s="4" t="b">
        <f>AND(((AA8)=TRUE), ((BG8)=TRUE))</f>
        <v>1</v>
      </c>
      <c r="BJ8" s="4" t="b">
        <f>AND(((AA8)=TRUE), ((NOT(((BG8)=TRUE)))=TRUE))</f>
        <v>0</v>
      </c>
      <c r="BK8" s="4" t="str">
        <f>IF(((BI8)=TRUE),  C8,  "")</f>
        <v>policy-v1.0.0</v>
      </c>
      <c r="BL8" s="4" t="b">
        <f>AZ8 &lt;&gt; ""</f>
        <v>0</v>
      </c>
      <c r="BM8" s="6">
        <f>IF((IF(((BL8)=TRUE),  IF(((OR((((O8)="")=TRUE), (((AZ8)="")=TRUE)))=TRUE),  0,  (INT(O8) - INT(AZ8))),  0))="", "", ROUND((IF(((BL8)=TRUE),  IF(((OR((((O8)="")=TRUE), (((AZ8)="")=TRUE)))=TRUE),  0,  (INT(O8) - INT(AZ8))),  0)), 0))</f>
        <v>0</v>
      </c>
      <c r="BN8" s="4" t="b">
        <f>AND(((P8)=TRUE), ((NOT(((BL8)=TRUE)))=TRUE))</f>
        <v>0</v>
      </c>
      <c r="BO8" s="4" t="b">
        <f>AND(((P8)=TRUE), ((BL8)=TRUE), ((BM8 &gt; AV8)=TRUE))</f>
        <v>0</v>
      </c>
      <c r="BP8" s="4" t="b">
        <f>AND(((AW8)=TRUE), ((NOT(((BL8)=TRUE)))=TRUE))</f>
        <v>0</v>
      </c>
      <c r="BQ8" s="4" t="b">
        <f>AND(((BL8)=TRUE), ((AW8)=TRUE), ((NOT(((BO8)=TRUE)))=TRUE))</f>
        <v>0</v>
      </c>
      <c r="BR8" s="4" t="str">
        <f>IF(((BO8)=TRUE),  C8,  "")</f>
      </c>
      <c r="BS8" s="4">
        <f>COUNTIFS(AuthorityBoundaries!AA2:AA4, A8)</f>
        <v>0</v>
      </c>
      <c r="BT8" s="6">
        <f>IF((AK8 + BS8)="", "", ROUND((AK8 + BS8), 0))</f>
        <v>1</v>
      </c>
      <c r="BU8" s="6">
        <f>IF((IF(((AJ8)=TRUE),  IF(((OR((((O8)="")=TRUE), (((J8)="")=TRUE)))=TRUE),  0,  (INT(O8) - INT(J8))),  0))="", "", ROUND((IF(((AJ8)=TRUE),  IF(((OR((((O8)="")=TRUE), (((J8)="")=TRUE)))=TRUE),  0,  (INT(O8) - INT(J8))),  0)), 0))</f>
        <v>70</v>
      </c>
      <c r="BV8" s="4" t="b">
        <f>AND(((AM8)=TRUE), ((BT8 &gt; 1)=TRUE))</f>
        <v>0</v>
      </c>
      <c r="BW8" s="4" t="b">
        <f>AND(((AJ8)=TRUE), ((BU8 &gt; 30)=TRUE))</f>
        <v>1</v>
      </c>
      <c r="BX8" s="4" t="str">
        <f>IF(((BV8)=TRUE),  C8,  "")</f>
      </c>
      <c r="BY8" s="4" t="b">
        <f>_xlfn.IFNA(IF(((INDEX(Roles!R2:R13, MATCH(M8,Roles!A2:A13, 0))="")=TRUE),  "",  INDEX(Roles!R2:R13, MATCH(M8,Roles!A2:A13, 0))), "")</f>
        <v>0</v>
      </c>
      <c r="BZ8" s="4" t="b">
        <f>AND(((P8)=TRUE), ((BY8)=TRUE))</f>
        <v>0</v>
      </c>
      <c r="CA8" s="4" t="str">
        <f>IF(((P8)=TRUE),  C8,  "")</f>
      </c>
      <c r="CB8" s="3" t="s">
        <v>1176</v>
      </c>
    </row>
  </sheetData>
  <autoFilter ref="A1:CB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B9"/>
  <sheetViews>
    <sheetView workbookViewId="0">
      <pane ySplit="1" topLeftCell="A2" state="frozen" activePane="bottomLeft"/>
      <selection pane="bottomLeft" activeCell="A1" sqref="A1"/>
    </sheetView>
  </sheetViews>
  <sheetFormatPr defaultRowHeight="15"/>
  <cols>
    <col min="1" max="1" width="32.94160079956055" customWidth="1"/>
    <col min="2" max="2" width="71.79535675048828" customWidth="1"/>
    <col min="3" max="3" width="18.236316680908203" customWidth="1"/>
    <col min="4" max="4" width="17.443378448486328" customWidth="1"/>
    <col min="5" max="5" width="256" customWidth="1"/>
    <col min="6" max="6" width="17.443378448486328" customWidth="1"/>
    <col min="7" max="7" width="17.443378448486328" customWidth="1"/>
    <col min="8" max="8" width="17.443378448486328" customWidth="1"/>
    <col min="9" max="9" width="25.59624671936035" customWidth="1"/>
    <col min="10" max="10" width="24.629854202270508" customWidth="1"/>
    <col min="11" max="11" width="256" customWidth="1"/>
    <col min="12" max="12" width="17.443378448486328" customWidth="1"/>
    <col min="13" max="13" width="20.748981475830078" customWidth="1"/>
    <col min="14" max="14" width="17.443378448486328" customWidth="1"/>
    <col min="15" max="15" width="19.851272583007812" customWidth="1"/>
    <col min="16" max="16" width="18.547500610351562" customWidth="1"/>
    <col min="17" max="17" width="23.35041618347168" customWidth="1"/>
    <col min="18" max="18" width="17.443378448486328" customWidth="1"/>
    <col min="19" max="19" width="17.443378448486328" customWidth="1"/>
    <col min="20" max="20" width="17.443378448486328" customWidth="1"/>
    <col min="21" max="21" width="17.443378448486328" customWidth="1"/>
    <col min="22" max="22" width="21.103633880615234" customWidth="1"/>
    <col min="23" max="23" width="18.94011116027832" customWidth="1"/>
    <col min="24" max="24" width="22.956594467163086" customWidth="1"/>
    <col min="25" max="25" width="28.12940788269043" customWidth="1"/>
    <col min="26" max="26" width="21.054323196411133" customWidth="1"/>
    <col min="27" max="27" width="21.816478729248047" customWidth="1"/>
    <col min="28" max="28" width="42.67026901245117" customWidth="1"/>
  </cols>
  <sheetData>
    <row r="1">
      <c r="A1" s="2" t="s">
        <v>1194</v>
      </c>
      <c r="B1" s="2" t="s">
        <v>1</v>
      </c>
      <c r="C1" s="2" t="s">
        <v>478</v>
      </c>
      <c r="D1" s="2" t="s">
        <v>767</v>
      </c>
      <c r="E1" s="2" t="s">
        <v>802</v>
      </c>
      <c r="F1" s="2" t="s">
        <v>1195</v>
      </c>
      <c r="G1" s="2" t="s">
        <v>1196</v>
      </c>
      <c r="H1" s="2" t="s">
        <v>8</v>
      </c>
      <c r="I1" s="2" t="s">
        <v>1108</v>
      </c>
      <c r="J1" s="2" t="s">
        <v>1197</v>
      </c>
      <c r="K1" s="2" t="s">
        <v>1198</v>
      </c>
      <c r="L1" s="2" t="s">
        <v>1199</v>
      </c>
      <c r="M1" s="2" t="s">
        <v>1200</v>
      </c>
      <c r="N1" s="2" t="s">
        <v>803</v>
      </c>
      <c r="O1" s="2" t="s">
        <v>1201</v>
      </c>
      <c r="P1" s="2" t="s">
        <v>258</v>
      </c>
      <c r="Q1" s="2" t="s">
        <v>92</v>
      </c>
      <c r="R1" s="2" t="s">
        <v>1202</v>
      </c>
      <c r="S1" s="2" t="s">
        <v>1203</v>
      </c>
      <c r="T1" s="2" t="s">
        <v>1204</v>
      </c>
      <c r="U1" s="2" t="s">
        <v>1125</v>
      </c>
      <c r="V1" s="2" t="s">
        <v>1205</v>
      </c>
      <c r="W1" s="2" t="s">
        <v>1206</v>
      </c>
      <c r="X1" s="2" t="s">
        <v>1207</v>
      </c>
      <c r="Y1" s="2" t="s">
        <v>1208</v>
      </c>
      <c r="Z1" s="2" t="s">
        <v>1169</v>
      </c>
      <c r="AA1" s="2" t="s">
        <v>1209</v>
      </c>
      <c r="AB1" s="2" t="s">
        <v>94</v>
      </c>
    </row>
    <row r="2">
      <c r="A2" s="3" t="s">
        <v>1210</v>
      </c>
      <c r="B2" s="4" t="str">
        <f>F2 &amp; ": " &amp; LEFT(E2, 60)</f>
        <v>High: No validated fallback exists for simultaneous ERP and signed</v>
      </c>
      <c r="C2" s="3" t="s">
        <v>369</v>
      </c>
      <c r="D2" s="3" t="s">
        <v>556</v>
      </c>
      <c r="E2" s="3" t="s">
        <v>1211</v>
      </c>
      <c r="F2" s="3" t="s">
        <v>1175</v>
      </c>
      <c r="G2" s="3" t="s">
        <v>1212</v>
      </c>
      <c r="H2" s="3" t="s">
        <v>1213</v>
      </c>
      <c r="I2" s="3" t="s">
        <v>208</v>
      </c>
      <c r="J2" s="5">
        <v>46193.583333333336</v>
      </c>
      <c r="K2" s="3" t="s">
        <v>1214</v>
      </c>
      <c r="L2" s="4" t="b">
        <f>OR(((H2 = "Open")=TRUE), ((H2 = "Investigating")=TRUE))</f>
        <v>0</v>
      </c>
      <c r="M2" s="4" t="str">
        <f>IF(((AND(((L2)=TRUE), ((F2 = "High")=TRUE)))=TRUE),  C2,  "")</f>
      </c>
      <c r="N2" s="4" t="b">
        <f>G2 = "Blocking"</f>
        <v>1</v>
      </c>
      <c r="O2" s="4" t="b">
        <f>AND(((L2)=TRUE), ((N2)=TRUE))</f>
        <v>0</v>
      </c>
      <c r="P2" s="3" t="s">
        <v>95</v>
      </c>
      <c r="Q2" s="7">
        <f>_xlfn.IFNA(IF(((INDEX(EvaluationContexts!D2:D2, MATCH(P2,EvaluationContexts!A2:A2, 0))="")=TRUE),  "",  INDEX(EvaluationContexts!D2:D2, MATCH(P2,EvaluationContexts!A2:A2, 0))), "")</f>
        <v>46222.75</v>
      </c>
      <c r="R2" s="6">
        <f>IF((IF(((L2)=TRUE),  IF(((OR((((Q2)="")=TRUE), (((J2)="")=TRUE)))=TRUE),  0,  (INT(Q2) - INT(J2))),  0))="", "", ROUND((IF(((L2)=TRUE),  IF(((OR((((Q2)="")=TRUE), (((J2)="")=TRUE)))=TRUE),  0,  (INT(Q2) - INT(J2))),  0)), 0))</f>
        <v>0</v>
      </c>
      <c r="S2" s="6">
        <f>IF((IF(((F2 = "High")=TRUE),  30,  IF(((F2 = "Medium")=TRUE),  90,  180)))="", "", ROUND((IF(((F2 = "High")=TRUE),  30,  IF(((F2 = "Medium")=TRUE),  90,  180))), 0))</f>
        <v>30</v>
      </c>
      <c r="T2" s="4" t="b">
        <f>R2 &gt; S2</f>
        <v>0</v>
      </c>
      <c r="U2" s="4" t="str">
        <f>_xlfn.IFNA(IF(((INDEX(Roles!E2:E13, MATCH(I2,Roles!A2:A13, 0))="")=TRUE),  "",  INDEX(Roles!E2:E13, MATCH(I2,Roles!A2:A13, 0))), "")</f>
        <v>devon-okafor</v>
      </c>
      <c r="V2" s="4" t="b">
        <f>_xlfn.IFNA(IF(((INDEX(Agents!I2:I12, MATCH(U2,Agents!A2:A12, 0))="")=TRUE),  "",  INDEX(Agents!I2:I12, MATCH(U2,Agents!A2:A12, 0))), "")</f>
        <v>1</v>
      </c>
      <c r="W2" s="4" t="b">
        <f>K2 &lt;&gt; ""</f>
        <v>1</v>
      </c>
      <c r="X2" s="4" t="b">
        <f>AND(((T2)=TRUE), ((OR(((NOT(((W2)=TRUE)))=TRUE), ((NOT(((V2)=TRUE)))=TRUE)))=TRUE))</f>
        <v>0</v>
      </c>
      <c r="Y2" s="4" t="str">
        <f>IF(((O2)=TRUE),  C2,  "")</f>
      </c>
      <c r="Z2" s="4" t="b">
        <f>_xlfn.IFNA(IF(((INDEX(Roles!R2:R13, MATCH(I2,Roles!A2:A13, 0))="")=TRUE),  "",  INDEX(Roles!R2:R13, MATCH(I2,Roles!A2:A13, 0))), "")</f>
        <v>0</v>
      </c>
      <c r="AA2" s="4" t="b">
        <f>AND(((L2)=TRUE), ((Z2)=TRUE))</f>
        <v>0</v>
      </c>
      <c r="AB2" s="3" t="s">
        <v>1215</v>
      </c>
    </row>
    <row r="3">
      <c r="A3" s="3" t="s">
        <v>1216</v>
      </c>
      <c r="B3" s="4" t="str">
        <f>F3 &amp; ": " &amp; LEFT(E3, 60)</f>
        <v>Medium: SMS provider delivery receipts are not always final for port</v>
      </c>
      <c r="C3" s="3" t="s">
        <v>375</v>
      </c>
      <c r="D3" s="3" t="s">
        <v>613</v>
      </c>
      <c r="E3" s="3" t="s">
        <v>1217</v>
      </c>
      <c r="F3" s="3" t="s">
        <v>1180</v>
      </c>
      <c r="G3" s="3" t="s">
        <v>1218</v>
      </c>
      <c r="H3" s="3" t="s">
        <v>1219</v>
      </c>
      <c r="I3" s="3" t="s">
        <v>224</v>
      </c>
      <c r="J3" s="5">
        <v>46221.875</v>
      </c>
      <c r="K3" s="3" t="s">
        <v>1220</v>
      </c>
      <c r="L3" s="4" t="b">
        <f>OR(((H3 = "Open")=TRUE), ((H3 = "Investigating")=TRUE))</f>
        <v>1</v>
      </c>
      <c r="M3" s="4" t="str">
        <f>IF(((AND(((L3)=TRUE), ((F3 = "High")=TRUE)))=TRUE),  C3,  "")</f>
      </c>
      <c r="N3" s="4" t="b">
        <f>G3 = "Blocking"</f>
        <v>0</v>
      </c>
      <c r="O3" s="4" t="b">
        <f>AND(((L3)=TRUE), ((N3)=TRUE))</f>
        <v>0</v>
      </c>
      <c r="P3" s="3" t="s">
        <v>95</v>
      </c>
      <c r="Q3" s="7">
        <f>_xlfn.IFNA(IF(((INDEX(EvaluationContexts!D2:D2, MATCH(P3,EvaluationContexts!A2:A2, 0))="")=TRUE),  "",  INDEX(EvaluationContexts!D2:D2, MATCH(P3,EvaluationContexts!A2:A2, 0))), "")</f>
        <v>46222.75</v>
      </c>
      <c r="R3" s="6">
        <f>IF((IF(((L3)=TRUE),  IF(((OR((((Q3)="")=TRUE), (((J3)="")=TRUE)))=TRUE),  0,  (INT(Q3) - INT(J3))),  0))="", "", ROUND((IF(((L3)=TRUE),  IF(((OR((((Q3)="")=TRUE), (((J3)="")=TRUE)))=TRUE),  0,  (INT(Q3) - INT(J3))),  0)), 0))</f>
        <v>1</v>
      </c>
      <c r="S3" s="6">
        <f>IF((IF(((F3 = "High")=TRUE),  30,  IF(((F3 = "Medium")=TRUE),  90,  180)))="", "", ROUND((IF(((F3 = "High")=TRUE),  30,  IF(((F3 = "Medium")=TRUE),  90,  180))), 0))</f>
        <v>90</v>
      </c>
      <c r="T3" s="4" t="b">
        <f>R3 &gt; S3</f>
        <v>0</v>
      </c>
      <c r="U3" s="4" t="str">
        <f>_xlfn.IFNA(IF(((INDEX(Roles!E2:E13, MATCH(I3,Roles!A2:A13, 0))="")=TRUE),  "",  INDEX(Roles!E2:E13, MATCH(I3,Roles!A2:A13, 0))), "")</f>
        <v>amina-yusuf</v>
      </c>
      <c r="V3" s="4" t="b">
        <f>_xlfn.IFNA(IF(((INDEX(Agents!I2:I12, MATCH(U3,Agents!A2:A12, 0))="")=TRUE),  "",  INDEX(Agents!I2:I12, MATCH(U3,Agents!A2:A12, 0))), "")</f>
        <v>1</v>
      </c>
      <c r="W3" s="4" t="b">
        <f>K3 &lt;&gt; ""</f>
        <v>1</v>
      </c>
      <c r="X3" s="4" t="b">
        <f>AND(((T3)=TRUE), ((OR(((NOT(((W3)=TRUE)))=TRUE), ((NOT(((V3)=TRUE)))=TRUE)))=TRUE))</f>
        <v>0</v>
      </c>
      <c r="Y3" s="4" t="str">
        <f>IF(((O3)=TRUE),  C3,  "")</f>
      </c>
      <c r="Z3" s="4" t="b">
        <f>_xlfn.IFNA(IF(((INDEX(Roles!R2:R13, MATCH(I3,Roles!A2:A13, 0))="")=TRUE),  "",  INDEX(Roles!R2:R13, MATCH(I3,Roles!A2:A13, 0))), "")</f>
        <v>0</v>
      </c>
      <c r="AA3" s="4" t="b">
        <f>AND(((L3)=TRUE), ((Z3)=TRUE))</f>
        <v>0</v>
      </c>
      <c r="AB3" s="3" t="s">
        <v>1215</v>
      </c>
    </row>
    <row r="4">
      <c r="A4" s="3" t="s">
        <v>1221</v>
      </c>
      <c r="B4" s="4" t="str">
        <f>F4 &amp; ": " &amp; LEFT(E4, 60)</f>
        <v>High: req-close-separation stated the preparer may not be the fina</v>
      </c>
      <c r="C4" s="3" t="s">
        <v>369</v>
      </c>
      <c r="D4" s="3" t="s">
        <v>572</v>
      </c>
      <c r="E4" s="3" t="s">
        <v>1222</v>
      </c>
      <c r="F4" s="3" t="s">
        <v>1175</v>
      </c>
      <c r="G4" s="3" t="s">
        <v>1212</v>
      </c>
      <c r="H4" s="3" t="s">
        <v>1213</v>
      </c>
      <c r="I4" s="3" t="s">
        <v>208</v>
      </c>
      <c r="J4" s="5">
        <v>46222.9375</v>
      </c>
      <c r="K4" s="3" t="s">
        <v>1223</v>
      </c>
      <c r="L4" s="4" t="b">
        <f>OR(((H4 = "Open")=TRUE), ((H4 = "Investigating")=TRUE))</f>
        <v>0</v>
      </c>
      <c r="M4" s="4" t="str">
        <f>IF(((AND(((L4)=TRUE), ((F4 = "High")=TRUE)))=TRUE),  C4,  "")</f>
      </c>
      <c r="N4" s="4" t="b">
        <f>G4 = "Blocking"</f>
        <v>1</v>
      </c>
      <c r="O4" s="4" t="b">
        <f>AND(((L4)=TRUE), ((N4)=TRUE))</f>
        <v>0</v>
      </c>
      <c r="P4" s="3" t="s">
        <v>95</v>
      </c>
      <c r="Q4" s="7">
        <f>_xlfn.IFNA(IF(((INDEX(EvaluationContexts!D2:D2, MATCH(P4,EvaluationContexts!A2:A2, 0))="")=TRUE),  "",  INDEX(EvaluationContexts!D2:D2, MATCH(P4,EvaluationContexts!A2:A2, 0))), "")</f>
        <v>46222.75</v>
      </c>
      <c r="R4" s="6">
        <f>IF((IF(((L4)=TRUE),  IF(((OR((((Q4)="")=TRUE), (((J4)="")=TRUE)))=TRUE),  0,  (INT(Q4) - INT(J4))),  0))="", "", ROUND((IF(((L4)=TRUE),  IF(((OR((((Q4)="")=TRUE), (((J4)="")=TRUE)))=TRUE),  0,  (INT(Q4) - INT(J4))),  0)), 0))</f>
        <v>0</v>
      </c>
      <c r="S4" s="6">
        <f>IF((IF(((F4 = "High")=TRUE),  30,  IF(((F4 = "Medium")=TRUE),  90,  180)))="", "", ROUND((IF(((F4 = "High")=TRUE),  30,  IF(((F4 = "Medium")=TRUE),  90,  180))), 0))</f>
        <v>30</v>
      </c>
      <c r="T4" s="4" t="b">
        <f>R4 &gt; S4</f>
        <v>0</v>
      </c>
      <c r="U4" s="4" t="str">
        <f>_xlfn.IFNA(IF(((INDEX(Roles!E2:E13, MATCH(I4,Roles!A2:A13, 0))="")=TRUE),  "",  INDEX(Roles!E2:E13, MATCH(I4,Roles!A2:A13, 0))), "")</f>
        <v>devon-okafor</v>
      </c>
      <c r="V4" s="4" t="b">
        <f>_xlfn.IFNA(IF(((INDEX(Agents!I2:I12, MATCH(U4,Agents!A2:A12, 0))="")=TRUE),  "",  INDEX(Agents!I2:I12, MATCH(U4,Agents!A2:A12, 0))), "")</f>
        <v>1</v>
      </c>
      <c r="W4" s="4" t="b">
        <f>K4 &lt;&gt; ""</f>
        <v>1</v>
      </c>
      <c r="X4" s="4" t="b">
        <f>AND(((T4)=TRUE), ((OR(((NOT(((W4)=TRUE)))=TRUE), ((NOT(((V4)=TRUE)))=TRUE)))=TRUE))</f>
        <v>0</v>
      </c>
      <c r="Y4" s="4" t="str">
        <f>IF(((O4)=TRUE),  C4,  "")</f>
      </c>
      <c r="Z4" s="4" t="b">
        <f>_xlfn.IFNA(IF(((INDEX(Roles!R2:R13, MATCH(I4,Roles!A2:A13, 0))="")=TRUE),  "",  INDEX(Roles!R2:R13, MATCH(I4,Roles!A2:A13, 0))), "")</f>
        <v>0</v>
      </c>
      <c r="AA4" s="4" t="b">
        <f>AND(((L4)=TRUE), ((Z4)=TRUE))</f>
        <v>0</v>
      </c>
      <c r="AB4" s="3" t="s">
        <v>1215</v>
      </c>
    </row>
    <row r="5">
      <c r="A5" s="3" t="s">
        <v>1224</v>
      </c>
      <c r="B5" s="4" t="str">
        <f>F5 &amp; ": " &amp; LEFT(E5, 60)</f>
        <v>Medium: StewardshipAssignments promised a 90-day review cadence for </v>
      </c>
      <c r="C5" s="3" t="s">
        <v>369</v>
      </c>
      <c r="D5" s="3"/>
      <c r="E5" s="3" t="s">
        <v>1225</v>
      </c>
      <c r="F5" s="3" t="s">
        <v>1180</v>
      </c>
      <c r="G5" s="3" t="s">
        <v>1218</v>
      </c>
      <c r="H5" s="3" t="s">
        <v>1213</v>
      </c>
      <c r="I5" s="3" t="s">
        <v>244</v>
      </c>
      <c r="J5" s="5">
        <v>46222.958333333336</v>
      </c>
      <c r="K5" s="3" t="s">
        <v>1226</v>
      </c>
      <c r="L5" s="4" t="b">
        <f>OR(((H5 = "Open")=TRUE), ((H5 = "Investigating")=TRUE))</f>
        <v>0</v>
      </c>
      <c r="M5" s="4" t="str">
        <f>IF(((AND(((L5)=TRUE), ((F5 = "High")=TRUE)))=TRUE),  C5,  "")</f>
      </c>
      <c r="N5" s="4" t="b">
        <f>G5 = "Blocking"</f>
        <v>0</v>
      </c>
      <c r="O5" s="4" t="b">
        <f>AND(((L5)=TRUE), ((N5)=TRUE))</f>
        <v>0</v>
      </c>
      <c r="P5" s="3" t="s">
        <v>95</v>
      </c>
      <c r="Q5" s="7">
        <f>_xlfn.IFNA(IF(((INDEX(EvaluationContexts!D2:D2, MATCH(P5,EvaluationContexts!A2:A2, 0))="")=TRUE),  "",  INDEX(EvaluationContexts!D2:D2, MATCH(P5,EvaluationContexts!A2:A2, 0))), "")</f>
        <v>46222.75</v>
      </c>
      <c r="R5" s="6">
        <f>IF((IF(((L5)=TRUE),  IF(((OR((((Q5)="")=TRUE), (((J5)="")=TRUE)))=TRUE),  0,  (INT(Q5) - INT(J5))),  0))="", "", ROUND((IF(((L5)=TRUE),  IF(((OR((((Q5)="")=TRUE), (((J5)="")=TRUE)))=TRUE),  0,  (INT(Q5) - INT(J5))),  0)), 0))</f>
        <v>0</v>
      </c>
      <c r="S5" s="6">
        <f>IF((IF(((F5 = "High")=TRUE),  30,  IF(((F5 = "Medium")=TRUE),  90,  180)))="", "", ROUND((IF(((F5 = "High")=TRUE),  30,  IF(((F5 = "Medium")=TRUE),  90,  180))), 0))</f>
        <v>90</v>
      </c>
      <c r="T5" s="4" t="b">
        <f>R5 &gt; S5</f>
        <v>0</v>
      </c>
      <c r="U5" s="4" t="str">
        <f>_xlfn.IFNA(IF(((INDEX(Roles!E2:E13, MATCH(I5,Roles!A2:A13, 0))="")=TRUE),  "",  INDEX(Roles!E2:E13, MATCH(I5,Roles!A2:A13, 0))), "")</f>
        <v>elena-garcia</v>
      </c>
      <c r="V5" s="4" t="b">
        <f>_xlfn.IFNA(IF(((INDEX(Agents!I2:I12, MATCH(U5,Agents!A2:A12, 0))="")=TRUE),  "",  INDEX(Agents!I2:I12, MATCH(U5,Agents!A2:A12, 0))), "")</f>
        <v>1</v>
      </c>
      <c r="W5" s="4" t="b">
        <f>K5 &lt;&gt; ""</f>
        <v>1</v>
      </c>
      <c r="X5" s="4" t="b">
        <f>AND(((T5)=TRUE), ((OR(((NOT(((W5)=TRUE)))=TRUE), ((NOT(((V5)=TRUE)))=TRUE)))=TRUE))</f>
        <v>0</v>
      </c>
      <c r="Y5" s="4" t="str">
        <f>IF(((O5)=TRUE),  C5,  "")</f>
      </c>
      <c r="Z5" s="4" t="b">
        <f>_xlfn.IFNA(IF(((INDEX(Roles!R2:R13, MATCH(I5,Roles!A2:A13, 0))="")=TRUE),  "",  INDEX(Roles!R2:R13, MATCH(I5,Roles!A2:A13, 0))), "")</f>
        <v>0</v>
      </c>
      <c r="AA5" s="4" t="b">
        <f>AND(((L5)=TRUE), ((Z5)=TRUE))</f>
        <v>0</v>
      </c>
      <c r="AB5" s="3" t="s">
        <v>1215</v>
      </c>
    </row>
    <row r="6">
      <c r="A6" s="3" t="s">
        <v>1227</v>
      </c>
      <c r="B6" s="4" t="str">
        <f>F6 &amp; ": " &amp; LEFT(E6, 60)</f>
        <v>High: Five of twelve roles were held only by a denormalized Roles.</v>
      </c>
      <c r="C6" s="3" t="s">
        <v>369</v>
      </c>
      <c r="D6" s="3"/>
      <c r="E6" s="3" t="s">
        <v>1228</v>
      </c>
      <c r="F6" s="3" t="s">
        <v>1175</v>
      </c>
      <c r="G6" s="3" t="s">
        <v>1218</v>
      </c>
      <c r="H6" s="3" t="s">
        <v>1213</v>
      </c>
      <c r="I6" s="3" t="s">
        <v>248</v>
      </c>
      <c r="J6" s="5">
        <v>46222.97222222222</v>
      </c>
      <c r="K6" s="3" t="s">
        <v>1229</v>
      </c>
      <c r="L6" s="4" t="b">
        <f>OR(((H6 = "Open")=TRUE), ((H6 = "Investigating")=TRUE))</f>
        <v>0</v>
      </c>
      <c r="M6" s="4" t="str">
        <f>IF(((AND(((L6)=TRUE), ((F6 = "High")=TRUE)))=TRUE),  C6,  "")</f>
      </c>
      <c r="N6" s="4" t="b">
        <f>G6 = "Blocking"</f>
        <v>0</v>
      </c>
      <c r="O6" s="4" t="b">
        <f>AND(((L6)=TRUE), ((N6)=TRUE))</f>
        <v>0</v>
      </c>
      <c r="P6" s="3" t="s">
        <v>95</v>
      </c>
      <c r="Q6" s="7">
        <f>_xlfn.IFNA(IF(((INDEX(EvaluationContexts!D2:D2, MATCH(P6,EvaluationContexts!A2:A2, 0))="")=TRUE),  "",  INDEX(EvaluationContexts!D2:D2, MATCH(P6,EvaluationContexts!A2:A2, 0))), "")</f>
        <v>46222.75</v>
      </c>
      <c r="R6" s="6">
        <f>IF((IF(((L6)=TRUE),  IF(((OR((((Q6)="")=TRUE), (((J6)="")=TRUE)))=TRUE),  0,  (INT(Q6) - INT(J6))),  0))="", "", ROUND((IF(((L6)=TRUE),  IF(((OR((((Q6)="")=TRUE), (((J6)="")=TRUE)))=TRUE),  0,  (INT(Q6) - INT(J6))),  0)), 0))</f>
        <v>0</v>
      </c>
      <c r="S6" s="6">
        <f>IF((IF(((F6 = "High")=TRUE),  30,  IF(((F6 = "Medium")=TRUE),  90,  180)))="", "", ROUND((IF(((F6 = "High")=TRUE),  30,  IF(((F6 = "Medium")=TRUE),  90,  180))), 0))</f>
        <v>30</v>
      </c>
      <c r="T6" s="4" t="b">
        <f>R6 &gt; S6</f>
        <v>0</v>
      </c>
      <c r="U6" s="4" t="str">
        <f>_xlfn.IFNA(IF(((INDEX(Roles!E2:E13, MATCH(I6,Roles!A2:A13, 0))="")=TRUE),  "",  INDEX(Roles!E2:E13, MATCH(I6,Roles!A2:A13, 0))), "")</f>
        <v>priya-raman</v>
      </c>
      <c r="V6" s="4" t="b">
        <f>_xlfn.IFNA(IF(((INDEX(Agents!I2:I12, MATCH(U6,Agents!A2:A12, 0))="")=TRUE),  "",  INDEX(Agents!I2:I12, MATCH(U6,Agents!A2:A12, 0))), "")</f>
        <v>1</v>
      </c>
      <c r="W6" s="4" t="b">
        <f>K6 &lt;&gt; ""</f>
        <v>1</v>
      </c>
      <c r="X6" s="4" t="b">
        <f>AND(((T6)=TRUE), ((OR(((NOT(((W6)=TRUE)))=TRUE), ((NOT(((V6)=TRUE)))=TRUE)))=TRUE))</f>
        <v>0</v>
      </c>
      <c r="Y6" s="4" t="str">
        <f>IF(((O6)=TRUE),  C6,  "")</f>
      </c>
      <c r="Z6" s="4" t="b">
        <f>_xlfn.IFNA(IF(((INDEX(Roles!R2:R13, MATCH(I6,Roles!A2:A13, 0))="")=TRUE),  "",  INDEX(Roles!R2:R13, MATCH(I6,Roles!A2:A13, 0))), "")</f>
        <v>0</v>
      </c>
      <c r="AA6" s="4" t="b">
        <f>AND(((L6)=TRUE), ((Z6)=TRUE))</f>
        <v>0</v>
      </c>
      <c r="AB6" s="3" t="s">
        <v>1215</v>
      </c>
    </row>
    <row r="7">
      <c r="A7" s="3" t="s">
        <v>1230</v>
      </c>
      <c r="B7" s="4" t="str">
        <f>F7 &amp; ": " &amp; LEFT(E7, 60)</f>
        <v>Critical: comm-sms-policy set ConsentRequired=true and exc-no-sms-cons</v>
      </c>
      <c r="C7" s="3" t="s">
        <v>375</v>
      </c>
      <c r="D7" s="3" t="s">
        <v>610</v>
      </c>
      <c r="E7" s="3" t="s">
        <v>1231</v>
      </c>
      <c r="F7" s="3" t="s">
        <v>1232</v>
      </c>
      <c r="G7" s="3" t="s">
        <v>1212</v>
      </c>
      <c r="H7" s="3" t="s">
        <v>1213</v>
      </c>
      <c r="I7" s="3" t="s">
        <v>220</v>
      </c>
      <c r="J7" s="5">
        <v>46222.98611111111</v>
      </c>
      <c r="K7" s="3" t="s">
        <v>1233</v>
      </c>
      <c r="L7" s="4" t="b">
        <f>OR(((H7 = "Open")=TRUE), ((H7 = "Investigating")=TRUE))</f>
        <v>0</v>
      </c>
      <c r="M7" s="4" t="str">
        <f>IF(((AND(((L7)=TRUE), ((F7 = "High")=TRUE)))=TRUE),  C7,  "")</f>
      </c>
      <c r="N7" s="4" t="b">
        <f>G7 = "Blocking"</f>
        <v>1</v>
      </c>
      <c r="O7" s="4" t="b">
        <f>AND(((L7)=TRUE), ((N7)=TRUE))</f>
        <v>0</v>
      </c>
      <c r="P7" s="3" t="s">
        <v>95</v>
      </c>
      <c r="Q7" s="7">
        <f>_xlfn.IFNA(IF(((INDEX(EvaluationContexts!D2:D2, MATCH(P7,EvaluationContexts!A2:A2, 0))="")=TRUE),  "",  INDEX(EvaluationContexts!D2:D2, MATCH(P7,EvaluationContexts!A2:A2, 0))), "")</f>
        <v>46222.75</v>
      </c>
      <c r="R7" s="6">
        <f>IF((IF(((L7)=TRUE),  IF(((OR((((Q7)="")=TRUE), (((J7)="")=TRUE)))=TRUE),  0,  (INT(Q7) - INT(J7))),  0))="", "", ROUND((IF(((L7)=TRUE),  IF(((OR((((Q7)="")=TRUE), (((J7)="")=TRUE)))=TRUE),  0,  (INT(Q7) - INT(J7))),  0)), 0))</f>
        <v>0</v>
      </c>
      <c r="S7" s="6">
        <f>IF((IF(((F7 = "High")=TRUE),  30,  IF(((F7 = "Medium")=TRUE),  90,  180)))="", "", ROUND((IF(((F7 = "High")=TRUE),  30,  IF(((F7 = "Medium")=TRUE),  90,  180))), 0))</f>
        <v>180</v>
      </c>
      <c r="T7" s="4" t="b">
        <f>R7 &gt; S7</f>
        <v>0</v>
      </c>
      <c r="U7" s="4" t="str">
        <f>_xlfn.IFNA(IF(((INDEX(Roles!E2:E13, MATCH(I7,Roles!A2:A13, 0))="")=TRUE),  "",  INDEX(Roles!E2:E13, MATCH(I7,Roles!A2:A13, 0))), "")</f>
        <v>noah-williams</v>
      </c>
      <c r="V7" s="4" t="b">
        <f>_xlfn.IFNA(IF(((INDEX(Agents!I2:I12, MATCH(U7,Agents!A2:A12, 0))="")=TRUE),  "",  INDEX(Agents!I2:I12, MATCH(U7,Agents!A2:A12, 0))), "")</f>
        <v>1</v>
      </c>
      <c r="W7" s="4" t="b">
        <f>K7 &lt;&gt; ""</f>
        <v>1</v>
      </c>
      <c r="X7" s="4" t="b">
        <f>AND(((T7)=TRUE), ((OR(((NOT(((W7)=TRUE)))=TRUE), ((NOT(((V7)=TRUE)))=TRUE)))=TRUE))</f>
        <v>0</v>
      </c>
      <c r="Y7" s="4" t="str">
        <f>IF(((O7)=TRUE),  C7,  "")</f>
      </c>
      <c r="Z7" s="4" t="b">
        <f>_xlfn.IFNA(IF(((INDEX(Roles!R2:R13, MATCH(I7,Roles!A2:A13, 0))="")=TRUE),  "",  INDEX(Roles!R2:R13, MATCH(I7,Roles!A2:A13, 0))), "")</f>
        <v>0</v>
      </c>
      <c r="AA7" s="4" t="b">
        <f>AND(((L7)=TRUE), ((Z7)=TRUE))</f>
        <v>0</v>
      </c>
      <c r="AB7" s="3" t="s">
        <v>1215</v>
      </c>
    </row>
    <row r="8">
      <c r="A8" s="3" t="s">
        <v>1234</v>
      </c>
      <c r="B8" s="4" t="str">
        <f>F8 &amp; ": " &amp; LEFT(E8, 60)</f>
        <v>High: comm-sms-policy defined a 20:00-08:00 quiet window and nothi</v>
      </c>
      <c r="C8" s="3" t="s">
        <v>375</v>
      </c>
      <c r="D8" s="3" t="s">
        <v>610</v>
      </c>
      <c r="E8" s="3" t="s">
        <v>1235</v>
      </c>
      <c r="F8" s="3" t="s">
        <v>1175</v>
      </c>
      <c r="G8" s="3" t="s">
        <v>1212</v>
      </c>
      <c r="H8" s="3" t="s">
        <v>1213</v>
      </c>
      <c r="I8" s="3" t="s">
        <v>220</v>
      </c>
      <c r="J8" s="5">
        <v>46222.98611111111</v>
      </c>
      <c r="K8" s="3" t="s">
        <v>1236</v>
      </c>
      <c r="L8" s="4" t="b">
        <f>OR(((H8 = "Open")=TRUE), ((H8 = "Investigating")=TRUE))</f>
        <v>0</v>
      </c>
      <c r="M8" s="4" t="str">
        <f>IF(((AND(((L8)=TRUE), ((F8 = "High")=TRUE)))=TRUE),  C8,  "")</f>
      </c>
      <c r="N8" s="4" t="b">
        <f>G8 = "Blocking"</f>
        <v>1</v>
      </c>
      <c r="O8" s="4" t="b">
        <f>AND(((L8)=TRUE), ((N8)=TRUE))</f>
        <v>0</v>
      </c>
      <c r="P8" s="3" t="s">
        <v>95</v>
      </c>
      <c r="Q8" s="7">
        <f>_xlfn.IFNA(IF(((INDEX(EvaluationContexts!D2:D2, MATCH(P8,EvaluationContexts!A2:A2, 0))="")=TRUE),  "",  INDEX(EvaluationContexts!D2:D2, MATCH(P8,EvaluationContexts!A2:A2, 0))), "")</f>
        <v>46222.75</v>
      </c>
      <c r="R8" s="6">
        <f>IF((IF(((L8)=TRUE),  IF(((OR((((Q8)="")=TRUE), (((J8)="")=TRUE)))=TRUE),  0,  (INT(Q8) - INT(J8))),  0))="", "", ROUND((IF(((L8)=TRUE),  IF(((OR((((Q8)="")=TRUE), (((J8)="")=TRUE)))=TRUE),  0,  (INT(Q8) - INT(J8))),  0)), 0))</f>
        <v>0</v>
      </c>
      <c r="S8" s="6">
        <f>IF((IF(((F8 = "High")=TRUE),  30,  IF(((F8 = "Medium")=TRUE),  90,  180)))="", "", ROUND((IF(((F8 = "High")=TRUE),  30,  IF(((F8 = "Medium")=TRUE),  90,  180))), 0))</f>
        <v>30</v>
      </c>
      <c r="T8" s="4" t="b">
        <f>R8 &gt; S8</f>
        <v>0</v>
      </c>
      <c r="U8" s="4" t="str">
        <f>_xlfn.IFNA(IF(((INDEX(Roles!E2:E13, MATCH(I8,Roles!A2:A13, 0))="")=TRUE),  "",  INDEX(Roles!E2:E13, MATCH(I8,Roles!A2:A13, 0))), "")</f>
        <v>noah-williams</v>
      </c>
      <c r="V8" s="4" t="b">
        <f>_xlfn.IFNA(IF(((INDEX(Agents!I2:I12, MATCH(U8,Agents!A2:A12, 0))="")=TRUE),  "",  INDEX(Agents!I2:I12, MATCH(U8,Agents!A2:A12, 0))), "")</f>
        <v>1</v>
      </c>
      <c r="W8" s="4" t="b">
        <f>K8 &lt;&gt; ""</f>
        <v>1</v>
      </c>
      <c r="X8" s="4" t="b">
        <f>AND(((T8)=TRUE), ((OR(((NOT(((W8)=TRUE)))=TRUE), ((NOT(((V8)=TRUE)))=TRUE)))=TRUE))</f>
        <v>0</v>
      </c>
      <c r="Y8" s="4" t="str">
        <f>IF(((O8)=TRUE),  C8,  "")</f>
      </c>
      <c r="Z8" s="4" t="b">
        <f>_xlfn.IFNA(IF(((INDEX(Roles!R2:R13, MATCH(I8,Roles!A2:A13, 0))="")=TRUE),  "",  INDEX(Roles!R2:R13, MATCH(I8,Roles!A2:A13, 0))), "")</f>
        <v>0</v>
      </c>
      <c r="AA8" s="4" t="b">
        <f>AND(((L8)=TRUE), ((Z8)=TRUE))</f>
        <v>0</v>
      </c>
      <c r="AB8" s="3" t="s">
        <v>1215</v>
      </c>
    </row>
    <row r="9">
      <c r="A9" s="3" t="s">
        <v>1237</v>
      </c>
      <c r="B9" s="4" t="str">
        <f>F9 &amp; ": " &amp; LEFT(E9, 60)</f>
        <v>Critical: MessageTemplates carried Status="Approved" as a bare string </v>
      </c>
      <c r="C9" s="3" t="s">
        <v>375</v>
      </c>
      <c r="D9" s="3" t="s">
        <v>610</v>
      </c>
      <c r="E9" s="3" t="s">
        <v>1238</v>
      </c>
      <c r="F9" s="3" t="s">
        <v>1232</v>
      </c>
      <c r="G9" s="3" t="s">
        <v>1212</v>
      </c>
      <c r="H9" s="3" t="s">
        <v>1213</v>
      </c>
      <c r="I9" s="3" t="s">
        <v>224</v>
      </c>
      <c r="J9" s="5">
        <v>46223</v>
      </c>
      <c r="K9" s="3" t="s">
        <v>1239</v>
      </c>
      <c r="L9" s="4" t="b">
        <f>OR(((H9 = "Open")=TRUE), ((H9 = "Investigating")=TRUE))</f>
        <v>0</v>
      </c>
      <c r="M9" s="4" t="str">
        <f>IF(((AND(((L9)=TRUE), ((F9 = "High")=TRUE)))=TRUE),  C9,  "")</f>
      </c>
      <c r="N9" s="4" t="b">
        <f>G9 = "Blocking"</f>
        <v>1</v>
      </c>
      <c r="O9" s="4" t="b">
        <f>AND(((L9)=TRUE), ((N9)=TRUE))</f>
        <v>0</v>
      </c>
      <c r="P9" s="3" t="s">
        <v>95</v>
      </c>
      <c r="Q9" s="7">
        <f>_xlfn.IFNA(IF(((INDEX(EvaluationContexts!D2:D2, MATCH(P9,EvaluationContexts!A2:A2, 0))="")=TRUE),  "",  INDEX(EvaluationContexts!D2:D2, MATCH(P9,EvaluationContexts!A2:A2, 0))), "")</f>
        <v>46222.75</v>
      </c>
      <c r="R9" s="6">
        <f>IF((IF(((L9)=TRUE),  IF(((OR((((Q9)="")=TRUE), (((J9)="")=TRUE)))=TRUE),  0,  (INT(Q9) - INT(J9))),  0))="", "", ROUND((IF(((L9)=TRUE),  IF(((OR((((Q9)="")=TRUE), (((J9)="")=TRUE)))=TRUE),  0,  (INT(Q9) - INT(J9))),  0)), 0))</f>
        <v>0</v>
      </c>
      <c r="S9" s="6">
        <f>IF((IF(((F9 = "High")=TRUE),  30,  IF(((F9 = "Medium")=TRUE),  90,  180)))="", "", ROUND((IF(((F9 = "High")=TRUE),  30,  IF(((F9 = "Medium")=TRUE),  90,  180))), 0))</f>
        <v>180</v>
      </c>
      <c r="T9" s="4" t="b">
        <f>R9 &gt; S9</f>
        <v>0</v>
      </c>
      <c r="U9" s="4" t="str">
        <f>_xlfn.IFNA(IF(((INDEX(Roles!E2:E13, MATCH(I9,Roles!A2:A13, 0))="")=TRUE),  "",  INDEX(Roles!E2:E13, MATCH(I9,Roles!A2:A13, 0))), "")</f>
        <v>amina-yusuf</v>
      </c>
      <c r="V9" s="4" t="b">
        <f>_xlfn.IFNA(IF(((INDEX(Agents!I2:I12, MATCH(U9,Agents!A2:A12, 0))="")=TRUE),  "",  INDEX(Agents!I2:I12, MATCH(U9,Agents!A2:A12, 0))), "")</f>
        <v>1</v>
      </c>
      <c r="W9" s="4" t="b">
        <f>K9 &lt;&gt; ""</f>
        <v>1</v>
      </c>
      <c r="X9" s="4" t="b">
        <f>AND(((T9)=TRUE), ((OR(((NOT(((W9)=TRUE)))=TRUE), ((NOT(((V9)=TRUE)))=TRUE)))=TRUE))</f>
        <v>0</v>
      </c>
      <c r="Y9" s="4" t="str">
        <f>IF(((O9)=TRUE),  C9,  "")</f>
      </c>
      <c r="Z9" s="4" t="b">
        <f>_xlfn.IFNA(IF(((INDEX(Roles!R2:R13, MATCH(I9,Roles!A2:A13, 0))="")=TRUE),  "",  INDEX(Roles!R2:R13, MATCH(I9,Roles!A2:A13, 0))), "")</f>
        <v>0</v>
      </c>
      <c r="AA9" s="4" t="b">
        <f>AND(((L9)=TRUE), ((Z9)=TRUE))</f>
        <v>0</v>
      </c>
      <c r="AB9" s="3" t="s">
        <v>1215</v>
      </c>
    </row>
  </sheetData>
  <autoFilter ref="A1:AB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4"/>
  <sheetViews>
    <sheetView workbookViewId="0">
      <pane ySplit="1" topLeftCell="A2" state="frozen" activePane="bottomLeft"/>
      <selection pane="bottomLeft" activeCell="A1" sqref="A1"/>
    </sheetView>
  </sheetViews>
  <sheetFormatPr defaultRowHeight="15"/>
  <cols>
    <col min="1" max="1" width="21.48943519592285" customWidth="1"/>
    <col min="2" max="2" width="49.125301361083984" customWidth="1"/>
    <col min="3" max="3" width="18.236316680908203" customWidth="1"/>
    <col min="4" max="4" width="17.443378448486328" customWidth="1"/>
    <col min="5" max="5" width="17.443378448486328" customWidth="1"/>
    <col min="6" max="6" width="17.443378448486328" customWidth="1"/>
    <col min="7" max="7" width="49.125301361083984" customWidth="1"/>
    <col min="8" max="8" width="120.47403717041016" customWidth="1"/>
    <col min="9" max="9" width="45.410953521728516" customWidth="1"/>
  </cols>
  <sheetData>
    <row r="1">
      <c r="A1" s="2" t="s">
        <v>1240</v>
      </c>
      <c r="B1" s="2" t="s">
        <v>1</v>
      </c>
      <c r="C1" s="2" t="s">
        <v>478</v>
      </c>
      <c r="D1" s="2" t="s">
        <v>767</v>
      </c>
      <c r="E1" s="2" t="s">
        <v>1241</v>
      </c>
      <c r="F1" s="2" t="s">
        <v>1242</v>
      </c>
      <c r="G1" s="2" t="s">
        <v>1243</v>
      </c>
      <c r="H1" s="2" t="s">
        <v>1244</v>
      </c>
      <c r="I1" s="2" t="s">
        <v>94</v>
      </c>
    </row>
    <row r="2">
      <c r="A2" s="3" t="s">
        <v>1245</v>
      </c>
      <c r="B2" s="4" t="str">
        <f>G2</f>
        <v>Where are close workpapers stored?</v>
      </c>
      <c r="C2" s="3" t="s">
        <v>369</v>
      </c>
      <c r="D2" s="3" t="s">
        <v>586</v>
      </c>
      <c r="E2" s="3" t="s">
        <v>1246</v>
      </c>
      <c r="F2" s="3" t="s">
        <v>377</v>
      </c>
      <c r="G2" s="3" t="s">
        <v>1247</v>
      </c>
      <c r="H2" s="3" t="s">
        <v>1248</v>
      </c>
      <c r="I2" s="3" t="s">
        <v>1249</v>
      </c>
    </row>
    <row r="3">
      <c r="A3" s="3" t="s">
        <v>1250</v>
      </c>
      <c r="B3" s="4" t="str">
        <f>G3</f>
        <v>Can the drafting AI approve a workforce policy?</v>
      </c>
      <c r="C3" s="3" t="s">
        <v>375</v>
      </c>
      <c r="D3" s="3" t="s">
        <v>597</v>
      </c>
      <c r="E3" s="3" t="s">
        <v>1251</v>
      </c>
      <c r="F3" s="3" t="s">
        <v>377</v>
      </c>
      <c r="G3" s="3" t="s">
        <v>1252</v>
      </c>
      <c r="H3" s="3" t="s">
        <v>1253</v>
      </c>
      <c r="I3" s="3" t="s">
        <v>1249</v>
      </c>
    </row>
    <row r="4">
      <c r="A4" s="3" t="s">
        <v>1254</v>
      </c>
      <c r="B4" s="4" t="str">
        <f>G4</f>
        <v>What happens when an employee opts out of SMS?</v>
      </c>
      <c r="C4" s="3" t="s">
        <v>375</v>
      </c>
      <c r="D4" s="3" t="s">
        <v>610</v>
      </c>
      <c r="E4" s="3" t="s">
        <v>1255</v>
      </c>
      <c r="F4" s="3" t="s">
        <v>767</v>
      </c>
      <c r="G4" s="3" t="s">
        <v>1256</v>
      </c>
      <c r="H4" s="3" t="s">
        <v>1257</v>
      </c>
      <c r="I4" s="3" t="s">
        <v>1249</v>
      </c>
    </row>
  </sheetData>
  <autoFilter ref="A1:I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3"/>
  <sheetViews>
    <sheetView workbookViewId="0">
      <pane ySplit="1" topLeftCell="A2" state="frozen" activePane="bottomLeft"/>
      <selection pane="bottomLeft" activeCell="A1" sqref="A1"/>
    </sheetView>
  </sheetViews>
  <sheetFormatPr defaultRowHeight="15"/>
  <cols>
    <col min="1" max="1" width="19.008342742919922" customWidth="1"/>
    <col min="2" max="2" width="30.35392189025879" customWidth="1"/>
    <col min="3" max="3" width="18.236316680908203" customWidth="1"/>
    <col min="4" max="4" width="17.443378448486328" customWidth="1"/>
    <col min="5" max="5" width="30.35392189025879" customWidth="1"/>
    <col min="6" max="6" width="123.67989349365234" customWidth="1"/>
    <col min="7" max="7" width="32.4808349609375" customWidth="1"/>
  </cols>
  <sheetData>
    <row r="1">
      <c r="A1" s="2" t="s">
        <v>1258</v>
      </c>
      <c r="B1" s="2" t="s">
        <v>1</v>
      </c>
      <c r="C1" s="2" t="s">
        <v>478</v>
      </c>
      <c r="D1" s="2" t="s">
        <v>767</v>
      </c>
      <c r="E1" s="2" t="s">
        <v>358</v>
      </c>
      <c r="F1" s="2" t="s">
        <v>1023</v>
      </c>
      <c r="G1" s="2" t="s">
        <v>94</v>
      </c>
    </row>
    <row r="2">
      <c r="A2" s="3" t="s">
        <v>1259</v>
      </c>
      <c r="B2" s="4" t="str">
        <f>E2</f>
        <v>Variance escalation explanation</v>
      </c>
      <c r="C2" s="3" t="s">
        <v>369</v>
      </c>
      <c r="D2" s="3" t="s">
        <v>567</v>
      </c>
      <c r="E2" s="3" t="s">
        <v>1260</v>
      </c>
      <c r="F2" s="3" t="s">
        <v>1261</v>
      </c>
      <c r="G2" s="3" t="s">
        <v>1262</v>
      </c>
    </row>
    <row r="3">
      <c r="A3" s="3" t="s">
        <v>1263</v>
      </c>
      <c r="B3" s="4" t="str">
        <f>E3</f>
        <v>Channel eligibility explanation</v>
      </c>
      <c r="C3" s="3" t="s">
        <v>375</v>
      </c>
      <c r="D3" s="3" t="s">
        <v>610</v>
      </c>
      <c r="E3" s="3" t="s">
        <v>1264</v>
      </c>
      <c r="F3" s="3" t="s">
        <v>1265</v>
      </c>
      <c r="G3" s="3" t="s">
        <v>1262</v>
      </c>
    </row>
  </sheetData>
  <autoFilter ref="A1:G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Z3"/>
  <sheetViews>
    <sheetView workbookViewId="0">
      <pane ySplit="1" topLeftCell="A2" state="frozen" activePane="bottomLeft"/>
      <selection pane="bottomLeft" activeCell="A1" sqref="A1"/>
    </sheetView>
  </sheetViews>
  <sheetFormatPr defaultRowHeight="15"/>
  <cols>
    <col min="1" max="1" width="22.41928482055664" customWidth="1"/>
    <col min="2" max="2" width="51.44719314575195" customWidth="1"/>
    <col min="3" max="3" width="18.236316680908203" customWidth="1"/>
    <col min="4" max="4" width="17.443378448486328" customWidth="1"/>
    <col min="5" max="5" width="24.515466690063477" customWidth="1"/>
    <col min="6" max="6" width="22.170156478881836" customWidth="1"/>
    <col min="7" max="7" width="17.923480987548828" customWidth="1"/>
    <col min="8" max="8" width="36.7623176574707" customWidth="1"/>
    <col min="9" max="9" width="33.93267059326172" customWidth="1"/>
    <col min="10" max="10" width="19.98171043395996" customWidth="1"/>
    <col min="11" max="11" width="21.313312530517578" customWidth="1"/>
    <col min="12" max="12" width="20.417789459228516" customWidth="1"/>
    <col min="13" max="13" width="17.443378448486328" customWidth="1"/>
    <col min="14" max="14" width="22.763277053833008" customWidth="1"/>
    <col min="15" max="15" width="26.341135025024414" customWidth="1"/>
    <col min="16" max="16" width="28.027902603149414" customWidth="1"/>
    <col min="17" max="17" width="25.4498348236084" customWidth="1"/>
    <col min="18" max="18" width="23.883312225341797" customWidth="1"/>
    <col min="19" max="19" width="25.087411880493164" customWidth="1"/>
    <col min="20" max="20" width="19.249799728393555" customWidth="1"/>
    <col min="21" max="21" width="46.725860595703125" customWidth="1"/>
    <col min="22" max="22" width="21.14959144592285" customWidth="1"/>
    <col min="23" max="23" width="25.98513412475586" customWidth="1"/>
    <col min="24" max="24" width="26.060359954833984" customWidth="1"/>
    <col min="25" max="25" width="26.705249786376953" customWidth="1"/>
    <col min="26" max="26" width="32.71039962768555" customWidth="1"/>
    <col min="27" max="27" width="22.5468692779541" customWidth="1"/>
    <col min="28" max="28" width="25.52438735961914" customWidth="1"/>
    <col min="29" max="29" width="23.584518432617188" customWidth="1"/>
    <col min="30" max="30" width="23.964298248291016" customWidth="1"/>
    <col min="31" max="31" width="17.443378448486328" customWidth="1"/>
    <col min="32" max="32" width="26.463695526123047" customWidth="1"/>
    <col min="33" max="33" width="22.918155670166016" customWidth="1"/>
    <col min="34" max="34" width="24.38258171081543" customWidth="1"/>
    <col min="35" max="35" width="18.76327133178711" customWidth="1"/>
    <col min="36" max="36" width="17.443378448486328" customWidth="1"/>
    <col min="37" max="37" width="27.423418045043945" customWidth="1"/>
    <col min="38" max="38" width="20.186824798583984" customWidth="1"/>
    <col min="39" max="39" width="26.702816009521484" customWidth="1"/>
    <col min="40" max="40" width="17.443378448486328" customWidth="1"/>
    <col min="41" max="41" width="25.814828872680664" customWidth="1"/>
    <col min="42" max="42" width="21.787185668945312" customWidth="1"/>
    <col min="43" max="43" width="25.405195236206055" customWidth="1"/>
    <col min="44" max="44" width="25.650558471679688" customWidth="1"/>
    <col min="45" max="45" width="22.294696807861328" customWidth="1"/>
    <col min="46" max="46" width="19.7232666015625" customWidth="1"/>
    <col min="47" max="47" width="23.341121673583984" customWidth="1"/>
    <col min="48" max="48" width="25.404830932617188" customWidth="1"/>
    <col min="49" max="49" width="28.173124313354492" customWidth="1"/>
    <col min="50" max="50" width="51.343360900878906" customWidth="1"/>
    <col min="51" max="51" width="28.718015670776367" customWidth="1"/>
    <col min="52" max="52" width="28.990163803100586" customWidth="1"/>
    <col min="53" max="53" width="34.196475982666016" customWidth="1"/>
    <col min="54" max="54" width="23.094982147216797" customWidth="1"/>
    <col min="55" max="55" width="25.36208724975586" customWidth="1"/>
    <col min="56" max="56" width="29.82344627380371" customWidth="1"/>
    <col min="57" max="57" width="62.2984504699707" customWidth="1"/>
    <col min="58" max="58" width="31.5391845703125" customWidth="1"/>
    <col min="59" max="59" width="36.927223205566406" customWidth="1"/>
    <col min="60" max="60" width="31.485868453979492" customWidth="1"/>
    <col min="61" max="61" width="26.346614837646484" customWidth="1"/>
    <col min="62" max="62" width="24.962371826171875" customWidth="1"/>
    <col min="63" max="63" width="25.7781982421875" customWidth="1"/>
    <col min="64" max="64" width="17.443378448486328" customWidth="1"/>
    <col min="65" max="65" width="17.443378448486328" customWidth="1"/>
    <col min="66" max="66" width="26.349191665649414" customWidth="1"/>
    <col min="67" max="67" width="27.703603744506836" customWidth="1"/>
    <col min="68" max="68" width="22.21432113647461" customWidth="1"/>
    <col min="69" max="69" width="24.135900497436523" customWidth="1"/>
    <col min="70" max="70" width="23.592411041259766" customWidth="1"/>
    <col min="71" max="71" width="22.041290283203125" customWidth="1"/>
    <col min="72" max="72" width="20.633113861083984" customWidth="1"/>
    <col min="73" max="73" width="29.3138427734375" customWidth="1"/>
    <col min="74" max="74" width="24.874217987060547" customWidth="1"/>
    <col min="75" max="75" width="23.838735580444336" customWidth="1"/>
    <col min="76" max="76" width="35.771827697753906" customWidth="1"/>
    <col min="77" max="77" width="37.84779739379883" customWidth="1"/>
    <col min="78" max="78" width="40.30033493041992" customWidth="1"/>
  </cols>
  <sheetData>
    <row r="1">
      <c r="A1" s="2" t="s">
        <v>1266</v>
      </c>
      <c r="B1" s="2" t="s">
        <v>1</v>
      </c>
      <c r="C1" s="2" t="s">
        <v>478</v>
      </c>
      <c r="D1" s="2" t="s">
        <v>1267</v>
      </c>
      <c r="E1" s="2" t="s">
        <v>1080</v>
      </c>
      <c r="F1" s="2" t="s">
        <v>1081</v>
      </c>
      <c r="G1" s="2" t="s">
        <v>1268</v>
      </c>
      <c r="H1" s="2" t="s">
        <v>1269</v>
      </c>
      <c r="I1" s="2" t="s">
        <v>1270</v>
      </c>
      <c r="J1" s="2" t="s">
        <v>1271</v>
      </c>
      <c r="K1" s="2" t="s">
        <v>1272</v>
      </c>
      <c r="L1" s="2" t="s">
        <v>1273</v>
      </c>
      <c r="M1" s="2" t="s">
        <v>1274</v>
      </c>
      <c r="N1" s="2" t="s">
        <v>1275</v>
      </c>
      <c r="O1" s="2" t="s">
        <v>1276</v>
      </c>
      <c r="P1" s="2" t="s">
        <v>1277</v>
      </c>
      <c r="Q1" s="2" t="s">
        <v>1278</v>
      </c>
      <c r="R1" s="2" t="s">
        <v>1279</v>
      </c>
      <c r="S1" s="2" t="s">
        <v>1280</v>
      </c>
      <c r="T1" s="2" t="s">
        <v>1281</v>
      </c>
      <c r="U1" s="2" t="s">
        <v>1282</v>
      </c>
      <c r="V1" s="2" t="s">
        <v>1283</v>
      </c>
      <c r="W1" s="2" t="s">
        <v>1284</v>
      </c>
      <c r="X1" s="2" t="s">
        <v>1285</v>
      </c>
      <c r="Y1" s="2" t="s">
        <v>1286</v>
      </c>
      <c r="Z1" s="2" t="s">
        <v>1287</v>
      </c>
      <c r="AA1" s="2" t="s">
        <v>1288</v>
      </c>
      <c r="AB1" s="2" t="s">
        <v>1289</v>
      </c>
      <c r="AC1" s="2" t="s">
        <v>1290</v>
      </c>
      <c r="AD1" s="2" t="s">
        <v>1291</v>
      </c>
      <c r="AE1" s="2" t="s">
        <v>1292</v>
      </c>
      <c r="AF1" s="2" t="s">
        <v>1293</v>
      </c>
      <c r="AG1" s="2" t="s">
        <v>1294</v>
      </c>
      <c r="AH1" s="2" t="s">
        <v>1295</v>
      </c>
      <c r="AI1" s="2" t="s">
        <v>1296</v>
      </c>
      <c r="AJ1" s="2" t="s">
        <v>1297</v>
      </c>
      <c r="AK1" s="2" t="s">
        <v>1298</v>
      </c>
      <c r="AL1" s="2" t="s">
        <v>1299</v>
      </c>
      <c r="AM1" s="2" t="s">
        <v>1300</v>
      </c>
      <c r="AN1" s="2" t="s">
        <v>1301</v>
      </c>
      <c r="AO1" s="2" t="s">
        <v>1302</v>
      </c>
      <c r="AP1" s="2" t="s">
        <v>1303</v>
      </c>
      <c r="AQ1" s="2" t="s">
        <v>1304</v>
      </c>
      <c r="AR1" s="2" t="s">
        <v>1305</v>
      </c>
      <c r="AS1" s="2" t="s">
        <v>1306</v>
      </c>
      <c r="AT1" s="2" t="s">
        <v>1307</v>
      </c>
      <c r="AU1" s="2" t="s">
        <v>1308</v>
      </c>
      <c r="AV1" s="2" t="s">
        <v>1309</v>
      </c>
      <c r="AW1" s="2" t="s">
        <v>1310</v>
      </c>
      <c r="AX1" s="2" t="s">
        <v>1311</v>
      </c>
      <c r="AY1" s="2" t="s">
        <v>1312</v>
      </c>
      <c r="AZ1" s="2" t="s">
        <v>1313</v>
      </c>
      <c r="BA1" s="2" t="s">
        <v>1314</v>
      </c>
      <c r="BB1" s="2" t="s">
        <v>1315</v>
      </c>
      <c r="BC1" s="2" t="s">
        <v>1316</v>
      </c>
      <c r="BD1" s="2" t="s">
        <v>1317</v>
      </c>
      <c r="BE1" s="2" t="s">
        <v>1318</v>
      </c>
      <c r="BF1" s="2" t="s">
        <v>1319</v>
      </c>
      <c r="BG1" s="2" t="s">
        <v>1320</v>
      </c>
      <c r="BH1" s="2" t="s">
        <v>1321</v>
      </c>
      <c r="BI1" s="2" t="s">
        <v>1322</v>
      </c>
      <c r="BJ1" s="2" t="s">
        <v>1323</v>
      </c>
      <c r="BK1" s="2" t="s">
        <v>1324</v>
      </c>
      <c r="BL1" s="2" t="s">
        <v>1325</v>
      </c>
      <c r="BM1" s="2" t="s">
        <v>1326</v>
      </c>
      <c r="BN1" s="2" t="s">
        <v>1327</v>
      </c>
      <c r="BO1" s="2" t="s">
        <v>1328</v>
      </c>
      <c r="BP1" s="2" t="s">
        <v>1329</v>
      </c>
      <c r="BQ1" s="2" t="s">
        <v>1330</v>
      </c>
      <c r="BR1" s="2" t="s">
        <v>1331</v>
      </c>
      <c r="BS1" s="2" t="s">
        <v>1332</v>
      </c>
      <c r="BT1" s="2" t="s">
        <v>1333</v>
      </c>
      <c r="BU1" s="2" t="s">
        <v>1334</v>
      </c>
      <c r="BV1" s="2" t="s">
        <v>1335</v>
      </c>
      <c r="BW1" s="2" t="s">
        <v>1336</v>
      </c>
      <c r="BX1" s="2" t="s">
        <v>1337</v>
      </c>
      <c r="BY1" s="2" t="s">
        <v>1338</v>
      </c>
      <c r="BZ1" s="2" t="s">
        <v>94</v>
      </c>
    </row>
    <row r="2">
      <c r="A2" s="3" t="s">
        <v>1339</v>
      </c>
      <c r="B2" s="4" t="str">
        <f>C2 &amp; " / " &amp; H2</f>
        <v>close-v1.1.0 / Quarter ended 2026-06-30</v>
      </c>
      <c r="C2" s="3" t="s">
        <v>369</v>
      </c>
      <c r="D2" s="3" t="s">
        <v>1340</v>
      </c>
      <c r="E2" s="5">
        <v>46203.916666666664</v>
      </c>
      <c r="F2" s="5">
        <v>46205.90625</v>
      </c>
      <c r="G2" s="3" t="s">
        <v>145</v>
      </c>
      <c r="H2" s="3" t="s">
        <v>1341</v>
      </c>
      <c r="I2" s="3" t="s">
        <v>1342</v>
      </c>
      <c r="J2" s="4">
        <f>_xlfn.IFNA(IF(((INDEX(ProcedureVersions!Q2:Q4, MATCH(C2,ProcedureVersions!A2:A4, 0))="")=TRUE),  "",  INDEX(ProcedureVersions!Q2:Q4, MATCH(C2,ProcedureVersions!A2:A4, 0))), "")</f>
        <v>8</v>
      </c>
      <c r="K2" s="4">
        <f>COUNTIFS(StepExecutions!AQ2:AQ13, A2)</f>
        <v>8</v>
      </c>
      <c r="L2" s="4">
        <f>COUNTIFS(StepExecutions!AR2:AR13, A2)</f>
        <v>2</v>
      </c>
      <c r="M2" s="4">
        <f>COUNTIFS(StepExecutions!AS2:AS13, A2)</f>
        <v>5</v>
      </c>
      <c r="N2" s="4" t="b">
        <f>K2 &gt;= J2</f>
        <v>1</v>
      </c>
      <c r="O2" s="4" t="b">
        <f>OR(((NOT(((N2)=TRUE)))=TRUE), ((L2 &gt; 0)=TRUE))</f>
        <v>1</v>
      </c>
      <c r="P2" s="4" t="b">
        <f>Q2 = 0</f>
        <v>1</v>
      </c>
      <c r="Q2" s="4">
        <f>COUNTIFS(StepExecutions!AY2:AY13, A2)</f>
        <v>0</v>
      </c>
      <c r="R2" s="4" t="b">
        <f>S2 = 0</f>
        <v>1</v>
      </c>
      <c r="S2" s="4">
        <f>COUNTIFS(StepExecutions!AZ2:AZ13, A2)</f>
        <v>0</v>
      </c>
      <c r="T2" s="4" t="b">
        <f>AND(((N2)=TRUE), ((NOT(((O2)=TRUE)))=TRUE), ((P2)=TRUE), ((R2)=TRUE))</f>
        <v>0</v>
      </c>
      <c r="U2" s="4" t="str">
        <f>IF(((T2)=TRUE),  "",  IF(((NOT(((N2)=TRUE)))=TRUE),  "Incomplete: specified steps did not all complete.",  IF(((S2 &gt; 0)=TRUE),  "Segregation of duties violated.",  IF(((Q2 &gt; 0)=TRUE),  "Blocking controls were never evaluated.",  "Control breach recorded on one or more steps."))))</f>
        <v>Control breach recorded on one or more steps.</v>
      </c>
      <c r="V2" s="4" t="b">
        <f>_xlfn.IFNA(IF(((INDEX(ProcedureVersions!U2:U4, MATCH(C2,ProcedureVersions!A2:A4, 0))="")=TRUE),  "",  INDEX(ProcedureVersions!U2:U4, MATCH(C2,ProcedureVersions!A2:A4, 0))), "")</f>
        <v>0</v>
      </c>
      <c r="W2" s="4" t="b">
        <f>AND(((D2 = "Completed")=TRUE), ((NOT(((V2)=TRUE)))=TRUE))</f>
        <v>1</v>
      </c>
      <c r="X2" s="4">
        <f>COUNTIFS(RequirementSatisfactions!S2:S9, A2)</f>
        <v>1</v>
      </c>
      <c r="Y2" s="4" t="b">
        <f>X2 &gt; 0</f>
        <v>1</v>
      </c>
      <c r="Z2" s="4">
        <f>COUNTIFS(MessageDeliveries!AI2:AI7, A2)</f>
        <v>0</v>
      </c>
      <c r="AA2" s="4">
        <f>COUNTIFS(MessageDeliveries!AR2:AR7, A2)</f>
        <v>0</v>
      </c>
      <c r="AB2" s="4">
        <f>COUNTIFS(StepExecutions!BI2:BI13, A2)</f>
        <v>0</v>
      </c>
      <c r="AC2" s="4" t="b">
        <f>AB2 &gt; 0</f>
        <v>0</v>
      </c>
      <c r="AD2" s="4">
        <f>COUNTIFS(MessageDeliveries!BN2:BN7, A2)</f>
        <v>0</v>
      </c>
      <c r="AE2" s="4">
        <f>COUNTIFS(MessageDeliveries!BO2:BO7, A2)</f>
        <v>0</v>
      </c>
      <c r="AF2" s="4">
        <f>COUNTIFS(MessageDeliveries!C2:C7, A2)</f>
        <v>0</v>
      </c>
      <c r="AG2" s="4" t="b">
        <f>AD2 &gt; 0</f>
        <v>0</v>
      </c>
      <c r="AH2" s="4">
        <f>COUNTIFS(SendIntents!AZ2:AZ8, A2)</f>
        <v>0</v>
      </c>
      <c r="AI2" s="4">
        <f>COUNTIFS(StepExecutions!BR2:BR13, A2)</f>
        <v>5</v>
      </c>
      <c r="AJ2" s="4" t="b">
        <f>AI2 = 0</f>
        <v>0</v>
      </c>
      <c r="AK2" s="6">
        <f>IF((COUNTIFS(StepExecutions!BZ2:BZ13, TRUE))="", "", ROUND((COUNTIFS(StepExecutions!BZ2:BZ13, TRUE)), 0))</f>
        <v>1</v>
      </c>
      <c r="AL2" s="4" t="b">
        <f>AK2 &gt; 0</f>
        <v>1</v>
      </c>
      <c r="AM2" s="6">
        <f>IF((COUNTIFS(StepExecutions!D2:D13, "policy-07"))="", "", ROUND((COUNTIFS(StepExecutions!D2:D13, "policy-07")), 0))</f>
        <v>0</v>
      </c>
      <c r="AN2" s="4" t="b">
        <f>AM2 &gt; 0</f>
        <v>0</v>
      </c>
      <c r="AO2" s="4" t="b">
        <f>AND(((AN2)=TRUE), ((NOT(((AL2)=TRUE)))=TRUE))</f>
        <v>0</v>
      </c>
      <c r="AP2" s="4">
        <f>COUNTIFS(RequirementSatisfactions!Z2:Z9, A2)</f>
        <v>0</v>
      </c>
      <c r="AQ2" s="4" t="b">
        <f>AP2 = 0</f>
        <v>1</v>
      </c>
      <c r="AR2" s="4">
        <f>COUNTIFS(StepExecutions!CT2:CT13, A2)</f>
        <v>1</v>
      </c>
      <c r="AS2" s="4">
        <f>COUNTIFS(StepExecutions!CW2:CW13, A2)</f>
        <v>2</v>
      </c>
      <c r="AT2" s="4">
        <f>COUNTIFS(StepExecutions!CX2:CX13, A2)</f>
        <v>2</v>
      </c>
      <c r="AU2" s="4" t="b">
        <f>AND(((AS2 &gt; 0)=TRUE), ((AT2 &gt; 0)=TRUE))</f>
        <v>1</v>
      </c>
      <c r="AV2" s="4" t="b">
        <f>AND(((AU2)=TRUE), ((R2)=TRUE))</f>
        <v>1</v>
      </c>
      <c r="AW2" s="4" t="b">
        <f>AND(((R2)=TRUE), ((NOT(((AU2)=TRUE)))=TRUE))</f>
        <v>0</v>
      </c>
      <c r="AX2" s="4" t="str">
        <f>IF(((S2 &gt; 0)=TRUE),  "Violated: same agent prepared and approved.",  IF(((AW2)=TRUE),  "Not tested: this run had no preparation/approval pair.",  "Held under test."))</f>
        <v>Held under test.</v>
      </c>
      <c r="AY2" s="4">
        <f>COUNTIFS(StepExecutions!DC2:DC13, A2)</f>
        <v>0</v>
      </c>
      <c r="AZ2" s="4" t="b">
        <f>AND(((O2)=TRUE), ((AY2 = 0)=TRUE))</f>
        <v>1</v>
      </c>
      <c r="BA2" s="4">
        <f>COUNTIFS(RequirementSatisfactions!AO2:AO9, A2)</f>
        <v>5</v>
      </c>
      <c r="BB2" s="4">
        <f>BA2 + X2</f>
        <v>6</v>
      </c>
      <c r="BC2" s="4">
        <f>IF(((BB2 = 0)=TRUE),  0,  BA2 / BB2)</f>
        <v>0.8333333333333334</v>
      </c>
      <c r="BD2" s="4">
        <f>COUNTIFS(RequirementSatisfactions!AM2:AM9, A2)</f>
        <v>1</v>
      </c>
      <c r="BE2" s="4" t="str">
        <f>IF(((BB2 = 0)=TRUE),  "None: no blocking control was evaluated.",  IF(((BD2 &gt; 0)=TRUE),  "Weak: at least one control rests on an interested-party assertion.",  IF(((BC2 &lt; 0.5)=TRUE),  "Thin: most controls rest on human assertion.",  IF(((BC2 &lt; 1)=TRUE),  "Mixed: computed and asserted controls.",  "Computed: every evaluated control has a witness."))))</f>
        <v>Weak: at least one control rests on an interested-party assertion.</v>
      </c>
      <c r="BF2" s="4" t="b">
        <f>AND(((T2)=TRUE), ((OR(((BD2 &gt; 0)=TRUE), ((BC2 &lt; 0.5)=TRUE)))=TRUE))</f>
        <v>0</v>
      </c>
      <c r="BG2" s="4">
        <f>COUNTIFS(VerificationOutcomes!X2:X5, A2)</f>
        <v>1</v>
      </c>
      <c r="BH2" s="4" t="b">
        <f>BG2 &gt; 0</f>
        <v>1</v>
      </c>
      <c r="BI2" s="4">
        <f>COUNTIFS(StepExecutions!DD2:DD13, A2)</f>
        <v>2</v>
      </c>
      <c r="BJ2" s="4" t="b">
        <f>AND(((BI2 &gt; 0)=TRUE), ((NOT(((BH2)=TRUE)))=TRUE))</f>
        <v>0</v>
      </c>
      <c r="BK2" s="7">
        <f>_xlfn.MAXIFS(Attestations!E2:E2,Attestations!C2:C2, A2)</f>
        <v>0</v>
      </c>
      <c r="BL2" s="4" t="b">
        <f>BM2 &gt; 0</f>
        <v>0</v>
      </c>
      <c r="BM2" s="4">
        <f>COUNTIFS(Attestations!C2:C2, A2)</f>
        <v>0</v>
      </c>
      <c r="BN2" s="4">
        <f>COUNTIFS(RequirementSatisfactions!AS2:AS9, A2)</f>
        <v>6</v>
      </c>
      <c r="BO2" s="4" t="b">
        <f>AND(((BL2)=TRUE), ((BN2 &gt; 0)=TRUE))</f>
        <v>0</v>
      </c>
      <c r="BP2" s="4" t="b">
        <f>AND(((BO2)=TRUE), ((NOT(((T2)=TRUE)))=TRUE))</f>
        <v>0</v>
      </c>
      <c r="BQ2" s="4">
        <f>COUNTIFS(SendIntents!BA2:BA8, A2)</f>
        <v>0</v>
      </c>
      <c r="BR2" s="4">
        <f>COUNTIFS(SendIntents!BB2:BB8, A2)</f>
        <v>0</v>
      </c>
      <c r="BS2" s="4">
        <f>COUNTIFS(SendIntents!BC2:BC8, A2)</f>
        <v>0</v>
      </c>
      <c r="BT2" s="4">
        <f>IF(((BQ2 &gt; 0)=TRUE),  BR2 * 100 / BQ2,  0)</f>
        <v>0</v>
      </c>
      <c r="BU2" s="4" t="b">
        <f>(BS2 &gt; 0)</f>
        <v>0</v>
      </c>
      <c r="BV2" s="4">
        <f>COUNTIFS(SendIntents!BZ2:BZ8, A2)</f>
        <v>0</v>
      </c>
      <c r="BW2" s="4" t="b">
        <f>(BV2 &gt; 0)</f>
        <v>0</v>
      </c>
      <c r="BX2" s="4">
        <f>COUNTIFS(SendIntents!CU2:CU8, A2)</f>
        <v>0</v>
      </c>
      <c r="BY2" s="4" t="b">
        <f>AND(((BQ2 &gt; 0)=TRUE), ((BX2 = 0)=TRUE))</f>
        <v>0</v>
      </c>
      <c r="BZ2" s="3" t="s">
        <v>1343</v>
      </c>
    </row>
    <row r="3">
      <c r="A3" s="3" t="s">
        <v>1344</v>
      </c>
      <c r="B3" s="4" t="str">
        <f>C3 &amp; " / " &amp; H3</f>
        <v>policy-v1.0.0 / Remote-work policy revision HR-4821</v>
      </c>
      <c r="C3" s="3" t="s">
        <v>375</v>
      </c>
      <c r="D3" s="3" t="s">
        <v>1345</v>
      </c>
      <c r="E3" s="5">
        <v>46221.583333333336</v>
      </c>
      <c r="F3" s="5"/>
      <c r="G3" s="3" t="s">
        <v>153</v>
      </c>
      <c r="H3" s="3" t="s">
        <v>1346</v>
      </c>
      <c r="I3" s="3" t="s">
        <v>1347</v>
      </c>
      <c r="J3" s="4">
        <f>_xlfn.IFNA(IF(((INDEX(ProcedureVersions!Q2:Q4, MATCH(C3,ProcedureVersions!A2:A4, 0))="")=TRUE),  "",  INDEX(ProcedureVersions!Q2:Q4, MATCH(C3,ProcedureVersions!A2:A4, 0))), "")</f>
        <v>9</v>
      </c>
      <c r="K3" s="4">
        <f>COUNTIFS(StepExecutions!AQ2:AQ13, A3)</f>
        <v>4</v>
      </c>
      <c r="L3" s="4">
        <f>COUNTIFS(StepExecutions!AR2:AR13, A3)</f>
        <v>2</v>
      </c>
      <c r="M3" s="4">
        <f>COUNTIFS(StepExecutions!AS2:AS13, A3)</f>
        <v>2</v>
      </c>
      <c r="N3" s="4" t="b">
        <f>K3 &gt;= J3</f>
        <v>0</v>
      </c>
      <c r="O3" s="4" t="b">
        <f>OR(((NOT(((N3)=TRUE)))=TRUE), ((L3 &gt; 0)=TRUE))</f>
        <v>1</v>
      </c>
      <c r="P3" s="4" t="b">
        <f>Q3 = 0</f>
        <v>1</v>
      </c>
      <c r="Q3" s="4">
        <f>COUNTIFS(StepExecutions!AY2:AY13, A3)</f>
        <v>0</v>
      </c>
      <c r="R3" s="4" t="b">
        <f>S3 = 0</f>
        <v>1</v>
      </c>
      <c r="S3" s="4">
        <f>COUNTIFS(StepExecutions!AZ2:AZ13, A3)</f>
        <v>0</v>
      </c>
      <c r="T3" s="4" t="b">
        <f>AND(((N3)=TRUE), ((NOT(((O3)=TRUE)))=TRUE), ((P3)=TRUE), ((R3)=TRUE))</f>
        <v>0</v>
      </c>
      <c r="U3" s="4" t="str">
        <f>IF(((T3)=TRUE),  "",  IF(((NOT(((N3)=TRUE)))=TRUE),  "Incomplete: specified steps did not all complete.",  IF(((S3 &gt; 0)=TRUE),  "Segregation of duties violated.",  IF(((Q3 &gt; 0)=TRUE),  "Blocking controls were never evaluated.",  "Control breach recorded on one or more steps."))))</f>
        <v>Incomplete: specified steps did not all complete.</v>
      </c>
      <c r="V3" s="4" t="b">
        <f>_xlfn.IFNA(IF(((INDEX(ProcedureVersions!U2:U4, MATCH(C3,ProcedureVersions!A2:A4, 0))="")=TRUE),  "",  INDEX(ProcedureVersions!U2:U4, MATCH(C3,ProcedureVersions!A2:A4, 0))), "")</f>
        <v>0</v>
      </c>
      <c r="W3" s="4" t="b">
        <f>AND(((D3 = "Completed")=TRUE), ((NOT(((V3)=TRUE)))=TRUE))</f>
        <v>0</v>
      </c>
      <c r="X3" s="4">
        <f>COUNTIFS(RequirementSatisfactions!S2:S9, A3)</f>
        <v>2</v>
      </c>
      <c r="Y3" s="4" t="b">
        <f>X3 &gt; 0</f>
        <v>1</v>
      </c>
      <c r="Z3" s="4">
        <f>COUNTIFS(MessageDeliveries!AI2:AI7, A3)</f>
        <v>0</v>
      </c>
      <c r="AA3" s="4">
        <f>COUNTIFS(MessageDeliveries!AR2:AR7, A3)</f>
        <v>0</v>
      </c>
      <c r="AB3" s="4">
        <f>COUNTIFS(StepExecutions!BI2:BI13, A3)</f>
        <v>1</v>
      </c>
      <c r="AC3" s="4" t="b">
        <f>AB3 &gt; 0</f>
        <v>1</v>
      </c>
      <c r="AD3" s="4">
        <f>COUNTIFS(MessageDeliveries!BN2:BN7, A3)</f>
        <v>0</v>
      </c>
      <c r="AE3" s="4">
        <f>COUNTIFS(MessageDeliveries!BO2:BO7, A3)</f>
        <v>4</v>
      </c>
      <c r="AF3" s="4">
        <f>COUNTIFS(MessageDeliveries!C2:C7, A3)</f>
        <v>6</v>
      </c>
      <c r="AG3" s="4" t="b">
        <f>AD3 &gt; 0</f>
        <v>0</v>
      </c>
      <c r="AH3" s="4">
        <f>COUNTIFS(SendIntents!AZ2:AZ8, A3)</f>
        <v>4</v>
      </c>
      <c r="AI3" s="4">
        <f>COUNTIFS(StepExecutions!BR2:BR13, A3)</f>
        <v>2</v>
      </c>
      <c r="AJ3" s="4" t="b">
        <f>AI3 = 0</f>
        <v>0</v>
      </c>
      <c r="AK3" s="6">
        <f>IF((COUNTIFS(StepExecutions!BZ2:BZ13, TRUE))="", "", ROUND((COUNTIFS(StepExecutions!BZ2:BZ13, TRUE)), 0))</f>
        <v>1</v>
      </c>
      <c r="AL3" s="4" t="b">
        <f>AK3 &gt; 0</f>
        <v>1</v>
      </c>
      <c r="AM3" s="6">
        <f>IF((COUNTIFS(StepExecutions!D2:D13, "policy-07"))="", "", ROUND((COUNTIFS(StepExecutions!D2:D13, "policy-07")), 0))</f>
        <v>0</v>
      </c>
      <c r="AN3" s="4" t="b">
        <f>AM3 &gt; 0</f>
        <v>0</v>
      </c>
      <c r="AO3" s="4" t="b">
        <f>AND(((AN3)=TRUE), ((NOT(((AL3)=TRUE)))=TRUE))</f>
        <v>0</v>
      </c>
      <c r="AP3" s="4">
        <f>COUNTIFS(RequirementSatisfactions!Z2:Z9, A3)</f>
        <v>0</v>
      </c>
      <c r="AQ3" s="4" t="b">
        <f>AP3 = 0</f>
        <v>1</v>
      </c>
      <c r="AR3" s="4">
        <f>COUNTIFS(StepExecutions!CT2:CT13, A3)</f>
        <v>1</v>
      </c>
      <c r="AS3" s="4">
        <f>COUNTIFS(StepExecutions!CW2:CW13, A3)</f>
        <v>0</v>
      </c>
      <c r="AT3" s="4">
        <f>COUNTIFS(StepExecutions!CX2:CX13, A3)</f>
        <v>0</v>
      </c>
      <c r="AU3" s="4" t="b">
        <f>AND(((AS3 &gt; 0)=TRUE), ((AT3 &gt; 0)=TRUE))</f>
        <v>0</v>
      </c>
      <c r="AV3" s="4" t="b">
        <f>AND(((AU3)=TRUE), ((R3)=TRUE))</f>
        <v>0</v>
      </c>
      <c r="AW3" s="4" t="b">
        <f>AND(((R3)=TRUE), ((NOT(((AU3)=TRUE)))=TRUE))</f>
        <v>1</v>
      </c>
      <c r="AX3" s="4" t="str">
        <f>IF(((S3 &gt; 0)=TRUE),  "Violated: same agent prepared and approved.",  IF(((AW3)=TRUE),  "Not tested: this run had no preparation/approval pair.",  "Held under test."))</f>
        <v>Not tested: this run had no preparation/approval pair.</v>
      </c>
      <c r="AY3" s="4">
        <f>COUNTIFS(StepExecutions!DC2:DC13, A3)</f>
        <v>2</v>
      </c>
      <c r="AZ3" s="4" t="b">
        <f>AND(((O3)=TRUE), ((AY3 = 0)=TRUE))</f>
        <v>0</v>
      </c>
      <c r="BA3" s="4">
        <f>COUNTIFS(RequirementSatisfactions!AO2:AO9, A3)</f>
        <v>0</v>
      </c>
      <c r="BB3" s="4">
        <f>BA3 + X3</f>
        <v>2</v>
      </c>
      <c r="BC3" s="4">
        <f>IF(((BB3 = 0)=TRUE),  0,  BA3 / BB3)</f>
        <v>0</v>
      </c>
      <c r="BD3" s="4">
        <f>COUNTIFS(RequirementSatisfactions!AM2:AM9, A3)</f>
        <v>2</v>
      </c>
      <c r="BE3" s="4" t="str">
        <f>IF(((BB3 = 0)=TRUE),  "None: no blocking control was evaluated.",  IF(((BD3 &gt; 0)=TRUE),  "Weak: at least one control rests on an interested-party assertion.",  IF(((BC3 &lt; 0.5)=TRUE),  "Thin: most controls rest on human assertion.",  IF(((BC3 &lt; 1)=TRUE),  "Mixed: computed and asserted controls.",  "Computed: every evaluated control has a witness."))))</f>
        <v>Weak: at least one control rests on an interested-party assertion.</v>
      </c>
      <c r="BF3" s="4" t="b">
        <f>AND(((T3)=TRUE), ((OR(((BD3 &gt; 0)=TRUE), ((BC3 &lt; 0.5)=TRUE)))=TRUE))</f>
        <v>0</v>
      </c>
      <c r="BG3" s="4">
        <f>COUNTIFS(VerificationOutcomes!X2:X5, A3)</f>
        <v>0</v>
      </c>
      <c r="BH3" s="4" t="b">
        <f>BG3 &gt; 0</f>
        <v>0</v>
      </c>
      <c r="BI3" s="4">
        <f>COUNTIFS(StepExecutions!DD2:DD13, A3)</f>
        <v>0</v>
      </c>
      <c r="BJ3" s="4" t="b">
        <f>AND(((BI3 &gt; 0)=TRUE), ((NOT(((BH3)=TRUE)))=TRUE))</f>
        <v>0</v>
      </c>
      <c r="BK3" s="7">
        <f>_xlfn.MAXIFS(Attestations!E2:E2,Attestations!C2:C2, A3)</f>
        <v>0</v>
      </c>
      <c r="BL3" s="4" t="b">
        <f>BM3 &gt; 0</f>
        <v>0</v>
      </c>
      <c r="BM3" s="4">
        <f>COUNTIFS(Attestations!C2:C2, A3)</f>
        <v>0</v>
      </c>
      <c r="BN3" s="4">
        <f>COUNTIFS(RequirementSatisfactions!AS2:AS9, A3)</f>
        <v>2</v>
      </c>
      <c r="BO3" s="4" t="b">
        <f>AND(((BL3)=TRUE), ((BN3 &gt; 0)=TRUE))</f>
        <v>0</v>
      </c>
      <c r="BP3" s="4" t="b">
        <f>AND(((BO3)=TRUE), ((NOT(((T3)=TRUE)))=TRUE))</f>
        <v>0</v>
      </c>
      <c r="BQ3" s="4">
        <f>COUNTIFS(SendIntents!BA2:BA8, A3)</f>
        <v>7</v>
      </c>
      <c r="BR3" s="4">
        <f>COUNTIFS(SendIntents!BB2:BB8, A3)</f>
        <v>2</v>
      </c>
      <c r="BS3" s="4">
        <f>COUNTIFS(SendIntents!BC2:BC8, A3)</f>
        <v>4</v>
      </c>
      <c r="BT3" s="4">
        <f>IF(((BQ3 &gt; 0)=TRUE),  BR3 * 100 / BQ3,  0)</f>
        <v>28.571428571428573</v>
      </c>
      <c r="BU3" s="4" t="b">
        <f>(BS3 &gt; 0)</f>
        <v>1</v>
      </c>
      <c r="BV3" s="4">
        <f>COUNTIFS(SendIntents!BZ2:BZ8, A3)</f>
        <v>4</v>
      </c>
      <c r="BW3" s="4" t="b">
        <f>(BV3 &gt; 0)</f>
        <v>1</v>
      </c>
      <c r="BX3" s="4">
        <f>COUNTIFS(SendIntents!CU2:CU8, A3)</f>
        <v>2</v>
      </c>
      <c r="BY3" s="4" t="b">
        <f>AND(((BQ3 &gt; 0)=TRUE), ((BX3 = 0)=TRUE))</f>
        <v>0</v>
      </c>
      <c r="BZ3" s="3" t="s">
        <v>1343</v>
      </c>
    </row>
  </sheetData>
  <autoFilter ref="A1:BZ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DE13"/>
  <sheetViews>
    <sheetView workbookViewId="0">
      <pane ySplit="1" topLeftCell="A2" state="frozen" activePane="bottomLeft"/>
      <selection pane="bottomLeft" activeCell="A1" sqref="A1"/>
    </sheetView>
  </sheetViews>
  <sheetFormatPr defaultRowHeight="15"/>
  <cols>
    <col min="1" max="1" width="17.443378448486328" customWidth="1"/>
    <col min="2" max="2" width="29.675477981567383" customWidth="1"/>
    <col min="3" max="3" width="20.414697647094727" customWidth="1"/>
    <col min="4" max="4" width="17.443378448486328" customWidth="1"/>
    <col min="5" max="5" width="17.923480987548828" customWidth="1"/>
    <col min="6" max="6" width="17.443378448486328" customWidth="1"/>
    <col min="7" max="7" width="24.515466690063477" customWidth="1"/>
    <col min="8" max="8" width="24.515466690063477" customWidth="1"/>
    <col min="9" max="9" width="17.675466537475586" customWidth="1"/>
    <col min="10" max="10" width="61.75228500366211" customWidth="1"/>
    <col min="11" max="11" width="22.593080520629883" customWidth="1"/>
    <col min="12" max="12" width="25.40670394897461" customWidth="1"/>
    <col min="13" max="13" width="17.443378448486328" customWidth="1"/>
    <col min="14" max="14" width="21.05838394165039" customWidth="1"/>
    <col min="15" max="15" width="24.99631118774414" customWidth="1"/>
    <col min="16" max="16" width="29.549055099487305" customWidth="1"/>
    <col min="17" max="17" width="23.468830108642578" customWidth="1"/>
    <col min="18" max="18" width="24.010377883911133" customWidth="1"/>
    <col min="19" max="19" width="26.299619674682617" customWidth="1"/>
    <col min="20" max="20" width="30.731321334838867" customWidth="1"/>
    <col min="21" max="21" width="29.592470169067383" customWidth="1"/>
    <col min="22" max="22" width="30.329341888427734" customWidth="1"/>
    <col min="23" max="23" width="18.363283157348633" customWidth="1"/>
    <col min="24" max="24" width="22.416217803955078" customWidth="1"/>
    <col min="25" max="25" width="31.184785842895508" customWidth="1"/>
    <col min="26" max="26" width="31.986541748046875" customWidth="1"/>
    <col min="27" max="27" width="25.862255096435547" customWidth="1"/>
    <col min="28" max="28" width="27.109943389892578" customWidth="1"/>
    <col min="29" max="29" width="24.84225082397461" customWidth="1"/>
    <col min="30" max="30" width="22.887237548828125" customWidth="1"/>
    <col min="31" max="31" width="27.06416893005371" customWidth="1"/>
    <col min="32" max="32" width="18.547666549682617" customWidth="1"/>
    <col min="33" max="33" width="17.443378448486328" customWidth="1"/>
    <col min="34" max="34" width="30.948745727539062" customWidth="1"/>
    <col min="35" max="35" width="32.54715347290039" customWidth="1"/>
    <col min="36" max="36" width="27.021183013916016" customWidth="1"/>
    <col min="37" max="37" width="26.62740135192871" customWidth="1"/>
    <col min="38" max="38" width="22.35959815979004" customWidth="1"/>
    <col min="39" max="39" width="36.94147491455078" customWidth="1"/>
    <col min="40" max="40" width="24.013687133789062" customWidth="1"/>
    <col min="41" max="41" width="26.418333053588867" customWidth="1"/>
    <col min="42" max="42" width="24.134410858154297" customWidth="1"/>
    <col min="43" max="43" width="23.962478637695312" customWidth="1"/>
    <col min="44" max="44" width="27.06389808654785" customWidth="1"/>
    <col min="45" max="45" width="20.174365997314453" customWidth="1"/>
    <col min="46" max="46" width="19.463441848754883" customWidth="1"/>
    <col min="47" max="47" width="18.449125289916992" customWidth="1"/>
    <col min="48" max="48" width="32.2105712890625" customWidth="1"/>
    <col min="49" max="49" width="26.60011863708496" customWidth="1"/>
    <col min="50" max="50" width="20.574527740478516" customWidth="1"/>
    <col min="51" max="51" width="32.9788703918457" customWidth="1"/>
    <col min="52" max="52" width="31.63748550415039" customWidth="1"/>
    <col min="53" max="53" width="29.867584228515625" customWidth="1"/>
    <col min="54" max="54" width="26.465900421142578" customWidth="1"/>
    <col min="55" max="55" width="30.51555824279785" customWidth="1"/>
    <col min="56" max="56" width="26.06052017211914" customWidth="1"/>
    <col min="57" max="57" width="20.10980796813965" customWidth="1"/>
    <col min="58" max="58" width="17.443378448486328" customWidth="1"/>
    <col min="59" max="59" width="20.252012252807617" customWidth="1"/>
    <col min="60" max="60" width="19.198049545288086" customWidth="1"/>
    <col min="61" max="61" width="23.46017837524414" customWidth="1"/>
    <col min="62" max="62" width="22.35959815979004" customWidth="1"/>
    <col min="63" max="63" width="18.238035202026367" customWidth="1"/>
    <col min="64" max="64" width="27.301942825317383" customWidth="1"/>
    <col min="65" max="65" width="23.42338752746582" customWidth="1"/>
    <col min="66" max="66" width="18.630861282348633" customWidth="1"/>
    <col min="67" max="67" width="22.671112060546875" customWidth="1"/>
    <col min="68" max="68" width="17.443378448486328" customWidth="1"/>
    <col min="69" max="69" width="17.443378448486328" customWidth="1"/>
    <col min="70" max="70" width="32.61447525024414" customWidth="1"/>
    <col min="71" max="71" width="27.8951416015625" customWidth="1"/>
    <col min="72" max="72" width="23.34478759765625" customWidth="1"/>
    <col min="73" max="73" width="36.03265380859375" customWidth="1"/>
    <col min="74" max="74" width="20.287948608398438" customWidth="1"/>
    <col min="75" max="75" width="24.704252243041992" customWidth="1"/>
    <col min="76" max="76" width="24.259387969970703" customWidth="1"/>
    <col min="77" max="77" width="24.78120994567871" customWidth="1"/>
    <col min="78" max="78" width="20.847288131713867" customWidth="1"/>
    <col min="79" max="79" width="17.443378448486328" customWidth="1"/>
    <col min="80" max="80" width="37.197608947753906" customWidth="1"/>
    <col min="81" max="81" width="28.131574630737305" customWidth="1"/>
    <col min="82" max="82" width="26.901395797729492" customWidth="1"/>
    <col min="83" max="83" width="28.248353958129883" customWidth="1"/>
    <col min="84" max="84" width="18.76164436340332" customWidth="1"/>
    <col min="85" max="85" width="26.540740966796875" customWidth="1"/>
    <col min="86" max="86" width="17.443378448486328" customWidth="1"/>
    <col min="87" max="87" width="25.617780685424805" customWidth="1"/>
    <col min="88" max="88" width="26.189706802368164" customWidth="1"/>
    <col min="89" max="89" width="17.443378448486328" customWidth="1"/>
    <col min="90" max="90" width="21.4399356842041" customWidth="1"/>
    <col min="91" max="91" width="34.45730972290039" customWidth="1"/>
    <col min="92" max="92" width="22.366497039794922" customWidth="1"/>
    <col min="93" max="93" width="22.6243953704834" customWidth="1"/>
    <col min="94" max="94" width="20.926023483276367" customWidth="1"/>
    <col min="95" max="95" width="22.24381446838379" customWidth="1"/>
    <col min="96" max="96" width="17.839473724365234" customWidth="1"/>
    <col min="97" max="97" width="20.892730712890625" customWidth="1"/>
    <col min="98" max="98" width="28.17344093322754" customWidth="1"/>
    <col min="99" max="99" width="26.13736915588379" customWidth="1"/>
    <col min="100" max="100" width="24.13258934020996" customWidth="1"/>
    <col min="101" max="101" width="24.915815353393555" customWidth="1"/>
    <col min="102" max="102" width="22.417268753051758" customWidth="1"/>
    <col min="103" max="103" width="25.23748779296875" customWidth="1"/>
    <col min="104" max="104" width="29.530969619750977" customWidth="1"/>
    <col min="105" max="105" width="17.443378448486328" customWidth="1"/>
    <col min="106" max="106" width="25.235488891601562" customWidth="1"/>
    <col min="107" max="107" width="35.71369552612305" customWidth="1"/>
    <col min="108" max="108" width="33.031253814697266" customWidth="1"/>
    <col min="109" max="109" width="34.81904220581055" customWidth="1"/>
  </cols>
  <sheetData>
    <row r="1">
      <c r="A1" s="2" t="s">
        <v>1348</v>
      </c>
      <c r="B1" s="2" t="s">
        <v>1</v>
      </c>
      <c r="C1" s="2" t="s">
        <v>1349</v>
      </c>
      <c r="D1" s="2" t="s">
        <v>767</v>
      </c>
      <c r="E1" s="2" t="s">
        <v>1268</v>
      </c>
      <c r="F1" s="2" t="s">
        <v>1267</v>
      </c>
      <c r="G1" s="2" t="s">
        <v>1080</v>
      </c>
      <c r="H1" s="2" t="s">
        <v>1081</v>
      </c>
      <c r="I1" s="2" t="s">
        <v>1350</v>
      </c>
      <c r="J1" s="2" t="s">
        <v>1351</v>
      </c>
      <c r="K1" s="2" t="s">
        <v>1352</v>
      </c>
      <c r="L1" s="2" t="s">
        <v>505</v>
      </c>
      <c r="M1" s="2" t="s">
        <v>1353</v>
      </c>
      <c r="N1" s="2" t="s">
        <v>1354</v>
      </c>
      <c r="O1" s="2" t="s">
        <v>1355</v>
      </c>
      <c r="P1" s="2" t="s">
        <v>1356</v>
      </c>
      <c r="Q1" s="2" t="s">
        <v>1357</v>
      </c>
      <c r="R1" s="2" t="s">
        <v>1358</v>
      </c>
      <c r="S1" s="2" t="s">
        <v>1359</v>
      </c>
      <c r="T1" s="2" t="s">
        <v>1360</v>
      </c>
      <c r="U1" s="2" t="s">
        <v>1361</v>
      </c>
      <c r="V1" s="2" t="s">
        <v>1362</v>
      </c>
      <c r="W1" s="2" t="s">
        <v>1363</v>
      </c>
      <c r="X1" s="2" t="s">
        <v>1364</v>
      </c>
      <c r="Y1" s="2" t="s">
        <v>1365</v>
      </c>
      <c r="Z1" s="2" t="s">
        <v>1366</v>
      </c>
      <c r="AA1" s="2" t="s">
        <v>1367</v>
      </c>
      <c r="AB1" s="2" t="s">
        <v>1368</v>
      </c>
      <c r="AC1" s="2" t="s">
        <v>1369</v>
      </c>
      <c r="AD1" s="2" t="s">
        <v>1370</v>
      </c>
      <c r="AE1" s="2" t="s">
        <v>1371</v>
      </c>
      <c r="AF1" s="2" t="s">
        <v>1372</v>
      </c>
      <c r="AG1" s="2" t="s">
        <v>1373</v>
      </c>
      <c r="AH1" s="2" t="s">
        <v>1374</v>
      </c>
      <c r="AI1" s="2" t="s">
        <v>1375</v>
      </c>
      <c r="AJ1" s="2" t="s">
        <v>1376</v>
      </c>
      <c r="AK1" s="2" t="s">
        <v>1377</v>
      </c>
      <c r="AL1" s="2" t="s">
        <v>1378</v>
      </c>
      <c r="AM1" s="2" t="s">
        <v>1379</v>
      </c>
      <c r="AN1" s="2" t="s">
        <v>1380</v>
      </c>
      <c r="AO1" s="2" t="s">
        <v>1381</v>
      </c>
      <c r="AP1" s="2" t="s">
        <v>1382</v>
      </c>
      <c r="AQ1" s="2" t="s">
        <v>1383</v>
      </c>
      <c r="AR1" s="2" t="s">
        <v>1384</v>
      </c>
      <c r="AS1" s="2" t="s">
        <v>1385</v>
      </c>
      <c r="AT1" s="2" t="s">
        <v>1386</v>
      </c>
      <c r="AU1" s="2" t="s">
        <v>1387</v>
      </c>
      <c r="AV1" s="2" t="s">
        <v>1388</v>
      </c>
      <c r="AW1" s="2" t="s">
        <v>1389</v>
      </c>
      <c r="AX1" s="2" t="s">
        <v>1390</v>
      </c>
      <c r="AY1" s="2" t="s">
        <v>1391</v>
      </c>
      <c r="AZ1" s="2" t="s">
        <v>1392</v>
      </c>
      <c r="BA1" s="2" t="s">
        <v>1393</v>
      </c>
      <c r="BB1" s="2" t="s">
        <v>1394</v>
      </c>
      <c r="BC1" s="2" t="s">
        <v>1395</v>
      </c>
      <c r="BD1" s="2" t="s">
        <v>1396</v>
      </c>
      <c r="BE1" s="2" t="s">
        <v>1397</v>
      </c>
      <c r="BF1" s="2" t="s">
        <v>1398</v>
      </c>
      <c r="BG1" s="2" t="s">
        <v>1399</v>
      </c>
      <c r="BH1" s="2" t="s">
        <v>1400</v>
      </c>
      <c r="BI1" s="2" t="s">
        <v>1401</v>
      </c>
      <c r="BJ1" s="2" t="s">
        <v>501</v>
      </c>
      <c r="BK1" s="2" t="s">
        <v>1402</v>
      </c>
      <c r="BL1" s="2" t="s">
        <v>1403</v>
      </c>
      <c r="BM1" s="2" t="s">
        <v>1404</v>
      </c>
      <c r="BN1" s="2" t="s">
        <v>1405</v>
      </c>
      <c r="BO1" s="2" t="s">
        <v>1406</v>
      </c>
      <c r="BP1" s="2" t="s">
        <v>1407</v>
      </c>
      <c r="BQ1" s="2" t="s">
        <v>1408</v>
      </c>
      <c r="BR1" s="2" t="s">
        <v>1409</v>
      </c>
      <c r="BS1" s="2" t="s">
        <v>1410</v>
      </c>
      <c r="BT1" s="2" t="s">
        <v>1411</v>
      </c>
      <c r="BU1" s="2" t="s">
        <v>1412</v>
      </c>
      <c r="BV1" s="2" t="s">
        <v>1413</v>
      </c>
      <c r="BW1" s="2" t="s">
        <v>1414</v>
      </c>
      <c r="BX1" s="2" t="s">
        <v>1415</v>
      </c>
      <c r="BY1" s="2" t="s">
        <v>1416</v>
      </c>
      <c r="BZ1" s="2" t="s">
        <v>1417</v>
      </c>
      <c r="CA1" s="2" t="s">
        <v>1418</v>
      </c>
      <c r="CB1" s="2" t="s">
        <v>1419</v>
      </c>
      <c r="CC1" s="2" t="s">
        <v>507</v>
      </c>
      <c r="CD1" s="2" t="s">
        <v>1420</v>
      </c>
      <c r="CE1" s="2" t="s">
        <v>1421</v>
      </c>
      <c r="CF1" s="2" t="s">
        <v>1422</v>
      </c>
      <c r="CG1" s="2" t="s">
        <v>1423</v>
      </c>
      <c r="CH1" s="2" t="s">
        <v>1424</v>
      </c>
      <c r="CI1" s="2" t="s">
        <v>1425</v>
      </c>
      <c r="CJ1" s="2" t="s">
        <v>1426</v>
      </c>
      <c r="CK1" s="2" t="s">
        <v>1427</v>
      </c>
      <c r="CL1" s="2" t="s">
        <v>1428</v>
      </c>
      <c r="CM1" s="2" t="s">
        <v>1429</v>
      </c>
      <c r="CN1" s="2" t="s">
        <v>1430</v>
      </c>
      <c r="CO1" s="2" t="s">
        <v>1431</v>
      </c>
      <c r="CP1" s="2" t="s">
        <v>1432</v>
      </c>
      <c r="CQ1" s="2" t="s">
        <v>1433</v>
      </c>
      <c r="CR1" s="2" t="s">
        <v>1434</v>
      </c>
      <c r="CS1" s="2" t="s">
        <v>1435</v>
      </c>
      <c r="CT1" s="2" t="s">
        <v>1436</v>
      </c>
      <c r="CU1" s="2" t="s">
        <v>1437</v>
      </c>
      <c r="CV1" s="2" t="s">
        <v>1438</v>
      </c>
      <c r="CW1" s="2" t="s">
        <v>1439</v>
      </c>
      <c r="CX1" s="2" t="s">
        <v>1440</v>
      </c>
      <c r="CY1" s="2" t="s">
        <v>1441</v>
      </c>
      <c r="CZ1" s="2" t="s">
        <v>1442</v>
      </c>
      <c r="DA1" s="2" t="s">
        <v>1443</v>
      </c>
      <c r="DB1" s="2" t="s">
        <v>1444</v>
      </c>
      <c r="DC1" s="2" t="s">
        <v>1445</v>
      </c>
      <c r="DD1" s="2" t="s">
        <v>1446</v>
      </c>
      <c r="DE1" s="2" t="s">
        <v>94</v>
      </c>
    </row>
    <row r="2">
      <c r="A2" s="3" t="s">
        <v>1447</v>
      </c>
      <c r="B2" s="4" t="str">
        <f>C2 &amp; " / " &amp; D2</f>
        <v>exec-close-2026-q2 / close-01</v>
      </c>
      <c r="C2" s="3" t="s">
        <v>1339</v>
      </c>
      <c r="D2" s="3" t="s">
        <v>548</v>
      </c>
      <c r="E2" s="3" t="s">
        <v>165</v>
      </c>
      <c r="F2" s="3" t="s">
        <v>1340</v>
      </c>
      <c r="G2" s="5">
        <v>46203.916666666664</v>
      </c>
      <c r="H2" s="5">
        <v>46203.919444444444</v>
      </c>
      <c r="I2" s="3" t="s">
        <v>1448</v>
      </c>
      <c r="J2" s="3" t="s">
        <v>168</v>
      </c>
      <c r="K2" s="6">
        <f>IF((IF(((H2 = "")=TRUE),  0,  IF(((OR((((H2)="")=TRUE), (((G2)="")=TRUE)))=TRUE),  0,  ((H2 - G2) * 1440))))="", "", ROUND((IF(((H2 = "")=TRUE),  0,  IF(((OR((((H2)="")=TRUE), (((G2)="")=TRUE)))=TRUE),  0,  ((H2 - G2) * 1440)))), 0))</f>
        <v>4</v>
      </c>
      <c r="L2" s="6">
        <f>IF((_xlfn.IFNA(IF(((INDEX(Steps!K2:K18, MATCH(D2,Steps!A2:A18, 0))="")=TRUE),  "",  INDEX(Steps!K2:K18, MATCH(D2,Steps!A2:A18, 0))), ""))="", "", ROUND((_xlfn.IFNA(IF(((INDEX(Steps!K2:K18, MATCH(D2,Steps!A2:A18, 0))="")=TRUE),  "",  INDEX(Steps!K2:K18, MATCH(D2,Steps!A2:A18, 0))), "")), 0))</f>
        <v>5</v>
      </c>
      <c r="M2" s="4" t="b">
        <f>K2 &gt; L2</f>
        <v>0</v>
      </c>
      <c r="N2" s="4">
        <f>COUNTIFS(RequirementSatisfactions!C2:C9, A2,RequirementSatisfactions!K2:K9, TRUE)</f>
        <v>0</v>
      </c>
      <c r="O2" s="4">
        <f>COUNTIFS(RequirementSatisfactions!L2:L9, A2)</f>
        <v>0</v>
      </c>
      <c r="P2" s="4" t="b">
        <f>AND(((F2 = "Completed")=TRUE), ((O2 &gt; 0)=TRUE))</f>
        <v>0</v>
      </c>
      <c r="Q2" s="4">
        <f>_xlfn.IFNA(IF(((INDEX(Steps!N2:N18, MATCH(D2,Steps!A2:A18, 0))="")=TRUE),  "",  INDEX(Steps!N2:N18, MATCH(D2,Steps!A2:A18, 0))), "")</f>
        <v>1</v>
      </c>
      <c r="R2" s="4">
        <f>COUNTIFS(RequirementSatisfactions!M2:M9, A2)</f>
        <v>1</v>
      </c>
      <c r="S2" s="4">
        <f>Q2 - R2</f>
        <v>0</v>
      </c>
      <c r="T2" s="4" t="b">
        <f>S2 &gt; 0</f>
        <v>0</v>
      </c>
      <c r="U2" s="4">
        <f>_xlfn.IFNA(IF(((INDEX(Steps!P2:P18, MATCH(D2,Steps!A2:A18, 0))="")=TRUE),  "",  INDEX(Steps!P2:P18, MATCH(D2,Steps!A2:A18, 0))), "")</f>
        <v>0</v>
      </c>
      <c r="V2" s="4" t="b">
        <f>U2 &gt; 0</f>
        <v>0</v>
      </c>
      <c r="W2" s="4" t="b">
        <f>J2 &lt;&gt; ""</f>
        <v>0</v>
      </c>
      <c r="X2" s="4" t="b">
        <f>AND(((M2)=TRUE), ((NOT(((W2)=TRUE)))=TRUE))</f>
        <v>0</v>
      </c>
      <c r="Y2" s="4">
        <f>_xlfn.IFNA(IF(((INDEX(Steps!Q2:Q18, MATCH(D2,Steps!A2:A18, 0))="")=TRUE),  "",  INDEX(Steps!Q2:Q18, MATCH(D2,Steps!A2:A18, 0))), "")</f>
        <v>0</v>
      </c>
      <c r="Z2" s="4" t="b">
        <f>AND(((X2)=TRUE), ((Y2 &gt; 0)=TRUE))</f>
        <v>0</v>
      </c>
      <c r="AA2" s="4">
        <f>_xlfn.IFNA(IF(((INDEX(Steps!R2:R18, MATCH(D2,Steps!A2:A18, 0))="")=TRUE),  "",  INDEX(Steps!R2:R18, MATCH(D2,Steps!A2:A18, 0))), "")</f>
        <v>1</v>
      </c>
      <c r="AB2" s="4">
        <f>COUNTIFS(VerificationOutcomes!C2:C5, A2)</f>
        <v>1</v>
      </c>
      <c r="AC2" s="4">
        <f>AA2 - AB2</f>
        <v>0</v>
      </c>
      <c r="AD2" s="4" t="b">
        <f>AC2 &gt; 0</f>
        <v>0</v>
      </c>
      <c r="AE2" s="4" t="b">
        <f>AND(((I2 = "PASS")=TRUE), ((AD2)=TRUE))</f>
        <v>0</v>
      </c>
      <c r="AF2" s="4" t="b">
        <f>_xlfn.IFNA(IF(((INDEX(Steps!S2:S18, MATCH(D2,Steps!A2:A18, 0))="")=TRUE),  "",  INDEX(Steps!S2:S18, MATCH(D2,Steps!A2:A18, 0))), "")</f>
        <v>0</v>
      </c>
      <c r="AG2" s="4" t="b">
        <f>_xlfn.IFNA(IF(((INDEX(Steps!T2:T18, MATCH(D2,Steps!A2:A18, 0))="")=TRUE),  "",  INDEX(Steps!T2:T18, MATCH(D2,Steps!A2:A18, 0))), "")</f>
        <v>0</v>
      </c>
      <c r="AH2" s="4" t="str">
        <f>IF(((AF2)=TRUE),  C2 &amp; "|" &amp; E2,  "")</f>
      </c>
      <c r="AI2" s="4" t="str">
        <f>IF(((AG2)=TRUE),  C2 &amp; "|" &amp; E2,  "")</f>
      </c>
      <c r="AJ2" s="4">
        <f>COUNTIFS(AH2:AH13, AI2)</f>
        <v>10</v>
      </c>
      <c r="AK2" s="4" t="b">
        <f>AND(((AG2)=TRUE), ((AJ2 &gt; 0)=TRUE))</f>
        <v>0</v>
      </c>
      <c r="AL2" s="4" t="str">
        <f>_xlfn.IFNA(IF(((INDEX(Steps!G2:G18, MATCH(D2,Steps!A2:A18, 0))="")=TRUE),  "",  INDEX(Steps!G2:G18, MATCH(D2,Steps!A2:A18, 0))), "")</f>
        <v>close-automation</v>
      </c>
      <c r="AM2" s="4" t="str">
        <f>E2 &amp; "|" &amp; AL2</f>
        <v>close-pipeline|close-automation</v>
      </c>
      <c r="AN2" s="4">
        <f>COUNTIFS(RoleAssignments!N2:N14, AM2)</f>
        <v>1</v>
      </c>
      <c r="AO2" s="4" t="b">
        <f>AN2 &gt; 0</f>
        <v>1</v>
      </c>
      <c r="AP2" s="4" t="b">
        <f>AND(((AG2)=TRUE), ((NOT(((AO2)=TRUE)))=TRUE))</f>
        <v>0</v>
      </c>
      <c r="AQ2" s="4" t="str">
        <f>IF(((F2 = "Completed")=TRUE),  C2,  "")</f>
        <v>exec-close-2026-q2</v>
      </c>
      <c r="AR2" s="4" t="str">
        <f>IF(((OR(((P2)=TRUE), ((AK2)=TRUE), ((AP2)=TRUE), ((AE2)=TRUE)))=TRUE),  C2,  "")</f>
      </c>
      <c r="AS2" s="4" t="str">
        <f>IF(((M2)=TRUE),  C2,  "")</f>
      </c>
      <c r="AT2" s="4" t="str">
        <f>_xlfn.IFNA(IF(((INDEX(Agents!D2:D12, MATCH(E2,Agents!A2:A12, 0))="")=TRUE),  "",  INDEX(Agents!D2:D12, MATCH(E2,Agents!A2:A12, 0))), "")</f>
        <v>AutomatedPipeline</v>
      </c>
      <c r="AU2" s="4" t="b">
        <f>AT2 = "Human"</f>
        <v>0</v>
      </c>
      <c r="AV2" s="4" t="b">
        <f>_xlfn.IFNA(IF(((INDEX(Steps!M2:M18, MATCH(D2,Steps!A2:A18, 0))="")=TRUE),  "",  INDEX(Steps!M2:M18, MATCH(D2,Steps!A2:A18, 0))), "")</f>
        <v>0</v>
      </c>
      <c r="AW2" s="4" t="b">
        <f>AND(((AV2)=TRUE), ((NOT(((AU2)=TRUE)))=TRUE))</f>
        <v>0</v>
      </c>
      <c r="AX2" s="4" t="b">
        <f>AND(((AG2)=TRUE), ((NOT(((AU2)=TRUE)))=TRUE))</f>
        <v>0</v>
      </c>
      <c r="AY2" s="4" t="str">
        <f>IF(((T2)=TRUE),  C2,  "")</f>
      </c>
      <c r="AZ2" s="4" t="str">
        <f>IF(((AK2)=TRUE),  C2,  "")</f>
      </c>
      <c r="BA2" s="4">
        <f>COUNTIFS(VerificationOutcomes!P2:P5, A2)</f>
        <v>0</v>
      </c>
      <c r="BB2" s="4">
        <f>COUNTIFS(VerificationOutcomes!Q2:Q5, A2)</f>
        <v>0</v>
      </c>
      <c r="BC2" s="4" t="b">
        <f>AND(((AG2)=TRUE), ((OR(((BA2 &gt; 0)=TRUE), ((AD2)=TRUE)))=TRUE))</f>
        <v>0</v>
      </c>
      <c r="BD2" s="4">
        <f>COUNTIFS(ExceptionInvocations!C2:C2, A2)</f>
        <v>0</v>
      </c>
      <c r="BE2" s="4" t="b">
        <f>BD2 &gt; 0</f>
        <v>0</v>
      </c>
      <c r="BF2" s="4" t="b">
        <f>F2 = "Completed"</f>
        <v>1</v>
      </c>
      <c r="BG2" s="4" t="b">
        <f>I2 = "PASS"</f>
        <v>1</v>
      </c>
      <c r="BH2" s="4" t="b">
        <f>D2 = "policy-04"</f>
        <v>0</v>
      </c>
      <c r="BI2" s="4" t="str">
        <f>IF(((AND(((BH2)=TRUE), ((BG2)=TRUE)))=TRUE),  C2,  "")</f>
      </c>
      <c r="BJ2" s="4" t="str">
        <f>_xlfn.IFNA(IF(((INDEX(Steps!G2:G18, MATCH(D2,Steps!A2:A18, 0))="")=TRUE),  "",  INDEX(Steps!G2:G18, MATCH(D2,Steps!A2:A18, 0))), "")</f>
        <v>close-automation</v>
      </c>
      <c r="BK2" s="4" t="str">
        <f>_xlfn.IFNA(IF(((INDEX(Roles!E2:E13, MATCH(BJ2,Roles!A2:A13, 0))="")=TRUE),  "",  INDEX(Roles!E2:E13, MATCH(BJ2,Roles!A2:A13, 0))), "")</f>
        <v>close-pipeline</v>
      </c>
      <c r="BL2" s="4" t="b">
        <f>E2 = BK2</f>
        <v>1</v>
      </c>
      <c r="BM2" s="4" t="b">
        <f>_xlfn.IFNA(IF(((INDEX(Steps!V2:V18, MATCH(D2,Steps!A2:A18, 0))="")=TRUE),  "",  INDEX(Steps!V2:V18, MATCH(D2,Steps!A2:A18, 0))), "")</f>
        <v>1</v>
      </c>
      <c r="BN2" s="4" t="b">
        <f>AND(((F2 = "Completed")=TRUE), ((NOT(((BM2)=TRUE)))=TRUE))</f>
        <v>0</v>
      </c>
      <c r="BO2" s="4">
        <f>COUNTIFS(IssueOccurrences!K2:K3, A2)</f>
        <v>0</v>
      </c>
      <c r="BP2" s="4" t="b">
        <f>J2 &lt;&gt; ""</f>
        <v>0</v>
      </c>
      <c r="BQ2" s="4" t="b">
        <f>AND(((I2 = "PASS")=TRUE), ((NOT(((BP2)=TRUE)))=TRUE), ((BO2 = 0)=TRUE), ((NOT(((M2)=TRUE)))=TRUE))</f>
        <v>1</v>
      </c>
      <c r="BR2" s="4" t="str">
        <f>IF(((BQ2)=TRUE),  "",  C2)</f>
      </c>
      <c r="BS2" s="4">
        <f>COUNTIFS(RequirementSatisfactions!U2:U9, A2)</f>
        <v>1</v>
      </c>
      <c r="BT2" s="6">
        <f>IF((_xlfn.IFNA(IF(((INDEX(Steps!N2:N18, MATCH(D2,Steps!A2:A18, 0))="")=TRUE),  "",  INDEX(Steps!N2:N18, MATCH(D2,Steps!A2:A18, 0))), ""))="", "", ROUND((_xlfn.IFNA(IF(((INDEX(Steps!N2:N18, MATCH(D2,Steps!A2:A18, 0))="")=TRUE),  "",  INDEX(Steps!N2:N18, MATCH(D2,Steps!A2:A18, 0))), "")), 0))</f>
        <v>1</v>
      </c>
      <c r="BU2" s="4" t="b">
        <f>BS2 &lt; BT2</f>
        <v>0</v>
      </c>
      <c r="BV2" s="4" t="str">
        <f>_xlfn.IFNA(IF(((INDEX(Agents!D2:D12, MATCH(E2,Agents!A2:A12, 0))="")=TRUE),  "",  INDEX(Agents!D2:D12, MATCH(E2,Agents!A2:A12, 0))), "")</f>
        <v>AutomatedPipeline</v>
      </c>
      <c r="BW2" s="4" t="b">
        <f>OR(((BV2 = "AIAgent")=TRUE), ((BV2 = "AutomatedPipeline")=TRUE))</f>
        <v>1</v>
      </c>
      <c r="BX2" s="4" t="b">
        <f>_xlfn.IFNA(IF(((INDEX(Steps!W2:W18, MATCH(D2,Steps!A2:A18, 0))="")=TRUE),  "",  INDEX(Steps!W2:W18, MATCH(D2,Steps!A2:A18, 0))), "")</f>
        <v>1</v>
      </c>
      <c r="BY2" s="4" t="b">
        <f>AND(((BW2)=TRUE), ((NOT(((BX2)=TRUE)))=TRUE))</f>
        <v>0</v>
      </c>
      <c r="BZ2" s="4" t="b">
        <f>_xlfn.IFNA(IF(((INDEX(Steps!X2:X18, MATCH(D2,Steps!A2:A18, 0))="")=TRUE),  "",  INDEX(Steps!X2:X18, MATCH(D2,Steps!A2:A18, 0))), "")</f>
        <v>0</v>
      </c>
      <c r="CA2" s="4" t="b">
        <f>AND(((I2 &lt;&gt; "")=TRUE), ((I2 &lt;&gt; "PENDING")=TRUE), ((I2 &lt;&gt; "FAIL")=TRUE))</f>
        <v>1</v>
      </c>
      <c r="CB2" s="4">
        <f>COUNTIFS(AgentDecisionRecords!AA2:AA4, A2)</f>
        <v>0</v>
      </c>
      <c r="CC2" s="4" t="b">
        <f>_xlfn.IFNA(IF(((INDEX(Steps!M2:M18, MATCH(D2,Steps!A2:A18, 0))="")=TRUE),  "",  INDEX(Steps!M2:M18, MATCH(D2,Steps!A2:A18, 0))), "")</f>
        <v>0</v>
      </c>
      <c r="CD2" s="4" t="b">
        <f>AND(((CC2)=TRUE), ((CB2 &gt; 0)=TRUE))</f>
        <v>0</v>
      </c>
      <c r="CE2" s="4" t="b">
        <f>AND(((F2 = "Completed")=TRUE), ((NOT(((CF2)=TRUE)))=TRUE))</f>
        <v>0</v>
      </c>
      <c r="CF2" s="4" t="b">
        <f>_xlfn.IFNA(IF(((INDEX(Steps!AC2:AC18, MATCH(D2,Steps!A2:A18, 0))="")=TRUE),  "",  INDEX(Steps!AC2:AC18, MATCH(D2,Steps!A2:A18, 0))), "")</f>
        <v>1</v>
      </c>
      <c r="CG2" s="4" t="str">
        <f>IF(((BW2)=TRUE),  D2,  "")</f>
        <v>close-01</v>
      </c>
      <c r="CH2" s="4" t="str">
        <f>_xlfn.IFNA(IF(((INDEX(Steps!AD2:AD18, MATCH(D2,Steps!A2:A18, 0))="")=TRUE),  "",  INDEX(Steps!AD2:AD18, MATCH(D2,Steps!A2:A18, 0))), "")</f>
        <v>Extraction</v>
      </c>
      <c r="CI2" s="4">
        <f>COUNTIFS(RequirementSatisfactions!AC2:AC9, A2)</f>
        <v>1</v>
      </c>
      <c r="CJ2" s="4" t="b">
        <f>AND(((R2 &gt; 0)=TRUE), ((CI2 &gt;= R2)=TRUE))</f>
        <v>1</v>
      </c>
      <c r="CK2" s="4">
        <f>COUNTIFS(BindingObservations!K2:K2, A2)</f>
        <v>0</v>
      </c>
      <c r="CL2" s="4" t="b">
        <f>CK2 &gt; 0</f>
        <v>0</v>
      </c>
      <c r="CM2" s="4" t="b">
        <f>NOT(((CL2 = V2)=TRUE))</f>
        <v>0</v>
      </c>
      <c r="CN2" s="4" t="b">
        <f>OR(((AA2 &gt; 0)=TRUE), ((Q2 &gt; 0)=TRUE))</f>
        <v>1</v>
      </c>
      <c r="CO2" s="4">
        <f>AB2 + R2</f>
        <v>2</v>
      </c>
      <c r="CP2" s="4">
        <f>AA2 + Q2</f>
        <v>2</v>
      </c>
      <c r="CQ2" s="4" t="b">
        <f>CP2 = 0</f>
        <v>0</v>
      </c>
      <c r="CR2" s="4" t="b">
        <f>AND(((BQ2)=TRUE), ((CQ2)=TRUE))</f>
        <v>0</v>
      </c>
      <c r="CS2" s="4" t="b">
        <f>AND(((BQ2)=TRUE), ((CO2 &gt;= CP2)=TRUE), ((CP2 &gt; 0)=TRUE))</f>
        <v>1</v>
      </c>
      <c r="CT2" s="4" t="str">
        <f>IF(((CR2)=TRUE),  C2,  "")</f>
      </c>
      <c r="CU2" s="4">
        <f>COUNTIFS(VerificationOutcomes!T2:T5, A2)</f>
        <v>0</v>
      </c>
      <c r="CV2" s="4" t="b">
        <f>AND(((AB2 &gt; 0)=TRUE), ((CU2 &gt;= AB2)=TRUE))</f>
        <v>0</v>
      </c>
      <c r="CW2" s="4" t="str">
        <f>IF(((AF2)=TRUE),  C2,  "")</f>
      </c>
      <c r="CX2" s="4" t="str">
        <f>IF(((AG2)=TRUE),  C2,  "")</f>
      </c>
      <c r="CY2" s="4" t="b">
        <f>OR(((BE2)=TRUE), ((CZ2)=TRUE))</f>
        <v>1</v>
      </c>
      <c r="CZ2" s="4" t="b">
        <f>_xlfn.IFNA(IF(((INDEX(ProcedureVersions!CB2:CB4, MATCH(DA2,ProcedureVersions!A2:A4, 0))="")=TRUE),  "",  INDEX(ProcedureVersions!CB2:CB4, MATCH(DA2,ProcedureVersions!A2:A4, 0))), "")</f>
        <v>1</v>
      </c>
      <c r="DA2" s="4" t="str">
        <f>_xlfn.IFNA(IF(((INDEX(Steps!C2:C18, MATCH(D2,Steps!A2:A18, 0))="")=TRUE),  "",  INDEX(Steps!C2:C18, MATCH(D2,Steps!A2:A18, 0))), "")</f>
        <v>close-v1.1.0</v>
      </c>
      <c r="DB2" s="4" t="b">
        <f>AND(((OR(((BP2)=TRUE), ((M2)=TRUE), ((P2)=TRUE)))=TRUE), ((NOT(((CY2)=TRUE)))=TRUE))</f>
        <v>0</v>
      </c>
      <c r="DC2" s="4" t="str">
        <f>IF(((DB2)=TRUE),  C2,  "")</f>
      </c>
      <c r="DD2" s="4" t="str">
        <f>IF(((BC2)=TRUE),  C2,  "")</f>
      </c>
      <c r="DE2" s="3" t="s">
        <v>1449</v>
      </c>
    </row>
    <row r="3">
      <c r="A3" s="3" t="s">
        <v>1450</v>
      </c>
      <c r="B3" s="4" t="str">
        <f>C3 &amp; " / " &amp; D3</f>
        <v>exec-close-2026-q2 / close-02</v>
      </c>
      <c r="C3" s="3" t="s">
        <v>1339</v>
      </c>
      <c r="D3" s="3" t="s">
        <v>556</v>
      </c>
      <c r="E3" s="3" t="s">
        <v>165</v>
      </c>
      <c r="F3" s="3" t="s">
        <v>1340</v>
      </c>
      <c r="G3" s="5">
        <v>46203.919444444444</v>
      </c>
      <c r="H3" s="5">
        <v>46203.92916666667</v>
      </c>
      <c r="I3" s="3" t="s">
        <v>1451</v>
      </c>
      <c r="J3" s="3" t="s">
        <v>1452</v>
      </c>
      <c r="K3" s="6">
        <f>IF((IF(((H3 = "")=TRUE),  0,  IF(((OR((((H3)="")=TRUE), (((G3)="")=TRUE)))=TRUE),  0,  ((H3 - G3) * 1440))))="", "", ROUND((IF(((H3 = "")=TRUE),  0,  IF(((OR((((H3)="")=TRUE), (((G3)="")=TRUE)))=TRUE),  0,  ((H3 - G3) * 1440)))), 0))</f>
        <v>14</v>
      </c>
      <c r="L3" s="6">
        <f>IF((_xlfn.IFNA(IF(((INDEX(Steps!K2:K18, MATCH(D3,Steps!A2:A18, 0))="")=TRUE),  "",  INDEX(Steps!K2:K18, MATCH(D3,Steps!A2:A18, 0))), ""))="", "", ROUND((_xlfn.IFNA(IF(((INDEX(Steps!K2:K18, MATCH(D3,Steps!A2:A18, 0))="")=TRUE),  "",  INDEX(Steps!K2:K18, MATCH(D3,Steps!A2:A18, 0))), "")), 0))</f>
        <v>10</v>
      </c>
      <c r="M3" s="4" t="b">
        <f>K3 &gt; L3</f>
        <v>1</v>
      </c>
      <c r="N3" s="4">
        <f>COUNTIFS(RequirementSatisfactions!C2:C9, A3,RequirementSatisfactions!K2:K9, TRUE)</f>
        <v>0</v>
      </c>
      <c r="O3" s="4">
        <f>COUNTIFS(RequirementSatisfactions!L2:L9, A3)</f>
        <v>0</v>
      </c>
      <c r="P3" s="4" t="b">
        <f>AND(((F3 = "Completed")=TRUE), ((O3 &gt; 0)=TRUE))</f>
        <v>0</v>
      </c>
      <c r="Q3" s="4">
        <f>_xlfn.IFNA(IF(((INDEX(Steps!N2:N18, MATCH(D3,Steps!A2:A18, 0))="")=TRUE),  "",  INDEX(Steps!N2:N18, MATCH(D3,Steps!A2:A18, 0))), "")</f>
        <v>0</v>
      </c>
      <c r="R3" s="4">
        <f>COUNTIFS(RequirementSatisfactions!M2:M9, A3)</f>
        <v>0</v>
      </c>
      <c r="S3" s="4">
        <f>Q3 - R3</f>
        <v>0</v>
      </c>
      <c r="T3" s="4" t="b">
        <f>S3 &gt; 0</f>
        <v>0</v>
      </c>
      <c r="U3" s="4">
        <f>_xlfn.IFNA(IF(((INDEX(Steps!P2:P18, MATCH(D3,Steps!A2:A18, 0))="")=TRUE),  "",  INDEX(Steps!P2:P18, MATCH(D3,Steps!A2:A18, 0))), "")</f>
        <v>1</v>
      </c>
      <c r="V3" s="4" t="b">
        <f>U3 &gt; 0</f>
        <v>1</v>
      </c>
      <c r="W3" s="4" t="b">
        <f>J3 &lt;&gt; ""</f>
        <v>1</v>
      </c>
      <c r="X3" s="4" t="b">
        <f>AND(((M3)=TRUE), ((NOT(((W3)=TRUE)))=TRUE))</f>
        <v>0</v>
      </c>
      <c r="Y3" s="4">
        <f>_xlfn.IFNA(IF(((INDEX(Steps!Q2:Q18, MATCH(D3,Steps!A2:A18, 0))="")=TRUE),  "",  INDEX(Steps!Q2:Q18, MATCH(D3,Steps!A2:A18, 0))), "")</f>
        <v>1</v>
      </c>
      <c r="Z3" s="4" t="b">
        <f>AND(((X3)=TRUE), ((Y3 &gt; 0)=TRUE))</f>
        <v>0</v>
      </c>
      <c r="AA3" s="4">
        <f>_xlfn.IFNA(IF(((INDEX(Steps!R2:R18, MATCH(D3,Steps!A2:A18, 0))="")=TRUE),  "",  INDEX(Steps!R2:R18, MATCH(D3,Steps!A2:A18, 0))), "")</f>
        <v>1</v>
      </c>
      <c r="AB3" s="4">
        <f>COUNTIFS(VerificationOutcomes!C2:C5, A3)</f>
        <v>1</v>
      </c>
      <c r="AC3" s="4">
        <f>AA3 - AB3</f>
        <v>0</v>
      </c>
      <c r="AD3" s="4" t="b">
        <f>AC3 &gt; 0</f>
        <v>0</v>
      </c>
      <c r="AE3" s="4" t="b">
        <f>AND(((I3 = "PASS")=TRUE), ((AD3)=TRUE))</f>
        <v>0</v>
      </c>
      <c r="AF3" s="4" t="b">
        <f>_xlfn.IFNA(IF(((INDEX(Steps!S2:S18, MATCH(D3,Steps!A2:A18, 0))="")=TRUE),  "",  INDEX(Steps!S2:S18, MATCH(D3,Steps!A2:A18, 0))), "")</f>
        <v>0</v>
      </c>
      <c r="AG3" s="4" t="b">
        <f>_xlfn.IFNA(IF(((INDEX(Steps!T2:T18, MATCH(D3,Steps!A2:A18, 0))="")=TRUE),  "",  INDEX(Steps!T2:T18, MATCH(D3,Steps!A2:A18, 0))), "")</f>
        <v>0</v>
      </c>
      <c r="AH3" s="4" t="str">
        <f>IF(((AF3)=TRUE),  C3 &amp; "|" &amp; E3,  "")</f>
      </c>
      <c r="AI3" s="4" t="str">
        <f>IF(((AG3)=TRUE),  C3 &amp; "|" &amp; E3,  "")</f>
      </c>
      <c r="AJ3" s="4">
        <f>COUNTIFS(AH2:AH13, AI3)</f>
        <v>10</v>
      </c>
      <c r="AK3" s="4" t="b">
        <f>AND(((AG3)=TRUE), ((AJ3 &gt; 0)=TRUE))</f>
        <v>0</v>
      </c>
      <c r="AL3" s="4" t="str">
        <f>_xlfn.IFNA(IF(((INDEX(Steps!G2:G18, MATCH(D3,Steps!A2:A18, 0))="")=TRUE),  "",  INDEX(Steps!G2:G18, MATCH(D3,Steps!A2:A18, 0))), "")</f>
        <v>close-automation</v>
      </c>
      <c r="AM3" s="4" t="str">
        <f>E3 &amp; "|" &amp; AL3</f>
        <v>close-pipeline|close-automation</v>
      </c>
      <c r="AN3" s="4">
        <f>COUNTIFS(RoleAssignments!N2:N14, AM3)</f>
        <v>1</v>
      </c>
      <c r="AO3" s="4" t="b">
        <f>AN3 &gt; 0</f>
        <v>1</v>
      </c>
      <c r="AP3" s="4" t="b">
        <f>AND(((AG3)=TRUE), ((NOT(((AO3)=TRUE)))=TRUE))</f>
        <v>0</v>
      </c>
      <c r="AQ3" s="4" t="str">
        <f>IF(((F3 = "Completed")=TRUE),  C3,  "")</f>
        <v>exec-close-2026-q2</v>
      </c>
      <c r="AR3" s="4" t="str">
        <f>IF(((OR(((P3)=TRUE), ((AK3)=TRUE), ((AP3)=TRUE), ((AE3)=TRUE)))=TRUE),  C3,  "")</f>
      </c>
      <c r="AS3" s="4" t="str">
        <f>IF(((M3)=TRUE),  C3,  "")</f>
        <v>exec-close-2026-q2</v>
      </c>
      <c r="AT3" s="4" t="str">
        <f>_xlfn.IFNA(IF(((INDEX(Agents!D2:D12, MATCH(E3,Agents!A2:A12, 0))="")=TRUE),  "",  INDEX(Agents!D2:D12, MATCH(E3,Agents!A2:A12, 0))), "")</f>
        <v>AutomatedPipeline</v>
      </c>
      <c r="AU3" s="4" t="b">
        <f>AT3 = "Human"</f>
        <v>0</v>
      </c>
      <c r="AV3" s="4" t="b">
        <f>_xlfn.IFNA(IF(((INDEX(Steps!M2:M18, MATCH(D3,Steps!A2:A18, 0))="")=TRUE),  "",  INDEX(Steps!M2:M18, MATCH(D3,Steps!A2:A18, 0))), "")</f>
        <v>0</v>
      </c>
      <c r="AW3" s="4" t="b">
        <f>AND(((AV3)=TRUE), ((NOT(((AU3)=TRUE)))=TRUE))</f>
        <v>0</v>
      </c>
      <c r="AX3" s="4" t="b">
        <f>AND(((AG3)=TRUE), ((NOT(((AU3)=TRUE)))=TRUE))</f>
        <v>0</v>
      </c>
      <c r="AY3" s="4" t="str">
        <f>IF(((T3)=TRUE),  C3,  "")</f>
      </c>
      <c r="AZ3" s="4" t="str">
        <f>IF(((AK3)=TRUE),  C3,  "")</f>
      </c>
      <c r="BA3" s="4">
        <f>COUNTIFS(VerificationOutcomes!P2:P5, A3)</f>
        <v>1</v>
      </c>
      <c r="BB3" s="4">
        <f>COUNTIFS(VerificationOutcomes!Q2:Q5, A3)</f>
        <v>0</v>
      </c>
      <c r="BC3" s="4" t="b">
        <f>AND(((AG3)=TRUE), ((OR(((BA3 &gt; 0)=TRUE), ((AD3)=TRUE)))=TRUE))</f>
        <v>0</v>
      </c>
      <c r="BD3" s="4">
        <f>COUNTIFS(ExceptionInvocations!C2:C2, A3)</f>
        <v>1</v>
      </c>
      <c r="BE3" s="4" t="b">
        <f>BD3 &gt; 0</f>
        <v>1</v>
      </c>
      <c r="BF3" s="4" t="b">
        <f>F3 = "Completed"</f>
        <v>1</v>
      </c>
      <c r="BG3" s="4" t="b">
        <f>I3 = "PASS"</f>
        <v>0</v>
      </c>
      <c r="BH3" s="4" t="b">
        <f>D3 = "policy-04"</f>
        <v>0</v>
      </c>
      <c r="BI3" s="4" t="str">
        <f>IF(((AND(((BH3)=TRUE), ((BG3)=TRUE)))=TRUE),  C3,  "")</f>
      </c>
      <c r="BJ3" s="4" t="str">
        <f>_xlfn.IFNA(IF(((INDEX(Steps!G2:G18, MATCH(D3,Steps!A2:A18, 0))="")=TRUE),  "",  INDEX(Steps!G2:G18, MATCH(D3,Steps!A2:A18, 0))), "")</f>
        <v>close-automation</v>
      </c>
      <c r="BK3" s="4" t="str">
        <f>_xlfn.IFNA(IF(((INDEX(Roles!E2:E13, MATCH(BJ3,Roles!A2:A13, 0))="")=TRUE),  "",  INDEX(Roles!E2:E13, MATCH(BJ3,Roles!A2:A13, 0))), "")</f>
        <v>close-pipeline</v>
      </c>
      <c r="BL3" s="4" t="b">
        <f>E3 = BK3</f>
        <v>1</v>
      </c>
      <c r="BM3" s="4" t="b">
        <f>_xlfn.IFNA(IF(((INDEX(Steps!V2:V18, MATCH(D3,Steps!A2:A18, 0))="")=TRUE),  "",  INDEX(Steps!V2:V18, MATCH(D3,Steps!A2:A18, 0))), "")</f>
        <v>0</v>
      </c>
      <c r="BN3" s="4" t="b">
        <f>AND(((F3 = "Completed")=TRUE), ((NOT(((BM3)=TRUE)))=TRUE))</f>
        <v>1</v>
      </c>
      <c r="BO3" s="4">
        <f>COUNTIFS(IssueOccurrences!K2:K3, A3)</f>
        <v>0</v>
      </c>
      <c r="BP3" s="4" t="b">
        <f>J3 &lt;&gt; ""</f>
        <v>1</v>
      </c>
      <c r="BQ3" s="4" t="b">
        <f>AND(((I3 = "PASS")=TRUE), ((NOT(((BP3)=TRUE)))=TRUE), ((BO3 = 0)=TRUE), ((NOT(((M3)=TRUE)))=TRUE))</f>
        <v>0</v>
      </c>
      <c r="BR3" s="4" t="str">
        <f>IF(((BQ3)=TRUE),  "",  C3)</f>
        <v>exec-close-2026-q2</v>
      </c>
      <c r="BS3" s="4">
        <f>COUNTIFS(RequirementSatisfactions!U2:U9, A3)</f>
        <v>0</v>
      </c>
      <c r="BT3" s="6">
        <f>IF((_xlfn.IFNA(IF(((INDEX(Steps!N2:N18, MATCH(D3,Steps!A2:A18, 0))="")=TRUE),  "",  INDEX(Steps!N2:N18, MATCH(D3,Steps!A2:A18, 0))), ""))="", "", ROUND((_xlfn.IFNA(IF(((INDEX(Steps!N2:N18, MATCH(D3,Steps!A2:A18, 0))="")=TRUE),  "",  INDEX(Steps!N2:N18, MATCH(D3,Steps!A2:A18, 0))), "")), 0))</f>
        <v>0</v>
      </c>
      <c r="BU3" s="4" t="b">
        <f>BS3 &lt; BT3</f>
        <v>0</v>
      </c>
      <c r="BV3" s="4" t="str">
        <f>_xlfn.IFNA(IF(((INDEX(Agents!D2:D12, MATCH(E3,Agents!A2:A12, 0))="")=TRUE),  "",  INDEX(Agents!D2:D12, MATCH(E3,Agents!A2:A12, 0))), "")</f>
        <v>AutomatedPipeline</v>
      </c>
      <c r="BW3" s="4" t="b">
        <f>OR(((BV3 = "AIAgent")=TRUE), ((BV3 = "AutomatedPipeline")=TRUE))</f>
        <v>1</v>
      </c>
      <c r="BX3" s="4" t="b">
        <f>_xlfn.IFNA(IF(((INDEX(Steps!W2:W18, MATCH(D3,Steps!A2:A18, 0))="")=TRUE),  "",  INDEX(Steps!W2:W18, MATCH(D3,Steps!A2:A18, 0))), "")</f>
        <v>1</v>
      </c>
      <c r="BY3" s="4" t="b">
        <f>AND(((BW3)=TRUE), ((NOT(((BX3)=TRUE)))=TRUE))</f>
        <v>0</v>
      </c>
      <c r="BZ3" s="4" t="b">
        <f>_xlfn.IFNA(IF(((INDEX(Steps!X2:X18, MATCH(D3,Steps!A2:A18, 0))="")=TRUE),  "",  INDEX(Steps!X2:X18, MATCH(D3,Steps!A2:A18, 0))), "")</f>
        <v>0</v>
      </c>
      <c r="CA3" s="4" t="b">
        <f>AND(((I3 &lt;&gt; "")=TRUE), ((I3 &lt;&gt; "PENDING")=TRUE), ((I3 &lt;&gt; "FAIL")=TRUE))</f>
        <v>1</v>
      </c>
      <c r="CB3" s="4">
        <f>COUNTIFS(AgentDecisionRecords!AA2:AA4, A3)</f>
        <v>0</v>
      </c>
      <c r="CC3" s="4" t="b">
        <f>_xlfn.IFNA(IF(((INDEX(Steps!M2:M18, MATCH(D3,Steps!A2:A18, 0))="")=TRUE),  "",  INDEX(Steps!M2:M18, MATCH(D3,Steps!A2:A18, 0))), "")</f>
        <v>0</v>
      </c>
      <c r="CD3" s="4" t="b">
        <f>AND(((CC3)=TRUE), ((CB3 &gt; 0)=TRUE))</f>
        <v>0</v>
      </c>
      <c r="CE3" s="4" t="b">
        <f>AND(((F3 = "Completed")=TRUE), ((NOT(((CF3)=TRUE)))=TRUE))</f>
        <v>1</v>
      </c>
      <c r="CF3" s="4" t="b">
        <f>_xlfn.IFNA(IF(((INDEX(Steps!AC2:AC18, MATCH(D3,Steps!A2:A18, 0))="")=TRUE),  "",  INDEX(Steps!AC2:AC18, MATCH(D3,Steps!A2:A18, 0))), "")</f>
        <v>0</v>
      </c>
      <c r="CG3" s="4" t="str">
        <f>IF(((BW3)=TRUE),  D3,  "")</f>
        <v>close-02</v>
      </c>
      <c r="CH3" s="4" t="str">
        <f>_xlfn.IFNA(IF(((INDEX(Steps!AD2:AD18, MATCH(D3,Steps!A2:A18, 0))="")=TRUE),  "",  INDEX(Steps!AD2:AD18, MATCH(D3,Steps!A2:A18, 0))), "")</f>
        <v>Extraction</v>
      </c>
      <c r="CI3" s="4">
        <f>COUNTIFS(RequirementSatisfactions!AC2:AC9, A3)</f>
        <v>0</v>
      </c>
      <c r="CJ3" s="4" t="b">
        <f>AND(((R3 &gt; 0)=TRUE), ((CI3 &gt;= R3)=TRUE))</f>
        <v>0</v>
      </c>
      <c r="CK3" s="4">
        <f>COUNTIFS(BindingObservations!K2:K2, A3)</f>
        <v>0</v>
      </c>
      <c r="CL3" s="4" t="b">
        <f>CK3 &gt; 0</f>
        <v>0</v>
      </c>
      <c r="CM3" s="4" t="b">
        <f>NOT(((CL3 = V3)=TRUE))</f>
        <v>1</v>
      </c>
      <c r="CN3" s="4" t="b">
        <f>OR(((AA3 &gt; 0)=TRUE), ((Q3 &gt; 0)=TRUE))</f>
        <v>1</v>
      </c>
      <c r="CO3" s="4">
        <f>AB3 + R3</f>
        <v>1</v>
      </c>
      <c r="CP3" s="4">
        <f>AA3 + Q3</f>
        <v>1</v>
      </c>
      <c r="CQ3" s="4" t="b">
        <f>CP3 = 0</f>
        <v>0</v>
      </c>
      <c r="CR3" s="4" t="b">
        <f>AND(((BQ3)=TRUE), ((CQ3)=TRUE))</f>
        <v>0</v>
      </c>
      <c r="CS3" s="4" t="b">
        <f>AND(((BQ3)=TRUE), ((CO3 &gt;= CP3)=TRUE), ((CP3 &gt; 0)=TRUE))</f>
        <v>0</v>
      </c>
      <c r="CT3" s="4" t="str">
        <f>IF(((CR3)=TRUE),  C3,  "")</f>
      </c>
      <c r="CU3" s="4">
        <f>COUNTIFS(VerificationOutcomes!T2:T5, A3)</f>
        <v>0</v>
      </c>
      <c r="CV3" s="4" t="b">
        <f>AND(((AB3 &gt; 0)=TRUE), ((CU3 &gt;= AB3)=TRUE))</f>
        <v>0</v>
      </c>
      <c r="CW3" s="4" t="str">
        <f>IF(((AF3)=TRUE),  C3,  "")</f>
      </c>
      <c r="CX3" s="4" t="str">
        <f>IF(((AG3)=TRUE),  C3,  "")</f>
      </c>
      <c r="CY3" s="4" t="b">
        <f>OR(((BE3)=TRUE), ((CZ3)=TRUE))</f>
        <v>1</v>
      </c>
      <c r="CZ3" s="4" t="b">
        <f>_xlfn.IFNA(IF(((INDEX(ProcedureVersions!CB2:CB4, MATCH(DA3,ProcedureVersions!A2:A4, 0))="")=TRUE),  "",  INDEX(ProcedureVersions!CB2:CB4, MATCH(DA3,ProcedureVersions!A2:A4, 0))), "")</f>
        <v>1</v>
      </c>
      <c r="DA3" s="4" t="str">
        <f>_xlfn.IFNA(IF(((INDEX(Steps!C2:C18, MATCH(D3,Steps!A2:A18, 0))="")=TRUE),  "",  INDEX(Steps!C2:C18, MATCH(D3,Steps!A2:A18, 0))), "")</f>
        <v>close-v1.1.0</v>
      </c>
      <c r="DB3" s="4" t="b">
        <f>AND(((OR(((BP3)=TRUE), ((M3)=TRUE), ((P3)=TRUE)))=TRUE), ((NOT(((CY3)=TRUE)))=TRUE))</f>
        <v>0</v>
      </c>
      <c r="DC3" s="4" t="str">
        <f>IF(((DB3)=TRUE),  C3,  "")</f>
      </c>
      <c r="DD3" s="4" t="str">
        <f>IF(((BC3)=TRUE),  C3,  "")</f>
      </c>
      <c r="DE3" s="3" t="s">
        <v>1449</v>
      </c>
    </row>
    <row r="4">
      <c r="A4" s="3" t="s">
        <v>1453</v>
      </c>
      <c r="B4" s="4" t="str">
        <f>C4 &amp; " / " &amp; D4</f>
        <v>exec-close-2026-q2 / close-03</v>
      </c>
      <c r="C4" s="3" t="s">
        <v>1339</v>
      </c>
      <c r="D4" s="3" t="s">
        <v>560</v>
      </c>
      <c r="E4" s="3" t="s">
        <v>139</v>
      </c>
      <c r="F4" s="3" t="s">
        <v>1340</v>
      </c>
      <c r="G4" s="5">
        <v>46203.92916666667</v>
      </c>
      <c r="H4" s="5">
        <v>46204.71875</v>
      </c>
      <c r="I4" s="3" t="s">
        <v>1448</v>
      </c>
      <c r="J4" s="3" t="s">
        <v>168</v>
      </c>
      <c r="K4" s="6">
        <f>IF((IF(((H4 = "")=TRUE),  0,  IF(((OR((((H4)="")=TRUE), (((G4)="")=TRUE)))=TRUE),  0,  ((H4 - G4) * 1440))))="", "", ROUND((IF(((H4 = "")=TRUE),  0,  IF(((OR((((H4)="")=TRUE), (((G4)="")=TRUE)))=TRUE),  0,  ((H4 - G4) * 1440)))), 0))</f>
        <v>1137</v>
      </c>
      <c r="L4" s="6">
        <f>IF((_xlfn.IFNA(IF(((INDEX(Steps!K2:K18, MATCH(D4,Steps!A2:A18, 0))="")=TRUE),  "",  INDEX(Steps!K2:K18, MATCH(D4,Steps!A2:A18, 0))), ""))="", "", ROUND((_xlfn.IFNA(IF(((INDEX(Steps!K2:K18, MATCH(D4,Steps!A2:A18, 0))="")=TRUE),  "",  INDEX(Steps!K2:K18, MATCH(D4,Steps!A2:A18, 0))), "")), 0))</f>
        <v>120</v>
      </c>
      <c r="M4" s="4" t="b">
        <f>K4 &gt; L4</f>
        <v>1</v>
      </c>
      <c r="N4" s="4">
        <f>COUNTIFS(RequirementSatisfactions!C2:C9, A4,RequirementSatisfactions!K2:K9, TRUE)</f>
        <v>1</v>
      </c>
      <c r="O4" s="4">
        <f>COUNTIFS(RequirementSatisfactions!L2:L9, A4)</f>
        <v>1</v>
      </c>
      <c r="P4" s="4" t="b">
        <f>AND(((F4 = "Completed")=TRUE), ((O4 &gt; 0)=TRUE))</f>
        <v>1</v>
      </c>
      <c r="Q4" s="4">
        <f>_xlfn.IFNA(IF(((INDEX(Steps!N2:N18, MATCH(D4,Steps!A2:A18, 0))="")=TRUE),  "",  INDEX(Steps!N2:N18, MATCH(D4,Steps!A2:A18, 0))), "")</f>
        <v>2</v>
      </c>
      <c r="R4" s="4">
        <f>COUNTIFS(RequirementSatisfactions!M2:M9, A4)</f>
        <v>2</v>
      </c>
      <c r="S4" s="4">
        <f>Q4 - R4</f>
        <v>0</v>
      </c>
      <c r="T4" s="4" t="b">
        <f>S4 &gt; 0</f>
        <v>0</v>
      </c>
      <c r="U4" s="4">
        <f>_xlfn.IFNA(IF(((INDEX(Steps!P2:P18, MATCH(D4,Steps!A2:A18, 0))="")=TRUE),  "",  INDEX(Steps!P2:P18, MATCH(D4,Steps!A2:A18, 0))), "")</f>
        <v>0</v>
      </c>
      <c r="V4" s="4" t="b">
        <f>U4 &gt; 0</f>
        <v>0</v>
      </c>
      <c r="W4" s="4" t="b">
        <f>J4 &lt;&gt; ""</f>
        <v>0</v>
      </c>
      <c r="X4" s="4" t="b">
        <f>AND(((M4)=TRUE), ((NOT(((W4)=TRUE)))=TRUE))</f>
        <v>1</v>
      </c>
      <c r="Y4" s="4">
        <f>_xlfn.IFNA(IF(((INDEX(Steps!Q2:Q18, MATCH(D4,Steps!A2:A18, 0))="")=TRUE),  "",  INDEX(Steps!Q2:Q18, MATCH(D4,Steps!A2:A18, 0))), "")</f>
        <v>0</v>
      </c>
      <c r="Z4" s="4" t="b">
        <f>AND(((X4)=TRUE), ((Y4 &gt; 0)=TRUE))</f>
        <v>0</v>
      </c>
      <c r="AA4" s="4">
        <f>_xlfn.IFNA(IF(((INDEX(Steps!R2:R18, MATCH(D4,Steps!A2:A18, 0))="")=TRUE),  "",  INDEX(Steps!R2:R18, MATCH(D4,Steps!A2:A18, 0))), "")</f>
        <v>1</v>
      </c>
      <c r="AB4" s="4">
        <f>COUNTIFS(VerificationOutcomes!C2:C5, A4)</f>
        <v>1</v>
      </c>
      <c r="AC4" s="4">
        <f>AA4 - AB4</f>
        <v>0</v>
      </c>
      <c r="AD4" s="4" t="b">
        <f>AC4 &gt; 0</f>
        <v>0</v>
      </c>
      <c r="AE4" s="4" t="b">
        <f>AND(((I4 = "PASS")=TRUE), ((AD4)=TRUE))</f>
        <v>0</v>
      </c>
      <c r="AF4" s="4" t="b">
        <f>_xlfn.IFNA(IF(((INDEX(Steps!S2:S18, MATCH(D4,Steps!A2:A18, 0))="")=TRUE),  "",  INDEX(Steps!S2:S18, MATCH(D4,Steps!A2:A18, 0))), "")</f>
        <v>1</v>
      </c>
      <c r="AG4" s="4" t="b">
        <f>_xlfn.IFNA(IF(((INDEX(Steps!T2:T18, MATCH(D4,Steps!A2:A18, 0))="")=TRUE),  "",  INDEX(Steps!T2:T18, MATCH(D4,Steps!A2:A18, 0))), "")</f>
        <v>0</v>
      </c>
      <c r="AH4" s="4" t="str">
        <f>IF(((AF4)=TRUE),  C4 &amp; "|" &amp; E4,  "")</f>
        <v>exec-close-2026-q2|maria-chen</v>
      </c>
      <c r="AI4" s="4" t="str">
        <f>IF(((AG4)=TRUE),  C4 &amp; "|" &amp; E4,  "")</f>
      </c>
      <c r="AJ4" s="4">
        <f>COUNTIFS(AH2:AH13, AI4)</f>
        <v>10</v>
      </c>
      <c r="AK4" s="4" t="b">
        <f>AND(((AG4)=TRUE), ((AJ4 &gt; 0)=TRUE))</f>
        <v>0</v>
      </c>
      <c r="AL4" s="4" t="str">
        <f>_xlfn.IFNA(IF(((INDEX(Steps!G2:G18, MATCH(D4,Steps!A2:A18, 0))="")=TRUE),  "",  INDEX(Steps!G2:G18, MATCH(D4,Steps!A2:A18, 0))), "")</f>
        <v>finance-analyst</v>
      </c>
      <c r="AM4" s="4" t="str">
        <f>E4 &amp; "|" &amp; AL4</f>
        <v>maria-chen|finance-analyst</v>
      </c>
      <c r="AN4" s="4">
        <f>COUNTIFS(RoleAssignments!N2:N14, AM4)</f>
        <v>1</v>
      </c>
      <c r="AO4" s="4" t="b">
        <f>AN4 &gt; 0</f>
        <v>1</v>
      </c>
      <c r="AP4" s="4" t="b">
        <f>AND(((AG4)=TRUE), ((NOT(((AO4)=TRUE)))=TRUE))</f>
        <v>0</v>
      </c>
      <c r="AQ4" s="4" t="str">
        <f>IF(((F4 = "Completed")=TRUE),  C4,  "")</f>
        <v>exec-close-2026-q2</v>
      </c>
      <c r="AR4" s="4" t="str">
        <f>IF(((OR(((P4)=TRUE), ((AK4)=TRUE), ((AP4)=TRUE), ((AE4)=TRUE)))=TRUE),  C4,  "")</f>
        <v>exec-close-2026-q2</v>
      </c>
      <c r="AS4" s="4" t="str">
        <f>IF(((M4)=TRUE),  C4,  "")</f>
        <v>exec-close-2026-q2</v>
      </c>
      <c r="AT4" s="4" t="str">
        <f>_xlfn.IFNA(IF(((INDEX(Agents!D2:D12, MATCH(E4,Agents!A2:A12, 0))="")=TRUE),  "",  INDEX(Agents!D2:D12, MATCH(E4,Agents!A2:A12, 0))), "")</f>
        <v>Human</v>
      </c>
      <c r="AU4" s="4" t="b">
        <f>AT4 = "Human"</f>
        <v>1</v>
      </c>
      <c r="AV4" s="4" t="b">
        <f>_xlfn.IFNA(IF(((INDEX(Steps!M2:M18, MATCH(D4,Steps!A2:A18, 0))="")=TRUE),  "",  INDEX(Steps!M2:M18, MATCH(D4,Steps!A2:A18, 0))), "")</f>
        <v>0</v>
      </c>
      <c r="AW4" s="4" t="b">
        <f>AND(((AV4)=TRUE), ((NOT(((AU4)=TRUE)))=TRUE))</f>
        <v>0</v>
      </c>
      <c r="AX4" s="4" t="b">
        <f>AND(((AG4)=TRUE), ((NOT(((AU4)=TRUE)))=TRUE))</f>
        <v>0</v>
      </c>
      <c r="AY4" s="4" t="str">
        <f>IF(((T4)=TRUE),  C4,  "")</f>
      </c>
      <c r="AZ4" s="4" t="str">
        <f>IF(((AK4)=TRUE),  C4,  "")</f>
      </c>
      <c r="BA4" s="4">
        <f>COUNTIFS(VerificationOutcomes!P2:P5, A4)</f>
        <v>1</v>
      </c>
      <c r="BB4" s="4">
        <f>COUNTIFS(VerificationOutcomes!Q2:Q5, A4)</f>
        <v>1</v>
      </c>
      <c r="BC4" s="4" t="b">
        <f>AND(((AG4)=TRUE), ((OR(((BA4 &gt; 0)=TRUE), ((AD4)=TRUE)))=TRUE))</f>
        <v>0</v>
      </c>
      <c r="BD4" s="4">
        <f>COUNTIFS(ExceptionInvocations!C2:C2, A4)</f>
        <v>0</v>
      </c>
      <c r="BE4" s="4" t="b">
        <f>BD4 &gt; 0</f>
        <v>0</v>
      </c>
      <c r="BF4" s="4" t="b">
        <f>F4 = "Completed"</f>
        <v>1</v>
      </c>
      <c r="BG4" s="4" t="b">
        <f>I4 = "PASS"</f>
        <v>1</v>
      </c>
      <c r="BH4" s="4" t="b">
        <f>D4 = "policy-04"</f>
        <v>0</v>
      </c>
      <c r="BI4" s="4" t="str">
        <f>IF(((AND(((BH4)=TRUE), ((BG4)=TRUE)))=TRUE),  C4,  "")</f>
      </c>
      <c r="BJ4" s="4" t="str">
        <f>_xlfn.IFNA(IF(((INDEX(Steps!G2:G18, MATCH(D4,Steps!A2:A18, 0))="")=TRUE),  "",  INDEX(Steps!G2:G18, MATCH(D4,Steps!A2:A18, 0))), "")</f>
        <v>finance-analyst</v>
      </c>
      <c r="BK4" s="4" t="str">
        <f>_xlfn.IFNA(IF(((INDEX(Roles!E2:E13, MATCH(BJ4,Roles!A2:A13, 0))="")=TRUE),  "",  INDEX(Roles!E2:E13, MATCH(BJ4,Roles!A2:A13, 0))), "")</f>
        <v>maria-chen</v>
      </c>
      <c r="BL4" s="4" t="b">
        <f>E4 = BK4</f>
        <v>1</v>
      </c>
      <c r="BM4" s="4" t="b">
        <f>_xlfn.IFNA(IF(((INDEX(Steps!V2:V18, MATCH(D4,Steps!A2:A18, 0))="")=TRUE),  "",  INDEX(Steps!V2:V18, MATCH(D4,Steps!A2:A18, 0))), "")</f>
        <v>1</v>
      </c>
      <c r="BN4" s="4" t="b">
        <f>AND(((F4 = "Completed")=TRUE), ((NOT(((BM4)=TRUE)))=TRUE))</f>
        <v>0</v>
      </c>
      <c r="BO4" s="4">
        <f>COUNTIFS(IssueOccurrences!K2:K3, A4)</f>
        <v>0</v>
      </c>
      <c r="BP4" s="4" t="b">
        <f>J4 &lt;&gt; ""</f>
        <v>0</v>
      </c>
      <c r="BQ4" s="4" t="b">
        <f>AND(((I4 = "PASS")=TRUE), ((NOT(((BP4)=TRUE)))=TRUE), ((BO4 = 0)=TRUE), ((NOT(((M4)=TRUE)))=TRUE))</f>
        <v>0</v>
      </c>
      <c r="BR4" s="4" t="str">
        <f>IF(((BQ4)=TRUE),  "",  C4)</f>
        <v>exec-close-2026-q2</v>
      </c>
      <c r="BS4" s="4">
        <f>COUNTIFS(RequirementSatisfactions!U2:U9, A4)</f>
        <v>2</v>
      </c>
      <c r="BT4" s="6">
        <f>IF((_xlfn.IFNA(IF(((INDEX(Steps!N2:N18, MATCH(D4,Steps!A2:A18, 0))="")=TRUE),  "",  INDEX(Steps!N2:N18, MATCH(D4,Steps!A2:A18, 0))), ""))="", "", ROUND((_xlfn.IFNA(IF(((INDEX(Steps!N2:N18, MATCH(D4,Steps!A2:A18, 0))="")=TRUE),  "",  INDEX(Steps!N2:N18, MATCH(D4,Steps!A2:A18, 0))), "")), 0))</f>
        <v>2</v>
      </c>
      <c r="BU4" s="4" t="b">
        <f>BS4 &lt; BT4</f>
        <v>0</v>
      </c>
      <c r="BV4" s="4" t="str">
        <f>_xlfn.IFNA(IF(((INDEX(Agents!D2:D12, MATCH(E4,Agents!A2:A12, 0))="")=TRUE),  "",  INDEX(Agents!D2:D12, MATCH(E4,Agents!A2:A12, 0))), "")</f>
        <v>Human</v>
      </c>
      <c r="BW4" s="4" t="b">
        <f>OR(((BV4 = "AIAgent")=TRUE), ((BV4 = "AutomatedPipeline")=TRUE))</f>
        <v>0</v>
      </c>
      <c r="BX4" s="4" t="b">
        <f>_xlfn.IFNA(IF(((INDEX(Steps!W2:W18, MATCH(D4,Steps!A2:A18, 0))="")=TRUE),  "",  INDEX(Steps!W2:W18, MATCH(D4,Steps!A2:A18, 0))), "")</f>
        <v>0</v>
      </c>
      <c r="BY4" s="4" t="b">
        <f>AND(((BW4)=TRUE), ((NOT(((BX4)=TRUE)))=TRUE))</f>
        <v>0</v>
      </c>
      <c r="BZ4" s="4" t="b">
        <f>_xlfn.IFNA(IF(((INDEX(Steps!X2:X18, MATCH(D4,Steps!A2:A18, 0))="")=TRUE),  "",  INDEX(Steps!X2:X18, MATCH(D4,Steps!A2:A18, 0))), "")</f>
        <v>0</v>
      </c>
      <c r="CA4" s="4" t="b">
        <f>AND(((I4 &lt;&gt; "")=TRUE), ((I4 &lt;&gt; "PENDING")=TRUE), ((I4 &lt;&gt; "FAIL")=TRUE))</f>
        <v>1</v>
      </c>
      <c r="CB4" s="4">
        <f>COUNTIFS(AgentDecisionRecords!AA2:AA4, A4)</f>
        <v>0</v>
      </c>
      <c r="CC4" s="4" t="b">
        <f>_xlfn.IFNA(IF(((INDEX(Steps!M2:M18, MATCH(D4,Steps!A2:A18, 0))="")=TRUE),  "",  INDEX(Steps!M2:M18, MATCH(D4,Steps!A2:A18, 0))), "")</f>
        <v>0</v>
      </c>
      <c r="CD4" s="4" t="b">
        <f>AND(((CC4)=TRUE), ((CB4 &gt; 0)=TRUE))</f>
        <v>0</v>
      </c>
      <c r="CE4" s="4" t="b">
        <f>AND(((F4 = "Completed")=TRUE), ((NOT(((CF4)=TRUE)))=TRUE))</f>
        <v>0</v>
      </c>
      <c r="CF4" s="4" t="b">
        <f>_xlfn.IFNA(IF(((INDEX(Steps!AC2:AC18, MATCH(D4,Steps!A2:A18, 0))="")=TRUE),  "",  INDEX(Steps!AC2:AC18, MATCH(D4,Steps!A2:A18, 0))), "")</f>
        <v>1</v>
      </c>
      <c r="CG4" s="4" t="str">
        <f>IF(((BW4)=TRUE),  D4,  "")</f>
      </c>
      <c r="CH4" s="4" t="str">
        <f>_xlfn.IFNA(IF(((INDEX(Steps!AD2:AD18, MATCH(D4,Steps!A2:A18, 0))="")=TRUE),  "",  INDEX(Steps!AD2:AD18, MATCH(D4,Steps!A2:A18, 0))), "")</f>
        <v>Preparation</v>
      </c>
      <c r="CI4" s="4">
        <f>COUNTIFS(RequirementSatisfactions!AC2:AC9, A4)</f>
        <v>1</v>
      </c>
      <c r="CJ4" s="4" t="b">
        <f>AND(((R4 &gt; 0)=TRUE), ((CI4 &gt;= R4)=TRUE))</f>
        <v>0</v>
      </c>
      <c r="CK4" s="4">
        <f>COUNTIFS(BindingObservations!K2:K2, A4)</f>
        <v>0</v>
      </c>
      <c r="CL4" s="4" t="b">
        <f>CK4 &gt; 0</f>
        <v>0</v>
      </c>
      <c r="CM4" s="4" t="b">
        <f>NOT(((CL4 = V4)=TRUE))</f>
        <v>0</v>
      </c>
      <c r="CN4" s="4" t="b">
        <f>OR(((AA4 &gt; 0)=TRUE), ((Q4 &gt; 0)=TRUE))</f>
        <v>1</v>
      </c>
      <c r="CO4" s="4">
        <f>AB4 + R4</f>
        <v>3</v>
      </c>
      <c r="CP4" s="4">
        <f>AA4 + Q4</f>
        <v>3</v>
      </c>
      <c r="CQ4" s="4" t="b">
        <f>CP4 = 0</f>
        <v>0</v>
      </c>
      <c r="CR4" s="4" t="b">
        <f>AND(((BQ4)=TRUE), ((CQ4)=TRUE))</f>
        <v>0</v>
      </c>
      <c r="CS4" s="4" t="b">
        <f>AND(((BQ4)=TRUE), ((CO4 &gt;= CP4)=TRUE), ((CP4 &gt; 0)=TRUE))</f>
        <v>0</v>
      </c>
      <c r="CT4" s="4" t="str">
        <f>IF(((CR4)=TRUE),  C4,  "")</f>
      </c>
      <c r="CU4" s="4">
        <f>COUNTIFS(VerificationOutcomes!T2:T5, A4)</f>
        <v>1</v>
      </c>
      <c r="CV4" s="4" t="b">
        <f>AND(((AB4 &gt; 0)=TRUE), ((CU4 &gt;= AB4)=TRUE))</f>
        <v>1</v>
      </c>
      <c r="CW4" s="4" t="str">
        <f>IF(((AF4)=TRUE),  C4,  "")</f>
        <v>exec-close-2026-q2</v>
      </c>
      <c r="CX4" s="4" t="str">
        <f>IF(((AG4)=TRUE),  C4,  "")</f>
      </c>
      <c r="CY4" s="4" t="b">
        <f>OR(((BE4)=TRUE), ((CZ4)=TRUE))</f>
        <v>1</v>
      </c>
      <c r="CZ4" s="4" t="b">
        <f>_xlfn.IFNA(IF(((INDEX(ProcedureVersions!CB2:CB4, MATCH(DA4,ProcedureVersions!A2:A4, 0))="")=TRUE),  "",  INDEX(ProcedureVersions!CB2:CB4, MATCH(DA4,ProcedureVersions!A2:A4, 0))), "")</f>
        <v>1</v>
      </c>
      <c r="DA4" s="4" t="str">
        <f>_xlfn.IFNA(IF(((INDEX(Steps!C2:C18, MATCH(D4,Steps!A2:A18, 0))="")=TRUE),  "",  INDEX(Steps!C2:C18, MATCH(D4,Steps!A2:A18, 0))), "")</f>
        <v>close-v1.1.0</v>
      </c>
      <c r="DB4" s="4" t="b">
        <f>AND(((OR(((BP4)=TRUE), ((M4)=TRUE), ((P4)=TRUE)))=TRUE), ((NOT(((CY4)=TRUE)))=TRUE))</f>
        <v>0</v>
      </c>
      <c r="DC4" s="4" t="str">
        <f>IF(((DB4)=TRUE),  C4,  "")</f>
      </c>
      <c r="DD4" s="4" t="str">
        <f>IF(((BC4)=TRUE),  C4,  "")</f>
      </c>
      <c r="DE4" s="3" t="s">
        <v>1449</v>
      </c>
    </row>
    <row r="5">
      <c r="A5" s="3" t="s">
        <v>1454</v>
      </c>
      <c r="B5" s="4" t="str">
        <f>C5 &amp; " / " &amp; D5</f>
        <v>exec-close-2026-q2 / close-04</v>
      </c>
      <c r="C5" s="3" t="s">
        <v>1339</v>
      </c>
      <c r="D5" s="3" t="s">
        <v>567</v>
      </c>
      <c r="E5" s="3" t="s">
        <v>171</v>
      </c>
      <c r="F5" s="3" t="s">
        <v>1340</v>
      </c>
      <c r="G5" s="5">
        <v>46204.71875</v>
      </c>
      <c r="H5" s="5">
        <v>46204.836805555555</v>
      </c>
      <c r="I5" s="3" t="s">
        <v>1448</v>
      </c>
      <c r="J5" s="3" t="s">
        <v>1455</v>
      </c>
      <c r="K5" s="6">
        <f>IF((IF(((H5 = "")=TRUE),  0,  IF(((OR((((H5)="")=TRUE), (((G5)="")=TRUE)))=TRUE),  0,  ((H5 - G5) * 1440))))="", "", ROUND((IF(((H5 = "")=TRUE),  0,  IF(((OR((((H5)="")=TRUE), (((G5)="")=TRUE)))=TRUE),  0,  ((H5 - G5) * 1440)))), 0))</f>
        <v>170</v>
      </c>
      <c r="L5" s="6">
        <f>IF((_xlfn.IFNA(IF(((INDEX(Steps!K2:K18, MATCH(D5,Steps!A2:A18, 0))="")=TRUE),  "",  INDEX(Steps!K2:K18, MATCH(D5,Steps!A2:A18, 0))), ""))="", "", ROUND((_xlfn.IFNA(IF(((INDEX(Steps!K2:K18, MATCH(D5,Steps!A2:A18, 0))="")=TRUE),  "",  INDEX(Steps!K2:K18, MATCH(D5,Steps!A2:A18, 0))), "")), 0))</f>
        <v>90</v>
      </c>
      <c r="M5" s="4" t="b">
        <f>K5 &gt; L5</f>
        <v>1</v>
      </c>
      <c r="N5" s="4">
        <f>COUNTIFS(RequirementSatisfactions!C2:C9, A5,RequirementSatisfactions!K2:K9, TRUE)</f>
        <v>0</v>
      </c>
      <c r="O5" s="4">
        <f>COUNTIFS(RequirementSatisfactions!L2:L9, A5)</f>
        <v>0</v>
      </c>
      <c r="P5" s="4" t="b">
        <f>AND(((F5 = "Completed")=TRUE), ((O5 &gt; 0)=TRUE))</f>
        <v>0</v>
      </c>
      <c r="Q5" s="4">
        <f>_xlfn.IFNA(IF(((INDEX(Steps!N2:N18, MATCH(D5,Steps!A2:A18, 0))="")=TRUE),  "",  INDEX(Steps!N2:N18, MATCH(D5,Steps!A2:A18, 0))), "")</f>
        <v>0</v>
      </c>
      <c r="R5" s="4">
        <f>COUNTIFS(RequirementSatisfactions!M2:M9, A5)</f>
        <v>0</v>
      </c>
      <c r="S5" s="4">
        <f>Q5 - R5</f>
        <v>0</v>
      </c>
      <c r="T5" s="4" t="b">
        <f>S5 &gt; 0</f>
        <v>0</v>
      </c>
      <c r="U5" s="4">
        <f>_xlfn.IFNA(IF(((INDEX(Steps!P2:P18, MATCH(D5,Steps!A2:A18, 0))="")=TRUE),  "",  INDEX(Steps!P2:P18, MATCH(D5,Steps!A2:A18, 0))), "")</f>
        <v>0</v>
      </c>
      <c r="V5" s="4" t="b">
        <f>U5 &gt; 0</f>
        <v>0</v>
      </c>
      <c r="W5" s="4" t="b">
        <f>J5 &lt;&gt; ""</f>
        <v>1</v>
      </c>
      <c r="X5" s="4" t="b">
        <f>AND(((M5)=TRUE), ((NOT(((W5)=TRUE)))=TRUE))</f>
        <v>0</v>
      </c>
      <c r="Y5" s="4">
        <f>_xlfn.IFNA(IF(((INDEX(Steps!Q2:Q18, MATCH(D5,Steps!A2:A18, 0))="")=TRUE),  "",  INDEX(Steps!Q2:Q18, MATCH(D5,Steps!A2:A18, 0))), "")</f>
        <v>0</v>
      </c>
      <c r="Z5" s="4" t="b">
        <f>AND(((X5)=TRUE), ((Y5 &gt; 0)=TRUE))</f>
        <v>0</v>
      </c>
      <c r="AA5" s="4">
        <f>_xlfn.IFNA(IF(((INDEX(Steps!R2:R18, MATCH(D5,Steps!A2:A18, 0))="")=TRUE),  "",  INDEX(Steps!R2:R18, MATCH(D5,Steps!A2:A18, 0))), "")</f>
        <v>0</v>
      </c>
      <c r="AB5" s="4">
        <f>COUNTIFS(VerificationOutcomes!C2:C5, A5)</f>
        <v>0</v>
      </c>
      <c r="AC5" s="4">
        <f>AA5 - AB5</f>
        <v>0</v>
      </c>
      <c r="AD5" s="4" t="b">
        <f>AC5 &gt; 0</f>
        <v>0</v>
      </c>
      <c r="AE5" s="4" t="b">
        <f>AND(((I5 = "PASS")=TRUE), ((AD5)=TRUE))</f>
        <v>0</v>
      </c>
      <c r="AF5" s="4" t="b">
        <f>_xlfn.IFNA(IF(((INDEX(Steps!S2:S18, MATCH(D5,Steps!A2:A18, 0))="")=TRUE),  "",  INDEX(Steps!S2:S18, MATCH(D5,Steps!A2:A18, 0))), "")</f>
        <v>1</v>
      </c>
      <c r="AG5" s="4" t="b">
        <f>_xlfn.IFNA(IF(((INDEX(Steps!T2:T18, MATCH(D5,Steps!A2:A18, 0))="")=TRUE),  "",  INDEX(Steps!T2:T18, MATCH(D5,Steps!A2:A18, 0))), "")</f>
        <v>0</v>
      </c>
      <c r="AH5" s="4" t="str">
        <f>IF(((AF5)=TRUE),  C5 &amp; "|" &amp; E5,  "")</f>
        <v>exec-close-2026-q2|variance-ai</v>
      </c>
      <c r="AI5" s="4" t="str">
        <f>IF(((AG5)=TRUE),  C5 &amp; "|" &amp; E5,  "")</f>
      </c>
      <c r="AJ5" s="4">
        <f>COUNTIFS(AH2:AH13, AI5)</f>
        <v>10</v>
      </c>
      <c r="AK5" s="4" t="b">
        <f>AND(((AG5)=TRUE), ((AJ5 &gt; 0)=TRUE))</f>
        <v>0</v>
      </c>
      <c r="AL5" s="4" t="str">
        <f>_xlfn.IFNA(IF(((INDEX(Steps!G2:G18, MATCH(D5,Steps!A2:A18, 0))="")=TRUE),  "",  INDEX(Steps!G2:G18, MATCH(D5,Steps!A2:A18, 0))), "")</f>
        <v>variance-review-agent</v>
      </c>
      <c r="AM5" s="4" t="str">
        <f>E5 &amp; "|" &amp; AL5</f>
        <v>variance-ai|variance-review-agent</v>
      </c>
      <c r="AN5" s="4">
        <f>COUNTIFS(RoleAssignments!N2:N14, AM5)</f>
        <v>1</v>
      </c>
      <c r="AO5" s="4" t="b">
        <f>AN5 &gt; 0</f>
        <v>1</v>
      </c>
      <c r="AP5" s="4" t="b">
        <f>AND(((AG5)=TRUE), ((NOT(((AO5)=TRUE)))=TRUE))</f>
        <v>0</v>
      </c>
      <c r="AQ5" s="4" t="str">
        <f>IF(((F5 = "Completed")=TRUE),  C5,  "")</f>
        <v>exec-close-2026-q2</v>
      </c>
      <c r="AR5" s="4" t="str">
        <f>IF(((OR(((P5)=TRUE), ((AK5)=TRUE), ((AP5)=TRUE), ((AE5)=TRUE)))=TRUE),  C5,  "")</f>
      </c>
      <c r="AS5" s="4" t="str">
        <f>IF(((M5)=TRUE),  C5,  "")</f>
        <v>exec-close-2026-q2</v>
      </c>
      <c r="AT5" s="4" t="str">
        <f>_xlfn.IFNA(IF(((INDEX(Agents!D2:D12, MATCH(E5,Agents!A2:A12, 0))="")=TRUE),  "",  INDEX(Agents!D2:D12, MATCH(E5,Agents!A2:A12, 0))), "")</f>
        <v>AIAgent</v>
      </c>
      <c r="AU5" s="4" t="b">
        <f>AT5 = "Human"</f>
        <v>0</v>
      </c>
      <c r="AV5" s="4" t="b">
        <f>_xlfn.IFNA(IF(((INDEX(Steps!M2:M18, MATCH(D5,Steps!A2:A18, 0))="")=TRUE),  "",  INDEX(Steps!M2:M18, MATCH(D5,Steps!A2:A18, 0))), "")</f>
        <v>0</v>
      </c>
      <c r="AW5" s="4" t="b">
        <f>AND(((AV5)=TRUE), ((NOT(((AU5)=TRUE)))=TRUE))</f>
        <v>0</v>
      </c>
      <c r="AX5" s="4" t="b">
        <f>AND(((AG5)=TRUE), ((NOT(((AU5)=TRUE)))=TRUE))</f>
        <v>0</v>
      </c>
      <c r="AY5" s="4" t="str">
        <f>IF(((T5)=TRUE),  C5,  "")</f>
      </c>
      <c r="AZ5" s="4" t="str">
        <f>IF(((AK5)=TRUE),  C5,  "")</f>
      </c>
      <c r="BA5" s="4">
        <f>COUNTIFS(VerificationOutcomes!P2:P5, A5)</f>
        <v>0</v>
      </c>
      <c r="BB5" s="4">
        <f>COUNTIFS(VerificationOutcomes!Q2:Q5, A5)</f>
        <v>0</v>
      </c>
      <c r="BC5" s="4" t="b">
        <f>AND(((AG5)=TRUE), ((OR(((BA5 &gt; 0)=TRUE), ((AD5)=TRUE)))=TRUE))</f>
        <v>0</v>
      </c>
      <c r="BD5" s="4">
        <f>COUNTIFS(ExceptionInvocations!C2:C2, A5)</f>
        <v>0</v>
      </c>
      <c r="BE5" s="4" t="b">
        <f>BD5 &gt; 0</f>
        <v>0</v>
      </c>
      <c r="BF5" s="4" t="b">
        <f>F5 = "Completed"</f>
        <v>1</v>
      </c>
      <c r="BG5" s="4" t="b">
        <f>I5 = "PASS"</f>
        <v>1</v>
      </c>
      <c r="BH5" s="4" t="b">
        <f>D5 = "policy-04"</f>
        <v>0</v>
      </c>
      <c r="BI5" s="4" t="str">
        <f>IF(((AND(((BH5)=TRUE), ((BG5)=TRUE)))=TRUE),  C5,  "")</f>
      </c>
      <c r="BJ5" s="4" t="str">
        <f>_xlfn.IFNA(IF(((INDEX(Steps!G2:G18, MATCH(D5,Steps!A2:A18, 0))="")=TRUE),  "",  INDEX(Steps!G2:G18, MATCH(D5,Steps!A2:A18, 0))), "")</f>
        <v>variance-review-agent</v>
      </c>
      <c r="BK5" s="4" t="str">
        <f>_xlfn.IFNA(IF(((INDEX(Roles!E2:E13, MATCH(BJ5,Roles!A2:A13, 0))="")=TRUE),  "",  INDEX(Roles!E2:E13, MATCH(BJ5,Roles!A2:A13, 0))), "")</f>
        <v>variance-ai</v>
      </c>
      <c r="BL5" s="4" t="b">
        <f>E5 = BK5</f>
        <v>1</v>
      </c>
      <c r="BM5" s="4" t="b">
        <f>_xlfn.IFNA(IF(((INDEX(Steps!V2:V18, MATCH(D5,Steps!A2:A18, 0))="")=TRUE),  "",  INDEX(Steps!V2:V18, MATCH(D5,Steps!A2:A18, 0))), "")</f>
        <v>1</v>
      </c>
      <c r="BN5" s="4" t="b">
        <f>AND(((F5 = "Completed")=TRUE), ((NOT(((BM5)=TRUE)))=TRUE))</f>
        <v>0</v>
      </c>
      <c r="BO5" s="4">
        <f>COUNTIFS(IssueOccurrences!K2:K3, A5)</f>
        <v>0</v>
      </c>
      <c r="BP5" s="4" t="b">
        <f>J5 &lt;&gt; ""</f>
        <v>1</v>
      </c>
      <c r="BQ5" s="4" t="b">
        <f>AND(((I5 = "PASS")=TRUE), ((NOT(((BP5)=TRUE)))=TRUE), ((BO5 = 0)=TRUE), ((NOT(((M5)=TRUE)))=TRUE))</f>
        <v>0</v>
      </c>
      <c r="BR5" s="4" t="str">
        <f>IF(((BQ5)=TRUE),  "",  C5)</f>
        <v>exec-close-2026-q2</v>
      </c>
      <c r="BS5" s="4">
        <f>COUNTIFS(RequirementSatisfactions!U2:U9, A5)</f>
        <v>0</v>
      </c>
      <c r="BT5" s="6">
        <f>IF((_xlfn.IFNA(IF(((INDEX(Steps!N2:N18, MATCH(D5,Steps!A2:A18, 0))="")=TRUE),  "",  INDEX(Steps!N2:N18, MATCH(D5,Steps!A2:A18, 0))), ""))="", "", ROUND((_xlfn.IFNA(IF(((INDEX(Steps!N2:N18, MATCH(D5,Steps!A2:A18, 0))="")=TRUE),  "",  INDEX(Steps!N2:N18, MATCH(D5,Steps!A2:A18, 0))), "")), 0))</f>
        <v>0</v>
      </c>
      <c r="BU5" s="4" t="b">
        <f>BS5 &lt; BT5</f>
        <v>0</v>
      </c>
      <c r="BV5" s="4" t="str">
        <f>_xlfn.IFNA(IF(((INDEX(Agents!D2:D12, MATCH(E5,Agents!A2:A12, 0))="")=TRUE),  "",  INDEX(Agents!D2:D12, MATCH(E5,Agents!A2:A12, 0))), "")</f>
        <v>AIAgent</v>
      </c>
      <c r="BW5" s="4" t="b">
        <f>OR(((BV5 = "AIAgent")=TRUE), ((BV5 = "AutomatedPipeline")=TRUE))</f>
        <v>1</v>
      </c>
      <c r="BX5" s="4" t="b">
        <f>_xlfn.IFNA(IF(((INDEX(Steps!W2:W18, MATCH(D5,Steps!A2:A18, 0))="")=TRUE),  "",  INDEX(Steps!W2:W18, MATCH(D5,Steps!A2:A18, 0))), "")</f>
        <v>1</v>
      </c>
      <c r="BY5" s="4" t="b">
        <f>AND(((BW5)=TRUE), ((NOT(((BX5)=TRUE)))=TRUE))</f>
        <v>0</v>
      </c>
      <c r="BZ5" s="4" t="b">
        <f>_xlfn.IFNA(IF(((INDEX(Steps!X2:X18, MATCH(D5,Steps!A2:A18, 0))="")=TRUE),  "",  INDEX(Steps!X2:X18, MATCH(D5,Steps!A2:A18, 0))), "")</f>
        <v>0</v>
      </c>
      <c r="CA5" s="4" t="b">
        <f>AND(((I5 &lt;&gt; "")=TRUE), ((I5 &lt;&gt; "PENDING")=TRUE), ((I5 &lt;&gt; "FAIL")=TRUE))</f>
        <v>1</v>
      </c>
      <c r="CB5" s="4">
        <f>COUNTIFS(AgentDecisionRecords!AA2:AA4, A5)</f>
        <v>0</v>
      </c>
      <c r="CC5" s="4" t="b">
        <f>_xlfn.IFNA(IF(((INDEX(Steps!M2:M18, MATCH(D5,Steps!A2:A18, 0))="")=TRUE),  "",  INDEX(Steps!M2:M18, MATCH(D5,Steps!A2:A18, 0))), "")</f>
        <v>0</v>
      </c>
      <c r="CD5" s="4" t="b">
        <f>AND(((CC5)=TRUE), ((CB5 &gt; 0)=TRUE))</f>
        <v>0</v>
      </c>
      <c r="CE5" s="4" t="b">
        <f>AND(((F5 = "Completed")=TRUE), ((NOT(((CF5)=TRUE)))=TRUE))</f>
        <v>0</v>
      </c>
      <c r="CF5" s="4" t="b">
        <f>_xlfn.IFNA(IF(((INDEX(Steps!AC2:AC18, MATCH(D5,Steps!A2:A18, 0))="")=TRUE),  "",  INDEX(Steps!AC2:AC18, MATCH(D5,Steps!A2:A18, 0))), "")</f>
        <v>1</v>
      </c>
      <c r="CG5" s="4" t="str">
        <f>IF(((BW5)=TRUE),  D5,  "")</f>
        <v>close-04</v>
      </c>
      <c r="CH5" s="4" t="str">
        <f>_xlfn.IFNA(IF(((INDEX(Steps!AD2:AD18, MATCH(D5,Steps!A2:A18, 0))="")=TRUE),  "",  INDEX(Steps!AD2:AD18, MATCH(D5,Steps!A2:A18, 0))), "")</f>
        <v>Preparation</v>
      </c>
      <c r="CI5" s="4">
        <f>COUNTIFS(RequirementSatisfactions!AC2:AC9, A5)</f>
        <v>0</v>
      </c>
      <c r="CJ5" s="4" t="b">
        <f>AND(((R5 &gt; 0)=TRUE), ((CI5 &gt;= R5)=TRUE))</f>
        <v>0</v>
      </c>
      <c r="CK5" s="4">
        <f>COUNTIFS(BindingObservations!K2:K2, A5)</f>
        <v>0</v>
      </c>
      <c r="CL5" s="4" t="b">
        <f>CK5 &gt; 0</f>
        <v>0</v>
      </c>
      <c r="CM5" s="4" t="b">
        <f>NOT(((CL5 = V5)=TRUE))</f>
        <v>0</v>
      </c>
      <c r="CN5" s="4" t="b">
        <f>OR(((AA5 &gt; 0)=TRUE), ((Q5 &gt; 0)=TRUE))</f>
        <v>0</v>
      </c>
      <c r="CO5" s="4">
        <f>AB5 + R5</f>
        <v>0</v>
      </c>
      <c r="CP5" s="4">
        <f>AA5 + Q5</f>
        <v>0</v>
      </c>
      <c r="CQ5" s="4" t="b">
        <f>CP5 = 0</f>
        <v>1</v>
      </c>
      <c r="CR5" s="4" t="b">
        <f>AND(((BQ5)=TRUE), ((CQ5)=TRUE))</f>
        <v>0</v>
      </c>
      <c r="CS5" s="4" t="b">
        <f>AND(((BQ5)=TRUE), ((CO5 &gt;= CP5)=TRUE), ((CP5 &gt; 0)=TRUE))</f>
        <v>0</v>
      </c>
      <c r="CT5" s="4" t="str">
        <f>IF(((CR5)=TRUE),  C5,  "")</f>
      </c>
      <c r="CU5" s="4">
        <f>COUNTIFS(VerificationOutcomes!T2:T5, A5)</f>
        <v>0</v>
      </c>
      <c r="CV5" s="4" t="b">
        <f>AND(((AB5 &gt; 0)=TRUE), ((CU5 &gt;= AB5)=TRUE))</f>
        <v>0</v>
      </c>
      <c r="CW5" s="4" t="str">
        <f>IF(((AF5)=TRUE),  C5,  "")</f>
        <v>exec-close-2026-q2</v>
      </c>
      <c r="CX5" s="4" t="str">
        <f>IF(((AG5)=TRUE),  C5,  "")</f>
      </c>
      <c r="CY5" s="4" t="b">
        <f>OR(((BE5)=TRUE), ((CZ5)=TRUE))</f>
        <v>1</v>
      </c>
      <c r="CZ5" s="4" t="b">
        <f>_xlfn.IFNA(IF(((INDEX(ProcedureVersions!CB2:CB4, MATCH(DA5,ProcedureVersions!A2:A4, 0))="")=TRUE),  "",  INDEX(ProcedureVersions!CB2:CB4, MATCH(DA5,ProcedureVersions!A2:A4, 0))), "")</f>
        <v>1</v>
      </c>
      <c r="DA5" s="4" t="str">
        <f>_xlfn.IFNA(IF(((INDEX(Steps!C2:C18, MATCH(D5,Steps!A2:A18, 0))="")=TRUE),  "",  INDEX(Steps!C2:C18, MATCH(D5,Steps!A2:A18, 0))), "")</f>
        <v>close-v1.1.0</v>
      </c>
      <c r="DB5" s="4" t="b">
        <f>AND(((OR(((BP5)=TRUE), ((M5)=TRUE), ((P5)=TRUE)))=TRUE), ((NOT(((CY5)=TRUE)))=TRUE))</f>
        <v>0</v>
      </c>
      <c r="DC5" s="4" t="str">
        <f>IF(((DB5)=TRUE),  C5,  "")</f>
      </c>
      <c r="DD5" s="4" t="str">
        <f>IF(((BC5)=TRUE),  C5,  "")</f>
      </c>
      <c r="DE5" s="3" t="s">
        <v>1449</v>
      </c>
    </row>
    <row r="6">
      <c r="A6" s="3" t="s">
        <v>1456</v>
      </c>
      <c r="B6" s="4" t="str">
        <f>C6 &amp; " / " &amp; D6</f>
        <v>exec-close-2026-q2 / close-05</v>
      </c>
      <c r="C6" s="3" t="s">
        <v>1339</v>
      </c>
      <c r="D6" s="3" t="s">
        <v>572</v>
      </c>
      <c r="E6" s="3" t="s">
        <v>145</v>
      </c>
      <c r="F6" s="3" t="s">
        <v>1340</v>
      </c>
      <c r="G6" s="5">
        <v>46204.836805555555</v>
      </c>
      <c r="H6" s="5">
        <v>46204.881944444445</v>
      </c>
      <c r="I6" s="3" t="s">
        <v>1448</v>
      </c>
      <c r="J6" s="3" t="s">
        <v>168</v>
      </c>
      <c r="K6" s="6">
        <f>IF((IF(((H6 = "")=TRUE),  0,  IF(((OR((((H6)="")=TRUE), (((G6)="")=TRUE)))=TRUE),  0,  ((H6 - G6) * 1440))))="", "", ROUND((IF(((H6 = "")=TRUE),  0,  IF(((OR((((H6)="")=TRUE), (((G6)="")=TRUE)))=TRUE),  0,  ((H6 - G6) * 1440)))), 0))</f>
        <v>65</v>
      </c>
      <c r="L6" s="6">
        <f>IF((_xlfn.IFNA(IF(((INDEX(Steps!K2:K18, MATCH(D6,Steps!A2:A18, 0))="")=TRUE),  "",  INDEX(Steps!K2:K18, MATCH(D6,Steps!A2:A18, 0))), ""))="", "", ROUND((_xlfn.IFNA(IF(((INDEX(Steps!K2:K18, MATCH(D6,Steps!A2:A18, 0))="")=TRUE),  "",  INDEX(Steps!K2:K18, MATCH(D6,Steps!A2:A18, 0))), "")), 0))</f>
        <v>60</v>
      </c>
      <c r="M6" s="4" t="b">
        <f>K6 &gt; L6</f>
        <v>1</v>
      </c>
      <c r="N6" s="4">
        <f>COUNTIFS(RequirementSatisfactions!C2:C9, A6,RequirementSatisfactions!K2:K9, TRUE)</f>
        <v>0</v>
      </c>
      <c r="O6" s="4">
        <f>COUNTIFS(RequirementSatisfactions!L2:L9, A6)</f>
        <v>0</v>
      </c>
      <c r="P6" s="4" t="b">
        <f>AND(((F6 = "Completed")=TRUE), ((O6 &gt; 0)=TRUE))</f>
        <v>0</v>
      </c>
      <c r="Q6" s="4">
        <f>_xlfn.IFNA(IF(((INDEX(Steps!N2:N18, MATCH(D6,Steps!A2:A18, 0))="")=TRUE),  "",  INDEX(Steps!N2:N18, MATCH(D6,Steps!A2:A18, 0))), "")</f>
        <v>1</v>
      </c>
      <c r="R6" s="4">
        <f>COUNTIFS(RequirementSatisfactions!M2:M9, A6)</f>
        <v>1</v>
      </c>
      <c r="S6" s="4">
        <f>Q6 - R6</f>
        <v>0</v>
      </c>
      <c r="T6" s="4" t="b">
        <f>S6 &gt; 0</f>
        <v>0</v>
      </c>
      <c r="U6" s="4">
        <f>_xlfn.IFNA(IF(((INDEX(Steps!P2:P18, MATCH(D6,Steps!A2:A18, 0))="")=TRUE),  "",  INDEX(Steps!P2:P18, MATCH(D6,Steps!A2:A18, 0))), "")</f>
        <v>0</v>
      </c>
      <c r="V6" s="4" t="b">
        <f>U6 &gt; 0</f>
        <v>0</v>
      </c>
      <c r="W6" s="4" t="b">
        <f>J6 &lt;&gt; ""</f>
        <v>0</v>
      </c>
      <c r="X6" s="4" t="b">
        <f>AND(((M6)=TRUE), ((NOT(((W6)=TRUE)))=TRUE))</f>
        <v>1</v>
      </c>
      <c r="Y6" s="4">
        <f>_xlfn.IFNA(IF(((INDEX(Steps!Q2:Q18, MATCH(D6,Steps!A2:A18, 0))="")=TRUE),  "",  INDEX(Steps!Q2:Q18, MATCH(D6,Steps!A2:A18, 0))), "")</f>
        <v>0</v>
      </c>
      <c r="Z6" s="4" t="b">
        <f>AND(((X6)=TRUE), ((Y6 &gt; 0)=TRUE))</f>
        <v>0</v>
      </c>
      <c r="AA6" s="4">
        <f>_xlfn.IFNA(IF(((INDEX(Steps!R2:R18, MATCH(D6,Steps!A2:A18, 0))="")=TRUE),  "",  INDEX(Steps!R2:R18, MATCH(D6,Steps!A2:A18, 0))), "")</f>
        <v>1</v>
      </c>
      <c r="AB6" s="4">
        <f>COUNTIFS(VerificationOutcomes!C2:C5, A6)</f>
        <v>1</v>
      </c>
      <c r="AC6" s="4">
        <f>AA6 - AB6</f>
        <v>0</v>
      </c>
      <c r="AD6" s="4" t="b">
        <f>AC6 &gt; 0</f>
        <v>0</v>
      </c>
      <c r="AE6" s="4" t="b">
        <f>AND(((I6 = "PASS")=TRUE), ((AD6)=TRUE))</f>
        <v>0</v>
      </c>
      <c r="AF6" s="4" t="b">
        <f>_xlfn.IFNA(IF(((INDEX(Steps!S2:S18, MATCH(D6,Steps!A2:A18, 0))="")=TRUE),  "",  INDEX(Steps!S2:S18, MATCH(D6,Steps!A2:A18, 0))), "")</f>
        <v>0</v>
      </c>
      <c r="AG6" s="4" t="b">
        <f>_xlfn.IFNA(IF(((INDEX(Steps!T2:T18, MATCH(D6,Steps!A2:A18, 0))="")=TRUE),  "",  INDEX(Steps!T2:T18, MATCH(D6,Steps!A2:A18, 0))), "")</f>
        <v>1</v>
      </c>
      <c r="AH6" s="4" t="str">
        <f>IF(((AF6)=TRUE),  C6 &amp; "|" &amp; E6,  "")</f>
      </c>
      <c r="AI6" s="4" t="str">
        <f>IF(((AG6)=TRUE),  C6 &amp; "|" &amp; E6,  "")</f>
        <v>exec-close-2026-q2|devon-okafor</v>
      </c>
      <c r="AJ6" s="4">
        <f>COUNTIFS(AH2:AH13, AI6)</f>
        <v>0</v>
      </c>
      <c r="AK6" s="4" t="b">
        <f>AND(((AG6)=TRUE), ((AJ6 &gt; 0)=TRUE))</f>
        <v>0</v>
      </c>
      <c r="AL6" s="4" t="str">
        <f>_xlfn.IFNA(IF(((INDEX(Steps!G2:G18, MATCH(D6,Steps!A2:A18, 0))="")=TRUE),  "",  INDEX(Steps!G2:G18, MATCH(D6,Steps!A2:A18, 0))), "")</f>
        <v>controller</v>
      </c>
      <c r="AM6" s="4" t="str">
        <f>E6 &amp; "|" &amp; AL6</f>
        <v>devon-okafor|controller</v>
      </c>
      <c r="AN6" s="4">
        <f>COUNTIFS(RoleAssignments!N2:N14, AM6)</f>
        <v>1</v>
      </c>
      <c r="AO6" s="4" t="b">
        <f>AN6 &gt; 0</f>
        <v>1</v>
      </c>
      <c r="AP6" s="4" t="b">
        <f>AND(((AG6)=TRUE), ((NOT(((AO6)=TRUE)))=TRUE))</f>
        <v>0</v>
      </c>
      <c r="AQ6" s="4" t="str">
        <f>IF(((F6 = "Completed")=TRUE),  C6,  "")</f>
        <v>exec-close-2026-q2</v>
      </c>
      <c r="AR6" s="4" t="str">
        <f>IF(((OR(((P6)=TRUE), ((AK6)=TRUE), ((AP6)=TRUE), ((AE6)=TRUE)))=TRUE),  C6,  "")</f>
      </c>
      <c r="AS6" s="4" t="str">
        <f>IF(((M6)=TRUE),  C6,  "")</f>
        <v>exec-close-2026-q2</v>
      </c>
      <c r="AT6" s="4" t="str">
        <f>_xlfn.IFNA(IF(((INDEX(Agents!D2:D12, MATCH(E6,Agents!A2:A12, 0))="")=TRUE),  "",  INDEX(Agents!D2:D12, MATCH(E6,Agents!A2:A12, 0))), "")</f>
        <v>Human</v>
      </c>
      <c r="AU6" s="4" t="b">
        <f>AT6 = "Human"</f>
        <v>1</v>
      </c>
      <c r="AV6" s="4" t="b">
        <f>_xlfn.IFNA(IF(((INDEX(Steps!M2:M18, MATCH(D6,Steps!A2:A18, 0))="")=TRUE),  "",  INDEX(Steps!M2:M18, MATCH(D6,Steps!A2:A18, 0))), "")</f>
        <v>1</v>
      </c>
      <c r="AW6" s="4" t="b">
        <f>AND(((AV6)=TRUE), ((NOT(((AU6)=TRUE)))=TRUE))</f>
        <v>0</v>
      </c>
      <c r="AX6" s="4" t="b">
        <f>AND(((AG6)=TRUE), ((NOT(((AU6)=TRUE)))=TRUE))</f>
        <v>0</v>
      </c>
      <c r="AY6" s="4" t="str">
        <f>IF(((T6)=TRUE),  C6,  "")</f>
      </c>
      <c r="AZ6" s="4" t="str">
        <f>IF(((AK6)=TRUE),  C6,  "")</f>
      </c>
      <c r="BA6" s="4">
        <f>COUNTIFS(VerificationOutcomes!P2:P5, A6)</f>
        <v>1</v>
      </c>
      <c r="BB6" s="4">
        <f>COUNTIFS(VerificationOutcomes!Q2:Q5, A6)</f>
        <v>0</v>
      </c>
      <c r="BC6" s="4" t="b">
        <f>AND(((AG6)=TRUE), ((OR(((BA6 &gt; 0)=TRUE), ((AD6)=TRUE)))=TRUE))</f>
        <v>1</v>
      </c>
      <c r="BD6" s="4">
        <f>COUNTIFS(ExceptionInvocations!C2:C2, A6)</f>
        <v>0</v>
      </c>
      <c r="BE6" s="4" t="b">
        <f>BD6 &gt; 0</f>
        <v>0</v>
      </c>
      <c r="BF6" s="4" t="b">
        <f>F6 = "Completed"</f>
        <v>1</v>
      </c>
      <c r="BG6" s="4" t="b">
        <f>I6 = "PASS"</f>
        <v>1</v>
      </c>
      <c r="BH6" s="4" t="b">
        <f>D6 = "policy-04"</f>
        <v>0</v>
      </c>
      <c r="BI6" s="4" t="str">
        <f>IF(((AND(((BH6)=TRUE), ((BG6)=TRUE)))=TRUE),  C6,  "")</f>
      </c>
      <c r="BJ6" s="4" t="str">
        <f>_xlfn.IFNA(IF(((INDEX(Steps!G2:G18, MATCH(D6,Steps!A2:A18, 0))="")=TRUE),  "",  INDEX(Steps!G2:G18, MATCH(D6,Steps!A2:A18, 0))), "")</f>
        <v>controller</v>
      </c>
      <c r="BK6" s="4" t="str">
        <f>_xlfn.IFNA(IF(((INDEX(Roles!E2:E13, MATCH(BJ6,Roles!A2:A13, 0))="")=TRUE),  "",  INDEX(Roles!E2:E13, MATCH(BJ6,Roles!A2:A13, 0))), "")</f>
        <v>devon-okafor</v>
      </c>
      <c r="BL6" s="4" t="b">
        <f>E6 = BK6</f>
        <v>1</v>
      </c>
      <c r="BM6" s="4" t="b">
        <f>_xlfn.IFNA(IF(((INDEX(Steps!V2:V18, MATCH(D6,Steps!A2:A18, 0))="")=TRUE),  "",  INDEX(Steps!V2:V18, MATCH(D6,Steps!A2:A18, 0))), "")</f>
        <v>1</v>
      </c>
      <c r="BN6" s="4" t="b">
        <f>AND(((F6 = "Completed")=TRUE), ((NOT(((BM6)=TRUE)))=TRUE))</f>
        <v>0</v>
      </c>
      <c r="BO6" s="4">
        <f>COUNTIFS(IssueOccurrences!K2:K3, A6)</f>
        <v>0</v>
      </c>
      <c r="BP6" s="4" t="b">
        <f>J6 &lt;&gt; ""</f>
        <v>0</v>
      </c>
      <c r="BQ6" s="4" t="b">
        <f>AND(((I6 = "PASS")=TRUE), ((NOT(((BP6)=TRUE)))=TRUE), ((BO6 = 0)=TRUE), ((NOT(((M6)=TRUE)))=TRUE))</f>
        <v>0</v>
      </c>
      <c r="BR6" s="4" t="str">
        <f>IF(((BQ6)=TRUE),  "",  C6)</f>
        <v>exec-close-2026-q2</v>
      </c>
      <c r="BS6" s="4">
        <f>COUNTIFS(RequirementSatisfactions!U2:U9, A6)</f>
        <v>1</v>
      </c>
      <c r="BT6" s="6">
        <f>IF((_xlfn.IFNA(IF(((INDEX(Steps!N2:N18, MATCH(D6,Steps!A2:A18, 0))="")=TRUE),  "",  INDEX(Steps!N2:N18, MATCH(D6,Steps!A2:A18, 0))), ""))="", "", ROUND((_xlfn.IFNA(IF(((INDEX(Steps!N2:N18, MATCH(D6,Steps!A2:A18, 0))="")=TRUE),  "",  INDEX(Steps!N2:N18, MATCH(D6,Steps!A2:A18, 0))), "")), 0))</f>
        <v>1</v>
      </c>
      <c r="BU6" s="4" t="b">
        <f>BS6 &lt; BT6</f>
        <v>0</v>
      </c>
      <c r="BV6" s="4" t="str">
        <f>_xlfn.IFNA(IF(((INDEX(Agents!D2:D12, MATCH(E6,Agents!A2:A12, 0))="")=TRUE),  "",  INDEX(Agents!D2:D12, MATCH(E6,Agents!A2:A12, 0))), "")</f>
        <v>Human</v>
      </c>
      <c r="BW6" s="4" t="b">
        <f>OR(((BV6 = "AIAgent")=TRUE), ((BV6 = "AutomatedPipeline")=TRUE))</f>
        <v>0</v>
      </c>
      <c r="BX6" s="4" t="b">
        <f>_xlfn.IFNA(IF(((INDEX(Steps!W2:W18, MATCH(D6,Steps!A2:A18, 0))="")=TRUE),  "",  INDEX(Steps!W2:W18, MATCH(D6,Steps!A2:A18, 0))), "")</f>
        <v>0</v>
      </c>
      <c r="BY6" s="4" t="b">
        <f>AND(((BW6)=TRUE), ((NOT(((BX6)=TRUE)))=TRUE))</f>
        <v>0</v>
      </c>
      <c r="BZ6" s="4" t="b">
        <f>_xlfn.IFNA(IF(((INDEX(Steps!X2:X18, MATCH(D6,Steps!A2:A18, 0))="")=TRUE),  "",  INDEX(Steps!X2:X18, MATCH(D6,Steps!A2:A18, 0))), "")</f>
        <v>0</v>
      </c>
      <c r="CA6" s="4" t="b">
        <f>AND(((I6 &lt;&gt; "")=TRUE), ((I6 &lt;&gt; "PENDING")=TRUE), ((I6 &lt;&gt; "FAIL")=TRUE))</f>
        <v>1</v>
      </c>
      <c r="CB6" s="4">
        <f>COUNTIFS(AgentDecisionRecords!AA2:AA4, A6)</f>
        <v>0</v>
      </c>
      <c r="CC6" s="4" t="b">
        <f>_xlfn.IFNA(IF(((INDEX(Steps!M2:M18, MATCH(D6,Steps!A2:A18, 0))="")=TRUE),  "",  INDEX(Steps!M2:M18, MATCH(D6,Steps!A2:A18, 0))), "")</f>
        <v>1</v>
      </c>
      <c r="CD6" s="4" t="b">
        <f>AND(((CC6)=TRUE), ((CB6 &gt; 0)=TRUE))</f>
        <v>0</v>
      </c>
      <c r="CE6" s="4" t="b">
        <f>AND(((F6 = "Completed")=TRUE), ((NOT(((CF6)=TRUE)))=TRUE))</f>
        <v>0</v>
      </c>
      <c r="CF6" s="4" t="b">
        <f>_xlfn.IFNA(IF(((INDEX(Steps!AC2:AC18, MATCH(D6,Steps!A2:A18, 0))="")=TRUE),  "",  INDEX(Steps!AC2:AC18, MATCH(D6,Steps!A2:A18, 0))), "")</f>
        <v>1</v>
      </c>
      <c r="CG6" s="4" t="str">
        <f>IF(((BW6)=TRUE),  D6,  "")</f>
      </c>
      <c r="CH6" s="4" t="str">
        <f>_xlfn.IFNA(IF(((INDEX(Steps!AD2:AD18, MATCH(D6,Steps!A2:A18, 0))="")=TRUE),  "",  INDEX(Steps!AD2:AD18, MATCH(D6,Steps!A2:A18, 0))), "")</f>
        <v>Approval</v>
      </c>
      <c r="CI6" s="4">
        <f>COUNTIFS(RequirementSatisfactions!AC2:AC9, A6)</f>
        <v>1</v>
      </c>
      <c r="CJ6" s="4" t="b">
        <f>AND(((R6 &gt; 0)=TRUE), ((CI6 &gt;= R6)=TRUE))</f>
        <v>1</v>
      </c>
      <c r="CK6" s="4">
        <f>COUNTIFS(BindingObservations!K2:K2, A6)</f>
        <v>0</v>
      </c>
      <c r="CL6" s="4" t="b">
        <f>CK6 &gt; 0</f>
        <v>0</v>
      </c>
      <c r="CM6" s="4" t="b">
        <f>NOT(((CL6 = V6)=TRUE))</f>
        <v>0</v>
      </c>
      <c r="CN6" s="4" t="b">
        <f>OR(((AA6 &gt; 0)=TRUE), ((Q6 &gt; 0)=TRUE))</f>
        <v>1</v>
      </c>
      <c r="CO6" s="4">
        <f>AB6 + R6</f>
        <v>2</v>
      </c>
      <c r="CP6" s="4">
        <f>AA6 + Q6</f>
        <v>2</v>
      </c>
      <c r="CQ6" s="4" t="b">
        <f>CP6 = 0</f>
        <v>0</v>
      </c>
      <c r="CR6" s="4" t="b">
        <f>AND(((BQ6)=TRUE), ((CQ6)=TRUE))</f>
        <v>0</v>
      </c>
      <c r="CS6" s="4" t="b">
        <f>AND(((BQ6)=TRUE), ((CO6 &gt;= CP6)=TRUE), ((CP6 &gt; 0)=TRUE))</f>
        <v>0</v>
      </c>
      <c r="CT6" s="4" t="str">
        <f>IF(((CR6)=TRUE),  C6,  "")</f>
      </c>
      <c r="CU6" s="4">
        <f>COUNTIFS(VerificationOutcomes!T2:T5, A6)</f>
        <v>0</v>
      </c>
      <c r="CV6" s="4" t="b">
        <f>AND(((AB6 &gt; 0)=TRUE), ((CU6 &gt;= AB6)=TRUE))</f>
        <v>0</v>
      </c>
      <c r="CW6" s="4" t="str">
        <f>IF(((AF6)=TRUE),  C6,  "")</f>
      </c>
      <c r="CX6" s="4" t="str">
        <f>IF(((AG6)=TRUE),  C6,  "")</f>
        <v>exec-close-2026-q2</v>
      </c>
      <c r="CY6" s="4" t="b">
        <f>OR(((BE6)=TRUE), ((CZ6)=TRUE))</f>
        <v>1</v>
      </c>
      <c r="CZ6" s="4" t="b">
        <f>_xlfn.IFNA(IF(((INDEX(ProcedureVersions!CB2:CB4, MATCH(DA6,ProcedureVersions!A2:A4, 0))="")=TRUE),  "",  INDEX(ProcedureVersions!CB2:CB4, MATCH(DA6,ProcedureVersions!A2:A4, 0))), "")</f>
        <v>1</v>
      </c>
      <c r="DA6" s="4" t="str">
        <f>_xlfn.IFNA(IF(((INDEX(Steps!C2:C18, MATCH(D6,Steps!A2:A18, 0))="")=TRUE),  "",  INDEX(Steps!C2:C18, MATCH(D6,Steps!A2:A18, 0))), "")</f>
        <v>close-v1.1.0</v>
      </c>
      <c r="DB6" s="4" t="b">
        <f>AND(((OR(((BP6)=TRUE), ((M6)=TRUE), ((P6)=TRUE)))=TRUE), ((NOT(((CY6)=TRUE)))=TRUE))</f>
        <v>0</v>
      </c>
      <c r="DC6" s="4" t="str">
        <f>IF(((DB6)=TRUE),  C6,  "")</f>
      </c>
      <c r="DD6" s="4" t="str">
        <f>IF(((BC6)=TRUE),  C6,  "")</f>
        <v>exec-close-2026-q2</v>
      </c>
      <c r="DE6" s="3" t="s">
        <v>1449</v>
      </c>
    </row>
    <row r="7">
      <c r="A7" s="3" t="s">
        <v>1457</v>
      </c>
      <c r="B7" s="4" t="str">
        <f>C7 &amp; " / " &amp; D7</f>
        <v>exec-close-2026-q2 / close-06</v>
      </c>
      <c r="C7" s="3" t="s">
        <v>1339</v>
      </c>
      <c r="D7" s="3" t="s">
        <v>576</v>
      </c>
      <c r="E7" s="3" t="s">
        <v>149</v>
      </c>
      <c r="F7" s="3" t="s">
        <v>1340</v>
      </c>
      <c r="G7" s="5">
        <v>46205.583333333336</v>
      </c>
      <c r="H7" s="5">
        <v>46205.59861111111</v>
      </c>
      <c r="I7" s="3" t="s">
        <v>1448</v>
      </c>
      <c r="J7" s="3" t="s">
        <v>168</v>
      </c>
      <c r="K7" s="6">
        <f>IF((IF(((H7 = "")=TRUE),  0,  IF(((OR((((H7)="")=TRUE), (((G7)="")=TRUE)))=TRUE),  0,  ((H7 - G7) * 1440))))="", "", ROUND((IF(((H7 = "")=TRUE),  0,  IF(((OR((((H7)="")=TRUE), (((G7)="")=TRUE)))=TRUE),  0,  ((H7 - G7) * 1440)))), 0))</f>
        <v>22</v>
      </c>
      <c r="L7" s="6">
        <f>IF((_xlfn.IFNA(IF(((INDEX(Steps!K2:K18, MATCH(D7,Steps!A2:A18, 0))="")=TRUE),  "",  INDEX(Steps!K2:K18, MATCH(D7,Steps!A2:A18, 0))), ""))="", "", ROUND((_xlfn.IFNA(IF(((INDEX(Steps!K2:K18, MATCH(D7,Steps!A2:A18, 0))="")=TRUE),  "",  INDEX(Steps!K2:K18, MATCH(D7,Steps!A2:A18, 0))), "")), 0))</f>
        <v>30</v>
      </c>
      <c r="M7" s="4" t="b">
        <f>K7 &gt; L7</f>
        <v>0</v>
      </c>
      <c r="N7" s="4">
        <f>COUNTIFS(RequirementSatisfactions!C2:C9, A7,RequirementSatisfactions!K2:K9, TRUE)</f>
        <v>0</v>
      </c>
      <c r="O7" s="4">
        <f>COUNTIFS(RequirementSatisfactions!L2:L9, A7)</f>
        <v>0</v>
      </c>
      <c r="P7" s="4" t="b">
        <f>AND(((F7 = "Completed")=TRUE), ((O7 &gt; 0)=TRUE))</f>
        <v>0</v>
      </c>
      <c r="Q7" s="4">
        <f>_xlfn.IFNA(IF(((INDEX(Steps!N2:N18, MATCH(D7,Steps!A2:A18, 0))="")=TRUE),  "",  INDEX(Steps!N2:N18, MATCH(D7,Steps!A2:A18, 0))), "")</f>
        <v>1</v>
      </c>
      <c r="R7" s="4">
        <f>COUNTIFS(RequirementSatisfactions!M2:M9, A7)</f>
        <v>1</v>
      </c>
      <c r="S7" s="4">
        <f>Q7 - R7</f>
        <v>0</v>
      </c>
      <c r="T7" s="4" t="b">
        <f>S7 &gt; 0</f>
        <v>0</v>
      </c>
      <c r="U7" s="4">
        <f>_xlfn.IFNA(IF(((INDEX(Steps!P2:P18, MATCH(D7,Steps!A2:A18, 0))="")=TRUE),  "",  INDEX(Steps!P2:P18, MATCH(D7,Steps!A2:A18, 0))), "")</f>
        <v>0</v>
      </c>
      <c r="V7" s="4" t="b">
        <f>U7 &gt; 0</f>
        <v>0</v>
      </c>
      <c r="W7" s="4" t="b">
        <f>J7 &lt;&gt; ""</f>
        <v>0</v>
      </c>
      <c r="X7" s="4" t="b">
        <f>AND(((M7)=TRUE), ((NOT(((W7)=TRUE)))=TRUE))</f>
        <v>0</v>
      </c>
      <c r="Y7" s="4">
        <f>_xlfn.IFNA(IF(((INDEX(Steps!Q2:Q18, MATCH(D7,Steps!A2:A18, 0))="")=TRUE),  "",  INDEX(Steps!Q2:Q18, MATCH(D7,Steps!A2:A18, 0))), "")</f>
        <v>1</v>
      </c>
      <c r="Z7" s="4" t="b">
        <f>AND(((X7)=TRUE), ((Y7 &gt; 0)=TRUE))</f>
        <v>0</v>
      </c>
      <c r="AA7" s="4">
        <f>_xlfn.IFNA(IF(((INDEX(Steps!R2:R18, MATCH(D7,Steps!A2:A18, 0))="")=TRUE),  "",  INDEX(Steps!R2:R18, MATCH(D7,Steps!A2:A18, 0))), "")</f>
        <v>1</v>
      </c>
      <c r="AB7" s="4">
        <f>COUNTIFS(VerificationOutcomes!C2:C5, A7)</f>
        <v>0</v>
      </c>
      <c r="AC7" s="4">
        <f>AA7 - AB7</f>
        <v>1</v>
      </c>
      <c r="AD7" s="4" t="b">
        <f>AC7 &gt; 0</f>
        <v>1</v>
      </c>
      <c r="AE7" s="4" t="b">
        <f>AND(((I7 = "PASS")=TRUE), ((AD7)=TRUE))</f>
        <v>1</v>
      </c>
      <c r="AF7" s="4" t="b">
        <f>_xlfn.IFNA(IF(((INDEX(Steps!S2:S18, MATCH(D7,Steps!A2:A18, 0))="")=TRUE),  "",  INDEX(Steps!S2:S18, MATCH(D7,Steps!A2:A18, 0))), "")</f>
        <v>0</v>
      </c>
      <c r="AG7" s="4" t="b">
        <f>_xlfn.IFNA(IF(((INDEX(Steps!T2:T18, MATCH(D7,Steps!A2:A18, 0))="")=TRUE),  "",  INDEX(Steps!T2:T18, MATCH(D7,Steps!A2:A18, 0))), "")</f>
        <v>1</v>
      </c>
      <c r="AH7" s="4" t="str">
        <f>IF(((AF7)=TRUE),  C7 &amp; "|" &amp; E7,  "")</f>
      </c>
      <c r="AI7" s="4" t="str">
        <f>IF(((AG7)=TRUE),  C7 &amp; "|" &amp; E7,  "")</f>
        <v>exec-close-2026-q2|priya-raman</v>
      </c>
      <c r="AJ7" s="4">
        <f>COUNTIFS(AH2:AH13, AI7)</f>
        <v>0</v>
      </c>
      <c r="AK7" s="4" t="b">
        <f>AND(((AG7)=TRUE), ((AJ7 &gt; 0)=TRUE))</f>
        <v>0</v>
      </c>
      <c r="AL7" s="4" t="str">
        <f>_xlfn.IFNA(IF(((INDEX(Steps!G2:G18, MATCH(D7,Steps!A2:A18, 0))="")=TRUE),  "",  INDEX(Steps!G2:G18, MATCH(D7,Steps!A2:A18, 0))), "")</f>
        <v>cfo</v>
      </c>
      <c r="AM7" s="4" t="str">
        <f>E7 &amp; "|" &amp; AL7</f>
        <v>priya-raman|cfo</v>
      </c>
      <c r="AN7" s="4">
        <f>COUNTIFS(RoleAssignments!N2:N14, AM7)</f>
        <v>1</v>
      </c>
      <c r="AO7" s="4" t="b">
        <f>AN7 &gt; 0</f>
        <v>1</v>
      </c>
      <c r="AP7" s="4" t="b">
        <f>AND(((AG7)=TRUE), ((NOT(((AO7)=TRUE)))=TRUE))</f>
        <v>0</v>
      </c>
      <c r="AQ7" s="4" t="str">
        <f>IF(((F7 = "Completed")=TRUE),  C7,  "")</f>
        <v>exec-close-2026-q2</v>
      </c>
      <c r="AR7" s="4" t="str">
        <f>IF(((OR(((P7)=TRUE), ((AK7)=TRUE), ((AP7)=TRUE), ((AE7)=TRUE)))=TRUE),  C7,  "")</f>
        <v>exec-close-2026-q2</v>
      </c>
      <c r="AS7" s="4" t="str">
        <f>IF(((M7)=TRUE),  C7,  "")</f>
      </c>
      <c r="AT7" s="4" t="str">
        <f>_xlfn.IFNA(IF(((INDEX(Agents!D2:D12, MATCH(E7,Agents!A2:A12, 0))="")=TRUE),  "",  INDEX(Agents!D2:D12, MATCH(E7,Agents!A2:A12, 0))), "")</f>
        <v>Human</v>
      </c>
      <c r="AU7" s="4" t="b">
        <f>AT7 = "Human"</f>
        <v>1</v>
      </c>
      <c r="AV7" s="4" t="b">
        <f>_xlfn.IFNA(IF(((INDEX(Steps!M2:M18, MATCH(D7,Steps!A2:A18, 0))="")=TRUE),  "",  INDEX(Steps!M2:M18, MATCH(D7,Steps!A2:A18, 0))), "")</f>
        <v>1</v>
      </c>
      <c r="AW7" s="4" t="b">
        <f>AND(((AV7)=TRUE), ((NOT(((AU7)=TRUE)))=TRUE))</f>
        <v>0</v>
      </c>
      <c r="AX7" s="4" t="b">
        <f>AND(((AG7)=TRUE), ((NOT(((AU7)=TRUE)))=TRUE))</f>
        <v>0</v>
      </c>
      <c r="AY7" s="4" t="str">
        <f>IF(((T7)=TRUE),  C7,  "")</f>
      </c>
      <c r="AZ7" s="4" t="str">
        <f>IF(((AK7)=TRUE),  C7,  "")</f>
      </c>
      <c r="BA7" s="4">
        <f>COUNTIFS(VerificationOutcomes!P2:P5, A7)</f>
        <v>0</v>
      </c>
      <c r="BB7" s="4">
        <f>COUNTIFS(VerificationOutcomes!Q2:Q5, A7)</f>
        <v>0</v>
      </c>
      <c r="BC7" s="4" t="b">
        <f>AND(((AG7)=TRUE), ((OR(((BA7 &gt; 0)=TRUE), ((AD7)=TRUE)))=TRUE))</f>
        <v>1</v>
      </c>
      <c r="BD7" s="4">
        <f>COUNTIFS(ExceptionInvocations!C2:C2, A7)</f>
        <v>0</v>
      </c>
      <c r="BE7" s="4" t="b">
        <f>BD7 &gt; 0</f>
        <v>0</v>
      </c>
      <c r="BF7" s="4" t="b">
        <f>F7 = "Completed"</f>
        <v>1</v>
      </c>
      <c r="BG7" s="4" t="b">
        <f>I7 = "PASS"</f>
        <v>1</v>
      </c>
      <c r="BH7" s="4" t="b">
        <f>D7 = "policy-04"</f>
        <v>0</v>
      </c>
      <c r="BI7" s="4" t="str">
        <f>IF(((AND(((BH7)=TRUE), ((BG7)=TRUE)))=TRUE),  C7,  "")</f>
      </c>
      <c r="BJ7" s="4" t="str">
        <f>_xlfn.IFNA(IF(((INDEX(Steps!G2:G18, MATCH(D7,Steps!A2:A18, 0))="")=TRUE),  "",  INDEX(Steps!G2:G18, MATCH(D7,Steps!A2:A18, 0))), "")</f>
        <v>cfo</v>
      </c>
      <c r="BK7" s="4" t="str">
        <f>_xlfn.IFNA(IF(((INDEX(Roles!E2:E13, MATCH(BJ7,Roles!A2:A13, 0))="")=TRUE),  "",  INDEX(Roles!E2:E13, MATCH(BJ7,Roles!A2:A13, 0))), "")</f>
        <v>priya-raman</v>
      </c>
      <c r="BL7" s="4" t="b">
        <f>E7 = BK7</f>
        <v>1</v>
      </c>
      <c r="BM7" s="4" t="b">
        <f>_xlfn.IFNA(IF(((INDEX(Steps!V2:V18, MATCH(D7,Steps!A2:A18, 0))="")=TRUE),  "",  INDEX(Steps!V2:V18, MATCH(D7,Steps!A2:A18, 0))), "")</f>
        <v>1</v>
      </c>
      <c r="BN7" s="4" t="b">
        <f>AND(((F7 = "Completed")=TRUE), ((NOT(((BM7)=TRUE)))=TRUE))</f>
        <v>0</v>
      </c>
      <c r="BO7" s="4">
        <f>COUNTIFS(IssueOccurrences!K2:K3, A7)</f>
        <v>0</v>
      </c>
      <c r="BP7" s="4" t="b">
        <f>J7 &lt;&gt; ""</f>
        <v>0</v>
      </c>
      <c r="BQ7" s="4" t="b">
        <f>AND(((I7 = "PASS")=TRUE), ((NOT(((BP7)=TRUE)))=TRUE), ((BO7 = 0)=TRUE), ((NOT(((M7)=TRUE)))=TRUE))</f>
        <v>1</v>
      </c>
      <c r="BR7" s="4" t="str">
        <f>IF(((BQ7)=TRUE),  "",  C7)</f>
      </c>
      <c r="BS7" s="4">
        <f>COUNTIFS(RequirementSatisfactions!U2:U9, A7)</f>
        <v>1</v>
      </c>
      <c r="BT7" s="6">
        <f>IF((_xlfn.IFNA(IF(((INDEX(Steps!N2:N18, MATCH(D7,Steps!A2:A18, 0))="")=TRUE),  "",  INDEX(Steps!N2:N18, MATCH(D7,Steps!A2:A18, 0))), ""))="", "", ROUND((_xlfn.IFNA(IF(((INDEX(Steps!N2:N18, MATCH(D7,Steps!A2:A18, 0))="")=TRUE),  "",  INDEX(Steps!N2:N18, MATCH(D7,Steps!A2:A18, 0))), "")), 0))</f>
        <v>1</v>
      </c>
      <c r="BU7" s="4" t="b">
        <f>BS7 &lt; BT7</f>
        <v>0</v>
      </c>
      <c r="BV7" s="4" t="str">
        <f>_xlfn.IFNA(IF(((INDEX(Agents!D2:D12, MATCH(E7,Agents!A2:A12, 0))="")=TRUE),  "",  INDEX(Agents!D2:D12, MATCH(E7,Agents!A2:A12, 0))), "")</f>
        <v>Human</v>
      </c>
      <c r="BW7" s="4" t="b">
        <f>OR(((BV7 = "AIAgent")=TRUE), ((BV7 = "AutomatedPipeline")=TRUE))</f>
        <v>0</v>
      </c>
      <c r="BX7" s="4" t="b">
        <f>_xlfn.IFNA(IF(((INDEX(Steps!W2:W18, MATCH(D7,Steps!A2:A18, 0))="")=TRUE),  "",  INDEX(Steps!W2:W18, MATCH(D7,Steps!A2:A18, 0))), "")</f>
        <v>0</v>
      </c>
      <c r="BY7" s="4" t="b">
        <f>AND(((BW7)=TRUE), ((NOT(((BX7)=TRUE)))=TRUE))</f>
        <v>0</v>
      </c>
      <c r="BZ7" s="4" t="b">
        <f>_xlfn.IFNA(IF(((INDEX(Steps!X2:X18, MATCH(D7,Steps!A2:A18, 0))="")=TRUE),  "",  INDEX(Steps!X2:X18, MATCH(D7,Steps!A2:A18, 0))), "")</f>
        <v>1</v>
      </c>
      <c r="CA7" s="4" t="b">
        <f>AND(((I7 &lt;&gt; "")=TRUE), ((I7 &lt;&gt; "PENDING")=TRUE), ((I7 &lt;&gt; "FAIL")=TRUE))</f>
        <v>1</v>
      </c>
      <c r="CB7" s="4">
        <f>COUNTIFS(AgentDecisionRecords!AA2:AA4, A7)</f>
        <v>0</v>
      </c>
      <c r="CC7" s="4" t="b">
        <f>_xlfn.IFNA(IF(((INDEX(Steps!M2:M18, MATCH(D7,Steps!A2:A18, 0))="")=TRUE),  "",  INDEX(Steps!M2:M18, MATCH(D7,Steps!A2:A18, 0))), "")</f>
        <v>1</v>
      </c>
      <c r="CD7" s="4" t="b">
        <f>AND(((CC7)=TRUE), ((CB7 &gt; 0)=TRUE))</f>
        <v>0</v>
      </c>
      <c r="CE7" s="4" t="b">
        <f>AND(((F7 = "Completed")=TRUE), ((NOT(((CF7)=TRUE)))=TRUE))</f>
        <v>0</v>
      </c>
      <c r="CF7" s="4" t="b">
        <f>_xlfn.IFNA(IF(((INDEX(Steps!AC2:AC18, MATCH(D7,Steps!A2:A18, 0))="")=TRUE),  "",  INDEX(Steps!AC2:AC18, MATCH(D7,Steps!A2:A18, 0))), "")</f>
        <v>1</v>
      </c>
      <c r="CG7" s="4" t="str">
        <f>IF(((BW7)=TRUE),  D7,  "")</f>
      </c>
      <c r="CH7" s="4" t="str">
        <f>_xlfn.IFNA(IF(((INDEX(Steps!AD2:AD18, MATCH(D7,Steps!A2:A18, 0))="")=TRUE),  "",  INDEX(Steps!AD2:AD18, MATCH(D7,Steps!A2:A18, 0))), "")</f>
        <v>Approval</v>
      </c>
      <c r="CI7" s="4">
        <f>COUNTIFS(RequirementSatisfactions!AC2:AC9, A7)</f>
        <v>1</v>
      </c>
      <c r="CJ7" s="4" t="b">
        <f>AND(((R7 &gt; 0)=TRUE), ((CI7 &gt;= R7)=TRUE))</f>
        <v>1</v>
      </c>
      <c r="CK7" s="4">
        <f>COUNTIFS(BindingObservations!K2:K2, A7)</f>
        <v>0</v>
      </c>
      <c r="CL7" s="4" t="b">
        <f>CK7 &gt; 0</f>
        <v>0</v>
      </c>
      <c r="CM7" s="4" t="b">
        <f>NOT(((CL7 = V7)=TRUE))</f>
        <v>0</v>
      </c>
      <c r="CN7" s="4" t="b">
        <f>OR(((AA7 &gt; 0)=TRUE), ((Q7 &gt; 0)=TRUE))</f>
        <v>1</v>
      </c>
      <c r="CO7" s="4">
        <f>AB7 + R7</f>
        <v>1</v>
      </c>
      <c r="CP7" s="4">
        <f>AA7 + Q7</f>
        <v>2</v>
      </c>
      <c r="CQ7" s="4" t="b">
        <f>CP7 = 0</f>
        <v>0</v>
      </c>
      <c r="CR7" s="4" t="b">
        <f>AND(((BQ7)=TRUE), ((CQ7)=TRUE))</f>
        <v>0</v>
      </c>
      <c r="CS7" s="4" t="b">
        <f>AND(((BQ7)=TRUE), ((CO7 &gt;= CP7)=TRUE), ((CP7 &gt; 0)=TRUE))</f>
        <v>0</v>
      </c>
      <c r="CT7" s="4" t="str">
        <f>IF(((CR7)=TRUE),  C7,  "")</f>
      </c>
      <c r="CU7" s="4">
        <f>COUNTIFS(VerificationOutcomes!T2:T5, A7)</f>
        <v>0</v>
      </c>
      <c r="CV7" s="4" t="b">
        <f>AND(((AB7 &gt; 0)=TRUE), ((CU7 &gt;= AB7)=TRUE))</f>
        <v>0</v>
      </c>
      <c r="CW7" s="4" t="str">
        <f>IF(((AF7)=TRUE),  C7,  "")</f>
      </c>
      <c r="CX7" s="4" t="str">
        <f>IF(((AG7)=TRUE),  C7,  "")</f>
        <v>exec-close-2026-q2</v>
      </c>
      <c r="CY7" s="4" t="b">
        <f>OR(((BE7)=TRUE), ((CZ7)=TRUE))</f>
        <v>1</v>
      </c>
      <c r="CZ7" s="4" t="b">
        <f>_xlfn.IFNA(IF(((INDEX(ProcedureVersions!CB2:CB4, MATCH(DA7,ProcedureVersions!A2:A4, 0))="")=TRUE),  "",  INDEX(ProcedureVersions!CB2:CB4, MATCH(DA7,ProcedureVersions!A2:A4, 0))), "")</f>
        <v>1</v>
      </c>
      <c r="DA7" s="4" t="str">
        <f>_xlfn.IFNA(IF(((INDEX(Steps!C2:C18, MATCH(D7,Steps!A2:A18, 0))="")=TRUE),  "",  INDEX(Steps!C2:C18, MATCH(D7,Steps!A2:A18, 0))), "")</f>
        <v>close-v1.1.0</v>
      </c>
      <c r="DB7" s="4" t="b">
        <f>AND(((OR(((BP7)=TRUE), ((M7)=TRUE), ((P7)=TRUE)))=TRUE), ((NOT(((CY7)=TRUE)))=TRUE))</f>
        <v>0</v>
      </c>
      <c r="DC7" s="4" t="str">
        <f>IF(((DB7)=TRUE),  C7,  "")</f>
      </c>
      <c r="DD7" s="4" t="str">
        <f>IF(((BC7)=TRUE),  C7,  "")</f>
        <v>exec-close-2026-q2</v>
      </c>
      <c r="DE7" s="3" t="s">
        <v>1449</v>
      </c>
    </row>
    <row r="8">
      <c r="A8" s="3" t="s">
        <v>1458</v>
      </c>
      <c r="B8" s="4" t="str">
        <f>C8 &amp; " / " &amp; D8</f>
        <v>exec-close-2026-q2 / close-07</v>
      </c>
      <c r="C8" s="3" t="s">
        <v>1339</v>
      </c>
      <c r="D8" s="3" t="s">
        <v>581</v>
      </c>
      <c r="E8" s="3" t="s">
        <v>165</v>
      </c>
      <c r="F8" s="3" t="s">
        <v>1340</v>
      </c>
      <c r="G8" s="5">
        <v>46205.59861111111</v>
      </c>
      <c r="H8" s="5">
        <v>46205.61041666667</v>
      </c>
      <c r="I8" s="3" t="s">
        <v>1448</v>
      </c>
      <c r="J8" s="3" t="s">
        <v>168</v>
      </c>
      <c r="K8" s="6">
        <f>IF((IF(((H8 = "")=TRUE),  0,  IF(((OR((((H8)="")=TRUE), (((G8)="")=TRUE)))=TRUE),  0,  ((H8 - G8) * 1440))))="", "", ROUND((IF(((H8 = "")=TRUE),  0,  IF(((OR((((H8)="")=TRUE), (((G8)="")=TRUE)))=TRUE),  0,  ((H8 - G8) * 1440)))), 0))</f>
        <v>17</v>
      </c>
      <c r="L8" s="6">
        <f>IF((_xlfn.IFNA(IF(((INDEX(Steps!K2:K18, MATCH(D8,Steps!A2:A18, 0))="")=TRUE),  "",  INDEX(Steps!K2:K18, MATCH(D8,Steps!A2:A18, 0))), ""))="", "", ROUND((_xlfn.IFNA(IF(((INDEX(Steps!K2:K18, MATCH(D8,Steps!A2:A18, 0))="")=TRUE),  "",  INDEX(Steps!K2:K18, MATCH(D8,Steps!A2:A18, 0))), "")), 0))</f>
        <v>20</v>
      </c>
      <c r="M8" s="4" t="b">
        <f>K8 &gt; L8</f>
        <v>0</v>
      </c>
      <c r="N8" s="4">
        <f>COUNTIFS(RequirementSatisfactions!C2:C9, A8,RequirementSatisfactions!K2:K9, TRUE)</f>
        <v>0</v>
      </c>
      <c r="O8" s="4">
        <f>COUNTIFS(RequirementSatisfactions!L2:L9, A8)</f>
        <v>0</v>
      </c>
      <c r="P8" s="4" t="b">
        <f>AND(((F8 = "Completed")=TRUE), ((O8 &gt; 0)=TRUE))</f>
        <v>0</v>
      </c>
      <c r="Q8" s="4">
        <f>_xlfn.IFNA(IF(((INDEX(Steps!N2:N18, MATCH(D8,Steps!A2:A18, 0))="")=TRUE),  "",  INDEX(Steps!N2:N18, MATCH(D8,Steps!A2:A18, 0))), "")</f>
        <v>0</v>
      </c>
      <c r="R8" s="4">
        <f>COUNTIFS(RequirementSatisfactions!M2:M9, A8)</f>
        <v>0</v>
      </c>
      <c r="S8" s="4">
        <f>Q8 - R8</f>
        <v>0</v>
      </c>
      <c r="T8" s="4" t="b">
        <f>S8 &gt; 0</f>
        <v>0</v>
      </c>
      <c r="U8" s="4">
        <f>_xlfn.IFNA(IF(((INDEX(Steps!P2:P18, MATCH(D8,Steps!A2:A18, 0))="")=TRUE),  "",  INDEX(Steps!P2:P18, MATCH(D8,Steps!A2:A18, 0))), "")</f>
        <v>0</v>
      </c>
      <c r="V8" s="4" t="b">
        <f>U8 &gt; 0</f>
        <v>0</v>
      </c>
      <c r="W8" s="4" t="b">
        <f>J8 &lt;&gt; ""</f>
        <v>0</v>
      </c>
      <c r="X8" s="4" t="b">
        <f>AND(((M8)=TRUE), ((NOT(((W8)=TRUE)))=TRUE))</f>
        <v>0</v>
      </c>
      <c r="Y8" s="4">
        <f>_xlfn.IFNA(IF(((INDEX(Steps!Q2:Q18, MATCH(D8,Steps!A2:A18, 0))="")=TRUE),  "",  INDEX(Steps!Q2:Q18, MATCH(D8,Steps!A2:A18, 0))), "")</f>
        <v>0</v>
      </c>
      <c r="Z8" s="4" t="b">
        <f>AND(((X8)=TRUE), ((Y8 &gt; 0)=TRUE))</f>
        <v>0</v>
      </c>
      <c r="AA8" s="4">
        <f>_xlfn.IFNA(IF(((INDEX(Steps!R2:R18, MATCH(D8,Steps!A2:A18, 0))="")=TRUE),  "",  INDEX(Steps!R2:R18, MATCH(D8,Steps!A2:A18, 0))), "")</f>
        <v>0</v>
      </c>
      <c r="AB8" s="4">
        <f>COUNTIFS(VerificationOutcomes!C2:C5, A8)</f>
        <v>0</v>
      </c>
      <c r="AC8" s="4">
        <f>AA8 - AB8</f>
        <v>0</v>
      </c>
      <c r="AD8" s="4" t="b">
        <f>AC8 &gt; 0</f>
        <v>0</v>
      </c>
      <c r="AE8" s="4" t="b">
        <f>AND(((I8 = "PASS")=TRUE), ((AD8)=TRUE))</f>
        <v>0</v>
      </c>
      <c r="AF8" s="4" t="b">
        <f>_xlfn.IFNA(IF(((INDEX(Steps!S2:S18, MATCH(D8,Steps!A2:A18, 0))="")=TRUE),  "",  INDEX(Steps!S2:S18, MATCH(D8,Steps!A2:A18, 0))), "")</f>
        <v>0</v>
      </c>
      <c r="AG8" s="4" t="b">
        <f>_xlfn.IFNA(IF(((INDEX(Steps!T2:T18, MATCH(D8,Steps!A2:A18, 0))="")=TRUE),  "",  INDEX(Steps!T2:T18, MATCH(D8,Steps!A2:A18, 0))), "")</f>
        <v>0</v>
      </c>
      <c r="AH8" s="4" t="str">
        <f>IF(((AF8)=TRUE),  C8 &amp; "|" &amp; E8,  "")</f>
      </c>
      <c r="AI8" s="4" t="str">
        <f>IF(((AG8)=TRUE),  C8 &amp; "|" &amp; E8,  "")</f>
      </c>
      <c r="AJ8" s="4">
        <f>COUNTIFS(AH2:AH13, AI8)</f>
        <v>10</v>
      </c>
      <c r="AK8" s="4" t="b">
        <f>AND(((AG8)=TRUE), ((AJ8 &gt; 0)=TRUE))</f>
        <v>0</v>
      </c>
      <c r="AL8" s="4" t="str">
        <f>_xlfn.IFNA(IF(((INDEX(Steps!G2:G18, MATCH(D8,Steps!A2:A18, 0))="")=TRUE),  "",  INDEX(Steps!G2:G18, MATCH(D8,Steps!A2:A18, 0))), "")</f>
        <v>close-automation</v>
      </c>
      <c r="AM8" s="4" t="str">
        <f>E8 &amp; "|" &amp; AL8</f>
        <v>close-pipeline|close-automation</v>
      </c>
      <c r="AN8" s="4">
        <f>COUNTIFS(RoleAssignments!N2:N14, AM8)</f>
        <v>1</v>
      </c>
      <c r="AO8" s="4" t="b">
        <f>AN8 &gt; 0</f>
        <v>1</v>
      </c>
      <c r="AP8" s="4" t="b">
        <f>AND(((AG8)=TRUE), ((NOT(((AO8)=TRUE)))=TRUE))</f>
        <v>0</v>
      </c>
      <c r="AQ8" s="4" t="str">
        <f>IF(((F8 = "Completed")=TRUE),  C8,  "")</f>
        <v>exec-close-2026-q2</v>
      </c>
      <c r="AR8" s="4" t="str">
        <f>IF(((OR(((P8)=TRUE), ((AK8)=TRUE), ((AP8)=TRUE), ((AE8)=TRUE)))=TRUE),  C8,  "")</f>
      </c>
      <c r="AS8" s="4" t="str">
        <f>IF(((M8)=TRUE),  C8,  "")</f>
      </c>
      <c r="AT8" s="4" t="str">
        <f>_xlfn.IFNA(IF(((INDEX(Agents!D2:D12, MATCH(E8,Agents!A2:A12, 0))="")=TRUE),  "",  INDEX(Agents!D2:D12, MATCH(E8,Agents!A2:A12, 0))), "")</f>
        <v>AutomatedPipeline</v>
      </c>
      <c r="AU8" s="4" t="b">
        <f>AT8 = "Human"</f>
        <v>0</v>
      </c>
      <c r="AV8" s="4" t="b">
        <f>_xlfn.IFNA(IF(((INDEX(Steps!M2:M18, MATCH(D8,Steps!A2:A18, 0))="")=TRUE),  "",  INDEX(Steps!M2:M18, MATCH(D8,Steps!A2:A18, 0))), "")</f>
        <v>0</v>
      </c>
      <c r="AW8" s="4" t="b">
        <f>AND(((AV8)=TRUE), ((NOT(((AU8)=TRUE)))=TRUE))</f>
        <v>0</v>
      </c>
      <c r="AX8" s="4" t="b">
        <f>AND(((AG8)=TRUE), ((NOT(((AU8)=TRUE)))=TRUE))</f>
        <v>0</v>
      </c>
      <c r="AY8" s="4" t="str">
        <f>IF(((T8)=TRUE),  C8,  "")</f>
      </c>
      <c r="AZ8" s="4" t="str">
        <f>IF(((AK8)=TRUE),  C8,  "")</f>
      </c>
      <c r="BA8" s="4">
        <f>COUNTIFS(VerificationOutcomes!P2:P5, A8)</f>
        <v>0</v>
      </c>
      <c r="BB8" s="4">
        <f>COUNTIFS(VerificationOutcomes!Q2:Q5, A8)</f>
        <v>0</v>
      </c>
      <c r="BC8" s="4" t="b">
        <f>AND(((AG8)=TRUE), ((OR(((BA8 &gt; 0)=TRUE), ((AD8)=TRUE)))=TRUE))</f>
        <v>0</v>
      </c>
      <c r="BD8" s="4">
        <f>COUNTIFS(ExceptionInvocations!C2:C2, A8)</f>
        <v>0</v>
      </c>
      <c r="BE8" s="4" t="b">
        <f>BD8 &gt; 0</f>
        <v>0</v>
      </c>
      <c r="BF8" s="4" t="b">
        <f>F8 = "Completed"</f>
        <v>1</v>
      </c>
      <c r="BG8" s="4" t="b">
        <f>I8 = "PASS"</f>
        <v>1</v>
      </c>
      <c r="BH8" s="4" t="b">
        <f>D8 = "policy-04"</f>
        <v>0</v>
      </c>
      <c r="BI8" s="4" t="str">
        <f>IF(((AND(((BH8)=TRUE), ((BG8)=TRUE)))=TRUE),  C8,  "")</f>
      </c>
      <c r="BJ8" s="4" t="str">
        <f>_xlfn.IFNA(IF(((INDEX(Steps!G2:G18, MATCH(D8,Steps!A2:A18, 0))="")=TRUE),  "",  INDEX(Steps!G2:G18, MATCH(D8,Steps!A2:A18, 0))), "")</f>
        <v>close-automation</v>
      </c>
      <c r="BK8" s="4" t="str">
        <f>_xlfn.IFNA(IF(((INDEX(Roles!E2:E13, MATCH(BJ8,Roles!A2:A13, 0))="")=TRUE),  "",  INDEX(Roles!E2:E13, MATCH(BJ8,Roles!A2:A13, 0))), "")</f>
        <v>close-pipeline</v>
      </c>
      <c r="BL8" s="4" t="b">
        <f>E8 = BK8</f>
        <v>1</v>
      </c>
      <c r="BM8" s="4" t="b">
        <f>_xlfn.IFNA(IF(((INDEX(Steps!V2:V18, MATCH(D8,Steps!A2:A18, 0))="")=TRUE),  "",  INDEX(Steps!V2:V18, MATCH(D8,Steps!A2:A18, 0))), "")</f>
        <v>1</v>
      </c>
      <c r="BN8" s="4" t="b">
        <f>AND(((F8 = "Completed")=TRUE), ((NOT(((BM8)=TRUE)))=TRUE))</f>
        <v>0</v>
      </c>
      <c r="BO8" s="4">
        <f>COUNTIFS(IssueOccurrences!K2:K3, A8)</f>
        <v>0</v>
      </c>
      <c r="BP8" s="4" t="b">
        <f>J8 &lt;&gt; ""</f>
        <v>0</v>
      </c>
      <c r="BQ8" s="4" t="b">
        <f>AND(((I8 = "PASS")=TRUE), ((NOT(((BP8)=TRUE)))=TRUE), ((BO8 = 0)=TRUE), ((NOT(((M8)=TRUE)))=TRUE))</f>
        <v>1</v>
      </c>
      <c r="BR8" s="4" t="str">
        <f>IF(((BQ8)=TRUE),  "",  C8)</f>
      </c>
      <c r="BS8" s="4">
        <f>COUNTIFS(RequirementSatisfactions!U2:U9, A8)</f>
        <v>0</v>
      </c>
      <c r="BT8" s="6">
        <f>IF((_xlfn.IFNA(IF(((INDEX(Steps!N2:N18, MATCH(D8,Steps!A2:A18, 0))="")=TRUE),  "",  INDEX(Steps!N2:N18, MATCH(D8,Steps!A2:A18, 0))), ""))="", "", ROUND((_xlfn.IFNA(IF(((INDEX(Steps!N2:N18, MATCH(D8,Steps!A2:A18, 0))="")=TRUE),  "",  INDEX(Steps!N2:N18, MATCH(D8,Steps!A2:A18, 0))), "")), 0))</f>
        <v>0</v>
      </c>
      <c r="BU8" s="4" t="b">
        <f>BS8 &lt; BT8</f>
        <v>0</v>
      </c>
      <c r="BV8" s="4" t="str">
        <f>_xlfn.IFNA(IF(((INDEX(Agents!D2:D12, MATCH(E8,Agents!A2:A12, 0))="")=TRUE),  "",  INDEX(Agents!D2:D12, MATCH(E8,Agents!A2:A12, 0))), "")</f>
        <v>AutomatedPipeline</v>
      </c>
      <c r="BW8" s="4" t="b">
        <f>OR(((BV8 = "AIAgent")=TRUE), ((BV8 = "AutomatedPipeline")=TRUE))</f>
        <v>1</v>
      </c>
      <c r="BX8" s="4" t="b">
        <f>_xlfn.IFNA(IF(((INDEX(Steps!W2:W18, MATCH(D8,Steps!A2:A18, 0))="")=TRUE),  "",  INDEX(Steps!W2:W18, MATCH(D8,Steps!A2:A18, 0))), "")</f>
        <v>1</v>
      </c>
      <c r="BY8" s="4" t="b">
        <f>AND(((BW8)=TRUE), ((NOT(((BX8)=TRUE)))=TRUE))</f>
        <v>0</v>
      </c>
      <c r="BZ8" s="4" t="b">
        <f>_xlfn.IFNA(IF(((INDEX(Steps!X2:X18, MATCH(D8,Steps!A2:A18, 0))="")=TRUE),  "",  INDEX(Steps!X2:X18, MATCH(D8,Steps!A2:A18, 0))), "")</f>
        <v>0</v>
      </c>
      <c r="CA8" s="4" t="b">
        <f>AND(((I8 &lt;&gt; "")=TRUE), ((I8 &lt;&gt; "PENDING")=TRUE), ((I8 &lt;&gt; "FAIL")=TRUE))</f>
        <v>1</v>
      </c>
      <c r="CB8" s="4">
        <f>COUNTIFS(AgentDecisionRecords!AA2:AA4, A8)</f>
        <v>0</v>
      </c>
      <c r="CC8" s="4" t="b">
        <f>_xlfn.IFNA(IF(((INDEX(Steps!M2:M18, MATCH(D8,Steps!A2:A18, 0))="")=TRUE),  "",  INDEX(Steps!M2:M18, MATCH(D8,Steps!A2:A18, 0))), "")</f>
        <v>0</v>
      </c>
      <c r="CD8" s="4" t="b">
        <f>AND(((CC8)=TRUE), ((CB8 &gt; 0)=TRUE))</f>
        <v>0</v>
      </c>
      <c r="CE8" s="4" t="b">
        <f>AND(((F8 = "Completed")=TRUE), ((NOT(((CF8)=TRUE)))=TRUE))</f>
        <v>0</v>
      </c>
      <c r="CF8" s="4" t="b">
        <f>_xlfn.IFNA(IF(((INDEX(Steps!AC2:AC18, MATCH(D8,Steps!A2:A18, 0))="")=TRUE),  "",  INDEX(Steps!AC2:AC18, MATCH(D8,Steps!A2:A18, 0))), "")</f>
        <v>1</v>
      </c>
      <c r="CG8" s="4" t="str">
        <f>IF(((BW8)=TRUE),  D8,  "")</f>
        <v>close-07</v>
      </c>
      <c r="CH8" s="4" t="str">
        <f>_xlfn.IFNA(IF(((INDEX(Steps!AD2:AD18, MATCH(D8,Steps!A2:A18, 0))="")=TRUE),  "",  INDEX(Steps!AD2:AD18, MATCH(D8,Steps!A2:A18, 0))), "")</f>
        <v>Publication</v>
      </c>
      <c r="CI8" s="4">
        <f>COUNTIFS(RequirementSatisfactions!AC2:AC9, A8)</f>
        <v>0</v>
      </c>
      <c r="CJ8" s="4" t="b">
        <f>AND(((R8 &gt; 0)=TRUE), ((CI8 &gt;= R8)=TRUE))</f>
        <v>0</v>
      </c>
      <c r="CK8" s="4">
        <f>COUNTIFS(BindingObservations!K2:K2, A8)</f>
        <v>0</v>
      </c>
      <c r="CL8" s="4" t="b">
        <f>CK8 &gt; 0</f>
        <v>0</v>
      </c>
      <c r="CM8" s="4" t="b">
        <f>NOT(((CL8 = V8)=TRUE))</f>
        <v>0</v>
      </c>
      <c r="CN8" s="4" t="b">
        <f>OR(((AA8 &gt; 0)=TRUE), ((Q8 &gt; 0)=TRUE))</f>
        <v>0</v>
      </c>
      <c r="CO8" s="4">
        <f>AB8 + R8</f>
        <v>0</v>
      </c>
      <c r="CP8" s="4">
        <f>AA8 + Q8</f>
        <v>0</v>
      </c>
      <c r="CQ8" s="4" t="b">
        <f>CP8 = 0</f>
        <v>1</v>
      </c>
      <c r="CR8" s="4" t="b">
        <f>AND(((BQ8)=TRUE), ((CQ8)=TRUE))</f>
        <v>1</v>
      </c>
      <c r="CS8" s="4" t="b">
        <f>AND(((BQ8)=TRUE), ((CO8 &gt;= CP8)=TRUE), ((CP8 &gt; 0)=TRUE))</f>
        <v>0</v>
      </c>
      <c r="CT8" s="4" t="str">
        <f>IF(((CR8)=TRUE),  C8,  "")</f>
        <v>exec-close-2026-q2</v>
      </c>
      <c r="CU8" s="4">
        <f>COUNTIFS(VerificationOutcomes!T2:T5, A8)</f>
        <v>0</v>
      </c>
      <c r="CV8" s="4" t="b">
        <f>AND(((AB8 &gt; 0)=TRUE), ((CU8 &gt;= AB8)=TRUE))</f>
        <v>0</v>
      </c>
      <c r="CW8" s="4" t="str">
        <f>IF(((AF8)=TRUE),  C8,  "")</f>
      </c>
      <c r="CX8" s="4" t="str">
        <f>IF(((AG8)=TRUE),  C8,  "")</f>
      </c>
      <c r="CY8" s="4" t="b">
        <f>OR(((BE8)=TRUE), ((CZ8)=TRUE))</f>
        <v>1</v>
      </c>
      <c r="CZ8" s="4" t="b">
        <f>_xlfn.IFNA(IF(((INDEX(ProcedureVersions!CB2:CB4, MATCH(DA8,ProcedureVersions!A2:A4, 0))="")=TRUE),  "",  INDEX(ProcedureVersions!CB2:CB4, MATCH(DA8,ProcedureVersions!A2:A4, 0))), "")</f>
        <v>1</v>
      </c>
      <c r="DA8" s="4" t="str">
        <f>_xlfn.IFNA(IF(((INDEX(Steps!C2:C18, MATCH(D8,Steps!A2:A18, 0))="")=TRUE),  "",  INDEX(Steps!C2:C18, MATCH(D8,Steps!A2:A18, 0))), "")</f>
        <v>close-v1.1.0</v>
      </c>
      <c r="DB8" s="4" t="b">
        <f>AND(((OR(((BP8)=TRUE), ((M8)=TRUE), ((P8)=TRUE)))=TRUE), ((NOT(((CY8)=TRUE)))=TRUE))</f>
        <v>0</v>
      </c>
      <c r="DC8" s="4" t="str">
        <f>IF(((DB8)=TRUE),  C8,  "")</f>
      </c>
      <c r="DD8" s="4" t="str">
        <f>IF(((BC8)=TRUE),  C8,  "")</f>
      </c>
      <c r="DE8" s="3" t="s">
        <v>1449</v>
      </c>
    </row>
    <row r="9">
      <c r="A9" s="3" t="s">
        <v>1459</v>
      </c>
      <c r="B9" s="4" t="str">
        <f>C9 &amp; " / " &amp; D9</f>
        <v>exec-close-2026-q2 / close-08</v>
      </c>
      <c r="C9" s="3" t="s">
        <v>1339</v>
      </c>
      <c r="D9" s="3" t="s">
        <v>586</v>
      </c>
      <c r="E9" s="3" t="s">
        <v>153</v>
      </c>
      <c r="F9" s="3" t="s">
        <v>1340</v>
      </c>
      <c r="G9" s="5">
        <v>46205.791666666664</v>
      </c>
      <c r="H9" s="5">
        <v>46205.90625</v>
      </c>
      <c r="I9" s="3" t="s">
        <v>1448</v>
      </c>
      <c r="J9" s="3" t="s">
        <v>1460</v>
      </c>
      <c r="K9" s="6">
        <f>IF((IF(((H9 = "")=TRUE),  0,  IF(((OR((((H9)="")=TRUE), (((G9)="")=TRUE)))=TRUE),  0,  ((H9 - G9) * 1440))))="", "", ROUND((IF(((H9 = "")=TRUE),  0,  IF(((OR((((H9)="")=TRUE), (((G9)="")=TRUE)))=TRUE),  0,  ((H9 - G9) * 1440)))), 0))</f>
        <v>165</v>
      </c>
      <c r="L9" s="6">
        <f>IF((_xlfn.IFNA(IF(((INDEX(Steps!K2:K18, MATCH(D9,Steps!A2:A18, 0))="")=TRUE),  "",  INDEX(Steps!K2:K18, MATCH(D9,Steps!A2:A18, 0))), ""))="", "", ROUND((_xlfn.IFNA(IF(((INDEX(Steps!K2:K18, MATCH(D9,Steps!A2:A18, 0))="")=TRUE),  "",  INDEX(Steps!K2:K18, MATCH(D9,Steps!A2:A18, 0))), "")), 0))</f>
        <v>45</v>
      </c>
      <c r="M9" s="4" t="b">
        <f>K9 &gt; L9</f>
        <v>1</v>
      </c>
      <c r="N9" s="4">
        <f>COUNTIFS(RequirementSatisfactions!C2:C9, A9,RequirementSatisfactions!K2:K9, TRUE)</f>
        <v>0</v>
      </c>
      <c r="O9" s="4">
        <f>COUNTIFS(RequirementSatisfactions!L2:L9, A9)</f>
        <v>0</v>
      </c>
      <c r="P9" s="4" t="b">
        <f>AND(((F9 = "Completed")=TRUE), ((O9 &gt; 0)=TRUE))</f>
        <v>0</v>
      </c>
      <c r="Q9" s="4">
        <f>_xlfn.IFNA(IF(((INDEX(Steps!N2:N18, MATCH(D9,Steps!A2:A18, 0))="")=TRUE),  "",  INDEX(Steps!N2:N18, MATCH(D9,Steps!A2:A18, 0))), "")</f>
        <v>1</v>
      </c>
      <c r="R9" s="4">
        <f>COUNTIFS(RequirementSatisfactions!M2:M9, A9)</f>
        <v>1</v>
      </c>
      <c r="S9" s="4">
        <f>Q9 - R9</f>
        <v>0</v>
      </c>
      <c r="T9" s="4" t="b">
        <f>S9 &gt; 0</f>
        <v>0</v>
      </c>
      <c r="U9" s="4">
        <f>_xlfn.IFNA(IF(((INDEX(Steps!P2:P18, MATCH(D9,Steps!A2:A18, 0))="")=TRUE),  "",  INDEX(Steps!P2:P18, MATCH(D9,Steps!A2:A18, 0))), "")</f>
        <v>0</v>
      </c>
      <c r="V9" s="4" t="b">
        <f>U9 &gt; 0</f>
        <v>0</v>
      </c>
      <c r="W9" s="4" t="b">
        <f>J9 &lt;&gt; ""</f>
        <v>1</v>
      </c>
      <c r="X9" s="4" t="b">
        <f>AND(((M9)=TRUE), ((NOT(((W9)=TRUE)))=TRUE))</f>
        <v>0</v>
      </c>
      <c r="Y9" s="4">
        <f>_xlfn.IFNA(IF(((INDEX(Steps!Q2:Q18, MATCH(D9,Steps!A2:A18, 0))="")=TRUE),  "",  INDEX(Steps!Q2:Q18, MATCH(D9,Steps!A2:A18, 0))), "")</f>
        <v>0</v>
      </c>
      <c r="Z9" s="4" t="b">
        <f>AND(((X9)=TRUE), ((Y9 &gt; 0)=TRUE))</f>
        <v>0</v>
      </c>
      <c r="AA9" s="4">
        <f>_xlfn.IFNA(IF(((INDEX(Steps!R2:R18, MATCH(D9,Steps!A2:A18, 0))="")=TRUE),  "",  INDEX(Steps!R2:R18, MATCH(D9,Steps!A2:A18, 0))), "")</f>
        <v>0</v>
      </c>
      <c r="AB9" s="4">
        <f>COUNTIFS(VerificationOutcomes!C2:C5, A9)</f>
        <v>0</v>
      </c>
      <c r="AC9" s="4">
        <f>AA9 - AB9</f>
        <v>0</v>
      </c>
      <c r="AD9" s="4" t="b">
        <f>AC9 &gt; 0</f>
        <v>0</v>
      </c>
      <c r="AE9" s="4" t="b">
        <f>AND(((I9 = "PASS")=TRUE), ((AD9)=TRUE))</f>
        <v>0</v>
      </c>
      <c r="AF9" s="4" t="b">
        <f>_xlfn.IFNA(IF(((INDEX(Steps!S2:S18, MATCH(D9,Steps!A2:A18, 0))="")=TRUE),  "",  INDEX(Steps!S2:S18, MATCH(D9,Steps!A2:A18, 0))), "")</f>
        <v>0</v>
      </c>
      <c r="AG9" s="4" t="b">
        <f>_xlfn.IFNA(IF(((INDEX(Steps!T2:T18, MATCH(D9,Steps!A2:A18, 0))="")=TRUE),  "",  INDEX(Steps!T2:T18, MATCH(D9,Steps!A2:A18, 0))), "")</f>
        <v>0</v>
      </c>
      <c r="AH9" s="4" t="str">
        <f>IF(((AF9)=TRUE),  C9 &amp; "|" &amp; E9,  "")</f>
      </c>
      <c r="AI9" s="4" t="str">
        <f>IF(((AG9)=TRUE),  C9 &amp; "|" &amp; E9,  "")</f>
      </c>
      <c r="AJ9" s="4">
        <f>COUNTIFS(AH2:AH13, AI9)</f>
        <v>10</v>
      </c>
      <c r="AK9" s="4" t="b">
        <f>AND(((AG9)=TRUE), ((AJ9 &gt; 0)=TRUE))</f>
        <v>0</v>
      </c>
      <c r="AL9" s="4" t="str">
        <f>_xlfn.IFNA(IF(((INDEX(Steps!G2:G18, MATCH(D9,Steps!A2:A18, 0))="")=TRUE),  "",  INDEX(Steps!G2:G18, MATCH(D9,Steps!A2:A18, 0))), "")</f>
        <v>process-steward</v>
      </c>
      <c r="AM9" s="4" t="str">
        <f>E9 &amp; "|" &amp; AL9</f>
        <v>elena-garcia|process-steward</v>
      </c>
      <c r="AN9" s="4">
        <f>COUNTIFS(RoleAssignments!N2:N14, AM9)</f>
        <v>1</v>
      </c>
      <c r="AO9" s="4" t="b">
        <f>AN9 &gt; 0</f>
        <v>1</v>
      </c>
      <c r="AP9" s="4" t="b">
        <f>AND(((AG9)=TRUE), ((NOT(((AO9)=TRUE)))=TRUE))</f>
        <v>0</v>
      </c>
      <c r="AQ9" s="4" t="str">
        <f>IF(((F9 = "Completed")=TRUE),  C9,  "")</f>
        <v>exec-close-2026-q2</v>
      </c>
      <c r="AR9" s="4" t="str">
        <f>IF(((OR(((P9)=TRUE), ((AK9)=TRUE), ((AP9)=TRUE), ((AE9)=TRUE)))=TRUE),  C9,  "")</f>
      </c>
      <c r="AS9" s="4" t="str">
        <f>IF(((M9)=TRUE),  C9,  "")</f>
        <v>exec-close-2026-q2</v>
      </c>
      <c r="AT9" s="4" t="str">
        <f>_xlfn.IFNA(IF(((INDEX(Agents!D2:D12, MATCH(E9,Agents!A2:A12, 0))="")=TRUE),  "",  INDEX(Agents!D2:D12, MATCH(E9,Agents!A2:A12, 0))), "")</f>
        <v>Human</v>
      </c>
      <c r="AU9" s="4" t="b">
        <f>AT9 = "Human"</f>
        <v>1</v>
      </c>
      <c r="AV9" s="4" t="b">
        <f>_xlfn.IFNA(IF(((INDEX(Steps!M2:M18, MATCH(D9,Steps!A2:A18, 0))="")=TRUE),  "",  INDEX(Steps!M2:M18, MATCH(D9,Steps!A2:A18, 0))), "")</f>
        <v>0</v>
      </c>
      <c r="AW9" s="4" t="b">
        <f>AND(((AV9)=TRUE), ((NOT(((AU9)=TRUE)))=TRUE))</f>
        <v>0</v>
      </c>
      <c r="AX9" s="4" t="b">
        <f>AND(((AG9)=TRUE), ((NOT(((AU9)=TRUE)))=TRUE))</f>
        <v>0</v>
      </c>
      <c r="AY9" s="4" t="str">
        <f>IF(((T9)=TRUE),  C9,  "")</f>
      </c>
      <c r="AZ9" s="4" t="str">
        <f>IF(((AK9)=TRUE),  C9,  "")</f>
      </c>
      <c r="BA9" s="4">
        <f>COUNTIFS(VerificationOutcomes!P2:P5, A9)</f>
        <v>0</v>
      </c>
      <c r="BB9" s="4">
        <f>COUNTIFS(VerificationOutcomes!Q2:Q5, A9)</f>
        <v>0</v>
      </c>
      <c r="BC9" s="4" t="b">
        <f>AND(((AG9)=TRUE), ((OR(((BA9 &gt; 0)=TRUE), ((AD9)=TRUE)))=TRUE))</f>
        <v>0</v>
      </c>
      <c r="BD9" s="4">
        <f>COUNTIFS(ExceptionInvocations!C2:C2, A9)</f>
        <v>0</v>
      </c>
      <c r="BE9" s="4" t="b">
        <f>BD9 &gt; 0</f>
        <v>0</v>
      </c>
      <c r="BF9" s="4" t="b">
        <f>F9 = "Completed"</f>
        <v>1</v>
      </c>
      <c r="BG9" s="4" t="b">
        <f>I9 = "PASS"</f>
        <v>1</v>
      </c>
      <c r="BH9" s="4" t="b">
        <f>D9 = "policy-04"</f>
        <v>0</v>
      </c>
      <c r="BI9" s="4" t="str">
        <f>IF(((AND(((BH9)=TRUE), ((BG9)=TRUE)))=TRUE),  C9,  "")</f>
      </c>
      <c r="BJ9" s="4" t="str">
        <f>_xlfn.IFNA(IF(((INDEX(Steps!G2:G18, MATCH(D9,Steps!A2:A18, 0))="")=TRUE),  "",  INDEX(Steps!G2:G18, MATCH(D9,Steps!A2:A18, 0))), "")</f>
        <v>process-steward</v>
      </c>
      <c r="BK9" s="4" t="str">
        <f>_xlfn.IFNA(IF(((INDEX(Roles!E2:E13, MATCH(BJ9,Roles!A2:A13, 0))="")=TRUE),  "",  INDEX(Roles!E2:E13, MATCH(BJ9,Roles!A2:A13, 0))), "")</f>
        <v>elena-garcia</v>
      </c>
      <c r="BL9" s="4" t="b">
        <f>E9 = BK9</f>
        <v>1</v>
      </c>
      <c r="BM9" s="4" t="b">
        <f>_xlfn.IFNA(IF(((INDEX(Steps!V2:V18, MATCH(D9,Steps!A2:A18, 0))="")=TRUE),  "",  INDEX(Steps!V2:V18, MATCH(D9,Steps!A2:A18, 0))), "")</f>
        <v>1</v>
      </c>
      <c r="BN9" s="4" t="b">
        <f>AND(((F9 = "Completed")=TRUE), ((NOT(((BM9)=TRUE)))=TRUE))</f>
        <v>0</v>
      </c>
      <c r="BO9" s="4">
        <f>COUNTIFS(IssueOccurrences!K2:K3, A9)</f>
        <v>0</v>
      </c>
      <c r="BP9" s="4" t="b">
        <f>J9 &lt;&gt; ""</f>
        <v>1</v>
      </c>
      <c r="BQ9" s="4" t="b">
        <f>AND(((I9 = "PASS")=TRUE), ((NOT(((BP9)=TRUE)))=TRUE), ((BO9 = 0)=TRUE), ((NOT(((M9)=TRUE)))=TRUE))</f>
        <v>0</v>
      </c>
      <c r="BR9" s="4" t="str">
        <f>IF(((BQ9)=TRUE),  "",  C9)</f>
        <v>exec-close-2026-q2</v>
      </c>
      <c r="BS9" s="4">
        <f>COUNTIFS(RequirementSatisfactions!U2:U9, A9)</f>
        <v>1</v>
      </c>
      <c r="BT9" s="6">
        <f>IF((_xlfn.IFNA(IF(((INDEX(Steps!N2:N18, MATCH(D9,Steps!A2:A18, 0))="")=TRUE),  "",  INDEX(Steps!N2:N18, MATCH(D9,Steps!A2:A18, 0))), ""))="", "", ROUND((_xlfn.IFNA(IF(((INDEX(Steps!N2:N18, MATCH(D9,Steps!A2:A18, 0))="")=TRUE),  "",  INDEX(Steps!N2:N18, MATCH(D9,Steps!A2:A18, 0))), "")), 0))</f>
        <v>1</v>
      </c>
      <c r="BU9" s="4" t="b">
        <f>BS9 &lt; BT9</f>
        <v>0</v>
      </c>
      <c r="BV9" s="4" t="str">
        <f>_xlfn.IFNA(IF(((INDEX(Agents!D2:D12, MATCH(E9,Agents!A2:A12, 0))="")=TRUE),  "",  INDEX(Agents!D2:D12, MATCH(E9,Agents!A2:A12, 0))), "")</f>
        <v>Human</v>
      </c>
      <c r="BW9" s="4" t="b">
        <f>OR(((BV9 = "AIAgent")=TRUE), ((BV9 = "AutomatedPipeline")=TRUE))</f>
        <v>0</v>
      </c>
      <c r="BX9" s="4" t="b">
        <f>_xlfn.IFNA(IF(((INDEX(Steps!W2:W18, MATCH(D9,Steps!A2:A18, 0))="")=TRUE),  "",  INDEX(Steps!W2:W18, MATCH(D9,Steps!A2:A18, 0))), "")</f>
        <v>0</v>
      </c>
      <c r="BY9" s="4" t="b">
        <f>AND(((BW9)=TRUE), ((NOT(((BX9)=TRUE)))=TRUE))</f>
        <v>0</v>
      </c>
      <c r="BZ9" s="4" t="b">
        <f>_xlfn.IFNA(IF(((INDEX(Steps!X2:X18, MATCH(D9,Steps!A2:A18, 0))="")=TRUE),  "",  INDEX(Steps!X2:X18, MATCH(D9,Steps!A2:A18, 0))), "")</f>
        <v>0</v>
      </c>
      <c r="CA9" s="4" t="b">
        <f>AND(((I9 &lt;&gt; "")=TRUE), ((I9 &lt;&gt; "PENDING")=TRUE), ((I9 &lt;&gt; "FAIL")=TRUE))</f>
        <v>1</v>
      </c>
      <c r="CB9" s="4">
        <f>COUNTIFS(AgentDecisionRecords!AA2:AA4, A9)</f>
        <v>0</v>
      </c>
      <c r="CC9" s="4" t="b">
        <f>_xlfn.IFNA(IF(((INDEX(Steps!M2:M18, MATCH(D9,Steps!A2:A18, 0))="")=TRUE),  "",  INDEX(Steps!M2:M18, MATCH(D9,Steps!A2:A18, 0))), "")</f>
        <v>0</v>
      </c>
      <c r="CD9" s="4" t="b">
        <f>AND(((CC9)=TRUE), ((CB9 &gt; 0)=TRUE))</f>
        <v>0</v>
      </c>
      <c r="CE9" s="4" t="b">
        <f>AND(((F9 = "Completed")=TRUE), ((NOT(((CF9)=TRUE)))=TRUE))</f>
        <v>0</v>
      </c>
      <c r="CF9" s="4" t="b">
        <f>_xlfn.IFNA(IF(((INDEX(Steps!AC2:AC18, MATCH(D9,Steps!A2:A18, 0))="")=TRUE),  "",  INDEX(Steps!AC2:AC18, MATCH(D9,Steps!A2:A18, 0))), "")</f>
        <v>1</v>
      </c>
      <c r="CG9" s="4" t="str">
        <f>IF(((BW9)=TRUE),  D9,  "")</f>
      </c>
      <c r="CH9" s="4" t="str">
        <f>_xlfn.IFNA(IF(((INDEX(Steps!AD2:AD18, MATCH(D9,Steps!A2:A18, 0))="")=TRUE),  "",  INDEX(Steps!AD2:AD18, MATCH(D9,Steps!A2:A18, 0))), "")</f>
        <v>Retrospective</v>
      </c>
      <c r="CI9" s="4">
        <f>COUNTIFS(RequirementSatisfactions!AC2:AC9, A9)</f>
        <v>0</v>
      </c>
      <c r="CJ9" s="4" t="b">
        <f>AND(((R9 &gt; 0)=TRUE), ((CI9 &gt;= R9)=TRUE))</f>
        <v>0</v>
      </c>
      <c r="CK9" s="4">
        <f>COUNTIFS(BindingObservations!K2:K2, A9)</f>
        <v>0</v>
      </c>
      <c r="CL9" s="4" t="b">
        <f>CK9 &gt; 0</f>
        <v>0</v>
      </c>
      <c r="CM9" s="4" t="b">
        <f>NOT(((CL9 = V9)=TRUE))</f>
        <v>0</v>
      </c>
      <c r="CN9" s="4" t="b">
        <f>OR(((AA9 &gt; 0)=TRUE), ((Q9 &gt; 0)=TRUE))</f>
        <v>1</v>
      </c>
      <c r="CO9" s="4">
        <f>AB9 + R9</f>
        <v>1</v>
      </c>
      <c r="CP9" s="4">
        <f>AA9 + Q9</f>
        <v>1</v>
      </c>
      <c r="CQ9" s="4" t="b">
        <f>CP9 = 0</f>
        <v>0</v>
      </c>
      <c r="CR9" s="4" t="b">
        <f>AND(((BQ9)=TRUE), ((CQ9)=TRUE))</f>
        <v>0</v>
      </c>
      <c r="CS9" s="4" t="b">
        <f>AND(((BQ9)=TRUE), ((CO9 &gt;= CP9)=TRUE), ((CP9 &gt; 0)=TRUE))</f>
        <v>0</v>
      </c>
      <c r="CT9" s="4" t="str">
        <f>IF(((CR9)=TRUE),  C9,  "")</f>
      </c>
      <c r="CU9" s="4">
        <f>COUNTIFS(VerificationOutcomes!T2:T5, A9)</f>
        <v>0</v>
      </c>
      <c r="CV9" s="4" t="b">
        <f>AND(((AB9 &gt; 0)=TRUE), ((CU9 &gt;= AB9)=TRUE))</f>
        <v>0</v>
      </c>
      <c r="CW9" s="4" t="str">
        <f>IF(((AF9)=TRUE),  C9,  "")</f>
      </c>
      <c r="CX9" s="4" t="str">
        <f>IF(((AG9)=TRUE),  C9,  "")</f>
      </c>
      <c r="CY9" s="4" t="b">
        <f>OR(((BE9)=TRUE), ((CZ9)=TRUE))</f>
        <v>1</v>
      </c>
      <c r="CZ9" s="4" t="b">
        <f>_xlfn.IFNA(IF(((INDEX(ProcedureVersions!CB2:CB4, MATCH(DA9,ProcedureVersions!A2:A4, 0))="")=TRUE),  "",  INDEX(ProcedureVersions!CB2:CB4, MATCH(DA9,ProcedureVersions!A2:A4, 0))), "")</f>
        <v>1</v>
      </c>
      <c r="DA9" s="4" t="str">
        <f>_xlfn.IFNA(IF(((INDEX(Steps!C2:C18, MATCH(D9,Steps!A2:A18, 0))="")=TRUE),  "",  INDEX(Steps!C2:C18, MATCH(D9,Steps!A2:A18, 0))), "")</f>
        <v>close-v1.1.0</v>
      </c>
      <c r="DB9" s="4" t="b">
        <f>AND(((OR(((BP9)=TRUE), ((M9)=TRUE), ((P9)=TRUE)))=TRUE), ((NOT(((CY9)=TRUE)))=TRUE))</f>
        <v>0</v>
      </c>
      <c r="DC9" s="4" t="str">
        <f>IF(((DB9)=TRUE),  C9,  "")</f>
      </c>
      <c r="DD9" s="4" t="str">
        <f>IF(((BC9)=TRUE),  C9,  "")</f>
      </c>
      <c r="DE9" s="3" t="s">
        <v>1449</v>
      </c>
    </row>
    <row r="10">
      <c r="A10" s="3" t="s">
        <v>1461</v>
      </c>
      <c r="B10" s="4" t="str">
        <f>C10 &amp; " / " &amp; D10</f>
        <v>exec-policy-hr4821 / policy-01</v>
      </c>
      <c r="C10" s="3" t="s">
        <v>1344</v>
      </c>
      <c r="D10" s="3" t="s">
        <v>591</v>
      </c>
      <c r="E10" s="3" t="s">
        <v>153</v>
      </c>
      <c r="F10" s="3" t="s">
        <v>1340</v>
      </c>
      <c r="G10" s="5">
        <v>46221.583333333336</v>
      </c>
      <c r="H10" s="5">
        <v>46221.6</v>
      </c>
      <c r="I10" s="3" t="s">
        <v>1448</v>
      </c>
      <c r="J10" s="3" t="s">
        <v>168</v>
      </c>
      <c r="K10" s="6">
        <f>IF((IF(((H10 = "")=TRUE),  0,  IF(((OR((((H10)="")=TRUE), (((G10)="")=TRUE)))=TRUE),  0,  ((H10 - G10) * 1440))))="", "", ROUND((IF(((H10 = "")=TRUE),  0,  IF(((OR((((H10)="")=TRUE), (((G10)="")=TRUE)))=TRUE),  0,  ((H10 - G10) * 1440)))), 0))</f>
        <v>24</v>
      </c>
      <c r="L10" s="6">
        <f>IF((_xlfn.IFNA(IF(((INDEX(Steps!K2:K18, MATCH(D10,Steps!A2:A18, 0))="")=TRUE),  "",  INDEX(Steps!K2:K18, MATCH(D10,Steps!A2:A18, 0))), ""))="", "", ROUND((_xlfn.IFNA(IF(((INDEX(Steps!K2:K18, MATCH(D10,Steps!A2:A18, 0))="")=TRUE),  "",  INDEX(Steps!K2:K18, MATCH(D10,Steps!A2:A18, 0))), "")), 0))</f>
        <v>30</v>
      </c>
      <c r="M10" s="4" t="b">
        <f>K10 &gt; L10</f>
        <v>0</v>
      </c>
      <c r="N10" s="4">
        <f>COUNTIFS(RequirementSatisfactions!C2:C9, A10,RequirementSatisfactions!K2:K9, TRUE)</f>
        <v>0</v>
      </c>
      <c r="O10" s="4">
        <f>COUNTIFS(RequirementSatisfactions!L2:L9, A10)</f>
        <v>0</v>
      </c>
      <c r="P10" s="4" t="b">
        <f>AND(((F10 = "Completed")=TRUE), ((O10 &gt; 0)=TRUE))</f>
        <v>0</v>
      </c>
      <c r="Q10" s="4">
        <f>_xlfn.IFNA(IF(((INDEX(Steps!N2:N18, MATCH(D10,Steps!A2:A18, 0))="")=TRUE),  "",  INDEX(Steps!N2:N18, MATCH(D10,Steps!A2:A18, 0))), "")</f>
        <v>0</v>
      </c>
      <c r="R10" s="4">
        <f>COUNTIFS(RequirementSatisfactions!M2:M9, A10)</f>
        <v>0</v>
      </c>
      <c r="S10" s="4">
        <f>Q10 - R10</f>
        <v>0</v>
      </c>
      <c r="T10" s="4" t="b">
        <f>S10 &gt; 0</f>
        <v>0</v>
      </c>
      <c r="U10" s="4">
        <f>_xlfn.IFNA(IF(((INDEX(Steps!P2:P18, MATCH(D10,Steps!A2:A18, 0))="")=TRUE),  "",  INDEX(Steps!P2:P18, MATCH(D10,Steps!A2:A18, 0))), "")</f>
        <v>1</v>
      </c>
      <c r="V10" s="4" t="b">
        <f>U10 &gt; 0</f>
        <v>1</v>
      </c>
      <c r="W10" s="4" t="b">
        <f>J10 &lt;&gt; ""</f>
        <v>0</v>
      </c>
      <c r="X10" s="4" t="b">
        <f>AND(((M10)=TRUE), ((NOT(((W10)=TRUE)))=TRUE))</f>
        <v>0</v>
      </c>
      <c r="Y10" s="4">
        <f>_xlfn.IFNA(IF(((INDEX(Steps!Q2:Q18, MATCH(D10,Steps!A2:A18, 0))="")=TRUE),  "",  INDEX(Steps!Q2:Q18, MATCH(D10,Steps!A2:A18, 0))), "")</f>
        <v>0</v>
      </c>
      <c r="Z10" s="4" t="b">
        <f>AND(((X10)=TRUE), ((Y10 &gt; 0)=TRUE))</f>
        <v>0</v>
      </c>
      <c r="AA10" s="4">
        <f>_xlfn.IFNA(IF(((INDEX(Steps!R2:R18, MATCH(D10,Steps!A2:A18, 0))="")=TRUE),  "",  INDEX(Steps!R2:R18, MATCH(D10,Steps!A2:A18, 0))), "")</f>
        <v>0</v>
      </c>
      <c r="AB10" s="4">
        <f>COUNTIFS(VerificationOutcomes!C2:C5, A10)</f>
        <v>0</v>
      </c>
      <c r="AC10" s="4">
        <f>AA10 - AB10</f>
        <v>0</v>
      </c>
      <c r="AD10" s="4" t="b">
        <f>AC10 &gt; 0</f>
        <v>0</v>
      </c>
      <c r="AE10" s="4" t="b">
        <f>AND(((I10 = "PASS")=TRUE), ((AD10)=TRUE))</f>
        <v>0</v>
      </c>
      <c r="AF10" s="4" t="b">
        <f>_xlfn.IFNA(IF(((INDEX(Steps!S2:S18, MATCH(D10,Steps!A2:A18, 0))="")=TRUE),  "",  INDEX(Steps!S2:S18, MATCH(D10,Steps!A2:A18, 0))), "")</f>
        <v>0</v>
      </c>
      <c r="AG10" s="4" t="b">
        <f>_xlfn.IFNA(IF(((INDEX(Steps!T2:T18, MATCH(D10,Steps!A2:A18, 0))="")=TRUE),  "",  INDEX(Steps!T2:T18, MATCH(D10,Steps!A2:A18, 0))), "")</f>
        <v>0</v>
      </c>
      <c r="AH10" s="4" t="str">
        <f>IF(((AF10)=TRUE),  C10 &amp; "|" &amp; E10,  "")</f>
      </c>
      <c r="AI10" s="4" t="str">
        <f>IF(((AG10)=TRUE),  C10 &amp; "|" &amp; E10,  "")</f>
      </c>
      <c r="AJ10" s="4">
        <f>COUNTIFS(AH2:AH13, AI10)</f>
        <v>10</v>
      </c>
      <c r="AK10" s="4" t="b">
        <f>AND(((AG10)=TRUE), ((AJ10 &gt; 0)=TRUE))</f>
        <v>0</v>
      </c>
      <c r="AL10" s="4" t="str">
        <f>_xlfn.IFNA(IF(((INDEX(Steps!G2:G18, MATCH(D10,Steps!A2:A18, 0))="")=TRUE),  "",  INDEX(Steps!G2:G18, MATCH(D10,Steps!A2:A18, 0))), "")</f>
        <v>hr-policy-owner</v>
      </c>
      <c r="AM10" s="4" t="str">
        <f>E10 &amp; "|" &amp; AL10</f>
        <v>elena-garcia|hr-policy-owner</v>
      </c>
      <c r="AN10" s="4">
        <f>COUNTIFS(RoleAssignments!N2:N14, AM10)</f>
        <v>1</v>
      </c>
      <c r="AO10" s="4" t="b">
        <f>AN10 &gt; 0</f>
        <v>1</v>
      </c>
      <c r="AP10" s="4" t="b">
        <f>AND(((AG10)=TRUE), ((NOT(((AO10)=TRUE)))=TRUE))</f>
        <v>0</v>
      </c>
      <c r="AQ10" s="4" t="str">
        <f>IF(((F10 = "Completed")=TRUE),  C10,  "")</f>
        <v>exec-policy-hr4821</v>
      </c>
      <c r="AR10" s="4" t="str">
        <f>IF(((OR(((P10)=TRUE), ((AK10)=TRUE), ((AP10)=TRUE), ((AE10)=TRUE)))=TRUE),  C10,  "")</f>
      </c>
      <c r="AS10" s="4" t="str">
        <f>IF(((M10)=TRUE),  C10,  "")</f>
      </c>
      <c r="AT10" s="4" t="str">
        <f>_xlfn.IFNA(IF(((INDEX(Agents!D2:D12, MATCH(E10,Agents!A2:A12, 0))="")=TRUE),  "",  INDEX(Agents!D2:D12, MATCH(E10,Agents!A2:A12, 0))), "")</f>
        <v>Human</v>
      </c>
      <c r="AU10" s="4" t="b">
        <f>AT10 = "Human"</f>
        <v>1</v>
      </c>
      <c r="AV10" s="4" t="b">
        <f>_xlfn.IFNA(IF(((INDEX(Steps!M2:M18, MATCH(D10,Steps!A2:A18, 0))="")=TRUE),  "",  INDEX(Steps!M2:M18, MATCH(D10,Steps!A2:A18, 0))), "")</f>
        <v>0</v>
      </c>
      <c r="AW10" s="4" t="b">
        <f>AND(((AV10)=TRUE), ((NOT(((AU10)=TRUE)))=TRUE))</f>
        <v>0</v>
      </c>
      <c r="AX10" s="4" t="b">
        <f>AND(((AG10)=TRUE), ((NOT(((AU10)=TRUE)))=TRUE))</f>
        <v>0</v>
      </c>
      <c r="AY10" s="4" t="str">
        <f>IF(((T10)=TRUE),  C10,  "")</f>
      </c>
      <c r="AZ10" s="4" t="str">
        <f>IF(((AK10)=TRUE),  C10,  "")</f>
      </c>
      <c r="BA10" s="4">
        <f>COUNTIFS(VerificationOutcomes!P2:P5, A10)</f>
        <v>0</v>
      </c>
      <c r="BB10" s="4">
        <f>COUNTIFS(VerificationOutcomes!Q2:Q5, A10)</f>
        <v>0</v>
      </c>
      <c r="BC10" s="4" t="b">
        <f>AND(((AG10)=TRUE), ((OR(((BA10 &gt; 0)=TRUE), ((AD10)=TRUE)))=TRUE))</f>
        <v>0</v>
      </c>
      <c r="BD10" s="4">
        <f>COUNTIFS(ExceptionInvocations!C2:C2, A10)</f>
        <v>0</v>
      </c>
      <c r="BE10" s="4" t="b">
        <f>BD10 &gt; 0</f>
        <v>0</v>
      </c>
      <c r="BF10" s="4" t="b">
        <f>F10 = "Completed"</f>
        <v>1</v>
      </c>
      <c r="BG10" s="4" t="b">
        <f>I10 = "PASS"</f>
        <v>1</v>
      </c>
      <c r="BH10" s="4" t="b">
        <f>D10 = "policy-04"</f>
        <v>0</v>
      </c>
      <c r="BI10" s="4" t="str">
        <f>IF(((AND(((BH10)=TRUE), ((BG10)=TRUE)))=TRUE),  C10,  "")</f>
      </c>
      <c r="BJ10" s="4" t="str">
        <f>_xlfn.IFNA(IF(((INDEX(Steps!G2:G18, MATCH(D10,Steps!A2:A18, 0))="")=TRUE),  "",  INDEX(Steps!G2:G18, MATCH(D10,Steps!A2:A18, 0))), "")</f>
        <v>hr-policy-owner</v>
      </c>
      <c r="BK10" s="4" t="str">
        <f>_xlfn.IFNA(IF(((INDEX(Roles!E2:E13, MATCH(BJ10,Roles!A2:A13, 0))="")=TRUE),  "",  INDEX(Roles!E2:E13, MATCH(BJ10,Roles!A2:A13, 0))), "")</f>
        <v>elena-garcia</v>
      </c>
      <c r="BL10" s="4" t="b">
        <f>E10 = BK10</f>
        <v>1</v>
      </c>
      <c r="BM10" s="4" t="b">
        <f>_xlfn.IFNA(IF(((INDEX(Steps!V2:V18, MATCH(D10,Steps!A2:A18, 0))="")=TRUE),  "",  INDEX(Steps!V2:V18, MATCH(D10,Steps!A2:A18, 0))), "")</f>
        <v>0</v>
      </c>
      <c r="BN10" s="4" t="b">
        <f>AND(((F10 = "Completed")=TRUE), ((NOT(((BM10)=TRUE)))=TRUE))</f>
        <v>1</v>
      </c>
      <c r="BO10" s="4">
        <f>COUNTIFS(IssueOccurrences!K2:K3, A10)</f>
        <v>0</v>
      </c>
      <c r="BP10" s="4" t="b">
        <f>J10 &lt;&gt; ""</f>
        <v>0</v>
      </c>
      <c r="BQ10" s="4" t="b">
        <f>AND(((I10 = "PASS")=TRUE), ((NOT(((BP10)=TRUE)))=TRUE), ((BO10 = 0)=TRUE), ((NOT(((M10)=TRUE)))=TRUE))</f>
        <v>1</v>
      </c>
      <c r="BR10" s="4" t="str">
        <f>IF(((BQ10)=TRUE),  "",  C10)</f>
      </c>
      <c r="BS10" s="4">
        <f>COUNTIFS(RequirementSatisfactions!U2:U9, A10)</f>
        <v>0</v>
      </c>
      <c r="BT10" s="6">
        <f>IF((_xlfn.IFNA(IF(((INDEX(Steps!N2:N18, MATCH(D10,Steps!A2:A18, 0))="")=TRUE),  "",  INDEX(Steps!N2:N18, MATCH(D10,Steps!A2:A18, 0))), ""))="", "", ROUND((_xlfn.IFNA(IF(((INDEX(Steps!N2:N18, MATCH(D10,Steps!A2:A18, 0))="")=TRUE),  "",  INDEX(Steps!N2:N18, MATCH(D10,Steps!A2:A18, 0))), "")), 0))</f>
        <v>0</v>
      </c>
      <c r="BU10" s="4" t="b">
        <f>BS10 &lt; BT10</f>
        <v>0</v>
      </c>
      <c r="BV10" s="4" t="str">
        <f>_xlfn.IFNA(IF(((INDEX(Agents!D2:D12, MATCH(E10,Agents!A2:A12, 0))="")=TRUE),  "",  INDEX(Agents!D2:D12, MATCH(E10,Agents!A2:A12, 0))), "")</f>
        <v>Human</v>
      </c>
      <c r="BW10" s="4" t="b">
        <f>OR(((BV10 = "AIAgent")=TRUE), ((BV10 = "AutomatedPipeline")=TRUE))</f>
        <v>0</v>
      </c>
      <c r="BX10" s="4" t="b">
        <f>_xlfn.IFNA(IF(((INDEX(Steps!W2:W18, MATCH(D10,Steps!A2:A18, 0))="")=TRUE),  "",  INDEX(Steps!W2:W18, MATCH(D10,Steps!A2:A18, 0))), "")</f>
        <v>0</v>
      </c>
      <c r="BY10" s="4" t="b">
        <f>AND(((BW10)=TRUE), ((NOT(((BX10)=TRUE)))=TRUE))</f>
        <v>0</v>
      </c>
      <c r="BZ10" s="4" t="b">
        <f>_xlfn.IFNA(IF(((INDEX(Steps!X2:X18, MATCH(D10,Steps!A2:A18, 0))="")=TRUE),  "",  INDEX(Steps!X2:X18, MATCH(D10,Steps!A2:A18, 0))), "")</f>
        <v>0</v>
      </c>
      <c r="CA10" s="4" t="b">
        <f>AND(((I10 &lt;&gt; "")=TRUE), ((I10 &lt;&gt; "PENDING")=TRUE), ((I10 &lt;&gt; "FAIL")=TRUE))</f>
        <v>1</v>
      </c>
      <c r="CB10" s="4">
        <f>COUNTIFS(AgentDecisionRecords!AA2:AA4, A10)</f>
        <v>0</v>
      </c>
      <c r="CC10" s="4" t="b">
        <f>_xlfn.IFNA(IF(((INDEX(Steps!M2:M18, MATCH(D10,Steps!A2:A18, 0))="")=TRUE),  "",  INDEX(Steps!M2:M18, MATCH(D10,Steps!A2:A18, 0))), "")</f>
        <v>0</v>
      </c>
      <c r="CD10" s="4" t="b">
        <f>AND(((CC10)=TRUE), ((CB10 &gt; 0)=TRUE))</f>
        <v>0</v>
      </c>
      <c r="CE10" s="4" t="b">
        <f>AND(((F10 = "Completed")=TRUE), ((NOT(((CF10)=TRUE)))=TRUE))</f>
        <v>1</v>
      </c>
      <c r="CF10" s="4" t="b">
        <f>_xlfn.IFNA(IF(((INDEX(Steps!AC2:AC18, MATCH(D10,Steps!A2:A18, 0))="")=TRUE),  "",  INDEX(Steps!AC2:AC18, MATCH(D10,Steps!A2:A18, 0))), "")</f>
        <v>0</v>
      </c>
      <c r="CG10" s="4" t="str">
        <f>IF(((BW10)=TRUE),  D10,  "")</f>
      </c>
      <c r="CH10" s="4" t="str">
        <f>_xlfn.IFNA(IF(((INDEX(Steps!AD2:AD18, MATCH(D10,Steps!A2:A18, 0))="")=TRUE),  "",  INDEX(Steps!AD2:AD18, MATCH(D10,Steps!A2:A18, 0))), "")</f>
        <v>Preparation</v>
      </c>
      <c r="CI10" s="4">
        <f>COUNTIFS(RequirementSatisfactions!AC2:AC9, A10)</f>
        <v>0</v>
      </c>
      <c r="CJ10" s="4" t="b">
        <f>AND(((R10 &gt; 0)=TRUE), ((CI10 &gt;= R10)=TRUE))</f>
        <v>0</v>
      </c>
      <c r="CK10" s="4">
        <f>COUNTIFS(BindingObservations!K2:K2, A10)</f>
        <v>0</v>
      </c>
      <c r="CL10" s="4" t="b">
        <f>CK10 &gt; 0</f>
        <v>0</v>
      </c>
      <c r="CM10" s="4" t="b">
        <f>NOT(((CL10 = V10)=TRUE))</f>
        <v>1</v>
      </c>
      <c r="CN10" s="4" t="b">
        <f>OR(((AA10 &gt; 0)=TRUE), ((Q10 &gt; 0)=TRUE))</f>
        <v>0</v>
      </c>
      <c r="CO10" s="4">
        <f>AB10 + R10</f>
        <v>0</v>
      </c>
      <c r="CP10" s="4">
        <f>AA10 + Q10</f>
        <v>0</v>
      </c>
      <c r="CQ10" s="4" t="b">
        <f>CP10 = 0</f>
        <v>1</v>
      </c>
      <c r="CR10" s="4" t="b">
        <f>AND(((BQ10)=TRUE), ((CQ10)=TRUE))</f>
        <v>1</v>
      </c>
      <c r="CS10" s="4" t="b">
        <f>AND(((BQ10)=TRUE), ((CO10 &gt;= CP10)=TRUE), ((CP10 &gt; 0)=TRUE))</f>
        <v>0</v>
      </c>
      <c r="CT10" s="4" t="str">
        <f>IF(((CR10)=TRUE),  C10,  "")</f>
        <v>exec-policy-hr4821</v>
      </c>
      <c r="CU10" s="4">
        <f>COUNTIFS(VerificationOutcomes!T2:T5, A10)</f>
        <v>0</v>
      </c>
      <c r="CV10" s="4" t="b">
        <f>AND(((AB10 &gt; 0)=TRUE), ((CU10 &gt;= AB10)=TRUE))</f>
        <v>0</v>
      </c>
      <c r="CW10" s="4" t="str">
        <f>IF(((AF10)=TRUE),  C10,  "")</f>
      </c>
      <c r="CX10" s="4" t="str">
        <f>IF(((AG10)=TRUE),  C10,  "")</f>
      </c>
      <c r="CY10" s="4" t="b">
        <f>OR(((BE10)=TRUE), ((CZ10)=TRUE))</f>
        <v>0</v>
      </c>
      <c r="CZ10" s="4" t="b">
        <f>_xlfn.IFNA(IF(((INDEX(ProcedureVersions!CB2:CB4, MATCH(DA10,ProcedureVersions!A2:A4, 0))="")=TRUE),  "",  INDEX(ProcedureVersions!CB2:CB4, MATCH(DA10,ProcedureVersions!A2:A4, 0))), "")</f>
        <v>0</v>
      </c>
      <c r="DA10" s="4" t="str">
        <f>_xlfn.IFNA(IF(((INDEX(Steps!C2:C18, MATCH(D10,Steps!A2:A18, 0))="")=TRUE),  "",  INDEX(Steps!C2:C18, MATCH(D10,Steps!A2:A18, 0))), "")</f>
        <v>policy-v1.0.0</v>
      </c>
      <c r="DB10" s="4" t="b">
        <f>AND(((OR(((BP10)=TRUE), ((M10)=TRUE), ((P10)=TRUE)))=TRUE), ((NOT(((CY10)=TRUE)))=TRUE))</f>
        <v>0</v>
      </c>
      <c r="DC10" s="4" t="str">
        <f>IF(((DB10)=TRUE),  C10,  "")</f>
      </c>
      <c r="DD10" s="4" t="str">
        <f>IF(((BC10)=TRUE),  C10,  "")</f>
      </c>
      <c r="DE10" s="3" t="s">
        <v>1449</v>
      </c>
    </row>
    <row r="11">
      <c r="A11" s="3" t="s">
        <v>1462</v>
      </c>
      <c r="B11" s="4" t="str">
        <f>C11 &amp; " / " &amp; D11</f>
        <v>exec-policy-hr4821 / policy-02</v>
      </c>
      <c r="C11" s="3" t="s">
        <v>1344</v>
      </c>
      <c r="D11" s="3" t="s">
        <v>594</v>
      </c>
      <c r="E11" s="3" t="s">
        <v>153</v>
      </c>
      <c r="F11" s="3" t="s">
        <v>1340</v>
      </c>
      <c r="G11" s="5">
        <v>46221.604166666664</v>
      </c>
      <c r="H11" s="5">
        <v>46221.739583333336</v>
      </c>
      <c r="I11" s="3" t="s">
        <v>1448</v>
      </c>
      <c r="J11" s="3" t="s">
        <v>168</v>
      </c>
      <c r="K11" s="6">
        <f>IF((IF(((H11 = "")=TRUE),  0,  IF(((OR((((H11)="")=TRUE), (((G11)="")=TRUE)))=TRUE),  0,  ((H11 - G11) * 1440))))="", "", ROUND((IF(((H11 = "")=TRUE),  0,  IF(((OR((((H11)="")=TRUE), (((G11)="")=TRUE)))=TRUE),  0,  ((H11 - G11) * 1440)))), 0))</f>
        <v>195</v>
      </c>
      <c r="L11" s="6">
        <f>IF((_xlfn.IFNA(IF(((INDEX(Steps!K2:K18, MATCH(D11,Steps!A2:A18, 0))="")=TRUE),  "",  INDEX(Steps!K2:K18, MATCH(D11,Steps!A2:A18, 0))), ""))="", "", ROUND((_xlfn.IFNA(IF(((INDEX(Steps!K2:K18, MATCH(D11,Steps!A2:A18, 0))="")=TRUE),  "",  INDEX(Steps!K2:K18, MATCH(D11,Steps!A2:A18, 0))), "")), 0))</f>
        <v>180</v>
      </c>
      <c r="M11" s="4" t="b">
        <f>K11 &gt; L11</f>
        <v>1</v>
      </c>
      <c r="N11" s="4">
        <f>COUNTIFS(RequirementSatisfactions!C2:C9, A11,RequirementSatisfactions!K2:K9, TRUE)</f>
        <v>0</v>
      </c>
      <c r="O11" s="4">
        <f>COUNTIFS(RequirementSatisfactions!L2:L9, A11)</f>
        <v>0</v>
      </c>
      <c r="P11" s="4" t="b">
        <f>AND(((F11 = "Completed")=TRUE), ((O11 &gt; 0)=TRUE))</f>
        <v>0</v>
      </c>
      <c r="Q11" s="4">
        <f>_xlfn.IFNA(IF(((INDEX(Steps!N2:N18, MATCH(D11,Steps!A2:A18, 0))="")=TRUE),  "",  INDEX(Steps!N2:N18, MATCH(D11,Steps!A2:A18, 0))), "")</f>
        <v>0</v>
      </c>
      <c r="R11" s="4">
        <f>COUNTIFS(RequirementSatisfactions!M2:M9, A11)</f>
        <v>0</v>
      </c>
      <c r="S11" s="4">
        <f>Q11 - R11</f>
        <v>0</v>
      </c>
      <c r="T11" s="4" t="b">
        <f>S11 &gt; 0</f>
        <v>0</v>
      </c>
      <c r="U11" s="4">
        <f>_xlfn.IFNA(IF(((INDEX(Steps!P2:P18, MATCH(D11,Steps!A2:A18, 0))="")=TRUE),  "",  INDEX(Steps!P2:P18, MATCH(D11,Steps!A2:A18, 0))), "")</f>
        <v>0</v>
      </c>
      <c r="V11" s="4" t="b">
        <f>U11 &gt; 0</f>
        <v>0</v>
      </c>
      <c r="W11" s="4" t="b">
        <f>J11 &lt;&gt; ""</f>
        <v>0</v>
      </c>
      <c r="X11" s="4" t="b">
        <f>AND(((M11)=TRUE), ((NOT(((W11)=TRUE)))=TRUE))</f>
        <v>1</v>
      </c>
      <c r="Y11" s="4">
        <f>_xlfn.IFNA(IF(((INDEX(Steps!Q2:Q18, MATCH(D11,Steps!A2:A18, 0))="")=TRUE),  "",  INDEX(Steps!Q2:Q18, MATCH(D11,Steps!A2:A18, 0))), "")</f>
        <v>0</v>
      </c>
      <c r="Z11" s="4" t="b">
        <f>AND(((X11)=TRUE), ((Y11 &gt; 0)=TRUE))</f>
        <v>0</v>
      </c>
      <c r="AA11" s="4">
        <f>_xlfn.IFNA(IF(((INDEX(Steps!R2:R18, MATCH(D11,Steps!A2:A18, 0))="")=TRUE),  "",  INDEX(Steps!R2:R18, MATCH(D11,Steps!A2:A18, 0))), "")</f>
        <v>0</v>
      </c>
      <c r="AB11" s="4">
        <f>COUNTIFS(VerificationOutcomes!C2:C5, A11)</f>
        <v>0</v>
      </c>
      <c r="AC11" s="4">
        <f>AA11 - AB11</f>
        <v>0</v>
      </c>
      <c r="AD11" s="4" t="b">
        <f>AC11 &gt; 0</f>
        <v>0</v>
      </c>
      <c r="AE11" s="4" t="b">
        <f>AND(((I11 = "PASS")=TRUE), ((AD11)=TRUE))</f>
        <v>0</v>
      </c>
      <c r="AF11" s="4" t="b">
        <f>_xlfn.IFNA(IF(((INDEX(Steps!S2:S18, MATCH(D11,Steps!A2:A18, 0))="")=TRUE),  "",  INDEX(Steps!S2:S18, MATCH(D11,Steps!A2:A18, 0))), "")</f>
        <v>0</v>
      </c>
      <c r="AG11" s="4" t="b">
        <f>_xlfn.IFNA(IF(((INDEX(Steps!T2:T18, MATCH(D11,Steps!A2:A18, 0))="")=TRUE),  "",  INDEX(Steps!T2:T18, MATCH(D11,Steps!A2:A18, 0))), "")</f>
        <v>0</v>
      </c>
      <c r="AH11" s="4" t="str">
        <f>IF(((AF11)=TRUE),  C11 &amp; "|" &amp; E11,  "")</f>
      </c>
      <c r="AI11" s="4" t="str">
        <f>IF(((AG11)=TRUE),  C11 &amp; "|" &amp; E11,  "")</f>
      </c>
      <c r="AJ11" s="4">
        <f>COUNTIFS(AH2:AH13, AI11)</f>
        <v>10</v>
      </c>
      <c r="AK11" s="4" t="b">
        <f>AND(((AG11)=TRUE), ((AJ11 &gt; 0)=TRUE))</f>
        <v>0</v>
      </c>
      <c r="AL11" s="4" t="str">
        <f>_xlfn.IFNA(IF(((INDEX(Steps!G2:G18, MATCH(D11,Steps!A2:A18, 0))="")=TRUE),  "",  INDEX(Steps!G2:G18, MATCH(D11,Steps!A2:A18, 0))), "")</f>
        <v>process-steward</v>
      </c>
      <c r="AM11" s="4" t="str">
        <f>E11 &amp; "|" &amp; AL11</f>
        <v>elena-garcia|process-steward</v>
      </c>
      <c r="AN11" s="4">
        <f>COUNTIFS(RoleAssignments!N2:N14, AM11)</f>
        <v>1</v>
      </c>
      <c r="AO11" s="4" t="b">
        <f>AN11 &gt; 0</f>
        <v>1</v>
      </c>
      <c r="AP11" s="4" t="b">
        <f>AND(((AG11)=TRUE), ((NOT(((AO11)=TRUE)))=TRUE))</f>
        <v>0</v>
      </c>
      <c r="AQ11" s="4" t="str">
        <f>IF(((F11 = "Completed")=TRUE),  C11,  "")</f>
        <v>exec-policy-hr4821</v>
      </c>
      <c r="AR11" s="4" t="str">
        <f>IF(((OR(((P11)=TRUE), ((AK11)=TRUE), ((AP11)=TRUE), ((AE11)=TRUE)))=TRUE),  C11,  "")</f>
      </c>
      <c r="AS11" s="4" t="str">
        <f>IF(((M11)=TRUE),  C11,  "")</f>
        <v>exec-policy-hr4821</v>
      </c>
      <c r="AT11" s="4" t="str">
        <f>_xlfn.IFNA(IF(((INDEX(Agents!D2:D12, MATCH(E11,Agents!A2:A12, 0))="")=TRUE),  "",  INDEX(Agents!D2:D12, MATCH(E11,Agents!A2:A12, 0))), "")</f>
        <v>Human</v>
      </c>
      <c r="AU11" s="4" t="b">
        <f>AT11 = "Human"</f>
        <v>1</v>
      </c>
      <c r="AV11" s="4" t="b">
        <f>_xlfn.IFNA(IF(((INDEX(Steps!M2:M18, MATCH(D11,Steps!A2:A18, 0))="")=TRUE),  "",  INDEX(Steps!M2:M18, MATCH(D11,Steps!A2:A18, 0))), "")</f>
        <v>0</v>
      </c>
      <c r="AW11" s="4" t="b">
        <f>AND(((AV11)=TRUE), ((NOT(((AU11)=TRUE)))=TRUE))</f>
        <v>0</v>
      </c>
      <c r="AX11" s="4" t="b">
        <f>AND(((AG11)=TRUE), ((NOT(((AU11)=TRUE)))=TRUE))</f>
        <v>0</v>
      </c>
      <c r="AY11" s="4" t="str">
        <f>IF(((T11)=TRUE),  C11,  "")</f>
      </c>
      <c r="AZ11" s="4" t="str">
        <f>IF(((AK11)=TRUE),  C11,  "")</f>
      </c>
      <c r="BA11" s="4">
        <f>COUNTIFS(VerificationOutcomes!P2:P5, A11)</f>
        <v>0</v>
      </c>
      <c r="BB11" s="4">
        <f>COUNTIFS(VerificationOutcomes!Q2:Q5, A11)</f>
        <v>0</v>
      </c>
      <c r="BC11" s="4" t="b">
        <f>AND(((AG11)=TRUE), ((OR(((BA11 &gt; 0)=TRUE), ((AD11)=TRUE)))=TRUE))</f>
        <v>0</v>
      </c>
      <c r="BD11" s="4">
        <f>COUNTIFS(ExceptionInvocations!C2:C2, A11)</f>
        <v>0</v>
      </c>
      <c r="BE11" s="4" t="b">
        <f>BD11 &gt; 0</f>
        <v>0</v>
      </c>
      <c r="BF11" s="4" t="b">
        <f>F11 = "Completed"</f>
        <v>1</v>
      </c>
      <c r="BG11" s="4" t="b">
        <f>I11 = "PASS"</f>
        <v>1</v>
      </c>
      <c r="BH11" s="4" t="b">
        <f>D11 = "policy-04"</f>
        <v>0</v>
      </c>
      <c r="BI11" s="4" t="str">
        <f>IF(((AND(((BH11)=TRUE), ((BG11)=TRUE)))=TRUE),  C11,  "")</f>
      </c>
      <c r="BJ11" s="4" t="str">
        <f>_xlfn.IFNA(IF(((INDEX(Steps!G2:G18, MATCH(D11,Steps!A2:A18, 0))="")=TRUE),  "",  INDEX(Steps!G2:G18, MATCH(D11,Steps!A2:A18, 0))), "")</f>
        <v>process-steward</v>
      </c>
      <c r="BK11" s="4" t="str">
        <f>_xlfn.IFNA(IF(((INDEX(Roles!E2:E13, MATCH(BJ11,Roles!A2:A13, 0))="")=TRUE),  "",  INDEX(Roles!E2:E13, MATCH(BJ11,Roles!A2:A13, 0))), "")</f>
        <v>elena-garcia</v>
      </c>
      <c r="BL11" s="4" t="b">
        <f>E11 = BK11</f>
        <v>1</v>
      </c>
      <c r="BM11" s="4" t="b">
        <f>_xlfn.IFNA(IF(((INDEX(Steps!V2:V18, MATCH(D11,Steps!A2:A18, 0))="")=TRUE),  "",  INDEX(Steps!V2:V18, MATCH(D11,Steps!A2:A18, 0))), "")</f>
        <v>1</v>
      </c>
      <c r="BN11" s="4" t="b">
        <f>AND(((F11 = "Completed")=TRUE), ((NOT(((BM11)=TRUE)))=TRUE))</f>
        <v>0</v>
      </c>
      <c r="BO11" s="4">
        <f>COUNTIFS(IssueOccurrences!K2:K3, A11)</f>
        <v>0</v>
      </c>
      <c r="BP11" s="4" t="b">
        <f>J11 &lt;&gt; ""</f>
        <v>0</v>
      </c>
      <c r="BQ11" s="4" t="b">
        <f>AND(((I11 = "PASS")=TRUE), ((NOT(((BP11)=TRUE)))=TRUE), ((BO11 = 0)=TRUE), ((NOT(((M11)=TRUE)))=TRUE))</f>
        <v>0</v>
      </c>
      <c r="BR11" s="4" t="str">
        <f>IF(((BQ11)=TRUE),  "",  C11)</f>
        <v>exec-policy-hr4821</v>
      </c>
      <c r="BS11" s="4">
        <f>COUNTIFS(RequirementSatisfactions!U2:U9, A11)</f>
        <v>0</v>
      </c>
      <c r="BT11" s="6">
        <f>IF((_xlfn.IFNA(IF(((INDEX(Steps!N2:N18, MATCH(D11,Steps!A2:A18, 0))="")=TRUE),  "",  INDEX(Steps!N2:N18, MATCH(D11,Steps!A2:A18, 0))), ""))="", "", ROUND((_xlfn.IFNA(IF(((INDEX(Steps!N2:N18, MATCH(D11,Steps!A2:A18, 0))="")=TRUE),  "",  INDEX(Steps!N2:N18, MATCH(D11,Steps!A2:A18, 0))), "")), 0))</f>
        <v>0</v>
      </c>
      <c r="BU11" s="4" t="b">
        <f>BS11 &lt; BT11</f>
        <v>0</v>
      </c>
      <c r="BV11" s="4" t="str">
        <f>_xlfn.IFNA(IF(((INDEX(Agents!D2:D12, MATCH(E11,Agents!A2:A12, 0))="")=TRUE),  "",  INDEX(Agents!D2:D12, MATCH(E11,Agents!A2:A12, 0))), "")</f>
        <v>Human</v>
      </c>
      <c r="BW11" s="4" t="b">
        <f>OR(((BV11 = "AIAgent")=TRUE), ((BV11 = "AutomatedPipeline")=TRUE))</f>
        <v>0</v>
      </c>
      <c r="BX11" s="4" t="b">
        <f>_xlfn.IFNA(IF(((INDEX(Steps!W2:W18, MATCH(D11,Steps!A2:A18, 0))="")=TRUE),  "",  INDEX(Steps!W2:W18, MATCH(D11,Steps!A2:A18, 0))), "")</f>
        <v>0</v>
      </c>
      <c r="BY11" s="4" t="b">
        <f>AND(((BW11)=TRUE), ((NOT(((BX11)=TRUE)))=TRUE))</f>
        <v>0</v>
      </c>
      <c r="BZ11" s="4" t="b">
        <f>_xlfn.IFNA(IF(((INDEX(Steps!X2:X18, MATCH(D11,Steps!A2:A18, 0))="")=TRUE),  "",  INDEX(Steps!X2:X18, MATCH(D11,Steps!A2:A18, 0))), "")</f>
        <v>0</v>
      </c>
      <c r="CA11" s="4" t="b">
        <f>AND(((I11 &lt;&gt; "")=TRUE), ((I11 &lt;&gt; "PENDING")=TRUE), ((I11 &lt;&gt; "FAIL")=TRUE))</f>
        <v>1</v>
      </c>
      <c r="CB11" s="4">
        <f>COUNTIFS(AgentDecisionRecords!AA2:AA4, A11)</f>
        <v>0</v>
      </c>
      <c r="CC11" s="4" t="b">
        <f>_xlfn.IFNA(IF(((INDEX(Steps!M2:M18, MATCH(D11,Steps!A2:A18, 0))="")=TRUE),  "",  INDEX(Steps!M2:M18, MATCH(D11,Steps!A2:A18, 0))), "")</f>
        <v>0</v>
      </c>
      <c r="CD11" s="4" t="b">
        <f>AND(((CC11)=TRUE), ((CB11 &gt; 0)=TRUE))</f>
        <v>0</v>
      </c>
      <c r="CE11" s="4" t="b">
        <f>AND(((F11 = "Completed")=TRUE), ((NOT(((CF11)=TRUE)))=TRUE))</f>
        <v>0</v>
      </c>
      <c r="CF11" s="4" t="b">
        <f>_xlfn.IFNA(IF(((INDEX(Steps!AC2:AC18, MATCH(D11,Steps!A2:A18, 0))="")=TRUE),  "",  INDEX(Steps!AC2:AC18, MATCH(D11,Steps!A2:A18, 0))), "")</f>
        <v>1</v>
      </c>
      <c r="CG11" s="4" t="str">
        <f>IF(((BW11)=TRUE),  D11,  "")</f>
      </c>
      <c r="CH11" s="4" t="str">
        <f>_xlfn.IFNA(IF(((INDEX(Steps!AD2:AD18, MATCH(D11,Steps!A2:A18, 0))="")=TRUE),  "",  INDEX(Steps!AD2:AD18, MATCH(D11,Steps!A2:A18, 0))), "")</f>
        <v>Preparation</v>
      </c>
      <c r="CI11" s="4">
        <f>COUNTIFS(RequirementSatisfactions!AC2:AC9, A11)</f>
        <v>0</v>
      </c>
      <c r="CJ11" s="4" t="b">
        <f>AND(((R11 &gt; 0)=TRUE), ((CI11 &gt;= R11)=TRUE))</f>
        <v>0</v>
      </c>
      <c r="CK11" s="4">
        <f>COUNTIFS(BindingObservations!K2:K2, A11)</f>
        <v>0</v>
      </c>
      <c r="CL11" s="4" t="b">
        <f>CK11 &gt; 0</f>
        <v>0</v>
      </c>
      <c r="CM11" s="4" t="b">
        <f>NOT(((CL11 = V11)=TRUE))</f>
        <v>0</v>
      </c>
      <c r="CN11" s="4" t="b">
        <f>OR(((AA11 &gt; 0)=TRUE), ((Q11 &gt; 0)=TRUE))</f>
        <v>0</v>
      </c>
      <c r="CO11" s="4">
        <f>AB11 + R11</f>
        <v>0</v>
      </c>
      <c r="CP11" s="4">
        <f>AA11 + Q11</f>
        <v>0</v>
      </c>
      <c r="CQ11" s="4" t="b">
        <f>CP11 = 0</f>
        <v>1</v>
      </c>
      <c r="CR11" s="4" t="b">
        <f>AND(((BQ11)=TRUE), ((CQ11)=TRUE))</f>
        <v>0</v>
      </c>
      <c r="CS11" s="4" t="b">
        <f>AND(((BQ11)=TRUE), ((CO11 &gt;= CP11)=TRUE), ((CP11 &gt; 0)=TRUE))</f>
        <v>0</v>
      </c>
      <c r="CT11" s="4" t="str">
        <f>IF(((CR11)=TRUE),  C11,  "")</f>
      </c>
      <c r="CU11" s="4">
        <f>COUNTIFS(VerificationOutcomes!T2:T5, A11)</f>
        <v>0</v>
      </c>
      <c r="CV11" s="4" t="b">
        <f>AND(((AB11 &gt; 0)=TRUE), ((CU11 &gt;= AB11)=TRUE))</f>
        <v>0</v>
      </c>
      <c r="CW11" s="4" t="str">
        <f>IF(((AF11)=TRUE),  C11,  "")</f>
      </c>
      <c r="CX11" s="4" t="str">
        <f>IF(((AG11)=TRUE),  C11,  "")</f>
      </c>
      <c r="CY11" s="4" t="b">
        <f>OR(((BE11)=TRUE), ((CZ11)=TRUE))</f>
        <v>0</v>
      </c>
      <c r="CZ11" s="4" t="b">
        <f>_xlfn.IFNA(IF(((INDEX(ProcedureVersions!CB2:CB4, MATCH(DA11,ProcedureVersions!A2:A4, 0))="")=TRUE),  "",  INDEX(ProcedureVersions!CB2:CB4, MATCH(DA11,ProcedureVersions!A2:A4, 0))), "")</f>
        <v>0</v>
      </c>
      <c r="DA11" s="4" t="str">
        <f>_xlfn.IFNA(IF(((INDEX(Steps!C2:C18, MATCH(D11,Steps!A2:A18, 0))="")=TRUE),  "",  INDEX(Steps!C2:C18, MATCH(D11,Steps!A2:A18, 0))), "")</f>
        <v>policy-v1.0.0</v>
      </c>
      <c r="DB11" s="4" t="b">
        <f>AND(((OR(((BP11)=TRUE), ((M11)=TRUE), ((P11)=TRUE)))=TRUE), ((NOT(((CY11)=TRUE)))=TRUE))</f>
        <v>1</v>
      </c>
      <c r="DC11" s="4" t="str">
        <f>IF(((DB11)=TRUE),  C11,  "")</f>
        <v>exec-policy-hr4821</v>
      </c>
      <c r="DD11" s="4" t="str">
        <f>IF(((BC11)=TRUE),  C11,  "")</f>
      </c>
      <c r="DE11" s="3" t="s">
        <v>1449</v>
      </c>
    </row>
    <row r="12">
      <c r="A12" s="3" t="s">
        <v>1463</v>
      </c>
      <c r="B12" s="4" t="str">
        <f>C12 &amp; " / " &amp; D12</f>
        <v>exec-policy-hr4821 / policy-03</v>
      </c>
      <c r="C12" s="3" t="s">
        <v>1344</v>
      </c>
      <c r="D12" s="3" t="s">
        <v>597</v>
      </c>
      <c r="E12" s="3" t="s">
        <v>175</v>
      </c>
      <c r="F12" s="3" t="s">
        <v>1340</v>
      </c>
      <c r="G12" s="5">
        <v>46221.75</v>
      </c>
      <c r="H12" s="5">
        <v>46221.79305555556</v>
      </c>
      <c r="I12" s="3" t="s">
        <v>1448</v>
      </c>
      <c r="J12" s="3" t="s">
        <v>168</v>
      </c>
      <c r="K12" s="6">
        <f>IF((IF(((H12 = "")=TRUE),  0,  IF(((OR((((H12)="")=TRUE), (((G12)="")=TRUE)))=TRUE),  0,  ((H12 - G12) * 1440))))="", "", ROUND((IF(((H12 = "")=TRUE),  0,  IF(((OR((((H12)="")=TRUE), (((G12)="")=TRUE)))=TRUE),  0,  ((H12 - G12) * 1440)))), 0))</f>
        <v>62</v>
      </c>
      <c r="L12" s="6">
        <f>IF((_xlfn.IFNA(IF(((INDEX(Steps!K2:K18, MATCH(D12,Steps!A2:A18, 0))="")=TRUE),  "",  INDEX(Steps!K2:K18, MATCH(D12,Steps!A2:A18, 0))), ""))="", "", ROUND((_xlfn.IFNA(IF(((INDEX(Steps!K2:K18, MATCH(D12,Steps!A2:A18, 0))="")=TRUE),  "",  INDEX(Steps!K2:K18, MATCH(D12,Steps!A2:A18, 0))), "")), 0))</f>
        <v>90</v>
      </c>
      <c r="M12" s="4" t="b">
        <f>K12 &gt; L12</f>
        <v>0</v>
      </c>
      <c r="N12" s="4">
        <f>COUNTIFS(RequirementSatisfactions!C2:C9, A12,RequirementSatisfactions!K2:K9, TRUE)</f>
        <v>0</v>
      </c>
      <c r="O12" s="4">
        <f>COUNTIFS(RequirementSatisfactions!L2:L9, A12)</f>
        <v>0</v>
      </c>
      <c r="P12" s="4" t="b">
        <f>AND(((F12 = "Completed")=TRUE), ((O12 &gt; 0)=TRUE))</f>
        <v>0</v>
      </c>
      <c r="Q12" s="4">
        <f>_xlfn.IFNA(IF(((INDEX(Steps!N2:N18, MATCH(D12,Steps!A2:A18, 0))="")=TRUE),  "",  INDEX(Steps!N2:N18, MATCH(D12,Steps!A2:A18, 0))), "")</f>
        <v>1</v>
      </c>
      <c r="R12" s="4">
        <f>COUNTIFS(RequirementSatisfactions!M2:M9, A12)</f>
        <v>1</v>
      </c>
      <c r="S12" s="4">
        <f>Q12 - R12</f>
        <v>0</v>
      </c>
      <c r="T12" s="4" t="b">
        <f>S12 &gt; 0</f>
        <v>0</v>
      </c>
      <c r="U12" s="4">
        <f>_xlfn.IFNA(IF(((INDEX(Steps!P2:P18, MATCH(D12,Steps!A2:A18, 0))="")=TRUE),  "",  INDEX(Steps!P2:P18, MATCH(D12,Steps!A2:A18, 0))), "")</f>
        <v>0</v>
      </c>
      <c r="V12" s="4" t="b">
        <f>U12 &gt; 0</f>
        <v>0</v>
      </c>
      <c r="W12" s="4" t="b">
        <f>J12 &lt;&gt; ""</f>
        <v>0</v>
      </c>
      <c r="X12" s="4" t="b">
        <f>AND(((M12)=TRUE), ((NOT(((W12)=TRUE)))=TRUE))</f>
        <v>0</v>
      </c>
      <c r="Y12" s="4">
        <f>_xlfn.IFNA(IF(((INDEX(Steps!Q2:Q18, MATCH(D12,Steps!A2:A18, 0))="")=TRUE),  "",  INDEX(Steps!Q2:Q18, MATCH(D12,Steps!A2:A18, 0))), "")</f>
        <v>0</v>
      </c>
      <c r="Z12" s="4" t="b">
        <f>AND(((X12)=TRUE), ((Y12 &gt; 0)=TRUE))</f>
        <v>0</v>
      </c>
      <c r="AA12" s="4">
        <f>_xlfn.IFNA(IF(((INDEX(Steps!R2:R18, MATCH(D12,Steps!A2:A18, 0))="")=TRUE),  "",  INDEX(Steps!R2:R18, MATCH(D12,Steps!A2:A18, 0))), "")</f>
        <v>1</v>
      </c>
      <c r="AB12" s="4">
        <f>COUNTIFS(VerificationOutcomes!C2:C5, A12)</f>
        <v>0</v>
      </c>
      <c r="AC12" s="4">
        <f>AA12 - AB12</f>
        <v>1</v>
      </c>
      <c r="AD12" s="4" t="b">
        <f>AC12 &gt; 0</f>
        <v>1</v>
      </c>
      <c r="AE12" s="4" t="b">
        <f>AND(((I12 = "PASS")=TRUE), ((AD12)=TRUE))</f>
        <v>1</v>
      </c>
      <c r="AF12" s="4" t="b">
        <f>_xlfn.IFNA(IF(((INDEX(Steps!S2:S18, MATCH(D12,Steps!A2:A18, 0))="")=TRUE),  "",  INDEX(Steps!S2:S18, MATCH(D12,Steps!A2:A18, 0))), "")</f>
        <v>0</v>
      </c>
      <c r="AG12" s="4" t="b">
        <f>_xlfn.IFNA(IF(((INDEX(Steps!T2:T18, MATCH(D12,Steps!A2:A18, 0))="")=TRUE),  "",  INDEX(Steps!T2:T18, MATCH(D12,Steps!A2:A18, 0))), "")</f>
        <v>0</v>
      </c>
      <c r="AH12" s="4" t="str">
        <f>IF(((AF12)=TRUE),  C12 &amp; "|" &amp; E12,  "")</f>
      </c>
      <c r="AI12" s="4" t="str">
        <f>IF(((AG12)=TRUE),  C12 &amp; "|" &amp; E12,  "")</f>
      </c>
      <c r="AJ12" s="4">
        <f>COUNTIFS(AH2:AH13, AI12)</f>
        <v>10</v>
      </c>
      <c r="AK12" s="4" t="b">
        <f>AND(((AG12)=TRUE), ((AJ12 &gt; 0)=TRUE))</f>
        <v>0</v>
      </c>
      <c r="AL12" s="4" t="str">
        <f>_xlfn.IFNA(IF(((INDEX(Steps!G2:G18, MATCH(D12,Steps!A2:A18, 0))="")=TRUE),  "",  INDEX(Steps!G2:G18, MATCH(D12,Steps!A2:A18, 0))), "")</f>
        <v>policy-drafting-agent</v>
      </c>
      <c r="AM12" s="4" t="str">
        <f>E12 &amp; "|" &amp; AL12</f>
        <v>policy-drafting-ai|policy-drafting-agent</v>
      </c>
      <c r="AN12" s="4">
        <f>COUNTIFS(RoleAssignments!N2:N14, AM12)</f>
        <v>1</v>
      </c>
      <c r="AO12" s="4" t="b">
        <f>AN12 &gt; 0</f>
        <v>1</v>
      </c>
      <c r="AP12" s="4" t="b">
        <f>AND(((AG12)=TRUE), ((NOT(((AO12)=TRUE)))=TRUE))</f>
        <v>0</v>
      </c>
      <c r="AQ12" s="4" t="str">
        <f>IF(((F12 = "Completed")=TRUE),  C12,  "")</f>
        <v>exec-policy-hr4821</v>
      </c>
      <c r="AR12" s="4" t="str">
        <f>IF(((OR(((P12)=TRUE), ((AK12)=TRUE), ((AP12)=TRUE), ((AE12)=TRUE)))=TRUE),  C12,  "")</f>
        <v>exec-policy-hr4821</v>
      </c>
      <c r="AS12" s="4" t="str">
        <f>IF(((M12)=TRUE),  C12,  "")</f>
      </c>
      <c r="AT12" s="4" t="str">
        <f>_xlfn.IFNA(IF(((INDEX(Agents!D2:D12, MATCH(E12,Agents!A2:A12, 0))="")=TRUE),  "",  INDEX(Agents!D2:D12, MATCH(E12,Agents!A2:A12, 0))), "")</f>
        <v>AIAgent</v>
      </c>
      <c r="AU12" s="4" t="b">
        <f>AT12 = "Human"</f>
        <v>0</v>
      </c>
      <c r="AV12" s="4" t="b">
        <f>_xlfn.IFNA(IF(((INDEX(Steps!M2:M18, MATCH(D12,Steps!A2:A18, 0))="")=TRUE),  "",  INDEX(Steps!M2:M18, MATCH(D12,Steps!A2:A18, 0))), "")</f>
        <v>0</v>
      </c>
      <c r="AW12" s="4" t="b">
        <f>AND(((AV12)=TRUE), ((NOT(((AU12)=TRUE)))=TRUE))</f>
        <v>0</v>
      </c>
      <c r="AX12" s="4" t="b">
        <f>AND(((AG12)=TRUE), ((NOT(((AU12)=TRUE)))=TRUE))</f>
        <v>0</v>
      </c>
      <c r="AY12" s="4" t="str">
        <f>IF(((T12)=TRUE),  C12,  "")</f>
      </c>
      <c r="AZ12" s="4" t="str">
        <f>IF(((AK12)=TRUE),  C12,  "")</f>
      </c>
      <c r="BA12" s="4">
        <f>COUNTIFS(VerificationOutcomes!P2:P5, A12)</f>
        <v>0</v>
      </c>
      <c r="BB12" s="4">
        <f>COUNTIFS(VerificationOutcomes!Q2:Q5, A12)</f>
        <v>0</v>
      </c>
      <c r="BC12" s="4" t="b">
        <f>AND(((AG12)=TRUE), ((OR(((BA12 &gt; 0)=TRUE), ((AD12)=TRUE)))=TRUE))</f>
        <v>0</v>
      </c>
      <c r="BD12" s="4">
        <f>COUNTIFS(ExceptionInvocations!C2:C2, A12)</f>
        <v>0</v>
      </c>
      <c r="BE12" s="4" t="b">
        <f>BD12 &gt; 0</f>
        <v>0</v>
      </c>
      <c r="BF12" s="4" t="b">
        <f>F12 = "Completed"</f>
        <v>1</v>
      </c>
      <c r="BG12" s="4" t="b">
        <f>I12 = "PASS"</f>
        <v>1</v>
      </c>
      <c r="BH12" s="4" t="b">
        <f>D12 = "policy-04"</f>
        <v>0</v>
      </c>
      <c r="BI12" s="4" t="str">
        <f>IF(((AND(((BH12)=TRUE), ((BG12)=TRUE)))=TRUE),  C12,  "")</f>
      </c>
      <c r="BJ12" s="4" t="str">
        <f>_xlfn.IFNA(IF(((INDEX(Steps!G2:G18, MATCH(D12,Steps!A2:A18, 0))="")=TRUE),  "",  INDEX(Steps!G2:G18, MATCH(D12,Steps!A2:A18, 0))), "")</f>
        <v>policy-drafting-agent</v>
      </c>
      <c r="BK12" s="4" t="str">
        <f>_xlfn.IFNA(IF(((INDEX(Roles!E2:E13, MATCH(BJ12,Roles!A2:A13, 0))="")=TRUE),  "",  INDEX(Roles!E2:E13, MATCH(BJ12,Roles!A2:A13, 0))), "")</f>
        <v>policy-drafting-ai</v>
      </c>
      <c r="BL12" s="4" t="b">
        <f>E12 = BK12</f>
        <v>1</v>
      </c>
      <c r="BM12" s="4" t="b">
        <f>_xlfn.IFNA(IF(((INDEX(Steps!V2:V18, MATCH(D12,Steps!A2:A18, 0))="")=TRUE),  "",  INDEX(Steps!V2:V18, MATCH(D12,Steps!A2:A18, 0))), "")</f>
        <v>1</v>
      </c>
      <c r="BN12" s="4" t="b">
        <f>AND(((F12 = "Completed")=TRUE), ((NOT(((BM12)=TRUE)))=TRUE))</f>
        <v>0</v>
      </c>
      <c r="BO12" s="4">
        <f>COUNTIFS(IssueOccurrences!K2:K3, A12)</f>
        <v>0</v>
      </c>
      <c r="BP12" s="4" t="b">
        <f>J12 &lt;&gt; ""</f>
        <v>0</v>
      </c>
      <c r="BQ12" s="4" t="b">
        <f>AND(((I12 = "PASS")=TRUE), ((NOT(((BP12)=TRUE)))=TRUE), ((BO12 = 0)=TRUE), ((NOT(((M12)=TRUE)))=TRUE))</f>
        <v>1</v>
      </c>
      <c r="BR12" s="4" t="str">
        <f>IF(((BQ12)=TRUE),  "",  C12)</f>
      </c>
      <c r="BS12" s="4">
        <f>COUNTIFS(RequirementSatisfactions!U2:U9, A12)</f>
        <v>1</v>
      </c>
      <c r="BT12" s="6">
        <f>IF((_xlfn.IFNA(IF(((INDEX(Steps!N2:N18, MATCH(D12,Steps!A2:A18, 0))="")=TRUE),  "",  INDEX(Steps!N2:N18, MATCH(D12,Steps!A2:A18, 0))), ""))="", "", ROUND((_xlfn.IFNA(IF(((INDEX(Steps!N2:N18, MATCH(D12,Steps!A2:A18, 0))="")=TRUE),  "",  INDEX(Steps!N2:N18, MATCH(D12,Steps!A2:A18, 0))), "")), 0))</f>
        <v>1</v>
      </c>
      <c r="BU12" s="4" t="b">
        <f>BS12 &lt; BT12</f>
        <v>0</v>
      </c>
      <c r="BV12" s="4" t="str">
        <f>_xlfn.IFNA(IF(((INDEX(Agents!D2:D12, MATCH(E12,Agents!A2:A12, 0))="")=TRUE),  "",  INDEX(Agents!D2:D12, MATCH(E12,Agents!A2:A12, 0))), "")</f>
        <v>AIAgent</v>
      </c>
      <c r="BW12" s="4" t="b">
        <f>OR(((BV12 = "AIAgent")=TRUE), ((BV12 = "AutomatedPipeline")=TRUE))</f>
        <v>1</v>
      </c>
      <c r="BX12" s="4" t="b">
        <f>_xlfn.IFNA(IF(((INDEX(Steps!W2:W18, MATCH(D12,Steps!A2:A18, 0))="")=TRUE),  "",  INDEX(Steps!W2:W18, MATCH(D12,Steps!A2:A18, 0))), "")</f>
        <v>1</v>
      </c>
      <c r="BY12" s="4" t="b">
        <f>AND(((BW12)=TRUE), ((NOT(((BX12)=TRUE)))=TRUE))</f>
        <v>0</v>
      </c>
      <c r="BZ12" s="4" t="b">
        <f>_xlfn.IFNA(IF(((INDEX(Steps!X2:X18, MATCH(D12,Steps!A2:A18, 0))="")=TRUE),  "",  INDEX(Steps!X2:X18, MATCH(D12,Steps!A2:A18, 0))), "")</f>
        <v>0</v>
      </c>
      <c r="CA12" s="4" t="b">
        <f>AND(((I12 &lt;&gt; "")=TRUE), ((I12 &lt;&gt; "PENDING")=TRUE), ((I12 &lt;&gt; "FAIL")=TRUE))</f>
        <v>1</v>
      </c>
      <c r="CB12" s="4">
        <f>COUNTIFS(AgentDecisionRecords!AA2:AA4, A12)</f>
        <v>0</v>
      </c>
      <c r="CC12" s="4" t="b">
        <f>_xlfn.IFNA(IF(((INDEX(Steps!M2:M18, MATCH(D12,Steps!A2:A18, 0))="")=TRUE),  "",  INDEX(Steps!M2:M18, MATCH(D12,Steps!A2:A18, 0))), "")</f>
        <v>0</v>
      </c>
      <c r="CD12" s="4" t="b">
        <f>AND(((CC12)=TRUE), ((CB12 &gt; 0)=TRUE))</f>
        <v>0</v>
      </c>
      <c r="CE12" s="4" t="b">
        <f>AND(((F12 = "Completed")=TRUE), ((NOT(((CF12)=TRUE)))=TRUE))</f>
        <v>0</v>
      </c>
      <c r="CF12" s="4" t="b">
        <f>_xlfn.IFNA(IF(((INDEX(Steps!AC2:AC18, MATCH(D12,Steps!A2:A18, 0))="")=TRUE),  "",  INDEX(Steps!AC2:AC18, MATCH(D12,Steps!A2:A18, 0))), "")</f>
        <v>1</v>
      </c>
      <c r="CG12" s="4" t="str">
        <f>IF(((BW12)=TRUE),  D12,  "")</f>
        <v>policy-03</v>
      </c>
      <c r="CH12" s="4" t="str">
        <f>_xlfn.IFNA(IF(((INDEX(Steps!AD2:AD18, MATCH(D12,Steps!A2:A18, 0))="")=TRUE),  "",  INDEX(Steps!AD2:AD18, MATCH(D12,Steps!A2:A18, 0))), "")</f>
        <v>Preparation</v>
      </c>
      <c r="CI12" s="4">
        <f>COUNTIFS(RequirementSatisfactions!AC2:AC9, A12)</f>
        <v>1</v>
      </c>
      <c r="CJ12" s="4" t="b">
        <f>AND(((R12 &gt; 0)=TRUE), ((CI12 &gt;= R12)=TRUE))</f>
        <v>1</v>
      </c>
      <c r="CK12" s="4">
        <f>COUNTIFS(BindingObservations!K2:K2, A12)</f>
        <v>0</v>
      </c>
      <c r="CL12" s="4" t="b">
        <f>CK12 &gt; 0</f>
        <v>0</v>
      </c>
      <c r="CM12" s="4" t="b">
        <f>NOT(((CL12 = V12)=TRUE))</f>
        <v>0</v>
      </c>
      <c r="CN12" s="4" t="b">
        <f>OR(((AA12 &gt; 0)=TRUE), ((Q12 &gt; 0)=TRUE))</f>
        <v>1</v>
      </c>
      <c r="CO12" s="4">
        <f>AB12 + R12</f>
        <v>1</v>
      </c>
      <c r="CP12" s="4">
        <f>AA12 + Q12</f>
        <v>2</v>
      </c>
      <c r="CQ12" s="4" t="b">
        <f>CP12 = 0</f>
        <v>0</v>
      </c>
      <c r="CR12" s="4" t="b">
        <f>AND(((BQ12)=TRUE), ((CQ12)=TRUE))</f>
        <v>0</v>
      </c>
      <c r="CS12" s="4" t="b">
        <f>AND(((BQ12)=TRUE), ((CO12 &gt;= CP12)=TRUE), ((CP12 &gt; 0)=TRUE))</f>
        <v>0</v>
      </c>
      <c r="CT12" s="4" t="str">
        <f>IF(((CR12)=TRUE),  C12,  "")</f>
      </c>
      <c r="CU12" s="4">
        <f>COUNTIFS(VerificationOutcomes!T2:T5, A12)</f>
        <v>0</v>
      </c>
      <c r="CV12" s="4" t="b">
        <f>AND(((AB12 &gt; 0)=TRUE), ((CU12 &gt;= AB12)=TRUE))</f>
        <v>0</v>
      </c>
      <c r="CW12" s="4" t="str">
        <f>IF(((AF12)=TRUE),  C12,  "")</f>
      </c>
      <c r="CX12" s="4" t="str">
        <f>IF(((AG12)=TRUE),  C12,  "")</f>
      </c>
      <c r="CY12" s="4" t="b">
        <f>OR(((BE12)=TRUE), ((CZ12)=TRUE))</f>
        <v>0</v>
      </c>
      <c r="CZ12" s="4" t="b">
        <f>_xlfn.IFNA(IF(((INDEX(ProcedureVersions!CB2:CB4, MATCH(DA12,ProcedureVersions!A2:A4, 0))="")=TRUE),  "",  INDEX(ProcedureVersions!CB2:CB4, MATCH(DA12,ProcedureVersions!A2:A4, 0))), "")</f>
        <v>0</v>
      </c>
      <c r="DA12" s="4" t="str">
        <f>_xlfn.IFNA(IF(((INDEX(Steps!C2:C18, MATCH(D12,Steps!A2:A18, 0))="")=TRUE),  "",  INDEX(Steps!C2:C18, MATCH(D12,Steps!A2:A18, 0))), "")</f>
        <v>policy-v1.0.0</v>
      </c>
      <c r="DB12" s="4" t="b">
        <f>AND(((OR(((BP12)=TRUE), ((M12)=TRUE), ((P12)=TRUE)))=TRUE), ((NOT(((CY12)=TRUE)))=TRUE))</f>
        <v>0</v>
      </c>
      <c r="DC12" s="4" t="str">
        <f>IF(((DB12)=TRUE),  C12,  "")</f>
      </c>
      <c r="DD12" s="4" t="str">
        <f>IF(((BC12)=TRUE),  C12,  "")</f>
      </c>
      <c r="DE12" s="3" t="s">
        <v>1449</v>
      </c>
    </row>
    <row r="13">
      <c r="A13" s="3" t="s">
        <v>1464</v>
      </c>
      <c r="B13" s="4" t="str">
        <f>C13 &amp; " / " &amp; D13</f>
        <v>exec-policy-hr4821 / policy-04</v>
      </c>
      <c r="C13" s="3" t="s">
        <v>1344</v>
      </c>
      <c r="D13" s="3" t="s">
        <v>600</v>
      </c>
      <c r="E13" s="3" t="s">
        <v>157</v>
      </c>
      <c r="F13" s="3" t="s">
        <v>1340</v>
      </c>
      <c r="G13" s="5">
        <v>46222.583333333336</v>
      </c>
      <c r="H13" s="5">
        <v>46222.78125</v>
      </c>
      <c r="I13" s="3" t="s">
        <v>1448</v>
      </c>
      <c r="J13" s="3" t="s">
        <v>1465</v>
      </c>
      <c r="K13" s="6">
        <f>IF((IF(((H13 = "")=TRUE),  0,  IF(((OR((((H13)="")=TRUE), (((G13)="")=TRUE)))=TRUE),  0,  ((H13 - G13) * 1440))))="", "", ROUND((IF(((H13 = "")=TRUE),  0,  IF(((OR((((H13)="")=TRUE), (((G13)="")=TRUE)))=TRUE),  0,  ((H13 - G13) * 1440)))), 0))</f>
        <v>285</v>
      </c>
      <c r="L13" s="6">
        <f>IF((_xlfn.IFNA(IF(((INDEX(Steps!K2:K18, MATCH(D13,Steps!A2:A18, 0))="")=TRUE),  "",  INDEX(Steps!K2:K18, MATCH(D13,Steps!A2:A18, 0))), ""))="", "", ROUND((_xlfn.IFNA(IF(((INDEX(Steps!K2:K18, MATCH(D13,Steps!A2:A18, 0))="")=TRUE),  "",  INDEX(Steps!K2:K18, MATCH(D13,Steps!A2:A18, 0))), "")), 0))</f>
        <v>120</v>
      </c>
      <c r="M13" s="4" t="b">
        <f>K13 &gt; L13</f>
        <v>1</v>
      </c>
      <c r="N13" s="4">
        <f>COUNTIFS(RequirementSatisfactions!C2:C9, A13,RequirementSatisfactions!K2:K9, TRUE)</f>
        <v>0</v>
      </c>
      <c r="O13" s="4">
        <f>COUNTIFS(RequirementSatisfactions!L2:L9, A13)</f>
        <v>0</v>
      </c>
      <c r="P13" s="4" t="b">
        <f>AND(((F13 = "Completed")=TRUE), ((O13 &gt; 0)=TRUE))</f>
        <v>0</v>
      </c>
      <c r="Q13" s="4">
        <f>_xlfn.IFNA(IF(((INDEX(Steps!N2:N18, MATCH(D13,Steps!A2:A18, 0))="")=TRUE),  "",  INDEX(Steps!N2:N18, MATCH(D13,Steps!A2:A18, 0))), "")</f>
        <v>1</v>
      </c>
      <c r="R13" s="4">
        <f>COUNTIFS(RequirementSatisfactions!M2:M9, A13)</f>
        <v>1</v>
      </c>
      <c r="S13" s="4">
        <f>Q13 - R13</f>
        <v>0</v>
      </c>
      <c r="T13" s="4" t="b">
        <f>S13 &gt; 0</f>
        <v>0</v>
      </c>
      <c r="U13" s="4">
        <f>_xlfn.IFNA(IF(((INDEX(Steps!P2:P18, MATCH(D13,Steps!A2:A18, 0))="")=TRUE),  "",  INDEX(Steps!P2:P18, MATCH(D13,Steps!A2:A18, 0))), "")</f>
        <v>0</v>
      </c>
      <c r="V13" s="4" t="b">
        <f>U13 &gt; 0</f>
        <v>0</v>
      </c>
      <c r="W13" s="4" t="b">
        <f>J13 &lt;&gt; ""</f>
        <v>1</v>
      </c>
      <c r="X13" s="4" t="b">
        <f>AND(((M13)=TRUE), ((NOT(((W13)=TRUE)))=TRUE))</f>
        <v>0</v>
      </c>
      <c r="Y13" s="4">
        <f>_xlfn.IFNA(IF(((INDEX(Steps!Q2:Q18, MATCH(D13,Steps!A2:A18, 0))="")=TRUE),  "",  INDEX(Steps!Q2:Q18, MATCH(D13,Steps!A2:A18, 0))), "")</f>
        <v>0</v>
      </c>
      <c r="Z13" s="4" t="b">
        <f>AND(((X13)=TRUE), ((Y13 &gt; 0)=TRUE))</f>
        <v>0</v>
      </c>
      <c r="AA13" s="4">
        <f>_xlfn.IFNA(IF(((INDEX(Steps!R2:R18, MATCH(D13,Steps!A2:A18, 0))="")=TRUE),  "",  INDEX(Steps!R2:R18, MATCH(D13,Steps!A2:A18, 0))), "")</f>
        <v>1</v>
      </c>
      <c r="AB13" s="4">
        <f>COUNTIFS(VerificationOutcomes!C2:C5, A13)</f>
        <v>0</v>
      </c>
      <c r="AC13" s="4">
        <f>AA13 - AB13</f>
        <v>1</v>
      </c>
      <c r="AD13" s="4" t="b">
        <f>AC13 &gt; 0</f>
        <v>1</v>
      </c>
      <c r="AE13" s="4" t="b">
        <f>AND(((I13 = "PASS")=TRUE), ((AD13)=TRUE))</f>
        <v>1</v>
      </c>
      <c r="AF13" s="4" t="b">
        <f>_xlfn.IFNA(IF(((INDEX(Steps!S2:S18, MATCH(D13,Steps!A2:A18, 0))="")=TRUE),  "",  INDEX(Steps!S2:S18, MATCH(D13,Steps!A2:A18, 0))), "")</f>
        <v>0</v>
      </c>
      <c r="AG13" s="4" t="b">
        <f>_xlfn.IFNA(IF(((INDEX(Steps!T2:T18, MATCH(D13,Steps!A2:A18, 0))="")=TRUE),  "",  INDEX(Steps!T2:T18, MATCH(D13,Steps!A2:A18, 0))), "")</f>
        <v>0</v>
      </c>
      <c r="AH13" s="4" t="str">
        <f>IF(((AF13)=TRUE),  C13 &amp; "|" &amp; E13,  "")</f>
      </c>
      <c r="AI13" s="4" t="str">
        <f>IF(((AG13)=TRUE),  C13 &amp; "|" &amp; E13,  "")</f>
      </c>
      <c r="AJ13" s="4">
        <f>COUNTIFS(AH2:AH13, AI13)</f>
        <v>10</v>
      </c>
      <c r="AK13" s="4" t="b">
        <f>AND(((AG13)=TRUE), ((AJ13 &gt; 0)=TRUE))</f>
        <v>0</v>
      </c>
      <c r="AL13" s="4" t="str">
        <f>_xlfn.IFNA(IF(((INDEX(Steps!G2:G18, MATCH(D13,Steps!A2:A18, 0))="")=TRUE),  "",  INDEX(Steps!G2:G18, MATCH(D13,Steps!A2:A18, 0))), "")</f>
        <v>employment-counsel</v>
      </c>
      <c r="AM13" s="4" t="str">
        <f>E13 &amp; "|" &amp; AL13</f>
        <v>noah-williams|employment-counsel</v>
      </c>
      <c r="AN13" s="4">
        <f>COUNTIFS(RoleAssignments!N2:N14, AM13)</f>
        <v>1</v>
      </c>
      <c r="AO13" s="4" t="b">
        <f>AN13 &gt; 0</f>
        <v>1</v>
      </c>
      <c r="AP13" s="4" t="b">
        <f>AND(((AG13)=TRUE), ((NOT(((AO13)=TRUE)))=TRUE))</f>
        <v>0</v>
      </c>
      <c r="AQ13" s="4" t="str">
        <f>IF(((F13 = "Completed")=TRUE),  C13,  "")</f>
        <v>exec-policy-hr4821</v>
      </c>
      <c r="AR13" s="4" t="str">
        <f>IF(((OR(((P13)=TRUE), ((AK13)=TRUE), ((AP13)=TRUE), ((AE13)=TRUE)))=TRUE),  C13,  "")</f>
        <v>exec-policy-hr4821</v>
      </c>
      <c r="AS13" s="4" t="str">
        <f>IF(((M13)=TRUE),  C13,  "")</f>
        <v>exec-policy-hr4821</v>
      </c>
      <c r="AT13" s="4" t="str">
        <f>_xlfn.IFNA(IF(((INDEX(Agents!D2:D12, MATCH(E13,Agents!A2:A12, 0))="")=TRUE),  "",  INDEX(Agents!D2:D12, MATCH(E13,Agents!A2:A12, 0))), "")</f>
        <v>Human</v>
      </c>
      <c r="AU13" s="4" t="b">
        <f>AT13 = "Human"</f>
        <v>1</v>
      </c>
      <c r="AV13" s="4" t="b">
        <f>_xlfn.IFNA(IF(((INDEX(Steps!M2:M18, MATCH(D13,Steps!A2:A18, 0))="")=TRUE),  "",  INDEX(Steps!M2:M18, MATCH(D13,Steps!A2:A18, 0))), "")</f>
        <v>1</v>
      </c>
      <c r="AW13" s="4" t="b">
        <f>AND(((AV13)=TRUE), ((NOT(((AU13)=TRUE)))=TRUE))</f>
        <v>0</v>
      </c>
      <c r="AX13" s="4" t="b">
        <f>AND(((AG13)=TRUE), ((NOT(((AU13)=TRUE)))=TRUE))</f>
        <v>0</v>
      </c>
      <c r="AY13" s="4" t="str">
        <f>IF(((T13)=TRUE),  C13,  "")</f>
      </c>
      <c r="AZ13" s="4" t="str">
        <f>IF(((AK13)=TRUE),  C13,  "")</f>
      </c>
      <c r="BA13" s="4">
        <f>COUNTIFS(VerificationOutcomes!P2:P5, A13)</f>
        <v>0</v>
      </c>
      <c r="BB13" s="4">
        <f>COUNTIFS(VerificationOutcomes!Q2:Q5, A13)</f>
        <v>0</v>
      </c>
      <c r="BC13" s="4" t="b">
        <f>AND(((AG13)=TRUE), ((OR(((BA13 &gt; 0)=TRUE), ((AD13)=TRUE)))=TRUE))</f>
        <v>0</v>
      </c>
      <c r="BD13" s="4">
        <f>COUNTIFS(ExceptionInvocations!C2:C2, A13)</f>
        <v>0</v>
      </c>
      <c r="BE13" s="4" t="b">
        <f>BD13 &gt; 0</f>
        <v>0</v>
      </c>
      <c r="BF13" s="4" t="b">
        <f>F13 = "Completed"</f>
        <v>1</v>
      </c>
      <c r="BG13" s="4" t="b">
        <f>I13 = "PASS"</f>
        <v>1</v>
      </c>
      <c r="BH13" s="4" t="b">
        <f>D13 = "policy-04"</f>
        <v>1</v>
      </c>
      <c r="BI13" s="4" t="str">
        <f>IF(((AND(((BH13)=TRUE), ((BG13)=TRUE)))=TRUE),  C13,  "")</f>
        <v>exec-policy-hr4821</v>
      </c>
      <c r="BJ13" s="4" t="str">
        <f>_xlfn.IFNA(IF(((INDEX(Steps!G2:G18, MATCH(D13,Steps!A2:A18, 0))="")=TRUE),  "",  INDEX(Steps!G2:G18, MATCH(D13,Steps!A2:A18, 0))), "")</f>
        <v>employment-counsel</v>
      </c>
      <c r="BK13" s="4" t="str">
        <f>_xlfn.IFNA(IF(((INDEX(Roles!E2:E13, MATCH(BJ13,Roles!A2:A13, 0))="")=TRUE),  "",  INDEX(Roles!E2:E13, MATCH(BJ13,Roles!A2:A13, 0))), "")</f>
        <v>noah-williams</v>
      </c>
      <c r="BL13" s="4" t="b">
        <f>E13 = BK13</f>
        <v>1</v>
      </c>
      <c r="BM13" s="4" t="b">
        <f>_xlfn.IFNA(IF(((INDEX(Steps!V2:V18, MATCH(D13,Steps!A2:A18, 0))="")=TRUE),  "",  INDEX(Steps!V2:V18, MATCH(D13,Steps!A2:A18, 0))), "")</f>
        <v>1</v>
      </c>
      <c r="BN13" s="4" t="b">
        <f>AND(((F13 = "Completed")=TRUE), ((NOT(((BM13)=TRUE)))=TRUE))</f>
        <v>0</v>
      </c>
      <c r="BO13" s="4">
        <f>COUNTIFS(IssueOccurrences!K2:K3, A13)</f>
        <v>1</v>
      </c>
      <c r="BP13" s="4" t="b">
        <f>J13 &lt;&gt; ""</f>
        <v>1</v>
      </c>
      <c r="BQ13" s="4" t="b">
        <f>AND(((I13 = "PASS")=TRUE), ((NOT(((BP13)=TRUE)))=TRUE), ((BO13 = 0)=TRUE), ((NOT(((M13)=TRUE)))=TRUE))</f>
        <v>0</v>
      </c>
      <c r="BR13" s="4" t="str">
        <f>IF(((BQ13)=TRUE),  "",  C13)</f>
        <v>exec-policy-hr4821</v>
      </c>
      <c r="BS13" s="4">
        <f>COUNTIFS(RequirementSatisfactions!U2:U9, A13)</f>
        <v>1</v>
      </c>
      <c r="BT13" s="6">
        <f>IF((_xlfn.IFNA(IF(((INDEX(Steps!N2:N18, MATCH(D13,Steps!A2:A18, 0))="")=TRUE),  "",  INDEX(Steps!N2:N18, MATCH(D13,Steps!A2:A18, 0))), ""))="", "", ROUND((_xlfn.IFNA(IF(((INDEX(Steps!N2:N18, MATCH(D13,Steps!A2:A18, 0))="")=TRUE),  "",  INDEX(Steps!N2:N18, MATCH(D13,Steps!A2:A18, 0))), "")), 0))</f>
        <v>1</v>
      </c>
      <c r="BU13" s="4" t="b">
        <f>BS13 &lt; BT13</f>
        <v>0</v>
      </c>
      <c r="BV13" s="4" t="str">
        <f>_xlfn.IFNA(IF(((INDEX(Agents!D2:D12, MATCH(E13,Agents!A2:A12, 0))="")=TRUE),  "",  INDEX(Agents!D2:D12, MATCH(E13,Agents!A2:A12, 0))), "")</f>
        <v>Human</v>
      </c>
      <c r="BW13" s="4" t="b">
        <f>OR(((BV13 = "AIAgent")=TRUE), ((BV13 = "AutomatedPipeline")=TRUE))</f>
        <v>0</v>
      </c>
      <c r="BX13" s="4" t="b">
        <f>_xlfn.IFNA(IF(((INDEX(Steps!W2:W18, MATCH(D13,Steps!A2:A18, 0))="")=TRUE),  "",  INDEX(Steps!W2:W18, MATCH(D13,Steps!A2:A18, 0))), "")</f>
        <v>0</v>
      </c>
      <c r="BY13" s="4" t="b">
        <f>AND(((BW13)=TRUE), ((NOT(((BX13)=TRUE)))=TRUE))</f>
        <v>0</v>
      </c>
      <c r="BZ13" s="4" t="b">
        <f>_xlfn.IFNA(IF(((INDEX(Steps!X2:X18, MATCH(D13,Steps!A2:A18, 0))="")=TRUE),  "",  INDEX(Steps!X2:X18, MATCH(D13,Steps!A2:A18, 0))), "")</f>
        <v>0</v>
      </c>
      <c r="CA13" s="4" t="b">
        <f>AND(((I13 &lt;&gt; "")=TRUE), ((I13 &lt;&gt; "PENDING")=TRUE), ((I13 &lt;&gt; "FAIL")=TRUE))</f>
        <v>1</v>
      </c>
      <c r="CB13" s="4">
        <f>COUNTIFS(AgentDecisionRecords!AA2:AA4, A13)</f>
        <v>0</v>
      </c>
      <c r="CC13" s="4" t="b">
        <f>_xlfn.IFNA(IF(((INDEX(Steps!M2:M18, MATCH(D13,Steps!A2:A18, 0))="")=TRUE),  "",  INDEX(Steps!M2:M18, MATCH(D13,Steps!A2:A18, 0))), "")</f>
        <v>1</v>
      </c>
      <c r="CD13" s="4" t="b">
        <f>AND(((CC13)=TRUE), ((CB13 &gt; 0)=TRUE))</f>
        <v>0</v>
      </c>
      <c r="CE13" s="4" t="b">
        <f>AND(((F13 = "Completed")=TRUE), ((NOT(((CF13)=TRUE)))=TRUE))</f>
        <v>0</v>
      </c>
      <c r="CF13" s="4" t="b">
        <f>_xlfn.IFNA(IF(((INDEX(Steps!AC2:AC18, MATCH(D13,Steps!A2:A18, 0))="")=TRUE),  "",  INDEX(Steps!AC2:AC18, MATCH(D13,Steps!A2:A18, 0))), "")</f>
        <v>1</v>
      </c>
      <c r="CG13" s="4" t="str">
        <f>IF(((BW13)=TRUE),  D13,  "")</f>
      </c>
      <c r="CH13" s="4" t="str">
        <f>_xlfn.IFNA(IF(((INDEX(Steps!AD2:AD18, MATCH(D13,Steps!A2:A18, 0))="")=TRUE),  "",  INDEX(Steps!AD2:AD18, MATCH(D13,Steps!A2:A18, 0))), "")</f>
        <v>LegalReview</v>
      </c>
      <c r="CI13" s="4">
        <f>COUNTIFS(RequirementSatisfactions!AC2:AC9, A13)</f>
        <v>1</v>
      </c>
      <c r="CJ13" s="4" t="b">
        <f>AND(((R13 &gt; 0)=TRUE), ((CI13 &gt;= R13)=TRUE))</f>
        <v>1</v>
      </c>
      <c r="CK13" s="4">
        <f>COUNTIFS(BindingObservations!K2:K2, A13)</f>
        <v>0</v>
      </c>
      <c r="CL13" s="4" t="b">
        <f>CK13 &gt; 0</f>
        <v>0</v>
      </c>
      <c r="CM13" s="4" t="b">
        <f>NOT(((CL13 = V13)=TRUE))</f>
        <v>0</v>
      </c>
      <c r="CN13" s="4" t="b">
        <f>OR(((AA13 &gt; 0)=TRUE), ((Q13 &gt; 0)=TRUE))</f>
        <v>1</v>
      </c>
      <c r="CO13" s="4">
        <f>AB13 + R13</f>
        <v>1</v>
      </c>
      <c r="CP13" s="4">
        <f>AA13 + Q13</f>
        <v>2</v>
      </c>
      <c r="CQ13" s="4" t="b">
        <f>CP13 = 0</f>
        <v>0</v>
      </c>
      <c r="CR13" s="4" t="b">
        <f>AND(((BQ13)=TRUE), ((CQ13)=TRUE))</f>
        <v>0</v>
      </c>
      <c r="CS13" s="4" t="b">
        <f>AND(((BQ13)=TRUE), ((CO13 &gt;= CP13)=TRUE), ((CP13 &gt; 0)=TRUE))</f>
        <v>0</v>
      </c>
      <c r="CT13" s="4" t="str">
        <f>IF(((CR13)=TRUE),  C13,  "")</f>
      </c>
      <c r="CU13" s="4">
        <f>COUNTIFS(VerificationOutcomes!T2:T5, A13)</f>
        <v>0</v>
      </c>
      <c r="CV13" s="4" t="b">
        <f>AND(((AB13 &gt; 0)=TRUE), ((CU13 &gt;= AB13)=TRUE))</f>
        <v>0</v>
      </c>
      <c r="CW13" s="4" t="str">
        <f>IF(((AF13)=TRUE),  C13,  "")</f>
      </c>
      <c r="CX13" s="4" t="str">
        <f>IF(((AG13)=TRUE),  C13,  "")</f>
      </c>
      <c r="CY13" s="4" t="b">
        <f>OR(((BE13)=TRUE), ((CZ13)=TRUE))</f>
        <v>0</v>
      </c>
      <c r="CZ13" s="4" t="b">
        <f>_xlfn.IFNA(IF(((INDEX(ProcedureVersions!CB2:CB4, MATCH(DA13,ProcedureVersions!A2:A4, 0))="")=TRUE),  "",  INDEX(ProcedureVersions!CB2:CB4, MATCH(DA13,ProcedureVersions!A2:A4, 0))), "")</f>
        <v>0</v>
      </c>
      <c r="DA13" s="4" t="str">
        <f>_xlfn.IFNA(IF(((INDEX(Steps!C2:C18, MATCH(D13,Steps!A2:A18, 0))="")=TRUE),  "",  INDEX(Steps!C2:C18, MATCH(D13,Steps!A2:A18, 0))), "")</f>
        <v>policy-v1.0.0</v>
      </c>
      <c r="DB13" s="4" t="b">
        <f>AND(((OR(((BP13)=TRUE), ((M13)=TRUE), ((P13)=TRUE)))=TRUE), ((NOT(((CY13)=TRUE)))=TRUE))</f>
        <v>1</v>
      </c>
      <c r="DC13" s="4" t="str">
        <f>IF(((DB13)=TRUE),  C13,  "")</f>
        <v>exec-policy-hr4821</v>
      </c>
      <c r="DD13" s="4" t="str">
        <f>IF(((BC13)=TRUE),  C13,  "")</f>
      </c>
      <c r="DE13" s="3" t="s">
        <v>1449</v>
      </c>
    </row>
  </sheetData>
  <autoFilter ref="A1:DE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T9"/>
  <sheetViews>
    <sheetView workbookViewId="0">
      <pane ySplit="1" topLeftCell="A2" state="frozen" activePane="bottomLeft"/>
      <selection pane="bottomLeft" activeCell="A1" sqref="A1"/>
    </sheetView>
  </sheetViews>
  <sheetFormatPr defaultRowHeight="15"/>
  <cols>
    <col min="1" max="1" width="26.103200912475586" customWidth="1"/>
    <col min="2" max="2" width="35.46586227416992" customWidth="1"/>
    <col min="3" max="3" width="17.443378448486328" customWidth="1"/>
    <col min="4" max="4" width="25.8189697265625" customWidth="1"/>
    <col min="5" max="5" width="17.443378448486328" customWidth="1"/>
    <col min="6" max="6" width="180.3440399169922" customWidth="1"/>
    <col min="7" max="7" width="18.497451782226562" customWidth="1"/>
    <col min="8" max="8" width="23.35041618347168" customWidth="1"/>
    <col min="9" max="9" width="23.09225845336914" customWidth="1"/>
    <col min="10" max="10" width="17.443378448486328" customWidth="1"/>
    <col min="11" max="11" width="20.929574966430664" customWidth="1"/>
    <col min="12" max="12" width="23.046051025390625" customWidth="1"/>
    <col min="13" max="13" width="27.391361236572266" customWidth="1"/>
    <col min="14" max="14" width="33.009864807128906" customWidth="1"/>
    <col min="15" max="15" width="20.028593063354492" customWidth="1"/>
    <col min="16" max="16" width="34.49167251586914" customWidth="1"/>
    <col min="17" max="17" width="33.4196891784668" customWidth="1"/>
    <col min="18" max="18" width="17.443378448486328" customWidth="1"/>
    <col min="19" max="19" width="26.17622184753418" customWidth="1"/>
    <col min="20" max="20" width="26.299177169799805" customWidth="1"/>
    <col min="21" max="21" width="26.6179141998291" customWidth="1"/>
    <col min="22" max="22" width="19.279874801635742" customWidth="1"/>
    <col min="23" max="23" width="27.893712997436523" customWidth="1"/>
    <col min="24" max="24" width="18.020063400268555" customWidth="1"/>
    <col min="25" max="25" width="32.764400482177734" customWidth="1"/>
    <col min="26" max="26" width="25.239686965942383" customWidth="1"/>
    <col min="27" max="27" width="24.83987045288086" customWidth="1"/>
    <col min="28" max="28" width="30.562856674194336" customWidth="1"/>
    <col min="29" max="29" width="27.506624221801758" customWidth="1"/>
    <col min="30" max="30" width="21.61345100402832" customWidth="1"/>
    <col min="31" max="31" width="17.443378448486328" customWidth="1"/>
    <col min="32" max="32" width="25.893770217895508" customWidth="1"/>
    <col min="33" max="33" width="24.671812057495117" customWidth="1"/>
    <col min="34" max="34" width="17.443378448486328" customWidth="1"/>
    <col min="35" max="35" width="23.000850677490234" customWidth="1"/>
    <col min="36" max="36" width="26.3885440826416" customWidth="1"/>
    <col min="37" max="37" width="20.284631729125977" customWidth="1"/>
    <col min="38" max="38" width="17.443378448486328" customWidth="1"/>
    <col min="39" max="39" width="31.906484603881836" customWidth="1"/>
    <col min="40" max="40" width="23.964914321899414" customWidth="1"/>
    <col min="41" max="41" width="30.365907669067383" customWidth="1"/>
    <col min="42" max="42" width="19.592836380004883" customWidth="1"/>
    <col min="43" max="43" width="26.34737777709961" customWidth="1"/>
    <col min="44" max="44" width="25.7781982421875" customWidth="1"/>
    <col min="45" max="45" width="33.034122467041016" customWidth="1"/>
    <col min="46" max="46" width="44.66933822631836" customWidth="1"/>
  </cols>
  <sheetData>
    <row r="1">
      <c r="A1" s="2" t="s">
        <v>1466</v>
      </c>
      <c r="B1" s="2" t="s">
        <v>1</v>
      </c>
      <c r="C1" s="2" t="s">
        <v>1467</v>
      </c>
      <c r="D1" s="2" t="s">
        <v>914</v>
      </c>
      <c r="E1" s="2" t="s">
        <v>1468</v>
      </c>
      <c r="F1" s="2" t="s">
        <v>1469</v>
      </c>
      <c r="G1" s="2" t="s">
        <v>1470</v>
      </c>
      <c r="H1" s="2" t="s">
        <v>1471</v>
      </c>
      <c r="I1" s="2" t="s">
        <v>915</v>
      </c>
      <c r="J1" s="2" t="s">
        <v>1472</v>
      </c>
      <c r="K1" s="2" t="s">
        <v>1473</v>
      </c>
      <c r="L1" s="2" t="s">
        <v>1474</v>
      </c>
      <c r="M1" s="2" t="s">
        <v>1475</v>
      </c>
      <c r="N1" s="2" t="s">
        <v>1476</v>
      </c>
      <c r="O1" s="2" t="s">
        <v>1477</v>
      </c>
      <c r="P1" s="2" t="s">
        <v>1478</v>
      </c>
      <c r="Q1" s="2" t="s">
        <v>1479</v>
      </c>
      <c r="R1" s="2" t="s">
        <v>1480</v>
      </c>
      <c r="S1" s="2" t="s">
        <v>1481</v>
      </c>
      <c r="T1" s="2" t="s">
        <v>1482</v>
      </c>
      <c r="U1" s="2" t="s">
        <v>1483</v>
      </c>
      <c r="V1" s="2" t="s">
        <v>1484</v>
      </c>
      <c r="W1" s="2" t="s">
        <v>1485</v>
      </c>
      <c r="X1" s="2" t="s">
        <v>1486</v>
      </c>
      <c r="Y1" s="2" t="s">
        <v>1487</v>
      </c>
      <c r="Z1" s="2" t="s">
        <v>1488</v>
      </c>
      <c r="AA1" s="2" t="s">
        <v>1489</v>
      </c>
      <c r="AB1" s="2" t="s">
        <v>1490</v>
      </c>
      <c r="AC1" s="2" t="s">
        <v>1491</v>
      </c>
      <c r="AD1" s="2" t="s">
        <v>1492</v>
      </c>
      <c r="AE1" s="2" t="s">
        <v>1493</v>
      </c>
      <c r="AF1" s="2" t="s">
        <v>1494</v>
      </c>
      <c r="AG1" s="2" t="s">
        <v>1495</v>
      </c>
      <c r="AH1" s="2" t="s">
        <v>1496</v>
      </c>
      <c r="AI1" s="2" t="s">
        <v>1497</v>
      </c>
      <c r="AJ1" s="2" t="s">
        <v>1498</v>
      </c>
      <c r="AK1" s="2" t="s">
        <v>1499</v>
      </c>
      <c r="AL1" s="2" t="s">
        <v>1500</v>
      </c>
      <c r="AM1" s="2" t="s">
        <v>1501</v>
      </c>
      <c r="AN1" s="2" t="s">
        <v>1502</v>
      </c>
      <c r="AO1" s="2" t="s">
        <v>1503</v>
      </c>
      <c r="AP1" s="2" t="s">
        <v>1504</v>
      </c>
      <c r="AQ1" s="2" t="s">
        <v>1505</v>
      </c>
      <c r="AR1" s="2" t="s">
        <v>1506</v>
      </c>
      <c r="AS1" s="2" t="s">
        <v>1507</v>
      </c>
      <c r="AT1" s="2" t="s">
        <v>94</v>
      </c>
    </row>
    <row r="2">
      <c r="A2" s="3" t="s">
        <v>1508</v>
      </c>
      <c r="B2" s="4" t="str">
        <f>D2 &amp; " / " &amp; E2</f>
        <v>req-close-cutoff / Satisfied</v>
      </c>
      <c r="C2" s="3" t="s">
        <v>1447</v>
      </c>
      <c r="D2" s="3" t="s">
        <v>839</v>
      </c>
      <c r="E2" s="3" t="s">
        <v>1509</v>
      </c>
      <c r="F2" s="3" t="s">
        <v>1510</v>
      </c>
      <c r="G2" s="3" t="s">
        <v>145</v>
      </c>
      <c r="H2" s="5">
        <v>46222.625</v>
      </c>
      <c r="I2" s="4" t="b">
        <f>_xlfn.IFNA(IF(((INDEX(Requirements!G2:G14, MATCH(D2,Requirements!A2:A14, 0))="")=TRUE),  "",  INDEX(Requirements!G2:G14, MATCH(D2,Requirements!A2:A14, 0))), "")</f>
        <v>1</v>
      </c>
      <c r="J2" s="4" t="b">
        <f>E2 = "Satisfied"</f>
        <v>1</v>
      </c>
      <c r="K2" s="4" t="b">
        <f>AND(((I2)=TRUE), ((NOT(((J2)=TRUE)))=TRUE))</f>
        <v>0</v>
      </c>
      <c r="L2" s="4" t="str">
        <f>IF(((K2)=TRUE),  C2,  "")</f>
      </c>
      <c r="M2" s="4" t="str">
        <f>IF(((I2)=TRUE),  C2,  "")</f>
        <v>se-close01</v>
      </c>
      <c r="N2" s="4" t="str">
        <f>IF(((NOT(((J2)=TRUE)))=TRUE),  D2,  "")</f>
      </c>
      <c r="O2" s="4" t="str">
        <f>_xlfn.IFNA(IF(((INDEX(Agents!D2:D12, MATCH(G2,Agents!A2:A12, 0))="")=TRUE),  "",  INDEX(Agents!D2:D12, MATCH(G2,Agents!A2:A12, 0))), "")</f>
        <v>Human</v>
      </c>
      <c r="P2" s="4" t="b">
        <f>AND(((I2)=TRUE), ((O2 &lt;&gt; "Human")=TRUE))</f>
        <v>0</v>
      </c>
      <c r="Q2" s="4" t="b">
        <f>_xlfn.IFNA(IF(((INDEX(Requirements!O2:O14, MATCH(D2,Requirements!A2:A14, 0))="")=TRUE),  "",  INDEX(Requirements!O2:O14, MATCH(D2,Requirements!A2:A14, 0))), "")</f>
        <v>1</v>
      </c>
      <c r="R2" s="4" t="b">
        <f>AND(((I2)=TRUE), ((J2)=TRUE), ((NOT(((Q2)=TRUE)))=TRUE))</f>
        <v>0</v>
      </c>
      <c r="S2" s="4" t="str">
        <f>IF(((R2)=TRUE),  T2,  "")</f>
      </c>
      <c r="T2" s="4" t="str">
        <f>_xlfn.IFNA(IF(((INDEX(StepExecutions!C2:C13, MATCH(C2,StepExecutions!A2:A13, 0))="")=TRUE),  "",  INDEX(StepExecutions!C2:C13, MATCH(C2,StepExecutions!A2:A13, 0))), "")</f>
        <v>exec-close-2026-q2</v>
      </c>
      <c r="U2" s="4" t="str">
        <f>IF(((E2 &lt;&gt; "")=TRUE),  C2,  "")</f>
        <v>se-close01</v>
      </c>
      <c r="V2" s="4" t="b">
        <f>O2 = "Human"</f>
        <v>1</v>
      </c>
      <c r="W2" s="4" t="str">
        <f>_xlfn.IFNA(IF(((INDEX(Requirements!D2:D14, MATCH(D2,Requirements!A2:A14, 0))="")=TRUE),  "",  INDEX(Requirements!D2:D14, MATCH(D2,Requirements!A2:A14, 0))), "")</f>
        <v>Control</v>
      </c>
      <c r="X2" s="4" t="b">
        <f>AND(((W2 = "Approval")=TRUE), ((OR(((NOT(((J2)=TRUE)))=TRUE), ((NOT(((V2)=TRUE)))=TRUE)))=TRUE))</f>
        <v>0</v>
      </c>
      <c r="Y2" s="4" t="str">
        <f>_xlfn.IFNA(IF(((INDEX(StepExecutions!C2:C13, MATCH(C2,StepExecutions!A2:A13, 0))="")=TRUE),  "",  INDEX(StepExecutions!C2:C13, MATCH(C2,StepExecutions!A2:A13, 0))), "")</f>
        <v>exec-close-2026-q2</v>
      </c>
      <c r="Z2" s="4" t="str">
        <f>IF(((X2)=TRUE),  Y2,  "")</f>
      </c>
      <c r="AA2" s="4" t="b">
        <f>_xlfn.IFNA(IF(((INDEX(Requirements!R2:R14, MATCH(D2,Requirements!A2:A14, 0))="")=TRUE),  "",  INDEX(Requirements!R2:R14, MATCH(D2,Requirements!A2:A14, 0))), "")</f>
        <v>1</v>
      </c>
      <c r="AB2" s="4" t="b">
        <f>AND(((J2)=TRUE), ((I2)=TRUE), ((AA2)=TRUE))</f>
        <v>1</v>
      </c>
      <c r="AC2" s="4" t="str">
        <f>IF(((AB2)=TRUE),  C2,  "")</f>
        <v>se-close01</v>
      </c>
      <c r="AD2" s="4" t="str">
        <f>_xlfn.IFNA(IF(((INDEX(StepExecutions!D2:D13, MATCH(C2,StepExecutions!A2:A13, 0))="")=TRUE),  "",  INDEX(StepExecutions!D2:D13, MATCH(C2,StepExecutions!A2:A13, 0))), "")</f>
        <v>close-01</v>
      </c>
      <c r="AE2" s="4" t="str">
        <f>_xlfn.IFNA(IF(((INDEX(StepRequirements!A2:A16, MATCH(A2,StepRequirements!A2:A16, 0))="")=TRUE),  "",  INDEX(StepRequirements!A2:A16, MATCH(A2,StepRequirements!A2:A16, 0))), "")</f>
      </c>
      <c r="AF2" s="4" t="str">
        <f>_xlfn.IFNA(IF(((INDEX(StepExecutions!E2:E13, MATCH(C2,StepExecutions!A2:A13, 0))="")=TRUE),  "",  INDEX(StepExecutions!E2:E13, MATCH(C2,StepExecutions!A2:A13, 0))), "")</f>
        <v>close-pipeline</v>
      </c>
      <c r="AG2" s="4" t="b">
        <f>G2 = AF2</f>
        <v>0</v>
      </c>
      <c r="AH2" s="4" t="str">
        <f>_xlfn.IFNA(IF(((INDEX(ProcedureExecutions!G2:G3, MATCH(T2,ProcedureExecutions!A2:A3, 0))="")=TRUE),  "",  INDEX(ProcedureExecutions!G2:G3, MATCH(T2,ProcedureExecutions!A2:A3, 0))), "")</f>
        <v>devon-okafor</v>
      </c>
      <c r="AI2" s="4" t="b">
        <f>G2 = AH2</f>
        <v>1</v>
      </c>
      <c r="AJ2" s="4" t="b">
        <f>AND(((R2)=TRUE), ((OR(((AG2)=TRUE), ((AI2)=TRUE)))=TRUE))</f>
        <v>0</v>
      </c>
      <c r="AK2" s="4" t="b">
        <f>F2 &lt;&gt; ""</f>
        <v>1</v>
      </c>
      <c r="AL2" s="4" t="b">
        <f>AND(((R2)=TRUE), ((NOT(((AK2)=TRUE)))=TRUE))</f>
        <v>0</v>
      </c>
      <c r="AM2" s="4" t="str">
        <f>IF(((AJ2)=TRUE),  T2,  "")</f>
      </c>
      <c r="AN2" s="4" t="b">
        <f>AND(((I2)=TRUE), ((Q2)=TRUE))</f>
        <v>1</v>
      </c>
      <c r="AO2" s="4" t="str">
        <f>IF(((AN2)=TRUE),  T2,  "")</f>
        <v>exec-close-2026-q2</v>
      </c>
      <c r="AP2" s="4" t="str">
        <f>_xlfn.IFNA(IF(((INDEX(StepExecutions!E2:E13, MATCH(C2,StepExecutions!A2:A13, 0))="")=TRUE),  "",  INDEX(StepExecutions!E2:E13, MATCH(C2,StepExecutions!A2:A13, 0))), "")</f>
        <v>close-pipeline</v>
      </c>
      <c r="AQ2" s="4" t="b">
        <f>IF(((OR((((H2)="")=TRUE), (((AR2)="")=TRUE)))=TRUE),  0,  ((H2 - AR2) * 1440)) &gt; 0</f>
        <v>1</v>
      </c>
      <c r="AR2" s="7">
        <f>_xlfn.IFNA(IF(((INDEX(ProcedureExecutions!BK2:BK3, MATCH(T2,ProcedureExecutions!A2:A3, 0))="")=TRUE),  "",  INDEX(ProcedureExecutions!BK2:BK3, MATCH(T2,ProcedureExecutions!A2:A3, 0))), "")</f>
        <v>0</v>
      </c>
      <c r="AS2" s="4" t="str">
        <f>IF(((AQ2)=TRUE),  T2,  "")</f>
        <v>exec-close-2026-q2</v>
      </c>
      <c r="AT2" s="3" t="s">
        <v>1511</v>
      </c>
    </row>
    <row r="3">
      <c r="A3" s="3" t="s">
        <v>1512</v>
      </c>
      <c r="B3" s="4" t="str">
        <f>D3 &amp; " / " &amp; E3</f>
        <v>req-close-balance / Satisfied</v>
      </c>
      <c r="C3" s="3" t="s">
        <v>1453</v>
      </c>
      <c r="D3" s="3" t="s">
        <v>847</v>
      </c>
      <c r="E3" s="3" t="s">
        <v>1509</v>
      </c>
      <c r="F3" s="3" t="s">
        <v>1513</v>
      </c>
      <c r="G3" s="3" t="s">
        <v>145</v>
      </c>
      <c r="H3" s="5">
        <v>46222.625</v>
      </c>
      <c r="I3" s="4" t="b">
        <f>_xlfn.IFNA(IF(((INDEX(Requirements!G2:G14, MATCH(D3,Requirements!A2:A14, 0))="")=TRUE),  "",  INDEX(Requirements!G2:G14, MATCH(D3,Requirements!A2:A14, 0))), "")</f>
        <v>1</v>
      </c>
      <c r="J3" s="4" t="b">
        <f>E3 = "Satisfied"</f>
        <v>1</v>
      </c>
      <c r="K3" s="4" t="b">
        <f>AND(((I3)=TRUE), ((NOT(((J3)=TRUE)))=TRUE))</f>
        <v>0</v>
      </c>
      <c r="L3" s="4" t="str">
        <f>IF(((K3)=TRUE),  C3,  "")</f>
      </c>
      <c r="M3" s="4" t="str">
        <f>IF(((I3)=TRUE),  C3,  "")</f>
        <v>se-close03</v>
      </c>
      <c r="N3" s="4" t="str">
        <f>IF(((NOT(((J3)=TRUE)))=TRUE),  D3,  "")</f>
      </c>
      <c r="O3" s="4" t="str">
        <f>_xlfn.IFNA(IF(((INDEX(Agents!D2:D12, MATCH(G3,Agents!A2:A12, 0))="")=TRUE),  "",  INDEX(Agents!D2:D12, MATCH(G3,Agents!A2:A12, 0))), "")</f>
        <v>Human</v>
      </c>
      <c r="P3" s="4" t="b">
        <f>AND(((I3)=TRUE), ((O3 &lt;&gt; "Human")=TRUE))</f>
        <v>0</v>
      </c>
      <c r="Q3" s="4" t="b">
        <f>_xlfn.IFNA(IF(((INDEX(Requirements!O2:O14, MATCH(D3,Requirements!A2:A14, 0))="")=TRUE),  "",  INDEX(Requirements!O2:O14, MATCH(D3,Requirements!A2:A14, 0))), "")</f>
        <v>1</v>
      </c>
      <c r="R3" s="4" t="b">
        <f>AND(((I3)=TRUE), ((J3)=TRUE), ((NOT(((Q3)=TRUE)))=TRUE))</f>
        <v>0</v>
      </c>
      <c r="S3" s="4" t="str">
        <f>IF(((R3)=TRUE),  T3,  "")</f>
      </c>
      <c r="T3" s="4" t="str">
        <f>_xlfn.IFNA(IF(((INDEX(StepExecutions!C2:C13, MATCH(C3,StepExecutions!A2:A13, 0))="")=TRUE),  "",  INDEX(StepExecutions!C2:C13, MATCH(C3,StepExecutions!A2:A13, 0))), "")</f>
        <v>exec-close-2026-q2</v>
      </c>
      <c r="U3" s="4" t="str">
        <f>IF(((E3 &lt;&gt; "")=TRUE),  C3,  "")</f>
        <v>se-close03</v>
      </c>
      <c r="V3" s="4" t="b">
        <f>O3 = "Human"</f>
        <v>1</v>
      </c>
      <c r="W3" s="4" t="str">
        <f>_xlfn.IFNA(IF(((INDEX(Requirements!D2:D14, MATCH(D3,Requirements!A2:A14, 0))="")=TRUE),  "",  INDEX(Requirements!D2:D14, MATCH(D3,Requirements!A2:A14, 0))), "")</f>
        <v>Verification</v>
      </c>
      <c r="X3" s="4" t="b">
        <f>AND(((W3 = "Approval")=TRUE), ((OR(((NOT(((J3)=TRUE)))=TRUE), ((NOT(((V3)=TRUE)))=TRUE)))=TRUE))</f>
        <v>0</v>
      </c>
      <c r="Y3" s="4" t="str">
        <f>_xlfn.IFNA(IF(((INDEX(StepExecutions!C2:C13, MATCH(C3,StepExecutions!A2:A13, 0))="")=TRUE),  "",  INDEX(StepExecutions!C2:C13, MATCH(C3,StepExecutions!A2:A13, 0))), "")</f>
        <v>exec-close-2026-q2</v>
      </c>
      <c r="Z3" s="4" t="str">
        <f>IF(((X3)=TRUE),  Y3,  "")</f>
      </c>
      <c r="AA3" s="4" t="b">
        <f>_xlfn.IFNA(IF(((INDEX(Requirements!R2:R14, MATCH(D3,Requirements!A2:A14, 0))="")=TRUE),  "",  INDEX(Requirements!R2:R14, MATCH(D3,Requirements!A2:A14, 0))), "")</f>
        <v>1</v>
      </c>
      <c r="AB3" s="4" t="b">
        <f>AND(((J3)=TRUE), ((I3)=TRUE), ((AA3)=TRUE))</f>
        <v>1</v>
      </c>
      <c r="AC3" s="4" t="str">
        <f>IF(((AB3)=TRUE),  C3,  "")</f>
        <v>se-close03</v>
      </c>
      <c r="AD3" s="4" t="str">
        <f>_xlfn.IFNA(IF(((INDEX(StepExecutions!D2:D13, MATCH(C3,StepExecutions!A2:A13, 0))="")=TRUE),  "",  INDEX(StepExecutions!D2:D13, MATCH(C3,StepExecutions!A2:A13, 0))), "")</f>
        <v>close-03</v>
      </c>
      <c r="AE3" s="4" t="str">
        <f>_xlfn.IFNA(IF(((INDEX(StepRequirements!A2:A16, MATCH(A3,StepRequirements!A2:A16, 0))="")=TRUE),  "",  INDEX(StepRequirements!A2:A16, MATCH(A3,StepRequirements!A2:A16, 0))), "")</f>
      </c>
      <c r="AF3" s="4" t="str">
        <f>_xlfn.IFNA(IF(((INDEX(StepExecutions!E2:E13, MATCH(C3,StepExecutions!A2:A13, 0))="")=TRUE),  "",  INDEX(StepExecutions!E2:E13, MATCH(C3,StepExecutions!A2:A13, 0))), "")</f>
        <v>maria-chen</v>
      </c>
      <c r="AG3" s="4" t="b">
        <f>G3 = AF3</f>
        <v>0</v>
      </c>
      <c r="AH3" s="4" t="str">
        <f>_xlfn.IFNA(IF(((INDEX(ProcedureExecutions!G2:G3, MATCH(T3,ProcedureExecutions!A2:A3, 0))="")=TRUE),  "",  INDEX(ProcedureExecutions!G2:G3, MATCH(T3,ProcedureExecutions!A2:A3, 0))), "")</f>
        <v>devon-okafor</v>
      </c>
      <c r="AI3" s="4" t="b">
        <f>G3 = AH3</f>
        <v>1</v>
      </c>
      <c r="AJ3" s="4" t="b">
        <f>AND(((R3)=TRUE), ((OR(((AG3)=TRUE), ((AI3)=TRUE)))=TRUE))</f>
        <v>0</v>
      </c>
      <c r="AK3" s="4" t="b">
        <f>F3 &lt;&gt; ""</f>
        <v>1</v>
      </c>
      <c r="AL3" s="4" t="b">
        <f>AND(((R3)=TRUE), ((NOT(((AK3)=TRUE)))=TRUE))</f>
        <v>0</v>
      </c>
      <c r="AM3" s="4" t="str">
        <f>IF(((AJ3)=TRUE),  T3,  "")</f>
      </c>
      <c r="AN3" s="4" t="b">
        <f>AND(((I3)=TRUE), ((Q3)=TRUE))</f>
        <v>1</v>
      </c>
      <c r="AO3" s="4" t="str">
        <f>IF(((AN3)=TRUE),  T3,  "")</f>
        <v>exec-close-2026-q2</v>
      </c>
      <c r="AP3" s="4" t="str">
        <f>_xlfn.IFNA(IF(((INDEX(StepExecutions!E2:E13, MATCH(C3,StepExecutions!A2:A13, 0))="")=TRUE),  "",  INDEX(StepExecutions!E2:E13, MATCH(C3,StepExecutions!A2:A13, 0))), "")</f>
        <v>maria-chen</v>
      </c>
      <c r="AQ3" s="4" t="b">
        <f>IF(((OR((((H3)="")=TRUE), (((AR3)="")=TRUE)))=TRUE),  0,  ((H3 - AR3) * 1440)) &gt; 0</f>
        <v>1</v>
      </c>
      <c r="AR3" s="7">
        <f>_xlfn.IFNA(IF(((INDEX(ProcedureExecutions!BK2:BK3, MATCH(T3,ProcedureExecutions!A2:A3, 0))="")=TRUE),  "",  INDEX(ProcedureExecutions!BK2:BK3, MATCH(T3,ProcedureExecutions!A2:A3, 0))), "")</f>
        <v>0</v>
      </c>
      <c r="AS3" s="4" t="str">
        <f>IF(((AQ3)=TRUE),  T3,  "")</f>
        <v>exec-close-2026-q2</v>
      </c>
      <c r="AT3" s="3" t="s">
        <v>1511</v>
      </c>
    </row>
    <row r="4">
      <c r="A4" s="3" t="s">
        <v>1514</v>
      </c>
      <c r="B4" s="4" t="str">
        <f>D4 &amp; " / " &amp; E4</f>
        <v>req-close-separation / Satisfied</v>
      </c>
      <c r="C4" s="3" t="s">
        <v>1456</v>
      </c>
      <c r="D4" s="3" t="s">
        <v>853</v>
      </c>
      <c r="E4" s="3" t="s">
        <v>1509</v>
      </c>
      <c r="F4" s="3" t="s">
        <v>1515</v>
      </c>
      <c r="G4" s="3" t="s">
        <v>149</v>
      </c>
      <c r="H4" s="5">
        <v>46222.625</v>
      </c>
      <c r="I4" s="4" t="b">
        <f>_xlfn.IFNA(IF(((INDEX(Requirements!G2:G14, MATCH(D4,Requirements!A2:A14, 0))="")=TRUE),  "",  INDEX(Requirements!G2:G14, MATCH(D4,Requirements!A2:A14, 0))), "")</f>
        <v>1</v>
      </c>
      <c r="J4" s="4" t="b">
        <f>E4 = "Satisfied"</f>
        <v>1</v>
      </c>
      <c r="K4" s="4" t="b">
        <f>AND(((I4)=TRUE), ((NOT(((J4)=TRUE)))=TRUE))</f>
        <v>0</v>
      </c>
      <c r="L4" s="4" t="str">
        <f>IF(((K4)=TRUE),  C4,  "")</f>
      </c>
      <c r="M4" s="4" t="str">
        <f>IF(((I4)=TRUE),  C4,  "")</f>
        <v>se-close05</v>
      </c>
      <c r="N4" s="4" t="str">
        <f>IF(((NOT(((J4)=TRUE)))=TRUE),  D4,  "")</f>
      </c>
      <c r="O4" s="4" t="str">
        <f>_xlfn.IFNA(IF(((INDEX(Agents!D2:D12, MATCH(G4,Agents!A2:A12, 0))="")=TRUE),  "",  INDEX(Agents!D2:D12, MATCH(G4,Agents!A2:A12, 0))), "")</f>
        <v>Human</v>
      </c>
      <c r="P4" s="4" t="b">
        <f>AND(((I4)=TRUE), ((O4 &lt;&gt; "Human")=TRUE))</f>
        <v>0</v>
      </c>
      <c r="Q4" s="4" t="b">
        <f>_xlfn.IFNA(IF(((INDEX(Requirements!O2:O14, MATCH(D4,Requirements!A2:A14, 0))="")=TRUE),  "",  INDEX(Requirements!O2:O14, MATCH(D4,Requirements!A2:A14, 0))), "")</f>
        <v>1</v>
      </c>
      <c r="R4" s="4" t="b">
        <f>AND(((I4)=TRUE), ((J4)=TRUE), ((NOT(((Q4)=TRUE)))=TRUE))</f>
        <v>0</v>
      </c>
      <c r="S4" s="4" t="str">
        <f>IF(((R4)=TRUE),  T4,  "")</f>
      </c>
      <c r="T4" s="4" t="str">
        <f>_xlfn.IFNA(IF(((INDEX(StepExecutions!C2:C13, MATCH(C4,StepExecutions!A2:A13, 0))="")=TRUE),  "",  INDEX(StepExecutions!C2:C13, MATCH(C4,StepExecutions!A2:A13, 0))), "")</f>
        <v>exec-close-2026-q2</v>
      </c>
      <c r="U4" s="4" t="str">
        <f>IF(((E4 &lt;&gt; "")=TRUE),  C4,  "")</f>
        <v>se-close05</v>
      </c>
      <c r="V4" s="4" t="b">
        <f>O4 = "Human"</f>
        <v>1</v>
      </c>
      <c r="W4" s="4" t="str">
        <f>_xlfn.IFNA(IF(((INDEX(Requirements!D2:D14, MATCH(D4,Requirements!A2:A14, 0))="")=TRUE),  "",  INDEX(Requirements!D2:D14, MATCH(D4,Requirements!A2:A14, 0))), "")</f>
        <v>Governance</v>
      </c>
      <c r="X4" s="4" t="b">
        <f>AND(((W4 = "Approval")=TRUE), ((OR(((NOT(((J4)=TRUE)))=TRUE), ((NOT(((V4)=TRUE)))=TRUE)))=TRUE))</f>
        <v>0</v>
      </c>
      <c r="Y4" s="4" t="str">
        <f>_xlfn.IFNA(IF(((INDEX(StepExecutions!C2:C13, MATCH(C4,StepExecutions!A2:A13, 0))="")=TRUE),  "",  INDEX(StepExecutions!C2:C13, MATCH(C4,StepExecutions!A2:A13, 0))), "")</f>
        <v>exec-close-2026-q2</v>
      </c>
      <c r="Z4" s="4" t="str">
        <f>IF(((X4)=TRUE),  Y4,  "")</f>
      </c>
      <c r="AA4" s="4" t="b">
        <f>_xlfn.IFNA(IF(((INDEX(Requirements!R2:R14, MATCH(D4,Requirements!A2:A14, 0))="")=TRUE),  "",  INDEX(Requirements!R2:R14, MATCH(D4,Requirements!A2:A14, 0))), "")</f>
        <v>1</v>
      </c>
      <c r="AB4" s="4" t="b">
        <f>AND(((J4)=TRUE), ((I4)=TRUE), ((AA4)=TRUE))</f>
        <v>1</v>
      </c>
      <c r="AC4" s="4" t="str">
        <f>IF(((AB4)=TRUE),  C4,  "")</f>
        <v>se-close05</v>
      </c>
      <c r="AD4" s="4" t="str">
        <f>_xlfn.IFNA(IF(((INDEX(StepExecutions!D2:D13, MATCH(C4,StepExecutions!A2:A13, 0))="")=TRUE),  "",  INDEX(StepExecutions!D2:D13, MATCH(C4,StepExecutions!A2:A13, 0))), "")</f>
        <v>close-05</v>
      </c>
      <c r="AE4" s="4" t="str">
        <f>_xlfn.IFNA(IF(((INDEX(StepRequirements!A2:A16, MATCH(A4,StepRequirements!A2:A16, 0))="")=TRUE),  "",  INDEX(StepRequirements!A2:A16, MATCH(A4,StepRequirements!A2:A16, 0))), "")</f>
      </c>
      <c r="AF4" s="4" t="str">
        <f>_xlfn.IFNA(IF(((INDEX(StepExecutions!E2:E13, MATCH(C4,StepExecutions!A2:A13, 0))="")=TRUE),  "",  INDEX(StepExecutions!E2:E13, MATCH(C4,StepExecutions!A2:A13, 0))), "")</f>
        <v>devon-okafor</v>
      </c>
      <c r="AG4" s="4" t="b">
        <f>G4 = AF4</f>
        <v>0</v>
      </c>
      <c r="AH4" s="4" t="str">
        <f>_xlfn.IFNA(IF(((INDEX(ProcedureExecutions!G2:G3, MATCH(T4,ProcedureExecutions!A2:A3, 0))="")=TRUE),  "",  INDEX(ProcedureExecutions!G2:G3, MATCH(T4,ProcedureExecutions!A2:A3, 0))), "")</f>
        <v>devon-okafor</v>
      </c>
      <c r="AI4" s="4" t="b">
        <f>G4 = AH4</f>
        <v>0</v>
      </c>
      <c r="AJ4" s="4" t="b">
        <f>AND(((R4)=TRUE), ((OR(((AG4)=TRUE), ((AI4)=TRUE)))=TRUE))</f>
        <v>0</v>
      </c>
      <c r="AK4" s="4" t="b">
        <f>F4 &lt;&gt; ""</f>
        <v>1</v>
      </c>
      <c r="AL4" s="4" t="b">
        <f>AND(((R4)=TRUE), ((NOT(((AK4)=TRUE)))=TRUE))</f>
        <v>0</v>
      </c>
      <c r="AM4" s="4" t="str">
        <f>IF(((AJ4)=TRUE),  T4,  "")</f>
      </c>
      <c r="AN4" s="4" t="b">
        <f>AND(((I4)=TRUE), ((Q4)=TRUE))</f>
        <v>1</v>
      </c>
      <c r="AO4" s="4" t="str">
        <f>IF(((AN4)=TRUE),  T4,  "")</f>
        <v>exec-close-2026-q2</v>
      </c>
      <c r="AP4" s="4" t="str">
        <f>_xlfn.IFNA(IF(((INDEX(StepExecutions!E2:E13, MATCH(C4,StepExecutions!A2:A13, 0))="")=TRUE),  "",  INDEX(StepExecutions!E2:E13, MATCH(C4,StepExecutions!A2:A13, 0))), "")</f>
        <v>devon-okafor</v>
      </c>
      <c r="AQ4" s="4" t="b">
        <f>IF(((OR((((H4)="")=TRUE), (((AR4)="")=TRUE)))=TRUE),  0,  ((H4 - AR4) * 1440)) &gt; 0</f>
        <v>1</v>
      </c>
      <c r="AR4" s="7">
        <f>_xlfn.IFNA(IF(((INDEX(ProcedureExecutions!BK2:BK3, MATCH(T4,ProcedureExecutions!A2:A3, 0))="")=TRUE),  "",  INDEX(ProcedureExecutions!BK2:BK3, MATCH(T4,ProcedureExecutions!A2:A3, 0))), "")</f>
        <v>0</v>
      </c>
      <c r="AS4" s="4" t="str">
        <f>IF(((AQ4)=TRUE),  T4,  "")</f>
        <v>exec-close-2026-q2</v>
      </c>
      <c r="AT4" s="3" t="s">
        <v>1511</v>
      </c>
    </row>
    <row r="5">
      <c r="A5" s="3" t="s">
        <v>1516</v>
      </c>
      <c r="B5" s="4" t="str">
        <f>D5 &amp; " / " &amp; E5</f>
        <v>req-close-human-approval / Satisfied</v>
      </c>
      <c r="C5" s="3" t="s">
        <v>1457</v>
      </c>
      <c r="D5" s="3" t="s">
        <v>867</v>
      </c>
      <c r="E5" s="3" t="s">
        <v>1509</v>
      </c>
      <c r="F5" s="3" t="s">
        <v>1517</v>
      </c>
      <c r="G5" s="3" t="s">
        <v>149</v>
      </c>
      <c r="H5" s="5">
        <v>46222.625</v>
      </c>
      <c r="I5" s="4" t="b">
        <f>_xlfn.IFNA(IF(((INDEX(Requirements!G2:G14, MATCH(D5,Requirements!A2:A14, 0))="")=TRUE),  "",  INDEX(Requirements!G2:G14, MATCH(D5,Requirements!A2:A14, 0))), "")</f>
        <v>1</v>
      </c>
      <c r="J5" s="4" t="b">
        <f>E5 = "Satisfied"</f>
        <v>1</v>
      </c>
      <c r="K5" s="4" t="b">
        <f>AND(((I5)=TRUE), ((NOT(((J5)=TRUE)))=TRUE))</f>
        <v>0</v>
      </c>
      <c r="L5" s="4" t="str">
        <f>IF(((K5)=TRUE),  C5,  "")</f>
      </c>
      <c r="M5" s="4" t="str">
        <f>IF(((I5)=TRUE),  C5,  "")</f>
        <v>se-close06</v>
      </c>
      <c r="N5" s="4" t="str">
        <f>IF(((NOT(((J5)=TRUE)))=TRUE),  D5,  "")</f>
      </c>
      <c r="O5" s="4" t="str">
        <f>_xlfn.IFNA(IF(((INDEX(Agents!D2:D12, MATCH(G5,Agents!A2:A12, 0))="")=TRUE),  "",  INDEX(Agents!D2:D12, MATCH(G5,Agents!A2:A12, 0))), "")</f>
        <v>Human</v>
      </c>
      <c r="P5" s="4" t="b">
        <f>AND(((I5)=TRUE), ((O5 &lt;&gt; "Human")=TRUE))</f>
        <v>0</v>
      </c>
      <c r="Q5" s="4" t="b">
        <f>_xlfn.IFNA(IF(((INDEX(Requirements!O2:O14, MATCH(D5,Requirements!A2:A14, 0))="")=TRUE),  "",  INDEX(Requirements!O2:O14, MATCH(D5,Requirements!A2:A14, 0))), "")</f>
        <v>0</v>
      </c>
      <c r="R5" s="4" t="b">
        <f>AND(((I5)=TRUE), ((J5)=TRUE), ((NOT(((Q5)=TRUE)))=TRUE))</f>
        <v>1</v>
      </c>
      <c r="S5" s="4" t="str">
        <f>IF(((R5)=TRUE),  T5,  "")</f>
        <v>exec-close-2026-q2</v>
      </c>
      <c r="T5" s="4" t="str">
        <f>_xlfn.IFNA(IF(((INDEX(StepExecutions!C2:C13, MATCH(C5,StepExecutions!A2:A13, 0))="")=TRUE),  "",  INDEX(StepExecutions!C2:C13, MATCH(C5,StepExecutions!A2:A13, 0))), "")</f>
        <v>exec-close-2026-q2</v>
      </c>
      <c r="U5" s="4" t="str">
        <f>IF(((E5 &lt;&gt; "")=TRUE),  C5,  "")</f>
        <v>se-close06</v>
      </c>
      <c r="V5" s="4" t="b">
        <f>O5 = "Human"</f>
        <v>1</v>
      </c>
      <c r="W5" s="4" t="str">
        <f>_xlfn.IFNA(IF(((INDEX(Requirements!D2:D14, MATCH(D5,Requirements!A2:A14, 0))="")=TRUE),  "",  INDEX(Requirements!D2:D14, MATCH(D5,Requirements!A2:A14, 0))), "")</f>
        <v>Approval</v>
      </c>
      <c r="X5" s="4" t="b">
        <f>AND(((W5 = "Approval")=TRUE), ((OR(((NOT(((J5)=TRUE)))=TRUE), ((NOT(((V5)=TRUE)))=TRUE)))=TRUE))</f>
        <v>0</v>
      </c>
      <c r="Y5" s="4" t="str">
        <f>_xlfn.IFNA(IF(((INDEX(StepExecutions!C2:C13, MATCH(C5,StepExecutions!A2:A13, 0))="")=TRUE),  "",  INDEX(StepExecutions!C2:C13, MATCH(C5,StepExecutions!A2:A13, 0))), "")</f>
        <v>exec-close-2026-q2</v>
      </c>
      <c r="Z5" s="4" t="str">
        <f>IF(((X5)=TRUE),  Y5,  "")</f>
      </c>
      <c r="AA5" s="4" t="b">
        <f>_xlfn.IFNA(IF(((INDEX(Requirements!R2:R14, MATCH(D5,Requirements!A2:A14, 0))="")=TRUE),  "",  INDEX(Requirements!R2:R14, MATCH(D5,Requirements!A2:A14, 0))), "")</f>
        <v>1</v>
      </c>
      <c r="AB5" s="4" t="b">
        <f>AND(((J5)=TRUE), ((I5)=TRUE), ((AA5)=TRUE))</f>
        <v>1</v>
      </c>
      <c r="AC5" s="4" t="str">
        <f>IF(((AB5)=TRUE),  C5,  "")</f>
        <v>se-close06</v>
      </c>
      <c r="AD5" s="4" t="str">
        <f>_xlfn.IFNA(IF(((INDEX(StepExecutions!D2:D13, MATCH(C5,StepExecutions!A2:A13, 0))="")=TRUE),  "",  INDEX(StepExecutions!D2:D13, MATCH(C5,StepExecutions!A2:A13, 0))), "")</f>
        <v>close-06</v>
      </c>
      <c r="AE5" s="4" t="str">
        <f>_xlfn.IFNA(IF(((INDEX(StepRequirements!A2:A16, MATCH(A5,StepRequirements!A2:A16, 0))="")=TRUE),  "",  INDEX(StepRequirements!A2:A16, MATCH(A5,StepRequirements!A2:A16, 0))), "")</f>
      </c>
      <c r="AF5" s="4" t="str">
        <f>_xlfn.IFNA(IF(((INDEX(StepExecutions!E2:E13, MATCH(C5,StepExecutions!A2:A13, 0))="")=TRUE),  "",  INDEX(StepExecutions!E2:E13, MATCH(C5,StepExecutions!A2:A13, 0))), "")</f>
        <v>priya-raman</v>
      </c>
      <c r="AG5" s="4" t="b">
        <f>G5 = AF5</f>
        <v>1</v>
      </c>
      <c r="AH5" s="4" t="str">
        <f>_xlfn.IFNA(IF(((INDEX(ProcedureExecutions!G2:G3, MATCH(T5,ProcedureExecutions!A2:A3, 0))="")=TRUE),  "",  INDEX(ProcedureExecutions!G2:G3, MATCH(T5,ProcedureExecutions!A2:A3, 0))), "")</f>
        <v>devon-okafor</v>
      </c>
      <c r="AI5" s="4" t="b">
        <f>G5 = AH5</f>
        <v>0</v>
      </c>
      <c r="AJ5" s="4" t="b">
        <f>AND(((R5)=TRUE), ((OR(((AG5)=TRUE), ((AI5)=TRUE)))=TRUE))</f>
        <v>1</v>
      </c>
      <c r="AK5" s="4" t="b">
        <f>F5 &lt;&gt; ""</f>
        <v>1</v>
      </c>
      <c r="AL5" s="4" t="b">
        <f>AND(((R5)=TRUE), ((NOT(((AK5)=TRUE)))=TRUE))</f>
        <v>0</v>
      </c>
      <c r="AM5" s="4" t="str">
        <f>IF(((AJ5)=TRUE),  T5,  "")</f>
        <v>exec-close-2026-q2</v>
      </c>
      <c r="AN5" s="4" t="b">
        <f>AND(((I5)=TRUE), ((Q5)=TRUE))</f>
        <v>0</v>
      </c>
      <c r="AO5" s="4" t="str">
        <f>IF(((AN5)=TRUE),  T5,  "")</f>
      </c>
      <c r="AP5" s="4" t="str">
        <f>_xlfn.IFNA(IF(((INDEX(StepExecutions!E2:E13, MATCH(C5,StepExecutions!A2:A13, 0))="")=TRUE),  "",  INDEX(StepExecutions!E2:E13, MATCH(C5,StepExecutions!A2:A13, 0))), "")</f>
        <v>priya-raman</v>
      </c>
      <c r="AQ5" s="4" t="b">
        <f>IF(((OR((((H5)="")=TRUE), (((AR5)="")=TRUE)))=TRUE),  0,  ((H5 - AR5) * 1440)) &gt; 0</f>
        <v>1</v>
      </c>
      <c r="AR5" s="7">
        <f>_xlfn.IFNA(IF(((INDEX(ProcedureExecutions!BK2:BK3, MATCH(T5,ProcedureExecutions!A2:A3, 0))="")=TRUE),  "",  INDEX(ProcedureExecutions!BK2:BK3, MATCH(T5,ProcedureExecutions!A2:A3, 0))), "")</f>
        <v>0</v>
      </c>
      <c r="AS5" s="4" t="str">
        <f>IF(((AQ5)=TRUE),  T5,  "")</f>
        <v>exec-close-2026-q2</v>
      </c>
      <c r="AT5" s="3" t="s">
        <v>1511</v>
      </c>
    </row>
    <row r="6">
      <c r="A6" s="3" t="s">
        <v>1518</v>
      </c>
      <c r="B6" s="4" t="str">
        <f>D6 &amp; " / " &amp; E6</f>
        <v>req-policy-source / Satisfied</v>
      </c>
      <c r="C6" s="3" t="s">
        <v>1463</v>
      </c>
      <c r="D6" s="3" t="s">
        <v>872</v>
      </c>
      <c r="E6" s="3" t="s">
        <v>1509</v>
      </c>
      <c r="F6" s="3" t="s">
        <v>1519</v>
      </c>
      <c r="G6" s="3" t="s">
        <v>153</v>
      </c>
      <c r="H6" s="5">
        <v>46222.625</v>
      </c>
      <c r="I6" s="4" t="b">
        <f>_xlfn.IFNA(IF(((INDEX(Requirements!G2:G14, MATCH(D6,Requirements!A2:A14, 0))="")=TRUE),  "",  INDEX(Requirements!G2:G14, MATCH(D6,Requirements!A2:A14, 0))), "")</f>
        <v>1</v>
      </c>
      <c r="J6" s="4" t="b">
        <f>E6 = "Satisfied"</f>
        <v>1</v>
      </c>
      <c r="K6" s="4" t="b">
        <f>AND(((I6)=TRUE), ((NOT(((J6)=TRUE)))=TRUE))</f>
        <v>0</v>
      </c>
      <c r="L6" s="4" t="str">
        <f>IF(((K6)=TRUE),  C6,  "")</f>
      </c>
      <c r="M6" s="4" t="str">
        <f>IF(((I6)=TRUE),  C6,  "")</f>
        <v>se-policy03</v>
      </c>
      <c r="N6" s="4" t="str">
        <f>IF(((NOT(((J6)=TRUE)))=TRUE),  D6,  "")</f>
      </c>
      <c r="O6" s="4" t="str">
        <f>_xlfn.IFNA(IF(((INDEX(Agents!D2:D12, MATCH(G6,Agents!A2:A12, 0))="")=TRUE),  "",  INDEX(Agents!D2:D12, MATCH(G6,Agents!A2:A12, 0))), "")</f>
        <v>Human</v>
      </c>
      <c r="P6" s="4" t="b">
        <f>AND(((I6)=TRUE), ((O6 &lt;&gt; "Human")=TRUE))</f>
        <v>0</v>
      </c>
      <c r="Q6" s="4" t="b">
        <f>_xlfn.IFNA(IF(((INDEX(Requirements!O2:O14, MATCH(D6,Requirements!A2:A14, 0))="")=TRUE),  "",  INDEX(Requirements!O2:O14, MATCH(D6,Requirements!A2:A14, 0))), "")</f>
        <v>0</v>
      </c>
      <c r="R6" s="4" t="b">
        <f>AND(((I6)=TRUE), ((J6)=TRUE), ((NOT(((Q6)=TRUE)))=TRUE))</f>
        <v>1</v>
      </c>
      <c r="S6" s="4" t="str">
        <f>IF(((R6)=TRUE),  T6,  "")</f>
        <v>exec-policy-hr4821</v>
      </c>
      <c r="T6" s="4" t="str">
        <f>_xlfn.IFNA(IF(((INDEX(StepExecutions!C2:C13, MATCH(C6,StepExecutions!A2:A13, 0))="")=TRUE),  "",  INDEX(StepExecutions!C2:C13, MATCH(C6,StepExecutions!A2:A13, 0))), "")</f>
        <v>exec-policy-hr4821</v>
      </c>
      <c r="U6" s="4" t="str">
        <f>IF(((E6 &lt;&gt; "")=TRUE),  C6,  "")</f>
        <v>se-policy03</v>
      </c>
      <c r="V6" s="4" t="b">
        <f>O6 = "Human"</f>
        <v>1</v>
      </c>
      <c r="W6" s="4" t="str">
        <f>_xlfn.IFNA(IF(((INDEX(Requirements!D2:D14, MATCH(D6,Requirements!A2:A14, 0))="")=TRUE),  "",  INDEX(Requirements!D2:D14, MATCH(D6,Requirements!A2:A14, 0))), "")</f>
        <v>Provenance</v>
      </c>
      <c r="X6" s="4" t="b">
        <f>AND(((W6 = "Approval")=TRUE), ((OR(((NOT(((J6)=TRUE)))=TRUE), ((NOT(((V6)=TRUE)))=TRUE)))=TRUE))</f>
        <v>0</v>
      </c>
      <c r="Y6" s="4" t="str">
        <f>_xlfn.IFNA(IF(((INDEX(StepExecutions!C2:C13, MATCH(C6,StepExecutions!A2:A13, 0))="")=TRUE),  "",  INDEX(StepExecutions!C2:C13, MATCH(C6,StepExecutions!A2:A13, 0))), "")</f>
        <v>exec-policy-hr4821</v>
      </c>
      <c r="Z6" s="4" t="str">
        <f>IF(((X6)=TRUE),  Y6,  "")</f>
      </c>
      <c r="AA6" s="4" t="b">
        <f>_xlfn.IFNA(IF(((INDEX(Requirements!R2:R14, MATCH(D6,Requirements!A2:A14, 0))="")=TRUE),  "",  INDEX(Requirements!R2:R14, MATCH(D6,Requirements!A2:A14, 0))), "")</f>
        <v>1</v>
      </c>
      <c r="AB6" s="4" t="b">
        <f>AND(((J6)=TRUE), ((I6)=TRUE), ((AA6)=TRUE))</f>
        <v>1</v>
      </c>
      <c r="AC6" s="4" t="str">
        <f>IF(((AB6)=TRUE),  C6,  "")</f>
        <v>se-policy03</v>
      </c>
      <c r="AD6" s="4" t="str">
        <f>_xlfn.IFNA(IF(((INDEX(StepExecutions!D2:D13, MATCH(C6,StepExecutions!A2:A13, 0))="")=TRUE),  "",  INDEX(StepExecutions!D2:D13, MATCH(C6,StepExecutions!A2:A13, 0))), "")</f>
        <v>policy-03</v>
      </c>
      <c r="AE6" s="4" t="str">
        <f>_xlfn.IFNA(IF(((INDEX(StepRequirements!A2:A16, MATCH(A6,StepRequirements!A2:A16, 0))="")=TRUE),  "",  INDEX(StepRequirements!A2:A16, MATCH(A6,StepRequirements!A2:A16, 0))), "")</f>
      </c>
      <c r="AF6" s="4" t="str">
        <f>_xlfn.IFNA(IF(((INDEX(StepExecutions!E2:E13, MATCH(C6,StepExecutions!A2:A13, 0))="")=TRUE),  "",  INDEX(StepExecutions!E2:E13, MATCH(C6,StepExecutions!A2:A13, 0))), "")</f>
        <v>policy-drafting-ai</v>
      </c>
      <c r="AG6" s="4" t="b">
        <f>G6 = AF6</f>
        <v>0</v>
      </c>
      <c r="AH6" s="4" t="str">
        <f>_xlfn.IFNA(IF(((INDEX(ProcedureExecutions!G2:G3, MATCH(T6,ProcedureExecutions!A2:A3, 0))="")=TRUE),  "",  INDEX(ProcedureExecutions!G2:G3, MATCH(T6,ProcedureExecutions!A2:A3, 0))), "")</f>
        <v>elena-garcia</v>
      </c>
      <c r="AI6" s="4" t="b">
        <f>G6 = AH6</f>
        <v>1</v>
      </c>
      <c r="AJ6" s="4" t="b">
        <f>AND(((R6)=TRUE), ((OR(((AG6)=TRUE), ((AI6)=TRUE)))=TRUE))</f>
        <v>1</v>
      </c>
      <c r="AK6" s="4" t="b">
        <f>F6 &lt;&gt; ""</f>
        <v>1</v>
      </c>
      <c r="AL6" s="4" t="b">
        <f>AND(((R6)=TRUE), ((NOT(((AK6)=TRUE)))=TRUE))</f>
        <v>0</v>
      </c>
      <c r="AM6" s="4" t="str">
        <f>IF(((AJ6)=TRUE),  T6,  "")</f>
        <v>exec-policy-hr4821</v>
      </c>
      <c r="AN6" s="4" t="b">
        <f>AND(((I6)=TRUE), ((Q6)=TRUE))</f>
        <v>0</v>
      </c>
      <c r="AO6" s="4" t="str">
        <f>IF(((AN6)=TRUE),  T6,  "")</f>
      </c>
      <c r="AP6" s="4" t="str">
        <f>_xlfn.IFNA(IF(((INDEX(StepExecutions!E2:E13, MATCH(C6,StepExecutions!A2:A13, 0))="")=TRUE),  "",  INDEX(StepExecutions!E2:E13, MATCH(C6,StepExecutions!A2:A13, 0))), "")</f>
        <v>policy-drafting-ai</v>
      </c>
      <c r="AQ6" s="4" t="b">
        <f>IF(((OR((((H6)="")=TRUE), (((AR6)="")=TRUE)))=TRUE),  0,  ((H6 - AR6) * 1440)) &gt; 0</f>
        <v>1</v>
      </c>
      <c r="AR6" s="7">
        <f>_xlfn.IFNA(IF(((INDEX(ProcedureExecutions!BK2:BK3, MATCH(T6,ProcedureExecutions!A2:A3, 0))="")=TRUE),  "",  INDEX(ProcedureExecutions!BK2:BK3, MATCH(T6,ProcedureExecutions!A2:A3, 0))), "")</f>
        <v>0</v>
      </c>
      <c r="AS6" s="4" t="str">
        <f>IF(((AQ6)=TRUE),  T6,  "")</f>
        <v>exec-policy-hr4821</v>
      </c>
      <c r="AT6" s="3" t="s">
        <v>1511</v>
      </c>
    </row>
    <row r="7">
      <c r="A7" s="3" t="s">
        <v>1520</v>
      </c>
      <c r="B7" s="4" t="str">
        <f>D7 &amp; " / " &amp; E7</f>
        <v>req-policy-legal / Satisfied</v>
      </c>
      <c r="C7" s="3" t="s">
        <v>1464</v>
      </c>
      <c r="D7" s="3" t="s">
        <v>877</v>
      </c>
      <c r="E7" s="3" t="s">
        <v>1509</v>
      </c>
      <c r="F7" s="3" t="s">
        <v>1521</v>
      </c>
      <c r="G7" s="3" t="s">
        <v>157</v>
      </c>
      <c r="H7" s="5">
        <v>46222.78125</v>
      </c>
      <c r="I7" s="4" t="b">
        <f>_xlfn.IFNA(IF(((INDEX(Requirements!G2:G14, MATCH(D7,Requirements!A2:A14, 0))="")=TRUE),  "",  INDEX(Requirements!G2:G14, MATCH(D7,Requirements!A2:A14, 0))), "")</f>
        <v>1</v>
      </c>
      <c r="J7" s="4" t="b">
        <f>E7 = "Satisfied"</f>
        <v>1</v>
      </c>
      <c r="K7" s="4" t="b">
        <f>AND(((I7)=TRUE), ((NOT(((J7)=TRUE)))=TRUE))</f>
        <v>0</v>
      </c>
      <c r="L7" s="4" t="str">
        <f>IF(((K7)=TRUE),  C7,  "")</f>
      </c>
      <c r="M7" s="4" t="str">
        <f>IF(((I7)=TRUE),  C7,  "")</f>
        <v>se-policy04</v>
      </c>
      <c r="N7" s="4" t="str">
        <f>IF(((NOT(((J7)=TRUE)))=TRUE),  D7,  "")</f>
      </c>
      <c r="O7" s="4" t="str">
        <f>_xlfn.IFNA(IF(((INDEX(Agents!D2:D12, MATCH(G7,Agents!A2:A12, 0))="")=TRUE),  "",  INDEX(Agents!D2:D12, MATCH(G7,Agents!A2:A12, 0))), "")</f>
        <v>Human</v>
      </c>
      <c r="P7" s="4" t="b">
        <f>AND(((I7)=TRUE), ((O7 &lt;&gt; "Human")=TRUE))</f>
        <v>0</v>
      </c>
      <c r="Q7" s="4" t="b">
        <f>_xlfn.IFNA(IF(((INDEX(Requirements!O2:O14, MATCH(D7,Requirements!A2:A14, 0))="")=TRUE),  "",  INDEX(Requirements!O2:O14, MATCH(D7,Requirements!A2:A14, 0))), "")</f>
        <v>0</v>
      </c>
      <c r="R7" s="4" t="b">
        <f>AND(((I7)=TRUE), ((J7)=TRUE), ((NOT(((Q7)=TRUE)))=TRUE))</f>
        <v>1</v>
      </c>
      <c r="S7" s="4" t="str">
        <f>IF(((R7)=TRUE),  T7,  "")</f>
        <v>exec-policy-hr4821</v>
      </c>
      <c r="T7" s="4" t="str">
        <f>_xlfn.IFNA(IF(((INDEX(StepExecutions!C2:C13, MATCH(C7,StepExecutions!A2:A13, 0))="")=TRUE),  "",  INDEX(StepExecutions!C2:C13, MATCH(C7,StepExecutions!A2:A13, 0))), "")</f>
        <v>exec-policy-hr4821</v>
      </c>
      <c r="U7" s="4" t="str">
        <f>IF(((E7 &lt;&gt; "")=TRUE),  C7,  "")</f>
        <v>se-policy04</v>
      </c>
      <c r="V7" s="4" t="b">
        <f>O7 = "Human"</f>
        <v>1</v>
      </c>
      <c r="W7" s="4" t="str">
        <f>_xlfn.IFNA(IF(((INDEX(Requirements!D2:D14, MATCH(D7,Requirements!A2:A14, 0))="")=TRUE),  "",  INDEX(Requirements!D2:D14, MATCH(D7,Requirements!A2:A14, 0))), "")</f>
        <v>Approval</v>
      </c>
      <c r="X7" s="4" t="b">
        <f>AND(((W7 = "Approval")=TRUE), ((OR(((NOT(((J7)=TRUE)))=TRUE), ((NOT(((V7)=TRUE)))=TRUE)))=TRUE))</f>
        <v>0</v>
      </c>
      <c r="Y7" s="4" t="str">
        <f>_xlfn.IFNA(IF(((INDEX(StepExecutions!C2:C13, MATCH(C7,StepExecutions!A2:A13, 0))="")=TRUE),  "",  INDEX(StepExecutions!C2:C13, MATCH(C7,StepExecutions!A2:A13, 0))), "")</f>
        <v>exec-policy-hr4821</v>
      </c>
      <c r="Z7" s="4" t="str">
        <f>IF(((X7)=TRUE),  Y7,  "")</f>
      </c>
      <c r="AA7" s="4" t="b">
        <f>_xlfn.IFNA(IF(((INDEX(Requirements!R2:R14, MATCH(D7,Requirements!A2:A14, 0))="")=TRUE),  "",  INDEX(Requirements!R2:R14, MATCH(D7,Requirements!A2:A14, 0))), "")</f>
        <v>1</v>
      </c>
      <c r="AB7" s="4" t="b">
        <f>AND(((J7)=TRUE), ((I7)=TRUE), ((AA7)=TRUE))</f>
        <v>1</v>
      </c>
      <c r="AC7" s="4" t="str">
        <f>IF(((AB7)=TRUE),  C7,  "")</f>
        <v>se-policy04</v>
      </c>
      <c r="AD7" s="4" t="str">
        <f>_xlfn.IFNA(IF(((INDEX(StepExecutions!D2:D13, MATCH(C7,StepExecutions!A2:A13, 0))="")=TRUE),  "",  INDEX(StepExecutions!D2:D13, MATCH(C7,StepExecutions!A2:A13, 0))), "")</f>
        <v>policy-04</v>
      </c>
      <c r="AE7" s="4" t="str">
        <f>_xlfn.IFNA(IF(((INDEX(StepRequirements!A2:A16, MATCH(A7,StepRequirements!A2:A16, 0))="")=TRUE),  "",  INDEX(StepRequirements!A2:A16, MATCH(A7,StepRequirements!A2:A16, 0))), "")</f>
      </c>
      <c r="AF7" s="4" t="str">
        <f>_xlfn.IFNA(IF(((INDEX(StepExecutions!E2:E13, MATCH(C7,StepExecutions!A2:A13, 0))="")=TRUE),  "",  INDEX(StepExecutions!E2:E13, MATCH(C7,StepExecutions!A2:A13, 0))), "")</f>
        <v>noah-williams</v>
      </c>
      <c r="AG7" s="4" t="b">
        <f>G7 = AF7</f>
        <v>1</v>
      </c>
      <c r="AH7" s="4" t="str">
        <f>_xlfn.IFNA(IF(((INDEX(ProcedureExecutions!G2:G3, MATCH(T7,ProcedureExecutions!A2:A3, 0))="")=TRUE),  "",  INDEX(ProcedureExecutions!G2:G3, MATCH(T7,ProcedureExecutions!A2:A3, 0))), "")</f>
        <v>elena-garcia</v>
      </c>
      <c r="AI7" s="4" t="b">
        <f>G7 = AH7</f>
        <v>0</v>
      </c>
      <c r="AJ7" s="4" t="b">
        <f>AND(((R7)=TRUE), ((OR(((AG7)=TRUE), ((AI7)=TRUE)))=TRUE))</f>
        <v>1</v>
      </c>
      <c r="AK7" s="4" t="b">
        <f>F7 &lt;&gt; ""</f>
        <v>1</v>
      </c>
      <c r="AL7" s="4" t="b">
        <f>AND(((R7)=TRUE), ((NOT(((AK7)=TRUE)))=TRUE))</f>
        <v>0</v>
      </c>
      <c r="AM7" s="4" t="str">
        <f>IF(((AJ7)=TRUE),  T7,  "")</f>
        <v>exec-policy-hr4821</v>
      </c>
      <c r="AN7" s="4" t="b">
        <f>AND(((I7)=TRUE), ((Q7)=TRUE))</f>
        <v>0</v>
      </c>
      <c r="AO7" s="4" t="str">
        <f>IF(((AN7)=TRUE),  T7,  "")</f>
      </c>
      <c r="AP7" s="4" t="str">
        <f>_xlfn.IFNA(IF(((INDEX(StepExecutions!E2:E13, MATCH(C7,StepExecutions!A2:A13, 0))="")=TRUE),  "",  INDEX(StepExecutions!E2:E13, MATCH(C7,StepExecutions!A2:A13, 0))), "")</f>
        <v>noah-williams</v>
      </c>
      <c r="AQ7" s="4" t="b">
        <f>IF(((OR((((H7)="")=TRUE), (((AR7)="")=TRUE)))=TRUE),  0,  ((H7 - AR7) * 1440)) &gt; 0</f>
        <v>1</v>
      </c>
      <c r="AR7" s="7">
        <f>_xlfn.IFNA(IF(((INDEX(ProcedureExecutions!BK2:BK3, MATCH(T7,ProcedureExecutions!A2:A3, 0))="")=TRUE),  "",  INDEX(ProcedureExecutions!BK2:BK3, MATCH(T7,ProcedureExecutions!A2:A3, 0))), "")</f>
        <v>0</v>
      </c>
      <c r="AS7" s="4" t="str">
        <f>IF(((AQ7)=TRUE),  T7,  "")</f>
        <v>exec-policy-hr4821</v>
      </c>
      <c r="AT7" s="3" t="s">
        <v>1511</v>
      </c>
    </row>
    <row r="8">
      <c r="A8" s="3" t="s">
        <v>1522</v>
      </c>
      <c r="B8" s="4" t="str">
        <f>D8 &amp; " / " &amp; E8</f>
        <v>req-close-evidence / Unsatisfied</v>
      </c>
      <c r="C8" s="3" t="s">
        <v>1453</v>
      </c>
      <c r="D8" s="3" t="s">
        <v>860</v>
      </c>
      <c r="E8" s="3" t="s">
        <v>1523</v>
      </c>
      <c r="F8" s="3" t="s">
        <v>1524</v>
      </c>
      <c r="G8" s="3" t="s">
        <v>145</v>
      </c>
      <c r="H8" s="5">
        <v>46222.625</v>
      </c>
      <c r="I8" s="4" t="b">
        <f>_xlfn.IFNA(IF(((INDEX(Requirements!G2:G14, MATCH(D8,Requirements!A2:A14, 0))="")=TRUE),  "",  INDEX(Requirements!G2:G14, MATCH(D8,Requirements!A2:A14, 0))), "")</f>
        <v>1</v>
      </c>
      <c r="J8" s="4" t="b">
        <f>E8 = "Satisfied"</f>
        <v>0</v>
      </c>
      <c r="K8" s="4" t="b">
        <f>AND(((I8)=TRUE), ((NOT(((J8)=TRUE)))=TRUE))</f>
        <v>1</v>
      </c>
      <c r="L8" s="4" t="str">
        <f>IF(((K8)=TRUE),  C8,  "")</f>
        <v>se-close03</v>
      </c>
      <c r="M8" s="4" t="str">
        <f>IF(((I8)=TRUE),  C8,  "")</f>
        <v>se-close03</v>
      </c>
      <c r="N8" s="4" t="str">
        <f>IF(((NOT(((J8)=TRUE)))=TRUE),  D8,  "")</f>
        <v>req-close-evidence</v>
      </c>
      <c r="O8" s="4" t="str">
        <f>_xlfn.IFNA(IF(((INDEX(Agents!D2:D12, MATCH(G8,Agents!A2:A12, 0))="")=TRUE),  "",  INDEX(Agents!D2:D12, MATCH(G8,Agents!A2:A12, 0))), "")</f>
        <v>Human</v>
      </c>
      <c r="P8" s="4" t="b">
        <f>AND(((I8)=TRUE), ((O8 &lt;&gt; "Human")=TRUE))</f>
        <v>0</v>
      </c>
      <c r="Q8" s="4" t="b">
        <f>_xlfn.IFNA(IF(((INDEX(Requirements!O2:O14, MATCH(D8,Requirements!A2:A14, 0))="")=TRUE),  "",  INDEX(Requirements!O2:O14, MATCH(D8,Requirements!A2:A14, 0))), "")</f>
        <v>1</v>
      </c>
      <c r="R8" s="4" t="b">
        <f>AND(((I8)=TRUE), ((J8)=TRUE), ((NOT(((Q8)=TRUE)))=TRUE))</f>
        <v>0</v>
      </c>
      <c r="S8" s="4" t="str">
        <f>IF(((R8)=TRUE),  T8,  "")</f>
      </c>
      <c r="T8" s="4" t="str">
        <f>_xlfn.IFNA(IF(((INDEX(StepExecutions!C2:C13, MATCH(C8,StepExecutions!A2:A13, 0))="")=TRUE),  "",  INDEX(StepExecutions!C2:C13, MATCH(C8,StepExecutions!A2:A13, 0))), "")</f>
        <v>exec-close-2026-q2</v>
      </c>
      <c r="U8" s="4" t="str">
        <f>IF(((E8 &lt;&gt; "")=TRUE),  C8,  "")</f>
        <v>se-close03</v>
      </c>
      <c r="V8" s="4" t="b">
        <f>O8 = "Human"</f>
        <v>1</v>
      </c>
      <c r="W8" s="4" t="str">
        <f>_xlfn.IFNA(IF(((INDEX(Requirements!D2:D14, MATCH(D8,Requirements!A2:A14, 0))="")=TRUE),  "",  INDEX(Requirements!D2:D14, MATCH(D8,Requirements!A2:A14, 0))), "")</f>
        <v>Retention</v>
      </c>
      <c r="X8" s="4" t="b">
        <f>AND(((W8 = "Approval")=TRUE), ((OR(((NOT(((J8)=TRUE)))=TRUE), ((NOT(((V8)=TRUE)))=TRUE)))=TRUE))</f>
        <v>0</v>
      </c>
      <c r="Y8" s="4" t="str">
        <f>_xlfn.IFNA(IF(((INDEX(StepExecutions!C2:C13, MATCH(C8,StepExecutions!A2:A13, 0))="")=TRUE),  "",  INDEX(StepExecutions!C2:C13, MATCH(C8,StepExecutions!A2:A13, 0))), "")</f>
        <v>exec-close-2026-q2</v>
      </c>
      <c r="Z8" s="4" t="str">
        <f>IF(((X8)=TRUE),  Y8,  "")</f>
      </c>
      <c r="AA8" s="4" t="b">
        <f>_xlfn.IFNA(IF(((INDEX(Requirements!R2:R14, MATCH(D8,Requirements!A2:A14, 0))="")=TRUE),  "",  INDEX(Requirements!R2:R14, MATCH(D8,Requirements!A2:A14, 0))), "")</f>
        <v>0</v>
      </c>
      <c r="AB8" s="4" t="b">
        <f>AND(((J8)=TRUE), ((I8)=TRUE), ((AA8)=TRUE))</f>
        <v>0</v>
      </c>
      <c r="AC8" s="4" t="str">
        <f>IF(((AB8)=TRUE),  C8,  "")</f>
      </c>
      <c r="AD8" s="4" t="str">
        <f>_xlfn.IFNA(IF(((INDEX(StepExecutions!D2:D13, MATCH(C8,StepExecutions!A2:A13, 0))="")=TRUE),  "",  INDEX(StepExecutions!D2:D13, MATCH(C8,StepExecutions!A2:A13, 0))), "")</f>
        <v>close-03</v>
      </c>
      <c r="AE8" s="4" t="str">
        <f>_xlfn.IFNA(IF(((INDEX(StepRequirements!A2:A16, MATCH(A8,StepRequirements!A2:A16, 0))="")=TRUE),  "",  INDEX(StepRequirements!A2:A16, MATCH(A8,StepRequirements!A2:A16, 0))), "")</f>
      </c>
      <c r="AF8" s="4" t="str">
        <f>_xlfn.IFNA(IF(((INDEX(StepExecutions!E2:E13, MATCH(C8,StepExecutions!A2:A13, 0))="")=TRUE),  "",  INDEX(StepExecutions!E2:E13, MATCH(C8,StepExecutions!A2:A13, 0))), "")</f>
        <v>maria-chen</v>
      </c>
      <c r="AG8" s="4" t="b">
        <f>G8 = AF8</f>
        <v>0</v>
      </c>
      <c r="AH8" s="4" t="str">
        <f>_xlfn.IFNA(IF(((INDEX(ProcedureExecutions!G2:G3, MATCH(T8,ProcedureExecutions!A2:A3, 0))="")=TRUE),  "",  INDEX(ProcedureExecutions!G2:G3, MATCH(T8,ProcedureExecutions!A2:A3, 0))), "")</f>
        <v>devon-okafor</v>
      </c>
      <c r="AI8" s="4" t="b">
        <f>G8 = AH8</f>
        <v>1</v>
      </c>
      <c r="AJ8" s="4" t="b">
        <f>AND(((R8)=TRUE), ((OR(((AG8)=TRUE), ((AI8)=TRUE)))=TRUE))</f>
        <v>0</v>
      </c>
      <c r="AK8" s="4" t="b">
        <f>F8 &lt;&gt; ""</f>
        <v>1</v>
      </c>
      <c r="AL8" s="4" t="b">
        <f>AND(((R8)=TRUE), ((NOT(((AK8)=TRUE)))=TRUE))</f>
        <v>0</v>
      </c>
      <c r="AM8" s="4" t="str">
        <f>IF(((AJ8)=TRUE),  T8,  "")</f>
      </c>
      <c r="AN8" s="4" t="b">
        <f>AND(((I8)=TRUE), ((Q8)=TRUE))</f>
        <v>1</v>
      </c>
      <c r="AO8" s="4" t="str">
        <f>IF(((AN8)=TRUE),  T8,  "")</f>
        <v>exec-close-2026-q2</v>
      </c>
      <c r="AP8" s="4" t="str">
        <f>_xlfn.IFNA(IF(((INDEX(StepExecutions!E2:E13, MATCH(C8,StepExecutions!A2:A13, 0))="")=TRUE),  "",  INDEX(StepExecutions!E2:E13, MATCH(C8,StepExecutions!A2:A13, 0))), "")</f>
        <v>maria-chen</v>
      </c>
      <c r="AQ8" s="4" t="b">
        <f>IF(((OR((((H8)="")=TRUE), (((AR8)="")=TRUE)))=TRUE),  0,  ((H8 - AR8) * 1440)) &gt; 0</f>
        <v>1</v>
      </c>
      <c r="AR8" s="7">
        <f>_xlfn.IFNA(IF(((INDEX(ProcedureExecutions!BK2:BK3, MATCH(T8,ProcedureExecutions!A2:A3, 0))="")=TRUE),  "",  INDEX(ProcedureExecutions!BK2:BK3, MATCH(T8,ProcedureExecutions!A2:A3, 0))), "")</f>
        <v>0</v>
      </c>
      <c r="AS8" s="4" t="str">
        <f>IF(((AQ8)=TRUE),  T8,  "")</f>
        <v>exec-close-2026-q2</v>
      </c>
      <c r="AT8" s="3" t="s">
        <v>846</v>
      </c>
    </row>
    <row r="9">
      <c r="A9" s="3" t="s">
        <v>1525</v>
      </c>
      <c r="B9" s="4" t="str">
        <f>D9 &amp; " / " &amp; E9</f>
        <v>req-close-evidence / Satisfied</v>
      </c>
      <c r="C9" s="3" t="s">
        <v>1459</v>
      </c>
      <c r="D9" s="3" t="s">
        <v>860</v>
      </c>
      <c r="E9" s="3" t="s">
        <v>1509</v>
      </c>
      <c r="F9" s="3" t="s">
        <v>1526</v>
      </c>
      <c r="G9" s="3" t="s">
        <v>145</v>
      </c>
      <c r="H9" s="5">
        <v>46222.79513888889</v>
      </c>
      <c r="I9" s="4" t="b">
        <f>_xlfn.IFNA(IF(((INDEX(Requirements!G2:G14, MATCH(D9,Requirements!A2:A14, 0))="")=TRUE),  "",  INDEX(Requirements!G2:G14, MATCH(D9,Requirements!A2:A14, 0))), "")</f>
        <v>1</v>
      </c>
      <c r="J9" s="4" t="b">
        <f>E9 = "Satisfied"</f>
        <v>1</v>
      </c>
      <c r="K9" s="4" t="b">
        <f>AND(((I9)=TRUE), ((NOT(((J9)=TRUE)))=TRUE))</f>
        <v>0</v>
      </c>
      <c r="L9" s="4" t="str">
        <f>IF(((K9)=TRUE),  C9,  "")</f>
      </c>
      <c r="M9" s="4" t="str">
        <f>IF(((I9)=TRUE),  C9,  "")</f>
        <v>se-close08</v>
      </c>
      <c r="N9" s="4" t="str">
        <f>IF(((NOT(((J9)=TRUE)))=TRUE),  D9,  "")</f>
      </c>
      <c r="O9" s="4" t="str">
        <f>_xlfn.IFNA(IF(((INDEX(Agents!D2:D12, MATCH(G9,Agents!A2:A12, 0))="")=TRUE),  "",  INDEX(Agents!D2:D12, MATCH(G9,Agents!A2:A12, 0))), "")</f>
        <v>Human</v>
      </c>
      <c r="P9" s="4" t="b">
        <f>AND(((I9)=TRUE), ((O9 &lt;&gt; "Human")=TRUE))</f>
        <v>0</v>
      </c>
      <c r="Q9" s="4" t="b">
        <f>_xlfn.IFNA(IF(((INDEX(Requirements!O2:O14, MATCH(D9,Requirements!A2:A14, 0))="")=TRUE),  "",  INDEX(Requirements!O2:O14, MATCH(D9,Requirements!A2:A14, 0))), "")</f>
        <v>1</v>
      </c>
      <c r="R9" s="4" t="b">
        <f>AND(((I9)=TRUE), ((J9)=TRUE), ((NOT(((Q9)=TRUE)))=TRUE))</f>
        <v>0</v>
      </c>
      <c r="S9" s="4" t="str">
        <f>IF(((R9)=TRUE),  T9,  "")</f>
      </c>
      <c r="T9" s="4" t="str">
        <f>_xlfn.IFNA(IF(((INDEX(StepExecutions!C2:C13, MATCH(C9,StepExecutions!A2:A13, 0))="")=TRUE),  "",  INDEX(StepExecutions!C2:C13, MATCH(C9,StepExecutions!A2:A13, 0))), "")</f>
        <v>exec-close-2026-q2</v>
      </c>
      <c r="U9" s="4" t="str">
        <f>IF(((E9 &lt;&gt; "")=TRUE),  C9,  "")</f>
        <v>se-close08</v>
      </c>
      <c r="V9" s="4" t="b">
        <f>O9 = "Human"</f>
        <v>1</v>
      </c>
      <c r="W9" s="4" t="str">
        <f>_xlfn.IFNA(IF(((INDEX(Requirements!D2:D14, MATCH(D9,Requirements!A2:A14, 0))="")=TRUE),  "",  INDEX(Requirements!D2:D14, MATCH(D9,Requirements!A2:A14, 0))), "")</f>
        <v>Retention</v>
      </c>
      <c r="X9" s="4" t="b">
        <f>AND(((W9 = "Approval")=TRUE), ((OR(((NOT(((J9)=TRUE)))=TRUE), ((NOT(((V9)=TRUE)))=TRUE)))=TRUE))</f>
        <v>0</v>
      </c>
      <c r="Y9" s="4" t="str">
        <f>_xlfn.IFNA(IF(((INDEX(StepExecutions!C2:C13, MATCH(C9,StepExecutions!A2:A13, 0))="")=TRUE),  "",  INDEX(StepExecutions!C2:C13, MATCH(C9,StepExecutions!A2:A13, 0))), "")</f>
        <v>exec-close-2026-q2</v>
      </c>
      <c r="Z9" s="4" t="str">
        <f>IF(((X9)=TRUE),  Y9,  "")</f>
      </c>
      <c r="AA9" s="4" t="b">
        <f>_xlfn.IFNA(IF(((INDEX(Requirements!R2:R14, MATCH(D9,Requirements!A2:A14, 0))="")=TRUE),  "",  INDEX(Requirements!R2:R14, MATCH(D9,Requirements!A2:A14, 0))), "")</f>
        <v>0</v>
      </c>
      <c r="AB9" s="4" t="b">
        <f>AND(((J9)=TRUE), ((I9)=TRUE), ((AA9)=TRUE))</f>
        <v>0</v>
      </c>
      <c r="AC9" s="4" t="str">
        <f>IF(((AB9)=TRUE),  C9,  "")</f>
      </c>
      <c r="AD9" s="4" t="str">
        <f>_xlfn.IFNA(IF(((INDEX(StepExecutions!D2:D13, MATCH(C9,StepExecutions!A2:A13, 0))="")=TRUE),  "",  INDEX(StepExecutions!D2:D13, MATCH(C9,StepExecutions!A2:A13, 0))), "")</f>
        <v>close-08</v>
      </c>
      <c r="AE9" s="4" t="str">
        <f>_xlfn.IFNA(IF(((INDEX(StepRequirements!A2:A16, MATCH(A9,StepRequirements!A2:A16, 0))="")=TRUE),  "",  INDEX(StepRequirements!A2:A16, MATCH(A9,StepRequirements!A2:A16, 0))), "")</f>
      </c>
      <c r="AF9" s="4" t="str">
        <f>_xlfn.IFNA(IF(((INDEX(StepExecutions!E2:E13, MATCH(C9,StepExecutions!A2:A13, 0))="")=TRUE),  "",  INDEX(StepExecutions!E2:E13, MATCH(C9,StepExecutions!A2:A13, 0))), "")</f>
        <v>elena-garcia</v>
      </c>
      <c r="AG9" s="4" t="b">
        <f>G9 = AF9</f>
        <v>0</v>
      </c>
      <c r="AH9" s="4" t="str">
        <f>_xlfn.IFNA(IF(((INDEX(ProcedureExecutions!G2:G3, MATCH(T9,ProcedureExecutions!A2:A3, 0))="")=TRUE),  "",  INDEX(ProcedureExecutions!G2:G3, MATCH(T9,ProcedureExecutions!A2:A3, 0))), "")</f>
        <v>devon-okafor</v>
      </c>
      <c r="AI9" s="4" t="b">
        <f>G9 = AH9</f>
        <v>1</v>
      </c>
      <c r="AJ9" s="4" t="b">
        <f>AND(((R9)=TRUE), ((OR(((AG9)=TRUE), ((AI9)=TRUE)))=TRUE))</f>
        <v>0</v>
      </c>
      <c r="AK9" s="4" t="b">
        <f>F9 &lt;&gt; ""</f>
        <v>1</v>
      </c>
      <c r="AL9" s="4" t="b">
        <f>AND(((R9)=TRUE), ((NOT(((AK9)=TRUE)))=TRUE))</f>
        <v>0</v>
      </c>
      <c r="AM9" s="4" t="str">
        <f>IF(((AJ9)=TRUE),  T9,  "")</f>
      </c>
      <c r="AN9" s="4" t="b">
        <f>AND(((I9)=TRUE), ((Q9)=TRUE))</f>
        <v>1</v>
      </c>
      <c r="AO9" s="4" t="str">
        <f>IF(((AN9)=TRUE),  T9,  "")</f>
        <v>exec-close-2026-q2</v>
      </c>
      <c r="AP9" s="4" t="str">
        <f>_xlfn.IFNA(IF(((INDEX(StepExecutions!E2:E13, MATCH(C9,StepExecutions!A2:A13, 0))="")=TRUE),  "",  INDEX(StepExecutions!E2:E13, MATCH(C9,StepExecutions!A2:A13, 0))), "")</f>
        <v>elena-garcia</v>
      </c>
      <c r="AQ9" s="4" t="b">
        <f>IF(((OR((((H9)="")=TRUE), (((AR9)="")=TRUE)))=TRUE),  0,  ((H9 - AR9) * 1440)) &gt; 0</f>
        <v>1</v>
      </c>
      <c r="AR9" s="7">
        <f>_xlfn.IFNA(IF(((INDEX(ProcedureExecutions!BK2:BK3, MATCH(T9,ProcedureExecutions!A2:A3, 0))="")=TRUE),  "",  INDEX(ProcedureExecutions!BK2:BK3, MATCH(T9,ProcedureExecutions!A2:A3, 0))), "")</f>
        <v>0</v>
      </c>
      <c r="AS9" s="4" t="str">
        <f>IF(((AQ9)=TRUE),  T9,  "")</f>
        <v>exec-close-2026-q2</v>
      </c>
      <c r="AT9" s="3" t="s">
        <v>846</v>
      </c>
    </row>
  </sheetData>
  <autoFilter ref="A1:AT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3"/>
  <sheetViews>
    <sheetView workbookViewId="0">
      <pane ySplit="1" topLeftCell="A2" state="frozen" activePane="bottomLeft"/>
      <selection pane="bottomLeft" activeCell="A1" sqref="A1"/>
    </sheetView>
  </sheetViews>
  <sheetFormatPr defaultRowHeight="15"/>
  <cols>
    <col min="1" max="1" width="17.443378448486328" customWidth="1"/>
    <col min="2" max="2" width="43.843196868896484" customWidth="1"/>
    <col min="3" max="3" width="29.983989715576172" customWidth="1"/>
    <col min="4" max="4" width="17.443378448486328" customWidth="1"/>
    <col min="5" max="5" width="69.32452392578125" customWidth="1"/>
    <col min="6" max="6" width="26.67625617980957" customWidth="1"/>
  </cols>
  <sheetData>
    <row r="1">
      <c r="A1" s="2" t="s">
        <v>1527</v>
      </c>
      <c r="B1" s="2" t="s">
        <v>1</v>
      </c>
      <c r="C1" s="2" t="s">
        <v>19</v>
      </c>
      <c r="D1" s="2" t="s">
        <v>1528</v>
      </c>
      <c r="E1" s="2" t="s">
        <v>1529</v>
      </c>
      <c r="F1" s="2" t="s">
        <v>94</v>
      </c>
    </row>
    <row r="2">
      <c r="A2" s="3" t="s">
        <v>1530</v>
      </c>
      <c r="B2" s="4" t="str">
        <f>D2 &amp; " - " &amp; C2</f>
        <v>FEED-STALE - Source feed timestamp too old</v>
      </c>
      <c r="C2" s="3" t="s">
        <v>1531</v>
      </c>
      <c r="D2" s="3" t="s">
        <v>1532</v>
      </c>
      <c r="E2" s="3" t="s">
        <v>1533</v>
      </c>
      <c r="F2" s="3" t="s">
        <v>1534</v>
      </c>
    </row>
    <row r="3">
      <c r="A3" s="3" t="s">
        <v>1535</v>
      </c>
      <c r="B3" s="4" t="str">
        <f>D3 &amp; " - " &amp; C3</f>
        <v>SMS-429 - SMS provider throttled requests</v>
      </c>
      <c r="C3" s="3" t="s">
        <v>1536</v>
      </c>
      <c r="D3" s="3" t="s">
        <v>1537</v>
      </c>
      <c r="E3" s="3" t="s">
        <v>1538</v>
      </c>
      <c r="F3" s="3" t="s">
        <v>1534</v>
      </c>
    </row>
  </sheetData>
  <autoFilter ref="A1:F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3"/>
  <sheetViews>
    <sheetView workbookViewId="0">
      <pane ySplit="1" topLeftCell="A2" state="frozen" activePane="bottomLeft"/>
      <selection pane="bottomLeft" activeCell="A1" sqref="A1"/>
    </sheetView>
  </sheetViews>
  <sheetFormatPr defaultRowHeight="15"/>
  <cols>
    <col min="1" max="1" width="19.330045700073242" customWidth="1"/>
    <col min="2" max="2" width="48.113826751708984" customWidth="1"/>
    <col min="3" max="3" width="17.443378448486328" customWidth="1"/>
    <col min="4" max="4" width="17.443378448486328" customWidth="1"/>
    <col min="5" max="5" width="21.3126277923584" customWidth="1"/>
    <col min="6" max="6" width="24.515466690063477" customWidth="1"/>
    <col min="7" max="7" width="48.754356384277344" customWidth="1"/>
    <col min="8" max="8" width="96.78050231933594" customWidth="1"/>
    <col min="9" max="9" width="17.443378448486328" customWidth="1"/>
    <col min="10" max="10" width="17.443378448486328" customWidth="1"/>
    <col min="11" max="11" width="30.231090545654297" customWidth="1"/>
    <col min="12" max="12" width="37.28308868408203" customWidth="1"/>
  </cols>
  <sheetData>
    <row r="1">
      <c r="A1" s="2" t="s">
        <v>1539</v>
      </c>
      <c r="B1" s="2" t="s">
        <v>1</v>
      </c>
      <c r="C1" s="2" t="s">
        <v>1467</v>
      </c>
      <c r="D1" s="2" t="s">
        <v>1540</v>
      </c>
      <c r="E1" s="2" t="s">
        <v>1541</v>
      </c>
      <c r="F1" s="2" t="s">
        <v>1542</v>
      </c>
      <c r="G1" s="2" t="s">
        <v>1543</v>
      </c>
      <c r="H1" s="2" t="s">
        <v>1544</v>
      </c>
      <c r="I1" s="2" t="s">
        <v>8</v>
      </c>
      <c r="J1" s="2" t="s">
        <v>1545</v>
      </c>
      <c r="K1" s="2" t="s">
        <v>1546</v>
      </c>
      <c r="L1" s="2" t="s">
        <v>94</v>
      </c>
    </row>
    <row r="2">
      <c r="A2" s="3" t="s">
        <v>1547</v>
      </c>
      <c r="B2" s="4" t="str">
        <f>D2 &amp; " @ " &amp; IF(((F2="")=TRUE),  "",  TEXT(F2, "yyyy-mm-dd\Thh:mm:ss")&amp;"+00:00")</f>
        <v>err-feed-stale @ 2026-06-30T22:12:00+00:00</v>
      </c>
      <c r="C2" s="3" t="s">
        <v>1450</v>
      </c>
      <c r="D2" s="3" t="s">
        <v>1530</v>
      </c>
      <c r="E2" s="3" t="s">
        <v>165</v>
      </c>
      <c r="F2" s="5">
        <v>46203.925</v>
      </c>
      <c r="G2" s="3" t="s">
        <v>1548</v>
      </c>
      <c r="H2" s="3" t="s">
        <v>1549</v>
      </c>
      <c r="I2" s="3" t="s">
        <v>1213</v>
      </c>
      <c r="J2" s="4" t="b">
        <f>OR(((I2 = "Open")=TRUE), ((I2 = "Investigating")=TRUE), ((I2 = "Monitoring")=TRUE))</f>
        <v>0</v>
      </c>
      <c r="K2" s="4" t="str">
        <f>IF(((J2)=TRUE),  C2,  "")</f>
      </c>
      <c r="L2" s="3" t="s">
        <v>1550</v>
      </c>
    </row>
    <row r="3">
      <c r="A3" s="3" t="s">
        <v>1551</v>
      </c>
      <c r="B3" s="4" t="str">
        <f>D3 &amp; " @ " &amp; IF(((F3="")=TRUE),  "",  TEXT(F3, "yyyy-mm-dd\Thh:mm:ss")&amp;"+00:00")</f>
        <v>err-sms-throttle @ 2026-07-19T14:30:00+00:00</v>
      </c>
      <c r="C3" s="3" t="s">
        <v>1464</v>
      </c>
      <c r="D3" s="3" t="s">
        <v>1535</v>
      </c>
      <c r="E3" s="3" t="s">
        <v>178</v>
      </c>
      <c r="F3" s="5">
        <v>46222.604166666664</v>
      </c>
      <c r="G3" s="3" t="s">
        <v>1552</v>
      </c>
      <c r="H3" s="3" t="s">
        <v>1553</v>
      </c>
      <c r="I3" s="3" t="s">
        <v>1554</v>
      </c>
      <c r="J3" s="4" t="b">
        <f>OR(((I3 = "Open")=TRUE), ((I3 = "Investigating")=TRUE), ((I3 = "Monitoring")=TRUE))</f>
        <v>1</v>
      </c>
      <c r="K3" s="4" t="str">
        <f>IF(((J3)=TRUE),  C3,  "")</f>
        <v>se-policy04</v>
      </c>
      <c r="L3" s="3" t="s">
        <v>1550</v>
      </c>
    </row>
  </sheetData>
  <autoFilter ref="A1:L1"/>
  <headerFooter/>
  <legacyDrawing r:id="rId1"/>
</worksheet>
</file>

<file path=xl/worksheets/sheet4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3"/>
  <sheetViews>
    <sheetView workbookViewId="0">
      <pane ySplit="1" topLeftCell="A2" state="frozen" activePane="bottomLeft"/>
      <selection pane="bottomLeft" activeCell="A1" sqref="A1"/>
    </sheetView>
  </sheetViews>
  <sheetFormatPr defaultRowHeight="15"/>
  <cols>
    <col min="1" max="1" width="17.443378448486328" customWidth="1"/>
    <col min="2" max="2" width="66.7963638305664" customWidth="1"/>
    <col min="3" max="3" width="17.443378448486328" customWidth="1"/>
    <col min="4" max="4" width="17.443378448486328" customWidth="1"/>
    <col min="5" max="5" width="23.35041618347168" customWidth="1"/>
    <col min="6" max="6" width="66.7963638305664" customWidth="1"/>
    <col min="7" max="7" width="21.48943519592285" customWidth="1"/>
    <col min="8" max="8" width="22.37116813659668" customWidth="1"/>
    <col min="9" max="9" width="17.443378448486328" customWidth="1"/>
    <col min="10" max="10" width="44.979515075683594" customWidth="1"/>
  </cols>
  <sheetData>
    <row r="1">
      <c r="A1" s="2" t="s">
        <v>1555</v>
      </c>
      <c r="B1" s="2" t="s">
        <v>1</v>
      </c>
      <c r="C1" s="2" t="s">
        <v>1467</v>
      </c>
      <c r="D1" s="2" t="s">
        <v>1556</v>
      </c>
      <c r="E1" s="2" t="s">
        <v>1557</v>
      </c>
      <c r="F1" s="2" t="s">
        <v>1558</v>
      </c>
      <c r="G1" s="2" t="s">
        <v>1559</v>
      </c>
      <c r="H1" s="2" t="s">
        <v>1560</v>
      </c>
      <c r="I1" s="2" t="s">
        <v>8</v>
      </c>
      <c r="J1" s="2" t="s">
        <v>94</v>
      </c>
    </row>
    <row r="2">
      <c r="A2" s="3" t="s">
        <v>1561</v>
      </c>
      <c r="B2" s="4" t="str">
        <f>LEFT(F2, 70)</f>
        <v>Why did the FX variance appear only after the cutover?</v>
      </c>
      <c r="C2" s="3" t="s">
        <v>1454</v>
      </c>
      <c r="D2" s="3" t="s">
        <v>145</v>
      </c>
      <c r="E2" s="5">
        <v>46204.756944444445</v>
      </c>
      <c r="F2" s="3" t="s">
        <v>1562</v>
      </c>
      <c r="G2" s="3" t="s">
        <v>1245</v>
      </c>
      <c r="H2" s="3" t="s">
        <v>1026</v>
      </c>
      <c r="I2" s="3" t="s">
        <v>1563</v>
      </c>
      <c r="J2" s="3" t="s">
        <v>1564</v>
      </c>
    </row>
    <row r="3">
      <c r="A3" s="3" t="s">
        <v>1565</v>
      </c>
      <c r="B3" s="4" t="str">
        <f>LEFT(F3, 70)</f>
        <v>Can the drafting AI add a new legal exception if it seems reasonable?</v>
      </c>
      <c r="C3" s="3" t="s">
        <v>1463</v>
      </c>
      <c r="D3" s="3" t="s">
        <v>153</v>
      </c>
      <c r="E3" s="5">
        <v>46221.76388888889</v>
      </c>
      <c r="F3" s="3" t="s">
        <v>1566</v>
      </c>
      <c r="G3" s="3" t="s">
        <v>1250</v>
      </c>
      <c r="H3" s="3" t="s">
        <v>1042</v>
      </c>
      <c r="I3" s="3" t="s">
        <v>1563</v>
      </c>
      <c r="J3" s="3" t="s">
        <v>1564</v>
      </c>
    </row>
  </sheetData>
  <autoFilter ref="A1:J1"/>
  <headerFooter/>
  <legacyDrawing r:id="rId1"/>
</worksheet>
</file>

<file path=xl/worksheets/sheet4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3"/>
  <sheetViews>
    <sheetView workbookViewId="0">
      <pane ySplit="1" topLeftCell="A2" state="frozen" activePane="bottomLeft"/>
      <selection pane="bottomLeft" activeCell="A1" sqref="A1"/>
    </sheetView>
  </sheetViews>
  <sheetFormatPr defaultRowHeight="15"/>
  <cols>
    <col min="1" max="1" width="17.443378448486328" customWidth="1"/>
    <col min="2" max="2" width="74.06449890136719" customWidth="1"/>
    <col min="3" max="3" width="20.414697647094727" customWidth="1"/>
    <col min="4" max="4" width="17.659626007080078" customWidth="1"/>
    <col min="5" max="5" width="23.35041618347168" customWidth="1"/>
    <col min="6" max="6" width="85.51029205322266" customWidth="1"/>
    <col min="7" max="7" width="17.443378448486328" customWidth="1"/>
    <col min="8" max="8" width="19.671518325805664" customWidth="1"/>
    <col min="9" max="9" width="45.71768569946289" customWidth="1"/>
  </cols>
  <sheetData>
    <row r="1">
      <c r="A1" s="2" t="s">
        <v>1567</v>
      </c>
      <c r="B1" s="2" t="s">
        <v>1</v>
      </c>
      <c r="C1" s="2" t="s">
        <v>1349</v>
      </c>
      <c r="D1" s="2" t="s">
        <v>1568</v>
      </c>
      <c r="E1" s="2" t="s">
        <v>1569</v>
      </c>
      <c r="F1" s="2" t="s">
        <v>1570</v>
      </c>
      <c r="G1" s="2" t="s">
        <v>1571</v>
      </c>
      <c r="H1" s="2" t="s">
        <v>1572</v>
      </c>
      <c r="I1" s="2" t="s">
        <v>94</v>
      </c>
    </row>
    <row r="2">
      <c r="A2" s="3" t="s">
        <v>1573</v>
      </c>
      <c r="B2" s="4" t="str">
        <f>G2 &amp; ": " &amp; LEFT(F2, 60)</f>
        <v>Accepted: The feed timestamp check should be a required precondition, </v>
      </c>
      <c r="C2" s="3" t="s">
        <v>1339</v>
      </c>
      <c r="D2" s="3" t="s">
        <v>145</v>
      </c>
      <c r="E2" s="5">
        <v>46205.895833333336</v>
      </c>
      <c r="F2" s="3" t="s">
        <v>1574</v>
      </c>
      <c r="G2" s="3" t="s">
        <v>1575</v>
      </c>
      <c r="H2" s="3" t="s">
        <v>1576</v>
      </c>
      <c r="I2" s="3" t="s">
        <v>1577</v>
      </c>
    </row>
    <row r="3">
      <c r="A3" s="3" t="s">
        <v>1578</v>
      </c>
      <c r="B3" s="4" t="str">
        <f>G3 &amp; ": " &amp; LEFT(F3, 60)</f>
        <v>UnderReview: Add a secondary path for employees whose carrier reports a d</v>
      </c>
      <c r="C3" s="3" t="s">
        <v>1344</v>
      </c>
      <c r="D3" s="3" t="s">
        <v>161</v>
      </c>
      <c r="E3" s="5">
        <v>46222.645833333336</v>
      </c>
      <c r="F3" s="3" t="s">
        <v>1579</v>
      </c>
      <c r="G3" s="3" t="s">
        <v>1580</v>
      </c>
      <c r="H3" s="3" t="s">
        <v>1581</v>
      </c>
      <c r="I3" s="3" t="s">
        <v>1577</v>
      </c>
    </row>
  </sheetData>
  <autoFilter ref="A1:I1"/>
  <headerFooter/>
  <legacyDrawing r:id="rId1"/>
</worksheet>
</file>

<file path=xl/worksheets/sheet4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3"/>
  <sheetViews>
    <sheetView workbookViewId="0">
      <pane ySplit="1" topLeftCell="A2" state="frozen" activePane="bottomLeft"/>
      <selection pane="bottomLeft" activeCell="A1" sqref="A1"/>
    </sheetView>
  </sheetViews>
  <sheetFormatPr defaultRowHeight="15"/>
  <cols>
    <col min="1" max="1" width="25.773014068603516" customWidth="1"/>
    <col min="2" max="2" width="39.498321533203125" customWidth="1"/>
    <col min="3" max="3" width="18.236316680908203" customWidth="1"/>
    <col min="4" max="4" width="17.443378448486328" customWidth="1"/>
    <col min="5" max="5" width="20.49138832092285" customWidth="1"/>
    <col min="6" max="6" width="23.35041618347168" customWidth="1"/>
    <col min="7" max="7" width="17.443378448486328" customWidth="1"/>
    <col min="8" max="8" width="20.747098922729492" customWidth="1"/>
    <col min="9" max="9" width="22.246395111083984" customWidth="1"/>
    <col min="10" max="10" width="22.869173049926758" customWidth="1"/>
    <col min="11" max="11" width="18.547500610351562" customWidth="1"/>
    <col min="12" max="12" width="23.35041618347168" customWidth="1"/>
    <col min="13" max="13" width="21.23250389099121" customWidth="1"/>
    <col min="14" max="14" width="50.9825553894043" customWidth="1"/>
  </cols>
  <sheetData>
    <row r="1">
      <c r="A1" s="2" t="s">
        <v>1582</v>
      </c>
      <c r="B1" s="2" t="s">
        <v>1</v>
      </c>
      <c r="C1" s="2" t="s">
        <v>478</v>
      </c>
      <c r="D1" s="2" t="s">
        <v>326</v>
      </c>
      <c r="E1" s="2" t="s">
        <v>986</v>
      </c>
      <c r="F1" s="2" t="s">
        <v>255</v>
      </c>
      <c r="G1" s="2" t="s">
        <v>256</v>
      </c>
      <c r="H1" s="2" t="s">
        <v>1140</v>
      </c>
      <c r="I1" s="2" t="s">
        <v>406</v>
      </c>
      <c r="J1" s="2" t="s">
        <v>1583</v>
      </c>
      <c r="K1" s="2" t="s">
        <v>258</v>
      </c>
      <c r="L1" s="2" t="s">
        <v>92</v>
      </c>
      <c r="M1" s="2" t="s">
        <v>1584</v>
      </c>
      <c r="N1" s="2" t="s">
        <v>94</v>
      </c>
    </row>
    <row r="2">
      <c r="A2" s="3" t="s">
        <v>1585</v>
      </c>
      <c r="B2" s="4" t="str">
        <f>C2 &amp; " / steward=" &amp; D2</f>
        <v>close-v1.1.0 / steward=process-steward</v>
      </c>
      <c r="C2" s="3" t="s">
        <v>369</v>
      </c>
      <c r="D2" s="3" t="s">
        <v>244</v>
      </c>
      <c r="E2" s="3" t="s">
        <v>248</v>
      </c>
      <c r="F2" s="5">
        <v>46127.583333333336</v>
      </c>
      <c r="G2" s="5"/>
      <c r="H2" s="8">
        <v>90</v>
      </c>
      <c r="I2" s="6">
        <f>IF((COUNTIFS(ReviewEvents!C2:C4,C2))="", "", ROUND((COUNTIFS(ReviewEvents!C2:C4,C2)), 0))</f>
        <v>2</v>
      </c>
      <c r="J2" s="4" t="b">
        <f>I2 &gt; 0</f>
        <v>1</v>
      </c>
      <c r="K2" s="3" t="s">
        <v>95</v>
      </c>
      <c r="L2" s="7">
        <f>_xlfn.IFNA(IF(((INDEX(EvaluationContexts!D2:D2, MATCH(K2,EvaluationContexts!A2:A2, 0))="")=TRUE),  "",  INDEX(EvaluationContexts!D2:D2, MATCH(K2,EvaluationContexts!A2:A2, 0))), "")</f>
        <v>46222.75</v>
      </c>
      <c r="M2" s="4" t="b">
        <f>AND(((F2 &lt;= L2)=TRUE), ((OR(((G2 = "")=TRUE), ((G2 &gt; L2)=TRUE)))=TRUE))</f>
        <v>1</v>
      </c>
      <c r="N2" s="3" t="s">
        <v>1586</v>
      </c>
    </row>
    <row r="3">
      <c r="A3" s="3" t="s">
        <v>1587</v>
      </c>
      <c r="B3" s="4" t="str">
        <f>C3 &amp; " / steward=" &amp; D3</f>
        <v>policy-v1.0.0 / steward=process-steward</v>
      </c>
      <c r="C3" s="3" t="s">
        <v>375</v>
      </c>
      <c r="D3" s="3" t="s">
        <v>244</v>
      </c>
      <c r="E3" s="3" t="s">
        <v>216</v>
      </c>
      <c r="F3" s="5">
        <v>46174.583333333336</v>
      </c>
      <c r="G3" s="5"/>
      <c r="H3" s="8">
        <v>60</v>
      </c>
      <c r="I3" s="6">
        <f>IF((COUNTIFS(ReviewEvents!C2:C4,C3))="", "", ROUND((COUNTIFS(ReviewEvents!C2:C4,C3)), 0))</f>
        <v>1</v>
      </c>
      <c r="J3" s="4" t="b">
        <f>I3 &gt; 0</f>
        <v>1</v>
      </c>
      <c r="K3" s="3" t="s">
        <v>95</v>
      </c>
      <c r="L3" s="7">
        <f>_xlfn.IFNA(IF(((INDEX(EvaluationContexts!D2:D2, MATCH(K3,EvaluationContexts!A2:A2, 0))="")=TRUE),  "",  INDEX(EvaluationContexts!D2:D2, MATCH(K3,EvaluationContexts!A2:A2, 0))), "")</f>
        <v>46222.75</v>
      </c>
      <c r="M3" s="4" t="b">
        <f>AND(((F3 &lt;= L3)=TRUE), ((OR(((G3 = "")=TRUE), ((G3 &gt; L3)=TRUE)))=TRUE))</f>
        <v>1</v>
      </c>
      <c r="N3" s="3" t="s">
        <v>1586</v>
      </c>
    </row>
  </sheetData>
  <autoFilter ref="A1:N1"/>
  <headerFooter/>
  <legacyDrawing r:id="rId1"/>
</worksheet>
</file>

<file path=xl/worksheets/sheet4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S3"/>
  <sheetViews>
    <sheetView workbookViewId="0">
      <pane ySplit="1" topLeftCell="A2" state="frozen" activePane="bottomLeft"/>
      <selection pane="bottomLeft" activeCell="A1" sqref="A1"/>
    </sheetView>
  </sheetViews>
  <sheetFormatPr defaultRowHeight="15"/>
  <cols>
    <col min="1" max="1" width="19.486738204956055" customWidth="1"/>
    <col min="2" max="2" width="44.020084381103516" customWidth="1"/>
    <col min="3" max="3" width="18.236316680908203" customWidth="1"/>
    <col min="4" max="4" width="44.020084381103516" customWidth="1"/>
    <col min="5" max="5" width="17.443378448486328" customWidth="1"/>
    <col min="6" max="6" width="17.443378448486328" customWidth="1"/>
    <col min="7" max="7" width="19.283315658569336" customWidth="1"/>
    <col min="8" max="8" width="20.49138832092285" customWidth="1"/>
    <col min="9" max="9" width="23.35041618347168" customWidth="1"/>
    <col min="10" max="10" width="22.170156478881836" customWidth="1"/>
    <col min="11" max="11" width="58.734649658203125" customWidth="1"/>
    <col min="12" max="12" width="17.443378448486328" customWidth="1"/>
    <col min="13" max="13" width="23.915712356567383" customWidth="1"/>
    <col min="14" max="14" width="17.443378448486328" customWidth="1"/>
    <col min="15" max="15" width="18.547500610351562" customWidth="1"/>
    <col min="16" max="16" width="23.35041618347168" customWidth="1"/>
    <col min="17" max="17" width="17.443378448486328" customWidth="1"/>
    <col min="18" max="18" width="17.443378448486328" customWidth="1"/>
    <col min="19" max="19" width="17.443378448486328" customWidth="1"/>
    <col min="20" max="20" width="17.443378448486328" customWidth="1"/>
    <col min="21" max="21" width="21.534048080444336" customWidth="1"/>
    <col min="22" max="22" width="23.933610916137695" customWidth="1"/>
    <col min="23" max="23" width="30.664316177368164" customWidth="1"/>
    <col min="24" max="24" width="20.154987335205078" customWidth="1"/>
    <col min="25" max="25" width="22.082599639892578" customWidth="1"/>
    <col min="26" max="26" width="18.71109390258789" customWidth="1"/>
    <col min="27" max="27" width="22.170156478881836" customWidth="1"/>
    <col min="28" max="28" width="19.199268341064453" customWidth="1"/>
    <col min="29" max="29" width="21.485599517822266" customWidth="1"/>
    <col min="30" max="30" width="21.102947235107422" customWidth="1"/>
    <col min="31" max="31" width="21.30789566040039" customWidth="1"/>
    <col min="32" max="32" width="17.443378448486328" customWidth="1"/>
    <col min="33" max="33" width="21.182111740112305" customWidth="1"/>
    <col min="34" max="34" width="25.36081886291504" customWidth="1"/>
    <col min="35" max="35" width="21.225006103515625" customWidth="1"/>
    <col min="36" max="36" width="27.77187728881836" customWidth="1"/>
    <col min="37" max="37" width="25.189844131469727" customWidth="1"/>
    <col min="38" max="38" width="20.798704147338867" customWidth="1"/>
    <col min="39" max="39" width="27.850521087646484" customWidth="1"/>
    <col min="40" max="40" width="19.458404541015625" customWidth="1"/>
    <col min="41" max="41" width="24.177471160888672" customWidth="1"/>
    <col min="42" max="42" width="32.30685043334961" customWidth="1"/>
    <col min="43" max="43" width="21.054668426513672" customWidth="1"/>
    <col min="44" max="44" width="20.285015106201172" customWidth="1"/>
    <col min="45" max="45" width="43.223487854003906" customWidth="1"/>
  </cols>
  <sheetData>
    <row r="1">
      <c r="A1" s="2" t="s">
        <v>1588</v>
      </c>
      <c r="B1" s="2" t="s">
        <v>1</v>
      </c>
      <c r="C1" s="2" t="s">
        <v>478</v>
      </c>
      <c r="D1" s="2" t="s">
        <v>358</v>
      </c>
      <c r="E1" s="2" t="s">
        <v>1589</v>
      </c>
      <c r="F1" s="2" t="s">
        <v>8</v>
      </c>
      <c r="G1" s="2" t="s">
        <v>1590</v>
      </c>
      <c r="H1" s="2" t="s">
        <v>986</v>
      </c>
      <c r="I1" s="2" t="s">
        <v>1591</v>
      </c>
      <c r="J1" s="2" t="s">
        <v>1592</v>
      </c>
      <c r="K1" s="2" t="s">
        <v>1593</v>
      </c>
      <c r="L1" s="2" t="s">
        <v>1199</v>
      </c>
      <c r="M1" s="2" t="s">
        <v>1594</v>
      </c>
      <c r="N1" s="2" t="s">
        <v>1595</v>
      </c>
      <c r="O1" s="2" t="s">
        <v>258</v>
      </c>
      <c r="P1" s="2" t="s">
        <v>92</v>
      </c>
      <c r="Q1" s="2" t="s">
        <v>1596</v>
      </c>
      <c r="R1" s="2" t="s">
        <v>1597</v>
      </c>
      <c r="S1" s="2" t="s">
        <v>1598</v>
      </c>
      <c r="T1" s="2" t="s">
        <v>1599</v>
      </c>
      <c r="U1" s="2" t="s">
        <v>1600</v>
      </c>
      <c r="V1" s="2" t="s">
        <v>1601</v>
      </c>
      <c r="W1" s="2" t="s">
        <v>1602</v>
      </c>
      <c r="X1" s="2" t="s">
        <v>1603</v>
      </c>
      <c r="Y1" s="2" t="s">
        <v>1604</v>
      </c>
      <c r="Z1" s="2" t="s">
        <v>1605</v>
      </c>
      <c r="AA1" s="2" t="s">
        <v>1606</v>
      </c>
      <c r="AB1" s="2" t="s">
        <v>1607</v>
      </c>
      <c r="AC1" s="2" t="s">
        <v>1608</v>
      </c>
      <c r="AD1" s="2" t="s">
        <v>1609</v>
      </c>
      <c r="AE1" s="2" t="s">
        <v>1610</v>
      </c>
      <c r="AF1" s="2" t="s">
        <v>1611</v>
      </c>
      <c r="AG1" s="2" t="s">
        <v>1612</v>
      </c>
      <c r="AH1" s="2" t="s">
        <v>1613</v>
      </c>
      <c r="AI1" s="2" t="s">
        <v>1614</v>
      </c>
      <c r="AJ1" s="2" t="s">
        <v>1615</v>
      </c>
      <c r="AK1" s="2" t="s">
        <v>1616</v>
      </c>
      <c r="AL1" s="2" t="s">
        <v>1617</v>
      </c>
      <c r="AM1" s="2" t="s">
        <v>1618</v>
      </c>
      <c r="AN1" s="2" t="s">
        <v>1619</v>
      </c>
      <c r="AO1" s="2" t="s">
        <v>1620</v>
      </c>
      <c r="AP1" s="2" t="s">
        <v>1621</v>
      </c>
      <c r="AQ1" s="2" t="s">
        <v>1622</v>
      </c>
      <c r="AR1" s="2" t="s">
        <v>1623</v>
      </c>
      <c r="AS1" s="2" t="s">
        <v>94</v>
      </c>
    </row>
    <row r="2">
      <c r="A2" s="3" t="s">
        <v>1576</v>
      </c>
      <c r="B2" s="4" t="str">
        <f>D2</f>
        <v>Add source timestamp as blocking verification</v>
      </c>
      <c r="C2" s="3" t="s">
        <v>369</v>
      </c>
      <c r="D2" s="3" t="s">
        <v>1624</v>
      </c>
      <c r="E2" s="3" t="s">
        <v>1625</v>
      </c>
      <c r="F2" s="3" t="s">
        <v>462</v>
      </c>
      <c r="G2" s="3" t="s">
        <v>145</v>
      </c>
      <c r="H2" s="3" t="s">
        <v>248</v>
      </c>
      <c r="I2" s="5">
        <v>46205.895833333336</v>
      </c>
      <c r="J2" s="5">
        <v>46206.666666666664</v>
      </c>
      <c r="K2" s="3" t="s">
        <v>1626</v>
      </c>
      <c r="L2" s="4" t="b">
        <f>AND(((OR(((F2 = "Draft")=TRUE), ((F2 = "UnderReview")=TRUE), ((F2 = "Approved")=TRUE)))=TRUE), ((AA2 = "")=TRUE))</f>
        <v>0</v>
      </c>
      <c r="M2" s="4" t="str">
        <f>IF(((L2)=TRUE),  C2,  "")</f>
      </c>
      <c r="N2" s="4" t="b">
        <f>J2 &lt;&gt; ""</f>
        <v>1</v>
      </c>
      <c r="O2" s="3" t="s">
        <v>95</v>
      </c>
      <c r="P2" s="7">
        <f>_xlfn.IFNA(IF(((INDEX(EvaluationContexts!D2:D2, MATCH(O2,EvaluationContexts!A2:A2, 0))="")=TRUE),  "",  INDEX(EvaluationContexts!D2:D2, MATCH(O2,EvaluationContexts!A2:A2, 0))), "")</f>
        <v>46222.75</v>
      </c>
      <c r="Q2" s="6">
        <f>IF((IF(((N2)=TRUE),  IF(((OR((((J2)="")=TRUE), (((I2)="")=TRUE)))=TRUE),  0,  (INT(J2) - INT(I2))),  IF(((OR((((P2)="")=TRUE), (((I2)="")=TRUE)))=TRUE),  0,  (INT(P2) - INT(I2)))))="", "", ROUND((IF(((N2)=TRUE),  IF(((OR((((J2)="")=TRUE), (((I2)="")=TRUE)))=TRUE),  0,  (INT(J2) - INT(I2))),  IF(((OR((((P2)="")=TRUE), (((I2)="")=TRUE)))=TRUE),  0,  (INT(P2) - INT(I2))))), 0))</f>
        <v>1</v>
      </c>
      <c r="R2" s="4" t="b">
        <f>AND(((L2)=TRUE), ((NOT(((N2)=TRUE)))=TRUE))</f>
        <v>0</v>
      </c>
      <c r="S2" s="4" t="b">
        <f>AND(((R2)=TRUE), ((Q2 &gt; 14)=TRUE))</f>
        <v>0</v>
      </c>
      <c r="T2" s="4" t="str">
        <f>_xlfn.IFNA(IF(((INDEX(Roles!E2:E13, MATCH(H2,Roles!A2:A13, 0))="")=TRUE),  "",  INDEX(Roles!E2:E13, MATCH(H2,Roles!A2:A13, 0))), "")</f>
        <v>priya-raman</v>
      </c>
      <c r="U2" s="4" t="b">
        <f>G2 = T2</f>
        <v>0</v>
      </c>
      <c r="V2" s="4" t="b">
        <f>AND(((F2 = "UnderReview")=TRUE), ((NOT(((N2)=TRUE)))=TRUE))</f>
        <v>0</v>
      </c>
      <c r="W2" s="4" t="str">
        <f>_xlfn.IFNA(IF(((INDEX(Roles!C2:C13, MATCH(H2,Roles!A2:A13, 0))="")=TRUE),  "",  INDEX(Roles!C2:C13, MATCH(H2,Roles!A2:A13, 0))), "")</f>
        <v>Procedural Knowledge Authority</v>
      </c>
      <c r="X2" s="4" t="b">
        <f>_xlfn.IFNA(IF(((INDEX(ProcedureVersions!Y2:Y4, MATCH(C2,ProcedureVersions!A2:A4, 0))="")=TRUE),  "",  INDEX(ProcedureVersions!Y2:Y4, MATCH(C2,ProcedureVersions!A2:A4, 0))), "")</f>
        <v>1</v>
      </c>
      <c r="Y2" s="4" t="b">
        <f>AND(((V2)=TRUE), ((X2)=TRUE))</f>
        <v>0</v>
      </c>
      <c r="Z2" s="4" t="b">
        <f>AND(((Y2)=TRUE), ((E2 = "Enhancement")=TRUE))</f>
        <v>0</v>
      </c>
      <c r="AA2" s="5">
        <v>46206.833333333336</v>
      </c>
      <c r="AB2" s="4" t="str">
        <f>IF(((Y2)=TRUE),  C2,  "")</f>
      </c>
      <c r="AC2" s="4" t="b">
        <f>AND(((H2 = "hr-policy-owner")=TRUE), ((V2)=TRUE))</f>
        <v>0</v>
      </c>
      <c r="AD2" s="4" t="b">
        <f>AND(((AC2)=TRUE), ((Z2)=TRUE))</f>
        <v>0</v>
      </c>
      <c r="AE2" s="4" t="b">
        <f>AND(((AD2)=TRUE), ((Q2 &gt; 14)=TRUE))</f>
        <v>0</v>
      </c>
      <c r="AF2" s="4" t="b">
        <f>AA2 &lt;&gt; ""</f>
        <v>1</v>
      </c>
      <c r="AG2" s="4" t="b">
        <f>AND(((H2 = "hr-policy-owner")=TRUE), ((N2)=TRUE))</f>
        <v>0</v>
      </c>
      <c r="AH2" s="4" t="b">
        <f>AND(((AG2)=TRUE), ((NOT(((AF2)=TRUE)))=TRUE))</f>
        <v>0</v>
      </c>
      <c r="AI2" s="6">
        <f>IF((IF(((N2)=TRUE),  IF(((OR((((J2)="")=TRUE), (((I2)="")=TRUE)))=TRUE),  0,  (INT(J2) - INT(I2))),  0))="", "", ROUND((IF(((N2)=TRUE),  IF(((OR((((J2)="")=TRUE), (((I2)="")=TRUE)))=TRUE),  0,  (INT(J2) - INT(I2))),  0)), 0))</f>
        <v>1</v>
      </c>
      <c r="AJ2" s="6">
        <f>IF((IF(((AF2)=TRUE),  IF(((OR((((AA2)="")=TRUE), (((J2)="")=TRUE)))=TRUE),  0,  (INT(AA2) - INT(J2))),  0))="", "", ROUND((IF(((AF2)=TRUE),  IF(((OR((((AA2)="")=TRUE), (((J2)="")=TRUE)))=TRUE),  0,  (INT(AA2) - INT(J2))),  0)), 0))</f>
        <v>0</v>
      </c>
      <c r="AK2" s="4" t="b">
        <f>AND(((AH2)=TRUE), ((AI2 &lt;= 14)=TRUE))</f>
        <v>0</v>
      </c>
      <c r="AL2" s="4" t="str">
        <f>IF(((AH2)=TRUE),  C2,  "")</f>
      </c>
      <c r="AM2" s="4" t="b">
        <f>AND(((F2 = "Approved")=TRUE), ((NOT(((AF2)=TRUE)))=TRUE))</f>
        <v>0</v>
      </c>
      <c r="AN2" s="6">
        <f>IF((IF(((N2)=TRUE),  IF(((OR((((P2)="")=TRUE), (((J2)="")=TRUE)))=TRUE),  0,  (INT(P2) - INT(J2))),  0))="", "", ROUND((IF(((N2)=TRUE),  IF(((OR((((P2)="")=TRUE), (((J2)="")=TRUE)))=TRUE),  0,  (INT(P2) - INT(J2))),  0)), 0))</f>
        <v>16</v>
      </c>
      <c r="AO2" s="4" t="b">
        <f>AND(((AM2)=TRUE), ((AN2 &gt; 14)=TRUE))</f>
        <v>0</v>
      </c>
      <c r="AP2" s="4" t="str">
        <f>IF(((AO2)=TRUE),  C2,  "")</f>
      </c>
      <c r="AQ2" s="4" t="str">
        <f>IF(((AR2)=TRUE),  C2,  "")</f>
        <v>close-v1.1.0</v>
      </c>
      <c r="AR2" s="4" t="b">
        <f>F2 = "Approved"</f>
        <v>1</v>
      </c>
      <c r="AS2" s="3" t="s">
        <v>1627</v>
      </c>
    </row>
    <row r="3">
      <c r="A3" s="3" t="s">
        <v>1581</v>
      </c>
      <c r="B3" s="4" t="str">
        <f>D3</f>
        <v>Add secondary delivery receipt reconciliation</v>
      </c>
      <c r="C3" s="3" t="s">
        <v>375</v>
      </c>
      <c r="D3" s="3" t="s">
        <v>1628</v>
      </c>
      <c r="E3" s="3" t="s">
        <v>1629</v>
      </c>
      <c r="F3" s="3" t="s">
        <v>1580</v>
      </c>
      <c r="G3" s="3" t="s">
        <v>161</v>
      </c>
      <c r="H3" s="3" t="s">
        <v>216</v>
      </c>
      <c r="I3" s="5">
        <v>46222.645833333336</v>
      </c>
      <c r="J3" s="5"/>
      <c r="K3" s="3" t="s">
        <v>1630</v>
      </c>
      <c r="L3" s="4" t="b">
        <f>AND(((OR(((F3 = "Draft")=TRUE), ((F3 = "UnderReview")=TRUE), ((F3 = "Approved")=TRUE)))=TRUE), ((AA3 = "")=TRUE))</f>
        <v>1</v>
      </c>
      <c r="M3" s="4" t="str">
        <f>IF(((L3)=TRUE),  C3,  "")</f>
        <v>policy-v1.0.0</v>
      </c>
      <c r="N3" s="4" t="b">
        <f>J3 &lt;&gt; ""</f>
        <v>0</v>
      </c>
      <c r="O3" s="3" t="s">
        <v>95</v>
      </c>
      <c r="P3" s="7">
        <f>_xlfn.IFNA(IF(((INDEX(EvaluationContexts!D2:D2, MATCH(O3,EvaluationContexts!A2:A2, 0))="")=TRUE),  "",  INDEX(EvaluationContexts!D2:D2, MATCH(O3,EvaluationContexts!A2:A2, 0))), "")</f>
        <v>46222.75</v>
      </c>
      <c r="Q3" s="6">
        <f>IF((IF(((N3)=TRUE),  IF(((OR((((J3)="")=TRUE), (((I3)="")=TRUE)))=TRUE),  0,  (INT(J3) - INT(I3))),  IF(((OR((((P3)="")=TRUE), (((I3)="")=TRUE)))=TRUE),  0,  (INT(P3) - INT(I3)))))="", "", ROUND((IF(((N3)=TRUE),  IF(((OR((((J3)="")=TRUE), (((I3)="")=TRUE)))=TRUE),  0,  (INT(J3) - INT(I3))),  IF(((OR((((P3)="")=TRUE), (((I3)="")=TRUE)))=TRUE),  0,  (INT(P3) - INT(I3))))), 0))</f>
        <v>0</v>
      </c>
      <c r="R3" s="4" t="b">
        <f>AND(((L3)=TRUE), ((NOT(((N3)=TRUE)))=TRUE))</f>
        <v>1</v>
      </c>
      <c r="S3" s="4" t="b">
        <f>AND(((R3)=TRUE), ((Q3 &gt; 14)=TRUE))</f>
        <v>0</v>
      </c>
      <c r="T3" s="4" t="str">
        <f>_xlfn.IFNA(IF(((INDEX(Roles!E2:E13, MATCH(H3,Roles!A2:A13, 0))="")=TRUE),  "",  INDEX(Roles!E2:E13, MATCH(H3,Roles!A2:A13, 0))), "")</f>
        <v>elena-garcia</v>
      </c>
      <c r="U3" s="4" t="b">
        <f>G3 = T3</f>
        <v>0</v>
      </c>
      <c r="V3" s="4" t="b">
        <f>AND(((F3 = "UnderReview")=TRUE), ((NOT(((N3)=TRUE)))=TRUE))</f>
        <v>1</v>
      </c>
      <c r="W3" s="4" t="str">
        <f>_xlfn.IFNA(IF(((INDEX(Roles!C2:C13, MATCH(H3,Roles!A2:A13, 0))="")=TRUE),  "",  INDEX(Roles!C2:C13, MATCH(H3,Roles!A2:A13, 0))), "")</f>
        <v>People Policy Owner</v>
      </c>
      <c r="X3" s="4" t="b">
        <f>_xlfn.IFNA(IF(((INDEX(ProcedureVersions!Y2:Y4, MATCH(C3,ProcedureVersions!A2:A4, 0))="")=TRUE),  "",  INDEX(ProcedureVersions!Y2:Y4, MATCH(C3,ProcedureVersions!A2:A4, 0))), "")</f>
        <v>1</v>
      </c>
      <c r="Y3" s="4" t="b">
        <f>AND(((V3)=TRUE), ((X3)=TRUE))</f>
        <v>1</v>
      </c>
      <c r="Z3" s="4" t="b">
        <f>AND(((Y3)=TRUE), ((E3 = "Enhancement")=TRUE))</f>
        <v>1</v>
      </c>
      <c r="AA3" s="5"/>
      <c r="AB3" s="4" t="str">
        <f>IF(((Y3)=TRUE),  C3,  "")</f>
        <v>policy-v1.0.0</v>
      </c>
      <c r="AC3" s="4" t="b">
        <f>AND(((H3 = "hr-policy-owner")=TRUE), ((V3)=TRUE))</f>
        <v>1</v>
      </c>
      <c r="AD3" s="4" t="b">
        <f>AND(((AC3)=TRUE), ((Z3)=TRUE))</f>
        <v>1</v>
      </c>
      <c r="AE3" s="4" t="b">
        <f>AND(((AD3)=TRUE), ((Q3 &gt; 14)=TRUE))</f>
        <v>0</v>
      </c>
      <c r="AF3" s="4" t="b">
        <f>AA3 &lt;&gt; ""</f>
        <v>0</v>
      </c>
      <c r="AG3" s="4" t="b">
        <f>AND(((H3 = "hr-policy-owner")=TRUE), ((N3)=TRUE))</f>
        <v>0</v>
      </c>
      <c r="AH3" s="4" t="b">
        <f>AND(((AG3)=TRUE), ((NOT(((AF3)=TRUE)))=TRUE))</f>
        <v>0</v>
      </c>
      <c r="AI3" s="6">
        <f>IF((IF(((N3)=TRUE),  IF(((OR((((J3)="")=TRUE), (((I3)="")=TRUE)))=TRUE),  0,  (INT(J3) - INT(I3))),  0))="", "", ROUND((IF(((N3)=TRUE),  IF(((OR((((J3)="")=TRUE), (((I3)="")=TRUE)))=TRUE),  0,  (INT(J3) - INT(I3))),  0)), 0))</f>
        <v>0</v>
      </c>
      <c r="AJ3" s="6">
        <f>IF((IF(((AF3)=TRUE),  IF(((OR((((AA3)="")=TRUE), (((J3)="")=TRUE)))=TRUE),  0,  (INT(AA3) - INT(J3))),  0))="", "", ROUND((IF(((AF3)=TRUE),  IF(((OR((((AA3)="")=TRUE), (((J3)="")=TRUE)))=TRUE),  0,  (INT(AA3) - INT(J3))),  0)), 0))</f>
        <v>0</v>
      </c>
      <c r="AK3" s="4" t="b">
        <f>AND(((AH3)=TRUE), ((AI3 &lt;= 14)=TRUE))</f>
        <v>0</v>
      </c>
      <c r="AL3" s="4" t="str">
        <f>IF(((AH3)=TRUE),  C3,  "")</f>
      </c>
      <c r="AM3" s="4" t="b">
        <f>AND(((F3 = "Approved")=TRUE), ((NOT(((AF3)=TRUE)))=TRUE))</f>
        <v>0</v>
      </c>
      <c r="AN3" s="6">
        <f>IF((IF(((N3)=TRUE),  IF(((OR((((P3)="")=TRUE), (((J3)="")=TRUE)))=TRUE),  0,  (INT(P3) - INT(J3))),  0))="", "", ROUND((IF(((N3)=TRUE),  IF(((OR((((P3)="")=TRUE), (((J3)="")=TRUE)))=TRUE),  0,  (INT(P3) - INT(J3))),  0)), 0))</f>
        <v>0</v>
      </c>
      <c r="AO3" s="4" t="b">
        <f>AND(((AM3)=TRUE), ((AN3 &gt; 14)=TRUE))</f>
        <v>0</v>
      </c>
      <c r="AP3" s="4" t="str">
        <f>IF(((AO3)=TRUE),  C3,  "")</f>
      </c>
      <c r="AQ3" s="4" t="str">
        <f>IF(((AR3)=TRUE),  C3,  "")</f>
      </c>
      <c r="AR3" s="4" t="b">
        <f>F3 = "Approved"</f>
        <v>0</v>
      </c>
      <c r="AS3" s="3" t="s">
        <v>1627</v>
      </c>
    </row>
  </sheetData>
  <autoFilter ref="A1:AS1"/>
  <headerFooter/>
  <legacyDrawing r:id="rId1"/>
</worksheet>
</file>

<file path=xl/worksheets/sheet4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T4"/>
  <sheetViews>
    <sheetView workbookViewId="0">
      <pane ySplit="1" topLeftCell="A2" state="frozen" activePane="bottomLeft"/>
      <selection pane="bottomLeft" activeCell="A1" sqref="A1"/>
    </sheetView>
  </sheetViews>
  <sheetFormatPr defaultRowHeight="15"/>
  <cols>
    <col min="1" max="1" width="23.736373901367188" customWidth="1"/>
    <col min="2" max="2" width="38.82146072387695" customWidth="1"/>
    <col min="3" max="3" width="18.236316680908203" customWidth="1"/>
    <col min="4" max="4" width="25.426326751708984" customWidth="1"/>
    <col min="5" max="5" width="23.35041618347168" customWidth="1"/>
    <col min="6" max="6" width="18.317533493041992" customWidth="1"/>
    <col min="7" max="7" width="19.129940032958984" customWidth="1"/>
    <col min="8" max="8" width="23.170251846313477" customWidth="1"/>
    <col min="9" max="9" width="23.35041618347168" customWidth="1"/>
    <col min="10" max="10" width="18.547500610351562" customWidth="1"/>
    <col min="11" max="11" width="23.35041618347168" customWidth="1"/>
    <col min="12" max="12" width="17.443378448486328" customWidth="1"/>
    <col min="13" max="13" width="19.97600746154785" customWidth="1"/>
    <col min="14" max="14" width="22.745187759399414" customWidth="1"/>
    <col min="15" max="15" width="20.10454750061035" customWidth="1"/>
    <col min="16" max="16" width="25.600950241088867" customWidth="1"/>
    <col min="17" max="17" width="18.232805252075195" customWidth="1"/>
    <col min="18" max="18" width="28.64180564880371" customWidth="1"/>
    <col min="19" max="19" width="26.009693145751953" customWidth="1"/>
    <col min="20" max="20" width="34.941070556640625" customWidth="1"/>
  </cols>
  <sheetData>
    <row r="1">
      <c r="A1" s="2" t="s">
        <v>1631</v>
      </c>
      <c r="B1" s="2" t="s">
        <v>1</v>
      </c>
      <c r="C1" s="2" t="s">
        <v>478</v>
      </c>
      <c r="D1" s="2" t="s">
        <v>1632</v>
      </c>
      <c r="E1" s="2" t="s">
        <v>1633</v>
      </c>
      <c r="F1" s="2" t="s">
        <v>1634</v>
      </c>
      <c r="G1" s="2" t="s">
        <v>1635</v>
      </c>
      <c r="H1" s="2" t="s">
        <v>1636</v>
      </c>
      <c r="I1" s="2" t="s">
        <v>1637</v>
      </c>
      <c r="J1" s="2" t="s">
        <v>258</v>
      </c>
      <c r="K1" s="2" t="s">
        <v>92</v>
      </c>
      <c r="L1" s="2" t="s">
        <v>1638</v>
      </c>
      <c r="M1" s="2" t="s">
        <v>1639</v>
      </c>
      <c r="N1" s="2" t="s">
        <v>1640</v>
      </c>
      <c r="O1" s="2" t="s">
        <v>1641</v>
      </c>
      <c r="P1" s="2" t="s">
        <v>1642</v>
      </c>
      <c r="Q1" s="2" t="s">
        <v>1643</v>
      </c>
      <c r="R1" s="2" t="s">
        <v>1644</v>
      </c>
      <c r="S1" s="2" t="s">
        <v>1645</v>
      </c>
      <c r="T1" s="2" t="s">
        <v>94</v>
      </c>
    </row>
    <row r="2">
      <c r="A2" s="3" t="s">
        <v>1646</v>
      </c>
      <c r="B2" s="4" t="str">
        <f>C2 &amp; " / " &amp; D2</f>
        <v>close-v1.1.0 / QuarterlySemanticReview</v>
      </c>
      <c r="C2" s="3" t="s">
        <v>369</v>
      </c>
      <c r="D2" s="3" t="s">
        <v>1647</v>
      </c>
      <c r="E2" s="5">
        <v>46101.875</v>
      </c>
      <c r="F2" s="3" t="s">
        <v>145</v>
      </c>
      <c r="G2" s="3" t="s">
        <v>1648</v>
      </c>
      <c r="H2" s="3"/>
      <c r="I2" s="5">
        <v>46191.875</v>
      </c>
      <c r="J2" s="3" t="s">
        <v>95</v>
      </c>
      <c r="K2" s="7">
        <f>_xlfn.IFNA(IF(((INDEX(EvaluationContexts!D2:D2, MATCH(J2,EvaluationContexts!A2:A2, 0))="")=TRUE),  "",  INDEX(EvaluationContexts!D2:D2, MATCH(J2,EvaluationContexts!A2:A2, 0))), "")</f>
        <v>46222.75</v>
      </c>
      <c r="L2" s="4" t="b">
        <f>I2 &lt; K2</f>
        <v>1</v>
      </c>
      <c r="M2" s="4" t="str">
        <f>IF(((L2)=TRUE),  C2,  "")</f>
        <v>close-v1.1.0</v>
      </c>
      <c r="N2" s="6">
        <f>IF((_xlfn.IFNA(IF(((INDEX(ProcedureVersions!V2:V4, MATCH(C2,ProcedureVersions!A2:A4, 0))="")=TRUE),  "",  INDEX(ProcedureVersions!V2:V4, MATCH(C2,ProcedureVersions!A2:A4, 0))), ""))="", "", ROUND((_xlfn.IFNA(IF(((INDEX(ProcedureVersions!V2:V4, MATCH(C2,ProcedureVersions!A2:A4, 0))="")=TRUE),  "",  INDEX(ProcedureVersions!V2:V4, MATCH(C2,ProcedureVersions!A2:A4, 0))), "")), 0))</f>
        <v>90</v>
      </c>
      <c r="O2" s="6">
        <f>IF((IF(((OR((((K2)="")=TRUE), (((E2)="")=TRUE)))=TRUE),  0,  (INT(K2) - INT(E2))))="", "", ROUND((IF(((OR((((K2)="")=TRUE), (((E2)="")=TRUE)))=TRUE),  0,  (INT(K2) - INT(E2)))), 0))</f>
        <v>121</v>
      </c>
      <c r="P2" s="4" t="b">
        <f>O2 &gt; N2</f>
        <v>1</v>
      </c>
      <c r="Q2" s="6">
        <f>IF((O2 - N2)="", "", ROUND((O2 - N2), 0))</f>
        <v>31</v>
      </c>
      <c r="R2" s="4" t="b">
        <f>AND(((P2)=TRUE), ((NOT(((L2)=TRUE)))=TRUE))</f>
        <v>0</v>
      </c>
      <c r="S2" s="4" t="str">
        <f>IF(((P2)=TRUE),  C2,  "")</f>
        <v>close-v1.1.0</v>
      </c>
      <c r="T2" s="3" t="s">
        <v>1649</v>
      </c>
    </row>
    <row r="3">
      <c r="A3" s="3" t="s">
        <v>1650</v>
      </c>
      <c r="B3" s="4" t="str">
        <f>C3 &amp; " / " &amp; D3</f>
        <v>close-v1.1.0 / QuarterlySemanticReview</v>
      </c>
      <c r="C3" s="3" t="s">
        <v>369</v>
      </c>
      <c r="D3" s="3" t="s">
        <v>1647</v>
      </c>
      <c r="E3" s="5">
        <v>46205.875</v>
      </c>
      <c r="F3" s="3" t="s">
        <v>145</v>
      </c>
      <c r="G3" s="3" t="s">
        <v>1651</v>
      </c>
      <c r="H3" s="3" t="s">
        <v>1576</v>
      </c>
      <c r="I3" s="5">
        <v>46295.875</v>
      </c>
      <c r="J3" s="3" t="s">
        <v>95</v>
      </c>
      <c r="K3" s="7">
        <f>_xlfn.IFNA(IF(((INDEX(EvaluationContexts!D2:D2, MATCH(J3,EvaluationContexts!A2:A2, 0))="")=TRUE),  "",  INDEX(EvaluationContexts!D2:D2, MATCH(J3,EvaluationContexts!A2:A2, 0))), "")</f>
        <v>46222.75</v>
      </c>
      <c r="L3" s="4" t="b">
        <f>I3 &lt; K3</f>
        <v>0</v>
      </c>
      <c r="M3" s="4" t="str">
        <f>IF(((L3)=TRUE),  C3,  "")</f>
      </c>
      <c r="N3" s="6">
        <f>IF((_xlfn.IFNA(IF(((INDEX(ProcedureVersions!V2:V4, MATCH(C3,ProcedureVersions!A2:A4, 0))="")=TRUE),  "",  INDEX(ProcedureVersions!V2:V4, MATCH(C3,ProcedureVersions!A2:A4, 0))), ""))="", "", ROUND((_xlfn.IFNA(IF(((INDEX(ProcedureVersions!V2:V4, MATCH(C3,ProcedureVersions!A2:A4, 0))="")=TRUE),  "",  INDEX(ProcedureVersions!V2:V4, MATCH(C3,ProcedureVersions!A2:A4, 0))), "")), 0))</f>
        <v>90</v>
      </c>
      <c r="O3" s="6">
        <f>IF((IF(((OR((((K3)="")=TRUE), (((E3)="")=TRUE)))=TRUE),  0,  (INT(K3) - INT(E3))))="", "", ROUND((IF(((OR((((K3)="")=TRUE), (((E3)="")=TRUE)))=TRUE),  0,  (INT(K3) - INT(E3)))), 0))</f>
        <v>17</v>
      </c>
      <c r="P3" s="4" t="b">
        <f>O3 &gt; N3</f>
        <v>0</v>
      </c>
      <c r="Q3" s="6">
        <f>IF((O3 - N3)="", "", ROUND((O3 - N3), 0))</f>
        <v>-73</v>
      </c>
      <c r="R3" s="4" t="b">
        <f>AND(((P3)=TRUE), ((NOT(((L3)=TRUE)))=TRUE))</f>
        <v>0</v>
      </c>
      <c r="S3" s="4" t="str">
        <f>IF(((P3)=TRUE),  C3,  "")</f>
      </c>
      <c r="T3" s="3" t="s">
        <v>1096</v>
      </c>
    </row>
    <row r="4">
      <c r="A4" s="3" t="s">
        <v>1652</v>
      </c>
      <c r="B4" s="4" t="str">
        <f>C4 &amp; " / " &amp; D4</f>
        <v>policy-v1.0.0 / PreLaunchReview</v>
      </c>
      <c r="C4" s="3" t="s">
        <v>375</v>
      </c>
      <c r="D4" s="3" t="s">
        <v>1653</v>
      </c>
      <c r="E4" s="5">
        <v>46221.875</v>
      </c>
      <c r="F4" s="3" t="s">
        <v>153</v>
      </c>
      <c r="G4" s="3" t="s">
        <v>1648</v>
      </c>
      <c r="H4" s="3" t="s">
        <v>1581</v>
      </c>
      <c r="I4" s="5">
        <v>46281.875</v>
      </c>
      <c r="J4" s="3" t="s">
        <v>95</v>
      </c>
      <c r="K4" s="7">
        <f>_xlfn.IFNA(IF(((INDEX(EvaluationContexts!D2:D2, MATCH(J4,EvaluationContexts!A2:A2, 0))="")=TRUE),  "",  INDEX(EvaluationContexts!D2:D2, MATCH(J4,EvaluationContexts!A2:A2, 0))), "")</f>
        <v>46222.75</v>
      </c>
      <c r="L4" s="4" t="b">
        <f>I4 &lt; K4</f>
        <v>0</v>
      </c>
      <c r="M4" s="4" t="str">
        <f>IF(((L4)=TRUE),  C4,  "")</f>
      </c>
      <c r="N4" s="6">
        <f>IF((_xlfn.IFNA(IF(((INDEX(ProcedureVersions!V2:V4, MATCH(C4,ProcedureVersions!A2:A4, 0))="")=TRUE),  "",  INDEX(ProcedureVersions!V2:V4, MATCH(C4,ProcedureVersions!A2:A4, 0))), ""))="", "", ROUND((_xlfn.IFNA(IF(((INDEX(ProcedureVersions!V2:V4, MATCH(C4,ProcedureVersions!A2:A4, 0))="")=TRUE),  "",  INDEX(ProcedureVersions!V2:V4, MATCH(C4,ProcedureVersions!A2:A4, 0))), "")), 0))</f>
        <v>60</v>
      </c>
      <c r="O4" s="6">
        <f>IF((IF(((OR((((K4)="")=TRUE), (((E4)="")=TRUE)))=TRUE),  0,  (INT(K4) - INT(E4))))="", "", ROUND((IF(((OR((((K4)="")=TRUE), (((E4)="")=TRUE)))=TRUE),  0,  (INT(K4) - INT(E4)))), 0))</f>
        <v>1</v>
      </c>
      <c r="P4" s="4" t="b">
        <f>O4 &gt; N4</f>
        <v>0</v>
      </c>
      <c r="Q4" s="6">
        <f>IF((O4 - N4)="", "", ROUND((O4 - N4), 0))</f>
        <v>-59</v>
      </c>
      <c r="R4" s="4" t="b">
        <f>AND(((P4)=TRUE), ((NOT(((L4)=TRUE)))=TRUE))</f>
        <v>0</v>
      </c>
      <c r="S4" s="4" t="str">
        <f>IF(((P4)=TRUE),  C4,  "")</f>
      </c>
      <c r="T4" s="3" t="s">
        <v>1096</v>
      </c>
    </row>
  </sheetData>
  <autoFilter ref="A1:T1"/>
  <headerFooter/>
  <legacyDrawing r:id="rId1"/>
</worksheet>
</file>

<file path=xl/worksheets/sheet4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3"/>
  <sheetViews>
    <sheetView workbookViewId="0">
      <pane ySplit="1" topLeftCell="A2" state="frozen" activePane="bottomLeft"/>
      <selection pane="bottomLeft" activeCell="A1" sqref="A1"/>
    </sheetView>
  </sheetViews>
  <sheetFormatPr defaultRowHeight="15"/>
  <cols>
    <col min="1" max="1" width="20.7275390625" customWidth="1"/>
    <col min="2" max="2" width="48.23929977416992" customWidth="1"/>
    <col min="3" max="3" width="21.721866607666016" customWidth="1"/>
    <col min="4" max="4" width="18.236316680908203" customWidth="1"/>
    <col min="5" max="5" width="17.443546295166016" customWidth="1"/>
    <col min="6" max="6" width="23.35041618347168" customWidth="1"/>
    <col min="7" max="7" width="17.443378448486328" customWidth="1"/>
    <col min="8" max="8" width="64.39659118652344" customWidth="1"/>
    <col min="9" max="9" width="18.62822914123535" customWidth="1"/>
    <col min="10" max="10" width="34.941070556640625" customWidth="1"/>
  </cols>
  <sheetData>
    <row r="1">
      <c r="A1" s="2" t="s">
        <v>1654</v>
      </c>
      <c r="B1" s="2" t="s">
        <v>1</v>
      </c>
      <c r="C1" s="2" t="s">
        <v>339</v>
      </c>
      <c r="D1" s="2" t="s">
        <v>478</v>
      </c>
      <c r="E1" s="2" t="s">
        <v>1655</v>
      </c>
      <c r="F1" s="2" t="s">
        <v>1542</v>
      </c>
      <c r="G1" s="2" t="s">
        <v>1083</v>
      </c>
      <c r="H1" s="2" t="s">
        <v>1635</v>
      </c>
      <c r="I1" s="2" t="s">
        <v>1656</v>
      </c>
      <c r="J1" s="2" t="s">
        <v>94</v>
      </c>
    </row>
    <row r="2">
      <c r="A2" s="3" t="s">
        <v>1657</v>
      </c>
      <c r="B2" s="4" t="str">
        <f>E2 &amp; " / " &amp; IF(((F2="")=TRUE),  "",  TEXT(F2, "yyyy-mm-dd\Thh:mm:ss")&amp;"+00:00")</f>
        <v>Retrospective / 2026-07-02T20:30:00+00:00</v>
      </c>
      <c r="C2" s="3" t="s">
        <v>329</v>
      </c>
      <c r="D2" s="3" t="s">
        <v>369</v>
      </c>
      <c r="E2" s="3" t="s">
        <v>590</v>
      </c>
      <c r="F2" s="5">
        <v>46205.854166666664</v>
      </c>
      <c r="G2" s="3" t="s">
        <v>145</v>
      </c>
      <c r="H2" s="3" t="s">
        <v>1658</v>
      </c>
      <c r="I2" s="3" t="s">
        <v>1037</v>
      </c>
      <c r="J2" s="3" t="s">
        <v>1096</v>
      </c>
    </row>
    <row r="3">
      <c r="A3" s="3" t="s">
        <v>1659</v>
      </c>
      <c r="B3" s="4" t="str">
        <f>E3 &amp; " / " &amp; IF(((F3="")=TRUE),  "",  TEXT(F3, "yyyy-mm-dd\Thh:mm:ss")&amp;"+00:00")</f>
        <v>TabletopExercise / 2026-07-15T18:00:00+00:00</v>
      </c>
      <c r="C3" s="3" t="s">
        <v>334</v>
      </c>
      <c r="D3" s="3" t="s">
        <v>375</v>
      </c>
      <c r="E3" s="3" t="s">
        <v>1660</v>
      </c>
      <c r="F3" s="5">
        <v>46218.75</v>
      </c>
      <c r="G3" s="3" t="s">
        <v>153</v>
      </c>
      <c r="H3" s="3" t="s">
        <v>1661</v>
      </c>
      <c r="I3" s="3" t="s">
        <v>1056</v>
      </c>
      <c r="J3" s="3" t="s">
        <v>1096</v>
      </c>
    </row>
  </sheetData>
  <autoFilter ref="A1:J1"/>
  <headerFooter/>
  <legacyDrawing r:id="rId1"/>
</worksheet>
</file>

<file path=xl/worksheets/sheet4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V6"/>
  <sheetViews>
    <sheetView workbookViewId="0">
      <pane ySplit="1" topLeftCell="A2" state="frozen" activePane="bottomLeft"/>
      <selection pane="bottomLeft" activeCell="A1" sqref="A1"/>
    </sheetView>
  </sheetViews>
  <sheetFormatPr defaultRowHeight="15"/>
  <cols>
    <col min="1" max="1" width="21.405590057373047" customWidth="1"/>
    <col min="2" max="2" width="37.19440841674805" customWidth="1"/>
    <col min="3" max="3" width="18.236316680908203" customWidth="1"/>
    <col min="4" max="4" width="17.443378448486328" customWidth="1"/>
    <col min="5" max="5" width="19.96071434020996" customWidth="1"/>
    <col min="6" max="6" width="17.443378448486328" customWidth="1"/>
    <col min="7" max="7" width="27.033769607543945" customWidth="1"/>
    <col min="8" max="8" width="23.35041618347168" customWidth="1"/>
    <col min="9" max="9" width="20.974369049072266" customWidth="1"/>
    <col min="10" max="10" width="17.443378448486328" customWidth="1"/>
    <col min="11" max="11" width="18.547500610351562" customWidth="1"/>
    <col min="12" max="12" width="23.35041618347168" customWidth="1"/>
    <col min="13" max="13" width="17.443378448486328" customWidth="1"/>
    <col min="14" max="14" width="17.443378448486328" customWidth="1"/>
    <col min="15" max="15" width="20.71888542175293" customWidth="1"/>
    <col min="16" max="16" width="25.495189666748047" customWidth="1"/>
    <col min="17" max="17" width="23.435773849487305" customWidth="1"/>
    <col min="18" max="18" width="17.443378448486328" customWidth="1"/>
    <col min="19" max="19" width="21.183435440063477" customWidth="1"/>
    <col min="20" max="20" width="20.332569122314453" customWidth="1"/>
    <col min="21" max="21" width="19.804044723510742" customWidth="1"/>
    <col min="22" max="22" width="46.61151885986328" customWidth="1"/>
  </cols>
  <sheetData>
    <row r="1">
      <c r="A1" s="2" t="s">
        <v>1662</v>
      </c>
      <c r="B1" s="2" t="s">
        <v>1</v>
      </c>
      <c r="C1" s="2" t="s">
        <v>478</v>
      </c>
      <c r="D1" s="2" t="s">
        <v>767</v>
      </c>
      <c r="E1" s="2" t="s">
        <v>1066</v>
      </c>
      <c r="F1" s="2" t="s">
        <v>1663</v>
      </c>
      <c r="G1" s="2" t="s">
        <v>1664</v>
      </c>
      <c r="H1" s="2" t="s">
        <v>1665</v>
      </c>
      <c r="I1" s="2" t="s">
        <v>1666</v>
      </c>
      <c r="J1" s="2" t="s">
        <v>1667</v>
      </c>
      <c r="K1" s="2" t="s">
        <v>258</v>
      </c>
      <c r="L1" s="2" t="s">
        <v>92</v>
      </c>
      <c r="M1" s="2" t="s">
        <v>1668</v>
      </c>
      <c r="N1" s="2" t="s">
        <v>1669</v>
      </c>
      <c r="O1" s="2" t="s">
        <v>1670</v>
      </c>
      <c r="P1" s="2" t="s">
        <v>1671</v>
      </c>
      <c r="Q1" s="2" t="s">
        <v>1672</v>
      </c>
      <c r="R1" s="2" t="s">
        <v>1673</v>
      </c>
      <c r="S1" s="2" t="s">
        <v>1674</v>
      </c>
      <c r="T1" s="2" t="s">
        <v>1675</v>
      </c>
      <c r="U1" s="2" t="s">
        <v>1676</v>
      </c>
      <c r="V1" s="2" t="s">
        <v>94</v>
      </c>
    </row>
    <row r="2">
      <c r="A2" s="3" t="s">
        <v>1677</v>
      </c>
      <c r="B2" s="4" t="str">
        <f>D2 &amp; " / " &amp; G2</f>
        <v>close-02 / GeneralLedger.TrialBalance</v>
      </c>
      <c r="C2" s="3" t="s">
        <v>369</v>
      </c>
      <c r="D2" s="3" t="s">
        <v>556</v>
      </c>
      <c r="E2" s="3" t="s">
        <v>1032</v>
      </c>
      <c r="F2" s="3" t="s">
        <v>1678</v>
      </c>
      <c r="G2" s="3" t="s">
        <v>1679</v>
      </c>
      <c r="H2" s="5">
        <v>46222.73819444444</v>
      </c>
      <c r="I2" s="8">
        <v>15</v>
      </c>
      <c r="J2" s="3" t="b">
        <v>1</v>
      </c>
      <c r="K2" s="3" t="s">
        <v>95</v>
      </c>
      <c r="L2" s="7">
        <f>_xlfn.IFNA(IF(((INDEX(EvaluationContexts!D2:D2, MATCH(K2,EvaluationContexts!A2:A2, 0))="")=TRUE),  "",  INDEX(EvaluationContexts!D2:D2, MATCH(K2,EvaluationContexts!A2:A2, 0))), "")</f>
        <v>46222.75</v>
      </c>
      <c r="M2" s="6">
        <f>IF((IF(((OR((((L2)="")=TRUE), (((H2)="")=TRUE)))=TRUE),  0,  ((L2 - H2) * 1440)))="", "", ROUND((IF(((OR((((L2)="")=TRUE), (((H2)="")=TRUE)))=TRUE),  0,  ((L2 - H2) * 1440))), 0))</f>
        <v>17</v>
      </c>
      <c r="N2" s="4" t="b">
        <f>M2 &lt;= I2</f>
        <v>0</v>
      </c>
      <c r="O2" s="4" t="str">
        <f>IF(((NOT(((N2)=TRUE)))=TRUE),  D2,  "")</f>
        <v>close-02</v>
      </c>
      <c r="P2" s="4" t="str">
        <f>IF(((AND(((NOT(((N2)=TRUE)))=TRUE), ((J2)=TRUE)))=TRUE),  D2,  "")</f>
        <v>close-02</v>
      </c>
      <c r="Q2" s="4" t="b">
        <f>AND(((J2)=TRUE), ((NOT(((N2)=TRUE)))=TRUE))</f>
        <v>1</v>
      </c>
      <c r="R2" s="4" t="str">
        <f>IF(((Q2)=TRUE),  D2,  "")</f>
        <v>close-02</v>
      </c>
      <c r="S2" s="4" t="b">
        <f>_xlfn.IFNA(IF(((INDEX(Resources!J2:J9, MATCH(E2,Resources!A2:A9, 0))="")=TRUE),  "",  INDEX(Resources!J2:J9, MATCH(E2,Resources!A2:A9, 0))), "")</f>
        <v>0</v>
      </c>
      <c r="T2" s="4" t="b">
        <f>AND(((S2)=TRUE), ((N2)=TRUE))</f>
        <v>0</v>
      </c>
      <c r="U2" s="4" t="str">
        <f>IF(((T2)=TRUE),  "",  D2)</f>
        <v>close-02</v>
      </c>
      <c r="V2" s="3" t="s">
        <v>1680</v>
      </c>
    </row>
    <row r="3">
      <c r="A3" s="3" t="s">
        <v>1681</v>
      </c>
      <c r="B3" s="4" t="str">
        <f>D3 &amp; " / " &amp; G3</f>
        <v>policy-01 / HR.ChangeTicket</v>
      </c>
      <c r="C3" s="3" t="s">
        <v>375</v>
      </c>
      <c r="D3" s="3" t="s">
        <v>591</v>
      </c>
      <c r="E3" s="3" t="s">
        <v>1060</v>
      </c>
      <c r="F3" s="3" t="s">
        <v>1682</v>
      </c>
      <c r="G3" s="3" t="s">
        <v>1683</v>
      </c>
      <c r="H3" s="5">
        <v>46222.70138888889</v>
      </c>
      <c r="I3" s="8">
        <v>30</v>
      </c>
      <c r="J3" s="3" t="b">
        <v>1</v>
      </c>
      <c r="K3" s="3" t="s">
        <v>95</v>
      </c>
      <c r="L3" s="7">
        <f>_xlfn.IFNA(IF(((INDEX(EvaluationContexts!D2:D2, MATCH(K3,EvaluationContexts!A2:A2, 0))="")=TRUE),  "",  INDEX(EvaluationContexts!D2:D2, MATCH(K3,EvaluationContexts!A2:A2, 0))), "")</f>
        <v>46222.75</v>
      </c>
      <c r="M3" s="6">
        <f>IF((IF(((OR((((L3)="")=TRUE), (((H3)="")=TRUE)))=TRUE),  0,  ((L3 - H3) * 1440)))="", "", ROUND((IF(((OR((((L3)="")=TRUE), (((H3)="")=TRUE)))=TRUE),  0,  ((L3 - H3) * 1440))), 0))</f>
        <v>70</v>
      </c>
      <c r="N3" s="4" t="b">
        <f>M3 &lt;= I3</f>
        <v>0</v>
      </c>
      <c r="O3" s="4" t="str">
        <f>IF(((NOT(((N3)=TRUE)))=TRUE),  D3,  "")</f>
        <v>policy-01</v>
      </c>
      <c r="P3" s="4" t="str">
        <f>IF(((AND(((NOT(((N3)=TRUE)))=TRUE), ((J3)=TRUE)))=TRUE),  D3,  "")</f>
        <v>policy-01</v>
      </c>
      <c r="Q3" s="4" t="b">
        <f>AND(((J3)=TRUE), ((NOT(((N3)=TRUE)))=TRUE))</f>
        <v>1</v>
      </c>
      <c r="R3" s="4" t="str">
        <f>IF(((Q3)=TRUE),  D3,  "")</f>
        <v>policy-01</v>
      </c>
      <c r="S3" s="4" t="b">
        <f>_xlfn.IFNA(IF(((INDEX(Resources!J2:J9, MATCH(E3,Resources!A2:A9, 0))="")=TRUE),  "",  INDEX(Resources!J2:J9, MATCH(E3,Resources!A2:A9, 0))), "")</f>
        <v>0</v>
      </c>
      <c r="T3" s="4" t="b">
        <f>AND(((S3)=TRUE), ((N3)=TRUE))</f>
        <v>0</v>
      </c>
      <c r="U3" s="4" t="str">
        <f>IF(((T3)=TRUE),  "",  D3)</f>
        <v>policy-01</v>
      </c>
      <c r="V3" s="3" t="s">
        <v>1680</v>
      </c>
    </row>
    <row r="4">
      <c r="A4" s="3" t="s">
        <v>1684</v>
      </c>
      <c r="B4" s="4" t="str">
        <f>D4 &amp; " / " &amp; G4</f>
        <v>policy-07 / HR.CommunicationConsent</v>
      </c>
      <c r="C4" s="3" t="s">
        <v>375</v>
      </c>
      <c r="D4" s="3" t="s">
        <v>610</v>
      </c>
      <c r="E4" s="3" t="s">
        <v>1046</v>
      </c>
      <c r="F4" s="3" t="s">
        <v>1678</v>
      </c>
      <c r="G4" s="3" t="s">
        <v>1685</v>
      </c>
      <c r="H4" s="5">
        <v>46222.697916666664</v>
      </c>
      <c r="I4" s="8">
        <v>15</v>
      </c>
      <c r="J4" s="3" t="b">
        <v>1</v>
      </c>
      <c r="K4" s="3" t="s">
        <v>95</v>
      </c>
      <c r="L4" s="7">
        <f>_xlfn.IFNA(IF(((INDEX(EvaluationContexts!D2:D2, MATCH(K4,EvaluationContexts!A2:A2, 0))="")=TRUE),  "",  INDEX(EvaluationContexts!D2:D2, MATCH(K4,EvaluationContexts!A2:A2, 0))), "")</f>
        <v>46222.75</v>
      </c>
      <c r="M4" s="6">
        <f>IF((IF(((OR((((L4)="")=TRUE), (((H4)="")=TRUE)))=TRUE),  0,  ((L4 - H4) * 1440)))="", "", ROUND((IF(((OR((((L4)="")=TRUE), (((H4)="")=TRUE)))=TRUE),  0,  ((L4 - H4) * 1440))), 0))</f>
        <v>75</v>
      </c>
      <c r="N4" s="4" t="b">
        <f>M4 &lt;= I4</f>
        <v>0</v>
      </c>
      <c r="O4" s="4" t="str">
        <f>IF(((NOT(((N4)=TRUE)))=TRUE),  D4,  "")</f>
        <v>policy-07</v>
      </c>
      <c r="P4" s="4" t="str">
        <f>IF(((AND(((NOT(((N4)=TRUE)))=TRUE), ((J4)=TRUE)))=TRUE),  D4,  "")</f>
        <v>policy-07</v>
      </c>
      <c r="Q4" s="4" t="b">
        <f>AND(((J4)=TRUE), ((NOT(((N4)=TRUE)))=TRUE))</f>
        <v>1</v>
      </c>
      <c r="R4" s="4" t="str">
        <f>IF(((Q4)=TRUE),  D4,  "")</f>
        <v>policy-07</v>
      </c>
      <c r="S4" s="4" t="b">
        <f>_xlfn.IFNA(IF(((INDEX(Resources!J2:J9, MATCH(E4,Resources!A2:A9, 0))="")=TRUE),  "",  INDEX(Resources!J2:J9, MATCH(E4,Resources!A2:A9, 0))), "")</f>
        <v>0</v>
      </c>
      <c r="T4" s="4" t="b">
        <f>AND(((S4)=TRUE), ((N4)=TRUE))</f>
        <v>0</v>
      </c>
      <c r="U4" s="4" t="str">
        <f>IF(((T4)=TRUE),  "",  D4)</f>
        <v>policy-07</v>
      </c>
      <c r="V4" s="3" t="s">
        <v>1680</v>
      </c>
    </row>
    <row r="5">
      <c r="A5" s="3" t="s">
        <v>1686</v>
      </c>
      <c r="B5" s="4" t="str">
        <f>D5 &amp; " / " &amp; G5</f>
        <v>policy-07 / People.EmailTemplate</v>
      </c>
      <c r="C5" s="3" t="s">
        <v>375</v>
      </c>
      <c r="D5" s="3" t="s">
        <v>610</v>
      </c>
      <c r="E5" s="3" t="s">
        <v>1051</v>
      </c>
      <c r="F5" s="3" t="s">
        <v>1678</v>
      </c>
      <c r="G5" s="3" t="s">
        <v>1687</v>
      </c>
      <c r="H5" s="5">
        <v>46221.895833333336</v>
      </c>
      <c r="I5" s="8">
        <v>1440</v>
      </c>
      <c r="J5" s="3" t="b">
        <v>1</v>
      </c>
      <c r="K5" s="3" t="s">
        <v>95</v>
      </c>
      <c r="L5" s="7">
        <f>_xlfn.IFNA(IF(((INDEX(EvaluationContexts!D2:D2, MATCH(K5,EvaluationContexts!A2:A2, 0))="")=TRUE),  "",  INDEX(EvaluationContexts!D2:D2, MATCH(K5,EvaluationContexts!A2:A2, 0))), "")</f>
        <v>46222.75</v>
      </c>
      <c r="M5" s="6">
        <f>IF((IF(((OR((((L5)="")=TRUE), (((H5)="")=TRUE)))=TRUE),  0,  ((L5 - H5) * 1440)))="", "", ROUND((IF(((OR((((L5)="")=TRUE), (((H5)="")=TRUE)))=TRUE),  0,  ((L5 - H5) * 1440))), 0))</f>
        <v>1230</v>
      </c>
      <c r="N5" s="4" t="b">
        <f>M5 &lt;= I5</f>
        <v>1</v>
      </c>
      <c r="O5" s="4" t="str">
        <f>IF(((NOT(((N5)=TRUE)))=TRUE),  D5,  "")</f>
      </c>
      <c r="P5" s="4" t="str">
        <f>IF(((AND(((NOT(((N5)=TRUE)))=TRUE), ((J5)=TRUE)))=TRUE),  D5,  "")</f>
      </c>
      <c r="Q5" s="4" t="b">
        <f>AND(((J5)=TRUE), ((NOT(((N5)=TRUE)))=TRUE))</f>
        <v>0</v>
      </c>
      <c r="R5" s="4" t="str">
        <f>IF(((Q5)=TRUE),  D5,  "")</f>
      </c>
      <c r="S5" s="4" t="b">
        <f>_xlfn.IFNA(IF(((INDEX(Resources!J2:J9, MATCH(E5,Resources!A2:A9, 0))="")=TRUE),  "",  INDEX(Resources!J2:J9, MATCH(E5,Resources!A2:A9, 0))), "")</f>
        <v>0</v>
      </c>
      <c r="T5" s="4" t="b">
        <f>AND(((S5)=TRUE), ((N5)=TRUE))</f>
        <v>0</v>
      </c>
      <c r="U5" s="4" t="str">
        <f>IF(((T5)=TRUE),  "",  D5)</f>
        <v>policy-07</v>
      </c>
      <c r="V5" s="3" t="s">
        <v>1680</v>
      </c>
    </row>
    <row r="6">
      <c r="A6" s="3" t="s">
        <v>1688</v>
      </c>
      <c r="B6" s="4" t="str">
        <f>D6 &amp; " / " &amp; G6</f>
        <v>policy-07 / People.SmsTemplate</v>
      </c>
      <c r="C6" s="3" t="s">
        <v>375</v>
      </c>
      <c r="D6" s="3" t="s">
        <v>610</v>
      </c>
      <c r="E6" s="3" t="s">
        <v>1056</v>
      </c>
      <c r="F6" s="3" t="s">
        <v>1678</v>
      </c>
      <c r="G6" s="3" t="s">
        <v>1689</v>
      </c>
      <c r="H6" s="5">
        <v>46221.895833333336</v>
      </c>
      <c r="I6" s="8">
        <v>1440</v>
      </c>
      <c r="J6" s="3" t="b">
        <v>1</v>
      </c>
      <c r="K6" s="3" t="s">
        <v>95</v>
      </c>
      <c r="L6" s="7">
        <f>_xlfn.IFNA(IF(((INDEX(EvaluationContexts!D2:D2, MATCH(K6,EvaluationContexts!A2:A2, 0))="")=TRUE),  "",  INDEX(EvaluationContexts!D2:D2, MATCH(K6,EvaluationContexts!A2:A2, 0))), "")</f>
        <v>46222.75</v>
      </c>
      <c r="M6" s="6">
        <f>IF((IF(((OR((((L6)="")=TRUE), (((H6)="")=TRUE)))=TRUE),  0,  ((L6 - H6) * 1440)))="", "", ROUND((IF(((OR((((L6)="")=TRUE), (((H6)="")=TRUE)))=TRUE),  0,  ((L6 - H6) * 1440))), 0))</f>
        <v>1230</v>
      </c>
      <c r="N6" s="4" t="b">
        <f>M6 &lt;= I6</f>
        <v>1</v>
      </c>
      <c r="O6" s="4" t="str">
        <f>IF(((NOT(((N6)=TRUE)))=TRUE),  D6,  "")</f>
      </c>
      <c r="P6" s="4" t="str">
        <f>IF(((AND(((NOT(((N6)=TRUE)))=TRUE), ((J6)=TRUE)))=TRUE),  D6,  "")</f>
      </c>
      <c r="Q6" s="4" t="b">
        <f>AND(((J6)=TRUE), ((NOT(((N6)=TRUE)))=TRUE))</f>
        <v>0</v>
      </c>
      <c r="R6" s="4" t="str">
        <f>IF(((Q6)=TRUE),  D6,  "")</f>
      </c>
      <c r="S6" s="4" t="b">
        <f>_xlfn.IFNA(IF(((INDEX(Resources!J2:J9, MATCH(E6,Resources!A2:A9, 0))="")=TRUE),  "",  INDEX(Resources!J2:J9, MATCH(E6,Resources!A2:A9, 0))), "")</f>
        <v>0</v>
      </c>
      <c r="T6" s="4" t="b">
        <f>AND(((S6)=TRUE), ((N6)=TRUE))</f>
        <v>0</v>
      </c>
      <c r="U6" s="4" t="str">
        <f>IF(((T6)=TRUE),  "",  D6)</f>
        <v>policy-07</v>
      </c>
      <c r="V6" s="3" t="s">
        <v>1680</v>
      </c>
    </row>
  </sheetData>
  <autoFilter ref="A1:V1"/>
  <headerFooter/>
  <legacyDrawing r:id="rId1"/>
</worksheet>
</file>

<file path=xl/worksheets/sheet4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V3"/>
  <sheetViews>
    <sheetView workbookViewId="0">
      <pane ySplit="1" topLeftCell="A2" state="frozen" activePane="bottomLeft"/>
      <selection pane="bottomLeft" activeCell="A1" sqref="A1"/>
    </sheetView>
  </sheetViews>
  <sheetFormatPr defaultRowHeight="15"/>
  <cols>
    <col min="1" max="1" width="23.34316062927246" customWidth="1"/>
    <col min="2" max="2" width="26.839580535888672" customWidth="1"/>
    <col min="3" max="3" width="18.236316680908203" customWidth="1"/>
    <col min="4" max="4" width="17.443378448486328" customWidth="1"/>
    <col min="5" max="5" width="49.43636703491211" customWidth="1"/>
    <col min="6" max="6" width="17.660818099975586" customWidth="1"/>
    <col min="7" max="7" width="17.443378448486328" customWidth="1"/>
    <col min="8" max="8" width="17.443378448486328" customWidth="1"/>
    <col min="9" max="9" width="19.929874420166016" customWidth="1"/>
    <col min="10" max="10" width="17.443378448486328" customWidth="1"/>
    <col min="11" max="11" width="17.443378448486328" customWidth="1"/>
    <col min="12" max="12" width="25.59624671936035" customWidth="1"/>
    <col min="13" max="13" width="65.06096649169922" customWidth="1"/>
    <col min="14" max="14" width="66.67237091064453" customWidth="1"/>
    <col min="15" max="15" width="17.443378448486328" customWidth="1"/>
    <col min="16" max="16" width="22.72109031677246" customWidth="1"/>
    <col min="17" max="17" width="21.485902786254883" customWidth="1"/>
    <col min="18" max="18" width="20.624557495117188" customWidth="1"/>
    <col min="19" max="19" width="25.575180053710938" customWidth="1"/>
    <col min="20" max="20" width="23.17095947265625" customWidth="1"/>
    <col min="21" max="21" width="17.443378448486328" customWidth="1"/>
    <col min="22" max="22" width="34.297874450683594" customWidth="1"/>
  </cols>
  <sheetData>
    <row r="1">
      <c r="A1" s="2" t="s">
        <v>1690</v>
      </c>
      <c r="B1" s="2" t="s">
        <v>1</v>
      </c>
      <c r="C1" s="2" t="s">
        <v>478</v>
      </c>
      <c r="D1" s="2" t="s">
        <v>1691</v>
      </c>
      <c r="E1" s="2" t="s">
        <v>1692</v>
      </c>
      <c r="F1" s="2" t="s">
        <v>1693</v>
      </c>
      <c r="G1" s="2" t="s">
        <v>1694</v>
      </c>
      <c r="H1" s="2" t="s">
        <v>1695</v>
      </c>
      <c r="I1" s="2" t="s">
        <v>1696</v>
      </c>
      <c r="J1" s="2" t="s">
        <v>1697</v>
      </c>
      <c r="K1" s="2" t="s">
        <v>1698</v>
      </c>
      <c r="L1" s="2" t="s">
        <v>1003</v>
      </c>
      <c r="M1" s="2" t="s">
        <v>1699</v>
      </c>
      <c r="N1" s="2" t="s">
        <v>1700</v>
      </c>
      <c r="O1" s="2" t="s">
        <v>8</v>
      </c>
      <c r="P1" s="2" t="s">
        <v>1701</v>
      </c>
      <c r="Q1" s="2" t="s">
        <v>1702</v>
      </c>
      <c r="R1" s="2" t="s">
        <v>1703</v>
      </c>
      <c r="S1" s="2" t="s">
        <v>1704</v>
      </c>
      <c r="T1" s="2" t="s">
        <v>1705</v>
      </c>
      <c r="U1" s="2" t="s">
        <v>1706</v>
      </c>
      <c r="V1" s="2" t="s">
        <v>94</v>
      </c>
    </row>
    <row r="2">
      <c r="A2" s="3" t="s">
        <v>1707</v>
      </c>
      <c r="B2" s="4" t="str">
        <f>D2 &amp; " policy / " &amp; C2</f>
        <v>Email policy / policy-v1.0.0</v>
      </c>
      <c r="C2" s="3" t="s">
        <v>375</v>
      </c>
      <c r="D2" s="3" t="s">
        <v>1708</v>
      </c>
      <c r="E2" s="3" t="s">
        <v>1709</v>
      </c>
      <c r="F2" s="3" t="b">
        <v>0</v>
      </c>
      <c r="G2" s="3" t="s">
        <v>1710</v>
      </c>
      <c r="H2" s="3" t="s">
        <v>1710</v>
      </c>
      <c r="I2" s="8">
        <v>100000</v>
      </c>
      <c r="J2" s="8">
        <v>1</v>
      </c>
      <c r="K2" s="8">
        <v>2555</v>
      </c>
      <c r="L2" s="3" t="s">
        <v>224</v>
      </c>
      <c r="M2" s="3" t="s">
        <v>1711</v>
      </c>
      <c r="N2" s="3" t="s">
        <v>1712</v>
      </c>
      <c r="O2" s="3" t="s">
        <v>309</v>
      </c>
      <c r="P2" s="4">
        <f>COUNTIFS(MessageDeliveries!O2:O7, A2,MessageDeliveries!T2:T7, TRUE)</f>
        <v>0</v>
      </c>
      <c r="Q2" s="8">
        <v>0</v>
      </c>
      <c r="R2" s="8">
        <v>0</v>
      </c>
      <c r="S2" s="4">
        <f>COUNTIFS(MessageDeliveries!AB2:AB7, A2)</f>
        <v>0</v>
      </c>
      <c r="T2" s="3"/>
      <c r="U2" s="4" t="b">
        <f>O2 = "Active"</f>
        <v>1</v>
      </c>
      <c r="V2" s="3" t="s">
        <v>1713</v>
      </c>
    </row>
    <row r="3">
      <c r="A3" s="3" t="s">
        <v>1714</v>
      </c>
      <c r="B3" s="4" t="str">
        <f>D3 &amp; " policy / " &amp; C3</f>
        <v>SMS policy / policy-v1.0.0</v>
      </c>
      <c r="C3" s="3" t="s">
        <v>375</v>
      </c>
      <c r="D3" s="3" t="s">
        <v>1715</v>
      </c>
      <c r="E3" s="3" t="s">
        <v>1716</v>
      </c>
      <c r="F3" s="3" t="b">
        <v>1</v>
      </c>
      <c r="G3" s="3" t="s">
        <v>1717</v>
      </c>
      <c r="H3" s="3" t="s">
        <v>1718</v>
      </c>
      <c r="I3" s="8">
        <v>160</v>
      </c>
      <c r="J3" s="8">
        <v>3</v>
      </c>
      <c r="K3" s="8">
        <v>2555</v>
      </c>
      <c r="L3" s="3" t="s">
        <v>224</v>
      </c>
      <c r="M3" s="3" t="s">
        <v>1719</v>
      </c>
      <c r="N3" s="3" t="s">
        <v>1720</v>
      </c>
      <c r="O3" s="3" t="s">
        <v>309</v>
      </c>
      <c r="P3" s="4">
        <f>COUNTIFS(MessageDeliveries!O2:O7, A3,MessageDeliveries!T2:T7, TRUE)</f>
        <v>0</v>
      </c>
      <c r="Q3" s="8">
        <v>20</v>
      </c>
      <c r="R3" s="8">
        <v>8</v>
      </c>
      <c r="S3" s="4">
        <f>COUNTIFS(MessageDeliveries!AB2:AB7, A3)</f>
        <v>1</v>
      </c>
      <c r="T3" s="3" t="s">
        <v>1721</v>
      </c>
      <c r="U3" s="4" t="b">
        <f>O3 = "Active"</f>
        <v>1</v>
      </c>
      <c r="V3" s="3" t="s">
        <v>1713</v>
      </c>
    </row>
  </sheetData>
  <autoFilter ref="A1:V1"/>
  <headerFooter/>
  <legacyDrawing r:id="rId1"/>
</worksheet>
</file>

<file path=xl/worksheets/sheet4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3"/>
  <sheetViews>
    <sheetView workbookViewId="0">
      <pane ySplit="1" topLeftCell="A2" state="frozen" activePane="bottomLeft"/>
      <selection pane="bottomLeft" activeCell="A1" sqref="A1"/>
    </sheetView>
  </sheetViews>
  <sheetFormatPr defaultRowHeight="15"/>
  <cols>
    <col min="1" max="1" width="20.235198974609375" customWidth="1"/>
    <col min="2" max="2" width="26.867507934570312" customWidth="1"/>
    <col min="3" max="3" width="21.358522415161133" customWidth="1"/>
    <col min="4" max="4" width="19.368671417236328" customWidth="1"/>
    <col min="5" max="5" width="53.0019645690918" customWidth="1"/>
    <col min="6" max="6" width="161.4154815673828" customWidth="1"/>
    <col min="7" max="7" width="17.443378448486328" customWidth="1"/>
    <col min="8" max="8" width="17.443378448486328" customWidth="1"/>
    <col min="9" max="9" width="25.11454963684082" customWidth="1"/>
    <col min="10" max="10" width="19.97812271118164" customWidth="1"/>
    <col min="11" max="11" width="21.436670303344727" customWidth="1"/>
    <col min="12" max="12" width="22.916988372802734" customWidth="1"/>
    <col min="13" max="13" width="19.899776458740234" customWidth="1"/>
    <col min="14" max="14" width="17.838417053222656" customWidth="1"/>
    <col min="15" max="15" width="28.291688919067383" customWidth="1"/>
    <col min="16" max="16" width="18.18752670288086" customWidth="1"/>
    <col min="17" max="17" width="23.916210174560547" customWidth="1"/>
    <col min="18" max="18" width="18.151525497436523" customWidth="1"/>
    <col min="19" max="19" width="17.443378448486328" customWidth="1"/>
    <col min="20" max="20" width="25.769695281982422" customWidth="1"/>
    <col min="21" max="21" width="18.370132446289062" customWidth="1"/>
    <col min="22" max="22" width="26.131759643554688" customWidth="1"/>
    <col min="23" max="23" width="25.692188262939453" customWidth="1"/>
    <col min="24" max="24" width="27.568450927734375" customWidth="1"/>
    <col min="25" max="25" width="23.35041618347168" customWidth="1"/>
    <col min="26" max="26" width="36.788185119628906" customWidth="1"/>
  </cols>
  <sheetData>
    <row r="1">
      <c r="A1" s="2" t="s">
        <v>1722</v>
      </c>
      <c r="B1" s="2" t="s">
        <v>1</v>
      </c>
      <c r="C1" s="2" t="s">
        <v>1723</v>
      </c>
      <c r="D1" s="2" t="s">
        <v>1066</v>
      </c>
      <c r="E1" s="2" t="s">
        <v>1724</v>
      </c>
      <c r="F1" s="2" t="s">
        <v>1725</v>
      </c>
      <c r="G1" s="2" t="s">
        <v>1726</v>
      </c>
      <c r="H1" s="2" t="s">
        <v>8</v>
      </c>
      <c r="I1" s="2" t="s">
        <v>1727</v>
      </c>
      <c r="J1" s="2" t="s">
        <v>1728</v>
      </c>
      <c r="K1" s="2" t="s">
        <v>1729</v>
      </c>
      <c r="L1" s="2" t="s">
        <v>1730</v>
      </c>
      <c r="M1" s="2" t="s">
        <v>1731</v>
      </c>
      <c r="N1" s="2" t="s">
        <v>1732</v>
      </c>
      <c r="O1" s="2" t="s">
        <v>1733</v>
      </c>
      <c r="P1" s="2" t="s">
        <v>1734</v>
      </c>
      <c r="Q1" s="2" t="s">
        <v>1735</v>
      </c>
      <c r="R1" s="2" t="s">
        <v>1736</v>
      </c>
      <c r="S1" s="2" t="s">
        <v>1737</v>
      </c>
      <c r="T1" s="2" t="s">
        <v>1738</v>
      </c>
      <c r="U1" s="2" t="s">
        <v>1739</v>
      </c>
      <c r="V1" s="2" t="s">
        <v>1740</v>
      </c>
      <c r="W1" s="2" t="s">
        <v>1741</v>
      </c>
      <c r="X1" s="2" t="s">
        <v>1742</v>
      </c>
      <c r="Y1" s="2" t="s">
        <v>1743</v>
      </c>
      <c r="Z1" s="2" t="s">
        <v>94</v>
      </c>
    </row>
    <row r="2">
      <c r="A2" s="3" t="s">
        <v>1744</v>
      </c>
      <c r="B2" s="4" t="str">
        <f>C2 &amp; " / " &amp; G2</f>
        <v>comm-email-policy / en-US</v>
      </c>
      <c r="C2" s="3" t="s">
        <v>1707</v>
      </c>
      <c r="D2" s="3" t="s">
        <v>1051</v>
      </c>
      <c r="E2" s="3" t="s">
        <v>1745</v>
      </c>
      <c r="F2" s="3" t="s">
        <v>1746</v>
      </c>
      <c r="G2" s="3" t="s">
        <v>1747</v>
      </c>
      <c r="H2" s="3" t="s">
        <v>462</v>
      </c>
      <c r="I2" s="6">
        <f>IF((_xlfn.IFNA(IF(((INDEX(CommunicationPolicies!I2:I3, MATCH(C2,CommunicationPolicies!A2:A3, 0))="")=TRUE),  "",  INDEX(CommunicationPolicies!I2:I3, MATCH(C2,CommunicationPolicies!A2:A3, 0))), ""))="", "", ROUND((_xlfn.IFNA(IF(((INDEX(CommunicationPolicies!I2:I3, MATCH(C2,CommunicationPolicies!A2:A3, 0))="")=TRUE),  "",  INDEX(CommunicationPolicies!I2:I3, MATCH(C2,CommunicationPolicies!A2:A3, 0))), "")), 0))</f>
        <v>100000</v>
      </c>
      <c r="J2" s="6">
        <f>IF((_xlfn.IFNA(IF(((INDEX(CommunicationPolicies!J2:J3, MATCH(C2,CommunicationPolicies!A2:A3, 0))="")=TRUE),  "",  INDEX(CommunicationPolicies!J2:J3, MATCH(C2,CommunicationPolicies!A2:A3, 0))), ""))="", "", ROUND((_xlfn.IFNA(IF(((INDEX(CommunicationPolicies!J2:J3, MATCH(C2,CommunicationPolicies!A2:A3, 0))="")=TRUE),  "",  INDEX(CommunicationPolicies!J2:J3, MATCH(C2,CommunicationPolicies!A2:A3, 0))), "")), 0))</f>
        <v>1</v>
      </c>
      <c r="K2" s="6">
        <f>IF((LEN(F2))="", "", ROUND((LEN(F2)), 0))</f>
        <v>164</v>
      </c>
      <c r="L2" s="4" t="b">
        <f>K2 &gt; I2</f>
        <v>0</v>
      </c>
      <c r="M2" s="4">
        <f>COUNTIFS(TemplateApprovals!N2:N3, A2)</f>
        <v>1</v>
      </c>
      <c r="N2" s="4" t="b">
        <f>M2 &gt; 0</f>
        <v>1</v>
      </c>
      <c r="O2" s="4" t="b">
        <f>AND(((H2 = "Approved")=TRUE), ((NOT(((N2)=TRUE)))=TRUE))</f>
        <v>0</v>
      </c>
      <c r="P2" s="3" t="s">
        <v>1748</v>
      </c>
      <c r="Q2" s="4" t="str">
        <f>_xlfn.IFNA(IF(((INDEX(TemplateApprovals!H2:H3, MATCH(R2,TemplateApprovals!A2:A3, 0))="")=TRUE),  "",  INDEX(TemplateApprovals!H2:H3, MATCH(R2,TemplateApprovals!A2:A3, 0))), "")</f>
        <v>h-email-v1</v>
      </c>
      <c r="R2" s="3" t="s">
        <v>1749</v>
      </c>
      <c r="S2" s="4" t="b">
        <f>AND(((Q2 &lt;&gt; "")=TRUE), ((P2 &lt;&gt; Q2)=TRUE))</f>
        <v>0</v>
      </c>
      <c r="T2" s="4" t="b">
        <f>AND(((H2 = "Approved")=TRUE), ((AND(((N2)=TRUE), ((NOT(((S2)=TRUE)))=TRUE)))=TRUE))</f>
        <v>1</v>
      </c>
      <c r="U2" s="4">
        <f>COUNTIFS(MessageDeliveries!BR2:BR7, A2)</f>
        <v>0</v>
      </c>
      <c r="V2" s="4">
        <f>COUNTIFS(MessageDeliveries!BW2:BW7, A2)</f>
        <v>1</v>
      </c>
      <c r="W2" s="4">
        <f>COUNTIFS(MessageDeliveries!BX2:BX7, A2)</f>
        <v>2</v>
      </c>
      <c r="X2" s="4" t="b">
        <f>AND(((W2 &gt; 0)=TRUE), ((V2 = W2)=TRUE))</f>
        <v>0</v>
      </c>
      <c r="Y2" s="7">
        <f>_xlfn.IFNA(IF(((INDEX(TemplateApprovals!G2:G3, MATCH(R2,TemplateApprovals!A2:A3, 0))="")=TRUE),  "",  INDEX(TemplateApprovals!G2:G3, MATCH(R2,TemplateApprovals!A2:A3, 0))), "")</f>
        <v>46220.666666666664</v>
      </c>
      <c r="Z2" s="3" t="s">
        <v>1031</v>
      </c>
    </row>
    <row r="3">
      <c r="A3" s="3" t="s">
        <v>1750</v>
      </c>
      <c r="B3" s="4" t="str">
        <f>C3 &amp; " / " &amp; G3</f>
        <v>comm-sms-policy / en-US</v>
      </c>
      <c r="C3" s="3" t="s">
        <v>1714</v>
      </c>
      <c r="D3" s="3" t="s">
        <v>1056</v>
      </c>
      <c r="E3" s="3" t="s">
        <v>168</v>
      </c>
      <c r="F3" s="3" t="s">
        <v>1751</v>
      </c>
      <c r="G3" s="3" t="s">
        <v>1747</v>
      </c>
      <c r="H3" s="3" t="s">
        <v>462</v>
      </c>
      <c r="I3" s="6">
        <f>IF((_xlfn.IFNA(IF(((INDEX(CommunicationPolicies!I2:I3, MATCH(C3,CommunicationPolicies!A2:A3, 0))="")=TRUE),  "",  INDEX(CommunicationPolicies!I2:I3, MATCH(C3,CommunicationPolicies!A2:A3, 0))), ""))="", "", ROUND((_xlfn.IFNA(IF(((INDEX(CommunicationPolicies!I2:I3, MATCH(C3,CommunicationPolicies!A2:A3, 0))="")=TRUE),  "",  INDEX(CommunicationPolicies!I2:I3, MATCH(C3,CommunicationPolicies!A2:A3, 0))), "")), 0))</f>
        <v>160</v>
      </c>
      <c r="J3" s="6">
        <f>IF((_xlfn.IFNA(IF(((INDEX(CommunicationPolicies!J2:J3, MATCH(C3,CommunicationPolicies!A2:A3, 0))="")=TRUE),  "",  INDEX(CommunicationPolicies!J2:J3, MATCH(C3,CommunicationPolicies!A2:A3, 0))), ""))="", "", ROUND((_xlfn.IFNA(IF(((INDEX(CommunicationPolicies!J2:J3, MATCH(C3,CommunicationPolicies!A2:A3, 0))="")=TRUE),  "",  INDEX(CommunicationPolicies!J2:J3, MATCH(C3,CommunicationPolicies!A2:A3, 0))), "")), 0))</f>
        <v>3</v>
      </c>
      <c r="K3" s="6">
        <f>IF((LEN(F3))="", "", ROUND((LEN(F3)), 0))</f>
        <v>123</v>
      </c>
      <c r="L3" s="4" t="b">
        <f>K3 &gt; I3</f>
        <v>0</v>
      </c>
      <c r="M3" s="4">
        <f>COUNTIFS(TemplateApprovals!N2:N3, A3)</f>
        <v>1</v>
      </c>
      <c r="N3" s="4" t="b">
        <f>M3 &gt; 0</f>
        <v>1</v>
      </c>
      <c r="O3" s="4" t="b">
        <f>AND(((H3 = "Approved")=TRUE), ((NOT(((N3)=TRUE)))=TRUE))</f>
        <v>0</v>
      </c>
      <c r="P3" s="3" t="s">
        <v>1752</v>
      </c>
      <c r="Q3" s="4" t="str">
        <f>_xlfn.IFNA(IF(((INDEX(TemplateApprovals!H2:H3, MATCH(R3,TemplateApprovals!A2:A3, 0))="")=TRUE),  "",  INDEX(TemplateApprovals!H2:H3, MATCH(R3,TemplateApprovals!A2:A3, 0))), "")</f>
        <v>h-sms-v1</v>
      </c>
      <c r="R3" s="3" t="s">
        <v>1753</v>
      </c>
      <c r="S3" s="4" t="b">
        <f>AND(((Q3 &lt;&gt; "")=TRUE), ((P3 &lt;&gt; Q3)=TRUE))</f>
        <v>0</v>
      </c>
      <c r="T3" s="4" t="b">
        <f>AND(((H3 = "Approved")=TRUE), ((AND(((N3)=TRUE), ((NOT(((S3)=TRUE)))=TRUE)))=TRUE))</f>
        <v>1</v>
      </c>
      <c r="U3" s="4">
        <f>COUNTIFS(MessageDeliveries!BR2:BR7, A3)</f>
        <v>0</v>
      </c>
      <c r="V3" s="4">
        <f>COUNTIFS(MessageDeliveries!BW2:BW7, A3)</f>
        <v>2</v>
      </c>
      <c r="W3" s="4">
        <f>COUNTIFS(MessageDeliveries!BX2:BX7, A3)</f>
        <v>2</v>
      </c>
      <c r="X3" s="4" t="b">
        <f>AND(((W3 &gt; 0)=TRUE), ((V3 = W3)=TRUE))</f>
        <v>1</v>
      </c>
      <c r="Y3" s="7">
        <f>_xlfn.IFNA(IF(((INDEX(TemplateApprovals!G2:G3, MATCH(R3,TemplateApprovals!A2:A3, 0))="")=TRUE),  "",  INDEX(TemplateApprovals!G2:G3, MATCH(R3,TemplateApprovals!A2:A3, 0))), "")</f>
        <v>46222.625</v>
      </c>
      <c r="Z3" s="3" t="s">
        <v>1031</v>
      </c>
    </row>
  </sheetData>
  <autoFilter ref="A1:Z1"/>
  <headerFooter/>
  <legacyDrawing r:id="rId1"/>
</worksheet>
</file>

<file path=xl/worksheets/sheet4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48"/>
  <sheetViews>
    <sheetView workbookViewId="0">
      <pane ySplit="1" topLeftCell="A2" state="frozen" activePane="bottomLeft"/>
      <selection pane="bottomLeft" activeCell="A1" sqref="A1"/>
    </sheetView>
  </sheetViews>
  <sheetFormatPr defaultRowHeight="15"/>
  <cols>
    <col min="1" max="1" width="30.544466018676758" customWidth="1"/>
    <col min="2" max="2" width="78.32158660888672" customWidth="1"/>
    <col min="3" max="3" width="33.07079315185547" customWidth="1"/>
    <col min="4" max="4" width="17.443378448486328" customWidth="1"/>
    <col min="5" max="5" width="50.9825553894043" customWidth="1"/>
    <col min="6" max="6" width="17.443378448486328" customWidth="1"/>
    <col min="7" max="7" width="23.879928588867188" customWidth="1"/>
    <col min="8" max="8" width="166.21559143066406" customWidth="1"/>
  </cols>
  <sheetData>
    <row r="1">
      <c r="A1" s="2" t="s">
        <v>1754</v>
      </c>
      <c r="B1" s="2" t="s">
        <v>1</v>
      </c>
      <c r="C1" s="2" t="s">
        <v>1755</v>
      </c>
      <c r="D1" s="2" t="s">
        <v>1756</v>
      </c>
      <c r="E1" s="2" t="s">
        <v>1757</v>
      </c>
      <c r="F1" s="2" t="s">
        <v>1758</v>
      </c>
      <c r="G1" s="2" t="s">
        <v>1759</v>
      </c>
      <c r="H1" s="2" t="s">
        <v>1760</v>
      </c>
    </row>
    <row r="2">
      <c r="A2" s="3" t="s">
        <v>1761</v>
      </c>
      <c r="B2" s="4" t="str">
        <f>C2 &amp; " -&gt; " &amp; E2</f>
        <v>Procedures -&gt; https://w3id.org/pko#Procedure</v>
      </c>
      <c r="C2" s="3" t="s">
        <v>1762</v>
      </c>
      <c r="D2" s="3" t="s">
        <v>1763</v>
      </c>
      <c r="E2" s="3" t="s">
        <v>370</v>
      </c>
      <c r="F2" s="3" t="s">
        <v>1764</v>
      </c>
      <c r="G2" s="3" t="s">
        <v>25</v>
      </c>
      <c r="H2" s="3" t="s">
        <v>1765</v>
      </c>
    </row>
    <row r="3">
      <c r="A3" s="3" t="s">
        <v>1766</v>
      </c>
      <c r="B3" s="4" t="str">
        <f>C3 &amp; " -&gt; " &amp; E3</f>
        <v>ProcedureVersions -&gt; https://w3id.org/pko#Procedure</v>
      </c>
      <c r="C3" s="3" t="s">
        <v>1767</v>
      </c>
      <c r="D3" s="3" t="s">
        <v>1763</v>
      </c>
      <c r="E3" s="3" t="s">
        <v>370</v>
      </c>
      <c r="F3" s="3" t="s">
        <v>1764</v>
      </c>
      <c r="G3" s="3" t="s">
        <v>25</v>
      </c>
      <c r="H3" s="3" t="s">
        <v>1768</v>
      </c>
    </row>
    <row r="4">
      <c r="A4" s="3" t="s">
        <v>1769</v>
      </c>
      <c r="B4" s="4" t="str">
        <f>C4 &amp; " -&gt; " &amp; E4</f>
        <v>ProcedureVersions.VersionNumber -&gt; https://w3id.org/pko#versionNumber</v>
      </c>
      <c r="C4" s="3" t="s">
        <v>1770</v>
      </c>
      <c r="D4" s="3" t="s">
        <v>1771</v>
      </c>
      <c r="E4" s="3" t="s">
        <v>1772</v>
      </c>
      <c r="F4" s="3" t="s">
        <v>1764</v>
      </c>
      <c r="G4" s="3" t="s">
        <v>25</v>
      </c>
      <c r="H4" s="3" t="s">
        <v>1773</v>
      </c>
    </row>
    <row r="5">
      <c r="A5" s="3" t="s">
        <v>1774</v>
      </c>
      <c r="B5" s="4" t="str">
        <f>C5 &amp; " -&gt; " &amp; E5</f>
        <v>ProcedureStatusChanges -&gt; https://w3id.org/pko#ChangeOfStatus</v>
      </c>
      <c r="C5" s="3" t="s">
        <v>1775</v>
      </c>
      <c r="D5" s="3" t="s">
        <v>1763</v>
      </c>
      <c r="E5" s="3" t="s">
        <v>488</v>
      </c>
      <c r="F5" s="3" t="s">
        <v>1764</v>
      </c>
      <c r="G5" s="3" t="s">
        <v>25</v>
      </c>
      <c r="H5" s="3" t="s">
        <v>1776</v>
      </c>
    </row>
    <row r="6">
      <c r="A6" s="3" t="s">
        <v>1777</v>
      </c>
      <c r="B6" s="4" t="str">
        <f>C6 &amp; " -&gt; " &amp; E6</f>
        <v>Steps -&gt; http://purl.org/net/p-plan#Step</v>
      </c>
      <c r="C6" s="3" t="s">
        <v>1778</v>
      </c>
      <c r="D6" s="3" t="s">
        <v>1763</v>
      </c>
      <c r="E6" s="3" t="s">
        <v>555</v>
      </c>
      <c r="F6" s="3" t="s">
        <v>1764</v>
      </c>
      <c r="G6" s="3" t="s">
        <v>35</v>
      </c>
      <c r="H6" s="3" t="s">
        <v>1779</v>
      </c>
    </row>
    <row r="7">
      <c r="A7" s="3" t="s">
        <v>1780</v>
      </c>
      <c r="B7" s="4" t="str">
        <f>C7 &amp; " -&gt; " &amp; E7</f>
        <v>Steps.StepKind=MultiStep -&gt; http://purl.org/net/p-plan#MultiStep</v>
      </c>
      <c r="C7" s="3" t="s">
        <v>1781</v>
      </c>
      <c r="D7" s="3" t="s">
        <v>1763</v>
      </c>
      <c r="E7" s="3" t="s">
        <v>566</v>
      </c>
      <c r="F7" s="3" t="s">
        <v>1764</v>
      </c>
      <c r="G7" s="3" t="s">
        <v>35</v>
      </c>
      <c r="H7" s="3" t="s">
        <v>1782</v>
      </c>
    </row>
    <row r="8">
      <c r="A8" s="3" t="s">
        <v>1783</v>
      </c>
      <c r="B8" s="4" t="str">
        <f>C8 &amp; " -&gt; " &amp; E8</f>
        <v>StepTransitions -&gt; https://w3id.org/pko#Transition</v>
      </c>
      <c r="C8" s="3" t="s">
        <v>1784</v>
      </c>
      <c r="D8" s="3" t="s">
        <v>1763</v>
      </c>
      <c r="E8" s="3" t="s">
        <v>649</v>
      </c>
      <c r="F8" s="3" t="s">
        <v>1764</v>
      </c>
      <c r="G8" s="3" t="s">
        <v>25</v>
      </c>
      <c r="H8" s="3" t="s">
        <v>1785</v>
      </c>
    </row>
    <row r="9">
      <c r="A9" s="3" t="s">
        <v>1786</v>
      </c>
      <c r="B9" s="4" t="str">
        <f>C9 &amp; " -&gt; " &amp; E9</f>
        <v>StepTransitions.FromStep -&gt; https://w3id.org/pko#fromStep</v>
      </c>
      <c r="C9" s="3" t="s">
        <v>1787</v>
      </c>
      <c r="D9" s="3" t="s">
        <v>1788</v>
      </c>
      <c r="E9" s="3" t="s">
        <v>1789</v>
      </c>
      <c r="F9" s="3" t="s">
        <v>1764</v>
      </c>
      <c r="G9" s="3" t="s">
        <v>25</v>
      </c>
      <c r="H9" s="3" t="s">
        <v>1790</v>
      </c>
    </row>
    <row r="10">
      <c r="A10" s="3" t="s">
        <v>1791</v>
      </c>
      <c r="B10" s="4" t="str">
        <f>C10 &amp; " -&gt; " &amp; E10</f>
        <v>StepTransitions.ToStep -&gt; https://w3id.org/pko#toStep</v>
      </c>
      <c r="C10" s="3" t="s">
        <v>1792</v>
      </c>
      <c r="D10" s="3" t="s">
        <v>1788</v>
      </c>
      <c r="E10" s="3" t="s">
        <v>1793</v>
      </c>
      <c r="F10" s="3" t="s">
        <v>1764</v>
      </c>
      <c r="G10" s="3" t="s">
        <v>25</v>
      </c>
      <c r="H10" s="3" t="s">
        <v>1794</v>
      </c>
    </row>
    <row r="11">
      <c r="A11" s="3" t="s">
        <v>1795</v>
      </c>
      <c r="B11" s="4" t="str">
        <f>C11 &amp; " -&gt; " &amp; E11</f>
        <v>Actions -&gt; https://w3id.org/pko#Action</v>
      </c>
      <c r="C11" s="3" t="s">
        <v>1796</v>
      </c>
      <c r="D11" s="3" t="s">
        <v>1763</v>
      </c>
      <c r="E11" s="3" t="s">
        <v>680</v>
      </c>
      <c r="F11" s="3" t="s">
        <v>1764</v>
      </c>
      <c r="G11" s="3" t="s">
        <v>25</v>
      </c>
      <c r="H11" s="3" t="s">
        <v>1797</v>
      </c>
    </row>
    <row r="12">
      <c r="A12" s="3" t="s">
        <v>1798</v>
      </c>
      <c r="B12" s="4" t="str">
        <f>C12 &amp; " -&gt; " &amp; E12</f>
        <v>Functions -&gt; https://w3id.org/pko#Function</v>
      </c>
      <c r="C12" s="3" t="s">
        <v>1799</v>
      </c>
      <c r="D12" s="3" t="s">
        <v>1763</v>
      </c>
      <c r="E12" s="3" t="s">
        <v>711</v>
      </c>
      <c r="F12" s="3" t="s">
        <v>1764</v>
      </c>
      <c r="G12" s="3" t="s">
        <v>25</v>
      </c>
      <c r="H12" s="3" t="s">
        <v>1800</v>
      </c>
    </row>
    <row r="13">
      <c r="A13" s="3" t="s">
        <v>1801</v>
      </c>
      <c r="B13" s="4" t="str">
        <f>C13 &amp; " -&gt; " &amp; E13</f>
        <v>Tools -&gt; http://w3id.org/nfdi4ing/metadata4ing#Tool</v>
      </c>
      <c r="C13" s="3" t="s">
        <v>1802</v>
      </c>
      <c r="D13" s="3" t="s">
        <v>1763</v>
      </c>
      <c r="E13" s="3" t="s">
        <v>744</v>
      </c>
      <c r="F13" s="3" t="s">
        <v>1764</v>
      </c>
      <c r="G13" s="3" t="s">
        <v>74</v>
      </c>
      <c r="H13" s="3" t="s">
        <v>1803</v>
      </c>
    </row>
    <row r="14">
      <c r="A14" s="3" t="s">
        <v>1804</v>
      </c>
      <c r="B14" s="4" t="str">
        <f>C14 &amp; " -&gt; " &amp; E14</f>
        <v>Requirements -&gt; https://w3id.org/pko#Requirement</v>
      </c>
      <c r="C14" s="3" t="s">
        <v>1805</v>
      </c>
      <c r="D14" s="3" t="s">
        <v>1763</v>
      </c>
      <c r="E14" s="3" t="s">
        <v>846</v>
      </c>
      <c r="F14" s="3" t="s">
        <v>1764</v>
      </c>
      <c r="G14" s="3" t="s">
        <v>25</v>
      </c>
      <c r="H14" s="3" t="s">
        <v>1806</v>
      </c>
    </row>
    <row r="15">
      <c r="A15" s="3" t="s">
        <v>1807</v>
      </c>
      <c r="B15" s="4" t="str">
        <f>C15 &amp; " -&gt; " &amp; E15</f>
        <v>StepVerifications -&gt; https://w3id.org/pko#StepVerification</v>
      </c>
      <c r="C15" s="3" t="s">
        <v>1808</v>
      </c>
      <c r="D15" s="3" t="s">
        <v>1763</v>
      </c>
      <c r="E15" s="3" t="s">
        <v>962</v>
      </c>
      <c r="F15" s="3" t="s">
        <v>1764</v>
      </c>
      <c r="G15" s="3" t="s">
        <v>25</v>
      </c>
      <c r="H15" s="3" t="s">
        <v>1809</v>
      </c>
    </row>
    <row r="16">
      <c r="A16" s="3" t="s">
        <v>1810</v>
      </c>
      <c r="B16" s="4" t="str">
        <f>C16 &amp; " -&gt; " &amp; E16</f>
        <v>Resources -&gt; http://www.w3.org/ns/dcat#Resource</v>
      </c>
      <c r="C16" s="3" t="s">
        <v>1811</v>
      </c>
      <c r="D16" s="3" t="s">
        <v>1763</v>
      </c>
      <c r="E16" s="3" t="s">
        <v>1031</v>
      </c>
      <c r="F16" s="3" t="s">
        <v>1764</v>
      </c>
      <c r="G16" s="3" t="s">
        <v>49</v>
      </c>
      <c r="H16" s="3" t="s">
        <v>1812</v>
      </c>
    </row>
    <row r="17">
      <c r="A17" s="3" t="s">
        <v>1813</v>
      </c>
      <c r="B17" s="4" t="str">
        <f>C17 &amp; " -&gt; " &amp; E17</f>
        <v>Agents -&gt; http://www.w3.org/ns/prov#Agent</v>
      </c>
      <c r="C17" s="3" t="s">
        <v>1814</v>
      </c>
      <c r="D17" s="3" t="s">
        <v>1763</v>
      </c>
      <c r="E17" s="3" t="s">
        <v>1815</v>
      </c>
      <c r="F17" s="3" t="s">
        <v>1764</v>
      </c>
      <c r="G17" s="3" t="s">
        <v>42</v>
      </c>
      <c r="H17" s="3" t="s">
        <v>1816</v>
      </c>
    </row>
    <row r="18">
      <c r="A18" s="3" t="s">
        <v>1817</v>
      </c>
      <c r="B18" s="4" t="str">
        <f>C18 &amp; " -&gt; " &amp; E18</f>
        <v>Roles -&gt; http://purl.org/spar/pro/Role</v>
      </c>
      <c r="C18" s="3" t="s">
        <v>1818</v>
      </c>
      <c r="D18" s="3" t="s">
        <v>1763</v>
      </c>
      <c r="E18" s="3" t="s">
        <v>207</v>
      </c>
      <c r="F18" s="3" t="s">
        <v>1764</v>
      </c>
      <c r="G18" s="3" t="s">
        <v>68</v>
      </c>
      <c r="H18" s="3" t="s">
        <v>1819</v>
      </c>
    </row>
    <row r="19">
      <c r="A19" s="3" t="s">
        <v>1820</v>
      </c>
      <c r="B19" s="4" t="str">
        <f>C19 &amp; " -&gt; " &amp; E19</f>
        <v>RoleAssignments -&gt; http://purl.org/spar/pro/RoleInTime</v>
      </c>
      <c r="C19" s="3" t="s">
        <v>1821</v>
      </c>
      <c r="D19" s="3" t="s">
        <v>1763</v>
      </c>
      <c r="E19" s="3" t="s">
        <v>310</v>
      </c>
      <c r="F19" s="3" t="s">
        <v>1764</v>
      </c>
      <c r="G19" s="3" t="s">
        <v>68</v>
      </c>
      <c r="H19" s="3" t="s">
        <v>1822</v>
      </c>
    </row>
    <row r="20">
      <c r="A20" s="3" t="s">
        <v>1823</v>
      </c>
      <c r="B20" s="4" t="str">
        <f>C20 &amp; " -&gt; " &amp; E20</f>
        <v>ProcedureExecutions -&gt; https://w3id.org/pko#ProcedureExecution</v>
      </c>
      <c r="C20" s="3" t="s">
        <v>1824</v>
      </c>
      <c r="D20" s="3" t="s">
        <v>1763</v>
      </c>
      <c r="E20" s="3" t="s">
        <v>1343</v>
      </c>
      <c r="F20" s="3" t="s">
        <v>1764</v>
      </c>
      <c r="G20" s="3" t="s">
        <v>25</v>
      </c>
      <c r="H20" s="3" t="s">
        <v>1825</v>
      </c>
    </row>
    <row r="21">
      <c r="A21" s="3" t="s">
        <v>1826</v>
      </c>
      <c r="B21" s="4" t="str">
        <f>C21 &amp; " -&gt; " &amp; E21</f>
        <v>StepExecutions -&gt; https://w3id.org/pko#StepExecution</v>
      </c>
      <c r="C21" s="3" t="s">
        <v>1827</v>
      </c>
      <c r="D21" s="3" t="s">
        <v>1763</v>
      </c>
      <c r="E21" s="3" t="s">
        <v>1449</v>
      </c>
      <c r="F21" s="3" t="s">
        <v>1764</v>
      </c>
      <c r="G21" s="3" t="s">
        <v>25</v>
      </c>
      <c r="H21" s="3" t="s">
        <v>1828</v>
      </c>
    </row>
    <row r="22">
      <c r="A22" s="3" t="s">
        <v>1829</v>
      </c>
      <c r="B22" s="4" t="str">
        <f>C22 &amp; " -&gt; " &amp; E22</f>
        <v>RequirementSatisfactions -&gt; https://w3id.org/pko#RequirementSatisfaction</v>
      </c>
      <c r="C22" s="3" t="s">
        <v>1830</v>
      </c>
      <c r="D22" s="3" t="s">
        <v>1763</v>
      </c>
      <c r="E22" s="3" t="s">
        <v>1511</v>
      </c>
      <c r="F22" s="3" t="s">
        <v>1764</v>
      </c>
      <c r="G22" s="3" t="s">
        <v>25</v>
      </c>
      <c r="H22" s="3" t="s">
        <v>1831</v>
      </c>
    </row>
    <row r="23">
      <c r="A23" s="3" t="s">
        <v>1832</v>
      </c>
      <c r="B23" s="4" t="str">
        <f>C23 &amp; " -&gt; " &amp; E23</f>
        <v>Errors -&gt; https://w3id.org/pko#Error</v>
      </c>
      <c r="C23" s="3" t="s">
        <v>1833</v>
      </c>
      <c r="D23" s="3" t="s">
        <v>1763</v>
      </c>
      <c r="E23" s="3" t="s">
        <v>1534</v>
      </c>
      <c r="F23" s="3" t="s">
        <v>1764</v>
      </c>
      <c r="G23" s="3" t="s">
        <v>25</v>
      </c>
      <c r="H23" s="3" t="s">
        <v>1834</v>
      </c>
    </row>
    <row r="24">
      <c r="A24" s="3" t="s">
        <v>1835</v>
      </c>
      <c r="B24" s="4" t="str">
        <f>C24 &amp; " -&gt; " &amp; E24</f>
        <v>IssueOccurrences -&gt; https://w3id.org/pko#IssueOccurrence</v>
      </c>
      <c r="C24" s="3" t="s">
        <v>1836</v>
      </c>
      <c r="D24" s="3" t="s">
        <v>1763</v>
      </c>
      <c r="E24" s="3" t="s">
        <v>1550</v>
      </c>
      <c r="F24" s="3" t="s">
        <v>1764</v>
      </c>
      <c r="G24" s="3" t="s">
        <v>25</v>
      </c>
      <c r="H24" s="3" t="s">
        <v>1837</v>
      </c>
    </row>
    <row r="25">
      <c r="A25" s="3" t="s">
        <v>1838</v>
      </c>
      <c r="B25" s="4" t="str">
        <f>C25 &amp; " -&gt; " &amp; E25</f>
        <v>UserQuestions -&gt; https://w3id.org/pko#UserQuestionOccurrence</v>
      </c>
      <c r="C25" s="3" t="s">
        <v>1839</v>
      </c>
      <c r="D25" s="3" t="s">
        <v>1763</v>
      </c>
      <c r="E25" s="3" t="s">
        <v>1564</v>
      </c>
      <c r="F25" s="3" t="s">
        <v>1764</v>
      </c>
      <c r="G25" s="3" t="s">
        <v>25</v>
      </c>
      <c r="H25" s="3" t="s">
        <v>1840</v>
      </c>
    </row>
    <row r="26">
      <c r="A26" s="3" t="s">
        <v>1841</v>
      </c>
      <c r="B26" s="4" t="str">
        <f>C26 &amp; " -&gt; " &amp; E26</f>
        <v>UserFeedback -&gt; https://w3id.org/pko#UserFeedbackOccurrence</v>
      </c>
      <c r="C26" s="3" t="s">
        <v>1842</v>
      </c>
      <c r="D26" s="3" t="s">
        <v>1763</v>
      </c>
      <c r="E26" s="3" t="s">
        <v>1577</v>
      </c>
      <c r="F26" s="3" t="s">
        <v>1764</v>
      </c>
      <c r="G26" s="3" t="s">
        <v>25</v>
      </c>
      <c r="H26" s="3" t="s">
        <v>1843</v>
      </c>
    </row>
    <row r="27">
      <c r="A27" s="3" t="s">
        <v>1844</v>
      </c>
      <c r="B27" s="4" t="str">
        <f>C27 &amp; " -&gt; " &amp; E27</f>
        <v>FAQs -&gt; https://w3id.org/pko#FrequentlyAskedQuestion</v>
      </c>
      <c r="C27" s="3" t="s">
        <v>1845</v>
      </c>
      <c r="D27" s="3" t="s">
        <v>1763</v>
      </c>
      <c r="E27" s="3" t="s">
        <v>1249</v>
      </c>
      <c r="F27" s="3" t="s">
        <v>1764</v>
      </c>
      <c r="G27" s="3" t="s">
        <v>25</v>
      </c>
      <c r="H27" s="3" t="s">
        <v>1846</v>
      </c>
    </row>
    <row r="28">
      <c r="A28" s="3" t="s">
        <v>1847</v>
      </c>
      <c r="B28" s="4" t="str">
        <f>C28 &amp; " -&gt; " &amp; E28</f>
        <v>Explanations -&gt; https://w3id.org/pko#Explanation</v>
      </c>
      <c r="C28" s="3" t="s">
        <v>1848</v>
      </c>
      <c r="D28" s="3" t="s">
        <v>1763</v>
      </c>
      <c r="E28" s="3" t="s">
        <v>1262</v>
      </c>
      <c r="F28" s="3" t="s">
        <v>1764</v>
      </c>
      <c r="G28" s="3" t="s">
        <v>25</v>
      </c>
      <c r="H28" s="3" t="s">
        <v>1849</v>
      </c>
    </row>
    <row r="29">
      <c r="A29" s="3" t="s">
        <v>1850</v>
      </c>
      <c r="B29" s="4" t="str">
        <f>C29 &amp; " -&gt; " &amp; E29</f>
        <v>KnowledgeFragments -&gt; urn:effortless:pko-extension#KnowledgeFragment</v>
      </c>
      <c r="C29" s="3" t="s">
        <v>1851</v>
      </c>
      <c r="D29" s="3" t="s">
        <v>1763</v>
      </c>
      <c r="E29" s="3" t="s">
        <v>1176</v>
      </c>
      <c r="F29" s="3" t="s">
        <v>1852</v>
      </c>
      <c r="G29" s="3" t="s">
        <v>85</v>
      </c>
      <c r="H29" s="3" t="s">
        <v>1853</v>
      </c>
    </row>
    <row r="30">
      <c r="A30" s="3" t="s">
        <v>1854</v>
      </c>
      <c r="B30" s="4" t="str">
        <f>C30 &amp; " -&gt; " &amp; E30</f>
        <v>ElicitationSessions -&gt; urn:effortless:pko-extension#ElicitationSession</v>
      </c>
      <c r="C30" s="3" t="s">
        <v>1855</v>
      </c>
      <c r="D30" s="3" t="s">
        <v>1763</v>
      </c>
      <c r="E30" s="3" t="s">
        <v>1856</v>
      </c>
      <c r="F30" s="3" t="s">
        <v>1852</v>
      </c>
      <c r="G30" s="3" t="s">
        <v>85</v>
      </c>
      <c r="H30" s="3" t="s">
        <v>1857</v>
      </c>
    </row>
    <row r="31">
      <c r="A31" s="3" t="s">
        <v>1858</v>
      </c>
      <c r="B31" s="4" t="str">
        <f>C31 &amp; " -&gt; " &amp; E31</f>
        <v>StewardshipAssignments -&gt; urn:effortless:pko-extension#StewardshipAssignment</v>
      </c>
      <c r="C31" s="3" t="s">
        <v>1859</v>
      </c>
      <c r="D31" s="3" t="s">
        <v>1763</v>
      </c>
      <c r="E31" s="3" t="s">
        <v>1586</v>
      </c>
      <c r="F31" s="3" t="s">
        <v>1852</v>
      </c>
      <c r="G31" s="3" t="s">
        <v>85</v>
      </c>
      <c r="H31" s="3" t="s">
        <v>1860</v>
      </c>
    </row>
    <row r="32">
      <c r="A32" s="3" t="s">
        <v>1861</v>
      </c>
      <c r="B32" s="4" t="str">
        <f>C32 &amp; " -&gt; " &amp; E32</f>
        <v>OperationalBindings -&gt; urn:effortless:pko-extension#OperationalBinding</v>
      </c>
      <c r="C32" s="3" t="s">
        <v>1862</v>
      </c>
      <c r="D32" s="3" t="s">
        <v>1763</v>
      </c>
      <c r="E32" s="3" t="s">
        <v>1680</v>
      </c>
      <c r="F32" s="3" t="s">
        <v>1852</v>
      </c>
      <c r="G32" s="3" t="s">
        <v>85</v>
      </c>
      <c r="H32" s="3" t="s">
        <v>1863</v>
      </c>
    </row>
    <row r="33">
      <c r="A33" s="3" t="s">
        <v>1864</v>
      </c>
      <c r="B33" s="4" t="str">
        <f>C33 &amp; " -&gt; " &amp; E33</f>
        <v>CommunicationPolicies -&gt; http://www.w3.org/ns/odrl/2/Policy</v>
      </c>
      <c r="C33" s="3" t="s">
        <v>1865</v>
      </c>
      <c r="D33" s="3" t="s">
        <v>1763</v>
      </c>
      <c r="E33" s="3" t="s">
        <v>1713</v>
      </c>
      <c r="F33" s="3" t="s">
        <v>1866</v>
      </c>
      <c r="G33" s="3" t="s">
        <v>79</v>
      </c>
      <c r="H33" s="3" t="s">
        <v>1867</v>
      </c>
    </row>
    <row r="34">
      <c r="A34" s="3" t="s">
        <v>1868</v>
      </c>
      <c r="B34" s="4" t="str">
        <f>C34 &amp; " -&gt; " &amp; E34</f>
        <v>AppRoleProfiles -&gt; urn:effortless:pko-extension#AppRoleProfile</v>
      </c>
      <c r="C34" s="3" t="s">
        <v>1869</v>
      </c>
      <c r="D34" s="3" t="s">
        <v>1763</v>
      </c>
      <c r="E34" s="3" t="s">
        <v>1870</v>
      </c>
      <c r="F34" s="3" t="s">
        <v>1852</v>
      </c>
      <c r="G34" s="3" t="s">
        <v>85</v>
      </c>
      <c r="H34" s="3" t="s">
        <v>1871</v>
      </c>
    </row>
    <row r="35">
      <c r="A35" s="3" t="s">
        <v>1872</v>
      </c>
      <c r="B35" s="4" t="str">
        <f>C35 &amp; " -&gt; " &amp; E35</f>
        <v>AppNavGroups -&gt; urn:effortless:pko-extension#AppNavGroup</v>
      </c>
      <c r="C35" s="3" t="s">
        <v>1873</v>
      </c>
      <c r="D35" s="3" t="s">
        <v>1763</v>
      </c>
      <c r="E35" s="3" t="s">
        <v>1874</v>
      </c>
      <c r="F35" s="3" t="s">
        <v>1852</v>
      </c>
      <c r="G35" s="3" t="s">
        <v>85</v>
      </c>
      <c r="H35" s="3" t="s">
        <v>1875</v>
      </c>
    </row>
    <row r="36">
      <c r="A36" s="3" t="s">
        <v>1876</v>
      </c>
      <c r="B36" s="4" t="str">
        <f>C36 &amp; " -&gt; " &amp; E36</f>
        <v>AppRoutes -&gt; urn:effortless:pko-extension#AppRoute</v>
      </c>
      <c r="C36" s="3" t="s">
        <v>1877</v>
      </c>
      <c r="D36" s="3" t="s">
        <v>1763</v>
      </c>
      <c r="E36" s="3" t="s">
        <v>1878</v>
      </c>
      <c r="F36" s="3" t="s">
        <v>1852</v>
      </c>
      <c r="G36" s="3" t="s">
        <v>85</v>
      </c>
      <c r="H36" s="3" t="s">
        <v>1879</v>
      </c>
    </row>
    <row r="37">
      <c r="A37" s="3" t="s">
        <v>1880</v>
      </c>
      <c r="B37" s="4" t="str">
        <f>C37 &amp; " -&gt; " &amp; E37</f>
        <v>AppRouteQuestions -&gt; urn:effortless:pko-extension#AppRouteQuestion</v>
      </c>
      <c r="C37" s="3" t="s">
        <v>1881</v>
      </c>
      <c r="D37" s="3" t="s">
        <v>1763</v>
      </c>
      <c r="E37" s="3" t="s">
        <v>1882</v>
      </c>
      <c r="F37" s="3" t="s">
        <v>1852</v>
      </c>
      <c r="G37" s="3" t="s">
        <v>85</v>
      </c>
      <c r="H37" s="3" t="s">
        <v>1883</v>
      </c>
    </row>
    <row r="38">
      <c r="A38" s="3" t="s">
        <v>1884</v>
      </c>
      <c r="B38" s="4" t="str">
        <f>C38 &amp; " -&gt; " &amp; E38</f>
        <v>AppRouteReferences -&gt; urn:effortless:pko-extension#AppRouteReference</v>
      </c>
      <c r="C38" s="3" t="s">
        <v>1885</v>
      </c>
      <c r="D38" s="3" t="s">
        <v>1763</v>
      </c>
      <c r="E38" s="3" t="s">
        <v>1886</v>
      </c>
      <c r="F38" s="3" t="s">
        <v>1852</v>
      </c>
      <c r="G38" s="3" t="s">
        <v>85</v>
      </c>
      <c r="H38" s="3" t="s">
        <v>1887</v>
      </c>
    </row>
    <row r="39">
      <c r="A39" s="3" t="s">
        <v>1888</v>
      </c>
      <c r="B39" s="4" t="str">
        <f>C39 &amp; " -&gt; " &amp; E39</f>
        <v>ProcessMiningRuns -&gt; urn:effortless:pko-extension#ProcessMiningRun</v>
      </c>
      <c r="C39" s="3" t="s">
        <v>1889</v>
      </c>
      <c r="D39" s="3" t="s">
        <v>1763</v>
      </c>
      <c r="E39" s="3" t="s">
        <v>1890</v>
      </c>
      <c r="F39" s="3" t="s">
        <v>1852</v>
      </c>
      <c r="G39" s="3" t="s">
        <v>85</v>
      </c>
      <c r="H39" s="3" t="s">
        <v>1891</v>
      </c>
    </row>
    <row r="40">
      <c r="A40" s="3" t="s">
        <v>1892</v>
      </c>
      <c r="B40" s="4" t="str">
        <f>C40 &amp; " -&gt; " &amp; E40</f>
        <v>Vocabularies -&gt; urn:effortless:pko-extension#Vocabulary</v>
      </c>
      <c r="C40" s="3" t="s">
        <v>1893</v>
      </c>
      <c r="D40" s="3" t="s">
        <v>1763</v>
      </c>
      <c r="E40" s="3" t="s">
        <v>1894</v>
      </c>
      <c r="F40" s="3" t="s">
        <v>1852</v>
      </c>
      <c r="G40" s="3" t="s">
        <v>85</v>
      </c>
      <c r="H40" s="3" t="s">
        <v>1895</v>
      </c>
    </row>
    <row r="41">
      <c r="A41" s="3" t="s">
        <v>1896</v>
      </c>
      <c r="B41" s="4" t="str">
        <f>C41 &amp; " -&gt; " &amp; E41</f>
        <v>VocabularyTerms -&gt; urn:effortless:pko-extension#VocabularyTerm</v>
      </c>
      <c r="C41" s="3" t="s">
        <v>1897</v>
      </c>
      <c r="D41" s="3" t="s">
        <v>1763</v>
      </c>
      <c r="E41" s="3" t="s">
        <v>1898</v>
      </c>
      <c r="F41" s="3" t="s">
        <v>1852</v>
      </c>
      <c r="G41" s="3" t="s">
        <v>85</v>
      </c>
      <c r="H41" s="3" t="s">
        <v>1899</v>
      </c>
    </row>
    <row r="42">
      <c r="A42" s="3" t="s">
        <v>1900</v>
      </c>
      <c r="B42" s="4" t="str">
        <f>C42 &amp; " -&gt; " &amp; E42</f>
        <v>KnowledgeBrokerLinks -&gt; urn:effortless:pko-extension#KnowledgeBrokerLink</v>
      </c>
      <c r="C42" s="3" t="s">
        <v>1901</v>
      </c>
      <c r="D42" s="3" t="s">
        <v>1763</v>
      </c>
      <c r="E42" s="3" t="s">
        <v>1902</v>
      </c>
      <c r="F42" s="3" t="s">
        <v>1852</v>
      </c>
      <c r="G42" s="3" t="s">
        <v>85</v>
      </c>
      <c r="H42" s="3" t="s">
        <v>1903</v>
      </c>
    </row>
    <row r="43">
      <c r="A43" s="3" t="s">
        <v>1904</v>
      </c>
      <c r="B43" s="4" t="str">
        <f>C43 &amp; " -&gt; " &amp; E43</f>
        <v>ConformanceSubstrates -&gt; urn:effortless:pko-extension#ConformanceSubstrate</v>
      </c>
      <c r="C43" s="3" t="s">
        <v>1905</v>
      </c>
      <c r="D43" s="3" t="s">
        <v>1763</v>
      </c>
      <c r="E43" s="3" t="s">
        <v>1906</v>
      </c>
      <c r="F43" s="3" t="s">
        <v>1852</v>
      </c>
      <c r="G43" s="3" t="s">
        <v>85</v>
      </c>
      <c r="H43" s="3" t="s">
        <v>1907</v>
      </c>
    </row>
    <row r="44">
      <c r="A44" s="3" t="s">
        <v>1908</v>
      </c>
      <c r="B44" s="4" t="str">
        <f>C44 &amp; " -&gt; " &amp; E44</f>
        <v>ConformanceRuns -&gt; urn:effortless:pko-extension#ConformanceRun</v>
      </c>
      <c r="C44" s="3" t="s">
        <v>1909</v>
      </c>
      <c r="D44" s="3" t="s">
        <v>1763</v>
      </c>
      <c r="E44" s="3" t="s">
        <v>1910</v>
      </c>
      <c r="F44" s="3" t="s">
        <v>1852</v>
      </c>
      <c r="G44" s="3" t="s">
        <v>85</v>
      </c>
      <c r="H44" s="3" t="s">
        <v>1911</v>
      </c>
    </row>
    <row r="45">
      <c r="A45" s="3" t="s">
        <v>1912</v>
      </c>
      <c r="B45" s="4" t="str">
        <f>C45 &amp; " -&gt; " &amp; E45</f>
        <v>SubstrateRunScores -&gt; urn:effortless:pko-extension#SubstrateRunScore</v>
      </c>
      <c r="C45" s="3" t="s">
        <v>1913</v>
      </c>
      <c r="D45" s="3" t="s">
        <v>1763</v>
      </c>
      <c r="E45" s="3" t="s">
        <v>1914</v>
      </c>
      <c r="F45" s="3" t="s">
        <v>1852</v>
      </c>
      <c r="G45" s="3" t="s">
        <v>85</v>
      </c>
      <c r="H45" s="3" t="s">
        <v>1915</v>
      </c>
    </row>
    <row r="46">
      <c r="A46" s="3" t="s">
        <v>1916</v>
      </c>
      <c r="B46" s="4" t="str">
        <f>C46 &amp; " -&gt; " &amp; E46</f>
        <v>TableConformance -&gt; urn:effortless:pko-extension#TableConformance</v>
      </c>
      <c r="C46" s="3" t="s">
        <v>1917</v>
      </c>
      <c r="D46" s="3" t="s">
        <v>1763</v>
      </c>
      <c r="E46" s="3" t="s">
        <v>1918</v>
      </c>
      <c r="F46" s="3" t="s">
        <v>1852</v>
      </c>
      <c r="G46" s="3" t="s">
        <v>85</v>
      </c>
      <c r="H46" s="3" t="s">
        <v>1919</v>
      </c>
    </row>
    <row r="47">
      <c r="A47" s="3" t="s">
        <v>1920</v>
      </c>
      <c r="B47" s="4" t="str">
        <f>C47 &amp; " -&gt; " &amp; E47</f>
        <v>FieldDisagreements -&gt; urn:effortless:pko-extension#FieldDisagreement</v>
      </c>
      <c r="C47" s="3" t="s">
        <v>1921</v>
      </c>
      <c r="D47" s="3" t="s">
        <v>1763</v>
      </c>
      <c r="E47" s="3" t="s">
        <v>1922</v>
      </c>
      <c r="F47" s="3" t="s">
        <v>1852</v>
      </c>
      <c r="G47" s="3" t="s">
        <v>85</v>
      </c>
      <c r="H47" s="3" t="s">
        <v>1923</v>
      </c>
    </row>
    <row r="48">
      <c r="A48" s="3" t="s">
        <v>1924</v>
      </c>
      <c r="B48" s="4" t="str">
        <f>C48 &amp; " -&gt; " &amp; E48</f>
        <v>CellDisagreements -&gt; urn:effortless:pko-extension#CellDisagreement</v>
      </c>
      <c r="C48" s="3" t="s">
        <v>1925</v>
      </c>
      <c r="D48" s="3" t="s">
        <v>1763</v>
      </c>
      <c r="E48" s="3" t="s">
        <v>1926</v>
      </c>
      <c r="F48" s="3" t="s">
        <v>1852</v>
      </c>
      <c r="G48" s="3" t="s">
        <v>85</v>
      </c>
      <c r="H48" s="3" t="s">
        <v>1927</v>
      </c>
    </row>
  </sheetData>
  <autoFilter ref="A1:H1"/>
  <headerFooter/>
  <legacyDrawing r:id="rId1"/>
</worksheet>
</file>

<file path=xl/worksheets/sheet5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5"/>
  <sheetViews>
    <sheetView workbookViewId="0">
      <pane ySplit="1" topLeftCell="A2" state="frozen" activePane="bottomLeft"/>
      <selection pane="bottomLeft" activeCell="A1" sqref="A1"/>
    </sheetView>
  </sheetViews>
  <sheetFormatPr defaultRowHeight="15"/>
  <cols>
    <col min="1" max="1" width="17.443378448486328" customWidth="1"/>
    <col min="2" max="2" width="80.83112335205078" customWidth="1"/>
    <col min="3" max="3" width="17.443378448486328" customWidth="1"/>
    <col min="4" max="4" width="72.85804748535156" customWidth="1"/>
    <col min="5" max="5" width="256" customWidth="1"/>
    <col min="6" max="6" width="24.629854202270508" customWidth="1"/>
    <col min="7" max="7" width="24.629854202270508" customWidth="1"/>
    <col min="8" max="8" width="17.443378448486328" customWidth="1"/>
    <col min="9" max="9" width="17.443378448486328" customWidth="1"/>
    <col min="10" max="10" width="17.443378448486328" customWidth="1"/>
    <col min="11" max="11" width="17.443378448486328" customWidth="1"/>
    <col min="12" max="12" width="17.443378448486328" customWidth="1"/>
    <col min="13" max="13" width="40.38935089111328" customWidth="1"/>
  </cols>
  <sheetData>
    <row r="1">
      <c r="A1" s="2" t="s">
        <v>1928</v>
      </c>
      <c r="B1" s="2" t="s">
        <v>1</v>
      </c>
      <c r="C1" s="2" t="s">
        <v>1929</v>
      </c>
      <c r="D1" s="2" t="s">
        <v>358</v>
      </c>
      <c r="E1" s="2" t="s">
        <v>1930</v>
      </c>
      <c r="F1" s="2" t="s">
        <v>1080</v>
      </c>
      <c r="G1" s="2" t="s">
        <v>1931</v>
      </c>
      <c r="H1" s="2" t="s">
        <v>1932</v>
      </c>
      <c r="I1" s="2" t="s">
        <v>1933</v>
      </c>
      <c r="J1" s="2" t="s">
        <v>1934</v>
      </c>
      <c r="K1" s="2" t="s">
        <v>1935</v>
      </c>
      <c r="L1" s="2" t="s">
        <v>1936</v>
      </c>
      <c r="M1" s="2" t="s">
        <v>94</v>
      </c>
    </row>
    <row r="2">
      <c r="A2" s="3" t="s">
        <v>1937</v>
      </c>
      <c r="B2" s="4" t="str">
        <f>"Loop " &amp; C2 &amp; ": " &amp; D2</f>
        <v>Loop 1: The founding questions</v>
      </c>
      <c r="C2" s="3">
        <v>1</v>
      </c>
      <c r="D2" s="3" t="s">
        <v>1938</v>
      </c>
      <c r="E2" s="3" t="s">
        <v>1939</v>
      </c>
      <c r="F2" s="5">
        <v>46222.916666666664</v>
      </c>
      <c r="G2" s="5">
        <v>46223.020833333336</v>
      </c>
      <c r="H2" s="4">
        <f>COUNTIFS(RoleQuestions!D2:D112, A2)</f>
        <v>60</v>
      </c>
      <c r="I2" s="4" t="b">
        <f>G2 &lt;&gt; ""</f>
        <v>1</v>
      </c>
      <c r="J2" s="3">
        <v>1096</v>
      </c>
      <c r="K2" s="3">
        <v>559</v>
      </c>
      <c r="L2" s="3">
        <v>462</v>
      </c>
      <c r="M2" s="3" t="s">
        <v>1940</v>
      </c>
    </row>
    <row r="3">
      <c r="A3" s="3" t="s">
        <v>1941</v>
      </c>
      <c r="B3" s="4" t="str">
        <f>"Loop " &amp; C3 &amp; ": " &amp; D3</f>
        <v>Loop 2: Questions only loop 1 made askable</v>
      </c>
      <c r="C3" s="3">
        <v>2</v>
      </c>
      <c r="D3" s="3" t="s">
        <v>1942</v>
      </c>
      <c r="E3" s="3" t="s">
        <v>1943</v>
      </c>
      <c r="F3" s="5">
        <v>46223.03125</v>
      </c>
      <c r="G3" s="5">
        <v>46223.0625</v>
      </c>
      <c r="H3" s="4">
        <f>COUNTIFS(RoleQuestions!D2:D112, A3)</f>
        <v>45</v>
      </c>
      <c r="I3" s="4" t="b">
        <f>G3 &lt;&gt; ""</f>
        <v>1</v>
      </c>
      <c r="J3" s="3">
        <v>1479</v>
      </c>
      <c r="K3" s="3">
        <v>906</v>
      </c>
      <c r="L3" s="3">
        <v>836</v>
      </c>
      <c r="M3" s="3" t="s">
        <v>1940</v>
      </c>
    </row>
    <row r="4">
      <c r="A4" s="3" t="s">
        <v>1944</v>
      </c>
      <c r="B4" s="4" t="str">
        <f>"Loop " &amp; C4 &amp; ": " &amp; D4</f>
        <v>Loop 3: Loop 3: the three gaps the source articles named and the model didn't have</v>
      </c>
      <c r="C4" s="3">
        <v>3</v>
      </c>
      <c r="D4" s="3" t="s">
        <v>1945</v>
      </c>
      <c r="E4" s="3" t="s">
        <v>1946</v>
      </c>
      <c r="F4" s="5"/>
      <c r="G4" s="5"/>
      <c r="H4" s="4">
        <f>COUNTIFS(RoleQuestions!D2:D112, A4)</f>
        <v>3</v>
      </c>
      <c r="I4" s="4" t="b">
        <f>G4 &lt;&gt; ""</f>
        <v>0</v>
      </c>
      <c r="J4" s="3">
        <v>1771</v>
      </c>
      <c r="K4" s="3">
        <v>1033</v>
      </c>
      <c r="L4" s="3">
        <v>900</v>
      </c>
      <c r="M4" s="3" t="s">
        <v>1940</v>
      </c>
    </row>
    <row r="5">
      <c r="A5" s="3" t="s">
        <v>1947</v>
      </c>
      <c r="B5" s="4" t="str">
        <f>"Loop " &amp; C5 &amp; ": " &amp; D5</f>
        <v>Loop 4: Structure the executions cannot show</v>
      </c>
      <c r="C5" s="3">
        <v>4</v>
      </c>
      <c r="D5" s="3" t="s">
        <v>1948</v>
      </c>
      <c r="E5" s="3" t="s">
        <v>1949</v>
      </c>
      <c r="F5" s="5">
        <v>46278.958333333336</v>
      </c>
      <c r="G5" s="5"/>
      <c r="H5" s="4">
        <f>COUNTIFS(RoleQuestions!D2:D112, A5)</f>
        <v>2</v>
      </c>
      <c r="I5" s="4" t="b">
        <f>G5 &lt;&gt; ""</f>
        <v>0</v>
      </c>
      <c r="J5" s="3">
        <v>1885</v>
      </c>
      <c r="K5" s="3">
        <v>1091</v>
      </c>
      <c r="L5" s="3">
        <v>953</v>
      </c>
      <c r="M5" s="3" t="s">
        <v>1940</v>
      </c>
    </row>
  </sheetData>
  <autoFilter ref="A1:M1"/>
  <headerFooter/>
  <legacyDrawing r:id="rId1"/>
</worksheet>
</file>

<file path=xl/worksheets/sheet5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12"/>
  <sheetViews>
    <sheetView workbookViewId="0">
      <pane ySplit="1" topLeftCell="A2" state="frozen" activePane="bottomLeft"/>
      <selection pane="bottomLeft" activeCell="A1" sqref="A1"/>
    </sheetView>
  </sheetViews>
  <sheetFormatPr defaultRowHeight="15"/>
  <cols>
    <col min="1" max="1" width="53.72490310668945" customWidth="1"/>
    <col min="2" max="2" width="87.91703796386719" customWidth="1"/>
    <col min="3" max="3" width="25.59624671936035" customWidth="1"/>
    <col min="4" max="4" width="17.443378448486328" customWidth="1"/>
    <col min="5" max="5" width="256" customWidth="1"/>
    <col min="6" max="6" width="256" customWidth="1"/>
    <col min="7" max="7" width="162.82606506347656" customWidth="1"/>
    <col min="8" max="8" width="17.443378448486328" customWidth="1"/>
    <col min="9" max="9" width="17.443378448486328" customWidth="1"/>
    <col min="10" max="10" width="256" customWidth="1"/>
    <col min="11" max="11" width="41.06734085083008" customWidth="1"/>
  </cols>
  <sheetData>
    <row r="1">
      <c r="A1" s="2" t="s">
        <v>1950</v>
      </c>
      <c r="B1" s="2" t="s">
        <v>1</v>
      </c>
      <c r="C1" s="2" t="s">
        <v>1951</v>
      </c>
      <c r="D1" s="2" t="s">
        <v>1952</v>
      </c>
      <c r="E1" s="2" t="s">
        <v>1558</v>
      </c>
      <c r="F1" s="2" t="s">
        <v>1953</v>
      </c>
      <c r="G1" s="2" t="s">
        <v>1954</v>
      </c>
      <c r="H1" s="2" t="s">
        <v>1955</v>
      </c>
      <c r="I1" s="2" t="s">
        <v>1956</v>
      </c>
      <c r="J1" s="2" t="s">
        <v>1957</v>
      </c>
      <c r="K1" s="2" t="s">
        <v>94</v>
      </c>
    </row>
    <row r="2">
      <c r="A2" s="3" t="s">
        <v>1958</v>
      </c>
      <c r="B2" s="4" t="str">
        <f>C2 &amp; ": " &amp; LEFT(E2, 60)</f>
        <v>finance-analyst: On the steps I personally executed, did any of them close ou</v>
      </c>
      <c r="C2" s="3" t="s">
        <v>203</v>
      </c>
      <c r="D2" s="3" t="s">
        <v>1937</v>
      </c>
      <c r="E2" s="3" t="s">
        <v>1959</v>
      </c>
      <c r="F2" s="3" t="s">
        <v>1960</v>
      </c>
      <c r="G2" s="3" t="b">
        <v>0</v>
      </c>
      <c r="H2" s="4">
        <f>COUNTIFS(RulebookFields!H2:H1898, A2)</f>
        <v>7</v>
      </c>
      <c r="I2" s="4" t="b">
        <f>H2 &gt; 0</f>
        <v>1</v>
      </c>
      <c r="J2" s="3" t="s">
        <v>1961</v>
      </c>
      <c r="K2" s="3" t="s">
        <v>1962</v>
      </c>
    </row>
    <row r="3">
      <c r="A3" s="3" t="s">
        <v>1963</v>
      </c>
      <c r="B3" s="4" t="str">
        <f>C3 &amp; ": " &amp; LEFT(E3, 60)</f>
        <v>finance-analyst: Which blocking requirements were attached to a step I ran bu</v>
      </c>
      <c r="C3" s="3" t="s">
        <v>203</v>
      </c>
      <c r="D3" s="3" t="s">
        <v>1937</v>
      </c>
      <c r="E3" s="3" t="s">
        <v>1964</v>
      </c>
      <c r="F3" s="3" t="s">
        <v>1965</v>
      </c>
      <c r="G3" s="3" t="b">
        <v>0</v>
      </c>
      <c r="H3" s="4">
        <f>COUNTIFS(RulebookFields!H2:H1898, A3)</f>
        <v>8</v>
      </c>
      <c r="I3" s="4" t="b">
        <f>H3 &gt; 0</f>
        <v>1</v>
      </c>
      <c r="J3" s="3" t="s">
        <v>1966</v>
      </c>
      <c r="K3" s="3" t="s">
        <v>1962</v>
      </c>
    </row>
    <row r="4">
      <c r="A4" s="3" t="s">
        <v>1967</v>
      </c>
      <c r="B4" s="4" t="str">
        <f>C4 &amp; ": " &amp; LEFT(E4, 60)</f>
        <v>finance-analyst: When I attested my reconciliation, was the underlying ledger</v>
      </c>
      <c r="C4" s="3" t="s">
        <v>203</v>
      </c>
      <c r="D4" s="3" t="s">
        <v>1937</v>
      </c>
      <c r="E4" s="3" t="s">
        <v>1968</v>
      </c>
      <c r="F4" s="3" t="s">
        <v>1969</v>
      </c>
      <c r="G4" s="3" t="b">
        <v>0</v>
      </c>
      <c r="H4" s="4">
        <f>COUNTIFS(RulebookFields!H2:H1898, A4)</f>
        <v>6</v>
      </c>
      <c r="I4" s="4" t="b">
        <f>H4 &gt; 0</f>
        <v>1</v>
      </c>
      <c r="J4" s="3" t="s">
        <v>1970</v>
      </c>
      <c r="K4" s="3" t="s">
        <v>1962</v>
      </c>
    </row>
    <row r="5">
      <c r="A5" s="3" t="s">
        <v>1971</v>
      </c>
      <c r="B5" s="4" t="str">
        <f>C5 &amp; ": " &amp; LEFT(E5, 60)</f>
        <v>finance-analyst: Which of my steps ran long without anybody recording why — a</v>
      </c>
      <c r="C5" s="3" t="s">
        <v>203</v>
      </c>
      <c r="D5" s="3" t="s">
        <v>1937</v>
      </c>
      <c r="E5" s="3" t="s">
        <v>1972</v>
      </c>
      <c r="F5" s="3" t="s">
        <v>1973</v>
      </c>
      <c r="G5" s="3" t="b">
        <v>0</v>
      </c>
      <c r="H5" s="4">
        <f>COUNTIFS(RulebookFields!H2:H1898, A5)</f>
        <v>6</v>
      </c>
      <c r="I5" s="4" t="b">
        <f>H5 &gt; 0</f>
        <v>1</v>
      </c>
      <c r="J5" s="3" t="s">
        <v>1974</v>
      </c>
      <c r="K5" s="3" t="s">
        <v>1962</v>
      </c>
    </row>
    <row r="6">
      <c r="A6" s="3" t="s">
        <v>1975</v>
      </c>
      <c r="B6" s="4" t="str">
        <f>C6 &amp; ": " &amp; LEFT(E6, 60)</f>
        <v>finance-analyst: For every step I ran that had a declared verification, did a</v>
      </c>
      <c r="C6" s="3" t="s">
        <v>203</v>
      </c>
      <c r="D6" s="3" t="s">
        <v>1937</v>
      </c>
      <c r="E6" s="3" t="s">
        <v>1976</v>
      </c>
      <c r="F6" s="3" t="s">
        <v>1977</v>
      </c>
      <c r="G6" s="3" t="b">
        <v>0</v>
      </c>
      <c r="H6" s="4">
        <f>COUNTIFS(RulebookFields!H2:H1898, A6)</f>
        <v>6</v>
      </c>
      <c r="I6" s="4" t="b">
        <f>H6 &gt; 0</f>
        <v>1</v>
      </c>
      <c r="J6" s="3" t="s">
        <v>1978</v>
      </c>
      <c r="K6" s="3" t="s">
        <v>1962</v>
      </c>
    </row>
    <row r="7">
      <c r="A7" s="3" t="s">
        <v>1979</v>
      </c>
      <c r="B7" s="4" t="str">
        <f>C7 &amp; ": " &amp; LEFT(E7, 60)</f>
        <v>controller: Did the same agent both prepare and approve any part of this</v>
      </c>
      <c r="C7" s="3" t="s">
        <v>208</v>
      </c>
      <c r="D7" s="3" t="s">
        <v>1937</v>
      </c>
      <c r="E7" s="3" t="s">
        <v>1980</v>
      </c>
      <c r="F7" s="3" t="s">
        <v>1981</v>
      </c>
      <c r="G7" s="3" t="b">
        <v>0</v>
      </c>
      <c r="H7" s="4">
        <f>COUNTIFS(RulebookFields!H2:H1898, A7)</f>
        <v>8</v>
      </c>
      <c r="I7" s="4" t="b">
        <f>H7 &gt; 0</f>
        <v>1</v>
      </c>
      <c r="J7" s="3" t="s">
        <v>1982</v>
      </c>
      <c r="K7" s="3" t="s">
        <v>1962</v>
      </c>
    </row>
    <row r="8">
      <c r="A8" s="3" t="s">
        <v>1983</v>
      </c>
      <c r="B8" s="4" t="str">
        <f>C8 &amp; ": " &amp; LEFT(E8, 60)</f>
        <v>controller: Every approval on this close — was it given by an agent who </v>
      </c>
      <c r="C8" s="3" t="s">
        <v>208</v>
      </c>
      <c r="D8" s="3" t="s">
        <v>1937</v>
      </c>
      <c r="E8" s="3" t="s">
        <v>1984</v>
      </c>
      <c r="F8" s="3" t="s">
        <v>1985</v>
      </c>
      <c r="G8" s="3" t="b">
        <v>0</v>
      </c>
      <c r="H8" s="4">
        <f>COUNTIFS(RulebookFields!H2:H1898, A8)</f>
        <v>7</v>
      </c>
      <c r="I8" s="4" t="b">
        <f>H8 &gt; 0</f>
        <v>1</v>
      </c>
      <c r="J8" s="3" t="s">
        <v>1986</v>
      </c>
      <c r="K8" s="3" t="s">
        <v>1962</v>
      </c>
    </row>
    <row r="9">
      <c r="A9" s="3" t="s">
        <v>1987</v>
      </c>
      <c r="B9" s="4" t="str">
        <f>C9 &amp; ": " &amp; LEFT(E9, 60)</f>
        <v>controller: Which of my blocking close controls are structurally incapab</v>
      </c>
      <c r="C9" s="3" t="s">
        <v>208</v>
      </c>
      <c r="D9" s="3" t="s">
        <v>1937</v>
      </c>
      <c r="E9" s="3" t="s">
        <v>1988</v>
      </c>
      <c r="F9" s="3" t="s">
        <v>1989</v>
      </c>
      <c r="G9" s="3" t="b">
        <v>0</v>
      </c>
      <c r="H9" s="4">
        <f>COUNTIFS(RulebookFields!H2:H1898, A9)</f>
        <v>8</v>
      </c>
      <c r="I9" s="4" t="b">
        <f>H9 &gt; 0</f>
        <v>1</v>
      </c>
      <c r="J9" s="3" t="s">
        <v>1990</v>
      </c>
      <c r="K9" s="3" t="s">
        <v>1962</v>
      </c>
    </row>
    <row r="10">
      <c r="A10" s="3" t="s">
        <v>1991</v>
      </c>
      <c r="B10" s="4" t="str">
        <f>C10 &amp; ": " &amp; LEFT(E10, 60)</f>
        <v>controller: Give me one number per close: did exec-close-2026-q2 actuall</v>
      </c>
      <c r="C10" s="3" t="s">
        <v>208</v>
      </c>
      <c r="D10" s="3" t="s">
        <v>1937</v>
      </c>
      <c r="E10" s="3" t="s">
        <v>1992</v>
      </c>
      <c r="F10" s="3" t="s">
        <v>1993</v>
      </c>
      <c r="G10" s="3" t="b">
        <v>0</v>
      </c>
      <c r="H10" s="4">
        <f>COUNTIFS(RulebookFields!H2:H1898, A10)</f>
        <v>10</v>
      </c>
      <c r="I10" s="4" t="b">
        <f>H10 &gt; 0</f>
        <v>1</v>
      </c>
      <c r="J10" s="3" t="s">
        <v>1994</v>
      </c>
      <c r="K10" s="3" t="s">
        <v>1962</v>
      </c>
    </row>
    <row r="11">
      <c r="A11" s="3" t="s">
        <v>1995</v>
      </c>
      <c r="B11" s="4" t="str">
        <f>C11 &amp; ": " &amp; LEFT(E11, 60)</f>
        <v>controller: Did any AI agent or automated pipeline execute a step that r</v>
      </c>
      <c r="C11" s="3" t="s">
        <v>208</v>
      </c>
      <c r="D11" s="3" t="s">
        <v>1937</v>
      </c>
      <c r="E11" s="3" t="s">
        <v>1996</v>
      </c>
      <c r="F11" s="3" t="s">
        <v>1997</v>
      </c>
      <c r="G11" s="3" t="b">
        <v>0</v>
      </c>
      <c r="H11" s="4">
        <f>COUNTIFS(RulebookFields!H2:H1898, A11)</f>
        <v>7</v>
      </c>
      <c r="I11" s="4" t="b">
        <f>H11 &gt; 0</f>
        <v>1</v>
      </c>
      <c r="J11" s="3" t="s">
        <v>1998</v>
      </c>
      <c r="K11" s="3" t="s">
        <v>1962</v>
      </c>
    </row>
    <row r="12">
      <c r="A12" s="3" t="s">
        <v>1999</v>
      </c>
      <c r="B12" s="4" t="str">
        <f>C12 &amp; ": " &amp; LEFT(E12, 60)</f>
        <v>cfo: Can I sign the attestation for exec-close-2026-q2 — yes or n</v>
      </c>
      <c r="C12" s="3" t="s">
        <v>212</v>
      </c>
      <c r="D12" s="3" t="s">
        <v>1937</v>
      </c>
      <c r="E12" s="3" t="s">
        <v>2000</v>
      </c>
      <c r="F12" s="3" t="s">
        <v>2001</v>
      </c>
      <c r="G12" s="3" t="b">
        <v>0</v>
      </c>
      <c r="H12" s="4">
        <f>COUNTIFS(RulebookFields!H2:H1898, A12)</f>
        <v>8</v>
      </c>
      <c r="I12" s="4" t="b">
        <f>H12 &gt; 0</f>
        <v>1</v>
      </c>
      <c r="J12" s="3" t="s">
        <v>2002</v>
      </c>
      <c r="K12" s="3" t="s">
        <v>1962</v>
      </c>
    </row>
    <row r="13">
      <c r="A13" s="3" t="s">
        <v>2003</v>
      </c>
      <c r="B13" s="4" t="str">
        <f>C13 &amp; ": " &amp; LEFT(E13, 60)</f>
        <v>cfo: Am I being asked to approve an execution of a procedure vers</v>
      </c>
      <c r="C13" s="3" t="s">
        <v>212</v>
      </c>
      <c r="D13" s="3" t="s">
        <v>1937</v>
      </c>
      <c r="E13" s="3" t="s">
        <v>2004</v>
      </c>
      <c r="F13" s="3" t="s">
        <v>2005</v>
      </c>
      <c r="G13" s="3" t="b">
        <v>0</v>
      </c>
      <c r="H13" s="4">
        <f>COUNTIFS(RulebookFields!H2:H1898, A13)</f>
        <v>9</v>
      </c>
      <c r="I13" s="4" t="b">
        <f>H13 &gt; 0</f>
        <v>1</v>
      </c>
      <c r="J13" s="3" t="s">
        <v>2006</v>
      </c>
      <c r="K13" s="3" t="s">
        <v>1962</v>
      </c>
    </row>
    <row r="14">
      <c r="A14" s="3" t="s">
        <v>2007</v>
      </c>
      <c r="B14" s="4" t="str">
        <f>C14 &amp; ": " &amp; LEFT(E14, 60)</f>
        <v>cfo: My own approval on se-close06 — is there anything behind it </v>
      </c>
      <c r="C14" s="3" t="s">
        <v>212</v>
      </c>
      <c r="D14" s="3" t="s">
        <v>1937</v>
      </c>
      <c r="E14" s="3" t="s">
        <v>2008</v>
      </c>
      <c r="F14" s="3" t="s">
        <v>2009</v>
      </c>
      <c r="G14" s="3" t="b">
        <v>0</v>
      </c>
      <c r="H14" s="4">
        <f>COUNTIFS(RulebookFields!H2:H1898, A14)</f>
        <v>7</v>
      </c>
      <c r="I14" s="4" t="b">
        <f>H14 &gt; 0</f>
        <v>1</v>
      </c>
      <c r="J14" s="3" t="s">
        <v>2010</v>
      </c>
      <c r="K14" s="3" t="s">
        <v>1962</v>
      </c>
    </row>
    <row r="15">
      <c r="A15" s="3" t="s">
        <v>2011</v>
      </c>
      <c r="B15" s="4" t="str">
        <f>C15 &amp; ": " &amp; LEFT(E15, 60)</f>
        <v>cfo: For every approval in this close, tell me the human who was </v>
      </c>
      <c r="C15" s="3" t="s">
        <v>212</v>
      </c>
      <c r="D15" s="3" t="s">
        <v>1937</v>
      </c>
      <c r="E15" s="3" t="s">
        <v>2012</v>
      </c>
      <c r="F15" s="3" t="s">
        <v>2013</v>
      </c>
      <c r="G15" s="3" t="b">
        <v>0</v>
      </c>
      <c r="H15" s="4">
        <f>COUNTIFS(RulebookFields!H2:H1898, A15)</f>
        <v>8</v>
      </c>
      <c r="I15" s="4" t="b">
        <f>H15 &gt; 0</f>
        <v>1</v>
      </c>
      <c r="J15" s="3" t="s">
        <v>2014</v>
      </c>
      <c r="K15" s="3" t="s">
        <v>1962</v>
      </c>
    </row>
    <row r="16">
      <c r="A16" s="3" t="s">
        <v>2015</v>
      </c>
      <c r="B16" s="4" t="str">
        <f>C16 &amp; ": " &amp; LEFT(E16, 60)</f>
        <v>cfo: Across everything I am signing, is there any control claim i</v>
      </c>
      <c r="C16" s="3" t="s">
        <v>212</v>
      </c>
      <c r="D16" s="3" t="s">
        <v>1937</v>
      </c>
      <c r="E16" s="3" t="s">
        <v>2016</v>
      </c>
      <c r="F16" s="3" t="s">
        <v>2017</v>
      </c>
      <c r="G16" s="3" t="b">
        <v>0</v>
      </c>
      <c r="H16" s="4">
        <f>COUNTIFS(RulebookFields!H2:H1898, A16)</f>
        <v>8</v>
      </c>
      <c r="I16" s="4" t="b">
        <f>H16 &gt; 0</f>
        <v>1</v>
      </c>
      <c r="J16" s="3" t="s">
        <v>2018</v>
      </c>
      <c r="K16" s="3" t="s">
        <v>1962</v>
      </c>
    </row>
    <row r="17">
      <c r="A17" s="3" t="s">
        <v>2019</v>
      </c>
      <c r="B17" s="4" t="str">
        <f>C17 &amp; ": " &amp; LEFT(E17, 60)</f>
        <v>process-steward: For close-v1.1.0 I promised a 90-day review cadence and for </v>
      </c>
      <c r="C17" s="3" t="s">
        <v>244</v>
      </c>
      <c r="D17" s="3" t="s">
        <v>1937</v>
      </c>
      <c r="E17" s="3" t="s">
        <v>2020</v>
      </c>
      <c r="F17" s="3" t="s">
        <v>2021</v>
      </c>
      <c r="G17" s="3" t="b">
        <v>0</v>
      </c>
      <c r="H17" s="4">
        <f>COUNTIFS(RulebookFields!H2:H1898, A17)</f>
        <v>8</v>
      </c>
      <c r="I17" s="4" t="b">
        <f>H17 &gt; 0</f>
        <v>1</v>
      </c>
      <c r="J17" s="3" t="s">
        <v>2022</v>
      </c>
      <c r="K17" s="3" t="s">
        <v>1962</v>
      </c>
    </row>
    <row r="18">
      <c r="A18" s="3" t="s">
        <v>2023</v>
      </c>
      <c r="B18" s="4" t="str">
        <f>C18 &amp; ": " &amp; LEFT(E18, 60)</f>
        <v>process-steward: Which procedure versions have no steward at all? close-v1.0.</v>
      </c>
      <c r="C18" s="3" t="s">
        <v>244</v>
      </c>
      <c r="D18" s="3" t="s">
        <v>1937</v>
      </c>
      <c r="E18" s="3" t="s">
        <v>2024</v>
      </c>
      <c r="F18" s="3" t="s">
        <v>2025</v>
      </c>
      <c r="G18" s="3" t="b">
        <v>0</v>
      </c>
      <c r="H18" s="4">
        <f>COUNTIFS(RulebookFields!H2:H1898, A18)</f>
        <v>6</v>
      </c>
      <c r="I18" s="4" t="b">
        <f>H18 &gt; 0</f>
        <v>1</v>
      </c>
      <c r="J18" s="3" t="s">
        <v>2026</v>
      </c>
      <c r="K18" s="3" t="s">
        <v>1962</v>
      </c>
    </row>
    <row r="19">
      <c r="A19" s="3" t="s">
        <v>2027</v>
      </c>
      <c r="B19" s="4" t="str">
        <f>C19 &amp; ": " &amp; LEFT(E19, 60)</f>
        <v>process-steward: close-04-fallback-close-03 and policy-07-fallback-policy-06 </v>
      </c>
      <c r="C19" s="3" t="s">
        <v>244</v>
      </c>
      <c r="D19" s="3" t="s">
        <v>1937</v>
      </c>
      <c r="E19" s="3" t="s">
        <v>2028</v>
      </c>
      <c r="F19" s="3" t="s">
        <v>2029</v>
      </c>
      <c r="G19" s="3" t="b">
        <v>0</v>
      </c>
      <c r="H19" s="4">
        <f>COUNTIFS(RulebookFields!H2:H1898, A19)</f>
        <v>11</v>
      </c>
      <c r="I19" s="4" t="b">
        <f>H19 &gt; 0</f>
        <v>1</v>
      </c>
      <c r="J19" s="3" t="s">
        <v>2030</v>
      </c>
      <c r="K19" s="3" t="s">
        <v>1962</v>
      </c>
    </row>
    <row r="20">
      <c r="A20" s="3" t="s">
        <v>2031</v>
      </c>
      <c r="B20" s="4" t="str">
        <f>C20 &amp; ": " &amp; LEFT(E20, 60)</f>
        <v>process-steward: Is any procedure version live with an Open BLOCKING knowledg</v>
      </c>
      <c r="C20" s="3" t="s">
        <v>244</v>
      </c>
      <c r="D20" s="3" t="s">
        <v>1937</v>
      </c>
      <c r="E20" s="3" t="s">
        <v>2032</v>
      </c>
      <c r="F20" s="3" t="s">
        <v>2033</v>
      </c>
      <c r="G20" s="3" t="b">
        <v>0</v>
      </c>
      <c r="H20" s="4">
        <f>COUNTIFS(RulebookFields!H2:H1898, A20)</f>
        <v>6</v>
      </c>
      <c r="I20" s="4" t="b">
        <f>H20 &gt; 0</f>
        <v>1</v>
      </c>
      <c r="J20" s="3" t="s">
        <v>2034</v>
      </c>
      <c r="K20" s="3" t="s">
        <v>1962</v>
      </c>
    </row>
    <row r="21">
      <c r="A21" s="3" t="s">
        <v>2035</v>
      </c>
      <c r="B21" s="4" t="str">
        <f>C21 &amp; ": " &amp; LEFT(E21, 60)</f>
        <v>process-steward: cr-policy-delivery was requested on 2026-07-19 and has no De</v>
      </c>
      <c r="C21" s="3" t="s">
        <v>244</v>
      </c>
      <c r="D21" s="3" t="s">
        <v>1937</v>
      </c>
      <c r="E21" s="3" t="s">
        <v>2036</v>
      </c>
      <c r="F21" s="3" t="s">
        <v>2037</v>
      </c>
      <c r="G21" s="3" t="b">
        <v>0</v>
      </c>
      <c r="H21" s="4">
        <f>COUNTIFS(RulebookFields!H2:H1898, A21)</f>
        <v>6</v>
      </c>
      <c r="I21" s="4" t="b">
        <f>H21 &gt; 0</f>
        <v>1</v>
      </c>
      <c r="J21" s="3" t="s">
        <v>2038</v>
      </c>
      <c r="K21" s="3" t="s">
        <v>1962</v>
      </c>
    </row>
    <row r="22">
      <c r="A22" s="3" t="s">
        <v>2039</v>
      </c>
      <c r="B22" s="4" t="str">
        <f>C22 &amp; ": " &amp; LEFT(E22, 60)</f>
        <v>knowledge-authority: kf-close-fx-time, kf-close-top-ten and kf-close-judgment all</v>
      </c>
      <c r="C22" s="3" t="s">
        <v>248</v>
      </c>
      <c r="D22" s="3" t="s">
        <v>1937</v>
      </c>
      <c r="E22" s="3" t="s">
        <v>2040</v>
      </c>
      <c r="F22" s="3" t="s">
        <v>2041</v>
      </c>
      <c r="G22" s="3" t="b">
        <v>0</v>
      </c>
      <c r="H22" s="4">
        <f>COUNTIFS(RulebookFields!H2:H1898, A22)</f>
        <v>8</v>
      </c>
      <c r="I22" s="4" t="b">
        <f>H22 &gt; 0</f>
        <v>1</v>
      </c>
      <c r="J22" s="3" t="s">
        <v>2042</v>
      </c>
      <c r="K22" s="3" t="s">
        <v>1962</v>
      </c>
    </row>
    <row r="23">
      <c r="A23" s="3" t="s">
        <v>2043</v>
      </c>
      <c r="B23" s="4" t="str">
        <f>C23 &amp; ": " &amp; LEFT(E23, 60)</f>
        <v>knowledge-authority: kf-policy-manager-route is Status=Reviewed, not Approved, so</v>
      </c>
      <c r="C23" s="3" t="s">
        <v>248</v>
      </c>
      <c r="D23" s="3" t="s">
        <v>1937</v>
      </c>
      <c r="E23" s="3" t="s">
        <v>2044</v>
      </c>
      <c r="F23" s="3" t="s">
        <v>2045</v>
      </c>
      <c r="G23" s="3" t="b">
        <v>0</v>
      </c>
      <c r="H23" s="4">
        <f>COUNTIFS(RulebookFields!H2:H1898, A23)</f>
        <v>8</v>
      </c>
      <c r="I23" s="4" t="b">
        <f>H23 &gt; 0</f>
        <v>1</v>
      </c>
      <c r="J23" s="3" t="s">
        <v>2046</v>
      </c>
      <c r="K23" s="3" t="s">
        <v>1962</v>
      </c>
    </row>
    <row r="24">
      <c r="A24" s="3" t="s">
        <v>2047</v>
      </c>
      <c r="B24" s="4" t="str">
        <f>C24 &amp; ": " &amp; LEFT(E24, 60)</f>
        <v>knowledge-authority: elicit-close-shadow ran on 2026-04-03 and elicit-policy-work</v>
      </c>
      <c r="C24" s="3" t="s">
        <v>248</v>
      </c>
      <c r="D24" s="3" t="s">
        <v>1937</v>
      </c>
      <c r="E24" s="3" t="s">
        <v>2048</v>
      </c>
      <c r="F24" s="3" t="s">
        <v>2049</v>
      </c>
      <c r="G24" s="3" t="b">
        <v>0</v>
      </c>
      <c r="H24" s="4">
        <f>COUNTIFS(RulebookFields!H2:H1898, A24)</f>
        <v>8</v>
      </c>
      <c r="I24" s="4" t="b">
        <f>H24 &gt; 0</f>
        <v>1</v>
      </c>
      <c r="J24" s="3" t="s">
        <v>2050</v>
      </c>
      <c r="K24" s="3" t="s">
        <v>1962</v>
      </c>
    </row>
    <row r="25">
      <c r="A25" s="3" t="s">
        <v>2051</v>
      </c>
      <c r="B25" s="4" t="str">
        <f>C25 &amp; ": " &amp; LEFT(E25, 60)</f>
        <v>knowledge-authority: What do we know that we do not know? gap-policy-delivery-rec</v>
      </c>
      <c r="C25" s="3" t="s">
        <v>248</v>
      </c>
      <c r="D25" s="3" t="s">
        <v>1937</v>
      </c>
      <c r="E25" s="3" t="s">
        <v>2052</v>
      </c>
      <c r="F25" s="3" t="s">
        <v>2053</v>
      </c>
      <c r="G25" s="3" t="b">
        <v>0</v>
      </c>
      <c r="H25" s="4">
        <f>COUNTIFS(RulebookFields!H2:H1898, A25)</f>
        <v>8</v>
      </c>
      <c r="I25" s="4" t="b">
        <f>H25 &gt; 0</f>
        <v>1</v>
      </c>
      <c r="J25" s="3" t="s">
        <v>2054</v>
      </c>
      <c r="K25" s="3" t="s">
        <v>1962</v>
      </c>
    </row>
    <row r="26">
      <c r="A26" s="3" t="s">
        <v>2055</v>
      </c>
      <c r="B26" s="4" t="str">
        <f>C26 &amp; ": " &amp; LEFT(E26, 60)</f>
        <v>knowledge-authority: cr-close-timestamp altered a blocking control on close-v1.1.</v>
      </c>
      <c r="C26" s="3" t="s">
        <v>248</v>
      </c>
      <c r="D26" s="3" t="s">
        <v>1937</v>
      </c>
      <c r="E26" s="3" t="s">
        <v>2056</v>
      </c>
      <c r="F26" s="3" t="s">
        <v>2057</v>
      </c>
      <c r="G26" s="3" t="b">
        <v>0</v>
      </c>
      <c r="H26" s="4">
        <f>COUNTIFS(RulebookFields!H2:H1898, A26)</f>
        <v>8</v>
      </c>
      <c r="I26" s="4" t="b">
        <f>H26 &gt; 0</f>
        <v>1</v>
      </c>
      <c r="J26" s="3" t="s">
        <v>2058</v>
      </c>
      <c r="K26" s="3" t="s">
        <v>1962</v>
      </c>
    </row>
    <row r="27">
      <c r="A27" s="3" t="s">
        <v>2059</v>
      </c>
      <c r="B27" s="4" t="str">
        <f>C27 &amp; ": " &amp; LEFT(E27, 60)</f>
        <v>employment-counsel: Did we send an SMS to any recipient who had not given SMS co</v>
      </c>
      <c r="C27" s="3" t="s">
        <v>220</v>
      </c>
      <c r="D27" s="3" t="s">
        <v>1937</v>
      </c>
      <c r="E27" s="3" t="s">
        <v>2060</v>
      </c>
      <c r="F27" s="3" t="s">
        <v>2061</v>
      </c>
      <c r="G27" s="3" t="b">
        <v>0</v>
      </c>
      <c r="H27" s="4">
        <f>COUNTIFS(RulebookFields!H2:H1898, A27)</f>
        <v>8</v>
      </c>
      <c r="I27" s="4" t="b">
        <f>H27 &gt; 0</f>
        <v>1</v>
      </c>
      <c r="J27" s="3" t="s">
        <v>2062</v>
      </c>
      <c r="K27" s="3" t="s">
        <v>1962</v>
      </c>
    </row>
    <row r="28">
      <c r="A28" s="3" t="s">
        <v>2063</v>
      </c>
      <c r="B28" s="4" t="str">
        <f>C28 &amp; ": " &amp; LEFT(E28, 60)</f>
        <v>employment-counsel: Did any SMS go out between 20:00 and 08:00 in the recipient'</v>
      </c>
      <c r="C28" s="3" t="s">
        <v>220</v>
      </c>
      <c r="D28" s="3" t="s">
        <v>1937</v>
      </c>
      <c r="E28" s="3" t="s">
        <v>2064</v>
      </c>
      <c r="F28" s="3" t="s">
        <v>2065</v>
      </c>
      <c r="G28" s="3" t="b">
        <v>0</v>
      </c>
      <c r="H28" s="4">
        <f>COUNTIFS(RulebookFields!H2:H1898, A28)</f>
        <v>10</v>
      </c>
      <c r="I28" s="4" t="b">
        <f>H28 &gt; 0</f>
        <v>1</v>
      </c>
      <c r="J28" s="3" t="s">
        <v>2066</v>
      </c>
      <c r="K28" s="3" t="s">
        <v>1962</v>
      </c>
    </row>
    <row r="29">
      <c r="A29" s="3" t="s">
        <v>2067</v>
      </c>
      <c r="B29" s="4" t="str">
        <f>C29 &amp; ": " &amp; LEFT(E29, 60)</f>
        <v>employment-counsel: For every recipient we could not reach, did we correctly ref</v>
      </c>
      <c r="C29" s="3" t="s">
        <v>220</v>
      </c>
      <c r="D29" s="3" t="s">
        <v>1937</v>
      </c>
      <c r="E29" s="3" t="s">
        <v>2068</v>
      </c>
      <c r="F29" s="3" t="s">
        <v>2069</v>
      </c>
      <c r="G29" s="3" t="b">
        <v>0</v>
      </c>
      <c r="H29" s="4">
        <f>COUNTIFS(RulebookFields!H2:H1898, A29)</f>
        <v>8</v>
      </c>
      <c r="I29" s="4" t="b">
        <f>H29 &gt; 0</f>
        <v>1</v>
      </c>
      <c r="J29" s="3" t="s">
        <v>2070</v>
      </c>
      <c r="K29" s="3" t="s">
        <v>1962</v>
      </c>
    </row>
    <row r="30">
      <c r="A30" s="3" t="s">
        <v>2071</v>
      </c>
      <c r="B30" s="4" t="str">
        <f>C30 &amp; ": " &amp; LEFT(E30, 60)</f>
        <v>employment-counsel: Do we still hold the exact text of every message we sent, fo</v>
      </c>
      <c r="C30" s="3" t="s">
        <v>220</v>
      </c>
      <c r="D30" s="3" t="s">
        <v>1937</v>
      </c>
      <c r="E30" s="3" t="s">
        <v>2072</v>
      </c>
      <c r="F30" s="3" t="s">
        <v>2073</v>
      </c>
      <c r="G30" s="3" t="b">
        <v>0</v>
      </c>
      <c r="H30" s="4">
        <f>COUNTIFS(RulebookFields!H2:H1898, A30)</f>
        <v>8</v>
      </c>
      <c r="I30" s="4" t="b">
        <f>H30 &gt; 0</f>
        <v>1</v>
      </c>
      <c r="J30" s="3" t="s">
        <v>2074</v>
      </c>
      <c r="K30" s="3" t="s">
        <v>1962</v>
      </c>
    </row>
    <row r="31">
      <c r="A31" s="3" t="s">
        <v>2075</v>
      </c>
      <c r="B31" s="4" t="str">
        <f>C31 &amp; ": " &amp; LEFT(E31, 60)</f>
        <v>employment-counsel: Did any message go out before my legal review of the underly</v>
      </c>
      <c r="C31" s="3" t="s">
        <v>220</v>
      </c>
      <c r="D31" s="3" t="s">
        <v>1937</v>
      </c>
      <c r="E31" s="3" t="s">
        <v>2076</v>
      </c>
      <c r="F31" s="3" t="s">
        <v>2077</v>
      </c>
      <c r="G31" s="3" t="b">
        <v>0</v>
      </c>
      <c r="H31" s="4">
        <f>COUNTIFS(RulebookFields!H2:H1898, A31)</f>
        <v>8</v>
      </c>
      <c r="I31" s="4" t="b">
        <f>H31 &gt; 0</f>
        <v>1</v>
      </c>
      <c r="J31" s="3" t="s">
        <v>2078</v>
      </c>
      <c r="K31" s="3" t="s">
        <v>1962</v>
      </c>
    </row>
    <row r="32">
      <c r="A32" s="3" t="s">
        <v>2079</v>
      </c>
      <c r="B32" s="4" t="str">
        <f>C32 &amp; ": " &amp; LEFT(E32, 60)</f>
        <v>communications-manager: Did any SMS we sent exceed 160 characters or split into more</v>
      </c>
      <c r="C32" s="3" t="s">
        <v>224</v>
      </c>
      <c r="D32" s="3" t="s">
        <v>1937</v>
      </c>
      <c r="E32" s="3" t="s">
        <v>2080</v>
      </c>
      <c r="F32" s="3" t="s">
        <v>2081</v>
      </c>
      <c r="G32" s="3" t="b">
        <v>0</v>
      </c>
      <c r="H32" s="4">
        <f>COUNTIFS(RulebookFields!H2:H1898, A32)</f>
        <v>9</v>
      </c>
      <c r="I32" s="4" t="b">
        <f>H32 &gt; 0</f>
        <v>1</v>
      </c>
      <c r="J32" s="3" t="s">
        <v>2082</v>
      </c>
      <c r="K32" s="3" t="s">
        <v>1962</v>
      </c>
    </row>
    <row r="33">
      <c r="A33" s="3" t="s">
        <v>2083</v>
      </c>
      <c r="B33" s="4" t="str">
        <f>C33 &amp; ": " &amp; LEFT(E33, 60)</f>
        <v>communications-manager: Was every template we actually sent approved by me -- the Ap</v>
      </c>
      <c r="C33" s="3" t="s">
        <v>224</v>
      </c>
      <c r="D33" s="3" t="s">
        <v>1937</v>
      </c>
      <c r="E33" s="3" t="s">
        <v>2084</v>
      </c>
      <c r="F33" s="3" t="s">
        <v>2085</v>
      </c>
      <c r="G33" s="3" t="b">
        <v>0</v>
      </c>
      <c r="H33" s="4">
        <f>COUNTIFS(RulebookFields!H2:H1898, A33)</f>
        <v>10</v>
      </c>
      <c r="I33" s="4" t="b">
        <f>H33 &gt; 0</f>
        <v>1</v>
      </c>
      <c r="J33" s="3" t="s">
        <v>2086</v>
      </c>
      <c r="K33" s="3" t="s">
        <v>1962</v>
      </c>
    </row>
    <row r="34">
      <c r="A34" s="3" t="s">
        <v>2087</v>
      </c>
      <c r="B34" s="4" t="str">
        <f>C34 &amp; ": " &amp; LEFT(E34, 60)</f>
        <v>communications-manager: Did every SMS we actually transmitted carry the approved opt</v>
      </c>
      <c r="C34" s="3" t="s">
        <v>224</v>
      </c>
      <c r="D34" s="3" t="s">
        <v>1937</v>
      </c>
      <c r="E34" s="3" t="s">
        <v>2088</v>
      </c>
      <c r="F34" s="3" t="s">
        <v>2089</v>
      </c>
      <c r="G34" s="3" t="b">
        <v>0</v>
      </c>
      <c r="H34" s="4">
        <f>COUNTIFS(RulebookFields!H2:H1898, A34)</f>
        <v>8</v>
      </c>
      <c r="I34" s="4" t="b">
        <f>H34 &gt; 0</f>
        <v>1</v>
      </c>
      <c r="J34" s="3" t="s">
        <v>2090</v>
      </c>
      <c r="K34" s="3" t="s">
        <v>1962</v>
      </c>
    </row>
    <row r="35">
      <c r="A35" s="3" t="s">
        <v>2091</v>
      </c>
      <c r="B35" s="4" t="str">
        <f>C35 &amp; ": " &amp; LEFT(E35, 60)</f>
        <v>communications-manager: For this policy run, what fraction of the affected populatio</v>
      </c>
      <c r="C35" s="3" t="s">
        <v>224</v>
      </c>
      <c r="D35" s="3" t="s">
        <v>1937</v>
      </c>
      <c r="E35" s="3" t="s">
        <v>2092</v>
      </c>
      <c r="F35" s="3" t="s">
        <v>2093</v>
      </c>
      <c r="G35" s="3" t="b">
        <v>0</v>
      </c>
      <c r="H35" s="4">
        <f>COUNTIFS(RulebookFields!H2:H1898, A35)</f>
        <v>10</v>
      </c>
      <c r="I35" s="4" t="b">
        <f>H35 &gt; 0</f>
        <v>1</v>
      </c>
      <c r="J35" s="3" t="s">
        <v>2094</v>
      </c>
      <c r="K35" s="3" t="s">
        <v>1962</v>
      </c>
    </row>
    <row r="36">
      <c r="A36" s="3" t="s">
        <v>2095</v>
      </c>
      <c r="B36" s="4" t="str">
        <f>C36 &amp; ": " &amp; LEFT(E36, 60)</f>
        <v>communications-manager: Has any template been edited since I approved it, and did we</v>
      </c>
      <c r="C36" s="3" t="s">
        <v>224</v>
      </c>
      <c r="D36" s="3" t="s">
        <v>1937</v>
      </c>
      <c r="E36" s="3" t="s">
        <v>2096</v>
      </c>
      <c r="F36" s="3" t="s">
        <v>2097</v>
      </c>
      <c r="G36" s="3" t="b">
        <v>0</v>
      </c>
      <c r="H36" s="4">
        <f>COUNTIFS(RulebookFields!H2:H1898, A36)</f>
        <v>9</v>
      </c>
      <c r="I36" s="4" t="b">
        <f>H36 &gt; 0</f>
        <v>1</v>
      </c>
      <c r="J36" s="3" t="s">
        <v>2098</v>
      </c>
      <c r="K36" s="3" t="s">
        <v>1962</v>
      </c>
    </row>
    <row r="37">
      <c r="A37" s="3" t="s">
        <v>2099</v>
      </c>
      <c r="B37" s="4" t="str">
        <f>C37 &amp; ": " &amp; LEFT(E37, 60)</f>
        <v>notification-publisher: Before I transmit, am I permitted to use this channel for th</v>
      </c>
      <c r="C37" s="3" t="s">
        <v>240</v>
      </c>
      <c r="D37" s="3" t="s">
        <v>1937</v>
      </c>
      <c r="E37" s="3" t="s">
        <v>2100</v>
      </c>
      <c r="F37" s="3" t="s">
        <v>2101</v>
      </c>
      <c r="G37" s="3" t="b">
        <v>0</v>
      </c>
      <c r="H37" s="4">
        <f>COUNTIFS(RulebookFields!H2:H1898, A37)</f>
        <v>11</v>
      </c>
      <c r="I37" s="4" t="b">
        <f>H37 &gt; 0</f>
        <v>1</v>
      </c>
      <c r="J37" s="3" t="s">
        <v>2102</v>
      </c>
      <c r="K37" s="3" t="s">
        <v>1962</v>
      </c>
    </row>
    <row r="38">
      <c r="A38" s="3" t="s">
        <v>2103</v>
      </c>
      <c r="B38" s="4" t="str">
        <f>C38 &amp; ": " &amp; LEFT(E38, 60)</f>
        <v>notification-publisher: Before I transmit, is the current moment inside a window thi</v>
      </c>
      <c r="C38" s="3" t="s">
        <v>240</v>
      </c>
      <c r="D38" s="3" t="s">
        <v>1937</v>
      </c>
      <c r="E38" s="3" t="s">
        <v>2104</v>
      </c>
      <c r="F38" s="3" t="s">
        <v>2105</v>
      </c>
      <c r="G38" s="3" t="b">
        <v>0</v>
      </c>
      <c r="H38" s="4">
        <f>COUNTIFS(RulebookFields!H2:H1898, A38)</f>
        <v>7</v>
      </c>
      <c r="I38" s="4" t="b">
        <f>H38 &gt; 0</f>
        <v>1</v>
      </c>
      <c r="J38" s="3" t="s">
        <v>2106</v>
      </c>
      <c r="K38" s="3" t="s">
        <v>1962</v>
      </c>
    </row>
    <row r="39">
      <c r="A39" s="3" t="s">
        <v>2107</v>
      </c>
      <c r="B39" s="4" t="str">
        <f>C39 &amp; ": " &amp; LEFT(E39, 60)</f>
        <v>notification-publisher: Before I transmit, is the exact text I am holding within thi</v>
      </c>
      <c r="C39" s="3" t="s">
        <v>240</v>
      </c>
      <c r="D39" s="3" t="s">
        <v>1937</v>
      </c>
      <c r="E39" s="3" t="s">
        <v>2108</v>
      </c>
      <c r="F39" s="3" t="s">
        <v>2109</v>
      </c>
      <c r="G39" s="3" t="b">
        <v>0</v>
      </c>
      <c r="H39" s="4">
        <f>COUNTIFS(RulebookFields!H2:H1898, A39)</f>
        <v>9</v>
      </c>
      <c r="I39" s="4" t="b">
        <f>H39 &gt; 0</f>
        <v>1</v>
      </c>
      <c r="J39" s="3" t="s">
        <v>2110</v>
      </c>
      <c r="K39" s="3" t="s">
        <v>1962</v>
      </c>
    </row>
    <row r="40">
      <c r="A40" s="3" t="s">
        <v>2111</v>
      </c>
      <c r="B40" s="4" t="str">
        <f>C40 &amp; ": " &amp; LEFT(E40, 60)</f>
        <v>notification-publisher: Before I transmit, has every human authorization my instruct</v>
      </c>
      <c r="C40" s="3" t="s">
        <v>240</v>
      </c>
      <c r="D40" s="3" t="s">
        <v>1937</v>
      </c>
      <c r="E40" s="3" t="s">
        <v>2112</v>
      </c>
      <c r="F40" s="3" t="s">
        <v>2113</v>
      </c>
      <c r="G40" s="3" t="b">
        <v>0</v>
      </c>
      <c r="H40" s="4">
        <f>COUNTIFS(RulebookFields!H2:H1898, A40)</f>
        <v>8</v>
      </c>
      <c r="I40" s="4" t="b">
        <f>H40 &gt; 0</f>
        <v>1</v>
      </c>
      <c r="J40" s="3" t="s">
        <v>2114</v>
      </c>
      <c r="K40" s="3" t="s">
        <v>1962</v>
      </c>
    </row>
    <row r="41">
      <c r="A41" s="3" t="s">
        <v>2115</v>
      </c>
      <c r="B41" s="4" t="str">
        <f>C41 &amp; ": " &amp; LEFT(E41, 60)</f>
        <v>notification-publisher: When a gate refused, did the transmission actually stop -- a</v>
      </c>
      <c r="C41" s="3" t="s">
        <v>240</v>
      </c>
      <c r="D41" s="3" t="s">
        <v>1937</v>
      </c>
      <c r="E41" s="3" t="s">
        <v>2116</v>
      </c>
      <c r="F41" s="3" t="s">
        <v>2117</v>
      </c>
      <c r="G41" s="3" t="b">
        <v>0</v>
      </c>
      <c r="H41" s="4">
        <f>COUNTIFS(RulebookFields!H2:H1898, A41)</f>
        <v>9</v>
      </c>
      <c r="I41" s="4" t="b">
        <f>H41 &gt; 0</f>
        <v>1</v>
      </c>
      <c r="J41" s="3" t="s">
        <v>2118</v>
      </c>
      <c r="K41" s="3" t="s">
        <v>1962</v>
      </c>
    </row>
    <row r="42">
      <c r="A42" s="3" t="s">
        <v>2119</v>
      </c>
      <c r="B42" s="4" t="str">
        <f>C42 &amp; ": " &amp; LEFT(E42, 60)</f>
        <v>close-automation: Before I execute close-01, close-02, or close-07: is my own </v>
      </c>
      <c r="C42" s="3" t="s">
        <v>228</v>
      </c>
      <c r="D42" s="3" t="s">
        <v>1937</v>
      </c>
      <c r="E42" s="3" t="s">
        <v>2120</v>
      </c>
      <c r="F42" s="3" t="s">
        <v>2121</v>
      </c>
      <c r="G42" s="3" t="b">
        <v>0</v>
      </c>
      <c r="H42" s="4">
        <f>COUNTIFS(RulebookFields!H2:H1898, A42)</f>
        <v>8</v>
      </c>
      <c r="I42" s="4" t="b">
        <f>H42 &gt; 0</f>
        <v>1</v>
      </c>
      <c r="J42" s="3" t="s">
        <v>2122</v>
      </c>
      <c r="K42" s="3" t="s">
        <v>1962</v>
      </c>
    </row>
    <row r="43">
      <c r="A43" s="3" t="s">
        <v>2123</v>
      </c>
      <c r="B43" s="4" t="str">
        <f>C43 &amp; ": " &amp; LEFT(E43, 60)</f>
        <v>close-automation: Before I extract in close-02: is every operational binding t</v>
      </c>
      <c r="C43" s="3" t="s">
        <v>228</v>
      </c>
      <c r="D43" s="3" t="s">
        <v>1937</v>
      </c>
      <c r="E43" s="3" t="s">
        <v>2124</v>
      </c>
      <c r="F43" s="3" t="s">
        <v>2125</v>
      </c>
      <c r="G43" s="3" t="b">
        <v>0</v>
      </c>
      <c r="H43" s="4">
        <f>COUNTIFS(RulebookFields!H2:H1898, A43)</f>
        <v>6</v>
      </c>
      <c r="I43" s="4" t="b">
        <f>H43 &gt; 0</f>
        <v>1</v>
      </c>
      <c r="J43" s="3" t="s">
        <v>2126</v>
      </c>
      <c r="K43" s="3" t="s">
        <v>1962</v>
      </c>
    </row>
    <row r="44">
      <c r="A44" s="3" t="s">
        <v>2127</v>
      </c>
      <c r="B44" s="4" t="str">
        <f>C44 &amp; ": " &amp; LEFT(E44, 60)</f>
        <v>close-automation: Did my previous run leave anything unresolved — an open issu</v>
      </c>
      <c r="C44" s="3" t="s">
        <v>228</v>
      </c>
      <c r="D44" s="3" t="s">
        <v>1937</v>
      </c>
      <c r="E44" s="3" t="s">
        <v>2128</v>
      </c>
      <c r="F44" s="3" t="s">
        <v>2129</v>
      </c>
      <c r="G44" s="3" t="b">
        <v>0</v>
      </c>
      <c r="H44" s="4">
        <f>COUNTIFS(RulebookFields!H2:H1898, A44)</f>
        <v>8</v>
      </c>
      <c r="I44" s="4" t="b">
        <f>H44 &gt; 0</f>
        <v>1</v>
      </c>
      <c r="J44" s="3" t="s">
        <v>2130</v>
      </c>
      <c r="K44" s="3" t="s">
        <v>1962</v>
      </c>
    </row>
    <row r="45">
      <c r="A45" s="3" t="s">
        <v>2131</v>
      </c>
      <c r="B45" s="4" t="str">
        <f>C45 &amp; ": " &amp; LEFT(E45, 60)</f>
        <v>close-automation: For each step I am about to run, has every blocking requirem</v>
      </c>
      <c r="C45" s="3" t="s">
        <v>228</v>
      </c>
      <c r="D45" s="3" t="s">
        <v>1937</v>
      </c>
      <c r="E45" s="3" t="s">
        <v>2132</v>
      </c>
      <c r="F45" s="3" t="s">
        <v>2133</v>
      </c>
      <c r="G45" s="3" t="b">
        <v>0</v>
      </c>
      <c r="H45" s="4">
        <f>COUNTIFS(RulebookFields!H2:H1898, A45)</f>
        <v>5</v>
      </c>
      <c r="I45" s="4" t="b">
        <f>H45 &gt; 0</f>
        <v>1</v>
      </c>
      <c r="J45" s="3" t="s">
        <v>2134</v>
      </c>
      <c r="K45" s="3" t="s">
        <v>1962</v>
      </c>
    </row>
    <row r="46">
      <c r="A46" s="3" t="s">
        <v>2135</v>
      </c>
      <c r="B46" s="4" t="str">
        <f>C46 &amp; ": " &amp; LEFT(E46, 60)</f>
        <v>close-automation: Am I drifting? Are humans overriding or correcting my output</v>
      </c>
      <c r="C46" s="3" t="s">
        <v>228</v>
      </c>
      <c r="D46" s="3" t="s">
        <v>1937</v>
      </c>
      <c r="E46" s="3" t="s">
        <v>2136</v>
      </c>
      <c r="F46" s="3" t="s">
        <v>2137</v>
      </c>
      <c r="G46" s="3" t="b">
        <v>0</v>
      </c>
      <c r="H46" s="4">
        <f>COUNTIFS(RulebookFields!H2:H1898, A46)</f>
        <v>8</v>
      </c>
      <c r="I46" s="4" t="b">
        <f>H46 &gt; 0</f>
        <v>1</v>
      </c>
      <c r="J46" s="3" t="s">
        <v>2138</v>
      </c>
      <c r="K46" s="3" t="s">
        <v>1962</v>
      </c>
    </row>
    <row r="47">
      <c r="A47" s="3" t="s">
        <v>2139</v>
      </c>
      <c r="B47" s="4" t="str">
        <f>C47 &amp; ": " &amp; LEFT(E47, 60)</f>
        <v>hr-policy-owner: I am the AuthorityRole on cr-policy-delivery and it has been</v>
      </c>
      <c r="C47" s="3" t="s">
        <v>216</v>
      </c>
      <c r="D47" s="3" t="s">
        <v>1937</v>
      </c>
      <c r="E47" s="3" t="s">
        <v>2140</v>
      </c>
      <c r="F47" s="3" t="s">
        <v>2141</v>
      </c>
      <c r="G47" s="3" t="b">
        <v>0</v>
      </c>
      <c r="H47" s="4">
        <f>COUNTIFS(RulebookFields!H2:H1898, A47)</f>
        <v>6</v>
      </c>
      <c r="I47" s="4" t="b">
        <f>H47 &gt; 0</f>
        <v>1</v>
      </c>
      <c r="J47" s="3" t="s">
        <v>2142</v>
      </c>
      <c r="K47" s="3" t="s">
        <v>1962</v>
      </c>
    </row>
    <row r="48">
      <c r="A48" s="3" t="s">
        <v>2143</v>
      </c>
      <c r="B48" s="4" t="str">
        <f>C48 &amp; ": " &amp; LEFT(E48, 60)</f>
        <v>hr-policy-owner: kf-policy-ai-boundary says AI may draft but may not create l</v>
      </c>
      <c r="C48" s="3" t="s">
        <v>216</v>
      </c>
      <c r="D48" s="3" t="s">
        <v>1937</v>
      </c>
      <c r="E48" s="3" t="s">
        <v>2144</v>
      </c>
      <c r="F48" s="3" t="s">
        <v>2145</v>
      </c>
      <c r="G48" s="3" t="b">
        <v>0</v>
      </c>
      <c r="H48" s="4">
        <f>COUNTIFS(RulebookFields!H2:H1898, A48)</f>
        <v>7</v>
      </c>
      <c r="I48" s="4" t="b">
        <f>H48 &gt; 0</f>
        <v>1</v>
      </c>
      <c r="J48" s="3" t="s">
        <v>2146</v>
      </c>
      <c r="K48" s="3" t="s">
        <v>1962</v>
      </c>
    </row>
    <row r="49">
      <c r="A49" s="3" t="s">
        <v>2147</v>
      </c>
      <c r="B49" s="4" t="str">
        <f>C49 &amp; ": " &amp; LEFT(E49, 60)</f>
        <v>hr-policy-owner: kf-policy-manager-route is Status=Reviewed and I am its Owne</v>
      </c>
      <c r="C49" s="3" t="s">
        <v>216</v>
      </c>
      <c r="D49" s="3" t="s">
        <v>1937</v>
      </c>
      <c r="E49" s="3" t="s">
        <v>2148</v>
      </c>
      <c r="F49" s="3" t="s">
        <v>2149</v>
      </c>
      <c r="G49" s="3" t="b">
        <v>0</v>
      </c>
      <c r="H49" s="4">
        <f>COUNTIFS(RulebookFields!H2:H1898, A49)</f>
        <v>7</v>
      </c>
      <c r="I49" s="4" t="b">
        <f>H49 &gt; 0</f>
        <v>1</v>
      </c>
      <c r="J49" s="3" t="s">
        <v>2150</v>
      </c>
      <c r="K49" s="3" t="s">
        <v>1962</v>
      </c>
    </row>
    <row r="50">
      <c r="A50" s="3" t="s">
        <v>2151</v>
      </c>
      <c r="B50" s="4" t="str">
        <f>C50 &amp; ": " &amp; LEFT(E50, 60)</f>
        <v>hr-policy-owner: policy-07 sends approved communications under channel contro</v>
      </c>
      <c r="C50" s="3" t="s">
        <v>216</v>
      </c>
      <c r="D50" s="3" t="s">
        <v>1937</v>
      </c>
      <c r="E50" s="3" t="s">
        <v>2152</v>
      </c>
      <c r="F50" s="3" t="s">
        <v>2153</v>
      </c>
      <c r="G50" s="3" t="b">
        <v>0</v>
      </c>
      <c r="H50" s="4">
        <f>COUNTIFS(RulebookFields!H2:H1898, A50)</f>
        <v>7</v>
      </c>
      <c r="I50" s="4" t="b">
        <f>H50 &gt; 0</f>
        <v>1</v>
      </c>
      <c r="J50" s="3" t="s">
        <v>2154</v>
      </c>
      <c r="K50" s="3" t="s">
        <v>1962</v>
      </c>
    </row>
    <row r="51">
      <c r="A51" s="3" t="s">
        <v>2155</v>
      </c>
      <c r="B51" s="4" t="str">
        <f>C51 &amp; ": " &amp; LEFT(E51, 60)</f>
        <v>hr-policy-owner: policy-v1.0.0 was issued 2026-06-01 on knowledge elicited in</v>
      </c>
      <c r="C51" s="3" t="s">
        <v>216</v>
      </c>
      <c r="D51" s="3" t="s">
        <v>1937</v>
      </c>
      <c r="E51" s="3" t="s">
        <v>2156</v>
      </c>
      <c r="F51" s="3" t="s">
        <v>2157</v>
      </c>
      <c r="G51" s="3" t="b">
        <v>0</v>
      </c>
      <c r="H51" s="4">
        <f>COUNTIFS(RulebookFields!H2:H1898, A51)</f>
        <v>7</v>
      </c>
      <c r="I51" s="4" t="b">
        <f>H51 &gt; 0</f>
        <v>1</v>
      </c>
      <c r="J51" s="3" t="s">
        <v>2158</v>
      </c>
      <c r="K51" s="3" t="s">
        <v>1962</v>
      </c>
    </row>
    <row r="52">
      <c r="A52" s="3" t="s">
        <v>2159</v>
      </c>
      <c r="B52" s="4" t="str">
        <f>C52 &amp; ": " &amp; LEFT(E52, 60)</f>
        <v>variance-review-agent: By what authority am I executing close-04, when did that aut</v>
      </c>
      <c r="C52" s="3" t="s">
        <v>232</v>
      </c>
      <c r="D52" s="3" t="s">
        <v>1937</v>
      </c>
      <c r="E52" s="3" t="s">
        <v>2160</v>
      </c>
      <c r="F52" s="3" t="s">
        <v>2161</v>
      </c>
      <c r="G52" s="3" t="b">
        <v>0</v>
      </c>
      <c r="H52" s="4">
        <f>COUNTIFS(RulebookFields!H2:H1898, A52)</f>
        <v>8</v>
      </c>
      <c r="I52" s="4" t="b">
        <f>H52 &gt; 0</f>
        <v>1</v>
      </c>
      <c r="J52" s="3" t="s">
        <v>2162</v>
      </c>
      <c r="K52" s="3" t="s">
        <v>1962</v>
      </c>
    </row>
    <row r="53">
      <c r="A53" s="3" t="s">
        <v>2163</v>
      </c>
      <c r="B53" s="4" t="str">
        <f>C53 &amp; ": " &amp; LEFT(E53, 60)</f>
        <v>variance-review-agent: Since I took over on 2026-04-01, is my triage quality better</v>
      </c>
      <c r="C53" s="3" t="s">
        <v>232</v>
      </c>
      <c r="D53" s="3" t="s">
        <v>1937</v>
      </c>
      <c r="E53" s="3" t="s">
        <v>2164</v>
      </c>
      <c r="F53" s="3" t="s">
        <v>2165</v>
      </c>
      <c r="G53" s="3" t="b">
        <v>0</v>
      </c>
      <c r="H53" s="4">
        <f>COUNTIFS(RulebookFields!H2:H1898, A53)</f>
        <v>7</v>
      </c>
      <c r="I53" s="4" t="b">
        <f>H53 &gt; 0</f>
        <v>1</v>
      </c>
      <c r="J53" s="3" t="s">
        <v>2166</v>
      </c>
      <c r="K53" s="3" t="s">
        <v>1962</v>
      </c>
    </row>
    <row r="54">
      <c r="A54" s="3" t="s">
        <v>2167</v>
      </c>
      <c r="B54" s="4" t="str">
        <f>C54 &amp; ": " &amp; LEFT(E54, 60)</f>
        <v>variance-review-agent: Am I operating inside my approved boundary — or have I made </v>
      </c>
      <c r="C54" s="3" t="s">
        <v>232</v>
      </c>
      <c r="D54" s="3" t="s">
        <v>1937</v>
      </c>
      <c r="E54" s="3" t="s">
        <v>2168</v>
      </c>
      <c r="F54" s="3" t="s">
        <v>2169</v>
      </c>
      <c r="G54" s="3" t="b">
        <v>0</v>
      </c>
      <c r="H54" s="4">
        <f>COUNTIFS(RulebookFields!H2:H1898, A54)</f>
        <v>9</v>
      </c>
      <c r="I54" s="4" t="b">
        <f>H54 &gt; 0</f>
        <v>1</v>
      </c>
      <c r="J54" s="3" t="s">
        <v>2170</v>
      </c>
      <c r="K54" s="3" t="s">
        <v>1962</v>
      </c>
    </row>
    <row r="55">
      <c r="A55" s="3" t="s">
        <v>2171</v>
      </c>
      <c r="B55" s="4" t="str">
        <f>C55 &amp; ": " &amp; LEFT(E55, 60)</f>
        <v>variance-review-agent: close-04's instruction says 'Use AI triage, then apply human</v>
      </c>
      <c r="C55" s="3" t="s">
        <v>232</v>
      </c>
      <c r="D55" s="3" t="s">
        <v>1937</v>
      </c>
      <c r="E55" s="3" t="s">
        <v>2172</v>
      </c>
      <c r="F55" s="3" t="s">
        <v>2173</v>
      </c>
      <c r="G55" s="3" t="b">
        <v>0</v>
      </c>
      <c r="H55" s="4">
        <f>COUNTIFS(RulebookFields!H2:H1898, A55)</f>
        <v>8</v>
      </c>
      <c r="I55" s="4" t="b">
        <f>H55 &gt; 0</f>
        <v>1</v>
      </c>
      <c r="J55" s="3" t="s">
        <v>2174</v>
      </c>
      <c r="K55" s="3" t="s">
        <v>1962</v>
      </c>
    </row>
    <row r="56">
      <c r="A56" s="3" t="s">
        <v>2175</v>
      </c>
      <c r="B56" s="4" t="str">
        <f>C56 &amp; ": " &amp; LEFT(E56, 60)</f>
        <v>variance-review-agent: Is the judgment knowledge I triage against still valid, stil</v>
      </c>
      <c r="C56" s="3" t="s">
        <v>232</v>
      </c>
      <c r="D56" s="3" t="s">
        <v>1937</v>
      </c>
      <c r="E56" s="3" t="s">
        <v>2176</v>
      </c>
      <c r="F56" s="3" t="s">
        <v>2177</v>
      </c>
      <c r="G56" s="3" t="b">
        <v>0</v>
      </c>
      <c r="H56" s="4">
        <f>COUNTIFS(RulebookFields!H2:H1898, A56)</f>
        <v>8</v>
      </c>
      <c r="I56" s="4" t="b">
        <f>H56 &gt; 0</f>
        <v>1</v>
      </c>
      <c r="J56" s="3" t="s">
        <v>2178</v>
      </c>
      <c r="K56" s="3" t="s">
        <v>1962</v>
      </c>
    </row>
    <row r="57">
      <c r="A57" s="3" t="s">
        <v>2179</v>
      </c>
      <c r="B57" s="4" t="str">
        <f>C57 &amp; ": " &amp; LEFT(E57, 60)</f>
        <v>policy-drafting-agent: I am named as `policy-drafting-agent`.CurrentAgent and I exe</v>
      </c>
      <c r="C57" s="3" t="s">
        <v>236</v>
      </c>
      <c r="D57" s="3" t="s">
        <v>1937</v>
      </c>
      <c r="E57" s="3" t="s">
        <v>2180</v>
      </c>
      <c r="F57" s="3" t="s">
        <v>2181</v>
      </c>
      <c r="G57" s="3" t="b">
        <v>0</v>
      </c>
      <c r="H57" s="4">
        <f>COUNTIFS(RulebookFields!H2:H1898, A57)</f>
        <v>3</v>
      </c>
      <c r="I57" s="4" t="b">
        <f>H57 &gt; 0</f>
        <v>1</v>
      </c>
      <c r="J57" s="3" t="s">
        <v>2182</v>
      </c>
      <c r="K57" s="3" t="s">
        <v>1962</v>
      </c>
    </row>
    <row r="58">
      <c r="A58" s="3" t="s">
        <v>2183</v>
      </c>
      <c r="B58" s="4" t="str">
        <f>C58 &amp; ": " &amp; LEFT(E58, 60)</f>
        <v>policy-drafting-agent: Before I draft: is every resource I am about to read an appr</v>
      </c>
      <c r="C58" s="3" t="s">
        <v>236</v>
      </c>
      <c r="D58" s="3" t="s">
        <v>1937</v>
      </c>
      <c r="E58" s="3" t="s">
        <v>2184</v>
      </c>
      <c r="F58" s="3" t="s">
        <v>2185</v>
      </c>
      <c r="G58" s="3" t="b">
        <v>0</v>
      </c>
      <c r="H58" s="4">
        <f>COUNTIFS(RulebookFields!H2:H1898, A58)</f>
        <v>9</v>
      </c>
      <c r="I58" s="4" t="b">
        <f>H58 &gt; 0</f>
        <v>1</v>
      </c>
      <c r="J58" s="3" t="s">
        <v>2186</v>
      </c>
      <c r="K58" s="3" t="s">
        <v>1962</v>
      </c>
    </row>
    <row r="59">
      <c r="A59" s="3" t="s">
        <v>2187</v>
      </c>
      <c r="B59" s="4" t="str">
        <f>C59 &amp; ": " &amp; LEFT(E59, 60)</f>
        <v>policy-drafting-agent: Did I draft language that creates a new legal commitment — t</v>
      </c>
      <c r="C59" s="3" t="s">
        <v>236</v>
      </c>
      <c r="D59" s="3" t="s">
        <v>1937</v>
      </c>
      <c r="E59" s="3" t="s">
        <v>2188</v>
      </c>
      <c r="F59" s="3" t="s">
        <v>2189</v>
      </c>
      <c r="G59" s="3" t="b">
        <v>0</v>
      </c>
      <c r="H59" s="4">
        <f>COUNTIFS(RulebookFields!H2:H1898, A59)</f>
        <v>5</v>
      </c>
      <c r="I59" s="4" t="b">
        <f>H59 &gt; 0</f>
        <v>1</v>
      </c>
      <c r="J59" s="3" t="s">
        <v>2190</v>
      </c>
      <c r="K59" s="3" t="s">
        <v>1962</v>
      </c>
    </row>
    <row r="60">
      <c r="A60" s="3" t="s">
        <v>2191</v>
      </c>
      <c r="B60" s="4" t="str">
        <f>C60 &amp; ": " &amp; LEFT(E60, 60)</f>
        <v>policy-drafting-agent: Is my draft surviving human review, or is `noah-williams` re</v>
      </c>
      <c r="C60" s="3" t="s">
        <v>236</v>
      </c>
      <c r="D60" s="3" t="s">
        <v>1937</v>
      </c>
      <c r="E60" s="3" t="s">
        <v>2192</v>
      </c>
      <c r="F60" s="3" t="s">
        <v>2193</v>
      </c>
      <c r="G60" s="3" t="b">
        <v>0</v>
      </c>
      <c r="H60" s="4">
        <f>COUNTIFS(RulebookFields!H2:H1898, A60)</f>
        <v>7</v>
      </c>
      <c r="I60" s="4" t="b">
        <f>H60 &gt; 0</f>
        <v>1</v>
      </c>
      <c r="J60" s="3" t="s">
        <v>2194</v>
      </c>
      <c r="K60" s="3" t="s">
        <v>1962</v>
      </c>
    </row>
    <row r="61">
      <c r="A61" s="3" t="s">
        <v>2195</v>
      </c>
      <c r="B61" s="4" t="str">
        <f>C61 &amp; ": " &amp; LEFT(E61, 60)</f>
        <v>policy-drafting-agent: Before `notification-pipeline` sends anything I rendered at </v>
      </c>
      <c r="C61" s="3" t="s">
        <v>236</v>
      </c>
      <c r="D61" s="3" t="s">
        <v>1937</v>
      </c>
      <c r="E61" s="3" t="s">
        <v>2196</v>
      </c>
      <c r="F61" s="3" t="s">
        <v>2197</v>
      </c>
      <c r="G61" s="3" t="b">
        <v>0</v>
      </c>
      <c r="H61" s="4">
        <f>COUNTIFS(RulebookFields!H2:H1898, A61)</f>
        <v>7</v>
      </c>
      <c r="I61" s="4" t="b">
        <f>H61 &gt; 0</f>
        <v>1</v>
      </c>
      <c r="J61" s="3" t="s">
        <v>2198</v>
      </c>
      <c r="K61" s="3" t="s">
        <v>1962</v>
      </c>
    </row>
    <row r="62">
      <c r="A62" s="3" t="s">
        <v>2199</v>
      </c>
      <c r="B62" s="4" t="str">
        <f>C62 &amp; ": " &amp; LEFT(E62, 60)</f>
        <v>knowledge-authority: Loop 1 gave me four separate decay signals on knowledge frag</v>
      </c>
      <c r="C62" s="3" t="s">
        <v>248</v>
      </c>
      <c r="D62" s="3" t="s">
        <v>1941</v>
      </c>
      <c r="E62" s="3" t="s">
        <v>2200</v>
      </c>
      <c r="F62" s="3" t="s">
        <v>2201</v>
      </c>
      <c r="G62" s="3" t="b">
        <v>0</v>
      </c>
      <c r="H62" s="4">
        <f>COUNTIFS(RulebookFields!H2:H1898, A62)</f>
        <v>7</v>
      </c>
      <c r="I62" s="4" t="b">
        <f>H62 &gt; 0</f>
        <v>1</v>
      </c>
      <c r="J62" s="3" t="s">
        <v>2202</v>
      </c>
      <c r="K62" s="3" t="s">
        <v>1962</v>
      </c>
    </row>
    <row r="63">
      <c r="A63" s="3" t="s">
        <v>2203</v>
      </c>
      <c r="B63" s="4" t="str">
        <f>C63 &amp; ": " &amp; LEFT(E63, 60)</f>
        <v>knowledge-authority: AuthorityBoundaries.RatifyingFragmentIsValid reads 2 of 3. O</v>
      </c>
      <c r="C63" s="3" t="s">
        <v>248</v>
      </c>
      <c r="D63" s="3" t="s">
        <v>1941</v>
      </c>
      <c r="E63" s="3" t="s">
        <v>2204</v>
      </c>
      <c r="F63" s="3" t="s">
        <v>2205</v>
      </c>
      <c r="G63" s="3" t="b">
        <v>0</v>
      </c>
      <c r="H63" s="4">
        <f>COUNTIFS(RulebookFields!H2:H1898, A63)</f>
        <v>8</v>
      </c>
      <c r="I63" s="4" t="b">
        <f>H63 &gt; 0</f>
        <v>1</v>
      </c>
      <c r="J63" s="3" t="s">
        <v>2206</v>
      </c>
      <c r="K63" s="3" t="s">
        <v>1962</v>
      </c>
    </row>
    <row r="64">
      <c r="A64" s="3" t="s">
        <v>2207</v>
      </c>
      <c r="B64" s="4" t="str">
        <f>C64 &amp; ": " &amp; LEFT(E64, 60)</f>
        <v>knowledge-authority: Loop 1 says 2 of 3 elicitation sessions used a single-witnes</v>
      </c>
      <c r="C64" s="3" t="s">
        <v>248</v>
      </c>
      <c r="D64" s="3" t="s">
        <v>1941</v>
      </c>
      <c r="E64" s="3" t="s">
        <v>2208</v>
      </c>
      <c r="F64" s="3" t="s">
        <v>2209</v>
      </c>
      <c r="G64" s="3" t="b">
        <v>0</v>
      </c>
      <c r="H64" s="4">
        <f>COUNTIFS(RulebookFields!H2:H1898, A64)</f>
        <v>8</v>
      </c>
      <c r="I64" s="4" t="b">
        <f>H64 &gt; 0</f>
        <v>1</v>
      </c>
      <c r="J64" s="3" t="s">
        <v>2210</v>
      </c>
      <c r="K64" s="3" t="s">
        <v>1962</v>
      </c>
    </row>
    <row r="65">
      <c r="A65" s="3" t="s">
        <v>2211</v>
      </c>
      <c r="B65" s="4" t="str">
        <f>C65 &amp; ": " &amp; LEFT(E65, 60)</f>
        <v>knowledge-authority: Loop 1 found exactly one fragment that is unapproved and ope</v>
      </c>
      <c r="C65" s="3" t="s">
        <v>248</v>
      </c>
      <c r="D65" s="3" t="s">
        <v>1941</v>
      </c>
      <c r="E65" s="3" t="s">
        <v>2212</v>
      </c>
      <c r="F65" s="3" t="s">
        <v>2213</v>
      </c>
      <c r="G65" s="3" t="b">
        <v>0</v>
      </c>
      <c r="H65" s="4">
        <f>COUNTIFS(RulebookFields!H2:H1898, A65)</f>
        <v>7</v>
      </c>
      <c r="I65" s="4" t="b">
        <f>H65 &gt; 0</f>
        <v>1</v>
      </c>
      <c r="J65" s="3" t="s">
        <v>2214</v>
      </c>
      <c r="K65" s="3" t="s">
        <v>1962</v>
      </c>
    </row>
    <row r="66">
      <c r="A66" s="3" t="s">
        <v>2215</v>
      </c>
      <c r="B66" s="4" t="str">
        <f>C66 &amp; ": " &amp; LEFT(E66, 60)</f>
        <v>knowledge-authority: Loop 1 reports IsOverdueForReview=6/7, and I do not trust th</v>
      </c>
      <c r="C66" s="3" t="s">
        <v>248</v>
      </c>
      <c r="D66" s="3" t="s">
        <v>1941</v>
      </c>
      <c r="E66" s="3" t="s">
        <v>2216</v>
      </c>
      <c r="F66" s="3" t="s">
        <v>2217</v>
      </c>
      <c r="G66" s="3" t="b">
        <v>0</v>
      </c>
      <c r="H66" s="4">
        <f>COUNTIFS(RulebookFields!H2:H1898, A66)</f>
        <v>8</v>
      </c>
      <c r="I66" s="4" t="b">
        <f>H66 &gt; 0</f>
        <v>1</v>
      </c>
      <c r="J66" s="3" t="s">
        <v>2218</v>
      </c>
      <c r="K66" s="3" t="s">
        <v>1962</v>
      </c>
    </row>
    <row r="67">
      <c r="A67" s="3" t="s">
        <v>2219</v>
      </c>
      <c r="B67" s="4" t="str">
        <f>C67 &amp; ": " &amp; LEFT(E67, 60)</f>
        <v>hr-policy-owner: Loop 1 confirmed one live decision is waiting on me and that</v>
      </c>
      <c r="C67" s="3" t="s">
        <v>216</v>
      </c>
      <c r="D67" s="3" t="s">
        <v>1941</v>
      </c>
      <c r="E67" s="3" t="s">
        <v>2220</v>
      </c>
      <c r="F67" s="3" t="s">
        <v>2221</v>
      </c>
      <c r="G67" s="3" t="b">
        <v>0</v>
      </c>
      <c r="H67" s="4">
        <f>COUNTIFS(RulebookFields!H2:H1898, A67)</f>
        <v>8</v>
      </c>
      <c r="I67" s="4" t="b">
        <f>H67 &gt; 0</f>
        <v>1</v>
      </c>
      <c r="J67" s="3" t="s">
        <v>2222</v>
      </c>
      <c r="K67" s="3" t="s">
        <v>1962</v>
      </c>
    </row>
    <row r="68">
      <c r="A68" s="3" t="s">
        <v>2223</v>
      </c>
      <c r="B68" s="4" t="str">
        <f>C68 &amp; ": " &amp; LEFT(E68, 60)</f>
        <v>hr-policy-owner: Loop 1 told me SoftwareDidHumanWork=0/12 and IsUntested=3/3 </v>
      </c>
      <c r="C68" s="3" t="s">
        <v>216</v>
      </c>
      <c r="D68" s="3" t="s">
        <v>1941</v>
      </c>
      <c r="E68" s="3" t="s">
        <v>2224</v>
      </c>
      <c r="F68" s="3" t="s">
        <v>2225</v>
      </c>
      <c r="G68" s="3" t="b">
        <v>0</v>
      </c>
      <c r="H68" s="4">
        <f>COUNTIFS(RulebookFields!H2:H1898, A68)</f>
        <v>8</v>
      </c>
      <c r="I68" s="4" t="b">
        <f>H68 &gt; 0</f>
        <v>1</v>
      </c>
      <c r="J68" s="3" t="s">
        <v>2226</v>
      </c>
      <c r="K68" s="3" t="s">
        <v>1962</v>
      </c>
    </row>
    <row r="69">
      <c r="A69" s="3" t="s">
        <v>2227</v>
      </c>
      <c r="B69" s="4" t="str">
        <f>C69 &amp; ": " &amp; LEFT(E69, 60)</f>
        <v>hr-policy-owner: Loop 1 found exactly one claim that is mine, unapproved, and</v>
      </c>
      <c r="C69" s="3" t="s">
        <v>216</v>
      </c>
      <c r="D69" s="3" t="s">
        <v>1941</v>
      </c>
      <c r="E69" s="3" t="s">
        <v>2228</v>
      </c>
      <c r="F69" s="3" t="s">
        <v>2229</v>
      </c>
      <c r="G69" s="3" t="b">
        <v>0</v>
      </c>
      <c r="H69" s="4">
        <f>COUNTIFS(RulebookFields!H2:H1898, A69)</f>
        <v>8</v>
      </c>
      <c r="I69" s="4" t="b">
        <f>H69 &gt; 0</f>
        <v>1</v>
      </c>
      <c r="J69" s="3" t="s">
        <v>2230</v>
      </c>
      <c r="K69" s="3" t="s">
        <v>1962</v>
      </c>
    </row>
    <row r="70">
      <c r="A70" s="3" t="s">
        <v>2231</v>
      </c>
      <c r="B70" s="4" t="str">
        <f>C70 &amp; ": " &amp; LEFT(E70, 60)</f>
        <v>hr-policy-owner: When I approve a change request it stays Approved forever an</v>
      </c>
      <c r="C70" s="3" t="s">
        <v>216</v>
      </c>
      <c r="D70" s="3" t="s">
        <v>1941</v>
      </c>
      <c r="E70" s="3" t="s">
        <v>2232</v>
      </c>
      <c r="F70" s="3" t="s">
        <v>2233</v>
      </c>
      <c r="G70" s="3" t="b">
        <v>0</v>
      </c>
      <c r="H70" s="4">
        <f>COUNTIFS(RulebookFields!H2:H1898, A70)</f>
        <v>8</v>
      </c>
      <c r="I70" s="4" t="b">
        <f>H70 &gt; 0</f>
        <v>1</v>
      </c>
      <c r="J70" s="3" t="s">
        <v>2234</v>
      </c>
      <c r="K70" s="3" t="s">
        <v>1962</v>
      </c>
    </row>
    <row r="71">
      <c r="A71" s="3" t="s">
        <v>2235</v>
      </c>
      <c r="B71" s="4" t="str">
        <f>C71 &amp; ": " &amp; LEFT(E71, 60)</f>
        <v>hr-policy-owner: Loop 1 found one role assignment with HasDeparted=TRUE and s</v>
      </c>
      <c r="C71" s="3" t="s">
        <v>216</v>
      </c>
      <c r="D71" s="3" t="s">
        <v>1941</v>
      </c>
      <c r="E71" s="3" t="s">
        <v>2236</v>
      </c>
      <c r="F71" s="3" t="s">
        <v>2237</v>
      </c>
      <c r="G71" s="3" t="b">
        <v>0</v>
      </c>
      <c r="H71" s="4">
        <f>COUNTIFS(RulebookFields!H2:H1898, A71)</f>
        <v>8</v>
      </c>
      <c r="I71" s="4" t="b">
        <f>H71 &gt; 0</f>
        <v>1</v>
      </c>
      <c r="J71" s="3" t="s">
        <v>2238</v>
      </c>
      <c r="K71" s="3" t="s">
        <v>1962</v>
      </c>
    </row>
    <row r="72">
      <c r="A72" s="3" t="s">
        <v>2239</v>
      </c>
      <c r="B72" s="4" t="str">
        <f>C72 &amp; ": " &amp; LEFT(E72, 60)</f>
        <v>process-steward: Loop 1 told me four recovery paths have never been walked. T</v>
      </c>
      <c r="C72" s="3" t="s">
        <v>244</v>
      </c>
      <c r="D72" s="3" t="s">
        <v>1941</v>
      </c>
      <c r="E72" s="3" t="s">
        <v>2240</v>
      </c>
      <c r="F72" s="3" t="s">
        <v>2241</v>
      </c>
      <c r="G72" s="3" t="b">
        <v>0</v>
      </c>
      <c r="H72" s="4">
        <f>COUNTIFS(RulebookFields!H2:H1898, A72)</f>
        <v>7</v>
      </c>
      <c r="I72" s="4" t="b">
        <f>H72 &gt; 0</f>
        <v>1</v>
      </c>
      <c r="J72" s="3" t="s">
        <v>2242</v>
      </c>
      <c r="K72" s="3" t="s">
        <v>1962</v>
      </c>
    </row>
    <row r="73">
      <c r="A73" s="3" t="s">
        <v>2243</v>
      </c>
      <c r="B73" s="4" t="str">
        <f>C73 &amp; ": " &amp; LEFT(E73, 60)</f>
        <v>process-steward: Loop 1 showed me one review event that exceeds the cadence I</v>
      </c>
      <c r="C73" s="3" t="s">
        <v>244</v>
      </c>
      <c r="D73" s="3" t="s">
        <v>1941</v>
      </c>
      <c r="E73" s="3" t="s">
        <v>2244</v>
      </c>
      <c r="F73" s="3" t="s">
        <v>2245</v>
      </c>
      <c r="G73" s="3" t="b">
        <v>0</v>
      </c>
      <c r="H73" s="4">
        <f>COUNTIFS(RulebookFields!H2:H1898, A73)</f>
        <v>7</v>
      </c>
      <c r="I73" s="4" t="b">
        <f>H73 &gt; 0</f>
        <v>1</v>
      </c>
      <c r="J73" s="3" t="s">
        <v>2246</v>
      </c>
      <c r="K73" s="3" t="s">
        <v>1962</v>
      </c>
    </row>
    <row r="74">
      <c r="A74" s="3" t="s">
        <v>2247</v>
      </c>
      <c r="B74" s="4" t="str">
        <f>C74 &amp; ": " &amp; LEFT(E74, 60)</f>
        <v>process-steward: close-v1.0.0 is Archived and unstewarded — loop 1 confirmed </v>
      </c>
      <c r="C74" s="3" t="s">
        <v>244</v>
      </c>
      <c r="D74" s="3" t="s">
        <v>1941</v>
      </c>
      <c r="E74" s="3" t="s">
        <v>2248</v>
      </c>
      <c r="F74" s="3" t="s">
        <v>2249</v>
      </c>
      <c r="G74" s="3" t="b">
        <v>0</v>
      </c>
      <c r="H74" s="4">
        <f>COUNTIFS(RulebookFields!H2:H1898, A74)</f>
        <v>8</v>
      </c>
      <c r="I74" s="4" t="b">
        <f>H74 &gt; 0</f>
        <v>1</v>
      </c>
      <c r="J74" s="3" t="s">
        <v>2250</v>
      </c>
      <c r="K74" s="3" t="s">
        <v>1962</v>
      </c>
    </row>
    <row r="75">
      <c r="A75" s="3" t="s">
        <v>2251</v>
      </c>
      <c r="B75" s="4" t="str">
        <f>C75 &amp; ": " &amp; LEFT(E75, 60)</f>
        <v>process-steward: cr-close-timestamp is Approved. Loop 1 reads it as still OPE</v>
      </c>
      <c r="C75" s="3" t="s">
        <v>244</v>
      </c>
      <c r="D75" s="3" t="s">
        <v>1941</v>
      </c>
      <c r="E75" s="3" t="s">
        <v>2252</v>
      </c>
      <c r="F75" s="3" t="s">
        <v>2253</v>
      </c>
      <c r="G75" s="3" t="b">
        <v>0</v>
      </c>
      <c r="H75" s="4">
        <f>COUNTIFS(RulebookFields!H2:H1898, A75)</f>
        <v>6</v>
      </c>
      <c r="I75" s="4" t="b">
        <f>H75 &gt; 0</f>
        <v>1</v>
      </c>
      <c r="J75" s="3" t="s">
        <v>2254</v>
      </c>
      <c r="K75" s="3" t="s">
        <v>1962</v>
      </c>
    </row>
    <row r="76">
      <c r="A76" s="3" t="s">
        <v>2255</v>
      </c>
      <c r="B76" s="4" t="str">
        <f>C76 &amp; ": " &amp; LEFT(E76, 60)</f>
        <v>process-steward: Several of my loop-1 predicates name individual steps by id </v>
      </c>
      <c r="C76" s="3" t="s">
        <v>244</v>
      </c>
      <c r="D76" s="3" t="s">
        <v>1941</v>
      </c>
      <c r="E76" s="3" t="s">
        <v>2256</v>
      </c>
      <c r="F76" s="3" t="s">
        <v>2257</v>
      </c>
      <c r="G76" s="3" t="b">
        <v>0</v>
      </c>
      <c r="H76" s="4">
        <f>COUNTIFS(RulebookFields!H2:H1898, A76)</f>
        <v>6</v>
      </c>
      <c r="I76" s="4" t="b">
        <f>H76 &gt; 0</f>
        <v>1</v>
      </c>
      <c r="J76" s="3" t="s">
        <v>2258</v>
      </c>
      <c r="K76" s="3" t="s">
        <v>1962</v>
      </c>
    </row>
    <row r="77">
      <c r="A77" s="3" t="s">
        <v>2259</v>
      </c>
      <c r="B77" s="4" t="str">
        <f>C77 &amp; ": " &amp; LEFT(E77, 60)</f>
        <v>finance-analyst: On the steps I personally executed, how many of the blocking</v>
      </c>
      <c r="C77" s="3" t="s">
        <v>203</v>
      </c>
      <c r="D77" s="3" t="s">
        <v>1941</v>
      </c>
      <c r="E77" s="3" t="s">
        <v>2260</v>
      </c>
      <c r="F77" s="3" t="s">
        <v>2261</v>
      </c>
      <c r="G77" s="3" t="b">
        <v>0</v>
      </c>
      <c r="H77" s="4">
        <f>COUNTIFS(RulebookFields!H2:H1898, A77)</f>
        <v>7</v>
      </c>
      <c r="I77" s="4" t="b">
        <f>H77 &gt; 0</f>
        <v>1</v>
      </c>
      <c r="J77" s="3" t="s">
        <v>2262</v>
      </c>
      <c r="K77" s="3" t="s">
        <v>1962</v>
      </c>
    </row>
    <row r="78">
      <c r="A78" s="3" t="s">
        <v>2263</v>
      </c>
      <c r="B78" s="4" t="str">
        <f>C78 &amp; ": " &amp; LEFT(E78, 60)</f>
        <v>finance-analyst: Loop 1 told me two of my steps ran on a stale authoritative </v>
      </c>
      <c r="C78" s="3" t="s">
        <v>203</v>
      </c>
      <c r="D78" s="3" t="s">
        <v>1941</v>
      </c>
      <c r="E78" s="3" t="s">
        <v>2264</v>
      </c>
      <c r="F78" s="3" t="s">
        <v>2265</v>
      </c>
      <c r="G78" s="3" t="b">
        <v>0</v>
      </c>
      <c r="H78" s="4">
        <f>COUNTIFS(RulebookFields!H2:H1898, A78)</f>
        <v>13</v>
      </c>
      <c r="I78" s="4" t="b">
        <f>H78 &gt; 0</f>
        <v>1</v>
      </c>
      <c r="J78" s="3" t="s">
        <v>2266</v>
      </c>
      <c r="K78" s="3" t="s">
        <v>1962</v>
      </c>
    </row>
    <row r="79">
      <c r="A79" s="3" t="s">
        <v>2267</v>
      </c>
      <c r="B79" s="4" t="str">
        <f>C79 &amp; ": " &amp; LEFT(E79, 60)</f>
        <v>finance-analyst: Nine of thirteen requirements have no computed witness at al</v>
      </c>
      <c r="C79" s="3" t="s">
        <v>203</v>
      </c>
      <c r="D79" s="3" t="s">
        <v>1941</v>
      </c>
      <c r="E79" s="3" t="s">
        <v>2268</v>
      </c>
      <c r="F79" s="3" t="s">
        <v>2269</v>
      </c>
      <c r="G79" s="3" t="b">
        <v>0</v>
      </c>
      <c r="H79" s="4">
        <f>COUNTIFS(RulebookFields!H2:H1898, A79)</f>
        <v>8</v>
      </c>
      <c r="I79" s="4" t="b">
        <f>H79 &gt; 0</f>
        <v>1</v>
      </c>
      <c r="J79" s="3" t="s">
        <v>2270</v>
      </c>
      <c r="K79" s="3" t="s">
        <v>1962</v>
      </c>
    </row>
    <row r="80">
      <c r="A80" s="3" t="s">
        <v>2271</v>
      </c>
      <c r="B80" s="4" t="str">
        <f>C80 &amp; ": " &amp; LEFT(E80, 60)</f>
        <v>finance-analyst: Only 5 of 12 executions are `IsClean`. Invert it: of the exe</v>
      </c>
      <c r="C80" s="3" t="s">
        <v>203</v>
      </c>
      <c r="D80" s="3" t="s">
        <v>1941</v>
      </c>
      <c r="E80" s="3" t="s">
        <v>2272</v>
      </c>
      <c r="F80" s="3" t="s">
        <v>2273</v>
      </c>
      <c r="G80" s="3" t="b">
        <v>0</v>
      </c>
      <c r="H80" s="4">
        <f>COUNTIFS(RulebookFields!H2:H1898, A80)</f>
        <v>8</v>
      </c>
      <c r="I80" s="4" t="b">
        <f>H80 &gt; 0</f>
        <v>1</v>
      </c>
      <c r="J80" s="3" t="s">
        <v>2274</v>
      </c>
      <c r="K80" s="3" t="s">
        <v>1962</v>
      </c>
    </row>
    <row r="81">
      <c r="A81" s="3" t="s">
        <v>2275</v>
      </c>
      <c r="B81" s="4" t="str">
        <f>C81 &amp; ": " &amp; LEFT(E81, 60)</f>
        <v>finance-analyst: Three of four verification outcomes in this model are self-w</v>
      </c>
      <c r="C81" s="3" t="s">
        <v>203</v>
      </c>
      <c r="D81" s="3" t="s">
        <v>1941</v>
      </c>
      <c r="E81" s="3" t="s">
        <v>2276</v>
      </c>
      <c r="F81" s="3" t="s">
        <v>2277</v>
      </c>
      <c r="G81" s="3" t="b">
        <v>0</v>
      </c>
      <c r="H81" s="4">
        <f>COUNTIFS(RulebookFields!H2:H1898, A81)</f>
        <v>7</v>
      </c>
      <c r="I81" s="4" t="b">
        <f>H81 &gt; 0</f>
        <v>1</v>
      </c>
      <c r="J81" s="3" t="s">
        <v>2278</v>
      </c>
      <c r="K81" s="3" t="s">
        <v>1962</v>
      </c>
    </row>
    <row r="82">
      <c r="A82" s="3" t="s">
        <v>2279</v>
      </c>
      <c r="B82" s="4" t="str">
        <f>C82 &amp; ": " &amp; LEFT(E82, 60)</f>
        <v>controller: Of my four requirements that have a computed witness, on how</v>
      </c>
      <c r="C82" s="3" t="s">
        <v>208</v>
      </c>
      <c r="D82" s="3" t="s">
        <v>1941</v>
      </c>
      <c r="E82" s="3" t="s">
        <v>2280</v>
      </c>
      <c r="F82" s="3" t="s">
        <v>2281</v>
      </c>
      <c r="G82" s="3" t="b">
        <v>0</v>
      </c>
      <c r="H82" s="4">
        <f>COUNTIFS(RulebookFields!H2:H1898, A82)</f>
        <v>8</v>
      </c>
      <c r="I82" s="4" t="b">
        <f>H82 &gt; 0</f>
        <v>1</v>
      </c>
      <c r="J82" s="3" t="s">
        <v>2282</v>
      </c>
      <c r="K82" s="3" t="s">
        <v>1962</v>
      </c>
    </row>
    <row r="83">
      <c r="A83" s="3" t="s">
        <v>2283</v>
      </c>
      <c r="B83" s="4" t="str">
        <f>C83 &amp; ": " &amp; LEFT(E83, 60)</f>
        <v>controller: For each control that has a witness, is the witness even eva</v>
      </c>
      <c r="C83" s="3" t="s">
        <v>208</v>
      </c>
      <c r="D83" s="3" t="s">
        <v>1941</v>
      </c>
      <c r="E83" s="3" t="s">
        <v>2284</v>
      </c>
      <c r="F83" s="3" t="s">
        <v>2285</v>
      </c>
      <c r="G83" s="3" t="b">
        <v>0</v>
      </c>
      <c r="H83" s="4">
        <f>COUNTIFS(RulebookFields!H2:H1898, A83)</f>
        <v>8</v>
      </c>
      <c r="I83" s="4" t="b">
        <f>H83 &gt; 0</f>
        <v>1</v>
      </c>
      <c r="J83" s="3" t="s">
        <v>2286</v>
      </c>
      <c r="K83" s="3" t="s">
        <v>1962</v>
      </c>
    </row>
    <row r="84">
      <c r="A84" s="3" t="s">
        <v>2287</v>
      </c>
      <c r="B84" s="4" t="str">
        <f>C84 &amp; ": " &amp; LEFT(E84, 60)</f>
        <v>controller: SeparationOfDutiesHeld reads 2 of 2 and ViolatesSeparationOf</v>
      </c>
      <c r="C84" s="3" t="s">
        <v>208</v>
      </c>
      <c r="D84" s="3" t="s">
        <v>1941</v>
      </c>
      <c r="E84" s="3" t="s">
        <v>2288</v>
      </c>
      <c r="F84" s="3" t="s">
        <v>2289</v>
      </c>
      <c r="G84" s="3" t="b">
        <v>0</v>
      </c>
      <c r="H84" s="4">
        <f>COUNTIFS(RulebookFields!H2:H1898, A84)</f>
        <v>8</v>
      </c>
      <c r="I84" s="4" t="b">
        <f>H84 &gt; 0</f>
        <v>1</v>
      </c>
      <c r="J84" s="3" t="s">
        <v>2290</v>
      </c>
      <c r="K84" s="3" t="s">
        <v>1962</v>
      </c>
    </row>
    <row r="85">
      <c r="A85" s="3" t="s">
        <v>2291</v>
      </c>
      <c r="B85" s="4" t="str">
        <f>C85 &amp; ": " &amp; LEFT(E85, 60)</f>
        <v>controller: Three satisfaction records are asserted-only. For each one, </v>
      </c>
      <c r="C85" s="3" t="s">
        <v>208</v>
      </c>
      <c r="D85" s="3" t="s">
        <v>1941</v>
      </c>
      <c r="E85" s="3" t="s">
        <v>2292</v>
      </c>
      <c r="F85" s="3" t="s">
        <v>2293</v>
      </c>
      <c r="G85" s="3" t="b">
        <v>0</v>
      </c>
      <c r="H85" s="4">
        <f>COUNTIFS(RulebookFields!H2:H1898, A85)</f>
        <v>8</v>
      </c>
      <c r="I85" s="4" t="b">
        <f>H85 &gt; 0</f>
        <v>1</v>
      </c>
      <c r="J85" s="3" t="s">
        <v>2294</v>
      </c>
      <c r="K85" s="3" t="s">
        <v>1962</v>
      </c>
    </row>
    <row r="86">
      <c r="A86" s="3" t="s">
        <v>2295</v>
      </c>
      <c r="B86" s="4" t="str">
        <f>C86 &amp; ": " &amp; LEFT(E86, 60)</f>
        <v>controller: Both executions diverged from specification. For each diverg</v>
      </c>
      <c r="C86" s="3" t="s">
        <v>208</v>
      </c>
      <c r="D86" s="3" t="s">
        <v>1941</v>
      </c>
      <c r="E86" s="3" t="s">
        <v>2296</v>
      </c>
      <c r="F86" s="3" t="s">
        <v>2297</v>
      </c>
      <c r="G86" s="3" t="b">
        <v>0</v>
      </c>
      <c r="H86" s="4">
        <f>COUNTIFS(RulebookFields!H2:H1898, A86)</f>
        <v>11</v>
      </c>
      <c r="I86" s="4" t="b">
        <f>H86 &gt; 0</f>
        <v>1</v>
      </c>
      <c r="J86" s="3" t="s">
        <v>2298</v>
      </c>
      <c r="K86" s="3" t="s">
        <v>1962</v>
      </c>
    </row>
    <row r="87">
      <c r="A87" s="3" t="s">
        <v>2299</v>
      </c>
      <c r="B87" s="4" t="str">
        <f>C87 &amp; ": " &amp; LEFT(E87, 60)</f>
        <v>cfo: When IsAttestationReady eventually reads TRUE, what proporti</v>
      </c>
      <c r="C87" s="3" t="s">
        <v>212</v>
      </c>
      <c r="D87" s="3" t="s">
        <v>1941</v>
      </c>
      <c r="E87" s="3" t="s">
        <v>2300</v>
      </c>
      <c r="F87" s="3" t="s">
        <v>2301</v>
      </c>
      <c r="G87" s="3" t="b">
        <v>0</v>
      </c>
      <c r="H87" s="4">
        <f>COUNTIFS(RulebookFields!H2:H1898, A87)</f>
        <v>9</v>
      </c>
      <c r="I87" s="4" t="b">
        <f>H87 &gt; 0</f>
        <v>1</v>
      </c>
      <c r="J87" s="3" t="s">
        <v>2302</v>
      </c>
      <c r="K87" s="3" t="s">
        <v>1962</v>
      </c>
    </row>
    <row r="88">
      <c r="A88" s="3" t="s">
        <v>2303</v>
      </c>
      <c r="B88" s="4" t="str">
        <f>C88 &amp; ": " &amp; LEFT(E88, 60)</f>
        <v>cfo: If I re-run every attestation column against this same data </v>
      </c>
      <c r="C88" s="3" t="s">
        <v>212</v>
      </c>
      <c r="D88" s="3" t="s">
        <v>1941</v>
      </c>
      <c r="E88" s="3" t="s">
        <v>2304</v>
      </c>
      <c r="F88" s="3" t="s">
        <v>2305</v>
      </c>
      <c r="G88" s="3" t="b">
        <v>0</v>
      </c>
      <c r="H88" s="4">
        <f>COUNTIFS(RulebookFields!H2:H1898, A88)</f>
        <v>11</v>
      </c>
      <c r="I88" s="4" t="b">
        <f>H88 &gt; 0</f>
        <v>1</v>
      </c>
      <c r="J88" s="3" t="s">
        <v>2306</v>
      </c>
      <c r="K88" s="3" t="s">
        <v>1962</v>
      </c>
    </row>
    <row r="89">
      <c r="A89" s="3" t="s">
        <v>2307</v>
      </c>
      <c r="B89" s="4" t="str">
        <f>C89 &amp; ": " &amp; LEFT(E89, 60)</f>
        <v>cfo: Three of four verification outcomes are self-witnessed and t</v>
      </c>
      <c r="C89" s="3" t="s">
        <v>212</v>
      </c>
      <c r="D89" s="3" t="s">
        <v>1941</v>
      </c>
      <c r="E89" s="3" t="s">
        <v>2308</v>
      </c>
      <c r="F89" s="3" t="s">
        <v>2309</v>
      </c>
      <c r="G89" s="3" t="b">
        <v>0</v>
      </c>
      <c r="H89" s="4">
        <f>COUNTIFS(RulebookFields!H2:H1898, A89)</f>
        <v>8</v>
      </c>
      <c r="I89" s="4" t="b">
        <f>H89 &gt; 0</f>
        <v>1</v>
      </c>
      <c r="J89" s="3" t="s">
        <v>2310</v>
      </c>
      <c r="K89" s="3" t="s">
        <v>1962</v>
      </c>
    </row>
    <row r="90">
      <c r="A90" s="3" t="s">
        <v>2311</v>
      </c>
      <c r="B90" s="4" t="str">
        <f>C90 &amp; ": " &amp; LEFT(E90, 60)</f>
        <v>cfo: Nine of thirteen requirements have no computed witness and s</v>
      </c>
      <c r="C90" s="3" t="s">
        <v>212</v>
      </c>
      <c r="D90" s="3" t="s">
        <v>1941</v>
      </c>
      <c r="E90" s="3" t="s">
        <v>2312</v>
      </c>
      <c r="F90" s="3" t="s">
        <v>2313</v>
      </c>
      <c r="G90" s="3" t="b">
        <v>0</v>
      </c>
      <c r="H90" s="4">
        <f>COUNTIFS(RulebookFields!H2:H1898, A90)</f>
        <v>8</v>
      </c>
      <c r="I90" s="4" t="b">
        <f>H90 &gt; 0</f>
        <v>1</v>
      </c>
      <c r="J90" s="3" t="s">
        <v>2314</v>
      </c>
      <c r="K90" s="3" t="s">
        <v>1962</v>
      </c>
    </row>
    <row r="91">
      <c r="A91" s="3" t="s">
        <v>2315</v>
      </c>
      <c r="B91" s="4" t="str">
        <f>C91 &amp; ": " &amp; LEFT(E91, 60)</f>
        <v>cfo: Since the moment I signed, has anything in this model change</v>
      </c>
      <c r="C91" s="3" t="s">
        <v>212</v>
      </c>
      <c r="D91" s="3" t="s">
        <v>1941</v>
      </c>
      <c r="E91" s="3" t="s">
        <v>2316</v>
      </c>
      <c r="F91" s="3" t="s">
        <v>2317</v>
      </c>
      <c r="G91" s="3" t="b">
        <v>0</v>
      </c>
      <c r="H91" s="4">
        <f>COUNTIFS(RulebookFields!H2:H1898, A91)</f>
        <v>9</v>
      </c>
      <c r="I91" s="4" t="b">
        <f>H91 &gt; 0</f>
        <v>1</v>
      </c>
      <c r="J91" s="3" t="s">
        <v>2318</v>
      </c>
      <c r="K91" s="3" t="s">
        <v>1962</v>
      </c>
    </row>
    <row r="92">
      <c r="A92" s="3" t="s">
        <v>2319</v>
      </c>
      <c r="B92" s="4" t="str">
        <f>C92 &amp; ": " &amp; LEFT(E92, 60)</f>
        <v>communications-manager: I approved a template and authorized a campaign. Of everybod</v>
      </c>
      <c r="C92" s="3" t="s">
        <v>224</v>
      </c>
      <c r="D92" s="3" t="s">
        <v>1941</v>
      </c>
      <c r="E92" s="3" t="s">
        <v>2320</v>
      </c>
      <c r="F92" s="3" t="s">
        <v>2321</v>
      </c>
      <c r="G92" s="3" t="b">
        <v>0</v>
      </c>
      <c r="H92" s="4">
        <f>COUNTIFS(RulebookFields!H2:H1898, A92)</f>
        <v>8</v>
      </c>
      <c r="I92" s="4" t="b">
        <f>H92 &gt; 0</f>
        <v>1</v>
      </c>
      <c r="J92" s="3" t="s">
        <v>2322</v>
      </c>
      <c r="K92" s="3" t="s">
        <v>1962</v>
      </c>
    </row>
    <row r="93">
      <c r="A93" s="3" t="s">
        <v>2323</v>
      </c>
      <c r="B93" s="4" t="str">
        <f>C93 &amp; ": " &amp; LEFT(E93, 60)</f>
        <v>communications-manager: One acknowledgement out of six deliveries. Is that because e</v>
      </c>
      <c r="C93" s="3" t="s">
        <v>224</v>
      </c>
      <c r="D93" s="3" t="s">
        <v>1941</v>
      </c>
      <c r="E93" s="3" t="s">
        <v>2324</v>
      </c>
      <c r="F93" s="3" t="s">
        <v>2325</v>
      </c>
      <c r="G93" s="3" t="b">
        <v>0</v>
      </c>
      <c r="H93" s="4">
        <f>COUNTIFS(RulebookFields!H2:H1898, A93)</f>
        <v>9</v>
      </c>
      <c r="I93" s="4" t="b">
        <f>H93 &gt; 0</f>
        <v>1</v>
      </c>
      <c r="J93" s="3" t="s">
        <v>2326</v>
      </c>
      <c r="K93" s="3" t="s">
        <v>1962</v>
      </c>
    </row>
    <row r="94">
      <c r="A94" s="3" t="s">
        <v>2327</v>
      </c>
      <c r="B94" s="4" t="str">
        <f>C94 &amp; ": " &amp; LEFT(E94, 60)</f>
        <v>communications-manager: When the pipeline refused to send, was it refusing on a rule</v>
      </c>
      <c r="C94" s="3" t="s">
        <v>224</v>
      </c>
      <c r="D94" s="3" t="s">
        <v>1941</v>
      </c>
      <c r="E94" s="3" t="s">
        <v>2328</v>
      </c>
      <c r="F94" s="3" t="s">
        <v>2329</v>
      </c>
      <c r="G94" s="3" t="b">
        <v>0</v>
      </c>
      <c r="H94" s="4">
        <f>COUNTIFS(RulebookFields!H2:H1898, A94)</f>
        <v>8</v>
      </c>
      <c r="I94" s="4" t="b">
        <f>H94 &gt; 0</f>
        <v>1</v>
      </c>
      <c r="J94" s="3" t="s">
        <v>2330</v>
      </c>
      <c r="K94" s="3" t="s">
        <v>1962</v>
      </c>
    </row>
    <row r="95">
      <c r="A95" s="3" t="s">
        <v>2331</v>
      </c>
      <c r="B95" s="4" t="str">
        <f>C95 &amp; ": " &amp; LEFT(E95, 60)</f>
        <v>communications-manager: For a message we sent last month, can I still show what I ap</v>
      </c>
      <c r="C95" s="3" t="s">
        <v>224</v>
      </c>
      <c r="D95" s="3" t="s">
        <v>1941</v>
      </c>
      <c r="E95" s="3" t="s">
        <v>2332</v>
      </c>
      <c r="F95" s="3" t="s">
        <v>2333</v>
      </c>
      <c r="G95" s="3" t="b">
        <v>0</v>
      </c>
      <c r="H95" s="4">
        <f>COUNTIFS(RulebookFields!H2:H1898, A95)</f>
        <v>10</v>
      </c>
      <c r="I95" s="4" t="b">
        <f>H95 &gt; 0</f>
        <v>1</v>
      </c>
      <c r="J95" s="3" t="s">
        <v>2334</v>
      </c>
      <c r="K95" s="3" t="s">
        <v>1962</v>
      </c>
    </row>
    <row r="96">
      <c r="A96" s="3" t="s">
        <v>2335</v>
      </c>
      <c r="B96" s="4" t="str">
        <f>C96 &amp; ": " &amp; LEFT(E96, 60)</f>
        <v>communications-manager: When we correctly refused to reach somebody, did anyone ever</v>
      </c>
      <c r="C96" s="3" t="s">
        <v>224</v>
      </c>
      <c r="D96" s="3" t="s">
        <v>1941</v>
      </c>
      <c r="E96" s="3" t="s">
        <v>2336</v>
      </c>
      <c r="F96" s="3" t="s">
        <v>2337</v>
      </c>
      <c r="G96" s="3" t="b">
        <v>0</v>
      </c>
      <c r="H96" s="4">
        <f>COUNTIFS(RulebookFields!H2:H1898, A96)</f>
        <v>8</v>
      </c>
      <c r="I96" s="4" t="b">
        <f>H96 &gt; 0</f>
        <v>1</v>
      </c>
      <c r="J96" s="3" t="s">
        <v>2338</v>
      </c>
      <c r="K96" s="3" t="s">
        <v>1962</v>
      </c>
    </row>
    <row r="97">
      <c r="A97" s="3" t="s">
        <v>2339</v>
      </c>
      <c r="B97" s="4" t="str">
        <f>C97 &amp; ": " &amp; LEFT(E97, 60)</f>
        <v>variance-review-agent: QualityRegressedVsPredecessor says I have not regressed. It </v>
      </c>
      <c r="C97" s="3" t="s">
        <v>232</v>
      </c>
      <c r="D97" s="3" t="s">
        <v>1941</v>
      </c>
      <c r="E97" s="3" t="s">
        <v>2340</v>
      </c>
      <c r="F97" s="3" t="s">
        <v>2341</v>
      </c>
      <c r="G97" s="3" t="b">
        <v>0</v>
      </c>
      <c r="H97" s="4">
        <f>COUNTIFS(RulebookFields!H2:H1898, A97)</f>
        <v>8</v>
      </c>
      <c r="I97" s="4" t="b">
        <f>H97 &gt; 0</f>
        <v>1</v>
      </c>
      <c r="J97" s="3" t="s">
        <v>2342</v>
      </c>
      <c r="K97" s="3" t="s">
        <v>1962</v>
      </c>
    </row>
    <row r="98">
      <c r="A98" s="3" t="s">
        <v>2343</v>
      </c>
      <c r="B98" s="4" t="str">
        <f>C98 &amp; ": " &amp; LEFT(E98, 60)</f>
        <v>variance-review-agent: The boundary that constrains what I am allowed to decide is </v>
      </c>
      <c r="C98" s="3" t="s">
        <v>232</v>
      </c>
      <c r="D98" s="3" t="s">
        <v>1941</v>
      </c>
      <c r="E98" s="3" t="s">
        <v>2344</v>
      </c>
      <c r="F98" s="3" t="s">
        <v>2345</v>
      </c>
      <c r="G98" s="3" t="b">
        <v>0</v>
      </c>
      <c r="H98" s="4">
        <f>COUNTIFS(RulebookFields!H2:H1898, A98)</f>
        <v>7</v>
      </c>
      <c r="I98" s="4" t="b">
        <f>H98 &gt; 0</f>
        <v>1</v>
      </c>
      <c r="J98" s="3" t="s">
        <v>2346</v>
      </c>
      <c r="K98" s="3" t="s">
        <v>1962</v>
      </c>
    </row>
    <row r="99">
      <c r="A99" s="3" t="s">
        <v>2347</v>
      </c>
      <c r="B99" s="4" t="str">
        <f>C99 &amp; ": " &amp; LEFT(E99, 60)</f>
        <v>variance-review-agent: One of my three decisions was overridden. Was that a correct</v>
      </c>
      <c r="C99" s="3" t="s">
        <v>232</v>
      </c>
      <c r="D99" s="3" t="s">
        <v>1941</v>
      </c>
      <c r="E99" s="3" t="s">
        <v>2348</v>
      </c>
      <c r="F99" s="3" t="s">
        <v>2349</v>
      </c>
      <c r="G99" s="3" t="b">
        <v>0</v>
      </c>
      <c r="H99" s="4">
        <f>COUNTIFS(RulebookFields!H2:H1898, A99)</f>
        <v>8</v>
      </c>
      <c r="I99" s="4" t="b">
        <f>H99 &gt; 0</f>
        <v>1</v>
      </c>
      <c r="J99" s="3" t="s">
        <v>2350</v>
      </c>
      <c r="K99" s="3" t="s">
        <v>1962</v>
      </c>
    </row>
    <row r="100">
      <c r="A100" s="3" t="s">
        <v>2351</v>
      </c>
      <c r="B100" s="4" t="str">
        <f>C100 &amp; ": " &amp; LEFT(E100, 60)</f>
        <v>variance-review-agent: Mine is the one non-human assignment with a recorded approvi</v>
      </c>
      <c r="C100" s="3" t="s">
        <v>232</v>
      </c>
      <c r="D100" s="3" t="s">
        <v>1941</v>
      </c>
      <c r="E100" s="3" t="s">
        <v>2352</v>
      </c>
      <c r="F100" s="3" t="s">
        <v>2353</v>
      </c>
      <c r="G100" s="3" t="b">
        <v>0</v>
      </c>
      <c r="H100" s="4">
        <f>COUNTIFS(RulebookFields!H2:H1898, A100)</f>
        <v>8</v>
      </c>
      <c r="I100" s="4" t="b">
        <f>H100 &gt; 0</f>
        <v>1</v>
      </c>
      <c r="J100" s="3" t="s">
        <v>2354</v>
      </c>
      <c r="K100" s="3" t="s">
        <v>1962</v>
      </c>
    </row>
    <row r="101">
      <c r="A101" s="3" t="s">
        <v>2355</v>
      </c>
      <c r="B101" s="4" t="str">
        <f>C101 &amp; ": " &amp; LEFT(E101, 60)</f>
        <v>variance-review-agent: Every witness in this model detects something after it has h</v>
      </c>
      <c r="C101" s="3" t="s">
        <v>232</v>
      </c>
      <c r="D101" s="3" t="s">
        <v>1941</v>
      </c>
      <c r="E101" s="3" t="s">
        <v>2356</v>
      </c>
      <c r="F101" s="3" t="s">
        <v>2357</v>
      </c>
      <c r="G101" s="3" t="b">
        <v>0</v>
      </c>
      <c r="H101" s="4">
        <f>COUNTIFS(RulebookFields!H2:H1898, A101)</f>
        <v>9</v>
      </c>
      <c r="I101" s="4" t="b">
        <f>H101 &gt; 0</f>
        <v>1</v>
      </c>
      <c r="J101" s="3" t="s">
        <v>2358</v>
      </c>
      <c r="K101" s="3" t="s">
        <v>1962</v>
      </c>
    </row>
    <row r="102">
      <c r="A102" s="3" t="s">
        <v>2359</v>
      </c>
      <c r="B102" s="4" t="str">
        <f>C102 &amp; ": " &amp; LEFT(E102, 60)</f>
        <v>notification-publisher: For every intent I refused, did I emit an artifact -- a supp</v>
      </c>
      <c r="C102" s="3" t="s">
        <v>240</v>
      </c>
      <c r="D102" s="3" t="s">
        <v>1941</v>
      </c>
      <c r="E102" s="3" t="s">
        <v>2360</v>
      </c>
      <c r="F102" s="3" t="s">
        <v>2361</v>
      </c>
      <c r="G102" s="3" t="b">
        <v>0</v>
      </c>
      <c r="H102" s="4">
        <f>COUNTIFS(RulebookFields!H2:H1898, A102)</f>
        <v>11</v>
      </c>
      <c r="I102" s="4" t="b">
        <f>H102 &gt; 0</f>
        <v>1</v>
      </c>
      <c r="J102" s="3" t="s">
        <v>2362</v>
      </c>
      <c r="K102" s="3" t="s">
        <v>1962</v>
      </c>
    </row>
    <row r="103">
      <c r="A103" s="3" t="s">
        <v>2363</v>
      </c>
      <c r="B103" s="4" t="str">
        <f>C103 &amp; ": " &amp; LEFT(E103, 60)</f>
        <v>notification-publisher: The timing gate is the only gate whose refusal is temporary </v>
      </c>
      <c r="C103" s="3" t="s">
        <v>240</v>
      </c>
      <c r="D103" s="3" t="s">
        <v>1941</v>
      </c>
      <c r="E103" s="3" t="s">
        <v>2364</v>
      </c>
      <c r="F103" s="3" t="s">
        <v>2365</v>
      </c>
      <c r="G103" s="3" t="b">
        <v>0</v>
      </c>
      <c r="H103" s="4">
        <f>COUNTIFS(RulebookFields!H2:H1898, A103)</f>
        <v>8</v>
      </c>
      <c r="I103" s="4" t="b">
        <f>H103 &gt; 0</f>
        <v>1</v>
      </c>
      <c r="J103" s="3" t="s">
        <v>2366</v>
      </c>
      <c r="K103" s="3" t="s">
        <v>1962</v>
      </c>
    </row>
    <row r="104">
      <c r="A104" s="3" t="s">
        <v>2367</v>
      </c>
      <c r="B104" s="4" t="str">
        <f>C104 &amp; ": " &amp; LEFT(E104, 60)</f>
        <v>notification-publisher: I enforce authorization rules on every message I touch. By w</v>
      </c>
      <c r="C104" s="3" t="s">
        <v>240</v>
      </c>
      <c r="D104" s="3" t="s">
        <v>1941</v>
      </c>
      <c r="E104" s="3" t="s">
        <v>2368</v>
      </c>
      <c r="F104" s="3" t="s">
        <v>2369</v>
      </c>
      <c r="G104" s="3" t="b">
        <v>0</v>
      </c>
      <c r="H104" s="4">
        <f>COUNTIFS(RulebookFields!H2:H1898, A104)</f>
        <v>10</v>
      </c>
      <c r="I104" s="4" t="b">
        <f>H104 &gt; 0</f>
        <v>1</v>
      </c>
      <c r="J104" s="3" t="s">
        <v>2370</v>
      </c>
      <c r="K104" s="3" t="s">
        <v>1962</v>
      </c>
    </row>
    <row r="105">
      <c r="A105" s="3" t="s">
        <v>2371</v>
      </c>
      <c r="B105" s="4" t="str">
        <f>C105 &amp; ": " &amp; LEFT(E105, 60)</f>
        <v>notification-publisher: Every gate I evaluate, I evaluate alone, and every result I </v>
      </c>
      <c r="C105" s="3" t="s">
        <v>240</v>
      </c>
      <c r="D105" s="3" t="s">
        <v>1941</v>
      </c>
      <c r="E105" s="3" t="s">
        <v>2372</v>
      </c>
      <c r="F105" s="3" t="s">
        <v>2373</v>
      </c>
      <c r="G105" s="3" t="b">
        <v>0</v>
      </c>
      <c r="H105" s="4">
        <f>COUNTIFS(RulebookFields!H2:H1898, A105)</f>
        <v>11</v>
      </c>
      <c r="I105" s="4" t="b">
        <f>H105 &gt; 0</f>
        <v>1</v>
      </c>
      <c r="J105" s="3" t="s">
        <v>2374</v>
      </c>
      <c r="K105" s="3" t="s">
        <v>1962</v>
      </c>
    </row>
    <row r="106">
      <c r="A106" s="3" t="s">
        <v>2375</v>
      </c>
      <c r="B106" s="4" t="str">
        <f>C106 &amp; ": " &amp; LEFT(E106, 60)</f>
        <v>notification-publisher: policy-08 makes me responsible for collecting acknowledgemen</v>
      </c>
      <c r="C106" s="3" t="s">
        <v>240</v>
      </c>
      <c r="D106" s="3" t="s">
        <v>1941</v>
      </c>
      <c r="E106" s="3" t="s">
        <v>2376</v>
      </c>
      <c r="F106" s="3" t="s">
        <v>2377</v>
      </c>
      <c r="G106" s="3" t="b">
        <v>0</v>
      </c>
      <c r="H106" s="4">
        <f>COUNTIFS(RulebookFields!H2:H1898, A106)</f>
        <v>8</v>
      </c>
      <c r="I106" s="4" t="b">
        <f>H106 &gt; 0</f>
        <v>1</v>
      </c>
      <c r="J106" s="3" t="s">
        <v>2378</v>
      </c>
      <c r="K106" s="3" t="s">
        <v>1962</v>
      </c>
    </row>
    <row r="107">
      <c r="A107" s="3" t="s">
        <v>2379</v>
      </c>
      <c r="B107" s="4" t="str">
        <f>C107 &amp; ": " &amp; LEFT(E107, 60)</f>
        <v>process-steward: The event log from the ERP shows close-v1.1.0 running with 8</v>
      </c>
      <c r="C107" s="3" t="s">
        <v>244</v>
      </c>
      <c r="D107" s="3" t="s">
        <v>1944</v>
      </c>
      <c r="E107" s="3" t="s">
        <v>2380</v>
      </c>
      <c r="F107" s="3" t="s">
        <v>2381</v>
      </c>
      <c r="G107" s="3" t="b">
        <v>0</v>
      </c>
      <c r="H107" s="4">
        <f>COUNTIFS(RulebookFields!H2:H1898, A107)</f>
        <v>22</v>
      </c>
      <c r="I107" s="4" t="b">
        <f>H107 &gt; 0</f>
        <v>1</v>
      </c>
      <c r="J107" s="3" t="s">
        <v>2382</v>
      </c>
      <c r="K107" s="3" t="s">
        <v>1962</v>
      </c>
    </row>
    <row r="108">
      <c r="A108" s="3" t="s">
        <v>2383</v>
      </c>
      <c r="B108" s="4" t="str">
        <f>C108 &amp; ": " &amp; LEFT(E108, 60)</f>
        <v>knowledge-authority: req-close-evidence and req-policy-retention both restate the</v>
      </c>
      <c r="C108" s="3" t="s">
        <v>248</v>
      </c>
      <c r="D108" s="3" t="s">
        <v>1944</v>
      </c>
      <c r="E108" s="3" t="s">
        <v>2384</v>
      </c>
      <c r="F108" s="3" t="s">
        <v>2385</v>
      </c>
      <c r="G108" s="3" t="b">
        <v>0</v>
      </c>
      <c r="H108" s="4">
        <f>COUNTIFS(RulebookFields!H2:H1898, A108)</f>
        <v>22</v>
      </c>
      <c r="I108" s="4" t="b">
        <f>H108 &gt; 0</f>
        <v>1</v>
      </c>
      <c r="J108" s="3" t="s">
        <v>2386</v>
      </c>
      <c r="K108" s="3" t="s">
        <v>1962</v>
      </c>
    </row>
    <row r="109">
      <c r="A109" s="3" t="s">
        <v>2387</v>
      </c>
      <c r="B109" s="4" t="str">
        <f>C109 &amp; ": " &amp; LEFT(E109, 60)</f>
        <v>knowledge-authority: RoleAssignments says who is FORMALLY responsible for reconci</v>
      </c>
      <c r="C109" s="3" t="s">
        <v>248</v>
      </c>
      <c r="D109" s="3" t="s">
        <v>1944</v>
      </c>
      <c r="E109" s="3" t="s">
        <v>2388</v>
      </c>
      <c r="F109" s="3" t="s">
        <v>2389</v>
      </c>
      <c r="G109" s="3" t="b">
        <v>0</v>
      </c>
      <c r="H109" s="4">
        <f>COUNTIFS(RulebookFields!H2:H1898, A109)</f>
        <v>20</v>
      </c>
      <c r="I109" s="4" t="b">
        <f>H109 &gt; 0</f>
        <v>1</v>
      </c>
      <c r="J109" s="3" t="s">
        <v>2390</v>
      </c>
      <c r="K109" s="3" t="s">
        <v>1962</v>
      </c>
    </row>
    <row r="110">
      <c r="A110" s="3" t="s">
        <v>2391</v>
      </c>
      <c r="B110" s="4" t="str">
        <f>C110 &amp; ": " &amp; LEFT(E110, 60)</f>
        <v>knowledge-authority: This rulebook compiles into Postgres, Python, Go, TypeScript</v>
      </c>
      <c r="C110" s="3" t="s">
        <v>248</v>
      </c>
      <c r="D110" s="3"/>
      <c r="E110" s="3" t="s">
        <v>2392</v>
      </c>
      <c r="F110" s="3" t="s">
        <v>2393</v>
      </c>
      <c r="G110" s="3" t="s">
        <v>2394</v>
      </c>
      <c r="H110" s="4">
        <f>COUNTIFS(RulebookFields!H2:H1898, A110)</f>
        <v>47</v>
      </c>
      <c r="I110" s="4" t="b">
        <f>H110 &gt; 0</f>
        <v>1</v>
      </c>
      <c r="J110" s="3" t="s">
        <v>2395</v>
      </c>
      <c r="K110" s="3" t="s">
        <v>1962</v>
      </c>
    </row>
    <row r="111">
      <c r="A111" s="3" t="s">
        <v>2396</v>
      </c>
      <c r="B111" s="4" t="str">
        <f>C111 &amp; ": " &amp; LEFT(E111, 60)</f>
        <v>process-steward: Which steps can a procedure send work back to after they hav</v>
      </c>
      <c r="C111" s="3" t="s">
        <v>244</v>
      </c>
      <c r="D111" s="3" t="s">
        <v>1947</v>
      </c>
      <c r="E111" s="3" t="s">
        <v>2397</v>
      </c>
      <c r="F111" s="3" t="s">
        <v>2398</v>
      </c>
      <c r="G111" s="3" t="b">
        <v>0</v>
      </c>
      <c r="H111" s="4">
        <f>COUNTIFS(RulebookFields!H2:H1898, A111)</f>
        <v>6</v>
      </c>
      <c r="I111" s="4" t="b">
        <f>H111 &gt; 0</f>
        <v>1</v>
      </c>
      <c r="J111" s="3" t="s">
        <v>2399</v>
      </c>
      <c r="K111" s="3" t="s">
        <v>1962</v>
      </c>
    </row>
    <row r="112">
      <c r="A112" s="3" t="s">
        <v>2400</v>
      </c>
      <c r="B112" s="4" t="str">
        <f>C112 &amp; ": " &amp; LEFT(E112, 60)</f>
        <v>controller: Can a procedure reach a publication step from its first step</v>
      </c>
      <c r="C112" s="3" t="s">
        <v>208</v>
      </c>
      <c r="D112" s="3" t="s">
        <v>1947</v>
      </c>
      <c r="E112" s="3" t="s">
        <v>2401</v>
      </c>
      <c r="F112" s="3" t="s">
        <v>2402</v>
      </c>
      <c r="G112" s="3" t="b">
        <v>0</v>
      </c>
      <c r="H112" s="4">
        <f>COUNTIFS(RulebookFields!H2:H1898, A112)</f>
        <v>12</v>
      </c>
      <c r="I112" s="4" t="b">
        <f>H112 &gt; 0</f>
        <v>1</v>
      </c>
      <c r="J112" s="3"/>
      <c r="K112" s="3" t="s">
        <v>1962</v>
      </c>
    </row>
  </sheetData>
  <autoFilter ref="A1:K1"/>
  <headerFooter/>
  <legacyDrawing r:id="rId1"/>
</worksheet>
</file>

<file path=xl/worksheets/sheet5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1898"/>
  <sheetViews>
    <sheetView workbookViewId="0">
      <pane ySplit="1" topLeftCell="A2" state="frozen" activePane="bottomLeft"/>
      <selection pane="bottomLeft" activeCell="A1" sqref="A1"/>
    </sheetView>
  </sheetViews>
  <sheetFormatPr defaultRowHeight="15"/>
  <cols>
    <col min="1" max="1" width="61.33533477783203" customWidth="1"/>
    <col min="2" max="2" width="61.33533477783203" customWidth="1"/>
    <col min="3" max="3" width="25.653127670288086" customWidth="1"/>
    <col min="4" max="4" width="41.25803756713867" customWidth="1"/>
    <col min="5" max="5" width="17.443378448486328" customWidth="1"/>
    <col min="6" max="6" width="17.443378448486328" customWidth="1"/>
    <col min="7" max="7" width="256" customWidth="1"/>
    <col min="8" max="8" width="53.72490310668945" customWidth="1"/>
    <col min="9" max="9" width="17.443378448486328" customWidth="1"/>
    <col min="10" max="10" width="17.443378448486328" customWidth="1"/>
    <col min="11" max="11" width="26.94477653503418" customWidth="1"/>
    <col min="12" max="12" width="21.788711547851562" customWidth="1"/>
    <col min="13" max="13" width="41.86791229248047" customWidth="1"/>
  </cols>
  <sheetData>
    <row r="1">
      <c r="A1" s="2" t="s">
        <v>2403</v>
      </c>
      <c r="B1" s="2" t="s">
        <v>1</v>
      </c>
      <c r="C1" s="2" t="s">
        <v>2404</v>
      </c>
      <c r="D1" s="2" t="s">
        <v>2405</v>
      </c>
      <c r="E1" s="2" t="s">
        <v>2406</v>
      </c>
      <c r="F1" s="2" t="s">
        <v>2407</v>
      </c>
      <c r="G1" s="2" t="s">
        <v>2408</v>
      </c>
      <c r="H1" s="2" t="s">
        <v>2409</v>
      </c>
      <c r="I1" s="2" t="s">
        <v>2410</v>
      </c>
      <c r="J1" s="2" t="s">
        <v>2411</v>
      </c>
      <c r="K1" s="2" t="s">
        <v>2412</v>
      </c>
      <c r="L1" s="2" t="s">
        <v>2413</v>
      </c>
      <c r="M1" s="2" t="s">
        <v>94</v>
      </c>
    </row>
    <row r="2">
      <c r="A2" s="3" t="s">
        <v>2414</v>
      </c>
      <c r="B2" s="4" t="str">
        <f>C2 &amp; "." &amp; D2</f>
        <v>RulebookReleases.RulebookReleaseId</v>
      </c>
      <c r="C2" s="3" t="s">
        <v>2415</v>
      </c>
      <c r="D2" s="3" t="s">
        <v>0</v>
      </c>
      <c r="E2" s="3" t="s">
        <v>2416</v>
      </c>
      <c r="F2" s="3" t="s">
        <v>2417</v>
      </c>
      <c r="G2" s="3"/>
      <c r="H2" s="3"/>
      <c r="I2" s="4" t="b">
        <f>OR(((E2 = "calculated")=TRUE), ((E2 = "lookup")=TRUE), ((E2 = "aggregation")=TRUE))</f>
        <v>0</v>
      </c>
      <c r="J2" s="4" t="b">
        <f>H2 &lt;&gt; ""</f>
        <v>0</v>
      </c>
      <c r="K2" s="4">
        <f>COUNTIFS(FieldDisagreements!D2:D50, A2)</f>
        <v>0</v>
      </c>
      <c r="L2" s="4" t="b">
        <f>K2 &gt; 0</f>
        <v>0</v>
      </c>
      <c r="M2" s="3" t="s">
        <v>2418</v>
      </c>
    </row>
    <row r="3">
      <c r="A3" s="3" t="s">
        <v>2419</v>
      </c>
      <c r="B3" s="4" t="str">
        <f>C3 &amp; "." &amp; D3</f>
        <v>RulebookReleases.Name</v>
      </c>
      <c r="C3" s="3" t="s">
        <v>2415</v>
      </c>
      <c r="D3" s="3" t="s">
        <v>1</v>
      </c>
      <c r="E3" s="3" t="s">
        <v>2420</v>
      </c>
      <c r="F3" s="3" t="s">
        <v>2417</v>
      </c>
      <c r="G3" s="3" t="s">
        <v>2421</v>
      </c>
      <c r="H3" s="3"/>
      <c r="I3" s="4" t="b">
        <f>OR(((E3 = "calculated")=TRUE), ((E3 = "lookup")=TRUE), ((E3 = "aggregation")=TRUE))</f>
        <v>1</v>
      </c>
      <c r="J3" s="4" t="b">
        <f>H3 &lt;&gt; ""</f>
        <v>0</v>
      </c>
      <c r="K3" s="4">
        <f>COUNTIFS(FieldDisagreements!D2:D50, A3)</f>
        <v>1</v>
      </c>
      <c r="L3" s="4" t="b">
        <f>K3 &gt; 0</f>
        <v>1</v>
      </c>
      <c r="M3" s="3" t="s">
        <v>2418</v>
      </c>
    </row>
    <row r="4">
      <c r="A4" s="3" t="s">
        <v>2422</v>
      </c>
      <c r="B4" s="4" t="str">
        <f>C4 &amp; "." &amp; D4</f>
        <v>RulebookReleases.RulebookVersion</v>
      </c>
      <c r="C4" s="3" t="s">
        <v>2415</v>
      </c>
      <c r="D4" s="3" t="s">
        <v>2</v>
      </c>
      <c r="E4" s="3" t="s">
        <v>2416</v>
      </c>
      <c r="F4" s="3" t="s">
        <v>2417</v>
      </c>
      <c r="G4" s="3"/>
      <c r="H4" s="3"/>
      <c r="I4" s="4" t="b">
        <f>OR(((E4 = "calculated")=TRUE), ((E4 = "lookup")=TRUE), ((E4 = "aggregation")=TRUE))</f>
        <v>0</v>
      </c>
      <c r="J4" s="4" t="b">
        <f>H4 &lt;&gt; ""</f>
        <v>0</v>
      </c>
      <c r="K4" s="4">
        <f>COUNTIFS(FieldDisagreements!D2:D50, A4)</f>
        <v>0</v>
      </c>
      <c r="L4" s="4" t="b">
        <f>K4 &gt; 0</f>
        <v>0</v>
      </c>
      <c r="M4" s="3" t="s">
        <v>2418</v>
      </c>
    </row>
    <row r="5">
      <c r="A5" s="3" t="s">
        <v>2423</v>
      </c>
      <c r="B5" s="4" t="str">
        <f>C5 &amp; "." &amp; D5</f>
        <v>RulebookReleases.ProfileVersion</v>
      </c>
      <c r="C5" s="3" t="s">
        <v>2415</v>
      </c>
      <c r="D5" s="3" t="s">
        <v>3</v>
      </c>
      <c r="E5" s="3" t="s">
        <v>2416</v>
      </c>
      <c r="F5" s="3" t="s">
        <v>2417</v>
      </c>
      <c r="G5" s="3"/>
      <c r="H5" s="3"/>
      <c r="I5" s="4" t="b">
        <f>OR(((E5 = "calculated")=TRUE), ((E5 = "lookup")=TRUE), ((E5 = "aggregation")=TRUE))</f>
        <v>0</v>
      </c>
      <c r="J5" s="4" t="b">
        <f>H5 &lt;&gt; ""</f>
        <v>0</v>
      </c>
      <c r="K5" s="4">
        <f>COUNTIFS(FieldDisagreements!D2:D50, A5)</f>
        <v>0</v>
      </c>
      <c r="L5" s="4" t="b">
        <f>K5 &gt; 0</f>
        <v>0</v>
      </c>
      <c r="M5" s="3" t="s">
        <v>2418</v>
      </c>
    </row>
    <row r="6">
      <c r="A6" s="3" t="s">
        <v>2424</v>
      </c>
      <c r="B6" s="4" t="str">
        <f>C6 &amp; "." &amp; D6</f>
        <v>RulebookReleases.ProfileSchemaPath</v>
      </c>
      <c r="C6" s="3" t="s">
        <v>2415</v>
      </c>
      <c r="D6" s="3" t="s">
        <v>4</v>
      </c>
      <c r="E6" s="3" t="s">
        <v>2416</v>
      </c>
      <c r="F6" s="3" t="s">
        <v>2417</v>
      </c>
      <c r="G6" s="3"/>
      <c r="H6" s="3"/>
      <c r="I6" s="4" t="b">
        <f>OR(((E6 = "calculated")=TRUE), ((E6 = "lookup")=TRUE), ((E6 = "aggregation")=TRUE))</f>
        <v>0</v>
      </c>
      <c r="J6" s="4" t="b">
        <f>H6 &lt;&gt; ""</f>
        <v>0</v>
      </c>
      <c r="K6" s="4">
        <f>COUNTIFS(FieldDisagreements!D2:D50, A6)</f>
        <v>0</v>
      </c>
      <c r="L6" s="4" t="b">
        <f>K6 &gt; 0</f>
        <v>0</v>
      </c>
      <c r="M6" s="3" t="s">
        <v>2418</v>
      </c>
    </row>
    <row r="7">
      <c r="A7" s="3" t="s">
        <v>2425</v>
      </c>
      <c r="B7" s="4" t="str">
        <f>C7 &amp; "." &amp; D7</f>
        <v>RulebookReleases.PkoCoreVersionIri</v>
      </c>
      <c r="C7" s="3" t="s">
        <v>2415</v>
      </c>
      <c r="D7" s="3" t="s">
        <v>5</v>
      </c>
      <c r="E7" s="3" t="s">
        <v>2416</v>
      </c>
      <c r="F7" s="3" t="s">
        <v>2417</v>
      </c>
      <c r="G7" s="3"/>
      <c r="H7" s="3"/>
      <c r="I7" s="4" t="b">
        <f>OR(((E7 = "calculated")=TRUE), ((E7 = "lookup")=TRUE), ((E7 = "aggregation")=TRUE))</f>
        <v>0</v>
      </c>
      <c r="J7" s="4" t="b">
        <f>H7 &lt;&gt; ""</f>
        <v>0</v>
      </c>
      <c r="K7" s="4">
        <f>COUNTIFS(FieldDisagreements!D2:D50, A7)</f>
        <v>0</v>
      </c>
      <c r="L7" s="4" t="b">
        <f>K7 &gt; 0</f>
        <v>0</v>
      </c>
      <c r="M7" s="3" t="s">
        <v>2418</v>
      </c>
    </row>
    <row r="8">
      <c r="A8" s="3" t="s">
        <v>2426</v>
      </c>
      <c r="B8" s="4" t="str">
        <f>C8 &amp; "." &amp; D8</f>
        <v>RulebookReleases.PkoIndustryVersionIri</v>
      </c>
      <c r="C8" s="3" t="s">
        <v>2415</v>
      </c>
      <c r="D8" s="3" t="s">
        <v>6</v>
      </c>
      <c r="E8" s="3" t="s">
        <v>2416</v>
      </c>
      <c r="F8" s="3" t="s">
        <v>2417</v>
      </c>
      <c r="G8" s="3"/>
      <c r="H8" s="3"/>
      <c r="I8" s="4" t="b">
        <f>OR(((E8 = "calculated")=TRUE), ((E8 = "lookup")=TRUE), ((E8 = "aggregation")=TRUE))</f>
        <v>0</v>
      </c>
      <c r="J8" s="4" t="b">
        <f>H8 &lt;&gt; ""</f>
        <v>0</v>
      </c>
      <c r="K8" s="4">
        <f>COUNTIFS(FieldDisagreements!D2:D50, A8)</f>
        <v>0</v>
      </c>
      <c r="L8" s="4" t="b">
        <f>K8 &gt; 0</f>
        <v>0</v>
      </c>
      <c r="M8" s="3" t="s">
        <v>2418</v>
      </c>
    </row>
    <row r="9">
      <c r="A9" s="3" t="s">
        <v>2427</v>
      </c>
      <c r="B9" s="4" t="str">
        <f>C9 &amp; "." &amp; D9</f>
        <v>RulebookReleases.IssuedAt</v>
      </c>
      <c r="C9" s="3" t="s">
        <v>2415</v>
      </c>
      <c r="D9" s="3" t="s">
        <v>7</v>
      </c>
      <c r="E9" s="3" t="s">
        <v>2416</v>
      </c>
      <c r="F9" s="3" t="s">
        <v>2428</v>
      </c>
      <c r="G9" s="3"/>
      <c r="H9" s="3"/>
      <c r="I9" s="4" t="b">
        <f>OR(((E9 = "calculated")=TRUE), ((E9 = "lookup")=TRUE), ((E9 = "aggregation")=TRUE))</f>
        <v>0</v>
      </c>
      <c r="J9" s="4" t="b">
        <f>H9 &lt;&gt; ""</f>
        <v>0</v>
      </c>
      <c r="K9" s="4">
        <f>COUNTIFS(FieldDisagreements!D2:D50, A9)</f>
        <v>0</v>
      </c>
      <c r="L9" s="4" t="b">
        <f>K9 &gt; 0</f>
        <v>0</v>
      </c>
      <c r="M9" s="3" t="s">
        <v>2418</v>
      </c>
    </row>
    <row r="10">
      <c r="A10" s="3" t="s">
        <v>2429</v>
      </c>
      <c r="B10" s="4" t="str">
        <f>C10 &amp; "." &amp; D10</f>
        <v>RulebookReleases.Status</v>
      </c>
      <c r="C10" s="3" t="s">
        <v>2415</v>
      </c>
      <c r="D10" s="3" t="s">
        <v>8</v>
      </c>
      <c r="E10" s="3" t="s">
        <v>2416</v>
      </c>
      <c r="F10" s="3" t="s">
        <v>2417</v>
      </c>
      <c r="G10" s="3"/>
      <c r="H10" s="3"/>
      <c r="I10" s="4" t="b">
        <f>OR(((E10 = "calculated")=TRUE), ((E10 = "lookup")=TRUE), ((E10 = "aggregation")=TRUE))</f>
        <v>0</v>
      </c>
      <c r="J10" s="4" t="b">
        <f>H10 &lt;&gt; ""</f>
        <v>0</v>
      </c>
      <c r="K10" s="4">
        <f>COUNTIFS(FieldDisagreements!D2:D50, A10)</f>
        <v>0</v>
      </c>
      <c r="L10" s="4" t="b">
        <f>K10 &gt; 0</f>
        <v>0</v>
      </c>
      <c r="M10" s="3" t="s">
        <v>2418</v>
      </c>
    </row>
    <row r="11">
      <c r="A11" s="3" t="s">
        <v>2430</v>
      </c>
      <c r="B11" s="4" t="str">
        <f>C11 &amp; "." &amp; D11</f>
        <v>RulebookReleases.Changelog</v>
      </c>
      <c r="C11" s="3" t="s">
        <v>2415</v>
      </c>
      <c r="D11" s="3" t="s">
        <v>9</v>
      </c>
      <c r="E11" s="3" t="s">
        <v>2416</v>
      </c>
      <c r="F11" s="3" t="s">
        <v>2417</v>
      </c>
      <c r="G11" s="3"/>
      <c r="H11" s="3"/>
      <c r="I11" s="4" t="b">
        <f>OR(((E11 = "calculated")=TRUE), ((E11 = "lookup")=TRUE), ((E11 = "aggregation")=TRUE))</f>
        <v>0</v>
      </c>
      <c r="J11" s="4" t="b">
        <f>H11 &lt;&gt; ""</f>
        <v>0</v>
      </c>
      <c r="K11" s="4">
        <f>COUNTIFS(FieldDisagreements!D2:D50, A11)</f>
        <v>0</v>
      </c>
      <c r="L11" s="4" t="b">
        <f>K11 &gt; 0</f>
        <v>0</v>
      </c>
      <c r="M11" s="3" t="s">
        <v>2418</v>
      </c>
    </row>
    <row r="12">
      <c r="A12" s="3" t="s">
        <v>2431</v>
      </c>
      <c r="B12" s="4" t="str">
        <f>C12 &amp; "." &amp; D12</f>
        <v>RulebookReleases.IsCurrent</v>
      </c>
      <c r="C12" s="3" t="s">
        <v>2415</v>
      </c>
      <c r="D12" s="3" t="s">
        <v>10</v>
      </c>
      <c r="E12" s="3" t="s">
        <v>2416</v>
      </c>
      <c r="F12" s="3" t="s">
        <v>2432</v>
      </c>
      <c r="G12" s="3"/>
      <c r="H12" s="3"/>
      <c r="I12" s="4" t="b">
        <f>OR(((E12 = "calculated")=TRUE), ((E12 = "lookup")=TRUE), ((E12 = "aggregation")=TRUE))</f>
        <v>0</v>
      </c>
      <c r="J12" s="4" t="b">
        <f>H12 &lt;&gt; ""</f>
        <v>0</v>
      </c>
      <c r="K12" s="4">
        <f>COUNTIFS(FieldDisagreements!D2:D50, A12)</f>
        <v>0</v>
      </c>
      <c r="L12" s="4" t="b">
        <f>K12 &gt; 0</f>
        <v>0</v>
      </c>
      <c r="M12" s="3" t="s">
        <v>2418</v>
      </c>
    </row>
    <row r="13">
      <c r="A13" s="3" t="s">
        <v>2433</v>
      </c>
      <c r="B13" s="4" t="str">
        <f>C13 &amp; "." &amp; D13</f>
        <v>OntologyProfiles.OntologyProfileId</v>
      </c>
      <c r="C13" s="3" t="s">
        <v>2434</v>
      </c>
      <c r="D13" s="3" t="s">
        <v>18</v>
      </c>
      <c r="E13" s="3" t="s">
        <v>2416</v>
      </c>
      <c r="F13" s="3" t="s">
        <v>2417</v>
      </c>
      <c r="G13" s="3"/>
      <c r="H13" s="3"/>
      <c r="I13" s="4" t="b">
        <f>OR(((E13 = "calculated")=TRUE), ((E13 = "lookup")=TRUE), ((E13 = "aggregation")=TRUE))</f>
        <v>0</v>
      </c>
      <c r="J13" s="4" t="b">
        <f>H13 &lt;&gt; ""</f>
        <v>0</v>
      </c>
      <c r="K13" s="4">
        <f>COUNTIFS(FieldDisagreements!D2:D50, A13)</f>
        <v>0</v>
      </c>
      <c r="L13" s="4" t="b">
        <f>K13 &gt; 0</f>
        <v>0</v>
      </c>
      <c r="M13" s="3" t="s">
        <v>2418</v>
      </c>
    </row>
    <row r="14">
      <c r="A14" s="3" t="s">
        <v>2435</v>
      </c>
      <c r="B14" s="4" t="str">
        <f>C14 &amp; "." &amp; D14</f>
        <v>OntologyProfiles.Name</v>
      </c>
      <c r="C14" s="3" t="s">
        <v>2434</v>
      </c>
      <c r="D14" s="3" t="s">
        <v>1</v>
      </c>
      <c r="E14" s="3" t="s">
        <v>2420</v>
      </c>
      <c r="F14" s="3" t="s">
        <v>2417</v>
      </c>
      <c r="G14" s="3" t="s">
        <v>2436</v>
      </c>
      <c r="H14" s="3"/>
      <c r="I14" s="4" t="b">
        <f>OR(((E14 = "calculated")=TRUE), ((E14 = "lookup")=TRUE), ((E14 = "aggregation")=TRUE))</f>
        <v>1</v>
      </c>
      <c r="J14" s="4" t="b">
        <f>H14 &lt;&gt; ""</f>
        <v>0</v>
      </c>
      <c r="K14" s="4">
        <f>COUNTIFS(FieldDisagreements!D2:D50, A14)</f>
        <v>0</v>
      </c>
      <c r="L14" s="4" t="b">
        <f>K14 &gt; 0</f>
        <v>0</v>
      </c>
      <c r="M14" s="3" t="s">
        <v>2418</v>
      </c>
    </row>
    <row r="15">
      <c r="A15" s="3" t="s">
        <v>2437</v>
      </c>
      <c r="B15" s="4" t="str">
        <f>C15 &amp; "." &amp; D15</f>
        <v>OntologyProfiles.Label</v>
      </c>
      <c r="C15" s="3" t="s">
        <v>2434</v>
      </c>
      <c r="D15" s="3" t="s">
        <v>19</v>
      </c>
      <c r="E15" s="3" t="s">
        <v>2416</v>
      </c>
      <c r="F15" s="3" t="s">
        <v>2417</v>
      </c>
      <c r="G15" s="3"/>
      <c r="H15" s="3"/>
      <c r="I15" s="4" t="b">
        <f>OR(((E15 = "calculated")=TRUE), ((E15 = "lookup")=TRUE), ((E15 = "aggregation")=TRUE))</f>
        <v>0</v>
      </c>
      <c r="J15" s="4" t="b">
        <f>H15 &lt;&gt; ""</f>
        <v>0</v>
      </c>
      <c r="K15" s="4">
        <f>COUNTIFS(FieldDisagreements!D2:D50, A15)</f>
        <v>0</v>
      </c>
      <c r="L15" s="4" t="b">
        <f>K15 &gt; 0</f>
        <v>0</v>
      </c>
      <c r="M15" s="3" t="s">
        <v>2418</v>
      </c>
    </row>
    <row r="16">
      <c r="A16" s="3" t="s">
        <v>2438</v>
      </c>
      <c r="B16" s="4" t="str">
        <f>C16 &amp; "." &amp; D16</f>
        <v>OntologyProfiles.Version</v>
      </c>
      <c r="C16" s="3" t="s">
        <v>2434</v>
      </c>
      <c r="D16" s="3" t="s">
        <v>20</v>
      </c>
      <c r="E16" s="3" t="s">
        <v>2416</v>
      </c>
      <c r="F16" s="3" t="s">
        <v>2417</v>
      </c>
      <c r="G16" s="3"/>
      <c r="H16" s="3"/>
      <c r="I16" s="4" t="b">
        <f>OR(((E16 = "calculated")=TRUE), ((E16 = "lookup")=TRUE), ((E16 = "aggregation")=TRUE))</f>
        <v>0</v>
      </c>
      <c r="J16" s="4" t="b">
        <f>H16 &lt;&gt; ""</f>
        <v>0</v>
      </c>
      <c r="K16" s="4">
        <f>COUNTIFS(FieldDisagreements!D2:D50, A16)</f>
        <v>0</v>
      </c>
      <c r="L16" s="4" t="b">
        <f>K16 &gt; 0</f>
        <v>0</v>
      </c>
      <c r="M16" s="3" t="s">
        <v>2418</v>
      </c>
    </row>
    <row r="17">
      <c r="A17" s="3" t="s">
        <v>2439</v>
      </c>
      <c r="B17" s="4" t="str">
        <f>C17 &amp; "." &amp; D17</f>
        <v>OntologyProfiles.VersionIri</v>
      </c>
      <c r="C17" s="3" t="s">
        <v>2434</v>
      </c>
      <c r="D17" s="3" t="s">
        <v>21</v>
      </c>
      <c r="E17" s="3" t="s">
        <v>2416</v>
      </c>
      <c r="F17" s="3" t="s">
        <v>2417</v>
      </c>
      <c r="G17" s="3"/>
      <c r="H17" s="3"/>
      <c r="I17" s="4" t="b">
        <f>OR(((E17 = "calculated")=TRUE), ((E17 = "lookup")=TRUE), ((E17 = "aggregation")=TRUE))</f>
        <v>0</v>
      </c>
      <c r="J17" s="4" t="b">
        <f>H17 &lt;&gt; ""</f>
        <v>0</v>
      </c>
      <c r="K17" s="4">
        <f>COUNTIFS(FieldDisagreements!D2:D50, A17)</f>
        <v>0</v>
      </c>
      <c r="L17" s="4" t="b">
        <f>K17 &gt; 0</f>
        <v>0</v>
      </c>
      <c r="M17" s="3" t="s">
        <v>2418</v>
      </c>
    </row>
    <row r="18">
      <c r="A18" s="3" t="s">
        <v>2440</v>
      </c>
      <c r="B18" s="4" t="str">
        <f>C18 &amp; "." &amp; D18</f>
        <v>OntologyProfiles.NamespaceIri</v>
      </c>
      <c r="C18" s="3" t="s">
        <v>2434</v>
      </c>
      <c r="D18" s="3" t="s">
        <v>22</v>
      </c>
      <c r="E18" s="3" t="s">
        <v>2416</v>
      </c>
      <c r="F18" s="3" t="s">
        <v>2417</v>
      </c>
      <c r="G18" s="3"/>
      <c r="H18" s="3"/>
      <c r="I18" s="4" t="b">
        <f>OR(((E18 = "calculated")=TRUE), ((E18 = "lookup")=TRUE), ((E18 = "aggregation")=TRUE))</f>
        <v>0</v>
      </c>
      <c r="J18" s="4" t="b">
        <f>H18 &lt;&gt; ""</f>
        <v>0</v>
      </c>
      <c r="K18" s="4">
        <f>COUNTIFS(FieldDisagreements!D2:D50, A18)</f>
        <v>0</v>
      </c>
      <c r="L18" s="4" t="b">
        <f>K18 &gt; 0</f>
        <v>0</v>
      </c>
      <c r="M18" s="3" t="s">
        <v>2418</v>
      </c>
    </row>
    <row r="19">
      <c r="A19" s="3" t="s">
        <v>2441</v>
      </c>
      <c r="B19" s="4" t="str">
        <f>C19 &amp; "." &amp; D19</f>
        <v>OntologyProfiles.License</v>
      </c>
      <c r="C19" s="3" t="s">
        <v>2434</v>
      </c>
      <c r="D19" s="3" t="s">
        <v>23</v>
      </c>
      <c r="E19" s="3" t="s">
        <v>2416</v>
      </c>
      <c r="F19" s="3" t="s">
        <v>2417</v>
      </c>
      <c r="G19" s="3"/>
      <c r="H19" s="3"/>
      <c r="I19" s="4" t="b">
        <f>OR(((E19 = "calculated")=TRUE), ((E19 = "lookup")=TRUE), ((E19 = "aggregation")=TRUE))</f>
        <v>0</v>
      </c>
      <c r="J19" s="4" t="b">
        <f>H19 &lt;&gt; ""</f>
        <v>0</v>
      </c>
      <c r="K19" s="4">
        <f>COUNTIFS(FieldDisagreements!D2:D50, A19)</f>
        <v>0</v>
      </c>
      <c r="L19" s="4" t="b">
        <f>K19 &gt; 0</f>
        <v>0</v>
      </c>
      <c r="M19" s="3" t="s">
        <v>2418</v>
      </c>
    </row>
    <row r="20">
      <c r="A20" s="3" t="s">
        <v>2442</v>
      </c>
      <c r="B20" s="4" t="str">
        <f>C20 &amp; "." &amp; D20</f>
        <v>OntologyProfiles.Scope</v>
      </c>
      <c r="C20" s="3" t="s">
        <v>2434</v>
      </c>
      <c r="D20" s="3" t="s">
        <v>24</v>
      </c>
      <c r="E20" s="3" t="s">
        <v>2416</v>
      </c>
      <c r="F20" s="3" t="s">
        <v>2417</v>
      </c>
      <c r="G20" s="3"/>
      <c r="H20" s="3"/>
      <c r="I20" s="4" t="b">
        <f>OR(((E20 = "calculated")=TRUE), ((E20 = "lookup")=TRUE), ((E20 = "aggregation")=TRUE))</f>
        <v>0</v>
      </c>
      <c r="J20" s="4" t="b">
        <f>H20 &lt;&gt; ""</f>
        <v>0</v>
      </c>
      <c r="K20" s="4">
        <f>COUNTIFS(FieldDisagreements!D2:D50, A20)</f>
        <v>0</v>
      </c>
      <c r="L20" s="4" t="b">
        <f>K20 &gt; 0</f>
        <v>0</v>
      </c>
      <c r="M20" s="3" t="s">
        <v>2418</v>
      </c>
    </row>
    <row r="21">
      <c r="A21" s="3" t="s">
        <v>2443</v>
      </c>
      <c r="B21" s="4" t="str">
        <f>C21 &amp; "." &amp; D21</f>
        <v>EvaluationContexts.EvaluationContextId</v>
      </c>
      <c r="C21" s="3" t="s">
        <v>2444</v>
      </c>
      <c r="D21" s="3" t="s">
        <v>91</v>
      </c>
      <c r="E21" s="3" t="s">
        <v>2416</v>
      </c>
      <c r="F21" s="3" t="s">
        <v>2417</v>
      </c>
      <c r="G21" s="3"/>
      <c r="H21" s="3"/>
      <c r="I21" s="4" t="b">
        <f>OR(((E21 = "calculated")=TRUE), ((E21 = "lookup")=TRUE), ((E21 = "aggregation")=TRUE))</f>
        <v>0</v>
      </c>
      <c r="J21" s="4" t="b">
        <f>H21 &lt;&gt; ""</f>
        <v>0</v>
      </c>
      <c r="K21" s="4">
        <f>COUNTIFS(FieldDisagreements!D2:D50, A21)</f>
        <v>0</v>
      </c>
      <c r="L21" s="4" t="b">
        <f>K21 &gt; 0</f>
        <v>0</v>
      </c>
      <c r="M21" s="3" t="s">
        <v>2418</v>
      </c>
    </row>
    <row r="22">
      <c r="A22" s="3" t="s">
        <v>2445</v>
      </c>
      <c r="B22" s="4" t="str">
        <f>C22 &amp; "." &amp; D22</f>
        <v>EvaluationContexts.Name</v>
      </c>
      <c r="C22" s="3" t="s">
        <v>2444</v>
      </c>
      <c r="D22" s="3" t="s">
        <v>1</v>
      </c>
      <c r="E22" s="3" t="s">
        <v>2420</v>
      </c>
      <c r="F22" s="3" t="s">
        <v>2417</v>
      </c>
      <c r="G22" s="3" t="s">
        <v>2446</v>
      </c>
      <c r="H22" s="3"/>
      <c r="I22" s="4" t="b">
        <f>OR(((E22 = "calculated")=TRUE), ((E22 = "lookup")=TRUE), ((E22 = "aggregation")=TRUE))</f>
        <v>1</v>
      </c>
      <c r="J22" s="4" t="b">
        <f>H22 &lt;&gt; ""</f>
        <v>0</v>
      </c>
      <c r="K22" s="4">
        <f>COUNTIFS(FieldDisagreements!D2:D50, A22)</f>
        <v>0</v>
      </c>
      <c r="L22" s="4" t="b">
        <f>K22 &gt; 0</f>
        <v>0</v>
      </c>
      <c r="M22" s="3" t="s">
        <v>2418</v>
      </c>
    </row>
    <row r="23">
      <c r="A23" s="3" t="s">
        <v>2447</v>
      </c>
      <c r="B23" s="4" t="str">
        <f>C23 &amp; "." &amp; D23</f>
        <v>EvaluationContexts.Label</v>
      </c>
      <c r="C23" s="3" t="s">
        <v>2444</v>
      </c>
      <c r="D23" s="3" t="s">
        <v>19</v>
      </c>
      <c r="E23" s="3" t="s">
        <v>2416</v>
      </c>
      <c r="F23" s="3" t="s">
        <v>2417</v>
      </c>
      <c r="G23" s="3"/>
      <c r="H23" s="3"/>
      <c r="I23" s="4" t="b">
        <f>OR(((E23 = "calculated")=TRUE), ((E23 = "lookup")=TRUE), ((E23 = "aggregation")=TRUE))</f>
        <v>0</v>
      </c>
      <c r="J23" s="4" t="b">
        <f>H23 &lt;&gt; ""</f>
        <v>0</v>
      </c>
      <c r="K23" s="4">
        <f>COUNTIFS(FieldDisagreements!D2:D50, A23)</f>
        <v>0</v>
      </c>
      <c r="L23" s="4" t="b">
        <f>K23 &gt; 0</f>
        <v>0</v>
      </c>
      <c r="M23" s="3" t="s">
        <v>2418</v>
      </c>
    </row>
    <row r="24">
      <c r="A24" s="3" t="s">
        <v>2448</v>
      </c>
      <c r="B24" s="4" t="str">
        <f>C24 &amp; "." &amp; D24</f>
        <v>EvaluationContexts.AsOfInstant</v>
      </c>
      <c r="C24" s="3" t="s">
        <v>2444</v>
      </c>
      <c r="D24" s="3" t="s">
        <v>92</v>
      </c>
      <c r="E24" s="3" t="s">
        <v>2416</v>
      </c>
      <c r="F24" s="3" t="s">
        <v>2428</v>
      </c>
      <c r="G24" s="3"/>
      <c r="H24" s="3"/>
      <c r="I24" s="4" t="b">
        <f>OR(((E24 = "calculated")=TRUE), ((E24 = "lookup")=TRUE), ((E24 = "aggregation")=TRUE))</f>
        <v>0</v>
      </c>
      <c r="J24" s="4" t="b">
        <f>H24 &lt;&gt; ""</f>
        <v>0</v>
      </c>
      <c r="K24" s="4">
        <f>COUNTIFS(FieldDisagreements!D2:D50, A24)</f>
        <v>0</v>
      </c>
      <c r="L24" s="4" t="b">
        <f>K24 &gt; 0</f>
        <v>0</v>
      </c>
      <c r="M24" s="3" t="s">
        <v>2418</v>
      </c>
    </row>
    <row r="25">
      <c r="A25" s="3" t="s">
        <v>2449</v>
      </c>
      <c r="B25" s="4" t="str">
        <f>C25 &amp; "." &amp; D25</f>
        <v>EvaluationContexts.IsCurrent</v>
      </c>
      <c r="C25" s="3" t="s">
        <v>2444</v>
      </c>
      <c r="D25" s="3" t="s">
        <v>10</v>
      </c>
      <c r="E25" s="3" t="s">
        <v>2416</v>
      </c>
      <c r="F25" s="3" t="s">
        <v>2432</v>
      </c>
      <c r="G25" s="3"/>
      <c r="H25" s="3"/>
      <c r="I25" s="4" t="b">
        <f>OR(((E25 = "calculated")=TRUE), ((E25 = "lookup")=TRUE), ((E25 = "aggregation")=TRUE))</f>
        <v>0</v>
      </c>
      <c r="J25" s="4" t="b">
        <f>H25 &lt;&gt; ""</f>
        <v>0</v>
      </c>
      <c r="K25" s="4">
        <f>COUNTIFS(FieldDisagreements!D2:D50, A25)</f>
        <v>0</v>
      </c>
      <c r="L25" s="4" t="b">
        <f>K25 &gt; 0</f>
        <v>0</v>
      </c>
      <c r="M25" s="3" t="s">
        <v>2418</v>
      </c>
    </row>
    <row r="26">
      <c r="A26" s="3" t="s">
        <v>2450</v>
      </c>
      <c r="B26" s="4" t="str">
        <f>C26 &amp; "." &amp; D26</f>
        <v>EvaluationContexts.Rationale</v>
      </c>
      <c r="C26" s="3" t="s">
        <v>2444</v>
      </c>
      <c r="D26" s="3" t="s">
        <v>93</v>
      </c>
      <c r="E26" s="3" t="s">
        <v>2416</v>
      </c>
      <c r="F26" s="3" t="s">
        <v>2417</v>
      </c>
      <c r="G26" s="3"/>
      <c r="H26" s="3"/>
      <c r="I26" s="4" t="b">
        <f>OR(((E26 = "calculated")=TRUE), ((E26 = "lookup")=TRUE), ((E26 = "aggregation")=TRUE))</f>
        <v>0</v>
      </c>
      <c r="J26" s="4" t="b">
        <f>H26 &lt;&gt; ""</f>
        <v>0</v>
      </c>
      <c r="K26" s="4">
        <f>COUNTIFS(FieldDisagreements!D2:D50, A26)</f>
        <v>0</v>
      </c>
      <c r="L26" s="4" t="b">
        <f>K26 &gt; 0</f>
        <v>0</v>
      </c>
      <c r="M26" s="3" t="s">
        <v>2418</v>
      </c>
    </row>
    <row r="27">
      <c r="A27" s="3" t="s">
        <v>2451</v>
      </c>
      <c r="B27" s="4" t="str">
        <f>C27 &amp; "." &amp; D27</f>
        <v>EvaluationContexts.SemanticTypeIri</v>
      </c>
      <c r="C27" s="3" t="s">
        <v>2444</v>
      </c>
      <c r="D27" s="3" t="s">
        <v>94</v>
      </c>
      <c r="E27" s="3" t="s">
        <v>2416</v>
      </c>
      <c r="F27" s="3" t="s">
        <v>2417</v>
      </c>
      <c r="G27" s="3"/>
      <c r="H27" s="3"/>
      <c r="I27" s="4" t="b">
        <f>OR(((E27 = "calculated")=TRUE), ((E27 = "lookup")=TRUE), ((E27 = "aggregation")=TRUE))</f>
        <v>0</v>
      </c>
      <c r="J27" s="4" t="b">
        <f>H27 &lt;&gt; ""</f>
        <v>0</v>
      </c>
      <c r="K27" s="4">
        <f>COUNTIFS(FieldDisagreements!D2:D50, A27)</f>
        <v>0</v>
      </c>
      <c r="L27" s="4" t="b">
        <f>K27 &gt; 0</f>
        <v>0</v>
      </c>
      <c r="M27" s="3" t="s">
        <v>2418</v>
      </c>
    </row>
    <row r="28">
      <c r="A28" s="3" t="s">
        <v>2452</v>
      </c>
      <c r="B28" s="4" t="str">
        <f>C28 &amp; "." &amp; D28</f>
        <v>Organizations.OrganizationId</v>
      </c>
      <c r="C28" s="3" t="s">
        <v>2453</v>
      </c>
      <c r="D28" s="3" t="s">
        <v>99</v>
      </c>
      <c r="E28" s="3" t="s">
        <v>2416</v>
      </c>
      <c r="F28" s="3" t="s">
        <v>2417</v>
      </c>
      <c r="G28" s="3"/>
      <c r="H28" s="3"/>
      <c r="I28" s="4" t="b">
        <f>OR(((E28 = "calculated")=TRUE), ((E28 = "lookup")=TRUE), ((E28 = "aggregation")=TRUE))</f>
        <v>0</v>
      </c>
      <c r="J28" s="4" t="b">
        <f>H28 &lt;&gt; ""</f>
        <v>0</v>
      </c>
      <c r="K28" s="4">
        <f>COUNTIFS(FieldDisagreements!D2:D50, A28)</f>
        <v>0</v>
      </c>
      <c r="L28" s="4" t="b">
        <f>K28 &gt; 0</f>
        <v>0</v>
      </c>
      <c r="M28" s="3" t="s">
        <v>2418</v>
      </c>
    </row>
    <row r="29">
      <c r="A29" s="3" t="s">
        <v>2454</v>
      </c>
      <c r="B29" s="4" t="str">
        <f>C29 &amp; "." &amp; D29</f>
        <v>Organizations.Name</v>
      </c>
      <c r="C29" s="3" t="s">
        <v>2453</v>
      </c>
      <c r="D29" s="3" t="s">
        <v>1</v>
      </c>
      <c r="E29" s="3" t="s">
        <v>2420</v>
      </c>
      <c r="F29" s="3" t="s">
        <v>2417</v>
      </c>
      <c r="G29" s="3" t="s">
        <v>2455</v>
      </c>
      <c r="H29" s="3"/>
      <c r="I29" s="4" t="b">
        <f>OR(((E29 = "calculated")=TRUE), ((E29 = "lookup")=TRUE), ((E29 = "aggregation")=TRUE))</f>
        <v>1</v>
      </c>
      <c r="J29" s="4" t="b">
        <f>H29 &lt;&gt; ""</f>
        <v>0</v>
      </c>
      <c r="K29" s="4">
        <f>COUNTIFS(FieldDisagreements!D2:D50, A29)</f>
        <v>0</v>
      </c>
      <c r="L29" s="4" t="b">
        <f>K29 &gt; 0</f>
        <v>0</v>
      </c>
      <c r="M29" s="3" t="s">
        <v>2418</v>
      </c>
    </row>
    <row r="30">
      <c r="A30" s="3" t="s">
        <v>2456</v>
      </c>
      <c r="B30" s="4" t="str">
        <f>C30 &amp; "." &amp; D30</f>
        <v>Organizations.DisplayName</v>
      </c>
      <c r="C30" s="3" t="s">
        <v>2453</v>
      </c>
      <c r="D30" s="3" t="s">
        <v>100</v>
      </c>
      <c r="E30" s="3" t="s">
        <v>2416</v>
      </c>
      <c r="F30" s="3" t="s">
        <v>2417</v>
      </c>
      <c r="G30" s="3"/>
      <c r="H30" s="3"/>
      <c r="I30" s="4" t="b">
        <f>OR(((E30 = "calculated")=TRUE), ((E30 = "lookup")=TRUE), ((E30 = "aggregation")=TRUE))</f>
        <v>0</v>
      </c>
      <c r="J30" s="4" t="b">
        <f>H30 &lt;&gt; ""</f>
        <v>0</v>
      </c>
      <c r="K30" s="4">
        <f>COUNTIFS(FieldDisagreements!D2:D50, A30)</f>
        <v>0</v>
      </c>
      <c r="L30" s="4" t="b">
        <f>K30 &gt; 0</f>
        <v>0</v>
      </c>
      <c r="M30" s="3" t="s">
        <v>2418</v>
      </c>
    </row>
    <row r="31">
      <c r="A31" s="3" t="s">
        <v>2457</v>
      </c>
      <c r="B31" s="4" t="str">
        <f>C31 &amp; "." &amp; D31</f>
        <v>Organizations.OrganizationType</v>
      </c>
      <c r="C31" s="3" t="s">
        <v>2453</v>
      </c>
      <c r="D31" s="3" t="s">
        <v>101</v>
      </c>
      <c r="E31" s="3" t="s">
        <v>2416</v>
      </c>
      <c r="F31" s="3" t="s">
        <v>2417</v>
      </c>
      <c r="G31" s="3"/>
      <c r="H31" s="3"/>
      <c r="I31" s="4" t="b">
        <f>OR(((E31 = "calculated")=TRUE), ((E31 = "lookup")=TRUE), ((E31 = "aggregation")=TRUE))</f>
        <v>0</v>
      </c>
      <c r="J31" s="4" t="b">
        <f>H31 &lt;&gt; ""</f>
        <v>0</v>
      </c>
      <c r="K31" s="4">
        <f>COUNTIFS(FieldDisagreements!D2:D50, A31)</f>
        <v>0</v>
      </c>
      <c r="L31" s="4" t="b">
        <f>K31 &gt; 0</f>
        <v>0</v>
      </c>
      <c r="M31" s="3" t="s">
        <v>2418</v>
      </c>
    </row>
    <row r="32">
      <c r="A32" s="3" t="s">
        <v>2458</v>
      </c>
      <c r="B32" s="4" t="str">
        <f>C32 &amp; "." &amp; D32</f>
        <v>Organizations.ExternalIdentifier</v>
      </c>
      <c r="C32" s="3" t="s">
        <v>2453</v>
      </c>
      <c r="D32" s="3" t="s">
        <v>102</v>
      </c>
      <c r="E32" s="3" t="s">
        <v>2416</v>
      </c>
      <c r="F32" s="3" t="s">
        <v>2417</v>
      </c>
      <c r="G32" s="3"/>
      <c r="H32" s="3"/>
      <c r="I32" s="4" t="b">
        <f>OR(((E32 = "calculated")=TRUE), ((E32 = "lookup")=TRUE), ((E32 = "aggregation")=TRUE))</f>
        <v>0</v>
      </c>
      <c r="J32" s="4" t="b">
        <f>H32 &lt;&gt; ""</f>
        <v>0</v>
      </c>
      <c r="K32" s="4">
        <f>COUNTIFS(FieldDisagreements!D2:D50, A32)</f>
        <v>0</v>
      </c>
      <c r="L32" s="4" t="b">
        <f>K32 &gt; 0</f>
        <v>0</v>
      </c>
      <c r="M32" s="3" t="s">
        <v>2418</v>
      </c>
    </row>
    <row r="33">
      <c r="A33" s="3" t="s">
        <v>2459</v>
      </c>
      <c r="B33" s="4" t="str">
        <f>C33 &amp; "." &amp; D33</f>
        <v>Organizations.SemanticTypeIri</v>
      </c>
      <c r="C33" s="3" t="s">
        <v>2453</v>
      </c>
      <c r="D33" s="3" t="s">
        <v>94</v>
      </c>
      <c r="E33" s="3" t="s">
        <v>2416</v>
      </c>
      <c r="F33" s="3" t="s">
        <v>2417</v>
      </c>
      <c r="G33" s="3"/>
      <c r="H33" s="3"/>
      <c r="I33" s="4" t="b">
        <f>OR(((E33 = "calculated")=TRUE), ((E33 = "lookup")=TRUE), ((E33 = "aggregation")=TRUE))</f>
        <v>0</v>
      </c>
      <c r="J33" s="4" t="b">
        <f>H33 &lt;&gt; ""</f>
        <v>0</v>
      </c>
      <c r="K33" s="4">
        <f>COUNTIFS(FieldDisagreements!D2:D50, A33)</f>
        <v>0</v>
      </c>
      <c r="L33" s="4" t="b">
        <f>K33 &gt; 0</f>
        <v>0</v>
      </c>
      <c r="M33" s="3" t="s">
        <v>2418</v>
      </c>
    </row>
    <row r="34">
      <c r="A34" s="3" t="s">
        <v>2460</v>
      </c>
      <c r="B34" s="4" t="str">
        <f>C34 &amp; "." &amp; D34</f>
        <v>Agents.AgentId</v>
      </c>
      <c r="C34" s="3" t="s">
        <v>1814</v>
      </c>
      <c r="D34" s="3" t="s">
        <v>119</v>
      </c>
      <c r="E34" s="3" t="s">
        <v>2416</v>
      </c>
      <c r="F34" s="3" t="s">
        <v>2417</v>
      </c>
      <c r="G34" s="3"/>
      <c r="H34" s="3"/>
      <c r="I34" s="4" t="b">
        <f>OR(((E34 = "calculated")=TRUE), ((E34 = "lookup")=TRUE), ((E34 = "aggregation")=TRUE))</f>
        <v>0</v>
      </c>
      <c r="J34" s="4" t="b">
        <f>H34 &lt;&gt; ""</f>
        <v>0</v>
      </c>
      <c r="K34" s="4">
        <f>COUNTIFS(FieldDisagreements!D2:D50, A34)</f>
        <v>0</v>
      </c>
      <c r="L34" s="4" t="b">
        <f>K34 &gt; 0</f>
        <v>0</v>
      </c>
      <c r="M34" s="3" t="s">
        <v>2418</v>
      </c>
    </row>
    <row r="35">
      <c r="A35" s="3" t="s">
        <v>2461</v>
      </c>
      <c r="B35" s="4" t="str">
        <f>C35 &amp; "." &amp; D35</f>
        <v>Agents.Name</v>
      </c>
      <c r="C35" s="3" t="s">
        <v>1814</v>
      </c>
      <c r="D35" s="3" t="s">
        <v>1</v>
      </c>
      <c r="E35" s="3" t="s">
        <v>2420</v>
      </c>
      <c r="F35" s="3" t="s">
        <v>2417</v>
      </c>
      <c r="G35" s="3" t="s">
        <v>2455</v>
      </c>
      <c r="H35" s="3"/>
      <c r="I35" s="4" t="b">
        <f>OR(((E35 = "calculated")=TRUE), ((E35 = "lookup")=TRUE), ((E35 = "aggregation")=TRUE))</f>
        <v>1</v>
      </c>
      <c r="J35" s="4" t="b">
        <f>H35 &lt;&gt; ""</f>
        <v>0</v>
      </c>
      <c r="K35" s="4">
        <f>COUNTIFS(FieldDisagreements!D2:D50, A35)</f>
        <v>0</v>
      </c>
      <c r="L35" s="4" t="b">
        <f>K35 &gt; 0</f>
        <v>0</v>
      </c>
      <c r="M35" s="3" t="s">
        <v>2418</v>
      </c>
    </row>
    <row r="36">
      <c r="A36" s="3" t="s">
        <v>2462</v>
      </c>
      <c r="B36" s="4" t="str">
        <f>C36 &amp; "." &amp; D36</f>
        <v>Agents.DisplayName</v>
      </c>
      <c r="C36" s="3" t="s">
        <v>1814</v>
      </c>
      <c r="D36" s="3" t="s">
        <v>100</v>
      </c>
      <c r="E36" s="3" t="s">
        <v>2416</v>
      </c>
      <c r="F36" s="3" t="s">
        <v>2417</v>
      </c>
      <c r="G36" s="3"/>
      <c r="H36" s="3"/>
      <c r="I36" s="4" t="b">
        <f>OR(((E36 = "calculated")=TRUE), ((E36 = "lookup")=TRUE), ((E36 = "aggregation")=TRUE))</f>
        <v>0</v>
      </c>
      <c r="J36" s="4" t="b">
        <f>H36 &lt;&gt; ""</f>
        <v>0</v>
      </c>
      <c r="K36" s="4">
        <f>COUNTIFS(FieldDisagreements!D2:D50, A36)</f>
        <v>0</v>
      </c>
      <c r="L36" s="4" t="b">
        <f>K36 &gt; 0</f>
        <v>0</v>
      </c>
      <c r="M36" s="3" t="s">
        <v>2418</v>
      </c>
    </row>
    <row r="37">
      <c r="A37" s="3" t="s">
        <v>2463</v>
      </c>
      <c r="B37" s="4" t="str">
        <f>C37 &amp; "." &amp; D37</f>
        <v>Agents.AgentKind</v>
      </c>
      <c r="C37" s="3" t="s">
        <v>1814</v>
      </c>
      <c r="D37" s="3" t="s">
        <v>120</v>
      </c>
      <c r="E37" s="3" t="s">
        <v>2416</v>
      </c>
      <c r="F37" s="3" t="s">
        <v>2417</v>
      </c>
      <c r="G37" s="3"/>
      <c r="H37" s="3"/>
      <c r="I37" s="4" t="b">
        <f>OR(((E37 = "calculated")=TRUE), ((E37 = "lookup")=TRUE), ((E37 = "aggregation")=TRUE))</f>
        <v>0</v>
      </c>
      <c r="J37" s="4" t="b">
        <f>H37 &lt;&gt; ""</f>
        <v>0</v>
      </c>
      <c r="K37" s="4">
        <f>COUNTIFS(FieldDisagreements!D2:D50, A37)</f>
        <v>0</v>
      </c>
      <c r="L37" s="4" t="b">
        <f>K37 &gt; 0</f>
        <v>0</v>
      </c>
      <c r="M37" s="3" t="s">
        <v>2418</v>
      </c>
    </row>
    <row r="38">
      <c r="A38" s="3" t="s">
        <v>2464</v>
      </c>
      <c r="B38" s="4" t="str">
        <f>C38 &amp; "." &amp; D38</f>
        <v>Agents.Organization</v>
      </c>
      <c r="C38" s="3" t="s">
        <v>1814</v>
      </c>
      <c r="D38" s="3" t="s">
        <v>121</v>
      </c>
      <c r="E38" s="3" t="s">
        <v>2465</v>
      </c>
      <c r="F38" s="3" t="s">
        <v>2417</v>
      </c>
      <c r="G38" s="3"/>
      <c r="H38" s="3"/>
      <c r="I38" s="4" t="b">
        <f>OR(((E38 = "calculated")=TRUE), ((E38 = "lookup")=TRUE), ((E38 = "aggregation")=TRUE))</f>
        <v>0</v>
      </c>
      <c r="J38" s="4" t="b">
        <f>H38 &lt;&gt; ""</f>
        <v>0</v>
      </c>
      <c r="K38" s="4">
        <f>COUNTIFS(FieldDisagreements!D2:D50, A38)</f>
        <v>0</v>
      </c>
      <c r="L38" s="4" t="b">
        <f>K38 &gt; 0</f>
        <v>0</v>
      </c>
      <c r="M38" s="3" t="s">
        <v>2418</v>
      </c>
    </row>
    <row r="39">
      <c r="A39" s="3" t="s">
        <v>2466</v>
      </c>
      <c r="B39" s="4" t="str">
        <f>C39 &amp; "." &amp; D39</f>
        <v>Agents.ContactAddress</v>
      </c>
      <c r="C39" s="3" t="s">
        <v>1814</v>
      </c>
      <c r="D39" s="3" t="s">
        <v>122</v>
      </c>
      <c r="E39" s="3" t="s">
        <v>2416</v>
      </c>
      <c r="F39" s="3" t="s">
        <v>2417</v>
      </c>
      <c r="G39" s="3"/>
      <c r="H39" s="3"/>
      <c r="I39" s="4" t="b">
        <f>OR(((E39 = "calculated")=TRUE), ((E39 = "lookup")=TRUE), ((E39 = "aggregation")=TRUE))</f>
        <v>0</v>
      </c>
      <c r="J39" s="4" t="b">
        <f>H39 &lt;&gt; ""</f>
        <v>0</v>
      </c>
      <c r="K39" s="4">
        <f>COUNTIFS(FieldDisagreements!D2:D50, A39)</f>
        <v>0</v>
      </c>
      <c r="L39" s="4" t="b">
        <f>K39 &gt; 0</f>
        <v>0</v>
      </c>
      <c r="M39" s="3" t="s">
        <v>2418</v>
      </c>
    </row>
    <row r="40">
      <c r="A40" s="3" t="s">
        <v>2467</v>
      </c>
      <c r="B40" s="4" t="str">
        <f>C40 &amp; "." &amp; D40</f>
        <v>Agents.VersionOrEmploymentKey</v>
      </c>
      <c r="C40" s="3" t="s">
        <v>1814</v>
      </c>
      <c r="D40" s="3" t="s">
        <v>123</v>
      </c>
      <c r="E40" s="3" t="s">
        <v>2416</v>
      </c>
      <c r="F40" s="3" t="s">
        <v>2417</v>
      </c>
      <c r="G40" s="3"/>
      <c r="H40" s="3"/>
      <c r="I40" s="4" t="b">
        <f>OR(((E40 = "calculated")=TRUE), ((E40 = "lookup")=TRUE), ((E40 = "aggregation")=TRUE))</f>
        <v>0</v>
      </c>
      <c r="J40" s="4" t="b">
        <f>H40 &lt;&gt; ""</f>
        <v>0</v>
      </c>
      <c r="K40" s="4">
        <f>COUNTIFS(FieldDisagreements!D2:D50, A40)</f>
        <v>0</v>
      </c>
      <c r="L40" s="4" t="b">
        <f>K40 &gt; 0</f>
        <v>0</v>
      </c>
      <c r="M40" s="3" t="s">
        <v>2418</v>
      </c>
    </row>
    <row r="41">
      <c r="A41" s="3" t="s">
        <v>2468</v>
      </c>
      <c r="B41" s="4" t="str">
        <f>C41 &amp; "." &amp; D41</f>
        <v>Agents.CountOfCurrentRoleAssignments</v>
      </c>
      <c r="C41" s="3" t="s">
        <v>1814</v>
      </c>
      <c r="D41" s="3" t="s">
        <v>124</v>
      </c>
      <c r="E41" s="3" t="s">
        <v>2469</v>
      </c>
      <c r="F41" s="3" t="s">
        <v>2470</v>
      </c>
      <c r="G41" s="3" t="s">
        <v>2471</v>
      </c>
      <c r="H41" s="3" t="s">
        <v>2039</v>
      </c>
      <c r="I41" s="4" t="b">
        <f>OR(((E41 = "calculated")=TRUE), ((E41 = "lookup")=TRUE), ((E41 = "aggregation")=TRUE))</f>
        <v>1</v>
      </c>
      <c r="J41" s="4" t="b">
        <f>H41 &lt;&gt; ""</f>
        <v>1</v>
      </c>
      <c r="K41" s="4">
        <f>COUNTIFS(FieldDisagreements!D2:D50, A41)</f>
        <v>0</v>
      </c>
      <c r="L41" s="4" t="b">
        <f>K41 &gt; 0</f>
        <v>0</v>
      </c>
      <c r="M41" s="3" t="s">
        <v>2418</v>
      </c>
    </row>
    <row r="42">
      <c r="A42" s="3" t="s">
        <v>2472</v>
      </c>
      <c r="B42" s="4" t="str">
        <f>C42 &amp; "." &amp; D42</f>
        <v>Agents.IsStillEngaged</v>
      </c>
      <c r="C42" s="3" t="s">
        <v>1814</v>
      </c>
      <c r="D42" s="3" t="s">
        <v>125</v>
      </c>
      <c r="E42" s="3" t="s">
        <v>2420</v>
      </c>
      <c r="F42" s="3" t="s">
        <v>2432</v>
      </c>
      <c r="G42" s="3" t="s">
        <v>2473</v>
      </c>
      <c r="H42" s="3" t="s">
        <v>2039</v>
      </c>
      <c r="I42" s="4" t="b">
        <f>OR(((E42 = "calculated")=TRUE), ((E42 = "lookup")=TRUE), ((E42 = "aggregation")=TRUE))</f>
        <v>1</v>
      </c>
      <c r="J42" s="4" t="b">
        <f>H42 &lt;&gt; ""</f>
        <v>1</v>
      </c>
      <c r="K42" s="4">
        <f>COUNTIFS(FieldDisagreements!D2:D50, A42)</f>
        <v>0</v>
      </c>
      <c r="L42" s="4" t="b">
        <f>K42 &gt; 0</f>
        <v>0</v>
      </c>
      <c r="M42" s="3" t="s">
        <v>2418</v>
      </c>
    </row>
    <row r="43">
      <c r="A43" s="3" t="s">
        <v>2474</v>
      </c>
      <c r="B43" s="4" t="str">
        <f>C43 &amp; "." &amp; D43</f>
        <v>Agents.DecisionCount</v>
      </c>
      <c r="C43" s="3" t="s">
        <v>1814</v>
      </c>
      <c r="D43" s="3" t="s">
        <v>126</v>
      </c>
      <c r="E43" s="3" t="s">
        <v>2469</v>
      </c>
      <c r="F43" s="3" t="s">
        <v>2475</v>
      </c>
      <c r="G43" s="3" t="s">
        <v>2476</v>
      </c>
      <c r="H43" s="3" t="s">
        <v>2135</v>
      </c>
      <c r="I43" s="4" t="b">
        <f>OR(((E43 = "calculated")=TRUE), ((E43 = "lookup")=TRUE), ((E43 = "aggregation")=TRUE))</f>
        <v>1</v>
      </c>
      <c r="J43" s="4" t="b">
        <f>H43 &lt;&gt; ""</f>
        <v>1</v>
      </c>
      <c r="K43" s="4">
        <f>COUNTIFS(FieldDisagreements!D2:D50, A43)</f>
        <v>0</v>
      </c>
      <c r="L43" s="4" t="b">
        <f>K43 &gt; 0</f>
        <v>0</v>
      </c>
      <c r="M43" s="3" t="s">
        <v>2418</v>
      </c>
    </row>
    <row r="44">
      <c r="A44" s="3" t="s">
        <v>2477</v>
      </c>
      <c r="B44" s="4" t="str">
        <f>C44 &amp; "." &amp; D44</f>
        <v>Agents.OverriddenDecisionCount</v>
      </c>
      <c r="C44" s="3" t="s">
        <v>1814</v>
      </c>
      <c r="D44" s="3" t="s">
        <v>127</v>
      </c>
      <c r="E44" s="3" t="s">
        <v>2469</v>
      </c>
      <c r="F44" s="3" t="s">
        <v>2475</v>
      </c>
      <c r="G44" s="3" t="s">
        <v>2478</v>
      </c>
      <c r="H44" s="3" t="s">
        <v>2135</v>
      </c>
      <c r="I44" s="4" t="b">
        <f>OR(((E44 = "calculated")=TRUE), ((E44 = "lookup")=TRUE), ((E44 = "aggregation")=TRUE))</f>
        <v>1</v>
      </c>
      <c r="J44" s="4" t="b">
        <f>H44 &lt;&gt; ""</f>
        <v>1</v>
      </c>
      <c r="K44" s="4">
        <f>COUNTIFS(FieldDisagreements!D2:D50, A44)</f>
        <v>0</v>
      </c>
      <c r="L44" s="4" t="b">
        <f>K44 &gt; 0</f>
        <v>0</v>
      </c>
      <c r="M44" s="3" t="s">
        <v>2418</v>
      </c>
    </row>
    <row r="45">
      <c r="A45" s="3" t="s">
        <v>2479</v>
      </c>
      <c r="B45" s="4" t="str">
        <f>C45 &amp; "." &amp; D45</f>
        <v>Agents.OverrideRatePercent</v>
      </c>
      <c r="C45" s="3" t="s">
        <v>1814</v>
      </c>
      <c r="D45" s="3" t="s">
        <v>128</v>
      </c>
      <c r="E45" s="3" t="s">
        <v>2420</v>
      </c>
      <c r="F45" s="3" t="s">
        <v>2475</v>
      </c>
      <c r="G45" s="3" t="s">
        <v>2480</v>
      </c>
      <c r="H45" s="3" t="s">
        <v>2135</v>
      </c>
      <c r="I45" s="4" t="b">
        <f>OR(((E45 = "calculated")=TRUE), ((E45 = "lookup")=TRUE), ((E45 = "aggregation")=TRUE))</f>
        <v>1</v>
      </c>
      <c r="J45" s="4" t="b">
        <f>H45 &lt;&gt; ""</f>
        <v>1</v>
      </c>
      <c r="K45" s="4">
        <f>COUNTIFS(FieldDisagreements!D2:D50, A45)</f>
        <v>0</v>
      </c>
      <c r="L45" s="4" t="b">
        <f>K45 &gt; 0</f>
        <v>0</v>
      </c>
      <c r="M45" s="3" t="s">
        <v>2418</v>
      </c>
    </row>
    <row r="46">
      <c r="A46" s="3" t="s">
        <v>2481</v>
      </c>
      <c r="B46" s="4" t="str">
        <f>C46 &amp; "." &amp; D46</f>
        <v>Agents.IsNonHuman</v>
      </c>
      <c r="C46" s="3" t="s">
        <v>1814</v>
      </c>
      <c r="D46" s="3" t="s">
        <v>129</v>
      </c>
      <c r="E46" s="3" t="s">
        <v>2420</v>
      </c>
      <c r="F46" s="3" t="s">
        <v>2432</v>
      </c>
      <c r="G46" s="3" t="s">
        <v>2482</v>
      </c>
      <c r="H46" s="3" t="s">
        <v>2135</v>
      </c>
      <c r="I46" s="4" t="b">
        <f>OR(((E46 = "calculated")=TRUE), ((E46 = "lookup")=TRUE), ((E46 = "aggregation")=TRUE))</f>
        <v>1</v>
      </c>
      <c r="J46" s="4" t="b">
        <f>H46 &lt;&gt; ""</f>
        <v>1</v>
      </c>
      <c r="K46" s="4">
        <f>COUNTIFS(FieldDisagreements!D2:D50, A46)</f>
        <v>0</v>
      </c>
      <c r="L46" s="4" t="b">
        <f>K46 &gt; 0</f>
        <v>0</v>
      </c>
      <c r="M46" s="3" t="s">
        <v>2418</v>
      </c>
    </row>
    <row r="47">
      <c r="A47" s="3" t="s">
        <v>2483</v>
      </c>
      <c r="B47" s="4" t="str">
        <f>C47 &amp; "." &amp; D47</f>
        <v>Agents.BoundaryViolationCount</v>
      </c>
      <c r="C47" s="3" t="s">
        <v>1814</v>
      </c>
      <c r="D47" s="3" t="s">
        <v>130</v>
      </c>
      <c r="E47" s="3" t="s">
        <v>2469</v>
      </c>
      <c r="F47" s="3" t="s">
        <v>2475</v>
      </c>
      <c r="G47" s="3" t="s">
        <v>2484</v>
      </c>
      <c r="H47" s="3" t="s">
        <v>2187</v>
      </c>
      <c r="I47" s="4" t="b">
        <f>OR(((E47 = "calculated")=TRUE), ((E47 = "lookup")=TRUE), ((E47 = "aggregation")=TRUE))</f>
        <v>1</v>
      </c>
      <c r="J47" s="4" t="b">
        <f>H47 &lt;&gt; ""</f>
        <v>1</v>
      </c>
      <c r="K47" s="4">
        <f>COUNTIFS(FieldDisagreements!D2:D50, A47)</f>
        <v>0</v>
      </c>
      <c r="L47" s="4" t="b">
        <f>K47 &gt; 0</f>
        <v>0</v>
      </c>
      <c r="M47" s="3" t="s">
        <v>2418</v>
      </c>
    </row>
    <row r="48">
      <c r="A48" s="3" t="s">
        <v>2485</v>
      </c>
      <c r="B48" s="4" t="str">
        <f>C48 &amp; "." &amp; D48</f>
        <v>Agents.IsOperatingOutsideBoundary</v>
      </c>
      <c r="C48" s="3" t="s">
        <v>1814</v>
      </c>
      <c r="D48" s="3" t="s">
        <v>131</v>
      </c>
      <c r="E48" s="3" t="s">
        <v>2420</v>
      </c>
      <c r="F48" s="3" t="s">
        <v>2432</v>
      </c>
      <c r="G48" s="3" t="s">
        <v>2486</v>
      </c>
      <c r="H48" s="3" t="s">
        <v>2187</v>
      </c>
      <c r="I48" s="4" t="b">
        <f>OR(((E48 = "calculated")=TRUE), ((E48 = "lookup")=TRUE), ((E48 = "aggregation")=TRUE))</f>
        <v>1</v>
      </c>
      <c r="J48" s="4" t="b">
        <f>H48 &lt;&gt; ""</f>
        <v>1</v>
      </c>
      <c r="K48" s="4">
        <f>COUNTIFS(FieldDisagreements!D2:D50, A48)</f>
        <v>0</v>
      </c>
      <c r="L48" s="4" t="b">
        <f>K48 &gt; 0</f>
        <v>0</v>
      </c>
      <c r="M48" s="3" t="s">
        <v>2418</v>
      </c>
    </row>
    <row r="49">
      <c r="A49" s="3" t="s">
        <v>2487</v>
      </c>
      <c r="B49" s="4" t="str">
        <f>C49 &amp; "." &amp; D49</f>
        <v>Agents.DraftDecisionCount</v>
      </c>
      <c r="C49" s="3" t="s">
        <v>1814</v>
      </c>
      <c r="D49" s="3" t="s">
        <v>132</v>
      </c>
      <c r="E49" s="3" t="s">
        <v>2469</v>
      </c>
      <c r="F49" s="3" t="s">
        <v>2475</v>
      </c>
      <c r="G49" s="3" t="s">
        <v>2488</v>
      </c>
      <c r="H49" s="3" t="s">
        <v>2191</v>
      </c>
      <c r="I49" s="4" t="b">
        <f>OR(((E49 = "calculated")=TRUE), ((E49 = "lookup")=TRUE), ((E49 = "aggregation")=TRUE))</f>
        <v>1</v>
      </c>
      <c r="J49" s="4" t="b">
        <f>H49 &lt;&gt; ""</f>
        <v>1</v>
      </c>
      <c r="K49" s="4">
        <f>COUNTIFS(FieldDisagreements!D2:D50, A49)</f>
        <v>0</v>
      </c>
      <c r="L49" s="4" t="b">
        <f>K49 &gt; 0</f>
        <v>0</v>
      </c>
      <c r="M49" s="3" t="s">
        <v>2418</v>
      </c>
    </row>
    <row r="50">
      <c r="A50" s="3" t="s">
        <v>2489</v>
      </c>
      <c r="B50" s="4" t="str">
        <f>C50 &amp; "." &amp; D50</f>
        <v>Agents.OverriddenDraftCount</v>
      </c>
      <c r="C50" s="3" t="s">
        <v>1814</v>
      </c>
      <c r="D50" s="3" t="s">
        <v>133</v>
      </c>
      <c r="E50" s="3" t="s">
        <v>2469</v>
      </c>
      <c r="F50" s="3" t="s">
        <v>2475</v>
      </c>
      <c r="G50" s="3" t="s">
        <v>2490</v>
      </c>
      <c r="H50" s="3" t="s">
        <v>2191</v>
      </c>
      <c r="I50" s="4" t="b">
        <f>OR(((E50 = "calculated")=TRUE), ((E50 = "lookup")=TRUE), ((E50 = "aggregation")=TRUE))</f>
        <v>1</v>
      </c>
      <c r="J50" s="4" t="b">
        <f>H50 &lt;&gt; ""</f>
        <v>1</v>
      </c>
      <c r="K50" s="4">
        <f>COUNTIFS(FieldDisagreements!D2:D50, A50)</f>
        <v>0</v>
      </c>
      <c r="L50" s="4" t="b">
        <f>K50 &gt; 0</f>
        <v>0</v>
      </c>
      <c r="M50" s="3" t="s">
        <v>2418</v>
      </c>
    </row>
    <row r="51">
      <c r="A51" s="3" t="s">
        <v>2491</v>
      </c>
      <c r="B51" s="4" t="str">
        <f>C51 &amp; "." &amp; D51</f>
        <v>Agents.DraftRewriteRatePercent</v>
      </c>
      <c r="C51" s="3" t="s">
        <v>1814</v>
      </c>
      <c r="D51" s="3" t="s">
        <v>134</v>
      </c>
      <c r="E51" s="3" t="s">
        <v>2420</v>
      </c>
      <c r="F51" s="3" t="s">
        <v>2475</v>
      </c>
      <c r="G51" s="3" t="s">
        <v>2492</v>
      </c>
      <c r="H51" s="3" t="s">
        <v>2191</v>
      </c>
      <c r="I51" s="4" t="b">
        <f>OR(((E51 = "calculated")=TRUE), ((E51 = "lookup")=TRUE), ((E51 = "aggregation")=TRUE))</f>
        <v>1</v>
      </c>
      <c r="J51" s="4" t="b">
        <f>H51 &lt;&gt; ""</f>
        <v>1</v>
      </c>
      <c r="K51" s="4">
        <f>COUNTIFS(FieldDisagreements!D2:D50, A51)</f>
        <v>0</v>
      </c>
      <c r="L51" s="4" t="b">
        <f>K51 &gt; 0</f>
        <v>0</v>
      </c>
      <c r="M51" s="3" t="s">
        <v>2418</v>
      </c>
    </row>
    <row r="52">
      <c r="A52" s="3" t="s">
        <v>2493</v>
      </c>
      <c r="B52" s="4" t="str">
        <f>C52 &amp; "." &amp; D52</f>
        <v>Agents.TimesNamedAsBroker</v>
      </c>
      <c r="C52" s="3" t="s">
        <v>1814</v>
      </c>
      <c r="D52" s="3" t="s">
        <v>135</v>
      </c>
      <c r="E52" s="3" t="s">
        <v>2469</v>
      </c>
      <c r="F52" s="3" t="s">
        <v>2475</v>
      </c>
      <c r="G52" s="3" t="s">
        <v>2494</v>
      </c>
      <c r="H52" s="3" t="s">
        <v>2387</v>
      </c>
      <c r="I52" s="4" t="b">
        <f>OR(((E52 = "calculated")=TRUE), ((E52 = "lookup")=TRUE), ((E52 = "aggregation")=TRUE))</f>
        <v>1</v>
      </c>
      <c r="J52" s="4" t="b">
        <f>H52 &lt;&gt; ""</f>
        <v>1</v>
      </c>
      <c r="K52" s="4">
        <f>COUNTIFS(FieldDisagreements!D2:D50, A52)</f>
        <v>0</v>
      </c>
      <c r="L52" s="4" t="b">
        <f>K52 &gt; 0</f>
        <v>0</v>
      </c>
      <c r="M52" s="3" t="s">
        <v>2418</v>
      </c>
    </row>
    <row r="53">
      <c r="A53" s="3" t="s">
        <v>2495</v>
      </c>
      <c r="B53" s="4" t="str">
        <f>C53 &amp; "." &amp; D53</f>
        <v>Agents.IsRecognizedBroker</v>
      </c>
      <c r="C53" s="3" t="s">
        <v>1814</v>
      </c>
      <c r="D53" s="3" t="s">
        <v>136</v>
      </c>
      <c r="E53" s="3" t="s">
        <v>2420</v>
      </c>
      <c r="F53" s="3" t="s">
        <v>2432</v>
      </c>
      <c r="G53" s="3" t="s">
        <v>2496</v>
      </c>
      <c r="H53" s="3" t="s">
        <v>2387</v>
      </c>
      <c r="I53" s="4" t="b">
        <f>OR(((E53 = "calculated")=TRUE), ((E53 = "lookup")=TRUE), ((E53 = "aggregation")=TRUE))</f>
        <v>1</v>
      </c>
      <c r="J53" s="4" t="b">
        <f>H53 &lt;&gt; ""</f>
        <v>1</v>
      </c>
      <c r="K53" s="4">
        <f>COUNTIFS(FieldDisagreements!D2:D50, A53)</f>
        <v>0</v>
      </c>
      <c r="L53" s="4" t="b">
        <f>K53 &gt; 0</f>
        <v>0</v>
      </c>
      <c r="M53" s="3" t="s">
        <v>2418</v>
      </c>
    </row>
    <row r="54">
      <c r="A54" s="3" t="s">
        <v>2497</v>
      </c>
      <c r="B54" s="4" t="str">
        <f>C54 &amp; "." &amp; D54</f>
        <v>Agents.AtRiskRelianceCount</v>
      </c>
      <c r="C54" s="3" t="s">
        <v>1814</v>
      </c>
      <c r="D54" s="3" t="s">
        <v>137</v>
      </c>
      <c r="E54" s="3" t="s">
        <v>2469</v>
      </c>
      <c r="F54" s="3" t="s">
        <v>2475</v>
      </c>
      <c r="G54" s="3" t="s">
        <v>2498</v>
      </c>
      <c r="H54" s="3" t="s">
        <v>2387</v>
      </c>
      <c r="I54" s="4" t="b">
        <f>OR(((E54 = "calculated")=TRUE), ((E54 = "lookup")=TRUE), ((E54 = "aggregation")=TRUE))</f>
        <v>1</v>
      </c>
      <c r="J54" s="4" t="b">
        <f>H54 &lt;&gt; ""</f>
        <v>1</v>
      </c>
      <c r="K54" s="4">
        <f>COUNTIFS(FieldDisagreements!D2:D50, A54)</f>
        <v>0</v>
      </c>
      <c r="L54" s="4" t="b">
        <f>K54 &gt; 0</f>
        <v>0</v>
      </c>
      <c r="M54" s="3" t="s">
        <v>2418</v>
      </c>
    </row>
    <row r="55">
      <c r="A55" s="3" t="s">
        <v>2499</v>
      </c>
      <c r="B55" s="4" t="str">
        <f>C55 &amp; "." &amp; D55</f>
        <v>Agents.HasAtRiskKnowledgeReliance</v>
      </c>
      <c r="C55" s="3" t="s">
        <v>1814</v>
      </c>
      <c r="D55" s="3" t="s">
        <v>138</v>
      </c>
      <c r="E55" s="3" t="s">
        <v>2420</v>
      </c>
      <c r="F55" s="3" t="s">
        <v>2432</v>
      </c>
      <c r="G55" s="3" t="s">
        <v>2500</v>
      </c>
      <c r="H55" s="3" t="s">
        <v>2387</v>
      </c>
      <c r="I55" s="4" t="b">
        <f>OR(((E55 = "calculated")=TRUE), ((E55 = "lookup")=TRUE), ((E55 = "aggregation")=TRUE))</f>
        <v>1</v>
      </c>
      <c r="J55" s="4" t="b">
        <f>H55 &lt;&gt; ""</f>
        <v>1</v>
      </c>
      <c r="K55" s="4">
        <f>COUNTIFS(FieldDisagreements!D2:D50, A55)</f>
        <v>0</v>
      </c>
      <c r="L55" s="4" t="b">
        <f>K55 &gt; 0</f>
        <v>0</v>
      </c>
      <c r="M55" s="3" t="s">
        <v>2418</v>
      </c>
    </row>
    <row r="56">
      <c r="A56" s="3" t="s">
        <v>2501</v>
      </c>
      <c r="B56" s="4" t="str">
        <f>C56 &amp; "." &amp; D56</f>
        <v>Agents.SemanticTypeIri</v>
      </c>
      <c r="C56" s="3" t="s">
        <v>1814</v>
      </c>
      <c r="D56" s="3" t="s">
        <v>94</v>
      </c>
      <c r="E56" s="3" t="s">
        <v>2416</v>
      </c>
      <c r="F56" s="3" t="s">
        <v>2417</v>
      </c>
      <c r="G56" s="3"/>
      <c r="H56" s="3"/>
      <c r="I56" s="4" t="b">
        <f>OR(((E56 = "calculated")=TRUE), ((E56 = "lookup")=TRUE), ((E56 = "aggregation")=TRUE))</f>
        <v>0</v>
      </c>
      <c r="J56" s="4" t="b">
        <f>H56 &lt;&gt; ""</f>
        <v>0</v>
      </c>
      <c r="K56" s="4">
        <f>COUNTIFS(FieldDisagreements!D2:D50, A56)</f>
        <v>0</v>
      </c>
      <c r="L56" s="4" t="b">
        <f>K56 &gt; 0</f>
        <v>0</v>
      </c>
      <c r="M56" s="3" t="s">
        <v>2418</v>
      </c>
    </row>
    <row r="57">
      <c r="A57" s="3" t="s">
        <v>2502</v>
      </c>
      <c r="B57" s="4" t="str">
        <f>C57 &amp; "." &amp; D57</f>
        <v>Roles.RoleId</v>
      </c>
      <c r="C57" s="3" t="s">
        <v>1818</v>
      </c>
      <c r="D57" s="3" t="s">
        <v>183</v>
      </c>
      <c r="E57" s="3" t="s">
        <v>2416</v>
      </c>
      <c r="F57" s="3" t="s">
        <v>2417</v>
      </c>
      <c r="G57" s="3"/>
      <c r="H57" s="3"/>
      <c r="I57" s="4" t="b">
        <f>OR(((E57 = "calculated")=TRUE), ((E57 = "lookup")=TRUE), ((E57 = "aggregation")=TRUE))</f>
        <v>0</v>
      </c>
      <c r="J57" s="4" t="b">
        <f>H57 &lt;&gt; ""</f>
        <v>0</v>
      </c>
      <c r="K57" s="4">
        <f>COUNTIFS(FieldDisagreements!D2:D50, A57)</f>
        <v>0</v>
      </c>
      <c r="L57" s="4" t="b">
        <f>K57 &gt; 0</f>
        <v>0</v>
      </c>
      <c r="M57" s="3" t="s">
        <v>2418</v>
      </c>
    </row>
    <row r="58">
      <c r="A58" s="3" t="s">
        <v>2503</v>
      </c>
      <c r="B58" s="4" t="str">
        <f>C58 &amp; "." &amp; D58</f>
        <v>Roles.Name</v>
      </c>
      <c r="C58" s="3" t="s">
        <v>1818</v>
      </c>
      <c r="D58" s="3" t="s">
        <v>1</v>
      </c>
      <c r="E58" s="3" t="s">
        <v>2420</v>
      </c>
      <c r="F58" s="3" t="s">
        <v>2417</v>
      </c>
      <c r="G58" s="3" t="s">
        <v>2504</v>
      </c>
      <c r="H58" s="3"/>
      <c r="I58" s="4" t="b">
        <f>OR(((E58 = "calculated")=TRUE), ((E58 = "lookup")=TRUE), ((E58 = "aggregation")=TRUE))</f>
        <v>1</v>
      </c>
      <c r="J58" s="4" t="b">
        <f>H58 &lt;&gt; ""</f>
        <v>0</v>
      </c>
      <c r="K58" s="4">
        <f>COUNTIFS(FieldDisagreements!D2:D50, A58)</f>
        <v>0</v>
      </c>
      <c r="L58" s="4" t="b">
        <f>K58 &gt; 0</f>
        <v>0</v>
      </c>
      <c r="M58" s="3" t="s">
        <v>2418</v>
      </c>
    </row>
    <row r="59">
      <c r="A59" s="3" t="s">
        <v>2505</v>
      </c>
      <c r="B59" s="4" t="str">
        <f>C59 &amp; "." &amp; D59</f>
        <v>Roles.Label</v>
      </c>
      <c r="C59" s="3" t="s">
        <v>1818</v>
      </c>
      <c r="D59" s="3" t="s">
        <v>19</v>
      </c>
      <c r="E59" s="3" t="s">
        <v>2416</v>
      </c>
      <c r="F59" s="3" t="s">
        <v>2417</v>
      </c>
      <c r="G59" s="3"/>
      <c r="H59" s="3"/>
      <c r="I59" s="4" t="b">
        <f>OR(((E59 = "calculated")=TRUE), ((E59 = "lookup")=TRUE), ((E59 = "aggregation")=TRUE))</f>
        <v>0</v>
      </c>
      <c r="J59" s="4" t="b">
        <f>H59 &lt;&gt; ""</f>
        <v>0</v>
      </c>
      <c r="K59" s="4">
        <f>COUNTIFS(FieldDisagreements!D2:D50, A59)</f>
        <v>0</v>
      </c>
      <c r="L59" s="4" t="b">
        <f>K59 &gt; 0</f>
        <v>0</v>
      </c>
      <c r="M59" s="3" t="s">
        <v>2418</v>
      </c>
    </row>
    <row r="60">
      <c r="A60" s="3" t="s">
        <v>2506</v>
      </c>
      <c r="B60" s="4" t="str">
        <f>C60 &amp; "." &amp; D60</f>
        <v>Roles.Organization</v>
      </c>
      <c r="C60" s="3" t="s">
        <v>1818</v>
      </c>
      <c r="D60" s="3" t="s">
        <v>121</v>
      </c>
      <c r="E60" s="3" t="s">
        <v>2465</v>
      </c>
      <c r="F60" s="3" t="s">
        <v>2417</v>
      </c>
      <c r="G60" s="3"/>
      <c r="H60" s="3"/>
      <c r="I60" s="4" t="b">
        <f>OR(((E60 = "calculated")=TRUE), ((E60 = "lookup")=TRUE), ((E60 = "aggregation")=TRUE))</f>
        <v>0</v>
      </c>
      <c r="J60" s="4" t="b">
        <f>H60 &lt;&gt; ""</f>
        <v>0</v>
      </c>
      <c r="K60" s="4">
        <f>COUNTIFS(FieldDisagreements!D2:D50, A60)</f>
        <v>0</v>
      </c>
      <c r="L60" s="4" t="b">
        <f>K60 &gt; 0</f>
        <v>0</v>
      </c>
      <c r="M60" s="3" t="s">
        <v>2418</v>
      </c>
    </row>
    <row r="61">
      <c r="A61" s="3" t="s">
        <v>2507</v>
      </c>
      <c r="B61" s="4" t="str">
        <f>C61 &amp; "." &amp; D61</f>
        <v>Roles.CurrentAgent</v>
      </c>
      <c r="C61" s="3" t="s">
        <v>1818</v>
      </c>
      <c r="D61" s="3" t="s">
        <v>184</v>
      </c>
      <c r="E61" s="3" t="s">
        <v>2465</v>
      </c>
      <c r="F61" s="3" t="s">
        <v>2417</v>
      </c>
      <c r="G61" s="3"/>
      <c r="H61" s="3"/>
      <c r="I61" s="4" t="b">
        <f>OR(((E61 = "calculated")=TRUE), ((E61 = "lookup")=TRUE), ((E61 = "aggregation")=TRUE))</f>
        <v>0</v>
      </c>
      <c r="J61" s="4" t="b">
        <f>H61 &lt;&gt; ""</f>
        <v>0</v>
      </c>
      <c r="K61" s="4">
        <f>COUNTIFS(FieldDisagreements!D2:D50, A61)</f>
        <v>0</v>
      </c>
      <c r="L61" s="4" t="b">
        <f>K61 &gt; 0</f>
        <v>0</v>
      </c>
      <c r="M61" s="3" t="s">
        <v>2418</v>
      </c>
    </row>
    <row r="62">
      <c r="A62" s="3" t="s">
        <v>2508</v>
      </c>
      <c r="B62" s="4" t="str">
        <f>C62 &amp; "." &amp; D62</f>
        <v>Roles.CurrentAgentKind</v>
      </c>
      <c r="C62" s="3" t="s">
        <v>1818</v>
      </c>
      <c r="D62" s="3" t="s">
        <v>185</v>
      </c>
      <c r="E62" s="3" t="s">
        <v>2509</v>
      </c>
      <c r="F62" s="3" t="s">
        <v>2417</v>
      </c>
      <c r="G62" s="3" t="s">
        <v>2510</v>
      </c>
      <c r="H62" s="3"/>
      <c r="I62" s="4" t="b">
        <f>OR(((E62 = "calculated")=TRUE), ((E62 = "lookup")=TRUE), ((E62 = "aggregation")=TRUE))</f>
        <v>1</v>
      </c>
      <c r="J62" s="4" t="b">
        <f>H62 &lt;&gt; ""</f>
        <v>0</v>
      </c>
      <c r="K62" s="4">
        <f>COUNTIFS(FieldDisagreements!D2:D50, A62)</f>
        <v>0</v>
      </c>
      <c r="L62" s="4" t="b">
        <f>K62 &gt; 0</f>
        <v>0</v>
      </c>
      <c r="M62" s="3" t="s">
        <v>2418</v>
      </c>
    </row>
    <row r="63">
      <c r="A63" s="3" t="s">
        <v>2511</v>
      </c>
      <c r="B63" s="4" t="str">
        <f>C63 &amp; "." &amp; D63</f>
        <v>Roles.Responsibility</v>
      </c>
      <c r="C63" s="3" t="s">
        <v>1818</v>
      </c>
      <c r="D63" s="3" t="s">
        <v>186</v>
      </c>
      <c r="E63" s="3" t="s">
        <v>2416</v>
      </c>
      <c r="F63" s="3" t="s">
        <v>2417</v>
      </c>
      <c r="G63" s="3"/>
      <c r="H63" s="3"/>
      <c r="I63" s="4" t="b">
        <f>OR(((E63 = "calculated")=TRUE), ((E63 = "lookup")=TRUE), ((E63 = "aggregation")=TRUE))</f>
        <v>0</v>
      </c>
      <c r="J63" s="4" t="b">
        <f>H63 &lt;&gt; ""</f>
        <v>0</v>
      </c>
      <c r="K63" s="4">
        <f>COUNTIFS(FieldDisagreements!D2:D50, A63)</f>
        <v>0</v>
      </c>
      <c r="L63" s="4" t="b">
        <f>K63 &gt; 0</f>
        <v>0</v>
      </c>
      <c r="M63" s="3" t="s">
        <v>2418</v>
      </c>
    </row>
    <row r="64">
      <c r="A64" s="3" t="s">
        <v>2512</v>
      </c>
      <c r="B64" s="4" t="str">
        <f>C64 &amp; "." &amp; D64</f>
        <v>Roles.ActiveAssignmentCount</v>
      </c>
      <c r="C64" s="3" t="s">
        <v>1818</v>
      </c>
      <c r="D64" s="3" t="s">
        <v>187</v>
      </c>
      <c r="E64" s="3" t="s">
        <v>2469</v>
      </c>
      <c r="F64" s="3" t="s">
        <v>2475</v>
      </c>
      <c r="G64" s="3" t="s">
        <v>2513</v>
      </c>
      <c r="H64" s="3" t="s">
        <v>2119</v>
      </c>
      <c r="I64" s="4" t="b">
        <f>OR(((E64 = "calculated")=TRUE), ((E64 = "lookup")=TRUE), ((E64 = "aggregation")=TRUE))</f>
        <v>1</v>
      </c>
      <c r="J64" s="4" t="b">
        <f>H64 &lt;&gt; ""</f>
        <v>1</v>
      </c>
      <c r="K64" s="4">
        <f>COUNTIFS(FieldDisagreements!D2:D50, A64)</f>
        <v>0</v>
      </c>
      <c r="L64" s="4" t="b">
        <f>K64 &gt; 0</f>
        <v>0</v>
      </c>
      <c r="M64" s="3" t="s">
        <v>2418</v>
      </c>
    </row>
    <row r="65">
      <c r="A65" s="3" t="s">
        <v>2514</v>
      </c>
      <c r="B65" s="4" t="str">
        <f>C65 &amp; "." &amp; D65</f>
        <v>Roles.CurrentlyCoveredAssignmentCount</v>
      </c>
      <c r="C65" s="3" t="s">
        <v>1818</v>
      </c>
      <c r="D65" s="3" t="s">
        <v>188</v>
      </c>
      <c r="E65" s="3" t="s">
        <v>2469</v>
      </c>
      <c r="F65" s="3" t="s">
        <v>2475</v>
      </c>
      <c r="G65" s="3" t="s">
        <v>2515</v>
      </c>
      <c r="H65" s="3" t="s">
        <v>2119</v>
      </c>
      <c r="I65" s="4" t="b">
        <f>OR(((E65 = "calculated")=TRUE), ((E65 = "lookup")=TRUE), ((E65 = "aggregation")=TRUE))</f>
        <v>1</v>
      </c>
      <c r="J65" s="4" t="b">
        <f>H65 &lt;&gt; ""</f>
        <v>1</v>
      </c>
      <c r="K65" s="4">
        <f>COUNTIFS(FieldDisagreements!D2:D50, A65)</f>
        <v>0</v>
      </c>
      <c r="L65" s="4" t="b">
        <f>K65 &gt; 0</f>
        <v>0</v>
      </c>
      <c r="M65" s="3" t="s">
        <v>2418</v>
      </c>
    </row>
    <row r="66">
      <c r="A66" s="3" t="s">
        <v>2516</v>
      </c>
      <c r="B66" s="4" t="str">
        <f>C66 &amp; "." &amp; D66</f>
        <v>Roles.HasNoCurrentHolder</v>
      </c>
      <c r="C66" s="3" t="s">
        <v>1818</v>
      </c>
      <c r="D66" s="3" t="s">
        <v>189</v>
      </c>
      <c r="E66" s="3" t="s">
        <v>2420</v>
      </c>
      <c r="F66" s="3" t="s">
        <v>2432</v>
      </c>
      <c r="G66" s="3" t="s">
        <v>2517</v>
      </c>
      <c r="H66" s="3" t="s">
        <v>2119</v>
      </c>
      <c r="I66" s="4" t="b">
        <f>OR(((E66 = "calculated")=TRUE), ((E66 = "lookup")=TRUE), ((E66 = "aggregation")=TRUE))</f>
        <v>1</v>
      </c>
      <c r="J66" s="4" t="b">
        <f>H66 &lt;&gt; ""</f>
        <v>1</v>
      </c>
      <c r="K66" s="4">
        <f>COUNTIFS(FieldDisagreements!D2:D50, A66)</f>
        <v>0</v>
      </c>
      <c r="L66" s="4" t="b">
        <f>K66 &gt; 0</f>
        <v>0</v>
      </c>
      <c r="M66" s="3" t="s">
        <v>2418</v>
      </c>
    </row>
    <row r="67">
      <c r="A67" s="3" t="s">
        <v>2518</v>
      </c>
      <c r="B67" s="4" t="str">
        <f>C67 &amp; "." &amp; D67</f>
        <v>Roles.CountOfAwaitedDecisions</v>
      </c>
      <c r="C67" s="3" t="s">
        <v>1818</v>
      </c>
      <c r="D67" s="3" t="s">
        <v>190</v>
      </c>
      <c r="E67" s="3" t="s">
        <v>2469</v>
      </c>
      <c r="F67" s="3" t="s">
        <v>2470</v>
      </c>
      <c r="G67" s="3" t="s">
        <v>2519</v>
      </c>
      <c r="H67" s="3" t="s">
        <v>2139</v>
      </c>
      <c r="I67" s="4" t="b">
        <f>OR(((E67 = "calculated")=TRUE), ((E67 = "lookup")=TRUE), ((E67 = "aggregation")=TRUE))</f>
        <v>1</v>
      </c>
      <c r="J67" s="4" t="b">
        <f>H67 &lt;&gt; ""</f>
        <v>1</v>
      </c>
      <c r="K67" s="4">
        <f>COUNTIFS(FieldDisagreements!D2:D50, A67)</f>
        <v>0</v>
      </c>
      <c r="L67" s="4" t="b">
        <f>K67 &gt; 0</f>
        <v>0</v>
      </c>
      <c r="M67" s="3" t="s">
        <v>2418</v>
      </c>
    </row>
    <row r="68">
      <c r="A68" s="3" t="s">
        <v>2520</v>
      </c>
      <c r="B68" s="4" t="str">
        <f>C68 &amp; "." &amp; D68</f>
        <v>Roles.CurrentAssignment</v>
      </c>
      <c r="C68" s="3" t="s">
        <v>1818</v>
      </c>
      <c r="D68" s="3" t="s">
        <v>191</v>
      </c>
      <c r="E68" s="3" t="s">
        <v>2416</v>
      </c>
      <c r="F68" s="3" t="s">
        <v>2417</v>
      </c>
      <c r="G68" s="3"/>
      <c r="H68" s="3"/>
      <c r="I68" s="4" t="b">
        <f>OR(((E68 = "calculated")=TRUE), ((E68 = "lookup")=TRUE), ((E68 = "aggregation")=TRUE))</f>
        <v>0</v>
      </c>
      <c r="J68" s="4" t="b">
        <f>H68 &lt;&gt; ""</f>
        <v>0</v>
      </c>
      <c r="K68" s="4">
        <f>COUNTIFS(FieldDisagreements!D2:D50, A68)</f>
        <v>0</v>
      </c>
      <c r="L68" s="4" t="b">
        <f>K68 &gt; 0</f>
        <v>0</v>
      </c>
      <c r="M68" s="3" t="s">
        <v>2418</v>
      </c>
    </row>
    <row r="69">
      <c r="A69" s="3" t="s">
        <v>2521</v>
      </c>
      <c r="B69" s="4" t="str">
        <f>C69 &amp; "." &amp; D69</f>
        <v>Roles.CurrentAssignmentValidFrom</v>
      </c>
      <c r="C69" s="3" t="s">
        <v>1818</v>
      </c>
      <c r="D69" s="3" t="s">
        <v>192</v>
      </c>
      <c r="E69" s="3" t="s">
        <v>2509</v>
      </c>
      <c r="F69" s="3" t="s">
        <v>2428</v>
      </c>
      <c r="G69" s="3" t="s">
        <v>2522</v>
      </c>
      <c r="H69" s="3" t="s">
        <v>2175</v>
      </c>
      <c r="I69" s="4" t="b">
        <f>OR(((E69 = "calculated")=TRUE), ((E69 = "lookup")=TRUE), ((E69 = "aggregation")=TRUE))</f>
        <v>1</v>
      </c>
      <c r="J69" s="4" t="b">
        <f>H69 &lt;&gt; ""</f>
        <v>1</v>
      </c>
      <c r="K69" s="4">
        <f>COUNTIFS(FieldDisagreements!D2:D50, A69)</f>
        <v>0</v>
      </c>
      <c r="L69" s="4" t="b">
        <f>K69 &gt; 0</f>
        <v>0</v>
      </c>
      <c r="M69" s="3" t="s">
        <v>2418</v>
      </c>
    </row>
    <row r="70">
      <c r="A70" s="3" t="s">
        <v>2523</v>
      </c>
      <c r="B70" s="4" t="str">
        <f>C70 &amp; "." &amp; D70</f>
        <v>Roles.IsNonHumanHeld</v>
      </c>
      <c r="C70" s="3" t="s">
        <v>1818</v>
      </c>
      <c r="D70" s="3" t="s">
        <v>193</v>
      </c>
      <c r="E70" s="3" t="s">
        <v>2420</v>
      </c>
      <c r="F70" s="3" t="s">
        <v>2432</v>
      </c>
      <c r="G70" s="3" t="s">
        <v>2524</v>
      </c>
      <c r="H70" s="3" t="s">
        <v>2179</v>
      </c>
      <c r="I70" s="4" t="b">
        <f>OR(((E70 = "calculated")=TRUE), ((E70 = "lookup")=TRUE), ((E70 = "aggregation")=TRUE))</f>
        <v>1</v>
      </c>
      <c r="J70" s="4" t="b">
        <f>H70 &lt;&gt; ""</f>
        <v>1</v>
      </c>
      <c r="K70" s="4">
        <f>COUNTIFS(FieldDisagreements!D2:D50, A70)</f>
        <v>0</v>
      </c>
      <c r="L70" s="4" t="b">
        <f>K70 &gt; 0</f>
        <v>0</v>
      </c>
      <c r="M70" s="3" t="s">
        <v>2418</v>
      </c>
    </row>
    <row r="71">
      <c r="A71" s="3" t="s">
        <v>2525</v>
      </c>
      <c r="B71" s="4" t="str">
        <f>C71 &amp; "." &amp; D71</f>
        <v>Roles.IsUngovernedNonHumanRole</v>
      </c>
      <c r="C71" s="3" t="s">
        <v>1818</v>
      </c>
      <c r="D71" s="3" t="s">
        <v>194</v>
      </c>
      <c r="E71" s="3" t="s">
        <v>2420</v>
      </c>
      <c r="F71" s="3" t="s">
        <v>2432</v>
      </c>
      <c r="G71" s="3" t="s">
        <v>2526</v>
      </c>
      <c r="H71" s="3" t="s">
        <v>2179</v>
      </c>
      <c r="I71" s="4" t="b">
        <f>OR(((E71 = "calculated")=TRUE), ((E71 = "lookup")=TRUE), ((E71 = "aggregation")=TRUE))</f>
        <v>1</v>
      </c>
      <c r="J71" s="4" t="b">
        <f>H71 &lt;&gt; ""</f>
        <v>1</v>
      </c>
      <c r="K71" s="4">
        <f>COUNTIFS(FieldDisagreements!D2:D50, A71)</f>
        <v>0</v>
      </c>
      <c r="L71" s="4" t="b">
        <f>K71 &gt; 0</f>
        <v>0</v>
      </c>
      <c r="M71" s="3" t="s">
        <v>2418</v>
      </c>
    </row>
    <row r="72">
      <c r="A72" s="3" t="s">
        <v>2527</v>
      </c>
      <c r="B72" s="4" t="str">
        <f>C72 &amp; "." &amp; D72</f>
        <v>Roles.DepartedAssignmentCount</v>
      </c>
      <c r="C72" s="3" t="s">
        <v>1818</v>
      </c>
      <c r="D72" s="3" t="s">
        <v>195</v>
      </c>
      <c r="E72" s="3" t="s">
        <v>2469</v>
      </c>
      <c r="F72" s="3" t="s">
        <v>2475</v>
      </c>
      <c r="G72" s="3" t="s">
        <v>2528</v>
      </c>
      <c r="H72" s="3" t="s">
        <v>2235</v>
      </c>
      <c r="I72" s="4" t="b">
        <f>OR(((E72 = "calculated")=TRUE), ((E72 = "lookup")=TRUE), ((E72 = "aggregation")=TRUE))</f>
        <v>1</v>
      </c>
      <c r="J72" s="4" t="b">
        <f>H72 &lt;&gt; ""</f>
        <v>1</v>
      </c>
      <c r="K72" s="4">
        <f>COUNTIFS(FieldDisagreements!D2:D50, A72)</f>
        <v>0</v>
      </c>
      <c r="L72" s="4" t="b">
        <f>K72 &gt; 0</f>
        <v>0</v>
      </c>
      <c r="M72" s="3" t="s">
        <v>2418</v>
      </c>
    </row>
    <row r="73">
      <c r="A73" s="3" t="s">
        <v>2529</v>
      </c>
      <c r="B73" s="4" t="str">
        <f>C73 &amp; "." &amp; D73</f>
        <v>Roles.HasLostAHolder</v>
      </c>
      <c r="C73" s="3" t="s">
        <v>1818</v>
      </c>
      <c r="D73" s="3" t="s">
        <v>196</v>
      </c>
      <c r="E73" s="3" t="s">
        <v>2420</v>
      </c>
      <c r="F73" s="3" t="s">
        <v>2432</v>
      </c>
      <c r="G73" s="3" t="s">
        <v>2530</v>
      </c>
      <c r="H73" s="3" t="s">
        <v>2235</v>
      </c>
      <c r="I73" s="4" t="b">
        <f>OR(((E73 = "calculated")=TRUE), ((E73 = "lookup")=TRUE), ((E73 = "aggregation")=TRUE))</f>
        <v>1</v>
      </c>
      <c r="J73" s="4" t="b">
        <f>H73 &lt;&gt; ""</f>
        <v>1</v>
      </c>
      <c r="K73" s="4">
        <f>COUNTIFS(FieldDisagreements!D2:D50, A73)</f>
        <v>0</v>
      </c>
      <c r="L73" s="4" t="b">
        <f>K73 &gt; 0</f>
        <v>0</v>
      </c>
      <c r="M73" s="3" t="s">
        <v>2418</v>
      </c>
    </row>
    <row r="74">
      <c r="A74" s="3" t="s">
        <v>2531</v>
      </c>
      <c r="B74" s="4" t="str">
        <f>C74 &amp; "." &amp; D74</f>
        <v>Roles.IsVacatedRole</v>
      </c>
      <c r="C74" s="3" t="s">
        <v>1818</v>
      </c>
      <c r="D74" s="3" t="s">
        <v>197</v>
      </c>
      <c r="E74" s="3" t="s">
        <v>2420</v>
      </c>
      <c r="F74" s="3" t="s">
        <v>2432</v>
      </c>
      <c r="G74" s="3" t="s">
        <v>2532</v>
      </c>
      <c r="H74" s="3" t="s">
        <v>2235</v>
      </c>
      <c r="I74" s="4" t="b">
        <f>OR(((E74 = "calculated")=TRUE), ((E74 = "lookup")=TRUE), ((E74 = "aggregation")=TRUE))</f>
        <v>1</v>
      </c>
      <c r="J74" s="4" t="b">
        <f>H74 &lt;&gt; ""</f>
        <v>1</v>
      </c>
      <c r="K74" s="4">
        <f>COUNTIFS(FieldDisagreements!D2:D50, A74)</f>
        <v>0</v>
      </c>
      <c r="L74" s="4" t="b">
        <f>K74 &gt; 0</f>
        <v>0</v>
      </c>
      <c r="M74" s="3" t="s">
        <v>2418</v>
      </c>
    </row>
    <row r="75">
      <c r="A75" s="3" t="s">
        <v>2533</v>
      </c>
      <c r="B75" s="4" t="str">
        <f>C75 &amp; "." &amp; D75</f>
        <v>Roles.UngroundedBoundaryCount</v>
      </c>
      <c r="C75" s="3" t="s">
        <v>1818</v>
      </c>
      <c r="D75" s="3" t="s">
        <v>198</v>
      </c>
      <c r="E75" s="3" t="s">
        <v>2469</v>
      </c>
      <c r="F75" s="3" t="s">
        <v>2475</v>
      </c>
      <c r="G75" s="3" t="s">
        <v>2534</v>
      </c>
      <c r="H75" s="3" t="s">
        <v>2343</v>
      </c>
      <c r="I75" s="4" t="b">
        <f>OR(((E75 = "calculated")=TRUE), ((E75 = "lookup")=TRUE), ((E75 = "aggregation")=TRUE))</f>
        <v>1</v>
      </c>
      <c r="J75" s="4" t="b">
        <f>H75 &lt;&gt; ""</f>
        <v>1</v>
      </c>
      <c r="K75" s="4">
        <f>COUNTIFS(FieldDisagreements!D2:D50, A75)</f>
        <v>0</v>
      </c>
      <c r="L75" s="4" t="b">
        <f>K75 &gt; 0</f>
        <v>0</v>
      </c>
      <c r="M75" s="3" t="s">
        <v>2418</v>
      </c>
    </row>
    <row r="76">
      <c r="A76" s="3" t="s">
        <v>2535</v>
      </c>
      <c r="B76" s="4" t="str">
        <f>C76 &amp; "." &amp; D76</f>
        <v>Roles.IsGovernedByLapsedAuthority</v>
      </c>
      <c r="C76" s="3" t="s">
        <v>1818</v>
      </c>
      <c r="D76" s="3" t="s">
        <v>199</v>
      </c>
      <c r="E76" s="3" t="s">
        <v>2420</v>
      </c>
      <c r="F76" s="3" t="s">
        <v>2432</v>
      </c>
      <c r="G76" s="3" t="s">
        <v>2536</v>
      </c>
      <c r="H76" s="3" t="s">
        <v>2343</v>
      </c>
      <c r="I76" s="4" t="b">
        <f>OR(((E76 = "calculated")=TRUE), ((E76 = "lookup")=TRUE), ((E76 = "aggregation")=TRUE))</f>
        <v>1</v>
      </c>
      <c r="J76" s="4" t="b">
        <f>H76 &lt;&gt; ""</f>
        <v>1</v>
      </c>
      <c r="K76" s="4">
        <f>COUNTIFS(FieldDisagreements!D2:D50, A76)</f>
        <v>0</v>
      </c>
      <c r="L76" s="4" t="b">
        <f>K76 &gt; 0</f>
        <v>0</v>
      </c>
      <c r="M76" s="3" t="s">
        <v>2418</v>
      </c>
    </row>
    <row r="77">
      <c r="A77" s="3" t="s">
        <v>2537</v>
      </c>
      <c r="B77" s="4" t="str">
        <f>C77 &amp; "." &amp; D77</f>
        <v>Roles.UnescalatedRefusalCount</v>
      </c>
      <c r="C77" s="3" t="s">
        <v>1818</v>
      </c>
      <c r="D77" s="3" t="s">
        <v>200</v>
      </c>
      <c r="E77" s="3" t="s">
        <v>2469</v>
      </c>
      <c r="F77" s="3" t="s">
        <v>2475</v>
      </c>
      <c r="G77" s="3" t="s">
        <v>2538</v>
      </c>
      <c r="H77" s="3" t="s">
        <v>2359</v>
      </c>
      <c r="I77" s="4" t="b">
        <f>OR(((E77 = "calculated")=TRUE), ((E77 = "lookup")=TRUE), ((E77 = "aggregation")=TRUE))</f>
        <v>1</v>
      </c>
      <c r="J77" s="4" t="b">
        <f>H77 &lt;&gt; ""</f>
        <v>1</v>
      </c>
      <c r="K77" s="4">
        <f>COUNTIFS(FieldDisagreements!D2:D50, A77)</f>
        <v>0</v>
      </c>
      <c r="L77" s="4" t="b">
        <f>K77 &gt; 0</f>
        <v>0</v>
      </c>
      <c r="M77" s="3" t="s">
        <v>2418</v>
      </c>
    </row>
    <row r="78">
      <c r="A78" s="3" t="s">
        <v>2539</v>
      </c>
      <c r="B78" s="4" t="str">
        <f>C78 &amp; "." &amp; D78</f>
        <v>Roles.UnauthorizedEnforcementAssignmentCount</v>
      </c>
      <c r="C78" s="3" t="s">
        <v>1818</v>
      </c>
      <c r="D78" s="3" t="s">
        <v>201</v>
      </c>
      <c r="E78" s="3" t="s">
        <v>2469</v>
      </c>
      <c r="F78" s="3" t="s">
        <v>2475</v>
      </c>
      <c r="G78" s="3" t="s">
        <v>2540</v>
      </c>
      <c r="H78" s="3" t="s">
        <v>2367</v>
      </c>
      <c r="I78" s="4" t="b">
        <f>OR(((E78 = "calculated")=TRUE), ((E78 = "lookup")=TRUE), ((E78 = "aggregation")=TRUE))</f>
        <v>1</v>
      </c>
      <c r="J78" s="4" t="b">
        <f>H78 &lt;&gt; ""</f>
        <v>1</v>
      </c>
      <c r="K78" s="4">
        <f>COUNTIFS(FieldDisagreements!D2:D50, A78)</f>
        <v>0</v>
      </c>
      <c r="L78" s="4" t="b">
        <f>K78 &gt; 0</f>
        <v>0</v>
      </c>
      <c r="M78" s="3" t="s">
        <v>2418</v>
      </c>
    </row>
    <row r="79">
      <c r="A79" s="3" t="s">
        <v>2541</v>
      </c>
      <c r="B79" s="4" t="str">
        <f>C79 &amp; "." &amp; D79</f>
        <v>Roles.IsUngovernedEnforcementRole</v>
      </c>
      <c r="C79" s="3" t="s">
        <v>1818</v>
      </c>
      <c r="D79" s="3" t="s">
        <v>202</v>
      </c>
      <c r="E79" s="3" t="s">
        <v>2420</v>
      </c>
      <c r="F79" s="3" t="s">
        <v>2432</v>
      </c>
      <c r="G79" s="3" t="s">
        <v>2542</v>
      </c>
      <c r="H79" s="3" t="s">
        <v>2367</v>
      </c>
      <c r="I79" s="4" t="b">
        <f>OR(((E79 = "calculated")=TRUE), ((E79 = "lookup")=TRUE), ((E79 = "aggregation")=TRUE))</f>
        <v>1</v>
      </c>
      <c r="J79" s="4" t="b">
        <f>H79 &lt;&gt; ""</f>
        <v>1</v>
      </c>
      <c r="K79" s="4">
        <f>COUNTIFS(FieldDisagreements!D2:D50, A79)</f>
        <v>0</v>
      </c>
      <c r="L79" s="4" t="b">
        <f>K79 &gt; 0</f>
        <v>0</v>
      </c>
      <c r="M79" s="3" t="s">
        <v>2418</v>
      </c>
    </row>
    <row r="80">
      <c r="A80" s="3" t="s">
        <v>2543</v>
      </c>
      <c r="B80" s="4" t="str">
        <f>C80 &amp; "." &amp; D80</f>
        <v>Roles.SemanticTypeIri</v>
      </c>
      <c r="C80" s="3" t="s">
        <v>1818</v>
      </c>
      <c r="D80" s="3" t="s">
        <v>94</v>
      </c>
      <c r="E80" s="3" t="s">
        <v>2416</v>
      </c>
      <c r="F80" s="3" t="s">
        <v>2417</v>
      </c>
      <c r="G80" s="3"/>
      <c r="H80" s="3"/>
      <c r="I80" s="4" t="b">
        <f>OR(((E80 = "calculated")=TRUE), ((E80 = "lookup")=TRUE), ((E80 = "aggregation")=TRUE))</f>
        <v>0</v>
      </c>
      <c r="J80" s="4" t="b">
        <f>H80 &lt;&gt; ""</f>
        <v>0</v>
      </c>
      <c r="K80" s="4">
        <f>COUNTIFS(FieldDisagreements!D2:D50, A80)</f>
        <v>0</v>
      </c>
      <c r="L80" s="4" t="b">
        <f>K80 &gt; 0</f>
        <v>0</v>
      </c>
      <c r="M80" s="3" t="s">
        <v>2418</v>
      </c>
    </row>
    <row r="81">
      <c r="A81" s="3" t="s">
        <v>2544</v>
      </c>
      <c r="B81" s="4" t="str">
        <f>C81 &amp; "." &amp; D81</f>
        <v>RoleAssignments.RoleAssignmentId</v>
      </c>
      <c r="C81" s="3" t="s">
        <v>1821</v>
      </c>
      <c r="D81" s="3" t="s">
        <v>252</v>
      </c>
      <c r="E81" s="3" t="s">
        <v>2416</v>
      </c>
      <c r="F81" s="3" t="s">
        <v>2417</v>
      </c>
      <c r="G81" s="3"/>
      <c r="H81" s="3"/>
      <c r="I81" s="4" t="b">
        <f>OR(((E81 = "calculated")=TRUE), ((E81 = "lookup")=TRUE), ((E81 = "aggregation")=TRUE))</f>
        <v>0</v>
      </c>
      <c r="J81" s="4" t="b">
        <f>H81 &lt;&gt; ""</f>
        <v>0</v>
      </c>
      <c r="K81" s="4">
        <f>COUNTIFS(FieldDisagreements!D2:D50, A81)</f>
        <v>0</v>
      </c>
      <c r="L81" s="4" t="b">
        <f>K81 &gt; 0</f>
        <v>0</v>
      </c>
      <c r="M81" s="3" t="s">
        <v>2418</v>
      </c>
    </row>
    <row r="82">
      <c r="A82" s="3" t="s">
        <v>2545</v>
      </c>
      <c r="B82" s="4" t="str">
        <f>C82 &amp; "." &amp; D82</f>
        <v>RoleAssignments.Name</v>
      </c>
      <c r="C82" s="3" t="s">
        <v>1821</v>
      </c>
      <c r="D82" s="3" t="s">
        <v>1</v>
      </c>
      <c r="E82" s="3" t="s">
        <v>2420</v>
      </c>
      <c r="F82" s="3" t="s">
        <v>2417</v>
      </c>
      <c r="G82" s="3" t="s">
        <v>2546</v>
      </c>
      <c r="H82" s="3"/>
      <c r="I82" s="4" t="b">
        <f>OR(((E82 = "calculated")=TRUE), ((E82 = "lookup")=TRUE), ((E82 = "aggregation")=TRUE))</f>
        <v>1</v>
      </c>
      <c r="J82" s="4" t="b">
        <f>H82 &lt;&gt; ""</f>
        <v>0</v>
      </c>
      <c r="K82" s="4">
        <f>COUNTIFS(FieldDisagreements!D2:D50, A82)</f>
        <v>0</v>
      </c>
      <c r="L82" s="4" t="b">
        <f>K82 &gt; 0</f>
        <v>0</v>
      </c>
      <c r="M82" s="3" t="s">
        <v>2418</v>
      </c>
    </row>
    <row r="83">
      <c r="A83" s="3" t="s">
        <v>2547</v>
      </c>
      <c r="B83" s="4" t="str">
        <f>C83 &amp; "." &amp; D83</f>
        <v>RoleAssignments.Role</v>
      </c>
      <c r="C83" s="3" t="s">
        <v>1821</v>
      </c>
      <c r="D83" s="3" t="s">
        <v>253</v>
      </c>
      <c r="E83" s="3" t="s">
        <v>2465</v>
      </c>
      <c r="F83" s="3" t="s">
        <v>2417</v>
      </c>
      <c r="G83" s="3"/>
      <c r="H83" s="3"/>
      <c r="I83" s="4" t="b">
        <f>OR(((E83 = "calculated")=TRUE), ((E83 = "lookup")=TRUE), ((E83 = "aggregation")=TRUE))</f>
        <v>0</v>
      </c>
      <c r="J83" s="4" t="b">
        <f>H83 &lt;&gt; ""</f>
        <v>0</v>
      </c>
      <c r="K83" s="4">
        <f>COUNTIFS(FieldDisagreements!D2:D50, A83)</f>
        <v>0</v>
      </c>
      <c r="L83" s="4" t="b">
        <f>K83 &gt; 0</f>
        <v>0</v>
      </c>
      <c r="M83" s="3" t="s">
        <v>2418</v>
      </c>
    </row>
    <row r="84">
      <c r="A84" s="3" t="s">
        <v>2548</v>
      </c>
      <c r="B84" s="4" t="str">
        <f>C84 &amp; "." &amp; D84</f>
        <v>RoleAssignments.Agent</v>
      </c>
      <c r="C84" s="3" t="s">
        <v>1821</v>
      </c>
      <c r="D84" s="3" t="s">
        <v>254</v>
      </c>
      <c r="E84" s="3" t="s">
        <v>2465</v>
      </c>
      <c r="F84" s="3" t="s">
        <v>2417</v>
      </c>
      <c r="G84" s="3"/>
      <c r="H84" s="3"/>
      <c r="I84" s="4" t="b">
        <f>OR(((E84 = "calculated")=TRUE), ((E84 = "lookup")=TRUE), ((E84 = "aggregation")=TRUE))</f>
        <v>0</v>
      </c>
      <c r="J84" s="4" t="b">
        <f>H84 &lt;&gt; ""</f>
        <v>0</v>
      </c>
      <c r="K84" s="4">
        <f>COUNTIFS(FieldDisagreements!D2:D50, A84)</f>
        <v>0</v>
      </c>
      <c r="L84" s="4" t="b">
        <f>K84 &gt; 0</f>
        <v>0</v>
      </c>
      <c r="M84" s="3" t="s">
        <v>2418</v>
      </c>
    </row>
    <row r="85">
      <c r="A85" s="3" t="s">
        <v>2549</v>
      </c>
      <c r="B85" s="4" t="str">
        <f>C85 &amp; "." &amp; D85</f>
        <v>RoleAssignments.ValidFrom</v>
      </c>
      <c r="C85" s="3" t="s">
        <v>1821</v>
      </c>
      <c r="D85" s="3" t="s">
        <v>255</v>
      </c>
      <c r="E85" s="3" t="s">
        <v>2416</v>
      </c>
      <c r="F85" s="3" t="s">
        <v>2428</v>
      </c>
      <c r="G85" s="3"/>
      <c r="H85" s="3"/>
      <c r="I85" s="4" t="b">
        <f>OR(((E85 = "calculated")=TRUE), ((E85 = "lookup")=TRUE), ((E85 = "aggregation")=TRUE))</f>
        <v>0</v>
      </c>
      <c r="J85" s="4" t="b">
        <f>H85 &lt;&gt; ""</f>
        <v>0</v>
      </c>
      <c r="K85" s="4">
        <f>COUNTIFS(FieldDisagreements!D2:D50, A85)</f>
        <v>0</v>
      </c>
      <c r="L85" s="4" t="b">
        <f>K85 &gt; 0</f>
        <v>0</v>
      </c>
      <c r="M85" s="3" t="s">
        <v>2418</v>
      </c>
    </row>
    <row r="86">
      <c r="A86" s="3" t="s">
        <v>2550</v>
      </c>
      <c r="B86" s="4" t="str">
        <f>C86 &amp; "." &amp; D86</f>
        <v>RoleAssignments.ValidTo</v>
      </c>
      <c r="C86" s="3" t="s">
        <v>1821</v>
      </c>
      <c r="D86" s="3" t="s">
        <v>256</v>
      </c>
      <c r="E86" s="3" t="s">
        <v>2416</v>
      </c>
      <c r="F86" s="3" t="s">
        <v>2428</v>
      </c>
      <c r="G86" s="3"/>
      <c r="H86" s="3"/>
      <c r="I86" s="4" t="b">
        <f>OR(((E86 = "calculated")=TRUE), ((E86 = "lookup")=TRUE), ((E86 = "aggregation")=TRUE))</f>
        <v>0</v>
      </c>
      <c r="J86" s="4" t="b">
        <f>H86 &lt;&gt; ""</f>
        <v>0</v>
      </c>
      <c r="K86" s="4">
        <f>COUNTIFS(FieldDisagreements!D2:D50, A86)</f>
        <v>0</v>
      </c>
      <c r="L86" s="4" t="b">
        <f>K86 &gt; 0</f>
        <v>0</v>
      </c>
      <c r="M86" s="3" t="s">
        <v>2418</v>
      </c>
    </row>
    <row r="87">
      <c r="A87" s="3" t="s">
        <v>2551</v>
      </c>
      <c r="B87" s="4" t="str">
        <f>C87 &amp; "." &amp; D87</f>
        <v>RoleAssignments.Reason</v>
      </c>
      <c r="C87" s="3" t="s">
        <v>1821</v>
      </c>
      <c r="D87" s="3" t="s">
        <v>257</v>
      </c>
      <c r="E87" s="3" t="s">
        <v>2416</v>
      </c>
      <c r="F87" s="3" t="s">
        <v>2417</v>
      </c>
      <c r="G87" s="3"/>
      <c r="H87" s="3"/>
      <c r="I87" s="4" t="b">
        <f>OR(((E87 = "calculated")=TRUE), ((E87 = "lookup")=TRUE), ((E87 = "aggregation")=TRUE))</f>
        <v>0</v>
      </c>
      <c r="J87" s="4" t="b">
        <f>H87 &lt;&gt; ""</f>
        <v>0</v>
      </c>
      <c r="K87" s="4">
        <f>COUNTIFS(FieldDisagreements!D2:D50, A87)</f>
        <v>0</v>
      </c>
      <c r="L87" s="4" t="b">
        <f>K87 &gt; 0</f>
        <v>0</v>
      </c>
      <c r="M87" s="3" t="s">
        <v>2418</v>
      </c>
    </row>
    <row r="88">
      <c r="A88" s="3" t="s">
        <v>2552</v>
      </c>
      <c r="B88" s="4" t="str">
        <f>C88 &amp; "." &amp; D88</f>
        <v>RoleAssignments.Status</v>
      </c>
      <c r="C88" s="3" t="s">
        <v>1821</v>
      </c>
      <c r="D88" s="3" t="s">
        <v>8</v>
      </c>
      <c r="E88" s="3" t="s">
        <v>2416</v>
      </c>
      <c r="F88" s="3" t="s">
        <v>2417</v>
      </c>
      <c r="G88" s="3"/>
      <c r="H88" s="3"/>
      <c r="I88" s="4" t="b">
        <f>OR(((E88 = "calculated")=TRUE), ((E88 = "lookup")=TRUE), ((E88 = "aggregation")=TRUE))</f>
        <v>0</v>
      </c>
      <c r="J88" s="4" t="b">
        <f>H88 &lt;&gt; ""</f>
        <v>0</v>
      </c>
      <c r="K88" s="4">
        <f>COUNTIFS(FieldDisagreements!D2:D50, A88)</f>
        <v>0</v>
      </c>
      <c r="L88" s="4" t="b">
        <f>K88 &gt; 0</f>
        <v>0</v>
      </c>
      <c r="M88" s="3" t="s">
        <v>2418</v>
      </c>
    </row>
    <row r="89">
      <c r="A89" s="3" t="s">
        <v>2553</v>
      </c>
      <c r="B89" s="4" t="str">
        <f>C89 &amp; "." &amp; D89</f>
        <v>RoleAssignments.EvaluationContext</v>
      </c>
      <c r="C89" s="3" t="s">
        <v>1821</v>
      </c>
      <c r="D89" s="3" t="s">
        <v>258</v>
      </c>
      <c r="E89" s="3" t="s">
        <v>2465</v>
      </c>
      <c r="F89" s="3" t="s">
        <v>2417</v>
      </c>
      <c r="G89" s="3"/>
      <c r="H89" s="3"/>
      <c r="I89" s="4" t="b">
        <f>OR(((E89 = "calculated")=TRUE), ((E89 = "lookup")=TRUE), ((E89 = "aggregation")=TRUE))</f>
        <v>0</v>
      </c>
      <c r="J89" s="4" t="b">
        <f>H89 &lt;&gt; ""</f>
        <v>0</v>
      </c>
      <c r="K89" s="4">
        <f>COUNTIFS(FieldDisagreements!D2:D50, A89)</f>
        <v>0</v>
      </c>
      <c r="L89" s="4" t="b">
        <f>K89 &gt; 0</f>
        <v>0</v>
      </c>
      <c r="M89" s="3" t="s">
        <v>2418</v>
      </c>
    </row>
    <row r="90">
      <c r="A90" s="3" t="s">
        <v>2554</v>
      </c>
      <c r="B90" s="4" t="str">
        <f>C90 &amp; "." &amp; D90</f>
        <v>RoleAssignments.AsOfInstant</v>
      </c>
      <c r="C90" s="3" t="s">
        <v>1821</v>
      </c>
      <c r="D90" s="3" t="s">
        <v>92</v>
      </c>
      <c r="E90" s="3" t="s">
        <v>2509</v>
      </c>
      <c r="F90" s="3" t="s">
        <v>2428</v>
      </c>
      <c r="G90" s="3" t="s">
        <v>2555</v>
      </c>
      <c r="H90" s="3"/>
      <c r="I90" s="4" t="b">
        <f>OR(((E90 = "calculated")=TRUE), ((E90 = "lookup")=TRUE), ((E90 = "aggregation")=TRUE))</f>
        <v>1</v>
      </c>
      <c r="J90" s="4" t="b">
        <f>H90 &lt;&gt; ""</f>
        <v>0</v>
      </c>
      <c r="K90" s="4">
        <f>COUNTIFS(FieldDisagreements!D2:D50, A90)</f>
        <v>0</v>
      </c>
      <c r="L90" s="4" t="b">
        <f>K90 &gt; 0</f>
        <v>0</v>
      </c>
      <c r="M90" s="3" t="s">
        <v>2418</v>
      </c>
    </row>
    <row r="91">
      <c r="A91" s="3" t="s">
        <v>2556</v>
      </c>
      <c r="B91" s="4" t="str">
        <f>C91 &amp; "." &amp; D91</f>
        <v>RoleAssignments.IsCurrent</v>
      </c>
      <c r="C91" s="3" t="s">
        <v>1821</v>
      </c>
      <c r="D91" s="3" t="s">
        <v>10</v>
      </c>
      <c r="E91" s="3" t="s">
        <v>2420</v>
      </c>
      <c r="F91" s="3" t="s">
        <v>2432</v>
      </c>
      <c r="G91" s="3" t="s">
        <v>2557</v>
      </c>
      <c r="H91" s="3"/>
      <c r="I91" s="4" t="b">
        <f>OR(((E91 = "calculated")=TRUE), ((E91 = "lookup")=TRUE), ((E91 = "aggregation")=TRUE))</f>
        <v>1</v>
      </c>
      <c r="J91" s="4" t="b">
        <f>H91 &lt;&gt; ""</f>
        <v>0</v>
      </c>
      <c r="K91" s="4">
        <f>COUNTIFS(FieldDisagreements!D2:D50, A91)</f>
        <v>0</v>
      </c>
      <c r="L91" s="4" t="b">
        <f>K91 &gt; 0</f>
        <v>0</v>
      </c>
      <c r="M91" s="3" t="s">
        <v>2418</v>
      </c>
    </row>
    <row r="92">
      <c r="A92" s="3" t="s">
        <v>2558</v>
      </c>
      <c r="B92" s="4" t="str">
        <f>C92 &amp; "." &amp; D92</f>
        <v>RoleAssignments.CurrentAgentKey</v>
      </c>
      <c r="C92" s="3" t="s">
        <v>1821</v>
      </c>
      <c r="D92" s="3" t="s">
        <v>259</v>
      </c>
      <c r="E92" s="3" t="s">
        <v>2420</v>
      </c>
      <c r="F92" s="3" t="s">
        <v>2417</v>
      </c>
      <c r="G92" s="3" t="s">
        <v>2559</v>
      </c>
      <c r="H92" s="3"/>
      <c r="I92" s="4" t="b">
        <f>OR(((E92 = "calculated")=TRUE), ((E92 = "lookup")=TRUE), ((E92 = "aggregation")=TRUE))</f>
        <v>1</v>
      </c>
      <c r="J92" s="4" t="b">
        <f>H92 &lt;&gt; ""</f>
        <v>0</v>
      </c>
      <c r="K92" s="4">
        <f>COUNTIFS(FieldDisagreements!D2:D50, A92)</f>
        <v>0</v>
      </c>
      <c r="L92" s="4" t="b">
        <f>K92 &gt; 0</f>
        <v>0</v>
      </c>
      <c r="M92" s="3" t="s">
        <v>2418</v>
      </c>
    </row>
    <row r="93">
      <c r="A93" s="3" t="s">
        <v>2560</v>
      </c>
      <c r="B93" s="4" t="str">
        <f>C93 &amp; "." &amp; D93</f>
        <v>RoleAssignments.IsCurrentlyValid</v>
      </c>
      <c r="C93" s="3" t="s">
        <v>1821</v>
      </c>
      <c r="D93" s="3" t="s">
        <v>260</v>
      </c>
      <c r="E93" s="3" t="s">
        <v>2420</v>
      </c>
      <c r="F93" s="3" t="s">
        <v>2432</v>
      </c>
      <c r="G93" s="3" t="s">
        <v>2561</v>
      </c>
      <c r="H93" s="3" t="s">
        <v>1983</v>
      </c>
      <c r="I93" s="4" t="b">
        <f>OR(((E93 = "calculated")=TRUE), ((E93 = "lookup")=TRUE), ((E93 = "aggregation")=TRUE))</f>
        <v>1</v>
      </c>
      <c r="J93" s="4" t="b">
        <f>H93 &lt;&gt; ""</f>
        <v>1</v>
      </c>
      <c r="K93" s="4">
        <f>COUNTIFS(FieldDisagreements!D2:D50, A93)</f>
        <v>0</v>
      </c>
      <c r="L93" s="4" t="b">
        <f>K93 &gt; 0</f>
        <v>0</v>
      </c>
      <c r="M93" s="3" t="s">
        <v>2418</v>
      </c>
    </row>
    <row r="94">
      <c r="A94" s="3" t="s">
        <v>2562</v>
      </c>
      <c r="B94" s="4" t="str">
        <f>C94 &amp; "." &amp; D94</f>
        <v>RoleAssignments.AgentRoleKey</v>
      </c>
      <c r="C94" s="3" t="s">
        <v>1821</v>
      </c>
      <c r="D94" s="3" t="s">
        <v>261</v>
      </c>
      <c r="E94" s="3" t="s">
        <v>2420</v>
      </c>
      <c r="F94" s="3" t="s">
        <v>2417</v>
      </c>
      <c r="G94" s="3" t="s">
        <v>2563</v>
      </c>
      <c r="H94" s="3" t="s">
        <v>1983</v>
      </c>
      <c r="I94" s="4" t="b">
        <f>OR(((E94 = "calculated")=TRUE), ((E94 = "lookup")=TRUE), ((E94 = "aggregation")=TRUE))</f>
        <v>1</v>
      </c>
      <c r="J94" s="4" t="b">
        <f>H94 &lt;&gt; ""</f>
        <v>1</v>
      </c>
      <c r="K94" s="4">
        <f>COUNTIFS(FieldDisagreements!D2:D50, A94)</f>
        <v>0</v>
      </c>
      <c r="L94" s="4" t="b">
        <f>K94 &gt; 0</f>
        <v>0</v>
      </c>
      <c r="M94" s="3" t="s">
        <v>2418</v>
      </c>
    </row>
    <row r="95">
      <c r="A95" s="3" t="s">
        <v>2564</v>
      </c>
      <c r="B95" s="4" t="str">
        <f>C95 &amp; "." &amp; D95</f>
        <v>RoleAssignments.HasDeparted</v>
      </c>
      <c r="C95" s="3" t="s">
        <v>1821</v>
      </c>
      <c r="D95" s="3" t="s">
        <v>262</v>
      </c>
      <c r="E95" s="3" t="s">
        <v>2420</v>
      </c>
      <c r="F95" s="3" t="s">
        <v>2432</v>
      </c>
      <c r="G95" s="3" t="s">
        <v>2565</v>
      </c>
      <c r="H95" s="3" t="s">
        <v>2039</v>
      </c>
      <c r="I95" s="4" t="b">
        <f>OR(((E95 = "calculated")=TRUE), ((E95 = "lookup")=TRUE), ((E95 = "aggregation")=TRUE))</f>
        <v>1</v>
      </c>
      <c r="J95" s="4" t="b">
        <f>H95 &lt;&gt; ""</f>
        <v>1</v>
      </c>
      <c r="K95" s="4">
        <f>COUNTIFS(FieldDisagreements!D2:D50, A95)</f>
        <v>0</v>
      </c>
      <c r="L95" s="4" t="b">
        <f>K95 &gt; 0</f>
        <v>0</v>
      </c>
      <c r="M95" s="3" t="s">
        <v>2418</v>
      </c>
    </row>
    <row r="96">
      <c r="A96" s="3" t="s">
        <v>2566</v>
      </c>
      <c r="B96" s="4" t="str">
        <f>C96 &amp; "." &amp; D96</f>
        <v>RoleAssignments.CoversNow</v>
      </c>
      <c r="C96" s="3" t="s">
        <v>1821</v>
      </c>
      <c r="D96" s="3" t="s">
        <v>263</v>
      </c>
      <c r="E96" s="3" t="s">
        <v>2420</v>
      </c>
      <c r="F96" s="3" t="s">
        <v>2432</v>
      </c>
      <c r="G96" s="3" t="s">
        <v>2567</v>
      </c>
      <c r="H96" s="3" t="s">
        <v>2119</v>
      </c>
      <c r="I96" s="4" t="b">
        <f>OR(((E96 = "calculated")=TRUE), ((E96 = "lookup")=TRUE), ((E96 = "aggregation")=TRUE))</f>
        <v>1</v>
      </c>
      <c r="J96" s="4" t="b">
        <f>H96 &lt;&gt; ""</f>
        <v>1</v>
      </c>
      <c r="K96" s="4">
        <f>COUNTIFS(FieldDisagreements!D2:D50, A96)</f>
        <v>0</v>
      </c>
      <c r="L96" s="4" t="b">
        <f>K96 &gt; 0</f>
        <v>0</v>
      </c>
      <c r="M96" s="3" t="s">
        <v>2418</v>
      </c>
    </row>
    <row r="97">
      <c r="A97" s="3" t="s">
        <v>2568</v>
      </c>
      <c r="B97" s="4" t="str">
        <f>C97 &amp; "." &amp; D97</f>
        <v>RoleAssignments.RoleWhenCovering</v>
      </c>
      <c r="C97" s="3" t="s">
        <v>1821</v>
      </c>
      <c r="D97" s="3" t="s">
        <v>264</v>
      </c>
      <c r="E97" s="3" t="s">
        <v>2420</v>
      </c>
      <c r="F97" s="3" t="s">
        <v>2417</v>
      </c>
      <c r="G97" s="3" t="s">
        <v>2569</v>
      </c>
      <c r="H97" s="3" t="s">
        <v>2119</v>
      </c>
      <c r="I97" s="4" t="b">
        <f>OR(((E97 = "calculated")=TRUE), ((E97 = "lookup")=TRUE), ((E97 = "aggregation")=TRUE))</f>
        <v>1</v>
      </c>
      <c r="J97" s="4" t="b">
        <f>H97 &lt;&gt; ""</f>
        <v>1</v>
      </c>
      <c r="K97" s="4">
        <f>COUNTIFS(FieldDisagreements!D2:D50, A97)</f>
        <v>0</v>
      </c>
      <c r="L97" s="4" t="b">
        <f>K97 &gt; 0</f>
        <v>0</v>
      </c>
      <c r="M97" s="3" t="s">
        <v>2418</v>
      </c>
    </row>
    <row r="98">
      <c r="A98" s="3" t="s">
        <v>2570</v>
      </c>
      <c r="B98" s="4" t="str">
        <f>C98 &amp; "." &amp; D98</f>
        <v>RoleAssignments.AgentKind</v>
      </c>
      <c r="C98" s="3" t="s">
        <v>1821</v>
      </c>
      <c r="D98" s="3" t="s">
        <v>120</v>
      </c>
      <c r="E98" s="3" t="s">
        <v>2509</v>
      </c>
      <c r="F98" s="3" t="s">
        <v>2417</v>
      </c>
      <c r="G98" s="3" t="s">
        <v>2571</v>
      </c>
      <c r="H98" s="3" t="s">
        <v>2159</v>
      </c>
      <c r="I98" s="4" t="b">
        <f>OR(((E98 = "calculated")=TRUE), ((E98 = "lookup")=TRUE), ((E98 = "aggregation")=TRUE))</f>
        <v>1</v>
      </c>
      <c r="J98" s="4" t="b">
        <f>H98 &lt;&gt; ""</f>
        <v>1</v>
      </c>
      <c r="K98" s="4">
        <f>COUNTIFS(FieldDisagreements!D2:D50, A98)</f>
        <v>0</v>
      </c>
      <c r="L98" s="4" t="b">
        <f>K98 &gt; 0</f>
        <v>0</v>
      </c>
      <c r="M98" s="3" t="s">
        <v>2418</v>
      </c>
    </row>
    <row r="99">
      <c r="A99" s="3" t="s">
        <v>2572</v>
      </c>
      <c r="B99" s="4" t="str">
        <f>C99 &amp; "." &amp; D99</f>
        <v>RoleAssignments.IsNonHumanAssignment</v>
      </c>
      <c r="C99" s="3" t="s">
        <v>1821</v>
      </c>
      <c r="D99" s="3" t="s">
        <v>265</v>
      </c>
      <c r="E99" s="3" t="s">
        <v>2420</v>
      </c>
      <c r="F99" s="3" t="s">
        <v>2432</v>
      </c>
      <c r="G99" s="3" t="s">
        <v>2482</v>
      </c>
      <c r="H99" s="3" t="s">
        <v>2159</v>
      </c>
      <c r="I99" s="4" t="b">
        <f>OR(((E99 = "calculated")=TRUE), ((E99 = "lookup")=TRUE), ((E99 = "aggregation")=TRUE))</f>
        <v>1</v>
      </c>
      <c r="J99" s="4" t="b">
        <f>H99 &lt;&gt; ""</f>
        <v>1</v>
      </c>
      <c r="K99" s="4">
        <f>COUNTIFS(FieldDisagreements!D2:D50, A99)</f>
        <v>0</v>
      </c>
      <c r="L99" s="4" t="b">
        <f>K99 &gt; 0</f>
        <v>0</v>
      </c>
      <c r="M99" s="3" t="s">
        <v>2418</v>
      </c>
    </row>
    <row r="100">
      <c r="A100" s="3" t="s">
        <v>2573</v>
      </c>
      <c r="B100" s="4" t="str">
        <f>C100 &amp; "." &amp; D100</f>
        <v>RoleAssignments.SupersedesAssignment</v>
      </c>
      <c r="C100" s="3" t="s">
        <v>1821</v>
      </c>
      <c r="D100" s="3" t="s">
        <v>266</v>
      </c>
      <c r="E100" s="3" t="s">
        <v>2465</v>
      </c>
      <c r="F100" s="3" t="s">
        <v>2417</v>
      </c>
      <c r="G100" s="3"/>
      <c r="H100" s="3" t="s">
        <v>2159</v>
      </c>
      <c r="I100" s="4" t="b">
        <f>OR(((E100 = "calculated")=TRUE), ((E100 = "lookup")=TRUE), ((E100 = "aggregation")=TRUE))</f>
        <v>0</v>
      </c>
      <c r="J100" s="4" t="b">
        <f>H100 &lt;&gt; ""</f>
        <v>1</v>
      </c>
      <c r="K100" s="4">
        <f>COUNTIFS(FieldDisagreements!D2:D50, A100)</f>
        <v>0</v>
      </c>
      <c r="L100" s="4" t="b">
        <f>K100 &gt; 0</f>
        <v>0</v>
      </c>
      <c r="M100" s="3" t="s">
        <v>2418</v>
      </c>
    </row>
    <row r="101">
      <c r="A101" s="3" t="s">
        <v>2574</v>
      </c>
      <c r="B101" s="4" t="str">
        <f>C101 &amp; "." &amp; D101</f>
        <v>RoleAssignments.PredecessorAgentKind</v>
      </c>
      <c r="C101" s="3" t="s">
        <v>1821</v>
      </c>
      <c r="D101" s="3" t="s">
        <v>267</v>
      </c>
      <c r="E101" s="3" t="s">
        <v>2509</v>
      </c>
      <c r="F101" s="3" t="s">
        <v>2417</v>
      </c>
      <c r="G101" s="3" t="s">
        <v>2575</v>
      </c>
      <c r="H101" s="3" t="s">
        <v>2159</v>
      </c>
      <c r="I101" s="4" t="b">
        <f>OR(((E101 = "calculated")=TRUE), ((E101 = "lookup")=TRUE), ((E101 = "aggregation")=TRUE))</f>
        <v>1</v>
      </c>
      <c r="J101" s="4" t="b">
        <f>H101 &lt;&gt; ""</f>
        <v>1</v>
      </c>
      <c r="K101" s="4">
        <f>COUNTIFS(FieldDisagreements!D2:D50, A101)</f>
        <v>1</v>
      </c>
      <c r="L101" s="4" t="b">
        <f>K101 &gt; 0</f>
        <v>1</v>
      </c>
      <c r="M101" s="3" t="s">
        <v>2418</v>
      </c>
    </row>
    <row r="102">
      <c r="A102" s="3" t="s">
        <v>2576</v>
      </c>
      <c r="B102" s="4" t="str">
        <f>C102 &amp; "." &amp; D102</f>
        <v>RoleAssignments.IsHumanToNonHumanHandover</v>
      </c>
      <c r="C102" s="3" t="s">
        <v>1821</v>
      </c>
      <c r="D102" s="3" t="s">
        <v>268</v>
      </c>
      <c r="E102" s="3" t="s">
        <v>2420</v>
      </c>
      <c r="F102" s="3" t="s">
        <v>2432</v>
      </c>
      <c r="G102" s="3" t="s">
        <v>2577</v>
      </c>
      <c r="H102" s="3" t="s">
        <v>2159</v>
      </c>
      <c r="I102" s="4" t="b">
        <f>OR(((E102 = "calculated")=TRUE), ((E102 = "lookup")=TRUE), ((E102 = "aggregation")=TRUE))</f>
        <v>1</v>
      </c>
      <c r="J102" s="4" t="b">
        <f>H102 &lt;&gt; ""</f>
        <v>1</v>
      </c>
      <c r="K102" s="4">
        <f>COUNTIFS(FieldDisagreements!D2:D50, A102)</f>
        <v>1</v>
      </c>
      <c r="L102" s="4" t="b">
        <f>K102 &gt; 0</f>
        <v>1</v>
      </c>
      <c r="M102" s="3" t="s">
        <v>2418</v>
      </c>
    </row>
    <row r="103">
      <c r="A103" s="3" t="s">
        <v>2578</v>
      </c>
      <c r="B103" s="4" t="str">
        <f>C103 &amp; "." &amp; D103</f>
        <v>RoleAssignments.ApprovingAuthorityRole</v>
      </c>
      <c r="C103" s="3" t="s">
        <v>1821</v>
      </c>
      <c r="D103" s="3" t="s">
        <v>269</v>
      </c>
      <c r="E103" s="3" t="s">
        <v>2465</v>
      </c>
      <c r="F103" s="3" t="s">
        <v>2417</v>
      </c>
      <c r="G103" s="3"/>
      <c r="H103" s="3" t="s">
        <v>2159</v>
      </c>
      <c r="I103" s="4" t="b">
        <f>OR(((E103 = "calculated")=TRUE), ((E103 = "lookup")=TRUE), ((E103 = "aggregation")=TRUE))</f>
        <v>0</v>
      </c>
      <c r="J103" s="4" t="b">
        <f>H103 &lt;&gt; ""</f>
        <v>1</v>
      </c>
      <c r="K103" s="4">
        <f>COUNTIFS(FieldDisagreements!D2:D50, A103)</f>
        <v>0</v>
      </c>
      <c r="L103" s="4" t="b">
        <f>K103 &gt; 0</f>
        <v>0</v>
      </c>
      <c r="M103" s="3" t="s">
        <v>2418</v>
      </c>
    </row>
    <row r="104">
      <c r="A104" s="3" t="s">
        <v>2579</v>
      </c>
      <c r="B104" s="4" t="str">
        <f>C104 &amp; "." &amp; D104</f>
        <v>RoleAssignments.AuthorizingChangeRequest</v>
      </c>
      <c r="C104" s="3" t="s">
        <v>1821</v>
      </c>
      <c r="D104" s="3" t="s">
        <v>270</v>
      </c>
      <c r="E104" s="3" t="s">
        <v>2465</v>
      </c>
      <c r="F104" s="3" t="s">
        <v>2417</v>
      </c>
      <c r="G104" s="3"/>
      <c r="H104" s="3" t="s">
        <v>2159</v>
      </c>
      <c r="I104" s="4" t="b">
        <f>OR(((E104 = "calculated")=TRUE), ((E104 = "lookup")=TRUE), ((E104 = "aggregation")=TRUE))</f>
        <v>0</v>
      </c>
      <c r="J104" s="4" t="b">
        <f>H104 &lt;&gt; ""</f>
        <v>1</v>
      </c>
      <c r="K104" s="4">
        <f>COUNTIFS(FieldDisagreements!D2:D50, A104)</f>
        <v>0</v>
      </c>
      <c r="L104" s="4" t="b">
        <f>K104 &gt; 0</f>
        <v>0</v>
      </c>
      <c r="M104" s="3" t="s">
        <v>2418</v>
      </c>
    </row>
    <row r="105">
      <c r="A105" s="3" t="s">
        <v>2580</v>
      </c>
      <c r="B105" s="4" t="str">
        <f>C105 &amp; "." &amp; D105</f>
        <v>RoleAssignments.IsUnauthorizedNonHumanAssignment</v>
      </c>
      <c r="C105" s="3" t="s">
        <v>1821</v>
      </c>
      <c r="D105" s="3" t="s">
        <v>271</v>
      </c>
      <c r="E105" s="3" t="s">
        <v>2420</v>
      </c>
      <c r="F105" s="3" t="s">
        <v>2432</v>
      </c>
      <c r="G105" s="3" t="s">
        <v>2581</v>
      </c>
      <c r="H105" s="3" t="s">
        <v>2159</v>
      </c>
      <c r="I105" s="4" t="b">
        <f>OR(((E105 = "calculated")=TRUE), ((E105 = "lookup")=TRUE), ((E105 = "aggregation")=TRUE))</f>
        <v>1</v>
      </c>
      <c r="J105" s="4" t="b">
        <f>H105 &lt;&gt; ""</f>
        <v>1</v>
      </c>
      <c r="K105" s="4">
        <f>COUNTIFS(FieldDisagreements!D2:D50, A105)</f>
        <v>0</v>
      </c>
      <c r="L105" s="4" t="b">
        <f>K105 &gt; 0</f>
        <v>0</v>
      </c>
      <c r="M105" s="3" t="s">
        <v>2418</v>
      </c>
    </row>
    <row r="106">
      <c r="A106" s="3" t="s">
        <v>2582</v>
      </c>
      <c r="B106" s="4" t="str">
        <f>C106 &amp; "." &amp; D106</f>
        <v>RoleAssignments.WasAuthorizedByChangeRequest</v>
      </c>
      <c r="C106" s="3" t="s">
        <v>1821</v>
      </c>
      <c r="D106" s="3" t="s">
        <v>272</v>
      </c>
      <c r="E106" s="3" t="s">
        <v>2420</v>
      </c>
      <c r="F106" s="3" t="s">
        <v>2432</v>
      </c>
      <c r="G106" s="3" t="s">
        <v>2583</v>
      </c>
      <c r="H106" s="3"/>
      <c r="I106" s="4" t="b">
        <f>OR(((E106 = "calculated")=TRUE), ((E106 = "lookup")=TRUE), ((E106 = "aggregation")=TRUE))</f>
        <v>1</v>
      </c>
      <c r="J106" s="4" t="b">
        <f>H106 &lt;&gt; ""</f>
        <v>0</v>
      </c>
      <c r="K106" s="4">
        <f>COUNTIFS(FieldDisagreements!D2:D50, A106)</f>
        <v>0</v>
      </c>
      <c r="L106" s="4" t="b">
        <f>K106 &gt; 0</f>
        <v>0</v>
      </c>
      <c r="M106" s="3" t="s">
        <v>2418</v>
      </c>
    </row>
    <row r="107">
      <c r="A107" s="3" t="s">
        <v>2584</v>
      </c>
      <c r="B107" s="4" t="str">
        <f>C107 &amp; "." &amp; D107</f>
        <v>RoleAssignments.DecisionCount</v>
      </c>
      <c r="C107" s="3" t="s">
        <v>1821</v>
      </c>
      <c r="D107" s="3" t="s">
        <v>126</v>
      </c>
      <c r="E107" s="3" t="s">
        <v>2469</v>
      </c>
      <c r="F107" s="3" t="s">
        <v>2475</v>
      </c>
      <c r="G107" s="3" t="s">
        <v>2585</v>
      </c>
      <c r="H107" s="3" t="s">
        <v>2163</v>
      </c>
      <c r="I107" s="4" t="b">
        <f>OR(((E107 = "calculated")=TRUE), ((E107 = "lookup")=TRUE), ((E107 = "aggregation")=TRUE))</f>
        <v>1</v>
      </c>
      <c r="J107" s="4" t="b">
        <f>H107 &lt;&gt; ""</f>
        <v>1</v>
      </c>
      <c r="K107" s="4">
        <f>COUNTIFS(FieldDisagreements!D2:D50, A107)</f>
        <v>0</v>
      </c>
      <c r="L107" s="4" t="b">
        <f>K107 &gt; 0</f>
        <v>0</v>
      </c>
      <c r="M107" s="3" t="s">
        <v>2418</v>
      </c>
    </row>
    <row r="108">
      <c r="A108" s="3" t="s">
        <v>2586</v>
      </c>
      <c r="B108" s="4" t="str">
        <f>C108 &amp; "." &amp; D108</f>
        <v>RoleAssignments.OverriddenDecisionCount</v>
      </c>
      <c r="C108" s="3" t="s">
        <v>1821</v>
      </c>
      <c r="D108" s="3" t="s">
        <v>127</v>
      </c>
      <c r="E108" s="3" t="s">
        <v>2469</v>
      </c>
      <c r="F108" s="3" t="s">
        <v>2475</v>
      </c>
      <c r="G108" s="3" t="s">
        <v>2587</v>
      </c>
      <c r="H108" s="3" t="s">
        <v>2163</v>
      </c>
      <c r="I108" s="4" t="b">
        <f>OR(((E108 = "calculated")=TRUE), ((E108 = "lookup")=TRUE), ((E108 = "aggregation")=TRUE))</f>
        <v>1</v>
      </c>
      <c r="J108" s="4" t="b">
        <f>H108 &lt;&gt; ""</f>
        <v>1</v>
      </c>
      <c r="K108" s="4">
        <f>COUNTIFS(FieldDisagreements!D2:D50, A108)</f>
        <v>0</v>
      </c>
      <c r="L108" s="4" t="b">
        <f>K108 &gt; 0</f>
        <v>0</v>
      </c>
      <c r="M108" s="3" t="s">
        <v>2418</v>
      </c>
    </row>
    <row r="109">
      <c r="A109" s="3" t="s">
        <v>2588</v>
      </c>
      <c r="B109" s="4" t="str">
        <f>C109 &amp; "." &amp; D109</f>
        <v>RoleAssignments.OverrideRatePercent</v>
      </c>
      <c r="C109" s="3" t="s">
        <v>1821</v>
      </c>
      <c r="D109" s="3" t="s">
        <v>128</v>
      </c>
      <c r="E109" s="3" t="s">
        <v>2420</v>
      </c>
      <c r="F109" s="3" t="s">
        <v>2475</v>
      </c>
      <c r="G109" s="3" t="s">
        <v>2480</v>
      </c>
      <c r="H109" s="3" t="s">
        <v>2163</v>
      </c>
      <c r="I109" s="4" t="b">
        <f>OR(((E109 = "calculated")=TRUE), ((E109 = "lookup")=TRUE), ((E109 = "aggregation")=TRUE))</f>
        <v>1</v>
      </c>
      <c r="J109" s="4" t="b">
        <f>H109 &lt;&gt; ""</f>
        <v>1</v>
      </c>
      <c r="K109" s="4">
        <f>COUNTIFS(FieldDisagreements!D2:D50, A109)</f>
        <v>0</v>
      </c>
      <c r="L109" s="4" t="b">
        <f>K109 &gt; 0</f>
        <v>0</v>
      </c>
      <c r="M109" s="3" t="s">
        <v>2418</v>
      </c>
    </row>
    <row r="110">
      <c r="A110" s="3" t="s">
        <v>2589</v>
      </c>
      <c r="B110" s="4" t="str">
        <f>C110 &amp; "." &amp; D110</f>
        <v>RoleAssignments.PredecessorOverrideRatePercent</v>
      </c>
      <c r="C110" s="3" t="s">
        <v>1821</v>
      </c>
      <c r="D110" s="3" t="s">
        <v>273</v>
      </c>
      <c r="E110" s="3" t="s">
        <v>2509</v>
      </c>
      <c r="F110" s="3" t="s">
        <v>2475</v>
      </c>
      <c r="G110" s="3" t="s">
        <v>2590</v>
      </c>
      <c r="H110" s="3" t="s">
        <v>2163</v>
      </c>
      <c r="I110" s="4" t="b">
        <f>OR(((E110 = "calculated")=TRUE), ((E110 = "lookup")=TRUE), ((E110 = "aggregation")=TRUE))</f>
        <v>1</v>
      </c>
      <c r="J110" s="4" t="b">
        <f>H110 &lt;&gt; ""</f>
        <v>1</v>
      </c>
      <c r="K110" s="4">
        <f>COUNTIFS(FieldDisagreements!D2:D50, A110)</f>
        <v>0</v>
      </c>
      <c r="L110" s="4" t="b">
        <f>K110 &gt; 0</f>
        <v>0</v>
      </c>
      <c r="M110" s="3" t="s">
        <v>2418</v>
      </c>
    </row>
    <row r="111">
      <c r="A111" s="3" t="s">
        <v>2591</v>
      </c>
      <c r="B111" s="4" t="str">
        <f>C111 &amp; "." &amp; D111</f>
        <v>RoleAssignments.QualityRegressedVsPredecessor</v>
      </c>
      <c r="C111" s="3" t="s">
        <v>1821</v>
      </c>
      <c r="D111" s="3" t="s">
        <v>274</v>
      </c>
      <c r="E111" s="3" t="s">
        <v>2420</v>
      </c>
      <c r="F111" s="3" t="s">
        <v>2432</v>
      </c>
      <c r="G111" s="3" t="s">
        <v>2592</v>
      </c>
      <c r="H111" s="3" t="s">
        <v>2163</v>
      </c>
      <c r="I111" s="4" t="b">
        <f>OR(((E111 = "calculated")=TRUE), ((E111 = "lookup")=TRUE), ((E111 = "aggregation")=TRUE))</f>
        <v>1</v>
      </c>
      <c r="J111" s="4" t="b">
        <f>H111 &lt;&gt; ""</f>
        <v>1</v>
      </c>
      <c r="K111" s="4">
        <f>COUNTIFS(FieldDisagreements!D2:D50, A111)</f>
        <v>0</v>
      </c>
      <c r="L111" s="4" t="b">
        <f>K111 &gt; 0</f>
        <v>0</v>
      </c>
      <c r="M111" s="3" t="s">
        <v>2418</v>
      </c>
    </row>
    <row r="112">
      <c r="A112" s="3" t="s">
        <v>2593</v>
      </c>
      <c r="B112" s="4" t="str">
        <f>C112 &amp; "." &amp; D112</f>
        <v>RoleAssignments.DepartedRoleKey</v>
      </c>
      <c r="C112" s="3" t="s">
        <v>1821</v>
      </c>
      <c r="D112" s="3" t="s">
        <v>275</v>
      </c>
      <c r="E112" s="3" t="s">
        <v>2420</v>
      </c>
      <c r="F112" s="3" t="s">
        <v>2417</v>
      </c>
      <c r="G112" s="3" t="s">
        <v>2594</v>
      </c>
      <c r="H112" s="3" t="s">
        <v>2235</v>
      </c>
      <c r="I112" s="4" t="b">
        <f>OR(((E112 = "calculated")=TRUE), ((E112 = "lookup")=TRUE), ((E112 = "aggregation")=TRUE))</f>
        <v>1</v>
      </c>
      <c r="J112" s="4" t="b">
        <f>H112 &lt;&gt; ""</f>
        <v>1</v>
      </c>
      <c r="K112" s="4">
        <f>COUNTIFS(FieldDisagreements!D2:D50, A112)</f>
        <v>0</v>
      </c>
      <c r="L112" s="4" t="b">
        <f>K112 &gt; 0</f>
        <v>0</v>
      </c>
      <c r="M112" s="3" t="s">
        <v>2418</v>
      </c>
    </row>
    <row r="113">
      <c r="A113" s="3" t="s">
        <v>2595</v>
      </c>
      <c r="B113" s="4" t="str">
        <f>C113 &amp; "." &amp; D113</f>
        <v>RoleAssignments.MinimumDecisionsForComparison</v>
      </c>
      <c r="C113" s="3" t="s">
        <v>1821</v>
      </c>
      <c r="D113" s="3" t="s">
        <v>276</v>
      </c>
      <c r="E113" s="3" t="s">
        <v>2416</v>
      </c>
      <c r="F113" s="3" t="s">
        <v>2470</v>
      </c>
      <c r="G113" s="3"/>
      <c r="H113" s="3" t="s">
        <v>2339</v>
      </c>
      <c r="I113" s="4" t="b">
        <f>OR(((E113 = "calculated")=TRUE), ((E113 = "lookup")=TRUE), ((E113 = "aggregation")=TRUE))</f>
        <v>0</v>
      </c>
      <c r="J113" s="4" t="b">
        <f>H113 &lt;&gt; ""</f>
        <v>1</v>
      </c>
      <c r="K113" s="4">
        <f>COUNTIFS(FieldDisagreements!D2:D50, A113)</f>
        <v>0</v>
      </c>
      <c r="L113" s="4" t="b">
        <f>K113 &gt; 0</f>
        <v>0</v>
      </c>
      <c r="M113" s="3" t="s">
        <v>2418</v>
      </c>
    </row>
    <row r="114">
      <c r="A114" s="3" t="s">
        <v>2596</v>
      </c>
      <c r="B114" s="4" t="str">
        <f>C114 &amp; "." &amp; D114</f>
        <v>RoleAssignments.PredecessorDecisionCount</v>
      </c>
      <c r="C114" s="3" t="s">
        <v>1821</v>
      </c>
      <c r="D114" s="3" t="s">
        <v>277</v>
      </c>
      <c r="E114" s="3" t="s">
        <v>2509</v>
      </c>
      <c r="F114" s="3" t="s">
        <v>2475</v>
      </c>
      <c r="G114" s="3" t="s">
        <v>2597</v>
      </c>
      <c r="H114" s="3" t="s">
        <v>2339</v>
      </c>
      <c r="I114" s="4" t="b">
        <f>OR(((E114 = "calculated")=TRUE), ((E114 = "lookup")=TRUE), ((E114 = "aggregation")=TRUE))</f>
        <v>1</v>
      </c>
      <c r="J114" s="4" t="b">
        <f>H114 &lt;&gt; ""</f>
        <v>1</v>
      </c>
      <c r="K114" s="4">
        <f>COUNTIFS(FieldDisagreements!D2:D50, A114)</f>
        <v>0</v>
      </c>
      <c r="L114" s="4" t="b">
        <f>K114 &gt; 0</f>
        <v>0</v>
      </c>
      <c r="M114" s="3" t="s">
        <v>2418</v>
      </c>
    </row>
    <row r="115">
      <c r="A115" s="3" t="s">
        <v>2598</v>
      </c>
      <c r="B115" s="4" t="str">
        <f>C115 &amp; "." &amp; D115</f>
        <v>RoleAssignments.HasSufficientSample</v>
      </c>
      <c r="C115" s="3" t="s">
        <v>1821</v>
      </c>
      <c r="D115" s="3" t="s">
        <v>278</v>
      </c>
      <c r="E115" s="3" t="s">
        <v>2420</v>
      </c>
      <c r="F115" s="3" t="s">
        <v>2432</v>
      </c>
      <c r="G115" s="3" t="s">
        <v>2599</v>
      </c>
      <c r="H115" s="3" t="s">
        <v>2339</v>
      </c>
      <c r="I115" s="4" t="b">
        <f>OR(((E115 = "calculated")=TRUE), ((E115 = "lookup")=TRUE), ((E115 = "aggregation")=TRUE))</f>
        <v>1</v>
      </c>
      <c r="J115" s="4" t="b">
        <f>H115 &lt;&gt; ""</f>
        <v>1</v>
      </c>
      <c r="K115" s="4">
        <f>COUNTIFS(FieldDisagreements!D2:D50, A115)</f>
        <v>0</v>
      </c>
      <c r="L115" s="4" t="b">
        <f>K115 &gt; 0</f>
        <v>0</v>
      </c>
      <c r="M115" s="3" t="s">
        <v>2418</v>
      </c>
    </row>
    <row r="116">
      <c r="A116" s="3" t="s">
        <v>2600</v>
      </c>
      <c r="B116" s="4" t="str">
        <f>C116 &amp; "." &amp; D116</f>
        <v>RoleAssignments.PredecessorHasSufficientSample</v>
      </c>
      <c r="C116" s="3" t="s">
        <v>1821</v>
      </c>
      <c r="D116" s="3" t="s">
        <v>279</v>
      </c>
      <c r="E116" s="3" t="s">
        <v>2420</v>
      </c>
      <c r="F116" s="3" t="s">
        <v>2432</v>
      </c>
      <c r="G116" s="3" t="s">
        <v>2601</v>
      </c>
      <c r="H116" s="3" t="s">
        <v>2339</v>
      </c>
      <c r="I116" s="4" t="b">
        <f>OR(((E116 = "calculated")=TRUE), ((E116 = "lookup")=TRUE), ((E116 = "aggregation")=TRUE))</f>
        <v>1</v>
      </c>
      <c r="J116" s="4" t="b">
        <f>H116 &lt;&gt; ""</f>
        <v>1</v>
      </c>
      <c r="K116" s="4">
        <f>COUNTIFS(FieldDisagreements!D2:D50, A116)</f>
        <v>0</v>
      </c>
      <c r="L116" s="4" t="b">
        <f>K116 &gt; 0</f>
        <v>0</v>
      </c>
      <c r="M116" s="3" t="s">
        <v>2418</v>
      </c>
    </row>
    <row r="117">
      <c r="A117" s="3" t="s">
        <v>2602</v>
      </c>
      <c r="B117" s="4" t="str">
        <f>C117 &amp; "." &amp; D117</f>
        <v>RoleAssignments.ComparisonIsEvidentiallySound</v>
      </c>
      <c r="C117" s="3" t="s">
        <v>1821</v>
      </c>
      <c r="D117" s="3" t="s">
        <v>280</v>
      </c>
      <c r="E117" s="3" t="s">
        <v>2420</v>
      </c>
      <c r="F117" s="3" t="s">
        <v>2432</v>
      </c>
      <c r="G117" s="3" t="s">
        <v>2603</v>
      </c>
      <c r="H117" s="3" t="s">
        <v>2339</v>
      </c>
      <c r="I117" s="4" t="b">
        <f>OR(((E117 = "calculated")=TRUE), ((E117 = "lookup")=TRUE), ((E117 = "aggregation")=TRUE))</f>
        <v>1</v>
      </c>
      <c r="J117" s="4" t="b">
        <f>H117 &lt;&gt; ""</f>
        <v>1</v>
      </c>
      <c r="K117" s="4">
        <f>COUNTIFS(FieldDisagreements!D2:D50, A117)</f>
        <v>0</v>
      </c>
      <c r="L117" s="4" t="b">
        <f>K117 &gt; 0</f>
        <v>0</v>
      </c>
      <c r="M117" s="3" t="s">
        <v>2418</v>
      </c>
    </row>
    <row r="118">
      <c r="A118" s="3" t="s">
        <v>2604</v>
      </c>
      <c r="B118" s="4" t="str">
        <f>C118 &amp; "." &amp; D118</f>
        <v>RoleAssignments.SingleOverrideSwingPercent</v>
      </c>
      <c r="C118" s="3" t="s">
        <v>1821</v>
      </c>
      <c r="D118" s="3" t="s">
        <v>281</v>
      </c>
      <c r="E118" s="3" t="s">
        <v>2420</v>
      </c>
      <c r="F118" s="3" t="s">
        <v>2475</v>
      </c>
      <c r="G118" s="3" t="s">
        <v>2605</v>
      </c>
      <c r="H118" s="3" t="s">
        <v>2339</v>
      </c>
      <c r="I118" s="4" t="b">
        <f>OR(((E118 = "calculated")=TRUE), ((E118 = "lookup")=TRUE), ((E118 = "aggregation")=TRUE))</f>
        <v>1</v>
      </c>
      <c r="J118" s="4" t="b">
        <f>H118 &lt;&gt; ""</f>
        <v>1</v>
      </c>
      <c r="K118" s="4">
        <f>COUNTIFS(FieldDisagreements!D2:D50, A118)</f>
        <v>0</v>
      </c>
      <c r="L118" s="4" t="b">
        <f>K118 &gt; 0</f>
        <v>0</v>
      </c>
      <c r="M118" s="3" t="s">
        <v>2418</v>
      </c>
    </row>
    <row r="119">
      <c r="A119" s="3" t="s">
        <v>2606</v>
      </c>
      <c r="B119" s="4" t="str">
        <f>C119 &amp; "." &amp; D119</f>
        <v>RoleAssignments.QualityVerdictIsUnsupported</v>
      </c>
      <c r="C119" s="3" t="s">
        <v>1821</v>
      </c>
      <c r="D119" s="3" t="s">
        <v>282</v>
      </c>
      <c r="E119" s="3" t="s">
        <v>2420</v>
      </c>
      <c r="F119" s="3" t="s">
        <v>2432</v>
      </c>
      <c r="G119" s="3" t="s">
        <v>2607</v>
      </c>
      <c r="H119" s="3" t="s">
        <v>2339</v>
      </c>
      <c r="I119" s="4" t="b">
        <f>OR(((E119 = "calculated")=TRUE), ((E119 = "lookup")=TRUE), ((E119 = "aggregation")=TRUE))</f>
        <v>1</v>
      </c>
      <c r="J119" s="4" t="b">
        <f>H119 &lt;&gt; ""</f>
        <v>1</v>
      </c>
      <c r="K119" s="4">
        <f>COUNTIFS(FieldDisagreements!D2:D50, A119)</f>
        <v>0</v>
      </c>
      <c r="L119" s="4" t="b">
        <f>K119 &gt; 0</f>
        <v>0</v>
      </c>
      <c r="M119" s="3" t="s">
        <v>2418</v>
      </c>
    </row>
    <row r="120">
      <c r="A120" s="3" t="s">
        <v>2608</v>
      </c>
      <c r="B120" s="4" t="str">
        <f>C120 &amp; "." &amp; D120</f>
        <v>RoleAssignments.IsUnmeasuredAutomationHandover</v>
      </c>
      <c r="C120" s="3" t="s">
        <v>1821</v>
      </c>
      <c r="D120" s="3" t="s">
        <v>283</v>
      </c>
      <c r="E120" s="3" t="s">
        <v>2420</v>
      </c>
      <c r="F120" s="3" t="s">
        <v>2432</v>
      </c>
      <c r="G120" s="3" t="s">
        <v>2609</v>
      </c>
      <c r="H120" s="3" t="s">
        <v>2339</v>
      </c>
      <c r="I120" s="4" t="b">
        <f>OR(((E120 = "calculated")=TRUE), ((E120 = "lookup")=TRUE), ((E120 = "aggregation")=TRUE))</f>
        <v>1</v>
      </c>
      <c r="J120" s="4" t="b">
        <f>H120 &lt;&gt; ""</f>
        <v>1</v>
      </c>
      <c r="K120" s="4">
        <f>COUNTIFS(FieldDisagreements!D2:D50, A120)</f>
        <v>0</v>
      </c>
      <c r="L120" s="4" t="b">
        <f>K120 &gt; 0</f>
        <v>0</v>
      </c>
      <c r="M120" s="3" t="s">
        <v>2418</v>
      </c>
    </row>
    <row r="121">
      <c r="A121" s="3" t="s">
        <v>2610</v>
      </c>
      <c r="B121" s="4" t="str">
        <f>C121 &amp; "." &amp; D121</f>
        <v>RoleAssignments.ErrorCorrectionCount</v>
      </c>
      <c r="C121" s="3" t="s">
        <v>1821</v>
      </c>
      <c r="D121" s="3" t="s">
        <v>284</v>
      </c>
      <c r="E121" s="3" t="s">
        <v>2469</v>
      </c>
      <c r="F121" s="3" t="s">
        <v>2475</v>
      </c>
      <c r="G121" s="3" t="s">
        <v>2611</v>
      </c>
      <c r="H121" s="3" t="s">
        <v>2347</v>
      </c>
      <c r="I121" s="4" t="b">
        <f>OR(((E121 = "calculated")=TRUE), ((E121 = "lookup")=TRUE), ((E121 = "aggregation")=TRUE))</f>
        <v>1</v>
      </c>
      <c r="J121" s="4" t="b">
        <f>H121 &lt;&gt; ""</f>
        <v>1</v>
      </c>
      <c r="K121" s="4">
        <f>COUNTIFS(FieldDisagreements!D2:D50, A121)</f>
        <v>0</v>
      </c>
      <c r="L121" s="4" t="b">
        <f>K121 &gt; 0</f>
        <v>0</v>
      </c>
      <c r="M121" s="3" t="s">
        <v>2418</v>
      </c>
    </row>
    <row r="122">
      <c r="A122" s="3" t="s">
        <v>2612</v>
      </c>
      <c r="B122" s="4" t="str">
        <f>C122 &amp; "." &amp; D122</f>
        <v>RoleAssignments.ErrorRatePercent</v>
      </c>
      <c r="C122" s="3" t="s">
        <v>1821</v>
      </c>
      <c r="D122" s="3" t="s">
        <v>285</v>
      </c>
      <c r="E122" s="3" t="s">
        <v>2420</v>
      </c>
      <c r="F122" s="3" t="s">
        <v>2475</v>
      </c>
      <c r="G122" s="3" t="s">
        <v>2613</v>
      </c>
      <c r="H122" s="3" t="s">
        <v>2347</v>
      </c>
      <c r="I122" s="4" t="b">
        <f>OR(((E122 = "calculated")=TRUE), ((E122 = "lookup")=TRUE), ((E122 = "aggregation")=TRUE))</f>
        <v>1</v>
      </c>
      <c r="J122" s="4" t="b">
        <f>H122 &lt;&gt; ""</f>
        <v>1</v>
      </c>
      <c r="K122" s="4">
        <f>COUNTIFS(FieldDisagreements!D2:D50, A122)</f>
        <v>0</v>
      </c>
      <c r="L122" s="4" t="b">
        <f>K122 &gt; 0</f>
        <v>0</v>
      </c>
      <c r="M122" s="3" t="s">
        <v>2418</v>
      </c>
    </row>
    <row r="123">
      <c r="A123" s="3" t="s">
        <v>2614</v>
      </c>
      <c r="B123" s="4" t="str">
        <f>C123 &amp; "." &amp; D123</f>
        <v>RoleAssignments.AuthorizationDecidedAt</v>
      </c>
      <c r="C123" s="3" t="s">
        <v>1821</v>
      </c>
      <c r="D123" s="3" t="s">
        <v>286</v>
      </c>
      <c r="E123" s="3" t="s">
        <v>2416</v>
      </c>
      <c r="F123" s="3" t="s">
        <v>2428</v>
      </c>
      <c r="G123" s="3"/>
      <c r="H123" s="3" t="s">
        <v>2351</v>
      </c>
      <c r="I123" s="4" t="b">
        <f>OR(((E123 = "calculated")=TRUE), ((E123 = "lookup")=TRUE), ((E123 = "aggregation")=TRUE))</f>
        <v>0</v>
      </c>
      <c r="J123" s="4" t="b">
        <f>H123 &lt;&gt; ""</f>
        <v>1</v>
      </c>
      <c r="K123" s="4">
        <f>COUNTIFS(FieldDisagreements!D2:D50, A123)</f>
        <v>0</v>
      </c>
      <c r="L123" s="4" t="b">
        <f>K123 &gt; 0</f>
        <v>0</v>
      </c>
      <c r="M123" s="3" t="s">
        <v>2418</v>
      </c>
    </row>
    <row r="124">
      <c r="A124" s="3" t="s">
        <v>2615</v>
      </c>
      <c r="B124" s="4" t="str">
        <f>C124 &amp; "." &amp; D124</f>
        <v>RoleAssignments.AuthorizationReviewedAt</v>
      </c>
      <c r="C124" s="3" t="s">
        <v>1821</v>
      </c>
      <c r="D124" s="3" t="s">
        <v>287</v>
      </c>
      <c r="E124" s="3" t="s">
        <v>2416</v>
      </c>
      <c r="F124" s="3" t="s">
        <v>2428</v>
      </c>
      <c r="G124" s="3"/>
      <c r="H124" s="3" t="s">
        <v>2351</v>
      </c>
      <c r="I124" s="4" t="b">
        <f>OR(((E124 = "calculated")=TRUE), ((E124 = "lookup")=TRUE), ((E124 = "aggregation")=TRUE))</f>
        <v>0</v>
      </c>
      <c r="J124" s="4" t="b">
        <f>H124 &lt;&gt; ""</f>
        <v>1</v>
      </c>
      <c r="K124" s="4">
        <f>COUNTIFS(FieldDisagreements!D2:D50, A124)</f>
        <v>0</v>
      </c>
      <c r="L124" s="4" t="b">
        <f>K124 &gt; 0</f>
        <v>0</v>
      </c>
      <c r="M124" s="3" t="s">
        <v>2418</v>
      </c>
    </row>
    <row r="125">
      <c r="A125" s="3" t="s">
        <v>2616</v>
      </c>
      <c r="B125" s="4" t="str">
        <f>C125 &amp; "." &amp; D125</f>
        <v>RoleAssignments.AuthorizationReviewCadenceDays</v>
      </c>
      <c r="C125" s="3" t="s">
        <v>1821</v>
      </c>
      <c r="D125" s="3" t="s">
        <v>288</v>
      </c>
      <c r="E125" s="3" t="s">
        <v>2416</v>
      </c>
      <c r="F125" s="3" t="s">
        <v>2470</v>
      </c>
      <c r="G125" s="3"/>
      <c r="H125" s="3" t="s">
        <v>2351</v>
      </c>
      <c r="I125" s="4" t="b">
        <f>OR(((E125 = "calculated")=TRUE), ((E125 = "lookup")=TRUE), ((E125 = "aggregation")=TRUE))</f>
        <v>0</v>
      </c>
      <c r="J125" s="4" t="b">
        <f>H125 &lt;&gt; ""</f>
        <v>1</v>
      </c>
      <c r="K125" s="4">
        <f>COUNTIFS(FieldDisagreements!D2:D50, A125)</f>
        <v>0</v>
      </c>
      <c r="L125" s="4" t="b">
        <f>K125 &gt; 0</f>
        <v>0</v>
      </c>
      <c r="M125" s="3" t="s">
        <v>2418</v>
      </c>
    </row>
    <row r="126">
      <c r="A126" s="3" t="s">
        <v>2617</v>
      </c>
      <c r="B126" s="4" t="str">
        <f>C126 &amp; "." &amp; D126</f>
        <v>RoleAssignments.HasDatedAuthorization</v>
      </c>
      <c r="C126" s="3" t="s">
        <v>1821</v>
      </c>
      <c r="D126" s="3" t="s">
        <v>289</v>
      </c>
      <c r="E126" s="3" t="s">
        <v>2420</v>
      </c>
      <c r="F126" s="3" t="s">
        <v>2432</v>
      </c>
      <c r="G126" s="3" t="s">
        <v>2618</v>
      </c>
      <c r="H126" s="3" t="s">
        <v>2351</v>
      </c>
      <c r="I126" s="4" t="b">
        <f>OR(((E126 = "calculated")=TRUE), ((E126 = "lookup")=TRUE), ((E126 = "aggregation")=TRUE))</f>
        <v>1</v>
      </c>
      <c r="J126" s="4" t="b">
        <f>H126 &lt;&gt; ""</f>
        <v>1</v>
      </c>
      <c r="K126" s="4">
        <f>COUNTIFS(FieldDisagreements!D2:D50, A126)</f>
        <v>0</v>
      </c>
      <c r="L126" s="4" t="b">
        <f>K126 &gt; 0</f>
        <v>0</v>
      </c>
      <c r="M126" s="3" t="s">
        <v>2418</v>
      </c>
    </row>
    <row r="127">
      <c r="A127" s="3" t="s">
        <v>2619</v>
      </c>
      <c r="B127" s="4" t="str">
        <f>C127 &amp; "." &amp; D127</f>
        <v>RoleAssignments.DaysSinceAuthorizationReview</v>
      </c>
      <c r="C127" s="3" t="s">
        <v>1821</v>
      </c>
      <c r="D127" s="3" t="s">
        <v>290</v>
      </c>
      <c r="E127" s="3" t="s">
        <v>2420</v>
      </c>
      <c r="F127" s="3" t="s">
        <v>2470</v>
      </c>
      <c r="G127" s="3" t="s">
        <v>2620</v>
      </c>
      <c r="H127" s="3" t="s">
        <v>2351</v>
      </c>
      <c r="I127" s="4" t="b">
        <f>OR(((E127 = "calculated")=TRUE), ((E127 = "lookup")=TRUE), ((E127 = "aggregation")=TRUE))</f>
        <v>1</v>
      </c>
      <c r="J127" s="4" t="b">
        <f>H127 &lt;&gt; ""</f>
        <v>1</v>
      </c>
      <c r="K127" s="4">
        <f>COUNTIFS(FieldDisagreements!D2:D50, A127)</f>
        <v>0</v>
      </c>
      <c r="L127" s="4" t="b">
        <f>K127 &gt; 0</f>
        <v>0</v>
      </c>
      <c r="M127" s="3" t="s">
        <v>2418</v>
      </c>
    </row>
    <row r="128">
      <c r="A128" s="3" t="s">
        <v>2621</v>
      </c>
      <c r="B128" s="4" t="str">
        <f>C128 &amp; "." &amp; D128</f>
        <v>RoleAssignments.AuthorizationIsOverdueForReview</v>
      </c>
      <c r="C128" s="3" t="s">
        <v>1821</v>
      </c>
      <c r="D128" s="3" t="s">
        <v>291</v>
      </c>
      <c r="E128" s="3" t="s">
        <v>2420</v>
      </c>
      <c r="F128" s="3" t="s">
        <v>2432</v>
      </c>
      <c r="G128" s="3" t="s">
        <v>2622</v>
      </c>
      <c r="H128" s="3" t="s">
        <v>2351</v>
      </c>
      <c r="I128" s="4" t="b">
        <f>OR(((E128 = "calculated")=TRUE), ((E128 = "lookup")=TRUE), ((E128 = "aggregation")=TRUE))</f>
        <v>1</v>
      </c>
      <c r="J128" s="4" t="b">
        <f>H128 &lt;&gt; ""</f>
        <v>1</v>
      </c>
      <c r="K128" s="4">
        <f>COUNTIFS(FieldDisagreements!D2:D50, A128)</f>
        <v>0</v>
      </c>
      <c r="L128" s="4" t="b">
        <f>K128 &gt; 0</f>
        <v>0</v>
      </c>
      <c r="M128" s="3" t="s">
        <v>2418</v>
      </c>
    </row>
    <row r="129">
      <c r="A129" s="3" t="s">
        <v>2623</v>
      </c>
      <c r="B129" s="4" t="str">
        <f>C129 &amp; "." &amp; D129</f>
        <v>RoleAssignments.IsStandingUnreviewedAutomation</v>
      </c>
      <c r="C129" s="3" t="s">
        <v>1821</v>
      </c>
      <c r="D129" s="3" t="s">
        <v>292</v>
      </c>
      <c r="E129" s="3" t="s">
        <v>2420</v>
      </c>
      <c r="F129" s="3" t="s">
        <v>2432</v>
      </c>
      <c r="G129" s="3" t="s">
        <v>2624</v>
      </c>
      <c r="H129" s="3" t="s">
        <v>2351</v>
      </c>
      <c r="I129" s="4" t="b">
        <f>OR(((E129 = "calculated")=TRUE), ((E129 = "lookup")=TRUE), ((E129 = "aggregation")=TRUE))</f>
        <v>1</v>
      </c>
      <c r="J129" s="4" t="b">
        <f>H129 &lt;&gt; ""</f>
        <v>1</v>
      </c>
      <c r="K129" s="4">
        <f>COUNTIFS(FieldDisagreements!D2:D50, A129)</f>
        <v>0</v>
      </c>
      <c r="L129" s="4" t="b">
        <f>K129 &gt; 0</f>
        <v>0</v>
      </c>
      <c r="M129" s="3" t="s">
        <v>2418</v>
      </c>
    </row>
    <row r="130">
      <c r="A130" s="3" t="s">
        <v>2625</v>
      </c>
      <c r="B130" s="4" t="str">
        <f>C130 &amp; "." &amp; D130</f>
        <v>RoleAssignments.IsUnconditionedAutomationHandover</v>
      </c>
      <c r="C130" s="3" t="s">
        <v>1821</v>
      </c>
      <c r="D130" s="3" t="s">
        <v>293</v>
      </c>
      <c r="E130" s="3" t="s">
        <v>2420</v>
      </c>
      <c r="F130" s="3" t="s">
        <v>2432</v>
      </c>
      <c r="G130" s="3" t="s">
        <v>2626</v>
      </c>
      <c r="H130" s="3" t="s">
        <v>2351</v>
      </c>
      <c r="I130" s="4" t="b">
        <f>OR(((E130 = "calculated")=TRUE), ((E130 = "lookup")=TRUE), ((E130 = "aggregation")=TRUE))</f>
        <v>1</v>
      </c>
      <c r="J130" s="4" t="b">
        <f>H130 &lt;&gt; ""</f>
        <v>1</v>
      </c>
      <c r="K130" s="4">
        <f>COUNTIFS(FieldDisagreements!D2:D50, A130)</f>
        <v>1</v>
      </c>
      <c r="L130" s="4" t="b">
        <f>K130 &gt; 0</f>
        <v>1</v>
      </c>
      <c r="M130" s="3" t="s">
        <v>2418</v>
      </c>
    </row>
    <row r="131">
      <c r="A131" s="3" t="s">
        <v>2627</v>
      </c>
      <c r="B131" s="4" t="str">
        <f>C131 &amp; "." &amp; D131</f>
        <v>RoleAssignments.MaxTolerableErrorRatePercent</v>
      </c>
      <c r="C131" s="3" t="s">
        <v>1821</v>
      </c>
      <c r="D131" s="3" t="s">
        <v>294</v>
      </c>
      <c r="E131" s="3" t="s">
        <v>2416</v>
      </c>
      <c r="F131" s="3" t="s">
        <v>2470</v>
      </c>
      <c r="G131" s="3"/>
      <c r="H131" s="3" t="s">
        <v>2355</v>
      </c>
      <c r="I131" s="4" t="b">
        <f>OR(((E131 = "calculated")=TRUE), ((E131 = "lookup")=TRUE), ((E131 = "aggregation")=TRUE))</f>
        <v>0</v>
      </c>
      <c r="J131" s="4" t="b">
        <f>H131 &lt;&gt; ""</f>
        <v>1</v>
      </c>
      <c r="K131" s="4">
        <f>COUNTIFS(FieldDisagreements!D2:D50, A131)</f>
        <v>0</v>
      </c>
      <c r="L131" s="4" t="b">
        <f>K131 &gt; 0</f>
        <v>0</v>
      </c>
      <c r="M131" s="3" t="s">
        <v>2418</v>
      </c>
    </row>
    <row r="132">
      <c r="A132" s="3" t="s">
        <v>2628</v>
      </c>
      <c r="B132" s="4" t="str">
        <f>C132 &amp; "." &amp; D132</f>
        <v>RoleAssignments.ExceedsTolerableErrorRate</v>
      </c>
      <c r="C132" s="3" t="s">
        <v>1821</v>
      </c>
      <c r="D132" s="3" t="s">
        <v>295</v>
      </c>
      <c r="E132" s="3" t="s">
        <v>2420</v>
      </c>
      <c r="F132" s="3" t="s">
        <v>2432</v>
      </c>
      <c r="G132" s="3" t="s">
        <v>2629</v>
      </c>
      <c r="H132" s="3" t="s">
        <v>2355</v>
      </c>
      <c r="I132" s="4" t="b">
        <f>OR(((E132 = "calculated")=TRUE), ((E132 = "lookup")=TRUE), ((E132 = "aggregation")=TRUE))</f>
        <v>1</v>
      </c>
      <c r="J132" s="4" t="b">
        <f>H132 &lt;&gt; ""</f>
        <v>1</v>
      </c>
      <c r="K132" s="4">
        <f>COUNTIFS(FieldDisagreements!D2:D50, A132)</f>
        <v>0</v>
      </c>
      <c r="L132" s="4" t="b">
        <f>K132 &gt; 0</f>
        <v>0</v>
      </c>
      <c r="M132" s="3" t="s">
        <v>2418</v>
      </c>
    </row>
    <row r="133">
      <c r="A133" s="3" t="s">
        <v>2630</v>
      </c>
      <c r="B133" s="4" t="str">
        <f>C133 &amp; "." &amp; D133</f>
        <v>RoleAssignments.BoundaryViolationCountForAssignment</v>
      </c>
      <c r="C133" s="3" t="s">
        <v>1821</v>
      </c>
      <c r="D133" s="3" t="s">
        <v>296</v>
      </c>
      <c r="E133" s="3" t="s">
        <v>2469</v>
      </c>
      <c r="F133" s="3" t="s">
        <v>2475</v>
      </c>
      <c r="G133" s="3" t="s">
        <v>2631</v>
      </c>
      <c r="H133" s="3" t="s">
        <v>2355</v>
      </c>
      <c r="I133" s="4" t="b">
        <f>OR(((E133 = "calculated")=TRUE), ((E133 = "lookup")=TRUE), ((E133 = "aggregation")=TRUE))</f>
        <v>1</v>
      </c>
      <c r="J133" s="4" t="b">
        <f>H133 &lt;&gt; ""</f>
        <v>1</v>
      </c>
      <c r="K133" s="4">
        <f>COUNTIFS(FieldDisagreements!D2:D50, A133)</f>
        <v>0</v>
      </c>
      <c r="L133" s="4" t="b">
        <f>K133 &gt; 0</f>
        <v>0</v>
      </c>
      <c r="M133" s="3" t="s">
        <v>2418</v>
      </c>
    </row>
    <row r="134">
      <c r="A134" s="3" t="s">
        <v>2632</v>
      </c>
      <c r="B134" s="4" t="str">
        <f>C134 &amp; "." &amp; D134</f>
        <v>RoleAssignments.HasAnyBoundaryViolation</v>
      </c>
      <c r="C134" s="3" t="s">
        <v>1821</v>
      </c>
      <c r="D134" s="3" t="s">
        <v>297</v>
      </c>
      <c r="E134" s="3" t="s">
        <v>2420</v>
      </c>
      <c r="F134" s="3" t="s">
        <v>2432</v>
      </c>
      <c r="G134" s="3" t="s">
        <v>2633</v>
      </c>
      <c r="H134" s="3" t="s">
        <v>2355</v>
      </c>
      <c r="I134" s="4" t="b">
        <f>OR(((E134 = "calculated")=TRUE), ((E134 = "lookup")=TRUE), ((E134 = "aggregation")=TRUE))</f>
        <v>1</v>
      </c>
      <c r="J134" s="4" t="b">
        <f>H134 &lt;&gt; ""</f>
        <v>1</v>
      </c>
      <c r="K134" s="4">
        <f>COUNTIFS(FieldDisagreements!D2:D50, A134)</f>
        <v>0</v>
      </c>
      <c r="L134" s="4" t="b">
        <f>K134 &gt; 0</f>
        <v>0</v>
      </c>
      <c r="M134" s="3" t="s">
        <v>2418</v>
      </c>
    </row>
    <row r="135">
      <c r="A135" s="3" t="s">
        <v>2634</v>
      </c>
      <c r="B135" s="4" t="str">
        <f>C135 &amp; "." &amp; D135</f>
        <v>RoleAssignments.HasUngroundedGoverningBoundary</v>
      </c>
      <c r="C135" s="3" t="s">
        <v>1821</v>
      </c>
      <c r="D135" s="3" t="s">
        <v>298</v>
      </c>
      <c r="E135" s="3" t="s">
        <v>2509</v>
      </c>
      <c r="F135" s="3" t="s">
        <v>2432</v>
      </c>
      <c r="G135" s="3" t="s">
        <v>2635</v>
      </c>
      <c r="H135" s="3" t="s">
        <v>2355</v>
      </c>
      <c r="I135" s="4" t="b">
        <f>OR(((E135 = "calculated")=TRUE), ((E135 = "lookup")=TRUE), ((E135 = "aggregation")=TRUE))</f>
        <v>1</v>
      </c>
      <c r="J135" s="4" t="b">
        <f>H135 &lt;&gt; ""</f>
        <v>1</v>
      </c>
      <c r="K135" s="4">
        <f>COUNTIFS(FieldDisagreements!D2:D50, A135)</f>
        <v>0</v>
      </c>
      <c r="L135" s="4" t="b">
        <f>K135 &gt; 0</f>
        <v>0</v>
      </c>
      <c r="M135" s="3" t="s">
        <v>2418</v>
      </c>
    </row>
    <row r="136">
      <c r="A136" s="3" t="s">
        <v>2636</v>
      </c>
      <c r="B136" s="4" t="str">
        <f>C136 &amp; "." &amp; D136</f>
        <v>RoleAssignments.SuspensionConditionMet</v>
      </c>
      <c r="C136" s="3" t="s">
        <v>1821</v>
      </c>
      <c r="D136" s="3" t="s">
        <v>299</v>
      </c>
      <c r="E136" s="3" t="s">
        <v>2420</v>
      </c>
      <c r="F136" s="3" t="s">
        <v>2432</v>
      </c>
      <c r="G136" s="3" t="s">
        <v>2637</v>
      </c>
      <c r="H136" s="3" t="s">
        <v>2355</v>
      </c>
      <c r="I136" s="4" t="b">
        <f>OR(((E136 = "calculated")=TRUE), ((E136 = "lookup")=TRUE), ((E136 = "aggregation")=TRUE))</f>
        <v>1</v>
      </c>
      <c r="J136" s="4" t="b">
        <f>H136 &lt;&gt; ""</f>
        <v>1</v>
      </c>
      <c r="K136" s="4">
        <f>COUNTIFS(FieldDisagreements!D2:D50, A136)</f>
        <v>0</v>
      </c>
      <c r="L136" s="4" t="b">
        <f>K136 &gt; 0</f>
        <v>0</v>
      </c>
      <c r="M136" s="3" t="s">
        <v>2418</v>
      </c>
    </row>
    <row r="137">
      <c r="A137" s="3" t="s">
        <v>2638</v>
      </c>
      <c r="B137" s="4" t="str">
        <f>C137 &amp; "." &amp; D137</f>
        <v>RoleAssignments.IsOperatingUnderMetSuspensionCondition</v>
      </c>
      <c r="C137" s="3" t="s">
        <v>1821</v>
      </c>
      <c r="D137" s="3" t="s">
        <v>300</v>
      </c>
      <c r="E137" s="3" t="s">
        <v>2420</v>
      </c>
      <c r="F137" s="3" t="s">
        <v>2432</v>
      </c>
      <c r="G137" s="3" t="s">
        <v>2639</v>
      </c>
      <c r="H137" s="3" t="s">
        <v>2355</v>
      </c>
      <c r="I137" s="4" t="b">
        <f>OR(((E137 = "calculated")=TRUE), ((E137 = "lookup")=TRUE), ((E137 = "aggregation")=TRUE))</f>
        <v>1</v>
      </c>
      <c r="J137" s="4" t="b">
        <f>H137 &lt;&gt; ""</f>
        <v>1</v>
      </c>
      <c r="K137" s="4">
        <f>COUNTIFS(FieldDisagreements!D2:D50, A137)</f>
        <v>0</v>
      </c>
      <c r="L137" s="4" t="b">
        <f>K137 &gt; 0</f>
        <v>0</v>
      </c>
      <c r="M137" s="3" t="s">
        <v>2418</v>
      </c>
    </row>
    <row r="138">
      <c r="A138" s="3" t="s">
        <v>2640</v>
      </c>
      <c r="B138" s="4" t="str">
        <f>C138 &amp; "." &amp; D138</f>
        <v>RoleAssignments.HasDeclaredSuspensionCondition</v>
      </c>
      <c r="C138" s="3" t="s">
        <v>1821</v>
      </c>
      <c r="D138" s="3" t="s">
        <v>301</v>
      </c>
      <c r="E138" s="3" t="s">
        <v>2420</v>
      </c>
      <c r="F138" s="3" t="s">
        <v>2432</v>
      </c>
      <c r="G138" s="3" t="s">
        <v>2641</v>
      </c>
      <c r="H138" s="3" t="s">
        <v>2355</v>
      </c>
      <c r="I138" s="4" t="b">
        <f>OR(((E138 = "calculated")=TRUE), ((E138 = "lookup")=TRUE), ((E138 = "aggregation")=TRUE))</f>
        <v>1</v>
      </c>
      <c r="J138" s="4" t="b">
        <f>H138 &lt;&gt; ""</f>
        <v>1</v>
      </c>
      <c r="K138" s="4">
        <f>COUNTIFS(FieldDisagreements!D2:D50, A138)</f>
        <v>0</v>
      </c>
      <c r="L138" s="4" t="b">
        <f>K138 &gt; 0</f>
        <v>0</v>
      </c>
      <c r="M138" s="3" t="s">
        <v>2418</v>
      </c>
    </row>
    <row r="139">
      <c r="A139" s="3" t="s">
        <v>2642</v>
      </c>
      <c r="B139" s="4" t="str">
        <f>C139 &amp; "." &amp; D139</f>
        <v>RoleAssignments.HasApprovingAuthority</v>
      </c>
      <c r="C139" s="3" t="s">
        <v>1821</v>
      </c>
      <c r="D139" s="3" t="s">
        <v>302</v>
      </c>
      <c r="E139" s="3" t="s">
        <v>2420</v>
      </c>
      <c r="F139" s="3" t="s">
        <v>2432</v>
      </c>
      <c r="G139" s="3" t="s">
        <v>2643</v>
      </c>
      <c r="H139" s="3" t="s">
        <v>2367</v>
      </c>
      <c r="I139" s="4" t="b">
        <f>OR(((E139 = "calculated")=TRUE), ((E139 = "lookup")=TRUE), ((E139 = "aggregation")=TRUE))</f>
        <v>1</v>
      </c>
      <c r="J139" s="4" t="b">
        <f>H139 &lt;&gt; ""</f>
        <v>1</v>
      </c>
      <c r="K139" s="4">
        <f>COUNTIFS(FieldDisagreements!D2:D50, A139)</f>
        <v>0</v>
      </c>
      <c r="L139" s="4" t="b">
        <f>K139 &gt; 0</f>
        <v>0</v>
      </c>
      <c r="M139" s="3" t="s">
        <v>2418</v>
      </c>
    </row>
    <row r="140">
      <c r="A140" s="3" t="s">
        <v>2644</v>
      </c>
      <c r="B140" s="4" t="str">
        <f>C140 &amp; "." &amp; D140</f>
        <v>RoleAssignments.HasAuthorizingChangeRequest</v>
      </c>
      <c r="C140" s="3" t="s">
        <v>1821</v>
      </c>
      <c r="D140" s="3" t="s">
        <v>303</v>
      </c>
      <c r="E140" s="3" t="s">
        <v>2420</v>
      </c>
      <c r="F140" s="3" t="s">
        <v>2432</v>
      </c>
      <c r="G140" s="3" t="s">
        <v>2645</v>
      </c>
      <c r="H140" s="3" t="s">
        <v>2367</v>
      </c>
      <c r="I140" s="4" t="b">
        <f>OR(((E140 = "calculated")=TRUE), ((E140 = "lookup")=TRUE), ((E140 = "aggregation")=TRUE))</f>
        <v>1</v>
      </c>
      <c r="J140" s="4" t="b">
        <f>H140 &lt;&gt; ""</f>
        <v>1</v>
      </c>
      <c r="K140" s="4">
        <f>COUNTIFS(FieldDisagreements!D2:D50, A140)</f>
        <v>0</v>
      </c>
      <c r="L140" s="4" t="b">
        <f>K140 &gt; 0</f>
        <v>0</v>
      </c>
      <c r="M140" s="3" t="s">
        <v>2418</v>
      </c>
    </row>
    <row r="141">
      <c r="A141" s="3" t="s">
        <v>2646</v>
      </c>
      <c r="B141" s="4" t="str">
        <f>C141 &amp; "." &amp; D141</f>
        <v>RoleAssignments.IsEnforcementRole</v>
      </c>
      <c r="C141" s="3" t="s">
        <v>1821</v>
      </c>
      <c r="D141" s="3" t="s">
        <v>304</v>
      </c>
      <c r="E141" s="3" t="s">
        <v>2416</v>
      </c>
      <c r="F141" s="3" t="s">
        <v>2432</v>
      </c>
      <c r="G141" s="3"/>
      <c r="H141" s="3" t="s">
        <v>2367</v>
      </c>
      <c r="I141" s="4" t="b">
        <f>OR(((E141 = "calculated")=TRUE), ((E141 = "lookup")=TRUE), ((E141 = "aggregation")=TRUE))</f>
        <v>0</v>
      </c>
      <c r="J141" s="4" t="b">
        <f>H141 &lt;&gt; ""</f>
        <v>1</v>
      </c>
      <c r="K141" s="4">
        <f>COUNTIFS(FieldDisagreements!D2:D50, A141)</f>
        <v>0</v>
      </c>
      <c r="L141" s="4" t="b">
        <f>K141 &gt; 0</f>
        <v>0</v>
      </c>
      <c r="M141" s="3" t="s">
        <v>2418</v>
      </c>
    </row>
    <row r="142">
      <c r="A142" s="3" t="s">
        <v>2647</v>
      </c>
      <c r="B142" s="4" t="str">
        <f>C142 &amp; "." &amp; D142</f>
        <v>RoleAssignments.IsUnauthorizedEnforcementAgent</v>
      </c>
      <c r="C142" s="3" t="s">
        <v>1821</v>
      </c>
      <c r="D142" s="3" t="s">
        <v>305</v>
      </c>
      <c r="E142" s="3" t="s">
        <v>2420</v>
      </c>
      <c r="F142" s="3" t="s">
        <v>2432</v>
      </c>
      <c r="G142" s="3" t="s">
        <v>2648</v>
      </c>
      <c r="H142" s="3" t="s">
        <v>2367</v>
      </c>
      <c r="I142" s="4" t="b">
        <f>OR(((E142 = "calculated")=TRUE), ((E142 = "lookup")=TRUE), ((E142 = "aggregation")=TRUE))</f>
        <v>1</v>
      </c>
      <c r="J142" s="4" t="b">
        <f>H142 &lt;&gt; ""</f>
        <v>1</v>
      </c>
      <c r="K142" s="4">
        <f>COUNTIFS(FieldDisagreements!D2:D50, A142)</f>
        <v>0</v>
      </c>
      <c r="L142" s="4" t="b">
        <f>K142 &gt; 0</f>
        <v>0</v>
      </c>
      <c r="M142" s="3" t="s">
        <v>2418</v>
      </c>
    </row>
    <row r="143">
      <c r="A143" s="3" t="s">
        <v>2649</v>
      </c>
      <c r="B143" s="4" t="str">
        <f>C143 &amp; "." &amp; D143</f>
        <v>RoleAssignments.GovernanceEvidenceCount</v>
      </c>
      <c r="C143" s="3" t="s">
        <v>1821</v>
      </c>
      <c r="D143" s="3" t="s">
        <v>306</v>
      </c>
      <c r="E143" s="3" t="s">
        <v>2420</v>
      </c>
      <c r="F143" s="3" t="s">
        <v>2470</v>
      </c>
      <c r="G143" s="3" t="s">
        <v>2650</v>
      </c>
      <c r="H143" s="3" t="s">
        <v>2367</v>
      </c>
      <c r="I143" s="4" t="b">
        <f>OR(((E143 = "calculated")=TRUE), ((E143 = "lookup")=TRUE), ((E143 = "aggregation")=TRUE))</f>
        <v>1</v>
      </c>
      <c r="J143" s="4" t="b">
        <f>H143 &lt;&gt; ""</f>
        <v>1</v>
      </c>
      <c r="K143" s="4">
        <f>COUNTIFS(FieldDisagreements!D2:D50, A143)</f>
        <v>0</v>
      </c>
      <c r="L143" s="4" t="b">
        <f>K143 &gt; 0</f>
        <v>0</v>
      </c>
      <c r="M143" s="3" t="s">
        <v>2418</v>
      </c>
    </row>
    <row r="144">
      <c r="A144" s="3" t="s">
        <v>2651</v>
      </c>
      <c r="B144" s="4" t="str">
        <f>C144 &amp; "." &amp; D144</f>
        <v>RoleAssignments.UnauthorizedEnforcementRoleKey</v>
      </c>
      <c r="C144" s="3" t="s">
        <v>1821</v>
      </c>
      <c r="D144" s="3" t="s">
        <v>307</v>
      </c>
      <c r="E144" s="3" t="s">
        <v>2420</v>
      </c>
      <c r="F144" s="3" t="s">
        <v>2417</v>
      </c>
      <c r="G144" s="3" t="s">
        <v>2652</v>
      </c>
      <c r="H144" s="3" t="s">
        <v>2367</v>
      </c>
      <c r="I144" s="4" t="b">
        <f>OR(((E144 = "calculated")=TRUE), ((E144 = "lookup")=TRUE), ((E144 = "aggregation")=TRUE))</f>
        <v>1</v>
      </c>
      <c r="J144" s="4" t="b">
        <f>H144 &lt;&gt; ""</f>
        <v>1</v>
      </c>
      <c r="K144" s="4">
        <f>COUNTIFS(FieldDisagreements!D2:D50, A144)</f>
        <v>0</v>
      </c>
      <c r="L144" s="4" t="b">
        <f>K144 &gt; 0</f>
        <v>0</v>
      </c>
      <c r="M144" s="3" t="s">
        <v>2418</v>
      </c>
    </row>
    <row r="145">
      <c r="A145" s="3" t="s">
        <v>2653</v>
      </c>
      <c r="B145" s="4" t="str">
        <f>C145 &amp; "." &amp; D145</f>
        <v>RoleAssignments.SemanticTypeIri</v>
      </c>
      <c r="C145" s="3" t="s">
        <v>1821</v>
      </c>
      <c r="D145" s="3" t="s">
        <v>94</v>
      </c>
      <c r="E145" s="3" t="s">
        <v>2416</v>
      </c>
      <c r="F145" s="3" t="s">
        <v>2417</v>
      </c>
      <c r="G145" s="3"/>
      <c r="H145" s="3"/>
      <c r="I145" s="4" t="b">
        <f>OR(((E145 = "calculated")=TRUE), ((E145 = "lookup")=TRUE), ((E145 = "aggregation")=TRUE))</f>
        <v>0</v>
      </c>
      <c r="J145" s="4" t="b">
        <f>H145 &lt;&gt; ""</f>
        <v>0</v>
      </c>
      <c r="K145" s="4">
        <f>COUNTIFS(FieldDisagreements!D2:D50, A145)</f>
        <v>0</v>
      </c>
      <c r="L145" s="4" t="b">
        <f>K145 &gt; 0</f>
        <v>0</v>
      </c>
      <c r="M145" s="3" t="s">
        <v>2418</v>
      </c>
    </row>
    <row r="146">
      <c r="A146" s="3" t="s">
        <v>2654</v>
      </c>
      <c r="B146" s="4" t="str">
        <f>C146 &amp; "." &amp; D146</f>
        <v>CommunitiesOfPractice.CommunityOfPracticeId</v>
      </c>
      <c r="C146" s="3" t="s">
        <v>2655</v>
      </c>
      <c r="D146" s="3" t="s">
        <v>325</v>
      </c>
      <c r="E146" s="3" t="s">
        <v>2416</v>
      </c>
      <c r="F146" s="3" t="s">
        <v>2417</v>
      </c>
      <c r="G146" s="3"/>
      <c r="H146" s="3"/>
      <c r="I146" s="4" t="b">
        <f>OR(((E146 = "calculated")=TRUE), ((E146 = "lookup")=TRUE), ((E146 = "aggregation")=TRUE))</f>
        <v>0</v>
      </c>
      <c r="J146" s="4" t="b">
        <f>H146 &lt;&gt; ""</f>
        <v>0</v>
      </c>
      <c r="K146" s="4">
        <f>COUNTIFS(FieldDisagreements!D2:D50, A146)</f>
        <v>0</v>
      </c>
      <c r="L146" s="4" t="b">
        <f>K146 &gt; 0</f>
        <v>0</v>
      </c>
      <c r="M146" s="3" t="s">
        <v>2418</v>
      </c>
    </row>
    <row r="147">
      <c r="A147" s="3" t="s">
        <v>2656</v>
      </c>
      <c r="B147" s="4" t="str">
        <f>C147 &amp; "." &amp; D147</f>
        <v>CommunitiesOfPractice.Name</v>
      </c>
      <c r="C147" s="3" t="s">
        <v>2655</v>
      </c>
      <c r="D147" s="3" t="s">
        <v>1</v>
      </c>
      <c r="E147" s="3" t="s">
        <v>2420</v>
      </c>
      <c r="F147" s="3" t="s">
        <v>2417</v>
      </c>
      <c r="G147" s="3" t="s">
        <v>2504</v>
      </c>
      <c r="H147" s="3"/>
      <c r="I147" s="4" t="b">
        <f>OR(((E147 = "calculated")=TRUE), ((E147 = "lookup")=TRUE), ((E147 = "aggregation")=TRUE))</f>
        <v>1</v>
      </c>
      <c r="J147" s="4" t="b">
        <f>H147 &lt;&gt; ""</f>
        <v>0</v>
      </c>
      <c r="K147" s="4">
        <f>COUNTIFS(FieldDisagreements!D2:D50, A147)</f>
        <v>0</v>
      </c>
      <c r="L147" s="4" t="b">
        <f>K147 &gt; 0</f>
        <v>0</v>
      </c>
      <c r="M147" s="3" t="s">
        <v>2418</v>
      </c>
    </row>
    <row r="148">
      <c r="A148" s="3" t="s">
        <v>2657</v>
      </c>
      <c r="B148" s="4" t="str">
        <f>C148 &amp; "." &amp; D148</f>
        <v>CommunitiesOfPractice.Label</v>
      </c>
      <c r="C148" s="3" t="s">
        <v>2655</v>
      </c>
      <c r="D148" s="3" t="s">
        <v>19</v>
      </c>
      <c r="E148" s="3" t="s">
        <v>2416</v>
      </c>
      <c r="F148" s="3" t="s">
        <v>2417</v>
      </c>
      <c r="G148" s="3"/>
      <c r="H148" s="3"/>
      <c r="I148" s="4" t="b">
        <f>OR(((E148 = "calculated")=TRUE), ((E148 = "lookup")=TRUE), ((E148 = "aggregation")=TRUE))</f>
        <v>0</v>
      </c>
      <c r="J148" s="4" t="b">
        <f>H148 &lt;&gt; ""</f>
        <v>0</v>
      </c>
      <c r="K148" s="4">
        <f>COUNTIFS(FieldDisagreements!D2:D50, A148)</f>
        <v>0</v>
      </c>
      <c r="L148" s="4" t="b">
        <f>K148 &gt; 0</f>
        <v>0</v>
      </c>
      <c r="M148" s="3" t="s">
        <v>2418</v>
      </c>
    </row>
    <row r="149">
      <c r="A149" s="3" t="s">
        <v>2658</v>
      </c>
      <c r="B149" s="4" t="str">
        <f>C149 &amp; "." &amp; D149</f>
        <v>CommunitiesOfPractice.Organization</v>
      </c>
      <c r="C149" s="3" t="s">
        <v>2655</v>
      </c>
      <c r="D149" s="3" t="s">
        <v>121</v>
      </c>
      <c r="E149" s="3" t="s">
        <v>2465</v>
      </c>
      <c r="F149" s="3" t="s">
        <v>2417</v>
      </c>
      <c r="G149" s="3"/>
      <c r="H149" s="3"/>
      <c r="I149" s="4" t="b">
        <f>OR(((E149 = "calculated")=TRUE), ((E149 = "lookup")=TRUE), ((E149 = "aggregation")=TRUE))</f>
        <v>0</v>
      </c>
      <c r="J149" s="4" t="b">
        <f>H149 &lt;&gt; ""</f>
        <v>0</v>
      </c>
      <c r="K149" s="4">
        <f>COUNTIFS(FieldDisagreements!D2:D50, A149)</f>
        <v>0</v>
      </c>
      <c r="L149" s="4" t="b">
        <f>K149 &gt; 0</f>
        <v>0</v>
      </c>
      <c r="M149" s="3" t="s">
        <v>2418</v>
      </c>
    </row>
    <row r="150">
      <c r="A150" s="3" t="s">
        <v>2659</v>
      </c>
      <c r="B150" s="4" t="str">
        <f>C150 &amp; "." &amp; D150</f>
        <v>CommunitiesOfPractice.StewardRole</v>
      </c>
      <c r="C150" s="3" t="s">
        <v>2655</v>
      </c>
      <c r="D150" s="3" t="s">
        <v>326</v>
      </c>
      <c r="E150" s="3" t="s">
        <v>2465</v>
      </c>
      <c r="F150" s="3" t="s">
        <v>2417</v>
      </c>
      <c r="G150" s="3"/>
      <c r="H150" s="3"/>
      <c r="I150" s="4" t="b">
        <f>OR(((E150 = "calculated")=TRUE), ((E150 = "lookup")=TRUE), ((E150 = "aggregation")=TRUE))</f>
        <v>0</v>
      </c>
      <c r="J150" s="4" t="b">
        <f>H150 &lt;&gt; ""</f>
        <v>0</v>
      </c>
      <c r="K150" s="4">
        <f>COUNTIFS(FieldDisagreements!D2:D50, A150)</f>
        <v>0</v>
      </c>
      <c r="L150" s="4" t="b">
        <f>K150 &gt; 0</f>
        <v>0</v>
      </c>
      <c r="M150" s="3" t="s">
        <v>2418</v>
      </c>
    </row>
    <row r="151">
      <c r="A151" s="3" t="s">
        <v>2660</v>
      </c>
      <c r="B151" s="4" t="str">
        <f>C151 &amp; "." &amp; D151</f>
        <v>CommunitiesOfPractice.Purpose</v>
      </c>
      <c r="C151" s="3" t="s">
        <v>2655</v>
      </c>
      <c r="D151" s="3" t="s">
        <v>327</v>
      </c>
      <c r="E151" s="3" t="s">
        <v>2416</v>
      </c>
      <c r="F151" s="3" t="s">
        <v>2417</v>
      </c>
      <c r="G151" s="3"/>
      <c r="H151" s="3"/>
      <c r="I151" s="4" t="b">
        <f>OR(((E151 = "calculated")=TRUE), ((E151 = "lookup")=TRUE), ((E151 = "aggregation")=TRUE))</f>
        <v>0</v>
      </c>
      <c r="J151" s="4" t="b">
        <f>H151 &lt;&gt; ""</f>
        <v>0</v>
      </c>
      <c r="K151" s="4">
        <f>COUNTIFS(FieldDisagreements!D2:D50, A151)</f>
        <v>0</v>
      </c>
      <c r="L151" s="4" t="b">
        <f>K151 &gt; 0</f>
        <v>0</v>
      </c>
      <c r="M151" s="3" t="s">
        <v>2418</v>
      </c>
    </row>
    <row r="152">
      <c r="A152" s="3" t="s">
        <v>2661</v>
      </c>
      <c r="B152" s="4" t="str">
        <f>C152 &amp; "." &amp; D152</f>
        <v>CommunitiesOfPractice.Cadence</v>
      </c>
      <c r="C152" s="3" t="s">
        <v>2655</v>
      </c>
      <c r="D152" s="3" t="s">
        <v>328</v>
      </c>
      <c r="E152" s="3" t="s">
        <v>2416</v>
      </c>
      <c r="F152" s="3" t="s">
        <v>2417</v>
      </c>
      <c r="G152" s="3"/>
      <c r="H152" s="3"/>
      <c r="I152" s="4" t="b">
        <f>OR(((E152 = "calculated")=TRUE), ((E152 = "lookup")=TRUE), ((E152 = "aggregation")=TRUE))</f>
        <v>0</v>
      </c>
      <c r="J152" s="4" t="b">
        <f>H152 &lt;&gt; ""</f>
        <v>0</v>
      </c>
      <c r="K152" s="4">
        <f>COUNTIFS(FieldDisagreements!D2:D50, A152)</f>
        <v>0</v>
      </c>
      <c r="L152" s="4" t="b">
        <f>K152 &gt; 0</f>
        <v>0</v>
      </c>
      <c r="M152" s="3" t="s">
        <v>2418</v>
      </c>
    </row>
    <row r="153">
      <c r="A153" s="3" t="s">
        <v>2662</v>
      </c>
      <c r="B153" s="4" t="str">
        <f>C153 &amp; "." &amp; D153</f>
        <v>CommunitiesOfPractice.SemanticTypeIri</v>
      </c>
      <c r="C153" s="3" t="s">
        <v>2655</v>
      </c>
      <c r="D153" s="3" t="s">
        <v>94</v>
      </c>
      <c r="E153" s="3" t="s">
        <v>2416</v>
      </c>
      <c r="F153" s="3" t="s">
        <v>2417</v>
      </c>
      <c r="G153" s="3"/>
      <c r="H153" s="3"/>
      <c r="I153" s="4" t="b">
        <f>OR(((E153 = "calculated")=TRUE), ((E153 = "lookup")=TRUE), ((E153 = "aggregation")=TRUE))</f>
        <v>0</v>
      </c>
      <c r="J153" s="4" t="b">
        <f>H153 &lt;&gt; ""</f>
        <v>0</v>
      </c>
      <c r="K153" s="4">
        <f>COUNTIFS(FieldDisagreements!D2:D50, A153)</f>
        <v>0</v>
      </c>
      <c r="L153" s="4" t="b">
        <f>K153 &gt; 0</f>
        <v>0</v>
      </c>
      <c r="M153" s="3" t="s">
        <v>2418</v>
      </c>
    </row>
    <row r="154">
      <c r="A154" s="3" t="s">
        <v>2663</v>
      </c>
      <c r="B154" s="4" t="str">
        <f>C154 &amp; "." &amp; D154</f>
        <v>Mentorships.MentorshipId</v>
      </c>
      <c r="C154" s="3" t="s">
        <v>2664</v>
      </c>
      <c r="D154" s="3" t="s">
        <v>338</v>
      </c>
      <c r="E154" s="3" t="s">
        <v>2416</v>
      </c>
      <c r="F154" s="3" t="s">
        <v>2417</v>
      </c>
      <c r="G154" s="3"/>
      <c r="H154" s="3"/>
      <c r="I154" s="4" t="b">
        <f>OR(((E154 = "calculated")=TRUE), ((E154 = "lookup")=TRUE), ((E154 = "aggregation")=TRUE))</f>
        <v>0</v>
      </c>
      <c r="J154" s="4" t="b">
        <f>H154 &lt;&gt; ""</f>
        <v>0</v>
      </c>
      <c r="K154" s="4">
        <f>COUNTIFS(FieldDisagreements!D2:D50, A154)</f>
        <v>0</v>
      </c>
      <c r="L154" s="4" t="b">
        <f>K154 &gt; 0</f>
        <v>0</v>
      </c>
      <c r="M154" s="3" t="s">
        <v>2418</v>
      </c>
    </row>
    <row r="155">
      <c r="A155" s="3" t="s">
        <v>2665</v>
      </c>
      <c r="B155" s="4" t="str">
        <f>C155 &amp; "." &amp; D155</f>
        <v>Mentorships.Name</v>
      </c>
      <c r="C155" s="3" t="s">
        <v>2664</v>
      </c>
      <c r="D155" s="3" t="s">
        <v>1</v>
      </c>
      <c r="E155" s="3" t="s">
        <v>2420</v>
      </c>
      <c r="F155" s="3" t="s">
        <v>2417</v>
      </c>
      <c r="G155" s="3" t="s">
        <v>2666</v>
      </c>
      <c r="H155" s="3"/>
      <c r="I155" s="4" t="b">
        <f>OR(((E155 = "calculated")=TRUE), ((E155 = "lookup")=TRUE), ((E155 = "aggregation")=TRUE))</f>
        <v>1</v>
      </c>
      <c r="J155" s="4" t="b">
        <f>H155 &lt;&gt; ""</f>
        <v>0</v>
      </c>
      <c r="K155" s="4">
        <f>COUNTIFS(FieldDisagreements!D2:D50, A155)</f>
        <v>0</v>
      </c>
      <c r="L155" s="4" t="b">
        <f>K155 &gt; 0</f>
        <v>0</v>
      </c>
      <c r="M155" s="3" t="s">
        <v>2418</v>
      </c>
    </row>
    <row r="156">
      <c r="A156" s="3" t="s">
        <v>2667</v>
      </c>
      <c r="B156" s="4" t="str">
        <f>C156 &amp; "." &amp; D156</f>
        <v>Mentorships.CommunityOfPractice</v>
      </c>
      <c r="C156" s="3" t="s">
        <v>2664</v>
      </c>
      <c r="D156" s="3" t="s">
        <v>339</v>
      </c>
      <c r="E156" s="3" t="s">
        <v>2465</v>
      </c>
      <c r="F156" s="3" t="s">
        <v>2417</v>
      </c>
      <c r="G156" s="3"/>
      <c r="H156" s="3"/>
      <c r="I156" s="4" t="b">
        <f>OR(((E156 = "calculated")=TRUE), ((E156 = "lookup")=TRUE), ((E156 = "aggregation")=TRUE))</f>
        <v>0</v>
      </c>
      <c r="J156" s="4" t="b">
        <f>H156 &lt;&gt; ""</f>
        <v>0</v>
      </c>
      <c r="K156" s="4">
        <f>COUNTIFS(FieldDisagreements!D2:D50, A156)</f>
        <v>0</v>
      </c>
      <c r="L156" s="4" t="b">
        <f>K156 &gt; 0</f>
        <v>0</v>
      </c>
      <c r="M156" s="3" t="s">
        <v>2418</v>
      </c>
    </row>
    <row r="157">
      <c r="A157" s="3" t="s">
        <v>2668</v>
      </c>
      <c r="B157" s="4" t="str">
        <f>C157 &amp; "." &amp; D157</f>
        <v>Mentorships.MentorAgent</v>
      </c>
      <c r="C157" s="3" t="s">
        <v>2664</v>
      </c>
      <c r="D157" s="3" t="s">
        <v>340</v>
      </c>
      <c r="E157" s="3" t="s">
        <v>2465</v>
      </c>
      <c r="F157" s="3" t="s">
        <v>2417</v>
      </c>
      <c r="G157" s="3"/>
      <c r="H157" s="3"/>
      <c r="I157" s="4" t="b">
        <f>OR(((E157 = "calculated")=TRUE), ((E157 = "lookup")=TRUE), ((E157 = "aggregation")=TRUE))</f>
        <v>0</v>
      </c>
      <c r="J157" s="4" t="b">
        <f>H157 &lt;&gt; ""</f>
        <v>0</v>
      </c>
      <c r="K157" s="4">
        <f>COUNTIFS(FieldDisagreements!D2:D50, A157)</f>
        <v>0</v>
      </c>
      <c r="L157" s="4" t="b">
        <f>K157 &gt; 0</f>
        <v>0</v>
      </c>
      <c r="M157" s="3" t="s">
        <v>2418</v>
      </c>
    </row>
    <row r="158">
      <c r="A158" s="3" t="s">
        <v>2669</v>
      </c>
      <c r="B158" s="4" t="str">
        <f>C158 &amp; "." &amp; D158</f>
        <v>Mentorships.LearnerAgent</v>
      </c>
      <c r="C158" s="3" t="s">
        <v>2664</v>
      </c>
      <c r="D158" s="3" t="s">
        <v>341</v>
      </c>
      <c r="E158" s="3" t="s">
        <v>2465</v>
      </c>
      <c r="F158" s="3" t="s">
        <v>2417</v>
      </c>
      <c r="G158" s="3"/>
      <c r="H158" s="3"/>
      <c r="I158" s="4" t="b">
        <f>OR(((E158 = "calculated")=TRUE), ((E158 = "lookup")=TRUE), ((E158 = "aggregation")=TRUE))</f>
        <v>0</v>
      </c>
      <c r="J158" s="4" t="b">
        <f>H158 &lt;&gt; ""</f>
        <v>0</v>
      </c>
      <c r="K158" s="4">
        <f>COUNTIFS(FieldDisagreements!D2:D50, A158)</f>
        <v>0</v>
      </c>
      <c r="L158" s="4" t="b">
        <f>K158 &gt; 0</f>
        <v>0</v>
      </c>
      <c r="M158" s="3" t="s">
        <v>2418</v>
      </c>
    </row>
    <row r="159">
      <c r="A159" s="3" t="s">
        <v>2670</v>
      </c>
      <c r="B159" s="4" t="str">
        <f>C159 &amp; "." &amp; D159</f>
        <v>Mentorships.ValidFrom</v>
      </c>
      <c r="C159" s="3" t="s">
        <v>2664</v>
      </c>
      <c r="D159" s="3" t="s">
        <v>255</v>
      </c>
      <c r="E159" s="3" t="s">
        <v>2416</v>
      </c>
      <c r="F159" s="3" t="s">
        <v>2428</v>
      </c>
      <c r="G159" s="3"/>
      <c r="H159" s="3"/>
      <c r="I159" s="4" t="b">
        <f>OR(((E159 = "calculated")=TRUE), ((E159 = "lookup")=TRUE), ((E159 = "aggregation")=TRUE))</f>
        <v>0</v>
      </c>
      <c r="J159" s="4" t="b">
        <f>H159 &lt;&gt; ""</f>
        <v>0</v>
      </c>
      <c r="K159" s="4">
        <f>COUNTIFS(FieldDisagreements!D2:D50, A159)</f>
        <v>0</v>
      </c>
      <c r="L159" s="4" t="b">
        <f>K159 &gt; 0</f>
        <v>0</v>
      </c>
      <c r="M159" s="3" t="s">
        <v>2418</v>
      </c>
    </row>
    <row r="160">
      <c r="A160" s="3" t="s">
        <v>2671</v>
      </c>
      <c r="B160" s="4" t="str">
        <f>C160 &amp; "." &amp; D160</f>
        <v>Mentorships.ValidTo</v>
      </c>
      <c r="C160" s="3" t="s">
        <v>2664</v>
      </c>
      <c r="D160" s="3" t="s">
        <v>256</v>
      </c>
      <c r="E160" s="3" t="s">
        <v>2416</v>
      </c>
      <c r="F160" s="3" t="s">
        <v>2428</v>
      </c>
      <c r="G160" s="3"/>
      <c r="H160" s="3"/>
      <c r="I160" s="4" t="b">
        <f>OR(((E160 = "calculated")=TRUE), ((E160 = "lookup")=TRUE), ((E160 = "aggregation")=TRUE))</f>
        <v>0</v>
      </c>
      <c r="J160" s="4" t="b">
        <f>H160 &lt;&gt; ""</f>
        <v>0</v>
      </c>
      <c r="K160" s="4">
        <f>COUNTIFS(FieldDisagreements!D2:D50, A160)</f>
        <v>0</v>
      </c>
      <c r="L160" s="4" t="b">
        <f>K160 &gt; 0</f>
        <v>0</v>
      </c>
      <c r="M160" s="3" t="s">
        <v>2418</v>
      </c>
    </row>
    <row r="161">
      <c r="A161" s="3" t="s">
        <v>2672</v>
      </c>
      <c r="B161" s="4" t="str">
        <f>C161 &amp; "." &amp; D161</f>
        <v>Mentorships.LearningObjective</v>
      </c>
      <c r="C161" s="3" t="s">
        <v>2664</v>
      </c>
      <c r="D161" s="3" t="s">
        <v>342</v>
      </c>
      <c r="E161" s="3" t="s">
        <v>2416</v>
      </c>
      <c r="F161" s="3" t="s">
        <v>2417</v>
      </c>
      <c r="G161" s="3"/>
      <c r="H161" s="3"/>
      <c r="I161" s="4" t="b">
        <f>OR(((E161 = "calculated")=TRUE), ((E161 = "lookup")=TRUE), ((E161 = "aggregation")=TRUE))</f>
        <v>0</v>
      </c>
      <c r="J161" s="4" t="b">
        <f>H161 &lt;&gt; ""</f>
        <v>0</v>
      </c>
      <c r="K161" s="4">
        <f>COUNTIFS(FieldDisagreements!D2:D50, A161)</f>
        <v>0</v>
      </c>
      <c r="L161" s="4" t="b">
        <f>K161 &gt; 0</f>
        <v>0</v>
      </c>
      <c r="M161" s="3" t="s">
        <v>2418</v>
      </c>
    </row>
    <row r="162">
      <c r="A162" s="3" t="s">
        <v>2673</v>
      </c>
      <c r="B162" s="4" t="str">
        <f>C162 &amp; "." &amp; D162</f>
        <v>Mentorships.EvidenceOfCompletion</v>
      </c>
      <c r="C162" s="3" t="s">
        <v>2664</v>
      </c>
      <c r="D162" s="3" t="s">
        <v>343</v>
      </c>
      <c r="E162" s="3" t="s">
        <v>2416</v>
      </c>
      <c r="F162" s="3" t="s">
        <v>2417</v>
      </c>
      <c r="G162" s="3"/>
      <c r="H162" s="3"/>
      <c r="I162" s="4" t="b">
        <f>OR(((E162 = "calculated")=TRUE), ((E162 = "lookup")=TRUE), ((E162 = "aggregation")=TRUE))</f>
        <v>0</v>
      </c>
      <c r="J162" s="4" t="b">
        <f>H162 &lt;&gt; ""</f>
        <v>0</v>
      </c>
      <c r="K162" s="4">
        <f>COUNTIFS(FieldDisagreements!D2:D50, A162)</f>
        <v>0</v>
      </c>
      <c r="L162" s="4" t="b">
        <f>K162 &gt; 0</f>
        <v>0</v>
      </c>
      <c r="M162" s="3" t="s">
        <v>2418</v>
      </c>
    </row>
    <row r="163">
      <c r="A163" s="3" t="s">
        <v>2674</v>
      </c>
      <c r="B163" s="4" t="str">
        <f>C163 &amp; "." &amp; D163</f>
        <v>Mentorships.SemanticTypeIri</v>
      </c>
      <c r="C163" s="3" t="s">
        <v>2664</v>
      </c>
      <c r="D163" s="3" t="s">
        <v>94</v>
      </c>
      <c r="E163" s="3" t="s">
        <v>2416</v>
      </c>
      <c r="F163" s="3" t="s">
        <v>2417</v>
      </c>
      <c r="G163" s="3"/>
      <c r="H163" s="3"/>
      <c r="I163" s="4" t="b">
        <f>OR(((E163 = "calculated")=TRUE), ((E163 = "lookup")=TRUE), ((E163 = "aggregation")=TRUE))</f>
        <v>0</v>
      </c>
      <c r="J163" s="4" t="b">
        <f>H163 &lt;&gt; ""</f>
        <v>0</v>
      </c>
      <c r="K163" s="4">
        <f>COUNTIFS(FieldDisagreements!D2:D50, A163)</f>
        <v>0</v>
      </c>
      <c r="L163" s="4" t="b">
        <f>K163 &gt; 0</f>
        <v>0</v>
      </c>
      <c r="M163" s="3" t="s">
        <v>2418</v>
      </c>
    </row>
    <row r="164">
      <c r="A164" s="3" t="s">
        <v>2675</v>
      </c>
      <c r="B164" s="4" t="str">
        <f>C164 &amp; "." &amp; D164</f>
        <v>ProcedureTypes.ProcedureTypeId</v>
      </c>
      <c r="C164" s="3" t="s">
        <v>2676</v>
      </c>
      <c r="D164" s="3" t="s">
        <v>348</v>
      </c>
      <c r="E164" s="3" t="s">
        <v>2416</v>
      </c>
      <c r="F164" s="3" t="s">
        <v>2417</v>
      </c>
      <c r="G164" s="3"/>
      <c r="H164" s="3"/>
      <c r="I164" s="4" t="b">
        <f>OR(((E164 = "calculated")=TRUE), ((E164 = "lookup")=TRUE), ((E164 = "aggregation")=TRUE))</f>
        <v>0</v>
      </c>
      <c r="J164" s="4" t="b">
        <f>H164 &lt;&gt; ""</f>
        <v>0</v>
      </c>
      <c r="K164" s="4">
        <f>COUNTIFS(FieldDisagreements!D2:D50, A164)</f>
        <v>0</v>
      </c>
      <c r="L164" s="4" t="b">
        <f>K164 &gt; 0</f>
        <v>0</v>
      </c>
      <c r="M164" s="3" t="s">
        <v>2418</v>
      </c>
    </row>
    <row r="165">
      <c r="A165" s="3" t="s">
        <v>2677</v>
      </c>
      <c r="B165" s="4" t="str">
        <f>C165 &amp; "." &amp; D165</f>
        <v>ProcedureTypes.Name</v>
      </c>
      <c r="C165" s="3" t="s">
        <v>2676</v>
      </c>
      <c r="D165" s="3" t="s">
        <v>1</v>
      </c>
      <c r="E165" s="3" t="s">
        <v>2420</v>
      </c>
      <c r="F165" s="3" t="s">
        <v>2417</v>
      </c>
      <c r="G165" s="3" t="s">
        <v>2504</v>
      </c>
      <c r="H165" s="3"/>
      <c r="I165" s="4" t="b">
        <f>OR(((E165 = "calculated")=TRUE), ((E165 = "lookup")=TRUE), ((E165 = "aggregation")=TRUE))</f>
        <v>1</v>
      </c>
      <c r="J165" s="4" t="b">
        <f>H165 &lt;&gt; ""</f>
        <v>0</v>
      </c>
      <c r="K165" s="4">
        <f>COUNTIFS(FieldDisagreements!D2:D50, A165)</f>
        <v>0</v>
      </c>
      <c r="L165" s="4" t="b">
        <f>K165 &gt; 0</f>
        <v>0</v>
      </c>
      <c r="M165" s="3" t="s">
        <v>2418</v>
      </c>
    </row>
    <row r="166">
      <c r="A166" s="3" t="s">
        <v>2678</v>
      </c>
      <c r="B166" s="4" t="str">
        <f>C166 &amp; "." &amp; D166</f>
        <v>ProcedureTypes.Label</v>
      </c>
      <c r="C166" s="3" t="s">
        <v>2676</v>
      </c>
      <c r="D166" s="3" t="s">
        <v>19</v>
      </c>
      <c r="E166" s="3" t="s">
        <v>2416</v>
      </c>
      <c r="F166" s="3" t="s">
        <v>2417</v>
      </c>
      <c r="G166" s="3"/>
      <c r="H166" s="3"/>
      <c r="I166" s="4" t="b">
        <f>OR(((E166 = "calculated")=TRUE), ((E166 = "lookup")=TRUE), ((E166 = "aggregation")=TRUE))</f>
        <v>0</v>
      </c>
      <c r="J166" s="4" t="b">
        <f>H166 &lt;&gt; ""</f>
        <v>0</v>
      </c>
      <c r="K166" s="4">
        <f>COUNTIFS(FieldDisagreements!D2:D50, A166)</f>
        <v>0</v>
      </c>
      <c r="L166" s="4" t="b">
        <f>K166 &gt; 0</f>
        <v>0</v>
      </c>
      <c r="M166" s="3" t="s">
        <v>2418</v>
      </c>
    </row>
    <row r="167">
      <c r="A167" s="3" t="s">
        <v>2679</v>
      </c>
      <c r="B167" s="4" t="str">
        <f>C167 &amp; "." &amp; D167</f>
        <v>ProcedureTypes.Definition</v>
      </c>
      <c r="C167" s="3" t="s">
        <v>2676</v>
      </c>
      <c r="D167" s="3" t="s">
        <v>349</v>
      </c>
      <c r="E167" s="3" t="s">
        <v>2416</v>
      </c>
      <c r="F167" s="3" t="s">
        <v>2417</v>
      </c>
      <c r="G167" s="3"/>
      <c r="H167" s="3"/>
      <c r="I167" s="4" t="b">
        <f>OR(((E167 = "calculated")=TRUE), ((E167 = "lookup")=TRUE), ((E167 = "aggregation")=TRUE))</f>
        <v>0</v>
      </c>
      <c r="J167" s="4" t="b">
        <f>H167 &lt;&gt; ""</f>
        <v>0</v>
      </c>
      <c r="K167" s="4">
        <f>COUNTIFS(FieldDisagreements!D2:D50, A167)</f>
        <v>0</v>
      </c>
      <c r="L167" s="4" t="b">
        <f>K167 &gt; 0</f>
        <v>0</v>
      </c>
      <c r="M167" s="3" t="s">
        <v>2418</v>
      </c>
    </row>
    <row r="168">
      <c r="A168" s="3" t="s">
        <v>2680</v>
      </c>
      <c r="B168" s="4" t="str">
        <f>C168 &amp; "." &amp; D168</f>
        <v>ProcedureTypes.SemanticTypeIri</v>
      </c>
      <c r="C168" s="3" t="s">
        <v>2676</v>
      </c>
      <c r="D168" s="3" t="s">
        <v>94</v>
      </c>
      <c r="E168" s="3" t="s">
        <v>2416</v>
      </c>
      <c r="F168" s="3" t="s">
        <v>2417</v>
      </c>
      <c r="G168" s="3"/>
      <c r="H168" s="3"/>
      <c r="I168" s="4" t="b">
        <f>OR(((E168 = "calculated")=TRUE), ((E168 = "lookup")=TRUE), ((E168 = "aggregation")=TRUE))</f>
        <v>0</v>
      </c>
      <c r="J168" s="4" t="b">
        <f>H168 &lt;&gt; ""</f>
        <v>0</v>
      </c>
      <c r="K168" s="4">
        <f>COUNTIFS(FieldDisagreements!D2:D50, A168)</f>
        <v>0</v>
      </c>
      <c r="L168" s="4" t="b">
        <f>K168 &gt; 0</f>
        <v>0</v>
      </c>
      <c r="M168" s="3" t="s">
        <v>2418</v>
      </c>
    </row>
    <row r="169">
      <c r="A169" s="3" t="s">
        <v>2681</v>
      </c>
      <c r="B169" s="4" t="str">
        <f>C169 &amp; "." &amp; D169</f>
        <v>Procedures.ProcedureId</v>
      </c>
      <c r="C169" s="3" t="s">
        <v>1762</v>
      </c>
      <c r="D169" s="3" t="s">
        <v>357</v>
      </c>
      <c r="E169" s="3" t="s">
        <v>2416</v>
      </c>
      <c r="F169" s="3" t="s">
        <v>2417</v>
      </c>
      <c r="G169" s="3"/>
      <c r="H169" s="3"/>
      <c r="I169" s="4" t="b">
        <f>OR(((E169 = "calculated")=TRUE), ((E169 = "lookup")=TRUE), ((E169 = "aggregation")=TRUE))</f>
        <v>0</v>
      </c>
      <c r="J169" s="4" t="b">
        <f>H169 &lt;&gt; ""</f>
        <v>0</v>
      </c>
      <c r="K169" s="4">
        <f>COUNTIFS(FieldDisagreements!D2:D50, A169)</f>
        <v>0</v>
      </c>
      <c r="L169" s="4" t="b">
        <f>K169 &gt; 0</f>
        <v>0</v>
      </c>
      <c r="M169" s="3" t="s">
        <v>2418</v>
      </c>
    </row>
    <row r="170">
      <c r="A170" s="3" t="s">
        <v>2682</v>
      </c>
      <c r="B170" s="4" t="str">
        <f>C170 &amp; "." &amp; D170</f>
        <v>Procedures.Name</v>
      </c>
      <c r="C170" s="3" t="s">
        <v>1762</v>
      </c>
      <c r="D170" s="3" t="s">
        <v>1</v>
      </c>
      <c r="E170" s="3" t="s">
        <v>2420</v>
      </c>
      <c r="F170" s="3" t="s">
        <v>2417</v>
      </c>
      <c r="G170" s="3" t="s">
        <v>2683</v>
      </c>
      <c r="H170" s="3"/>
      <c r="I170" s="4" t="b">
        <f>OR(((E170 = "calculated")=TRUE), ((E170 = "lookup")=TRUE), ((E170 = "aggregation")=TRUE))</f>
        <v>1</v>
      </c>
      <c r="J170" s="4" t="b">
        <f>H170 &lt;&gt; ""</f>
        <v>0</v>
      </c>
      <c r="K170" s="4">
        <f>COUNTIFS(FieldDisagreements!D2:D50, A170)</f>
        <v>0</v>
      </c>
      <c r="L170" s="4" t="b">
        <f>K170 &gt; 0</f>
        <v>0</v>
      </c>
      <c r="M170" s="3" t="s">
        <v>2418</v>
      </c>
    </row>
    <row r="171">
      <c r="A171" s="3" t="s">
        <v>2684</v>
      </c>
      <c r="B171" s="4" t="str">
        <f>C171 &amp; "." &amp; D171</f>
        <v>Procedures.Title</v>
      </c>
      <c r="C171" s="3" t="s">
        <v>1762</v>
      </c>
      <c r="D171" s="3" t="s">
        <v>358</v>
      </c>
      <c r="E171" s="3" t="s">
        <v>2416</v>
      </c>
      <c r="F171" s="3" t="s">
        <v>2417</v>
      </c>
      <c r="G171" s="3"/>
      <c r="H171" s="3"/>
      <c r="I171" s="4" t="b">
        <f>OR(((E171 = "calculated")=TRUE), ((E171 = "lookup")=TRUE), ((E171 = "aggregation")=TRUE))</f>
        <v>0</v>
      </c>
      <c r="J171" s="4" t="b">
        <f>H171 &lt;&gt; ""</f>
        <v>0</v>
      </c>
      <c r="K171" s="4">
        <f>COUNTIFS(FieldDisagreements!D2:D50, A171)</f>
        <v>0</v>
      </c>
      <c r="L171" s="4" t="b">
        <f>K171 &gt; 0</f>
        <v>0</v>
      </c>
      <c r="M171" s="3" t="s">
        <v>2418</v>
      </c>
    </row>
    <row r="172">
      <c r="A172" s="3" t="s">
        <v>2685</v>
      </c>
      <c r="B172" s="4" t="str">
        <f>C172 &amp; "." &amp; D172</f>
        <v>Procedures.ProcedureType</v>
      </c>
      <c r="C172" s="3" t="s">
        <v>1762</v>
      </c>
      <c r="D172" s="3" t="s">
        <v>359</v>
      </c>
      <c r="E172" s="3" t="s">
        <v>2465</v>
      </c>
      <c r="F172" s="3" t="s">
        <v>2417</v>
      </c>
      <c r="G172" s="3"/>
      <c r="H172" s="3"/>
      <c r="I172" s="4" t="b">
        <f>OR(((E172 = "calculated")=TRUE), ((E172 = "lookup")=TRUE), ((E172 = "aggregation")=TRUE))</f>
        <v>0</v>
      </c>
      <c r="J172" s="4" t="b">
        <f>H172 &lt;&gt; ""</f>
        <v>0</v>
      </c>
      <c r="K172" s="4">
        <f>COUNTIFS(FieldDisagreements!D2:D50, A172)</f>
        <v>0</v>
      </c>
      <c r="L172" s="4" t="b">
        <f>K172 &gt; 0</f>
        <v>0</v>
      </c>
      <c r="M172" s="3" t="s">
        <v>2418</v>
      </c>
    </row>
    <row r="173">
      <c r="A173" s="3" t="s">
        <v>2686</v>
      </c>
      <c r="B173" s="4" t="str">
        <f>C173 &amp; "." &amp; D173</f>
        <v>Procedures.OwnerOrganization</v>
      </c>
      <c r="C173" s="3" t="s">
        <v>1762</v>
      </c>
      <c r="D173" s="3" t="s">
        <v>360</v>
      </c>
      <c r="E173" s="3" t="s">
        <v>2465</v>
      </c>
      <c r="F173" s="3" t="s">
        <v>2417</v>
      </c>
      <c r="G173" s="3"/>
      <c r="H173" s="3"/>
      <c r="I173" s="4" t="b">
        <f>OR(((E173 = "calculated")=TRUE), ((E173 = "lookup")=TRUE), ((E173 = "aggregation")=TRUE))</f>
        <v>0</v>
      </c>
      <c r="J173" s="4" t="b">
        <f>H173 &lt;&gt; ""</f>
        <v>0</v>
      </c>
      <c r="K173" s="4">
        <f>COUNTIFS(FieldDisagreements!D2:D50, A173)</f>
        <v>0</v>
      </c>
      <c r="L173" s="4" t="b">
        <f>K173 &gt; 0</f>
        <v>0</v>
      </c>
      <c r="M173" s="3" t="s">
        <v>2418</v>
      </c>
    </row>
    <row r="174">
      <c r="A174" s="3" t="s">
        <v>2687</v>
      </c>
      <c r="B174" s="4" t="str">
        <f>C174 &amp; "." &amp; D174</f>
        <v>Procedures.AdoptedByOrganization</v>
      </c>
      <c r="C174" s="3" t="s">
        <v>1762</v>
      </c>
      <c r="D174" s="3" t="s">
        <v>361</v>
      </c>
      <c r="E174" s="3" t="s">
        <v>2465</v>
      </c>
      <c r="F174" s="3" t="s">
        <v>2417</v>
      </c>
      <c r="G174" s="3"/>
      <c r="H174" s="3"/>
      <c r="I174" s="4" t="b">
        <f>OR(((E174 = "calculated")=TRUE), ((E174 = "lookup")=TRUE), ((E174 = "aggregation")=TRUE))</f>
        <v>0</v>
      </c>
      <c r="J174" s="4" t="b">
        <f>H174 &lt;&gt; ""</f>
        <v>0</v>
      </c>
      <c r="K174" s="4">
        <f>COUNTIFS(FieldDisagreements!D2:D50, A174)</f>
        <v>0</v>
      </c>
      <c r="L174" s="4" t="b">
        <f>K174 &gt; 0</f>
        <v>0</v>
      </c>
      <c r="M174" s="3" t="s">
        <v>2418</v>
      </c>
    </row>
    <row r="175">
      <c r="A175" s="3" t="s">
        <v>2688</v>
      </c>
      <c r="B175" s="4" t="str">
        <f>C175 &amp; "." &amp; D175</f>
        <v>Procedures.Purpose</v>
      </c>
      <c r="C175" s="3" t="s">
        <v>1762</v>
      </c>
      <c r="D175" s="3" t="s">
        <v>327</v>
      </c>
      <c r="E175" s="3" t="s">
        <v>2416</v>
      </c>
      <c r="F175" s="3" t="s">
        <v>2417</v>
      </c>
      <c r="G175" s="3"/>
      <c r="H175" s="3"/>
      <c r="I175" s="4" t="b">
        <f>OR(((E175 = "calculated")=TRUE), ((E175 = "lookup")=TRUE), ((E175 = "aggregation")=TRUE))</f>
        <v>0</v>
      </c>
      <c r="J175" s="4" t="b">
        <f>H175 &lt;&gt; ""</f>
        <v>0</v>
      </c>
      <c r="K175" s="4">
        <f>COUNTIFS(FieldDisagreements!D2:D50, A175)</f>
        <v>0</v>
      </c>
      <c r="L175" s="4" t="b">
        <f>K175 &gt; 0</f>
        <v>0</v>
      </c>
      <c r="M175" s="3" t="s">
        <v>2418</v>
      </c>
    </row>
    <row r="176">
      <c r="A176" s="3" t="s">
        <v>2689</v>
      </c>
      <c r="B176" s="4" t="str">
        <f>C176 &amp; "." &amp; D176</f>
        <v>Procedures.Target</v>
      </c>
      <c r="C176" s="3" t="s">
        <v>1762</v>
      </c>
      <c r="D176" s="3" t="s">
        <v>362</v>
      </c>
      <c r="E176" s="3" t="s">
        <v>2416</v>
      </c>
      <c r="F176" s="3" t="s">
        <v>2417</v>
      </c>
      <c r="G176" s="3"/>
      <c r="H176" s="3"/>
      <c r="I176" s="4" t="b">
        <f>OR(((E176 = "calculated")=TRUE), ((E176 = "lookup")=TRUE), ((E176 = "aggregation")=TRUE))</f>
        <v>0</v>
      </c>
      <c r="J176" s="4" t="b">
        <f>H176 &lt;&gt; ""</f>
        <v>0</v>
      </c>
      <c r="K176" s="4">
        <f>COUNTIFS(FieldDisagreements!D2:D50, A176)</f>
        <v>0</v>
      </c>
      <c r="L176" s="4" t="b">
        <f>K176 &gt; 0</f>
        <v>0</v>
      </c>
      <c r="M176" s="3" t="s">
        <v>2418</v>
      </c>
    </row>
    <row r="177">
      <c r="A177" s="3" t="s">
        <v>2690</v>
      </c>
      <c r="B177" s="4" t="str">
        <f>C177 &amp; "." &amp; D177</f>
        <v>Procedures.IsTemplate</v>
      </c>
      <c r="C177" s="3" t="s">
        <v>1762</v>
      </c>
      <c r="D177" s="3" t="s">
        <v>363</v>
      </c>
      <c r="E177" s="3" t="s">
        <v>2416</v>
      </c>
      <c r="F177" s="3" t="s">
        <v>2432</v>
      </c>
      <c r="G177" s="3"/>
      <c r="H177" s="3"/>
      <c r="I177" s="4" t="b">
        <f>OR(((E177 = "calculated")=TRUE), ((E177 = "lookup")=TRUE), ((E177 = "aggregation")=TRUE))</f>
        <v>0</v>
      </c>
      <c r="J177" s="4" t="b">
        <f>H177 &lt;&gt; ""</f>
        <v>0</v>
      </c>
      <c r="K177" s="4">
        <f>COUNTIFS(FieldDisagreements!D2:D50, A177)</f>
        <v>0</v>
      </c>
      <c r="L177" s="4" t="b">
        <f>K177 &gt; 0</f>
        <v>0</v>
      </c>
      <c r="M177" s="3" t="s">
        <v>2418</v>
      </c>
    </row>
    <row r="178">
      <c r="A178" s="3" t="s">
        <v>2691</v>
      </c>
      <c r="B178" s="4" t="str">
        <f>C178 &amp; "." &amp; D178</f>
        <v>Procedures.CurrentVersionKey</v>
      </c>
      <c r="C178" s="3" t="s">
        <v>1762</v>
      </c>
      <c r="D178" s="3" t="s">
        <v>364</v>
      </c>
      <c r="E178" s="3" t="s">
        <v>2416</v>
      </c>
      <c r="F178" s="3" t="s">
        <v>2417</v>
      </c>
      <c r="G178" s="3"/>
      <c r="H178" s="3"/>
      <c r="I178" s="4" t="b">
        <f>OR(((E178 = "calculated")=TRUE), ((E178 = "lookup")=TRUE), ((E178 = "aggregation")=TRUE))</f>
        <v>0</v>
      </c>
      <c r="J178" s="4" t="b">
        <f>H178 &lt;&gt; ""</f>
        <v>0</v>
      </c>
      <c r="K178" s="4">
        <f>COUNTIFS(FieldDisagreements!D2:D50, A178)</f>
        <v>0</v>
      </c>
      <c r="L178" s="4" t="b">
        <f>K178 &gt; 0</f>
        <v>0</v>
      </c>
      <c r="M178" s="3" t="s">
        <v>2418</v>
      </c>
    </row>
    <row r="179">
      <c r="A179" s="3" t="s">
        <v>2692</v>
      </c>
      <c r="B179" s="4" t="str">
        <f>C179 &amp; "." &amp; D179</f>
        <v>Procedures.SemanticTypeIri</v>
      </c>
      <c r="C179" s="3" t="s">
        <v>1762</v>
      </c>
      <c r="D179" s="3" t="s">
        <v>94</v>
      </c>
      <c r="E179" s="3" t="s">
        <v>2416</v>
      </c>
      <c r="F179" s="3" t="s">
        <v>2417</v>
      </c>
      <c r="G179" s="3"/>
      <c r="H179" s="3"/>
      <c r="I179" s="4" t="b">
        <f>OR(((E179 = "calculated")=TRUE), ((E179 = "lookup")=TRUE), ((E179 = "aggregation")=TRUE))</f>
        <v>0</v>
      </c>
      <c r="J179" s="4" t="b">
        <f>H179 &lt;&gt; ""</f>
        <v>0</v>
      </c>
      <c r="K179" s="4">
        <f>COUNTIFS(FieldDisagreements!D2:D50, A179)</f>
        <v>0</v>
      </c>
      <c r="L179" s="4" t="b">
        <f>K179 &gt; 0</f>
        <v>0</v>
      </c>
      <c r="M179" s="3" t="s">
        <v>2418</v>
      </c>
    </row>
    <row r="180">
      <c r="A180" s="3" t="s">
        <v>2693</v>
      </c>
      <c r="B180" s="4" t="str">
        <f>C180 &amp; "." &amp; D180</f>
        <v>ProcedureVersions.ProcedureVersionId</v>
      </c>
      <c r="C180" s="3" t="s">
        <v>1767</v>
      </c>
      <c r="D180" s="3" t="s">
        <v>376</v>
      </c>
      <c r="E180" s="3" t="s">
        <v>2416</v>
      </c>
      <c r="F180" s="3" t="s">
        <v>2417</v>
      </c>
      <c r="G180" s="3"/>
      <c r="H180" s="3"/>
      <c r="I180" s="4" t="b">
        <f>OR(((E180 = "calculated")=TRUE), ((E180 = "lookup")=TRUE), ((E180 = "aggregation")=TRUE))</f>
        <v>0</v>
      </c>
      <c r="J180" s="4" t="b">
        <f>H180 &lt;&gt; ""</f>
        <v>0</v>
      </c>
      <c r="K180" s="4">
        <f>COUNTIFS(FieldDisagreements!D2:D50, A180)</f>
        <v>0</v>
      </c>
      <c r="L180" s="4" t="b">
        <f>K180 &gt; 0</f>
        <v>0</v>
      </c>
      <c r="M180" s="3" t="s">
        <v>2418</v>
      </c>
    </row>
    <row r="181">
      <c r="A181" s="3" t="s">
        <v>2694</v>
      </c>
      <c r="B181" s="4" t="str">
        <f>C181 &amp; "." &amp; D181</f>
        <v>ProcedureVersions.Name</v>
      </c>
      <c r="C181" s="3" t="s">
        <v>1767</v>
      </c>
      <c r="D181" s="3" t="s">
        <v>1</v>
      </c>
      <c r="E181" s="3" t="s">
        <v>2420</v>
      </c>
      <c r="F181" s="3" t="s">
        <v>2417</v>
      </c>
      <c r="G181" s="3" t="s">
        <v>2683</v>
      </c>
      <c r="H181" s="3"/>
      <c r="I181" s="4" t="b">
        <f>OR(((E181 = "calculated")=TRUE), ((E181 = "lookup")=TRUE), ((E181 = "aggregation")=TRUE))</f>
        <v>1</v>
      </c>
      <c r="J181" s="4" t="b">
        <f>H181 &lt;&gt; ""</f>
        <v>0</v>
      </c>
      <c r="K181" s="4">
        <f>COUNTIFS(FieldDisagreements!D2:D50, A181)</f>
        <v>0</v>
      </c>
      <c r="L181" s="4" t="b">
        <f>K181 &gt; 0</f>
        <v>0</v>
      </c>
      <c r="M181" s="3" t="s">
        <v>2418</v>
      </c>
    </row>
    <row r="182">
      <c r="A182" s="3" t="s">
        <v>2695</v>
      </c>
      <c r="B182" s="4" t="str">
        <f>C182 &amp; "." &amp; D182</f>
        <v>ProcedureVersions.Procedure</v>
      </c>
      <c r="C182" s="3" t="s">
        <v>1767</v>
      </c>
      <c r="D182" s="3" t="s">
        <v>377</v>
      </c>
      <c r="E182" s="3" t="s">
        <v>2465</v>
      </c>
      <c r="F182" s="3" t="s">
        <v>2417</v>
      </c>
      <c r="G182" s="3"/>
      <c r="H182" s="3"/>
      <c r="I182" s="4" t="b">
        <f>OR(((E182 = "calculated")=TRUE), ((E182 = "lookup")=TRUE), ((E182 = "aggregation")=TRUE))</f>
        <v>0</v>
      </c>
      <c r="J182" s="4" t="b">
        <f>H182 &lt;&gt; ""</f>
        <v>0</v>
      </c>
      <c r="K182" s="4">
        <f>COUNTIFS(FieldDisagreements!D2:D50, A182)</f>
        <v>0</v>
      </c>
      <c r="L182" s="4" t="b">
        <f>K182 &gt; 0</f>
        <v>0</v>
      </c>
      <c r="M182" s="3" t="s">
        <v>2418</v>
      </c>
    </row>
    <row r="183">
      <c r="A183" s="3" t="s">
        <v>1770</v>
      </c>
      <c r="B183" s="4" t="str">
        <f>C183 &amp; "." &amp; D183</f>
        <v>ProcedureVersions.VersionNumber</v>
      </c>
      <c r="C183" s="3" t="s">
        <v>1767</v>
      </c>
      <c r="D183" s="3" t="s">
        <v>378</v>
      </c>
      <c r="E183" s="3" t="s">
        <v>2416</v>
      </c>
      <c r="F183" s="3" t="s">
        <v>2417</v>
      </c>
      <c r="G183" s="3"/>
      <c r="H183" s="3"/>
      <c r="I183" s="4" t="b">
        <f>OR(((E183 = "calculated")=TRUE), ((E183 = "lookup")=TRUE), ((E183 = "aggregation")=TRUE))</f>
        <v>0</v>
      </c>
      <c r="J183" s="4" t="b">
        <f>H183 &lt;&gt; ""</f>
        <v>0</v>
      </c>
      <c r="K183" s="4">
        <f>COUNTIFS(FieldDisagreements!D2:D50, A183)</f>
        <v>0</v>
      </c>
      <c r="L183" s="4" t="b">
        <f>K183 &gt; 0</f>
        <v>0</v>
      </c>
      <c r="M183" s="3" t="s">
        <v>2418</v>
      </c>
    </row>
    <row r="184">
      <c r="A184" s="3" t="s">
        <v>2696</v>
      </c>
      <c r="B184" s="4" t="str">
        <f>C184 &amp; "." &amp; D184</f>
        <v>ProcedureVersions.Title</v>
      </c>
      <c r="C184" s="3" t="s">
        <v>1767</v>
      </c>
      <c r="D184" s="3" t="s">
        <v>358</v>
      </c>
      <c r="E184" s="3" t="s">
        <v>2416</v>
      </c>
      <c r="F184" s="3" t="s">
        <v>2417</v>
      </c>
      <c r="G184" s="3"/>
      <c r="H184" s="3"/>
      <c r="I184" s="4" t="b">
        <f>OR(((E184 = "calculated")=TRUE), ((E184 = "lookup")=TRUE), ((E184 = "aggregation")=TRUE))</f>
        <v>0</v>
      </c>
      <c r="J184" s="4" t="b">
        <f>H184 &lt;&gt; ""</f>
        <v>0</v>
      </c>
      <c r="K184" s="4">
        <f>COUNTIFS(FieldDisagreements!D2:D50, A184)</f>
        <v>0</v>
      </c>
      <c r="L184" s="4" t="b">
        <f>K184 &gt; 0</f>
        <v>0</v>
      </c>
      <c r="M184" s="3" t="s">
        <v>2418</v>
      </c>
    </row>
    <row r="185">
      <c r="A185" s="3" t="s">
        <v>2697</v>
      </c>
      <c r="B185" s="4" t="str">
        <f>C185 &amp; "." &amp; D185</f>
        <v>ProcedureVersions.Status</v>
      </c>
      <c r="C185" s="3" t="s">
        <v>1767</v>
      </c>
      <c r="D185" s="3" t="s">
        <v>8</v>
      </c>
      <c r="E185" s="3" t="s">
        <v>2416</v>
      </c>
      <c r="F185" s="3" t="s">
        <v>2417</v>
      </c>
      <c r="G185" s="3"/>
      <c r="H185" s="3"/>
      <c r="I185" s="4" t="b">
        <f>OR(((E185 = "calculated")=TRUE), ((E185 = "lookup")=TRUE), ((E185 = "aggregation")=TRUE))</f>
        <v>0</v>
      </c>
      <c r="J185" s="4" t="b">
        <f>H185 &lt;&gt; ""</f>
        <v>0</v>
      </c>
      <c r="K185" s="4">
        <f>COUNTIFS(FieldDisagreements!D2:D50, A185)</f>
        <v>0</v>
      </c>
      <c r="L185" s="4" t="b">
        <f>K185 &gt; 0</f>
        <v>0</v>
      </c>
      <c r="M185" s="3" t="s">
        <v>2418</v>
      </c>
    </row>
    <row r="186">
      <c r="A186" s="3" t="s">
        <v>2698</v>
      </c>
      <c r="B186" s="4" t="str">
        <f>C186 &amp; "." &amp; D186</f>
        <v>ProcedureVersions.IssuedAt</v>
      </c>
      <c r="C186" s="3" t="s">
        <v>1767</v>
      </c>
      <c r="D186" s="3" t="s">
        <v>7</v>
      </c>
      <c r="E186" s="3" t="s">
        <v>2416</v>
      </c>
      <c r="F186" s="3" t="s">
        <v>2428</v>
      </c>
      <c r="G186" s="3"/>
      <c r="H186" s="3"/>
      <c r="I186" s="4" t="b">
        <f>OR(((E186 = "calculated")=TRUE), ((E186 = "lookup")=TRUE), ((E186 = "aggregation")=TRUE))</f>
        <v>0</v>
      </c>
      <c r="J186" s="4" t="b">
        <f>H186 &lt;&gt; ""</f>
        <v>0</v>
      </c>
      <c r="K186" s="4">
        <f>COUNTIFS(FieldDisagreements!D2:D50, A186)</f>
        <v>0</v>
      </c>
      <c r="L186" s="4" t="b">
        <f>K186 &gt; 0</f>
        <v>0</v>
      </c>
      <c r="M186" s="3" t="s">
        <v>2418</v>
      </c>
    </row>
    <row r="187">
      <c r="A187" s="3" t="s">
        <v>2699</v>
      </c>
      <c r="B187" s="4" t="str">
        <f>C187 &amp; "." &amp; D187</f>
        <v>ProcedureVersions.ModifiedAt</v>
      </c>
      <c r="C187" s="3" t="s">
        <v>1767</v>
      </c>
      <c r="D187" s="3" t="s">
        <v>379</v>
      </c>
      <c r="E187" s="3" t="s">
        <v>2416</v>
      </c>
      <c r="F187" s="3" t="s">
        <v>2428</v>
      </c>
      <c r="G187" s="3"/>
      <c r="H187" s="3"/>
      <c r="I187" s="4" t="b">
        <f>OR(((E187 = "calculated")=TRUE), ((E187 = "lookup")=TRUE), ((E187 = "aggregation")=TRUE))</f>
        <v>0</v>
      </c>
      <c r="J187" s="4" t="b">
        <f>H187 &lt;&gt; ""</f>
        <v>0</v>
      </c>
      <c r="K187" s="4">
        <f>COUNTIFS(FieldDisagreements!D2:D50, A187)</f>
        <v>0</v>
      </c>
      <c r="L187" s="4" t="b">
        <f>K187 &gt; 0</f>
        <v>0</v>
      </c>
      <c r="M187" s="3" t="s">
        <v>2418</v>
      </c>
    </row>
    <row r="188">
      <c r="A188" s="3" t="s">
        <v>2700</v>
      </c>
      <c r="B188" s="4" t="str">
        <f>C188 &amp; "." &amp; D188</f>
        <v>ProcedureVersions.CreatedByAgent</v>
      </c>
      <c r="C188" s="3" t="s">
        <v>1767</v>
      </c>
      <c r="D188" s="3" t="s">
        <v>380</v>
      </c>
      <c r="E188" s="3" t="s">
        <v>2465</v>
      </c>
      <c r="F188" s="3" t="s">
        <v>2417</v>
      </c>
      <c r="G188" s="3"/>
      <c r="H188" s="3"/>
      <c r="I188" s="4" t="b">
        <f>OR(((E188 = "calculated")=TRUE), ((E188 = "lookup")=TRUE), ((E188 = "aggregation")=TRUE))</f>
        <v>0</v>
      </c>
      <c r="J188" s="4" t="b">
        <f>H188 &lt;&gt; ""</f>
        <v>0</v>
      </c>
      <c r="K188" s="4">
        <f>COUNTIFS(FieldDisagreements!D2:D50, A188)</f>
        <v>0</v>
      </c>
      <c r="L188" s="4" t="b">
        <f>K188 &gt; 0</f>
        <v>0</v>
      </c>
      <c r="M188" s="3" t="s">
        <v>2418</v>
      </c>
    </row>
    <row r="189">
      <c r="A189" s="3" t="s">
        <v>2701</v>
      </c>
      <c r="B189" s="4" t="str">
        <f>C189 &amp; "." &amp; D189</f>
        <v>ProcedureVersions.ModifiedByAgent</v>
      </c>
      <c r="C189" s="3" t="s">
        <v>1767</v>
      </c>
      <c r="D189" s="3" t="s">
        <v>381</v>
      </c>
      <c r="E189" s="3" t="s">
        <v>2465</v>
      </c>
      <c r="F189" s="3" t="s">
        <v>2417</v>
      </c>
      <c r="G189" s="3"/>
      <c r="H189" s="3"/>
      <c r="I189" s="4" t="b">
        <f>OR(((E189 = "calculated")=TRUE), ((E189 = "lookup")=TRUE), ((E189 = "aggregation")=TRUE))</f>
        <v>0</v>
      </c>
      <c r="J189" s="4" t="b">
        <f>H189 &lt;&gt; ""</f>
        <v>0</v>
      </c>
      <c r="K189" s="4">
        <f>COUNTIFS(FieldDisagreements!D2:D50, A189)</f>
        <v>0</v>
      </c>
      <c r="L189" s="4" t="b">
        <f>K189 &gt; 0</f>
        <v>0</v>
      </c>
      <c r="M189" s="3" t="s">
        <v>2418</v>
      </c>
    </row>
    <row r="190">
      <c r="A190" s="3" t="s">
        <v>2702</v>
      </c>
      <c r="B190" s="4" t="str">
        <f>C190 &amp; "." &amp; D190</f>
        <v>ProcedureVersions.NewVersionMotivation</v>
      </c>
      <c r="C190" s="3" t="s">
        <v>1767</v>
      </c>
      <c r="D190" s="3" t="s">
        <v>382</v>
      </c>
      <c r="E190" s="3" t="s">
        <v>2416</v>
      </c>
      <c r="F190" s="3" t="s">
        <v>2417</v>
      </c>
      <c r="G190" s="3"/>
      <c r="H190" s="3"/>
      <c r="I190" s="4" t="b">
        <f>OR(((E190 = "calculated")=TRUE), ((E190 = "lookup")=TRUE), ((E190 = "aggregation")=TRUE))</f>
        <v>0</v>
      </c>
      <c r="J190" s="4" t="b">
        <f>H190 &lt;&gt; ""</f>
        <v>0</v>
      </c>
      <c r="K190" s="4">
        <f>COUNTIFS(FieldDisagreements!D2:D50, A190)</f>
        <v>0</v>
      </c>
      <c r="L190" s="4" t="b">
        <f>K190 &gt; 0</f>
        <v>0</v>
      </c>
      <c r="M190" s="3" t="s">
        <v>2418</v>
      </c>
    </row>
    <row r="191">
      <c r="A191" s="3" t="s">
        <v>2703</v>
      </c>
      <c r="B191" s="4" t="str">
        <f>C191 &amp; "." &amp; D191</f>
        <v>ProcedureVersions.ChangelogDescription</v>
      </c>
      <c r="C191" s="3" t="s">
        <v>1767</v>
      </c>
      <c r="D191" s="3" t="s">
        <v>383</v>
      </c>
      <c r="E191" s="3" t="s">
        <v>2416</v>
      </c>
      <c r="F191" s="3" t="s">
        <v>2417</v>
      </c>
      <c r="G191" s="3"/>
      <c r="H191" s="3"/>
      <c r="I191" s="4" t="b">
        <f>OR(((E191 = "calculated")=TRUE), ((E191 = "lookup")=TRUE), ((E191 = "aggregation")=TRUE))</f>
        <v>0</v>
      </c>
      <c r="J191" s="4" t="b">
        <f>H191 &lt;&gt; ""</f>
        <v>0</v>
      </c>
      <c r="K191" s="4">
        <f>COUNTIFS(FieldDisagreements!D2:D50, A191)</f>
        <v>0</v>
      </c>
      <c r="L191" s="4" t="b">
        <f>K191 &gt; 0</f>
        <v>0</v>
      </c>
      <c r="M191" s="3" t="s">
        <v>2418</v>
      </c>
    </row>
    <row r="192">
      <c r="A192" s="3" t="s">
        <v>2704</v>
      </c>
      <c r="B192" s="4" t="str">
        <f>C192 &amp; "." &amp; D192</f>
        <v>ProcedureVersions.IsCurrent</v>
      </c>
      <c r="C192" s="3" t="s">
        <v>1767</v>
      </c>
      <c r="D192" s="3" t="s">
        <v>10</v>
      </c>
      <c r="E192" s="3" t="s">
        <v>2416</v>
      </c>
      <c r="F192" s="3" t="s">
        <v>2432</v>
      </c>
      <c r="G192" s="3"/>
      <c r="H192" s="3"/>
      <c r="I192" s="4" t="b">
        <f>OR(((E192 = "calculated")=TRUE), ((E192 = "lookup")=TRUE), ((E192 = "aggregation")=TRUE))</f>
        <v>0</v>
      </c>
      <c r="J192" s="4" t="b">
        <f>H192 &lt;&gt; ""</f>
        <v>0</v>
      </c>
      <c r="K192" s="4">
        <f>COUNTIFS(FieldDisagreements!D2:D50, A192)</f>
        <v>0</v>
      </c>
      <c r="L192" s="4" t="b">
        <f>K192 &gt; 0</f>
        <v>0</v>
      </c>
      <c r="M192" s="3" t="s">
        <v>2418</v>
      </c>
    </row>
    <row r="193">
      <c r="A193" s="3" t="s">
        <v>2705</v>
      </c>
      <c r="B193" s="4" t="str">
        <f>C193 &amp; "." &amp; D193</f>
        <v>ProcedureVersions.CountOfSteps</v>
      </c>
      <c r="C193" s="3" t="s">
        <v>1767</v>
      </c>
      <c r="D193" s="3" t="s">
        <v>384</v>
      </c>
      <c r="E193" s="3" t="s">
        <v>2469</v>
      </c>
      <c r="F193" s="3" t="s">
        <v>2470</v>
      </c>
      <c r="G193" s="3" t="s">
        <v>2706</v>
      </c>
      <c r="H193" s="3"/>
      <c r="I193" s="4" t="b">
        <f>OR(((E193 = "calculated")=TRUE), ((E193 = "lookup")=TRUE), ((E193 = "aggregation")=TRUE))</f>
        <v>1</v>
      </c>
      <c r="J193" s="4" t="b">
        <f>H193 &lt;&gt; ""</f>
        <v>0</v>
      </c>
      <c r="K193" s="4">
        <f>COUNTIFS(FieldDisagreements!D2:D50, A193)</f>
        <v>0</v>
      </c>
      <c r="L193" s="4" t="b">
        <f>K193 &gt; 0</f>
        <v>0</v>
      </c>
      <c r="M193" s="3" t="s">
        <v>2418</v>
      </c>
    </row>
    <row r="194">
      <c r="A194" s="3" t="s">
        <v>2707</v>
      </c>
      <c r="B194" s="4" t="str">
        <f>C194 &amp; "." &amp; D194</f>
        <v>ProcedureVersions.CountOfOpenKnowledgeGaps</v>
      </c>
      <c r="C194" s="3" t="s">
        <v>1767</v>
      </c>
      <c r="D194" s="3" t="s">
        <v>385</v>
      </c>
      <c r="E194" s="3" t="s">
        <v>2469</v>
      </c>
      <c r="F194" s="3" t="s">
        <v>2470</v>
      </c>
      <c r="G194" s="3" t="s">
        <v>2708</v>
      </c>
      <c r="H194" s="3"/>
      <c r="I194" s="4" t="b">
        <f>OR(((E194 = "calculated")=TRUE), ((E194 = "lookup")=TRUE), ((E194 = "aggregation")=TRUE))</f>
        <v>1</v>
      </c>
      <c r="J194" s="4" t="b">
        <f>H194 &lt;&gt; ""</f>
        <v>0</v>
      </c>
      <c r="K194" s="4">
        <f>COUNTIFS(FieldDisagreements!D2:D50, A194)</f>
        <v>0</v>
      </c>
      <c r="L194" s="4" t="b">
        <f>K194 &gt; 0</f>
        <v>0</v>
      </c>
      <c r="M194" s="3" t="s">
        <v>2418</v>
      </c>
    </row>
    <row r="195">
      <c r="A195" s="3" t="s">
        <v>2709</v>
      </c>
      <c r="B195" s="4" t="str">
        <f>C195 &amp; "." &amp; D195</f>
        <v>ProcedureVersions.IsReadyForExecution</v>
      </c>
      <c r="C195" s="3" t="s">
        <v>1767</v>
      </c>
      <c r="D195" s="3" t="s">
        <v>386</v>
      </c>
      <c r="E195" s="3" t="s">
        <v>2420</v>
      </c>
      <c r="F195" s="3" t="s">
        <v>2432</v>
      </c>
      <c r="G195" s="3" t="s">
        <v>2710</v>
      </c>
      <c r="H195" s="3"/>
      <c r="I195" s="4" t="b">
        <f>OR(((E195 = "calculated")=TRUE), ((E195 = "lookup")=TRUE), ((E195 = "aggregation")=TRUE))</f>
        <v>1</v>
      </c>
      <c r="J195" s="4" t="b">
        <f>H195 &lt;&gt; ""</f>
        <v>0</v>
      </c>
      <c r="K195" s="4">
        <f>COUNTIFS(FieldDisagreements!D2:D50, A195)</f>
        <v>0</v>
      </c>
      <c r="L195" s="4" t="b">
        <f>K195 &gt; 0</f>
        <v>0</v>
      </c>
      <c r="M195" s="3" t="s">
        <v>2418</v>
      </c>
    </row>
    <row r="196">
      <c r="A196" s="3" t="s">
        <v>2711</v>
      </c>
      <c r="B196" s="4" t="str">
        <f>C196 &amp; "." &amp; D196</f>
        <v>ProcedureVersions.SpecifiedStepCount</v>
      </c>
      <c r="C196" s="3" t="s">
        <v>1767</v>
      </c>
      <c r="D196" s="3" t="s">
        <v>387</v>
      </c>
      <c r="E196" s="3" t="s">
        <v>2469</v>
      </c>
      <c r="F196" s="3" t="s">
        <v>2475</v>
      </c>
      <c r="G196" s="3" t="s">
        <v>2712</v>
      </c>
      <c r="H196" s="3" t="s">
        <v>1991</v>
      </c>
      <c r="I196" s="4" t="b">
        <f>OR(((E196 = "calculated")=TRUE), ((E196 = "lookup")=TRUE), ((E196 = "aggregation")=TRUE))</f>
        <v>1</v>
      </c>
      <c r="J196" s="4" t="b">
        <f>H196 &lt;&gt; ""</f>
        <v>1</v>
      </c>
      <c r="K196" s="4">
        <f>COUNTIFS(FieldDisagreements!D2:D50, A196)</f>
        <v>0</v>
      </c>
      <c r="L196" s="4" t="b">
        <f>K196 &gt; 0</f>
        <v>0</v>
      </c>
      <c r="M196" s="3" t="s">
        <v>2418</v>
      </c>
    </row>
    <row r="197">
      <c r="A197" s="3" t="s">
        <v>2713</v>
      </c>
      <c r="B197" s="4" t="str">
        <f>C197 &amp; "." &amp; D197</f>
        <v>ProcedureVersions.OverdueReviewCount</v>
      </c>
      <c r="C197" s="3" t="s">
        <v>1767</v>
      </c>
      <c r="D197" s="3" t="s">
        <v>388</v>
      </c>
      <c r="E197" s="3" t="s">
        <v>2469</v>
      </c>
      <c r="F197" s="3" t="s">
        <v>2475</v>
      </c>
      <c r="G197" s="3" t="s">
        <v>2714</v>
      </c>
      <c r="H197" s="3" t="s">
        <v>2003</v>
      </c>
      <c r="I197" s="4" t="b">
        <f>OR(((E197 = "calculated")=TRUE), ((E197 = "lookup")=TRUE), ((E197 = "aggregation")=TRUE))</f>
        <v>1</v>
      </c>
      <c r="J197" s="4" t="b">
        <f>H197 &lt;&gt; ""</f>
        <v>1</v>
      </c>
      <c r="K197" s="4">
        <f>COUNTIFS(FieldDisagreements!D2:D50, A197)</f>
        <v>0</v>
      </c>
      <c r="L197" s="4" t="b">
        <f>K197 &gt; 0</f>
        <v>0</v>
      </c>
      <c r="M197" s="3" t="s">
        <v>2418</v>
      </c>
    </row>
    <row r="198">
      <c r="A198" s="3" t="s">
        <v>2715</v>
      </c>
      <c r="B198" s="4" t="str">
        <f>C198 &amp; "." &amp; D198</f>
        <v>ProcedureVersions.OpenChangeRequestCount</v>
      </c>
      <c r="C198" s="3" t="s">
        <v>1767</v>
      </c>
      <c r="D198" s="3" t="s">
        <v>389</v>
      </c>
      <c r="E198" s="3" t="s">
        <v>2469</v>
      </c>
      <c r="F198" s="3" t="s">
        <v>2475</v>
      </c>
      <c r="G198" s="3" t="s">
        <v>2716</v>
      </c>
      <c r="H198" s="3" t="s">
        <v>2003</v>
      </c>
      <c r="I198" s="4" t="b">
        <f>OR(((E198 = "calculated")=TRUE), ((E198 = "lookup")=TRUE), ((E198 = "aggregation")=TRUE))</f>
        <v>1</v>
      </c>
      <c r="J198" s="4" t="b">
        <f>H198 &lt;&gt; ""</f>
        <v>1</v>
      </c>
      <c r="K198" s="4">
        <f>COUNTIFS(FieldDisagreements!D2:D50, A198)</f>
        <v>0</v>
      </c>
      <c r="L198" s="4" t="b">
        <f>K198 &gt; 0</f>
        <v>0</v>
      </c>
      <c r="M198" s="3" t="s">
        <v>2418</v>
      </c>
    </row>
    <row r="199">
      <c r="A199" s="3" t="s">
        <v>2717</v>
      </c>
      <c r="B199" s="4" t="str">
        <f>C199 &amp; "." &amp; D199</f>
        <v>ProcedureVersions.OpenHighSeverityGapCount</v>
      </c>
      <c r="C199" s="3" t="s">
        <v>1767</v>
      </c>
      <c r="D199" s="3" t="s">
        <v>390</v>
      </c>
      <c r="E199" s="3" t="s">
        <v>2469</v>
      </c>
      <c r="F199" s="3" t="s">
        <v>2475</v>
      </c>
      <c r="G199" s="3" t="s">
        <v>2718</v>
      </c>
      <c r="H199" s="3" t="s">
        <v>2003</v>
      </c>
      <c r="I199" s="4" t="b">
        <f>OR(((E199 = "calculated")=TRUE), ((E199 = "lookup")=TRUE), ((E199 = "aggregation")=TRUE))</f>
        <v>1</v>
      </c>
      <c r="J199" s="4" t="b">
        <f>H199 &lt;&gt; ""</f>
        <v>1</v>
      </c>
      <c r="K199" s="4">
        <f>COUNTIFS(FieldDisagreements!D2:D50, A199)</f>
        <v>0</v>
      </c>
      <c r="L199" s="4" t="b">
        <f>K199 &gt; 0</f>
        <v>0</v>
      </c>
      <c r="M199" s="3" t="s">
        <v>2418</v>
      </c>
    </row>
    <row r="200">
      <c r="A200" s="3" t="s">
        <v>2719</v>
      </c>
      <c r="B200" s="4" t="str">
        <f>C200 &amp; "." &amp; D200</f>
        <v>ProcedureVersions.IsFitToExecute</v>
      </c>
      <c r="C200" s="3" t="s">
        <v>1767</v>
      </c>
      <c r="D200" s="3" t="s">
        <v>391</v>
      </c>
      <c r="E200" s="3" t="s">
        <v>2420</v>
      </c>
      <c r="F200" s="3" t="s">
        <v>2432</v>
      </c>
      <c r="G200" s="3" t="s">
        <v>2720</v>
      </c>
      <c r="H200" s="3" t="s">
        <v>2003</v>
      </c>
      <c r="I200" s="4" t="b">
        <f>OR(((E200 = "calculated")=TRUE), ((E200 = "lookup")=TRUE), ((E200 = "aggregation")=TRUE))</f>
        <v>1</v>
      </c>
      <c r="J200" s="4" t="b">
        <f>H200 &lt;&gt; ""</f>
        <v>1</v>
      </c>
      <c r="K200" s="4">
        <f>COUNTIFS(FieldDisagreements!D2:D50, A200)</f>
        <v>0</v>
      </c>
      <c r="L200" s="4" t="b">
        <f>K200 &gt; 0</f>
        <v>0</v>
      </c>
      <c r="M200" s="3" t="s">
        <v>2418</v>
      </c>
    </row>
    <row r="201">
      <c r="A201" s="3" t="s">
        <v>2721</v>
      </c>
      <c r="B201" s="4" t="str">
        <f>C201 &amp; "." &amp; D201</f>
        <v>ProcedureVersions.StewardReviewCadenceDays</v>
      </c>
      <c r="C201" s="3" t="s">
        <v>1767</v>
      </c>
      <c r="D201" s="3" t="s">
        <v>392</v>
      </c>
      <c r="E201" s="3" t="s">
        <v>2469</v>
      </c>
      <c r="F201" s="3" t="s">
        <v>2475</v>
      </c>
      <c r="G201" s="3" t="s">
        <v>2722</v>
      </c>
      <c r="H201" s="3" t="s">
        <v>2019</v>
      </c>
      <c r="I201" s="4" t="b">
        <f>OR(((E201 = "calculated")=TRUE), ((E201 = "lookup")=TRUE), ((E201 = "aggregation")=TRUE))</f>
        <v>1</v>
      </c>
      <c r="J201" s="4" t="b">
        <f>H201 &lt;&gt; ""</f>
        <v>1</v>
      </c>
      <c r="K201" s="4">
        <f>COUNTIFS(FieldDisagreements!D2:D50, A201)</f>
        <v>0</v>
      </c>
      <c r="L201" s="4" t="b">
        <f>K201 &gt; 0</f>
        <v>0</v>
      </c>
      <c r="M201" s="3" t="s">
        <v>2418</v>
      </c>
    </row>
    <row r="202">
      <c r="A202" s="3" t="s">
        <v>2723</v>
      </c>
      <c r="B202" s="4" t="str">
        <f>C202 &amp; "." &amp; D202</f>
        <v>ProcedureVersions.CountOfStewardshipAssignments</v>
      </c>
      <c r="C202" s="3" t="s">
        <v>1767</v>
      </c>
      <c r="D202" s="3" t="s">
        <v>393</v>
      </c>
      <c r="E202" s="3" t="s">
        <v>2469</v>
      </c>
      <c r="F202" s="3" t="s">
        <v>2470</v>
      </c>
      <c r="G202" s="3" t="s">
        <v>2724</v>
      </c>
      <c r="H202" s="3" t="s">
        <v>2023</v>
      </c>
      <c r="I202" s="4" t="b">
        <f>OR(((E202 = "calculated")=TRUE), ((E202 = "lookup")=TRUE), ((E202 = "aggregation")=TRUE))</f>
        <v>1</v>
      </c>
      <c r="J202" s="4" t="b">
        <f>H202 &lt;&gt; ""</f>
        <v>1</v>
      </c>
      <c r="K202" s="4">
        <f>COUNTIFS(FieldDisagreements!D2:D50, A202)</f>
        <v>0</v>
      </c>
      <c r="L202" s="4" t="b">
        <f>K202 &gt; 0</f>
        <v>0</v>
      </c>
      <c r="M202" s="3" t="s">
        <v>2418</v>
      </c>
    </row>
    <row r="203">
      <c r="A203" s="3" t="s">
        <v>2725</v>
      </c>
      <c r="B203" s="4" t="str">
        <f>C203 &amp; "." &amp; D203</f>
        <v>ProcedureVersions.HasAnySteward</v>
      </c>
      <c r="C203" s="3" t="s">
        <v>1767</v>
      </c>
      <c r="D203" s="3" t="s">
        <v>394</v>
      </c>
      <c r="E203" s="3" t="s">
        <v>2420</v>
      </c>
      <c r="F203" s="3" t="s">
        <v>2432</v>
      </c>
      <c r="G203" s="3" t="s">
        <v>2726</v>
      </c>
      <c r="H203" s="3" t="s">
        <v>2023</v>
      </c>
      <c r="I203" s="4" t="b">
        <f>OR(((E203 = "calculated")=TRUE), ((E203 = "lookup")=TRUE), ((E203 = "aggregation")=TRUE))</f>
        <v>1</v>
      </c>
      <c r="J203" s="4" t="b">
        <f>H203 &lt;&gt; ""</f>
        <v>1</v>
      </c>
      <c r="K203" s="4">
        <f>COUNTIFS(FieldDisagreements!D2:D50, A203)</f>
        <v>0</v>
      </c>
      <c r="L203" s="4" t="b">
        <f>K203 &gt; 0</f>
        <v>0</v>
      </c>
      <c r="M203" s="3" t="s">
        <v>2418</v>
      </c>
    </row>
    <row r="204">
      <c r="A204" s="3" t="s">
        <v>2727</v>
      </c>
      <c r="B204" s="4" t="str">
        <f>C204 &amp; "." &amp; D204</f>
        <v>ProcedureVersions.IsLive</v>
      </c>
      <c r="C204" s="3" t="s">
        <v>1767</v>
      </c>
      <c r="D204" s="3" t="s">
        <v>395</v>
      </c>
      <c r="E204" s="3" t="s">
        <v>2420</v>
      </c>
      <c r="F204" s="3" t="s">
        <v>2432</v>
      </c>
      <c r="G204" s="3" t="s">
        <v>2728</v>
      </c>
      <c r="H204" s="3" t="s">
        <v>2023</v>
      </c>
      <c r="I204" s="4" t="b">
        <f>OR(((E204 = "calculated")=TRUE), ((E204 = "lookup")=TRUE), ((E204 = "aggregation")=TRUE))</f>
        <v>1</v>
      </c>
      <c r="J204" s="4" t="b">
        <f>H204 &lt;&gt; ""</f>
        <v>1</v>
      </c>
      <c r="K204" s="4">
        <f>COUNTIFS(FieldDisagreements!D2:D50, A204)</f>
        <v>0</v>
      </c>
      <c r="L204" s="4" t="b">
        <f>K204 &gt; 0</f>
        <v>0</v>
      </c>
      <c r="M204" s="3" t="s">
        <v>2418</v>
      </c>
    </row>
    <row r="205">
      <c r="A205" s="3" t="s">
        <v>2729</v>
      </c>
      <c r="B205" s="4" t="str">
        <f>C205 &amp; "." &amp; D205</f>
        <v>ProcedureVersions.IsUnstewarded</v>
      </c>
      <c r="C205" s="3" t="s">
        <v>1767</v>
      </c>
      <c r="D205" s="3" t="s">
        <v>396</v>
      </c>
      <c r="E205" s="3" t="s">
        <v>2420</v>
      </c>
      <c r="F205" s="3" t="s">
        <v>2432</v>
      </c>
      <c r="G205" s="3" t="s">
        <v>2730</v>
      </c>
      <c r="H205" s="3" t="s">
        <v>2023</v>
      </c>
      <c r="I205" s="4" t="b">
        <f>OR(((E205 = "calculated")=TRUE), ((E205 = "lookup")=TRUE), ((E205 = "aggregation")=TRUE))</f>
        <v>1</v>
      </c>
      <c r="J205" s="4" t="b">
        <f>H205 &lt;&gt; ""</f>
        <v>1</v>
      </c>
      <c r="K205" s="4">
        <f>COUNTIFS(FieldDisagreements!D2:D50, A205)</f>
        <v>0</v>
      </c>
      <c r="L205" s="4" t="b">
        <f>K205 &gt; 0</f>
        <v>0</v>
      </c>
      <c r="M205" s="3" t="s">
        <v>2418</v>
      </c>
    </row>
    <row r="206">
      <c r="A206" s="3" t="s">
        <v>2731</v>
      </c>
      <c r="B206" s="4" t="str">
        <f>C206 &amp; "." &amp; D206</f>
        <v>ProcedureVersions.IsLiveAndUnstewarded</v>
      </c>
      <c r="C206" s="3" t="s">
        <v>1767</v>
      </c>
      <c r="D206" s="3" t="s">
        <v>397</v>
      </c>
      <c r="E206" s="3" t="s">
        <v>2420</v>
      </c>
      <c r="F206" s="3" t="s">
        <v>2432</v>
      </c>
      <c r="G206" s="3" t="s">
        <v>2732</v>
      </c>
      <c r="H206" s="3" t="s">
        <v>2023</v>
      </c>
      <c r="I206" s="4" t="b">
        <f>OR(((E206 = "calculated")=TRUE), ((E206 = "lookup")=TRUE), ((E206 = "aggregation")=TRUE))</f>
        <v>1</v>
      </c>
      <c r="J206" s="4" t="b">
        <f>H206 &lt;&gt; ""</f>
        <v>1</v>
      </c>
      <c r="K206" s="4">
        <f>COUNTIFS(FieldDisagreements!D2:D50, A206)</f>
        <v>0</v>
      </c>
      <c r="L206" s="4" t="b">
        <f>K206 &gt; 0</f>
        <v>0</v>
      </c>
      <c r="M206" s="3" t="s">
        <v>2418</v>
      </c>
    </row>
    <row r="207">
      <c r="A207" s="3" t="s">
        <v>2733</v>
      </c>
      <c r="B207" s="4" t="str">
        <f>C207 &amp; "." &amp; D207</f>
        <v>ProcedureVersions.CountOfOpenBlockingGaps</v>
      </c>
      <c r="C207" s="3" t="s">
        <v>1767</v>
      </c>
      <c r="D207" s="3" t="s">
        <v>398</v>
      </c>
      <c r="E207" s="3" t="s">
        <v>2469</v>
      </c>
      <c r="F207" s="3" t="s">
        <v>2470</v>
      </c>
      <c r="G207" s="3" t="s">
        <v>2734</v>
      </c>
      <c r="H207" s="3" t="s">
        <v>2031</v>
      </c>
      <c r="I207" s="4" t="b">
        <f>OR(((E207 = "calculated")=TRUE), ((E207 = "lookup")=TRUE), ((E207 = "aggregation")=TRUE))</f>
        <v>1</v>
      </c>
      <c r="J207" s="4" t="b">
        <f>H207 &lt;&gt; ""</f>
        <v>1</v>
      </c>
      <c r="K207" s="4">
        <f>COUNTIFS(FieldDisagreements!D2:D50, A207)</f>
        <v>0</v>
      </c>
      <c r="L207" s="4" t="b">
        <f>K207 &gt; 0</f>
        <v>0</v>
      </c>
      <c r="M207" s="3" t="s">
        <v>2418</v>
      </c>
    </row>
    <row r="208">
      <c r="A208" s="3" t="s">
        <v>2735</v>
      </c>
      <c r="B208" s="4" t="str">
        <f>C208 &amp; "." &amp; D208</f>
        <v>ProcedureVersions.HasOpenBlockingGap</v>
      </c>
      <c r="C208" s="3" t="s">
        <v>1767</v>
      </c>
      <c r="D208" s="3" t="s">
        <v>399</v>
      </c>
      <c r="E208" s="3" t="s">
        <v>2420</v>
      </c>
      <c r="F208" s="3" t="s">
        <v>2432</v>
      </c>
      <c r="G208" s="3" t="s">
        <v>2736</v>
      </c>
      <c r="H208" s="3" t="s">
        <v>2031</v>
      </c>
      <c r="I208" s="4" t="b">
        <f>OR(((E208 = "calculated")=TRUE), ((E208 = "lookup")=TRUE), ((E208 = "aggregation")=TRUE))</f>
        <v>1</v>
      </c>
      <c r="J208" s="4" t="b">
        <f>H208 &lt;&gt; ""</f>
        <v>1</v>
      </c>
      <c r="K208" s="4">
        <f>COUNTIFS(FieldDisagreements!D2:D50, A208)</f>
        <v>0</v>
      </c>
      <c r="L208" s="4" t="b">
        <f>K208 &gt; 0</f>
        <v>0</v>
      </c>
      <c r="M208" s="3" t="s">
        <v>2418</v>
      </c>
    </row>
    <row r="209">
      <c r="A209" s="3" t="s">
        <v>2737</v>
      </c>
      <c r="B209" s="4" t="str">
        <f>C209 &amp; "." &amp; D209</f>
        <v>ProcedureVersions.IsLiveWithBlockingGap</v>
      </c>
      <c r="C209" s="3" t="s">
        <v>1767</v>
      </c>
      <c r="D209" s="3" t="s">
        <v>400</v>
      </c>
      <c r="E209" s="3" t="s">
        <v>2420</v>
      </c>
      <c r="F209" s="3" t="s">
        <v>2432</v>
      </c>
      <c r="G209" s="3" t="s">
        <v>2738</v>
      </c>
      <c r="H209" s="3" t="s">
        <v>2031</v>
      </c>
      <c r="I209" s="4" t="b">
        <f>OR(((E209 = "calculated")=TRUE), ((E209 = "lookup")=TRUE), ((E209 = "aggregation")=TRUE))</f>
        <v>1</v>
      </c>
      <c r="J209" s="4" t="b">
        <f>H209 &lt;&gt; ""</f>
        <v>1</v>
      </c>
      <c r="K209" s="4">
        <f>COUNTIFS(FieldDisagreements!D2:D50, A209)</f>
        <v>0</v>
      </c>
      <c r="L209" s="4" t="b">
        <f>K209 &gt; 0</f>
        <v>0</v>
      </c>
      <c r="M209" s="3" t="s">
        <v>2418</v>
      </c>
    </row>
    <row r="210">
      <c r="A210" s="3" t="s">
        <v>2739</v>
      </c>
      <c r="B210" s="4" t="str">
        <f>C210 &amp; "." &amp; D210</f>
        <v>ProcedureVersions.ShouldNotBeExecutable</v>
      </c>
      <c r="C210" s="3" t="s">
        <v>1767</v>
      </c>
      <c r="D210" s="3" t="s">
        <v>401</v>
      </c>
      <c r="E210" s="3" t="s">
        <v>2420</v>
      </c>
      <c r="F210" s="3" t="s">
        <v>2432</v>
      </c>
      <c r="G210" s="3" t="s">
        <v>2740</v>
      </c>
      <c r="H210" s="3" t="s">
        <v>2031</v>
      </c>
      <c r="I210" s="4" t="b">
        <f>OR(((E210 = "calculated")=TRUE), ((E210 = "lookup")=TRUE), ((E210 = "aggregation")=TRUE))</f>
        <v>1</v>
      </c>
      <c r="J210" s="4" t="b">
        <f>H210 &lt;&gt; ""</f>
        <v>1</v>
      </c>
      <c r="K210" s="4">
        <f>COUNTIFS(FieldDisagreements!D2:D50, A210)</f>
        <v>0</v>
      </c>
      <c r="L210" s="4" t="b">
        <f>K210 &gt; 0</f>
        <v>0</v>
      </c>
      <c r="M210" s="3" t="s">
        <v>2418</v>
      </c>
    </row>
    <row r="211">
      <c r="A211" s="3" t="s">
        <v>2741</v>
      </c>
      <c r="B211" s="4" t="str">
        <f>C211 &amp; "." &amp; D211</f>
        <v>ProcedureVersions.CountOfUnapprovedRelianceFragments</v>
      </c>
      <c r="C211" s="3" t="s">
        <v>1767</v>
      </c>
      <c r="D211" s="3" t="s">
        <v>402</v>
      </c>
      <c r="E211" s="3" t="s">
        <v>2469</v>
      </c>
      <c r="F211" s="3" t="s">
        <v>2470</v>
      </c>
      <c r="G211" s="3" t="s">
        <v>2742</v>
      </c>
      <c r="H211" s="3" t="s">
        <v>2043</v>
      </c>
      <c r="I211" s="4" t="b">
        <f>OR(((E211 = "calculated")=TRUE), ((E211 = "lookup")=TRUE), ((E211 = "aggregation")=TRUE))</f>
        <v>1</v>
      </c>
      <c r="J211" s="4" t="b">
        <f>H211 &lt;&gt; ""</f>
        <v>1</v>
      </c>
      <c r="K211" s="4">
        <f>COUNTIFS(FieldDisagreements!D2:D50, A211)</f>
        <v>0</v>
      </c>
      <c r="L211" s="4" t="b">
        <f>K211 &gt; 0</f>
        <v>0</v>
      </c>
      <c r="M211" s="3" t="s">
        <v>2418</v>
      </c>
    </row>
    <row r="212">
      <c r="A212" s="3" t="s">
        <v>2743</v>
      </c>
      <c r="B212" s="4" t="str">
        <f>C212 &amp; "." &amp; D212</f>
        <v>ProcedureVersions.RunsOnUnapprovedKnowledge</v>
      </c>
      <c r="C212" s="3" t="s">
        <v>1767</v>
      </c>
      <c r="D212" s="3" t="s">
        <v>403</v>
      </c>
      <c r="E212" s="3" t="s">
        <v>2420</v>
      </c>
      <c r="F212" s="3" t="s">
        <v>2432</v>
      </c>
      <c r="G212" s="3" t="s">
        <v>2744</v>
      </c>
      <c r="H212" s="3" t="s">
        <v>2043</v>
      </c>
      <c r="I212" s="4" t="b">
        <f>OR(((E212 = "calculated")=TRUE), ((E212 = "lookup")=TRUE), ((E212 = "aggregation")=TRUE))</f>
        <v>1</v>
      </c>
      <c r="J212" s="4" t="b">
        <f>H212 &lt;&gt; ""</f>
        <v>1</v>
      </c>
      <c r="K212" s="4">
        <f>COUNTIFS(FieldDisagreements!D2:D50, A212)</f>
        <v>0</v>
      </c>
      <c r="L212" s="4" t="b">
        <f>K212 &gt; 0</f>
        <v>0</v>
      </c>
      <c r="M212" s="3" t="s">
        <v>2418</v>
      </c>
    </row>
    <row r="213">
      <c r="A213" s="3" t="s">
        <v>2745</v>
      </c>
      <c r="B213" s="4" t="str">
        <f>C213 &amp; "." &amp; D213</f>
        <v>ProcedureVersions.CountOfOverdueGaps</v>
      </c>
      <c r="C213" s="3" t="s">
        <v>1767</v>
      </c>
      <c r="D213" s="3" t="s">
        <v>404</v>
      </c>
      <c r="E213" s="3" t="s">
        <v>2469</v>
      </c>
      <c r="F213" s="3" t="s">
        <v>2470</v>
      </c>
      <c r="G213" s="3" t="s">
        <v>2746</v>
      </c>
      <c r="H213" s="3" t="s">
        <v>2051</v>
      </c>
      <c r="I213" s="4" t="b">
        <f>OR(((E213 = "calculated")=TRUE), ((E213 = "lookup")=TRUE), ((E213 = "aggregation")=TRUE))</f>
        <v>1</v>
      </c>
      <c r="J213" s="4" t="b">
        <f>H213 &lt;&gt; ""</f>
        <v>1</v>
      </c>
      <c r="K213" s="4">
        <f>COUNTIFS(FieldDisagreements!D2:D50, A213)</f>
        <v>0</v>
      </c>
      <c r="L213" s="4" t="b">
        <f>K213 &gt; 0</f>
        <v>0</v>
      </c>
      <c r="M213" s="3" t="s">
        <v>2418</v>
      </c>
    </row>
    <row r="214">
      <c r="A214" s="3" t="s">
        <v>2747</v>
      </c>
      <c r="B214" s="4" t="str">
        <f>C214 &amp; "." &amp; D214</f>
        <v>ProcedureVersions.CountOfChangeRequests</v>
      </c>
      <c r="C214" s="3" t="s">
        <v>1767</v>
      </c>
      <c r="D214" s="3" t="s">
        <v>405</v>
      </c>
      <c r="E214" s="3" t="s">
        <v>2469</v>
      </c>
      <c r="F214" s="3" t="s">
        <v>2470</v>
      </c>
      <c r="G214" s="3" t="s">
        <v>2748</v>
      </c>
      <c r="H214" s="3" t="s">
        <v>2055</v>
      </c>
      <c r="I214" s="4" t="b">
        <f>OR(((E214 = "calculated")=TRUE), ((E214 = "lookup")=TRUE), ((E214 = "aggregation")=TRUE))</f>
        <v>1</v>
      </c>
      <c r="J214" s="4" t="b">
        <f>H214 &lt;&gt; ""</f>
        <v>1</v>
      </c>
      <c r="K214" s="4">
        <f>COUNTIFS(FieldDisagreements!D2:D50, A214)</f>
        <v>0</v>
      </c>
      <c r="L214" s="4" t="b">
        <f>K214 &gt; 0</f>
        <v>0</v>
      </c>
      <c r="M214" s="3" t="s">
        <v>2418</v>
      </c>
    </row>
    <row r="215">
      <c r="A215" s="3" t="s">
        <v>2749</v>
      </c>
      <c r="B215" s="4" t="str">
        <f>C215 &amp; "." &amp; D215</f>
        <v>ProcedureVersions.CountOfReviewEvents</v>
      </c>
      <c r="C215" s="3" t="s">
        <v>1767</v>
      </c>
      <c r="D215" s="3" t="s">
        <v>406</v>
      </c>
      <c r="E215" s="3" t="s">
        <v>2469</v>
      </c>
      <c r="F215" s="3" t="s">
        <v>2470</v>
      </c>
      <c r="G215" s="3" t="s">
        <v>2750</v>
      </c>
      <c r="H215" s="3" t="s">
        <v>2055</v>
      </c>
      <c r="I215" s="4" t="b">
        <f>OR(((E215 = "calculated")=TRUE), ((E215 = "lookup")=TRUE), ((E215 = "aggregation")=TRUE))</f>
        <v>1</v>
      </c>
      <c r="J215" s="4" t="b">
        <f>H215 &lt;&gt; ""</f>
        <v>1</v>
      </c>
      <c r="K215" s="4">
        <f>COUNTIFS(FieldDisagreements!D2:D50, A215)</f>
        <v>0</v>
      </c>
      <c r="L215" s="4" t="b">
        <f>K215 &gt; 0</f>
        <v>0</v>
      </c>
      <c r="M215" s="3" t="s">
        <v>2418</v>
      </c>
    </row>
    <row r="216">
      <c r="A216" s="3" t="s">
        <v>2751</v>
      </c>
      <c r="B216" s="4" t="str">
        <f>C216 &amp; "." &amp; D216</f>
        <v>ProcedureVersions.HasGovernanceRecord</v>
      </c>
      <c r="C216" s="3" t="s">
        <v>1767</v>
      </c>
      <c r="D216" s="3" t="s">
        <v>407</v>
      </c>
      <c r="E216" s="3" t="s">
        <v>2420</v>
      </c>
      <c r="F216" s="3" t="s">
        <v>2432</v>
      </c>
      <c r="G216" s="3" t="s">
        <v>2752</v>
      </c>
      <c r="H216" s="3" t="s">
        <v>2055</v>
      </c>
      <c r="I216" s="4" t="b">
        <f>OR(((E216 = "calculated")=TRUE), ((E216 = "lookup")=TRUE), ((E216 = "aggregation")=TRUE))</f>
        <v>1</v>
      </c>
      <c r="J216" s="4" t="b">
        <f>H216 &lt;&gt; ""</f>
        <v>1</v>
      </c>
      <c r="K216" s="4">
        <f>COUNTIFS(FieldDisagreements!D2:D50, A216)</f>
        <v>0</v>
      </c>
      <c r="L216" s="4" t="b">
        <f>K216 &gt; 0</f>
        <v>0</v>
      </c>
      <c r="M216" s="3" t="s">
        <v>2418</v>
      </c>
    </row>
    <row r="217">
      <c r="A217" s="3" t="s">
        <v>2753</v>
      </c>
      <c r="B217" s="4" t="str">
        <f>C217 &amp; "." &amp; D217</f>
        <v>ProcedureVersions.EvaluationContext</v>
      </c>
      <c r="C217" s="3" t="s">
        <v>1767</v>
      </c>
      <c r="D217" s="3" t="s">
        <v>258</v>
      </c>
      <c r="E217" s="3" t="s">
        <v>2465</v>
      </c>
      <c r="F217" s="3" t="s">
        <v>2417</v>
      </c>
      <c r="G217" s="3"/>
      <c r="H217" s="3"/>
      <c r="I217" s="4" t="b">
        <f>OR(((E217 = "calculated")=TRUE), ((E217 = "lookup")=TRUE), ((E217 = "aggregation")=TRUE))</f>
        <v>0</v>
      </c>
      <c r="J217" s="4" t="b">
        <f>H217 &lt;&gt; ""</f>
        <v>0</v>
      </c>
      <c r="K217" s="4">
        <f>COUNTIFS(FieldDisagreements!D2:D50, A217)</f>
        <v>0</v>
      </c>
      <c r="L217" s="4" t="b">
        <f>K217 &gt; 0</f>
        <v>0</v>
      </c>
      <c r="M217" s="3" t="s">
        <v>2418</v>
      </c>
    </row>
    <row r="218">
      <c r="A218" s="3" t="s">
        <v>2754</v>
      </c>
      <c r="B218" s="4" t="str">
        <f>C218 &amp; "." &amp; D218</f>
        <v>ProcedureVersions.AsOfInstant</v>
      </c>
      <c r="C218" s="3" t="s">
        <v>1767</v>
      </c>
      <c r="D218" s="3" t="s">
        <v>92</v>
      </c>
      <c r="E218" s="3" t="s">
        <v>2509</v>
      </c>
      <c r="F218" s="3" t="s">
        <v>2428</v>
      </c>
      <c r="G218" s="3" t="s">
        <v>2555</v>
      </c>
      <c r="H218" s="3"/>
      <c r="I218" s="4" t="b">
        <f>OR(((E218 = "calculated")=TRUE), ((E218 = "lookup")=TRUE), ((E218 = "aggregation")=TRUE))</f>
        <v>1</v>
      </c>
      <c r="J218" s="4" t="b">
        <f>H218 &lt;&gt; ""</f>
        <v>0</v>
      </c>
      <c r="K218" s="4">
        <f>COUNTIFS(FieldDisagreements!D2:D50, A218)</f>
        <v>0</v>
      </c>
      <c r="L218" s="4" t="b">
        <f>K218 &gt; 0</f>
        <v>0</v>
      </c>
      <c r="M218" s="3" t="s">
        <v>2418</v>
      </c>
    </row>
    <row r="219">
      <c r="A219" s="3" t="s">
        <v>2755</v>
      </c>
      <c r="B219" s="4" t="str">
        <f>C219 &amp; "." &amp; D219</f>
        <v>ProcedureVersions.DaysSinceModified</v>
      </c>
      <c r="C219" s="3" t="s">
        <v>1767</v>
      </c>
      <c r="D219" s="3" t="s">
        <v>408</v>
      </c>
      <c r="E219" s="3" t="s">
        <v>2420</v>
      </c>
      <c r="F219" s="3" t="s">
        <v>2470</v>
      </c>
      <c r="G219" s="3" t="s">
        <v>2756</v>
      </c>
      <c r="H219" s="3" t="s">
        <v>2055</v>
      </c>
      <c r="I219" s="4" t="b">
        <f>OR(((E219 = "calculated")=TRUE), ((E219 = "lookup")=TRUE), ((E219 = "aggregation")=TRUE))</f>
        <v>1</v>
      </c>
      <c r="J219" s="4" t="b">
        <f>H219 &lt;&gt; ""</f>
        <v>1</v>
      </c>
      <c r="K219" s="4">
        <f>COUNTIFS(FieldDisagreements!D2:D50, A219)</f>
        <v>0</v>
      </c>
      <c r="L219" s="4" t="b">
        <f>K219 &gt; 0</f>
        <v>0</v>
      </c>
      <c r="M219" s="3" t="s">
        <v>2418</v>
      </c>
    </row>
    <row r="220">
      <c r="A220" s="3" t="s">
        <v>2757</v>
      </c>
      <c r="B220" s="4" t="str">
        <f>C220 &amp; "." &amp; D220</f>
        <v>ProcedureVersions.DaysSinceLastReview</v>
      </c>
      <c r="C220" s="3" t="s">
        <v>1767</v>
      </c>
      <c r="D220" s="3" t="s">
        <v>409</v>
      </c>
      <c r="E220" s="3" t="s">
        <v>2469</v>
      </c>
      <c r="F220" s="3" t="s">
        <v>2470</v>
      </c>
      <c r="G220" s="3" t="s">
        <v>2758</v>
      </c>
      <c r="H220" s="3" t="s">
        <v>2055</v>
      </c>
      <c r="I220" s="4" t="b">
        <f>OR(((E220 = "calculated")=TRUE), ((E220 = "lookup")=TRUE), ((E220 = "aggregation")=TRUE))</f>
        <v>1</v>
      </c>
      <c r="J220" s="4" t="b">
        <f>H220 &lt;&gt; ""</f>
        <v>1</v>
      </c>
      <c r="K220" s="4">
        <f>COUNTIFS(FieldDisagreements!D2:D50, A220)</f>
        <v>2</v>
      </c>
      <c r="L220" s="4" t="b">
        <f>K220 &gt; 0</f>
        <v>1</v>
      </c>
      <c r="M220" s="3" t="s">
        <v>2418</v>
      </c>
    </row>
    <row r="221">
      <c r="A221" s="3" t="s">
        <v>2759</v>
      </c>
      <c r="B221" s="4" t="str">
        <f>C221 &amp; "." &amp; D221</f>
        <v>ProcedureVersions.WasModifiedSinceLastReview</v>
      </c>
      <c r="C221" s="3" t="s">
        <v>1767</v>
      </c>
      <c r="D221" s="3" t="s">
        <v>410</v>
      </c>
      <c r="E221" s="3" t="s">
        <v>2420</v>
      </c>
      <c r="F221" s="3" t="s">
        <v>2432</v>
      </c>
      <c r="G221" s="3" t="s">
        <v>2760</v>
      </c>
      <c r="H221" s="3" t="s">
        <v>2055</v>
      </c>
      <c r="I221" s="4" t="b">
        <f>OR(((E221 = "calculated")=TRUE), ((E221 = "lookup")=TRUE), ((E221 = "aggregation")=TRUE))</f>
        <v>1</v>
      </c>
      <c r="J221" s="4" t="b">
        <f>H221 &lt;&gt; ""</f>
        <v>1</v>
      </c>
      <c r="K221" s="4">
        <f>COUNTIFS(FieldDisagreements!D2:D50, A221)</f>
        <v>1</v>
      </c>
      <c r="L221" s="4" t="b">
        <f>K221 &gt; 0</f>
        <v>1</v>
      </c>
      <c r="M221" s="3" t="s">
        <v>2418</v>
      </c>
    </row>
    <row r="222">
      <c r="A222" s="3" t="s">
        <v>2761</v>
      </c>
      <c r="B222" s="4" t="str">
        <f>C222 &amp; "." &amp; D222</f>
        <v>ProcedureVersions.ModifierIsAuthority</v>
      </c>
      <c r="C222" s="3" t="s">
        <v>1767</v>
      </c>
      <c r="D222" s="3" t="s">
        <v>411</v>
      </c>
      <c r="E222" s="3" t="s">
        <v>2509</v>
      </c>
      <c r="F222" s="3" t="s">
        <v>2417</v>
      </c>
      <c r="G222" s="3" t="s">
        <v>2762</v>
      </c>
      <c r="H222" s="3" t="s">
        <v>2055</v>
      </c>
      <c r="I222" s="4" t="b">
        <f>OR(((E222 = "calculated")=TRUE), ((E222 = "lookup")=TRUE), ((E222 = "aggregation")=TRUE))</f>
        <v>1</v>
      </c>
      <c r="J222" s="4" t="b">
        <f>H222 &lt;&gt; ""</f>
        <v>1</v>
      </c>
      <c r="K222" s="4">
        <f>COUNTIFS(FieldDisagreements!D2:D50, A222)</f>
        <v>0</v>
      </c>
      <c r="L222" s="4" t="b">
        <f>K222 &gt; 0</f>
        <v>0</v>
      </c>
      <c r="M222" s="3" t="s">
        <v>2418</v>
      </c>
    </row>
    <row r="223">
      <c r="A223" s="3" t="s">
        <v>2763</v>
      </c>
      <c r="B223" s="4" t="str">
        <f>C223 &amp; "." &amp; D223</f>
        <v>ProcedureVersions.HasUnwitnessedChange</v>
      </c>
      <c r="C223" s="3" t="s">
        <v>1767</v>
      </c>
      <c r="D223" s="3" t="s">
        <v>412</v>
      </c>
      <c r="E223" s="3" t="s">
        <v>2420</v>
      </c>
      <c r="F223" s="3" t="s">
        <v>2432</v>
      </c>
      <c r="G223" s="3" t="s">
        <v>2764</v>
      </c>
      <c r="H223" s="3" t="s">
        <v>2055</v>
      </c>
      <c r="I223" s="4" t="b">
        <f>OR(((E223 = "calculated")=TRUE), ((E223 = "lookup")=TRUE), ((E223 = "aggregation")=TRUE))</f>
        <v>1</v>
      </c>
      <c r="J223" s="4" t="b">
        <f>H223 &lt;&gt; ""</f>
        <v>1</v>
      </c>
      <c r="K223" s="4">
        <f>COUNTIFS(FieldDisagreements!D2:D50, A223)</f>
        <v>0</v>
      </c>
      <c r="L223" s="4" t="b">
        <f>K223 &gt; 0</f>
        <v>0</v>
      </c>
      <c r="M223" s="3" t="s">
        <v>2418</v>
      </c>
    </row>
    <row r="224">
      <c r="A224" s="3" t="s">
        <v>2765</v>
      </c>
      <c r="B224" s="4" t="str">
        <f>C224 &amp; "." &amp; D224</f>
        <v>ProcedureVersions.CountOfStaleFragments</v>
      </c>
      <c r="C224" s="3" t="s">
        <v>1767</v>
      </c>
      <c r="D224" s="3" t="s">
        <v>413</v>
      </c>
      <c r="E224" s="3" t="s">
        <v>2469</v>
      </c>
      <c r="F224" s="3" t="s">
        <v>2470</v>
      </c>
      <c r="G224" s="3" t="s">
        <v>2766</v>
      </c>
      <c r="H224" s="3" t="s">
        <v>2155</v>
      </c>
      <c r="I224" s="4" t="b">
        <f>OR(((E224 = "calculated")=TRUE), ((E224 = "lookup")=TRUE), ((E224 = "aggregation")=TRUE))</f>
        <v>1</v>
      </c>
      <c r="J224" s="4" t="b">
        <f>H224 &lt;&gt; ""</f>
        <v>1</v>
      </c>
      <c r="K224" s="4">
        <f>COUNTIFS(FieldDisagreements!D2:D50, A224)</f>
        <v>0</v>
      </c>
      <c r="L224" s="4" t="b">
        <f>K224 &gt; 0</f>
        <v>0</v>
      </c>
      <c r="M224" s="3" t="s">
        <v>2418</v>
      </c>
    </row>
    <row r="225">
      <c r="A225" s="3" t="s">
        <v>2767</v>
      </c>
      <c r="B225" s="4" t="str">
        <f>C225 &amp; "." &amp; D225</f>
        <v>ProcedureVersions.KnowledgeIsStalerThanCadence</v>
      </c>
      <c r="C225" s="3" t="s">
        <v>1767</v>
      </c>
      <c r="D225" s="3" t="s">
        <v>414</v>
      </c>
      <c r="E225" s="3" t="s">
        <v>2420</v>
      </c>
      <c r="F225" s="3" t="s">
        <v>2432</v>
      </c>
      <c r="G225" s="3" t="s">
        <v>2768</v>
      </c>
      <c r="H225" s="3" t="s">
        <v>2155</v>
      </c>
      <c r="I225" s="4" t="b">
        <f>OR(((E225 = "calculated")=TRUE), ((E225 = "lookup")=TRUE), ((E225 = "aggregation")=TRUE))</f>
        <v>1</v>
      </c>
      <c r="J225" s="4" t="b">
        <f>H225 &lt;&gt; ""</f>
        <v>1</v>
      </c>
      <c r="K225" s="4">
        <f>COUNTIFS(FieldDisagreements!D2:D50, A225)</f>
        <v>0</v>
      </c>
      <c r="L225" s="4" t="b">
        <f>K225 &gt; 0</f>
        <v>0</v>
      </c>
      <c r="M225" s="3" t="s">
        <v>2418</v>
      </c>
    </row>
    <row r="226">
      <c r="A226" s="3" t="s">
        <v>2769</v>
      </c>
      <c r="B226" s="4" t="str">
        <f>C226 &amp; "." &amp; D226</f>
        <v>ProcedureVersions.CompoundFragileFragmentCount</v>
      </c>
      <c r="C226" s="3" t="s">
        <v>1767</v>
      </c>
      <c r="D226" s="3" t="s">
        <v>415</v>
      </c>
      <c r="E226" s="3" t="s">
        <v>2469</v>
      </c>
      <c r="F226" s="3" t="s">
        <v>2475</v>
      </c>
      <c r="G226" s="3" t="s">
        <v>2770</v>
      </c>
      <c r="H226" s="3" t="s">
        <v>2199</v>
      </c>
      <c r="I226" s="4" t="b">
        <f>OR(((E226 = "calculated")=TRUE), ((E226 = "lookup")=TRUE), ((E226 = "aggregation")=TRUE))</f>
        <v>1</v>
      </c>
      <c r="J226" s="4" t="b">
        <f>H226 &lt;&gt; ""</f>
        <v>1</v>
      </c>
      <c r="K226" s="4">
        <f>COUNTIFS(FieldDisagreements!D2:D50, A226)</f>
        <v>0</v>
      </c>
      <c r="L226" s="4" t="b">
        <f>K226 &gt; 0</f>
        <v>0</v>
      </c>
      <c r="M226" s="3" t="s">
        <v>2418</v>
      </c>
    </row>
    <row r="227">
      <c r="A227" s="3" t="s">
        <v>2771</v>
      </c>
      <c r="B227" s="4" t="str">
        <f>C227 &amp; "." &amp; D227</f>
        <v>ProcedureVersions.RestsOnCompoundFragileKnowledge</v>
      </c>
      <c r="C227" s="3" t="s">
        <v>1767</v>
      </c>
      <c r="D227" s="3" t="s">
        <v>416</v>
      </c>
      <c r="E227" s="3" t="s">
        <v>2420</v>
      </c>
      <c r="F227" s="3" t="s">
        <v>2432</v>
      </c>
      <c r="G227" s="3" t="s">
        <v>2772</v>
      </c>
      <c r="H227" s="3" t="s">
        <v>2199</v>
      </c>
      <c r="I227" s="4" t="b">
        <f>OR(((E227 = "calculated")=TRUE), ((E227 = "lookup")=TRUE), ((E227 = "aggregation")=TRUE))</f>
        <v>1</v>
      </c>
      <c r="J227" s="4" t="b">
        <f>H227 &lt;&gt; ""</f>
        <v>1</v>
      </c>
      <c r="K227" s="4">
        <f>COUNTIFS(FieldDisagreements!D2:D50, A227)</f>
        <v>0</v>
      </c>
      <c r="L227" s="4" t="b">
        <f>K227 &gt; 0</f>
        <v>0</v>
      </c>
      <c r="M227" s="3" t="s">
        <v>2418</v>
      </c>
    </row>
    <row r="228">
      <c r="A228" s="3" t="s">
        <v>2773</v>
      </c>
      <c r="B228" s="4" t="str">
        <f>C228 &amp; "." &amp; D228</f>
        <v>ProcedureVersions.ConcentratedWitnessSessionCount</v>
      </c>
      <c r="C228" s="3" t="s">
        <v>1767</v>
      </c>
      <c r="D228" s="3" t="s">
        <v>417</v>
      </c>
      <c r="E228" s="3" t="s">
        <v>2469</v>
      </c>
      <c r="F228" s="3" t="s">
        <v>2475</v>
      </c>
      <c r="G228" s="3" t="s">
        <v>2774</v>
      </c>
      <c r="H228" s="3" t="s">
        <v>2207</v>
      </c>
      <c r="I228" s="4" t="b">
        <f>OR(((E228 = "calculated")=TRUE), ((E228 = "lookup")=TRUE), ((E228 = "aggregation")=TRUE))</f>
        <v>1</v>
      </c>
      <c r="J228" s="4" t="b">
        <f>H228 &lt;&gt; ""</f>
        <v>1</v>
      </c>
      <c r="K228" s="4">
        <f>COUNTIFS(FieldDisagreements!D2:D50, A228)</f>
        <v>0</v>
      </c>
      <c r="L228" s="4" t="b">
        <f>K228 &gt; 0</f>
        <v>0</v>
      </c>
      <c r="M228" s="3" t="s">
        <v>2418</v>
      </c>
    </row>
    <row r="229">
      <c r="A229" s="3" t="s">
        <v>2775</v>
      </c>
      <c r="B229" s="4" t="str">
        <f>C229 &amp; "." &amp; D229</f>
        <v>ProcedureVersions.KnowledgeBaseIsConcentrated</v>
      </c>
      <c r="C229" s="3" t="s">
        <v>1767</v>
      </c>
      <c r="D229" s="3" t="s">
        <v>418</v>
      </c>
      <c r="E229" s="3" t="s">
        <v>2420</v>
      </c>
      <c r="F229" s="3" t="s">
        <v>2432</v>
      </c>
      <c r="G229" s="3" t="s">
        <v>2776</v>
      </c>
      <c r="H229" s="3" t="s">
        <v>2207</v>
      </c>
      <c r="I229" s="4" t="b">
        <f>OR(((E229 = "calculated")=TRUE), ((E229 = "lookup")=TRUE), ((E229 = "aggregation")=TRUE))</f>
        <v>1</v>
      </c>
      <c r="J229" s="4" t="b">
        <f>H229 &lt;&gt; ""</f>
        <v>1</v>
      </c>
      <c r="K229" s="4">
        <f>COUNTIFS(FieldDisagreements!D2:D50, A229)</f>
        <v>0</v>
      </c>
      <c r="L229" s="4" t="b">
        <f>K229 &gt; 0</f>
        <v>0</v>
      </c>
      <c r="M229" s="3" t="s">
        <v>2418</v>
      </c>
    </row>
    <row r="230">
      <c r="A230" s="3" t="s">
        <v>2777</v>
      </c>
      <c r="B230" s="4" t="str">
        <f>C230 &amp; "." &amp; D230</f>
        <v>ProcedureVersions.MachineConsumedUnapprovedCount</v>
      </c>
      <c r="C230" s="3" t="s">
        <v>1767</v>
      </c>
      <c r="D230" s="3" t="s">
        <v>419</v>
      </c>
      <c r="E230" s="3" t="s">
        <v>2469</v>
      </c>
      <c r="F230" s="3" t="s">
        <v>2475</v>
      </c>
      <c r="G230" s="3" t="s">
        <v>2778</v>
      </c>
      <c r="H230" s="3" t="s">
        <v>2211</v>
      </c>
      <c r="I230" s="4" t="b">
        <f>OR(((E230 = "calculated")=TRUE), ((E230 = "lookup")=TRUE), ((E230 = "aggregation")=TRUE))</f>
        <v>1</v>
      </c>
      <c r="J230" s="4" t="b">
        <f>H230 &lt;&gt; ""</f>
        <v>1</v>
      </c>
      <c r="K230" s="4">
        <f>COUNTIFS(FieldDisagreements!D2:D50, A230)</f>
        <v>0</v>
      </c>
      <c r="L230" s="4" t="b">
        <f>K230 &gt; 0</f>
        <v>0</v>
      </c>
      <c r="M230" s="3" t="s">
        <v>2418</v>
      </c>
    </row>
    <row r="231">
      <c r="A231" s="3" t="s">
        <v>2779</v>
      </c>
      <c r="B231" s="4" t="str">
        <f>C231 &amp; "." &amp; D231</f>
        <v>ProcedureVersions.FeedsUnapprovedKnowledgeToMachines</v>
      </c>
      <c r="C231" s="3" t="s">
        <v>1767</v>
      </c>
      <c r="D231" s="3" t="s">
        <v>420</v>
      </c>
      <c r="E231" s="3" t="s">
        <v>2420</v>
      </c>
      <c r="F231" s="3" t="s">
        <v>2432</v>
      </c>
      <c r="G231" s="3" t="s">
        <v>2780</v>
      </c>
      <c r="H231" s="3" t="s">
        <v>2211</v>
      </c>
      <c r="I231" s="4" t="b">
        <f>OR(((E231 = "calculated")=TRUE), ((E231 = "lookup")=TRUE), ((E231 = "aggregation")=TRUE))</f>
        <v>1</v>
      </c>
      <c r="J231" s="4" t="b">
        <f>H231 &lt;&gt; ""</f>
        <v>1</v>
      </c>
      <c r="K231" s="4">
        <f>COUNTIFS(FieldDisagreements!D2:D50, A231)</f>
        <v>0</v>
      </c>
      <c r="L231" s="4" t="b">
        <f>K231 &gt; 0</f>
        <v>0</v>
      </c>
      <c r="M231" s="3" t="s">
        <v>2418</v>
      </c>
    </row>
    <row r="232">
      <c r="A232" s="3" t="s">
        <v>2781</v>
      </c>
      <c r="B232" s="4" t="str">
        <f>C232 &amp; "." &amp; D232</f>
        <v>ProcedureVersions.GenuinelyOverdueFragmentCount</v>
      </c>
      <c r="C232" s="3" t="s">
        <v>1767</v>
      </c>
      <c r="D232" s="3" t="s">
        <v>421</v>
      </c>
      <c r="E232" s="3" t="s">
        <v>2469</v>
      </c>
      <c r="F232" s="3" t="s">
        <v>2475</v>
      </c>
      <c r="G232" s="3" t="s">
        <v>2782</v>
      </c>
      <c r="H232" s="3" t="s">
        <v>2215</v>
      </c>
      <c r="I232" s="4" t="b">
        <f>OR(((E232 = "calculated")=TRUE), ((E232 = "lookup")=TRUE), ((E232 = "aggregation")=TRUE))</f>
        <v>1</v>
      </c>
      <c r="J232" s="4" t="b">
        <f>H232 &lt;&gt; ""</f>
        <v>1</v>
      </c>
      <c r="K232" s="4">
        <f>COUNTIFS(FieldDisagreements!D2:D50, A232)</f>
        <v>0</v>
      </c>
      <c r="L232" s="4" t="b">
        <f>K232 &gt; 0</f>
        <v>0</v>
      </c>
      <c r="M232" s="3" t="s">
        <v>2418</v>
      </c>
    </row>
    <row r="233">
      <c r="A233" s="3" t="s">
        <v>2783</v>
      </c>
      <c r="B233" s="4" t="str">
        <f>C233 &amp; "." &amp; D233</f>
        <v>ProcedureVersions.AwaitedDecisionCount</v>
      </c>
      <c r="C233" s="3" t="s">
        <v>1767</v>
      </c>
      <c r="D233" s="3" t="s">
        <v>422</v>
      </c>
      <c r="E233" s="3" t="s">
        <v>2469</v>
      </c>
      <c r="F233" s="3" t="s">
        <v>2475</v>
      </c>
      <c r="G233" s="3" t="s">
        <v>2784</v>
      </c>
      <c r="H233" s="3" t="s">
        <v>2219</v>
      </c>
      <c r="I233" s="4" t="b">
        <f>OR(((E233 = "calculated")=TRUE), ((E233 = "lookup")=TRUE), ((E233 = "aggregation")=TRUE))</f>
        <v>1</v>
      </c>
      <c r="J233" s="4" t="b">
        <f>H233 &lt;&gt; ""</f>
        <v>1</v>
      </c>
      <c r="K233" s="4">
        <f>COUNTIFS(FieldDisagreements!D2:D50, A233)</f>
        <v>0</v>
      </c>
      <c r="L233" s="4" t="b">
        <f>K233 &gt; 0</f>
        <v>0</v>
      </c>
      <c r="M233" s="3" t="s">
        <v>2418</v>
      </c>
    </row>
    <row r="234">
      <c r="A234" s="3" t="s">
        <v>2785</v>
      </c>
      <c r="B234" s="4" t="str">
        <f>C234 &amp; "." &amp; D234</f>
        <v>ProcedureVersions.ScopedOpenBlockingGapCount</v>
      </c>
      <c r="C234" s="3" t="s">
        <v>1767</v>
      </c>
      <c r="D234" s="3" t="s">
        <v>423</v>
      </c>
      <c r="E234" s="3" t="s">
        <v>2469</v>
      </c>
      <c r="F234" s="3" t="s">
        <v>2475</v>
      </c>
      <c r="G234" s="3" t="s">
        <v>2786</v>
      </c>
      <c r="H234" s="3" t="s">
        <v>2219</v>
      </c>
      <c r="I234" s="4" t="b">
        <f>OR(((E234 = "calculated")=TRUE), ((E234 = "lookup")=TRUE), ((E234 = "aggregation")=TRUE))</f>
        <v>1</v>
      </c>
      <c r="J234" s="4" t="b">
        <f>H234 &lt;&gt; ""</f>
        <v>1</v>
      </c>
      <c r="K234" s="4">
        <f>COUNTIFS(FieldDisagreements!D2:D50, A234)</f>
        <v>0</v>
      </c>
      <c r="L234" s="4" t="b">
        <f>K234 &gt; 0</f>
        <v>0</v>
      </c>
      <c r="M234" s="3" t="s">
        <v>2418</v>
      </c>
    </row>
    <row r="235">
      <c r="A235" s="3" t="s">
        <v>2787</v>
      </c>
      <c r="B235" s="4" t="str">
        <f>C235 &amp; "." &amp; D235</f>
        <v>ProcedureVersions.IsBlockedOnPendingDecision</v>
      </c>
      <c r="C235" s="3" t="s">
        <v>1767</v>
      </c>
      <c r="D235" s="3" t="s">
        <v>424</v>
      </c>
      <c r="E235" s="3" t="s">
        <v>2420</v>
      </c>
      <c r="F235" s="3" t="s">
        <v>2432</v>
      </c>
      <c r="G235" s="3" t="s">
        <v>2788</v>
      </c>
      <c r="H235" s="3" t="s">
        <v>2219</v>
      </c>
      <c r="I235" s="4" t="b">
        <f>OR(((E235 = "calculated")=TRUE), ((E235 = "lookup")=TRUE), ((E235 = "aggregation")=TRUE))</f>
        <v>1</v>
      </c>
      <c r="J235" s="4" t="b">
        <f>H235 &lt;&gt; ""</f>
        <v>1</v>
      </c>
      <c r="K235" s="4">
        <f>COUNTIFS(FieldDisagreements!D2:D50, A235)</f>
        <v>0</v>
      </c>
      <c r="L235" s="4" t="b">
        <f>K235 &gt; 0</f>
        <v>0</v>
      </c>
      <c r="M235" s="3" t="s">
        <v>2418</v>
      </c>
    </row>
    <row r="236">
      <c r="A236" s="3" t="s">
        <v>2789</v>
      </c>
      <c r="B236" s="4" t="str">
        <f>C236 &amp; "." &amp; D236</f>
        <v>ProcedureVersions.UnexercisedHumanGateCount</v>
      </c>
      <c r="C236" s="3" t="s">
        <v>1767</v>
      </c>
      <c r="D236" s="3" t="s">
        <v>425</v>
      </c>
      <c r="E236" s="3" t="s">
        <v>2469</v>
      </c>
      <c r="F236" s="3" t="s">
        <v>2475</v>
      </c>
      <c r="G236" s="3" t="s">
        <v>2790</v>
      </c>
      <c r="H236" s="3" t="s">
        <v>2223</v>
      </c>
      <c r="I236" s="4" t="b">
        <f>OR(((E236 = "calculated")=TRUE), ((E236 = "lookup")=TRUE), ((E236 = "aggregation")=TRUE))</f>
        <v>1</v>
      </c>
      <c r="J236" s="4" t="b">
        <f>H236 &lt;&gt; ""</f>
        <v>1</v>
      </c>
      <c r="K236" s="4">
        <f>COUNTIFS(FieldDisagreements!D2:D50, A236)</f>
        <v>0</v>
      </c>
      <c r="L236" s="4" t="b">
        <f>K236 &gt; 0</f>
        <v>0</v>
      </c>
      <c r="M236" s="3" t="s">
        <v>2418</v>
      </c>
    </row>
    <row r="237">
      <c r="A237" s="3" t="s">
        <v>2791</v>
      </c>
      <c r="B237" s="4" t="str">
        <f>C237 &amp; "." &amp; D237</f>
        <v>ProcedureVersions.AiBoundaryIsUnevidenced</v>
      </c>
      <c r="C237" s="3" t="s">
        <v>1767</v>
      </c>
      <c r="D237" s="3" t="s">
        <v>426</v>
      </c>
      <c r="E237" s="3" t="s">
        <v>2420</v>
      </c>
      <c r="F237" s="3" t="s">
        <v>2432</v>
      </c>
      <c r="G237" s="3" t="s">
        <v>2792</v>
      </c>
      <c r="H237" s="3" t="s">
        <v>2223</v>
      </c>
      <c r="I237" s="4" t="b">
        <f>OR(((E237 = "calculated")=TRUE), ((E237 = "lookup")=TRUE), ((E237 = "aggregation")=TRUE))</f>
        <v>1</v>
      </c>
      <c r="J237" s="4" t="b">
        <f>H237 &lt;&gt; ""</f>
        <v>1</v>
      </c>
      <c r="K237" s="4">
        <f>COUNTIFS(FieldDisagreements!D2:D50, A237)</f>
        <v>0</v>
      </c>
      <c r="L237" s="4" t="b">
        <f>K237 &gt; 0</f>
        <v>0</v>
      </c>
      <c r="M237" s="3" t="s">
        <v>2418</v>
      </c>
    </row>
    <row r="238">
      <c r="A238" s="3" t="s">
        <v>2793</v>
      </c>
      <c r="B238" s="4" t="str">
        <f>C238 &amp; "." &amp; D238</f>
        <v>ProcedureVersions.LoadBearingUnapprovedCount</v>
      </c>
      <c r="C238" s="3" t="s">
        <v>1767</v>
      </c>
      <c r="D238" s="3" t="s">
        <v>427</v>
      </c>
      <c r="E238" s="3" t="s">
        <v>2469</v>
      </c>
      <c r="F238" s="3" t="s">
        <v>2475</v>
      </c>
      <c r="G238" s="3" t="s">
        <v>2794</v>
      </c>
      <c r="H238" s="3" t="s">
        <v>2227</v>
      </c>
      <c r="I238" s="4" t="b">
        <f>OR(((E238 = "calculated")=TRUE), ((E238 = "lookup")=TRUE), ((E238 = "aggregation")=TRUE))</f>
        <v>1</v>
      </c>
      <c r="J238" s="4" t="b">
        <f>H238 &lt;&gt; ""</f>
        <v>1</v>
      </c>
      <c r="K238" s="4">
        <f>COUNTIFS(FieldDisagreements!D2:D50, A238)</f>
        <v>0</v>
      </c>
      <c r="L238" s="4" t="b">
        <f>K238 &gt; 0</f>
        <v>0</v>
      </c>
      <c r="M238" s="3" t="s">
        <v>2418</v>
      </c>
    </row>
    <row r="239">
      <c r="A239" s="3" t="s">
        <v>2795</v>
      </c>
      <c r="B239" s="4" t="str">
        <f>C239 &amp; "." &amp; D239</f>
        <v>ProcedureVersions.UnlandedDecisionCount</v>
      </c>
      <c r="C239" s="3" t="s">
        <v>1767</v>
      </c>
      <c r="D239" s="3" t="s">
        <v>428</v>
      </c>
      <c r="E239" s="3" t="s">
        <v>2469</v>
      </c>
      <c r="F239" s="3" t="s">
        <v>2475</v>
      </c>
      <c r="G239" s="3" t="s">
        <v>2796</v>
      </c>
      <c r="H239" s="3" t="s">
        <v>2231</v>
      </c>
      <c r="I239" s="4" t="b">
        <f>OR(((E239 = "calculated")=TRUE), ((E239 = "lookup")=TRUE), ((E239 = "aggregation")=TRUE))</f>
        <v>1</v>
      </c>
      <c r="J239" s="4" t="b">
        <f>H239 &lt;&gt; ""</f>
        <v>1</v>
      </c>
      <c r="K239" s="4">
        <f>COUNTIFS(FieldDisagreements!D2:D50, A239)</f>
        <v>0</v>
      </c>
      <c r="L239" s="4" t="b">
        <f>K239 &gt; 0</f>
        <v>0</v>
      </c>
      <c r="M239" s="3" t="s">
        <v>2418</v>
      </c>
    </row>
    <row r="240">
      <c r="A240" s="3" t="s">
        <v>2797</v>
      </c>
      <c r="B240" s="4" t="str">
        <f>C240 &amp; "." &amp; D240</f>
        <v>ProcedureVersions.UnrehearsedControlEntryCount</v>
      </c>
      <c r="C240" s="3" t="s">
        <v>1767</v>
      </c>
      <c r="D240" s="3" t="s">
        <v>429</v>
      </c>
      <c r="E240" s="3" t="s">
        <v>2469</v>
      </c>
      <c r="F240" s="3" t="s">
        <v>2475</v>
      </c>
      <c r="G240" s="3" t="s">
        <v>2798</v>
      </c>
      <c r="H240" s="3" t="s">
        <v>2239</v>
      </c>
      <c r="I240" s="4" t="b">
        <f>OR(((E240 = "calculated")=TRUE), ((E240 = "lookup")=TRUE), ((E240 = "aggregation")=TRUE))</f>
        <v>1</v>
      </c>
      <c r="J240" s="4" t="b">
        <f>H240 &lt;&gt; ""</f>
        <v>1</v>
      </c>
      <c r="K240" s="4">
        <f>COUNTIFS(FieldDisagreements!D2:D50, A240)</f>
        <v>0</v>
      </c>
      <c r="L240" s="4" t="b">
        <f>K240 &gt; 0</f>
        <v>0</v>
      </c>
      <c r="M240" s="3" t="s">
        <v>2418</v>
      </c>
    </row>
    <row r="241">
      <c r="A241" s="3" t="s">
        <v>2799</v>
      </c>
      <c r="B241" s="4" t="str">
        <f>C241 &amp; "." &amp; D241</f>
        <v>ProcedureVersions.HasUnrehearsedControlEntry</v>
      </c>
      <c r="C241" s="3" t="s">
        <v>1767</v>
      </c>
      <c r="D241" s="3" t="s">
        <v>430</v>
      </c>
      <c r="E241" s="3" t="s">
        <v>2420</v>
      </c>
      <c r="F241" s="3" t="s">
        <v>2432</v>
      </c>
      <c r="G241" s="3" t="s">
        <v>2800</v>
      </c>
      <c r="H241" s="3" t="s">
        <v>2239</v>
      </c>
      <c r="I241" s="4" t="b">
        <f>OR(((E241 = "calculated")=TRUE), ((E241 = "lookup")=TRUE), ((E241 = "aggregation")=TRUE))</f>
        <v>1</v>
      </c>
      <c r="J241" s="4" t="b">
        <f>H241 &lt;&gt; ""</f>
        <v>1</v>
      </c>
      <c r="K241" s="4">
        <f>COUNTIFS(FieldDisagreements!D2:D50, A241)</f>
        <v>0</v>
      </c>
      <c r="L241" s="4" t="b">
        <f>K241 &gt; 0</f>
        <v>0</v>
      </c>
      <c r="M241" s="3" t="s">
        <v>2418</v>
      </c>
    </row>
    <row r="242">
      <c r="A242" s="3" t="s">
        <v>2801</v>
      </c>
      <c r="B242" s="4" t="str">
        <f>C242 &amp; "." &amp; D242</f>
        <v>ProcedureVersions.IsLiveWithUnrehearsedControl</v>
      </c>
      <c r="C242" s="3" t="s">
        <v>1767</v>
      </c>
      <c r="D242" s="3" t="s">
        <v>431</v>
      </c>
      <c r="E242" s="3" t="s">
        <v>2420</v>
      </c>
      <c r="F242" s="3" t="s">
        <v>2432</v>
      </c>
      <c r="G242" s="3" t="s">
        <v>2802</v>
      </c>
      <c r="H242" s="3" t="s">
        <v>2239</v>
      </c>
      <c r="I242" s="4" t="b">
        <f>OR(((E242 = "calculated")=TRUE), ((E242 = "lookup")=TRUE), ((E242 = "aggregation")=TRUE))</f>
        <v>1</v>
      </c>
      <c r="J242" s="4" t="b">
        <f>H242 &lt;&gt; ""</f>
        <v>1</v>
      </c>
      <c r="K242" s="4">
        <f>COUNTIFS(FieldDisagreements!D2:D50, A242)</f>
        <v>0</v>
      </c>
      <c r="L242" s="4" t="b">
        <f>K242 &gt; 0</f>
        <v>0</v>
      </c>
      <c r="M242" s="3" t="s">
        <v>2418</v>
      </c>
    </row>
    <row r="243">
      <c r="A243" s="3" t="s">
        <v>2803</v>
      </c>
      <c r="B243" s="4" t="str">
        <f>C243 &amp; "." &amp; D243</f>
        <v>ProcedureVersions.CadenceBreachCount</v>
      </c>
      <c r="C243" s="3" t="s">
        <v>1767</v>
      </c>
      <c r="D243" s="3" t="s">
        <v>432</v>
      </c>
      <c r="E243" s="3" t="s">
        <v>2469</v>
      </c>
      <c r="F243" s="3" t="s">
        <v>2475</v>
      </c>
      <c r="G243" s="3" t="s">
        <v>2804</v>
      </c>
      <c r="H243" s="3" t="s">
        <v>2243</v>
      </c>
      <c r="I243" s="4" t="b">
        <f>OR(((E243 = "calculated")=TRUE), ((E243 = "lookup")=TRUE), ((E243 = "aggregation")=TRUE))</f>
        <v>1</v>
      </c>
      <c r="J243" s="4" t="b">
        <f>H243 &lt;&gt; ""</f>
        <v>1</v>
      </c>
      <c r="K243" s="4">
        <f>COUNTIFS(FieldDisagreements!D2:D50, A243)</f>
        <v>0</v>
      </c>
      <c r="L243" s="4" t="b">
        <f>K243 &gt; 0</f>
        <v>0</v>
      </c>
      <c r="M243" s="3" t="s">
        <v>2418</v>
      </c>
    </row>
    <row r="244">
      <c r="A244" s="3" t="s">
        <v>2805</v>
      </c>
      <c r="B244" s="4" t="str">
        <f>C244 &amp; "." &amp; D244</f>
        <v>ProcedureVersions.IsInCadenceBreach</v>
      </c>
      <c r="C244" s="3" t="s">
        <v>1767</v>
      </c>
      <c r="D244" s="3" t="s">
        <v>433</v>
      </c>
      <c r="E244" s="3" t="s">
        <v>2420</v>
      </c>
      <c r="F244" s="3" t="s">
        <v>2432</v>
      </c>
      <c r="G244" s="3" t="s">
        <v>2806</v>
      </c>
      <c r="H244" s="3" t="s">
        <v>2243</v>
      </c>
      <c r="I244" s="4" t="b">
        <f>OR(((E244 = "calculated")=TRUE), ((E244 = "lookup")=TRUE), ((E244 = "aggregation")=TRUE))</f>
        <v>1</v>
      </c>
      <c r="J244" s="4" t="b">
        <f>H244 &lt;&gt; ""</f>
        <v>1</v>
      </c>
      <c r="K244" s="4">
        <f>COUNTIFS(FieldDisagreements!D2:D50, A244)</f>
        <v>0</v>
      </c>
      <c r="L244" s="4" t="b">
        <f>K244 &gt; 0</f>
        <v>0</v>
      </c>
      <c r="M244" s="3" t="s">
        <v>2418</v>
      </c>
    </row>
    <row r="245">
      <c r="A245" s="3" t="s">
        <v>2807</v>
      </c>
      <c r="B245" s="4" t="str">
        <f>C245 &amp; "." &amp; D245</f>
        <v>ProcedureVersions.HasDecisionInFlight</v>
      </c>
      <c r="C245" s="3" t="s">
        <v>1767</v>
      </c>
      <c r="D245" s="3" t="s">
        <v>434</v>
      </c>
      <c r="E245" s="3" t="s">
        <v>2420</v>
      </c>
      <c r="F245" s="3" t="s">
        <v>2432</v>
      </c>
      <c r="G245" s="3" t="s">
        <v>2808</v>
      </c>
      <c r="H245" s="3" t="s">
        <v>2243</v>
      </c>
      <c r="I245" s="4" t="b">
        <f>OR(((E245 = "calculated")=TRUE), ((E245 = "lookup")=TRUE), ((E245 = "aggregation")=TRUE))</f>
        <v>1</v>
      </c>
      <c r="J245" s="4" t="b">
        <f>H245 &lt;&gt; ""</f>
        <v>1</v>
      </c>
      <c r="K245" s="4">
        <f>COUNTIFS(FieldDisagreements!D2:D50, A245)</f>
        <v>0</v>
      </c>
      <c r="L245" s="4" t="b">
        <f>K245 &gt; 0</f>
        <v>0</v>
      </c>
      <c r="M245" s="3" t="s">
        <v>2418</v>
      </c>
    </row>
    <row r="246">
      <c r="A246" s="3" t="s">
        <v>2809</v>
      </c>
      <c r="B246" s="4" t="str">
        <f>C246 &amp; "." &amp; D246</f>
        <v>ProcedureVersions.IsUnremediatedCadenceBreach</v>
      </c>
      <c r="C246" s="3" t="s">
        <v>1767</v>
      </c>
      <c r="D246" s="3" t="s">
        <v>435</v>
      </c>
      <c r="E246" s="3" t="s">
        <v>2420</v>
      </c>
      <c r="F246" s="3" t="s">
        <v>2432</v>
      </c>
      <c r="G246" s="3" t="s">
        <v>2810</v>
      </c>
      <c r="H246" s="3" t="s">
        <v>2243</v>
      </c>
      <c r="I246" s="4" t="b">
        <f>OR(((E246 = "calculated")=TRUE), ((E246 = "lookup")=TRUE), ((E246 = "aggregation")=TRUE))</f>
        <v>1</v>
      </c>
      <c r="J246" s="4" t="b">
        <f>H246 &lt;&gt; ""</f>
        <v>1</v>
      </c>
      <c r="K246" s="4">
        <f>COUNTIFS(FieldDisagreements!D2:D50, A246)</f>
        <v>0</v>
      </c>
      <c r="L246" s="4" t="b">
        <f>K246 &gt; 0</f>
        <v>0</v>
      </c>
      <c r="M246" s="3" t="s">
        <v>2418</v>
      </c>
    </row>
    <row r="247">
      <c r="A247" s="3" t="s">
        <v>2811</v>
      </c>
      <c r="B247" s="4" t="str">
        <f>C247 &amp; "." &amp; D247</f>
        <v>ProcedureVersions.IsManagedCadenceBreach</v>
      </c>
      <c r="C247" s="3" t="s">
        <v>1767</v>
      </c>
      <c r="D247" s="3" t="s">
        <v>436</v>
      </c>
      <c r="E247" s="3" t="s">
        <v>2420</v>
      </c>
      <c r="F247" s="3" t="s">
        <v>2432</v>
      </c>
      <c r="G247" s="3" t="s">
        <v>2812</v>
      </c>
      <c r="H247" s="3" t="s">
        <v>2243</v>
      </c>
      <c r="I247" s="4" t="b">
        <f>OR(((E247 = "calculated")=TRUE), ((E247 = "lookup")=TRUE), ((E247 = "aggregation")=TRUE))</f>
        <v>1</v>
      </c>
      <c r="J247" s="4" t="b">
        <f>H247 &lt;&gt; ""</f>
        <v>1</v>
      </c>
      <c r="K247" s="4">
        <f>COUNTIFS(FieldDisagreements!D2:D50, A247)</f>
        <v>0</v>
      </c>
      <c r="L247" s="4" t="b">
        <f>K247 &gt; 0</f>
        <v>0</v>
      </c>
      <c r="M247" s="3" t="s">
        <v>2418</v>
      </c>
    </row>
    <row r="248">
      <c r="A248" s="3" t="s">
        <v>2813</v>
      </c>
      <c r="B248" s="4" t="str">
        <f>C248 &amp; "." &amp; D248</f>
        <v>ProcedureVersions.GovernanceIsSilent</v>
      </c>
      <c r="C248" s="3" t="s">
        <v>1767</v>
      </c>
      <c r="D248" s="3" t="s">
        <v>437</v>
      </c>
      <c r="E248" s="3" t="s">
        <v>2420</v>
      </c>
      <c r="F248" s="3" t="s">
        <v>2432</v>
      </c>
      <c r="G248" s="3" t="s">
        <v>2814</v>
      </c>
      <c r="H248" s="3" t="s">
        <v>2243</v>
      </c>
      <c r="I248" s="4" t="b">
        <f>OR(((E248 = "calculated")=TRUE), ((E248 = "lookup")=TRUE), ((E248 = "aggregation")=TRUE))</f>
        <v>1</v>
      </c>
      <c r="J248" s="4" t="b">
        <f>H248 &lt;&gt; ""</f>
        <v>1</v>
      </c>
      <c r="K248" s="4">
        <f>COUNTIFS(FieldDisagreements!D2:D50, A248)</f>
        <v>0</v>
      </c>
      <c r="L248" s="4" t="b">
        <f>K248 &gt; 0</f>
        <v>0</v>
      </c>
      <c r="M248" s="3" t="s">
        <v>2418</v>
      </c>
    </row>
    <row r="249">
      <c r="A249" s="3" t="s">
        <v>2815</v>
      </c>
      <c r="B249" s="4" t="str">
        <f>C249 &amp; "." &amp; D249</f>
        <v>ProcedureVersions.ValidFragmentCount</v>
      </c>
      <c r="C249" s="3" t="s">
        <v>1767</v>
      </c>
      <c r="D249" s="3" t="s">
        <v>438</v>
      </c>
      <c r="E249" s="3" t="s">
        <v>2469</v>
      </c>
      <c r="F249" s="3" t="s">
        <v>2475</v>
      </c>
      <c r="G249" s="3" t="s">
        <v>2816</v>
      </c>
      <c r="H249" s="3" t="s">
        <v>2247</v>
      </c>
      <c r="I249" s="4" t="b">
        <f>OR(((E249 = "calculated")=TRUE), ((E249 = "lookup")=TRUE), ((E249 = "aggregation")=TRUE))</f>
        <v>1</v>
      </c>
      <c r="J249" s="4" t="b">
        <f>H249 &lt;&gt; ""</f>
        <v>1</v>
      </c>
      <c r="K249" s="4">
        <f>COUNTIFS(FieldDisagreements!D2:D50, A249)</f>
        <v>0</v>
      </c>
      <c r="L249" s="4" t="b">
        <f>K249 &gt; 0</f>
        <v>0</v>
      </c>
      <c r="M249" s="3" t="s">
        <v>2418</v>
      </c>
    </row>
    <row r="250">
      <c r="A250" s="3" t="s">
        <v>2817</v>
      </c>
      <c r="B250" s="4" t="str">
        <f>C250 &amp; "." &amp; D250</f>
        <v>ProcedureVersions.StillOwnsValidKnowledge</v>
      </c>
      <c r="C250" s="3" t="s">
        <v>1767</v>
      </c>
      <c r="D250" s="3" t="s">
        <v>439</v>
      </c>
      <c r="E250" s="3" t="s">
        <v>2420</v>
      </c>
      <c r="F250" s="3" t="s">
        <v>2432</v>
      </c>
      <c r="G250" s="3" t="s">
        <v>2818</v>
      </c>
      <c r="H250" s="3" t="s">
        <v>2247</v>
      </c>
      <c r="I250" s="4" t="b">
        <f>OR(((E250 = "calculated")=TRUE), ((E250 = "lookup")=TRUE), ((E250 = "aggregation")=TRUE))</f>
        <v>1</v>
      </c>
      <c r="J250" s="4" t="b">
        <f>H250 &lt;&gt; ""</f>
        <v>1</v>
      </c>
      <c r="K250" s="4">
        <f>COUNTIFS(FieldDisagreements!D2:D50, A250)</f>
        <v>0</v>
      </c>
      <c r="L250" s="4" t="b">
        <f>K250 &gt; 0</f>
        <v>0</v>
      </c>
      <c r="M250" s="3" t="s">
        <v>2418</v>
      </c>
    </row>
    <row r="251">
      <c r="A251" s="3" t="s">
        <v>2819</v>
      </c>
      <c r="B251" s="4" t="str">
        <f>C251 &amp; "." &amp; D251</f>
        <v>ProcedureVersions.IncomingSupersessionCount</v>
      </c>
      <c r="C251" s="3" t="s">
        <v>1767</v>
      </c>
      <c r="D251" s="3" t="s">
        <v>440</v>
      </c>
      <c r="E251" s="3" t="s">
        <v>2469</v>
      </c>
      <c r="F251" s="3" t="s">
        <v>2475</v>
      </c>
      <c r="G251" s="3" t="s">
        <v>2820</v>
      </c>
      <c r="H251" s="3" t="s">
        <v>2247</v>
      </c>
      <c r="I251" s="4" t="b">
        <f>OR(((E251 = "calculated")=TRUE), ((E251 = "lookup")=TRUE), ((E251 = "aggregation")=TRUE))</f>
        <v>1</v>
      </c>
      <c r="J251" s="4" t="b">
        <f>H251 &lt;&gt; ""</f>
        <v>1</v>
      </c>
      <c r="K251" s="4">
        <f>COUNTIFS(FieldDisagreements!D2:D50, A251)</f>
        <v>1</v>
      </c>
      <c r="L251" s="4" t="b">
        <f>K251 &gt; 0</f>
        <v>1</v>
      </c>
      <c r="M251" s="3" t="s">
        <v>2418</v>
      </c>
    </row>
    <row r="252">
      <c r="A252" s="3" t="s">
        <v>2821</v>
      </c>
      <c r="B252" s="4" t="str">
        <f>C252 &amp; "." &amp; D252</f>
        <v>ProcedureVersions.IsStillReferenced</v>
      </c>
      <c r="C252" s="3" t="s">
        <v>1767</v>
      </c>
      <c r="D252" s="3" t="s">
        <v>441</v>
      </c>
      <c r="E252" s="3" t="s">
        <v>2420</v>
      </c>
      <c r="F252" s="3" t="s">
        <v>2432</v>
      </c>
      <c r="G252" s="3" t="s">
        <v>2822</v>
      </c>
      <c r="H252" s="3" t="s">
        <v>2247</v>
      </c>
      <c r="I252" s="4" t="b">
        <f>OR(((E252 = "calculated")=TRUE), ((E252 = "lookup")=TRUE), ((E252 = "aggregation")=TRUE))</f>
        <v>1</v>
      </c>
      <c r="J252" s="4" t="b">
        <f>H252 &lt;&gt; ""</f>
        <v>1</v>
      </c>
      <c r="K252" s="4">
        <f>COUNTIFS(FieldDisagreements!D2:D50, A252)</f>
        <v>1</v>
      </c>
      <c r="L252" s="4" t="b">
        <f>K252 &gt; 0</f>
        <v>1</v>
      </c>
      <c r="M252" s="3" t="s">
        <v>2418</v>
      </c>
    </row>
    <row r="253">
      <c r="A253" s="3" t="s">
        <v>2823</v>
      </c>
      <c r="B253" s="4" t="str">
        <f>C253 &amp; "." &amp; D253</f>
        <v>ProcedureVersions.IsLoadBearingOrphan</v>
      </c>
      <c r="C253" s="3" t="s">
        <v>1767</v>
      </c>
      <c r="D253" s="3" t="s">
        <v>442</v>
      </c>
      <c r="E253" s="3" t="s">
        <v>2420</v>
      </c>
      <c r="F253" s="3" t="s">
        <v>2432</v>
      </c>
      <c r="G253" s="3" t="s">
        <v>2824</v>
      </c>
      <c r="H253" s="3" t="s">
        <v>2247</v>
      </c>
      <c r="I253" s="4" t="b">
        <f>OR(((E253 = "calculated")=TRUE), ((E253 = "lookup")=TRUE), ((E253 = "aggregation")=TRUE))</f>
        <v>1</v>
      </c>
      <c r="J253" s="4" t="b">
        <f>H253 &lt;&gt; ""</f>
        <v>1</v>
      </c>
      <c r="K253" s="4">
        <f>COUNTIFS(FieldDisagreements!D2:D50, A253)</f>
        <v>1</v>
      </c>
      <c r="L253" s="4" t="b">
        <f>K253 &gt; 0</f>
        <v>1</v>
      </c>
      <c r="M253" s="3" t="s">
        <v>2418</v>
      </c>
    </row>
    <row r="254">
      <c r="A254" s="3" t="s">
        <v>2825</v>
      </c>
      <c r="B254" s="4" t="str">
        <f>C254 &amp; "." &amp; D254</f>
        <v>ProcedureVersions.IsCleanlyRetired</v>
      </c>
      <c r="C254" s="3" t="s">
        <v>1767</v>
      </c>
      <c r="D254" s="3" t="s">
        <v>443</v>
      </c>
      <c r="E254" s="3" t="s">
        <v>2420</v>
      </c>
      <c r="F254" s="3" t="s">
        <v>2432</v>
      </c>
      <c r="G254" s="3" t="s">
        <v>2826</v>
      </c>
      <c r="H254" s="3" t="s">
        <v>2247</v>
      </c>
      <c r="I254" s="4" t="b">
        <f>OR(((E254 = "calculated")=TRUE), ((E254 = "lookup")=TRUE), ((E254 = "aggregation")=TRUE))</f>
        <v>1</v>
      </c>
      <c r="J254" s="4" t="b">
        <f>H254 &lt;&gt; ""</f>
        <v>1</v>
      </c>
      <c r="K254" s="4">
        <f>COUNTIFS(FieldDisagreements!D2:D50, A254)</f>
        <v>1</v>
      </c>
      <c r="L254" s="4" t="b">
        <f>K254 &gt; 0</f>
        <v>1</v>
      </c>
      <c r="M254" s="3" t="s">
        <v>2418</v>
      </c>
    </row>
    <row r="255">
      <c r="A255" s="3" t="s">
        <v>2827</v>
      </c>
      <c r="B255" s="4" t="str">
        <f>C255 &amp; "." &amp; D255</f>
        <v>ProcedureVersions.StalledImplementationCount</v>
      </c>
      <c r="C255" s="3" t="s">
        <v>1767</v>
      </c>
      <c r="D255" s="3" t="s">
        <v>444</v>
      </c>
      <c r="E255" s="3" t="s">
        <v>2469</v>
      </c>
      <c r="F255" s="3" t="s">
        <v>2475</v>
      </c>
      <c r="G255" s="3" t="s">
        <v>2828</v>
      </c>
      <c r="H255" s="3" t="s">
        <v>2251</v>
      </c>
      <c r="I255" s="4" t="b">
        <f>OR(((E255 = "calculated")=TRUE), ((E255 = "lookup")=TRUE), ((E255 = "aggregation")=TRUE))</f>
        <v>1</v>
      </c>
      <c r="J255" s="4" t="b">
        <f>H255 &lt;&gt; ""</f>
        <v>1</v>
      </c>
      <c r="K255" s="4">
        <f>COUNTIFS(FieldDisagreements!D2:D50, A255)</f>
        <v>0</v>
      </c>
      <c r="L255" s="4" t="b">
        <f>K255 &gt; 0</f>
        <v>0</v>
      </c>
      <c r="M255" s="3" t="s">
        <v>2418</v>
      </c>
    </row>
    <row r="256">
      <c r="A256" s="3" t="s">
        <v>2829</v>
      </c>
      <c r="B256" s="4" t="str">
        <f>C256 &amp; "." &amp; D256</f>
        <v>ProcedureVersions.IsHeldUnfitByLandedDecisions</v>
      </c>
      <c r="C256" s="3" t="s">
        <v>1767</v>
      </c>
      <c r="D256" s="3" t="s">
        <v>445</v>
      </c>
      <c r="E256" s="3" t="s">
        <v>2420</v>
      </c>
      <c r="F256" s="3" t="s">
        <v>2432</v>
      </c>
      <c r="G256" s="3" t="s">
        <v>2830</v>
      </c>
      <c r="H256" s="3" t="s">
        <v>2251</v>
      </c>
      <c r="I256" s="4" t="b">
        <f>OR(((E256 = "calculated")=TRUE), ((E256 = "lookup")=TRUE), ((E256 = "aggregation")=TRUE))</f>
        <v>1</v>
      </c>
      <c r="J256" s="4" t="b">
        <f>H256 &lt;&gt; ""</f>
        <v>1</v>
      </c>
      <c r="K256" s="4">
        <f>COUNTIFS(FieldDisagreements!D2:D50, A256)</f>
        <v>0</v>
      </c>
      <c r="L256" s="4" t="b">
        <f>K256 &gt; 0</f>
        <v>0</v>
      </c>
      <c r="M256" s="3" t="s">
        <v>2418</v>
      </c>
    </row>
    <row r="257">
      <c r="A257" s="3" t="s">
        <v>2831</v>
      </c>
      <c r="B257" s="4" t="str">
        <f>C257 &amp; "." &amp; D257</f>
        <v>ProcedureVersions.UndeclaredControlKindCount</v>
      </c>
      <c r="C257" s="3" t="s">
        <v>1767</v>
      </c>
      <c r="D257" s="3" t="s">
        <v>446</v>
      </c>
      <c r="E257" s="3" t="s">
        <v>2469</v>
      </c>
      <c r="F257" s="3" t="s">
        <v>2475</v>
      </c>
      <c r="G257" s="3" t="s">
        <v>2832</v>
      </c>
      <c r="H257" s="3" t="s">
        <v>2255</v>
      </c>
      <c r="I257" s="4" t="b">
        <f>OR(((E257 = "calculated")=TRUE), ((E257 = "lookup")=TRUE), ((E257 = "aggregation")=TRUE))</f>
        <v>1</v>
      </c>
      <c r="J257" s="4" t="b">
        <f>H257 &lt;&gt; ""</f>
        <v>1</v>
      </c>
      <c r="K257" s="4">
        <f>COUNTIFS(FieldDisagreements!D2:D50, A257)</f>
        <v>0</v>
      </c>
      <c r="L257" s="4" t="b">
        <f>K257 &gt; 0</f>
        <v>0</v>
      </c>
      <c r="M257" s="3" t="s">
        <v>2418</v>
      </c>
    </row>
    <row r="258">
      <c r="A258" s="3" t="s">
        <v>2833</v>
      </c>
      <c r="B258" s="4" t="str">
        <f>C258 &amp; "." &amp; D258</f>
        <v>ProcedureVersions.ControlTaxonomyIsIncomplete</v>
      </c>
      <c r="C258" s="3" t="s">
        <v>1767</v>
      </c>
      <c r="D258" s="3" t="s">
        <v>447</v>
      </c>
      <c r="E258" s="3" t="s">
        <v>2420</v>
      </c>
      <c r="F258" s="3" t="s">
        <v>2432</v>
      </c>
      <c r="G258" s="3" t="s">
        <v>2834</v>
      </c>
      <c r="H258" s="3" t="s">
        <v>2255</v>
      </c>
      <c r="I258" s="4" t="b">
        <f>OR(((E258 = "calculated")=TRUE), ((E258 = "lookup")=TRUE), ((E258 = "aggregation")=TRUE))</f>
        <v>1</v>
      </c>
      <c r="J258" s="4" t="b">
        <f>H258 &lt;&gt; ""</f>
        <v>1</v>
      </c>
      <c r="K258" s="4">
        <f>COUNTIFS(FieldDisagreements!D2:D50, A258)</f>
        <v>0</v>
      </c>
      <c r="L258" s="4" t="b">
        <f>K258 &gt; 0</f>
        <v>0</v>
      </c>
      <c r="M258" s="3" t="s">
        <v>2418</v>
      </c>
    </row>
    <row r="259">
      <c r="A259" s="3" t="s">
        <v>2835</v>
      </c>
      <c r="B259" s="4" t="str">
        <f>C259 &amp; "." &amp; D259</f>
        <v>ProcedureVersions.HasApprovedChangeRequest</v>
      </c>
      <c r="C259" s="3" t="s">
        <v>1767</v>
      </c>
      <c r="D259" s="3" t="s">
        <v>448</v>
      </c>
      <c r="E259" s="3" t="s">
        <v>2420</v>
      </c>
      <c r="F259" s="3" t="s">
        <v>2432</v>
      </c>
      <c r="G259" s="3" t="s">
        <v>2836</v>
      </c>
      <c r="H259" s="3" t="s">
        <v>2295</v>
      </c>
      <c r="I259" s="4" t="b">
        <f>OR(((E259 = "calculated")=TRUE), ((E259 = "lookup")=TRUE), ((E259 = "aggregation")=TRUE))</f>
        <v>1</v>
      </c>
      <c r="J259" s="4" t="b">
        <f>H259 &lt;&gt; ""</f>
        <v>1</v>
      </c>
      <c r="K259" s="4">
        <f>COUNTIFS(FieldDisagreements!D2:D50, A259)</f>
        <v>0</v>
      </c>
      <c r="L259" s="4" t="b">
        <f>K259 &gt; 0</f>
        <v>0</v>
      </c>
      <c r="M259" s="3" t="s">
        <v>2418</v>
      </c>
    </row>
    <row r="260">
      <c r="A260" s="3" t="s">
        <v>2837</v>
      </c>
      <c r="B260" s="4" t="str">
        <f>C260 &amp; "." &amp; D260</f>
        <v>ProcedureVersions.ApprovedChangeRequestCount</v>
      </c>
      <c r="C260" s="3" t="s">
        <v>1767</v>
      </c>
      <c r="D260" s="3" t="s">
        <v>449</v>
      </c>
      <c r="E260" s="3" t="s">
        <v>2469</v>
      </c>
      <c r="F260" s="3" t="s">
        <v>2475</v>
      </c>
      <c r="G260" s="3" t="s">
        <v>2838</v>
      </c>
      <c r="H260" s="3" t="s">
        <v>2295</v>
      </c>
      <c r="I260" s="4" t="b">
        <f>OR(((E260 = "calculated")=TRUE), ((E260 = "lookup")=TRUE), ((E260 = "aggregation")=TRUE))</f>
        <v>1</v>
      </c>
      <c r="J260" s="4" t="b">
        <f>H260 &lt;&gt; ""</f>
        <v>1</v>
      </c>
      <c r="K260" s="4">
        <f>COUNTIFS(FieldDisagreements!D2:D50, A260)</f>
        <v>0</v>
      </c>
      <c r="L260" s="4" t="b">
        <f>K260 &gt; 0</f>
        <v>0</v>
      </c>
      <c r="M260" s="3" t="s">
        <v>2418</v>
      </c>
    </row>
    <row r="261">
      <c r="A261" s="3" t="s">
        <v>2839</v>
      </c>
      <c r="B261" s="4" t="str">
        <f>C261 &amp; "." &amp; D261</f>
        <v>ProcedureVersions.UnwatchedUnownedControlCount</v>
      </c>
      <c r="C261" s="3" t="s">
        <v>1767</v>
      </c>
      <c r="D261" s="3" t="s">
        <v>450</v>
      </c>
      <c r="E261" s="3" t="s">
        <v>2469</v>
      </c>
      <c r="F261" s="3" t="s">
        <v>2475</v>
      </c>
      <c r="G261" s="3" t="s">
        <v>2840</v>
      </c>
      <c r="H261" s="3" t="s">
        <v>2311</v>
      </c>
      <c r="I261" s="4" t="b">
        <f>OR(((E261 = "calculated")=TRUE), ((E261 = "lookup")=TRUE), ((E261 = "aggregation")=TRUE))</f>
        <v>1</v>
      </c>
      <c r="J261" s="4" t="b">
        <f>H261 &lt;&gt; ""</f>
        <v>1</v>
      </c>
      <c r="K261" s="4">
        <f>COUNTIFS(FieldDisagreements!D2:D50, A261)</f>
        <v>0</v>
      </c>
      <c r="L261" s="4" t="b">
        <f>K261 &gt; 0</f>
        <v>0</v>
      </c>
      <c r="M261" s="3" t="s">
        <v>2418</v>
      </c>
    </row>
    <row r="262">
      <c r="A262" s="3" t="s">
        <v>2841</v>
      </c>
      <c r="B262" s="4" t="str">
        <f>C262 &amp; "." &amp; D262</f>
        <v>ProcedureVersions.MiningRunCount</v>
      </c>
      <c r="C262" s="3" t="s">
        <v>1767</v>
      </c>
      <c r="D262" s="3" t="s">
        <v>451</v>
      </c>
      <c r="E262" s="3" t="s">
        <v>2469</v>
      </c>
      <c r="F262" s="3" t="s">
        <v>2475</v>
      </c>
      <c r="G262" s="3" t="s">
        <v>2842</v>
      </c>
      <c r="H262" s="3" t="s">
        <v>2379</v>
      </c>
      <c r="I262" s="4" t="b">
        <f>OR(((E262 = "calculated")=TRUE), ((E262 = "lookup")=TRUE), ((E262 = "aggregation")=TRUE))</f>
        <v>1</v>
      </c>
      <c r="J262" s="4" t="b">
        <f>H262 &lt;&gt; ""</f>
        <v>1</v>
      </c>
      <c r="K262" s="4">
        <f>COUNTIFS(FieldDisagreements!D2:D50, A262)</f>
        <v>0</v>
      </c>
      <c r="L262" s="4" t="b">
        <f>K262 &gt; 0</f>
        <v>0</v>
      </c>
      <c r="M262" s="3" t="s">
        <v>2418</v>
      </c>
    </row>
    <row r="263">
      <c r="A263" s="3" t="s">
        <v>2843</v>
      </c>
      <c r="B263" s="4" t="str">
        <f>C263 &amp; "." &amp; D263</f>
        <v>ProcedureVersions.DriftedMiningRunCount</v>
      </c>
      <c r="C263" s="3" t="s">
        <v>1767</v>
      </c>
      <c r="D263" s="3" t="s">
        <v>452</v>
      </c>
      <c r="E263" s="3" t="s">
        <v>2469</v>
      </c>
      <c r="F263" s="3" t="s">
        <v>2475</v>
      </c>
      <c r="G263" s="3" t="s">
        <v>2844</v>
      </c>
      <c r="H263" s="3" t="s">
        <v>2379</v>
      </c>
      <c r="I263" s="4" t="b">
        <f>OR(((E263 = "calculated")=TRUE), ((E263 = "lookup")=TRUE), ((E263 = "aggregation")=TRUE))</f>
        <v>1</v>
      </c>
      <c r="J263" s="4" t="b">
        <f>H263 &lt;&gt; ""</f>
        <v>1</v>
      </c>
      <c r="K263" s="4">
        <f>COUNTIFS(FieldDisagreements!D2:D50, A263)</f>
        <v>0</v>
      </c>
      <c r="L263" s="4" t="b">
        <f>K263 &gt; 0</f>
        <v>0</v>
      </c>
      <c r="M263" s="3" t="s">
        <v>2418</v>
      </c>
    </row>
    <row r="264">
      <c r="A264" s="3" t="s">
        <v>2845</v>
      </c>
      <c r="B264" s="4" t="str">
        <f>C264 &amp; "." &amp; D264</f>
        <v>ProcedureVersions.HasUnresolvedMiningDrift</v>
      </c>
      <c r="C264" s="3" t="s">
        <v>1767</v>
      </c>
      <c r="D264" s="3" t="s">
        <v>453</v>
      </c>
      <c r="E264" s="3" t="s">
        <v>2420</v>
      </c>
      <c r="F264" s="3" t="s">
        <v>2432</v>
      </c>
      <c r="G264" s="3" t="s">
        <v>2846</v>
      </c>
      <c r="H264" s="3" t="s">
        <v>2379</v>
      </c>
      <c r="I264" s="4" t="b">
        <f>OR(((E264 = "calculated")=TRUE), ((E264 = "lookup")=TRUE), ((E264 = "aggregation")=TRUE))</f>
        <v>1</v>
      </c>
      <c r="J264" s="4" t="b">
        <f>H264 &lt;&gt; ""</f>
        <v>1</v>
      </c>
      <c r="K264" s="4">
        <f>COUNTIFS(FieldDisagreements!D2:D50, A264)</f>
        <v>0</v>
      </c>
      <c r="L264" s="4" t="b">
        <f>K264 &gt; 0</f>
        <v>0</v>
      </c>
      <c r="M264" s="3" t="s">
        <v>2418</v>
      </c>
    </row>
    <row r="265">
      <c r="A265" s="3" t="s">
        <v>2847</v>
      </c>
      <c r="B265" s="4" t="str">
        <f>C265 &amp; "." &amp; D265</f>
        <v>ProcedureVersions.EntryStepId</v>
      </c>
      <c r="C265" s="3" t="s">
        <v>1767</v>
      </c>
      <c r="D265" s="3" t="s">
        <v>454</v>
      </c>
      <c r="E265" s="3" t="s">
        <v>2469</v>
      </c>
      <c r="F265" s="3" t="s">
        <v>2417</v>
      </c>
      <c r="G265" s="3" t="s">
        <v>2848</v>
      </c>
      <c r="H265" s="3" t="s">
        <v>2400</v>
      </c>
      <c r="I265" s="4" t="b">
        <f>OR(((E265 = "calculated")=TRUE), ((E265 = "lookup")=TRUE), ((E265 = "aggregation")=TRUE))</f>
        <v>1</v>
      </c>
      <c r="J265" s="4" t="b">
        <f>H265 &lt;&gt; ""</f>
        <v>1</v>
      </c>
      <c r="K265" s="4">
        <f>COUNTIFS(FieldDisagreements!D2:D50, A265)</f>
        <v>1</v>
      </c>
      <c r="L265" s="4" t="b">
        <f>K265 &gt; 0</f>
        <v>1</v>
      </c>
      <c r="M265" s="3" t="s">
        <v>2418</v>
      </c>
    </row>
    <row r="266">
      <c r="A266" s="3" t="s">
        <v>2849</v>
      </c>
      <c r="B266" s="4" t="str">
        <f>C266 &amp; "." &amp; D266</f>
        <v>ProcedureVersions.SemanticTypeIri</v>
      </c>
      <c r="C266" s="3" t="s">
        <v>1767</v>
      </c>
      <c r="D266" s="3" t="s">
        <v>94</v>
      </c>
      <c r="E266" s="3" t="s">
        <v>2416</v>
      </c>
      <c r="F266" s="3" t="s">
        <v>2417</v>
      </c>
      <c r="G266" s="3"/>
      <c r="H266" s="3"/>
      <c r="I266" s="4" t="b">
        <f>OR(((E266 = "calculated")=TRUE), ((E266 = "lookup")=TRUE), ((E266 = "aggregation")=TRUE))</f>
        <v>0</v>
      </c>
      <c r="J266" s="4" t="b">
        <f>H266 &lt;&gt; ""</f>
        <v>0</v>
      </c>
      <c r="K266" s="4">
        <f>COUNTIFS(FieldDisagreements!D2:D50, A266)</f>
        <v>0</v>
      </c>
      <c r="L266" s="4" t="b">
        <f>K266 &gt; 0</f>
        <v>0</v>
      </c>
      <c r="M266" s="3" t="s">
        <v>2418</v>
      </c>
    </row>
    <row r="267">
      <c r="A267" s="3" t="s">
        <v>2850</v>
      </c>
      <c r="B267" s="4" t="str">
        <f>C267 &amp; "." &amp; D267</f>
        <v>ProcedureVersionLinks.ProcedureVersionLinkId</v>
      </c>
      <c r="C267" s="3" t="s">
        <v>2851</v>
      </c>
      <c r="D267" s="3" t="s">
        <v>468</v>
      </c>
      <c r="E267" s="3" t="s">
        <v>2416</v>
      </c>
      <c r="F267" s="3" t="s">
        <v>2417</v>
      </c>
      <c r="G267" s="3"/>
      <c r="H267" s="3"/>
      <c r="I267" s="4" t="b">
        <f>OR(((E267 = "calculated")=TRUE), ((E267 = "lookup")=TRUE), ((E267 = "aggregation")=TRUE))</f>
        <v>0</v>
      </c>
      <c r="J267" s="4" t="b">
        <f>H267 &lt;&gt; ""</f>
        <v>0</v>
      </c>
      <c r="K267" s="4">
        <f>COUNTIFS(FieldDisagreements!D2:D50, A267)</f>
        <v>0</v>
      </c>
      <c r="L267" s="4" t="b">
        <f>K267 &gt; 0</f>
        <v>0</v>
      </c>
      <c r="M267" s="3" t="s">
        <v>2418</v>
      </c>
    </row>
    <row r="268">
      <c r="A268" s="3" t="s">
        <v>2852</v>
      </c>
      <c r="B268" s="4" t="str">
        <f>C268 &amp; "." &amp; D268</f>
        <v>ProcedureVersionLinks.Name</v>
      </c>
      <c r="C268" s="3" t="s">
        <v>2851</v>
      </c>
      <c r="D268" s="3" t="s">
        <v>1</v>
      </c>
      <c r="E268" s="3" t="s">
        <v>2420</v>
      </c>
      <c r="F268" s="3" t="s">
        <v>2417</v>
      </c>
      <c r="G268" s="3" t="s">
        <v>2853</v>
      </c>
      <c r="H268" s="3"/>
      <c r="I268" s="4" t="b">
        <f>OR(((E268 = "calculated")=TRUE), ((E268 = "lookup")=TRUE), ((E268 = "aggregation")=TRUE))</f>
        <v>1</v>
      </c>
      <c r="J268" s="4" t="b">
        <f>H268 &lt;&gt; ""</f>
        <v>0</v>
      </c>
      <c r="K268" s="4">
        <f>COUNTIFS(FieldDisagreements!D2:D50, A268)</f>
        <v>0</v>
      </c>
      <c r="L268" s="4" t="b">
        <f>K268 &gt; 0</f>
        <v>0</v>
      </c>
      <c r="M268" s="3" t="s">
        <v>2418</v>
      </c>
    </row>
    <row r="269">
      <c r="A269" s="3" t="s">
        <v>2854</v>
      </c>
      <c r="B269" s="4" t="str">
        <f>C269 &amp; "." &amp; D269</f>
        <v>ProcedureVersionLinks.PreviousProcedureVersion</v>
      </c>
      <c r="C269" s="3" t="s">
        <v>2851</v>
      </c>
      <c r="D269" s="3" t="s">
        <v>469</v>
      </c>
      <c r="E269" s="3" t="s">
        <v>2465</v>
      </c>
      <c r="F269" s="3" t="s">
        <v>2417</v>
      </c>
      <c r="G269" s="3"/>
      <c r="H269" s="3"/>
      <c r="I269" s="4" t="b">
        <f>OR(((E269 = "calculated")=TRUE), ((E269 = "lookup")=TRUE), ((E269 = "aggregation")=TRUE))</f>
        <v>0</v>
      </c>
      <c r="J269" s="4" t="b">
        <f>H269 &lt;&gt; ""</f>
        <v>0</v>
      </c>
      <c r="K269" s="4">
        <f>COUNTIFS(FieldDisagreements!D2:D50, A269)</f>
        <v>0</v>
      </c>
      <c r="L269" s="4" t="b">
        <f>K269 &gt; 0</f>
        <v>0</v>
      </c>
      <c r="M269" s="3" t="s">
        <v>2418</v>
      </c>
    </row>
    <row r="270">
      <c r="A270" s="3" t="s">
        <v>2855</v>
      </c>
      <c r="B270" s="4" t="str">
        <f>C270 &amp; "." &amp; D270</f>
        <v>ProcedureVersionLinks.NextProcedureVersion</v>
      </c>
      <c r="C270" s="3" t="s">
        <v>2851</v>
      </c>
      <c r="D270" s="3" t="s">
        <v>470</v>
      </c>
      <c r="E270" s="3" t="s">
        <v>2465</v>
      </c>
      <c r="F270" s="3" t="s">
        <v>2417</v>
      </c>
      <c r="G270" s="3"/>
      <c r="H270" s="3"/>
      <c r="I270" s="4" t="b">
        <f>OR(((E270 = "calculated")=TRUE), ((E270 = "lookup")=TRUE), ((E270 = "aggregation")=TRUE))</f>
        <v>0</v>
      </c>
      <c r="J270" s="4" t="b">
        <f>H270 &lt;&gt; ""</f>
        <v>0</v>
      </c>
      <c r="K270" s="4">
        <f>COUNTIFS(FieldDisagreements!D2:D50, A270)</f>
        <v>0</v>
      </c>
      <c r="L270" s="4" t="b">
        <f>K270 &gt; 0</f>
        <v>0</v>
      </c>
      <c r="M270" s="3" t="s">
        <v>2418</v>
      </c>
    </row>
    <row r="271">
      <c r="A271" s="3" t="s">
        <v>2856</v>
      </c>
      <c r="B271" s="4" t="str">
        <f>C271 &amp; "." &amp; D271</f>
        <v>ProcedureVersionLinks.RelationIri</v>
      </c>
      <c r="C271" s="3" t="s">
        <v>2851</v>
      </c>
      <c r="D271" s="3" t="s">
        <v>471</v>
      </c>
      <c r="E271" s="3" t="s">
        <v>2416</v>
      </c>
      <c r="F271" s="3" t="s">
        <v>2417</v>
      </c>
      <c r="G271" s="3"/>
      <c r="H271" s="3"/>
      <c r="I271" s="4" t="b">
        <f>OR(((E271 = "calculated")=TRUE), ((E271 = "lookup")=TRUE), ((E271 = "aggregation")=TRUE))</f>
        <v>0</v>
      </c>
      <c r="J271" s="4" t="b">
        <f>H271 &lt;&gt; ""</f>
        <v>0</v>
      </c>
      <c r="K271" s="4">
        <f>COUNTIFS(FieldDisagreements!D2:D50, A271)</f>
        <v>0</v>
      </c>
      <c r="L271" s="4" t="b">
        <f>K271 &gt; 0</f>
        <v>0</v>
      </c>
      <c r="M271" s="3" t="s">
        <v>2418</v>
      </c>
    </row>
    <row r="272">
      <c r="A272" s="3" t="s">
        <v>2857</v>
      </c>
      <c r="B272" s="4" t="str">
        <f>C272 &amp; "." &amp; D272</f>
        <v>ProcedureVersionLinks.ChangeSummary</v>
      </c>
      <c r="C272" s="3" t="s">
        <v>2851</v>
      </c>
      <c r="D272" s="3" t="s">
        <v>472</v>
      </c>
      <c r="E272" s="3" t="s">
        <v>2416</v>
      </c>
      <c r="F272" s="3" t="s">
        <v>2417</v>
      </c>
      <c r="G272" s="3"/>
      <c r="H272" s="3"/>
      <c r="I272" s="4" t="b">
        <f>OR(((E272 = "calculated")=TRUE), ((E272 = "lookup")=TRUE), ((E272 = "aggregation")=TRUE))</f>
        <v>0</v>
      </c>
      <c r="J272" s="4" t="b">
        <f>H272 &lt;&gt; ""</f>
        <v>0</v>
      </c>
      <c r="K272" s="4">
        <f>COUNTIFS(FieldDisagreements!D2:D50, A272)</f>
        <v>0</v>
      </c>
      <c r="L272" s="4" t="b">
        <f>K272 &gt; 0</f>
        <v>0</v>
      </c>
      <c r="M272" s="3" t="s">
        <v>2418</v>
      </c>
    </row>
    <row r="273">
      <c r="A273" s="3" t="s">
        <v>2858</v>
      </c>
      <c r="B273" s="4" t="str">
        <f>C273 &amp; "." &amp; D273</f>
        <v>ProcedureVersionLinks.SupersededVersionKey</v>
      </c>
      <c r="C273" s="3" t="s">
        <v>2851</v>
      </c>
      <c r="D273" s="3" t="s">
        <v>473</v>
      </c>
      <c r="E273" s="3" t="s">
        <v>2420</v>
      </c>
      <c r="F273" s="3" t="s">
        <v>2417</v>
      </c>
      <c r="G273" s="3" t="s">
        <v>2859</v>
      </c>
      <c r="H273" s="3" t="s">
        <v>2247</v>
      </c>
      <c r="I273" s="4" t="b">
        <f>OR(((E273 = "calculated")=TRUE), ((E273 = "lookup")=TRUE), ((E273 = "aggregation")=TRUE))</f>
        <v>1</v>
      </c>
      <c r="J273" s="4" t="b">
        <f>H273 &lt;&gt; ""</f>
        <v>1</v>
      </c>
      <c r="K273" s="4">
        <f>COUNTIFS(FieldDisagreements!D2:D50, A273)</f>
        <v>1</v>
      </c>
      <c r="L273" s="4" t="b">
        <f>K273 &gt; 0</f>
        <v>1</v>
      </c>
      <c r="M273" s="3" t="s">
        <v>2418</v>
      </c>
    </row>
    <row r="274">
      <c r="A274" s="3" t="s">
        <v>2860</v>
      </c>
      <c r="B274" s="4" t="str">
        <f>C274 &amp; "." &amp; D274</f>
        <v>ProcedureStatusChanges.ProcedureStatusChangeId</v>
      </c>
      <c r="C274" s="3" t="s">
        <v>1775</v>
      </c>
      <c r="D274" s="3" t="s">
        <v>477</v>
      </c>
      <c r="E274" s="3" t="s">
        <v>2416</v>
      </c>
      <c r="F274" s="3" t="s">
        <v>2417</v>
      </c>
      <c r="G274" s="3"/>
      <c r="H274" s="3"/>
      <c r="I274" s="4" t="b">
        <f>OR(((E274 = "calculated")=TRUE), ((E274 = "lookup")=TRUE), ((E274 = "aggregation")=TRUE))</f>
        <v>0</v>
      </c>
      <c r="J274" s="4" t="b">
        <f>H274 &lt;&gt; ""</f>
        <v>0</v>
      </c>
      <c r="K274" s="4">
        <f>COUNTIFS(FieldDisagreements!D2:D50, A274)</f>
        <v>0</v>
      </c>
      <c r="L274" s="4" t="b">
        <f>K274 &gt; 0</f>
        <v>0</v>
      </c>
      <c r="M274" s="3" t="s">
        <v>2418</v>
      </c>
    </row>
    <row r="275">
      <c r="A275" s="3" t="s">
        <v>2861</v>
      </c>
      <c r="B275" s="4" t="str">
        <f>C275 &amp; "." &amp; D275</f>
        <v>ProcedureStatusChanges.Name</v>
      </c>
      <c r="C275" s="3" t="s">
        <v>1775</v>
      </c>
      <c r="D275" s="3" t="s">
        <v>1</v>
      </c>
      <c r="E275" s="3" t="s">
        <v>2420</v>
      </c>
      <c r="F275" s="3" t="s">
        <v>2417</v>
      </c>
      <c r="G275" s="3" t="s">
        <v>2862</v>
      </c>
      <c r="H275" s="3"/>
      <c r="I275" s="4" t="b">
        <f>OR(((E275 = "calculated")=TRUE), ((E275 = "lookup")=TRUE), ((E275 = "aggregation")=TRUE))</f>
        <v>1</v>
      </c>
      <c r="J275" s="4" t="b">
        <f>H275 &lt;&gt; ""</f>
        <v>0</v>
      </c>
      <c r="K275" s="4">
        <f>COUNTIFS(FieldDisagreements!D2:D50, A275)</f>
        <v>0</v>
      </c>
      <c r="L275" s="4" t="b">
        <f>K275 &gt; 0</f>
        <v>0</v>
      </c>
      <c r="M275" s="3" t="s">
        <v>2418</v>
      </c>
    </row>
    <row r="276">
      <c r="A276" s="3" t="s">
        <v>2863</v>
      </c>
      <c r="B276" s="4" t="str">
        <f>C276 &amp; "." &amp; D276</f>
        <v>ProcedureStatusChanges.ProcedureVersion</v>
      </c>
      <c r="C276" s="3" t="s">
        <v>1775</v>
      </c>
      <c r="D276" s="3" t="s">
        <v>478</v>
      </c>
      <c r="E276" s="3" t="s">
        <v>2465</v>
      </c>
      <c r="F276" s="3" t="s">
        <v>2417</v>
      </c>
      <c r="G276" s="3"/>
      <c r="H276" s="3"/>
      <c r="I276" s="4" t="b">
        <f>OR(((E276 = "calculated")=TRUE), ((E276 = "lookup")=TRUE), ((E276 = "aggregation")=TRUE))</f>
        <v>0</v>
      </c>
      <c r="J276" s="4" t="b">
        <f>H276 &lt;&gt; ""</f>
        <v>0</v>
      </c>
      <c r="K276" s="4">
        <f>COUNTIFS(FieldDisagreements!D2:D50, A276)</f>
        <v>0</v>
      </c>
      <c r="L276" s="4" t="b">
        <f>K276 &gt; 0</f>
        <v>0</v>
      </c>
      <c r="M276" s="3" t="s">
        <v>2418</v>
      </c>
    </row>
    <row r="277">
      <c r="A277" s="3" t="s">
        <v>2864</v>
      </c>
      <c r="B277" s="4" t="str">
        <f>C277 &amp; "." &amp; D277</f>
        <v>ProcedureStatusChanges.FromStatus</v>
      </c>
      <c r="C277" s="3" t="s">
        <v>1775</v>
      </c>
      <c r="D277" s="3" t="s">
        <v>479</v>
      </c>
      <c r="E277" s="3" t="s">
        <v>2416</v>
      </c>
      <c r="F277" s="3" t="s">
        <v>2417</v>
      </c>
      <c r="G277" s="3"/>
      <c r="H277" s="3"/>
      <c r="I277" s="4" t="b">
        <f>OR(((E277 = "calculated")=TRUE), ((E277 = "lookup")=TRUE), ((E277 = "aggregation")=TRUE))</f>
        <v>0</v>
      </c>
      <c r="J277" s="4" t="b">
        <f>H277 &lt;&gt; ""</f>
        <v>0</v>
      </c>
      <c r="K277" s="4">
        <f>COUNTIFS(FieldDisagreements!D2:D50, A277)</f>
        <v>0</v>
      </c>
      <c r="L277" s="4" t="b">
        <f>K277 &gt; 0</f>
        <v>0</v>
      </c>
      <c r="M277" s="3" t="s">
        <v>2418</v>
      </c>
    </row>
    <row r="278">
      <c r="A278" s="3" t="s">
        <v>2865</v>
      </c>
      <c r="B278" s="4" t="str">
        <f>C278 &amp; "." &amp; D278</f>
        <v>ProcedureStatusChanges.ToStatus</v>
      </c>
      <c r="C278" s="3" t="s">
        <v>1775</v>
      </c>
      <c r="D278" s="3" t="s">
        <v>480</v>
      </c>
      <c r="E278" s="3" t="s">
        <v>2416</v>
      </c>
      <c r="F278" s="3" t="s">
        <v>2417</v>
      </c>
      <c r="G278" s="3"/>
      <c r="H278" s="3"/>
      <c r="I278" s="4" t="b">
        <f>OR(((E278 = "calculated")=TRUE), ((E278 = "lookup")=TRUE), ((E278 = "aggregation")=TRUE))</f>
        <v>0</v>
      </c>
      <c r="J278" s="4" t="b">
        <f>H278 &lt;&gt; ""</f>
        <v>0</v>
      </c>
      <c r="K278" s="4">
        <f>COUNTIFS(FieldDisagreements!D2:D50, A278)</f>
        <v>0</v>
      </c>
      <c r="L278" s="4" t="b">
        <f>K278 &gt; 0</f>
        <v>0</v>
      </c>
      <c r="M278" s="3" t="s">
        <v>2418</v>
      </c>
    </row>
    <row r="279">
      <c r="A279" s="3" t="s">
        <v>2866</v>
      </c>
      <c r="B279" s="4" t="str">
        <f>C279 &amp; "." &amp; D279</f>
        <v>ProcedureStatusChanges.ChangedAt</v>
      </c>
      <c r="C279" s="3" t="s">
        <v>1775</v>
      </c>
      <c r="D279" s="3" t="s">
        <v>481</v>
      </c>
      <c r="E279" s="3" t="s">
        <v>2416</v>
      </c>
      <c r="F279" s="3" t="s">
        <v>2428</v>
      </c>
      <c r="G279" s="3"/>
      <c r="H279" s="3"/>
      <c r="I279" s="4" t="b">
        <f>OR(((E279 = "calculated")=TRUE), ((E279 = "lookup")=TRUE), ((E279 = "aggregation")=TRUE))</f>
        <v>0</v>
      </c>
      <c r="J279" s="4" t="b">
        <f>H279 &lt;&gt; ""</f>
        <v>0</v>
      </c>
      <c r="K279" s="4">
        <f>COUNTIFS(FieldDisagreements!D2:D50, A279)</f>
        <v>0</v>
      </c>
      <c r="L279" s="4" t="b">
        <f>K279 &gt; 0</f>
        <v>0</v>
      </c>
      <c r="M279" s="3" t="s">
        <v>2418</v>
      </c>
    </row>
    <row r="280">
      <c r="A280" s="3" t="s">
        <v>2867</v>
      </c>
      <c r="B280" s="4" t="str">
        <f>C280 &amp; "." &amp; D280</f>
        <v>ProcedureStatusChanges.ChangedByAgent</v>
      </c>
      <c r="C280" s="3" t="s">
        <v>1775</v>
      </c>
      <c r="D280" s="3" t="s">
        <v>482</v>
      </c>
      <c r="E280" s="3" t="s">
        <v>2465</v>
      </c>
      <c r="F280" s="3" t="s">
        <v>2417</v>
      </c>
      <c r="G280" s="3"/>
      <c r="H280" s="3"/>
      <c r="I280" s="4" t="b">
        <f>OR(((E280 = "calculated")=TRUE), ((E280 = "lookup")=TRUE), ((E280 = "aggregation")=TRUE))</f>
        <v>0</v>
      </c>
      <c r="J280" s="4" t="b">
        <f>H280 &lt;&gt; ""</f>
        <v>0</v>
      </c>
      <c r="K280" s="4">
        <f>COUNTIFS(FieldDisagreements!D2:D50, A280)</f>
        <v>0</v>
      </c>
      <c r="L280" s="4" t="b">
        <f>K280 &gt; 0</f>
        <v>0</v>
      </c>
      <c r="M280" s="3" t="s">
        <v>2418</v>
      </c>
    </row>
    <row r="281">
      <c r="A281" s="3" t="s">
        <v>2868</v>
      </c>
      <c r="B281" s="4" t="str">
        <f>C281 &amp; "." &amp; D281</f>
        <v>ProcedureStatusChanges.Motivation</v>
      </c>
      <c r="C281" s="3" t="s">
        <v>1775</v>
      </c>
      <c r="D281" s="3" t="s">
        <v>483</v>
      </c>
      <c r="E281" s="3" t="s">
        <v>2416</v>
      </c>
      <c r="F281" s="3" t="s">
        <v>2417</v>
      </c>
      <c r="G281" s="3"/>
      <c r="H281" s="3"/>
      <c r="I281" s="4" t="b">
        <f>OR(((E281 = "calculated")=TRUE), ((E281 = "lookup")=TRUE), ((E281 = "aggregation")=TRUE))</f>
        <v>0</v>
      </c>
      <c r="J281" s="4" t="b">
        <f>H281 &lt;&gt; ""</f>
        <v>0</v>
      </c>
      <c r="K281" s="4">
        <f>COUNTIFS(FieldDisagreements!D2:D50, A281)</f>
        <v>0</v>
      </c>
      <c r="L281" s="4" t="b">
        <f>K281 &gt; 0</f>
        <v>0</v>
      </c>
      <c r="M281" s="3" t="s">
        <v>2418</v>
      </c>
    </row>
    <row r="282">
      <c r="A282" s="3" t="s">
        <v>2869</v>
      </c>
      <c r="B282" s="4" t="str">
        <f>C282 &amp; "." &amp; D282</f>
        <v>ProcedureStatusChanges.SemanticTypeIri</v>
      </c>
      <c r="C282" s="3" t="s">
        <v>1775</v>
      </c>
      <c r="D282" s="3" t="s">
        <v>94</v>
      </c>
      <c r="E282" s="3" t="s">
        <v>2416</v>
      </c>
      <c r="F282" s="3" t="s">
        <v>2417</v>
      </c>
      <c r="G282" s="3"/>
      <c r="H282" s="3"/>
      <c r="I282" s="4" t="b">
        <f>OR(((E282 = "calculated")=TRUE), ((E282 = "lookup")=TRUE), ((E282 = "aggregation")=TRUE))</f>
        <v>0</v>
      </c>
      <c r="J282" s="4" t="b">
        <f>H282 &lt;&gt; ""</f>
        <v>0</v>
      </c>
      <c r="K282" s="4">
        <f>COUNTIFS(FieldDisagreements!D2:D50, A282)</f>
        <v>0</v>
      </c>
      <c r="L282" s="4" t="b">
        <f>K282 &gt; 0</f>
        <v>0</v>
      </c>
      <c r="M282" s="3" t="s">
        <v>2418</v>
      </c>
    </row>
    <row r="283">
      <c r="A283" s="3" t="s">
        <v>2870</v>
      </c>
      <c r="B283" s="4" t="str">
        <f>C283 &amp; "." &amp; D283</f>
        <v>Steps.StepId</v>
      </c>
      <c r="C283" s="3" t="s">
        <v>1778</v>
      </c>
      <c r="D283" s="3" t="s">
        <v>498</v>
      </c>
      <c r="E283" s="3" t="s">
        <v>2416</v>
      </c>
      <c r="F283" s="3" t="s">
        <v>2417</v>
      </c>
      <c r="G283" s="3"/>
      <c r="H283" s="3"/>
      <c r="I283" s="4" t="b">
        <f>OR(((E283 = "calculated")=TRUE), ((E283 = "lookup")=TRUE), ((E283 = "aggregation")=TRUE))</f>
        <v>0</v>
      </c>
      <c r="J283" s="4" t="b">
        <f>H283 &lt;&gt; ""</f>
        <v>0</v>
      </c>
      <c r="K283" s="4">
        <f>COUNTIFS(FieldDisagreements!D2:D50, A283)</f>
        <v>0</v>
      </c>
      <c r="L283" s="4" t="b">
        <f>K283 &gt; 0</f>
        <v>0</v>
      </c>
      <c r="M283" s="3" t="s">
        <v>2418</v>
      </c>
    </row>
    <row r="284">
      <c r="A284" s="3" t="s">
        <v>2871</v>
      </c>
      <c r="B284" s="4" t="str">
        <f>C284 &amp; "." &amp; D284</f>
        <v>Steps.Name</v>
      </c>
      <c r="C284" s="3" t="s">
        <v>1778</v>
      </c>
      <c r="D284" s="3" t="s">
        <v>1</v>
      </c>
      <c r="E284" s="3" t="s">
        <v>2420</v>
      </c>
      <c r="F284" s="3" t="s">
        <v>2417</v>
      </c>
      <c r="G284" s="3" t="s">
        <v>2872</v>
      </c>
      <c r="H284" s="3"/>
      <c r="I284" s="4" t="b">
        <f>OR(((E284 = "calculated")=TRUE), ((E284 = "lookup")=TRUE), ((E284 = "aggregation")=TRUE))</f>
        <v>1</v>
      </c>
      <c r="J284" s="4" t="b">
        <f>H284 &lt;&gt; ""</f>
        <v>0</v>
      </c>
      <c r="K284" s="4">
        <f>COUNTIFS(FieldDisagreements!D2:D50, A284)</f>
        <v>0</v>
      </c>
      <c r="L284" s="4" t="b">
        <f>K284 &gt; 0</f>
        <v>0</v>
      </c>
      <c r="M284" s="3" t="s">
        <v>2418</v>
      </c>
    </row>
    <row r="285">
      <c r="A285" s="3" t="s">
        <v>2873</v>
      </c>
      <c r="B285" s="4" t="str">
        <f>C285 &amp; "." &amp; D285</f>
        <v>Steps.ProcedureVersion</v>
      </c>
      <c r="C285" s="3" t="s">
        <v>1778</v>
      </c>
      <c r="D285" s="3" t="s">
        <v>478</v>
      </c>
      <c r="E285" s="3" t="s">
        <v>2465</v>
      </c>
      <c r="F285" s="3" t="s">
        <v>2417</v>
      </c>
      <c r="G285" s="3"/>
      <c r="H285" s="3"/>
      <c r="I285" s="4" t="b">
        <f>OR(((E285 = "calculated")=TRUE), ((E285 = "lookup")=TRUE), ((E285 = "aggregation")=TRUE))</f>
        <v>0</v>
      </c>
      <c r="J285" s="4" t="b">
        <f>H285 &lt;&gt; ""</f>
        <v>0</v>
      </c>
      <c r="K285" s="4">
        <f>COUNTIFS(FieldDisagreements!D2:D50, A285)</f>
        <v>0</v>
      </c>
      <c r="L285" s="4" t="b">
        <f>K285 &gt; 0</f>
        <v>0</v>
      </c>
      <c r="M285" s="3" t="s">
        <v>2418</v>
      </c>
    </row>
    <row r="286">
      <c r="A286" s="3" t="s">
        <v>2874</v>
      </c>
      <c r="B286" s="4" t="str">
        <f>C286 &amp; "." &amp; D286</f>
        <v>Steps.StepNumber</v>
      </c>
      <c r="C286" s="3" t="s">
        <v>1778</v>
      </c>
      <c r="D286" s="3" t="s">
        <v>499</v>
      </c>
      <c r="E286" s="3" t="s">
        <v>2416</v>
      </c>
      <c r="F286" s="3" t="s">
        <v>2417</v>
      </c>
      <c r="G286" s="3"/>
      <c r="H286" s="3"/>
      <c r="I286" s="4" t="b">
        <f>OR(((E286 = "calculated")=TRUE), ((E286 = "lookup")=TRUE), ((E286 = "aggregation")=TRUE))</f>
        <v>0</v>
      </c>
      <c r="J286" s="4" t="b">
        <f>H286 &lt;&gt; ""</f>
        <v>0</v>
      </c>
      <c r="K286" s="4">
        <f>COUNTIFS(FieldDisagreements!D2:D50, A286)</f>
        <v>0</v>
      </c>
      <c r="L286" s="4" t="b">
        <f>K286 &gt; 0</f>
        <v>0</v>
      </c>
      <c r="M286" s="3" t="s">
        <v>2418</v>
      </c>
    </row>
    <row r="287">
      <c r="A287" s="3" t="s">
        <v>2875</v>
      </c>
      <c r="B287" s="4" t="str">
        <f>C287 &amp; "." &amp; D287</f>
        <v>Steps.Title</v>
      </c>
      <c r="C287" s="3" t="s">
        <v>1778</v>
      </c>
      <c r="D287" s="3" t="s">
        <v>358</v>
      </c>
      <c r="E287" s="3" t="s">
        <v>2416</v>
      </c>
      <c r="F287" s="3" t="s">
        <v>2417</v>
      </c>
      <c r="G287" s="3"/>
      <c r="H287" s="3"/>
      <c r="I287" s="4" t="b">
        <f>OR(((E287 = "calculated")=TRUE), ((E287 = "lookup")=TRUE), ((E287 = "aggregation")=TRUE))</f>
        <v>0</v>
      </c>
      <c r="J287" s="4" t="b">
        <f>H287 &lt;&gt; ""</f>
        <v>0</v>
      </c>
      <c r="K287" s="4">
        <f>COUNTIFS(FieldDisagreements!D2:D50, A287)</f>
        <v>0</v>
      </c>
      <c r="L287" s="4" t="b">
        <f>K287 &gt; 0</f>
        <v>0</v>
      </c>
      <c r="M287" s="3" t="s">
        <v>2418</v>
      </c>
    </row>
    <row r="288">
      <c r="A288" s="3" t="s">
        <v>2876</v>
      </c>
      <c r="B288" s="4" t="str">
        <f>C288 &amp; "." &amp; D288</f>
        <v>Steps.StepKind</v>
      </c>
      <c r="C288" s="3" t="s">
        <v>1778</v>
      </c>
      <c r="D288" s="3" t="s">
        <v>500</v>
      </c>
      <c r="E288" s="3" t="s">
        <v>2416</v>
      </c>
      <c r="F288" s="3" t="s">
        <v>2417</v>
      </c>
      <c r="G288" s="3"/>
      <c r="H288" s="3"/>
      <c r="I288" s="4" t="b">
        <f>OR(((E288 = "calculated")=TRUE), ((E288 = "lookup")=TRUE), ((E288 = "aggregation")=TRUE))</f>
        <v>0</v>
      </c>
      <c r="J288" s="4" t="b">
        <f>H288 &lt;&gt; ""</f>
        <v>0</v>
      </c>
      <c r="K288" s="4">
        <f>COUNTIFS(FieldDisagreements!D2:D50, A288)</f>
        <v>0</v>
      </c>
      <c r="L288" s="4" t="b">
        <f>K288 &gt; 0</f>
        <v>0</v>
      </c>
      <c r="M288" s="3" t="s">
        <v>2418</v>
      </c>
    </row>
    <row r="289">
      <c r="A289" s="3" t="s">
        <v>2877</v>
      </c>
      <c r="B289" s="4" t="str">
        <f>C289 &amp; "." &amp; D289</f>
        <v>Steps.AssignedRole</v>
      </c>
      <c r="C289" s="3" t="s">
        <v>1778</v>
      </c>
      <c r="D289" s="3" t="s">
        <v>501</v>
      </c>
      <c r="E289" s="3" t="s">
        <v>2465</v>
      </c>
      <c r="F289" s="3" t="s">
        <v>2417</v>
      </c>
      <c r="G289" s="3"/>
      <c r="H289" s="3"/>
      <c r="I289" s="4" t="b">
        <f>OR(((E289 = "calculated")=TRUE), ((E289 = "lookup")=TRUE), ((E289 = "aggregation")=TRUE))</f>
        <v>0</v>
      </c>
      <c r="J289" s="4" t="b">
        <f>H289 &lt;&gt; ""</f>
        <v>0</v>
      </c>
      <c r="K289" s="4">
        <f>COUNTIFS(FieldDisagreements!D2:D50, A289)</f>
        <v>0</v>
      </c>
      <c r="L289" s="4" t="b">
        <f>K289 &gt; 0</f>
        <v>0</v>
      </c>
      <c r="M289" s="3" t="s">
        <v>2418</v>
      </c>
    </row>
    <row r="290">
      <c r="A290" s="3" t="s">
        <v>2878</v>
      </c>
      <c r="B290" s="4" t="str">
        <f>C290 &amp; "." &amp; D290</f>
        <v>Steps.AssignedRoleLabel</v>
      </c>
      <c r="C290" s="3" t="s">
        <v>1778</v>
      </c>
      <c r="D290" s="3" t="s">
        <v>502</v>
      </c>
      <c r="E290" s="3" t="s">
        <v>2509</v>
      </c>
      <c r="F290" s="3" t="s">
        <v>2417</v>
      </c>
      <c r="G290" s="3" t="s">
        <v>2879</v>
      </c>
      <c r="H290" s="3"/>
      <c r="I290" s="4" t="b">
        <f>OR(((E290 = "calculated")=TRUE), ((E290 = "lookup")=TRUE), ((E290 = "aggregation")=TRUE))</f>
        <v>1</v>
      </c>
      <c r="J290" s="4" t="b">
        <f>H290 &lt;&gt; ""</f>
        <v>0</v>
      </c>
      <c r="K290" s="4">
        <f>COUNTIFS(FieldDisagreements!D2:D50, A290)</f>
        <v>0</v>
      </c>
      <c r="L290" s="4" t="b">
        <f>K290 &gt; 0</f>
        <v>0</v>
      </c>
      <c r="M290" s="3" t="s">
        <v>2418</v>
      </c>
    </row>
    <row r="291">
      <c r="A291" s="3" t="s">
        <v>2880</v>
      </c>
      <c r="B291" s="4" t="str">
        <f>C291 &amp; "." &amp; D291</f>
        <v>Steps.AssignedAgentKind</v>
      </c>
      <c r="C291" s="3" t="s">
        <v>1778</v>
      </c>
      <c r="D291" s="3" t="s">
        <v>503</v>
      </c>
      <c r="E291" s="3" t="s">
        <v>2509</v>
      </c>
      <c r="F291" s="3" t="s">
        <v>2417</v>
      </c>
      <c r="G291" s="3" t="s">
        <v>2881</v>
      </c>
      <c r="H291" s="3"/>
      <c r="I291" s="4" t="b">
        <f>OR(((E291 = "calculated")=TRUE), ((E291 = "lookup")=TRUE), ((E291 = "aggregation")=TRUE))</f>
        <v>1</v>
      </c>
      <c r="J291" s="4" t="b">
        <f>H291 &lt;&gt; ""</f>
        <v>0</v>
      </c>
      <c r="K291" s="4">
        <f>COUNTIFS(FieldDisagreements!D2:D50, A291)</f>
        <v>0</v>
      </c>
      <c r="L291" s="4" t="b">
        <f>K291 &gt; 0</f>
        <v>0</v>
      </c>
      <c r="M291" s="3" t="s">
        <v>2418</v>
      </c>
    </row>
    <row r="292">
      <c r="A292" s="3" t="s">
        <v>2882</v>
      </c>
      <c r="B292" s="4" t="str">
        <f>C292 &amp; "." &amp; D292</f>
        <v>Steps.Instruction</v>
      </c>
      <c r="C292" s="3" t="s">
        <v>1778</v>
      </c>
      <c r="D292" s="3" t="s">
        <v>504</v>
      </c>
      <c r="E292" s="3" t="s">
        <v>2416</v>
      </c>
      <c r="F292" s="3" t="s">
        <v>2417</v>
      </c>
      <c r="G292" s="3"/>
      <c r="H292" s="3"/>
      <c r="I292" s="4" t="b">
        <f>OR(((E292 = "calculated")=TRUE), ((E292 = "lookup")=TRUE), ((E292 = "aggregation")=TRUE))</f>
        <v>0</v>
      </c>
      <c r="J292" s="4" t="b">
        <f>H292 &lt;&gt; ""</f>
        <v>0</v>
      </c>
      <c r="K292" s="4">
        <f>COUNTIFS(FieldDisagreements!D2:D50, A292)</f>
        <v>0</v>
      </c>
      <c r="L292" s="4" t="b">
        <f>K292 &gt; 0</f>
        <v>0</v>
      </c>
      <c r="M292" s="3" t="s">
        <v>2418</v>
      </c>
    </row>
    <row r="293">
      <c r="A293" s="3" t="s">
        <v>2883</v>
      </c>
      <c r="B293" s="4" t="str">
        <f>C293 &amp; "." &amp; D293</f>
        <v>Steps.ExpectedDurationMinutes</v>
      </c>
      <c r="C293" s="3" t="s">
        <v>1778</v>
      </c>
      <c r="D293" s="3" t="s">
        <v>505</v>
      </c>
      <c r="E293" s="3" t="s">
        <v>2416</v>
      </c>
      <c r="F293" s="3" t="s">
        <v>2470</v>
      </c>
      <c r="G293" s="3"/>
      <c r="H293" s="3"/>
      <c r="I293" s="4" t="b">
        <f>OR(((E293 = "calculated")=TRUE), ((E293 = "lookup")=TRUE), ((E293 = "aggregation")=TRUE))</f>
        <v>0</v>
      </c>
      <c r="J293" s="4" t="b">
        <f>H293 &lt;&gt; ""</f>
        <v>0</v>
      </c>
      <c r="K293" s="4">
        <f>COUNTIFS(FieldDisagreements!D2:D50, A293)</f>
        <v>0</v>
      </c>
      <c r="L293" s="4" t="b">
        <f>K293 &gt; 0</f>
        <v>0</v>
      </c>
      <c r="M293" s="3" t="s">
        <v>2418</v>
      </c>
    </row>
    <row r="294">
      <c r="A294" s="3" t="s">
        <v>2884</v>
      </c>
      <c r="B294" s="4" t="str">
        <f>C294 &amp; "." &amp; D294</f>
        <v>Steps.ExpertiseLevel</v>
      </c>
      <c r="C294" s="3" t="s">
        <v>1778</v>
      </c>
      <c r="D294" s="3" t="s">
        <v>506</v>
      </c>
      <c r="E294" s="3" t="s">
        <v>2416</v>
      </c>
      <c r="F294" s="3" t="s">
        <v>2417</v>
      </c>
      <c r="G294" s="3"/>
      <c r="H294" s="3"/>
      <c r="I294" s="4" t="b">
        <f>OR(((E294 = "calculated")=TRUE), ((E294 = "lookup")=TRUE), ((E294 = "aggregation")=TRUE))</f>
        <v>0</v>
      </c>
      <c r="J294" s="4" t="b">
        <f>H294 &lt;&gt; ""</f>
        <v>0</v>
      </c>
      <c r="K294" s="4">
        <f>COUNTIFS(FieldDisagreements!D2:D50, A294)</f>
        <v>0</v>
      </c>
      <c r="L294" s="4" t="b">
        <f>K294 &gt; 0</f>
        <v>0</v>
      </c>
      <c r="M294" s="3" t="s">
        <v>2418</v>
      </c>
    </row>
    <row r="295">
      <c r="A295" s="3" t="s">
        <v>2885</v>
      </c>
      <c r="B295" s="4" t="str">
        <f>C295 &amp; "." &amp; D295</f>
        <v>Steps.RequiresHumanConfirmation</v>
      </c>
      <c r="C295" s="3" t="s">
        <v>1778</v>
      </c>
      <c r="D295" s="3" t="s">
        <v>507</v>
      </c>
      <c r="E295" s="3" t="s">
        <v>2416</v>
      </c>
      <c r="F295" s="3" t="s">
        <v>2432</v>
      </c>
      <c r="G295" s="3"/>
      <c r="H295" s="3"/>
      <c r="I295" s="4" t="b">
        <f>OR(((E295 = "calculated")=TRUE), ((E295 = "lookup")=TRUE), ((E295 = "aggregation")=TRUE))</f>
        <v>0</v>
      </c>
      <c r="J295" s="4" t="b">
        <f>H295 &lt;&gt; ""</f>
        <v>0</v>
      </c>
      <c r="K295" s="4">
        <f>COUNTIFS(FieldDisagreements!D2:D50, A295)</f>
        <v>0</v>
      </c>
      <c r="L295" s="4" t="b">
        <f>K295 &gt; 0</f>
        <v>0</v>
      </c>
      <c r="M295" s="3" t="s">
        <v>2418</v>
      </c>
    </row>
    <row r="296">
      <c r="A296" s="3" t="s">
        <v>2886</v>
      </c>
      <c r="B296" s="4" t="str">
        <f>C296 &amp; "." &amp; D296</f>
        <v>Steps.BlockingRequirementCount</v>
      </c>
      <c r="C296" s="3" t="s">
        <v>1778</v>
      </c>
      <c r="D296" s="3" t="s">
        <v>508</v>
      </c>
      <c r="E296" s="3" t="s">
        <v>2469</v>
      </c>
      <c r="F296" s="3" t="s">
        <v>2475</v>
      </c>
      <c r="G296" s="3" t="s">
        <v>2887</v>
      </c>
      <c r="H296" s="3" t="s">
        <v>1963</v>
      </c>
      <c r="I296" s="4" t="b">
        <f>OR(((E296 = "calculated")=TRUE), ((E296 = "lookup")=TRUE), ((E296 = "aggregation")=TRUE))</f>
        <v>1</v>
      </c>
      <c r="J296" s="4" t="b">
        <f>H296 &lt;&gt; ""</f>
        <v>1</v>
      </c>
      <c r="K296" s="4">
        <f>COUNTIFS(FieldDisagreements!D2:D50, A296)</f>
        <v>0</v>
      </c>
      <c r="L296" s="4" t="b">
        <f>K296 &gt; 0</f>
        <v>0</v>
      </c>
      <c r="M296" s="3" t="s">
        <v>2418</v>
      </c>
    </row>
    <row r="297">
      <c r="A297" s="3" t="s">
        <v>2888</v>
      </c>
      <c r="B297" s="4" t="str">
        <f>C297 &amp; "." &amp; D297</f>
        <v>Steps.StaleBindingCount</v>
      </c>
      <c r="C297" s="3" t="s">
        <v>1778</v>
      </c>
      <c r="D297" s="3" t="s">
        <v>509</v>
      </c>
      <c r="E297" s="3" t="s">
        <v>2469</v>
      </c>
      <c r="F297" s="3" t="s">
        <v>2475</v>
      </c>
      <c r="G297" s="3" t="s">
        <v>2889</v>
      </c>
      <c r="H297" s="3" t="s">
        <v>1967</v>
      </c>
      <c r="I297" s="4" t="b">
        <f>OR(((E297 = "calculated")=TRUE), ((E297 = "lookup")=TRUE), ((E297 = "aggregation")=TRUE))</f>
        <v>1</v>
      </c>
      <c r="J297" s="4" t="b">
        <f>H297 &lt;&gt; ""</f>
        <v>1</v>
      </c>
      <c r="K297" s="4">
        <f>COUNTIFS(FieldDisagreements!D2:D50, A297)</f>
        <v>0</v>
      </c>
      <c r="L297" s="4" t="b">
        <f>K297 &gt; 0</f>
        <v>0</v>
      </c>
      <c r="M297" s="3" t="s">
        <v>2418</v>
      </c>
    </row>
    <row r="298">
      <c r="A298" s="3" t="s">
        <v>2890</v>
      </c>
      <c r="B298" s="4" t="str">
        <f>C298 &amp; "." &amp; D298</f>
        <v>Steps.AuthoritativeStaleCount</v>
      </c>
      <c r="C298" s="3" t="s">
        <v>1778</v>
      </c>
      <c r="D298" s="3" t="s">
        <v>510</v>
      </c>
      <c r="E298" s="3" t="s">
        <v>2469</v>
      </c>
      <c r="F298" s="3" t="s">
        <v>2475</v>
      </c>
      <c r="G298" s="3" t="s">
        <v>2891</v>
      </c>
      <c r="H298" s="3" t="s">
        <v>1967</v>
      </c>
      <c r="I298" s="4" t="b">
        <f>OR(((E298 = "calculated")=TRUE), ((E298 = "lookup")=TRUE), ((E298 = "aggregation")=TRUE))</f>
        <v>1</v>
      </c>
      <c r="J298" s="4" t="b">
        <f>H298 &lt;&gt; ""</f>
        <v>1</v>
      </c>
      <c r="K298" s="4">
        <f>COUNTIFS(FieldDisagreements!D2:D50, A298)</f>
        <v>0</v>
      </c>
      <c r="L298" s="4" t="b">
        <f>K298 &gt; 0</f>
        <v>0</v>
      </c>
      <c r="M298" s="3" t="s">
        <v>2418</v>
      </c>
    </row>
    <row r="299">
      <c r="A299" s="3" t="s">
        <v>2892</v>
      </c>
      <c r="B299" s="4" t="str">
        <f>C299 &amp; "." &amp; D299</f>
        <v>Steps.AvailableExceptionCount</v>
      </c>
      <c r="C299" s="3" t="s">
        <v>1778</v>
      </c>
      <c r="D299" s="3" t="s">
        <v>511</v>
      </c>
      <c r="E299" s="3" t="s">
        <v>2469</v>
      </c>
      <c r="F299" s="3" t="s">
        <v>2475</v>
      </c>
      <c r="G299" s="3" t="s">
        <v>2893</v>
      </c>
      <c r="H299" s="3" t="s">
        <v>1971</v>
      </c>
      <c r="I299" s="4" t="b">
        <f>OR(((E299 = "calculated")=TRUE), ((E299 = "lookup")=TRUE), ((E299 = "aggregation")=TRUE))</f>
        <v>1</v>
      </c>
      <c r="J299" s="4" t="b">
        <f>H299 &lt;&gt; ""</f>
        <v>1</v>
      </c>
      <c r="K299" s="4">
        <f>COUNTIFS(FieldDisagreements!D2:D50, A299)</f>
        <v>0</v>
      </c>
      <c r="L299" s="4" t="b">
        <f>K299 &gt; 0</f>
        <v>0</v>
      </c>
      <c r="M299" s="3" t="s">
        <v>2418</v>
      </c>
    </row>
    <row r="300">
      <c r="A300" s="3" t="s">
        <v>2894</v>
      </c>
      <c r="B300" s="4" t="str">
        <f>C300 &amp; "." &amp; D300</f>
        <v>Steps.DeclaredVerificationCount</v>
      </c>
      <c r="C300" s="3" t="s">
        <v>1778</v>
      </c>
      <c r="D300" s="3" t="s">
        <v>512</v>
      </c>
      <c r="E300" s="3" t="s">
        <v>2469</v>
      </c>
      <c r="F300" s="3" t="s">
        <v>2475</v>
      </c>
      <c r="G300" s="3" t="s">
        <v>2895</v>
      </c>
      <c r="H300" s="3" t="s">
        <v>1975</v>
      </c>
      <c r="I300" s="4" t="b">
        <f>OR(((E300 = "calculated")=TRUE), ((E300 = "lookup")=TRUE), ((E300 = "aggregation")=TRUE))</f>
        <v>1</v>
      </c>
      <c r="J300" s="4" t="b">
        <f>H300 &lt;&gt; ""</f>
        <v>1</v>
      </c>
      <c r="K300" s="4">
        <f>COUNTIFS(FieldDisagreements!D2:D50, A300)</f>
        <v>0</v>
      </c>
      <c r="L300" s="4" t="b">
        <f>K300 &gt; 0</f>
        <v>0</v>
      </c>
      <c r="M300" s="3" t="s">
        <v>2418</v>
      </c>
    </row>
    <row r="301">
      <c r="A301" s="3" t="s">
        <v>2896</v>
      </c>
      <c r="B301" s="4" t="str">
        <f>C301 &amp; "." &amp; D301</f>
        <v>Steps.IsPreparationStep</v>
      </c>
      <c r="C301" s="3" t="s">
        <v>1778</v>
      </c>
      <c r="D301" s="3" t="s">
        <v>513</v>
      </c>
      <c r="E301" s="3" t="s">
        <v>2420</v>
      </c>
      <c r="F301" s="3" t="s">
        <v>2432</v>
      </c>
      <c r="G301" s="3" t="s">
        <v>2897</v>
      </c>
      <c r="H301" s="3" t="s">
        <v>1979</v>
      </c>
      <c r="I301" s="4" t="b">
        <f>OR(((E301 = "calculated")=TRUE), ((E301 = "lookup")=TRUE), ((E301 = "aggregation")=TRUE))</f>
        <v>1</v>
      </c>
      <c r="J301" s="4" t="b">
        <f>H301 &lt;&gt; ""</f>
        <v>1</v>
      </c>
      <c r="K301" s="4">
        <f>COUNTIFS(FieldDisagreements!D2:D50, A301)</f>
        <v>0</v>
      </c>
      <c r="L301" s="4" t="b">
        <f>K301 &gt; 0</f>
        <v>0</v>
      </c>
      <c r="M301" s="3" t="s">
        <v>2418</v>
      </c>
    </row>
    <row r="302">
      <c r="A302" s="3" t="s">
        <v>2898</v>
      </c>
      <c r="B302" s="4" t="str">
        <f>C302 &amp; "." &amp; D302</f>
        <v>Steps.IsApprovalStep</v>
      </c>
      <c r="C302" s="3" t="s">
        <v>1778</v>
      </c>
      <c r="D302" s="3" t="s">
        <v>514</v>
      </c>
      <c r="E302" s="3" t="s">
        <v>2420</v>
      </c>
      <c r="F302" s="3" t="s">
        <v>2432</v>
      </c>
      <c r="G302" s="3" t="s">
        <v>2899</v>
      </c>
      <c r="H302" s="3" t="s">
        <v>1979</v>
      </c>
      <c r="I302" s="4" t="b">
        <f>OR(((E302 = "calculated")=TRUE), ((E302 = "lookup")=TRUE), ((E302 = "aggregation")=TRUE))</f>
        <v>1</v>
      </c>
      <c r="J302" s="4" t="b">
        <f>H302 &lt;&gt; ""</f>
        <v>1</v>
      </c>
      <c r="K302" s="4">
        <f>COUNTIFS(FieldDisagreements!D2:D50, A302)</f>
        <v>0</v>
      </c>
      <c r="L302" s="4" t="b">
        <f>K302 &gt; 0</f>
        <v>0</v>
      </c>
      <c r="M302" s="3" t="s">
        <v>2418</v>
      </c>
    </row>
    <row r="303">
      <c r="A303" s="3" t="s">
        <v>2900</v>
      </c>
      <c r="B303" s="4" t="str">
        <f>C303 &amp; "." &amp; D303</f>
        <v>Steps.StaleAuthoritativeBindingCount</v>
      </c>
      <c r="C303" s="3" t="s">
        <v>1778</v>
      </c>
      <c r="D303" s="3" t="s">
        <v>515</v>
      </c>
      <c r="E303" s="3" t="s">
        <v>2469</v>
      </c>
      <c r="F303" s="3" t="s">
        <v>2475</v>
      </c>
      <c r="G303" s="3" t="s">
        <v>2901</v>
      </c>
      <c r="H303" s="3" t="s">
        <v>2123</v>
      </c>
      <c r="I303" s="4" t="b">
        <f>OR(((E303 = "calculated")=TRUE), ((E303 = "lookup")=TRUE), ((E303 = "aggregation")=TRUE))</f>
        <v>1</v>
      </c>
      <c r="J303" s="4" t="b">
        <f>H303 &lt;&gt; ""</f>
        <v>1</v>
      </c>
      <c r="K303" s="4">
        <f>COUNTIFS(FieldDisagreements!D2:D50, A303)</f>
        <v>0</v>
      </c>
      <c r="L303" s="4" t="b">
        <f>K303 &gt; 0</f>
        <v>0</v>
      </c>
      <c r="M303" s="3" t="s">
        <v>2418</v>
      </c>
    </row>
    <row r="304">
      <c r="A304" s="3" t="s">
        <v>2902</v>
      </c>
      <c r="B304" s="4" t="str">
        <f>C304 &amp; "." &amp; D304</f>
        <v>Steps.InputsAreFresh</v>
      </c>
      <c r="C304" s="3" t="s">
        <v>1778</v>
      </c>
      <c r="D304" s="3" t="s">
        <v>516</v>
      </c>
      <c r="E304" s="3" t="s">
        <v>2420</v>
      </c>
      <c r="F304" s="3" t="s">
        <v>2432</v>
      </c>
      <c r="G304" s="3" t="s">
        <v>2903</v>
      </c>
      <c r="H304" s="3" t="s">
        <v>2123</v>
      </c>
      <c r="I304" s="4" t="b">
        <f>OR(((E304 = "calculated")=TRUE), ((E304 = "lookup")=TRUE), ((E304 = "aggregation")=TRUE))</f>
        <v>1</v>
      </c>
      <c r="J304" s="4" t="b">
        <f>H304 &lt;&gt; ""</f>
        <v>1</v>
      </c>
      <c r="K304" s="4">
        <f>COUNTIFS(FieldDisagreements!D2:D50, A304)</f>
        <v>0</v>
      </c>
      <c r="L304" s="4" t="b">
        <f>K304 &gt; 0</f>
        <v>0</v>
      </c>
      <c r="M304" s="3" t="s">
        <v>2418</v>
      </c>
    </row>
    <row r="305">
      <c r="A305" s="3" t="s">
        <v>2904</v>
      </c>
      <c r="B305" s="4" t="str">
        <f>C305 &amp; "." &amp; D305</f>
        <v>Steps.IsSoftwareAssigned</v>
      </c>
      <c r="C305" s="3" t="s">
        <v>1778</v>
      </c>
      <c r="D305" s="3" t="s">
        <v>517</v>
      </c>
      <c r="E305" s="3" t="s">
        <v>2420</v>
      </c>
      <c r="F305" s="3" t="s">
        <v>2432</v>
      </c>
      <c r="G305" s="3" t="s">
        <v>2905</v>
      </c>
      <c r="H305" s="3" t="s">
        <v>2143</v>
      </c>
      <c r="I305" s="4" t="b">
        <f>OR(((E305 = "calculated")=TRUE), ((E305 = "lookup")=TRUE), ((E305 = "aggregation")=TRUE))</f>
        <v>1</v>
      </c>
      <c r="J305" s="4" t="b">
        <f>H305 &lt;&gt; ""</f>
        <v>1</v>
      </c>
      <c r="K305" s="4">
        <f>COUNTIFS(FieldDisagreements!D2:D50, A305)</f>
        <v>0</v>
      </c>
      <c r="L305" s="4" t="b">
        <f>K305 &gt; 0</f>
        <v>0</v>
      </c>
      <c r="M305" s="3" t="s">
        <v>2418</v>
      </c>
    </row>
    <row r="306">
      <c r="A306" s="3" t="s">
        <v>2906</v>
      </c>
      <c r="B306" s="4" t="str">
        <f>C306 &amp; "." &amp; D306</f>
        <v>Steps.IsHumanApprovalGate</v>
      </c>
      <c r="C306" s="3" t="s">
        <v>1778</v>
      </c>
      <c r="D306" s="3" t="s">
        <v>518</v>
      </c>
      <c r="E306" s="3" t="s">
        <v>2420</v>
      </c>
      <c r="F306" s="3" t="s">
        <v>2432</v>
      </c>
      <c r="G306" s="3" t="s">
        <v>2907</v>
      </c>
      <c r="H306" s="3" t="s">
        <v>2143</v>
      </c>
      <c r="I306" s="4" t="b">
        <f>OR(((E306 = "calculated")=TRUE), ((E306 = "lookup")=TRUE), ((E306 = "aggregation")=TRUE))</f>
        <v>1</v>
      </c>
      <c r="J306" s="4" t="b">
        <f>H306 &lt;&gt; ""</f>
        <v>1</v>
      </c>
      <c r="K306" s="4">
        <f>COUNTIFS(FieldDisagreements!D2:D50, A306)</f>
        <v>0</v>
      </c>
      <c r="L306" s="4" t="b">
        <f>K306 &gt; 0</f>
        <v>0</v>
      </c>
      <c r="M306" s="3" t="s">
        <v>2418</v>
      </c>
    </row>
    <row r="307">
      <c r="A307" s="3" t="s">
        <v>2908</v>
      </c>
      <c r="B307" s="4" t="str">
        <f>C307 &amp; "." &amp; D307</f>
        <v>Steps.GateHeldByHuman</v>
      </c>
      <c r="C307" s="3" t="s">
        <v>1778</v>
      </c>
      <c r="D307" s="3" t="s">
        <v>519</v>
      </c>
      <c r="E307" s="3" t="s">
        <v>2420</v>
      </c>
      <c r="F307" s="3" t="s">
        <v>2432</v>
      </c>
      <c r="G307" s="3" t="s">
        <v>2909</v>
      </c>
      <c r="H307" s="3" t="s">
        <v>2143</v>
      </c>
      <c r="I307" s="4" t="b">
        <f>OR(((E307 = "calculated")=TRUE), ((E307 = "lookup")=TRUE), ((E307 = "aggregation")=TRUE))</f>
        <v>1</v>
      </c>
      <c r="J307" s="4" t="b">
        <f>H307 &lt;&gt; ""</f>
        <v>1</v>
      </c>
      <c r="K307" s="4">
        <f>COUNTIFS(FieldDisagreements!D2:D50, A307)</f>
        <v>0</v>
      </c>
      <c r="L307" s="4" t="b">
        <f>K307 &gt; 0</f>
        <v>0</v>
      </c>
      <c r="M307" s="3" t="s">
        <v>2418</v>
      </c>
    </row>
    <row r="308">
      <c r="A308" s="3" t="s">
        <v>2910</v>
      </c>
      <c r="B308" s="4" t="str">
        <f>C308 &amp; "." &amp; D308</f>
        <v>Steps.BindingBoundaryCount</v>
      </c>
      <c r="C308" s="3" t="s">
        <v>1778</v>
      </c>
      <c r="D308" s="3" t="s">
        <v>520</v>
      </c>
      <c r="E308" s="3" t="s">
        <v>2469</v>
      </c>
      <c r="F308" s="3" t="s">
        <v>2475</v>
      </c>
      <c r="G308" s="3" t="s">
        <v>2911</v>
      </c>
      <c r="H308" s="3" t="s">
        <v>2167</v>
      </c>
      <c r="I308" s="4" t="b">
        <f>OR(((E308 = "calculated")=TRUE), ((E308 = "lookup")=TRUE), ((E308 = "aggregation")=TRUE))</f>
        <v>1</v>
      </c>
      <c r="J308" s="4" t="b">
        <f>H308 &lt;&gt; ""</f>
        <v>1</v>
      </c>
      <c r="K308" s="4">
        <f>COUNTIFS(FieldDisagreements!D2:D50, A308)</f>
        <v>0</v>
      </c>
      <c r="L308" s="4" t="b">
        <f>K308 &gt; 0</f>
        <v>0</v>
      </c>
      <c r="M308" s="3" t="s">
        <v>2418</v>
      </c>
    </row>
    <row r="309">
      <c r="A309" s="3" t="s">
        <v>2912</v>
      </c>
      <c r="B309" s="4" t="str">
        <f>C309 &amp; "." &amp; D309</f>
        <v>Steps.AssignedRoleIsUngoverned</v>
      </c>
      <c r="C309" s="3" t="s">
        <v>1778</v>
      </c>
      <c r="D309" s="3" t="s">
        <v>521</v>
      </c>
      <c r="E309" s="3" t="s">
        <v>2509</v>
      </c>
      <c r="F309" s="3" t="s">
        <v>2432</v>
      </c>
      <c r="G309" s="3" t="s">
        <v>2913</v>
      </c>
      <c r="H309" s="3" t="s">
        <v>2179</v>
      </c>
      <c r="I309" s="4" t="b">
        <f>OR(((E309 = "calculated")=TRUE), ((E309 = "lookup")=TRUE), ((E309 = "aggregation")=TRUE))</f>
        <v>1</v>
      </c>
      <c r="J309" s="4" t="b">
        <f>H309 &lt;&gt; ""</f>
        <v>1</v>
      </c>
      <c r="K309" s="4">
        <f>COUNTIFS(FieldDisagreements!D2:D50, A309)</f>
        <v>0</v>
      </c>
      <c r="L309" s="4" t="b">
        <f>K309 &gt; 0</f>
        <v>0</v>
      </c>
      <c r="M309" s="3" t="s">
        <v>2418</v>
      </c>
    </row>
    <row r="310">
      <c r="A310" s="3" t="s">
        <v>2914</v>
      </c>
      <c r="B310" s="4" t="str">
        <f>C310 &amp; "." &amp; D310</f>
        <v>Steps.UnusableBindingCount</v>
      </c>
      <c r="C310" s="3" t="s">
        <v>1778</v>
      </c>
      <c r="D310" s="3" t="s">
        <v>522</v>
      </c>
      <c r="E310" s="3" t="s">
        <v>2469</v>
      </c>
      <c r="F310" s="3" t="s">
        <v>2475</v>
      </c>
      <c r="G310" s="3" t="s">
        <v>2915</v>
      </c>
      <c r="H310" s="3" t="s">
        <v>2183</v>
      </c>
      <c r="I310" s="4" t="b">
        <f>OR(((E310 = "calculated")=TRUE), ((E310 = "lookup")=TRUE), ((E310 = "aggregation")=TRUE))</f>
        <v>1</v>
      </c>
      <c r="J310" s="4" t="b">
        <f>H310 &lt;&gt; ""</f>
        <v>1</v>
      </c>
      <c r="K310" s="4">
        <f>COUNTIFS(FieldDisagreements!D2:D50, A310)</f>
        <v>0</v>
      </c>
      <c r="L310" s="4" t="b">
        <f>K310 &gt; 0</f>
        <v>0</v>
      </c>
      <c r="M310" s="3" t="s">
        <v>2418</v>
      </c>
    </row>
    <row r="311">
      <c r="A311" s="3" t="s">
        <v>2916</v>
      </c>
      <c r="B311" s="4" t="str">
        <f>C311 &amp; "." &amp; D311</f>
        <v>Steps.AllSourcesUsable</v>
      </c>
      <c r="C311" s="3" t="s">
        <v>1778</v>
      </c>
      <c r="D311" s="3" t="s">
        <v>523</v>
      </c>
      <c r="E311" s="3" t="s">
        <v>2420</v>
      </c>
      <c r="F311" s="3" t="s">
        <v>2432</v>
      </c>
      <c r="G311" s="3" t="s">
        <v>2917</v>
      </c>
      <c r="H311" s="3" t="s">
        <v>2183</v>
      </c>
      <c r="I311" s="4" t="b">
        <f>OR(((E311 = "calculated")=TRUE), ((E311 = "lookup")=TRUE), ((E311 = "aggregation")=TRUE))</f>
        <v>1</v>
      </c>
      <c r="J311" s="4" t="b">
        <f>H311 &lt;&gt; ""</f>
        <v>1</v>
      </c>
      <c r="K311" s="4">
        <f>COUNTIFS(FieldDisagreements!D2:D50, A311)</f>
        <v>0</v>
      </c>
      <c r="L311" s="4" t="b">
        <f>K311 &gt; 0</f>
        <v>0</v>
      </c>
      <c r="M311" s="3" t="s">
        <v>2418</v>
      </c>
    </row>
    <row r="312">
      <c r="A312" s="3" t="s">
        <v>2918</v>
      </c>
      <c r="B312" s="4" t="str">
        <f>C312 &amp; "." &amp; D312</f>
        <v>Steps.ControlKind</v>
      </c>
      <c r="C312" s="3" t="s">
        <v>1778</v>
      </c>
      <c r="D312" s="3" t="s">
        <v>524</v>
      </c>
      <c r="E312" s="3" t="s">
        <v>2416</v>
      </c>
      <c r="F312" s="3" t="s">
        <v>2417</v>
      </c>
      <c r="G312" s="3"/>
      <c r="H312" s="3"/>
      <c r="I312" s="4" t="b">
        <f>OR(((E312 = "calculated")=TRUE), ((E312 = "lookup")=TRUE), ((E312 = "aggregation")=TRUE))</f>
        <v>0</v>
      </c>
      <c r="J312" s="4" t="b">
        <f>H312 &lt;&gt; ""</f>
        <v>0</v>
      </c>
      <c r="K312" s="4">
        <f>COUNTIFS(FieldDisagreements!D2:D50, A312)</f>
        <v>0</v>
      </c>
      <c r="L312" s="4" t="b">
        <f>K312 &gt; 0</f>
        <v>0</v>
      </c>
      <c r="M312" s="3" t="s">
        <v>2418</v>
      </c>
    </row>
    <row r="313">
      <c r="A313" s="3" t="s">
        <v>2919</v>
      </c>
      <c r="B313" s="4" t="str">
        <f>C313 &amp; "." &amp; D313</f>
        <v>Steps.UnwarrantedBoundaryCount</v>
      </c>
      <c r="C313" s="3" t="s">
        <v>1778</v>
      </c>
      <c r="D313" s="3" t="s">
        <v>525</v>
      </c>
      <c r="E313" s="3" t="s">
        <v>2469</v>
      </c>
      <c r="F313" s="3" t="s">
        <v>2475</v>
      </c>
      <c r="G313" s="3" t="s">
        <v>2920</v>
      </c>
      <c r="H313" s="3" t="s">
        <v>2203</v>
      </c>
      <c r="I313" s="4" t="b">
        <f>OR(((E313 = "calculated")=TRUE), ((E313 = "lookup")=TRUE), ((E313 = "aggregation")=TRUE))</f>
        <v>1</v>
      </c>
      <c r="J313" s="4" t="b">
        <f>H313 &lt;&gt; ""</f>
        <v>1</v>
      </c>
      <c r="K313" s="4">
        <f>COUNTIFS(FieldDisagreements!D2:D50, A313)</f>
        <v>0</v>
      </c>
      <c r="L313" s="4" t="b">
        <f>K313 &gt; 0</f>
        <v>0</v>
      </c>
      <c r="M313" s="3" t="s">
        <v>2418</v>
      </c>
    </row>
    <row r="314">
      <c r="A314" s="3" t="s">
        <v>2921</v>
      </c>
      <c r="B314" s="4" t="str">
        <f>C314 &amp; "." &amp; D314</f>
        <v>Steps.IsGovernedByUnwarrantedBoundary</v>
      </c>
      <c r="C314" s="3" t="s">
        <v>1778</v>
      </c>
      <c r="D314" s="3" t="s">
        <v>526</v>
      </c>
      <c r="E314" s="3" t="s">
        <v>2420</v>
      </c>
      <c r="F314" s="3" t="s">
        <v>2432</v>
      </c>
      <c r="G314" s="3" t="s">
        <v>2922</v>
      </c>
      <c r="H314" s="3" t="s">
        <v>2203</v>
      </c>
      <c r="I314" s="4" t="b">
        <f>OR(((E314 = "calculated")=TRUE), ((E314 = "lookup")=TRUE), ((E314 = "aggregation")=TRUE))</f>
        <v>1</v>
      </c>
      <c r="J314" s="4" t="b">
        <f>H314 &lt;&gt; ""</f>
        <v>1</v>
      </c>
      <c r="K314" s="4">
        <f>COUNTIFS(FieldDisagreements!D2:D50, A314)</f>
        <v>0</v>
      </c>
      <c r="L314" s="4" t="b">
        <f>K314 &gt; 0</f>
        <v>0</v>
      </c>
      <c r="M314" s="3" t="s">
        <v>2418</v>
      </c>
    </row>
    <row r="315">
      <c r="A315" s="3" t="s">
        <v>2923</v>
      </c>
      <c r="B315" s="4" t="str">
        <f>C315 &amp; "." &amp; D315</f>
        <v>Steps.SoftwareExecutionCount</v>
      </c>
      <c r="C315" s="3" t="s">
        <v>1778</v>
      </c>
      <c r="D315" s="3" t="s">
        <v>527</v>
      </c>
      <c r="E315" s="3" t="s">
        <v>2469</v>
      </c>
      <c r="F315" s="3" t="s">
        <v>2475</v>
      </c>
      <c r="G315" s="3" t="s">
        <v>2924</v>
      </c>
      <c r="H315" s="3" t="s">
        <v>2223</v>
      </c>
      <c r="I315" s="4" t="b">
        <f>OR(((E315 = "calculated")=TRUE), ((E315 = "lookup")=TRUE), ((E315 = "aggregation")=TRUE))</f>
        <v>1</v>
      </c>
      <c r="J315" s="4" t="b">
        <f>H315 &lt;&gt; ""</f>
        <v>1</v>
      </c>
      <c r="K315" s="4">
        <f>COUNTIFS(FieldDisagreements!D2:D50, A315)</f>
        <v>0</v>
      </c>
      <c r="L315" s="4" t="b">
        <f>K315 &gt; 0</f>
        <v>0</v>
      </c>
      <c r="M315" s="3" t="s">
        <v>2418</v>
      </c>
    </row>
    <row r="316">
      <c r="A316" s="3" t="s">
        <v>2925</v>
      </c>
      <c r="B316" s="4" t="str">
        <f>C316 &amp; "." &amp; D316</f>
        <v>Steps.HasBeenApproachedBySoftware</v>
      </c>
      <c r="C316" s="3" t="s">
        <v>1778</v>
      </c>
      <c r="D316" s="3" t="s">
        <v>528</v>
      </c>
      <c r="E316" s="3" t="s">
        <v>2420</v>
      </c>
      <c r="F316" s="3" t="s">
        <v>2432</v>
      </c>
      <c r="G316" s="3" t="s">
        <v>2926</v>
      </c>
      <c r="H316" s="3" t="s">
        <v>2223</v>
      </c>
      <c r="I316" s="4" t="b">
        <f>OR(((E316 = "calculated")=TRUE), ((E316 = "lookup")=TRUE), ((E316 = "aggregation")=TRUE))</f>
        <v>1</v>
      </c>
      <c r="J316" s="4" t="b">
        <f>H316 &lt;&gt; ""</f>
        <v>1</v>
      </c>
      <c r="K316" s="4">
        <f>COUNTIFS(FieldDisagreements!D2:D50, A316)</f>
        <v>0</v>
      </c>
      <c r="L316" s="4" t="b">
        <f>K316 &gt; 0</f>
        <v>0</v>
      </c>
      <c r="M316" s="3" t="s">
        <v>2418</v>
      </c>
    </row>
    <row r="317">
      <c r="A317" s="3" t="s">
        <v>2927</v>
      </c>
      <c r="B317" s="4" t="str">
        <f>C317 &amp; "." &amp; D317</f>
        <v>Steps.IsUnexercisedHumanGate</v>
      </c>
      <c r="C317" s="3" t="s">
        <v>1778</v>
      </c>
      <c r="D317" s="3" t="s">
        <v>529</v>
      </c>
      <c r="E317" s="3" t="s">
        <v>2420</v>
      </c>
      <c r="F317" s="3" t="s">
        <v>2432</v>
      </c>
      <c r="G317" s="3" t="s">
        <v>2928</v>
      </c>
      <c r="H317" s="3" t="s">
        <v>2223</v>
      </c>
      <c r="I317" s="4" t="b">
        <f>OR(((E317 = "calculated")=TRUE), ((E317 = "lookup")=TRUE), ((E317 = "aggregation")=TRUE))</f>
        <v>1</v>
      </c>
      <c r="J317" s="4" t="b">
        <f>H317 &lt;&gt; ""</f>
        <v>1</v>
      </c>
      <c r="K317" s="4">
        <f>COUNTIFS(FieldDisagreements!D2:D50, A317)</f>
        <v>0</v>
      </c>
      <c r="L317" s="4" t="b">
        <f>K317 &gt; 0</f>
        <v>0</v>
      </c>
      <c r="M317" s="3" t="s">
        <v>2418</v>
      </c>
    </row>
    <row r="318">
      <c r="A318" s="3" t="s">
        <v>2929</v>
      </c>
      <c r="B318" s="4" t="str">
        <f>C318 &amp; "." &amp; D318</f>
        <v>Steps.IsDemonstratedHumanGate</v>
      </c>
      <c r="C318" s="3" t="s">
        <v>1778</v>
      </c>
      <c r="D318" s="3" t="s">
        <v>530</v>
      </c>
      <c r="E318" s="3" t="s">
        <v>2420</v>
      </c>
      <c r="F318" s="3" t="s">
        <v>2432</v>
      </c>
      <c r="G318" s="3" t="s">
        <v>2930</v>
      </c>
      <c r="H318" s="3" t="s">
        <v>2223</v>
      </c>
      <c r="I318" s="4" t="b">
        <f>OR(((E318 = "calculated")=TRUE), ((E318 = "lookup")=TRUE), ((E318 = "aggregation")=TRUE))</f>
        <v>1</v>
      </c>
      <c r="J318" s="4" t="b">
        <f>H318 &lt;&gt; ""</f>
        <v>1</v>
      </c>
      <c r="K318" s="4">
        <f>COUNTIFS(FieldDisagreements!D2:D50, A318)</f>
        <v>0</v>
      </c>
      <c r="L318" s="4" t="b">
        <f>K318 &gt; 0</f>
        <v>0</v>
      </c>
      <c r="M318" s="3" t="s">
        <v>2418</v>
      </c>
    </row>
    <row r="319">
      <c r="A319" s="3" t="s">
        <v>2931</v>
      </c>
      <c r="B319" s="4" t="str">
        <f>C319 &amp; "." &amp; D319</f>
        <v>Steps.UnexercisedGateVersionKey</v>
      </c>
      <c r="C319" s="3" t="s">
        <v>1778</v>
      </c>
      <c r="D319" s="3" t="s">
        <v>531</v>
      </c>
      <c r="E319" s="3" t="s">
        <v>2420</v>
      </c>
      <c r="F319" s="3" t="s">
        <v>2417</v>
      </c>
      <c r="G319" s="3" t="s">
        <v>2932</v>
      </c>
      <c r="H319" s="3" t="s">
        <v>2223</v>
      </c>
      <c r="I319" s="4" t="b">
        <f>OR(((E319 = "calculated")=TRUE), ((E319 = "lookup")=TRUE), ((E319 = "aggregation")=TRUE))</f>
        <v>1</v>
      </c>
      <c r="J319" s="4" t="b">
        <f>H319 &lt;&gt; ""</f>
        <v>1</v>
      </c>
      <c r="K319" s="4">
        <f>COUNTIFS(FieldDisagreements!D2:D50, A319)</f>
        <v>0</v>
      </c>
      <c r="L319" s="4" t="b">
        <f>K319 &gt; 0</f>
        <v>0</v>
      </c>
      <c r="M319" s="3" t="s">
        <v>2418</v>
      </c>
    </row>
    <row r="320">
      <c r="A320" s="3" t="s">
        <v>2933</v>
      </c>
      <c r="B320" s="4" t="str">
        <f>C320 &amp; "." &amp; D320</f>
        <v>Steps.HasDeclaredControlKind</v>
      </c>
      <c r="C320" s="3" t="s">
        <v>1778</v>
      </c>
      <c r="D320" s="3" t="s">
        <v>532</v>
      </c>
      <c r="E320" s="3" t="s">
        <v>2420</v>
      </c>
      <c r="F320" s="3" t="s">
        <v>2432</v>
      </c>
      <c r="G320" s="3" t="s">
        <v>2934</v>
      </c>
      <c r="H320" s="3" t="s">
        <v>2255</v>
      </c>
      <c r="I320" s="4" t="b">
        <f>OR(((E320 = "calculated")=TRUE), ((E320 = "lookup")=TRUE), ((E320 = "aggregation")=TRUE))</f>
        <v>1</v>
      </c>
      <c r="J320" s="4" t="b">
        <f>H320 &lt;&gt; ""</f>
        <v>1</v>
      </c>
      <c r="K320" s="4">
        <f>COUNTIFS(FieldDisagreements!D2:D50, A320)</f>
        <v>0</v>
      </c>
      <c r="L320" s="4" t="b">
        <f>K320 &gt; 0</f>
        <v>0</v>
      </c>
      <c r="M320" s="3" t="s">
        <v>2418</v>
      </c>
    </row>
    <row r="321">
      <c r="A321" s="3" t="s">
        <v>2935</v>
      </c>
      <c r="B321" s="4" t="str">
        <f>C321 &amp; "." &amp; D321</f>
        <v>Steps.UndeclaredControlVersionKey</v>
      </c>
      <c r="C321" s="3" t="s">
        <v>1778</v>
      </c>
      <c r="D321" s="3" t="s">
        <v>533</v>
      </c>
      <c r="E321" s="3" t="s">
        <v>2420</v>
      </c>
      <c r="F321" s="3" t="s">
        <v>2417</v>
      </c>
      <c r="G321" s="3" t="s">
        <v>2936</v>
      </c>
      <c r="H321" s="3" t="s">
        <v>2255</v>
      </c>
      <c r="I321" s="4" t="b">
        <f>OR(((E321 = "calculated")=TRUE), ((E321 = "lookup")=TRUE), ((E321 = "aggregation")=TRUE))</f>
        <v>1</v>
      </c>
      <c r="J321" s="4" t="b">
        <f>H321 &lt;&gt; ""</f>
        <v>1</v>
      </c>
      <c r="K321" s="4">
        <f>COUNTIFS(FieldDisagreements!D2:D50, A321)</f>
        <v>0</v>
      </c>
      <c r="L321" s="4" t="b">
        <f>K321 &gt; 0</f>
        <v>0</v>
      </c>
      <c r="M321" s="3" t="s">
        <v>2418</v>
      </c>
    </row>
    <row r="322">
      <c r="A322" s="3" t="s">
        <v>2937</v>
      </c>
      <c r="B322" s="4" t="str">
        <f>C322 &amp; "." &amp; D322</f>
        <v>Steps.ApprovalStepIsSoftwareAssigned</v>
      </c>
      <c r="C322" s="3" t="s">
        <v>1778</v>
      </c>
      <c r="D322" s="3" t="s">
        <v>534</v>
      </c>
      <c r="E322" s="3" t="s">
        <v>2420</v>
      </c>
      <c r="F322" s="3" t="s">
        <v>2432</v>
      </c>
      <c r="G322" s="3" t="s">
        <v>2938</v>
      </c>
      <c r="H322" s="3" t="s">
        <v>2255</v>
      </c>
      <c r="I322" s="4" t="b">
        <f>OR(((E322 = "calculated")=TRUE), ((E322 = "lookup")=TRUE), ((E322 = "aggregation")=TRUE))</f>
        <v>1</v>
      </c>
      <c r="J322" s="4" t="b">
        <f>H322 &lt;&gt; ""</f>
        <v>1</v>
      </c>
      <c r="K322" s="4">
        <f>COUNTIFS(FieldDisagreements!D2:D50, A322)</f>
        <v>0</v>
      </c>
      <c r="L322" s="4" t="b">
        <f>K322 &gt; 0</f>
        <v>0</v>
      </c>
      <c r="M322" s="3" t="s">
        <v>2418</v>
      </c>
    </row>
    <row r="323">
      <c r="A323" s="3" t="s">
        <v>2939</v>
      </c>
      <c r="B323" s="4" t="str">
        <f>C323 &amp; "." &amp; D323</f>
        <v>Steps.UnwitnessedBlockingCount</v>
      </c>
      <c r="C323" s="3" t="s">
        <v>1778</v>
      </c>
      <c r="D323" s="3" t="s">
        <v>535</v>
      </c>
      <c r="E323" s="3" t="s">
        <v>2469</v>
      </c>
      <c r="F323" s="3" t="s">
        <v>2475</v>
      </c>
      <c r="G323" s="3" t="s">
        <v>2940</v>
      </c>
      <c r="H323" s="3" t="s">
        <v>2267</v>
      </c>
      <c r="I323" s="4" t="b">
        <f>OR(((E323 = "calculated")=TRUE), ((E323 = "lookup")=TRUE), ((E323 = "aggregation")=TRUE))</f>
        <v>1</v>
      </c>
      <c r="J323" s="4" t="b">
        <f>H323 &lt;&gt; ""</f>
        <v>1</v>
      </c>
      <c r="K323" s="4">
        <f>COUNTIFS(FieldDisagreements!D2:D50, A323)</f>
        <v>0</v>
      </c>
      <c r="L323" s="4" t="b">
        <f>K323 &gt; 0</f>
        <v>0</v>
      </c>
      <c r="M323" s="3" t="s">
        <v>2418</v>
      </c>
    </row>
    <row r="324">
      <c r="A324" s="3" t="s">
        <v>2941</v>
      </c>
      <c r="B324" s="4" t="str">
        <f>C324 &amp; "." &amp; D324</f>
        <v>Steps.ReachableStepCount</v>
      </c>
      <c r="C324" s="3" t="s">
        <v>1778</v>
      </c>
      <c r="D324" s="3" t="s">
        <v>536</v>
      </c>
      <c r="E324" s="3" t="s">
        <v>2469</v>
      </c>
      <c r="F324" s="3" t="s">
        <v>2470</v>
      </c>
      <c r="G324" s="3" t="s">
        <v>2942</v>
      </c>
      <c r="H324" s="3" t="s">
        <v>2396</v>
      </c>
      <c r="I324" s="4" t="b">
        <f>OR(((E324 = "calculated")=TRUE), ((E324 = "lookup")=TRUE), ((E324 = "aggregation")=TRUE))</f>
        <v>1</v>
      </c>
      <c r="J324" s="4" t="b">
        <f>H324 &lt;&gt; ""</f>
        <v>1</v>
      </c>
      <c r="K324" s="4">
        <f>COUNTIFS(FieldDisagreements!D2:D50, A324)</f>
        <v>1</v>
      </c>
      <c r="L324" s="4" t="b">
        <f>K324 &gt; 0</f>
        <v>1</v>
      </c>
      <c r="M324" s="3" t="s">
        <v>2418</v>
      </c>
    </row>
    <row r="325">
      <c r="A325" s="3" t="s">
        <v>2943</v>
      </c>
      <c r="B325" s="4" t="str">
        <f>C325 &amp; "." &amp; D325</f>
        <v>Steps.ReachedFromStepCount</v>
      </c>
      <c r="C325" s="3" t="s">
        <v>1778</v>
      </c>
      <c r="D325" s="3" t="s">
        <v>537</v>
      </c>
      <c r="E325" s="3" t="s">
        <v>2469</v>
      </c>
      <c r="F325" s="3" t="s">
        <v>2470</v>
      </c>
      <c r="G325" s="3" t="s">
        <v>2944</v>
      </c>
      <c r="H325" s="3" t="s">
        <v>2396</v>
      </c>
      <c r="I325" s="4" t="b">
        <f>OR(((E325 = "calculated")=TRUE), ((E325 = "lookup")=TRUE), ((E325 = "aggregation")=TRUE))</f>
        <v>1</v>
      </c>
      <c r="J325" s="4" t="b">
        <f>H325 &lt;&gt; ""</f>
        <v>1</v>
      </c>
      <c r="K325" s="4">
        <f>COUNTIFS(FieldDisagreements!D2:D50, A325)</f>
        <v>1</v>
      </c>
      <c r="L325" s="4" t="b">
        <f>K325 &gt; 0</f>
        <v>1</v>
      </c>
      <c r="M325" s="3" t="s">
        <v>2418</v>
      </c>
    </row>
    <row r="326">
      <c r="A326" s="3" t="s">
        <v>2945</v>
      </c>
      <c r="B326" s="4" t="str">
        <f>C326 &amp; "." &amp; D326</f>
        <v>Steps.SelfReachCount</v>
      </c>
      <c r="C326" s="3" t="s">
        <v>1778</v>
      </c>
      <c r="D326" s="3" t="s">
        <v>538</v>
      </c>
      <c r="E326" s="3" t="s">
        <v>2469</v>
      </c>
      <c r="F326" s="3" t="s">
        <v>2470</v>
      </c>
      <c r="G326" s="3" t="s">
        <v>2946</v>
      </c>
      <c r="H326" s="3" t="s">
        <v>2396</v>
      </c>
      <c r="I326" s="4" t="b">
        <f>OR(((E326 = "calculated")=TRUE), ((E326 = "lookup")=TRUE), ((E326 = "aggregation")=TRUE))</f>
        <v>1</v>
      </c>
      <c r="J326" s="4" t="b">
        <f>H326 &lt;&gt; ""</f>
        <v>1</v>
      </c>
      <c r="K326" s="4">
        <f>COUNTIFS(FieldDisagreements!D2:D50, A326)</f>
        <v>1</v>
      </c>
      <c r="L326" s="4" t="b">
        <f>K326 &gt; 0</f>
        <v>1</v>
      </c>
      <c r="M326" s="3" t="s">
        <v>2418</v>
      </c>
    </row>
    <row r="327">
      <c r="A327" s="3" t="s">
        <v>2947</v>
      </c>
      <c r="B327" s="4" t="str">
        <f>C327 &amp; "." &amp; D327</f>
        <v>Steps.IsOnReworkLoop</v>
      </c>
      <c r="C327" s="3" t="s">
        <v>1778</v>
      </c>
      <c r="D327" s="3" t="s">
        <v>539</v>
      </c>
      <c r="E327" s="3" t="s">
        <v>2420</v>
      </c>
      <c r="F327" s="3" t="s">
        <v>2432</v>
      </c>
      <c r="G327" s="3" t="s">
        <v>2948</v>
      </c>
      <c r="H327" s="3" t="s">
        <v>2396</v>
      </c>
      <c r="I327" s="4" t="b">
        <f>OR(((E327 = "calculated")=TRUE), ((E327 = "lookup")=TRUE), ((E327 = "aggregation")=TRUE))</f>
        <v>1</v>
      </c>
      <c r="J327" s="4" t="b">
        <f>H327 &lt;&gt; ""</f>
        <v>1</v>
      </c>
      <c r="K327" s="4">
        <f>COUNTIFS(FieldDisagreements!D2:D50, A327)</f>
        <v>1</v>
      </c>
      <c r="L327" s="4" t="b">
        <f>K327 &gt; 0</f>
        <v>1</v>
      </c>
      <c r="M327" s="3" t="s">
        <v>2418</v>
      </c>
    </row>
    <row r="328">
      <c r="A328" s="3" t="s">
        <v>2949</v>
      </c>
      <c r="B328" s="4" t="str">
        <f>C328 &amp; "." &amp; D328</f>
        <v>Steps.IsBlockingControlOnReworkLoop</v>
      </c>
      <c r="C328" s="3" t="s">
        <v>1778</v>
      </c>
      <c r="D328" s="3" t="s">
        <v>540</v>
      </c>
      <c r="E328" s="3" t="s">
        <v>2420</v>
      </c>
      <c r="F328" s="3" t="s">
        <v>2432</v>
      </c>
      <c r="G328" s="3" t="s">
        <v>2950</v>
      </c>
      <c r="H328" s="3" t="s">
        <v>2396</v>
      </c>
      <c r="I328" s="4" t="b">
        <f>OR(((E328 = "calculated")=TRUE), ((E328 = "lookup")=TRUE), ((E328 = "aggregation")=TRUE))</f>
        <v>1</v>
      </c>
      <c r="J328" s="4" t="b">
        <f>H328 &lt;&gt; ""</f>
        <v>1</v>
      </c>
      <c r="K328" s="4">
        <f>COUNTIFS(FieldDisagreements!D2:D50, A328)</f>
        <v>1</v>
      </c>
      <c r="L328" s="4" t="b">
        <f>K328 &gt; 0</f>
        <v>1</v>
      </c>
      <c r="M328" s="3" t="s">
        <v>2418</v>
      </c>
    </row>
    <row r="329">
      <c r="A329" s="3" t="s">
        <v>2951</v>
      </c>
      <c r="B329" s="4" t="str">
        <f>C329 &amp; "." &amp; D329</f>
        <v>Steps.IncomingTransitionCount</v>
      </c>
      <c r="C329" s="3" t="s">
        <v>1778</v>
      </c>
      <c r="D329" s="3" t="s">
        <v>541</v>
      </c>
      <c r="E329" s="3" t="s">
        <v>2469</v>
      </c>
      <c r="F329" s="3" t="s">
        <v>2470</v>
      </c>
      <c r="G329" s="3" t="s">
        <v>2952</v>
      </c>
      <c r="H329" s="3" t="s">
        <v>2400</v>
      </c>
      <c r="I329" s="4" t="b">
        <f>OR(((E329 = "calculated")=TRUE), ((E329 = "lookup")=TRUE), ((E329 = "aggregation")=TRUE))</f>
        <v>1</v>
      </c>
      <c r="J329" s="4" t="b">
        <f>H329 &lt;&gt; ""</f>
        <v>1</v>
      </c>
      <c r="K329" s="4">
        <f>COUNTIFS(FieldDisagreements!D2:D50, A329)</f>
        <v>0</v>
      </c>
      <c r="L329" s="4" t="b">
        <f>K329 &gt; 0</f>
        <v>0</v>
      </c>
      <c r="M329" s="3" t="s">
        <v>2418</v>
      </c>
    </row>
    <row r="330">
      <c r="A330" s="3" t="s">
        <v>2953</v>
      </c>
      <c r="B330" s="4" t="str">
        <f>C330 &amp; "." &amp; D330</f>
        <v>Steps.IsEntryStep</v>
      </c>
      <c r="C330" s="3" t="s">
        <v>1778</v>
      </c>
      <c r="D330" s="3" t="s">
        <v>542</v>
      </c>
      <c r="E330" s="3" t="s">
        <v>2420</v>
      </c>
      <c r="F330" s="3" t="s">
        <v>2432</v>
      </c>
      <c r="G330" s="3" t="s">
        <v>2954</v>
      </c>
      <c r="H330" s="3" t="s">
        <v>2400</v>
      </c>
      <c r="I330" s="4" t="b">
        <f>OR(((E330 = "calculated")=TRUE), ((E330 = "lookup")=TRUE), ((E330 = "aggregation")=TRUE))</f>
        <v>1</v>
      </c>
      <c r="J330" s="4" t="b">
        <f>H330 &lt;&gt; ""</f>
        <v>1</v>
      </c>
      <c r="K330" s="4">
        <f>COUNTIFS(FieldDisagreements!D2:D50, A330)</f>
        <v>0</v>
      </c>
      <c r="L330" s="4" t="b">
        <f>K330 &gt; 0</f>
        <v>0</v>
      </c>
      <c r="M330" s="3" t="s">
        <v>2418</v>
      </c>
    </row>
    <row r="331">
      <c r="A331" s="3" t="s">
        <v>2955</v>
      </c>
      <c r="B331" s="4" t="str">
        <f>C331 &amp; "." &amp; D331</f>
        <v>Steps.EntryStepKey</v>
      </c>
      <c r="C331" s="3" t="s">
        <v>1778</v>
      </c>
      <c r="D331" s="3" t="s">
        <v>543</v>
      </c>
      <c r="E331" s="3" t="s">
        <v>2420</v>
      </c>
      <c r="F331" s="3" t="s">
        <v>2417</v>
      </c>
      <c r="G331" s="3" t="s">
        <v>2956</v>
      </c>
      <c r="H331" s="3" t="s">
        <v>2400</v>
      </c>
      <c r="I331" s="4" t="b">
        <f>OR(((E331 = "calculated")=TRUE), ((E331 = "lookup")=TRUE), ((E331 = "aggregation")=TRUE))</f>
        <v>1</v>
      </c>
      <c r="J331" s="4" t="b">
        <f>H331 &lt;&gt; ""</f>
        <v>1</v>
      </c>
      <c r="K331" s="4">
        <f>COUNTIFS(FieldDisagreements!D2:D50, A331)</f>
        <v>0</v>
      </c>
      <c r="L331" s="4" t="b">
        <f>K331 &gt; 0</f>
        <v>0</v>
      </c>
      <c r="M331" s="3" t="s">
        <v>2418</v>
      </c>
    </row>
    <row r="332">
      <c r="A332" s="3" t="s">
        <v>2957</v>
      </c>
      <c r="B332" s="4" t="str">
        <f>C332 &amp; "." &amp; D332</f>
        <v>Steps.VersionEntryStepId</v>
      </c>
      <c r="C332" s="3" t="s">
        <v>1778</v>
      </c>
      <c r="D332" s="3" t="s">
        <v>544</v>
      </c>
      <c r="E332" s="3" t="s">
        <v>2509</v>
      </c>
      <c r="F332" s="3" t="s">
        <v>2417</v>
      </c>
      <c r="G332" s="3" t="s">
        <v>2958</v>
      </c>
      <c r="H332" s="3" t="s">
        <v>2400</v>
      </c>
      <c r="I332" s="4" t="b">
        <f>OR(((E332 = "calculated")=TRUE), ((E332 = "lookup")=TRUE), ((E332 = "aggregation")=TRUE))</f>
        <v>1</v>
      </c>
      <c r="J332" s="4" t="b">
        <f>H332 &lt;&gt; ""</f>
        <v>1</v>
      </c>
      <c r="K332" s="4">
        <f>COUNTIFS(FieldDisagreements!D2:D50, A332)</f>
        <v>1</v>
      </c>
      <c r="L332" s="4" t="b">
        <f>K332 &gt; 0</f>
        <v>1</v>
      </c>
      <c r="M332" s="3" t="s">
        <v>2418</v>
      </c>
    </row>
    <row r="333">
      <c r="A333" s="3" t="s">
        <v>2959</v>
      </c>
      <c r="B333" s="4" t="str">
        <f>C333 &amp; "." &amp; D333</f>
        <v>Steps.GateFreeReachFromEntryCount</v>
      </c>
      <c r="C333" s="3" t="s">
        <v>1778</v>
      </c>
      <c r="D333" s="3" t="s">
        <v>545</v>
      </c>
      <c r="E333" s="3" t="s">
        <v>2469</v>
      </c>
      <c r="F333" s="3" t="s">
        <v>2470</v>
      </c>
      <c r="G333" s="3" t="s">
        <v>2960</v>
      </c>
      <c r="H333" s="3" t="s">
        <v>2400</v>
      </c>
      <c r="I333" s="4" t="b">
        <f>OR(((E333 = "calculated")=TRUE), ((E333 = "lookup")=TRUE), ((E333 = "aggregation")=TRUE))</f>
        <v>1</v>
      </c>
      <c r="J333" s="4" t="b">
        <f>H333 &lt;&gt; ""</f>
        <v>1</v>
      </c>
      <c r="K333" s="4">
        <f>COUNTIFS(FieldDisagreements!D2:D50, A333)</f>
        <v>1</v>
      </c>
      <c r="L333" s="4" t="b">
        <f>K333 &gt; 0</f>
        <v>1</v>
      </c>
      <c r="M333" s="3" t="s">
        <v>2418</v>
      </c>
    </row>
    <row r="334">
      <c r="A334" s="3" t="s">
        <v>2961</v>
      </c>
      <c r="B334" s="4" t="str">
        <f>C334 &amp; "." &amp; D334</f>
        <v>Steps.IsReachableFromEntryWithoutHumanGate</v>
      </c>
      <c r="C334" s="3" t="s">
        <v>1778</v>
      </c>
      <c r="D334" s="3" t="s">
        <v>546</v>
      </c>
      <c r="E334" s="3" t="s">
        <v>2420</v>
      </c>
      <c r="F334" s="3" t="s">
        <v>2432</v>
      </c>
      <c r="G334" s="3" t="s">
        <v>2962</v>
      </c>
      <c r="H334" s="3" t="s">
        <v>2400</v>
      </c>
      <c r="I334" s="4" t="b">
        <f>OR(((E334 = "calculated")=TRUE), ((E334 = "lookup")=TRUE), ((E334 = "aggregation")=TRUE))</f>
        <v>1</v>
      </c>
      <c r="J334" s="4" t="b">
        <f>H334 &lt;&gt; ""</f>
        <v>1</v>
      </c>
      <c r="K334" s="4">
        <f>COUNTIFS(FieldDisagreements!D2:D50, A334)</f>
        <v>1</v>
      </c>
      <c r="L334" s="4" t="b">
        <f>K334 &gt; 0</f>
        <v>1</v>
      </c>
      <c r="M334" s="3" t="s">
        <v>2418</v>
      </c>
    </row>
    <row r="335">
      <c r="A335" s="3" t="s">
        <v>2963</v>
      </c>
      <c r="B335" s="4" t="str">
        <f>C335 &amp; "." &amp; D335</f>
        <v>Steps.IsGateBypassedPublication</v>
      </c>
      <c r="C335" s="3" t="s">
        <v>1778</v>
      </c>
      <c r="D335" s="3" t="s">
        <v>547</v>
      </c>
      <c r="E335" s="3" t="s">
        <v>2420</v>
      </c>
      <c r="F335" s="3" t="s">
        <v>2432</v>
      </c>
      <c r="G335" s="3" t="s">
        <v>2964</v>
      </c>
      <c r="H335" s="3" t="s">
        <v>2400</v>
      </c>
      <c r="I335" s="4" t="b">
        <f>OR(((E335 = "calculated")=TRUE), ((E335 = "lookup")=TRUE), ((E335 = "aggregation")=TRUE))</f>
        <v>1</v>
      </c>
      <c r="J335" s="4" t="b">
        <f>H335 &lt;&gt; ""</f>
        <v>1</v>
      </c>
      <c r="K335" s="4">
        <f>COUNTIFS(FieldDisagreements!D2:D50, A335)</f>
        <v>1</v>
      </c>
      <c r="L335" s="4" t="b">
        <f>K335 &gt; 0</f>
        <v>1</v>
      </c>
      <c r="M335" s="3" t="s">
        <v>2418</v>
      </c>
    </row>
    <row r="336">
      <c r="A336" s="3" t="s">
        <v>2965</v>
      </c>
      <c r="B336" s="4" t="str">
        <f>C336 &amp; "." &amp; D336</f>
        <v>Steps.SemanticTypeIri</v>
      </c>
      <c r="C336" s="3" t="s">
        <v>1778</v>
      </c>
      <c r="D336" s="3" t="s">
        <v>94</v>
      </c>
      <c r="E336" s="3" t="s">
        <v>2416</v>
      </c>
      <c r="F336" s="3" t="s">
        <v>2417</v>
      </c>
      <c r="G336" s="3"/>
      <c r="H336" s="3"/>
      <c r="I336" s="4" t="b">
        <f>OR(((E336 = "calculated")=TRUE), ((E336 = "lookup")=TRUE), ((E336 = "aggregation")=TRUE))</f>
        <v>0</v>
      </c>
      <c r="J336" s="4" t="b">
        <f>H336 &lt;&gt; ""</f>
        <v>0</v>
      </c>
      <c r="K336" s="4">
        <f>COUNTIFS(FieldDisagreements!D2:D50, A336)</f>
        <v>0</v>
      </c>
      <c r="L336" s="4" t="b">
        <f>K336 &gt; 0</f>
        <v>0</v>
      </c>
      <c r="M336" s="3" t="s">
        <v>2418</v>
      </c>
    </row>
    <row r="337">
      <c r="A337" s="3" t="s">
        <v>2966</v>
      </c>
      <c r="B337" s="4" t="str">
        <f>C337 &amp; "." &amp; D337</f>
        <v>StepTransitions.StepTransitionId</v>
      </c>
      <c r="C337" s="3" t="s">
        <v>1784</v>
      </c>
      <c r="D337" s="3" t="s">
        <v>621</v>
      </c>
      <c r="E337" s="3" t="s">
        <v>2416</v>
      </c>
      <c r="F337" s="3" t="s">
        <v>2417</v>
      </c>
      <c r="G337" s="3"/>
      <c r="H337" s="3"/>
      <c r="I337" s="4" t="b">
        <f>OR(((E337 = "calculated")=TRUE), ((E337 = "lookup")=TRUE), ((E337 = "aggregation")=TRUE))</f>
        <v>0</v>
      </c>
      <c r="J337" s="4" t="b">
        <f>H337 &lt;&gt; ""</f>
        <v>0</v>
      </c>
      <c r="K337" s="4">
        <f>COUNTIFS(FieldDisagreements!D2:D50, A337)</f>
        <v>0</v>
      </c>
      <c r="L337" s="4" t="b">
        <f>K337 &gt; 0</f>
        <v>0</v>
      </c>
      <c r="M337" s="3" t="s">
        <v>2418</v>
      </c>
    </row>
    <row r="338">
      <c r="A338" s="3" t="s">
        <v>2967</v>
      </c>
      <c r="B338" s="4" t="str">
        <f>C338 &amp; "." &amp; D338</f>
        <v>StepTransitions.Name</v>
      </c>
      <c r="C338" s="3" t="s">
        <v>1784</v>
      </c>
      <c r="D338" s="3" t="s">
        <v>1</v>
      </c>
      <c r="E338" s="3" t="s">
        <v>2420</v>
      </c>
      <c r="F338" s="3" t="s">
        <v>2417</v>
      </c>
      <c r="G338" s="3" t="s">
        <v>2968</v>
      </c>
      <c r="H338" s="3"/>
      <c r="I338" s="4" t="b">
        <f>OR(((E338 = "calculated")=TRUE), ((E338 = "lookup")=TRUE), ((E338 = "aggregation")=TRUE))</f>
        <v>1</v>
      </c>
      <c r="J338" s="4" t="b">
        <f>H338 &lt;&gt; ""</f>
        <v>0</v>
      </c>
      <c r="K338" s="4">
        <f>COUNTIFS(FieldDisagreements!D2:D50, A338)</f>
        <v>0</v>
      </c>
      <c r="L338" s="4" t="b">
        <f>K338 &gt; 0</f>
        <v>0</v>
      </c>
      <c r="M338" s="3" t="s">
        <v>2418</v>
      </c>
    </row>
    <row r="339">
      <c r="A339" s="3" t="s">
        <v>2969</v>
      </c>
      <c r="B339" s="4" t="str">
        <f>C339 &amp; "." &amp; D339</f>
        <v>StepTransitions.ProcedureVersion</v>
      </c>
      <c r="C339" s="3" t="s">
        <v>1784</v>
      </c>
      <c r="D339" s="3" t="s">
        <v>478</v>
      </c>
      <c r="E339" s="3" t="s">
        <v>2465</v>
      </c>
      <c r="F339" s="3" t="s">
        <v>2417</v>
      </c>
      <c r="G339" s="3"/>
      <c r="H339" s="3"/>
      <c r="I339" s="4" t="b">
        <f>OR(((E339 = "calculated")=TRUE), ((E339 = "lookup")=TRUE), ((E339 = "aggregation")=TRUE))</f>
        <v>0</v>
      </c>
      <c r="J339" s="4" t="b">
        <f>H339 &lt;&gt; ""</f>
        <v>0</v>
      </c>
      <c r="K339" s="4">
        <f>COUNTIFS(FieldDisagreements!D2:D50, A339)</f>
        <v>0</v>
      </c>
      <c r="L339" s="4" t="b">
        <f>K339 &gt; 0</f>
        <v>0</v>
      </c>
      <c r="M339" s="3" t="s">
        <v>2418</v>
      </c>
    </row>
    <row r="340">
      <c r="A340" s="3" t="s">
        <v>1787</v>
      </c>
      <c r="B340" s="4" t="str">
        <f>C340 &amp; "." &amp; D340</f>
        <v>StepTransitions.FromStep</v>
      </c>
      <c r="C340" s="3" t="s">
        <v>1784</v>
      </c>
      <c r="D340" s="3" t="s">
        <v>622</v>
      </c>
      <c r="E340" s="3" t="s">
        <v>2465</v>
      </c>
      <c r="F340" s="3" t="s">
        <v>2417</v>
      </c>
      <c r="G340" s="3"/>
      <c r="H340" s="3"/>
      <c r="I340" s="4" t="b">
        <f>OR(((E340 = "calculated")=TRUE), ((E340 = "lookup")=TRUE), ((E340 = "aggregation")=TRUE))</f>
        <v>0</v>
      </c>
      <c r="J340" s="4" t="b">
        <f>H340 &lt;&gt; ""</f>
        <v>0</v>
      </c>
      <c r="K340" s="4">
        <f>COUNTIFS(FieldDisagreements!D2:D50, A340)</f>
        <v>0</v>
      </c>
      <c r="L340" s="4" t="b">
        <f>K340 &gt; 0</f>
        <v>0</v>
      </c>
      <c r="M340" s="3" t="s">
        <v>2418</v>
      </c>
    </row>
    <row r="341">
      <c r="A341" s="3" t="s">
        <v>1792</v>
      </c>
      <c r="B341" s="4" t="str">
        <f>C341 &amp; "." &amp; D341</f>
        <v>StepTransitions.ToStep</v>
      </c>
      <c r="C341" s="3" t="s">
        <v>1784</v>
      </c>
      <c r="D341" s="3" t="s">
        <v>623</v>
      </c>
      <c r="E341" s="3" t="s">
        <v>2465</v>
      </c>
      <c r="F341" s="3" t="s">
        <v>2417</v>
      </c>
      <c r="G341" s="3"/>
      <c r="H341" s="3"/>
      <c r="I341" s="4" t="b">
        <f>OR(((E341 = "calculated")=TRUE), ((E341 = "lookup")=TRUE), ((E341 = "aggregation")=TRUE))</f>
        <v>0</v>
      </c>
      <c r="J341" s="4" t="b">
        <f>H341 &lt;&gt; ""</f>
        <v>0</v>
      </c>
      <c r="K341" s="4">
        <f>COUNTIFS(FieldDisagreements!D2:D50, A341)</f>
        <v>0</v>
      </c>
      <c r="L341" s="4" t="b">
        <f>K341 &gt; 0</f>
        <v>0</v>
      </c>
      <c r="M341" s="3" t="s">
        <v>2418</v>
      </c>
    </row>
    <row r="342">
      <c r="A342" s="3" t="s">
        <v>2970</v>
      </c>
      <c r="B342" s="4" t="str">
        <f>C342 &amp; "." &amp; D342</f>
        <v>StepTransitions.TransitionKind</v>
      </c>
      <c r="C342" s="3" t="s">
        <v>1784</v>
      </c>
      <c r="D342" s="3" t="s">
        <v>624</v>
      </c>
      <c r="E342" s="3" t="s">
        <v>2416</v>
      </c>
      <c r="F342" s="3" t="s">
        <v>2417</v>
      </c>
      <c r="G342" s="3"/>
      <c r="H342" s="3"/>
      <c r="I342" s="4" t="b">
        <f>OR(((E342 = "calculated")=TRUE), ((E342 = "lookup")=TRUE), ((E342 = "aggregation")=TRUE))</f>
        <v>0</v>
      </c>
      <c r="J342" s="4" t="b">
        <f>H342 &lt;&gt; ""</f>
        <v>0</v>
      </c>
      <c r="K342" s="4">
        <f>COUNTIFS(FieldDisagreements!D2:D50, A342)</f>
        <v>0</v>
      </c>
      <c r="L342" s="4" t="b">
        <f>K342 &gt; 0</f>
        <v>0</v>
      </c>
      <c r="M342" s="3" t="s">
        <v>2418</v>
      </c>
    </row>
    <row r="343">
      <c r="A343" s="3" t="s">
        <v>2971</v>
      </c>
      <c r="B343" s="4" t="str">
        <f>C343 &amp; "." &amp; D343</f>
        <v>StepTransitions.Condition</v>
      </c>
      <c r="C343" s="3" t="s">
        <v>1784</v>
      </c>
      <c r="D343" s="3" t="s">
        <v>625</v>
      </c>
      <c r="E343" s="3" t="s">
        <v>2416</v>
      </c>
      <c r="F343" s="3" t="s">
        <v>2417</v>
      </c>
      <c r="G343" s="3"/>
      <c r="H343" s="3"/>
      <c r="I343" s="4" t="b">
        <f>OR(((E343 = "calculated")=TRUE), ((E343 = "lookup")=TRUE), ((E343 = "aggregation")=TRUE))</f>
        <v>0</v>
      </c>
      <c r="J343" s="4" t="b">
        <f>H343 &lt;&gt; ""</f>
        <v>0</v>
      </c>
      <c r="K343" s="4">
        <f>COUNTIFS(FieldDisagreements!D2:D50, A343)</f>
        <v>0</v>
      </c>
      <c r="L343" s="4" t="b">
        <f>K343 &gt; 0</f>
        <v>0</v>
      </c>
      <c r="M343" s="3" t="s">
        <v>2418</v>
      </c>
    </row>
    <row r="344">
      <c r="A344" s="3" t="s">
        <v>2972</v>
      </c>
      <c r="B344" s="4" t="str">
        <f>C344 &amp; "." &amp; D344</f>
        <v>StepTransitions.Priority</v>
      </c>
      <c r="C344" s="3" t="s">
        <v>1784</v>
      </c>
      <c r="D344" s="3" t="s">
        <v>626</v>
      </c>
      <c r="E344" s="3" t="s">
        <v>2416</v>
      </c>
      <c r="F344" s="3" t="s">
        <v>2470</v>
      </c>
      <c r="G344" s="3"/>
      <c r="H344" s="3"/>
      <c r="I344" s="4" t="b">
        <f>OR(((E344 = "calculated")=TRUE), ((E344 = "lookup")=TRUE), ((E344 = "aggregation")=TRUE))</f>
        <v>0</v>
      </c>
      <c r="J344" s="4" t="b">
        <f>H344 &lt;&gt; ""</f>
        <v>0</v>
      </c>
      <c r="K344" s="4">
        <f>COUNTIFS(FieldDisagreements!D2:D50, A344)</f>
        <v>0</v>
      </c>
      <c r="L344" s="4" t="b">
        <f>K344 &gt; 0</f>
        <v>0</v>
      </c>
      <c r="M344" s="3" t="s">
        <v>2418</v>
      </c>
    </row>
    <row r="345">
      <c r="A345" s="3" t="s">
        <v>2973</v>
      </c>
      <c r="B345" s="4" t="str">
        <f>C345 &amp; "." &amp; D345</f>
        <v>StepTransitions.IsRecoveryPath</v>
      </c>
      <c r="C345" s="3" t="s">
        <v>1784</v>
      </c>
      <c r="D345" s="3" t="s">
        <v>627</v>
      </c>
      <c r="E345" s="3" t="s">
        <v>2420</v>
      </c>
      <c r="F345" s="3" t="s">
        <v>2432</v>
      </c>
      <c r="G345" s="3" t="s">
        <v>2974</v>
      </c>
      <c r="H345" s="3" t="s">
        <v>2027</v>
      </c>
      <c r="I345" s="4" t="b">
        <f>OR(((E345 = "calculated")=TRUE), ((E345 = "lookup")=TRUE), ((E345 = "aggregation")=TRUE))</f>
        <v>1</v>
      </c>
      <c r="J345" s="4" t="b">
        <f>H345 &lt;&gt; ""</f>
        <v>1</v>
      </c>
      <c r="K345" s="4">
        <f>COUNTIFS(FieldDisagreements!D2:D50, A345)</f>
        <v>0</v>
      </c>
      <c r="L345" s="4" t="b">
        <f>K345 &gt; 0</f>
        <v>0</v>
      </c>
      <c r="M345" s="3" t="s">
        <v>2418</v>
      </c>
    </row>
    <row r="346">
      <c r="A346" s="3" t="s">
        <v>2975</v>
      </c>
      <c r="B346" s="4" t="str">
        <f>C346 &amp; "." &amp; D346</f>
        <v>StepTransitions.CountOfFromStepExecutions</v>
      </c>
      <c r="C346" s="3" t="s">
        <v>1784</v>
      </c>
      <c r="D346" s="3" t="s">
        <v>628</v>
      </c>
      <c r="E346" s="3" t="s">
        <v>2469</v>
      </c>
      <c r="F346" s="3" t="s">
        <v>2470</v>
      </c>
      <c r="G346" s="3" t="s">
        <v>2976</v>
      </c>
      <c r="H346" s="3" t="s">
        <v>2027</v>
      </c>
      <c r="I346" s="4" t="b">
        <f>OR(((E346 = "calculated")=TRUE), ((E346 = "lookup")=TRUE), ((E346 = "aggregation")=TRUE))</f>
        <v>1</v>
      </c>
      <c r="J346" s="4" t="b">
        <f>H346 &lt;&gt; ""</f>
        <v>1</v>
      </c>
      <c r="K346" s="4">
        <f>COUNTIFS(FieldDisagreements!D2:D50, A346)</f>
        <v>1</v>
      </c>
      <c r="L346" s="4" t="b">
        <f>K346 &gt; 0</f>
        <v>1</v>
      </c>
      <c r="M346" s="3" t="s">
        <v>2418</v>
      </c>
    </row>
    <row r="347">
      <c r="A347" s="3" t="s">
        <v>2977</v>
      </c>
      <c r="B347" s="4" t="str">
        <f>C347 &amp; "." &amp; D347</f>
        <v>StepTransitions.CountOfToStepExecutions</v>
      </c>
      <c r="C347" s="3" t="s">
        <v>1784</v>
      </c>
      <c r="D347" s="3" t="s">
        <v>629</v>
      </c>
      <c r="E347" s="3" t="s">
        <v>2469</v>
      </c>
      <c r="F347" s="3" t="s">
        <v>2470</v>
      </c>
      <c r="G347" s="3" t="s">
        <v>2978</v>
      </c>
      <c r="H347" s="3" t="s">
        <v>2027</v>
      </c>
      <c r="I347" s="4" t="b">
        <f>OR(((E347 = "calculated")=TRUE), ((E347 = "lookup")=TRUE), ((E347 = "aggregation")=TRUE))</f>
        <v>1</v>
      </c>
      <c r="J347" s="4" t="b">
        <f>H347 &lt;&gt; ""</f>
        <v>1</v>
      </c>
      <c r="K347" s="4">
        <f>COUNTIFS(FieldDisagreements!D2:D50, A347)</f>
        <v>1</v>
      </c>
      <c r="L347" s="4" t="b">
        <f>K347 &gt; 0</f>
        <v>1</v>
      </c>
      <c r="M347" s="3" t="s">
        <v>2418</v>
      </c>
    </row>
    <row r="348">
      <c r="A348" s="3" t="s">
        <v>2979</v>
      </c>
      <c r="B348" s="4" t="str">
        <f>C348 &amp; "." &amp; D348</f>
        <v>StepTransitions.HasReachableOrigin</v>
      </c>
      <c r="C348" s="3" t="s">
        <v>1784</v>
      </c>
      <c r="D348" s="3" t="s">
        <v>630</v>
      </c>
      <c r="E348" s="3" t="s">
        <v>2420</v>
      </c>
      <c r="F348" s="3" t="s">
        <v>2432</v>
      </c>
      <c r="G348" s="3" t="s">
        <v>2980</v>
      </c>
      <c r="H348" s="3" t="s">
        <v>2027</v>
      </c>
      <c r="I348" s="4" t="b">
        <f>OR(((E348 = "calculated")=TRUE), ((E348 = "lookup")=TRUE), ((E348 = "aggregation")=TRUE))</f>
        <v>1</v>
      </c>
      <c r="J348" s="4" t="b">
        <f>H348 &lt;&gt; ""</f>
        <v>1</v>
      </c>
      <c r="K348" s="4">
        <f>COUNTIFS(FieldDisagreements!D2:D50, A348)</f>
        <v>1</v>
      </c>
      <c r="L348" s="4" t="b">
        <f>K348 &gt; 0</f>
        <v>1</v>
      </c>
      <c r="M348" s="3" t="s">
        <v>2418</v>
      </c>
    </row>
    <row r="349">
      <c r="A349" s="3" t="s">
        <v>2981</v>
      </c>
      <c r="B349" s="4" t="str">
        <f>C349 &amp; "." &amp; D349</f>
        <v>StepTransitions.HasReachableTarget</v>
      </c>
      <c r="C349" s="3" t="s">
        <v>1784</v>
      </c>
      <c r="D349" s="3" t="s">
        <v>631</v>
      </c>
      <c r="E349" s="3" t="s">
        <v>2420</v>
      </c>
      <c r="F349" s="3" t="s">
        <v>2432</v>
      </c>
      <c r="G349" s="3" t="s">
        <v>2982</v>
      </c>
      <c r="H349" s="3" t="s">
        <v>2027</v>
      </c>
      <c r="I349" s="4" t="b">
        <f>OR(((E349 = "calculated")=TRUE), ((E349 = "lookup")=TRUE), ((E349 = "aggregation")=TRUE))</f>
        <v>1</v>
      </c>
      <c r="J349" s="4" t="b">
        <f>H349 &lt;&gt; ""</f>
        <v>1</v>
      </c>
      <c r="K349" s="4">
        <f>COUNTIFS(FieldDisagreements!D2:D50, A349)</f>
        <v>1</v>
      </c>
      <c r="L349" s="4" t="b">
        <f>K349 &gt; 0</f>
        <v>1</v>
      </c>
      <c r="M349" s="3" t="s">
        <v>2418</v>
      </c>
    </row>
    <row r="350">
      <c r="A350" s="3" t="s">
        <v>2983</v>
      </c>
      <c r="B350" s="4" t="str">
        <f>C350 &amp; "." &amp; D350</f>
        <v>StepTransitions.IsNeverExercised</v>
      </c>
      <c r="C350" s="3" t="s">
        <v>1784</v>
      </c>
      <c r="D350" s="3" t="s">
        <v>632</v>
      </c>
      <c r="E350" s="3" t="s">
        <v>2420</v>
      </c>
      <c r="F350" s="3" t="s">
        <v>2432</v>
      </c>
      <c r="G350" s="3" t="s">
        <v>2984</v>
      </c>
      <c r="H350" s="3" t="s">
        <v>2027</v>
      </c>
      <c r="I350" s="4" t="b">
        <f>OR(((E350 = "calculated")=TRUE), ((E350 = "lookup")=TRUE), ((E350 = "aggregation")=TRUE))</f>
        <v>1</v>
      </c>
      <c r="J350" s="4" t="b">
        <f>H350 &lt;&gt; ""</f>
        <v>1</v>
      </c>
      <c r="K350" s="4">
        <f>COUNTIFS(FieldDisagreements!D2:D50, A350)</f>
        <v>1</v>
      </c>
      <c r="L350" s="4" t="b">
        <f>K350 &gt; 0</f>
        <v>1</v>
      </c>
      <c r="M350" s="3" t="s">
        <v>2418</v>
      </c>
    </row>
    <row r="351">
      <c r="A351" s="3" t="s">
        <v>2985</v>
      </c>
      <c r="B351" s="4" t="str">
        <f>C351 &amp; "." &amp; D351</f>
        <v>StepTransitions.IsUntestedRecoveryPath</v>
      </c>
      <c r="C351" s="3" t="s">
        <v>1784</v>
      </c>
      <c r="D351" s="3" t="s">
        <v>633</v>
      </c>
      <c r="E351" s="3" t="s">
        <v>2420</v>
      </c>
      <c r="F351" s="3" t="s">
        <v>2432</v>
      </c>
      <c r="G351" s="3" t="s">
        <v>2986</v>
      </c>
      <c r="H351" s="3" t="s">
        <v>2027</v>
      </c>
      <c r="I351" s="4" t="b">
        <f>OR(((E351 = "calculated")=TRUE), ((E351 = "lookup")=TRUE), ((E351 = "aggregation")=TRUE))</f>
        <v>1</v>
      </c>
      <c r="J351" s="4" t="b">
        <f>H351 &lt;&gt; ""</f>
        <v>1</v>
      </c>
      <c r="K351" s="4">
        <f>COUNTIFS(FieldDisagreements!D2:D50, A351)</f>
        <v>1</v>
      </c>
      <c r="L351" s="4" t="b">
        <f>K351 &gt; 0</f>
        <v>1</v>
      </c>
      <c r="M351" s="3" t="s">
        <v>2418</v>
      </c>
    </row>
    <row r="352">
      <c r="A352" s="3" t="s">
        <v>2987</v>
      </c>
      <c r="B352" s="4" t="str">
        <f>C352 &amp; "." &amp; D352</f>
        <v>StepTransitions.CountOfObservedTraversals</v>
      </c>
      <c r="C352" s="3" t="s">
        <v>1784</v>
      </c>
      <c r="D352" s="3" t="s">
        <v>634</v>
      </c>
      <c r="E352" s="3" t="s">
        <v>2469</v>
      </c>
      <c r="F352" s="3" t="s">
        <v>2470</v>
      </c>
      <c r="G352" s="3" t="s">
        <v>2988</v>
      </c>
      <c r="H352" s="3" t="s">
        <v>2027</v>
      </c>
      <c r="I352" s="4" t="b">
        <f>OR(((E352 = "calculated")=TRUE), ((E352 = "lookup")=TRUE), ((E352 = "aggregation")=TRUE))</f>
        <v>1</v>
      </c>
      <c r="J352" s="4" t="b">
        <f>H352 &lt;&gt; ""</f>
        <v>1</v>
      </c>
      <c r="K352" s="4">
        <f>COUNTIFS(FieldDisagreements!D2:D50, A352)</f>
        <v>0</v>
      </c>
      <c r="L352" s="4" t="b">
        <f>K352 &gt; 0</f>
        <v>0</v>
      </c>
      <c r="M352" s="3" t="s">
        <v>2418</v>
      </c>
    </row>
    <row r="353">
      <c r="A353" s="3" t="s">
        <v>2989</v>
      </c>
      <c r="B353" s="4" t="str">
        <f>C353 &amp; "." &amp; D353</f>
        <v>StepTransitions.HasBeenTraversed</v>
      </c>
      <c r="C353" s="3" t="s">
        <v>1784</v>
      </c>
      <c r="D353" s="3" t="s">
        <v>635</v>
      </c>
      <c r="E353" s="3" t="s">
        <v>2420</v>
      </c>
      <c r="F353" s="3" t="s">
        <v>2432</v>
      </c>
      <c r="G353" s="3" t="s">
        <v>2990</v>
      </c>
      <c r="H353" s="3" t="s">
        <v>2027</v>
      </c>
      <c r="I353" s="4" t="b">
        <f>OR(((E353 = "calculated")=TRUE), ((E353 = "lookup")=TRUE), ((E353 = "aggregation")=TRUE))</f>
        <v>1</v>
      </c>
      <c r="J353" s="4" t="b">
        <f>H353 &lt;&gt; ""</f>
        <v>1</v>
      </c>
      <c r="K353" s="4">
        <f>COUNTIFS(FieldDisagreements!D2:D50, A353)</f>
        <v>0</v>
      </c>
      <c r="L353" s="4" t="b">
        <f>K353 &gt; 0</f>
        <v>0</v>
      </c>
      <c r="M353" s="3" t="s">
        <v>2418</v>
      </c>
    </row>
    <row r="354">
      <c r="A354" s="3" t="s">
        <v>2991</v>
      </c>
      <c r="B354" s="4" t="str">
        <f>C354 &amp; "." &amp; D354</f>
        <v>StepTransitions.IsUnwalkedRecoveryPath</v>
      </c>
      <c r="C354" s="3" t="s">
        <v>1784</v>
      </c>
      <c r="D354" s="3" t="s">
        <v>636</v>
      </c>
      <c r="E354" s="3" t="s">
        <v>2420</v>
      </c>
      <c r="F354" s="3" t="s">
        <v>2432</v>
      </c>
      <c r="G354" s="3" t="s">
        <v>2992</v>
      </c>
      <c r="H354" s="3" t="s">
        <v>2027</v>
      </c>
      <c r="I354" s="4" t="b">
        <f>OR(((E354 = "calculated")=TRUE), ((E354 = "lookup")=TRUE), ((E354 = "aggregation")=TRUE))</f>
        <v>1</v>
      </c>
      <c r="J354" s="4" t="b">
        <f>H354 &lt;&gt; ""</f>
        <v>1</v>
      </c>
      <c r="K354" s="4">
        <f>COUNTIFS(FieldDisagreements!D2:D50, A354)</f>
        <v>0</v>
      </c>
      <c r="L354" s="4" t="b">
        <f>K354 &gt; 0</f>
        <v>0</v>
      </c>
      <c r="M354" s="3" t="s">
        <v>2418</v>
      </c>
    </row>
    <row r="355">
      <c r="A355" s="3" t="s">
        <v>2993</v>
      </c>
      <c r="B355" s="4" t="str">
        <f>C355 &amp; "." &amp; D355</f>
        <v>StepTransitions.TargetBlockingRequirementCount</v>
      </c>
      <c r="C355" s="3" t="s">
        <v>1784</v>
      </c>
      <c r="D355" s="3" t="s">
        <v>637</v>
      </c>
      <c r="E355" s="3" t="s">
        <v>2509</v>
      </c>
      <c r="F355" s="3" t="s">
        <v>2475</v>
      </c>
      <c r="G355" s="3" t="s">
        <v>2994</v>
      </c>
      <c r="H355" s="3" t="s">
        <v>2239</v>
      </c>
      <c r="I355" s="4" t="b">
        <f>OR(((E355 = "calculated")=TRUE), ((E355 = "lookup")=TRUE), ((E355 = "aggregation")=TRUE))</f>
        <v>1</v>
      </c>
      <c r="J355" s="4" t="b">
        <f>H355 &lt;&gt; ""</f>
        <v>1</v>
      </c>
      <c r="K355" s="4">
        <f>COUNTIFS(FieldDisagreements!D2:D50, A355)</f>
        <v>0</v>
      </c>
      <c r="L355" s="4" t="b">
        <f>K355 &gt; 0</f>
        <v>0</v>
      </c>
      <c r="M355" s="3" t="s">
        <v>2418</v>
      </c>
    </row>
    <row r="356">
      <c r="A356" s="3" t="s">
        <v>2995</v>
      </c>
      <c r="B356" s="4" t="str">
        <f>C356 &amp; "." &amp; D356</f>
        <v>StepTransitions.TargetCarriesBlockingControl</v>
      </c>
      <c r="C356" s="3" t="s">
        <v>1784</v>
      </c>
      <c r="D356" s="3" t="s">
        <v>638</v>
      </c>
      <c r="E356" s="3" t="s">
        <v>2420</v>
      </c>
      <c r="F356" s="3" t="s">
        <v>2432</v>
      </c>
      <c r="G356" s="3" t="s">
        <v>2996</v>
      </c>
      <c r="H356" s="3" t="s">
        <v>2239</v>
      </c>
      <c r="I356" s="4" t="b">
        <f>OR(((E356 = "calculated")=TRUE), ((E356 = "lookup")=TRUE), ((E356 = "aggregation")=TRUE))</f>
        <v>1</v>
      </c>
      <c r="J356" s="4" t="b">
        <f>H356 &lt;&gt; ""</f>
        <v>1</v>
      </c>
      <c r="K356" s="4">
        <f>COUNTIFS(FieldDisagreements!D2:D50, A356)</f>
        <v>0</v>
      </c>
      <c r="L356" s="4" t="b">
        <f>K356 &gt; 0</f>
        <v>0</v>
      </c>
      <c r="M356" s="3" t="s">
        <v>2418</v>
      </c>
    </row>
    <row r="357">
      <c r="A357" s="3" t="s">
        <v>2997</v>
      </c>
      <c r="B357" s="4" t="str">
        <f>C357 &amp; "." &amp; D357</f>
        <v>StepTransitions.IsUnrehearsedControlEntry</v>
      </c>
      <c r="C357" s="3" t="s">
        <v>1784</v>
      </c>
      <c r="D357" s="3" t="s">
        <v>639</v>
      </c>
      <c r="E357" s="3" t="s">
        <v>2420</v>
      </c>
      <c r="F357" s="3" t="s">
        <v>2432</v>
      </c>
      <c r="G357" s="3" t="s">
        <v>2998</v>
      </c>
      <c r="H357" s="3" t="s">
        <v>2239</v>
      </c>
      <c r="I357" s="4" t="b">
        <f>OR(((E357 = "calculated")=TRUE), ((E357 = "lookup")=TRUE), ((E357 = "aggregation")=TRUE))</f>
        <v>1</v>
      </c>
      <c r="J357" s="4" t="b">
        <f>H357 &lt;&gt; ""</f>
        <v>1</v>
      </c>
      <c r="K357" s="4">
        <f>COUNTIFS(FieldDisagreements!D2:D50, A357)</f>
        <v>0</v>
      </c>
      <c r="L357" s="4" t="b">
        <f>K357 &gt; 0</f>
        <v>0</v>
      </c>
      <c r="M357" s="3" t="s">
        <v>2418</v>
      </c>
    </row>
    <row r="358">
      <c r="A358" s="3" t="s">
        <v>2999</v>
      </c>
      <c r="B358" s="4" t="str">
        <f>C358 &amp; "." &amp; D358</f>
        <v>StepTransitions.UnrehearsedControlVersionKey</v>
      </c>
      <c r="C358" s="3" t="s">
        <v>1784</v>
      </c>
      <c r="D358" s="3" t="s">
        <v>640</v>
      </c>
      <c r="E358" s="3" t="s">
        <v>2420</v>
      </c>
      <c r="F358" s="3" t="s">
        <v>2417</v>
      </c>
      <c r="G358" s="3" t="s">
        <v>3000</v>
      </c>
      <c r="H358" s="3" t="s">
        <v>2239</v>
      </c>
      <c r="I358" s="4" t="b">
        <f>OR(((E358 = "calculated")=TRUE), ((E358 = "lookup")=TRUE), ((E358 = "aggregation")=TRUE))</f>
        <v>1</v>
      </c>
      <c r="J358" s="4" t="b">
        <f>H358 &lt;&gt; ""</f>
        <v>1</v>
      </c>
      <c r="K358" s="4">
        <f>COUNTIFS(FieldDisagreements!D2:D50, A358)</f>
        <v>0</v>
      </c>
      <c r="L358" s="4" t="b">
        <f>K358 &gt; 0</f>
        <v>0</v>
      </c>
      <c r="M358" s="3" t="s">
        <v>2418</v>
      </c>
    </row>
    <row r="359">
      <c r="A359" s="3" t="s">
        <v>3001</v>
      </c>
      <c r="B359" s="4" t="str">
        <f>C359 &amp; "." &amp; D359</f>
        <v>StepTransitions.LeadsToClosure</v>
      </c>
      <c r="C359" s="3" t="s">
        <v>1784</v>
      </c>
      <c r="D359" s="3" t="s">
        <v>641</v>
      </c>
      <c r="E359" s="3" t="s">
        <v>3002</v>
      </c>
      <c r="F359" s="3" t="s">
        <v>2417</v>
      </c>
      <c r="G359" s="3"/>
      <c r="H359" s="3" t="s">
        <v>2396</v>
      </c>
      <c r="I359" s="4" t="b">
        <f>OR(((E359 = "calculated")=TRUE), ((E359 = "lookup")=TRUE), ((E359 = "aggregation")=TRUE))</f>
        <v>0</v>
      </c>
      <c r="J359" s="4" t="b">
        <f>H359 &lt;&gt; ""</f>
        <v>1</v>
      </c>
      <c r="K359" s="4">
        <f>COUNTIFS(FieldDisagreements!D2:D50, A359)</f>
        <v>0</v>
      </c>
      <c r="L359" s="4" t="b">
        <f>K359 &gt; 0</f>
        <v>0</v>
      </c>
      <c r="M359" s="3" t="s">
        <v>2418</v>
      </c>
    </row>
    <row r="360">
      <c r="A360" s="3" t="s">
        <v>3003</v>
      </c>
      <c r="B360" s="4" t="str">
        <f>C360 &amp; "." &amp; D360</f>
        <v>StepTransitions.FromStepIsHumanApprovalGate</v>
      </c>
      <c r="C360" s="3" t="s">
        <v>1784</v>
      </c>
      <c r="D360" s="3" t="s">
        <v>642</v>
      </c>
      <c r="E360" s="3" t="s">
        <v>2509</v>
      </c>
      <c r="F360" s="3" t="s">
        <v>2432</v>
      </c>
      <c r="G360" s="3" t="s">
        <v>3004</v>
      </c>
      <c r="H360" s="3" t="s">
        <v>2400</v>
      </c>
      <c r="I360" s="4" t="b">
        <f>OR(((E360 = "calculated")=TRUE), ((E360 = "lookup")=TRUE), ((E360 = "aggregation")=TRUE))</f>
        <v>1</v>
      </c>
      <c r="J360" s="4" t="b">
        <f>H360 &lt;&gt; ""</f>
        <v>1</v>
      </c>
      <c r="K360" s="4">
        <f>COUNTIFS(FieldDisagreements!D2:D50, A360)</f>
        <v>0</v>
      </c>
      <c r="L360" s="4" t="b">
        <f>K360 &gt; 0</f>
        <v>0</v>
      </c>
      <c r="M360" s="3" t="s">
        <v>2418</v>
      </c>
    </row>
    <row r="361">
      <c r="A361" s="3" t="s">
        <v>3005</v>
      </c>
      <c r="B361" s="4" t="str">
        <f>C361 &amp; "." &amp; D361</f>
        <v>StepTransitions.ToStepIsHumanApprovalGate</v>
      </c>
      <c r="C361" s="3" t="s">
        <v>1784</v>
      </c>
      <c r="D361" s="3" t="s">
        <v>643</v>
      </c>
      <c r="E361" s="3" t="s">
        <v>2509</v>
      </c>
      <c r="F361" s="3" t="s">
        <v>2432</v>
      </c>
      <c r="G361" s="3" t="s">
        <v>3006</v>
      </c>
      <c r="H361" s="3" t="s">
        <v>2400</v>
      </c>
      <c r="I361" s="4" t="b">
        <f>OR(((E361 = "calculated")=TRUE), ((E361 = "lookup")=TRUE), ((E361 = "aggregation")=TRUE))</f>
        <v>1</v>
      </c>
      <c r="J361" s="4" t="b">
        <f>H361 &lt;&gt; ""</f>
        <v>1</v>
      </c>
      <c r="K361" s="4">
        <f>COUNTIFS(FieldDisagreements!D2:D50, A361)</f>
        <v>0</v>
      </c>
      <c r="L361" s="4" t="b">
        <f>K361 &gt; 0</f>
        <v>0</v>
      </c>
      <c r="M361" s="3" t="s">
        <v>2418</v>
      </c>
    </row>
    <row r="362">
      <c r="A362" s="3" t="s">
        <v>3007</v>
      </c>
      <c r="B362" s="4" t="str">
        <f>C362 &amp; "." &amp; D362</f>
        <v>StepTransitions.AvoidsHumanApprovalGate</v>
      </c>
      <c r="C362" s="3" t="s">
        <v>1784</v>
      </c>
      <c r="D362" s="3" t="s">
        <v>644</v>
      </c>
      <c r="E362" s="3" t="s">
        <v>2420</v>
      </c>
      <c r="F362" s="3" t="s">
        <v>2432</v>
      </c>
      <c r="G362" s="3" t="s">
        <v>3008</v>
      </c>
      <c r="H362" s="3" t="s">
        <v>2400</v>
      </c>
      <c r="I362" s="4" t="b">
        <f>OR(((E362 = "calculated")=TRUE), ((E362 = "lookup")=TRUE), ((E362 = "aggregation")=TRUE))</f>
        <v>1</v>
      </c>
      <c r="J362" s="4" t="b">
        <f>H362 &lt;&gt; ""</f>
        <v>1</v>
      </c>
      <c r="K362" s="4">
        <f>COUNTIFS(FieldDisagreements!D2:D50, A362)</f>
        <v>0</v>
      </c>
      <c r="L362" s="4" t="b">
        <f>K362 &gt; 0</f>
        <v>0</v>
      </c>
      <c r="M362" s="3" t="s">
        <v>2418</v>
      </c>
    </row>
    <row r="363">
      <c r="A363" s="3" t="s">
        <v>3009</v>
      </c>
      <c r="B363" s="4" t="str">
        <f>C363 &amp; "." &amp; D363</f>
        <v>StepTransitions.LeadsWithoutHumanGateClosure</v>
      </c>
      <c r="C363" s="3" t="s">
        <v>1784</v>
      </c>
      <c r="D363" s="3" t="s">
        <v>645</v>
      </c>
      <c r="E363" s="3" t="s">
        <v>3002</v>
      </c>
      <c r="F363" s="3" t="s">
        <v>2417</v>
      </c>
      <c r="G363" s="3"/>
      <c r="H363" s="3" t="s">
        <v>2400</v>
      </c>
      <c r="I363" s="4" t="b">
        <f>OR(((E363 = "calculated")=TRUE), ((E363 = "lookup")=TRUE), ((E363 = "aggregation")=TRUE))</f>
        <v>0</v>
      </c>
      <c r="J363" s="4" t="b">
        <f>H363 &lt;&gt; ""</f>
        <v>1</v>
      </c>
      <c r="K363" s="4">
        <f>COUNTIFS(FieldDisagreements!D2:D50, A363)</f>
        <v>0</v>
      </c>
      <c r="L363" s="4" t="b">
        <f>K363 &gt; 0</f>
        <v>0</v>
      </c>
      <c r="M363" s="3" t="s">
        <v>2418</v>
      </c>
    </row>
    <row r="364">
      <c r="A364" s="3" t="s">
        <v>3010</v>
      </c>
      <c r="B364" s="4" t="str">
        <f>C364 &amp; "." &amp; D364</f>
        <v>StepTransitions.SemanticTypeIri</v>
      </c>
      <c r="C364" s="3" t="s">
        <v>1784</v>
      </c>
      <c r="D364" s="3" t="s">
        <v>94</v>
      </c>
      <c r="E364" s="3" t="s">
        <v>2416</v>
      </c>
      <c r="F364" s="3" t="s">
        <v>2417</v>
      </c>
      <c r="G364" s="3"/>
      <c r="H364" s="3"/>
      <c r="I364" s="4" t="b">
        <f>OR(((E364 = "calculated")=TRUE), ((E364 = "lookup")=TRUE), ((E364 = "aggregation")=TRUE))</f>
        <v>0</v>
      </c>
      <c r="J364" s="4" t="b">
        <f>H364 &lt;&gt; ""</f>
        <v>0</v>
      </c>
      <c r="K364" s="4">
        <f>COUNTIFS(FieldDisagreements!D2:D50, A364)</f>
        <v>0</v>
      </c>
      <c r="L364" s="4" t="b">
        <f>K364 &gt; 0</f>
        <v>0</v>
      </c>
      <c r="M364" s="3" t="s">
        <v>2418</v>
      </c>
    </row>
    <row r="365">
      <c r="A365" s="3" t="s">
        <v>3011</v>
      </c>
      <c r="B365" s="4" t="str">
        <f>C365 &amp; "." &amp; D365</f>
        <v>Actions.ActionId</v>
      </c>
      <c r="C365" s="3" t="s">
        <v>1796</v>
      </c>
      <c r="D365" s="3" t="s">
        <v>676</v>
      </c>
      <c r="E365" s="3" t="s">
        <v>2416</v>
      </c>
      <c r="F365" s="3" t="s">
        <v>2417</v>
      </c>
      <c r="G365" s="3"/>
      <c r="H365" s="3"/>
      <c r="I365" s="4" t="b">
        <f>OR(((E365 = "calculated")=TRUE), ((E365 = "lookup")=TRUE), ((E365 = "aggregation")=TRUE))</f>
        <v>0</v>
      </c>
      <c r="J365" s="4" t="b">
        <f>H365 &lt;&gt; ""</f>
        <v>0</v>
      </c>
      <c r="K365" s="4">
        <f>COUNTIFS(FieldDisagreements!D2:D50, A365)</f>
        <v>0</v>
      </c>
      <c r="L365" s="4" t="b">
        <f>K365 &gt; 0</f>
        <v>0</v>
      </c>
      <c r="M365" s="3" t="s">
        <v>2418</v>
      </c>
    </row>
    <row r="366">
      <c r="A366" s="3" t="s">
        <v>3012</v>
      </c>
      <c r="B366" s="4" t="str">
        <f>C366 &amp; "." &amp; D366</f>
        <v>Actions.Name</v>
      </c>
      <c r="C366" s="3" t="s">
        <v>1796</v>
      </c>
      <c r="D366" s="3" t="s">
        <v>1</v>
      </c>
      <c r="E366" s="3" t="s">
        <v>2420</v>
      </c>
      <c r="F366" s="3" t="s">
        <v>2417</v>
      </c>
      <c r="G366" s="3" t="s">
        <v>2504</v>
      </c>
      <c r="H366" s="3"/>
      <c r="I366" s="4" t="b">
        <f>OR(((E366 = "calculated")=TRUE), ((E366 = "lookup")=TRUE), ((E366 = "aggregation")=TRUE))</f>
        <v>1</v>
      </c>
      <c r="J366" s="4" t="b">
        <f>H366 &lt;&gt; ""</f>
        <v>0</v>
      </c>
      <c r="K366" s="4">
        <f>COUNTIFS(FieldDisagreements!D2:D50, A366)</f>
        <v>0</v>
      </c>
      <c r="L366" s="4" t="b">
        <f>K366 &gt; 0</f>
        <v>0</v>
      </c>
      <c r="M366" s="3" t="s">
        <v>2418</v>
      </c>
    </row>
    <row r="367">
      <c r="A367" s="3" t="s">
        <v>3013</v>
      </c>
      <c r="B367" s="4" t="str">
        <f>C367 &amp; "." &amp; D367</f>
        <v>Actions.Label</v>
      </c>
      <c r="C367" s="3" t="s">
        <v>1796</v>
      </c>
      <c r="D367" s="3" t="s">
        <v>19</v>
      </c>
      <c r="E367" s="3" t="s">
        <v>2416</v>
      </c>
      <c r="F367" s="3" t="s">
        <v>2417</v>
      </c>
      <c r="G367" s="3"/>
      <c r="H367" s="3"/>
      <c r="I367" s="4" t="b">
        <f>OR(((E367 = "calculated")=TRUE), ((E367 = "lookup")=TRUE), ((E367 = "aggregation")=TRUE))</f>
        <v>0</v>
      </c>
      <c r="J367" s="4" t="b">
        <f>H367 &lt;&gt; ""</f>
        <v>0</v>
      </c>
      <c r="K367" s="4">
        <f>COUNTIFS(FieldDisagreements!D2:D50, A367)</f>
        <v>0</v>
      </c>
      <c r="L367" s="4" t="b">
        <f>K367 &gt; 0</f>
        <v>0</v>
      </c>
      <c r="M367" s="3" t="s">
        <v>2418</v>
      </c>
    </row>
    <row r="368">
      <c r="A368" s="3" t="s">
        <v>3014</v>
      </c>
      <c r="B368" s="4" t="str">
        <f>C368 &amp; "." &amp; D368</f>
        <v>Actions.Definition</v>
      </c>
      <c r="C368" s="3" t="s">
        <v>1796</v>
      </c>
      <c r="D368" s="3" t="s">
        <v>349</v>
      </c>
      <c r="E368" s="3" t="s">
        <v>2416</v>
      </c>
      <c r="F368" s="3" t="s">
        <v>2417</v>
      </c>
      <c r="G368" s="3"/>
      <c r="H368" s="3"/>
      <c r="I368" s="4" t="b">
        <f>OR(((E368 = "calculated")=TRUE), ((E368 = "lookup")=TRUE), ((E368 = "aggregation")=TRUE))</f>
        <v>0</v>
      </c>
      <c r="J368" s="4" t="b">
        <f>H368 &lt;&gt; ""</f>
        <v>0</v>
      </c>
      <c r="K368" s="4">
        <f>COUNTIFS(FieldDisagreements!D2:D50, A368)</f>
        <v>0</v>
      </c>
      <c r="L368" s="4" t="b">
        <f>K368 &gt; 0</f>
        <v>0</v>
      </c>
      <c r="M368" s="3" t="s">
        <v>2418</v>
      </c>
    </row>
    <row r="369">
      <c r="A369" s="3" t="s">
        <v>3015</v>
      </c>
      <c r="B369" s="4" t="str">
        <f>C369 &amp; "." &amp; D369</f>
        <v>Actions.SemanticTypeIri</v>
      </c>
      <c r="C369" s="3" t="s">
        <v>1796</v>
      </c>
      <c r="D369" s="3" t="s">
        <v>94</v>
      </c>
      <c r="E369" s="3" t="s">
        <v>2416</v>
      </c>
      <c r="F369" s="3" t="s">
        <v>2417</v>
      </c>
      <c r="G369" s="3"/>
      <c r="H369" s="3"/>
      <c r="I369" s="4" t="b">
        <f>OR(((E369 = "calculated")=TRUE), ((E369 = "lookup")=TRUE), ((E369 = "aggregation")=TRUE))</f>
        <v>0</v>
      </c>
      <c r="J369" s="4" t="b">
        <f>H369 &lt;&gt; ""</f>
        <v>0</v>
      </c>
      <c r="K369" s="4">
        <f>COUNTIFS(FieldDisagreements!D2:D50, A369)</f>
        <v>0</v>
      </c>
      <c r="L369" s="4" t="b">
        <f>K369 &gt; 0</f>
        <v>0</v>
      </c>
      <c r="M369" s="3" t="s">
        <v>2418</v>
      </c>
    </row>
    <row r="370">
      <c r="A370" s="3" t="s">
        <v>3016</v>
      </c>
      <c r="B370" s="4" t="str">
        <f>C370 &amp; "." &amp; D370</f>
        <v>Functions.FunctionId</v>
      </c>
      <c r="C370" s="3" t="s">
        <v>1799</v>
      </c>
      <c r="D370" s="3" t="s">
        <v>705</v>
      </c>
      <c r="E370" s="3" t="s">
        <v>2416</v>
      </c>
      <c r="F370" s="3" t="s">
        <v>2417</v>
      </c>
      <c r="G370" s="3"/>
      <c r="H370" s="3"/>
      <c r="I370" s="4" t="b">
        <f>OR(((E370 = "calculated")=TRUE), ((E370 = "lookup")=TRUE), ((E370 = "aggregation")=TRUE))</f>
        <v>0</v>
      </c>
      <c r="J370" s="4" t="b">
        <f>H370 &lt;&gt; ""</f>
        <v>0</v>
      </c>
      <c r="K370" s="4">
        <f>COUNTIFS(FieldDisagreements!D2:D50, A370)</f>
        <v>0</v>
      </c>
      <c r="L370" s="4" t="b">
        <f>K370 &gt; 0</f>
        <v>0</v>
      </c>
      <c r="M370" s="3" t="s">
        <v>2418</v>
      </c>
    </row>
    <row r="371">
      <c r="A371" s="3" t="s">
        <v>3017</v>
      </c>
      <c r="B371" s="4" t="str">
        <f>C371 &amp; "." &amp; D371</f>
        <v>Functions.Name</v>
      </c>
      <c r="C371" s="3" t="s">
        <v>1799</v>
      </c>
      <c r="D371" s="3" t="s">
        <v>1</v>
      </c>
      <c r="E371" s="3" t="s">
        <v>2420</v>
      </c>
      <c r="F371" s="3" t="s">
        <v>2417</v>
      </c>
      <c r="G371" s="3" t="s">
        <v>2504</v>
      </c>
      <c r="H371" s="3"/>
      <c r="I371" s="4" t="b">
        <f>OR(((E371 = "calculated")=TRUE), ((E371 = "lookup")=TRUE), ((E371 = "aggregation")=TRUE))</f>
        <v>1</v>
      </c>
      <c r="J371" s="4" t="b">
        <f>H371 &lt;&gt; ""</f>
        <v>0</v>
      </c>
      <c r="K371" s="4">
        <f>COUNTIFS(FieldDisagreements!D2:D50, A371)</f>
        <v>0</v>
      </c>
      <c r="L371" s="4" t="b">
        <f>K371 &gt; 0</f>
        <v>0</v>
      </c>
      <c r="M371" s="3" t="s">
        <v>2418</v>
      </c>
    </row>
    <row r="372">
      <c r="A372" s="3" t="s">
        <v>3018</v>
      </c>
      <c r="B372" s="4" t="str">
        <f>C372 &amp; "." &amp; D372</f>
        <v>Functions.Label</v>
      </c>
      <c r="C372" s="3" t="s">
        <v>1799</v>
      </c>
      <c r="D372" s="3" t="s">
        <v>19</v>
      </c>
      <c r="E372" s="3" t="s">
        <v>2416</v>
      </c>
      <c r="F372" s="3" t="s">
        <v>2417</v>
      </c>
      <c r="G372" s="3"/>
      <c r="H372" s="3"/>
      <c r="I372" s="4" t="b">
        <f>OR(((E372 = "calculated")=TRUE), ((E372 = "lookup")=TRUE), ((E372 = "aggregation")=TRUE))</f>
        <v>0</v>
      </c>
      <c r="J372" s="4" t="b">
        <f>H372 &lt;&gt; ""</f>
        <v>0</v>
      </c>
      <c r="K372" s="4">
        <f>COUNTIFS(FieldDisagreements!D2:D50, A372)</f>
        <v>0</v>
      </c>
      <c r="L372" s="4" t="b">
        <f>K372 &gt; 0</f>
        <v>0</v>
      </c>
      <c r="M372" s="3" t="s">
        <v>2418</v>
      </c>
    </row>
    <row r="373">
      <c r="A373" s="3" t="s">
        <v>3019</v>
      </c>
      <c r="B373" s="4" t="str">
        <f>C373 &amp; "." &amp; D373</f>
        <v>Functions.Definition</v>
      </c>
      <c r="C373" s="3" t="s">
        <v>1799</v>
      </c>
      <c r="D373" s="3" t="s">
        <v>349</v>
      </c>
      <c r="E373" s="3" t="s">
        <v>2416</v>
      </c>
      <c r="F373" s="3" t="s">
        <v>2417</v>
      </c>
      <c r="G373" s="3"/>
      <c r="H373" s="3"/>
      <c r="I373" s="4" t="b">
        <f>OR(((E373 = "calculated")=TRUE), ((E373 = "lookup")=TRUE), ((E373 = "aggregation")=TRUE))</f>
        <v>0</v>
      </c>
      <c r="J373" s="4" t="b">
        <f>H373 &lt;&gt; ""</f>
        <v>0</v>
      </c>
      <c r="K373" s="4">
        <f>COUNTIFS(FieldDisagreements!D2:D50, A373)</f>
        <v>0</v>
      </c>
      <c r="L373" s="4" t="b">
        <f>K373 &gt; 0</f>
        <v>0</v>
      </c>
      <c r="M373" s="3" t="s">
        <v>2418</v>
      </c>
    </row>
    <row r="374">
      <c r="A374" s="3" t="s">
        <v>3020</v>
      </c>
      <c r="B374" s="4" t="str">
        <f>C374 &amp; "." &amp; D374</f>
        <v>Functions.ImplementationKey</v>
      </c>
      <c r="C374" s="3" t="s">
        <v>1799</v>
      </c>
      <c r="D374" s="3" t="s">
        <v>706</v>
      </c>
      <c r="E374" s="3" t="s">
        <v>2416</v>
      </c>
      <c r="F374" s="3" t="s">
        <v>2417</v>
      </c>
      <c r="G374" s="3"/>
      <c r="H374" s="3"/>
      <c r="I374" s="4" t="b">
        <f>OR(((E374 = "calculated")=TRUE), ((E374 = "lookup")=TRUE), ((E374 = "aggregation")=TRUE))</f>
        <v>0</v>
      </c>
      <c r="J374" s="4" t="b">
        <f>H374 &lt;&gt; ""</f>
        <v>0</v>
      </c>
      <c r="K374" s="4">
        <f>COUNTIFS(FieldDisagreements!D2:D50, A374)</f>
        <v>0</v>
      </c>
      <c r="L374" s="4" t="b">
        <f>K374 &gt; 0</f>
        <v>0</v>
      </c>
      <c r="M374" s="3" t="s">
        <v>2418</v>
      </c>
    </row>
    <row r="375">
      <c r="A375" s="3" t="s">
        <v>3021</v>
      </c>
      <c r="B375" s="4" t="str">
        <f>C375 &amp; "." &amp; D375</f>
        <v>Functions.SemanticTypeIri</v>
      </c>
      <c r="C375" s="3" t="s">
        <v>1799</v>
      </c>
      <c r="D375" s="3" t="s">
        <v>94</v>
      </c>
      <c r="E375" s="3" t="s">
        <v>2416</v>
      </c>
      <c r="F375" s="3" t="s">
        <v>2417</v>
      </c>
      <c r="G375" s="3"/>
      <c r="H375" s="3"/>
      <c r="I375" s="4" t="b">
        <f>OR(((E375 = "calculated")=TRUE), ((E375 = "lookup")=TRUE), ((E375 = "aggregation")=TRUE))</f>
        <v>0</v>
      </c>
      <c r="J375" s="4" t="b">
        <f>H375 &lt;&gt; ""</f>
        <v>0</v>
      </c>
      <c r="K375" s="4">
        <f>COUNTIFS(FieldDisagreements!D2:D50, A375)</f>
        <v>0</v>
      </c>
      <c r="L375" s="4" t="b">
        <f>K375 &gt; 0</f>
        <v>0</v>
      </c>
      <c r="M375" s="3" t="s">
        <v>2418</v>
      </c>
    </row>
    <row r="376">
      <c r="A376" s="3" t="s">
        <v>3022</v>
      </c>
      <c r="B376" s="4" t="str">
        <f>C376 &amp; "." &amp; D376</f>
        <v>Tools.ToolId</v>
      </c>
      <c r="C376" s="3" t="s">
        <v>1802</v>
      </c>
      <c r="D376" s="3" t="s">
        <v>740</v>
      </c>
      <c r="E376" s="3" t="s">
        <v>2416</v>
      </c>
      <c r="F376" s="3" t="s">
        <v>2417</v>
      </c>
      <c r="G376" s="3"/>
      <c r="H376" s="3"/>
      <c r="I376" s="4" t="b">
        <f>OR(((E376 = "calculated")=TRUE), ((E376 = "lookup")=TRUE), ((E376 = "aggregation")=TRUE))</f>
        <v>0</v>
      </c>
      <c r="J376" s="4" t="b">
        <f>H376 &lt;&gt; ""</f>
        <v>0</v>
      </c>
      <c r="K376" s="4">
        <f>COUNTIFS(FieldDisagreements!D2:D50, A376)</f>
        <v>0</v>
      </c>
      <c r="L376" s="4" t="b">
        <f>K376 &gt; 0</f>
        <v>0</v>
      </c>
      <c r="M376" s="3" t="s">
        <v>2418</v>
      </c>
    </row>
    <row r="377">
      <c r="A377" s="3" t="s">
        <v>3023</v>
      </c>
      <c r="B377" s="4" t="str">
        <f>C377 &amp; "." &amp; D377</f>
        <v>Tools.Name</v>
      </c>
      <c r="C377" s="3" t="s">
        <v>1802</v>
      </c>
      <c r="D377" s="3" t="s">
        <v>1</v>
      </c>
      <c r="E377" s="3" t="s">
        <v>2420</v>
      </c>
      <c r="F377" s="3" t="s">
        <v>2417</v>
      </c>
      <c r="G377" s="3" t="s">
        <v>2504</v>
      </c>
      <c r="H377" s="3"/>
      <c r="I377" s="4" t="b">
        <f>OR(((E377 = "calculated")=TRUE), ((E377 = "lookup")=TRUE), ((E377 = "aggregation")=TRUE))</f>
        <v>1</v>
      </c>
      <c r="J377" s="4" t="b">
        <f>H377 &lt;&gt; ""</f>
        <v>0</v>
      </c>
      <c r="K377" s="4">
        <f>COUNTIFS(FieldDisagreements!D2:D50, A377)</f>
        <v>0</v>
      </c>
      <c r="L377" s="4" t="b">
        <f>K377 &gt; 0</f>
        <v>0</v>
      </c>
      <c r="M377" s="3" t="s">
        <v>2418</v>
      </c>
    </row>
    <row r="378">
      <c r="A378" s="3" t="s">
        <v>3024</v>
      </c>
      <c r="B378" s="4" t="str">
        <f>C378 &amp; "." &amp; D378</f>
        <v>Tools.Label</v>
      </c>
      <c r="C378" s="3" t="s">
        <v>1802</v>
      </c>
      <c r="D378" s="3" t="s">
        <v>19</v>
      </c>
      <c r="E378" s="3" t="s">
        <v>2416</v>
      </c>
      <c r="F378" s="3" t="s">
        <v>2417</v>
      </c>
      <c r="G378" s="3"/>
      <c r="H378" s="3"/>
      <c r="I378" s="4" t="b">
        <f>OR(((E378 = "calculated")=TRUE), ((E378 = "lookup")=TRUE), ((E378 = "aggregation")=TRUE))</f>
        <v>0</v>
      </c>
      <c r="J378" s="4" t="b">
        <f>H378 &lt;&gt; ""</f>
        <v>0</v>
      </c>
      <c r="K378" s="4">
        <f>COUNTIFS(FieldDisagreements!D2:D50, A378)</f>
        <v>0</v>
      </c>
      <c r="L378" s="4" t="b">
        <f>K378 &gt; 0</f>
        <v>0</v>
      </c>
      <c r="M378" s="3" t="s">
        <v>2418</v>
      </c>
    </row>
    <row r="379">
      <c r="A379" s="3" t="s">
        <v>3025</v>
      </c>
      <c r="B379" s="4" t="str">
        <f>C379 &amp; "." &amp; D379</f>
        <v>Tools.Purpose</v>
      </c>
      <c r="C379" s="3" t="s">
        <v>1802</v>
      </c>
      <c r="D379" s="3" t="s">
        <v>327</v>
      </c>
      <c r="E379" s="3" t="s">
        <v>2416</v>
      </c>
      <c r="F379" s="3" t="s">
        <v>2417</v>
      </c>
      <c r="G379" s="3"/>
      <c r="H379" s="3"/>
      <c r="I379" s="4" t="b">
        <f>OR(((E379 = "calculated")=TRUE), ((E379 = "lookup")=TRUE), ((E379 = "aggregation")=TRUE))</f>
        <v>0</v>
      </c>
      <c r="J379" s="4" t="b">
        <f>H379 &lt;&gt; ""</f>
        <v>0</v>
      </c>
      <c r="K379" s="4">
        <f>COUNTIFS(FieldDisagreements!D2:D50, A379)</f>
        <v>0</v>
      </c>
      <c r="L379" s="4" t="b">
        <f>K379 &gt; 0</f>
        <v>0</v>
      </c>
      <c r="M379" s="3" t="s">
        <v>2418</v>
      </c>
    </row>
    <row r="380">
      <c r="A380" s="3" t="s">
        <v>3026</v>
      </c>
      <c r="B380" s="4" t="str">
        <f>C380 &amp; "." &amp; D380</f>
        <v>Tools.SemanticTypeIri</v>
      </c>
      <c r="C380" s="3" t="s">
        <v>1802</v>
      </c>
      <c r="D380" s="3" t="s">
        <v>94</v>
      </c>
      <c r="E380" s="3" t="s">
        <v>2416</v>
      </c>
      <c r="F380" s="3" t="s">
        <v>2417</v>
      </c>
      <c r="G380" s="3"/>
      <c r="H380" s="3"/>
      <c r="I380" s="4" t="b">
        <f>OR(((E380 = "calculated")=TRUE), ((E380 = "lookup")=TRUE), ((E380 = "aggregation")=TRUE))</f>
        <v>0</v>
      </c>
      <c r="J380" s="4" t="b">
        <f>H380 &lt;&gt; ""</f>
        <v>0</v>
      </c>
      <c r="K380" s="4">
        <f>COUNTIFS(FieldDisagreements!D2:D50, A380)</f>
        <v>0</v>
      </c>
      <c r="L380" s="4" t="b">
        <f>K380 &gt; 0</f>
        <v>0</v>
      </c>
      <c r="M380" s="3" t="s">
        <v>2418</v>
      </c>
    </row>
    <row r="381">
      <c r="A381" s="3" t="s">
        <v>3027</v>
      </c>
      <c r="B381" s="4" t="str">
        <f>C381 &amp; "." &amp; D381</f>
        <v>StepActions.StepActionId</v>
      </c>
      <c r="C381" s="3" t="s">
        <v>3028</v>
      </c>
      <c r="D381" s="3" t="s">
        <v>766</v>
      </c>
      <c r="E381" s="3" t="s">
        <v>2416</v>
      </c>
      <c r="F381" s="3" t="s">
        <v>2417</v>
      </c>
      <c r="G381" s="3"/>
      <c r="H381" s="3"/>
      <c r="I381" s="4" t="b">
        <f>OR(((E381 = "calculated")=TRUE), ((E381 = "lookup")=TRUE), ((E381 = "aggregation")=TRUE))</f>
        <v>0</v>
      </c>
      <c r="J381" s="4" t="b">
        <f>H381 &lt;&gt; ""</f>
        <v>0</v>
      </c>
      <c r="K381" s="4">
        <f>COUNTIFS(FieldDisagreements!D2:D50, A381)</f>
        <v>0</v>
      </c>
      <c r="L381" s="4" t="b">
        <f>K381 &gt; 0</f>
        <v>0</v>
      </c>
      <c r="M381" s="3" t="s">
        <v>2418</v>
      </c>
    </row>
    <row r="382">
      <c r="A382" s="3" t="s">
        <v>3029</v>
      </c>
      <c r="B382" s="4" t="str">
        <f>C382 &amp; "." &amp; D382</f>
        <v>StepActions.Name</v>
      </c>
      <c r="C382" s="3" t="s">
        <v>3028</v>
      </c>
      <c r="D382" s="3" t="s">
        <v>1</v>
      </c>
      <c r="E382" s="3" t="s">
        <v>2420</v>
      </c>
      <c r="F382" s="3" t="s">
        <v>2417</v>
      </c>
      <c r="G382" s="3" t="s">
        <v>3030</v>
      </c>
      <c r="H382" s="3"/>
      <c r="I382" s="4" t="b">
        <f>OR(((E382 = "calculated")=TRUE), ((E382 = "lookup")=TRUE), ((E382 = "aggregation")=TRUE))</f>
        <v>1</v>
      </c>
      <c r="J382" s="4" t="b">
        <f>H382 &lt;&gt; ""</f>
        <v>0</v>
      </c>
      <c r="K382" s="4">
        <f>COUNTIFS(FieldDisagreements!D2:D50, A382)</f>
        <v>0</v>
      </c>
      <c r="L382" s="4" t="b">
        <f>K382 &gt; 0</f>
        <v>0</v>
      </c>
      <c r="M382" s="3" t="s">
        <v>2418</v>
      </c>
    </row>
    <row r="383">
      <c r="A383" s="3" t="s">
        <v>3031</v>
      </c>
      <c r="B383" s="4" t="str">
        <f>C383 &amp; "." &amp; D383</f>
        <v>StepActions.Step</v>
      </c>
      <c r="C383" s="3" t="s">
        <v>3028</v>
      </c>
      <c r="D383" s="3" t="s">
        <v>767</v>
      </c>
      <c r="E383" s="3" t="s">
        <v>2465</v>
      </c>
      <c r="F383" s="3" t="s">
        <v>2417</v>
      </c>
      <c r="G383" s="3"/>
      <c r="H383" s="3"/>
      <c r="I383" s="4" t="b">
        <f>OR(((E383 = "calculated")=TRUE), ((E383 = "lookup")=TRUE), ((E383 = "aggregation")=TRUE))</f>
        <v>0</v>
      </c>
      <c r="J383" s="4" t="b">
        <f>H383 &lt;&gt; ""</f>
        <v>0</v>
      </c>
      <c r="K383" s="4">
        <f>COUNTIFS(FieldDisagreements!D2:D50, A383)</f>
        <v>0</v>
      </c>
      <c r="L383" s="4" t="b">
        <f>K383 &gt; 0</f>
        <v>0</v>
      </c>
      <c r="M383" s="3" t="s">
        <v>2418</v>
      </c>
    </row>
    <row r="384">
      <c r="A384" s="3" t="s">
        <v>3032</v>
      </c>
      <c r="B384" s="4" t="str">
        <f>C384 &amp; "." &amp; D384</f>
        <v>StepActions.Action</v>
      </c>
      <c r="C384" s="3" t="s">
        <v>3028</v>
      </c>
      <c r="D384" s="3" t="s">
        <v>768</v>
      </c>
      <c r="E384" s="3" t="s">
        <v>2465</v>
      </c>
      <c r="F384" s="3" t="s">
        <v>2417</v>
      </c>
      <c r="G384" s="3"/>
      <c r="H384" s="3"/>
      <c r="I384" s="4" t="b">
        <f>OR(((E384 = "calculated")=TRUE), ((E384 = "lookup")=TRUE), ((E384 = "aggregation")=TRUE))</f>
        <v>0</v>
      </c>
      <c r="J384" s="4" t="b">
        <f>H384 &lt;&gt; ""</f>
        <v>0</v>
      </c>
      <c r="K384" s="4">
        <f>COUNTIFS(FieldDisagreements!D2:D50, A384)</f>
        <v>0</v>
      </c>
      <c r="L384" s="4" t="b">
        <f>K384 &gt; 0</f>
        <v>0</v>
      </c>
      <c r="M384" s="3" t="s">
        <v>2418</v>
      </c>
    </row>
    <row r="385">
      <c r="A385" s="3" t="s">
        <v>3033</v>
      </c>
      <c r="B385" s="4" t="str">
        <f>C385 &amp; "." &amp; D385</f>
        <v>StepFunctions.StepFunctionId</v>
      </c>
      <c r="C385" s="3" t="s">
        <v>3034</v>
      </c>
      <c r="D385" s="3" t="s">
        <v>778</v>
      </c>
      <c r="E385" s="3" t="s">
        <v>2416</v>
      </c>
      <c r="F385" s="3" t="s">
        <v>2417</v>
      </c>
      <c r="G385" s="3"/>
      <c r="H385" s="3"/>
      <c r="I385" s="4" t="b">
        <f>OR(((E385 = "calculated")=TRUE), ((E385 = "lookup")=TRUE), ((E385 = "aggregation")=TRUE))</f>
        <v>0</v>
      </c>
      <c r="J385" s="4" t="b">
        <f>H385 &lt;&gt; ""</f>
        <v>0</v>
      </c>
      <c r="K385" s="4">
        <f>COUNTIFS(FieldDisagreements!D2:D50, A385)</f>
        <v>0</v>
      </c>
      <c r="L385" s="4" t="b">
        <f>K385 &gt; 0</f>
        <v>0</v>
      </c>
      <c r="M385" s="3" t="s">
        <v>2418</v>
      </c>
    </row>
    <row r="386">
      <c r="A386" s="3" t="s">
        <v>3035</v>
      </c>
      <c r="B386" s="4" t="str">
        <f>C386 &amp; "." &amp; D386</f>
        <v>StepFunctions.Name</v>
      </c>
      <c r="C386" s="3" t="s">
        <v>3034</v>
      </c>
      <c r="D386" s="3" t="s">
        <v>1</v>
      </c>
      <c r="E386" s="3" t="s">
        <v>2420</v>
      </c>
      <c r="F386" s="3" t="s">
        <v>2417</v>
      </c>
      <c r="G386" s="3" t="s">
        <v>3036</v>
      </c>
      <c r="H386" s="3"/>
      <c r="I386" s="4" t="b">
        <f>OR(((E386 = "calculated")=TRUE), ((E386 = "lookup")=TRUE), ((E386 = "aggregation")=TRUE))</f>
        <v>1</v>
      </c>
      <c r="J386" s="4" t="b">
        <f>H386 &lt;&gt; ""</f>
        <v>0</v>
      </c>
      <c r="K386" s="4">
        <f>COUNTIFS(FieldDisagreements!D2:D50, A386)</f>
        <v>0</v>
      </c>
      <c r="L386" s="4" t="b">
        <f>K386 &gt; 0</f>
        <v>0</v>
      </c>
      <c r="M386" s="3" t="s">
        <v>2418</v>
      </c>
    </row>
    <row r="387">
      <c r="A387" s="3" t="s">
        <v>3037</v>
      </c>
      <c r="B387" s="4" t="str">
        <f>C387 &amp; "." &amp; D387</f>
        <v>StepFunctions.Step</v>
      </c>
      <c r="C387" s="3" t="s">
        <v>3034</v>
      </c>
      <c r="D387" s="3" t="s">
        <v>767</v>
      </c>
      <c r="E387" s="3" t="s">
        <v>2465</v>
      </c>
      <c r="F387" s="3" t="s">
        <v>2417</v>
      </c>
      <c r="G387" s="3"/>
      <c r="H387" s="3"/>
      <c r="I387" s="4" t="b">
        <f>OR(((E387 = "calculated")=TRUE), ((E387 = "lookup")=TRUE), ((E387 = "aggregation")=TRUE))</f>
        <v>0</v>
      </c>
      <c r="J387" s="4" t="b">
        <f>H387 &lt;&gt; ""</f>
        <v>0</v>
      </c>
      <c r="K387" s="4">
        <f>COUNTIFS(FieldDisagreements!D2:D50, A387)</f>
        <v>0</v>
      </c>
      <c r="L387" s="4" t="b">
        <f>K387 &gt; 0</f>
        <v>0</v>
      </c>
      <c r="M387" s="3" t="s">
        <v>2418</v>
      </c>
    </row>
    <row r="388">
      <c r="A388" s="3" t="s">
        <v>3038</v>
      </c>
      <c r="B388" s="4" t="str">
        <f>C388 &amp; "." &amp; D388</f>
        <v>StepFunctions.Function</v>
      </c>
      <c r="C388" s="3" t="s">
        <v>3034</v>
      </c>
      <c r="D388" s="3" t="s">
        <v>779</v>
      </c>
      <c r="E388" s="3" t="s">
        <v>2465</v>
      </c>
      <c r="F388" s="3" t="s">
        <v>2417</v>
      </c>
      <c r="G388" s="3"/>
      <c r="H388" s="3"/>
      <c r="I388" s="4" t="b">
        <f>OR(((E388 = "calculated")=TRUE), ((E388 = "lookup")=TRUE), ((E388 = "aggregation")=TRUE))</f>
        <v>0</v>
      </c>
      <c r="J388" s="4" t="b">
        <f>H388 &lt;&gt; ""</f>
        <v>0</v>
      </c>
      <c r="K388" s="4">
        <f>COUNTIFS(FieldDisagreements!D2:D50, A388)</f>
        <v>0</v>
      </c>
      <c r="L388" s="4" t="b">
        <f>K388 &gt; 0</f>
        <v>0</v>
      </c>
      <c r="M388" s="3" t="s">
        <v>2418</v>
      </c>
    </row>
    <row r="389">
      <c r="A389" s="3" t="s">
        <v>3039</v>
      </c>
      <c r="B389" s="4" t="str">
        <f>C389 &amp; "." &amp; D389</f>
        <v>StepTools.StepToolId</v>
      </c>
      <c r="C389" s="3" t="s">
        <v>3040</v>
      </c>
      <c r="D389" s="3" t="s">
        <v>788</v>
      </c>
      <c r="E389" s="3" t="s">
        <v>2416</v>
      </c>
      <c r="F389" s="3" t="s">
        <v>2417</v>
      </c>
      <c r="G389" s="3"/>
      <c r="H389" s="3"/>
      <c r="I389" s="4" t="b">
        <f>OR(((E389 = "calculated")=TRUE), ((E389 = "lookup")=TRUE), ((E389 = "aggregation")=TRUE))</f>
        <v>0</v>
      </c>
      <c r="J389" s="4" t="b">
        <f>H389 &lt;&gt; ""</f>
        <v>0</v>
      </c>
      <c r="K389" s="4">
        <f>COUNTIFS(FieldDisagreements!D2:D50, A389)</f>
        <v>0</v>
      </c>
      <c r="L389" s="4" t="b">
        <f>K389 &gt; 0</f>
        <v>0</v>
      </c>
      <c r="M389" s="3" t="s">
        <v>2418</v>
      </c>
    </row>
    <row r="390">
      <c r="A390" s="3" t="s">
        <v>3041</v>
      </c>
      <c r="B390" s="4" t="str">
        <f>C390 &amp; "." &amp; D390</f>
        <v>StepTools.Name</v>
      </c>
      <c r="C390" s="3" t="s">
        <v>3040</v>
      </c>
      <c r="D390" s="3" t="s">
        <v>1</v>
      </c>
      <c r="E390" s="3" t="s">
        <v>2420</v>
      </c>
      <c r="F390" s="3" t="s">
        <v>2417</v>
      </c>
      <c r="G390" s="3" t="s">
        <v>3042</v>
      </c>
      <c r="H390" s="3"/>
      <c r="I390" s="4" t="b">
        <f>OR(((E390 = "calculated")=TRUE), ((E390 = "lookup")=TRUE), ((E390 = "aggregation")=TRUE))</f>
        <v>1</v>
      </c>
      <c r="J390" s="4" t="b">
        <f>H390 &lt;&gt; ""</f>
        <v>0</v>
      </c>
      <c r="K390" s="4">
        <f>COUNTIFS(FieldDisagreements!D2:D50, A390)</f>
        <v>0</v>
      </c>
      <c r="L390" s="4" t="b">
        <f>K390 &gt; 0</f>
        <v>0</v>
      </c>
      <c r="M390" s="3" t="s">
        <v>2418</v>
      </c>
    </row>
    <row r="391">
      <c r="A391" s="3" t="s">
        <v>3043</v>
      </c>
      <c r="B391" s="4" t="str">
        <f>C391 &amp; "." &amp; D391</f>
        <v>StepTools.Step</v>
      </c>
      <c r="C391" s="3" t="s">
        <v>3040</v>
      </c>
      <c r="D391" s="3" t="s">
        <v>767</v>
      </c>
      <c r="E391" s="3" t="s">
        <v>2465</v>
      </c>
      <c r="F391" s="3" t="s">
        <v>2417</v>
      </c>
      <c r="G391" s="3"/>
      <c r="H391" s="3"/>
      <c r="I391" s="4" t="b">
        <f>OR(((E391 = "calculated")=TRUE), ((E391 = "lookup")=TRUE), ((E391 = "aggregation")=TRUE))</f>
        <v>0</v>
      </c>
      <c r="J391" s="4" t="b">
        <f>H391 &lt;&gt; ""</f>
        <v>0</v>
      </c>
      <c r="K391" s="4">
        <f>COUNTIFS(FieldDisagreements!D2:D50, A391)</f>
        <v>0</v>
      </c>
      <c r="L391" s="4" t="b">
        <f>K391 &gt; 0</f>
        <v>0</v>
      </c>
      <c r="M391" s="3" t="s">
        <v>2418</v>
      </c>
    </row>
    <row r="392">
      <c r="A392" s="3" t="s">
        <v>3044</v>
      </c>
      <c r="B392" s="4" t="str">
        <f>C392 &amp; "." &amp; D392</f>
        <v>StepTools.Tool</v>
      </c>
      <c r="C392" s="3" t="s">
        <v>3040</v>
      </c>
      <c r="D392" s="3" t="s">
        <v>789</v>
      </c>
      <c r="E392" s="3" t="s">
        <v>2465</v>
      </c>
      <c r="F392" s="3" t="s">
        <v>2417</v>
      </c>
      <c r="G392" s="3"/>
      <c r="H392" s="3"/>
      <c r="I392" s="4" t="b">
        <f>OR(((E392 = "calculated")=TRUE), ((E392 = "lookup")=TRUE), ((E392 = "aggregation")=TRUE))</f>
        <v>0</v>
      </c>
      <c r="J392" s="4" t="b">
        <f>H392 &lt;&gt; ""</f>
        <v>0</v>
      </c>
      <c r="K392" s="4">
        <f>COUNTIFS(FieldDisagreements!D2:D50, A392)</f>
        <v>0</v>
      </c>
      <c r="L392" s="4" t="b">
        <f>K392 &gt; 0</f>
        <v>0</v>
      </c>
      <c r="M392" s="3" t="s">
        <v>2418</v>
      </c>
    </row>
    <row r="393">
      <c r="A393" s="3" t="s">
        <v>3045</v>
      </c>
      <c r="B393" s="4" t="str">
        <f>C393 &amp; "." &amp; D393</f>
        <v>Requirements.RequirementId</v>
      </c>
      <c r="C393" s="3" t="s">
        <v>1805</v>
      </c>
      <c r="D393" s="3" t="s">
        <v>800</v>
      </c>
      <c r="E393" s="3" t="s">
        <v>2416</v>
      </c>
      <c r="F393" s="3" t="s">
        <v>2417</v>
      </c>
      <c r="G393" s="3"/>
      <c r="H393" s="3"/>
      <c r="I393" s="4" t="b">
        <f>OR(((E393 = "calculated")=TRUE), ((E393 = "lookup")=TRUE), ((E393 = "aggregation")=TRUE))</f>
        <v>0</v>
      </c>
      <c r="J393" s="4" t="b">
        <f>H393 &lt;&gt; ""</f>
        <v>0</v>
      </c>
      <c r="K393" s="4">
        <f>COUNTIFS(FieldDisagreements!D2:D50, A393)</f>
        <v>0</v>
      </c>
      <c r="L393" s="4" t="b">
        <f>K393 &gt; 0</f>
        <v>0</v>
      </c>
      <c r="M393" s="3" t="s">
        <v>2418</v>
      </c>
    </row>
    <row r="394">
      <c r="A394" s="3" t="s">
        <v>3046</v>
      </c>
      <c r="B394" s="4" t="str">
        <f>C394 &amp; "." &amp; D394</f>
        <v>Requirements.Name</v>
      </c>
      <c r="C394" s="3" t="s">
        <v>1805</v>
      </c>
      <c r="D394" s="3" t="s">
        <v>1</v>
      </c>
      <c r="E394" s="3" t="s">
        <v>2420</v>
      </c>
      <c r="F394" s="3" t="s">
        <v>2417</v>
      </c>
      <c r="G394" s="3" t="s">
        <v>2504</v>
      </c>
      <c r="H394" s="3"/>
      <c r="I394" s="4" t="b">
        <f>OR(((E394 = "calculated")=TRUE), ((E394 = "lookup")=TRUE), ((E394 = "aggregation")=TRUE))</f>
        <v>1</v>
      </c>
      <c r="J394" s="4" t="b">
        <f>H394 &lt;&gt; ""</f>
        <v>0</v>
      </c>
      <c r="K394" s="4">
        <f>COUNTIFS(FieldDisagreements!D2:D50, A394)</f>
        <v>0</v>
      </c>
      <c r="L394" s="4" t="b">
        <f>K394 &gt; 0</f>
        <v>0</v>
      </c>
      <c r="M394" s="3" t="s">
        <v>2418</v>
      </c>
    </row>
    <row r="395">
      <c r="A395" s="3" t="s">
        <v>3047</v>
      </c>
      <c r="B395" s="4" t="str">
        <f>C395 &amp; "." &amp; D395</f>
        <v>Requirements.Label</v>
      </c>
      <c r="C395" s="3" t="s">
        <v>1805</v>
      </c>
      <c r="D395" s="3" t="s">
        <v>19</v>
      </c>
      <c r="E395" s="3" t="s">
        <v>2416</v>
      </c>
      <c r="F395" s="3" t="s">
        <v>2417</v>
      </c>
      <c r="G395" s="3"/>
      <c r="H395" s="3"/>
      <c r="I395" s="4" t="b">
        <f>OR(((E395 = "calculated")=TRUE), ((E395 = "lookup")=TRUE), ((E395 = "aggregation")=TRUE))</f>
        <v>0</v>
      </c>
      <c r="J395" s="4" t="b">
        <f>H395 &lt;&gt; ""</f>
        <v>0</v>
      </c>
      <c r="K395" s="4">
        <f>COUNTIFS(FieldDisagreements!D2:D50, A395)</f>
        <v>0</v>
      </c>
      <c r="L395" s="4" t="b">
        <f>K395 &gt; 0</f>
        <v>0</v>
      </c>
      <c r="M395" s="3" t="s">
        <v>2418</v>
      </c>
    </row>
    <row r="396">
      <c r="A396" s="3" t="s">
        <v>3048</v>
      </c>
      <c r="B396" s="4" t="str">
        <f>C396 &amp; "." &amp; D396</f>
        <v>Requirements.RequirementType</v>
      </c>
      <c r="C396" s="3" t="s">
        <v>1805</v>
      </c>
      <c r="D396" s="3" t="s">
        <v>801</v>
      </c>
      <c r="E396" s="3" t="s">
        <v>2416</v>
      </c>
      <c r="F396" s="3" t="s">
        <v>2417</v>
      </c>
      <c r="G396" s="3"/>
      <c r="H396" s="3"/>
      <c r="I396" s="4" t="b">
        <f>OR(((E396 = "calculated")=TRUE), ((E396 = "lookup")=TRUE), ((E396 = "aggregation")=TRUE))</f>
        <v>0</v>
      </c>
      <c r="J396" s="4" t="b">
        <f>H396 &lt;&gt; ""</f>
        <v>0</v>
      </c>
      <c r="K396" s="4">
        <f>COUNTIFS(FieldDisagreements!D2:D50, A396)</f>
        <v>0</v>
      </c>
      <c r="L396" s="4" t="b">
        <f>K396 &gt; 0</f>
        <v>0</v>
      </c>
      <c r="M396" s="3" t="s">
        <v>2418</v>
      </c>
    </row>
    <row r="397">
      <c r="A397" s="3" t="s">
        <v>3049</v>
      </c>
      <c r="B397" s="4" t="str">
        <f>C397 &amp; "." &amp; D397</f>
        <v>Requirements.Statement</v>
      </c>
      <c r="C397" s="3" t="s">
        <v>1805</v>
      </c>
      <c r="D397" s="3" t="s">
        <v>802</v>
      </c>
      <c r="E397" s="3" t="s">
        <v>2416</v>
      </c>
      <c r="F397" s="3" t="s">
        <v>2417</v>
      </c>
      <c r="G397" s="3"/>
      <c r="H397" s="3"/>
      <c r="I397" s="4" t="b">
        <f>OR(((E397 = "calculated")=TRUE), ((E397 = "lookup")=TRUE), ((E397 = "aggregation")=TRUE))</f>
        <v>0</v>
      </c>
      <c r="J397" s="4" t="b">
        <f>H397 &lt;&gt; ""</f>
        <v>0</v>
      </c>
      <c r="K397" s="4">
        <f>COUNTIFS(FieldDisagreements!D2:D50, A397)</f>
        <v>0</v>
      </c>
      <c r="L397" s="4" t="b">
        <f>K397 &gt; 0</f>
        <v>0</v>
      </c>
      <c r="M397" s="3" t="s">
        <v>2418</v>
      </c>
    </row>
    <row r="398">
      <c r="A398" s="3" t="s">
        <v>3050</v>
      </c>
      <c r="B398" s="4" t="str">
        <f>C398 &amp; "." &amp; D398</f>
        <v>Requirements.Rationale</v>
      </c>
      <c r="C398" s="3" t="s">
        <v>1805</v>
      </c>
      <c r="D398" s="3" t="s">
        <v>93</v>
      </c>
      <c r="E398" s="3" t="s">
        <v>2416</v>
      </c>
      <c r="F398" s="3" t="s">
        <v>2417</v>
      </c>
      <c r="G398" s="3"/>
      <c r="H398" s="3"/>
      <c r="I398" s="4" t="b">
        <f>OR(((E398 = "calculated")=TRUE), ((E398 = "lookup")=TRUE), ((E398 = "aggregation")=TRUE))</f>
        <v>0</v>
      </c>
      <c r="J398" s="4" t="b">
        <f>H398 &lt;&gt; ""</f>
        <v>0</v>
      </c>
      <c r="K398" s="4">
        <f>COUNTIFS(FieldDisagreements!D2:D50, A398)</f>
        <v>0</v>
      </c>
      <c r="L398" s="4" t="b">
        <f>K398 &gt; 0</f>
        <v>0</v>
      </c>
      <c r="M398" s="3" t="s">
        <v>2418</v>
      </c>
    </row>
    <row r="399">
      <c r="A399" s="3" t="s">
        <v>3051</v>
      </c>
      <c r="B399" s="4" t="str">
        <f>C399 &amp; "." &amp; D399</f>
        <v>Requirements.IsBlocking</v>
      </c>
      <c r="C399" s="3" t="s">
        <v>1805</v>
      </c>
      <c r="D399" s="3" t="s">
        <v>803</v>
      </c>
      <c r="E399" s="3" t="s">
        <v>2416</v>
      </c>
      <c r="F399" s="3" t="s">
        <v>2432</v>
      </c>
      <c r="G399" s="3"/>
      <c r="H399" s="3"/>
      <c r="I399" s="4" t="b">
        <f>OR(((E399 = "calculated")=TRUE), ((E399 = "lookup")=TRUE), ((E399 = "aggregation")=TRUE))</f>
        <v>0</v>
      </c>
      <c r="J399" s="4" t="b">
        <f>H399 &lt;&gt; ""</f>
        <v>0</v>
      </c>
      <c r="K399" s="4">
        <f>COUNTIFS(FieldDisagreements!D2:D50, A399)</f>
        <v>0</v>
      </c>
      <c r="L399" s="4" t="b">
        <f>K399 &gt; 0</f>
        <v>0</v>
      </c>
      <c r="M399" s="3" t="s">
        <v>2418</v>
      </c>
    </row>
    <row r="400">
      <c r="A400" s="3" t="s">
        <v>3052</v>
      </c>
      <c r="B400" s="4" t="str">
        <f>C400 &amp; "." &amp; D400</f>
        <v>Requirements.SatisfactionRecordCount</v>
      </c>
      <c r="C400" s="3" t="s">
        <v>1805</v>
      </c>
      <c r="D400" s="3" t="s">
        <v>804</v>
      </c>
      <c r="E400" s="3" t="s">
        <v>2469</v>
      </c>
      <c r="F400" s="3" t="s">
        <v>2475</v>
      </c>
      <c r="G400" s="3" t="s">
        <v>3053</v>
      </c>
      <c r="H400" s="3" t="s">
        <v>1987</v>
      </c>
      <c r="I400" s="4" t="b">
        <f>OR(((E400 = "calculated")=TRUE), ((E400 = "lookup")=TRUE), ((E400 = "aggregation")=TRUE))</f>
        <v>1</v>
      </c>
      <c r="J400" s="4" t="b">
        <f>H400 &lt;&gt; ""</f>
        <v>1</v>
      </c>
      <c r="K400" s="4">
        <f>COUNTIFS(FieldDisagreements!D2:D50, A400)</f>
        <v>0</v>
      </c>
      <c r="L400" s="4" t="b">
        <f>K400 &gt; 0</f>
        <v>0</v>
      </c>
      <c r="M400" s="3" t="s">
        <v>2418</v>
      </c>
    </row>
    <row r="401">
      <c r="A401" s="3" t="s">
        <v>3054</v>
      </c>
      <c r="B401" s="4" t="str">
        <f>C401 &amp; "." &amp; D401</f>
        <v>Requirements.StepBindingCount</v>
      </c>
      <c r="C401" s="3" t="s">
        <v>1805</v>
      </c>
      <c r="D401" s="3" t="s">
        <v>805</v>
      </c>
      <c r="E401" s="3" t="s">
        <v>2469</v>
      </c>
      <c r="F401" s="3" t="s">
        <v>2475</v>
      </c>
      <c r="G401" s="3" t="s">
        <v>3055</v>
      </c>
      <c r="H401" s="3" t="s">
        <v>1987</v>
      </c>
      <c r="I401" s="4" t="b">
        <f>OR(((E401 = "calculated")=TRUE), ((E401 = "lookup")=TRUE), ((E401 = "aggregation")=TRUE))</f>
        <v>1</v>
      </c>
      <c r="J401" s="4" t="b">
        <f>H401 &lt;&gt; ""</f>
        <v>1</v>
      </c>
      <c r="K401" s="4">
        <f>COUNTIFS(FieldDisagreements!D2:D50, A401)</f>
        <v>0</v>
      </c>
      <c r="L401" s="4" t="b">
        <f>K401 &gt; 0</f>
        <v>0</v>
      </c>
      <c r="M401" s="3" t="s">
        <v>2418</v>
      </c>
    </row>
    <row r="402">
      <c r="A402" s="3" t="s">
        <v>3056</v>
      </c>
      <c r="B402" s="4" t="str">
        <f>C402 &amp; "." &amp; D402</f>
        <v>Requirements.IsBoundToAnyStep</v>
      </c>
      <c r="C402" s="3" t="s">
        <v>1805</v>
      </c>
      <c r="D402" s="3" t="s">
        <v>806</v>
      </c>
      <c r="E402" s="3" t="s">
        <v>2420</v>
      </c>
      <c r="F402" s="3" t="s">
        <v>2432</v>
      </c>
      <c r="G402" s="3" t="s">
        <v>3057</v>
      </c>
      <c r="H402" s="3" t="s">
        <v>1987</v>
      </c>
      <c r="I402" s="4" t="b">
        <f>OR(((E402 = "calculated")=TRUE), ((E402 = "lookup")=TRUE), ((E402 = "aggregation")=TRUE))</f>
        <v>1</v>
      </c>
      <c r="J402" s="4" t="b">
        <f>H402 &lt;&gt; ""</f>
        <v>1</v>
      </c>
      <c r="K402" s="4">
        <f>COUNTIFS(FieldDisagreements!D2:D50, A402)</f>
        <v>0</v>
      </c>
      <c r="L402" s="4" t="b">
        <f>K402 &gt; 0</f>
        <v>0</v>
      </c>
      <c r="M402" s="3" t="s">
        <v>2418</v>
      </c>
    </row>
    <row r="403">
      <c r="A403" s="3" t="s">
        <v>3058</v>
      </c>
      <c r="B403" s="4" t="str">
        <f>C403 &amp; "." &amp; D403</f>
        <v>Requirements.HasEverBeenEvaluated</v>
      </c>
      <c r="C403" s="3" t="s">
        <v>1805</v>
      </c>
      <c r="D403" s="3" t="s">
        <v>807</v>
      </c>
      <c r="E403" s="3" t="s">
        <v>2420</v>
      </c>
      <c r="F403" s="3" t="s">
        <v>2432</v>
      </c>
      <c r="G403" s="3" t="s">
        <v>3059</v>
      </c>
      <c r="H403" s="3" t="s">
        <v>1987</v>
      </c>
      <c r="I403" s="4" t="b">
        <f>OR(((E403 = "calculated")=TRUE), ((E403 = "lookup")=TRUE), ((E403 = "aggregation")=TRUE))</f>
        <v>1</v>
      </c>
      <c r="J403" s="4" t="b">
        <f>H403 &lt;&gt; ""</f>
        <v>1</v>
      </c>
      <c r="K403" s="4">
        <f>COUNTIFS(FieldDisagreements!D2:D50, A403)</f>
        <v>0</v>
      </c>
      <c r="L403" s="4" t="b">
        <f>K403 &gt; 0</f>
        <v>0</v>
      </c>
      <c r="M403" s="3" t="s">
        <v>2418</v>
      </c>
    </row>
    <row r="404">
      <c r="A404" s="3" t="s">
        <v>3060</v>
      </c>
      <c r="B404" s="4" t="str">
        <f>C404 &amp; "." &amp; D404</f>
        <v>Requirements.NegativeOutcomeCount</v>
      </c>
      <c r="C404" s="3" t="s">
        <v>1805</v>
      </c>
      <c r="D404" s="3" t="s">
        <v>808</v>
      </c>
      <c r="E404" s="3" t="s">
        <v>2469</v>
      </c>
      <c r="F404" s="3" t="s">
        <v>2475</v>
      </c>
      <c r="G404" s="3" t="s">
        <v>3061</v>
      </c>
      <c r="H404" s="3" t="s">
        <v>1987</v>
      </c>
      <c r="I404" s="4" t="b">
        <f>OR(((E404 = "calculated")=TRUE), ((E404 = "lookup")=TRUE), ((E404 = "aggregation")=TRUE))</f>
        <v>1</v>
      </c>
      <c r="J404" s="4" t="b">
        <f>H404 &lt;&gt; ""</f>
        <v>1</v>
      </c>
      <c r="K404" s="4">
        <f>COUNTIFS(FieldDisagreements!D2:D50, A404)</f>
        <v>0</v>
      </c>
      <c r="L404" s="4" t="b">
        <f>K404 &gt; 0</f>
        <v>0</v>
      </c>
      <c r="M404" s="3" t="s">
        <v>2418</v>
      </c>
    </row>
    <row r="405">
      <c r="A405" s="3" t="s">
        <v>3062</v>
      </c>
      <c r="B405" s="4" t="str">
        <f>C405 &amp; "." &amp; D405</f>
        <v>Requirements.IsInoperativeControl</v>
      </c>
      <c r="C405" s="3" t="s">
        <v>1805</v>
      </c>
      <c r="D405" s="3" t="s">
        <v>809</v>
      </c>
      <c r="E405" s="3" t="s">
        <v>2420</v>
      </c>
      <c r="F405" s="3" t="s">
        <v>2432</v>
      </c>
      <c r="G405" s="3" t="s">
        <v>3063</v>
      </c>
      <c r="H405" s="3" t="s">
        <v>1987</v>
      </c>
      <c r="I405" s="4" t="b">
        <f>OR(((E405 = "calculated")=TRUE), ((E405 = "lookup")=TRUE), ((E405 = "aggregation")=TRUE))</f>
        <v>1</v>
      </c>
      <c r="J405" s="4" t="b">
        <f>H405 &lt;&gt; ""</f>
        <v>1</v>
      </c>
      <c r="K405" s="4">
        <f>COUNTIFS(FieldDisagreements!D2:D50, A405)</f>
        <v>0</v>
      </c>
      <c r="L405" s="4" t="b">
        <f>K405 &gt; 0</f>
        <v>0</v>
      </c>
      <c r="M405" s="3" t="s">
        <v>2418</v>
      </c>
    </row>
    <row r="406">
      <c r="A406" s="3" t="s">
        <v>3064</v>
      </c>
      <c r="B406" s="4" t="str">
        <f>C406 &amp; "." &amp; D406</f>
        <v>Requirements.IsDecorativeControl</v>
      </c>
      <c r="C406" s="3" t="s">
        <v>1805</v>
      </c>
      <c r="D406" s="3" t="s">
        <v>810</v>
      </c>
      <c r="E406" s="3" t="s">
        <v>2420</v>
      </c>
      <c r="F406" s="3" t="s">
        <v>2432</v>
      </c>
      <c r="G406" s="3" t="s">
        <v>3065</v>
      </c>
      <c r="H406" s="3" t="s">
        <v>1987</v>
      </c>
      <c r="I406" s="4" t="b">
        <f>OR(((E406 = "calculated")=TRUE), ((E406 = "lookup")=TRUE), ((E406 = "aggregation")=TRUE))</f>
        <v>1</v>
      </c>
      <c r="J406" s="4" t="b">
        <f>H406 &lt;&gt; ""</f>
        <v>1</v>
      </c>
      <c r="K406" s="4">
        <f>COUNTIFS(FieldDisagreements!D2:D50, A406)</f>
        <v>0</v>
      </c>
      <c r="L406" s="4" t="b">
        <f>K406 &gt; 0</f>
        <v>0</v>
      </c>
      <c r="M406" s="3" t="s">
        <v>2418</v>
      </c>
    </row>
    <row r="407">
      <c r="A407" s="3" t="s">
        <v>3066</v>
      </c>
      <c r="B407" s="4" t="str">
        <f>C407 &amp; "." &amp; D407</f>
        <v>Requirements.HasComputedWitness</v>
      </c>
      <c r="C407" s="3" t="s">
        <v>1805</v>
      </c>
      <c r="D407" s="3" t="s">
        <v>811</v>
      </c>
      <c r="E407" s="3" t="s">
        <v>2416</v>
      </c>
      <c r="F407" s="3" t="s">
        <v>2432</v>
      </c>
      <c r="G407" s="3"/>
      <c r="H407" s="3" t="s">
        <v>2015</v>
      </c>
      <c r="I407" s="4" t="b">
        <f>OR(((E407 = "calculated")=TRUE), ((E407 = "lookup")=TRUE), ((E407 = "aggregation")=TRUE))</f>
        <v>0</v>
      </c>
      <c r="J407" s="4" t="b">
        <f>H407 &lt;&gt; ""</f>
        <v>1</v>
      </c>
      <c r="K407" s="4">
        <f>COUNTIFS(FieldDisagreements!D2:D50, A407)</f>
        <v>0</v>
      </c>
      <c r="L407" s="4" t="b">
        <f>K407 &gt; 0</f>
        <v>0</v>
      </c>
      <c r="M407" s="3" t="s">
        <v>2418</v>
      </c>
    </row>
    <row r="408">
      <c r="A408" s="3" t="s">
        <v>3067</v>
      </c>
      <c r="B408" s="4" t="str">
        <f>C408 &amp; "." &amp; D408</f>
        <v>Requirements.WitnessFieldName</v>
      </c>
      <c r="C408" s="3" t="s">
        <v>1805</v>
      </c>
      <c r="D408" s="3" t="s">
        <v>812</v>
      </c>
      <c r="E408" s="3" t="s">
        <v>2416</v>
      </c>
      <c r="F408" s="3" t="s">
        <v>2417</v>
      </c>
      <c r="G408" s="3"/>
      <c r="H408" s="3" t="s">
        <v>2015</v>
      </c>
      <c r="I408" s="4" t="b">
        <f>OR(((E408 = "calculated")=TRUE), ((E408 = "lookup")=TRUE), ((E408 = "aggregation")=TRUE))</f>
        <v>0</v>
      </c>
      <c r="J408" s="4" t="b">
        <f>H408 &lt;&gt; ""</f>
        <v>1</v>
      </c>
      <c r="K408" s="4">
        <f>COUNTIFS(FieldDisagreements!D2:D50, A408)</f>
        <v>0</v>
      </c>
      <c r="L408" s="4" t="b">
        <f>K408 &gt; 0</f>
        <v>0</v>
      </c>
      <c r="M408" s="3" t="s">
        <v>2418</v>
      </c>
    </row>
    <row r="409">
      <c r="A409" s="3" t="s">
        <v>3068</v>
      </c>
      <c r="B409" s="4" t="str">
        <f>C409 &amp; "." &amp; D409</f>
        <v>Requirements.HasEverProducedNegative</v>
      </c>
      <c r="C409" s="3" t="s">
        <v>1805</v>
      </c>
      <c r="D409" s="3" t="s">
        <v>813</v>
      </c>
      <c r="E409" s="3" t="s">
        <v>2420</v>
      </c>
      <c r="F409" s="3" t="s">
        <v>2432</v>
      </c>
      <c r="G409" s="3" t="s">
        <v>3069</v>
      </c>
      <c r="H409" s="3" t="s">
        <v>2259</v>
      </c>
      <c r="I409" s="4" t="b">
        <f>OR(((E409 = "calculated")=TRUE), ((E409 = "lookup")=TRUE), ((E409 = "aggregation")=TRUE))</f>
        <v>1</v>
      </c>
      <c r="J409" s="4" t="b">
        <f>H409 &lt;&gt; ""</f>
        <v>1</v>
      </c>
      <c r="K409" s="4">
        <f>COUNTIFS(FieldDisagreements!D2:D50, A409)</f>
        <v>0</v>
      </c>
      <c r="L409" s="4" t="b">
        <f>K409 &gt; 0</f>
        <v>0</v>
      </c>
      <c r="M409" s="3" t="s">
        <v>2418</v>
      </c>
    </row>
    <row r="410">
      <c r="A410" s="3" t="s">
        <v>3070</v>
      </c>
      <c r="B410" s="4" t="str">
        <f>C410 &amp; "." &amp; D410</f>
        <v>Requirements.IsUnfalsifiedControl</v>
      </c>
      <c r="C410" s="3" t="s">
        <v>1805</v>
      </c>
      <c r="D410" s="3" t="s">
        <v>814</v>
      </c>
      <c r="E410" s="3" t="s">
        <v>2420</v>
      </c>
      <c r="F410" s="3" t="s">
        <v>2432</v>
      </c>
      <c r="G410" s="3" t="s">
        <v>3071</v>
      </c>
      <c r="H410" s="3" t="s">
        <v>2259</v>
      </c>
      <c r="I410" s="4" t="b">
        <f>OR(((E410 = "calculated")=TRUE), ((E410 = "lookup")=TRUE), ((E410 = "aggregation")=TRUE))</f>
        <v>1</v>
      </c>
      <c r="J410" s="4" t="b">
        <f>H410 &lt;&gt; ""</f>
        <v>1</v>
      </c>
      <c r="K410" s="4">
        <f>COUNTIFS(FieldDisagreements!D2:D50, A410)</f>
        <v>0</v>
      </c>
      <c r="L410" s="4" t="b">
        <f>K410 &gt; 0</f>
        <v>0</v>
      </c>
      <c r="M410" s="3" t="s">
        <v>2418</v>
      </c>
    </row>
    <row r="411">
      <c r="A411" s="3" t="s">
        <v>3072</v>
      </c>
      <c r="B411" s="4" t="str">
        <f>C411 &amp; "." &amp; D411</f>
        <v>Requirements.ClaimsAWitnessField</v>
      </c>
      <c r="C411" s="3" t="s">
        <v>1805</v>
      </c>
      <c r="D411" s="3" t="s">
        <v>815</v>
      </c>
      <c r="E411" s="3" t="s">
        <v>2420</v>
      </c>
      <c r="F411" s="3" t="s">
        <v>2432</v>
      </c>
      <c r="G411" s="3" t="s">
        <v>3073</v>
      </c>
      <c r="H411" s="3" t="s">
        <v>2267</v>
      </c>
      <c r="I411" s="4" t="b">
        <f>OR(((E411 = "calculated")=TRUE), ((E411 = "lookup")=TRUE), ((E411 = "aggregation")=TRUE))</f>
        <v>1</v>
      </c>
      <c r="J411" s="4" t="b">
        <f>H411 &lt;&gt; ""</f>
        <v>1</v>
      </c>
      <c r="K411" s="4">
        <f>COUNTIFS(FieldDisagreements!D2:D50, A411)</f>
        <v>0</v>
      </c>
      <c r="L411" s="4" t="b">
        <f>K411 &gt; 0</f>
        <v>0</v>
      </c>
      <c r="M411" s="3" t="s">
        <v>2418</v>
      </c>
    </row>
    <row r="412">
      <c r="A412" s="3" t="s">
        <v>3074</v>
      </c>
      <c r="B412" s="4" t="str">
        <f>C412 &amp; "." &amp; D412</f>
        <v>Requirements.NamedWitnessFieldExists</v>
      </c>
      <c r="C412" s="3" t="s">
        <v>1805</v>
      </c>
      <c r="D412" s="3" t="s">
        <v>816</v>
      </c>
      <c r="E412" s="3" t="s">
        <v>2509</v>
      </c>
      <c r="F412" s="3" t="s">
        <v>2432</v>
      </c>
      <c r="G412" s="3" t="s">
        <v>3075</v>
      </c>
      <c r="H412" s="3" t="s">
        <v>2267</v>
      </c>
      <c r="I412" s="4" t="b">
        <f>OR(((E412 = "calculated")=TRUE), ((E412 = "lookup")=TRUE), ((E412 = "aggregation")=TRUE))</f>
        <v>1</v>
      </c>
      <c r="J412" s="4" t="b">
        <f>H412 &lt;&gt; ""</f>
        <v>1</v>
      </c>
      <c r="K412" s="4">
        <f>COUNTIFS(FieldDisagreements!D2:D50, A412)</f>
        <v>0</v>
      </c>
      <c r="L412" s="4" t="b">
        <f>K412 &gt; 0</f>
        <v>0</v>
      </c>
      <c r="M412" s="3" t="s">
        <v>2418</v>
      </c>
    </row>
    <row r="413">
      <c r="A413" s="3" t="s">
        <v>3076</v>
      </c>
      <c r="B413" s="4" t="str">
        <f>C413 &amp; "." &amp; D413</f>
        <v>Requirements.DerivedHasComputedWitness</v>
      </c>
      <c r="C413" s="3" t="s">
        <v>1805</v>
      </c>
      <c r="D413" s="3" t="s">
        <v>817</v>
      </c>
      <c r="E413" s="3" t="s">
        <v>2420</v>
      </c>
      <c r="F413" s="3" t="s">
        <v>2432</v>
      </c>
      <c r="G413" s="3" t="s">
        <v>3077</v>
      </c>
      <c r="H413" s="3" t="s">
        <v>2267</v>
      </c>
      <c r="I413" s="4" t="b">
        <f>OR(((E413 = "calculated")=TRUE), ((E413 = "lookup")=TRUE), ((E413 = "aggregation")=TRUE))</f>
        <v>1</v>
      </c>
      <c r="J413" s="4" t="b">
        <f>H413 &lt;&gt; ""</f>
        <v>1</v>
      </c>
      <c r="K413" s="4">
        <f>COUNTIFS(FieldDisagreements!D2:D50, A413)</f>
        <v>0</v>
      </c>
      <c r="L413" s="4" t="b">
        <f>K413 &gt; 0</f>
        <v>0</v>
      </c>
      <c r="M413" s="3" t="s">
        <v>2418</v>
      </c>
    </row>
    <row r="414">
      <c r="A414" s="3" t="s">
        <v>3078</v>
      </c>
      <c r="B414" s="4" t="str">
        <f>C414 &amp; "." &amp; D414</f>
        <v>Requirements.WitnessClaimIsUnverified</v>
      </c>
      <c r="C414" s="3" t="s">
        <v>1805</v>
      </c>
      <c r="D414" s="3" t="s">
        <v>818</v>
      </c>
      <c r="E414" s="3" t="s">
        <v>2420</v>
      </c>
      <c r="F414" s="3" t="s">
        <v>2432</v>
      </c>
      <c r="G414" s="3" t="s">
        <v>3079</v>
      </c>
      <c r="H414" s="3" t="s">
        <v>2267</v>
      </c>
      <c r="I414" s="4" t="b">
        <f>OR(((E414 = "calculated")=TRUE), ((E414 = "lookup")=TRUE), ((E414 = "aggregation")=TRUE))</f>
        <v>1</v>
      </c>
      <c r="J414" s="4" t="b">
        <f>H414 &lt;&gt; ""</f>
        <v>1</v>
      </c>
      <c r="K414" s="4">
        <f>COUNTIFS(FieldDisagreements!D2:D50, A414)</f>
        <v>0</v>
      </c>
      <c r="L414" s="4" t="b">
        <f>K414 &gt; 0</f>
        <v>0</v>
      </c>
      <c r="M414" s="3" t="s">
        <v>2418</v>
      </c>
    </row>
    <row r="415">
      <c r="A415" s="3" t="s">
        <v>3080</v>
      </c>
      <c r="B415" s="4" t="str">
        <f>C415 &amp; "." &amp; D415</f>
        <v>Requirements.IsUnwitnessedBlockingControl</v>
      </c>
      <c r="C415" s="3" t="s">
        <v>1805</v>
      </c>
      <c r="D415" s="3" t="s">
        <v>819</v>
      </c>
      <c r="E415" s="3" t="s">
        <v>2420</v>
      </c>
      <c r="F415" s="3" t="s">
        <v>2432</v>
      </c>
      <c r="G415" s="3" t="s">
        <v>3081</v>
      </c>
      <c r="H415" s="3" t="s">
        <v>2267</v>
      </c>
      <c r="I415" s="4" t="b">
        <f>OR(((E415 = "calculated")=TRUE), ((E415 = "lookup")=TRUE), ((E415 = "aggregation")=TRUE))</f>
        <v>1</v>
      </c>
      <c r="J415" s="4" t="b">
        <f>H415 &lt;&gt; ""</f>
        <v>1</v>
      </c>
      <c r="K415" s="4">
        <f>COUNTIFS(FieldDisagreements!D2:D50, A415)</f>
        <v>0</v>
      </c>
      <c r="L415" s="4" t="b">
        <f>K415 &gt; 0</f>
        <v>0</v>
      </c>
      <c r="M415" s="3" t="s">
        <v>2418</v>
      </c>
    </row>
    <row r="416">
      <c r="A416" s="3" t="s">
        <v>3082</v>
      </c>
      <c r="B416" s="4" t="str">
        <f>C416 &amp; "." &amp; D416</f>
        <v>Requirements.WitnessFireCount</v>
      </c>
      <c r="C416" s="3" t="s">
        <v>1805</v>
      </c>
      <c r="D416" s="3" t="s">
        <v>820</v>
      </c>
      <c r="E416" s="3" t="s">
        <v>2420</v>
      </c>
      <c r="F416" s="3" t="s">
        <v>2475</v>
      </c>
      <c r="G416" s="3" t="s">
        <v>3083</v>
      </c>
      <c r="H416" s="3" t="s">
        <v>2279</v>
      </c>
      <c r="I416" s="4" t="b">
        <f>OR(((E416 = "calculated")=TRUE), ((E416 = "lookup")=TRUE), ((E416 = "aggregation")=TRUE))</f>
        <v>1</v>
      </c>
      <c r="J416" s="4" t="b">
        <f>H416 &lt;&gt; ""</f>
        <v>1</v>
      </c>
      <c r="K416" s="4">
        <f>COUNTIFS(FieldDisagreements!D2:D50, A416)</f>
        <v>0</v>
      </c>
      <c r="L416" s="4" t="b">
        <f>K416 &gt; 0</f>
        <v>0</v>
      </c>
      <c r="M416" s="3" t="s">
        <v>2418</v>
      </c>
    </row>
    <row r="417">
      <c r="A417" s="3" t="s">
        <v>3084</v>
      </c>
      <c r="B417" s="4" t="str">
        <f>C417 &amp; "." &amp; D417</f>
        <v>Requirements.WitnessHasNeverFired</v>
      </c>
      <c r="C417" s="3" t="s">
        <v>1805</v>
      </c>
      <c r="D417" s="3" t="s">
        <v>821</v>
      </c>
      <c r="E417" s="3" t="s">
        <v>2420</v>
      </c>
      <c r="F417" s="3" t="s">
        <v>2432</v>
      </c>
      <c r="G417" s="3" t="s">
        <v>3085</v>
      </c>
      <c r="H417" s="3" t="s">
        <v>2279</v>
      </c>
      <c r="I417" s="4" t="b">
        <f>OR(((E417 = "calculated")=TRUE), ((E417 = "lookup")=TRUE), ((E417 = "aggregation")=TRUE))</f>
        <v>1</v>
      </c>
      <c r="J417" s="4" t="b">
        <f>H417 &lt;&gt; ""</f>
        <v>1</v>
      </c>
      <c r="K417" s="4">
        <f>COUNTIFS(FieldDisagreements!D2:D50, A417)</f>
        <v>0</v>
      </c>
      <c r="L417" s="4" t="b">
        <f>K417 &gt; 0</f>
        <v>0</v>
      </c>
      <c r="M417" s="3" t="s">
        <v>2418</v>
      </c>
    </row>
    <row r="418">
      <c r="A418" s="3" t="s">
        <v>3086</v>
      </c>
      <c r="B418" s="4" t="str">
        <f>C418 &amp; "." &amp; D418</f>
        <v>Requirements.EvaluationSampleSize</v>
      </c>
      <c r="C418" s="3" t="s">
        <v>1805</v>
      </c>
      <c r="D418" s="3" t="s">
        <v>822</v>
      </c>
      <c r="E418" s="3" t="s">
        <v>2420</v>
      </c>
      <c r="F418" s="3" t="s">
        <v>2475</v>
      </c>
      <c r="G418" s="3" t="s">
        <v>3087</v>
      </c>
      <c r="H418" s="3" t="s">
        <v>2279</v>
      </c>
      <c r="I418" s="4" t="b">
        <f>OR(((E418 = "calculated")=TRUE), ((E418 = "lookup")=TRUE), ((E418 = "aggregation")=TRUE))</f>
        <v>1</v>
      </c>
      <c r="J418" s="4" t="b">
        <f>H418 &lt;&gt; ""</f>
        <v>1</v>
      </c>
      <c r="K418" s="4">
        <f>COUNTIFS(FieldDisagreements!D2:D50, A418)</f>
        <v>0</v>
      </c>
      <c r="L418" s="4" t="b">
        <f>K418 &gt; 0</f>
        <v>0</v>
      </c>
      <c r="M418" s="3" t="s">
        <v>2418</v>
      </c>
    </row>
    <row r="419">
      <c r="A419" s="3" t="s">
        <v>3088</v>
      </c>
      <c r="B419" s="4" t="str">
        <f>C419 &amp; "." &amp; D419</f>
        <v>Requirements.HasMeaningfulSample</v>
      </c>
      <c r="C419" s="3" t="s">
        <v>1805</v>
      </c>
      <c r="D419" s="3" t="s">
        <v>823</v>
      </c>
      <c r="E419" s="3" t="s">
        <v>2420</v>
      </c>
      <c r="F419" s="3" t="s">
        <v>2432</v>
      </c>
      <c r="G419" s="3" t="s">
        <v>3089</v>
      </c>
      <c r="H419" s="3" t="s">
        <v>2279</v>
      </c>
      <c r="I419" s="4" t="b">
        <f>OR(((E419 = "calculated")=TRUE), ((E419 = "lookup")=TRUE), ((E419 = "aggregation")=TRUE))</f>
        <v>1</v>
      </c>
      <c r="J419" s="4" t="b">
        <f>H419 &lt;&gt; ""</f>
        <v>1</v>
      </c>
      <c r="K419" s="4">
        <f>COUNTIFS(FieldDisagreements!D2:D50, A419)</f>
        <v>0</v>
      </c>
      <c r="L419" s="4" t="b">
        <f>K419 &gt; 0</f>
        <v>0</v>
      </c>
      <c r="M419" s="3" t="s">
        <v>2418</v>
      </c>
    </row>
    <row r="420">
      <c r="A420" s="3" t="s">
        <v>3090</v>
      </c>
      <c r="B420" s="4" t="str">
        <f>C420 &amp; "." &amp; D420</f>
        <v>Requirements.MinimumSampleForAssurance</v>
      </c>
      <c r="C420" s="3" t="s">
        <v>1805</v>
      </c>
      <c r="D420" s="3" t="s">
        <v>824</v>
      </c>
      <c r="E420" s="3" t="s">
        <v>2416</v>
      </c>
      <c r="F420" s="3" t="s">
        <v>2470</v>
      </c>
      <c r="G420" s="3"/>
      <c r="H420" s="3" t="s">
        <v>2279</v>
      </c>
      <c r="I420" s="4" t="b">
        <f>OR(((E420 = "calculated")=TRUE), ((E420 = "lookup")=TRUE), ((E420 = "aggregation")=TRUE))</f>
        <v>0</v>
      </c>
      <c r="J420" s="4" t="b">
        <f>H420 &lt;&gt; ""</f>
        <v>1</v>
      </c>
      <c r="K420" s="4">
        <f>COUNTIFS(FieldDisagreements!D2:D50, A420)</f>
        <v>0</v>
      </c>
      <c r="L420" s="4" t="b">
        <f>K420 &gt; 0</f>
        <v>0</v>
      </c>
      <c r="M420" s="3" t="s">
        <v>2418</v>
      </c>
    </row>
    <row r="421">
      <c r="A421" s="3" t="s">
        <v>3091</v>
      </c>
      <c r="B421" s="4" t="str">
        <f>C421 &amp; "." &amp; D421</f>
        <v>Requirements.IsUntestedWitness</v>
      </c>
      <c r="C421" s="3" t="s">
        <v>1805</v>
      </c>
      <c r="D421" s="3" t="s">
        <v>825</v>
      </c>
      <c r="E421" s="3" t="s">
        <v>2420</v>
      </c>
      <c r="F421" s="3" t="s">
        <v>2432</v>
      </c>
      <c r="G421" s="3" t="s">
        <v>3092</v>
      </c>
      <c r="H421" s="3" t="s">
        <v>2279</v>
      </c>
      <c r="I421" s="4" t="b">
        <f>OR(((E421 = "calculated")=TRUE), ((E421 = "lookup")=TRUE), ((E421 = "aggregation")=TRUE))</f>
        <v>1</v>
      </c>
      <c r="J421" s="4" t="b">
        <f>H421 &lt;&gt; ""</f>
        <v>1</v>
      </c>
      <c r="K421" s="4">
        <f>COUNTIFS(FieldDisagreements!D2:D50, A421)</f>
        <v>0</v>
      </c>
      <c r="L421" s="4" t="b">
        <f>K421 &gt; 0</f>
        <v>0</v>
      </c>
      <c r="M421" s="3" t="s">
        <v>2418</v>
      </c>
    </row>
    <row r="422">
      <c r="A422" s="3" t="s">
        <v>3093</v>
      </c>
      <c r="B422" s="4" t="str">
        <f>C422 &amp; "." &amp; D422</f>
        <v>Requirements.IsEvidencedHoldingControl</v>
      </c>
      <c r="C422" s="3" t="s">
        <v>1805</v>
      </c>
      <c r="D422" s="3" t="s">
        <v>826</v>
      </c>
      <c r="E422" s="3" t="s">
        <v>2420</v>
      </c>
      <c r="F422" s="3" t="s">
        <v>2432</v>
      </c>
      <c r="G422" s="3" t="s">
        <v>3094</v>
      </c>
      <c r="H422" s="3" t="s">
        <v>2279</v>
      </c>
      <c r="I422" s="4" t="b">
        <f>OR(((E422 = "calculated")=TRUE), ((E422 = "lookup")=TRUE), ((E422 = "aggregation")=TRUE))</f>
        <v>1</v>
      </c>
      <c r="J422" s="4" t="b">
        <f>H422 &lt;&gt; ""</f>
        <v>1</v>
      </c>
      <c r="K422" s="4">
        <f>COUNTIFS(FieldDisagreements!D2:D50, A422)</f>
        <v>0</v>
      </c>
      <c r="L422" s="4" t="b">
        <f>K422 &gt; 0</f>
        <v>0</v>
      </c>
      <c r="M422" s="3" t="s">
        <v>2418</v>
      </c>
    </row>
    <row r="423">
      <c r="A423" s="3" t="s">
        <v>3095</v>
      </c>
      <c r="B423" s="4" t="str">
        <f>C423 &amp; "." &amp; D423</f>
        <v>Requirements.ControlAssuranceState</v>
      </c>
      <c r="C423" s="3" t="s">
        <v>1805</v>
      </c>
      <c r="D423" s="3" t="s">
        <v>827</v>
      </c>
      <c r="E423" s="3" t="s">
        <v>2420</v>
      </c>
      <c r="F423" s="3" t="s">
        <v>2417</v>
      </c>
      <c r="G423" s="3" t="s">
        <v>3096</v>
      </c>
      <c r="H423" s="3" t="s">
        <v>2279</v>
      </c>
      <c r="I423" s="4" t="b">
        <f>OR(((E423 = "calculated")=TRUE), ((E423 = "lookup")=TRUE), ((E423 = "aggregation")=TRUE))</f>
        <v>1</v>
      </c>
      <c r="J423" s="4" t="b">
        <f>H423 &lt;&gt; ""</f>
        <v>1</v>
      </c>
      <c r="K423" s="4">
        <f>COUNTIFS(FieldDisagreements!D2:D50, A423)</f>
        <v>0</v>
      </c>
      <c r="L423" s="4" t="b">
        <f>K423 &gt; 0</f>
        <v>0</v>
      </c>
      <c r="M423" s="3" t="s">
        <v>2418</v>
      </c>
    </row>
    <row r="424">
      <c r="A424" s="3" t="s">
        <v>3097</v>
      </c>
      <c r="B424" s="4" t="str">
        <f>C424 &amp; "." &amp; D424</f>
        <v>Requirements.UnexercisedBindingCount</v>
      </c>
      <c r="C424" s="3" t="s">
        <v>1805</v>
      </c>
      <c r="D424" s="3" t="s">
        <v>828</v>
      </c>
      <c r="E424" s="3" t="s">
        <v>2469</v>
      </c>
      <c r="F424" s="3" t="s">
        <v>2475</v>
      </c>
      <c r="G424" s="3" t="s">
        <v>3098</v>
      </c>
      <c r="H424" s="3" t="s">
        <v>2283</v>
      </c>
      <c r="I424" s="4" t="b">
        <f>OR(((E424 = "calculated")=TRUE), ((E424 = "lookup")=TRUE), ((E424 = "aggregation")=TRUE))</f>
        <v>1</v>
      </c>
      <c r="J424" s="4" t="b">
        <f>H424 &lt;&gt; ""</f>
        <v>1</v>
      </c>
      <c r="K424" s="4">
        <f>COUNTIFS(FieldDisagreements!D2:D50, A424)</f>
        <v>0</v>
      </c>
      <c r="L424" s="4" t="b">
        <f>K424 &gt; 0</f>
        <v>0</v>
      </c>
      <c r="M424" s="3" t="s">
        <v>2418</v>
      </c>
    </row>
    <row r="425">
      <c r="A425" s="3" t="s">
        <v>3099</v>
      </c>
      <c r="B425" s="4" t="str">
        <f>C425 &amp; "." &amp; D425</f>
        <v>Requirements.WitnessIsPartiallyScoped</v>
      </c>
      <c r="C425" s="3" t="s">
        <v>1805</v>
      </c>
      <c r="D425" s="3" t="s">
        <v>829</v>
      </c>
      <c r="E425" s="3" t="s">
        <v>2420</v>
      </c>
      <c r="F425" s="3" t="s">
        <v>2432</v>
      </c>
      <c r="G425" s="3" t="s">
        <v>3100</v>
      </c>
      <c r="H425" s="3" t="s">
        <v>2283</v>
      </c>
      <c r="I425" s="4" t="b">
        <f>OR(((E425 = "calculated")=TRUE), ((E425 = "lookup")=TRUE), ((E425 = "aggregation")=TRUE))</f>
        <v>1</v>
      </c>
      <c r="J425" s="4" t="b">
        <f>H425 &lt;&gt; ""</f>
        <v>1</v>
      </c>
      <c r="K425" s="4">
        <f>COUNTIFS(FieldDisagreements!D2:D50, A425)</f>
        <v>0</v>
      </c>
      <c r="L425" s="4" t="b">
        <f>K425 &gt; 0</f>
        <v>0</v>
      </c>
      <c r="M425" s="3" t="s">
        <v>2418</v>
      </c>
    </row>
    <row r="426">
      <c r="A426" s="3" t="s">
        <v>3101</v>
      </c>
      <c r="B426" s="4" t="str">
        <f>C426 &amp; "." &amp; D426</f>
        <v>Requirements.AccountableRole</v>
      </c>
      <c r="C426" s="3" t="s">
        <v>1805</v>
      </c>
      <c r="D426" s="3" t="s">
        <v>830</v>
      </c>
      <c r="E426" s="3" t="s">
        <v>2465</v>
      </c>
      <c r="F426" s="3" t="s">
        <v>2417</v>
      </c>
      <c r="G426" s="3"/>
      <c r="H426" s="3" t="s">
        <v>2311</v>
      </c>
      <c r="I426" s="4" t="b">
        <f>OR(((E426 = "calculated")=TRUE), ((E426 = "lookup")=TRUE), ((E426 = "aggregation")=TRUE))</f>
        <v>0</v>
      </c>
      <c r="J426" s="4" t="b">
        <f>H426 &lt;&gt; ""</f>
        <v>1</v>
      </c>
      <c r="K426" s="4">
        <f>COUNTIFS(FieldDisagreements!D2:D50, A426)</f>
        <v>0</v>
      </c>
      <c r="L426" s="4" t="b">
        <f>K426 &gt; 0</f>
        <v>0</v>
      </c>
      <c r="M426" s="3" t="s">
        <v>2418</v>
      </c>
    </row>
    <row r="427">
      <c r="A427" s="3" t="s">
        <v>3102</v>
      </c>
      <c r="B427" s="4" t="str">
        <f>C427 &amp; "." &amp; D427</f>
        <v>Requirements.AccountableAgent</v>
      </c>
      <c r="C427" s="3" t="s">
        <v>1805</v>
      </c>
      <c r="D427" s="3" t="s">
        <v>831</v>
      </c>
      <c r="E427" s="3" t="s">
        <v>2509</v>
      </c>
      <c r="F427" s="3" t="s">
        <v>2417</v>
      </c>
      <c r="G427" s="3" t="s">
        <v>3103</v>
      </c>
      <c r="H427" s="3" t="s">
        <v>2311</v>
      </c>
      <c r="I427" s="4" t="b">
        <f>OR(((E427 = "calculated")=TRUE), ((E427 = "lookup")=TRUE), ((E427 = "aggregation")=TRUE))</f>
        <v>1</v>
      </c>
      <c r="J427" s="4" t="b">
        <f>H427 &lt;&gt; ""</f>
        <v>1</v>
      </c>
      <c r="K427" s="4">
        <f>COUNTIFS(FieldDisagreements!D2:D50, A427)</f>
        <v>0</v>
      </c>
      <c r="L427" s="4" t="b">
        <f>K427 &gt; 0</f>
        <v>0</v>
      </c>
      <c r="M427" s="3" t="s">
        <v>2418</v>
      </c>
    </row>
    <row r="428">
      <c r="A428" s="3" t="s">
        <v>3104</v>
      </c>
      <c r="B428" s="4" t="str">
        <f>C428 &amp; "." &amp; D428</f>
        <v>Requirements.HasNamedOwner</v>
      </c>
      <c r="C428" s="3" t="s">
        <v>1805</v>
      </c>
      <c r="D428" s="3" t="s">
        <v>832</v>
      </c>
      <c r="E428" s="3" t="s">
        <v>2420</v>
      </c>
      <c r="F428" s="3" t="s">
        <v>2432</v>
      </c>
      <c r="G428" s="3" t="s">
        <v>3105</v>
      </c>
      <c r="H428" s="3" t="s">
        <v>2311</v>
      </c>
      <c r="I428" s="4" t="b">
        <f>OR(((E428 = "calculated")=TRUE), ((E428 = "lookup")=TRUE), ((E428 = "aggregation")=TRUE))</f>
        <v>1</v>
      </c>
      <c r="J428" s="4" t="b">
        <f>H428 &lt;&gt; ""</f>
        <v>1</v>
      </c>
      <c r="K428" s="4">
        <f>COUNTIFS(FieldDisagreements!D2:D50, A428)</f>
        <v>0</v>
      </c>
      <c r="L428" s="4" t="b">
        <f>K428 &gt; 0</f>
        <v>0</v>
      </c>
      <c r="M428" s="3" t="s">
        <v>2418</v>
      </c>
    </row>
    <row r="429">
      <c r="A429" s="3" t="s">
        <v>3106</v>
      </c>
      <c r="B429" s="4" t="str">
        <f>C429 &amp; "." &amp; D429</f>
        <v>Requirements.IsOrphanedBlockingControl</v>
      </c>
      <c r="C429" s="3" t="s">
        <v>1805</v>
      </c>
      <c r="D429" s="3" t="s">
        <v>833</v>
      </c>
      <c r="E429" s="3" t="s">
        <v>2420</v>
      </c>
      <c r="F429" s="3" t="s">
        <v>2432</v>
      </c>
      <c r="G429" s="3" t="s">
        <v>3107</v>
      </c>
      <c r="H429" s="3" t="s">
        <v>2311</v>
      </c>
      <c r="I429" s="4" t="b">
        <f>OR(((E429 = "calculated")=TRUE), ((E429 = "lookup")=TRUE), ((E429 = "aggregation")=TRUE))</f>
        <v>1</v>
      </c>
      <c r="J429" s="4" t="b">
        <f>H429 &lt;&gt; ""</f>
        <v>1</v>
      </c>
      <c r="K429" s="4">
        <f>COUNTIFS(FieldDisagreements!D2:D50, A429)</f>
        <v>0</v>
      </c>
      <c r="L429" s="4" t="b">
        <f>K429 &gt; 0</f>
        <v>0</v>
      </c>
      <c r="M429" s="3" t="s">
        <v>2418</v>
      </c>
    </row>
    <row r="430">
      <c r="A430" s="3" t="s">
        <v>3108</v>
      </c>
      <c r="B430" s="4" t="str">
        <f>C430 &amp; "." &amp; D430</f>
        <v>Requirements.IsUnwatchedAndUnowned</v>
      </c>
      <c r="C430" s="3" t="s">
        <v>1805</v>
      </c>
      <c r="D430" s="3" t="s">
        <v>834</v>
      </c>
      <c r="E430" s="3" t="s">
        <v>2420</v>
      </c>
      <c r="F430" s="3" t="s">
        <v>2432</v>
      </c>
      <c r="G430" s="3" t="s">
        <v>3109</v>
      </c>
      <c r="H430" s="3" t="s">
        <v>2311</v>
      </c>
      <c r="I430" s="4" t="b">
        <f>OR(((E430 = "calculated")=TRUE), ((E430 = "lookup")=TRUE), ((E430 = "aggregation")=TRUE))</f>
        <v>1</v>
      </c>
      <c r="J430" s="4" t="b">
        <f>H430 &lt;&gt; ""</f>
        <v>1</v>
      </c>
      <c r="K430" s="4">
        <f>COUNTIFS(FieldDisagreements!D2:D50, A430)</f>
        <v>0</v>
      </c>
      <c r="L430" s="4" t="b">
        <f>K430 &gt; 0</f>
        <v>0</v>
      </c>
      <c r="M430" s="3" t="s">
        <v>2418</v>
      </c>
    </row>
    <row r="431">
      <c r="A431" s="3" t="s">
        <v>3110</v>
      </c>
      <c r="B431" s="4" t="str">
        <f>C431 &amp; "." &amp; D431</f>
        <v>Requirements.AttestationExposureNote</v>
      </c>
      <c r="C431" s="3" t="s">
        <v>1805</v>
      </c>
      <c r="D431" s="3" t="s">
        <v>835</v>
      </c>
      <c r="E431" s="3" t="s">
        <v>2420</v>
      </c>
      <c r="F431" s="3" t="s">
        <v>2417</v>
      </c>
      <c r="G431" s="3" t="s">
        <v>3111</v>
      </c>
      <c r="H431" s="3" t="s">
        <v>2311</v>
      </c>
      <c r="I431" s="4" t="b">
        <f>OR(((E431 = "calculated")=TRUE), ((E431 = "lookup")=TRUE), ((E431 = "aggregation")=TRUE))</f>
        <v>1</v>
      </c>
      <c r="J431" s="4" t="b">
        <f>H431 &lt;&gt; ""</f>
        <v>1</v>
      </c>
      <c r="K431" s="4">
        <f>COUNTIFS(FieldDisagreements!D2:D50, A431)</f>
        <v>0</v>
      </c>
      <c r="L431" s="4" t="b">
        <f>K431 &gt; 0</f>
        <v>0</v>
      </c>
      <c r="M431" s="3" t="s">
        <v>2418</v>
      </c>
    </row>
    <row r="432">
      <c r="A432" s="3" t="s">
        <v>3112</v>
      </c>
      <c r="B432" s="4" t="str">
        <f>C432 &amp; "." &amp; D432</f>
        <v>Requirements.UnwatchedUnownedFlag</v>
      </c>
      <c r="C432" s="3" t="s">
        <v>1805</v>
      </c>
      <c r="D432" s="3" t="s">
        <v>836</v>
      </c>
      <c r="E432" s="3" t="s">
        <v>2420</v>
      </c>
      <c r="F432" s="3" t="s">
        <v>2417</v>
      </c>
      <c r="G432" s="3" t="s">
        <v>3113</v>
      </c>
      <c r="H432" s="3" t="s">
        <v>2311</v>
      </c>
      <c r="I432" s="4" t="b">
        <f>OR(((E432 = "calculated")=TRUE), ((E432 = "lookup")=TRUE), ((E432 = "aggregation")=TRUE))</f>
        <v>1</v>
      </c>
      <c r="J432" s="4" t="b">
        <f>H432 &lt;&gt; ""</f>
        <v>1</v>
      </c>
      <c r="K432" s="4">
        <f>COUNTIFS(FieldDisagreements!D2:D50, A432)</f>
        <v>0</v>
      </c>
      <c r="L432" s="4" t="b">
        <f>K432 &gt; 0</f>
        <v>0</v>
      </c>
      <c r="M432" s="3" t="s">
        <v>2418</v>
      </c>
    </row>
    <row r="433">
      <c r="A433" s="3" t="s">
        <v>3114</v>
      </c>
      <c r="B433" s="4" t="str">
        <f>C433 &amp; "." &amp; D433</f>
        <v>Requirements.ControlledTerm</v>
      </c>
      <c r="C433" s="3" t="s">
        <v>1805</v>
      </c>
      <c r="D433" s="3" t="s">
        <v>837</v>
      </c>
      <c r="E433" s="3" t="s">
        <v>2465</v>
      </c>
      <c r="F433" s="3" t="s">
        <v>2417</v>
      </c>
      <c r="G433" s="3"/>
      <c r="H433" s="3" t="s">
        <v>2383</v>
      </c>
      <c r="I433" s="4" t="b">
        <f>OR(((E433 = "calculated")=TRUE), ((E433 = "lookup")=TRUE), ((E433 = "aggregation")=TRUE))</f>
        <v>0</v>
      </c>
      <c r="J433" s="4" t="b">
        <f>H433 &lt;&gt; ""</f>
        <v>1</v>
      </c>
      <c r="K433" s="4">
        <f>COUNTIFS(FieldDisagreements!D2:D50, A433)</f>
        <v>0</v>
      </c>
      <c r="L433" s="4" t="b">
        <f>K433 &gt; 0</f>
        <v>0</v>
      </c>
      <c r="M433" s="3" t="s">
        <v>2418</v>
      </c>
    </row>
    <row r="434">
      <c r="A434" s="3" t="s">
        <v>3115</v>
      </c>
      <c r="B434" s="4" t="str">
        <f>C434 &amp; "." &amp; D434</f>
        <v>Requirements.UsesControlledVocabulary</v>
      </c>
      <c r="C434" s="3" t="s">
        <v>1805</v>
      </c>
      <c r="D434" s="3" t="s">
        <v>838</v>
      </c>
      <c r="E434" s="3" t="s">
        <v>2420</v>
      </c>
      <c r="F434" s="3" t="s">
        <v>2432</v>
      </c>
      <c r="G434" s="3" t="s">
        <v>3116</v>
      </c>
      <c r="H434" s="3" t="s">
        <v>2383</v>
      </c>
      <c r="I434" s="4" t="b">
        <f>OR(((E434 = "calculated")=TRUE), ((E434 = "lookup")=TRUE), ((E434 = "aggregation")=TRUE))</f>
        <v>1</v>
      </c>
      <c r="J434" s="4" t="b">
        <f>H434 &lt;&gt; ""</f>
        <v>1</v>
      </c>
      <c r="K434" s="4">
        <f>COUNTIFS(FieldDisagreements!D2:D50, A434)</f>
        <v>0</v>
      </c>
      <c r="L434" s="4" t="b">
        <f>K434 &gt; 0</f>
        <v>0</v>
      </c>
      <c r="M434" s="3" t="s">
        <v>2418</v>
      </c>
    </row>
    <row r="435">
      <c r="A435" s="3" t="s">
        <v>3117</v>
      </c>
      <c r="B435" s="4" t="str">
        <f>C435 &amp; "." &amp; D435</f>
        <v>Requirements.SemanticTypeIri</v>
      </c>
      <c r="C435" s="3" t="s">
        <v>1805</v>
      </c>
      <c r="D435" s="3" t="s">
        <v>94</v>
      </c>
      <c r="E435" s="3" t="s">
        <v>2416</v>
      </c>
      <c r="F435" s="3" t="s">
        <v>2417</v>
      </c>
      <c r="G435" s="3"/>
      <c r="H435" s="3"/>
      <c r="I435" s="4" t="b">
        <f>OR(((E435 = "calculated")=TRUE), ((E435 = "lookup")=TRUE), ((E435 = "aggregation")=TRUE))</f>
        <v>0</v>
      </c>
      <c r="J435" s="4" t="b">
        <f>H435 &lt;&gt; ""</f>
        <v>0</v>
      </c>
      <c r="K435" s="4">
        <f>COUNTIFS(FieldDisagreements!D2:D50, A435)</f>
        <v>0</v>
      </c>
      <c r="L435" s="4" t="b">
        <f>K435 &gt; 0</f>
        <v>0</v>
      </c>
      <c r="M435" s="3" t="s">
        <v>2418</v>
      </c>
    </row>
    <row r="436">
      <c r="A436" s="3" t="s">
        <v>3118</v>
      </c>
      <c r="B436" s="4" t="str">
        <f>C436 &amp; "." &amp; D436</f>
        <v>StepRequirements.StepRequirementId</v>
      </c>
      <c r="C436" s="3" t="s">
        <v>3119</v>
      </c>
      <c r="D436" s="3" t="s">
        <v>913</v>
      </c>
      <c r="E436" s="3" t="s">
        <v>2416</v>
      </c>
      <c r="F436" s="3" t="s">
        <v>2417</v>
      </c>
      <c r="G436" s="3"/>
      <c r="H436" s="3"/>
      <c r="I436" s="4" t="b">
        <f>OR(((E436 = "calculated")=TRUE), ((E436 = "lookup")=TRUE), ((E436 = "aggregation")=TRUE))</f>
        <v>0</v>
      </c>
      <c r="J436" s="4" t="b">
        <f>H436 &lt;&gt; ""</f>
        <v>0</v>
      </c>
      <c r="K436" s="4">
        <f>COUNTIFS(FieldDisagreements!D2:D50, A436)</f>
        <v>0</v>
      </c>
      <c r="L436" s="4" t="b">
        <f>K436 &gt; 0</f>
        <v>0</v>
      </c>
      <c r="M436" s="3" t="s">
        <v>2418</v>
      </c>
    </row>
    <row r="437">
      <c r="A437" s="3" t="s">
        <v>3120</v>
      </c>
      <c r="B437" s="4" t="str">
        <f>C437 &amp; "." &amp; D437</f>
        <v>StepRequirements.Name</v>
      </c>
      <c r="C437" s="3" t="s">
        <v>3119</v>
      </c>
      <c r="D437" s="3" t="s">
        <v>1</v>
      </c>
      <c r="E437" s="3" t="s">
        <v>2420</v>
      </c>
      <c r="F437" s="3" t="s">
        <v>2417</v>
      </c>
      <c r="G437" s="3" t="s">
        <v>3121</v>
      </c>
      <c r="H437" s="3"/>
      <c r="I437" s="4" t="b">
        <f>OR(((E437 = "calculated")=TRUE), ((E437 = "lookup")=TRUE), ((E437 = "aggregation")=TRUE))</f>
        <v>1</v>
      </c>
      <c r="J437" s="4" t="b">
        <f>H437 &lt;&gt; ""</f>
        <v>0</v>
      </c>
      <c r="K437" s="4">
        <f>COUNTIFS(FieldDisagreements!D2:D50, A437)</f>
        <v>0</v>
      </c>
      <c r="L437" s="4" t="b">
        <f>K437 &gt; 0</f>
        <v>0</v>
      </c>
      <c r="M437" s="3" t="s">
        <v>2418</v>
      </c>
    </row>
    <row r="438">
      <c r="A438" s="3" t="s">
        <v>3122</v>
      </c>
      <c r="B438" s="4" t="str">
        <f>C438 &amp; "." &amp; D438</f>
        <v>StepRequirements.Step</v>
      </c>
      <c r="C438" s="3" t="s">
        <v>3119</v>
      </c>
      <c r="D438" s="3" t="s">
        <v>767</v>
      </c>
      <c r="E438" s="3" t="s">
        <v>2465</v>
      </c>
      <c r="F438" s="3" t="s">
        <v>2417</v>
      </c>
      <c r="G438" s="3"/>
      <c r="H438" s="3"/>
      <c r="I438" s="4" t="b">
        <f>OR(((E438 = "calculated")=TRUE), ((E438 = "lookup")=TRUE), ((E438 = "aggregation")=TRUE))</f>
        <v>0</v>
      </c>
      <c r="J438" s="4" t="b">
        <f>H438 &lt;&gt; ""</f>
        <v>0</v>
      </c>
      <c r="K438" s="4">
        <f>COUNTIFS(FieldDisagreements!D2:D50, A438)</f>
        <v>0</v>
      </c>
      <c r="L438" s="4" t="b">
        <f>K438 &gt; 0</f>
        <v>0</v>
      </c>
      <c r="M438" s="3" t="s">
        <v>2418</v>
      </c>
    </row>
    <row r="439">
      <c r="A439" s="3" t="s">
        <v>3123</v>
      </c>
      <c r="B439" s="4" t="str">
        <f>C439 &amp; "." &amp; D439</f>
        <v>StepRequirements.Requirement</v>
      </c>
      <c r="C439" s="3" t="s">
        <v>3119</v>
      </c>
      <c r="D439" s="3" t="s">
        <v>914</v>
      </c>
      <c r="E439" s="3" t="s">
        <v>2465</v>
      </c>
      <c r="F439" s="3" t="s">
        <v>2417</v>
      </c>
      <c r="G439" s="3"/>
      <c r="H439" s="3"/>
      <c r="I439" s="4" t="b">
        <f>OR(((E439 = "calculated")=TRUE), ((E439 = "lookup")=TRUE), ((E439 = "aggregation")=TRUE))</f>
        <v>0</v>
      </c>
      <c r="J439" s="4" t="b">
        <f>H439 &lt;&gt; ""</f>
        <v>0</v>
      </c>
      <c r="K439" s="4">
        <f>COUNTIFS(FieldDisagreements!D2:D50, A439)</f>
        <v>0</v>
      </c>
      <c r="L439" s="4" t="b">
        <f>K439 &gt; 0</f>
        <v>0</v>
      </c>
      <c r="M439" s="3" t="s">
        <v>2418</v>
      </c>
    </row>
    <row r="440">
      <c r="A440" s="3" t="s">
        <v>3124</v>
      </c>
      <c r="B440" s="4" t="str">
        <f>C440 &amp; "." &amp; D440</f>
        <v>StepRequirements.RequirementIsBlocking</v>
      </c>
      <c r="C440" s="3" t="s">
        <v>3119</v>
      </c>
      <c r="D440" s="3" t="s">
        <v>915</v>
      </c>
      <c r="E440" s="3" t="s">
        <v>2509</v>
      </c>
      <c r="F440" s="3" t="s">
        <v>2432</v>
      </c>
      <c r="G440" s="3" t="s">
        <v>3125</v>
      </c>
      <c r="H440" s="3" t="s">
        <v>1963</v>
      </c>
      <c r="I440" s="4" t="b">
        <f>OR(((E440 = "calculated")=TRUE), ((E440 = "lookup")=TRUE), ((E440 = "aggregation")=TRUE))</f>
        <v>1</v>
      </c>
      <c r="J440" s="4" t="b">
        <f>H440 &lt;&gt; ""</f>
        <v>1</v>
      </c>
      <c r="K440" s="4">
        <f>COUNTIFS(FieldDisagreements!D2:D50, A440)</f>
        <v>0</v>
      </c>
      <c r="L440" s="4" t="b">
        <f>K440 &gt; 0</f>
        <v>0</v>
      </c>
      <c r="M440" s="3" t="s">
        <v>2418</v>
      </c>
    </row>
    <row r="441">
      <c r="A441" s="3" t="s">
        <v>3126</v>
      </c>
      <c r="B441" s="4" t="str">
        <f>C441 &amp; "." &amp; D441</f>
        <v>StepRequirements.BlockingStepKey</v>
      </c>
      <c r="C441" s="3" t="s">
        <v>3119</v>
      </c>
      <c r="D441" s="3" t="s">
        <v>916</v>
      </c>
      <c r="E441" s="3" t="s">
        <v>2420</v>
      </c>
      <c r="F441" s="3" t="s">
        <v>2417</v>
      </c>
      <c r="G441" s="3" t="s">
        <v>3127</v>
      </c>
      <c r="H441" s="3" t="s">
        <v>1963</v>
      </c>
      <c r="I441" s="4" t="b">
        <f>OR(((E441 = "calculated")=TRUE), ((E441 = "lookup")=TRUE), ((E441 = "aggregation")=TRUE))</f>
        <v>1</v>
      </c>
      <c r="J441" s="4" t="b">
        <f>H441 &lt;&gt; ""</f>
        <v>1</v>
      </c>
      <c r="K441" s="4">
        <f>COUNTIFS(FieldDisagreements!D2:D50, A441)</f>
        <v>0</v>
      </c>
      <c r="L441" s="4" t="b">
        <f>K441 &gt; 0</f>
        <v>0</v>
      </c>
      <c r="M441" s="3" t="s">
        <v>2418</v>
      </c>
    </row>
    <row r="442">
      <c r="A442" s="3" t="s">
        <v>3128</v>
      </c>
      <c r="B442" s="4" t="str">
        <f>C442 &amp; "." &amp; D442</f>
        <v>StepRequirements.StepWhenBlocking</v>
      </c>
      <c r="C442" s="3" t="s">
        <v>3119</v>
      </c>
      <c r="D442" s="3" t="s">
        <v>917</v>
      </c>
      <c r="E442" s="3" t="s">
        <v>2420</v>
      </c>
      <c r="F442" s="3" t="s">
        <v>2417</v>
      </c>
      <c r="G442" s="3" t="s">
        <v>3127</v>
      </c>
      <c r="H442" s="3" t="s">
        <v>2131</v>
      </c>
      <c r="I442" s="4" t="b">
        <f>OR(((E442 = "calculated")=TRUE), ((E442 = "lookup")=TRUE), ((E442 = "aggregation")=TRUE))</f>
        <v>1</v>
      </c>
      <c r="J442" s="4" t="b">
        <f>H442 &lt;&gt; ""</f>
        <v>1</v>
      </c>
      <c r="K442" s="4">
        <f>COUNTIFS(FieldDisagreements!D2:D50, A442)</f>
        <v>0</v>
      </c>
      <c r="L442" s="4" t="b">
        <f>K442 &gt; 0</f>
        <v>0</v>
      </c>
      <c r="M442" s="3" t="s">
        <v>2418</v>
      </c>
    </row>
    <row r="443">
      <c r="A443" s="3" t="s">
        <v>3129</v>
      </c>
      <c r="B443" s="4" t="str">
        <f>C443 &amp; "." &amp; D443</f>
        <v>StepRequirements.RequirementLacksWitness</v>
      </c>
      <c r="C443" s="3" t="s">
        <v>3119</v>
      </c>
      <c r="D443" s="3" t="s">
        <v>918</v>
      </c>
      <c r="E443" s="3" t="s">
        <v>2509</v>
      </c>
      <c r="F443" s="3" t="s">
        <v>2432</v>
      </c>
      <c r="G443" s="3" t="s">
        <v>3130</v>
      </c>
      <c r="H443" s="3" t="s">
        <v>2267</v>
      </c>
      <c r="I443" s="4" t="b">
        <f>OR(((E443 = "calculated")=TRUE), ((E443 = "lookup")=TRUE), ((E443 = "aggregation")=TRUE))</f>
        <v>1</v>
      </c>
      <c r="J443" s="4" t="b">
        <f>H443 &lt;&gt; ""</f>
        <v>1</v>
      </c>
      <c r="K443" s="4">
        <f>COUNTIFS(FieldDisagreements!D2:D50, A443)</f>
        <v>0</v>
      </c>
      <c r="L443" s="4" t="b">
        <f>K443 &gt; 0</f>
        <v>0</v>
      </c>
      <c r="M443" s="3" t="s">
        <v>2418</v>
      </c>
    </row>
    <row r="444">
      <c r="A444" s="3" t="s">
        <v>3131</v>
      </c>
      <c r="B444" s="4" t="str">
        <f>C444 &amp; "." &amp; D444</f>
        <v>StepRequirements.UnwitnessedStepKey</v>
      </c>
      <c r="C444" s="3" t="s">
        <v>3119</v>
      </c>
      <c r="D444" s="3" t="s">
        <v>919</v>
      </c>
      <c r="E444" s="3" t="s">
        <v>2420</v>
      </c>
      <c r="F444" s="3" t="s">
        <v>2417</v>
      </c>
      <c r="G444" s="3" t="s">
        <v>3132</v>
      </c>
      <c r="H444" s="3" t="s">
        <v>2267</v>
      </c>
      <c r="I444" s="4" t="b">
        <f>OR(((E444 = "calculated")=TRUE), ((E444 = "lookup")=TRUE), ((E444 = "aggregation")=TRUE))</f>
        <v>1</v>
      </c>
      <c r="J444" s="4" t="b">
        <f>H444 &lt;&gt; ""</f>
        <v>1</v>
      </c>
      <c r="K444" s="4">
        <f>COUNTIFS(FieldDisagreements!D2:D50, A444)</f>
        <v>0</v>
      </c>
      <c r="L444" s="4" t="b">
        <f>K444 &gt; 0</f>
        <v>0</v>
      </c>
      <c r="M444" s="3" t="s">
        <v>2418</v>
      </c>
    </row>
    <row r="445">
      <c r="A445" s="3" t="s">
        <v>3133</v>
      </c>
      <c r="B445" s="4" t="str">
        <f>C445 &amp; "." &amp; D445</f>
        <v>StepRequirements.SatisfactionCountForBinding</v>
      </c>
      <c r="C445" s="3" t="s">
        <v>3119</v>
      </c>
      <c r="D445" s="3" t="s">
        <v>920</v>
      </c>
      <c r="E445" s="3" t="s">
        <v>2469</v>
      </c>
      <c r="F445" s="3" t="s">
        <v>2475</v>
      </c>
      <c r="G445" s="3" t="s">
        <v>3134</v>
      </c>
      <c r="H445" s="3" t="s">
        <v>2283</v>
      </c>
      <c r="I445" s="4" t="b">
        <f>OR(((E445 = "calculated")=TRUE), ((E445 = "lookup")=TRUE), ((E445 = "aggregation")=TRUE))</f>
        <v>1</v>
      </c>
      <c r="J445" s="4" t="b">
        <f>H445 &lt;&gt; ""</f>
        <v>1</v>
      </c>
      <c r="K445" s="4">
        <f>COUNTIFS(FieldDisagreements!D2:D50, A445)</f>
        <v>0</v>
      </c>
      <c r="L445" s="4" t="b">
        <f>K445 &gt; 0</f>
        <v>0</v>
      </c>
      <c r="M445" s="3" t="s">
        <v>2418</v>
      </c>
    </row>
    <row r="446">
      <c r="A446" s="3" t="s">
        <v>3135</v>
      </c>
      <c r="B446" s="4" t="str">
        <f>C446 &amp; "." &amp; D446</f>
        <v>StepRequirements.BindingWasEverExercised</v>
      </c>
      <c r="C446" s="3" t="s">
        <v>3119</v>
      </c>
      <c r="D446" s="3" t="s">
        <v>921</v>
      </c>
      <c r="E446" s="3" t="s">
        <v>2420</v>
      </c>
      <c r="F446" s="3" t="s">
        <v>2432</v>
      </c>
      <c r="G446" s="3" t="s">
        <v>3136</v>
      </c>
      <c r="H446" s="3" t="s">
        <v>2283</v>
      </c>
      <c r="I446" s="4" t="b">
        <f>OR(((E446 = "calculated")=TRUE), ((E446 = "lookup")=TRUE), ((E446 = "aggregation")=TRUE))</f>
        <v>1</v>
      </c>
      <c r="J446" s="4" t="b">
        <f>H446 &lt;&gt; ""</f>
        <v>1</v>
      </c>
      <c r="K446" s="4">
        <f>COUNTIFS(FieldDisagreements!D2:D50, A446)</f>
        <v>0</v>
      </c>
      <c r="L446" s="4" t="b">
        <f>K446 &gt; 0</f>
        <v>0</v>
      </c>
      <c r="M446" s="3" t="s">
        <v>2418</v>
      </c>
    </row>
    <row r="447">
      <c r="A447" s="3" t="s">
        <v>3137</v>
      </c>
      <c r="B447" s="4" t="str">
        <f>C447 &amp; "." &amp; D447</f>
        <v>StepRequirements.IsUnexercisedBlockingBinding</v>
      </c>
      <c r="C447" s="3" t="s">
        <v>3119</v>
      </c>
      <c r="D447" s="3" t="s">
        <v>922</v>
      </c>
      <c r="E447" s="3" t="s">
        <v>2420</v>
      </c>
      <c r="F447" s="3" t="s">
        <v>2432</v>
      </c>
      <c r="G447" s="3" t="s">
        <v>3138</v>
      </c>
      <c r="H447" s="3" t="s">
        <v>2283</v>
      </c>
      <c r="I447" s="4" t="b">
        <f>OR(((E447 = "calculated")=TRUE), ((E447 = "lookup")=TRUE), ((E447 = "aggregation")=TRUE))</f>
        <v>1</v>
      </c>
      <c r="J447" s="4" t="b">
        <f>H447 &lt;&gt; ""</f>
        <v>1</v>
      </c>
      <c r="K447" s="4">
        <f>COUNTIFS(FieldDisagreements!D2:D50, A447)</f>
        <v>0</v>
      </c>
      <c r="L447" s="4" t="b">
        <f>K447 &gt; 0</f>
        <v>0</v>
      </c>
      <c r="M447" s="3" t="s">
        <v>2418</v>
      </c>
    </row>
    <row r="448">
      <c r="A448" s="3" t="s">
        <v>3139</v>
      </c>
      <c r="B448" s="4" t="str">
        <f>C448 &amp; "." &amp; D448</f>
        <v>StepRequirements.UnexercisedBindingRequirementKey</v>
      </c>
      <c r="C448" s="3" t="s">
        <v>3119</v>
      </c>
      <c r="D448" s="3" t="s">
        <v>923</v>
      </c>
      <c r="E448" s="3" t="s">
        <v>2420</v>
      </c>
      <c r="F448" s="3" t="s">
        <v>2417</v>
      </c>
      <c r="G448" s="3" t="s">
        <v>3140</v>
      </c>
      <c r="H448" s="3" t="s">
        <v>2283</v>
      </c>
      <c r="I448" s="4" t="b">
        <f>OR(((E448 = "calculated")=TRUE), ((E448 = "lookup")=TRUE), ((E448 = "aggregation")=TRUE))</f>
        <v>1</v>
      </c>
      <c r="J448" s="4" t="b">
        <f>H448 &lt;&gt; ""</f>
        <v>1</v>
      </c>
      <c r="K448" s="4">
        <f>COUNTIFS(FieldDisagreements!D2:D50, A448)</f>
        <v>0</v>
      </c>
      <c r="L448" s="4" t="b">
        <f>K448 &gt; 0</f>
        <v>0</v>
      </c>
      <c r="M448" s="3" t="s">
        <v>2418</v>
      </c>
    </row>
    <row r="449">
      <c r="A449" s="3" t="s">
        <v>3141</v>
      </c>
      <c r="B449" s="4" t="str">
        <f>C449 &amp; "." &amp; D449</f>
        <v>StepVerifications.StepVerificationId</v>
      </c>
      <c r="C449" s="3" t="s">
        <v>1808</v>
      </c>
      <c r="D449" s="3" t="s">
        <v>939</v>
      </c>
      <c r="E449" s="3" t="s">
        <v>2416</v>
      </c>
      <c r="F449" s="3" t="s">
        <v>2417</v>
      </c>
      <c r="G449" s="3"/>
      <c r="H449" s="3"/>
      <c r="I449" s="4" t="b">
        <f>OR(((E449 = "calculated")=TRUE), ((E449 = "lookup")=TRUE), ((E449 = "aggregation")=TRUE))</f>
        <v>0</v>
      </c>
      <c r="J449" s="4" t="b">
        <f>H449 &lt;&gt; ""</f>
        <v>0</v>
      </c>
      <c r="K449" s="4">
        <f>COUNTIFS(FieldDisagreements!D2:D50, A449)</f>
        <v>0</v>
      </c>
      <c r="L449" s="4" t="b">
        <f>K449 &gt; 0</f>
        <v>0</v>
      </c>
      <c r="M449" s="3" t="s">
        <v>2418</v>
      </c>
    </row>
    <row r="450">
      <c r="A450" s="3" t="s">
        <v>3142</v>
      </c>
      <c r="B450" s="4" t="str">
        <f>C450 &amp; "." &amp; D450</f>
        <v>StepVerifications.Name</v>
      </c>
      <c r="C450" s="3" t="s">
        <v>1808</v>
      </c>
      <c r="D450" s="3" t="s">
        <v>1</v>
      </c>
      <c r="E450" s="3" t="s">
        <v>2420</v>
      </c>
      <c r="F450" s="3" t="s">
        <v>2417</v>
      </c>
      <c r="G450" s="3" t="s">
        <v>3143</v>
      </c>
      <c r="H450" s="3"/>
      <c r="I450" s="4" t="b">
        <f>OR(((E450 = "calculated")=TRUE), ((E450 = "lookup")=TRUE), ((E450 = "aggregation")=TRUE))</f>
        <v>1</v>
      </c>
      <c r="J450" s="4" t="b">
        <f>H450 &lt;&gt; ""</f>
        <v>0</v>
      </c>
      <c r="K450" s="4">
        <f>COUNTIFS(FieldDisagreements!D2:D50, A450)</f>
        <v>0</v>
      </c>
      <c r="L450" s="4" t="b">
        <f>K450 &gt; 0</f>
        <v>0</v>
      </c>
      <c r="M450" s="3" t="s">
        <v>2418</v>
      </c>
    </row>
    <row r="451">
      <c r="A451" s="3" t="s">
        <v>3144</v>
      </c>
      <c r="B451" s="4" t="str">
        <f>C451 &amp; "." &amp; D451</f>
        <v>StepVerifications.Step</v>
      </c>
      <c r="C451" s="3" t="s">
        <v>1808</v>
      </c>
      <c r="D451" s="3" t="s">
        <v>767</v>
      </c>
      <c r="E451" s="3" t="s">
        <v>2465</v>
      </c>
      <c r="F451" s="3" t="s">
        <v>2417</v>
      </c>
      <c r="G451" s="3"/>
      <c r="H451" s="3"/>
      <c r="I451" s="4" t="b">
        <f>OR(((E451 = "calculated")=TRUE), ((E451 = "lookup")=TRUE), ((E451 = "aggregation")=TRUE))</f>
        <v>0</v>
      </c>
      <c r="J451" s="4" t="b">
        <f>H451 &lt;&gt; ""</f>
        <v>0</v>
      </c>
      <c r="K451" s="4">
        <f>COUNTIFS(FieldDisagreements!D2:D50, A451)</f>
        <v>0</v>
      </c>
      <c r="L451" s="4" t="b">
        <f>K451 &gt; 0</f>
        <v>0</v>
      </c>
      <c r="M451" s="3" t="s">
        <v>2418</v>
      </c>
    </row>
    <row r="452">
      <c r="A452" s="3" t="s">
        <v>3145</v>
      </c>
      <c r="B452" s="4" t="str">
        <f>C452 &amp; "." &amp; D452</f>
        <v>StepVerifications.VerificationKind</v>
      </c>
      <c r="C452" s="3" t="s">
        <v>1808</v>
      </c>
      <c r="D452" s="3" t="s">
        <v>940</v>
      </c>
      <c r="E452" s="3" t="s">
        <v>2416</v>
      </c>
      <c r="F452" s="3" t="s">
        <v>2417</v>
      </c>
      <c r="G452" s="3"/>
      <c r="H452" s="3"/>
      <c r="I452" s="4" t="b">
        <f>OR(((E452 = "calculated")=TRUE), ((E452 = "lookup")=TRUE), ((E452 = "aggregation")=TRUE))</f>
        <v>0</v>
      </c>
      <c r="J452" s="4" t="b">
        <f>H452 &lt;&gt; ""</f>
        <v>0</v>
      </c>
      <c r="K452" s="4">
        <f>COUNTIFS(FieldDisagreements!D2:D50, A452)</f>
        <v>0</v>
      </c>
      <c r="L452" s="4" t="b">
        <f>K452 &gt; 0</f>
        <v>0</v>
      </c>
      <c r="M452" s="3" t="s">
        <v>2418</v>
      </c>
    </row>
    <row r="453">
      <c r="A453" s="3" t="s">
        <v>3146</v>
      </c>
      <c r="B453" s="4" t="str">
        <f>C453 &amp; "." &amp; D453</f>
        <v>StepVerifications.SignalIdentifier</v>
      </c>
      <c r="C453" s="3" t="s">
        <v>1808</v>
      </c>
      <c r="D453" s="3" t="s">
        <v>941</v>
      </c>
      <c r="E453" s="3" t="s">
        <v>2416</v>
      </c>
      <c r="F453" s="3" t="s">
        <v>2417</v>
      </c>
      <c r="G453" s="3"/>
      <c r="H453" s="3"/>
      <c r="I453" s="4" t="b">
        <f>OR(((E453 = "calculated")=TRUE), ((E453 = "lookup")=TRUE), ((E453 = "aggregation")=TRUE))</f>
        <v>0</v>
      </c>
      <c r="J453" s="4" t="b">
        <f>H453 &lt;&gt; ""</f>
        <v>0</v>
      </c>
      <c r="K453" s="4">
        <f>COUNTIFS(FieldDisagreements!D2:D50, A453)</f>
        <v>0</v>
      </c>
      <c r="L453" s="4" t="b">
        <f>K453 &gt; 0</f>
        <v>0</v>
      </c>
      <c r="M453" s="3" t="s">
        <v>2418</v>
      </c>
    </row>
    <row r="454">
      <c r="A454" s="3" t="s">
        <v>3147</v>
      </c>
      <c r="B454" s="4" t="str">
        <f>C454 &amp; "." &amp; D454</f>
        <v>StepVerifications.ExpectedSignalValue</v>
      </c>
      <c r="C454" s="3" t="s">
        <v>1808</v>
      </c>
      <c r="D454" s="3" t="s">
        <v>942</v>
      </c>
      <c r="E454" s="3" t="s">
        <v>2416</v>
      </c>
      <c r="F454" s="3" t="s">
        <v>2417</v>
      </c>
      <c r="G454" s="3"/>
      <c r="H454" s="3"/>
      <c r="I454" s="4" t="b">
        <f>OR(((E454 = "calculated")=TRUE), ((E454 = "lookup")=TRUE), ((E454 = "aggregation")=TRUE))</f>
        <v>0</v>
      </c>
      <c r="J454" s="4" t="b">
        <f>H454 &lt;&gt; ""</f>
        <v>0</v>
      </c>
      <c r="K454" s="4">
        <f>COUNTIFS(FieldDisagreements!D2:D50, A454)</f>
        <v>0</v>
      </c>
      <c r="L454" s="4" t="b">
        <f>K454 &gt; 0</f>
        <v>0</v>
      </c>
      <c r="M454" s="3" t="s">
        <v>2418</v>
      </c>
    </row>
    <row r="455">
      <c r="A455" s="3" t="s">
        <v>3148</v>
      </c>
      <c r="B455" s="4" t="str">
        <f>C455 &amp; "." &amp; D455</f>
        <v>StepVerifications.Instruction</v>
      </c>
      <c r="C455" s="3" t="s">
        <v>1808</v>
      </c>
      <c r="D455" s="3" t="s">
        <v>504</v>
      </c>
      <c r="E455" s="3" t="s">
        <v>2416</v>
      </c>
      <c r="F455" s="3" t="s">
        <v>2417</v>
      </c>
      <c r="G455" s="3"/>
      <c r="H455" s="3"/>
      <c r="I455" s="4" t="b">
        <f>OR(((E455 = "calculated")=TRUE), ((E455 = "lookup")=TRUE), ((E455 = "aggregation")=TRUE))</f>
        <v>0</v>
      </c>
      <c r="J455" s="4" t="b">
        <f>H455 &lt;&gt; ""</f>
        <v>0</v>
      </c>
      <c r="K455" s="4">
        <f>COUNTIFS(FieldDisagreements!D2:D50, A455)</f>
        <v>0</v>
      </c>
      <c r="L455" s="4" t="b">
        <f>K455 &gt; 0</f>
        <v>0</v>
      </c>
      <c r="M455" s="3" t="s">
        <v>2418</v>
      </c>
    </row>
    <row r="456">
      <c r="A456" s="3" t="s">
        <v>3149</v>
      </c>
      <c r="B456" s="4" t="str">
        <f>C456 &amp; "." &amp; D456</f>
        <v>StepVerifications.SemanticTypeIri</v>
      </c>
      <c r="C456" s="3" t="s">
        <v>1808</v>
      </c>
      <c r="D456" s="3" t="s">
        <v>94</v>
      </c>
      <c r="E456" s="3" t="s">
        <v>2416</v>
      </c>
      <c r="F456" s="3" t="s">
        <v>2417</v>
      </c>
      <c r="G456" s="3"/>
      <c r="H456" s="3"/>
      <c r="I456" s="4" t="b">
        <f>OR(((E456 = "calculated")=TRUE), ((E456 = "lookup")=TRUE), ((E456 = "aggregation")=TRUE))</f>
        <v>0</v>
      </c>
      <c r="J456" s="4" t="b">
        <f>H456 &lt;&gt; ""</f>
        <v>0</v>
      </c>
      <c r="K456" s="4">
        <f>COUNTIFS(FieldDisagreements!D2:D50, A456)</f>
        <v>0</v>
      </c>
      <c r="L456" s="4" t="b">
        <f>K456 &gt; 0</f>
        <v>0</v>
      </c>
      <c r="M456" s="3" t="s">
        <v>2418</v>
      </c>
    </row>
    <row r="457">
      <c r="A457" s="3" t="s">
        <v>3150</v>
      </c>
      <c r="B457" s="4" t="str">
        <f>C457 &amp; "." &amp; D457</f>
        <v>Rationales.RationaleId</v>
      </c>
      <c r="C457" s="3" t="s">
        <v>3151</v>
      </c>
      <c r="D457" s="3" t="s">
        <v>985</v>
      </c>
      <c r="E457" s="3" t="s">
        <v>2416</v>
      </c>
      <c r="F457" s="3" t="s">
        <v>2417</v>
      </c>
      <c r="G457" s="3"/>
      <c r="H457" s="3"/>
      <c r="I457" s="4" t="b">
        <f>OR(((E457 = "calculated")=TRUE), ((E457 = "lookup")=TRUE), ((E457 = "aggregation")=TRUE))</f>
        <v>0</v>
      </c>
      <c r="J457" s="4" t="b">
        <f>H457 &lt;&gt; ""</f>
        <v>0</v>
      </c>
      <c r="K457" s="4">
        <f>COUNTIFS(FieldDisagreements!D2:D50, A457)</f>
        <v>0</v>
      </c>
      <c r="L457" s="4" t="b">
        <f>K457 &gt; 0</f>
        <v>0</v>
      </c>
      <c r="M457" s="3" t="s">
        <v>2418</v>
      </c>
    </row>
    <row r="458">
      <c r="A458" s="3" t="s">
        <v>3152</v>
      </c>
      <c r="B458" s="4" t="str">
        <f>C458 &amp; "." &amp; D458</f>
        <v>Rationales.Name</v>
      </c>
      <c r="C458" s="3" t="s">
        <v>3151</v>
      </c>
      <c r="D458" s="3" t="s">
        <v>1</v>
      </c>
      <c r="E458" s="3" t="s">
        <v>2420</v>
      </c>
      <c r="F458" s="3" t="s">
        <v>2417</v>
      </c>
      <c r="G458" s="3" t="s">
        <v>2683</v>
      </c>
      <c r="H458" s="3"/>
      <c r="I458" s="4" t="b">
        <f>OR(((E458 = "calculated")=TRUE), ((E458 = "lookup")=TRUE), ((E458 = "aggregation")=TRUE))</f>
        <v>1</v>
      </c>
      <c r="J458" s="4" t="b">
        <f>H458 &lt;&gt; ""</f>
        <v>0</v>
      </c>
      <c r="K458" s="4">
        <f>COUNTIFS(FieldDisagreements!D2:D50, A458)</f>
        <v>0</v>
      </c>
      <c r="L458" s="4" t="b">
        <f>K458 &gt; 0</f>
        <v>0</v>
      </c>
      <c r="M458" s="3" t="s">
        <v>2418</v>
      </c>
    </row>
    <row r="459">
      <c r="A459" s="3" t="s">
        <v>3153</v>
      </c>
      <c r="B459" s="4" t="str">
        <f>C459 &amp; "." &amp; D459</f>
        <v>Rationales.ProcedureVersion</v>
      </c>
      <c r="C459" s="3" t="s">
        <v>3151</v>
      </c>
      <c r="D459" s="3" t="s">
        <v>478</v>
      </c>
      <c r="E459" s="3" t="s">
        <v>2465</v>
      </c>
      <c r="F459" s="3" t="s">
        <v>2417</v>
      </c>
      <c r="G459" s="3"/>
      <c r="H459" s="3"/>
      <c r="I459" s="4" t="b">
        <f>OR(((E459 = "calculated")=TRUE), ((E459 = "lookup")=TRUE), ((E459 = "aggregation")=TRUE))</f>
        <v>0</v>
      </c>
      <c r="J459" s="4" t="b">
        <f>H459 &lt;&gt; ""</f>
        <v>0</v>
      </c>
      <c r="K459" s="4">
        <f>COUNTIFS(FieldDisagreements!D2:D50, A459)</f>
        <v>0</v>
      </c>
      <c r="L459" s="4" t="b">
        <f>K459 &gt; 0</f>
        <v>0</v>
      </c>
      <c r="M459" s="3" t="s">
        <v>2418</v>
      </c>
    </row>
    <row r="460">
      <c r="A460" s="3" t="s">
        <v>3154</v>
      </c>
      <c r="B460" s="4" t="str">
        <f>C460 &amp; "." &amp; D460</f>
        <v>Rationales.Step</v>
      </c>
      <c r="C460" s="3" t="s">
        <v>3151</v>
      </c>
      <c r="D460" s="3" t="s">
        <v>767</v>
      </c>
      <c r="E460" s="3" t="s">
        <v>2465</v>
      </c>
      <c r="F460" s="3" t="s">
        <v>2417</v>
      </c>
      <c r="G460" s="3"/>
      <c r="H460" s="3"/>
      <c r="I460" s="4" t="b">
        <f>OR(((E460 = "calculated")=TRUE), ((E460 = "lookup")=TRUE), ((E460 = "aggregation")=TRUE))</f>
        <v>0</v>
      </c>
      <c r="J460" s="4" t="b">
        <f>H460 &lt;&gt; ""</f>
        <v>0</v>
      </c>
      <c r="K460" s="4">
        <f>COUNTIFS(FieldDisagreements!D2:D50, A460)</f>
        <v>0</v>
      </c>
      <c r="L460" s="4" t="b">
        <f>K460 &gt; 0</f>
        <v>0</v>
      </c>
      <c r="M460" s="3" t="s">
        <v>2418</v>
      </c>
    </row>
    <row r="461">
      <c r="A461" s="3" t="s">
        <v>3155</v>
      </c>
      <c r="B461" s="4" t="str">
        <f>C461 &amp; "." &amp; D461</f>
        <v>Rationales.Title</v>
      </c>
      <c r="C461" s="3" t="s">
        <v>3151</v>
      </c>
      <c r="D461" s="3" t="s">
        <v>358</v>
      </c>
      <c r="E461" s="3" t="s">
        <v>2416</v>
      </c>
      <c r="F461" s="3" t="s">
        <v>2417</v>
      </c>
      <c r="G461" s="3"/>
      <c r="H461" s="3"/>
      <c r="I461" s="4" t="b">
        <f>OR(((E461 = "calculated")=TRUE), ((E461 = "lookup")=TRUE), ((E461 = "aggregation")=TRUE))</f>
        <v>0</v>
      </c>
      <c r="J461" s="4" t="b">
        <f>H461 &lt;&gt; ""</f>
        <v>0</v>
      </c>
      <c r="K461" s="4">
        <f>COUNTIFS(FieldDisagreements!D2:D50, A461)</f>
        <v>0</v>
      </c>
      <c r="L461" s="4" t="b">
        <f>K461 &gt; 0</f>
        <v>0</v>
      </c>
      <c r="M461" s="3" t="s">
        <v>2418</v>
      </c>
    </row>
    <row r="462">
      <c r="A462" s="3" t="s">
        <v>3156</v>
      </c>
      <c r="B462" s="4" t="str">
        <f>C462 &amp; "." &amp; D462</f>
        <v>Rationales.Statement</v>
      </c>
      <c r="C462" s="3" t="s">
        <v>3151</v>
      </c>
      <c r="D462" s="3" t="s">
        <v>802</v>
      </c>
      <c r="E462" s="3" t="s">
        <v>2416</v>
      </c>
      <c r="F462" s="3" t="s">
        <v>2417</v>
      </c>
      <c r="G462" s="3"/>
      <c r="H462" s="3"/>
      <c r="I462" s="4" t="b">
        <f>OR(((E462 = "calculated")=TRUE), ((E462 = "lookup")=TRUE), ((E462 = "aggregation")=TRUE))</f>
        <v>0</v>
      </c>
      <c r="J462" s="4" t="b">
        <f>H462 &lt;&gt; ""</f>
        <v>0</v>
      </c>
      <c r="K462" s="4">
        <f>COUNTIFS(FieldDisagreements!D2:D50, A462)</f>
        <v>0</v>
      </c>
      <c r="L462" s="4" t="b">
        <f>K462 &gt; 0</f>
        <v>0</v>
      </c>
      <c r="M462" s="3" t="s">
        <v>2418</v>
      </c>
    </row>
    <row r="463">
      <c r="A463" s="3" t="s">
        <v>3157</v>
      </c>
      <c r="B463" s="4" t="str">
        <f>C463 &amp; "." &amp; D463</f>
        <v>Rationales.Status</v>
      </c>
      <c r="C463" s="3" t="s">
        <v>3151</v>
      </c>
      <c r="D463" s="3" t="s">
        <v>8</v>
      </c>
      <c r="E463" s="3" t="s">
        <v>2416</v>
      </c>
      <c r="F463" s="3" t="s">
        <v>2417</v>
      </c>
      <c r="G463" s="3"/>
      <c r="H463" s="3"/>
      <c r="I463" s="4" t="b">
        <f>OR(((E463 = "calculated")=TRUE), ((E463 = "lookup")=TRUE), ((E463 = "aggregation")=TRUE))</f>
        <v>0</v>
      </c>
      <c r="J463" s="4" t="b">
        <f>H463 &lt;&gt; ""</f>
        <v>0</v>
      </c>
      <c r="K463" s="4">
        <f>COUNTIFS(FieldDisagreements!D2:D50, A463)</f>
        <v>0</v>
      </c>
      <c r="L463" s="4" t="b">
        <f>K463 &gt; 0</f>
        <v>0</v>
      </c>
      <c r="M463" s="3" t="s">
        <v>2418</v>
      </c>
    </row>
    <row r="464">
      <c r="A464" s="3" t="s">
        <v>3158</v>
      </c>
      <c r="B464" s="4" t="str">
        <f>C464 &amp; "." &amp; D464</f>
        <v>Rationales.AuthorityRole</v>
      </c>
      <c r="C464" s="3" t="s">
        <v>3151</v>
      </c>
      <c r="D464" s="3" t="s">
        <v>986</v>
      </c>
      <c r="E464" s="3" t="s">
        <v>2465</v>
      </c>
      <c r="F464" s="3" t="s">
        <v>2417</v>
      </c>
      <c r="G464" s="3"/>
      <c r="H464" s="3"/>
      <c r="I464" s="4" t="b">
        <f>OR(((E464 = "calculated")=TRUE), ((E464 = "lookup")=TRUE), ((E464 = "aggregation")=TRUE))</f>
        <v>0</v>
      </c>
      <c r="J464" s="4" t="b">
        <f>H464 &lt;&gt; ""</f>
        <v>0</v>
      </c>
      <c r="K464" s="4">
        <f>COUNTIFS(FieldDisagreements!D2:D50, A464)</f>
        <v>0</v>
      </c>
      <c r="L464" s="4" t="b">
        <f>K464 &gt; 0</f>
        <v>0</v>
      </c>
      <c r="M464" s="3" t="s">
        <v>2418</v>
      </c>
    </row>
    <row r="465">
      <c r="A465" s="3" t="s">
        <v>3159</v>
      </c>
      <c r="B465" s="4" t="str">
        <f>C465 &amp; "." &amp; D465</f>
        <v>Rationales.SemanticTypeIri</v>
      </c>
      <c r="C465" s="3" t="s">
        <v>3151</v>
      </c>
      <c r="D465" s="3" t="s">
        <v>94</v>
      </c>
      <c r="E465" s="3" t="s">
        <v>2416</v>
      </c>
      <c r="F465" s="3" t="s">
        <v>2417</v>
      </c>
      <c r="G465" s="3"/>
      <c r="H465" s="3"/>
      <c r="I465" s="4" t="b">
        <f>OR(((E465 = "calculated")=TRUE), ((E465 = "lookup")=TRUE), ((E465 = "aggregation")=TRUE))</f>
        <v>0</v>
      </c>
      <c r="J465" s="4" t="b">
        <f>H465 &lt;&gt; ""</f>
        <v>0</v>
      </c>
      <c r="K465" s="4">
        <f>COUNTIFS(FieldDisagreements!D2:D50, A465)</f>
        <v>0</v>
      </c>
      <c r="L465" s="4" t="b">
        <f>K465 &gt; 0</f>
        <v>0</v>
      </c>
      <c r="M465" s="3" t="s">
        <v>2418</v>
      </c>
    </row>
    <row r="466">
      <c r="A466" s="3" t="s">
        <v>3160</v>
      </c>
      <c r="B466" s="4" t="str">
        <f>C466 &amp; "." &amp; D466</f>
        <v>Exceptions.ExceptionId</v>
      </c>
      <c r="C466" s="3" t="s">
        <v>3161</v>
      </c>
      <c r="D466" s="3" t="s">
        <v>1000</v>
      </c>
      <c r="E466" s="3" t="s">
        <v>2416</v>
      </c>
      <c r="F466" s="3" t="s">
        <v>2417</v>
      </c>
      <c r="G466" s="3"/>
      <c r="H466" s="3"/>
      <c r="I466" s="4" t="b">
        <f>OR(((E466 = "calculated")=TRUE), ((E466 = "lookup")=TRUE), ((E466 = "aggregation")=TRUE))</f>
        <v>0</v>
      </c>
      <c r="J466" s="4" t="b">
        <f>H466 &lt;&gt; ""</f>
        <v>0</v>
      </c>
      <c r="K466" s="4">
        <f>COUNTIFS(FieldDisagreements!D2:D50, A466)</f>
        <v>0</v>
      </c>
      <c r="L466" s="4" t="b">
        <f>K466 &gt; 0</f>
        <v>0</v>
      </c>
      <c r="M466" s="3" t="s">
        <v>2418</v>
      </c>
    </row>
    <row r="467">
      <c r="A467" s="3" t="s">
        <v>3162</v>
      </c>
      <c r="B467" s="4" t="str">
        <f>C467 &amp; "." &amp; D467</f>
        <v>Exceptions.Name</v>
      </c>
      <c r="C467" s="3" t="s">
        <v>3161</v>
      </c>
      <c r="D467" s="3" t="s">
        <v>1</v>
      </c>
      <c r="E467" s="3" t="s">
        <v>2420</v>
      </c>
      <c r="F467" s="3" t="s">
        <v>2417</v>
      </c>
      <c r="G467" s="3" t="s">
        <v>3163</v>
      </c>
      <c r="H467" s="3"/>
      <c r="I467" s="4" t="b">
        <f>OR(((E467 = "calculated")=TRUE), ((E467 = "lookup")=TRUE), ((E467 = "aggregation")=TRUE))</f>
        <v>1</v>
      </c>
      <c r="J467" s="4" t="b">
        <f>H467 &lt;&gt; ""</f>
        <v>0</v>
      </c>
      <c r="K467" s="4">
        <f>COUNTIFS(FieldDisagreements!D2:D50, A467)</f>
        <v>0</v>
      </c>
      <c r="L467" s="4" t="b">
        <f>K467 &gt; 0</f>
        <v>0</v>
      </c>
      <c r="M467" s="3" t="s">
        <v>2418</v>
      </c>
    </row>
    <row r="468">
      <c r="A468" s="3" t="s">
        <v>3164</v>
      </c>
      <c r="B468" s="4" t="str">
        <f>C468 &amp; "." &amp; D468</f>
        <v>Exceptions.ProcedureVersion</v>
      </c>
      <c r="C468" s="3" t="s">
        <v>3161</v>
      </c>
      <c r="D468" s="3" t="s">
        <v>478</v>
      </c>
      <c r="E468" s="3" t="s">
        <v>2465</v>
      </c>
      <c r="F468" s="3" t="s">
        <v>2417</v>
      </c>
      <c r="G468" s="3"/>
      <c r="H468" s="3"/>
      <c r="I468" s="4" t="b">
        <f>OR(((E468 = "calculated")=TRUE), ((E468 = "lookup")=TRUE), ((E468 = "aggregation")=TRUE))</f>
        <v>0</v>
      </c>
      <c r="J468" s="4" t="b">
        <f>H468 &lt;&gt; ""</f>
        <v>0</v>
      </c>
      <c r="K468" s="4">
        <f>COUNTIFS(FieldDisagreements!D2:D50, A468)</f>
        <v>0</v>
      </c>
      <c r="L468" s="4" t="b">
        <f>K468 &gt; 0</f>
        <v>0</v>
      </c>
      <c r="M468" s="3" t="s">
        <v>2418</v>
      </c>
    </row>
    <row r="469">
      <c r="A469" s="3" t="s">
        <v>3165</v>
      </c>
      <c r="B469" s="4" t="str">
        <f>C469 &amp; "." &amp; D469</f>
        <v>Exceptions.TriggerStep</v>
      </c>
      <c r="C469" s="3" t="s">
        <v>3161</v>
      </c>
      <c r="D469" s="3" t="s">
        <v>1001</v>
      </c>
      <c r="E469" s="3" t="s">
        <v>2465</v>
      </c>
      <c r="F469" s="3" t="s">
        <v>2417</v>
      </c>
      <c r="G469" s="3"/>
      <c r="H469" s="3"/>
      <c r="I469" s="4" t="b">
        <f>OR(((E469 = "calculated")=TRUE), ((E469 = "lookup")=TRUE), ((E469 = "aggregation")=TRUE))</f>
        <v>0</v>
      </c>
      <c r="J469" s="4" t="b">
        <f>H469 &lt;&gt; ""</f>
        <v>0</v>
      </c>
      <c r="K469" s="4">
        <f>COUNTIFS(FieldDisagreements!D2:D50, A469)</f>
        <v>0</v>
      </c>
      <c r="L469" s="4" t="b">
        <f>K469 &gt; 0</f>
        <v>0</v>
      </c>
      <c r="M469" s="3" t="s">
        <v>2418</v>
      </c>
    </row>
    <row r="470">
      <c r="A470" s="3" t="s">
        <v>3166</v>
      </c>
      <c r="B470" s="4" t="str">
        <f>C470 &amp; "." &amp; D470</f>
        <v>Exceptions.Condition</v>
      </c>
      <c r="C470" s="3" t="s">
        <v>3161</v>
      </c>
      <c r="D470" s="3" t="s">
        <v>625</v>
      </c>
      <c r="E470" s="3" t="s">
        <v>2416</v>
      </c>
      <c r="F470" s="3" t="s">
        <v>2417</v>
      </c>
      <c r="G470" s="3"/>
      <c r="H470" s="3"/>
      <c r="I470" s="4" t="b">
        <f>OR(((E470 = "calculated")=TRUE), ((E470 = "lookup")=TRUE), ((E470 = "aggregation")=TRUE))</f>
        <v>0</v>
      </c>
      <c r="J470" s="4" t="b">
        <f>H470 &lt;&gt; ""</f>
        <v>0</v>
      </c>
      <c r="K470" s="4">
        <f>COUNTIFS(FieldDisagreements!D2:D50, A470)</f>
        <v>0</v>
      </c>
      <c r="L470" s="4" t="b">
        <f>K470 &gt; 0</f>
        <v>0</v>
      </c>
      <c r="M470" s="3" t="s">
        <v>2418</v>
      </c>
    </row>
    <row r="471">
      <c r="A471" s="3" t="s">
        <v>3167</v>
      </c>
      <c r="B471" s="4" t="str">
        <f>C471 &amp; "." &amp; D471</f>
        <v>Exceptions.Handling</v>
      </c>
      <c r="C471" s="3" t="s">
        <v>3161</v>
      </c>
      <c r="D471" s="3" t="s">
        <v>1002</v>
      </c>
      <c r="E471" s="3" t="s">
        <v>2416</v>
      </c>
      <c r="F471" s="3" t="s">
        <v>2417</v>
      </c>
      <c r="G471" s="3"/>
      <c r="H471" s="3"/>
      <c r="I471" s="4" t="b">
        <f>OR(((E471 = "calculated")=TRUE), ((E471 = "lookup")=TRUE), ((E471 = "aggregation")=TRUE))</f>
        <v>0</v>
      </c>
      <c r="J471" s="4" t="b">
        <f>H471 &lt;&gt; ""</f>
        <v>0</v>
      </c>
      <c r="K471" s="4">
        <f>COUNTIFS(FieldDisagreements!D2:D50, A471)</f>
        <v>0</v>
      </c>
      <c r="L471" s="4" t="b">
        <f>K471 &gt; 0</f>
        <v>0</v>
      </c>
      <c r="M471" s="3" t="s">
        <v>2418</v>
      </c>
    </row>
    <row r="472">
      <c r="A472" s="3" t="s">
        <v>3168</v>
      </c>
      <c r="B472" s="4" t="str">
        <f>C472 &amp; "." &amp; D472</f>
        <v>Exceptions.ApprovalRole</v>
      </c>
      <c r="C472" s="3" t="s">
        <v>3161</v>
      </c>
      <c r="D472" s="3" t="s">
        <v>1003</v>
      </c>
      <c r="E472" s="3" t="s">
        <v>2465</v>
      </c>
      <c r="F472" s="3" t="s">
        <v>2417</v>
      </c>
      <c r="G472" s="3"/>
      <c r="H472" s="3"/>
      <c r="I472" s="4" t="b">
        <f>OR(((E472 = "calculated")=TRUE), ((E472 = "lookup")=TRUE), ((E472 = "aggregation")=TRUE))</f>
        <v>0</v>
      </c>
      <c r="J472" s="4" t="b">
        <f>H472 &lt;&gt; ""</f>
        <v>0</v>
      </c>
      <c r="K472" s="4">
        <f>COUNTIFS(FieldDisagreements!D2:D50, A472)</f>
        <v>0</v>
      </c>
      <c r="L472" s="4" t="b">
        <f>K472 &gt; 0</f>
        <v>0</v>
      </c>
      <c r="M472" s="3" t="s">
        <v>2418</v>
      </c>
    </row>
    <row r="473">
      <c r="A473" s="3" t="s">
        <v>3169</v>
      </c>
      <c r="B473" s="4" t="str">
        <f>C473 &amp; "." &amp; D473</f>
        <v>Exceptions.FallbackRole</v>
      </c>
      <c r="C473" s="3" t="s">
        <v>3161</v>
      </c>
      <c r="D473" s="3" t="s">
        <v>1004</v>
      </c>
      <c r="E473" s="3" t="s">
        <v>2465</v>
      </c>
      <c r="F473" s="3" t="s">
        <v>2417</v>
      </c>
      <c r="G473" s="3"/>
      <c r="H473" s="3"/>
      <c r="I473" s="4" t="b">
        <f>OR(((E473 = "calculated")=TRUE), ((E473 = "lookup")=TRUE), ((E473 = "aggregation")=TRUE))</f>
        <v>0</v>
      </c>
      <c r="J473" s="4" t="b">
        <f>H473 &lt;&gt; ""</f>
        <v>0</v>
      </c>
      <c r="K473" s="4">
        <f>COUNTIFS(FieldDisagreements!D2:D50, A473)</f>
        <v>0</v>
      </c>
      <c r="L473" s="4" t="b">
        <f>K473 &gt; 0</f>
        <v>0</v>
      </c>
      <c r="M473" s="3" t="s">
        <v>2418</v>
      </c>
    </row>
    <row r="474">
      <c r="A474" s="3" t="s">
        <v>3170</v>
      </c>
      <c r="B474" s="4" t="str">
        <f>C474 &amp; "." &amp; D474</f>
        <v>Exceptions.Status</v>
      </c>
      <c r="C474" s="3" t="s">
        <v>3161</v>
      </c>
      <c r="D474" s="3" t="s">
        <v>8</v>
      </c>
      <c r="E474" s="3" t="s">
        <v>2416</v>
      </c>
      <c r="F474" s="3" t="s">
        <v>2417</v>
      </c>
      <c r="G474" s="3"/>
      <c r="H474" s="3"/>
      <c r="I474" s="4" t="b">
        <f>OR(((E474 = "calculated")=TRUE), ((E474 = "lookup")=TRUE), ((E474 = "aggregation")=TRUE))</f>
        <v>0</v>
      </c>
      <c r="J474" s="4" t="b">
        <f>H474 &lt;&gt; ""</f>
        <v>0</v>
      </c>
      <c r="K474" s="4">
        <f>COUNTIFS(FieldDisagreements!D2:D50, A474)</f>
        <v>0</v>
      </c>
      <c r="L474" s="4" t="b">
        <f>K474 &gt; 0</f>
        <v>0</v>
      </c>
      <c r="M474" s="3" t="s">
        <v>2418</v>
      </c>
    </row>
    <row r="475">
      <c r="A475" s="3" t="s">
        <v>3171</v>
      </c>
      <c r="B475" s="4" t="str">
        <f>C475 &amp; "." &amp; D475</f>
        <v>Exceptions.ActiveExceptionStepKey</v>
      </c>
      <c r="C475" s="3" t="s">
        <v>3161</v>
      </c>
      <c r="D475" s="3" t="s">
        <v>1005</v>
      </c>
      <c r="E475" s="3" t="s">
        <v>2420</v>
      </c>
      <c r="F475" s="3" t="s">
        <v>2417</v>
      </c>
      <c r="G475" s="3" t="s">
        <v>3172</v>
      </c>
      <c r="H475" s="3" t="s">
        <v>1971</v>
      </c>
      <c r="I475" s="4" t="b">
        <f>OR(((E475 = "calculated")=TRUE), ((E475 = "lookup")=TRUE), ((E475 = "aggregation")=TRUE))</f>
        <v>1</v>
      </c>
      <c r="J475" s="4" t="b">
        <f>H475 &lt;&gt; ""</f>
        <v>1</v>
      </c>
      <c r="K475" s="4">
        <f>COUNTIFS(FieldDisagreements!D2:D50, A475)</f>
        <v>0</v>
      </c>
      <c r="L475" s="4" t="b">
        <f>K475 &gt; 0</f>
        <v>0</v>
      </c>
      <c r="M475" s="3" t="s">
        <v>2418</v>
      </c>
    </row>
    <row r="476">
      <c r="A476" s="3" t="s">
        <v>3173</v>
      </c>
      <c r="B476" s="4" t="str">
        <f>C476 &amp; "." &amp; D476</f>
        <v>Exceptions.SemanticTypeIri</v>
      </c>
      <c r="C476" s="3" t="s">
        <v>3161</v>
      </c>
      <c r="D476" s="3" t="s">
        <v>94</v>
      </c>
      <c r="E476" s="3" t="s">
        <v>2416</v>
      </c>
      <c r="F476" s="3" t="s">
        <v>2417</v>
      </c>
      <c r="G476" s="3"/>
      <c r="H476" s="3"/>
      <c r="I476" s="4" t="b">
        <f>OR(((E476 = "calculated")=TRUE), ((E476 = "lookup")=TRUE), ((E476 = "aggregation")=TRUE))</f>
        <v>0</v>
      </c>
      <c r="J476" s="4" t="b">
        <f>H476 &lt;&gt; ""</f>
        <v>0</v>
      </c>
      <c r="K476" s="4">
        <f>COUNTIFS(FieldDisagreements!D2:D50, A476)</f>
        <v>0</v>
      </c>
      <c r="L476" s="4" t="b">
        <f>K476 &gt; 0</f>
        <v>0</v>
      </c>
      <c r="M476" s="3" t="s">
        <v>2418</v>
      </c>
    </row>
    <row r="477">
      <c r="A477" s="3" t="s">
        <v>3174</v>
      </c>
      <c r="B477" s="4" t="str">
        <f>C477 &amp; "." &amp; D477</f>
        <v>Resources.ResourceId</v>
      </c>
      <c r="C477" s="3" t="s">
        <v>1811</v>
      </c>
      <c r="D477" s="3" t="s">
        <v>1019</v>
      </c>
      <c r="E477" s="3" t="s">
        <v>2416</v>
      </c>
      <c r="F477" s="3" t="s">
        <v>2417</v>
      </c>
      <c r="G477" s="3"/>
      <c r="H477" s="3"/>
      <c r="I477" s="4" t="b">
        <f>OR(((E477 = "calculated")=TRUE), ((E477 = "lookup")=TRUE), ((E477 = "aggregation")=TRUE))</f>
        <v>0</v>
      </c>
      <c r="J477" s="4" t="b">
        <f>H477 &lt;&gt; ""</f>
        <v>0</v>
      </c>
      <c r="K477" s="4">
        <f>COUNTIFS(FieldDisagreements!D2:D50, A477)</f>
        <v>0</v>
      </c>
      <c r="L477" s="4" t="b">
        <f>K477 &gt; 0</f>
        <v>0</v>
      </c>
      <c r="M477" s="3" t="s">
        <v>2418</v>
      </c>
    </row>
    <row r="478">
      <c r="A478" s="3" t="s">
        <v>3175</v>
      </c>
      <c r="B478" s="4" t="str">
        <f>C478 &amp; "." &amp; D478</f>
        <v>Resources.Name</v>
      </c>
      <c r="C478" s="3" t="s">
        <v>1811</v>
      </c>
      <c r="D478" s="3" t="s">
        <v>1</v>
      </c>
      <c r="E478" s="3" t="s">
        <v>2420</v>
      </c>
      <c r="F478" s="3" t="s">
        <v>2417</v>
      </c>
      <c r="G478" s="3" t="s">
        <v>2683</v>
      </c>
      <c r="H478" s="3"/>
      <c r="I478" s="4" t="b">
        <f>OR(((E478 = "calculated")=TRUE), ((E478 = "lookup")=TRUE), ((E478 = "aggregation")=TRUE))</f>
        <v>1</v>
      </c>
      <c r="J478" s="4" t="b">
        <f>H478 &lt;&gt; ""</f>
        <v>0</v>
      </c>
      <c r="K478" s="4">
        <f>COUNTIFS(FieldDisagreements!D2:D50, A478)</f>
        <v>0</v>
      </c>
      <c r="L478" s="4" t="b">
        <f>K478 &gt; 0</f>
        <v>0</v>
      </c>
      <c r="M478" s="3" t="s">
        <v>2418</v>
      </c>
    </row>
    <row r="479">
      <c r="A479" s="3" t="s">
        <v>3176</v>
      </c>
      <c r="B479" s="4" t="str">
        <f>C479 &amp; "." &amp; D479</f>
        <v>Resources.Title</v>
      </c>
      <c r="C479" s="3" t="s">
        <v>1811</v>
      </c>
      <c r="D479" s="3" t="s">
        <v>358</v>
      </c>
      <c r="E479" s="3" t="s">
        <v>2416</v>
      </c>
      <c r="F479" s="3" t="s">
        <v>2417</v>
      </c>
      <c r="G479" s="3"/>
      <c r="H479" s="3"/>
      <c r="I479" s="4" t="b">
        <f>OR(((E479 = "calculated")=TRUE), ((E479 = "lookup")=TRUE), ((E479 = "aggregation")=TRUE))</f>
        <v>0</v>
      </c>
      <c r="J479" s="4" t="b">
        <f>H479 &lt;&gt; ""</f>
        <v>0</v>
      </c>
      <c r="K479" s="4">
        <f>COUNTIFS(FieldDisagreements!D2:D50, A479)</f>
        <v>0</v>
      </c>
      <c r="L479" s="4" t="b">
        <f>K479 &gt; 0</f>
        <v>0</v>
      </c>
      <c r="M479" s="3" t="s">
        <v>2418</v>
      </c>
    </row>
    <row r="480">
      <c r="A480" s="3" t="s">
        <v>3177</v>
      </c>
      <c r="B480" s="4" t="str">
        <f>C480 &amp; "." &amp; D480</f>
        <v>Resources.ResourceKind</v>
      </c>
      <c r="C480" s="3" t="s">
        <v>1811</v>
      </c>
      <c r="D480" s="3" t="s">
        <v>1020</v>
      </c>
      <c r="E480" s="3" t="s">
        <v>2416</v>
      </c>
      <c r="F480" s="3" t="s">
        <v>2417</v>
      </c>
      <c r="G480" s="3"/>
      <c r="H480" s="3"/>
      <c r="I480" s="4" t="b">
        <f>OR(((E480 = "calculated")=TRUE), ((E480 = "lookup")=TRUE), ((E480 = "aggregation")=TRUE))</f>
        <v>0</v>
      </c>
      <c r="J480" s="4" t="b">
        <f>H480 &lt;&gt; ""</f>
        <v>0</v>
      </c>
      <c r="K480" s="4">
        <f>COUNTIFS(FieldDisagreements!D2:D50, A480)</f>
        <v>0</v>
      </c>
      <c r="L480" s="4" t="b">
        <f>K480 &gt; 0</f>
        <v>0</v>
      </c>
      <c r="M480" s="3" t="s">
        <v>2418</v>
      </c>
    </row>
    <row r="481">
      <c r="A481" s="3" t="s">
        <v>3178</v>
      </c>
      <c r="B481" s="4" t="str">
        <f>C481 &amp; "." &amp; D481</f>
        <v>Resources.ExternalUri</v>
      </c>
      <c r="C481" s="3" t="s">
        <v>1811</v>
      </c>
      <c r="D481" s="3" t="s">
        <v>1021</v>
      </c>
      <c r="E481" s="3" t="s">
        <v>2416</v>
      </c>
      <c r="F481" s="3" t="s">
        <v>2417</v>
      </c>
      <c r="G481" s="3"/>
      <c r="H481" s="3"/>
      <c r="I481" s="4" t="b">
        <f>OR(((E481 = "calculated")=TRUE), ((E481 = "lookup")=TRUE), ((E481 = "aggregation")=TRUE))</f>
        <v>0</v>
      </c>
      <c r="J481" s="4" t="b">
        <f>H481 &lt;&gt; ""</f>
        <v>0</v>
      </c>
      <c r="K481" s="4">
        <f>COUNTIFS(FieldDisagreements!D2:D50, A481)</f>
        <v>0</v>
      </c>
      <c r="L481" s="4" t="b">
        <f>K481 &gt; 0</f>
        <v>0</v>
      </c>
      <c r="M481" s="3" t="s">
        <v>2418</v>
      </c>
    </row>
    <row r="482">
      <c r="A482" s="3" t="s">
        <v>3179</v>
      </c>
      <c r="B482" s="4" t="str">
        <f>C482 &amp; "." &amp; D482</f>
        <v>Resources.CreatedAt</v>
      </c>
      <c r="C482" s="3" t="s">
        <v>1811</v>
      </c>
      <c r="D482" s="3" t="s">
        <v>1022</v>
      </c>
      <c r="E482" s="3" t="s">
        <v>2416</v>
      </c>
      <c r="F482" s="3" t="s">
        <v>2428</v>
      </c>
      <c r="G482" s="3"/>
      <c r="H482" s="3"/>
      <c r="I482" s="4" t="b">
        <f>OR(((E482 = "calculated")=TRUE), ((E482 = "lookup")=TRUE), ((E482 = "aggregation")=TRUE))</f>
        <v>0</v>
      </c>
      <c r="J482" s="4" t="b">
        <f>H482 &lt;&gt; ""</f>
        <v>0</v>
      </c>
      <c r="K482" s="4">
        <f>COUNTIFS(FieldDisagreements!D2:D50, A482)</f>
        <v>0</v>
      </c>
      <c r="L482" s="4" t="b">
        <f>K482 &gt; 0</f>
        <v>0</v>
      </c>
      <c r="M482" s="3" t="s">
        <v>2418</v>
      </c>
    </row>
    <row r="483">
      <c r="A483" s="3" t="s">
        <v>3180</v>
      </c>
      <c r="B483" s="4" t="str">
        <f>C483 &amp; "." &amp; D483</f>
        <v>Resources.ModifiedAt</v>
      </c>
      <c r="C483" s="3" t="s">
        <v>1811</v>
      </c>
      <c r="D483" s="3" t="s">
        <v>379</v>
      </c>
      <c r="E483" s="3" t="s">
        <v>2416</v>
      </c>
      <c r="F483" s="3" t="s">
        <v>2428</v>
      </c>
      <c r="G483" s="3"/>
      <c r="H483" s="3"/>
      <c r="I483" s="4" t="b">
        <f>OR(((E483 = "calculated")=TRUE), ((E483 = "lookup")=TRUE), ((E483 = "aggregation")=TRUE))</f>
        <v>0</v>
      </c>
      <c r="J483" s="4" t="b">
        <f>H483 &lt;&gt; ""</f>
        <v>0</v>
      </c>
      <c r="K483" s="4">
        <f>COUNTIFS(FieldDisagreements!D2:D50, A483)</f>
        <v>0</v>
      </c>
      <c r="L483" s="4" t="b">
        <f>K483 &gt; 0</f>
        <v>0</v>
      </c>
      <c r="M483" s="3" t="s">
        <v>2418</v>
      </c>
    </row>
    <row r="484">
      <c r="A484" s="3" t="s">
        <v>3181</v>
      </c>
      <c r="B484" s="4" t="str">
        <f>C484 &amp; "." &amp; D484</f>
        <v>Resources.Description</v>
      </c>
      <c r="C484" s="3" t="s">
        <v>1811</v>
      </c>
      <c r="D484" s="3" t="s">
        <v>1023</v>
      </c>
      <c r="E484" s="3" t="s">
        <v>2416</v>
      </c>
      <c r="F484" s="3" t="s">
        <v>2417</v>
      </c>
      <c r="G484" s="3"/>
      <c r="H484" s="3"/>
      <c r="I484" s="4" t="b">
        <f>OR(((E484 = "calculated")=TRUE), ((E484 = "lookup")=TRUE), ((E484 = "aggregation")=TRUE))</f>
        <v>0</v>
      </c>
      <c r="J484" s="4" t="b">
        <f>H484 &lt;&gt; ""</f>
        <v>0</v>
      </c>
      <c r="K484" s="4">
        <f>COUNTIFS(FieldDisagreements!D2:D50, A484)</f>
        <v>0</v>
      </c>
      <c r="L484" s="4" t="b">
        <f>K484 &gt; 0</f>
        <v>0</v>
      </c>
      <c r="M484" s="3" t="s">
        <v>2418</v>
      </c>
    </row>
    <row r="485">
      <c r="A485" s="3" t="s">
        <v>3182</v>
      </c>
      <c r="B485" s="4" t="str">
        <f>C485 &amp; "." &amp; D485</f>
        <v>Resources.ApprovalStatus</v>
      </c>
      <c r="C485" s="3" t="s">
        <v>1811</v>
      </c>
      <c r="D485" s="3" t="s">
        <v>1024</v>
      </c>
      <c r="E485" s="3" t="s">
        <v>2416</v>
      </c>
      <c r="F485" s="3" t="s">
        <v>2417</v>
      </c>
      <c r="G485" s="3"/>
      <c r="H485" s="3" t="s">
        <v>2183</v>
      </c>
      <c r="I485" s="4" t="b">
        <f>OR(((E485 = "calculated")=TRUE), ((E485 = "lookup")=TRUE), ((E485 = "aggregation")=TRUE))</f>
        <v>0</v>
      </c>
      <c r="J485" s="4" t="b">
        <f>H485 &lt;&gt; ""</f>
        <v>1</v>
      </c>
      <c r="K485" s="4">
        <f>COUNTIFS(FieldDisagreements!D2:D50, A485)</f>
        <v>0</v>
      </c>
      <c r="L485" s="4" t="b">
        <f>K485 &gt; 0</f>
        <v>0</v>
      </c>
      <c r="M485" s="3" t="s">
        <v>2418</v>
      </c>
    </row>
    <row r="486">
      <c r="A486" s="3" t="s">
        <v>3183</v>
      </c>
      <c r="B486" s="4" t="str">
        <f>C486 &amp; "." &amp; D486</f>
        <v>Resources.IsApprovedSource</v>
      </c>
      <c r="C486" s="3" t="s">
        <v>1811</v>
      </c>
      <c r="D486" s="3" t="s">
        <v>1025</v>
      </c>
      <c r="E486" s="3" t="s">
        <v>2420</v>
      </c>
      <c r="F486" s="3" t="s">
        <v>2432</v>
      </c>
      <c r="G486" s="3" t="s">
        <v>3184</v>
      </c>
      <c r="H486" s="3" t="s">
        <v>2183</v>
      </c>
      <c r="I486" s="4" t="b">
        <f>OR(((E486 = "calculated")=TRUE), ((E486 = "lookup")=TRUE), ((E486 = "aggregation")=TRUE))</f>
        <v>1</v>
      </c>
      <c r="J486" s="4" t="b">
        <f>H486 &lt;&gt; ""</f>
        <v>1</v>
      </c>
      <c r="K486" s="4">
        <f>COUNTIFS(FieldDisagreements!D2:D50, A486)</f>
        <v>0</v>
      </c>
      <c r="L486" s="4" t="b">
        <f>K486 &gt; 0</f>
        <v>0</v>
      </c>
      <c r="M486" s="3" t="s">
        <v>2418</v>
      </c>
    </row>
    <row r="487">
      <c r="A487" s="3" t="s">
        <v>3185</v>
      </c>
      <c r="B487" s="4" t="str">
        <f>C487 &amp; "." &amp; D487</f>
        <v>Resources.SemanticTypeIri</v>
      </c>
      <c r="C487" s="3" t="s">
        <v>1811</v>
      </c>
      <c r="D487" s="3" t="s">
        <v>94</v>
      </c>
      <c r="E487" s="3" t="s">
        <v>2416</v>
      </c>
      <c r="F487" s="3" t="s">
        <v>2417</v>
      </c>
      <c r="G487" s="3"/>
      <c r="H487" s="3"/>
      <c r="I487" s="4" t="b">
        <f>OR(((E487 = "calculated")=TRUE), ((E487 = "lookup")=TRUE), ((E487 = "aggregation")=TRUE))</f>
        <v>0</v>
      </c>
      <c r="J487" s="4" t="b">
        <f>H487 &lt;&gt; ""</f>
        <v>0</v>
      </c>
      <c r="K487" s="4">
        <f>COUNTIFS(FieldDisagreements!D2:D50, A487)</f>
        <v>0</v>
      </c>
      <c r="L487" s="4" t="b">
        <f>K487 &gt; 0</f>
        <v>0</v>
      </c>
      <c r="M487" s="3" t="s">
        <v>2418</v>
      </c>
    </row>
    <row r="488">
      <c r="A488" s="3" t="s">
        <v>3186</v>
      </c>
      <c r="B488" s="4" t="str">
        <f>C488 &amp; "." &amp; D488</f>
        <v>ProcedureResources.ProcedureResourceId</v>
      </c>
      <c r="C488" s="3" t="s">
        <v>3187</v>
      </c>
      <c r="D488" s="3" t="s">
        <v>1065</v>
      </c>
      <c r="E488" s="3" t="s">
        <v>2416</v>
      </c>
      <c r="F488" s="3" t="s">
        <v>2417</v>
      </c>
      <c r="G488" s="3"/>
      <c r="H488" s="3"/>
      <c r="I488" s="4" t="b">
        <f>OR(((E488 = "calculated")=TRUE), ((E488 = "lookup")=TRUE), ((E488 = "aggregation")=TRUE))</f>
        <v>0</v>
      </c>
      <c r="J488" s="4" t="b">
        <f>H488 &lt;&gt; ""</f>
        <v>0</v>
      </c>
      <c r="K488" s="4">
        <f>COUNTIFS(FieldDisagreements!D2:D50, A488)</f>
        <v>0</v>
      </c>
      <c r="L488" s="4" t="b">
        <f>K488 &gt; 0</f>
        <v>0</v>
      </c>
      <c r="M488" s="3" t="s">
        <v>2418</v>
      </c>
    </row>
    <row r="489">
      <c r="A489" s="3" t="s">
        <v>3188</v>
      </c>
      <c r="B489" s="4" t="str">
        <f>C489 &amp; "." &amp; D489</f>
        <v>ProcedureResources.Name</v>
      </c>
      <c r="C489" s="3" t="s">
        <v>3187</v>
      </c>
      <c r="D489" s="3" t="s">
        <v>1</v>
      </c>
      <c r="E489" s="3" t="s">
        <v>2420</v>
      </c>
      <c r="F489" s="3" t="s">
        <v>2417</v>
      </c>
      <c r="G489" s="3" t="s">
        <v>3189</v>
      </c>
      <c r="H489" s="3"/>
      <c r="I489" s="4" t="b">
        <f>OR(((E489 = "calculated")=TRUE), ((E489 = "lookup")=TRUE), ((E489 = "aggregation")=TRUE))</f>
        <v>1</v>
      </c>
      <c r="J489" s="4" t="b">
        <f>H489 &lt;&gt; ""</f>
        <v>0</v>
      </c>
      <c r="K489" s="4">
        <f>COUNTIFS(FieldDisagreements!D2:D50, A489)</f>
        <v>0</v>
      </c>
      <c r="L489" s="4" t="b">
        <f>K489 &gt; 0</f>
        <v>0</v>
      </c>
      <c r="M489" s="3" t="s">
        <v>2418</v>
      </c>
    </row>
    <row r="490">
      <c r="A490" s="3" t="s">
        <v>3190</v>
      </c>
      <c r="B490" s="4" t="str">
        <f>C490 &amp; "." &amp; D490</f>
        <v>ProcedureResources.ProcedureVersion</v>
      </c>
      <c r="C490" s="3" t="s">
        <v>3187</v>
      </c>
      <c r="D490" s="3" t="s">
        <v>478</v>
      </c>
      <c r="E490" s="3" t="s">
        <v>2465</v>
      </c>
      <c r="F490" s="3" t="s">
        <v>2417</v>
      </c>
      <c r="G490" s="3"/>
      <c r="H490" s="3"/>
      <c r="I490" s="4" t="b">
        <f>OR(((E490 = "calculated")=TRUE), ((E490 = "lookup")=TRUE), ((E490 = "aggregation")=TRUE))</f>
        <v>0</v>
      </c>
      <c r="J490" s="4" t="b">
        <f>H490 &lt;&gt; ""</f>
        <v>0</v>
      </c>
      <c r="K490" s="4">
        <f>COUNTIFS(FieldDisagreements!D2:D50, A490)</f>
        <v>0</v>
      </c>
      <c r="L490" s="4" t="b">
        <f>K490 &gt; 0</f>
        <v>0</v>
      </c>
      <c r="M490" s="3" t="s">
        <v>2418</v>
      </c>
    </row>
    <row r="491">
      <c r="A491" s="3" t="s">
        <v>3191</v>
      </c>
      <c r="B491" s="4" t="str">
        <f>C491 &amp; "." &amp; D491</f>
        <v>ProcedureResources.Resource</v>
      </c>
      <c r="C491" s="3" t="s">
        <v>3187</v>
      </c>
      <c r="D491" s="3" t="s">
        <v>1066</v>
      </c>
      <c r="E491" s="3" t="s">
        <v>2465</v>
      </c>
      <c r="F491" s="3" t="s">
        <v>2417</v>
      </c>
      <c r="G491" s="3"/>
      <c r="H491" s="3"/>
      <c r="I491" s="4" t="b">
        <f>OR(((E491 = "calculated")=TRUE), ((E491 = "lookup")=TRUE), ((E491 = "aggregation")=TRUE))</f>
        <v>0</v>
      </c>
      <c r="J491" s="4" t="b">
        <f>H491 &lt;&gt; ""</f>
        <v>0</v>
      </c>
      <c r="K491" s="4">
        <f>COUNTIFS(FieldDisagreements!D2:D50, A491)</f>
        <v>0</v>
      </c>
      <c r="L491" s="4" t="b">
        <f>K491 &gt; 0</f>
        <v>0</v>
      </c>
      <c r="M491" s="3" t="s">
        <v>2418</v>
      </c>
    </row>
    <row r="492">
      <c r="A492" s="3" t="s">
        <v>3192</v>
      </c>
      <c r="B492" s="4" t="str">
        <f>C492 &amp; "." &amp; D492</f>
        <v>ProcedureResources.Relation</v>
      </c>
      <c r="C492" s="3" t="s">
        <v>3187</v>
      </c>
      <c r="D492" s="3" t="s">
        <v>1067</v>
      </c>
      <c r="E492" s="3" t="s">
        <v>2416</v>
      </c>
      <c r="F492" s="3" t="s">
        <v>2417</v>
      </c>
      <c r="G492" s="3"/>
      <c r="H492" s="3"/>
      <c r="I492" s="4" t="b">
        <f>OR(((E492 = "calculated")=TRUE), ((E492 = "lookup")=TRUE), ((E492 = "aggregation")=TRUE))</f>
        <v>0</v>
      </c>
      <c r="J492" s="4" t="b">
        <f>H492 &lt;&gt; ""</f>
        <v>0</v>
      </c>
      <c r="K492" s="4">
        <f>COUNTIFS(FieldDisagreements!D2:D50, A492)</f>
        <v>0</v>
      </c>
      <c r="L492" s="4" t="b">
        <f>K492 &gt; 0</f>
        <v>0</v>
      </c>
      <c r="M492" s="3" t="s">
        <v>2418</v>
      </c>
    </row>
    <row r="493">
      <c r="A493" s="3" t="s">
        <v>3193</v>
      </c>
      <c r="B493" s="4" t="str">
        <f>C493 &amp; "." &amp; D493</f>
        <v>ProcedureResources.RelationIri</v>
      </c>
      <c r="C493" s="3" t="s">
        <v>3187</v>
      </c>
      <c r="D493" s="3" t="s">
        <v>471</v>
      </c>
      <c r="E493" s="3" t="s">
        <v>2420</v>
      </c>
      <c r="F493" s="3" t="s">
        <v>2417</v>
      </c>
      <c r="G493" s="3" t="s">
        <v>3194</v>
      </c>
      <c r="H493" s="3"/>
      <c r="I493" s="4" t="b">
        <f>OR(((E493 = "calculated")=TRUE), ((E493 = "lookup")=TRUE), ((E493 = "aggregation")=TRUE))</f>
        <v>1</v>
      </c>
      <c r="J493" s="4" t="b">
        <f>H493 &lt;&gt; ""</f>
        <v>0</v>
      </c>
      <c r="K493" s="4">
        <f>COUNTIFS(FieldDisagreements!D2:D50, A493)</f>
        <v>0</v>
      </c>
      <c r="L493" s="4" t="b">
        <f>K493 &gt; 0</f>
        <v>0</v>
      </c>
      <c r="M493" s="3" t="s">
        <v>2418</v>
      </c>
    </row>
    <row r="494">
      <c r="A494" s="3" t="s">
        <v>3195</v>
      </c>
      <c r="B494" s="4" t="str">
        <f>C494 &amp; "." &amp; D494</f>
        <v>ElicitationSessions.ElicitationSessionId</v>
      </c>
      <c r="C494" s="3" t="s">
        <v>1855</v>
      </c>
      <c r="D494" s="3" t="s">
        <v>1078</v>
      </c>
      <c r="E494" s="3" t="s">
        <v>2416</v>
      </c>
      <c r="F494" s="3" t="s">
        <v>2417</v>
      </c>
      <c r="G494" s="3"/>
      <c r="H494" s="3"/>
      <c r="I494" s="4" t="b">
        <f>OR(((E494 = "calculated")=TRUE), ((E494 = "lookup")=TRUE), ((E494 = "aggregation")=TRUE))</f>
        <v>0</v>
      </c>
      <c r="J494" s="4" t="b">
        <f>H494 &lt;&gt; ""</f>
        <v>0</v>
      </c>
      <c r="K494" s="4">
        <f>COUNTIFS(FieldDisagreements!D2:D50, A494)</f>
        <v>0</v>
      </c>
      <c r="L494" s="4" t="b">
        <f>K494 &gt; 0</f>
        <v>0</v>
      </c>
      <c r="M494" s="3" t="s">
        <v>2418</v>
      </c>
    </row>
    <row r="495">
      <c r="A495" s="3" t="s">
        <v>3196</v>
      </c>
      <c r="B495" s="4" t="str">
        <f>C495 &amp; "." &amp; D495</f>
        <v>ElicitationSessions.Name</v>
      </c>
      <c r="C495" s="3" t="s">
        <v>1855</v>
      </c>
      <c r="D495" s="3" t="s">
        <v>1</v>
      </c>
      <c r="E495" s="3" t="s">
        <v>2420</v>
      </c>
      <c r="F495" s="3" t="s">
        <v>2417</v>
      </c>
      <c r="G495" s="3" t="s">
        <v>3197</v>
      </c>
      <c r="H495" s="3"/>
      <c r="I495" s="4" t="b">
        <f>OR(((E495 = "calculated")=TRUE), ((E495 = "lookup")=TRUE), ((E495 = "aggregation")=TRUE))</f>
        <v>1</v>
      </c>
      <c r="J495" s="4" t="b">
        <f>H495 &lt;&gt; ""</f>
        <v>0</v>
      </c>
      <c r="K495" s="4">
        <f>COUNTIFS(FieldDisagreements!D2:D50, A495)</f>
        <v>0</v>
      </c>
      <c r="L495" s="4" t="b">
        <f>K495 &gt; 0</f>
        <v>0</v>
      </c>
      <c r="M495" s="3" t="s">
        <v>2418</v>
      </c>
    </row>
    <row r="496">
      <c r="A496" s="3" t="s">
        <v>3198</v>
      </c>
      <c r="B496" s="4" t="str">
        <f>C496 &amp; "." &amp; D496</f>
        <v>ElicitationSessions.ProcedureVersion</v>
      </c>
      <c r="C496" s="3" t="s">
        <v>1855</v>
      </c>
      <c r="D496" s="3" t="s">
        <v>478</v>
      </c>
      <c r="E496" s="3" t="s">
        <v>2465</v>
      </c>
      <c r="F496" s="3" t="s">
        <v>2417</v>
      </c>
      <c r="G496" s="3"/>
      <c r="H496" s="3"/>
      <c r="I496" s="4" t="b">
        <f>OR(((E496 = "calculated")=TRUE), ((E496 = "lookup")=TRUE), ((E496 = "aggregation")=TRUE))</f>
        <v>0</v>
      </c>
      <c r="J496" s="4" t="b">
        <f>H496 &lt;&gt; ""</f>
        <v>0</v>
      </c>
      <c r="K496" s="4">
        <f>COUNTIFS(FieldDisagreements!D2:D50, A496)</f>
        <v>0</v>
      </c>
      <c r="L496" s="4" t="b">
        <f>K496 &gt; 0</f>
        <v>0</v>
      </c>
      <c r="M496" s="3" t="s">
        <v>2418</v>
      </c>
    </row>
    <row r="497">
      <c r="A497" s="3" t="s">
        <v>3199</v>
      </c>
      <c r="B497" s="4" t="str">
        <f>C497 &amp; "." &amp; D497</f>
        <v>ElicitationSessions.Method</v>
      </c>
      <c r="C497" s="3" t="s">
        <v>1855</v>
      </c>
      <c r="D497" s="3" t="s">
        <v>1079</v>
      </c>
      <c r="E497" s="3" t="s">
        <v>2416</v>
      </c>
      <c r="F497" s="3" t="s">
        <v>2417</v>
      </c>
      <c r="G497" s="3"/>
      <c r="H497" s="3"/>
      <c r="I497" s="4" t="b">
        <f>OR(((E497 = "calculated")=TRUE), ((E497 = "lookup")=TRUE), ((E497 = "aggregation")=TRUE))</f>
        <v>0</v>
      </c>
      <c r="J497" s="4" t="b">
        <f>H497 &lt;&gt; ""</f>
        <v>0</v>
      </c>
      <c r="K497" s="4">
        <f>COUNTIFS(FieldDisagreements!D2:D50, A497)</f>
        <v>0</v>
      </c>
      <c r="L497" s="4" t="b">
        <f>K497 &gt; 0</f>
        <v>0</v>
      </c>
      <c r="M497" s="3" t="s">
        <v>2418</v>
      </c>
    </row>
    <row r="498">
      <c r="A498" s="3" t="s">
        <v>3200</v>
      </c>
      <c r="B498" s="4" t="str">
        <f>C498 &amp; "." &amp; D498</f>
        <v>ElicitationSessions.StartedAt</v>
      </c>
      <c r="C498" s="3" t="s">
        <v>1855</v>
      </c>
      <c r="D498" s="3" t="s">
        <v>1080</v>
      </c>
      <c r="E498" s="3" t="s">
        <v>2416</v>
      </c>
      <c r="F498" s="3" t="s">
        <v>2428</v>
      </c>
      <c r="G498" s="3"/>
      <c r="H498" s="3"/>
      <c r="I498" s="4" t="b">
        <f>OR(((E498 = "calculated")=TRUE), ((E498 = "lookup")=TRUE), ((E498 = "aggregation")=TRUE))</f>
        <v>0</v>
      </c>
      <c r="J498" s="4" t="b">
        <f>H498 &lt;&gt; ""</f>
        <v>0</v>
      </c>
      <c r="K498" s="4">
        <f>COUNTIFS(FieldDisagreements!D2:D50, A498)</f>
        <v>0</v>
      </c>
      <c r="L498" s="4" t="b">
        <f>K498 &gt; 0</f>
        <v>0</v>
      </c>
      <c r="M498" s="3" t="s">
        <v>2418</v>
      </c>
    </row>
    <row r="499">
      <c r="A499" s="3" t="s">
        <v>3201</v>
      </c>
      <c r="B499" s="4" t="str">
        <f>C499 &amp; "." &amp; D499</f>
        <v>ElicitationSessions.EndedAt</v>
      </c>
      <c r="C499" s="3" t="s">
        <v>1855</v>
      </c>
      <c r="D499" s="3" t="s">
        <v>1081</v>
      </c>
      <c r="E499" s="3" t="s">
        <v>2416</v>
      </c>
      <c r="F499" s="3" t="s">
        <v>2428</v>
      </c>
      <c r="G499" s="3"/>
      <c r="H499" s="3"/>
      <c r="I499" s="4" t="b">
        <f>OR(((E499 = "calculated")=TRUE), ((E499 = "lookup")=TRUE), ((E499 = "aggregation")=TRUE))</f>
        <v>0</v>
      </c>
      <c r="J499" s="4" t="b">
        <f>H499 &lt;&gt; ""</f>
        <v>0</v>
      </c>
      <c r="K499" s="4">
        <f>COUNTIFS(FieldDisagreements!D2:D50, A499)</f>
        <v>0</v>
      </c>
      <c r="L499" s="4" t="b">
        <f>K499 &gt; 0</f>
        <v>0</v>
      </c>
      <c r="M499" s="3" t="s">
        <v>2418</v>
      </c>
    </row>
    <row r="500">
      <c r="A500" s="3" t="s">
        <v>3202</v>
      </c>
      <c r="B500" s="4" t="str">
        <f>C500 &amp; "." &amp; D500</f>
        <v>ElicitationSessions.PractitionerAgent</v>
      </c>
      <c r="C500" s="3" t="s">
        <v>1855</v>
      </c>
      <c r="D500" s="3" t="s">
        <v>1082</v>
      </c>
      <c r="E500" s="3" t="s">
        <v>2465</v>
      </c>
      <c r="F500" s="3" t="s">
        <v>2417</v>
      </c>
      <c r="G500" s="3"/>
      <c r="H500" s="3"/>
      <c r="I500" s="4" t="b">
        <f>OR(((E500 = "calculated")=TRUE), ((E500 = "lookup")=TRUE), ((E500 = "aggregation")=TRUE))</f>
        <v>0</v>
      </c>
      <c r="J500" s="4" t="b">
        <f>H500 &lt;&gt; ""</f>
        <v>0</v>
      </c>
      <c r="K500" s="4">
        <f>COUNTIFS(FieldDisagreements!D2:D50, A500)</f>
        <v>0</v>
      </c>
      <c r="L500" s="4" t="b">
        <f>K500 &gt; 0</f>
        <v>0</v>
      </c>
      <c r="M500" s="3" t="s">
        <v>2418</v>
      </c>
    </row>
    <row r="501">
      <c r="A501" s="3" t="s">
        <v>3203</v>
      </c>
      <c r="B501" s="4" t="str">
        <f>C501 &amp; "." &amp; D501</f>
        <v>ElicitationSessions.FacilitatorAgent</v>
      </c>
      <c r="C501" s="3" t="s">
        <v>1855</v>
      </c>
      <c r="D501" s="3" t="s">
        <v>1083</v>
      </c>
      <c r="E501" s="3" t="s">
        <v>2465</v>
      </c>
      <c r="F501" s="3" t="s">
        <v>2417</v>
      </c>
      <c r="G501" s="3"/>
      <c r="H501" s="3"/>
      <c r="I501" s="4" t="b">
        <f>OR(((E501 = "calculated")=TRUE), ((E501 = "lookup")=TRUE), ((E501 = "aggregation")=TRUE))</f>
        <v>0</v>
      </c>
      <c r="J501" s="4" t="b">
        <f>H501 &lt;&gt; ""</f>
        <v>0</v>
      </c>
      <c r="K501" s="4">
        <f>COUNTIFS(FieldDisagreements!D2:D50, A501)</f>
        <v>0</v>
      </c>
      <c r="L501" s="4" t="b">
        <f>K501 &gt; 0</f>
        <v>0</v>
      </c>
      <c r="M501" s="3" t="s">
        <v>2418</v>
      </c>
    </row>
    <row r="502">
      <c r="A502" s="3" t="s">
        <v>3204</v>
      </c>
      <c r="B502" s="4" t="str">
        <f>C502 &amp; "." &amp; D502</f>
        <v>ElicitationSessions.Summary</v>
      </c>
      <c r="C502" s="3" t="s">
        <v>1855</v>
      </c>
      <c r="D502" s="3" t="s">
        <v>1084</v>
      </c>
      <c r="E502" s="3" t="s">
        <v>2416</v>
      </c>
      <c r="F502" s="3" t="s">
        <v>2417</v>
      </c>
      <c r="G502" s="3"/>
      <c r="H502" s="3"/>
      <c r="I502" s="4" t="b">
        <f>OR(((E502 = "calculated")=TRUE), ((E502 = "lookup")=TRUE), ((E502 = "aggregation")=TRUE))</f>
        <v>0</v>
      </c>
      <c r="J502" s="4" t="b">
        <f>H502 &lt;&gt; ""</f>
        <v>0</v>
      </c>
      <c r="K502" s="4">
        <f>COUNTIFS(FieldDisagreements!D2:D50, A502)</f>
        <v>0</v>
      </c>
      <c r="L502" s="4" t="b">
        <f>K502 &gt; 0</f>
        <v>0</v>
      </c>
      <c r="M502" s="3" t="s">
        <v>2418</v>
      </c>
    </row>
    <row r="503">
      <c r="A503" s="3" t="s">
        <v>3205</v>
      </c>
      <c r="B503" s="4" t="str">
        <f>C503 &amp; "." &amp; D503</f>
        <v>ElicitationSessions.Status</v>
      </c>
      <c r="C503" s="3" t="s">
        <v>1855</v>
      </c>
      <c r="D503" s="3" t="s">
        <v>8</v>
      </c>
      <c r="E503" s="3" t="s">
        <v>2416</v>
      </c>
      <c r="F503" s="3" t="s">
        <v>2417</v>
      </c>
      <c r="G503" s="3"/>
      <c r="H503" s="3"/>
      <c r="I503" s="4" t="b">
        <f>OR(((E503 = "calculated")=TRUE), ((E503 = "lookup")=TRUE), ((E503 = "aggregation")=TRUE))</f>
        <v>0</v>
      </c>
      <c r="J503" s="4" t="b">
        <f>H503 &lt;&gt; ""</f>
        <v>0</v>
      </c>
      <c r="K503" s="4">
        <f>COUNTIFS(FieldDisagreements!D2:D50, A503)</f>
        <v>0</v>
      </c>
      <c r="L503" s="4" t="b">
        <f>K503 &gt; 0</f>
        <v>0</v>
      </c>
      <c r="M503" s="3" t="s">
        <v>2418</v>
      </c>
    </row>
    <row r="504">
      <c r="A504" s="3" t="s">
        <v>3206</v>
      </c>
      <c r="B504" s="4" t="str">
        <f>C504 &amp; "." &amp; D504</f>
        <v>ElicitationSessions.EvaluationContext</v>
      </c>
      <c r="C504" s="3" t="s">
        <v>1855</v>
      </c>
      <c r="D504" s="3" t="s">
        <v>258</v>
      </c>
      <c r="E504" s="3" t="s">
        <v>2465</v>
      </c>
      <c r="F504" s="3" t="s">
        <v>2417</v>
      </c>
      <c r="G504" s="3"/>
      <c r="H504" s="3"/>
      <c r="I504" s="4" t="b">
        <f>OR(((E504 = "calculated")=TRUE), ((E504 = "lookup")=TRUE), ((E504 = "aggregation")=TRUE))</f>
        <v>0</v>
      </c>
      <c r="J504" s="4" t="b">
        <f>H504 &lt;&gt; ""</f>
        <v>0</v>
      </c>
      <c r="K504" s="4">
        <f>COUNTIFS(FieldDisagreements!D2:D50, A504)</f>
        <v>0</v>
      </c>
      <c r="L504" s="4" t="b">
        <f>K504 &gt; 0</f>
        <v>0</v>
      </c>
      <c r="M504" s="3" t="s">
        <v>2418</v>
      </c>
    </row>
    <row r="505">
      <c r="A505" s="3" t="s">
        <v>3207</v>
      </c>
      <c r="B505" s="4" t="str">
        <f>C505 &amp; "." &amp; D505</f>
        <v>ElicitationSessions.AsOfInstant</v>
      </c>
      <c r="C505" s="3" t="s">
        <v>1855</v>
      </c>
      <c r="D505" s="3" t="s">
        <v>92</v>
      </c>
      <c r="E505" s="3" t="s">
        <v>2509</v>
      </c>
      <c r="F505" s="3" t="s">
        <v>2428</v>
      </c>
      <c r="G505" s="3" t="s">
        <v>2555</v>
      </c>
      <c r="H505" s="3"/>
      <c r="I505" s="4" t="b">
        <f>OR(((E505 = "calculated")=TRUE), ((E505 = "lookup")=TRUE), ((E505 = "aggregation")=TRUE))</f>
        <v>1</v>
      </c>
      <c r="J505" s="4" t="b">
        <f>H505 &lt;&gt; ""</f>
        <v>0</v>
      </c>
      <c r="K505" s="4">
        <f>COUNTIFS(FieldDisagreements!D2:D50, A505)</f>
        <v>0</v>
      </c>
      <c r="L505" s="4" t="b">
        <f>K505 &gt; 0</f>
        <v>0</v>
      </c>
      <c r="M505" s="3" t="s">
        <v>2418</v>
      </c>
    </row>
    <row r="506">
      <c r="A506" s="3" t="s">
        <v>3208</v>
      </c>
      <c r="B506" s="4" t="str">
        <f>C506 &amp; "." &amp; D506</f>
        <v>ElicitationSessions.DaysSinceElicited</v>
      </c>
      <c r="C506" s="3" t="s">
        <v>1855</v>
      </c>
      <c r="D506" s="3" t="s">
        <v>1085</v>
      </c>
      <c r="E506" s="3" t="s">
        <v>2420</v>
      </c>
      <c r="F506" s="3" t="s">
        <v>2470</v>
      </c>
      <c r="G506" s="3" t="s">
        <v>3209</v>
      </c>
      <c r="H506" s="3" t="s">
        <v>2047</v>
      </c>
      <c r="I506" s="4" t="b">
        <f>OR(((E506 = "calculated")=TRUE), ((E506 = "lookup")=TRUE), ((E506 = "aggregation")=TRUE))</f>
        <v>1</v>
      </c>
      <c r="J506" s="4" t="b">
        <f>H506 &lt;&gt; ""</f>
        <v>1</v>
      </c>
      <c r="K506" s="4">
        <f>COUNTIFS(FieldDisagreements!D2:D50, A506)</f>
        <v>0</v>
      </c>
      <c r="L506" s="4" t="b">
        <f>K506 &gt; 0</f>
        <v>0</v>
      </c>
      <c r="M506" s="3" t="s">
        <v>2418</v>
      </c>
    </row>
    <row r="507">
      <c r="A507" s="3" t="s">
        <v>3210</v>
      </c>
      <c r="B507" s="4" t="str">
        <f>C507 &amp; "." &amp; D507</f>
        <v>ElicitationSessions.IsSingleWitnessMethod</v>
      </c>
      <c r="C507" s="3" t="s">
        <v>1855</v>
      </c>
      <c r="D507" s="3" t="s">
        <v>1086</v>
      </c>
      <c r="E507" s="3" t="s">
        <v>2420</v>
      </c>
      <c r="F507" s="3" t="s">
        <v>2432</v>
      </c>
      <c r="G507" s="3" t="s">
        <v>3211</v>
      </c>
      <c r="H507" s="3" t="s">
        <v>2047</v>
      </c>
      <c r="I507" s="4" t="b">
        <f>OR(((E507 = "calculated")=TRUE), ((E507 = "lookup")=TRUE), ((E507 = "aggregation")=TRUE))</f>
        <v>1</v>
      </c>
      <c r="J507" s="4" t="b">
        <f>H507 &lt;&gt; ""</f>
        <v>1</v>
      </c>
      <c r="K507" s="4">
        <f>COUNTIFS(FieldDisagreements!D2:D50, A507)</f>
        <v>0</v>
      </c>
      <c r="L507" s="4" t="b">
        <f>K507 &gt; 0</f>
        <v>0</v>
      </c>
      <c r="M507" s="3" t="s">
        <v>2418</v>
      </c>
    </row>
    <row r="508">
      <c r="A508" s="3" t="s">
        <v>3212</v>
      </c>
      <c r="B508" s="4" t="str">
        <f>C508 &amp; "." &amp; D508</f>
        <v>ElicitationSessions.PractitionerIsStillEngaged</v>
      </c>
      <c r="C508" s="3" t="s">
        <v>1855</v>
      </c>
      <c r="D508" s="3" t="s">
        <v>1087</v>
      </c>
      <c r="E508" s="3" t="s">
        <v>2509</v>
      </c>
      <c r="F508" s="3" t="s">
        <v>2432</v>
      </c>
      <c r="G508" s="3" t="s">
        <v>3213</v>
      </c>
      <c r="H508" s="3" t="s">
        <v>2047</v>
      </c>
      <c r="I508" s="4" t="b">
        <f>OR(((E508 = "calculated")=TRUE), ((E508 = "lookup")=TRUE), ((E508 = "aggregation")=TRUE))</f>
        <v>1</v>
      </c>
      <c r="J508" s="4" t="b">
        <f>H508 &lt;&gt; ""</f>
        <v>1</v>
      </c>
      <c r="K508" s="4">
        <f>COUNTIFS(FieldDisagreements!D2:D50, A508)</f>
        <v>0</v>
      </c>
      <c r="L508" s="4" t="b">
        <f>K508 &gt; 0</f>
        <v>0</v>
      </c>
      <c r="M508" s="3" t="s">
        <v>2418</v>
      </c>
    </row>
    <row r="509">
      <c r="A509" s="3" t="s">
        <v>3214</v>
      </c>
      <c r="B509" s="4" t="str">
        <f>C509 &amp; "." &amp; D509</f>
        <v>ElicitationSessions.ValidFragmentsProduced</v>
      </c>
      <c r="C509" s="3" t="s">
        <v>1855</v>
      </c>
      <c r="D509" s="3" t="s">
        <v>1088</v>
      </c>
      <c r="E509" s="3" t="s">
        <v>2469</v>
      </c>
      <c r="F509" s="3" t="s">
        <v>2475</v>
      </c>
      <c r="G509" s="3" t="s">
        <v>3215</v>
      </c>
      <c r="H509" s="3" t="s">
        <v>2207</v>
      </c>
      <c r="I509" s="4" t="b">
        <f>OR(((E509 = "calculated")=TRUE), ((E509 = "lookup")=TRUE), ((E509 = "aggregation")=TRUE))</f>
        <v>1</v>
      </c>
      <c r="J509" s="4" t="b">
        <f>H509 &lt;&gt; ""</f>
        <v>1</v>
      </c>
      <c r="K509" s="4">
        <f>COUNTIFS(FieldDisagreements!D2:D50, A509)</f>
        <v>0</v>
      </c>
      <c r="L509" s="4" t="b">
        <f>K509 &gt; 0</f>
        <v>0</v>
      </c>
      <c r="M509" s="3" t="s">
        <v>2418</v>
      </c>
    </row>
    <row r="510">
      <c r="A510" s="3" t="s">
        <v>3216</v>
      </c>
      <c r="B510" s="4" t="str">
        <f>C510 &amp; "." &amp; D510</f>
        <v>ElicitationSessions.IsHighYieldSession</v>
      </c>
      <c r="C510" s="3" t="s">
        <v>1855</v>
      </c>
      <c r="D510" s="3" t="s">
        <v>1089</v>
      </c>
      <c r="E510" s="3" t="s">
        <v>2420</v>
      </c>
      <c r="F510" s="3" t="s">
        <v>2432</v>
      </c>
      <c r="G510" s="3" t="s">
        <v>3217</v>
      </c>
      <c r="H510" s="3" t="s">
        <v>2207</v>
      </c>
      <c r="I510" s="4" t="b">
        <f>OR(((E510 = "calculated")=TRUE), ((E510 = "lookup")=TRUE), ((E510 = "aggregation")=TRUE))</f>
        <v>1</v>
      </c>
      <c r="J510" s="4" t="b">
        <f>H510 &lt;&gt; ""</f>
        <v>1</v>
      </c>
      <c r="K510" s="4">
        <f>COUNTIFS(FieldDisagreements!D2:D50, A510)</f>
        <v>0</v>
      </c>
      <c r="L510" s="4" t="b">
        <f>K510 &gt; 0</f>
        <v>0</v>
      </c>
      <c r="M510" s="3" t="s">
        <v>2418</v>
      </c>
    </row>
    <row r="511">
      <c r="A511" s="3" t="s">
        <v>3218</v>
      </c>
      <c r="B511" s="4" t="str">
        <f>C511 &amp; "." &amp; D511</f>
        <v>ElicitationSessions.IsConcentratedSingleWitness</v>
      </c>
      <c r="C511" s="3" t="s">
        <v>1855</v>
      </c>
      <c r="D511" s="3" t="s">
        <v>1090</v>
      </c>
      <c r="E511" s="3" t="s">
        <v>2420</v>
      </c>
      <c r="F511" s="3" t="s">
        <v>2432</v>
      </c>
      <c r="G511" s="3" t="s">
        <v>3219</v>
      </c>
      <c r="H511" s="3" t="s">
        <v>2207</v>
      </c>
      <c r="I511" s="4" t="b">
        <f>OR(((E511 = "calculated")=TRUE), ((E511 = "lookup")=TRUE), ((E511 = "aggregation")=TRUE))</f>
        <v>1</v>
      </c>
      <c r="J511" s="4" t="b">
        <f>H511 &lt;&gt; ""</f>
        <v>1</v>
      </c>
      <c r="K511" s="4">
        <f>COUNTIFS(FieldDisagreements!D2:D50, A511)</f>
        <v>0</v>
      </c>
      <c r="L511" s="4" t="b">
        <f>K511 &gt; 0</f>
        <v>0</v>
      </c>
      <c r="M511" s="3" t="s">
        <v>2418</v>
      </c>
    </row>
    <row r="512">
      <c r="A512" s="3" t="s">
        <v>3220</v>
      </c>
      <c r="B512" s="4" t="str">
        <f>C512 &amp; "." &amp; D512</f>
        <v>ElicitationSessions.IsStaleConcentratedWitness</v>
      </c>
      <c r="C512" s="3" t="s">
        <v>1855</v>
      </c>
      <c r="D512" s="3" t="s">
        <v>1091</v>
      </c>
      <c r="E512" s="3" t="s">
        <v>2420</v>
      </c>
      <c r="F512" s="3" t="s">
        <v>2432</v>
      </c>
      <c r="G512" s="3" t="s">
        <v>3221</v>
      </c>
      <c r="H512" s="3" t="s">
        <v>2207</v>
      </c>
      <c r="I512" s="4" t="b">
        <f>OR(((E512 = "calculated")=TRUE), ((E512 = "lookup")=TRUE), ((E512 = "aggregation")=TRUE))</f>
        <v>1</v>
      </c>
      <c r="J512" s="4" t="b">
        <f>H512 &lt;&gt; ""</f>
        <v>1</v>
      </c>
      <c r="K512" s="4">
        <f>COUNTIFS(FieldDisagreements!D2:D50, A512)</f>
        <v>0</v>
      </c>
      <c r="L512" s="4" t="b">
        <f>K512 &gt; 0</f>
        <v>0</v>
      </c>
      <c r="M512" s="3" t="s">
        <v>2418</v>
      </c>
    </row>
    <row r="513">
      <c r="A513" s="3" t="s">
        <v>3222</v>
      </c>
      <c r="B513" s="4" t="str">
        <f>C513 &amp; "." &amp; D513</f>
        <v>ElicitationSessions.ConcentratedSessionVersionKey</v>
      </c>
      <c r="C513" s="3" t="s">
        <v>1855</v>
      </c>
      <c r="D513" s="3" t="s">
        <v>1092</v>
      </c>
      <c r="E513" s="3" t="s">
        <v>2420</v>
      </c>
      <c r="F513" s="3" t="s">
        <v>2417</v>
      </c>
      <c r="G513" s="3" t="s">
        <v>3223</v>
      </c>
      <c r="H513" s="3" t="s">
        <v>2207</v>
      </c>
      <c r="I513" s="4" t="b">
        <f>OR(((E513 = "calculated")=TRUE), ((E513 = "lookup")=TRUE), ((E513 = "aggregation")=TRUE))</f>
        <v>1</v>
      </c>
      <c r="J513" s="4" t="b">
        <f>H513 &lt;&gt; ""</f>
        <v>1</v>
      </c>
      <c r="K513" s="4">
        <f>COUNTIFS(FieldDisagreements!D2:D50, A513)</f>
        <v>0</v>
      </c>
      <c r="L513" s="4" t="b">
        <f>K513 &gt; 0</f>
        <v>0</v>
      </c>
      <c r="M513" s="3" t="s">
        <v>2418</v>
      </c>
    </row>
    <row r="514">
      <c r="A514" s="3" t="s">
        <v>3224</v>
      </c>
      <c r="B514" s="4" t="str">
        <f>C514 &amp; "." &amp; D514</f>
        <v>ElicitationSessions.SemanticTypeIri</v>
      </c>
      <c r="C514" s="3" t="s">
        <v>1855</v>
      </c>
      <c r="D514" s="3" t="s">
        <v>94</v>
      </c>
      <c r="E514" s="3" t="s">
        <v>2416</v>
      </c>
      <c r="F514" s="3" t="s">
        <v>2417</v>
      </c>
      <c r="G514" s="3"/>
      <c r="H514" s="3"/>
      <c r="I514" s="4" t="b">
        <f>OR(((E514 = "calculated")=TRUE), ((E514 = "lookup")=TRUE), ((E514 = "aggregation")=TRUE))</f>
        <v>0</v>
      </c>
      <c r="J514" s="4" t="b">
        <f>H514 &lt;&gt; ""</f>
        <v>0</v>
      </c>
      <c r="K514" s="4">
        <f>COUNTIFS(FieldDisagreements!D2:D50, A514)</f>
        <v>0</v>
      </c>
      <c r="L514" s="4" t="b">
        <f>K514 &gt; 0</f>
        <v>0</v>
      </c>
      <c r="M514" s="3" t="s">
        <v>2418</v>
      </c>
    </row>
    <row r="515">
      <c r="A515" s="3" t="s">
        <v>3225</v>
      </c>
      <c r="B515" s="4" t="str">
        <f>C515 &amp; "." &amp; D515</f>
        <v>KnowledgeFragments.KnowledgeFragmentId</v>
      </c>
      <c r="C515" s="3" t="s">
        <v>1851</v>
      </c>
      <c r="D515" s="3" t="s">
        <v>1103</v>
      </c>
      <c r="E515" s="3" t="s">
        <v>2416</v>
      </c>
      <c r="F515" s="3" t="s">
        <v>2417</v>
      </c>
      <c r="G515" s="3"/>
      <c r="H515" s="3"/>
      <c r="I515" s="4" t="b">
        <f>OR(((E515 = "calculated")=TRUE), ((E515 = "lookup")=TRUE), ((E515 = "aggregation")=TRUE))</f>
        <v>0</v>
      </c>
      <c r="J515" s="4" t="b">
        <f>H515 &lt;&gt; ""</f>
        <v>0</v>
      </c>
      <c r="K515" s="4">
        <f>COUNTIFS(FieldDisagreements!D2:D50, A515)</f>
        <v>0</v>
      </c>
      <c r="L515" s="4" t="b">
        <f>K515 &gt; 0</f>
        <v>0</v>
      </c>
      <c r="M515" s="3" t="s">
        <v>2418</v>
      </c>
    </row>
    <row r="516">
      <c r="A516" s="3" t="s">
        <v>3226</v>
      </c>
      <c r="B516" s="4" t="str">
        <f>C516 &amp; "." &amp; D516</f>
        <v>KnowledgeFragments.Name</v>
      </c>
      <c r="C516" s="3" t="s">
        <v>1851</v>
      </c>
      <c r="D516" s="3" t="s">
        <v>1</v>
      </c>
      <c r="E516" s="3" t="s">
        <v>2420</v>
      </c>
      <c r="F516" s="3" t="s">
        <v>2417</v>
      </c>
      <c r="G516" s="3" t="s">
        <v>3227</v>
      </c>
      <c r="H516" s="3"/>
      <c r="I516" s="4" t="b">
        <f>OR(((E516 = "calculated")=TRUE), ((E516 = "lookup")=TRUE), ((E516 = "aggregation")=TRUE))</f>
        <v>1</v>
      </c>
      <c r="J516" s="4" t="b">
        <f>H516 &lt;&gt; ""</f>
        <v>0</v>
      </c>
      <c r="K516" s="4">
        <f>COUNTIFS(FieldDisagreements!D2:D50, A516)</f>
        <v>0</v>
      </c>
      <c r="L516" s="4" t="b">
        <f>K516 &gt; 0</f>
        <v>0</v>
      </c>
      <c r="M516" s="3" t="s">
        <v>2418</v>
      </c>
    </row>
    <row r="517">
      <c r="A517" s="3" t="s">
        <v>3228</v>
      </c>
      <c r="B517" s="4" t="str">
        <f>C517 &amp; "." &amp; D517</f>
        <v>KnowledgeFragments.ProcedureVersion</v>
      </c>
      <c r="C517" s="3" t="s">
        <v>1851</v>
      </c>
      <c r="D517" s="3" t="s">
        <v>478</v>
      </c>
      <c r="E517" s="3" t="s">
        <v>2465</v>
      </c>
      <c r="F517" s="3" t="s">
        <v>2417</v>
      </c>
      <c r="G517" s="3"/>
      <c r="H517" s="3"/>
      <c r="I517" s="4" t="b">
        <f>OR(((E517 = "calculated")=TRUE), ((E517 = "lookup")=TRUE), ((E517 = "aggregation")=TRUE))</f>
        <v>0</v>
      </c>
      <c r="J517" s="4" t="b">
        <f>H517 &lt;&gt; ""</f>
        <v>0</v>
      </c>
      <c r="K517" s="4">
        <f>COUNTIFS(FieldDisagreements!D2:D50, A517)</f>
        <v>0</v>
      </c>
      <c r="L517" s="4" t="b">
        <f>K517 &gt; 0</f>
        <v>0</v>
      </c>
      <c r="M517" s="3" t="s">
        <v>2418</v>
      </c>
    </row>
    <row r="518">
      <c r="A518" s="3" t="s">
        <v>3229</v>
      </c>
      <c r="B518" s="4" t="str">
        <f>C518 &amp; "." &amp; D518</f>
        <v>KnowledgeFragments.Step</v>
      </c>
      <c r="C518" s="3" t="s">
        <v>1851</v>
      </c>
      <c r="D518" s="3" t="s">
        <v>767</v>
      </c>
      <c r="E518" s="3" t="s">
        <v>2465</v>
      </c>
      <c r="F518" s="3" t="s">
        <v>2417</v>
      </c>
      <c r="G518" s="3"/>
      <c r="H518" s="3"/>
      <c r="I518" s="4" t="b">
        <f>OR(((E518 = "calculated")=TRUE), ((E518 = "lookup")=TRUE), ((E518 = "aggregation")=TRUE))</f>
        <v>0</v>
      </c>
      <c r="J518" s="4" t="b">
        <f>H518 &lt;&gt; ""</f>
        <v>0</v>
      </c>
      <c r="K518" s="4">
        <f>COUNTIFS(FieldDisagreements!D2:D50, A518)</f>
        <v>0</v>
      </c>
      <c r="L518" s="4" t="b">
        <f>K518 &gt; 0</f>
        <v>0</v>
      </c>
      <c r="M518" s="3" t="s">
        <v>2418</v>
      </c>
    </row>
    <row r="519">
      <c r="A519" s="3" t="s">
        <v>3230</v>
      </c>
      <c r="B519" s="4" t="str">
        <f>C519 &amp; "." &amp; D519</f>
        <v>KnowledgeFragments.KnowledgeForm</v>
      </c>
      <c r="C519" s="3" t="s">
        <v>1851</v>
      </c>
      <c r="D519" s="3" t="s">
        <v>1104</v>
      </c>
      <c r="E519" s="3" t="s">
        <v>2416</v>
      </c>
      <c r="F519" s="3" t="s">
        <v>2417</v>
      </c>
      <c r="G519" s="3"/>
      <c r="H519" s="3"/>
      <c r="I519" s="4" t="b">
        <f>OR(((E519 = "calculated")=TRUE), ((E519 = "lookup")=TRUE), ((E519 = "aggregation")=TRUE))</f>
        <v>0</v>
      </c>
      <c r="J519" s="4" t="b">
        <f>H519 &lt;&gt; ""</f>
        <v>0</v>
      </c>
      <c r="K519" s="4">
        <f>COUNTIFS(FieldDisagreements!D2:D50, A519)</f>
        <v>0</v>
      </c>
      <c r="L519" s="4" t="b">
        <f>K519 &gt; 0</f>
        <v>0</v>
      </c>
      <c r="M519" s="3" t="s">
        <v>2418</v>
      </c>
    </row>
    <row r="520">
      <c r="A520" s="3" t="s">
        <v>3231</v>
      </c>
      <c r="B520" s="4" t="str">
        <f>C520 &amp; "." &amp; D520</f>
        <v>KnowledgeFragments.Statement</v>
      </c>
      <c r="C520" s="3" t="s">
        <v>1851</v>
      </c>
      <c r="D520" s="3" t="s">
        <v>802</v>
      </c>
      <c r="E520" s="3" t="s">
        <v>2416</v>
      </c>
      <c r="F520" s="3" t="s">
        <v>2417</v>
      </c>
      <c r="G520" s="3"/>
      <c r="H520" s="3"/>
      <c r="I520" s="4" t="b">
        <f>OR(((E520 = "calculated")=TRUE), ((E520 = "lookup")=TRUE), ((E520 = "aggregation")=TRUE))</f>
        <v>0</v>
      </c>
      <c r="J520" s="4" t="b">
        <f>H520 &lt;&gt; ""</f>
        <v>0</v>
      </c>
      <c r="K520" s="4">
        <f>COUNTIFS(FieldDisagreements!D2:D50, A520)</f>
        <v>0</v>
      </c>
      <c r="L520" s="4" t="b">
        <f>K520 &gt; 0</f>
        <v>0</v>
      </c>
      <c r="M520" s="3" t="s">
        <v>2418</v>
      </c>
    </row>
    <row r="521">
      <c r="A521" s="3" t="s">
        <v>3232</v>
      </c>
      <c r="B521" s="4" t="str">
        <f>C521 &amp; "." &amp; D521</f>
        <v>KnowledgeFragments.ElicitationSession</v>
      </c>
      <c r="C521" s="3" t="s">
        <v>1851</v>
      </c>
      <c r="D521" s="3" t="s">
        <v>1105</v>
      </c>
      <c r="E521" s="3" t="s">
        <v>2465</v>
      </c>
      <c r="F521" s="3" t="s">
        <v>2417</v>
      </c>
      <c r="G521" s="3"/>
      <c r="H521" s="3"/>
      <c r="I521" s="4" t="b">
        <f>OR(((E521 = "calculated")=TRUE), ((E521 = "lookup")=TRUE), ((E521 = "aggregation")=TRUE))</f>
        <v>0</v>
      </c>
      <c r="J521" s="4" t="b">
        <f>H521 &lt;&gt; ""</f>
        <v>0</v>
      </c>
      <c r="K521" s="4">
        <f>COUNTIFS(FieldDisagreements!D2:D50, A521)</f>
        <v>0</v>
      </c>
      <c r="L521" s="4" t="b">
        <f>K521 &gt; 0</f>
        <v>0</v>
      </c>
      <c r="M521" s="3" t="s">
        <v>2418</v>
      </c>
    </row>
    <row r="522">
      <c r="A522" s="3" t="s">
        <v>3233</v>
      </c>
      <c r="B522" s="4" t="str">
        <f>C522 &amp; "." &amp; D522</f>
        <v>KnowledgeFragments.SourceAgent</v>
      </c>
      <c r="C522" s="3" t="s">
        <v>1851</v>
      </c>
      <c r="D522" s="3" t="s">
        <v>1106</v>
      </c>
      <c r="E522" s="3" t="s">
        <v>2465</v>
      </c>
      <c r="F522" s="3" t="s">
        <v>2417</v>
      </c>
      <c r="G522" s="3"/>
      <c r="H522" s="3"/>
      <c r="I522" s="4" t="b">
        <f>OR(((E522 = "calculated")=TRUE), ((E522 = "lookup")=TRUE), ((E522 = "aggregation")=TRUE))</f>
        <v>0</v>
      </c>
      <c r="J522" s="4" t="b">
        <f>H522 &lt;&gt; ""</f>
        <v>0</v>
      </c>
      <c r="K522" s="4">
        <f>COUNTIFS(FieldDisagreements!D2:D50, A522)</f>
        <v>0</v>
      </c>
      <c r="L522" s="4" t="b">
        <f>K522 &gt; 0</f>
        <v>0</v>
      </c>
      <c r="M522" s="3" t="s">
        <v>2418</v>
      </c>
    </row>
    <row r="523">
      <c r="A523" s="3" t="s">
        <v>3234</v>
      </c>
      <c r="B523" s="4" t="str">
        <f>C523 &amp; "." &amp; D523</f>
        <v>KnowledgeFragments.Confidence</v>
      </c>
      <c r="C523" s="3" t="s">
        <v>1851</v>
      </c>
      <c r="D523" s="3" t="s">
        <v>1107</v>
      </c>
      <c r="E523" s="3" t="s">
        <v>2416</v>
      </c>
      <c r="F523" s="3" t="s">
        <v>2417</v>
      </c>
      <c r="G523" s="3"/>
      <c r="H523" s="3"/>
      <c r="I523" s="4" t="b">
        <f>OR(((E523 = "calculated")=TRUE), ((E523 = "lookup")=TRUE), ((E523 = "aggregation")=TRUE))</f>
        <v>0</v>
      </c>
      <c r="J523" s="4" t="b">
        <f>H523 &lt;&gt; ""</f>
        <v>0</v>
      </c>
      <c r="K523" s="4">
        <f>COUNTIFS(FieldDisagreements!D2:D50, A523)</f>
        <v>0</v>
      </c>
      <c r="L523" s="4" t="b">
        <f>K523 &gt; 0</f>
        <v>0</v>
      </c>
      <c r="M523" s="3" t="s">
        <v>2418</v>
      </c>
    </row>
    <row r="524">
      <c r="A524" s="3" t="s">
        <v>3235</v>
      </c>
      <c r="B524" s="4" t="str">
        <f>C524 &amp; "." &amp; D524</f>
        <v>KnowledgeFragments.ValidFrom</v>
      </c>
      <c r="C524" s="3" t="s">
        <v>1851</v>
      </c>
      <c r="D524" s="3" t="s">
        <v>255</v>
      </c>
      <c r="E524" s="3" t="s">
        <v>2416</v>
      </c>
      <c r="F524" s="3" t="s">
        <v>2428</v>
      </c>
      <c r="G524" s="3"/>
      <c r="H524" s="3"/>
      <c r="I524" s="4" t="b">
        <f>OR(((E524 = "calculated")=TRUE), ((E524 = "lookup")=TRUE), ((E524 = "aggregation")=TRUE))</f>
        <v>0</v>
      </c>
      <c r="J524" s="4" t="b">
        <f>H524 &lt;&gt; ""</f>
        <v>0</v>
      </c>
      <c r="K524" s="4">
        <f>COUNTIFS(FieldDisagreements!D2:D50, A524)</f>
        <v>0</v>
      </c>
      <c r="L524" s="4" t="b">
        <f>K524 &gt; 0</f>
        <v>0</v>
      </c>
      <c r="M524" s="3" t="s">
        <v>2418</v>
      </c>
    </row>
    <row r="525">
      <c r="A525" s="3" t="s">
        <v>3236</v>
      </c>
      <c r="B525" s="4" t="str">
        <f>C525 &amp; "." &amp; D525</f>
        <v>KnowledgeFragments.ValidTo</v>
      </c>
      <c r="C525" s="3" t="s">
        <v>1851</v>
      </c>
      <c r="D525" s="3" t="s">
        <v>256</v>
      </c>
      <c r="E525" s="3" t="s">
        <v>2416</v>
      </c>
      <c r="F525" s="3" t="s">
        <v>2428</v>
      </c>
      <c r="G525" s="3"/>
      <c r="H525" s="3"/>
      <c r="I525" s="4" t="b">
        <f>OR(((E525 = "calculated")=TRUE), ((E525 = "lookup")=TRUE), ((E525 = "aggregation")=TRUE))</f>
        <v>0</v>
      </c>
      <c r="J525" s="4" t="b">
        <f>H525 &lt;&gt; ""</f>
        <v>0</v>
      </c>
      <c r="K525" s="4">
        <f>COUNTIFS(FieldDisagreements!D2:D50, A525)</f>
        <v>0</v>
      </c>
      <c r="L525" s="4" t="b">
        <f>K525 &gt; 0</f>
        <v>0</v>
      </c>
      <c r="M525" s="3" t="s">
        <v>2418</v>
      </c>
    </row>
    <row r="526">
      <c r="A526" s="3" t="s">
        <v>3237</v>
      </c>
      <c r="B526" s="4" t="str">
        <f>C526 &amp; "." &amp; D526</f>
        <v>KnowledgeFragments.Status</v>
      </c>
      <c r="C526" s="3" t="s">
        <v>1851</v>
      </c>
      <c r="D526" s="3" t="s">
        <v>8</v>
      </c>
      <c r="E526" s="3" t="s">
        <v>2416</v>
      </c>
      <c r="F526" s="3" t="s">
        <v>2417</v>
      </c>
      <c r="G526" s="3"/>
      <c r="H526" s="3"/>
      <c r="I526" s="4" t="b">
        <f>OR(((E526 = "calculated")=TRUE), ((E526 = "lookup")=TRUE), ((E526 = "aggregation")=TRUE))</f>
        <v>0</v>
      </c>
      <c r="J526" s="4" t="b">
        <f>H526 &lt;&gt; ""</f>
        <v>0</v>
      </c>
      <c r="K526" s="4">
        <f>COUNTIFS(FieldDisagreements!D2:D50, A526)</f>
        <v>0</v>
      </c>
      <c r="L526" s="4" t="b">
        <f>K526 &gt; 0</f>
        <v>0</v>
      </c>
      <c r="M526" s="3" t="s">
        <v>2418</v>
      </c>
    </row>
    <row r="527">
      <c r="A527" s="3" t="s">
        <v>3238</v>
      </c>
      <c r="B527" s="4" t="str">
        <f>C527 &amp; "." &amp; D527</f>
        <v>KnowledgeFragments.OwnerRole</v>
      </c>
      <c r="C527" s="3" t="s">
        <v>1851</v>
      </c>
      <c r="D527" s="3" t="s">
        <v>1108</v>
      </c>
      <c r="E527" s="3" t="s">
        <v>2465</v>
      </c>
      <c r="F527" s="3" t="s">
        <v>2417</v>
      </c>
      <c r="G527" s="3"/>
      <c r="H527" s="3"/>
      <c r="I527" s="4" t="b">
        <f>OR(((E527 = "calculated")=TRUE), ((E527 = "lookup")=TRUE), ((E527 = "aggregation")=TRUE))</f>
        <v>0</v>
      </c>
      <c r="J527" s="4" t="b">
        <f>H527 &lt;&gt; ""</f>
        <v>0</v>
      </c>
      <c r="K527" s="4">
        <f>COUNTIFS(FieldDisagreements!D2:D50, A527)</f>
        <v>0</v>
      </c>
      <c r="L527" s="4" t="b">
        <f>K527 &gt; 0</f>
        <v>0</v>
      </c>
      <c r="M527" s="3" t="s">
        <v>2418</v>
      </c>
    </row>
    <row r="528">
      <c r="A528" s="3" t="s">
        <v>3239</v>
      </c>
      <c r="B528" s="4" t="str">
        <f>C528 &amp; "." &amp; D528</f>
        <v>KnowledgeFragments.EvaluationContext</v>
      </c>
      <c r="C528" s="3" t="s">
        <v>1851</v>
      </c>
      <c r="D528" s="3" t="s">
        <v>258</v>
      </c>
      <c r="E528" s="3" t="s">
        <v>2465</v>
      </c>
      <c r="F528" s="3" t="s">
        <v>2417</v>
      </c>
      <c r="G528" s="3"/>
      <c r="H528" s="3"/>
      <c r="I528" s="4" t="b">
        <f>OR(((E528 = "calculated")=TRUE), ((E528 = "lookup")=TRUE), ((E528 = "aggregation")=TRUE))</f>
        <v>0</v>
      </c>
      <c r="J528" s="4" t="b">
        <f>H528 &lt;&gt; ""</f>
        <v>0</v>
      </c>
      <c r="K528" s="4">
        <f>COUNTIFS(FieldDisagreements!D2:D50, A528)</f>
        <v>0</v>
      </c>
      <c r="L528" s="4" t="b">
        <f>K528 &gt; 0</f>
        <v>0</v>
      </c>
      <c r="M528" s="3" t="s">
        <v>2418</v>
      </c>
    </row>
    <row r="529">
      <c r="A529" s="3" t="s">
        <v>3240</v>
      </c>
      <c r="B529" s="4" t="str">
        <f>C529 &amp; "." &amp; D529</f>
        <v>KnowledgeFragments.AsOfInstant</v>
      </c>
      <c r="C529" s="3" t="s">
        <v>1851</v>
      </c>
      <c r="D529" s="3" t="s">
        <v>92</v>
      </c>
      <c r="E529" s="3" t="s">
        <v>2509</v>
      </c>
      <c r="F529" s="3" t="s">
        <v>2428</v>
      </c>
      <c r="G529" s="3" t="s">
        <v>2555</v>
      </c>
      <c r="H529" s="3"/>
      <c r="I529" s="4" t="b">
        <f>OR(((E529 = "calculated")=TRUE), ((E529 = "lookup")=TRUE), ((E529 = "aggregation")=TRUE))</f>
        <v>1</v>
      </c>
      <c r="J529" s="4" t="b">
        <f>H529 &lt;&gt; ""</f>
        <v>0</v>
      </c>
      <c r="K529" s="4">
        <f>COUNTIFS(FieldDisagreements!D2:D50, A529)</f>
        <v>0</v>
      </c>
      <c r="L529" s="4" t="b">
        <f>K529 &gt; 0</f>
        <v>0</v>
      </c>
      <c r="M529" s="3" t="s">
        <v>2418</v>
      </c>
    </row>
    <row r="530">
      <c r="A530" s="3" t="s">
        <v>3241</v>
      </c>
      <c r="B530" s="4" t="str">
        <f>C530 &amp; "." &amp; D530</f>
        <v>KnowledgeFragments.IsCurrentlyValid</v>
      </c>
      <c r="C530" s="3" t="s">
        <v>1851</v>
      </c>
      <c r="D530" s="3" t="s">
        <v>260</v>
      </c>
      <c r="E530" s="3" t="s">
        <v>2420</v>
      </c>
      <c r="F530" s="3" t="s">
        <v>2432</v>
      </c>
      <c r="G530" s="3" t="s">
        <v>3242</v>
      </c>
      <c r="H530" s="3"/>
      <c r="I530" s="4" t="b">
        <f>OR(((E530 = "calculated")=TRUE), ((E530 = "lookup")=TRUE), ((E530 = "aggregation")=TRUE))</f>
        <v>1</v>
      </c>
      <c r="J530" s="4" t="b">
        <f>H530 &lt;&gt; ""</f>
        <v>0</v>
      </c>
      <c r="K530" s="4">
        <f>COUNTIFS(FieldDisagreements!D2:D50, A530)</f>
        <v>0</v>
      </c>
      <c r="L530" s="4" t="b">
        <f>K530 &gt; 0</f>
        <v>0</v>
      </c>
      <c r="M530" s="3" t="s">
        <v>2418</v>
      </c>
    </row>
    <row r="531">
      <c r="A531" s="3" t="s">
        <v>3243</v>
      </c>
      <c r="B531" s="4" t="str">
        <f>C531 &amp; "." &amp; D531</f>
        <v>KnowledgeFragments.SourceAgentIsStillEngaged</v>
      </c>
      <c r="C531" s="3" t="s">
        <v>1851</v>
      </c>
      <c r="D531" s="3" t="s">
        <v>1109</v>
      </c>
      <c r="E531" s="3" t="s">
        <v>2509</v>
      </c>
      <c r="F531" s="3" t="s">
        <v>2432</v>
      </c>
      <c r="G531" s="3" t="s">
        <v>3244</v>
      </c>
      <c r="H531" s="3" t="s">
        <v>2039</v>
      </c>
      <c r="I531" s="4" t="b">
        <f>OR(((E531 = "calculated")=TRUE), ((E531 = "lookup")=TRUE), ((E531 = "aggregation")=TRUE))</f>
        <v>1</v>
      </c>
      <c r="J531" s="4" t="b">
        <f>H531 &lt;&gt; ""</f>
        <v>1</v>
      </c>
      <c r="K531" s="4">
        <f>COUNTIFS(FieldDisagreements!D2:D50, A531)</f>
        <v>0</v>
      </c>
      <c r="L531" s="4" t="b">
        <f>K531 &gt; 0</f>
        <v>0</v>
      </c>
      <c r="M531" s="3" t="s">
        <v>2418</v>
      </c>
    </row>
    <row r="532">
      <c r="A532" s="3" t="s">
        <v>3245</v>
      </c>
      <c r="B532" s="4" t="str">
        <f>C532 &amp; "." &amp; D532</f>
        <v>KnowledgeFragments.SourceAgentKind</v>
      </c>
      <c r="C532" s="3" t="s">
        <v>1851</v>
      </c>
      <c r="D532" s="3" t="s">
        <v>1110</v>
      </c>
      <c r="E532" s="3" t="s">
        <v>2509</v>
      </c>
      <c r="F532" s="3" t="s">
        <v>2417</v>
      </c>
      <c r="G532" s="3" t="s">
        <v>3246</v>
      </c>
      <c r="H532" s="3" t="s">
        <v>2039</v>
      </c>
      <c r="I532" s="4" t="b">
        <f>OR(((E532 = "calculated")=TRUE), ((E532 = "lookup")=TRUE), ((E532 = "aggregation")=TRUE))</f>
        <v>1</v>
      </c>
      <c r="J532" s="4" t="b">
        <f>H532 &lt;&gt; ""</f>
        <v>1</v>
      </c>
      <c r="K532" s="4">
        <f>COUNTIFS(FieldDisagreements!D2:D50, A532)</f>
        <v>0</v>
      </c>
      <c r="L532" s="4" t="b">
        <f>K532 &gt; 0</f>
        <v>0</v>
      </c>
      <c r="M532" s="3" t="s">
        <v>2418</v>
      </c>
    </row>
    <row r="533">
      <c r="A533" s="3" t="s">
        <v>3247</v>
      </c>
      <c r="B533" s="4" t="str">
        <f>C533 &amp; "." &amp; D533</f>
        <v>KnowledgeFragments.HasHumanSource</v>
      </c>
      <c r="C533" s="3" t="s">
        <v>1851</v>
      </c>
      <c r="D533" s="3" t="s">
        <v>1111</v>
      </c>
      <c r="E533" s="3" t="s">
        <v>2420</v>
      </c>
      <c r="F533" s="3" t="s">
        <v>2432</v>
      </c>
      <c r="G533" s="3" t="s">
        <v>3248</v>
      </c>
      <c r="H533" s="3" t="s">
        <v>2039</v>
      </c>
      <c r="I533" s="4" t="b">
        <f>OR(((E533 = "calculated")=TRUE), ((E533 = "lookup")=TRUE), ((E533 = "aggregation")=TRUE))</f>
        <v>1</v>
      </c>
      <c r="J533" s="4" t="b">
        <f>H533 &lt;&gt; ""</f>
        <v>1</v>
      </c>
      <c r="K533" s="4">
        <f>COUNTIFS(FieldDisagreements!D2:D50, A533)</f>
        <v>0</v>
      </c>
      <c r="L533" s="4" t="b">
        <f>K533 &gt; 0</f>
        <v>0</v>
      </c>
      <c r="M533" s="3" t="s">
        <v>2418</v>
      </c>
    </row>
    <row r="534">
      <c r="A534" s="3" t="s">
        <v>3249</v>
      </c>
      <c r="B534" s="4" t="str">
        <f>C534 &amp; "." &amp; D534</f>
        <v>KnowledgeFragments.HasOrphanedProvenance</v>
      </c>
      <c r="C534" s="3" t="s">
        <v>1851</v>
      </c>
      <c r="D534" s="3" t="s">
        <v>1112</v>
      </c>
      <c r="E534" s="3" t="s">
        <v>2420</v>
      </c>
      <c r="F534" s="3" t="s">
        <v>2432</v>
      </c>
      <c r="G534" s="3" t="s">
        <v>3250</v>
      </c>
      <c r="H534" s="3" t="s">
        <v>2039</v>
      </c>
      <c r="I534" s="4" t="b">
        <f>OR(((E534 = "calculated")=TRUE), ((E534 = "lookup")=TRUE), ((E534 = "aggregation")=TRUE))</f>
        <v>1</v>
      </c>
      <c r="J534" s="4" t="b">
        <f>H534 &lt;&gt; ""</f>
        <v>1</v>
      </c>
      <c r="K534" s="4">
        <f>COUNTIFS(FieldDisagreements!D2:D50, A534)</f>
        <v>0</v>
      </c>
      <c r="L534" s="4" t="b">
        <f>K534 &gt; 0</f>
        <v>0</v>
      </c>
      <c r="M534" s="3" t="s">
        <v>2418</v>
      </c>
    </row>
    <row r="535">
      <c r="A535" s="3" t="s">
        <v>3251</v>
      </c>
      <c r="B535" s="4" t="str">
        <f>C535 &amp; "." &amp; D535</f>
        <v>KnowledgeFragments.IsUndefendableTacitClaim</v>
      </c>
      <c r="C535" s="3" t="s">
        <v>1851</v>
      </c>
      <c r="D535" s="3" t="s">
        <v>1113</v>
      </c>
      <c r="E535" s="3" t="s">
        <v>2420</v>
      </c>
      <c r="F535" s="3" t="s">
        <v>2432</v>
      </c>
      <c r="G535" s="3" t="s">
        <v>3252</v>
      </c>
      <c r="H535" s="3" t="s">
        <v>2039</v>
      </c>
      <c r="I535" s="4" t="b">
        <f>OR(((E535 = "calculated")=TRUE), ((E535 = "lookup")=TRUE), ((E535 = "aggregation")=TRUE))</f>
        <v>1</v>
      </c>
      <c r="J535" s="4" t="b">
        <f>H535 &lt;&gt; ""</f>
        <v>1</v>
      </c>
      <c r="K535" s="4">
        <f>COUNTIFS(FieldDisagreements!D2:D50, A535)</f>
        <v>0</v>
      </c>
      <c r="L535" s="4" t="b">
        <f>K535 &gt; 0</f>
        <v>0</v>
      </c>
      <c r="M535" s="3" t="s">
        <v>2418</v>
      </c>
    </row>
    <row r="536">
      <c r="A536" s="3" t="s">
        <v>3253</v>
      </c>
      <c r="B536" s="4" t="str">
        <f>C536 &amp; "." &amp; D536</f>
        <v>KnowledgeFragments.IsApproved</v>
      </c>
      <c r="C536" s="3" t="s">
        <v>1851</v>
      </c>
      <c r="D536" s="3" t="s">
        <v>1114</v>
      </c>
      <c r="E536" s="3" t="s">
        <v>2420</v>
      </c>
      <c r="F536" s="3" t="s">
        <v>2432</v>
      </c>
      <c r="G536" s="3" t="s">
        <v>3254</v>
      </c>
      <c r="H536" s="3" t="s">
        <v>2043</v>
      </c>
      <c r="I536" s="4" t="b">
        <f>OR(((E536 = "calculated")=TRUE), ((E536 = "lookup")=TRUE), ((E536 = "aggregation")=TRUE))</f>
        <v>1</v>
      </c>
      <c r="J536" s="4" t="b">
        <f>H536 &lt;&gt; ""</f>
        <v>1</v>
      </c>
      <c r="K536" s="4">
        <f>COUNTIFS(FieldDisagreements!D2:D50, A536)</f>
        <v>0</v>
      </c>
      <c r="L536" s="4" t="b">
        <f>K536 &gt; 0</f>
        <v>0</v>
      </c>
      <c r="M536" s="3" t="s">
        <v>2418</v>
      </c>
    </row>
    <row r="537">
      <c r="A537" s="3" t="s">
        <v>3255</v>
      </c>
      <c r="B537" s="4" t="str">
        <f>C537 &amp; "." &amp; D537</f>
        <v>KnowledgeFragments.IsWithinValidityWindow</v>
      </c>
      <c r="C537" s="3" t="s">
        <v>1851</v>
      </c>
      <c r="D537" s="3" t="s">
        <v>1115</v>
      </c>
      <c r="E537" s="3" t="s">
        <v>2420</v>
      </c>
      <c r="F537" s="3" t="s">
        <v>2432</v>
      </c>
      <c r="G537" s="3" t="s">
        <v>2557</v>
      </c>
      <c r="H537" s="3" t="s">
        <v>2043</v>
      </c>
      <c r="I537" s="4" t="b">
        <f>OR(((E537 = "calculated")=TRUE), ((E537 = "lookup")=TRUE), ((E537 = "aggregation")=TRUE))</f>
        <v>1</v>
      </c>
      <c r="J537" s="4" t="b">
        <f>H537 &lt;&gt; ""</f>
        <v>1</v>
      </c>
      <c r="K537" s="4">
        <f>COUNTIFS(FieldDisagreements!D2:D50, A537)</f>
        <v>0</v>
      </c>
      <c r="L537" s="4" t="b">
        <f>K537 &gt; 0</f>
        <v>0</v>
      </c>
      <c r="M537" s="3" t="s">
        <v>2418</v>
      </c>
    </row>
    <row r="538">
      <c r="A538" s="3" t="s">
        <v>3256</v>
      </c>
      <c r="B538" s="4" t="str">
        <f>C538 &amp; "." &amp; D538</f>
        <v>KnowledgeFragments.IsReliedUpon</v>
      </c>
      <c r="C538" s="3" t="s">
        <v>1851</v>
      </c>
      <c r="D538" s="3" t="s">
        <v>1116</v>
      </c>
      <c r="E538" s="3" t="s">
        <v>2420</v>
      </c>
      <c r="F538" s="3" t="s">
        <v>2432</v>
      </c>
      <c r="G538" s="3" t="s">
        <v>3257</v>
      </c>
      <c r="H538" s="3" t="s">
        <v>2043</v>
      </c>
      <c r="I538" s="4" t="b">
        <f>OR(((E538 = "calculated")=TRUE), ((E538 = "lookup")=TRUE), ((E538 = "aggregation")=TRUE))</f>
        <v>1</v>
      </c>
      <c r="J538" s="4" t="b">
        <f>H538 &lt;&gt; ""</f>
        <v>1</v>
      </c>
      <c r="K538" s="4">
        <f>COUNTIFS(FieldDisagreements!D2:D50, A538)</f>
        <v>0</v>
      </c>
      <c r="L538" s="4" t="b">
        <f>K538 &gt; 0</f>
        <v>0</v>
      </c>
      <c r="M538" s="3" t="s">
        <v>2418</v>
      </c>
    </row>
    <row r="539">
      <c r="A539" s="3" t="s">
        <v>3258</v>
      </c>
      <c r="B539" s="4" t="str">
        <f>C539 &amp; "." &amp; D539</f>
        <v>KnowledgeFragments.StepProcedureVersionStatus</v>
      </c>
      <c r="C539" s="3" t="s">
        <v>1851</v>
      </c>
      <c r="D539" s="3" t="s">
        <v>1117</v>
      </c>
      <c r="E539" s="3" t="s">
        <v>2509</v>
      </c>
      <c r="F539" s="3" t="s">
        <v>2417</v>
      </c>
      <c r="G539" s="3" t="s">
        <v>3259</v>
      </c>
      <c r="H539" s="3" t="s">
        <v>2043</v>
      </c>
      <c r="I539" s="4" t="b">
        <f>OR(((E539 = "calculated")=TRUE), ((E539 = "lookup")=TRUE), ((E539 = "aggregation")=TRUE))</f>
        <v>1</v>
      </c>
      <c r="J539" s="4" t="b">
        <f>H539 &lt;&gt; ""</f>
        <v>1</v>
      </c>
      <c r="K539" s="4">
        <f>COUNTIFS(FieldDisagreements!D2:D50, A539)</f>
        <v>0</v>
      </c>
      <c r="L539" s="4" t="b">
        <f>K539 &gt; 0</f>
        <v>0</v>
      </c>
      <c r="M539" s="3" t="s">
        <v>2418</v>
      </c>
    </row>
    <row r="540">
      <c r="A540" s="3" t="s">
        <v>3260</v>
      </c>
      <c r="B540" s="4" t="str">
        <f>C540 &amp; "." &amp; D540</f>
        <v>KnowledgeFragments.IsAttachedToLiveVersion</v>
      </c>
      <c r="C540" s="3" t="s">
        <v>1851</v>
      </c>
      <c r="D540" s="3" t="s">
        <v>1118</v>
      </c>
      <c r="E540" s="3" t="s">
        <v>2509</v>
      </c>
      <c r="F540" s="3" t="s">
        <v>2432</v>
      </c>
      <c r="G540" s="3" t="s">
        <v>3261</v>
      </c>
      <c r="H540" s="3" t="s">
        <v>2043</v>
      </c>
      <c r="I540" s="4" t="b">
        <f>OR(((E540 = "calculated")=TRUE), ((E540 = "lookup")=TRUE), ((E540 = "aggregation")=TRUE))</f>
        <v>1</v>
      </c>
      <c r="J540" s="4" t="b">
        <f>H540 &lt;&gt; ""</f>
        <v>1</v>
      </c>
      <c r="K540" s="4">
        <f>COUNTIFS(FieldDisagreements!D2:D50, A540)</f>
        <v>0</v>
      </c>
      <c r="L540" s="4" t="b">
        <f>K540 &gt; 0</f>
        <v>0</v>
      </c>
      <c r="M540" s="3" t="s">
        <v>2418</v>
      </c>
    </row>
    <row r="541">
      <c r="A541" s="3" t="s">
        <v>3262</v>
      </c>
      <c r="B541" s="4" t="str">
        <f>C541 &amp; "." &amp; D541</f>
        <v>KnowledgeFragments.IsUnapprovedButReliedOn</v>
      </c>
      <c r="C541" s="3" t="s">
        <v>1851</v>
      </c>
      <c r="D541" s="3" t="s">
        <v>1119</v>
      </c>
      <c r="E541" s="3" t="s">
        <v>2420</v>
      </c>
      <c r="F541" s="3" t="s">
        <v>2432</v>
      </c>
      <c r="G541" s="3" t="s">
        <v>3263</v>
      </c>
      <c r="H541" s="3" t="s">
        <v>2043</v>
      </c>
      <c r="I541" s="4" t="b">
        <f>OR(((E541 = "calculated")=TRUE), ((E541 = "lookup")=TRUE), ((E541 = "aggregation")=TRUE))</f>
        <v>1</v>
      </c>
      <c r="J541" s="4" t="b">
        <f>H541 &lt;&gt; ""</f>
        <v>1</v>
      </c>
      <c r="K541" s="4">
        <f>COUNTIFS(FieldDisagreements!D2:D50, A541)</f>
        <v>0</v>
      </c>
      <c r="L541" s="4" t="b">
        <f>K541 &gt; 0</f>
        <v>0</v>
      </c>
      <c r="M541" s="3" t="s">
        <v>2418</v>
      </c>
    </row>
    <row r="542">
      <c r="A542" s="3" t="s">
        <v>3264</v>
      </c>
      <c r="B542" s="4" t="str">
        <f>C542 &amp; "." &amp; D542</f>
        <v>KnowledgeFragments.EvidenceAgeDays</v>
      </c>
      <c r="C542" s="3" t="s">
        <v>1851</v>
      </c>
      <c r="D542" s="3" t="s">
        <v>1120</v>
      </c>
      <c r="E542" s="3" t="s">
        <v>2509</v>
      </c>
      <c r="F542" s="3" t="s">
        <v>2470</v>
      </c>
      <c r="G542" s="3" t="s">
        <v>3265</v>
      </c>
      <c r="H542" s="3" t="s">
        <v>2047</v>
      </c>
      <c r="I542" s="4" t="b">
        <f>OR(((E542 = "calculated")=TRUE), ((E542 = "lookup")=TRUE), ((E542 = "aggregation")=TRUE))</f>
        <v>1</v>
      </c>
      <c r="J542" s="4" t="b">
        <f>H542 &lt;&gt; ""</f>
        <v>1</v>
      </c>
      <c r="K542" s="4">
        <f>COUNTIFS(FieldDisagreements!D2:D50, A542)</f>
        <v>0</v>
      </c>
      <c r="L542" s="4" t="b">
        <f>K542 &gt; 0</f>
        <v>0</v>
      </c>
      <c r="M542" s="3" t="s">
        <v>2418</v>
      </c>
    </row>
    <row r="543">
      <c r="A543" s="3" t="s">
        <v>3266</v>
      </c>
      <c r="B543" s="4" t="str">
        <f>C543 &amp; "." &amp; D543</f>
        <v>KnowledgeFragments.HasRecordedElicitation</v>
      </c>
      <c r="C543" s="3" t="s">
        <v>1851</v>
      </c>
      <c r="D543" s="3" t="s">
        <v>1121</v>
      </c>
      <c r="E543" s="3" t="s">
        <v>2420</v>
      </c>
      <c r="F543" s="3" t="s">
        <v>2432</v>
      </c>
      <c r="G543" s="3" t="s">
        <v>3267</v>
      </c>
      <c r="H543" s="3" t="s">
        <v>2047</v>
      </c>
      <c r="I543" s="4" t="b">
        <f>OR(((E543 = "calculated")=TRUE), ((E543 = "lookup")=TRUE), ((E543 = "aggregation")=TRUE))</f>
        <v>1</v>
      </c>
      <c r="J543" s="4" t="b">
        <f>H543 &lt;&gt; ""</f>
        <v>1</v>
      </c>
      <c r="K543" s="4">
        <f>COUNTIFS(FieldDisagreements!D2:D50, A543)</f>
        <v>0</v>
      </c>
      <c r="L543" s="4" t="b">
        <f>K543 &gt; 0</f>
        <v>0</v>
      </c>
      <c r="M543" s="3" t="s">
        <v>2418</v>
      </c>
    </row>
    <row r="544">
      <c r="A544" s="3" t="s">
        <v>3268</v>
      </c>
      <c r="B544" s="4" t="str">
        <f>C544 &amp; "." &amp; D544</f>
        <v>KnowledgeFragments.IsFromSingleWitness</v>
      </c>
      <c r="C544" s="3" t="s">
        <v>1851</v>
      </c>
      <c r="D544" s="3" t="s">
        <v>1122</v>
      </c>
      <c r="E544" s="3" t="s">
        <v>2509</v>
      </c>
      <c r="F544" s="3" t="s">
        <v>2432</v>
      </c>
      <c r="G544" s="3" t="s">
        <v>3269</v>
      </c>
      <c r="H544" s="3" t="s">
        <v>2047</v>
      </c>
      <c r="I544" s="4" t="b">
        <f>OR(((E544 = "calculated")=TRUE), ((E544 = "lookup")=TRUE), ((E544 = "aggregation")=TRUE))</f>
        <v>1</v>
      </c>
      <c r="J544" s="4" t="b">
        <f>H544 &lt;&gt; ""</f>
        <v>1</v>
      </c>
      <c r="K544" s="4">
        <f>COUNTIFS(FieldDisagreements!D2:D50, A544)</f>
        <v>0</v>
      </c>
      <c r="L544" s="4" t="b">
        <f>K544 &gt; 0</f>
        <v>0</v>
      </c>
      <c r="M544" s="3" t="s">
        <v>2418</v>
      </c>
    </row>
    <row r="545">
      <c r="A545" s="3" t="s">
        <v>3270</v>
      </c>
      <c r="B545" s="4" t="str">
        <f>C545 &amp; "." &amp; D545</f>
        <v>KnowledgeFragments.EvidenceExpiryDays</v>
      </c>
      <c r="C545" s="3" t="s">
        <v>1851</v>
      </c>
      <c r="D545" s="3" t="s">
        <v>1123</v>
      </c>
      <c r="E545" s="3" t="s">
        <v>2420</v>
      </c>
      <c r="F545" s="3" t="s">
        <v>2470</v>
      </c>
      <c r="G545" s="3" t="s">
        <v>3271</v>
      </c>
      <c r="H545" s="3" t="s">
        <v>2047</v>
      </c>
      <c r="I545" s="4" t="b">
        <f>OR(((E545 = "calculated")=TRUE), ((E545 = "lookup")=TRUE), ((E545 = "aggregation")=TRUE))</f>
        <v>1</v>
      </c>
      <c r="J545" s="4" t="b">
        <f>H545 &lt;&gt; ""</f>
        <v>1</v>
      </c>
      <c r="K545" s="4">
        <f>COUNTIFS(FieldDisagreements!D2:D50, A545)</f>
        <v>0</v>
      </c>
      <c r="L545" s="4" t="b">
        <f>K545 &gt; 0</f>
        <v>0</v>
      </c>
      <c r="M545" s="3" t="s">
        <v>2418</v>
      </c>
    </row>
    <row r="546">
      <c r="A546" s="3" t="s">
        <v>3272</v>
      </c>
      <c r="B546" s="4" t="str">
        <f>C546 &amp; "." &amp; D546</f>
        <v>KnowledgeFragments.EvidenceHasExpired</v>
      </c>
      <c r="C546" s="3" t="s">
        <v>1851</v>
      </c>
      <c r="D546" s="3" t="s">
        <v>1124</v>
      </c>
      <c r="E546" s="3" t="s">
        <v>2420</v>
      </c>
      <c r="F546" s="3" t="s">
        <v>2432</v>
      </c>
      <c r="G546" s="3" t="s">
        <v>3273</v>
      </c>
      <c r="H546" s="3" t="s">
        <v>2047</v>
      </c>
      <c r="I546" s="4" t="b">
        <f>OR(((E546 = "calculated")=TRUE), ((E546 = "lookup")=TRUE), ((E546 = "aggregation")=TRUE))</f>
        <v>1</v>
      </c>
      <c r="J546" s="4" t="b">
        <f>H546 &lt;&gt; ""</f>
        <v>1</v>
      </c>
      <c r="K546" s="4">
        <f>COUNTIFS(FieldDisagreements!D2:D50, A546)</f>
        <v>0</v>
      </c>
      <c r="L546" s="4" t="b">
        <f>K546 &gt; 0</f>
        <v>0</v>
      </c>
      <c r="M546" s="3" t="s">
        <v>2418</v>
      </c>
    </row>
    <row r="547">
      <c r="A547" s="3" t="s">
        <v>3274</v>
      </c>
      <c r="B547" s="4" t="str">
        <f>C547 &amp; "." &amp; D547</f>
        <v>KnowledgeFragments.OwnerAgent</v>
      </c>
      <c r="C547" s="3" t="s">
        <v>1851</v>
      </c>
      <c r="D547" s="3" t="s">
        <v>1125</v>
      </c>
      <c r="E547" s="3" t="s">
        <v>2509</v>
      </c>
      <c r="F547" s="3" t="s">
        <v>2417</v>
      </c>
      <c r="G547" s="3" t="s">
        <v>3275</v>
      </c>
      <c r="H547" s="3" t="s">
        <v>2147</v>
      </c>
      <c r="I547" s="4" t="b">
        <f>OR(((E547 = "calculated")=TRUE), ((E547 = "lookup")=TRUE), ((E547 = "aggregation")=TRUE))</f>
        <v>1</v>
      </c>
      <c r="J547" s="4" t="b">
        <f>H547 &lt;&gt; ""</f>
        <v>1</v>
      </c>
      <c r="K547" s="4">
        <f>COUNTIFS(FieldDisagreements!D2:D50, A547)</f>
        <v>0</v>
      </c>
      <c r="L547" s="4" t="b">
        <f>K547 &gt; 0</f>
        <v>0</v>
      </c>
      <c r="M547" s="3" t="s">
        <v>2418</v>
      </c>
    </row>
    <row r="548">
      <c r="A548" s="3" t="s">
        <v>3276</v>
      </c>
      <c r="B548" s="4" t="str">
        <f>C548 &amp; "." &amp; D548</f>
        <v>KnowledgeFragments.IsAwaitingApproval</v>
      </c>
      <c r="C548" s="3" t="s">
        <v>1851</v>
      </c>
      <c r="D548" s="3" t="s">
        <v>1126</v>
      </c>
      <c r="E548" s="3" t="s">
        <v>2420</v>
      </c>
      <c r="F548" s="3" t="s">
        <v>2432</v>
      </c>
      <c r="G548" s="3" t="s">
        <v>3277</v>
      </c>
      <c r="H548" s="3" t="s">
        <v>2147</v>
      </c>
      <c r="I548" s="4" t="b">
        <f>OR(((E548 = "calculated")=TRUE), ((E548 = "lookup")=TRUE), ((E548 = "aggregation")=TRUE))</f>
        <v>1</v>
      </c>
      <c r="J548" s="4" t="b">
        <f>H548 &lt;&gt; ""</f>
        <v>1</v>
      </c>
      <c r="K548" s="4">
        <f>COUNTIFS(FieldDisagreements!D2:D50, A548)</f>
        <v>0</v>
      </c>
      <c r="L548" s="4" t="b">
        <f>K548 &gt; 0</f>
        <v>0</v>
      </c>
      <c r="M548" s="3" t="s">
        <v>2418</v>
      </c>
    </row>
    <row r="549">
      <c r="A549" s="3" t="s">
        <v>3278</v>
      </c>
      <c r="B549" s="4" t="str">
        <f>C549 &amp; "." &amp; D549</f>
        <v>KnowledgeFragments.OwnerIsMe</v>
      </c>
      <c r="C549" s="3" t="s">
        <v>1851</v>
      </c>
      <c r="D549" s="3" t="s">
        <v>1127</v>
      </c>
      <c r="E549" s="3" t="s">
        <v>2420</v>
      </c>
      <c r="F549" s="3" t="s">
        <v>2432</v>
      </c>
      <c r="G549" s="3" t="s">
        <v>3279</v>
      </c>
      <c r="H549" s="3" t="s">
        <v>2147</v>
      </c>
      <c r="I549" s="4" t="b">
        <f>OR(((E549 = "calculated")=TRUE), ((E549 = "lookup")=TRUE), ((E549 = "aggregation")=TRUE))</f>
        <v>1</v>
      </c>
      <c r="J549" s="4" t="b">
        <f>H549 &lt;&gt; ""</f>
        <v>1</v>
      </c>
      <c r="K549" s="4">
        <f>COUNTIFS(FieldDisagreements!D2:D50, A549)</f>
        <v>0</v>
      </c>
      <c r="L549" s="4" t="b">
        <f>K549 &gt; 0</f>
        <v>0</v>
      </c>
      <c r="M549" s="3" t="s">
        <v>2418</v>
      </c>
    </row>
    <row r="550">
      <c r="A550" s="3" t="s">
        <v>3280</v>
      </c>
      <c r="B550" s="4" t="str">
        <f>C550 &amp; "." &amp; D550</f>
        <v>KnowledgeFragments.IsMyUnfinishedApproval</v>
      </c>
      <c r="C550" s="3" t="s">
        <v>1851</v>
      </c>
      <c r="D550" s="3" t="s">
        <v>1128</v>
      </c>
      <c r="E550" s="3" t="s">
        <v>2420</v>
      </c>
      <c r="F550" s="3" t="s">
        <v>2432</v>
      </c>
      <c r="G550" s="3" t="s">
        <v>3281</v>
      </c>
      <c r="H550" s="3" t="s">
        <v>2147</v>
      </c>
      <c r="I550" s="4" t="b">
        <f>OR(((E550 = "calculated")=TRUE), ((E550 = "lookup")=TRUE), ((E550 = "aggregation")=TRUE))</f>
        <v>1</v>
      </c>
      <c r="J550" s="4" t="b">
        <f>H550 &lt;&gt; ""</f>
        <v>1</v>
      </c>
      <c r="K550" s="4">
        <f>COUNTIFS(FieldDisagreements!D2:D50, A550)</f>
        <v>0</v>
      </c>
      <c r="L550" s="4" t="b">
        <f>K550 &gt; 0</f>
        <v>0</v>
      </c>
      <c r="M550" s="3" t="s">
        <v>2418</v>
      </c>
    </row>
    <row r="551">
      <c r="A551" s="3" t="s">
        <v>3282</v>
      </c>
      <c r="B551" s="4" t="str">
        <f>C551 &amp; "." &amp; D551</f>
        <v>KnowledgeFragments.IsInvokedByAnException</v>
      </c>
      <c r="C551" s="3" t="s">
        <v>1851</v>
      </c>
      <c r="D551" s="3" t="s">
        <v>1129</v>
      </c>
      <c r="E551" s="3" t="s">
        <v>2469</v>
      </c>
      <c r="F551" s="3" t="s">
        <v>2470</v>
      </c>
      <c r="G551" s="3" t="s">
        <v>3283</v>
      </c>
      <c r="H551" s="3" t="s">
        <v>2147</v>
      </c>
      <c r="I551" s="4" t="b">
        <f>OR(((E551 = "calculated")=TRUE), ((E551 = "lookup")=TRUE), ((E551 = "aggregation")=TRUE))</f>
        <v>1</v>
      </c>
      <c r="J551" s="4" t="b">
        <f>H551 &lt;&gt; ""</f>
        <v>1</v>
      </c>
      <c r="K551" s="4">
        <f>COUNTIFS(FieldDisagreements!D2:D50, A551)</f>
        <v>1</v>
      </c>
      <c r="L551" s="4" t="b">
        <f>K551 &gt; 0</f>
        <v>1</v>
      </c>
      <c r="M551" s="3" t="s">
        <v>2418</v>
      </c>
    </row>
    <row r="552">
      <c r="A552" s="3" t="s">
        <v>3284</v>
      </c>
      <c r="B552" s="4" t="str">
        <f>C552 &amp; "." &amp; D552</f>
        <v>KnowledgeFragments.HasOperationalReliance</v>
      </c>
      <c r="C552" s="3" t="s">
        <v>1851</v>
      </c>
      <c r="D552" s="3" t="s">
        <v>1130</v>
      </c>
      <c r="E552" s="3" t="s">
        <v>2420</v>
      </c>
      <c r="F552" s="3" t="s">
        <v>2432</v>
      </c>
      <c r="G552" s="3" t="s">
        <v>3285</v>
      </c>
      <c r="H552" s="3" t="s">
        <v>2147</v>
      </c>
      <c r="I552" s="4" t="b">
        <f>OR(((E552 = "calculated")=TRUE), ((E552 = "lookup")=TRUE), ((E552 = "aggregation")=TRUE))</f>
        <v>1</v>
      </c>
      <c r="J552" s="4" t="b">
        <f>H552 &lt;&gt; ""</f>
        <v>1</v>
      </c>
      <c r="K552" s="4">
        <f>COUNTIFS(FieldDisagreements!D2:D50, A552)</f>
        <v>1</v>
      </c>
      <c r="L552" s="4" t="b">
        <f>K552 &gt; 0</f>
        <v>1</v>
      </c>
      <c r="M552" s="3" t="s">
        <v>2418</v>
      </c>
    </row>
    <row r="553">
      <c r="A553" s="3" t="s">
        <v>3286</v>
      </c>
      <c r="B553" s="4" t="str">
        <f>C553 &amp; "." &amp; D553</f>
        <v>KnowledgeFragments.IsUnapprovedAndOperationallyLive</v>
      </c>
      <c r="C553" s="3" t="s">
        <v>1851</v>
      </c>
      <c r="D553" s="3" t="s">
        <v>1131</v>
      </c>
      <c r="E553" s="3" t="s">
        <v>2420</v>
      </c>
      <c r="F553" s="3" t="s">
        <v>2432</v>
      </c>
      <c r="G553" s="3" t="s">
        <v>3287</v>
      </c>
      <c r="H553" s="3" t="s">
        <v>2147</v>
      </c>
      <c r="I553" s="4" t="b">
        <f>OR(((E553 = "calculated")=TRUE), ((E553 = "lookup")=TRUE), ((E553 = "aggregation")=TRUE))</f>
        <v>1</v>
      </c>
      <c r="J553" s="4" t="b">
        <f>H553 &lt;&gt; ""</f>
        <v>1</v>
      </c>
      <c r="K553" s="4">
        <f>COUNTIFS(FieldDisagreements!D2:D50, A553)</f>
        <v>1</v>
      </c>
      <c r="L553" s="4" t="b">
        <f>K553 &gt; 0</f>
        <v>1</v>
      </c>
      <c r="M553" s="3" t="s">
        <v>2418</v>
      </c>
    </row>
    <row r="554">
      <c r="A554" s="3" t="s">
        <v>3288</v>
      </c>
      <c r="B554" s="4" t="str">
        <f>C554 &amp; "." &amp; D554</f>
        <v>KnowledgeFragments.AgeDays</v>
      </c>
      <c r="C554" s="3" t="s">
        <v>1851</v>
      </c>
      <c r="D554" s="3" t="s">
        <v>1132</v>
      </c>
      <c r="E554" s="3" t="s">
        <v>2420</v>
      </c>
      <c r="F554" s="3" t="s">
        <v>2470</v>
      </c>
      <c r="G554" s="3" t="s">
        <v>3289</v>
      </c>
      <c r="H554" s="3" t="s">
        <v>2155</v>
      </c>
      <c r="I554" s="4" t="b">
        <f>OR(((E554 = "calculated")=TRUE), ((E554 = "lookup")=TRUE), ((E554 = "aggregation")=TRUE))</f>
        <v>1</v>
      </c>
      <c r="J554" s="4" t="b">
        <f>H554 &lt;&gt; ""</f>
        <v>1</v>
      </c>
      <c r="K554" s="4">
        <f>COUNTIFS(FieldDisagreements!D2:D50, A554)</f>
        <v>0</v>
      </c>
      <c r="L554" s="4" t="b">
        <f>K554 &gt; 0</f>
        <v>0</v>
      </c>
      <c r="M554" s="3" t="s">
        <v>2418</v>
      </c>
    </row>
    <row r="555">
      <c r="A555" s="3" t="s">
        <v>3290</v>
      </c>
      <c r="B555" s="4" t="str">
        <f>C555 &amp; "." &amp; D555</f>
        <v>KnowledgeFragments.IsLowConfidence</v>
      </c>
      <c r="C555" s="3" t="s">
        <v>1851</v>
      </c>
      <c r="D555" s="3" t="s">
        <v>1133</v>
      </c>
      <c r="E555" s="3" t="s">
        <v>2420</v>
      </c>
      <c r="F555" s="3" t="s">
        <v>2432</v>
      </c>
      <c r="G555" s="3" t="s">
        <v>3291</v>
      </c>
      <c r="H555" s="3" t="s">
        <v>2155</v>
      </c>
      <c r="I555" s="4" t="b">
        <f>OR(((E555 = "calculated")=TRUE), ((E555 = "lookup")=TRUE), ((E555 = "aggregation")=TRUE))</f>
        <v>1</v>
      </c>
      <c r="J555" s="4" t="b">
        <f>H555 &lt;&gt; ""</f>
        <v>1</v>
      </c>
      <c r="K555" s="4">
        <f>COUNTIFS(FieldDisagreements!D2:D50, A555)</f>
        <v>0</v>
      </c>
      <c r="L555" s="4" t="b">
        <f>K555 &gt; 0</f>
        <v>0</v>
      </c>
      <c r="M555" s="3" t="s">
        <v>2418</v>
      </c>
    </row>
    <row r="556">
      <c r="A556" s="3" t="s">
        <v>3292</v>
      </c>
      <c r="B556" s="4" t="str">
        <f>C556 &amp; "." &amp; D556</f>
        <v>KnowledgeFragments.OwningVersionCadenceDays</v>
      </c>
      <c r="C556" s="3" t="s">
        <v>1851</v>
      </c>
      <c r="D556" s="3" t="s">
        <v>1134</v>
      </c>
      <c r="E556" s="3" t="s">
        <v>2509</v>
      </c>
      <c r="F556" s="3" t="s">
        <v>2470</v>
      </c>
      <c r="G556" s="3" t="s">
        <v>3293</v>
      </c>
      <c r="H556" s="3" t="s">
        <v>2155</v>
      </c>
      <c r="I556" s="4" t="b">
        <f>OR(((E556 = "calculated")=TRUE), ((E556 = "lookup")=TRUE), ((E556 = "aggregation")=TRUE))</f>
        <v>1</v>
      </c>
      <c r="J556" s="4" t="b">
        <f>H556 &lt;&gt; ""</f>
        <v>1</v>
      </c>
      <c r="K556" s="4">
        <f>COUNTIFS(FieldDisagreements!D2:D50, A556)</f>
        <v>0</v>
      </c>
      <c r="L556" s="4" t="b">
        <f>K556 &gt; 0</f>
        <v>0</v>
      </c>
      <c r="M556" s="3" t="s">
        <v>2418</v>
      </c>
    </row>
    <row r="557">
      <c r="A557" s="3" t="s">
        <v>3294</v>
      </c>
      <c r="B557" s="4" t="str">
        <f>C557 &amp; "." &amp; D557</f>
        <v>KnowledgeFragments.ExceedsOwningCadence</v>
      </c>
      <c r="C557" s="3" t="s">
        <v>1851</v>
      </c>
      <c r="D557" s="3" t="s">
        <v>1135</v>
      </c>
      <c r="E557" s="3" t="s">
        <v>2420</v>
      </c>
      <c r="F557" s="3" t="s">
        <v>2432</v>
      </c>
      <c r="G557" s="3" t="s">
        <v>3295</v>
      </c>
      <c r="H557" s="3" t="s">
        <v>2155</v>
      </c>
      <c r="I557" s="4" t="b">
        <f>OR(((E557 = "calculated")=TRUE), ((E557 = "lookup")=TRUE), ((E557 = "aggregation")=TRUE))</f>
        <v>1</v>
      </c>
      <c r="J557" s="4" t="b">
        <f>H557 &lt;&gt; ""</f>
        <v>1</v>
      </c>
      <c r="K557" s="4">
        <f>COUNTIFS(FieldDisagreements!D2:D50, A557)</f>
        <v>0</v>
      </c>
      <c r="L557" s="4" t="b">
        <f>K557 &gt; 0</f>
        <v>0</v>
      </c>
      <c r="M557" s="3" t="s">
        <v>2418</v>
      </c>
    </row>
    <row r="558">
      <c r="A558" s="3" t="s">
        <v>3296</v>
      </c>
      <c r="B558" s="4" t="str">
        <f>C558 &amp; "." &amp; D558</f>
        <v>KnowledgeFragments.IsAgingLowConfidenceClaim</v>
      </c>
      <c r="C558" s="3" t="s">
        <v>1851</v>
      </c>
      <c r="D558" s="3" t="s">
        <v>1136</v>
      </c>
      <c r="E558" s="3" t="s">
        <v>2420</v>
      </c>
      <c r="F558" s="3" t="s">
        <v>2432</v>
      </c>
      <c r="G558" s="3" t="s">
        <v>3297</v>
      </c>
      <c r="H558" s="3" t="s">
        <v>2155</v>
      </c>
      <c r="I558" s="4" t="b">
        <f>OR(((E558 = "calculated")=TRUE), ((E558 = "lookup")=TRUE), ((E558 = "aggregation")=TRUE))</f>
        <v>1</v>
      </c>
      <c r="J558" s="4" t="b">
        <f>H558 &lt;&gt; ""</f>
        <v>1</v>
      </c>
      <c r="K558" s="4">
        <f>COUNTIFS(FieldDisagreements!D2:D50, A558)</f>
        <v>0</v>
      </c>
      <c r="L558" s="4" t="b">
        <f>K558 &gt; 0</f>
        <v>0</v>
      </c>
      <c r="M558" s="3" t="s">
        <v>2418</v>
      </c>
    </row>
    <row r="559">
      <c r="A559" s="3" t="s">
        <v>3298</v>
      </c>
      <c r="B559" s="4" t="str">
        <f>C559 &amp; "." &amp; D559</f>
        <v>KnowledgeFragments.OwnerRoleAgentKind</v>
      </c>
      <c r="C559" s="3" t="s">
        <v>1851</v>
      </c>
      <c r="D559" s="3" t="s">
        <v>1137</v>
      </c>
      <c r="E559" s="3" t="s">
        <v>2509</v>
      </c>
      <c r="F559" s="3" t="s">
        <v>2417</v>
      </c>
      <c r="G559" s="3" t="s">
        <v>3299</v>
      </c>
      <c r="H559" s="3" t="s">
        <v>2175</v>
      </c>
      <c r="I559" s="4" t="b">
        <f>OR(((E559 = "calculated")=TRUE), ((E559 = "lookup")=TRUE), ((E559 = "aggregation")=TRUE))</f>
        <v>1</v>
      </c>
      <c r="J559" s="4" t="b">
        <f>H559 &lt;&gt; ""</f>
        <v>1</v>
      </c>
      <c r="K559" s="4">
        <f>COUNTIFS(FieldDisagreements!D2:D50, A559)</f>
        <v>0</v>
      </c>
      <c r="L559" s="4" t="b">
        <f>K559 &gt; 0</f>
        <v>0</v>
      </c>
      <c r="M559" s="3" t="s">
        <v>2418</v>
      </c>
    </row>
    <row r="560">
      <c r="A560" s="3" t="s">
        <v>3300</v>
      </c>
      <c r="B560" s="4" t="str">
        <f>C560 &amp; "." &amp; D560</f>
        <v>KnowledgeFragments.IsHumanOwned</v>
      </c>
      <c r="C560" s="3" t="s">
        <v>1851</v>
      </c>
      <c r="D560" s="3" t="s">
        <v>1138</v>
      </c>
      <c r="E560" s="3" t="s">
        <v>2420</v>
      </c>
      <c r="F560" s="3" t="s">
        <v>2432</v>
      </c>
      <c r="G560" s="3" t="s">
        <v>3301</v>
      </c>
      <c r="H560" s="3" t="s">
        <v>2175</v>
      </c>
      <c r="I560" s="4" t="b">
        <f>OR(((E560 = "calculated")=TRUE), ((E560 = "lookup")=TRUE), ((E560 = "aggregation")=TRUE))</f>
        <v>1</v>
      </c>
      <c r="J560" s="4" t="b">
        <f>H560 &lt;&gt; ""</f>
        <v>1</v>
      </c>
      <c r="K560" s="4">
        <f>COUNTIFS(FieldDisagreements!D2:D50, A560)</f>
        <v>0</v>
      </c>
      <c r="L560" s="4" t="b">
        <f>K560 &gt; 0</f>
        <v>0</v>
      </c>
      <c r="M560" s="3" t="s">
        <v>2418</v>
      </c>
    </row>
    <row r="561">
      <c r="A561" s="3" t="s">
        <v>3302</v>
      </c>
      <c r="B561" s="4" t="str">
        <f>C561 &amp; "." &amp; D561</f>
        <v>KnowledgeFragments.IsAiValidatedByAi</v>
      </c>
      <c r="C561" s="3" t="s">
        <v>1851</v>
      </c>
      <c r="D561" s="3" t="s">
        <v>1139</v>
      </c>
      <c r="E561" s="3" t="s">
        <v>2420</v>
      </c>
      <c r="F561" s="3" t="s">
        <v>2432</v>
      </c>
      <c r="G561" s="3" t="s">
        <v>3303</v>
      </c>
      <c r="H561" s="3" t="s">
        <v>2175</v>
      </c>
      <c r="I561" s="4" t="b">
        <f>OR(((E561 = "calculated")=TRUE), ((E561 = "lookup")=TRUE), ((E561 = "aggregation")=TRUE))</f>
        <v>1</v>
      </c>
      <c r="J561" s="4" t="b">
        <f>H561 &lt;&gt; ""</f>
        <v>1</v>
      </c>
      <c r="K561" s="4">
        <f>COUNTIFS(FieldDisagreements!D2:D50, A561)</f>
        <v>0</v>
      </c>
      <c r="L561" s="4" t="b">
        <f>K561 &gt; 0</f>
        <v>0</v>
      </c>
      <c r="M561" s="3" t="s">
        <v>2418</v>
      </c>
    </row>
    <row r="562">
      <c r="A562" s="3" t="s">
        <v>3304</v>
      </c>
      <c r="B562" s="4" t="str">
        <f>C562 &amp; "." &amp; D562</f>
        <v>KnowledgeFragments.ReviewCadenceDays</v>
      </c>
      <c r="C562" s="3" t="s">
        <v>1851</v>
      </c>
      <c r="D562" s="3" t="s">
        <v>1140</v>
      </c>
      <c r="E562" s="3" t="s">
        <v>2509</v>
      </c>
      <c r="F562" s="3" t="s">
        <v>2470</v>
      </c>
      <c r="G562" s="3" t="s">
        <v>3293</v>
      </c>
      <c r="H562" s="3" t="s">
        <v>2175</v>
      </c>
      <c r="I562" s="4" t="b">
        <f>OR(((E562 = "calculated")=TRUE), ((E562 = "lookup")=TRUE), ((E562 = "aggregation")=TRUE))</f>
        <v>1</v>
      </c>
      <c r="J562" s="4" t="b">
        <f>H562 &lt;&gt; ""</f>
        <v>1</v>
      </c>
      <c r="K562" s="4">
        <f>COUNTIFS(FieldDisagreements!D2:D50, A562)</f>
        <v>0</v>
      </c>
      <c r="L562" s="4" t="b">
        <f>K562 &gt; 0</f>
        <v>0</v>
      </c>
      <c r="M562" s="3" t="s">
        <v>2418</v>
      </c>
    </row>
    <row r="563">
      <c r="A563" s="3" t="s">
        <v>3305</v>
      </c>
      <c r="B563" s="4" t="str">
        <f>C563 &amp; "." &amp; D563</f>
        <v>KnowledgeFragments.IsOverdueForReview</v>
      </c>
      <c r="C563" s="3" t="s">
        <v>1851</v>
      </c>
      <c r="D563" s="3" t="s">
        <v>1141</v>
      </c>
      <c r="E563" s="3" t="s">
        <v>2420</v>
      </c>
      <c r="F563" s="3" t="s">
        <v>2432</v>
      </c>
      <c r="G563" s="3" t="s">
        <v>3306</v>
      </c>
      <c r="H563" s="3" t="s">
        <v>2175</v>
      </c>
      <c r="I563" s="4" t="b">
        <f>OR(((E563 = "calculated")=TRUE), ((E563 = "lookup")=TRUE), ((E563 = "aggregation")=TRUE))</f>
        <v>1</v>
      </c>
      <c r="J563" s="4" t="b">
        <f>H563 &lt;&gt; ""</f>
        <v>1</v>
      </c>
      <c r="K563" s="4">
        <f>COUNTIFS(FieldDisagreements!D2:D50, A563)</f>
        <v>0</v>
      </c>
      <c r="L563" s="4" t="b">
        <f>K563 &gt; 0</f>
        <v>0</v>
      </c>
      <c r="M563" s="3" t="s">
        <v>2418</v>
      </c>
    </row>
    <row r="564">
      <c r="A564" s="3" t="s">
        <v>3307</v>
      </c>
      <c r="B564" s="4" t="str">
        <f>C564 &amp; "." &amp; D564</f>
        <v>KnowledgeFragments.PredatesCurrentRoleHolder</v>
      </c>
      <c r="C564" s="3" t="s">
        <v>1851</v>
      </c>
      <c r="D564" s="3" t="s">
        <v>1142</v>
      </c>
      <c r="E564" s="3" t="s">
        <v>2420</v>
      </c>
      <c r="F564" s="3" t="s">
        <v>2432</v>
      </c>
      <c r="G564" s="3" t="s">
        <v>3308</v>
      </c>
      <c r="H564" s="3" t="s">
        <v>2175</v>
      </c>
      <c r="I564" s="4" t="b">
        <f>OR(((E564 = "calculated")=TRUE), ((E564 = "lookup")=TRUE), ((E564 = "aggregation")=TRUE))</f>
        <v>1</v>
      </c>
      <c r="J564" s="4" t="b">
        <f>H564 &lt;&gt; ""</f>
        <v>1</v>
      </c>
      <c r="K564" s="4">
        <f>COUNTIFS(FieldDisagreements!D2:D50, A564)</f>
        <v>0</v>
      </c>
      <c r="L564" s="4" t="b">
        <f>K564 &gt; 0</f>
        <v>0</v>
      </c>
      <c r="M564" s="3" t="s">
        <v>2418</v>
      </c>
    </row>
    <row r="565">
      <c r="A565" s="3" t="s">
        <v>3309</v>
      </c>
      <c r="B565" s="4" t="str">
        <f>C565 &amp; "." &amp; D565</f>
        <v>KnowledgeFragments.OwnerRoleAssignmentValidFrom</v>
      </c>
      <c r="C565" s="3" t="s">
        <v>1851</v>
      </c>
      <c r="D565" s="3" t="s">
        <v>1143</v>
      </c>
      <c r="E565" s="3" t="s">
        <v>2509</v>
      </c>
      <c r="F565" s="3" t="s">
        <v>2428</v>
      </c>
      <c r="G565" s="3" t="s">
        <v>3310</v>
      </c>
      <c r="H565" s="3" t="s">
        <v>2175</v>
      </c>
      <c r="I565" s="4" t="b">
        <f>OR(((E565 = "calculated")=TRUE), ((E565 = "lookup")=TRUE), ((E565 = "aggregation")=TRUE))</f>
        <v>1</v>
      </c>
      <c r="J565" s="4" t="b">
        <f>H565 &lt;&gt; ""</f>
        <v>1</v>
      </c>
      <c r="K565" s="4">
        <f>COUNTIFS(FieldDisagreements!D2:D50, A565)</f>
        <v>0</v>
      </c>
      <c r="L565" s="4" t="b">
        <f>K565 &gt; 0</f>
        <v>0</v>
      </c>
      <c r="M565" s="3" t="s">
        <v>2418</v>
      </c>
    </row>
    <row r="566">
      <c r="A566" s="3" t="s">
        <v>3311</v>
      </c>
      <c r="B566" s="4" t="str">
        <f>C566 &amp; "." &amp; D566</f>
        <v>KnowledgeFragments.LastReviewedAt</v>
      </c>
      <c r="C566" s="3" t="s">
        <v>1851</v>
      </c>
      <c r="D566" s="3" t="s">
        <v>1144</v>
      </c>
      <c r="E566" s="3" t="s">
        <v>2416</v>
      </c>
      <c r="F566" s="3" t="s">
        <v>2428</v>
      </c>
      <c r="G566" s="3"/>
      <c r="H566" s="3"/>
      <c r="I566" s="4" t="b">
        <f>OR(((E566 = "calculated")=TRUE), ((E566 = "lookup")=TRUE), ((E566 = "aggregation")=TRUE))</f>
        <v>0</v>
      </c>
      <c r="J566" s="4" t="b">
        <f>H566 &lt;&gt; ""</f>
        <v>0</v>
      </c>
      <c r="K566" s="4">
        <f>COUNTIFS(FieldDisagreements!D2:D50, A566)</f>
        <v>0</v>
      </c>
      <c r="L566" s="4" t="b">
        <f>K566 &gt; 0</f>
        <v>0</v>
      </c>
      <c r="M566" s="3" t="s">
        <v>2418</v>
      </c>
    </row>
    <row r="567">
      <c r="A567" s="3" t="s">
        <v>3312</v>
      </c>
      <c r="B567" s="4" t="str">
        <f>C567 &amp; "." &amp; D567</f>
        <v>KnowledgeFragments.FragilitySignalCount</v>
      </c>
      <c r="C567" s="3" t="s">
        <v>1851</v>
      </c>
      <c r="D567" s="3" t="s">
        <v>1145</v>
      </c>
      <c r="E567" s="3" t="s">
        <v>2420</v>
      </c>
      <c r="F567" s="3" t="s">
        <v>2470</v>
      </c>
      <c r="G567" s="3" t="s">
        <v>3313</v>
      </c>
      <c r="H567" s="3" t="s">
        <v>2199</v>
      </c>
      <c r="I567" s="4" t="b">
        <f>OR(((E567 = "calculated")=TRUE), ((E567 = "lookup")=TRUE), ((E567 = "aggregation")=TRUE))</f>
        <v>1</v>
      </c>
      <c r="J567" s="4" t="b">
        <f>H567 &lt;&gt; ""</f>
        <v>1</v>
      </c>
      <c r="K567" s="4">
        <f>COUNTIFS(FieldDisagreements!D2:D50, A567)</f>
        <v>1</v>
      </c>
      <c r="L567" s="4" t="b">
        <f>K567 &gt; 0</f>
        <v>1</v>
      </c>
      <c r="M567" s="3" t="s">
        <v>2418</v>
      </c>
    </row>
    <row r="568">
      <c r="A568" s="3" t="s">
        <v>3314</v>
      </c>
      <c r="B568" s="4" t="str">
        <f>C568 &amp; "." &amp; D568</f>
        <v>KnowledgeFragments.IsCompoundFragile</v>
      </c>
      <c r="C568" s="3" t="s">
        <v>1851</v>
      </c>
      <c r="D568" s="3" t="s">
        <v>1146</v>
      </c>
      <c r="E568" s="3" t="s">
        <v>2420</v>
      </c>
      <c r="F568" s="3" t="s">
        <v>2432</v>
      </c>
      <c r="G568" s="3" t="s">
        <v>3315</v>
      </c>
      <c r="H568" s="3" t="s">
        <v>2199</v>
      </c>
      <c r="I568" s="4" t="b">
        <f>OR(((E568 = "calculated")=TRUE), ((E568 = "lookup")=TRUE), ((E568 = "aggregation")=TRUE))</f>
        <v>1</v>
      </c>
      <c r="J568" s="4" t="b">
        <f>H568 &lt;&gt; ""</f>
        <v>1</v>
      </c>
      <c r="K568" s="4">
        <f>COUNTIFS(FieldDisagreements!D2:D50, A568)</f>
        <v>0</v>
      </c>
      <c r="L568" s="4" t="b">
        <f>K568 &gt; 0</f>
        <v>0</v>
      </c>
      <c r="M568" s="3" t="s">
        <v>2418</v>
      </c>
    </row>
    <row r="569">
      <c r="A569" s="3" t="s">
        <v>3316</v>
      </c>
      <c r="B569" s="4" t="str">
        <f>C569 &amp; "." &amp; D569</f>
        <v>KnowledgeFragments.IsSinglePointOfFailure</v>
      </c>
      <c r="C569" s="3" t="s">
        <v>1851</v>
      </c>
      <c r="D569" s="3" t="s">
        <v>1147</v>
      </c>
      <c r="E569" s="3" t="s">
        <v>2420</v>
      </c>
      <c r="F569" s="3" t="s">
        <v>2432</v>
      </c>
      <c r="G569" s="3" t="s">
        <v>3317</v>
      </c>
      <c r="H569" s="3" t="s">
        <v>2199</v>
      </c>
      <c r="I569" s="4" t="b">
        <f>OR(((E569 = "calculated")=TRUE), ((E569 = "lookup")=TRUE), ((E569 = "aggregation")=TRUE))</f>
        <v>1</v>
      </c>
      <c r="J569" s="4" t="b">
        <f>H569 &lt;&gt; ""</f>
        <v>1</v>
      </c>
      <c r="K569" s="4">
        <f>COUNTIFS(FieldDisagreements!D2:D50, A569)</f>
        <v>0</v>
      </c>
      <c r="L569" s="4" t="b">
        <f>K569 &gt; 0</f>
        <v>0</v>
      </c>
      <c r="M569" s="3" t="s">
        <v>2418</v>
      </c>
    </row>
    <row r="570">
      <c r="A570" s="3" t="s">
        <v>3318</v>
      </c>
      <c r="B570" s="4" t="str">
        <f>C570 &amp; "." &amp; D570</f>
        <v>KnowledgeFragments.IsExpiringSinglePointOfFailure</v>
      </c>
      <c r="C570" s="3" t="s">
        <v>1851</v>
      </c>
      <c r="D570" s="3" t="s">
        <v>1148</v>
      </c>
      <c r="E570" s="3" t="s">
        <v>2420</v>
      </c>
      <c r="F570" s="3" t="s">
        <v>2432</v>
      </c>
      <c r="G570" s="3" t="s">
        <v>3319</v>
      </c>
      <c r="H570" s="3" t="s">
        <v>2199</v>
      </c>
      <c r="I570" s="4" t="b">
        <f>OR(((E570 = "calculated")=TRUE), ((E570 = "lookup")=TRUE), ((E570 = "aggregation")=TRUE))</f>
        <v>1</v>
      </c>
      <c r="J570" s="4" t="b">
        <f>H570 &lt;&gt; ""</f>
        <v>1</v>
      </c>
      <c r="K570" s="4">
        <f>COUNTIFS(FieldDisagreements!D2:D50, A570)</f>
        <v>0</v>
      </c>
      <c r="L570" s="4" t="b">
        <f>K570 &gt; 0</f>
        <v>0</v>
      </c>
      <c r="M570" s="3" t="s">
        <v>2418</v>
      </c>
    </row>
    <row r="571">
      <c r="A571" s="3" t="s">
        <v>3320</v>
      </c>
      <c r="B571" s="4" t="str">
        <f>C571 &amp; "." &amp; D571</f>
        <v>KnowledgeFragments.CompoundFragileVersionKey</v>
      </c>
      <c r="C571" s="3" t="s">
        <v>1851</v>
      </c>
      <c r="D571" s="3" t="s">
        <v>1149</v>
      </c>
      <c r="E571" s="3" t="s">
        <v>2420</v>
      </c>
      <c r="F571" s="3" t="s">
        <v>2417</v>
      </c>
      <c r="G571" s="3" t="s">
        <v>3321</v>
      </c>
      <c r="H571" s="3" t="s">
        <v>2199</v>
      </c>
      <c r="I571" s="4" t="b">
        <f>OR(((E571 = "calculated")=TRUE), ((E571 = "lookup")=TRUE), ((E571 = "aggregation")=TRUE))</f>
        <v>1</v>
      </c>
      <c r="J571" s="4" t="b">
        <f>H571 &lt;&gt; ""</f>
        <v>1</v>
      </c>
      <c r="K571" s="4">
        <f>COUNTIFS(FieldDisagreements!D2:D50, A571)</f>
        <v>0</v>
      </c>
      <c r="L571" s="4" t="b">
        <f>K571 &gt; 0</f>
        <v>0</v>
      </c>
      <c r="M571" s="3" t="s">
        <v>2418</v>
      </c>
    </row>
    <row r="572">
      <c r="A572" s="3" t="s">
        <v>3322</v>
      </c>
      <c r="B572" s="4" t="str">
        <f>C572 &amp; "." &amp; D572</f>
        <v>KnowledgeFragments.ValidFragmentSessionKey</v>
      </c>
      <c r="C572" s="3" t="s">
        <v>1851</v>
      </c>
      <c r="D572" s="3" t="s">
        <v>1150</v>
      </c>
      <c r="E572" s="3" t="s">
        <v>2420</v>
      </c>
      <c r="F572" s="3" t="s">
        <v>2417</v>
      </c>
      <c r="G572" s="3" t="s">
        <v>3323</v>
      </c>
      <c r="H572" s="3" t="s">
        <v>2207</v>
      </c>
      <c r="I572" s="4" t="b">
        <f>OR(((E572 = "calculated")=TRUE), ((E572 = "lookup")=TRUE), ((E572 = "aggregation")=TRUE))</f>
        <v>1</v>
      </c>
      <c r="J572" s="4" t="b">
        <f>H572 &lt;&gt; ""</f>
        <v>1</v>
      </c>
      <c r="K572" s="4">
        <f>COUNTIFS(FieldDisagreements!D2:D50, A572)</f>
        <v>0</v>
      </c>
      <c r="L572" s="4" t="b">
        <f>K572 &gt; 0</f>
        <v>0</v>
      </c>
      <c r="M572" s="3" t="s">
        <v>2418</v>
      </c>
    </row>
    <row r="573">
      <c r="A573" s="3" t="s">
        <v>3324</v>
      </c>
      <c r="B573" s="4" t="str">
        <f>C573 &amp; "." &amp; D573</f>
        <v>KnowledgeFragments.ConsumingStepIsSoftwareAssigned</v>
      </c>
      <c r="C573" s="3" t="s">
        <v>1851</v>
      </c>
      <c r="D573" s="3" t="s">
        <v>1151</v>
      </c>
      <c r="E573" s="3" t="s">
        <v>2509</v>
      </c>
      <c r="F573" s="3" t="s">
        <v>2432</v>
      </c>
      <c r="G573" s="3" t="s">
        <v>3325</v>
      </c>
      <c r="H573" s="3" t="s">
        <v>2211</v>
      </c>
      <c r="I573" s="4" t="b">
        <f>OR(((E573 = "calculated")=TRUE), ((E573 = "lookup")=TRUE), ((E573 = "aggregation")=TRUE))</f>
        <v>1</v>
      </c>
      <c r="J573" s="4" t="b">
        <f>H573 &lt;&gt; ""</f>
        <v>1</v>
      </c>
      <c r="K573" s="4">
        <f>COUNTIFS(FieldDisagreements!D2:D50, A573)</f>
        <v>0</v>
      </c>
      <c r="L573" s="4" t="b">
        <f>K573 &gt; 0</f>
        <v>0</v>
      </c>
      <c r="M573" s="3" t="s">
        <v>2418</v>
      </c>
    </row>
    <row r="574">
      <c r="A574" s="3" t="s">
        <v>3326</v>
      </c>
      <c r="B574" s="4" t="str">
        <f>C574 &amp; "." &amp; D574</f>
        <v>KnowledgeFragments.ConsumingStepAgentKind</v>
      </c>
      <c r="C574" s="3" t="s">
        <v>1851</v>
      </c>
      <c r="D574" s="3" t="s">
        <v>1152</v>
      </c>
      <c r="E574" s="3" t="s">
        <v>2509</v>
      </c>
      <c r="F574" s="3" t="s">
        <v>2417</v>
      </c>
      <c r="G574" s="3" t="s">
        <v>3327</v>
      </c>
      <c r="H574" s="3" t="s">
        <v>2211</v>
      </c>
      <c r="I574" s="4" t="b">
        <f>OR(((E574 = "calculated")=TRUE), ((E574 = "lookup")=TRUE), ((E574 = "aggregation")=TRUE))</f>
        <v>1</v>
      </c>
      <c r="J574" s="4" t="b">
        <f>H574 &lt;&gt; ""</f>
        <v>1</v>
      </c>
      <c r="K574" s="4">
        <f>COUNTIFS(FieldDisagreements!D2:D50, A574)</f>
        <v>0</v>
      </c>
      <c r="L574" s="4" t="b">
        <f>K574 &gt; 0</f>
        <v>0</v>
      </c>
      <c r="M574" s="3" t="s">
        <v>2418</v>
      </c>
    </row>
    <row r="575">
      <c r="A575" s="3" t="s">
        <v>3328</v>
      </c>
      <c r="B575" s="4" t="str">
        <f>C575 &amp; "." &amp; D575</f>
        <v>KnowledgeFragments.IsUnapprovedAndMachineConsumed</v>
      </c>
      <c r="C575" s="3" t="s">
        <v>1851</v>
      </c>
      <c r="D575" s="3" t="s">
        <v>1153</v>
      </c>
      <c r="E575" s="3" t="s">
        <v>2420</v>
      </c>
      <c r="F575" s="3" t="s">
        <v>2432</v>
      </c>
      <c r="G575" s="3" t="s">
        <v>3329</v>
      </c>
      <c r="H575" s="3" t="s">
        <v>2211</v>
      </c>
      <c r="I575" s="4" t="b">
        <f>OR(((E575 = "calculated")=TRUE), ((E575 = "lookup")=TRUE), ((E575 = "aggregation")=TRUE))</f>
        <v>1</v>
      </c>
      <c r="J575" s="4" t="b">
        <f>H575 &lt;&gt; ""</f>
        <v>1</v>
      </c>
      <c r="K575" s="4">
        <f>COUNTIFS(FieldDisagreements!D2:D50, A575)</f>
        <v>0</v>
      </c>
      <c r="L575" s="4" t="b">
        <f>K575 &gt; 0</f>
        <v>0</v>
      </c>
      <c r="M575" s="3" t="s">
        <v>2418</v>
      </c>
    </row>
    <row r="576">
      <c r="A576" s="3" t="s">
        <v>3330</v>
      </c>
      <c r="B576" s="4" t="str">
        <f>C576 &amp; "." &amp; D576</f>
        <v>KnowledgeFragments.IsUnapprovedAndHumanConsumed</v>
      </c>
      <c r="C576" s="3" t="s">
        <v>1851</v>
      </c>
      <c r="D576" s="3" t="s">
        <v>1154</v>
      </c>
      <c r="E576" s="3" t="s">
        <v>2420</v>
      </c>
      <c r="F576" s="3" t="s">
        <v>2432</v>
      </c>
      <c r="G576" s="3" t="s">
        <v>3331</v>
      </c>
      <c r="H576" s="3" t="s">
        <v>2211</v>
      </c>
      <c r="I576" s="4" t="b">
        <f>OR(((E576 = "calculated")=TRUE), ((E576 = "lookup")=TRUE), ((E576 = "aggregation")=TRUE))</f>
        <v>1</v>
      </c>
      <c r="J576" s="4" t="b">
        <f>H576 &lt;&gt; ""</f>
        <v>1</v>
      </c>
      <c r="K576" s="4">
        <f>COUNTIFS(FieldDisagreements!D2:D50, A576)</f>
        <v>0</v>
      </c>
      <c r="L576" s="4" t="b">
        <f>K576 &gt; 0</f>
        <v>0</v>
      </c>
      <c r="M576" s="3" t="s">
        <v>2418</v>
      </c>
    </row>
    <row r="577">
      <c r="A577" s="3" t="s">
        <v>3332</v>
      </c>
      <c r="B577" s="4" t="str">
        <f>C577 &amp; "." &amp; D577</f>
        <v>KnowledgeFragments.MachineConsumedUnapprovedVersionKey</v>
      </c>
      <c r="C577" s="3" t="s">
        <v>1851</v>
      </c>
      <c r="D577" s="3" t="s">
        <v>1155</v>
      </c>
      <c r="E577" s="3" t="s">
        <v>2420</v>
      </c>
      <c r="F577" s="3" t="s">
        <v>2417</v>
      </c>
      <c r="G577" s="3" t="s">
        <v>3333</v>
      </c>
      <c r="H577" s="3" t="s">
        <v>2211</v>
      </c>
      <c r="I577" s="4" t="b">
        <f>OR(((E577 = "calculated")=TRUE), ((E577 = "lookup")=TRUE), ((E577 = "aggregation")=TRUE))</f>
        <v>1</v>
      </c>
      <c r="J577" s="4" t="b">
        <f>H577 &lt;&gt; ""</f>
        <v>1</v>
      </c>
      <c r="K577" s="4">
        <f>COUNTIFS(FieldDisagreements!D2:D50, A577)</f>
        <v>0</v>
      </c>
      <c r="L577" s="4" t="b">
        <f>K577 &gt; 0</f>
        <v>0</v>
      </c>
      <c r="M577" s="3" t="s">
        <v>2418</v>
      </c>
    </row>
    <row r="578">
      <c r="A578" s="3" t="s">
        <v>3334</v>
      </c>
      <c r="B578" s="4" t="str">
        <f>C578 &amp; "." &amp; D578</f>
        <v>KnowledgeFragments.HasReviewRecord</v>
      </c>
      <c r="C578" s="3" t="s">
        <v>1851</v>
      </c>
      <c r="D578" s="3" t="s">
        <v>1156</v>
      </c>
      <c r="E578" s="3" t="s">
        <v>2420</v>
      </c>
      <c r="F578" s="3" t="s">
        <v>2432</v>
      </c>
      <c r="G578" s="3" t="s">
        <v>3335</v>
      </c>
      <c r="H578" s="3" t="s">
        <v>2215</v>
      </c>
      <c r="I578" s="4" t="b">
        <f>OR(((E578 = "calculated")=TRUE), ((E578 = "lookup")=TRUE), ((E578 = "aggregation")=TRUE))</f>
        <v>1</v>
      </c>
      <c r="J578" s="4" t="b">
        <f>H578 &lt;&gt; ""</f>
        <v>1</v>
      </c>
      <c r="K578" s="4">
        <f>COUNTIFS(FieldDisagreements!D2:D50, A578)</f>
        <v>0</v>
      </c>
      <c r="L578" s="4" t="b">
        <f>K578 &gt; 0</f>
        <v>0</v>
      </c>
      <c r="M578" s="3" t="s">
        <v>2418</v>
      </c>
    </row>
    <row r="579">
      <c r="A579" s="3" t="s">
        <v>3336</v>
      </c>
      <c r="B579" s="4" t="str">
        <f>C579 &amp; "." &amp; D579</f>
        <v>KnowledgeFragments.DaysSinceActualReview</v>
      </c>
      <c r="C579" s="3" t="s">
        <v>1851</v>
      </c>
      <c r="D579" s="3" t="s">
        <v>1157</v>
      </c>
      <c r="E579" s="3" t="s">
        <v>2420</v>
      </c>
      <c r="F579" s="3" t="s">
        <v>2470</v>
      </c>
      <c r="G579" s="3" t="s">
        <v>3337</v>
      </c>
      <c r="H579" s="3" t="s">
        <v>2215</v>
      </c>
      <c r="I579" s="4" t="b">
        <f>OR(((E579 = "calculated")=TRUE), ((E579 = "lookup")=TRUE), ((E579 = "aggregation")=TRUE))</f>
        <v>1</v>
      </c>
      <c r="J579" s="4" t="b">
        <f>H579 &lt;&gt; ""</f>
        <v>1</v>
      </c>
      <c r="K579" s="4">
        <f>COUNTIFS(FieldDisagreements!D2:D50, A579)</f>
        <v>0</v>
      </c>
      <c r="L579" s="4" t="b">
        <f>K579 &gt; 0</f>
        <v>0</v>
      </c>
      <c r="M579" s="3" t="s">
        <v>2418</v>
      </c>
    </row>
    <row r="580">
      <c r="A580" s="3" t="s">
        <v>3338</v>
      </c>
      <c r="B580" s="4" t="str">
        <f>C580 &amp; "." &amp; D580</f>
        <v>KnowledgeFragments.IsUnreviewedSinceAuthoring</v>
      </c>
      <c r="C580" s="3" t="s">
        <v>1851</v>
      </c>
      <c r="D580" s="3" t="s">
        <v>1158</v>
      </c>
      <c r="E580" s="3" t="s">
        <v>2420</v>
      </c>
      <c r="F580" s="3" t="s">
        <v>2432</v>
      </c>
      <c r="G580" s="3" t="s">
        <v>3339</v>
      </c>
      <c r="H580" s="3" t="s">
        <v>2215</v>
      </c>
      <c r="I580" s="4" t="b">
        <f>OR(((E580 = "calculated")=TRUE), ((E580 = "lookup")=TRUE), ((E580 = "aggregation")=TRUE))</f>
        <v>1</v>
      </c>
      <c r="J580" s="4" t="b">
        <f>H580 &lt;&gt; ""</f>
        <v>1</v>
      </c>
      <c r="K580" s="4">
        <f>COUNTIFS(FieldDisagreements!D2:D50, A580)</f>
        <v>0</v>
      </c>
      <c r="L580" s="4" t="b">
        <f>K580 &gt; 0</f>
        <v>0</v>
      </c>
      <c r="M580" s="3" t="s">
        <v>2418</v>
      </c>
    </row>
    <row r="581">
      <c r="A581" s="3" t="s">
        <v>3340</v>
      </c>
      <c r="B581" s="4" t="str">
        <f>C581 &amp; "." &amp; D581</f>
        <v>KnowledgeFragments.IsGenuinelyOverdue</v>
      </c>
      <c r="C581" s="3" t="s">
        <v>1851</v>
      </c>
      <c r="D581" s="3" t="s">
        <v>1159</v>
      </c>
      <c r="E581" s="3" t="s">
        <v>2420</v>
      </c>
      <c r="F581" s="3" t="s">
        <v>2432</v>
      </c>
      <c r="G581" s="3" t="s">
        <v>3341</v>
      </c>
      <c r="H581" s="3" t="s">
        <v>2215</v>
      </c>
      <c r="I581" s="4" t="b">
        <f>OR(((E581 = "calculated")=TRUE), ((E581 = "lookup")=TRUE), ((E581 = "aggregation")=TRUE))</f>
        <v>1</v>
      </c>
      <c r="J581" s="4" t="b">
        <f>H581 &lt;&gt; ""</f>
        <v>1</v>
      </c>
      <c r="K581" s="4">
        <f>COUNTIFS(FieldDisagreements!D2:D50, A581)</f>
        <v>0</v>
      </c>
      <c r="L581" s="4" t="b">
        <f>K581 &gt; 0</f>
        <v>0</v>
      </c>
      <c r="M581" s="3" t="s">
        <v>2418</v>
      </c>
    </row>
    <row r="582">
      <c r="A582" s="3" t="s">
        <v>3342</v>
      </c>
      <c r="B582" s="4" t="str">
        <f>C582 &amp; "." &amp; D582</f>
        <v>KnowledgeFragments.ReviewRecencyIsInferred</v>
      </c>
      <c r="C582" s="3" t="s">
        <v>1851</v>
      </c>
      <c r="D582" s="3" t="s">
        <v>1160</v>
      </c>
      <c r="E582" s="3" t="s">
        <v>2420</v>
      </c>
      <c r="F582" s="3" t="s">
        <v>2432</v>
      </c>
      <c r="G582" s="3" t="s">
        <v>3343</v>
      </c>
      <c r="H582" s="3" t="s">
        <v>2215</v>
      </c>
      <c r="I582" s="4" t="b">
        <f>OR(((E582 = "calculated")=TRUE), ((E582 = "lookup")=TRUE), ((E582 = "aggregation")=TRUE))</f>
        <v>1</v>
      </c>
      <c r="J582" s="4" t="b">
        <f>H582 &lt;&gt; ""</f>
        <v>1</v>
      </c>
      <c r="K582" s="4">
        <f>COUNTIFS(FieldDisagreements!D2:D50, A582)</f>
        <v>0</v>
      </c>
      <c r="L582" s="4" t="b">
        <f>K582 &gt; 0</f>
        <v>0</v>
      </c>
      <c r="M582" s="3" t="s">
        <v>2418</v>
      </c>
    </row>
    <row r="583">
      <c r="A583" s="3" t="s">
        <v>3344</v>
      </c>
      <c r="B583" s="4" t="str">
        <f>C583 &amp; "." &amp; D583</f>
        <v>KnowledgeFragments.InferenceDisagreesWithRecord</v>
      </c>
      <c r="C583" s="3" t="s">
        <v>1851</v>
      </c>
      <c r="D583" s="3" t="s">
        <v>1161</v>
      </c>
      <c r="E583" s="3" t="s">
        <v>2420</v>
      </c>
      <c r="F583" s="3" t="s">
        <v>2432</v>
      </c>
      <c r="G583" s="3" t="s">
        <v>3345</v>
      </c>
      <c r="H583" s="3" t="s">
        <v>2215</v>
      </c>
      <c r="I583" s="4" t="b">
        <f>OR(((E583 = "calculated")=TRUE), ((E583 = "lookup")=TRUE), ((E583 = "aggregation")=TRUE))</f>
        <v>1</v>
      </c>
      <c r="J583" s="4" t="b">
        <f>H583 &lt;&gt; ""</f>
        <v>1</v>
      </c>
      <c r="K583" s="4">
        <f>COUNTIFS(FieldDisagreements!D2:D50, A583)</f>
        <v>0</v>
      </c>
      <c r="L583" s="4" t="b">
        <f>K583 &gt; 0</f>
        <v>0</v>
      </c>
      <c r="M583" s="3" t="s">
        <v>2418</v>
      </c>
    </row>
    <row r="584">
      <c r="A584" s="3" t="s">
        <v>3346</v>
      </c>
      <c r="B584" s="4" t="str">
        <f>C584 &amp; "." &amp; D584</f>
        <v>KnowledgeFragments.GenuinelyOverdueVersionKey</v>
      </c>
      <c r="C584" s="3" t="s">
        <v>1851</v>
      </c>
      <c r="D584" s="3" t="s">
        <v>1162</v>
      </c>
      <c r="E584" s="3" t="s">
        <v>2420</v>
      </c>
      <c r="F584" s="3" t="s">
        <v>2417</v>
      </c>
      <c r="G584" s="3" t="s">
        <v>3347</v>
      </c>
      <c r="H584" s="3" t="s">
        <v>2215</v>
      </c>
      <c r="I584" s="4" t="b">
        <f>OR(((E584 = "calculated")=TRUE), ((E584 = "lookup")=TRUE), ((E584 = "aggregation")=TRUE))</f>
        <v>1</v>
      </c>
      <c r="J584" s="4" t="b">
        <f>H584 &lt;&gt; ""</f>
        <v>1</v>
      </c>
      <c r="K584" s="4">
        <f>COUNTIFS(FieldDisagreements!D2:D50, A584)</f>
        <v>0</v>
      </c>
      <c r="L584" s="4" t="b">
        <f>K584 &gt; 0</f>
        <v>0</v>
      </c>
      <c r="M584" s="3" t="s">
        <v>2418</v>
      </c>
    </row>
    <row r="585">
      <c r="A585" s="3" t="s">
        <v>3348</v>
      </c>
      <c r="B585" s="4" t="str">
        <f>C585 &amp; "." &amp; D585</f>
        <v>KnowledgeFragments.RatifiedBoundaryCount</v>
      </c>
      <c r="C585" s="3" t="s">
        <v>1851</v>
      </c>
      <c r="D585" s="3" t="s">
        <v>1163</v>
      </c>
      <c r="E585" s="3" t="s">
        <v>2469</v>
      </c>
      <c r="F585" s="3" t="s">
        <v>2475</v>
      </c>
      <c r="G585" s="3" t="s">
        <v>3349</v>
      </c>
      <c r="H585" s="3" t="s">
        <v>2227</v>
      </c>
      <c r="I585" s="4" t="b">
        <f>OR(((E585 = "calculated")=TRUE), ((E585 = "lookup")=TRUE), ((E585 = "aggregation")=TRUE))</f>
        <v>1</v>
      </c>
      <c r="J585" s="4" t="b">
        <f>H585 &lt;&gt; ""</f>
        <v>1</v>
      </c>
      <c r="K585" s="4">
        <f>COUNTIFS(FieldDisagreements!D2:D50, A585)</f>
        <v>0</v>
      </c>
      <c r="L585" s="4" t="b">
        <f>K585 &gt; 0</f>
        <v>0</v>
      </c>
      <c r="M585" s="3" t="s">
        <v>2418</v>
      </c>
    </row>
    <row r="586">
      <c r="A586" s="3" t="s">
        <v>3350</v>
      </c>
      <c r="B586" s="4" t="str">
        <f>C586 &amp; "." &amp; D586</f>
        <v>KnowledgeFragments.RelianceSurfaceCount</v>
      </c>
      <c r="C586" s="3" t="s">
        <v>1851</v>
      </c>
      <c r="D586" s="3" t="s">
        <v>1164</v>
      </c>
      <c r="E586" s="3" t="s">
        <v>2420</v>
      </c>
      <c r="F586" s="3" t="s">
        <v>2470</v>
      </c>
      <c r="G586" s="3" t="s">
        <v>3351</v>
      </c>
      <c r="H586" s="3" t="s">
        <v>2227</v>
      </c>
      <c r="I586" s="4" t="b">
        <f>OR(((E586 = "calculated")=TRUE), ((E586 = "lookup")=TRUE), ((E586 = "aggregation")=TRUE))</f>
        <v>1</v>
      </c>
      <c r="J586" s="4" t="b">
        <f>H586 &lt;&gt; ""</f>
        <v>1</v>
      </c>
      <c r="K586" s="4">
        <f>COUNTIFS(FieldDisagreements!D2:D50, A586)</f>
        <v>1</v>
      </c>
      <c r="L586" s="4" t="b">
        <f>K586 &gt; 0</f>
        <v>1</v>
      </c>
      <c r="M586" s="3" t="s">
        <v>2418</v>
      </c>
    </row>
    <row r="587">
      <c r="A587" s="3" t="s">
        <v>3352</v>
      </c>
      <c r="B587" s="4" t="str">
        <f>C587 &amp; "." &amp; D587</f>
        <v>KnowledgeFragments.DaysAwaitingMyApproval</v>
      </c>
      <c r="C587" s="3" t="s">
        <v>1851</v>
      </c>
      <c r="D587" s="3" t="s">
        <v>1165</v>
      </c>
      <c r="E587" s="3" t="s">
        <v>2420</v>
      </c>
      <c r="F587" s="3" t="s">
        <v>2470</v>
      </c>
      <c r="G587" s="3" t="s">
        <v>3353</v>
      </c>
      <c r="H587" s="3" t="s">
        <v>2227</v>
      </c>
      <c r="I587" s="4" t="b">
        <f>OR(((E587 = "calculated")=TRUE), ((E587 = "lookup")=TRUE), ((E587 = "aggregation")=TRUE))</f>
        <v>1</v>
      </c>
      <c r="J587" s="4" t="b">
        <f>H587 &lt;&gt; ""</f>
        <v>1</v>
      </c>
      <c r="K587" s="4">
        <f>COUNTIFS(FieldDisagreements!D2:D50, A587)</f>
        <v>0</v>
      </c>
      <c r="L587" s="4" t="b">
        <f>K587 &gt; 0</f>
        <v>0</v>
      </c>
      <c r="M587" s="3" t="s">
        <v>2418</v>
      </c>
    </row>
    <row r="588">
      <c r="A588" s="3" t="s">
        <v>3354</v>
      </c>
      <c r="B588" s="4" t="str">
        <f>C588 &amp; "." &amp; D588</f>
        <v>KnowledgeFragments.IsHighBlastRadiusUnapproved</v>
      </c>
      <c r="C588" s="3" t="s">
        <v>1851</v>
      </c>
      <c r="D588" s="3" t="s">
        <v>1166</v>
      </c>
      <c r="E588" s="3" t="s">
        <v>2420</v>
      </c>
      <c r="F588" s="3" t="s">
        <v>2432</v>
      </c>
      <c r="G588" s="3" t="s">
        <v>3355</v>
      </c>
      <c r="H588" s="3" t="s">
        <v>2227</v>
      </c>
      <c r="I588" s="4" t="b">
        <f>OR(((E588 = "calculated")=TRUE), ((E588 = "lookup")=TRUE), ((E588 = "aggregation")=TRUE))</f>
        <v>1</v>
      </c>
      <c r="J588" s="4" t="b">
        <f>H588 &lt;&gt; ""</f>
        <v>1</v>
      </c>
      <c r="K588" s="4">
        <f>COUNTIFS(FieldDisagreements!D2:D50, A588)</f>
        <v>0</v>
      </c>
      <c r="L588" s="4" t="b">
        <f>K588 &gt; 0</f>
        <v>0</v>
      </c>
      <c r="M588" s="3" t="s">
        <v>2418</v>
      </c>
    </row>
    <row r="589">
      <c r="A589" s="3" t="s">
        <v>3356</v>
      </c>
      <c r="B589" s="4" t="str">
        <f>C589 &amp; "." &amp; D589</f>
        <v>KnowledgeFragments.IsLongUnapproved</v>
      </c>
      <c r="C589" s="3" t="s">
        <v>1851</v>
      </c>
      <c r="D589" s="3" t="s">
        <v>1167</v>
      </c>
      <c r="E589" s="3" t="s">
        <v>2420</v>
      </c>
      <c r="F589" s="3" t="s">
        <v>2432</v>
      </c>
      <c r="G589" s="3" t="s">
        <v>3357</v>
      </c>
      <c r="H589" s="3" t="s">
        <v>2227</v>
      </c>
      <c r="I589" s="4" t="b">
        <f>OR(((E589 = "calculated")=TRUE), ((E589 = "lookup")=TRUE), ((E589 = "aggregation")=TRUE))</f>
        <v>1</v>
      </c>
      <c r="J589" s="4" t="b">
        <f>H589 &lt;&gt; ""</f>
        <v>1</v>
      </c>
      <c r="K589" s="4">
        <f>COUNTIFS(FieldDisagreements!D2:D50, A589)</f>
        <v>0</v>
      </c>
      <c r="L589" s="4" t="b">
        <f>K589 &gt; 0</f>
        <v>0</v>
      </c>
      <c r="M589" s="3" t="s">
        <v>2418</v>
      </c>
    </row>
    <row r="590">
      <c r="A590" s="3" t="s">
        <v>3358</v>
      </c>
      <c r="B590" s="4" t="str">
        <f>C590 &amp; "." &amp; D590</f>
        <v>KnowledgeFragments.UnapprovedLoadBearingVersionKey</v>
      </c>
      <c r="C590" s="3" t="s">
        <v>1851</v>
      </c>
      <c r="D590" s="3" t="s">
        <v>1168</v>
      </c>
      <c r="E590" s="3" t="s">
        <v>2420</v>
      </c>
      <c r="F590" s="3" t="s">
        <v>2417</v>
      </c>
      <c r="G590" s="3" t="s">
        <v>3359</v>
      </c>
      <c r="H590" s="3" t="s">
        <v>2227</v>
      </c>
      <c r="I590" s="4" t="b">
        <f>OR(((E590 = "calculated")=TRUE), ((E590 = "lookup")=TRUE), ((E590 = "aggregation")=TRUE))</f>
        <v>1</v>
      </c>
      <c r="J590" s="4" t="b">
        <f>H590 &lt;&gt; ""</f>
        <v>1</v>
      </c>
      <c r="K590" s="4">
        <f>COUNTIFS(FieldDisagreements!D2:D50, A590)</f>
        <v>0</v>
      </c>
      <c r="L590" s="4" t="b">
        <f>K590 &gt; 0</f>
        <v>0</v>
      </c>
      <c r="M590" s="3" t="s">
        <v>2418</v>
      </c>
    </row>
    <row r="591">
      <c r="A591" s="3" t="s">
        <v>3360</v>
      </c>
      <c r="B591" s="4" t="str">
        <f>C591 &amp; "." &amp; D591</f>
        <v>KnowledgeFragments.OwnerRoleIsVacated</v>
      </c>
      <c r="C591" s="3" t="s">
        <v>1851</v>
      </c>
      <c r="D591" s="3" t="s">
        <v>1169</v>
      </c>
      <c r="E591" s="3" t="s">
        <v>2509</v>
      </c>
      <c r="F591" s="3" t="s">
        <v>2432</v>
      </c>
      <c r="G591" s="3" t="s">
        <v>3361</v>
      </c>
      <c r="H591" s="3" t="s">
        <v>2235</v>
      </c>
      <c r="I591" s="4" t="b">
        <f>OR(((E591 = "calculated")=TRUE), ((E591 = "lookup")=TRUE), ((E591 = "aggregation")=TRUE))</f>
        <v>1</v>
      </c>
      <c r="J591" s="4" t="b">
        <f>H591 &lt;&gt; ""</f>
        <v>1</v>
      </c>
      <c r="K591" s="4">
        <f>COUNTIFS(FieldDisagreements!D2:D50, A591)</f>
        <v>0</v>
      </c>
      <c r="L591" s="4" t="b">
        <f>K591 &gt; 0</f>
        <v>0</v>
      </c>
      <c r="M591" s="3" t="s">
        <v>2418</v>
      </c>
    </row>
    <row r="592">
      <c r="A592" s="3" t="s">
        <v>3362</v>
      </c>
      <c r="B592" s="4" t="str">
        <f>C592 &amp; "." &amp; D592</f>
        <v>KnowledgeFragments.IsOrphanedByRole</v>
      </c>
      <c r="C592" s="3" t="s">
        <v>1851</v>
      </c>
      <c r="D592" s="3" t="s">
        <v>1170</v>
      </c>
      <c r="E592" s="3" t="s">
        <v>2420</v>
      </c>
      <c r="F592" s="3" t="s">
        <v>2432</v>
      </c>
      <c r="G592" s="3" t="s">
        <v>3363</v>
      </c>
      <c r="H592" s="3" t="s">
        <v>2235</v>
      </c>
      <c r="I592" s="4" t="b">
        <f>OR(((E592 = "calculated")=TRUE), ((E592 = "lookup")=TRUE), ((E592 = "aggregation")=TRUE))</f>
        <v>1</v>
      </c>
      <c r="J592" s="4" t="b">
        <f>H592 &lt;&gt; ""</f>
        <v>1</v>
      </c>
      <c r="K592" s="4">
        <f>COUNTIFS(FieldDisagreements!D2:D50, A592)</f>
        <v>0</v>
      </c>
      <c r="L592" s="4" t="b">
        <f>K592 &gt; 0</f>
        <v>0</v>
      </c>
      <c r="M592" s="3" t="s">
        <v>2418</v>
      </c>
    </row>
    <row r="593">
      <c r="A593" s="3" t="s">
        <v>3364</v>
      </c>
      <c r="B593" s="4" t="str">
        <f>C593 &amp; "." &amp; D593</f>
        <v>KnowledgeFragments.ValidFragmentVersionKey</v>
      </c>
      <c r="C593" s="3" t="s">
        <v>1851</v>
      </c>
      <c r="D593" s="3" t="s">
        <v>1171</v>
      </c>
      <c r="E593" s="3" t="s">
        <v>2420</v>
      </c>
      <c r="F593" s="3" t="s">
        <v>2417</v>
      </c>
      <c r="G593" s="3" t="s">
        <v>3365</v>
      </c>
      <c r="H593" s="3" t="s">
        <v>2247</v>
      </c>
      <c r="I593" s="4" t="b">
        <f>OR(((E593 = "calculated")=TRUE), ((E593 = "lookup")=TRUE), ((E593 = "aggregation")=TRUE))</f>
        <v>1</v>
      </c>
      <c r="J593" s="4" t="b">
        <f>H593 &lt;&gt; ""</f>
        <v>1</v>
      </c>
      <c r="K593" s="4">
        <f>COUNTIFS(FieldDisagreements!D2:D50, A593)</f>
        <v>0</v>
      </c>
      <c r="L593" s="4" t="b">
        <f>K593 &gt; 0</f>
        <v>0</v>
      </c>
      <c r="M593" s="3" t="s">
        <v>2418</v>
      </c>
    </row>
    <row r="594">
      <c r="A594" s="3" t="s">
        <v>3366</v>
      </c>
      <c r="B594" s="4" t="str">
        <f>C594 &amp; "." &amp; D594</f>
        <v>KnowledgeFragments.SemanticTypeIri</v>
      </c>
      <c r="C594" s="3" t="s">
        <v>1851</v>
      </c>
      <c r="D594" s="3" t="s">
        <v>94</v>
      </c>
      <c r="E594" s="3" t="s">
        <v>2416</v>
      </c>
      <c r="F594" s="3" t="s">
        <v>2417</v>
      </c>
      <c r="G594" s="3"/>
      <c r="H594" s="3"/>
      <c r="I594" s="4" t="b">
        <f>OR(((E594 = "calculated")=TRUE), ((E594 = "lookup")=TRUE), ((E594 = "aggregation")=TRUE))</f>
        <v>0</v>
      </c>
      <c r="J594" s="4" t="b">
        <f>H594 &lt;&gt; ""</f>
        <v>0</v>
      </c>
      <c r="K594" s="4">
        <f>COUNTIFS(FieldDisagreements!D2:D50, A594)</f>
        <v>0</v>
      </c>
      <c r="L594" s="4" t="b">
        <f>K594 &gt; 0</f>
        <v>0</v>
      </c>
      <c r="M594" s="3" t="s">
        <v>2418</v>
      </c>
    </row>
    <row r="595">
      <c r="A595" s="3" t="s">
        <v>3367</v>
      </c>
      <c r="B595" s="4" t="str">
        <f>C595 &amp; "." &amp; D595</f>
        <v>KnowledgeGaps.KnowledgeGapId</v>
      </c>
      <c r="C595" s="3" t="s">
        <v>3368</v>
      </c>
      <c r="D595" s="3" t="s">
        <v>1194</v>
      </c>
      <c r="E595" s="3" t="s">
        <v>2416</v>
      </c>
      <c r="F595" s="3" t="s">
        <v>2417</v>
      </c>
      <c r="G595" s="3"/>
      <c r="H595" s="3"/>
      <c r="I595" s="4" t="b">
        <f>OR(((E595 = "calculated")=TRUE), ((E595 = "lookup")=TRUE), ((E595 = "aggregation")=TRUE))</f>
        <v>0</v>
      </c>
      <c r="J595" s="4" t="b">
        <f>H595 &lt;&gt; ""</f>
        <v>0</v>
      </c>
      <c r="K595" s="4">
        <f>COUNTIFS(FieldDisagreements!D2:D50, A595)</f>
        <v>0</v>
      </c>
      <c r="L595" s="4" t="b">
        <f>K595 &gt; 0</f>
        <v>0</v>
      </c>
      <c r="M595" s="3" t="s">
        <v>2418</v>
      </c>
    </row>
    <row r="596">
      <c r="A596" s="3" t="s">
        <v>3369</v>
      </c>
      <c r="B596" s="4" t="str">
        <f>C596 &amp; "." &amp; D596</f>
        <v>KnowledgeGaps.Name</v>
      </c>
      <c r="C596" s="3" t="s">
        <v>3368</v>
      </c>
      <c r="D596" s="3" t="s">
        <v>1</v>
      </c>
      <c r="E596" s="3" t="s">
        <v>2420</v>
      </c>
      <c r="F596" s="3" t="s">
        <v>2417</v>
      </c>
      <c r="G596" s="3" t="s">
        <v>3370</v>
      </c>
      <c r="H596" s="3"/>
      <c r="I596" s="4" t="b">
        <f>OR(((E596 = "calculated")=TRUE), ((E596 = "lookup")=TRUE), ((E596 = "aggregation")=TRUE))</f>
        <v>1</v>
      </c>
      <c r="J596" s="4" t="b">
        <f>H596 &lt;&gt; ""</f>
        <v>0</v>
      </c>
      <c r="K596" s="4">
        <f>COUNTIFS(FieldDisagreements!D2:D50, A596)</f>
        <v>0</v>
      </c>
      <c r="L596" s="4" t="b">
        <f>K596 &gt; 0</f>
        <v>0</v>
      </c>
      <c r="M596" s="3" t="s">
        <v>2418</v>
      </c>
    </row>
    <row r="597">
      <c r="A597" s="3" t="s">
        <v>3371</v>
      </c>
      <c r="B597" s="4" t="str">
        <f>C597 &amp; "." &amp; D597</f>
        <v>KnowledgeGaps.ProcedureVersion</v>
      </c>
      <c r="C597" s="3" t="s">
        <v>3368</v>
      </c>
      <c r="D597" s="3" t="s">
        <v>478</v>
      </c>
      <c r="E597" s="3" t="s">
        <v>2465</v>
      </c>
      <c r="F597" s="3" t="s">
        <v>2417</v>
      </c>
      <c r="G597" s="3"/>
      <c r="H597" s="3"/>
      <c r="I597" s="4" t="b">
        <f>OR(((E597 = "calculated")=TRUE), ((E597 = "lookup")=TRUE), ((E597 = "aggregation")=TRUE))</f>
        <v>0</v>
      </c>
      <c r="J597" s="4" t="b">
        <f>H597 &lt;&gt; ""</f>
        <v>0</v>
      </c>
      <c r="K597" s="4">
        <f>COUNTIFS(FieldDisagreements!D2:D50, A597)</f>
        <v>0</v>
      </c>
      <c r="L597" s="4" t="b">
        <f>K597 &gt; 0</f>
        <v>0</v>
      </c>
      <c r="M597" s="3" t="s">
        <v>2418</v>
      </c>
    </row>
    <row r="598">
      <c r="A598" s="3" t="s">
        <v>3372</v>
      </c>
      <c r="B598" s="4" t="str">
        <f>C598 &amp; "." &amp; D598</f>
        <v>KnowledgeGaps.Step</v>
      </c>
      <c r="C598" s="3" t="s">
        <v>3368</v>
      </c>
      <c r="D598" s="3" t="s">
        <v>767</v>
      </c>
      <c r="E598" s="3" t="s">
        <v>2465</v>
      </c>
      <c r="F598" s="3" t="s">
        <v>2417</v>
      </c>
      <c r="G598" s="3"/>
      <c r="H598" s="3"/>
      <c r="I598" s="4" t="b">
        <f>OR(((E598 = "calculated")=TRUE), ((E598 = "lookup")=TRUE), ((E598 = "aggregation")=TRUE))</f>
        <v>0</v>
      </c>
      <c r="J598" s="4" t="b">
        <f>H598 &lt;&gt; ""</f>
        <v>0</v>
      </c>
      <c r="K598" s="4">
        <f>COUNTIFS(FieldDisagreements!D2:D50, A598)</f>
        <v>0</v>
      </c>
      <c r="L598" s="4" t="b">
        <f>K598 &gt; 0</f>
        <v>0</v>
      </c>
      <c r="M598" s="3" t="s">
        <v>2418</v>
      </c>
    </row>
    <row r="599">
      <c r="A599" s="3" t="s">
        <v>3373</v>
      </c>
      <c r="B599" s="4" t="str">
        <f>C599 &amp; "." &amp; D599</f>
        <v>KnowledgeGaps.Statement</v>
      </c>
      <c r="C599" s="3" t="s">
        <v>3368</v>
      </c>
      <c r="D599" s="3" t="s">
        <v>802</v>
      </c>
      <c r="E599" s="3" t="s">
        <v>2416</v>
      </c>
      <c r="F599" s="3" t="s">
        <v>2417</v>
      </c>
      <c r="G599" s="3"/>
      <c r="H599" s="3"/>
      <c r="I599" s="4" t="b">
        <f>OR(((E599 = "calculated")=TRUE), ((E599 = "lookup")=TRUE), ((E599 = "aggregation")=TRUE))</f>
        <v>0</v>
      </c>
      <c r="J599" s="4" t="b">
        <f>H599 &lt;&gt; ""</f>
        <v>0</v>
      </c>
      <c r="K599" s="4">
        <f>COUNTIFS(FieldDisagreements!D2:D50, A599)</f>
        <v>0</v>
      </c>
      <c r="L599" s="4" t="b">
        <f>K599 &gt; 0</f>
        <v>0</v>
      </c>
      <c r="M599" s="3" t="s">
        <v>2418</v>
      </c>
    </row>
    <row r="600">
      <c r="A600" s="3" t="s">
        <v>3374</v>
      </c>
      <c r="B600" s="4" t="str">
        <f>C600 &amp; "." &amp; D600</f>
        <v>KnowledgeGaps.Severity</v>
      </c>
      <c r="C600" s="3" t="s">
        <v>3368</v>
      </c>
      <c r="D600" s="3" t="s">
        <v>1195</v>
      </c>
      <c r="E600" s="3" t="s">
        <v>2416</v>
      </c>
      <c r="F600" s="3" t="s">
        <v>2417</v>
      </c>
      <c r="G600" s="3"/>
      <c r="H600" s="3"/>
      <c r="I600" s="4" t="b">
        <f>OR(((E600 = "calculated")=TRUE), ((E600 = "lookup")=TRUE), ((E600 = "aggregation")=TRUE))</f>
        <v>0</v>
      </c>
      <c r="J600" s="4" t="b">
        <f>H600 &lt;&gt; ""</f>
        <v>0</v>
      </c>
      <c r="K600" s="4">
        <f>COUNTIFS(FieldDisagreements!D2:D50, A600)</f>
        <v>0</v>
      </c>
      <c r="L600" s="4" t="b">
        <f>K600 &gt; 0</f>
        <v>0</v>
      </c>
      <c r="M600" s="3" t="s">
        <v>2418</v>
      </c>
    </row>
    <row r="601">
      <c r="A601" s="3" t="s">
        <v>3375</v>
      </c>
      <c r="B601" s="4" t="str">
        <f>C601 &amp; "." &amp; D601</f>
        <v>KnowledgeGaps.BlockingKind</v>
      </c>
      <c r="C601" s="3" t="s">
        <v>3368</v>
      </c>
      <c r="D601" s="3" t="s">
        <v>1196</v>
      </c>
      <c r="E601" s="3" t="s">
        <v>2416</v>
      </c>
      <c r="F601" s="3" t="s">
        <v>2417</v>
      </c>
      <c r="G601" s="3"/>
      <c r="H601" s="3"/>
      <c r="I601" s="4" t="b">
        <f>OR(((E601 = "calculated")=TRUE), ((E601 = "lookup")=TRUE), ((E601 = "aggregation")=TRUE))</f>
        <v>0</v>
      </c>
      <c r="J601" s="4" t="b">
        <f>H601 &lt;&gt; ""</f>
        <v>0</v>
      </c>
      <c r="K601" s="4">
        <f>COUNTIFS(FieldDisagreements!D2:D50, A601)</f>
        <v>0</v>
      </c>
      <c r="L601" s="4" t="b">
        <f>K601 &gt; 0</f>
        <v>0</v>
      </c>
      <c r="M601" s="3" t="s">
        <v>2418</v>
      </c>
    </row>
    <row r="602">
      <c r="A602" s="3" t="s">
        <v>3376</v>
      </c>
      <c r="B602" s="4" t="str">
        <f>C602 &amp; "." &amp; D602</f>
        <v>KnowledgeGaps.Status</v>
      </c>
      <c r="C602" s="3" t="s">
        <v>3368</v>
      </c>
      <c r="D602" s="3" t="s">
        <v>8</v>
      </c>
      <c r="E602" s="3" t="s">
        <v>2416</v>
      </c>
      <c r="F602" s="3" t="s">
        <v>2417</v>
      </c>
      <c r="G602" s="3"/>
      <c r="H602" s="3"/>
      <c r="I602" s="4" t="b">
        <f>OR(((E602 = "calculated")=TRUE), ((E602 = "lookup")=TRUE), ((E602 = "aggregation")=TRUE))</f>
        <v>0</v>
      </c>
      <c r="J602" s="4" t="b">
        <f>H602 &lt;&gt; ""</f>
        <v>0</v>
      </c>
      <c r="K602" s="4">
        <f>COUNTIFS(FieldDisagreements!D2:D50, A602)</f>
        <v>0</v>
      </c>
      <c r="L602" s="4" t="b">
        <f>K602 &gt; 0</f>
        <v>0</v>
      </c>
      <c r="M602" s="3" t="s">
        <v>2418</v>
      </c>
    </row>
    <row r="603">
      <c r="A603" s="3" t="s">
        <v>3377</v>
      </c>
      <c r="B603" s="4" t="str">
        <f>C603 &amp; "." &amp; D603</f>
        <v>KnowledgeGaps.OwnerRole</v>
      </c>
      <c r="C603" s="3" t="s">
        <v>3368</v>
      </c>
      <c r="D603" s="3" t="s">
        <v>1108</v>
      </c>
      <c r="E603" s="3" t="s">
        <v>2465</v>
      </c>
      <c r="F603" s="3" t="s">
        <v>2417</v>
      </c>
      <c r="G603" s="3"/>
      <c r="H603" s="3"/>
      <c r="I603" s="4" t="b">
        <f>OR(((E603 = "calculated")=TRUE), ((E603 = "lookup")=TRUE), ((E603 = "aggregation")=TRUE))</f>
        <v>0</v>
      </c>
      <c r="J603" s="4" t="b">
        <f>H603 &lt;&gt; ""</f>
        <v>0</v>
      </c>
      <c r="K603" s="4">
        <f>COUNTIFS(FieldDisagreements!D2:D50, A603)</f>
        <v>0</v>
      </c>
      <c r="L603" s="4" t="b">
        <f>K603 &gt; 0</f>
        <v>0</v>
      </c>
      <c r="M603" s="3" t="s">
        <v>2418</v>
      </c>
    </row>
    <row r="604">
      <c r="A604" s="3" t="s">
        <v>3378</v>
      </c>
      <c r="B604" s="4" t="str">
        <f>C604 &amp; "." &amp; D604</f>
        <v>KnowledgeGaps.IdentifiedAt</v>
      </c>
      <c r="C604" s="3" t="s">
        <v>3368</v>
      </c>
      <c r="D604" s="3" t="s">
        <v>1197</v>
      </c>
      <c r="E604" s="3" t="s">
        <v>2416</v>
      </c>
      <c r="F604" s="3" t="s">
        <v>2428</v>
      </c>
      <c r="G604" s="3"/>
      <c r="H604" s="3"/>
      <c r="I604" s="4" t="b">
        <f>OR(((E604 = "calculated")=TRUE), ((E604 = "lookup")=TRUE), ((E604 = "aggregation")=TRUE))</f>
        <v>0</v>
      </c>
      <c r="J604" s="4" t="b">
        <f>H604 &lt;&gt; ""</f>
        <v>0</v>
      </c>
      <c r="K604" s="4">
        <f>COUNTIFS(FieldDisagreements!D2:D50, A604)</f>
        <v>0</v>
      </c>
      <c r="L604" s="4" t="b">
        <f>K604 &gt; 0</f>
        <v>0</v>
      </c>
      <c r="M604" s="3" t="s">
        <v>2418</v>
      </c>
    </row>
    <row r="605">
      <c r="A605" s="3" t="s">
        <v>3379</v>
      </c>
      <c r="B605" s="4" t="str">
        <f>C605 &amp; "." &amp; D605</f>
        <v>KnowledgeGaps.ResolutionPlan</v>
      </c>
      <c r="C605" s="3" t="s">
        <v>3368</v>
      </c>
      <c r="D605" s="3" t="s">
        <v>1198</v>
      </c>
      <c r="E605" s="3" t="s">
        <v>2416</v>
      </c>
      <c r="F605" s="3" t="s">
        <v>2417</v>
      </c>
      <c r="G605" s="3"/>
      <c r="H605" s="3"/>
      <c r="I605" s="4" t="b">
        <f>OR(((E605 = "calculated")=TRUE), ((E605 = "lookup")=TRUE), ((E605 = "aggregation")=TRUE))</f>
        <v>0</v>
      </c>
      <c r="J605" s="4" t="b">
        <f>H605 &lt;&gt; ""</f>
        <v>0</v>
      </c>
      <c r="K605" s="4">
        <f>COUNTIFS(FieldDisagreements!D2:D50, A605)</f>
        <v>0</v>
      </c>
      <c r="L605" s="4" t="b">
        <f>K605 &gt; 0</f>
        <v>0</v>
      </c>
      <c r="M605" s="3" t="s">
        <v>2418</v>
      </c>
    </row>
    <row r="606">
      <c r="A606" s="3" t="s">
        <v>3380</v>
      </c>
      <c r="B606" s="4" t="str">
        <f>C606 &amp; "." &amp; D606</f>
        <v>KnowledgeGaps.IsOpen</v>
      </c>
      <c r="C606" s="3" t="s">
        <v>3368</v>
      </c>
      <c r="D606" s="3" t="s">
        <v>1199</v>
      </c>
      <c r="E606" s="3" t="s">
        <v>2420</v>
      </c>
      <c r="F606" s="3" t="s">
        <v>2432</v>
      </c>
      <c r="G606" s="3" t="s">
        <v>3381</v>
      </c>
      <c r="H606" s="3"/>
      <c r="I606" s="4" t="b">
        <f>OR(((E606 = "calculated")=TRUE), ((E606 = "lookup")=TRUE), ((E606 = "aggregation")=TRUE))</f>
        <v>1</v>
      </c>
      <c r="J606" s="4" t="b">
        <f>H606 &lt;&gt; ""</f>
        <v>0</v>
      </c>
      <c r="K606" s="4">
        <f>COUNTIFS(FieldDisagreements!D2:D50, A606)</f>
        <v>0</v>
      </c>
      <c r="L606" s="4" t="b">
        <f>K606 &gt; 0</f>
        <v>0</v>
      </c>
      <c r="M606" s="3" t="s">
        <v>2418</v>
      </c>
    </row>
    <row r="607">
      <c r="A607" s="3" t="s">
        <v>3382</v>
      </c>
      <c r="B607" s="4" t="str">
        <f>C607 &amp; "." &amp; D607</f>
        <v>KnowledgeGaps.OpenGapVersionKey</v>
      </c>
      <c r="C607" s="3" t="s">
        <v>3368</v>
      </c>
      <c r="D607" s="3" t="s">
        <v>1200</v>
      </c>
      <c r="E607" s="3" t="s">
        <v>2420</v>
      </c>
      <c r="F607" s="3" t="s">
        <v>2417</v>
      </c>
      <c r="G607" s="3" t="s">
        <v>3383</v>
      </c>
      <c r="H607" s="3" t="s">
        <v>2003</v>
      </c>
      <c r="I607" s="4" t="b">
        <f>OR(((E607 = "calculated")=TRUE), ((E607 = "lookup")=TRUE), ((E607 = "aggregation")=TRUE))</f>
        <v>1</v>
      </c>
      <c r="J607" s="4" t="b">
        <f>H607 &lt;&gt; ""</f>
        <v>1</v>
      </c>
      <c r="K607" s="4">
        <f>COUNTIFS(FieldDisagreements!D2:D50, A607)</f>
        <v>0</v>
      </c>
      <c r="L607" s="4" t="b">
        <f>K607 &gt; 0</f>
        <v>0</v>
      </c>
      <c r="M607" s="3" t="s">
        <v>2418</v>
      </c>
    </row>
    <row r="608">
      <c r="A608" s="3" t="s">
        <v>3384</v>
      </c>
      <c r="B608" s="4" t="str">
        <f>C608 &amp; "." &amp; D608</f>
        <v>KnowledgeGaps.IsBlocking</v>
      </c>
      <c r="C608" s="3" t="s">
        <v>3368</v>
      </c>
      <c r="D608" s="3" t="s">
        <v>803</v>
      </c>
      <c r="E608" s="3" t="s">
        <v>2420</v>
      </c>
      <c r="F608" s="3" t="s">
        <v>2432</v>
      </c>
      <c r="G608" s="3" t="s">
        <v>3385</v>
      </c>
      <c r="H608" s="3" t="s">
        <v>2031</v>
      </c>
      <c r="I608" s="4" t="b">
        <f>OR(((E608 = "calculated")=TRUE), ((E608 = "lookup")=TRUE), ((E608 = "aggregation")=TRUE))</f>
        <v>1</v>
      </c>
      <c r="J608" s="4" t="b">
        <f>H608 &lt;&gt; ""</f>
        <v>1</v>
      </c>
      <c r="K608" s="4">
        <f>COUNTIFS(FieldDisagreements!D2:D50, A608)</f>
        <v>0</v>
      </c>
      <c r="L608" s="4" t="b">
        <f>K608 &gt; 0</f>
        <v>0</v>
      </c>
      <c r="M608" s="3" t="s">
        <v>2418</v>
      </c>
    </row>
    <row r="609">
      <c r="A609" s="3" t="s">
        <v>3386</v>
      </c>
      <c r="B609" s="4" t="str">
        <f>C609 &amp; "." &amp; D609</f>
        <v>KnowledgeGaps.IsOpenAndBlocking</v>
      </c>
      <c r="C609" s="3" t="s">
        <v>3368</v>
      </c>
      <c r="D609" s="3" t="s">
        <v>1201</v>
      </c>
      <c r="E609" s="3" t="s">
        <v>2420</v>
      </c>
      <c r="F609" s="3" t="s">
        <v>2432</v>
      </c>
      <c r="G609" s="3" t="s">
        <v>3387</v>
      </c>
      <c r="H609" s="3" t="s">
        <v>2031</v>
      </c>
      <c r="I609" s="4" t="b">
        <f>OR(((E609 = "calculated")=TRUE), ((E609 = "lookup")=TRUE), ((E609 = "aggregation")=TRUE))</f>
        <v>1</v>
      </c>
      <c r="J609" s="4" t="b">
        <f>H609 &lt;&gt; ""</f>
        <v>1</v>
      </c>
      <c r="K609" s="4">
        <f>COUNTIFS(FieldDisagreements!D2:D50, A609)</f>
        <v>0</v>
      </c>
      <c r="L609" s="4" t="b">
        <f>K609 &gt; 0</f>
        <v>0</v>
      </c>
      <c r="M609" s="3" t="s">
        <v>2418</v>
      </c>
    </row>
    <row r="610">
      <c r="A610" s="3" t="s">
        <v>3388</v>
      </c>
      <c r="B610" s="4" t="str">
        <f>C610 &amp; "." &amp; D610</f>
        <v>KnowledgeGaps.EvaluationContext</v>
      </c>
      <c r="C610" s="3" t="s">
        <v>3368</v>
      </c>
      <c r="D610" s="3" t="s">
        <v>258</v>
      </c>
      <c r="E610" s="3" t="s">
        <v>2465</v>
      </c>
      <c r="F610" s="3" t="s">
        <v>2417</v>
      </c>
      <c r="G610" s="3"/>
      <c r="H610" s="3"/>
      <c r="I610" s="4" t="b">
        <f>OR(((E610 = "calculated")=TRUE), ((E610 = "lookup")=TRUE), ((E610 = "aggregation")=TRUE))</f>
        <v>0</v>
      </c>
      <c r="J610" s="4" t="b">
        <f>H610 &lt;&gt; ""</f>
        <v>0</v>
      </c>
      <c r="K610" s="4">
        <f>COUNTIFS(FieldDisagreements!D2:D50, A610)</f>
        <v>0</v>
      </c>
      <c r="L610" s="4" t="b">
        <f>K610 &gt; 0</f>
        <v>0</v>
      </c>
      <c r="M610" s="3" t="s">
        <v>2418</v>
      </c>
    </row>
    <row r="611">
      <c r="A611" s="3" t="s">
        <v>3389</v>
      </c>
      <c r="B611" s="4" t="str">
        <f>C611 &amp; "." &amp; D611</f>
        <v>KnowledgeGaps.AsOfInstant</v>
      </c>
      <c r="C611" s="3" t="s">
        <v>3368</v>
      </c>
      <c r="D611" s="3" t="s">
        <v>92</v>
      </c>
      <c r="E611" s="3" t="s">
        <v>2509</v>
      </c>
      <c r="F611" s="3" t="s">
        <v>2428</v>
      </c>
      <c r="G611" s="3" t="s">
        <v>2555</v>
      </c>
      <c r="H611" s="3"/>
      <c r="I611" s="4" t="b">
        <f>OR(((E611 = "calculated")=TRUE), ((E611 = "lookup")=TRUE), ((E611 = "aggregation")=TRUE))</f>
        <v>1</v>
      </c>
      <c r="J611" s="4" t="b">
        <f>H611 &lt;&gt; ""</f>
        <v>0</v>
      </c>
      <c r="K611" s="4">
        <f>COUNTIFS(FieldDisagreements!D2:D50, A611)</f>
        <v>0</v>
      </c>
      <c r="L611" s="4" t="b">
        <f>K611 &gt; 0</f>
        <v>0</v>
      </c>
      <c r="M611" s="3" t="s">
        <v>2418</v>
      </c>
    </row>
    <row r="612">
      <c r="A612" s="3" t="s">
        <v>3390</v>
      </c>
      <c r="B612" s="4" t="str">
        <f>C612 &amp; "." &amp; D612</f>
        <v>KnowledgeGaps.DaysOpen</v>
      </c>
      <c r="C612" s="3" t="s">
        <v>3368</v>
      </c>
      <c r="D612" s="3" t="s">
        <v>1202</v>
      </c>
      <c r="E612" s="3" t="s">
        <v>2420</v>
      </c>
      <c r="F612" s="3" t="s">
        <v>2470</v>
      </c>
      <c r="G612" s="3" t="s">
        <v>3391</v>
      </c>
      <c r="H612" s="3" t="s">
        <v>2051</v>
      </c>
      <c r="I612" s="4" t="b">
        <f>OR(((E612 = "calculated")=TRUE), ((E612 = "lookup")=TRUE), ((E612 = "aggregation")=TRUE))</f>
        <v>1</v>
      </c>
      <c r="J612" s="4" t="b">
        <f>H612 &lt;&gt; ""</f>
        <v>1</v>
      </c>
      <c r="K612" s="4">
        <f>COUNTIFS(FieldDisagreements!D2:D50, A612)</f>
        <v>0</v>
      </c>
      <c r="L612" s="4" t="b">
        <f>K612 &gt; 0</f>
        <v>0</v>
      </c>
      <c r="M612" s="3" t="s">
        <v>2418</v>
      </c>
    </row>
    <row r="613">
      <c r="A613" s="3" t="s">
        <v>3392</v>
      </c>
      <c r="B613" s="4" t="str">
        <f>C613 &amp; "." &amp; D613</f>
        <v>KnowledgeGaps.ToleranceDays</v>
      </c>
      <c r="C613" s="3" t="s">
        <v>3368</v>
      </c>
      <c r="D613" s="3" t="s">
        <v>1203</v>
      </c>
      <c r="E613" s="3" t="s">
        <v>2420</v>
      </c>
      <c r="F613" s="3" t="s">
        <v>2470</v>
      </c>
      <c r="G613" s="3" t="s">
        <v>3393</v>
      </c>
      <c r="H613" s="3" t="s">
        <v>2051</v>
      </c>
      <c r="I613" s="4" t="b">
        <f>OR(((E613 = "calculated")=TRUE), ((E613 = "lookup")=TRUE), ((E613 = "aggregation")=TRUE))</f>
        <v>1</v>
      </c>
      <c r="J613" s="4" t="b">
        <f>H613 &lt;&gt; ""</f>
        <v>1</v>
      </c>
      <c r="K613" s="4">
        <f>COUNTIFS(FieldDisagreements!D2:D50, A613)</f>
        <v>0</v>
      </c>
      <c r="L613" s="4" t="b">
        <f>K613 &gt; 0</f>
        <v>0</v>
      </c>
      <c r="M613" s="3" t="s">
        <v>2418</v>
      </c>
    </row>
    <row r="614">
      <c r="A614" s="3" t="s">
        <v>3394</v>
      </c>
      <c r="B614" s="4" t="str">
        <f>C614 &amp; "." &amp; D614</f>
        <v>KnowledgeGaps.IsOverdueGap</v>
      </c>
      <c r="C614" s="3" t="s">
        <v>3368</v>
      </c>
      <c r="D614" s="3" t="s">
        <v>1204</v>
      </c>
      <c r="E614" s="3" t="s">
        <v>2420</v>
      </c>
      <c r="F614" s="3" t="s">
        <v>2432</v>
      </c>
      <c r="G614" s="3" t="s">
        <v>3395</v>
      </c>
      <c r="H614" s="3" t="s">
        <v>2051</v>
      </c>
      <c r="I614" s="4" t="b">
        <f>OR(((E614 = "calculated")=TRUE), ((E614 = "lookup")=TRUE), ((E614 = "aggregation")=TRUE))</f>
        <v>1</v>
      </c>
      <c r="J614" s="4" t="b">
        <f>H614 &lt;&gt; ""</f>
        <v>1</v>
      </c>
      <c r="K614" s="4">
        <f>COUNTIFS(FieldDisagreements!D2:D50, A614)</f>
        <v>0</v>
      </c>
      <c r="L614" s="4" t="b">
        <f>K614 &gt; 0</f>
        <v>0</v>
      </c>
      <c r="M614" s="3" t="s">
        <v>2418</v>
      </c>
    </row>
    <row r="615">
      <c r="A615" s="3" t="s">
        <v>3396</v>
      </c>
      <c r="B615" s="4" t="str">
        <f>C615 &amp; "." &amp; D615</f>
        <v>KnowledgeGaps.OwnerAgent</v>
      </c>
      <c r="C615" s="3" t="s">
        <v>3368</v>
      </c>
      <c r="D615" s="3" t="s">
        <v>1125</v>
      </c>
      <c r="E615" s="3" t="s">
        <v>2509</v>
      </c>
      <c r="F615" s="3" t="s">
        <v>2417</v>
      </c>
      <c r="G615" s="3" t="s">
        <v>3275</v>
      </c>
      <c r="H615" s="3" t="s">
        <v>2051</v>
      </c>
      <c r="I615" s="4" t="b">
        <f>OR(((E615 = "calculated")=TRUE), ((E615 = "lookup")=TRUE), ((E615 = "aggregation")=TRUE))</f>
        <v>1</v>
      </c>
      <c r="J615" s="4" t="b">
        <f>H615 &lt;&gt; ""</f>
        <v>1</v>
      </c>
      <c r="K615" s="4">
        <f>COUNTIFS(FieldDisagreements!D2:D50, A615)</f>
        <v>0</v>
      </c>
      <c r="L615" s="4" t="b">
        <f>K615 &gt; 0</f>
        <v>0</v>
      </c>
      <c r="M615" s="3" t="s">
        <v>2418</v>
      </c>
    </row>
    <row r="616">
      <c r="A616" s="3" t="s">
        <v>3397</v>
      </c>
      <c r="B616" s="4" t="str">
        <f>C616 &amp; "." &amp; D616</f>
        <v>KnowledgeGaps.OwnerIsStillEngaged</v>
      </c>
      <c r="C616" s="3" t="s">
        <v>3368</v>
      </c>
      <c r="D616" s="3" t="s">
        <v>1205</v>
      </c>
      <c r="E616" s="3" t="s">
        <v>2509</v>
      </c>
      <c r="F616" s="3" t="s">
        <v>2432</v>
      </c>
      <c r="G616" s="3" t="s">
        <v>3398</v>
      </c>
      <c r="H616" s="3" t="s">
        <v>2051</v>
      </c>
      <c r="I616" s="4" t="b">
        <f>OR(((E616 = "calculated")=TRUE), ((E616 = "lookup")=TRUE), ((E616 = "aggregation")=TRUE))</f>
        <v>1</v>
      </c>
      <c r="J616" s="4" t="b">
        <f>H616 &lt;&gt; ""</f>
        <v>1</v>
      </c>
      <c r="K616" s="4">
        <f>COUNTIFS(FieldDisagreements!D2:D50, A616)</f>
        <v>0</v>
      </c>
      <c r="L616" s="4" t="b">
        <f>K616 &gt; 0</f>
        <v>0</v>
      </c>
      <c r="M616" s="3" t="s">
        <v>2418</v>
      </c>
    </row>
    <row r="617">
      <c r="A617" s="3" t="s">
        <v>3399</v>
      </c>
      <c r="B617" s="4" t="str">
        <f>C617 &amp; "." &amp; D617</f>
        <v>KnowledgeGaps.HasResolutionPlan</v>
      </c>
      <c r="C617" s="3" t="s">
        <v>3368</v>
      </c>
      <c r="D617" s="3" t="s">
        <v>1206</v>
      </c>
      <c r="E617" s="3" t="s">
        <v>2420</v>
      </c>
      <c r="F617" s="3" t="s">
        <v>2432</v>
      </c>
      <c r="G617" s="3" t="s">
        <v>3400</v>
      </c>
      <c r="H617" s="3" t="s">
        <v>2051</v>
      </c>
      <c r="I617" s="4" t="b">
        <f>OR(((E617 = "calculated")=TRUE), ((E617 = "lookup")=TRUE), ((E617 = "aggregation")=TRUE))</f>
        <v>1</v>
      </c>
      <c r="J617" s="4" t="b">
        <f>H617 &lt;&gt; ""</f>
        <v>1</v>
      </c>
      <c r="K617" s="4">
        <f>COUNTIFS(FieldDisagreements!D2:D50, A617)</f>
        <v>0</v>
      </c>
      <c r="L617" s="4" t="b">
        <f>K617 &gt; 0</f>
        <v>0</v>
      </c>
      <c r="M617" s="3" t="s">
        <v>2418</v>
      </c>
    </row>
    <row r="618">
      <c r="A618" s="3" t="s">
        <v>3401</v>
      </c>
      <c r="B618" s="4" t="str">
        <f>C618 &amp; "." &amp; D618</f>
        <v>KnowledgeGaps.IsAbandonedUnknown</v>
      </c>
      <c r="C618" s="3" t="s">
        <v>3368</v>
      </c>
      <c r="D618" s="3" t="s">
        <v>1207</v>
      </c>
      <c r="E618" s="3" t="s">
        <v>2420</v>
      </c>
      <c r="F618" s="3" t="s">
        <v>2432</v>
      </c>
      <c r="G618" s="3" t="s">
        <v>3402</v>
      </c>
      <c r="H618" s="3" t="s">
        <v>2051</v>
      </c>
      <c r="I618" s="4" t="b">
        <f>OR(((E618 = "calculated")=TRUE), ((E618 = "lookup")=TRUE), ((E618 = "aggregation")=TRUE))</f>
        <v>1</v>
      </c>
      <c r="J618" s="4" t="b">
        <f>H618 &lt;&gt; ""</f>
        <v>1</v>
      </c>
      <c r="K618" s="4">
        <f>COUNTIFS(FieldDisagreements!D2:D50, A618)</f>
        <v>0</v>
      </c>
      <c r="L618" s="4" t="b">
        <f>K618 &gt; 0</f>
        <v>0</v>
      </c>
      <c r="M618" s="3" t="s">
        <v>2418</v>
      </c>
    </row>
    <row r="619">
      <c r="A619" s="3" t="s">
        <v>3403</v>
      </c>
      <c r="B619" s="4" t="str">
        <f>C619 &amp; "." &amp; D619</f>
        <v>KnowledgeGaps.OpenBlockingGapVersionKey</v>
      </c>
      <c r="C619" s="3" t="s">
        <v>3368</v>
      </c>
      <c r="D619" s="3" t="s">
        <v>1208</v>
      </c>
      <c r="E619" s="3" t="s">
        <v>2420</v>
      </c>
      <c r="F619" s="3" t="s">
        <v>2417</v>
      </c>
      <c r="G619" s="3" t="s">
        <v>3404</v>
      </c>
      <c r="H619" s="3" t="s">
        <v>2219</v>
      </c>
      <c r="I619" s="4" t="b">
        <f>OR(((E619 = "calculated")=TRUE), ((E619 = "lookup")=TRUE), ((E619 = "aggregation")=TRUE))</f>
        <v>1</v>
      </c>
      <c r="J619" s="4" t="b">
        <f>H619 &lt;&gt; ""</f>
        <v>1</v>
      </c>
      <c r="K619" s="4">
        <f>COUNTIFS(FieldDisagreements!D2:D50, A619)</f>
        <v>0</v>
      </c>
      <c r="L619" s="4" t="b">
        <f>K619 &gt; 0</f>
        <v>0</v>
      </c>
      <c r="M619" s="3" t="s">
        <v>2418</v>
      </c>
    </row>
    <row r="620">
      <c r="A620" s="3" t="s">
        <v>3405</v>
      </c>
      <c r="B620" s="4" t="str">
        <f>C620 &amp; "." &amp; D620</f>
        <v>KnowledgeGaps.OwnerRoleIsVacated</v>
      </c>
      <c r="C620" s="3" t="s">
        <v>3368</v>
      </c>
      <c r="D620" s="3" t="s">
        <v>1169</v>
      </c>
      <c r="E620" s="3" t="s">
        <v>2509</v>
      </c>
      <c r="F620" s="3" t="s">
        <v>2432</v>
      </c>
      <c r="G620" s="3" t="s">
        <v>3361</v>
      </c>
      <c r="H620" s="3" t="s">
        <v>2235</v>
      </c>
      <c r="I620" s="4" t="b">
        <f>OR(((E620 = "calculated")=TRUE), ((E620 = "lookup")=TRUE), ((E620 = "aggregation")=TRUE))</f>
        <v>1</v>
      </c>
      <c r="J620" s="4" t="b">
        <f>H620 &lt;&gt; ""</f>
        <v>1</v>
      </c>
      <c r="K620" s="4">
        <f>COUNTIFS(FieldDisagreements!D2:D50, A620)</f>
        <v>0</v>
      </c>
      <c r="L620" s="4" t="b">
        <f>K620 &gt; 0</f>
        <v>0</v>
      </c>
      <c r="M620" s="3" t="s">
        <v>2418</v>
      </c>
    </row>
    <row r="621">
      <c r="A621" s="3" t="s">
        <v>3406</v>
      </c>
      <c r="B621" s="4" t="str">
        <f>C621 &amp; "." &amp; D621</f>
        <v>KnowledgeGaps.IsOwnerlessOpenGap</v>
      </c>
      <c r="C621" s="3" t="s">
        <v>3368</v>
      </c>
      <c r="D621" s="3" t="s">
        <v>1209</v>
      </c>
      <c r="E621" s="3" t="s">
        <v>2420</v>
      </c>
      <c r="F621" s="3" t="s">
        <v>2432</v>
      </c>
      <c r="G621" s="3" t="s">
        <v>3407</v>
      </c>
      <c r="H621" s="3" t="s">
        <v>2235</v>
      </c>
      <c r="I621" s="4" t="b">
        <f>OR(((E621 = "calculated")=TRUE), ((E621 = "lookup")=TRUE), ((E621 = "aggregation")=TRUE))</f>
        <v>1</v>
      </c>
      <c r="J621" s="4" t="b">
        <f>H621 &lt;&gt; ""</f>
        <v>1</v>
      </c>
      <c r="K621" s="4">
        <f>COUNTIFS(FieldDisagreements!D2:D50, A621)</f>
        <v>0</v>
      </c>
      <c r="L621" s="4" t="b">
        <f>K621 &gt; 0</f>
        <v>0</v>
      </c>
      <c r="M621" s="3" t="s">
        <v>2418</v>
      </c>
    </row>
    <row r="622">
      <c r="A622" s="3" t="s">
        <v>3408</v>
      </c>
      <c r="B622" s="4" t="str">
        <f>C622 &amp; "." &amp; D622</f>
        <v>KnowledgeGaps.SemanticTypeIri</v>
      </c>
      <c r="C622" s="3" t="s">
        <v>3368</v>
      </c>
      <c r="D622" s="3" t="s">
        <v>94</v>
      </c>
      <c r="E622" s="3" t="s">
        <v>2416</v>
      </c>
      <c r="F622" s="3" t="s">
        <v>2417</v>
      </c>
      <c r="G622" s="3"/>
      <c r="H622" s="3"/>
      <c r="I622" s="4" t="b">
        <f>OR(((E622 = "calculated")=TRUE), ((E622 = "lookup")=TRUE), ((E622 = "aggregation")=TRUE))</f>
        <v>0</v>
      </c>
      <c r="J622" s="4" t="b">
        <f>H622 &lt;&gt; ""</f>
        <v>0</v>
      </c>
      <c r="K622" s="4">
        <f>COUNTIFS(FieldDisagreements!D2:D50, A622)</f>
        <v>0</v>
      </c>
      <c r="L622" s="4" t="b">
        <f>K622 &gt; 0</f>
        <v>0</v>
      </c>
      <c r="M622" s="3" t="s">
        <v>2418</v>
      </c>
    </row>
    <row r="623">
      <c r="A623" s="3" t="s">
        <v>3409</v>
      </c>
      <c r="B623" s="4" t="str">
        <f>C623 &amp; "." &amp; D623</f>
        <v>FAQs.FaqId</v>
      </c>
      <c r="C623" s="3" t="s">
        <v>1845</v>
      </c>
      <c r="D623" s="3" t="s">
        <v>1240</v>
      </c>
      <c r="E623" s="3" t="s">
        <v>2416</v>
      </c>
      <c r="F623" s="3" t="s">
        <v>2417</v>
      </c>
      <c r="G623" s="3"/>
      <c r="H623" s="3"/>
      <c r="I623" s="4" t="b">
        <f>OR(((E623 = "calculated")=TRUE), ((E623 = "lookup")=TRUE), ((E623 = "aggregation")=TRUE))</f>
        <v>0</v>
      </c>
      <c r="J623" s="4" t="b">
        <f>H623 &lt;&gt; ""</f>
        <v>0</v>
      </c>
      <c r="K623" s="4">
        <f>COUNTIFS(FieldDisagreements!D2:D50, A623)</f>
        <v>0</v>
      </c>
      <c r="L623" s="4" t="b">
        <f>K623 &gt; 0</f>
        <v>0</v>
      </c>
      <c r="M623" s="3" t="s">
        <v>2418</v>
      </c>
    </row>
    <row r="624">
      <c r="A624" s="3" t="s">
        <v>3410</v>
      </c>
      <c r="B624" s="4" t="str">
        <f>C624 &amp; "." &amp; D624</f>
        <v>FAQs.Name</v>
      </c>
      <c r="C624" s="3" t="s">
        <v>1845</v>
      </c>
      <c r="D624" s="3" t="s">
        <v>1</v>
      </c>
      <c r="E624" s="3" t="s">
        <v>2420</v>
      </c>
      <c r="F624" s="3" t="s">
        <v>2417</v>
      </c>
      <c r="G624" s="3" t="s">
        <v>3411</v>
      </c>
      <c r="H624" s="3"/>
      <c r="I624" s="4" t="b">
        <f>OR(((E624 = "calculated")=TRUE), ((E624 = "lookup")=TRUE), ((E624 = "aggregation")=TRUE))</f>
        <v>1</v>
      </c>
      <c r="J624" s="4" t="b">
        <f>H624 &lt;&gt; ""</f>
        <v>0</v>
      </c>
      <c r="K624" s="4">
        <f>COUNTIFS(FieldDisagreements!D2:D50, A624)</f>
        <v>1</v>
      </c>
      <c r="L624" s="4" t="b">
        <f>K624 &gt; 0</f>
        <v>1</v>
      </c>
      <c r="M624" s="3" t="s">
        <v>2418</v>
      </c>
    </row>
    <row r="625">
      <c r="A625" s="3" t="s">
        <v>3412</v>
      </c>
      <c r="B625" s="4" t="str">
        <f>C625 &amp; "." &amp; D625</f>
        <v>FAQs.ProcedureVersion</v>
      </c>
      <c r="C625" s="3" t="s">
        <v>1845</v>
      </c>
      <c r="D625" s="3" t="s">
        <v>478</v>
      </c>
      <c r="E625" s="3" t="s">
        <v>2465</v>
      </c>
      <c r="F625" s="3" t="s">
        <v>2417</v>
      </c>
      <c r="G625" s="3"/>
      <c r="H625" s="3"/>
      <c r="I625" s="4" t="b">
        <f>OR(((E625 = "calculated")=TRUE), ((E625 = "lookup")=TRUE), ((E625 = "aggregation")=TRUE))</f>
        <v>0</v>
      </c>
      <c r="J625" s="4" t="b">
        <f>H625 &lt;&gt; ""</f>
        <v>0</v>
      </c>
      <c r="K625" s="4">
        <f>COUNTIFS(FieldDisagreements!D2:D50, A625)</f>
        <v>0</v>
      </c>
      <c r="L625" s="4" t="b">
        <f>K625 &gt; 0</f>
        <v>0</v>
      </c>
      <c r="M625" s="3" t="s">
        <v>2418</v>
      </c>
    </row>
    <row r="626">
      <c r="A626" s="3" t="s">
        <v>3413</v>
      </c>
      <c r="B626" s="4" t="str">
        <f>C626 &amp; "." &amp; D626</f>
        <v>FAQs.Step</v>
      </c>
      <c r="C626" s="3" t="s">
        <v>1845</v>
      </c>
      <c r="D626" s="3" t="s">
        <v>767</v>
      </c>
      <c r="E626" s="3" t="s">
        <v>2465</v>
      </c>
      <c r="F626" s="3" t="s">
        <v>2417</v>
      </c>
      <c r="G626" s="3"/>
      <c r="H626" s="3"/>
      <c r="I626" s="4" t="b">
        <f>OR(((E626 = "calculated")=TRUE), ((E626 = "lookup")=TRUE), ((E626 = "aggregation")=TRUE))</f>
        <v>0</v>
      </c>
      <c r="J626" s="4" t="b">
        <f>H626 &lt;&gt; ""</f>
        <v>0</v>
      </c>
      <c r="K626" s="4">
        <f>COUNTIFS(FieldDisagreements!D2:D50, A626)</f>
        <v>0</v>
      </c>
      <c r="L626" s="4" t="b">
        <f>K626 &gt; 0</f>
        <v>0</v>
      </c>
      <c r="M626" s="3" t="s">
        <v>2418</v>
      </c>
    </row>
    <row r="627">
      <c r="A627" s="3" t="s">
        <v>3414</v>
      </c>
      <c r="B627" s="4" t="str">
        <f>C627 &amp; "." &amp; D627</f>
        <v>FAQs.Category</v>
      </c>
      <c r="C627" s="3" t="s">
        <v>1845</v>
      </c>
      <c r="D627" s="3" t="s">
        <v>1241</v>
      </c>
      <c r="E627" s="3" t="s">
        <v>2416</v>
      </c>
      <c r="F627" s="3" t="s">
        <v>2417</v>
      </c>
      <c r="G627" s="3"/>
      <c r="H627" s="3"/>
      <c r="I627" s="4" t="b">
        <f>OR(((E627 = "calculated")=TRUE), ((E627 = "lookup")=TRUE), ((E627 = "aggregation")=TRUE))</f>
        <v>0</v>
      </c>
      <c r="J627" s="4" t="b">
        <f>H627 &lt;&gt; ""</f>
        <v>0</v>
      </c>
      <c r="K627" s="4">
        <f>COUNTIFS(FieldDisagreements!D2:D50, A627)</f>
        <v>0</v>
      </c>
      <c r="L627" s="4" t="b">
        <f>K627 &gt; 0</f>
        <v>0</v>
      </c>
      <c r="M627" s="3" t="s">
        <v>2418</v>
      </c>
    </row>
    <row r="628">
      <c r="A628" s="3" t="s">
        <v>3415</v>
      </c>
      <c r="B628" s="4" t="str">
        <f>C628 &amp; "." &amp; D628</f>
        <v>FAQs.TargetKind</v>
      </c>
      <c r="C628" s="3" t="s">
        <v>1845</v>
      </c>
      <c r="D628" s="3" t="s">
        <v>1242</v>
      </c>
      <c r="E628" s="3" t="s">
        <v>2416</v>
      </c>
      <c r="F628" s="3" t="s">
        <v>2417</v>
      </c>
      <c r="G628" s="3"/>
      <c r="H628" s="3"/>
      <c r="I628" s="4" t="b">
        <f>OR(((E628 = "calculated")=TRUE), ((E628 = "lookup")=TRUE), ((E628 = "aggregation")=TRUE))</f>
        <v>0</v>
      </c>
      <c r="J628" s="4" t="b">
        <f>H628 &lt;&gt; ""</f>
        <v>0</v>
      </c>
      <c r="K628" s="4">
        <f>COUNTIFS(FieldDisagreements!D2:D50, A628)</f>
        <v>0</v>
      </c>
      <c r="L628" s="4" t="b">
        <f>K628 &gt; 0</f>
        <v>0</v>
      </c>
      <c r="M628" s="3" t="s">
        <v>2418</v>
      </c>
    </row>
    <row r="629">
      <c r="A629" s="3" t="s">
        <v>3416</v>
      </c>
      <c r="B629" s="4" t="str">
        <f>C629 &amp; "." &amp; D629</f>
        <v>FAQs.Question</v>
      </c>
      <c r="C629" s="3" t="s">
        <v>1845</v>
      </c>
      <c r="D629" s="3" t="s">
        <v>1243</v>
      </c>
      <c r="E629" s="3" t="s">
        <v>2416</v>
      </c>
      <c r="F629" s="3" t="s">
        <v>2417</v>
      </c>
      <c r="G629" s="3"/>
      <c r="H629" s="3"/>
      <c r="I629" s="4" t="b">
        <f>OR(((E629 = "calculated")=TRUE), ((E629 = "lookup")=TRUE), ((E629 = "aggregation")=TRUE))</f>
        <v>0</v>
      </c>
      <c r="J629" s="4" t="b">
        <f>H629 &lt;&gt; ""</f>
        <v>0</v>
      </c>
      <c r="K629" s="4">
        <f>COUNTIFS(FieldDisagreements!D2:D50, A629)</f>
        <v>0</v>
      </c>
      <c r="L629" s="4" t="b">
        <f>K629 &gt; 0</f>
        <v>0</v>
      </c>
      <c r="M629" s="3" t="s">
        <v>2418</v>
      </c>
    </row>
    <row r="630">
      <c r="A630" s="3" t="s">
        <v>3417</v>
      </c>
      <c r="B630" s="4" t="str">
        <f>C630 &amp; "." &amp; D630</f>
        <v>FAQs.Answer</v>
      </c>
      <c r="C630" s="3" t="s">
        <v>1845</v>
      </c>
      <c r="D630" s="3" t="s">
        <v>1244</v>
      </c>
      <c r="E630" s="3" t="s">
        <v>2416</v>
      </c>
      <c r="F630" s="3" t="s">
        <v>2417</v>
      </c>
      <c r="G630" s="3"/>
      <c r="H630" s="3"/>
      <c r="I630" s="4" t="b">
        <f>OR(((E630 = "calculated")=TRUE), ((E630 = "lookup")=TRUE), ((E630 = "aggregation")=TRUE))</f>
        <v>0</v>
      </c>
      <c r="J630" s="4" t="b">
        <f>H630 &lt;&gt; ""</f>
        <v>0</v>
      </c>
      <c r="K630" s="4">
        <f>COUNTIFS(FieldDisagreements!D2:D50, A630)</f>
        <v>0</v>
      </c>
      <c r="L630" s="4" t="b">
        <f>K630 &gt; 0</f>
        <v>0</v>
      </c>
      <c r="M630" s="3" t="s">
        <v>2418</v>
      </c>
    </row>
    <row r="631">
      <c r="A631" s="3" t="s">
        <v>3418</v>
      </c>
      <c r="B631" s="4" t="str">
        <f>C631 &amp; "." &amp; D631</f>
        <v>FAQs.SemanticTypeIri</v>
      </c>
      <c r="C631" s="3" t="s">
        <v>1845</v>
      </c>
      <c r="D631" s="3" t="s">
        <v>94</v>
      </c>
      <c r="E631" s="3" t="s">
        <v>2416</v>
      </c>
      <c r="F631" s="3" t="s">
        <v>2417</v>
      </c>
      <c r="G631" s="3"/>
      <c r="H631" s="3"/>
      <c r="I631" s="4" t="b">
        <f>OR(((E631 = "calculated")=TRUE), ((E631 = "lookup")=TRUE), ((E631 = "aggregation")=TRUE))</f>
        <v>0</v>
      </c>
      <c r="J631" s="4" t="b">
        <f>H631 &lt;&gt; ""</f>
        <v>0</v>
      </c>
      <c r="K631" s="4">
        <f>COUNTIFS(FieldDisagreements!D2:D50, A631)</f>
        <v>0</v>
      </c>
      <c r="L631" s="4" t="b">
        <f>K631 &gt; 0</f>
        <v>0</v>
      </c>
      <c r="M631" s="3" t="s">
        <v>2418</v>
      </c>
    </row>
    <row r="632">
      <c r="A632" s="3" t="s">
        <v>3419</v>
      </c>
      <c r="B632" s="4" t="str">
        <f>C632 &amp; "." &amp; D632</f>
        <v>Explanations.ExplanationId</v>
      </c>
      <c r="C632" s="3" t="s">
        <v>1848</v>
      </c>
      <c r="D632" s="3" t="s">
        <v>1258</v>
      </c>
      <c r="E632" s="3" t="s">
        <v>2416</v>
      </c>
      <c r="F632" s="3" t="s">
        <v>2417</v>
      </c>
      <c r="G632" s="3"/>
      <c r="H632" s="3"/>
      <c r="I632" s="4" t="b">
        <f>OR(((E632 = "calculated")=TRUE), ((E632 = "lookup")=TRUE), ((E632 = "aggregation")=TRUE))</f>
        <v>0</v>
      </c>
      <c r="J632" s="4" t="b">
        <f>H632 &lt;&gt; ""</f>
        <v>0</v>
      </c>
      <c r="K632" s="4">
        <f>COUNTIFS(FieldDisagreements!D2:D50, A632)</f>
        <v>0</v>
      </c>
      <c r="L632" s="4" t="b">
        <f>K632 &gt; 0</f>
        <v>0</v>
      </c>
      <c r="M632" s="3" t="s">
        <v>2418</v>
      </c>
    </row>
    <row r="633">
      <c r="A633" s="3" t="s">
        <v>3420</v>
      </c>
      <c r="B633" s="4" t="str">
        <f>C633 &amp; "." &amp; D633</f>
        <v>Explanations.Name</v>
      </c>
      <c r="C633" s="3" t="s">
        <v>1848</v>
      </c>
      <c r="D633" s="3" t="s">
        <v>1</v>
      </c>
      <c r="E633" s="3" t="s">
        <v>2420</v>
      </c>
      <c r="F633" s="3" t="s">
        <v>2417</v>
      </c>
      <c r="G633" s="3" t="s">
        <v>2683</v>
      </c>
      <c r="H633" s="3"/>
      <c r="I633" s="4" t="b">
        <f>OR(((E633 = "calculated")=TRUE), ((E633 = "lookup")=TRUE), ((E633 = "aggregation")=TRUE))</f>
        <v>1</v>
      </c>
      <c r="J633" s="4" t="b">
        <f>H633 &lt;&gt; ""</f>
        <v>0</v>
      </c>
      <c r="K633" s="4">
        <f>COUNTIFS(FieldDisagreements!D2:D50, A633)</f>
        <v>0</v>
      </c>
      <c r="L633" s="4" t="b">
        <f>K633 &gt; 0</f>
        <v>0</v>
      </c>
      <c r="M633" s="3" t="s">
        <v>2418</v>
      </c>
    </row>
    <row r="634">
      <c r="A634" s="3" t="s">
        <v>3421</v>
      </c>
      <c r="B634" s="4" t="str">
        <f>C634 &amp; "." &amp; D634</f>
        <v>Explanations.ProcedureVersion</v>
      </c>
      <c r="C634" s="3" t="s">
        <v>1848</v>
      </c>
      <c r="D634" s="3" t="s">
        <v>478</v>
      </c>
      <c r="E634" s="3" t="s">
        <v>2465</v>
      </c>
      <c r="F634" s="3" t="s">
        <v>2417</v>
      </c>
      <c r="G634" s="3"/>
      <c r="H634" s="3"/>
      <c r="I634" s="4" t="b">
        <f>OR(((E634 = "calculated")=TRUE), ((E634 = "lookup")=TRUE), ((E634 = "aggregation")=TRUE))</f>
        <v>0</v>
      </c>
      <c r="J634" s="4" t="b">
        <f>H634 &lt;&gt; ""</f>
        <v>0</v>
      </c>
      <c r="K634" s="4">
        <f>COUNTIFS(FieldDisagreements!D2:D50, A634)</f>
        <v>0</v>
      </c>
      <c r="L634" s="4" t="b">
        <f>K634 &gt; 0</f>
        <v>0</v>
      </c>
      <c r="M634" s="3" t="s">
        <v>2418</v>
      </c>
    </row>
    <row r="635">
      <c r="A635" s="3" t="s">
        <v>3422</v>
      </c>
      <c r="B635" s="4" t="str">
        <f>C635 &amp; "." &amp; D635</f>
        <v>Explanations.Step</v>
      </c>
      <c r="C635" s="3" t="s">
        <v>1848</v>
      </c>
      <c r="D635" s="3" t="s">
        <v>767</v>
      </c>
      <c r="E635" s="3" t="s">
        <v>2465</v>
      </c>
      <c r="F635" s="3" t="s">
        <v>2417</v>
      </c>
      <c r="G635" s="3"/>
      <c r="H635" s="3"/>
      <c r="I635" s="4" t="b">
        <f>OR(((E635 = "calculated")=TRUE), ((E635 = "lookup")=TRUE), ((E635 = "aggregation")=TRUE))</f>
        <v>0</v>
      </c>
      <c r="J635" s="4" t="b">
        <f>H635 &lt;&gt; ""</f>
        <v>0</v>
      </c>
      <c r="K635" s="4">
        <f>COUNTIFS(FieldDisagreements!D2:D50, A635)</f>
        <v>0</v>
      </c>
      <c r="L635" s="4" t="b">
        <f>K635 &gt; 0</f>
        <v>0</v>
      </c>
      <c r="M635" s="3" t="s">
        <v>2418</v>
      </c>
    </row>
    <row r="636">
      <c r="A636" s="3" t="s">
        <v>3423</v>
      </c>
      <c r="B636" s="4" t="str">
        <f>C636 &amp; "." &amp; D636</f>
        <v>Explanations.Title</v>
      </c>
      <c r="C636" s="3" t="s">
        <v>1848</v>
      </c>
      <c r="D636" s="3" t="s">
        <v>358</v>
      </c>
      <c r="E636" s="3" t="s">
        <v>2416</v>
      </c>
      <c r="F636" s="3" t="s">
        <v>2417</v>
      </c>
      <c r="G636" s="3"/>
      <c r="H636" s="3"/>
      <c r="I636" s="4" t="b">
        <f>OR(((E636 = "calculated")=TRUE), ((E636 = "lookup")=TRUE), ((E636 = "aggregation")=TRUE))</f>
        <v>0</v>
      </c>
      <c r="J636" s="4" t="b">
        <f>H636 &lt;&gt; ""</f>
        <v>0</v>
      </c>
      <c r="K636" s="4">
        <f>COUNTIFS(FieldDisagreements!D2:D50, A636)</f>
        <v>0</v>
      </c>
      <c r="L636" s="4" t="b">
        <f>K636 &gt; 0</f>
        <v>0</v>
      </c>
      <c r="M636" s="3" t="s">
        <v>2418</v>
      </c>
    </row>
    <row r="637">
      <c r="A637" s="3" t="s">
        <v>3424</v>
      </c>
      <c r="B637" s="4" t="str">
        <f>C637 &amp; "." &amp; D637</f>
        <v>Explanations.Description</v>
      </c>
      <c r="C637" s="3" t="s">
        <v>1848</v>
      </c>
      <c r="D637" s="3" t="s">
        <v>1023</v>
      </c>
      <c r="E637" s="3" t="s">
        <v>2416</v>
      </c>
      <c r="F637" s="3" t="s">
        <v>2417</v>
      </c>
      <c r="G637" s="3"/>
      <c r="H637" s="3"/>
      <c r="I637" s="4" t="b">
        <f>OR(((E637 = "calculated")=TRUE), ((E637 = "lookup")=TRUE), ((E637 = "aggregation")=TRUE))</f>
        <v>0</v>
      </c>
      <c r="J637" s="4" t="b">
        <f>H637 &lt;&gt; ""</f>
        <v>0</v>
      </c>
      <c r="K637" s="4">
        <f>COUNTIFS(FieldDisagreements!D2:D50, A637)</f>
        <v>0</v>
      </c>
      <c r="L637" s="4" t="b">
        <f>K637 &gt; 0</f>
        <v>0</v>
      </c>
      <c r="M637" s="3" t="s">
        <v>2418</v>
      </c>
    </row>
    <row r="638">
      <c r="A638" s="3" t="s">
        <v>3425</v>
      </c>
      <c r="B638" s="4" t="str">
        <f>C638 &amp; "." &amp; D638</f>
        <v>Explanations.SemanticTypeIri</v>
      </c>
      <c r="C638" s="3" t="s">
        <v>1848</v>
      </c>
      <c r="D638" s="3" t="s">
        <v>94</v>
      </c>
      <c r="E638" s="3" t="s">
        <v>2416</v>
      </c>
      <c r="F638" s="3" t="s">
        <v>2417</v>
      </c>
      <c r="G638" s="3"/>
      <c r="H638" s="3"/>
      <c r="I638" s="4" t="b">
        <f>OR(((E638 = "calculated")=TRUE), ((E638 = "lookup")=TRUE), ((E638 = "aggregation")=TRUE))</f>
        <v>0</v>
      </c>
      <c r="J638" s="4" t="b">
        <f>H638 &lt;&gt; ""</f>
        <v>0</v>
      </c>
      <c r="K638" s="4">
        <f>COUNTIFS(FieldDisagreements!D2:D50, A638)</f>
        <v>0</v>
      </c>
      <c r="L638" s="4" t="b">
        <f>K638 &gt; 0</f>
        <v>0</v>
      </c>
      <c r="M638" s="3" t="s">
        <v>2418</v>
      </c>
    </row>
    <row r="639">
      <c r="A639" s="3" t="s">
        <v>3426</v>
      </c>
      <c r="B639" s="4" t="str">
        <f>C639 &amp; "." &amp; D639</f>
        <v>ProcedureExecutions.ProcedureExecutionId</v>
      </c>
      <c r="C639" s="3" t="s">
        <v>1824</v>
      </c>
      <c r="D639" s="3" t="s">
        <v>1266</v>
      </c>
      <c r="E639" s="3" t="s">
        <v>2416</v>
      </c>
      <c r="F639" s="3" t="s">
        <v>2417</v>
      </c>
      <c r="G639" s="3"/>
      <c r="H639" s="3"/>
      <c r="I639" s="4" t="b">
        <f>OR(((E639 = "calculated")=TRUE), ((E639 = "lookup")=TRUE), ((E639 = "aggregation")=TRUE))</f>
        <v>0</v>
      </c>
      <c r="J639" s="4" t="b">
        <f>H639 &lt;&gt; ""</f>
        <v>0</v>
      </c>
      <c r="K639" s="4">
        <f>COUNTIFS(FieldDisagreements!D2:D50, A639)</f>
        <v>0</v>
      </c>
      <c r="L639" s="4" t="b">
        <f>K639 &gt; 0</f>
        <v>0</v>
      </c>
      <c r="M639" s="3" t="s">
        <v>2418</v>
      </c>
    </row>
    <row r="640">
      <c r="A640" s="3" t="s">
        <v>3427</v>
      </c>
      <c r="B640" s="4" t="str">
        <f>C640 &amp; "." &amp; D640</f>
        <v>ProcedureExecutions.Name</v>
      </c>
      <c r="C640" s="3" t="s">
        <v>1824</v>
      </c>
      <c r="D640" s="3" t="s">
        <v>1</v>
      </c>
      <c r="E640" s="3" t="s">
        <v>2420</v>
      </c>
      <c r="F640" s="3" t="s">
        <v>2417</v>
      </c>
      <c r="G640" s="3" t="s">
        <v>3428</v>
      </c>
      <c r="H640" s="3"/>
      <c r="I640" s="4" t="b">
        <f>OR(((E640 = "calculated")=TRUE), ((E640 = "lookup")=TRUE), ((E640 = "aggregation")=TRUE))</f>
        <v>1</v>
      </c>
      <c r="J640" s="4" t="b">
        <f>H640 &lt;&gt; ""</f>
        <v>0</v>
      </c>
      <c r="K640" s="4">
        <f>COUNTIFS(FieldDisagreements!D2:D50, A640)</f>
        <v>0</v>
      </c>
      <c r="L640" s="4" t="b">
        <f>K640 &gt; 0</f>
        <v>0</v>
      </c>
      <c r="M640" s="3" t="s">
        <v>2418</v>
      </c>
    </row>
    <row r="641">
      <c r="A641" s="3" t="s">
        <v>3429</v>
      </c>
      <c r="B641" s="4" t="str">
        <f>C641 &amp; "." &amp; D641</f>
        <v>ProcedureExecutions.ProcedureVersion</v>
      </c>
      <c r="C641" s="3" t="s">
        <v>1824</v>
      </c>
      <c r="D641" s="3" t="s">
        <v>478</v>
      </c>
      <c r="E641" s="3" t="s">
        <v>2465</v>
      </c>
      <c r="F641" s="3" t="s">
        <v>2417</v>
      </c>
      <c r="G641" s="3"/>
      <c r="H641" s="3"/>
      <c r="I641" s="4" t="b">
        <f>OR(((E641 = "calculated")=TRUE), ((E641 = "lookup")=TRUE), ((E641 = "aggregation")=TRUE))</f>
        <v>0</v>
      </c>
      <c r="J641" s="4" t="b">
        <f>H641 &lt;&gt; ""</f>
        <v>0</v>
      </c>
      <c r="K641" s="4">
        <f>COUNTIFS(FieldDisagreements!D2:D50, A641)</f>
        <v>0</v>
      </c>
      <c r="L641" s="4" t="b">
        <f>K641 &gt; 0</f>
        <v>0</v>
      </c>
      <c r="M641" s="3" t="s">
        <v>2418</v>
      </c>
    </row>
    <row r="642">
      <c r="A642" s="3" t="s">
        <v>3430</v>
      </c>
      <c r="B642" s="4" t="str">
        <f>C642 &amp; "." &amp; D642</f>
        <v>ProcedureExecutions.ExecutionStatus</v>
      </c>
      <c r="C642" s="3" t="s">
        <v>1824</v>
      </c>
      <c r="D642" s="3" t="s">
        <v>1267</v>
      </c>
      <c r="E642" s="3" t="s">
        <v>2416</v>
      </c>
      <c r="F642" s="3" t="s">
        <v>2417</v>
      </c>
      <c r="G642" s="3"/>
      <c r="H642" s="3"/>
      <c r="I642" s="4" t="b">
        <f>OR(((E642 = "calculated")=TRUE), ((E642 = "lookup")=TRUE), ((E642 = "aggregation")=TRUE))</f>
        <v>0</v>
      </c>
      <c r="J642" s="4" t="b">
        <f>H642 &lt;&gt; ""</f>
        <v>0</v>
      </c>
      <c r="K642" s="4">
        <f>COUNTIFS(FieldDisagreements!D2:D50, A642)</f>
        <v>0</v>
      </c>
      <c r="L642" s="4" t="b">
        <f>K642 &gt; 0</f>
        <v>0</v>
      </c>
      <c r="M642" s="3" t="s">
        <v>2418</v>
      </c>
    </row>
    <row r="643">
      <c r="A643" s="3" t="s">
        <v>3431</v>
      </c>
      <c r="B643" s="4" t="str">
        <f>C643 &amp; "." &amp; D643</f>
        <v>ProcedureExecutions.StartedAt</v>
      </c>
      <c r="C643" s="3" t="s">
        <v>1824</v>
      </c>
      <c r="D643" s="3" t="s">
        <v>1080</v>
      </c>
      <c r="E643" s="3" t="s">
        <v>2416</v>
      </c>
      <c r="F643" s="3" t="s">
        <v>2428</v>
      </c>
      <c r="G643" s="3"/>
      <c r="H643" s="3"/>
      <c r="I643" s="4" t="b">
        <f>OR(((E643 = "calculated")=TRUE), ((E643 = "lookup")=TRUE), ((E643 = "aggregation")=TRUE))</f>
        <v>0</v>
      </c>
      <c r="J643" s="4" t="b">
        <f>H643 &lt;&gt; ""</f>
        <v>0</v>
      </c>
      <c r="K643" s="4">
        <f>COUNTIFS(FieldDisagreements!D2:D50, A643)</f>
        <v>0</v>
      </c>
      <c r="L643" s="4" t="b">
        <f>K643 &gt; 0</f>
        <v>0</v>
      </c>
      <c r="M643" s="3" t="s">
        <v>2418</v>
      </c>
    </row>
    <row r="644">
      <c r="A644" s="3" t="s">
        <v>3432</v>
      </c>
      <c r="B644" s="4" t="str">
        <f>C644 &amp; "." &amp; D644</f>
        <v>ProcedureExecutions.EndedAt</v>
      </c>
      <c r="C644" s="3" t="s">
        <v>1824</v>
      </c>
      <c r="D644" s="3" t="s">
        <v>1081</v>
      </c>
      <c r="E644" s="3" t="s">
        <v>2416</v>
      </c>
      <c r="F644" s="3" t="s">
        <v>2428</v>
      </c>
      <c r="G644" s="3"/>
      <c r="H644" s="3"/>
      <c r="I644" s="4" t="b">
        <f>OR(((E644 = "calculated")=TRUE), ((E644 = "lookup")=TRUE), ((E644 = "aggregation")=TRUE))</f>
        <v>0</v>
      </c>
      <c r="J644" s="4" t="b">
        <f>H644 &lt;&gt; ""</f>
        <v>0</v>
      </c>
      <c r="K644" s="4">
        <f>COUNTIFS(FieldDisagreements!D2:D50, A644)</f>
        <v>0</v>
      </c>
      <c r="L644" s="4" t="b">
        <f>K644 &gt; 0</f>
        <v>0</v>
      </c>
      <c r="M644" s="3" t="s">
        <v>2418</v>
      </c>
    </row>
    <row r="645">
      <c r="A645" s="3" t="s">
        <v>3433</v>
      </c>
      <c r="B645" s="4" t="str">
        <f>C645 &amp; "." &amp; D645</f>
        <v>ProcedureExecutions.ExecutedByAgent</v>
      </c>
      <c r="C645" s="3" t="s">
        <v>1824</v>
      </c>
      <c r="D645" s="3" t="s">
        <v>1268</v>
      </c>
      <c r="E645" s="3" t="s">
        <v>2465</v>
      </c>
      <c r="F645" s="3" t="s">
        <v>2417</v>
      </c>
      <c r="G645" s="3"/>
      <c r="H645" s="3"/>
      <c r="I645" s="4" t="b">
        <f>OR(((E645 = "calculated")=TRUE), ((E645 = "lookup")=TRUE), ((E645 = "aggregation")=TRUE))</f>
        <v>0</v>
      </c>
      <c r="J645" s="4" t="b">
        <f>H645 &lt;&gt; ""</f>
        <v>0</v>
      </c>
      <c r="K645" s="4">
        <f>COUNTIFS(FieldDisagreements!D2:D50, A645)</f>
        <v>0</v>
      </c>
      <c r="L645" s="4" t="b">
        <f>K645 &gt; 0</f>
        <v>0</v>
      </c>
      <c r="M645" s="3" t="s">
        <v>2418</v>
      </c>
    </row>
    <row r="646">
      <c r="A646" s="3" t="s">
        <v>3434</v>
      </c>
      <c r="B646" s="4" t="str">
        <f>C646 &amp; "." &amp; D646</f>
        <v>ProcedureExecutions.Context</v>
      </c>
      <c r="C646" s="3" t="s">
        <v>1824</v>
      </c>
      <c r="D646" s="3" t="s">
        <v>1269</v>
      </c>
      <c r="E646" s="3" t="s">
        <v>2416</v>
      </c>
      <c r="F646" s="3" t="s">
        <v>2417</v>
      </c>
      <c r="G646" s="3"/>
      <c r="H646" s="3"/>
      <c r="I646" s="4" t="b">
        <f>OR(((E646 = "calculated")=TRUE), ((E646 = "lookup")=TRUE), ((E646 = "aggregation")=TRUE))</f>
        <v>0</v>
      </c>
      <c r="J646" s="4" t="b">
        <f>H646 &lt;&gt; ""</f>
        <v>0</v>
      </c>
      <c r="K646" s="4">
        <f>COUNTIFS(FieldDisagreements!D2:D50, A646)</f>
        <v>0</v>
      </c>
      <c r="L646" s="4" t="b">
        <f>K646 &gt; 0</f>
        <v>0</v>
      </c>
      <c r="M646" s="3" t="s">
        <v>2418</v>
      </c>
    </row>
    <row r="647">
      <c r="A647" s="3" t="s">
        <v>3435</v>
      </c>
      <c r="B647" s="4" t="str">
        <f>C647 &amp; "." &amp; D647</f>
        <v>ProcedureExecutions.OperationalRecordUri</v>
      </c>
      <c r="C647" s="3" t="s">
        <v>1824</v>
      </c>
      <c r="D647" s="3" t="s">
        <v>1270</v>
      </c>
      <c r="E647" s="3" t="s">
        <v>2416</v>
      </c>
      <c r="F647" s="3" t="s">
        <v>2417</v>
      </c>
      <c r="G647" s="3"/>
      <c r="H647" s="3"/>
      <c r="I647" s="4" t="b">
        <f>OR(((E647 = "calculated")=TRUE), ((E647 = "lookup")=TRUE), ((E647 = "aggregation")=TRUE))</f>
        <v>0</v>
      </c>
      <c r="J647" s="4" t="b">
        <f>H647 &lt;&gt; ""</f>
        <v>0</v>
      </c>
      <c r="K647" s="4">
        <f>COUNTIFS(FieldDisagreements!D2:D50, A647)</f>
        <v>0</v>
      </c>
      <c r="L647" s="4" t="b">
        <f>K647 &gt; 0</f>
        <v>0</v>
      </c>
      <c r="M647" s="3" t="s">
        <v>2418</v>
      </c>
    </row>
    <row r="648">
      <c r="A648" s="3" t="s">
        <v>3436</v>
      </c>
      <c r="B648" s="4" t="str">
        <f>C648 &amp; "." &amp; D648</f>
        <v>ProcedureExecutions.ExpectedStepCount</v>
      </c>
      <c r="C648" s="3" t="s">
        <v>1824</v>
      </c>
      <c r="D648" s="3" t="s">
        <v>1271</v>
      </c>
      <c r="E648" s="3" t="s">
        <v>2509</v>
      </c>
      <c r="F648" s="3" t="s">
        <v>2475</v>
      </c>
      <c r="G648" s="3" t="s">
        <v>3437</v>
      </c>
      <c r="H648" s="3" t="s">
        <v>1991</v>
      </c>
      <c r="I648" s="4" t="b">
        <f>OR(((E648 = "calculated")=TRUE), ((E648 = "lookup")=TRUE), ((E648 = "aggregation")=TRUE))</f>
        <v>1</v>
      </c>
      <c r="J648" s="4" t="b">
        <f>H648 &lt;&gt; ""</f>
        <v>1</v>
      </c>
      <c r="K648" s="4">
        <f>COUNTIFS(FieldDisagreements!D2:D50, A648)</f>
        <v>0</v>
      </c>
      <c r="L648" s="4" t="b">
        <f>K648 &gt; 0</f>
        <v>0</v>
      </c>
      <c r="M648" s="3" t="s">
        <v>2418</v>
      </c>
    </row>
    <row r="649">
      <c r="A649" s="3" t="s">
        <v>3438</v>
      </c>
      <c r="B649" s="4" t="str">
        <f>C649 &amp; "." &amp; D649</f>
        <v>ProcedureExecutions.CompletedStepCount</v>
      </c>
      <c r="C649" s="3" t="s">
        <v>1824</v>
      </c>
      <c r="D649" s="3" t="s">
        <v>1272</v>
      </c>
      <c r="E649" s="3" t="s">
        <v>2469</v>
      </c>
      <c r="F649" s="3" t="s">
        <v>2475</v>
      </c>
      <c r="G649" s="3" t="s">
        <v>3439</v>
      </c>
      <c r="H649" s="3" t="s">
        <v>1991</v>
      </c>
      <c r="I649" s="4" t="b">
        <f>OR(((E649 = "calculated")=TRUE), ((E649 = "lookup")=TRUE), ((E649 = "aggregation")=TRUE))</f>
        <v>1</v>
      </c>
      <c r="J649" s="4" t="b">
        <f>H649 &lt;&gt; ""</f>
        <v>1</v>
      </c>
      <c r="K649" s="4">
        <f>COUNTIFS(FieldDisagreements!D2:D50, A649)</f>
        <v>0</v>
      </c>
      <c r="L649" s="4" t="b">
        <f>K649 &gt; 0</f>
        <v>0</v>
      </c>
      <c r="M649" s="3" t="s">
        <v>2418</v>
      </c>
    </row>
    <row r="650">
      <c r="A650" s="3" t="s">
        <v>3440</v>
      </c>
      <c r="B650" s="4" t="str">
        <f>C650 &amp; "." &amp; D650</f>
        <v>ProcedureExecutions.ControlBreachCount</v>
      </c>
      <c r="C650" s="3" t="s">
        <v>1824</v>
      </c>
      <c r="D650" s="3" t="s">
        <v>1273</v>
      </c>
      <c r="E650" s="3" t="s">
        <v>2469</v>
      </c>
      <c r="F650" s="3" t="s">
        <v>2475</v>
      </c>
      <c r="G650" s="3" t="s">
        <v>3441</v>
      </c>
      <c r="H650" s="3" t="s">
        <v>1991</v>
      </c>
      <c r="I650" s="4" t="b">
        <f>OR(((E650 = "calculated")=TRUE), ((E650 = "lookup")=TRUE), ((E650 = "aggregation")=TRUE))</f>
        <v>1</v>
      </c>
      <c r="J650" s="4" t="b">
        <f>H650 &lt;&gt; ""</f>
        <v>1</v>
      </c>
      <c r="K650" s="4">
        <f>COUNTIFS(FieldDisagreements!D2:D50, A650)</f>
        <v>0</v>
      </c>
      <c r="L650" s="4" t="b">
        <f>K650 &gt; 0</f>
        <v>0</v>
      </c>
      <c r="M650" s="3" t="s">
        <v>2418</v>
      </c>
    </row>
    <row r="651">
      <c r="A651" s="3" t="s">
        <v>3442</v>
      </c>
      <c r="B651" s="4" t="str">
        <f>C651 &amp; "." &amp; D651</f>
        <v>ProcedureExecutions.LateStepCount</v>
      </c>
      <c r="C651" s="3" t="s">
        <v>1824</v>
      </c>
      <c r="D651" s="3" t="s">
        <v>1274</v>
      </c>
      <c r="E651" s="3" t="s">
        <v>2469</v>
      </c>
      <c r="F651" s="3" t="s">
        <v>2475</v>
      </c>
      <c r="G651" s="3" t="s">
        <v>3443</v>
      </c>
      <c r="H651" s="3" t="s">
        <v>1991</v>
      </c>
      <c r="I651" s="4" t="b">
        <f>OR(((E651 = "calculated")=TRUE), ((E651 = "lookup")=TRUE), ((E651 = "aggregation")=TRUE))</f>
        <v>1</v>
      </c>
      <c r="J651" s="4" t="b">
        <f>H651 &lt;&gt; ""</f>
        <v>1</v>
      </c>
      <c r="K651" s="4">
        <f>COUNTIFS(FieldDisagreements!D2:D50, A651)</f>
        <v>0</v>
      </c>
      <c r="L651" s="4" t="b">
        <f>K651 &gt; 0</f>
        <v>0</v>
      </c>
      <c r="M651" s="3" t="s">
        <v>2418</v>
      </c>
    </row>
    <row r="652">
      <c r="A652" s="3" t="s">
        <v>3444</v>
      </c>
      <c r="B652" s="4" t="str">
        <f>C652 &amp; "." &amp; D652</f>
        <v>ProcedureExecutions.IsStructurallyComplete</v>
      </c>
      <c r="C652" s="3" t="s">
        <v>1824</v>
      </c>
      <c r="D652" s="3" t="s">
        <v>1275</v>
      </c>
      <c r="E652" s="3" t="s">
        <v>2420</v>
      </c>
      <c r="F652" s="3" t="s">
        <v>2432</v>
      </c>
      <c r="G652" s="3" t="s">
        <v>3445</v>
      </c>
      <c r="H652" s="3" t="s">
        <v>1991</v>
      </c>
      <c r="I652" s="4" t="b">
        <f>OR(((E652 = "calculated")=TRUE), ((E652 = "lookup")=TRUE), ((E652 = "aggregation")=TRUE))</f>
        <v>1</v>
      </c>
      <c r="J652" s="4" t="b">
        <f>H652 &lt;&gt; ""</f>
        <v>1</v>
      </c>
      <c r="K652" s="4">
        <f>COUNTIFS(FieldDisagreements!D2:D50, A652)</f>
        <v>0</v>
      </c>
      <c r="L652" s="4" t="b">
        <f>K652 &gt; 0</f>
        <v>0</v>
      </c>
      <c r="M652" s="3" t="s">
        <v>2418</v>
      </c>
    </row>
    <row r="653">
      <c r="A653" s="3" t="s">
        <v>3446</v>
      </c>
      <c r="B653" s="4" t="str">
        <f>C653 &amp; "." &amp; D653</f>
        <v>ProcedureExecutions.DivergedFromSpecification</v>
      </c>
      <c r="C653" s="3" t="s">
        <v>1824</v>
      </c>
      <c r="D653" s="3" t="s">
        <v>1276</v>
      </c>
      <c r="E653" s="3" t="s">
        <v>2420</v>
      </c>
      <c r="F653" s="3" t="s">
        <v>2432</v>
      </c>
      <c r="G653" s="3" t="s">
        <v>3447</v>
      </c>
      <c r="H653" s="3" t="s">
        <v>1991</v>
      </c>
      <c r="I653" s="4" t="b">
        <f>OR(((E653 = "calculated")=TRUE), ((E653 = "lookup")=TRUE), ((E653 = "aggregation")=TRUE))</f>
        <v>1</v>
      </c>
      <c r="J653" s="4" t="b">
        <f>H653 &lt;&gt; ""</f>
        <v>1</v>
      </c>
      <c r="K653" s="4">
        <f>COUNTIFS(FieldDisagreements!D2:D50, A653)</f>
        <v>0</v>
      </c>
      <c r="L653" s="4" t="b">
        <f>K653 &gt; 0</f>
        <v>0</v>
      </c>
      <c r="M653" s="3" t="s">
        <v>2418</v>
      </c>
    </row>
    <row r="654">
      <c r="A654" s="3" t="s">
        <v>3448</v>
      </c>
      <c r="B654" s="4" t="str">
        <f>C654 &amp; "." &amp; D654</f>
        <v>ProcedureExecutions.AllBlockingControlsEvaluated</v>
      </c>
      <c r="C654" s="3" t="s">
        <v>1824</v>
      </c>
      <c r="D654" s="3" t="s">
        <v>1277</v>
      </c>
      <c r="E654" s="3" t="s">
        <v>2420</v>
      </c>
      <c r="F654" s="3" t="s">
        <v>2432</v>
      </c>
      <c r="G654" s="3" t="s">
        <v>3449</v>
      </c>
      <c r="H654" s="3" t="s">
        <v>1999</v>
      </c>
      <c r="I654" s="4" t="b">
        <f>OR(((E654 = "calculated")=TRUE), ((E654 = "lookup")=TRUE), ((E654 = "aggregation")=TRUE))</f>
        <v>1</v>
      </c>
      <c r="J654" s="4" t="b">
        <f>H654 &lt;&gt; ""</f>
        <v>1</v>
      </c>
      <c r="K654" s="4">
        <f>COUNTIFS(FieldDisagreements!D2:D50, A654)</f>
        <v>0</v>
      </c>
      <c r="L654" s="4" t="b">
        <f>K654 &gt; 0</f>
        <v>0</v>
      </c>
      <c r="M654" s="3" t="s">
        <v>2418</v>
      </c>
    </row>
    <row r="655">
      <c r="A655" s="3" t="s">
        <v>3450</v>
      </c>
      <c r="B655" s="4" t="str">
        <f>C655 &amp; "." &amp; D655</f>
        <v>ProcedureExecutions.UnevaluatedBlockingTotal</v>
      </c>
      <c r="C655" s="3" t="s">
        <v>1824</v>
      </c>
      <c r="D655" s="3" t="s">
        <v>1278</v>
      </c>
      <c r="E655" s="3" t="s">
        <v>2469</v>
      </c>
      <c r="F655" s="3" t="s">
        <v>2475</v>
      </c>
      <c r="G655" s="3" t="s">
        <v>3451</v>
      </c>
      <c r="H655" s="3" t="s">
        <v>1999</v>
      </c>
      <c r="I655" s="4" t="b">
        <f>OR(((E655 = "calculated")=TRUE), ((E655 = "lookup")=TRUE), ((E655 = "aggregation")=TRUE))</f>
        <v>1</v>
      </c>
      <c r="J655" s="4" t="b">
        <f>H655 &lt;&gt; ""</f>
        <v>1</v>
      </c>
      <c r="K655" s="4">
        <f>COUNTIFS(FieldDisagreements!D2:D50, A655)</f>
        <v>0</v>
      </c>
      <c r="L655" s="4" t="b">
        <f>K655 &gt; 0</f>
        <v>0</v>
      </c>
      <c r="M655" s="3" t="s">
        <v>2418</v>
      </c>
    </row>
    <row r="656">
      <c r="A656" s="3" t="s">
        <v>3452</v>
      </c>
      <c r="B656" s="4" t="str">
        <f>C656 &amp; "." &amp; D656</f>
        <v>ProcedureExecutions.SeparationOfDutiesHeld</v>
      </c>
      <c r="C656" s="3" t="s">
        <v>1824</v>
      </c>
      <c r="D656" s="3" t="s">
        <v>1279</v>
      </c>
      <c r="E656" s="3" t="s">
        <v>2420</v>
      </c>
      <c r="F656" s="3" t="s">
        <v>2432</v>
      </c>
      <c r="G656" s="3" t="s">
        <v>3453</v>
      </c>
      <c r="H656" s="3" t="s">
        <v>1999</v>
      </c>
      <c r="I656" s="4" t="b">
        <f>OR(((E656 = "calculated")=TRUE), ((E656 = "lookup")=TRUE), ((E656 = "aggregation")=TRUE))</f>
        <v>1</v>
      </c>
      <c r="J656" s="4" t="b">
        <f>H656 &lt;&gt; ""</f>
        <v>1</v>
      </c>
      <c r="K656" s="4">
        <f>COUNTIFS(FieldDisagreements!D2:D50, A656)</f>
        <v>0</v>
      </c>
      <c r="L656" s="4" t="b">
        <f>K656 &gt; 0</f>
        <v>0</v>
      </c>
      <c r="M656" s="3" t="s">
        <v>2418</v>
      </c>
    </row>
    <row r="657">
      <c r="A657" s="3" t="s">
        <v>3454</v>
      </c>
      <c r="B657" s="4" t="str">
        <f>C657 &amp; "." &amp; D657</f>
        <v>ProcedureExecutions.SeparationViolationCount</v>
      </c>
      <c r="C657" s="3" t="s">
        <v>1824</v>
      </c>
      <c r="D657" s="3" t="s">
        <v>1280</v>
      </c>
      <c r="E657" s="3" t="s">
        <v>2469</v>
      </c>
      <c r="F657" s="3" t="s">
        <v>2475</v>
      </c>
      <c r="G657" s="3" t="s">
        <v>3455</v>
      </c>
      <c r="H657" s="3" t="s">
        <v>1999</v>
      </c>
      <c r="I657" s="4" t="b">
        <f>OR(((E657 = "calculated")=TRUE), ((E657 = "lookup")=TRUE), ((E657 = "aggregation")=TRUE))</f>
        <v>1</v>
      </c>
      <c r="J657" s="4" t="b">
        <f>H657 &lt;&gt; ""</f>
        <v>1</v>
      </c>
      <c r="K657" s="4">
        <f>COUNTIFS(FieldDisagreements!D2:D50, A657)</f>
        <v>0</v>
      </c>
      <c r="L657" s="4" t="b">
        <f>K657 &gt; 0</f>
        <v>0</v>
      </c>
      <c r="M657" s="3" t="s">
        <v>2418</v>
      </c>
    </row>
    <row r="658">
      <c r="A658" s="3" t="s">
        <v>3456</v>
      </c>
      <c r="B658" s="4" t="str">
        <f>C658 &amp; "." &amp; D658</f>
        <v>ProcedureExecutions.IsAttestationReady</v>
      </c>
      <c r="C658" s="3" t="s">
        <v>1824</v>
      </c>
      <c r="D658" s="3" t="s">
        <v>1281</v>
      </c>
      <c r="E658" s="3" t="s">
        <v>2420</v>
      </c>
      <c r="F658" s="3" t="s">
        <v>2432</v>
      </c>
      <c r="G658" s="3" t="s">
        <v>3457</v>
      </c>
      <c r="H658" s="3" t="s">
        <v>1999</v>
      </c>
      <c r="I658" s="4" t="b">
        <f>OR(((E658 = "calculated")=TRUE), ((E658 = "lookup")=TRUE), ((E658 = "aggregation")=TRUE))</f>
        <v>1</v>
      </c>
      <c r="J658" s="4" t="b">
        <f>H658 &lt;&gt; ""</f>
        <v>1</v>
      </c>
      <c r="K658" s="4">
        <f>COUNTIFS(FieldDisagreements!D2:D50, A658)</f>
        <v>0</v>
      </c>
      <c r="L658" s="4" t="b">
        <f>K658 &gt; 0</f>
        <v>0</v>
      </c>
      <c r="M658" s="3" t="s">
        <v>2418</v>
      </c>
    </row>
    <row r="659">
      <c r="A659" s="3" t="s">
        <v>3458</v>
      </c>
      <c r="B659" s="4" t="str">
        <f>C659 &amp; "." &amp; D659</f>
        <v>ProcedureExecutions.AttestationBlockerSummary</v>
      </c>
      <c r="C659" s="3" t="s">
        <v>1824</v>
      </c>
      <c r="D659" s="3" t="s">
        <v>1282</v>
      </c>
      <c r="E659" s="3" t="s">
        <v>2420</v>
      </c>
      <c r="F659" s="3" t="s">
        <v>2417</v>
      </c>
      <c r="G659" s="3" t="s">
        <v>3459</v>
      </c>
      <c r="H659" s="3" t="s">
        <v>1999</v>
      </c>
      <c r="I659" s="4" t="b">
        <f>OR(((E659 = "calculated")=TRUE), ((E659 = "lookup")=TRUE), ((E659 = "aggregation")=TRUE))</f>
        <v>1</v>
      </c>
      <c r="J659" s="4" t="b">
        <f>H659 &lt;&gt; ""</f>
        <v>1</v>
      </c>
      <c r="K659" s="4">
        <f>COUNTIFS(FieldDisagreements!D2:D50, A659)</f>
        <v>0</v>
      </c>
      <c r="L659" s="4" t="b">
        <f>K659 &gt; 0</f>
        <v>0</v>
      </c>
      <c r="M659" s="3" t="s">
        <v>2418</v>
      </c>
    </row>
    <row r="660">
      <c r="A660" s="3" t="s">
        <v>3460</v>
      </c>
      <c r="B660" s="4" t="str">
        <f>C660 &amp; "." &amp; D660</f>
        <v>ProcedureExecutions.ExecutedVersionIsFit</v>
      </c>
      <c r="C660" s="3" t="s">
        <v>1824</v>
      </c>
      <c r="D660" s="3" t="s">
        <v>1283</v>
      </c>
      <c r="E660" s="3" t="s">
        <v>2509</v>
      </c>
      <c r="F660" s="3" t="s">
        <v>2432</v>
      </c>
      <c r="G660" s="3" t="s">
        <v>3461</v>
      </c>
      <c r="H660" s="3" t="s">
        <v>2003</v>
      </c>
      <c r="I660" s="4" t="b">
        <f>OR(((E660 = "calculated")=TRUE), ((E660 = "lookup")=TRUE), ((E660 = "aggregation")=TRUE))</f>
        <v>1</v>
      </c>
      <c r="J660" s="4" t="b">
        <f>H660 &lt;&gt; ""</f>
        <v>1</v>
      </c>
      <c r="K660" s="4">
        <f>COUNTIFS(FieldDisagreements!D2:D50, A660)</f>
        <v>0</v>
      </c>
      <c r="L660" s="4" t="b">
        <f>K660 &gt; 0</f>
        <v>0</v>
      </c>
      <c r="M660" s="3" t="s">
        <v>2418</v>
      </c>
    </row>
    <row r="661">
      <c r="A661" s="3" t="s">
        <v>3462</v>
      </c>
      <c r="B661" s="4" t="str">
        <f>C661 &amp; "." &amp; D661</f>
        <v>ProcedureExecutions.SignedAgainstUnfitVersion</v>
      </c>
      <c r="C661" s="3" t="s">
        <v>1824</v>
      </c>
      <c r="D661" s="3" t="s">
        <v>1284</v>
      </c>
      <c r="E661" s="3" t="s">
        <v>2420</v>
      </c>
      <c r="F661" s="3" t="s">
        <v>2432</v>
      </c>
      <c r="G661" s="3" t="s">
        <v>3463</v>
      </c>
      <c r="H661" s="3" t="s">
        <v>2003</v>
      </c>
      <c r="I661" s="4" t="b">
        <f>OR(((E661 = "calculated")=TRUE), ((E661 = "lookup")=TRUE), ((E661 = "aggregation")=TRUE))</f>
        <v>1</v>
      </c>
      <c r="J661" s="4" t="b">
        <f>H661 &lt;&gt; ""</f>
        <v>1</v>
      </c>
      <c r="K661" s="4">
        <f>COUNTIFS(FieldDisagreements!D2:D50, A661)</f>
        <v>0</v>
      </c>
      <c r="L661" s="4" t="b">
        <f>K661 &gt; 0</f>
        <v>0</v>
      </c>
      <c r="M661" s="3" t="s">
        <v>2418</v>
      </c>
    </row>
    <row r="662">
      <c r="A662" s="3" t="s">
        <v>3464</v>
      </c>
      <c r="B662" s="4" t="str">
        <f>C662 &amp; "." &amp; D662</f>
        <v>ProcedureExecutions.AssertedOnlyControlCount</v>
      </c>
      <c r="C662" s="3" t="s">
        <v>1824</v>
      </c>
      <c r="D662" s="3" t="s">
        <v>1285</v>
      </c>
      <c r="E662" s="3" t="s">
        <v>2469</v>
      </c>
      <c r="F662" s="3" t="s">
        <v>2475</v>
      </c>
      <c r="G662" s="3" t="s">
        <v>3465</v>
      </c>
      <c r="H662" s="3" t="s">
        <v>2015</v>
      </c>
      <c r="I662" s="4" t="b">
        <f>OR(((E662 = "calculated")=TRUE), ((E662 = "lookup")=TRUE), ((E662 = "aggregation")=TRUE))</f>
        <v>1</v>
      </c>
      <c r="J662" s="4" t="b">
        <f>H662 &lt;&gt; ""</f>
        <v>1</v>
      </c>
      <c r="K662" s="4">
        <f>COUNTIFS(FieldDisagreements!D2:D50, A662)</f>
        <v>0</v>
      </c>
      <c r="L662" s="4" t="b">
        <f>K662 &gt; 0</f>
        <v>0</v>
      </c>
      <c r="M662" s="3" t="s">
        <v>2418</v>
      </c>
    </row>
    <row r="663">
      <c r="A663" s="3" t="s">
        <v>3466</v>
      </c>
      <c r="B663" s="4" t="str">
        <f>C663 &amp; "." &amp; D663</f>
        <v>ProcedureExecutions.AssuranceIsMostlyAsserted</v>
      </c>
      <c r="C663" s="3" t="s">
        <v>1824</v>
      </c>
      <c r="D663" s="3" t="s">
        <v>1286</v>
      </c>
      <c r="E663" s="3" t="s">
        <v>2420</v>
      </c>
      <c r="F663" s="3" t="s">
        <v>2432</v>
      </c>
      <c r="G663" s="3" t="s">
        <v>3467</v>
      </c>
      <c r="H663" s="3" t="s">
        <v>2015</v>
      </c>
      <c r="I663" s="4" t="b">
        <f>OR(((E663 = "calculated")=TRUE), ((E663 = "lookup")=TRUE), ((E663 = "aggregation")=TRUE))</f>
        <v>1</v>
      </c>
      <c r="J663" s="4" t="b">
        <f>H663 &lt;&gt; ""</f>
        <v>1</v>
      </c>
      <c r="K663" s="4">
        <f>COUNTIFS(FieldDisagreements!D2:D50, A663)</f>
        <v>0</v>
      </c>
      <c r="L663" s="4" t="b">
        <f>K663 &gt; 0</f>
        <v>0</v>
      </c>
      <c r="M663" s="3" t="s">
        <v>2418</v>
      </c>
    </row>
    <row r="664">
      <c r="A664" s="3" t="s">
        <v>3468</v>
      </c>
      <c r="B664" s="4" t="str">
        <f>C664 &amp; "." &amp; D664</f>
        <v>ProcedureExecutions.UnreachableHandlingFailureCount</v>
      </c>
      <c r="C664" s="3" t="s">
        <v>1824</v>
      </c>
      <c r="D664" s="3" t="s">
        <v>1287</v>
      </c>
      <c r="E664" s="3" t="s">
        <v>2469</v>
      </c>
      <c r="F664" s="3" t="s">
        <v>2475</v>
      </c>
      <c r="G664" s="3" t="s">
        <v>3469</v>
      </c>
      <c r="H664" s="3" t="s">
        <v>2067</v>
      </c>
      <c r="I664" s="4" t="b">
        <f>OR(((E664 = "calculated")=TRUE), ((E664 = "lookup")=TRUE), ((E664 = "aggregation")=TRUE))</f>
        <v>1</v>
      </c>
      <c r="J664" s="4" t="b">
        <f>H664 &lt;&gt; ""</f>
        <v>1</v>
      </c>
      <c r="K664" s="4">
        <f>COUNTIFS(FieldDisagreements!D2:D50, A664)</f>
        <v>0</v>
      </c>
      <c r="L664" s="4" t="b">
        <f>K664 &gt; 0</f>
        <v>0</v>
      </c>
      <c r="M664" s="3" t="s">
        <v>2418</v>
      </c>
    </row>
    <row r="665">
      <c r="A665" s="3" t="s">
        <v>3470</v>
      </c>
      <c r="B665" s="4" t="str">
        <f>C665 &amp; "." &amp; D665</f>
        <v>ProcedureExecutions.RetentionBreachCount</v>
      </c>
      <c r="C665" s="3" t="s">
        <v>1824</v>
      </c>
      <c r="D665" s="3" t="s">
        <v>1288</v>
      </c>
      <c r="E665" s="3" t="s">
        <v>2469</v>
      </c>
      <c r="F665" s="3" t="s">
        <v>2475</v>
      </c>
      <c r="G665" s="3" t="s">
        <v>3471</v>
      </c>
      <c r="H665" s="3" t="s">
        <v>2071</v>
      </c>
      <c r="I665" s="4" t="b">
        <f>OR(((E665 = "calculated")=TRUE), ((E665 = "lookup")=TRUE), ((E665 = "aggregation")=TRUE))</f>
        <v>1</v>
      </c>
      <c r="J665" s="4" t="b">
        <f>H665 &lt;&gt; ""</f>
        <v>1</v>
      </c>
      <c r="K665" s="4">
        <f>COUNTIFS(FieldDisagreements!D2:D50, A665)</f>
        <v>0</v>
      </c>
      <c r="L665" s="4" t="b">
        <f>K665 &gt; 0</f>
        <v>0</v>
      </c>
      <c r="M665" s="3" t="s">
        <v>2418</v>
      </c>
    </row>
    <row r="666">
      <c r="A666" s="3" t="s">
        <v>3472</v>
      </c>
      <c r="B666" s="4" t="str">
        <f>C666 &amp; "." &amp; D666</f>
        <v>ProcedureExecutions.ClearedLegalReviewCount</v>
      </c>
      <c r="C666" s="3" t="s">
        <v>1824</v>
      </c>
      <c r="D666" s="3" t="s">
        <v>1289</v>
      </c>
      <c r="E666" s="3" t="s">
        <v>2469</v>
      </c>
      <c r="F666" s="3" t="s">
        <v>2475</v>
      </c>
      <c r="G666" s="3" t="s">
        <v>3473</v>
      </c>
      <c r="H666" s="3" t="s">
        <v>2075</v>
      </c>
      <c r="I666" s="4" t="b">
        <f>OR(((E666 = "calculated")=TRUE), ((E666 = "lookup")=TRUE), ((E666 = "aggregation")=TRUE))</f>
        <v>1</v>
      </c>
      <c r="J666" s="4" t="b">
        <f>H666 &lt;&gt; ""</f>
        <v>1</v>
      </c>
      <c r="K666" s="4">
        <f>COUNTIFS(FieldDisagreements!D2:D50, A666)</f>
        <v>0</v>
      </c>
      <c r="L666" s="4" t="b">
        <f>K666 &gt; 0</f>
        <v>0</v>
      </c>
      <c r="M666" s="3" t="s">
        <v>2418</v>
      </c>
    </row>
    <row r="667">
      <c r="A667" s="3" t="s">
        <v>3474</v>
      </c>
      <c r="B667" s="4" t="str">
        <f>C667 &amp; "." &amp; D667</f>
        <v>ProcedureExecutions.HasClearedLegalReview</v>
      </c>
      <c r="C667" s="3" t="s">
        <v>1824</v>
      </c>
      <c r="D667" s="3" t="s">
        <v>1290</v>
      </c>
      <c r="E667" s="3" t="s">
        <v>2420</v>
      </c>
      <c r="F667" s="3" t="s">
        <v>2432</v>
      </c>
      <c r="G667" s="3" t="s">
        <v>3475</v>
      </c>
      <c r="H667" s="3" t="s">
        <v>2075</v>
      </c>
      <c r="I667" s="4" t="b">
        <f>OR(((E667 = "calculated")=TRUE), ((E667 = "lookup")=TRUE), ((E667 = "aggregation")=TRUE))</f>
        <v>1</v>
      </c>
      <c r="J667" s="4" t="b">
        <f>H667 &lt;&gt; ""</f>
        <v>1</v>
      </c>
      <c r="K667" s="4">
        <f>COUNTIFS(FieldDisagreements!D2:D50, A667)</f>
        <v>0</v>
      </c>
      <c r="L667" s="4" t="b">
        <f>K667 &gt; 0</f>
        <v>0</v>
      </c>
      <c r="M667" s="3" t="s">
        <v>2418</v>
      </c>
    </row>
    <row r="668">
      <c r="A668" s="3" t="s">
        <v>3476</v>
      </c>
      <c r="B668" s="4" t="str">
        <f>C668 &amp; "." &amp; D668</f>
        <v>ProcedureExecutions.AbandonedFailureCount</v>
      </c>
      <c r="C668" s="3" t="s">
        <v>1824</v>
      </c>
      <c r="D668" s="3" t="s">
        <v>1291</v>
      </c>
      <c r="E668" s="3" t="s">
        <v>2469</v>
      </c>
      <c r="F668" s="3" t="s">
        <v>2475</v>
      </c>
      <c r="G668" s="3" t="s">
        <v>3477</v>
      </c>
      <c r="H668" s="3" t="s">
        <v>2091</v>
      </c>
      <c r="I668" s="4" t="b">
        <f>OR(((E668 = "calculated")=TRUE), ((E668 = "lookup")=TRUE), ((E668 = "aggregation")=TRUE))</f>
        <v>1</v>
      </c>
      <c r="J668" s="4" t="b">
        <f>H668 &lt;&gt; ""</f>
        <v>1</v>
      </c>
      <c r="K668" s="4">
        <f>COUNTIFS(FieldDisagreements!D2:D50, A668)</f>
        <v>0</v>
      </c>
      <c r="L668" s="4" t="b">
        <f>K668 &gt; 0</f>
        <v>0</v>
      </c>
      <c r="M668" s="3" t="s">
        <v>2418</v>
      </c>
    </row>
    <row r="669">
      <c r="A669" s="3" t="s">
        <v>3478</v>
      </c>
      <c r="B669" s="4" t="str">
        <f>C669 &amp; "." &amp; D669</f>
        <v>ProcedureExecutions.DeliveredCount</v>
      </c>
      <c r="C669" s="3" t="s">
        <v>1824</v>
      </c>
      <c r="D669" s="3" t="s">
        <v>1292</v>
      </c>
      <c r="E669" s="3" t="s">
        <v>2469</v>
      </c>
      <c r="F669" s="3" t="s">
        <v>2475</v>
      </c>
      <c r="G669" s="3" t="s">
        <v>3479</v>
      </c>
      <c r="H669" s="3" t="s">
        <v>2091</v>
      </c>
      <c r="I669" s="4" t="b">
        <f>OR(((E669 = "calculated")=TRUE), ((E669 = "lookup")=TRUE), ((E669 = "aggregation")=TRUE))</f>
        <v>1</v>
      </c>
      <c r="J669" s="4" t="b">
        <f>H669 &lt;&gt; ""</f>
        <v>1</v>
      </c>
      <c r="K669" s="4">
        <f>COUNTIFS(FieldDisagreements!D2:D50, A669)</f>
        <v>0</v>
      </c>
      <c r="L669" s="4" t="b">
        <f>K669 &gt; 0</f>
        <v>0</v>
      </c>
      <c r="M669" s="3" t="s">
        <v>2418</v>
      </c>
    </row>
    <row r="670">
      <c r="A670" s="3" t="s">
        <v>3480</v>
      </c>
      <c r="B670" s="4" t="str">
        <f>C670 &amp; "." &amp; D670</f>
        <v>ProcedureExecutions.TotalDeliveryAttemptCount</v>
      </c>
      <c r="C670" s="3" t="s">
        <v>1824</v>
      </c>
      <c r="D670" s="3" t="s">
        <v>1293</v>
      </c>
      <c r="E670" s="3" t="s">
        <v>2469</v>
      </c>
      <c r="F670" s="3" t="s">
        <v>2475</v>
      </c>
      <c r="G670" s="3" t="s">
        <v>3481</v>
      </c>
      <c r="H670" s="3" t="s">
        <v>2091</v>
      </c>
      <c r="I670" s="4" t="b">
        <f>OR(((E670 = "calculated")=TRUE), ((E670 = "lookup")=TRUE), ((E670 = "aggregation")=TRUE))</f>
        <v>1</v>
      </c>
      <c r="J670" s="4" t="b">
        <f>H670 &lt;&gt; ""</f>
        <v>1</v>
      </c>
      <c r="K670" s="4">
        <f>COUNTIFS(FieldDisagreements!D2:D50, A670)</f>
        <v>0</v>
      </c>
      <c r="L670" s="4" t="b">
        <f>K670 &gt; 0</f>
        <v>0</v>
      </c>
      <c r="M670" s="3" t="s">
        <v>2418</v>
      </c>
    </row>
    <row r="671">
      <c r="A671" s="3" t="s">
        <v>3482</v>
      </c>
      <c r="B671" s="4" t="str">
        <f>C671 &amp; "." &amp; D671</f>
        <v>ProcedureExecutions.HasAbandonedFailures</v>
      </c>
      <c r="C671" s="3" t="s">
        <v>1824</v>
      </c>
      <c r="D671" s="3" t="s">
        <v>1294</v>
      </c>
      <c r="E671" s="3" t="s">
        <v>2420</v>
      </c>
      <c r="F671" s="3" t="s">
        <v>2432</v>
      </c>
      <c r="G671" s="3" t="s">
        <v>3483</v>
      </c>
      <c r="H671" s="3" t="s">
        <v>2091</v>
      </c>
      <c r="I671" s="4" t="b">
        <f>OR(((E671 = "calculated")=TRUE), ((E671 = "lookup")=TRUE), ((E671 = "aggregation")=TRUE))</f>
        <v>1</v>
      </c>
      <c r="J671" s="4" t="b">
        <f>H671 &lt;&gt; ""</f>
        <v>1</v>
      </c>
      <c r="K671" s="4">
        <f>COUNTIFS(FieldDisagreements!D2:D50, A671)</f>
        <v>0</v>
      </c>
      <c r="L671" s="4" t="b">
        <f>K671 &gt; 0</f>
        <v>0</v>
      </c>
      <c r="M671" s="3" t="s">
        <v>2418</v>
      </c>
    </row>
    <row r="672">
      <c r="A672" s="3" t="s">
        <v>3484</v>
      </c>
      <c r="B672" s="4" t="str">
        <f>C672 &amp; "." &amp; D672</f>
        <v>ProcedureExecutions.MishandledRefusalCount</v>
      </c>
      <c r="C672" s="3" t="s">
        <v>1824</v>
      </c>
      <c r="D672" s="3" t="s">
        <v>1295</v>
      </c>
      <c r="E672" s="3" t="s">
        <v>2469</v>
      </c>
      <c r="F672" s="3" t="s">
        <v>2475</v>
      </c>
      <c r="G672" s="3" t="s">
        <v>3485</v>
      </c>
      <c r="H672" s="3" t="s">
        <v>2115</v>
      </c>
      <c r="I672" s="4" t="b">
        <f>OR(((E672 = "calculated")=TRUE), ((E672 = "lookup")=TRUE), ((E672 = "aggregation")=TRUE))</f>
        <v>1</v>
      </c>
      <c r="J672" s="4" t="b">
        <f>H672 &lt;&gt; ""</f>
        <v>1</v>
      </c>
      <c r="K672" s="4">
        <f>COUNTIFS(FieldDisagreements!D2:D50, A672)</f>
        <v>0</v>
      </c>
      <c r="L672" s="4" t="b">
        <f>K672 &gt; 0</f>
        <v>0</v>
      </c>
      <c r="M672" s="3" t="s">
        <v>2418</v>
      </c>
    </row>
    <row r="673">
      <c r="A673" s="3" t="s">
        <v>3486</v>
      </c>
      <c r="B673" s="4" t="str">
        <f>C673 &amp; "." &amp; D673</f>
        <v>ProcedureExecutions.UncleanStepCount</v>
      </c>
      <c r="C673" s="3" t="s">
        <v>1824</v>
      </c>
      <c r="D673" s="3" t="s">
        <v>1296</v>
      </c>
      <c r="E673" s="3" t="s">
        <v>2469</v>
      </c>
      <c r="F673" s="3" t="s">
        <v>2475</v>
      </c>
      <c r="G673" s="3" t="s">
        <v>3487</v>
      </c>
      <c r="H673" s="3" t="s">
        <v>2127</v>
      </c>
      <c r="I673" s="4" t="b">
        <f>OR(((E673 = "calculated")=TRUE), ((E673 = "lookup")=TRUE), ((E673 = "aggregation")=TRUE))</f>
        <v>1</v>
      </c>
      <c r="J673" s="4" t="b">
        <f>H673 &lt;&gt; ""</f>
        <v>1</v>
      </c>
      <c r="K673" s="4">
        <f>COUNTIFS(FieldDisagreements!D2:D50, A673)</f>
        <v>0</v>
      </c>
      <c r="L673" s="4" t="b">
        <f>K673 &gt; 0</f>
        <v>0</v>
      </c>
      <c r="M673" s="3" t="s">
        <v>2418</v>
      </c>
    </row>
    <row r="674">
      <c r="A674" s="3" t="s">
        <v>3488</v>
      </c>
      <c r="B674" s="4" t="str">
        <f>C674 &amp; "." &amp; D674</f>
        <v>ProcedureExecutions.RanClean</v>
      </c>
      <c r="C674" s="3" t="s">
        <v>1824</v>
      </c>
      <c r="D674" s="3" t="s">
        <v>1297</v>
      </c>
      <c r="E674" s="3" t="s">
        <v>2420</v>
      </c>
      <c r="F674" s="3" t="s">
        <v>2432</v>
      </c>
      <c r="G674" s="3" t="s">
        <v>3489</v>
      </c>
      <c r="H674" s="3" t="s">
        <v>2127</v>
      </c>
      <c r="I674" s="4" t="b">
        <f>OR(((E674 = "calculated")=TRUE), ((E674 = "lookup")=TRUE), ((E674 = "aggregation")=TRUE))</f>
        <v>1</v>
      </c>
      <c r="J674" s="4" t="b">
        <f>H674 &lt;&gt; ""</f>
        <v>1</v>
      </c>
      <c r="K674" s="4">
        <f>COUNTIFS(FieldDisagreements!D2:D50, A674)</f>
        <v>0</v>
      </c>
      <c r="L674" s="4" t="b">
        <f>K674 &gt; 0</f>
        <v>0</v>
      </c>
      <c r="M674" s="3" t="s">
        <v>2418</v>
      </c>
    </row>
    <row r="675">
      <c r="A675" s="3" t="s">
        <v>3490</v>
      </c>
      <c r="B675" s="4" t="str">
        <f>C675 &amp; "." &amp; D675</f>
        <v>ProcedureExecutions.CountOfApprovalExecutions</v>
      </c>
      <c r="C675" s="3" t="s">
        <v>1824</v>
      </c>
      <c r="D675" s="3" t="s">
        <v>1298</v>
      </c>
      <c r="E675" s="3" t="s">
        <v>2469</v>
      </c>
      <c r="F675" s="3" t="s">
        <v>2470</v>
      </c>
      <c r="G675" s="3" t="s">
        <v>3491</v>
      </c>
      <c r="H675" s="3" t="s">
        <v>2151</v>
      </c>
      <c r="I675" s="4" t="b">
        <f>OR(((E675 = "calculated")=TRUE), ((E675 = "lookup")=TRUE), ((E675 = "aggregation")=TRUE))</f>
        <v>1</v>
      </c>
      <c r="J675" s="4" t="b">
        <f>H675 &lt;&gt; ""</f>
        <v>1</v>
      </c>
      <c r="K675" s="4">
        <f>COUNTIFS(FieldDisagreements!D2:D50, A675)</f>
        <v>0</v>
      </c>
      <c r="L675" s="4" t="b">
        <f>K675 &gt; 0</f>
        <v>0</v>
      </c>
      <c r="M675" s="3" t="s">
        <v>2418</v>
      </c>
    </row>
    <row r="676">
      <c r="A676" s="3" t="s">
        <v>3492</v>
      </c>
      <c r="B676" s="4" t="str">
        <f>C676 &amp; "." &amp; D676</f>
        <v>ProcedureExecutions.HasHumanApproval</v>
      </c>
      <c r="C676" s="3" t="s">
        <v>1824</v>
      </c>
      <c r="D676" s="3" t="s">
        <v>1299</v>
      </c>
      <c r="E676" s="3" t="s">
        <v>2420</v>
      </c>
      <c r="F676" s="3" t="s">
        <v>2432</v>
      </c>
      <c r="G676" s="3" t="s">
        <v>3493</v>
      </c>
      <c r="H676" s="3" t="s">
        <v>2151</v>
      </c>
      <c r="I676" s="4" t="b">
        <f>OR(((E676 = "calculated")=TRUE), ((E676 = "lookup")=TRUE), ((E676 = "aggregation")=TRUE))</f>
        <v>1</v>
      </c>
      <c r="J676" s="4" t="b">
        <f>H676 &lt;&gt; ""</f>
        <v>1</v>
      </c>
      <c r="K676" s="4">
        <f>COUNTIFS(FieldDisagreements!D2:D50, A676)</f>
        <v>0</v>
      </c>
      <c r="L676" s="4" t="b">
        <f>K676 &gt; 0</f>
        <v>0</v>
      </c>
      <c r="M676" s="3" t="s">
        <v>2418</v>
      </c>
    </row>
    <row r="677">
      <c r="A677" s="3" t="s">
        <v>3494</v>
      </c>
      <c r="B677" s="4" t="str">
        <f>C677 &amp; "." &amp; D677</f>
        <v>ProcedureExecutions.CountOfDeliveryExecutions</v>
      </c>
      <c r="C677" s="3" t="s">
        <v>1824</v>
      </c>
      <c r="D677" s="3" t="s">
        <v>1300</v>
      </c>
      <c r="E677" s="3" t="s">
        <v>2469</v>
      </c>
      <c r="F677" s="3" t="s">
        <v>2470</v>
      </c>
      <c r="G677" s="3" t="s">
        <v>3495</v>
      </c>
      <c r="H677" s="3" t="s">
        <v>2151</v>
      </c>
      <c r="I677" s="4" t="b">
        <f>OR(((E677 = "calculated")=TRUE), ((E677 = "lookup")=TRUE), ((E677 = "aggregation")=TRUE))</f>
        <v>1</v>
      </c>
      <c r="J677" s="4" t="b">
        <f>H677 &lt;&gt; ""</f>
        <v>1</v>
      </c>
      <c r="K677" s="4">
        <f>COUNTIFS(FieldDisagreements!D2:D50, A677)</f>
        <v>0</v>
      </c>
      <c r="L677" s="4" t="b">
        <f>K677 &gt; 0</f>
        <v>0</v>
      </c>
      <c r="M677" s="3" t="s">
        <v>2418</v>
      </c>
    </row>
    <row r="678">
      <c r="A678" s="3" t="s">
        <v>3496</v>
      </c>
      <c r="B678" s="4" t="str">
        <f>C678 &amp; "." &amp; D678</f>
        <v>ProcedureExecutions.HasDelivered</v>
      </c>
      <c r="C678" s="3" t="s">
        <v>1824</v>
      </c>
      <c r="D678" s="3" t="s">
        <v>1301</v>
      </c>
      <c r="E678" s="3" t="s">
        <v>2420</v>
      </c>
      <c r="F678" s="3" t="s">
        <v>2432</v>
      </c>
      <c r="G678" s="3" t="s">
        <v>3497</v>
      </c>
      <c r="H678" s="3" t="s">
        <v>2151</v>
      </c>
      <c r="I678" s="4" t="b">
        <f>OR(((E678 = "calculated")=TRUE), ((E678 = "lookup")=TRUE), ((E678 = "aggregation")=TRUE))</f>
        <v>1</v>
      </c>
      <c r="J678" s="4" t="b">
        <f>H678 &lt;&gt; ""</f>
        <v>1</v>
      </c>
      <c r="K678" s="4">
        <f>COUNTIFS(FieldDisagreements!D2:D50, A678)</f>
        <v>0</v>
      </c>
      <c r="L678" s="4" t="b">
        <f>K678 &gt; 0</f>
        <v>0</v>
      </c>
      <c r="M678" s="3" t="s">
        <v>2418</v>
      </c>
    </row>
    <row r="679">
      <c r="A679" s="3" t="s">
        <v>3498</v>
      </c>
      <c r="B679" s="4" t="str">
        <f>C679 &amp; "." &amp; D679</f>
        <v>ProcedureExecutions.DeliveredWithoutApproval</v>
      </c>
      <c r="C679" s="3" t="s">
        <v>1824</v>
      </c>
      <c r="D679" s="3" t="s">
        <v>1302</v>
      </c>
      <c r="E679" s="3" t="s">
        <v>2420</v>
      </c>
      <c r="F679" s="3" t="s">
        <v>2432</v>
      </c>
      <c r="G679" s="3" t="s">
        <v>3499</v>
      </c>
      <c r="H679" s="3" t="s">
        <v>2151</v>
      </c>
      <c r="I679" s="4" t="b">
        <f>OR(((E679 = "calculated")=TRUE), ((E679 = "lookup")=TRUE), ((E679 = "aggregation")=TRUE))</f>
        <v>1</v>
      </c>
      <c r="J679" s="4" t="b">
        <f>H679 &lt;&gt; ""</f>
        <v>1</v>
      </c>
      <c r="K679" s="4">
        <f>COUNTIFS(FieldDisagreements!D2:D50, A679)</f>
        <v>0</v>
      </c>
      <c r="L679" s="4" t="b">
        <f>K679 &gt; 0</f>
        <v>0</v>
      </c>
      <c r="M679" s="3" t="s">
        <v>2418</v>
      </c>
    </row>
    <row r="680">
      <c r="A680" s="3" t="s">
        <v>3500</v>
      </c>
      <c r="B680" s="4" t="str">
        <f>C680 &amp; "." &amp; D680</f>
        <v>ProcedureExecutions.InvalidApprovalCount</v>
      </c>
      <c r="C680" s="3" t="s">
        <v>1824</v>
      </c>
      <c r="D680" s="3" t="s">
        <v>1303</v>
      </c>
      <c r="E680" s="3" t="s">
        <v>2469</v>
      </c>
      <c r="F680" s="3" t="s">
        <v>2475</v>
      </c>
      <c r="G680" s="3" t="s">
        <v>3501</v>
      </c>
      <c r="H680" s="3" t="s">
        <v>2195</v>
      </c>
      <c r="I680" s="4" t="b">
        <f>OR(((E680 = "calculated")=TRUE), ((E680 = "lookup")=TRUE), ((E680 = "aggregation")=TRUE))</f>
        <v>1</v>
      </c>
      <c r="J680" s="4" t="b">
        <f>H680 &lt;&gt; ""</f>
        <v>1</v>
      </c>
      <c r="K680" s="4">
        <f>COUNTIFS(FieldDisagreements!D2:D50, A680)</f>
        <v>0</v>
      </c>
      <c r="L680" s="4" t="b">
        <f>K680 &gt; 0</f>
        <v>0</v>
      </c>
      <c r="M680" s="3" t="s">
        <v>2418</v>
      </c>
    </row>
    <row r="681">
      <c r="A681" s="3" t="s">
        <v>3502</v>
      </c>
      <c r="B681" s="4" t="str">
        <f>C681 &amp; "." &amp; D681</f>
        <v>ProcedureExecutions.ApprovalChainIsComplete</v>
      </c>
      <c r="C681" s="3" t="s">
        <v>1824</v>
      </c>
      <c r="D681" s="3" t="s">
        <v>1304</v>
      </c>
      <c r="E681" s="3" t="s">
        <v>2420</v>
      </c>
      <c r="F681" s="3" t="s">
        <v>2432</v>
      </c>
      <c r="G681" s="3" t="s">
        <v>3503</v>
      </c>
      <c r="H681" s="3" t="s">
        <v>2195</v>
      </c>
      <c r="I681" s="4" t="b">
        <f>OR(((E681 = "calculated")=TRUE), ((E681 = "lookup")=TRUE), ((E681 = "aggregation")=TRUE))</f>
        <v>1</v>
      </c>
      <c r="J681" s="4" t="b">
        <f>H681 &lt;&gt; ""</f>
        <v>1</v>
      </c>
      <c r="K681" s="4">
        <f>COUNTIFS(FieldDisagreements!D2:D50, A681)</f>
        <v>0</v>
      </c>
      <c r="L681" s="4" t="b">
        <f>K681 &gt; 0</f>
        <v>0</v>
      </c>
      <c r="M681" s="3" t="s">
        <v>2418</v>
      </c>
    </row>
    <row r="682">
      <c r="A682" s="3" t="s">
        <v>3504</v>
      </c>
      <c r="B682" s="4" t="str">
        <f>C682 &amp; "." &amp; D682</f>
        <v>ProcedureExecutions.VacuouslyCleanStepCount</v>
      </c>
      <c r="C682" s="3" t="s">
        <v>1824</v>
      </c>
      <c r="D682" s="3" t="s">
        <v>1305</v>
      </c>
      <c r="E682" s="3" t="s">
        <v>2469</v>
      </c>
      <c r="F682" s="3" t="s">
        <v>2475</v>
      </c>
      <c r="G682" s="3" t="s">
        <v>3505</v>
      </c>
      <c r="H682" s="3" t="s">
        <v>2271</v>
      </c>
      <c r="I682" s="4" t="b">
        <f>OR(((E682 = "calculated")=TRUE), ((E682 = "lookup")=TRUE), ((E682 = "aggregation")=TRUE))</f>
        <v>1</v>
      </c>
      <c r="J682" s="4" t="b">
        <f>H682 &lt;&gt; ""</f>
        <v>1</v>
      </c>
      <c r="K682" s="4">
        <f>COUNTIFS(FieldDisagreements!D2:D50, A682)</f>
        <v>0</v>
      </c>
      <c r="L682" s="4" t="b">
        <f>K682 &gt; 0</f>
        <v>0</v>
      </c>
      <c r="M682" s="3" t="s">
        <v>2418</v>
      </c>
    </row>
    <row r="683">
      <c r="A683" s="3" t="s">
        <v>3506</v>
      </c>
      <c r="B683" s="4" t="str">
        <f>C683 &amp; "." &amp; D683</f>
        <v>ProcedureExecutions.PreparationStepCount</v>
      </c>
      <c r="C683" s="3" t="s">
        <v>1824</v>
      </c>
      <c r="D683" s="3" t="s">
        <v>1306</v>
      </c>
      <c r="E683" s="3" t="s">
        <v>2469</v>
      </c>
      <c r="F683" s="3" t="s">
        <v>2475</v>
      </c>
      <c r="G683" s="3" t="s">
        <v>3507</v>
      </c>
      <c r="H683" s="3" t="s">
        <v>2287</v>
      </c>
      <c r="I683" s="4" t="b">
        <f>OR(((E683 = "calculated")=TRUE), ((E683 = "lookup")=TRUE), ((E683 = "aggregation")=TRUE))</f>
        <v>1</v>
      </c>
      <c r="J683" s="4" t="b">
        <f>H683 &lt;&gt; ""</f>
        <v>1</v>
      </c>
      <c r="K683" s="4">
        <f>COUNTIFS(FieldDisagreements!D2:D50, A683)</f>
        <v>0</v>
      </c>
      <c r="L683" s="4" t="b">
        <f>K683 &gt; 0</f>
        <v>0</v>
      </c>
      <c r="M683" s="3" t="s">
        <v>2418</v>
      </c>
    </row>
    <row r="684">
      <c r="A684" s="3" t="s">
        <v>3508</v>
      </c>
      <c r="B684" s="4" t="str">
        <f>C684 &amp; "." &amp; D684</f>
        <v>ProcedureExecutions.ApprovalStepCount</v>
      </c>
      <c r="C684" s="3" t="s">
        <v>1824</v>
      </c>
      <c r="D684" s="3" t="s">
        <v>1307</v>
      </c>
      <c r="E684" s="3" t="s">
        <v>2469</v>
      </c>
      <c r="F684" s="3" t="s">
        <v>2475</v>
      </c>
      <c r="G684" s="3" t="s">
        <v>3509</v>
      </c>
      <c r="H684" s="3" t="s">
        <v>2287</v>
      </c>
      <c r="I684" s="4" t="b">
        <f>OR(((E684 = "calculated")=TRUE), ((E684 = "lookup")=TRUE), ((E684 = "aggregation")=TRUE))</f>
        <v>1</v>
      </c>
      <c r="J684" s="4" t="b">
        <f>H684 &lt;&gt; ""</f>
        <v>1</v>
      </c>
      <c r="K684" s="4">
        <f>COUNTIFS(FieldDisagreements!D2:D50, A684)</f>
        <v>0</v>
      </c>
      <c r="L684" s="4" t="b">
        <f>K684 &gt; 0</f>
        <v>0</v>
      </c>
      <c r="M684" s="3" t="s">
        <v>2418</v>
      </c>
    </row>
    <row r="685">
      <c r="A685" s="3" t="s">
        <v>3510</v>
      </c>
      <c r="B685" s="4" t="str">
        <f>C685 &amp; "." &amp; D685</f>
        <v>ProcedureExecutions.SeparationWasTestable</v>
      </c>
      <c r="C685" s="3" t="s">
        <v>1824</v>
      </c>
      <c r="D685" s="3" t="s">
        <v>1308</v>
      </c>
      <c r="E685" s="3" t="s">
        <v>2420</v>
      </c>
      <c r="F685" s="3" t="s">
        <v>2432</v>
      </c>
      <c r="G685" s="3" t="s">
        <v>3511</v>
      </c>
      <c r="H685" s="3" t="s">
        <v>2287</v>
      </c>
      <c r="I685" s="4" t="b">
        <f>OR(((E685 = "calculated")=TRUE), ((E685 = "lookup")=TRUE), ((E685 = "aggregation")=TRUE))</f>
        <v>1</v>
      </c>
      <c r="J685" s="4" t="b">
        <f>H685 &lt;&gt; ""</f>
        <v>1</v>
      </c>
      <c r="K685" s="4">
        <f>COUNTIFS(FieldDisagreements!D2:D50, A685)</f>
        <v>0</v>
      </c>
      <c r="L685" s="4" t="b">
        <f>K685 &gt; 0</f>
        <v>0</v>
      </c>
      <c r="M685" s="3" t="s">
        <v>2418</v>
      </c>
    </row>
    <row r="686">
      <c r="A686" s="3" t="s">
        <v>3512</v>
      </c>
      <c r="B686" s="4" t="str">
        <f>C686 &amp; "." &amp; D686</f>
        <v>ProcedureExecutions.SeparationHeldUnderTest</v>
      </c>
      <c r="C686" s="3" t="s">
        <v>1824</v>
      </c>
      <c r="D686" s="3" t="s">
        <v>1309</v>
      </c>
      <c r="E686" s="3" t="s">
        <v>2420</v>
      </c>
      <c r="F686" s="3" t="s">
        <v>2432</v>
      </c>
      <c r="G686" s="3" t="s">
        <v>3513</v>
      </c>
      <c r="H686" s="3" t="s">
        <v>2287</v>
      </c>
      <c r="I686" s="4" t="b">
        <f>OR(((E686 = "calculated")=TRUE), ((E686 = "lookup")=TRUE), ((E686 = "aggregation")=TRUE))</f>
        <v>1</v>
      </c>
      <c r="J686" s="4" t="b">
        <f>H686 &lt;&gt; ""</f>
        <v>1</v>
      </c>
      <c r="K686" s="4">
        <f>COUNTIFS(FieldDisagreements!D2:D50, A686)</f>
        <v>0</v>
      </c>
      <c r="L686" s="4" t="b">
        <f>K686 &gt; 0</f>
        <v>0</v>
      </c>
      <c r="M686" s="3" t="s">
        <v>2418</v>
      </c>
    </row>
    <row r="687">
      <c r="A687" s="3" t="s">
        <v>3514</v>
      </c>
      <c r="B687" s="4" t="str">
        <f>C687 &amp; "." &amp; D687</f>
        <v>ProcedureExecutions.SeparationIsVacuouslyGreen</v>
      </c>
      <c r="C687" s="3" t="s">
        <v>1824</v>
      </c>
      <c r="D687" s="3" t="s">
        <v>1310</v>
      </c>
      <c r="E687" s="3" t="s">
        <v>2420</v>
      </c>
      <c r="F687" s="3" t="s">
        <v>2432</v>
      </c>
      <c r="G687" s="3" t="s">
        <v>3515</v>
      </c>
      <c r="H687" s="3" t="s">
        <v>2287</v>
      </c>
      <c r="I687" s="4" t="b">
        <f>OR(((E687 = "calculated")=TRUE), ((E687 = "lookup")=TRUE), ((E687 = "aggregation")=TRUE))</f>
        <v>1</v>
      </c>
      <c r="J687" s="4" t="b">
        <f>H687 &lt;&gt; ""</f>
        <v>1</v>
      </c>
      <c r="K687" s="4">
        <f>COUNTIFS(FieldDisagreements!D2:D50, A687)</f>
        <v>0</v>
      </c>
      <c r="L687" s="4" t="b">
        <f>K687 &gt; 0</f>
        <v>0</v>
      </c>
      <c r="M687" s="3" t="s">
        <v>2418</v>
      </c>
    </row>
    <row r="688">
      <c r="A688" s="3" t="s">
        <v>3516</v>
      </c>
      <c r="B688" s="4" t="str">
        <f>C688 &amp; "." &amp; D688</f>
        <v>ProcedureExecutions.SeparationAssuranceNote</v>
      </c>
      <c r="C688" s="3" t="s">
        <v>1824</v>
      </c>
      <c r="D688" s="3" t="s">
        <v>1311</v>
      </c>
      <c r="E688" s="3" t="s">
        <v>2420</v>
      </c>
      <c r="F688" s="3" t="s">
        <v>2417</v>
      </c>
      <c r="G688" s="3" t="s">
        <v>3517</v>
      </c>
      <c r="H688" s="3" t="s">
        <v>2287</v>
      </c>
      <c r="I688" s="4" t="b">
        <f>OR(((E688 = "calculated")=TRUE), ((E688 = "lookup")=TRUE), ((E688 = "aggregation")=TRUE))</f>
        <v>1</v>
      </c>
      <c r="J688" s="4" t="b">
        <f>H688 &lt;&gt; ""</f>
        <v>1</v>
      </c>
      <c r="K688" s="4">
        <f>COUNTIFS(FieldDisagreements!D2:D50, A688)</f>
        <v>0</v>
      </c>
      <c r="L688" s="4" t="b">
        <f>K688 &gt; 0</f>
        <v>0</v>
      </c>
      <c r="M688" s="3" t="s">
        <v>2418</v>
      </c>
    </row>
    <row r="689">
      <c r="A689" s="3" t="s">
        <v>3518</v>
      </c>
      <c r="B689" s="4" t="str">
        <f>C689 &amp; "." &amp; D689</f>
        <v>ProcedureExecutions.UngovernedDivergenceCount</v>
      </c>
      <c r="C689" s="3" t="s">
        <v>1824</v>
      </c>
      <c r="D689" s="3" t="s">
        <v>1312</v>
      </c>
      <c r="E689" s="3" t="s">
        <v>2469</v>
      </c>
      <c r="F689" s="3" t="s">
        <v>2475</v>
      </c>
      <c r="G689" s="3" t="s">
        <v>3519</v>
      </c>
      <c r="H689" s="3" t="s">
        <v>2295</v>
      </c>
      <c r="I689" s="4" t="b">
        <f>OR(((E689 = "calculated")=TRUE), ((E689 = "lookup")=TRUE), ((E689 = "aggregation")=TRUE))</f>
        <v>1</v>
      </c>
      <c r="J689" s="4" t="b">
        <f>H689 &lt;&gt; ""</f>
        <v>1</v>
      </c>
      <c r="K689" s="4">
        <f>COUNTIFS(FieldDisagreements!D2:D50, A689)</f>
        <v>0</v>
      </c>
      <c r="L689" s="4" t="b">
        <f>K689 &gt; 0</f>
        <v>0</v>
      </c>
      <c r="M689" s="3" t="s">
        <v>2418</v>
      </c>
    </row>
    <row r="690">
      <c r="A690" s="3" t="s">
        <v>3520</v>
      </c>
      <c r="B690" s="4" t="str">
        <f>C690 &amp; "." &amp; D690</f>
        <v>ProcedureExecutions.DivergenceWasFullyGoverned</v>
      </c>
      <c r="C690" s="3" t="s">
        <v>1824</v>
      </c>
      <c r="D690" s="3" t="s">
        <v>1313</v>
      </c>
      <c r="E690" s="3" t="s">
        <v>2420</v>
      </c>
      <c r="F690" s="3" t="s">
        <v>2432</v>
      </c>
      <c r="G690" s="3" t="s">
        <v>3521</v>
      </c>
      <c r="H690" s="3" t="s">
        <v>2295</v>
      </c>
      <c r="I690" s="4" t="b">
        <f>OR(((E690 = "calculated")=TRUE), ((E690 = "lookup")=TRUE), ((E690 = "aggregation")=TRUE))</f>
        <v>1</v>
      </c>
      <c r="J690" s="4" t="b">
        <f>H690 &lt;&gt; ""</f>
        <v>1</v>
      </c>
      <c r="K690" s="4">
        <f>COUNTIFS(FieldDisagreements!D2:D50, A690)</f>
        <v>0</v>
      </c>
      <c r="L690" s="4" t="b">
        <f>K690 &gt; 0</f>
        <v>0</v>
      </c>
      <c r="M690" s="3" t="s">
        <v>2418</v>
      </c>
    </row>
    <row r="691">
      <c r="A691" s="3" t="s">
        <v>3522</v>
      </c>
      <c r="B691" s="4" t="str">
        <f>C691 &amp; "." &amp; D691</f>
        <v>ProcedureExecutions.ComputedlyWitnessedControlCount</v>
      </c>
      <c r="C691" s="3" t="s">
        <v>1824</v>
      </c>
      <c r="D691" s="3" t="s">
        <v>1314</v>
      </c>
      <c r="E691" s="3" t="s">
        <v>2469</v>
      </c>
      <c r="F691" s="3" t="s">
        <v>2475</v>
      </c>
      <c r="G691" s="3" t="s">
        <v>3523</v>
      </c>
      <c r="H691" s="3" t="s">
        <v>2299</v>
      </c>
      <c r="I691" s="4" t="b">
        <f>OR(((E691 = "calculated")=TRUE), ((E691 = "lookup")=TRUE), ((E691 = "aggregation")=TRUE))</f>
        <v>1</v>
      </c>
      <c r="J691" s="4" t="b">
        <f>H691 &lt;&gt; ""</f>
        <v>1</v>
      </c>
      <c r="K691" s="4">
        <f>COUNTIFS(FieldDisagreements!D2:D50, A691)</f>
        <v>0</v>
      </c>
      <c r="L691" s="4" t="b">
        <f>K691 &gt; 0</f>
        <v>0</v>
      </c>
      <c r="M691" s="3" t="s">
        <v>2418</v>
      </c>
    </row>
    <row r="692">
      <c r="A692" s="3" t="s">
        <v>3524</v>
      </c>
      <c r="B692" s="4" t="str">
        <f>C692 &amp; "." &amp; D692</f>
        <v>ProcedureExecutions.EvaluatedControlCount</v>
      </c>
      <c r="C692" s="3" t="s">
        <v>1824</v>
      </c>
      <c r="D692" s="3" t="s">
        <v>1315</v>
      </c>
      <c r="E692" s="3" t="s">
        <v>2420</v>
      </c>
      <c r="F692" s="3" t="s">
        <v>2475</v>
      </c>
      <c r="G692" s="3" t="s">
        <v>3525</v>
      </c>
      <c r="H692" s="3" t="s">
        <v>2299</v>
      </c>
      <c r="I692" s="4" t="b">
        <f>OR(((E692 = "calculated")=TRUE), ((E692 = "lookup")=TRUE), ((E692 = "aggregation")=TRUE))</f>
        <v>1</v>
      </c>
      <c r="J692" s="4" t="b">
        <f>H692 &lt;&gt; ""</f>
        <v>1</v>
      </c>
      <c r="K692" s="4">
        <f>COUNTIFS(FieldDisagreements!D2:D50, A692)</f>
        <v>0</v>
      </c>
      <c r="L692" s="4" t="b">
        <f>K692 &gt; 0</f>
        <v>0</v>
      </c>
      <c r="M692" s="3" t="s">
        <v>2418</v>
      </c>
    </row>
    <row r="693">
      <c r="A693" s="3" t="s">
        <v>3526</v>
      </c>
      <c r="B693" s="4" t="str">
        <f>C693 &amp; "." &amp; D693</f>
        <v>ProcedureExecutions.ComputedAssuranceRatio</v>
      </c>
      <c r="C693" s="3" t="s">
        <v>1824</v>
      </c>
      <c r="D693" s="3" t="s">
        <v>1316</v>
      </c>
      <c r="E693" s="3" t="s">
        <v>2420</v>
      </c>
      <c r="F693" s="3" t="s">
        <v>2475</v>
      </c>
      <c r="G693" s="3" t="s">
        <v>3527</v>
      </c>
      <c r="H693" s="3" t="s">
        <v>2299</v>
      </c>
      <c r="I693" s="4" t="b">
        <f>OR(((E693 = "calculated")=TRUE), ((E693 = "lookup")=TRUE), ((E693 = "aggregation")=TRUE))</f>
        <v>1</v>
      </c>
      <c r="J693" s="4" t="b">
        <f>H693 &lt;&gt; ""</f>
        <v>1</v>
      </c>
      <c r="K693" s="4">
        <f>COUNTIFS(FieldDisagreements!D2:D50, A693)</f>
        <v>0</v>
      </c>
      <c r="L693" s="4" t="b">
        <f>K693 &gt; 0</f>
        <v>0</v>
      </c>
      <c r="M693" s="3" t="s">
        <v>2418</v>
      </c>
    </row>
    <row r="694">
      <c r="A694" s="3" t="s">
        <v>3528</v>
      </c>
      <c r="B694" s="4" t="str">
        <f>C694 &amp; "." &amp; D694</f>
        <v>ProcedureExecutions.InterestedPartyAssertionCount</v>
      </c>
      <c r="C694" s="3" t="s">
        <v>1824</v>
      </c>
      <c r="D694" s="3" t="s">
        <v>1317</v>
      </c>
      <c r="E694" s="3" t="s">
        <v>2469</v>
      </c>
      <c r="F694" s="3" t="s">
        <v>2475</v>
      </c>
      <c r="G694" s="3" t="s">
        <v>3529</v>
      </c>
      <c r="H694" s="3" t="s">
        <v>2299</v>
      </c>
      <c r="I694" s="4" t="b">
        <f>OR(((E694 = "calculated")=TRUE), ((E694 = "lookup")=TRUE), ((E694 = "aggregation")=TRUE))</f>
        <v>1</v>
      </c>
      <c r="J694" s="4" t="b">
        <f>H694 &lt;&gt; ""</f>
        <v>1</v>
      </c>
      <c r="K694" s="4">
        <f>COUNTIFS(FieldDisagreements!D2:D50, A694)</f>
        <v>0</v>
      </c>
      <c r="L694" s="4" t="b">
        <f>K694 &gt; 0</f>
        <v>0</v>
      </c>
      <c r="M694" s="3" t="s">
        <v>2418</v>
      </c>
    </row>
    <row r="695">
      <c r="A695" s="3" t="s">
        <v>3530</v>
      </c>
      <c r="B695" s="4" t="str">
        <f>C695 &amp; "." &amp; D695</f>
        <v>ProcedureExecutions.AssuranceGrade</v>
      </c>
      <c r="C695" s="3" t="s">
        <v>1824</v>
      </c>
      <c r="D695" s="3" t="s">
        <v>1318</v>
      </c>
      <c r="E695" s="3" t="s">
        <v>2420</v>
      </c>
      <c r="F695" s="3" t="s">
        <v>2417</v>
      </c>
      <c r="G695" s="3" t="s">
        <v>3531</v>
      </c>
      <c r="H695" s="3" t="s">
        <v>2299</v>
      </c>
      <c r="I695" s="4" t="b">
        <f>OR(((E695 = "calculated")=TRUE), ((E695 = "lookup")=TRUE), ((E695 = "aggregation")=TRUE))</f>
        <v>1</v>
      </c>
      <c r="J695" s="4" t="b">
        <f>H695 &lt;&gt; ""</f>
        <v>1</v>
      </c>
      <c r="K695" s="4">
        <f>COUNTIFS(FieldDisagreements!D2:D50, A695)</f>
        <v>0</v>
      </c>
      <c r="L695" s="4" t="b">
        <f>K695 &gt; 0</f>
        <v>0</v>
      </c>
      <c r="M695" s="3" t="s">
        <v>2418</v>
      </c>
    </row>
    <row r="696">
      <c r="A696" s="3" t="s">
        <v>3532</v>
      </c>
      <c r="B696" s="4" t="str">
        <f>C696 &amp; "." &amp; D696</f>
        <v>ProcedureExecutions.AttestationWouldBeWeaklyBased</v>
      </c>
      <c r="C696" s="3" t="s">
        <v>1824</v>
      </c>
      <c r="D696" s="3" t="s">
        <v>1319</v>
      </c>
      <c r="E696" s="3" t="s">
        <v>2420</v>
      </c>
      <c r="F696" s="3" t="s">
        <v>2432</v>
      </c>
      <c r="G696" s="3" t="s">
        <v>3533</v>
      </c>
      <c r="H696" s="3" t="s">
        <v>2299</v>
      </c>
      <c r="I696" s="4" t="b">
        <f>OR(((E696 = "calculated")=TRUE), ((E696 = "lookup")=TRUE), ((E696 = "aggregation")=TRUE))</f>
        <v>1</v>
      </c>
      <c r="J696" s="4" t="b">
        <f>H696 &lt;&gt; ""</f>
        <v>1</v>
      </c>
      <c r="K696" s="4">
        <f>COUNTIFS(FieldDisagreements!D2:D50, A696)</f>
        <v>0</v>
      </c>
      <c r="L696" s="4" t="b">
        <f>K696 &gt; 0</f>
        <v>0</v>
      </c>
      <c r="M696" s="3" t="s">
        <v>2418</v>
      </c>
    </row>
    <row r="697">
      <c r="A697" s="3" t="s">
        <v>3534</v>
      </c>
      <c r="B697" s="4" t="str">
        <f>C697 &amp; "." &amp; D697</f>
        <v>ProcedureExecutions.IndependentHumanObservationCount</v>
      </c>
      <c r="C697" s="3" t="s">
        <v>1824</v>
      </c>
      <c r="D697" s="3" t="s">
        <v>1320</v>
      </c>
      <c r="E697" s="3" t="s">
        <v>2469</v>
      </c>
      <c r="F697" s="3" t="s">
        <v>2475</v>
      </c>
      <c r="G697" s="3" t="s">
        <v>3535</v>
      </c>
      <c r="H697" s="3" t="s">
        <v>2307</v>
      </c>
      <c r="I697" s="4" t="b">
        <f>OR(((E697 = "calculated")=TRUE), ((E697 = "lookup")=TRUE), ((E697 = "aggregation")=TRUE))</f>
        <v>1</v>
      </c>
      <c r="J697" s="4" t="b">
        <f>H697 &lt;&gt; ""</f>
        <v>1</v>
      </c>
      <c r="K697" s="4">
        <f>COUNTIFS(FieldDisagreements!D2:D50, A697)</f>
        <v>0</v>
      </c>
      <c r="L697" s="4" t="b">
        <f>K697 &gt; 0</f>
        <v>0</v>
      </c>
      <c r="M697" s="3" t="s">
        <v>2418</v>
      </c>
    </row>
    <row r="698">
      <c r="A698" s="3" t="s">
        <v>3536</v>
      </c>
      <c r="B698" s="4" t="str">
        <f>C698 &amp; "." &amp; D698</f>
        <v>ProcedureExecutions.HasAnyIndependentObservation</v>
      </c>
      <c r="C698" s="3" t="s">
        <v>1824</v>
      </c>
      <c r="D698" s="3" t="s">
        <v>1321</v>
      </c>
      <c r="E698" s="3" t="s">
        <v>2420</v>
      </c>
      <c r="F698" s="3" t="s">
        <v>2432</v>
      </c>
      <c r="G698" s="3" t="s">
        <v>3537</v>
      </c>
      <c r="H698" s="3" t="s">
        <v>2307</v>
      </c>
      <c r="I698" s="4" t="b">
        <f>OR(((E698 = "calculated")=TRUE), ((E698 = "lookup")=TRUE), ((E698 = "aggregation")=TRUE))</f>
        <v>1</v>
      </c>
      <c r="J698" s="4" t="b">
        <f>H698 &lt;&gt; ""</f>
        <v>1</v>
      </c>
      <c r="K698" s="4">
        <f>COUNTIFS(FieldDisagreements!D2:D50, A698)</f>
        <v>0</v>
      </c>
      <c r="L698" s="4" t="b">
        <f>K698 &gt; 0</f>
        <v>0</v>
      </c>
      <c r="M698" s="3" t="s">
        <v>2418</v>
      </c>
    </row>
    <row r="699">
      <c r="A699" s="3" t="s">
        <v>3538</v>
      </c>
      <c r="B699" s="4" t="str">
        <f>C699 &amp; "." &amp; D699</f>
        <v>ProcedureExecutions.SelfAttestedApprovalCount</v>
      </c>
      <c r="C699" s="3" t="s">
        <v>1824</v>
      </c>
      <c r="D699" s="3" t="s">
        <v>1322</v>
      </c>
      <c r="E699" s="3" t="s">
        <v>2469</v>
      </c>
      <c r="F699" s="3" t="s">
        <v>2475</v>
      </c>
      <c r="G699" s="3" t="s">
        <v>3539</v>
      </c>
      <c r="H699" s="3" t="s">
        <v>2307</v>
      </c>
      <c r="I699" s="4" t="b">
        <f>OR(((E699 = "calculated")=TRUE), ((E699 = "lookup")=TRUE), ((E699 = "aggregation")=TRUE))</f>
        <v>1</v>
      </c>
      <c r="J699" s="4" t="b">
        <f>H699 &lt;&gt; ""</f>
        <v>1</v>
      </c>
      <c r="K699" s="4">
        <f>COUNTIFS(FieldDisagreements!D2:D50, A699)</f>
        <v>0</v>
      </c>
      <c r="L699" s="4" t="b">
        <f>K699 &gt; 0</f>
        <v>0</v>
      </c>
      <c r="M699" s="3" t="s">
        <v>2418</v>
      </c>
    </row>
    <row r="700">
      <c r="A700" s="3" t="s">
        <v>3540</v>
      </c>
      <c r="B700" s="4" t="str">
        <f>C700 &amp; "." &amp; D700</f>
        <v>ProcedureExecutions.AssuranceChainIsCircular</v>
      </c>
      <c r="C700" s="3" t="s">
        <v>1824</v>
      </c>
      <c r="D700" s="3" t="s">
        <v>1323</v>
      </c>
      <c r="E700" s="3" t="s">
        <v>2420</v>
      </c>
      <c r="F700" s="3" t="s">
        <v>2432</v>
      </c>
      <c r="G700" s="3" t="s">
        <v>3541</v>
      </c>
      <c r="H700" s="3" t="s">
        <v>2307</v>
      </c>
      <c r="I700" s="4" t="b">
        <f>OR(((E700 = "calculated")=TRUE), ((E700 = "lookup")=TRUE), ((E700 = "aggregation")=TRUE))</f>
        <v>1</v>
      </c>
      <c r="J700" s="4" t="b">
        <f>H700 &lt;&gt; ""</f>
        <v>1</v>
      </c>
      <c r="K700" s="4">
        <f>COUNTIFS(FieldDisagreements!D2:D50, A700)</f>
        <v>0</v>
      </c>
      <c r="L700" s="4" t="b">
        <f>K700 &gt; 0</f>
        <v>0</v>
      </c>
      <c r="M700" s="3" t="s">
        <v>2418</v>
      </c>
    </row>
    <row r="701">
      <c r="A701" s="3" t="s">
        <v>3542</v>
      </c>
      <c r="B701" s="4" t="str">
        <f>C701 &amp; "." &amp; D701</f>
        <v>ProcedureExecutions.LatestAttestationInstant</v>
      </c>
      <c r="C701" s="3" t="s">
        <v>1824</v>
      </c>
      <c r="D701" s="3" t="s">
        <v>1324</v>
      </c>
      <c r="E701" s="3" t="s">
        <v>2469</v>
      </c>
      <c r="F701" s="3" t="s">
        <v>2428</v>
      </c>
      <c r="G701" s="3" t="s">
        <v>3543</v>
      </c>
      <c r="H701" s="3" t="s">
        <v>2315</v>
      </c>
      <c r="I701" s="4" t="b">
        <f>OR(((E701 = "calculated")=TRUE), ((E701 = "lookup")=TRUE), ((E701 = "aggregation")=TRUE))</f>
        <v>1</v>
      </c>
      <c r="J701" s="4" t="b">
        <f>H701 &lt;&gt; ""</f>
        <v>1</v>
      </c>
      <c r="K701" s="4">
        <f>COUNTIFS(FieldDisagreements!D2:D50, A701)</f>
        <v>1</v>
      </c>
      <c r="L701" s="4" t="b">
        <f>K701 &gt; 0</f>
        <v>1</v>
      </c>
      <c r="M701" s="3" t="s">
        <v>2418</v>
      </c>
    </row>
    <row r="702">
      <c r="A702" s="3" t="s">
        <v>3544</v>
      </c>
      <c r="B702" s="4" t="str">
        <f>C702 &amp; "." &amp; D702</f>
        <v>ProcedureExecutions.HasBeenAttested</v>
      </c>
      <c r="C702" s="3" t="s">
        <v>1824</v>
      </c>
      <c r="D702" s="3" t="s">
        <v>1325</v>
      </c>
      <c r="E702" s="3" t="s">
        <v>2420</v>
      </c>
      <c r="F702" s="3" t="s">
        <v>2432</v>
      </c>
      <c r="G702" s="3" t="s">
        <v>3545</v>
      </c>
      <c r="H702" s="3" t="s">
        <v>2315</v>
      </c>
      <c r="I702" s="4" t="b">
        <f>OR(((E702 = "calculated")=TRUE), ((E702 = "lookup")=TRUE), ((E702 = "aggregation")=TRUE))</f>
        <v>1</v>
      </c>
      <c r="J702" s="4" t="b">
        <f>H702 &lt;&gt; ""</f>
        <v>1</v>
      </c>
      <c r="K702" s="4">
        <f>COUNTIFS(FieldDisagreements!D2:D50, A702)</f>
        <v>0</v>
      </c>
      <c r="L702" s="4" t="b">
        <f>K702 &gt; 0</f>
        <v>0</v>
      </c>
      <c r="M702" s="3" t="s">
        <v>2418</v>
      </c>
    </row>
    <row r="703">
      <c r="A703" s="3" t="s">
        <v>3546</v>
      </c>
      <c r="B703" s="4" t="str">
        <f>C703 &amp; "." &amp; D703</f>
        <v>ProcedureExecutions.AttestationCount</v>
      </c>
      <c r="C703" s="3" t="s">
        <v>1824</v>
      </c>
      <c r="D703" s="3" t="s">
        <v>1326</v>
      </c>
      <c r="E703" s="3" t="s">
        <v>2469</v>
      </c>
      <c r="F703" s="3" t="s">
        <v>2475</v>
      </c>
      <c r="G703" s="3" t="s">
        <v>3547</v>
      </c>
      <c r="H703" s="3" t="s">
        <v>2315</v>
      </c>
      <c r="I703" s="4" t="b">
        <f>OR(((E703 = "calculated")=TRUE), ((E703 = "lookup")=TRUE), ((E703 = "aggregation")=TRUE))</f>
        <v>1</v>
      </c>
      <c r="J703" s="4" t="b">
        <f>H703 &lt;&gt; ""</f>
        <v>1</v>
      </c>
      <c r="K703" s="4">
        <f>COUNTIFS(FieldDisagreements!D2:D50, A703)</f>
        <v>0</v>
      </c>
      <c r="L703" s="4" t="b">
        <f>K703 &gt; 0</f>
        <v>0</v>
      </c>
      <c r="M703" s="3" t="s">
        <v>2418</v>
      </c>
    </row>
    <row r="704">
      <c r="A704" s="3" t="s">
        <v>3548</v>
      </c>
      <c r="B704" s="4" t="str">
        <f>C704 &amp; "." &amp; D704</f>
        <v>ProcedureExecutions.PostAttestationScoreCount</v>
      </c>
      <c r="C704" s="3" t="s">
        <v>1824</v>
      </c>
      <c r="D704" s="3" t="s">
        <v>1327</v>
      </c>
      <c r="E704" s="3" t="s">
        <v>2469</v>
      </c>
      <c r="F704" s="3" t="s">
        <v>2475</v>
      </c>
      <c r="G704" s="3" t="s">
        <v>3549</v>
      </c>
      <c r="H704" s="3" t="s">
        <v>2315</v>
      </c>
      <c r="I704" s="4" t="b">
        <f>OR(((E704 = "calculated")=TRUE), ((E704 = "lookup")=TRUE), ((E704 = "aggregation")=TRUE))</f>
        <v>1</v>
      </c>
      <c r="J704" s="4" t="b">
        <f>H704 &lt;&gt; ""</f>
        <v>1</v>
      </c>
      <c r="K704" s="4">
        <f>COUNTIFS(FieldDisagreements!D2:D50, A704)</f>
        <v>1</v>
      </c>
      <c r="L704" s="4" t="b">
        <f>K704 &gt; 0</f>
        <v>1</v>
      </c>
      <c r="M704" s="3" t="s">
        <v>2418</v>
      </c>
    </row>
    <row r="705">
      <c r="A705" s="3" t="s">
        <v>3550</v>
      </c>
      <c r="B705" s="4" t="str">
        <f>C705 &amp; "." &amp; D705</f>
        <v>ProcedureExecutions.BasisChangedAfterSignature</v>
      </c>
      <c r="C705" s="3" t="s">
        <v>1824</v>
      </c>
      <c r="D705" s="3" t="s">
        <v>1328</v>
      </c>
      <c r="E705" s="3" t="s">
        <v>2420</v>
      </c>
      <c r="F705" s="3" t="s">
        <v>2432</v>
      </c>
      <c r="G705" s="3" t="s">
        <v>3551</v>
      </c>
      <c r="H705" s="3" t="s">
        <v>2315</v>
      </c>
      <c r="I705" s="4" t="b">
        <f>OR(((E705 = "calculated")=TRUE), ((E705 = "lookup")=TRUE), ((E705 = "aggregation")=TRUE))</f>
        <v>1</v>
      </c>
      <c r="J705" s="4" t="b">
        <f>H705 &lt;&gt; ""</f>
        <v>1</v>
      </c>
      <c r="K705" s="4">
        <f>COUNTIFS(FieldDisagreements!D2:D50, A705)</f>
        <v>0</v>
      </c>
      <c r="L705" s="4" t="b">
        <f>K705 &gt; 0</f>
        <v>0</v>
      </c>
      <c r="M705" s="3" t="s">
        <v>2418</v>
      </c>
    </row>
    <row r="706">
      <c r="A706" s="3" t="s">
        <v>3552</v>
      </c>
      <c r="B706" s="4" t="str">
        <f>C706 &amp; "." &amp; D706</f>
        <v>ProcedureExecutions.RequiresReAttestation</v>
      </c>
      <c r="C706" s="3" t="s">
        <v>1824</v>
      </c>
      <c r="D706" s="3" t="s">
        <v>1329</v>
      </c>
      <c r="E706" s="3" t="s">
        <v>2420</v>
      </c>
      <c r="F706" s="3" t="s">
        <v>2432</v>
      </c>
      <c r="G706" s="3" t="s">
        <v>3553</v>
      </c>
      <c r="H706" s="3" t="s">
        <v>2315</v>
      </c>
      <c r="I706" s="4" t="b">
        <f>OR(((E706 = "calculated")=TRUE), ((E706 = "lookup")=TRUE), ((E706 = "aggregation")=TRUE))</f>
        <v>1</v>
      </c>
      <c r="J706" s="4" t="b">
        <f>H706 &lt;&gt; ""</f>
        <v>1</v>
      </c>
      <c r="K706" s="4">
        <f>COUNTIFS(FieldDisagreements!D2:D50, A706)</f>
        <v>0</v>
      </c>
      <c r="L706" s="4" t="b">
        <f>K706 &gt; 0</f>
        <v>0</v>
      </c>
      <c r="M706" s="3" t="s">
        <v>2418</v>
      </c>
    </row>
    <row r="707">
      <c r="A707" s="3" t="s">
        <v>3554</v>
      </c>
      <c r="B707" s="4" t="str">
        <f>C707 &amp; "." &amp; D707</f>
        <v>ProcedureExecutions.IntendedRecipientCount</v>
      </c>
      <c r="C707" s="3" t="s">
        <v>1824</v>
      </c>
      <c r="D707" s="3" t="s">
        <v>1330</v>
      </c>
      <c r="E707" s="3" t="s">
        <v>2469</v>
      </c>
      <c r="F707" s="3" t="s">
        <v>2475</v>
      </c>
      <c r="G707" s="3" t="s">
        <v>3555</v>
      </c>
      <c r="H707" s="3" t="s">
        <v>2319</v>
      </c>
      <c r="I707" s="4" t="b">
        <f>OR(((E707 = "calculated")=TRUE), ((E707 = "lookup")=TRUE), ((E707 = "aggregation")=TRUE))</f>
        <v>1</v>
      </c>
      <c r="J707" s="4" t="b">
        <f>H707 &lt;&gt; ""</f>
        <v>1</v>
      </c>
      <c r="K707" s="4">
        <f>COUNTIFS(FieldDisagreements!D2:D50, A707)</f>
        <v>0</v>
      </c>
      <c r="L707" s="4" t="b">
        <f>K707 &gt; 0</f>
        <v>0</v>
      </c>
      <c r="M707" s="3" t="s">
        <v>2418</v>
      </c>
    </row>
    <row r="708">
      <c r="A708" s="3" t="s">
        <v>3556</v>
      </c>
      <c r="B708" s="4" t="str">
        <f>C708 &amp; "." &amp; D708</f>
        <v>ProcedureExecutions.ReachedRecipientCount</v>
      </c>
      <c r="C708" s="3" t="s">
        <v>1824</v>
      </c>
      <c r="D708" s="3" t="s">
        <v>1331</v>
      </c>
      <c r="E708" s="3" t="s">
        <v>2469</v>
      </c>
      <c r="F708" s="3" t="s">
        <v>2475</v>
      </c>
      <c r="G708" s="3" t="s">
        <v>3557</v>
      </c>
      <c r="H708" s="3" t="s">
        <v>2319</v>
      </c>
      <c r="I708" s="4" t="b">
        <f>OR(((E708 = "calculated")=TRUE), ((E708 = "lookup")=TRUE), ((E708 = "aggregation")=TRUE))</f>
        <v>1</v>
      </c>
      <c r="J708" s="4" t="b">
        <f>H708 &lt;&gt; ""</f>
        <v>1</v>
      </c>
      <c r="K708" s="4">
        <f>COUNTIFS(FieldDisagreements!D2:D50, A708)</f>
        <v>0</v>
      </c>
      <c r="L708" s="4" t="b">
        <f>K708 &gt; 0</f>
        <v>0</v>
      </c>
      <c r="M708" s="3" t="s">
        <v>2418</v>
      </c>
    </row>
    <row r="709">
      <c r="A709" s="3" t="s">
        <v>3558</v>
      </c>
      <c r="B709" s="4" t="str">
        <f>C709 &amp; "." &amp; D709</f>
        <v>ProcedureExecutions.SilentlyDroppedCount</v>
      </c>
      <c r="C709" s="3" t="s">
        <v>1824</v>
      </c>
      <c r="D709" s="3" t="s">
        <v>1332</v>
      </c>
      <c r="E709" s="3" t="s">
        <v>2469</v>
      </c>
      <c r="F709" s="3" t="s">
        <v>2475</v>
      </c>
      <c r="G709" s="3" t="s">
        <v>3559</v>
      </c>
      <c r="H709" s="3" t="s">
        <v>2319</v>
      </c>
      <c r="I709" s="4" t="b">
        <f>OR(((E709 = "calculated")=TRUE), ((E709 = "lookup")=TRUE), ((E709 = "aggregation")=TRUE))</f>
        <v>1</v>
      </c>
      <c r="J709" s="4" t="b">
        <f>H709 &lt;&gt; ""</f>
        <v>1</v>
      </c>
      <c r="K709" s="4">
        <f>COUNTIFS(FieldDisagreements!D2:D50, A709)</f>
        <v>0</v>
      </c>
      <c r="L709" s="4" t="b">
        <f>K709 &gt; 0</f>
        <v>0</v>
      </c>
      <c r="M709" s="3" t="s">
        <v>2418</v>
      </c>
    </row>
    <row r="710">
      <c r="A710" s="3" t="s">
        <v>3560</v>
      </c>
      <c r="B710" s="4" t="str">
        <f>C710 &amp; "." &amp; D710</f>
        <v>ProcedureExecutions.DeliveryYieldPercent</v>
      </c>
      <c r="C710" s="3" t="s">
        <v>1824</v>
      </c>
      <c r="D710" s="3" t="s">
        <v>1333</v>
      </c>
      <c r="E710" s="3" t="s">
        <v>2420</v>
      </c>
      <c r="F710" s="3" t="s">
        <v>2475</v>
      </c>
      <c r="G710" s="3" t="s">
        <v>3561</v>
      </c>
      <c r="H710" s="3" t="s">
        <v>2319</v>
      </c>
      <c r="I710" s="4" t="b">
        <f>OR(((E710 = "calculated")=TRUE), ((E710 = "lookup")=TRUE), ((E710 = "aggregation")=TRUE))</f>
        <v>1</v>
      </c>
      <c r="J710" s="4" t="b">
        <f>H710 &lt;&gt; ""</f>
        <v>1</v>
      </c>
      <c r="K710" s="4">
        <f>COUNTIFS(FieldDisagreements!D2:D50, A710)</f>
        <v>0</v>
      </c>
      <c r="L710" s="4" t="b">
        <f>K710 &gt; 0</f>
        <v>0</v>
      </c>
      <c r="M710" s="3" t="s">
        <v>2418</v>
      </c>
    </row>
    <row r="711">
      <c r="A711" s="3" t="s">
        <v>3562</v>
      </c>
      <c r="B711" s="4" t="str">
        <f>C711 &amp; "." &amp; D711</f>
        <v>ProcedureExecutions.CampaignSilentlyLostAudience</v>
      </c>
      <c r="C711" s="3" t="s">
        <v>1824</v>
      </c>
      <c r="D711" s="3" t="s">
        <v>1334</v>
      </c>
      <c r="E711" s="3" t="s">
        <v>2420</v>
      </c>
      <c r="F711" s="3" t="s">
        <v>2432</v>
      </c>
      <c r="G711" s="3" t="s">
        <v>3563</v>
      </c>
      <c r="H711" s="3" t="s">
        <v>2319</v>
      </c>
      <c r="I711" s="4" t="b">
        <f>OR(((E711 = "calculated")=TRUE), ((E711 = "lookup")=TRUE), ((E711 = "aggregation")=TRUE))</f>
        <v>1</v>
      </c>
      <c r="J711" s="4" t="b">
        <f>H711 &lt;&gt; ""</f>
        <v>1</v>
      </c>
      <c r="K711" s="4">
        <f>COUNTIFS(FieldDisagreements!D2:D50, A711)</f>
        <v>0</v>
      </c>
      <c r="L711" s="4" t="b">
        <f>K711 &gt; 0</f>
        <v>0</v>
      </c>
      <c r="M711" s="3" t="s">
        <v>2418</v>
      </c>
    </row>
    <row r="712">
      <c r="A712" s="3" t="s">
        <v>3564</v>
      </c>
      <c r="B712" s="4" t="str">
        <f>C712 &amp; "." &amp; D712</f>
        <v>ProcedureExecutions.UnrecordedRefusalCount</v>
      </c>
      <c r="C712" s="3" t="s">
        <v>1824</v>
      </c>
      <c r="D712" s="3" t="s">
        <v>1335</v>
      </c>
      <c r="E712" s="3" t="s">
        <v>2469</v>
      </c>
      <c r="F712" s="3" t="s">
        <v>2475</v>
      </c>
      <c r="G712" s="3" t="s">
        <v>3565</v>
      </c>
      <c r="H712" s="3" t="s">
        <v>2359</v>
      </c>
      <c r="I712" s="4" t="b">
        <f>OR(((E712 = "calculated")=TRUE), ((E712 = "lookup")=TRUE), ((E712 = "aggregation")=TRUE))</f>
        <v>1</v>
      </c>
      <c r="J712" s="4" t="b">
        <f>H712 &lt;&gt; ""</f>
        <v>1</v>
      </c>
      <c r="K712" s="4">
        <f>COUNTIFS(FieldDisagreements!D2:D50, A712)</f>
        <v>0</v>
      </c>
      <c r="L712" s="4" t="b">
        <f>K712 &gt; 0</f>
        <v>0</v>
      </c>
      <c r="M712" s="3" t="s">
        <v>2418</v>
      </c>
    </row>
    <row r="713">
      <c r="A713" s="3" t="s">
        <v>3566</v>
      </c>
      <c r="B713" s="4" t="str">
        <f>C713 &amp; "." &amp; D713</f>
        <v>ProcedureExecutions.HasUnrecordedRefusals</v>
      </c>
      <c r="C713" s="3" t="s">
        <v>1824</v>
      </c>
      <c r="D713" s="3" t="s">
        <v>1336</v>
      </c>
      <c r="E713" s="3" t="s">
        <v>2420</v>
      </c>
      <c r="F713" s="3" t="s">
        <v>2432</v>
      </c>
      <c r="G713" s="3" t="s">
        <v>3567</v>
      </c>
      <c r="H713" s="3" t="s">
        <v>2359</v>
      </c>
      <c r="I713" s="4" t="b">
        <f>OR(((E713 = "calculated")=TRUE), ((E713 = "lookup")=TRUE), ((E713 = "aggregation")=TRUE))</f>
        <v>1</v>
      </c>
      <c r="J713" s="4" t="b">
        <f>H713 &lt;&gt; ""</f>
        <v>1</v>
      </c>
      <c r="K713" s="4">
        <f>COUNTIFS(FieldDisagreements!D2:D50, A713)</f>
        <v>0</v>
      </c>
      <c r="L713" s="4" t="b">
        <f>K713 &gt; 0</f>
        <v>0</v>
      </c>
      <c r="M713" s="3" t="s">
        <v>2418</v>
      </c>
    </row>
    <row r="714">
      <c r="A714" s="3" t="s">
        <v>3568</v>
      </c>
      <c r="B714" s="4" t="str">
        <f>C714 &amp; "." &amp; D714</f>
        <v>ProcedureExecutions.IndependentlyConfirmedIntentCount</v>
      </c>
      <c r="C714" s="3" t="s">
        <v>1824</v>
      </c>
      <c r="D714" s="3" t="s">
        <v>1337</v>
      </c>
      <c r="E714" s="3" t="s">
        <v>2469</v>
      </c>
      <c r="F714" s="3" t="s">
        <v>2475</v>
      </c>
      <c r="G714" s="3" t="s">
        <v>3569</v>
      </c>
      <c r="H714" s="3" t="s">
        <v>2371</v>
      </c>
      <c r="I714" s="4" t="b">
        <f>OR(((E714 = "calculated")=TRUE), ((E714 = "lookup")=TRUE), ((E714 = "aggregation")=TRUE))</f>
        <v>1</v>
      </c>
      <c r="J714" s="4" t="b">
        <f>H714 &lt;&gt; ""</f>
        <v>1</v>
      </c>
      <c r="K714" s="4">
        <f>COUNTIFS(FieldDisagreements!D2:D50, A714)</f>
        <v>0</v>
      </c>
      <c r="L714" s="4" t="b">
        <f>K714 &gt; 0</f>
        <v>0</v>
      </c>
      <c r="M714" s="3" t="s">
        <v>2418</v>
      </c>
    </row>
    <row r="715">
      <c r="A715" s="3" t="s">
        <v>3570</v>
      </c>
      <c r="B715" s="4" t="str">
        <f>C715 &amp; "." &amp; D715</f>
        <v>ProcedureExecutions.SendDecisionsAreEntirelySelfWitnessed</v>
      </c>
      <c r="C715" s="3" t="s">
        <v>1824</v>
      </c>
      <c r="D715" s="3" t="s">
        <v>1338</v>
      </c>
      <c r="E715" s="3" t="s">
        <v>2420</v>
      </c>
      <c r="F715" s="3" t="s">
        <v>2432</v>
      </c>
      <c r="G715" s="3" t="s">
        <v>3571</v>
      </c>
      <c r="H715" s="3" t="s">
        <v>2371</v>
      </c>
      <c r="I715" s="4" t="b">
        <f>OR(((E715 = "calculated")=TRUE), ((E715 = "lookup")=TRUE), ((E715 = "aggregation")=TRUE))</f>
        <v>1</v>
      </c>
      <c r="J715" s="4" t="b">
        <f>H715 &lt;&gt; ""</f>
        <v>1</v>
      </c>
      <c r="K715" s="4">
        <f>COUNTIFS(FieldDisagreements!D2:D50, A715)</f>
        <v>0</v>
      </c>
      <c r="L715" s="4" t="b">
        <f>K715 &gt; 0</f>
        <v>0</v>
      </c>
      <c r="M715" s="3" t="s">
        <v>2418</v>
      </c>
    </row>
    <row r="716">
      <c r="A716" s="3" t="s">
        <v>3572</v>
      </c>
      <c r="B716" s="4" t="str">
        <f>C716 &amp; "." &amp; D716</f>
        <v>ProcedureExecutions.SemanticTypeIri</v>
      </c>
      <c r="C716" s="3" t="s">
        <v>1824</v>
      </c>
      <c r="D716" s="3" t="s">
        <v>94</v>
      </c>
      <c r="E716" s="3" t="s">
        <v>2416</v>
      </c>
      <c r="F716" s="3" t="s">
        <v>2417</v>
      </c>
      <c r="G716" s="3"/>
      <c r="H716" s="3"/>
      <c r="I716" s="4" t="b">
        <f>OR(((E716 = "calculated")=TRUE), ((E716 = "lookup")=TRUE), ((E716 = "aggregation")=TRUE))</f>
        <v>0</v>
      </c>
      <c r="J716" s="4" t="b">
        <f>H716 &lt;&gt; ""</f>
        <v>0</v>
      </c>
      <c r="K716" s="4">
        <f>COUNTIFS(FieldDisagreements!D2:D50, A716)</f>
        <v>0</v>
      </c>
      <c r="L716" s="4" t="b">
        <f>K716 &gt; 0</f>
        <v>0</v>
      </c>
      <c r="M716" s="3" t="s">
        <v>2418</v>
      </c>
    </row>
    <row r="717">
      <c r="A717" s="3" t="s">
        <v>3573</v>
      </c>
      <c r="B717" s="4" t="str">
        <f>C717 &amp; "." &amp; D717</f>
        <v>StepExecutions.StepExecutionId</v>
      </c>
      <c r="C717" s="3" t="s">
        <v>1827</v>
      </c>
      <c r="D717" s="3" t="s">
        <v>1348</v>
      </c>
      <c r="E717" s="3" t="s">
        <v>2416</v>
      </c>
      <c r="F717" s="3" t="s">
        <v>2417</v>
      </c>
      <c r="G717" s="3"/>
      <c r="H717" s="3"/>
      <c r="I717" s="4" t="b">
        <f>OR(((E717 = "calculated")=TRUE), ((E717 = "lookup")=TRUE), ((E717 = "aggregation")=TRUE))</f>
        <v>0</v>
      </c>
      <c r="J717" s="4" t="b">
        <f>H717 &lt;&gt; ""</f>
        <v>0</v>
      </c>
      <c r="K717" s="4">
        <f>COUNTIFS(FieldDisagreements!D2:D50, A717)</f>
        <v>0</v>
      </c>
      <c r="L717" s="4" t="b">
        <f>K717 &gt; 0</f>
        <v>0</v>
      </c>
      <c r="M717" s="3" t="s">
        <v>2418</v>
      </c>
    </row>
    <row r="718">
      <c r="A718" s="3" t="s">
        <v>3574</v>
      </c>
      <c r="B718" s="4" t="str">
        <f>C718 &amp; "." &amp; D718</f>
        <v>StepExecutions.Name</v>
      </c>
      <c r="C718" s="3" t="s">
        <v>1827</v>
      </c>
      <c r="D718" s="3" t="s">
        <v>1</v>
      </c>
      <c r="E718" s="3" t="s">
        <v>2420</v>
      </c>
      <c r="F718" s="3" t="s">
        <v>2417</v>
      </c>
      <c r="G718" s="3" t="s">
        <v>3575</v>
      </c>
      <c r="H718" s="3"/>
      <c r="I718" s="4" t="b">
        <f>OR(((E718 = "calculated")=TRUE), ((E718 = "lookup")=TRUE), ((E718 = "aggregation")=TRUE))</f>
        <v>1</v>
      </c>
      <c r="J718" s="4" t="b">
        <f>H718 &lt;&gt; ""</f>
        <v>0</v>
      </c>
      <c r="K718" s="4">
        <f>COUNTIFS(FieldDisagreements!D2:D50, A718)</f>
        <v>0</v>
      </c>
      <c r="L718" s="4" t="b">
        <f>K718 &gt; 0</f>
        <v>0</v>
      </c>
      <c r="M718" s="3" t="s">
        <v>2418</v>
      </c>
    </row>
    <row r="719">
      <c r="A719" s="3" t="s">
        <v>3576</v>
      </c>
      <c r="B719" s="4" t="str">
        <f>C719 &amp; "." &amp; D719</f>
        <v>StepExecutions.ProcedureExecution</v>
      </c>
      <c r="C719" s="3" t="s">
        <v>1827</v>
      </c>
      <c r="D719" s="3" t="s">
        <v>1349</v>
      </c>
      <c r="E719" s="3" t="s">
        <v>2465</v>
      </c>
      <c r="F719" s="3" t="s">
        <v>2417</v>
      </c>
      <c r="G719" s="3"/>
      <c r="H719" s="3"/>
      <c r="I719" s="4" t="b">
        <f>OR(((E719 = "calculated")=TRUE), ((E719 = "lookup")=TRUE), ((E719 = "aggregation")=TRUE))</f>
        <v>0</v>
      </c>
      <c r="J719" s="4" t="b">
        <f>H719 &lt;&gt; ""</f>
        <v>0</v>
      </c>
      <c r="K719" s="4">
        <f>COUNTIFS(FieldDisagreements!D2:D50, A719)</f>
        <v>0</v>
      </c>
      <c r="L719" s="4" t="b">
        <f>K719 &gt; 0</f>
        <v>0</v>
      </c>
      <c r="M719" s="3" t="s">
        <v>2418</v>
      </c>
    </row>
    <row r="720">
      <c r="A720" s="3" t="s">
        <v>3577</v>
      </c>
      <c r="B720" s="4" t="str">
        <f>C720 &amp; "." &amp; D720</f>
        <v>StepExecutions.Step</v>
      </c>
      <c r="C720" s="3" t="s">
        <v>1827</v>
      </c>
      <c r="D720" s="3" t="s">
        <v>767</v>
      </c>
      <c r="E720" s="3" t="s">
        <v>2465</v>
      </c>
      <c r="F720" s="3" t="s">
        <v>2417</v>
      </c>
      <c r="G720" s="3"/>
      <c r="H720" s="3"/>
      <c r="I720" s="4" t="b">
        <f>OR(((E720 = "calculated")=TRUE), ((E720 = "lookup")=TRUE), ((E720 = "aggregation")=TRUE))</f>
        <v>0</v>
      </c>
      <c r="J720" s="4" t="b">
        <f>H720 &lt;&gt; ""</f>
        <v>0</v>
      </c>
      <c r="K720" s="4">
        <f>COUNTIFS(FieldDisagreements!D2:D50, A720)</f>
        <v>0</v>
      </c>
      <c r="L720" s="4" t="b">
        <f>K720 &gt; 0</f>
        <v>0</v>
      </c>
      <c r="M720" s="3" t="s">
        <v>2418</v>
      </c>
    </row>
    <row r="721">
      <c r="A721" s="3" t="s">
        <v>3578</v>
      </c>
      <c r="B721" s="4" t="str">
        <f>C721 &amp; "." &amp; D721</f>
        <v>StepExecutions.ExecutedByAgent</v>
      </c>
      <c r="C721" s="3" t="s">
        <v>1827</v>
      </c>
      <c r="D721" s="3" t="s">
        <v>1268</v>
      </c>
      <c r="E721" s="3" t="s">
        <v>2465</v>
      </c>
      <c r="F721" s="3" t="s">
        <v>2417</v>
      </c>
      <c r="G721" s="3"/>
      <c r="H721" s="3"/>
      <c r="I721" s="4" t="b">
        <f>OR(((E721 = "calculated")=TRUE), ((E721 = "lookup")=TRUE), ((E721 = "aggregation")=TRUE))</f>
        <v>0</v>
      </c>
      <c r="J721" s="4" t="b">
        <f>H721 &lt;&gt; ""</f>
        <v>0</v>
      </c>
      <c r="K721" s="4">
        <f>COUNTIFS(FieldDisagreements!D2:D50, A721)</f>
        <v>0</v>
      </c>
      <c r="L721" s="4" t="b">
        <f>K721 &gt; 0</f>
        <v>0</v>
      </c>
      <c r="M721" s="3" t="s">
        <v>2418</v>
      </c>
    </row>
    <row r="722">
      <c r="A722" s="3" t="s">
        <v>3579</v>
      </c>
      <c r="B722" s="4" t="str">
        <f>C722 &amp; "." &amp; D722</f>
        <v>StepExecutions.ExecutionStatus</v>
      </c>
      <c r="C722" s="3" t="s">
        <v>1827</v>
      </c>
      <c r="D722" s="3" t="s">
        <v>1267</v>
      </c>
      <c r="E722" s="3" t="s">
        <v>2416</v>
      </c>
      <c r="F722" s="3" t="s">
        <v>2417</v>
      </c>
      <c r="G722" s="3"/>
      <c r="H722" s="3"/>
      <c r="I722" s="4" t="b">
        <f>OR(((E722 = "calculated")=TRUE), ((E722 = "lookup")=TRUE), ((E722 = "aggregation")=TRUE))</f>
        <v>0</v>
      </c>
      <c r="J722" s="4" t="b">
        <f>H722 &lt;&gt; ""</f>
        <v>0</v>
      </c>
      <c r="K722" s="4">
        <f>COUNTIFS(FieldDisagreements!D2:D50, A722)</f>
        <v>0</v>
      </c>
      <c r="L722" s="4" t="b">
        <f>K722 &gt; 0</f>
        <v>0</v>
      </c>
      <c r="M722" s="3" t="s">
        <v>2418</v>
      </c>
    </row>
    <row r="723">
      <c r="A723" s="3" t="s">
        <v>3580</v>
      </c>
      <c r="B723" s="4" t="str">
        <f>C723 &amp; "." &amp; D723</f>
        <v>StepExecutions.StartedAt</v>
      </c>
      <c r="C723" s="3" t="s">
        <v>1827</v>
      </c>
      <c r="D723" s="3" t="s">
        <v>1080</v>
      </c>
      <c r="E723" s="3" t="s">
        <v>2416</v>
      </c>
      <c r="F723" s="3" t="s">
        <v>2428</v>
      </c>
      <c r="G723" s="3"/>
      <c r="H723" s="3"/>
      <c r="I723" s="4" t="b">
        <f>OR(((E723 = "calculated")=TRUE), ((E723 = "lookup")=TRUE), ((E723 = "aggregation")=TRUE))</f>
        <v>0</v>
      </c>
      <c r="J723" s="4" t="b">
        <f>H723 &lt;&gt; ""</f>
        <v>0</v>
      </c>
      <c r="K723" s="4">
        <f>COUNTIFS(FieldDisagreements!D2:D50, A723)</f>
        <v>0</v>
      </c>
      <c r="L723" s="4" t="b">
        <f>K723 &gt; 0</f>
        <v>0</v>
      </c>
      <c r="M723" s="3" t="s">
        <v>2418</v>
      </c>
    </row>
    <row r="724">
      <c r="A724" s="3" t="s">
        <v>3581</v>
      </c>
      <c r="B724" s="4" t="str">
        <f>C724 &amp; "." &amp; D724</f>
        <v>StepExecutions.EndedAt</v>
      </c>
      <c r="C724" s="3" t="s">
        <v>1827</v>
      </c>
      <c r="D724" s="3" t="s">
        <v>1081</v>
      </c>
      <c r="E724" s="3" t="s">
        <v>2416</v>
      </c>
      <c r="F724" s="3" t="s">
        <v>2428</v>
      </c>
      <c r="G724" s="3"/>
      <c r="H724" s="3"/>
      <c r="I724" s="4" t="b">
        <f>OR(((E724 = "calculated")=TRUE), ((E724 = "lookup")=TRUE), ((E724 = "aggregation")=TRUE))</f>
        <v>0</v>
      </c>
      <c r="J724" s="4" t="b">
        <f>H724 &lt;&gt; ""</f>
        <v>0</v>
      </c>
      <c r="K724" s="4">
        <f>COUNTIFS(FieldDisagreements!D2:D50, A724)</f>
        <v>0</v>
      </c>
      <c r="L724" s="4" t="b">
        <f>K724 &gt; 0</f>
        <v>0</v>
      </c>
      <c r="M724" s="3" t="s">
        <v>2418</v>
      </c>
    </row>
    <row r="725">
      <c r="A725" s="3" t="s">
        <v>3582</v>
      </c>
      <c r="B725" s="4" t="str">
        <f>C725 &amp; "." &amp; D725</f>
        <v>StepExecutions.VerificationResult</v>
      </c>
      <c r="C725" s="3" t="s">
        <v>1827</v>
      </c>
      <c r="D725" s="3" t="s">
        <v>1350</v>
      </c>
      <c r="E725" s="3" t="s">
        <v>2416</v>
      </c>
      <c r="F725" s="3" t="s">
        <v>2417</v>
      </c>
      <c r="G725" s="3"/>
      <c r="H725" s="3"/>
      <c r="I725" s="4" t="b">
        <f>OR(((E725 = "calculated")=TRUE), ((E725 = "lookup")=TRUE), ((E725 = "aggregation")=TRUE))</f>
        <v>0</v>
      </c>
      <c r="J725" s="4" t="b">
        <f>H725 &lt;&gt; ""</f>
        <v>0</v>
      </c>
      <c r="K725" s="4">
        <f>COUNTIFS(FieldDisagreements!D2:D50, A725)</f>
        <v>0</v>
      </c>
      <c r="L725" s="4" t="b">
        <f>K725 &gt; 0</f>
        <v>0</v>
      </c>
      <c r="M725" s="3" t="s">
        <v>2418</v>
      </c>
    </row>
    <row r="726">
      <c r="A726" s="3" t="s">
        <v>3583</v>
      </c>
      <c r="B726" s="4" t="str">
        <f>C726 &amp; "." &amp; D726</f>
        <v>StepExecutions.Deviation</v>
      </c>
      <c r="C726" s="3" t="s">
        <v>1827</v>
      </c>
      <c r="D726" s="3" t="s">
        <v>1351</v>
      </c>
      <c r="E726" s="3" t="s">
        <v>2416</v>
      </c>
      <c r="F726" s="3" t="s">
        <v>2417</v>
      </c>
      <c r="G726" s="3"/>
      <c r="H726" s="3"/>
      <c r="I726" s="4" t="b">
        <f>OR(((E726 = "calculated")=TRUE), ((E726 = "lookup")=TRUE), ((E726 = "aggregation")=TRUE))</f>
        <v>0</v>
      </c>
      <c r="J726" s="4" t="b">
        <f>H726 &lt;&gt; ""</f>
        <v>0</v>
      </c>
      <c r="K726" s="4">
        <f>COUNTIFS(FieldDisagreements!D2:D50, A726)</f>
        <v>0</v>
      </c>
      <c r="L726" s="4" t="b">
        <f>K726 &gt; 0</f>
        <v>0</v>
      </c>
      <c r="M726" s="3" t="s">
        <v>2418</v>
      </c>
    </row>
    <row r="727">
      <c r="A727" s="3" t="s">
        <v>3584</v>
      </c>
      <c r="B727" s="4" t="str">
        <f>C727 &amp; "." &amp; D727</f>
        <v>StepExecutions.ActualDurationMinutes</v>
      </c>
      <c r="C727" s="3" t="s">
        <v>1827</v>
      </c>
      <c r="D727" s="3" t="s">
        <v>1352</v>
      </c>
      <c r="E727" s="3" t="s">
        <v>2420</v>
      </c>
      <c r="F727" s="3" t="s">
        <v>2470</v>
      </c>
      <c r="G727" s="3" t="s">
        <v>3585</v>
      </c>
      <c r="H727" s="3"/>
      <c r="I727" s="4" t="b">
        <f>OR(((E727 = "calculated")=TRUE), ((E727 = "lookup")=TRUE), ((E727 = "aggregation")=TRUE))</f>
        <v>1</v>
      </c>
      <c r="J727" s="4" t="b">
        <f>H727 &lt;&gt; ""</f>
        <v>0</v>
      </c>
      <c r="K727" s="4">
        <f>COUNTIFS(FieldDisagreements!D2:D50, A727)</f>
        <v>0</v>
      </c>
      <c r="L727" s="4" t="b">
        <f>K727 &gt; 0</f>
        <v>0</v>
      </c>
      <c r="M727" s="3" t="s">
        <v>2418</v>
      </c>
    </row>
    <row r="728">
      <c r="A728" s="3" t="s">
        <v>3586</v>
      </c>
      <c r="B728" s="4" t="str">
        <f>C728 &amp; "." &amp; D728</f>
        <v>StepExecutions.ExpectedDurationMinutes</v>
      </c>
      <c r="C728" s="3" t="s">
        <v>1827</v>
      </c>
      <c r="D728" s="3" t="s">
        <v>505</v>
      </c>
      <c r="E728" s="3" t="s">
        <v>2509</v>
      </c>
      <c r="F728" s="3" t="s">
        <v>2470</v>
      </c>
      <c r="G728" s="3" t="s">
        <v>3587</v>
      </c>
      <c r="H728" s="3"/>
      <c r="I728" s="4" t="b">
        <f>OR(((E728 = "calculated")=TRUE), ((E728 = "lookup")=TRUE), ((E728 = "aggregation")=TRUE))</f>
        <v>1</v>
      </c>
      <c r="J728" s="4" t="b">
        <f>H728 &lt;&gt; ""</f>
        <v>0</v>
      </c>
      <c r="K728" s="4">
        <f>COUNTIFS(FieldDisagreements!D2:D50, A728)</f>
        <v>0</v>
      </c>
      <c r="L728" s="4" t="b">
        <f>K728 &gt; 0</f>
        <v>0</v>
      </c>
      <c r="M728" s="3" t="s">
        <v>2418</v>
      </c>
    </row>
    <row r="729">
      <c r="A729" s="3" t="s">
        <v>3588</v>
      </c>
      <c r="B729" s="4" t="str">
        <f>C729 &amp; "." &amp; D729</f>
        <v>StepExecutions.IsLate</v>
      </c>
      <c r="C729" s="3" t="s">
        <v>1827</v>
      </c>
      <c r="D729" s="3" t="s">
        <v>1353</v>
      </c>
      <c r="E729" s="3" t="s">
        <v>2420</v>
      </c>
      <c r="F729" s="3" t="s">
        <v>2432</v>
      </c>
      <c r="G729" s="3" t="s">
        <v>3589</v>
      </c>
      <c r="H729" s="3"/>
      <c r="I729" s="4" t="b">
        <f>OR(((E729 = "calculated")=TRUE), ((E729 = "lookup")=TRUE), ((E729 = "aggregation")=TRUE))</f>
        <v>1</v>
      </c>
      <c r="J729" s="4" t="b">
        <f>H729 &lt;&gt; ""</f>
        <v>0</v>
      </c>
      <c r="K729" s="4">
        <f>COUNTIFS(FieldDisagreements!D2:D50, A729)</f>
        <v>0</v>
      </c>
      <c r="L729" s="4" t="b">
        <f>K729 &gt; 0</f>
        <v>0</v>
      </c>
      <c r="M729" s="3" t="s">
        <v>2418</v>
      </c>
    </row>
    <row r="730">
      <c r="A730" s="3" t="s">
        <v>3590</v>
      </c>
      <c r="B730" s="4" t="str">
        <f>C730 &amp; "." &amp; D730</f>
        <v>StepExecutions.BlockingUnmetCount</v>
      </c>
      <c r="C730" s="3" t="s">
        <v>1827</v>
      </c>
      <c r="D730" s="3" t="s">
        <v>1354</v>
      </c>
      <c r="E730" s="3" t="s">
        <v>2469</v>
      </c>
      <c r="F730" s="3" t="s">
        <v>2475</v>
      </c>
      <c r="G730" s="3" t="s">
        <v>3591</v>
      </c>
      <c r="H730" s="3" t="s">
        <v>1958</v>
      </c>
      <c r="I730" s="4" t="b">
        <f>OR(((E730 = "calculated")=TRUE), ((E730 = "lookup")=TRUE), ((E730 = "aggregation")=TRUE))</f>
        <v>1</v>
      </c>
      <c r="J730" s="4" t="b">
        <f>H730 &lt;&gt; ""</f>
        <v>1</v>
      </c>
      <c r="K730" s="4">
        <f>COUNTIFS(FieldDisagreements!D2:D50, A730)</f>
        <v>0</v>
      </c>
      <c r="L730" s="4" t="b">
        <f>K730 &gt; 0</f>
        <v>0</v>
      </c>
      <c r="M730" s="3" t="s">
        <v>2418</v>
      </c>
    </row>
    <row r="731">
      <c r="A731" s="3" t="s">
        <v>3592</v>
      </c>
      <c r="B731" s="4" t="str">
        <f>C731 &amp; "." &amp; D731</f>
        <v>StepExecutions.BlockingUnmetCountSafe</v>
      </c>
      <c r="C731" s="3" t="s">
        <v>1827</v>
      </c>
      <c r="D731" s="3" t="s">
        <v>1355</v>
      </c>
      <c r="E731" s="3" t="s">
        <v>2469</v>
      </c>
      <c r="F731" s="3" t="s">
        <v>2475</v>
      </c>
      <c r="G731" s="3" t="s">
        <v>3593</v>
      </c>
      <c r="H731" s="3" t="s">
        <v>1958</v>
      </c>
      <c r="I731" s="4" t="b">
        <f>OR(((E731 = "calculated")=TRUE), ((E731 = "lookup")=TRUE), ((E731 = "aggregation")=TRUE))</f>
        <v>1</v>
      </c>
      <c r="J731" s="4" t="b">
        <f>H731 &lt;&gt; ""</f>
        <v>1</v>
      </c>
      <c r="K731" s="4">
        <f>COUNTIFS(FieldDisagreements!D2:D50, A731)</f>
        <v>0</v>
      </c>
      <c r="L731" s="4" t="b">
        <f>K731 &gt; 0</f>
        <v>0</v>
      </c>
      <c r="M731" s="3" t="s">
        <v>2418</v>
      </c>
    </row>
    <row r="732">
      <c r="A732" s="3" t="s">
        <v>3594</v>
      </c>
      <c r="B732" s="4" t="str">
        <f>C732 &amp; "." &amp; D732</f>
        <v>StepExecutions.ProceededPastBlockingControl</v>
      </c>
      <c r="C732" s="3" t="s">
        <v>1827</v>
      </c>
      <c r="D732" s="3" t="s">
        <v>1356</v>
      </c>
      <c r="E732" s="3" t="s">
        <v>2420</v>
      </c>
      <c r="F732" s="3" t="s">
        <v>2432</v>
      </c>
      <c r="G732" s="3" t="s">
        <v>3595</v>
      </c>
      <c r="H732" s="3" t="s">
        <v>1958</v>
      </c>
      <c r="I732" s="4" t="b">
        <f>OR(((E732 = "calculated")=TRUE), ((E732 = "lookup")=TRUE), ((E732 = "aggregation")=TRUE))</f>
        <v>1</v>
      </c>
      <c r="J732" s="4" t="b">
        <f>H732 &lt;&gt; ""</f>
        <v>1</v>
      </c>
      <c r="K732" s="4">
        <f>COUNTIFS(FieldDisagreements!D2:D50, A732)</f>
        <v>0</v>
      </c>
      <c r="L732" s="4" t="b">
        <f>K732 &gt; 0</f>
        <v>0</v>
      </c>
      <c r="M732" s="3" t="s">
        <v>2418</v>
      </c>
    </row>
    <row r="733">
      <c r="A733" s="3" t="s">
        <v>3596</v>
      </c>
      <c r="B733" s="4" t="str">
        <f>C733 &amp; "." &amp; D733</f>
        <v>StepExecutions.ExpectedBlockingCount</v>
      </c>
      <c r="C733" s="3" t="s">
        <v>1827</v>
      </c>
      <c r="D733" s="3" t="s">
        <v>1357</v>
      </c>
      <c r="E733" s="3" t="s">
        <v>2509</v>
      </c>
      <c r="F733" s="3" t="s">
        <v>2475</v>
      </c>
      <c r="G733" s="3" t="s">
        <v>3597</v>
      </c>
      <c r="H733" s="3" t="s">
        <v>1963</v>
      </c>
      <c r="I733" s="4" t="b">
        <f>OR(((E733 = "calculated")=TRUE), ((E733 = "lookup")=TRUE), ((E733 = "aggregation")=TRUE))</f>
        <v>1</v>
      </c>
      <c r="J733" s="4" t="b">
        <f>H733 &lt;&gt; ""</f>
        <v>1</v>
      </c>
      <c r="K733" s="4">
        <f>COUNTIFS(FieldDisagreements!D2:D50, A733)</f>
        <v>0</v>
      </c>
      <c r="L733" s="4" t="b">
        <f>K733 &gt; 0</f>
        <v>0</v>
      </c>
      <c r="M733" s="3" t="s">
        <v>2418</v>
      </c>
    </row>
    <row r="734">
      <c r="A734" s="3" t="s">
        <v>3598</v>
      </c>
      <c r="B734" s="4" t="str">
        <f>C734 &amp; "." &amp; D734</f>
        <v>StepExecutions.EvaluatedBlockingCount</v>
      </c>
      <c r="C734" s="3" t="s">
        <v>1827</v>
      </c>
      <c r="D734" s="3" t="s">
        <v>1358</v>
      </c>
      <c r="E734" s="3" t="s">
        <v>2469</v>
      </c>
      <c r="F734" s="3" t="s">
        <v>2475</v>
      </c>
      <c r="G734" s="3" t="s">
        <v>3599</v>
      </c>
      <c r="H734" s="3" t="s">
        <v>1963</v>
      </c>
      <c r="I734" s="4" t="b">
        <f>OR(((E734 = "calculated")=TRUE), ((E734 = "lookup")=TRUE), ((E734 = "aggregation")=TRUE))</f>
        <v>1</v>
      </c>
      <c r="J734" s="4" t="b">
        <f>H734 &lt;&gt; ""</f>
        <v>1</v>
      </c>
      <c r="K734" s="4">
        <f>COUNTIFS(FieldDisagreements!D2:D50, A734)</f>
        <v>0</v>
      </c>
      <c r="L734" s="4" t="b">
        <f>K734 &gt; 0</f>
        <v>0</v>
      </c>
      <c r="M734" s="3" t="s">
        <v>2418</v>
      </c>
    </row>
    <row r="735">
      <c r="A735" s="3" t="s">
        <v>3600</v>
      </c>
      <c r="B735" s="4" t="str">
        <f>C735 &amp; "." &amp; D735</f>
        <v>StepExecutions.UnevaluatedBlockingCount</v>
      </c>
      <c r="C735" s="3" t="s">
        <v>1827</v>
      </c>
      <c r="D735" s="3" t="s">
        <v>1359</v>
      </c>
      <c r="E735" s="3" t="s">
        <v>2420</v>
      </c>
      <c r="F735" s="3" t="s">
        <v>2475</v>
      </c>
      <c r="G735" s="3" t="s">
        <v>3601</v>
      </c>
      <c r="H735" s="3" t="s">
        <v>1963</v>
      </c>
      <c r="I735" s="4" t="b">
        <f>OR(((E735 = "calculated")=TRUE), ((E735 = "lookup")=TRUE), ((E735 = "aggregation")=TRUE))</f>
        <v>1</v>
      </c>
      <c r="J735" s="4" t="b">
        <f>H735 &lt;&gt; ""</f>
        <v>1</v>
      </c>
      <c r="K735" s="4">
        <f>COUNTIFS(FieldDisagreements!D2:D50, A735)</f>
        <v>0</v>
      </c>
      <c r="L735" s="4" t="b">
        <f>K735 &gt; 0</f>
        <v>0</v>
      </c>
      <c r="M735" s="3" t="s">
        <v>2418</v>
      </c>
    </row>
    <row r="736">
      <c r="A736" s="3" t="s">
        <v>3602</v>
      </c>
      <c r="B736" s="4" t="str">
        <f>C736 &amp; "." &amp; D736</f>
        <v>StepExecutions.HasUnevaluatedBlockingControl</v>
      </c>
      <c r="C736" s="3" t="s">
        <v>1827</v>
      </c>
      <c r="D736" s="3" t="s">
        <v>1360</v>
      </c>
      <c r="E736" s="3" t="s">
        <v>2420</v>
      </c>
      <c r="F736" s="3" t="s">
        <v>2432</v>
      </c>
      <c r="G736" s="3" t="s">
        <v>3603</v>
      </c>
      <c r="H736" s="3" t="s">
        <v>1963</v>
      </c>
      <c r="I736" s="4" t="b">
        <f>OR(((E736 = "calculated")=TRUE), ((E736 = "lookup")=TRUE), ((E736 = "aggregation")=TRUE))</f>
        <v>1</v>
      </c>
      <c r="J736" s="4" t="b">
        <f>H736 &lt;&gt; ""</f>
        <v>1</v>
      </c>
      <c r="K736" s="4">
        <f>COUNTIFS(FieldDisagreements!D2:D50, A736)</f>
        <v>0</v>
      </c>
      <c r="L736" s="4" t="b">
        <f>K736 &gt; 0</f>
        <v>0</v>
      </c>
      <c r="M736" s="3" t="s">
        <v>2418</v>
      </c>
    </row>
    <row r="737">
      <c r="A737" s="3" t="s">
        <v>3604</v>
      </c>
      <c r="B737" s="4" t="str">
        <f>C737 &amp; "." &amp; D737</f>
        <v>StepExecutions.StaleAuthoritativeSourceCount</v>
      </c>
      <c r="C737" s="3" t="s">
        <v>1827</v>
      </c>
      <c r="D737" s="3" t="s">
        <v>1361</v>
      </c>
      <c r="E737" s="3" t="s">
        <v>2509</v>
      </c>
      <c r="F737" s="3" t="s">
        <v>2475</v>
      </c>
      <c r="G737" s="3" t="s">
        <v>3605</v>
      </c>
      <c r="H737" s="3" t="s">
        <v>1967</v>
      </c>
      <c r="I737" s="4" t="b">
        <f>OR(((E737 = "calculated")=TRUE), ((E737 = "lookup")=TRUE), ((E737 = "aggregation")=TRUE))</f>
        <v>1</v>
      </c>
      <c r="J737" s="4" t="b">
        <f>H737 &lt;&gt; ""</f>
        <v>1</v>
      </c>
      <c r="K737" s="4">
        <f>COUNTIFS(FieldDisagreements!D2:D50, A737)</f>
        <v>0</v>
      </c>
      <c r="L737" s="4" t="b">
        <f>K737 &gt; 0</f>
        <v>0</v>
      </c>
      <c r="M737" s="3" t="s">
        <v>2418</v>
      </c>
    </row>
    <row r="738">
      <c r="A738" s="3" t="s">
        <v>3606</v>
      </c>
      <c r="B738" s="4" t="str">
        <f>C738 &amp; "." &amp; D738</f>
        <v>StepExecutions.RanOnStaleAuthoritativeSource</v>
      </c>
      <c r="C738" s="3" t="s">
        <v>1827</v>
      </c>
      <c r="D738" s="3" t="s">
        <v>1362</v>
      </c>
      <c r="E738" s="3" t="s">
        <v>2420</v>
      </c>
      <c r="F738" s="3" t="s">
        <v>2432</v>
      </c>
      <c r="G738" s="3" t="s">
        <v>3607</v>
      </c>
      <c r="H738" s="3" t="s">
        <v>1967</v>
      </c>
      <c r="I738" s="4" t="b">
        <f>OR(((E738 = "calculated")=TRUE), ((E738 = "lookup")=TRUE), ((E738 = "aggregation")=TRUE))</f>
        <v>1</v>
      </c>
      <c r="J738" s="4" t="b">
        <f>H738 &lt;&gt; ""</f>
        <v>1</v>
      </c>
      <c r="K738" s="4">
        <f>COUNTIFS(FieldDisagreements!D2:D50, A738)</f>
        <v>0</v>
      </c>
      <c r="L738" s="4" t="b">
        <f>K738 &gt; 0</f>
        <v>0</v>
      </c>
      <c r="M738" s="3" t="s">
        <v>2418</v>
      </c>
    </row>
    <row r="739">
      <c r="A739" s="3" t="s">
        <v>3608</v>
      </c>
      <c r="B739" s="4" t="str">
        <f>C739 &amp; "." &amp; D739</f>
        <v>StepExecutions.HasDeviationNote</v>
      </c>
      <c r="C739" s="3" t="s">
        <v>1827</v>
      </c>
      <c r="D739" s="3" t="s">
        <v>1363</v>
      </c>
      <c r="E739" s="3" t="s">
        <v>2420</v>
      </c>
      <c r="F739" s="3" t="s">
        <v>2432</v>
      </c>
      <c r="G739" s="3" t="s">
        <v>3609</v>
      </c>
      <c r="H739" s="3" t="s">
        <v>1971</v>
      </c>
      <c r="I739" s="4" t="b">
        <f>OR(((E739 = "calculated")=TRUE), ((E739 = "lookup")=TRUE), ((E739 = "aggregation")=TRUE))</f>
        <v>1</v>
      </c>
      <c r="J739" s="4" t="b">
        <f>H739 &lt;&gt; ""</f>
        <v>1</v>
      </c>
      <c r="K739" s="4">
        <f>COUNTIFS(FieldDisagreements!D2:D50, A739)</f>
        <v>0</v>
      </c>
      <c r="L739" s="4" t="b">
        <f>K739 &gt; 0</f>
        <v>0</v>
      </c>
      <c r="M739" s="3" t="s">
        <v>2418</v>
      </c>
    </row>
    <row r="740">
      <c r="A740" s="3" t="s">
        <v>3610</v>
      </c>
      <c r="B740" s="4" t="str">
        <f>C740 &amp; "." &amp; D740</f>
        <v>StepExecutions.IsLateAndUnexplained</v>
      </c>
      <c r="C740" s="3" t="s">
        <v>1827</v>
      </c>
      <c r="D740" s="3" t="s">
        <v>1364</v>
      </c>
      <c r="E740" s="3" t="s">
        <v>2420</v>
      </c>
      <c r="F740" s="3" t="s">
        <v>2432</v>
      </c>
      <c r="G740" s="3" t="s">
        <v>3611</v>
      </c>
      <c r="H740" s="3" t="s">
        <v>1971</v>
      </c>
      <c r="I740" s="4" t="b">
        <f>OR(((E740 = "calculated")=TRUE), ((E740 = "lookup")=TRUE), ((E740 = "aggregation")=TRUE))</f>
        <v>1</v>
      </c>
      <c r="J740" s="4" t="b">
        <f>H740 &lt;&gt; ""</f>
        <v>1</v>
      </c>
      <c r="K740" s="4">
        <f>COUNTIFS(FieldDisagreements!D2:D50, A740)</f>
        <v>0</v>
      </c>
      <c r="L740" s="4" t="b">
        <f>K740 &gt; 0</f>
        <v>0</v>
      </c>
      <c r="M740" s="3" t="s">
        <v>2418</v>
      </c>
    </row>
    <row r="741">
      <c r="A741" s="3" t="s">
        <v>3612</v>
      </c>
      <c r="B741" s="4" t="str">
        <f>C741 &amp; "." &amp; D741</f>
        <v>StepExecutions.AvailableExceptionCountForStep</v>
      </c>
      <c r="C741" s="3" t="s">
        <v>1827</v>
      </c>
      <c r="D741" s="3" t="s">
        <v>1365</v>
      </c>
      <c r="E741" s="3" t="s">
        <v>2509</v>
      </c>
      <c r="F741" s="3" t="s">
        <v>2475</v>
      </c>
      <c r="G741" s="3" t="s">
        <v>3613</v>
      </c>
      <c r="H741" s="3" t="s">
        <v>1971</v>
      </c>
      <c r="I741" s="4" t="b">
        <f>OR(((E741 = "calculated")=TRUE), ((E741 = "lookup")=TRUE), ((E741 = "aggregation")=TRUE))</f>
        <v>1</v>
      </c>
      <c r="J741" s="4" t="b">
        <f>H741 &lt;&gt; ""</f>
        <v>1</v>
      </c>
      <c r="K741" s="4">
        <f>COUNTIFS(FieldDisagreements!D2:D50, A741)</f>
        <v>0</v>
      </c>
      <c r="L741" s="4" t="b">
        <f>K741 &gt; 0</f>
        <v>0</v>
      </c>
      <c r="M741" s="3" t="s">
        <v>2418</v>
      </c>
    </row>
    <row r="742">
      <c r="A742" s="3" t="s">
        <v>3614</v>
      </c>
      <c r="B742" s="4" t="str">
        <f>C742 &amp; "." &amp; D742</f>
        <v>StepExecutions.HadUninvokedExceptionAvailable</v>
      </c>
      <c r="C742" s="3" t="s">
        <v>1827</v>
      </c>
      <c r="D742" s="3" t="s">
        <v>1366</v>
      </c>
      <c r="E742" s="3" t="s">
        <v>2420</v>
      </c>
      <c r="F742" s="3" t="s">
        <v>2432</v>
      </c>
      <c r="G742" s="3" t="s">
        <v>3615</v>
      </c>
      <c r="H742" s="3" t="s">
        <v>1971</v>
      </c>
      <c r="I742" s="4" t="b">
        <f>OR(((E742 = "calculated")=TRUE), ((E742 = "lookup")=TRUE), ((E742 = "aggregation")=TRUE))</f>
        <v>1</v>
      </c>
      <c r="J742" s="4" t="b">
        <f>H742 &lt;&gt; ""</f>
        <v>1</v>
      </c>
      <c r="K742" s="4">
        <f>COUNTIFS(FieldDisagreements!D2:D50, A742)</f>
        <v>0</v>
      </c>
      <c r="L742" s="4" t="b">
        <f>K742 &gt; 0</f>
        <v>0</v>
      </c>
      <c r="M742" s="3" t="s">
        <v>2418</v>
      </c>
    </row>
    <row r="743">
      <c r="A743" s="3" t="s">
        <v>3616</v>
      </c>
      <c r="B743" s="4" t="str">
        <f>C743 &amp; "." &amp; D743</f>
        <v>StepExecutions.ExpectedVerificationCount</v>
      </c>
      <c r="C743" s="3" t="s">
        <v>1827</v>
      </c>
      <c r="D743" s="3" t="s">
        <v>1367</v>
      </c>
      <c r="E743" s="3" t="s">
        <v>2509</v>
      </c>
      <c r="F743" s="3" t="s">
        <v>2475</v>
      </c>
      <c r="G743" s="3" t="s">
        <v>3617</v>
      </c>
      <c r="H743" s="3" t="s">
        <v>1975</v>
      </c>
      <c r="I743" s="4" t="b">
        <f>OR(((E743 = "calculated")=TRUE), ((E743 = "lookup")=TRUE), ((E743 = "aggregation")=TRUE))</f>
        <v>1</v>
      </c>
      <c r="J743" s="4" t="b">
        <f>H743 &lt;&gt; ""</f>
        <v>1</v>
      </c>
      <c r="K743" s="4">
        <f>COUNTIFS(FieldDisagreements!D2:D50, A743)</f>
        <v>0</v>
      </c>
      <c r="L743" s="4" t="b">
        <f>K743 &gt; 0</f>
        <v>0</v>
      </c>
      <c r="M743" s="3" t="s">
        <v>2418</v>
      </c>
    </row>
    <row r="744">
      <c r="A744" s="3" t="s">
        <v>3618</v>
      </c>
      <c r="B744" s="4" t="str">
        <f>C744 &amp; "." &amp; D744</f>
        <v>StepExecutions.PerformedVerificationCount</v>
      </c>
      <c r="C744" s="3" t="s">
        <v>1827</v>
      </c>
      <c r="D744" s="3" t="s">
        <v>1368</v>
      </c>
      <c r="E744" s="3" t="s">
        <v>2469</v>
      </c>
      <c r="F744" s="3" t="s">
        <v>2475</v>
      </c>
      <c r="G744" s="3" t="s">
        <v>3619</v>
      </c>
      <c r="H744" s="3" t="s">
        <v>1975</v>
      </c>
      <c r="I744" s="4" t="b">
        <f>OR(((E744 = "calculated")=TRUE), ((E744 = "lookup")=TRUE), ((E744 = "aggregation")=TRUE))</f>
        <v>1</v>
      </c>
      <c r="J744" s="4" t="b">
        <f>H744 &lt;&gt; ""</f>
        <v>1</v>
      </c>
      <c r="K744" s="4">
        <f>COUNTIFS(FieldDisagreements!D2:D50, A744)</f>
        <v>0</v>
      </c>
      <c r="L744" s="4" t="b">
        <f>K744 &gt; 0</f>
        <v>0</v>
      </c>
      <c r="M744" s="3" t="s">
        <v>2418</v>
      </c>
    </row>
    <row r="745">
      <c r="A745" s="3" t="s">
        <v>3620</v>
      </c>
      <c r="B745" s="4" t="str">
        <f>C745 &amp; "." &amp; D745</f>
        <v>StepExecutions.SkippedVerificationCount</v>
      </c>
      <c r="C745" s="3" t="s">
        <v>1827</v>
      </c>
      <c r="D745" s="3" t="s">
        <v>1369</v>
      </c>
      <c r="E745" s="3" t="s">
        <v>2420</v>
      </c>
      <c r="F745" s="3" t="s">
        <v>2475</v>
      </c>
      <c r="G745" s="3" t="s">
        <v>3621</v>
      </c>
      <c r="H745" s="3" t="s">
        <v>1975</v>
      </c>
      <c r="I745" s="4" t="b">
        <f>OR(((E745 = "calculated")=TRUE), ((E745 = "lookup")=TRUE), ((E745 = "aggregation")=TRUE))</f>
        <v>1</v>
      </c>
      <c r="J745" s="4" t="b">
        <f>H745 &lt;&gt; ""</f>
        <v>1</v>
      </c>
      <c r="K745" s="4">
        <f>COUNTIFS(FieldDisagreements!D2:D50, A745)</f>
        <v>0</v>
      </c>
      <c r="L745" s="4" t="b">
        <f>K745 &gt; 0</f>
        <v>0</v>
      </c>
      <c r="M745" s="3" t="s">
        <v>2418</v>
      </c>
    </row>
    <row r="746">
      <c r="A746" s="3" t="s">
        <v>3622</v>
      </c>
      <c r="B746" s="4" t="str">
        <f>C746 &amp; "." &amp; D746</f>
        <v>StepExecutions.HasSkippedVerification</v>
      </c>
      <c r="C746" s="3" t="s">
        <v>1827</v>
      </c>
      <c r="D746" s="3" t="s">
        <v>1370</v>
      </c>
      <c r="E746" s="3" t="s">
        <v>2420</v>
      </c>
      <c r="F746" s="3" t="s">
        <v>2432</v>
      </c>
      <c r="G746" s="3" t="s">
        <v>3623</v>
      </c>
      <c r="H746" s="3" t="s">
        <v>1975</v>
      </c>
      <c r="I746" s="4" t="b">
        <f>OR(((E746 = "calculated")=TRUE), ((E746 = "lookup")=TRUE), ((E746 = "aggregation")=TRUE))</f>
        <v>1</v>
      </c>
      <c r="J746" s="4" t="b">
        <f>H746 &lt;&gt; ""</f>
        <v>1</v>
      </c>
      <c r="K746" s="4">
        <f>COUNTIFS(FieldDisagreements!D2:D50, A746)</f>
        <v>0</v>
      </c>
      <c r="L746" s="4" t="b">
        <f>K746 &gt; 0</f>
        <v>0</v>
      </c>
      <c r="M746" s="3" t="s">
        <v>2418</v>
      </c>
    </row>
    <row r="747">
      <c r="A747" s="3" t="s">
        <v>3624</v>
      </c>
      <c r="B747" s="4" t="str">
        <f>C747 &amp; "." &amp; D747</f>
        <v>StepExecutions.ClaimsPassWithoutEvidence</v>
      </c>
      <c r="C747" s="3" t="s">
        <v>1827</v>
      </c>
      <c r="D747" s="3" t="s">
        <v>1371</v>
      </c>
      <c r="E747" s="3" t="s">
        <v>2420</v>
      </c>
      <c r="F747" s="3" t="s">
        <v>2432</v>
      </c>
      <c r="G747" s="3" t="s">
        <v>3625</v>
      </c>
      <c r="H747" s="3" t="s">
        <v>1975</v>
      </c>
      <c r="I747" s="4" t="b">
        <f>OR(((E747 = "calculated")=TRUE), ((E747 = "lookup")=TRUE), ((E747 = "aggregation")=TRUE))</f>
        <v>1</v>
      </c>
      <c r="J747" s="4" t="b">
        <f>H747 &lt;&gt; ""</f>
        <v>1</v>
      </c>
      <c r="K747" s="4">
        <f>COUNTIFS(FieldDisagreements!D2:D50, A747)</f>
        <v>0</v>
      </c>
      <c r="L747" s="4" t="b">
        <f>K747 &gt; 0</f>
        <v>0</v>
      </c>
      <c r="M747" s="3" t="s">
        <v>2418</v>
      </c>
    </row>
    <row r="748">
      <c r="A748" s="3" t="s">
        <v>3626</v>
      </c>
      <c r="B748" s="4" t="str">
        <f>C748 &amp; "." &amp; D748</f>
        <v>StepExecutions.StepIsPreparation</v>
      </c>
      <c r="C748" s="3" t="s">
        <v>1827</v>
      </c>
      <c r="D748" s="3" t="s">
        <v>1372</v>
      </c>
      <c r="E748" s="3" t="s">
        <v>2509</v>
      </c>
      <c r="F748" s="3" t="s">
        <v>2432</v>
      </c>
      <c r="G748" s="3" t="s">
        <v>3627</v>
      </c>
      <c r="H748" s="3" t="s">
        <v>1979</v>
      </c>
      <c r="I748" s="4" t="b">
        <f>OR(((E748 = "calculated")=TRUE), ((E748 = "lookup")=TRUE), ((E748 = "aggregation")=TRUE))</f>
        <v>1</v>
      </c>
      <c r="J748" s="4" t="b">
        <f>H748 &lt;&gt; ""</f>
        <v>1</v>
      </c>
      <c r="K748" s="4">
        <f>COUNTIFS(FieldDisagreements!D2:D50, A748)</f>
        <v>0</v>
      </c>
      <c r="L748" s="4" t="b">
        <f>K748 &gt; 0</f>
        <v>0</v>
      </c>
      <c r="M748" s="3" t="s">
        <v>2418</v>
      </c>
    </row>
    <row r="749">
      <c r="A749" s="3" t="s">
        <v>3628</v>
      </c>
      <c r="B749" s="4" t="str">
        <f>C749 &amp; "." &amp; D749</f>
        <v>StepExecutions.StepIsApproval</v>
      </c>
      <c r="C749" s="3" t="s">
        <v>1827</v>
      </c>
      <c r="D749" s="3" t="s">
        <v>1373</v>
      </c>
      <c r="E749" s="3" t="s">
        <v>2509</v>
      </c>
      <c r="F749" s="3" t="s">
        <v>2432</v>
      </c>
      <c r="G749" s="3" t="s">
        <v>3629</v>
      </c>
      <c r="H749" s="3" t="s">
        <v>1979</v>
      </c>
      <c r="I749" s="4" t="b">
        <f>OR(((E749 = "calculated")=TRUE), ((E749 = "lookup")=TRUE), ((E749 = "aggregation")=TRUE))</f>
        <v>1</v>
      </c>
      <c r="J749" s="4" t="b">
        <f>H749 &lt;&gt; ""</f>
        <v>1</v>
      </c>
      <c r="K749" s="4">
        <f>COUNTIFS(FieldDisagreements!D2:D50, A749)</f>
        <v>0</v>
      </c>
      <c r="L749" s="4" t="b">
        <f>K749 &gt; 0</f>
        <v>0</v>
      </c>
      <c r="M749" s="3" t="s">
        <v>2418</v>
      </c>
    </row>
    <row r="750">
      <c r="A750" s="3" t="s">
        <v>3630</v>
      </c>
      <c r="B750" s="4" t="str">
        <f>C750 &amp; "." &amp; D750</f>
        <v>StepExecutions.PreparerAgentKey</v>
      </c>
      <c r="C750" s="3" t="s">
        <v>1827</v>
      </c>
      <c r="D750" s="3" t="s">
        <v>1374</v>
      </c>
      <c r="E750" s="3" t="s">
        <v>2420</v>
      </c>
      <c r="F750" s="3" t="s">
        <v>2417</v>
      </c>
      <c r="G750" s="3" t="s">
        <v>3631</v>
      </c>
      <c r="H750" s="3" t="s">
        <v>1979</v>
      </c>
      <c r="I750" s="4" t="b">
        <f>OR(((E750 = "calculated")=TRUE), ((E750 = "lookup")=TRUE), ((E750 = "aggregation")=TRUE))</f>
        <v>1</v>
      </c>
      <c r="J750" s="4" t="b">
        <f>H750 &lt;&gt; ""</f>
        <v>1</v>
      </c>
      <c r="K750" s="4">
        <f>COUNTIFS(FieldDisagreements!D2:D50, A750)</f>
        <v>0</v>
      </c>
      <c r="L750" s="4" t="b">
        <f>K750 &gt; 0</f>
        <v>0</v>
      </c>
      <c r="M750" s="3" t="s">
        <v>2418</v>
      </c>
    </row>
    <row r="751">
      <c r="A751" s="3" t="s">
        <v>3632</v>
      </c>
      <c r="B751" s="4" t="str">
        <f>C751 &amp; "." &amp; D751</f>
        <v>StepExecutions.ApproverAgentKey</v>
      </c>
      <c r="C751" s="3" t="s">
        <v>1827</v>
      </c>
      <c r="D751" s="3" t="s">
        <v>1375</v>
      </c>
      <c r="E751" s="3" t="s">
        <v>2420</v>
      </c>
      <c r="F751" s="3" t="s">
        <v>2417</v>
      </c>
      <c r="G751" s="3" t="s">
        <v>3633</v>
      </c>
      <c r="H751" s="3" t="s">
        <v>1979</v>
      </c>
      <c r="I751" s="4" t="b">
        <f>OR(((E751 = "calculated")=TRUE), ((E751 = "lookup")=TRUE), ((E751 = "aggregation")=TRUE))</f>
        <v>1</v>
      </c>
      <c r="J751" s="4" t="b">
        <f>H751 &lt;&gt; ""</f>
        <v>1</v>
      </c>
      <c r="K751" s="4">
        <f>COUNTIFS(FieldDisagreements!D2:D50, A751)</f>
        <v>0</v>
      </c>
      <c r="L751" s="4" t="b">
        <f>K751 &gt; 0</f>
        <v>0</v>
      </c>
      <c r="M751" s="3" t="s">
        <v>2418</v>
      </c>
    </row>
    <row r="752">
      <c r="A752" s="3" t="s">
        <v>3634</v>
      </c>
      <c r="B752" s="4" t="str">
        <f>C752 &amp; "." &amp; D752</f>
        <v>StepExecutions.PreparedByThisAgentCount</v>
      </c>
      <c r="C752" s="3" t="s">
        <v>1827</v>
      </c>
      <c r="D752" s="3" t="s">
        <v>1376</v>
      </c>
      <c r="E752" s="3" t="s">
        <v>2469</v>
      </c>
      <c r="F752" s="3" t="s">
        <v>2475</v>
      </c>
      <c r="G752" s="3" t="s">
        <v>3635</v>
      </c>
      <c r="H752" s="3" t="s">
        <v>1979</v>
      </c>
      <c r="I752" s="4" t="b">
        <f>OR(((E752 = "calculated")=TRUE), ((E752 = "lookup")=TRUE), ((E752 = "aggregation")=TRUE))</f>
        <v>1</v>
      </c>
      <c r="J752" s="4" t="b">
        <f>H752 &lt;&gt; ""</f>
        <v>1</v>
      </c>
      <c r="K752" s="4">
        <f>COUNTIFS(FieldDisagreements!D2:D50, A752)</f>
        <v>0</v>
      </c>
      <c r="L752" s="4" t="b">
        <f>K752 &gt; 0</f>
        <v>0</v>
      </c>
      <c r="M752" s="3" t="s">
        <v>2418</v>
      </c>
    </row>
    <row r="753">
      <c r="A753" s="3" t="s">
        <v>858</v>
      </c>
      <c r="B753" s="4" t="str">
        <f>C753 &amp; "." &amp; D753</f>
        <v>StepExecutions.ViolatesSeparationOfDuties</v>
      </c>
      <c r="C753" s="3" t="s">
        <v>1827</v>
      </c>
      <c r="D753" s="3" t="s">
        <v>1377</v>
      </c>
      <c r="E753" s="3" t="s">
        <v>2420</v>
      </c>
      <c r="F753" s="3" t="s">
        <v>2432</v>
      </c>
      <c r="G753" s="3" t="s">
        <v>3636</v>
      </c>
      <c r="H753" s="3" t="s">
        <v>1979</v>
      </c>
      <c r="I753" s="4" t="b">
        <f>OR(((E753 = "calculated")=TRUE), ((E753 = "lookup")=TRUE), ((E753 = "aggregation")=TRUE))</f>
        <v>1</v>
      </c>
      <c r="J753" s="4" t="b">
        <f>H753 &lt;&gt; ""</f>
        <v>1</v>
      </c>
      <c r="K753" s="4">
        <f>COUNTIFS(FieldDisagreements!D2:D50, A753)</f>
        <v>0</v>
      </c>
      <c r="L753" s="4" t="b">
        <f>K753 &gt; 0</f>
        <v>0</v>
      </c>
      <c r="M753" s="3" t="s">
        <v>2418</v>
      </c>
    </row>
    <row r="754">
      <c r="A754" s="3" t="s">
        <v>3637</v>
      </c>
      <c r="B754" s="4" t="str">
        <f>C754 &amp; "." &amp; D754</f>
        <v>StepExecutions.RequiredRoleForStep</v>
      </c>
      <c r="C754" s="3" t="s">
        <v>1827</v>
      </c>
      <c r="D754" s="3" t="s">
        <v>1378</v>
      </c>
      <c r="E754" s="3" t="s">
        <v>2509</v>
      </c>
      <c r="F754" s="3" t="s">
        <v>2417</v>
      </c>
      <c r="G754" s="3" t="s">
        <v>3638</v>
      </c>
      <c r="H754" s="3" t="s">
        <v>1983</v>
      </c>
      <c r="I754" s="4" t="b">
        <f>OR(((E754 = "calculated")=TRUE), ((E754 = "lookup")=TRUE), ((E754 = "aggregation")=TRUE))</f>
        <v>1</v>
      </c>
      <c r="J754" s="4" t="b">
        <f>H754 &lt;&gt; ""</f>
        <v>1</v>
      </c>
      <c r="K754" s="4">
        <f>COUNTIFS(FieldDisagreements!D2:D50, A754)</f>
        <v>0</v>
      </c>
      <c r="L754" s="4" t="b">
        <f>K754 &gt; 0</f>
        <v>0</v>
      </c>
      <c r="M754" s="3" t="s">
        <v>2418</v>
      </c>
    </row>
    <row r="755">
      <c r="A755" s="3" t="s">
        <v>3639</v>
      </c>
      <c r="B755" s="4" t="str">
        <f>C755 &amp; "." &amp; D755</f>
        <v>StepExecutions.ExecutorRoleKey</v>
      </c>
      <c r="C755" s="3" t="s">
        <v>1827</v>
      </c>
      <c r="D755" s="3" t="s">
        <v>1379</v>
      </c>
      <c r="E755" s="3" t="s">
        <v>2420</v>
      </c>
      <c r="F755" s="3" t="s">
        <v>2417</v>
      </c>
      <c r="G755" s="3" t="s">
        <v>3640</v>
      </c>
      <c r="H755" s="3" t="s">
        <v>1983</v>
      </c>
      <c r="I755" s="4" t="b">
        <f>OR(((E755 = "calculated")=TRUE), ((E755 = "lookup")=TRUE), ((E755 = "aggregation")=TRUE))</f>
        <v>1</v>
      </c>
      <c r="J755" s="4" t="b">
        <f>H755 &lt;&gt; ""</f>
        <v>1</v>
      </c>
      <c r="K755" s="4">
        <f>COUNTIFS(FieldDisagreements!D2:D50, A755)</f>
        <v>0</v>
      </c>
      <c r="L755" s="4" t="b">
        <f>K755 &gt; 0</f>
        <v>0</v>
      </c>
      <c r="M755" s="3" t="s">
        <v>2418</v>
      </c>
    </row>
    <row r="756">
      <c r="A756" s="3" t="s">
        <v>3641</v>
      </c>
      <c r="B756" s="4" t="str">
        <f>C756 &amp; "." &amp; D756</f>
        <v>StepExecutions.ExecutorAuthorityCount</v>
      </c>
      <c r="C756" s="3" t="s">
        <v>1827</v>
      </c>
      <c r="D756" s="3" t="s">
        <v>1380</v>
      </c>
      <c r="E756" s="3" t="s">
        <v>2469</v>
      </c>
      <c r="F756" s="3" t="s">
        <v>2475</v>
      </c>
      <c r="G756" s="3" t="s">
        <v>3642</v>
      </c>
      <c r="H756" s="3" t="s">
        <v>1983</v>
      </c>
      <c r="I756" s="4" t="b">
        <f>OR(((E756 = "calculated")=TRUE), ((E756 = "lookup")=TRUE), ((E756 = "aggregation")=TRUE))</f>
        <v>1</v>
      </c>
      <c r="J756" s="4" t="b">
        <f>H756 &lt;&gt; ""</f>
        <v>1</v>
      </c>
      <c r="K756" s="4">
        <f>COUNTIFS(FieldDisagreements!D2:D50, A756)</f>
        <v>0</v>
      </c>
      <c r="L756" s="4" t="b">
        <f>K756 &gt; 0</f>
        <v>0</v>
      </c>
      <c r="M756" s="3" t="s">
        <v>2418</v>
      </c>
    </row>
    <row r="757">
      <c r="A757" s="3" t="s">
        <v>3643</v>
      </c>
      <c r="B757" s="4" t="str">
        <f>C757 &amp; "." &amp; D757</f>
        <v>StepExecutions.ExecutorHeldRequiredRole</v>
      </c>
      <c r="C757" s="3" t="s">
        <v>1827</v>
      </c>
      <c r="D757" s="3" t="s">
        <v>1381</v>
      </c>
      <c r="E757" s="3" t="s">
        <v>2420</v>
      </c>
      <c r="F757" s="3" t="s">
        <v>2432</v>
      </c>
      <c r="G757" s="3" t="s">
        <v>3644</v>
      </c>
      <c r="H757" s="3" t="s">
        <v>1983</v>
      </c>
      <c r="I757" s="4" t="b">
        <f>OR(((E757 = "calculated")=TRUE), ((E757 = "lookup")=TRUE), ((E757 = "aggregation")=TRUE))</f>
        <v>1</v>
      </c>
      <c r="J757" s="4" t="b">
        <f>H757 &lt;&gt; ""</f>
        <v>1</v>
      </c>
      <c r="K757" s="4">
        <f>COUNTIFS(FieldDisagreements!D2:D50, A757)</f>
        <v>0</v>
      </c>
      <c r="L757" s="4" t="b">
        <f>K757 &gt; 0</f>
        <v>0</v>
      </c>
      <c r="M757" s="3" t="s">
        <v>2418</v>
      </c>
    </row>
    <row r="758">
      <c r="A758" s="3" t="s">
        <v>3645</v>
      </c>
      <c r="B758" s="4" t="str">
        <f>C758 &amp; "." &amp; D758</f>
        <v>StepExecutions.IsUnauthorizedApproval</v>
      </c>
      <c r="C758" s="3" t="s">
        <v>1827</v>
      </c>
      <c r="D758" s="3" t="s">
        <v>1382</v>
      </c>
      <c r="E758" s="3" t="s">
        <v>2420</v>
      </c>
      <c r="F758" s="3" t="s">
        <v>2432</v>
      </c>
      <c r="G758" s="3" t="s">
        <v>3646</v>
      </c>
      <c r="H758" s="3" t="s">
        <v>1983</v>
      </c>
      <c r="I758" s="4" t="b">
        <f>OR(((E758 = "calculated")=TRUE), ((E758 = "lookup")=TRUE), ((E758 = "aggregation")=TRUE))</f>
        <v>1</v>
      </c>
      <c r="J758" s="4" t="b">
        <f>H758 &lt;&gt; ""</f>
        <v>1</v>
      </c>
      <c r="K758" s="4">
        <f>COUNTIFS(FieldDisagreements!D2:D50, A758)</f>
        <v>0</v>
      </c>
      <c r="L758" s="4" t="b">
        <f>K758 &gt; 0</f>
        <v>0</v>
      </c>
      <c r="M758" s="3" t="s">
        <v>2418</v>
      </c>
    </row>
    <row r="759">
      <c r="A759" s="3" t="s">
        <v>3647</v>
      </c>
      <c r="B759" s="4" t="str">
        <f>C759 &amp; "." &amp; D759</f>
        <v>StepExecutions.CompletedExecutionKey</v>
      </c>
      <c r="C759" s="3" t="s">
        <v>1827</v>
      </c>
      <c r="D759" s="3" t="s">
        <v>1383</v>
      </c>
      <c r="E759" s="3" t="s">
        <v>2420</v>
      </c>
      <c r="F759" s="3" t="s">
        <v>2417</v>
      </c>
      <c r="G759" s="3" t="s">
        <v>3648</v>
      </c>
      <c r="H759" s="3" t="s">
        <v>1991</v>
      </c>
      <c r="I759" s="4" t="b">
        <f>OR(((E759 = "calculated")=TRUE), ((E759 = "lookup")=TRUE), ((E759 = "aggregation")=TRUE))</f>
        <v>1</v>
      </c>
      <c r="J759" s="4" t="b">
        <f>H759 &lt;&gt; ""</f>
        <v>1</v>
      </c>
      <c r="K759" s="4">
        <f>COUNTIFS(FieldDisagreements!D2:D50, A759)</f>
        <v>0</v>
      </c>
      <c r="L759" s="4" t="b">
        <f>K759 &gt; 0</f>
        <v>0</v>
      </c>
      <c r="M759" s="3" t="s">
        <v>2418</v>
      </c>
    </row>
    <row r="760">
      <c r="A760" s="3" t="s">
        <v>3649</v>
      </c>
      <c r="B760" s="4" t="str">
        <f>C760 &amp; "." &amp; D760</f>
        <v>StepExecutions.ControlBreachExecutionKey</v>
      </c>
      <c r="C760" s="3" t="s">
        <v>1827</v>
      </c>
      <c r="D760" s="3" t="s">
        <v>1384</v>
      </c>
      <c r="E760" s="3" t="s">
        <v>2420</v>
      </c>
      <c r="F760" s="3" t="s">
        <v>2417</v>
      </c>
      <c r="G760" s="3" t="s">
        <v>3650</v>
      </c>
      <c r="H760" s="3" t="s">
        <v>1991</v>
      </c>
      <c r="I760" s="4" t="b">
        <f>OR(((E760 = "calculated")=TRUE), ((E760 = "lookup")=TRUE), ((E760 = "aggregation")=TRUE))</f>
        <v>1</v>
      </c>
      <c r="J760" s="4" t="b">
        <f>H760 &lt;&gt; ""</f>
        <v>1</v>
      </c>
      <c r="K760" s="4">
        <f>COUNTIFS(FieldDisagreements!D2:D50, A760)</f>
        <v>0</v>
      </c>
      <c r="L760" s="4" t="b">
        <f>K760 &gt; 0</f>
        <v>0</v>
      </c>
      <c r="M760" s="3" t="s">
        <v>2418</v>
      </c>
    </row>
    <row r="761">
      <c r="A761" s="3" t="s">
        <v>3651</v>
      </c>
      <c r="B761" s="4" t="str">
        <f>C761 &amp; "." &amp; D761</f>
        <v>StepExecutions.LateExecutionKey</v>
      </c>
      <c r="C761" s="3" t="s">
        <v>1827</v>
      </c>
      <c r="D761" s="3" t="s">
        <v>1385</v>
      </c>
      <c r="E761" s="3" t="s">
        <v>2420</v>
      </c>
      <c r="F761" s="3" t="s">
        <v>2417</v>
      </c>
      <c r="G761" s="3" t="s">
        <v>3652</v>
      </c>
      <c r="H761" s="3" t="s">
        <v>1991</v>
      </c>
      <c r="I761" s="4" t="b">
        <f>OR(((E761 = "calculated")=TRUE), ((E761 = "lookup")=TRUE), ((E761 = "aggregation")=TRUE))</f>
        <v>1</v>
      </c>
      <c r="J761" s="4" t="b">
        <f>H761 &lt;&gt; ""</f>
        <v>1</v>
      </c>
      <c r="K761" s="4">
        <f>COUNTIFS(FieldDisagreements!D2:D50, A761)</f>
        <v>0</v>
      </c>
      <c r="L761" s="4" t="b">
        <f>K761 &gt; 0</f>
        <v>0</v>
      </c>
      <c r="M761" s="3" t="s">
        <v>2418</v>
      </c>
    </row>
    <row r="762">
      <c r="A762" s="3" t="s">
        <v>3653</v>
      </c>
      <c r="B762" s="4" t="str">
        <f>C762 &amp; "." &amp; D762</f>
        <v>StepExecutions.ExecutorAgentKind</v>
      </c>
      <c r="C762" s="3" t="s">
        <v>1827</v>
      </c>
      <c r="D762" s="3" t="s">
        <v>1386</v>
      </c>
      <c r="E762" s="3" t="s">
        <v>2509</v>
      </c>
      <c r="F762" s="3" t="s">
        <v>2417</v>
      </c>
      <c r="G762" s="3" t="s">
        <v>3654</v>
      </c>
      <c r="H762" s="3" t="s">
        <v>1995</v>
      </c>
      <c r="I762" s="4" t="b">
        <f>OR(((E762 = "calculated")=TRUE), ((E762 = "lookup")=TRUE), ((E762 = "aggregation")=TRUE))</f>
        <v>1</v>
      </c>
      <c r="J762" s="4" t="b">
        <f>H762 &lt;&gt; ""</f>
        <v>1</v>
      </c>
      <c r="K762" s="4">
        <f>COUNTIFS(FieldDisagreements!D2:D50, A762)</f>
        <v>0</v>
      </c>
      <c r="L762" s="4" t="b">
        <f>K762 &gt; 0</f>
        <v>0</v>
      </c>
      <c r="M762" s="3" t="s">
        <v>2418</v>
      </c>
    </row>
    <row r="763">
      <c r="A763" s="3" t="s">
        <v>3655</v>
      </c>
      <c r="B763" s="4" t="str">
        <f>C763 &amp; "." &amp; D763</f>
        <v>StepExecutions.ExecutorIsHuman</v>
      </c>
      <c r="C763" s="3" t="s">
        <v>1827</v>
      </c>
      <c r="D763" s="3" t="s">
        <v>1387</v>
      </c>
      <c r="E763" s="3" t="s">
        <v>2420</v>
      </c>
      <c r="F763" s="3" t="s">
        <v>2432</v>
      </c>
      <c r="G763" s="3" t="s">
        <v>3656</v>
      </c>
      <c r="H763" s="3" t="s">
        <v>1995</v>
      </c>
      <c r="I763" s="4" t="b">
        <f>OR(((E763 = "calculated")=TRUE), ((E763 = "lookup")=TRUE), ((E763 = "aggregation")=TRUE))</f>
        <v>1</v>
      </c>
      <c r="J763" s="4" t="b">
        <f>H763 &lt;&gt; ""</f>
        <v>1</v>
      </c>
      <c r="K763" s="4">
        <f>COUNTIFS(FieldDisagreements!D2:D50, A763)</f>
        <v>0</v>
      </c>
      <c r="L763" s="4" t="b">
        <f>K763 &gt; 0</f>
        <v>0</v>
      </c>
      <c r="M763" s="3" t="s">
        <v>2418</v>
      </c>
    </row>
    <row r="764">
      <c r="A764" s="3" t="s">
        <v>3657</v>
      </c>
      <c r="B764" s="4" t="str">
        <f>C764 &amp; "." &amp; D764</f>
        <v>StepExecutions.StepRequiresHumanConfirmation</v>
      </c>
      <c r="C764" s="3" t="s">
        <v>1827</v>
      </c>
      <c r="D764" s="3" t="s">
        <v>1388</v>
      </c>
      <c r="E764" s="3" t="s">
        <v>2509</v>
      </c>
      <c r="F764" s="3" t="s">
        <v>2432</v>
      </c>
      <c r="G764" s="3" t="s">
        <v>3658</v>
      </c>
      <c r="H764" s="3" t="s">
        <v>1995</v>
      </c>
      <c r="I764" s="4" t="b">
        <f>OR(((E764 = "calculated")=TRUE), ((E764 = "lookup")=TRUE), ((E764 = "aggregation")=TRUE))</f>
        <v>1</v>
      </c>
      <c r="J764" s="4" t="b">
        <f>H764 &lt;&gt; ""</f>
        <v>1</v>
      </c>
      <c r="K764" s="4">
        <f>COUNTIFS(FieldDisagreements!D2:D50, A764)</f>
        <v>0</v>
      </c>
      <c r="L764" s="4" t="b">
        <f>K764 &gt; 0</f>
        <v>0</v>
      </c>
      <c r="M764" s="3" t="s">
        <v>2418</v>
      </c>
    </row>
    <row r="765">
      <c r="A765" s="3" t="s">
        <v>3659</v>
      </c>
      <c r="B765" s="4" t="str">
        <f>C765 &amp; "." &amp; D765</f>
        <v>StepExecutions.NonHumanRanHumanStep</v>
      </c>
      <c r="C765" s="3" t="s">
        <v>1827</v>
      </c>
      <c r="D765" s="3" t="s">
        <v>1389</v>
      </c>
      <c r="E765" s="3" t="s">
        <v>2420</v>
      </c>
      <c r="F765" s="3" t="s">
        <v>2432</v>
      </c>
      <c r="G765" s="3" t="s">
        <v>3660</v>
      </c>
      <c r="H765" s="3" t="s">
        <v>1995</v>
      </c>
      <c r="I765" s="4" t="b">
        <f>OR(((E765 = "calculated")=TRUE), ((E765 = "lookup")=TRUE), ((E765 = "aggregation")=TRUE))</f>
        <v>1</v>
      </c>
      <c r="J765" s="4" t="b">
        <f>H765 &lt;&gt; ""</f>
        <v>1</v>
      </c>
      <c r="K765" s="4">
        <f>COUNTIFS(FieldDisagreements!D2:D50, A765)</f>
        <v>0</v>
      </c>
      <c r="L765" s="4" t="b">
        <f>K765 &gt; 0</f>
        <v>0</v>
      </c>
      <c r="M765" s="3" t="s">
        <v>2418</v>
      </c>
    </row>
    <row r="766">
      <c r="A766" s="3" t="s">
        <v>3661</v>
      </c>
      <c r="B766" s="4" t="str">
        <f>C766 &amp; "." &amp; D766</f>
        <v>StepExecutions.NonHumanApproval</v>
      </c>
      <c r="C766" s="3" t="s">
        <v>1827</v>
      </c>
      <c r="D766" s="3" t="s">
        <v>1390</v>
      </c>
      <c r="E766" s="3" t="s">
        <v>2420</v>
      </c>
      <c r="F766" s="3" t="s">
        <v>2432</v>
      </c>
      <c r="G766" s="3" t="s">
        <v>3662</v>
      </c>
      <c r="H766" s="3" t="s">
        <v>1995</v>
      </c>
      <c r="I766" s="4" t="b">
        <f>OR(((E766 = "calculated")=TRUE), ((E766 = "lookup")=TRUE), ((E766 = "aggregation")=TRUE))</f>
        <v>1</v>
      </c>
      <c r="J766" s="4" t="b">
        <f>H766 &lt;&gt; ""</f>
        <v>1</v>
      </c>
      <c r="K766" s="4">
        <f>COUNTIFS(FieldDisagreements!D2:D50, A766)</f>
        <v>0</v>
      </c>
      <c r="L766" s="4" t="b">
        <f>K766 &gt; 0</f>
        <v>0</v>
      </c>
      <c r="M766" s="3" t="s">
        <v>2418</v>
      </c>
    </row>
    <row r="767">
      <c r="A767" s="3" t="s">
        <v>3663</v>
      </c>
      <c r="B767" s="4" t="str">
        <f>C767 &amp; "." &amp; D767</f>
        <v>StepExecutions.UnevaluatedBlockingExecutionKey</v>
      </c>
      <c r="C767" s="3" t="s">
        <v>1827</v>
      </c>
      <c r="D767" s="3" t="s">
        <v>1391</v>
      </c>
      <c r="E767" s="3" t="s">
        <v>2420</v>
      </c>
      <c r="F767" s="3" t="s">
        <v>2417</v>
      </c>
      <c r="G767" s="3" t="s">
        <v>3664</v>
      </c>
      <c r="H767" s="3" t="s">
        <v>1999</v>
      </c>
      <c r="I767" s="4" t="b">
        <f>OR(((E767 = "calculated")=TRUE), ((E767 = "lookup")=TRUE), ((E767 = "aggregation")=TRUE))</f>
        <v>1</v>
      </c>
      <c r="J767" s="4" t="b">
        <f>H767 &lt;&gt; ""</f>
        <v>1</v>
      </c>
      <c r="K767" s="4">
        <f>COUNTIFS(FieldDisagreements!D2:D50, A767)</f>
        <v>0</v>
      </c>
      <c r="L767" s="4" t="b">
        <f>K767 &gt; 0</f>
        <v>0</v>
      </c>
      <c r="M767" s="3" t="s">
        <v>2418</v>
      </c>
    </row>
    <row r="768">
      <c r="A768" s="3" t="s">
        <v>3665</v>
      </c>
      <c r="B768" s="4" t="str">
        <f>C768 &amp; "." &amp; D768</f>
        <v>StepExecutions.SeparationViolationExecutionKey</v>
      </c>
      <c r="C768" s="3" t="s">
        <v>1827</v>
      </c>
      <c r="D768" s="3" t="s">
        <v>1392</v>
      </c>
      <c r="E768" s="3" t="s">
        <v>2420</v>
      </c>
      <c r="F768" s="3" t="s">
        <v>2417</v>
      </c>
      <c r="G768" s="3" t="s">
        <v>3666</v>
      </c>
      <c r="H768" s="3" t="s">
        <v>1999</v>
      </c>
      <c r="I768" s="4" t="b">
        <f>OR(((E768 = "calculated")=TRUE), ((E768 = "lookup")=TRUE), ((E768 = "aggregation")=TRUE))</f>
        <v>1</v>
      </c>
      <c r="J768" s="4" t="b">
        <f>H768 &lt;&gt; ""</f>
        <v>1</v>
      </c>
      <c r="K768" s="4">
        <f>COUNTIFS(FieldDisagreements!D2:D50, A768)</f>
        <v>0</v>
      </c>
      <c r="L768" s="4" t="b">
        <f>K768 &gt; 0</f>
        <v>0</v>
      </c>
      <c r="M768" s="3" t="s">
        <v>2418</v>
      </c>
    </row>
    <row r="769">
      <c r="A769" s="3" t="s">
        <v>3667</v>
      </c>
      <c r="B769" s="4" t="str">
        <f>C769 &amp; "." &amp; D769</f>
        <v>StepExecutions.SelfWitnessedVerificationCount</v>
      </c>
      <c r="C769" s="3" t="s">
        <v>1827</v>
      </c>
      <c r="D769" s="3" t="s">
        <v>1393</v>
      </c>
      <c r="E769" s="3" t="s">
        <v>2469</v>
      </c>
      <c r="F769" s="3" t="s">
        <v>2475</v>
      </c>
      <c r="G769" s="3" t="s">
        <v>3668</v>
      </c>
      <c r="H769" s="3" t="s">
        <v>2007</v>
      </c>
      <c r="I769" s="4" t="b">
        <f>OR(((E769 = "calculated")=TRUE), ((E769 = "lookup")=TRUE), ((E769 = "aggregation")=TRUE))</f>
        <v>1</v>
      </c>
      <c r="J769" s="4" t="b">
        <f>H769 &lt;&gt; ""</f>
        <v>1</v>
      </c>
      <c r="K769" s="4">
        <f>COUNTIFS(FieldDisagreements!D2:D50, A769)</f>
        <v>0</v>
      </c>
      <c r="L769" s="4" t="b">
        <f>K769 &gt; 0</f>
        <v>0</v>
      </c>
      <c r="M769" s="3" t="s">
        <v>2418</v>
      </c>
    </row>
    <row r="770">
      <c r="A770" s="3" t="s">
        <v>3669</v>
      </c>
      <c r="B770" s="4" t="str">
        <f>C770 &amp; "." &amp; D770</f>
        <v>StepExecutions.UnbackedVerificationCount</v>
      </c>
      <c r="C770" s="3" t="s">
        <v>1827</v>
      </c>
      <c r="D770" s="3" t="s">
        <v>1394</v>
      </c>
      <c r="E770" s="3" t="s">
        <v>2469</v>
      </c>
      <c r="F770" s="3" t="s">
        <v>2475</v>
      </c>
      <c r="G770" s="3" t="s">
        <v>3670</v>
      </c>
      <c r="H770" s="3" t="s">
        <v>2007</v>
      </c>
      <c r="I770" s="4" t="b">
        <f>OR(((E770 = "calculated")=TRUE), ((E770 = "lookup")=TRUE), ((E770 = "aggregation")=TRUE))</f>
        <v>1</v>
      </c>
      <c r="J770" s="4" t="b">
        <f>H770 &lt;&gt; ""</f>
        <v>1</v>
      </c>
      <c r="K770" s="4">
        <f>COUNTIFS(FieldDisagreements!D2:D50, A770)</f>
        <v>0</v>
      </c>
      <c r="L770" s="4" t="b">
        <f>K770 &gt; 0</f>
        <v>0</v>
      </c>
      <c r="M770" s="3" t="s">
        <v>2418</v>
      </c>
    </row>
    <row r="771">
      <c r="A771" s="3" t="s">
        <v>3671</v>
      </c>
      <c r="B771" s="4" t="str">
        <f>C771 &amp; "." &amp; D771</f>
        <v>StepExecutions.ApprovalRestsOnSelfAttestation</v>
      </c>
      <c r="C771" s="3" t="s">
        <v>1827</v>
      </c>
      <c r="D771" s="3" t="s">
        <v>1395</v>
      </c>
      <c r="E771" s="3" t="s">
        <v>2420</v>
      </c>
      <c r="F771" s="3" t="s">
        <v>2432</v>
      </c>
      <c r="G771" s="3" t="s">
        <v>3672</v>
      </c>
      <c r="H771" s="3" t="s">
        <v>2007</v>
      </c>
      <c r="I771" s="4" t="b">
        <f>OR(((E771 = "calculated")=TRUE), ((E771 = "lookup")=TRUE), ((E771 = "aggregation")=TRUE))</f>
        <v>1</v>
      </c>
      <c r="J771" s="4" t="b">
        <f>H771 &lt;&gt; ""</f>
        <v>1</v>
      </c>
      <c r="K771" s="4">
        <f>COUNTIFS(FieldDisagreements!D2:D50, A771)</f>
        <v>0</v>
      </c>
      <c r="L771" s="4" t="b">
        <f>K771 &gt; 0</f>
        <v>0</v>
      </c>
      <c r="M771" s="3" t="s">
        <v>2418</v>
      </c>
    </row>
    <row r="772">
      <c r="A772" s="3" t="s">
        <v>3673</v>
      </c>
      <c r="B772" s="4" t="str">
        <f>C772 &amp; "." &amp; D772</f>
        <v>StepExecutions.ExceptionInvocationCount</v>
      </c>
      <c r="C772" s="3" t="s">
        <v>1827</v>
      </c>
      <c r="D772" s="3" t="s">
        <v>1396</v>
      </c>
      <c r="E772" s="3" t="s">
        <v>2469</v>
      </c>
      <c r="F772" s="3" t="s">
        <v>2475</v>
      </c>
      <c r="G772" s="3" t="s">
        <v>3674</v>
      </c>
      <c r="H772" s="3" t="s">
        <v>2011</v>
      </c>
      <c r="I772" s="4" t="b">
        <f>OR(((E772 = "calculated")=TRUE), ((E772 = "lookup")=TRUE), ((E772 = "aggregation")=TRUE))</f>
        <v>1</v>
      </c>
      <c r="J772" s="4" t="b">
        <f>H772 &lt;&gt; ""</f>
        <v>1</v>
      </c>
      <c r="K772" s="4">
        <f>COUNTIFS(FieldDisagreements!D2:D50, A772)</f>
        <v>0</v>
      </c>
      <c r="L772" s="4" t="b">
        <f>K772 &gt; 0</f>
        <v>0</v>
      </c>
      <c r="M772" s="3" t="s">
        <v>2418</v>
      </c>
    </row>
    <row r="773">
      <c r="A773" s="3" t="s">
        <v>3675</v>
      </c>
      <c r="B773" s="4" t="str">
        <f>C773 &amp; "." &amp; D773</f>
        <v>StepExecutions.RanUnderException</v>
      </c>
      <c r="C773" s="3" t="s">
        <v>1827</v>
      </c>
      <c r="D773" s="3" t="s">
        <v>1397</v>
      </c>
      <c r="E773" s="3" t="s">
        <v>2420</v>
      </c>
      <c r="F773" s="3" t="s">
        <v>2432</v>
      </c>
      <c r="G773" s="3" t="s">
        <v>3676</v>
      </c>
      <c r="H773" s="3" t="s">
        <v>2011</v>
      </c>
      <c r="I773" s="4" t="b">
        <f>OR(((E773 = "calculated")=TRUE), ((E773 = "lookup")=TRUE), ((E773 = "aggregation")=TRUE))</f>
        <v>1</v>
      </c>
      <c r="J773" s="4" t="b">
        <f>H773 &lt;&gt; ""</f>
        <v>1</v>
      </c>
      <c r="K773" s="4">
        <f>COUNTIFS(FieldDisagreements!D2:D50, A773)</f>
        <v>0</v>
      </c>
      <c r="L773" s="4" t="b">
        <f>K773 &gt; 0</f>
        <v>0</v>
      </c>
      <c r="M773" s="3" t="s">
        <v>2418</v>
      </c>
    </row>
    <row r="774">
      <c r="A774" s="3" t="s">
        <v>3677</v>
      </c>
      <c r="B774" s="4" t="str">
        <f>C774 &amp; "." &amp; D774</f>
        <v>StepExecutions.IsCompleted</v>
      </c>
      <c r="C774" s="3" t="s">
        <v>1827</v>
      </c>
      <c r="D774" s="3" t="s">
        <v>1398</v>
      </c>
      <c r="E774" s="3" t="s">
        <v>2420</v>
      </c>
      <c r="F774" s="3" t="s">
        <v>2432</v>
      </c>
      <c r="G774" s="3" t="s">
        <v>3678</v>
      </c>
      <c r="H774" s="3" t="s">
        <v>2027</v>
      </c>
      <c r="I774" s="4" t="b">
        <f>OR(((E774 = "calculated")=TRUE), ((E774 = "lookup")=TRUE), ((E774 = "aggregation")=TRUE))</f>
        <v>1</v>
      </c>
      <c r="J774" s="4" t="b">
        <f>H774 &lt;&gt; ""</f>
        <v>1</v>
      </c>
      <c r="K774" s="4">
        <f>COUNTIFS(FieldDisagreements!D2:D50, A774)</f>
        <v>0</v>
      </c>
      <c r="L774" s="4" t="b">
        <f>K774 &gt; 0</f>
        <v>0</v>
      </c>
      <c r="M774" s="3" t="s">
        <v>2418</v>
      </c>
    </row>
    <row r="775">
      <c r="A775" s="3" t="s">
        <v>3679</v>
      </c>
      <c r="B775" s="4" t="str">
        <f>C775 &amp; "." &amp; D775</f>
        <v>StepExecutions.IsVerificationPassed</v>
      </c>
      <c r="C775" s="3" t="s">
        <v>1827</v>
      </c>
      <c r="D775" s="3" t="s">
        <v>1399</v>
      </c>
      <c r="E775" s="3" t="s">
        <v>2420</v>
      </c>
      <c r="F775" s="3" t="s">
        <v>2432</v>
      </c>
      <c r="G775" s="3" t="s">
        <v>3680</v>
      </c>
      <c r="H775" s="3" t="s">
        <v>2075</v>
      </c>
      <c r="I775" s="4" t="b">
        <f>OR(((E775 = "calculated")=TRUE), ((E775 = "lookup")=TRUE), ((E775 = "aggregation")=TRUE))</f>
        <v>1</v>
      </c>
      <c r="J775" s="4" t="b">
        <f>H775 &lt;&gt; ""</f>
        <v>1</v>
      </c>
      <c r="K775" s="4">
        <f>COUNTIFS(FieldDisagreements!D2:D50, A775)</f>
        <v>0</v>
      </c>
      <c r="L775" s="4" t="b">
        <f>K775 &gt; 0</f>
        <v>0</v>
      </c>
      <c r="M775" s="3" t="s">
        <v>2418</v>
      </c>
    </row>
    <row r="776">
      <c r="A776" s="3" t="s">
        <v>3681</v>
      </c>
      <c r="B776" s="4" t="str">
        <f>C776 &amp; "." &amp; D776</f>
        <v>StepExecutions.IsLegalReviewStep</v>
      </c>
      <c r="C776" s="3" t="s">
        <v>1827</v>
      </c>
      <c r="D776" s="3" t="s">
        <v>1400</v>
      </c>
      <c r="E776" s="3" t="s">
        <v>2420</v>
      </c>
      <c r="F776" s="3" t="s">
        <v>2432</v>
      </c>
      <c r="G776" s="3" t="s">
        <v>3682</v>
      </c>
      <c r="H776" s="3" t="s">
        <v>2075</v>
      </c>
      <c r="I776" s="4" t="b">
        <f>OR(((E776 = "calculated")=TRUE), ((E776 = "lookup")=TRUE), ((E776 = "aggregation")=TRUE))</f>
        <v>1</v>
      </c>
      <c r="J776" s="4" t="b">
        <f>H776 &lt;&gt; ""</f>
        <v>1</v>
      </c>
      <c r="K776" s="4">
        <f>COUNTIFS(FieldDisagreements!D2:D50, A776)</f>
        <v>0</v>
      </c>
      <c r="L776" s="4" t="b">
        <f>K776 &gt; 0</f>
        <v>0</v>
      </c>
      <c r="M776" s="3" t="s">
        <v>2418</v>
      </c>
    </row>
    <row r="777">
      <c r="A777" s="3" t="s">
        <v>3683</v>
      </c>
      <c r="B777" s="4" t="str">
        <f>C777 &amp; "." &amp; D777</f>
        <v>StepExecutions.ClearedLegalReviewKey</v>
      </c>
      <c r="C777" s="3" t="s">
        <v>1827</v>
      </c>
      <c r="D777" s="3" t="s">
        <v>1401</v>
      </c>
      <c r="E777" s="3" t="s">
        <v>2420</v>
      </c>
      <c r="F777" s="3" t="s">
        <v>2417</v>
      </c>
      <c r="G777" s="3" t="s">
        <v>3684</v>
      </c>
      <c r="H777" s="3" t="s">
        <v>2075</v>
      </c>
      <c r="I777" s="4" t="b">
        <f>OR(((E777 = "calculated")=TRUE), ((E777 = "lookup")=TRUE), ((E777 = "aggregation")=TRUE))</f>
        <v>1</v>
      </c>
      <c r="J777" s="4" t="b">
        <f>H777 &lt;&gt; ""</f>
        <v>1</v>
      </c>
      <c r="K777" s="4">
        <f>COUNTIFS(FieldDisagreements!D2:D50, A777)</f>
        <v>0</v>
      </c>
      <c r="L777" s="4" t="b">
        <f>K777 &gt; 0</f>
        <v>0</v>
      </c>
      <c r="M777" s="3" t="s">
        <v>2418</v>
      </c>
    </row>
    <row r="778">
      <c r="A778" s="3" t="s">
        <v>3685</v>
      </c>
      <c r="B778" s="4" t="str">
        <f>C778 &amp; "." &amp; D778</f>
        <v>StepExecutions.AssignedRole</v>
      </c>
      <c r="C778" s="3" t="s">
        <v>1827</v>
      </c>
      <c r="D778" s="3" t="s">
        <v>501</v>
      </c>
      <c r="E778" s="3" t="s">
        <v>2509</v>
      </c>
      <c r="F778" s="3" t="s">
        <v>2417</v>
      </c>
      <c r="G778" s="3" t="s">
        <v>3638</v>
      </c>
      <c r="H778" s="3" t="s">
        <v>2119</v>
      </c>
      <c r="I778" s="4" t="b">
        <f>OR(((E778 = "calculated")=TRUE), ((E778 = "lookup")=TRUE), ((E778 = "aggregation")=TRUE))</f>
        <v>1</v>
      </c>
      <c r="J778" s="4" t="b">
        <f>H778 &lt;&gt; ""</f>
        <v>1</v>
      </c>
      <c r="K778" s="4">
        <f>COUNTIFS(FieldDisagreements!D2:D50, A778)</f>
        <v>0</v>
      </c>
      <c r="L778" s="4" t="b">
        <f>K778 &gt; 0</f>
        <v>0</v>
      </c>
      <c r="M778" s="3" t="s">
        <v>2418</v>
      </c>
    </row>
    <row r="779">
      <c r="A779" s="3" t="s">
        <v>3686</v>
      </c>
      <c r="B779" s="4" t="str">
        <f>C779 &amp; "." &amp; D779</f>
        <v>StepExecutions.RoleCurrentAgent</v>
      </c>
      <c r="C779" s="3" t="s">
        <v>1827</v>
      </c>
      <c r="D779" s="3" t="s">
        <v>1402</v>
      </c>
      <c r="E779" s="3" t="s">
        <v>2509</v>
      </c>
      <c r="F779" s="3" t="s">
        <v>2417</v>
      </c>
      <c r="G779" s="3" t="s">
        <v>3687</v>
      </c>
      <c r="H779" s="3" t="s">
        <v>2119</v>
      </c>
      <c r="I779" s="4" t="b">
        <f>OR(((E779 = "calculated")=TRUE), ((E779 = "lookup")=TRUE), ((E779 = "aggregation")=TRUE))</f>
        <v>1</v>
      </c>
      <c r="J779" s="4" t="b">
        <f>H779 &lt;&gt; ""</f>
        <v>1</v>
      </c>
      <c r="K779" s="4">
        <f>COUNTIFS(FieldDisagreements!D2:D50, A779)</f>
        <v>0</v>
      </c>
      <c r="L779" s="4" t="b">
        <f>K779 &gt; 0</f>
        <v>0</v>
      </c>
      <c r="M779" s="3" t="s">
        <v>2418</v>
      </c>
    </row>
    <row r="780">
      <c r="A780" s="3" t="s">
        <v>3688</v>
      </c>
      <c r="B780" s="4" t="str">
        <f>C780 &amp; "." &amp; D780</f>
        <v>StepExecutions.ExecutorIsDesignatedAgent</v>
      </c>
      <c r="C780" s="3" t="s">
        <v>1827</v>
      </c>
      <c r="D780" s="3" t="s">
        <v>1403</v>
      </c>
      <c r="E780" s="3" t="s">
        <v>2420</v>
      </c>
      <c r="F780" s="3" t="s">
        <v>2432</v>
      </c>
      <c r="G780" s="3" t="s">
        <v>3689</v>
      </c>
      <c r="H780" s="3" t="s">
        <v>2119</v>
      </c>
      <c r="I780" s="4" t="b">
        <f>OR(((E780 = "calculated")=TRUE), ((E780 = "lookup")=TRUE), ((E780 = "aggregation")=TRUE))</f>
        <v>1</v>
      </c>
      <c r="J780" s="4" t="b">
        <f>H780 &lt;&gt; ""</f>
        <v>1</v>
      </c>
      <c r="K780" s="4">
        <f>COUNTIFS(FieldDisagreements!D2:D50, A780)</f>
        <v>0</v>
      </c>
      <c r="L780" s="4" t="b">
        <f>K780 &gt; 0</f>
        <v>0</v>
      </c>
      <c r="M780" s="3" t="s">
        <v>2418</v>
      </c>
    </row>
    <row r="781">
      <c r="A781" s="3" t="s">
        <v>3690</v>
      </c>
      <c r="B781" s="4" t="str">
        <f>C781 &amp; "." &amp; D781</f>
        <v>StepExecutions.InputsWereFreshAtRun</v>
      </c>
      <c r="C781" s="3" t="s">
        <v>1827</v>
      </c>
      <c r="D781" s="3" t="s">
        <v>1404</v>
      </c>
      <c r="E781" s="3" t="s">
        <v>2509</v>
      </c>
      <c r="F781" s="3" t="s">
        <v>2432</v>
      </c>
      <c r="G781" s="3" t="s">
        <v>3691</v>
      </c>
      <c r="H781" s="3" t="s">
        <v>2123</v>
      </c>
      <c r="I781" s="4" t="b">
        <f>OR(((E781 = "calculated")=TRUE), ((E781 = "lookup")=TRUE), ((E781 = "aggregation")=TRUE))</f>
        <v>1</v>
      </c>
      <c r="J781" s="4" t="b">
        <f>H781 &lt;&gt; ""</f>
        <v>1</v>
      </c>
      <c r="K781" s="4">
        <f>COUNTIFS(FieldDisagreements!D2:D50, A781)</f>
        <v>0</v>
      </c>
      <c r="L781" s="4" t="b">
        <f>K781 &gt; 0</f>
        <v>0</v>
      </c>
      <c r="M781" s="3" t="s">
        <v>2418</v>
      </c>
    </row>
    <row r="782">
      <c r="A782" s="3" t="s">
        <v>3692</v>
      </c>
      <c r="B782" s="4" t="str">
        <f>C782 &amp; "." &amp; D782</f>
        <v>StepExecutions.RanOnStaleInputs</v>
      </c>
      <c r="C782" s="3" t="s">
        <v>1827</v>
      </c>
      <c r="D782" s="3" t="s">
        <v>1405</v>
      </c>
      <c r="E782" s="3" t="s">
        <v>2420</v>
      </c>
      <c r="F782" s="3" t="s">
        <v>2432</v>
      </c>
      <c r="G782" s="3" t="s">
        <v>3693</v>
      </c>
      <c r="H782" s="3" t="s">
        <v>2123</v>
      </c>
      <c r="I782" s="4" t="b">
        <f>OR(((E782 = "calculated")=TRUE), ((E782 = "lookup")=TRUE), ((E782 = "aggregation")=TRUE))</f>
        <v>1</v>
      </c>
      <c r="J782" s="4" t="b">
        <f>H782 &lt;&gt; ""</f>
        <v>1</v>
      </c>
      <c r="K782" s="4">
        <f>COUNTIFS(FieldDisagreements!D2:D50, A782)</f>
        <v>0</v>
      </c>
      <c r="L782" s="4" t="b">
        <f>K782 &gt; 0</f>
        <v>0</v>
      </c>
      <c r="M782" s="3" t="s">
        <v>2418</v>
      </c>
    </row>
    <row r="783">
      <c r="A783" s="3" t="s">
        <v>3694</v>
      </c>
      <c r="B783" s="4" t="str">
        <f>C783 &amp; "." &amp; D783</f>
        <v>StepExecutions.UnresolvedIssueCount</v>
      </c>
      <c r="C783" s="3" t="s">
        <v>1827</v>
      </c>
      <c r="D783" s="3" t="s">
        <v>1406</v>
      </c>
      <c r="E783" s="3" t="s">
        <v>2469</v>
      </c>
      <c r="F783" s="3" t="s">
        <v>2475</v>
      </c>
      <c r="G783" s="3" t="s">
        <v>3695</v>
      </c>
      <c r="H783" s="3" t="s">
        <v>2127</v>
      </c>
      <c r="I783" s="4" t="b">
        <f>OR(((E783 = "calculated")=TRUE), ((E783 = "lookup")=TRUE), ((E783 = "aggregation")=TRUE))</f>
        <v>1</v>
      </c>
      <c r="J783" s="4" t="b">
        <f>H783 &lt;&gt; ""</f>
        <v>1</v>
      </c>
      <c r="K783" s="4">
        <f>COUNTIFS(FieldDisagreements!D2:D50, A783)</f>
        <v>0</v>
      </c>
      <c r="L783" s="4" t="b">
        <f>K783 &gt; 0</f>
        <v>0</v>
      </c>
      <c r="M783" s="3" t="s">
        <v>2418</v>
      </c>
    </row>
    <row r="784">
      <c r="A784" s="3" t="s">
        <v>3696</v>
      </c>
      <c r="B784" s="4" t="str">
        <f>C784 &amp; "." &amp; D784</f>
        <v>StepExecutions.HasDeviation</v>
      </c>
      <c r="C784" s="3" t="s">
        <v>1827</v>
      </c>
      <c r="D784" s="3" t="s">
        <v>1407</v>
      </c>
      <c r="E784" s="3" t="s">
        <v>2420</v>
      </c>
      <c r="F784" s="3" t="s">
        <v>2432</v>
      </c>
      <c r="G784" s="3" t="s">
        <v>3609</v>
      </c>
      <c r="H784" s="3" t="s">
        <v>2127</v>
      </c>
      <c r="I784" s="4" t="b">
        <f>OR(((E784 = "calculated")=TRUE), ((E784 = "lookup")=TRUE), ((E784 = "aggregation")=TRUE))</f>
        <v>1</v>
      </c>
      <c r="J784" s="4" t="b">
        <f>H784 &lt;&gt; ""</f>
        <v>1</v>
      </c>
      <c r="K784" s="4">
        <f>COUNTIFS(FieldDisagreements!D2:D50, A784)</f>
        <v>0</v>
      </c>
      <c r="L784" s="4" t="b">
        <f>K784 &gt; 0</f>
        <v>0</v>
      </c>
      <c r="M784" s="3" t="s">
        <v>2418</v>
      </c>
    </row>
    <row r="785">
      <c r="A785" s="3" t="s">
        <v>3697</v>
      </c>
      <c r="B785" s="4" t="str">
        <f>C785 &amp; "." &amp; D785</f>
        <v>StepExecutions.IsClean</v>
      </c>
      <c r="C785" s="3" t="s">
        <v>1827</v>
      </c>
      <c r="D785" s="3" t="s">
        <v>1408</v>
      </c>
      <c r="E785" s="3" t="s">
        <v>2420</v>
      </c>
      <c r="F785" s="3" t="s">
        <v>2432</v>
      </c>
      <c r="G785" s="3" t="s">
        <v>3698</v>
      </c>
      <c r="H785" s="3" t="s">
        <v>2127</v>
      </c>
      <c r="I785" s="4" t="b">
        <f>OR(((E785 = "calculated")=TRUE), ((E785 = "lookup")=TRUE), ((E785 = "aggregation")=TRUE))</f>
        <v>1</v>
      </c>
      <c r="J785" s="4" t="b">
        <f>H785 &lt;&gt; ""</f>
        <v>1</v>
      </c>
      <c r="K785" s="4">
        <f>COUNTIFS(FieldDisagreements!D2:D50, A785)</f>
        <v>0</v>
      </c>
      <c r="L785" s="4" t="b">
        <f>K785 &gt; 0</f>
        <v>0</v>
      </c>
      <c r="M785" s="3" t="s">
        <v>2418</v>
      </c>
    </row>
    <row r="786">
      <c r="A786" s="3" t="s">
        <v>3699</v>
      </c>
      <c r="B786" s="4" t="str">
        <f>C786 &amp; "." &amp; D786</f>
        <v>StepExecutions.ProcedureExecutionWhenUnclean</v>
      </c>
      <c r="C786" s="3" t="s">
        <v>1827</v>
      </c>
      <c r="D786" s="3" t="s">
        <v>1409</v>
      </c>
      <c r="E786" s="3" t="s">
        <v>2420</v>
      </c>
      <c r="F786" s="3" t="s">
        <v>2417</v>
      </c>
      <c r="G786" s="3" t="s">
        <v>3700</v>
      </c>
      <c r="H786" s="3" t="s">
        <v>2127</v>
      </c>
      <c r="I786" s="4" t="b">
        <f>OR(((E786 = "calculated")=TRUE), ((E786 = "lookup")=TRUE), ((E786 = "aggregation")=TRUE))</f>
        <v>1</v>
      </c>
      <c r="J786" s="4" t="b">
        <f>H786 &lt;&gt; ""</f>
        <v>1</v>
      </c>
      <c r="K786" s="4">
        <f>COUNTIFS(FieldDisagreements!D2:D50, A786)</f>
        <v>0</v>
      </c>
      <c r="L786" s="4" t="b">
        <f>K786 &gt; 0</f>
        <v>0</v>
      </c>
      <c r="M786" s="3" t="s">
        <v>2418</v>
      </c>
    </row>
    <row r="787">
      <c r="A787" s="3" t="s">
        <v>3701</v>
      </c>
      <c r="B787" s="4" t="str">
        <f>C787 &amp; "." &amp; D787</f>
        <v>StepExecutions.EvaluatedRequirementCount</v>
      </c>
      <c r="C787" s="3" t="s">
        <v>1827</v>
      </c>
      <c r="D787" s="3" t="s">
        <v>1410</v>
      </c>
      <c r="E787" s="3" t="s">
        <v>2469</v>
      </c>
      <c r="F787" s="3" t="s">
        <v>2475</v>
      </c>
      <c r="G787" s="3" t="s">
        <v>3702</v>
      </c>
      <c r="H787" s="3" t="s">
        <v>2131</v>
      </c>
      <c r="I787" s="4" t="b">
        <f>OR(((E787 = "calculated")=TRUE), ((E787 = "lookup")=TRUE), ((E787 = "aggregation")=TRUE))</f>
        <v>1</v>
      </c>
      <c r="J787" s="4" t="b">
        <f>H787 &lt;&gt; ""</f>
        <v>1</v>
      </c>
      <c r="K787" s="4">
        <f>COUNTIFS(FieldDisagreements!D2:D50, A787)</f>
        <v>0</v>
      </c>
      <c r="L787" s="4" t="b">
        <f>K787 &gt; 0</f>
        <v>0</v>
      </c>
      <c r="M787" s="3" t="s">
        <v>2418</v>
      </c>
    </row>
    <row r="788">
      <c r="A788" s="3" t="s">
        <v>3703</v>
      </c>
      <c r="B788" s="4" t="str">
        <f>C788 &amp; "." &amp; D788</f>
        <v>StepExecutions.RequiredBlockingCount</v>
      </c>
      <c r="C788" s="3" t="s">
        <v>1827</v>
      </c>
      <c r="D788" s="3" t="s">
        <v>1411</v>
      </c>
      <c r="E788" s="3" t="s">
        <v>2509</v>
      </c>
      <c r="F788" s="3" t="s">
        <v>2470</v>
      </c>
      <c r="G788" s="3" t="s">
        <v>3597</v>
      </c>
      <c r="H788" s="3" t="s">
        <v>2131</v>
      </c>
      <c r="I788" s="4" t="b">
        <f>OR(((E788 = "calculated")=TRUE), ((E788 = "lookup")=TRUE), ((E788 = "aggregation")=TRUE))</f>
        <v>1</v>
      </c>
      <c r="J788" s="4" t="b">
        <f>H788 &lt;&gt; ""</f>
        <v>1</v>
      </c>
      <c r="K788" s="4">
        <f>COUNTIFS(FieldDisagreements!D2:D50, A788)</f>
        <v>0</v>
      </c>
      <c r="L788" s="4" t="b">
        <f>K788 &gt; 0</f>
        <v>0</v>
      </c>
      <c r="M788" s="3" t="s">
        <v>2418</v>
      </c>
    </row>
    <row r="789">
      <c r="A789" s="3" t="s">
        <v>3704</v>
      </c>
      <c r="B789" s="4" t="str">
        <f>C789 &amp; "." &amp; D789</f>
        <v>StepExecutions.HasUnevaluatedBlockingRequirement</v>
      </c>
      <c r="C789" s="3" t="s">
        <v>1827</v>
      </c>
      <c r="D789" s="3" t="s">
        <v>1412</v>
      </c>
      <c r="E789" s="3" t="s">
        <v>2420</v>
      </c>
      <c r="F789" s="3" t="s">
        <v>2432</v>
      </c>
      <c r="G789" s="3" t="s">
        <v>3705</v>
      </c>
      <c r="H789" s="3" t="s">
        <v>2131</v>
      </c>
      <c r="I789" s="4" t="b">
        <f>OR(((E789 = "calculated")=TRUE), ((E789 = "lookup")=TRUE), ((E789 = "aggregation")=TRUE))</f>
        <v>1</v>
      </c>
      <c r="J789" s="4" t="b">
        <f>H789 &lt;&gt; ""</f>
        <v>1</v>
      </c>
      <c r="K789" s="4">
        <f>COUNTIFS(FieldDisagreements!D2:D50, A789)</f>
        <v>0</v>
      </c>
      <c r="L789" s="4" t="b">
        <f>K789 &gt; 0</f>
        <v>0</v>
      </c>
      <c r="M789" s="3" t="s">
        <v>2418</v>
      </c>
    </row>
    <row r="790">
      <c r="A790" s="3" t="s">
        <v>3706</v>
      </c>
      <c r="B790" s="4" t="str">
        <f>C790 &amp; "." &amp; D790</f>
        <v>StepExecutions.ExecutingAgentKind</v>
      </c>
      <c r="C790" s="3" t="s">
        <v>1827</v>
      </c>
      <c r="D790" s="3" t="s">
        <v>1413</v>
      </c>
      <c r="E790" s="3" t="s">
        <v>2509</v>
      </c>
      <c r="F790" s="3" t="s">
        <v>2417</v>
      </c>
      <c r="G790" s="3" t="s">
        <v>3654</v>
      </c>
      <c r="H790" s="3" t="s">
        <v>2143</v>
      </c>
      <c r="I790" s="4" t="b">
        <f>OR(((E790 = "calculated")=TRUE), ((E790 = "lookup")=TRUE), ((E790 = "aggregation")=TRUE))</f>
        <v>1</v>
      </c>
      <c r="J790" s="4" t="b">
        <f>H790 &lt;&gt; ""</f>
        <v>1</v>
      </c>
      <c r="K790" s="4">
        <f>COUNTIFS(FieldDisagreements!D2:D50, A790)</f>
        <v>0</v>
      </c>
      <c r="L790" s="4" t="b">
        <f>K790 &gt; 0</f>
        <v>0</v>
      </c>
      <c r="M790" s="3" t="s">
        <v>2418</v>
      </c>
    </row>
    <row r="791">
      <c r="A791" s="3" t="s">
        <v>3707</v>
      </c>
      <c r="B791" s="4" t="str">
        <f>C791 &amp; "." &amp; D791</f>
        <v>StepExecutions.WasExecutedBySoftware</v>
      </c>
      <c r="C791" s="3" t="s">
        <v>1827</v>
      </c>
      <c r="D791" s="3" t="s">
        <v>1414</v>
      </c>
      <c r="E791" s="3" t="s">
        <v>2420</v>
      </c>
      <c r="F791" s="3" t="s">
        <v>2432</v>
      </c>
      <c r="G791" s="3" t="s">
        <v>3708</v>
      </c>
      <c r="H791" s="3" t="s">
        <v>2143</v>
      </c>
      <c r="I791" s="4" t="b">
        <f>OR(((E791 = "calculated")=TRUE), ((E791 = "lookup")=TRUE), ((E791 = "aggregation")=TRUE))</f>
        <v>1</v>
      </c>
      <c r="J791" s="4" t="b">
        <f>H791 &lt;&gt; ""</f>
        <v>1</v>
      </c>
      <c r="K791" s="4">
        <f>COUNTIFS(FieldDisagreements!D2:D50, A791)</f>
        <v>0</v>
      </c>
      <c r="L791" s="4" t="b">
        <f>K791 &gt; 0</f>
        <v>0</v>
      </c>
      <c r="M791" s="3" t="s">
        <v>2418</v>
      </c>
    </row>
    <row r="792">
      <c r="A792" s="3" t="s">
        <v>3709</v>
      </c>
      <c r="B792" s="4" t="str">
        <f>C792 &amp; "." &amp; D792</f>
        <v>StepExecutions.StepIsSoftwareAssigned</v>
      </c>
      <c r="C792" s="3" t="s">
        <v>1827</v>
      </c>
      <c r="D792" s="3" t="s">
        <v>1415</v>
      </c>
      <c r="E792" s="3" t="s">
        <v>2509</v>
      </c>
      <c r="F792" s="3" t="s">
        <v>2432</v>
      </c>
      <c r="G792" s="3" t="s">
        <v>3325</v>
      </c>
      <c r="H792" s="3" t="s">
        <v>2143</v>
      </c>
      <c r="I792" s="4" t="b">
        <f>OR(((E792 = "calculated")=TRUE), ((E792 = "lookup")=TRUE), ((E792 = "aggregation")=TRUE))</f>
        <v>1</v>
      </c>
      <c r="J792" s="4" t="b">
        <f>H792 &lt;&gt; ""</f>
        <v>1</v>
      </c>
      <c r="K792" s="4">
        <f>COUNTIFS(FieldDisagreements!D2:D50, A792)</f>
        <v>0</v>
      </c>
      <c r="L792" s="4" t="b">
        <f>K792 &gt; 0</f>
        <v>0</v>
      </c>
      <c r="M792" s="3" t="s">
        <v>2418</v>
      </c>
    </row>
    <row r="793">
      <c r="A793" s="3" t="s">
        <v>3710</v>
      </c>
      <c r="B793" s="4" t="str">
        <f>C793 &amp; "." &amp; D793</f>
        <v>StepExecutions.SoftwareDidHumanWork</v>
      </c>
      <c r="C793" s="3" t="s">
        <v>1827</v>
      </c>
      <c r="D793" s="3" t="s">
        <v>1416</v>
      </c>
      <c r="E793" s="3" t="s">
        <v>2420</v>
      </c>
      <c r="F793" s="3" t="s">
        <v>2432</v>
      </c>
      <c r="G793" s="3" t="s">
        <v>3711</v>
      </c>
      <c r="H793" s="3" t="s">
        <v>2143</v>
      </c>
      <c r="I793" s="4" t="b">
        <f>OR(((E793 = "calculated")=TRUE), ((E793 = "lookup")=TRUE), ((E793 = "aggregation")=TRUE))</f>
        <v>1</v>
      </c>
      <c r="J793" s="4" t="b">
        <f>H793 &lt;&gt; ""</f>
        <v>1</v>
      </c>
      <c r="K793" s="4">
        <f>COUNTIFS(FieldDisagreements!D2:D50, A793)</f>
        <v>0</v>
      </c>
      <c r="L793" s="4" t="b">
        <f>K793 &gt; 0</f>
        <v>0</v>
      </c>
      <c r="M793" s="3" t="s">
        <v>2418</v>
      </c>
    </row>
    <row r="794">
      <c r="A794" s="3" t="s">
        <v>3712</v>
      </c>
      <c r="B794" s="4" t="str">
        <f>C794 &amp; "." &amp; D794</f>
        <v>StepExecutions.IsApprovalExecution</v>
      </c>
      <c r="C794" s="3" t="s">
        <v>1827</v>
      </c>
      <c r="D794" s="3" t="s">
        <v>1417</v>
      </c>
      <c r="E794" s="3" t="s">
        <v>2509</v>
      </c>
      <c r="F794" s="3" t="s">
        <v>2432</v>
      </c>
      <c r="G794" s="3" t="s">
        <v>3713</v>
      </c>
      <c r="H794" s="3" t="s">
        <v>2151</v>
      </c>
      <c r="I794" s="4" t="b">
        <f>OR(((E794 = "calculated")=TRUE), ((E794 = "lookup")=TRUE), ((E794 = "aggregation")=TRUE))</f>
        <v>1</v>
      </c>
      <c r="J794" s="4" t="b">
        <f>H794 &lt;&gt; ""</f>
        <v>1</v>
      </c>
      <c r="K794" s="4">
        <f>COUNTIFS(FieldDisagreements!D2:D50, A794)</f>
        <v>0</v>
      </c>
      <c r="L794" s="4" t="b">
        <f>K794 &gt; 0</f>
        <v>0</v>
      </c>
      <c r="M794" s="3" t="s">
        <v>2418</v>
      </c>
    </row>
    <row r="795">
      <c r="A795" s="3" t="s">
        <v>3714</v>
      </c>
      <c r="B795" s="4" t="str">
        <f>C795 &amp; "." &amp; D795</f>
        <v>StepExecutions.IsVerified</v>
      </c>
      <c r="C795" s="3" t="s">
        <v>1827</v>
      </c>
      <c r="D795" s="3" t="s">
        <v>1418</v>
      </c>
      <c r="E795" s="3" t="s">
        <v>2420</v>
      </c>
      <c r="F795" s="3" t="s">
        <v>2432</v>
      </c>
      <c r="G795" s="3" t="s">
        <v>3715</v>
      </c>
      <c r="H795" s="3" t="s">
        <v>2151</v>
      </c>
      <c r="I795" s="4" t="b">
        <f>OR(((E795 = "calculated")=TRUE), ((E795 = "lookup")=TRUE), ((E795 = "aggregation")=TRUE))</f>
        <v>1</v>
      </c>
      <c r="J795" s="4" t="b">
        <f>H795 &lt;&gt; ""</f>
        <v>1</v>
      </c>
      <c r="K795" s="4">
        <f>COUNTIFS(FieldDisagreements!D2:D50, A795)</f>
        <v>0</v>
      </c>
      <c r="L795" s="4" t="b">
        <f>K795 &gt; 0</f>
        <v>0</v>
      </c>
      <c r="M795" s="3" t="s">
        <v>2418</v>
      </c>
    </row>
    <row r="796">
      <c r="A796" s="3" t="s">
        <v>3716</v>
      </c>
      <c r="B796" s="4" t="str">
        <f>C796 &amp; "." &amp; D796</f>
        <v>StepExecutions.UnconfirmedNonHumanDecisionCount</v>
      </c>
      <c r="C796" s="3" t="s">
        <v>1827</v>
      </c>
      <c r="D796" s="3" t="s">
        <v>1419</v>
      </c>
      <c r="E796" s="3" t="s">
        <v>2469</v>
      </c>
      <c r="F796" s="3" t="s">
        <v>2475</v>
      </c>
      <c r="G796" s="3" t="s">
        <v>3717</v>
      </c>
      <c r="H796" s="3" t="s">
        <v>2171</v>
      </c>
      <c r="I796" s="4" t="b">
        <f>OR(((E796 = "calculated")=TRUE), ((E796 = "lookup")=TRUE), ((E796 = "aggregation")=TRUE))</f>
        <v>1</v>
      </c>
      <c r="J796" s="4" t="b">
        <f>H796 &lt;&gt; ""</f>
        <v>1</v>
      </c>
      <c r="K796" s="4">
        <f>COUNTIFS(FieldDisagreements!D2:D50, A796)</f>
        <v>0</v>
      </c>
      <c r="L796" s="4" t="b">
        <f>K796 &gt; 0</f>
        <v>0</v>
      </c>
      <c r="M796" s="3" t="s">
        <v>2418</v>
      </c>
    </row>
    <row r="797">
      <c r="A797" s="3" t="s">
        <v>3718</v>
      </c>
      <c r="B797" s="4" t="str">
        <f>C797 &amp; "." &amp; D797</f>
        <v>StepExecutions.RequiresHumanConfirmation</v>
      </c>
      <c r="C797" s="3" t="s">
        <v>1827</v>
      </c>
      <c r="D797" s="3" t="s">
        <v>507</v>
      </c>
      <c r="E797" s="3" t="s">
        <v>2509</v>
      </c>
      <c r="F797" s="3" t="s">
        <v>2432</v>
      </c>
      <c r="G797" s="3" t="s">
        <v>3658</v>
      </c>
      <c r="H797" s="3" t="s">
        <v>2171</v>
      </c>
      <c r="I797" s="4" t="b">
        <f>OR(((E797 = "calculated")=TRUE), ((E797 = "lookup")=TRUE), ((E797 = "aggregation")=TRUE))</f>
        <v>1</v>
      </c>
      <c r="J797" s="4" t="b">
        <f>H797 &lt;&gt; ""</f>
        <v>1</v>
      </c>
      <c r="K797" s="4">
        <f>COUNTIFS(FieldDisagreements!D2:D50, A797)</f>
        <v>0</v>
      </c>
      <c r="L797" s="4" t="b">
        <f>K797 &gt; 0</f>
        <v>0</v>
      </c>
      <c r="M797" s="3" t="s">
        <v>2418</v>
      </c>
    </row>
    <row r="798">
      <c r="A798" s="3" t="s">
        <v>3719</v>
      </c>
      <c r="B798" s="4" t="str">
        <f>C798 &amp; "." &amp; D798</f>
        <v>StepExecutions.HumanConfirmationMissing</v>
      </c>
      <c r="C798" s="3" t="s">
        <v>1827</v>
      </c>
      <c r="D798" s="3" t="s">
        <v>1420</v>
      </c>
      <c r="E798" s="3" t="s">
        <v>2420</v>
      </c>
      <c r="F798" s="3" t="s">
        <v>2432</v>
      </c>
      <c r="G798" s="3" t="s">
        <v>3720</v>
      </c>
      <c r="H798" s="3" t="s">
        <v>2171</v>
      </c>
      <c r="I798" s="4" t="b">
        <f>OR(((E798 = "calculated")=TRUE), ((E798 = "lookup")=TRUE), ((E798 = "aggregation")=TRUE))</f>
        <v>1</v>
      </c>
      <c r="J798" s="4" t="b">
        <f>H798 &lt;&gt; ""</f>
        <v>1</v>
      </c>
      <c r="K798" s="4">
        <f>COUNTIFS(FieldDisagreements!D2:D50, A798)</f>
        <v>0</v>
      </c>
      <c r="L798" s="4" t="b">
        <f>K798 &gt; 0</f>
        <v>0</v>
      </c>
      <c r="M798" s="3" t="s">
        <v>2418</v>
      </c>
    </row>
    <row r="799">
      <c r="A799" s="3" t="s">
        <v>3721</v>
      </c>
      <c r="B799" s="4" t="str">
        <f>C799 &amp; "." &amp; D799</f>
        <v>StepExecutions.DraftedFromUnusableSource</v>
      </c>
      <c r="C799" s="3" t="s">
        <v>1827</v>
      </c>
      <c r="D799" s="3" t="s">
        <v>1421</v>
      </c>
      <c r="E799" s="3" t="s">
        <v>2420</v>
      </c>
      <c r="F799" s="3" t="s">
        <v>2432</v>
      </c>
      <c r="G799" s="3" t="s">
        <v>3722</v>
      </c>
      <c r="H799" s="3" t="s">
        <v>2183</v>
      </c>
      <c r="I799" s="4" t="b">
        <f>OR(((E799 = "calculated")=TRUE), ((E799 = "lookup")=TRUE), ((E799 = "aggregation")=TRUE))</f>
        <v>1</v>
      </c>
      <c r="J799" s="4" t="b">
        <f>H799 &lt;&gt; ""</f>
        <v>1</v>
      </c>
      <c r="K799" s="4">
        <f>COUNTIFS(FieldDisagreements!D2:D50, A799)</f>
        <v>0</v>
      </c>
      <c r="L799" s="4" t="b">
        <f>K799 &gt; 0</f>
        <v>0</v>
      </c>
      <c r="M799" s="3" t="s">
        <v>2418</v>
      </c>
    </row>
    <row r="800">
      <c r="A800" s="3" t="s">
        <v>3723</v>
      </c>
      <c r="B800" s="4" t="str">
        <f>C800 &amp; "." &amp; D800</f>
        <v>StepExecutions.InputsWereUsable</v>
      </c>
      <c r="C800" s="3" t="s">
        <v>1827</v>
      </c>
      <c r="D800" s="3" t="s">
        <v>1422</v>
      </c>
      <c r="E800" s="3" t="s">
        <v>2509</v>
      </c>
      <c r="F800" s="3" t="s">
        <v>2432</v>
      </c>
      <c r="G800" s="3" t="s">
        <v>3724</v>
      </c>
      <c r="H800" s="3" t="s">
        <v>2183</v>
      </c>
      <c r="I800" s="4" t="b">
        <f>OR(((E800 = "calculated")=TRUE), ((E800 = "lookup")=TRUE), ((E800 = "aggregation")=TRUE))</f>
        <v>1</v>
      </c>
      <c r="J800" s="4" t="b">
        <f>H800 &lt;&gt; ""</f>
        <v>1</v>
      </c>
      <c r="K800" s="4">
        <f>COUNTIFS(FieldDisagreements!D2:D50, A800)</f>
        <v>0</v>
      </c>
      <c r="L800" s="4" t="b">
        <f>K800 &gt; 0</f>
        <v>0</v>
      </c>
      <c r="M800" s="3" t="s">
        <v>2418</v>
      </c>
    </row>
    <row r="801">
      <c r="A801" s="3" t="s">
        <v>3725</v>
      </c>
      <c r="B801" s="4" t="str">
        <f>C801 &amp; "." &amp; D801</f>
        <v>StepExecutions.SoftwareExecutionStepKey</v>
      </c>
      <c r="C801" s="3" t="s">
        <v>1827</v>
      </c>
      <c r="D801" s="3" t="s">
        <v>1423</v>
      </c>
      <c r="E801" s="3" t="s">
        <v>2420</v>
      </c>
      <c r="F801" s="3" t="s">
        <v>2417</v>
      </c>
      <c r="G801" s="3" t="s">
        <v>3726</v>
      </c>
      <c r="H801" s="3" t="s">
        <v>2223</v>
      </c>
      <c r="I801" s="4" t="b">
        <f>OR(((E801 = "calculated")=TRUE), ((E801 = "lookup")=TRUE), ((E801 = "aggregation")=TRUE))</f>
        <v>1</v>
      </c>
      <c r="J801" s="4" t="b">
        <f>H801 &lt;&gt; ""</f>
        <v>1</v>
      </c>
      <c r="K801" s="4">
        <f>COUNTIFS(FieldDisagreements!D2:D50, A801)</f>
        <v>0</v>
      </c>
      <c r="L801" s="4" t="b">
        <f>K801 &gt; 0</f>
        <v>0</v>
      </c>
      <c r="M801" s="3" t="s">
        <v>2418</v>
      </c>
    </row>
    <row r="802">
      <c r="A802" s="3" t="s">
        <v>3727</v>
      </c>
      <c r="B802" s="4" t="str">
        <f>C802 &amp; "." &amp; D802</f>
        <v>StepExecutions.StepControlKind</v>
      </c>
      <c r="C802" s="3" t="s">
        <v>1827</v>
      </c>
      <c r="D802" s="3" t="s">
        <v>1424</v>
      </c>
      <c r="E802" s="3" t="s">
        <v>2509</v>
      </c>
      <c r="F802" s="3" t="s">
        <v>2417</v>
      </c>
      <c r="G802" s="3" t="s">
        <v>3728</v>
      </c>
      <c r="H802" s="3" t="s">
        <v>2255</v>
      </c>
      <c r="I802" s="4" t="b">
        <f>OR(((E802 = "calculated")=TRUE), ((E802 = "lookup")=TRUE), ((E802 = "aggregation")=TRUE))</f>
        <v>1</v>
      </c>
      <c r="J802" s="4" t="b">
        <f>H802 &lt;&gt; ""</f>
        <v>1</v>
      </c>
      <c r="K802" s="4">
        <f>COUNTIFS(FieldDisagreements!D2:D50, A802)</f>
        <v>0</v>
      </c>
      <c r="L802" s="4" t="b">
        <f>K802 &gt; 0</f>
        <v>0</v>
      </c>
      <c r="M802" s="3" t="s">
        <v>2418</v>
      </c>
    </row>
    <row r="803">
      <c r="A803" s="3" t="s">
        <v>3729</v>
      </c>
      <c r="B803" s="4" t="str">
        <f>C803 &amp; "." &amp; D803</f>
        <v>StepExecutions.UnfalsifiedClearanceCount</v>
      </c>
      <c r="C803" s="3" t="s">
        <v>1827</v>
      </c>
      <c r="D803" s="3" t="s">
        <v>1425</v>
      </c>
      <c r="E803" s="3" t="s">
        <v>2469</v>
      </c>
      <c r="F803" s="3" t="s">
        <v>2475</v>
      </c>
      <c r="G803" s="3" t="s">
        <v>3730</v>
      </c>
      <c r="H803" s="3" t="s">
        <v>2259</v>
      </c>
      <c r="I803" s="4" t="b">
        <f>OR(((E803 = "calculated")=TRUE), ((E803 = "lookup")=TRUE), ((E803 = "aggregation")=TRUE))</f>
        <v>1</v>
      </c>
      <c r="J803" s="4" t="b">
        <f>H803 &lt;&gt; ""</f>
        <v>1</v>
      </c>
      <c r="K803" s="4">
        <f>COUNTIFS(FieldDisagreements!D2:D50, A803)</f>
        <v>0</v>
      </c>
      <c r="L803" s="4" t="b">
        <f>K803 &gt; 0</f>
        <v>0</v>
      </c>
      <c r="M803" s="3" t="s">
        <v>2418</v>
      </c>
    </row>
    <row r="804">
      <c r="A804" s="3" t="s">
        <v>3731</v>
      </c>
      <c r="B804" s="4" t="str">
        <f>C804 &amp; "." &amp; D804</f>
        <v>StepExecutions.AllClearancesAreUnfalsified</v>
      </c>
      <c r="C804" s="3" t="s">
        <v>1827</v>
      </c>
      <c r="D804" s="3" t="s">
        <v>1426</v>
      </c>
      <c r="E804" s="3" t="s">
        <v>2420</v>
      </c>
      <c r="F804" s="3" t="s">
        <v>2432</v>
      </c>
      <c r="G804" s="3" t="s">
        <v>3732</v>
      </c>
      <c r="H804" s="3" t="s">
        <v>2259</v>
      </c>
      <c r="I804" s="4" t="b">
        <f>OR(((E804 = "calculated")=TRUE), ((E804 = "lookup")=TRUE), ((E804 = "aggregation")=TRUE))</f>
        <v>1</v>
      </c>
      <c r="J804" s="4" t="b">
        <f>H804 &lt;&gt; ""</f>
        <v>1</v>
      </c>
      <c r="K804" s="4">
        <f>COUNTIFS(FieldDisagreements!D2:D50, A804)</f>
        <v>0</v>
      </c>
      <c r="L804" s="4" t="b">
        <f>K804 &gt; 0</f>
        <v>0</v>
      </c>
      <c r="M804" s="3" t="s">
        <v>2418</v>
      </c>
    </row>
    <row r="805">
      <c r="A805" s="3" t="s">
        <v>3733</v>
      </c>
      <c r="B805" s="4" t="str">
        <f>C805 &amp; "." &amp; D805</f>
        <v>StepExecutions.StaleAtRunCount</v>
      </c>
      <c r="C805" s="3" t="s">
        <v>1827</v>
      </c>
      <c r="D805" s="3" t="s">
        <v>1427</v>
      </c>
      <c r="E805" s="3" t="s">
        <v>2469</v>
      </c>
      <c r="F805" s="3" t="s">
        <v>2475</v>
      </c>
      <c r="G805" s="3" t="s">
        <v>3734</v>
      </c>
      <c r="H805" s="3" t="s">
        <v>2263</v>
      </c>
      <c r="I805" s="4" t="b">
        <f>OR(((E805 = "calculated")=TRUE), ((E805 = "lookup")=TRUE), ((E805 = "aggregation")=TRUE))</f>
        <v>1</v>
      </c>
      <c r="J805" s="4" t="b">
        <f>H805 &lt;&gt; ""</f>
        <v>1</v>
      </c>
      <c r="K805" s="4">
        <f>COUNTIFS(FieldDisagreements!D2:D50, A805)</f>
        <v>0</v>
      </c>
      <c r="L805" s="4" t="b">
        <f>K805 &gt; 0</f>
        <v>0</v>
      </c>
      <c r="M805" s="3" t="s">
        <v>2418</v>
      </c>
    </row>
    <row r="806">
      <c r="A806" s="3" t="s">
        <v>3735</v>
      </c>
      <c r="B806" s="4" t="str">
        <f>C806 &amp; "." &amp; D806</f>
        <v>StepExecutions.WasStaleWhenIRanIt</v>
      </c>
      <c r="C806" s="3" t="s">
        <v>1827</v>
      </c>
      <c r="D806" s="3" t="s">
        <v>1428</v>
      </c>
      <c r="E806" s="3" t="s">
        <v>2420</v>
      </c>
      <c r="F806" s="3" t="s">
        <v>2432</v>
      </c>
      <c r="G806" s="3" t="s">
        <v>3736</v>
      </c>
      <c r="H806" s="3" t="s">
        <v>2263</v>
      </c>
      <c r="I806" s="4" t="b">
        <f>OR(((E806 = "calculated")=TRUE), ((E806 = "lookup")=TRUE), ((E806 = "aggregation")=TRUE))</f>
        <v>1</v>
      </c>
      <c r="J806" s="4" t="b">
        <f>H806 &lt;&gt; ""</f>
        <v>1</v>
      </c>
      <c r="K806" s="4">
        <f>COUNTIFS(FieldDisagreements!D2:D50, A806)</f>
        <v>0</v>
      </c>
      <c r="L806" s="4" t="b">
        <f>K806 &gt; 0</f>
        <v>0</v>
      </c>
      <c r="M806" s="3" t="s">
        <v>2418</v>
      </c>
    </row>
    <row r="807">
      <c r="A807" s="3" t="s">
        <v>3737</v>
      </c>
      <c r="B807" s="4" t="str">
        <f>C807 &amp; "." &amp; D807</f>
        <v>StepExecutions.StalenessAnswerIsTenseDependent</v>
      </c>
      <c r="C807" s="3" t="s">
        <v>1827</v>
      </c>
      <c r="D807" s="3" t="s">
        <v>1429</v>
      </c>
      <c r="E807" s="3" t="s">
        <v>2420</v>
      </c>
      <c r="F807" s="3" t="s">
        <v>2432</v>
      </c>
      <c r="G807" s="3" t="s">
        <v>3738</v>
      </c>
      <c r="H807" s="3" t="s">
        <v>2263</v>
      </c>
      <c r="I807" s="4" t="b">
        <f>OR(((E807 = "calculated")=TRUE), ((E807 = "lookup")=TRUE), ((E807 = "aggregation")=TRUE))</f>
        <v>1</v>
      </c>
      <c r="J807" s="4" t="b">
        <f>H807 &lt;&gt; ""</f>
        <v>1</v>
      </c>
      <c r="K807" s="4">
        <f>COUNTIFS(FieldDisagreements!D2:D50, A807)</f>
        <v>0</v>
      </c>
      <c r="L807" s="4" t="b">
        <f>K807 &gt; 0</f>
        <v>0</v>
      </c>
      <c r="M807" s="3" t="s">
        <v>2418</v>
      </c>
    </row>
    <row r="808">
      <c r="A808" s="3" t="s">
        <v>3739</v>
      </c>
      <c r="B808" s="4" t="str">
        <f>C808 &amp; "." &amp; D808</f>
        <v>StepExecutions.HasAnyDeclaredCheck</v>
      </c>
      <c r="C808" s="3" t="s">
        <v>1827</v>
      </c>
      <c r="D808" s="3" t="s">
        <v>1430</v>
      </c>
      <c r="E808" s="3" t="s">
        <v>2420</v>
      </c>
      <c r="F808" s="3" t="s">
        <v>2432</v>
      </c>
      <c r="G808" s="3" t="s">
        <v>3740</v>
      </c>
      <c r="H808" s="3" t="s">
        <v>2271</v>
      </c>
      <c r="I808" s="4" t="b">
        <f>OR(((E808 = "calculated")=TRUE), ((E808 = "lookup")=TRUE), ((E808 = "aggregation")=TRUE))</f>
        <v>1</v>
      </c>
      <c r="J808" s="4" t="b">
        <f>H808 &lt;&gt; ""</f>
        <v>1</v>
      </c>
      <c r="K808" s="4">
        <f>COUNTIFS(FieldDisagreements!D2:D50, A808)</f>
        <v>0</v>
      </c>
      <c r="L808" s="4" t="b">
        <f>K808 &gt; 0</f>
        <v>0</v>
      </c>
      <c r="M808" s="3" t="s">
        <v>2418</v>
      </c>
    </row>
    <row r="809">
      <c r="A809" s="3" t="s">
        <v>3741</v>
      </c>
      <c r="B809" s="4" t="str">
        <f>C809 &amp; "." &amp; D809</f>
        <v>StepExecutions.PerformedCheckCount</v>
      </c>
      <c r="C809" s="3" t="s">
        <v>1827</v>
      </c>
      <c r="D809" s="3" t="s">
        <v>1431</v>
      </c>
      <c r="E809" s="3" t="s">
        <v>2420</v>
      </c>
      <c r="F809" s="3" t="s">
        <v>2475</v>
      </c>
      <c r="G809" s="3" t="s">
        <v>3742</v>
      </c>
      <c r="H809" s="3" t="s">
        <v>2271</v>
      </c>
      <c r="I809" s="4" t="b">
        <f>OR(((E809 = "calculated")=TRUE), ((E809 = "lookup")=TRUE), ((E809 = "aggregation")=TRUE))</f>
        <v>1</v>
      </c>
      <c r="J809" s="4" t="b">
        <f>H809 &lt;&gt; ""</f>
        <v>1</v>
      </c>
      <c r="K809" s="4">
        <f>COUNTIFS(FieldDisagreements!D2:D50, A809)</f>
        <v>0</v>
      </c>
      <c r="L809" s="4" t="b">
        <f>K809 &gt; 0</f>
        <v>0</v>
      </c>
      <c r="M809" s="3" t="s">
        <v>2418</v>
      </c>
    </row>
    <row r="810">
      <c r="A810" s="3" t="s">
        <v>3743</v>
      </c>
      <c r="B810" s="4" t="str">
        <f>C810 &amp; "." &amp; D810</f>
        <v>StepExecutions.DeclaredCheckCount</v>
      </c>
      <c r="C810" s="3" t="s">
        <v>1827</v>
      </c>
      <c r="D810" s="3" t="s">
        <v>1432</v>
      </c>
      <c r="E810" s="3" t="s">
        <v>2420</v>
      </c>
      <c r="F810" s="3" t="s">
        <v>2475</v>
      </c>
      <c r="G810" s="3" t="s">
        <v>3744</v>
      </c>
      <c r="H810" s="3" t="s">
        <v>2271</v>
      </c>
      <c r="I810" s="4" t="b">
        <f>OR(((E810 = "calculated")=TRUE), ((E810 = "lookup")=TRUE), ((E810 = "aggregation")=TRUE))</f>
        <v>1</v>
      </c>
      <c r="J810" s="4" t="b">
        <f>H810 &lt;&gt; ""</f>
        <v>1</v>
      </c>
      <c r="K810" s="4">
        <f>COUNTIFS(FieldDisagreements!D2:D50, A810)</f>
        <v>0</v>
      </c>
      <c r="L810" s="4" t="b">
        <f>K810 &gt; 0</f>
        <v>0</v>
      </c>
      <c r="M810" s="3" t="s">
        <v>2418</v>
      </c>
    </row>
    <row r="811">
      <c r="A811" s="3" t="s">
        <v>3745</v>
      </c>
      <c r="B811" s="4" t="str">
        <f>C811 &amp; "." &amp; D811</f>
        <v>StepExecutions.IsUncheckedByDesign</v>
      </c>
      <c r="C811" s="3" t="s">
        <v>1827</v>
      </c>
      <c r="D811" s="3" t="s">
        <v>1433</v>
      </c>
      <c r="E811" s="3" t="s">
        <v>2420</v>
      </c>
      <c r="F811" s="3" t="s">
        <v>2432</v>
      </c>
      <c r="G811" s="3" t="s">
        <v>3746</v>
      </c>
      <c r="H811" s="3" t="s">
        <v>2271</v>
      </c>
      <c r="I811" s="4" t="b">
        <f>OR(((E811 = "calculated")=TRUE), ((E811 = "lookup")=TRUE), ((E811 = "aggregation")=TRUE))</f>
        <v>1</v>
      </c>
      <c r="J811" s="4" t="b">
        <f>H811 &lt;&gt; ""</f>
        <v>1</v>
      </c>
      <c r="K811" s="4">
        <f>COUNTIFS(FieldDisagreements!D2:D50, A811)</f>
        <v>0</v>
      </c>
      <c r="L811" s="4" t="b">
        <f>K811 &gt; 0</f>
        <v>0</v>
      </c>
      <c r="M811" s="3" t="s">
        <v>2418</v>
      </c>
    </row>
    <row r="812">
      <c r="A812" s="3" t="s">
        <v>3747</v>
      </c>
      <c r="B812" s="4" t="str">
        <f>C812 &amp; "." &amp; D812</f>
        <v>StepExecutions.IsVacuouslyClean</v>
      </c>
      <c r="C812" s="3" t="s">
        <v>1827</v>
      </c>
      <c r="D812" s="3" t="s">
        <v>1434</v>
      </c>
      <c r="E812" s="3" t="s">
        <v>2420</v>
      </c>
      <c r="F812" s="3" t="s">
        <v>2432</v>
      </c>
      <c r="G812" s="3" t="s">
        <v>3748</v>
      </c>
      <c r="H812" s="3" t="s">
        <v>2271</v>
      </c>
      <c r="I812" s="4" t="b">
        <f>OR(((E812 = "calculated")=TRUE), ((E812 = "lookup")=TRUE), ((E812 = "aggregation")=TRUE))</f>
        <v>1</v>
      </c>
      <c r="J812" s="4" t="b">
        <f>H812 &lt;&gt; ""</f>
        <v>1</v>
      </c>
      <c r="K812" s="4">
        <f>COUNTIFS(FieldDisagreements!D2:D50, A812)</f>
        <v>0</v>
      </c>
      <c r="L812" s="4" t="b">
        <f>K812 &gt; 0</f>
        <v>0</v>
      </c>
      <c r="M812" s="3" t="s">
        <v>2418</v>
      </c>
    </row>
    <row r="813">
      <c r="A813" s="3" t="s">
        <v>3749</v>
      </c>
      <c r="B813" s="4" t="str">
        <f>C813 &amp; "." &amp; D813</f>
        <v>StepExecutions.IsSubstantivelyClean</v>
      </c>
      <c r="C813" s="3" t="s">
        <v>1827</v>
      </c>
      <c r="D813" s="3" t="s">
        <v>1435</v>
      </c>
      <c r="E813" s="3" t="s">
        <v>2420</v>
      </c>
      <c r="F813" s="3" t="s">
        <v>2432</v>
      </c>
      <c r="G813" s="3" t="s">
        <v>3750</v>
      </c>
      <c r="H813" s="3" t="s">
        <v>2271</v>
      </c>
      <c r="I813" s="4" t="b">
        <f>OR(((E813 = "calculated")=TRUE), ((E813 = "lookup")=TRUE), ((E813 = "aggregation")=TRUE))</f>
        <v>1</v>
      </c>
      <c r="J813" s="4" t="b">
        <f>H813 &lt;&gt; ""</f>
        <v>1</v>
      </c>
      <c r="K813" s="4">
        <f>COUNTIFS(FieldDisagreements!D2:D50, A813)</f>
        <v>0</v>
      </c>
      <c r="L813" s="4" t="b">
        <f>K813 &gt; 0</f>
        <v>0</v>
      </c>
      <c r="M813" s="3" t="s">
        <v>2418</v>
      </c>
    </row>
    <row r="814">
      <c r="A814" s="3" t="s">
        <v>3751</v>
      </c>
      <c r="B814" s="4" t="str">
        <f>C814 &amp; "." &amp; D814</f>
        <v>StepExecutions.VacuouslyCleanExecutionKey</v>
      </c>
      <c r="C814" s="3" t="s">
        <v>1827</v>
      </c>
      <c r="D814" s="3" t="s">
        <v>1436</v>
      </c>
      <c r="E814" s="3" t="s">
        <v>2420</v>
      </c>
      <c r="F814" s="3" t="s">
        <v>2417</v>
      </c>
      <c r="G814" s="3" t="s">
        <v>3752</v>
      </c>
      <c r="H814" s="3" t="s">
        <v>2271</v>
      </c>
      <c r="I814" s="4" t="b">
        <f>OR(((E814 = "calculated")=TRUE), ((E814 = "lookup")=TRUE), ((E814 = "aggregation")=TRUE))</f>
        <v>1</v>
      </c>
      <c r="J814" s="4" t="b">
        <f>H814 &lt;&gt; ""</f>
        <v>1</v>
      </c>
      <c r="K814" s="4">
        <f>COUNTIFS(FieldDisagreements!D2:D50, A814)</f>
        <v>0</v>
      </c>
      <c r="L814" s="4" t="b">
        <f>K814 &gt; 0</f>
        <v>0</v>
      </c>
      <c r="M814" s="3" t="s">
        <v>2418</v>
      </c>
    </row>
    <row r="815">
      <c r="A815" s="3" t="s">
        <v>3753</v>
      </c>
      <c r="B815" s="4" t="str">
        <f>C815 &amp; "." &amp; D815</f>
        <v>StepExecutions.UncorroboratedPassCount</v>
      </c>
      <c r="C815" s="3" t="s">
        <v>1827</v>
      </c>
      <c r="D815" s="3" t="s">
        <v>1437</v>
      </c>
      <c r="E815" s="3" t="s">
        <v>2469</v>
      </c>
      <c r="F815" s="3" t="s">
        <v>2475</v>
      </c>
      <c r="G815" s="3" t="s">
        <v>3754</v>
      </c>
      <c r="H815" s="3" t="s">
        <v>2275</v>
      </c>
      <c r="I815" s="4" t="b">
        <f>OR(((E815 = "calculated")=TRUE), ((E815 = "lookup")=TRUE), ((E815 = "aggregation")=TRUE))</f>
        <v>1</v>
      </c>
      <c r="J815" s="4" t="b">
        <f>H815 &lt;&gt; ""</f>
        <v>1</v>
      </c>
      <c r="K815" s="4">
        <f>COUNTIFS(FieldDisagreements!D2:D50, A815)</f>
        <v>0</v>
      </c>
      <c r="L815" s="4" t="b">
        <f>K815 &gt; 0</f>
        <v>0</v>
      </c>
      <c r="M815" s="3" t="s">
        <v>2418</v>
      </c>
    </row>
    <row r="816">
      <c r="A816" s="3" t="s">
        <v>3755</v>
      </c>
      <c r="B816" s="4" t="str">
        <f>C816 &amp; "." &amp; D816</f>
        <v>StepExecutions.EvidencePositionIsWeak</v>
      </c>
      <c r="C816" s="3" t="s">
        <v>1827</v>
      </c>
      <c r="D816" s="3" t="s">
        <v>1438</v>
      </c>
      <c r="E816" s="3" t="s">
        <v>2420</v>
      </c>
      <c r="F816" s="3" t="s">
        <v>2432</v>
      </c>
      <c r="G816" s="3" t="s">
        <v>3756</v>
      </c>
      <c r="H816" s="3" t="s">
        <v>2275</v>
      </c>
      <c r="I816" s="4" t="b">
        <f>OR(((E816 = "calculated")=TRUE), ((E816 = "lookup")=TRUE), ((E816 = "aggregation")=TRUE))</f>
        <v>1</v>
      </c>
      <c r="J816" s="4" t="b">
        <f>H816 &lt;&gt; ""</f>
        <v>1</v>
      </c>
      <c r="K816" s="4">
        <f>COUNTIFS(FieldDisagreements!D2:D50, A816)</f>
        <v>0</v>
      </c>
      <c r="L816" s="4" t="b">
        <f>K816 &gt; 0</f>
        <v>0</v>
      </c>
      <c r="M816" s="3" t="s">
        <v>2418</v>
      </c>
    </row>
    <row r="817">
      <c r="A817" s="3" t="s">
        <v>3757</v>
      </c>
      <c r="B817" s="4" t="str">
        <f>C817 &amp; "." &amp; D817</f>
        <v>StepExecutions.PreparationExecutionKey</v>
      </c>
      <c r="C817" s="3" t="s">
        <v>1827</v>
      </c>
      <c r="D817" s="3" t="s">
        <v>1439</v>
      </c>
      <c r="E817" s="3" t="s">
        <v>2420</v>
      </c>
      <c r="F817" s="3" t="s">
        <v>2417</v>
      </c>
      <c r="G817" s="3" t="s">
        <v>3758</v>
      </c>
      <c r="H817" s="3" t="s">
        <v>2287</v>
      </c>
      <c r="I817" s="4" t="b">
        <f>OR(((E817 = "calculated")=TRUE), ((E817 = "lookup")=TRUE), ((E817 = "aggregation")=TRUE))</f>
        <v>1</v>
      </c>
      <c r="J817" s="4" t="b">
        <f>H817 &lt;&gt; ""</f>
        <v>1</v>
      </c>
      <c r="K817" s="4">
        <f>COUNTIFS(FieldDisagreements!D2:D50, A817)</f>
        <v>0</v>
      </c>
      <c r="L817" s="4" t="b">
        <f>K817 &gt; 0</f>
        <v>0</v>
      </c>
      <c r="M817" s="3" t="s">
        <v>2418</v>
      </c>
    </row>
    <row r="818">
      <c r="A818" s="3" t="s">
        <v>3759</v>
      </c>
      <c r="B818" s="4" t="str">
        <f>C818 &amp; "." &amp; D818</f>
        <v>StepExecutions.ApprovalExecutionKey</v>
      </c>
      <c r="C818" s="3" t="s">
        <v>1827</v>
      </c>
      <c r="D818" s="3" t="s">
        <v>1440</v>
      </c>
      <c r="E818" s="3" t="s">
        <v>2420</v>
      </c>
      <c r="F818" s="3" t="s">
        <v>2417</v>
      </c>
      <c r="G818" s="3" t="s">
        <v>3760</v>
      </c>
      <c r="H818" s="3" t="s">
        <v>2287</v>
      </c>
      <c r="I818" s="4" t="b">
        <f>OR(((E818 = "calculated")=TRUE), ((E818 = "lookup")=TRUE), ((E818 = "aggregation")=TRUE))</f>
        <v>1</v>
      </c>
      <c r="J818" s="4" t="b">
        <f>H818 &lt;&gt; ""</f>
        <v>1</v>
      </c>
      <c r="K818" s="4">
        <f>COUNTIFS(FieldDisagreements!D2:D50, A818)</f>
        <v>0</v>
      </c>
      <c r="L818" s="4" t="b">
        <f>K818 &gt; 0</f>
        <v>0</v>
      </c>
      <c r="M818" s="3" t="s">
        <v>2418</v>
      </c>
    </row>
    <row r="819">
      <c r="A819" s="3" t="s">
        <v>3761</v>
      </c>
      <c r="B819" s="4" t="str">
        <f>C819 &amp; "." &amp; D819</f>
        <v>StepExecutions.HasGoverningInstrument</v>
      </c>
      <c r="C819" s="3" t="s">
        <v>1827</v>
      </c>
      <c r="D819" s="3" t="s">
        <v>1441</v>
      </c>
      <c r="E819" s="3" t="s">
        <v>2420</v>
      </c>
      <c r="F819" s="3" t="s">
        <v>2432</v>
      </c>
      <c r="G819" s="3" t="s">
        <v>3762</v>
      </c>
      <c r="H819" s="3" t="s">
        <v>2295</v>
      </c>
      <c r="I819" s="4" t="b">
        <f>OR(((E819 = "calculated")=TRUE), ((E819 = "lookup")=TRUE), ((E819 = "aggregation")=TRUE))</f>
        <v>1</v>
      </c>
      <c r="J819" s="4" t="b">
        <f>H819 &lt;&gt; ""</f>
        <v>1</v>
      </c>
      <c r="K819" s="4">
        <f>COUNTIFS(FieldDisagreements!D2:D50, A819)</f>
        <v>0</v>
      </c>
      <c r="L819" s="4" t="b">
        <f>K819 &gt; 0</f>
        <v>0</v>
      </c>
      <c r="M819" s="3" t="s">
        <v>2418</v>
      </c>
    </row>
    <row r="820">
      <c r="A820" s="3" t="s">
        <v>3763</v>
      </c>
      <c r="B820" s="4" t="str">
        <f>C820 &amp; "." &amp; D820</f>
        <v>StepExecutions.HasApprovedChangeCoverage</v>
      </c>
      <c r="C820" s="3" t="s">
        <v>1827</v>
      </c>
      <c r="D820" s="3" t="s">
        <v>1442</v>
      </c>
      <c r="E820" s="3" t="s">
        <v>2509</v>
      </c>
      <c r="F820" s="3" t="s">
        <v>2432</v>
      </c>
      <c r="G820" s="3" t="s">
        <v>3764</v>
      </c>
      <c r="H820" s="3" t="s">
        <v>2295</v>
      </c>
      <c r="I820" s="4" t="b">
        <f>OR(((E820 = "calculated")=TRUE), ((E820 = "lookup")=TRUE), ((E820 = "aggregation")=TRUE))</f>
        <v>1</v>
      </c>
      <c r="J820" s="4" t="b">
        <f>H820 &lt;&gt; ""</f>
        <v>1</v>
      </c>
      <c r="K820" s="4">
        <f>COUNTIFS(FieldDisagreements!D2:D50, A820)</f>
        <v>0</v>
      </c>
      <c r="L820" s="4" t="b">
        <f>K820 &gt; 0</f>
        <v>0</v>
      </c>
      <c r="M820" s="3" t="s">
        <v>2418</v>
      </c>
    </row>
    <row r="821">
      <c r="A821" s="3" t="s">
        <v>3765</v>
      </c>
      <c r="B821" s="4" t="str">
        <f>C821 &amp; "." &amp; D821</f>
        <v>StepExecutions.VersionOfStep</v>
      </c>
      <c r="C821" s="3" t="s">
        <v>1827</v>
      </c>
      <c r="D821" s="3" t="s">
        <v>1443</v>
      </c>
      <c r="E821" s="3" t="s">
        <v>2509</v>
      </c>
      <c r="F821" s="3" t="s">
        <v>2417</v>
      </c>
      <c r="G821" s="3" t="s">
        <v>3259</v>
      </c>
      <c r="H821" s="3" t="s">
        <v>2295</v>
      </c>
      <c r="I821" s="4" t="b">
        <f>OR(((E821 = "calculated")=TRUE), ((E821 = "lookup")=TRUE), ((E821 = "aggregation")=TRUE))</f>
        <v>1</v>
      </c>
      <c r="J821" s="4" t="b">
        <f>H821 &lt;&gt; ""</f>
        <v>1</v>
      </c>
      <c r="K821" s="4">
        <f>COUNTIFS(FieldDisagreements!D2:D50, A821)</f>
        <v>0</v>
      </c>
      <c r="L821" s="4" t="b">
        <f>K821 &gt; 0</f>
        <v>0</v>
      </c>
      <c r="M821" s="3" t="s">
        <v>2418</v>
      </c>
    </row>
    <row r="822">
      <c r="A822" s="3" t="s">
        <v>3766</v>
      </c>
      <c r="B822" s="4" t="str">
        <f>C822 &amp; "." &amp; D822</f>
        <v>StepExecutions.IsUngovernedDivergence</v>
      </c>
      <c r="C822" s="3" t="s">
        <v>1827</v>
      </c>
      <c r="D822" s="3" t="s">
        <v>1444</v>
      </c>
      <c r="E822" s="3" t="s">
        <v>2420</v>
      </c>
      <c r="F822" s="3" t="s">
        <v>2432</v>
      </c>
      <c r="G822" s="3" t="s">
        <v>3767</v>
      </c>
      <c r="H822" s="3" t="s">
        <v>2295</v>
      </c>
      <c r="I822" s="4" t="b">
        <f>OR(((E822 = "calculated")=TRUE), ((E822 = "lookup")=TRUE), ((E822 = "aggregation")=TRUE))</f>
        <v>1</v>
      </c>
      <c r="J822" s="4" t="b">
        <f>H822 &lt;&gt; ""</f>
        <v>1</v>
      </c>
      <c r="K822" s="4">
        <f>COUNTIFS(FieldDisagreements!D2:D50, A822)</f>
        <v>0</v>
      </c>
      <c r="L822" s="4" t="b">
        <f>K822 &gt; 0</f>
        <v>0</v>
      </c>
      <c r="M822" s="3" t="s">
        <v>2418</v>
      </c>
    </row>
    <row r="823">
      <c r="A823" s="3" t="s">
        <v>3768</v>
      </c>
      <c r="B823" s="4" t="str">
        <f>C823 &amp; "." &amp; D823</f>
        <v>StepExecutions.UngovernedDivergenceExecutionKey</v>
      </c>
      <c r="C823" s="3" t="s">
        <v>1827</v>
      </c>
      <c r="D823" s="3" t="s">
        <v>1445</v>
      </c>
      <c r="E823" s="3" t="s">
        <v>2420</v>
      </c>
      <c r="F823" s="3" t="s">
        <v>2417</v>
      </c>
      <c r="G823" s="3" t="s">
        <v>3769</v>
      </c>
      <c r="H823" s="3" t="s">
        <v>2295</v>
      </c>
      <c r="I823" s="4" t="b">
        <f>OR(((E823 = "calculated")=TRUE), ((E823 = "lookup")=TRUE), ((E823 = "aggregation")=TRUE))</f>
        <v>1</v>
      </c>
      <c r="J823" s="4" t="b">
        <f>H823 &lt;&gt; ""</f>
        <v>1</v>
      </c>
      <c r="K823" s="4">
        <f>COUNTIFS(FieldDisagreements!D2:D50, A823)</f>
        <v>0</v>
      </c>
      <c r="L823" s="4" t="b">
        <f>K823 &gt; 0</f>
        <v>0</v>
      </c>
      <c r="M823" s="3" t="s">
        <v>2418</v>
      </c>
    </row>
    <row r="824">
      <c r="A824" s="3" t="s">
        <v>3770</v>
      </c>
      <c r="B824" s="4" t="str">
        <f>C824 &amp; "." &amp; D824</f>
        <v>StepExecutions.SelfAttestedApprovalExecutionKey</v>
      </c>
      <c r="C824" s="3" t="s">
        <v>1827</v>
      </c>
      <c r="D824" s="3" t="s">
        <v>1446</v>
      </c>
      <c r="E824" s="3" t="s">
        <v>2420</v>
      </c>
      <c r="F824" s="3" t="s">
        <v>2417</v>
      </c>
      <c r="G824" s="3" t="s">
        <v>3771</v>
      </c>
      <c r="H824" s="3" t="s">
        <v>2307</v>
      </c>
      <c r="I824" s="4" t="b">
        <f>OR(((E824 = "calculated")=TRUE), ((E824 = "lookup")=TRUE), ((E824 = "aggregation")=TRUE))</f>
        <v>1</v>
      </c>
      <c r="J824" s="4" t="b">
        <f>H824 &lt;&gt; ""</f>
        <v>1</v>
      </c>
      <c r="K824" s="4">
        <f>COUNTIFS(FieldDisagreements!D2:D50, A824)</f>
        <v>0</v>
      </c>
      <c r="L824" s="4" t="b">
        <f>K824 &gt; 0</f>
        <v>0</v>
      </c>
      <c r="M824" s="3" t="s">
        <v>2418</v>
      </c>
    </row>
    <row r="825">
      <c r="A825" s="3" t="s">
        <v>3772</v>
      </c>
      <c r="B825" s="4" t="str">
        <f>C825 &amp; "." &amp; D825</f>
        <v>StepExecutions.SemanticTypeIri</v>
      </c>
      <c r="C825" s="3" t="s">
        <v>1827</v>
      </c>
      <c r="D825" s="3" t="s">
        <v>94</v>
      </c>
      <c r="E825" s="3" t="s">
        <v>2416</v>
      </c>
      <c r="F825" s="3" t="s">
        <v>2417</v>
      </c>
      <c r="G825" s="3"/>
      <c r="H825" s="3"/>
      <c r="I825" s="4" t="b">
        <f>OR(((E825 = "calculated")=TRUE), ((E825 = "lookup")=TRUE), ((E825 = "aggregation")=TRUE))</f>
        <v>0</v>
      </c>
      <c r="J825" s="4" t="b">
        <f>H825 &lt;&gt; ""</f>
        <v>0</v>
      </c>
      <c r="K825" s="4">
        <f>COUNTIFS(FieldDisagreements!D2:D50, A825)</f>
        <v>0</v>
      </c>
      <c r="L825" s="4" t="b">
        <f>K825 &gt; 0</f>
        <v>0</v>
      </c>
      <c r="M825" s="3" t="s">
        <v>2418</v>
      </c>
    </row>
    <row r="826">
      <c r="A826" s="3" t="s">
        <v>3773</v>
      </c>
      <c r="B826" s="4" t="str">
        <f>C826 &amp; "." &amp; D826</f>
        <v>RequirementSatisfactions.RequirementSatisfactionId</v>
      </c>
      <c r="C826" s="3" t="s">
        <v>1830</v>
      </c>
      <c r="D826" s="3" t="s">
        <v>1466</v>
      </c>
      <c r="E826" s="3" t="s">
        <v>2416</v>
      </c>
      <c r="F826" s="3" t="s">
        <v>2417</v>
      </c>
      <c r="G826" s="3"/>
      <c r="H826" s="3"/>
      <c r="I826" s="4" t="b">
        <f>OR(((E826 = "calculated")=TRUE), ((E826 = "lookup")=TRUE), ((E826 = "aggregation")=TRUE))</f>
        <v>0</v>
      </c>
      <c r="J826" s="4" t="b">
        <f>H826 &lt;&gt; ""</f>
        <v>0</v>
      </c>
      <c r="K826" s="4">
        <f>COUNTIFS(FieldDisagreements!D2:D50, A826)</f>
        <v>0</v>
      </c>
      <c r="L826" s="4" t="b">
        <f>K826 &gt; 0</f>
        <v>0</v>
      </c>
      <c r="M826" s="3" t="s">
        <v>2418</v>
      </c>
    </row>
    <row r="827">
      <c r="A827" s="3" t="s">
        <v>3774</v>
      </c>
      <c r="B827" s="4" t="str">
        <f>C827 &amp; "." &amp; D827</f>
        <v>RequirementSatisfactions.Name</v>
      </c>
      <c r="C827" s="3" t="s">
        <v>1830</v>
      </c>
      <c r="D827" s="3" t="s">
        <v>1</v>
      </c>
      <c r="E827" s="3" t="s">
        <v>2420</v>
      </c>
      <c r="F827" s="3" t="s">
        <v>2417</v>
      </c>
      <c r="G827" s="3" t="s">
        <v>3775</v>
      </c>
      <c r="H827" s="3"/>
      <c r="I827" s="4" t="b">
        <f>OR(((E827 = "calculated")=TRUE), ((E827 = "lookup")=TRUE), ((E827 = "aggregation")=TRUE))</f>
        <v>1</v>
      </c>
      <c r="J827" s="4" t="b">
        <f>H827 &lt;&gt; ""</f>
        <v>0</v>
      </c>
      <c r="K827" s="4">
        <f>COUNTIFS(FieldDisagreements!D2:D50, A827)</f>
        <v>0</v>
      </c>
      <c r="L827" s="4" t="b">
        <f>K827 &gt; 0</f>
        <v>0</v>
      </c>
      <c r="M827" s="3" t="s">
        <v>2418</v>
      </c>
    </row>
    <row r="828">
      <c r="A828" s="3" t="s">
        <v>3776</v>
      </c>
      <c r="B828" s="4" t="str">
        <f>C828 &amp; "." &amp; D828</f>
        <v>RequirementSatisfactions.StepExecution</v>
      </c>
      <c r="C828" s="3" t="s">
        <v>1830</v>
      </c>
      <c r="D828" s="3" t="s">
        <v>1467</v>
      </c>
      <c r="E828" s="3" t="s">
        <v>2465</v>
      </c>
      <c r="F828" s="3" t="s">
        <v>2417</v>
      </c>
      <c r="G828" s="3"/>
      <c r="H828" s="3"/>
      <c r="I828" s="4" t="b">
        <f>OR(((E828 = "calculated")=TRUE), ((E828 = "lookup")=TRUE), ((E828 = "aggregation")=TRUE))</f>
        <v>0</v>
      </c>
      <c r="J828" s="4" t="b">
        <f>H828 &lt;&gt; ""</f>
        <v>0</v>
      </c>
      <c r="K828" s="4">
        <f>COUNTIFS(FieldDisagreements!D2:D50, A828)</f>
        <v>0</v>
      </c>
      <c r="L828" s="4" t="b">
        <f>K828 &gt; 0</f>
        <v>0</v>
      </c>
      <c r="M828" s="3" t="s">
        <v>2418</v>
      </c>
    </row>
    <row r="829">
      <c r="A829" s="3" t="s">
        <v>3777</v>
      </c>
      <c r="B829" s="4" t="str">
        <f>C829 &amp; "." &amp; D829</f>
        <v>RequirementSatisfactions.Requirement</v>
      </c>
      <c r="C829" s="3" t="s">
        <v>1830</v>
      </c>
      <c r="D829" s="3" t="s">
        <v>914</v>
      </c>
      <c r="E829" s="3" t="s">
        <v>2465</v>
      </c>
      <c r="F829" s="3" t="s">
        <v>2417</v>
      </c>
      <c r="G829" s="3"/>
      <c r="H829" s="3"/>
      <c r="I829" s="4" t="b">
        <f>OR(((E829 = "calculated")=TRUE), ((E829 = "lookup")=TRUE), ((E829 = "aggregation")=TRUE))</f>
        <v>0</v>
      </c>
      <c r="J829" s="4" t="b">
        <f>H829 &lt;&gt; ""</f>
        <v>0</v>
      </c>
      <c r="K829" s="4">
        <f>COUNTIFS(FieldDisagreements!D2:D50, A829)</f>
        <v>0</v>
      </c>
      <c r="L829" s="4" t="b">
        <f>K829 &gt; 0</f>
        <v>0</v>
      </c>
      <c r="M829" s="3" t="s">
        <v>2418</v>
      </c>
    </row>
    <row r="830">
      <c r="A830" s="3" t="s">
        <v>3778</v>
      </c>
      <c r="B830" s="4" t="str">
        <f>C830 &amp; "." &amp; D830</f>
        <v>RequirementSatisfactions.SatisfactionLevel</v>
      </c>
      <c r="C830" s="3" t="s">
        <v>1830</v>
      </c>
      <c r="D830" s="3" t="s">
        <v>1468</v>
      </c>
      <c r="E830" s="3" t="s">
        <v>2416</v>
      </c>
      <c r="F830" s="3" t="s">
        <v>2417</v>
      </c>
      <c r="G830" s="3"/>
      <c r="H830" s="3"/>
      <c r="I830" s="4" t="b">
        <f>OR(((E830 = "calculated")=TRUE), ((E830 = "lookup")=TRUE), ((E830 = "aggregation")=TRUE))</f>
        <v>0</v>
      </c>
      <c r="J830" s="4" t="b">
        <f>H830 &lt;&gt; ""</f>
        <v>0</v>
      </c>
      <c r="K830" s="4">
        <f>COUNTIFS(FieldDisagreements!D2:D50, A830)</f>
        <v>0</v>
      </c>
      <c r="L830" s="4" t="b">
        <f>K830 &gt; 0</f>
        <v>0</v>
      </c>
      <c r="M830" s="3" t="s">
        <v>2418</v>
      </c>
    </row>
    <row r="831">
      <c r="A831" s="3" t="s">
        <v>3779</v>
      </c>
      <c r="B831" s="4" t="str">
        <f>C831 &amp; "." &amp; D831</f>
        <v>RequirementSatisfactions.Evidence</v>
      </c>
      <c r="C831" s="3" t="s">
        <v>1830</v>
      </c>
      <c r="D831" s="3" t="s">
        <v>1469</v>
      </c>
      <c r="E831" s="3" t="s">
        <v>2416</v>
      </c>
      <c r="F831" s="3" t="s">
        <v>2417</v>
      </c>
      <c r="G831" s="3"/>
      <c r="H831" s="3"/>
      <c r="I831" s="4" t="b">
        <f>OR(((E831 = "calculated")=TRUE), ((E831 = "lookup")=TRUE), ((E831 = "aggregation")=TRUE))</f>
        <v>0</v>
      </c>
      <c r="J831" s="4" t="b">
        <f>H831 &lt;&gt; ""</f>
        <v>0</v>
      </c>
      <c r="K831" s="4">
        <f>COUNTIFS(FieldDisagreements!D2:D50, A831)</f>
        <v>0</v>
      </c>
      <c r="L831" s="4" t="b">
        <f>K831 &gt; 0</f>
        <v>0</v>
      </c>
      <c r="M831" s="3" t="s">
        <v>2418</v>
      </c>
    </row>
    <row r="832">
      <c r="A832" s="3" t="s">
        <v>3780</v>
      </c>
      <c r="B832" s="4" t="str">
        <f>C832 &amp; "." &amp; D832</f>
        <v>RequirementSatisfactions.EvaluatedByAgent</v>
      </c>
      <c r="C832" s="3" t="s">
        <v>1830</v>
      </c>
      <c r="D832" s="3" t="s">
        <v>1470</v>
      </c>
      <c r="E832" s="3" t="s">
        <v>2465</v>
      </c>
      <c r="F832" s="3" t="s">
        <v>2417</v>
      </c>
      <c r="G832" s="3"/>
      <c r="H832" s="3"/>
      <c r="I832" s="4" t="b">
        <f>OR(((E832 = "calculated")=TRUE), ((E832 = "lookup")=TRUE), ((E832 = "aggregation")=TRUE))</f>
        <v>0</v>
      </c>
      <c r="J832" s="4" t="b">
        <f>H832 &lt;&gt; ""</f>
        <v>0</v>
      </c>
      <c r="K832" s="4">
        <f>COUNTIFS(FieldDisagreements!D2:D50, A832)</f>
        <v>0</v>
      </c>
      <c r="L832" s="4" t="b">
        <f>K832 &gt; 0</f>
        <v>0</v>
      </c>
      <c r="M832" s="3" t="s">
        <v>2418</v>
      </c>
    </row>
    <row r="833">
      <c r="A833" s="3" t="s">
        <v>3781</v>
      </c>
      <c r="B833" s="4" t="str">
        <f>C833 &amp; "." &amp; D833</f>
        <v>RequirementSatisfactions.EvaluatedAt</v>
      </c>
      <c r="C833" s="3" t="s">
        <v>1830</v>
      </c>
      <c r="D833" s="3" t="s">
        <v>1471</v>
      </c>
      <c r="E833" s="3" t="s">
        <v>2416</v>
      </c>
      <c r="F833" s="3" t="s">
        <v>2428</v>
      </c>
      <c r="G833" s="3"/>
      <c r="H833" s="3"/>
      <c r="I833" s="4" t="b">
        <f>OR(((E833 = "calculated")=TRUE), ((E833 = "lookup")=TRUE), ((E833 = "aggregation")=TRUE))</f>
        <v>0</v>
      </c>
      <c r="J833" s="4" t="b">
        <f>H833 &lt;&gt; ""</f>
        <v>0</v>
      </c>
      <c r="K833" s="4">
        <f>COUNTIFS(FieldDisagreements!D2:D50, A833)</f>
        <v>0</v>
      </c>
      <c r="L833" s="4" t="b">
        <f>K833 &gt; 0</f>
        <v>0</v>
      </c>
      <c r="M833" s="3" t="s">
        <v>2418</v>
      </c>
    </row>
    <row r="834">
      <c r="A834" s="3" t="s">
        <v>3782</v>
      </c>
      <c r="B834" s="4" t="str">
        <f>C834 &amp; "." &amp; D834</f>
        <v>RequirementSatisfactions.RequirementIsBlocking</v>
      </c>
      <c r="C834" s="3" t="s">
        <v>1830</v>
      </c>
      <c r="D834" s="3" t="s">
        <v>915</v>
      </c>
      <c r="E834" s="3" t="s">
        <v>2509</v>
      </c>
      <c r="F834" s="3" t="s">
        <v>2432</v>
      </c>
      <c r="G834" s="3" t="s">
        <v>3125</v>
      </c>
      <c r="H834" s="3" t="s">
        <v>1958</v>
      </c>
      <c r="I834" s="4" t="b">
        <f>OR(((E834 = "calculated")=TRUE), ((E834 = "lookup")=TRUE), ((E834 = "aggregation")=TRUE))</f>
        <v>1</v>
      </c>
      <c r="J834" s="4" t="b">
        <f>H834 &lt;&gt; ""</f>
        <v>1</v>
      </c>
      <c r="K834" s="4">
        <f>COUNTIFS(FieldDisagreements!D2:D50, A834)</f>
        <v>0</v>
      </c>
      <c r="L834" s="4" t="b">
        <f>K834 &gt; 0</f>
        <v>0</v>
      </c>
      <c r="M834" s="3" t="s">
        <v>2418</v>
      </c>
    </row>
    <row r="835">
      <c r="A835" s="3" t="s">
        <v>3783</v>
      </c>
      <c r="B835" s="4" t="str">
        <f>C835 &amp; "." &amp; D835</f>
        <v>RequirementSatisfactions.IsFullySatisfied</v>
      </c>
      <c r="C835" s="3" t="s">
        <v>1830</v>
      </c>
      <c r="D835" s="3" t="s">
        <v>1472</v>
      </c>
      <c r="E835" s="3" t="s">
        <v>2420</v>
      </c>
      <c r="F835" s="3" t="s">
        <v>2432</v>
      </c>
      <c r="G835" s="3" t="s">
        <v>3784</v>
      </c>
      <c r="H835" s="3" t="s">
        <v>1958</v>
      </c>
      <c r="I835" s="4" t="b">
        <f>OR(((E835 = "calculated")=TRUE), ((E835 = "lookup")=TRUE), ((E835 = "aggregation")=TRUE))</f>
        <v>1</v>
      </c>
      <c r="J835" s="4" t="b">
        <f>H835 &lt;&gt; ""</f>
        <v>1</v>
      </c>
      <c r="K835" s="4">
        <f>COUNTIFS(FieldDisagreements!D2:D50, A835)</f>
        <v>0</v>
      </c>
      <c r="L835" s="4" t="b">
        <f>K835 &gt; 0</f>
        <v>0</v>
      </c>
      <c r="M835" s="3" t="s">
        <v>2418</v>
      </c>
    </row>
    <row r="836">
      <c r="A836" s="3" t="s">
        <v>865</v>
      </c>
      <c r="B836" s="4" t="str">
        <f>C836 &amp; "." &amp; D836</f>
        <v>RequirementSatisfactions.IsBlockingAndUnmet</v>
      </c>
      <c r="C836" s="3" t="s">
        <v>1830</v>
      </c>
      <c r="D836" s="3" t="s">
        <v>1473</v>
      </c>
      <c r="E836" s="3" t="s">
        <v>2420</v>
      </c>
      <c r="F836" s="3" t="s">
        <v>2432</v>
      </c>
      <c r="G836" s="3" t="s">
        <v>3785</v>
      </c>
      <c r="H836" s="3" t="s">
        <v>1958</v>
      </c>
      <c r="I836" s="4" t="b">
        <f>OR(((E836 = "calculated")=TRUE), ((E836 = "lookup")=TRUE), ((E836 = "aggregation")=TRUE))</f>
        <v>1</v>
      </c>
      <c r="J836" s="4" t="b">
        <f>H836 &lt;&gt; ""</f>
        <v>1</v>
      </c>
      <c r="K836" s="4">
        <f>COUNTIFS(FieldDisagreements!D2:D50, A836)</f>
        <v>0</v>
      </c>
      <c r="L836" s="4" t="b">
        <f>K836 &gt; 0</f>
        <v>0</v>
      </c>
      <c r="M836" s="3" t="s">
        <v>2418</v>
      </c>
    </row>
    <row r="837">
      <c r="A837" s="3" t="s">
        <v>3786</v>
      </c>
      <c r="B837" s="4" t="str">
        <f>C837 &amp; "." &amp; D837</f>
        <v>RequirementSatisfactions.BlockingUnmetStepKey</v>
      </c>
      <c r="C837" s="3" t="s">
        <v>1830</v>
      </c>
      <c r="D837" s="3" t="s">
        <v>1474</v>
      </c>
      <c r="E837" s="3" t="s">
        <v>2420</v>
      </c>
      <c r="F837" s="3" t="s">
        <v>2417</v>
      </c>
      <c r="G837" s="3" t="s">
        <v>3787</v>
      </c>
      <c r="H837" s="3" t="s">
        <v>1958</v>
      </c>
      <c r="I837" s="4" t="b">
        <f>OR(((E837 = "calculated")=TRUE), ((E837 = "lookup")=TRUE), ((E837 = "aggregation")=TRUE))</f>
        <v>1</v>
      </c>
      <c r="J837" s="4" t="b">
        <f>H837 &lt;&gt; ""</f>
        <v>1</v>
      </c>
      <c r="K837" s="4">
        <f>COUNTIFS(FieldDisagreements!D2:D50, A837)</f>
        <v>0</v>
      </c>
      <c r="L837" s="4" t="b">
        <f>K837 &gt; 0</f>
        <v>0</v>
      </c>
      <c r="M837" s="3" t="s">
        <v>2418</v>
      </c>
    </row>
    <row r="838">
      <c r="A838" s="3" t="s">
        <v>3788</v>
      </c>
      <c r="B838" s="4" t="str">
        <f>C838 &amp; "." &amp; D838</f>
        <v>RequirementSatisfactions.BlockingSatisfactionStepKey</v>
      </c>
      <c r="C838" s="3" t="s">
        <v>1830</v>
      </c>
      <c r="D838" s="3" t="s">
        <v>1475</v>
      </c>
      <c r="E838" s="3" t="s">
        <v>2420</v>
      </c>
      <c r="F838" s="3" t="s">
        <v>2417</v>
      </c>
      <c r="G838" s="3" t="s">
        <v>3789</v>
      </c>
      <c r="H838" s="3" t="s">
        <v>1963</v>
      </c>
      <c r="I838" s="4" t="b">
        <f>OR(((E838 = "calculated")=TRUE), ((E838 = "lookup")=TRUE), ((E838 = "aggregation")=TRUE))</f>
        <v>1</v>
      </c>
      <c r="J838" s="4" t="b">
        <f>H838 &lt;&gt; ""</f>
        <v>1</v>
      </c>
      <c r="K838" s="4">
        <f>COUNTIFS(FieldDisagreements!D2:D50, A838)</f>
        <v>0</v>
      </c>
      <c r="L838" s="4" t="b">
        <f>K838 &gt; 0</f>
        <v>0</v>
      </c>
      <c r="M838" s="3" t="s">
        <v>2418</v>
      </c>
    </row>
    <row r="839">
      <c r="A839" s="3" t="s">
        <v>3790</v>
      </c>
      <c r="B839" s="4" t="str">
        <f>C839 &amp; "." &amp; D839</f>
        <v>RequirementSatisfactions.NegativeOutcomeRequirementKey</v>
      </c>
      <c r="C839" s="3" t="s">
        <v>1830</v>
      </c>
      <c r="D839" s="3" t="s">
        <v>1476</v>
      </c>
      <c r="E839" s="3" t="s">
        <v>2420</v>
      </c>
      <c r="F839" s="3" t="s">
        <v>2417</v>
      </c>
      <c r="G839" s="3" t="s">
        <v>3791</v>
      </c>
      <c r="H839" s="3" t="s">
        <v>1987</v>
      </c>
      <c r="I839" s="4" t="b">
        <f>OR(((E839 = "calculated")=TRUE), ((E839 = "lookup")=TRUE), ((E839 = "aggregation")=TRUE))</f>
        <v>1</v>
      </c>
      <c r="J839" s="4" t="b">
        <f>H839 &lt;&gt; ""</f>
        <v>1</v>
      </c>
      <c r="K839" s="4">
        <f>COUNTIFS(FieldDisagreements!D2:D50, A839)</f>
        <v>0</v>
      </c>
      <c r="L839" s="4" t="b">
        <f>K839 &gt; 0</f>
        <v>0</v>
      </c>
      <c r="M839" s="3" t="s">
        <v>2418</v>
      </c>
    </row>
    <row r="840">
      <c r="A840" s="3" t="s">
        <v>3792</v>
      </c>
      <c r="B840" s="4" t="str">
        <f>C840 &amp; "." &amp; D840</f>
        <v>RequirementSatisfactions.EvaluatorAgentKind</v>
      </c>
      <c r="C840" s="3" t="s">
        <v>1830</v>
      </c>
      <c r="D840" s="3" t="s">
        <v>1477</v>
      </c>
      <c r="E840" s="3" t="s">
        <v>2509</v>
      </c>
      <c r="F840" s="3" t="s">
        <v>2417</v>
      </c>
      <c r="G840" s="3" t="s">
        <v>3793</v>
      </c>
      <c r="H840" s="3" t="s">
        <v>1995</v>
      </c>
      <c r="I840" s="4" t="b">
        <f>OR(((E840 = "calculated")=TRUE), ((E840 = "lookup")=TRUE), ((E840 = "aggregation")=TRUE))</f>
        <v>1</v>
      </c>
      <c r="J840" s="4" t="b">
        <f>H840 &lt;&gt; ""</f>
        <v>1</v>
      </c>
      <c r="K840" s="4">
        <f>COUNTIFS(FieldDisagreements!D2:D50, A840)</f>
        <v>0</v>
      </c>
      <c r="L840" s="4" t="b">
        <f>K840 &gt; 0</f>
        <v>0</v>
      </c>
      <c r="M840" s="3" t="s">
        <v>2418</v>
      </c>
    </row>
    <row r="841">
      <c r="A841" s="3" t="s">
        <v>3794</v>
      </c>
      <c r="B841" s="4" t="str">
        <f>C841 &amp; "." &amp; D841</f>
        <v>RequirementSatisfactions.NonHumanEvaluatedHumanControl</v>
      </c>
      <c r="C841" s="3" t="s">
        <v>1830</v>
      </c>
      <c r="D841" s="3" t="s">
        <v>1478</v>
      </c>
      <c r="E841" s="3" t="s">
        <v>2420</v>
      </c>
      <c r="F841" s="3" t="s">
        <v>2432</v>
      </c>
      <c r="G841" s="3" t="s">
        <v>3795</v>
      </c>
      <c r="H841" s="3" t="s">
        <v>1995</v>
      </c>
      <c r="I841" s="4" t="b">
        <f>OR(((E841 = "calculated")=TRUE), ((E841 = "lookup")=TRUE), ((E841 = "aggregation")=TRUE))</f>
        <v>1</v>
      </c>
      <c r="J841" s="4" t="b">
        <f>H841 &lt;&gt; ""</f>
        <v>1</v>
      </c>
      <c r="K841" s="4">
        <f>COUNTIFS(FieldDisagreements!D2:D50, A841)</f>
        <v>0</v>
      </c>
      <c r="L841" s="4" t="b">
        <f>K841 &gt; 0</f>
        <v>0</v>
      </c>
      <c r="M841" s="3" t="s">
        <v>2418</v>
      </c>
    </row>
    <row r="842">
      <c r="A842" s="3" t="s">
        <v>3796</v>
      </c>
      <c r="B842" s="4" t="str">
        <f>C842 &amp; "." &amp; D842</f>
        <v>RequirementSatisfactions.RequirementHasComputedWitness</v>
      </c>
      <c r="C842" s="3" t="s">
        <v>1830</v>
      </c>
      <c r="D842" s="3" t="s">
        <v>1479</v>
      </c>
      <c r="E842" s="3" t="s">
        <v>2509</v>
      </c>
      <c r="F842" s="3" t="s">
        <v>2432</v>
      </c>
      <c r="G842" s="3" t="s">
        <v>3797</v>
      </c>
      <c r="H842" s="3" t="s">
        <v>2015</v>
      </c>
      <c r="I842" s="4" t="b">
        <f>OR(((E842 = "calculated")=TRUE), ((E842 = "lookup")=TRUE), ((E842 = "aggregation")=TRUE))</f>
        <v>1</v>
      </c>
      <c r="J842" s="4" t="b">
        <f>H842 &lt;&gt; ""</f>
        <v>1</v>
      </c>
      <c r="K842" s="4">
        <f>COUNTIFS(FieldDisagreements!D2:D50, A842)</f>
        <v>0</v>
      </c>
      <c r="L842" s="4" t="b">
        <f>K842 &gt; 0</f>
        <v>0</v>
      </c>
      <c r="M842" s="3" t="s">
        <v>2418</v>
      </c>
    </row>
    <row r="843">
      <c r="A843" s="3" t="s">
        <v>3798</v>
      </c>
      <c r="B843" s="4" t="str">
        <f>C843 &amp; "." &amp; D843</f>
        <v>RequirementSatisfactions.IsAssertedOnly</v>
      </c>
      <c r="C843" s="3" t="s">
        <v>1830</v>
      </c>
      <c r="D843" s="3" t="s">
        <v>1480</v>
      </c>
      <c r="E843" s="3" t="s">
        <v>2420</v>
      </c>
      <c r="F843" s="3" t="s">
        <v>2432</v>
      </c>
      <c r="G843" s="3" t="s">
        <v>3799</v>
      </c>
      <c r="H843" s="3" t="s">
        <v>2015</v>
      </c>
      <c r="I843" s="4" t="b">
        <f>OR(((E843 = "calculated")=TRUE), ((E843 = "lookup")=TRUE), ((E843 = "aggregation")=TRUE))</f>
        <v>1</v>
      </c>
      <c r="J843" s="4" t="b">
        <f>H843 &lt;&gt; ""</f>
        <v>1</v>
      </c>
      <c r="K843" s="4">
        <f>COUNTIFS(FieldDisagreements!D2:D50, A843)</f>
        <v>0</v>
      </c>
      <c r="L843" s="4" t="b">
        <f>K843 &gt; 0</f>
        <v>0</v>
      </c>
      <c r="M843" s="3" t="s">
        <v>2418</v>
      </c>
    </row>
    <row r="844">
      <c r="A844" s="3" t="s">
        <v>3800</v>
      </c>
      <c r="B844" s="4" t="str">
        <f>C844 &amp; "." &amp; D844</f>
        <v>RequirementSatisfactions.AssertedOnlyExecutionKey</v>
      </c>
      <c r="C844" s="3" t="s">
        <v>1830</v>
      </c>
      <c r="D844" s="3" t="s">
        <v>1481</v>
      </c>
      <c r="E844" s="3" t="s">
        <v>2420</v>
      </c>
      <c r="F844" s="3" t="s">
        <v>2417</v>
      </c>
      <c r="G844" s="3" t="s">
        <v>3801</v>
      </c>
      <c r="H844" s="3" t="s">
        <v>2015</v>
      </c>
      <c r="I844" s="4" t="b">
        <f>OR(((E844 = "calculated")=TRUE), ((E844 = "lookup")=TRUE), ((E844 = "aggregation")=TRUE))</f>
        <v>1</v>
      </c>
      <c r="J844" s="4" t="b">
        <f>H844 &lt;&gt; ""</f>
        <v>1</v>
      </c>
      <c r="K844" s="4">
        <f>COUNTIFS(FieldDisagreements!D2:D50, A844)</f>
        <v>0</v>
      </c>
      <c r="L844" s="4" t="b">
        <f>K844 &gt; 0</f>
        <v>0</v>
      </c>
      <c r="M844" s="3" t="s">
        <v>2418</v>
      </c>
    </row>
    <row r="845">
      <c r="A845" s="3" t="s">
        <v>3802</v>
      </c>
      <c r="B845" s="4" t="str">
        <f>C845 &amp; "." &amp; D845</f>
        <v>RequirementSatisfactions.ParentProcedureExecution</v>
      </c>
      <c r="C845" s="3" t="s">
        <v>1830</v>
      </c>
      <c r="D845" s="3" t="s">
        <v>1482</v>
      </c>
      <c r="E845" s="3" t="s">
        <v>2509</v>
      </c>
      <c r="F845" s="3" t="s">
        <v>2417</v>
      </c>
      <c r="G845" s="3" t="s">
        <v>3803</v>
      </c>
      <c r="H845" s="3" t="s">
        <v>2015</v>
      </c>
      <c r="I845" s="4" t="b">
        <f>OR(((E845 = "calculated")=TRUE), ((E845 = "lookup")=TRUE), ((E845 = "aggregation")=TRUE))</f>
        <v>1</v>
      </c>
      <c r="J845" s="4" t="b">
        <f>H845 &lt;&gt; ""</f>
        <v>1</v>
      </c>
      <c r="K845" s="4">
        <f>COUNTIFS(FieldDisagreements!D2:D50, A845)</f>
        <v>0</v>
      </c>
      <c r="L845" s="4" t="b">
        <f>K845 &gt; 0</f>
        <v>0</v>
      </c>
      <c r="M845" s="3" t="s">
        <v>2418</v>
      </c>
    </row>
    <row r="846">
      <c r="A846" s="3" t="s">
        <v>3804</v>
      </c>
      <c r="B846" s="4" t="str">
        <f>C846 &amp; "." &amp; D846</f>
        <v>RequirementSatisfactions.StepExecutionWhenScored</v>
      </c>
      <c r="C846" s="3" t="s">
        <v>1830</v>
      </c>
      <c r="D846" s="3" t="s">
        <v>1483</v>
      </c>
      <c r="E846" s="3" t="s">
        <v>2420</v>
      </c>
      <c r="F846" s="3" t="s">
        <v>2417</v>
      </c>
      <c r="G846" s="3" t="s">
        <v>3805</v>
      </c>
      <c r="H846" s="3" t="s">
        <v>2131</v>
      </c>
      <c r="I846" s="4" t="b">
        <f>OR(((E846 = "calculated")=TRUE), ((E846 = "lookup")=TRUE), ((E846 = "aggregation")=TRUE))</f>
        <v>1</v>
      </c>
      <c r="J846" s="4" t="b">
        <f>H846 &lt;&gt; ""</f>
        <v>1</v>
      </c>
      <c r="K846" s="4">
        <f>COUNTIFS(FieldDisagreements!D2:D50, A846)</f>
        <v>0</v>
      </c>
      <c r="L846" s="4" t="b">
        <f>K846 &gt; 0</f>
        <v>0</v>
      </c>
      <c r="M846" s="3" t="s">
        <v>2418</v>
      </c>
    </row>
    <row r="847">
      <c r="A847" s="3" t="s">
        <v>3806</v>
      </c>
      <c r="B847" s="4" t="str">
        <f>C847 &amp; "." &amp; D847</f>
        <v>RequirementSatisfactions.IsHumanEvaluated</v>
      </c>
      <c r="C847" s="3" t="s">
        <v>1830</v>
      </c>
      <c r="D847" s="3" t="s">
        <v>1484</v>
      </c>
      <c r="E847" s="3" t="s">
        <v>2420</v>
      </c>
      <c r="F847" s="3" t="s">
        <v>2432</v>
      </c>
      <c r="G847" s="3" t="s">
        <v>3807</v>
      </c>
      <c r="H847" s="3" t="s">
        <v>2195</v>
      </c>
      <c r="I847" s="4" t="b">
        <f>OR(((E847 = "calculated")=TRUE), ((E847 = "lookup")=TRUE), ((E847 = "aggregation")=TRUE))</f>
        <v>1</v>
      </c>
      <c r="J847" s="4" t="b">
        <f>H847 &lt;&gt; ""</f>
        <v>1</v>
      </c>
      <c r="K847" s="4">
        <f>COUNTIFS(FieldDisagreements!D2:D50, A847)</f>
        <v>0</v>
      </c>
      <c r="L847" s="4" t="b">
        <f>K847 &gt; 0</f>
        <v>0</v>
      </c>
      <c r="M847" s="3" t="s">
        <v>2418</v>
      </c>
    </row>
    <row r="848">
      <c r="A848" s="3" t="s">
        <v>3808</v>
      </c>
      <c r="B848" s="4" t="str">
        <f>C848 &amp; "." &amp; D848</f>
        <v>RequirementSatisfactions.RequirementIsApprovalType</v>
      </c>
      <c r="C848" s="3" t="s">
        <v>1830</v>
      </c>
      <c r="D848" s="3" t="s">
        <v>1485</v>
      </c>
      <c r="E848" s="3" t="s">
        <v>2509</v>
      </c>
      <c r="F848" s="3" t="s">
        <v>2417</v>
      </c>
      <c r="G848" s="3" t="s">
        <v>3809</v>
      </c>
      <c r="H848" s="3" t="s">
        <v>2195</v>
      </c>
      <c r="I848" s="4" t="b">
        <f>OR(((E848 = "calculated")=TRUE), ((E848 = "lookup")=TRUE), ((E848 = "aggregation")=TRUE))</f>
        <v>1</v>
      </c>
      <c r="J848" s="4" t="b">
        <f>H848 &lt;&gt; ""</f>
        <v>1</v>
      </c>
      <c r="K848" s="4">
        <f>COUNTIFS(FieldDisagreements!D2:D50, A848)</f>
        <v>0</v>
      </c>
      <c r="L848" s="4" t="b">
        <f>K848 &gt; 0</f>
        <v>0</v>
      </c>
      <c r="M848" s="3" t="s">
        <v>2418</v>
      </c>
    </row>
    <row r="849">
      <c r="A849" s="3" t="s">
        <v>3810</v>
      </c>
      <c r="B849" s="4" t="str">
        <f>C849 &amp; "." &amp; D849</f>
        <v>RequirementSatisfactions.IsInvalidApproval</v>
      </c>
      <c r="C849" s="3" t="s">
        <v>1830</v>
      </c>
      <c r="D849" s="3" t="s">
        <v>1486</v>
      </c>
      <c r="E849" s="3" t="s">
        <v>2420</v>
      </c>
      <c r="F849" s="3" t="s">
        <v>2432</v>
      </c>
      <c r="G849" s="3" t="s">
        <v>3811</v>
      </c>
      <c r="H849" s="3" t="s">
        <v>2195</v>
      </c>
      <c r="I849" s="4" t="b">
        <f>OR(((E849 = "calculated")=TRUE), ((E849 = "lookup")=TRUE), ((E849 = "aggregation")=TRUE))</f>
        <v>1</v>
      </c>
      <c r="J849" s="4" t="b">
        <f>H849 &lt;&gt; ""</f>
        <v>1</v>
      </c>
      <c r="K849" s="4">
        <f>COUNTIFS(FieldDisagreements!D2:D50, A849)</f>
        <v>0</v>
      </c>
      <c r="L849" s="4" t="b">
        <f>K849 &gt; 0</f>
        <v>0</v>
      </c>
      <c r="M849" s="3" t="s">
        <v>2418</v>
      </c>
    </row>
    <row r="850">
      <c r="A850" s="3" t="s">
        <v>3812</v>
      </c>
      <c r="B850" s="4" t="str">
        <f>C850 &amp; "." &amp; D850</f>
        <v>RequirementSatisfactions.ProcedureExecutionOfSatisfaction</v>
      </c>
      <c r="C850" s="3" t="s">
        <v>1830</v>
      </c>
      <c r="D850" s="3" t="s">
        <v>1487</v>
      </c>
      <c r="E850" s="3" t="s">
        <v>2509</v>
      </c>
      <c r="F850" s="3" t="s">
        <v>2417</v>
      </c>
      <c r="G850" s="3" t="s">
        <v>3803</v>
      </c>
      <c r="H850" s="3" t="s">
        <v>2195</v>
      </c>
      <c r="I850" s="4" t="b">
        <f>OR(((E850 = "calculated")=TRUE), ((E850 = "lookup")=TRUE), ((E850 = "aggregation")=TRUE))</f>
        <v>1</v>
      </c>
      <c r="J850" s="4" t="b">
        <f>H850 &lt;&gt; ""</f>
        <v>1</v>
      </c>
      <c r="K850" s="4">
        <f>COUNTIFS(FieldDisagreements!D2:D50, A850)</f>
        <v>0</v>
      </c>
      <c r="L850" s="4" t="b">
        <f>K850 &gt; 0</f>
        <v>0</v>
      </c>
      <c r="M850" s="3" t="s">
        <v>2418</v>
      </c>
    </row>
    <row r="851">
      <c r="A851" s="3" t="s">
        <v>3813</v>
      </c>
      <c r="B851" s="4" t="str">
        <f>C851 &amp; "." &amp; D851</f>
        <v>RequirementSatisfactions.RunWhenInvalidApproval</v>
      </c>
      <c r="C851" s="3" t="s">
        <v>1830</v>
      </c>
      <c r="D851" s="3" t="s">
        <v>1488</v>
      </c>
      <c r="E851" s="3" t="s">
        <v>2420</v>
      </c>
      <c r="F851" s="3" t="s">
        <v>2417</v>
      </c>
      <c r="G851" s="3" t="s">
        <v>3814</v>
      </c>
      <c r="H851" s="3" t="s">
        <v>2195</v>
      </c>
      <c r="I851" s="4" t="b">
        <f>OR(((E851 = "calculated")=TRUE), ((E851 = "lookup")=TRUE), ((E851 = "aggregation")=TRUE))</f>
        <v>1</v>
      </c>
      <c r="J851" s="4" t="b">
        <f>H851 &lt;&gt; ""</f>
        <v>1</v>
      </c>
      <c r="K851" s="4">
        <f>COUNTIFS(FieldDisagreements!D2:D50, A851)</f>
        <v>0</v>
      </c>
      <c r="L851" s="4" t="b">
        <f>K851 &gt; 0</f>
        <v>0</v>
      </c>
      <c r="M851" s="3" t="s">
        <v>2418</v>
      </c>
    </row>
    <row r="852">
      <c r="A852" s="3" t="s">
        <v>3815</v>
      </c>
      <c r="B852" s="4" t="str">
        <f>C852 &amp; "." &amp; D852</f>
        <v>RequirementSatisfactions.RequirementIsUnfalsified</v>
      </c>
      <c r="C852" s="3" t="s">
        <v>1830</v>
      </c>
      <c r="D852" s="3" t="s">
        <v>1489</v>
      </c>
      <c r="E852" s="3" t="s">
        <v>2509</v>
      </c>
      <c r="F852" s="3" t="s">
        <v>2432</v>
      </c>
      <c r="G852" s="3" t="s">
        <v>3816</v>
      </c>
      <c r="H852" s="3" t="s">
        <v>2259</v>
      </c>
      <c r="I852" s="4" t="b">
        <f>OR(((E852 = "calculated")=TRUE), ((E852 = "lookup")=TRUE), ((E852 = "aggregation")=TRUE))</f>
        <v>1</v>
      </c>
      <c r="J852" s="4" t="b">
        <f>H852 &lt;&gt; ""</f>
        <v>1</v>
      </c>
      <c r="K852" s="4">
        <f>COUNTIFS(FieldDisagreements!D2:D50, A852)</f>
        <v>0</v>
      </c>
      <c r="L852" s="4" t="b">
        <f>K852 &gt; 0</f>
        <v>0</v>
      </c>
      <c r="M852" s="3" t="s">
        <v>2418</v>
      </c>
    </row>
    <row r="853">
      <c r="A853" s="3" t="s">
        <v>3817</v>
      </c>
      <c r="B853" s="4" t="str">
        <f>C853 &amp; "." &amp; D853</f>
        <v>RequirementSatisfactions.IsClearanceByUnfalsifiedControl</v>
      </c>
      <c r="C853" s="3" t="s">
        <v>1830</v>
      </c>
      <c r="D853" s="3" t="s">
        <v>1490</v>
      </c>
      <c r="E853" s="3" t="s">
        <v>2420</v>
      </c>
      <c r="F853" s="3" t="s">
        <v>2432</v>
      </c>
      <c r="G853" s="3" t="s">
        <v>3818</v>
      </c>
      <c r="H853" s="3" t="s">
        <v>2259</v>
      </c>
      <c r="I853" s="4" t="b">
        <f>OR(((E853 = "calculated")=TRUE), ((E853 = "lookup")=TRUE), ((E853 = "aggregation")=TRUE))</f>
        <v>1</v>
      </c>
      <c r="J853" s="4" t="b">
        <f>H853 &lt;&gt; ""</f>
        <v>1</v>
      </c>
      <c r="K853" s="4">
        <f>COUNTIFS(FieldDisagreements!D2:D50, A853)</f>
        <v>0</v>
      </c>
      <c r="L853" s="4" t="b">
        <f>K853 &gt; 0</f>
        <v>0</v>
      </c>
      <c r="M853" s="3" t="s">
        <v>2418</v>
      </c>
    </row>
    <row r="854">
      <c r="A854" s="3" t="s">
        <v>3819</v>
      </c>
      <c r="B854" s="4" t="str">
        <f>C854 &amp; "." &amp; D854</f>
        <v>RequirementSatisfactions.UnfalsifiedClearanceStepKey</v>
      </c>
      <c r="C854" s="3" t="s">
        <v>1830</v>
      </c>
      <c r="D854" s="3" t="s">
        <v>1491</v>
      </c>
      <c r="E854" s="3" t="s">
        <v>2420</v>
      </c>
      <c r="F854" s="3" t="s">
        <v>2417</v>
      </c>
      <c r="G854" s="3" t="s">
        <v>3820</v>
      </c>
      <c r="H854" s="3" t="s">
        <v>2259</v>
      </c>
      <c r="I854" s="4" t="b">
        <f>OR(((E854 = "calculated")=TRUE), ((E854 = "lookup")=TRUE), ((E854 = "aggregation")=TRUE))</f>
        <v>1</v>
      </c>
      <c r="J854" s="4" t="b">
        <f>H854 &lt;&gt; ""</f>
        <v>1</v>
      </c>
      <c r="K854" s="4">
        <f>COUNTIFS(FieldDisagreements!D2:D50, A854)</f>
        <v>0</v>
      </c>
      <c r="L854" s="4" t="b">
        <f>K854 &gt; 0</f>
        <v>0</v>
      </c>
      <c r="M854" s="3" t="s">
        <v>2418</v>
      </c>
    </row>
    <row r="855">
      <c r="A855" s="3" t="s">
        <v>3821</v>
      </c>
      <c r="B855" s="4" t="str">
        <f>C855 &amp; "." &amp; D855</f>
        <v>RequirementSatisfactions.SpecStepOfExecution</v>
      </c>
      <c r="C855" s="3" t="s">
        <v>1830</v>
      </c>
      <c r="D855" s="3" t="s">
        <v>1492</v>
      </c>
      <c r="E855" s="3" t="s">
        <v>2509</v>
      </c>
      <c r="F855" s="3" t="s">
        <v>2417</v>
      </c>
      <c r="G855" s="3" t="s">
        <v>3822</v>
      </c>
      <c r="H855" s="3" t="s">
        <v>2283</v>
      </c>
      <c r="I855" s="4" t="b">
        <f>OR(((E855 = "calculated")=TRUE), ((E855 = "lookup")=TRUE), ((E855 = "aggregation")=TRUE))</f>
        <v>1</v>
      </c>
      <c r="J855" s="4" t="b">
        <f>H855 &lt;&gt; ""</f>
        <v>1</v>
      </c>
      <c r="K855" s="4">
        <f>COUNTIFS(FieldDisagreements!D2:D50, A855)</f>
        <v>0</v>
      </c>
      <c r="L855" s="4" t="b">
        <f>K855 &gt; 0</f>
        <v>0</v>
      </c>
      <c r="M855" s="3" t="s">
        <v>2418</v>
      </c>
    </row>
    <row r="856">
      <c r="A856" s="3" t="s">
        <v>3823</v>
      </c>
      <c r="B856" s="4" t="str">
        <f>C856 &amp; "." &amp; D856</f>
        <v>RequirementSatisfactions.BindingKey</v>
      </c>
      <c r="C856" s="3" t="s">
        <v>1830</v>
      </c>
      <c r="D856" s="3" t="s">
        <v>1493</v>
      </c>
      <c r="E856" s="3" t="s">
        <v>2509</v>
      </c>
      <c r="F856" s="3" t="s">
        <v>2417</v>
      </c>
      <c r="G856" s="3" t="s">
        <v>3824</v>
      </c>
      <c r="H856" s="3" t="s">
        <v>2283</v>
      </c>
      <c r="I856" s="4" t="b">
        <f>OR(((E856 = "calculated")=TRUE), ((E856 = "lookup")=TRUE), ((E856 = "aggregation")=TRUE))</f>
        <v>1</v>
      </c>
      <c r="J856" s="4" t="b">
        <f>H856 &lt;&gt; ""</f>
        <v>1</v>
      </c>
      <c r="K856" s="4">
        <f>COUNTIFS(FieldDisagreements!D2:D50, A856)</f>
        <v>0</v>
      </c>
      <c r="L856" s="4" t="b">
        <f>K856 &gt; 0</f>
        <v>0</v>
      </c>
      <c r="M856" s="3" t="s">
        <v>2418</v>
      </c>
    </row>
    <row r="857">
      <c r="A857" s="3" t="s">
        <v>3825</v>
      </c>
      <c r="B857" s="4" t="str">
        <f>C857 &amp; "." &amp; D857</f>
        <v>RequirementSatisfactions.ScoredStepExecutorAgent</v>
      </c>
      <c r="C857" s="3" t="s">
        <v>1830</v>
      </c>
      <c r="D857" s="3" t="s">
        <v>1494</v>
      </c>
      <c r="E857" s="3" t="s">
        <v>2509</v>
      </c>
      <c r="F857" s="3" t="s">
        <v>2417</v>
      </c>
      <c r="G857" s="3" t="s">
        <v>3826</v>
      </c>
      <c r="H857" s="3" t="s">
        <v>2291</v>
      </c>
      <c r="I857" s="4" t="b">
        <f>OR(((E857 = "calculated")=TRUE), ((E857 = "lookup")=TRUE), ((E857 = "aggregation")=TRUE))</f>
        <v>1</v>
      </c>
      <c r="J857" s="4" t="b">
        <f>H857 &lt;&gt; ""</f>
        <v>1</v>
      </c>
      <c r="K857" s="4">
        <f>COUNTIFS(FieldDisagreements!D2:D50, A857)</f>
        <v>0</v>
      </c>
      <c r="L857" s="4" t="b">
        <f>K857 &gt; 0</f>
        <v>0</v>
      </c>
      <c r="M857" s="3" t="s">
        <v>2418</v>
      </c>
    </row>
    <row r="858">
      <c r="A858" s="3" t="s">
        <v>3827</v>
      </c>
      <c r="B858" s="4" t="str">
        <f>C858 &amp; "." &amp; D858</f>
        <v>RequirementSatisfactions.EvaluatorIsStepExecutor</v>
      </c>
      <c r="C858" s="3" t="s">
        <v>1830</v>
      </c>
      <c r="D858" s="3" t="s">
        <v>1495</v>
      </c>
      <c r="E858" s="3" t="s">
        <v>2420</v>
      </c>
      <c r="F858" s="3" t="s">
        <v>2432</v>
      </c>
      <c r="G858" s="3" t="s">
        <v>3828</v>
      </c>
      <c r="H858" s="3" t="s">
        <v>2291</v>
      </c>
      <c r="I858" s="4" t="b">
        <f>OR(((E858 = "calculated")=TRUE), ((E858 = "lookup")=TRUE), ((E858 = "aggregation")=TRUE))</f>
        <v>1</v>
      </c>
      <c r="J858" s="4" t="b">
        <f>H858 &lt;&gt; ""</f>
        <v>1</v>
      </c>
      <c r="K858" s="4">
        <f>COUNTIFS(FieldDisagreements!D2:D50, A858)</f>
        <v>0</v>
      </c>
      <c r="L858" s="4" t="b">
        <f>K858 &gt; 0</f>
        <v>0</v>
      </c>
      <c r="M858" s="3" t="s">
        <v>2418</v>
      </c>
    </row>
    <row r="859">
      <c r="A859" s="3" t="s">
        <v>3829</v>
      </c>
      <c r="B859" s="4" t="str">
        <f>C859 &amp; "." &amp; D859</f>
        <v>RequirementSatisfactions.RunOwnerAgent</v>
      </c>
      <c r="C859" s="3" t="s">
        <v>1830</v>
      </c>
      <c r="D859" s="3" t="s">
        <v>1496</v>
      </c>
      <c r="E859" s="3" t="s">
        <v>2509</v>
      </c>
      <c r="F859" s="3" t="s">
        <v>2417</v>
      </c>
      <c r="G859" s="3" t="s">
        <v>3830</v>
      </c>
      <c r="H859" s="3" t="s">
        <v>2291</v>
      </c>
      <c r="I859" s="4" t="b">
        <f>OR(((E859 = "calculated")=TRUE), ((E859 = "lookup")=TRUE), ((E859 = "aggregation")=TRUE))</f>
        <v>1</v>
      </c>
      <c r="J859" s="4" t="b">
        <f>H859 &lt;&gt; ""</f>
        <v>1</v>
      </c>
      <c r="K859" s="4">
        <f>COUNTIFS(FieldDisagreements!D2:D50, A859)</f>
        <v>0</v>
      </c>
      <c r="L859" s="4" t="b">
        <f>K859 &gt; 0</f>
        <v>0</v>
      </c>
      <c r="M859" s="3" t="s">
        <v>2418</v>
      </c>
    </row>
    <row r="860">
      <c r="A860" s="3" t="s">
        <v>3831</v>
      </c>
      <c r="B860" s="4" t="str">
        <f>C860 &amp; "." &amp; D860</f>
        <v>RequirementSatisfactions.EvaluatorOwnsTheRun</v>
      </c>
      <c r="C860" s="3" t="s">
        <v>1830</v>
      </c>
      <c r="D860" s="3" t="s">
        <v>1497</v>
      </c>
      <c r="E860" s="3" t="s">
        <v>2420</v>
      </c>
      <c r="F860" s="3" t="s">
        <v>2432</v>
      </c>
      <c r="G860" s="3" t="s">
        <v>3832</v>
      </c>
      <c r="H860" s="3" t="s">
        <v>2291</v>
      </c>
      <c r="I860" s="4" t="b">
        <f>OR(((E860 = "calculated")=TRUE), ((E860 = "lookup")=TRUE), ((E860 = "aggregation")=TRUE))</f>
        <v>1</v>
      </c>
      <c r="J860" s="4" t="b">
        <f>H860 &lt;&gt; ""</f>
        <v>1</v>
      </c>
      <c r="K860" s="4">
        <f>COUNTIFS(FieldDisagreements!D2:D50, A860)</f>
        <v>0</v>
      </c>
      <c r="L860" s="4" t="b">
        <f>K860 &gt; 0</f>
        <v>0</v>
      </c>
      <c r="M860" s="3" t="s">
        <v>2418</v>
      </c>
    </row>
    <row r="861">
      <c r="A861" s="3" t="s">
        <v>3833</v>
      </c>
      <c r="B861" s="4" t="str">
        <f>C861 &amp; "." &amp; D861</f>
        <v>RequirementSatisfactions.IsInterestedPartyAssertion</v>
      </c>
      <c r="C861" s="3" t="s">
        <v>1830</v>
      </c>
      <c r="D861" s="3" t="s">
        <v>1498</v>
      </c>
      <c r="E861" s="3" t="s">
        <v>2420</v>
      </c>
      <c r="F861" s="3" t="s">
        <v>2432</v>
      </c>
      <c r="G861" s="3" t="s">
        <v>3834</v>
      </c>
      <c r="H861" s="3" t="s">
        <v>2291</v>
      </c>
      <c r="I861" s="4" t="b">
        <f>OR(((E861 = "calculated")=TRUE), ((E861 = "lookup")=TRUE), ((E861 = "aggregation")=TRUE))</f>
        <v>1</v>
      </c>
      <c r="J861" s="4" t="b">
        <f>H861 &lt;&gt; ""</f>
        <v>1</v>
      </c>
      <c r="K861" s="4">
        <f>COUNTIFS(FieldDisagreements!D2:D50, A861)</f>
        <v>0</v>
      </c>
      <c r="L861" s="4" t="b">
        <f>K861 &gt; 0</f>
        <v>0</v>
      </c>
      <c r="M861" s="3" t="s">
        <v>2418</v>
      </c>
    </row>
    <row r="862">
      <c r="A862" s="3" t="s">
        <v>3835</v>
      </c>
      <c r="B862" s="4" t="str">
        <f>C862 &amp; "." &amp; D862</f>
        <v>RequirementSatisfactions.HasWrittenEvidence</v>
      </c>
      <c r="C862" s="3" t="s">
        <v>1830</v>
      </c>
      <c r="D862" s="3" t="s">
        <v>1499</v>
      </c>
      <c r="E862" s="3" t="s">
        <v>2420</v>
      </c>
      <c r="F862" s="3" t="s">
        <v>2432</v>
      </c>
      <c r="G862" s="3" t="s">
        <v>3836</v>
      </c>
      <c r="H862" s="3" t="s">
        <v>2291</v>
      </c>
      <c r="I862" s="4" t="b">
        <f>OR(((E862 = "calculated")=TRUE), ((E862 = "lookup")=TRUE), ((E862 = "aggregation")=TRUE))</f>
        <v>1</v>
      </c>
      <c r="J862" s="4" t="b">
        <f>H862 &lt;&gt; ""</f>
        <v>1</v>
      </c>
      <c r="K862" s="4">
        <f>COUNTIFS(FieldDisagreements!D2:D50, A862)</f>
        <v>0</v>
      </c>
      <c r="L862" s="4" t="b">
        <f>K862 &gt; 0</f>
        <v>0</v>
      </c>
      <c r="M862" s="3" t="s">
        <v>2418</v>
      </c>
    </row>
    <row r="863">
      <c r="A863" s="3" t="s">
        <v>3837</v>
      </c>
      <c r="B863" s="4" t="str">
        <f>C863 &amp; "." &amp; D863</f>
        <v>RequirementSatisfactions.IsBareAssertion</v>
      </c>
      <c r="C863" s="3" t="s">
        <v>1830</v>
      </c>
      <c r="D863" s="3" t="s">
        <v>1500</v>
      </c>
      <c r="E863" s="3" t="s">
        <v>2420</v>
      </c>
      <c r="F863" s="3" t="s">
        <v>2432</v>
      </c>
      <c r="G863" s="3" t="s">
        <v>3838</v>
      </c>
      <c r="H863" s="3" t="s">
        <v>2291</v>
      </c>
      <c r="I863" s="4" t="b">
        <f>OR(((E863 = "calculated")=TRUE), ((E863 = "lookup")=TRUE), ((E863 = "aggregation")=TRUE))</f>
        <v>1</v>
      </c>
      <c r="J863" s="4" t="b">
        <f>H863 &lt;&gt; ""</f>
        <v>1</v>
      </c>
      <c r="K863" s="4">
        <f>COUNTIFS(FieldDisagreements!D2:D50, A863)</f>
        <v>0</v>
      </c>
      <c r="L863" s="4" t="b">
        <f>K863 &gt; 0</f>
        <v>0</v>
      </c>
      <c r="M863" s="3" t="s">
        <v>2418</v>
      </c>
    </row>
    <row r="864">
      <c r="A864" s="3" t="s">
        <v>3839</v>
      </c>
      <c r="B864" s="4" t="str">
        <f>C864 &amp; "." &amp; D864</f>
        <v>RequirementSatisfactions.InterestedAssertionExecutionKey</v>
      </c>
      <c r="C864" s="3" t="s">
        <v>1830</v>
      </c>
      <c r="D864" s="3" t="s">
        <v>1501</v>
      </c>
      <c r="E864" s="3" t="s">
        <v>2420</v>
      </c>
      <c r="F864" s="3" t="s">
        <v>2417</v>
      </c>
      <c r="G864" s="3" t="s">
        <v>3840</v>
      </c>
      <c r="H864" s="3" t="s">
        <v>2291</v>
      </c>
      <c r="I864" s="4" t="b">
        <f>OR(((E864 = "calculated")=TRUE), ((E864 = "lookup")=TRUE), ((E864 = "aggregation")=TRUE))</f>
        <v>1</v>
      </c>
      <c r="J864" s="4" t="b">
        <f>H864 &lt;&gt; ""</f>
        <v>1</v>
      </c>
      <c r="K864" s="4">
        <f>COUNTIFS(FieldDisagreements!D2:D50, A864)</f>
        <v>0</v>
      </c>
      <c r="L864" s="4" t="b">
        <f>K864 &gt; 0</f>
        <v>0</v>
      </c>
      <c r="M864" s="3" t="s">
        <v>2418</v>
      </c>
    </row>
    <row r="865">
      <c r="A865" s="3" t="s">
        <v>3841</v>
      </c>
      <c r="B865" s="4" t="str">
        <f>C865 &amp; "." &amp; D865</f>
        <v>RequirementSatisfactions.IsComputedlyWitnessed</v>
      </c>
      <c r="C865" s="3" t="s">
        <v>1830</v>
      </c>
      <c r="D865" s="3" t="s">
        <v>1502</v>
      </c>
      <c r="E865" s="3" t="s">
        <v>2420</v>
      </c>
      <c r="F865" s="3" t="s">
        <v>2432</v>
      </c>
      <c r="G865" s="3" t="s">
        <v>3842</v>
      </c>
      <c r="H865" s="3" t="s">
        <v>2299</v>
      </c>
      <c r="I865" s="4" t="b">
        <f>OR(((E865 = "calculated")=TRUE), ((E865 = "lookup")=TRUE), ((E865 = "aggregation")=TRUE))</f>
        <v>1</v>
      </c>
      <c r="J865" s="4" t="b">
        <f>H865 &lt;&gt; ""</f>
        <v>1</v>
      </c>
      <c r="K865" s="4">
        <f>COUNTIFS(FieldDisagreements!D2:D50, A865)</f>
        <v>0</v>
      </c>
      <c r="L865" s="4" t="b">
        <f>K865 &gt; 0</f>
        <v>0</v>
      </c>
      <c r="M865" s="3" t="s">
        <v>2418</v>
      </c>
    </row>
    <row r="866">
      <c r="A866" s="3" t="s">
        <v>3843</v>
      </c>
      <c r="B866" s="4" t="str">
        <f>C866 &amp; "." &amp; D866</f>
        <v>RequirementSatisfactions.ComputedWitnessExecutionKey</v>
      </c>
      <c r="C866" s="3" t="s">
        <v>1830</v>
      </c>
      <c r="D866" s="3" t="s">
        <v>1503</v>
      </c>
      <c r="E866" s="3" t="s">
        <v>2420</v>
      </c>
      <c r="F866" s="3" t="s">
        <v>2417</v>
      </c>
      <c r="G866" s="3" t="s">
        <v>3844</v>
      </c>
      <c r="H866" s="3" t="s">
        <v>2299</v>
      </c>
      <c r="I866" s="4" t="b">
        <f>OR(((E866 = "calculated")=TRUE), ((E866 = "lookup")=TRUE), ((E866 = "aggregation")=TRUE))</f>
        <v>1</v>
      </c>
      <c r="J866" s="4" t="b">
        <f>H866 &lt;&gt; ""</f>
        <v>1</v>
      </c>
      <c r="K866" s="4">
        <f>COUNTIFS(FieldDisagreements!D2:D50, A866)</f>
        <v>0</v>
      </c>
      <c r="L866" s="4" t="b">
        <f>K866 &gt; 0</f>
        <v>0</v>
      </c>
      <c r="M866" s="3" t="s">
        <v>2418</v>
      </c>
    </row>
    <row r="867">
      <c r="A867" s="3" t="s">
        <v>3845</v>
      </c>
      <c r="B867" s="4" t="str">
        <f>C867 &amp; "." &amp; D867</f>
        <v>RequirementSatisfactions.StepExecutorAgent</v>
      </c>
      <c r="C867" s="3" t="s">
        <v>1830</v>
      </c>
      <c r="D867" s="3" t="s">
        <v>1504</v>
      </c>
      <c r="E867" s="3" t="s">
        <v>2509</v>
      </c>
      <c r="F867" s="3" t="s">
        <v>2417</v>
      </c>
      <c r="G867" s="3" t="s">
        <v>3826</v>
      </c>
      <c r="H867" s="3" t="s">
        <v>2299</v>
      </c>
      <c r="I867" s="4" t="b">
        <f>OR(((E867 = "calculated")=TRUE), ((E867 = "lookup")=TRUE), ((E867 = "aggregation")=TRUE))</f>
        <v>1</v>
      </c>
      <c r="J867" s="4" t="b">
        <f>H867 &lt;&gt; ""</f>
        <v>1</v>
      </c>
      <c r="K867" s="4">
        <f>COUNTIFS(FieldDisagreements!D2:D50, A867)</f>
        <v>0</v>
      </c>
      <c r="L867" s="4" t="b">
        <f>K867 &gt; 0</f>
        <v>0</v>
      </c>
      <c r="M867" s="3" t="s">
        <v>2418</v>
      </c>
    </row>
    <row r="868">
      <c r="A868" s="3" t="s">
        <v>3846</v>
      </c>
      <c r="B868" s="4" t="str">
        <f>C868 &amp; "." &amp; D868</f>
        <v>RequirementSatisfactions.WasScoredAfterAttestation</v>
      </c>
      <c r="C868" s="3" t="s">
        <v>1830</v>
      </c>
      <c r="D868" s="3" t="s">
        <v>1505</v>
      </c>
      <c r="E868" s="3" t="s">
        <v>2420</v>
      </c>
      <c r="F868" s="3" t="s">
        <v>2432</v>
      </c>
      <c r="G868" s="3" t="s">
        <v>3847</v>
      </c>
      <c r="H868" s="3" t="s">
        <v>2315</v>
      </c>
      <c r="I868" s="4" t="b">
        <f>OR(((E868 = "calculated")=TRUE), ((E868 = "lookup")=TRUE), ((E868 = "aggregation")=TRUE))</f>
        <v>1</v>
      </c>
      <c r="J868" s="4" t="b">
        <f>H868 &lt;&gt; ""</f>
        <v>1</v>
      </c>
      <c r="K868" s="4">
        <f>COUNTIFS(FieldDisagreements!D2:D50, A868)</f>
        <v>1</v>
      </c>
      <c r="L868" s="4" t="b">
        <f>K868 &gt; 0</f>
        <v>1</v>
      </c>
      <c r="M868" s="3" t="s">
        <v>2418</v>
      </c>
    </row>
    <row r="869">
      <c r="A869" s="3" t="s">
        <v>3848</v>
      </c>
      <c r="B869" s="4" t="str">
        <f>C869 &amp; "." &amp; D869</f>
        <v>RequirementSatisfactions.AttestationInstantForRun</v>
      </c>
      <c r="C869" s="3" t="s">
        <v>1830</v>
      </c>
      <c r="D869" s="3" t="s">
        <v>1506</v>
      </c>
      <c r="E869" s="3" t="s">
        <v>2509</v>
      </c>
      <c r="F869" s="3" t="s">
        <v>2428</v>
      </c>
      <c r="G869" s="3" t="s">
        <v>3849</v>
      </c>
      <c r="H869" s="3" t="s">
        <v>2315</v>
      </c>
      <c r="I869" s="4" t="b">
        <f>OR(((E869 = "calculated")=TRUE), ((E869 = "lookup")=TRUE), ((E869 = "aggregation")=TRUE))</f>
        <v>1</v>
      </c>
      <c r="J869" s="4" t="b">
        <f>H869 &lt;&gt; ""</f>
        <v>1</v>
      </c>
      <c r="K869" s="4">
        <f>COUNTIFS(FieldDisagreements!D2:D50, A869)</f>
        <v>1</v>
      </c>
      <c r="L869" s="4" t="b">
        <f>K869 &gt; 0</f>
        <v>1</v>
      </c>
      <c r="M869" s="3" t="s">
        <v>2418</v>
      </c>
    </row>
    <row r="870">
      <c r="A870" s="3" t="s">
        <v>3850</v>
      </c>
      <c r="B870" s="4" t="str">
        <f>C870 &amp; "." &amp; D870</f>
        <v>RequirementSatisfactions.PostAttestationScoreExecutionKey</v>
      </c>
      <c r="C870" s="3" t="s">
        <v>1830</v>
      </c>
      <c r="D870" s="3" t="s">
        <v>1507</v>
      </c>
      <c r="E870" s="3" t="s">
        <v>2420</v>
      </c>
      <c r="F870" s="3" t="s">
        <v>2417</v>
      </c>
      <c r="G870" s="3" t="s">
        <v>3851</v>
      </c>
      <c r="H870" s="3" t="s">
        <v>2315</v>
      </c>
      <c r="I870" s="4" t="b">
        <f>OR(((E870 = "calculated")=TRUE), ((E870 = "lookup")=TRUE), ((E870 = "aggregation")=TRUE))</f>
        <v>1</v>
      </c>
      <c r="J870" s="4" t="b">
        <f>H870 &lt;&gt; ""</f>
        <v>1</v>
      </c>
      <c r="K870" s="4">
        <f>COUNTIFS(FieldDisagreements!D2:D50, A870)</f>
        <v>1</v>
      </c>
      <c r="L870" s="4" t="b">
        <f>K870 &gt; 0</f>
        <v>1</v>
      </c>
      <c r="M870" s="3" t="s">
        <v>2418</v>
      </c>
    </row>
    <row r="871">
      <c r="A871" s="3" t="s">
        <v>3852</v>
      </c>
      <c r="B871" s="4" t="str">
        <f>C871 &amp; "." &amp; D871</f>
        <v>RequirementSatisfactions.SemanticTypeIri</v>
      </c>
      <c r="C871" s="3" t="s">
        <v>1830</v>
      </c>
      <c r="D871" s="3" t="s">
        <v>94</v>
      </c>
      <c r="E871" s="3" t="s">
        <v>2416</v>
      </c>
      <c r="F871" s="3" t="s">
        <v>2417</v>
      </c>
      <c r="G871" s="3"/>
      <c r="H871" s="3"/>
      <c r="I871" s="4" t="b">
        <f>OR(((E871 = "calculated")=TRUE), ((E871 = "lookup")=TRUE), ((E871 = "aggregation")=TRUE))</f>
        <v>0</v>
      </c>
      <c r="J871" s="4" t="b">
        <f>H871 &lt;&gt; ""</f>
        <v>0</v>
      </c>
      <c r="K871" s="4">
        <f>COUNTIFS(FieldDisagreements!D2:D50, A871)</f>
        <v>0</v>
      </c>
      <c r="L871" s="4" t="b">
        <f>K871 &gt; 0</f>
        <v>0</v>
      </c>
      <c r="M871" s="3" t="s">
        <v>2418</v>
      </c>
    </row>
    <row r="872">
      <c r="A872" s="3" t="s">
        <v>3853</v>
      </c>
      <c r="B872" s="4" t="str">
        <f>C872 &amp; "." &amp; D872</f>
        <v>Errors.ErrorId</v>
      </c>
      <c r="C872" s="3" t="s">
        <v>1833</v>
      </c>
      <c r="D872" s="3" t="s">
        <v>1527</v>
      </c>
      <c r="E872" s="3" t="s">
        <v>2416</v>
      </c>
      <c r="F872" s="3" t="s">
        <v>2417</v>
      </c>
      <c r="G872" s="3"/>
      <c r="H872" s="3"/>
      <c r="I872" s="4" t="b">
        <f>OR(((E872 = "calculated")=TRUE), ((E872 = "lookup")=TRUE), ((E872 = "aggregation")=TRUE))</f>
        <v>0</v>
      </c>
      <c r="J872" s="4" t="b">
        <f>H872 &lt;&gt; ""</f>
        <v>0</v>
      </c>
      <c r="K872" s="4">
        <f>COUNTIFS(FieldDisagreements!D2:D50, A872)</f>
        <v>0</v>
      </c>
      <c r="L872" s="4" t="b">
        <f>K872 &gt; 0</f>
        <v>0</v>
      </c>
      <c r="M872" s="3" t="s">
        <v>2418</v>
      </c>
    </row>
    <row r="873">
      <c r="A873" s="3" t="s">
        <v>3854</v>
      </c>
      <c r="B873" s="4" t="str">
        <f>C873 &amp; "." &amp; D873</f>
        <v>Errors.Name</v>
      </c>
      <c r="C873" s="3" t="s">
        <v>1833</v>
      </c>
      <c r="D873" s="3" t="s">
        <v>1</v>
      </c>
      <c r="E873" s="3" t="s">
        <v>2420</v>
      </c>
      <c r="F873" s="3" t="s">
        <v>2417</v>
      </c>
      <c r="G873" s="3" t="s">
        <v>3855</v>
      </c>
      <c r="H873" s="3"/>
      <c r="I873" s="4" t="b">
        <f>OR(((E873 = "calculated")=TRUE), ((E873 = "lookup")=TRUE), ((E873 = "aggregation")=TRUE))</f>
        <v>1</v>
      </c>
      <c r="J873" s="4" t="b">
        <f>H873 &lt;&gt; ""</f>
        <v>0</v>
      </c>
      <c r="K873" s="4">
        <f>COUNTIFS(FieldDisagreements!D2:D50, A873)</f>
        <v>0</v>
      </c>
      <c r="L873" s="4" t="b">
        <f>K873 &gt; 0</f>
        <v>0</v>
      </c>
      <c r="M873" s="3" t="s">
        <v>2418</v>
      </c>
    </row>
    <row r="874">
      <c r="A874" s="3" t="s">
        <v>3856</v>
      </c>
      <c r="B874" s="4" t="str">
        <f>C874 &amp; "." &amp; D874</f>
        <v>Errors.Label</v>
      </c>
      <c r="C874" s="3" t="s">
        <v>1833</v>
      </c>
      <c r="D874" s="3" t="s">
        <v>19</v>
      </c>
      <c r="E874" s="3" t="s">
        <v>2416</v>
      </c>
      <c r="F874" s="3" t="s">
        <v>2417</v>
      </c>
      <c r="G874" s="3"/>
      <c r="H874" s="3"/>
      <c r="I874" s="4" t="b">
        <f>OR(((E874 = "calculated")=TRUE), ((E874 = "lookup")=TRUE), ((E874 = "aggregation")=TRUE))</f>
        <v>0</v>
      </c>
      <c r="J874" s="4" t="b">
        <f>H874 &lt;&gt; ""</f>
        <v>0</v>
      </c>
      <c r="K874" s="4">
        <f>COUNTIFS(FieldDisagreements!D2:D50, A874)</f>
        <v>0</v>
      </c>
      <c r="L874" s="4" t="b">
        <f>K874 &gt; 0</f>
        <v>0</v>
      </c>
      <c r="M874" s="3" t="s">
        <v>2418</v>
      </c>
    </row>
    <row r="875">
      <c r="A875" s="3" t="s">
        <v>3857</v>
      </c>
      <c r="B875" s="4" t="str">
        <f>C875 &amp; "." &amp; D875</f>
        <v>Errors.ErrorCode</v>
      </c>
      <c r="C875" s="3" t="s">
        <v>1833</v>
      </c>
      <c r="D875" s="3" t="s">
        <v>1528</v>
      </c>
      <c r="E875" s="3" t="s">
        <v>2416</v>
      </c>
      <c r="F875" s="3" t="s">
        <v>2417</v>
      </c>
      <c r="G875" s="3"/>
      <c r="H875" s="3"/>
      <c r="I875" s="4" t="b">
        <f>OR(((E875 = "calculated")=TRUE), ((E875 = "lookup")=TRUE), ((E875 = "aggregation")=TRUE))</f>
        <v>0</v>
      </c>
      <c r="J875" s="4" t="b">
        <f>H875 &lt;&gt; ""</f>
        <v>0</v>
      </c>
      <c r="K875" s="4">
        <f>COUNTIFS(FieldDisagreements!D2:D50, A875)</f>
        <v>0</v>
      </c>
      <c r="L875" s="4" t="b">
        <f>K875 &gt; 0</f>
        <v>0</v>
      </c>
      <c r="M875" s="3" t="s">
        <v>2418</v>
      </c>
    </row>
    <row r="876">
      <c r="A876" s="3" t="s">
        <v>3858</v>
      </c>
      <c r="B876" s="4" t="str">
        <f>C876 &amp; "." &amp; D876</f>
        <v>Errors.ErrorCause</v>
      </c>
      <c r="C876" s="3" t="s">
        <v>1833</v>
      </c>
      <c r="D876" s="3" t="s">
        <v>1529</v>
      </c>
      <c r="E876" s="3" t="s">
        <v>2416</v>
      </c>
      <c r="F876" s="3" t="s">
        <v>2417</v>
      </c>
      <c r="G876" s="3"/>
      <c r="H876" s="3"/>
      <c r="I876" s="4" t="b">
        <f>OR(((E876 = "calculated")=TRUE), ((E876 = "lookup")=TRUE), ((E876 = "aggregation")=TRUE))</f>
        <v>0</v>
      </c>
      <c r="J876" s="4" t="b">
        <f>H876 &lt;&gt; ""</f>
        <v>0</v>
      </c>
      <c r="K876" s="4">
        <f>COUNTIFS(FieldDisagreements!D2:D50, A876)</f>
        <v>0</v>
      </c>
      <c r="L876" s="4" t="b">
        <f>K876 &gt; 0</f>
        <v>0</v>
      </c>
      <c r="M876" s="3" t="s">
        <v>2418</v>
      </c>
    </row>
    <row r="877">
      <c r="A877" s="3" t="s">
        <v>3859</v>
      </c>
      <c r="B877" s="4" t="str">
        <f>C877 &amp; "." &amp; D877</f>
        <v>Errors.SemanticTypeIri</v>
      </c>
      <c r="C877" s="3" t="s">
        <v>1833</v>
      </c>
      <c r="D877" s="3" t="s">
        <v>94</v>
      </c>
      <c r="E877" s="3" t="s">
        <v>2416</v>
      </c>
      <c r="F877" s="3" t="s">
        <v>2417</v>
      </c>
      <c r="G877" s="3"/>
      <c r="H877" s="3"/>
      <c r="I877" s="4" t="b">
        <f>OR(((E877 = "calculated")=TRUE), ((E877 = "lookup")=TRUE), ((E877 = "aggregation")=TRUE))</f>
        <v>0</v>
      </c>
      <c r="J877" s="4" t="b">
        <f>H877 &lt;&gt; ""</f>
        <v>0</v>
      </c>
      <c r="K877" s="4">
        <f>COUNTIFS(FieldDisagreements!D2:D50, A877)</f>
        <v>0</v>
      </c>
      <c r="L877" s="4" t="b">
        <f>K877 &gt; 0</f>
        <v>0</v>
      </c>
      <c r="M877" s="3" t="s">
        <v>2418</v>
      </c>
    </row>
    <row r="878">
      <c r="A878" s="3" t="s">
        <v>3860</v>
      </c>
      <c r="B878" s="4" t="str">
        <f>C878 &amp; "." &amp; D878</f>
        <v>IssueOccurrences.IssueOccurrenceId</v>
      </c>
      <c r="C878" s="3" t="s">
        <v>1836</v>
      </c>
      <c r="D878" s="3" t="s">
        <v>1539</v>
      </c>
      <c r="E878" s="3" t="s">
        <v>2416</v>
      </c>
      <c r="F878" s="3" t="s">
        <v>2417</v>
      </c>
      <c r="G878" s="3"/>
      <c r="H878" s="3"/>
      <c r="I878" s="4" t="b">
        <f>OR(((E878 = "calculated")=TRUE), ((E878 = "lookup")=TRUE), ((E878 = "aggregation")=TRUE))</f>
        <v>0</v>
      </c>
      <c r="J878" s="4" t="b">
        <f>H878 &lt;&gt; ""</f>
        <v>0</v>
      </c>
      <c r="K878" s="4">
        <f>COUNTIFS(FieldDisagreements!D2:D50, A878)</f>
        <v>0</v>
      </c>
      <c r="L878" s="4" t="b">
        <f>K878 &gt; 0</f>
        <v>0</v>
      </c>
      <c r="M878" s="3" t="s">
        <v>2418</v>
      </c>
    </row>
    <row r="879">
      <c r="A879" s="3" t="s">
        <v>3861</v>
      </c>
      <c r="B879" s="4" t="str">
        <f>C879 &amp; "." &amp; D879</f>
        <v>IssueOccurrences.Name</v>
      </c>
      <c r="C879" s="3" t="s">
        <v>1836</v>
      </c>
      <c r="D879" s="3" t="s">
        <v>1</v>
      </c>
      <c r="E879" s="3" t="s">
        <v>2420</v>
      </c>
      <c r="F879" s="3" t="s">
        <v>2417</v>
      </c>
      <c r="G879" s="3" t="s">
        <v>3862</v>
      </c>
      <c r="H879" s="3"/>
      <c r="I879" s="4" t="b">
        <f>OR(((E879 = "calculated")=TRUE), ((E879 = "lookup")=TRUE), ((E879 = "aggregation")=TRUE))</f>
        <v>1</v>
      </c>
      <c r="J879" s="4" t="b">
        <f>H879 &lt;&gt; ""</f>
        <v>0</v>
      </c>
      <c r="K879" s="4">
        <f>COUNTIFS(FieldDisagreements!D2:D50, A879)</f>
        <v>0</v>
      </c>
      <c r="L879" s="4" t="b">
        <f>K879 &gt; 0</f>
        <v>0</v>
      </c>
      <c r="M879" s="3" t="s">
        <v>2418</v>
      </c>
    </row>
    <row r="880">
      <c r="A880" s="3" t="s">
        <v>3863</v>
      </c>
      <c r="B880" s="4" t="str">
        <f>C880 &amp; "." &amp; D880</f>
        <v>IssueOccurrences.StepExecution</v>
      </c>
      <c r="C880" s="3" t="s">
        <v>1836</v>
      </c>
      <c r="D880" s="3" t="s">
        <v>1467</v>
      </c>
      <c r="E880" s="3" t="s">
        <v>2465</v>
      </c>
      <c r="F880" s="3" t="s">
        <v>2417</v>
      </c>
      <c r="G880" s="3"/>
      <c r="H880" s="3"/>
      <c r="I880" s="4" t="b">
        <f>OR(((E880 = "calculated")=TRUE), ((E880 = "lookup")=TRUE), ((E880 = "aggregation")=TRUE))</f>
        <v>0</v>
      </c>
      <c r="J880" s="4" t="b">
        <f>H880 &lt;&gt; ""</f>
        <v>0</v>
      </c>
      <c r="K880" s="4">
        <f>COUNTIFS(FieldDisagreements!D2:D50, A880)</f>
        <v>0</v>
      </c>
      <c r="L880" s="4" t="b">
        <f>K880 &gt; 0</f>
        <v>0</v>
      </c>
      <c r="M880" s="3" t="s">
        <v>2418</v>
      </c>
    </row>
    <row r="881">
      <c r="A881" s="3" t="s">
        <v>3864</v>
      </c>
      <c r="B881" s="4" t="str">
        <f>C881 &amp; "." &amp; D881</f>
        <v>IssueOccurrences.Error</v>
      </c>
      <c r="C881" s="3" t="s">
        <v>1836</v>
      </c>
      <c r="D881" s="3" t="s">
        <v>1540</v>
      </c>
      <c r="E881" s="3" t="s">
        <v>2465</v>
      </c>
      <c r="F881" s="3" t="s">
        <v>2417</v>
      </c>
      <c r="G881" s="3"/>
      <c r="H881" s="3"/>
      <c r="I881" s="4" t="b">
        <f>OR(((E881 = "calculated")=TRUE), ((E881 = "lookup")=TRUE), ((E881 = "aggregation")=TRUE))</f>
        <v>0</v>
      </c>
      <c r="J881" s="4" t="b">
        <f>H881 &lt;&gt; ""</f>
        <v>0</v>
      </c>
      <c r="K881" s="4">
        <f>COUNTIFS(FieldDisagreements!D2:D50, A881)</f>
        <v>0</v>
      </c>
      <c r="L881" s="4" t="b">
        <f>K881 &gt; 0</f>
        <v>0</v>
      </c>
      <c r="M881" s="3" t="s">
        <v>2418</v>
      </c>
    </row>
    <row r="882">
      <c r="A882" s="3" t="s">
        <v>3865</v>
      </c>
      <c r="B882" s="4" t="str">
        <f>C882 &amp; "." &amp; D882</f>
        <v>IssueOccurrences.EncounteredByAgent</v>
      </c>
      <c r="C882" s="3" t="s">
        <v>1836</v>
      </c>
      <c r="D882" s="3" t="s">
        <v>1541</v>
      </c>
      <c r="E882" s="3" t="s">
        <v>2465</v>
      </c>
      <c r="F882" s="3" t="s">
        <v>2417</v>
      </c>
      <c r="G882" s="3"/>
      <c r="H882" s="3"/>
      <c r="I882" s="4" t="b">
        <f>OR(((E882 = "calculated")=TRUE), ((E882 = "lookup")=TRUE), ((E882 = "aggregation")=TRUE))</f>
        <v>0</v>
      </c>
      <c r="J882" s="4" t="b">
        <f>H882 &lt;&gt; ""</f>
        <v>0</v>
      </c>
      <c r="K882" s="4">
        <f>COUNTIFS(FieldDisagreements!D2:D50, A882)</f>
        <v>0</v>
      </c>
      <c r="L882" s="4" t="b">
        <f>K882 &gt; 0</f>
        <v>0</v>
      </c>
      <c r="M882" s="3" t="s">
        <v>2418</v>
      </c>
    </row>
    <row r="883">
      <c r="A883" s="3" t="s">
        <v>3866</v>
      </c>
      <c r="B883" s="4" t="str">
        <f>C883 &amp; "." &amp; D883</f>
        <v>IssueOccurrences.OccurredAt</v>
      </c>
      <c r="C883" s="3" t="s">
        <v>1836</v>
      </c>
      <c r="D883" s="3" t="s">
        <v>1542</v>
      </c>
      <c r="E883" s="3" t="s">
        <v>2416</v>
      </c>
      <c r="F883" s="3" t="s">
        <v>2428</v>
      </c>
      <c r="G883" s="3"/>
      <c r="H883" s="3"/>
      <c r="I883" s="4" t="b">
        <f>OR(((E883 = "calculated")=TRUE), ((E883 = "lookup")=TRUE), ((E883 = "aggregation")=TRUE))</f>
        <v>0</v>
      </c>
      <c r="J883" s="4" t="b">
        <f>H883 &lt;&gt; ""</f>
        <v>0</v>
      </c>
      <c r="K883" s="4">
        <f>COUNTIFS(FieldDisagreements!D2:D50, A883)</f>
        <v>0</v>
      </c>
      <c r="L883" s="4" t="b">
        <f>K883 &gt; 0</f>
        <v>0</v>
      </c>
      <c r="M883" s="3" t="s">
        <v>2418</v>
      </c>
    </row>
    <row r="884">
      <c r="A884" s="3" t="s">
        <v>3867</v>
      </c>
      <c r="B884" s="4" t="str">
        <f>C884 &amp; "." &amp; D884</f>
        <v>IssueOccurrences.IssueCause</v>
      </c>
      <c r="C884" s="3" t="s">
        <v>1836</v>
      </c>
      <c r="D884" s="3" t="s">
        <v>1543</v>
      </c>
      <c r="E884" s="3" t="s">
        <v>2416</v>
      </c>
      <c r="F884" s="3" t="s">
        <v>2417</v>
      </c>
      <c r="G884" s="3"/>
      <c r="H884" s="3"/>
      <c r="I884" s="4" t="b">
        <f>OR(((E884 = "calculated")=TRUE), ((E884 = "lookup")=TRUE), ((E884 = "aggregation")=TRUE))</f>
        <v>0</v>
      </c>
      <c r="J884" s="4" t="b">
        <f>H884 &lt;&gt; ""</f>
        <v>0</v>
      </c>
      <c r="K884" s="4">
        <f>COUNTIFS(FieldDisagreements!D2:D50, A884)</f>
        <v>0</v>
      </c>
      <c r="L884" s="4" t="b">
        <f>K884 &gt; 0</f>
        <v>0</v>
      </c>
      <c r="M884" s="3" t="s">
        <v>2418</v>
      </c>
    </row>
    <row r="885">
      <c r="A885" s="3" t="s">
        <v>3868</v>
      </c>
      <c r="B885" s="4" t="str">
        <f>C885 &amp; "." &amp; D885</f>
        <v>IssueOccurrences.IssueSolution</v>
      </c>
      <c r="C885" s="3" t="s">
        <v>1836</v>
      </c>
      <c r="D885" s="3" t="s">
        <v>1544</v>
      </c>
      <c r="E885" s="3" t="s">
        <v>2416</v>
      </c>
      <c r="F885" s="3" t="s">
        <v>2417</v>
      </c>
      <c r="G885" s="3"/>
      <c r="H885" s="3"/>
      <c r="I885" s="4" t="b">
        <f>OR(((E885 = "calculated")=TRUE), ((E885 = "lookup")=TRUE), ((E885 = "aggregation")=TRUE))</f>
        <v>0</v>
      </c>
      <c r="J885" s="4" t="b">
        <f>H885 &lt;&gt; ""</f>
        <v>0</v>
      </c>
      <c r="K885" s="4">
        <f>COUNTIFS(FieldDisagreements!D2:D50, A885)</f>
        <v>0</v>
      </c>
      <c r="L885" s="4" t="b">
        <f>K885 &gt; 0</f>
        <v>0</v>
      </c>
      <c r="M885" s="3" t="s">
        <v>2418</v>
      </c>
    </row>
    <row r="886">
      <c r="A886" s="3" t="s">
        <v>3869</v>
      </c>
      <c r="B886" s="4" t="str">
        <f>C886 &amp; "." &amp; D886</f>
        <v>IssueOccurrences.Status</v>
      </c>
      <c r="C886" s="3" t="s">
        <v>1836</v>
      </c>
      <c r="D886" s="3" t="s">
        <v>8</v>
      </c>
      <c r="E886" s="3" t="s">
        <v>2416</v>
      </c>
      <c r="F886" s="3" t="s">
        <v>2417</v>
      </c>
      <c r="G886" s="3"/>
      <c r="H886" s="3"/>
      <c r="I886" s="4" t="b">
        <f>OR(((E886 = "calculated")=TRUE), ((E886 = "lookup")=TRUE), ((E886 = "aggregation")=TRUE))</f>
        <v>0</v>
      </c>
      <c r="J886" s="4" t="b">
        <f>H886 &lt;&gt; ""</f>
        <v>0</v>
      </c>
      <c r="K886" s="4">
        <f>COUNTIFS(FieldDisagreements!D2:D50, A886)</f>
        <v>0</v>
      </c>
      <c r="L886" s="4" t="b">
        <f>K886 &gt; 0</f>
        <v>0</v>
      </c>
      <c r="M886" s="3" t="s">
        <v>2418</v>
      </c>
    </row>
    <row r="887">
      <c r="A887" s="3" t="s">
        <v>3870</v>
      </c>
      <c r="B887" s="4" t="str">
        <f>C887 &amp; "." &amp; D887</f>
        <v>IssueOccurrences.IsUnresolved</v>
      </c>
      <c r="C887" s="3" t="s">
        <v>1836</v>
      </c>
      <c r="D887" s="3" t="s">
        <v>1545</v>
      </c>
      <c r="E887" s="3" t="s">
        <v>2420</v>
      </c>
      <c r="F887" s="3" t="s">
        <v>2432</v>
      </c>
      <c r="G887" s="3" t="s">
        <v>3871</v>
      </c>
      <c r="H887" s="3" t="s">
        <v>2127</v>
      </c>
      <c r="I887" s="4" t="b">
        <f>OR(((E887 = "calculated")=TRUE), ((E887 = "lookup")=TRUE), ((E887 = "aggregation")=TRUE))</f>
        <v>1</v>
      </c>
      <c r="J887" s="4" t="b">
        <f>H887 &lt;&gt; ""</f>
        <v>1</v>
      </c>
      <c r="K887" s="4">
        <f>COUNTIFS(FieldDisagreements!D2:D50, A887)</f>
        <v>0</v>
      </c>
      <c r="L887" s="4" t="b">
        <f>K887 &gt; 0</f>
        <v>0</v>
      </c>
      <c r="M887" s="3" t="s">
        <v>2418</v>
      </c>
    </row>
    <row r="888">
      <c r="A888" s="3" t="s">
        <v>3872</v>
      </c>
      <c r="B888" s="4" t="str">
        <f>C888 &amp; "." &amp; D888</f>
        <v>IssueOccurrences.StepExecutionWhenUnresolved</v>
      </c>
      <c r="C888" s="3" t="s">
        <v>1836</v>
      </c>
      <c r="D888" s="3" t="s">
        <v>1546</v>
      </c>
      <c r="E888" s="3" t="s">
        <v>2420</v>
      </c>
      <c r="F888" s="3" t="s">
        <v>2417</v>
      </c>
      <c r="G888" s="3" t="s">
        <v>3873</v>
      </c>
      <c r="H888" s="3" t="s">
        <v>2127</v>
      </c>
      <c r="I888" s="4" t="b">
        <f>OR(((E888 = "calculated")=TRUE), ((E888 = "lookup")=TRUE), ((E888 = "aggregation")=TRUE))</f>
        <v>1</v>
      </c>
      <c r="J888" s="4" t="b">
        <f>H888 &lt;&gt; ""</f>
        <v>1</v>
      </c>
      <c r="K888" s="4">
        <f>COUNTIFS(FieldDisagreements!D2:D50, A888)</f>
        <v>0</v>
      </c>
      <c r="L888" s="4" t="b">
        <f>K888 &gt; 0</f>
        <v>0</v>
      </c>
      <c r="M888" s="3" t="s">
        <v>2418</v>
      </c>
    </row>
    <row r="889">
      <c r="A889" s="3" t="s">
        <v>3874</v>
      </c>
      <c r="B889" s="4" t="str">
        <f>C889 &amp; "." &amp; D889</f>
        <v>IssueOccurrences.SemanticTypeIri</v>
      </c>
      <c r="C889" s="3" t="s">
        <v>1836</v>
      </c>
      <c r="D889" s="3" t="s">
        <v>94</v>
      </c>
      <c r="E889" s="3" t="s">
        <v>2416</v>
      </c>
      <c r="F889" s="3" t="s">
        <v>2417</v>
      </c>
      <c r="G889" s="3"/>
      <c r="H889" s="3"/>
      <c r="I889" s="4" t="b">
        <f>OR(((E889 = "calculated")=TRUE), ((E889 = "lookup")=TRUE), ((E889 = "aggregation")=TRUE))</f>
        <v>0</v>
      </c>
      <c r="J889" s="4" t="b">
        <f>H889 &lt;&gt; ""</f>
        <v>0</v>
      </c>
      <c r="K889" s="4">
        <f>COUNTIFS(FieldDisagreements!D2:D50, A889)</f>
        <v>0</v>
      </c>
      <c r="L889" s="4" t="b">
        <f>K889 &gt; 0</f>
        <v>0</v>
      </c>
      <c r="M889" s="3" t="s">
        <v>2418</v>
      </c>
    </row>
    <row r="890">
      <c r="A890" s="3" t="s">
        <v>3875</v>
      </c>
      <c r="B890" s="4" t="str">
        <f>C890 &amp; "." &amp; D890</f>
        <v>UserQuestions.UserQuestionId</v>
      </c>
      <c r="C890" s="3" t="s">
        <v>1839</v>
      </c>
      <c r="D890" s="3" t="s">
        <v>1555</v>
      </c>
      <c r="E890" s="3" t="s">
        <v>2416</v>
      </c>
      <c r="F890" s="3" t="s">
        <v>2417</v>
      </c>
      <c r="G890" s="3"/>
      <c r="H890" s="3"/>
      <c r="I890" s="4" t="b">
        <f>OR(((E890 = "calculated")=TRUE), ((E890 = "lookup")=TRUE), ((E890 = "aggregation")=TRUE))</f>
        <v>0</v>
      </c>
      <c r="J890" s="4" t="b">
        <f>H890 &lt;&gt; ""</f>
        <v>0</v>
      </c>
      <c r="K890" s="4">
        <f>COUNTIFS(FieldDisagreements!D2:D50, A890)</f>
        <v>0</v>
      </c>
      <c r="L890" s="4" t="b">
        <f>K890 &gt; 0</f>
        <v>0</v>
      </c>
      <c r="M890" s="3" t="s">
        <v>2418</v>
      </c>
    </row>
    <row r="891">
      <c r="A891" s="3" t="s">
        <v>3876</v>
      </c>
      <c r="B891" s="4" t="str">
        <f>C891 &amp; "." &amp; D891</f>
        <v>UserQuestions.Name</v>
      </c>
      <c r="C891" s="3" t="s">
        <v>1839</v>
      </c>
      <c r="D891" s="3" t="s">
        <v>1</v>
      </c>
      <c r="E891" s="3" t="s">
        <v>2420</v>
      </c>
      <c r="F891" s="3" t="s">
        <v>2417</v>
      </c>
      <c r="G891" s="3" t="s">
        <v>3877</v>
      </c>
      <c r="H891" s="3"/>
      <c r="I891" s="4" t="b">
        <f>OR(((E891 = "calculated")=TRUE), ((E891 = "lookup")=TRUE), ((E891 = "aggregation")=TRUE))</f>
        <v>1</v>
      </c>
      <c r="J891" s="4" t="b">
        <f>H891 &lt;&gt; ""</f>
        <v>0</v>
      </c>
      <c r="K891" s="4">
        <f>COUNTIFS(FieldDisagreements!D2:D50, A891)</f>
        <v>0</v>
      </c>
      <c r="L891" s="4" t="b">
        <f>K891 &gt; 0</f>
        <v>0</v>
      </c>
      <c r="M891" s="3" t="s">
        <v>2418</v>
      </c>
    </row>
    <row r="892">
      <c r="A892" s="3" t="s">
        <v>3878</v>
      </c>
      <c r="B892" s="4" t="str">
        <f>C892 &amp; "." &amp; D892</f>
        <v>UserQuestions.StepExecution</v>
      </c>
      <c r="C892" s="3" t="s">
        <v>1839</v>
      </c>
      <c r="D892" s="3" t="s">
        <v>1467</v>
      </c>
      <c r="E892" s="3" t="s">
        <v>2465</v>
      </c>
      <c r="F892" s="3" t="s">
        <v>2417</v>
      </c>
      <c r="G892" s="3"/>
      <c r="H892" s="3"/>
      <c r="I892" s="4" t="b">
        <f>OR(((E892 = "calculated")=TRUE), ((E892 = "lookup")=TRUE), ((E892 = "aggregation")=TRUE))</f>
        <v>0</v>
      </c>
      <c r="J892" s="4" t="b">
        <f>H892 &lt;&gt; ""</f>
        <v>0</v>
      </c>
      <c r="K892" s="4">
        <f>COUNTIFS(FieldDisagreements!D2:D50, A892)</f>
        <v>0</v>
      </c>
      <c r="L892" s="4" t="b">
        <f>K892 &gt; 0</f>
        <v>0</v>
      </c>
      <c r="M892" s="3" t="s">
        <v>2418</v>
      </c>
    </row>
    <row r="893">
      <c r="A893" s="3" t="s">
        <v>3879</v>
      </c>
      <c r="B893" s="4" t="str">
        <f>C893 &amp; "." &amp; D893</f>
        <v>UserQuestions.AskedByAgent</v>
      </c>
      <c r="C893" s="3" t="s">
        <v>1839</v>
      </c>
      <c r="D893" s="3" t="s">
        <v>1556</v>
      </c>
      <c r="E893" s="3" t="s">
        <v>2465</v>
      </c>
      <c r="F893" s="3" t="s">
        <v>2417</v>
      </c>
      <c r="G893" s="3"/>
      <c r="H893" s="3"/>
      <c r="I893" s="4" t="b">
        <f>OR(((E893 = "calculated")=TRUE), ((E893 = "lookup")=TRUE), ((E893 = "aggregation")=TRUE))</f>
        <v>0</v>
      </c>
      <c r="J893" s="4" t="b">
        <f>H893 &lt;&gt; ""</f>
        <v>0</v>
      </c>
      <c r="K893" s="4">
        <f>COUNTIFS(FieldDisagreements!D2:D50, A893)</f>
        <v>0</v>
      </c>
      <c r="L893" s="4" t="b">
        <f>K893 &gt; 0</f>
        <v>0</v>
      </c>
      <c r="M893" s="3" t="s">
        <v>2418</v>
      </c>
    </row>
    <row r="894">
      <c r="A894" s="3" t="s">
        <v>3880</v>
      </c>
      <c r="B894" s="4" t="str">
        <f>C894 &amp; "." &amp; D894</f>
        <v>UserQuestions.AskedAt</v>
      </c>
      <c r="C894" s="3" t="s">
        <v>1839</v>
      </c>
      <c r="D894" s="3" t="s">
        <v>1557</v>
      </c>
      <c r="E894" s="3" t="s">
        <v>2416</v>
      </c>
      <c r="F894" s="3" t="s">
        <v>2428</v>
      </c>
      <c r="G894" s="3"/>
      <c r="H894" s="3"/>
      <c r="I894" s="4" t="b">
        <f>OR(((E894 = "calculated")=TRUE), ((E894 = "lookup")=TRUE), ((E894 = "aggregation")=TRUE))</f>
        <v>0</v>
      </c>
      <c r="J894" s="4" t="b">
        <f>H894 &lt;&gt; ""</f>
        <v>0</v>
      </c>
      <c r="K894" s="4">
        <f>COUNTIFS(FieldDisagreements!D2:D50, A894)</f>
        <v>0</v>
      </c>
      <c r="L894" s="4" t="b">
        <f>K894 &gt; 0</f>
        <v>0</v>
      </c>
      <c r="M894" s="3" t="s">
        <v>2418</v>
      </c>
    </row>
    <row r="895">
      <c r="A895" s="3" t="s">
        <v>3881</v>
      </c>
      <c r="B895" s="4" t="str">
        <f>C895 &amp; "." &amp; D895</f>
        <v>UserQuestions.QuestionText</v>
      </c>
      <c r="C895" s="3" t="s">
        <v>1839</v>
      </c>
      <c r="D895" s="3" t="s">
        <v>1558</v>
      </c>
      <c r="E895" s="3" t="s">
        <v>2416</v>
      </c>
      <c r="F895" s="3" t="s">
        <v>2417</v>
      </c>
      <c r="G895" s="3"/>
      <c r="H895" s="3"/>
      <c r="I895" s="4" t="b">
        <f>OR(((E895 = "calculated")=TRUE), ((E895 = "lookup")=TRUE), ((E895 = "aggregation")=TRUE))</f>
        <v>0</v>
      </c>
      <c r="J895" s="4" t="b">
        <f>H895 &lt;&gt; ""</f>
        <v>0</v>
      </c>
      <c r="K895" s="4">
        <f>COUNTIFS(FieldDisagreements!D2:D50, A895)</f>
        <v>0</v>
      </c>
      <c r="L895" s="4" t="b">
        <f>K895 &gt; 0</f>
        <v>0</v>
      </c>
      <c r="M895" s="3" t="s">
        <v>2418</v>
      </c>
    </row>
    <row r="896">
      <c r="A896" s="3" t="s">
        <v>3882</v>
      </c>
      <c r="B896" s="4" t="str">
        <f>C896 &amp; "." &amp; D896</f>
        <v>UserQuestions.ResolvedByFaq</v>
      </c>
      <c r="C896" s="3" t="s">
        <v>1839</v>
      </c>
      <c r="D896" s="3" t="s">
        <v>1559</v>
      </c>
      <c r="E896" s="3" t="s">
        <v>2465</v>
      </c>
      <c r="F896" s="3" t="s">
        <v>2417</v>
      </c>
      <c r="G896" s="3"/>
      <c r="H896" s="3"/>
      <c r="I896" s="4" t="b">
        <f>OR(((E896 = "calculated")=TRUE), ((E896 = "lookup")=TRUE), ((E896 = "aggregation")=TRUE))</f>
        <v>0</v>
      </c>
      <c r="J896" s="4" t="b">
        <f>H896 &lt;&gt; ""</f>
        <v>0</v>
      </c>
      <c r="K896" s="4">
        <f>COUNTIFS(FieldDisagreements!D2:D50, A896)</f>
        <v>0</v>
      </c>
      <c r="L896" s="4" t="b">
        <f>K896 &gt; 0</f>
        <v>0</v>
      </c>
      <c r="M896" s="3" t="s">
        <v>2418</v>
      </c>
    </row>
    <row r="897">
      <c r="A897" s="3" t="s">
        <v>3883</v>
      </c>
      <c r="B897" s="4" t="str">
        <f>C897 &amp; "." &amp; D897</f>
        <v>UserQuestions.AddressedByResource</v>
      </c>
      <c r="C897" s="3" t="s">
        <v>1839</v>
      </c>
      <c r="D897" s="3" t="s">
        <v>1560</v>
      </c>
      <c r="E897" s="3" t="s">
        <v>2465</v>
      </c>
      <c r="F897" s="3" t="s">
        <v>2417</v>
      </c>
      <c r="G897" s="3"/>
      <c r="H897" s="3"/>
      <c r="I897" s="4" t="b">
        <f>OR(((E897 = "calculated")=TRUE), ((E897 = "lookup")=TRUE), ((E897 = "aggregation")=TRUE))</f>
        <v>0</v>
      </c>
      <c r="J897" s="4" t="b">
        <f>H897 &lt;&gt; ""</f>
        <v>0</v>
      </c>
      <c r="K897" s="4">
        <f>COUNTIFS(FieldDisagreements!D2:D50, A897)</f>
        <v>0</v>
      </c>
      <c r="L897" s="4" t="b">
        <f>K897 &gt; 0</f>
        <v>0</v>
      </c>
      <c r="M897" s="3" t="s">
        <v>2418</v>
      </c>
    </row>
    <row r="898">
      <c r="A898" s="3" t="s">
        <v>3884</v>
      </c>
      <c r="B898" s="4" t="str">
        <f>C898 &amp; "." &amp; D898</f>
        <v>UserQuestions.Status</v>
      </c>
      <c r="C898" s="3" t="s">
        <v>1839</v>
      </c>
      <c r="D898" s="3" t="s">
        <v>8</v>
      </c>
      <c r="E898" s="3" t="s">
        <v>2416</v>
      </c>
      <c r="F898" s="3" t="s">
        <v>2417</v>
      </c>
      <c r="G898" s="3"/>
      <c r="H898" s="3"/>
      <c r="I898" s="4" t="b">
        <f>OR(((E898 = "calculated")=TRUE), ((E898 = "lookup")=TRUE), ((E898 = "aggregation")=TRUE))</f>
        <v>0</v>
      </c>
      <c r="J898" s="4" t="b">
        <f>H898 &lt;&gt; ""</f>
        <v>0</v>
      </c>
      <c r="K898" s="4">
        <f>COUNTIFS(FieldDisagreements!D2:D50, A898)</f>
        <v>0</v>
      </c>
      <c r="L898" s="4" t="b">
        <f>K898 &gt; 0</f>
        <v>0</v>
      </c>
      <c r="M898" s="3" t="s">
        <v>2418</v>
      </c>
    </row>
    <row r="899">
      <c r="A899" s="3" t="s">
        <v>3885</v>
      </c>
      <c r="B899" s="4" t="str">
        <f>C899 &amp; "." &amp; D899</f>
        <v>UserQuestions.SemanticTypeIri</v>
      </c>
      <c r="C899" s="3" t="s">
        <v>1839</v>
      </c>
      <c r="D899" s="3" t="s">
        <v>94</v>
      </c>
      <c r="E899" s="3" t="s">
        <v>2416</v>
      </c>
      <c r="F899" s="3" t="s">
        <v>2417</v>
      </c>
      <c r="G899" s="3"/>
      <c r="H899" s="3"/>
      <c r="I899" s="4" t="b">
        <f>OR(((E899 = "calculated")=TRUE), ((E899 = "lookup")=TRUE), ((E899 = "aggregation")=TRUE))</f>
        <v>0</v>
      </c>
      <c r="J899" s="4" t="b">
        <f>H899 &lt;&gt; ""</f>
        <v>0</v>
      </c>
      <c r="K899" s="4">
        <f>COUNTIFS(FieldDisagreements!D2:D50, A899)</f>
        <v>0</v>
      </c>
      <c r="L899" s="4" t="b">
        <f>K899 &gt; 0</f>
        <v>0</v>
      </c>
      <c r="M899" s="3" t="s">
        <v>2418</v>
      </c>
    </row>
    <row r="900">
      <c r="A900" s="3" t="s">
        <v>3886</v>
      </c>
      <c r="B900" s="4" t="str">
        <f>C900 &amp; "." &amp; D900</f>
        <v>UserFeedback.UserFeedbackId</v>
      </c>
      <c r="C900" s="3" t="s">
        <v>1842</v>
      </c>
      <c r="D900" s="3" t="s">
        <v>1567</v>
      </c>
      <c r="E900" s="3" t="s">
        <v>2416</v>
      </c>
      <c r="F900" s="3" t="s">
        <v>2417</v>
      </c>
      <c r="G900" s="3"/>
      <c r="H900" s="3"/>
      <c r="I900" s="4" t="b">
        <f>OR(((E900 = "calculated")=TRUE), ((E900 = "lookup")=TRUE), ((E900 = "aggregation")=TRUE))</f>
        <v>0</v>
      </c>
      <c r="J900" s="4" t="b">
        <f>H900 &lt;&gt; ""</f>
        <v>0</v>
      </c>
      <c r="K900" s="4">
        <f>COUNTIFS(FieldDisagreements!D2:D50, A900)</f>
        <v>0</v>
      </c>
      <c r="L900" s="4" t="b">
        <f>K900 &gt; 0</f>
        <v>0</v>
      </c>
      <c r="M900" s="3" t="s">
        <v>2418</v>
      </c>
    </row>
    <row r="901">
      <c r="A901" s="3" t="s">
        <v>3887</v>
      </c>
      <c r="B901" s="4" t="str">
        <f>C901 &amp; "." &amp; D901</f>
        <v>UserFeedback.Name</v>
      </c>
      <c r="C901" s="3" t="s">
        <v>1842</v>
      </c>
      <c r="D901" s="3" t="s">
        <v>1</v>
      </c>
      <c r="E901" s="3" t="s">
        <v>2420</v>
      </c>
      <c r="F901" s="3" t="s">
        <v>2417</v>
      </c>
      <c r="G901" s="3" t="s">
        <v>3888</v>
      </c>
      <c r="H901" s="3"/>
      <c r="I901" s="4" t="b">
        <f>OR(((E901 = "calculated")=TRUE), ((E901 = "lookup")=TRUE), ((E901 = "aggregation")=TRUE))</f>
        <v>1</v>
      </c>
      <c r="J901" s="4" t="b">
        <f>H901 &lt;&gt; ""</f>
        <v>0</v>
      </c>
      <c r="K901" s="4">
        <f>COUNTIFS(FieldDisagreements!D2:D50, A901)</f>
        <v>0</v>
      </c>
      <c r="L901" s="4" t="b">
        <f>K901 &gt; 0</f>
        <v>0</v>
      </c>
      <c r="M901" s="3" t="s">
        <v>2418</v>
      </c>
    </row>
    <row r="902">
      <c r="A902" s="3" t="s">
        <v>3889</v>
      </c>
      <c r="B902" s="4" t="str">
        <f>C902 &amp; "." &amp; D902</f>
        <v>UserFeedback.ProcedureExecution</v>
      </c>
      <c r="C902" s="3" t="s">
        <v>1842</v>
      </c>
      <c r="D902" s="3" t="s">
        <v>1349</v>
      </c>
      <c r="E902" s="3" t="s">
        <v>2465</v>
      </c>
      <c r="F902" s="3" t="s">
        <v>2417</v>
      </c>
      <c r="G902" s="3"/>
      <c r="H902" s="3"/>
      <c r="I902" s="4" t="b">
        <f>OR(((E902 = "calculated")=TRUE), ((E902 = "lookup")=TRUE), ((E902 = "aggregation")=TRUE))</f>
        <v>0</v>
      </c>
      <c r="J902" s="4" t="b">
        <f>H902 &lt;&gt; ""</f>
        <v>0</v>
      </c>
      <c r="K902" s="4">
        <f>COUNTIFS(FieldDisagreements!D2:D50, A902)</f>
        <v>0</v>
      </c>
      <c r="L902" s="4" t="b">
        <f>K902 &gt; 0</f>
        <v>0</v>
      </c>
      <c r="M902" s="3" t="s">
        <v>2418</v>
      </c>
    </row>
    <row r="903">
      <c r="A903" s="3" t="s">
        <v>3890</v>
      </c>
      <c r="B903" s="4" t="str">
        <f>C903 &amp; "." &amp; D903</f>
        <v>UserFeedback.ProvidedByAgent</v>
      </c>
      <c r="C903" s="3" t="s">
        <v>1842</v>
      </c>
      <c r="D903" s="3" t="s">
        <v>1568</v>
      </c>
      <c r="E903" s="3" t="s">
        <v>2465</v>
      </c>
      <c r="F903" s="3" t="s">
        <v>2417</v>
      </c>
      <c r="G903" s="3"/>
      <c r="H903" s="3"/>
      <c r="I903" s="4" t="b">
        <f>OR(((E903 = "calculated")=TRUE), ((E903 = "lookup")=TRUE), ((E903 = "aggregation")=TRUE))</f>
        <v>0</v>
      </c>
      <c r="J903" s="4" t="b">
        <f>H903 &lt;&gt; ""</f>
        <v>0</v>
      </c>
      <c r="K903" s="4">
        <f>COUNTIFS(FieldDisagreements!D2:D50, A903)</f>
        <v>0</v>
      </c>
      <c r="L903" s="4" t="b">
        <f>K903 &gt; 0</f>
        <v>0</v>
      </c>
      <c r="M903" s="3" t="s">
        <v>2418</v>
      </c>
    </row>
    <row r="904">
      <c r="A904" s="3" t="s">
        <v>3891</v>
      </c>
      <c r="B904" s="4" t="str">
        <f>C904 &amp; "." &amp; D904</f>
        <v>UserFeedback.ProvidedAt</v>
      </c>
      <c r="C904" s="3" t="s">
        <v>1842</v>
      </c>
      <c r="D904" s="3" t="s">
        <v>1569</v>
      </c>
      <c r="E904" s="3" t="s">
        <v>2416</v>
      </c>
      <c r="F904" s="3" t="s">
        <v>2428</v>
      </c>
      <c r="G904" s="3"/>
      <c r="H904" s="3"/>
      <c r="I904" s="4" t="b">
        <f>OR(((E904 = "calculated")=TRUE), ((E904 = "lookup")=TRUE), ((E904 = "aggregation")=TRUE))</f>
        <v>0</v>
      </c>
      <c r="J904" s="4" t="b">
        <f>H904 &lt;&gt; ""</f>
        <v>0</v>
      </c>
      <c r="K904" s="4">
        <f>COUNTIFS(FieldDisagreements!D2:D50, A904)</f>
        <v>0</v>
      </c>
      <c r="L904" s="4" t="b">
        <f>K904 &gt; 0</f>
        <v>0</v>
      </c>
      <c r="M904" s="3" t="s">
        <v>2418</v>
      </c>
    </row>
    <row r="905">
      <c r="A905" s="3" t="s">
        <v>3892</v>
      </c>
      <c r="B905" s="4" t="str">
        <f>C905 &amp; "." &amp; D905</f>
        <v>UserFeedback.FeedbackText</v>
      </c>
      <c r="C905" s="3" t="s">
        <v>1842</v>
      </c>
      <c r="D905" s="3" t="s">
        <v>1570</v>
      </c>
      <c r="E905" s="3" t="s">
        <v>2416</v>
      </c>
      <c r="F905" s="3" t="s">
        <v>2417</v>
      </c>
      <c r="G905" s="3"/>
      <c r="H905" s="3"/>
      <c r="I905" s="4" t="b">
        <f>OR(((E905 = "calculated")=TRUE), ((E905 = "lookup")=TRUE), ((E905 = "aggregation")=TRUE))</f>
        <v>0</v>
      </c>
      <c r="J905" s="4" t="b">
        <f>H905 &lt;&gt; ""</f>
        <v>0</v>
      </c>
      <c r="K905" s="4">
        <f>COUNTIFS(FieldDisagreements!D2:D50, A905)</f>
        <v>0</v>
      </c>
      <c r="L905" s="4" t="b">
        <f>K905 &gt; 0</f>
        <v>0</v>
      </c>
      <c r="M905" s="3" t="s">
        <v>2418</v>
      </c>
    </row>
    <row r="906">
      <c r="A906" s="3" t="s">
        <v>3893</v>
      </c>
      <c r="B906" s="4" t="str">
        <f>C906 &amp; "." &amp; D906</f>
        <v>UserFeedback.Disposition</v>
      </c>
      <c r="C906" s="3" t="s">
        <v>1842</v>
      </c>
      <c r="D906" s="3" t="s">
        <v>1571</v>
      </c>
      <c r="E906" s="3" t="s">
        <v>2416</v>
      </c>
      <c r="F906" s="3" t="s">
        <v>2417</v>
      </c>
      <c r="G906" s="3"/>
      <c r="H906" s="3"/>
      <c r="I906" s="4" t="b">
        <f>OR(((E906 = "calculated")=TRUE), ((E906 = "lookup")=TRUE), ((E906 = "aggregation")=TRUE))</f>
        <v>0</v>
      </c>
      <c r="J906" s="4" t="b">
        <f>H906 &lt;&gt; ""</f>
        <v>0</v>
      </c>
      <c r="K906" s="4">
        <f>COUNTIFS(FieldDisagreements!D2:D50, A906)</f>
        <v>0</v>
      </c>
      <c r="L906" s="4" t="b">
        <f>K906 &gt; 0</f>
        <v>0</v>
      </c>
      <c r="M906" s="3" t="s">
        <v>2418</v>
      </c>
    </row>
    <row r="907">
      <c r="A907" s="3" t="s">
        <v>3894</v>
      </c>
      <c r="B907" s="4" t="str">
        <f>C907 &amp; "." &amp; D907</f>
        <v>UserFeedback.ChangeRequestKey</v>
      </c>
      <c r="C907" s="3" t="s">
        <v>1842</v>
      </c>
      <c r="D907" s="3" t="s">
        <v>1572</v>
      </c>
      <c r="E907" s="3" t="s">
        <v>2416</v>
      </c>
      <c r="F907" s="3" t="s">
        <v>2417</v>
      </c>
      <c r="G907" s="3"/>
      <c r="H907" s="3"/>
      <c r="I907" s="4" t="b">
        <f>OR(((E907 = "calculated")=TRUE), ((E907 = "lookup")=TRUE), ((E907 = "aggregation")=TRUE))</f>
        <v>0</v>
      </c>
      <c r="J907" s="4" t="b">
        <f>H907 &lt;&gt; ""</f>
        <v>0</v>
      </c>
      <c r="K907" s="4">
        <f>COUNTIFS(FieldDisagreements!D2:D50, A907)</f>
        <v>0</v>
      </c>
      <c r="L907" s="4" t="b">
        <f>K907 &gt; 0</f>
        <v>0</v>
      </c>
      <c r="M907" s="3" t="s">
        <v>2418</v>
      </c>
    </row>
    <row r="908">
      <c r="A908" s="3" t="s">
        <v>3895</v>
      </c>
      <c r="B908" s="4" t="str">
        <f>C908 &amp; "." &amp; D908</f>
        <v>UserFeedback.SemanticTypeIri</v>
      </c>
      <c r="C908" s="3" t="s">
        <v>1842</v>
      </c>
      <c r="D908" s="3" t="s">
        <v>94</v>
      </c>
      <c r="E908" s="3" t="s">
        <v>2416</v>
      </c>
      <c r="F908" s="3" t="s">
        <v>2417</v>
      </c>
      <c r="G908" s="3"/>
      <c r="H908" s="3"/>
      <c r="I908" s="4" t="b">
        <f>OR(((E908 = "calculated")=TRUE), ((E908 = "lookup")=TRUE), ((E908 = "aggregation")=TRUE))</f>
        <v>0</v>
      </c>
      <c r="J908" s="4" t="b">
        <f>H908 &lt;&gt; ""</f>
        <v>0</v>
      </c>
      <c r="K908" s="4">
        <f>COUNTIFS(FieldDisagreements!D2:D50, A908)</f>
        <v>0</v>
      </c>
      <c r="L908" s="4" t="b">
        <f>K908 &gt; 0</f>
        <v>0</v>
      </c>
      <c r="M908" s="3" t="s">
        <v>2418</v>
      </c>
    </row>
    <row r="909">
      <c r="A909" s="3" t="s">
        <v>3896</v>
      </c>
      <c r="B909" s="4" t="str">
        <f>C909 &amp; "." &amp; D909</f>
        <v>StewardshipAssignments.StewardshipAssignmentId</v>
      </c>
      <c r="C909" s="3" t="s">
        <v>1859</v>
      </c>
      <c r="D909" s="3" t="s">
        <v>1582</v>
      </c>
      <c r="E909" s="3" t="s">
        <v>2416</v>
      </c>
      <c r="F909" s="3" t="s">
        <v>2417</v>
      </c>
      <c r="G909" s="3"/>
      <c r="H909" s="3"/>
      <c r="I909" s="4" t="b">
        <f>OR(((E909 = "calculated")=TRUE), ((E909 = "lookup")=TRUE), ((E909 = "aggregation")=TRUE))</f>
        <v>0</v>
      </c>
      <c r="J909" s="4" t="b">
        <f>H909 &lt;&gt; ""</f>
        <v>0</v>
      </c>
      <c r="K909" s="4">
        <f>COUNTIFS(FieldDisagreements!D2:D50, A909)</f>
        <v>0</v>
      </c>
      <c r="L909" s="4" t="b">
        <f>K909 &gt; 0</f>
        <v>0</v>
      </c>
      <c r="M909" s="3" t="s">
        <v>2418</v>
      </c>
    </row>
    <row r="910">
      <c r="A910" s="3" t="s">
        <v>3897</v>
      </c>
      <c r="B910" s="4" t="str">
        <f>C910 &amp; "." &amp; D910</f>
        <v>StewardshipAssignments.Name</v>
      </c>
      <c r="C910" s="3" t="s">
        <v>1859</v>
      </c>
      <c r="D910" s="3" t="s">
        <v>1</v>
      </c>
      <c r="E910" s="3" t="s">
        <v>2420</v>
      </c>
      <c r="F910" s="3" t="s">
        <v>2417</v>
      </c>
      <c r="G910" s="3" t="s">
        <v>3898</v>
      </c>
      <c r="H910" s="3"/>
      <c r="I910" s="4" t="b">
        <f>OR(((E910 = "calculated")=TRUE), ((E910 = "lookup")=TRUE), ((E910 = "aggregation")=TRUE))</f>
        <v>1</v>
      </c>
      <c r="J910" s="4" t="b">
        <f>H910 &lt;&gt; ""</f>
        <v>0</v>
      </c>
      <c r="K910" s="4">
        <f>COUNTIFS(FieldDisagreements!D2:D50, A910)</f>
        <v>0</v>
      </c>
      <c r="L910" s="4" t="b">
        <f>K910 &gt; 0</f>
        <v>0</v>
      </c>
      <c r="M910" s="3" t="s">
        <v>2418</v>
      </c>
    </row>
    <row r="911">
      <c r="A911" s="3" t="s">
        <v>3899</v>
      </c>
      <c r="B911" s="4" t="str">
        <f>C911 &amp; "." &amp; D911</f>
        <v>StewardshipAssignments.ProcedureVersion</v>
      </c>
      <c r="C911" s="3" t="s">
        <v>1859</v>
      </c>
      <c r="D911" s="3" t="s">
        <v>478</v>
      </c>
      <c r="E911" s="3" t="s">
        <v>2465</v>
      </c>
      <c r="F911" s="3" t="s">
        <v>2417</v>
      </c>
      <c r="G911" s="3"/>
      <c r="H911" s="3"/>
      <c r="I911" s="4" t="b">
        <f>OR(((E911 = "calculated")=TRUE), ((E911 = "lookup")=TRUE), ((E911 = "aggregation")=TRUE))</f>
        <v>0</v>
      </c>
      <c r="J911" s="4" t="b">
        <f>H911 &lt;&gt; ""</f>
        <v>0</v>
      </c>
      <c r="K911" s="4">
        <f>COUNTIFS(FieldDisagreements!D2:D50, A911)</f>
        <v>0</v>
      </c>
      <c r="L911" s="4" t="b">
        <f>K911 &gt; 0</f>
        <v>0</v>
      </c>
      <c r="M911" s="3" t="s">
        <v>2418</v>
      </c>
    </row>
    <row r="912">
      <c r="A912" s="3" t="s">
        <v>3900</v>
      </c>
      <c r="B912" s="4" t="str">
        <f>C912 &amp; "." &amp; D912</f>
        <v>StewardshipAssignments.StewardRole</v>
      </c>
      <c r="C912" s="3" t="s">
        <v>1859</v>
      </c>
      <c r="D912" s="3" t="s">
        <v>326</v>
      </c>
      <c r="E912" s="3" t="s">
        <v>2465</v>
      </c>
      <c r="F912" s="3" t="s">
        <v>2417</v>
      </c>
      <c r="G912" s="3"/>
      <c r="H912" s="3"/>
      <c r="I912" s="4" t="b">
        <f>OR(((E912 = "calculated")=TRUE), ((E912 = "lookup")=TRUE), ((E912 = "aggregation")=TRUE))</f>
        <v>0</v>
      </c>
      <c r="J912" s="4" t="b">
        <f>H912 &lt;&gt; ""</f>
        <v>0</v>
      </c>
      <c r="K912" s="4">
        <f>COUNTIFS(FieldDisagreements!D2:D50, A912)</f>
        <v>0</v>
      </c>
      <c r="L912" s="4" t="b">
        <f>K912 &gt; 0</f>
        <v>0</v>
      </c>
      <c r="M912" s="3" t="s">
        <v>2418</v>
      </c>
    </row>
    <row r="913">
      <c r="A913" s="3" t="s">
        <v>3901</v>
      </c>
      <c r="B913" s="4" t="str">
        <f>C913 &amp; "." &amp; D913</f>
        <v>StewardshipAssignments.AuthorityRole</v>
      </c>
      <c r="C913" s="3" t="s">
        <v>1859</v>
      </c>
      <c r="D913" s="3" t="s">
        <v>986</v>
      </c>
      <c r="E913" s="3" t="s">
        <v>2465</v>
      </c>
      <c r="F913" s="3" t="s">
        <v>2417</v>
      </c>
      <c r="G913" s="3"/>
      <c r="H913" s="3"/>
      <c r="I913" s="4" t="b">
        <f>OR(((E913 = "calculated")=TRUE), ((E913 = "lookup")=TRUE), ((E913 = "aggregation")=TRUE))</f>
        <v>0</v>
      </c>
      <c r="J913" s="4" t="b">
        <f>H913 &lt;&gt; ""</f>
        <v>0</v>
      </c>
      <c r="K913" s="4">
        <f>COUNTIFS(FieldDisagreements!D2:D50, A913)</f>
        <v>0</v>
      </c>
      <c r="L913" s="4" t="b">
        <f>K913 &gt; 0</f>
        <v>0</v>
      </c>
      <c r="M913" s="3" t="s">
        <v>2418</v>
      </c>
    </row>
    <row r="914">
      <c r="A914" s="3" t="s">
        <v>3902</v>
      </c>
      <c r="B914" s="4" t="str">
        <f>C914 &amp; "." &amp; D914</f>
        <v>StewardshipAssignments.ValidFrom</v>
      </c>
      <c r="C914" s="3" t="s">
        <v>1859</v>
      </c>
      <c r="D914" s="3" t="s">
        <v>255</v>
      </c>
      <c r="E914" s="3" t="s">
        <v>2416</v>
      </c>
      <c r="F914" s="3" t="s">
        <v>2428</v>
      </c>
      <c r="G914" s="3"/>
      <c r="H914" s="3"/>
      <c r="I914" s="4" t="b">
        <f>OR(((E914 = "calculated")=TRUE), ((E914 = "lookup")=TRUE), ((E914 = "aggregation")=TRUE))</f>
        <v>0</v>
      </c>
      <c r="J914" s="4" t="b">
        <f>H914 &lt;&gt; ""</f>
        <v>0</v>
      </c>
      <c r="K914" s="4">
        <f>COUNTIFS(FieldDisagreements!D2:D50, A914)</f>
        <v>0</v>
      </c>
      <c r="L914" s="4" t="b">
        <f>K914 &gt; 0</f>
        <v>0</v>
      </c>
      <c r="M914" s="3" t="s">
        <v>2418</v>
      </c>
    </row>
    <row r="915">
      <c r="A915" s="3" t="s">
        <v>3903</v>
      </c>
      <c r="B915" s="4" t="str">
        <f>C915 &amp; "." &amp; D915</f>
        <v>StewardshipAssignments.ValidTo</v>
      </c>
      <c r="C915" s="3" t="s">
        <v>1859</v>
      </c>
      <c r="D915" s="3" t="s">
        <v>256</v>
      </c>
      <c r="E915" s="3" t="s">
        <v>2416</v>
      </c>
      <c r="F915" s="3" t="s">
        <v>2428</v>
      </c>
      <c r="G915" s="3"/>
      <c r="H915" s="3"/>
      <c r="I915" s="4" t="b">
        <f>OR(((E915 = "calculated")=TRUE), ((E915 = "lookup")=TRUE), ((E915 = "aggregation")=TRUE))</f>
        <v>0</v>
      </c>
      <c r="J915" s="4" t="b">
        <f>H915 &lt;&gt; ""</f>
        <v>0</v>
      </c>
      <c r="K915" s="4">
        <f>COUNTIFS(FieldDisagreements!D2:D50, A915)</f>
        <v>0</v>
      </c>
      <c r="L915" s="4" t="b">
        <f>K915 &gt; 0</f>
        <v>0</v>
      </c>
      <c r="M915" s="3" t="s">
        <v>2418</v>
      </c>
    </row>
    <row r="916">
      <c r="A916" s="3" t="s">
        <v>3904</v>
      </c>
      <c r="B916" s="4" t="str">
        <f>C916 &amp; "." &amp; D916</f>
        <v>StewardshipAssignments.ReviewCadenceDays</v>
      </c>
      <c r="C916" s="3" t="s">
        <v>1859</v>
      </c>
      <c r="D916" s="3" t="s">
        <v>1140</v>
      </c>
      <c r="E916" s="3" t="s">
        <v>2416</v>
      </c>
      <c r="F916" s="3" t="s">
        <v>2470</v>
      </c>
      <c r="G916" s="3"/>
      <c r="H916" s="3"/>
      <c r="I916" s="4" t="b">
        <f>OR(((E916 = "calculated")=TRUE), ((E916 = "lookup")=TRUE), ((E916 = "aggregation")=TRUE))</f>
        <v>0</v>
      </c>
      <c r="J916" s="4" t="b">
        <f>H916 &lt;&gt; ""</f>
        <v>0</v>
      </c>
      <c r="K916" s="4">
        <f>COUNTIFS(FieldDisagreements!D2:D50, A916)</f>
        <v>0</v>
      </c>
      <c r="L916" s="4" t="b">
        <f>K916 &gt; 0</f>
        <v>0</v>
      </c>
      <c r="M916" s="3" t="s">
        <v>2418</v>
      </c>
    </row>
    <row r="917">
      <c r="A917" s="3" t="s">
        <v>3905</v>
      </c>
      <c r="B917" s="4" t="str">
        <f>C917 &amp; "." &amp; D917</f>
        <v>StewardshipAssignments.CountOfReviewEvents</v>
      </c>
      <c r="C917" s="3" t="s">
        <v>1859</v>
      </c>
      <c r="D917" s="3" t="s">
        <v>406</v>
      </c>
      <c r="E917" s="3" t="s">
        <v>2469</v>
      </c>
      <c r="F917" s="3" t="s">
        <v>2470</v>
      </c>
      <c r="G917" s="3" t="s">
        <v>3906</v>
      </c>
      <c r="H917" s="3" t="s">
        <v>2019</v>
      </c>
      <c r="I917" s="4" t="b">
        <f>OR(((E917 = "calculated")=TRUE), ((E917 = "lookup")=TRUE), ((E917 = "aggregation")=TRUE))</f>
        <v>1</v>
      </c>
      <c r="J917" s="4" t="b">
        <f>H917 &lt;&gt; ""</f>
        <v>1</v>
      </c>
      <c r="K917" s="4">
        <f>COUNTIFS(FieldDisagreements!D2:D50, A917)</f>
        <v>0</v>
      </c>
      <c r="L917" s="4" t="b">
        <f>K917 &gt; 0</f>
        <v>0</v>
      </c>
      <c r="M917" s="3" t="s">
        <v>2418</v>
      </c>
    </row>
    <row r="918">
      <c r="A918" s="3" t="s">
        <v>3907</v>
      </c>
      <c r="B918" s="4" t="str">
        <f>C918 &amp; "." &amp; D918</f>
        <v>StewardshipAssignments.HasEverBeenReviewed</v>
      </c>
      <c r="C918" s="3" t="s">
        <v>1859</v>
      </c>
      <c r="D918" s="3" t="s">
        <v>1583</v>
      </c>
      <c r="E918" s="3" t="s">
        <v>2420</v>
      </c>
      <c r="F918" s="3" t="s">
        <v>2432</v>
      </c>
      <c r="G918" s="3" t="s">
        <v>3908</v>
      </c>
      <c r="H918" s="3" t="s">
        <v>2019</v>
      </c>
      <c r="I918" s="4" t="b">
        <f>OR(((E918 = "calculated")=TRUE), ((E918 = "lookup")=TRUE), ((E918 = "aggregation")=TRUE))</f>
        <v>1</v>
      </c>
      <c r="J918" s="4" t="b">
        <f>H918 &lt;&gt; ""</f>
        <v>1</v>
      </c>
      <c r="K918" s="4">
        <f>COUNTIFS(FieldDisagreements!D2:D50, A918)</f>
        <v>0</v>
      </c>
      <c r="L918" s="4" t="b">
        <f>K918 &gt; 0</f>
        <v>0</v>
      </c>
      <c r="M918" s="3" t="s">
        <v>2418</v>
      </c>
    </row>
    <row r="919">
      <c r="A919" s="3" t="s">
        <v>3909</v>
      </c>
      <c r="B919" s="4" t="str">
        <f>C919 &amp; "." &amp; D919</f>
        <v>StewardshipAssignments.EvaluationContext</v>
      </c>
      <c r="C919" s="3" t="s">
        <v>1859</v>
      </c>
      <c r="D919" s="3" t="s">
        <v>258</v>
      </c>
      <c r="E919" s="3" t="s">
        <v>2465</v>
      </c>
      <c r="F919" s="3" t="s">
        <v>2417</v>
      </c>
      <c r="G919" s="3"/>
      <c r="H919" s="3"/>
      <c r="I919" s="4" t="b">
        <f>OR(((E919 = "calculated")=TRUE), ((E919 = "lookup")=TRUE), ((E919 = "aggregation")=TRUE))</f>
        <v>0</v>
      </c>
      <c r="J919" s="4" t="b">
        <f>H919 &lt;&gt; ""</f>
        <v>0</v>
      </c>
      <c r="K919" s="4">
        <f>COUNTIFS(FieldDisagreements!D2:D50, A919)</f>
        <v>0</v>
      </c>
      <c r="L919" s="4" t="b">
        <f>K919 &gt; 0</f>
        <v>0</v>
      </c>
      <c r="M919" s="3" t="s">
        <v>2418</v>
      </c>
    </row>
    <row r="920">
      <c r="A920" s="3" t="s">
        <v>3910</v>
      </c>
      <c r="B920" s="4" t="str">
        <f>C920 &amp; "." &amp; D920</f>
        <v>StewardshipAssignments.AsOfInstant</v>
      </c>
      <c r="C920" s="3" t="s">
        <v>1859</v>
      </c>
      <c r="D920" s="3" t="s">
        <v>92</v>
      </c>
      <c r="E920" s="3" t="s">
        <v>2509</v>
      </c>
      <c r="F920" s="3" t="s">
        <v>2428</v>
      </c>
      <c r="G920" s="3" t="s">
        <v>2555</v>
      </c>
      <c r="H920" s="3"/>
      <c r="I920" s="4" t="b">
        <f>OR(((E920 = "calculated")=TRUE), ((E920 = "lookup")=TRUE), ((E920 = "aggregation")=TRUE))</f>
        <v>1</v>
      </c>
      <c r="J920" s="4" t="b">
        <f>H920 &lt;&gt; ""</f>
        <v>0</v>
      </c>
      <c r="K920" s="4">
        <f>COUNTIFS(FieldDisagreements!D2:D50, A920)</f>
        <v>0</v>
      </c>
      <c r="L920" s="4" t="b">
        <f>K920 &gt; 0</f>
        <v>0</v>
      </c>
      <c r="M920" s="3" t="s">
        <v>2418</v>
      </c>
    </row>
    <row r="921">
      <c r="A921" s="3" t="s">
        <v>3911</v>
      </c>
      <c r="B921" s="4" t="str">
        <f>C921 &amp; "." &amp; D921</f>
        <v>StewardshipAssignments.IsCurrentAssignment</v>
      </c>
      <c r="C921" s="3" t="s">
        <v>1859</v>
      </c>
      <c r="D921" s="3" t="s">
        <v>1584</v>
      </c>
      <c r="E921" s="3" t="s">
        <v>2420</v>
      </c>
      <c r="F921" s="3" t="s">
        <v>2432</v>
      </c>
      <c r="G921" s="3" t="s">
        <v>2557</v>
      </c>
      <c r="H921" s="3" t="s">
        <v>2023</v>
      </c>
      <c r="I921" s="4" t="b">
        <f>OR(((E921 = "calculated")=TRUE), ((E921 = "lookup")=TRUE), ((E921 = "aggregation")=TRUE))</f>
        <v>1</v>
      </c>
      <c r="J921" s="4" t="b">
        <f>H921 &lt;&gt; ""</f>
        <v>1</v>
      </c>
      <c r="K921" s="4">
        <f>COUNTIFS(FieldDisagreements!D2:D50, A921)</f>
        <v>0</v>
      </c>
      <c r="L921" s="4" t="b">
        <f>K921 &gt; 0</f>
        <v>0</v>
      </c>
      <c r="M921" s="3" t="s">
        <v>2418</v>
      </c>
    </row>
    <row r="922">
      <c r="A922" s="3" t="s">
        <v>3912</v>
      </c>
      <c r="B922" s="4" t="str">
        <f>C922 &amp; "." &amp; D922</f>
        <v>StewardshipAssignments.SemanticTypeIri</v>
      </c>
      <c r="C922" s="3" t="s">
        <v>1859</v>
      </c>
      <c r="D922" s="3" t="s">
        <v>94</v>
      </c>
      <c r="E922" s="3" t="s">
        <v>2416</v>
      </c>
      <c r="F922" s="3" t="s">
        <v>2417</v>
      </c>
      <c r="G922" s="3"/>
      <c r="H922" s="3"/>
      <c r="I922" s="4" t="b">
        <f>OR(((E922 = "calculated")=TRUE), ((E922 = "lookup")=TRUE), ((E922 = "aggregation")=TRUE))</f>
        <v>0</v>
      </c>
      <c r="J922" s="4" t="b">
        <f>H922 &lt;&gt; ""</f>
        <v>0</v>
      </c>
      <c r="K922" s="4">
        <f>COUNTIFS(FieldDisagreements!D2:D50, A922)</f>
        <v>0</v>
      </c>
      <c r="L922" s="4" t="b">
        <f>K922 &gt; 0</f>
        <v>0</v>
      </c>
      <c r="M922" s="3" t="s">
        <v>2418</v>
      </c>
    </row>
    <row r="923">
      <c r="A923" s="3" t="s">
        <v>3913</v>
      </c>
      <c r="B923" s="4" t="str">
        <f>C923 &amp; "." &amp; D923</f>
        <v>ChangeRequests.ChangeRequestId</v>
      </c>
      <c r="C923" s="3" t="s">
        <v>3914</v>
      </c>
      <c r="D923" s="3" t="s">
        <v>1588</v>
      </c>
      <c r="E923" s="3" t="s">
        <v>2416</v>
      </c>
      <c r="F923" s="3" t="s">
        <v>2417</v>
      </c>
      <c r="G923" s="3"/>
      <c r="H923" s="3"/>
      <c r="I923" s="4" t="b">
        <f>OR(((E923 = "calculated")=TRUE), ((E923 = "lookup")=TRUE), ((E923 = "aggregation")=TRUE))</f>
        <v>0</v>
      </c>
      <c r="J923" s="4" t="b">
        <f>H923 &lt;&gt; ""</f>
        <v>0</v>
      </c>
      <c r="K923" s="4">
        <f>COUNTIFS(FieldDisagreements!D2:D50, A923)</f>
        <v>0</v>
      </c>
      <c r="L923" s="4" t="b">
        <f>K923 &gt; 0</f>
        <v>0</v>
      </c>
      <c r="M923" s="3" t="s">
        <v>2418</v>
      </c>
    </row>
    <row r="924">
      <c r="A924" s="3" t="s">
        <v>3915</v>
      </c>
      <c r="B924" s="4" t="str">
        <f>C924 &amp; "." &amp; D924</f>
        <v>ChangeRequests.Name</v>
      </c>
      <c r="C924" s="3" t="s">
        <v>3914</v>
      </c>
      <c r="D924" s="3" t="s">
        <v>1</v>
      </c>
      <c r="E924" s="3" t="s">
        <v>2420</v>
      </c>
      <c r="F924" s="3" t="s">
        <v>2417</v>
      </c>
      <c r="G924" s="3" t="s">
        <v>2683</v>
      </c>
      <c r="H924" s="3"/>
      <c r="I924" s="4" t="b">
        <f>OR(((E924 = "calculated")=TRUE), ((E924 = "lookup")=TRUE), ((E924 = "aggregation")=TRUE))</f>
        <v>1</v>
      </c>
      <c r="J924" s="4" t="b">
        <f>H924 &lt;&gt; ""</f>
        <v>0</v>
      </c>
      <c r="K924" s="4">
        <f>COUNTIFS(FieldDisagreements!D2:D50, A924)</f>
        <v>0</v>
      </c>
      <c r="L924" s="4" t="b">
        <f>K924 &gt; 0</f>
        <v>0</v>
      </c>
      <c r="M924" s="3" t="s">
        <v>2418</v>
      </c>
    </row>
    <row r="925">
      <c r="A925" s="3" t="s">
        <v>3916</v>
      </c>
      <c r="B925" s="4" t="str">
        <f>C925 &amp; "." &amp; D925</f>
        <v>ChangeRequests.ProcedureVersion</v>
      </c>
      <c r="C925" s="3" t="s">
        <v>3914</v>
      </c>
      <c r="D925" s="3" t="s">
        <v>478</v>
      </c>
      <c r="E925" s="3" t="s">
        <v>2465</v>
      </c>
      <c r="F925" s="3" t="s">
        <v>2417</v>
      </c>
      <c r="G925" s="3"/>
      <c r="H925" s="3"/>
      <c r="I925" s="4" t="b">
        <f>OR(((E925 = "calculated")=TRUE), ((E925 = "lookup")=TRUE), ((E925 = "aggregation")=TRUE))</f>
        <v>0</v>
      </c>
      <c r="J925" s="4" t="b">
        <f>H925 &lt;&gt; ""</f>
        <v>0</v>
      </c>
      <c r="K925" s="4">
        <f>COUNTIFS(FieldDisagreements!D2:D50, A925)</f>
        <v>0</v>
      </c>
      <c r="L925" s="4" t="b">
        <f>K925 &gt; 0</f>
        <v>0</v>
      </c>
      <c r="M925" s="3" t="s">
        <v>2418</v>
      </c>
    </row>
    <row r="926">
      <c r="A926" s="3" t="s">
        <v>3917</v>
      </c>
      <c r="B926" s="4" t="str">
        <f>C926 &amp; "." &amp; D926</f>
        <v>ChangeRequests.Title</v>
      </c>
      <c r="C926" s="3" t="s">
        <v>3914</v>
      </c>
      <c r="D926" s="3" t="s">
        <v>358</v>
      </c>
      <c r="E926" s="3" t="s">
        <v>2416</v>
      </c>
      <c r="F926" s="3" t="s">
        <v>2417</v>
      </c>
      <c r="G926" s="3"/>
      <c r="H926" s="3"/>
      <c r="I926" s="4" t="b">
        <f>OR(((E926 = "calculated")=TRUE), ((E926 = "lookup")=TRUE), ((E926 = "aggregation")=TRUE))</f>
        <v>0</v>
      </c>
      <c r="J926" s="4" t="b">
        <f>H926 &lt;&gt; ""</f>
        <v>0</v>
      </c>
      <c r="K926" s="4">
        <f>COUNTIFS(FieldDisagreements!D2:D50, A926)</f>
        <v>0</v>
      </c>
      <c r="L926" s="4" t="b">
        <f>K926 &gt; 0</f>
        <v>0</v>
      </c>
      <c r="M926" s="3" t="s">
        <v>2418</v>
      </c>
    </row>
    <row r="927">
      <c r="A927" s="3" t="s">
        <v>3918</v>
      </c>
      <c r="B927" s="4" t="str">
        <f>C927 &amp; "." &amp; D927</f>
        <v>ChangeRequests.ChangeKind</v>
      </c>
      <c r="C927" s="3" t="s">
        <v>3914</v>
      </c>
      <c r="D927" s="3" t="s">
        <v>1589</v>
      </c>
      <c r="E927" s="3" t="s">
        <v>2416</v>
      </c>
      <c r="F927" s="3" t="s">
        <v>2417</v>
      </c>
      <c r="G927" s="3"/>
      <c r="H927" s="3"/>
      <c r="I927" s="4" t="b">
        <f>OR(((E927 = "calculated")=TRUE), ((E927 = "lookup")=TRUE), ((E927 = "aggregation")=TRUE))</f>
        <v>0</v>
      </c>
      <c r="J927" s="4" t="b">
        <f>H927 &lt;&gt; ""</f>
        <v>0</v>
      </c>
      <c r="K927" s="4">
        <f>COUNTIFS(FieldDisagreements!D2:D50, A927)</f>
        <v>0</v>
      </c>
      <c r="L927" s="4" t="b">
        <f>K927 &gt; 0</f>
        <v>0</v>
      </c>
      <c r="M927" s="3" t="s">
        <v>2418</v>
      </c>
    </row>
    <row r="928">
      <c r="A928" s="3" t="s">
        <v>3919</v>
      </c>
      <c r="B928" s="4" t="str">
        <f>C928 &amp; "." &amp; D928</f>
        <v>ChangeRequests.Status</v>
      </c>
      <c r="C928" s="3" t="s">
        <v>3914</v>
      </c>
      <c r="D928" s="3" t="s">
        <v>8</v>
      </c>
      <c r="E928" s="3" t="s">
        <v>2416</v>
      </c>
      <c r="F928" s="3" t="s">
        <v>2417</v>
      </c>
      <c r="G928" s="3"/>
      <c r="H928" s="3"/>
      <c r="I928" s="4" t="b">
        <f>OR(((E928 = "calculated")=TRUE), ((E928 = "lookup")=TRUE), ((E928 = "aggregation")=TRUE))</f>
        <v>0</v>
      </c>
      <c r="J928" s="4" t="b">
        <f>H928 &lt;&gt; ""</f>
        <v>0</v>
      </c>
      <c r="K928" s="4">
        <f>COUNTIFS(FieldDisagreements!D2:D50, A928)</f>
        <v>0</v>
      </c>
      <c r="L928" s="4" t="b">
        <f>K928 &gt; 0</f>
        <v>0</v>
      </c>
      <c r="M928" s="3" t="s">
        <v>2418</v>
      </c>
    </row>
    <row r="929">
      <c r="A929" s="3" t="s">
        <v>3920</v>
      </c>
      <c r="B929" s="4" t="str">
        <f>C929 &amp; "." &amp; D929</f>
        <v>ChangeRequests.RequestedByAgent</v>
      </c>
      <c r="C929" s="3" t="s">
        <v>3914</v>
      </c>
      <c r="D929" s="3" t="s">
        <v>1590</v>
      </c>
      <c r="E929" s="3" t="s">
        <v>2465</v>
      </c>
      <c r="F929" s="3" t="s">
        <v>2417</v>
      </c>
      <c r="G929" s="3"/>
      <c r="H929" s="3"/>
      <c r="I929" s="4" t="b">
        <f>OR(((E929 = "calculated")=TRUE), ((E929 = "lookup")=TRUE), ((E929 = "aggregation")=TRUE))</f>
        <v>0</v>
      </c>
      <c r="J929" s="4" t="b">
        <f>H929 &lt;&gt; ""</f>
        <v>0</v>
      </c>
      <c r="K929" s="4">
        <f>COUNTIFS(FieldDisagreements!D2:D50, A929)</f>
        <v>0</v>
      </c>
      <c r="L929" s="4" t="b">
        <f>K929 &gt; 0</f>
        <v>0</v>
      </c>
      <c r="M929" s="3" t="s">
        <v>2418</v>
      </c>
    </row>
    <row r="930">
      <c r="A930" s="3" t="s">
        <v>3921</v>
      </c>
      <c r="B930" s="4" t="str">
        <f>C930 &amp; "." &amp; D930</f>
        <v>ChangeRequests.AuthorityRole</v>
      </c>
      <c r="C930" s="3" t="s">
        <v>3914</v>
      </c>
      <c r="D930" s="3" t="s">
        <v>986</v>
      </c>
      <c r="E930" s="3" t="s">
        <v>2465</v>
      </c>
      <c r="F930" s="3" t="s">
        <v>2417</v>
      </c>
      <c r="G930" s="3"/>
      <c r="H930" s="3"/>
      <c r="I930" s="4" t="b">
        <f>OR(((E930 = "calculated")=TRUE), ((E930 = "lookup")=TRUE), ((E930 = "aggregation")=TRUE))</f>
        <v>0</v>
      </c>
      <c r="J930" s="4" t="b">
        <f>H930 &lt;&gt; ""</f>
        <v>0</v>
      </c>
      <c r="K930" s="4">
        <f>COUNTIFS(FieldDisagreements!D2:D50, A930)</f>
        <v>0</v>
      </c>
      <c r="L930" s="4" t="b">
        <f>K930 &gt; 0</f>
        <v>0</v>
      </c>
      <c r="M930" s="3" t="s">
        <v>2418</v>
      </c>
    </row>
    <row r="931">
      <c r="A931" s="3" t="s">
        <v>3922</v>
      </c>
      <c r="B931" s="4" t="str">
        <f>C931 &amp; "." &amp; D931</f>
        <v>ChangeRequests.RequestedAt</v>
      </c>
      <c r="C931" s="3" t="s">
        <v>3914</v>
      </c>
      <c r="D931" s="3" t="s">
        <v>1591</v>
      </c>
      <c r="E931" s="3" t="s">
        <v>2416</v>
      </c>
      <c r="F931" s="3" t="s">
        <v>2428</v>
      </c>
      <c r="G931" s="3"/>
      <c r="H931" s="3"/>
      <c r="I931" s="4" t="b">
        <f>OR(((E931 = "calculated")=TRUE), ((E931 = "lookup")=TRUE), ((E931 = "aggregation")=TRUE))</f>
        <v>0</v>
      </c>
      <c r="J931" s="4" t="b">
        <f>H931 &lt;&gt; ""</f>
        <v>0</v>
      </c>
      <c r="K931" s="4">
        <f>COUNTIFS(FieldDisagreements!D2:D50, A931)</f>
        <v>0</v>
      </c>
      <c r="L931" s="4" t="b">
        <f>K931 &gt; 0</f>
        <v>0</v>
      </c>
      <c r="M931" s="3" t="s">
        <v>2418</v>
      </c>
    </row>
    <row r="932">
      <c r="A932" s="3" t="s">
        <v>3923</v>
      </c>
      <c r="B932" s="4" t="str">
        <f>C932 &amp; "." &amp; D932</f>
        <v>ChangeRequests.DecidedAt</v>
      </c>
      <c r="C932" s="3" t="s">
        <v>3914</v>
      </c>
      <c r="D932" s="3" t="s">
        <v>1592</v>
      </c>
      <c r="E932" s="3" t="s">
        <v>2416</v>
      </c>
      <c r="F932" s="3" t="s">
        <v>2428</v>
      </c>
      <c r="G932" s="3"/>
      <c r="H932" s="3"/>
      <c r="I932" s="4" t="b">
        <f>OR(((E932 = "calculated")=TRUE), ((E932 = "lookup")=TRUE), ((E932 = "aggregation")=TRUE))</f>
        <v>0</v>
      </c>
      <c r="J932" s="4" t="b">
        <f>H932 &lt;&gt; ""</f>
        <v>0</v>
      </c>
      <c r="K932" s="4">
        <f>COUNTIFS(FieldDisagreements!D2:D50, A932)</f>
        <v>0</v>
      </c>
      <c r="L932" s="4" t="b">
        <f>K932 &gt; 0</f>
        <v>0</v>
      </c>
      <c r="M932" s="3" t="s">
        <v>2418</v>
      </c>
    </row>
    <row r="933">
      <c r="A933" s="3" t="s">
        <v>3924</v>
      </c>
      <c r="B933" s="4" t="str">
        <f>C933 &amp; "." &amp; D933</f>
        <v>ChangeRequests.ImpactAssessment</v>
      </c>
      <c r="C933" s="3" t="s">
        <v>3914</v>
      </c>
      <c r="D933" s="3" t="s">
        <v>1593</v>
      </c>
      <c r="E933" s="3" t="s">
        <v>2416</v>
      </c>
      <c r="F933" s="3" t="s">
        <v>2417</v>
      </c>
      <c r="G933" s="3"/>
      <c r="H933" s="3"/>
      <c r="I933" s="4" t="b">
        <f>OR(((E933 = "calculated")=TRUE), ((E933 = "lookup")=TRUE), ((E933 = "aggregation")=TRUE))</f>
        <v>0</v>
      </c>
      <c r="J933" s="4" t="b">
        <f>H933 &lt;&gt; ""</f>
        <v>0</v>
      </c>
      <c r="K933" s="4">
        <f>COUNTIFS(FieldDisagreements!D2:D50, A933)</f>
        <v>0</v>
      </c>
      <c r="L933" s="4" t="b">
        <f>K933 &gt; 0</f>
        <v>0</v>
      </c>
      <c r="M933" s="3" t="s">
        <v>2418</v>
      </c>
    </row>
    <row r="934">
      <c r="A934" s="3" t="s">
        <v>3925</v>
      </c>
      <c r="B934" s="4" t="str">
        <f>C934 &amp; "." &amp; D934</f>
        <v>ChangeRequests.IsOpen</v>
      </c>
      <c r="C934" s="3" t="s">
        <v>3914</v>
      </c>
      <c r="D934" s="3" t="s">
        <v>1199</v>
      </c>
      <c r="E934" s="3" t="s">
        <v>2420</v>
      </c>
      <c r="F934" s="3" t="s">
        <v>2432</v>
      </c>
      <c r="G934" s="3" t="s">
        <v>3926</v>
      </c>
      <c r="H934" s="3"/>
      <c r="I934" s="4" t="b">
        <f>OR(((E934 = "calculated")=TRUE), ((E934 = "lookup")=TRUE), ((E934 = "aggregation")=TRUE))</f>
        <v>1</v>
      </c>
      <c r="J934" s="4" t="b">
        <f>H934 &lt;&gt; ""</f>
        <v>0</v>
      </c>
      <c r="K934" s="4">
        <f>COUNTIFS(FieldDisagreements!D2:D50, A934)</f>
        <v>0</v>
      </c>
      <c r="L934" s="4" t="b">
        <f>K934 &gt; 0</f>
        <v>0</v>
      </c>
      <c r="M934" s="3" t="s">
        <v>2418</v>
      </c>
    </row>
    <row r="935">
      <c r="A935" s="3" t="s">
        <v>3927</v>
      </c>
      <c r="B935" s="4" t="str">
        <f>C935 &amp; "." &amp; D935</f>
        <v>ChangeRequests.OpenChangeVersionKey</v>
      </c>
      <c r="C935" s="3" t="s">
        <v>3914</v>
      </c>
      <c r="D935" s="3" t="s">
        <v>1594</v>
      </c>
      <c r="E935" s="3" t="s">
        <v>2420</v>
      </c>
      <c r="F935" s="3" t="s">
        <v>2417</v>
      </c>
      <c r="G935" s="3" t="s">
        <v>3928</v>
      </c>
      <c r="H935" s="3" t="s">
        <v>2003</v>
      </c>
      <c r="I935" s="4" t="b">
        <f>OR(((E935 = "calculated")=TRUE), ((E935 = "lookup")=TRUE), ((E935 = "aggregation")=TRUE))</f>
        <v>1</v>
      </c>
      <c r="J935" s="4" t="b">
        <f>H935 &lt;&gt; ""</f>
        <v>1</v>
      </c>
      <c r="K935" s="4">
        <f>COUNTIFS(FieldDisagreements!D2:D50, A935)</f>
        <v>0</v>
      </c>
      <c r="L935" s="4" t="b">
        <f>K935 &gt; 0</f>
        <v>0</v>
      </c>
      <c r="M935" s="3" t="s">
        <v>2418</v>
      </c>
    </row>
    <row r="936">
      <c r="A936" s="3" t="s">
        <v>3929</v>
      </c>
      <c r="B936" s="4" t="str">
        <f>C936 &amp; "." &amp; D936</f>
        <v>ChangeRequests.IsDecided</v>
      </c>
      <c r="C936" s="3" t="s">
        <v>3914</v>
      </c>
      <c r="D936" s="3" t="s">
        <v>1595</v>
      </c>
      <c r="E936" s="3" t="s">
        <v>2420</v>
      </c>
      <c r="F936" s="3" t="s">
        <v>2432</v>
      </c>
      <c r="G936" s="3" t="s">
        <v>3930</v>
      </c>
      <c r="H936" s="3" t="s">
        <v>2035</v>
      </c>
      <c r="I936" s="4" t="b">
        <f>OR(((E936 = "calculated")=TRUE), ((E936 = "lookup")=TRUE), ((E936 = "aggregation")=TRUE))</f>
        <v>1</v>
      </c>
      <c r="J936" s="4" t="b">
        <f>H936 &lt;&gt; ""</f>
        <v>1</v>
      </c>
      <c r="K936" s="4">
        <f>COUNTIFS(FieldDisagreements!D2:D50, A936)</f>
        <v>0</v>
      </c>
      <c r="L936" s="4" t="b">
        <f>K936 &gt; 0</f>
        <v>0</v>
      </c>
      <c r="M936" s="3" t="s">
        <v>2418</v>
      </c>
    </row>
    <row r="937">
      <c r="A937" s="3" t="s">
        <v>3931</v>
      </c>
      <c r="B937" s="4" t="str">
        <f>C937 &amp; "." &amp; D937</f>
        <v>ChangeRequests.EvaluationContext</v>
      </c>
      <c r="C937" s="3" t="s">
        <v>3914</v>
      </c>
      <c r="D937" s="3" t="s">
        <v>258</v>
      </c>
      <c r="E937" s="3" t="s">
        <v>2465</v>
      </c>
      <c r="F937" s="3" t="s">
        <v>2417</v>
      </c>
      <c r="G937" s="3"/>
      <c r="H937" s="3"/>
      <c r="I937" s="4" t="b">
        <f>OR(((E937 = "calculated")=TRUE), ((E937 = "lookup")=TRUE), ((E937 = "aggregation")=TRUE))</f>
        <v>0</v>
      </c>
      <c r="J937" s="4" t="b">
        <f>H937 &lt;&gt; ""</f>
        <v>0</v>
      </c>
      <c r="K937" s="4">
        <f>COUNTIFS(FieldDisagreements!D2:D50, A937)</f>
        <v>0</v>
      </c>
      <c r="L937" s="4" t="b">
        <f>K937 &gt; 0</f>
        <v>0</v>
      </c>
      <c r="M937" s="3" t="s">
        <v>2418</v>
      </c>
    </row>
    <row r="938">
      <c r="A938" s="3" t="s">
        <v>3932</v>
      </c>
      <c r="B938" s="4" t="str">
        <f>C938 &amp; "." &amp; D938</f>
        <v>ChangeRequests.AsOfInstant</v>
      </c>
      <c r="C938" s="3" t="s">
        <v>3914</v>
      </c>
      <c r="D938" s="3" t="s">
        <v>92</v>
      </c>
      <c r="E938" s="3" t="s">
        <v>2509</v>
      </c>
      <c r="F938" s="3" t="s">
        <v>2428</v>
      </c>
      <c r="G938" s="3" t="s">
        <v>2555</v>
      </c>
      <c r="H938" s="3"/>
      <c r="I938" s="4" t="b">
        <f>OR(((E938 = "calculated")=TRUE), ((E938 = "lookup")=TRUE), ((E938 = "aggregation")=TRUE))</f>
        <v>1</v>
      </c>
      <c r="J938" s="4" t="b">
        <f>H938 &lt;&gt; ""</f>
        <v>0</v>
      </c>
      <c r="K938" s="4">
        <f>COUNTIFS(FieldDisagreements!D2:D50, A938)</f>
        <v>0</v>
      </c>
      <c r="L938" s="4" t="b">
        <f>K938 &gt; 0</f>
        <v>0</v>
      </c>
      <c r="M938" s="3" t="s">
        <v>2418</v>
      </c>
    </row>
    <row r="939">
      <c r="A939" s="3" t="s">
        <v>3933</v>
      </c>
      <c r="B939" s="4" t="str">
        <f>C939 &amp; "." &amp; D939</f>
        <v>ChangeRequests.DaysPending</v>
      </c>
      <c r="C939" s="3" t="s">
        <v>3914</v>
      </c>
      <c r="D939" s="3" t="s">
        <v>1596</v>
      </c>
      <c r="E939" s="3" t="s">
        <v>2420</v>
      </c>
      <c r="F939" s="3" t="s">
        <v>2470</v>
      </c>
      <c r="G939" s="3" t="s">
        <v>3934</v>
      </c>
      <c r="H939" s="3" t="s">
        <v>2035</v>
      </c>
      <c r="I939" s="4" t="b">
        <f>OR(((E939 = "calculated")=TRUE), ((E939 = "lookup")=TRUE), ((E939 = "aggregation")=TRUE))</f>
        <v>1</v>
      </c>
      <c r="J939" s="4" t="b">
        <f>H939 &lt;&gt; ""</f>
        <v>1</v>
      </c>
      <c r="K939" s="4">
        <f>COUNTIFS(FieldDisagreements!D2:D50, A939)</f>
        <v>0</v>
      </c>
      <c r="L939" s="4" t="b">
        <f>K939 &gt; 0</f>
        <v>0</v>
      </c>
      <c r="M939" s="3" t="s">
        <v>2418</v>
      </c>
    </row>
    <row r="940">
      <c r="A940" s="3" t="s">
        <v>3935</v>
      </c>
      <c r="B940" s="4" t="str">
        <f>C940 &amp; "." &amp; D940</f>
        <v>ChangeRequests.IsStillPending</v>
      </c>
      <c r="C940" s="3" t="s">
        <v>3914</v>
      </c>
      <c r="D940" s="3" t="s">
        <v>1597</v>
      </c>
      <c r="E940" s="3" t="s">
        <v>2420</v>
      </c>
      <c r="F940" s="3" t="s">
        <v>2432</v>
      </c>
      <c r="G940" s="3" t="s">
        <v>3936</v>
      </c>
      <c r="H940" s="3" t="s">
        <v>2035</v>
      </c>
      <c r="I940" s="4" t="b">
        <f>OR(((E940 = "calculated")=TRUE), ((E940 = "lookup")=TRUE), ((E940 = "aggregation")=TRUE))</f>
        <v>1</v>
      </c>
      <c r="J940" s="4" t="b">
        <f>H940 &lt;&gt; ""</f>
        <v>1</v>
      </c>
      <c r="K940" s="4">
        <f>COUNTIFS(FieldDisagreements!D2:D50, A940)</f>
        <v>0</v>
      </c>
      <c r="L940" s="4" t="b">
        <f>K940 &gt; 0</f>
        <v>0</v>
      </c>
      <c r="M940" s="3" t="s">
        <v>2418</v>
      </c>
    </row>
    <row r="941">
      <c r="A941" s="3" t="s">
        <v>3937</v>
      </c>
      <c r="B941" s="4" t="str">
        <f>C941 &amp; "." &amp; D941</f>
        <v>ChangeRequests.IsStalled</v>
      </c>
      <c r="C941" s="3" t="s">
        <v>3914</v>
      </c>
      <c r="D941" s="3" t="s">
        <v>1598</v>
      </c>
      <c r="E941" s="3" t="s">
        <v>2420</v>
      </c>
      <c r="F941" s="3" t="s">
        <v>2432</v>
      </c>
      <c r="G941" s="3" t="s">
        <v>3938</v>
      </c>
      <c r="H941" s="3" t="s">
        <v>2035</v>
      </c>
      <c r="I941" s="4" t="b">
        <f>OR(((E941 = "calculated")=TRUE), ((E941 = "lookup")=TRUE), ((E941 = "aggregation")=TRUE))</f>
        <v>1</v>
      </c>
      <c r="J941" s="4" t="b">
        <f>H941 &lt;&gt; ""</f>
        <v>1</v>
      </c>
      <c r="K941" s="4">
        <f>COUNTIFS(FieldDisagreements!D2:D50, A941)</f>
        <v>0</v>
      </c>
      <c r="L941" s="4" t="b">
        <f>K941 &gt; 0</f>
        <v>0</v>
      </c>
      <c r="M941" s="3" t="s">
        <v>2418</v>
      </c>
    </row>
    <row r="942">
      <c r="A942" s="3" t="s">
        <v>3939</v>
      </c>
      <c r="B942" s="4" t="str">
        <f>C942 &amp; "." &amp; D942</f>
        <v>ChangeRequests.AuthorityAgent</v>
      </c>
      <c r="C942" s="3" t="s">
        <v>3914</v>
      </c>
      <c r="D942" s="3" t="s">
        <v>1599</v>
      </c>
      <c r="E942" s="3" t="s">
        <v>2509</v>
      </c>
      <c r="F942" s="3" t="s">
        <v>2417</v>
      </c>
      <c r="G942" s="3" t="s">
        <v>3940</v>
      </c>
      <c r="H942" s="3" t="s">
        <v>2035</v>
      </c>
      <c r="I942" s="4" t="b">
        <f>OR(((E942 = "calculated")=TRUE), ((E942 = "lookup")=TRUE), ((E942 = "aggregation")=TRUE))</f>
        <v>1</v>
      </c>
      <c r="J942" s="4" t="b">
        <f>H942 &lt;&gt; ""</f>
        <v>1</v>
      </c>
      <c r="K942" s="4">
        <f>COUNTIFS(FieldDisagreements!D2:D50, A942)</f>
        <v>0</v>
      </c>
      <c r="L942" s="4" t="b">
        <f>K942 &gt; 0</f>
        <v>0</v>
      </c>
      <c r="M942" s="3" t="s">
        <v>2418</v>
      </c>
    </row>
    <row r="943">
      <c r="A943" s="3" t="s">
        <v>3941</v>
      </c>
      <c r="B943" s="4" t="str">
        <f>C943 &amp; "." &amp; D943</f>
        <v>ChangeRequests.RequesterIsAuthority</v>
      </c>
      <c r="C943" s="3" t="s">
        <v>3914</v>
      </c>
      <c r="D943" s="3" t="s">
        <v>1600</v>
      </c>
      <c r="E943" s="3" t="s">
        <v>2420</v>
      </c>
      <c r="F943" s="3" t="s">
        <v>2432</v>
      </c>
      <c r="G943" s="3" t="s">
        <v>3942</v>
      </c>
      <c r="H943" s="3" t="s">
        <v>2035</v>
      </c>
      <c r="I943" s="4" t="b">
        <f>OR(((E943 = "calculated")=TRUE), ((E943 = "lookup")=TRUE), ((E943 = "aggregation")=TRUE))</f>
        <v>1</v>
      </c>
      <c r="J943" s="4" t="b">
        <f>H943 &lt;&gt; ""</f>
        <v>1</v>
      </c>
      <c r="K943" s="4">
        <f>COUNTIFS(FieldDisagreements!D2:D50, A943)</f>
        <v>0</v>
      </c>
      <c r="L943" s="4" t="b">
        <f>K943 &gt; 0</f>
        <v>0</v>
      </c>
      <c r="M943" s="3" t="s">
        <v>2418</v>
      </c>
    </row>
    <row r="944">
      <c r="A944" s="3" t="s">
        <v>3943</v>
      </c>
      <c r="B944" s="4" t="str">
        <f>C944 &amp; "." &amp; D944</f>
        <v>ChangeRequests.AwaitsAuthorityDecision</v>
      </c>
      <c r="C944" s="3" t="s">
        <v>3914</v>
      </c>
      <c r="D944" s="3" t="s">
        <v>1601</v>
      </c>
      <c r="E944" s="3" t="s">
        <v>2420</v>
      </c>
      <c r="F944" s="3" t="s">
        <v>2432</v>
      </c>
      <c r="G944" s="3" t="s">
        <v>3944</v>
      </c>
      <c r="H944" s="3" t="s">
        <v>2139</v>
      </c>
      <c r="I944" s="4" t="b">
        <f>OR(((E944 = "calculated")=TRUE), ((E944 = "lookup")=TRUE), ((E944 = "aggregation")=TRUE))</f>
        <v>1</v>
      </c>
      <c r="J944" s="4" t="b">
        <f>H944 &lt;&gt; ""</f>
        <v>1</v>
      </c>
      <c r="K944" s="4">
        <f>COUNTIFS(FieldDisagreements!D2:D50, A944)</f>
        <v>0</v>
      </c>
      <c r="L944" s="4" t="b">
        <f>K944 &gt; 0</f>
        <v>0</v>
      </c>
      <c r="M944" s="3" t="s">
        <v>2418</v>
      </c>
    </row>
    <row r="945">
      <c r="A945" s="3" t="s">
        <v>3945</v>
      </c>
      <c r="B945" s="4" t="str">
        <f>C945 &amp; "." &amp; D945</f>
        <v>ChangeRequests.AuthorityRoleLabel</v>
      </c>
      <c r="C945" s="3" t="s">
        <v>3914</v>
      </c>
      <c r="D945" s="3" t="s">
        <v>1602</v>
      </c>
      <c r="E945" s="3" t="s">
        <v>2509</v>
      </c>
      <c r="F945" s="3" t="s">
        <v>2417</v>
      </c>
      <c r="G945" s="3" t="s">
        <v>3946</v>
      </c>
      <c r="H945" s="3" t="s">
        <v>2139</v>
      </c>
      <c r="I945" s="4" t="b">
        <f>OR(((E945 = "calculated")=TRUE), ((E945 = "lookup")=TRUE), ((E945 = "aggregation")=TRUE))</f>
        <v>1</v>
      </c>
      <c r="J945" s="4" t="b">
        <f>H945 &lt;&gt; ""</f>
        <v>1</v>
      </c>
      <c r="K945" s="4">
        <f>COUNTIFS(FieldDisagreements!D2:D50, A945)</f>
        <v>0</v>
      </c>
      <c r="L945" s="4" t="b">
        <f>K945 &gt; 0</f>
        <v>0</v>
      </c>
      <c r="M945" s="3" t="s">
        <v>2418</v>
      </c>
    </row>
    <row r="946">
      <c r="A946" s="3" t="s">
        <v>3947</v>
      </c>
      <c r="B946" s="4" t="str">
        <f>C946 &amp; "." &amp; D946</f>
        <v>ChangeRequests.TouchesLiveVersion</v>
      </c>
      <c r="C946" s="3" t="s">
        <v>3914</v>
      </c>
      <c r="D946" s="3" t="s">
        <v>1603</v>
      </c>
      <c r="E946" s="3" t="s">
        <v>2509</v>
      </c>
      <c r="F946" s="3" t="s">
        <v>2432</v>
      </c>
      <c r="G946" s="3" t="s">
        <v>3261</v>
      </c>
      <c r="H946" s="3" t="s">
        <v>2139</v>
      </c>
      <c r="I946" s="4" t="b">
        <f>OR(((E946 = "calculated")=TRUE), ((E946 = "lookup")=TRUE), ((E946 = "aggregation")=TRUE))</f>
        <v>1</v>
      </c>
      <c r="J946" s="4" t="b">
        <f>H946 &lt;&gt; ""</f>
        <v>1</v>
      </c>
      <c r="K946" s="4">
        <f>COUNTIFS(FieldDisagreements!D2:D50, A946)</f>
        <v>0</v>
      </c>
      <c r="L946" s="4" t="b">
        <f>K946 &gt; 0</f>
        <v>0</v>
      </c>
      <c r="M946" s="3" t="s">
        <v>2418</v>
      </c>
    </row>
    <row r="947">
      <c r="A947" s="3" t="s">
        <v>3948</v>
      </c>
      <c r="B947" s="4" t="str">
        <f>C947 &amp; "." &amp; D947</f>
        <v>ChangeRequests.IsLiveDecisionBacklog</v>
      </c>
      <c r="C947" s="3" t="s">
        <v>3914</v>
      </c>
      <c r="D947" s="3" t="s">
        <v>1604</v>
      </c>
      <c r="E947" s="3" t="s">
        <v>2420</v>
      </c>
      <c r="F947" s="3" t="s">
        <v>2432</v>
      </c>
      <c r="G947" s="3" t="s">
        <v>3949</v>
      </c>
      <c r="H947" s="3" t="s">
        <v>2139</v>
      </c>
      <c r="I947" s="4" t="b">
        <f>OR(((E947 = "calculated")=TRUE), ((E947 = "lookup")=TRUE), ((E947 = "aggregation")=TRUE))</f>
        <v>1</v>
      </c>
      <c r="J947" s="4" t="b">
        <f>H947 &lt;&gt; ""</f>
        <v>1</v>
      </c>
      <c r="K947" s="4">
        <f>COUNTIFS(FieldDisagreements!D2:D50, A947)</f>
        <v>0</v>
      </c>
      <c r="L947" s="4" t="b">
        <f>K947 &gt; 0</f>
        <v>0</v>
      </c>
      <c r="M947" s="3" t="s">
        <v>2418</v>
      </c>
    </row>
    <row r="948">
      <c r="A948" s="3" t="s">
        <v>3950</v>
      </c>
      <c r="B948" s="4" t="str">
        <f>C948 &amp; "." &amp; D948</f>
        <v>ChangeRequests.BlocksAnOpenGap</v>
      </c>
      <c r="C948" s="3" t="s">
        <v>3914</v>
      </c>
      <c r="D948" s="3" t="s">
        <v>1605</v>
      </c>
      <c r="E948" s="3" t="s">
        <v>2420</v>
      </c>
      <c r="F948" s="3" t="s">
        <v>2432</v>
      </c>
      <c r="G948" s="3" t="s">
        <v>3951</v>
      </c>
      <c r="H948" s="3" t="s">
        <v>2139</v>
      </c>
      <c r="I948" s="4" t="b">
        <f>OR(((E948 = "calculated")=TRUE), ((E948 = "lookup")=TRUE), ((E948 = "aggregation")=TRUE))</f>
        <v>1</v>
      </c>
      <c r="J948" s="4" t="b">
        <f>H948 &lt;&gt; ""</f>
        <v>1</v>
      </c>
      <c r="K948" s="4">
        <f>COUNTIFS(FieldDisagreements!D2:D50, A948)</f>
        <v>0</v>
      </c>
      <c r="L948" s="4" t="b">
        <f>K948 &gt; 0</f>
        <v>0</v>
      </c>
      <c r="M948" s="3" t="s">
        <v>2418</v>
      </c>
    </row>
    <row r="949">
      <c r="A949" s="3" t="s">
        <v>3952</v>
      </c>
      <c r="B949" s="4" t="str">
        <f>C949 &amp; "." &amp; D949</f>
        <v>ChangeRequests.ImplementedAt</v>
      </c>
      <c r="C949" s="3" t="s">
        <v>3914</v>
      </c>
      <c r="D949" s="3" t="s">
        <v>1606</v>
      </c>
      <c r="E949" s="3" t="s">
        <v>2416</v>
      </c>
      <c r="F949" s="3" t="s">
        <v>2428</v>
      </c>
      <c r="G949" s="3"/>
      <c r="H949" s="3"/>
      <c r="I949" s="4" t="b">
        <f>OR(((E949 = "calculated")=TRUE), ((E949 = "lookup")=TRUE), ((E949 = "aggregation")=TRUE))</f>
        <v>0</v>
      </c>
      <c r="J949" s="4" t="b">
        <f>H949 &lt;&gt; ""</f>
        <v>0</v>
      </c>
      <c r="K949" s="4">
        <f>COUNTIFS(FieldDisagreements!D2:D50, A949)</f>
        <v>0</v>
      </c>
      <c r="L949" s="4" t="b">
        <f>K949 &gt; 0</f>
        <v>0</v>
      </c>
      <c r="M949" s="3" t="s">
        <v>2418</v>
      </c>
    </row>
    <row r="950">
      <c r="A950" s="3" t="s">
        <v>3953</v>
      </c>
      <c r="B950" s="4" t="str">
        <f>C950 &amp; "." &amp; D950</f>
        <v>ChangeRequests.BacklogVersionKey</v>
      </c>
      <c r="C950" s="3" t="s">
        <v>3914</v>
      </c>
      <c r="D950" s="3" t="s">
        <v>1607</v>
      </c>
      <c r="E950" s="3" t="s">
        <v>2420</v>
      </c>
      <c r="F950" s="3" t="s">
        <v>2417</v>
      </c>
      <c r="G950" s="3" t="s">
        <v>3954</v>
      </c>
      <c r="H950" s="3" t="s">
        <v>2219</v>
      </c>
      <c r="I950" s="4" t="b">
        <f>OR(((E950 = "calculated")=TRUE), ((E950 = "lookup")=TRUE), ((E950 = "aggregation")=TRUE))</f>
        <v>1</v>
      </c>
      <c r="J950" s="4" t="b">
        <f>H950 &lt;&gt; ""</f>
        <v>1</v>
      </c>
      <c r="K950" s="4">
        <f>COUNTIFS(FieldDisagreements!D2:D50, A950)</f>
        <v>0</v>
      </c>
      <c r="L950" s="4" t="b">
        <f>K950 &gt; 0</f>
        <v>0</v>
      </c>
      <c r="M950" s="3" t="s">
        <v>2418</v>
      </c>
    </row>
    <row r="951">
      <c r="A951" s="3" t="s">
        <v>3955</v>
      </c>
      <c r="B951" s="4" t="str">
        <f>C951 &amp; "." &amp; D951</f>
        <v>ChangeRequests.IsMyPendingDecision</v>
      </c>
      <c r="C951" s="3" t="s">
        <v>3914</v>
      </c>
      <c r="D951" s="3" t="s">
        <v>1608</v>
      </c>
      <c r="E951" s="3" t="s">
        <v>2420</v>
      </c>
      <c r="F951" s="3" t="s">
        <v>2432</v>
      </c>
      <c r="G951" s="3" t="s">
        <v>3956</v>
      </c>
      <c r="H951" s="3" t="s">
        <v>2219</v>
      </c>
      <c r="I951" s="4" t="b">
        <f>OR(((E951 = "calculated")=TRUE), ((E951 = "lookup")=TRUE), ((E951 = "aggregation")=TRUE))</f>
        <v>1</v>
      </c>
      <c r="J951" s="4" t="b">
        <f>H951 &lt;&gt; ""</f>
        <v>1</v>
      </c>
      <c r="K951" s="4">
        <f>COUNTIFS(FieldDisagreements!D2:D50, A951)</f>
        <v>0</v>
      </c>
      <c r="L951" s="4" t="b">
        <f>K951 &gt; 0</f>
        <v>0</v>
      </c>
      <c r="M951" s="3" t="s">
        <v>2418</v>
      </c>
    </row>
    <row r="952">
      <c r="A952" s="3" t="s">
        <v>3957</v>
      </c>
      <c r="B952" s="4" t="str">
        <f>C952 &amp; "." &amp; D952</f>
        <v>ChangeRequests.IsMyBlockingBacklog</v>
      </c>
      <c r="C952" s="3" t="s">
        <v>3914</v>
      </c>
      <c r="D952" s="3" t="s">
        <v>1609</v>
      </c>
      <c r="E952" s="3" t="s">
        <v>2420</v>
      </c>
      <c r="F952" s="3" t="s">
        <v>2432</v>
      </c>
      <c r="G952" s="3" t="s">
        <v>3958</v>
      </c>
      <c r="H952" s="3" t="s">
        <v>2219</v>
      </c>
      <c r="I952" s="4" t="b">
        <f>OR(((E952 = "calculated")=TRUE), ((E952 = "lookup")=TRUE), ((E952 = "aggregation")=TRUE))</f>
        <v>1</v>
      </c>
      <c r="J952" s="4" t="b">
        <f>H952 &lt;&gt; ""</f>
        <v>1</v>
      </c>
      <c r="K952" s="4">
        <f>COUNTIFS(FieldDisagreements!D2:D50, A952)</f>
        <v>0</v>
      </c>
      <c r="L952" s="4" t="b">
        <f>K952 &gt; 0</f>
        <v>0</v>
      </c>
      <c r="M952" s="3" t="s">
        <v>2418</v>
      </c>
    </row>
    <row r="953">
      <c r="A953" s="3" t="s">
        <v>3959</v>
      </c>
      <c r="B953" s="4" t="str">
        <f>C953 &amp; "." &amp; D953</f>
        <v>ChangeRequests.IsMyOverdueBacklog</v>
      </c>
      <c r="C953" s="3" t="s">
        <v>3914</v>
      </c>
      <c r="D953" s="3" t="s">
        <v>1610</v>
      </c>
      <c r="E953" s="3" t="s">
        <v>2420</v>
      </c>
      <c r="F953" s="3" t="s">
        <v>2432</v>
      </c>
      <c r="G953" s="3" t="s">
        <v>3960</v>
      </c>
      <c r="H953" s="3" t="s">
        <v>2219</v>
      </c>
      <c r="I953" s="4" t="b">
        <f>OR(((E953 = "calculated")=TRUE), ((E953 = "lookup")=TRUE), ((E953 = "aggregation")=TRUE))</f>
        <v>1</v>
      </c>
      <c r="J953" s="4" t="b">
        <f>H953 &lt;&gt; ""</f>
        <v>1</v>
      </c>
      <c r="K953" s="4">
        <f>COUNTIFS(FieldDisagreements!D2:D50, A953)</f>
        <v>0</v>
      </c>
      <c r="L953" s="4" t="b">
        <f>K953 &gt; 0</f>
        <v>0</v>
      </c>
      <c r="M953" s="3" t="s">
        <v>2418</v>
      </c>
    </row>
    <row r="954">
      <c r="A954" s="3" t="s">
        <v>3961</v>
      </c>
      <c r="B954" s="4" t="str">
        <f>C954 &amp; "." &amp; D954</f>
        <v>ChangeRequests.IsImplemented</v>
      </c>
      <c r="C954" s="3" t="s">
        <v>3914</v>
      </c>
      <c r="D954" s="3" t="s">
        <v>1611</v>
      </c>
      <c r="E954" s="3" t="s">
        <v>2420</v>
      </c>
      <c r="F954" s="3" t="s">
        <v>2432</v>
      </c>
      <c r="G954" s="3" t="s">
        <v>3962</v>
      </c>
      <c r="H954" s="3" t="s">
        <v>2231</v>
      </c>
      <c r="I954" s="4" t="b">
        <f>OR(((E954 = "calculated")=TRUE), ((E954 = "lookup")=TRUE), ((E954 = "aggregation")=TRUE))</f>
        <v>1</v>
      </c>
      <c r="J954" s="4" t="b">
        <f>H954 &lt;&gt; ""</f>
        <v>1</v>
      </c>
      <c r="K954" s="4">
        <f>COUNTIFS(FieldDisagreements!D2:D50, A954)</f>
        <v>0</v>
      </c>
      <c r="L954" s="4" t="b">
        <f>K954 &gt; 0</f>
        <v>0</v>
      </c>
      <c r="M954" s="3" t="s">
        <v>2418</v>
      </c>
    </row>
    <row r="955">
      <c r="A955" s="3" t="s">
        <v>3963</v>
      </c>
      <c r="B955" s="4" t="str">
        <f>C955 &amp; "." &amp; D955</f>
        <v>ChangeRequests.IsMyDecidedRequest</v>
      </c>
      <c r="C955" s="3" t="s">
        <v>3914</v>
      </c>
      <c r="D955" s="3" t="s">
        <v>1612</v>
      </c>
      <c r="E955" s="3" t="s">
        <v>2420</v>
      </c>
      <c r="F955" s="3" t="s">
        <v>2432</v>
      </c>
      <c r="G955" s="3" t="s">
        <v>3964</v>
      </c>
      <c r="H955" s="3" t="s">
        <v>2231</v>
      </c>
      <c r="I955" s="4" t="b">
        <f>OR(((E955 = "calculated")=TRUE), ((E955 = "lookup")=TRUE), ((E955 = "aggregation")=TRUE))</f>
        <v>1</v>
      </c>
      <c r="J955" s="4" t="b">
        <f>H955 &lt;&gt; ""</f>
        <v>1</v>
      </c>
      <c r="K955" s="4">
        <f>COUNTIFS(FieldDisagreements!D2:D50, A955)</f>
        <v>0</v>
      </c>
      <c r="L955" s="4" t="b">
        <f>K955 &gt; 0</f>
        <v>0</v>
      </c>
      <c r="M955" s="3" t="s">
        <v>2418</v>
      </c>
    </row>
    <row r="956">
      <c r="A956" s="3" t="s">
        <v>3965</v>
      </c>
      <c r="B956" s="4" t="str">
        <f>C956 &amp; "." &amp; D956</f>
        <v>ChangeRequests.IsMyDecidedButUnlanded</v>
      </c>
      <c r="C956" s="3" t="s">
        <v>3914</v>
      </c>
      <c r="D956" s="3" t="s">
        <v>1613</v>
      </c>
      <c r="E956" s="3" t="s">
        <v>2420</v>
      </c>
      <c r="F956" s="3" t="s">
        <v>2432</v>
      </c>
      <c r="G956" s="3" t="s">
        <v>3966</v>
      </c>
      <c r="H956" s="3" t="s">
        <v>2231</v>
      </c>
      <c r="I956" s="4" t="b">
        <f>OR(((E956 = "calculated")=TRUE), ((E956 = "lookup")=TRUE), ((E956 = "aggregation")=TRUE))</f>
        <v>1</v>
      </c>
      <c r="J956" s="4" t="b">
        <f>H956 &lt;&gt; ""</f>
        <v>1</v>
      </c>
      <c r="K956" s="4">
        <f>COUNTIFS(FieldDisagreements!D2:D50, A956)</f>
        <v>0</v>
      </c>
      <c r="L956" s="4" t="b">
        <f>K956 &gt; 0</f>
        <v>0</v>
      </c>
      <c r="M956" s="3" t="s">
        <v>2418</v>
      </c>
    </row>
    <row r="957">
      <c r="A957" s="3" t="s">
        <v>3967</v>
      </c>
      <c r="B957" s="4" t="str">
        <f>C957 &amp; "." &amp; D957</f>
        <v>ChangeRequests.DecisionLatencyDays</v>
      </c>
      <c r="C957" s="3" t="s">
        <v>3914</v>
      </c>
      <c r="D957" s="3" t="s">
        <v>1614</v>
      </c>
      <c r="E957" s="3" t="s">
        <v>2420</v>
      </c>
      <c r="F957" s="3" t="s">
        <v>2470</v>
      </c>
      <c r="G957" s="3" t="s">
        <v>3968</v>
      </c>
      <c r="H957" s="3" t="s">
        <v>2231</v>
      </c>
      <c r="I957" s="4" t="b">
        <f>OR(((E957 = "calculated")=TRUE), ((E957 = "lookup")=TRUE), ((E957 = "aggregation")=TRUE))</f>
        <v>1</v>
      </c>
      <c r="J957" s="4" t="b">
        <f>H957 &lt;&gt; ""</f>
        <v>1</v>
      </c>
      <c r="K957" s="4">
        <f>COUNTIFS(FieldDisagreements!D2:D50, A957)</f>
        <v>0</v>
      </c>
      <c r="L957" s="4" t="b">
        <f>K957 &gt; 0</f>
        <v>0</v>
      </c>
      <c r="M957" s="3" t="s">
        <v>2418</v>
      </c>
    </row>
    <row r="958">
      <c r="A958" s="3" t="s">
        <v>3969</v>
      </c>
      <c r="B958" s="4" t="str">
        <f>C958 &amp; "." &amp; D958</f>
        <v>ChangeRequests.ImplementationLatencyDays</v>
      </c>
      <c r="C958" s="3" t="s">
        <v>3914</v>
      </c>
      <c r="D958" s="3" t="s">
        <v>1615</v>
      </c>
      <c r="E958" s="3" t="s">
        <v>2420</v>
      </c>
      <c r="F958" s="3" t="s">
        <v>2470</v>
      </c>
      <c r="G958" s="3" t="s">
        <v>3970</v>
      </c>
      <c r="H958" s="3" t="s">
        <v>2231</v>
      </c>
      <c r="I958" s="4" t="b">
        <f>OR(((E958 = "calculated")=TRUE), ((E958 = "lookup")=TRUE), ((E958 = "aggregation")=TRUE))</f>
        <v>1</v>
      </c>
      <c r="J958" s="4" t="b">
        <f>H958 &lt;&gt; ""</f>
        <v>1</v>
      </c>
      <c r="K958" s="4">
        <f>COUNTIFS(FieldDisagreements!D2:D50, A958)</f>
        <v>0</v>
      </c>
      <c r="L958" s="4" t="b">
        <f>K958 &gt; 0</f>
        <v>0</v>
      </c>
      <c r="M958" s="3" t="s">
        <v>2418</v>
      </c>
    </row>
    <row r="959">
      <c r="A959" s="3" t="s">
        <v>3971</v>
      </c>
      <c r="B959" s="4" t="str">
        <f>C959 &amp; "." &amp; D959</f>
        <v>ChangeRequests.DelayIsDownstreamOfMe</v>
      </c>
      <c r="C959" s="3" t="s">
        <v>3914</v>
      </c>
      <c r="D959" s="3" t="s">
        <v>1616</v>
      </c>
      <c r="E959" s="3" t="s">
        <v>2420</v>
      </c>
      <c r="F959" s="3" t="s">
        <v>2432</v>
      </c>
      <c r="G959" s="3" t="s">
        <v>3972</v>
      </c>
      <c r="H959" s="3" t="s">
        <v>2231</v>
      </c>
      <c r="I959" s="4" t="b">
        <f>OR(((E959 = "calculated")=TRUE), ((E959 = "lookup")=TRUE), ((E959 = "aggregation")=TRUE))</f>
        <v>1</v>
      </c>
      <c r="J959" s="4" t="b">
        <f>H959 &lt;&gt; ""</f>
        <v>1</v>
      </c>
      <c r="K959" s="4">
        <f>COUNTIFS(FieldDisagreements!D2:D50, A959)</f>
        <v>0</v>
      </c>
      <c r="L959" s="4" t="b">
        <f>K959 &gt; 0</f>
        <v>0</v>
      </c>
      <c r="M959" s="3" t="s">
        <v>2418</v>
      </c>
    </row>
    <row r="960">
      <c r="A960" s="3" t="s">
        <v>3973</v>
      </c>
      <c r="B960" s="4" t="str">
        <f>C960 &amp; "." &amp; D960</f>
        <v>ChangeRequests.UnlandedVersionKey</v>
      </c>
      <c r="C960" s="3" t="s">
        <v>3914</v>
      </c>
      <c r="D960" s="3" t="s">
        <v>1617</v>
      </c>
      <c r="E960" s="3" t="s">
        <v>2420</v>
      </c>
      <c r="F960" s="3" t="s">
        <v>2417</v>
      </c>
      <c r="G960" s="3" t="s">
        <v>3974</v>
      </c>
      <c r="H960" s="3" t="s">
        <v>2231</v>
      </c>
      <c r="I960" s="4" t="b">
        <f>OR(((E960 = "calculated")=TRUE), ((E960 = "lookup")=TRUE), ((E960 = "aggregation")=TRUE))</f>
        <v>1</v>
      </c>
      <c r="J960" s="4" t="b">
        <f>H960 &lt;&gt; ""</f>
        <v>1</v>
      </c>
      <c r="K960" s="4">
        <f>COUNTIFS(FieldDisagreements!D2:D50, A960)</f>
        <v>0</v>
      </c>
      <c r="L960" s="4" t="b">
        <f>K960 &gt; 0</f>
        <v>0</v>
      </c>
      <c r="M960" s="3" t="s">
        <v>2418</v>
      </c>
    </row>
    <row r="961">
      <c r="A961" s="3" t="s">
        <v>3975</v>
      </c>
      <c r="B961" s="4" t="str">
        <f>C961 &amp; "." &amp; D961</f>
        <v>ChangeRequests.IsApprovedNotImplemented</v>
      </c>
      <c r="C961" s="3" t="s">
        <v>3914</v>
      </c>
      <c r="D961" s="3" t="s">
        <v>1618</v>
      </c>
      <c r="E961" s="3" t="s">
        <v>2420</v>
      </c>
      <c r="F961" s="3" t="s">
        <v>2432</v>
      </c>
      <c r="G961" s="3" t="s">
        <v>3976</v>
      </c>
      <c r="H961" s="3" t="s">
        <v>2251</v>
      </c>
      <c r="I961" s="4" t="b">
        <f>OR(((E961 = "calculated")=TRUE), ((E961 = "lookup")=TRUE), ((E961 = "aggregation")=TRUE))</f>
        <v>1</v>
      </c>
      <c r="J961" s="4" t="b">
        <f>H961 &lt;&gt; ""</f>
        <v>1</v>
      </c>
      <c r="K961" s="4">
        <f>COUNTIFS(FieldDisagreements!D2:D50, A961)</f>
        <v>0</v>
      </c>
      <c r="L961" s="4" t="b">
        <f>K961 &gt; 0</f>
        <v>0</v>
      </c>
      <c r="M961" s="3" t="s">
        <v>2418</v>
      </c>
    </row>
    <row r="962">
      <c r="A962" s="3" t="s">
        <v>3977</v>
      </c>
      <c r="B962" s="4" t="str">
        <f>C962 &amp; "." &amp; D962</f>
        <v>ChangeRequests.DaysSinceApproval</v>
      </c>
      <c r="C962" s="3" t="s">
        <v>3914</v>
      </c>
      <c r="D962" s="3" t="s">
        <v>1619</v>
      </c>
      <c r="E962" s="3" t="s">
        <v>2420</v>
      </c>
      <c r="F962" s="3" t="s">
        <v>2470</v>
      </c>
      <c r="G962" s="3" t="s">
        <v>3978</v>
      </c>
      <c r="H962" s="3" t="s">
        <v>2251</v>
      </c>
      <c r="I962" s="4" t="b">
        <f>OR(((E962 = "calculated")=TRUE), ((E962 = "lookup")=TRUE), ((E962 = "aggregation")=TRUE))</f>
        <v>1</v>
      </c>
      <c r="J962" s="4" t="b">
        <f>H962 &lt;&gt; ""</f>
        <v>1</v>
      </c>
      <c r="K962" s="4">
        <f>COUNTIFS(FieldDisagreements!D2:D50, A962)</f>
        <v>0</v>
      </c>
      <c r="L962" s="4" t="b">
        <f>K962 &gt; 0</f>
        <v>0</v>
      </c>
      <c r="M962" s="3" t="s">
        <v>2418</v>
      </c>
    </row>
    <row r="963">
      <c r="A963" s="3" t="s">
        <v>3979</v>
      </c>
      <c r="B963" s="4" t="str">
        <f>C963 &amp; "." &amp; D963</f>
        <v>ChangeRequests.IsStalledImplementation</v>
      </c>
      <c r="C963" s="3" t="s">
        <v>3914</v>
      </c>
      <c r="D963" s="3" t="s">
        <v>1620</v>
      </c>
      <c r="E963" s="3" t="s">
        <v>2420</v>
      </c>
      <c r="F963" s="3" t="s">
        <v>2432</v>
      </c>
      <c r="G963" s="3" t="s">
        <v>3980</v>
      </c>
      <c r="H963" s="3" t="s">
        <v>2251</v>
      </c>
      <c r="I963" s="4" t="b">
        <f>OR(((E963 = "calculated")=TRUE), ((E963 = "lookup")=TRUE), ((E963 = "aggregation")=TRUE))</f>
        <v>1</v>
      </c>
      <c r="J963" s="4" t="b">
        <f>H963 &lt;&gt; ""</f>
        <v>1</v>
      </c>
      <c r="K963" s="4">
        <f>COUNTIFS(FieldDisagreements!D2:D50, A963)</f>
        <v>0</v>
      </c>
      <c r="L963" s="4" t="b">
        <f>K963 &gt; 0</f>
        <v>0</v>
      </c>
      <c r="M963" s="3" t="s">
        <v>2418</v>
      </c>
    </row>
    <row r="964">
      <c r="A964" s="3" t="s">
        <v>3981</v>
      </c>
      <c r="B964" s="4" t="str">
        <f>C964 &amp; "." &amp; D964</f>
        <v>ChangeRequests.StalledImplementationVersionKey</v>
      </c>
      <c r="C964" s="3" t="s">
        <v>3914</v>
      </c>
      <c r="D964" s="3" t="s">
        <v>1621</v>
      </c>
      <c r="E964" s="3" t="s">
        <v>2420</v>
      </c>
      <c r="F964" s="3" t="s">
        <v>2417</v>
      </c>
      <c r="G964" s="3" t="s">
        <v>3982</v>
      </c>
      <c r="H964" s="3" t="s">
        <v>2251</v>
      </c>
      <c r="I964" s="4" t="b">
        <f>OR(((E964 = "calculated")=TRUE), ((E964 = "lookup")=TRUE), ((E964 = "aggregation")=TRUE))</f>
        <v>1</v>
      </c>
      <c r="J964" s="4" t="b">
        <f>H964 &lt;&gt; ""</f>
        <v>1</v>
      </c>
      <c r="K964" s="4">
        <f>COUNTIFS(FieldDisagreements!D2:D50, A964)</f>
        <v>0</v>
      </c>
      <c r="L964" s="4" t="b">
        <f>K964 &gt; 0</f>
        <v>0</v>
      </c>
      <c r="M964" s="3" t="s">
        <v>2418</v>
      </c>
    </row>
    <row r="965">
      <c r="A965" s="3" t="s">
        <v>3983</v>
      </c>
      <c r="B965" s="4" t="str">
        <f>C965 &amp; "." &amp; D965</f>
        <v>ChangeRequests.ApprovedVersionKey</v>
      </c>
      <c r="C965" s="3" t="s">
        <v>3914</v>
      </c>
      <c r="D965" s="3" t="s">
        <v>1622</v>
      </c>
      <c r="E965" s="3" t="s">
        <v>2420</v>
      </c>
      <c r="F965" s="3" t="s">
        <v>2417</v>
      </c>
      <c r="G965" s="3" t="s">
        <v>3984</v>
      </c>
      <c r="H965" s="3" t="s">
        <v>2295</v>
      </c>
      <c r="I965" s="4" t="b">
        <f>OR(((E965 = "calculated")=TRUE), ((E965 = "lookup")=TRUE), ((E965 = "aggregation")=TRUE))</f>
        <v>1</v>
      </c>
      <c r="J965" s="4" t="b">
        <f>H965 &lt;&gt; ""</f>
        <v>1</v>
      </c>
      <c r="K965" s="4">
        <f>COUNTIFS(FieldDisagreements!D2:D50, A965)</f>
        <v>0</v>
      </c>
      <c r="L965" s="4" t="b">
        <f>K965 &gt; 0</f>
        <v>0</v>
      </c>
      <c r="M965" s="3" t="s">
        <v>2418</v>
      </c>
    </row>
    <row r="966">
      <c r="A966" s="3" t="s">
        <v>3985</v>
      </c>
      <c r="B966" s="4" t="str">
        <f>C966 &amp; "." &amp; D966</f>
        <v>ChangeRequests.IsApprovedDecision</v>
      </c>
      <c r="C966" s="3" t="s">
        <v>3914</v>
      </c>
      <c r="D966" s="3" t="s">
        <v>1623</v>
      </c>
      <c r="E966" s="3" t="s">
        <v>2420</v>
      </c>
      <c r="F966" s="3" t="s">
        <v>2432</v>
      </c>
      <c r="G966" s="3" t="s">
        <v>3254</v>
      </c>
      <c r="H966" s="3" t="s">
        <v>2295</v>
      </c>
      <c r="I966" s="4" t="b">
        <f>OR(((E966 = "calculated")=TRUE), ((E966 = "lookup")=TRUE), ((E966 = "aggregation")=TRUE))</f>
        <v>1</v>
      </c>
      <c r="J966" s="4" t="b">
        <f>H966 &lt;&gt; ""</f>
        <v>1</v>
      </c>
      <c r="K966" s="4">
        <f>COUNTIFS(FieldDisagreements!D2:D50, A966)</f>
        <v>0</v>
      </c>
      <c r="L966" s="4" t="b">
        <f>K966 &gt; 0</f>
        <v>0</v>
      </c>
      <c r="M966" s="3" t="s">
        <v>2418</v>
      </c>
    </row>
    <row r="967">
      <c r="A967" s="3" t="s">
        <v>3986</v>
      </c>
      <c r="B967" s="4" t="str">
        <f>C967 &amp; "." &amp; D967</f>
        <v>ChangeRequests.SemanticTypeIri</v>
      </c>
      <c r="C967" s="3" t="s">
        <v>3914</v>
      </c>
      <c r="D967" s="3" t="s">
        <v>94</v>
      </c>
      <c r="E967" s="3" t="s">
        <v>2416</v>
      </c>
      <c r="F967" s="3" t="s">
        <v>2417</v>
      </c>
      <c r="G967" s="3"/>
      <c r="H967" s="3"/>
      <c r="I967" s="4" t="b">
        <f>OR(((E967 = "calculated")=TRUE), ((E967 = "lookup")=TRUE), ((E967 = "aggregation")=TRUE))</f>
        <v>0</v>
      </c>
      <c r="J967" s="4" t="b">
        <f>H967 &lt;&gt; ""</f>
        <v>0</v>
      </c>
      <c r="K967" s="4">
        <f>COUNTIFS(FieldDisagreements!D2:D50, A967)</f>
        <v>0</v>
      </c>
      <c r="L967" s="4" t="b">
        <f>K967 &gt; 0</f>
        <v>0</v>
      </c>
      <c r="M967" s="3" t="s">
        <v>2418</v>
      </c>
    </row>
    <row r="968">
      <c r="A968" s="3" t="s">
        <v>3987</v>
      </c>
      <c r="B968" s="4" t="str">
        <f>C968 &amp; "." &amp; D968</f>
        <v>ReviewEvents.ReviewEventId</v>
      </c>
      <c r="C968" s="3" t="s">
        <v>3988</v>
      </c>
      <c r="D968" s="3" t="s">
        <v>1631</v>
      </c>
      <c r="E968" s="3" t="s">
        <v>2416</v>
      </c>
      <c r="F968" s="3" t="s">
        <v>2417</v>
      </c>
      <c r="G968" s="3"/>
      <c r="H968" s="3"/>
      <c r="I968" s="4" t="b">
        <f>OR(((E968 = "calculated")=TRUE), ((E968 = "lookup")=TRUE), ((E968 = "aggregation")=TRUE))</f>
        <v>0</v>
      </c>
      <c r="J968" s="4" t="b">
        <f>H968 &lt;&gt; ""</f>
        <v>0</v>
      </c>
      <c r="K968" s="4">
        <f>COUNTIFS(FieldDisagreements!D2:D50, A968)</f>
        <v>0</v>
      </c>
      <c r="L968" s="4" t="b">
        <f>K968 &gt; 0</f>
        <v>0</v>
      </c>
      <c r="M968" s="3" t="s">
        <v>2418</v>
      </c>
    </row>
    <row r="969">
      <c r="A969" s="3" t="s">
        <v>3989</v>
      </c>
      <c r="B969" s="4" t="str">
        <f>C969 &amp; "." &amp; D969</f>
        <v>ReviewEvents.Name</v>
      </c>
      <c r="C969" s="3" t="s">
        <v>3988</v>
      </c>
      <c r="D969" s="3" t="s">
        <v>1</v>
      </c>
      <c r="E969" s="3" t="s">
        <v>2420</v>
      </c>
      <c r="F969" s="3" t="s">
        <v>2417</v>
      </c>
      <c r="G969" s="3" t="s">
        <v>3990</v>
      </c>
      <c r="H969" s="3"/>
      <c r="I969" s="4" t="b">
        <f>OR(((E969 = "calculated")=TRUE), ((E969 = "lookup")=TRUE), ((E969 = "aggregation")=TRUE))</f>
        <v>1</v>
      </c>
      <c r="J969" s="4" t="b">
        <f>H969 &lt;&gt; ""</f>
        <v>0</v>
      </c>
      <c r="K969" s="4">
        <f>COUNTIFS(FieldDisagreements!D2:D50, A969)</f>
        <v>0</v>
      </c>
      <c r="L969" s="4" t="b">
        <f>K969 &gt; 0</f>
        <v>0</v>
      </c>
      <c r="M969" s="3" t="s">
        <v>2418</v>
      </c>
    </row>
    <row r="970">
      <c r="A970" s="3" t="s">
        <v>3991</v>
      </c>
      <c r="B970" s="4" t="str">
        <f>C970 &amp; "." &amp; D970</f>
        <v>ReviewEvents.ProcedureVersion</v>
      </c>
      <c r="C970" s="3" t="s">
        <v>3988</v>
      </c>
      <c r="D970" s="3" t="s">
        <v>478</v>
      </c>
      <c r="E970" s="3" t="s">
        <v>2465</v>
      </c>
      <c r="F970" s="3" t="s">
        <v>2417</v>
      </c>
      <c r="G970" s="3"/>
      <c r="H970" s="3"/>
      <c r="I970" s="4" t="b">
        <f>OR(((E970 = "calculated")=TRUE), ((E970 = "lookup")=TRUE), ((E970 = "aggregation")=TRUE))</f>
        <v>0</v>
      </c>
      <c r="J970" s="4" t="b">
        <f>H970 &lt;&gt; ""</f>
        <v>0</v>
      </c>
      <c r="K970" s="4">
        <f>COUNTIFS(FieldDisagreements!D2:D50, A970)</f>
        <v>0</v>
      </c>
      <c r="L970" s="4" t="b">
        <f>K970 &gt; 0</f>
        <v>0</v>
      </c>
      <c r="M970" s="3" t="s">
        <v>2418</v>
      </c>
    </row>
    <row r="971">
      <c r="A971" s="3" t="s">
        <v>3992</v>
      </c>
      <c r="B971" s="4" t="str">
        <f>C971 &amp; "." &amp; D971</f>
        <v>ReviewEvents.ReviewKind</v>
      </c>
      <c r="C971" s="3" t="s">
        <v>3988</v>
      </c>
      <c r="D971" s="3" t="s">
        <v>1632</v>
      </c>
      <c r="E971" s="3" t="s">
        <v>2416</v>
      </c>
      <c r="F971" s="3" t="s">
        <v>2417</v>
      </c>
      <c r="G971" s="3"/>
      <c r="H971" s="3"/>
      <c r="I971" s="4" t="b">
        <f>OR(((E971 = "calculated")=TRUE), ((E971 = "lookup")=TRUE), ((E971 = "aggregation")=TRUE))</f>
        <v>0</v>
      </c>
      <c r="J971" s="4" t="b">
        <f>H971 &lt;&gt; ""</f>
        <v>0</v>
      </c>
      <c r="K971" s="4">
        <f>COUNTIFS(FieldDisagreements!D2:D50, A971)</f>
        <v>0</v>
      </c>
      <c r="L971" s="4" t="b">
        <f>K971 &gt; 0</f>
        <v>0</v>
      </c>
      <c r="M971" s="3" t="s">
        <v>2418</v>
      </c>
    </row>
    <row r="972">
      <c r="A972" s="3" t="s">
        <v>3993</v>
      </c>
      <c r="B972" s="4" t="str">
        <f>C972 &amp; "." &amp; D972</f>
        <v>ReviewEvents.ReviewedAt</v>
      </c>
      <c r="C972" s="3" t="s">
        <v>3988</v>
      </c>
      <c r="D972" s="3" t="s">
        <v>1633</v>
      </c>
      <c r="E972" s="3" t="s">
        <v>2416</v>
      </c>
      <c r="F972" s="3" t="s">
        <v>2428</v>
      </c>
      <c r="G972" s="3"/>
      <c r="H972" s="3"/>
      <c r="I972" s="4" t="b">
        <f>OR(((E972 = "calculated")=TRUE), ((E972 = "lookup")=TRUE), ((E972 = "aggregation")=TRUE))</f>
        <v>0</v>
      </c>
      <c r="J972" s="4" t="b">
        <f>H972 &lt;&gt; ""</f>
        <v>0</v>
      </c>
      <c r="K972" s="4">
        <f>COUNTIFS(FieldDisagreements!D2:D50, A972)</f>
        <v>0</v>
      </c>
      <c r="L972" s="4" t="b">
        <f>K972 &gt; 0</f>
        <v>0</v>
      </c>
      <c r="M972" s="3" t="s">
        <v>2418</v>
      </c>
    </row>
    <row r="973">
      <c r="A973" s="3" t="s">
        <v>3994</v>
      </c>
      <c r="B973" s="4" t="str">
        <f>C973 &amp; "." &amp; D973</f>
        <v>ReviewEvents.ReviewedByAgent</v>
      </c>
      <c r="C973" s="3" t="s">
        <v>3988</v>
      </c>
      <c r="D973" s="3" t="s">
        <v>1634</v>
      </c>
      <c r="E973" s="3" t="s">
        <v>2465</v>
      </c>
      <c r="F973" s="3" t="s">
        <v>2417</v>
      </c>
      <c r="G973" s="3"/>
      <c r="H973" s="3"/>
      <c r="I973" s="4" t="b">
        <f>OR(((E973 = "calculated")=TRUE), ((E973 = "lookup")=TRUE), ((E973 = "aggregation")=TRUE))</f>
        <v>0</v>
      </c>
      <c r="J973" s="4" t="b">
        <f>H973 &lt;&gt; ""</f>
        <v>0</v>
      </c>
      <c r="K973" s="4">
        <f>COUNTIFS(FieldDisagreements!D2:D50, A973)</f>
        <v>0</v>
      </c>
      <c r="L973" s="4" t="b">
        <f>K973 &gt; 0</f>
        <v>0</v>
      </c>
      <c r="M973" s="3" t="s">
        <v>2418</v>
      </c>
    </row>
    <row r="974">
      <c r="A974" s="3" t="s">
        <v>3995</v>
      </c>
      <c r="B974" s="4" t="str">
        <f>C974 &amp; "." &amp; D974</f>
        <v>ReviewEvents.Outcome</v>
      </c>
      <c r="C974" s="3" t="s">
        <v>3988</v>
      </c>
      <c r="D974" s="3" t="s">
        <v>1635</v>
      </c>
      <c r="E974" s="3" t="s">
        <v>2416</v>
      </c>
      <c r="F974" s="3" t="s">
        <v>2417</v>
      </c>
      <c r="G974" s="3"/>
      <c r="H974" s="3"/>
      <c r="I974" s="4" t="b">
        <f>OR(((E974 = "calculated")=TRUE), ((E974 = "lookup")=TRUE), ((E974 = "aggregation")=TRUE))</f>
        <v>0</v>
      </c>
      <c r="J974" s="4" t="b">
        <f>H974 &lt;&gt; ""</f>
        <v>0</v>
      </c>
      <c r="K974" s="4">
        <f>COUNTIFS(FieldDisagreements!D2:D50, A974)</f>
        <v>0</v>
      </c>
      <c r="L974" s="4" t="b">
        <f>K974 &gt; 0</f>
        <v>0</v>
      </c>
      <c r="M974" s="3" t="s">
        <v>2418</v>
      </c>
    </row>
    <row r="975">
      <c r="A975" s="3" t="s">
        <v>3996</v>
      </c>
      <c r="B975" s="4" t="str">
        <f>C975 &amp; "." &amp; D975</f>
        <v>ReviewEvents.RelatedChangeRequest</v>
      </c>
      <c r="C975" s="3" t="s">
        <v>3988</v>
      </c>
      <c r="D975" s="3" t="s">
        <v>1636</v>
      </c>
      <c r="E975" s="3" t="s">
        <v>2465</v>
      </c>
      <c r="F975" s="3" t="s">
        <v>2417</v>
      </c>
      <c r="G975" s="3"/>
      <c r="H975" s="3"/>
      <c r="I975" s="4" t="b">
        <f>OR(((E975 = "calculated")=TRUE), ((E975 = "lookup")=TRUE), ((E975 = "aggregation")=TRUE))</f>
        <v>0</v>
      </c>
      <c r="J975" s="4" t="b">
        <f>H975 &lt;&gt; ""</f>
        <v>0</v>
      </c>
      <c r="K975" s="4">
        <f>COUNTIFS(FieldDisagreements!D2:D50, A975)</f>
        <v>0</v>
      </c>
      <c r="L975" s="4" t="b">
        <f>K975 &gt; 0</f>
        <v>0</v>
      </c>
      <c r="M975" s="3" t="s">
        <v>2418</v>
      </c>
    </row>
    <row r="976">
      <c r="A976" s="3" t="s">
        <v>3997</v>
      </c>
      <c r="B976" s="4" t="str">
        <f>C976 &amp; "." &amp; D976</f>
        <v>ReviewEvents.NextReviewDue</v>
      </c>
      <c r="C976" s="3" t="s">
        <v>3988</v>
      </c>
      <c r="D976" s="3" t="s">
        <v>1637</v>
      </c>
      <c r="E976" s="3" t="s">
        <v>2416</v>
      </c>
      <c r="F976" s="3" t="s">
        <v>2428</v>
      </c>
      <c r="G976" s="3"/>
      <c r="H976" s="3"/>
      <c r="I976" s="4" t="b">
        <f>OR(((E976 = "calculated")=TRUE), ((E976 = "lookup")=TRUE), ((E976 = "aggregation")=TRUE))</f>
        <v>0</v>
      </c>
      <c r="J976" s="4" t="b">
        <f>H976 &lt;&gt; ""</f>
        <v>0</v>
      </c>
      <c r="K976" s="4">
        <f>COUNTIFS(FieldDisagreements!D2:D50, A976)</f>
        <v>0</v>
      </c>
      <c r="L976" s="4" t="b">
        <f>K976 &gt; 0</f>
        <v>0</v>
      </c>
      <c r="M976" s="3" t="s">
        <v>2418</v>
      </c>
    </row>
    <row r="977">
      <c r="A977" s="3" t="s">
        <v>3998</v>
      </c>
      <c r="B977" s="4" t="str">
        <f>C977 &amp; "." &amp; D977</f>
        <v>ReviewEvents.EvaluationContext</v>
      </c>
      <c r="C977" s="3" t="s">
        <v>3988</v>
      </c>
      <c r="D977" s="3" t="s">
        <v>258</v>
      </c>
      <c r="E977" s="3" t="s">
        <v>2465</v>
      </c>
      <c r="F977" s="3" t="s">
        <v>2417</v>
      </c>
      <c r="G977" s="3"/>
      <c r="H977" s="3"/>
      <c r="I977" s="4" t="b">
        <f>OR(((E977 = "calculated")=TRUE), ((E977 = "lookup")=TRUE), ((E977 = "aggregation")=TRUE))</f>
        <v>0</v>
      </c>
      <c r="J977" s="4" t="b">
        <f>H977 &lt;&gt; ""</f>
        <v>0</v>
      </c>
      <c r="K977" s="4">
        <f>COUNTIFS(FieldDisagreements!D2:D50, A977)</f>
        <v>0</v>
      </c>
      <c r="L977" s="4" t="b">
        <f>K977 &gt; 0</f>
        <v>0</v>
      </c>
      <c r="M977" s="3" t="s">
        <v>2418</v>
      </c>
    </row>
    <row r="978">
      <c r="A978" s="3" t="s">
        <v>3999</v>
      </c>
      <c r="B978" s="4" t="str">
        <f>C978 &amp; "." &amp; D978</f>
        <v>ReviewEvents.AsOfInstant</v>
      </c>
      <c r="C978" s="3" t="s">
        <v>3988</v>
      </c>
      <c r="D978" s="3" t="s">
        <v>92</v>
      </c>
      <c r="E978" s="3" t="s">
        <v>2509</v>
      </c>
      <c r="F978" s="3" t="s">
        <v>2428</v>
      </c>
      <c r="G978" s="3" t="s">
        <v>2555</v>
      </c>
      <c r="H978" s="3"/>
      <c r="I978" s="4" t="b">
        <f>OR(((E978 = "calculated")=TRUE), ((E978 = "lookup")=TRUE), ((E978 = "aggregation")=TRUE))</f>
        <v>1</v>
      </c>
      <c r="J978" s="4" t="b">
        <f>H978 &lt;&gt; ""</f>
        <v>0</v>
      </c>
      <c r="K978" s="4">
        <f>COUNTIFS(FieldDisagreements!D2:D50, A978)</f>
        <v>0</v>
      </c>
      <c r="L978" s="4" t="b">
        <f>K978 &gt; 0</f>
        <v>0</v>
      </c>
      <c r="M978" s="3" t="s">
        <v>2418</v>
      </c>
    </row>
    <row r="979">
      <c r="A979" s="3" t="s">
        <v>4000</v>
      </c>
      <c r="B979" s="4" t="str">
        <f>C979 &amp; "." &amp; D979</f>
        <v>ReviewEvents.IsOverdue</v>
      </c>
      <c r="C979" s="3" t="s">
        <v>3988</v>
      </c>
      <c r="D979" s="3" t="s">
        <v>1638</v>
      </c>
      <c r="E979" s="3" t="s">
        <v>2420</v>
      </c>
      <c r="F979" s="3" t="s">
        <v>2432</v>
      </c>
      <c r="G979" s="3" t="s">
        <v>4001</v>
      </c>
      <c r="H979" s="3"/>
      <c r="I979" s="4" t="b">
        <f>OR(((E979 = "calculated")=TRUE), ((E979 = "lookup")=TRUE), ((E979 = "aggregation")=TRUE))</f>
        <v>1</v>
      </c>
      <c r="J979" s="4" t="b">
        <f>H979 &lt;&gt; ""</f>
        <v>0</v>
      </c>
      <c r="K979" s="4">
        <f>COUNTIFS(FieldDisagreements!D2:D50, A979)</f>
        <v>0</v>
      </c>
      <c r="L979" s="4" t="b">
        <f>K979 &gt; 0</f>
        <v>0</v>
      </c>
      <c r="M979" s="3" t="s">
        <v>2418</v>
      </c>
    </row>
    <row r="980">
      <c r="A980" s="3" t="s">
        <v>4002</v>
      </c>
      <c r="B980" s="4" t="str">
        <f>C980 &amp; "." &amp; D980</f>
        <v>ReviewEvents.OverdueVersionKey</v>
      </c>
      <c r="C980" s="3" t="s">
        <v>3988</v>
      </c>
      <c r="D980" s="3" t="s">
        <v>1639</v>
      </c>
      <c r="E980" s="3" t="s">
        <v>2420</v>
      </c>
      <c r="F980" s="3" t="s">
        <v>2417</v>
      </c>
      <c r="G980" s="3" t="s">
        <v>4003</v>
      </c>
      <c r="H980" s="3" t="s">
        <v>2003</v>
      </c>
      <c r="I980" s="4" t="b">
        <f>OR(((E980 = "calculated")=TRUE), ((E980 = "lookup")=TRUE), ((E980 = "aggregation")=TRUE))</f>
        <v>1</v>
      </c>
      <c r="J980" s="4" t="b">
        <f>H980 &lt;&gt; ""</f>
        <v>1</v>
      </c>
      <c r="K980" s="4">
        <f>COUNTIFS(FieldDisagreements!D2:D50, A980)</f>
        <v>0</v>
      </c>
      <c r="L980" s="4" t="b">
        <f>K980 &gt; 0</f>
        <v>0</v>
      </c>
      <c r="M980" s="3" t="s">
        <v>2418</v>
      </c>
    </row>
    <row r="981">
      <c r="A981" s="3" t="s">
        <v>4004</v>
      </c>
      <c r="B981" s="4" t="str">
        <f>C981 &amp; "." &amp; D981</f>
        <v>ReviewEvents.PromisedCadenceDays</v>
      </c>
      <c r="C981" s="3" t="s">
        <v>3988</v>
      </c>
      <c r="D981" s="3" t="s">
        <v>1640</v>
      </c>
      <c r="E981" s="3" t="s">
        <v>2509</v>
      </c>
      <c r="F981" s="3" t="s">
        <v>2470</v>
      </c>
      <c r="G981" s="3" t="s">
        <v>3293</v>
      </c>
      <c r="H981" s="3" t="s">
        <v>2019</v>
      </c>
      <c r="I981" s="4" t="b">
        <f>OR(((E981 = "calculated")=TRUE), ((E981 = "lookup")=TRUE), ((E981 = "aggregation")=TRUE))</f>
        <v>1</v>
      </c>
      <c r="J981" s="4" t="b">
        <f>H981 &lt;&gt; ""</f>
        <v>1</v>
      </c>
      <c r="K981" s="4">
        <f>COUNTIFS(FieldDisagreements!D2:D50, A981)</f>
        <v>0</v>
      </c>
      <c r="L981" s="4" t="b">
        <f>K981 &gt; 0</f>
        <v>0</v>
      </c>
      <c r="M981" s="3" t="s">
        <v>2418</v>
      </c>
    </row>
    <row r="982">
      <c r="A982" s="3" t="s">
        <v>4005</v>
      </c>
      <c r="B982" s="4" t="str">
        <f>C982 &amp; "." &amp; D982</f>
        <v>ReviewEvents.DaysSinceReviewed</v>
      </c>
      <c r="C982" s="3" t="s">
        <v>3988</v>
      </c>
      <c r="D982" s="3" t="s">
        <v>1641</v>
      </c>
      <c r="E982" s="3" t="s">
        <v>2420</v>
      </c>
      <c r="F982" s="3" t="s">
        <v>2470</v>
      </c>
      <c r="G982" s="3" t="s">
        <v>4006</v>
      </c>
      <c r="H982" s="3" t="s">
        <v>2019</v>
      </c>
      <c r="I982" s="4" t="b">
        <f>OR(((E982 = "calculated")=TRUE), ((E982 = "lookup")=TRUE), ((E982 = "aggregation")=TRUE))</f>
        <v>1</v>
      </c>
      <c r="J982" s="4" t="b">
        <f>H982 &lt;&gt; ""</f>
        <v>1</v>
      </c>
      <c r="K982" s="4">
        <f>COUNTIFS(FieldDisagreements!D2:D50, A982)</f>
        <v>0</v>
      </c>
      <c r="L982" s="4" t="b">
        <f>K982 &gt; 0</f>
        <v>0</v>
      </c>
      <c r="M982" s="3" t="s">
        <v>2418</v>
      </c>
    </row>
    <row r="983">
      <c r="A983" s="3" t="s">
        <v>4007</v>
      </c>
      <c r="B983" s="4" t="str">
        <f>C983 &amp; "." &amp; D983</f>
        <v>ReviewEvents.ExceedsPromisedCadence</v>
      </c>
      <c r="C983" s="3" t="s">
        <v>3988</v>
      </c>
      <c r="D983" s="3" t="s">
        <v>1642</v>
      </c>
      <c r="E983" s="3" t="s">
        <v>2420</v>
      </c>
      <c r="F983" s="3" t="s">
        <v>2432</v>
      </c>
      <c r="G983" s="3" t="s">
        <v>4008</v>
      </c>
      <c r="H983" s="3" t="s">
        <v>2019</v>
      </c>
      <c r="I983" s="4" t="b">
        <f>OR(((E983 = "calculated")=TRUE), ((E983 = "lookup")=TRUE), ((E983 = "aggregation")=TRUE))</f>
        <v>1</v>
      </c>
      <c r="J983" s="4" t="b">
        <f>H983 &lt;&gt; ""</f>
        <v>1</v>
      </c>
      <c r="K983" s="4">
        <f>COUNTIFS(FieldDisagreements!D2:D50, A983)</f>
        <v>0</v>
      </c>
      <c r="L983" s="4" t="b">
        <f>K983 &gt; 0</f>
        <v>0</v>
      </c>
      <c r="M983" s="3" t="s">
        <v>2418</v>
      </c>
    </row>
    <row r="984">
      <c r="A984" s="3" t="s">
        <v>4009</v>
      </c>
      <c r="B984" s="4" t="str">
        <f>C984 &amp; "." &amp; D984</f>
        <v>ReviewEvents.CadenceDriftDays</v>
      </c>
      <c r="C984" s="3" t="s">
        <v>3988</v>
      </c>
      <c r="D984" s="3" t="s">
        <v>1643</v>
      </c>
      <c r="E984" s="3" t="s">
        <v>2420</v>
      </c>
      <c r="F984" s="3" t="s">
        <v>2470</v>
      </c>
      <c r="G984" s="3" t="s">
        <v>4010</v>
      </c>
      <c r="H984" s="3" t="s">
        <v>2019</v>
      </c>
      <c r="I984" s="4" t="b">
        <f>OR(((E984 = "calculated")=TRUE), ((E984 = "lookup")=TRUE), ((E984 = "aggregation")=TRUE))</f>
        <v>1</v>
      </c>
      <c r="J984" s="4" t="b">
        <f>H984 &lt;&gt; ""</f>
        <v>1</v>
      </c>
      <c r="K984" s="4">
        <f>COUNTIFS(FieldDisagreements!D2:D50, A984)</f>
        <v>0</v>
      </c>
      <c r="L984" s="4" t="b">
        <f>K984 &gt; 0</f>
        <v>0</v>
      </c>
      <c r="M984" s="3" t="s">
        <v>2418</v>
      </c>
    </row>
    <row r="985">
      <c r="A985" s="3" t="s">
        <v>4011</v>
      </c>
      <c r="B985" s="4" t="str">
        <f>C985 &amp; "." &amp; D985</f>
        <v>ReviewEvents.PromiseAndBehaviorDisagree</v>
      </c>
      <c r="C985" s="3" t="s">
        <v>3988</v>
      </c>
      <c r="D985" s="3" t="s">
        <v>1644</v>
      </c>
      <c r="E985" s="3" t="s">
        <v>2420</v>
      </c>
      <c r="F985" s="3" t="s">
        <v>2432</v>
      </c>
      <c r="G985" s="3" t="s">
        <v>4012</v>
      </c>
      <c r="H985" s="3" t="s">
        <v>2019</v>
      </c>
      <c r="I985" s="4" t="b">
        <f>OR(((E985 = "calculated")=TRUE), ((E985 = "lookup")=TRUE), ((E985 = "aggregation")=TRUE))</f>
        <v>1</v>
      </c>
      <c r="J985" s="4" t="b">
        <f>H985 &lt;&gt; ""</f>
        <v>1</v>
      </c>
      <c r="K985" s="4">
        <f>COUNTIFS(FieldDisagreements!D2:D50, A985)</f>
        <v>0</v>
      </c>
      <c r="L985" s="4" t="b">
        <f>K985 &gt; 0</f>
        <v>0</v>
      </c>
      <c r="M985" s="3" t="s">
        <v>2418</v>
      </c>
    </row>
    <row r="986">
      <c r="A986" s="3" t="s">
        <v>4013</v>
      </c>
      <c r="B986" s="4" t="str">
        <f>C986 &amp; "." &amp; D986</f>
        <v>ReviewEvents.CadenceBreachVersionKey</v>
      </c>
      <c r="C986" s="3" t="s">
        <v>3988</v>
      </c>
      <c r="D986" s="3" t="s">
        <v>1645</v>
      </c>
      <c r="E986" s="3" t="s">
        <v>2420</v>
      </c>
      <c r="F986" s="3" t="s">
        <v>2417</v>
      </c>
      <c r="G986" s="3" t="s">
        <v>4014</v>
      </c>
      <c r="H986" s="3" t="s">
        <v>2243</v>
      </c>
      <c r="I986" s="4" t="b">
        <f>OR(((E986 = "calculated")=TRUE), ((E986 = "lookup")=TRUE), ((E986 = "aggregation")=TRUE))</f>
        <v>1</v>
      </c>
      <c r="J986" s="4" t="b">
        <f>H986 &lt;&gt; ""</f>
        <v>1</v>
      </c>
      <c r="K986" s="4">
        <f>COUNTIFS(FieldDisagreements!D2:D50, A986)</f>
        <v>0</v>
      </c>
      <c r="L986" s="4" t="b">
        <f>K986 &gt; 0</f>
        <v>0</v>
      </c>
      <c r="M986" s="3" t="s">
        <v>2418</v>
      </c>
    </row>
    <row r="987">
      <c r="A987" s="3" t="s">
        <v>4015</v>
      </c>
      <c r="B987" s="4" t="str">
        <f>C987 &amp; "." &amp; D987</f>
        <v>ReviewEvents.SemanticTypeIri</v>
      </c>
      <c r="C987" s="3" t="s">
        <v>3988</v>
      </c>
      <c r="D987" s="3" t="s">
        <v>94</v>
      </c>
      <c r="E987" s="3" t="s">
        <v>2416</v>
      </c>
      <c r="F987" s="3" t="s">
        <v>2417</v>
      </c>
      <c r="G987" s="3"/>
      <c r="H987" s="3"/>
      <c r="I987" s="4" t="b">
        <f>OR(((E987 = "calculated")=TRUE), ((E987 = "lookup")=TRUE), ((E987 = "aggregation")=TRUE))</f>
        <v>0</v>
      </c>
      <c r="J987" s="4" t="b">
        <f>H987 &lt;&gt; ""</f>
        <v>0</v>
      </c>
      <c r="K987" s="4">
        <f>COUNTIFS(FieldDisagreements!D2:D50, A987)</f>
        <v>0</v>
      </c>
      <c r="L987" s="4" t="b">
        <f>K987 &gt; 0</f>
        <v>0</v>
      </c>
      <c r="M987" s="3" t="s">
        <v>2418</v>
      </c>
    </row>
    <row r="988">
      <c r="A988" s="3" t="s">
        <v>4016</v>
      </c>
      <c r="B988" s="4" t="str">
        <f>C988 &amp; "." &amp; D988</f>
        <v>LearningActivities.LearningActivityId</v>
      </c>
      <c r="C988" s="3" t="s">
        <v>4017</v>
      </c>
      <c r="D988" s="3" t="s">
        <v>1654</v>
      </c>
      <c r="E988" s="3" t="s">
        <v>2416</v>
      </c>
      <c r="F988" s="3" t="s">
        <v>2417</v>
      </c>
      <c r="G988" s="3"/>
      <c r="H988" s="3"/>
      <c r="I988" s="4" t="b">
        <f>OR(((E988 = "calculated")=TRUE), ((E988 = "lookup")=TRUE), ((E988 = "aggregation")=TRUE))</f>
        <v>0</v>
      </c>
      <c r="J988" s="4" t="b">
        <f>H988 &lt;&gt; ""</f>
        <v>0</v>
      </c>
      <c r="K988" s="4">
        <f>COUNTIFS(FieldDisagreements!D2:D50, A988)</f>
        <v>0</v>
      </c>
      <c r="L988" s="4" t="b">
        <f>K988 &gt; 0</f>
        <v>0</v>
      </c>
      <c r="M988" s="3" t="s">
        <v>2418</v>
      </c>
    </row>
    <row r="989">
      <c r="A989" s="3" t="s">
        <v>4018</v>
      </c>
      <c r="B989" s="4" t="str">
        <f>C989 &amp; "." &amp; D989</f>
        <v>LearningActivities.Name</v>
      </c>
      <c r="C989" s="3" t="s">
        <v>4017</v>
      </c>
      <c r="D989" s="3" t="s">
        <v>1</v>
      </c>
      <c r="E989" s="3" t="s">
        <v>2420</v>
      </c>
      <c r="F989" s="3" t="s">
        <v>2417</v>
      </c>
      <c r="G989" s="3" t="s">
        <v>4019</v>
      </c>
      <c r="H989" s="3"/>
      <c r="I989" s="4" t="b">
        <f>OR(((E989 = "calculated")=TRUE), ((E989 = "lookup")=TRUE), ((E989 = "aggregation")=TRUE))</f>
        <v>1</v>
      </c>
      <c r="J989" s="4" t="b">
        <f>H989 &lt;&gt; ""</f>
        <v>0</v>
      </c>
      <c r="K989" s="4">
        <f>COUNTIFS(FieldDisagreements!D2:D50, A989)</f>
        <v>0</v>
      </c>
      <c r="L989" s="4" t="b">
        <f>K989 &gt; 0</f>
        <v>0</v>
      </c>
      <c r="M989" s="3" t="s">
        <v>2418</v>
      </c>
    </row>
    <row r="990">
      <c r="A990" s="3" t="s">
        <v>4020</v>
      </c>
      <c r="B990" s="4" t="str">
        <f>C990 &amp; "." &amp; D990</f>
        <v>LearningActivities.CommunityOfPractice</v>
      </c>
      <c r="C990" s="3" t="s">
        <v>4017</v>
      </c>
      <c r="D990" s="3" t="s">
        <v>339</v>
      </c>
      <c r="E990" s="3" t="s">
        <v>2465</v>
      </c>
      <c r="F990" s="3" t="s">
        <v>2417</v>
      </c>
      <c r="G990" s="3"/>
      <c r="H990" s="3"/>
      <c r="I990" s="4" t="b">
        <f>OR(((E990 = "calculated")=TRUE), ((E990 = "lookup")=TRUE), ((E990 = "aggregation")=TRUE))</f>
        <v>0</v>
      </c>
      <c r="J990" s="4" t="b">
        <f>H990 &lt;&gt; ""</f>
        <v>0</v>
      </c>
      <c r="K990" s="4">
        <f>COUNTIFS(FieldDisagreements!D2:D50, A990)</f>
        <v>0</v>
      </c>
      <c r="L990" s="4" t="b">
        <f>K990 &gt; 0</f>
        <v>0</v>
      </c>
      <c r="M990" s="3" t="s">
        <v>2418</v>
      </c>
    </row>
    <row r="991">
      <c r="A991" s="3" t="s">
        <v>4021</v>
      </c>
      <c r="B991" s="4" t="str">
        <f>C991 &amp; "." &amp; D991</f>
        <v>LearningActivities.ProcedureVersion</v>
      </c>
      <c r="C991" s="3" t="s">
        <v>4017</v>
      </c>
      <c r="D991" s="3" t="s">
        <v>478</v>
      </c>
      <c r="E991" s="3" t="s">
        <v>2465</v>
      </c>
      <c r="F991" s="3" t="s">
        <v>2417</v>
      </c>
      <c r="G991" s="3"/>
      <c r="H991" s="3"/>
      <c r="I991" s="4" t="b">
        <f>OR(((E991 = "calculated")=TRUE), ((E991 = "lookup")=TRUE), ((E991 = "aggregation")=TRUE))</f>
        <v>0</v>
      </c>
      <c r="J991" s="4" t="b">
        <f>H991 &lt;&gt; ""</f>
        <v>0</v>
      </c>
      <c r="K991" s="4">
        <f>COUNTIFS(FieldDisagreements!D2:D50, A991)</f>
        <v>0</v>
      </c>
      <c r="L991" s="4" t="b">
        <f>K991 &gt; 0</f>
        <v>0</v>
      </c>
      <c r="M991" s="3" t="s">
        <v>2418</v>
      </c>
    </row>
    <row r="992">
      <c r="A992" s="3" t="s">
        <v>4022</v>
      </c>
      <c r="B992" s="4" t="str">
        <f>C992 &amp; "." &amp; D992</f>
        <v>LearningActivities.ActivityKind</v>
      </c>
      <c r="C992" s="3" t="s">
        <v>4017</v>
      </c>
      <c r="D992" s="3" t="s">
        <v>1655</v>
      </c>
      <c r="E992" s="3" t="s">
        <v>2416</v>
      </c>
      <c r="F992" s="3" t="s">
        <v>2417</v>
      </c>
      <c r="G992" s="3"/>
      <c r="H992" s="3"/>
      <c r="I992" s="4" t="b">
        <f>OR(((E992 = "calculated")=TRUE), ((E992 = "lookup")=TRUE), ((E992 = "aggregation")=TRUE))</f>
        <v>0</v>
      </c>
      <c r="J992" s="4" t="b">
        <f>H992 &lt;&gt; ""</f>
        <v>0</v>
      </c>
      <c r="K992" s="4">
        <f>COUNTIFS(FieldDisagreements!D2:D50, A992)</f>
        <v>0</v>
      </c>
      <c r="L992" s="4" t="b">
        <f>K992 &gt; 0</f>
        <v>0</v>
      </c>
      <c r="M992" s="3" t="s">
        <v>2418</v>
      </c>
    </row>
    <row r="993">
      <c r="A993" s="3" t="s">
        <v>4023</v>
      </c>
      <c r="B993" s="4" t="str">
        <f>C993 &amp; "." &amp; D993</f>
        <v>LearningActivities.OccurredAt</v>
      </c>
      <c r="C993" s="3" t="s">
        <v>4017</v>
      </c>
      <c r="D993" s="3" t="s">
        <v>1542</v>
      </c>
      <c r="E993" s="3" t="s">
        <v>2416</v>
      </c>
      <c r="F993" s="3" t="s">
        <v>2428</v>
      </c>
      <c r="G993" s="3"/>
      <c r="H993" s="3"/>
      <c r="I993" s="4" t="b">
        <f>OR(((E993 = "calculated")=TRUE), ((E993 = "lookup")=TRUE), ((E993 = "aggregation")=TRUE))</f>
        <v>0</v>
      </c>
      <c r="J993" s="4" t="b">
        <f>H993 &lt;&gt; ""</f>
        <v>0</v>
      </c>
      <c r="K993" s="4">
        <f>COUNTIFS(FieldDisagreements!D2:D50, A993)</f>
        <v>0</v>
      </c>
      <c r="L993" s="4" t="b">
        <f>K993 &gt; 0</f>
        <v>0</v>
      </c>
      <c r="M993" s="3" t="s">
        <v>2418</v>
      </c>
    </row>
    <row r="994">
      <c r="A994" s="3" t="s">
        <v>4024</v>
      </c>
      <c r="B994" s="4" t="str">
        <f>C994 &amp; "." &amp; D994</f>
        <v>LearningActivities.FacilitatorAgent</v>
      </c>
      <c r="C994" s="3" t="s">
        <v>4017</v>
      </c>
      <c r="D994" s="3" t="s">
        <v>1083</v>
      </c>
      <c r="E994" s="3" t="s">
        <v>2465</v>
      </c>
      <c r="F994" s="3" t="s">
        <v>2417</v>
      </c>
      <c r="G994" s="3"/>
      <c r="H994" s="3"/>
      <c r="I994" s="4" t="b">
        <f>OR(((E994 = "calculated")=TRUE), ((E994 = "lookup")=TRUE), ((E994 = "aggregation")=TRUE))</f>
        <v>0</v>
      </c>
      <c r="J994" s="4" t="b">
        <f>H994 &lt;&gt; ""</f>
        <v>0</v>
      </c>
      <c r="K994" s="4">
        <f>COUNTIFS(FieldDisagreements!D2:D50, A994)</f>
        <v>0</v>
      </c>
      <c r="L994" s="4" t="b">
        <f>K994 &gt; 0</f>
        <v>0</v>
      </c>
      <c r="M994" s="3" t="s">
        <v>2418</v>
      </c>
    </row>
    <row r="995">
      <c r="A995" s="3" t="s">
        <v>4025</v>
      </c>
      <c r="B995" s="4" t="str">
        <f>C995 &amp; "." &amp; D995</f>
        <v>LearningActivities.Outcome</v>
      </c>
      <c r="C995" s="3" t="s">
        <v>4017</v>
      </c>
      <c r="D995" s="3" t="s">
        <v>1635</v>
      </c>
      <c r="E995" s="3" t="s">
        <v>2416</v>
      </c>
      <c r="F995" s="3" t="s">
        <v>2417</v>
      </c>
      <c r="G995" s="3"/>
      <c r="H995" s="3"/>
      <c r="I995" s="4" t="b">
        <f>OR(((E995 = "calculated")=TRUE), ((E995 = "lookup")=TRUE), ((E995 = "aggregation")=TRUE))</f>
        <v>0</v>
      </c>
      <c r="J995" s="4" t="b">
        <f>H995 &lt;&gt; ""</f>
        <v>0</v>
      </c>
      <c r="K995" s="4">
        <f>COUNTIFS(FieldDisagreements!D2:D50, A995)</f>
        <v>0</v>
      </c>
      <c r="L995" s="4" t="b">
        <f>K995 &gt; 0</f>
        <v>0</v>
      </c>
      <c r="M995" s="3" t="s">
        <v>2418</v>
      </c>
    </row>
    <row r="996">
      <c r="A996" s="3" t="s">
        <v>4026</v>
      </c>
      <c r="B996" s="4" t="str">
        <f>C996 &amp; "." &amp; D996</f>
        <v>LearningActivities.EvidenceResource</v>
      </c>
      <c r="C996" s="3" t="s">
        <v>4017</v>
      </c>
      <c r="D996" s="3" t="s">
        <v>1656</v>
      </c>
      <c r="E996" s="3" t="s">
        <v>2465</v>
      </c>
      <c r="F996" s="3" t="s">
        <v>2417</v>
      </c>
      <c r="G996" s="3"/>
      <c r="H996" s="3"/>
      <c r="I996" s="4" t="b">
        <f>OR(((E996 = "calculated")=TRUE), ((E996 = "lookup")=TRUE), ((E996 = "aggregation")=TRUE))</f>
        <v>0</v>
      </c>
      <c r="J996" s="4" t="b">
        <f>H996 &lt;&gt; ""</f>
        <v>0</v>
      </c>
      <c r="K996" s="4">
        <f>COUNTIFS(FieldDisagreements!D2:D50, A996)</f>
        <v>0</v>
      </c>
      <c r="L996" s="4" t="b">
        <f>K996 &gt; 0</f>
        <v>0</v>
      </c>
      <c r="M996" s="3" t="s">
        <v>2418</v>
      </c>
    </row>
    <row r="997">
      <c r="A997" s="3" t="s">
        <v>4027</v>
      </c>
      <c r="B997" s="4" t="str">
        <f>C997 &amp; "." &amp; D997</f>
        <v>LearningActivities.SemanticTypeIri</v>
      </c>
      <c r="C997" s="3" t="s">
        <v>4017</v>
      </c>
      <c r="D997" s="3" t="s">
        <v>94</v>
      </c>
      <c r="E997" s="3" t="s">
        <v>2416</v>
      </c>
      <c r="F997" s="3" t="s">
        <v>2417</v>
      </c>
      <c r="G997" s="3"/>
      <c r="H997" s="3"/>
      <c r="I997" s="4" t="b">
        <f>OR(((E997 = "calculated")=TRUE), ((E997 = "lookup")=TRUE), ((E997 = "aggregation")=TRUE))</f>
        <v>0</v>
      </c>
      <c r="J997" s="4" t="b">
        <f>H997 &lt;&gt; ""</f>
        <v>0</v>
      </c>
      <c r="K997" s="4">
        <f>COUNTIFS(FieldDisagreements!D2:D50, A997)</f>
        <v>0</v>
      </c>
      <c r="L997" s="4" t="b">
        <f>K997 &gt; 0</f>
        <v>0</v>
      </c>
      <c r="M997" s="3" t="s">
        <v>2418</v>
      </c>
    </row>
    <row r="998">
      <c r="A998" s="3" t="s">
        <v>4028</v>
      </c>
      <c r="B998" s="4" t="str">
        <f>C998 &amp; "." &amp; D998</f>
        <v>OperationalBindings.OperationalBindingId</v>
      </c>
      <c r="C998" s="3" t="s">
        <v>1862</v>
      </c>
      <c r="D998" s="3" t="s">
        <v>1662</v>
      </c>
      <c r="E998" s="3" t="s">
        <v>2416</v>
      </c>
      <c r="F998" s="3" t="s">
        <v>2417</v>
      </c>
      <c r="G998" s="3"/>
      <c r="H998" s="3"/>
      <c r="I998" s="4" t="b">
        <f>OR(((E998 = "calculated")=TRUE), ((E998 = "lookup")=TRUE), ((E998 = "aggregation")=TRUE))</f>
        <v>0</v>
      </c>
      <c r="J998" s="4" t="b">
        <f>H998 &lt;&gt; ""</f>
        <v>0</v>
      </c>
      <c r="K998" s="4">
        <f>COUNTIFS(FieldDisagreements!D2:D50, A998)</f>
        <v>0</v>
      </c>
      <c r="L998" s="4" t="b">
        <f>K998 &gt; 0</f>
        <v>0</v>
      </c>
      <c r="M998" s="3" t="s">
        <v>2418</v>
      </c>
    </row>
    <row r="999">
      <c r="A999" s="3" t="s">
        <v>4029</v>
      </c>
      <c r="B999" s="4" t="str">
        <f>C999 &amp; "." &amp; D999</f>
        <v>OperationalBindings.Name</v>
      </c>
      <c r="C999" s="3" t="s">
        <v>1862</v>
      </c>
      <c r="D999" s="3" t="s">
        <v>1</v>
      </c>
      <c r="E999" s="3" t="s">
        <v>2420</v>
      </c>
      <c r="F999" s="3" t="s">
        <v>2417</v>
      </c>
      <c r="G999" s="3" t="s">
        <v>4030</v>
      </c>
      <c r="H999" s="3"/>
      <c r="I999" s="4" t="b">
        <f>OR(((E999 = "calculated")=TRUE), ((E999 = "lookup")=TRUE), ((E999 = "aggregation")=TRUE))</f>
        <v>1</v>
      </c>
      <c r="J999" s="4" t="b">
        <f>H999 &lt;&gt; ""</f>
        <v>0</v>
      </c>
      <c r="K999" s="4">
        <f>COUNTIFS(FieldDisagreements!D2:D50, A999)</f>
        <v>0</v>
      </c>
      <c r="L999" s="4" t="b">
        <f>K999 &gt; 0</f>
        <v>0</v>
      </c>
      <c r="M999" s="3" t="s">
        <v>2418</v>
      </c>
    </row>
    <row r="1000">
      <c r="A1000" s="3" t="s">
        <v>4031</v>
      </c>
      <c r="B1000" s="4" t="str">
        <f>C1000 &amp; "." &amp; D1000</f>
        <v>OperationalBindings.ProcedureVersion</v>
      </c>
      <c r="C1000" s="3" t="s">
        <v>1862</v>
      </c>
      <c r="D1000" s="3" t="s">
        <v>478</v>
      </c>
      <c r="E1000" s="3" t="s">
        <v>2465</v>
      </c>
      <c r="F1000" s="3" t="s">
        <v>2417</v>
      </c>
      <c r="G1000" s="3"/>
      <c r="H1000" s="3"/>
      <c r="I1000" s="4" t="b">
        <f>OR(((E1000 = "calculated")=TRUE), ((E1000 = "lookup")=TRUE), ((E1000 = "aggregation")=TRUE))</f>
        <v>0</v>
      </c>
      <c r="J1000" s="4" t="b">
        <f>H1000 &lt;&gt; ""</f>
        <v>0</v>
      </c>
      <c r="K1000" s="4">
        <f>COUNTIFS(FieldDisagreements!D2:D50, A1000)</f>
        <v>0</v>
      </c>
      <c r="L1000" s="4" t="b">
        <f>K1000 &gt; 0</f>
        <v>0</v>
      </c>
      <c r="M1000" s="3" t="s">
        <v>2418</v>
      </c>
    </row>
    <row r="1001">
      <c r="A1001" s="3" t="s">
        <v>4032</v>
      </c>
      <c r="B1001" s="4" t="str">
        <f>C1001 &amp; "." &amp; D1001</f>
        <v>OperationalBindings.Step</v>
      </c>
      <c r="C1001" s="3" t="s">
        <v>1862</v>
      </c>
      <c r="D1001" s="3" t="s">
        <v>767</v>
      </c>
      <c r="E1001" s="3" t="s">
        <v>2465</v>
      </c>
      <c r="F1001" s="3" t="s">
        <v>2417</v>
      </c>
      <c r="G1001" s="3"/>
      <c r="H1001" s="3"/>
      <c r="I1001" s="4" t="b">
        <f>OR(((E1001 = "calculated")=TRUE), ((E1001 = "lookup")=TRUE), ((E1001 = "aggregation")=TRUE))</f>
        <v>0</v>
      </c>
      <c r="J1001" s="4" t="b">
        <f>H1001 &lt;&gt; ""</f>
        <v>0</v>
      </c>
      <c r="K1001" s="4">
        <f>COUNTIFS(FieldDisagreements!D2:D50, A1001)</f>
        <v>0</v>
      </c>
      <c r="L1001" s="4" t="b">
        <f>K1001 &gt; 0</f>
        <v>0</v>
      </c>
      <c r="M1001" s="3" t="s">
        <v>2418</v>
      </c>
    </row>
    <row r="1002">
      <c r="A1002" s="3" t="s">
        <v>4033</v>
      </c>
      <c r="B1002" s="4" t="str">
        <f>C1002 &amp; "." &amp; D1002</f>
        <v>OperationalBindings.Resource</v>
      </c>
      <c r="C1002" s="3" t="s">
        <v>1862</v>
      </c>
      <c r="D1002" s="3" t="s">
        <v>1066</v>
      </c>
      <c r="E1002" s="3" t="s">
        <v>2465</v>
      </c>
      <c r="F1002" s="3" t="s">
        <v>2417</v>
      </c>
      <c r="G1002" s="3"/>
      <c r="H1002" s="3"/>
      <c r="I1002" s="4" t="b">
        <f>OR(((E1002 = "calculated")=TRUE), ((E1002 = "lookup")=TRUE), ((E1002 = "aggregation")=TRUE))</f>
        <v>0</v>
      </c>
      <c r="J1002" s="4" t="b">
        <f>H1002 &lt;&gt; ""</f>
        <v>0</v>
      </c>
      <c r="K1002" s="4">
        <f>COUNTIFS(FieldDisagreements!D2:D50, A1002)</f>
        <v>0</v>
      </c>
      <c r="L1002" s="4" t="b">
        <f>K1002 &gt; 0</f>
        <v>0</v>
      </c>
      <c r="M1002" s="3" t="s">
        <v>2418</v>
      </c>
    </row>
    <row r="1003">
      <c r="A1003" s="3" t="s">
        <v>4034</v>
      </c>
      <c r="B1003" s="4" t="str">
        <f>C1003 &amp; "." &amp; D1003</f>
        <v>OperationalBindings.AccessMode</v>
      </c>
      <c r="C1003" s="3" t="s">
        <v>1862</v>
      </c>
      <c r="D1003" s="3" t="s">
        <v>1663</v>
      </c>
      <c r="E1003" s="3" t="s">
        <v>2416</v>
      </c>
      <c r="F1003" s="3" t="s">
        <v>2417</v>
      </c>
      <c r="G1003" s="3"/>
      <c r="H1003" s="3"/>
      <c r="I1003" s="4" t="b">
        <f>OR(((E1003 = "calculated")=TRUE), ((E1003 = "lookup")=TRUE), ((E1003 = "aggregation")=TRUE))</f>
        <v>0</v>
      </c>
      <c r="J1003" s="4" t="b">
        <f>H1003 &lt;&gt; ""</f>
        <v>0</v>
      </c>
      <c r="K1003" s="4">
        <f>COUNTIFS(FieldDisagreements!D2:D50, A1003)</f>
        <v>0</v>
      </c>
      <c r="L1003" s="4" t="b">
        <f>K1003 &gt; 0</f>
        <v>0</v>
      </c>
      <c r="M1003" s="3" t="s">
        <v>2418</v>
      </c>
    </row>
    <row r="1004">
      <c r="A1004" s="3" t="s">
        <v>4035</v>
      </c>
      <c r="B1004" s="4" t="str">
        <f>C1004 &amp; "." &amp; D1004</f>
        <v>OperationalBindings.RecordOrSchemaKey</v>
      </c>
      <c r="C1004" s="3" t="s">
        <v>1862</v>
      </c>
      <c r="D1004" s="3" t="s">
        <v>1664</v>
      </c>
      <c r="E1004" s="3" t="s">
        <v>2416</v>
      </c>
      <c r="F1004" s="3" t="s">
        <v>2417</v>
      </c>
      <c r="G1004" s="3"/>
      <c r="H1004" s="3"/>
      <c r="I1004" s="4" t="b">
        <f>OR(((E1004 = "calculated")=TRUE), ((E1004 = "lookup")=TRUE), ((E1004 = "aggregation")=TRUE))</f>
        <v>0</v>
      </c>
      <c r="J1004" s="4" t="b">
        <f>H1004 &lt;&gt; ""</f>
        <v>0</v>
      </c>
      <c r="K1004" s="4">
        <f>COUNTIFS(FieldDisagreements!D2:D50, A1004)</f>
        <v>0</v>
      </c>
      <c r="L1004" s="4" t="b">
        <f>K1004 &gt; 0</f>
        <v>0</v>
      </c>
      <c r="M1004" s="3" t="s">
        <v>2418</v>
      </c>
    </row>
    <row r="1005">
      <c r="A1005" s="3" t="s">
        <v>4036</v>
      </c>
      <c r="B1005" s="4" t="str">
        <f>C1005 &amp; "." &amp; D1005</f>
        <v>OperationalBindings.LastObservedAt</v>
      </c>
      <c r="C1005" s="3" t="s">
        <v>1862</v>
      </c>
      <c r="D1005" s="3" t="s">
        <v>1665</v>
      </c>
      <c r="E1005" s="3" t="s">
        <v>2416</v>
      </c>
      <c r="F1005" s="3" t="s">
        <v>2428</v>
      </c>
      <c r="G1005" s="3"/>
      <c r="H1005" s="3"/>
      <c r="I1005" s="4" t="b">
        <f>OR(((E1005 = "calculated")=TRUE), ((E1005 = "lookup")=TRUE), ((E1005 = "aggregation")=TRUE))</f>
        <v>0</v>
      </c>
      <c r="J1005" s="4" t="b">
        <f>H1005 &lt;&gt; ""</f>
        <v>0</v>
      </c>
      <c r="K1005" s="4">
        <f>COUNTIFS(FieldDisagreements!D2:D50, A1005)</f>
        <v>0</v>
      </c>
      <c r="L1005" s="4" t="b">
        <f>K1005 &gt; 0</f>
        <v>0</v>
      </c>
      <c r="M1005" s="3" t="s">
        <v>2418</v>
      </c>
    </row>
    <row r="1006">
      <c r="A1006" s="3" t="s">
        <v>4037</v>
      </c>
      <c r="B1006" s="4" t="str">
        <f>C1006 &amp; "." &amp; D1006</f>
        <v>OperationalBindings.FreshnessSlaMinutes</v>
      </c>
      <c r="C1006" s="3" t="s">
        <v>1862</v>
      </c>
      <c r="D1006" s="3" t="s">
        <v>1666</v>
      </c>
      <c r="E1006" s="3" t="s">
        <v>2416</v>
      </c>
      <c r="F1006" s="3" t="s">
        <v>2470</v>
      </c>
      <c r="G1006" s="3"/>
      <c r="H1006" s="3"/>
      <c r="I1006" s="4" t="b">
        <f>OR(((E1006 = "calculated")=TRUE), ((E1006 = "lookup")=TRUE), ((E1006 = "aggregation")=TRUE))</f>
        <v>0</v>
      </c>
      <c r="J1006" s="4" t="b">
        <f>H1006 &lt;&gt; ""</f>
        <v>0</v>
      </c>
      <c r="K1006" s="4">
        <f>COUNTIFS(FieldDisagreements!D2:D50, A1006)</f>
        <v>0</v>
      </c>
      <c r="L1006" s="4" t="b">
        <f>K1006 &gt; 0</f>
        <v>0</v>
      </c>
      <c r="M1006" s="3" t="s">
        <v>2418</v>
      </c>
    </row>
    <row r="1007">
      <c r="A1007" s="3" t="s">
        <v>4038</v>
      </c>
      <c r="B1007" s="4" t="str">
        <f>C1007 &amp; "." &amp; D1007</f>
        <v>OperationalBindings.IsAuthoritative</v>
      </c>
      <c r="C1007" s="3" t="s">
        <v>1862</v>
      </c>
      <c r="D1007" s="3" t="s">
        <v>1667</v>
      </c>
      <c r="E1007" s="3" t="s">
        <v>2416</v>
      </c>
      <c r="F1007" s="3" t="s">
        <v>2432</v>
      </c>
      <c r="G1007" s="3"/>
      <c r="H1007" s="3"/>
      <c r="I1007" s="4" t="b">
        <f>OR(((E1007 = "calculated")=TRUE), ((E1007 = "lookup")=TRUE), ((E1007 = "aggregation")=TRUE))</f>
        <v>0</v>
      </c>
      <c r="J1007" s="4" t="b">
        <f>H1007 &lt;&gt; ""</f>
        <v>0</v>
      </c>
      <c r="K1007" s="4">
        <f>COUNTIFS(FieldDisagreements!D2:D50, A1007)</f>
        <v>0</v>
      </c>
      <c r="L1007" s="4" t="b">
        <f>K1007 &gt; 0</f>
        <v>0</v>
      </c>
      <c r="M1007" s="3" t="s">
        <v>2418</v>
      </c>
    </row>
    <row r="1008">
      <c r="A1008" s="3" t="s">
        <v>4039</v>
      </c>
      <c r="B1008" s="4" t="str">
        <f>C1008 &amp; "." &amp; D1008</f>
        <v>OperationalBindings.EvaluationContext</v>
      </c>
      <c r="C1008" s="3" t="s">
        <v>1862</v>
      </c>
      <c r="D1008" s="3" t="s">
        <v>258</v>
      </c>
      <c r="E1008" s="3" t="s">
        <v>2465</v>
      </c>
      <c r="F1008" s="3" t="s">
        <v>2417</v>
      </c>
      <c r="G1008" s="3"/>
      <c r="H1008" s="3"/>
      <c r="I1008" s="4" t="b">
        <f>OR(((E1008 = "calculated")=TRUE), ((E1008 = "lookup")=TRUE), ((E1008 = "aggregation")=TRUE))</f>
        <v>0</v>
      </c>
      <c r="J1008" s="4" t="b">
        <f>H1008 &lt;&gt; ""</f>
        <v>0</v>
      </c>
      <c r="K1008" s="4">
        <f>COUNTIFS(FieldDisagreements!D2:D50, A1008)</f>
        <v>0</v>
      </c>
      <c r="L1008" s="4" t="b">
        <f>K1008 &gt; 0</f>
        <v>0</v>
      </c>
      <c r="M1008" s="3" t="s">
        <v>2418</v>
      </c>
    </row>
    <row r="1009">
      <c r="A1009" s="3" t="s">
        <v>4040</v>
      </c>
      <c r="B1009" s="4" t="str">
        <f>C1009 &amp; "." &amp; D1009</f>
        <v>OperationalBindings.AsOfInstant</v>
      </c>
      <c r="C1009" s="3" t="s">
        <v>1862</v>
      </c>
      <c r="D1009" s="3" t="s">
        <v>92</v>
      </c>
      <c r="E1009" s="3" t="s">
        <v>2509</v>
      </c>
      <c r="F1009" s="3" t="s">
        <v>2428</v>
      </c>
      <c r="G1009" s="3" t="s">
        <v>2555</v>
      </c>
      <c r="H1009" s="3"/>
      <c r="I1009" s="4" t="b">
        <f>OR(((E1009 = "calculated")=TRUE), ((E1009 = "lookup")=TRUE), ((E1009 = "aggregation")=TRUE))</f>
        <v>1</v>
      </c>
      <c r="J1009" s="4" t="b">
        <f>H1009 &lt;&gt; ""</f>
        <v>0</v>
      </c>
      <c r="K1009" s="4">
        <f>COUNTIFS(FieldDisagreements!D2:D50, A1009)</f>
        <v>0</v>
      </c>
      <c r="L1009" s="4" t="b">
        <f>K1009 &gt; 0</f>
        <v>0</v>
      </c>
      <c r="M1009" s="3" t="s">
        <v>2418</v>
      </c>
    </row>
    <row r="1010">
      <c r="A1010" s="3" t="s">
        <v>4041</v>
      </c>
      <c r="B1010" s="4" t="str">
        <f>C1010 &amp; "." &amp; D1010</f>
        <v>OperationalBindings.AgeMinutes</v>
      </c>
      <c r="C1010" s="3" t="s">
        <v>1862</v>
      </c>
      <c r="D1010" s="3" t="s">
        <v>1668</v>
      </c>
      <c r="E1010" s="3" t="s">
        <v>2420</v>
      </c>
      <c r="F1010" s="3" t="s">
        <v>2470</v>
      </c>
      <c r="G1010" s="3" t="s">
        <v>4042</v>
      </c>
      <c r="H1010" s="3"/>
      <c r="I1010" s="4" t="b">
        <f>OR(((E1010 = "calculated")=TRUE), ((E1010 = "lookup")=TRUE), ((E1010 = "aggregation")=TRUE))</f>
        <v>1</v>
      </c>
      <c r="J1010" s="4" t="b">
        <f>H1010 &lt;&gt; ""</f>
        <v>0</v>
      </c>
      <c r="K1010" s="4">
        <f>COUNTIFS(FieldDisagreements!D2:D50, A1010)</f>
        <v>0</v>
      </c>
      <c r="L1010" s="4" t="b">
        <f>K1010 &gt; 0</f>
        <v>0</v>
      </c>
      <c r="M1010" s="3" t="s">
        <v>2418</v>
      </c>
    </row>
    <row r="1011">
      <c r="A1011" s="3" t="s">
        <v>4043</v>
      </c>
      <c r="B1011" s="4" t="str">
        <f>C1011 &amp; "." &amp; D1011</f>
        <v>OperationalBindings.IsFresh</v>
      </c>
      <c r="C1011" s="3" t="s">
        <v>1862</v>
      </c>
      <c r="D1011" s="3" t="s">
        <v>1669</v>
      </c>
      <c r="E1011" s="3" t="s">
        <v>2420</v>
      </c>
      <c r="F1011" s="3" t="s">
        <v>2432</v>
      </c>
      <c r="G1011" s="3" t="s">
        <v>4044</v>
      </c>
      <c r="H1011" s="3"/>
      <c r="I1011" s="4" t="b">
        <f>OR(((E1011 = "calculated")=TRUE), ((E1011 = "lookup")=TRUE), ((E1011 = "aggregation")=TRUE))</f>
        <v>1</v>
      </c>
      <c r="J1011" s="4" t="b">
        <f>H1011 &lt;&gt; ""</f>
        <v>0</v>
      </c>
      <c r="K1011" s="4">
        <f>COUNTIFS(FieldDisagreements!D2:D50, A1011)</f>
        <v>0</v>
      </c>
      <c r="L1011" s="4" t="b">
        <f>K1011 &gt; 0</f>
        <v>0</v>
      </c>
      <c r="M1011" s="3" t="s">
        <v>2418</v>
      </c>
    </row>
    <row r="1012">
      <c r="A1012" s="3" t="s">
        <v>4045</v>
      </c>
      <c r="B1012" s="4" t="str">
        <f>C1012 &amp; "." &amp; D1012</f>
        <v>OperationalBindings.StaleBindingStepKey</v>
      </c>
      <c r="C1012" s="3" t="s">
        <v>1862</v>
      </c>
      <c r="D1012" s="3" t="s">
        <v>1670</v>
      </c>
      <c r="E1012" s="3" t="s">
        <v>2420</v>
      </c>
      <c r="F1012" s="3" t="s">
        <v>2417</v>
      </c>
      <c r="G1012" s="3" t="s">
        <v>4046</v>
      </c>
      <c r="H1012" s="3" t="s">
        <v>1967</v>
      </c>
      <c r="I1012" s="4" t="b">
        <f>OR(((E1012 = "calculated")=TRUE), ((E1012 = "lookup")=TRUE), ((E1012 = "aggregation")=TRUE))</f>
        <v>1</v>
      </c>
      <c r="J1012" s="4" t="b">
        <f>H1012 &lt;&gt; ""</f>
        <v>1</v>
      </c>
      <c r="K1012" s="4">
        <f>COUNTIFS(FieldDisagreements!D2:D50, A1012)</f>
        <v>0</v>
      </c>
      <c r="L1012" s="4" t="b">
        <f>K1012 &gt; 0</f>
        <v>0</v>
      </c>
      <c r="M1012" s="3" t="s">
        <v>2418</v>
      </c>
    </row>
    <row r="1013">
      <c r="A1013" s="3" t="s">
        <v>4047</v>
      </c>
      <c r="B1013" s="4" t="str">
        <f>C1013 &amp; "." &amp; D1013</f>
        <v>OperationalBindings.AuthoritativeStaleStepKey</v>
      </c>
      <c r="C1013" s="3" t="s">
        <v>1862</v>
      </c>
      <c r="D1013" s="3" t="s">
        <v>1671</v>
      </c>
      <c r="E1013" s="3" t="s">
        <v>2420</v>
      </c>
      <c r="F1013" s="3" t="s">
        <v>2417</v>
      </c>
      <c r="G1013" s="3" t="s">
        <v>4048</v>
      </c>
      <c r="H1013" s="3" t="s">
        <v>1967</v>
      </c>
      <c r="I1013" s="4" t="b">
        <f>OR(((E1013 = "calculated")=TRUE), ((E1013 = "lookup")=TRUE), ((E1013 = "aggregation")=TRUE))</f>
        <v>1</v>
      </c>
      <c r="J1013" s="4" t="b">
        <f>H1013 &lt;&gt; ""</f>
        <v>1</v>
      </c>
      <c r="K1013" s="4">
        <f>COUNTIFS(FieldDisagreements!D2:D50, A1013)</f>
        <v>0</v>
      </c>
      <c r="L1013" s="4" t="b">
        <f>K1013 &gt; 0</f>
        <v>0</v>
      </c>
      <c r="M1013" s="3" t="s">
        <v>2418</v>
      </c>
    </row>
    <row r="1014">
      <c r="A1014" s="3" t="s">
        <v>4049</v>
      </c>
      <c r="B1014" s="4" t="str">
        <f>C1014 &amp; "." &amp; D1014</f>
        <v>OperationalBindings.IsStaleAndAuthoritative</v>
      </c>
      <c r="C1014" s="3" t="s">
        <v>1862</v>
      </c>
      <c r="D1014" s="3" t="s">
        <v>1672</v>
      </c>
      <c r="E1014" s="3" t="s">
        <v>2420</v>
      </c>
      <c r="F1014" s="3" t="s">
        <v>2432</v>
      </c>
      <c r="G1014" s="3" t="s">
        <v>4050</v>
      </c>
      <c r="H1014" s="3" t="s">
        <v>2123</v>
      </c>
      <c r="I1014" s="4" t="b">
        <f>OR(((E1014 = "calculated")=TRUE), ((E1014 = "lookup")=TRUE), ((E1014 = "aggregation")=TRUE))</f>
        <v>1</v>
      </c>
      <c r="J1014" s="4" t="b">
        <f>H1014 &lt;&gt; ""</f>
        <v>1</v>
      </c>
      <c r="K1014" s="4">
        <f>COUNTIFS(FieldDisagreements!D2:D50, A1014)</f>
        <v>0</v>
      </c>
      <c r="L1014" s="4" t="b">
        <f>K1014 &gt; 0</f>
        <v>0</v>
      </c>
      <c r="M1014" s="3" t="s">
        <v>2418</v>
      </c>
    </row>
    <row r="1015">
      <c r="A1015" s="3" t="s">
        <v>4051</v>
      </c>
      <c r="B1015" s="4" t="str">
        <f>C1015 &amp; "." &amp; D1015</f>
        <v>OperationalBindings.StepWhenStale</v>
      </c>
      <c r="C1015" s="3" t="s">
        <v>1862</v>
      </c>
      <c r="D1015" s="3" t="s">
        <v>1673</v>
      </c>
      <c r="E1015" s="3" t="s">
        <v>2420</v>
      </c>
      <c r="F1015" s="3" t="s">
        <v>2417</v>
      </c>
      <c r="G1015" s="3" t="s">
        <v>4052</v>
      </c>
      <c r="H1015" s="3" t="s">
        <v>2123</v>
      </c>
      <c r="I1015" s="4" t="b">
        <f>OR(((E1015 = "calculated")=TRUE), ((E1015 = "lookup")=TRUE), ((E1015 = "aggregation")=TRUE))</f>
        <v>1</v>
      </c>
      <c r="J1015" s="4" t="b">
        <f>H1015 &lt;&gt; ""</f>
        <v>1</v>
      </c>
      <c r="K1015" s="4">
        <f>COUNTIFS(FieldDisagreements!D2:D50, A1015)</f>
        <v>0</v>
      </c>
      <c r="L1015" s="4" t="b">
        <f>K1015 &gt; 0</f>
        <v>0</v>
      </c>
      <c r="M1015" s="3" t="s">
        <v>2418</v>
      </c>
    </row>
    <row r="1016">
      <c r="A1016" s="3" t="s">
        <v>4053</v>
      </c>
      <c r="B1016" s="4" t="str">
        <f>C1016 &amp; "." &amp; D1016</f>
        <v>OperationalBindings.ResourceIsApproved</v>
      </c>
      <c r="C1016" s="3" t="s">
        <v>1862</v>
      </c>
      <c r="D1016" s="3" t="s">
        <v>1674</v>
      </c>
      <c r="E1016" s="3" t="s">
        <v>2509</v>
      </c>
      <c r="F1016" s="3" t="s">
        <v>2432</v>
      </c>
      <c r="G1016" s="3" t="s">
        <v>4054</v>
      </c>
      <c r="H1016" s="3" t="s">
        <v>2183</v>
      </c>
      <c r="I1016" s="4" t="b">
        <f>OR(((E1016 = "calculated")=TRUE), ((E1016 = "lookup")=TRUE), ((E1016 = "aggregation")=TRUE))</f>
        <v>1</v>
      </c>
      <c r="J1016" s="4" t="b">
        <f>H1016 &lt;&gt; ""</f>
        <v>1</v>
      </c>
      <c r="K1016" s="4">
        <f>COUNTIFS(FieldDisagreements!D2:D50, A1016)</f>
        <v>0</v>
      </c>
      <c r="L1016" s="4" t="b">
        <f>K1016 &gt; 0</f>
        <v>0</v>
      </c>
      <c r="M1016" s="3" t="s">
        <v>2418</v>
      </c>
    </row>
    <row r="1017">
      <c r="A1017" s="3" t="s">
        <v>4055</v>
      </c>
      <c r="B1017" s="4" t="str">
        <f>C1017 &amp; "." &amp; D1017</f>
        <v>OperationalBindings.IsUsableForDrafting</v>
      </c>
      <c r="C1017" s="3" t="s">
        <v>1862</v>
      </c>
      <c r="D1017" s="3" t="s">
        <v>1675</v>
      </c>
      <c r="E1017" s="3" t="s">
        <v>2420</v>
      </c>
      <c r="F1017" s="3" t="s">
        <v>2432</v>
      </c>
      <c r="G1017" s="3" t="s">
        <v>4056</v>
      </c>
      <c r="H1017" s="3" t="s">
        <v>2183</v>
      </c>
      <c r="I1017" s="4" t="b">
        <f>OR(((E1017 = "calculated")=TRUE), ((E1017 = "lookup")=TRUE), ((E1017 = "aggregation")=TRUE))</f>
        <v>1</v>
      </c>
      <c r="J1017" s="4" t="b">
        <f>H1017 &lt;&gt; ""</f>
        <v>1</v>
      </c>
      <c r="K1017" s="4">
        <f>COUNTIFS(FieldDisagreements!D2:D50, A1017)</f>
        <v>0</v>
      </c>
      <c r="L1017" s="4" t="b">
        <f>K1017 &gt; 0</f>
        <v>0</v>
      </c>
      <c r="M1017" s="3" t="s">
        <v>2418</v>
      </c>
    </row>
    <row r="1018">
      <c r="A1018" s="3" t="s">
        <v>4057</v>
      </c>
      <c r="B1018" s="4" t="str">
        <f>C1018 &amp; "." &amp; D1018</f>
        <v>OperationalBindings.StepWhenUnusable</v>
      </c>
      <c r="C1018" s="3" t="s">
        <v>1862</v>
      </c>
      <c r="D1018" s="3" t="s">
        <v>1676</v>
      </c>
      <c r="E1018" s="3" t="s">
        <v>2420</v>
      </c>
      <c r="F1018" s="3" t="s">
        <v>2417</v>
      </c>
      <c r="G1018" s="3" t="s">
        <v>4058</v>
      </c>
      <c r="H1018" s="3" t="s">
        <v>2183</v>
      </c>
      <c r="I1018" s="4" t="b">
        <f>OR(((E1018 = "calculated")=TRUE), ((E1018 = "lookup")=TRUE), ((E1018 = "aggregation")=TRUE))</f>
        <v>1</v>
      </c>
      <c r="J1018" s="4" t="b">
        <f>H1018 &lt;&gt; ""</f>
        <v>1</v>
      </c>
      <c r="K1018" s="4">
        <f>COUNTIFS(FieldDisagreements!D2:D50, A1018)</f>
        <v>0</v>
      </c>
      <c r="L1018" s="4" t="b">
        <f>K1018 &gt; 0</f>
        <v>0</v>
      </c>
      <c r="M1018" s="3" t="s">
        <v>2418</v>
      </c>
    </row>
    <row r="1019">
      <c r="A1019" s="3" t="s">
        <v>4059</v>
      </c>
      <c r="B1019" s="4" t="str">
        <f>C1019 &amp; "." &amp; D1019</f>
        <v>OperationalBindings.SemanticTypeIri</v>
      </c>
      <c r="C1019" s="3" t="s">
        <v>1862</v>
      </c>
      <c r="D1019" s="3" t="s">
        <v>94</v>
      </c>
      <c r="E1019" s="3" t="s">
        <v>2416</v>
      </c>
      <c r="F1019" s="3" t="s">
        <v>2417</v>
      </c>
      <c r="G1019" s="3"/>
      <c r="H1019" s="3"/>
      <c r="I1019" s="4" t="b">
        <f>OR(((E1019 = "calculated")=TRUE), ((E1019 = "lookup")=TRUE), ((E1019 = "aggregation")=TRUE))</f>
        <v>0</v>
      </c>
      <c r="J1019" s="4" t="b">
        <f>H1019 &lt;&gt; ""</f>
        <v>0</v>
      </c>
      <c r="K1019" s="4">
        <f>COUNTIFS(FieldDisagreements!D2:D50, A1019)</f>
        <v>0</v>
      </c>
      <c r="L1019" s="4" t="b">
        <f>K1019 &gt; 0</f>
        <v>0</v>
      </c>
      <c r="M1019" s="3" t="s">
        <v>2418</v>
      </c>
    </row>
    <row r="1020">
      <c r="A1020" s="3" t="s">
        <v>4060</v>
      </c>
      <c r="B1020" s="4" t="str">
        <f>C1020 &amp; "." &amp; D1020</f>
        <v>CommunicationPolicies.CommunicationPolicyId</v>
      </c>
      <c r="C1020" s="3" t="s">
        <v>1865</v>
      </c>
      <c r="D1020" s="3" t="s">
        <v>1690</v>
      </c>
      <c r="E1020" s="3" t="s">
        <v>2416</v>
      </c>
      <c r="F1020" s="3" t="s">
        <v>2417</v>
      </c>
      <c r="G1020" s="3"/>
      <c r="H1020" s="3"/>
      <c r="I1020" s="4" t="b">
        <f>OR(((E1020 = "calculated")=TRUE), ((E1020 = "lookup")=TRUE), ((E1020 = "aggregation")=TRUE))</f>
        <v>0</v>
      </c>
      <c r="J1020" s="4" t="b">
        <f>H1020 &lt;&gt; ""</f>
        <v>0</v>
      </c>
      <c r="K1020" s="4">
        <f>COUNTIFS(FieldDisagreements!D2:D50, A1020)</f>
        <v>0</v>
      </c>
      <c r="L1020" s="4" t="b">
        <f>K1020 &gt; 0</f>
        <v>0</v>
      </c>
      <c r="M1020" s="3" t="s">
        <v>2418</v>
      </c>
    </row>
    <row r="1021">
      <c r="A1021" s="3" t="s">
        <v>4061</v>
      </c>
      <c r="B1021" s="4" t="str">
        <f>C1021 &amp; "." &amp; D1021</f>
        <v>CommunicationPolicies.Name</v>
      </c>
      <c r="C1021" s="3" t="s">
        <v>1865</v>
      </c>
      <c r="D1021" s="3" t="s">
        <v>1</v>
      </c>
      <c r="E1021" s="3" t="s">
        <v>2420</v>
      </c>
      <c r="F1021" s="3" t="s">
        <v>2417</v>
      </c>
      <c r="G1021" s="3" t="s">
        <v>4062</v>
      </c>
      <c r="H1021" s="3"/>
      <c r="I1021" s="4" t="b">
        <f>OR(((E1021 = "calculated")=TRUE), ((E1021 = "lookup")=TRUE), ((E1021 = "aggregation")=TRUE))</f>
        <v>1</v>
      </c>
      <c r="J1021" s="4" t="b">
        <f>H1021 &lt;&gt; ""</f>
        <v>0</v>
      </c>
      <c r="K1021" s="4">
        <f>COUNTIFS(FieldDisagreements!D2:D50, A1021)</f>
        <v>0</v>
      </c>
      <c r="L1021" s="4" t="b">
        <f>K1021 &gt; 0</f>
        <v>0</v>
      </c>
      <c r="M1021" s="3" t="s">
        <v>2418</v>
      </c>
    </row>
    <row r="1022">
      <c r="A1022" s="3" t="s">
        <v>4063</v>
      </c>
      <c r="B1022" s="4" t="str">
        <f>C1022 &amp; "." &amp; D1022</f>
        <v>CommunicationPolicies.ProcedureVersion</v>
      </c>
      <c r="C1022" s="3" t="s">
        <v>1865</v>
      </c>
      <c r="D1022" s="3" t="s">
        <v>478</v>
      </c>
      <c r="E1022" s="3" t="s">
        <v>2465</v>
      </c>
      <c r="F1022" s="3" t="s">
        <v>2417</v>
      </c>
      <c r="G1022" s="3"/>
      <c r="H1022" s="3"/>
      <c r="I1022" s="4" t="b">
        <f>OR(((E1022 = "calculated")=TRUE), ((E1022 = "lookup")=TRUE), ((E1022 = "aggregation")=TRUE))</f>
        <v>0</v>
      </c>
      <c r="J1022" s="4" t="b">
        <f>H1022 &lt;&gt; ""</f>
        <v>0</v>
      </c>
      <c r="K1022" s="4">
        <f>COUNTIFS(FieldDisagreements!D2:D50, A1022)</f>
        <v>0</v>
      </c>
      <c r="L1022" s="4" t="b">
        <f>K1022 &gt; 0</f>
        <v>0</v>
      </c>
      <c r="M1022" s="3" t="s">
        <v>2418</v>
      </c>
    </row>
    <row r="1023">
      <c r="A1023" s="3" t="s">
        <v>4064</v>
      </c>
      <c r="B1023" s="4" t="str">
        <f>C1023 &amp; "." &amp; D1023</f>
        <v>CommunicationPolicies.Channel</v>
      </c>
      <c r="C1023" s="3" t="s">
        <v>1865</v>
      </c>
      <c r="D1023" s="3" t="s">
        <v>1691</v>
      </c>
      <c r="E1023" s="3" t="s">
        <v>2416</v>
      </c>
      <c r="F1023" s="3" t="s">
        <v>2417</v>
      </c>
      <c r="G1023" s="3"/>
      <c r="H1023" s="3"/>
      <c r="I1023" s="4" t="b">
        <f>OR(((E1023 = "calculated")=TRUE), ((E1023 = "lookup")=TRUE), ((E1023 = "aggregation")=TRUE))</f>
        <v>0</v>
      </c>
      <c r="J1023" s="4" t="b">
        <f>H1023 &lt;&gt; ""</f>
        <v>0</v>
      </c>
      <c r="K1023" s="4">
        <f>COUNTIFS(FieldDisagreements!D2:D50, A1023)</f>
        <v>0</v>
      </c>
      <c r="L1023" s="4" t="b">
        <f>K1023 &gt; 0</f>
        <v>0</v>
      </c>
      <c r="M1023" s="3" t="s">
        <v>2418</v>
      </c>
    </row>
    <row r="1024">
      <c r="A1024" s="3" t="s">
        <v>4065</v>
      </c>
      <c r="B1024" s="4" t="str">
        <f>C1024 &amp; "." &amp; D1024</f>
        <v>CommunicationPolicies.AudienceRule</v>
      </c>
      <c r="C1024" s="3" t="s">
        <v>1865</v>
      </c>
      <c r="D1024" s="3" t="s">
        <v>1692</v>
      </c>
      <c r="E1024" s="3" t="s">
        <v>2416</v>
      </c>
      <c r="F1024" s="3" t="s">
        <v>2417</v>
      </c>
      <c r="G1024" s="3"/>
      <c r="H1024" s="3"/>
      <c r="I1024" s="4" t="b">
        <f>OR(((E1024 = "calculated")=TRUE), ((E1024 = "lookup")=TRUE), ((E1024 = "aggregation")=TRUE))</f>
        <v>0</v>
      </c>
      <c r="J1024" s="4" t="b">
        <f>H1024 &lt;&gt; ""</f>
        <v>0</v>
      </c>
      <c r="K1024" s="4">
        <f>COUNTIFS(FieldDisagreements!D2:D50, A1024)</f>
        <v>0</v>
      </c>
      <c r="L1024" s="4" t="b">
        <f>K1024 &gt; 0</f>
        <v>0</v>
      </c>
      <c r="M1024" s="3" t="s">
        <v>2418</v>
      </c>
    </row>
    <row r="1025">
      <c r="A1025" s="3" t="s">
        <v>4066</v>
      </c>
      <c r="B1025" s="4" t="str">
        <f>C1025 &amp; "." &amp; D1025</f>
        <v>CommunicationPolicies.ConsentRequired</v>
      </c>
      <c r="C1025" s="3" t="s">
        <v>1865</v>
      </c>
      <c r="D1025" s="3" t="s">
        <v>1693</v>
      </c>
      <c r="E1025" s="3" t="s">
        <v>2416</v>
      </c>
      <c r="F1025" s="3" t="s">
        <v>2432</v>
      </c>
      <c r="G1025" s="3"/>
      <c r="H1025" s="3"/>
      <c r="I1025" s="4" t="b">
        <f>OR(((E1025 = "calculated")=TRUE), ((E1025 = "lookup")=TRUE), ((E1025 = "aggregation")=TRUE))</f>
        <v>0</v>
      </c>
      <c r="J1025" s="4" t="b">
        <f>H1025 &lt;&gt; ""</f>
        <v>0</v>
      </c>
      <c r="K1025" s="4">
        <f>COUNTIFS(FieldDisagreements!D2:D50, A1025)</f>
        <v>0</v>
      </c>
      <c r="L1025" s="4" t="b">
        <f>K1025 &gt; 0</f>
        <v>0</v>
      </c>
      <c r="M1025" s="3" t="s">
        <v>2418</v>
      </c>
    </row>
    <row r="1026">
      <c r="A1026" s="3" t="s">
        <v>4067</v>
      </c>
      <c r="B1026" s="4" t="str">
        <f>C1026 &amp; "." &amp; D1026</f>
        <v>CommunicationPolicies.QuietHoursStart</v>
      </c>
      <c r="C1026" s="3" t="s">
        <v>1865</v>
      </c>
      <c r="D1026" s="3" t="s">
        <v>1694</v>
      </c>
      <c r="E1026" s="3" t="s">
        <v>2416</v>
      </c>
      <c r="F1026" s="3" t="s">
        <v>2417</v>
      </c>
      <c r="G1026" s="3"/>
      <c r="H1026" s="3"/>
      <c r="I1026" s="4" t="b">
        <f>OR(((E1026 = "calculated")=TRUE), ((E1026 = "lookup")=TRUE), ((E1026 = "aggregation")=TRUE))</f>
        <v>0</v>
      </c>
      <c r="J1026" s="4" t="b">
        <f>H1026 &lt;&gt; ""</f>
        <v>0</v>
      </c>
      <c r="K1026" s="4">
        <f>COUNTIFS(FieldDisagreements!D2:D50, A1026)</f>
        <v>0</v>
      </c>
      <c r="L1026" s="4" t="b">
        <f>K1026 &gt; 0</f>
        <v>0</v>
      </c>
      <c r="M1026" s="3" t="s">
        <v>2418</v>
      </c>
    </row>
    <row r="1027">
      <c r="A1027" s="3" t="s">
        <v>4068</v>
      </c>
      <c r="B1027" s="4" t="str">
        <f>C1027 &amp; "." &amp; D1027</f>
        <v>CommunicationPolicies.QuietHoursEnd</v>
      </c>
      <c r="C1027" s="3" t="s">
        <v>1865</v>
      </c>
      <c r="D1027" s="3" t="s">
        <v>1695</v>
      </c>
      <c r="E1027" s="3" t="s">
        <v>2416</v>
      </c>
      <c r="F1027" s="3" t="s">
        <v>2417</v>
      </c>
      <c r="G1027" s="3"/>
      <c r="H1027" s="3"/>
      <c r="I1027" s="4" t="b">
        <f>OR(((E1027 = "calculated")=TRUE), ((E1027 = "lookup")=TRUE), ((E1027 = "aggregation")=TRUE))</f>
        <v>0</v>
      </c>
      <c r="J1027" s="4" t="b">
        <f>H1027 &lt;&gt; ""</f>
        <v>0</v>
      </c>
      <c r="K1027" s="4">
        <f>COUNTIFS(FieldDisagreements!D2:D50, A1027)</f>
        <v>0</v>
      </c>
      <c r="L1027" s="4" t="b">
        <f>K1027 &gt; 0</f>
        <v>0</v>
      </c>
      <c r="M1027" s="3" t="s">
        <v>2418</v>
      </c>
    </row>
    <row r="1028">
      <c r="A1028" s="3" t="s">
        <v>4069</v>
      </c>
      <c r="B1028" s="4" t="str">
        <f>C1028 &amp; "." &amp; D1028</f>
        <v>CommunicationPolicies.MaxMessageLength</v>
      </c>
      <c r="C1028" s="3" t="s">
        <v>1865</v>
      </c>
      <c r="D1028" s="3" t="s">
        <v>1696</v>
      </c>
      <c r="E1028" s="3" t="s">
        <v>2416</v>
      </c>
      <c r="F1028" s="3" t="s">
        <v>2470</v>
      </c>
      <c r="G1028" s="3"/>
      <c r="H1028" s="3"/>
      <c r="I1028" s="4" t="b">
        <f>OR(((E1028 = "calculated")=TRUE), ((E1028 = "lookup")=TRUE), ((E1028 = "aggregation")=TRUE))</f>
        <v>0</v>
      </c>
      <c r="J1028" s="4" t="b">
        <f>H1028 &lt;&gt; ""</f>
        <v>0</v>
      </c>
      <c r="K1028" s="4">
        <f>COUNTIFS(FieldDisagreements!D2:D50, A1028)</f>
        <v>0</v>
      </c>
      <c r="L1028" s="4" t="b">
        <f>K1028 &gt; 0</f>
        <v>0</v>
      </c>
      <c r="M1028" s="3" t="s">
        <v>2418</v>
      </c>
    </row>
    <row r="1029">
      <c r="A1029" s="3" t="s">
        <v>4070</v>
      </c>
      <c r="B1029" s="4" t="str">
        <f>C1029 &amp; "." &amp; D1029</f>
        <v>CommunicationPolicies.MaxSegments</v>
      </c>
      <c r="C1029" s="3" t="s">
        <v>1865</v>
      </c>
      <c r="D1029" s="3" t="s">
        <v>1697</v>
      </c>
      <c r="E1029" s="3" t="s">
        <v>2416</v>
      </c>
      <c r="F1029" s="3" t="s">
        <v>2470</v>
      </c>
      <c r="G1029" s="3"/>
      <c r="H1029" s="3"/>
      <c r="I1029" s="4" t="b">
        <f>OR(((E1029 = "calculated")=TRUE), ((E1029 = "lookup")=TRUE), ((E1029 = "aggregation")=TRUE))</f>
        <v>0</v>
      </c>
      <c r="J1029" s="4" t="b">
        <f>H1029 &lt;&gt; ""</f>
        <v>0</v>
      </c>
      <c r="K1029" s="4">
        <f>COUNTIFS(FieldDisagreements!D2:D50, A1029)</f>
        <v>0</v>
      </c>
      <c r="L1029" s="4" t="b">
        <f>K1029 &gt; 0</f>
        <v>0</v>
      </c>
      <c r="M1029" s="3" t="s">
        <v>2418</v>
      </c>
    </row>
    <row r="1030">
      <c r="A1030" s="3" t="s">
        <v>4071</v>
      </c>
      <c r="B1030" s="4" t="str">
        <f>C1030 &amp; "." &amp; D1030</f>
        <v>CommunicationPolicies.RetentionDays</v>
      </c>
      <c r="C1030" s="3" t="s">
        <v>1865</v>
      </c>
      <c r="D1030" s="3" t="s">
        <v>1698</v>
      </c>
      <c r="E1030" s="3" t="s">
        <v>2416</v>
      </c>
      <c r="F1030" s="3" t="s">
        <v>2470</v>
      </c>
      <c r="G1030" s="3"/>
      <c r="H1030" s="3"/>
      <c r="I1030" s="4" t="b">
        <f>OR(((E1030 = "calculated")=TRUE), ((E1030 = "lookup")=TRUE), ((E1030 = "aggregation")=TRUE))</f>
        <v>0</v>
      </c>
      <c r="J1030" s="4" t="b">
        <f>H1030 &lt;&gt; ""</f>
        <v>0</v>
      </c>
      <c r="K1030" s="4">
        <f>COUNTIFS(FieldDisagreements!D2:D50, A1030)</f>
        <v>0</v>
      </c>
      <c r="L1030" s="4" t="b">
        <f>K1030 &gt; 0</f>
        <v>0</v>
      </c>
      <c r="M1030" s="3" t="s">
        <v>2418</v>
      </c>
    </row>
    <row r="1031">
      <c r="A1031" s="3" t="s">
        <v>4072</v>
      </c>
      <c r="B1031" s="4" t="str">
        <f>C1031 &amp; "." &amp; D1031</f>
        <v>CommunicationPolicies.ApprovalRole</v>
      </c>
      <c r="C1031" s="3" t="s">
        <v>1865</v>
      </c>
      <c r="D1031" s="3" t="s">
        <v>1003</v>
      </c>
      <c r="E1031" s="3" t="s">
        <v>2465</v>
      </c>
      <c r="F1031" s="3" t="s">
        <v>2417</v>
      </c>
      <c r="G1031" s="3"/>
      <c r="H1031" s="3"/>
      <c r="I1031" s="4" t="b">
        <f>OR(((E1031 = "calculated")=TRUE), ((E1031 = "lookup")=TRUE), ((E1031 = "aggregation")=TRUE))</f>
        <v>0</v>
      </c>
      <c r="J1031" s="4" t="b">
        <f>H1031 &lt;&gt; ""</f>
        <v>0</v>
      </c>
      <c r="K1031" s="4">
        <f>COUNTIFS(FieldDisagreements!D2:D50, A1031)</f>
        <v>0</v>
      </c>
      <c r="L1031" s="4" t="b">
        <f>K1031 &gt; 0</f>
        <v>0</v>
      </c>
      <c r="M1031" s="3" t="s">
        <v>2418</v>
      </c>
    </row>
    <row r="1032">
      <c r="A1032" s="3" t="s">
        <v>4073</v>
      </c>
      <c r="B1032" s="4" t="str">
        <f>C1032 &amp; "." &amp; D1032</f>
        <v>CommunicationPolicies.RequiredContent</v>
      </c>
      <c r="C1032" s="3" t="s">
        <v>1865</v>
      </c>
      <c r="D1032" s="3" t="s">
        <v>1699</v>
      </c>
      <c r="E1032" s="3" t="s">
        <v>2416</v>
      </c>
      <c r="F1032" s="3" t="s">
        <v>2417</v>
      </c>
      <c r="G1032" s="3"/>
      <c r="H1032" s="3"/>
      <c r="I1032" s="4" t="b">
        <f>OR(((E1032 = "calculated")=TRUE), ((E1032 = "lookup")=TRUE), ((E1032 = "aggregation")=TRUE))</f>
        <v>0</v>
      </c>
      <c r="J1032" s="4" t="b">
        <f>H1032 &lt;&gt; ""</f>
        <v>0</v>
      </c>
      <c r="K1032" s="4">
        <f>COUNTIFS(FieldDisagreements!D2:D50, A1032)</f>
        <v>0</v>
      </c>
      <c r="L1032" s="4" t="b">
        <f>K1032 &gt; 0</f>
        <v>0</v>
      </c>
      <c r="M1032" s="3" t="s">
        <v>2418</v>
      </c>
    </row>
    <row r="1033">
      <c r="A1033" s="3" t="s">
        <v>4074</v>
      </c>
      <c r="B1033" s="4" t="str">
        <f>C1033 &amp; "." &amp; D1033</f>
        <v>CommunicationPolicies.AuthorityStatement</v>
      </c>
      <c r="C1033" s="3" t="s">
        <v>1865</v>
      </c>
      <c r="D1033" s="3" t="s">
        <v>1700</v>
      </c>
      <c r="E1033" s="3" t="s">
        <v>2416</v>
      </c>
      <c r="F1033" s="3" t="s">
        <v>2417</v>
      </c>
      <c r="G1033" s="3"/>
      <c r="H1033" s="3"/>
      <c r="I1033" s="4" t="b">
        <f>OR(((E1033 = "calculated")=TRUE), ((E1033 = "lookup")=TRUE), ((E1033 = "aggregation")=TRUE))</f>
        <v>0</v>
      </c>
      <c r="J1033" s="4" t="b">
        <f>H1033 &lt;&gt; ""</f>
        <v>0</v>
      </c>
      <c r="K1033" s="4">
        <f>COUNTIFS(FieldDisagreements!D2:D50, A1033)</f>
        <v>0</v>
      </c>
      <c r="L1033" s="4" t="b">
        <f>K1033 &gt; 0</f>
        <v>0</v>
      </c>
      <c r="M1033" s="3" t="s">
        <v>2418</v>
      </c>
    </row>
    <row r="1034">
      <c r="A1034" s="3" t="s">
        <v>4075</v>
      </c>
      <c r="B1034" s="4" t="str">
        <f>C1034 &amp; "." &amp; D1034</f>
        <v>CommunicationPolicies.Status</v>
      </c>
      <c r="C1034" s="3" t="s">
        <v>1865</v>
      </c>
      <c r="D1034" s="3" t="s">
        <v>8</v>
      </c>
      <c r="E1034" s="3" t="s">
        <v>2416</v>
      </c>
      <c r="F1034" s="3" t="s">
        <v>2417</v>
      </c>
      <c r="G1034" s="3"/>
      <c r="H1034" s="3"/>
      <c r="I1034" s="4" t="b">
        <f>OR(((E1034 = "calculated")=TRUE), ((E1034 = "lookup")=TRUE), ((E1034 = "aggregation")=TRUE))</f>
        <v>0</v>
      </c>
      <c r="J1034" s="4" t="b">
        <f>H1034 &lt;&gt; ""</f>
        <v>0</v>
      </c>
      <c r="K1034" s="4">
        <f>COUNTIFS(FieldDisagreements!D2:D50, A1034)</f>
        <v>0</v>
      </c>
      <c r="L1034" s="4" t="b">
        <f>K1034 &gt; 0</f>
        <v>0</v>
      </c>
      <c r="M1034" s="3" t="s">
        <v>2418</v>
      </c>
    </row>
    <row r="1035">
      <c r="A1035" s="3" t="s">
        <v>4076</v>
      </c>
      <c r="B1035" s="4" t="str">
        <f>C1035 &amp; "." &amp; D1035</f>
        <v>CommunicationPolicies.ConsentViolationCount</v>
      </c>
      <c r="C1035" s="3" t="s">
        <v>1865</v>
      </c>
      <c r="D1035" s="3" t="s">
        <v>1701</v>
      </c>
      <c r="E1035" s="3" t="s">
        <v>2469</v>
      </c>
      <c r="F1035" s="3" t="s">
        <v>2475</v>
      </c>
      <c r="G1035" s="3" t="s">
        <v>4077</v>
      </c>
      <c r="H1035" s="3" t="s">
        <v>2059</v>
      </c>
      <c r="I1035" s="4" t="b">
        <f>OR(((E1035 = "calculated")=TRUE), ((E1035 = "lookup")=TRUE), ((E1035 = "aggregation")=TRUE))</f>
        <v>1</v>
      </c>
      <c r="J1035" s="4" t="b">
        <f>H1035 &lt;&gt; ""</f>
        <v>1</v>
      </c>
      <c r="K1035" s="4">
        <f>COUNTIFS(FieldDisagreements!D2:D50, A1035)</f>
        <v>0</v>
      </c>
      <c r="L1035" s="4" t="b">
        <f>K1035 &gt; 0</f>
        <v>0</v>
      </c>
      <c r="M1035" s="3" t="s">
        <v>2418</v>
      </c>
    </row>
    <row r="1036">
      <c r="A1036" s="3" t="s">
        <v>4078</v>
      </c>
      <c r="B1036" s="4" t="str">
        <f>C1036 &amp; "." &amp; D1036</f>
        <v>CommunicationPolicies.QuietHoursStartHour</v>
      </c>
      <c r="C1036" s="3" t="s">
        <v>1865</v>
      </c>
      <c r="D1036" s="3" t="s">
        <v>1702</v>
      </c>
      <c r="E1036" s="3" t="s">
        <v>2416</v>
      </c>
      <c r="F1036" s="3" t="s">
        <v>2470</v>
      </c>
      <c r="G1036" s="3"/>
      <c r="H1036" s="3" t="s">
        <v>2063</v>
      </c>
      <c r="I1036" s="4" t="b">
        <f>OR(((E1036 = "calculated")=TRUE), ((E1036 = "lookup")=TRUE), ((E1036 = "aggregation")=TRUE))</f>
        <v>0</v>
      </c>
      <c r="J1036" s="4" t="b">
        <f>H1036 &lt;&gt; ""</f>
        <v>1</v>
      </c>
      <c r="K1036" s="4">
        <f>COUNTIFS(FieldDisagreements!D2:D50, A1036)</f>
        <v>0</v>
      </c>
      <c r="L1036" s="4" t="b">
        <f>K1036 &gt; 0</f>
        <v>0</v>
      </c>
      <c r="M1036" s="3" t="s">
        <v>2418</v>
      </c>
    </row>
    <row r="1037">
      <c r="A1037" s="3" t="s">
        <v>4079</v>
      </c>
      <c r="B1037" s="4" t="str">
        <f>C1037 &amp; "." &amp; D1037</f>
        <v>CommunicationPolicies.QuietHoursEndHour</v>
      </c>
      <c r="C1037" s="3" t="s">
        <v>1865</v>
      </c>
      <c r="D1037" s="3" t="s">
        <v>1703</v>
      </c>
      <c r="E1037" s="3" t="s">
        <v>2416</v>
      </c>
      <c r="F1037" s="3" t="s">
        <v>2470</v>
      </c>
      <c r="G1037" s="3"/>
      <c r="H1037" s="3" t="s">
        <v>2063</v>
      </c>
      <c r="I1037" s="4" t="b">
        <f>OR(((E1037 = "calculated")=TRUE), ((E1037 = "lookup")=TRUE), ((E1037 = "aggregation")=TRUE))</f>
        <v>0</v>
      </c>
      <c r="J1037" s="4" t="b">
        <f>H1037 &lt;&gt; ""</f>
        <v>1</v>
      </c>
      <c r="K1037" s="4">
        <f>COUNTIFS(FieldDisagreements!D2:D50, A1037)</f>
        <v>0</v>
      </c>
      <c r="L1037" s="4" t="b">
        <f>K1037 &gt; 0</f>
        <v>0</v>
      </c>
      <c r="M1037" s="3" t="s">
        <v>2418</v>
      </c>
    </row>
    <row r="1038">
      <c r="A1038" s="3" t="s">
        <v>4080</v>
      </c>
      <c r="B1038" s="4" t="str">
        <f>C1038 &amp; "." &amp; D1038</f>
        <v>CommunicationPolicies.QuietHoursViolationCount</v>
      </c>
      <c r="C1038" s="3" t="s">
        <v>1865</v>
      </c>
      <c r="D1038" s="3" t="s">
        <v>1704</v>
      </c>
      <c r="E1038" s="3" t="s">
        <v>2469</v>
      </c>
      <c r="F1038" s="3" t="s">
        <v>2475</v>
      </c>
      <c r="G1038" s="3" t="s">
        <v>4081</v>
      </c>
      <c r="H1038" s="3" t="s">
        <v>2063</v>
      </c>
      <c r="I1038" s="4" t="b">
        <f>OR(((E1038 = "calculated")=TRUE), ((E1038 = "lookup")=TRUE), ((E1038 = "aggregation")=TRUE))</f>
        <v>1</v>
      </c>
      <c r="J1038" s="4" t="b">
        <f>H1038 &lt;&gt; ""</f>
        <v>1</v>
      </c>
      <c r="K1038" s="4">
        <f>COUNTIFS(FieldDisagreements!D2:D50, A1038)</f>
        <v>0</v>
      </c>
      <c r="L1038" s="4" t="b">
        <f>K1038 &gt; 0</f>
        <v>0</v>
      </c>
      <c r="M1038" s="3" t="s">
        <v>2418</v>
      </c>
    </row>
    <row r="1039">
      <c r="A1039" s="3" t="s">
        <v>4082</v>
      </c>
      <c r="B1039" s="4" t="str">
        <f>C1039 &amp; "." &amp; D1039</f>
        <v>CommunicationPolicies.RequiredOptOutPhrase</v>
      </c>
      <c r="C1039" s="3" t="s">
        <v>1865</v>
      </c>
      <c r="D1039" s="3" t="s">
        <v>1705</v>
      </c>
      <c r="E1039" s="3" t="s">
        <v>2416</v>
      </c>
      <c r="F1039" s="3" t="s">
        <v>2417</v>
      </c>
      <c r="G1039" s="3"/>
      <c r="H1039" s="3" t="s">
        <v>2087</v>
      </c>
      <c r="I1039" s="4" t="b">
        <f>OR(((E1039 = "calculated")=TRUE), ((E1039 = "lookup")=TRUE), ((E1039 = "aggregation")=TRUE))</f>
        <v>0</v>
      </c>
      <c r="J1039" s="4" t="b">
        <f>H1039 &lt;&gt; ""</f>
        <v>1</v>
      </c>
      <c r="K1039" s="4">
        <f>COUNTIFS(FieldDisagreements!D2:D50, A1039)</f>
        <v>0</v>
      </c>
      <c r="L1039" s="4" t="b">
        <f>K1039 &gt; 0</f>
        <v>0</v>
      </c>
      <c r="M1039" s="3" t="s">
        <v>2418</v>
      </c>
    </row>
    <row r="1040">
      <c r="A1040" s="3" t="s">
        <v>4083</v>
      </c>
      <c r="B1040" s="4" t="str">
        <f>C1040 &amp; "." &amp; D1040</f>
        <v>CommunicationPolicies.IsActivePolicy</v>
      </c>
      <c r="C1040" s="3" t="s">
        <v>1865</v>
      </c>
      <c r="D1040" s="3" t="s">
        <v>1706</v>
      </c>
      <c r="E1040" s="3" t="s">
        <v>2420</v>
      </c>
      <c r="F1040" s="3" t="s">
        <v>2432</v>
      </c>
      <c r="G1040" s="3" t="s">
        <v>4084</v>
      </c>
      <c r="H1040" s="3" t="s">
        <v>2099</v>
      </c>
      <c r="I1040" s="4" t="b">
        <f>OR(((E1040 = "calculated")=TRUE), ((E1040 = "lookup")=TRUE), ((E1040 = "aggregation")=TRUE))</f>
        <v>1</v>
      </c>
      <c r="J1040" s="4" t="b">
        <f>H1040 &lt;&gt; ""</f>
        <v>1</v>
      </c>
      <c r="K1040" s="4">
        <f>COUNTIFS(FieldDisagreements!D2:D50, A1040)</f>
        <v>0</v>
      </c>
      <c r="L1040" s="4" t="b">
        <f>K1040 &gt; 0</f>
        <v>0</v>
      </c>
      <c r="M1040" s="3" t="s">
        <v>2418</v>
      </c>
    </row>
    <row r="1041">
      <c r="A1041" s="3" t="s">
        <v>4085</v>
      </c>
      <c r="B1041" s="4" t="str">
        <f>C1041 &amp; "." &amp; D1041</f>
        <v>CommunicationPolicies.SemanticTypeIri</v>
      </c>
      <c r="C1041" s="3" t="s">
        <v>1865</v>
      </c>
      <c r="D1041" s="3" t="s">
        <v>94</v>
      </c>
      <c r="E1041" s="3" t="s">
        <v>2416</v>
      </c>
      <c r="F1041" s="3" t="s">
        <v>2417</v>
      </c>
      <c r="G1041" s="3"/>
      <c r="H1041" s="3"/>
      <c r="I1041" s="4" t="b">
        <f>OR(((E1041 = "calculated")=TRUE), ((E1041 = "lookup")=TRUE), ((E1041 = "aggregation")=TRUE))</f>
        <v>0</v>
      </c>
      <c r="J1041" s="4" t="b">
        <f>H1041 &lt;&gt; ""</f>
        <v>0</v>
      </c>
      <c r="K1041" s="4">
        <f>COUNTIFS(FieldDisagreements!D2:D50, A1041)</f>
        <v>0</v>
      </c>
      <c r="L1041" s="4" t="b">
        <f>K1041 &gt; 0</f>
        <v>0</v>
      </c>
      <c r="M1041" s="3" t="s">
        <v>2418</v>
      </c>
    </row>
    <row r="1042">
      <c r="A1042" s="3" t="s">
        <v>4086</v>
      </c>
      <c r="B1042" s="4" t="str">
        <f>C1042 &amp; "." &amp; D1042</f>
        <v>MessageTemplates.MessageTemplateId</v>
      </c>
      <c r="C1042" s="3" t="s">
        <v>4087</v>
      </c>
      <c r="D1042" s="3" t="s">
        <v>1722</v>
      </c>
      <c r="E1042" s="3" t="s">
        <v>2416</v>
      </c>
      <c r="F1042" s="3" t="s">
        <v>2417</v>
      </c>
      <c r="G1042" s="3"/>
      <c r="H1042" s="3"/>
      <c r="I1042" s="4" t="b">
        <f>OR(((E1042 = "calculated")=TRUE), ((E1042 = "lookup")=TRUE), ((E1042 = "aggregation")=TRUE))</f>
        <v>0</v>
      </c>
      <c r="J1042" s="4" t="b">
        <f>H1042 &lt;&gt; ""</f>
        <v>0</v>
      </c>
      <c r="K1042" s="4">
        <f>COUNTIFS(FieldDisagreements!D2:D50, A1042)</f>
        <v>0</v>
      </c>
      <c r="L1042" s="4" t="b">
        <f>K1042 &gt; 0</f>
        <v>0</v>
      </c>
      <c r="M1042" s="3" t="s">
        <v>2418</v>
      </c>
    </row>
    <row r="1043">
      <c r="A1043" s="3" t="s">
        <v>4088</v>
      </c>
      <c r="B1043" s="4" t="str">
        <f>C1043 &amp; "." &amp; D1043</f>
        <v>MessageTemplates.Name</v>
      </c>
      <c r="C1043" s="3" t="s">
        <v>4087</v>
      </c>
      <c r="D1043" s="3" t="s">
        <v>1</v>
      </c>
      <c r="E1043" s="3" t="s">
        <v>2420</v>
      </c>
      <c r="F1043" s="3" t="s">
        <v>2417</v>
      </c>
      <c r="G1043" s="3" t="s">
        <v>4089</v>
      </c>
      <c r="H1043" s="3"/>
      <c r="I1043" s="4" t="b">
        <f>OR(((E1043 = "calculated")=TRUE), ((E1043 = "lookup")=TRUE), ((E1043 = "aggregation")=TRUE))</f>
        <v>1</v>
      </c>
      <c r="J1043" s="4" t="b">
        <f>H1043 &lt;&gt; ""</f>
        <v>0</v>
      </c>
      <c r="K1043" s="4">
        <f>COUNTIFS(FieldDisagreements!D2:D50, A1043)</f>
        <v>0</v>
      </c>
      <c r="L1043" s="4" t="b">
        <f>K1043 &gt; 0</f>
        <v>0</v>
      </c>
      <c r="M1043" s="3" t="s">
        <v>2418</v>
      </c>
    </row>
    <row r="1044">
      <c r="A1044" s="3" t="s">
        <v>4090</v>
      </c>
      <c r="B1044" s="4" t="str">
        <f>C1044 &amp; "." &amp; D1044</f>
        <v>MessageTemplates.CommunicationPolicy</v>
      </c>
      <c r="C1044" s="3" t="s">
        <v>4087</v>
      </c>
      <c r="D1044" s="3" t="s">
        <v>1723</v>
      </c>
      <c r="E1044" s="3" t="s">
        <v>2465</v>
      </c>
      <c r="F1044" s="3" t="s">
        <v>2417</v>
      </c>
      <c r="G1044" s="3"/>
      <c r="H1044" s="3"/>
      <c r="I1044" s="4" t="b">
        <f>OR(((E1044 = "calculated")=TRUE), ((E1044 = "lookup")=TRUE), ((E1044 = "aggregation")=TRUE))</f>
        <v>0</v>
      </c>
      <c r="J1044" s="4" t="b">
        <f>H1044 &lt;&gt; ""</f>
        <v>0</v>
      </c>
      <c r="K1044" s="4">
        <f>COUNTIFS(FieldDisagreements!D2:D50, A1044)</f>
        <v>0</v>
      </c>
      <c r="L1044" s="4" t="b">
        <f>K1044 &gt; 0</f>
        <v>0</v>
      </c>
      <c r="M1044" s="3" t="s">
        <v>2418</v>
      </c>
    </row>
    <row r="1045">
      <c r="A1045" s="3" t="s">
        <v>4091</v>
      </c>
      <c r="B1045" s="4" t="str">
        <f>C1045 &amp; "." &amp; D1045</f>
        <v>MessageTemplates.Resource</v>
      </c>
      <c r="C1045" s="3" t="s">
        <v>4087</v>
      </c>
      <c r="D1045" s="3" t="s">
        <v>1066</v>
      </c>
      <c r="E1045" s="3" t="s">
        <v>2465</v>
      </c>
      <c r="F1045" s="3" t="s">
        <v>2417</v>
      </c>
      <c r="G1045" s="3"/>
      <c r="H1045" s="3"/>
      <c r="I1045" s="4" t="b">
        <f>OR(((E1045 = "calculated")=TRUE), ((E1045 = "lookup")=TRUE), ((E1045 = "aggregation")=TRUE))</f>
        <v>0</v>
      </c>
      <c r="J1045" s="4" t="b">
        <f>H1045 &lt;&gt; ""</f>
        <v>0</v>
      </c>
      <c r="K1045" s="4">
        <f>COUNTIFS(FieldDisagreements!D2:D50, A1045)</f>
        <v>0</v>
      </c>
      <c r="L1045" s="4" t="b">
        <f>K1045 &gt; 0</f>
        <v>0</v>
      </c>
      <c r="M1045" s="3" t="s">
        <v>2418</v>
      </c>
    </row>
    <row r="1046">
      <c r="A1046" s="3" t="s">
        <v>4092</v>
      </c>
      <c r="B1046" s="4" t="str">
        <f>C1046 &amp; "." &amp; D1046</f>
        <v>MessageTemplates.SubjectTemplate</v>
      </c>
      <c r="C1046" s="3" t="s">
        <v>4087</v>
      </c>
      <c r="D1046" s="3" t="s">
        <v>1724</v>
      </c>
      <c r="E1046" s="3" t="s">
        <v>2416</v>
      </c>
      <c r="F1046" s="3" t="s">
        <v>2417</v>
      </c>
      <c r="G1046" s="3"/>
      <c r="H1046" s="3"/>
      <c r="I1046" s="4" t="b">
        <f>OR(((E1046 = "calculated")=TRUE), ((E1046 = "lookup")=TRUE), ((E1046 = "aggregation")=TRUE))</f>
        <v>0</v>
      </c>
      <c r="J1046" s="4" t="b">
        <f>H1046 &lt;&gt; ""</f>
        <v>0</v>
      </c>
      <c r="K1046" s="4">
        <f>COUNTIFS(FieldDisagreements!D2:D50, A1046)</f>
        <v>0</v>
      </c>
      <c r="L1046" s="4" t="b">
        <f>K1046 &gt; 0</f>
        <v>0</v>
      </c>
      <c r="M1046" s="3" t="s">
        <v>2418</v>
      </c>
    </row>
    <row r="1047">
      <c r="A1047" s="3" t="s">
        <v>4093</v>
      </c>
      <c r="B1047" s="4" t="str">
        <f>C1047 &amp; "." &amp; D1047</f>
        <v>MessageTemplates.BodyTemplate</v>
      </c>
      <c r="C1047" s="3" t="s">
        <v>4087</v>
      </c>
      <c r="D1047" s="3" t="s">
        <v>1725</v>
      </c>
      <c r="E1047" s="3" t="s">
        <v>2416</v>
      </c>
      <c r="F1047" s="3" t="s">
        <v>2417</v>
      </c>
      <c r="G1047" s="3"/>
      <c r="H1047" s="3"/>
      <c r="I1047" s="4" t="b">
        <f>OR(((E1047 = "calculated")=TRUE), ((E1047 = "lookup")=TRUE), ((E1047 = "aggregation")=TRUE))</f>
        <v>0</v>
      </c>
      <c r="J1047" s="4" t="b">
        <f>H1047 &lt;&gt; ""</f>
        <v>0</v>
      </c>
      <c r="K1047" s="4">
        <f>COUNTIFS(FieldDisagreements!D2:D50, A1047)</f>
        <v>0</v>
      </c>
      <c r="L1047" s="4" t="b">
        <f>K1047 &gt; 0</f>
        <v>0</v>
      </c>
      <c r="M1047" s="3" t="s">
        <v>2418</v>
      </c>
    </row>
    <row r="1048">
      <c r="A1048" s="3" t="s">
        <v>4094</v>
      </c>
      <c r="B1048" s="4" t="str">
        <f>C1048 &amp; "." &amp; D1048</f>
        <v>MessageTemplates.Locale</v>
      </c>
      <c r="C1048" s="3" t="s">
        <v>4087</v>
      </c>
      <c r="D1048" s="3" t="s">
        <v>1726</v>
      </c>
      <c r="E1048" s="3" t="s">
        <v>2416</v>
      </c>
      <c r="F1048" s="3" t="s">
        <v>2417</v>
      </c>
      <c r="G1048" s="3"/>
      <c r="H1048" s="3"/>
      <c r="I1048" s="4" t="b">
        <f>OR(((E1048 = "calculated")=TRUE), ((E1048 = "lookup")=TRUE), ((E1048 = "aggregation")=TRUE))</f>
        <v>0</v>
      </c>
      <c r="J1048" s="4" t="b">
        <f>H1048 &lt;&gt; ""</f>
        <v>0</v>
      </c>
      <c r="K1048" s="4">
        <f>COUNTIFS(FieldDisagreements!D2:D50, A1048)</f>
        <v>0</v>
      </c>
      <c r="L1048" s="4" t="b">
        <f>K1048 &gt; 0</f>
        <v>0</v>
      </c>
      <c r="M1048" s="3" t="s">
        <v>2418</v>
      </c>
    </row>
    <row r="1049">
      <c r="A1049" s="3" t="s">
        <v>4095</v>
      </c>
      <c r="B1049" s="4" t="str">
        <f>C1049 &amp; "." &amp; D1049</f>
        <v>MessageTemplates.Status</v>
      </c>
      <c r="C1049" s="3" t="s">
        <v>4087</v>
      </c>
      <c r="D1049" s="3" t="s">
        <v>8</v>
      </c>
      <c r="E1049" s="3" t="s">
        <v>2416</v>
      </c>
      <c r="F1049" s="3" t="s">
        <v>2417</v>
      </c>
      <c r="G1049" s="3"/>
      <c r="H1049" s="3"/>
      <c r="I1049" s="4" t="b">
        <f>OR(((E1049 = "calculated")=TRUE), ((E1049 = "lookup")=TRUE), ((E1049 = "aggregation")=TRUE))</f>
        <v>0</v>
      </c>
      <c r="J1049" s="4" t="b">
        <f>H1049 &lt;&gt; ""</f>
        <v>0</v>
      </c>
      <c r="K1049" s="4">
        <f>COUNTIFS(FieldDisagreements!D2:D50, A1049)</f>
        <v>0</v>
      </c>
      <c r="L1049" s="4" t="b">
        <f>K1049 &gt; 0</f>
        <v>0</v>
      </c>
      <c r="M1049" s="3" t="s">
        <v>2418</v>
      </c>
    </row>
    <row r="1050">
      <c r="A1050" s="3" t="s">
        <v>4096</v>
      </c>
      <c r="B1050" s="4" t="str">
        <f>C1050 &amp; "." &amp; D1050</f>
        <v>MessageTemplates.PolicyMaxMessageLength</v>
      </c>
      <c r="C1050" s="3" t="s">
        <v>4087</v>
      </c>
      <c r="D1050" s="3" t="s">
        <v>1727</v>
      </c>
      <c r="E1050" s="3" t="s">
        <v>2509</v>
      </c>
      <c r="F1050" s="3" t="s">
        <v>2470</v>
      </c>
      <c r="G1050" s="3" t="s">
        <v>4097</v>
      </c>
      <c r="H1050" s="3" t="s">
        <v>2079</v>
      </c>
      <c r="I1050" s="4" t="b">
        <f>OR(((E1050 = "calculated")=TRUE), ((E1050 = "lookup")=TRUE), ((E1050 = "aggregation")=TRUE))</f>
        <v>1</v>
      </c>
      <c r="J1050" s="4" t="b">
        <f>H1050 &lt;&gt; ""</f>
        <v>1</v>
      </c>
      <c r="K1050" s="4">
        <f>COUNTIFS(FieldDisagreements!D2:D50, A1050)</f>
        <v>0</v>
      </c>
      <c r="L1050" s="4" t="b">
        <f>K1050 &gt; 0</f>
        <v>0</v>
      </c>
      <c r="M1050" s="3" t="s">
        <v>2418</v>
      </c>
    </row>
    <row r="1051">
      <c r="A1051" s="3" t="s">
        <v>4098</v>
      </c>
      <c r="B1051" s="4" t="str">
        <f>C1051 &amp; "." &amp; D1051</f>
        <v>MessageTemplates.PolicyMaxSegments</v>
      </c>
      <c r="C1051" s="3" t="s">
        <v>4087</v>
      </c>
      <c r="D1051" s="3" t="s">
        <v>1728</v>
      </c>
      <c r="E1051" s="3" t="s">
        <v>2509</v>
      </c>
      <c r="F1051" s="3" t="s">
        <v>2470</v>
      </c>
      <c r="G1051" s="3" t="s">
        <v>4099</v>
      </c>
      <c r="H1051" s="3" t="s">
        <v>2079</v>
      </c>
      <c r="I1051" s="4" t="b">
        <f>OR(((E1051 = "calculated")=TRUE), ((E1051 = "lookup")=TRUE), ((E1051 = "aggregation")=TRUE))</f>
        <v>1</v>
      </c>
      <c r="J1051" s="4" t="b">
        <f>H1051 &lt;&gt; ""</f>
        <v>1</v>
      </c>
      <c r="K1051" s="4">
        <f>COUNTIFS(FieldDisagreements!D2:D50, A1051)</f>
        <v>0</v>
      </c>
      <c r="L1051" s="4" t="b">
        <f>K1051 &gt; 0</f>
        <v>0</v>
      </c>
      <c r="M1051" s="3" t="s">
        <v>2418</v>
      </c>
    </row>
    <row r="1052">
      <c r="A1052" s="3" t="s">
        <v>4100</v>
      </c>
      <c r="B1052" s="4" t="str">
        <f>C1052 &amp; "." &amp; D1052</f>
        <v>MessageTemplates.BodyTemplateLength</v>
      </c>
      <c r="C1052" s="3" t="s">
        <v>4087</v>
      </c>
      <c r="D1052" s="3" t="s">
        <v>1729</v>
      </c>
      <c r="E1052" s="3" t="s">
        <v>2420</v>
      </c>
      <c r="F1052" s="3" t="s">
        <v>2470</v>
      </c>
      <c r="G1052" s="3" t="s">
        <v>4101</v>
      </c>
      <c r="H1052" s="3" t="s">
        <v>2079</v>
      </c>
      <c r="I1052" s="4" t="b">
        <f>OR(((E1052 = "calculated")=TRUE), ((E1052 = "lookup")=TRUE), ((E1052 = "aggregation")=TRUE))</f>
        <v>1</v>
      </c>
      <c r="J1052" s="4" t="b">
        <f>H1052 &lt;&gt; ""</f>
        <v>1</v>
      </c>
      <c r="K1052" s="4">
        <f>COUNTIFS(FieldDisagreements!D2:D50, A1052)</f>
        <v>0</v>
      </c>
      <c r="L1052" s="4" t="b">
        <f>K1052 &gt; 0</f>
        <v>0</v>
      </c>
      <c r="M1052" s="3" t="s">
        <v>2418</v>
      </c>
    </row>
    <row r="1053">
      <c r="A1053" s="3" t="s">
        <v>4102</v>
      </c>
      <c r="B1053" s="4" t="str">
        <f>C1053 &amp; "." &amp; D1053</f>
        <v>MessageTemplates.IsTemplateOverLength</v>
      </c>
      <c r="C1053" s="3" t="s">
        <v>4087</v>
      </c>
      <c r="D1053" s="3" t="s">
        <v>1730</v>
      </c>
      <c r="E1053" s="3" t="s">
        <v>2420</v>
      </c>
      <c r="F1053" s="3" t="s">
        <v>2432</v>
      </c>
      <c r="G1053" s="3" t="s">
        <v>4103</v>
      </c>
      <c r="H1053" s="3" t="s">
        <v>2079</v>
      </c>
      <c r="I1053" s="4" t="b">
        <f>OR(((E1053 = "calculated")=TRUE), ((E1053 = "lookup")=TRUE), ((E1053 = "aggregation")=TRUE))</f>
        <v>1</v>
      </c>
      <c r="J1053" s="4" t="b">
        <f>H1053 &lt;&gt; ""</f>
        <v>1</v>
      </c>
      <c r="K1053" s="4">
        <f>COUNTIFS(FieldDisagreements!D2:D50, A1053)</f>
        <v>0</v>
      </c>
      <c r="L1053" s="4" t="b">
        <f>K1053 &gt; 0</f>
        <v>0</v>
      </c>
      <c r="M1053" s="3" t="s">
        <v>2418</v>
      </c>
    </row>
    <row r="1054">
      <c r="A1054" s="3" t="s">
        <v>4104</v>
      </c>
      <c r="B1054" s="4" t="str">
        <f>C1054 &amp; "." &amp; D1054</f>
        <v>MessageTemplates.ValidApprovalCount</v>
      </c>
      <c r="C1054" s="3" t="s">
        <v>4087</v>
      </c>
      <c r="D1054" s="3" t="s">
        <v>1731</v>
      </c>
      <c r="E1054" s="3" t="s">
        <v>2469</v>
      </c>
      <c r="F1054" s="3" t="s">
        <v>2475</v>
      </c>
      <c r="G1054" s="3" t="s">
        <v>4105</v>
      </c>
      <c r="H1054" s="3" t="s">
        <v>2083</v>
      </c>
      <c r="I1054" s="4" t="b">
        <f>OR(((E1054 = "calculated")=TRUE), ((E1054 = "lookup")=TRUE), ((E1054 = "aggregation")=TRUE))</f>
        <v>1</v>
      </c>
      <c r="J1054" s="4" t="b">
        <f>H1054 &lt;&gt; ""</f>
        <v>1</v>
      </c>
      <c r="K1054" s="4">
        <f>COUNTIFS(FieldDisagreements!D2:D50, A1054)</f>
        <v>0</v>
      </c>
      <c r="L1054" s="4" t="b">
        <f>K1054 &gt; 0</f>
        <v>0</v>
      </c>
      <c r="M1054" s="3" t="s">
        <v>2418</v>
      </c>
    </row>
    <row r="1055">
      <c r="A1055" s="3" t="s">
        <v>4106</v>
      </c>
      <c r="B1055" s="4" t="str">
        <f>C1055 &amp; "." &amp; D1055</f>
        <v>MessageTemplates.HasValidApproval</v>
      </c>
      <c r="C1055" s="3" t="s">
        <v>4087</v>
      </c>
      <c r="D1055" s="3" t="s">
        <v>1732</v>
      </c>
      <c r="E1055" s="3" t="s">
        <v>2420</v>
      </c>
      <c r="F1055" s="3" t="s">
        <v>2432</v>
      </c>
      <c r="G1055" s="3" t="s">
        <v>4107</v>
      </c>
      <c r="H1055" s="3" t="s">
        <v>2083</v>
      </c>
      <c r="I1055" s="4" t="b">
        <f>OR(((E1055 = "calculated")=TRUE), ((E1055 = "lookup")=TRUE), ((E1055 = "aggregation")=TRUE))</f>
        <v>1</v>
      </c>
      <c r="J1055" s="4" t="b">
        <f>H1055 &lt;&gt; ""</f>
        <v>1</v>
      </c>
      <c r="K1055" s="4">
        <f>COUNTIFS(FieldDisagreements!D2:D50, A1055)</f>
        <v>0</v>
      </c>
      <c r="L1055" s="4" t="b">
        <f>K1055 &gt; 0</f>
        <v>0</v>
      </c>
      <c r="M1055" s="3" t="s">
        <v>2418</v>
      </c>
    </row>
    <row r="1056">
      <c r="A1056" s="3" t="s">
        <v>4108</v>
      </c>
      <c r="B1056" s="4" t="str">
        <f>C1056 &amp; "." &amp; D1056</f>
        <v>MessageTemplates.IsClaimingUnbackedApproval</v>
      </c>
      <c r="C1056" s="3" t="s">
        <v>4087</v>
      </c>
      <c r="D1056" s="3" t="s">
        <v>1733</v>
      </c>
      <c r="E1056" s="3" t="s">
        <v>2420</v>
      </c>
      <c r="F1056" s="3" t="s">
        <v>2432</v>
      </c>
      <c r="G1056" s="3" t="s">
        <v>4109</v>
      </c>
      <c r="H1056" s="3" t="s">
        <v>2083</v>
      </c>
      <c r="I1056" s="4" t="b">
        <f>OR(((E1056 = "calculated")=TRUE), ((E1056 = "lookup")=TRUE), ((E1056 = "aggregation")=TRUE))</f>
        <v>1</v>
      </c>
      <c r="J1056" s="4" t="b">
        <f>H1056 &lt;&gt; ""</f>
        <v>1</v>
      </c>
      <c r="K1056" s="4">
        <f>COUNTIFS(FieldDisagreements!D2:D50, A1056)</f>
        <v>0</v>
      </c>
      <c r="L1056" s="4" t="b">
        <f>K1056 &gt; 0</f>
        <v>0</v>
      </c>
      <c r="M1056" s="3" t="s">
        <v>2418</v>
      </c>
    </row>
    <row r="1057">
      <c r="A1057" s="3" t="s">
        <v>4110</v>
      </c>
      <c r="B1057" s="4" t="str">
        <f>C1057 &amp; "." &amp; D1057</f>
        <v>MessageTemplates.CurrentBodyHash</v>
      </c>
      <c r="C1057" s="3" t="s">
        <v>4087</v>
      </c>
      <c r="D1057" s="3" t="s">
        <v>1734</v>
      </c>
      <c r="E1057" s="3" t="s">
        <v>2416</v>
      </c>
      <c r="F1057" s="3" t="s">
        <v>2417</v>
      </c>
      <c r="G1057" s="3"/>
      <c r="H1057" s="3" t="s">
        <v>2095</v>
      </c>
      <c r="I1057" s="4" t="b">
        <f>OR(((E1057 = "calculated")=TRUE), ((E1057 = "lookup")=TRUE), ((E1057 = "aggregation")=TRUE))</f>
        <v>0</v>
      </c>
      <c r="J1057" s="4" t="b">
        <f>H1057 &lt;&gt; ""</f>
        <v>1</v>
      </c>
      <c r="K1057" s="4">
        <f>COUNTIFS(FieldDisagreements!D2:D50, A1057)</f>
        <v>0</v>
      </c>
      <c r="L1057" s="4" t="b">
        <f>K1057 &gt; 0</f>
        <v>0</v>
      </c>
      <c r="M1057" s="3" t="s">
        <v>2418</v>
      </c>
    </row>
    <row r="1058">
      <c r="A1058" s="3" t="s">
        <v>4111</v>
      </c>
      <c r="B1058" s="4" t="str">
        <f>C1058 &amp; "." &amp; D1058</f>
        <v>MessageTemplates.LastApprovedBodyHash</v>
      </c>
      <c r="C1058" s="3" t="s">
        <v>4087</v>
      </c>
      <c r="D1058" s="3" t="s">
        <v>1735</v>
      </c>
      <c r="E1058" s="3" t="s">
        <v>2509</v>
      </c>
      <c r="F1058" s="3" t="s">
        <v>2417</v>
      </c>
      <c r="G1058" s="3" t="s">
        <v>4112</v>
      </c>
      <c r="H1058" s="3" t="s">
        <v>2095</v>
      </c>
      <c r="I1058" s="4" t="b">
        <f>OR(((E1058 = "calculated")=TRUE), ((E1058 = "lookup")=TRUE), ((E1058 = "aggregation")=TRUE))</f>
        <v>1</v>
      </c>
      <c r="J1058" s="4" t="b">
        <f>H1058 &lt;&gt; ""</f>
        <v>1</v>
      </c>
      <c r="K1058" s="4">
        <f>COUNTIFS(FieldDisagreements!D2:D50, A1058)</f>
        <v>0</v>
      </c>
      <c r="L1058" s="4" t="b">
        <f>K1058 &gt; 0</f>
        <v>0</v>
      </c>
      <c r="M1058" s="3" t="s">
        <v>2418</v>
      </c>
    </row>
    <row r="1059">
      <c r="A1059" s="3" t="s">
        <v>4113</v>
      </c>
      <c r="B1059" s="4" t="str">
        <f>C1059 &amp; "." &amp; D1059</f>
        <v>MessageTemplates.LastValidApproval</v>
      </c>
      <c r="C1059" s="3" t="s">
        <v>4087</v>
      </c>
      <c r="D1059" s="3" t="s">
        <v>1736</v>
      </c>
      <c r="E1059" s="3" t="s">
        <v>2416</v>
      </c>
      <c r="F1059" s="3" t="s">
        <v>2417</v>
      </c>
      <c r="G1059" s="3"/>
      <c r="H1059" s="3" t="s">
        <v>2095</v>
      </c>
      <c r="I1059" s="4" t="b">
        <f>OR(((E1059 = "calculated")=TRUE), ((E1059 = "lookup")=TRUE), ((E1059 = "aggregation")=TRUE))</f>
        <v>0</v>
      </c>
      <c r="J1059" s="4" t="b">
        <f>H1059 &lt;&gt; ""</f>
        <v>1</v>
      </c>
      <c r="K1059" s="4">
        <f>COUNTIFS(FieldDisagreements!D2:D50, A1059)</f>
        <v>0</v>
      </c>
      <c r="L1059" s="4" t="b">
        <f>K1059 &gt; 0</f>
        <v>0</v>
      </c>
      <c r="M1059" s="3" t="s">
        <v>2418</v>
      </c>
    </row>
    <row r="1060">
      <c r="A1060" s="3" t="s">
        <v>4114</v>
      </c>
      <c r="B1060" s="4" t="str">
        <f>C1060 &amp; "." &amp; D1060</f>
        <v>MessageTemplates.HasBodyDrifted</v>
      </c>
      <c r="C1060" s="3" t="s">
        <v>4087</v>
      </c>
      <c r="D1060" s="3" t="s">
        <v>1737</v>
      </c>
      <c r="E1060" s="3" t="s">
        <v>2420</v>
      </c>
      <c r="F1060" s="3" t="s">
        <v>2432</v>
      </c>
      <c r="G1060" s="3" t="s">
        <v>4115</v>
      </c>
      <c r="H1060" s="3" t="s">
        <v>2095</v>
      </c>
      <c r="I1060" s="4" t="b">
        <f>OR(((E1060 = "calculated")=TRUE), ((E1060 = "lookup")=TRUE), ((E1060 = "aggregation")=TRUE))</f>
        <v>1</v>
      </c>
      <c r="J1060" s="4" t="b">
        <f>H1060 &lt;&gt; ""</f>
        <v>1</v>
      </c>
      <c r="K1060" s="4">
        <f>COUNTIFS(FieldDisagreements!D2:D50, A1060)</f>
        <v>0</v>
      </c>
      <c r="L1060" s="4" t="b">
        <f>K1060 &gt; 0</f>
        <v>0</v>
      </c>
      <c r="M1060" s="3" t="s">
        <v>2418</v>
      </c>
    </row>
    <row r="1061">
      <c r="A1061" s="3" t="s">
        <v>4116</v>
      </c>
      <c r="B1061" s="4" t="str">
        <f>C1061 &amp; "." &amp; D1061</f>
        <v>MessageTemplates.IsSendableUnderApproval</v>
      </c>
      <c r="C1061" s="3" t="s">
        <v>4087</v>
      </c>
      <c r="D1061" s="3" t="s">
        <v>1738</v>
      </c>
      <c r="E1061" s="3" t="s">
        <v>2420</v>
      </c>
      <c r="F1061" s="3" t="s">
        <v>2432</v>
      </c>
      <c r="G1061" s="3" t="s">
        <v>4117</v>
      </c>
      <c r="H1061" s="3" t="s">
        <v>2095</v>
      </c>
      <c r="I1061" s="4" t="b">
        <f>OR(((E1061 = "calculated")=TRUE), ((E1061 = "lookup")=TRUE), ((E1061 = "aggregation")=TRUE))</f>
        <v>1</v>
      </c>
      <c r="J1061" s="4" t="b">
        <f>H1061 &lt;&gt; ""</f>
        <v>1</v>
      </c>
      <c r="K1061" s="4">
        <f>COUNTIFS(FieldDisagreements!D2:D50, A1061)</f>
        <v>0</v>
      </c>
      <c r="L1061" s="4" t="b">
        <f>K1061 &gt; 0</f>
        <v>0</v>
      </c>
      <c r="M1061" s="3" t="s">
        <v>2418</v>
      </c>
    </row>
    <row r="1062">
      <c r="A1062" s="3" t="s">
        <v>4118</v>
      </c>
      <c r="B1062" s="4" t="str">
        <f>C1062 &amp; "." &amp; D1062</f>
        <v>MessageTemplates.DriftedSendCount</v>
      </c>
      <c r="C1062" s="3" t="s">
        <v>4087</v>
      </c>
      <c r="D1062" s="3" t="s">
        <v>1739</v>
      </c>
      <c r="E1062" s="3" t="s">
        <v>2469</v>
      </c>
      <c r="F1062" s="3" t="s">
        <v>2475</v>
      </c>
      <c r="G1062" s="3" t="s">
        <v>4119</v>
      </c>
      <c r="H1062" s="3" t="s">
        <v>2095</v>
      </c>
      <c r="I1062" s="4" t="b">
        <f>OR(((E1062 = "calculated")=TRUE), ((E1062 = "lookup")=TRUE), ((E1062 = "aggregation")=TRUE))</f>
        <v>1</v>
      </c>
      <c r="J1062" s="4" t="b">
        <f>H1062 &lt;&gt; ""</f>
        <v>1</v>
      </c>
      <c r="K1062" s="4">
        <f>COUNTIFS(FieldDisagreements!D2:D50, A1062)</f>
        <v>0</v>
      </c>
      <c r="L1062" s="4" t="b">
        <f>K1062 &gt; 0</f>
        <v>0</v>
      </c>
      <c r="M1062" s="3" t="s">
        <v>2418</v>
      </c>
    </row>
    <row r="1063">
      <c r="A1063" s="3" t="s">
        <v>4120</v>
      </c>
      <c r="B1063" s="4" t="str">
        <f>C1063 &amp; "." &amp; D1063</f>
        <v>MessageTemplates.UnansweredDeliveryCount</v>
      </c>
      <c r="C1063" s="3" t="s">
        <v>4087</v>
      </c>
      <c r="D1063" s="3" t="s">
        <v>1740</v>
      </c>
      <c r="E1063" s="3" t="s">
        <v>2469</v>
      </c>
      <c r="F1063" s="3" t="s">
        <v>2475</v>
      </c>
      <c r="G1063" s="3" t="s">
        <v>4121</v>
      </c>
      <c r="H1063" s="3" t="s">
        <v>2323</v>
      </c>
      <c r="I1063" s="4" t="b">
        <f>OR(((E1063 = "calculated")=TRUE), ((E1063 = "lookup")=TRUE), ((E1063 = "aggregation")=TRUE))</f>
        <v>1</v>
      </c>
      <c r="J1063" s="4" t="b">
        <f>H1063 &lt;&gt; ""</f>
        <v>1</v>
      </c>
      <c r="K1063" s="4">
        <f>COUNTIFS(FieldDisagreements!D2:D50, A1063)</f>
        <v>0</v>
      </c>
      <c r="L1063" s="4" t="b">
        <f>K1063 &gt; 0</f>
        <v>0</v>
      </c>
      <c r="M1063" s="3" t="s">
        <v>2418</v>
      </c>
    </row>
    <row r="1064">
      <c r="A1064" s="3" t="s">
        <v>4122</v>
      </c>
      <c r="B1064" s="4" t="str">
        <f>C1064 &amp; "." &amp; D1064</f>
        <v>MessageTemplates.TransmittedDeliveryCount</v>
      </c>
      <c r="C1064" s="3" t="s">
        <v>4087</v>
      </c>
      <c r="D1064" s="3" t="s">
        <v>1741</v>
      </c>
      <c r="E1064" s="3" t="s">
        <v>2469</v>
      </c>
      <c r="F1064" s="3" t="s">
        <v>2475</v>
      </c>
      <c r="G1064" s="3" t="s">
        <v>4123</v>
      </c>
      <c r="H1064" s="3" t="s">
        <v>2323</v>
      </c>
      <c r="I1064" s="4" t="b">
        <f>OR(((E1064 = "calculated")=TRUE), ((E1064 = "lookup")=TRUE), ((E1064 = "aggregation")=TRUE))</f>
        <v>1</v>
      </c>
      <c r="J1064" s="4" t="b">
        <f>H1064 &lt;&gt; ""</f>
        <v>1</v>
      </c>
      <c r="K1064" s="4">
        <f>COUNTIFS(FieldDisagreements!D2:D50, A1064)</f>
        <v>0</v>
      </c>
      <c r="L1064" s="4" t="b">
        <f>K1064 &gt; 0</f>
        <v>0</v>
      </c>
      <c r="M1064" s="3" t="s">
        <v>2418</v>
      </c>
    </row>
    <row r="1065">
      <c r="A1065" s="3" t="s">
        <v>4124</v>
      </c>
      <c r="B1065" s="4" t="str">
        <f>C1065 &amp; "." &amp; D1065</f>
        <v>MessageTemplates.TemplateDrawsNoResponse</v>
      </c>
      <c r="C1065" s="3" t="s">
        <v>4087</v>
      </c>
      <c r="D1065" s="3" t="s">
        <v>1742</v>
      </c>
      <c r="E1065" s="3" t="s">
        <v>2420</v>
      </c>
      <c r="F1065" s="3" t="s">
        <v>2432</v>
      </c>
      <c r="G1065" s="3" t="s">
        <v>4125</v>
      </c>
      <c r="H1065" s="3" t="s">
        <v>2323</v>
      </c>
      <c r="I1065" s="4" t="b">
        <f>OR(((E1065 = "calculated")=TRUE), ((E1065 = "lookup")=TRUE), ((E1065 = "aggregation")=TRUE))</f>
        <v>1</v>
      </c>
      <c r="J1065" s="4" t="b">
        <f>H1065 &lt;&gt; ""</f>
        <v>1</v>
      </c>
      <c r="K1065" s="4">
        <f>COUNTIFS(FieldDisagreements!D2:D50, A1065)</f>
        <v>0</v>
      </c>
      <c r="L1065" s="4" t="b">
        <f>K1065 &gt; 0</f>
        <v>0</v>
      </c>
      <c r="M1065" s="3" t="s">
        <v>2418</v>
      </c>
    </row>
    <row r="1066">
      <c r="A1066" s="3" t="s">
        <v>4126</v>
      </c>
      <c r="B1066" s="4" t="str">
        <f>C1066 &amp; "." &amp; D1066</f>
        <v>MessageTemplates.LastApprovalAt</v>
      </c>
      <c r="C1066" s="3" t="s">
        <v>4087</v>
      </c>
      <c r="D1066" s="3" t="s">
        <v>1743</v>
      </c>
      <c r="E1066" s="3" t="s">
        <v>2509</v>
      </c>
      <c r="F1066" s="3" t="s">
        <v>2428</v>
      </c>
      <c r="G1066" s="3" t="s">
        <v>4127</v>
      </c>
      <c r="H1066" s="3" t="s">
        <v>2331</v>
      </c>
      <c r="I1066" s="4" t="b">
        <f>OR(((E1066 = "calculated")=TRUE), ((E1066 = "lookup")=TRUE), ((E1066 = "aggregation")=TRUE))</f>
        <v>1</v>
      </c>
      <c r="J1066" s="4" t="b">
        <f>H1066 &lt;&gt; ""</f>
        <v>1</v>
      </c>
      <c r="K1066" s="4">
        <f>COUNTIFS(FieldDisagreements!D2:D50, A1066)</f>
        <v>0</v>
      </c>
      <c r="L1066" s="4" t="b">
        <f>K1066 &gt; 0</f>
        <v>0</v>
      </c>
      <c r="M1066" s="3" t="s">
        <v>2418</v>
      </c>
    </row>
    <row r="1067">
      <c r="A1067" s="3" t="s">
        <v>4128</v>
      </c>
      <c r="B1067" s="4" t="str">
        <f>C1067 &amp; "." &amp; D1067</f>
        <v>MessageTemplates.SemanticTypeIri</v>
      </c>
      <c r="C1067" s="3" t="s">
        <v>4087</v>
      </c>
      <c r="D1067" s="3" t="s">
        <v>94</v>
      </c>
      <c r="E1067" s="3" t="s">
        <v>2416</v>
      </c>
      <c r="F1067" s="3" t="s">
        <v>2417</v>
      </c>
      <c r="G1067" s="3"/>
      <c r="H1067" s="3"/>
      <c r="I1067" s="4" t="b">
        <f>OR(((E1067 = "calculated")=TRUE), ((E1067 = "lookup")=TRUE), ((E1067 = "aggregation")=TRUE))</f>
        <v>0</v>
      </c>
      <c r="J1067" s="4" t="b">
        <f>H1067 &lt;&gt; ""</f>
        <v>0</v>
      </c>
      <c r="K1067" s="4">
        <f>COUNTIFS(FieldDisagreements!D2:D50, A1067)</f>
        <v>0</v>
      </c>
      <c r="L1067" s="4" t="b">
        <f>K1067 &gt; 0</f>
        <v>0</v>
      </c>
      <c r="M1067" s="3" t="s">
        <v>2418</v>
      </c>
    </row>
    <row r="1068">
      <c r="A1068" s="3" t="s">
        <v>4129</v>
      </c>
      <c r="B1068" s="4" t="str">
        <f>C1068 &amp; "." &amp; D1068</f>
        <v>SemanticMappings.SemanticMappingId</v>
      </c>
      <c r="C1068" s="3" t="s">
        <v>4130</v>
      </c>
      <c r="D1068" s="3" t="s">
        <v>1754</v>
      </c>
      <c r="E1068" s="3" t="s">
        <v>2416</v>
      </c>
      <c r="F1068" s="3" t="s">
        <v>2417</v>
      </c>
      <c r="G1068" s="3"/>
      <c r="H1068" s="3"/>
      <c r="I1068" s="4" t="b">
        <f>OR(((E1068 = "calculated")=TRUE), ((E1068 = "lookup")=TRUE), ((E1068 = "aggregation")=TRUE))</f>
        <v>0</v>
      </c>
      <c r="J1068" s="4" t="b">
        <f>H1068 &lt;&gt; ""</f>
        <v>0</v>
      </c>
      <c r="K1068" s="4">
        <f>COUNTIFS(FieldDisagreements!D2:D50, A1068)</f>
        <v>0</v>
      </c>
      <c r="L1068" s="4" t="b">
        <f>K1068 &gt; 0</f>
        <v>0</v>
      </c>
      <c r="M1068" s="3" t="s">
        <v>2418</v>
      </c>
    </row>
    <row r="1069">
      <c r="A1069" s="3" t="s">
        <v>4131</v>
      </c>
      <c r="B1069" s="4" t="str">
        <f>C1069 &amp; "." &amp; D1069</f>
        <v>SemanticMappings.Name</v>
      </c>
      <c r="C1069" s="3" t="s">
        <v>4130</v>
      </c>
      <c r="D1069" s="3" t="s">
        <v>1</v>
      </c>
      <c r="E1069" s="3" t="s">
        <v>2420</v>
      </c>
      <c r="F1069" s="3" t="s">
        <v>2417</v>
      </c>
      <c r="G1069" s="3" t="s">
        <v>4132</v>
      </c>
      <c r="H1069" s="3"/>
      <c r="I1069" s="4" t="b">
        <f>OR(((E1069 = "calculated")=TRUE), ((E1069 = "lookup")=TRUE), ((E1069 = "aggregation")=TRUE))</f>
        <v>1</v>
      </c>
      <c r="J1069" s="4" t="b">
        <f>H1069 &lt;&gt; ""</f>
        <v>0</v>
      </c>
      <c r="K1069" s="4">
        <f>COUNTIFS(FieldDisagreements!D2:D50, A1069)</f>
        <v>0</v>
      </c>
      <c r="L1069" s="4" t="b">
        <f>K1069 &gt; 0</f>
        <v>0</v>
      </c>
      <c r="M1069" s="3" t="s">
        <v>2418</v>
      </c>
    </row>
    <row r="1070">
      <c r="A1070" s="3" t="s">
        <v>4133</v>
      </c>
      <c r="B1070" s="4" t="str">
        <f>C1070 &amp; "." &amp; D1070</f>
        <v>SemanticMappings.SourcePath</v>
      </c>
      <c r="C1070" s="3" t="s">
        <v>4130</v>
      </c>
      <c r="D1070" s="3" t="s">
        <v>1755</v>
      </c>
      <c r="E1070" s="3" t="s">
        <v>2416</v>
      </c>
      <c r="F1070" s="3" t="s">
        <v>2417</v>
      </c>
      <c r="G1070" s="3"/>
      <c r="H1070" s="3"/>
      <c r="I1070" s="4" t="b">
        <f>OR(((E1070 = "calculated")=TRUE), ((E1070 = "lookup")=TRUE), ((E1070 = "aggregation")=TRUE))</f>
        <v>0</v>
      </c>
      <c r="J1070" s="4" t="b">
        <f>H1070 &lt;&gt; ""</f>
        <v>0</v>
      </c>
      <c r="K1070" s="4">
        <f>COUNTIFS(FieldDisagreements!D2:D50, A1070)</f>
        <v>0</v>
      </c>
      <c r="L1070" s="4" t="b">
        <f>K1070 &gt; 0</f>
        <v>0</v>
      </c>
      <c r="M1070" s="3" t="s">
        <v>2418</v>
      </c>
    </row>
    <row r="1071">
      <c r="A1071" s="3" t="s">
        <v>4134</v>
      </c>
      <c r="B1071" s="4" t="str">
        <f>C1071 &amp; "." &amp; D1071</f>
        <v>SemanticMappings.MappingKind</v>
      </c>
      <c r="C1071" s="3" t="s">
        <v>4130</v>
      </c>
      <c r="D1071" s="3" t="s">
        <v>1756</v>
      </c>
      <c r="E1071" s="3" t="s">
        <v>2416</v>
      </c>
      <c r="F1071" s="3" t="s">
        <v>2417</v>
      </c>
      <c r="G1071" s="3"/>
      <c r="H1071" s="3"/>
      <c r="I1071" s="4" t="b">
        <f>OR(((E1071 = "calculated")=TRUE), ((E1071 = "lookup")=TRUE), ((E1071 = "aggregation")=TRUE))</f>
        <v>0</v>
      </c>
      <c r="J1071" s="4" t="b">
        <f>H1071 &lt;&gt; ""</f>
        <v>0</v>
      </c>
      <c r="K1071" s="4">
        <f>COUNTIFS(FieldDisagreements!D2:D50, A1071)</f>
        <v>0</v>
      </c>
      <c r="L1071" s="4" t="b">
        <f>K1071 &gt; 0</f>
        <v>0</v>
      </c>
      <c r="M1071" s="3" t="s">
        <v>2418</v>
      </c>
    </row>
    <row r="1072">
      <c r="A1072" s="3" t="s">
        <v>4135</v>
      </c>
      <c r="B1072" s="4" t="str">
        <f>C1072 &amp; "." &amp; D1072</f>
        <v>SemanticMappings.TargetIri</v>
      </c>
      <c r="C1072" s="3" t="s">
        <v>4130</v>
      </c>
      <c r="D1072" s="3" t="s">
        <v>1757</v>
      </c>
      <c r="E1072" s="3" t="s">
        <v>2416</v>
      </c>
      <c r="F1072" s="3" t="s">
        <v>2417</v>
      </c>
      <c r="G1072" s="3"/>
      <c r="H1072" s="3"/>
      <c r="I1072" s="4" t="b">
        <f>OR(((E1072 = "calculated")=TRUE), ((E1072 = "lookup")=TRUE), ((E1072 = "aggregation")=TRUE))</f>
        <v>0</v>
      </c>
      <c r="J1072" s="4" t="b">
        <f>H1072 &lt;&gt; ""</f>
        <v>0</v>
      </c>
      <c r="K1072" s="4">
        <f>COUNTIFS(FieldDisagreements!D2:D50, A1072)</f>
        <v>0</v>
      </c>
      <c r="L1072" s="4" t="b">
        <f>K1072 &gt; 0</f>
        <v>0</v>
      </c>
      <c r="M1072" s="3" t="s">
        <v>2418</v>
      </c>
    </row>
    <row r="1073">
      <c r="A1073" s="3" t="s">
        <v>4136</v>
      </c>
      <c r="B1073" s="4" t="str">
        <f>C1073 &amp; "." &amp; D1073</f>
        <v>SemanticMappings.MappingRelation</v>
      </c>
      <c r="C1073" s="3" t="s">
        <v>4130</v>
      </c>
      <c r="D1073" s="3" t="s">
        <v>1758</v>
      </c>
      <c r="E1073" s="3" t="s">
        <v>2416</v>
      </c>
      <c r="F1073" s="3" t="s">
        <v>2417</v>
      </c>
      <c r="G1073" s="3"/>
      <c r="H1073" s="3"/>
      <c r="I1073" s="4" t="b">
        <f>OR(((E1073 = "calculated")=TRUE), ((E1073 = "lookup")=TRUE), ((E1073 = "aggregation")=TRUE))</f>
        <v>0</v>
      </c>
      <c r="J1073" s="4" t="b">
        <f>H1073 &lt;&gt; ""</f>
        <v>0</v>
      </c>
      <c r="K1073" s="4">
        <f>COUNTIFS(FieldDisagreements!D2:D50, A1073)</f>
        <v>0</v>
      </c>
      <c r="L1073" s="4" t="b">
        <f>K1073 &gt; 0</f>
        <v>0</v>
      </c>
      <c r="M1073" s="3" t="s">
        <v>2418</v>
      </c>
    </row>
    <row r="1074">
      <c r="A1074" s="3" t="s">
        <v>4137</v>
      </c>
      <c r="B1074" s="4" t="str">
        <f>C1074 &amp; "." &amp; D1074</f>
        <v>SemanticMappings.OntologyProfile</v>
      </c>
      <c r="C1074" s="3" t="s">
        <v>4130</v>
      </c>
      <c r="D1074" s="3" t="s">
        <v>1759</v>
      </c>
      <c r="E1074" s="3" t="s">
        <v>2465</v>
      </c>
      <c r="F1074" s="3" t="s">
        <v>2417</v>
      </c>
      <c r="G1074" s="3"/>
      <c r="H1074" s="3"/>
      <c r="I1074" s="4" t="b">
        <f>OR(((E1074 = "calculated")=TRUE), ((E1074 = "lookup")=TRUE), ((E1074 = "aggregation")=TRUE))</f>
        <v>0</v>
      </c>
      <c r="J1074" s="4" t="b">
        <f>H1074 &lt;&gt; ""</f>
        <v>0</v>
      </c>
      <c r="K1074" s="4">
        <f>COUNTIFS(FieldDisagreements!D2:D50, A1074)</f>
        <v>0</v>
      </c>
      <c r="L1074" s="4" t="b">
        <f>K1074 &gt; 0</f>
        <v>0</v>
      </c>
      <c r="M1074" s="3" t="s">
        <v>2418</v>
      </c>
    </row>
    <row r="1075">
      <c r="A1075" s="3" t="s">
        <v>4138</v>
      </c>
      <c r="B1075" s="4" t="str">
        <f>C1075 &amp; "." &amp; D1075</f>
        <v>SemanticMappings.Notes</v>
      </c>
      <c r="C1075" s="3" t="s">
        <v>4130</v>
      </c>
      <c r="D1075" s="3" t="s">
        <v>1760</v>
      </c>
      <c r="E1075" s="3" t="s">
        <v>2416</v>
      </c>
      <c r="F1075" s="3" t="s">
        <v>2417</v>
      </c>
      <c r="G1075" s="3"/>
      <c r="H1075" s="3"/>
      <c r="I1075" s="4" t="b">
        <f>OR(((E1075 = "calculated")=TRUE), ((E1075 = "lookup")=TRUE), ((E1075 = "aggregation")=TRUE))</f>
        <v>0</v>
      </c>
      <c r="J1075" s="4" t="b">
        <f>H1075 &lt;&gt; ""</f>
        <v>0</v>
      </c>
      <c r="K1075" s="4">
        <f>COUNTIFS(FieldDisagreements!D2:D50, A1075)</f>
        <v>0</v>
      </c>
      <c r="L1075" s="4" t="b">
        <f>K1075 &gt; 0</f>
        <v>0</v>
      </c>
      <c r="M1075" s="3" t="s">
        <v>2418</v>
      </c>
    </row>
    <row r="1076">
      <c r="A1076" s="3" t="s">
        <v>4139</v>
      </c>
      <c r="B1076" s="4" t="str">
        <f>C1076 &amp; "." &amp; D1076</f>
        <v>WitnessLoops.WitnessLoopId</v>
      </c>
      <c r="C1076" s="3" t="s">
        <v>4140</v>
      </c>
      <c r="D1076" s="3" t="s">
        <v>1928</v>
      </c>
      <c r="E1076" s="3" t="s">
        <v>2416</v>
      </c>
      <c r="F1076" s="3" t="s">
        <v>2417</v>
      </c>
      <c r="G1076" s="3"/>
      <c r="H1076" s="3"/>
      <c r="I1076" s="4" t="b">
        <f>OR(((E1076 = "calculated")=TRUE), ((E1076 = "lookup")=TRUE), ((E1076 = "aggregation")=TRUE))</f>
        <v>0</v>
      </c>
      <c r="J1076" s="4" t="b">
        <f>H1076 &lt;&gt; ""</f>
        <v>0</v>
      </c>
      <c r="K1076" s="4">
        <f>COUNTIFS(FieldDisagreements!D2:D50, A1076)</f>
        <v>0</v>
      </c>
      <c r="L1076" s="4" t="b">
        <f>K1076 &gt; 0</f>
        <v>0</v>
      </c>
      <c r="M1076" s="3" t="s">
        <v>2418</v>
      </c>
    </row>
    <row r="1077">
      <c r="A1077" s="3" t="s">
        <v>4141</v>
      </c>
      <c r="B1077" s="4" t="str">
        <f>C1077 &amp; "." &amp; D1077</f>
        <v>WitnessLoops.Name</v>
      </c>
      <c r="C1077" s="3" t="s">
        <v>4140</v>
      </c>
      <c r="D1077" s="3" t="s">
        <v>1</v>
      </c>
      <c r="E1077" s="3" t="s">
        <v>2420</v>
      </c>
      <c r="F1077" s="3" t="s">
        <v>2417</v>
      </c>
      <c r="G1077" s="3" t="s">
        <v>4142</v>
      </c>
      <c r="H1077" s="3"/>
      <c r="I1077" s="4" t="b">
        <f>OR(((E1077 = "calculated")=TRUE), ((E1077 = "lookup")=TRUE), ((E1077 = "aggregation")=TRUE))</f>
        <v>1</v>
      </c>
      <c r="J1077" s="4" t="b">
        <f>H1077 &lt;&gt; ""</f>
        <v>0</v>
      </c>
      <c r="K1077" s="4">
        <f>COUNTIFS(FieldDisagreements!D2:D50, A1077)</f>
        <v>0</v>
      </c>
      <c r="L1077" s="4" t="b">
        <f>K1077 &gt; 0</f>
        <v>0</v>
      </c>
      <c r="M1077" s="3" t="s">
        <v>2418</v>
      </c>
    </row>
    <row r="1078">
      <c r="A1078" s="3" t="s">
        <v>4143</v>
      </c>
      <c r="B1078" s="4" t="str">
        <f>C1078 &amp; "." &amp; D1078</f>
        <v>WitnessLoops.LoopNumber</v>
      </c>
      <c r="C1078" s="3" t="s">
        <v>4140</v>
      </c>
      <c r="D1078" s="3" t="s">
        <v>1929</v>
      </c>
      <c r="E1078" s="3" t="s">
        <v>2416</v>
      </c>
      <c r="F1078" s="3" t="s">
        <v>2475</v>
      </c>
      <c r="G1078" s="3"/>
      <c r="H1078" s="3"/>
      <c r="I1078" s="4" t="b">
        <f>OR(((E1078 = "calculated")=TRUE), ((E1078 = "lookup")=TRUE), ((E1078 = "aggregation")=TRUE))</f>
        <v>0</v>
      </c>
      <c r="J1078" s="4" t="b">
        <f>H1078 &lt;&gt; ""</f>
        <v>0</v>
      </c>
      <c r="K1078" s="4">
        <f>COUNTIFS(FieldDisagreements!D2:D50, A1078)</f>
        <v>0</v>
      </c>
      <c r="L1078" s="4" t="b">
        <f>K1078 &gt; 0</f>
        <v>0</v>
      </c>
      <c r="M1078" s="3" t="s">
        <v>2418</v>
      </c>
    </row>
    <row r="1079">
      <c r="A1079" s="3" t="s">
        <v>4144</v>
      </c>
      <c r="B1079" s="4" t="str">
        <f>C1079 &amp; "." &amp; D1079</f>
        <v>WitnessLoops.Title</v>
      </c>
      <c r="C1079" s="3" t="s">
        <v>4140</v>
      </c>
      <c r="D1079" s="3" t="s">
        <v>358</v>
      </c>
      <c r="E1079" s="3" t="s">
        <v>2416</v>
      </c>
      <c r="F1079" s="3" t="s">
        <v>2417</v>
      </c>
      <c r="G1079" s="3"/>
      <c r="H1079" s="3"/>
      <c r="I1079" s="4" t="b">
        <f>OR(((E1079 = "calculated")=TRUE), ((E1079 = "lookup")=TRUE), ((E1079 = "aggregation")=TRUE))</f>
        <v>0</v>
      </c>
      <c r="J1079" s="4" t="b">
        <f>H1079 &lt;&gt; ""</f>
        <v>0</v>
      </c>
      <c r="K1079" s="4">
        <f>COUNTIFS(FieldDisagreements!D2:D50, A1079)</f>
        <v>0</v>
      </c>
      <c r="L1079" s="4" t="b">
        <f>K1079 &gt; 0</f>
        <v>0</v>
      </c>
      <c r="M1079" s="3" t="s">
        <v>2418</v>
      </c>
    </row>
    <row r="1080">
      <c r="A1080" s="3" t="s">
        <v>4145</v>
      </c>
      <c r="B1080" s="4" t="str">
        <f>C1080 &amp; "." &amp; D1080</f>
        <v>WitnessLoops.Premise</v>
      </c>
      <c r="C1080" s="3" t="s">
        <v>4140</v>
      </c>
      <c r="D1080" s="3" t="s">
        <v>1930</v>
      </c>
      <c r="E1080" s="3" t="s">
        <v>2416</v>
      </c>
      <c r="F1080" s="3" t="s">
        <v>2417</v>
      </c>
      <c r="G1080" s="3"/>
      <c r="H1080" s="3"/>
      <c r="I1080" s="4" t="b">
        <f>OR(((E1080 = "calculated")=TRUE), ((E1080 = "lookup")=TRUE), ((E1080 = "aggregation")=TRUE))</f>
        <v>0</v>
      </c>
      <c r="J1080" s="4" t="b">
        <f>H1080 &lt;&gt; ""</f>
        <v>0</v>
      </c>
      <c r="K1080" s="4">
        <f>COUNTIFS(FieldDisagreements!D2:D50, A1080)</f>
        <v>0</v>
      </c>
      <c r="L1080" s="4" t="b">
        <f>K1080 &gt; 0</f>
        <v>0</v>
      </c>
      <c r="M1080" s="3" t="s">
        <v>2418</v>
      </c>
    </row>
    <row r="1081">
      <c r="A1081" s="3" t="s">
        <v>4146</v>
      </c>
      <c r="B1081" s="4" t="str">
        <f>C1081 &amp; "." &amp; D1081</f>
        <v>WitnessLoops.StartedAt</v>
      </c>
      <c r="C1081" s="3" t="s">
        <v>4140</v>
      </c>
      <c r="D1081" s="3" t="s">
        <v>1080</v>
      </c>
      <c r="E1081" s="3" t="s">
        <v>2416</v>
      </c>
      <c r="F1081" s="3" t="s">
        <v>2428</v>
      </c>
      <c r="G1081" s="3"/>
      <c r="H1081" s="3"/>
      <c r="I1081" s="4" t="b">
        <f>OR(((E1081 = "calculated")=TRUE), ((E1081 = "lookup")=TRUE), ((E1081 = "aggregation")=TRUE))</f>
        <v>0</v>
      </c>
      <c r="J1081" s="4" t="b">
        <f>H1081 &lt;&gt; ""</f>
        <v>0</v>
      </c>
      <c r="K1081" s="4">
        <f>COUNTIFS(FieldDisagreements!D2:D50, A1081)</f>
        <v>0</v>
      </c>
      <c r="L1081" s="4" t="b">
        <f>K1081 &gt; 0</f>
        <v>0</v>
      </c>
      <c r="M1081" s="3" t="s">
        <v>2418</v>
      </c>
    </row>
    <row r="1082">
      <c r="A1082" s="3" t="s">
        <v>4147</v>
      </c>
      <c r="B1082" s="4" t="str">
        <f>C1082 &amp; "." &amp; D1082</f>
        <v>WitnessLoops.CompletedAt</v>
      </c>
      <c r="C1082" s="3" t="s">
        <v>4140</v>
      </c>
      <c r="D1082" s="3" t="s">
        <v>1931</v>
      </c>
      <c r="E1082" s="3" t="s">
        <v>2416</v>
      </c>
      <c r="F1082" s="3" t="s">
        <v>2428</v>
      </c>
      <c r="G1082" s="3"/>
      <c r="H1082" s="3"/>
      <c r="I1082" s="4" t="b">
        <f>OR(((E1082 = "calculated")=TRUE), ((E1082 = "lookup")=TRUE), ((E1082 = "aggregation")=TRUE))</f>
        <v>0</v>
      </c>
      <c r="J1082" s="4" t="b">
        <f>H1082 &lt;&gt; ""</f>
        <v>0</v>
      </c>
      <c r="K1082" s="4">
        <f>COUNTIFS(FieldDisagreements!D2:D50, A1082)</f>
        <v>0</v>
      </c>
      <c r="L1082" s="4" t="b">
        <f>K1082 &gt; 0</f>
        <v>0</v>
      </c>
      <c r="M1082" s="3" t="s">
        <v>2418</v>
      </c>
    </row>
    <row r="1083">
      <c r="A1083" s="3" t="s">
        <v>4148</v>
      </c>
      <c r="B1083" s="4" t="str">
        <f>C1083 &amp; "." &amp; D1083</f>
        <v>WitnessLoops.QuestionCount</v>
      </c>
      <c r="C1083" s="3" t="s">
        <v>4140</v>
      </c>
      <c r="D1083" s="3" t="s">
        <v>1932</v>
      </c>
      <c r="E1083" s="3" t="s">
        <v>2469</v>
      </c>
      <c r="F1083" s="3" t="s">
        <v>2475</v>
      </c>
      <c r="G1083" s="3" t="s">
        <v>4149</v>
      </c>
      <c r="H1083" s="3"/>
      <c r="I1083" s="4" t="b">
        <f>OR(((E1083 = "calculated")=TRUE), ((E1083 = "lookup")=TRUE), ((E1083 = "aggregation")=TRUE))</f>
        <v>1</v>
      </c>
      <c r="J1083" s="4" t="b">
        <f>H1083 &lt;&gt; ""</f>
        <v>0</v>
      </c>
      <c r="K1083" s="4">
        <f>COUNTIFS(FieldDisagreements!D2:D50, A1083)</f>
        <v>0</v>
      </c>
      <c r="L1083" s="4" t="b">
        <f>K1083 &gt; 0</f>
        <v>0</v>
      </c>
      <c r="M1083" s="3" t="s">
        <v>2418</v>
      </c>
    </row>
    <row r="1084">
      <c r="A1084" s="3" t="s">
        <v>4150</v>
      </c>
      <c r="B1084" s="4" t="str">
        <f>C1084 &amp; "." &amp; D1084</f>
        <v>WitnessLoops.IsComplete</v>
      </c>
      <c r="C1084" s="3" t="s">
        <v>4140</v>
      </c>
      <c r="D1084" s="3" t="s">
        <v>1933</v>
      </c>
      <c r="E1084" s="3" t="s">
        <v>2420</v>
      </c>
      <c r="F1084" s="3" t="s">
        <v>2432</v>
      </c>
      <c r="G1084" s="3" t="s">
        <v>4151</v>
      </c>
      <c r="H1084" s="3"/>
      <c r="I1084" s="4" t="b">
        <f>OR(((E1084 = "calculated")=TRUE), ((E1084 = "lookup")=TRUE), ((E1084 = "aggregation")=TRUE))</f>
        <v>1</v>
      </c>
      <c r="J1084" s="4" t="b">
        <f>H1084 &lt;&gt; ""</f>
        <v>0</v>
      </c>
      <c r="K1084" s="4">
        <f>COUNTIFS(FieldDisagreements!D2:D50, A1084)</f>
        <v>0</v>
      </c>
      <c r="L1084" s="4" t="b">
        <f>K1084 &gt; 0</f>
        <v>0</v>
      </c>
      <c r="M1084" s="3" t="s">
        <v>2418</v>
      </c>
    </row>
    <row r="1085">
      <c r="A1085" s="3" t="s">
        <v>4152</v>
      </c>
      <c r="B1085" s="4" t="str">
        <f>C1085 &amp; "." &amp; D1085</f>
        <v>WitnessLoops.FieldsAfter</v>
      </c>
      <c r="C1085" s="3" t="s">
        <v>4140</v>
      </c>
      <c r="D1085" s="3" t="s">
        <v>1934</v>
      </c>
      <c r="E1085" s="3" t="s">
        <v>2416</v>
      </c>
      <c r="F1085" s="3" t="s">
        <v>2475</v>
      </c>
      <c r="G1085" s="3"/>
      <c r="H1085" s="3"/>
      <c r="I1085" s="4" t="b">
        <f>OR(((E1085 = "calculated")=TRUE), ((E1085 = "lookup")=TRUE), ((E1085 = "aggregation")=TRUE))</f>
        <v>0</v>
      </c>
      <c r="J1085" s="4" t="b">
        <f>H1085 &lt;&gt; ""</f>
        <v>0</v>
      </c>
      <c r="K1085" s="4">
        <f>COUNTIFS(FieldDisagreements!D2:D50, A1085)</f>
        <v>0</v>
      </c>
      <c r="L1085" s="4" t="b">
        <f>K1085 &gt; 0</f>
        <v>0</v>
      </c>
      <c r="M1085" s="3" t="s">
        <v>2418</v>
      </c>
    </row>
    <row r="1086">
      <c r="A1086" s="3" t="s">
        <v>4153</v>
      </c>
      <c r="B1086" s="4" t="str">
        <f>C1086 &amp; "." &amp; D1086</f>
        <v>WitnessLoops.DerivedAfter</v>
      </c>
      <c r="C1086" s="3" t="s">
        <v>4140</v>
      </c>
      <c r="D1086" s="3" t="s">
        <v>1935</v>
      </c>
      <c r="E1086" s="3" t="s">
        <v>2416</v>
      </c>
      <c r="F1086" s="3" t="s">
        <v>2475</v>
      </c>
      <c r="G1086" s="3"/>
      <c r="H1086" s="3"/>
      <c r="I1086" s="4" t="b">
        <f>OR(((E1086 = "calculated")=TRUE), ((E1086 = "lookup")=TRUE), ((E1086 = "aggregation")=TRUE))</f>
        <v>0</v>
      </c>
      <c r="J1086" s="4" t="b">
        <f>H1086 &lt;&gt; ""</f>
        <v>0</v>
      </c>
      <c r="K1086" s="4">
        <f>COUNTIFS(FieldDisagreements!D2:D50, A1086)</f>
        <v>0</v>
      </c>
      <c r="L1086" s="4" t="b">
        <f>K1086 &gt; 0</f>
        <v>0</v>
      </c>
      <c r="M1086" s="3" t="s">
        <v>2418</v>
      </c>
    </row>
    <row r="1087">
      <c r="A1087" s="3" t="s">
        <v>4154</v>
      </c>
      <c r="B1087" s="4" t="str">
        <f>C1087 &amp; "." &amp; D1087</f>
        <v>WitnessLoops.WitnessedAfter</v>
      </c>
      <c r="C1087" s="3" t="s">
        <v>4140</v>
      </c>
      <c r="D1087" s="3" t="s">
        <v>1936</v>
      </c>
      <c r="E1087" s="3" t="s">
        <v>2416</v>
      </c>
      <c r="F1087" s="3" t="s">
        <v>2475</v>
      </c>
      <c r="G1087" s="3"/>
      <c r="H1087" s="3"/>
      <c r="I1087" s="4" t="b">
        <f>OR(((E1087 = "calculated")=TRUE), ((E1087 = "lookup")=TRUE), ((E1087 = "aggregation")=TRUE))</f>
        <v>0</v>
      </c>
      <c r="J1087" s="4" t="b">
        <f>H1087 &lt;&gt; ""</f>
        <v>0</v>
      </c>
      <c r="K1087" s="4">
        <f>COUNTIFS(FieldDisagreements!D2:D50, A1087)</f>
        <v>0</v>
      </c>
      <c r="L1087" s="4" t="b">
        <f>K1087 &gt; 0</f>
        <v>0</v>
      </c>
      <c r="M1087" s="3" t="s">
        <v>2418</v>
      </c>
    </row>
    <row r="1088">
      <c r="A1088" s="3" t="s">
        <v>4155</v>
      </c>
      <c r="B1088" s="4" t="str">
        <f>C1088 &amp; "." &amp; D1088</f>
        <v>WitnessLoops.SemanticTypeIri</v>
      </c>
      <c r="C1088" s="3" t="s">
        <v>4140</v>
      </c>
      <c r="D1088" s="3" t="s">
        <v>94</v>
      </c>
      <c r="E1088" s="3" t="s">
        <v>2416</v>
      </c>
      <c r="F1088" s="3" t="s">
        <v>2417</v>
      </c>
      <c r="G1088" s="3"/>
      <c r="H1088" s="3"/>
      <c r="I1088" s="4" t="b">
        <f>OR(((E1088 = "calculated")=TRUE), ((E1088 = "lookup")=TRUE), ((E1088 = "aggregation")=TRUE))</f>
        <v>0</v>
      </c>
      <c r="J1088" s="4" t="b">
        <f>H1088 &lt;&gt; ""</f>
        <v>0</v>
      </c>
      <c r="K1088" s="4">
        <f>COUNTIFS(FieldDisagreements!D2:D50, A1088)</f>
        <v>0</v>
      </c>
      <c r="L1088" s="4" t="b">
        <f>K1088 &gt; 0</f>
        <v>0</v>
      </c>
      <c r="M1088" s="3" t="s">
        <v>2418</v>
      </c>
    </row>
    <row r="1089">
      <c r="A1089" s="3" t="s">
        <v>4156</v>
      </c>
      <c r="B1089" s="4" t="str">
        <f>C1089 &amp; "." &amp; D1089</f>
        <v>RoleQuestions.RoleQuestionId</v>
      </c>
      <c r="C1089" s="3" t="s">
        <v>4157</v>
      </c>
      <c r="D1089" s="3" t="s">
        <v>1950</v>
      </c>
      <c r="E1089" s="3" t="s">
        <v>2416</v>
      </c>
      <c r="F1089" s="3" t="s">
        <v>2417</v>
      </c>
      <c r="G1089" s="3"/>
      <c r="H1089" s="3"/>
      <c r="I1089" s="4" t="b">
        <f>OR(((E1089 = "calculated")=TRUE), ((E1089 = "lookup")=TRUE), ((E1089 = "aggregation")=TRUE))</f>
        <v>0</v>
      </c>
      <c r="J1089" s="4" t="b">
        <f>H1089 &lt;&gt; ""</f>
        <v>0</v>
      </c>
      <c r="K1089" s="4">
        <f>COUNTIFS(FieldDisagreements!D2:D50, A1089)</f>
        <v>0</v>
      </c>
      <c r="L1089" s="4" t="b">
        <f>K1089 &gt; 0</f>
        <v>0</v>
      </c>
      <c r="M1089" s="3" t="s">
        <v>2418</v>
      </c>
    </row>
    <row r="1090">
      <c r="A1090" s="3" t="s">
        <v>4158</v>
      </c>
      <c r="B1090" s="4" t="str">
        <f>C1090 &amp; "." &amp; D1090</f>
        <v>RoleQuestions.Name</v>
      </c>
      <c r="C1090" s="3" t="s">
        <v>4157</v>
      </c>
      <c r="D1090" s="3" t="s">
        <v>1</v>
      </c>
      <c r="E1090" s="3" t="s">
        <v>2420</v>
      </c>
      <c r="F1090" s="3" t="s">
        <v>2417</v>
      </c>
      <c r="G1090" s="3" t="s">
        <v>4159</v>
      </c>
      <c r="H1090" s="3"/>
      <c r="I1090" s="4" t="b">
        <f>OR(((E1090 = "calculated")=TRUE), ((E1090 = "lookup")=TRUE), ((E1090 = "aggregation")=TRUE))</f>
        <v>1</v>
      </c>
      <c r="J1090" s="4" t="b">
        <f>H1090 &lt;&gt; ""</f>
        <v>0</v>
      </c>
      <c r="K1090" s="4">
        <f>COUNTIFS(FieldDisagreements!D2:D50, A1090)</f>
        <v>0</v>
      </c>
      <c r="L1090" s="4" t="b">
        <f>K1090 &gt; 0</f>
        <v>0</v>
      </c>
      <c r="M1090" s="3" t="s">
        <v>2418</v>
      </c>
    </row>
    <row r="1091">
      <c r="A1091" s="3" t="s">
        <v>4160</v>
      </c>
      <c r="B1091" s="4" t="str">
        <f>C1091 &amp; "." &amp; D1091</f>
        <v>RoleQuestions.AskingRole</v>
      </c>
      <c r="C1091" s="3" t="s">
        <v>4157</v>
      </c>
      <c r="D1091" s="3" t="s">
        <v>1951</v>
      </c>
      <c r="E1091" s="3" t="s">
        <v>2465</v>
      </c>
      <c r="F1091" s="3" t="s">
        <v>2417</v>
      </c>
      <c r="G1091" s="3"/>
      <c r="H1091" s="3"/>
      <c r="I1091" s="4" t="b">
        <f>OR(((E1091 = "calculated")=TRUE), ((E1091 = "lookup")=TRUE), ((E1091 = "aggregation")=TRUE))</f>
        <v>0</v>
      </c>
      <c r="J1091" s="4" t="b">
        <f>H1091 &lt;&gt; ""</f>
        <v>0</v>
      </c>
      <c r="K1091" s="4">
        <f>COUNTIFS(FieldDisagreements!D2:D50, A1091)</f>
        <v>0</v>
      </c>
      <c r="L1091" s="4" t="b">
        <f>K1091 &gt; 0</f>
        <v>0</v>
      </c>
      <c r="M1091" s="3" t="s">
        <v>2418</v>
      </c>
    </row>
    <row r="1092">
      <c r="A1092" s="3" t="s">
        <v>4161</v>
      </c>
      <c r="B1092" s="4" t="str">
        <f>C1092 &amp; "." &amp; D1092</f>
        <v>RoleQuestions.WitnessLoop</v>
      </c>
      <c r="C1092" s="3" t="s">
        <v>4157</v>
      </c>
      <c r="D1092" s="3" t="s">
        <v>1952</v>
      </c>
      <c r="E1092" s="3" t="s">
        <v>2465</v>
      </c>
      <c r="F1092" s="3" t="s">
        <v>2417</v>
      </c>
      <c r="G1092" s="3"/>
      <c r="H1092" s="3"/>
      <c r="I1092" s="4" t="b">
        <f>OR(((E1092 = "calculated")=TRUE), ((E1092 = "lookup")=TRUE), ((E1092 = "aggregation")=TRUE))</f>
        <v>0</v>
      </c>
      <c r="J1092" s="4" t="b">
        <f>H1092 &lt;&gt; ""</f>
        <v>0</v>
      </c>
      <c r="K1092" s="4">
        <f>COUNTIFS(FieldDisagreements!D2:D50, A1092)</f>
        <v>0</v>
      </c>
      <c r="L1092" s="4" t="b">
        <f>K1092 &gt; 0</f>
        <v>0</v>
      </c>
      <c r="M1092" s="3" t="s">
        <v>2418</v>
      </c>
    </row>
    <row r="1093">
      <c r="A1093" s="3" t="s">
        <v>4162</v>
      </c>
      <c r="B1093" s="4" t="str">
        <f>C1093 &amp; "." &amp; D1093</f>
        <v>RoleQuestions.QuestionText</v>
      </c>
      <c r="C1093" s="3" t="s">
        <v>4157</v>
      </c>
      <c r="D1093" s="3" t="s">
        <v>1558</v>
      </c>
      <c r="E1093" s="3" t="s">
        <v>2416</v>
      </c>
      <c r="F1093" s="3" t="s">
        <v>2417</v>
      </c>
      <c r="G1093" s="3"/>
      <c r="H1093" s="3"/>
      <c r="I1093" s="4" t="b">
        <f>OR(((E1093 = "calculated")=TRUE), ((E1093 = "lookup")=TRUE), ((E1093 = "aggregation")=TRUE))</f>
        <v>0</v>
      </c>
      <c r="J1093" s="4" t="b">
        <f>H1093 &lt;&gt; ""</f>
        <v>0</v>
      </c>
      <c r="K1093" s="4">
        <f>COUNTIFS(FieldDisagreements!D2:D50, A1093)</f>
        <v>0</v>
      </c>
      <c r="L1093" s="4" t="b">
        <f>K1093 &gt; 0</f>
        <v>0</v>
      </c>
      <c r="M1093" s="3" t="s">
        <v>2418</v>
      </c>
    </row>
    <row r="1094">
      <c r="A1094" s="3" t="s">
        <v>4163</v>
      </c>
      <c r="B1094" s="4" t="str">
        <f>C1094 &amp; "." &amp; D1094</f>
        <v>RoleQuestions.WhyItMatters</v>
      </c>
      <c r="C1094" s="3" t="s">
        <v>4157</v>
      </c>
      <c r="D1094" s="3" t="s">
        <v>1953</v>
      </c>
      <c r="E1094" s="3" t="s">
        <v>2416</v>
      </c>
      <c r="F1094" s="3" t="s">
        <v>2417</v>
      </c>
      <c r="G1094" s="3"/>
      <c r="H1094" s="3"/>
      <c r="I1094" s="4" t="b">
        <f>OR(((E1094 = "calculated")=TRUE), ((E1094 = "lookup")=TRUE), ((E1094 = "aggregation")=TRUE))</f>
        <v>0</v>
      </c>
      <c r="J1094" s="4" t="b">
        <f>H1094 &lt;&gt; ""</f>
        <v>0</v>
      </c>
      <c r="K1094" s="4">
        <f>COUNTIFS(FieldDisagreements!D2:D50, A1094)</f>
        <v>0</v>
      </c>
      <c r="L1094" s="4" t="b">
        <f>K1094 &gt; 0</f>
        <v>0</v>
      </c>
      <c r="M1094" s="3" t="s">
        <v>2418</v>
      </c>
    </row>
    <row r="1095">
      <c r="A1095" s="3" t="s">
        <v>4164</v>
      </c>
      <c r="B1095" s="4" t="str">
        <f>C1095 &amp; "." &amp; D1095</f>
        <v>RoleQuestions.AnswerableBefore</v>
      </c>
      <c r="C1095" s="3" t="s">
        <v>4157</v>
      </c>
      <c r="D1095" s="3" t="s">
        <v>1954</v>
      </c>
      <c r="E1095" s="3" t="s">
        <v>2416</v>
      </c>
      <c r="F1095" s="3" t="s">
        <v>2432</v>
      </c>
      <c r="G1095" s="3"/>
      <c r="H1095" s="3"/>
      <c r="I1095" s="4" t="b">
        <f>OR(((E1095 = "calculated")=TRUE), ((E1095 = "lookup")=TRUE), ((E1095 = "aggregation")=TRUE))</f>
        <v>0</v>
      </c>
      <c r="J1095" s="4" t="b">
        <f>H1095 &lt;&gt; ""</f>
        <v>0</v>
      </c>
      <c r="K1095" s="4">
        <f>COUNTIFS(FieldDisagreements!D2:D50, A1095)</f>
        <v>0</v>
      </c>
      <c r="L1095" s="4" t="b">
        <f>K1095 &gt; 0</f>
        <v>0</v>
      </c>
      <c r="M1095" s="3" t="s">
        <v>2418</v>
      </c>
    </row>
    <row r="1096">
      <c r="A1096" s="3" t="s">
        <v>4165</v>
      </c>
      <c r="B1096" s="4" t="str">
        <f>C1096 &amp; "." &amp; D1096</f>
        <v>RoleQuestions.PredicateCount</v>
      </c>
      <c r="C1096" s="3" t="s">
        <v>4157</v>
      </c>
      <c r="D1096" s="3" t="s">
        <v>1955</v>
      </c>
      <c r="E1096" s="3" t="s">
        <v>2469</v>
      </c>
      <c r="F1096" s="3" t="s">
        <v>2475</v>
      </c>
      <c r="G1096" s="3" t="s">
        <v>4166</v>
      </c>
      <c r="H1096" s="3"/>
      <c r="I1096" s="4" t="b">
        <f>OR(((E1096 = "calculated")=TRUE), ((E1096 = "lookup")=TRUE), ((E1096 = "aggregation")=TRUE))</f>
        <v>1</v>
      </c>
      <c r="J1096" s="4" t="b">
        <f>H1096 &lt;&gt; ""</f>
        <v>0</v>
      </c>
      <c r="K1096" s="4">
        <f>COUNTIFS(FieldDisagreements!D2:D50, A1096)</f>
        <v>0</v>
      </c>
      <c r="L1096" s="4" t="b">
        <f>K1096 &gt; 0</f>
        <v>0</v>
      </c>
      <c r="M1096" s="3" t="s">
        <v>2418</v>
      </c>
    </row>
    <row r="1097">
      <c r="A1097" s="3" t="s">
        <v>4167</v>
      </c>
      <c r="B1097" s="4" t="str">
        <f>C1097 &amp; "." &amp; D1097</f>
        <v>RoleQuestions.IsAnswered</v>
      </c>
      <c r="C1097" s="3" t="s">
        <v>4157</v>
      </c>
      <c r="D1097" s="3" t="s">
        <v>1956</v>
      </c>
      <c r="E1097" s="3" t="s">
        <v>2420</v>
      </c>
      <c r="F1097" s="3" t="s">
        <v>2432</v>
      </c>
      <c r="G1097" s="3" t="s">
        <v>4168</v>
      </c>
      <c r="H1097" s="3"/>
      <c r="I1097" s="4" t="b">
        <f>OR(((E1097 = "calculated")=TRUE), ((E1097 = "lookup")=TRUE), ((E1097 = "aggregation")=TRUE))</f>
        <v>1</v>
      </c>
      <c r="J1097" s="4" t="b">
        <f>H1097 &lt;&gt; ""</f>
        <v>0</v>
      </c>
      <c r="K1097" s="4">
        <f>COUNTIFS(FieldDisagreements!D2:D50, A1097)</f>
        <v>0</v>
      </c>
      <c r="L1097" s="4" t="b">
        <f>K1097 &gt; 0</f>
        <v>0</v>
      </c>
      <c r="M1097" s="3" t="s">
        <v>2418</v>
      </c>
    </row>
    <row r="1098">
      <c r="A1098" s="3" t="s">
        <v>4169</v>
      </c>
      <c r="B1098" s="4" t="str">
        <f>C1098 &amp; "." &amp; D1098</f>
        <v>RoleQuestions.WitnessedAnswer</v>
      </c>
      <c r="C1098" s="3" t="s">
        <v>4157</v>
      </c>
      <c r="D1098" s="3" t="s">
        <v>1957</v>
      </c>
      <c r="E1098" s="3" t="s">
        <v>2416</v>
      </c>
      <c r="F1098" s="3" t="s">
        <v>2417</v>
      </c>
      <c r="G1098" s="3"/>
      <c r="H1098" s="3"/>
      <c r="I1098" s="4" t="b">
        <f>OR(((E1098 = "calculated")=TRUE), ((E1098 = "lookup")=TRUE), ((E1098 = "aggregation")=TRUE))</f>
        <v>0</v>
      </c>
      <c r="J1098" s="4" t="b">
        <f>H1098 &lt;&gt; ""</f>
        <v>0</v>
      </c>
      <c r="K1098" s="4">
        <f>COUNTIFS(FieldDisagreements!D2:D50, A1098)</f>
        <v>0</v>
      </c>
      <c r="L1098" s="4" t="b">
        <f>K1098 &gt; 0</f>
        <v>0</v>
      </c>
      <c r="M1098" s="3" t="s">
        <v>2418</v>
      </c>
    </row>
    <row r="1099">
      <c r="A1099" s="3" t="s">
        <v>4170</v>
      </c>
      <c r="B1099" s="4" t="str">
        <f>C1099 &amp; "." &amp; D1099</f>
        <v>RoleQuestions.SemanticTypeIri</v>
      </c>
      <c r="C1099" s="3" t="s">
        <v>4157</v>
      </c>
      <c r="D1099" s="3" t="s">
        <v>94</v>
      </c>
      <c r="E1099" s="3" t="s">
        <v>2416</v>
      </c>
      <c r="F1099" s="3" t="s">
        <v>2417</v>
      </c>
      <c r="G1099" s="3"/>
      <c r="H1099" s="3"/>
      <c r="I1099" s="4" t="b">
        <f>OR(((E1099 = "calculated")=TRUE), ((E1099 = "lookup")=TRUE), ((E1099 = "aggregation")=TRUE))</f>
        <v>0</v>
      </c>
      <c r="J1099" s="4" t="b">
        <f>H1099 &lt;&gt; ""</f>
        <v>0</v>
      </c>
      <c r="K1099" s="4">
        <f>COUNTIFS(FieldDisagreements!D2:D50, A1099)</f>
        <v>0</v>
      </c>
      <c r="L1099" s="4" t="b">
        <f>K1099 &gt; 0</f>
        <v>0</v>
      </c>
      <c r="M1099" s="3" t="s">
        <v>2418</v>
      </c>
    </row>
    <row r="1100">
      <c r="A1100" s="3" t="s">
        <v>4171</v>
      </c>
      <c r="B1100" s="4" t="str">
        <f>C1100 &amp; "." &amp; D1100</f>
        <v>RulebookFields.RulebookFieldId</v>
      </c>
      <c r="C1100" s="3" t="s">
        <v>4172</v>
      </c>
      <c r="D1100" s="3" t="s">
        <v>2403</v>
      </c>
      <c r="E1100" s="3" t="s">
        <v>2416</v>
      </c>
      <c r="F1100" s="3" t="s">
        <v>2417</v>
      </c>
      <c r="G1100" s="3"/>
      <c r="H1100" s="3"/>
      <c r="I1100" s="4" t="b">
        <f>OR(((E1100 = "calculated")=TRUE), ((E1100 = "lookup")=TRUE), ((E1100 = "aggregation")=TRUE))</f>
        <v>0</v>
      </c>
      <c r="J1100" s="4" t="b">
        <f>H1100 &lt;&gt; ""</f>
        <v>0</v>
      </c>
      <c r="K1100" s="4">
        <f>COUNTIFS(FieldDisagreements!D2:D50, A1100)</f>
        <v>0</v>
      </c>
      <c r="L1100" s="4" t="b">
        <f>K1100 &gt; 0</f>
        <v>0</v>
      </c>
      <c r="M1100" s="3" t="s">
        <v>2418</v>
      </c>
    </row>
    <row r="1101">
      <c r="A1101" s="3" t="s">
        <v>4173</v>
      </c>
      <c r="B1101" s="4" t="str">
        <f>C1101 &amp; "." &amp; D1101</f>
        <v>RulebookFields.Name</v>
      </c>
      <c r="C1101" s="3" t="s">
        <v>4172</v>
      </c>
      <c r="D1101" s="3" t="s">
        <v>1</v>
      </c>
      <c r="E1101" s="3" t="s">
        <v>2420</v>
      </c>
      <c r="F1101" s="3" t="s">
        <v>2417</v>
      </c>
      <c r="G1101" s="3" t="s">
        <v>4174</v>
      </c>
      <c r="H1101" s="3"/>
      <c r="I1101" s="4" t="b">
        <f>OR(((E1101 = "calculated")=TRUE), ((E1101 = "lookup")=TRUE), ((E1101 = "aggregation")=TRUE))</f>
        <v>1</v>
      </c>
      <c r="J1101" s="4" t="b">
        <f>H1101 &lt;&gt; ""</f>
        <v>0</v>
      </c>
      <c r="K1101" s="4">
        <f>COUNTIFS(FieldDisagreements!D2:D50, A1101)</f>
        <v>0</v>
      </c>
      <c r="L1101" s="4" t="b">
        <f>K1101 &gt; 0</f>
        <v>0</v>
      </c>
      <c r="M1101" s="3" t="s">
        <v>2418</v>
      </c>
    </row>
    <row r="1102">
      <c r="A1102" s="3" t="s">
        <v>4175</v>
      </c>
      <c r="B1102" s="4" t="str">
        <f>C1102 &amp; "." &amp; D1102</f>
        <v>RulebookFields.TargetTable</v>
      </c>
      <c r="C1102" s="3" t="s">
        <v>4172</v>
      </c>
      <c r="D1102" s="3" t="s">
        <v>2404</v>
      </c>
      <c r="E1102" s="3" t="s">
        <v>2416</v>
      </c>
      <c r="F1102" s="3" t="s">
        <v>2417</v>
      </c>
      <c r="G1102" s="3"/>
      <c r="H1102" s="3"/>
      <c r="I1102" s="4" t="b">
        <f>OR(((E1102 = "calculated")=TRUE), ((E1102 = "lookup")=TRUE), ((E1102 = "aggregation")=TRUE))</f>
        <v>0</v>
      </c>
      <c r="J1102" s="4" t="b">
        <f>H1102 &lt;&gt; ""</f>
        <v>0</v>
      </c>
      <c r="K1102" s="4">
        <f>COUNTIFS(FieldDisagreements!D2:D50, A1102)</f>
        <v>0</v>
      </c>
      <c r="L1102" s="4" t="b">
        <f>K1102 &gt; 0</f>
        <v>0</v>
      </c>
      <c r="M1102" s="3" t="s">
        <v>2418</v>
      </c>
    </row>
    <row r="1103">
      <c r="A1103" s="3" t="s">
        <v>4176</v>
      </c>
      <c r="B1103" s="4" t="str">
        <f>C1103 &amp; "." &amp; D1103</f>
        <v>RulebookFields.FieldName</v>
      </c>
      <c r="C1103" s="3" t="s">
        <v>4172</v>
      </c>
      <c r="D1103" s="3" t="s">
        <v>2405</v>
      </c>
      <c r="E1103" s="3" t="s">
        <v>2416</v>
      </c>
      <c r="F1103" s="3" t="s">
        <v>2417</v>
      </c>
      <c r="G1103" s="3"/>
      <c r="H1103" s="3"/>
      <c r="I1103" s="4" t="b">
        <f>OR(((E1103 = "calculated")=TRUE), ((E1103 = "lookup")=TRUE), ((E1103 = "aggregation")=TRUE))</f>
        <v>0</v>
      </c>
      <c r="J1103" s="4" t="b">
        <f>H1103 &lt;&gt; ""</f>
        <v>0</v>
      </c>
      <c r="K1103" s="4">
        <f>COUNTIFS(FieldDisagreements!D2:D50, A1103)</f>
        <v>0</v>
      </c>
      <c r="L1103" s="4" t="b">
        <f>K1103 &gt; 0</f>
        <v>0</v>
      </c>
      <c r="M1103" s="3" t="s">
        <v>2418</v>
      </c>
    </row>
    <row r="1104">
      <c r="A1104" s="3" t="s">
        <v>4177</v>
      </c>
      <c r="B1104" s="4" t="str">
        <f>C1104 &amp; "." &amp; D1104</f>
        <v>RulebookFields.FieldType</v>
      </c>
      <c r="C1104" s="3" t="s">
        <v>4172</v>
      </c>
      <c r="D1104" s="3" t="s">
        <v>2406</v>
      </c>
      <c r="E1104" s="3" t="s">
        <v>2416</v>
      </c>
      <c r="F1104" s="3" t="s">
        <v>2417</v>
      </c>
      <c r="G1104" s="3"/>
      <c r="H1104" s="3"/>
      <c r="I1104" s="4" t="b">
        <f>OR(((E1104 = "calculated")=TRUE), ((E1104 = "lookup")=TRUE), ((E1104 = "aggregation")=TRUE))</f>
        <v>0</v>
      </c>
      <c r="J1104" s="4" t="b">
        <f>H1104 &lt;&gt; ""</f>
        <v>0</v>
      </c>
      <c r="K1104" s="4">
        <f>COUNTIFS(FieldDisagreements!D2:D50, A1104)</f>
        <v>0</v>
      </c>
      <c r="L1104" s="4" t="b">
        <f>K1104 &gt; 0</f>
        <v>0</v>
      </c>
      <c r="M1104" s="3" t="s">
        <v>2418</v>
      </c>
    </row>
    <row r="1105">
      <c r="A1105" s="3" t="s">
        <v>4178</v>
      </c>
      <c r="B1105" s="4" t="str">
        <f>C1105 &amp; "." &amp; D1105</f>
        <v>RulebookFields.Datatype</v>
      </c>
      <c r="C1105" s="3" t="s">
        <v>4172</v>
      </c>
      <c r="D1105" s="3" t="s">
        <v>2407</v>
      </c>
      <c r="E1105" s="3" t="s">
        <v>2416</v>
      </c>
      <c r="F1105" s="3" t="s">
        <v>2417</v>
      </c>
      <c r="G1105" s="3"/>
      <c r="H1105" s="3"/>
      <c r="I1105" s="4" t="b">
        <f>OR(((E1105 = "calculated")=TRUE), ((E1105 = "lookup")=TRUE), ((E1105 = "aggregation")=TRUE))</f>
        <v>0</v>
      </c>
      <c r="J1105" s="4" t="b">
        <f>H1105 &lt;&gt; ""</f>
        <v>0</v>
      </c>
      <c r="K1105" s="4">
        <f>COUNTIFS(FieldDisagreements!D2:D50, A1105)</f>
        <v>0</v>
      </c>
      <c r="L1105" s="4" t="b">
        <f>K1105 &gt; 0</f>
        <v>0</v>
      </c>
      <c r="M1105" s="3" t="s">
        <v>2418</v>
      </c>
    </row>
    <row r="1106">
      <c r="A1106" s="3" t="s">
        <v>4179</v>
      </c>
      <c r="B1106" s="4" t="str">
        <f>C1106 &amp; "." &amp; D1106</f>
        <v>RulebookFields.Formula</v>
      </c>
      <c r="C1106" s="3" t="s">
        <v>4172</v>
      </c>
      <c r="D1106" s="3" t="s">
        <v>2408</v>
      </c>
      <c r="E1106" s="3" t="s">
        <v>2416</v>
      </c>
      <c r="F1106" s="3" t="s">
        <v>2417</v>
      </c>
      <c r="G1106" s="3"/>
      <c r="H1106" s="3"/>
      <c r="I1106" s="4" t="b">
        <f>OR(((E1106 = "calculated")=TRUE), ((E1106 = "lookup")=TRUE), ((E1106 = "aggregation")=TRUE))</f>
        <v>0</v>
      </c>
      <c r="J1106" s="4" t="b">
        <f>H1106 &lt;&gt; ""</f>
        <v>0</v>
      </c>
      <c r="K1106" s="4">
        <f>COUNTIFS(FieldDisagreements!D2:D50, A1106)</f>
        <v>0</v>
      </c>
      <c r="L1106" s="4" t="b">
        <f>K1106 &gt; 0</f>
        <v>0</v>
      </c>
      <c r="M1106" s="3" t="s">
        <v>2418</v>
      </c>
    </row>
    <row r="1107">
      <c r="A1107" s="3" t="s">
        <v>4180</v>
      </c>
      <c r="B1107" s="4" t="str">
        <f>C1107 &amp; "." &amp; D1107</f>
        <v>RulebookFields.InventedForQuestion</v>
      </c>
      <c r="C1107" s="3" t="s">
        <v>4172</v>
      </c>
      <c r="D1107" s="3" t="s">
        <v>2409</v>
      </c>
      <c r="E1107" s="3" t="s">
        <v>2465</v>
      </c>
      <c r="F1107" s="3" t="s">
        <v>2417</v>
      </c>
      <c r="G1107" s="3"/>
      <c r="H1107" s="3"/>
      <c r="I1107" s="4" t="b">
        <f>OR(((E1107 = "calculated")=TRUE), ((E1107 = "lookup")=TRUE), ((E1107 = "aggregation")=TRUE))</f>
        <v>0</v>
      </c>
      <c r="J1107" s="4" t="b">
        <f>H1107 &lt;&gt; ""</f>
        <v>0</v>
      </c>
      <c r="K1107" s="4">
        <f>COUNTIFS(FieldDisagreements!D2:D50, A1107)</f>
        <v>0</v>
      </c>
      <c r="L1107" s="4" t="b">
        <f>K1107 &gt; 0</f>
        <v>0</v>
      </c>
      <c r="M1107" s="3" t="s">
        <v>2418</v>
      </c>
    </row>
    <row r="1108">
      <c r="A1108" s="3" t="s">
        <v>4181</v>
      </c>
      <c r="B1108" s="4" t="str">
        <f>C1108 &amp; "." &amp; D1108</f>
        <v>RulebookFields.IsDerived</v>
      </c>
      <c r="C1108" s="3" t="s">
        <v>4172</v>
      </c>
      <c r="D1108" s="3" t="s">
        <v>2410</v>
      </c>
      <c r="E1108" s="3" t="s">
        <v>2420</v>
      </c>
      <c r="F1108" s="3" t="s">
        <v>2432</v>
      </c>
      <c r="G1108" s="3" t="s">
        <v>4182</v>
      </c>
      <c r="H1108" s="3"/>
      <c r="I1108" s="4" t="b">
        <f>OR(((E1108 = "calculated")=TRUE), ((E1108 = "lookup")=TRUE), ((E1108 = "aggregation")=TRUE))</f>
        <v>1</v>
      </c>
      <c r="J1108" s="4" t="b">
        <f>H1108 &lt;&gt; ""</f>
        <v>0</v>
      </c>
      <c r="K1108" s="4">
        <f>COUNTIFS(FieldDisagreements!D2:D50, A1108)</f>
        <v>0</v>
      </c>
      <c r="L1108" s="4" t="b">
        <f>K1108 &gt; 0</f>
        <v>0</v>
      </c>
      <c r="M1108" s="3" t="s">
        <v>2418</v>
      </c>
    </row>
    <row r="1109">
      <c r="A1109" s="3" t="s">
        <v>4183</v>
      </c>
      <c r="B1109" s="4" t="str">
        <f>C1109 &amp; "." &amp; D1109</f>
        <v>RulebookFields.IsWitness</v>
      </c>
      <c r="C1109" s="3" t="s">
        <v>4172</v>
      </c>
      <c r="D1109" s="3" t="s">
        <v>2411</v>
      </c>
      <c r="E1109" s="3" t="s">
        <v>2420</v>
      </c>
      <c r="F1109" s="3" t="s">
        <v>2432</v>
      </c>
      <c r="G1109" s="3" t="s">
        <v>4184</v>
      </c>
      <c r="H1109" s="3"/>
      <c r="I1109" s="4" t="b">
        <f>OR(((E1109 = "calculated")=TRUE), ((E1109 = "lookup")=TRUE), ((E1109 = "aggregation")=TRUE))</f>
        <v>1</v>
      </c>
      <c r="J1109" s="4" t="b">
        <f>H1109 &lt;&gt; ""</f>
        <v>0</v>
      </c>
      <c r="K1109" s="4">
        <f>COUNTIFS(FieldDisagreements!D2:D50, A1109)</f>
        <v>0</v>
      </c>
      <c r="L1109" s="4" t="b">
        <f>K1109 &gt; 0</f>
        <v>0</v>
      </c>
      <c r="M1109" s="3" t="s">
        <v>2418</v>
      </c>
    </row>
    <row r="1110">
      <c r="A1110" s="3" t="s">
        <v>4185</v>
      </c>
      <c r="B1110" s="4" t="str">
        <f>C1110 &amp; "." &amp; D1110</f>
        <v>RulebookFields.DisagreeingSubstrateCount</v>
      </c>
      <c r="C1110" s="3" t="s">
        <v>4172</v>
      </c>
      <c r="D1110" s="3" t="s">
        <v>2412</v>
      </c>
      <c r="E1110" s="3" t="s">
        <v>2469</v>
      </c>
      <c r="F1110" s="3" t="s">
        <v>2475</v>
      </c>
      <c r="G1110" s="3" t="s">
        <v>4186</v>
      </c>
      <c r="H1110" s="3" t="s">
        <v>2391</v>
      </c>
      <c r="I1110" s="4" t="b">
        <f>OR(((E1110 = "calculated")=TRUE), ((E1110 = "lookup")=TRUE), ((E1110 = "aggregation")=TRUE))</f>
        <v>1</v>
      </c>
      <c r="J1110" s="4" t="b">
        <f>H1110 &lt;&gt; ""</f>
        <v>1</v>
      </c>
      <c r="K1110" s="4">
        <f>COUNTIFS(FieldDisagreements!D2:D50, A1110)</f>
        <v>0</v>
      </c>
      <c r="L1110" s="4" t="b">
        <f>K1110 &gt; 0</f>
        <v>0</v>
      </c>
      <c r="M1110" s="3" t="s">
        <v>2418</v>
      </c>
    </row>
    <row r="1111">
      <c r="A1111" s="3" t="s">
        <v>4187</v>
      </c>
      <c r="B1111" s="4" t="str">
        <f>C1111 &amp; "." &amp; D1111</f>
        <v>RulebookFields.IsSubstrateContested</v>
      </c>
      <c r="C1111" s="3" t="s">
        <v>4172</v>
      </c>
      <c r="D1111" s="3" t="s">
        <v>2413</v>
      </c>
      <c r="E1111" s="3" t="s">
        <v>2420</v>
      </c>
      <c r="F1111" s="3" t="s">
        <v>2432</v>
      </c>
      <c r="G1111" s="3" t="s">
        <v>4188</v>
      </c>
      <c r="H1111" s="3" t="s">
        <v>2391</v>
      </c>
      <c r="I1111" s="4" t="b">
        <f>OR(((E1111 = "calculated")=TRUE), ((E1111 = "lookup")=TRUE), ((E1111 = "aggregation")=TRUE))</f>
        <v>1</v>
      </c>
      <c r="J1111" s="4" t="b">
        <f>H1111 &lt;&gt; ""</f>
        <v>1</v>
      </c>
      <c r="K1111" s="4">
        <f>COUNTIFS(FieldDisagreements!D2:D50, A1111)</f>
        <v>0</v>
      </c>
      <c r="L1111" s="4" t="b">
        <f>K1111 &gt; 0</f>
        <v>0</v>
      </c>
      <c r="M1111" s="3" t="s">
        <v>2418</v>
      </c>
    </row>
    <row r="1112">
      <c r="A1112" s="3" t="s">
        <v>4189</v>
      </c>
      <c r="B1112" s="4" t="str">
        <f>C1112 &amp; "." &amp; D1112</f>
        <v>RulebookFields.SemanticTypeIri</v>
      </c>
      <c r="C1112" s="3" t="s">
        <v>4172</v>
      </c>
      <c r="D1112" s="3" t="s">
        <v>94</v>
      </c>
      <c r="E1112" s="3" t="s">
        <v>2416</v>
      </c>
      <c r="F1112" s="3" t="s">
        <v>2417</v>
      </c>
      <c r="G1112" s="3"/>
      <c r="H1112" s="3"/>
      <c r="I1112" s="4" t="b">
        <f>OR(((E1112 = "calculated")=TRUE), ((E1112 = "lookup")=TRUE), ((E1112 = "aggregation")=TRUE))</f>
        <v>0</v>
      </c>
      <c r="J1112" s="4" t="b">
        <f>H1112 &lt;&gt; ""</f>
        <v>0</v>
      </c>
      <c r="K1112" s="4">
        <f>COUNTIFS(FieldDisagreements!D2:D50, A1112)</f>
        <v>0</v>
      </c>
      <c r="L1112" s="4" t="b">
        <f>K1112 &gt; 0</f>
        <v>0</v>
      </c>
      <c r="M1112" s="3" t="s">
        <v>2418</v>
      </c>
    </row>
    <row r="1113">
      <c r="A1113" s="3" t="s">
        <v>4190</v>
      </c>
      <c r="B1113" s="4" t="str">
        <f>C1113 &amp; "." &amp; D1113</f>
        <v>TestSuites.TestSuiteId</v>
      </c>
      <c r="C1113" s="3" t="s">
        <v>4191</v>
      </c>
      <c r="D1113" s="3" t="s">
        <v>4192</v>
      </c>
      <c r="E1113" s="3" t="s">
        <v>2416</v>
      </c>
      <c r="F1113" s="3" t="s">
        <v>2417</v>
      </c>
      <c r="G1113" s="3"/>
      <c r="H1113" s="3"/>
      <c r="I1113" s="4" t="b">
        <f>OR(((E1113 = "calculated")=TRUE), ((E1113 = "lookup")=TRUE), ((E1113 = "aggregation")=TRUE))</f>
        <v>0</v>
      </c>
      <c r="J1113" s="4" t="b">
        <f>H1113 &lt;&gt; ""</f>
        <v>0</v>
      </c>
      <c r="K1113" s="4">
        <f>COUNTIFS(FieldDisagreements!D2:D50, A1113)</f>
        <v>0</v>
      </c>
      <c r="L1113" s="4" t="b">
        <f>K1113 &gt; 0</f>
        <v>0</v>
      </c>
      <c r="M1113" s="3" t="s">
        <v>2418</v>
      </c>
    </row>
    <row r="1114">
      <c r="A1114" s="3" t="s">
        <v>4193</v>
      </c>
      <c r="B1114" s="4" t="str">
        <f>C1114 &amp; "." &amp; D1114</f>
        <v>TestSuites.Name</v>
      </c>
      <c r="C1114" s="3" t="s">
        <v>4191</v>
      </c>
      <c r="D1114" s="3" t="s">
        <v>1</v>
      </c>
      <c r="E1114" s="3" t="s">
        <v>2420</v>
      </c>
      <c r="F1114" s="3" t="s">
        <v>2417</v>
      </c>
      <c r="G1114" s="3" t="s">
        <v>2504</v>
      </c>
      <c r="H1114" s="3"/>
      <c r="I1114" s="4" t="b">
        <f>OR(((E1114 = "calculated")=TRUE), ((E1114 = "lookup")=TRUE), ((E1114 = "aggregation")=TRUE))</f>
        <v>1</v>
      </c>
      <c r="J1114" s="4" t="b">
        <f>H1114 &lt;&gt; ""</f>
        <v>0</v>
      </c>
      <c r="K1114" s="4">
        <f>COUNTIFS(FieldDisagreements!D2:D50, A1114)</f>
        <v>0</v>
      </c>
      <c r="L1114" s="4" t="b">
        <f>K1114 &gt; 0</f>
        <v>0</v>
      </c>
      <c r="M1114" s="3" t="s">
        <v>2418</v>
      </c>
    </row>
    <row r="1115">
      <c r="A1115" s="3" t="s">
        <v>4194</v>
      </c>
      <c r="B1115" s="4" t="str">
        <f>C1115 &amp; "." &amp; D1115</f>
        <v>TestSuites.Label</v>
      </c>
      <c r="C1115" s="3" t="s">
        <v>4191</v>
      </c>
      <c r="D1115" s="3" t="s">
        <v>19</v>
      </c>
      <c r="E1115" s="3" t="s">
        <v>2416</v>
      </c>
      <c r="F1115" s="3" t="s">
        <v>2417</v>
      </c>
      <c r="G1115" s="3"/>
      <c r="H1115" s="3"/>
      <c r="I1115" s="4" t="b">
        <f>OR(((E1115 = "calculated")=TRUE), ((E1115 = "lookup")=TRUE), ((E1115 = "aggregation")=TRUE))</f>
        <v>0</v>
      </c>
      <c r="J1115" s="4" t="b">
        <f>H1115 &lt;&gt; ""</f>
        <v>0</v>
      </c>
      <c r="K1115" s="4">
        <f>COUNTIFS(FieldDisagreements!D2:D50, A1115)</f>
        <v>0</v>
      </c>
      <c r="L1115" s="4" t="b">
        <f>K1115 &gt; 0</f>
        <v>0</v>
      </c>
      <c r="M1115" s="3" t="s">
        <v>2418</v>
      </c>
    </row>
    <row r="1116">
      <c r="A1116" s="3" t="s">
        <v>4195</v>
      </c>
      <c r="B1116" s="4" t="str">
        <f>C1116 &amp; "." &amp; D1116</f>
        <v>TestSuites.TestCount</v>
      </c>
      <c r="C1116" s="3" t="s">
        <v>4191</v>
      </c>
      <c r="D1116" s="3" t="s">
        <v>4196</v>
      </c>
      <c r="E1116" s="3" t="s">
        <v>2469</v>
      </c>
      <c r="F1116" s="3" t="s">
        <v>2475</v>
      </c>
      <c r="G1116" s="3" t="s">
        <v>4197</v>
      </c>
      <c r="H1116" s="3"/>
      <c r="I1116" s="4" t="b">
        <f>OR(((E1116 = "calculated")=TRUE), ((E1116 = "lookup")=TRUE), ((E1116 = "aggregation")=TRUE))</f>
        <v>1</v>
      </c>
      <c r="J1116" s="4" t="b">
        <f>H1116 &lt;&gt; ""</f>
        <v>0</v>
      </c>
      <c r="K1116" s="4">
        <f>COUNTIFS(FieldDisagreements!D2:D50, A1116)</f>
        <v>0</v>
      </c>
      <c r="L1116" s="4" t="b">
        <f>K1116 &gt; 0</f>
        <v>0</v>
      </c>
      <c r="M1116" s="3" t="s">
        <v>2418</v>
      </c>
    </row>
    <row r="1117">
      <c r="A1117" s="3" t="s">
        <v>4198</v>
      </c>
      <c r="B1117" s="4" t="str">
        <f>C1117 &amp; "." &amp; D1117</f>
        <v>TestSuites.PassCount</v>
      </c>
      <c r="C1117" s="3" t="s">
        <v>4191</v>
      </c>
      <c r="D1117" s="3" t="s">
        <v>4199</v>
      </c>
      <c r="E1117" s="3" t="s">
        <v>2469</v>
      </c>
      <c r="F1117" s="3" t="s">
        <v>2475</v>
      </c>
      <c r="G1117" s="3" t="s">
        <v>4200</v>
      </c>
      <c r="H1117" s="3"/>
      <c r="I1117" s="4" t="b">
        <f>OR(((E1117 = "calculated")=TRUE), ((E1117 = "lookup")=TRUE), ((E1117 = "aggregation")=TRUE))</f>
        <v>1</v>
      </c>
      <c r="J1117" s="4" t="b">
        <f>H1117 &lt;&gt; ""</f>
        <v>0</v>
      </c>
      <c r="K1117" s="4">
        <f>COUNTIFS(FieldDisagreements!D2:D50, A1117)</f>
        <v>0</v>
      </c>
      <c r="L1117" s="4" t="b">
        <f>K1117 &gt; 0</f>
        <v>0</v>
      </c>
      <c r="M1117" s="3" t="s">
        <v>2418</v>
      </c>
    </row>
    <row r="1118">
      <c r="A1118" s="3" t="s">
        <v>4201</v>
      </c>
      <c r="B1118" s="4" t="str">
        <f>C1118 &amp; "." &amp; D1118</f>
        <v>TestSuites.BlockingFailCount</v>
      </c>
      <c r="C1118" s="3" t="s">
        <v>4191</v>
      </c>
      <c r="D1118" s="3" t="s">
        <v>4202</v>
      </c>
      <c r="E1118" s="3" t="s">
        <v>2469</v>
      </c>
      <c r="F1118" s="3" t="s">
        <v>2475</v>
      </c>
      <c r="G1118" s="3" t="s">
        <v>4203</v>
      </c>
      <c r="H1118" s="3"/>
      <c r="I1118" s="4" t="b">
        <f>OR(((E1118 = "calculated")=TRUE), ((E1118 = "lookup")=TRUE), ((E1118 = "aggregation")=TRUE))</f>
        <v>1</v>
      </c>
      <c r="J1118" s="4" t="b">
        <f>H1118 &lt;&gt; ""</f>
        <v>0</v>
      </c>
      <c r="K1118" s="4">
        <f>COUNTIFS(FieldDisagreements!D2:D50, A1118)</f>
        <v>0</v>
      </c>
      <c r="L1118" s="4" t="b">
        <f>K1118 &gt; 0</f>
        <v>0</v>
      </c>
      <c r="M1118" s="3" t="s">
        <v>2418</v>
      </c>
    </row>
    <row r="1119">
      <c r="A1119" s="3" t="s">
        <v>4204</v>
      </c>
      <c r="B1119" s="4" t="str">
        <f>C1119 &amp; "." &amp; D1119</f>
        <v>TestSuites.IsGreen</v>
      </c>
      <c r="C1119" s="3" t="s">
        <v>4191</v>
      </c>
      <c r="D1119" s="3" t="s">
        <v>4205</v>
      </c>
      <c r="E1119" s="3" t="s">
        <v>2420</v>
      </c>
      <c r="F1119" s="3" t="s">
        <v>2432</v>
      </c>
      <c r="G1119" s="3" t="s">
        <v>4206</v>
      </c>
      <c r="H1119" s="3"/>
      <c r="I1119" s="4" t="b">
        <f>OR(((E1119 = "calculated")=TRUE), ((E1119 = "lookup")=TRUE), ((E1119 = "aggregation")=TRUE))</f>
        <v>1</v>
      </c>
      <c r="J1119" s="4" t="b">
        <f>H1119 &lt;&gt; ""</f>
        <v>0</v>
      </c>
      <c r="K1119" s="4">
        <f>COUNTIFS(FieldDisagreements!D2:D50, A1119)</f>
        <v>0</v>
      </c>
      <c r="L1119" s="4" t="b">
        <f>K1119 &gt; 0</f>
        <v>0</v>
      </c>
      <c r="M1119" s="3" t="s">
        <v>2418</v>
      </c>
    </row>
    <row r="1120">
      <c r="A1120" s="3" t="s">
        <v>4207</v>
      </c>
      <c r="B1120" s="4" t="str">
        <f>C1120 &amp; "." &amp; D1120</f>
        <v>TestSuites.SemanticTypeIri</v>
      </c>
      <c r="C1120" s="3" t="s">
        <v>4191</v>
      </c>
      <c r="D1120" s="3" t="s">
        <v>94</v>
      </c>
      <c r="E1120" s="3" t="s">
        <v>2416</v>
      </c>
      <c r="F1120" s="3" t="s">
        <v>2417</v>
      </c>
      <c r="G1120" s="3"/>
      <c r="H1120" s="3"/>
      <c r="I1120" s="4" t="b">
        <f>OR(((E1120 = "calculated")=TRUE), ((E1120 = "lookup")=TRUE), ((E1120 = "aggregation")=TRUE))</f>
        <v>0</v>
      </c>
      <c r="J1120" s="4" t="b">
        <f>H1120 &lt;&gt; ""</f>
        <v>0</v>
      </c>
      <c r="K1120" s="4">
        <f>COUNTIFS(FieldDisagreements!D2:D50, A1120)</f>
        <v>0</v>
      </c>
      <c r="L1120" s="4" t="b">
        <f>K1120 &gt; 0</f>
        <v>0</v>
      </c>
      <c r="M1120" s="3" t="s">
        <v>2418</v>
      </c>
    </row>
    <row r="1121">
      <c r="A1121" s="3" t="s">
        <v>4208</v>
      </c>
      <c r="B1121" s="4" t="str">
        <f>C1121 &amp; "." &amp; D1121</f>
        <v>TestCases.TestCaseId</v>
      </c>
      <c r="C1121" s="3" t="s">
        <v>4209</v>
      </c>
      <c r="D1121" s="3" t="s">
        <v>4210</v>
      </c>
      <c r="E1121" s="3" t="s">
        <v>2416</v>
      </c>
      <c r="F1121" s="3" t="s">
        <v>2417</v>
      </c>
      <c r="G1121" s="3"/>
      <c r="H1121" s="3"/>
      <c r="I1121" s="4" t="b">
        <f>OR(((E1121 = "calculated")=TRUE), ((E1121 = "lookup")=TRUE), ((E1121 = "aggregation")=TRUE))</f>
        <v>0</v>
      </c>
      <c r="J1121" s="4" t="b">
        <f>H1121 &lt;&gt; ""</f>
        <v>0</v>
      </c>
      <c r="K1121" s="4">
        <f>COUNTIFS(FieldDisagreements!D2:D50, A1121)</f>
        <v>0</v>
      </c>
      <c r="L1121" s="4" t="b">
        <f>K1121 &gt; 0</f>
        <v>0</v>
      </c>
      <c r="M1121" s="3" t="s">
        <v>2418</v>
      </c>
    </row>
    <row r="1122">
      <c r="A1122" s="3" t="s">
        <v>4211</v>
      </c>
      <c r="B1122" s="4" t="str">
        <f>C1122 &amp; "." &amp; D1122</f>
        <v>TestCases.Name</v>
      </c>
      <c r="C1122" s="3" t="s">
        <v>4209</v>
      </c>
      <c r="D1122" s="3" t="s">
        <v>1</v>
      </c>
      <c r="E1122" s="3" t="s">
        <v>2420</v>
      </c>
      <c r="F1122" s="3" t="s">
        <v>2417</v>
      </c>
      <c r="G1122" s="3" t="s">
        <v>4212</v>
      </c>
      <c r="H1122" s="3"/>
      <c r="I1122" s="4" t="b">
        <f>OR(((E1122 = "calculated")=TRUE), ((E1122 = "lookup")=TRUE), ((E1122 = "aggregation")=TRUE))</f>
        <v>1</v>
      </c>
      <c r="J1122" s="4" t="b">
        <f>H1122 &lt;&gt; ""</f>
        <v>0</v>
      </c>
      <c r="K1122" s="4">
        <f>COUNTIFS(FieldDisagreements!D2:D50, A1122)</f>
        <v>0</v>
      </c>
      <c r="L1122" s="4" t="b">
        <f>K1122 &gt; 0</f>
        <v>0</v>
      </c>
      <c r="M1122" s="3" t="s">
        <v>2418</v>
      </c>
    </row>
    <row r="1123">
      <c r="A1123" s="3" t="s">
        <v>4213</v>
      </c>
      <c r="B1123" s="4" t="str">
        <f>C1123 &amp; "." &amp; D1123</f>
        <v>TestCases.TestKind</v>
      </c>
      <c r="C1123" s="3" t="s">
        <v>4209</v>
      </c>
      <c r="D1123" s="3" t="s">
        <v>4214</v>
      </c>
      <c r="E1123" s="3" t="s">
        <v>2416</v>
      </c>
      <c r="F1123" s="3" t="s">
        <v>2417</v>
      </c>
      <c r="G1123" s="3"/>
      <c r="H1123" s="3"/>
      <c r="I1123" s="4" t="b">
        <f>OR(((E1123 = "calculated")=TRUE), ((E1123 = "lookup")=TRUE), ((E1123 = "aggregation")=TRUE))</f>
        <v>0</v>
      </c>
      <c r="J1123" s="4" t="b">
        <f>H1123 &lt;&gt; ""</f>
        <v>0</v>
      </c>
      <c r="K1123" s="4">
        <f>COUNTIFS(FieldDisagreements!D2:D50, A1123)</f>
        <v>0</v>
      </c>
      <c r="L1123" s="4" t="b">
        <f>K1123 &gt; 0</f>
        <v>0</v>
      </c>
      <c r="M1123" s="3" t="s">
        <v>2418</v>
      </c>
    </row>
    <row r="1124">
      <c r="A1124" s="3" t="s">
        <v>4215</v>
      </c>
      <c r="B1124" s="4" t="str">
        <f>C1124 &amp; "." &amp; D1124</f>
        <v>TestCases.Subject</v>
      </c>
      <c r="C1124" s="3" t="s">
        <v>4209</v>
      </c>
      <c r="D1124" s="3" t="s">
        <v>4216</v>
      </c>
      <c r="E1124" s="3" t="s">
        <v>2416</v>
      </c>
      <c r="F1124" s="3" t="s">
        <v>2417</v>
      </c>
      <c r="G1124" s="3"/>
      <c r="H1124" s="3"/>
      <c r="I1124" s="4" t="b">
        <f>OR(((E1124 = "calculated")=TRUE), ((E1124 = "lookup")=TRUE), ((E1124 = "aggregation")=TRUE))</f>
        <v>0</v>
      </c>
      <c r="J1124" s="4" t="b">
        <f>H1124 &lt;&gt; ""</f>
        <v>0</v>
      </c>
      <c r="K1124" s="4">
        <f>COUNTIFS(FieldDisagreements!D2:D50, A1124)</f>
        <v>0</v>
      </c>
      <c r="L1124" s="4" t="b">
        <f>K1124 &gt; 0</f>
        <v>0</v>
      </c>
      <c r="M1124" s="3" t="s">
        <v>2418</v>
      </c>
    </row>
    <row r="1125">
      <c r="A1125" s="3" t="s">
        <v>4217</v>
      </c>
      <c r="B1125" s="4" t="str">
        <f>C1125 &amp; "." &amp; D1125</f>
        <v>TestCases.TargetTable</v>
      </c>
      <c r="C1125" s="3" t="s">
        <v>4209</v>
      </c>
      <c r="D1125" s="3" t="s">
        <v>2404</v>
      </c>
      <c r="E1125" s="3" t="s">
        <v>2416</v>
      </c>
      <c r="F1125" s="3" t="s">
        <v>2417</v>
      </c>
      <c r="G1125" s="3"/>
      <c r="H1125" s="3"/>
      <c r="I1125" s="4" t="b">
        <f>OR(((E1125 = "calculated")=TRUE), ((E1125 = "lookup")=TRUE), ((E1125 = "aggregation")=TRUE))</f>
        <v>0</v>
      </c>
      <c r="J1125" s="4" t="b">
        <f>H1125 &lt;&gt; ""</f>
        <v>0</v>
      </c>
      <c r="K1125" s="4">
        <f>COUNTIFS(FieldDisagreements!D2:D50, A1125)</f>
        <v>0</v>
      </c>
      <c r="L1125" s="4" t="b">
        <f>K1125 &gt; 0</f>
        <v>0</v>
      </c>
      <c r="M1125" s="3" t="s">
        <v>2418</v>
      </c>
    </row>
    <row r="1126">
      <c r="A1126" s="3" t="s">
        <v>4218</v>
      </c>
      <c r="B1126" s="4" t="str">
        <f>C1126 &amp; "." &amp; D1126</f>
        <v>TestCases.TargetField</v>
      </c>
      <c r="C1126" s="3" t="s">
        <v>4209</v>
      </c>
      <c r="D1126" s="3" t="s">
        <v>4219</v>
      </c>
      <c r="E1126" s="3" t="s">
        <v>2416</v>
      </c>
      <c r="F1126" s="3" t="s">
        <v>2417</v>
      </c>
      <c r="G1126" s="3"/>
      <c r="H1126" s="3"/>
      <c r="I1126" s="4" t="b">
        <f>OR(((E1126 = "calculated")=TRUE), ((E1126 = "lookup")=TRUE), ((E1126 = "aggregation")=TRUE))</f>
        <v>0</v>
      </c>
      <c r="J1126" s="4" t="b">
        <f>H1126 &lt;&gt; ""</f>
        <v>0</v>
      </c>
      <c r="K1126" s="4">
        <f>COUNTIFS(FieldDisagreements!D2:D50, A1126)</f>
        <v>0</v>
      </c>
      <c r="L1126" s="4" t="b">
        <f>K1126 &gt; 0</f>
        <v>0</v>
      </c>
      <c r="M1126" s="3" t="s">
        <v>2418</v>
      </c>
    </row>
    <row r="1127">
      <c r="A1127" s="3" t="s">
        <v>4220</v>
      </c>
      <c r="B1127" s="4" t="str">
        <f>C1127 &amp; "." &amp; D1127</f>
        <v>TestCases.Assertion</v>
      </c>
      <c r="C1127" s="3" t="s">
        <v>4209</v>
      </c>
      <c r="D1127" s="3" t="s">
        <v>4221</v>
      </c>
      <c r="E1127" s="3" t="s">
        <v>2416</v>
      </c>
      <c r="F1127" s="3" t="s">
        <v>2417</v>
      </c>
      <c r="G1127" s="3"/>
      <c r="H1127" s="3"/>
      <c r="I1127" s="4" t="b">
        <f>OR(((E1127 = "calculated")=TRUE), ((E1127 = "lookup")=TRUE), ((E1127 = "aggregation")=TRUE))</f>
        <v>0</v>
      </c>
      <c r="J1127" s="4" t="b">
        <f>H1127 &lt;&gt; ""</f>
        <v>0</v>
      </c>
      <c r="K1127" s="4">
        <f>COUNTIFS(FieldDisagreements!D2:D50, A1127)</f>
        <v>0</v>
      </c>
      <c r="L1127" s="4" t="b">
        <f>K1127 &gt; 0</f>
        <v>0</v>
      </c>
      <c r="M1127" s="3" t="s">
        <v>2418</v>
      </c>
    </row>
    <row r="1128">
      <c r="A1128" s="3" t="s">
        <v>4222</v>
      </c>
      <c r="B1128" s="4" t="str">
        <f>C1128 &amp; "." &amp; D1128</f>
        <v>TestCases.DefendsQuestion</v>
      </c>
      <c r="C1128" s="3" t="s">
        <v>4209</v>
      </c>
      <c r="D1128" s="3" t="s">
        <v>4223</v>
      </c>
      <c r="E1128" s="3" t="s">
        <v>2465</v>
      </c>
      <c r="F1128" s="3" t="s">
        <v>2417</v>
      </c>
      <c r="G1128" s="3"/>
      <c r="H1128" s="3"/>
      <c r="I1128" s="4" t="b">
        <f>OR(((E1128 = "calculated")=TRUE), ((E1128 = "lookup")=TRUE), ((E1128 = "aggregation")=TRUE))</f>
        <v>0</v>
      </c>
      <c r="J1128" s="4" t="b">
        <f>H1128 &lt;&gt; ""</f>
        <v>0</v>
      </c>
      <c r="K1128" s="4">
        <f>COUNTIFS(FieldDisagreements!D2:D50, A1128)</f>
        <v>0</v>
      </c>
      <c r="L1128" s="4" t="b">
        <f>K1128 &gt; 0</f>
        <v>0</v>
      </c>
      <c r="M1128" s="3" t="s">
        <v>2418</v>
      </c>
    </row>
    <row r="1129">
      <c r="A1129" s="3" t="s">
        <v>4224</v>
      </c>
      <c r="B1129" s="4" t="str">
        <f>C1129 &amp; "." &amp; D1129</f>
        <v>TestCases.Suite</v>
      </c>
      <c r="C1129" s="3" t="s">
        <v>4209</v>
      </c>
      <c r="D1129" s="3" t="s">
        <v>4225</v>
      </c>
      <c r="E1129" s="3" t="s">
        <v>2465</v>
      </c>
      <c r="F1129" s="3" t="s">
        <v>2417</v>
      </c>
      <c r="G1129" s="3"/>
      <c r="H1129" s="3"/>
      <c r="I1129" s="4" t="b">
        <f>OR(((E1129 = "calculated")=TRUE), ((E1129 = "lookup")=TRUE), ((E1129 = "aggregation")=TRUE))</f>
        <v>0</v>
      </c>
      <c r="J1129" s="4" t="b">
        <f>H1129 &lt;&gt; ""</f>
        <v>0</v>
      </c>
      <c r="K1129" s="4">
        <f>COUNTIFS(FieldDisagreements!D2:D50, A1129)</f>
        <v>0</v>
      </c>
      <c r="L1129" s="4" t="b">
        <f>K1129 &gt; 0</f>
        <v>0</v>
      </c>
      <c r="M1129" s="3" t="s">
        <v>2418</v>
      </c>
    </row>
    <row r="1130">
      <c r="A1130" s="3" t="s">
        <v>4226</v>
      </c>
      <c r="B1130" s="4" t="str">
        <f>C1130 &amp; "." &amp; D1130</f>
        <v>TestCases.Severity</v>
      </c>
      <c r="C1130" s="3" t="s">
        <v>4209</v>
      </c>
      <c r="D1130" s="3" t="s">
        <v>1195</v>
      </c>
      <c r="E1130" s="3" t="s">
        <v>2416</v>
      </c>
      <c r="F1130" s="3" t="s">
        <v>2417</v>
      </c>
      <c r="G1130" s="3"/>
      <c r="H1130" s="3"/>
      <c r="I1130" s="4" t="b">
        <f>OR(((E1130 = "calculated")=TRUE), ((E1130 = "lookup")=TRUE), ((E1130 = "aggregation")=TRUE))</f>
        <v>0</v>
      </c>
      <c r="J1130" s="4" t="b">
        <f>H1130 &lt;&gt; ""</f>
        <v>0</v>
      </c>
      <c r="K1130" s="4">
        <f>COUNTIFS(FieldDisagreements!D2:D50, A1130)</f>
        <v>0</v>
      </c>
      <c r="L1130" s="4" t="b">
        <f>K1130 &gt; 0</f>
        <v>0</v>
      </c>
      <c r="M1130" s="3" t="s">
        <v>2418</v>
      </c>
    </row>
    <row r="1131">
      <c r="A1131" s="3" t="s">
        <v>4227</v>
      </c>
      <c r="B1131" s="4" t="str">
        <f>C1131 &amp; "." &amp; D1131</f>
        <v>TestCases.IsBlocking</v>
      </c>
      <c r="C1131" s="3" t="s">
        <v>4209</v>
      </c>
      <c r="D1131" s="3" t="s">
        <v>803</v>
      </c>
      <c r="E1131" s="3" t="s">
        <v>2420</v>
      </c>
      <c r="F1131" s="3" t="s">
        <v>2432</v>
      </c>
      <c r="G1131" s="3" t="s">
        <v>4228</v>
      </c>
      <c r="H1131" s="3"/>
      <c r="I1131" s="4" t="b">
        <f>OR(((E1131 = "calculated")=TRUE), ((E1131 = "lookup")=TRUE), ((E1131 = "aggregation")=TRUE))</f>
        <v>1</v>
      </c>
      <c r="J1131" s="4" t="b">
        <f>H1131 &lt;&gt; ""</f>
        <v>0</v>
      </c>
      <c r="K1131" s="4">
        <f>COUNTIFS(FieldDisagreements!D2:D50, A1131)</f>
        <v>0</v>
      </c>
      <c r="L1131" s="4" t="b">
        <f>K1131 &gt; 0</f>
        <v>0</v>
      </c>
      <c r="M1131" s="3" t="s">
        <v>2418</v>
      </c>
    </row>
    <row r="1132">
      <c r="A1132" s="3" t="s">
        <v>4229</v>
      </c>
      <c r="B1132" s="4" t="str">
        <f>C1132 &amp; "." &amp; D1132</f>
        <v>TestCases.LastOutcome</v>
      </c>
      <c r="C1132" s="3" t="s">
        <v>4209</v>
      </c>
      <c r="D1132" s="3" t="s">
        <v>4230</v>
      </c>
      <c r="E1132" s="3" t="s">
        <v>2416</v>
      </c>
      <c r="F1132" s="3" t="s">
        <v>2417</v>
      </c>
      <c r="G1132" s="3"/>
      <c r="H1132" s="3"/>
      <c r="I1132" s="4" t="b">
        <f>OR(((E1132 = "calculated")=TRUE), ((E1132 = "lookup")=TRUE), ((E1132 = "aggregation")=TRUE))</f>
        <v>0</v>
      </c>
      <c r="J1132" s="4" t="b">
        <f>H1132 &lt;&gt; ""</f>
        <v>0</v>
      </c>
      <c r="K1132" s="4">
        <f>COUNTIFS(FieldDisagreements!D2:D50, A1132)</f>
        <v>0</v>
      </c>
      <c r="L1132" s="4" t="b">
        <f>K1132 &gt; 0</f>
        <v>0</v>
      </c>
      <c r="M1132" s="3" t="s">
        <v>2418</v>
      </c>
    </row>
    <row r="1133">
      <c r="A1133" s="3" t="s">
        <v>4231</v>
      </c>
      <c r="B1133" s="4" t="str">
        <f>C1133 &amp; "." &amp; D1133</f>
        <v>TestCases.LastDetail</v>
      </c>
      <c r="C1133" s="3" t="s">
        <v>4209</v>
      </c>
      <c r="D1133" s="3" t="s">
        <v>4232</v>
      </c>
      <c r="E1133" s="3" t="s">
        <v>2416</v>
      </c>
      <c r="F1133" s="3" t="s">
        <v>2417</v>
      </c>
      <c r="G1133" s="3"/>
      <c r="H1133" s="3"/>
      <c r="I1133" s="4" t="b">
        <f>OR(((E1133 = "calculated")=TRUE), ((E1133 = "lookup")=TRUE), ((E1133 = "aggregation")=TRUE))</f>
        <v>0</v>
      </c>
      <c r="J1133" s="4" t="b">
        <f>H1133 &lt;&gt; ""</f>
        <v>0</v>
      </c>
      <c r="K1133" s="4">
        <f>COUNTIFS(FieldDisagreements!D2:D50, A1133)</f>
        <v>0</v>
      </c>
      <c r="L1133" s="4" t="b">
        <f>K1133 &gt; 0</f>
        <v>0</v>
      </c>
      <c r="M1133" s="3" t="s">
        <v>2418</v>
      </c>
    </row>
    <row r="1134">
      <c r="A1134" s="3" t="s">
        <v>4233</v>
      </c>
      <c r="B1134" s="4" t="str">
        <f>C1134 &amp; "." &amp; D1134</f>
        <v>TestCases.LastRunAt</v>
      </c>
      <c r="C1134" s="3" t="s">
        <v>4209</v>
      </c>
      <c r="D1134" s="3" t="s">
        <v>4234</v>
      </c>
      <c r="E1134" s="3" t="s">
        <v>2416</v>
      </c>
      <c r="F1134" s="3" t="s">
        <v>2428</v>
      </c>
      <c r="G1134" s="3"/>
      <c r="H1134" s="3"/>
      <c r="I1134" s="4" t="b">
        <f>OR(((E1134 = "calculated")=TRUE), ((E1134 = "lookup")=TRUE), ((E1134 = "aggregation")=TRUE))</f>
        <v>0</v>
      </c>
      <c r="J1134" s="4" t="b">
        <f>H1134 &lt;&gt; ""</f>
        <v>0</v>
      </c>
      <c r="K1134" s="4">
        <f>COUNTIFS(FieldDisagreements!D2:D50, A1134)</f>
        <v>0</v>
      </c>
      <c r="L1134" s="4" t="b">
        <f>K1134 &gt; 0</f>
        <v>0</v>
      </c>
      <c r="M1134" s="3" t="s">
        <v>2418</v>
      </c>
    </row>
    <row r="1135">
      <c r="A1135" s="3" t="s">
        <v>4235</v>
      </c>
      <c r="B1135" s="4" t="str">
        <f>C1135 &amp; "." &amp; D1135</f>
        <v>TestCases.IsPassing</v>
      </c>
      <c r="C1135" s="3" t="s">
        <v>4209</v>
      </c>
      <c r="D1135" s="3" t="s">
        <v>4236</v>
      </c>
      <c r="E1135" s="3" t="s">
        <v>2420</v>
      </c>
      <c r="F1135" s="3" t="s">
        <v>2432</v>
      </c>
      <c r="G1135" s="3" t="s">
        <v>4237</v>
      </c>
      <c r="H1135" s="3"/>
      <c r="I1135" s="4" t="b">
        <f>OR(((E1135 = "calculated")=TRUE), ((E1135 = "lookup")=TRUE), ((E1135 = "aggregation")=TRUE))</f>
        <v>1</v>
      </c>
      <c r="J1135" s="4" t="b">
        <f>H1135 &lt;&gt; ""</f>
        <v>0</v>
      </c>
      <c r="K1135" s="4">
        <f>COUNTIFS(FieldDisagreements!D2:D50, A1135)</f>
        <v>0</v>
      </c>
      <c r="L1135" s="4" t="b">
        <f>K1135 &gt; 0</f>
        <v>0</v>
      </c>
      <c r="M1135" s="3" t="s">
        <v>2418</v>
      </c>
    </row>
    <row r="1136">
      <c r="A1136" s="3" t="s">
        <v>4238</v>
      </c>
      <c r="B1136" s="4" t="str">
        <f>C1136 &amp; "." &amp; D1136</f>
        <v>TestCases.IsFailing</v>
      </c>
      <c r="C1136" s="3" t="s">
        <v>4209</v>
      </c>
      <c r="D1136" s="3" t="s">
        <v>4239</v>
      </c>
      <c r="E1136" s="3" t="s">
        <v>2420</v>
      </c>
      <c r="F1136" s="3" t="s">
        <v>2432</v>
      </c>
      <c r="G1136" s="3" t="s">
        <v>4240</v>
      </c>
      <c r="H1136" s="3"/>
      <c r="I1136" s="4" t="b">
        <f>OR(((E1136 = "calculated")=TRUE), ((E1136 = "lookup")=TRUE), ((E1136 = "aggregation")=TRUE))</f>
        <v>1</v>
      </c>
      <c r="J1136" s="4" t="b">
        <f>H1136 &lt;&gt; ""</f>
        <v>0</v>
      </c>
      <c r="K1136" s="4">
        <f>COUNTIFS(FieldDisagreements!D2:D50, A1136)</f>
        <v>0</v>
      </c>
      <c r="L1136" s="4" t="b">
        <f>K1136 &gt; 0</f>
        <v>0</v>
      </c>
      <c r="M1136" s="3" t="s">
        <v>2418</v>
      </c>
    </row>
    <row r="1137">
      <c r="A1137" s="3" t="s">
        <v>4241</v>
      </c>
      <c r="B1137" s="4" t="str">
        <f>C1137 &amp; "." &amp; D1137</f>
        <v>TestCases.NeedsAttention</v>
      </c>
      <c r="C1137" s="3" t="s">
        <v>4209</v>
      </c>
      <c r="D1137" s="3" t="s">
        <v>4242</v>
      </c>
      <c r="E1137" s="3" t="s">
        <v>2420</v>
      </c>
      <c r="F1137" s="3" t="s">
        <v>2432</v>
      </c>
      <c r="G1137" s="3" t="s">
        <v>4243</v>
      </c>
      <c r="H1137" s="3"/>
      <c r="I1137" s="4" t="b">
        <f>OR(((E1137 = "calculated")=TRUE), ((E1137 = "lookup")=TRUE), ((E1137 = "aggregation")=TRUE))</f>
        <v>1</v>
      </c>
      <c r="J1137" s="4" t="b">
        <f>H1137 &lt;&gt; ""</f>
        <v>0</v>
      </c>
      <c r="K1137" s="4">
        <f>COUNTIFS(FieldDisagreements!D2:D50, A1137)</f>
        <v>0</v>
      </c>
      <c r="L1137" s="4" t="b">
        <f>K1137 &gt; 0</f>
        <v>0</v>
      </c>
      <c r="M1137" s="3" t="s">
        <v>2418</v>
      </c>
    </row>
    <row r="1138">
      <c r="A1138" s="3" t="s">
        <v>4244</v>
      </c>
      <c r="B1138" s="4" t="str">
        <f>C1138 &amp; "." &amp; D1138</f>
        <v>TestCases.PassingSuiteKey</v>
      </c>
      <c r="C1138" s="3" t="s">
        <v>4209</v>
      </c>
      <c r="D1138" s="3" t="s">
        <v>4245</v>
      </c>
      <c r="E1138" s="3" t="s">
        <v>2420</v>
      </c>
      <c r="F1138" s="3" t="s">
        <v>2417</v>
      </c>
      <c r="G1138" s="3" t="s">
        <v>4246</v>
      </c>
      <c r="H1138" s="3"/>
      <c r="I1138" s="4" t="b">
        <f>OR(((E1138 = "calculated")=TRUE), ((E1138 = "lookup")=TRUE), ((E1138 = "aggregation")=TRUE))</f>
        <v>1</v>
      </c>
      <c r="J1138" s="4" t="b">
        <f>H1138 &lt;&gt; ""</f>
        <v>0</v>
      </c>
      <c r="K1138" s="4">
        <f>COUNTIFS(FieldDisagreements!D2:D50, A1138)</f>
        <v>0</v>
      </c>
      <c r="L1138" s="4" t="b">
        <f>K1138 &gt; 0</f>
        <v>0</v>
      </c>
      <c r="M1138" s="3" t="s">
        <v>2418</v>
      </c>
    </row>
    <row r="1139">
      <c r="A1139" s="3" t="s">
        <v>4247</v>
      </c>
      <c r="B1139" s="4" t="str">
        <f>C1139 &amp; "." &amp; D1139</f>
        <v>TestCases.NeedsAttentionSuiteKey</v>
      </c>
      <c r="C1139" s="3" t="s">
        <v>4209</v>
      </c>
      <c r="D1139" s="3" t="s">
        <v>4248</v>
      </c>
      <c r="E1139" s="3" t="s">
        <v>2420</v>
      </c>
      <c r="F1139" s="3" t="s">
        <v>2417</v>
      </c>
      <c r="G1139" s="3" t="s">
        <v>4249</v>
      </c>
      <c r="H1139" s="3"/>
      <c r="I1139" s="4" t="b">
        <f>OR(((E1139 = "calculated")=TRUE), ((E1139 = "lookup")=TRUE), ((E1139 = "aggregation")=TRUE))</f>
        <v>1</v>
      </c>
      <c r="J1139" s="4" t="b">
        <f>H1139 &lt;&gt; ""</f>
        <v>0</v>
      </c>
      <c r="K1139" s="4">
        <f>COUNTIFS(FieldDisagreements!D2:D50, A1139)</f>
        <v>0</v>
      </c>
      <c r="L1139" s="4" t="b">
        <f>K1139 &gt; 0</f>
        <v>0</v>
      </c>
      <c r="M1139" s="3" t="s">
        <v>2418</v>
      </c>
    </row>
    <row r="1140">
      <c r="A1140" s="3" t="s">
        <v>4250</v>
      </c>
      <c r="B1140" s="4" t="str">
        <f>C1140 &amp; "." &amp; D1140</f>
        <v>TestCases.SemanticTypeIri</v>
      </c>
      <c r="C1140" s="3" t="s">
        <v>4209</v>
      </c>
      <c r="D1140" s="3" t="s">
        <v>94</v>
      </c>
      <c r="E1140" s="3" t="s">
        <v>2416</v>
      </c>
      <c r="F1140" s="3" t="s">
        <v>2417</v>
      </c>
      <c r="G1140" s="3"/>
      <c r="H1140" s="3"/>
      <c r="I1140" s="4" t="b">
        <f>OR(((E1140 = "calculated")=TRUE), ((E1140 = "lookup")=TRUE), ((E1140 = "aggregation")=TRUE))</f>
        <v>0</v>
      </c>
      <c r="J1140" s="4" t="b">
        <f>H1140 &lt;&gt; ""</f>
        <v>0</v>
      </c>
      <c r="K1140" s="4">
        <f>COUNTIFS(FieldDisagreements!D2:D50, A1140)</f>
        <v>0</v>
      </c>
      <c r="L1140" s="4" t="b">
        <f>K1140 &gt; 0</f>
        <v>0</v>
      </c>
      <c r="M1140" s="3" t="s">
        <v>2418</v>
      </c>
    </row>
    <row r="1141">
      <c r="A1141" s="3" t="s">
        <v>4251</v>
      </c>
      <c r="B1141" s="4" t="str">
        <f>C1141 &amp; "." &amp; D1141</f>
        <v>ERBVersions.ERBVersionId</v>
      </c>
      <c r="C1141" s="3" t="s">
        <v>4252</v>
      </c>
      <c r="D1141" s="3" t="s">
        <v>4253</v>
      </c>
      <c r="E1141" s="3" t="s">
        <v>2416</v>
      </c>
      <c r="F1141" s="3" t="s">
        <v>2417</v>
      </c>
      <c r="G1141" s="3"/>
      <c r="H1141" s="3"/>
      <c r="I1141" s="4" t="b">
        <f>OR(((E1141 = "calculated")=TRUE), ((E1141 = "lookup")=TRUE), ((E1141 = "aggregation")=TRUE))</f>
        <v>0</v>
      </c>
      <c r="J1141" s="4" t="b">
        <f>H1141 &lt;&gt; ""</f>
        <v>0</v>
      </c>
      <c r="K1141" s="4">
        <f>COUNTIFS(FieldDisagreements!D2:D50, A1141)</f>
        <v>0</v>
      </c>
      <c r="L1141" s="4" t="b">
        <f>K1141 &gt; 0</f>
        <v>0</v>
      </c>
      <c r="M1141" s="3" t="s">
        <v>2418</v>
      </c>
    </row>
    <row r="1142">
      <c r="A1142" s="3" t="s">
        <v>4254</v>
      </c>
      <c r="B1142" s="4" t="str">
        <f>C1142 &amp; "." &amp; D1142</f>
        <v>ERBVersions.BaseId</v>
      </c>
      <c r="C1142" s="3" t="s">
        <v>4252</v>
      </c>
      <c r="D1142" s="3" t="s">
        <v>4255</v>
      </c>
      <c r="E1142" s="3" t="s">
        <v>2416</v>
      </c>
      <c r="F1142" s="3" t="s">
        <v>2417</v>
      </c>
      <c r="G1142" s="3"/>
      <c r="H1142" s="3"/>
      <c r="I1142" s="4" t="b">
        <f>OR(((E1142 = "calculated")=TRUE), ((E1142 = "lookup")=TRUE), ((E1142 = "aggregation")=TRUE))</f>
        <v>0</v>
      </c>
      <c r="J1142" s="4" t="b">
        <f>H1142 &lt;&gt; ""</f>
        <v>0</v>
      </c>
      <c r="K1142" s="4">
        <f>COUNTIFS(FieldDisagreements!D2:D50, A1142)</f>
        <v>0</v>
      </c>
      <c r="L1142" s="4" t="b">
        <f>K1142 &gt; 0</f>
        <v>0</v>
      </c>
      <c r="M1142" s="3" t="s">
        <v>2418</v>
      </c>
    </row>
    <row r="1143">
      <c r="A1143" s="3" t="s">
        <v>4256</v>
      </c>
      <c r="B1143" s="4" t="str">
        <f>C1143 &amp; "." &amp; D1143</f>
        <v>ERBVersions.Name</v>
      </c>
      <c r="C1143" s="3" t="s">
        <v>4252</v>
      </c>
      <c r="D1143" s="3" t="s">
        <v>1</v>
      </c>
      <c r="E1143" s="3" t="s">
        <v>2416</v>
      </c>
      <c r="F1143" s="3" t="s">
        <v>2417</v>
      </c>
      <c r="G1143" s="3"/>
      <c r="H1143" s="3"/>
      <c r="I1143" s="4" t="b">
        <f>OR(((E1143 = "calculated")=TRUE), ((E1143 = "lookup")=TRUE), ((E1143 = "aggregation")=TRUE))</f>
        <v>0</v>
      </c>
      <c r="J1143" s="4" t="b">
        <f>H1143 &lt;&gt; ""</f>
        <v>0</v>
      </c>
      <c r="K1143" s="4">
        <f>COUNTIFS(FieldDisagreements!D2:D50, A1143)</f>
        <v>0</v>
      </c>
      <c r="L1143" s="4" t="b">
        <f>K1143 &gt; 0</f>
        <v>0</v>
      </c>
      <c r="M1143" s="3" t="s">
        <v>2418</v>
      </c>
    </row>
    <row r="1144">
      <c r="A1144" s="3" t="s">
        <v>4257</v>
      </c>
      <c r="B1144" s="4" t="str">
        <f>C1144 &amp; "." &amp; D1144</f>
        <v>ERBVersions.Message</v>
      </c>
      <c r="C1144" s="3" t="s">
        <v>4252</v>
      </c>
      <c r="D1144" s="3" t="s">
        <v>4258</v>
      </c>
      <c r="E1144" s="3" t="s">
        <v>2416</v>
      </c>
      <c r="F1144" s="3" t="s">
        <v>2417</v>
      </c>
      <c r="G1144" s="3"/>
      <c r="H1144" s="3"/>
      <c r="I1144" s="4" t="b">
        <f>OR(((E1144 = "calculated")=TRUE), ((E1144 = "lookup")=TRUE), ((E1144 = "aggregation")=TRUE))</f>
        <v>0</v>
      </c>
      <c r="J1144" s="4" t="b">
        <f>H1144 &lt;&gt; ""</f>
        <v>0</v>
      </c>
      <c r="K1144" s="4">
        <f>COUNTIFS(FieldDisagreements!D2:D50, A1144)</f>
        <v>0</v>
      </c>
      <c r="L1144" s="4" t="b">
        <f>K1144 &gt; 0</f>
        <v>0</v>
      </c>
      <c r="M1144" s="3" t="s">
        <v>2418</v>
      </c>
    </row>
    <row r="1145">
      <c r="A1145" s="3" t="s">
        <v>4259</v>
      </c>
      <c r="B1145" s="4" t="str">
        <f>C1145 &amp; "." &amp; D1145</f>
        <v>ERBVersions.Notes</v>
      </c>
      <c r="C1145" s="3" t="s">
        <v>4252</v>
      </c>
      <c r="D1145" s="3" t="s">
        <v>1760</v>
      </c>
      <c r="E1145" s="3" t="s">
        <v>2416</v>
      </c>
      <c r="F1145" s="3" t="s">
        <v>2417</v>
      </c>
      <c r="G1145" s="3"/>
      <c r="H1145" s="3"/>
      <c r="I1145" s="4" t="b">
        <f>OR(((E1145 = "calculated")=TRUE), ((E1145 = "lookup")=TRUE), ((E1145 = "aggregation")=TRUE))</f>
        <v>0</v>
      </c>
      <c r="J1145" s="4" t="b">
        <f>H1145 &lt;&gt; ""</f>
        <v>0</v>
      </c>
      <c r="K1145" s="4">
        <f>COUNTIFS(FieldDisagreements!D2:D50, A1145)</f>
        <v>0</v>
      </c>
      <c r="L1145" s="4" t="b">
        <f>K1145 &gt; 0</f>
        <v>0</v>
      </c>
      <c r="M1145" s="3" t="s">
        <v>2418</v>
      </c>
    </row>
    <row r="1146">
      <c r="A1146" s="3" t="s">
        <v>4260</v>
      </c>
      <c r="B1146" s="4" t="str">
        <f>C1146 &amp; "." &amp; D1146</f>
        <v>ERBVersions.CommitDate</v>
      </c>
      <c r="C1146" s="3" t="s">
        <v>4252</v>
      </c>
      <c r="D1146" s="3" t="s">
        <v>4261</v>
      </c>
      <c r="E1146" s="3" t="s">
        <v>2416</v>
      </c>
      <c r="F1146" s="3" t="s">
        <v>2428</v>
      </c>
      <c r="G1146" s="3"/>
      <c r="H1146" s="3"/>
      <c r="I1146" s="4" t="b">
        <f>OR(((E1146 = "calculated")=TRUE), ((E1146 = "lookup")=TRUE), ((E1146 = "aggregation")=TRUE))</f>
        <v>0</v>
      </c>
      <c r="J1146" s="4" t="b">
        <f>H1146 &lt;&gt; ""</f>
        <v>0</v>
      </c>
      <c r="K1146" s="4">
        <f>COUNTIFS(FieldDisagreements!D2:D50, A1146)</f>
        <v>0</v>
      </c>
      <c r="L1146" s="4" t="b">
        <f>K1146 &gt; 0</f>
        <v>0</v>
      </c>
      <c r="M1146" s="3" t="s">
        <v>2418</v>
      </c>
    </row>
    <row r="1147">
      <c r="A1147" s="3" t="s">
        <v>4262</v>
      </c>
      <c r="B1147" s="4" t="str">
        <f>C1147 &amp; "." &amp; D1147</f>
        <v>ERBVersions.IsPublished</v>
      </c>
      <c r="C1147" s="3" t="s">
        <v>4252</v>
      </c>
      <c r="D1147" s="3" t="s">
        <v>4263</v>
      </c>
      <c r="E1147" s="3" t="s">
        <v>2416</v>
      </c>
      <c r="F1147" s="3" t="s">
        <v>2432</v>
      </c>
      <c r="G1147" s="3"/>
      <c r="H1147" s="3"/>
      <c r="I1147" s="4" t="b">
        <f>OR(((E1147 = "calculated")=TRUE), ((E1147 = "lookup")=TRUE), ((E1147 = "aggregation")=TRUE))</f>
        <v>0</v>
      </c>
      <c r="J1147" s="4" t="b">
        <f>H1147 &lt;&gt; ""</f>
        <v>0</v>
      </c>
      <c r="K1147" s="4">
        <f>COUNTIFS(FieldDisagreements!D2:D50, A1147)</f>
        <v>0</v>
      </c>
      <c r="L1147" s="4" t="b">
        <f>K1147 &gt; 0</f>
        <v>0</v>
      </c>
      <c r="M1147" s="3" t="s">
        <v>2418</v>
      </c>
    </row>
    <row r="1148">
      <c r="A1148" s="3" t="s">
        <v>4264</v>
      </c>
      <c r="B1148" s="4" t="str">
        <f>C1148 &amp; "." &amp; D1148</f>
        <v>ERBCustomizations.ERBCustomizationId</v>
      </c>
      <c r="C1148" s="3" t="s">
        <v>4265</v>
      </c>
      <c r="D1148" s="3" t="s">
        <v>4266</v>
      </c>
      <c r="E1148" s="3" t="s">
        <v>2416</v>
      </c>
      <c r="F1148" s="3" t="s">
        <v>2417</v>
      </c>
      <c r="G1148" s="3"/>
      <c r="H1148" s="3"/>
      <c r="I1148" s="4" t="b">
        <f>OR(((E1148 = "calculated")=TRUE), ((E1148 = "lookup")=TRUE), ((E1148 = "aggregation")=TRUE))</f>
        <v>0</v>
      </c>
      <c r="J1148" s="4" t="b">
        <f>H1148 &lt;&gt; ""</f>
        <v>0</v>
      </c>
      <c r="K1148" s="4">
        <f>COUNTIFS(FieldDisagreements!D2:D50, A1148)</f>
        <v>0</v>
      </c>
      <c r="L1148" s="4" t="b">
        <f>K1148 &gt; 0</f>
        <v>0</v>
      </c>
      <c r="M1148" s="3" t="s">
        <v>2418</v>
      </c>
    </row>
    <row r="1149">
      <c r="A1149" s="3" t="s">
        <v>4267</v>
      </c>
      <c r="B1149" s="4" t="str">
        <f>C1149 &amp; "." &amp; D1149</f>
        <v>ERBCustomizations.Name</v>
      </c>
      <c r="C1149" s="3" t="s">
        <v>4265</v>
      </c>
      <c r="D1149" s="3" t="s">
        <v>1</v>
      </c>
      <c r="E1149" s="3" t="s">
        <v>2416</v>
      </c>
      <c r="F1149" s="3" t="s">
        <v>2417</v>
      </c>
      <c r="G1149" s="3"/>
      <c r="H1149" s="3"/>
      <c r="I1149" s="4" t="b">
        <f>OR(((E1149 = "calculated")=TRUE), ((E1149 = "lookup")=TRUE), ((E1149 = "aggregation")=TRUE))</f>
        <v>0</v>
      </c>
      <c r="J1149" s="4" t="b">
        <f>H1149 &lt;&gt; ""</f>
        <v>0</v>
      </c>
      <c r="K1149" s="4">
        <f>COUNTIFS(FieldDisagreements!D2:D50, A1149)</f>
        <v>0</v>
      </c>
      <c r="L1149" s="4" t="b">
        <f>K1149 &gt; 0</f>
        <v>0</v>
      </c>
      <c r="M1149" s="3" t="s">
        <v>2418</v>
      </c>
    </row>
    <row r="1150">
      <c r="A1150" s="3" t="s">
        <v>4268</v>
      </c>
      <c r="B1150" s="4" t="str">
        <f>C1150 &amp; "." &amp; D1150</f>
        <v>ERBCustomizations.Title</v>
      </c>
      <c r="C1150" s="3" t="s">
        <v>4265</v>
      </c>
      <c r="D1150" s="3" t="s">
        <v>358</v>
      </c>
      <c r="E1150" s="3" t="s">
        <v>2416</v>
      </c>
      <c r="F1150" s="3" t="s">
        <v>2417</v>
      </c>
      <c r="G1150" s="3"/>
      <c r="H1150" s="3"/>
      <c r="I1150" s="4" t="b">
        <f>OR(((E1150 = "calculated")=TRUE), ((E1150 = "lookup")=TRUE), ((E1150 = "aggregation")=TRUE))</f>
        <v>0</v>
      </c>
      <c r="J1150" s="4" t="b">
        <f>H1150 &lt;&gt; ""</f>
        <v>0</v>
      </c>
      <c r="K1150" s="4">
        <f>COUNTIFS(FieldDisagreements!D2:D50, A1150)</f>
        <v>0</v>
      </c>
      <c r="L1150" s="4" t="b">
        <f>K1150 &gt; 0</f>
        <v>0</v>
      </c>
      <c r="M1150" s="3" t="s">
        <v>2418</v>
      </c>
    </row>
    <row r="1151">
      <c r="A1151" s="3" t="s">
        <v>4269</v>
      </c>
      <c r="B1151" s="4" t="str">
        <f>C1151 &amp; "." &amp; D1151</f>
        <v>ERBCustomizations.SQLCode</v>
      </c>
      <c r="C1151" s="3" t="s">
        <v>4265</v>
      </c>
      <c r="D1151" s="3" t="s">
        <v>4270</v>
      </c>
      <c r="E1151" s="3" t="s">
        <v>2416</v>
      </c>
      <c r="F1151" s="3" t="s">
        <v>2417</v>
      </c>
      <c r="G1151" s="3"/>
      <c r="H1151" s="3"/>
      <c r="I1151" s="4" t="b">
        <f>OR(((E1151 = "calculated")=TRUE), ((E1151 = "lookup")=TRUE), ((E1151 = "aggregation")=TRUE))</f>
        <v>0</v>
      </c>
      <c r="J1151" s="4" t="b">
        <f>H1151 &lt;&gt; ""</f>
        <v>0</v>
      </c>
      <c r="K1151" s="4">
        <f>COUNTIFS(FieldDisagreements!D2:D50, A1151)</f>
        <v>0</v>
      </c>
      <c r="L1151" s="4" t="b">
        <f>K1151 &gt; 0</f>
        <v>0</v>
      </c>
      <c r="M1151" s="3" t="s">
        <v>2418</v>
      </c>
    </row>
    <row r="1152">
      <c r="A1152" s="3" t="s">
        <v>4271</v>
      </c>
      <c r="B1152" s="4" t="str">
        <f>C1152 &amp; "." &amp; D1152</f>
        <v>ERBCustomizations.SQLTarget</v>
      </c>
      <c r="C1152" s="3" t="s">
        <v>4265</v>
      </c>
      <c r="D1152" s="3" t="s">
        <v>4272</v>
      </c>
      <c r="E1152" s="3" t="s">
        <v>2416</v>
      </c>
      <c r="F1152" s="3" t="s">
        <v>2417</v>
      </c>
      <c r="G1152" s="3"/>
      <c r="H1152" s="3"/>
      <c r="I1152" s="4" t="b">
        <f>OR(((E1152 = "calculated")=TRUE), ((E1152 = "lookup")=TRUE), ((E1152 = "aggregation")=TRUE))</f>
        <v>0</v>
      </c>
      <c r="J1152" s="4" t="b">
        <f>H1152 &lt;&gt; ""</f>
        <v>0</v>
      </c>
      <c r="K1152" s="4">
        <f>COUNTIFS(FieldDisagreements!D2:D50, A1152)</f>
        <v>0</v>
      </c>
      <c r="L1152" s="4" t="b">
        <f>K1152 &gt; 0</f>
        <v>0</v>
      </c>
      <c r="M1152" s="3" t="s">
        <v>2418</v>
      </c>
    </row>
    <row r="1153">
      <c r="A1153" s="3" t="s">
        <v>4273</v>
      </c>
      <c r="B1153" s="4" t="str">
        <f>C1153 &amp; "." &amp; D1153</f>
        <v>ERBCustomizations.CustomizationType</v>
      </c>
      <c r="C1153" s="3" t="s">
        <v>4265</v>
      </c>
      <c r="D1153" s="3" t="s">
        <v>4274</v>
      </c>
      <c r="E1153" s="3" t="s">
        <v>2416</v>
      </c>
      <c r="F1153" s="3" t="s">
        <v>2417</v>
      </c>
      <c r="G1153" s="3"/>
      <c r="H1153" s="3"/>
      <c r="I1153" s="4" t="b">
        <f>OR(((E1153 = "calculated")=TRUE), ((E1153 = "lookup")=TRUE), ((E1153 = "aggregation")=TRUE))</f>
        <v>0</v>
      </c>
      <c r="J1153" s="4" t="b">
        <f>H1153 &lt;&gt; ""</f>
        <v>0</v>
      </c>
      <c r="K1153" s="4">
        <f>COUNTIFS(FieldDisagreements!D2:D50, A1153)</f>
        <v>0</v>
      </c>
      <c r="L1153" s="4" t="b">
        <f>K1153 &gt; 0</f>
        <v>0</v>
      </c>
      <c r="M1153" s="3" t="s">
        <v>2418</v>
      </c>
    </row>
    <row r="1154">
      <c r="A1154" s="3" t="s">
        <v>4275</v>
      </c>
      <c r="B1154" s="4" t="str">
        <f>C1154 &amp; "." &amp; D1154</f>
        <v>__meta__.MetaKey</v>
      </c>
      <c r="C1154" s="3" t="s">
        <v>4276</v>
      </c>
      <c r="D1154" s="3" t="s">
        <v>4277</v>
      </c>
      <c r="E1154" s="3" t="s">
        <v>2416</v>
      </c>
      <c r="F1154" s="3" t="s">
        <v>2417</v>
      </c>
      <c r="G1154" s="3"/>
      <c r="H1154" s="3"/>
      <c r="I1154" s="4" t="b">
        <f>OR(((E1154 = "calculated")=TRUE), ((E1154 = "lookup")=TRUE), ((E1154 = "aggregation")=TRUE))</f>
        <v>0</v>
      </c>
      <c r="J1154" s="4" t="b">
        <f>H1154 &lt;&gt; ""</f>
        <v>0</v>
      </c>
      <c r="K1154" s="4">
        <f>COUNTIFS(FieldDisagreements!D2:D50, A1154)</f>
        <v>0</v>
      </c>
      <c r="L1154" s="4" t="b">
        <f>K1154 &gt; 0</f>
        <v>0</v>
      </c>
      <c r="M1154" s="3" t="s">
        <v>2418</v>
      </c>
    </row>
    <row r="1155">
      <c r="A1155" s="3" t="s">
        <v>4278</v>
      </c>
      <c r="B1155" s="4" t="str">
        <f>C1155 &amp; "." &amp; D1155</f>
        <v>__meta__.Name</v>
      </c>
      <c r="C1155" s="3" t="s">
        <v>4276</v>
      </c>
      <c r="D1155" s="3" t="s">
        <v>1</v>
      </c>
      <c r="E1155" s="3" t="s">
        <v>2420</v>
      </c>
      <c r="F1155" s="3" t="s">
        <v>2417</v>
      </c>
      <c r="G1155" s="3" t="s">
        <v>4279</v>
      </c>
      <c r="H1155" s="3"/>
      <c r="I1155" s="4" t="b">
        <f>OR(((E1155 = "calculated")=TRUE), ((E1155 = "lookup")=TRUE), ((E1155 = "aggregation")=TRUE))</f>
        <v>1</v>
      </c>
      <c r="J1155" s="4" t="b">
        <f>H1155 &lt;&gt; ""</f>
        <v>0</v>
      </c>
      <c r="K1155" s="4">
        <f>COUNTIFS(FieldDisagreements!D2:D50, A1155)</f>
        <v>0</v>
      </c>
      <c r="L1155" s="4" t="b">
        <f>K1155 &gt; 0</f>
        <v>0</v>
      </c>
      <c r="M1155" s="3" t="s">
        <v>2418</v>
      </c>
    </row>
    <row r="1156">
      <c r="A1156" s="3" t="s">
        <v>4280</v>
      </c>
      <c r="B1156" s="4" t="str">
        <f>C1156 &amp; "." &amp; D1156</f>
        <v>__meta__.ValueType</v>
      </c>
      <c r="C1156" s="3" t="s">
        <v>4276</v>
      </c>
      <c r="D1156" s="3" t="s">
        <v>4281</v>
      </c>
      <c r="E1156" s="3" t="s">
        <v>2416</v>
      </c>
      <c r="F1156" s="3" t="s">
        <v>2417</v>
      </c>
      <c r="G1156" s="3"/>
      <c r="H1156" s="3"/>
      <c r="I1156" s="4" t="b">
        <f>OR(((E1156 = "calculated")=TRUE), ((E1156 = "lookup")=TRUE), ((E1156 = "aggregation")=TRUE))</f>
        <v>0</v>
      </c>
      <c r="J1156" s="4" t="b">
        <f>H1156 &lt;&gt; ""</f>
        <v>0</v>
      </c>
      <c r="K1156" s="4">
        <f>COUNTIFS(FieldDisagreements!D2:D50, A1156)</f>
        <v>0</v>
      </c>
      <c r="L1156" s="4" t="b">
        <f>K1156 &gt; 0</f>
        <v>0</v>
      </c>
      <c r="M1156" s="3" t="s">
        <v>2418</v>
      </c>
    </row>
    <row r="1157">
      <c r="A1157" s="3" t="s">
        <v>4282</v>
      </c>
      <c r="B1157" s="4" t="str">
        <f>C1157 &amp; "." &amp; D1157</f>
        <v>__meta__.StringValue</v>
      </c>
      <c r="C1157" s="3" t="s">
        <v>4276</v>
      </c>
      <c r="D1157" s="3" t="s">
        <v>4283</v>
      </c>
      <c r="E1157" s="3" t="s">
        <v>2416</v>
      </c>
      <c r="F1157" s="3" t="s">
        <v>2417</v>
      </c>
      <c r="G1157" s="3"/>
      <c r="H1157" s="3"/>
      <c r="I1157" s="4" t="b">
        <f>OR(((E1157 = "calculated")=TRUE), ((E1157 = "lookup")=TRUE), ((E1157 = "aggregation")=TRUE))</f>
        <v>0</v>
      </c>
      <c r="J1157" s="4" t="b">
        <f>H1157 &lt;&gt; ""</f>
        <v>0</v>
      </c>
      <c r="K1157" s="4">
        <f>COUNTIFS(FieldDisagreements!D2:D50, A1157)</f>
        <v>0</v>
      </c>
      <c r="L1157" s="4" t="b">
        <f>K1157 &gt; 0</f>
        <v>0</v>
      </c>
      <c r="M1157" s="3" t="s">
        <v>2418</v>
      </c>
    </row>
    <row r="1158">
      <c r="A1158" s="3" t="s">
        <v>4284</v>
      </c>
      <c r="B1158" s="4" t="str">
        <f>C1158 &amp; "." &amp; D1158</f>
        <v>__meta__.JsonValue</v>
      </c>
      <c r="C1158" s="3" t="s">
        <v>4276</v>
      </c>
      <c r="D1158" s="3" t="s">
        <v>4285</v>
      </c>
      <c r="E1158" s="3" t="s">
        <v>2416</v>
      </c>
      <c r="F1158" s="3" t="s">
        <v>2417</v>
      </c>
      <c r="G1158" s="3"/>
      <c r="H1158" s="3"/>
      <c r="I1158" s="4" t="b">
        <f>OR(((E1158 = "calculated")=TRUE), ((E1158 = "lookup")=TRUE), ((E1158 = "aggregation")=TRUE))</f>
        <v>0</v>
      </c>
      <c r="J1158" s="4" t="b">
        <f>H1158 &lt;&gt; ""</f>
        <v>0</v>
      </c>
      <c r="K1158" s="4">
        <f>COUNTIFS(FieldDisagreements!D2:D50, A1158)</f>
        <v>0</v>
      </c>
      <c r="L1158" s="4" t="b">
        <f>K1158 &gt; 0</f>
        <v>0</v>
      </c>
      <c r="M1158" s="3" t="s">
        <v>2418</v>
      </c>
    </row>
    <row r="1159">
      <c r="A1159" s="3" t="s">
        <v>4286</v>
      </c>
      <c r="B1159" s="4" t="str">
        <f>C1159 &amp; "." &amp; D1159</f>
        <v>ExceptionInvocations.ExceptionInvocationId</v>
      </c>
      <c r="C1159" s="3" t="s">
        <v>4287</v>
      </c>
      <c r="D1159" s="3" t="s">
        <v>4288</v>
      </c>
      <c r="E1159" s="3" t="s">
        <v>2416</v>
      </c>
      <c r="F1159" s="3" t="s">
        <v>2417</v>
      </c>
      <c r="G1159" s="3"/>
      <c r="H1159" s="3"/>
      <c r="I1159" s="4" t="b">
        <f>OR(((E1159 = "calculated")=TRUE), ((E1159 = "lookup")=TRUE), ((E1159 = "aggregation")=TRUE))</f>
        <v>0</v>
      </c>
      <c r="J1159" s="4" t="b">
        <f>H1159 &lt;&gt; ""</f>
        <v>0</v>
      </c>
      <c r="K1159" s="4">
        <f>COUNTIFS(FieldDisagreements!D2:D50, A1159)</f>
        <v>0</v>
      </c>
      <c r="L1159" s="4" t="b">
        <f>K1159 &gt; 0</f>
        <v>0</v>
      </c>
      <c r="M1159" s="3" t="s">
        <v>2418</v>
      </c>
    </row>
    <row r="1160">
      <c r="A1160" s="3" t="s">
        <v>4289</v>
      </c>
      <c r="B1160" s="4" t="str">
        <f>C1160 &amp; "." &amp; D1160</f>
        <v>ExceptionInvocations.Name</v>
      </c>
      <c r="C1160" s="3" t="s">
        <v>4287</v>
      </c>
      <c r="D1160" s="3" t="s">
        <v>1</v>
      </c>
      <c r="E1160" s="3" t="s">
        <v>2420</v>
      </c>
      <c r="F1160" s="3" t="s">
        <v>2417</v>
      </c>
      <c r="G1160" s="3" t="s">
        <v>4290</v>
      </c>
      <c r="H1160" s="3"/>
      <c r="I1160" s="4" t="b">
        <f>OR(((E1160 = "calculated")=TRUE), ((E1160 = "lookup")=TRUE), ((E1160 = "aggregation")=TRUE))</f>
        <v>1</v>
      </c>
      <c r="J1160" s="4" t="b">
        <f>H1160 &lt;&gt; ""</f>
        <v>0</v>
      </c>
      <c r="K1160" s="4">
        <f>COUNTIFS(FieldDisagreements!D2:D50, A1160)</f>
        <v>0</v>
      </c>
      <c r="L1160" s="4" t="b">
        <f>K1160 &gt; 0</f>
        <v>0</v>
      </c>
      <c r="M1160" s="3" t="s">
        <v>2418</v>
      </c>
    </row>
    <row r="1161">
      <c r="A1161" s="3" t="s">
        <v>4291</v>
      </c>
      <c r="B1161" s="4" t="str">
        <f>C1161 &amp; "." &amp; D1161</f>
        <v>ExceptionInvocations.StepExecution</v>
      </c>
      <c r="C1161" s="3" t="s">
        <v>4287</v>
      </c>
      <c r="D1161" s="3" t="s">
        <v>1467</v>
      </c>
      <c r="E1161" s="3" t="s">
        <v>2465</v>
      </c>
      <c r="F1161" s="3" t="s">
        <v>2417</v>
      </c>
      <c r="G1161" s="3"/>
      <c r="H1161" s="3"/>
      <c r="I1161" s="4" t="b">
        <f>OR(((E1161 = "calculated")=TRUE), ((E1161 = "lookup")=TRUE), ((E1161 = "aggregation")=TRUE))</f>
        <v>0</v>
      </c>
      <c r="J1161" s="4" t="b">
        <f>H1161 &lt;&gt; ""</f>
        <v>0</v>
      </c>
      <c r="K1161" s="4">
        <f>COUNTIFS(FieldDisagreements!D2:D50, A1161)</f>
        <v>0</v>
      </c>
      <c r="L1161" s="4" t="b">
        <f>K1161 &gt; 0</f>
        <v>0</v>
      </c>
      <c r="M1161" s="3" t="s">
        <v>2418</v>
      </c>
    </row>
    <row r="1162">
      <c r="A1162" s="3" t="s">
        <v>4292</v>
      </c>
      <c r="B1162" s="4" t="str">
        <f>C1162 &amp; "." &amp; D1162</f>
        <v>ExceptionInvocations.Exception</v>
      </c>
      <c r="C1162" s="3" t="s">
        <v>4287</v>
      </c>
      <c r="D1162" s="3" t="s">
        <v>4293</v>
      </c>
      <c r="E1162" s="3" t="s">
        <v>2465</v>
      </c>
      <c r="F1162" s="3" t="s">
        <v>2417</v>
      </c>
      <c r="G1162" s="3"/>
      <c r="H1162" s="3"/>
      <c r="I1162" s="4" t="b">
        <f>OR(((E1162 = "calculated")=TRUE), ((E1162 = "lookup")=TRUE), ((E1162 = "aggregation")=TRUE))</f>
        <v>0</v>
      </c>
      <c r="J1162" s="4" t="b">
        <f>H1162 &lt;&gt; ""</f>
        <v>0</v>
      </c>
      <c r="K1162" s="4">
        <f>COUNTIFS(FieldDisagreements!D2:D50, A1162)</f>
        <v>0</v>
      </c>
      <c r="L1162" s="4" t="b">
        <f>K1162 &gt; 0</f>
        <v>0</v>
      </c>
      <c r="M1162" s="3" t="s">
        <v>2418</v>
      </c>
    </row>
    <row r="1163">
      <c r="A1163" s="3" t="s">
        <v>4294</v>
      </c>
      <c r="B1163" s="4" t="str">
        <f>C1163 &amp; "." &amp; D1163</f>
        <v>ExceptionInvocations.InvokedByAgent</v>
      </c>
      <c r="C1163" s="3" t="s">
        <v>4287</v>
      </c>
      <c r="D1163" s="3" t="s">
        <v>4295</v>
      </c>
      <c r="E1163" s="3" t="s">
        <v>2465</v>
      </c>
      <c r="F1163" s="3" t="s">
        <v>2417</v>
      </c>
      <c r="G1163" s="3"/>
      <c r="H1163" s="3"/>
      <c r="I1163" s="4" t="b">
        <f>OR(((E1163 = "calculated")=TRUE), ((E1163 = "lookup")=TRUE), ((E1163 = "aggregation")=TRUE))</f>
        <v>0</v>
      </c>
      <c r="J1163" s="4" t="b">
        <f>H1163 &lt;&gt; ""</f>
        <v>0</v>
      </c>
      <c r="K1163" s="4">
        <f>COUNTIFS(FieldDisagreements!D2:D50, A1163)</f>
        <v>0</v>
      </c>
      <c r="L1163" s="4" t="b">
        <f>K1163 &gt; 0</f>
        <v>0</v>
      </c>
      <c r="M1163" s="3" t="s">
        <v>2418</v>
      </c>
    </row>
    <row r="1164">
      <c r="A1164" s="3" t="s">
        <v>4296</v>
      </c>
      <c r="B1164" s="4" t="str">
        <f>C1164 &amp; "." &amp; D1164</f>
        <v>ExceptionInvocations.ApprovedByAgent</v>
      </c>
      <c r="C1164" s="3" t="s">
        <v>4287</v>
      </c>
      <c r="D1164" s="3" t="s">
        <v>4297</v>
      </c>
      <c r="E1164" s="3" t="s">
        <v>2465</v>
      </c>
      <c r="F1164" s="3" t="s">
        <v>2417</v>
      </c>
      <c r="G1164" s="3"/>
      <c r="H1164" s="3"/>
      <c r="I1164" s="4" t="b">
        <f>OR(((E1164 = "calculated")=TRUE), ((E1164 = "lookup")=TRUE), ((E1164 = "aggregation")=TRUE))</f>
        <v>0</v>
      </c>
      <c r="J1164" s="4" t="b">
        <f>H1164 &lt;&gt; ""</f>
        <v>0</v>
      </c>
      <c r="K1164" s="4">
        <f>COUNTIFS(FieldDisagreements!D2:D50, A1164)</f>
        <v>0</v>
      </c>
      <c r="L1164" s="4" t="b">
        <f>K1164 &gt; 0</f>
        <v>0</v>
      </c>
      <c r="M1164" s="3" t="s">
        <v>2418</v>
      </c>
    </row>
    <row r="1165">
      <c r="A1165" s="3" t="s">
        <v>4298</v>
      </c>
      <c r="B1165" s="4" t="str">
        <f>C1165 &amp; "." &amp; D1165</f>
        <v>ExceptionInvocations.InvokedAt</v>
      </c>
      <c r="C1165" s="3" t="s">
        <v>4287</v>
      </c>
      <c r="D1165" s="3" t="s">
        <v>4299</v>
      </c>
      <c r="E1165" s="3" t="s">
        <v>2416</v>
      </c>
      <c r="F1165" s="3" t="s">
        <v>2428</v>
      </c>
      <c r="G1165" s="3"/>
      <c r="H1165" s="3"/>
      <c r="I1165" s="4" t="b">
        <f>OR(((E1165 = "calculated")=TRUE), ((E1165 = "lookup")=TRUE), ((E1165 = "aggregation")=TRUE))</f>
        <v>0</v>
      </c>
      <c r="J1165" s="4" t="b">
        <f>H1165 &lt;&gt; ""</f>
        <v>0</v>
      </c>
      <c r="K1165" s="4">
        <f>COUNTIFS(FieldDisagreements!D2:D50, A1165)</f>
        <v>0</v>
      </c>
      <c r="L1165" s="4" t="b">
        <f>K1165 &gt; 0</f>
        <v>0</v>
      </c>
      <c r="M1165" s="3" t="s">
        <v>2418</v>
      </c>
    </row>
    <row r="1166">
      <c r="A1166" s="3" t="s">
        <v>4300</v>
      </c>
      <c r="B1166" s="4" t="str">
        <f>C1166 &amp; "." &amp; D1166</f>
        <v>ExceptionInvocations.HandlingApplied</v>
      </c>
      <c r="C1166" s="3" t="s">
        <v>4287</v>
      </c>
      <c r="D1166" s="3" t="s">
        <v>4301</v>
      </c>
      <c r="E1166" s="3" t="s">
        <v>2416</v>
      </c>
      <c r="F1166" s="3" t="s">
        <v>2417</v>
      </c>
      <c r="G1166" s="3"/>
      <c r="H1166" s="3"/>
      <c r="I1166" s="4" t="b">
        <f>OR(((E1166 = "calculated")=TRUE), ((E1166 = "lookup")=TRUE), ((E1166 = "aggregation")=TRUE))</f>
        <v>0</v>
      </c>
      <c r="J1166" s="4" t="b">
        <f>H1166 &lt;&gt; ""</f>
        <v>0</v>
      </c>
      <c r="K1166" s="4">
        <f>COUNTIFS(FieldDisagreements!D2:D50, A1166)</f>
        <v>0</v>
      </c>
      <c r="L1166" s="4" t="b">
        <f>K1166 &gt; 0</f>
        <v>0</v>
      </c>
      <c r="M1166" s="3" t="s">
        <v>2418</v>
      </c>
    </row>
    <row r="1167">
      <c r="A1167" s="3" t="s">
        <v>4302</v>
      </c>
      <c r="B1167" s="4" t="str">
        <f>C1167 &amp; "." &amp; D1167</f>
        <v>ExceptionInvocations.ExpectedHandling</v>
      </c>
      <c r="C1167" s="3" t="s">
        <v>4287</v>
      </c>
      <c r="D1167" s="3" t="s">
        <v>4303</v>
      </c>
      <c r="E1167" s="3" t="s">
        <v>2509</v>
      </c>
      <c r="F1167" s="3" t="s">
        <v>2417</v>
      </c>
      <c r="G1167" s="3" t="s">
        <v>4304</v>
      </c>
      <c r="H1167" s="3"/>
      <c r="I1167" s="4" t="b">
        <f>OR(((E1167 = "calculated")=TRUE), ((E1167 = "lookup")=TRUE), ((E1167 = "aggregation")=TRUE))</f>
        <v>1</v>
      </c>
      <c r="J1167" s="4" t="b">
        <f>H1167 &lt;&gt; ""</f>
        <v>0</v>
      </c>
      <c r="K1167" s="4">
        <f>COUNTIFS(FieldDisagreements!D2:D50, A1167)</f>
        <v>0</v>
      </c>
      <c r="L1167" s="4" t="b">
        <f>K1167 &gt; 0</f>
        <v>0</v>
      </c>
      <c r="M1167" s="3" t="s">
        <v>2418</v>
      </c>
    </row>
    <row r="1168">
      <c r="A1168" s="3" t="s">
        <v>4305</v>
      </c>
      <c r="B1168" s="4" t="str">
        <f>C1168 &amp; "." &amp; D1168</f>
        <v>ExceptionInvocations.RequiredApprovalRole</v>
      </c>
      <c r="C1168" s="3" t="s">
        <v>4287</v>
      </c>
      <c r="D1168" s="3" t="s">
        <v>4306</v>
      </c>
      <c r="E1168" s="3" t="s">
        <v>2509</v>
      </c>
      <c r="F1168" s="3" t="s">
        <v>2417</v>
      </c>
      <c r="G1168" s="3" t="s">
        <v>4307</v>
      </c>
      <c r="H1168" s="3"/>
      <c r="I1168" s="4" t="b">
        <f>OR(((E1168 = "calculated")=TRUE), ((E1168 = "lookup")=TRUE), ((E1168 = "aggregation")=TRUE))</f>
        <v>1</v>
      </c>
      <c r="J1168" s="4" t="b">
        <f>H1168 &lt;&gt; ""</f>
        <v>0</v>
      </c>
      <c r="K1168" s="4">
        <f>COUNTIFS(FieldDisagreements!D2:D50, A1168)</f>
        <v>0</v>
      </c>
      <c r="L1168" s="4" t="b">
        <f>K1168 &gt; 0</f>
        <v>0</v>
      </c>
      <c r="M1168" s="3" t="s">
        <v>2418</v>
      </c>
    </row>
    <row r="1169">
      <c r="A1169" s="3" t="s">
        <v>4308</v>
      </c>
      <c r="B1169" s="4" t="str">
        <f>C1169 &amp; "." &amp; D1169</f>
        <v>ExceptionInvocations.RequiredApprovalRoleHolder</v>
      </c>
      <c r="C1169" s="3" t="s">
        <v>4287</v>
      </c>
      <c r="D1169" s="3" t="s">
        <v>4309</v>
      </c>
      <c r="E1169" s="3" t="s">
        <v>2509</v>
      </c>
      <c r="F1169" s="3" t="s">
        <v>2417</v>
      </c>
      <c r="G1169" s="3" t="s">
        <v>4310</v>
      </c>
      <c r="H1169" s="3"/>
      <c r="I1169" s="4" t="b">
        <f>OR(((E1169 = "calculated")=TRUE), ((E1169 = "lookup")=TRUE), ((E1169 = "aggregation")=TRUE))</f>
        <v>1</v>
      </c>
      <c r="J1169" s="4" t="b">
        <f>H1169 &lt;&gt; ""</f>
        <v>0</v>
      </c>
      <c r="K1169" s="4">
        <f>COUNTIFS(FieldDisagreements!D2:D50, A1169)</f>
        <v>0</v>
      </c>
      <c r="L1169" s="4" t="b">
        <f>K1169 &gt; 0</f>
        <v>0</v>
      </c>
      <c r="M1169" s="3" t="s">
        <v>2418</v>
      </c>
    </row>
    <row r="1170">
      <c r="A1170" s="3" t="s">
        <v>4311</v>
      </c>
      <c r="B1170" s="4" t="str">
        <f>C1170 &amp; "." &amp; D1170</f>
        <v>ExceptionInvocations.ApprovalRoleMatches</v>
      </c>
      <c r="C1170" s="3" t="s">
        <v>4287</v>
      </c>
      <c r="D1170" s="3" t="s">
        <v>4312</v>
      </c>
      <c r="E1170" s="3" t="s">
        <v>2420</v>
      </c>
      <c r="F1170" s="3" t="s">
        <v>2432</v>
      </c>
      <c r="G1170" s="3" t="s">
        <v>4313</v>
      </c>
      <c r="H1170" s="3"/>
      <c r="I1170" s="4" t="b">
        <f>OR(((E1170 = "calculated")=TRUE), ((E1170 = "lookup")=TRUE), ((E1170 = "aggregation")=TRUE))</f>
        <v>1</v>
      </c>
      <c r="J1170" s="4" t="b">
        <f>H1170 &lt;&gt; ""</f>
        <v>0</v>
      </c>
      <c r="K1170" s="4">
        <f>COUNTIFS(FieldDisagreements!D2:D50, A1170)</f>
        <v>0</v>
      </c>
      <c r="L1170" s="4" t="b">
        <f>K1170 &gt; 0</f>
        <v>0</v>
      </c>
      <c r="M1170" s="3" t="s">
        <v>2418</v>
      </c>
    </row>
    <row r="1171">
      <c r="A1171" s="3" t="s">
        <v>4314</v>
      </c>
      <c r="B1171" s="4" t="str">
        <f>C1171 &amp; "." &amp; D1171</f>
        <v>ExceptionInvocations.IsApproved</v>
      </c>
      <c r="C1171" s="3" t="s">
        <v>4287</v>
      </c>
      <c r="D1171" s="3" t="s">
        <v>1114</v>
      </c>
      <c r="E1171" s="3" t="s">
        <v>2420</v>
      </c>
      <c r="F1171" s="3" t="s">
        <v>2432</v>
      </c>
      <c r="G1171" s="3" t="s">
        <v>4315</v>
      </c>
      <c r="H1171" s="3"/>
      <c r="I1171" s="4" t="b">
        <f>OR(((E1171 = "calculated")=TRUE), ((E1171 = "lookup")=TRUE), ((E1171 = "aggregation")=TRUE))</f>
        <v>1</v>
      </c>
      <c r="J1171" s="4" t="b">
        <f>H1171 &lt;&gt; ""</f>
        <v>0</v>
      </c>
      <c r="K1171" s="4">
        <f>COUNTIFS(FieldDisagreements!D2:D50, A1171)</f>
        <v>0</v>
      </c>
      <c r="L1171" s="4" t="b">
        <f>K1171 &gt; 0</f>
        <v>0</v>
      </c>
      <c r="M1171" s="3" t="s">
        <v>2418</v>
      </c>
    </row>
    <row r="1172">
      <c r="A1172" s="3" t="s">
        <v>4316</v>
      </c>
      <c r="B1172" s="4" t="str">
        <f>C1172 &amp; "." &amp; D1172</f>
        <v>ExceptionInvocations.IsImproperlyApproved</v>
      </c>
      <c r="C1172" s="3" t="s">
        <v>4287</v>
      </c>
      <c r="D1172" s="3" t="s">
        <v>4317</v>
      </c>
      <c r="E1172" s="3" t="s">
        <v>2420</v>
      </c>
      <c r="F1172" s="3" t="s">
        <v>2432</v>
      </c>
      <c r="G1172" s="3" t="s">
        <v>4318</v>
      </c>
      <c r="H1172" s="3"/>
      <c r="I1172" s="4" t="b">
        <f>OR(((E1172 = "calculated")=TRUE), ((E1172 = "lookup")=TRUE), ((E1172 = "aggregation")=TRUE))</f>
        <v>1</v>
      </c>
      <c r="J1172" s="4" t="b">
        <f>H1172 &lt;&gt; ""</f>
        <v>0</v>
      </c>
      <c r="K1172" s="4">
        <f>COUNTIFS(FieldDisagreements!D2:D50, A1172)</f>
        <v>0</v>
      </c>
      <c r="L1172" s="4" t="b">
        <f>K1172 &gt; 0</f>
        <v>0</v>
      </c>
      <c r="M1172" s="3" t="s">
        <v>2418</v>
      </c>
    </row>
    <row r="1173">
      <c r="A1173" s="3" t="s">
        <v>4319</v>
      </c>
      <c r="B1173" s="4" t="str">
        <f>C1173 &amp; "." &amp; D1173</f>
        <v>ExceptionInvocations.InvokerAgentKind</v>
      </c>
      <c r="C1173" s="3" t="s">
        <v>4287</v>
      </c>
      <c r="D1173" s="3" t="s">
        <v>4320</v>
      </c>
      <c r="E1173" s="3" t="s">
        <v>2509</v>
      </c>
      <c r="F1173" s="3" t="s">
        <v>2417</v>
      </c>
      <c r="G1173" s="3" t="s">
        <v>4321</v>
      </c>
      <c r="H1173" s="3" t="s">
        <v>2011</v>
      </c>
      <c r="I1173" s="4" t="b">
        <f>OR(((E1173 = "calculated")=TRUE), ((E1173 = "lookup")=TRUE), ((E1173 = "aggregation")=TRUE))</f>
        <v>1</v>
      </c>
      <c r="J1173" s="4" t="b">
        <f>H1173 &lt;&gt; ""</f>
        <v>1</v>
      </c>
      <c r="K1173" s="4">
        <f>COUNTIFS(FieldDisagreements!D2:D50, A1173)</f>
        <v>0</v>
      </c>
      <c r="L1173" s="4" t="b">
        <f>K1173 &gt; 0</f>
        <v>0</v>
      </c>
      <c r="M1173" s="3" t="s">
        <v>2418</v>
      </c>
    </row>
    <row r="1174">
      <c r="A1174" s="3" t="s">
        <v>4322</v>
      </c>
      <c r="B1174" s="4" t="str">
        <f>C1174 &amp; "." &amp; D1174</f>
        <v>ExceptionInvocations.InvokerAlsoPreparedKey</v>
      </c>
      <c r="C1174" s="3" t="s">
        <v>4287</v>
      </c>
      <c r="D1174" s="3" t="s">
        <v>4323</v>
      </c>
      <c r="E1174" s="3" t="s">
        <v>2420</v>
      </c>
      <c r="F1174" s="3" t="s">
        <v>2417</v>
      </c>
      <c r="G1174" s="3" t="s">
        <v>4324</v>
      </c>
      <c r="H1174" s="3" t="s">
        <v>2011</v>
      </c>
      <c r="I1174" s="4" t="b">
        <f>OR(((E1174 = "calculated")=TRUE), ((E1174 = "lookup")=TRUE), ((E1174 = "aggregation")=TRUE))</f>
        <v>1</v>
      </c>
      <c r="J1174" s="4" t="b">
        <f>H1174 &lt;&gt; ""</f>
        <v>1</v>
      </c>
      <c r="K1174" s="4">
        <f>COUNTIFS(FieldDisagreements!D2:D50, A1174)</f>
        <v>0</v>
      </c>
      <c r="L1174" s="4" t="b">
        <f>K1174 &gt; 0</f>
        <v>0</v>
      </c>
      <c r="M1174" s="3" t="s">
        <v>2418</v>
      </c>
    </row>
    <row r="1175">
      <c r="A1175" s="3" t="s">
        <v>4325</v>
      </c>
      <c r="B1175" s="4" t="str">
        <f>C1175 &amp; "." &amp; D1175</f>
        <v>ExceptionInvocations.ParentProcedureExecution</v>
      </c>
      <c r="C1175" s="3" t="s">
        <v>4287</v>
      </c>
      <c r="D1175" s="3" t="s">
        <v>1482</v>
      </c>
      <c r="E1175" s="3" t="s">
        <v>2509</v>
      </c>
      <c r="F1175" s="3" t="s">
        <v>2417</v>
      </c>
      <c r="G1175" s="3" t="s">
        <v>3803</v>
      </c>
      <c r="H1175" s="3" t="s">
        <v>2011</v>
      </c>
      <c r="I1175" s="4" t="b">
        <f>OR(((E1175 = "calculated")=TRUE), ((E1175 = "lookup")=TRUE), ((E1175 = "aggregation")=TRUE))</f>
        <v>1</v>
      </c>
      <c r="J1175" s="4" t="b">
        <f>H1175 &lt;&gt; ""</f>
        <v>1</v>
      </c>
      <c r="K1175" s="4">
        <f>COUNTIFS(FieldDisagreements!D2:D50, A1175)</f>
        <v>0</v>
      </c>
      <c r="L1175" s="4" t="b">
        <f>K1175 &gt; 0</f>
        <v>0</v>
      </c>
      <c r="M1175" s="3" t="s">
        <v>2418</v>
      </c>
    </row>
    <row r="1176">
      <c r="A1176" s="3" t="s">
        <v>4326</v>
      </c>
      <c r="B1176" s="4" t="str">
        <f>C1176 &amp; "." &amp; D1176</f>
        <v>ExceptionInvocations.ApproverPreparedCount</v>
      </c>
      <c r="C1176" s="3" t="s">
        <v>4287</v>
      </c>
      <c r="D1176" s="3" t="s">
        <v>4327</v>
      </c>
      <c r="E1176" s="3" t="s">
        <v>2469</v>
      </c>
      <c r="F1176" s="3" t="s">
        <v>2475</v>
      </c>
      <c r="G1176" s="3" t="s">
        <v>4328</v>
      </c>
      <c r="H1176" s="3" t="s">
        <v>2011</v>
      </c>
      <c r="I1176" s="4" t="b">
        <f>OR(((E1176 = "calculated")=TRUE), ((E1176 = "lookup")=TRUE), ((E1176 = "aggregation")=TRUE))</f>
        <v>1</v>
      </c>
      <c r="J1176" s="4" t="b">
        <f>H1176 &lt;&gt; ""</f>
        <v>1</v>
      </c>
      <c r="K1176" s="4">
        <f>COUNTIFS(FieldDisagreements!D2:D50, A1176)</f>
        <v>0</v>
      </c>
      <c r="L1176" s="4" t="b">
        <f>K1176 &gt; 0</f>
        <v>0</v>
      </c>
      <c r="M1176" s="3" t="s">
        <v>2418</v>
      </c>
    </row>
    <row r="1177">
      <c r="A1177" s="3" t="s">
        <v>4329</v>
      </c>
      <c r="B1177" s="4" t="str">
        <f>C1177 &amp; "." &amp; D1177</f>
        <v>ExceptionInvocations.DelegatedToPreparer</v>
      </c>
      <c r="C1177" s="3" t="s">
        <v>4287</v>
      </c>
      <c r="D1177" s="3" t="s">
        <v>4330</v>
      </c>
      <c r="E1177" s="3" t="s">
        <v>2420</v>
      </c>
      <c r="F1177" s="3" t="s">
        <v>2432</v>
      </c>
      <c r="G1177" s="3" t="s">
        <v>4331</v>
      </c>
      <c r="H1177" s="3" t="s">
        <v>2011</v>
      </c>
      <c r="I1177" s="4" t="b">
        <f>OR(((E1177 = "calculated")=TRUE), ((E1177 = "lookup")=TRUE), ((E1177 = "aggregation")=TRUE))</f>
        <v>1</v>
      </c>
      <c r="J1177" s="4" t="b">
        <f>H1177 &lt;&gt; ""</f>
        <v>1</v>
      </c>
      <c r="K1177" s="4">
        <f>COUNTIFS(FieldDisagreements!D2:D50, A1177)</f>
        <v>0</v>
      </c>
      <c r="L1177" s="4" t="b">
        <f>K1177 &gt; 0</f>
        <v>0</v>
      </c>
      <c r="M1177" s="3" t="s">
        <v>2418</v>
      </c>
    </row>
    <row r="1178">
      <c r="A1178" s="3" t="s">
        <v>4332</v>
      </c>
      <c r="B1178" s="4" t="str">
        <f>C1178 &amp; "." &amp; D1178</f>
        <v>ExceptionInvocations.IsUngovernedInvocation</v>
      </c>
      <c r="C1178" s="3" t="s">
        <v>4287</v>
      </c>
      <c r="D1178" s="3" t="s">
        <v>4333</v>
      </c>
      <c r="E1178" s="3" t="s">
        <v>2420</v>
      </c>
      <c r="F1178" s="3" t="s">
        <v>2432</v>
      </c>
      <c r="G1178" s="3" t="s">
        <v>4334</v>
      </c>
      <c r="H1178" s="3" t="s">
        <v>2011</v>
      </c>
      <c r="I1178" s="4" t="b">
        <f>OR(((E1178 = "calculated")=TRUE), ((E1178 = "lookup")=TRUE), ((E1178 = "aggregation")=TRUE))</f>
        <v>1</v>
      </c>
      <c r="J1178" s="4" t="b">
        <f>H1178 &lt;&gt; ""</f>
        <v>1</v>
      </c>
      <c r="K1178" s="4">
        <f>COUNTIFS(FieldDisagreements!D2:D50, A1178)</f>
        <v>0</v>
      </c>
      <c r="L1178" s="4" t="b">
        <f>K1178 &gt; 0</f>
        <v>0</v>
      </c>
      <c r="M1178" s="3" t="s">
        <v>2418</v>
      </c>
    </row>
    <row r="1179">
      <c r="A1179" s="3" t="s">
        <v>4335</v>
      </c>
      <c r="B1179" s="4" t="str">
        <f>C1179 &amp; "." &amp; D1179</f>
        <v>ExceptionInvocations.SemanticTypeIri</v>
      </c>
      <c r="C1179" s="3" t="s">
        <v>4287</v>
      </c>
      <c r="D1179" s="3" t="s">
        <v>94</v>
      </c>
      <c r="E1179" s="3" t="s">
        <v>2416</v>
      </c>
      <c r="F1179" s="3" t="s">
        <v>2417</v>
      </c>
      <c r="G1179" s="3"/>
      <c r="H1179" s="3"/>
      <c r="I1179" s="4" t="b">
        <f>OR(((E1179 = "calculated")=TRUE), ((E1179 = "lookup")=TRUE), ((E1179 = "aggregation")=TRUE))</f>
        <v>0</v>
      </c>
      <c r="J1179" s="4" t="b">
        <f>H1179 &lt;&gt; ""</f>
        <v>0</v>
      </c>
      <c r="K1179" s="4">
        <f>COUNTIFS(FieldDisagreements!D2:D50, A1179)</f>
        <v>0</v>
      </c>
      <c r="L1179" s="4" t="b">
        <f>K1179 &gt; 0</f>
        <v>0</v>
      </c>
      <c r="M1179" s="3" t="s">
        <v>2418</v>
      </c>
    </row>
    <row r="1180">
      <c r="A1180" s="3" t="s">
        <v>4336</v>
      </c>
      <c r="B1180" s="4" t="str">
        <f>C1180 &amp; "." &amp; D1180</f>
        <v>VerificationOutcomes.VerificationOutcomeId</v>
      </c>
      <c r="C1180" s="3" t="s">
        <v>4337</v>
      </c>
      <c r="D1180" s="3" t="s">
        <v>4338</v>
      </c>
      <c r="E1180" s="3" t="s">
        <v>2416</v>
      </c>
      <c r="F1180" s="3" t="s">
        <v>2417</v>
      </c>
      <c r="G1180" s="3"/>
      <c r="H1180" s="3"/>
      <c r="I1180" s="4" t="b">
        <f>OR(((E1180 = "calculated")=TRUE), ((E1180 = "lookup")=TRUE), ((E1180 = "aggregation")=TRUE))</f>
        <v>0</v>
      </c>
      <c r="J1180" s="4" t="b">
        <f>H1180 &lt;&gt; ""</f>
        <v>0</v>
      </c>
      <c r="K1180" s="4">
        <f>COUNTIFS(FieldDisagreements!D2:D50, A1180)</f>
        <v>0</v>
      </c>
      <c r="L1180" s="4" t="b">
        <f>K1180 &gt; 0</f>
        <v>0</v>
      </c>
      <c r="M1180" s="3" t="s">
        <v>2418</v>
      </c>
    </row>
    <row r="1181">
      <c r="A1181" s="3" t="s">
        <v>4339</v>
      </c>
      <c r="B1181" s="4" t="str">
        <f>C1181 &amp; "." &amp; D1181</f>
        <v>VerificationOutcomes.Name</v>
      </c>
      <c r="C1181" s="3" t="s">
        <v>4337</v>
      </c>
      <c r="D1181" s="3" t="s">
        <v>1</v>
      </c>
      <c r="E1181" s="3" t="s">
        <v>2420</v>
      </c>
      <c r="F1181" s="3" t="s">
        <v>2417</v>
      </c>
      <c r="G1181" s="3" t="s">
        <v>4340</v>
      </c>
      <c r="H1181" s="3"/>
      <c r="I1181" s="4" t="b">
        <f>OR(((E1181 = "calculated")=TRUE), ((E1181 = "lookup")=TRUE), ((E1181 = "aggregation")=TRUE))</f>
        <v>1</v>
      </c>
      <c r="J1181" s="4" t="b">
        <f>H1181 &lt;&gt; ""</f>
        <v>0</v>
      </c>
      <c r="K1181" s="4">
        <f>COUNTIFS(FieldDisagreements!D2:D50, A1181)</f>
        <v>0</v>
      </c>
      <c r="L1181" s="4" t="b">
        <f>K1181 &gt; 0</f>
        <v>0</v>
      </c>
      <c r="M1181" s="3" t="s">
        <v>2418</v>
      </c>
    </row>
    <row r="1182">
      <c r="A1182" s="3" t="s">
        <v>4341</v>
      </c>
      <c r="B1182" s="4" t="str">
        <f>C1182 &amp; "." &amp; D1182</f>
        <v>VerificationOutcomes.StepExecution</v>
      </c>
      <c r="C1182" s="3" t="s">
        <v>4337</v>
      </c>
      <c r="D1182" s="3" t="s">
        <v>1467</v>
      </c>
      <c r="E1182" s="3" t="s">
        <v>2465</v>
      </c>
      <c r="F1182" s="3" t="s">
        <v>2417</v>
      </c>
      <c r="G1182" s="3"/>
      <c r="H1182" s="3"/>
      <c r="I1182" s="4" t="b">
        <f>OR(((E1182 = "calculated")=TRUE), ((E1182 = "lookup")=TRUE), ((E1182 = "aggregation")=TRUE))</f>
        <v>0</v>
      </c>
      <c r="J1182" s="4" t="b">
        <f>H1182 &lt;&gt; ""</f>
        <v>0</v>
      </c>
      <c r="K1182" s="4">
        <f>COUNTIFS(FieldDisagreements!D2:D50, A1182)</f>
        <v>0</v>
      </c>
      <c r="L1182" s="4" t="b">
        <f>K1182 &gt; 0</f>
        <v>0</v>
      </c>
      <c r="M1182" s="3" t="s">
        <v>2418</v>
      </c>
    </row>
    <row r="1183">
      <c r="A1183" s="3" t="s">
        <v>4342</v>
      </c>
      <c r="B1183" s="4" t="str">
        <f>C1183 &amp; "." &amp; D1183</f>
        <v>VerificationOutcomes.StepVerification</v>
      </c>
      <c r="C1183" s="3" t="s">
        <v>4337</v>
      </c>
      <c r="D1183" s="3" t="s">
        <v>4343</v>
      </c>
      <c r="E1183" s="3" t="s">
        <v>2465</v>
      </c>
      <c r="F1183" s="3" t="s">
        <v>2417</v>
      </c>
      <c r="G1183" s="3"/>
      <c r="H1183" s="3"/>
      <c r="I1183" s="4" t="b">
        <f>OR(((E1183 = "calculated")=TRUE), ((E1183 = "lookup")=TRUE), ((E1183 = "aggregation")=TRUE))</f>
        <v>0</v>
      </c>
      <c r="J1183" s="4" t="b">
        <f>H1183 &lt;&gt; ""</f>
        <v>0</v>
      </c>
      <c r="K1183" s="4">
        <f>COUNTIFS(FieldDisagreements!D2:D50, A1183)</f>
        <v>0</v>
      </c>
      <c r="L1183" s="4" t="b">
        <f>K1183 &gt; 0</f>
        <v>0</v>
      </c>
      <c r="M1183" s="3" t="s">
        <v>2418</v>
      </c>
    </row>
    <row r="1184">
      <c r="A1184" s="3" t="s">
        <v>4344</v>
      </c>
      <c r="B1184" s="4" t="str">
        <f>C1184 &amp; "." &amp; D1184</f>
        <v>VerificationOutcomes.ObservedSignalValue</v>
      </c>
      <c r="C1184" s="3" t="s">
        <v>4337</v>
      </c>
      <c r="D1184" s="3" t="s">
        <v>4345</v>
      </c>
      <c r="E1184" s="3" t="s">
        <v>2416</v>
      </c>
      <c r="F1184" s="3" t="s">
        <v>2417</v>
      </c>
      <c r="G1184" s="3"/>
      <c r="H1184" s="3"/>
      <c r="I1184" s="4" t="b">
        <f>OR(((E1184 = "calculated")=TRUE), ((E1184 = "lookup")=TRUE), ((E1184 = "aggregation")=TRUE))</f>
        <v>0</v>
      </c>
      <c r="J1184" s="4" t="b">
        <f>H1184 &lt;&gt; ""</f>
        <v>0</v>
      </c>
      <c r="K1184" s="4">
        <f>COUNTIFS(FieldDisagreements!D2:D50, A1184)</f>
        <v>0</v>
      </c>
      <c r="L1184" s="4" t="b">
        <f>K1184 &gt; 0</f>
        <v>0</v>
      </c>
      <c r="M1184" s="3" t="s">
        <v>2418</v>
      </c>
    </row>
    <row r="1185">
      <c r="A1185" s="3" t="s">
        <v>4346</v>
      </c>
      <c r="B1185" s="4" t="str">
        <f>C1185 &amp; "." &amp; D1185</f>
        <v>VerificationOutcomes.ObservedByAgent</v>
      </c>
      <c r="C1185" s="3" t="s">
        <v>4337</v>
      </c>
      <c r="D1185" s="3" t="s">
        <v>4347</v>
      </c>
      <c r="E1185" s="3" t="s">
        <v>2465</v>
      </c>
      <c r="F1185" s="3" t="s">
        <v>2417</v>
      </c>
      <c r="G1185" s="3"/>
      <c r="H1185" s="3"/>
      <c r="I1185" s="4" t="b">
        <f>OR(((E1185 = "calculated")=TRUE), ((E1185 = "lookup")=TRUE), ((E1185 = "aggregation")=TRUE))</f>
        <v>0</v>
      </c>
      <c r="J1185" s="4" t="b">
        <f>H1185 &lt;&gt; ""</f>
        <v>0</v>
      </c>
      <c r="K1185" s="4">
        <f>COUNTIFS(FieldDisagreements!D2:D50, A1185)</f>
        <v>0</v>
      </c>
      <c r="L1185" s="4" t="b">
        <f>K1185 &gt; 0</f>
        <v>0</v>
      </c>
      <c r="M1185" s="3" t="s">
        <v>2418</v>
      </c>
    </row>
    <row r="1186">
      <c r="A1186" s="3" t="s">
        <v>4348</v>
      </c>
      <c r="B1186" s="4" t="str">
        <f>C1186 &amp; "." &amp; D1186</f>
        <v>VerificationOutcomes.ObservedAt</v>
      </c>
      <c r="C1186" s="3" t="s">
        <v>4337</v>
      </c>
      <c r="D1186" s="3" t="s">
        <v>4349</v>
      </c>
      <c r="E1186" s="3" t="s">
        <v>2416</v>
      </c>
      <c r="F1186" s="3" t="s">
        <v>2428</v>
      </c>
      <c r="G1186" s="3"/>
      <c r="H1186" s="3"/>
      <c r="I1186" s="4" t="b">
        <f>OR(((E1186 = "calculated")=TRUE), ((E1186 = "lookup")=TRUE), ((E1186 = "aggregation")=TRUE))</f>
        <v>0</v>
      </c>
      <c r="J1186" s="4" t="b">
        <f>H1186 &lt;&gt; ""</f>
        <v>0</v>
      </c>
      <c r="K1186" s="4">
        <f>COUNTIFS(FieldDisagreements!D2:D50, A1186)</f>
        <v>0</v>
      </c>
      <c r="L1186" s="4" t="b">
        <f>K1186 &gt; 0</f>
        <v>0</v>
      </c>
      <c r="M1186" s="3" t="s">
        <v>2418</v>
      </c>
    </row>
    <row r="1187">
      <c r="A1187" s="3" t="s">
        <v>4350</v>
      </c>
      <c r="B1187" s="4" t="str">
        <f>C1187 &amp; "." &amp; D1187</f>
        <v>VerificationOutcomes.EvidenceUri</v>
      </c>
      <c r="C1187" s="3" t="s">
        <v>4337</v>
      </c>
      <c r="D1187" s="3" t="s">
        <v>4351</v>
      </c>
      <c r="E1187" s="3" t="s">
        <v>2416</v>
      </c>
      <c r="F1187" s="3" t="s">
        <v>2417</v>
      </c>
      <c r="G1187" s="3"/>
      <c r="H1187" s="3"/>
      <c r="I1187" s="4" t="b">
        <f>OR(((E1187 = "calculated")=TRUE), ((E1187 = "lookup")=TRUE), ((E1187 = "aggregation")=TRUE))</f>
        <v>0</v>
      </c>
      <c r="J1187" s="4" t="b">
        <f>H1187 &lt;&gt; ""</f>
        <v>0</v>
      </c>
      <c r="K1187" s="4">
        <f>COUNTIFS(FieldDisagreements!D2:D50, A1187)</f>
        <v>0</v>
      </c>
      <c r="L1187" s="4" t="b">
        <f>K1187 &gt; 0</f>
        <v>0</v>
      </c>
      <c r="M1187" s="3" t="s">
        <v>2418</v>
      </c>
    </row>
    <row r="1188">
      <c r="A1188" s="3" t="s">
        <v>4352</v>
      </c>
      <c r="B1188" s="4" t="str">
        <f>C1188 &amp; "." &amp; D1188</f>
        <v>VerificationOutcomes.ExpectedSignalValue</v>
      </c>
      <c r="C1188" s="3" t="s">
        <v>4337</v>
      </c>
      <c r="D1188" s="3" t="s">
        <v>942</v>
      </c>
      <c r="E1188" s="3" t="s">
        <v>2509</v>
      </c>
      <c r="F1188" s="3" t="s">
        <v>2417</v>
      </c>
      <c r="G1188" s="3" t="s">
        <v>4353</v>
      </c>
      <c r="H1188" s="3"/>
      <c r="I1188" s="4" t="b">
        <f>OR(((E1188 = "calculated")=TRUE), ((E1188 = "lookup")=TRUE), ((E1188 = "aggregation")=TRUE))</f>
        <v>1</v>
      </c>
      <c r="J1188" s="4" t="b">
        <f>H1188 &lt;&gt; ""</f>
        <v>0</v>
      </c>
      <c r="K1188" s="4">
        <f>COUNTIFS(FieldDisagreements!D2:D50, A1188)</f>
        <v>0</v>
      </c>
      <c r="L1188" s="4" t="b">
        <f>K1188 &gt; 0</f>
        <v>0</v>
      </c>
      <c r="M1188" s="3" t="s">
        <v>2418</v>
      </c>
    </row>
    <row r="1189">
      <c r="A1189" s="3" t="s">
        <v>4354</v>
      </c>
      <c r="B1189" s="4" t="str">
        <f>C1189 &amp; "." &amp; D1189</f>
        <v>VerificationOutcomes.SignalIdentifier</v>
      </c>
      <c r="C1189" s="3" t="s">
        <v>4337</v>
      </c>
      <c r="D1189" s="3" t="s">
        <v>941</v>
      </c>
      <c r="E1189" s="3" t="s">
        <v>2509</v>
      </c>
      <c r="F1189" s="3" t="s">
        <v>2417</v>
      </c>
      <c r="G1189" s="3" t="s">
        <v>4355</v>
      </c>
      <c r="H1189" s="3"/>
      <c r="I1189" s="4" t="b">
        <f>OR(((E1189 = "calculated")=TRUE), ((E1189 = "lookup")=TRUE), ((E1189 = "aggregation")=TRUE))</f>
        <v>1</v>
      </c>
      <c r="J1189" s="4" t="b">
        <f>H1189 &lt;&gt; ""</f>
        <v>0</v>
      </c>
      <c r="K1189" s="4">
        <f>COUNTIFS(FieldDisagreements!D2:D50, A1189)</f>
        <v>0</v>
      </c>
      <c r="L1189" s="4" t="b">
        <f>K1189 &gt; 0</f>
        <v>0</v>
      </c>
      <c r="M1189" s="3" t="s">
        <v>2418</v>
      </c>
    </row>
    <row r="1190">
      <c r="A1190" s="3" t="s">
        <v>844</v>
      </c>
      <c r="B1190" s="4" t="str">
        <f>C1190 &amp; "." &amp; D1190</f>
        <v>VerificationOutcomes.SignalMatchesExpected</v>
      </c>
      <c r="C1190" s="3" t="s">
        <v>4337</v>
      </c>
      <c r="D1190" s="3" t="s">
        <v>4356</v>
      </c>
      <c r="E1190" s="3" t="s">
        <v>2420</v>
      </c>
      <c r="F1190" s="3" t="s">
        <v>2432</v>
      </c>
      <c r="G1190" s="3" t="s">
        <v>4357</v>
      </c>
      <c r="H1190" s="3"/>
      <c r="I1190" s="4" t="b">
        <f>OR(((E1190 = "calculated")=TRUE), ((E1190 = "lookup")=TRUE), ((E1190 = "aggregation")=TRUE))</f>
        <v>1</v>
      </c>
      <c r="J1190" s="4" t="b">
        <f>H1190 &lt;&gt; ""</f>
        <v>0</v>
      </c>
      <c r="K1190" s="4">
        <f>COUNTIFS(FieldDisagreements!D2:D50, A1190)</f>
        <v>0</v>
      </c>
      <c r="L1190" s="4" t="b">
        <f>K1190 &gt; 0</f>
        <v>0</v>
      </c>
      <c r="M1190" s="3" t="s">
        <v>2418</v>
      </c>
    </row>
    <row r="1191">
      <c r="A1191" s="3" t="s">
        <v>4358</v>
      </c>
      <c r="B1191" s="4" t="str">
        <f>C1191 &amp; "." &amp; D1191</f>
        <v>VerificationOutcomes.HasEvidence</v>
      </c>
      <c r="C1191" s="3" t="s">
        <v>4337</v>
      </c>
      <c r="D1191" s="3" t="s">
        <v>4359</v>
      </c>
      <c r="E1191" s="3" t="s">
        <v>2420</v>
      </c>
      <c r="F1191" s="3" t="s">
        <v>2432</v>
      </c>
      <c r="G1191" s="3" t="s">
        <v>4360</v>
      </c>
      <c r="H1191" s="3"/>
      <c r="I1191" s="4" t="b">
        <f>OR(((E1191 = "calculated")=TRUE), ((E1191 = "lookup")=TRUE), ((E1191 = "aggregation")=TRUE))</f>
        <v>1</v>
      </c>
      <c r="J1191" s="4" t="b">
        <f>H1191 &lt;&gt; ""</f>
        <v>0</v>
      </c>
      <c r="K1191" s="4">
        <f>COUNTIFS(FieldDisagreements!D2:D50, A1191)</f>
        <v>0</v>
      </c>
      <c r="L1191" s="4" t="b">
        <f>K1191 &gt; 0</f>
        <v>0</v>
      </c>
      <c r="M1191" s="3" t="s">
        <v>2418</v>
      </c>
    </row>
    <row r="1192">
      <c r="A1192" s="3" t="s">
        <v>851</v>
      </c>
      <c r="B1192" s="4" t="str">
        <f>C1192 &amp; "." &amp; D1192</f>
        <v>VerificationOutcomes.IsUnbackedObservation</v>
      </c>
      <c r="C1192" s="3" t="s">
        <v>4337</v>
      </c>
      <c r="D1192" s="3" t="s">
        <v>4361</v>
      </c>
      <c r="E1192" s="3" t="s">
        <v>2420</v>
      </c>
      <c r="F1192" s="3" t="s">
        <v>2432</v>
      </c>
      <c r="G1192" s="3" t="s">
        <v>4362</v>
      </c>
      <c r="H1192" s="3"/>
      <c r="I1192" s="4" t="b">
        <f>OR(((E1192 = "calculated")=TRUE), ((E1192 = "lookup")=TRUE), ((E1192 = "aggregation")=TRUE))</f>
        <v>1</v>
      </c>
      <c r="J1192" s="4" t="b">
        <f>H1192 &lt;&gt; ""</f>
        <v>0</v>
      </c>
      <c r="K1192" s="4">
        <f>COUNTIFS(FieldDisagreements!D2:D50, A1192)</f>
        <v>0</v>
      </c>
      <c r="L1192" s="4" t="b">
        <f>K1192 &gt; 0</f>
        <v>0</v>
      </c>
      <c r="M1192" s="3" t="s">
        <v>2418</v>
      </c>
    </row>
    <row r="1193">
      <c r="A1193" s="3" t="s">
        <v>4363</v>
      </c>
      <c r="B1193" s="4" t="str">
        <f>C1193 &amp; "." &amp; D1193</f>
        <v>VerificationOutcomes.IsSelfWitnessed</v>
      </c>
      <c r="C1193" s="3" t="s">
        <v>4337</v>
      </c>
      <c r="D1193" s="3" t="s">
        <v>4364</v>
      </c>
      <c r="E1193" s="3" t="s">
        <v>2420</v>
      </c>
      <c r="F1193" s="3" t="s">
        <v>2432</v>
      </c>
      <c r="G1193" s="3" t="s">
        <v>4365</v>
      </c>
      <c r="H1193" s="3" t="s">
        <v>2007</v>
      </c>
      <c r="I1193" s="4" t="b">
        <f>OR(((E1193 = "calculated")=TRUE), ((E1193 = "lookup")=TRUE), ((E1193 = "aggregation")=TRUE))</f>
        <v>1</v>
      </c>
      <c r="J1193" s="4" t="b">
        <f>H1193 &lt;&gt; ""</f>
        <v>1</v>
      </c>
      <c r="K1193" s="4">
        <f>COUNTIFS(FieldDisagreements!D2:D50, A1193)</f>
        <v>0</v>
      </c>
      <c r="L1193" s="4" t="b">
        <f>K1193 &gt; 0</f>
        <v>0</v>
      </c>
      <c r="M1193" s="3" t="s">
        <v>2418</v>
      </c>
    </row>
    <row r="1194">
      <c r="A1194" s="3" t="s">
        <v>4366</v>
      </c>
      <c r="B1194" s="4" t="str">
        <f>C1194 &amp; "." &amp; D1194</f>
        <v>VerificationOutcomes.StepExecutorAgent</v>
      </c>
      <c r="C1194" s="3" t="s">
        <v>4337</v>
      </c>
      <c r="D1194" s="3" t="s">
        <v>1504</v>
      </c>
      <c r="E1194" s="3" t="s">
        <v>2509</v>
      </c>
      <c r="F1194" s="3" t="s">
        <v>2417</v>
      </c>
      <c r="G1194" s="3" t="s">
        <v>3826</v>
      </c>
      <c r="H1194" s="3" t="s">
        <v>2007</v>
      </c>
      <c r="I1194" s="4" t="b">
        <f>OR(((E1194 = "calculated")=TRUE), ((E1194 = "lookup")=TRUE), ((E1194 = "aggregation")=TRUE))</f>
        <v>1</v>
      </c>
      <c r="J1194" s="4" t="b">
        <f>H1194 &lt;&gt; ""</f>
        <v>1</v>
      </c>
      <c r="K1194" s="4">
        <f>COUNTIFS(FieldDisagreements!D2:D50, A1194)</f>
        <v>0</v>
      </c>
      <c r="L1194" s="4" t="b">
        <f>K1194 &gt; 0</f>
        <v>0</v>
      </c>
      <c r="M1194" s="3" t="s">
        <v>2418</v>
      </c>
    </row>
    <row r="1195">
      <c r="A1195" s="3" t="s">
        <v>4367</v>
      </c>
      <c r="B1195" s="4" t="str">
        <f>C1195 &amp; "." &amp; D1195</f>
        <v>VerificationOutcomes.SelfWitnessedStepKey</v>
      </c>
      <c r="C1195" s="3" t="s">
        <v>4337</v>
      </c>
      <c r="D1195" s="3" t="s">
        <v>4368</v>
      </c>
      <c r="E1195" s="3" t="s">
        <v>2420</v>
      </c>
      <c r="F1195" s="3" t="s">
        <v>2417</v>
      </c>
      <c r="G1195" s="3" t="s">
        <v>4369</v>
      </c>
      <c r="H1195" s="3" t="s">
        <v>2007</v>
      </c>
      <c r="I1195" s="4" t="b">
        <f>OR(((E1195 = "calculated")=TRUE), ((E1195 = "lookup")=TRUE), ((E1195 = "aggregation")=TRUE))</f>
        <v>1</v>
      </c>
      <c r="J1195" s="4" t="b">
        <f>H1195 &lt;&gt; ""</f>
        <v>1</v>
      </c>
      <c r="K1195" s="4">
        <f>COUNTIFS(FieldDisagreements!D2:D50, A1195)</f>
        <v>0</v>
      </c>
      <c r="L1195" s="4" t="b">
        <f>K1195 &gt; 0</f>
        <v>0</v>
      </c>
      <c r="M1195" s="3" t="s">
        <v>2418</v>
      </c>
    </row>
    <row r="1196">
      <c r="A1196" s="3" t="s">
        <v>4370</v>
      </c>
      <c r="B1196" s="4" t="str">
        <f>C1196 &amp; "." &amp; D1196</f>
        <v>VerificationOutcomes.UnbackedStepKey</v>
      </c>
      <c r="C1196" s="3" t="s">
        <v>4337</v>
      </c>
      <c r="D1196" s="3" t="s">
        <v>4371</v>
      </c>
      <c r="E1196" s="3" t="s">
        <v>2420</v>
      </c>
      <c r="F1196" s="3" t="s">
        <v>2417</v>
      </c>
      <c r="G1196" s="3" t="s">
        <v>4372</v>
      </c>
      <c r="H1196" s="3" t="s">
        <v>2007</v>
      </c>
      <c r="I1196" s="4" t="b">
        <f>OR(((E1196 = "calculated")=TRUE), ((E1196 = "lookup")=TRUE), ((E1196 = "aggregation")=TRUE))</f>
        <v>1</v>
      </c>
      <c r="J1196" s="4" t="b">
        <f>H1196 &lt;&gt; ""</f>
        <v>1</v>
      </c>
      <c r="K1196" s="4">
        <f>COUNTIFS(FieldDisagreements!D2:D50, A1196)</f>
        <v>0</v>
      </c>
      <c r="L1196" s="4" t="b">
        <f>K1196 &gt; 0</f>
        <v>0</v>
      </c>
      <c r="M1196" s="3" t="s">
        <v>2418</v>
      </c>
    </row>
    <row r="1197">
      <c r="A1197" s="3" t="s">
        <v>4373</v>
      </c>
      <c r="B1197" s="4" t="str">
        <f>C1197 &amp; "." &amp; D1197</f>
        <v>VerificationOutcomes.IsSelfWitnessedAndUnbacked</v>
      </c>
      <c r="C1197" s="3" t="s">
        <v>4337</v>
      </c>
      <c r="D1197" s="3" t="s">
        <v>4374</v>
      </c>
      <c r="E1197" s="3" t="s">
        <v>2420</v>
      </c>
      <c r="F1197" s="3" t="s">
        <v>2432</v>
      </c>
      <c r="G1197" s="3" t="s">
        <v>4375</v>
      </c>
      <c r="H1197" s="3" t="s">
        <v>2275</v>
      </c>
      <c r="I1197" s="4" t="b">
        <f>OR(((E1197 = "calculated")=TRUE), ((E1197 = "lookup")=TRUE), ((E1197 = "aggregation")=TRUE))</f>
        <v>1</v>
      </c>
      <c r="J1197" s="4" t="b">
        <f>H1197 &lt;&gt; ""</f>
        <v>1</v>
      </c>
      <c r="K1197" s="4">
        <f>COUNTIFS(FieldDisagreements!D2:D50, A1197)</f>
        <v>0</v>
      </c>
      <c r="L1197" s="4" t="b">
        <f>K1197 &gt; 0</f>
        <v>0</v>
      </c>
      <c r="M1197" s="3" t="s">
        <v>2418</v>
      </c>
    </row>
    <row r="1198">
      <c r="A1198" s="3" t="s">
        <v>4376</v>
      </c>
      <c r="B1198" s="4" t="str">
        <f>C1198 &amp; "." &amp; D1198</f>
        <v>VerificationOutcomes.IsUncorroboratedPass</v>
      </c>
      <c r="C1198" s="3" t="s">
        <v>4337</v>
      </c>
      <c r="D1198" s="3" t="s">
        <v>4377</v>
      </c>
      <c r="E1198" s="3" t="s">
        <v>2420</v>
      </c>
      <c r="F1198" s="3" t="s">
        <v>2432</v>
      </c>
      <c r="G1198" s="3" t="s">
        <v>4378</v>
      </c>
      <c r="H1198" s="3" t="s">
        <v>2275</v>
      </c>
      <c r="I1198" s="4" t="b">
        <f>OR(((E1198 = "calculated")=TRUE), ((E1198 = "lookup")=TRUE), ((E1198 = "aggregation")=TRUE))</f>
        <v>1</v>
      </c>
      <c r="J1198" s="4" t="b">
        <f>H1198 &lt;&gt; ""</f>
        <v>1</v>
      </c>
      <c r="K1198" s="4">
        <f>COUNTIFS(FieldDisagreements!D2:D50, A1198)</f>
        <v>0</v>
      </c>
      <c r="L1198" s="4" t="b">
        <f>K1198 &gt; 0</f>
        <v>0</v>
      </c>
      <c r="M1198" s="3" t="s">
        <v>2418</v>
      </c>
    </row>
    <row r="1199">
      <c r="A1199" s="3" t="s">
        <v>4379</v>
      </c>
      <c r="B1199" s="4" t="str">
        <f>C1199 &amp; "." &amp; D1199</f>
        <v>VerificationOutcomes.UncorroboratedPassStepKey</v>
      </c>
      <c r="C1199" s="3" t="s">
        <v>4337</v>
      </c>
      <c r="D1199" s="3" t="s">
        <v>4380</v>
      </c>
      <c r="E1199" s="3" t="s">
        <v>2420</v>
      </c>
      <c r="F1199" s="3" t="s">
        <v>2417</v>
      </c>
      <c r="G1199" s="3" t="s">
        <v>4381</v>
      </c>
      <c r="H1199" s="3" t="s">
        <v>2275</v>
      </c>
      <c r="I1199" s="4" t="b">
        <f>OR(((E1199 = "calculated")=TRUE), ((E1199 = "lookup")=TRUE), ((E1199 = "aggregation")=TRUE))</f>
        <v>1</v>
      </c>
      <c r="J1199" s="4" t="b">
        <f>H1199 &lt;&gt; ""</f>
        <v>1</v>
      </c>
      <c r="K1199" s="4">
        <f>COUNTIFS(FieldDisagreements!D2:D50, A1199)</f>
        <v>0</v>
      </c>
      <c r="L1199" s="4" t="b">
        <f>K1199 &gt; 0</f>
        <v>0</v>
      </c>
      <c r="M1199" s="3" t="s">
        <v>2418</v>
      </c>
    </row>
    <row r="1200">
      <c r="A1200" s="3" t="s">
        <v>4382</v>
      </c>
      <c r="B1200" s="4" t="str">
        <f>C1200 &amp; "." &amp; D1200</f>
        <v>VerificationOutcomes.ObserverIsNonHuman</v>
      </c>
      <c r="C1200" s="3" t="s">
        <v>4337</v>
      </c>
      <c r="D1200" s="3" t="s">
        <v>4383</v>
      </c>
      <c r="E1200" s="3" t="s">
        <v>2509</v>
      </c>
      <c r="F1200" s="3" t="s">
        <v>2432</v>
      </c>
      <c r="G1200" s="3" t="s">
        <v>4384</v>
      </c>
      <c r="H1200" s="3" t="s">
        <v>2275</v>
      </c>
      <c r="I1200" s="4" t="b">
        <f>OR(((E1200 = "calculated")=TRUE), ((E1200 = "lookup")=TRUE), ((E1200 = "aggregation")=TRUE))</f>
        <v>1</v>
      </c>
      <c r="J1200" s="4" t="b">
        <f>H1200 &lt;&gt; ""</f>
        <v>1</v>
      </c>
      <c r="K1200" s="4">
        <f>COUNTIFS(FieldDisagreements!D2:D50, A1200)</f>
        <v>0</v>
      </c>
      <c r="L1200" s="4" t="b">
        <f>K1200 &gt; 0</f>
        <v>0</v>
      </c>
      <c r="M1200" s="3" t="s">
        <v>2418</v>
      </c>
    </row>
    <row r="1201">
      <c r="A1201" s="3" t="s">
        <v>4385</v>
      </c>
      <c r="B1201" s="4" t="str">
        <f>C1201 &amp; "." &amp; D1201</f>
        <v>VerificationOutcomes.ObserverIsIndependentOfExecutor</v>
      </c>
      <c r="C1201" s="3" t="s">
        <v>4337</v>
      </c>
      <c r="D1201" s="3" t="s">
        <v>4386</v>
      </c>
      <c r="E1201" s="3" t="s">
        <v>2420</v>
      </c>
      <c r="F1201" s="3" t="s">
        <v>2432</v>
      </c>
      <c r="G1201" s="3" t="s">
        <v>4387</v>
      </c>
      <c r="H1201" s="3" t="s">
        <v>2275</v>
      </c>
      <c r="I1201" s="4" t="b">
        <f>OR(((E1201 = "calculated")=TRUE), ((E1201 = "lookup")=TRUE), ((E1201 = "aggregation")=TRUE))</f>
        <v>1</v>
      </c>
      <c r="J1201" s="4" t="b">
        <f>H1201 &lt;&gt; ""</f>
        <v>1</v>
      </c>
      <c r="K1201" s="4">
        <f>COUNTIFS(FieldDisagreements!D2:D50, A1201)</f>
        <v>0</v>
      </c>
      <c r="L1201" s="4" t="b">
        <f>K1201 &gt; 0</f>
        <v>0</v>
      </c>
      <c r="M1201" s="3" t="s">
        <v>2418</v>
      </c>
    </row>
    <row r="1202">
      <c r="A1202" s="3" t="s">
        <v>4388</v>
      </c>
      <c r="B1202" s="4" t="str">
        <f>C1202 &amp; "." &amp; D1202</f>
        <v>VerificationOutcomes.IsIndependentHumanObservation</v>
      </c>
      <c r="C1202" s="3" t="s">
        <v>4337</v>
      </c>
      <c r="D1202" s="3" t="s">
        <v>4389</v>
      </c>
      <c r="E1202" s="3" t="s">
        <v>2420</v>
      </c>
      <c r="F1202" s="3" t="s">
        <v>2432</v>
      </c>
      <c r="G1202" s="3" t="s">
        <v>4390</v>
      </c>
      <c r="H1202" s="3" t="s">
        <v>2307</v>
      </c>
      <c r="I1202" s="4" t="b">
        <f>OR(((E1202 = "calculated")=TRUE), ((E1202 = "lookup")=TRUE), ((E1202 = "aggregation")=TRUE))</f>
        <v>1</v>
      </c>
      <c r="J1202" s="4" t="b">
        <f>H1202 &lt;&gt; ""</f>
        <v>1</v>
      </c>
      <c r="K1202" s="4">
        <f>COUNTIFS(FieldDisagreements!D2:D50, A1202)</f>
        <v>0</v>
      </c>
      <c r="L1202" s="4" t="b">
        <f>K1202 &gt; 0</f>
        <v>0</v>
      </c>
      <c r="M1202" s="3" t="s">
        <v>2418</v>
      </c>
    </row>
    <row r="1203">
      <c r="A1203" s="3" t="s">
        <v>4391</v>
      </c>
      <c r="B1203" s="4" t="str">
        <f>C1203 &amp; "." &amp; D1203</f>
        <v>VerificationOutcomes.IndependentObservationExecutionKey</v>
      </c>
      <c r="C1203" s="3" t="s">
        <v>4337</v>
      </c>
      <c r="D1203" s="3" t="s">
        <v>4392</v>
      </c>
      <c r="E1203" s="3" t="s">
        <v>2420</v>
      </c>
      <c r="F1203" s="3" t="s">
        <v>2417</v>
      </c>
      <c r="G1203" s="3" t="s">
        <v>4393</v>
      </c>
      <c r="H1203" s="3" t="s">
        <v>2307</v>
      </c>
      <c r="I1203" s="4" t="b">
        <f>OR(((E1203 = "calculated")=TRUE), ((E1203 = "lookup")=TRUE), ((E1203 = "aggregation")=TRUE))</f>
        <v>1</v>
      </c>
      <c r="J1203" s="4" t="b">
        <f>H1203 &lt;&gt; ""</f>
        <v>1</v>
      </c>
      <c r="K1203" s="4">
        <f>COUNTIFS(FieldDisagreements!D2:D50, A1203)</f>
        <v>0</v>
      </c>
      <c r="L1203" s="4" t="b">
        <f>K1203 &gt; 0</f>
        <v>0</v>
      </c>
      <c r="M1203" s="3" t="s">
        <v>2418</v>
      </c>
    </row>
    <row r="1204">
      <c r="A1204" s="3" t="s">
        <v>4394</v>
      </c>
      <c r="B1204" s="4" t="str">
        <f>C1204 &amp; "." &amp; D1204</f>
        <v>VerificationOutcomes.ParentProcedureExecutionOfOutcome</v>
      </c>
      <c r="C1204" s="3" t="s">
        <v>4337</v>
      </c>
      <c r="D1204" s="3" t="s">
        <v>4395</v>
      </c>
      <c r="E1204" s="3" t="s">
        <v>2509</v>
      </c>
      <c r="F1204" s="3" t="s">
        <v>2417</v>
      </c>
      <c r="G1204" s="3" t="s">
        <v>3803</v>
      </c>
      <c r="H1204" s="3" t="s">
        <v>2307</v>
      </c>
      <c r="I1204" s="4" t="b">
        <f>OR(((E1204 = "calculated")=TRUE), ((E1204 = "lookup")=TRUE), ((E1204 = "aggregation")=TRUE))</f>
        <v>1</v>
      </c>
      <c r="J1204" s="4" t="b">
        <f>H1204 &lt;&gt; ""</f>
        <v>1</v>
      </c>
      <c r="K1204" s="4">
        <f>COUNTIFS(FieldDisagreements!D2:D50, A1204)</f>
        <v>0</v>
      </c>
      <c r="L1204" s="4" t="b">
        <f>K1204 &gt; 0</f>
        <v>0</v>
      </c>
      <c r="M1204" s="3" t="s">
        <v>2418</v>
      </c>
    </row>
    <row r="1205">
      <c r="A1205" s="3" t="s">
        <v>4396</v>
      </c>
      <c r="B1205" s="4" t="str">
        <f>C1205 &amp; "." &amp; D1205</f>
        <v>VerificationOutcomes.SemanticTypeIri</v>
      </c>
      <c r="C1205" s="3" t="s">
        <v>4337</v>
      </c>
      <c r="D1205" s="3" t="s">
        <v>94</v>
      </c>
      <c r="E1205" s="3" t="s">
        <v>2416</v>
      </c>
      <c r="F1205" s="3" t="s">
        <v>2417</v>
      </c>
      <c r="G1205" s="3"/>
      <c r="H1205" s="3"/>
      <c r="I1205" s="4" t="b">
        <f>OR(((E1205 = "calculated")=TRUE), ((E1205 = "lookup")=TRUE), ((E1205 = "aggregation")=TRUE))</f>
        <v>0</v>
      </c>
      <c r="J1205" s="4" t="b">
        <f>H1205 &lt;&gt; ""</f>
        <v>0</v>
      </c>
      <c r="K1205" s="4">
        <f>COUNTIFS(FieldDisagreements!D2:D50, A1205)</f>
        <v>0</v>
      </c>
      <c r="L1205" s="4" t="b">
        <f>K1205 &gt; 0</f>
        <v>0</v>
      </c>
      <c r="M1205" s="3" t="s">
        <v>2418</v>
      </c>
    </row>
    <row r="1206">
      <c r="A1206" s="3" t="s">
        <v>4397</v>
      </c>
      <c r="B1206" s="4" t="str">
        <f>C1206 &amp; "." &amp; D1206</f>
        <v>ObservedTransitions.ObservedTransitionId</v>
      </c>
      <c r="C1206" s="3" t="s">
        <v>4398</v>
      </c>
      <c r="D1206" s="3" t="s">
        <v>4399</v>
      </c>
      <c r="E1206" s="3" t="s">
        <v>2416</v>
      </c>
      <c r="F1206" s="3" t="s">
        <v>2417</v>
      </c>
      <c r="G1206" s="3"/>
      <c r="H1206" s="3"/>
      <c r="I1206" s="4" t="b">
        <f>OR(((E1206 = "calculated")=TRUE), ((E1206 = "lookup")=TRUE), ((E1206 = "aggregation")=TRUE))</f>
        <v>0</v>
      </c>
      <c r="J1206" s="4" t="b">
        <f>H1206 &lt;&gt; ""</f>
        <v>0</v>
      </c>
      <c r="K1206" s="4">
        <f>COUNTIFS(FieldDisagreements!D2:D50, A1206)</f>
        <v>0</v>
      </c>
      <c r="L1206" s="4" t="b">
        <f>K1206 &gt; 0</f>
        <v>0</v>
      </c>
      <c r="M1206" s="3" t="s">
        <v>2418</v>
      </c>
    </row>
    <row r="1207">
      <c r="A1207" s="3" t="s">
        <v>4400</v>
      </c>
      <c r="B1207" s="4" t="str">
        <f>C1207 &amp; "." &amp; D1207</f>
        <v>ObservedTransitions.Name</v>
      </c>
      <c r="C1207" s="3" t="s">
        <v>4398</v>
      </c>
      <c r="D1207" s="3" t="s">
        <v>1</v>
      </c>
      <c r="E1207" s="3" t="s">
        <v>2420</v>
      </c>
      <c r="F1207" s="3" t="s">
        <v>2417</v>
      </c>
      <c r="G1207" s="3" t="s">
        <v>4401</v>
      </c>
      <c r="H1207" s="3"/>
      <c r="I1207" s="4" t="b">
        <f>OR(((E1207 = "calculated")=TRUE), ((E1207 = "lookup")=TRUE), ((E1207 = "aggregation")=TRUE))</f>
        <v>1</v>
      </c>
      <c r="J1207" s="4" t="b">
        <f>H1207 &lt;&gt; ""</f>
        <v>0</v>
      </c>
      <c r="K1207" s="4">
        <f>COUNTIFS(FieldDisagreements!D2:D50, A1207)</f>
        <v>0</v>
      </c>
      <c r="L1207" s="4" t="b">
        <f>K1207 &gt; 0</f>
        <v>0</v>
      </c>
      <c r="M1207" s="3" t="s">
        <v>2418</v>
      </c>
    </row>
    <row r="1208">
      <c r="A1208" s="3" t="s">
        <v>4402</v>
      </c>
      <c r="B1208" s="4" t="str">
        <f>C1208 &amp; "." &amp; D1208</f>
        <v>ObservedTransitions.ProcedureExecution</v>
      </c>
      <c r="C1208" s="3" t="s">
        <v>4398</v>
      </c>
      <c r="D1208" s="3" t="s">
        <v>1349</v>
      </c>
      <c r="E1208" s="3" t="s">
        <v>2465</v>
      </c>
      <c r="F1208" s="3" t="s">
        <v>2417</v>
      </c>
      <c r="G1208" s="3"/>
      <c r="H1208" s="3"/>
      <c r="I1208" s="4" t="b">
        <f>OR(((E1208 = "calculated")=TRUE), ((E1208 = "lookup")=TRUE), ((E1208 = "aggregation")=TRUE))</f>
        <v>0</v>
      </c>
      <c r="J1208" s="4" t="b">
        <f>H1208 &lt;&gt; ""</f>
        <v>0</v>
      </c>
      <c r="K1208" s="4">
        <f>COUNTIFS(FieldDisagreements!D2:D50, A1208)</f>
        <v>0</v>
      </c>
      <c r="L1208" s="4" t="b">
        <f>K1208 &gt; 0</f>
        <v>0</v>
      </c>
      <c r="M1208" s="3" t="s">
        <v>2418</v>
      </c>
    </row>
    <row r="1209">
      <c r="A1209" s="3" t="s">
        <v>4403</v>
      </c>
      <c r="B1209" s="4" t="str">
        <f>C1209 &amp; "." &amp; D1209</f>
        <v>ObservedTransitions.StepTransition</v>
      </c>
      <c r="C1209" s="3" t="s">
        <v>4398</v>
      </c>
      <c r="D1209" s="3" t="s">
        <v>4404</v>
      </c>
      <c r="E1209" s="3" t="s">
        <v>2465</v>
      </c>
      <c r="F1209" s="3" t="s">
        <v>2417</v>
      </c>
      <c r="G1209" s="3"/>
      <c r="H1209" s="3"/>
      <c r="I1209" s="4" t="b">
        <f>OR(((E1209 = "calculated")=TRUE), ((E1209 = "lookup")=TRUE), ((E1209 = "aggregation")=TRUE))</f>
        <v>0</v>
      </c>
      <c r="J1209" s="4" t="b">
        <f>H1209 &lt;&gt; ""</f>
        <v>0</v>
      </c>
      <c r="K1209" s="4">
        <f>COUNTIFS(FieldDisagreements!D2:D50, A1209)</f>
        <v>0</v>
      </c>
      <c r="L1209" s="4" t="b">
        <f>K1209 &gt; 0</f>
        <v>0</v>
      </c>
      <c r="M1209" s="3" t="s">
        <v>2418</v>
      </c>
    </row>
    <row r="1210">
      <c r="A1210" s="3" t="s">
        <v>4405</v>
      </c>
      <c r="B1210" s="4" t="str">
        <f>C1210 &amp; "." &amp; D1210</f>
        <v>ObservedTransitions.ArrivingStepExecution</v>
      </c>
      <c r="C1210" s="3" t="s">
        <v>4398</v>
      </c>
      <c r="D1210" s="3" t="s">
        <v>4406</v>
      </c>
      <c r="E1210" s="3" t="s">
        <v>2465</v>
      </c>
      <c r="F1210" s="3" t="s">
        <v>2417</v>
      </c>
      <c r="G1210" s="3"/>
      <c r="H1210" s="3"/>
      <c r="I1210" s="4" t="b">
        <f>OR(((E1210 = "calculated")=TRUE), ((E1210 = "lookup")=TRUE), ((E1210 = "aggregation")=TRUE))</f>
        <v>0</v>
      </c>
      <c r="J1210" s="4" t="b">
        <f>H1210 &lt;&gt; ""</f>
        <v>0</v>
      </c>
      <c r="K1210" s="4">
        <f>COUNTIFS(FieldDisagreements!D2:D50, A1210)</f>
        <v>0</v>
      </c>
      <c r="L1210" s="4" t="b">
        <f>K1210 &gt; 0</f>
        <v>0</v>
      </c>
      <c r="M1210" s="3" t="s">
        <v>2418</v>
      </c>
    </row>
    <row r="1211">
      <c r="A1211" s="3" t="s">
        <v>4407</v>
      </c>
      <c r="B1211" s="4" t="str">
        <f>C1211 &amp; "." &amp; D1211</f>
        <v>ObservedTransitions.ObservedAt</v>
      </c>
      <c r="C1211" s="3" t="s">
        <v>4398</v>
      </c>
      <c r="D1211" s="3" t="s">
        <v>4349</v>
      </c>
      <c r="E1211" s="3" t="s">
        <v>2416</v>
      </c>
      <c r="F1211" s="3" t="s">
        <v>2428</v>
      </c>
      <c r="G1211" s="3"/>
      <c r="H1211" s="3"/>
      <c r="I1211" s="4" t="b">
        <f>OR(((E1211 = "calculated")=TRUE), ((E1211 = "lookup")=TRUE), ((E1211 = "aggregation")=TRUE))</f>
        <v>0</v>
      </c>
      <c r="J1211" s="4" t="b">
        <f>H1211 &lt;&gt; ""</f>
        <v>0</v>
      </c>
      <c r="K1211" s="4">
        <f>COUNTIFS(FieldDisagreements!D2:D50, A1211)</f>
        <v>0</v>
      </c>
      <c r="L1211" s="4" t="b">
        <f>K1211 &gt; 0</f>
        <v>0</v>
      </c>
      <c r="M1211" s="3" t="s">
        <v>2418</v>
      </c>
    </row>
    <row r="1212">
      <c r="A1212" s="3" t="s">
        <v>4408</v>
      </c>
      <c r="B1212" s="4" t="str">
        <f>C1212 &amp; "." &amp; D1212</f>
        <v>ObservedTransitions.TriggerReason</v>
      </c>
      <c r="C1212" s="3" t="s">
        <v>4398</v>
      </c>
      <c r="D1212" s="3" t="s">
        <v>4409</v>
      </c>
      <c r="E1212" s="3" t="s">
        <v>2416</v>
      </c>
      <c r="F1212" s="3" t="s">
        <v>2417</v>
      </c>
      <c r="G1212" s="3"/>
      <c r="H1212" s="3"/>
      <c r="I1212" s="4" t="b">
        <f>OR(((E1212 = "calculated")=TRUE), ((E1212 = "lookup")=TRUE), ((E1212 = "aggregation")=TRUE))</f>
        <v>0</v>
      </c>
      <c r="J1212" s="4" t="b">
        <f>H1212 &lt;&gt; ""</f>
        <v>0</v>
      </c>
      <c r="K1212" s="4">
        <f>COUNTIFS(FieldDisagreements!D2:D50, A1212)</f>
        <v>0</v>
      </c>
      <c r="L1212" s="4" t="b">
        <f>K1212 &gt; 0</f>
        <v>0</v>
      </c>
      <c r="M1212" s="3" t="s">
        <v>2418</v>
      </c>
    </row>
    <row r="1213">
      <c r="A1213" s="3" t="s">
        <v>4410</v>
      </c>
      <c r="B1213" s="4" t="str">
        <f>C1213 &amp; "." &amp; D1213</f>
        <v>ObservedTransitions.SemanticTypeIri</v>
      </c>
      <c r="C1213" s="3" t="s">
        <v>4398</v>
      </c>
      <c r="D1213" s="3" t="s">
        <v>94</v>
      </c>
      <c r="E1213" s="3" t="s">
        <v>2416</v>
      </c>
      <c r="F1213" s="3" t="s">
        <v>2417</v>
      </c>
      <c r="G1213" s="3"/>
      <c r="H1213" s="3"/>
      <c r="I1213" s="4" t="b">
        <f>OR(((E1213 = "calculated")=TRUE), ((E1213 = "lookup")=TRUE), ((E1213 = "aggregation")=TRUE))</f>
        <v>0</v>
      </c>
      <c r="J1213" s="4" t="b">
        <f>H1213 &lt;&gt; ""</f>
        <v>0</v>
      </c>
      <c r="K1213" s="4">
        <f>COUNTIFS(FieldDisagreements!D2:D50, A1213)</f>
        <v>0</v>
      </c>
      <c r="L1213" s="4" t="b">
        <f>K1213 &gt; 0</f>
        <v>0</v>
      </c>
      <c r="M1213" s="3" t="s">
        <v>2418</v>
      </c>
    </row>
    <row r="1214">
      <c r="A1214" s="3" t="s">
        <v>4411</v>
      </c>
      <c r="B1214" s="4" t="str">
        <f>C1214 &amp; "." &amp; D1214</f>
        <v>Recipients.RecipientId</v>
      </c>
      <c r="C1214" s="3" t="s">
        <v>4412</v>
      </c>
      <c r="D1214" s="3" t="s">
        <v>4413</v>
      </c>
      <c r="E1214" s="3" t="s">
        <v>2416</v>
      </c>
      <c r="F1214" s="3" t="s">
        <v>2417</v>
      </c>
      <c r="G1214" s="3"/>
      <c r="H1214" s="3"/>
      <c r="I1214" s="4" t="b">
        <f>OR(((E1214 = "calculated")=TRUE), ((E1214 = "lookup")=TRUE), ((E1214 = "aggregation")=TRUE))</f>
        <v>0</v>
      </c>
      <c r="J1214" s="4" t="b">
        <f>H1214 &lt;&gt; ""</f>
        <v>0</v>
      </c>
      <c r="K1214" s="4">
        <f>COUNTIFS(FieldDisagreements!D2:D50, A1214)</f>
        <v>0</v>
      </c>
      <c r="L1214" s="4" t="b">
        <f>K1214 &gt; 0</f>
        <v>0</v>
      </c>
      <c r="M1214" s="3" t="s">
        <v>2418</v>
      </c>
    </row>
    <row r="1215">
      <c r="A1215" s="3" t="s">
        <v>4414</v>
      </c>
      <c r="B1215" s="4" t="str">
        <f>C1215 &amp; "." &amp; D1215</f>
        <v>Recipients.Name</v>
      </c>
      <c r="C1215" s="3" t="s">
        <v>4412</v>
      </c>
      <c r="D1215" s="3" t="s">
        <v>1</v>
      </c>
      <c r="E1215" s="3" t="s">
        <v>2420</v>
      </c>
      <c r="F1215" s="3" t="s">
        <v>2417</v>
      </c>
      <c r="G1215" s="3" t="s">
        <v>2455</v>
      </c>
      <c r="H1215" s="3"/>
      <c r="I1215" s="4" t="b">
        <f>OR(((E1215 = "calculated")=TRUE), ((E1215 = "lookup")=TRUE), ((E1215 = "aggregation")=TRUE))</f>
        <v>1</v>
      </c>
      <c r="J1215" s="4" t="b">
        <f>H1215 &lt;&gt; ""</f>
        <v>0</v>
      </c>
      <c r="K1215" s="4">
        <f>COUNTIFS(FieldDisagreements!D2:D50, A1215)</f>
        <v>0</v>
      </c>
      <c r="L1215" s="4" t="b">
        <f>K1215 &gt; 0</f>
        <v>0</v>
      </c>
      <c r="M1215" s="3" t="s">
        <v>2418</v>
      </c>
    </row>
    <row r="1216">
      <c r="A1216" s="3" t="s">
        <v>4415</v>
      </c>
      <c r="B1216" s="4" t="str">
        <f>C1216 &amp; "." &amp; D1216</f>
        <v>Recipients.DisplayName</v>
      </c>
      <c r="C1216" s="3" t="s">
        <v>4412</v>
      </c>
      <c r="D1216" s="3" t="s">
        <v>100</v>
      </c>
      <c r="E1216" s="3" t="s">
        <v>2416</v>
      </c>
      <c r="F1216" s="3" t="s">
        <v>2417</v>
      </c>
      <c r="G1216" s="3"/>
      <c r="H1216" s="3"/>
      <c r="I1216" s="4" t="b">
        <f>OR(((E1216 = "calculated")=TRUE), ((E1216 = "lookup")=TRUE), ((E1216 = "aggregation")=TRUE))</f>
        <v>0</v>
      </c>
      <c r="J1216" s="4" t="b">
        <f>H1216 &lt;&gt; ""</f>
        <v>0</v>
      </c>
      <c r="K1216" s="4">
        <f>COUNTIFS(FieldDisagreements!D2:D50, A1216)</f>
        <v>0</v>
      </c>
      <c r="L1216" s="4" t="b">
        <f>K1216 &gt; 0</f>
        <v>0</v>
      </c>
      <c r="M1216" s="3" t="s">
        <v>2418</v>
      </c>
    </row>
    <row r="1217">
      <c r="A1217" s="3" t="s">
        <v>4416</v>
      </c>
      <c r="B1217" s="4" t="str">
        <f>C1217 &amp; "." &amp; D1217</f>
        <v>Recipients.Organization</v>
      </c>
      <c r="C1217" s="3" t="s">
        <v>4412</v>
      </c>
      <c r="D1217" s="3" t="s">
        <v>121</v>
      </c>
      <c r="E1217" s="3" t="s">
        <v>2465</v>
      </c>
      <c r="F1217" s="3" t="s">
        <v>2417</v>
      </c>
      <c r="G1217" s="3"/>
      <c r="H1217" s="3"/>
      <c r="I1217" s="4" t="b">
        <f>OR(((E1217 = "calculated")=TRUE), ((E1217 = "lookup")=TRUE), ((E1217 = "aggregation")=TRUE))</f>
        <v>0</v>
      </c>
      <c r="J1217" s="4" t="b">
        <f>H1217 &lt;&gt; ""</f>
        <v>0</v>
      </c>
      <c r="K1217" s="4">
        <f>COUNTIFS(FieldDisagreements!D2:D50, A1217)</f>
        <v>0</v>
      </c>
      <c r="L1217" s="4" t="b">
        <f>K1217 &gt; 0</f>
        <v>0</v>
      </c>
      <c r="M1217" s="3" t="s">
        <v>2418</v>
      </c>
    </row>
    <row r="1218">
      <c r="A1218" s="3" t="s">
        <v>4417</v>
      </c>
      <c r="B1218" s="4" t="str">
        <f>C1218 &amp; "." &amp; D1218</f>
        <v>Recipients.EmailAddress</v>
      </c>
      <c r="C1218" s="3" t="s">
        <v>4412</v>
      </c>
      <c r="D1218" s="3" t="s">
        <v>4418</v>
      </c>
      <c r="E1218" s="3" t="s">
        <v>2416</v>
      </c>
      <c r="F1218" s="3" t="s">
        <v>2417</v>
      </c>
      <c r="G1218" s="3"/>
      <c r="H1218" s="3"/>
      <c r="I1218" s="4" t="b">
        <f>OR(((E1218 = "calculated")=TRUE), ((E1218 = "lookup")=TRUE), ((E1218 = "aggregation")=TRUE))</f>
        <v>0</v>
      </c>
      <c r="J1218" s="4" t="b">
        <f>H1218 &lt;&gt; ""</f>
        <v>0</v>
      </c>
      <c r="K1218" s="4">
        <f>COUNTIFS(FieldDisagreements!D2:D50, A1218)</f>
        <v>0</v>
      </c>
      <c r="L1218" s="4" t="b">
        <f>K1218 &gt; 0</f>
        <v>0</v>
      </c>
      <c r="M1218" s="3" t="s">
        <v>2418</v>
      </c>
    </row>
    <row r="1219">
      <c r="A1219" s="3" t="s">
        <v>4419</v>
      </c>
      <c r="B1219" s="4" t="str">
        <f>C1219 &amp; "." &amp; D1219</f>
        <v>Recipients.MobileNumber</v>
      </c>
      <c r="C1219" s="3" t="s">
        <v>4412</v>
      </c>
      <c r="D1219" s="3" t="s">
        <v>4420</v>
      </c>
      <c r="E1219" s="3" t="s">
        <v>2416</v>
      </c>
      <c r="F1219" s="3" t="s">
        <v>2417</v>
      </c>
      <c r="G1219" s="3"/>
      <c r="H1219" s="3"/>
      <c r="I1219" s="4" t="b">
        <f>OR(((E1219 = "calculated")=TRUE), ((E1219 = "lookup")=TRUE), ((E1219 = "aggregation")=TRUE))</f>
        <v>0</v>
      </c>
      <c r="J1219" s="4" t="b">
        <f>H1219 &lt;&gt; ""</f>
        <v>0</v>
      </c>
      <c r="K1219" s="4">
        <f>COUNTIFS(FieldDisagreements!D2:D50, A1219)</f>
        <v>0</v>
      </c>
      <c r="L1219" s="4" t="b">
        <f>K1219 &gt; 0</f>
        <v>0</v>
      </c>
      <c r="M1219" s="3" t="s">
        <v>2418</v>
      </c>
    </row>
    <row r="1220">
      <c r="A1220" s="3" t="s">
        <v>4421</v>
      </c>
      <c r="B1220" s="4" t="str">
        <f>C1220 &amp; "." &amp; D1220</f>
        <v>Recipients.SmsConsentStatus</v>
      </c>
      <c r="C1220" s="3" t="s">
        <v>4412</v>
      </c>
      <c r="D1220" s="3" t="s">
        <v>4422</v>
      </c>
      <c r="E1220" s="3" t="s">
        <v>2416</v>
      </c>
      <c r="F1220" s="3" t="s">
        <v>2417</v>
      </c>
      <c r="G1220" s="3"/>
      <c r="H1220" s="3"/>
      <c r="I1220" s="4" t="b">
        <f>OR(((E1220 = "calculated")=TRUE), ((E1220 = "lookup")=TRUE), ((E1220 = "aggregation")=TRUE))</f>
        <v>0</v>
      </c>
      <c r="J1220" s="4" t="b">
        <f>H1220 &lt;&gt; ""</f>
        <v>0</v>
      </c>
      <c r="K1220" s="4">
        <f>COUNTIFS(FieldDisagreements!D2:D50, A1220)</f>
        <v>0</v>
      </c>
      <c r="L1220" s="4" t="b">
        <f>K1220 &gt; 0</f>
        <v>0</v>
      </c>
      <c r="M1220" s="3" t="s">
        <v>2418</v>
      </c>
    </row>
    <row r="1221">
      <c r="A1221" s="3" t="s">
        <v>4423</v>
      </c>
      <c r="B1221" s="4" t="str">
        <f>C1221 &amp; "." &amp; D1221</f>
        <v>Recipients.SmsConsentAt</v>
      </c>
      <c r="C1221" s="3" t="s">
        <v>4412</v>
      </c>
      <c r="D1221" s="3" t="s">
        <v>4424</v>
      </c>
      <c r="E1221" s="3" t="s">
        <v>2416</v>
      </c>
      <c r="F1221" s="3" t="s">
        <v>2428</v>
      </c>
      <c r="G1221" s="3"/>
      <c r="H1221" s="3"/>
      <c r="I1221" s="4" t="b">
        <f>OR(((E1221 = "calculated")=TRUE), ((E1221 = "lookup")=TRUE), ((E1221 = "aggregation")=TRUE))</f>
        <v>0</v>
      </c>
      <c r="J1221" s="4" t="b">
        <f>H1221 &lt;&gt; ""</f>
        <v>0</v>
      </c>
      <c r="K1221" s="4">
        <f>COUNTIFS(FieldDisagreements!D2:D50, A1221)</f>
        <v>0</v>
      </c>
      <c r="L1221" s="4" t="b">
        <f>K1221 &gt; 0</f>
        <v>0</v>
      </c>
      <c r="M1221" s="3" t="s">
        <v>2418</v>
      </c>
    </row>
    <row r="1222">
      <c r="A1222" s="3" t="s">
        <v>4425</v>
      </c>
      <c r="B1222" s="4" t="str">
        <f>C1222 &amp; "." &amp; D1222</f>
        <v>Recipients.ConsentBinding</v>
      </c>
      <c r="C1222" s="3" t="s">
        <v>4412</v>
      </c>
      <c r="D1222" s="3" t="s">
        <v>4426</v>
      </c>
      <c r="E1222" s="3" t="s">
        <v>2465</v>
      </c>
      <c r="F1222" s="3" t="s">
        <v>2417</v>
      </c>
      <c r="G1222" s="3"/>
      <c r="H1222" s="3"/>
      <c r="I1222" s="4" t="b">
        <f>OR(((E1222 = "calculated")=TRUE), ((E1222 = "lookup")=TRUE), ((E1222 = "aggregation")=TRUE))</f>
        <v>0</v>
      </c>
      <c r="J1222" s="4" t="b">
        <f>H1222 &lt;&gt; ""</f>
        <v>0</v>
      </c>
      <c r="K1222" s="4">
        <f>COUNTIFS(FieldDisagreements!D2:D50, A1222)</f>
        <v>0</v>
      </c>
      <c r="L1222" s="4" t="b">
        <f>K1222 &gt; 0</f>
        <v>0</v>
      </c>
      <c r="M1222" s="3" t="s">
        <v>2418</v>
      </c>
    </row>
    <row r="1223">
      <c r="A1223" s="3" t="s">
        <v>4427</v>
      </c>
      <c r="B1223" s="4" t="str">
        <f>C1223 &amp; "." &amp; D1223</f>
        <v>Recipients.HasSmsConsent</v>
      </c>
      <c r="C1223" s="3" t="s">
        <v>4412</v>
      </c>
      <c r="D1223" s="3" t="s">
        <v>4428</v>
      </c>
      <c r="E1223" s="3" t="s">
        <v>2420</v>
      </c>
      <c r="F1223" s="3" t="s">
        <v>2432</v>
      </c>
      <c r="G1223" s="3" t="s">
        <v>4429</v>
      </c>
      <c r="H1223" s="3"/>
      <c r="I1223" s="4" t="b">
        <f>OR(((E1223 = "calculated")=TRUE), ((E1223 = "lookup")=TRUE), ((E1223 = "aggregation")=TRUE))</f>
        <v>1</v>
      </c>
      <c r="J1223" s="4" t="b">
        <f>H1223 &lt;&gt; ""</f>
        <v>0</v>
      </c>
      <c r="K1223" s="4">
        <f>COUNTIFS(FieldDisagreements!D2:D50, A1223)</f>
        <v>0</v>
      </c>
      <c r="L1223" s="4" t="b">
        <f>K1223 &gt; 0</f>
        <v>0</v>
      </c>
      <c r="M1223" s="3" t="s">
        <v>2418</v>
      </c>
    </row>
    <row r="1224">
      <c r="A1224" s="3" t="s">
        <v>4430</v>
      </c>
      <c r="B1224" s="4" t="str">
        <f>C1224 &amp; "." &amp; D1224</f>
        <v>Recipients.IsEmailReachable</v>
      </c>
      <c r="C1224" s="3" t="s">
        <v>4412</v>
      </c>
      <c r="D1224" s="3" t="s">
        <v>4431</v>
      </c>
      <c r="E1224" s="3" t="s">
        <v>2420</v>
      </c>
      <c r="F1224" s="3" t="s">
        <v>2432</v>
      </c>
      <c r="G1224" s="3" t="s">
        <v>4432</v>
      </c>
      <c r="H1224" s="3"/>
      <c r="I1224" s="4" t="b">
        <f>OR(((E1224 = "calculated")=TRUE), ((E1224 = "lookup")=TRUE), ((E1224 = "aggregation")=TRUE))</f>
        <v>1</v>
      </c>
      <c r="J1224" s="4" t="b">
        <f>H1224 &lt;&gt; ""</f>
        <v>0</v>
      </c>
      <c r="K1224" s="4">
        <f>COUNTIFS(FieldDisagreements!D2:D50, A1224)</f>
        <v>0</v>
      </c>
      <c r="L1224" s="4" t="b">
        <f>K1224 &gt; 0</f>
        <v>0</v>
      </c>
      <c r="M1224" s="3" t="s">
        <v>2418</v>
      </c>
    </row>
    <row r="1225">
      <c r="A1225" s="3" t="s">
        <v>4433</v>
      </c>
      <c r="B1225" s="4" t="str">
        <f>C1225 &amp; "." &amp; D1225</f>
        <v>Recipients.IsSmsReachable</v>
      </c>
      <c r="C1225" s="3" t="s">
        <v>4412</v>
      </c>
      <c r="D1225" s="3" t="s">
        <v>4434</v>
      </c>
      <c r="E1225" s="3" t="s">
        <v>2420</v>
      </c>
      <c r="F1225" s="3" t="s">
        <v>2432</v>
      </c>
      <c r="G1225" s="3" t="s">
        <v>4435</v>
      </c>
      <c r="H1225" s="3"/>
      <c r="I1225" s="4" t="b">
        <f>OR(((E1225 = "calculated")=TRUE), ((E1225 = "lookup")=TRUE), ((E1225 = "aggregation")=TRUE))</f>
        <v>1</v>
      </c>
      <c r="J1225" s="4" t="b">
        <f>H1225 &lt;&gt; ""</f>
        <v>0</v>
      </c>
      <c r="K1225" s="4">
        <f>COUNTIFS(FieldDisagreements!D2:D50, A1225)</f>
        <v>0</v>
      </c>
      <c r="L1225" s="4" t="b">
        <f>K1225 &gt; 0</f>
        <v>0</v>
      </c>
      <c r="M1225" s="3" t="s">
        <v>2418</v>
      </c>
    </row>
    <row r="1226">
      <c r="A1226" s="3" t="s">
        <v>4436</v>
      </c>
      <c r="B1226" s="4" t="str">
        <f>C1226 &amp; "." &amp; D1226</f>
        <v>Recipients.IsUnreachable</v>
      </c>
      <c r="C1226" s="3" t="s">
        <v>4412</v>
      </c>
      <c r="D1226" s="3" t="s">
        <v>4437</v>
      </c>
      <c r="E1226" s="3" t="s">
        <v>2420</v>
      </c>
      <c r="F1226" s="3" t="s">
        <v>2432</v>
      </c>
      <c r="G1226" s="3" t="s">
        <v>4438</v>
      </c>
      <c r="H1226" s="3"/>
      <c r="I1226" s="4" t="b">
        <f>OR(((E1226 = "calculated")=TRUE), ((E1226 = "lookup")=TRUE), ((E1226 = "aggregation")=TRUE))</f>
        <v>1</v>
      </c>
      <c r="J1226" s="4" t="b">
        <f>H1226 &lt;&gt; ""</f>
        <v>0</v>
      </c>
      <c r="K1226" s="4">
        <f>COUNTIFS(FieldDisagreements!D2:D50, A1226)</f>
        <v>0</v>
      </c>
      <c r="L1226" s="4" t="b">
        <f>K1226 &gt; 0</f>
        <v>0</v>
      </c>
      <c r="M1226" s="3" t="s">
        <v>2418</v>
      </c>
    </row>
    <row r="1227">
      <c r="A1227" s="3" t="s">
        <v>4439</v>
      </c>
      <c r="B1227" s="4" t="str">
        <f>C1227 &amp; "." &amp; D1227</f>
        <v>Recipients.IsCommunicationallyStranded</v>
      </c>
      <c r="C1227" s="3" t="s">
        <v>4412</v>
      </c>
      <c r="D1227" s="3" t="s">
        <v>4440</v>
      </c>
      <c r="E1227" s="3" t="s">
        <v>2420</v>
      </c>
      <c r="F1227" s="3" t="s">
        <v>2432</v>
      </c>
      <c r="G1227" s="3" t="s">
        <v>4441</v>
      </c>
      <c r="H1227" s="3" t="s">
        <v>2335</v>
      </c>
      <c r="I1227" s="4" t="b">
        <f>OR(((E1227 = "calculated")=TRUE), ((E1227 = "lookup")=TRUE), ((E1227 = "aggregation")=TRUE))</f>
        <v>1</v>
      </c>
      <c r="J1227" s="4" t="b">
        <f>H1227 &lt;&gt; ""</f>
        <v>1</v>
      </c>
      <c r="K1227" s="4">
        <f>COUNTIFS(FieldDisagreements!D2:D50, A1227)</f>
        <v>0</v>
      </c>
      <c r="L1227" s="4" t="b">
        <f>K1227 &gt; 0</f>
        <v>0</v>
      </c>
      <c r="M1227" s="3" t="s">
        <v>2418</v>
      </c>
    </row>
    <row r="1228">
      <c r="A1228" s="3" t="s">
        <v>4442</v>
      </c>
      <c r="B1228" s="4" t="str">
        <f>C1228 &amp; "." &amp; D1228</f>
        <v>Recipients.SemanticTypeIri</v>
      </c>
      <c r="C1228" s="3" t="s">
        <v>4412</v>
      </c>
      <c r="D1228" s="3" t="s">
        <v>94</v>
      </c>
      <c r="E1228" s="3" t="s">
        <v>2416</v>
      </c>
      <c r="F1228" s="3" t="s">
        <v>2417</v>
      </c>
      <c r="G1228" s="3"/>
      <c r="H1228" s="3"/>
      <c r="I1228" s="4" t="b">
        <f>OR(((E1228 = "calculated")=TRUE), ((E1228 = "lookup")=TRUE), ((E1228 = "aggregation")=TRUE))</f>
        <v>0</v>
      </c>
      <c r="J1228" s="4" t="b">
        <f>H1228 &lt;&gt; ""</f>
        <v>0</v>
      </c>
      <c r="K1228" s="4">
        <f>COUNTIFS(FieldDisagreements!D2:D50, A1228)</f>
        <v>0</v>
      </c>
      <c r="L1228" s="4" t="b">
        <f>K1228 &gt; 0</f>
        <v>0</v>
      </c>
      <c r="M1228" s="3" t="s">
        <v>2418</v>
      </c>
    </row>
    <row r="1229">
      <c r="A1229" s="3" t="s">
        <v>4443</v>
      </c>
      <c r="B1229" s="4" t="str">
        <f>C1229 &amp; "." &amp; D1229</f>
        <v>MessageDeliveries.MessageDeliveryId</v>
      </c>
      <c r="C1229" s="3" t="s">
        <v>4444</v>
      </c>
      <c r="D1229" s="3" t="s">
        <v>4445</v>
      </c>
      <c r="E1229" s="3" t="s">
        <v>2416</v>
      </c>
      <c r="F1229" s="3" t="s">
        <v>2417</v>
      </c>
      <c r="G1229" s="3"/>
      <c r="H1229" s="3"/>
      <c r="I1229" s="4" t="b">
        <f>OR(((E1229 = "calculated")=TRUE), ((E1229 = "lookup")=TRUE), ((E1229 = "aggregation")=TRUE))</f>
        <v>0</v>
      </c>
      <c r="J1229" s="4" t="b">
        <f>H1229 &lt;&gt; ""</f>
        <v>0</v>
      </c>
      <c r="K1229" s="4">
        <f>COUNTIFS(FieldDisagreements!D2:D50, A1229)</f>
        <v>0</v>
      </c>
      <c r="L1229" s="4" t="b">
        <f>K1229 &gt; 0</f>
        <v>0</v>
      </c>
      <c r="M1229" s="3" t="s">
        <v>2418</v>
      </c>
    </row>
    <row r="1230">
      <c r="A1230" s="3" t="s">
        <v>4446</v>
      </c>
      <c r="B1230" s="4" t="str">
        <f>C1230 &amp; "." &amp; D1230</f>
        <v>MessageDeliveries.Name</v>
      </c>
      <c r="C1230" s="3" t="s">
        <v>4444</v>
      </c>
      <c r="D1230" s="3" t="s">
        <v>1</v>
      </c>
      <c r="E1230" s="3" t="s">
        <v>2420</v>
      </c>
      <c r="F1230" s="3" t="s">
        <v>2417</v>
      </c>
      <c r="G1230" s="3" t="s">
        <v>4447</v>
      </c>
      <c r="H1230" s="3"/>
      <c r="I1230" s="4" t="b">
        <f>OR(((E1230 = "calculated")=TRUE), ((E1230 = "lookup")=TRUE), ((E1230 = "aggregation")=TRUE))</f>
        <v>1</v>
      </c>
      <c r="J1230" s="4" t="b">
        <f>H1230 &lt;&gt; ""</f>
        <v>0</v>
      </c>
      <c r="K1230" s="4">
        <f>COUNTIFS(FieldDisagreements!D2:D50, A1230)</f>
        <v>0</v>
      </c>
      <c r="L1230" s="4" t="b">
        <f>K1230 &gt; 0</f>
        <v>0</v>
      </c>
      <c r="M1230" s="3" t="s">
        <v>2418</v>
      </c>
    </row>
    <row r="1231">
      <c r="A1231" s="3" t="s">
        <v>4448</v>
      </c>
      <c r="B1231" s="4" t="str">
        <f>C1231 &amp; "." &amp; D1231</f>
        <v>MessageDeliveries.ProcedureExecution</v>
      </c>
      <c r="C1231" s="3" t="s">
        <v>4444</v>
      </c>
      <c r="D1231" s="3" t="s">
        <v>1349</v>
      </c>
      <c r="E1231" s="3" t="s">
        <v>2465</v>
      </c>
      <c r="F1231" s="3" t="s">
        <v>2417</v>
      </c>
      <c r="G1231" s="3"/>
      <c r="H1231" s="3"/>
      <c r="I1231" s="4" t="b">
        <f>OR(((E1231 = "calculated")=TRUE), ((E1231 = "lookup")=TRUE), ((E1231 = "aggregation")=TRUE))</f>
        <v>0</v>
      </c>
      <c r="J1231" s="4" t="b">
        <f>H1231 &lt;&gt; ""</f>
        <v>0</v>
      </c>
      <c r="K1231" s="4">
        <f>COUNTIFS(FieldDisagreements!D2:D50, A1231)</f>
        <v>0</v>
      </c>
      <c r="L1231" s="4" t="b">
        <f>K1231 &gt; 0</f>
        <v>0</v>
      </c>
      <c r="M1231" s="3" t="s">
        <v>2418</v>
      </c>
    </row>
    <row r="1232">
      <c r="A1232" s="3" t="s">
        <v>4449</v>
      </c>
      <c r="B1232" s="4" t="str">
        <f>C1232 &amp; "." &amp; D1232</f>
        <v>MessageDeliveries.StepExecution</v>
      </c>
      <c r="C1232" s="3" t="s">
        <v>4444</v>
      </c>
      <c r="D1232" s="3" t="s">
        <v>1467</v>
      </c>
      <c r="E1232" s="3" t="s">
        <v>2465</v>
      </c>
      <c r="F1232" s="3" t="s">
        <v>2417</v>
      </c>
      <c r="G1232" s="3"/>
      <c r="H1232" s="3"/>
      <c r="I1232" s="4" t="b">
        <f>OR(((E1232 = "calculated")=TRUE), ((E1232 = "lookup")=TRUE), ((E1232 = "aggregation")=TRUE))</f>
        <v>0</v>
      </c>
      <c r="J1232" s="4" t="b">
        <f>H1232 &lt;&gt; ""</f>
        <v>0</v>
      </c>
      <c r="K1232" s="4">
        <f>COUNTIFS(FieldDisagreements!D2:D50, A1232)</f>
        <v>0</v>
      </c>
      <c r="L1232" s="4" t="b">
        <f>K1232 &gt; 0</f>
        <v>0</v>
      </c>
      <c r="M1232" s="3" t="s">
        <v>2418</v>
      </c>
    </row>
    <row r="1233">
      <c r="A1233" s="3" t="s">
        <v>4450</v>
      </c>
      <c r="B1233" s="4" t="str">
        <f>C1233 &amp; "." &amp; D1233</f>
        <v>MessageDeliveries.Recipient</v>
      </c>
      <c r="C1233" s="3" t="s">
        <v>4444</v>
      </c>
      <c r="D1233" s="3" t="s">
        <v>4451</v>
      </c>
      <c r="E1233" s="3" t="s">
        <v>2465</v>
      </c>
      <c r="F1233" s="3" t="s">
        <v>2417</v>
      </c>
      <c r="G1233" s="3"/>
      <c r="H1233" s="3"/>
      <c r="I1233" s="4" t="b">
        <f>OR(((E1233 = "calculated")=TRUE), ((E1233 = "lookup")=TRUE), ((E1233 = "aggregation")=TRUE))</f>
        <v>0</v>
      </c>
      <c r="J1233" s="4" t="b">
        <f>H1233 &lt;&gt; ""</f>
        <v>0</v>
      </c>
      <c r="K1233" s="4">
        <f>COUNTIFS(FieldDisagreements!D2:D50, A1233)</f>
        <v>0</v>
      </c>
      <c r="L1233" s="4" t="b">
        <f>K1233 &gt; 0</f>
        <v>0</v>
      </c>
      <c r="M1233" s="3" t="s">
        <v>2418</v>
      </c>
    </row>
    <row r="1234">
      <c r="A1234" s="3" t="s">
        <v>4452</v>
      </c>
      <c r="B1234" s="4" t="str">
        <f>C1234 &amp; "." &amp; D1234</f>
        <v>MessageDeliveries.MessageTemplate</v>
      </c>
      <c r="C1234" s="3" t="s">
        <v>4444</v>
      </c>
      <c r="D1234" s="3" t="s">
        <v>4453</v>
      </c>
      <c r="E1234" s="3" t="s">
        <v>2465</v>
      </c>
      <c r="F1234" s="3" t="s">
        <v>2417</v>
      </c>
      <c r="G1234" s="3"/>
      <c r="H1234" s="3"/>
      <c r="I1234" s="4" t="b">
        <f>OR(((E1234 = "calculated")=TRUE), ((E1234 = "lookup")=TRUE), ((E1234 = "aggregation")=TRUE))</f>
        <v>0</v>
      </c>
      <c r="J1234" s="4" t="b">
        <f>H1234 &lt;&gt; ""</f>
        <v>0</v>
      </c>
      <c r="K1234" s="4">
        <f>COUNTIFS(FieldDisagreements!D2:D50, A1234)</f>
        <v>0</v>
      </c>
      <c r="L1234" s="4" t="b">
        <f>K1234 &gt; 0</f>
        <v>0</v>
      </c>
      <c r="M1234" s="3" t="s">
        <v>2418</v>
      </c>
    </row>
    <row r="1235">
      <c r="A1235" s="3" t="s">
        <v>4454</v>
      </c>
      <c r="B1235" s="4" t="str">
        <f>C1235 &amp; "." &amp; D1235</f>
        <v>MessageDeliveries.SentByAgent</v>
      </c>
      <c r="C1235" s="3" t="s">
        <v>4444</v>
      </c>
      <c r="D1235" s="3" t="s">
        <v>4455</v>
      </c>
      <c r="E1235" s="3" t="s">
        <v>2465</v>
      </c>
      <c r="F1235" s="3" t="s">
        <v>2417</v>
      </c>
      <c r="G1235" s="3"/>
      <c r="H1235" s="3"/>
      <c r="I1235" s="4" t="b">
        <f>OR(((E1235 = "calculated")=TRUE), ((E1235 = "lookup")=TRUE), ((E1235 = "aggregation")=TRUE))</f>
        <v>0</v>
      </c>
      <c r="J1235" s="4" t="b">
        <f>H1235 &lt;&gt; ""</f>
        <v>0</v>
      </c>
      <c r="K1235" s="4">
        <f>COUNTIFS(FieldDisagreements!D2:D50, A1235)</f>
        <v>0</v>
      </c>
      <c r="L1235" s="4" t="b">
        <f>K1235 &gt; 0</f>
        <v>0</v>
      </c>
      <c r="M1235" s="3" t="s">
        <v>2418</v>
      </c>
    </row>
    <row r="1236">
      <c r="A1236" s="3" t="s">
        <v>4456</v>
      </c>
      <c r="B1236" s="4" t="str">
        <f>C1236 &amp; "." &amp; D1236</f>
        <v>MessageDeliveries.RenderedBody</v>
      </c>
      <c r="C1236" s="3" t="s">
        <v>4444</v>
      </c>
      <c r="D1236" s="3" t="s">
        <v>4457</v>
      </c>
      <c r="E1236" s="3" t="s">
        <v>2416</v>
      </c>
      <c r="F1236" s="3" t="s">
        <v>2417</v>
      </c>
      <c r="G1236" s="3"/>
      <c r="H1236" s="3"/>
      <c r="I1236" s="4" t="b">
        <f>OR(((E1236 = "calculated")=TRUE), ((E1236 = "lookup")=TRUE), ((E1236 = "aggregation")=TRUE))</f>
        <v>0</v>
      </c>
      <c r="J1236" s="4" t="b">
        <f>H1236 &lt;&gt; ""</f>
        <v>0</v>
      </c>
      <c r="K1236" s="4">
        <f>COUNTIFS(FieldDisagreements!D2:D50, A1236)</f>
        <v>0</v>
      </c>
      <c r="L1236" s="4" t="b">
        <f>K1236 &gt; 0</f>
        <v>0</v>
      </c>
      <c r="M1236" s="3" t="s">
        <v>2418</v>
      </c>
    </row>
    <row r="1237">
      <c r="A1237" s="3" t="s">
        <v>4458</v>
      </c>
      <c r="B1237" s="4" t="str">
        <f>C1237 &amp; "." &amp; D1237</f>
        <v>MessageDeliveries.SentAt</v>
      </c>
      <c r="C1237" s="3" t="s">
        <v>4444</v>
      </c>
      <c r="D1237" s="3" t="s">
        <v>4459</v>
      </c>
      <c r="E1237" s="3" t="s">
        <v>2416</v>
      </c>
      <c r="F1237" s="3" t="s">
        <v>2428</v>
      </c>
      <c r="G1237" s="3"/>
      <c r="H1237" s="3"/>
      <c r="I1237" s="4" t="b">
        <f>OR(((E1237 = "calculated")=TRUE), ((E1237 = "lookup")=TRUE), ((E1237 = "aggregation")=TRUE))</f>
        <v>0</v>
      </c>
      <c r="J1237" s="4" t="b">
        <f>H1237 &lt;&gt; ""</f>
        <v>0</v>
      </c>
      <c r="K1237" s="4">
        <f>COUNTIFS(FieldDisagreements!D2:D50, A1237)</f>
        <v>0</v>
      </c>
      <c r="L1237" s="4" t="b">
        <f>K1237 &gt; 0</f>
        <v>0</v>
      </c>
      <c r="M1237" s="3" t="s">
        <v>2418</v>
      </c>
    </row>
    <row r="1238">
      <c r="A1238" s="3" t="s">
        <v>4460</v>
      </c>
      <c r="B1238" s="4" t="str">
        <f>C1238 &amp; "." &amp; D1238</f>
        <v>MessageDeliveries.SentAtLocalHour</v>
      </c>
      <c r="C1238" s="3" t="s">
        <v>4444</v>
      </c>
      <c r="D1238" s="3" t="s">
        <v>4461</v>
      </c>
      <c r="E1238" s="3" t="s">
        <v>2416</v>
      </c>
      <c r="F1238" s="3" t="s">
        <v>2470</v>
      </c>
      <c r="G1238" s="3"/>
      <c r="H1238" s="3"/>
      <c r="I1238" s="4" t="b">
        <f>OR(((E1238 = "calculated")=TRUE), ((E1238 = "lookup")=TRUE), ((E1238 = "aggregation")=TRUE))</f>
        <v>0</v>
      </c>
      <c r="J1238" s="4" t="b">
        <f>H1238 &lt;&gt; ""</f>
        <v>0</v>
      </c>
      <c r="K1238" s="4">
        <f>COUNTIFS(FieldDisagreements!D2:D50, A1238)</f>
        <v>0</v>
      </c>
      <c r="L1238" s="4" t="b">
        <f>K1238 &gt; 0</f>
        <v>0</v>
      </c>
      <c r="M1238" s="3" t="s">
        <v>2418</v>
      </c>
    </row>
    <row r="1239">
      <c r="A1239" s="3" t="s">
        <v>4462</v>
      </c>
      <c r="B1239" s="4" t="str">
        <f>C1239 &amp; "." &amp; D1239</f>
        <v>MessageDeliveries.DeliveryStatus</v>
      </c>
      <c r="C1239" s="3" t="s">
        <v>4444</v>
      </c>
      <c r="D1239" s="3" t="s">
        <v>4463</v>
      </c>
      <c r="E1239" s="3" t="s">
        <v>2416</v>
      </c>
      <c r="F1239" s="3" t="s">
        <v>2417</v>
      </c>
      <c r="G1239" s="3"/>
      <c r="H1239" s="3"/>
      <c r="I1239" s="4" t="b">
        <f>OR(((E1239 = "calculated")=TRUE), ((E1239 = "lookup")=TRUE), ((E1239 = "aggregation")=TRUE))</f>
        <v>0</v>
      </c>
      <c r="J1239" s="4" t="b">
        <f>H1239 &lt;&gt; ""</f>
        <v>0</v>
      </c>
      <c r="K1239" s="4">
        <f>COUNTIFS(FieldDisagreements!D2:D50, A1239)</f>
        <v>0</v>
      </c>
      <c r="L1239" s="4" t="b">
        <f>K1239 &gt; 0</f>
        <v>0</v>
      </c>
      <c r="M1239" s="3" t="s">
        <v>2418</v>
      </c>
    </row>
    <row r="1240">
      <c r="A1240" s="3" t="s">
        <v>4464</v>
      </c>
      <c r="B1240" s="4" t="str">
        <f>C1240 &amp; "." &amp; D1240</f>
        <v>MessageDeliveries.SuppressionReason</v>
      </c>
      <c r="C1240" s="3" t="s">
        <v>4444</v>
      </c>
      <c r="D1240" s="3" t="s">
        <v>4465</v>
      </c>
      <c r="E1240" s="3" t="s">
        <v>2416</v>
      </c>
      <c r="F1240" s="3" t="s">
        <v>2417</v>
      </c>
      <c r="G1240" s="3"/>
      <c r="H1240" s="3"/>
      <c r="I1240" s="4" t="b">
        <f>OR(((E1240 = "calculated")=TRUE), ((E1240 = "lookup")=TRUE), ((E1240 = "aggregation")=TRUE))</f>
        <v>0</v>
      </c>
      <c r="J1240" s="4" t="b">
        <f>H1240 &lt;&gt; ""</f>
        <v>0</v>
      </c>
      <c r="K1240" s="4">
        <f>COUNTIFS(FieldDisagreements!D2:D50, A1240)</f>
        <v>0</v>
      </c>
      <c r="L1240" s="4" t="b">
        <f>K1240 &gt; 0</f>
        <v>0</v>
      </c>
      <c r="M1240" s="3" t="s">
        <v>2418</v>
      </c>
    </row>
    <row r="1241">
      <c r="A1241" s="3" t="s">
        <v>4466</v>
      </c>
      <c r="B1241" s="4" t="str">
        <f>C1241 &amp; "." &amp; D1241</f>
        <v>MessageDeliveries.InvokedException</v>
      </c>
      <c r="C1241" s="3" t="s">
        <v>4444</v>
      </c>
      <c r="D1241" s="3" t="s">
        <v>4467</v>
      </c>
      <c r="E1241" s="3" t="s">
        <v>2465</v>
      </c>
      <c r="F1241" s="3" t="s">
        <v>2417</v>
      </c>
      <c r="G1241" s="3"/>
      <c r="H1241" s="3"/>
      <c r="I1241" s="4" t="b">
        <f>OR(((E1241 = "calculated")=TRUE), ((E1241 = "lookup")=TRUE), ((E1241 = "aggregation")=TRUE))</f>
        <v>0</v>
      </c>
      <c r="J1241" s="4" t="b">
        <f>H1241 &lt;&gt; ""</f>
        <v>0</v>
      </c>
      <c r="K1241" s="4">
        <f>COUNTIFS(FieldDisagreements!D2:D50, A1241)</f>
        <v>0</v>
      </c>
      <c r="L1241" s="4" t="b">
        <f>K1241 &gt; 0</f>
        <v>0</v>
      </c>
      <c r="M1241" s="3" t="s">
        <v>2418</v>
      </c>
    </row>
    <row r="1242">
      <c r="A1242" s="3" t="s">
        <v>4468</v>
      </c>
      <c r="B1242" s="4" t="str">
        <f>C1242 &amp; "." &amp; D1242</f>
        <v>MessageDeliveries.AcknowledgedAt</v>
      </c>
      <c r="C1242" s="3" t="s">
        <v>4444</v>
      </c>
      <c r="D1242" s="3" t="s">
        <v>4469</v>
      </c>
      <c r="E1242" s="3" t="s">
        <v>2416</v>
      </c>
      <c r="F1242" s="3" t="s">
        <v>2428</v>
      </c>
      <c r="G1242" s="3"/>
      <c r="H1242" s="3"/>
      <c r="I1242" s="4" t="b">
        <f>OR(((E1242 = "calculated")=TRUE), ((E1242 = "lookup")=TRUE), ((E1242 = "aggregation")=TRUE))</f>
        <v>0</v>
      </c>
      <c r="J1242" s="4" t="b">
        <f>H1242 &lt;&gt; ""</f>
        <v>0</v>
      </c>
      <c r="K1242" s="4">
        <f>COUNTIFS(FieldDisagreements!D2:D50, A1242)</f>
        <v>0</v>
      </c>
      <c r="L1242" s="4" t="b">
        <f>K1242 &gt; 0</f>
        <v>0</v>
      </c>
      <c r="M1242" s="3" t="s">
        <v>2418</v>
      </c>
    </row>
    <row r="1243">
      <c r="A1243" s="3" t="s">
        <v>4470</v>
      </c>
      <c r="B1243" s="4" t="str">
        <f>C1243 &amp; "." &amp; D1243</f>
        <v>MessageDeliveries.PolicyChannel</v>
      </c>
      <c r="C1243" s="3" t="s">
        <v>4444</v>
      </c>
      <c r="D1243" s="3" t="s">
        <v>4471</v>
      </c>
      <c r="E1243" s="3" t="s">
        <v>2509</v>
      </c>
      <c r="F1243" s="3" t="s">
        <v>2417</v>
      </c>
      <c r="G1243" s="3" t="s">
        <v>4472</v>
      </c>
      <c r="H1243" s="3" t="s">
        <v>2059</v>
      </c>
      <c r="I1243" s="4" t="b">
        <f>OR(((E1243 = "calculated")=TRUE), ((E1243 = "lookup")=TRUE), ((E1243 = "aggregation")=TRUE))</f>
        <v>1</v>
      </c>
      <c r="J1243" s="4" t="b">
        <f>H1243 &lt;&gt; ""</f>
        <v>1</v>
      </c>
      <c r="K1243" s="4">
        <f>COUNTIFS(FieldDisagreements!D2:D50, A1243)</f>
        <v>0</v>
      </c>
      <c r="L1243" s="4" t="b">
        <f>K1243 &gt; 0</f>
        <v>0</v>
      </c>
      <c r="M1243" s="3" t="s">
        <v>2418</v>
      </c>
    </row>
    <row r="1244">
      <c r="A1244" s="3" t="s">
        <v>4473</v>
      </c>
      <c r="B1244" s="4" t="str">
        <f>C1244 &amp; "." &amp; D1244</f>
        <v>MessageDeliveries.ChannelName</v>
      </c>
      <c r="C1244" s="3" t="s">
        <v>4444</v>
      </c>
      <c r="D1244" s="3" t="s">
        <v>4474</v>
      </c>
      <c r="E1244" s="3" t="s">
        <v>2509</v>
      </c>
      <c r="F1244" s="3" t="s">
        <v>2417</v>
      </c>
      <c r="G1244" s="3" t="s">
        <v>4475</v>
      </c>
      <c r="H1244" s="3" t="s">
        <v>2059</v>
      </c>
      <c r="I1244" s="4" t="b">
        <f>OR(((E1244 = "calculated")=TRUE), ((E1244 = "lookup")=TRUE), ((E1244 = "aggregation")=TRUE))</f>
        <v>1</v>
      </c>
      <c r="J1244" s="4" t="b">
        <f>H1244 &lt;&gt; ""</f>
        <v>1</v>
      </c>
      <c r="K1244" s="4">
        <f>COUNTIFS(FieldDisagreements!D2:D50, A1244)</f>
        <v>0</v>
      </c>
      <c r="L1244" s="4" t="b">
        <f>K1244 &gt; 0</f>
        <v>0</v>
      </c>
      <c r="M1244" s="3" t="s">
        <v>2418</v>
      </c>
    </row>
    <row r="1245">
      <c r="A1245" s="3" t="s">
        <v>4476</v>
      </c>
      <c r="B1245" s="4" t="str">
        <f>C1245 &amp; "." &amp; D1245</f>
        <v>MessageDeliveries.PolicyRequiresConsent</v>
      </c>
      <c r="C1245" s="3" t="s">
        <v>4444</v>
      </c>
      <c r="D1245" s="3" t="s">
        <v>4477</v>
      </c>
      <c r="E1245" s="3" t="s">
        <v>2509</v>
      </c>
      <c r="F1245" s="3" t="s">
        <v>2432</v>
      </c>
      <c r="G1245" s="3" t="s">
        <v>4478</v>
      </c>
      <c r="H1245" s="3" t="s">
        <v>2059</v>
      </c>
      <c r="I1245" s="4" t="b">
        <f>OR(((E1245 = "calculated")=TRUE), ((E1245 = "lookup")=TRUE), ((E1245 = "aggregation")=TRUE))</f>
        <v>1</v>
      </c>
      <c r="J1245" s="4" t="b">
        <f>H1245 &lt;&gt; ""</f>
        <v>1</v>
      </c>
      <c r="K1245" s="4">
        <f>COUNTIFS(FieldDisagreements!D2:D50, A1245)</f>
        <v>0</v>
      </c>
      <c r="L1245" s="4" t="b">
        <f>K1245 &gt; 0</f>
        <v>0</v>
      </c>
      <c r="M1245" s="3" t="s">
        <v>2418</v>
      </c>
    </row>
    <row r="1246">
      <c r="A1246" s="3" t="s">
        <v>4479</v>
      </c>
      <c r="B1246" s="4" t="str">
        <f>C1246 &amp; "." &amp; D1246</f>
        <v>MessageDeliveries.RecipientHasSmsConsent</v>
      </c>
      <c r="C1246" s="3" t="s">
        <v>4444</v>
      </c>
      <c r="D1246" s="3" t="s">
        <v>4480</v>
      </c>
      <c r="E1246" s="3" t="s">
        <v>2509</v>
      </c>
      <c r="F1246" s="3" t="s">
        <v>2432</v>
      </c>
      <c r="G1246" s="3" t="s">
        <v>4481</v>
      </c>
      <c r="H1246" s="3" t="s">
        <v>2059</v>
      </c>
      <c r="I1246" s="4" t="b">
        <f>OR(((E1246 = "calculated")=TRUE), ((E1246 = "lookup")=TRUE), ((E1246 = "aggregation")=TRUE))</f>
        <v>1</v>
      </c>
      <c r="J1246" s="4" t="b">
        <f>H1246 &lt;&gt; ""</f>
        <v>1</v>
      </c>
      <c r="K1246" s="4">
        <f>COUNTIFS(FieldDisagreements!D2:D50, A1246)</f>
        <v>0</v>
      </c>
      <c r="L1246" s="4" t="b">
        <f>K1246 &gt; 0</f>
        <v>0</v>
      </c>
      <c r="M1246" s="3" t="s">
        <v>2418</v>
      </c>
    </row>
    <row r="1247">
      <c r="A1247" s="3" t="s">
        <v>4482</v>
      </c>
      <c r="B1247" s="4" t="str">
        <f>C1247 &amp; "." &amp; D1247</f>
        <v>MessageDeliveries.WasActuallyTransmitted</v>
      </c>
      <c r="C1247" s="3" t="s">
        <v>4444</v>
      </c>
      <c r="D1247" s="3" t="s">
        <v>4483</v>
      </c>
      <c r="E1247" s="3" t="s">
        <v>2420</v>
      </c>
      <c r="F1247" s="3" t="s">
        <v>2432</v>
      </c>
      <c r="G1247" s="3" t="s">
        <v>4484</v>
      </c>
      <c r="H1247" s="3" t="s">
        <v>2059</v>
      </c>
      <c r="I1247" s="4" t="b">
        <f>OR(((E1247 = "calculated")=TRUE), ((E1247 = "lookup")=TRUE), ((E1247 = "aggregation")=TRUE))</f>
        <v>1</v>
      </c>
      <c r="J1247" s="4" t="b">
        <f>H1247 &lt;&gt; ""</f>
        <v>1</v>
      </c>
      <c r="K1247" s="4">
        <f>COUNTIFS(FieldDisagreements!D2:D50, A1247)</f>
        <v>0</v>
      </c>
      <c r="L1247" s="4" t="b">
        <f>K1247 &gt; 0</f>
        <v>0</v>
      </c>
      <c r="M1247" s="3" t="s">
        <v>2418</v>
      </c>
    </row>
    <row r="1248">
      <c r="A1248" s="3" t="s">
        <v>4485</v>
      </c>
      <c r="B1248" s="4" t="str">
        <f>C1248 &amp; "." &amp; D1248</f>
        <v>MessageDeliveries.IsConsentViolation</v>
      </c>
      <c r="C1248" s="3" t="s">
        <v>4444</v>
      </c>
      <c r="D1248" s="3" t="s">
        <v>4486</v>
      </c>
      <c r="E1248" s="3" t="s">
        <v>2420</v>
      </c>
      <c r="F1248" s="3" t="s">
        <v>2432</v>
      </c>
      <c r="G1248" s="3" t="s">
        <v>4487</v>
      </c>
      <c r="H1248" s="3" t="s">
        <v>2059</v>
      </c>
      <c r="I1248" s="4" t="b">
        <f>OR(((E1248 = "calculated")=TRUE), ((E1248 = "lookup")=TRUE), ((E1248 = "aggregation")=TRUE))</f>
        <v>1</v>
      </c>
      <c r="J1248" s="4" t="b">
        <f>H1248 &lt;&gt; ""</f>
        <v>1</v>
      </c>
      <c r="K1248" s="4">
        <f>COUNTIFS(FieldDisagreements!D2:D50, A1248)</f>
        <v>0</v>
      </c>
      <c r="L1248" s="4" t="b">
        <f>K1248 &gt; 0</f>
        <v>0</v>
      </c>
      <c r="M1248" s="3" t="s">
        <v>2418</v>
      </c>
    </row>
    <row r="1249">
      <c r="A1249" s="3" t="s">
        <v>4488</v>
      </c>
      <c r="B1249" s="4" t="str">
        <f>C1249 &amp; "." &amp; D1249</f>
        <v>MessageDeliveries.ConsentViolationPolicyKey</v>
      </c>
      <c r="C1249" s="3" t="s">
        <v>4444</v>
      </c>
      <c r="D1249" s="3" t="s">
        <v>4489</v>
      </c>
      <c r="E1249" s="3" t="s">
        <v>2420</v>
      </c>
      <c r="F1249" s="3" t="s">
        <v>2417</v>
      </c>
      <c r="G1249" s="3" t="s">
        <v>4490</v>
      </c>
      <c r="H1249" s="3" t="s">
        <v>2059</v>
      </c>
      <c r="I1249" s="4" t="b">
        <f>OR(((E1249 = "calculated")=TRUE), ((E1249 = "lookup")=TRUE), ((E1249 = "aggregation")=TRUE))</f>
        <v>1</v>
      </c>
      <c r="J1249" s="4" t="b">
        <f>H1249 &lt;&gt; ""</f>
        <v>1</v>
      </c>
      <c r="K1249" s="4">
        <f>COUNTIFS(FieldDisagreements!D2:D50, A1249)</f>
        <v>0</v>
      </c>
      <c r="L1249" s="4" t="b">
        <f>K1249 &gt; 0</f>
        <v>0</v>
      </c>
      <c r="M1249" s="3" t="s">
        <v>2418</v>
      </c>
    </row>
    <row r="1250">
      <c r="A1250" s="3" t="s">
        <v>4491</v>
      </c>
      <c r="B1250" s="4" t="str">
        <f>C1250 &amp; "." &amp; D1250</f>
        <v>MessageDeliveries.PolicyQuietHoursStartHour</v>
      </c>
      <c r="C1250" s="3" t="s">
        <v>4444</v>
      </c>
      <c r="D1250" s="3" t="s">
        <v>4492</v>
      </c>
      <c r="E1250" s="3" t="s">
        <v>2509</v>
      </c>
      <c r="F1250" s="3" t="s">
        <v>2470</v>
      </c>
      <c r="G1250" s="3" t="s">
        <v>4493</v>
      </c>
      <c r="H1250" s="3" t="s">
        <v>2063</v>
      </c>
      <c r="I1250" s="4" t="b">
        <f>OR(((E1250 = "calculated")=TRUE), ((E1250 = "lookup")=TRUE), ((E1250 = "aggregation")=TRUE))</f>
        <v>1</v>
      </c>
      <c r="J1250" s="4" t="b">
        <f>H1250 &lt;&gt; ""</f>
        <v>1</v>
      </c>
      <c r="K1250" s="4">
        <f>COUNTIFS(FieldDisagreements!D2:D50, A1250)</f>
        <v>0</v>
      </c>
      <c r="L1250" s="4" t="b">
        <f>K1250 &gt; 0</f>
        <v>0</v>
      </c>
      <c r="M1250" s="3" t="s">
        <v>2418</v>
      </c>
    </row>
    <row r="1251">
      <c r="A1251" s="3" t="s">
        <v>4494</v>
      </c>
      <c r="B1251" s="4" t="str">
        <f>C1251 &amp; "." &amp; D1251</f>
        <v>MessageDeliveries.PolicyQuietHoursEndHour</v>
      </c>
      <c r="C1251" s="3" t="s">
        <v>4444</v>
      </c>
      <c r="D1251" s="3" t="s">
        <v>4495</v>
      </c>
      <c r="E1251" s="3" t="s">
        <v>2509</v>
      </c>
      <c r="F1251" s="3" t="s">
        <v>2470</v>
      </c>
      <c r="G1251" s="3" t="s">
        <v>4496</v>
      </c>
      <c r="H1251" s="3" t="s">
        <v>2063</v>
      </c>
      <c r="I1251" s="4" t="b">
        <f>OR(((E1251 = "calculated")=TRUE), ((E1251 = "lookup")=TRUE), ((E1251 = "aggregation")=TRUE))</f>
        <v>1</v>
      </c>
      <c r="J1251" s="4" t="b">
        <f>H1251 &lt;&gt; ""</f>
        <v>1</v>
      </c>
      <c r="K1251" s="4">
        <f>COUNTIFS(FieldDisagreements!D2:D50, A1251)</f>
        <v>0</v>
      </c>
      <c r="L1251" s="4" t="b">
        <f>K1251 &gt; 0</f>
        <v>0</v>
      </c>
      <c r="M1251" s="3" t="s">
        <v>2418</v>
      </c>
    </row>
    <row r="1252">
      <c r="A1252" s="3" t="s">
        <v>4497</v>
      </c>
      <c r="B1252" s="4" t="str">
        <f>C1252 &amp; "." &amp; D1252</f>
        <v>MessageDeliveries.PolicyHasQuietHours</v>
      </c>
      <c r="C1252" s="3" t="s">
        <v>4444</v>
      </c>
      <c r="D1252" s="3" t="s">
        <v>4498</v>
      </c>
      <c r="E1252" s="3" t="s">
        <v>2420</v>
      </c>
      <c r="F1252" s="3" t="s">
        <v>2432</v>
      </c>
      <c r="G1252" s="3" t="s">
        <v>4499</v>
      </c>
      <c r="H1252" s="3" t="s">
        <v>2063</v>
      </c>
      <c r="I1252" s="4" t="b">
        <f>OR(((E1252 = "calculated")=TRUE), ((E1252 = "lookup")=TRUE), ((E1252 = "aggregation")=TRUE))</f>
        <v>1</v>
      </c>
      <c r="J1252" s="4" t="b">
        <f>H1252 &lt;&gt; ""</f>
        <v>1</v>
      </c>
      <c r="K1252" s="4">
        <f>COUNTIFS(FieldDisagreements!D2:D50, A1252)</f>
        <v>0</v>
      </c>
      <c r="L1252" s="4" t="b">
        <f>K1252 &gt; 0</f>
        <v>0</v>
      </c>
      <c r="M1252" s="3" t="s">
        <v>2418</v>
      </c>
    </row>
    <row r="1253">
      <c r="A1253" s="3" t="s">
        <v>4500</v>
      </c>
      <c r="B1253" s="4" t="str">
        <f>C1253 &amp; "." &amp; D1253</f>
        <v>MessageDeliveries.QuietWindowWrapsMidnight</v>
      </c>
      <c r="C1253" s="3" t="s">
        <v>4444</v>
      </c>
      <c r="D1253" s="3" t="s">
        <v>4501</v>
      </c>
      <c r="E1253" s="3" t="s">
        <v>2420</v>
      </c>
      <c r="F1253" s="3" t="s">
        <v>2432</v>
      </c>
      <c r="G1253" s="3" t="s">
        <v>4502</v>
      </c>
      <c r="H1253" s="3" t="s">
        <v>2063</v>
      </c>
      <c r="I1253" s="4" t="b">
        <f>OR(((E1253 = "calculated")=TRUE), ((E1253 = "lookup")=TRUE), ((E1253 = "aggregation")=TRUE))</f>
        <v>1</v>
      </c>
      <c r="J1253" s="4" t="b">
        <f>H1253 &lt;&gt; ""</f>
        <v>1</v>
      </c>
      <c r="K1253" s="4">
        <f>COUNTIFS(FieldDisagreements!D2:D50, A1253)</f>
        <v>0</v>
      </c>
      <c r="L1253" s="4" t="b">
        <f>K1253 &gt; 0</f>
        <v>0</v>
      </c>
      <c r="M1253" s="3" t="s">
        <v>2418</v>
      </c>
    </row>
    <row r="1254">
      <c r="A1254" s="3" t="s">
        <v>4503</v>
      </c>
      <c r="B1254" s="4" t="str">
        <f>C1254 &amp; "." &amp; D1254</f>
        <v>MessageDeliveries.IsInsideQuietWindow</v>
      </c>
      <c r="C1254" s="3" t="s">
        <v>4444</v>
      </c>
      <c r="D1254" s="3" t="s">
        <v>4504</v>
      </c>
      <c r="E1254" s="3" t="s">
        <v>2420</v>
      </c>
      <c r="F1254" s="3" t="s">
        <v>2432</v>
      </c>
      <c r="G1254" s="3" t="s">
        <v>4505</v>
      </c>
      <c r="H1254" s="3" t="s">
        <v>2063</v>
      </c>
      <c r="I1254" s="4" t="b">
        <f>OR(((E1254 = "calculated")=TRUE), ((E1254 = "lookup")=TRUE), ((E1254 = "aggregation")=TRUE))</f>
        <v>1</v>
      </c>
      <c r="J1254" s="4" t="b">
        <f>H1254 &lt;&gt; ""</f>
        <v>1</v>
      </c>
      <c r="K1254" s="4">
        <f>COUNTIFS(FieldDisagreements!D2:D50, A1254)</f>
        <v>0</v>
      </c>
      <c r="L1254" s="4" t="b">
        <f>K1254 &gt; 0</f>
        <v>0</v>
      </c>
      <c r="M1254" s="3" t="s">
        <v>2418</v>
      </c>
    </row>
    <row r="1255">
      <c r="A1255" s="3" t="s">
        <v>4506</v>
      </c>
      <c r="B1255" s="4" t="str">
        <f>C1255 &amp; "." &amp; D1255</f>
        <v>MessageDeliveries.IsQuietHoursViolation</v>
      </c>
      <c r="C1255" s="3" t="s">
        <v>4444</v>
      </c>
      <c r="D1255" s="3" t="s">
        <v>4507</v>
      </c>
      <c r="E1255" s="3" t="s">
        <v>2420</v>
      </c>
      <c r="F1255" s="3" t="s">
        <v>2432</v>
      </c>
      <c r="G1255" s="3" t="s">
        <v>4508</v>
      </c>
      <c r="H1255" s="3" t="s">
        <v>2063</v>
      </c>
      <c r="I1255" s="4" t="b">
        <f>OR(((E1255 = "calculated")=TRUE), ((E1255 = "lookup")=TRUE), ((E1255 = "aggregation")=TRUE))</f>
        <v>1</v>
      </c>
      <c r="J1255" s="4" t="b">
        <f>H1255 &lt;&gt; ""</f>
        <v>1</v>
      </c>
      <c r="K1255" s="4">
        <f>COUNTIFS(FieldDisagreements!D2:D50, A1255)</f>
        <v>0</v>
      </c>
      <c r="L1255" s="4" t="b">
        <f>K1255 &gt; 0</f>
        <v>0</v>
      </c>
      <c r="M1255" s="3" t="s">
        <v>2418</v>
      </c>
    </row>
    <row r="1256">
      <c r="A1256" s="3" t="s">
        <v>4509</v>
      </c>
      <c r="B1256" s="4" t="str">
        <f>C1256 &amp; "." &amp; D1256</f>
        <v>MessageDeliveries.QuietHoursViolationPolicyKey</v>
      </c>
      <c r="C1256" s="3" t="s">
        <v>4444</v>
      </c>
      <c r="D1256" s="3" t="s">
        <v>4510</v>
      </c>
      <c r="E1256" s="3" t="s">
        <v>2420</v>
      </c>
      <c r="F1256" s="3" t="s">
        <v>2417</v>
      </c>
      <c r="G1256" s="3" t="s">
        <v>4511</v>
      </c>
      <c r="H1256" s="3" t="s">
        <v>2063</v>
      </c>
      <c r="I1256" s="4" t="b">
        <f>OR(((E1256 = "calculated")=TRUE), ((E1256 = "lookup")=TRUE), ((E1256 = "aggregation")=TRUE))</f>
        <v>1</v>
      </c>
      <c r="J1256" s="4" t="b">
        <f>H1256 &lt;&gt; ""</f>
        <v>1</v>
      </c>
      <c r="K1256" s="4">
        <f>COUNTIFS(FieldDisagreements!D2:D50, A1256)</f>
        <v>0</v>
      </c>
      <c r="L1256" s="4" t="b">
        <f>K1256 &gt; 0</f>
        <v>0</v>
      </c>
      <c r="M1256" s="3" t="s">
        <v>2418</v>
      </c>
    </row>
    <row r="1257">
      <c r="A1257" s="3" t="s">
        <v>4512</v>
      </c>
      <c r="B1257" s="4" t="str">
        <f>C1257 &amp; "." &amp; D1257</f>
        <v>MessageDeliveries.RecipientIsUnreachable</v>
      </c>
      <c r="C1257" s="3" t="s">
        <v>4444</v>
      </c>
      <c r="D1257" s="3" t="s">
        <v>4513</v>
      </c>
      <c r="E1257" s="3" t="s">
        <v>2509</v>
      </c>
      <c r="F1257" s="3" t="s">
        <v>2432</v>
      </c>
      <c r="G1257" s="3" t="s">
        <v>4514</v>
      </c>
      <c r="H1257" s="3" t="s">
        <v>2067</v>
      </c>
      <c r="I1257" s="4" t="b">
        <f>OR(((E1257 = "calculated")=TRUE), ((E1257 = "lookup")=TRUE), ((E1257 = "aggregation")=TRUE))</f>
        <v>1</v>
      </c>
      <c r="J1257" s="4" t="b">
        <f>H1257 &lt;&gt; ""</f>
        <v>1</v>
      </c>
      <c r="K1257" s="4">
        <f>COUNTIFS(FieldDisagreements!D2:D50, A1257)</f>
        <v>0</v>
      </c>
      <c r="L1257" s="4" t="b">
        <f>K1257 &gt; 0</f>
        <v>0</v>
      </c>
      <c r="M1257" s="3" t="s">
        <v>2418</v>
      </c>
    </row>
    <row r="1258">
      <c r="A1258" s="3" t="s">
        <v>4515</v>
      </c>
      <c r="B1258" s="4" t="str">
        <f>C1258 &amp; "." &amp; D1258</f>
        <v>MessageDeliveries.IsAcknowledged</v>
      </c>
      <c r="C1258" s="3" t="s">
        <v>4444</v>
      </c>
      <c r="D1258" s="3" t="s">
        <v>4516</v>
      </c>
      <c r="E1258" s="3" t="s">
        <v>2420</v>
      </c>
      <c r="F1258" s="3" t="s">
        <v>2432</v>
      </c>
      <c r="G1258" s="3" t="s">
        <v>4517</v>
      </c>
      <c r="H1258" s="3" t="s">
        <v>2067</v>
      </c>
      <c r="I1258" s="4" t="b">
        <f>OR(((E1258 = "calculated")=TRUE), ((E1258 = "lookup")=TRUE), ((E1258 = "aggregation")=TRUE))</f>
        <v>1</v>
      </c>
      <c r="J1258" s="4" t="b">
        <f>H1258 &lt;&gt; ""</f>
        <v>1</v>
      </c>
      <c r="K1258" s="4">
        <f>COUNTIFS(FieldDisagreements!D2:D50, A1258)</f>
        <v>0</v>
      </c>
      <c r="L1258" s="4" t="b">
        <f>K1258 &gt; 0</f>
        <v>0</v>
      </c>
      <c r="M1258" s="3" t="s">
        <v>2418</v>
      </c>
    </row>
    <row r="1259">
      <c r="A1259" s="3" t="s">
        <v>4518</v>
      </c>
      <c r="B1259" s="4" t="str">
        <f>C1259 &amp; "." &amp; D1259</f>
        <v>MessageDeliveries.InvokedExceptionCondition</v>
      </c>
      <c r="C1259" s="3" t="s">
        <v>4444</v>
      </c>
      <c r="D1259" s="3" t="s">
        <v>4519</v>
      </c>
      <c r="E1259" s="3" t="s">
        <v>2509</v>
      </c>
      <c r="F1259" s="3" t="s">
        <v>2417</v>
      </c>
      <c r="G1259" s="3" t="s">
        <v>4520</v>
      </c>
      <c r="H1259" s="3" t="s">
        <v>2067</v>
      </c>
      <c r="I1259" s="4" t="b">
        <f>OR(((E1259 = "calculated")=TRUE), ((E1259 = "lookup")=TRUE), ((E1259 = "aggregation")=TRUE))</f>
        <v>1</v>
      </c>
      <c r="J1259" s="4" t="b">
        <f>H1259 &lt;&gt; ""</f>
        <v>1</v>
      </c>
      <c r="K1259" s="4">
        <f>COUNTIFS(FieldDisagreements!D2:D50, A1259)</f>
        <v>0</v>
      </c>
      <c r="L1259" s="4" t="b">
        <f>K1259 &gt; 0</f>
        <v>0</v>
      </c>
      <c r="M1259" s="3" t="s">
        <v>2418</v>
      </c>
    </row>
    <row r="1260">
      <c r="A1260" s="3" t="s">
        <v>4521</v>
      </c>
      <c r="B1260" s="4" t="str">
        <f>C1260 &amp; "." &amp; D1260</f>
        <v>MessageDeliveries.HasUnreachableExceptionInvoked</v>
      </c>
      <c r="C1260" s="3" t="s">
        <v>4444</v>
      </c>
      <c r="D1260" s="3" t="s">
        <v>4522</v>
      </c>
      <c r="E1260" s="3" t="s">
        <v>2420</v>
      </c>
      <c r="F1260" s="3" t="s">
        <v>2432</v>
      </c>
      <c r="G1260" s="3" t="s">
        <v>4523</v>
      </c>
      <c r="H1260" s="3" t="s">
        <v>2067</v>
      </c>
      <c r="I1260" s="4" t="b">
        <f>OR(((E1260 = "calculated")=TRUE), ((E1260 = "lookup")=TRUE), ((E1260 = "aggregation")=TRUE))</f>
        <v>1</v>
      </c>
      <c r="J1260" s="4" t="b">
        <f>H1260 &lt;&gt; ""</f>
        <v>1</v>
      </c>
      <c r="K1260" s="4">
        <f>COUNTIFS(FieldDisagreements!D2:D50, A1260)</f>
        <v>0</v>
      </c>
      <c r="L1260" s="4" t="b">
        <f>K1260 &gt; 0</f>
        <v>0</v>
      </c>
      <c r="M1260" s="3" t="s">
        <v>2418</v>
      </c>
    </row>
    <row r="1261">
      <c r="A1261" s="3" t="s">
        <v>4524</v>
      </c>
      <c r="B1261" s="4" t="str">
        <f>C1261 &amp; "." &amp; D1261</f>
        <v>MessageDeliveries.IsFabricatedAcknowledgement</v>
      </c>
      <c r="C1261" s="3" t="s">
        <v>4444</v>
      </c>
      <c r="D1261" s="3" t="s">
        <v>4525</v>
      </c>
      <c r="E1261" s="3" t="s">
        <v>2420</v>
      </c>
      <c r="F1261" s="3" t="s">
        <v>2432</v>
      </c>
      <c r="G1261" s="3" t="s">
        <v>4526</v>
      </c>
      <c r="H1261" s="3" t="s">
        <v>2067</v>
      </c>
      <c r="I1261" s="4" t="b">
        <f>OR(((E1261 = "calculated")=TRUE), ((E1261 = "lookup")=TRUE), ((E1261 = "aggregation")=TRUE))</f>
        <v>1</v>
      </c>
      <c r="J1261" s="4" t="b">
        <f>H1261 &lt;&gt; ""</f>
        <v>1</v>
      </c>
      <c r="K1261" s="4">
        <f>COUNTIFS(FieldDisagreements!D2:D50, A1261)</f>
        <v>0</v>
      </c>
      <c r="L1261" s="4" t="b">
        <f>K1261 &gt; 0</f>
        <v>0</v>
      </c>
      <c r="M1261" s="3" t="s">
        <v>2418</v>
      </c>
    </row>
    <row r="1262">
      <c r="A1262" s="3" t="s">
        <v>4527</v>
      </c>
      <c r="B1262" s="4" t="str">
        <f>C1262 &amp; "." &amp; D1262</f>
        <v>MessageDeliveries.IsUnhandledUnreachable</v>
      </c>
      <c r="C1262" s="3" t="s">
        <v>4444</v>
      </c>
      <c r="D1262" s="3" t="s">
        <v>4528</v>
      </c>
      <c r="E1262" s="3" t="s">
        <v>2420</v>
      </c>
      <c r="F1262" s="3" t="s">
        <v>2432</v>
      </c>
      <c r="G1262" s="3" t="s">
        <v>4529</v>
      </c>
      <c r="H1262" s="3" t="s">
        <v>2067</v>
      </c>
      <c r="I1262" s="4" t="b">
        <f>OR(((E1262 = "calculated")=TRUE), ((E1262 = "lookup")=TRUE), ((E1262 = "aggregation")=TRUE))</f>
        <v>1</v>
      </c>
      <c r="J1262" s="4" t="b">
        <f>H1262 &lt;&gt; ""</f>
        <v>1</v>
      </c>
      <c r="K1262" s="4">
        <f>COUNTIFS(FieldDisagreements!D2:D50, A1262)</f>
        <v>0</v>
      </c>
      <c r="L1262" s="4" t="b">
        <f>K1262 &gt; 0</f>
        <v>0</v>
      </c>
      <c r="M1262" s="3" t="s">
        <v>2418</v>
      </c>
    </row>
    <row r="1263">
      <c r="A1263" s="3" t="s">
        <v>4530</v>
      </c>
      <c r="B1263" s="4" t="str">
        <f>C1263 &amp; "." &amp; D1263</f>
        <v>MessageDeliveries.UnreachableFailureKey</v>
      </c>
      <c r="C1263" s="3" t="s">
        <v>4444</v>
      </c>
      <c r="D1263" s="3" t="s">
        <v>4531</v>
      </c>
      <c r="E1263" s="3" t="s">
        <v>2420</v>
      </c>
      <c r="F1263" s="3" t="s">
        <v>2417</v>
      </c>
      <c r="G1263" s="3" t="s">
        <v>4532</v>
      </c>
      <c r="H1263" s="3" t="s">
        <v>2067</v>
      </c>
      <c r="I1263" s="4" t="b">
        <f>OR(((E1263 = "calculated")=TRUE), ((E1263 = "lookup")=TRUE), ((E1263 = "aggregation")=TRUE))</f>
        <v>1</v>
      </c>
      <c r="J1263" s="4" t="b">
        <f>H1263 &lt;&gt; ""</f>
        <v>1</v>
      </c>
      <c r="K1263" s="4">
        <f>COUNTIFS(FieldDisagreements!D2:D50, A1263)</f>
        <v>0</v>
      </c>
      <c r="L1263" s="4" t="b">
        <f>K1263 &gt; 0</f>
        <v>0</v>
      </c>
      <c r="M1263" s="3" t="s">
        <v>2418</v>
      </c>
    </row>
    <row r="1264">
      <c r="A1264" s="3" t="s">
        <v>4533</v>
      </c>
      <c r="B1264" s="4" t="str">
        <f>C1264 &amp; "." &amp; D1264</f>
        <v>MessageDeliveries.PolicyRetentionDays</v>
      </c>
      <c r="C1264" s="3" t="s">
        <v>4444</v>
      </c>
      <c r="D1264" s="3" t="s">
        <v>4534</v>
      </c>
      <c r="E1264" s="3" t="s">
        <v>2509</v>
      </c>
      <c r="F1264" s="3" t="s">
        <v>2470</v>
      </c>
      <c r="G1264" s="3" t="s">
        <v>4535</v>
      </c>
      <c r="H1264" s="3" t="s">
        <v>2071</v>
      </c>
      <c r="I1264" s="4" t="b">
        <f>OR(((E1264 = "calculated")=TRUE), ((E1264 = "lookup")=TRUE), ((E1264 = "aggregation")=TRUE))</f>
        <v>1</v>
      </c>
      <c r="J1264" s="4" t="b">
        <f>H1264 &lt;&gt; ""</f>
        <v>1</v>
      </c>
      <c r="K1264" s="4">
        <f>COUNTIFS(FieldDisagreements!D2:D50, A1264)</f>
        <v>0</v>
      </c>
      <c r="L1264" s="4" t="b">
        <f>K1264 &gt; 0</f>
        <v>0</v>
      </c>
      <c r="M1264" s="3" t="s">
        <v>2418</v>
      </c>
    </row>
    <row r="1265">
      <c r="A1265" s="3" t="s">
        <v>4536</v>
      </c>
      <c r="B1265" s="4" t="str">
        <f>C1265 &amp; "." &amp; D1265</f>
        <v>MessageDeliveries.EvaluationContext</v>
      </c>
      <c r="C1265" s="3" t="s">
        <v>4444</v>
      </c>
      <c r="D1265" s="3" t="s">
        <v>258</v>
      </c>
      <c r="E1265" s="3" t="s">
        <v>2465</v>
      </c>
      <c r="F1265" s="3" t="s">
        <v>2417</v>
      </c>
      <c r="G1265" s="3"/>
      <c r="H1265" s="3"/>
      <c r="I1265" s="4" t="b">
        <f>OR(((E1265 = "calculated")=TRUE), ((E1265 = "lookup")=TRUE), ((E1265 = "aggregation")=TRUE))</f>
        <v>0</v>
      </c>
      <c r="J1265" s="4" t="b">
        <f>H1265 &lt;&gt; ""</f>
        <v>0</v>
      </c>
      <c r="K1265" s="4">
        <f>COUNTIFS(FieldDisagreements!D2:D50, A1265)</f>
        <v>0</v>
      </c>
      <c r="L1265" s="4" t="b">
        <f>K1265 &gt; 0</f>
        <v>0</v>
      </c>
      <c r="M1265" s="3" t="s">
        <v>2418</v>
      </c>
    </row>
    <row r="1266">
      <c r="A1266" s="3" t="s">
        <v>4537</v>
      </c>
      <c r="B1266" s="4" t="str">
        <f>C1266 &amp; "." &amp; D1266</f>
        <v>MessageDeliveries.AsOfInstant</v>
      </c>
      <c r="C1266" s="3" t="s">
        <v>4444</v>
      </c>
      <c r="D1266" s="3" t="s">
        <v>92</v>
      </c>
      <c r="E1266" s="3" t="s">
        <v>2509</v>
      </c>
      <c r="F1266" s="3" t="s">
        <v>2428</v>
      </c>
      <c r="G1266" s="3" t="s">
        <v>2555</v>
      </c>
      <c r="H1266" s="3"/>
      <c r="I1266" s="4" t="b">
        <f>OR(((E1266 = "calculated")=TRUE), ((E1266 = "lookup")=TRUE), ((E1266 = "aggregation")=TRUE))</f>
        <v>1</v>
      </c>
      <c r="J1266" s="4" t="b">
        <f>H1266 &lt;&gt; ""</f>
        <v>0</v>
      </c>
      <c r="K1266" s="4">
        <f>COUNTIFS(FieldDisagreements!D2:D50, A1266)</f>
        <v>0</v>
      </c>
      <c r="L1266" s="4" t="b">
        <f>K1266 &gt; 0</f>
        <v>0</v>
      </c>
      <c r="M1266" s="3" t="s">
        <v>2418</v>
      </c>
    </row>
    <row r="1267">
      <c r="A1267" s="3" t="s">
        <v>4538</v>
      </c>
      <c r="B1267" s="4" t="str">
        <f>C1267 &amp; "." &amp; D1267</f>
        <v>MessageDeliveries.AgeDays</v>
      </c>
      <c r="C1267" s="3" t="s">
        <v>4444</v>
      </c>
      <c r="D1267" s="3" t="s">
        <v>1132</v>
      </c>
      <c r="E1267" s="3" t="s">
        <v>2420</v>
      </c>
      <c r="F1267" s="3" t="s">
        <v>2470</v>
      </c>
      <c r="G1267" s="3" t="s">
        <v>4539</v>
      </c>
      <c r="H1267" s="3" t="s">
        <v>2071</v>
      </c>
      <c r="I1267" s="4" t="b">
        <f>OR(((E1267 = "calculated")=TRUE), ((E1267 = "lookup")=TRUE), ((E1267 = "aggregation")=TRUE))</f>
        <v>1</v>
      </c>
      <c r="J1267" s="4" t="b">
        <f>H1267 &lt;&gt; ""</f>
        <v>1</v>
      </c>
      <c r="K1267" s="4">
        <f>COUNTIFS(FieldDisagreements!D2:D50, A1267)</f>
        <v>0</v>
      </c>
      <c r="L1267" s="4" t="b">
        <f>K1267 &gt; 0</f>
        <v>0</v>
      </c>
      <c r="M1267" s="3" t="s">
        <v>2418</v>
      </c>
    </row>
    <row r="1268">
      <c r="A1268" s="3" t="s">
        <v>4540</v>
      </c>
      <c r="B1268" s="4" t="str">
        <f>C1268 &amp; "." &amp; D1268</f>
        <v>MessageDeliveries.IsWithinRetentionWindow</v>
      </c>
      <c r="C1268" s="3" t="s">
        <v>4444</v>
      </c>
      <c r="D1268" s="3" t="s">
        <v>4541</v>
      </c>
      <c r="E1268" s="3" t="s">
        <v>2420</v>
      </c>
      <c r="F1268" s="3" t="s">
        <v>2432</v>
      </c>
      <c r="G1268" s="3" t="s">
        <v>4542</v>
      </c>
      <c r="H1268" s="3" t="s">
        <v>2071</v>
      </c>
      <c r="I1268" s="4" t="b">
        <f>OR(((E1268 = "calculated")=TRUE), ((E1268 = "lookup")=TRUE), ((E1268 = "aggregation")=TRUE))</f>
        <v>1</v>
      </c>
      <c r="J1268" s="4" t="b">
        <f>H1268 &lt;&gt; ""</f>
        <v>1</v>
      </c>
      <c r="K1268" s="4">
        <f>COUNTIFS(FieldDisagreements!D2:D50, A1268)</f>
        <v>0</v>
      </c>
      <c r="L1268" s="4" t="b">
        <f>K1268 &gt; 0</f>
        <v>0</v>
      </c>
      <c r="M1268" s="3" t="s">
        <v>2418</v>
      </c>
    </row>
    <row r="1269">
      <c r="A1269" s="3" t="s">
        <v>4543</v>
      </c>
      <c r="B1269" s="4" t="str">
        <f>C1269 &amp; "." &amp; D1269</f>
        <v>MessageDeliveries.HasRenderedBody</v>
      </c>
      <c r="C1269" s="3" t="s">
        <v>4444</v>
      </c>
      <c r="D1269" s="3" t="s">
        <v>4544</v>
      </c>
      <c r="E1269" s="3" t="s">
        <v>2420</v>
      </c>
      <c r="F1269" s="3" t="s">
        <v>2432</v>
      </c>
      <c r="G1269" s="3" t="s">
        <v>4545</v>
      </c>
      <c r="H1269" s="3" t="s">
        <v>2071</v>
      </c>
      <c r="I1269" s="4" t="b">
        <f>OR(((E1269 = "calculated")=TRUE), ((E1269 = "lookup")=TRUE), ((E1269 = "aggregation")=TRUE))</f>
        <v>1</v>
      </c>
      <c r="J1269" s="4" t="b">
        <f>H1269 &lt;&gt; ""</f>
        <v>1</v>
      </c>
      <c r="K1269" s="4">
        <f>COUNTIFS(FieldDisagreements!D2:D50, A1269)</f>
        <v>0</v>
      </c>
      <c r="L1269" s="4" t="b">
        <f>K1269 &gt; 0</f>
        <v>0</v>
      </c>
      <c r="M1269" s="3" t="s">
        <v>2418</v>
      </c>
    </row>
    <row r="1270">
      <c r="A1270" s="3" t="s">
        <v>4546</v>
      </c>
      <c r="B1270" s="4" t="str">
        <f>C1270 &amp; "." &amp; D1270</f>
        <v>MessageDeliveries.IsEvidenceRequired</v>
      </c>
      <c r="C1270" s="3" t="s">
        <v>4444</v>
      </c>
      <c r="D1270" s="3" t="s">
        <v>4547</v>
      </c>
      <c r="E1270" s="3" t="s">
        <v>2420</v>
      </c>
      <c r="F1270" s="3" t="s">
        <v>2432</v>
      </c>
      <c r="G1270" s="3" t="s">
        <v>4548</v>
      </c>
      <c r="H1270" s="3" t="s">
        <v>2071</v>
      </c>
      <c r="I1270" s="4" t="b">
        <f>OR(((E1270 = "calculated")=TRUE), ((E1270 = "lookup")=TRUE), ((E1270 = "aggregation")=TRUE))</f>
        <v>1</v>
      </c>
      <c r="J1270" s="4" t="b">
        <f>H1270 &lt;&gt; ""</f>
        <v>1</v>
      </c>
      <c r="K1270" s="4">
        <f>COUNTIFS(FieldDisagreements!D2:D50, A1270)</f>
        <v>0</v>
      </c>
      <c r="L1270" s="4" t="b">
        <f>K1270 &gt; 0</f>
        <v>0</v>
      </c>
      <c r="M1270" s="3" t="s">
        <v>2418</v>
      </c>
    </row>
    <row r="1271">
      <c r="A1271" s="3" t="s">
        <v>4549</v>
      </c>
      <c r="B1271" s="4" t="str">
        <f>C1271 &amp; "." &amp; D1271</f>
        <v>MessageDeliveries.IsRetentionBreach</v>
      </c>
      <c r="C1271" s="3" t="s">
        <v>4444</v>
      </c>
      <c r="D1271" s="3" t="s">
        <v>4550</v>
      </c>
      <c r="E1271" s="3" t="s">
        <v>2420</v>
      </c>
      <c r="F1271" s="3" t="s">
        <v>2432</v>
      </c>
      <c r="G1271" s="3" t="s">
        <v>4551</v>
      </c>
      <c r="H1271" s="3" t="s">
        <v>2071</v>
      </c>
      <c r="I1271" s="4" t="b">
        <f>OR(((E1271 = "calculated")=TRUE), ((E1271 = "lookup")=TRUE), ((E1271 = "aggregation")=TRUE))</f>
        <v>1</v>
      </c>
      <c r="J1271" s="4" t="b">
        <f>H1271 &lt;&gt; ""</f>
        <v>1</v>
      </c>
      <c r="K1271" s="4">
        <f>COUNTIFS(FieldDisagreements!D2:D50, A1271)</f>
        <v>0</v>
      </c>
      <c r="L1271" s="4" t="b">
        <f>K1271 &gt; 0</f>
        <v>0</v>
      </c>
      <c r="M1271" s="3" t="s">
        <v>2418</v>
      </c>
    </row>
    <row r="1272">
      <c r="A1272" s="3" t="s">
        <v>4552</v>
      </c>
      <c r="B1272" s="4" t="str">
        <f>C1272 &amp; "." &amp; D1272</f>
        <v>MessageDeliveries.RetentionBreachExecutionKey</v>
      </c>
      <c r="C1272" s="3" t="s">
        <v>4444</v>
      </c>
      <c r="D1272" s="3" t="s">
        <v>4553</v>
      </c>
      <c r="E1272" s="3" t="s">
        <v>2420</v>
      </c>
      <c r="F1272" s="3" t="s">
        <v>2417</v>
      </c>
      <c r="G1272" s="3" t="s">
        <v>4554</v>
      </c>
      <c r="H1272" s="3" t="s">
        <v>2071</v>
      </c>
      <c r="I1272" s="4" t="b">
        <f>OR(((E1272 = "calculated")=TRUE), ((E1272 = "lookup")=TRUE), ((E1272 = "aggregation")=TRUE))</f>
        <v>1</v>
      </c>
      <c r="J1272" s="4" t="b">
        <f>H1272 &lt;&gt; ""</f>
        <v>1</v>
      </c>
      <c r="K1272" s="4">
        <f>COUNTIFS(FieldDisagreements!D2:D50, A1272)</f>
        <v>0</v>
      </c>
      <c r="L1272" s="4" t="b">
        <f>K1272 &gt; 0</f>
        <v>0</v>
      </c>
      <c r="M1272" s="3" t="s">
        <v>2418</v>
      </c>
    </row>
    <row r="1273">
      <c r="A1273" s="3" t="s">
        <v>4555</v>
      </c>
      <c r="B1273" s="4" t="str">
        <f>C1273 &amp; "." &amp; D1273</f>
        <v>MessageDeliveries.SendingStepExecutionStep</v>
      </c>
      <c r="C1273" s="3" t="s">
        <v>4444</v>
      </c>
      <c r="D1273" s="3" t="s">
        <v>4556</v>
      </c>
      <c r="E1273" s="3" t="s">
        <v>2509</v>
      </c>
      <c r="F1273" s="3" t="s">
        <v>2417</v>
      </c>
      <c r="G1273" s="3" t="s">
        <v>3822</v>
      </c>
      <c r="H1273" s="3" t="s">
        <v>2075</v>
      </c>
      <c r="I1273" s="4" t="b">
        <f>OR(((E1273 = "calculated")=TRUE), ((E1273 = "lookup")=TRUE), ((E1273 = "aggregation")=TRUE))</f>
        <v>1</v>
      </c>
      <c r="J1273" s="4" t="b">
        <f>H1273 &lt;&gt; ""</f>
        <v>1</v>
      </c>
      <c r="K1273" s="4">
        <f>COUNTIFS(FieldDisagreements!D2:D50, A1273)</f>
        <v>0</v>
      </c>
      <c r="L1273" s="4" t="b">
        <f>K1273 &gt; 0</f>
        <v>0</v>
      </c>
      <c r="M1273" s="3" t="s">
        <v>2418</v>
      </c>
    </row>
    <row r="1274">
      <c r="A1274" s="3" t="s">
        <v>4557</v>
      </c>
      <c r="B1274" s="4" t="str">
        <f>C1274 &amp; "." &amp; D1274</f>
        <v>MessageDeliveries.ExecutionHasClearedLegalReview</v>
      </c>
      <c r="C1274" s="3" t="s">
        <v>4444</v>
      </c>
      <c r="D1274" s="3" t="s">
        <v>4558</v>
      </c>
      <c r="E1274" s="3" t="s">
        <v>2509</v>
      </c>
      <c r="F1274" s="3" t="s">
        <v>2432</v>
      </c>
      <c r="G1274" s="3" t="s">
        <v>4559</v>
      </c>
      <c r="H1274" s="3" t="s">
        <v>2075</v>
      </c>
      <c r="I1274" s="4" t="b">
        <f>OR(((E1274 = "calculated")=TRUE), ((E1274 = "lookup")=TRUE), ((E1274 = "aggregation")=TRUE))</f>
        <v>1</v>
      </c>
      <c r="J1274" s="4" t="b">
        <f>H1274 &lt;&gt; ""</f>
        <v>1</v>
      </c>
      <c r="K1274" s="4">
        <f>COUNTIFS(FieldDisagreements!D2:D50, A1274)</f>
        <v>0</v>
      </c>
      <c r="L1274" s="4" t="b">
        <f>K1274 &gt; 0</f>
        <v>0</v>
      </c>
      <c r="M1274" s="3" t="s">
        <v>2418</v>
      </c>
    </row>
    <row r="1275">
      <c r="A1275" s="3" t="s">
        <v>4560</v>
      </c>
      <c r="B1275" s="4" t="str">
        <f>C1275 &amp; "." &amp; D1275</f>
        <v>MessageDeliveries.IsUnreviewedSend</v>
      </c>
      <c r="C1275" s="3" t="s">
        <v>4444</v>
      </c>
      <c r="D1275" s="3" t="s">
        <v>4561</v>
      </c>
      <c r="E1275" s="3" t="s">
        <v>2420</v>
      </c>
      <c r="F1275" s="3" t="s">
        <v>2432</v>
      </c>
      <c r="G1275" s="3" t="s">
        <v>4562</v>
      </c>
      <c r="H1275" s="3" t="s">
        <v>2075</v>
      </c>
      <c r="I1275" s="4" t="b">
        <f>OR(((E1275 = "calculated")=TRUE), ((E1275 = "lookup")=TRUE), ((E1275 = "aggregation")=TRUE))</f>
        <v>1</v>
      </c>
      <c r="J1275" s="4" t="b">
        <f>H1275 &lt;&gt; ""</f>
        <v>1</v>
      </c>
      <c r="K1275" s="4">
        <f>COUNTIFS(FieldDisagreements!D2:D50, A1275)</f>
        <v>0</v>
      </c>
      <c r="L1275" s="4" t="b">
        <f>K1275 &gt; 0</f>
        <v>0</v>
      </c>
      <c r="M1275" s="3" t="s">
        <v>2418</v>
      </c>
    </row>
    <row r="1276">
      <c r="A1276" s="3" t="s">
        <v>4563</v>
      </c>
      <c r="B1276" s="4" t="str">
        <f>C1276 &amp; "." &amp; D1276</f>
        <v>MessageDeliveries.RenderedBodyLength</v>
      </c>
      <c r="C1276" s="3" t="s">
        <v>4444</v>
      </c>
      <c r="D1276" s="3" t="s">
        <v>4564</v>
      </c>
      <c r="E1276" s="3" t="s">
        <v>2420</v>
      </c>
      <c r="F1276" s="3" t="s">
        <v>2470</v>
      </c>
      <c r="G1276" s="3" t="s">
        <v>4565</v>
      </c>
      <c r="H1276" s="3" t="s">
        <v>2079</v>
      </c>
      <c r="I1276" s="4" t="b">
        <f>OR(((E1276 = "calculated")=TRUE), ((E1276 = "lookup")=TRUE), ((E1276 = "aggregation")=TRUE))</f>
        <v>1</v>
      </c>
      <c r="J1276" s="4" t="b">
        <f>H1276 &lt;&gt; ""</f>
        <v>1</v>
      </c>
      <c r="K1276" s="4">
        <f>COUNTIFS(FieldDisagreements!D2:D50, A1276)</f>
        <v>0</v>
      </c>
      <c r="L1276" s="4" t="b">
        <f>K1276 &gt; 0</f>
        <v>0</v>
      </c>
      <c r="M1276" s="3" t="s">
        <v>2418</v>
      </c>
    </row>
    <row r="1277">
      <c r="A1277" s="3" t="s">
        <v>4566</v>
      </c>
      <c r="B1277" s="4" t="str">
        <f>C1277 &amp; "." &amp; D1277</f>
        <v>MessageDeliveries.PolicyMaxMessageLengthAtSend</v>
      </c>
      <c r="C1277" s="3" t="s">
        <v>4444</v>
      </c>
      <c r="D1277" s="3" t="s">
        <v>4567</v>
      </c>
      <c r="E1277" s="3" t="s">
        <v>2509</v>
      </c>
      <c r="F1277" s="3" t="s">
        <v>2470</v>
      </c>
      <c r="G1277" s="3" t="s">
        <v>4568</v>
      </c>
      <c r="H1277" s="3" t="s">
        <v>2079</v>
      </c>
      <c r="I1277" s="4" t="b">
        <f>OR(((E1277 = "calculated")=TRUE), ((E1277 = "lookup")=TRUE), ((E1277 = "aggregation")=TRUE))</f>
        <v>1</v>
      </c>
      <c r="J1277" s="4" t="b">
        <f>H1277 &lt;&gt; ""</f>
        <v>1</v>
      </c>
      <c r="K1277" s="4">
        <f>COUNTIFS(FieldDisagreements!D2:D50, A1277)</f>
        <v>0</v>
      </c>
      <c r="L1277" s="4" t="b">
        <f>K1277 &gt; 0</f>
        <v>0</v>
      </c>
      <c r="M1277" s="3" t="s">
        <v>2418</v>
      </c>
    </row>
    <row r="1278">
      <c r="A1278" s="3" t="s">
        <v>4569</v>
      </c>
      <c r="B1278" s="4" t="str">
        <f>C1278 &amp; "." &amp; D1278</f>
        <v>MessageDeliveries.SegmentCount</v>
      </c>
      <c r="C1278" s="3" t="s">
        <v>4444</v>
      </c>
      <c r="D1278" s="3" t="s">
        <v>4570</v>
      </c>
      <c r="E1278" s="3" t="s">
        <v>2420</v>
      </c>
      <c r="F1278" s="3" t="s">
        <v>2470</v>
      </c>
      <c r="G1278" s="3" t="s">
        <v>4571</v>
      </c>
      <c r="H1278" s="3" t="s">
        <v>2079</v>
      </c>
      <c r="I1278" s="4" t="b">
        <f>OR(((E1278 = "calculated")=TRUE), ((E1278 = "lookup")=TRUE), ((E1278 = "aggregation")=TRUE))</f>
        <v>1</v>
      </c>
      <c r="J1278" s="4" t="b">
        <f>H1278 &lt;&gt; ""</f>
        <v>1</v>
      </c>
      <c r="K1278" s="4">
        <f>COUNTIFS(FieldDisagreements!D2:D50, A1278)</f>
        <v>0</v>
      </c>
      <c r="L1278" s="4" t="b">
        <f>K1278 &gt; 0</f>
        <v>0</v>
      </c>
      <c r="M1278" s="3" t="s">
        <v>2418</v>
      </c>
    </row>
    <row r="1279">
      <c r="A1279" s="3" t="s">
        <v>4572</v>
      </c>
      <c r="B1279" s="4" t="str">
        <f>C1279 &amp; "." &amp; D1279</f>
        <v>MessageDeliveries.PolicyMaxSegmentsAtSend</v>
      </c>
      <c r="C1279" s="3" t="s">
        <v>4444</v>
      </c>
      <c r="D1279" s="3" t="s">
        <v>4573</v>
      </c>
      <c r="E1279" s="3" t="s">
        <v>2509</v>
      </c>
      <c r="F1279" s="3" t="s">
        <v>2470</v>
      </c>
      <c r="G1279" s="3" t="s">
        <v>4574</v>
      </c>
      <c r="H1279" s="3" t="s">
        <v>2079</v>
      </c>
      <c r="I1279" s="4" t="b">
        <f>OR(((E1279 = "calculated")=TRUE), ((E1279 = "lookup")=TRUE), ((E1279 = "aggregation")=TRUE))</f>
        <v>1</v>
      </c>
      <c r="J1279" s="4" t="b">
        <f>H1279 &lt;&gt; ""</f>
        <v>1</v>
      </c>
      <c r="K1279" s="4">
        <f>COUNTIFS(FieldDisagreements!D2:D50, A1279)</f>
        <v>0</v>
      </c>
      <c r="L1279" s="4" t="b">
        <f>K1279 &gt; 0</f>
        <v>0</v>
      </c>
      <c r="M1279" s="3" t="s">
        <v>2418</v>
      </c>
    </row>
    <row r="1280">
      <c r="A1280" s="3" t="s">
        <v>4575</v>
      </c>
      <c r="B1280" s="4" t="str">
        <f>C1280 &amp; "." &amp; D1280</f>
        <v>MessageDeliveries.IsOverSegmentLimit</v>
      </c>
      <c r="C1280" s="3" t="s">
        <v>4444</v>
      </c>
      <c r="D1280" s="3" t="s">
        <v>4576</v>
      </c>
      <c r="E1280" s="3" t="s">
        <v>2420</v>
      </c>
      <c r="F1280" s="3" t="s">
        <v>2432</v>
      </c>
      <c r="G1280" s="3" t="s">
        <v>4577</v>
      </c>
      <c r="H1280" s="3" t="s">
        <v>2079</v>
      </c>
      <c r="I1280" s="4" t="b">
        <f>OR(((E1280 = "calculated")=TRUE), ((E1280 = "lookup")=TRUE), ((E1280 = "aggregation")=TRUE))</f>
        <v>1</v>
      </c>
      <c r="J1280" s="4" t="b">
        <f>H1280 &lt;&gt; ""</f>
        <v>1</v>
      </c>
      <c r="K1280" s="4">
        <f>COUNTIFS(FieldDisagreements!D2:D50, A1280)</f>
        <v>0</v>
      </c>
      <c r="L1280" s="4" t="b">
        <f>K1280 &gt; 0</f>
        <v>0</v>
      </c>
      <c r="M1280" s="3" t="s">
        <v>2418</v>
      </c>
    </row>
    <row r="1281">
      <c r="A1281" s="3" t="s">
        <v>4578</v>
      </c>
      <c r="B1281" s="4" t="str">
        <f>C1281 &amp; "." &amp; D1281</f>
        <v>MessageDeliveries.TemplateHasValidApproval</v>
      </c>
      <c r="C1281" s="3" t="s">
        <v>4444</v>
      </c>
      <c r="D1281" s="3" t="s">
        <v>4579</v>
      </c>
      <c r="E1281" s="3" t="s">
        <v>2509</v>
      </c>
      <c r="F1281" s="3" t="s">
        <v>2432</v>
      </c>
      <c r="G1281" s="3" t="s">
        <v>4580</v>
      </c>
      <c r="H1281" s="3" t="s">
        <v>2083</v>
      </c>
      <c r="I1281" s="4" t="b">
        <f>OR(((E1281 = "calculated")=TRUE), ((E1281 = "lookup")=TRUE), ((E1281 = "aggregation")=TRUE))</f>
        <v>1</v>
      </c>
      <c r="J1281" s="4" t="b">
        <f>H1281 &lt;&gt; ""</f>
        <v>1</v>
      </c>
      <c r="K1281" s="4">
        <f>COUNTIFS(FieldDisagreements!D2:D50, A1281)</f>
        <v>0</v>
      </c>
      <c r="L1281" s="4" t="b">
        <f>K1281 &gt; 0</f>
        <v>0</v>
      </c>
      <c r="M1281" s="3" t="s">
        <v>2418</v>
      </c>
    </row>
    <row r="1282">
      <c r="A1282" s="3" t="s">
        <v>4581</v>
      </c>
      <c r="B1282" s="4" t="str">
        <f>C1282 &amp; "." &amp; D1282</f>
        <v>MessageDeliveries.IsUnapprovedSend</v>
      </c>
      <c r="C1282" s="3" t="s">
        <v>4444</v>
      </c>
      <c r="D1282" s="3" t="s">
        <v>4582</v>
      </c>
      <c r="E1282" s="3" t="s">
        <v>2420</v>
      </c>
      <c r="F1282" s="3" t="s">
        <v>2432</v>
      </c>
      <c r="G1282" s="3" t="s">
        <v>4583</v>
      </c>
      <c r="H1282" s="3" t="s">
        <v>2083</v>
      </c>
      <c r="I1282" s="4" t="b">
        <f>OR(((E1282 = "calculated")=TRUE), ((E1282 = "lookup")=TRUE), ((E1282 = "aggregation")=TRUE))</f>
        <v>1</v>
      </c>
      <c r="J1282" s="4" t="b">
        <f>H1282 &lt;&gt; ""</f>
        <v>1</v>
      </c>
      <c r="K1282" s="4">
        <f>COUNTIFS(FieldDisagreements!D2:D50, A1282)</f>
        <v>0</v>
      </c>
      <c r="L1282" s="4" t="b">
        <f>K1282 &gt; 0</f>
        <v>0</v>
      </c>
      <c r="M1282" s="3" t="s">
        <v>2418</v>
      </c>
    </row>
    <row r="1283">
      <c r="A1283" s="3" t="s">
        <v>4584</v>
      </c>
      <c r="B1283" s="4" t="str">
        <f>C1283 &amp; "." &amp; D1283</f>
        <v>MessageDeliveries.PolicyRequiredOptOutPhrase</v>
      </c>
      <c r="C1283" s="3" t="s">
        <v>4444</v>
      </c>
      <c r="D1283" s="3" t="s">
        <v>4585</v>
      </c>
      <c r="E1283" s="3" t="s">
        <v>2509</v>
      </c>
      <c r="F1283" s="3" t="s">
        <v>2417</v>
      </c>
      <c r="G1283" s="3" t="s">
        <v>4586</v>
      </c>
      <c r="H1283" s="3" t="s">
        <v>2087</v>
      </c>
      <c r="I1283" s="4" t="b">
        <f>OR(((E1283 = "calculated")=TRUE), ((E1283 = "lookup")=TRUE), ((E1283 = "aggregation")=TRUE))</f>
        <v>1</v>
      </c>
      <c r="J1283" s="4" t="b">
        <f>H1283 &lt;&gt; ""</f>
        <v>1</v>
      </c>
      <c r="K1283" s="4">
        <f>COUNTIFS(FieldDisagreements!D2:D50, A1283)</f>
        <v>0</v>
      </c>
      <c r="L1283" s="4" t="b">
        <f>K1283 &gt; 0</f>
        <v>0</v>
      </c>
      <c r="M1283" s="3" t="s">
        <v>2418</v>
      </c>
    </row>
    <row r="1284">
      <c r="A1284" s="3" t="s">
        <v>4587</v>
      </c>
      <c r="B1284" s="4" t="str">
        <f>C1284 &amp; "." &amp; D1284</f>
        <v>MessageDeliveries.PolicyRequiresOptOut</v>
      </c>
      <c r="C1284" s="3" t="s">
        <v>4444</v>
      </c>
      <c r="D1284" s="3" t="s">
        <v>4588</v>
      </c>
      <c r="E1284" s="3" t="s">
        <v>2420</v>
      </c>
      <c r="F1284" s="3" t="s">
        <v>2432</v>
      </c>
      <c r="G1284" s="3" t="s">
        <v>4589</v>
      </c>
      <c r="H1284" s="3" t="s">
        <v>2087</v>
      </c>
      <c r="I1284" s="4" t="b">
        <f>OR(((E1284 = "calculated")=TRUE), ((E1284 = "lookup")=TRUE), ((E1284 = "aggregation")=TRUE))</f>
        <v>1</v>
      </c>
      <c r="J1284" s="4" t="b">
        <f>H1284 &lt;&gt; ""</f>
        <v>1</v>
      </c>
      <c r="K1284" s="4">
        <f>COUNTIFS(FieldDisagreements!D2:D50, A1284)</f>
        <v>0</v>
      </c>
      <c r="L1284" s="4" t="b">
        <f>K1284 &gt; 0</f>
        <v>0</v>
      </c>
      <c r="M1284" s="3" t="s">
        <v>2418</v>
      </c>
    </row>
    <row r="1285">
      <c r="A1285" s="3" t="s">
        <v>4590</v>
      </c>
      <c r="B1285" s="4" t="str">
        <f>C1285 &amp; "." &amp; D1285</f>
        <v>MessageDeliveries.OptOutPhrasePosition</v>
      </c>
      <c r="C1285" s="3" t="s">
        <v>4444</v>
      </c>
      <c r="D1285" s="3" t="s">
        <v>4591</v>
      </c>
      <c r="E1285" s="3" t="s">
        <v>2420</v>
      </c>
      <c r="F1285" s="3" t="s">
        <v>2470</v>
      </c>
      <c r="G1285" s="3" t="s">
        <v>4592</v>
      </c>
      <c r="H1285" s="3" t="s">
        <v>2087</v>
      </c>
      <c r="I1285" s="4" t="b">
        <f>OR(((E1285 = "calculated")=TRUE), ((E1285 = "lookup")=TRUE), ((E1285 = "aggregation")=TRUE))</f>
        <v>1</v>
      </c>
      <c r="J1285" s="4" t="b">
        <f>H1285 &lt;&gt; ""</f>
        <v>1</v>
      </c>
      <c r="K1285" s="4">
        <f>COUNTIFS(FieldDisagreements!D2:D50, A1285)</f>
        <v>1</v>
      </c>
      <c r="L1285" s="4" t="b">
        <f>K1285 &gt; 0</f>
        <v>1</v>
      </c>
      <c r="M1285" s="3" t="s">
        <v>2418</v>
      </c>
    </row>
    <row r="1286">
      <c r="A1286" s="3" t="s">
        <v>4593</v>
      </c>
      <c r="B1286" s="4" t="str">
        <f>C1286 &amp; "." &amp; D1286</f>
        <v>MessageDeliveries.HasOptOutPhrase</v>
      </c>
      <c r="C1286" s="3" t="s">
        <v>4444</v>
      </c>
      <c r="D1286" s="3" t="s">
        <v>4594</v>
      </c>
      <c r="E1286" s="3" t="s">
        <v>2420</v>
      </c>
      <c r="F1286" s="3" t="s">
        <v>2432</v>
      </c>
      <c r="G1286" s="3" t="s">
        <v>4595</v>
      </c>
      <c r="H1286" s="3" t="s">
        <v>2087</v>
      </c>
      <c r="I1286" s="4" t="b">
        <f>OR(((E1286 = "calculated")=TRUE), ((E1286 = "lookup")=TRUE), ((E1286 = "aggregation")=TRUE))</f>
        <v>1</v>
      </c>
      <c r="J1286" s="4" t="b">
        <f>H1286 &lt;&gt; ""</f>
        <v>1</v>
      </c>
      <c r="K1286" s="4">
        <f>COUNTIFS(FieldDisagreements!D2:D50, A1286)</f>
        <v>1</v>
      </c>
      <c r="L1286" s="4" t="b">
        <f>K1286 &gt; 0</f>
        <v>1</v>
      </c>
      <c r="M1286" s="3" t="s">
        <v>2418</v>
      </c>
    </row>
    <row r="1287">
      <c r="A1287" s="3" t="s">
        <v>4596</v>
      </c>
      <c r="B1287" s="4" t="str">
        <f>C1287 &amp; "." &amp; D1287</f>
        <v>MessageDeliveries.IsOptOutInFirstSegment</v>
      </c>
      <c r="C1287" s="3" t="s">
        <v>4444</v>
      </c>
      <c r="D1287" s="3" t="s">
        <v>4597</v>
      </c>
      <c r="E1287" s="3" t="s">
        <v>2420</v>
      </c>
      <c r="F1287" s="3" t="s">
        <v>2432</v>
      </c>
      <c r="G1287" s="3" t="s">
        <v>4598</v>
      </c>
      <c r="H1287" s="3" t="s">
        <v>2087</v>
      </c>
      <c r="I1287" s="4" t="b">
        <f>OR(((E1287 = "calculated")=TRUE), ((E1287 = "lookup")=TRUE), ((E1287 = "aggregation")=TRUE))</f>
        <v>1</v>
      </c>
      <c r="J1287" s="4" t="b">
        <f>H1287 &lt;&gt; ""</f>
        <v>1</v>
      </c>
      <c r="K1287" s="4">
        <f>COUNTIFS(FieldDisagreements!D2:D50, A1287)</f>
        <v>1</v>
      </c>
      <c r="L1287" s="4" t="b">
        <f>K1287 &gt; 0</f>
        <v>1</v>
      </c>
      <c r="M1287" s="3" t="s">
        <v>2418</v>
      </c>
    </row>
    <row r="1288">
      <c r="A1288" s="3" t="s">
        <v>4599</v>
      </c>
      <c r="B1288" s="4" t="str">
        <f>C1288 &amp; "." &amp; D1288</f>
        <v>MessageDeliveries.IsMissingRequiredOptOut</v>
      </c>
      <c r="C1288" s="3" t="s">
        <v>4444</v>
      </c>
      <c r="D1288" s="3" t="s">
        <v>4600</v>
      </c>
      <c r="E1288" s="3" t="s">
        <v>2420</v>
      </c>
      <c r="F1288" s="3" t="s">
        <v>2432</v>
      </c>
      <c r="G1288" s="3" t="s">
        <v>4601</v>
      </c>
      <c r="H1288" s="3" t="s">
        <v>2087</v>
      </c>
      <c r="I1288" s="4" t="b">
        <f>OR(((E1288 = "calculated")=TRUE), ((E1288 = "lookup")=TRUE), ((E1288 = "aggregation")=TRUE))</f>
        <v>1</v>
      </c>
      <c r="J1288" s="4" t="b">
        <f>H1288 &lt;&gt; ""</f>
        <v>1</v>
      </c>
      <c r="K1288" s="4">
        <f>COUNTIFS(FieldDisagreements!D2:D50, A1288)</f>
        <v>1</v>
      </c>
      <c r="L1288" s="4" t="b">
        <f>K1288 &gt; 0</f>
        <v>1</v>
      </c>
      <c r="M1288" s="3" t="s">
        <v>2418</v>
      </c>
    </row>
    <row r="1289">
      <c r="A1289" s="3" t="s">
        <v>4602</v>
      </c>
      <c r="B1289" s="4" t="str">
        <f>C1289 &amp; "." &amp; D1289</f>
        <v>MessageDeliveries.IsOptOutAtRiskOfTruncation</v>
      </c>
      <c r="C1289" s="3" t="s">
        <v>4444</v>
      </c>
      <c r="D1289" s="3" t="s">
        <v>4603</v>
      </c>
      <c r="E1289" s="3" t="s">
        <v>2420</v>
      </c>
      <c r="F1289" s="3" t="s">
        <v>2432</v>
      </c>
      <c r="G1289" s="3" t="s">
        <v>4604</v>
      </c>
      <c r="H1289" s="3" t="s">
        <v>2087</v>
      </c>
      <c r="I1289" s="4" t="b">
        <f>OR(((E1289 = "calculated")=TRUE), ((E1289 = "lookup")=TRUE), ((E1289 = "aggregation")=TRUE))</f>
        <v>1</v>
      </c>
      <c r="J1289" s="4" t="b">
        <f>H1289 &lt;&gt; ""</f>
        <v>1</v>
      </c>
      <c r="K1289" s="4">
        <f>COUNTIFS(FieldDisagreements!D2:D50, A1289)</f>
        <v>1</v>
      </c>
      <c r="L1289" s="4" t="b">
        <f>K1289 &gt; 0</f>
        <v>1</v>
      </c>
      <c r="M1289" s="3" t="s">
        <v>2418</v>
      </c>
    </row>
    <row r="1290">
      <c r="A1290" s="3" t="s">
        <v>4605</v>
      </c>
      <c r="B1290" s="4" t="str">
        <f>C1290 &amp; "." &amp; D1290</f>
        <v>MessageDeliveries.IsFailedDelivery</v>
      </c>
      <c r="C1290" s="3" t="s">
        <v>4444</v>
      </c>
      <c r="D1290" s="3" t="s">
        <v>4606</v>
      </c>
      <c r="E1290" s="3" t="s">
        <v>2420</v>
      </c>
      <c r="F1290" s="3" t="s">
        <v>2432</v>
      </c>
      <c r="G1290" s="3" t="s">
        <v>4607</v>
      </c>
      <c r="H1290" s="3" t="s">
        <v>2091</v>
      </c>
      <c r="I1290" s="4" t="b">
        <f>OR(((E1290 = "calculated")=TRUE), ((E1290 = "lookup")=TRUE), ((E1290 = "aggregation")=TRUE))</f>
        <v>1</v>
      </c>
      <c r="J1290" s="4" t="b">
        <f>H1290 &lt;&gt; ""</f>
        <v>1</v>
      </c>
      <c r="K1290" s="4">
        <f>COUNTIFS(FieldDisagreements!D2:D50, A1290)</f>
        <v>0</v>
      </c>
      <c r="L1290" s="4" t="b">
        <f>K1290 &gt; 0</f>
        <v>0</v>
      </c>
      <c r="M1290" s="3" t="s">
        <v>2418</v>
      </c>
    </row>
    <row r="1291">
      <c r="A1291" s="3" t="s">
        <v>4608</v>
      </c>
      <c r="B1291" s="4" t="str">
        <f>C1291 &amp; "." &amp; D1291</f>
        <v>MessageDeliveries.IsSuppressed</v>
      </c>
      <c r="C1291" s="3" t="s">
        <v>4444</v>
      </c>
      <c r="D1291" s="3" t="s">
        <v>4609</v>
      </c>
      <c r="E1291" s="3" t="s">
        <v>2420</v>
      </c>
      <c r="F1291" s="3" t="s">
        <v>2432</v>
      </c>
      <c r="G1291" s="3" t="s">
        <v>4610</v>
      </c>
      <c r="H1291" s="3" t="s">
        <v>2091</v>
      </c>
      <c r="I1291" s="4" t="b">
        <f>OR(((E1291 = "calculated")=TRUE), ((E1291 = "lookup")=TRUE), ((E1291 = "aggregation")=TRUE))</f>
        <v>1</v>
      </c>
      <c r="J1291" s="4" t="b">
        <f>H1291 &lt;&gt; ""</f>
        <v>1</v>
      </c>
      <c r="K1291" s="4">
        <f>COUNTIFS(FieldDisagreements!D2:D50, A1291)</f>
        <v>0</v>
      </c>
      <c r="L1291" s="4" t="b">
        <f>K1291 &gt; 0</f>
        <v>0</v>
      </c>
      <c r="M1291" s="3" t="s">
        <v>2418</v>
      </c>
    </row>
    <row r="1292">
      <c r="A1292" s="3" t="s">
        <v>4611</v>
      </c>
      <c r="B1292" s="4" t="str">
        <f>C1292 &amp; "." &amp; D1292</f>
        <v>MessageDeliveries.IsTriaged</v>
      </c>
      <c r="C1292" s="3" t="s">
        <v>4444</v>
      </c>
      <c r="D1292" s="3" t="s">
        <v>4612</v>
      </c>
      <c r="E1292" s="3" t="s">
        <v>2420</v>
      </c>
      <c r="F1292" s="3" t="s">
        <v>2432</v>
      </c>
      <c r="G1292" s="3" t="s">
        <v>4613</v>
      </c>
      <c r="H1292" s="3" t="s">
        <v>2091</v>
      </c>
      <c r="I1292" s="4" t="b">
        <f>OR(((E1292 = "calculated")=TRUE), ((E1292 = "lookup")=TRUE), ((E1292 = "aggregation")=TRUE))</f>
        <v>1</v>
      </c>
      <c r="J1292" s="4" t="b">
        <f>H1292 &lt;&gt; ""</f>
        <v>1</v>
      </c>
      <c r="K1292" s="4">
        <f>COUNTIFS(FieldDisagreements!D2:D50, A1292)</f>
        <v>0</v>
      </c>
      <c r="L1292" s="4" t="b">
        <f>K1292 &gt; 0</f>
        <v>0</v>
      </c>
      <c r="M1292" s="3" t="s">
        <v>2418</v>
      </c>
    </row>
    <row r="1293">
      <c r="A1293" s="3" t="s">
        <v>4614</v>
      </c>
      <c r="B1293" s="4" t="str">
        <f>C1293 &amp; "." &amp; D1293</f>
        <v>MessageDeliveries.IsAbandonedFailure</v>
      </c>
      <c r="C1293" s="3" t="s">
        <v>4444</v>
      </c>
      <c r="D1293" s="3" t="s">
        <v>4615</v>
      </c>
      <c r="E1293" s="3" t="s">
        <v>2420</v>
      </c>
      <c r="F1293" s="3" t="s">
        <v>2432</v>
      </c>
      <c r="G1293" s="3" t="s">
        <v>4616</v>
      </c>
      <c r="H1293" s="3" t="s">
        <v>2091</v>
      </c>
      <c r="I1293" s="4" t="b">
        <f>OR(((E1293 = "calculated")=TRUE), ((E1293 = "lookup")=TRUE), ((E1293 = "aggregation")=TRUE))</f>
        <v>1</v>
      </c>
      <c r="J1293" s="4" t="b">
        <f>H1293 &lt;&gt; ""</f>
        <v>1</v>
      </c>
      <c r="K1293" s="4">
        <f>COUNTIFS(FieldDisagreements!D2:D50, A1293)</f>
        <v>0</v>
      </c>
      <c r="L1293" s="4" t="b">
        <f>K1293 &gt; 0</f>
        <v>0</v>
      </c>
      <c r="M1293" s="3" t="s">
        <v>2418</v>
      </c>
    </row>
    <row r="1294">
      <c r="A1294" s="3" t="s">
        <v>4617</v>
      </c>
      <c r="B1294" s="4" t="str">
        <f>C1294 &amp; "." &amp; D1294</f>
        <v>MessageDeliveries.AbandonedFailureExecutionKey</v>
      </c>
      <c r="C1294" s="3" t="s">
        <v>4444</v>
      </c>
      <c r="D1294" s="3" t="s">
        <v>4618</v>
      </c>
      <c r="E1294" s="3" t="s">
        <v>2420</v>
      </c>
      <c r="F1294" s="3" t="s">
        <v>2417</v>
      </c>
      <c r="G1294" s="3" t="s">
        <v>4619</v>
      </c>
      <c r="H1294" s="3" t="s">
        <v>2091</v>
      </c>
      <c r="I1294" s="4" t="b">
        <f>OR(((E1294 = "calculated")=TRUE), ((E1294 = "lookup")=TRUE), ((E1294 = "aggregation")=TRUE))</f>
        <v>1</v>
      </c>
      <c r="J1294" s="4" t="b">
        <f>H1294 &lt;&gt; ""</f>
        <v>1</v>
      </c>
      <c r="K1294" s="4">
        <f>COUNTIFS(FieldDisagreements!D2:D50, A1294)</f>
        <v>0</v>
      </c>
      <c r="L1294" s="4" t="b">
        <f>K1294 &gt; 0</f>
        <v>0</v>
      </c>
      <c r="M1294" s="3" t="s">
        <v>2418</v>
      </c>
    </row>
    <row r="1295">
      <c r="A1295" s="3" t="s">
        <v>4620</v>
      </c>
      <c r="B1295" s="4" t="str">
        <f>C1295 &amp; "." &amp; D1295</f>
        <v>MessageDeliveries.ReachedExecutionKey</v>
      </c>
      <c r="C1295" s="3" t="s">
        <v>4444</v>
      </c>
      <c r="D1295" s="3" t="s">
        <v>4621</v>
      </c>
      <c r="E1295" s="3" t="s">
        <v>2420</v>
      </c>
      <c r="F1295" s="3" t="s">
        <v>2417</v>
      </c>
      <c r="G1295" s="3" t="s">
        <v>4622</v>
      </c>
      <c r="H1295" s="3" t="s">
        <v>2091</v>
      </c>
      <c r="I1295" s="4" t="b">
        <f>OR(((E1295 = "calculated")=TRUE), ((E1295 = "lookup")=TRUE), ((E1295 = "aggregation")=TRUE))</f>
        <v>1</v>
      </c>
      <c r="J1295" s="4" t="b">
        <f>H1295 &lt;&gt; ""</f>
        <v>1</v>
      </c>
      <c r="K1295" s="4">
        <f>COUNTIFS(FieldDisagreements!D2:D50, A1295)</f>
        <v>0</v>
      </c>
      <c r="L1295" s="4" t="b">
        <f>K1295 &gt; 0</f>
        <v>0</v>
      </c>
      <c r="M1295" s="3" t="s">
        <v>2418</v>
      </c>
    </row>
    <row r="1296">
      <c r="A1296" s="3" t="s">
        <v>4623</v>
      </c>
      <c r="B1296" s="4" t="str">
        <f>C1296 &amp; "." &amp; D1296</f>
        <v>MessageDeliveries.TemplateWasSendable</v>
      </c>
      <c r="C1296" s="3" t="s">
        <v>4444</v>
      </c>
      <c r="D1296" s="3" t="s">
        <v>4624</v>
      </c>
      <c r="E1296" s="3" t="s">
        <v>2509</v>
      </c>
      <c r="F1296" s="3" t="s">
        <v>2432</v>
      </c>
      <c r="G1296" s="3" t="s">
        <v>4625</v>
      </c>
      <c r="H1296" s="3" t="s">
        <v>2095</v>
      </c>
      <c r="I1296" s="4" t="b">
        <f>OR(((E1296 = "calculated")=TRUE), ((E1296 = "lookup")=TRUE), ((E1296 = "aggregation")=TRUE))</f>
        <v>1</v>
      </c>
      <c r="J1296" s="4" t="b">
        <f>H1296 &lt;&gt; ""</f>
        <v>1</v>
      </c>
      <c r="K1296" s="4">
        <f>COUNTIFS(FieldDisagreements!D2:D50, A1296)</f>
        <v>0</v>
      </c>
      <c r="L1296" s="4" t="b">
        <f>K1296 &gt; 0</f>
        <v>0</v>
      </c>
      <c r="M1296" s="3" t="s">
        <v>2418</v>
      </c>
    </row>
    <row r="1297">
      <c r="A1297" s="3" t="s">
        <v>4626</v>
      </c>
      <c r="B1297" s="4" t="str">
        <f>C1297 &amp; "." &amp; D1297</f>
        <v>MessageDeliveries.IsDriftedSend</v>
      </c>
      <c r="C1297" s="3" t="s">
        <v>4444</v>
      </c>
      <c r="D1297" s="3" t="s">
        <v>4627</v>
      </c>
      <c r="E1297" s="3" t="s">
        <v>2420</v>
      </c>
      <c r="F1297" s="3" t="s">
        <v>2432</v>
      </c>
      <c r="G1297" s="3" t="s">
        <v>4628</v>
      </c>
      <c r="H1297" s="3" t="s">
        <v>2095</v>
      </c>
      <c r="I1297" s="4" t="b">
        <f>OR(((E1297 = "calculated")=TRUE), ((E1297 = "lookup")=TRUE), ((E1297 = "aggregation")=TRUE))</f>
        <v>1</v>
      </c>
      <c r="J1297" s="4" t="b">
        <f>H1297 &lt;&gt; ""</f>
        <v>1</v>
      </c>
      <c r="K1297" s="4">
        <f>COUNTIFS(FieldDisagreements!D2:D50, A1297)</f>
        <v>0</v>
      </c>
      <c r="L1297" s="4" t="b">
        <f>K1297 &gt; 0</f>
        <v>0</v>
      </c>
      <c r="M1297" s="3" t="s">
        <v>2418</v>
      </c>
    </row>
    <row r="1298">
      <c r="A1298" s="3" t="s">
        <v>4629</v>
      </c>
      <c r="B1298" s="4" t="str">
        <f>C1298 &amp; "." &amp; D1298</f>
        <v>MessageDeliveries.DriftedSendTemplateKey</v>
      </c>
      <c r="C1298" s="3" t="s">
        <v>4444</v>
      </c>
      <c r="D1298" s="3" t="s">
        <v>4630</v>
      </c>
      <c r="E1298" s="3" t="s">
        <v>2420</v>
      </c>
      <c r="F1298" s="3" t="s">
        <v>2417</v>
      </c>
      <c r="G1298" s="3" t="s">
        <v>4631</v>
      </c>
      <c r="H1298" s="3" t="s">
        <v>2095</v>
      </c>
      <c r="I1298" s="4" t="b">
        <f>OR(((E1298 = "calculated")=TRUE), ((E1298 = "lookup")=TRUE), ((E1298 = "aggregation")=TRUE))</f>
        <v>1</v>
      </c>
      <c r="J1298" s="4" t="b">
        <f>H1298 &lt;&gt; ""</f>
        <v>1</v>
      </c>
      <c r="K1298" s="4">
        <f>COUNTIFS(FieldDisagreements!D2:D50, A1298)</f>
        <v>0</v>
      </c>
      <c r="L1298" s="4" t="b">
        <f>K1298 &gt; 0</f>
        <v>0</v>
      </c>
      <c r="M1298" s="3" t="s">
        <v>2418</v>
      </c>
    </row>
    <row r="1299">
      <c r="A1299" s="3" t="s">
        <v>4632</v>
      </c>
      <c r="B1299" s="4" t="str">
        <f>C1299 &amp; "." &amp; D1299</f>
        <v>MessageDeliveries.WasSentOutsideBusinessHours</v>
      </c>
      <c r="C1299" s="3" t="s">
        <v>4444</v>
      </c>
      <c r="D1299" s="3" t="s">
        <v>4633</v>
      </c>
      <c r="E1299" s="3" t="s">
        <v>2420</v>
      </c>
      <c r="F1299" s="3" t="s">
        <v>2432</v>
      </c>
      <c r="G1299" s="3" t="s">
        <v>4634</v>
      </c>
      <c r="H1299" s="3" t="s">
        <v>2323</v>
      </c>
      <c r="I1299" s="4" t="b">
        <f>OR(((E1299 = "calculated")=TRUE), ((E1299 = "lookup")=TRUE), ((E1299 = "aggregation")=TRUE))</f>
        <v>1</v>
      </c>
      <c r="J1299" s="4" t="b">
        <f>H1299 &lt;&gt; ""</f>
        <v>1</v>
      </c>
      <c r="K1299" s="4">
        <f>COUNTIFS(FieldDisagreements!D2:D50, A1299)</f>
        <v>0</v>
      </c>
      <c r="L1299" s="4" t="b">
        <f>K1299 &gt; 0</f>
        <v>0</v>
      </c>
      <c r="M1299" s="3" t="s">
        <v>2418</v>
      </c>
    </row>
    <row r="1300">
      <c r="A1300" s="3" t="s">
        <v>4635</v>
      </c>
      <c r="B1300" s="4" t="str">
        <f>C1300 &amp; "." &amp; D1300</f>
        <v>MessageDeliveries.WasDeliveredAndUnanswered</v>
      </c>
      <c r="C1300" s="3" t="s">
        <v>4444</v>
      </c>
      <c r="D1300" s="3" t="s">
        <v>4636</v>
      </c>
      <c r="E1300" s="3" t="s">
        <v>2420</v>
      </c>
      <c r="F1300" s="3" t="s">
        <v>2432</v>
      </c>
      <c r="G1300" s="3" t="s">
        <v>4637</v>
      </c>
      <c r="H1300" s="3" t="s">
        <v>2323</v>
      </c>
      <c r="I1300" s="4" t="b">
        <f>OR(((E1300 = "calculated")=TRUE), ((E1300 = "lookup")=TRUE), ((E1300 = "aggregation")=TRUE))</f>
        <v>1</v>
      </c>
      <c r="J1300" s="4" t="b">
        <f>H1300 &lt;&gt; ""</f>
        <v>1</v>
      </c>
      <c r="K1300" s="4">
        <f>COUNTIFS(FieldDisagreements!D2:D50, A1300)</f>
        <v>0</v>
      </c>
      <c r="L1300" s="4" t="b">
        <f>K1300 &gt; 0</f>
        <v>0</v>
      </c>
      <c r="M1300" s="3" t="s">
        <v>2418</v>
      </c>
    </row>
    <row r="1301">
      <c r="A1301" s="3" t="s">
        <v>4638</v>
      </c>
      <c r="B1301" s="4" t="str">
        <f>C1301 &amp; "." &amp; D1301</f>
        <v>MessageDeliveries.IsPoorlyTimedUnanswered</v>
      </c>
      <c r="C1301" s="3" t="s">
        <v>4444</v>
      </c>
      <c r="D1301" s="3" t="s">
        <v>4639</v>
      </c>
      <c r="E1301" s="3" t="s">
        <v>2420</v>
      </c>
      <c r="F1301" s="3" t="s">
        <v>2432</v>
      </c>
      <c r="G1301" s="3" t="s">
        <v>4640</v>
      </c>
      <c r="H1301" s="3" t="s">
        <v>2323</v>
      </c>
      <c r="I1301" s="4" t="b">
        <f>OR(((E1301 = "calculated")=TRUE), ((E1301 = "lookup")=TRUE), ((E1301 = "aggregation")=TRUE))</f>
        <v>1</v>
      </c>
      <c r="J1301" s="4" t="b">
        <f>H1301 &lt;&gt; ""</f>
        <v>1</v>
      </c>
      <c r="K1301" s="4">
        <f>COUNTIFS(FieldDisagreements!D2:D50, A1301)</f>
        <v>0</v>
      </c>
      <c r="L1301" s="4" t="b">
        <f>K1301 &gt; 0</f>
        <v>0</v>
      </c>
      <c r="M1301" s="3" t="s">
        <v>2418</v>
      </c>
    </row>
    <row r="1302">
      <c r="A1302" s="3" t="s">
        <v>4641</v>
      </c>
      <c r="B1302" s="4" t="str">
        <f>C1302 &amp; "." &amp; D1302</f>
        <v>MessageDeliveries.IsWellTimedUnanswered</v>
      </c>
      <c r="C1302" s="3" t="s">
        <v>4444</v>
      </c>
      <c r="D1302" s="3" t="s">
        <v>4642</v>
      </c>
      <c r="E1302" s="3" t="s">
        <v>2420</v>
      </c>
      <c r="F1302" s="3" t="s">
        <v>2432</v>
      </c>
      <c r="G1302" s="3" t="s">
        <v>4643</v>
      </c>
      <c r="H1302" s="3" t="s">
        <v>2323</v>
      </c>
      <c r="I1302" s="4" t="b">
        <f>OR(((E1302 = "calculated")=TRUE), ((E1302 = "lookup")=TRUE), ((E1302 = "aggregation")=TRUE))</f>
        <v>1</v>
      </c>
      <c r="J1302" s="4" t="b">
        <f>H1302 &lt;&gt; ""</f>
        <v>1</v>
      </c>
      <c r="K1302" s="4">
        <f>COUNTIFS(FieldDisagreements!D2:D50, A1302)</f>
        <v>0</v>
      </c>
      <c r="L1302" s="4" t="b">
        <f>K1302 &gt; 0</f>
        <v>0</v>
      </c>
      <c r="M1302" s="3" t="s">
        <v>2418</v>
      </c>
    </row>
    <row r="1303">
      <c r="A1303" s="3" t="s">
        <v>4644</v>
      </c>
      <c r="B1303" s="4" t="str">
        <f>C1303 &amp; "." &amp; D1303</f>
        <v>MessageDeliveries.UnansweredTemplateKey</v>
      </c>
      <c r="C1303" s="3" t="s">
        <v>4444</v>
      </c>
      <c r="D1303" s="3" t="s">
        <v>4645</v>
      </c>
      <c r="E1303" s="3" t="s">
        <v>2420</v>
      </c>
      <c r="F1303" s="3" t="s">
        <v>2417</v>
      </c>
      <c r="G1303" s="3" t="s">
        <v>4646</v>
      </c>
      <c r="H1303" s="3" t="s">
        <v>2323</v>
      </c>
      <c r="I1303" s="4" t="b">
        <f>OR(((E1303 = "calculated")=TRUE), ((E1303 = "lookup")=TRUE), ((E1303 = "aggregation")=TRUE))</f>
        <v>1</v>
      </c>
      <c r="J1303" s="4" t="b">
        <f>H1303 &lt;&gt; ""</f>
        <v>1</v>
      </c>
      <c r="K1303" s="4">
        <f>COUNTIFS(FieldDisagreements!D2:D50, A1303)</f>
        <v>0</v>
      </c>
      <c r="L1303" s="4" t="b">
        <f>K1303 &gt; 0</f>
        <v>0</v>
      </c>
      <c r="M1303" s="3" t="s">
        <v>2418</v>
      </c>
    </row>
    <row r="1304">
      <c r="A1304" s="3" t="s">
        <v>4647</v>
      </c>
      <c r="B1304" s="4" t="str">
        <f>C1304 &amp; "." &amp; D1304</f>
        <v>MessageDeliveries.TransmittedTemplateKey</v>
      </c>
      <c r="C1304" s="3" t="s">
        <v>4444</v>
      </c>
      <c r="D1304" s="3" t="s">
        <v>4648</v>
      </c>
      <c r="E1304" s="3" t="s">
        <v>2420</v>
      </c>
      <c r="F1304" s="3" t="s">
        <v>2417</v>
      </c>
      <c r="G1304" s="3" t="s">
        <v>4649</v>
      </c>
      <c r="H1304" s="3" t="s">
        <v>2323</v>
      </c>
      <c r="I1304" s="4" t="b">
        <f>OR(((E1304 = "calculated")=TRUE), ((E1304 = "lookup")=TRUE), ((E1304 = "aggregation")=TRUE))</f>
        <v>1</v>
      </c>
      <c r="J1304" s="4" t="b">
        <f>H1304 &lt;&gt; ""</f>
        <v>1</v>
      </c>
      <c r="K1304" s="4">
        <f>COUNTIFS(FieldDisagreements!D2:D50, A1304)</f>
        <v>0</v>
      </c>
      <c r="L1304" s="4" t="b">
        <f>K1304 &gt; 0</f>
        <v>0</v>
      </c>
      <c r="M1304" s="3" t="s">
        <v>2418</v>
      </c>
    </row>
    <row r="1305">
      <c r="A1305" s="3" t="s">
        <v>4650</v>
      </c>
      <c r="B1305" s="4" t="str">
        <f>C1305 &amp; "." &amp; D1305</f>
        <v>MessageDeliveries.ApprovingAgentAtSend</v>
      </c>
      <c r="C1305" s="3" t="s">
        <v>4444</v>
      </c>
      <c r="D1305" s="3" t="s">
        <v>4651</v>
      </c>
      <c r="E1305" s="3" t="s">
        <v>2416</v>
      </c>
      <c r="F1305" s="3" t="s">
        <v>2417</v>
      </c>
      <c r="G1305" s="3"/>
      <c r="H1305" s="3" t="s">
        <v>2331</v>
      </c>
      <c r="I1305" s="4" t="b">
        <f>OR(((E1305 = "calculated")=TRUE), ((E1305 = "lookup")=TRUE), ((E1305 = "aggregation")=TRUE))</f>
        <v>0</v>
      </c>
      <c r="J1305" s="4" t="b">
        <f>H1305 &lt;&gt; ""</f>
        <v>1</v>
      </c>
      <c r="K1305" s="4">
        <f>COUNTIFS(FieldDisagreements!D2:D50, A1305)</f>
        <v>0</v>
      </c>
      <c r="L1305" s="4" t="b">
        <f>K1305 &gt; 0</f>
        <v>0</v>
      </c>
      <c r="M1305" s="3" t="s">
        <v>2418</v>
      </c>
    </row>
    <row r="1306">
      <c r="A1306" s="3" t="s">
        <v>4652</v>
      </c>
      <c r="B1306" s="4" t="str">
        <f>C1306 &amp; "." &amp; D1306</f>
        <v>MessageDeliveries.ApprovingRoleAtSend</v>
      </c>
      <c r="C1306" s="3" t="s">
        <v>4444</v>
      </c>
      <c r="D1306" s="3" t="s">
        <v>4653</v>
      </c>
      <c r="E1306" s="3" t="s">
        <v>2416</v>
      </c>
      <c r="F1306" s="3" t="s">
        <v>2417</v>
      </c>
      <c r="G1306" s="3"/>
      <c r="H1306" s="3" t="s">
        <v>2331</v>
      </c>
      <c r="I1306" s="4" t="b">
        <f>OR(((E1306 = "calculated")=TRUE), ((E1306 = "lookup")=TRUE), ((E1306 = "aggregation")=TRUE))</f>
        <v>0</v>
      </c>
      <c r="J1306" s="4" t="b">
        <f>H1306 &lt;&gt; ""</f>
        <v>1</v>
      </c>
      <c r="K1306" s="4">
        <f>COUNTIFS(FieldDisagreements!D2:D50, A1306)</f>
        <v>0</v>
      </c>
      <c r="L1306" s="4" t="b">
        <f>K1306 &gt; 0</f>
        <v>0</v>
      </c>
      <c r="M1306" s="3" t="s">
        <v>2418</v>
      </c>
    </row>
    <row r="1307">
      <c r="A1307" s="3" t="s">
        <v>4654</v>
      </c>
      <c r="B1307" s="4" t="str">
        <f>C1307 &amp; "." &amp; D1307</f>
        <v>MessageDeliveries.ApprovalDecidedAtSend</v>
      </c>
      <c r="C1307" s="3" t="s">
        <v>4444</v>
      </c>
      <c r="D1307" s="3" t="s">
        <v>4655</v>
      </c>
      <c r="E1307" s="3" t="s">
        <v>2416</v>
      </c>
      <c r="F1307" s="3" t="s">
        <v>2428</v>
      </c>
      <c r="G1307" s="3"/>
      <c r="H1307" s="3" t="s">
        <v>2331</v>
      </c>
      <c r="I1307" s="4" t="b">
        <f>OR(((E1307 = "calculated")=TRUE), ((E1307 = "lookup")=TRUE), ((E1307 = "aggregation")=TRUE))</f>
        <v>0</v>
      </c>
      <c r="J1307" s="4" t="b">
        <f>H1307 &lt;&gt; ""</f>
        <v>1</v>
      </c>
      <c r="K1307" s="4">
        <f>COUNTIFS(FieldDisagreements!D2:D50, A1307)</f>
        <v>0</v>
      </c>
      <c r="L1307" s="4" t="b">
        <f>K1307 &gt; 0</f>
        <v>0</v>
      </c>
      <c r="M1307" s="3" t="s">
        <v>2418</v>
      </c>
    </row>
    <row r="1308">
      <c r="A1308" s="3" t="s">
        <v>4656</v>
      </c>
      <c r="B1308" s="4" t="str">
        <f>C1308 &amp; "." &amp; D1308</f>
        <v>MessageDeliveries.ApprovalPrecededSend</v>
      </c>
      <c r="C1308" s="3" t="s">
        <v>4444</v>
      </c>
      <c r="D1308" s="3" t="s">
        <v>4657</v>
      </c>
      <c r="E1308" s="3" t="s">
        <v>2420</v>
      </c>
      <c r="F1308" s="3" t="s">
        <v>2432</v>
      </c>
      <c r="G1308" s="3" t="s">
        <v>4658</v>
      </c>
      <c r="H1308" s="3" t="s">
        <v>2331</v>
      </c>
      <c r="I1308" s="4" t="b">
        <f>OR(((E1308 = "calculated")=TRUE), ((E1308 = "lookup")=TRUE), ((E1308 = "aggregation")=TRUE))</f>
        <v>1</v>
      </c>
      <c r="J1308" s="4" t="b">
        <f>H1308 &lt;&gt; ""</f>
        <v>1</v>
      </c>
      <c r="K1308" s="4">
        <f>COUNTIFS(FieldDisagreements!D2:D50, A1308)</f>
        <v>0</v>
      </c>
      <c r="L1308" s="4" t="b">
        <f>K1308 &gt; 0</f>
        <v>0</v>
      </c>
      <c r="M1308" s="3" t="s">
        <v>2418</v>
      </c>
    </row>
    <row r="1309">
      <c r="A1309" s="3" t="s">
        <v>4659</v>
      </c>
      <c r="B1309" s="4" t="str">
        <f>C1309 &amp; "." &amp; D1309</f>
        <v>MessageDeliveries.HasFrozenApprovalEvidence</v>
      </c>
      <c r="C1309" s="3" t="s">
        <v>4444</v>
      </c>
      <c r="D1309" s="3" t="s">
        <v>4660</v>
      </c>
      <c r="E1309" s="3" t="s">
        <v>2420</v>
      </c>
      <c r="F1309" s="3" t="s">
        <v>2432</v>
      </c>
      <c r="G1309" s="3" t="s">
        <v>4661</v>
      </c>
      <c r="H1309" s="3" t="s">
        <v>2331</v>
      </c>
      <c r="I1309" s="4" t="b">
        <f>OR(((E1309 = "calculated")=TRUE), ((E1309 = "lookup")=TRUE), ((E1309 = "aggregation")=TRUE))</f>
        <v>1</v>
      </c>
      <c r="J1309" s="4" t="b">
        <f>H1309 &lt;&gt; ""</f>
        <v>1</v>
      </c>
      <c r="K1309" s="4">
        <f>COUNTIFS(FieldDisagreements!D2:D50, A1309)</f>
        <v>0</v>
      </c>
      <c r="L1309" s="4" t="b">
        <f>K1309 &gt; 0</f>
        <v>0</v>
      </c>
      <c r="M1309" s="3" t="s">
        <v>2418</v>
      </c>
    </row>
    <row r="1310">
      <c r="A1310" s="3" t="s">
        <v>4662</v>
      </c>
      <c r="B1310" s="4" t="str">
        <f>C1310 &amp; "." &amp; D1310</f>
        <v>MessageDeliveries.ProvenanceIsLiveDerived</v>
      </c>
      <c r="C1310" s="3" t="s">
        <v>4444</v>
      </c>
      <c r="D1310" s="3" t="s">
        <v>4663</v>
      </c>
      <c r="E1310" s="3" t="s">
        <v>2420</v>
      </c>
      <c r="F1310" s="3" t="s">
        <v>2432</v>
      </c>
      <c r="G1310" s="3" t="s">
        <v>4664</v>
      </c>
      <c r="H1310" s="3" t="s">
        <v>2331</v>
      </c>
      <c r="I1310" s="4" t="b">
        <f>OR(((E1310 = "calculated")=TRUE), ((E1310 = "lookup")=TRUE), ((E1310 = "aggregation")=TRUE))</f>
        <v>1</v>
      </c>
      <c r="J1310" s="4" t="b">
        <f>H1310 &lt;&gt; ""</f>
        <v>1</v>
      </c>
      <c r="K1310" s="4">
        <f>COUNTIFS(FieldDisagreements!D2:D50, A1310)</f>
        <v>0</v>
      </c>
      <c r="L1310" s="4" t="b">
        <f>K1310 &gt; 0</f>
        <v>0</v>
      </c>
      <c r="M1310" s="3" t="s">
        <v>2418</v>
      </c>
    </row>
    <row r="1311">
      <c r="A1311" s="3" t="s">
        <v>4665</v>
      </c>
      <c r="B1311" s="4" t="str">
        <f>C1311 &amp; "." &amp; D1311</f>
        <v>MessageDeliveries.CurrentLastApprovalAt</v>
      </c>
      <c r="C1311" s="3" t="s">
        <v>4444</v>
      </c>
      <c r="D1311" s="3" t="s">
        <v>4666</v>
      </c>
      <c r="E1311" s="3" t="s">
        <v>2509</v>
      </c>
      <c r="F1311" s="3" t="s">
        <v>2428</v>
      </c>
      <c r="G1311" s="3" t="s">
        <v>4667</v>
      </c>
      <c r="H1311" s="3" t="s">
        <v>2331</v>
      </c>
      <c r="I1311" s="4" t="b">
        <f>OR(((E1311 = "calculated")=TRUE), ((E1311 = "lookup")=TRUE), ((E1311 = "aggregation")=TRUE))</f>
        <v>1</v>
      </c>
      <c r="J1311" s="4" t="b">
        <f>H1311 &lt;&gt; ""</f>
        <v>1</v>
      </c>
      <c r="K1311" s="4">
        <f>COUNTIFS(FieldDisagreements!D2:D50, A1311)</f>
        <v>0</v>
      </c>
      <c r="L1311" s="4" t="b">
        <f>K1311 &gt; 0</f>
        <v>0</v>
      </c>
      <c r="M1311" s="3" t="s">
        <v>2418</v>
      </c>
    </row>
    <row r="1312">
      <c r="A1312" s="3" t="s">
        <v>4668</v>
      </c>
      <c r="B1312" s="4" t="str">
        <f>C1312 &amp; "." &amp; D1312</f>
        <v>MessageDeliveries.TemplateReapprovedSinceSend</v>
      </c>
      <c r="C1312" s="3" t="s">
        <v>4444</v>
      </c>
      <c r="D1312" s="3" t="s">
        <v>4669</v>
      </c>
      <c r="E1312" s="3" t="s">
        <v>2420</v>
      </c>
      <c r="F1312" s="3" t="s">
        <v>2432</v>
      </c>
      <c r="G1312" s="3" t="s">
        <v>4670</v>
      </c>
      <c r="H1312" s="3" t="s">
        <v>2331</v>
      </c>
      <c r="I1312" s="4" t="b">
        <f>OR(((E1312 = "calculated")=TRUE), ((E1312 = "lookup")=TRUE), ((E1312 = "aggregation")=TRUE))</f>
        <v>1</v>
      </c>
      <c r="J1312" s="4" t="b">
        <f>H1312 &lt;&gt; ""</f>
        <v>1</v>
      </c>
      <c r="K1312" s="4">
        <f>COUNTIFS(FieldDisagreements!D2:D50, A1312)</f>
        <v>0</v>
      </c>
      <c r="L1312" s="4" t="b">
        <f>K1312 &gt; 0</f>
        <v>0</v>
      </c>
      <c r="M1312" s="3" t="s">
        <v>2418</v>
      </c>
    </row>
    <row r="1313">
      <c r="A1313" s="3" t="s">
        <v>4671</v>
      </c>
      <c r="B1313" s="4" t="str">
        <f>C1313 &amp; "." &amp; D1313</f>
        <v>MessageDeliveries.IsUnprovableApprovalClaim</v>
      </c>
      <c r="C1313" s="3" t="s">
        <v>4444</v>
      </c>
      <c r="D1313" s="3" t="s">
        <v>4672</v>
      </c>
      <c r="E1313" s="3" t="s">
        <v>2420</v>
      </c>
      <c r="F1313" s="3" t="s">
        <v>2432</v>
      </c>
      <c r="G1313" s="3" t="s">
        <v>4673</v>
      </c>
      <c r="H1313" s="3" t="s">
        <v>2331</v>
      </c>
      <c r="I1313" s="4" t="b">
        <f>OR(((E1313 = "calculated")=TRUE), ((E1313 = "lookup")=TRUE), ((E1313 = "aggregation")=TRUE))</f>
        <v>1</v>
      </c>
      <c r="J1313" s="4" t="b">
        <f>H1313 &lt;&gt; ""</f>
        <v>1</v>
      </c>
      <c r="K1313" s="4">
        <f>COUNTIFS(FieldDisagreements!D2:D50, A1313)</f>
        <v>0</v>
      </c>
      <c r="L1313" s="4" t="b">
        <f>K1313 &gt; 0</f>
        <v>0</v>
      </c>
      <c r="M1313" s="3" t="s">
        <v>2418</v>
      </c>
    </row>
    <row r="1314">
      <c r="A1314" s="3" t="s">
        <v>4674</v>
      </c>
      <c r="B1314" s="4" t="str">
        <f>C1314 &amp; "." &amp; D1314</f>
        <v>MessageDeliveries.ReminderSentAt</v>
      </c>
      <c r="C1314" s="3" t="s">
        <v>4444</v>
      </c>
      <c r="D1314" s="3" t="s">
        <v>4675</v>
      </c>
      <c r="E1314" s="3" t="s">
        <v>2416</v>
      </c>
      <c r="F1314" s="3" t="s">
        <v>2428</v>
      </c>
      <c r="G1314" s="3"/>
      <c r="H1314" s="3" t="s">
        <v>2375</v>
      </c>
      <c r="I1314" s="4" t="b">
        <f>OR(((E1314 = "calculated")=TRUE), ((E1314 = "lookup")=TRUE), ((E1314 = "aggregation")=TRUE))</f>
        <v>0</v>
      </c>
      <c r="J1314" s="4" t="b">
        <f>H1314 &lt;&gt; ""</f>
        <v>1</v>
      </c>
      <c r="K1314" s="4">
        <f>COUNTIFS(FieldDisagreements!D2:D50, A1314)</f>
        <v>0</v>
      </c>
      <c r="L1314" s="4" t="b">
        <f>K1314 &gt; 0</f>
        <v>0</v>
      </c>
      <c r="M1314" s="3" t="s">
        <v>2418</v>
      </c>
    </row>
    <row r="1315">
      <c r="A1315" s="3" t="s">
        <v>4676</v>
      </c>
      <c r="B1315" s="4" t="str">
        <f>C1315 &amp; "." &amp; D1315</f>
        <v>MessageDeliveries.ReminderCount</v>
      </c>
      <c r="C1315" s="3" t="s">
        <v>4444</v>
      </c>
      <c r="D1315" s="3" t="s">
        <v>4677</v>
      </c>
      <c r="E1315" s="3" t="s">
        <v>2416</v>
      </c>
      <c r="F1315" s="3" t="s">
        <v>2470</v>
      </c>
      <c r="G1315" s="3"/>
      <c r="H1315" s="3" t="s">
        <v>2375</v>
      </c>
      <c r="I1315" s="4" t="b">
        <f>OR(((E1315 = "calculated")=TRUE), ((E1315 = "lookup")=TRUE), ((E1315 = "aggregation")=TRUE))</f>
        <v>0</v>
      </c>
      <c r="J1315" s="4" t="b">
        <f>H1315 &lt;&gt; ""</f>
        <v>1</v>
      </c>
      <c r="K1315" s="4">
        <f>COUNTIFS(FieldDisagreements!D2:D50, A1315)</f>
        <v>0</v>
      </c>
      <c r="L1315" s="4" t="b">
        <f>K1315 &gt; 0</f>
        <v>0</v>
      </c>
      <c r="M1315" s="3" t="s">
        <v>2418</v>
      </c>
    </row>
    <row r="1316">
      <c r="A1316" s="3" t="s">
        <v>4678</v>
      </c>
      <c r="B1316" s="4" t="str">
        <f>C1316 &amp; "." &amp; D1316</f>
        <v>MessageDeliveries.HasSentReminder</v>
      </c>
      <c r="C1316" s="3" t="s">
        <v>4444</v>
      </c>
      <c r="D1316" s="3" t="s">
        <v>4679</v>
      </c>
      <c r="E1316" s="3" t="s">
        <v>2420</v>
      </c>
      <c r="F1316" s="3" t="s">
        <v>2432</v>
      </c>
      <c r="G1316" s="3" t="s">
        <v>4680</v>
      </c>
      <c r="H1316" s="3" t="s">
        <v>2375</v>
      </c>
      <c r="I1316" s="4" t="b">
        <f>OR(((E1316 = "calculated")=TRUE), ((E1316 = "lookup")=TRUE), ((E1316 = "aggregation")=TRUE))</f>
        <v>1</v>
      </c>
      <c r="J1316" s="4" t="b">
        <f>H1316 &lt;&gt; ""</f>
        <v>1</v>
      </c>
      <c r="K1316" s="4">
        <f>COUNTIFS(FieldDisagreements!D2:D50, A1316)</f>
        <v>0</v>
      </c>
      <c r="L1316" s="4" t="b">
        <f>K1316 &gt; 0</f>
        <v>0</v>
      </c>
      <c r="M1316" s="3" t="s">
        <v>2418</v>
      </c>
    </row>
    <row r="1317">
      <c r="A1317" s="3" t="s">
        <v>4681</v>
      </c>
      <c r="B1317" s="4" t="str">
        <f>C1317 &amp; "." &amp; D1317</f>
        <v>MessageDeliveries.AcknowledgementIsOutstanding</v>
      </c>
      <c r="C1317" s="3" t="s">
        <v>4444</v>
      </c>
      <c r="D1317" s="3" t="s">
        <v>4682</v>
      </c>
      <c r="E1317" s="3" t="s">
        <v>2420</v>
      </c>
      <c r="F1317" s="3" t="s">
        <v>2432</v>
      </c>
      <c r="G1317" s="3" t="s">
        <v>4683</v>
      </c>
      <c r="H1317" s="3" t="s">
        <v>2375</v>
      </c>
      <c r="I1317" s="4" t="b">
        <f>OR(((E1317 = "calculated")=TRUE), ((E1317 = "lookup")=TRUE), ((E1317 = "aggregation")=TRUE))</f>
        <v>1</v>
      </c>
      <c r="J1317" s="4" t="b">
        <f>H1317 &lt;&gt; ""</f>
        <v>1</v>
      </c>
      <c r="K1317" s="4">
        <f>COUNTIFS(FieldDisagreements!D2:D50, A1317)</f>
        <v>0</v>
      </c>
      <c r="L1317" s="4" t="b">
        <f>K1317 &gt; 0</f>
        <v>0</v>
      </c>
      <c r="M1317" s="3" t="s">
        <v>2418</v>
      </c>
    </row>
    <row r="1318">
      <c r="A1318" s="3" t="s">
        <v>4684</v>
      </c>
      <c r="B1318" s="4" t="str">
        <f>C1318 &amp; "." &amp; D1318</f>
        <v>MessageDeliveries.OutstandingAgeDays</v>
      </c>
      <c r="C1318" s="3" t="s">
        <v>4444</v>
      </c>
      <c r="D1318" s="3" t="s">
        <v>4685</v>
      </c>
      <c r="E1318" s="3" t="s">
        <v>2420</v>
      </c>
      <c r="F1318" s="3" t="s">
        <v>2470</v>
      </c>
      <c r="G1318" s="3" t="s">
        <v>4686</v>
      </c>
      <c r="H1318" s="3" t="s">
        <v>2375</v>
      </c>
      <c r="I1318" s="4" t="b">
        <f>OR(((E1318 = "calculated")=TRUE), ((E1318 = "lookup")=TRUE), ((E1318 = "aggregation")=TRUE))</f>
        <v>1</v>
      </c>
      <c r="J1318" s="4" t="b">
        <f>H1318 &lt;&gt; ""</f>
        <v>1</v>
      </c>
      <c r="K1318" s="4">
        <f>COUNTIFS(FieldDisagreements!D2:D50, A1318)</f>
        <v>0</v>
      </c>
      <c r="L1318" s="4" t="b">
        <f>K1318 &gt; 0</f>
        <v>0</v>
      </c>
      <c r="M1318" s="3" t="s">
        <v>2418</v>
      </c>
    </row>
    <row r="1319">
      <c r="A1319" s="3" t="s">
        <v>4687</v>
      </c>
      <c r="B1319" s="4" t="str">
        <f>C1319 &amp; "." &amp; D1319</f>
        <v>MessageDeliveries.IsUnchasedAcknowledgement</v>
      </c>
      <c r="C1319" s="3" t="s">
        <v>4444</v>
      </c>
      <c r="D1319" s="3" t="s">
        <v>4688</v>
      </c>
      <c r="E1319" s="3" t="s">
        <v>2420</v>
      </c>
      <c r="F1319" s="3" t="s">
        <v>2432</v>
      </c>
      <c r="G1319" s="3" t="s">
        <v>4689</v>
      </c>
      <c r="H1319" s="3" t="s">
        <v>2375</v>
      </c>
      <c r="I1319" s="4" t="b">
        <f>OR(((E1319 = "calculated")=TRUE), ((E1319 = "lookup")=TRUE), ((E1319 = "aggregation")=TRUE))</f>
        <v>1</v>
      </c>
      <c r="J1319" s="4" t="b">
        <f>H1319 &lt;&gt; ""</f>
        <v>1</v>
      </c>
      <c r="K1319" s="4">
        <f>COUNTIFS(FieldDisagreements!D2:D50, A1319)</f>
        <v>0</v>
      </c>
      <c r="L1319" s="4" t="b">
        <f>K1319 &gt; 0</f>
        <v>0</v>
      </c>
      <c r="M1319" s="3" t="s">
        <v>2418</v>
      </c>
    </row>
    <row r="1320">
      <c r="A1320" s="3" t="s">
        <v>4690</v>
      </c>
      <c r="B1320" s="4" t="str">
        <f>C1320 &amp; "." &amp; D1320</f>
        <v>MessageDeliveries.IsExhaustedFollowUp</v>
      </c>
      <c r="C1320" s="3" t="s">
        <v>4444</v>
      </c>
      <c r="D1320" s="3" t="s">
        <v>4691</v>
      </c>
      <c r="E1320" s="3" t="s">
        <v>2420</v>
      </c>
      <c r="F1320" s="3" t="s">
        <v>2432</v>
      </c>
      <c r="G1320" s="3" t="s">
        <v>4692</v>
      </c>
      <c r="H1320" s="3" t="s">
        <v>2375</v>
      </c>
      <c r="I1320" s="4" t="b">
        <f>OR(((E1320 = "calculated")=TRUE), ((E1320 = "lookup")=TRUE), ((E1320 = "aggregation")=TRUE))</f>
        <v>1</v>
      </c>
      <c r="J1320" s="4" t="b">
        <f>H1320 &lt;&gt; ""</f>
        <v>1</v>
      </c>
      <c r="K1320" s="4">
        <f>COUNTIFS(FieldDisagreements!D2:D50, A1320)</f>
        <v>0</v>
      </c>
      <c r="L1320" s="4" t="b">
        <f>K1320 &gt; 0</f>
        <v>0</v>
      </c>
      <c r="M1320" s="3" t="s">
        <v>2418</v>
      </c>
    </row>
    <row r="1321">
      <c r="A1321" s="3" t="s">
        <v>4693</v>
      </c>
      <c r="B1321" s="4" t="str">
        <f>C1321 &amp; "." &amp; D1321</f>
        <v>MessageDeliveries.NeedsHumanEscalation</v>
      </c>
      <c r="C1321" s="3" t="s">
        <v>4444</v>
      </c>
      <c r="D1321" s="3" t="s">
        <v>4694</v>
      </c>
      <c r="E1321" s="3" t="s">
        <v>2420</v>
      </c>
      <c r="F1321" s="3" t="s">
        <v>2432</v>
      </c>
      <c r="G1321" s="3" t="s">
        <v>4695</v>
      </c>
      <c r="H1321" s="3" t="s">
        <v>2375</v>
      </c>
      <c r="I1321" s="4" t="b">
        <f>OR(((E1321 = "calculated")=TRUE), ((E1321 = "lookup")=TRUE), ((E1321 = "aggregation")=TRUE))</f>
        <v>1</v>
      </c>
      <c r="J1321" s="4" t="b">
        <f>H1321 &lt;&gt; ""</f>
        <v>1</v>
      </c>
      <c r="K1321" s="4">
        <f>COUNTIFS(FieldDisagreements!D2:D50, A1321)</f>
        <v>0</v>
      </c>
      <c r="L1321" s="4" t="b">
        <f>K1321 &gt; 0</f>
        <v>0</v>
      </c>
      <c r="M1321" s="3" t="s">
        <v>2418</v>
      </c>
    </row>
    <row r="1322">
      <c r="A1322" s="3" t="s">
        <v>4696</v>
      </c>
      <c r="B1322" s="4" t="str">
        <f>C1322 &amp; "." &amp; D1322</f>
        <v>MessageDeliveries.SemanticTypeIri</v>
      </c>
      <c r="C1322" s="3" t="s">
        <v>4444</v>
      </c>
      <c r="D1322" s="3" t="s">
        <v>94</v>
      </c>
      <c r="E1322" s="3" t="s">
        <v>2416</v>
      </c>
      <c r="F1322" s="3" t="s">
        <v>2417</v>
      </c>
      <c r="G1322" s="3"/>
      <c r="H1322" s="3"/>
      <c r="I1322" s="4" t="b">
        <f>OR(((E1322 = "calculated")=TRUE), ((E1322 = "lookup")=TRUE), ((E1322 = "aggregation")=TRUE))</f>
        <v>0</v>
      </c>
      <c r="J1322" s="4" t="b">
        <f>H1322 &lt;&gt; ""</f>
        <v>0</v>
      </c>
      <c r="K1322" s="4">
        <f>COUNTIFS(FieldDisagreements!D2:D50, A1322)</f>
        <v>0</v>
      </c>
      <c r="L1322" s="4" t="b">
        <f>K1322 &gt; 0</f>
        <v>0</v>
      </c>
      <c r="M1322" s="3" t="s">
        <v>2418</v>
      </c>
    </row>
    <row r="1323">
      <c r="A1323" s="3" t="s">
        <v>4697</v>
      </c>
      <c r="B1323" s="4" t="str">
        <f>C1323 &amp; "." &amp; D1323</f>
        <v>TemplateApprovals.TemplateApprovalId</v>
      </c>
      <c r="C1323" s="3" t="s">
        <v>4698</v>
      </c>
      <c r="D1323" s="3" t="s">
        <v>4699</v>
      </c>
      <c r="E1323" s="3" t="s">
        <v>2416</v>
      </c>
      <c r="F1323" s="3" t="s">
        <v>2417</v>
      </c>
      <c r="G1323" s="3"/>
      <c r="H1323" s="3"/>
      <c r="I1323" s="4" t="b">
        <f>OR(((E1323 = "calculated")=TRUE), ((E1323 = "lookup")=TRUE), ((E1323 = "aggregation")=TRUE))</f>
        <v>0</v>
      </c>
      <c r="J1323" s="4" t="b">
        <f>H1323 &lt;&gt; ""</f>
        <v>0</v>
      </c>
      <c r="K1323" s="4">
        <f>COUNTIFS(FieldDisagreements!D2:D50, A1323)</f>
        <v>0</v>
      </c>
      <c r="L1323" s="4" t="b">
        <f>K1323 &gt; 0</f>
        <v>0</v>
      </c>
      <c r="M1323" s="3" t="s">
        <v>2418</v>
      </c>
    </row>
    <row r="1324">
      <c r="A1324" s="3" t="s">
        <v>4700</v>
      </c>
      <c r="B1324" s="4" t="str">
        <f>C1324 &amp; "." &amp; D1324</f>
        <v>TemplateApprovals.Name</v>
      </c>
      <c r="C1324" s="3" t="s">
        <v>4698</v>
      </c>
      <c r="D1324" s="3" t="s">
        <v>1</v>
      </c>
      <c r="E1324" s="3" t="s">
        <v>2420</v>
      </c>
      <c r="F1324" s="3" t="s">
        <v>2417</v>
      </c>
      <c r="G1324" s="3" t="s">
        <v>4701</v>
      </c>
      <c r="H1324" s="3"/>
      <c r="I1324" s="4" t="b">
        <f>OR(((E1324 = "calculated")=TRUE), ((E1324 = "lookup")=TRUE), ((E1324 = "aggregation")=TRUE))</f>
        <v>1</v>
      </c>
      <c r="J1324" s="4" t="b">
        <f>H1324 &lt;&gt; ""</f>
        <v>0</v>
      </c>
      <c r="K1324" s="4">
        <f>COUNTIFS(FieldDisagreements!D2:D50, A1324)</f>
        <v>0</v>
      </c>
      <c r="L1324" s="4" t="b">
        <f>K1324 &gt; 0</f>
        <v>0</v>
      </c>
      <c r="M1324" s="3" t="s">
        <v>2418</v>
      </c>
    </row>
    <row r="1325">
      <c r="A1325" s="3" t="s">
        <v>4702</v>
      </c>
      <c r="B1325" s="4" t="str">
        <f>C1325 &amp; "." &amp; D1325</f>
        <v>TemplateApprovals.MessageTemplate</v>
      </c>
      <c r="C1325" s="3" t="s">
        <v>4698</v>
      </c>
      <c r="D1325" s="3" t="s">
        <v>4453</v>
      </c>
      <c r="E1325" s="3" t="s">
        <v>2465</v>
      </c>
      <c r="F1325" s="3" t="s">
        <v>2417</v>
      </c>
      <c r="G1325" s="3"/>
      <c r="H1325" s="3"/>
      <c r="I1325" s="4" t="b">
        <f>OR(((E1325 = "calculated")=TRUE), ((E1325 = "lookup")=TRUE), ((E1325 = "aggregation")=TRUE))</f>
        <v>0</v>
      </c>
      <c r="J1325" s="4" t="b">
        <f>H1325 &lt;&gt; ""</f>
        <v>0</v>
      </c>
      <c r="K1325" s="4">
        <f>COUNTIFS(FieldDisagreements!D2:D50, A1325)</f>
        <v>0</v>
      </c>
      <c r="L1325" s="4" t="b">
        <f>K1325 &gt; 0</f>
        <v>0</v>
      </c>
      <c r="M1325" s="3" t="s">
        <v>2418</v>
      </c>
    </row>
    <row r="1326">
      <c r="A1326" s="3" t="s">
        <v>4703</v>
      </c>
      <c r="B1326" s="4" t="str">
        <f>C1326 &amp; "." &amp; D1326</f>
        <v>TemplateApprovals.DecidedByAgent</v>
      </c>
      <c r="C1326" s="3" t="s">
        <v>4698</v>
      </c>
      <c r="D1326" s="3" t="s">
        <v>4704</v>
      </c>
      <c r="E1326" s="3" t="s">
        <v>2465</v>
      </c>
      <c r="F1326" s="3" t="s">
        <v>2417</v>
      </c>
      <c r="G1326" s="3"/>
      <c r="H1326" s="3"/>
      <c r="I1326" s="4" t="b">
        <f>OR(((E1326 = "calculated")=TRUE), ((E1326 = "lookup")=TRUE), ((E1326 = "aggregation")=TRUE))</f>
        <v>0</v>
      </c>
      <c r="J1326" s="4" t="b">
        <f>H1326 &lt;&gt; ""</f>
        <v>0</v>
      </c>
      <c r="K1326" s="4">
        <f>COUNTIFS(FieldDisagreements!D2:D50, A1326)</f>
        <v>0</v>
      </c>
      <c r="L1326" s="4" t="b">
        <f>K1326 &gt; 0</f>
        <v>0</v>
      </c>
      <c r="M1326" s="3" t="s">
        <v>2418</v>
      </c>
    </row>
    <row r="1327">
      <c r="A1327" s="3" t="s">
        <v>4705</v>
      </c>
      <c r="B1327" s="4" t="str">
        <f>C1327 &amp; "." &amp; D1327</f>
        <v>TemplateApprovals.DecidedInRole</v>
      </c>
      <c r="C1327" s="3" t="s">
        <v>4698</v>
      </c>
      <c r="D1327" s="3" t="s">
        <v>4706</v>
      </c>
      <c r="E1327" s="3" t="s">
        <v>2465</v>
      </c>
      <c r="F1327" s="3" t="s">
        <v>2417</v>
      </c>
      <c r="G1327" s="3"/>
      <c r="H1327" s="3"/>
      <c r="I1327" s="4" t="b">
        <f>OR(((E1327 = "calculated")=TRUE), ((E1327 = "lookup")=TRUE), ((E1327 = "aggregation")=TRUE))</f>
        <v>0</v>
      </c>
      <c r="J1327" s="4" t="b">
        <f>H1327 &lt;&gt; ""</f>
        <v>0</v>
      </c>
      <c r="K1327" s="4">
        <f>COUNTIFS(FieldDisagreements!D2:D50, A1327)</f>
        <v>0</v>
      </c>
      <c r="L1327" s="4" t="b">
        <f>K1327 &gt; 0</f>
        <v>0</v>
      </c>
      <c r="M1327" s="3" t="s">
        <v>2418</v>
      </c>
    </row>
    <row r="1328">
      <c r="A1328" s="3" t="s">
        <v>4707</v>
      </c>
      <c r="B1328" s="4" t="str">
        <f>C1328 &amp; "." &amp; D1328</f>
        <v>TemplateApprovals.Decision</v>
      </c>
      <c r="C1328" s="3" t="s">
        <v>4698</v>
      </c>
      <c r="D1328" s="3" t="s">
        <v>4708</v>
      </c>
      <c r="E1328" s="3" t="s">
        <v>2416</v>
      </c>
      <c r="F1328" s="3" t="s">
        <v>2417</v>
      </c>
      <c r="G1328" s="3"/>
      <c r="H1328" s="3"/>
      <c r="I1328" s="4" t="b">
        <f>OR(((E1328 = "calculated")=TRUE), ((E1328 = "lookup")=TRUE), ((E1328 = "aggregation")=TRUE))</f>
        <v>0</v>
      </c>
      <c r="J1328" s="4" t="b">
        <f>H1328 &lt;&gt; ""</f>
        <v>0</v>
      </c>
      <c r="K1328" s="4">
        <f>COUNTIFS(FieldDisagreements!D2:D50, A1328)</f>
        <v>0</v>
      </c>
      <c r="L1328" s="4" t="b">
        <f>K1328 &gt; 0</f>
        <v>0</v>
      </c>
      <c r="M1328" s="3" t="s">
        <v>2418</v>
      </c>
    </row>
    <row r="1329">
      <c r="A1329" s="3" t="s">
        <v>4709</v>
      </c>
      <c r="B1329" s="4" t="str">
        <f>C1329 &amp; "." &amp; D1329</f>
        <v>TemplateApprovals.DecidedAt</v>
      </c>
      <c r="C1329" s="3" t="s">
        <v>4698</v>
      </c>
      <c r="D1329" s="3" t="s">
        <v>1592</v>
      </c>
      <c r="E1329" s="3" t="s">
        <v>2416</v>
      </c>
      <c r="F1329" s="3" t="s">
        <v>2428</v>
      </c>
      <c r="G1329" s="3"/>
      <c r="H1329" s="3"/>
      <c r="I1329" s="4" t="b">
        <f>OR(((E1329 = "calculated")=TRUE), ((E1329 = "lookup")=TRUE), ((E1329 = "aggregation")=TRUE))</f>
        <v>0</v>
      </c>
      <c r="J1329" s="4" t="b">
        <f>H1329 &lt;&gt; ""</f>
        <v>0</v>
      </c>
      <c r="K1329" s="4">
        <f>COUNTIFS(FieldDisagreements!D2:D50, A1329)</f>
        <v>0</v>
      </c>
      <c r="L1329" s="4" t="b">
        <f>K1329 &gt; 0</f>
        <v>0</v>
      </c>
      <c r="M1329" s="3" t="s">
        <v>2418</v>
      </c>
    </row>
    <row r="1330">
      <c r="A1330" s="3" t="s">
        <v>4710</v>
      </c>
      <c r="B1330" s="4" t="str">
        <f>C1330 &amp; "." &amp; D1330</f>
        <v>TemplateApprovals.ApprovedBodyHash</v>
      </c>
      <c r="C1330" s="3" t="s">
        <v>4698</v>
      </c>
      <c r="D1330" s="3" t="s">
        <v>4711</v>
      </c>
      <c r="E1330" s="3" t="s">
        <v>2416</v>
      </c>
      <c r="F1330" s="3" t="s">
        <v>2417</v>
      </c>
      <c r="G1330" s="3"/>
      <c r="H1330" s="3"/>
      <c r="I1330" s="4" t="b">
        <f>OR(((E1330 = "calculated")=TRUE), ((E1330 = "lookup")=TRUE), ((E1330 = "aggregation")=TRUE))</f>
        <v>0</v>
      </c>
      <c r="J1330" s="4" t="b">
        <f>H1330 &lt;&gt; ""</f>
        <v>0</v>
      </c>
      <c r="K1330" s="4">
        <f>COUNTIFS(FieldDisagreements!D2:D50, A1330)</f>
        <v>0</v>
      </c>
      <c r="L1330" s="4" t="b">
        <f>K1330 &gt; 0</f>
        <v>0</v>
      </c>
      <c r="M1330" s="3" t="s">
        <v>2418</v>
      </c>
    </row>
    <row r="1331">
      <c r="A1331" s="3" t="s">
        <v>4712</v>
      </c>
      <c r="B1331" s="4" t="str">
        <f>C1331 &amp; "." &amp; D1331</f>
        <v>TemplateApprovals.Notes</v>
      </c>
      <c r="C1331" s="3" t="s">
        <v>4698</v>
      </c>
      <c r="D1331" s="3" t="s">
        <v>1760</v>
      </c>
      <c r="E1331" s="3" t="s">
        <v>2416</v>
      </c>
      <c r="F1331" s="3" t="s">
        <v>2417</v>
      </c>
      <c r="G1331" s="3"/>
      <c r="H1331" s="3"/>
      <c r="I1331" s="4" t="b">
        <f>OR(((E1331 = "calculated")=TRUE), ((E1331 = "lookup")=TRUE), ((E1331 = "aggregation")=TRUE))</f>
        <v>0</v>
      </c>
      <c r="J1331" s="4" t="b">
        <f>H1331 &lt;&gt; ""</f>
        <v>0</v>
      </c>
      <c r="K1331" s="4">
        <f>COUNTIFS(FieldDisagreements!D2:D50, A1331)</f>
        <v>0</v>
      </c>
      <c r="L1331" s="4" t="b">
        <f>K1331 &gt; 0</f>
        <v>0</v>
      </c>
      <c r="M1331" s="3" t="s">
        <v>2418</v>
      </c>
    </row>
    <row r="1332">
      <c r="A1332" s="3" t="s">
        <v>4713</v>
      </c>
      <c r="B1332" s="4" t="str">
        <f>C1332 &amp; "." &amp; D1332</f>
        <v>TemplateApprovals.IsApprovalDecision</v>
      </c>
      <c r="C1332" s="3" t="s">
        <v>4698</v>
      </c>
      <c r="D1332" s="3" t="s">
        <v>4714</v>
      </c>
      <c r="E1332" s="3" t="s">
        <v>2420</v>
      </c>
      <c r="F1332" s="3" t="s">
        <v>2432</v>
      </c>
      <c r="G1332" s="3" t="s">
        <v>4715</v>
      </c>
      <c r="H1332" s="3" t="s">
        <v>2083</v>
      </c>
      <c r="I1332" s="4" t="b">
        <f>OR(((E1332 = "calculated")=TRUE), ((E1332 = "lookup")=TRUE), ((E1332 = "aggregation")=TRUE))</f>
        <v>1</v>
      </c>
      <c r="J1332" s="4" t="b">
        <f>H1332 &lt;&gt; ""</f>
        <v>1</v>
      </c>
      <c r="K1332" s="4">
        <f>COUNTIFS(FieldDisagreements!D2:D50, A1332)</f>
        <v>0</v>
      </c>
      <c r="L1332" s="4" t="b">
        <f>K1332 &gt; 0</f>
        <v>0</v>
      </c>
      <c r="M1332" s="3" t="s">
        <v>2418</v>
      </c>
    </row>
    <row r="1333">
      <c r="A1333" s="3" t="s">
        <v>4716</v>
      </c>
      <c r="B1333" s="4" t="str">
        <f>C1333 &amp; "." &amp; D1333</f>
        <v>TemplateApprovals.TemplatePolicy</v>
      </c>
      <c r="C1333" s="3" t="s">
        <v>4698</v>
      </c>
      <c r="D1333" s="3" t="s">
        <v>4717</v>
      </c>
      <c r="E1333" s="3" t="s">
        <v>2509</v>
      </c>
      <c r="F1333" s="3" t="s">
        <v>2417</v>
      </c>
      <c r="G1333" s="3" t="s">
        <v>4472</v>
      </c>
      <c r="H1333" s="3" t="s">
        <v>2083</v>
      </c>
      <c r="I1333" s="4" t="b">
        <f>OR(((E1333 = "calculated")=TRUE), ((E1333 = "lookup")=TRUE), ((E1333 = "aggregation")=TRUE))</f>
        <v>1</v>
      </c>
      <c r="J1333" s="4" t="b">
        <f>H1333 &lt;&gt; ""</f>
        <v>1</v>
      </c>
      <c r="K1333" s="4">
        <f>COUNTIFS(FieldDisagreements!D2:D50, A1333)</f>
        <v>0</v>
      </c>
      <c r="L1333" s="4" t="b">
        <f>K1333 &gt; 0</f>
        <v>0</v>
      </c>
      <c r="M1333" s="3" t="s">
        <v>2418</v>
      </c>
    </row>
    <row r="1334">
      <c r="A1334" s="3" t="s">
        <v>4718</v>
      </c>
      <c r="B1334" s="4" t="str">
        <f>C1334 &amp; "." &amp; D1334</f>
        <v>TemplateApprovals.RequiredApprovalRole</v>
      </c>
      <c r="C1334" s="3" t="s">
        <v>4698</v>
      </c>
      <c r="D1334" s="3" t="s">
        <v>4306</v>
      </c>
      <c r="E1334" s="3" t="s">
        <v>2509</v>
      </c>
      <c r="F1334" s="3" t="s">
        <v>2417</v>
      </c>
      <c r="G1334" s="3" t="s">
        <v>4719</v>
      </c>
      <c r="H1334" s="3" t="s">
        <v>2083</v>
      </c>
      <c r="I1334" s="4" t="b">
        <f>OR(((E1334 = "calculated")=TRUE), ((E1334 = "lookup")=TRUE), ((E1334 = "aggregation")=TRUE))</f>
        <v>1</v>
      </c>
      <c r="J1334" s="4" t="b">
        <f>H1334 &lt;&gt; ""</f>
        <v>1</v>
      </c>
      <c r="K1334" s="4">
        <f>COUNTIFS(FieldDisagreements!D2:D50, A1334)</f>
        <v>0</v>
      </c>
      <c r="L1334" s="4" t="b">
        <f>K1334 &gt; 0</f>
        <v>0</v>
      </c>
      <c r="M1334" s="3" t="s">
        <v>2418</v>
      </c>
    </row>
    <row r="1335">
      <c r="A1335" s="3" t="s">
        <v>4720</v>
      </c>
      <c r="B1335" s="4" t="str">
        <f>C1335 &amp; "." &amp; D1335</f>
        <v>TemplateApprovals.IsDecidedByRequiredRole</v>
      </c>
      <c r="C1335" s="3" t="s">
        <v>4698</v>
      </c>
      <c r="D1335" s="3" t="s">
        <v>4721</v>
      </c>
      <c r="E1335" s="3" t="s">
        <v>2420</v>
      </c>
      <c r="F1335" s="3" t="s">
        <v>2432</v>
      </c>
      <c r="G1335" s="3" t="s">
        <v>4722</v>
      </c>
      <c r="H1335" s="3" t="s">
        <v>2083</v>
      </c>
      <c r="I1335" s="4" t="b">
        <f>OR(((E1335 = "calculated")=TRUE), ((E1335 = "lookup")=TRUE), ((E1335 = "aggregation")=TRUE))</f>
        <v>1</v>
      </c>
      <c r="J1335" s="4" t="b">
        <f>H1335 &lt;&gt; ""</f>
        <v>1</v>
      </c>
      <c r="K1335" s="4">
        <f>COUNTIFS(FieldDisagreements!D2:D50, A1335)</f>
        <v>0</v>
      </c>
      <c r="L1335" s="4" t="b">
        <f>K1335 &gt; 0</f>
        <v>0</v>
      </c>
      <c r="M1335" s="3" t="s">
        <v>2418</v>
      </c>
    </row>
    <row r="1336">
      <c r="A1336" s="3" t="s">
        <v>4723</v>
      </c>
      <c r="B1336" s="4" t="str">
        <f>C1336 &amp; "." &amp; D1336</f>
        <v>TemplateApprovals.ValidApprovalTemplateKey</v>
      </c>
      <c r="C1336" s="3" t="s">
        <v>4698</v>
      </c>
      <c r="D1336" s="3" t="s">
        <v>4724</v>
      </c>
      <c r="E1336" s="3" t="s">
        <v>2420</v>
      </c>
      <c r="F1336" s="3" t="s">
        <v>2417</v>
      </c>
      <c r="G1336" s="3" t="s">
        <v>4725</v>
      </c>
      <c r="H1336" s="3" t="s">
        <v>2083</v>
      </c>
      <c r="I1336" s="4" t="b">
        <f>OR(((E1336 = "calculated")=TRUE), ((E1336 = "lookup")=TRUE), ((E1336 = "aggregation")=TRUE))</f>
        <v>1</v>
      </c>
      <c r="J1336" s="4" t="b">
        <f>H1336 &lt;&gt; ""</f>
        <v>1</v>
      </c>
      <c r="K1336" s="4">
        <f>COUNTIFS(FieldDisagreements!D2:D50, A1336)</f>
        <v>0</v>
      </c>
      <c r="L1336" s="4" t="b">
        <f>K1336 &gt; 0</f>
        <v>0</v>
      </c>
      <c r="M1336" s="3" t="s">
        <v>2418</v>
      </c>
    </row>
    <row r="1337">
      <c r="A1337" s="3" t="s">
        <v>4726</v>
      </c>
      <c r="B1337" s="4" t="str">
        <f>C1337 &amp; "." &amp; D1337</f>
        <v>TemplateApprovals.SemanticTypeIri</v>
      </c>
      <c r="C1337" s="3" t="s">
        <v>4698</v>
      </c>
      <c r="D1337" s="3" t="s">
        <v>94</v>
      </c>
      <c r="E1337" s="3" t="s">
        <v>2416</v>
      </c>
      <c r="F1337" s="3" t="s">
        <v>2417</v>
      </c>
      <c r="G1337" s="3"/>
      <c r="H1337" s="3"/>
      <c r="I1337" s="4" t="b">
        <f>OR(((E1337 = "calculated")=TRUE), ((E1337 = "lookup")=TRUE), ((E1337 = "aggregation")=TRUE))</f>
        <v>0</v>
      </c>
      <c r="J1337" s="4" t="b">
        <f>H1337 &lt;&gt; ""</f>
        <v>0</v>
      </c>
      <c r="K1337" s="4">
        <f>COUNTIFS(FieldDisagreements!D2:D50, A1337)</f>
        <v>0</v>
      </c>
      <c r="L1337" s="4" t="b">
        <f>K1337 &gt; 0</f>
        <v>0</v>
      </c>
      <c r="M1337" s="3" t="s">
        <v>2418</v>
      </c>
    </row>
    <row r="1338">
      <c r="A1338" s="3" t="s">
        <v>4727</v>
      </c>
      <c r="B1338" s="4" t="str">
        <f>C1338 &amp; "." &amp; D1338</f>
        <v>SendIntents.SendIntentId</v>
      </c>
      <c r="C1338" s="3" t="s">
        <v>4728</v>
      </c>
      <c r="D1338" s="3" t="s">
        <v>4729</v>
      </c>
      <c r="E1338" s="3" t="s">
        <v>2416</v>
      </c>
      <c r="F1338" s="3" t="s">
        <v>2417</v>
      </c>
      <c r="G1338" s="3"/>
      <c r="H1338" s="3"/>
      <c r="I1338" s="4" t="b">
        <f>OR(((E1338 = "calculated")=TRUE), ((E1338 = "lookup")=TRUE), ((E1338 = "aggregation")=TRUE))</f>
        <v>0</v>
      </c>
      <c r="J1338" s="4" t="b">
        <f>H1338 &lt;&gt; ""</f>
        <v>0</v>
      </c>
      <c r="K1338" s="4">
        <f>COUNTIFS(FieldDisagreements!D2:D50, A1338)</f>
        <v>0</v>
      </c>
      <c r="L1338" s="4" t="b">
        <f>K1338 &gt; 0</f>
        <v>0</v>
      </c>
      <c r="M1338" s="3" t="s">
        <v>2418</v>
      </c>
    </row>
    <row r="1339">
      <c r="A1339" s="3" t="s">
        <v>4730</v>
      </c>
      <c r="B1339" s="4" t="str">
        <f>C1339 &amp; "." &amp; D1339</f>
        <v>SendIntents.Name</v>
      </c>
      <c r="C1339" s="3" t="s">
        <v>4728</v>
      </c>
      <c r="D1339" s="3" t="s">
        <v>1</v>
      </c>
      <c r="E1339" s="3" t="s">
        <v>2420</v>
      </c>
      <c r="F1339" s="3" t="s">
        <v>2417</v>
      </c>
      <c r="G1339" s="3" t="s">
        <v>4731</v>
      </c>
      <c r="H1339" s="3"/>
      <c r="I1339" s="4" t="b">
        <f>OR(((E1339 = "calculated")=TRUE), ((E1339 = "lookup")=TRUE), ((E1339 = "aggregation")=TRUE))</f>
        <v>1</v>
      </c>
      <c r="J1339" s="4" t="b">
        <f>H1339 &lt;&gt; ""</f>
        <v>0</v>
      </c>
      <c r="K1339" s="4">
        <f>COUNTIFS(FieldDisagreements!D2:D50, A1339)</f>
        <v>0</v>
      </c>
      <c r="L1339" s="4" t="b">
        <f>K1339 &gt; 0</f>
        <v>0</v>
      </c>
      <c r="M1339" s="3" t="s">
        <v>2418</v>
      </c>
    </row>
    <row r="1340">
      <c r="A1340" s="3" t="s">
        <v>4732</v>
      </c>
      <c r="B1340" s="4" t="str">
        <f>C1340 &amp; "." &amp; D1340</f>
        <v>SendIntents.ProcedureExecution</v>
      </c>
      <c r="C1340" s="3" t="s">
        <v>4728</v>
      </c>
      <c r="D1340" s="3" t="s">
        <v>1349</v>
      </c>
      <c r="E1340" s="3" t="s">
        <v>2465</v>
      </c>
      <c r="F1340" s="3" t="s">
        <v>2417</v>
      </c>
      <c r="G1340" s="3"/>
      <c r="H1340" s="3"/>
      <c r="I1340" s="4" t="b">
        <f>OR(((E1340 = "calculated")=TRUE), ((E1340 = "lookup")=TRUE), ((E1340 = "aggregation")=TRUE))</f>
        <v>0</v>
      </c>
      <c r="J1340" s="4" t="b">
        <f>H1340 &lt;&gt; ""</f>
        <v>0</v>
      </c>
      <c r="K1340" s="4">
        <f>COUNTIFS(FieldDisagreements!D2:D50, A1340)</f>
        <v>0</v>
      </c>
      <c r="L1340" s="4" t="b">
        <f>K1340 &gt; 0</f>
        <v>0</v>
      </c>
      <c r="M1340" s="3" t="s">
        <v>2418</v>
      </c>
    </row>
    <row r="1341">
      <c r="A1341" s="3" t="s">
        <v>4733</v>
      </c>
      <c r="B1341" s="4" t="str">
        <f>C1341 &amp; "." &amp; D1341</f>
        <v>SendIntents.StepExecution</v>
      </c>
      <c r="C1341" s="3" t="s">
        <v>4728</v>
      </c>
      <c r="D1341" s="3" t="s">
        <v>1467</v>
      </c>
      <c r="E1341" s="3" t="s">
        <v>2465</v>
      </c>
      <c r="F1341" s="3" t="s">
        <v>2417</v>
      </c>
      <c r="G1341" s="3"/>
      <c r="H1341" s="3"/>
      <c r="I1341" s="4" t="b">
        <f>OR(((E1341 = "calculated")=TRUE), ((E1341 = "lookup")=TRUE), ((E1341 = "aggregation")=TRUE))</f>
        <v>0</v>
      </c>
      <c r="J1341" s="4" t="b">
        <f>H1341 &lt;&gt; ""</f>
        <v>0</v>
      </c>
      <c r="K1341" s="4">
        <f>COUNTIFS(FieldDisagreements!D2:D50, A1341)</f>
        <v>0</v>
      </c>
      <c r="L1341" s="4" t="b">
        <f>K1341 &gt; 0</f>
        <v>0</v>
      </c>
      <c r="M1341" s="3" t="s">
        <v>2418</v>
      </c>
    </row>
    <row r="1342">
      <c r="A1342" s="3" t="s">
        <v>4734</v>
      </c>
      <c r="B1342" s="4" t="str">
        <f>C1342 &amp; "." &amp; D1342</f>
        <v>SendIntents.Recipient</v>
      </c>
      <c r="C1342" s="3" t="s">
        <v>4728</v>
      </c>
      <c r="D1342" s="3" t="s">
        <v>4451</v>
      </c>
      <c r="E1342" s="3" t="s">
        <v>2465</v>
      </c>
      <c r="F1342" s="3" t="s">
        <v>2417</v>
      </c>
      <c r="G1342" s="3"/>
      <c r="H1342" s="3"/>
      <c r="I1342" s="4" t="b">
        <f>OR(((E1342 = "calculated")=TRUE), ((E1342 = "lookup")=TRUE), ((E1342 = "aggregation")=TRUE))</f>
        <v>0</v>
      </c>
      <c r="J1342" s="4" t="b">
        <f>H1342 &lt;&gt; ""</f>
        <v>0</v>
      </c>
      <c r="K1342" s="4">
        <f>COUNTIFS(FieldDisagreements!D2:D50, A1342)</f>
        <v>0</v>
      </c>
      <c r="L1342" s="4" t="b">
        <f>K1342 &gt; 0</f>
        <v>0</v>
      </c>
      <c r="M1342" s="3" t="s">
        <v>2418</v>
      </c>
    </row>
    <row r="1343">
      <c r="A1343" s="3" t="s">
        <v>4735</v>
      </c>
      <c r="B1343" s="4" t="str">
        <f>C1343 &amp; "." &amp; D1343</f>
        <v>SendIntents.MessageTemplate</v>
      </c>
      <c r="C1343" s="3" t="s">
        <v>4728</v>
      </c>
      <c r="D1343" s="3" t="s">
        <v>4453</v>
      </c>
      <c r="E1343" s="3" t="s">
        <v>2465</v>
      </c>
      <c r="F1343" s="3" t="s">
        <v>2417</v>
      </c>
      <c r="G1343" s="3"/>
      <c r="H1343" s="3"/>
      <c r="I1343" s="4" t="b">
        <f>OR(((E1343 = "calculated")=TRUE), ((E1343 = "lookup")=TRUE), ((E1343 = "aggregation")=TRUE))</f>
        <v>0</v>
      </c>
      <c r="J1343" s="4" t="b">
        <f>H1343 &lt;&gt; ""</f>
        <v>0</v>
      </c>
      <c r="K1343" s="4">
        <f>COUNTIFS(FieldDisagreements!D2:D50, A1343)</f>
        <v>0</v>
      </c>
      <c r="L1343" s="4" t="b">
        <f>K1343 &gt; 0</f>
        <v>0</v>
      </c>
      <c r="M1343" s="3" t="s">
        <v>2418</v>
      </c>
    </row>
    <row r="1344">
      <c r="A1344" s="3" t="s">
        <v>4736</v>
      </c>
      <c r="B1344" s="4" t="str">
        <f>C1344 &amp; "." &amp; D1344</f>
        <v>SendIntents.ProposedBody</v>
      </c>
      <c r="C1344" s="3" t="s">
        <v>4728</v>
      </c>
      <c r="D1344" s="3" t="s">
        <v>4737</v>
      </c>
      <c r="E1344" s="3" t="s">
        <v>2416</v>
      </c>
      <c r="F1344" s="3" t="s">
        <v>2417</v>
      </c>
      <c r="G1344" s="3"/>
      <c r="H1344" s="3"/>
      <c r="I1344" s="4" t="b">
        <f>OR(((E1344 = "calculated")=TRUE), ((E1344 = "lookup")=TRUE), ((E1344 = "aggregation")=TRUE))</f>
        <v>0</v>
      </c>
      <c r="J1344" s="4" t="b">
        <f>H1344 &lt;&gt; ""</f>
        <v>0</v>
      </c>
      <c r="K1344" s="4">
        <f>COUNTIFS(FieldDisagreements!D2:D50, A1344)</f>
        <v>0</v>
      </c>
      <c r="L1344" s="4" t="b">
        <f>K1344 &gt; 0</f>
        <v>0</v>
      </c>
      <c r="M1344" s="3" t="s">
        <v>2418</v>
      </c>
    </row>
    <row r="1345">
      <c r="A1345" s="3" t="s">
        <v>4738</v>
      </c>
      <c r="B1345" s="4" t="str">
        <f>C1345 &amp; "." &amp; D1345</f>
        <v>SendIntents.ProposedSendAtLocalHour</v>
      </c>
      <c r="C1345" s="3" t="s">
        <v>4728</v>
      </c>
      <c r="D1345" s="3" t="s">
        <v>4739</v>
      </c>
      <c r="E1345" s="3" t="s">
        <v>2416</v>
      </c>
      <c r="F1345" s="3" t="s">
        <v>2470</v>
      </c>
      <c r="G1345" s="3"/>
      <c r="H1345" s="3"/>
      <c r="I1345" s="4" t="b">
        <f>OR(((E1345 = "calculated")=TRUE), ((E1345 = "lookup")=TRUE), ((E1345 = "aggregation")=TRUE))</f>
        <v>0</v>
      </c>
      <c r="J1345" s="4" t="b">
        <f>H1345 &lt;&gt; ""</f>
        <v>0</v>
      </c>
      <c r="K1345" s="4">
        <f>COUNTIFS(FieldDisagreements!D2:D50, A1345)</f>
        <v>0</v>
      </c>
      <c r="L1345" s="4" t="b">
        <f>K1345 &gt; 0</f>
        <v>0</v>
      </c>
      <c r="M1345" s="3" t="s">
        <v>2418</v>
      </c>
    </row>
    <row r="1346">
      <c r="A1346" s="3" t="s">
        <v>4740</v>
      </c>
      <c r="B1346" s="4" t="str">
        <f>C1346 &amp; "." &amp; D1346</f>
        <v>SendIntents.EvaluatedAt</v>
      </c>
      <c r="C1346" s="3" t="s">
        <v>4728</v>
      </c>
      <c r="D1346" s="3" t="s">
        <v>1471</v>
      </c>
      <c r="E1346" s="3" t="s">
        <v>2416</v>
      </c>
      <c r="F1346" s="3" t="s">
        <v>2428</v>
      </c>
      <c r="G1346" s="3"/>
      <c r="H1346" s="3"/>
      <c r="I1346" s="4" t="b">
        <f>OR(((E1346 = "calculated")=TRUE), ((E1346 = "lookup")=TRUE), ((E1346 = "aggregation")=TRUE))</f>
        <v>0</v>
      </c>
      <c r="J1346" s="4" t="b">
        <f>H1346 &lt;&gt; ""</f>
        <v>0</v>
      </c>
      <c r="K1346" s="4">
        <f>COUNTIFS(FieldDisagreements!D2:D50, A1346)</f>
        <v>0</v>
      </c>
      <c r="L1346" s="4" t="b">
        <f>K1346 &gt; 0</f>
        <v>0</v>
      </c>
      <c r="M1346" s="3" t="s">
        <v>2418</v>
      </c>
    </row>
    <row r="1347">
      <c r="A1347" s="3" t="s">
        <v>4741</v>
      </c>
      <c r="B1347" s="4" t="str">
        <f>C1347 &amp; "." &amp; D1347</f>
        <v>SendIntents.ResultingDelivery</v>
      </c>
      <c r="C1347" s="3" t="s">
        <v>4728</v>
      </c>
      <c r="D1347" s="3" t="s">
        <v>4742</v>
      </c>
      <c r="E1347" s="3" t="s">
        <v>2465</v>
      </c>
      <c r="F1347" s="3" t="s">
        <v>2417</v>
      </c>
      <c r="G1347" s="3"/>
      <c r="H1347" s="3"/>
      <c r="I1347" s="4" t="b">
        <f>OR(((E1347 = "calculated")=TRUE), ((E1347 = "lookup")=TRUE), ((E1347 = "aggregation")=TRUE))</f>
        <v>0</v>
      </c>
      <c r="J1347" s="4" t="b">
        <f>H1347 &lt;&gt; ""</f>
        <v>0</v>
      </c>
      <c r="K1347" s="4">
        <f>COUNTIFS(FieldDisagreements!D2:D50, A1347)</f>
        <v>0</v>
      </c>
      <c r="L1347" s="4" t="b">
        <f>K1347 &gt; 0</f>
        <v>0</v>
      </c>
      <c r="M1347" s="3" t="s">
        <v>2418</v>
      </c>
    </row>
    <row r="1348">
      <c r="A1348" s="3" t="s">
        <v>4743</v>
      </c>
      <c r="B1348" s="4" t="str">
        <f>C1348 &amp; "." &amp; D1348</f>
        <v>SendIntents.IntentPolicy</v>
      </c>
      <c r="C1348" s="3" t="s">
        <v>4728</v>
      </c>
      <c r="D1348" s="3" t="s">
        <v>4744</v>
      </c>
      <c r="E1348" s="3" t="s">
        <v>2509</v>
      </c>
      <c r="F1348" s="3" t="s">
        <v>2417</v>
      </c>
      <c r="G1348" s="3" t="s">
        <v>4472</v>
      </c>
      <c r="H1348" s="3" t="s">
        <v>2099</v>
      </c>
      <c r="I1348" s="4" t="b">
        <f>OR(((E1348 = "calculated")=TRUE), ((E1348 = "lookup")=TRUE), ((E1348 = "aggregation")=TRUE))</f>
        <v>1</v>
      </c>
      <c r="J1348" s="4" t="b">
        <f>H1348 &lt;&gt; ""</f>
        <v>1</v>
      </c>
      <c r="K1348" s="4">
        <f>COUNTIFS(FieldDisagreements!D2:D50, A1348)</f>
        <v>0</v>
      </c>
      <c r="L1348" s="4" t="b">
        <f>K1348 &gt; 0</f>
        <v>0</v>
      </c>
      <c r="M1348" s="3" t="s">
        <v>2418</v>
      </c>
    </row>
    <row r="1349">
      <c r="A1349" s="3" t="s">
        <v>4745</v>
      </c>
      <c r="B1349" s="4" t="str">
        <f>C1349 &amp; "." &amp; D1349</f>
        <v>SendIntents.IntentChannel</v>
      </c>
      <c r="C1349" s="3" t="s">
        <v>4728</v>
      </c>
      <c r="D1349" s="3" t="s">
        <v>4746</v>
      </c>
      <c r="E1349" s="3" t="s">
        <v>2509</v>
      </c>
      <c r="F1349" s="3" t="s">
        <v>2417</v>
      </c>
      <c r="G1349" s="3" t="s">
        <v>4747</v>
      </c>
      <c r="H1349" s="3" t="s">
        <v>2099</v>
      </c>
      <c r="I1349" s="4" t="b">
        <f>OR(((E1349 = "calculated")=TRUE), ((E1349 = "lookup")=TRUE), ((E1349 = "aggregation")=TRUE))</f>
        <v>1</v>
      </c>
      <c r="J1349" s="4" t="b">
        <f>H1349 &lt;&gt; ""</f>
        <v>1</v>
      </c>
      <c r="K1349" s="4">
        <f>COUNTIFS(FieldDisagreements!D2:D50, A1349)</f>
        <v>0</v>
      </c>
      <c r="L1349" s="4" t="b">
        <f>K1349 &gt; 0</f>
        <v>0</v>
      </c>
      <c r="M1349" s="3" t="s">
        <v>2418</v>
      </c>
    </row>
    <row r="1350">
      <c r="A1350" s="3" t="s">
        <v>4748</v>
      </c>
      <c r="B1350" s="4" t="str">
        <f>C1350 &amp; "." &amp; D1350</f>
        <v>SendIntents.PolicyIsActive</v>
      </c>
      <c r="C1350" s="3" t="s">
        <v>4728</v>
      </c>
      <c r="D1350" s="3" t="s">
        <v>4749</v>
      </c>
      <c r="E1350" s="3" t="s">
        <v>2509</v>
      </c>
      <c r="F1350" s="3" t="s">
        <v>2432</v>
      </c>
      <c r="G1350" s="3" t="s">
        <v>4750</v>
      </c>
      <c r="H1350" s="3" t="s">
        <v>2099</v>
      </c>
      <c r="I1350" s="4" t="b">
        <f>OR(((E1350 = "calculated")=TRUE), ((E1350 = "lookup")=TRUE), ((E1350 = "aggregation")=TRUE))</f>
        <v>1</v>
      </c>
      <c r="J1350" s="4" t="b">
        <f>H1350 &lt;&gt; ""</f>
        <v>1</v>
      </c>
      <c r="K1350" s="4">
        <f>COUNTIFS(FieldDisagreements!D2:D50, A1350)</f>
        <v>0</v>
      </c>
      <c r="L1350" s="4" t="b">
        <f>K1350 &gt; 0</f>
        <v>0</v>
      </c>
      <c r="M1350" s="3" t="s">
        <v>2418</v>
      </c>
    </row>
    <row r="1351">
      <c r="A1351" s="3" t="s">
        <v>4751</v>
      </c>
      <c r="B1351" s="4" t="str">
        <f>C1351 &amp; "." &amp; D1351</f>
        <v>SendIntents.IntentRequiresConsent</v>
      </c>
      <c r="C1351" s="3" t="s">
        <v>4728</v>
      </c>
      <c r="D1351" s="3" t="s">
        <v>4752</v>
      </c>
      <c r="E1351" s="3" t="s">
        <v>2509</v>
      </c>
      <c r="F1351" s="3" t="s">
        <v>2432</v>
      </c>
      <c r="G1351" s="3" t="s">
        <v>4753</v>
      </c>
      <c r="H1351" s="3" t="s">
        <v>2099</v>
      </c>
      <c r="I1351" s="4" t="b">
        <f>OR(((E1351 = "calculated")=TRUE), ((E1351 = "lookup")=TRUE), ((E1351 = "aggregation")=TRUE))</f>
        <v>1</v>
      </c>
      <c r="J1351" s="4" t="b">
        <f>H1351 &lt;&gt; ""</f>
        <v>1</v>
      </c>
      <c r="K1351" s="4">
        <f>COUNTIFS(FieldDisagreements!D2:D50, A1351)</f>
        <v>0</v>
      </c>
      <c r="L1351" s="4" t="b">
        <f>K1351 &gt; 0</f>
        <v>0</v>
      </c>
      <c r="M1351" s="3" t="s">
        <v>2418</v>
      </c>
    </row>
    <row r="1352">
      <c r="A1352" s="3" t="s">
        <v>4754</v>
      </c>
      <c r="B1352" s="4" t="str">
        <f>C1352 &amp; "." &amp; D1352</f>
        <v>SendIntents.RecipientHasChannelConsent</v>
      </c>
      <c r="C1352" s="3" t="s">
        <v>4728</v>
      </c>
      <c r="D1352" s="3" t="s">
        <v>4755</v>
      </c>
      <c r="E1352" s="3" t="s">
        <v>2509</v>
      </c>
      <c r="F1352" s="3" t="s">
        <v>2432</v>
      </c>
      <c r="G1352" s="3" t="s">
        <v>4481</v>
      </c>
      <c r="H1352" s="3" t="s">
        <v>2099</v>
      </c>
      <c r="I1352" s="4" t="b">
        <f>OR(((E1352 = "calculated")=TRUE), ((E1352 = "lookup")=TRUE), ((E1352 = "aggregation")=TRUE))</f>
        <v>1</v>
      </c>
      <c r="J1352" s="4" t="b">
        <f>H1352 &lt;&gt; ""</f>
        <v>1</v>
      </c>
      <c r="K1352" s="4">
        <f>COUNTIFS(FieldDisagreements!D2:D50, A1352)</f>
        <v>0</v>
      </c>
      <c r="L1352" s="4" t="b">
        <f>K1352 &gt; 0</f>
        <v>0</v>
      </c>
      <c r="M1352" s="3" t="s">
        <v>2418</v>
      </c>
    </row>
    <row r="1353">
      <c r="A1353" s="3" t="s">
        <v>4756</v>
      </c>
      <c r="B1353" s="4" t="str">
        <f>C1353 &amp; "." &amp; D1353</f>
        <v>SendIntents.ConsentGatePassed</v>
      </c>
      <c r="C1353" s="3" t="s">
        <v>4728</v>
      </c>
      <c r="D1353" s="3" t="s">
        <v>4757</v>
      </c>
      <c r="E1353" s="3" t="s">
        <v>2420</v>
      </c>
      <c r="F1353" s="3" t="s">
        <v>2432</v>
      </c>
      <c r="G1353" s="3" t="s">
        <v>4758</v>
      </c>
      <c r="H1353" s="3" t="s">
        <v>2099</v>
      </c>
      <c r="I1353" s="4" t="b">
        <f>OR(((E1353 = "calculated")=TRUE), ((E1353 = "lookup")=TRUE), ((E1353 = "aggregation")=TRUE))</f>
        <v>1</v>
      </c>
      <c r="J1353" s="4" t="b">
        <f>H1353 &lt;&gt; ""</f>
        <v>1</v>
      </c>
      <c r="K1353" s="4">
        <f>COUNTIFS(FieldDisagreements!D2:D50, A1353)</f>
        <v>0</v>
      </c>
      <c r="L1353" s="4" t="b">
        <f>K1353 &gt; 0</f>
        <v>0</v>
      </c>
      <c r="M1353" s="3" t="s">
        <v>2418</v>
      </c>
    </row>
    <row r="1354">
      <c r="A1354" s="3" t="s">
        <v>4759</v>
      </c>
      <c r="B1354" s="4" t="str">
        <f>C1354 &amp; "." &amp; D1354</f>
        <v>SendIntents.RecipientIsSmsReachable</v>
      </c>
      <c r="C1354" s="3" t="s">
        <v>4728</v>
      </c>
      <c r="D1354" s="3" t="s">
        <v>4760</v>
      </c>
      <c r="E1354" s="3" t="s">
        <v>2509</v>
      </c>
      <c r="F1354" s="3" t="s">
        <v>2432</v>
      </c>
      <c r="G1354" s="3" t="s">
        <v>4761</v>
      </c>
      <c r="H1354" s="3" t="s">
        <v>2099</v>
      </c>
      <c r="I1354" s="4" t="b">
        <f>OR(((E1354 = "calculated")=TRUE), ((E1354 = "lookup")=TRUE), ((E1354 = "aggregation")=TRUE))</f>
        <v>1</v>
      </c>
      <c r="J1354" s="4" t="b">
        <f>H1354 &lt;&gt; ""</f>
        <v>1</v>
      </c>
      <c r="K1354" s="4">
        <f>COUNTIFS(FieldDisagreements!D2:D50, A1354)</f>
        <v>0</v>
      </c>
      <c r="L1354" s="4" t="b">
        <f>K1354 &gt; 0</f>
        <v>0</v>
      </c>
      <c r="M1354" s="3" t="s">
        <v>2418</v>
      </c>
    </row>
    <row r="1355">
      <c r="A1355" s="3" t="s">
        <v>4762</v>
      </c>
      <c r="B1355" s="4" t="str">
        <f>C1355 &amp; "." &amp; D1355</f>
        <v>SendIntents.RecipientIsEmailReachable</v>
      </c>
      <c r="C1355" s="3" t="s">
        <v>4728</v>
      </c>
      <c r="D1355" s="3" t="s">
        <v>4763</v>
      </c>
      <c r="E1355" s="3" t="s">
        <v>2509</v>
      </c>
      <c r="F1355" s="3" t="s">
        <v>2432</v>
      </c>
      <c r="G1355" s="3" t="s">
        <v>4764</v>
      </c>
      <c r="H1355" s="3" t="s">
        <v>2099</v>
      </c>
      <c r="I1355" s="4" t="b">
        <f>OR(((E1355 = "calculated")=TRUE), ((E1355 = "lookup")=TRUE), ((E1355 = "aggregation")=TRUE))</f>
        <v>1</v>
      </c>
      <c r="J1355" s="4" t="b">
        <f>H1355 &lt;&gt; ""</f>
        <v>1</v>
      </c>
      <c r="K1355" s="4">
        <f>COUNTIFS(FieldDisagreements!D2:D50, A1355)</f>
        <v>0</v>
      </c>
      <c r="L1355" s="4" t="b">
        <f>K1355 &gt; 0</f>
        <v>0</v>
      </c>
      <c r="M1355" s="3" t="s">
        <v>2418</v>
      </c>
    </row>
    <row r="1356">
      <c r="A1356" s="3" t="s">
        <v>4765</v>
      </c>
      <c r="B1356" s="4" t="str">
        <f>C1356 &amp; "." &amp; D1356</f>
        <v>SendIntents.ReachabilityGatePassed</v>
      </c>
      <c r="C1356" s="3" t="s">
        <v>4728</v>
      </c>
      <c r="D1356" s="3" t="s">
        <v>4766</v>
      </c>
      <c r="E1356" s="3" t="s">
        <v>2420</v>
      </c>
      <c r="F1356" s="3" t="s">
        <v>2432</v>
      </c>
      <c r="G1356" s="3" t="s">
        <v>4767</v>
      </c>
      <c r="H1356" s="3" t="s">
        <v>2099</v>
      </c>
      <c r="I1356" s="4" t="b">
        <f>OR(((E1356 = "calculated")=TRUE), ((E1356 = "lookup")=TRUE), ((E1356 = "aggregation")=TRUE))</f>
        <v>1</v>
      </c>
      <c r="J1356" s="4" t="b">
        <f>H1356 &lt;&gt; ""</f>
        <v>1</v>
      </c>
      <c r="K1356" s="4">
        <f>COUNTIFS(FieldDisagreements!D2:D50, A1356)</f>
        <v>0</v>
      </c>
      <c r="L1356" s="4" t="b">
        <f>K1356 &gt; 0</f>
        <v>0</v>
      </c>
      <c r="M1356" s="3" t="s">
        <v>2418</v>
      </c>
    </row>
    <row r="1357">
      <c r="A1357" s="3" t="s">
        <v>4768</v>
      </c>
      <c r="B1357" s="4" t="str">
        <f>C1357 &amp; "." &amp; D1357</f>
        <v>SendIntents.PermissionGatePassed</v>
      </c>
      <c r="C1357" s="3" t="s">
        <v>4728</v>
      </c>
      <c r="D1357" s="3" t="s">
        <v>4769</v>
      </c>
      <c r="E1357" s="3" t="s">
        <v>2420</v>
      </c>
      <c r="F1357" s="3" t="s">
        <v>2432</v>
      </c>
      <c r="G1357" s="3" t="s">
        <v>4770</v>
      </c>
      <c r="H1357" s="3" t="s">
        <v>2099</v>
      </c>
      <c r="I1357" s="4" t="b">
        <f>OR(((E1357 = "calculated")=TRUE), ((E1357 = "lookup")=TRUE), ((E1357 = "aggregation")=TRUE))</f>
        <v>1</v>
      </c>
      <c r="J1357" s="4" t="b">
        <f>H1357 &lt;&gt; ""</f>
        <v>1</v>
      </c>
      <c r="K1357" s="4">
        <f>COUNTIFS(FieldDisagreements!D2:D50, A1357)</f>
        <v>0</v>
      </c>
      <c r="L1357" s="4" t="b">
        <f>K1357 &gt; 0</f>
        <v>0</v>
      </c>
      <c r="M1357" s="3" t="s">
        <v>2418</v>
      </c>
    </row>
    <row r="1358">
      <c r="A1358" s="3" t="s">
        <v>4771</v>
      </c>
      <c r="B1358" s="4" t="str">
        <f>C1358 &amp; "." &amp; D1358</f>
        <v>SendIntents.IntentQuietStartHour</v>
      </c>
      <c r="C1358" s="3" t="s">
        <v>4728</v>
      </c>
      <c r="D1358" s="3" t="s">
        <v>4772</v>
      </c>
      <c r="E1358" s="3" t="s">
        <v>2509</v>
      </c>
      <c r="F1358" s="3" t="s">
        <v>2470</v>
      </c>
      <c r="G1358" s="3" t="s">
        <v>4773</v>
      </c>
      <c r="H1358" s="3" t="s">
        <v>2103</v>
      </c>
      <c r="I1358" s="4" t="b">
        <f>OR(((E1358 = "calculated")=TRUE), ((E1358 = "lookup")=TRUE), ((E1358 = "aggregation")=TRUE))</f>
        <v>1</v>
      </c>
      <c r="J1358" s="4" t="b">
        <f>H1358 &lt;&gt; ""</f>
        <v>1</v>
      </c>
      <c r="K1358" s="4">
        <f>COUNTIFS(FieldDisagreements!D2:D50, A1358)</f>
        <v>0</v>
      </c>
      <c r="L1358" s="4" t="b">
        <f>K1358 &gt; 0</f>
        <v>0</v>
      </c>
      <c r="M1358" s="3" t="s">
        <v>2418</v>
      </c>
    </row>
    <row r="1359">
      <c r="A1359" s="3" t="s">
        <v>4774</v>
      </c>
      <c r="B1359" s="4" t="str">
        <f>C1359 &amp; "." &amp; D1359</f>
        <v>SendIntents.IntentQuietEndHour</v>
      </c>
      <c r="C1359" s="3" t="s">
        <v>4728</v>
      </c>
      <c r="D1359" s="3" t="s">
        <v>4775</v>
      </c>
      <c r="E1359" s="3" t="s">
        <v>2509</v>
      </c>
      <c r="F1359" s="3" t="s">
        <v>2470</v>
      </c>
      <c r="G1359" s="3" t="s">
        <v>4776</v>
      </c>
      <c r="H1359" s="3" t="s">
        <v>2103</v>
      </c>
      <c r="I1359" s="4" t="b">
        <f>OR(((E1359 = "calculated")=TRUE), ((E1359 = "lookup")=TRUE), ((E1359 = "aggregation")=TRUE))</f>
        <v>1</v>
      </c>
      <c r="J1359" s="4" t="b">
        <f>H1359 &lt;&gt; ""</f>
        <v>1</v>
      </c>
      <c r="K1359" s="4">
        <f>COUNTIFS(FieldDisagreements!D2:D50, A1359)</f>
        <v>0</v>
      </c>
      <c r="L1359" s="4" t="b">
        <f>K1359 &gt; 0</f>
        <v>0</v>
      </c>
      <c r="M1359" s="3" t="s">
        <v>2418</v>
      </c>
    </row>
    <row r="1360">
      <c r="A1360" s="3" t="s">
        <v>4777</v>
      </c>
      <c r="B1360" s="4" t="str">
        <f>C1360 &amp; "." &amp; D1360</f>
        <v>SendIntents.IntentPolicyHasQuietHours</v>
      </c>
      <c r="C1360" s="3" t="s">
        <v>4728</v>
      </c>
      <c r="D1360" s="3" t="s">
        <v>4778</v>
      </c>
      <c r="E1360" s="3" t="s">
        <v>2420</v>
      </c>
      <c r="F1360" s="3" t="s">
        <v>2432</v>
      </c>
      <c r="G1360" s="3" t="s">
        <v>4779</v>
      </c>
      <c r="H1360" s="3" t="s">
        <v>2103</v>
      </c>
      <c r="I1360" s="4" t="b">
        <f>OR(((E1360 = "calculated")=TRUE), ((E1360 = "lookup")=TRUE), ((E1360 = "aggregation")=TRUE))</f>
        <v>1</v>
      </c>
      <c r="J1360" s="4" t="b">
        <f>H1360 &lt;&gt; ""</f>
        <v>1</v>
      </c>
      <c r="K1360" s="4">
        <f>COUNTIFS(FieldDisagreements!D2:D50, A1360)</f>
        <v>0</v>
      </c>
      <c r="L1360" s="4" t="b">
        <f>K1360 &gt; 0</f>
        <v>0</v>
      </c>
      <c r="M1360" s="3" t="s">
        <v>2418</v>
      </c>
    </row>
    <row r="1361">
      <c r="A1361" s="3" t="s">
        <v>4780</v>
      </c>
      <c r="B1361" s="4" t="str">
        <f>C1361 &amp; "." &amp; D1361</f>
        <v>SendIntents.IntentQuietWindowWraps</v>
      </c>
      <c r="C1361" s="3" t="s">
        <v>4728</v>
      </c>
      <c r="D1361" s="3" t="s">
        <v>4781</v>
      </c>
      <c r="E1361" s="3" t="s">
        <v>2420</v>
      </c>
      <c r="F1361" s="3" t="s">
        <v>2432</v>
      </c>
      <c r="G1361" s="3" t="s">
        <v>4782</v>
      </c>
      <c r="H1361" s="3" t="s">
        <v>2103</v>
      </c>
      <c r="I1361" s="4" t="b">
        <f>OR(((E1361 = "calculated")=TRUE), ((E1361 = "lookup")=TRUE), ((E1361 = "aggregation")=TRUE))</f>
        <v>1</v>
      </c>
      <c r="J1361" s="4" t="b">
        <f>H1361 &lt;&gt; ""</f>
        <v>1</v>
      </c>
      <c r="K1361" s="4">
        <f>COUNTIFS(FieldDisagreements!D2:D50, A1361)</f>
        <v>0</v>
      </c>
      <c r="L1361" s="4" t="b">
        <f>K1361 &gt; 0</f>
        <v>0</v>
      </c>
      <c r="M1361" s="3" t="s">
        <v>2418</v>
      </c>
    </row>
    <row r="1362">
      <c r="A1362" s="3" t="s">
        <v>4783</v>
      </c>
      <c r="B1362" s="4" t="str">
        <f>C1362 &amp; "." &amp; D1362</f>
        <v>SendIntents.IntentIsInsideQuietWindow</v>
      </c>
      <c r="C1362" s="3" t="s">
        <v>4728</v>
      </c>
      <c r="D1362" s="3" t="s">
        <v>4784</v>
      </c>
      <c r="E1362" s="3" t="s">
        <v>2420</v>
      </c>
      <c r="F1362" s="3" t="s">
        <v>2432</v>
      </c>
      <c r="G1362" s="3" t="s">
        <v>4785</v>
      </c>
      <c r="H1362" s="3" t="s">
        <v>2103</v>
      </c>
      <c r="I1362" s="4" t="b">
        <f>OR(((E1362 = "calculated")=TRUE), ((E1362 = "lookup")=TRUE), ((E1362 = "aggregation")=TRUE))</f>
        <v>1</v>
      </c>
      <c r="J1362" s="4" t="b">
        <f>H1362 &lt;&gt; ""</f>
        <v>1</v>
      </c>
      <c r="K1362" s="4">
        <f>COUNTIFS(FieldDisagreements!D2:D50, A1362)</f>
        <v>0</v>
      </c>
      <c r="L1362" s="4" t="b">
        <f>K1362 &gt; 0</f>
        <v>0</v>
      </c>
      <c r="M1362" s="3" t="s">
        <v>2418</v>
      </c>
    </row>
    <row r="1363">
      <c r="A1363" s="3" t="s">
        <v>4786</v>
      </c>
      <c r="B1363" s="4" t="str">
        <f>C1363 &amp; "." &amp; D1363</f>
        <v>SendIntents.TimingGatePassed</v>
      </c>
      <c r="C1363" s="3" t="s">
        <v>4728</v>
      </c>
      <c r="D1363" s="3" t="s">
        <v>4787</v>
      </c>
      <c r="E1363" s="3" t="s">
        <v>2420</v>
      </c>
      <c r="F1363" s="3" t="s">
        <v>2432</v>
      </c>
      <c r="G1363" s="3" t="s">
        <v>4788</v>
      </c>
      <c r="H1363" s="3" t="s">
        <v>2103</v>
      </c>
      <c r="I1363" s="4" t="b">
        <f>OR(((E1363 = "calculated")=TRUE), ((E1363 = "lookup")=TRUE), ((E1363 = "aggregation")=TRUE))</f>
        <v>1</v>
      </c>
      <c r="J1363" s="4" t="b">
        <f>H1363 &lt;&gt; ""</f>
        <v>1</v>
      </c>
      <c r="K1363" s="4">
        <f>COUNTIFS(FieldDisagreements!D2:D50, A1363)</f>
        <v>0</v>
      </c>
      <c r="L1363" s="4" t="b">
        <f>K1363 &gt; 0</f>
        <v>0</v>
      </c>
      <c r="M1363" s="3" t="s">
        <v>2418</v>
      </c>
    </row>
    <row r="1364">
      <c r="A1364" s="3" t="s">
        <v>4789</v>
      </c>
      <c r="B1364" s="4" t="str">
        <f>C1364 &amp; "." &amp; D1364</f>
        <v>SendIntents.HoursUntilWindowOpens</v>
      </c>
      <c r="C1364" s="3" t="s">
        <v>4728</v>
      </c>
      <c r="D1364" s="3" t="s">
        <v>4790</v>
      </c>
      <c r="E1364" s="3" t="s">
        <v>2420</v>
      </c>
      <c r="F1364" s="3" t="s">
        <v>2470</v>
      </c>
      <c r="G1364" s="3" t="s">
        <v>4791</v>
      </c>
      <c r="H1364" s="3" t="s">
        <v>2103</v>
      </c>
      <c r="I1364" s="4" t="b">
        <f>OR(((E1364 = "calculated")=TRUE), ((E1364 = "lookup")=TRUE), ((E1364 = "aggregation")=TRUE))</f>
        <v>1</v>
      </c>
      <c r="J1364" s="4" t="b">
        <f>H1364 &lt;&gt; ""</f>
        <v>1</v>
      </c>
      <c r="K1364" s="4">
        <f>COUNTIFS(FieldDisagreements!D2:D50, A1364)</f>
        <v>0</v>
      </c>
      <c r="L1364" s="4" t="b">
        <f>K1364 &gt; 0</f>
        <v>0</v>
      </c>
      <c r="M1364" s="3" t="s">
        <v>2418</v>
      </c>
    </row>
    <row r="1365">
      <c r="A1365" s="3" t="s">
        <v>4792</v>
      </c>
      <c r="B1365" s="4" t="str">
        <f>C1365 &amp; "." &amp; D1365</f>
        <v>SendIntents.IntentMaxMessageLength</v>
      </c>
      <c r="C1365" s="3" t="s">
        <v>4728</v>
      </c>
      <c r="D1365" s="3" t="s">
        <v>4793</v>
      </c>
      <c r="E1365" s="3" t="s">
        <v>2509</v>
      </c>
      <c r="F1365" s="3" t="s">
        <v>2470</v>
      </c>
      <c r="G1365" s="3" t="s">
        <v>4794</v>
      </c>
      <c r="H1365" s="3" t="s">
        <v>2107</v>
      </c>
      <c r="I1365" s="4" t="b">
        <f>OR(((E1365 = "calculated")=TRUE), ((E1365 = "lookup")=TRUE), ((E1365 = "aggregation")=TRUE))</f>
        <v>1</v>
      </c>
      <c r="J1365" s="4" t="b">
        <f>H1365 &lt;&gt; ""</f>
        <v>1</v>
      </c>
      <c r="K1365" s="4">
        <f>COUNTIFS(FieldDisagreements!D2:D50, A1365)</f>
        <v>0</v>
      </c>
      <c r="L1365" s="4" t="b">
        <f>K1365 &gt; 0</f>
        <v>0</v>
      </c>
      <c r="M1365" s="3" t="s">
        <v>2418</v>
      </c>
    </row>
    <row r="1366">
      <c r="A1366" s="3" t="s">
        <v>4795</v>
      </c>
      <c r="B1366" s="4" t="str">
        <f>C1366 &amp; "." &amp; D1366</f>
        <v>SendIntents.IntentMaxSegments</v>
      </c>
      <c r="C1366" s="3" t="s">
        <v>4728</v>
      </c>
      <c r="D1366" s="3" t="s">
        <v>4796</v>
      </c>
      <c r="E1366" s="3" t="s">
        <v>2509</v>
      </c>
      <c r="F1366" s="3" t="s">
        <v>2470</v>
      </c>
      <c r="G1366" s="3" t="s">
        <v>4797</v>
      </c>
      <c r="H1366" s="3" t="s">
        <v>2107</v>
      </c>
      <c r="I1366" s="4" t="b">
        <f>OR(((E1366 = "calculated")=TRUE), ((E1366 = "lookup")=TRUE), ((E1366 = "aggregation")=TRUE))</f>
        <v>1</v>
      </c>
      <c r="J1366" s="4" t="b">
        <f>H1366 &lt;&gt; ""</f>
        <v>1</v>
      </c>
      <c r="K1366" s="4">
        <f>COUNTIFS(FieldDisagreements!D2:D50, A1366)</f>
        <v>0</v>
      </c>
      <c r="L1366" s="4" t="b">
        <f>K1366 &gt; 0</f>
        <v>0</v>
      </c>
      <c r="M1366" s="3" t="s">
        <v>2418</v>
      </c>
    </row>
    <row r="1367">
      <c r="A1367" s="3" t="s">
        <v>4798</v>
      </c>
      <c r="B1367" s="4" t="str">
        <f>C1367 &amp; "." &amp; D1367</f>
        <v>SendIntents.ProposedBodyLength</v>
      </c>
      <c r="C1367" s="3" t="s">
        <v>4728</v>
      </c>
      <c r="D1367" s="3" t="s">
        <v>4799</v>
      </c>
      <c r="E1367" s="3" t="s">
        <v>2416</v>
      </c>
      <c r="F1367" s="3" t="s">
        <v>2470</v>
      </c>
      <c r="G1367" s="3"/>
      <c r="H1367" s="3" t="s">
        <v>2107</v>
      </c>
      <c r="I1367" s="4" t="b">
        <f>OR(((E1367 = "calculated")=TRUE), ((E1367 = "lookup")=TRUE), ((E1367 = "aggregation")=TRUE))</f>
        <v>0</v>
      </c>
      <c r="J1367" s="4" t="b">
        <f>H1367 &lt;&gt; ""</f>
        <v>1</v>
      </c>
      <c r="K1367" s="4">
        <f>COUNTIFS(FieldDisagreements!D2:D50, A1367)</f>
        <v>0</v>
      </c>
      <c r="L1367" s="4" t="b">
        <f>K1367 &gt; 0</f>
        <v>0</v>
      </c>
      <c r="M1367" s="3" t="s">
        <v>2418</v>
      </c>
    </row>
    <row r="1368">
      <c r="A1368" s="3" t="s">
        <v>4800</v>
      </c>
      <c r="B1368" s="4" t="str">
        <f>C1368 &amp; "." &amp; D1368</f>
        <v>SendIntents.ProposedSegmentCount</v>
      </c>
      <c r="C1368" s="3" t="s">
        <v>4728</v>
      </c>
      <c r="D1368" s="3" t="s">
        <v>4801</v>
      </c>
      <c r="E1368" s="3" t="s">
        <v>2416</v>
      </c>
      <c r="F1368" s="3" t="s">
        <v>2470</v>
      </c>
      <c r="G1368" s="3"/>
      <c r="H1368" s="3" t="s">
        <v>2107</v>
      </c>
      <c r="I1368" s="4" t="b">
        <f>OR(((E1368 = "calculated")=TRUE), ((E1368 = "lookup")=TRUE), ((E1368 = "aggregation")=TRUE))</f>
        <v>0</v>
      </c>
      <c r="J1368" s="4" t="b">
        <f>H1368 &lt;&gt; ""</f>
        <v>1</v>
      </c>
      <c r="K1368" s="4">
        <f>COUNTIFS(FieldDisagreements!D2:D50, A1368)</f>
        <v>0</v>
      </c>
      <c r="L1368" s="4" t="b">
        <f>K1368 &gt; 0</f>
        <v>0</v>
      </c>
      <c r="M1368" s="3" t="s">
        <v>2418</v>
      </c>
    </row>
    <row r="1369">
      <c r="A1369" s="3" t="s">
        <v>4802</v>
      </c>
      <c r="B1369" s="4" t="str">
        <f>C1369 &amp; "." &amp; D1369</f>
        <v>SendIntents.LengthGatePassed</v>
      </c>
      <c r="C1369" s="3" t="s">
        <v>4728</v>
      </c>
      <c r="D1369" s="3" t="s">
        <v>4803</v>
      </c>
      <c r="E1369" s="3" t="s">
        <v>2420</v>
      </c>
      <c r="F1369" s="3" t="s">
        <v>2432</v>
      </c>
      <c r="G1369" s="3" t="s">
        <v>4804</v>
      </c>
      <c r="H1369" s="3" t="s">
        <v>2107</v>
      </c>
      <c r="I1369" s="4" t="b">
        <f>OR(((E1369 = "calculated")=TRUE), ((E1369 = "lookup")=TRUE), ((E1369 = "aggregation")=TRUE))</f>
        <v>1</v>
      </c>
      <c r="J1369" s="4" t="b">
        <f>H1369 &lt;&gt; ""</f>
        <v>1</v>
      </c>
      <c r="K1369" s="4">
        <f>COUNTIFS(FieldDisagreements!D2:D50, A1369)</f>
        <v>0</v>
      </c>
      <c r="L1369" s="4" t="b">
        <f>K1369 &gt; 0</f>
        <v>0</v>
      </c>
      <c r="M1369" s="3" t="s">
        <v>2418</v>
      </c>
    </row>
    <row r="1370">
      <c r="A1370" s="3" t="s">
        <v>4805</v>
      </c>
      <c r="B1370" s="4" t="str">
        <f>C1370 &amp; "." &amp; D1370</f>
        <v>SendIntents.IntentRequiredOptOutPhrase</v>
      </c>
      <c r="C1370" s="3" t="s">
        <v>4728</v>
      </c>
      <c r="D1370" s="3" t="s">
        <v>4806</v>
      </c>
      <c r="E1370" s="3" t="s">
        <v>2509</v>
      </c>
      <c r="F1370" s="3" t="s">
        <v>2417</v>
      </c>
      <c r="G1370" s="3" t="s">
        <v>4807</v>
      </c>
      <c r="H1370" s="3" t="s">
        <v>2107</v>
      </c>
      <c r="I1370" s="4" t="b">
        <f>OR(((E1370 = "calculated")=TRUE), ((E1370 = "lookup")=TRUE), ((E1370 = "aggregation")=TRUE))</f>
        <v>1</v>
      </c>
      <c r="J1370" s="4" t="b">
        <f>H1370 &lt;&gt; ""</f>
        <v>1</v>
      </c>
      <c r="K1370" s="4">
        <f>COUNTIFS(FieldDisagreements!D2:D50, A1370)</f>
        <v>0</v>
      </c>
      <c r="L1370" s="4" t="b">
        <f>K1370 &gt; 0</f>
        <v>0</v>
      </c>
      <c r="M1370" s="3" t="s">
        <v>2418</v>
      </c>
    </row>
    <row r="1371">
      <c r="A1371" s="3" t="s">
        <v>4808</v>
      </c>
      <c r="B1371" s="4" t="str">
        <f>C1371 &amp; "." &amp; D1371</f>
        <v>SendIntents.ProposedOptOutPosition</v>
      </c>
      <c r="C1371" s="3" t="s">
        <v>4728</v>
      </c>
      <c r="D1371" s="3" t="s">
        <v>4809</v>
      </c>
      <c r="E1371" s="3" t="s">
        <v>2416</v>
      </c>
      <c r="F1371" s="3" t="s">
        <v>2470</v>
      </c>
      <c r="G1371" s="3"/>
      <c r="H1371" s="3" t="s">
        <v>2107</v>
      </c>
      <c r="I1371" s="4" t="b">
        <f>OR(((E1371 = "calculated")=TRUE), ((E1371 = "lookup")=TRUE), ((E1371 = "aggregation")=TRUE))</f>
        <v>0</v>
      </c>
      <c r="J1371" s="4" t="b">
        <f>H1371 &lt;&gt; ""</f>
        <v>1</v>
      </c>
      <c r="K1371" s="4">
        <f>COUNTIFS(FieldDisagreements!D2:D50, A1371)</f>
        <v>0</v>
      </c>
      <c r="L1371" s="4" t="b">
        <f>K1371 &gt; 0</f>
        <v>0</v>
      </c>
      <c r="M1371" s="3" t="s">
        <v>2418</v>
      </c>
    </row>
    <row r="1372">
      <c r="A1372" s="3" t="s">
        <v>4810</v>
      </c>
      <c r="B1372" s="4" t="str">
        <f>C1372 &amp; "." &amp; D1372</f>
        <v>SendIntents.OptOutGatePassed</v>
      </c>
      <c r="C1372" s="3" t="s">
        <v>4728</v>
      </c>
      <c r="D1372" s="3" t="s">
        <v>4811</v>
      </c>
      <c r="E1372" s="3" t="s">
        <v>2420</v>
      </c>
      <c r="F1372" s="3" t="s">
        <v>2432</v>
      </c>
      <c r="G1372" s="3" t="s">
        <v>4812</v>
      </c>
      <c r="H1372" s="3" t="s">
        <v>2107</v>
      </c>
      <c r="I1372" s="4" t="b">
        <f>OR(((E1372 = "calculated")=TRUE), ((E1372 = "lookup")=TRUE), ((E1372 = "aggregation")=TRUE))</f>
        <v>1</v>
      </c>
      <c r="J1372" s="4" t="b">
        <f>H1372 &lt;&gt; ""</f>
        <v>1</v>
      </c>
      <c r="K1372" s="4">
        <f>COUNTIFS(FieldDisagreements!D2:D50, A1372)</f>
        <v>0</v>
      </c>
      <c r="L1372" s="4" t="b">
        <f>K1372 &gt; 0</f>
        <v>0</v>
      </c>
      <c r="M1372" s="3" t="s">
        <v>2418</v>
      </c>
    </row>
    <row r="1373">
      <c r="A1373" s="3" t="s">
        <v>4813</v>
      </c>
      <c r="B1373" s="4" t="str">
        <f>C1373 &amp; "." &amp; D1373</f>
        <v>SendIntents.ContentGatePassed</v>
      </c>
      <c r="C1373" s="3" t="s">
        <v>4728</v>
      </c>
      <c r="D1373" s="3" t="s">
        <v>4814</v>
      </c>
      <c r="E1373" s="3" t="s">
        <v>2420</v>
      </c>
      <c r="F1373" s="3" t="s">
        <v>2432</v>
      </c>
      <c r="G1373" s="3" t="s">
        <v>4815</v>
      </c>
      <c r="H1373" s="3" t="s">
        <v>2107</v>
      </c>
      <c r="I1373" s="4" t="b">
        <f>OR(((E1373 = "calculated")=TRUE), ((E1373 = "lookup")=TRUE), ((E1373 = "aggregation")=TRUE))</f>
        <v>1</v>
      </c>
      <c r="J1373" s="4" t="b">
        <f>H1373 &lt;&gt; ""</f>
        <v>1</v>
      </c>
      <c r="K1373" s="4">
        <f>COUNTIFS(FieldDisagreements!D2:D50, A1373)</f>
        <v>0</v>
      </c>
      <c r="L1373" s="4" t="b">
        <f>K1373 &gt; 0</f>
        <v>0</v>
      </c>
      <c r="M1373" s="3" t="s">
        <v>2418</v>
      </c>
    </row>
    <row r="1374">
      <c r="A1374" s="3" t="s">
        <v>4816</v>
      </c>
      <c r="B1374" s="4" t="str">
        <f>C1374 &amp; "." &amp; D1374</f>
        <v>SendIntents.TemplateIsSendable</v>
      </c>
      <c r="C1374" s="3" t="s">
        <v>4728</v>
      </c>
      <c r="D1374" s="3" t="s">
        <v>4817</v>
      </c>
      <c r="E1374" s="3" t="s">
        <v>2509</v>
      </c>
      <c r="F1374" s="3" t="s">
        <v>2432</v>
      </c>
      <c r="G1374" s="3" t="s">
        <v>4625</v>
      </c>
      <c r="H1374" s="3" t="s">
        <v>2111</v>
      </c>
      <c r="I1374" s="4" t="b">
        <f>OR(((E1374 = "calculated")=TRUE), ((E1374 = "lookup")=TRUE), ((E1374 = "aggregation")=TRUE))</f>
        <v>1</v>
      </c>
      <c r="J1374" s="4" t="b">
        <f>H1374 &lt;&gt; ""</f>
        <v>1</v>
      </c>
      <c r="K1374" s="4">
        <f>COUNTIFS(FieldDisagreements!D2:D50, A1374)</f>
        <v>0</v>
      </c>
      <c r="L1374" s="4" t="b">
        <f>K1374 &gt; 0</f>
        <v>0</v>
      </c>
      <c r="M1374" s="3" t="s">
        <v>2418</v>
      </c>
    </row>
    <row r="1375">
      <c r="A1375" s="3" t="s">
        <v>4818</v>
      </c>
      <c r="B1375" s="4" t="str">
        <f>C1375 &amp; "." &amp; D1375</f>
        <v>SendIntents.ExecutionHasLegalClearance</v>
      </c>
      <c r="C1375" s="3" t="s">
        <v>4728</v>
      </c>
      <c r="D1375" s="3" t="s">
        <v>4819</v>
      </c>
      <c r="E1375" s="3" t="s">
        <v>2509</v>
      </c>
      <c r="F1375" s="3" t="s">
        <v>2432</v>
      </c>
      <c r="G1375" s="3" t="s">
        <v>4559</v>
      </c>
      <c r="H1375" s="3" t="s">
        <v>2111</v>
      </c>
      <c r="I1375" s="4" t="b">
        <f>OR(((E1375 = "calculated")=TRUE), ((E1375 = "lookup")=TRUE), ((E1375 = "aggregation")=TRUE))</f>
        <v>1</v>
      </c>
      <c r="J1375" s="4" t="b">
        <f>H1375 &lt;&gt; ""</f>
        <v>1</v>
      </c>
      <c r="K1375" s="4">
        <f>COUNTIFS(FieldDisagreements!D2:D50, A1375)</f>
        <v>0</v>
      </c>
      <c r="L1375" s="4" t="b">
        <f>K1375 &gt; 0</f>
        <v>0</v>
      </c>
      <c r="M1375" s="3" t="s">
        <v>2418</v>
      </c>
    </row>
    <row r="1376">
      <c r="A1376" s="3" t="s">
        <v>4820</v>
      </c>
      <c r="B1376" s="4" t="str">
        <f>C1376 &amp; "." &amp; D1376</f>
        <v>SendIntents.IntentApprovalRole</v>
      </c>
      <c r="C1376" s="3" t="s">
        <v>4728</v>
      </c>
      <c r="D1376" s="3" t="s">
        <v>4821</v>
      </c>
      <c r="E1376" s="3" t="s">
        <v>2509</v>
      </c>
      <c r="F1376" s="3" t="s">
        <v>2417</v>
      </c>
      <c r="G1376" s="3" t="s">
        <v>4822</v>
      </c>
      <c r="H1376" s="3" t="s">
        <v>2111</v>
      </c>
      <c r="I1376" s="4" t="b">
        <f>OR(((E1376 = "calculated")=TRUE), ((E1376 = "lookup")=TRUE), ((E1376 = "aggregation")=TRUE))</f>
        <v>1</v>
      </c>
      <c r="J1376" s="4" t="b">
        <f>H1376 &lt;&gt; ""</f>
        <v>1</v>
      </c>
      <c r="K1376" s="4">
        <f>COUNTIFS(FieldDisagreements!D2:D50, A1376)</f>
        <v>0</v>
      </c>
      <c r="L1376" s="4" t="b">
        <f>K1376 &gt; 0</f>
        <v>0</v>
      </c>
      <c r="M1376" s="3" t="s">
        <v>2418</v>
      </c>
    </row>
    <row r="1377">
      <c r="A1377" s="3" t="s">
        <v>4823</v>
      </c>
      <c r="B1377" s="4" t="str">
        <f>C1377 &amp; "." &amp; D1377</f>
        <v>SendIntents.ApprovalRoleAgentKind</v>
      </c>
      <c r="C1377" s="3" t="s">
        <v>4728</v>
      </c>
      <c r="D1377" s="3" t="s">
        <v>4824</v>
      </c>
      <c r="E1377" s="3" t="s">
        <v>2509</v>
      </c>
      <c r="F1377" s="3" t="s">
        <v>2417</v>
      </c>
      <c r="G1377" s="3" t="s">
        <v>4825</v>
      </c>
      <c r="H1377" s="3" t="s">
        <v>2111</v>
      </c>
      <c r="I1377" s="4" t="b">
        <f>OR(((E1377 = "calculated")=TRUE), ((E1377 = "lookup")=TRUE), ((E1377 = "aggregation")=TRUE))</f>
        <v>1</v>
      </c>
      <c r="J1377" s="4" t="b">
        <f>H1377 &lt;&gt; ""</f>
        <v>1</v>
      </c>
      <c r="K1377" s="4">
        <f>COUNTIFS(FieldDisagreements!D2:D50, A1377)</f>
        <v>0</v>
      </c>
      <c r="L1377" s="4" t="b">
        <f>K1377 &gt; 0</f>
        <v>0</v>
      </c>
      <c r="M1377" s="3" t="s">
        <v>2418</v>
      </c>
    </row>
    <row r="1378">
      <c r="A1378" s="3" t="s">
        <v>4826</v>
      </c>
      <c r="B1378" s="4" t="str">
        <f>C1378 &amp; "." &amp; D1378</f>
        <v>SendIntents.ApprovalIsHuman</v>
      </c>
      <c r="C1378" s="3" t="s">
        <v>4728</v>
      </c>
      <c r="D1378" s="3" t="s">
        <v>4827</v>
      </c>
      <c r="E1378" s="3" t="s">
        <v>2420</v>
      </c>
      <c r="F1378" s="3" t="s">
        <v>2432</v>
      </c>
      <c r="G1378" s="3" t="s">
        <v>4828</v>
      </c>
      <c r="H1378" s="3" t="s">
        <v>2111</v>
      </c>
      <c r="I1378" s="4" t="b">
        <f>OR(((E1378 = "calculated")=TRUE), ((E1378 = "lookup")=TRUE), ((E1378 = "aggregation")=TRUE))</f>
        <v>1</v>
      </c>
      <c r="J1378" s="4" t="b">
        <f>H1378 &lt;&gt; ""</f>
        <v>1</v>
      </c>
      <c r="K1378" s="4">
        <f>COUNTIFS(FieldDisagreements!D2:D50, A1378)</f>
        <v>0</v>
      </c>
      <c r="L1378" s="4" t="b">
        <f>K1378 &gt; 0</f>
        <v>0</v>
      </c>
      <c r="M1378" s="3" t="s">
        <v>2418</v>
      </c>
    </row>
    <row r="1379">
      <c r="A1379" s="3" t="s">
        <v>4829</v>
      </c>
      <c r="B1379" s="4" t="str">
        <f>C1379 &amp; "." &amp; D1379</f>
        <v>SendIntents.AuthorizationGatePassed</v>
      </c>
      <c r="C1379" s="3" t="s">
        <v>4728</v>
      </c>
      <c r="D1379" s="3" t="s">
        <v>4830</v>
      </c>
      <c r="E1379" s="3" t="s">
        <v>2420</v>
      </c>
      <c r="F1379" s="3" t="s">
        <v>2432</v>
      </c>
      <c r="G1379" s="3" t="s">
        <v>4831</v>
      </c>
      <c r="H1379" s="3" t="s">
        <v>2111</v>
      </c>
      <c r="I1379" s="4" t="b">
        <f>OR(((E1379 = "calculated")=TRUE), ((E1379 = "lookup")=TRUE), ((E1379 = "aggregation")=TRUE))</f>
        <v>1</v>
      </c>
      <c r="J1379" s="4" t="b">
        <f>H1379 &lt;&gt; ""</f>
        <v>1</v>
      </c>
      <c r="K1379" s="4">
        <f>COUNTIFS(FieldDisagreements!D2:D50, A1379)</f>
        <v>0</v>
      </c>
      <c r="L1379" s="4" t="b">
        <f>K1379 &gt; 0</f>
        <v>0</v>
      </c>
      <c r="M1379" s="3" t="s">
        <v>2418</v>
      </c>
    </row>
    <row r="1380">
      <c r="A1380" s="3" t="s">
        <v>4832</v>
      </c>
      <c r="B1380" s="4" t="str">
        <f>C1380 &amp; "." &amp; D1380</f>
        <v>SendIntents.IsClearedToSend</v>
      </c>
      <c r="C1380" s="3" t="s">
        <v>4728</v>
      </c>
      <c r="D1380" s="3" t="s">
        <v>4833</v>
      </c>
      <c r="E1380" s="3" t="s">
        <v>2420</v>
      </c>
      <c r="F1380" s="3" t="s">
        <v>2432</v>
      </c>
      <c r="G1380" s="3" t="s">
        <v>4834</v>
      </c>
      <c r="H1380" s="3" t="s">
        <v>2111</v>
      </c>
      <c r="I1380" s="4" t="b">
        <f>OR(((E1380 = "calculated")=TRUE), ((E1380 = "lookup")=TRUE), ((E1380 = "aggregation")=TRUE))</f>
        <v>1</v>
      </c>
      <c r="J1380" s="4" t="b">
        <f>H1380 &lt;&gt; ""</f>
        <v>1</v>
      </c>
      <c r="K1380" s="4">
        <f>COUNTIFS(FieldDisagreements!D2:D50, A1380)</f>
        <v>0</v>
      </c>
      <c r="L1380" s="4" t="b">
        <f>K1380 &gt; 0</f>
        <v>0</v>
      </c>
      <c r="M1380" s="3" t="s">
        <v>2418</v>
      </c>
    </row>
    <row r="1381">
      <c r="A1381" s="3" t="s">
        <v>4835</v>
      </c>
      <c r="B1381" s="4" t="str">
        <f>C1381 &amp; "." &amp; D1381</f>
        <v>SendIntents.BlockingGateName</v>
      </c>
      <c r="C1381" s="3" t="s">
        <v>4728</v>
      </c>
      <c r="D1381" s="3" t="s">
        <v>4836</v>
      </c>
      <c r="E1381" s="3" t="s">
        <v>2420</v>
      </c>
      <c r="F1381" s="3" t="s">
        <v>2417</v>
      </c>
      <c r="G1381" s="3" t="s">
        <v>4837</v>
      </c>
      <c r="H1381" s="3" t="s">
        <v>2111</v>
      </c>
      <c r="I1381" s="4" t="b">
        <f>OR(((E1381 = "calculated")=TRUE), ((E1381 = "lookup")=TRUE), ((E1381 = "aggregation")=TRUE))</f>
        <v>1</v>
      </c>
      <c r="J1381" s="4" t="b">
        <f>H1381 &lt;&gt; ""</f>
        <v>1</v>
      </c>
      <c r="K1381" s="4">
        <f>COUNTIFS(FieldDisagreements!D2:D50, A1381)</f>
        <v>0</v>
      </c>
      <c r="L1381" s="4" t="b">
        <f>K1381 &gt; 0</f>
        <v>0</v>
      </c>
      <c r="M1381" s="3" t="s">
        <v>2418</v>
      </c>
    </row>
    <row r="1382">
      <c r="A1382" s="3" t="s">
        <v>4838</v>
      </c>
      <c r="B1382" s="4" t="str">
        <f>C1382 &amp; "." &amp; D1382</f>
        <v>SendIntents.HasResultingDelivery</v>
      </c>
      <c r="C1382" s="3" t="s">
        <v>4728</v>
      </c>
      <c r="D1382" s="3" t="s">
        <v>4839</v>
      </c>
      <c r="E1382" s="3" t="s">
        <v>2420</v>
      </c>
      <c r="F1382" s="3" t="s">
        <v>2432</v>
      </c>
      <c r="G1382" s="3" t="s">
        <v>4840</v>
      </c>
      <c r="H1382" s="3" t="s">
        <v>2115</v>
      </c>
      <c r="I1382" s="4" t="b">
        <f>OR(((E1382 = "calculated")=TRUE), ((E1382 = "lookup")=TRUE), ((E1382 = "aggregation")=TRUE))</f>
        <v>1</v>
      </c>
      <c r="J1382" s="4" t="b">
        <f>H1382 &lt;&gt; ""</f>
        <v>1</v>
      </c>
      <c r="K1382" s="4">
        <f>COUNTIFS(FieldDisagreements!D2:D50, A1382)</f>
        <v>0</v>
      </c>
      <c r="L1382" s="4" t="b">
        <f>K1382 &gt; 0</f>
        <v>0</v>
      </c>
      <c r="M1382" s="3" t="s">
        <v>2418</v>
      </c>
    </row>
    <row r="1383">
      <c r="A1383" s="3" t="s">
        <v>4841</v>
      </c>
      <c r="B1383" s="4" t="str">
        <f>C1383 &amp; "." &amp; D1383</f>
        <v>SendIntents.ResultingDeliveryWasTransmitted</v>
      </c>
      <c r="C1383" s="3" t="s">
        <v>4728</v>
      </c>
      <c r="D1383" s="3" t="s">
        <v>4842</v>
      </c>
      <c r="E1383" s="3" t="s">
        <v>2509</v>
      </c>
      <c r="F1383" s="3" t="s">
        <v>2432</v>
      </c>
      <c r="G1383" s="3" t="s">
        <v>4843</v>
      </c>
      <c r="H1383" s="3" t="s">
        <v>2115</v>
      </c>
      <c r="I1383" s="4" t="b">
        <f>OR(((E1383 = "calculated")=TRUE), ((E1383 = "lookup")=TRUE), ((E1383 = "aggregation")=TRUE))</f>
        <v>1</v>
      </c>
      <c r="J1383" s="4" t="b">
        <f>H1383 &lt;&gt; ""</f>
        <v>1</v>
      </c>
      <c r="K1383" s="4">
        <f>COUNTIFS(FieldDisagreements!D2:D50, A1383)</f>
        <v>0</v>
      </c>
      <c r="L1383" s="4" t="b">
        <f>K1383 &gt; 0</f>
        <v>0</v>
      </c>
      <c r="M1383" s="3" t="s">
        <v>2418</v>
      </c>
    </row>
    <row r="1384">
      <c r="A1384" s="3" t="s">
        <v>4844</v>
      </c>
      <c r="B1384" s="4" t="str">
        <f>C1384 &amp; "." &amp; D1384</f>
        <v>SendIntents.IsOverriddenRefusal</v>
      </c>
      <c r="C1384" s="3" t="s">
        <v>4728</v>
      </c>
      <c r="D1384" s="3" t="s">
        <v>4845</v>
      </c>
      <c r="E1384" s="3" t="s">
        <v>2420</v>
      </c>
      <c r="F1384" s="3" t="s">
        <v>2432</v>
      </c>
      <c r="G1384" s="3" t="s">
        <v>4846</v>
      </c>
      <c r="H1384" s="3" t="s">
        <v>2115</v>
      </c>
      <c r="I1384" s="4" t="b">
        <f>OR(((E1384 = "calculated")=TRUE), ((E1384 = "lookup")=TRUE), ((E1384 = "aggregation")=TRUE))</f>
        <v>1</v>
      </c>
      <c r="J1384" s="4" t="b">
        <f>H1384 &lt;&gt; ""</f>
        <v>1</v>
      </c>
      <c r="K1384" s="4">
        <f>COUNTIFS(FieldDisagreements!D2:D50, A1384)</f>
        <v>0</v>
      </c>
      <c r="L1384" s="4" t="b">
        <f>K1384 &gt; 0</f>
        <v>0</v>
      </c>
      <c r="M1384" s="3" t="s">
        <v>2418</v>
      </c>
    </row>
    <row r="1385">
      <c r="A1385" s="3" t="s">
        <v>4847</v>
      </c>
      <c r="B1385" s="4" t="str">
        <f>C1385 &amp; "." &amp; D1385</f>
        <v>SendIntents.IsSilentlyDropped</v>
      </c>
      <c r="C1385" s="3" t="s">
        <v>4728</v>
      </c>
      <c r="D1385" s="3" t="s">
        <v>4848</v>
      </c>
      <c r="E1385" s="3" t="s">
        <v>2420</v>
      </c>
      <c r="F1385" s="3" t="s">
        <v>2432</v>
      </c>
      <c r="G1385" s="3" t="s">
        <v>4849</v>
      </c>
      <c r="H1385" s="3" t="s">
        <v>2115</v>
      </c>
      <c r="I1385" s="4" t="b">
        <f>OR(((E1385 = "calculated")=TRUE), ((E1385 = "lookup")=TRUE), ((E1385 = "aggregation")=TRUE))</f>
        <v>1</v>
      </c>
      <c r="J1385" s="4" t="b">
        <f>H1385 &lt;&gt; ""</f>
        <v>1</v>
      </c>
      <c r="K1385" s="4">
        <f>COUNTIFS(FieldDisagreements!D2:D50, A1385)</f>
        <v>0</v>
      </c>
      <c r="L1385" s="4" t="b">
        <f>K1385 &gt; 0</f>
        <v>0</v>
      </c>
      <c r="M1385" s="3" t="s">
        <v>2418</v>
      </c>
    </row>
    <row r="1386">
      <c r="A1386" s="3" t="s">
        <v>4850</v>
      </c>
      <c r="B1386" s="4" t="str">
        <f>C1386 &amp; "." &amp; D1386</f>
        <v>SendIntents.ResultingDeliveryException</v>
      </c>
      <c r="C1386" s="3" t="s">
        <v>4728</v>
      </c>
      <c r="D1386" s="3" t="s">
        <v>4851</v>
      </c>
      <c r="E1386" s="3" t="s">
        <v>2509</v>
      </c>
      <c r="F1386" s="3" t="s">
        <v>2417</v>
      </c>
      <c r="G1386" s="3" t="s">
        <v>4852</v>
      </c>
      <c r="H1386" s="3" t="s">
        <v>2115</v>
      </c>
      <c r="I1386" s="4" t="b">
        <f>OR(((E1386 = "calculated")=TRUE), ((E1386 = "lookup")=TRUE), ((E1386 = "aggregation")=TRUE))</f>
        <v>1</v>
      </c>
      <c r="J1386" s="4" t="b">
        <f>H1386 &lt;&gt; ""</f>
        <v>1</v>
      </c>
      <c r="K1386" s="4">
        <f>COUNTIFS(FieldDisagreements!D2:D50, A1386)</f>
        <v>0</v>
      </c>
      <c r="L1386" s="4" t="b">
        <f>K1386 &gt; 0</f>
        <v>0</v>
      </c>
      <c r="M1386" s="3" t="s">
        <v>2418</v>
      </c>
    </row>
    <row r="1387">
      <c r="A1387" s="3" t="s">
        <v>4853</v>
      </c>
      <c r="B1387" s="4" t="str">
        <f>C1387 &amp; "." &amp; D1387</f>
        <v>SendIntents.RefusalCitedAnException</v>
      </c>
      <c r="C1387" s="3" t="s">
        <v>4728</v>
      </c>
      <c r="D1387" s="3" t="s">
        <v>4854</v>
      </c>
      <c r="E1387" s="3" t="s">
        <v>2420</v>
      </c>
      <c r="F1387" s="3" t="s">
        <v>2432</v>
      </c>
      <c r="G1387" s="3" t="s">
        <v>4855</v>
      </c>
      <c r="H1387" s="3" t="s">
        <v>2115</v>
      </c>
      <c r="I1387" s="4" t="b">
        <f>OR(((E1387 = "calculated")=TRUE), ((E1387 = "lookup")=TRUE), ((E1387 = "aggregation")=TRUE))</f>
        <v>1</v>
      </c>
      <c r="J1387" s="4" t="b">
        <f>H1387 &lt;&gt; ""</f>
        <v>1</v>
      </c>
      <c r="K1387" s="4">
        <f>COUNTIFS(FieldDisagreements!D2:D50, A1387)</f>
        <v>0</v>
      </c>
      <c r="L1387" s="4" t="b">
        <f>K1387 &gt; 0</f>
        <v>0</v>
      </c>
      <c r="M1387" s="3" t="s">
        <v>2418</v>
      </c>
    </row>
    <row r="1388">
      <c r="A1388" s="3" t="s">
        <v>4856</v>
      </c>
      <c r="B1388" s="4" t="str">
        <f>C1388 &amp; "." &amp; D1388</f>
        <v>SendIntents.IsProperlyHandledRefusal</v>
      </c>
      <c r="C1388" s="3" t="s">
        <v>4728</v>
      </c>
      <c r="D1388" s="3" t="s">
        <v>4857</v>
      </c>
      <c r="E1388" s="3" t="s">
        <v>2420</v>
      </c>
      <c r="F1388" s="3" t="s">
        <v>2432</v>
      </c>
      <c r="G1388" s="3" t="s">
        <v>4858</v>
      </c>
      <c r="H1388" s="3" t="s">
        <v>2115</v>
      </c>
      <c r="I1388" s="4" t="b">
        <f>OR(((E1388 = "calculated")=TRUE), ((E1388 = "lookup")=TRUE), ((E1388 = "aggregation")=TRUE))</f>
        <v>1</v>
      </c>
      <c r="J1388" s="4" t="b">
        <f>H1388 &lt;&gt; ""</f>
        <v>1</v>
      </c>
      <c r="K1388" s="4">
        <f>COUNTIFS(FieldDisagreements!D2:D50, A1388)</f>
        <v>0</v>
      </c>
      <c r="L1388" s="4" t="b">
        <f>K1388 &gt; 0</f>
        <v>0</v>
      </c>
      <c r="M1388" s="3" t="s">
        <v>2418</v>
      </c>
    </row>
    <row r="1389">
      <c r="A1389" s="3" t="s">
        <v>4859</v>
      </c>
      <c r="B1389" s="4" t="str">
        <f>C1389 &amp; "." &amp; D1389</f>
        <v>SendIntents.RefusalFailureExecutionKey</v>
      </c>
      <c r="C1389" s="3" t="s">
        <v>4728</v>
      </c>
      <c r="D1389" s="3" t="s">
        <v>4860</v>
      </c>
      <c r="E1389" s="3" t="s">
        <v>2420</v>
      </c>
      <c r="F1389" s="3" t="s">
        <v>2417</v>
      </c>
      <c r="G1389" s="3" t="s">
        <v>4861</v>
      </c>
      <c r="H1389" s="3" t="s">
        <v>2115</v>
      </c>
      <c r="I1389" s="4" t="b">
        <f>OR(((E1389 = "calculated")=TRUE), ((E1389 = "lookup")=TRUE), ((E1389 = "aggregation")=TRUE))</f>
        <v>1</v>
      </c>
      <c r="J1389" s="4" t="b">
        <f>H1389 &lt;&gt; ""</f>
        <v>1</v>
      </c>
      <c r="K1389" s="4">
        <f>COUNTIFS(FieldDisagreements!D2:D50, A1389)</f>
        <v>0</v>
      </c>
      <c r="L1389" s="4" t="b">
        <f>K1389 &gt; 0</f>
        <v>0</v>
      </c>
      <c r="M1389" s="3" t="s">
        <v>2418</v>
      </c>
    </row>
    <row r="1390">
      <c r="A1390" s="3" t="s">
        <v>4862</v>
      </c>
      <c r="B1390" s="4" t="str">
        <f>C1390 &amp; "." &amp; D1390</f>
        <v>SendIntents.IntentExecutionKey</v>
      </c>
      <c r="C1390" s="3" t="s">
        <v>4728</v>
      </c>
      <c r="D1390" s="3" t="s">
        <v>4863</v>
      </c>
      <c r="E1390" s="3" t="s">
        <v>2420</v>
      </c>
      <c r="F1390" s="3" t="s">
        <v>2417</v>
      </c>
      <c r="G1390" s="3" t="s">
        <v>4864</v>
      </c>
      <c r="H1390" s="3" t="s">
        <v>2319</v>
      </c>
      <c r="I1390" s="4" t="b">
        <f>OR(((E1390 = "calculated")=TRUE), ((E1390 = "lookup")=TRUE), ((E1390 = "aggregation")=TRUE))</f>
        <v>1</v>
      </c>
      <c r="J1390" s="4" t="b">
        <f>H1390 &lt;&gt; ""</f>
        <v>1</v>
      </c>
      <c r="K1390" s="4">
        <f>COUNTIFS(FieldDisagreements!D2:D50, A1390)</f>
        <v>0</v>
      </c>
      <c r="L1390" s="4" t="b">
        <f>K1390 &gt; 0</f>
        <v>0</v>
      </c>
      <c r="M1390" s="3" t="s">
        <v>2418</v>
      </c>
    </row>
    <row r="1391">
      <c r="A1391" s="3" t="s">
        <v>4865</v>
      </c>
      <c r="B1391" s="4" t="str">
        <f>C1391 &amp; "." &amp; D1391</f>
        <v>SendIntents.DeliveredIntentExecutionKey</v>
      </c>
      <c r="C1391" s="3" t="s">
        <v>4728</v>
      </c>
      <c r="D1391" s="3" t="s">
        <v>4866</v>
      </c>
      <c r="E1391" s="3" t="s">
        <v>2420</v>
      </c>
      <c r="F1391" s="3" t="s">
        <v>2417</v>
      </c>
      <c r="G1391" s="3" t="s">
        <v>4867</v>
      </c>
      <c r="H1391" s="3" t="s">
        <v>2319</v>
      </c>
      <c r="I1391" s="4" t="b">
        <f>OR(((E1391 = "calculated")=TRUE), ((E1391 = "lookup")=TRUE), ((E1391 = "aggregation")=TRUE))</f>
        <v>1</v>
      </c>
      <c r="J1391" s="4" t="b">
        <f>H1391 &lt;&gt; ""</f>
        <v>1</v>
      </c>
      <c r="K1391" s="4">
        <f>COUNTIFS(FieldDisagreements!D2:D50, A1391)</f>
        <v>0</v>
      </c>
      <c r="L1391" s="4" t="b">
        <f>K1391 &gt; 0</f>
        <v>0</v>
      </c>
      <c r="M1391" s="3" t="s">
        <v>2418</v>
      </c>
    </row>
    <row r="1392">
      <c r="A1392" s="3" t="s">
        <v>4868</v>
      </c>
      <c r="B1392" s="4" t="str">
        <f>C1392 &amp; "." &amp; D1392</f>
        <v>SendIntents.DroppedIntentExecutionKey</v>
      </c>
      <c r="C1392" s="3" t="s">
        <v>4728</v>
      </c>
      <c r="D1392" s="3" t="s">
        <v>4869</v>
      </c>
      <c r="E1392" s="3" t="s">
        <v>2420</v>
      </c>
      <c r="F1392" s="3" t="s">
        <v>2417</v>
      </c>
      <c r="G1392" s="3" t="s">
        <v>4870</v>
      </c>
      <c r="H1392" s="3" t="s">
        <v>2319</v>
      </c>
      <c r="I1392" s="4" t="b">
        <f>OR(((E1392 = "calculated")=TRUE), ((E1392 = "lookup")=TRUE), ((E1392 = "aggregation")=TRUE))</f>
        <v>1</v>
      </c>
      <c r="J1392" s="4" t="b">
        <f>H1392 &lt;&gt; ""</f>
        <v>1</v>
      </c>
      <c r="K1392" s="4">
        <f>COUNTIFS(FieldDisagreements!D2:D50, A1392)</f>
        <v>0</v>
      </c>
      <c r="L1392" s="4" t="b">
        <f>K1392 &gt; 0</f>
        <v>0</v>
      </c>
      <c r="M1392" s="3" t="s">
        <v>2418</v>
      </c>
    </row>
    <row r="1393">
      <c r="A1393" s="3" t="s">
        <v>4871</v>
      </c>
      <c r="B1393" s="4" t="str">
        <f>C1393 &amp; "." &amp; D1393</f>
        <v>SendIntents.MyApprovalWasInForce</v>
      </c>
      <c r="C1393" s="3" t="s">
        <v>4728</v>
      </c>
      <c r="D1393" s="3" t="s">
        <v>4872</v>
      </c>
      <c r="E1393" s="3" t="s">
        <v>2420</v>
      </c>
      <c r="F1393" s="3" t="s">
        <v>2432</v>
      </c>
      <c r="G1393" s="3" t="s">
        <v>4873</v>
      </c>
      <c r="H1393" s="3" t="s">
        <v>2327</v>
      </c>
      <c r="I1393" s="4" t="b">
        <f>OR(((E1393 = "calculated")=TRUE), ((E1393 = "lookup")=TRUE), ((E1393 = "aggregation")=TRUE))</f>
        <v>1</v>
      </c>
      <c r="J1393" s="4" t="b">
        <f>H1393 &lt;&gt; ""</f>
        <v>1</v>
      </c>
      <c r="K1393" s="4">
        <f>COUNTIFS(FieldDisagreements!D2:D50, A1393)</f>
        <v>0</v>
      </c>
      <c r="L1393" s="4" t="b">
        <f>K1393 &gt; 0</f>
        <v>0</v>
      </c>
      <c r="M1393" s="3" t="s">
        <v>2418</v>
      </c>
    </row>
    <row r="1394">
      <c r="A1394" s="3" t="s">
        <v>4874</v>
      </c>
      <c r="B1394" s="4" t="str">
        <f>C1394 &amp; "." &amp; D1394</f>
        <v>SendIntents.RefusedOnApprovedContent</v>
      </c>
      <c r="C1394" s="3" t="s">
        <v>4728</v>
      </c>
      <c r="D1394" s="3" t="s">
        <v>4875</v>
      </c>
      <c r="E1394" s="3" t="s">
        <v>2420</v>
      </c>
      <c r="F1394" s="3" t="s">
        <v>2432</v>
      </c>
      <c r="G1394" s="3" t="s">
        <v>4876</v>
      </c>
      <c r="H1394" s="3" t="s">
        <v>2327</v>
      </c>
      <c r="I1394" s="4" t="b">
        <f>OR(((E1394 = "calculated")=TRUE), ((E1394 = "lookup")=TRUE), ((E1394 = "aggregation")=TRUE))</f>
        <v>1</v>
      </c>
      <c r="J1394" s="4" t="b">
        <f>H1394 &lt;&gt; ""</f>
        <v>1</v>
      </c>
      <c r="K1394" s="4">
        <f>COUNTIFS(FieldDisagreements!D2:D50, A1394)</f>
        <v>0</v>
      </c>
      <c r="L1394" s="4" t="b">
        <f>K1394 &gt; 0</f>
        <v>0</v>
      </c>
      <c r="M1394" s="3" t="s">
        <v>2418</v>
      </c>
    </row>
    <row r="1395">
      <c r="A1395" s="3" t="s">
        <v>4877</v>
      </c>
      <c r="B1395" s="4" t="str">
        <f>C1395 &amp; "." &amp; D1395</f>
        <v>SendIntents.RefusedOnOptOutOnly</v>
      </c>
      <c r="C1395" s="3" t="s">
        <v>4728</v>
      </c>
      <c r="D1395" s="3" t="s">
        <v>4878</v>
      </c>
      <c r="E1395" s="3" t="s">
        <v>2420</v>
      </c>
      <c r="F1395" s="3" t="s">
        <v>2432</v>
      </c>
      <c r="G1395" s="3" t="s">
        <v>4879</v>
      </c>
      <c r="H1395" s="3" t="s">
        <v>2327</v>
      </c>
      <c r="I1395" s="4" t="b">
        <f>OR(((E1395 = "calculated")=TRUE), ((E1395 = "lookup")=TRUE), ((E1395 = "aggregation")=TRUE))</f>
        <v>1</v>
      </c>
      <c r="J1395" s="4" t="b">
        <f>H1395 &lt;&gt; ""</f>
        <v>1</v>
      </c>
      <c r="K1395" s="4">
        <f>COUNTIFS(FieldDisagreements!D2:D50, A1395)</f>
        <v>0</v>
      </c>
      <c r="L1395" s="4" t="b">
        <f>K1395 &gt; 0</f>
        <v>0</v>
      </c>
      <c r="M1395" s="3" t="s">
        <v>2418</v>
      </c>
    </row>
    <row r="1396">
      <c r="A1396" s="3" t="s">
        <v>4880</v>
      </c>
      <c r="B1396" s="4" t="str">
        <f>C1396 &amp; "." &amp; D1396</f>
        <v>SendIntents.RefusalWasOnMyRules</v>
      </c>
      <c r="C1396" s="3" t="s">
        <v>4728</v>
      </c>
      <c r="D1396" s="3" t="s">
        <v>4881</v>
      </c>
      <c r="E1396" s="3" t="s">
        <v>2420</v>
      </c>
      <c r="F1396" s="3" t="s">
        <v>2432</v>
      </c>
      <c r="G1396" s="3" t="s">
        <v>4882</v>
      </c>
      <c r="H1396" s="3" t="s">
        <v>2327</v>
      </c>
      <c r="I1396" s="4" t="b">
        <f>OR(((E1396 = "calculated")=TRUE), ((E1396 = "lookup")=TRUE), ((E1396 = "aggregation")=TRUE))</f>
        <v>1</v>
      </c>
      <c r="J1396" s="4" t="b">
        <f>H1396 &lt;&gt; ""</f>
        <v>1</v>
      </c>
      <c r="K1396" s="4">
        <f>COUNTIFS(FieldDisagreements!D2:D50, A1396)</f>
        <v>0</v>
      </c>
      <c r="L1396" s="4" t="b">
        <f>K1396 &gt; 0</f>
        <v>0</v>
      </c>
      <c r="M1396" s="3" t="s">
        <v>2418</v>
      </c>
    </row>
    <row r="1397">
      <c r="A1397" s="3" t="s">
        <v>4883</v>
      </c>
      <c r="B1397" s="4" t="str">
        <f>C1397 &amp; "." &amp; D1397</f>
        <v>SendIntents.RefusalWasOutsideMyControl</v>
      </c>
      <c r="C1397" s="3" t="s">
        <v>4728</v>
      </c>
      <c r="D1397" s="3" t="s">
        <v>4884</v>
      </c>
      <c r="E1397" s="3" t="s">
        <v>2420</v>
      </c>
      <c r="F1397" s="3" t="s">
        <v>2432</v>
      </c>
      <c r="G1397" s="3" t="s">
        <v>4885</v>
      </c>
      <c r="H1397" s="3" t="s">
        <v>2327</v>
      </c>
      <c r="I1397" s="4" t="b">
        <f>OR(((E1397 = "calculated")=TRUE), ((E1397 = "lookup")=TRUE), ((E1397 = "aggregation")=TRUE))</f>
        <v>1</v>
      </c>
      <c r="J1397" s="4" t="b">
        <f>H1397 &lt;&gt; ""</f>
        <v>1</v>
      </c>
      <c r="K1397" s="4">
        <f>COUNTIFS(FieldDisagreements!D2:D50, A1397)</f>
        <v>0</v>
      </c>
      <c r="L1397" s="4" t="b">
        <f>K1397 &gt; 0</f>
        <v>0</v>
      </c>
      <c r="M1397" s="3" t="s">
        <v>2418</v>
      </c>
    </row>
    <row r="1398">
      <c r="A1398" s="3" t="s">
        <v>4886</v>
      </c>
      <c r="B1398" s="4" t="str">
        <f>C1398 &amp; "." &amp; D1398</f>
        <v>SendIntents.ApproverWasNotified</v>
      </c>
      <c r="C1398" s="3" t="s">
        <v>4728</v>
      </c>
      <c r="D1398" s="3" t="s">
        <v>4887</v>
      </c>
      <c r="E1398" s="3" t="s">
        <v>2416</v>
      </c>
      <c r="F1398" s="3" t="s">
        <v>2432</v>
      </c>
      <c r="G1398" s="3"/>
      <c r="H1398" s="3" t="s">
        <v>2327</v>
      </c>
      <c r="I1398" s="4" t="b">
        <f>OR(((E1398 = "calculated")=TRUE), ((E1398 = "lookup")=TRUE), ((E1398 = "aggregation")=TRUE))</f>
        <v>0</v>
      </c>
      <c r="J1398" s="4" t="b">
        <f>H1398 &lt;&gt; ""</f>
        <v>1</v>
      </c>
      <c r="K1398" s="4">
        <f>COUNTIFS(FieldDisagreements!D2:D50, A1398)</f>
        <v>0</v>
      </c>
      <c r="L1398" s="4" t="b">
        <f>K1398 &gt; 0</f>
        <v>0</v>
      </c>
      <c r="M1398" s="3" t="s">
        <v>2418</v>
      </c>
    </row>
    <row r="1399">
      <c r="A1399" s="3" t="s">
        <v>4888</v>
      </c>
      <c r="B1399" s="4" t="str">
        <f>C1399 &amp; "." &amp; D1399</f>
        <v>SendIntents.IsUnreportedRefusalOnMyRules</v>
      </c>
      <c r="C1399" s="3" t="s">
        <v>4728</v>
      </c>
      <c r="D1399" s="3" t="s">
        <v>4889</v>
      </c>
      <c r="E1399" s="3" t="s">
        <v>2420</v>
      </c>
      <c r="F1399" s="3" t="s">
        <v>2432</v>
      </c>
      <c r="G1399" s="3" t="s">
        <v>4890</v>
      </c>
      <c r="H1399" s="3" t="s">
        <v>2327</v>
      </c>
      <c r="I1399" s="4" t="b">
        <f>OR(((E1399 = "calculated")=TRUE), ((E1399 = "lookup")=TRUE), ((E1399 = "aggregation")=TRUE))</f>
        <v>1</v>
      </c>
      <c r="J1399" s="4" t="b">
        <f>H1399 &lt;&gt; ""</f>
        <v>1</v>
      </c>
      <c r="K1399" s="4">
        <f>COUNTIFS(FieldDisagreements!D2:D50, A1399)</f>
        <v>0</v>
      </c>
      <c r="L1399" s="4" t="b">
        <f>K1399 &gt; 0</f>
        <v>0</v>
      </c>
      <c r="M1399" s="3" t="s">
        <v>2418</v>
      </c>
    </row>
    <row r="1400">
      <c r="A1400" s="3" t="s">
        <v>4891</v>
      </c>
      <c r="B1400" s="4" t="str">
        <f>C1400 &amp; "." &amp; D1400</f>
        <v>SendIntents.IsApprovalOverriddenSilently</v>
      </c>
      <c r="C1400" s="3" t="s">
        <v>4728</v>
      </c>
      <c r="D1400" s="3" t="s">
        <v>4892</v>
      </c>
      <c r="E1400" s="3" t="s">
        <v>2420</v>
      </c>
      <c r="F1400" s="3" t="s">
        <v>2432</v>
      </c>
      <c r="G1400" s="3" t="s">
        <v>4893</v>
      </c>
      <c r="H1400" s="3" t="s">
        <v>2327</v>
      </c>
      <c r="I1400" s="4" t="b">
        <f>OR(((E1400 = "calculated")=TRUE), ((E1400 = "lookup")=TRUE), ((E1400 = "aggregation")=TRUE))</f>
        <v>1</v>
      </c>
      <c r="J1400" s="4" t="b">
        <f>H1400 &lt;&gt; ""</f>
        <v>1</v>
      </c>
      <c r="K1400" s="4">
        <f>COUNTIFS(FieldDisagreements!D2:D50, A1400)</f>
        <v>0</v>
      </c>
      <c r="L1400" s="4" t="b">
        <f>K1400 &gt; 0</f>
        <v>0</v>
      </c>
      <c r="M1400" s="3" t="s">
        <v>2418</v>
      </c>
    </row>
    <row r="1401">
      <c r="A1401" s="3" t="s">
        <v>4894</v>
      </c>
      <c r="B1401" s="4" t="str">
        <f>C1401 &amp; "." &amp; D1401</f>
        <v>SendIntents.AlternateChannelIntent</v>
      </c>
      <c r="C1401" s="3" t="s">
        <v>4728</v>
      </c>
      <c r="D1401" s="3" t="s">
        <v>4895</v>
      </c>
      <c r="E1401" s="3" t="s">
        <v>2416</v>
      </c>
      <c r="F1401" s="3" t="s">
        <v>2417</v>
      </c>
      <c r="G1401" s="3"/>
      <c r="H1401" s="3" t="s">
        <v>2335</v>
      </c>
      <c r="I1401" s="4" t="b">
        <f>OR(((E1401 = "calculated")=TRUE), ((E1401 = "lookup")=TRUE), ((E1401 = "aggregation")=TRUE))</f>
        <v>0</v>
      </c>
      <c r="J1401" s="4" t="b">
        <f>H1401 &lt;&gt; ""</f>
        <v>1</v>
      </c>
      <c r="K1401" s="4">
        <f>COUNTIFS(FieldDisagreements!D2:D50, A1401)</f>
        <v>0</v>
      </c>
      <c r="L1401" s="4" t="b">
        <f>K1401 &gt; 0</f>
        <v>0</v>
      </c>
      <c r="M1401" s="3" t="s">
        <v>2418</v>
      </c>
    </row>
    <row r="1402">
      <c r="A1402" s="3" t="s">
        <v>4896</v>
      </c>
      <c r="B1402" s="4" t="str">
        <f>C1402 &amp; "." &amp; D1402</f>
        <v>SendIntents.HasAlternateChannelAttempt</v>
      </c>
      <c r="C1402" s="3" t="s">
        <v>4728</v>
      </c>
      <c r="D1402" s="3" t="s">
        <v>4897</v>
      </c>
      <c r="E1402" s="3" t="s">
        <v>2420</v>
      </c>
      <c r="F1402" s="3" t="s">
        <v>2432</v>
      </c>
      <c r="G1402" s="3" t="s">
        <v>4898</v>
      </c>
      <c r="H1402" s="3" t="s">
        <v>2335</v>
      </c>
      <c r="I1402" s="4" t="b">
        <f>OR(((E1402 = "calculated")=TRUE), ((E1402 = "lookup")=TRUE), ((E1402 = "aggregation")=TRUE))</f>
        <v>1</v>
      </c>
      <c r="J1402" s="4" t="b">
        <f>H1402 &lt;&gt; ""</f>
        <v>1</v>
      </c>
      <c r="K1402" s="4">
        <f>COUNTIFS(FieldDisagreements!D2:D50, A1402)</f>
        <v>0</v>
      </c>
      <c r="L1402" s="4" t="b">
        <f>K1402 &gt; 0</f>
        <v>0</v>
      </c>
      <c r="M1402" s="3" t="s">
        <v>2418</v>
      </c>
    </row>
    <row r="1403">
      <c r="A1403" s="3" t="s">
        <v>4899</v>
      </c>
      <c r="B1403" s="4" t="str">
        <f>C1403 &amp; "." &amp; D1403</f>
        <v>SendIntents.AlternateAttemptWasCleared</v>
      </c>
      <c r="C1403" s="3" t="s">
        <v>4728</v>
      </c>
      <c r="D1403" s="3" t="s">
        <v>4900</v>
      </c>
      <c r="E1403" s="3" t="s">
        <v>2509</v>
      </c>
      <c r="F1403" s="3" t="s">
        <v>2432</v>
      </c>
      <c r="G1403" s="3" t="s">
        <v>4901</v>
      </c>
      <c r="H1403" s="3" t="s">
        <v>2335</v>
      </c>
      <c r="I1403" s="4" t="b">
        <f>OR(((E1403 = "calculated")=TRUE), ((E1403 = "lookup")=TRUE), ((E1403 = "aggregation")=TRUE))</f>
        <v>1</v>
      </c>
      <c r="J1403" s="4" t="b">
        <f>H1403 &lt;&gt; ""</f>
        <v>1</v>
      </c>
      <c r="K1403" s="4">
        <f>COUNTIFS(FieldDisagreements!D2:D50, A1403)</f>
        <v>0</v>
      </c>
      <c r="L1403" s="4" t="b">
        <f>K1403 &gt; 0</f>
        <v>0</v>
      </c>
      <c r="M1403" s="3" t="s">
        <v>2418</v>
      </c>
    </row>
    <row r="1404">
      <c r="A1404" s="3" t="s">
        <v>4902</v>
      </c>
      <c r="B1404" s="4" t="str">
        <f>C1404 &amp; "." &amp; D1404</f>
        <v>SendIntents.IsRefusedWithNoAlternative</v>
      </c>
      <c r="C1404" s="3" t="s">
        <v>4728</v>
      </c>
      <c r="D1404" s="3" t="s">
        <v>4903</v>
      </c>
      <c r="E1404" s="3" t="s">
        <v>2420</v>
      </c>
      <c r="F1404" s="3" t="s">
        <v>2432</v>
      </c>
      <c r="G1404" s="3" t="s">
        <v>4904</v>
      </c>
      <c r="H1404" s="3" t="s">
        <v>2335</v>
      </c>
      <c r="I1404" s="4" t="b">
        <f>OR(((E1404 = "calculated")=TRUE), ((E1404 = "lookup")=TRUE), ((E1404 = "aggregation")=TRUE))</f>
        <v>1</v>
      </c>
      <c r="J1404" s="4" t="b">
        <f>H1404 &lt;&gt; ""</f>
        <v>1</v>
      </c>
      <c r="K1404" s="4">
        <f>COUNTIFS(FieldDisagreements!D2:D50, A1404)</f>
        <v>0</v>
      </c>
      <c r="L1404" s="4" t="b">
        <f>K1404 &gt; 0</f>
        <v>0</v>
      </c>
      <c r="M1404" s="3" t="s">
        <v>2418</v>
      </c>
    </row>
    <row r="1405">
      <c r="A1405" s="3" t="s">
        <v>4905</v>
      </c>
      <c r="B1405" s="4" t="str">
        <f>C1405 &amp; "." &amp; D1405</f>
        <v>SendIntents.ExceptionPrescribedAnAlternative</v>
      </c>
      <c r="C1405" s="3" t="s">
        <v>4728</v>
      </c>
      <c r="D1405" s="3" t="s">
        <v>4906</v>
      </c>
      <c r="E1405" s="3" t="s">
        <v>2420</v>
      </c>
      <c r="F1405" s="3" t="s">
        <v>2432</v>
      </c>
      <c r="G1405" s="3" t="s">
        <v>4907</v>
      </c>
      <c r="H1405" s="3" t="s">
        <v>2335</v>
      </c>
      <c r="I1405" s="4" t="b">
        <f>OR(((E1405 = "calculated")=TRUE), ((E1405 = "lookup")=TRUE), ((E1405 = "aggregation")=TRUE))</f>
        <v>1</v>
      </c>
      <c r="J1405" s="4" t="b">
        <f>H1405 &lt;&gt; ""</f>
        <v>1</v>
      </c>
      <c r="K1405" s="4">
        <f>COUNTIFS(FieldDisagreements!D2:D50, A1405)</f>
        <v>0</v>
      </c>
      <c r="L1405" s="4" t="b">
        <f>K1405 &gt; 0</f>
        <v>0</v>
      </c>
      <c r="M1405" s="3" t="s">
        <v>2418</v>
      </c>
    </row>
    <row r="1406">
      <c r="A1406" s="3" t="s">
        <v>4908</v>
      </c>
      <c r="B1406" s="4" t="str">
        <f>C1406 &amp; "." &amp; D1406</f>
        <v>SendIntents.PrescribedHandlingWasPerformed</v>
      </c>
      <c r="C1406" s="3" t="s">
        <v>4728</v>
      </c>
      <c r="D1406" s="3" t="s">
        <v>4909</v>
      </c>
      <c r="E1406" s="3" t="s">
        <v>2420</v>
      </c>
      <c r="F1406" s="3" t="s">
        <v>2432</v>
      </c>
      <c r="G1406" s="3" t="s">
        <v>4910</v>
      </c>
      <c r="H1406" s="3" t="s">
        <v>2335</v>
      </c>
      <c r="I1406" s="4" t="b">
        <f>OR(((E1406 = "calculated")=TRUE), ((E1406 = "lookup")=TRUE), ((E1406 = "aggregation")=TRUE))</f>
        <v>1</v>
      </c>
      <c r="J1406" s="4" t="b">
        <f>H1406 &lt;&gt; ""</f>
        <v>1</v>
      </c>
      <c r="K1406" s="4">
        <f>COUNTIFS(FieldDisagreements!D2:D50, A1406)</f>
        <v>0</v>
      </c>
      <c r="L1406" s="4" t="b">
        <f>K1406 &gt; 0</f>
        <v>0</v>
      </c>
      <c r="M1406" s="3" t="s">
        <v>2418</v>
      </c>
    </row>
    <row r="1407">
      <c r="A1407" s="3" t="s">
        <v>4911</v>
      </c>
      <c r="B1407" s="4" t="str">
        <f>C1407 &amp; "." &amp; D1407</f>
        <v>SendIntents.IsSuppressionWithoutRemedy</v>
      </c>
      <c r="C1407" s="3" t="s">
        <v>4728</v>
      </c>
      <c r="D1407" s="3" t="s">
        <v>4912</v>
      </c>
      <c r="E1407" s="3" t="s">
        <v>2420</v>
      </c>
      <c r="F1407" s="3" t="s">
        <v>2432</v>
      </c>
      <c r="G1407" s="3" t="s">
        <v>4913</v>
      </c>
      <c r="H1407" s="3" t="s">
        <v>2335</v>
      </c>
      <c r="I1407" s="4" t="b">
        <f>OR(((E1407 = "calculated")=TRUE), ((E1407 = "lookup")=TRUE), ((E1407 = "aggregation")=TRUE))</f>
        <v>1</v>
      </c>
      <c r="J1407" s="4" t="b">
        <f>H1407 &lt;&gt; ""</f>
        <v>1</v>
      </c>
      <c r="K1407" s="4">
        <f>COUNTIFS(FieldDisagreements!D2:D50, A1407)</f>
        <v>0</v>
      </c>
      <c r="L1407" s="4" t="b">
        <f>K1407 &gt; 0</f>
        <v>0</v>
      </c>
      <c r="M1407" s="3" t="s">
        <v>2418</v>
      </c>
    </row>
    <row r="1408">
      <c r="A1408" s="3" t="s">
        <v>4914</v>
      </c>
      <c r="B1408" s="4" t="str">
        <f>C1408 &amp; "." &amp; D1408</f>
        <v>SendIntents.RefusalRecordedAt</v>
      </c>
      <c r="C1408" s="3" t="s">
        <v>4728</v>
      </c>
      <c r="D1408" s="3" t="s">
        <v>4915</v>
      </c>
      <c r="E1408" s="3" t="s">
        <v>2416</v>
      </c>
      <c r="F1408" s="3" t="s">
        <v>2428</v>
      </c>
      <c r="G1408" s="3"/>
      <c r="H1408" s="3" t="s">
        <v>2359</v>
      </c>
      <c r="I1408" s="4" t="b">
        <f>OR(((E1408 = "calculated")=TRUE), ((E1408 = "lookup")=TRUE), ((E1408 = "aggregation")=TRUE))</f>
        <v>0</v>
      </c>
      <c r="J1408" s="4" t="b">
        <f>H1408 &lt;&gt; ""</f>
        <v>1</v>
      </c>
      <c r="K1408" s="4">
        <f>COUNTIFS(FieldDisagreements!D2:D50, A1408)</f>
        <v>0</v>
      </c>
      <c r="L1408" s="4" t="b">
        <f>K1408 &gt; 0</f>
        <v>0</v>
      </c>
      <c r="M1408" s="3" t="s">
        <v>2418</v>
      </c>
    </row>
    <row r="1409">
      <c r="A1409" s="3" t="s">
        <v>4916</v>
      </c>
      <c r="B1409" s="4" t="str">
        <f>C1409 &amp; "." &amp; D1409</f>
        <v>SendIntents.RefusalNotifiedRole</v>
      </c>
      <c r="C1409" s="3" t="s">
        <v>4728</v>
      </c>
      <c r="D1409" s="3" t="s">
        <v>4917</v>
      </c>
      <c r="E1409" s="3" t="s">
        <v>2465</v>
      </c>
      <c r="F1409" s="3" t="s">
        <v>2417</v>
      </c>
      <c r="G1409" s="3"/>
      <c r="H1409" s="3" t="s">
        <v>2359</v>
      </c>
      <c r="I1409" s="4" t="b">
        <f>OR(((E1409 = "calculated")=TRUE), ((E1409 = "lookup")=TRUE), ((E1409 = "aggregation")=TRUE))</f>
        <v>0</v>
      </c>
      <c r="J1409" s="4" t="b">
        <f>H1409 &lt;&gt; ""</f>
        <v>1</v>
      </c>
      <c r="K1409" s="4">
        <f>COUNTIFS(FieldDisagreements!D2:D50, A1409)</f>
        <v>0</v>
      </c>
      <c r="L1409" s="4" t="b">
        <f>K1409 &gt; 0</f>
        <v>0</v>
      </c>
      <c r="M1409" s="3" t="s">
        <v>2418</v>
      </c>
    </row>
    <row r="1410">
      <c r="A1410" s="3" t="s">
        <v>4918</v>
      </c>
      <c r="B1410" s="4" t="str">
        <f>C1410 &amp; "." &amp; D1410</f>
        <v>SendIntents.HasDurableRefusalRecord</v>
      </c>
      <c r="C1410" s="3" t="s">
        <v>4728</v>
      </c>
      <c r="D1410" s="3" t="s">
        <v>4919</v>
      </c>
      <c r="E1410" s="3" t="s">
        <v>2420</v>
      </c>
      <c r="F1410" s="3" t="s">
        <v>2432</v>
      </c>
      <c r="G1410" s="3" t="s">
        <v>4920</v>
      </c>
      <c r="H1410" s="3" t="s">
        <v>2359</v>
      </c>
      <c r="I1410" s="4" t="b">
        <f>OR(((E1410 = "calculated")=TRUE), ((E1410 = "lookup")=TRUE), ((E1410 = "aggregation")=TRUE))</f>
        <v>1</v>
      </c>
      <c r="J1410" s="4" t="b">
        <f>H1410 &lt;&gt; ""</f>
        <v>1</v>
      </c>
      <c r="K1410" s="4">
        <f>COUNTIFS(FieldDisagreements!D2:D50, A1410)</f>
        <v>0</v>
      </c>
      <c r="L1410" s="4" t="b">
        <f>K1410 &gt; 0</f>
        <v>0</v>
      </c>
      <c r="M1410" s="3" t="s">
        <v>2418</v>
      </c>
    </row>
    <row r="1411">
      <c r="A1411" s="3" t="s">
        <v>4921</v>
      </c>
      <c r="B1411" s="4" t="str">
        <f>C1411 &amp; "." &amp; D1411</f>
        <v>SendIntents.RefusalWasEscalated</v>
      </c>
      <c r="C1411" s="3" t="s">
        <v>4728</v>
      </c>
      <c r="D1411" s="3" t="s">
        <v>4922</v>
      </c>
      <c r="E1411" s="3" t="s">
        <v>2420</v>
      </c>
      <c r="F1411" s="3" t="s">
        <v>2432</v>
      </c>
      <c r="G1411" s="3" t="s">
        <v>4923</v>
      </c>
      <c r="H1411" s="3" t="s">
        <v>2359</v>
      </c>
      <c r="I1411" s="4" t="b">
        <f>OR(((E1411 = "calculated")=TRUE), ((E1411 = "lookup")=TRUE), ((E1411 = "aggregation")=TRUE))</f>
        <v>1</v>
      </c>
      <c r="J1411" s="4" t="b">
        <f>H1411 &lt;&gt; ""</f>
        <v>1</v>
      </c>
      <c r="K1411" s="4">
        <f>COUNTIFS(FieldDisagreements!D2:D50, A1411)</f>
        <v>0</v>
      </c>
      <c r="L1411" s="4" t="b">
        <f>K1411 &gt; 0</f>
        <v>0</v>
      </c>
      <c r="M1411" s="3" t="s">
        <v>2418</v>
      </c>
    </row>
    <row r="1412">
      <c r="A1412" s="3" t="s">
        <v>4924</v>
      </c>
      <c r="B1412" s="4" t="str">
        <f>C1412 &amp; "." &amp; D1412</f>
        <v>SendIntents.IsUnrecordedRefusal</v>
      </c>
      <c r="C1412" s="3" t="s">
        <v>4728</v>
      </c>
      <c r="D1412" s="3" t="s">
        <v>4925</v>
      </c>
      <c r="E1412" s="3" t="s">
        <v>2420</v>
      </c>
      <c r="F1412" s="3" t="s">
        <v>2432</v>
      </c>
      <c r="G1412" s="3" t="s">
        <v>4926</v>
      </c>
      <c r="H1412" s="3" t="s">
        <v>2359</v>
      </c>
      <c r="I1412" s="4" t="b">
        <f>OR(((E1412 = "calculated")=TRUE), ((E1412 = "lookup")=TRUE), ((E1412 = "aggregation")=TRUE))</f>
        <v>1</v>
      </c>
      <c r="J1412" s="4" t="b">
        <f>H1412 &lt;&gt; ""</f>
        <v>1</v>
      </c>
      <c r="K1412" s="4">
        <f>COUNTIFS(FieldDisagreements!D2:D50, A1412)</f>
        <v>0</v>
      </c>
      <c r="L1412" s="4" t="b">
        <f>K1412 &gt; 0</f>
        <v>0</v>
      </c>
      <c r="M1412" s="3" t="s">
        <v>2418</v>
      </c>
    </row>
    <row r="1413">
      <c r="A1413" s="3" t="s">
        <v>4927</v>
      </c>
      <c r="B1413" s="4" t="str">
        <f>C1413 &amp; "." &amp; D1413</f>
        <v>SendIntents.IsUnescalatedRefusal</v>
      </c>
      <c r="C1413" s="3" t="s">
        <v>4728</v>
      </c>
      <c r="D1413" s="3" t="s">
        <v>4928</v>
      </c>
      <c r="E1413" s="3" t="s">
        <v>2420</v>
      </c>
      <c r="F1413" s="3" t="s">
        <v>2432</v>
      </c>
      <c r="G1413" s="3" t="s">
        <v>4929</v>
      </c>
      <c r="H1413" s="3" t="s">
        <v>2359</v>
      </c>
      <c r="I1413" s="4" t="b">
        <f>OR(((E1413 = "calculated")=TRUE), ((E1413 = "lookup")=TRUE), ((E1413 = "aggregation")=TRUE))</f>
        <v>1</v>
      </c>
      <c r="J1413" s="4" t="b">
        <f>H1413 &lt;&gt; ""</f>
        <v>1</v>
      </c>
      <c r="K1413" s="4">
        <f>COUNTIFS(FieldDisagreements!D2:D50, A1413)</f>
        <v>0</v>
      </c>
      <c r="L1413" s="4" t="b">
        <f>K1413 &gt; 0</f>
        <v>0</v>
      </c>
      <c r="M1413" s="3" t="s">
        <v>2418</v>
      </c>
    </row>
    <row r="1414">
      <c r="A1414" s="3" t="s">
        <v>4930</v>
      </c>
      <c r="B1414" s="4" t="str">
        <f>C1414 &amp; "." &amp; D1414</f>
        <v>SendIntents.UnescalatedRefusalRoleKey</v>
      </c>
      <c r="C1414" s="3" t="s">
        <v>4728</v>
      </c>
      <c r="D1414" s="3" t="s">
        <v>4931</v>
      </c>
      <c r="E1414" s="3" t="s">
        <v>2420</v>
      </c>
      <c r="F1414" s="3" t="s">
        <v>2417</v>
      </c>
      <c r="G1414" s="3" t="s">
        <v>4932</v>
      </c>
      <c r="H1414" s="3" t="s">
        <v>2359</v>
      </c>
      <c r="I1414" s="4" t="b">
        <f>OR(((E1414 = "calculated")=TRUE), ((E1414 = "lookup")=TRUE), ((E1414 = "aggregation")=TRUE))</f>
        <v>1</v>
      </c>
      <c r="J1414" s="4" t="b">
        <f>H1414 &lt;&gt; ""</f>
        <v>1</v>
      </c>
      <c r="K1414" s="4">
        <f>COUNTIFS(FieldDisagreements!D2:D50, A1414)</f>
        <v>0</v>
      </c>
      <c r="L1414" s="4" t="b">
        <f>K1414 &gt; 0</f>
        <v>0</v>
      </c>
      <c r="M1414" s="3" t="s">
        <v>2418</v>
      </c>
    </row>
    <row r="1415">
      <c r="A1415" s="3" t="s">
        <v>4933</v>
      </c>
      <c r="B1415" s="4" t="str">
        <f>C1415 &amp; "." &amp; D1415</f>
        <v>SendIntents.UnrecordedRefusalExecutionKey</v>
      </c>
      <c r="C1415" s="3" t="s">
        <v>4728</v>
      </c>
      <c r="D1415" s="3" t="s">
        <v>4934</v>
      </c>
      <c r="E1415" s="3" t="s">
        <v>2420</v>
      </c>
      <c r="F1415" s="3" t="s">
        <v>2417</v>
      </c>
      <c r="G1415" s="3" t="s">
        <v>4935</v>
      </c>
      <c r="H1415" s="3" t="s">
        <v>2359</v>
      </c>
      <c r="I1415" s="4" t="b">
        <f>OR(((E1415 = "calculated")=TRUE), ((E1415 = "lookup")=TRUE), ((E1415 = "aggregation")=TRUE))</f>
        <v>1</v>
      </c>
      <c r="J1415" s="4" t="b">
        <f>H1415 &lt;&gt; ""</f>
        <v>1</v>
      </c>
      <c r="K1415" s="4">
        <f>COUNTIFS(FieldDisagreements!D2:D50, A1415)</f>
        <v>0</v>
      </c>
      <c r="L1415" s="4" t="b">
        <f>K1415 &gt; 0</f>
        <v>0</v>
      </c>
      <c r="M1415" s="3" t="s">
        <v>2418</v>
      </c>
    </row>
    <row r="1416">
      <c r="A1416" s="3" t="s">
        <v>4936</v>
      </c>
      <c r="B1416" s="4" t="str">
        <f>C1416 &amp; "." &amp; D1416</f>
        <v>SendIntents.RetryIntent</v>
      </c>
      <c r="C1416" s="3" t="s">
        <v>4728</v>
      </c>
      <c r="D1416" s="3" t="s">
        <v>4937</v>
      </c>
      <c r="E1416" s="3" t="s">
        <v>2416</v>
      </c>
      <c r="F1416" s="3" t="s">
        <v>2417</v>
      </c>
      <c r="G1416" s="3"/>
      <c r="H1416" s="3" t="s">
        <v>2363</v>
      </c>
      <c r="I1416" s="4" t="b">
        <f>OR(((E1416 = "calculated")=TRUE), ((E1416 = "lookup")=TRUE), ((E1416 = "aggregation")=TRUE))</f>
        <v>0</v>
      </c>
      <c r="J1416" s="4" t="b">
        <f>H1416 &lt;&gt; ""</f>
        <v>1</v>
      </c>
      <c r="K1416" s="4">
        <f>COUNTIFS(FieldDisagreements!D2:D50, A1416)</f>
        <v>0</v>
      </c>
      <c r="L1416" s="4" t="b">
        <f>K1416 &gt; 0</f>
        <v>0</v>
      </c>
      <c r="M1416" s="3" t="s">
        <v>2418</v>
      </c>
    </row>
    <row r="1417">
      <c r="A1417" s="3" t="s">
        <v>4938</v>
      </c>
      <c r="B1417" s="4" t="str">
        <f>C1417 &amp; "." &amp; D1417</f>
        <v>SendIntents.WasDeferredOnTiming</v>
      </c>
      <c r="C1417" s="3" t="s">
        <v>4728</v>
      </c>
      <c r="D1417" s="3" t="s">
        <v>4939</v>
      </c>
      <c r="E1417" s="3" t="s">
        <v>2420</v>
      </c>
      <c r="F1417" s="3" t="s">
        <v>2432</v>
      </c>
      <c r="G1417" s="3" t="s">
        <v>4940</v>
      </c>
      <c r="H1417" s="3" t="s">
        <v>2363</v>
      </c>
      <c r="I1417" s="4" t="b">
        <f>OR(((E1417 = "calculated")=TRUE), ((E1417 = "lookup")=TRUE), ((E1417 = "aggregation")=TRUE))</f>
        <v>1</v>
      </c>
      <c r="J1417" s="4" t="b">
        <f>H1417 &lt;&gt; ""</f>
        <v>1</v>
      </c>
      <c r="K1417" s="4">
        <f>COUNTIFS(FieldDisagreements!D2:D50, A1417)</f>
        <v>0</v>
      </c>
      <c r="L1417" s="4" t="b">
        <f>K1417 &gt; 0</f>
        <v>0</v>
      </c>
      <c r="M1417" s="3" t="s">
        <v>2418</v>
      </c>
    </row>
    <row r="1418">
      <c r="A1418" s="3" t="s">
        <v>4941</v>
      </c>
      <c r="B1418" s="4" t="str">
        <f>C1418 &amp; "." &amp; D1418</f>
        <v>SendIntents.EvaluationContext</v>
      </c>
      <c r="C1418" s="3" t="s">
        <v>4728</v>
      </c>
      <c r="D1418" s="3" t="s">
        <v>258</v>
      </c>
      <c r="E1418" s="3" t="s">
        <v>2465</v>
      </c>
      <c r="F1418" s="3" t="s">
        <v>2417</v>
      </c>
      <c r="G1418" s="3"/>
      <c r="H1418" s="3"/>
      <c r="I1418" s="4" t="b">
        <f>OR(((E1418 = "calculated")=TRUE), ((E1418 = "lookup")=TRUE), ((E1418 = "aggregation")=TRUE))</f>
        <v>0</v>
      </c>
      <c r="J1418" s="4" t="b">
        <f>H1418 &lt;&gt; ""</f>
        <v>0</v>
      </c>
      <c r="K1418" s="4">
        <f>COUNTIFS(FieldDisagreements!D2:D50, A1418)</f>
        <v>0</v>
      </c>
      <c r="L1418" s="4" t="b">
        <f>K1418 &gt; 0</f>
        <v>0</v>
      </c>
      <c r="M1418" s="3" t="s">
        <v>2418</v>
      </c>
    </row>
    <row r="1419">
      <c r="A1419" s="3" t="s">
        <v>4942</v>
      </c>
      <c r="B1419" s="4" t="str">
        <f>C1419 &amp; "." &amp; D1419</f>
        <v>SendIntents.AsOfInstant</v>
      </c>
      <c r="C1419" s="3" t="s">
        <v>4728</v>
      </c>
      <c r="D1419" s="3" t="s">
        <v>92</v>
      </c>
      <c r="E1419" s="3" t="s">
        <v>2509</v>
      </c>
      <c r="F1419" s="3" t="s">
        <v>2428</v>
      </c>
      <c r="G1419" s="3" t="s">
        <v>2555</v>
      </c>
      <c r="H1419" s="3"/>
      <c r="I1419" s="4" t="b">
        <f>OR(((E1419 = "calculated")=TRUE), ((E1419 = "lookup")=TRUE), ((E1419 = "aggregation")=TRUE))</f>
        <v>1</v>
      </c>
      <c r="J1419" s="4" t="b">
        <f>H1419 &lt;&gt; ""</f>
        <v>0</v>
      </c>
      <c r="K1419" s="4">
        <f>COUNTIFS(FieldDisagreements!D2:D50, A1419)</f>
        <v>0</v>
      </c>
      <c r="L1419" s="4" t="b">
        <f>K1419 &gt; 0</f>
        <v>0</v>
      </c>
      <c r="M1419" s="3" t="s">
        <v>2418</v>
      </c>
    </row>
    <row r="1420">
      <c r="A1420" s="3" t="s">
        <v>4943</v>
      </c>
      <c r="B1420" s="4" t="str">
        <f>C1420 &amp; "." &amp; D1420</f>
        <v>SendIntents.WindowHasSinceReopened</v>
      </c>
      <c r="C1420" s="3" t="s">
        <v>4728</v>
      </c>
      <c r="D1420" s="3" t="s">
        <v>4944</v>
      </c>
      <c r="E1420" s="3" t="s">
        <v>2420</v>
      </c>
      <c r="F1420" s="3" t="s">
        <v>2432</v>
      </c>
      <c r="G1420" s="3" t="s">
        <v>4945</v>
      </c>
      <c r="H1420" s="3" t="s">
        <v>2363</v>
      </c>
      <c r="I1420" s="4" t="b">
        <f>OR(((E1420 = "calculated")=TRUE), ((E1420 = "lookup")=TRUE), ((E1420 = "aggregation")=TRUE))</f>
        <v>1</v>
      </c>
      <c r="J1420" s="4" t="b">
        <f>H1420 &lt;&gt; ""</f>
        <v>1</v>
      </c>
      <c r="K1420" s="4">
        <f>COUNTIFS(FieldDisagreements!D2:D50, A1420)</f>
        <v>0</v>
      </c>
      <c r="L1420" s="4" t="b">
        <f>K1420 &gt; 0</f>
        <v>0</v>
      </c>
      <c r="M1420" s="3" t="s">
        <v>2418</v>
      </c>
    </row>
    <row r="1421">
      <c r="A1421" s="3" t="s">
        <v>4946</v>
      </c>
      <c r="B1421" s="4" t="str">
        <f>C1421 &amp; "." &amp; D1421</f>
        <v>SendIntents.HasRetryAttempt</v>
      </c>
      <c r="C1421" s="3" t="s">
        <v>4728</v>
      </c>
      <c r="D1421" s="3" t="s">
        <v>4947</v>
      </c>
      <c r="E1421" s="3" t="s">
        <v>2420</v>
      </c>
      <c r="F1421" s="3" t="s">
        <v>2432</v>
      </c>
      <c r="G1421" s="3" t="s">
        <v>4948</v>
      </c>
      <c r="H1421" s="3" t="s">
        <v>2363</v>
      </c>
      <c r="I1421" s="4" t="b">
        <f>OR(((E1421 = "calculated")=TRUE), ((E1421 = "lookup")=TRUE), ((E1421 = "aggregation")=TRUE))</f>
        <v>1</v>
      </c>
      <c r="J1421" s="4" t="b">
        <f>H1421 &lt;&gt; ""</f>
        <v>1</v>
      </c>
      <c r="K1421" s="4">
        <f>COUNTIFS(FieldDisagreements!D2:D50, A1421)</f>
        <v>0</v>
      </c>
      <c r="L1421" s="4" t="b">
        <f>K1421 &gt; 0</f>
        <v>0</v>
      </c>
      <c r="M1421" s="3" t="s">
        <v>2418</v>
      </c>
    </row>
    <row r="1422">
      <c r="A1422" s="3" t="s">
        <v>4949</v>
      </c>
      <c r="B1422" s="4" t="str">
        <f>C1422 &amp; "." &amp; D1422</f>
        <v>SendIntents.RetryWasCleared</v>
      </c>
      <c r="C1422" s="3" t="s">
        <v>4728</v>
      </c>
      <c r="D1422" s="3" t="s">
        <v>4950</v>
      </c>
      <c r="E1422" s="3" t="s">
        <v>2509</v>
      </c>
      <c r="F1422" s="3" t="s">
        <v>2432</v>
      </c>
      <c r="G1422" s="3" t="s">
        <v>4951</v>
      </c>
      <c r="H1422" s="3" t="s">
        <v>2363</v>
      </c>
      <c r="I1422" s="4" t="b">
        <f>OR(((E1422 = "calculated")=TRUE), ((E1422 = "lookup")=TRUE), ((E1422 = "aggregation")=TRUE))</f>
        <v>1</v>
      </c>
      <c r="J1422" s="4" t="b">
        <f>H1422 &lt;&gt; ""</f>
        <v>1</v>
      </c>
      <c r="K1422" s="4">
        <f>COUNTIFS(FieldDisagreements!D2:D50, A1422)</f>
        <v>0</v>
      </c>
      <c r="L1422" s="4" t="b">
        <f>K1422 &gt; 0</f>
        <v>0</v>
      </c>
      <c r="M1422" s="3" t="s">
        <v>2418</v>
      </c>
    </row>
    <row r="1423">
      <c r="A1423" s="3" t="s">
        <v>4952</v>
      </c>
      <c r="B1423" s="4" t="str">
        <f>C1423 &amp; "." &amp; D1423</f>
        <v>SendIntents.IsAbandonedDeferral</v>
      </c>
      <c r="C1423" s="3" t="s">
        <v>4728</v>
      </c>
      <c r="D1423" s="3" t="s">
        <v>4953</v>
      </c>
      <c r="E1423" s="3" t="s">
        <v>2420</v>
      </c>
      <c r="F1423" s="3" t="s">
        <v>2432</v>
      </c>
      <c r="G1423" s="3" t="s">
        <v>4954</v>
      </c>
      <c r="H1423" s="3" t="s">
        <v>2363</v>
      </c>
      <c r="I1423" s="4" t="b">
        <f>OR(((E1423 = "calculated")=TRUE), ((E1423 = "lookup")=TRUE), ((E1423 = "aggregation")=TRUE))</f>
        <v>1</v>
      </c>
      <c r="J1423" s="4" t="b">
        <f>H1423 &lt;&gt; ""</f>
        <v>1</v>
      </c>
      <c r="K1423" s="4">
        <f>COUNTIFS(FieldDisagreements!D2:D50, A1423)</f>
        <v>0</v>
      </c>
      <c r="L1423" s="4" t="b">
        <f>K1423 &gt; 0</f>
        <v>0</v>
      </c>
      <c r="M1423" s="3" t="s">
        <v>2418</v>
      </c>
    </row>
    <row r="1424">
      <c r="A1424" s="3" t="s">
        <v>4955</v>
      </c>
      <c r="B1424" s="4" t="str">
        <f>C1424 &amp; "." &amp; D1424</f>
        <v>SendIntents.DeferralAgeHours</v>
      </c>
      <c r="C1424" s="3" t="s">
        <v>4728</v>
      </c>
      <c r="D1424" s="3" t="s">
        <v>4956</v>
      </c>
      <c r="E1424" s="3" t="s">
        <v>2420</v>
      </c>
      <c r="F1424" s="3" t="s">
        <v>2470</v>
      </c>
      <c r="G1424" s="3" t="s">
        <v>4957</v>
      </c>
      <c r="H1424" s="3" t="s">
        <v>2363</v>
      </c>
      <c r="I1424" s="4" t="b">
        <f>OR(((E1424 = "calculated")=TRUE), ((E1424 = "lookup")=TRUE), ((E1424 = "aggregation")=TRUE))</f>
        <v>1</v>
      </c>
      <c r="J1424" s="4" t="b">
        <f>H1424 &lt;&gt; ""</f>
        <v>1</v>
      </c>
      <c r="K1424" s="4">
        <f>COUNTIFS(FieldDisagreements!D2:D50, A1424)</f>
        <v>0</v>
      </c>
      <c r="L1424" s="4" t="b">
        <f>K1424 &gt; 0</f>
        <v>0</v>
      </c>
      <c r="M1424" s="3" t="s">
        <v>2418</v>
      </c>
    </row>
    <row r="1425">
      <c r="A1425" s="3" t="s">
        <v>4958</v>
      </c>
      <c r="B1425" s="4" t="str">
        <f>C1425 &amp; "." &amp; D1425</f>
        <v>SendIntents.IsStaleDeferral</v>
      </c>
      <c r="C1425" s="3" t="s">
        <v>4728</v>
      </c>
      <c r="D1425" s="3" t="s">
        <v>4959</v>
      </c>
      <c r="E1425" s="3" t="s">
        <v>2420</v>
      </c>
      <c r="F1425" s="3" t="s">
        <v>2432</v>
      </c>
      <c r="G1425" s="3" t="s">
        <v>4960</v>
      </c>
      <c r="H1425" s="3" t="s">
        <v>2363</v>
      </c>
      <c r="I1425" s="4" t="b">
        <f>OR(((E1425 = "calculated")=TRUE), ((E1425 = "lookup")=TRUE), ((E1425 = "aggregation")=TRUE))</f>
        <v>1</v>
      </c>
      <c r="J1425" s="4" t="b">
        <f>H1425 &lt;&gt; ""</f>
        <v>1</v>
      </c>
      <c r="K1425" s="4">
        <f>COUNTIFS(FieldDisagreements!D2:D50, A1425)</f>
        <v>0</v>
      </c>
      <c r="L1425" s="4" t="b">
        <f>K1425 &gt; 0</f>
        <v>0</v>
      </c>
      <c r="M1425" s="3" t="s">
        <v>2418</v>
      </c>
    </row>
    <row r="1426">
      <c r="A1426" s="3" t="s">
        <v>4961</v>
      </c>
      <c r="B1426" s="4" t="str">
        <f>C1426 &amp; "." &amp; D1426</f>
        <v>SendIntents.EvaluatingRoleAssignment</v>
      </c>
      <c r="C1426" s="3" t="s">
        <v>4728</v>
      </c>
      <c r="D1426" s="3" t="s">
        <v>4962</v>
      </c>
      <c r="E1426" s="3" t="s">
        <v>2416</v>
      </c>
      <c r="F1426" s="3" t="s">
        <v>2417</v>
      </c>
      <c r="G1426" s="3"/>
      <c r="H1426" s="3" t="s">
        <v>2367</v>
      </c>
      <c r="I1426" s="4" t="b">
        <f>OR(((E1426 = "calculated")=TRUE), ((E1426 = "lookup")=TRUE), ((E1426 = "aggregation")=TRUE))</f>
        <v>0</v>
      </c>
      <c r="J1426" s="4" t="b">
        <f>H1426 &lt;&gt; ""</f>
        <v>1</v>
      </c>
      <c r="K1426" s="4">
        <f>COUNTIFS(FieldDisagreements!D2:D50, A1426)</f>
        <v>0</v>
      </c>
      <c r="L1426" s="4" t="b">
        <f>K1426 &gt; 0</f>
        <v>0</v>
      </c>
      <c r="M1426" s="3" t="s">
        <v>2418</v>
      </c>
    </row>
    <row r="1427">
      <c r="A1427" s="3" t="s">
        <v>4963</v>
      </c>
      <c r="B1427" s="4" t="str">
        <f>C1427 &amp; "." &amp; D1427</f>
        <v>SendIntents.EnforcedByUnauthorizedAgent</v>
      </c>
      <c r="C1427" s="3" t="s">
        <v>4728</v>
      </c>
      <c r="D1427" s="3" t="s">
        <v>4964</v>
      </c>
      <c r="E1427" s="3" t="s">
        <v>2509</v>
      </c>
      <c r="F1427" s="3" t="s">
        <v>2432</v>
      </c>
      <c r="G1427" s="3" t="s">
        <v>4965</v>
      </c>
      <c r="H1427" s="3" t="s">
        <v>2367</v>
      </c>
      <c r="I1427" s="4" t="b">
        <f>OR(((E1427 = "calculated")=TRUE), ((E1427 = "lookup")=TRUE), ((E1427 = "aggregation")=TRUE))</f>
        <v>1</v>
      </c>
      <c r="J1427" s="4" t="b">
        <f>H1427 &lt;&gt; ""</f>
        <v>1</v>
      </c>
      <c r="K1427" s="4">
        <f>COUNTIFS(FieldDisagreements!D2:D50, A1427)</f>
        <v>0</v>
      </c>
      <c r="L1427" s="4" t="b">
        <f>K1427 &gt; 0</f>
        <v>0</v>
      </c>
      <c r="M1427" s="3" t="s">
        <v>2418</v>
      </c>
    </row>
    <row r="1428">
      <c r="A1428" s="3" t="s">
        <v>4966</v>
      </c>
      <c r="B1428" s="4" t="str">
        <f>C1428 &amp; "." &amp; D1428</f>
        <v>SendIntents.ConsentInputWasResolvable</v>
      </c>
      <c r="C1428" s="3" t="s">
        <v>4728</v>
      </c>
      <c r="D1428" s="3" t="s">
        <v>4967</v>
      </c>
      <c r="E1428" s="3" t="s">
        <v>2420</v>
      </c>
      <c r="F1428" s="3" t="s">
        <v>2432</v>
      </c>
      <c r="G1428" s="3" t="s">
        <v>4968</v>
      </c>
      <c r="H1428" s="3" t="s">
        <v>2371</v>
      </c>
      <c r="I1428" s="4" t="b">
        <f>OR(((E1428 = "calculated")=TRUE), ((E1428 = "lookup")=TRUE), ((E1428 = "aggregation")=TRUE))</f>
        <v>1</v>
      </c>
      <c r="J1428" s="4" t="b">
        <f>H1428 &lt;&gt; ""</f>
        <v>1</v>
      </c>
      <c r="K1428" s="4">
        <f>COUNTIFS(FieldDisagreements!D2:D50, A1428)</f>
        <v>0</v>
      </c>
      <c r="L1428" s="4" t="b">
        <f>K1428 &gt; 0</f>
        <v>0</v>
      </c>
      <c r="M1428" s="3" t="s">
        <v>2418</v>
      </c>
    </row>
    <row r="1429">
      <c r="A1429" s="3" t="s">
        <v>4969</v>
      </c>
      <c r="B1429" s="4" t="str">
        <f>C1429 &amp; "." &amp; D1429</f>
        <v>SendIntents.RecipientConsentStatusRaw</v>
      </c>
      <c r="C1429" s="3" t="s">
        <v>4728</v>
      </c>
      <c r="D1429" s="3" t="s">
        <v>4970</v>
      </c>
      <c r="E1429" s="3" t="s">
        <v>2509</v>
      </c>
      <c r="F1429" s="3" t="s">
        <v>2417</v>
      </c>
      <c r="G1429" s="3" t="s">
        <v>4971</v>
      </c>
      <c r="H1429" s="3" t="s">
        <v>2371</v>
      </c>
      <c r="I1429" s="4" t="b">
        <f>OR(((E1429 = "calculated")=TRUE), ((E1429 = "lookup")=TRUE), ((E1429 = "aggregation")=TRUE))</f>
        <v>1</v>
      </c>
      <c r="J1429" s="4" t="b">
        <f>H1429 &lt;&gt; ""</f>
        <v>1</v>
      </c>
      <c r="K1429" s="4">
        <f>COUNTIFS(FieldDisagreements!D2:D50, A1429)</f>
        <v>0</v>
      </c>
      <c r="L1429" s="4" t="b">
        <f>K1429 &gt; 0</f>
        <v>0</v>
      </c>
      <c r="M1429" s="3" t="s">
        <v>2418</v>
      </c>
    </row>
    <row r="1430">
      <c r="A1430" s="3" t="s">
        <v>4972</v>
      </c>
      <c r="B1430" s="4" t="str">
        <f>C1430 &amp; "." &amp; D1430</f>
        <v>SendIntents.PolicyInputWasResolvable</v>
      </c>
      <c r="C1430" s="3" t="s">
        <v>4728</v>
      </c>
      <c r="D1430" s="3" t="s">
        <v>4973</v>
      </c>
      <c r="E1430" s="3" t="s">
        <v>2420</v>
      </c>
      <c r="F1430" s="3" t="s">
        <v>2432</v>
      </c>
      <c r="G1430" s="3" t="s">
        <v>4974</v>
      </c>
      <c r="H1430" s="3" t="s">
        <v>2371</v>
      </c>
      <c r="I1430" s="4" t="b">
        <f>OR(((E1430 = "calculated")=TRUE), ((E1430 = "lookup")=TRUE), ((E1430 = "aggregation")=TRUE))</f>
        <v>1</v>
      </c>
      <c r="J1430" s="4" t="b">
        <f>H1430 &lt;&gt; ""</f>
        <v>1</v>
      </c>
      <c r="K1430" s="4">
        <f>COUNTIFS(FieldDisagreements!D2:D50, A1430)</f>
        <v>0</v>
      </c>
      <c r="L1430" s="4" t="b">
        <f>K1430 &gt; 0</f>
        <v>0</v>
      </c>
      <c r="M1430" s="3" t="s">
        <v>2418</v>
      </c>
    </row>
    <row r="1431">
      <c r="A1431" s="3" t="s">
        <v>4975</v>
      </c>
      <c r="B1431" s="4" t="str">
        <f>C1431 &amp; "." &amp; D1431</f>
        <v>SendIntents.AllGateInputsResolved</v>
      </c>
      <c r="C1431" s="3" t="s">
        <v>4728</v>
      </c>
      <c r="D1431" s="3" t="s">
        <v>4976</v>
      </c>
      <c r="E1431" s="3" t="s">
        <v>2420</v>
      </c>
      <c r="F1431" s="3" t="s">
        <v>2432</v>
      </c>
      <c r="G1431" s="3" t="s">
        <v>4977</v>
      </c>
      <c r="H1431" s="3" t="s">
        <v>2371</v>
      </c>
      <c r="I1431" s="4" t="b">
        <f>OR(((E1431 = "calculated")=TRUE), ((E1431 = "lookup")=TRUE), ((E1431 = "aggregation")=TRUE))</f>
        <v>1</v>
      </c>
      <c r="J1431" s="4" t="b">
        <f>H1431 &lt;&gt; ""</f>
        <v>1</v>
      </c>
      <c r="K1431" s="4">
        <f>COUNTIFS(FieldDisagreements!D2:D50, A1431)</f>
        <v>0</v>
      </c>
      <c r="L1431" s="4" t="b">
        <f>K1431 &gt; 0</f>
        <v>0</v>
      </c>
      <c r="M1431" s="3" t="s">
        <v>2418</v>
      </c>
    </row>
    <row r="1432">
      <c r="A1432" s="3" t="s">
        <v>4978</v>
      </c>
      <c r="B1432" s="4" t="str">
        <f>C1432 &amp; "." &amp; D1432</f>
        <v>SendIntents.IsUnevaluableRefusal</v>
      </c>
      <c r="C1432" s="3" t="s">
        <v>4728</v>
      </c>
      <c r="D1432" s="3" t="s">
        <v>4979</v>
      </c>
      <c r="E1432" s="3" t="s">
        <v>2420</v>
      </c>
      <c r="F1432" s="3" t="s">
        <v>2432</v>
      </c>
      <c r="G1432" s="3" t="s">
        <v>4980</v>
      </c>
      <c r="H1432" s="3" t="s">
        <v>2371</v>
      </c>
      <c r="I1432" s="4" t="b">
        <f>OR(((E1432 = "calculated")=TRUE), ((E1432 = "lookup")=TRUE), ((E1432 = "aggregation")=TRUE))</f>
        <v>1</v>
      </c>
      <c r="J1432" s="4" t="b">
        <f>H1432 &lt;&gt; ""</f>
        <v>1</v>
      </c>
      <c r="K1432" s="4">
        <f>COUNTIFS(FieldDisagreements!D2:D50, A1432)</f>
        <v>0</v>
      </c>
      <c r="L1432" s="4" t="b">
        <f>K1432 &gt; 0</f>
        <v>0</v>
      </c>
      <c r="M1432" s="3" t="s">
        <v>2418</v>
      </c>
    </row>
    <row r="1433">
      <c r="A1433" s="3" t="s">
        <v>4981</v>
      </c>
      <c r="B1433" s="4" t="str">
        <f>C1433 &amp; "." &amp; D1433</f>
        <v>SendIntents.GateResultWasIndependentlyConfirmed</v>
      </c>
      <c r="C1433" s="3" t="s">
        <v>4728</v>
      </c>
      <c r="D1433" s="3" t="s">
        <v>4982</v>
      </c>
      <c r="E1433" s="3" t="s">
        <v>2416</v>
      </c>
      <c r="F1433" s="3" t="s">
        <v>2432</v>
      </c>
      <c r="G1433" s="3"/>
      <c r="H1433" s="3" t="s">
        <v>2371</v>
      </c>
      <c r="I1433" s="4" t="b">
        <f>OR(((E1433 = "calculated")=TRUE), ((E1433 = "lookup")=TRUE), ((E1433 = "aggregation")=TRUE))</f>
        <v>0</v>
      </c>
      <c r="J1433" s="4" t="b">
        <f>H1433 &lt;&gt; ""</f>
        <v>1</v>
      </c>
      <c r="K1433" s="4">
        <f>COUNTIFS(FieldDisagreements!D2:D50, A1433)</f>
        <v>0</v>
      </c>
      <c r="L1433" s="4" t="b">
        <f>K1433 &gt; 0</f>
        <v>0</v>
      </c>
      <c r="M1433" s="3" t="s">
        <v>2418</v>
      </c>
    </row>
    <row r="1434">
      <c r="A1434" s="3" t="s">
        <v>4983</v>
      </c>
      <c r="B1434" s="4" t="str">
        <f>C1434 &amp; "." &amp; D1434</f>
        <v>SendIntents.IsSelfWitnessedDecision</v>
      </c>
      <c r="C1434" s="3" t="s">
        <v>4728</v>
      </c>
      <c r="D1434" s="3" t="s">
        <v>4984</v>
      </c>
      <c r="E1434" s="3" t="s">
        <v>2420</v>
      </c>
      <c r="F1434" s="3" t="s">
        <v>2432</v>
      </c>
      <c r="G1434" s="3" t="s">
        <v>4985</v>
      </c>
      <c r="H1434" s="3" t="s">
        <v>2371</v>
      </c>
      <c r="I1434" s="4" t="b">
        <f>OR(((E1434 = "calculated")=TRUE), ((E1434 = "lookup")=TRUE), ((E1434 = "aggregation")=TRUE))</f>
        <v>1</v>
      </c>
      <c r="J1434" s="4" t="b">
        <f>H1434 &lt;&gt; ""</f>
        <v>1</v>
      </c>
      <c r="K1434" s="4">
        <f>COUNTIFS(FieldDisagreements!D2:D50, A1434)</f>
        <v>0</v>
      </c>
      <c r="L1434" s="4" t="b">
        <f>K1434 &gt; 0</f>
        <v>0</v>
      </c>
      <c r="M1434" s="3" t="s">
        <v>2418</v>
      </c>
    </row>
    <row r="1435">
      <c r="A1435" s="3" t="s">
        <v>4986</v>
      </c>
      <c r="B1435" s="4" t="str">
        <f>C1435 &amp; "." &amp; D1435</f>
        <v>SendIntents.IsIndependentlyConfirmed</v>
      </c>
      <c r="C1435" s="3" t="s">
        <v>4728</v>
      </c>
      <c r="D1435" s="3" t="s">
        <v>4987</v>
      </c>
      <c r="E1435" s="3" t="s">
        <v>2420</v>
      </c>
      <c r="F1435" s="3" t="s">
        <v>2432</v>
      </c>
      <c r="G1435" s="3" t="s">
        <v>4988</v>
      </c>
      <c r="H1435" s="3" t="s">
        <v>2371</v>
      </c>
      <c r="I1435" s="4" t="b">
        <f>OR(((E1435 = "calculated")=TRUE), ((E1435 = "lookup")=TRUE), ((E1435 = "aggregation")=TRUE))</f>
        <v>1</v>
      </c>
      <c r="J1435" s="4" t="b">
        <f>H1435 &lt;&gt; ""</f>
        <v>1</v>
      </c>
      <c r="K1435" s="4">
        <f>COUNTIFS(FieldDisagreements!D2:D50, A1435)</f>
        <v>0</v>
      </c>
      <c r="L1435" s="4" t="b">
        <f>K1435 &gt; 0</f>
        <v>0</v>
      </c>
      <c r="M1435" s="3" t="s">
        <v>2418</v>
      </c>
    </row>
    <row r="1436">
      <c r="A1436" s="3" t="s">
        <v>4989</v>
      </c>
      <c r="B1436" s="4" t="str">
        <f>C1436 &amp; "." &amp; D1436</f>
        <v>SendIntents.IndependentlyConfirmedExecutionKey</v>
      </c>
      <c r="C1436" s="3" t="s">
        <v>4728</v>
      </c>
      <c r="D1436" s="3" t="s">
        <v>4990</v>
      </c>
      <c r="E1436" s="3" t="s">
        <v>2420</v>
      </c>
      <c r="F1436" s="3" t="s">
        <v>2417</v>
      </c>
      <c r="G1436" s="3" t="s">
        <v>4991</v>
      </c>
      <c r="H1436" s="3" t="s">
        <v>2371</v>
      </c>
      <c r="I1436" s="4" t="b">
        <f>OR(((E1436 = "calculated")=TRUE), ((E1436 = "lookup")=TRUE), ((E1436 = "aggregation")=TRUE))</f>
        <v>1</v>
      </c>
      <c r="J1436" s="4" t="b">
        <f>H1436 &lt;&gt; ""</f>
        <v>1</v>
      </c>
      <c r="K1436" s="4">
        <f>COUNTIFS(FieldDisagreements!D2:D50, A1436)</f>
        <v>0</v>
      </c>
      <c r="L1436" s="4" t="b">
        <f>K1436 &gt; 0</f>
        <v>0</v>
      </c>
      <c r="M1436" s="3" t="s">
        <v>2418</v>
      </c>
    </row>
    <row r="1437">
      <c r="A1437" s="3" t="s">
        <v>4992</v>
      </c>
      <c r="B1437" s="4" t="str">
        <f>C1437 &amp; "." &amp; D1437</f>
        <v>SendIntents.SemanticTypeIri</v>
      </c>
      <c r="C1437" s="3" t="s">
        <v>4728</v>
      </c>
      <c r="D1437" s="3" t="s">
        <v>94</v>
      </c>
      <c r="E1437" s="3" t="s">
        <v>2416</v>
      </c>
      <c r="F1437" s="3" t="s">
        <v>2417</v>
      </c>
      <c r="G1437" s="3"/>
      <c r="H1437" s="3"/>
      <c r="I1437" s="4" t="b">
        <f>OR(((E1437 = "calculated")=TRUE), ((E1437 = "lookup")=TRUE), ((E1437 = "aggregation")=TRUE))</f>
        <v>0</v>
      </c>
      <c r="J1437" s="4" t="b">
        <f>H1437 &lt;&gt; ""</f>
        <v>0</v>
      </c>
      <c r="K1437" s="4">
        <f>COUNTIFS(FieldDisagreements!D2:D50, A1437)</f>
        <v>0</v>
      </c>
      <c r="L1437" s="4" t="b">
        <f>K1437 &gt; 0</f>
        <v>0</v>
      </c>
      <c r="M1437" s="3" t="s">
        <v>2418</v>
      </c>
    </row>
    <row r="1438">
      <c r="A1438" s="3" t="s">
        <v>4993</v>
      </c>
      <c r="B1438" s="4" t="str">
        <f>C1438 &amp; "." &amp; D1438</f>
        <v>AgentDecisionRecords.AgentDecisionRecordId</v>
      </c>
      <c r="C1438" s="3" t="s">
        <v>4994</v>
      </c>
      <c r="D1438" s="3" t="s">
        <v>4995</v>
      </c>
      <c r="E1438" s="3" t="s">
        <v>2416</v>
      </c>
      <c r="F1438" s="3" t="s">
        <v>2417</v>
      </c>
      <c r="G1438" s="3"/>
      <c r="H1438" s="3"/>
      <c r="I1438" s="4" t="b">
        <f>OR(((E1438 = "calculated")=TRUE), ((E1438 = "lookup")=TRUE), ((E1438 = "aggregation")=TRUE))</f>
        <v>0</v>
      </c>
      <c r="J1438" s="4" t="b">
        <f>H1438 &lt;&gt; ""</f>
        <v>0</v>
      </c>
      <c r="K1438" s="4">
        <f>COUNTIFS(FieldDisagreements!D2:D50, A1438)</f>
        <v>0</v>
      </c>
      <c r="L1438" s="4" t="b">
        <f>K1438 &gt; 0</f>
        <v>0</v>
      </c>
      <c r="M1438" s="3" t="s">
        <v>2418</v>
      </c>
    </row>
    <row r="1439">
      <c r="A1439" s="3" t="s">
        <v>4996</v>
      </c>
      <c r="B1439" s="4" t="str">
        <f>C1439 &amp; "." &amp; D1439</f>
        <v>AgentDecisionRecords.Name</v>
      </c>
      <c r="C1439" s="3" t="s">
        <v>4994</v>
      </c>
      <c r="D1439" s="3" t="s">
        <v>1</v>
      </c>
      <c r="E1439" s="3" t="s">
        <v>2420</v>
      </c>
      <c r="F1439" s="3" t="s">
        <v>2417</v>
      </c>
      <c r="G1439" s="3" t="s">
        <v>4997</v>
      </c>
      <c r="H1439" s="3"/>
      <c r="I1439" s="4" t="b">
        <f>OR(((E1439 = "calculated")=TRUE), ((E1439 = "lookup")=TRUE), ((E1439 = "aggregation")=TRUE))</f>
        <v>1</v>
      </c>
      <c r="J1439" s="4" t="b">
        <f>H1439 &lt;&gt; ""</f>
        <v>0</v>
      </c>
      <c r="K1439" s="4">
        <f>COUNTIFS(FieldDisagreements!D2:D50, A1439)</f>
        <v>0</v>
      </c>
      <c r="L1439" s="4" t="b">
        <f>K1439 &gt; 0</f>
        <v>0</v>
      </c>
      <c r="M1439" s="3" t="s">
        <v>2418</v>
      </c>
    </row>
    <row r="1440">
      <c r="A1440" s="3" t="s">
        <v>4998</v>
      </c>
      <c r="B1440" s="4" t="str">
        <f>C1440 &amp; "." &amp; D1440</f>
        <v>AgentDecisionRecords.StepExecution</v>
      </c>
      <c r="C1440" s="3" t="s">
        <v>4994</v>
      </c>
      <c r="D1440" s="3" t="s">
        <v>1467</v>
      </c>
      <c r="E1440" s="3" t="s">
        <v>2465</v>
      </c>
      <c r="F1440" s="3" t="s">
        <v>2417</v>
      </c>
      <c r="G1440" s="3"/>
      <c r="H1440" s="3"/>
      <c r="I1440" s="4" t="b">
        <f>OR(((E1440 = "calculated")=TRUE), ((E1440 = "lookup")=TRUE), ((E1440 = "aggregation")=TRUE))</f>
        <v>0</v>
      </c>
      <c r="J1440" s="4" t="b">
        <f>H1440 &lt;&gt; ""</f>
        <v>0</v>
      </c>
      <c r="K1440" s="4">
        <f>COUNTIFS(FieldDisagreements!D2:D50, A1440)</f>
        <v>0</v>
      </c>
      <c r="L1440" s="4" t="b">
        <f>K1440 &gt; 0</f>
        <v>0</v>
      </c>
      <c r="M1440" s="3" t="s">
        <v>2418</v>
      </c>
    </row>
    <row r="1441">
      <c r="A1441" s="3" t="s">
        <v>4999</v>
      </c>
      <c r="B1441" s="4" t="str">
        <f>C1441 &amp; "." &amp; D1441</f>
        <v>AgentDecisionRecords.DecidingAgent</v>
      </c>
      <c r="C1441" s="3" t="s">
        <v>4994</v>
      </c>
      <c r="D1441" s="3" t="s">
        <v>5000</v>
      </c>
      <c r="E1441" s="3" t="s">
        <v>2465</v>
      </c>
      <c r="F1441" s="3" t="s">
        <v>2417</v>
      </c>
      <c r="G1441" s="3"/>
      <c r="H1441" s="3"/>
      <c r="I1441" s="4" t="b">
        <f>OR(((E1441 = "calculated")=TRUE), ((E1441 = "lookup")=TRUE), ((E1441 = "aggregation")=TRUE))</f>
        <v>0</v>
      </c>
      <c r="J1441" s="4" t="b">
        <f>H1441 &lt;&gt; ""</f>
        <v>0</v>
      </c>
      <c r="K1441" s="4">
        <f>COUNTIFS(FieldDisagreements!D2:D50, A1441)</f>
        <v>0</v>
      </c>
      <c r="L1441" s="4" t="b">
        <f>K1441 &gt; 0</f>
        <v>0</v>
      </c>
      <c r="M1441" s="3" t="s">
        <v>2418</v>
      </c>
    </row>
    <row r="1442">
      <c r="A1442" s="3" t="s">
        <v>5001</v>
      </c>
      <c r="B1442" s="4" t="str">
        <f>C1442 &amp; "." &amp; D1442</f>
        <v>AgentDecisionRecords.DecisionKind</v>
      </c>
      <c r="C1442" s="3" t="s">
        <v>4994</v>
      </c>
      <c r="D1442" s="3" t="s">
        <v>5002</v>
      </c>
      <c r="E1442" s="3" t="s">
        <v>2416</v>
      </c>
      <c r="F1442" s="3" t="s">
        <v>2417</v>
      </c>
      <c r="G1442" s="3"/>
      <c r="H1442" s="3"/>
      <c r="I1442" s="4" t="b">
        <f>OR(((E1442 = "calculated")=TRUE), ((E1442 = "lookup")=TRUE), ((E1442 = "aggregation")=TRUE))</f>
        <v>0</v>
      </c>
      <c r="J1442" s="4" t="b">
        <f>H1442 &lt;&gt; ""</f>
        <v>0</v>
      </c>
      <c r="K1442" s="4">
        <f>COUNTIFS(FieldDisagreements!D2:D50, A1442)</f>
        <v>0</v>
      </c>
      <c r="L1442" s="4" t="b">
        <f>K1442 &gt; 0</f>
        <v>0</v>
      </c>
      <c r="M1442" s="3" t="s">
        <v>2418</v>
      </c>
    </row>
    <row r="1443">
      <c r="A1443" s="3" t="s">
        <v>5003</v>
      </c>
      <c r="B1443" s="4" t="str">
        <f>C1443 &amp; "." &amp; D1443</f>
        <v>AgentDecisionRecords.DecisionSummary</v>
      </c>
      <c r="C1443" s="3" t="s">
        <v>4994</v>
      </c>
      <c r="D1443" s="3" t="s">
        <v>5004</v>
      </c>
      <c r="E1443" s="3" t="s">
        <v>2416</v>
      </c>
      <c r="F1443" s="3" t="s">
        <v>2417</v>
      </c>
      <c r="G1443" s="3"/>
      <c r="H1443" s="3"/>
      <c r="I1443" s="4" t="b">
        <f>OR(((E1443 = "calculated")=TRUE), ((E1443 = "lookup")=TRUE), ((E1443 = "aggregation")=TRUE))</f>
        <v>0</v>
      </c>
      <c r="J1443" s="4" t="b">
        <f>H1443 &lt;&gt; ""</f>
        <v>0</v>
      </c>
      <c r="K1443" s="4">
        <f>COUNTIFS(FieldDisagreements!D2:D50, A1443)</f>
        <v>0</v>
      </c>
      <c r="L1443" s="4" t="b">
        <f>K1443 &gt; 0</f>
        <v>0</v>
      </c>
      <c r="M1443" s="3" t="s">
        <v>2418</v>
      </c>
    </row>
    <row r="1444">
      <c r="A1444" s="3" t="s">
        <v>5005</v>
      </c>
      <c r="B1444" s="4" t="str">
        <f>C1444 &amp; "." &amp; D1444</f>
        <v>AgentDecisionRecords.DecidedAt</v>
      </c>
      <c r="C1444" s="3" t="s">
        <v>4994</v>
      </c>
      <c r="D1444" s="3" t="s">
        <v>1592</v>
      </c>
      <c r="E1444" s="3" t="s">
        <v>2416</v>
      </c>
      <c r="F1444" s="3" t="s">
        <v>2428</v>
      </c>
      <c r="G1444" s="3"/>
      <c r="H1444" s="3"/>
      <c r="I1444" s="4" t="b">
        <f>OR(((E1444 = "calculated")=TRUE), ((E1444 = "lookup")=TRUE), ((E1444 = "aggregation")=TRUE))</f>
        <v>0</v>
      </c>
      <c r="J1444" s="4" t="b">
        <f>H1444 &lt;&gt; ""</f>
        <v>0</v>
      </c>
      <c r="K1444" s="4">
        <f>COUNTIFS(FieldDisagreements!D2:D50, A1444)</f>
        <v>0</v>
      </c>
      <c r="L1444" s="4" t="b">
        <f>K1444 &gt; 0</f>
        <v>0</v>
      </c>
      <c r="M1444" s="3" t="s">
        <v>2418</v>
      </c>
    </row>
    <row r="1445">
      <c r="A1445" s="3" t="s">
        <v>5006</v>
      </c>
      <c r="B1445" s="4" t="str">
        <f>C1445 &amp; "." &amp; D1445</f>
        <v>AgentDecisionRecords.MaterialityBand</v>
      </c>
      <c r="C1445" s="3" t="s">
        <v>4994</v>
      </c>
      <c r="D1445" s="3" t="s">
        <v>5007</v>
      </c>
      <c r="E1445" s="3" t="s">
        <v>2416</v>
      </c>
      <c r="F1445" s="3" t="s">
        <v>2417</v>
      </c>
      <c r="G1445" s="3"/>
      <c r="H1445" s="3"/>
      <c r="I1445" s="4" t="b">
        <f>OR(((E1445 = "calculated")=TRUE), ((E1445 = "lookup")=TRUE), ((E1445 = "aggregation")=TRUE))</f>
        <v>0</v>
      </c>
      <c r="J1445" s="4" t="b">
        <f>H1445 &lt;&gt; ""</f>
        <v>0</v>
      </c>
      <c r="K1445" s="4">
        <f>COUNTIFS(FieldDisagreements!D2:D50, A1445)</f>
        <v>0</v>
      </c>
      <c r="L1445" s="4" t="b">
        <f>K1445 &gt; 0</f>
        <v>0</v>
      </c>
      <c r="M1445" s="3" t="s">
        <v>2418</v>
      </c>
    </row>
    <row r="1446">
      <c r="A1446" s="3" t="s">
        <v>5008</v>
      </c>
      <c r="B1446" s="4" t="str">
        <f>C1446 &amp; "." &amp; D1446</f>
        <v>AgentDecisionRecords.HumanDisposition</v>
      </c>
      <c r="C1446" s="3" t="s">
        <v>4994</v>
      </c>
      <c r="D1446" s="3" t="s">
        <v>5009</v>
      </c>
      <c r="E1446" s="3" t="s">
        <v>2416</v>
      </c>
      <c r="F1446" s="3" t="s">
        <v>2417</v>
      </c>
      <c r="G1446" s="3"/>
      <c r="H1446" s="3"/>
      <c r="I1446" s="4" t="b">
        <f>OR(((E1446 = "calculated")=TRUE), ((E1446 = "lookup")=TRUE), ((E1446 = "aggregation")=TRUE))</f>
        <v>0</v>
      </c>
      <c r="J1446" s="4" t="b">
        <f>H1446 &lt;&gt; ""</f>
        <v>0</v>
      </c>
      <c r="K1446" s="4">
        <f>COUNTIFS(FieldDisagreements!D2:D50, A1446)</f>
        <v>0</v>
      </c>
      <c r="L1446" s="4" t="b">
        <f>K1446 &gt; 0</f>
        <v>0</v>
      </c>
      <c r="M1446" s="3" t="s">
        <v>2418</v>
      </c>
    </row>
    <row r="1447">
      <c r="A1447" s="3" t="s">
        <v>5010</v>
      </c>
      <c r="B1447" s="4" t="str">
        <f>C1447 &amp; "." &amp; D1447</f>
        <v>AgentDecisionRecords.ReviewedByAgent</v>
      </c>
      <c r="C1447" s="3" t="s">
        <v>4994</v>
      </c>
      <c r="D1447" s="3" t="s">
        <v>1634</v>
      </c>
      <c r="E1447" s="3" t="s">
        <v>2465</v>
      </c>
      <c r="F1447" s="3" t="s">
        <v>2417</v>
      </c>
      <c r="G1447" s="3"/>
      <c r="H1447" s="3"/>
      <c r="I1447" s="4" t="b">
        <f>OR(((E1447 = "calculated")=TRUE), ((E1447 = "lookup")=TRUE), ((E1447 = "aggregation")=TRUE))</f>
        <v>0</v>
      </c>
      <c r="J1447" s="4" t="b">
        <f>H1447 &lt;&gt; ""</f>
        <v>0</v>
      </c>
      <c r="K1447" s="4">
        <f>COUNTIFS(FieldDisagreements!D2:D50, A1447)</f>
        <v>0</v>
      </c>
      <c r="L1447" s="4" t="b">
        <f>K1447 &gt; 0</f>
        <v>0</v>
      </c>
      <c r="M1447" s="3" t="s">
        <v>2418</v>
      </c>
    </row>
    <row r="1448">
      <c r="A1448" s="3" t="s">
        <v>5011</v>
      </c>
      <c r="B1448" s="4" t="str">
        <f>C1448 &amp; "." &amp; D1448</f>
        <v>AgentDecisionRecords.ReviewedAt</v>
      </c>
      <c r="C1448" s="3" t="s">
        <v>4994</v>
      </c>
      <c r="D1448" s="3" t="s">
        <v>1633</v>
      </c>
      <c r="E1448" s="3" t="s">
        <v>2416</v>
      </c>
      <c r="F1448" s="3" t="s">
        <v>2428</v>
      </c>
      <c r="G1448" s="3"/>
      <c r="H1448" s="3"/>
      <c r="I1448" s="4" t="b">
        <f>OR(((E1448 = "calculated")=TRUE), ((E1448 = "lookup")=TRUE), ((E1448 = "aggregation")=TRUE))</f>
        <v>0</v>
      </c>
      <c r="J1448" s="4" t="b">
        <f>H1448 &lt;&gt; ""</f>
        <v>0</v>
      </c>
      <c r="K1448" s="4">
        <f>COUNTIFS(FieldDisagreements!D2:D50, A1448)</f>
        <v>0</v>
      </c>
      <c r="L1448" s="4" t="b">
        <f>K1448 &gt; 0</f>
        <v>0</v>
      </c>
      <c r="M1448" s="3" t="s">
        <v>2418</v>
      </c>
    </row>
    <row r="1449">
      <c r="A1449" s="3" t="s">
        <v>5012</v>
      </c>
      <c r="B1449" s="4" t="str">
        <f>C1449 &amp; "." &amp; D1449</f>
        <v>AgentDecisionRecords.WasOverridden</v>
      </c>
      <c r="C1449" s="3" t="s">
        <v>4994</v>
      </c>
      <c r="D1449" s="3" t="s">
        <v>5013</v>
      </c>
      <c r="E1449" s="3" t="s">
        <v>2420</v>
      </c>
      <c r="F1449" s="3" t="s">
        <v>2432</v>
      </c>
      <c r="G1449" s="3" t="s">
        <v>5014</v>
      </c>
      <c r="H1449" s="3" t="s">
        <v>2135</v>
      </c>
      <c r="I1449" s="4" t="b">
        <f>OR(((E1449 = "calculated")=TRUE), ((E1449 = "lookup")=TRUE), ((E1449 = "aggregation")=TRUE))</f>
        <v>1</v>
      </c>
      <c r="J1449" s="4" t="b">
        <f>H1449 &lt;&gt; ""</f>
        <v>1</v>
      </c>
      <c r="K1449" s="4">
        <f>COUNTIFS(FieldDisagreements!D2:D50, A1449)</f>
        <v>0</v>
      </c>
      <c r="L1449" s="4" t="b">
        <f>K1449 &gt; 0</f>
        <v>0</v>
      </c>
      <c r="M1449" s="3" t="s">
        <v>2418</v>
      </c>
    </row>
    <row r="1450">
      <c r="A1450" s="3" t="s">
        <v>5015</v>
      </c>
      <c r="B1450" s="4" t="str">
        <f>C1450 &amp; "." &amp; D1450</f>
        <v>AgentDecisionRecords.WasReviewed</v>
      </c>
      <c r="C1450" s="3" t="s">
        <v>4994</v>
      </c>
      <c r="D1450" s="3" t="s">
        <v>5016</v>
      </c>
      <c r="E1450" s="3" t="s">
        <v>2420</v>
      </c>
      <c r="F1450" s="3" t="s">
        <v>2432</v>
      </c>
      <c r="G1450" s="3" t="s">
        <v>5017</v>
      </c>
      <c r="H1450" s="3" t="s">
        <v>2135</v>
      </c>
      <c r="I1450" s="4" t="b">
        <f>OR(((E1450 = "calculated")=TRUE), ((E1450 = "lookup")=TRUE), ((E1450 = "aggregation")=TRUE))</f>
        <v>1</v>
      </c>
      <c r="J1450" s="4" t="b">
        <f>H1450 &lt;&gt; ""</f>
        <v>1</v>
      </c>
      <c r="K1450" s="4">
        <f>COUNTIFS(FieldDisagreements!D2:D50, A1450)</f>
        <v>0</v>
      </c>
      <c r="L1450" s="4" t="b">
        <f>K1450 &gt; 0</f>
        <v>0</v>
      </c>
      <c r="M1450" s="3" t="s">
        <v>2418</v>
      </c>
    </row>
    <row r="1451">
      <c r="A1451" s="3" t="s">
        <v>5018</v>
      </c>
      <c r="B1451" s="4" t="str">
        <f>C1451 &amp; "." &amp; D1451</f>
        <v>AgentDecisionRecords.DecidingAgentKind</v>
      </c>
      <c r="C1451" s="3" t="s">
        <v>4994</v>
      </c>
      <c r="D1451" s="3" t="s">
        <v>5019</v>
      </c>
      <c r="E1451" s="3" t="s">
        <v>2509</v>
      </c>
      <c r="F1451" s="3" t="s">
        <v>2417</v>
      </c>
      <c r="G1451" s="3" t="s">
        <v>5020</v>
      </c>
      <c r="H1451" s="3" t="s">
        <v>2135</v>
      </c>
      <c r="I1451" s="4" t="b">
        <f>OR(((E1451 = "calculated")=TRUE), ((E1451 = "lookup")=TRUE), ((E1451 = "aggregation")=TRUE))</f>
        <v>1</v>
      </c>
      <c r="J1451" s="4" t="b">
        <f>H1451 &lt;&gt; ""</f>
        <v>1</v>
      </c>
      <c r="K1451" s="4">
        <f>COUNTIFS(FieldDisagreements!D2:D50, A1451)</f>
        <v>0</v>
      </c>
      <c r="L1451" s="4" t="b">
        <f>K1451 &gt; 0</f>
        <v>0</v>
      </c>
      <c r="M1451" s="3" t="s">
        <v>2418</v>
      </c>
    </row>
    <row r="1452">
      <c r="A1452" s="3" t="s">
        <v>5021</v>
      </c>
      <c r="B1452" s="4" t="str">
        <f>C1452 &amp; "." &amp; D1452</f>
        <v>AgentDecisionRecords.DecidingAgentWhenOverridden</v>
      </c>
      <c r="C1452" s="3" t="s">
        <v>4994</v>
      </c>
      <c r="D1452" s="3" t="s">
        <v>5022</v>
      </c>
      <c r="E1452" s="3" t="s">
        <v>2420</v>
      </c>
      <c r="F1452" s="3" t="s">
        <v>2417</v>
      </c>
      <c r="G1452" s="3" t="s">
        <v>5023</v>
      </c>
      <c r="H1452" s="3" t="s">
        <v>2135</v>
      </c>
      <c r="I1452" s="4" t="b">
        <f>OR(((E1452 = "calculated")=TRUE), ((E1452 = "lookup")=TRUE), ((E1452 = "aggregation")=TRUE))</f>
        <v>1</v>
      </c>
      <c r="J1452" s="4" t="b">
        <f>H1452 &lt;&gt; ""</f>
        <v>1</v>
      </c>
      <c r="K1452" s="4">
        <f>COUNTIFS(FieldDisagreements!D2:D50, A1452)</f>
        <v>0</v>
      </c>
      <c r="L1452" s="4" t="b">
        <f>K1452 &gt; 0</f>
        <v>0</v>
      </c>
      <c r="M1452" s="3" t="s">
        <v>2418</v>
      </c>
    </row>
    <row r="1453">
      <c r="A1453" s="3" t="s">
        <v>5024</v>
      </c>
      <c r="B1453" s="4" t="str">
        <f>C1453 &amp; "." &amp; D1453</f>
        <v>AgentDecisionRecords.UnderRoleAssignment</v>
      </c>
      <c r="C1453" s="3" t="s">
        <v>4994</v>
      </c>
      <c r="D1453" s="3" t="s">
        <v>5025</v>
      </c>
      <c r="E1453" s="3" t="s">
        <v>2465</v>
      </c>
      <c r="F1453" s="3" t="s">
        <v>2417</v>
      </c>
      <c r="G1453" s="3"/>
      <c r="H1453" s="3"/>
      <c r="I1453" s="4" t="b">
        <f>OR(((E1453 = "calculated")=TRUE), ((E1453 = "lookup")=TRUE), ((E1453 = "aggregation")=TRUE))</f>
        <v>0</v>
      </c>
      <c r="J1453" s="4" t="b">
        <f>H1453 &lt;&gt; ""</f>
        <v>0</v>
      </c>
      <c r="K1453" s="4">
        <f>COUNTIFS(FieldDisagreements!D2:D50, A1453)</f>
        <v>0</v>
      </c>
      <c r="L1453" s="4" t="b">
        <f>K1453 &gt; 0</f>
        <v>0</v>
      </c>
      <c r="M1453" s="3" t="s">
        <v>2418</v>
      </c>
    </row>
    <row r="1454">
      <c r="A1454" s="3" t="s">
        <v>5026</v>
      </c>
      <c r="B1454" s="4" t="str">
        <f>C1454 &amp; "." &amp; D1454</f>
        <v>AgentDecisionRecords.RoleAssignmentWhenScored</v>
      </c>
      <c r="C1454" s="3" t="s">
        <v>4994</v>
      </c>
      <c r="D1454" s="3" t="s">
        <v>5027</v>
      </c>
      <c r="E1454" s="3" t="s">
        <v>2420</v>
      </c>
      <c r="F1454" s="3" t="s">
        <v>2417</v>
      </c>
      <c r="G1454" s="3" t="s">
        <v>5028</v>
      </c>
      <c r="H1454" s="3" t="s">
        <v>2163</v>
      </c>
      <c r="I1454" s="4" t="b">
        <f>OR(((E1454 = "calculated")=TRUE), ((E1454 = "lookup")=TRUE), ((E1454 = "aggregation")=TRUE))</f>
        <v>1</v>
      </c>
      <c r="J1454" s="4" t="b">
        <f>H1454 &lt;&gt; ""</f>
        <v>1</v>
      </c>
      <c r="K1454" s="4">
        <f>COUNTIFS(FieldDisagreements!D2:D50, A1454)</f>
        <v>0</v>
      </c>
      <c r="L1454" s="4" t="b">
        <f>K1454 &gt; 0</f>
        <v>0</v>
      </c>
      <c r="M1454" s="3" t="s">
        <v>2418</v>
      </c>
    </row>
    <row r="1455">
      <c r="A1455" s="3" t="s">
        <v>5029</v>
      </c>
      <c r="B1455" s="4" t="str">
        <f>C1455 &amp; "." &amp; D1455</f>
        <v>AgentDecisionRecords.RoleAssignmentWhenOverridden</v>
      </c>
      <c r="C1455" s="3" t="s">
        <v>4994</v>
      </c>
      <c r="D1455" s="3" t="s">
        <v>5030</v>
      </c>
      <c r="E1455" s="3" t="s">
        <v>2420</v>
      </c>
      <c r="F1455" s="3" t="s">
        <v>2417</v>
      </c>
      <c r="G1455" s="3" t="s">
        <v>5031</v>
      </c>
      <c r="H1455" s="3" t="s">
        <v>2163</v>
      </c>
      <c r="I1455" s="4" t="b">
        <f>OR(((E1455 = "calculated")=TRUE), ((E1455 = "lookup")=TRUE), ((E1455 = "aggregation")=TRUE))</f>
        <v>1</v>
      </c>
      <c r="J1455" s="4" t="b">
        <f>H1455 &lt;&gt; ""</f>
        <v>1</v>
      </c>
      <c r="K1455" s="4">
        <f>COUNTIFS(FieldDisagreements!D2:D50, A1455)</f>
        <v>0</v>
      </c>
      <c r="L1455" s="4" t="b">
        <f>K1455 &gt; 0</f>
        <v>0</v>
      </c>
      <c r="M1455" s="3" t="s">
        <v>2418</v>
      </c>
    </row>
    <row r="1456">
      <c r="A1456" s="3" t="s">
        <v>5032</v>
      </c>
      <c r="B1456" s="4" t="str">
        <f>C1456 &amp; "." &amp; D1456</f>
        <v>AgentDecisionRecords.StepOfDecision</v>
      </c>
      <c r="C1456" s="3" t="s">
        <v>4994</v>
      </c>
      <c r="D1456" s="3" t="s">
        <v>5033</v>
      </c>
      <c r="E1456" s="3" t="s">
        <v>2509</v>
      </c>
      <c r="F1456" s="3" t="s">
        <v>2417</v>
      </c>
      <c r="G1456" s="3" t="s">
        <v>3822</v>
      </c>
      <c r="H1456" s="3" t="s">
        <v>2167</v>
      </c>
      <c r="I1456" s="4" t="b">
        <f>OR(((E1456 = "calculated")=TRUE), ((E1456 = "lookup")=TRUE), ((E1456 = "aggregation")=TRUE))</f>
        <v>1</v>
      </c>
      <c r="J1456" s="4" t="b">
        <f>H1456 &lt;&gt; ""</f>
        <v>1</v>
      </c>
      <c r="K1456" s="4">
        <f>COUNTIFS(FieldDisagreements!D2:D50, A1456)</f>
        <v>0</v>
      </c>
      <c r="L1456" s="4" t="b">
        <f>K1456 &gt; 0</f>
        <v>0</v>
      </c>
      <c r="M1456" s="3" t="s">
        <v>2418</v>
      </c>
    </row>
    <row r="1457">
      <c r="A1457" s="3" t="s">
        <v>5034</v>
      </c>
      <c r="B1457" s="4" t="str">
        <f>C1457 &amp; "." &amp; D1457</f>
        <v>AgentDecisionRecords.BoundaryMatchKey</v>
      </c>
      <c r="C1457" s="3" t="s">
        <v>4994</v>
      </c>
      <c r="D1457" s="3" t="s">
        <v>5035</v>
      </c>
      <c r="E1457" s="3" t="s">
        <v>2420</v>
      </c>
      <c r="F1457" s="3" t="s">
        <v>2417</v>
      </c>
      <c r="G1457" s="3" t="s">
        <v>5036</v>
      </c>
      <c r="H1457" s="3" t="s">
        <v>2167</v>
      </c>
      <c r="I1457" s="4" t="b">
        <f>OR(((E1457 = "calculated")=TRUE), ((E1457 = "lookup")=TRUE), ((E1457 = "aggregation")=TRUE))</f>
        <v>1</v>
      </c>
      <c r="J1457" s="4" t="b">
        <f>H1457 &lt;&gt; ""</f>
        <v>1</v>
      </c>
      <c r="K1457" s="4">
        <f>COUNTIFS(FieldDisagreements!D2:D50, A1457)</f>
        <v>0</v>
      </c>
      <c r="L1457" s="4" t="b">
        <f>K1457 &gt; 0</f>
        <v>0</v>
      </c>
      <c r="M1457" s="3" t="s">
        <v>2418</v>
      </c>
    </row>
    <row r="1458">
      <c r="A1458" s="3" t="s">
        <v>5037</v>
      </c>
      <c r="B1458" s="4" t="str">
        <f>C1458 &amp; "." &amp; D1458</f>
        <v>AgentDecisionRecords.MatchingBoundaryCount</v>
      </c>
      <c r="C1458" s="3" t="s">
        <v>4994</v>
      </c>
      <c r="D1458" s="3" t="s">
        <v>5038</v>
      </c>
      <c r="E1458" s="3" t="s">
        <v>2469</v>
      </c>
      <c r="F1458" s="3" t="s">
        <v>2475</v>
      </c>
      <c r="G1458" s="3" t="s">
        <v>5039</v>
      </c>
      <c r="H1458" s="3" t="s">
        <v>2167</v>
      </c>
      <c r="I1458" s="4" t="b">
        <f>OR(((E1458 = "calculated")=TRUE), ((E1458 = "lookup")=TRUE), ((E1458 = "aggregation")=TRUE))</f>
        <v>1</v>
      </c>
      <c r="J1458" s="4" t="b">
        <f>H1458 &lt;&gt; ""</f>
        <v>1</v>
      </c>
      <c r="K1458" s="4">
        <f>COUNTIFS(FieldDisagreements!D2:D50, A1458)</f>
        <v>0</v>
      </c>
      <c r="L1458" s="4" t="b">
        <f>K1458 &gt; 0</f>
        <v>0</v>
      </c>
      <c r="M1458" s="3" t="s">
        <v>2418</v>
      </c>
    </row>
    <row r="1459">
      <c r="A1459" s="3" t="s">
        <v>5040</v>
      </c>
      <c r="B1459" s="4" t="str">
        <f>C1459 &amp; "." &amp; D1459</f>
        <v>AgentDecisionRecords.ViolatedAuthorityBoundary</v>
      </c>
      <c r="C1459" s="3" t="s">
        <v>4994</v>
      </c>
      <c r="D1459" s="3" t="s">
        <v>5041</v>
      </c>
      <c r="E1459" s="3" t="s">
        <v>2420</v>
      </c>
      <c r="F1459" s="3" t="s">
        <v>2432</v>
      </c>
      <c r="G1459" s="3" t="s">
        <v>5042</v>
      </c>
      <c r="H1459" s="3" t="s">
        <v>2167</v>
      </c>
      <c r="I1459" s="4" t="b">
        <f>OR(((E1459 = "calculated")=TRUE), ((E1459 = "lookup")=TRUE), ((E1459 = "aggregation")=TRUE))</f>
        <v>1</v>
      </c>
      <c r="J1459" s="4" t="b">
        <f>H1459 &lt;&gt; ""</f>
        <v>1</v>
      </c>
      <c r="K1459" s="4">
        <f>COUNTIFS(FieldDisagreements!D2:D50, A1459)</f>
        <v>0</v>
      </c>
      <c r="L1459" s="4" t="b">
        <f>K1459 &gt; 0</f>
        <v>0</v>
      </c>
      <c r="M1459" s="3" t="s">
        <v>2418</v>
      </c>
    </row>
    <row r="1460">
      <c r="A1460" s="3" t="s">
        <v>5043</v>
      </c>
      <c r="B1460" s="4" t="str">
        <f>C1460 &amp; "." &amp; D1460</f>
        <v>AgentDecisionRecords.ReviewerAgentKind</v>
      </c>
      <c r="C1460" s="3" t="s">
        <v>4994</v>
      </c>
      <c r="D1460" s="3" t="s">
        <v>5044</v>
      </c>
      <c r="E1460" s="3" t="s">
        <v>2509</v>
      </c>
      <c r="F1460" s="3" t="s">
        <v>2417</v>
      </c>
      <c r="G1460" s="3" t="s">
        <v>5045</v>
      </c>
      <c r="H1460" s="3" t="s">
        <v>2171</v>
      </c>
      <c r="I1460" s="4" t="b">
        <f>OR(((E1460 = "calculated")=TRUE), ((E1460 = "lookup")=TRUE), ((E1460 = "aggregation")=TRUE))</f>
        <v>1</v>
      </c>
      <c r="J1460" s="4" t="b">
        <f>H1460 &lt;&gt; ""</f>
        <v>1</v>
      </c>
      <c r="K1460" s="4">
        <f>COUNTIFS(FieldDisagreements!D2:D50, A1460)</f>
        <v>0</v>
      </c>
      <c r="L1460" s="4" t="b">
        <f>K1460 &gt; 0</f>
        <v>0</v>
      </c>
      <c r="M1460" s="3" t="s">
        <v>2418</v>
      </c>
    </row>
    <row r="1461">
      <c r="A1461" s="3" t="s">
        <v>5046</v>
      </c>
      <c r="B1461" s="4" t="str">
        <f>C1461 &amp; "." &amp; D1461</f>
        <v>AgentDecisionRecords.HasHumanConfirmation</v>
      </c>
      <c r="C1461" s="3" t="s">
        <v>4994</v>
      </c>
      <c r="D1461" s="3" t="s">
        <v>5047</v>
      </c>
      <c r="E1461" s="3" t="s">
        <v>2420</v>
      </c>
      <c r="F1461" s="3" t="s">
        <v>2432</v>
      </c>
      <c r="G1461" s="3" t="s">
        <v>5048</v>
      </c>
      <c r="H1461" s="3" t="s">
        <v>2171</v>
      </c>
      <c r="I1461" s="4" t="b">
        <f>OR(((E1461 = "calculated")=TRUE), ((E1461 = "lookup")=TRUE), ((E1461 = "aggregation")=TRUE))</f>
        <v>1</v>
      </c>
      <c r="J1461" s="4" t="b">
        <f>H1461 &lt;&gt; ""</f>
        <v>1</v>
      </c>
      <c r="K1461" s="4">
        <f>COUNTIFS(FieldDisagreements!D2:D50, A1461)</f>
        <v>0</v>
      </c>
      <c r="L1461" s="4" t="b">
        <f>K1461 &gt; 0</f>
        <v>0</v>
      </c>
      <c r="M1461" s="3" t="s">
        <v>2418</v>
      </c>
    </row>
    <row r="1462">
      <c r="A1462" s="3" t="s">
        <v>5049</v>
      </c>
      <c r="B1462" s="4" t="str">
        <f>C1462 &amp; "." &amp; D1462</f>
        <v>AgentDecisionRecords.NeedsHumanConfirmation</v>
      </c>
      <c r="C1462" s="3" t="s">
        <v>4994</v>
      </c>
      <c r="D1462" s="3" t="s">
        <v>5050</v>
      </c>
      <c r="E1462" s="3" t="s">
        <v>2420</v>
      </c>
      <c r="F1462" s="3" t="s">
        <v>2432</v>
      </c>
      <c r="G1462" s="3" t="s">
        <v>5051</v>
      </c>
      <c r="H1462" s="3" t="s">
        <v>2171</v>
      </c>
      <c r="I1462" s="4" t="b">
        <f>OR(((E1462 = "calculated")=TRUE), ((E1462 = "lookup")=TRUE), ((E1462 = "aggregation")=TRUE))</f>
        <v>1</v>
      </c>
      <c r="J1462" s="4" t="b">
        <f>H1462 &lt;&gt; ""</f>
        <v>1</v>
      </c>
      <c r="K1462" s="4">
        <f>COUNTIFS(FieldDisagreements!D2:D50, A1462)</f>
        <v>0</v>
      </c>
      <c r="L1462" s="4" t="b">
        <f>K1462 &gt; 0</f>
        <v>0</v>
      </c>
      <c r="M1462" s="3" t="s">
        <v>2418</v>
      </c>
    </row>
    <row r="1463">
      <c r="A1463" s="3" t="s">
        <v>5052</v>
      </c>
      <c r="B1463" s="4" t="str">
        <f>C1463 &amp; "." &amp; D1463</f>
        <v>AgentDecisionRecords.IsUnconfirmedNonHumanDecision</v>
      </c>
      <c r="C1463" s="3" t="s">
        <v>4994</v>
      </c>
      <c r="D1463" s="3" t="s">
        <v>5053</v>
      </c>
      <c r="E1463" s="3" t="s">
        <v>2420</v>
      </c>
      <c r="F1463" s="3" t="s">
        <v>2432</v>
      </c>
      <c r="G1463" s="3" t="s">
        <v>5054</v>
      </c>
      <c r="H1463" s="3" t="s">
        <v>2171</v>
      </c>
      <c r="I1463" s="4" t="b">
        <f>OR(((E1463 = "calculated")=TRUE), ((E1463 = "lookup")=TRUE), ((E1463 = "aggregation")=TRUE))</f>
        <v>1</v>
      </c>
      <c r="J1463" s="4" t="b">
        <f>H1463 &lt;&gt; ""</f>
        <v>1</v>
      </c>
      <c r="K1463" s="4">
        <f>COUNTIFS(FieldDisagreements!D2:D50, A1463)</f>
        <v>0</v>
      </c>
      <c r="L1463" s="4" t="b">
        <f>K1463 &gt; 0</f>
        <v>0</v>
      </c>
      <c r="M1463" s="3" t="s">
        <v>2418</v>
      </c>
    </row>
    <row r="1464">
      <c r="A1464" s="3" t="s">
        <v>5055</v>
      </c>
      <c r="B1464" s="4" t="str">
        <f>C1464 &amp; "." &amp; D1464</f>
        <v>AgentDecisionRecords.StepExecutionWhenUnconfirmed</v>
      </c>
      <c r="C1464" s="3" t="s">
        <v>4994</v>
      </c>
      <c r="D1464" s="3" t="s">
        <v>5056</v>
      </c>
      <c r="E1464" s="3" t="s">
        <v>2420</v>
      </c>
      <c r="F1464" s="3" t="s">
        <v>2417</v>
      </c>
      <c r="G1464" s="3" t="s">
        <v>5057</v>
      </c>
      <c r="H1464" s="3" t="s">
        <v>2171</v>
      </c>
      <c r="I1464" s="4" t="b">
        <f>OR(((E1464 = "calculated")=TRUE), ((E1464 = "lookup")=TRUE), ((E1464 = "aggregation")=TRUE))</f>
        <v>1</v>
      </c>
      <c r="J1464" s="4" t="b">
        <f>H1464 &lt;&gt; ""</f>
        <v>1</v>
      </c>
      <c r="K1464" s="4">
        <f>COUNTIFS(FieldDisagreements!D2:D50, A1464)</f>
        <v>0</v>
      </c>
      <c r="L1464" s="4" t="b">
        <f>K1464 &gt; 0</f>
        <v>0</v>
      </c>
      <c r="M1464" s="3" t="s">
        <v>2418</v>
      </c>
    </row>
    <row r="1465">
      <c r="A1465" s="3" t="s">
        <v>5058</v>
      </c>
      <c r="B1465" s="4" t="str">
        <f>C1465 &amp; "." &amp; D1465</f>
        <v>AgentDecisionRecords.AgentWhenBoundaryViolated</v>
      </c>
      <c r="C1465" s="3" t="s">
        <v>4994</v>
      </c>
      <c r="D1465" s="3" t="s">
        <v>5059</v>
      </c>
      <c r="E1465" s="3" t="s">
        <v>2420</v>
      </c>
      <c r="F1465" s="3" t="s">
        <v>2417</v>
      </c>
      <c r="G1465" s="3" t="s">
        <v>5060</v>
      </c>
      <c r="H1465" s="3" t="s">
        <v>2187</v>
      </c>
      <c r="I1465" s="4" t="b">
        <f>OR(((E1465 = "calculated")=TRUE), ((E1465 = "lookup")=TRUE), ((E1465 = "aggregation")=TRUE))</f>
        <v>1</v>
      </c>
      <c r="J1465" s="4" t="b">
        <f>H1465 &lt;&gt; ""</f>
        <v>1</v>
      </c>
      <c r="K1465" s="4">
        <f>COUNTIFS(FieldDisagreements!D2:D50, A1465)</f>
        <v>0</v>
      </c>
      <c r="L1465" s="4" t="b">
        <f>K1465 &gt; 0</f>
        <v>0</v>
      </c>
      <c r="M1465" s="3" t="s">
        <v>2418</v>
      </c>
    </row>
    <row r="1466">
      <c r="A1466" s="3" t="s">
        <v>5061</v>
      </c>
      <c r="B1466" s="4" t="str">
        <f>C1466 &amp; "." &amp; D1466</f>
        <v>AgentDecisionRecords.ReviewLatencyMinutes</v>
      </c>
      <c r="C1466" s="3" t="s">
        <v>4994</v>
      </c>
      <c r="D1466" s="3" t="s">
        <v>5062</v>
      </c>
      <c r="E1466" s="3" t="s">
        <v>2420</v>
      </c>
      <c r="F1466" s="3" t="s">
        <v>2475</v>
      </c>
      <c r="G1466" s="3" t="s">
        <v>5063</v>
      </c>
      <c r="H1466" s="3" t="s">
        <v>2191</v>
      </c>
      <c r="I1466" s="4" t="b">
        <f>OR(((E1466 = "calculated")=TRUE), ((E1466 = "lookup")=TRUE), ((E1466 = "aggregation")=TRUE))</f>
        <v>1</v>
      </c>
      <c r="J1466" s="4" t="b">
        <f>H1466 &lt;&gt; ""</f>
        <v>1</v>
      </c>
      <c r="K1466" s="4">
        <f>COUNTIFS(FieldDisagreements!D2:D50, A1466)</f>
        <v>1</v>
      </c>
      <c r="L1466" s="4" t="b">
        <f>K1466 &gt; 0</f>
        <v>1</v>
      </c>
      <c r="M1466" s="3" t="s">
        <v>2418</v>
      </c>
    </row>
    <row r="1467">
      <c r="A1467" s="3" t="s">
        <v>5064</v>
      </c>
      <c r="B1467" s="4" t="str">
        <f>C1467 &amp; "." &amp; D1467</f>
        <v>AgentDecisionRecords.IsDraftKind</v>
      </c>
      <c r="C1467" s="3" t="s">
        <v>4994</v>
      </c>
      <c r="D1467" s="3" t="s">
        <v>5065</v>
      </c>
      <c r="E1467" s="3" t="s">
        <v>2420</v>
      </c>
      <c r="F1467" s="3" t="s">
        <v>2432</v>
      </c>
      <c r="G1467" s="3" t="s">
        <v>5066</v>
      </c>
      <c r="H1467" s="3" t="s">
        <v>2191</v>
      </c>
      <c r="I1467" s="4" t="b">
        <f>OR(((E1467 = "calculated")=TRUE), ((E1467 = "lookup")=TRUE), ((E1467 = "aggregation")=TRUE))</f>
        <v>1</v>
      </c>
      <c r="J1467" s="4" t="b">
        <f>H1467 &lt;&gt; ""</f>
        <v>1</v>
      </c>
      <c r="K1467" s="4">
        <f>COUNTIFS(FieldDisagreements!D2:D50, A1467)</f>
        <v>0</v>
      </c>
      <c r="L1467" s="4" t="b">
        <f>K1467 &gt; 0</f>
        <v>0</v>
      </c>
      <c r="M1467" s="3" t="s">
        <v>2418</v>
      </c>
    </row>
    <row r="1468">
      <c r="A1468" s="3" t="s">
        <v>5067</v>
      </c>
      <c r="B1468" s="4" t="str">
        <f>C1468 &amp; "." &amp; D1468</f>
        <v>AgentDecisionRecords.AgentWhenDraftOverridden</v>
      </c>
      <c r="C1468" s="3" t="s">
        <v>4994</v>
      </c>
      <c r="D1468" s="3" t="s">
        <v>5068</v>
      </c>
      <c r="E1468" s="3" t="s">
        <v>2420</v>
      </c>
      <c r="F1468" s="3" t="s">
        <v>2417</v>
      </c>
      <c r="G1468" s="3" t="s">
        <v>5069</v>
      </c>
      <c r="H1468" s="3" t="s">
        <v>2191</v>
      </c>
      <c r="I1468" s="4" t="b">
        <f>OR(((E1468 = "calculated")=TRUE), ((E1468 = "lookup")=TRUE), ((E1468 = "aggregation")=TRUE))</f>
        <v>1</v>
      </c>
      <c r="J1468" s="4" t="b">
        <f>H1468 &lt;&gt; ""</f>
        <v>1</v>
      </c>
      <c r="K1468" s="4">
        <f>COUNTIFS(FieldDisagreements!D2:D50, A1468)</f>
        <v>0</v>
      </c>
      <c r="L1468" s="4" t="b">
        <f>K1468 &gt; 0</f>
        <v>0</v>
      </c>
      <c r="M1468" s="3" t="s">
        <v>2418</v>
      </c>
    </row>
    <row r="1469">
      <c r="A1469" s="3" t="s">
        <v>5070</v>
      </c>
      <c r="B1469" s="4" t="str">
        <f>C1469 &amp; "." &amp; D1469</f>
        <v>AgentDecisionRecords.AgentWhenDraft</v>
      </c>
      <c r="C1469" s="3" t="s">
        <v>4994</v>
      </c>
      <c r="D1469" s="3" t="s">
        <v>5071</v>
      </c>
      <c r="E1469" s="3" t="s">
        <v>2420</v>
      </c>
      <c r="F1469" s="3" t="s">
        <v>2417</v>
      </c>
      <c r="G1469" s="3" t="s">
        <v>5072</v>
      </c>
      <c r="H1469" s="3" t="s">
        <v>2191</v>
      </c>
      <c r="I1469" s="4" t="b">
        <f>OR(((E1469 = "calculated")=TRUE), ((E1469 = "lookup")=TRUE), ((E1469 = "aggregation")=TRUE))</f>
        <v>1</v>
      </c>
      <c r="J1469" s="4" t="b">
        <f>H1469 &lt;&gt; ""</f>
        <v>1</v>
      </c>
      <c r="K1469" s="4">
        <f>COUNTIFS(FieldDisagreements!D2:D50, A1469)</f>
        <v>0</v>
      </c>
      <c r="L1469" s="4" t="b">
        <f>K1469 &gt; 0</f>
        <v>0</v>
      </c>
      <c r="M1469" s="3" t="s">
        <v>2418</v>
      </c>
    </row>
    <row r="1470">
      <c r="A1470" s="3" t="s">
        <v>5073</v>
      </c>
      <c r="B1470" s="4" t="str">
        <f>C1470 &amp; "." &amp; D1470</f>
        <v>AgentDecisionRecords.OverrideReasonKind</v>
      </c>
      <c r="C1470" s="3" t="s">
        <v>4994</v>
      </c>
      <c r="D1470" s="3" t="s">
        <v>5074</v>
      </c>
      <c r="E1470" s="3" t="s">
        <v>2416</v>
      </c>
      <c r="F1470" s="3" t="s">
        <v>2417</v>
      </c>
      <c r="G1470" s="3"/>
      <c r="H1470" s="3" t="s">
        <v>2347</v>
      </c>
      <c r="I1470" s="4" t="b">
        <f>OR(((E1470 = "calculated")=TRUE), ((E1470 = "lookup")=TRUE), ((E1470 = "aggregation")=TRUE))</f>
        <v>0</v>
      </c>
      <c r="J1470" s="4" t="b">
        <f>H1470 &lt;&gt; ""</f>
        <v>1</v>
      </c>
      <c r="K1470" s="4">
        <f>COUNTIFS(FieldDisagreements!D2:D50, A1470)</f>
        <v>0</v>
      </c>
      <c r="L1470" s="4" t="b">
        <f>K1470 &gt; 0</f>
        <v>0</v>
      </c>
      <c r="M1470" s="3" t="s">
        <v>2418</v>
      </c>
    </row>
    <row r="1471">
      <c r="A1471" s="3" t="s">
        <v>5075</v>
      </c>
      <c r="B1471" s="4" t="str">
        <f>C1471 &amp; "." &amp; D1471</f>
        <v>AgentDecisionRecords.IsErrorCorrection</v>
      </c>
      <c r="C1471" s="3" t="s">
        <v>4994</v>
      </c>
      <c r="D1471" s="3" t="s">
        <v>5076</v>
      </c>
      <c r="E1471" s="3" t="s">
        <v>2420</v>
      </c>
      <c r="F1471" s="3" t="s">
        <v>2432</v>
      </c>
      <c r="G1471" s="3" t="s">
        <v>5077</v>
      </c>
      <c r="H1471" s="3" t="s">
        <v>2347</v>
      </c>
      <c r="I1471" s="4" t="b">
        <f>OR(((E1471 = "calculated")=TRUE), ((E1471 = "lookup")=TRUE), ((E1471 = "aggregation")=TRUE))</f>
        <v>1</v>
      </c>
      <c r="J1471" s="4" t="b">
        <f>H1471 &lt;&gt; ""</f>
        <v>1</v>
      </c>
      <c r="K1471" s="4">
        <f>COUNTIFS(FieldDisagreements!D2:D50, A1471)</f>
        <v>0</v>
      </c>
      <c r="L1471" s="4" t="b">
        <f>K1471 &gt; 0</f>
        <v>0</v>
      </c>
      <c r="M1471" s="3" t="s">
        <v>2418</v>
      </c>
    </row>
    <row r="1472">
      <c r="A1472" s="3" t="s">
        <v>5078</v>
      </c>
      <c r="B1472" s="4" t="str">
        <f>C1472 &amp; "." &amp; D1472</f>
        <v>AgentDecisionRecords.IsReservedJudgmentOverride</v>
      </c>
      <c r="C1472" s="3" t="s">
        <v>4994</v>
      </c>
      <c r="D1472" s="3" t="s">
        <v>5079</v>
      </c>
      <c r="E1472" s="3" t="s">
        <v>2420</v>
      </c>
      <c r="F1472" s="3" t="s">
        <v>2432</v>
      </c>
      <c r="G1472" s="3" t="s">
        <v>5080</v>
      </c>
      <c r="H1472" s="3" t="s">
        <v>2347</v>
      </c>
      <c r="I1472" s="4" t="b">
        <f>OR(((E1472 = "calculated")=TRUE), ((E1472 = "lookup")=TRUE), ((E1472 = "aggregation")=TRUE))</f>
        <v>1</v>
      </c>
      <c r="J1472" s="4" t="b">
        <f>H1472 &lt;&gt; ""</f>
        <v>1</v>
      </c>
      <c r="K1472" s="4">
        <f>COUNTIFS(FieldDisagreements!D2:D50, A1472)</f>
        <v>0</v>
      </c>
      <c r="L1472" s="4" t="b">
        <f>K1472 &gt; 0</f>
        <v>0</v>
      </c>
      <c r="M1472" s="3" t="s">
        <v>2418</v>
      </c>
    </row>
    <row r="1473">
      <c r="A1473" s="3" t="s">
        <v>5081</v>
      </c>
      <c r="B1473" s="4" t="str">
        <f>C1473 &amp; "." &amp; D1473</f>
        <v>AgentDecisionRecords.OverrideReasonIsRecorded</v>
      </c>
      <c r="C1473" s="3" t="s">
        <v>4994</v>
      </c>
      <c r="D1473" s="3" t="s">
        <v>5082</v>
      </c>
      <c r="E1473" s="3" t="s">
        <v>2420</v>
      </c>
      <c r="F1473" s="3" t="s">
        <v>2432</v>
      </c>
      <c r="G1473" s="3" t="s">
        <v>5083</v>
      </c>
      <c r="H1473" s="3" t="s">
        <v>2347</v>
      </c>
      <c r="I1473" s="4" t="b">
        <f>OR(((E1473 = "calculated")=TRUE), ((E1473 = "lookup")=TRUE), ((E1473 = "aggregation")=TRUE))</f>
        <v>1</v>
      </c>
      <c r="J1473" s="4" t="b">
        <f>H1473 &lt;&gt; ""</f>
        <v>1</v>
      </c>
      <c r="K1473" s="4">
        <f>COUNTIFS(FieldDisagreements!D2:D50, A1473)</f>
        <v>0</v>
      </c>
      <c r="L1473" s="4" t="b">
        <f>K1473 &gt; 0</f>
        <v>0</v>
      </c>
      <c r="M1473" s="3" t="s">
        <v>2418</v>
      </c>
    </row>
    <row r="1474">
      <c r="A1474" s="3" t="s">
        <v>5084</v>
      </c>
      <c r="B1474" s="4" t="str">
        <f>C1474 &amp; "." &amp; D1474</f>
        <v>AgentDecisionRecords.IsUnexplainedOverride</v>
      </c>
      <c r="C1474" s="3" t="s">
        <v>4994</v>
      </c>
      <c r="D1474" s="3" t="s">
        <v>5085</v>
      </c>
      <c r="E1474" s="3" t="s">
        <v>2420</v>
      </c>
      <c r="F1474" s="3" t="s">
        <v>2432</v>
      </c>
      <c r="G1474" s="3" t="s">
        <v>5086</v>
      </c>
      <c r="H1474" s="3" t="s">
        <v>2347</v>
      </c>
      <c r="I1474" s="4" t="b">
        <f>OR(((E1474 = "calculated")=TRUE), ((E1474 = "lookup")=TRUE), ((E1474 = "aggregation")=TRUE))</f>
        <v>1</v>
      </c>
      <c r="J1474" s="4" t="b">
        <f>H1474 &lt;&gt; ""</f>
        <v>1</v>
      </c>
      <c r="K1474" s="4">
        <f>COUNTIFS(FieldDisagreements!D2:D50, A1474)</f>
        <v>0</v>
      </c>
      <c r="L1474" s="4" t="b">
        <f>K1474 &gt; 0</f>
        <v>0</v>
      </c>
      <c r="M1474" s="3" t="s">
        <v>2418</v>
      </c>
    </row>
    <row r="1475">
      <c r="A1475" s="3" t="s">
        <v>5087</v>
      </c>
      <c r="B1475" s="4" t="str">
        <f>C1475 &amp; "." &amp; D1475</f>
        <v>AgentDecisionRecords.ErrorCorrectionRoleAssignmentKey</v>
      </c>
      <c r="C1475" s="3" t="s">
        <v>4994</v>
      </c>
      <c r="D1475" s="3" t="s">
        <v>5088</v>
      </c>
      <c r="E1475" s="3" t="s">
        <v>2420</v>
      </c>
      <c r="F1475" s="3" t="s">
        <v>2417</v>
      </c>
      <c r="G1475" s="3" t="s">
        <v>5089</v>
      </c>
      <c r="H1475" s="3" t="s">
        <v>2347</v>
      </c>
      <c r="I1475" s="4" t="b">
        <f>OR(((E1475 = "calculated")=TRUE), ((E1475 = "lookup")=TRUE), ((E1475 = "aggregation")=TRUE))</f>
        <v>1</v>
      </c>
      <c r="J1475" s="4" t="b">
        <f>H1475 &lt;&gt; ""</f>
        <v>1</v>
      </c>
      <c r="K1475" s="4">
        <f>COUNTIFS(FieldDisagreements!D2:D50, A1475)</f>
        <v>0</v>
      </c>
      <c r="L1475" s="4" t="b">
        <f>K1475 &gt; 0</f>
        <v>0</v>
      </c>
      <c r="M1475" s="3" t="s">
        <v>2418</v>
      </c>
    </row>
    <row r="1476">
      <c r="A1476" s="3" t="s">
        <v>5090</v>
      </c>
      <c r="B1476" s="4" t="str">
        <f>C1476 &amp; "." &amp; D1476</f>
        <v>AgentDecisionRecords.BoundaryViolationRoleAssignmentKey</v>
      </c>
      <c r="C1476" s="3" t="s">
        <v>4994</v>
      </c>
      <c r="D1476" s="3" t="s">
        <v>5091</v>
      </c>
      <c r="E1476" s="3" t="s">
        <v>2420</v>
      </c>
      <c r="F1476" s="3" t="s">
        <v>2417</v>
      </c>
      <c r="G1476" s="3" t="s">
        <v>5092</v>
      </c>
      <c r="H1476" s="3" t="s">
        <v>2355</v>
      </c>
      <c r="I1476" s="4" t="b">
        <f>OR(((E1476 = "calculated")=TRUE), ((E1476 = "lookup")=TRUE), ((E1476 = "aggregation")=TRUE))</f>
        <v>1</v>
      </c>
      <c r="J1476" s="4" t="b">
        <f>H1476 &lt;&gt; ""</f>
        <v>1</v>
      </c>
      <c r="K1476" s="4">
        <f>COUNTIFS(FieldDisagreements!D2:D50, A1476)</f>
        <v>0</v>
      </c>
      <c r="L1476" s="4" t="b">
        <f>K1476 &gt; 0</f>
        <v>0</v>
      </c>
      <c r="M1476" s="3" t="s">
        <v>2418</v>
      </c>
    </row>
    <row r="1477">
      <c r="A1477" s="3" t="s">
        <v>5093</v>
      </c>
      <c r="B1477" s="4" t="str">
        <f>C1477 &amp; "." &amp; D1477</f>
        <v>AgentDecisionRecords.SemanticTypeIri</v>
      </c>
      <c r="C1477" s="3" t="s">
        <v>4994</v>
      </c>
      <c r="D1477" s="3" t="s">
        <v>94</v>
      </c>
      <c r="E1477" s="3" t="s">
        <v>2416</v>
      </c>
      <c r="F1477" s="3" t="s">
        <v>2417</v>
      </c>
      <c r="G1477" s="3"/>
      <c r="H1477" s="3"/>
      <c r="I1477" s="4" t="b">
        <f>OR(((E1477 = "calculated")=TRUE), ((E1477 = "lookup")=TRUE), ((E1477 = "aggregation")=TRUE))</f>
        <v>0</v>
      </c>
      <c r="J1477" s="4" t="b">
        <f>H1477 &lt;&gt; ""</f>
        <v>0</v>
      </c>
      <c r="K1477" s="4">
        <f>COUNTIFS(FieldDisagreements!D2:D50, A1477)</f>
        <v>0</v>
      </c>
      <c r="L1477" s="4" t="b">
        <f>K1477 &gt; 0</f>
        <v>0</v>
      </c>
      <c r="M1477" s="3" t="s">
        <v>2418</v>
      </c>
    </row>
    <row r="1478">
      <c r="A1478" s="3" t="s">
        <v>5094</v>
      </c>
      <c r="B1478" s="4" t="str">
        <f>C1478 &amp; "." &amp; D1478</f>
        <v>DeliveredCommunications.DeliveredCommunicationId</v>
      </c>
      <c r="C1478" s="3" t="s">
        <v>5095</v>
      </c>
      <c r="D1478" s="3" t="s">
        <v>5096</v>
      </c>
      <c r="E1478" s="3" t="s">
        <v>2416</v>
      </c>
      <c r="F1478" s="3" t="s">
        <v>2417</v>
      </c>
      <c r="G1478" s="3"/>
      <c r="H1478" s="3"/>
      <c r="I1478" s="4" t="b">
        <f>OR(((E1478 = "calculated")=TRUE), ((E1478 = "lookup")=TRUE), ((E1478 = "aggregation")=TRUE))</f>
        <v>0</v>
      </c>
      <c r="J1478" s="4" t="b">
        <f>H1478 &lt;&gt; ""</f>
        <v>0</v>
      </c>
      <c r="K1478" s="4">
        <f>COUNTIFS(FieldDisagreements!D2:D50, A1478)</f>
        <v>0</v>
      </c>
      <c r="L1478" s="4" t="b">
        <f>K1478 &gt; 0</f>
        <v>0</v>
      </c>
      <c r="M1478" s="3" t="s">
        <v>2418</v>
      </c>
    </row>
    <row r="1479">
      <c r="A1479" s="3" t="s">
        <v>5097</v>
      </c>
      <c r="B1479" s="4" t="str">
        <f>C1479 &amp; "." &amp; D1479</f>
        <v>DeliveredCommunications.Name</v>
      </c>
      <c r="C1479" s="3" t="s">
        <v>5095</v>
      </c>
      <c r="D1479" s="3" t="s">
        <v>1</v>
      </c>
      <c r="E1479" s="3" t="s">
        <v>2420</v>
      </c>
      <c r="F1479" s="3" t="s">
        <v>2417</v>
      </c>
      <c r="G1479" s="3" t="s">
        <v>5098</v>
      </c>
      <c r="H1479" s="3"/>
      <c r="I1479" s="4" t="b">
        <f>OR(((E1479 = "calculated")=TRUE), ((E1479 = "lookup")=TRUE), ((E1479 = "aggregation")=TRUE))</f>
        <v>1</v>
      </c>
      <c r="J1479" s="4" t="b">
        <f>H1479 &lt;&gt; ""</f>
        <v>0</v>
      </c>
      <c r="K1479" s="4">
        <f>COUNTIFS(FieldDisagreements!D2:D50, A1479)</f>
        <v>1</v>
      </c>
      <c r="L1479" s="4" t="b">
        <f>K1479 &gt; 0</f>
        <v>1</v>
      </c>
      <c r="M1479" s="3" t="s">
        <v>2418</v>
      </c>
    </row>
    <row r="1480">
      <c r="A1480" s="3" t="s">
        <v>5099</v>
      </c>
      <c r="B1480" s="4" t="str">
        <f>C1480 &amp; "." &amp; D1480</f>
        <v>DeliveredCommunications.ProcedureExecution</v>
      </c>
      <c r="C1480" s="3" t="s">
        <v>5095</v>
      </c>
      <c r="D1480" s="3" t="s">
        <v>1349</v>
      </c>
      <c r="E1480" s="3" t="s">
        <v>2465</v>
      </c>
      <c r="F1480" s="3" t="s">
        <v>2417</v>
      </c>
      <c r="G1480" s="3"/>
      <c r="H1480" s="3"/>
      <c r="I1480" s="4" t="b">
        <f>OR(((E1480 = "calculated")=TRUE), ((E1480 = "lookup")=TRUE), ((E1480 = "aggregation")=TRUE))</f>
        <v>0</v>
      </c>
      <c r="J1480" s="4" t="b">
        <f>H1480 &lt;&gt; ""</f>
        <v>0</v>
      </c>
      <c r="K1480" s="4">
        <f>COUNTIFS(FieldDisagreements!D2:D50, A1480)</f>
        <v>0</v>
      </c>
      <c r="L1480" s="4" t="b">
        <f>K1480 &gt; 0</f>
        <v>0</v>
      </c>
      <c r="M1480" s="3" t="s">
        <v>2418</v>
      </c>
    </row>
    <row r="1481">
      <c r="A1481" s="3" t="s">
        <v>5100</v>
      </c>
      <c r="B1481" s="4" t="str">
        <f>C1481 &amp; "." &amp; D1481</f>
        <v>DeliveredCommunications.SendingStepExecution</v>
      </c>
      <c r="C1481" s="3" t="s">
        <v>5095</v>
      </c>
      <c r="D1481" s="3" t="s">
        <v>5101</v>
      </c>
      <c r="E1481" s="3" t="s">
        <v>2465</v>
      </c>
      <c r="F1481" s="3" t="s">
        <v>2417</v>
      </c>
      <c r="G1481" s="3"/>
      <c r="H1481" s="3"/>
      <c r="I1481" s="4" t="b">
        <f>OR(((E1481 = "calculated")=TRUE), ((E1481 = "lookup")=TRUE), ((E1481 = "aggregation")=TRUE))</f>
        <v>0</v>
      </c>
      <c r="J1481" s="4" t="b">
        <f>H1481 &lt;&gt; ""</f>
        <v>0</v>
      </c>
      <c r="K1481" s="4">
        <f>COUNTIFS(FieldDisagreements!D2:D50, A1481)</f>
        <v>0</v>
      </c>
      <c r="L1481" s="4" t="b">
        <f>K1481 &gt; 0</f>
        <v>0</v>
      </c>
      <c r="M1481" s="3" t="s">
        <v>2418</v>
      </c>
    </row>
    <row r="1482">
      <c r="A1482" s="3" t="s">
        <v>5102</v>
      </c>
      <c r="B1482" s="4" t="str">
        <f>C1482 &amp; "." &amp; D1482</f>
        <v>DeliveredCommunications.AuthorizingStepExecution</v>
      </c>
      <c r="C1482" s="3" t="s">
        <v>5095</v>
      </c>
      <c r="D1482" s="3" t="s">
        <v>5103</v>
      </c>
      <c r="E1482" s="3" t="s">
        <v>2465</v>
      </c>
      <c r="F1482" s="3" t="s">
        <v>2417</v>
      </c>
      <c r="G1482" s="3"/>
      <c r="H1482" s="3"/>
      <c r="I1482" s="4" t="b">
        <f>OR(((E1482 = "calculated")=TRUE), ((E1482 = "lookup")=TRUE), ((E1482 = "aggregation")=TRUE))</f>
        <v>0</v>
      </c>
      <c r="J1482" s="4" t="b">
        <f>H1482 &lt;&gt; ""</f>
        <v>0</v>
      </c>
      <c r="K1482" s="4">
        <f>COUNTIFS(FieldDisagreements!D2:D50, A1482)</f>
        <v>0</v>
      </c>
      <c r="L1482" s="4" t="b">
        <f>K1482 &gt; 0</f>
        <v>0</v>
      </c>
      <c r="M1482" s="3" t="s">
        <v>2418</v>
      </c>
    </row>
    <row r="1483">
      <c r="A1483" s="3" t="s">
        <v>5104</v>
      </c>
      <c r="B1483" s="4" t="str">
        <f>C1483 &amp; "." &amp; D1483</f>
        <v>DeliveredCommunications.MessageTemplate</v>
      </c>
      <c r="C1483" s="3" t="s">
        <v>5095</v>
      </c>
      <c r="D1483" s="3" t="s">
        <v>4453</v>
      </c>
      <c r="E1483" s="3" t="s">
        <v>2465</v>
      </c>
      <c r="F1483" s="3" t="s">
        <v>2417</v>
      </c>
      <c r="G1483" s="3"/>
      <c r="H1483" s="3"/>
      <c r="I1483" s="4" t="b">
        <f>OR(((E1483 = "calculated")=TRUE), ((E1483 = "lookup")=TRUE), ((E1483 = "aggregation")=TRUE))</f>
        <v>0</v>
      </c>
      <c r="J1483" s="4" t="b">
        <f>H1483 &lt;&gt; ""</f>
        <v>0</v>
      </c>
      <c r="K1483" s="4">
        <f>COUNTIFS(FieldDisagreements!D2:D50, A1483)</f>
        <v>0</v>
      </c>
      <c r="L1483" s="4" t="b">
        <f>K1483 &gt; 0</f>
        <v>0</v>
      </c>
      <c r="M1483" s="3" t="s">
        <v>2418</v>
      </c>
    </row>
    <row r="1484">
      <c r="A1484" s="3" t="s">
        <v>5105</v>
      </c>
      <c r="B1484" s="4" t="str">
        <f>C1484 &amp; "." &amp; D1484</f>
        <v>DeliveredCommunications.Channel</v>
      </c>
      <c r="C1484" s="3" t="s">
        <v>5095</v>
      </c>
      <c r="D1484" s="3" t="s">
        <v>1691</v>
      </c>
      <c r="E1484" s="3" t="s">
        <v>2416</v>
      </c>
      <c r="F1484" s="3" t="s">
        <v>2417</v>
      </c>
      <c r="G1484" s="3"/>
      <c r="H1484" s="3"/>
      <c r="I1484" s="4" t="b">
        <f>OR(((E1484 = "calculated")=TRUE), ((E1484 = "lookup")=TRUE), ((E1484 = "aggregation")=TRUE))</f>
        <v>0</v>
      </c>
      <c r="J1484" s="4" t="b">
        <f>H1484 &lt;&gt; ""</f>
        <v>0</v>
      </c>
      <c r="K1484" s="4">
        <f>COUNTIFS(FieldDisagreements!D2:D50, A1484)</f>
        <v>0</v>
      </c>
      <c r="L1484" s="4" t="b">
        <f>K1484 &gt; 0</f>
        <v>0</v>
      </c>
      <c r="M1484" s="3" t="s">
        <v>2418</v>
      </c>
    </row>
    <row r="1485">
      <c r="A1485" s="3" t="s">
        <v>5106</v>
      </c>
      <c r="B1485" s="4" t="str">
        <f>C1485 &amp; "." &amp; D1485</f>
        <v>DeliveredCommunications.RecipientKey</v>
      </c>
      <c r="C1485" s="3" t="s">
        <v>5095</v>
      </c>
      <c r="D1485" s="3" t="s">
        <v>5107</v>
      </c>
      <c r="E1485" s="3" t="s">
        <v>2416</v>
      </c>
      <c r="F1485" s="3" t="s">
        <v>2417</v>
      </c>
      <c r="G1485" s="3"/>
      <c r="H1485" s="3"/>
      <c r="I1485" s="4" t="b">
        <f>OR(((E1485 = "calculated")=TRUE), ((E1485 = "lookup")=TRUE), ((E1485 = "aggregation")=TRUE))</f>
        <v>0</v>
      </c>
      <c r="J1485" s="4" t="b">
        <f>H1485 &lt;&gt; ""</f>
        <v>0</v>
      </c>
      <c r="K1485" s="4">
        <f>COUNTIFS(FieldDisagreements!D2:D50, A1485)</f>
        <v>0</v>
      </c>
      <c r="L1485" s="4" t="b">
        <f>K1485 &gt; 0</f>
        <v>0</v>
      </c>
      <c r="M1485" s="3" t="s">
        <v>2418</v>
      </c>
    </row>
    <row r="1486">
      <c r="A1486" s="3" t="s">
        <v>5108</v>
      </c>
      <c r="B1486" s="4" t="str">
        <f>C1486 &amp; "." &amp; D1486</f>
        <v>DeliveredCommunications.SentAt</v>
      </c>
      <c r="C1486" s="3" t="s">
        <v>5095</v>
      </c>
      <c r="D1486" s="3" t="s">
        <v>4459</v>
      </c>
      <c r="E1486" s="3" t="s">
        <v>2416</v>
      </c>
      <c r="F1486" s="3" t="s">
        <v>2428</v>
      </c>
      <c r="G1486" s="3"/>
      <c r="H1486" s="3"/>
      <c r="I1486" s="4" t="b">
        <f>OR(((E1486 = "calculated")=TRUE), ((E1486 = "lookup")=TRUE), ((E1486 = "aggregation")=TRUE))</f>
        <v>0</v>
      </c>
      <c r="J1486" s="4" t="b">
        <f>H1486 &lt;&gt; ""</f>
        <v>0</v>
      </c>
      <c r="K1486" s="4">
        <f>COUNTIFS(FieldDisagreements!D2:D50, A1486)</f>
        <v>0</v>
      </c>
      <c r="L1486" s="4" t="b">
        <f>K1486 &gt; 0</f>
        <v>0</v>
      </c>
      <c r="M1486" s="3" t="s">
        <v>2418</v>
      </c>
    </row>
    <row r="1487">
      <c r="A1487" s="3" t="s">
        <v>5109</v>
      </c>
      <c r="B1487" s="4" t="str">
        <f>C1487 &amp; "." &amp; D1487</f>
        <v>DeliveredCommunications.RenderedContentHash</v>
      </c>
      <c r="C1487" s="3" t="s">
        <v>5095</v>
      </c>
      <c r="D1487" s="3" t="s">
        <v>5110</v>
      </c>
      <c r="E1487" s="3" t="s">
        <v>2416</v>
      </c>
      <c r="F1487" s="3" t="s">
        <v>2417</v>
      </c>
      <c r="G1487" s="3"/>
      <c r="H1487" s="3"/>
      <c r="I1487" s="4" t="b">
        <f>OR(((E1487 = "calculated")=TRUE), ((E1487 = "lookup")=TRUE), ((E1487 = "aggregation")=TRUE))</f>
        <v>0</v>
      </c>
      <c r="J1487" s="4" t="b">
        <f>H1487 &lt;&gt; ""</f>
        <v>0</v>
      </c>
      <c r="K1487" s="4">
        <f>COUNTIFS(FieldDisagreements!D2:D50, A1487)</f>
        <v>0</v>
      </c>
      <c r="L1487" s="4" t="b">
        <f>K1487 &gt; 0</f>
        <v>0</v>
      </c>
      <c r="M1487" s="3" t="s">
        <v>2418</v>
      </c>
    </row>
    <row r="1488">
      <c r="A1488" s="3" t="s">
        <v>5111</v>
      </c>
      <c r="B1488" s="4" t="str">
        <f>C1488 &amp; "." &amp; D1488</f>
        <v>DeliveredCommunications.ApprovedContentHash</v>
      </c>
      <c r="C1488" s="3" t="s">
        <v>5095</v>
      </c>
      <c r="D1488" s="3" t="s">
        <v>5112</v>
      </c>
      <c r="E1488" s="3" t="s">
        <v>2416</v>
      </c>
      <c r="F1488" s="3" t="s">
        <v>2417</v>
      </c>
      <c r="G1488" s="3"/>
      <c r="H1488" s="3"/>
      <c r="I1488" s="4" t="b">
        <f>OR(((E1488 = "calculated")=TRUE), ((E1488 = "lookup")=TRUE), ((E1488 = "aggregation")=TRUE))</f>
        <v>0</v>
      </c>
      <c r="J1488" s="4" t="b">
        <f>H1488 &lt;&gt; ""</f>
        <v>0</v>
      </c>
      <c r="K1488" s="4">
        <f>COUNTIFS(FieldDisagreements!D2:D50, A1488)</f>
        <v>0</v>
      </c>
      <c r="L1488" s="4" t="b">
        <f>K1488 &gt; 0</f>
        <v>0</v>
      </c>
      <c r="M1488" s="3" t="s">
        <v>2418</v>
      </c>
    </row>
    <row r="1489">
      <c r="A1489" s="3" t="s">
        <v>5113</v>
      </c>
      <c r="B1489" s="4" t="str">
        <f>C1489 &amp; "." &amp; D1489</f>
        <v>DeliveredCommunications.DeliveryStatus</v>
      </c>
      <c r="C1489" s="3" t="s">
        <v>5095</v>
      </c>
      <c r="D1489" s="3" t="s">
        <v>4463</v>
      </c>
      <c r="E1489" s="3" t="s">
        <v>2416</v>
      </c>
      <c r="F1489" s="3" t="s">
        <v>2417</v>
      </c>
      <c r="G1489" s="3"/>
      <c r="H1489" s="3"/>
      <c r="I1489" s="4" t="b">
        <f>OR(((E1489 = "calculated")=TRUE), ((E1489 = "lookup")=TRUE), ((E1489 = "aggregation")=TRUE))</f>
        <v>0</v>
      </c>
      <c r="J1489" s="4" t="b">
        <f>H1489 &lt;&gt; ""</f>
        <v>0</v>
      </c>
      <c r="K1489" s="4">
        <f>COUNTIFS(FieldDisagreements!D2:D50, A1489)</f>
        <v>0</v>
      </c>
      <c r="L1489" s="4" t="b">
        <f>K1489 &gt; 0</f>
        <v>0</v>
      </c>
      <c r="M1489" s="3" t="s">
        <v>2418</v>
      </c>
    </row>
    <row r="1490">
      <c r="A1490" s="3" t="s">
        <v>5114</v>
      </c>
      <c r="B1490" s="4" t="str">
        <f>C1490 &amp; "." &amp; D1490</f>
        <v>DeliveredCommunications.SemanticTypeIri</v>
      </c>
      <c r="C1490" s="3" t="s">
        <v>5095</v>
      </c>
      <c r="D1490" s="3" t="s">
        <v>94</v>
      </c>
      <c r="E1490" s="3" t="s">
        <v>2416</v>
      </c>
      <c r="F1490" s="3" t="s">
        <v>2417</v>
      </c>
      <c r="G1490" s="3"/>
      <c r="H1490" s="3"/>
      <c r="I1490" s="4" t="b">
        <f>OR(((E1490 = "calculated")=TRUE), ((E1490 = "lookup")=TRUE), ((E1490 = "aggregation")=TRUE))</f>
        <v>0</v>
      </c>
      <c r="J1490" s="4" t="b">
        <f>H1490 &lt;&gt; ""</f>
        <v>0</v>
      </c>
      <c r="K1490" s="4">
        <f>COUNTIFS(FieldDisagreements!D2:D50, A1490)</f>
        <v>0</v>
      </c>
      <c r="L1490" s="4" t="b">
        <f>K1490 &gt; 0</f>
        <v>0</v>
      </c>
      <c r="M1490" s="3" t="s">
        <v>2418</v>
      </c>
    </row>
    <row r="1491">
      <c r="A1491" s="3" t="s">
        <v>5115</v>
      </c>
      <c r="B1491" s="4" t="str">
        <f>C1491 &amp; "." &amp; D1491</f>
        <v>DeliveredCommunications.HasAuthorization</v>
      </c>
      <c r="C1491" s="3" t="s">
        <v>5095</v>
      </c>
      <c r="D1491" s="3" t="s">
        <v>5116</v>
      </c>
      <c r="E1491" s="3" t="s">
        <v>2420</v>
      </c>
      <c r="F1491" s="3" t="s">
        <v>2432</v>
      </c>
      <c r="G1491" s="3" t="s">
        <v>5117</v>
      </c>
      <c r="H1491" s="3"/>
      <c r="I1491" s="4" t="b">
        <f>OR(((E1491 = "calculated")=TRUE), ((E1491 = "lookup")=TRUE), ((E1491 = "aggregation")=TRUE))</f>
        <v>1</v>
      </c>
      <c r="J1491" s="4" t="b">
        <f>H1491 &lt;&gt; ""</f>
        <v>0</v>
      </c>
      <c r="K1491" s="4">
        <f>COUNTIFS(FieldDisagreements!D2:D50, A1491)</f>
        <v>0</v>
      </c>
      <c r="L1491" s="4" t="b">
        <f>K1491 &gt; 0</f>
        <v>0</v>
      </c>
      <c r="M1491" s="3" t="s">
        <v>2418</v>
      </c>
    </row>
    <row r="1492">
      <c r="A1492" s="3" t="s">
        <v>5118</v>
      </c>
      <c r="B1492" s="4" t="str">
        <f>C1492 &amp; "." &amp; D1492</f>
        <v>DeliveredCommunications.ContentMatchesApproval</v>
      </c>
      <c r="C1492" s="3" t="s">
        <v>5095</v>
      </c>
      <c r="D1492" s="3" t="s">
        <v>5119</v>
      </c>
      <c r="E1492" s="3" t="s">
        <v>2420</v>
      </c>
      <c r="F1492" s="3" t="s">
        <v>2432</v>
      </c>
      <c r="G1492" s="3" t="s">
        <v>5120</v>
      </c>
      <c r="H1492" s="3"/>
      <c r="I1492" s="4" t="b">
        <f>OR(((E1492 = "calculated")=TRUE), ((E1492 = "lookup")=TRUE), ((E1492 = "aggregation")=TRUE))</f>
        <v>1</v>
      </c>
      <c r="J1492" s="4" t="b">
        <f>H1492 &lt;&gt; ""</f>
        <v>0</v>
      </c>
      <c r="K1492" s="4">
        <f>COUNTIFS(FieldDisagreements!D2:D50, A1492)</f>
        <v>0</v>
      </c>
      <c r="L1492" s="4" t="b">
        <f>K1492 &gt; 0</f>
        <v>0</v>
      </c>
      <c r="M1492" s="3" t="s">
        <v>2418</v>
      </c>
    </row>
    <row r="1493">
      <c r="A1493" s="3" t="s">
        <v>5121</v>
      </c>
      <c r="B1493" s="4" t="str">
        <f>C1493 &amp; "." &amp; D1493</f>
        <v>DeliveredCommunications.AuthorizedAt</v>
      </c>
      <c r="C1493" s="3" t="s">
        <v>5095</v>
      </c>
      <c r="D1493" s="3" t="s">
        <v>5122</v>
      </c>
      <c r="E1493" s="3" t="s">
        <v>2509</v>
      </c>
      <c r="F1493" s="3" t="s">
        <v>2428</v>
      </c>
      <c r="G1493" s="3" t="s">
        <v>5123</v>
      </c>
      <c r="H1493" s="3"/>
      <c r="I1493" s="4" t="b">
        <f>OR(((E1493 = "calculated")=TRUE), ((E1493 = "lookup")=TRUE), ((E1493 = "aggregation")=TRUE))</f>
        <v>1</v>
      </c>
      <c r="J1493" s="4" t="b">
        <f>H1493 &lt;&gt; ""</f>
        <v>0</v>
      </c>
      <c r="K1493" s="4">
        <f>COUNTIFS(FieldDisagreements!D2:D50, A1493)</f>
        <v>0</v>
      </c>
      <c r="L1493" s="4" t="b">
        <f>K1493 &gt; 0</f>
        <v>0</v>
      </c>
      <c r="M1493" s="3" t="s">
        <v>2418</v>
      </c>
    </row>
    <row r="1494">
      <c r="A1494" s="3" t="s">
        <v>5124</v>
      </c>
      <c r="B1494" s="4" t="str">
        <f>C1494 &amp; "." &amp; D1494</f>
        <v>DeliveredCommunications.WasApprovedBeforeSending</v>
      </c>
      <c r="C1494" s="3" t="s">
        <v>5095</v>
      </c>
      <c r="D1494" s="3" t="s">
        <v>5125</v>
      </c>
      <c r="E1494" s="3" t="s">
        <v>2420</v>
      </c>
      <c r="F1494" s="3" t="s">
        <v>2432</v>
      </c>
      <c r="G1494" s="3" t="s">
        <v>5126</v>
      </c>
      <c r="H1494" s="3"/>
      <c r="I1494" s="4" t="b">
        <f>OR(((E1494 = "calculated")=TRUE), ((E1494 = "lookup")=TRUE), ((E1494 = "aggregation")=TRUE))</f>
        <v>1</v>
      </c>
      <c r="J1494" s="4" t="b">
        <f>H1494 &lt;&gt; ""</f>
        <v>0</v>
      </c>
      <c r="K1494" s="4">
        <f>COUNTIFS(FieldDisagreements!D2:D50, A1494)</f>
        <v>0</v>
      </c>
      <c r="L1494" s="4" t="b">
        <f>K1494 &gt; 0</f>
        <v>0</v>
      </c>
      <c r="M1494" s="3" t="s">
        <v>2418</v>
      </c>
    </row>
    <row r="1495">
      <c r="A1495" s="3" t="s">
        <v>5127</v>
      </c>
      <c r="B1495" s="4" t="str">
        <f>C1495 &amp; "." &amp; D1495</f>
        <v>DeliveredCommunications.IsDefensible</v>
      </c>
      <c r="C1495" s="3" t="s">
        <v>5095</v>
      </c>
      <c r="D1495" s="3" t="s">
        <v>5128</v>
      </c>
      <c r="E1495" s="3" t="s">
        <v>2420</v>
      </c>
      <c r="F1495" s="3" t="s">
        <v>2432</v>
      </c>
      <c r="G1495" s="3" t="s">
        <v>5129</v>
      </c>
      <c r="H1495" s="3"/>
      <c r="I1495" s="4" t="b">
        <f>OR(((E1495 = "calculated")=TRUE), ((E1495 = "lookup")=TRUE), ((E1495 = "aggregation")=TRUE))</f>
        <v>1</v>
      </c>
      <c r="J1495" s="4" t="b">
        <f>H1495 &lt;&gt; ""</f>
        <v>0</v>
      </c>
      <c r="K1495" s="4">
        <f>COUNTIFS(FieldDisagreements!D2:D50, A1495)</f>
        <v>0</v>
      </c>
      <c r="L1495" s="4" t="b">
        <f>K1495 &gt; 0</f>
        <v>0</v>
      </c>
      <c r="M1495" s="3" t="s">
        <v>2418</v>
      </c>
    </row>
    <row r="1496">
      <c r="A1496" s="3" t="s">
        <v>5130</v>
      </c>
      <c r="B1496" s="4" t="str">
        <f>C1496 &amp; "." &amp; D1496</f>
        <v>AuthorityBoundaries.AuthorityBoundaryId</v>
      </c>
      <c r="C1496" s="3" t="s">
        <v>5131</v>
      </c>
      <c r="D1496" s="3" t="s">
        <v>5132</v>
      </c>
      <c r="E1496" s="3" t="s">
        <v>2416</v>
      </c>
      <c r="F1496" s="3" t="s">
        <v>2417</v>
      </c>
      <c r="G1496" s="3"/>
      <c r="H1496" s="3"/>
      <c r="I1496" s="4" t="b">
        <f>OR(((E1496 = "calculated")=TRUE), ((E1496 = "lookup")=TRUE), ((E1496 = "aggregation")=TRUE))</f>
        <v>0</v>
      </c>
      <c r="J1496" s="4" t="b">
        <f>H1496 &lt;&gt; ""</f>
        <v>0</v>
      </c>
      <c r="K1496" s="4">
        <f>COUNTIFS(FieldDisagreements!D2:D50, A1496)</f>
        <v>0</v>
      </c>
      <c r="L1496" s="4" t="b">
        <f>K1496 &gt; 0</f>
        <v>0</v>
      </c>
      <c r="M1496" s="3" t="s">
        <v>2418</v>
      </c>
    </row>
    <row r="1497">
      <c r="A1497" s="3" t="s">
        <v>5133</v>
      </c>
      <c r="B1497" s="4" t="str">
        <f>C1497 &amp; "." &amp; D1497</f>
        <v>AuthorityBoundaries.Name</v>
      </c>
      <c r="C1497" s="3" t="s">
        <v>5131</v>
      </c>
      <c r="D1497" s="3" t="s">
        <v>1</v>
      </c>
      <c r="E1497" s="3" t="s">
        <v>2420</v>
      </c>
      <c r="F1497" s="3" t="s">
        <v>2417</v>
      </c>
      <c r="G1497" s="3" t="s">
        <v>5134</v>
      </c>
      <c r="H1497" s="3"/>
      <c r="I1497" s="4" t="b">
        <f>OR(((E1497 = "calculated")=TRUE), ((E1497 = "lookup")=TRUE), ((E1497 = "aggregation")=TRUE))</f>
        <v>1</v>
      </c>
      <c r="J1497" s="4" t="b">
        <f>H1497 &lt;&gt; ""</f>
        <v>0</v>
      </c>
      <c r="K1497" s="4">
        <f>COUNTIFS(FieldDisagreements!D2:D50, A1497)</f>
        <v>0</v>
      </c>
      <c r="L1497" s="4" t="b">
        <f>K1497 &gt; 0</f>
        <v>0</v>
      </c>
      <c r="M1497" s="3" t="s">
        <v>2418</v>
      </c>
    </row>
    <row r="1498">
      <c r="A1498" s="3" t="s">
        <v>5135</v>
      </c>
      <c r="B1498" s="4" t="str">
        <f>C1498 &amp; "." &amp; D1498</f>
        <v>AuthorityBoundaries.Step</v>
      </c>
      <c r="C1498" s="3" t="s">
        <v>5131</v>
      </c>
      <c r="D1498" s="3" t="s">
        <v>767</v>
      </c>
      <c r="E1498" s="3" t="s">
        <v>2465</v>
      </c>
      <c r="F1498" s="3" t="s">
        <v>2417</v>
      </c>
      <c r="G1498" s="3"/>
      <c r="H1498" s="3"/>
      <c r="I1498" s="4" t="b">
        <f>OR(((E1498 = "calculated")=TRUE), ((E1498 = "lookup")=TRUE), ((E1498 = "aggregation")=TRUE))</f>
        <v>0</v>
      </c>
      <c r="J1498" s="4" t="b">
        <f>H1498 &lt;&gt; ""</f>
        <v>0</v>
      </c>
      <c r="K1498" s="4">
        <f>COUNTIFS(FieldDisagreements!D2:D50, A1498)</f>
        <v>0</v>
      </c>
      <c r="L1498" s="4" t="b">
        <f>K1498 &gt; 0</f>
        <v>0</v>
      </c>
      <c r="M1498" s="3" t="s">
        <v>2418</v>
      </c>
    </row>
    <row r="1499">
      <c r="A1499" s="3" t="s">
        <v>5136</v>
      </c>
      <c r="B1499" s="4" t="str">
        <f>C1499 &amp; "." &amp; D1499</f>
        <v>AuthorityBoundaries.ForbiddenAgentKind</v>
      </c>
      <c r="C1499" s="3" t="s">
        <v>5131</v>
      </c>
      <c r="D1499" s="3" t="s">
        <v>5137</v>
      </c>
      <c r="E1499" s="3" t="s">
        <v>2416</v>
      </c>
      <c r="F1499" s="3" t="s">
        <v>2417</v>
      </c>
      <c r="G1499" s="3"/>
      <c r="H1499" s="3"/>
      <c r="I1499" s="4" t="b">
        <f>OR(((E1499 = "calculated")=TRUE), ((E1499 = "lookup")=TRUE), ((E1499 = "aggregation")=TRUE))</f>
        <v>0</v>
      </c>
      <c r="J1499" s="4" t="b">
        <f>H1499 &lt;&gt; ""</f>
        <v>0</v>
      </c>
      <c r="K1499" s="4">
        <f>COUNTIFS(FieldDisagreements!D2:D50, A1499)</f>
        <v>0</v>
      </c>
      <c r="L1499" s="4" t="b">
        <f>K1499 &gt; 0</f>
        <v>0</v>
      </c>
      <c r="M1499" s="3" t="s">
        <v>2418</v>
      </c>
    </row>
    <row r="1500">
      <c r="A1500" s="3" t="s">
        <v>5138</v>
      </c>
      <c r="B1500" s="4" t="str">
        <f>C1500 &amp; "." &amp; D1500</f>
        <v>AuthorityBoundaries.ForbiddenDecisionKind</v>
      </c>
      <c r="C1500" s="3" t="s">
        <v>5131</v>
      </c>
      <c r="D1500" s="3" t="s">
        <v>5139</v>
      </c>
      <c r="E1500" s="3" t="s">
        <v>2416</v>
      </c>
      <c r="F1500" s="3" t="s">
        <v>2417</v>
      </c>
      <c r="G1500" s="3"/>
      <c r="H1500" s="3"/>
      <c r="I1500" s="4" t="b">
        <f>OR(((E1500 = "calculated")=TRUE), ((E1500 = "lookup")=TRUE), ((E1500 = "aggregation")=TRUE))</f>
        <v>0</v>
      </c>
      <c r="J1500" s="4" t="b">
        <f>H1500 &lt;&gt; ""</f>
        <v>0</v>
      </c>
      <c r="K1500" s="4">
        <f>COUNTIFS(FieldDisagreements!D2:D50, A1500)</f>
        <v>0</v>
      </c>
      <c r="L1500" s="4" t="b">
        <f>K1500 &gt; 0</f>
        <v>0</v>
      </c>
      <c r="M1500" s="3" t="s">
        <v>2418</v>
      </c>
    </row>
    <row r="1501">
      <c r="A1501" s="3" t="s">
        <v>5140</v>
      </c>
      <c r="B1501" s="4" t="str">
        <f>C1501 &amp; "." &amp; D1501</f>
        <v>AuthorityBoundaries.RatifiedByKnowledgeFragment</v>
      </c>
      <c r="C1501" s="3" t="s">
        <v>5131</v>
      </c>
      <c r="D1501" s="3" t="s">
        <v>5141</v>
      </c>
      <c r="E1501" s="3" t="s">
        <v>2465</v>
      </c>
      <c r="F1501" s="3" t="s">
        <v>2417</v>
      </c>
      <c r="G1501" s="3"/>
      <c r="H1501" s="3"/>
      <c r="I1501" s="4" t="b">
        <f>OR(((E1501 = "calculated")=TRUE), ((E1501 = "lookup")=TRUE), ((E1501 = "aggregation")=TRUE))</f>
        <v>0</v>
      </c>
      <c r="J1501" s="4" t="b">
        <f>H1501 &lt;&gt; ""</f>
        <v>0</v>
      </c>
      <c r="K1501" s="4">
        <f>COUNTIFS(FieldDisagreements!D2:D50, A1501)</f>
        <v>0</v>
      </c>
      <c r="L1501" s="4" t="b">
        <f>K1501 &gt; 0</f>
        <v>0</v>
      </c>
      <c r="M1501" s="3" t="s">
        <v>2418</v>
      </c>
    </row>
    <row r="1502">
      <c r="A1502" s="3" t="s">
        <v>5142</v>
      </c>
      <c r="B1502" s="4" t="str">
        <f>C1502 &amp; "." &amp; D1502</f>
        <v>AuthorityBoundaries.EnforcingRequirement</v>
      </c>
      <c r="C1502" s="3" t="s">
        <v>5131</v>
      </c>
      <c r="D1502" s="3" t="s">
        <v>5143</v>
      </c>
      <c r="E1502" s="3" t="s">
        <v>2465</v>
      </c>
      <c r="F1502" s="3" t="s">
        <v>2417</v>
      </c>
      <c r="G1502" s="3"/>
      <c r="H1502" s="3"/>
      <c r="I1502" s="4" t="b">
        <f>OR(((E1502 = "calculated")=TRUE), ((E1502 = "lookup")=TRUE), ((E1502 = "aggregation")=TRUE))</f>
        <v>0</v>
      </c>
      <c r="J1502" s="4" t="b">
        <f>H1502 &lt;&gt; ""</f>
        <v>0</v>
      </c>
      <c r="K1502" s="4">
        <f>COUNTIFS(FieldDisagreements!D2:D50, A1502)</f>
        <v>0</v>
      </c>
      <c r="L1502" s="4" t="b">
        <f>K1502 &gt; 0</f>
        <v>0</v>
      </c>
      <c r="M1502" s="3" t="s">
        <v>2418</v>
      </c>
    </row>
    <row r="1503">
      <c r="A1503" s="3" t="s">
        <v>5144</v>
      </c>
      <c r="B1503" s="4" t="str">
        <f>C1503 &amp; "." &amp; D1503</f>
        <v>AuthorityBoundaries.AuthorityRole</v>
      </c>
      <c r="C1503" s="3" t="s">
        <v>5131</v>
      </c>
      <c r="D1503" s="3" t="s">
        <v>986</v>
      </c>
      <c r="E1503" s="3" t="s">
        <v>2465</v>
      </c>
      <c r="F1503" s="3" t="s">
        <v>2417</v>
      </c>
      <c r="G1503" s="3"/>
      <c r="H1503" s="3"/>
      <c r="I1503" s="4" t="b">
        <f>OR(((E1503 = "calculated")=TRUE), ((E1503 = "lookup")=TRUE), ((E1503 = "aggregation")=TRUE))</f>
        <v>0</v>
      </c>
      <c r="J1503" s="4" t="b">
        <f>H1503 &lt;&gt; ""</f>
        <v>0</v>
      </c>
      <c r="K1503" s="4">
        <f>COUNTIFS(FieldDisagreements!D2:D50, A1503)</f>
        <v>0</v>
      </c>
      <c r="L1503" s="4" t="b">
        <f>K1503 &gt; 0</f>
        <v>0</v>
      </c>
      <c r="M1503" s="3" t="s">
        <v>2418</v>
      </c>
    </row>
    <row r="1504">
      <c r="A1504" s="3" t="s">
        <v>5145</v>
      </c>
      <c r="B1504" s="4" t="str">
        <f>C1504 &amp; "." &amp; D1504</f>
        <v>AuthorityBoundaries.ValidFrom</v>
      </c>
      <c r="C1504" s="3" t="s">
        <v>5131</v>
      </c>
      <c r="D1504" s="3" t="s">
        <v>255</v>
      </c>
      <c r="E1504" s="3" t="s">
        <v>2416</v>
      </c>
      <c r="F1504" s="3" t="s">
        <v>2428</v>
      </c>
      <c r="G1504" s="3"/>
      <c r="H1504" s="3"/>
      <c r="I1504" s="4" t="b">
        <f>OR(((E1504 = "calculated")=TRUE), ((E1504 = "lookup")=TRUE), ((E1504 = "aggregation")=TRUE))</f>
        <v>0</v>
      </c>
      <c r="J1504" s="4" t="b">
        <f>H1504 &lt;&gt; ""</f>
        <v>0</v>
      </c>
      <c r="K1504" s="4">
        <f>COUNTIFS(FieldDisagreements!D2:D50, A1504)</f>
        <v>0</v>
      </c>
      <c r="L1504" s="4" t="b">
        <f>K1504 &gt; 0</f>
        <v>0</v>
      </c>
      <c r="M1504" s="3" t="s">
        <v>2418</v>
      </c>
    </row>
    <row r="1505">
      <c r="A1505" s="3" t="s">
        <v>5146</v>
      </c>
      <c r="B1505" s="4" t="str">
        <f>C1505 &amp; "." &amp; D1505</f>
        <v>AuthorityBoundaries.ValidTo</v>
      </c>
      <c r="C1505" s="3" t="s">
        <v>5131</v>
      </c>
      <c r="D1505" s="3" t="s">
        <v>256</v>
      </c>
      <c r="E1505" s="3" t="s">
        <v>2416</v>
      </c>
      <c r="F1505" s="3" t="s">
        <v>2428</v>
      </c>
      <c r="G1505" s="3"/>
      <c r="H1505" s="3"/>
      <c r="I1505" s="4" t="b">
        <f>OR(((E1505 = "calculated")=TRUE), ((E1505 = "lookup")=TRUE), ((E1505 = "aggregation")=TRUE))</f>
        <v>0</v>
      </c>
      <c r="J1505" s="4" t="b">
        <f>H1505 &lt;&gt; ""</f>
        <v>0</v>
      </c>
      <c r="K1505" s="4">
        <f>COUNTIFS(FieldDisagreements!D2:D50, A1505)</f>
        <v>0</v>
      </c>
      <c r="L1505" s="4" t="b">
        <f>K1505 &gt; 0</f>
        <v>0</v>
      </c>
      <c r="M1505" s="3" t="s">
        <v>2418</v>
      </c>
    </row>
    <row r="1506">
      <c r="A1506" s="3" t="s">
        <v>5147</v>
      </c>
      <c r="B1506" s="4" t="str">
        <f>C1506 &amp; "." &amp; D1506</f>
        <v>AuthorityBoundaries.Status</v>
      </c>
      <c r="C1506" s="3" t="s">
        <v>5131</v>
      </c>
      <c r="D1506" s="3" t="s">
        <v>8</v>
      </c>
      <c r="E1506" s="3" t="s">
        <v>2416</v>
      </c>
      <c r="F1506" s="3" t="s">
        <v>2417</v>
      </c>
      <c r="G1506" s="3"/>
      <c r="H1506" s="3"/>
      <c r="I1506" s="4" t="b">
        <f>OR(((E1506 = "calculated")=TRUE), ((E1506 = "lookup")=TRUE), ((E1506 = "aggregation")=TRUE))</f>
        <v>0</v>
      </c>
      <c r="J1506" s="4" t="b">
        <f>H1506 &lt;&gt; ""</f>
        <v>0</v>
      </c>
      <c r="K1506" s="4">
        <f>COUNTIFS(FieldDisagreements!D2:D50, A1506)</f>
        <v>0</v>
      </c>
      <c r="L1506" s="4" t="b">
        <f>K1506 &gt; 0</f>
        <v>0</v>
      </c>
      <c r="M1506" s="3" t="s">
        <v>2418</v>
      </c>
    </row>
    <row r="1507">
      <c r="A1507" s="3" t="s">
        <v>5148</v>
      </c>
      <c r="B1507" s="4" t="str">
        <f>C1507 &amp; "." &amp; D1507</f>
        <v>AuthorityBoundaries.EvaluationContext</v>
      </c>
      <c r="C1507" s="3" t="s">
        <v>5131</v>
      </c>
      <c r="D1507" s="3" t="s">
        <v>258</v>
      </c>
      <c r="E1507" s="3" t="s">
        <v>2465</v>
      </c>
      <c r="F1507" s="3" t="s">
        <v>2417</v>
      </c>
      <c r="G1507" s="3"/>
      <c r="H1507" s="3"/>
      <c r="I1507" s="4" t="b">
        <f>OR(((E1507 = "calculated")=TRUE), ((E1507 = "lookup")=TRUE), ((E1507 = "aggregation")=TRUE))</f>
        <v>0</v>
      </c>
      <c r="J1507" s="4" t="b">
        <f>H1507 &lt;&gt; ""</f>
        <v>0</v>
      </c>
      <c r="K1507" s="4">
        <f>COUNTIFS(FieldDisagreements!D2:D50, A1507)</f>
        <v>0</v>
      </c>
      <c r="L1507" s="4" t="b">
        <f>K1507 &gt; 0</f>
        <v>0</v>
      </c>
      <c r="M1507" s="3" t="s">
        <v>2418</v>
      </c>
    </row>
    <row r="1508">
      <c r="A1508" s="3" t="s">
        <v>5149</v>
      </c>
      <c r="B1508" s="4" t="str">
        <f>C1508 &amp; "." &amp; D1508</f>
        <v>AuthorityBoundaries.AsOfInstant</v>
      </c>
      <c r="C1508" s="3" t="s">
        <v>5131</v>
      </c>
      <c r="D1508" s="3" t="s">
        <v>92</v>
      </c>
      <c r="E1508" s="3" t="s">
        <v>2509</v>
      </c>
      <c r="F1508" s="3" t="s">
        <v>2428</v>
      </c>
      <c r="G1508" s="3" t="s">
        <v>2555</v>
      </c>
      <c r="H1508" s="3"/>
      <c r="I1508" s="4" t="b">
        <f>OR(((E1508 = "calculated")=TRUE), ((E1508 = "lookup")=TRUE), ((E1508 = "aggregation")=TRUE))</f>
        <v>1</v>
      </c>
      <c r="J1508" s="4" t="b">
        <f>H1508 &lt;&gt; ""</f>
        <v>0</v>
      </c>
      <c r="K1508" s="4">
        <f>COUNTIFS(FieldDisagreements!D2:D50, A1508)</f>
        <v>0</v>
      </c>
      <c r="L1508" s="4" t="b">
        <f>K1508 &gt; 0</f>
        <v>0</v>
      </c>
      <c r="M1508" s="3" t="s">
        <v>2418</v>
      </c>
    </row>
    <row r="1509">
      <c r="A1509" s="3" t="s">
        <v>5150</v>
      </c>
      <c r="B1509" s="4" t="str">
        <f>C1509 &amp; "." &amp; D1509</f>
        <v>AuthorityBoundaries.IsCurrentlyBinding</v>
      </c>
      <c r="C1509" s="3" t="s">
        <v>5131</v>
      </c>
      <c r="D1509" s="3" t="s">
        <v>5151</v>
      </c>
      <c r="E1509" s="3" t="s">
        <v>2420</v>
      </c>
      <c r="F1509" s="3" t="s">
        <v>2432</v>
      </c>
      <c r="G1509" s="3" t="s">
        <v>5152</v>
      </c>
      <c r="H1509" s="3" t="s">
        <v>2167</v>
      </c>
      <c r="I1509" s="4" t="b">
        <f>OR(((E1509 = "calculated")=TRUE), ((E1509 = "lookup")=TRUE), ((E1509 = "aggregation")=TRUE))</f>
        <v>1</v>
      </c>
      <c r="J1509" s="4" t="b">
        <f>H1509 &lt;&gt; ""</f>
        <v>1</v>
      </c>
      <c r="K1509" s="4">
        <f>COUNTIFS(FieldDisagreements!D2:D50, A1509)</f>
        <v>0</v>
      </c>
      <c r="L1509" s="4" t="b">
        <f>K1509 &gt; 0</f>
        <v>0</v>
      </c>
      <c r="M1509" s="3" t="s">
        <v>2418</v>
      </c>
    </row>
    <row r="1510">
      <c r="A1510" s="3" t="s">
        <v>5153</v>
      </c>
      <c r="B1510" s="4" t="str">
        <f>C1510 &amp; "." &amp; D1510</f>
        <v>AuthorityBoundaries.RatifyingFragmentIsValid</v>
      </c>
      <c r="C1510" s="3" t="s">
        <v>5131</v>
      </c>
      <c r="D1510" s="3" t="s">
        <v>5154</v>
      </c>
      <c r="E1510" s="3" t="s">
        <v>2509</v>
      </c>
      <c r="F1510" s="3" t="s">
        <v>2432</v>
      </c>
      <c r="G1510" s="3" t="s">
        <v>5155</v>
      </c>
      <c r="H1510" s="3" t="s">
        <v>2167</v>
      </c>
      <c r="I1510" s="4" t="b">
        <f>OR(((E1510 = "calculated")=TRUE), ((E1510 = "lookup")=TRUE), ((E1510 = "aggregation")=TRUE))</f>
        <v>1</v>
      </c>
      <c r="J1510" s="4" t="b">
        <f>H1510 &lt;&gt; ""</f>
        <v>1</v>
      </c>
      <c r="K1510" s="4">
        <f>COUNTIFS(FieldDisagreements!D2:D50, A1510)</f>
        <v>0</v>
      </c>
      <c r="L1510" s="4" t="b">
        <f>K1510 &gt; 0</f>
        <v>0</v>
      </c>
      <c r="M1510" s="3" t="s">
        <v>2418</v>
      </c>
    </row>
    <row r="1511">
      <c r="A1511" s="3" t="s">
        <v>5156</v>
      </c>
      <c r="B1511" s="4" t="str">
        <f>C1511 &amp; "." &amp; D1511</f>
        <v>AuthorityBoundaries.StepWhenBinding</v>
      </c>
      <c r="C1511" s="3" t="s">
        <v>5131</v>
      </c>
      <c r="D1511" s="3" t="s">
        <v>5157</v>
      </c>
      <c r="E1511" s="3" t="s">
        <v>2420</v>
      </c>
      <c r="F1511" s="3" t="s">
        <v>2417</v>
      </c>
      <c r="G1511" s="3" t="s">
        <v>5158</v>
      </c>
      <c r="H1511" s="3" t="s">
        <v>2167</v>
      </c>
      <c r="I1511" s="4" t="b">
        <f>OR(((E1511 = "calculated")=TRUE), ((E1511 = "lookup")=TRUE), ((E1511 = "aggregation")=TRUE))</f>
        <v>1</v>
      </c>
      <c r="J1511" s="4" t="b">
        <f>H1511 &lt;&gt; ""</f>
        <v>1</v>
      </c>
      <c r="K1511" s="4">
        <f>COUNTIFS(FieldDisagreements!D2:D50, A1511)</f>
        <v>0</v>
      </c>
      <c r="L1511" s="4" t="b">
        <f>K1511 &gt; 0</f>
        <v>0</v>
      </c>
      <c r="M1511" s="3" t="s">
        <v>2418</v>
      </c>
    </row>
    <row r="1512">
      <c r="A1512" s="3" t="s">
        <v>5159</v>
      </c>
      <c r="B1512" s="4" t="str">
        <f>C1512 &amp; "." &amp; D1512</f>
        <v>AuthorityBoundaries.BoundaryMatchKey</v>
      </c>
      <c r="C1512" s="3" t="s">
        <v>5131</v>
      </c>
      <c r="D1512" s="3" t="s">
        <v>5035</v>
      </c>
      <c r="E1512" s="3" t="s">
        <v>2420</v>
      </c>
      <c r="F1512" s="3" t="s">
        <v>2417</v>
      </c>
      <c r="G1512" s="3" t="s">
        <v>5160</v>
      </c>
      <c r="H1512" s="3" t="s">
        <v>2167</v>
      </c>
      <c r="I1512" s="4" t="b">
        <f>OR(((E1512 = "calculated")=TRUE), ((E1512 = "lookup")=TRUE), ((E1512 = "aggregation")=TRUE))</f>
        <v>1</v>
      </c>
      <c r="J1512" s="4" t="b">
        <f>H1512 &lt;&gt; ""</f>
        <v>1</v>
      </c>
      <c r="K1512" s="4">
        <f>COUNTIFS(FieldDisagreements!D2:D50, A1512)</f>
        <v>0</v>
      </c>
      <c r="L1512" s="4" t="b">
        <f>K1512 &gt; 0</f>
        <v>0</v>
      </c>
      <c r="M1512" s="3" t="s">
        <v>2418</v>
      </c>
    </row>
    <row r="1513">
      <c r="A1513" s="3" t="s">
        <v>5161</v>
      </c>
      <c r="B1513" s="4" t="str">
        <f>C1513 &amp; "." &amp; D1513</f>
        <v>AuthorityBoundaries.ViolationCount</v>
      </c>
      <c r="C1513" s="3" t="s">
        <v>5131</v>
      </c>
      <c r="D1513" s="3" t="s">
        <v>5162</v>
      </c>
      <c r="E1513" s="3" t="s">
        <v>2469</v>
      </c>
      <c r="F1513" s="3" t="s">
        <v>2475</v>
      </c>
      <c r="G1513" s="3" t="s">
        <v>5163</v>
      </c>
      <c r="H1513" s="3" t="s">
        <v>2187</v>
      </c>
      <c r="I1513" s="4" t="b">
        <f>OR(((E1513 = "calculated")=TRUE), ((E1513 = "lookup")=TRUE), ((E1513 = "aggregation")=TRUE))</f>
        <v>1</v>
      </c>
      <c r="J1513" s="4" t="b">
        <f>H1513 &lt;&gt; ""</f>
        <v>1</v>
      </c>
      <c r="K1513" s="4">
        <f>COUNTIFS(FieldDisagreements!D2:D50, A1513)</f>
        <v>0</v>
      </c>
      <c r="L1513" s="4" t="b">
        <f>K1513 &gt; 0</f>
        <v>0</v>
      </c>
      <c r="M1513" s="3" t="s">
        <v>2418</v>
      </c>
    </row>
    <row r="1514">
      <c r="A1514" s="3" t="s">
        <v>5164</v>
      </c>
      <c r="B1514" s="4" t="str">
        <f>C1514 &amp; "." &amp; D1514</f>
        <v>AuthorityBoundaries.IsUntested</v>
      </c>
      <c r="C1514" s="3" t="s">
        <v>5131</v>
      </c>
      <c r="D1514" s="3" t="s">
        <v>5165</v>
      </c>
      <c r="E1514" s="3" t="s">
        <v>2420</v>
      </c>
      <c r="F1514" s="3" t="s">
        <v>2432</v>
      </c>
      <c r="G1514" s="3" t="s">
        <v>5166</v>
      </c>
      <c r="H1514" s="3" t="s">
        <v>2187</v>
      </c>
      <c r="I1514" s="4" t="b">
        <f>OR(((E1514 = "calculated")=TRUE), ((E1514 = "lookup")=TRUE), ((E1514 = "aggregation")=TRUE))</f>
        <v>1</v>
      </c>
      <c r="J1514" s="4" t="b">
        <f>H1514 &lt;&gt; ""</f>
        <v>1</v>
      </c>
      <c r="K1514" s="4">
        <f>COUNTIFS(FieldDisagreements!D2:D50, A1514)</f>
        <v>0</v>
      </c>
      <c r="L1514" s="4" t="b">
        <f>K1514 &gt; 0</f>
        <v>0</v>
      </c>
      <c r="M1514" s="3" t="s">
        <v>2418</v>
      </c>
    </row>
    <row r="1515">
      <c r="A1515" s="3" t="s">
        <v>5167</v>
      </c>
      <c r="B1515" s="4" t="str">
        <f>C1515 &amp; "." &amp; D1515</f>
        <v>AuthorityBoundaries.HasRatifyingFragment</v>
      </c>
      <c r="C1515" s="3" t="s">
        <v>5131</v>
      </c>
      <c r="D1515" s="3" t="s">
        <v>5168</v>
      </c>
      <c r="E1515" s="3" t="s">
        <v>2420</v>
      </c>
      <c r="F1515" s="3" t="s">
        <v>2432</v>
      </c>
      <c r="G1515" s="3" t="s">
        <v>5169</v>
      </c>
      <c r="H1515" s="3"/>
      <c r="I1515" s="4" t="b">
        <f>OR(((E1515 = "calculated")=TRUE), ((E1515 = "lookup")=TRUE), ((E1515 = "aggregation")=TRUE))</f>
        <v>1</v>
      </c>
      <c r="J1515" s="4" t="b">
        <f>H1515 &lt;&gt; ""</f>
        <v>0</v>
      </c>
      <c r="K1515" s="4">
        <f>COUNTIFS(FieldDisagreements!D2:D50, A1515)</f>
        <v>0</v>
      </c>
      <c r="L1515" s="4" t="b">
        <f>K1515 &gt; 0</f>
        <v>0</v>
      </c>
      <c r="M1515" s="3" t="s">
        <v>2418</v>
      </c>
    </row>
    <row r="1516">
      <c r="A1516" s="3" t="s">
        <v>5170</v>
      </c>
      <c r="B1516" s="4" t="str">
        <f>C1516 &amp; "." &amp; D1516</f>
        <v>AuthorityBoundaries.IsUnwarranted</v>
      </c>
      <c r="C1516" s="3" t="s">
        <v>5131</v>
      </c>
      <c r="D1516" s="3" t="s">
        <v>5171</v>
      </c>
      <c r="E1516" s="3" t="s">
        <v>2420</v>
      </c>
      <c r="F1516" s="3" t="s">
        <v>2432</v>
      </c>
      <c r="G1516" s="3" t="s">
        <v>5172</v>
      </c>
      <c r="H1516" s="3" t="s">
        <v>2203</v>
      </c>
      <c r="I1516" s="4" t="b">
        <f>OR(((E1516 = "calculated")=TRUE), ((E1516 = "lookup")=TRUE), ((E1516 = "aggregation")=TRUE))</f>
        <v>1</v>
      </c>
      <c r="J1516" s="4" t="b">
        <f>H1516 &lt;&gt; ""</f>
        <v>1</v>
      </c>
      <c r="K1516" s="4">
        <f>COUNTIFS(FieldDisagreements!D2:D50, A1516)</f>
        <v>0</v>
      </c>
      <c r="L1516" s="4" t="b">
        <f>K1516 &gt; 0</f>
        <v>0</v>
      </c>
      <c r="M1516" s="3" t="s">
        <v>2418</v>
      </c>
    </row>
    <row r="1517">
      <c r="A1517" s="3" t="s">
        <v>5173</v>
      </c>
      <c r="B1517" s="4" t="str">
        <f>C1517 &amp; "." &amp; D1517</f>
        <v>AuthorityBoundaries.RatifyingFragmentIsOverdue</v>
      </c>
      <c r="C1517" s="3" t="s">
        <v>5131</v>
      </c>
      <c r="D1517" s="3" t="s">
        <v>5174</v>
      </c>
      <c r="E1517" s="3" t="s">
        <v>2509</v>
      </c>
      <c r="F1517" s="3" t="s">
        <v>2432</v>
      </c>
      <c r="G1517" s="3" t="s">
        <v>5175</v>
      </c>
      <c r="H1517" s="3" t="s">
        <v>2203</v>
      </c>
      <c r="I1517" s="4" t="b">
        <f>OR(((E1517 = "calculated")=TRUE), ((E1517 = "lookup")=TRUE), ((E1517 = "aggregation")=TRUE))</f>
        <v>1</v>
      </c>
      <c r="J1517" s="4" t="b">
        <f>H1517 &lt;&gt; ""</f>
        <v>1</v>
      </c>
      <c r="K1517" s="4">
        <f>COUNTIFS(FieldDisagreements!D2:D50, A1517)</f>
        <v>0</v>
      </c>
      <c r="L1517" s="4" t="b">
        <f>K1517 &gt; 0</f>
        <v>0</v>
      </c>
      <c r="M1517" s="3" t="s">
        <v>2418</v>
      </c>
    </row>
    <row r="1518">
      <c r="A1518" s="3" t="s">
        <v>5176</v>
      </c>
      <c r="B1518" s="4" t="str">
        <f>C1518 &amp; "." &amp; D1518</f>
        <v>AuthorityBoundaries.RatifyingFragmentIsSingleWitness</v>
      </c>
      <c r="C1518" s="3" t="s">
        <v>5131</v>
      </c>
      <c r="D1518" s="3" t="s">
        <v>5177</v>
      </c>
      <c r="E1518" s="3" t="s">
        <v>2509</v>
      </c>
      <c r="F1518" s="3" t="s">
        <v>2432</v>
      </c>
      <c r="G1518" s="3" t="s">
        <v>5178</v>
      </c>
      <c r="H1518" s="3" t="s">
        <v>2203</v>
      </c>
      <c r="I1518" s="4" t="b">
        <f>OR(((E1518 = "calculated")=TRUE), ((E1518 = "lookup")=TRUE), ((E1518 = "aggregation")=TRUE))</f>
        <v>1</v>
      </c>
      <c r="J1518" s="4" t="b">
        <f>H1518 &lt;&gt; ""</f>
        <v>1</v>
      </c>
      <c r="K1518" s="4">
        <f>COUNTIFS(FieldDisagreements!D2:D50, A1518)</f>
        <v>0</v>
      </c>
      <c r="L1518" s="4" t="b">
        <f>K1518 &gt; 0</f>
        <v>0</v>
      </c>
      <c r="M1518" s="3" t="s">
        <v>2418</v>
      </c>
    </row>
    <row r="1519">
      <c r="A1519" s="3" t="s">
        <v>5179</v>
      </c>
      <c r="B1519" s="4" t="str">
        <f>C1519 &amp; "." &amp; D1519</f>
        <v>AuthorityBoundaries.WarrantIsThin</v>
      </c>
      <c r="C1519" s="3" t="s">
        <v>5131</v>
      </c>
      <c r="D1519" s="3" t="s">
        <v>5180</v>
      </c>
      <c r="E1519" s="3" t="s">
        <v>2420</v>
      </c>
      <c r="F1519" s="3" t="s">
        <v>2432</v>
      </c>
      <c r="G1519" s="3" t="s">
        <v>5181</v>
      </c>
      <c r="H1519" s="3" t="s">
        <v>2203</v>
      </c>
      <c r="I1519" s="4" t="b">
        <f>OR(((E1519 = "calculated")=TRUE), ((E1519 = "lookup")=TRUE), ((E1519 = "aggregation")=TRUE))</f>
        <v>1</v>
      </c>
      <c r="J1519" s="4" t="b">
        <f>H1519 &lt;&gt; ""</f>
        <v>1</v>
      </c>
      <c r="K1519" s="4">
        <f>COUNTIFS(FieldDisagreements!D2:D50, A1519)</f>
        <v>0</v>
      </c>
      <c r="L1519" s="4" t="b">
        <f>K1519 &gt; 0</f>
        <v>0</v>
      </c>
      <c r="M1519" s="3" t="s">
        <v>2418</v>
      </c>
    </row>
    <row r="1520">
      <c r="A1520" s="3" t="s">
        <v>5182</v>
      </c>
      <c r="B1520" s="4" t="str">
        <f>C1520 &amp; "." &amp; D1520</f>
        <v>AuthorityBoundaries.IsUnwarrantedAndUntested</v>
      </c>
      <c r="C1520" s="3" t="s">
        <v>5131</v>
      </c>
      <c r="D1520" s="3" t="s">
        <v>5183</v>
      </c>
      <c r="E1520" s="3" t="s">
        <v>2420</v>
      </c>
      <c r="F1520" s="3" t="s">
        <v>2432</v>
      </c>
      <c r="G1520" s="3" t="s">
        <v>5184</v>
      </c>
      <c r="H1520" s="3" t="s">
        <v>2203</v>
      </c>
      <c r="I1520" s="4" t="b">
        <f>OR(((E1520 = "calculated")=TRUE), ((E1520 = "lookup")=TRUE), ((E1520 = "aggregation")=TRUE))</f>
        <v>1</v>
      </c>
      <c r="J1520" s="4" t="b">
        <f>H1520 &lt;&gt; ""</f>
        <v>1</v>
      </c>
      <c r="K1520" s="4">
        <f>COUNTIFS(FieldDisagreements!D2:D50, A1520)</f>
        <v>0</v>
      </c>
      <c r="L1520" s="4" t="b">
        <f>K1520 &gt; 0</f>
        <v>0</v>
      </c>
      <c r="M1520" s="3" t="s">
        <v>2418</v>
      </c>
    </row>
    <row r="1521">
      <c r="A1521" s="3" t="s">
        <v>5185</v>
      </c>
      <c r="B1521" s="4" t="str">
        <f>C1521 &amp; "." &amp; D1521</f>
        <v>AuthorityBoundaries.UnwarrantedBoundaryStepKey</v>
      </c>
      <c r="C1521" s="3" t="s">
        <v>5131</v>
      </c>
      <c r="D1521" s="3" t="s">
        <v>5186</v>
      </c>
      <c r="E1521" s="3" t="s">
        <v>2420</v>
      </c>
      <c r="F1521" s="3" t="s">
        <v>2417</v>
      </c>
      <c r="G1521" s="3" t="s">
        <v>5187</v>
      </c>
      <c r="H1521" s="3" t="s">
        <v>2203</v>
      </c>
      <c r="I1521" s="4" t="b">
        <f>OR(((E1521 = "calculated")=TRUE), ((E1521 = "lookup")=TRUE), ((E1521 = "aggregation")=TRUE))</f>
        <v>1</v>
      </c>
      <c r="J1521" s="4" t="b">
        <f>H1521 &lt;&gt; ""</f>
        <v>1</v>
      </c>
      <c r="K1521" s="4">
        <f>COUNTIFS(FieldDisagreements!D2:D50, A1521)</f>
        <v>0</v>
      </c>
      <c r="L1521" s="4" t="b">
        <f>K1521 &gt; 0</f>
        <v>0</v>
      </c>
      <c r="M1521" s="3" t="s">
        <v>2418</v>
      </c>
    </row>
    <row r="1522">
      <c r="A1522" s="3" t="s">
        <v>5188</v>
      </c>
      <c r="B1522" s="4" t="str">
        <f>C1522 &amp; "." &amp; D1522</f>
        <v>AuthorityBoundaries.RatifyingFragmentKey</v>
      </c>
      <c r="C1522" s="3" t="s">
        <v>5131</v>
      </c>
      <c r="D1522" s="3" t="s">
        <v>5189</v>
      </c>
      <c r="E1522" s="3" t="s">
        <v>2420</v>
      </c>
      <c r="F1522" s="3" t="s">
        <v>2417</v>
      </c>
      <c r="G1522" s="3" t="s">
        <v>5190</v>
      </c>
      <c r="H1522" s="3" t="s">
        <v>2227</v>
      </c>
      <c r="I1522" s="4" t="b">
        <f>OR(((E1522 = "calculated")=TRUE), ((E1522 = "lookup")=TRUE), ((E1522 = "aggregation")=TRUE))</f>
        <v>1</v>
      </c>
      <c r="J1522" s="4" t="b">
        <f>H1522 &lt;&gt; ""</f>
        <v>1</v>
      </c>
      <c r="K1522" s="4">
        <f>COUNTIFS(FieldDisagreements!D2:D50, A1522)</f>
        <v>0</v>
      </c>
      <c r="L1522" s="4" t="b">
        <f>K1522 &gt; 0</f>
        <v>0</v>
      </c>
      <c r="M1522" s="3" t="s">
        <v>2418</v>
      </c>
    </row>
    <row r="1523">
      <c r="A1523" s="3" t="s">
        <v>5191</v>
      </c>
      <c r="B1523" s="4" t="str">
        <f>C1523 &amp; "." &amp; D1523</f>
        <v>AuthorityBoundaries.RatifyingFragmentStatus</v>
      </c>
      <c r="C1523" s="3" t="s">
        <v>5131</v>
      </c>
      <c r="D1523" s="3" t="s">
        <v>5192</v>
      </c>
      <c r="E1523" s="3" t="s">
        <v>2509</v>
      </c>
      <c r="F1523" s="3" t="s">
        <v>2417</v>
      </c>
      <c r="G1523" s="3" t="s">
        <v>5193</v>
      </c>
      <c r="H1523" s="3" t="s">
        <v>2343</v>
      </c>
      <c r="I1523" s="4" t="b">
        <f>OR(((E1523 = "calculated")=TRUE), ((E1523 = "lookup")=TRUE), ((E1523 = "aggregation")=TRUE))</f>
        <v>1</v>
      </c>
      <c r="J1523" s="4" t="b">
        <f>H1523 &lt;&gt; ""</f>
        <v>1</v>
      </c>
      <c r="K1523" s="4">
        <f>COUNTIFS(FieldDisagreements!D2:D50, A1523)</f>
        <v>0</v>
      </c>
      <c r="L1523" s="4" t="b">
        <f>K1523 &gt; 0</f>
        <v>0</v>
      </c>
      <c r="M1523" s="3" t="s">
        <v>2418</v>
      </c>
    </row>
    <row r="1524">
      <c r="A1524" s="3" t="s">
        <v>5194</v>
      </c>
      <c r="B1524" s="4" t="str">
        <f>C1524 &amp; "." &amp; D1524</f>
        <v>AuthorityBoundaries.RatificationLapsed</v>
      </c>
      <c r="C1524" s="3" t="s">
        <v>5131</v>
      </c>
      <c r="D1524" s="3" t="s">
        <v>5195</v>
      </c>
      <c r="E1524" s="3" t="s">
        <v>2420</v>
      </c>
      <c r="F1524" s="3" t="s">
        <v>2432</v>
      </c>
      <c r="G1524" s="3" t="s">
        <v>5196</v>
      </c>
      <c r="H1524" s="3" t="s">
        <v>2343</v>
      </c>
      <c r="I1524" s="4" t="b">
        <f>OR(((E1524 = "calculated")=TRUE), ((E1524 = "lookup")=TRUE), ((E1524 = "aggregation")=TRUE))</f>
        <v>1</v>
      </c>
      <c r="J1524" s="4" t="b">
        <f>H1524 &lt;&gt; ""</f>
        <v>1</v>
      </c>
      <c r="K1524" s="4">
        <f>COUNTIFS(FieldDisagreements!D2:D50, A1524)</f>
        <v>0</v>
      </c>
      <c r="L1524" s="4" t="b">
        <f>K1524 &gt; 0</f>
        <v>0</v>
      </c>
      <c r="M1524" s="3" t="s">
        <v>2418</v>
      </c>
    </row>
    <row r="1525">
      <c r="A1525" s="3" t="s">
        <v>5197</v>
      </c>
      <c r="B1525" s="4" t="str">
        <f>C1525 &amp; "." &amp; D1525</f>
        <v>AuthorityBoundaries.BindsDespiteLapsedRatification</v>
      </c>
      <c r="C1525" s="3" t="s">
        <v>5131</v>
      </c>
      <c r="D1525" s="3" t="s">
        <v>5198</v>
      </c>
      <c r="E1525" s="3" t="s">
        <v>2420</v>
      </c>
      <c r="F1525" s="3" t="s">
        <v>2432</v>
      </c>
      <c r="G1525" s="3" t="s">
        <v>5199</v>
      </c>
      <c r="H1525" s="3" t="s">
        <v>2343</v>
      </c>
      <c r="I1525" s="4" t="b">
        <f>OR(((E1525 = "calculated")=TRUE), ((E1525 = "lookup")=TRUE), ((E1525 = "aggregation")=TRUE))</f>
        <v>1</v>
      </c>
      <c r="J1525" s="4" t="b">
        <f>H1525 &lt;&gt; ""</f>
        <v>1</v>
      </c>
      <c r="K1525" s="4">
        <f>COUNTIFS(FieldDisagreements!D2:D50, A1525)</f>
        <v>0</v>
      </c>
      <c r="L1525" s="4" t="b">
        <f>K1525 &gt; 0</f>
        <v>0</v>
      </c>
      <c r="M1525" s="3" t="s">
        <v>2418</v>
      </c>
    </row>
    <row r="1526">
      <c r="A1526" s="3" t="s">
        <v>5200</v>
      </c>
      <c r="B1526" s="4" t="str">
        <f>C1526 &amp; "." &amp; D1526</f>
        <v>AuthorityBoundaries.IsUngroundedAndUntested</v>
      </c>
      <c r="C1526" s="3" t="s">
        <v>5131</v>
      </c>
      <c r="D1526" s="3" t="s">
        <v>5201</v>
      </c>
      <c r="E1526" s="3" t="s">
        <v>2420</v>
      </c>
      <c r="F1526" s="3" t="s">
        <v>2432</v>
      </c>
      <c r="G1526" s="3" t="s">
        <v>5202</v>
      </c>
      <c r="H1526" s="3" t="s">
        <v>2343</v>
      </c>
      <c r="I1526" s="4" t="b">
        <f>OR(((E1526 = "calculated")=TRUE), ((E1526 = "lookup")=TRUE), ((E1526 = "aggregation")=TRUE))</f>
        <v>1</v>
      </c>
      <c r="J1526" s="4" t="b">
        <f>H1526 &lt;&gt; ""</f>
        <v>1</v>
      </c>
      <c r="K1526" s="4">
        <f>COUNTIFS(FieldDisagreements!D2:D50, A1526)</f>
        <v>0</v>
      </c>
      <c r="L1526" s="4" t="b">
        <f>K1526 &gt; 0</f>
        <v>0</v>
      </c>
      <c r="M1526" s="3" t="s">
        <v>2418</v>
      </c>
    </row>
    <row r="1527">
      <c r="A1527" s="3" t="s">
        <v>5203</v>
      </c>
      <c r="B1527" s="4" t="str">
        <f>C1527 &amp; "." &amp; D1527</f>
        <v>AuthorityBoundaries.ConstrainedRoleAssignmentKey</v>
      </c>
      <c r="C1527" s="3" t="s">
        <v>5131</v>
      </c>
      <c r="D1527" s="3" t="s">
        <v>5204</v>
      </c>
      <c r="E1527" s="3" t="s">
        <v>2420</v>
      </c>
      <c r="F1527" s="3" t="s">
        <v>2417</v>
      </c>
      <c r="G1527" s="3" t="s">
        <v>5205</v>
      </c>
      <c r="H1527" s="3" t="s">
        <v>2343</v>
      </c>
      <c r="I1527" s="4" t="b">
        <f>OR(((E1527 = "calculated")=TRUE), ((E1527 = "lookup")=TRUE), ((E1527 = "aggregation")=TRUE))</f>
        <v>1</v>
      </c>
      <c r="J1527" s="4" t="b">
        <f>H1527 &lt;&gt; ""</f>
        <v>1</v>
      </c>
      <c r="K1527" s="4">
        <f>COUNTIFS(FieldDisagreements!D2:D50, A1527)</f>
        <v>0</v>
      </c>
      <c r="L1527" s="4" t="b">
        <f>K1527 &gt; 0</f>
        <v>0</v>
      </c>
      <c r="M1527" s="3" t="s">
        <v>2418</v>
      </c>
    </row>
    <row r="1528">
      <c r="A1528" s="3" t="s">
        <v>5206</v>
      </c>
      <c r="B1528" s="4" t="str">
        <f>C1528 &amp; "." &amp; D1528</f>
        <v>AuthorityBoundaries.SemanticTypeIri</v>
      </c>
      <c r="C1528" s="3" t="s">
        <v>5131</v>
      </c>
      <c r="D1528" s="3" t="s">
        <v>94</v>
      </c>
      <c r="E1528" s="3" t="s">
        <v>2416</v>
      </c>
      <c r="F1528" s="3" t="s">
        <v>2417</v>
      </c>
      <c r="G1528" s="3"/>
      <c r="H1528" s="3"/>
      <c r="I1528" s="4" t="b">
        <f>OR(((E1528 = "calculated")=TRUE), ((E1528 = "lookup")=TRUE), ((E1528 = "aggregation")=TRUE))</f>
        <v>0</v>
      </c>
      <c r="J1528" s="4" t="b">
        <f>H1528 &lt;&gt; ""</f>
        <v>0</v>
      </c>
      <c r="K1528" s="4">
        <f>COUNTIFS(FieldDisagreements!D2:D50, A1528)</f>
        <v>0</v>
      </c>
      <c r="L1528" s="4" t="b">
        <f>K1528 &gt; 0</f>
        <v>0</v>
      </c>
      <c r="M1528" s="3" t="s">
        <v>2418</v>
      </c>
    </row>
    <row r="1529">
      <c r="A1529" s="3" t="s">
        <v>5207</v>
      </c>
      <c r="B1529" s="4" t="str">
        <f>C1529 &amp; "." &amp; D1529</f>
        <v>BindingObservations.BindingObservationId</v>
      </c>
      <c r="C1529" s="3" t="s">
        <v>5208</v>
      </c>
      <c r="D1529" s="3" t="s">
        <v>5209</v>
      </c>
      <c r="E1529" s="3" t="s">
        <v>2416</v>
      </c>
      <c r="F1529" s="3" t="s">
        <v>2417</v>
      </c>
      <c r="G1529" s="3"/>
      <c r="H1529" s="3" t="s">
        <v>2263</v>
      </c>
      <c r="I1529" s="4" t="b">
        <f>OR(((E1529 = "calculated")=TRUE), ((E1529 = "lookup")=TRUE), ((E1529 = "aggregation")=TRUE))</f>
        <v>0</v>
      </c>
      <c r="J1529" s="4" t="b">
        <f>H1529 &lt;&gt; ""</f>
        <v>1</v>
      </c>
      <c r="K1529" s="4">
        <f>COUNTIFS(FieldDisagreements!D2:D50, A1529)</f>
        <v>0</v>
      </c>
      <c r="L1529" s="4" t="b">
        <f>K1529 &gt; 0</f>
        <v>0</v>
      </c>
      <c r="M1529" s="3" t="s">
        <v>2418</v>
      </c>
    </row>
    <row r="1530">
      <c r="A1530" s="3" t="s">
        <v>5210</v>
      </c>
      <c r="B1530" s="4" t="str">
        <f>C1530 &amp; "." &amp; D1530</f>
        <v>BindingObservations.Name</v>
      </c>
      <c r="C1530" s="3" t="s">
        <v>5208</v>
      </c>
      <c r="D1530" s="3" t="s">
        <v>1</v>
      </c>
      <c r="E1530" s="3" t="s">
        <v>2420</v>
      </c>
      <c r="F1530" s="3" t="s">
        <v>2417</v>
      </c>
      <c r="G1530" s="3" t="s">
        <v>5211</v>
      </c>
      <c r="H1530" s="3"/>
      <c r="I1530" s="4" t="b">
        <f>OR(((E1530 = "calculated")=TRUE), ((E1530 = "lookup")=TRUE), ((E1530 = "aggregation")=TRUE))</f>
        <v>1</v>
      </c>
      <c r="J1530" s="4" t="b">
        <f>H1530 &lt;&gt; ""</f>
        <v>0</v>
      </c>
      <c r="K1530" s="4">
        <f>COUNTIFS(FieldDisagreements!D2:D50, A1530)</f>
        <v>0</v>
      </c>
      <c r="L1530" s="4" t="b">
        <f>K1530 &gt; 0</f>
        <v>0</v>
      </c>
      <c r="M1530" s="3" t="s">
        <v>2418</v>
      </c>
    </row>
    <row r="1531">
      <c r="A1531" s="3" t="s">
        <v>5212</v>
      </c>
      <c r="B1531" s="4" t="str">
        <f>C1531 &amp; "." &amp; D1531</f>
        <v>BindingObservations.StepExecution</v>
      </c>
      <c r="C1531" s="3" t="s">
        <v>5208</v>
      </c>
      <c r="D1531" s="3" t="s">
        <v>1467</v>
      </c>
      <c r="E1531" s="3" t="s">
        <v>2465</v>
      </c>
      <c r="F1531" s="3" t="s">
        <v>2417</v>
      </c>
      <c r="G1531" s="3"/>
      <c r="H1531" s="3" t="s">
        <v>2263</v>
      </c>
      <c r="I1531" s="4" t="b">
        <f>OR(((E1531 = "calculated")=TRUE), ((E1531 = "lookup")=TRUE), ((E1531 = "aggregation")=TRUE))</f>
        <v>0</v>
      </c>
      <c r="J1531" s="4" t="b">
        <f>H1531 &lt;&gt; ""</f>
        <v>1</v>
      </c>
      <c r="K1531" s="4">
        <f>COUNTIFS(FieldDisagreements!D2:D50, A1531)</f>
        <v>0</v>
      </c>
      <c r="L1531" s="4" t="b">
        <f>K1531 &gt; 0</f>
        <v>0</v>
      </c>
      <c r="M1531" s="3" t="s">
        <v>2418</v>
      </c>
    </row>
    <row r="1532">
      <c r="A1532" s="3" t="s">
        <v>5213</v>
      </c>
      <c r="B1532" s="4" t="str">
        <f>C1532 &amp; "." &amp; D1532</f>
        <v>BindingObservations.OperationalBinding</v>
      </c>
      <c r="C1532" s="3" t="s">
        <v>5208</v>
      </c>
      <c r="D1532" s="3" t="s">
        <v>5214</v>
      </c>
      <c r="E1532" s="3" t="s">
        <v>2465</v>
      </c>
      <c r="F1532" s="3" t="s">
        <v>2417</v>
      </c>
      <c r="G1532" s="3"/>
      <c r="H1532" s="3" t="s">
        <v>2263</v>
      </c>
      <c r="I1532" s="4" t="b">
        <f>OR(((E1532 = "calculated")=TRUE), ((E1532 = "lookup")=TRUE), ((E1532 = "aggregation")=TRUE))</f>
        <v>0</v>
      </c>
      <c r="J1532" s="4" t="b">
        <f>H1532 &lt;&gt; ""</f>
        <v>1</v>
      </c>
      <c r="K1532" s="4">
        <f>COUNTIFS(FieldDisagreements!D2:D50, A1532)</f>
        <v>0</v>
      </c>
      <c r="L1532" s="4" t="b">
        <f>K1532 &gt; 0</f>
        <v>0</v>
      </c>
      <c r="M1532" s="3" t="s">
        <v>2418</v>
      </c>
    </row>
    <row r="1533">
      <c r="A1533" s="3" t="s">
        <v>5215</v>
      </c>
      <c r="B1533" s="4" t="str">
        <f>C1533 &amp; "." &amp; D1533</f>
        <v>BindingObservations.ObservedSourceTimestamp</v>
      </c>
      <c r="C1533" s="3" t="s">
        <v>5208</v>
      </c>
      <c r="D1533" s="3" t="s">
        <v>5216</v>
      </c>
      <c r="E1533" s="3" t="s">
        <v>2416</v>
      </c>
      <c r="F1533" s="3" t="s">
        <v>2428</v>
      </c>
      <c r="G1533" s="3"/>
      <c r="H1533" s="3" t="s">
        <v>2263</v>
      </c>
      <c r="I1533" s="4" t="b">
        <f>OR(((E1533 = "calculated")=TRUE), ((E1533 = "lookup")=TRUE), ((E1533 = "aggregation")=TRUE))</f>
        <v>0</v>
      </c>
      <c r="J1533" s="4" t="b">
        <f>H1533 &lt;&gt; ""</f>
        <v>1</v>
      </c>
      <c r="K1533" s="4">
        <f>COUNTIFS(FieldDisagreements!D2:D50, A1533)</f>
        <v>0</v>
      </c>
      <c r="L1533" s="4" t="b">
        <f>K1533 &gt; 0</f>
        <v>0</v>
      </c>
      <c r="M1533" s="3" t="s">
        <v>2418</v>
      </c>
    </row>
    <row r="1534">
      <c r="A1534" s="3" t="s">
        <v>5217</v>
      </c>
      <c r="B1534" s="4" t="str">
        <f>C1534 &amp; "." &amp; D1534</f>
        <v>BindingObservations.ReadAt</v>
      </c>
      <c r="C1534" s="3" t="s">
        <v>5208</v>
      </c>
      <c r="D1534" s="3" t="s">
        <v>5218</v>
      </c>
      <c r="E1534" s="3" t="s">
        <v>2416</v>
      </c>
      <c r="F1534" s="3" t="s">
        <v>2428</v>
      </c>
      <c r="G1534" s="3"/>
      <c r="H1534" s="3" t="s">
        <v>2263</v>
      </c>
      <c r="I1534" s="4" t="b">
        <f>OR(((E1534 = "calculated")=TRUE), ((E1534 = "lookup")=TRUE), ((E1534 = "aggregation")=TRUE))</f>
        <v>0</v>
      </c>
      <c r="J1534" s="4" t="b">
        <f>H1534 &lt;&gt; ""</f>
        <v>1</v>
      </c>
      <c r="K1534" s="4">
        <f>COUNTIFS(FieldDisagreements!D2:D50, A1534)</f>
        <v>0</v>
      </c>
      <c r="L1534" s="4" t="b">
        <f>K1534 &gt; 0</f>
        <v>0</v>
      </c>
      <c r="M1534" s="3" t="s">
        <v>2418</v>
      </c>
    </row>
    <row r="1535">
      <c r="A1535" s="3" t="s">
        <v>5219</v>
      </c>
      <c r="B1535" s="4" t="str">
        <f>C1535 &amp; "." &amp; D1535</f>
        <v>BindingObservations.SlaMinutesAtRun</v>
      </c>
      <c r="C1535" s="3" t="s">
        <v>5208</v>
      </c>
      <c r="D1535" s="3" t="s">
        <v>5220</v>
      </c>
      <c r="E1535" s="3" t="s">
        <v>2509</v>
      </c>
      <c r="F1535" s="3" t="s">
        <v>2470</v>
      </c>
      <c r="G1535" s="3" t="s">
        <v>5221</v>
      </c>
      <c r="H1535" s="3" t="s">
        <v>2263</v>
      </c>
      <c r="I1535" s="4" t="b">
        <f>OR(((E1535 = "calculated")=TRUE), ((E1535 = "lookup")=TRUE), ((E1535 = "aggregation")=TRUE))</f>
        <v>1</v>
      </c>
      <c r="J1535" s="4" t="b">
        <f>H1535 &lt;&gt; ""</f>
        <v>1</v>
      </c>
      <c r="K1535" s="4">
        <f>COUNTIFS(FieldDisagreements!D2:D50, A1535)</f>
        <v>0</v>
      </c>
      <c r="L1535" s="4" t="b">
        <f>K1535 &gt; 0</f>
        <v>0</v>
      </c>
      <c r="M1535" s="3" t="s">
        <v>2418</v>
      </c>
    </row>
    <row r="1536">
      <c r="A1536" s="3" t="s">
        <v>5222</v>
      </c>
      <c r="B1536" s="4" t="str">
        <f>C1536 &amp; "." &amp; D1536</f>
        <v>BindingObservations.AgeAtRunMinutes</v>
      </c>
      <c r="C1536" s="3" t="s">
        <v>5208</v>
      </c>
      <c r="D1536" s="3" t="s">
        <v>5223</v>
      </c>
      <c r="E1536" s="3" t="s">
        <v>2420</v>
      </c>
      <c r="F1536" s="3" t="s">
        <v>2470</v>
      </c>
      <c r="G1536" s="3" t="s">
        <v>5224</v>
      </c>
      <c r="H1536" s="3" t="s">
        <v>2263</v>
      </c>
      <c r="I1536" s="4" t="b">
        <f>OR(((E1536 = "calculated")=TRUE), ((E1536 = "lookup")=TRUE), ((E1536 = "aggregation")=TRUE))</f>
        <v>1</v>
      </c>
      <c r="J1536" s="4" t="b">
        <f>H1536 &lt;&gt; ""</f>
        <v>1</v>
      </c>
      <c r="K1536" s="4">
        <f>COUNTIFS(FieldDisagreements!D2:D50, A1536)</f>
        <v>0</v>
      </c>
      <c r="L1536" s="4" t="b">
        <f>K1536 &gt; 0</f>
        <v>0</v>
      </c>
      <c r="M1536" s="3" t="s">
        <v>2418</v>
      </c>
    </row>
    <row r="1537">
      <c r="A1537" s="3" t="s">
        <v>5225</v>
      </c>
      <c r="B1537" s="4" t="str">
        <f>C1537 &amp; "." &amp; D1537</f>
        <v>BindingObservations.WasStaleAtRun</v>
      </c>
      <c r="C1537" s="3" t="s">
        <v>5208</v>
      </c>
      <c r="D1537" s="3" t="s">
        <v>5226</v>
      </c>
      <c r="E1537" s="3" t="s">
        <v>2420</v>
      </c>
      <c r="F1537" s="3" t="s">
        <v>2432</v>
      </c>
      <c r="G1537" s="3" t="s">
        <v>5227</v>
      </c>
      <c r="H1537" s="3" t="s">
        <v>2263</v>
      </c>
      <c r="I1537" s="4" t="b">
        <f>OR(((E1537 = "calculated")=TRUE), ((E1537 = "lookup")=TRUE), ((E1537 = "aggregation")=TRUE))</f>
        <v>1</v>
      </c>
      <c r="J1537" s="4" t="b">
        <f>H1537 &lt;&gt; ""</f>
        <v>1</v>
      </c>
      <c r="K1537" s="4">
        <f>COUNTIFS(FieldDisagreements!D2:D50, A1537)</f>
        <v>0</v>
      </c>
      <c r="L1537" s="4" t="b">
        <f>K1537 &gt; 0</f>
        <v>0</v>
      </c>
      <c r="M1537" s="3" t="s">
        <v>2418</v>
      </c>
    </row>
    <row r="1538">
      <c r="A1538" s="3" t="s">
        <v>5228</v>
      </c>
      <c r="B1538" s="4" t="str">
        <f>C1538 &amp; "." &amp; D1538</f>
        <v>BindingObservations.IsAuthoritativeBinding</v>
      </c>
      <c r="C1538" s="3" t="s">
        <v>5208</v>
      </c>
      <c r="D1538" s="3" t="s">
        <v>5229</v>
      </c>
      <c r="E1538" s="3" t="s">
        <v>2509</v>
      </c>
      <c r="F1538" s="3" t="s">
        <v>2432</v>
      </c>
      <c r="G1538" s="3" t="s">
        <v>5230</v>
      </c>
      <c r="H1538" s="3" t="s">
        <v>2263</v>
      </c>
      <c r="I1538" s="4" t="b">
        <f>OR(((E1538 = "calculated")=TRUE), ((E1538 = "lookup")=TRUE), ((E1538 = "aggregation")=TRUE))</f>
        <v>1</v>
      </c>
      <c r="J1538" s="4" t="b">
        <f>H1538 &lt;&gt; ""</f>
        <v>1</v>
      </c>
      <c r="K1538" s="4">
        <f>COUNTIFS(FieldDisagreements!D2:D50, A1538)</f>
        <v>0</v>
      </c>
      <c r="L1538" s="4" t="b">
        <f>K1538 &gt; 0</f>
        <v>0</v>
      </c>
      <c r="M1538" s="3" t="s">
        <v>2418</v>
      </c>
    </row>
    <row r="1539">
      <c r="A1539" s="3" t="s">
        <v>5231</v>
      </c>
      <c r="B1539" s="4" t="str">
        <f>C1539 &amp; "." &amp; D1539</f>
        <v>BindingObservations.StaleAtRunStepKey</v>
      </c>
      <c r="C1539" s="3" t="s">
        <v>5208</v>
      </c>
      <c r="D1539" s="3" t="s">
        <v>5232</v>
      </c>
      <c r="E1539" s="3" t="s">
        <v>2420</v>
      </c>
      <c r="F1539" s="3" t="s">
        <v>2417</v>
      </c>
      <c r="G1539" s="3" t="s">
        <v>5233</v>
      </c>
      <c r="H1539" s="3" t="s">
        <v>2263</v>
      </c>
      <c r="I1539" s="4" t="b">
        <f>OR(((E1539 = "calculated")=TRUE), ((E1539 = "lookup")=TRUE), ((E1539 = "aggregation")=TRUE))</f>
        <v>1</v>
      </c>
      <c r="J1539" s="4" t="b">
        <f>H1539 &lt;&gt; ""</f>
        <v>1</v>
      </c>
      <c r="K1539" s="4">
        <f>COUNTIFS(FieldDisagreements!D2:D50, A1539)</f>
        <v>0</v>
      </c>
      <c r="L1539" s="4" t="b">
        <f>K1539 &gt; 0</f>
        <v>0</v>
      </c>
      <c r="M1539" s="3" t="s">
        <v>2418</v>
      </c>
    </row>
    <row r="1540">
      <c r="A1540" s="3" t="s">
        <v>5234</v>
      </c>
      <c r="B1540" s="4" t="str">
        <f>C1540 &amp; "." &amp; D1540</f>
        <v>Attestations.AttestationId</v>
      </c>
      <c r="C1540" s="3" t="s">
        <v>5235</v>
      </c>
      <c r="D1540" s="3" t="s">
        <v>5236</v>
      </c>
      <c r="E1540" s="3" t="s">
        <v>2416</v>
      </c>
      <c r="F1540" s="3" t="s">
        <v>2417</v>
      </c>
      <c r="G1540" s="3"/>
      <c r="H1540" s="3" t="s">
        <v>2303</v>
      </c>
      <c r="I1540" s="4" t="b">
        <f>OR(((E1540 = "calculated")=TRUE), ((E1540 = "lookup")=TRUE), ((E1540 = "aggregation")=TRUE))</f>
        <v>0</v>
      </c>
      <c r="J1540" s="4" t="b">
        <f>H1540 &lt;&gt; ""</f>
        <v>1</v>
      </c>
      <c r="K1540" s="4">
        <f>COUNTIFS(FieldDisagreements!D2:D50, A1540)</f>
        <v>0</v>
      </c>
      <c r="L1540" s="4" t="b">
        <f>K1540 &gt; 0</f>
        <v>0</v>
      </c>
      <c r="M1540" s="3" t="s">
        <v>2418</v>
      </c>
    </row>
    <row r="1541">
      <c r="A1541" s="3" t="s">
        <v>5237</v>
      </c>
      <c r="B1541" s="4" t="str">
        <f>C1541 &amp; "." &amp; D1541</f>
        <v>Attestations.Name</v>
      </c>
      <c r="C1541" s="3" t="s">
        <v>5235</v>
      </c>
      <c r="D1541" s="3" t="s">
        <v>1</v>
      </c>
      <c r="E1541" s="3" t="s">
        <v>2420</v>
      </c>
      <c r="F1541" s="3" t="s">
        <v>2417</v>
      </c>
      <c r="G1541" s="3" t="s">
        <v>5238</v>
      </c>
      <c r="H1541" s="3"/>
      <c r="I1541" s="4" t="b">
        <f>OR(((E1541 = "calculated")=TRUE), ((E1541 = "lookup")=TRUE), ((E1541 = "aggregation")=TRUE))</f>
        <v>1</v>
      </c>
      <c r="J1541" s="4" t="b">
        <f>H1541 &lt;&gt; ""</f>
        <v>0</v>
      </c>
      <c r="K1541" s="4">
        <f>COUNTIFS(FieldDisagreements!D2:D50, A1541)</f>
        <v>0</v>
      </c>
      <c r="L1541" s="4" t="b">
        <f>K1541 &gt; 0</f>
        <v>0</v>
      </c>
      <c r="M1541" s="3" t="s">
        <v>2418</v>
      </c>
    </row>
    <row r="1542">
      <c r="A1542" s="3" t="s">
        <v>5239</v>
      </c>
      <c r="B1542" s="4" t="str">
        <f>C1542 &amp; "." &amp; D1542</f>
        <v>Attestations.ProcedureExecution</v>
      </c>
      <c r="C1542" s="3" t="s">
        <v>5235</v>
      </c>
      <c r="D1542" s="3" t="s">
        <v>1349</v>
      </c>
      <c r="E1542" s="3" t="s">
        <v>2465</v>
      </c>
      <c r="F1542" s="3" t="s">
        <v>2417</v>
      </c>
      <c r="G1542" s="3"/>
      <c r="H1542" s="3" t="s">
        <v>2303</v>
      </c>
      <c r="I1542" s="4" t="b">
        <f>OR(((E1542 = "calculated")=TRUE), ((E1542 = "lookup")=TRUE), ((E1542 = "aggregation")=TRUE))</f>
        <v>0</v>
      </c>
      <c r="J1542" s="4" t="b">
        <f>H1542 &lt;&gt; ""</f>
        <v>1</v>
      </c>
      <c r="K1542" s="4">
        <f>COUNTIFS(FieldDisagreements!D2:D50, A1542)</f>
        <v>0</v>
      </c>
      <c r="L1542" s="4" t="b">
        <f>K1542 &gt; 0</f>
        <v>0</v>
      </c>
      <c r="M1542" s="3" t="s">
        <v>2418</v>
      </c>
    </row>
    <row r="1543">
      <c r="A1543" s="3" t="s">
        <v>5240</v>
      </c>
      <c r="B1543" s="4" t="str">
        <f>C1543 &amp; "." &amp; D1543</f>
        <v>Attestations.SignedByAgent</v>
      </c>
      <c r="C1543" s="3" t="s">
        <v>5235</v>
      </c>
      <c r="D1543" s="3" t="s">
        <v>5241</v>
      </c>
      <c r="E1543" s="3" t="s">
        <v>2465</v>
      </c>
      <c r="F1543" s="3" t="s">
        <v>2417</v>
      </c>
      <c r="G1543" s="3"/>
      <c r="H1543" s="3" t="s">
        <v>2303</v>
      </c>
      <c r="I1543" s="4" t="b">
        <f>OR(((E1543 = "calculated")=TRUE), ((E1543 = "lookup")=TRUE), ((E1543 = "aggregation")=TRUE))</f>
        <v>0</v>
      </c>
      <c r="J1543" s="4" t="b">
        <f>H1543 &lt;&gt; ""</f>
        <v>1</v>
      </c>
      <c r="K1543" s="4">
        <f>COUNTIFS(FieldDisagreements!D2:D50, A1543)</f>
        <v>0</v>
      </c>
      <c r="L1543" s="4" t="b">
        <f>K1543 &gt; 0</f>
        <v>0</v>
      </c>
      <c r="M1543" s="3" t="s">
        <v>2418</v>
      </c>
    </row>
    <row r="1544">
      <c r="A1544" s="3" t="s">
        <v>5242</v>
      </c>
      <c r="B1544" s="4" t="str">
        <f>C1544 &amp; "." &amp; D1544</f>
        <v>Attestations.SignedAt</v>
      </c>
      <c r="C1544" s="3" t="s">
        <v>5235</v>
      </c>
      <c r="D1544" s="3" t="s">
        <v>5243</v>
      </c>
      <c r="E1544" s="3" t="s">
        <v>2416</v>
      </c>
      <c r="F1544" s="3" t="s">
        <v>2428</v>
      </c>
      <c r="G1544" s="3"/>
      <c r="H1544" s="3" t="s">
        <v>2303</v>
      </c>
      <c r="I1544" s="4" t="b">
        <f>OR(((E1544 = "calculated")=TRUE), ((E1544 = "lookup")=TRUE), ((E1544 = "aggregation")=TRUE))</f>
        <v>0</v>
      </c>
      <c r="J1544" s="4" t="b">
        <f>H1544 &lt;&gt; ""</f>
        <v>1</v>
      </c>
      <c r="K1544" s="4">
        <f>COUNTIFS(FieldDisagreements!D2:D50, A1544)</f>
        <v>0</v>
      </c>
      <c r="L1544" s="4" t="b">
        <f>K1544 &gt; 0</f>
        <v>0</v>
      </c>
      <c r="M1544" s="3" t="s">
        <v>2418</v>
      </c>
    </row>
    <row r="1545">
      <c r="A1545" s="3" t="s">
        <v>5244</v>
      </c>
      <c r="B1545" s="4" t="str">
        <f>C1545 &amp; "." &amp; D1545</f>
        <v>Attestations.AssuranceGradeAtSigning</v>
      </c>
      <c r="C1545" s="3" t="s">
        <v>5235</v>
      </c>
      <c r="D1545" s="3" t="s">
        <v>5245</v>
      </c>
      <c r="E1545" s="3" t="s">
        <v>2416</v>
      </c>
      <c r="F1545" s="3" t="s">
        <v>2417</v>
      </c>
      <c r="G1545" s="3"/>
      <c r="H1545" s="3" t="s">
        <v>2303</v>
      </c>
      <c r="I1545" s="4" t="b">
        <f>OR(((E1545 = "calculated")=TRUE), ((E1545 = "lookup")=TRUE), ((E1545 = "aggregation")=TRUE))</f>
        <v>0</v>
      </c>
      <c r="J1545" s="4" t="b">
        <f>H1545 &lt;&gt; ""</f>
        <v>1</v>
      </c>
      <c r="K1545" s="4">
        <f>COUNTIFS(FieldDisagreements!D2:D50, A1545)</f>
        <v>0</v>
      </c>
      <c r="L1545" s="4" t="b">
        <f>K1545 &gt; 0</f>
        <v>0</v>
      </c>
      <c r="M1545" s="3" t="s">
        <v>2418</v>
      </c>
    </row>
    <row r="1546">
      <c r="A1546" s="3" t="s">
        <v>5246</v>
      </c>
      <c r="B1546" s="4" t="str">
        <f>C1546 &amp; "." &amp; D1546</f>
        <v>Attestations.VersionWasFitAtSigning</v>
      </c>
      <c r="C1546" s="3" t="s">
        <v>5235</v>
      </c>
      <c r="D1546" s="3" t="s">
        <v>5247</v>
      </c>
      <c r="E1546" s="3" t="s">
        <v>2416</v>
      </c>
      <c r="F1546" s="3" t="s">
        <v>2432</v>
      </c>
      <c r="G1546" s="3"/>
      <c r="H1546" s="3" t="s">
        <v>2303</v>
      </c>
      <c r="I1546" s="4" t="b">
        <f>OR(((E1546 = "calculated")=TRUE), ((E1546 = "lookup")=TRUE), ((E1546 = "aggregation")=TRUE))</f>
        <v>0</v>
      </c>
      <c r="J1546" s="4" t="b">
        <f>H1546 &lt;&gt; ""</f>
        <v>1</v>
      </c>
      <c r="K1546" s="4">
        <f>COUNTIFS(FieldDisagreements!D2:D50, A1546)</f>
        <v>0</v>
      </c>
      <c r="L1546" s="4" t="b">
        <f>K1546 &gt; 0</f>
        <v>0</v>
      </c>
      <c r="M1546" s="3" t="s">
        <v>2418</v>
      </c>
    </row>
    <row r="1547">
      <c r="A1547" s="3" t="s">
        <v>5248</v>
      </c>
      <c r="B1547" s="4" t="str">
        <f>C1547 &amp; "." &amp; D1547</f>
        <v>Attestations.VersionIsFitNow</v>
      </c>
      <c r="C1547" s="3" t="s">
        <v>5235</v>
      </c>
      <c r="D1547" s="3" t="s">
        <v>5249</v>
      </c>
      <c r="E1547" s="3" t="s">
        <v>2509</v>
      </c>
      <c r="F1547" s="3" t="s">
        <v>2432</v>
      </c>
      <c r="G1547" s="3" t="s">
        <v>5250</v>
      </c>
      <c r="H1547" s="3" t="s">
        <v>2303</v>
      </c>
      <c r="I1547" s="4" t="b">
        <f>OR(((E1547 = "calculated")=TRUE), ((E1547 = "lookup")=TRUE), ((E1547 = "aggregation")=TRUE))</f>
        <v>1</v>
      </c>
      <c r="J1547" s="4" t="b">
        <f>H1547 &lt;&gt; ""</f>
        <v>1</v>
      </c>
      <c r="K1547" s="4">
        <f>COUNTIFS(FieldDisagreements!D2:D50, A1547)</f>
        <v>0</v>
      </c>
      <c r="L1547" s="4" t="b">
        <f>K1547 &gt; 0</f>
        <v>0</v>
      </c>
      <c r="M1547" s="3" t="s">
        <v>2418</v>
      </c>
    </row>
    <row r="1548">
      <c r="A1548" s="3" t="s">
        <v>5251</v>
      </c>
      <c r="B1548" s="4" t="str">
        <f>C1548 &amp; "." &amp; D1548</f>
        <v>Attestations.FitnessVerdictHasDrifted</v>
      </c>
      <c r="C1548" s="3" t="s">
        <v>5235</v>
      </c>
      <c r="D1548" s="3" t="s">
        <v>5252</v>
      </c>
      <c r="E1548" s="3" t="s">
        <v>2420</v>
      </c>
      <c r="F1548" s="3" t="s">
        <v>2432</v>
      </c>
      <c r="G1548" s="3" t="s">
        <v>5253</v>
      </c>
      <c r="H1548" s="3" t="s">
        <v>2303</v>
      </c>
      <c r="I1548" s="4" t="b">
        <f>OR(((E1548 = "calculated")=TRUE), ((E1548 = "lookup")=TRUE), ((E1548 = "aggregation")=TRUE))</f>
        <v>1</v>
      </c>
      <c r="J1548" s="4" t="b">
        <f>H1548 &lt;&gt; ""</f>
        <v>1</v>
      </c>
      <c r="K1548" s="4">
        <f>COUNTIFS(FieldDisagreements!D2:D50, A1548)</f>
        <v>0</v>
      </c>
      <c r="L1548" s="4" t="b">
        <f>K1548 &gt; 0</f>
        <v>0</v>
      </c>
      <c r="M1548" s="3" t="s">
        <v>2418</v>
      </c>
    </row>
    <row r="1549">
      <c r="A1549" s="3" t="s">
        <v>5254</v>
      </c>
      <c r="B1549" s="4" t="str">
        <f>C1549 &amp; "." &amp; D1549</f>
        <v>Attestations.AssuranceGradeNow</v>
      </c>
      <c r="C1549" s="3" t="s">
        <v>5235</v>
      </c>
      <c r="D1549" s="3" t="s">
        <v>5255</v>
      </c>
      <c r="E1549" s="3" t="s">
        <v>2509</v>
      </c>
      <c r="F1549" s="3" t="s">
        <v>2417</v>
      </c>
      <c r="G1549" s="3" t="s">
        <v>5256</v>
      </c>
      <c r="H1549" s="3" t="s">
        <v>2303</v>
      </c>
      <c r="I1549" s="4" t="b">
        <f>OR(((E1549 = "calculated")=TRUE), ((E1549 = "lookup")=TRUE), ((E1549 = "aggregation")=TRUE))</f>
        <v>1</v>
      </c>
      <c r="J1549" s="4" t="b">
        <f>H1549 &lt;&gt; ""</f>
        <v>1</v>
      </c>
      <c r="K1549" s="4">
        <f>COUNTIFS(FieldDisagreements!D2:D50, A1549)</f>
        <v>0</v>
      </c>
      <c r="L1549" s="4" t="b">
        <f>K1549 &gt; 0</f>
        <v>0</v>
      </c>
      <c r="M1549" s="3" t="s">
        <v>2418</v>
      </c>
    </row>
    <row r="1550">
      <c r="A1550" s="3" t="s">
        <v>5257</v>
      </c>
      <c r="B1550" s="4" t="str">
        <f>C1550 &amp; "." &amp; D1550</f>
        <v>Attestations.AssuranceGradeHasDrifted</v>
      </c>
      <c r="C1550" s="3" t="s">
        <v>5235</v>
      </c>
      <c r="D1550" s="3" t="s">
        <v>5258</v>
      </c>
      <c r="E1550" s="3" t="s">
        <v>2420</v>
      </c>
      <c r="F1550" s="3" t="s">
        <v>2432</v>
      </c>
      <c r="G1550" s="3" t="s">
        <v>5259</v>
      </c>
      <c r="H1550" s="3" t="s">
        <v>2303</v>
      </c>
      <c r="I1550" s="4" t="b">
        <f>OR(((E1550 = "calculated")=TRUE), ((E1550 = "lookup")=TRUE), ((E1550 = "aggregation")=TRUE))</f>
        <v>1</v>
      </c>
      <c r="J1550" s="4" t="b">
        <f>H1550 &lt;&gt; ""</f>
        <v>1</v>
      </c>
      <c r="K1550" s="4">
        <f>COUNTIFS(FieldDisagreements!D2:D50, A1550)</f>
        <v>0</v>
      </c>
      <c r="L1550" s="4" t="b">
        <f>K1550 &gt; 0</f>
        <v>0</v>
      </c>
      <c r="M1550" s="3" t="s">
        <v>2418</v>
      </c>
    </row>
    <row r="1551">
      <c r="A1551" s="3" t="s">
        <v>5260</v>
      </c>
      <c r="B1551" s="4" t="str">
        <f>C1551 &amp; "." &amp; D1551</f>
        <v>Attestations.WouldNotSurviveRestatement</v>
      </c>
      <c r="C1551" s="3" t="s">
        <v>5235</v>
      </c>
      <c r="D1551" s="3" t="s">
        <v>5261</v>
      </c>
      <c r="E1551" s="3" t="s">
        <v>2420</v>
      </c>
      <c r="F1551" s="3" t="s">
        <v>2432</v>
      </c>
      <c r="G1551" s="3" t="s">
        <v>5262</v>
      </c>
      <c r="H1551" s="3" t="s">
        <v>2303</v>
      </c>
      <c r="I1551" s="4" t="b">
        <f>OR(((E1551 = "calculated")=TRUE), ((E1551 = "lookup")=TRUE), ((E1551 = "aggregation")=TRUE))</f>
        <v>1</v>
      </c>
      <c r="J1551" s="4" t="b">
        <f>H1551 &lt;&gt; ""</f>
        <v>1</v>
      </c>
      <c r="K1551" s="4">
        <f>COUNTIFS(FieldDisagreements!D2:D50, A1551)</f>
        <v>0</v>
      </c>
      <c r="L1551" s="4" t="b">
        <f>K1551 &gt; 0</f>
        <v>0</v>
      </c>
      <c r="M1551" s="3" t="s">
        <v>2418</v>
      </c>
    </row>
    <row r="1552">
      <c r="A1552" s="3" t="s">
        <v>5263</v>
      </c>
      <c r="B1552" s="4" t="str">
        <f>C1552 &amp; "." &amp; D1552</f>
        <v>AppRoleProfiles.AppRoleProfileId</v>
      </c>
      <c r="C1552" s="3" t="s">
        <v>1869</v>
      </c>
      <c r="D1552" s="3" t="s">
        <v>5264</v>
      </c>
      <c r="E1552" s="3" t="s">
        <v>2416</v>
      </c>
      <c r="F1552" s="3" t="s">
        <v>2417</v>
      </c>
      <c r="G1552" s="3"/>
      <c r="H1552" s="3"/>
      <c r="I1552" s="4" t="b">
        <f>OR(((E1552 = "calculated")=TRUE), ((E1552 = "lookup")=TRUE), ((E1552 = "aggregation")=TRUE))</f>
        <v>0</v>
      </c>
      <c r="J1552" s="4" t="b">
        <f>H1552 &lt;&gt; ""</f>
        <v>0</v>
      </c>
      <c r="K1552" s="4">
        <f>COUNTIFS(FieldDisagreements!D2:D50, A1552)</f>
        <v>0</v>
      </c>
      <c r="L1552" s="4" t="b">
        <f>K1552 &gt; 0</f>
        <v>0</v>
      </c>
      <c r="M1552" s="3" t="s">
        <v>2418</v>
      </c>
    </row>
    <row r="1553">
      <c r="A1553" s="3" t="s">
        <v>5265</v>
      </c>
      <c r="B1553" s="4" t="str">
        <f>C1553 &amp; "." &amp; D1553</f>
        <v>AppRoleProfiles.Name</v>
      </c>
      <c r="C1553" s="3" t="s">
        <v>1869</v>
      </c>
      <c r="D1553" s="3" t="s">
        <v>1</v>
      </c>
      <c r="E1553" s="3" t="s">
        <v>2420</v>
      </c>
      <c r="F1553" s="3" t="s">
        <v>2417</v>
      </c>
      <c r="G1553" s="3" t="s">
        <v>5266</v>
      </c>
      <c r="H1553" s="3"/>
      <c r="I1553" s="4" t="b">
        <f>OR(((E1553 = "calculated")=TRUE), ((E1553 = "lookup")=TRUE), ((E1553 = "aggregation")=TRUE))</f>
        <v>1</v>
      </c>
      <c r="J1553" s="4" t="b">
        <f>H1553 &lt;&gt; ""</f>
        <v>0</v>
      </c>
      <c r="K1553" s="4">
        <f>COUNTIFS(FieldDisagreements!D2:D50, A1553)</f>
        <v>0</v>
      </c>
      <c r="L1553" s="4" t="b">
        <f>K1553 &gt; 0</f>
        <v>0</v>
      </c>
      <c r="M1553" s="3" t="s">
        <v>2418</v>
      </c>
    </row>
    <row r="1554">
      <c r="A1554" s="3" t="s">
        <v>5267</v>
      </c>
      <c r="B1554" s="4" t="str">
        <f>C1554 &amp; "." &amp; D1554</f>
        <v>AppRoleProfiles.Role</v>
      </c>
      <c r="C1554" s="3" t="s">
        <v>1869</v>
      </c>
      <c r="D1554" s="3" t="s">
        <v>253</v>
      </c>
      <c r="E1554" s="3" t="s">
        <v>2465</v>
      </c>
      <c r="F1554" s="3" t="s">
        <v>2417</v>
      </c>
      <c r="G1554" s="3"/>
      <c r="H1554" s="3"/>
      <c r="I1554" s="4" t="b">
        <f>OR(((E1554 = "calculated")=TRUE), ((E1554 = "lookup")=TRUE), ((E1554 = "aggregation")=TRUE))</f>
        <v>0</v>
      </c>
      <c r="J1554" s="4" t="b">
        <f>H1554 &lt;&gt; ""</f>
        <v>0</v>
      </c>
      <c r="K1554" s="4">
        <f>COUNTIFS(FieldDisagreements!D2:D50, A1554)</f>
        <v>0</v>
      </c>
      <c r="L1554" s="4" t="b">
        <f>K1554 &gt; 0</f>
        <v>0</v>
      </c>
      <c r="M1554" s="3" t="s">
        <v>2418</v>
      </c>
    </row>
    <row r="1555">
      <c r="A1555" s="3" t="s">
        <v>5268</v>
      </c>
      <c r="B1555" s="4" t="str">
        <f>C1555 &amp; "." &amp; D1555</f>
        <v>AppRoleProfiles.DisplayLabel</v>
      </c>
      <c r="C1555" s="3" t="s">
        <v>1869</v>
      </c>
      <c r="D1555" s="3" t="s">
        <v>5269</v>
      </c>
      <c r="E1555" s="3" t="s">
        <v>2416</v>
      </c>
      <c r="F1555" s="3" t="s">
        <v>2417</v>
      </c>
      <c r="G1555" s="3"/>
      <c r="H1555" s="3"/>
      <c r="I1555" s="4" t="b">
        <f>OR(((E1555 = "calculated")=TRUE), ((E1555 = "lookup")=TRUE), ((E1555 = "aggregation")=TRUE))</f>
        <v>0</v>
      </c>
      <c r="J1555" s="4" t="b">
        <f>H1555 &lt;&gt; ""</f>
        <v>0</v>
      </c>
      <c r="K1555" s="4">
        <f>COUNTIFS(FieldDisagreements!D2:D50, A1555)</f>
        <v>0</v>
      </c>
      <c r="L1555" s="4" t="b">
        <f>K1555 &gt; 0</f>
        <v>0</v>
      </c>
      <c r="M1555" s="3" t="s">
        <v>2418</v>
      </c>
    </row>
    <row r="1556">
      <c r="A1556" s="3" t="s">
        <v>5270</v>
      </c>
      <c r="B1556" s="4" t="str">
        <f>C1556 &amp; "." &amp; D1556</f>
        <v>AppRoleProfiles.RoleKind</v>
      </c>
      <c r="C1556" s="3" t="s">
        <v>1869</v>
      </c>
      <c r="D1556" s="3" t="s">
        <v>5271</v>
      </c>
      <c r="E1556" s="3" t="s">
        <v>2416</v>
      </c>
      <c r="F1556" s="3" t="s">
        <v>2417</v>
      </c>
      <c r="G1556" s="3"/>
      <c r="H1556" s="3"/>
      <c r="I1556" s="4" t="b">
        <f>OR(((E1556 = "calculated")=TRUE), ((E1556 = "lookup")=TRUE), ((E1556 = "aggregation")=TRUE))</f>
        <v>0</v>
      </c>
      <c r="J1556" s="4" t="b">
        <f>H1556 &lt;&gt; ""</f>
        <v>0</v>
      </c>
      <c r="K1556" s="4">
        <f>COUNTIFS(FieldDisagreements!D2:D50, A1556)</f>
        <v>0</v>
      </c>
      <c r="L1556" s="4" t="b">
        <f>K1556 &gt; 0</f>
        <v>0</v>
      </c>
      <c r="M1556" s="3" t="s">
        <v>2418</v>
      </c>
    </row>
    <row r="1557">
      <c r="A1557" s="3" t="s">
        <v>5272</v>
      </c>
      <c r="B1557" s="4" t="str">
        <f>C1557 &amp; "." &amp; D1557</f>
        <v>AppRoleProfiles.AccentColor</v>
      </c>
      <c r="C1557" s="3" t="s">
        <v>1869</v>
      </c>
      <c r="D1557" s="3" t="s">
        <v>5273</v>
      </c>
      <c r="E1557" s="3" t="s">
        <v>2416</v>
      </c>
      <c r="F1557" s="3" t="s">
        <v>2417</v>
      </c>
      <c r="G1557" s="3"/>
      <c r="H1557" s="3"/>
      <c r="I1557" s="4" t="b">
        <f>OR(((E1557 = "calculated")=TRUE), ((E1557 = "lookup")=TRUE), ((E1557 = "aggregation")=TRUE))</f>
        <v>0</v>
      </c>
      <c r="J1557" s="4" t="b">
        <f>H1557 &lt;&gt; ""</f>
        <v>0</v>
      </c>
      <c r="K1557" s="4">
        <f>COUNTIFS(FieldDisagreements!D2:D50, A1557)</f>
        <v>0</v>
      </c>
      <c r="L1557" s="4" t="b">
        <f>K1557 &gt; 0</f>
        <v>0</v>
      </c>
      <c r="M1557" s="3" t="s">
        <v>2418</v>
      </c>
    </row>
    <row r="1558">
      <c r="A1558" s="3" t="s">
        <v>5274</v>
      </c>
      <c r="B1558" s="4" t="str">
        <f>C1558 &amp; "." &amp; D1558</f>
        <v>AppRoleProfiles.IconMark</v>
      </c>
      <c r="C1558" s="3" t="s">
        <v>1869</v>
      </c>
      <c r="D1558" s="3" t="s">
        <v>5275</v>
      </c>
      <c r="E1558" s="3" t="s">
        <v>2416</v>
      </c>
      <c r="F1558" s="3" t="s">
        <v>2417</v>
      </c>
      <c r="G1558" s="3"/>
      <c r="H1558" s="3"/>
      <c r="I1558" s="4" t="b">
        <f>OR(((E1558 = "calculated")=TRUE), ((E1558 = "lookup")=TRUE), ((E1558 = "aggregation")=TRUE))</f>
        <v>0</v>
      </c>
      <c r="J1558" s="4" t="b">
        <f>H1558 &lt;&gt; ""</f>
        <v>0</v>
      </c>
      <c r="K1558" s="4">
        <f>COUNTIFS(FieldDisagreements!D2:D50, A1558)</f>
        <v>0</v>
      </c>
      <c r="L1558" s="4" t="b">
        <f>K1558 &gt; 0</f>
        <v>0</v>
      </c>
      <c r="M1558" s="3" t="s">
        <v>2418</v>
      </c>
    </row>
    <row r="1559">
      <c r="A1559" s="3" t="s">
        <v>5276</v>
      </c>
      <c r="B1559" s="4" t="str">
        <f>C1559 &amp; "." &amp; D1559</f>
        <v>AppRoleProfiles.IconPngBase64</v>
      </c>
      <c r="C1559" s="3" t="s">
        <v>1869</v>
      </c>
      <c r="D1559" s="3" t="s">
        <v>5277</v>
      </c>
      <c r="E1559" s="3" t="s">
        <v>2416</v>
      </c>
      <c r="F1559" s="3" t="s">
        <v>2417</v>
      </c>
      <c r="G1559" s="3"/>
      <c r="H1559" s="3"/>
      <c r="I1559" s="4" t="b">
        <f>OR(((E1559 = "calculated")=TRUE), ((E1559 = "lookup")=TRUE), ((E1559 = "aggregation")=TRUE))</f>
        <v>0</v>
      </c>
      <c r="J1559" s="4" t="b">
        <f>H1559 &lt;&gt; ""</f>
        <v>0</v>
      </c>
      <c r="K1559" s="4">
        <f>COUNTIFS(FieldDisagreements!D2:D50, A1559)</f>
        <v>0</v>
      </c>
      <c r="L1559" s="4" t="b">
        <f>K1559 &gt; 0</f>
        <v>0</v>
      </c>
      <c r="M1559" s="3" t="s">
        <v>2418</v>
      </c>
    </row>
    <row r="1560">
      <c r="A1560" s="3" t="s">
        <v>5278</v>
      </c>
      <c r="B1560" s="4" t="str">
        <f>C1560 &amp; "." &amp; D1560</f>
        <v>AppRoleProfiles.Pitch</v>
      </c>
      <c r="C1560" s="3" t="s">
        <v>1869</v>
      </c>
      <c r="D1560" s="3" t="s">
        <v>5279</v>
      </c>
      <c r="E1560" s="3" t="s">
        <v>2416</v>
      </c>
      <c r="F1560" s="3" t="s">
        <v>2417</v>
      </c>
      <c r="G1560" s="3"/>
      <c r="H1560" s="3"/>
      <c r="I1560" s="4" t="b">
        <f>OR(((E1560 = "calculated")=TRUE), ((E1560 = "lookup")=TRUE), ((E1560 = "aggregation")=TRUE))</f>
        <v>0</v>
      </c>
      <c r="J1560" s="4" t="b">
        <f>H1560 &lt;&gt; ""</f>
        <v>0</v>
      </c>
      <c r="K1560" s="4">
        <f>COUNTIFS(FieldDisagreements!D2:D50, A1560)</f>
        <v>0</v>
      </c>
      <c r="L1560" s="4" t="b">
        <f>K1560 &gt; 0</f>
        <v>0</v>
      </c>
      <c r="M1560" s="3" t="s">
        <v>2418</v>
      </c>
    </row>
    <row r="1561">
      <c r="A1561" s="3" t="s">
        <v>5280</v>
      </c>
      <c r="B1561" s="4" t="str">
        <f>C1561 &amp; "." &amp; D1561</f>
        <v>AppRoleProfiles.SortOrder</v>
      </c>
      <c r="C1561" s="3" t="s">
        <v>1869</v>
      </c>
      <c r="D1561" s="3" t="s">
        <v>5281</v>
      </c>
      <c r="E1561" s="3" t="s">
        <v>2416</v>
      </c>
      <c r="F1561" s="3" t="s">
        <v>2475</v>
      </c>
      <c r="G1561" s="3"/>
      <c r="H1561" s="3"/>
      <c r="I1561" s="4" t="b">
        <f>OR(((E1561 = "calculated")=TRUE), ((E1561 = "lookup")=TRUE), ((E1561 = "aggregation")=TRUE))</f>
        <v>0</v>
      </c>
      <c r="J1561" s="4" t="b">
        <f>H1561 &lt;&gt; ""</f>
        <v>0</v>
      </c>
      <c r="K1561" s="4">
        <f>COUNTIFS(FieldDisagreements!D2:D50, A1561)</f>
        <v>0</v>
      </c>
      <c r="L1561" s="4" t="b">
        <f>K1561 &gt; 0</f>
        <v>0</v>
      </c>
      <c r="M1561" s="3" t="s">
        <v>2418</v>
      </c>
    </row>
    <row r="1562">
      <c r="A1562" s="3" t="s">
        <v>5282</v>
      </c>
      <c r="B1562" s="4" t="str">
        <f>C1562 &amp; "." &amp; D1562</f>
        <v>AppRoleProfiles.RouteCount</v>
      </c>
      <c r="C1562" s="3" t="s">
        <v>1869</v>
      </c>
      <c r="D1562" s="3" t="s">
        <v>5283</v>
      </c>
      <c r="E1562" s="3" t="s">
        <v>2469</v>
      </c>
      <c r="F1562" s="3" t="s">
        <v>2475</v>
      </c>
      <c r="G1562" s="3" t="s">
        <v>5284</v>
      </c>
      <c r="H1562" s="3"/>
      <c r="I1562" s="4" t="b">
        <f>OR(((E1562 = "calculated")=TRUE), ((E1562 = "lookup")=TRUE), ((E1562 = "aggregation")=TRUE))</f>
        <v>1</v>
      </c>
      <c r="J1562" s="4" t="b">
        <f>H1562 &lt;&gt; ""</f>
        <v>0</v>
      </c>
      <c r="K1562" s="4">
        <f>COUNTIFS(FieldDisagreements!D2:D50, A1562)</f>
        <v>1</v>
      </c>
      <c r="L1562" s="4" t="b">
        <f>K1562 &gt; 0</f>
        <v>1</v>
      </c>
      <c r="M1562" s="3" t="s">
        <v>2418</v>
      </c>
    </row>
    <row r="1563">
      <c r="A1563" s="3" t="s">
        <v>5285</v>
      </c>
      <c r="B1563" s="4" t="str">
        <f>C1563 &amp; "." &amp; D1563</f>
        <v>AppRoleProfiles.SemanticTypeIri</v>
      </c>
      <c r="C1563" s="3" t="s">
        <v>1869</v>
      </c>
      <c r="D1563" s="3" t="s">
        <v>94</v>
      </c>
      <c r="E1563" s="3" t="s">
        <v>2416</v>
      </c>
      <c r="F1563" s="3" t="s">
        <v>2417</v>
      </c>
      <c r="G1563" s="3"/>
      <c r="H1563" s="3"/>
      <c r="I1563" s="4" t="b">
        <f>OR(((E1563 = "calculated")=TRUE), ((E1563 = "lookup")=TRUE), ((E1563 = "aggregation")=TRUE))</f>
        <v>0</v>
      </c>
      <c r="J1563" s="4" t="b">
        <f>H1563 &lt;&gt; ""</f>
        <v>0</v>
      </c>
      <c r="K1563" s="4">
        <f>COUNTIFS(FieldDisagreements!D2:D50, A1563)</f>
        <v>0</v>
      </c>
      <c r="L1563" s="4" t="b">
        <f>K1563 &gt; 0</f>
        <v>0</v>
      </c>
      <c r="M1563" s="3" t="s">
        <v>2418</v>
      </c>
    </row>
    <row r="1564">
      <c r="A1564" s="3" t="s">
        <v>5286</v>
      </c>
      <c r="B1564" s="4" t="str">
        <f>C1564 &amp; "." &amp; D1564</f>
        <v>AppNavGroups.AppNavGroupId</v>
      </c>
      <c r="C1564" s="3" t="s">
        <v>1873</v>
      </c>
      <c r="D1564" s="3" t="s">
        <v>5287</v>
      </c>
      <c r="E1564" s="3" t="s">
        <v>2416</v>
      </c>
      <c r="F1564" s="3" t="s">
        <v>2417</v>
      </c>
      <c r="G1564" s="3"/>
      <c r="H1564" s="3"/>
      <c r="I1564" s="4" t="b">
        <f>OR(((E1564 = "calculated")=TRUE), ((E1564 = "lookup")=TRUE), ((E1564 = "aggregation")=TRUE))</f>
        <v>0</v>
      </c>
      <c r="J1564" s="4" t="b">
        <f>H1564 &lt;&gt; ""</f>
        <v>0</v>
      </c>
      <c r="K1564" s="4">
        <f>COUNTIFS(FieldDisagreements!D2:D50, A1564)</f>
        <v>0</v>
      </c>
      <c r="L1564" s="4" t="b">
        <f>K1564 &gt; 0</f>
        <v>0</v>
      </c>
      <c r="M1564" s="3" t="s">
        <v>2418</v>
      </c>
    </row>
    <row r="1565">
      <c r="A1565" s="3" t="s">
        <v>5288</v>
      </c>
      <c r="B1565" s="4" t="str">
        <f>C1565 &amp; "." &amp; D1565</f>
        <v>AppNavGroups.Name</v>
      </c>
      <c r="C1565" s="3" t="s">
        <v>1873</v>
      </c>
      <c r="D1565" s="3" t="s">
        <v>1</v>
      </c>
      <c r="E1565" s="3" t="s">
        <v>2420</v>
      </c>
      <c r="F1565" s="3" t="s">
        <v>2417</v>
      </c>
      <c r="G1565" s="3" t="s">
        <v>5289</v>
      </c>
      <c r="H1565" s="3"/>
      <c r="I1565" s="4" t="b">
        <f>OR(((E1565 = "calculated")=TRUE), ((E1565 = "lookup")=TRUE), ((E1565 = "aggregation")=TRUE))</f>
        <v>1</v>
      </c>
      <c r="J1565" s="4" t="b">
        <f>H1565 &lt;&gt; ""</f>
        <v>0</v>
      </c>
      <c r="K1565" s="4">
        <f>COUNTIFS(FieldDisagreements!D2:D50, A1565)</f>
        <v>0</v>
      </c>
      <c r="L1565" s="4" t="b">
        <f>K1565 &gt; 0</f>
        <v>0</v>
      </c>
      <c r="M1565" s="3" t="s">
        <v>2418</v>
      </c>
    </row>
    <row r="1566">
      <c r="A1566" s="3" t="s">
        <v>5290</v>
      </c>
      <c r="B1566" s="4" t="str">
        <f>C1566 &amp; "." &amp; D1566</f>
        <v>AppNavGroups.GroupLabel</v>
      </c>
      <c r="C1566" s="3" t="s">
        <v>1873</v>
      </c>
      <c r="D1566" s="3" t="s">
        <v>5291</v>
      </c>
      <c r="E1566" s="3" t="s">
        <v>2416</v>
      </c>
      <c r="F1566" s="3" t="s">
        <v>2417</v>
      </c>
      <c r="G1566" s="3"/>
      <c r="H1566" s="3"/>
      <c r="I1566" s="4" t="b">
        <f>OR(((E1566 = "calculated")=TRUE), ((E1566 = "lookup")=TRUE), ((E1566 = "aggregation")=TRUE))</f>
        <v>0</v>
      </c>
      <c r="J1566" s="4" t="b">
        <f>H1566 &lt;&gt; ""</f>
        <v>0</v>
      </c>
      <c r="K1566" s="4">
        <f>COUNTIFS(FieldDisagreements!D2:D50, A1566)</f>
        <v>0</v>
      </c>
      <c r="L1566" s="4" t="b">
        <f>K1566 &gt; 0</f>
        <v>0</v>
      </c>
      <c r="M1566" s="3" t="s">
        <v>2418</v>
      </c>
    </row>
    <row r="1567">
      <c r="A1567" s="3" t="s">
        <v>5292</v>
      </c>
      <c r="B1567" s="4" t="str">
        <f>C1567 &amp; "." &amp; D1567</f>
        <v>AppNavGroups.RouteCount</v>
      </c>
      <c r="C1567" s="3" t="s">
        <v>1873</v>
      </c>
      <c r="D1567" s="3" t="s">
        <v>5283</v>
      </c>
      <c r="E1567" s="3" t="s">
        <v>2469</v>
      </c>
      <c r="F1567" s="3" t="s">
        <v>2475</v>
      </c>
      <c r="G1567" s="3" t="s">
        <v>5293</v>
      </c>
      <c r="H1567" s="3"/>
      <c r="I1567" s="4" t="b">
        <f>OR(((E1567 = "calculated")=TRUE), ((E1567 = "lookup")=TRUE), ((E1567 = "aggregation")=TRUE))</f>
        <v>1</v>
      </c>
      <c r="J1567" s="4" t="b">
        <f>H1567 &lt;&gt; ""</f>
        <v>0</v>
      </c>
      <c r="K1567" s="4">
        <f>COUNTIFS(FieldDisagreements!D2:D50, A1567)</f>
        <v>0</v>
      </c>
      <c r="L1567" s="4" t="b">
        <f>K1567 &gt; 0</f>
        <v>0</v>
      </c>
      <c r="M1567" s="3" t="s">
        <v>2418</v>
      </c>
    </row>
    <row r="1568">
      <c r="A1568" s="3" t="s">
        <v>5294</v>
      </c>
      <c r="B1568" s="4" t="str">
        <f>C1568 &amp; "." &amp; D1568</f>
        <v>AppNavGroups.SemanticTypeIri</v>
      </c>
      <c r="C1568" s="3" t="s">
        <v>1873</v>
      </c>
      <c r="D1568" s="3" t="s">
        <v>94</v>
      </c>
      <c r="E1568" s="3" t="s">
        <v>2416</v>
      </c>
      <c r="F1568" s="3" t="s">
        <v>2417</v>
      </c>
      <c r="G1568" s="3"/>
      <c r="H1568" s="3"/>
      <c r="I1568" s="4" t="b">
        <f>OR(((E1568 = "calculated")=TRUE), ((E1568 = "lookup")=TRUE), ((E1568 = "aggregation")=TRUE))</f>
        <v>0</v>
      </c>
      <c r="J1568" s="4" t="b">
        <f>H1568 &lt;&gt; ""</f>
        <v>0</v>
      </c>
      <c r="K1568" s="4">
        <f>COUNTIFS(FieldDisagreements!D2:D50, A1568)</f>
        <v>0</v>
      </c>
      <c r="L1568" s="4" t="b">
        <f>K1568 &gt; 0</f>
        <v>0</v>
      </c>
      <c r="M1568" s="3" t="s">
        <v>2418</v>
      </c>
    </row>
    <row r="1569">
      <c r="A1569" s="3" t="s">
        <v>5295</v>
      </c>
      <c r="B1569" s="4" t="str">
        <f>C1569 &amp; "." &amp; D1569</f>
        <v>AppRoutes.AppRouteId</v>
      </c>
      <c r="C1569" s="3" t="s">
        <v>1877</v>
      </c>
      <c r="D1569" s="3" t="s">
        <v>5296</v>
      </c>
      <c r="E1569" s="3" t="s">
        <v>2416</v>
      </c>
      <c r="F1569" s="3" t="s">
        <v>2417</v>
      </c>
      <c r="G1569" s="3"/>
      <c r="H1569" s="3"/>
      <c r="I1569" s="4" t="b">
        <f>OR(((E1569 = "calculated")=TRUE), ((E1569 = "lookup")=TRUE), ((E1569 = "aggregation")=TRUE))</f>
        <v>0</v>
      </c>
      <c r="J1569" s="4" t="b">
        <f>H1569 &lt;&gt; ""</f>
        <v>0</v>
      </c>
      <c r="K1569" s="4">
        <f>COUNTIFS(FieldDisagreements!D2:D50, A1569)</f>
        <v>0</v>
      </c>
      <c r="L1569" s="4" t="b">
        <f>K1569 &gt; 0</f>
        <v>0</v>
      </c>
      <c r="M1569" s="3" t="s">
        <v>2418</v>
      </c>
    </row>
    <row r="1570">
      <c r="A1570" s="3" t="s">
        <v>5297</v>
      </c>
      <c r="B1570" s="4" t="str">
        <f>C1570 &amp; "." &amp; D1570</f>
        <v>AppRoutes.Name</v>
      </c>
      <c r="C1570" s="3" t="s">
        <v>1877</v>
      </c>
      <c r="D1570" s="3" t="s">
        <v>1</v>
      </c>
      <c r="E1570" s="3" t="s">
        <v>2420</v>
      </c>
      <c r="F1570" s="3" t="s">
        <v>2417</v>
      </c>
      <c r="G1570" s="3" t="s">
        <v>5298</v>
      </c>
      <c r="H1570" s="3"/>
      <c r="I1570" s="4" t="b">
        <f>OR(((E1570 = "calculated")=TRUE), ((E1570 = "lookup")=TRUE), ((E1570 = "aggregation")=TRUE))</f>
        <v>1</v>
      </c>
      <c r="J1570" s="4" t="b">
        <f>H1570 &lt;&gt; ""</f>
        <v>0</v>
      </c>
      <c r="K1570" s="4">
        <f>COUNTIFS(FieldDisagreements!D2:D50, A1570)</f>
        <v>0</v>
      </c>
      <c r="L1570" s="4" t="b">
        <f>K1570 &gt; 0</f>
        <v>0</v>
      </c>
      <c r="M1570" s="3" t="s">
        <v>2418</v>
      </c>
    </row>
    <row r="1571">
      <c r="A1571" s="3" t="s">
        <v>5299</v>
      </c>
      <c r="B1571" s="4" t="str">
        <f>C1571 &amp; "." &amp; D1571</f>
        <v>AppRoutes.RoutePath</v>
      </c>
      <c r="C1571" s="3" t="s">
        <v>1877</v>
      </c>
      <c r="D1571" s="3" t="s">
        <v>5300</v>
      </c>
      <c r="E1571" s="3" t="s">
        <v>2416</v>
      </c>
      <c r="F1571" s="3" t="s">
        <v>2417</v>
      </c>
      <c r="G1571" s="3"/>
      <c r="H1571" s="3"/>
      <c r="I1571" s="4" t="b">
        <f>OR(((E1571 = "calculated")=TRUE), ((E1571 = "lookup")=TRUE), ((E1571 = "aggregation")=TRUE))</f>
        <v>0</v>
      </c>
      <c r="J1571" s="4" t="b">
        <f>H1571 &lt;&gt; ""</f>
        <v>0</v>
      </c>
      <c r="K1571" s="4">
        <f>COUNTIFS(FieldDisagreements!D2:D50, A1571)</f>
        <v>0</v>
      </c>
      <c r="L1571" s="4" t="b">
        <f>K1571 &gt; 0</f>
        <v>0</v>
      </c>
      <c r="M1571" s="3" t="s">
        <v>2418</v>
      </c>
    </row>
    <row r="1572">
      <c r="A1572" s="3" t="s">
        <v>5301</v>
      </c>
      <c r="B1572" s="4" t="str">
        <f>C1572 &amp; "." &amp; D1572</f>
        <v>AppRoutes.RouteName</v>
      </c>
      <c r="C1572" s="3" t="s">
        <v>1877</v>
      </c>
      <c r="D1572" s="3" t="s">
        <v>5302</v>
      </c>
      <c r="E1572" s="3" t="s">
        <v>2416</v>
      </c>
      <c r="F1572" s="3" t="s">
        <v>2417</v>
      </c>
      <c r="G1572" s="3"/>
      <c r="H1572" s="3"/>
      <c r="I1572" s="4" t="b">
        <f>OR(((E1572 = "calculated")=TRUE), ((E1572 = "lookup")=TRUE), ((E1572 = "aggregation")=TRUE))</f>
        <v>0</v>
      </c>
      <c r="J1572" s="4" t="b">
        <f>H1572 &lt;&gt; ""</f>
        <v>0</v>
      </c>
      <c r="K1572" s="4">
        <f>COUNTIFS(FieldDisagreements!D2:D50, A1572)</f>
        <v>0</v>
      </c>
      <c r="L1572" s="4" t="b">
        <f>K1572 &gt; 0</f>
        <v>0</v>
      </c>
      <c r="M1572" s="3" t="s">
        <v>2418</v>
      </c>
    </row>
    <row r="1573">
      <c r="A1573" s="3" t="s">
        <v>5303</v>
      </c>
      <c r="B1573" s="4" t="str">
        <f>C1573 &amp; "." &amp; D1573</f>
        <v>AppRoutes.Surface</v>
      </c>
      <c r="C1573" s="3" t="s">
        <v>1877</v>
      </c>
      <c r="D1573" s="3" t="s">
        <v>5304</v>
      </c>
      <c r="E1573" s="3" t="s">
        <v>2416</v>
      </c>
      <c r="F1573" s="3" t="s">
        <v>2417</v>
      </c>
      <c r="G1573" s="3"/>
      <c r="H1573" s="3"/>
      <c r="I1573" s="4" t="b">
        <f>OR(((E1573 = "calculated")=TRUE), ((E1573 = "lookup")=TRUE), ((E1573 = "aggregation")=TRUE))</f>
        <v>0</v>
      </c>
      <c r="J1573" s="4" t="b">
        <f>H1573 &lt;&gt; ""</f>
        <v>0</v>
      </c>
      <c r="K1573" s="4">
        <f>COUNTIFS(FieldDisagreements!D2:D50, A1573)</f>
        <v>0</v>
      </c>
      <c r="L1573" s="4" t="b">
        <f>K1573 &gt; 0</f>
        <v>0</v>
      </c>
      <c r="M1573" s="3" t="s">
        <v>2418</v>
      </c>
    </row>
    <row r="1574">
      <c r="A1574" s="3" t="s">
        <v>5305</v>
      </c>
      <c r="B1574" s="4" t="str">
        <f>C1574 &amp; "." &amp; D1574</f>
        <v>AppRoutes.OwningRole</v>
      </c>
      <c r="C1574" s="3" t="s">
        <v>1877</v>
      </c>
      <c r="D1574" s="3" t="s">
        <v>5306</v>
      </c>
      <c r="E1574" s="3" t="s">
        <v>2465</v>
      </c>
      <c r="F1574" s="3" t="s">
        <v>2417</v>
      </c>
      <c r="G1574" s="3"/>
      <c r="H1574" s="3"/>
      <c r="I1574" s="4" t="b">
        <f>OR(((E1574 = "calculated")=TRUE), ((E1574 = "lookup")=TRUE), ((E1574 = "aggregation")=TRUE))</f>
        <v>0</v>
      </c>
      <c r="J1574" s="4" t="b">
        <f>H1574 &lt;&gt; ""</f>
        <v>0</v>
      </c>
      <c r="K1574" s="4">
        <f>COUNTIFS(FieldDisagreements!D2:D50, A1574)</f>
        <v>0</v>
      </c>
      <c r="L1574" s="4" t="b">
        <f>K1574 &gt; 0</f>
        <v>0</v>
      </c>
      <c r="M1574" s="3" t="s">
        <v>2418</v>
      </c>
    </row>
    <row r="1575">
      <c r="A1575" s="3" t="s">
        <v>5307</v>
      </c>
      <c r="B1575" s="4" t="str">
        <f>C1575 &amp; "." &amp; D1575</f>
        <v>AppRoutes.NavGroup</v>
      </c>
      <c r="C1575" s="3" t="s">
        <v>1877</v>
      </c>
      <c r="D1575" s="3" t="s">
        <v>5308</v>
      </c>
      <c r="E1575" s="3" t="s">
        <v>2465</v>
      </c>
      <c r="F1575" s="3" t="s">
        <v>2417</v>
      </c>
      <c r="G1575" s="3"/>
      <c r="H1575" s="3"/>
      <c r="I1575" s="4" t="b">
        <f>OR(((E1575 = "calculated")=TRUE), ((E1575 = "lookup")=TRUE), ((E1575 = "aggregation")=TRUE))</f>
        <v>0</v>
      </c>
      <c r="J1575" s="4" t="b">
        <f>H1575 &lt;&gt; ""</f>
        <v>0</v>
      </c>
      <c r="K1575" s="4">
        <f>COUNTIFS(FieldDisagreements!D2:D50, A1575)</f>
        <v>0</v>
      </c>
      <c r="L1575" s="4" t="b">
        <f>K1575 &gt; 0</f>
        <v>0</v>
      </c>
      <c r="M1575" s="3" t="s">
        <v>2418</v>
      </c>
    </row>
    <row r="1576">
      <c r="A1576" s="3" t="s">
        <v>5309</v>
      </c>
      <c r="B1576" s="4" t="str">
        <f>C1576 &amp; "." &amp; D1576</f>
        <v>AppRoutes.NavOrder</v>
      </c>
      <c r="C1576" s="3" t="s">
        <v>1877</v>
      </c>
      <c r="D1576" s="3" t="s">
        <v>5310</v>
      </c>
      <c r="E1576" s="3" t="s">
        <v>2416</v>
      </c>
      <c r="F1576" s="3" t="s">
        <v>2475</v>
      </c>
      <c r="G1576" s="3"/>
      <c r="H1576" s="3"/>
      <c r="I1576" s="4" t="b">
        <f>OR(((E1576 = "calculated")=TRUE), ((E1576 = "lookup")=TRUE), ((E1576 = "aggregation")=TRUE))</f>
        <v>0</v>
      </c>
      <c r="J1576" s="4" t="b">
        <f>H1576 &lt;&gt; ""</f>
        <v>0</v>
      </c>
      <c r="K1576" s="4">
        <f>COUNTIFS(FieldDisagreements!D2:D50, A1576)</f>
        <v>0</v>
      </c>
      <c r="L1576" s="4" t="b">
        <f>K1576 &gt; 0</f>
        <v>0</v>
      </c>
      <c r="M1576" s="3" t="s">
        <v>2418</v>
      </c>
    </row>
    <row r="1577">
      <c r="A1577" s="3" t="s">
        <v>5311</v>
      </c>
      <c r="B1577" s="4" t="str">
        <f>C1577 &amp; "." &amp; D1577</f>
        <v>AppRoutes.RouteKind</v>
      </c>
      <c r="C1577" s="3" t="s">
        <v>1877</v>
      </c>
      <c r="D1577" s="3" t="s">
        <v>5312</v>
      </c>
      <c r="E1577" s="3" t="s">
        <v>2416</v>
      </c>
      <c r="F1577" s="3" t="s">
        <v>2417</v>
      </c>
      <c r="G1577" s="3"/>
      <c r="H1577" s="3"/>
      <c r="I1577" s="4" t="b">
        <f>OR(((E1577 = "calculated")=TRUE), ((E1577 = "lookup")=TRUE), ((E1577 = "aggregation")=TRUE))</f>
        <v>0</v>
      </c>
      <c r="J1577" s="4" t="b">
        <f>H1577 &lt;&gt; ""</f>
        <v>0</v>
      </c>
      <c r="K1577" s="4">
        <f>COUNTIFS(FieldDisagreements!D2:D50, A1577)</f>
        <v>0</v>
      </c>
      <c r="L1577" s="4" t="b">
        <f>K1577 &gt; 0</f>
        <v>0</v>
      </c>
      <c r="M1577" s="3" t="s">
        <v>2418</v>
      </c>
    </row>
    <row r="1578">
      <c r="A1578" s="3" t="s">
        <v>5313</v>
      </c>
      <c r="B1578" s="4" t="str">
        <f>C1578 &amp; "." &amp; D1578</f>
        <v>AppRoutes.Purpose</v>
      </c>
      <c r="C1578" s="3" t="s">
        <v>1877</v>
      </c>
      <c r="D1578" s="3" t="s">
        <v>327</v>
      </c>
      <c r="E1578" s="3" t="s">
        <v>2416</v>
      </c>
      <c r="F1578" s="3" t="s">
        <v>2417</v>
      </c>
      <c r="G1578" s="3"/>
      <c r="H1578" s="3"/>
      <c r="I1578" s="4" t="b">
        <f>OR(((E1578 = "calculated")=TRUE), ((E1578 = "lookup")=TRUE), ((E1578 = "aggregation")=TRUE))</f>
        <v>0</v>
      </c>
      <c r="J1578" s="4" t="b">
        <f>H1578 &lt;&gt; ""</f>
        <v>0</v>
      </c>
      <c r="K1578" s="4">
        <f>COUNTIFS(FieldDisagreements!D2:D50, A1578)</f>
        <v>0</v>
      </c>
      <c r="L1578" s="4" t="b">
        <f>K1578 &gt; 0</f>
        <v>0</v>
      </c>
      <c r="M1578" s="3" t="s">
        <v>2418</v>
      </c>
    </row>
    <row r="1579">
      <c r="A1579" s="3" t="s">
        <v>5314</v>
      </c>
      <c r="B1579" s="4" t="str">
        <f>C1579 &amp; "." &amp; D1579</f>
        <v>AppRoutes.LayoutHints</v>
      </c>
      <c r="C1579" s="3" t="s">
        <v>1877</v>
      </c>
      <c r="D1579" s="3" t="s">
        <v>5315</v>
      </c>
      <c r="E1579" s="3" t="s">
        <v>2416</v>
      </c>
      <c r="F1579" s="3" t="s">
        <v>2417</v>
      </c>
      <c r="G1579" s="3"/>
      <c r="H1579" s="3"/>
      <c r="I1579" s="4" t="b">
        <f>OR(((E1579 = "calculated")=TRUE), ((E1579 = "lookup")=TRUE), ((E1579 = "aggregation")=TRUE))</f>
        <v>0</v>
      </c>
      <c r="J1579" s="4" t="b">
        <f>H1579 &lt;&gt; ""</f>
        <v>0</v>
      </c>
      <c r="K1579" s="4">
        <f>COUNTIFS(FieldDisagreements!D2:D50, A1579)</f>
        <v>0</v>
      </c>
      <c r="L1579" s="4" t="b">
        <f>K1579 &gt; 0</f>
        <v>0</v>
      </c>
      <c r="M1579" s="3" t="s">
        <v>2418</v>
      </c>
    </row>
    <row r="1580">
      <c r="A1580" s="3" t="s">
        <v>5316</v>
      </c>
      <c r="B1580" s="4" t="str">
        <f>C1580 &amp; "." &amp; D1580</f>
        <v>AppRoutes.IsInNav</v>
      </c>
      <c r="C1580" s="3" t="s">
        <v>1877</v>
      </c>
      <c r="D1580" s="3" t="s">
        <v>5317</v>
      </c>
      <c r="E1580" s="3" t="s">
        <v>2420</v>
      </c>
      <c r="F1580" s="3" t="s">
        <v>2432</v>
      </c>
      <c r="G1580" s="3" t="s">
        <v>5318</v>
      </c>
      <c r="H1580" s="3"/>
      <c r="I1580" s="4" t="b">
        <f>OR(((E1580 = "calculated")=TRUE), ((E1580 = "lookup")=TRUE), ((E1580 = "aggregation")=TRUE))</f>
        <v>1</v>
      </c>
      <c r="J1580" s="4" t="b">
        <f>H1580 &lt;&gt; ""</f>
        <v>0</v>
      </c>
      <c r="K1580" s="4">
        <f>COUNTIFS(FieldDisagreements!D2:D50, A1580)</f>
        <v>0</v>
      </c>
      <c r="L1580" s="4" t="b">
        <f>K1580 &gt; 0</f>
        <v>0</v>
      </c>
      <c r="M1580" s="3" t="s">
        <v>2418</v>
      </c>
    </row>
    <row r="1581">
      <c r="A1581" s="3" t="s">
        <v>5319</v>
      </c>
      <c r="B1581" s="4" t="str">
        <f>C1581 &amp; "." &amp; D1581</f>
        <v>AppRoutes.IsShared</v>
      </c>
      <c r="C1581" s="3" t="s">
        <v>1877</v>
      </c>
      <c r="D1581" s="3" t="s">
        <v>5320</v>
      </c>
      <c r="E1581" s="3" t="s">
        <v>2420</v>
      </c>
      <c r="F1581" s="3" t="s">
        <v>2432</v>
      </c>
      <c r="G1581" s="3" t="s">
        <v>5321</v>
      </c>
      <c r="H1581" s="3"/>
      <c r="I1581" s="4" t="b">
        <f>OR(((E1581 = "calculated")=TRUE), ((E1581 = "lookup")=TRUE), ((E1581 = "aggregation")=TRUE))</f>
        <v>1</v>
      </c>
      <c r="J1581" s="4" t="b">
        <f>H1581 &lt;&gt; ""</f>
        <v>0</v>
      </c>
      <c r="K1581" s="4">
        <f>COUNTIFS(FieldDisagreements!D2:D50, A1581)</f>
        <v>0</v>
      </c>
      <c r="L1581" s="4" t="b">
        <f>K1581 &gt; 0</f>
        <v>0</v>
      </c>
      <c r="M1581" s="3" t="s">
        <v>2418</v>
      </c>
    </row>
    <row r="1582">
      <c r="A1582" s="3" t="s">
        <v>5322</v>
      </c>
      <c r="B1582" s="4" t="str">
        <f>C1582 &amp; "." &amp; D1582</f>
        <v>AppRoutes.IsMaintainer</v>
      </c>
      <c r="C1582" s="3" t="s">
        <v>1877</v>
      </c>
      <c r="D1582" s="3" t="s">
        <v>5323</v>
      </c>
      <c r="E1582" s="3" t="s">
        <v>2420</v>
      </c>
      <c r="F1582" s="3" t="s">
        <v>2432</v>
      </c>
      <c r="G1582" s="3" t="s">
        <v>5324</v>
      </c>
      <c r="H1582" s="3"/>
      <c r="I1582" s="4" t="b">
        <f>OR(((E1582 = "calculated")=TRUE), ((E1582 = "lookup")=TRUE), ((E1582 = "aggregation")=TRUE))</f>
        <v>1</v>
      </c>
      <c r="J1582" s="4" t="b">
        <f>H1582 &lt;&gt; ""</f>
        <v>0</v>
      </c>
      <c r="K1582" s="4">
        <f>COUNTIFS(FieldDisagreements!D2:D50, A1582)</f>
        <v>0</v>
      </c>
      <c r="L1582" s="4" t="b">
        <f>K1582 &gt; 0</f>
        <v>0</v>
      </c>
      <c r="M1582" s="3" t="s">
        <v>2418</v>
      </c>
    </row>
    <row r="1583">
      <c r="A1583" s="3" t="s">
        <v>5325</v>
      </c>
      <c r="B1583" s="4" t="str">
        <f>C1583 &amp; "." &amp; D1583</f>
        <v>AppRoutes.QuestionCount</v>
      </c>
      <c r="C1583" s="3" t="s">
        <v>1877</v>
      </c>
      <c r="D1583" s="3" t="s">
        <v>1932</v>
      </c>
      <c r="E1583" s="3" t="s">
        <v>2469</v>
      </c>
      <c r="F1583" s="3" t="s">
        <v>2475</v>
      </c>
      <c r="G1583" s="3" t="s">
        <v>5326</v>
      </c>
      <c r="H1583" s="3"/>
      <c r="I1583" s="4" t="b">
        <f>OR(((E1583 = "calculated")=TRUE), ((E1583 = "lookup")=TRUE), ((E1583 = "aggregation")=TRUE))</f>
        <v>1</v>
      </c>
      <c r="J1583" s="4" t="b">
        <f>H1583 &lt;&gt; ""</f>
        <v>0</v>
      </c>
      <c r="K1583" s="4">
        <f>COUNTIFS(FieldDisagreements!D2:D50, A1583)</f>
        <v>0</v>
      </c>
      <c r="L1583" s="4" t="b">
        <f>K1583 &gt; 0</f>
        <v>0</v>
      </c>
      <c r="M1583" s="3" t="s">
        <v>2418</v>
      </c>
    </row>
    <row r="1584">
      <c r="A1584" s="3" t="s">
        <v>5327</v>
      </c>
      <c r="B1584" s="4" t="str">
        <f>C1584 &amp; "." &amp; D1584</f>
        <v>AppRoutes.ReferenceCount</v>
      </c>
      <c r="C1584" s="3" t="s">
        <v>1877</v>
      </c>
      <c r="D1584" s="3" t="s">
        <v>5328</v>
      </c>
      <c r="E1584" s="3" t="s">
        <v>2469</v>
      </c>
      <c r="F1584" s="3" t="s">
        <v>2475</v>
      </c>
      <c r="G1584" s="3" t="s">
        <v>5329</v>
      </c>
      <c r="H1584" s="3"/>
      <c r="I1584" s="4" t="b">
        <f>OR(((E1584 = "calculated")=TRUE), ((E1584 = "lookup")=TRUE), ((E1584 = "aggregation")=TRUE))</f>
        <v>1</v>
      </c>
      <c r="J1584" s="4" t="b">
        <f>H1584 &lt;&gt; ""</f>
        <v>0</v>
      </c>
      <c r="K1584" s="4">
        <f>COUNTIFS(FieldDisagreements!D2:D50, A1584)</f>
        <v>0</v>
      </c>
      <c r="L1584" s="4" t="b">
        <f>K1584 &gt; 0</f>
        <v>0</v>
      </c>
      <c r="M1584" s="3" t="s">
        <v>2418</v>
      </c>
    </row>
    <row r="1585">
      <c r="A1585" s="3" t="s">
        <v>5330</v>
      </c>
      <c r="B1585" s="4" t="str">
        <f>C1585 &amp; "." &amp; D1585</f>
        <v>AppRoutes.AnswersNoQuestion</v>
      </c>
      <c r="C1585" s="3" t="s">
        <v>1877</v>
      </c>
      <c r="D1585" s="3" t="s">
        <v>5331</v>
      </c>
      <c r="E1585" s="3" t="s">
        <v>2420</v>
      </c>
      <c r="F1585" s="3" t="s">
        <v>2432</v>
      </c>
      <c r="G1585" s="3" t="s">
        <v>5332</v>
      </c>
      <c r="H1585" s="3"/>
      <c r="I1585" s="4" t="b">
        <f>OR(((E1585 = "calculated")=TRUE), ((E1585 = "lookup")=TRUE), ((E1585 = "aggregation")=TRUE))</f>
        <v>1</v>
      </c>
      <c r="J1585" s="4" t="b">
        <f>H1585 &lt;&gt; ""</f>
        <v>0</v>
      </c>
      <c r="K1585" s="4">
        <f>COUNTIFS(FieldDisagreements!D2:D50, A1585)</f>
        <v>0</v>
      </c>
      <c r="L1585" s="4" t="b">
        <f>K1585 &gt; 0</f>
        <v>0</v>
      </c>
      <c r="M1585" s="3" t="s">
        <v>2418</v>
      </c>
    </row>
    <row r="1586">
      <c r="A1586" s="3" t="s">
        <v>5333</v>
      </c>
      <c r="B1586" s="4" t="str">
        <f>C1586 &amp; "." &amp; D1586</f>
        <v>AppRoutes.SemanticTypeIri</v>
      </c>
      <c r="C1586" s="3" t="s">
        <v>1877</v>
      </c>
      <c r="D1586" s="3" t="s">
        <v>94</v>
      </c>
      <c r="E1586" s="3" t="s">
        <v>2416</v>
      </c>
      <c r="F1586" s="3" t="s">
        <v>2417</v>
      </c>
      <c r="G1586" s="3"/>
      <c r="H1586" s="3"/>
      <c r="I1586" s="4" t="b">
        <f>OR(((E1586 = "calculated")=TRUE), ((E1586 = "lookup")=TRUE), ((E1586 = "aggregation")=TRUE))</f>
        <v>0</v>
      </c>
      <c r="J1586" s="4" t="b">
        <f>H1586 &lt;&gt; ""</f>
        <v>0</v>
      </c>
      <c r="K1586" s="4">
        <f>COUNTIFS(FieldDisagreements!D2:D50, A1586)</f>
        <v>0</v>
      </c>
      <c r="L1586" s="4" t="b">
        <f>K1586 &gt; 0</f>
        <v>0</v>
      </c>
      <c r="M1586" s="3" t="s">
        <v>2418</v>
      </c>
    </row>
    <row r="1587">
      <c r="A1587" s="3" t="s">
        <v>5334</v>
      </c>
      <c r="B1587" s="4" t="str">
        <f>C1587 &amp; "." &amp; D1587</f>
        <v>AppRouteQuestions.AppRouteQuestionId</v>
      </c>
      <c r="C1587" s="3" t="s">
        <v>1881</v>
      </c>
      <c r="D1587" s="3" t="s">
        <v>5335</v>
      </c>
      <c r="E1587" s="3" t="s">
        <v>2416</v>
      </c>
      <c r="F1587" s="3" t="s">
        <v>2417</v>
      </c>
      <c r="G1587" s="3"/>
      <c r="H1587" s="3"/>
      <c r="I1587" s="4" t="b">
        <f>OR(((E1587 = "calculated")=TRUE), ((E1587 = "lookup")=TRUE), ((E1587 = "aggregation")=TRUE))</f>
        <v>0</v>
      </c>
      <c r="J1587" s="4" t="b">
        <f>H1587 &lt;&gt; ""</f>
        <v>0</v>
      </c>
      <c r="K1587" s="4">
        <f>COUNTIFS(FieldDisagreements!D2:D50, A1587)</f>
        <v>0</v>
      </c>
      <c r="L1587" s="4" t="b">
        <f>K1587 &gt; 0</f>
        <v>0</v>
      </c>
      <c r="M1587" s="3" t="s">
        <v>2418</v>
      </c>
    </row>
    <row r="1588">
      <c r="A1588" s="3" t="s">
        <v>5336</v>
      </c>
      <c r="B1588" s="4" t="str">
        <f>C1588 &amp; "." &amp; D1588</f>
        <v>AppRouteQuestions.Name</v>
      </c>
      <c r="C1588" s="3" t="s">
        <v>1881</v>
      </c>
      <c r="D1588" s="3" t="s">
        <v>1</v>
      </c>
      <c r="E1588" s="3" t="s">
        <v>2420</v>
      </c>
      <c r="F1588" s="3" t="s">
        <v>2417</v>
      </c>
      <c r="G1588" s="3" t="s">
        <v>5337</v>
      </c>
      <c r="H1588" s="3"/>
      <c r="I1588" s="4" t="b">
        <f>OR(((E1588 = "calculated")=TRUE), ((E1588 = "lookup")=TRUE), ((E1588 = "aggregation")=TRUE))</f>
        <v>1</v>
      </c>
      <c r="J1588" s="4" t="b">
        <f>H1588 &lt;&gt; ""</f>
        <v>0</v>
      </c>
      <c r="K1588" s="4">
        <f>COUNTIFS(FieldDisagreements!D2:D50, A1588)</f>
        <v>0</v>
      </c>
      <c r="L1588" s="4" t="b">
        <f>K1588 &gt; 0</f>
        <v>0</v>
      </c>
      <c r="M1588" s="3" t="s">
        <v>2418</v>
      </c>
    </row>
    <row r="1589">
      <c r="A1589" s="3" t="s">
        <v>5338</v>
      </c>
      <c r="B1589" s="4" t="str">
        <f>C1589 &amp; "." &amp; D1589</f>
        <v>AppRouteQuestions.Route</v>
      </c>
      <c r="C1589" s="3" t="s">
        <v>1881</v>
      </c>
      <c r="D1589" s="3" t="s">
        <v>5339</v>
      </c>
      <c r="E1589" s="3" t="s">
        <v>2465</v>
      </c>
      <c r="F1589" s="3" t="s">
        <v>2417</v>
      </c>
      <c r="G1589" s="3"/>
      <c r="H1589" s="3"/>
      <c r="I1589" s="4" t="b">
        <f>OR(((E1589 = "calculated")=TRUE), ((E1589 = "lookup")=TRUE), ((E1589 = "aggregation")=TRUE))</f>
        <v>0</v>
      </c>
      <c r="J1589" s="4" t="b">
        <f>H1589 &lt;&gt; ""</f>
        <v>0</v>
      </c>
      <c r="K1589" s="4">
        <f>COUNTIFS(FieldDisagreements!D2:D50, A1589)</f>
        <v>0</v>
      </c>
      <c r="L1589" s="4" t="b">
        <f>K1589 &gt; 0</f>
        <v>0</v>
      </c>
      <c r="M1589" s="3" t="s">
        <v>2418</v>
      </c>
    </row>
    <row r="1590">
      <c r="A1590" s="3" t="s">
        <v>5340</v>
      </c>
      <c r="B1590" s="4" t="str">
        <f>C1590 &amp; "." &amp; D1590</f>
        <v>AppRouteQuestions.Question</v>
      </c>
      <c r="C1590" s="3" t="s">
        <v>1881</v>
      </c>
      <c r="D1590" s="3" t="s">
        <v>1243</v>
      </c>
      <c r="E1590" s="3" t="s">
        <v>2465</v>
      </c>
      <c r="F1590" s="3" t="s">
        <v>2417</v>
      </c>
      <c r="G1590" s="3"/>
      <c r="H1590" s="3"/>
      <c r="I1590" s="4" t="b">
        <f>OR(((E1590 = "calculated")=TRUE), ((E1590 = "lookup")=TRUE), ((E1590 = "aggregation")=TRUE))</f>
        <v>0</v>
      </c>
      <c r="J1590" s="4" t="b">
        <f>H1590 &lt;&gt; ""</f>
        <v>0</v>
      </c>
      <c r="K1590" s="4">
        <f>COUNTIFS(FieldDisagreements!D2:D50, A1590)</f>
        <v>0</v>
      </c>
      <c r="L1590" s="4" t="b">
        <f>K1590 &gt; 0</f>
        <v>0</v>
      </c>
      <c r="M1590" s="3" t="s">
        <v>2418</v>
      </c>
    </row>
    <row r="1591">
      <c r="A1591" s="3" t="s">
        <v>5341</v>
      </c>
      <c r="B1591" s="4" t="str">
        <f>C1591 &amp; "." &amp; D1591</f>
        <v>AppRouteQuestions.SemanticTypeIri</v>
      </c>
      <c r="C1591" s="3" t="s">
        <v>1881</v>
      </c>
      <c r="D1591" s="3" t="s">
        <v>94</v>
      </c>
      <c r="E1591" s="3" t="s">
        <v>2416</v>
      </c>
      <c r="F1591" s="3" t="s">
        <v>2417</v>
      </c>
      <c r="G1591" s="3"/>
      <c r="H1591" s="3"/>
      <c r="I1591" s="4" t="b">
        <f>OR(((E1591 = "calculated")=TRUE), ((E1591 = "lookup")=TRUE), ((E1591 = "aggregation")=TRUE))</f>
        <v>0</v>
      </c>
      <c r="J1591" s="4" t="b">
        <f>H1591 &lt;&gt; ""</f>
        <v>0</v>
      </c>
      <c r="K1591" s="4">
        <f>COUNTIFS(FieldDisagreements!D2:D50, A1591)</f>
        <v>0</v>
      </c>
      <c r="L1591" s="4" t="b">
        <f>K1591 &gt; 0</f>
        <v>0</v>
      </c>
      <c r="M1591" s="3" t="s">
        <v>2418</v>
      </c>
    </row>
    <row r="1592">
      <c r="A1592" s="3" t="s">
        <v>5342</v>
      </c>
      <c r="B1592" s="4" t="str">
        <f>C1592 &amp; "." &amp; D1592</f>
        <v>AppRouteReferences.AppRouteReferenceId</v>
      </c>
      <c r="C1592" s="3" t="s">
        <v>1885</v>
      </c>
      <c r="D1592" s="3" t="s">
        <v>5343</v>
      </c>
      <c r="E1592" s="3" t="s">
        <v>2416</v>
      </c>
      <c r="F1592" s="3" t="s">
        <v>2417</v>
      </c>
      <c r="G1592" s="3"/>
      <c r="H1592" s="3"/>
      <c r="I1592" s="4" t="b">
        <f>OR(((E1592 = "calculated")=TRUE), ((E1592 = "lookup")=TRUE), ((E1592 = "aggregation")=TRUE))</f>
        <v>0</v>
      </c>
      <c r="J1592" s="4" t="b">
        <f>H1592 &lt;&gt; ""</f>
        <v>0</v>
      </c>
      <c r="K1592" s="4">
        <f>COUNTIFS(FieldDisagreements!D2:D50, A1592)</f>
        <v>0</v>
      </c>
      <c r="L1592" s="4" t="b">
        <f>K1592 &gt; 0</f>
        <v>0</v>
      </c>
      <c r="M1592" s="3" t="s">
        <v>2418</v>
      </c>
    </row>
    <row r="1593">
      <c r="A1593" s="3" t="s">
        <v>5344</v>
      </c>
      <c r="B1593" s="4" t="str">
        <f>C1593 &amp; "." &amp; D1593</f>
        <v>AppRouteReferences.Name</v>
      </c>
      <c r="C1593" s="3" t="s">
        <v>1885</v>
      </c>
      <c r="D1593" s="3" t="s">
        <v>1</v>
      </c>
      <c r="E1593" s="3" t="s">
        <v>2420</v>
      </c>
      <c r="F1593" s="3" t="s">
        <v>2417</v>
      </c>
      <c r="G1593" s="3" t="s">
        <v>5345</v>
      </c>
      <c r="H1593" s="3"/>
      <c r="I1593" s="4" t="b">
        <f>OR(((E1593 = "calculated")=TRUE), ((E1593 = "lookup")=TRUE), ((E1593 = "aggregation")=TRUE))</f>
        <v>1</v>
      </c>
      <c r="J1593" s="4" t="b">
        <f>H1593 &lt;&gt; ""</f>
        <v>0</v>
      </c>
      <c r="K1593" s="4">
        <f>COUNTIFS(FieldDisagreements!D2:D50, A1593)</f>
        <v>0</v>
      </c>
      <c r="L1593" s="4" t="b">
        <f>K1593 &gt; 0</f>
        <v>0</v>
      </c>
      <c r="M1593" s="3" t="s">
        <v>2418</v>
      </c>
    </row>
    <row r="1594">
      <c r="A1594" s="3" t="s">
        <v>5346</v>
      </c>
      <c r="B1594" s="4" t="str">
        <f>C1594 &amp; "." &amp; D1594</f>
        <v>AppRouteReferences.FromRoute</v>
      </c>
      <c r="C1594" s="3" t="s">
        <v>1885</v>
      </c>
      <c r="D1594" s="3" t="s">
        <v>5347</v>
      </c>
      <c r="E1594" s="3" t="s">
        <v>2465</v>
      </c>
      <c r="F1594" s="3" t="s">
        <v>2417</v>
      </c>
      <c r="G1594" s="3"/>
      <c r="H1594" s="3"/>
      <c r="I1594" s="4" t="b">
        <f>OR(((E1594 = "calculated")=TRUE), ((E1594 = "lookup")=TRUE), ((E1594 = "aggregation")=TRUE))</f>
        <v>0</v>
      </c>
      <c r="J1594" s="4" t="b">
        <f>H1594 &lt;&gt; ""</f>
        <v>0</v>
      </c>
      <c r="K1594" s="4">
        <f>COUNTIFS(FieldDisagreements!D2:D50, A1594)</f>
        <v>0</v>
      </c>
      <c r="L1594" s="4" t="b">
        <f>K1594 &gt; 0</f>
        <v>0</v>
      </c>
      <c r="M1594" s="3" t="s">
        <v>2418</v>
      </c>
    </row>
    <row r="1595">
      <c r="A1595" s="3" t="s">
        <v>5348</v>
      </c>
      <c r="B1595" s="4" t="str">
        <f>C1595 &amp; "." &amp; D1595</f>
        <v>AppRouteReferences.ToRoute</v>
      </c>
      <c r="C1595" s="3" t="s">
        <v>1885</v>
      </c>
      <c r="D1595" s="3" t="s">
        <v>5349</v>
      </c>
      <c r="E1595" s="3" t="s">
        <v>2465</v>
      </c>
      <c r="F1595" s="3" t="s">
        <v>2417</v>
      </c>
      <c r="G1595" s="3"/>
      <c r="H1595" s="3"/>
      <c r="I1595" s="4" t="b">
        <f>OR(((E1595 = "calculated")=TRUE), ((E1595 = "lookup")=TRUE), ((E1595 = "aggregation")=TRUE))</f>
        <v>0</v>
      </c>
      <c r="J1595" s="4" t="b">
        <f>H1595 &lt;&gt; ""</f>
        <v>0</v>
      </c>
      <c r="K1595" s="4">
        <f>COUNTIFS(FieldDisagreements!D2:D50, A1595)</f>
        <v>0</v>
      </c>
      <c r="L1595" s="4" t="b">
        <f>K1595 &gt; 0</f>
        <v>0</v>
      </c>
      <c r="M1595" s="3" t="s">
        <v>2418</v>
      </c>
    </row>
    <row r="1596">
      <c r="A1596" s="3" t="s">
        <v>5350</v>
      </c>
      <c r="B1596" s="4" t="str">
        <f>C1596 &amp; "." &amp; D1596</f>
        <v>AppRouteReferences.SemanticTypeIri</v>
      </c>
      <c r="C1596" s="3" t="s">
        <v>1885</v>
      </c>
      <c r="D1596" s="3" t="s">
        <v>94</v>
      </c>
      <c r="E1596" s="3" t="s">
        <v>2416</v>
      </c>
      <c r="F1596" s="3" t="s">
        <v>2417</v>
      </c>
      <c r="G1596" s="3"/>
      <c r="H1596" s="3"/>
      <c r="I1596" s="4" t="b">
        <f>OR(((E1596 = "calculated")=TRUE), ((E1596 = "lookup")=TRUE), ((E1596 = "aggregation")=TRUE))</f>
        <v>0</v>
      </c>
      <c r="J1596" s="4" t="b">
        <f>H1596 &lt;&gt; ""</f>
        <v>0</v>
      </c>
      <c r="K1596" s="4">
        <f>COUNTIFS(FieldDisagreements!D2:D50, A1596)</f>
        <v>0</v>
      </c>
      <c r="L1596" s="4" t="b">
        <f>K1596 &gt; 0</f>
        <v>0</v>
      </c>
      <c r="M1596" s="3" t="s">
        <v>2418</v>
      </c>
    </row>
    <row r="1597">
      <c r="A1597" s="3" t="s">
        <v>5351</v>
      </c>
      <c r="B1597" s="4" t="str">
        <f>C1597 &amp; "." &amp; D1597</f>
        <v>RulebookTables.RulebookTableId</v>
      </c>
      <c r="C1597" s="3" t="s">
        <v>5352</v>
      </c>
      <c r="D1597" s="3" t="s">
        <v>5353</v>
      </c>
      <c r="E1597" s="3" t="s">
        <v>2416</v>
      </c>
      <c r="F1597" s="3" t="s">
        <v>2417</v>
      </c>
      <c r="G1597" s="3"/>
      <c r="H1597" s="3"/>
      <c r="I1597" s="4" t="b">
        <f>OR(((E1597 = "calculated")=TRUE), ((E1597 = "lookup")=TRUE), ((E1597 = "aggregation")=TRUE))</f>
        <v>0</v>
      </c>
      <c r="J1597" s="4" t="b">
        <f>H1597 &lt;&gt; ""</f>
        <v>0</v>
      </c>
      <c r="K1597" s="4">
        <f>COUNTIFS(FieldDisagreements!D2:D50, A1597)</f>
        <v>0</v>
      </c>
      <c r="L1597" s="4" t="b">
        <f>K1597 &gt; 0</f>
        <v>0</v>
      </c>
      <c r="M1597" s="3" t="s">
        <v>2418</v>
      </c>
    </row>
    <row r="1598">
      <c r="A1598" s="3" t="s">
        <v>5354</v>
      </c>
      <c r="B1598" s="4" t="str">
        <f>C1598 &amp; "." &amp; D1598</f>
        <v>RulebookTables.TableName</v>
      </c>
      <c r="C1598" s="3" t="s">
        <v>5352</v>
      </c>
      <c r="D1598" s="3" t="s">
        <v>5355</v>
      </c>
      <c r="E1598" s="3" t="s">
        <v>2416</v>
      </c>
      <c r="F1598" s="3" t="s">
        <v>2417</v>
      </c>
      <c r="G1598" s="3"/>
      <c r="H1598" s="3"/>
      <c r="I1598" s="4" t="b">
        <f>OR(((E1598 = "calculated")=TRUE), ((E1598 = "lookup")=TRUE), ((E1598 = "aggregation")=TRUE))</f>
        <v>0</v>
      </c>
      <c r="J1598" s="4" t="b">
        <f>H1598 &lt;&gt; ""</f>
        <v>0</v>
      </c>
      <c r="K1598" s="4">
        <f>COUNTIFS(FieldDisagreements!D2:D50, A1598)</f>
        <v>0</v>
      </c>
      <c r="L1598" s="4" t="b">
        <f>K1598 &gt; 0</f>
        <v>0</v>
      </c>
      <c r="M1598" s="3" t="s">
        <v>2418</v>
      </c>
    </row>
    <row r="1599">
      <c r="A1599" s="3" t="s">
        <v>5356</v>
      </c>
      <c r="B1599" s="4" t="str">
        <f>C1599 &amp; "." &amp; D1599</f>
        <v>RulebookTables.Name</v>
      </c>
      <c r="C1599" s="3" t="s">
        <v>5352</v>
      </c>
      <c r="D1599" s="3" t="s">
        <v>1</v>
      </c>
      <c r="E1599" s="3" t="s">
        <v>2420</v>
      </c>
      <c r="F1599" s="3" t="s">
        <v>2417</v>
      </c>
      <c r="G1599" s="3" t="s">
        <v>5357</v>
      </c>
      <c r="H1599" s="3"/>
      <c r="I1599" s="4" t="b">
        <f>OR(((E1599 = "calculated")=TRUE), ((E1599 = "lookup")=TRUE), ((E1599 = "aggregation")=TRUE))</f>
        <v>1</v>
      </c>
      <c r="J1599" s="4" t="b">
        <f>H1599 &lt;&gt; ""</f>
        <v>0</v>
      </c>
      <c r="K1599" s="4">
        <f>COUNTIFS(FieldDisagreements!D2:D50, A1599)</f>
        <v>0</v>
      </c>
      <c r="L1599" s="4" t="b">
        <f>K1599 &gt; 0</f>
        <v>0</v>
      </c>
      <c r="M1599" s="3" t="s">
        <v>2418</v>
      </c>
    </row>
    <row r="1600">
      <c r="A1600" s="3" t="s">
        <v>5358</v>
      </c>
      <c r="B1600" s="4" t="str">
        <f>C1600 &amp; "." &amp; D1600</f>
        <v>RulebookTables.PhysicalTable</v>
      </c>
      <c r="C1600" s="3" t="s">
        <v>5352</v>
      </c>
      <c r="D1600" s="3" t="s">
        <v>5359</v>
      </c>
      <c r="E1600" s="3" t="s">
        <v>2416</v>
      </c>
      <c r="F1600" s="3" t="s">
        <v>2417</v>
      </c>
      <c r="G1600" s="3"/>
      <c r="H1600" s="3"/>
      <c r="I1600" s="4" t="b">
        <f>OR(((E1600 = "calculated")=TRUE), ((E1600 = "lookup")=TRUE), ((E1600 = "aggregation")=TRUE))</f>
        <v>0</v>
      </c>
      <c r="J1600" s="4" t="b">
        <f>H1600 &lt;&gt; ""</f>
        <v>0</v>
      </c>
      <c r="K1600" s="4">
        <f>COUNTIFS(FieldDisagreements!D2:D50, A1600)</f>
        <v>0</v>
      </c>
      <c r="L1600" s="4" t="b">
        <f>K1600 &gt; 0</f>
        <v>0</v>
      </c>
      <c r="M1600" s="3" t="s">
        <v>2418</v>
      </c>
    </row>
    <row r="1601">
      <c r="A1601" s="3" t="s">
        <v>5360</v>
      </c>
      <c r="B1601" s="4" t="str">
        <f>C1601 &amp; "." &amp; D1601</f>
        <v>RulebookTables.PhysicalView</v>
      </c>
      <c r="C1601" s="3" t="s">
        <v>5352</v>
      </c>
      <c r="D1601" s="3" t="s">
        <v>5361</v>
      </c>
      <c r="E1601" s="3" t="s">
        <v>2416</v>
      </c>
      <c r="F1601" s="3" t="s">
        <v>2417</v>
      </c>
      <c r="G1601" s="3"/>
      <c r="H1601" s="3"/>
      <c r="I1601" s="4" t="b">
        <f>OR(((E1601 = "calculated")=TRUE), ((E1601 = "lookup")=TRUE), ((E1601 = "aggregation")=TRUE))</f>
        <v>0</v>
      </c>
      <c r="J1601" s="4" t="b">
        <f>H1601 &lt;&gt; ""</f>
        <v>0</v>
      </c>
      <c r="K1601" s="4">
        <f>COUNTIFS(FieldDisagreements!D2:D50, A1601)</f>
        <v>0</v>
      </c>
      <c r="L1601" s="4" t="b">
        <f>K1601 &gt; 0</f>
        <v>0</v>
      </c>
      <c r="M1601" s="3" t="s">
        <v>2418</v>
      </c>
    </row>
    <row r="1602">
      <c r="A1602" s="3" t="s">
        <v>5362</v>
      </c>
      <c r="B1602" s="4" t="str">
        <f>C1602 &amp; "." &amp; D1602</f>
        <v>RulebookTables.SubjectArea</v>
      </c>
      <c r="C1602" s="3" t="s">
        <v>5352</v>
      </c>
      <c r="D1602" s="3" t="s">
        <v>5363</v>
      </c>
      <c r="E1602" s="3" t="s">
        <v>2416</v>
      </c>
      <c r="F1602" s="3" t="s">
        <v>2417</v>
      </c>
      <c r="G1602" s="3"/>
      <c r="H1602" s="3"/>
      <c r="I1602" s="4" t="b">
        <f>OR(((E1602 = "calculated")=TRUE), ((E1602 = "lookup")=TRUE), ((E1602 = "aggregation")=TRUE))</f>
        <v>0</v>
      </c>
      <c r="J1602" s="4" t="b">
        <f>H1602 &lt;&gt; ""</f>
        <v>0</v>
      </c>
      <c r="K1602" s="4">
        <f>COUNTIFS(FieldDisagreements!D2:D50, A1602)</f>
        <v>0</v>
      </c>
      <c r="L1602" s="4" t="b">
        <f>K1602 &gt; 0</f>
        <v>0</v>
      </c>
      <c r="M1602" s="3" t="s">
        <v>2418</v>
      </c>
    </row>
    <row r="1603">
      <c r="A1603" s="3" t="s">
        <v>5364</v>
      </c>
      <c r="B1603" s="4" t="str">
        <f>C1603 &amp; "." &amp; D1603</f>
        <v>RulebookTables.IsExtension</v>
      </c>
      <c r="C1603" s="3" t="s">
        <v>5352</v>
      </c>
      <c r="D1603" s="3" t="s">
        <v>5365</v>
      </c>
      <c r="E1603" s="3" t="s">
        <v>2416</v>
      </c>
      <c r="F1603" s="3" t="s">
        <v>2432</v>
      </c>
      <c r="G1603" s="3"/>
      <c r="H1603" s="3"/>
      <c r="I1603" s="4" t="b">
        <f>OR(((E1603 = "calculated")=TRUE), ((E1603 = "lookup")=TRUE), ((E1603 = "aggregation")=TRUE))</f>
        <v>0</v>
      </c>
      <c r="J1603" s="4" t="b">
        <f>H1603 &lt;&gt; ""</f>
        <v>0</v>
      </c>
      <c r="K1603" s="4">
        <f>COUNTIFS(FieldDisagreements!D2:D50, A1603)</f>
        <v>0</v>
      </c>
      <c r="L1603" s="4" t="b">
        <f>K1603 &gt; 0</f>
        <v>0</v>
      </c>
      <c r="M1603" s="3" t="s">
        <v>2418</v>
      </c>
    </row>
    <row r="1604">
      <c r="A1604" s="3" t="s">
        <v>5366</v>
      </c>
      <c r="B1604" s="4" t="str">
        <f>C1604 &amp; "." &amp; D1604</f>
        <v>RulebookTables.FieldCount</v>
      </c>
      <c r="C1604" s="3" t="s">
        <v>5352</v>
      </c>
      <c r="D1604" s="3" t="s">
        <v>5367</v>
      </c>
      <c r="E1604" s="3" t="s">
        <v>2469</v>
      </c>
      <c r="F1604" s="3" t="s">
        <v>2475</v>
      </c>
      <c r="G1604" s="3" t="s">
        <v>5368</v>
      </c>
      <c r="H1604" s="3"/>
      <c r="I1604" s="4" t="b">
        <f>OR(((E1604 = "calculated")=TRUE), ((E1604 = "lookup")=TRUE), ((E1604 = "aggregation")=TRUE))</f>
        <v>1</v>
      </c>
      <c r="J1604" s="4" t="b">
        <f>H1604 &lt;&gt; ""</f>
        <v>0</v>
      </c>
      <c r="K1604" s="4">
        <f>COUNTIFS(FieldDisagreements!D2:D50, A1604)</f>
        <v>0</v>
      </c>
      <c r="L1604" s="4" t="b">
        <f>K1604 &gt; 0</f>
        <v>0</v>
      </c>
      <c r="M1604" s="3" t="s">
        <v>2418</v>
      </c>
    </row>
    <row r="1605">
      <c r="A1605" s="3" t="s">
        <v>5369</v>
      </c>
      <c r="B1605" s="4" t="str">
        <f>C1605 &amp; "." &amp; D1605</f>
        <v>RulebookTables.PolicyCount</v>
      </c>
      <c r="C1605" s="3" t="s">
        <v>5352</v>
      </c>
      <c r="D1605" s="3" t="s">
        <v>5370</v>
      </c>
      <c r="E1605" s="3" t="s">
        <v>2469</v>
      </c>
      <c r="F1605" s="3" t="s">
        <v>2475</v>
      </c>
      <c r="G1605" s="3" t="s">
        <v>5371</v>
      </c>
      <c r="H1605" s="3"/>
      <c r="I1605" s="4" t="b">
        <f>OR(((E1605 = "calculated")=TRUE), ((E1605 = "lookup")=TRUE), ((E1605 = "aggregation")=TRUE))</f>
        <v>1</v>
      </c>
      <c r="J1605" s="4" t="b">
        <f>H1605 &lt;&gt; ""</f>
        <v>0</v>
      </c>
      <c r="K1605" s="4">
        <f>COUNTIFS(FieldDisagreements!D2:D50, A1605)</f>
        <v>0</v>
      </c>
      <c r="L1605" s="4" t="b">
        <f>K1605 &gt; 0</f>
        <v>0</v>
      </c>
      <c r="M1605" s="3" t="s">
        <v>2418</v>
      </c>
    </row>
    <row r="1606">
      <c r="A1606" s="3" t="s">
        <v>5372</v>
      </c>
      <c r="B1606" s="4" t="str">
        <f>C1606 &amp; "." &amp; D1606</f>
        <v>RulebookTables.IsUnsecured</v>
      </c>
      <c r="C1606" s="3" t="s">
        <v>5352</v>
      </c>
      <c r="D1606" s="3" t="s">
        <v>5373</v>
      </c>
      <c r="E1606" s="3" t="s">
        <v>2420</v>
      </c>
      <c r="F1606" s="3" t="s">
        <v>2432</v>
      </c>
      <c r="G1606" s="3" t="s">
        <v>5374</v>
      </c>
      <c r="H1606" s="3"/>
      <c r="I1606" s="4" t="b">
        <f>OR(((E1606 = "calculated")=TRUE), ((E1606 = "lookup")=TRUE), ((E1606 = "aggregation")=TRUE))</f>
        <v>1</v>
      </c>
      <c r="J1606" s="4" t="b">
        <f>H1606 &lt;&gt; ""</f>
        <v>0</v>
      </c>
      <c r="K1606" s="4">
        <f>COUNTIFS(FieldDisagreements!D2:D50, A1606)</f>
        <v>0</v>
      </c>
      <c r="L1606" s="4" t="b">
        <f>K1606 &gt; 0</f>
        <v>0</v>
      </c>
      <c r="M1606" s="3" t="s">
        <v>2418</v>
      </c>
    </row>
    <row r="1607">
      <c r="A1607" s="3" t="s">
        <v>5375</v>
      </c>
      <c r="B1607" s="4" t="str">
        <f>C1607 &amp; "." &amp; D1607</f>
        <v>RulebookTables.DisagreeingSubstrateCount</v>
      </c>
      <c r="C1607" s="3" t="s">
        <v>5352</v>
      </c>
      <c r="D1607" s="3" t="s">
        <v>2412</v>
      </c>
      <c r="E1607" s="3" t="s">
        <v>2469</v>
      </c>
      <c r="F1607" s="3" t="s">
        <v>2475</v>
      </c>
      <c r="G1607" s="3" t="s">
        <v>5376</v>
      </c>
      <c r="H1607" s="3" t="s">
        <v>2391</v>
      </c>
      <c r="I1607" s="4" t="b">
        <f>OR(((E1607 = "calculated")=TRUE), ((E1607 = "lookup")=TRUE), ((E1607 = "aggregation")=TRUE))</f>
        <v>1</v>
      </c>
      <c r="J1607" s="4" t="b">
        <f>H1607 &lt;&gt; ""</f>
        <v>1</v>
      </c>
      <c r="K1607" s="4">
        <f>COUNTIFS(FieldDisagreements!D2:D50, A1607)</f>
        <v>0</v>
      </c>
      <c r="L1607" s="4" t="b">
        <f>K1607 &gt; 0</f>
        <v>0</v>
      </c>
      <c r="M1607" s="3" t="s">
        <v>2418</v>
      </c>
    </row>
    <row r="1608">
      <c r="A1608" s="3" t="s">
        <v>5377</v>
      </c>
      <c r="B1608" s="4" t="str">
        <f>C1608 &amp; "." &amp; D1608</f>
        <v>RulebookTables.SemanticTypeIri</v>
      </c>
      <c r="C1608" s="3" t="s">
        <v>5352</v>
      </c>
      <c r="D1608" s="3" t="s">
        <v>94</v>
      </c>
      <c r="E1608" s="3" t="s">
        <v>2416</v>
      </c>
      <c r="F1608" s="3" t="s">
        <v>2417</v>
      </c>
      <c r="G1608" s="3"/>
      <c r="H1608" s="3"/>
      <c r="I1608" s="4" t="b">
        <f>OR(((E1608 = "calculated")=TRUE), ((E1608 = "lookup")=TRUE), ((E1608 = "aggregation")=TRUE))</f>
        <v>0</v>
      </c>
      <c r="J1608" s="4" t="b">
        <f>H1608 &lt;&gt; ""</f>
        <v>0</v>
      </c>
      <c r="K1608" s="4">
        <f>COUNTIFS(FieldDisagreements!D2:D50, A1608)</f>
        <v>0</v>
      </c>
      <c r="L1608" s="4" t="b">
        <f>K1608 &gt; 0</f>
        <v>0</v>
      </c>
      <c r="M1608" s="3" t="s">
        <v>2418</v>
      </c>
    </row>
    <row r="1609">
      <c r="A1609" s="3" t="s">
        <v>5378</v>
      </c>
      <c r="B1609" s="4" t="str">
        <f>C1609 &amp; "." &amp; D1609</f>
        <v>AccessPrincipals.AccessPrincipalId</v>
      </c>
      <c r="C1609" s="3" t="s">
        <v>5379</v>
      </c>
      <c r="D1609" s="3" t="s">
        <v>5380</v>
      </c>
      <c r="E1609" s="3" t="s">
        <v>2416</v>
      </c>
      <c r="F1609" s="3" t="s">
        <v>2417</v>
      </c>
      <c r="G1609" s="3"/>
      <c r="H1609" s="3"/>
      <c r="I1609" s="4" t="b">
        <f>OR(((E1609 = "calculated")=TRUE), ((E1609 = "lookup")=TRUE), ((E1609 = "aggregation")=TRUE))</f>
        <v>0</v>
      </c>
      <c r="J1609" s="4" t="b">
        <f>H1609 &lt;&gt; ""</f>
        <v>0</v>
      </c>
      <c r="K1609" s="4">
        <f>COUNTIFS(FieldDisagreements!D2:D50, A1609)</f>
        <v>0</v>
      </c>
      <c r="L1609" s="4" t="b">
        <f>K1609 &gt; 0</f>
        <v>0</v>
      </c>
      <c r="M1609" s="3" t="s">
        <v>2418</v>
      </c>
    </row>
    <row r="1610">
      <c r="A1610" s="3" t="s">
        <v>5381</v>
      </c>
      <c r="B1610" s="4" t="str">
        <f>C1610 &amp; "." &amp; D1610</f>
        <v>AccessPrincipals.Name</v>
      </c>
      <c r="C1610" s="3" t="s">
        <v>5379</v>
      </c>
      <c r="D1610" s="3" t="s">
        <v>1</v>
      </c>
      <c r="E1610" s="3" t="s">
        <v>2420</v>
      </c>
      <c r="F1610" s="3" t="s">
        <v>2417</v>
      </c>
      <c r="G1610" s="3" t="s">
        <v>2504</v>
      </c>
      <c r="H1610" s="3"/>
      <c r="I1610" s="4" t="b">
        <f>OR(((E1610 = "calculated")=TRUE), ((E1610 = "lookup")=TRUE), ((E1610 = "aggregation")=TRUE))</f>
        <v>1</v>
      </c>
      <c r="J1610" s="4" t="b">
        <f>H1610 &lt;&gt; ""</f>
        <v>0</v>
      </c>
      <c r="K1610" s="4">
        <f>COUNTIFS(FieldDisagreements!D2:D50, A1610)</f>
        <v>0</v>
      </c>
      <c r="L1610" s="4" t="b">
        <f>K1610 &gt; 0</f>
        <v>0</v>
      </c>
      <c r="M1610" s="3" t="s">
        <v>2418</v>
      </c>
    </row>
    <row r="1611">
      <c r="A1611" s="3" t="s">
        <v>5382</v>
      </c>
      <c r="B1611" s="4" t="str">
        <f>C1611 &amp; "." &amp; D1611</f>
        <v>AccessPrincipals.Label</v>
      </c>
      <c r="C1611" s="3" t="s">
        <v>5379</v>
      </c>
      <c r="D1611" s="3" t="s">
        <v>19</v>
      </c>
      <c r="E1611" s="3" t="s">
        <v>2416</v>
      </c>
      <c r="F1611" s="3" t="s">
        <v>2417</v>
      </c>
      <c r="G1611" s="3"/>
      <c r="H1611" s="3"/>
      <c r="I1611" s="4" t="b">
        <f>OR(((E1611 = "calculated")=TRUE), ((E1611 = "lookup")=TRUE), ((E1611 = "aggregation")=TRUE))</f>
        <v>0</v>
      </c>
      <c r="J1611" s="4" t="b">
        <f>H1611 &lt;&gt; ""</f>
        <v>0</v>
      </c>
      <c r="K1611" s="4">
        <f>COUNTIFS(FieldDisagreements!D2:D50, A1611)</f>
        <v>0</v>
      </c>
      <c r="L1611" s="4" t="b">
        <f>K1611 &gt; 0</f>
        <v>0</v>
      </c>
      <c r="M1611" s="3" t="s">
        <v>2418</v>
      </c>
    </row>
    <row r="1612">
      <c r="A1612" s="3" t="s">
        <v>5383</v>
      </c>
      <c r="B1612" s="4" t="str">
        <f>C1612 &amp; "." &amp; D1612</f>
        <v>AccessPrincipals.DomainRole</v>
      </c>
      <c r="C1612" s="3" t="s">
        <v>5379</v>
      </c>
      <c r="D1612" s="3" t="s">
        <v>5384</v>
      </c>
      <c r="E1612" s="3" t="s">
        <v>2465</v>
      </c>
      <c r="F1612" s="3" t="s">
        <v>2417</v>
      </c>
      <c r="G1612" s="3"/>
      <c r="H1612" s="3"/>
      <c r="I1612" s="4" t="b">
        <f>OR(((E1612 = "calculated")=TRUE), ((E1612 = "lookup")=TRUE), ((E1612 = "aggregation")=TRUE))</f>
        <v>0</v>
      </c>
      <c r="J1612" s="4" t="b">
        <f>H1612 &lt;&gt; ""</f>
        <v>0</v>
      </c>
      <c r="K1612" s="4">
        <f>COUNTIFS(FieldDisagreements!D2:D50, A1612)</f>
        <v>0</v>
      </c>
      <c r="L1612" s="4" t="b">
        <f>K1612 &gt; 0</f>
        <v>0</v>
      </c>
      <c r="M1612" s="3" t="s">
        <v>2418</v>
      </c>
    </row>
    <row r="1613">
      <c r="A1613" s="3" t="s">
        <v>5385</v>
      </c>
      <c r="B1613" s="4" t="str">
        <f>C1613 &amp; "." &amp; D1613</f>
        <v>AccessPrincipals.PgRoleName</v>
      </c>
      <c r="C1613" s="3" t="s">
        <v>5379</v>
      </c>
      <c r="D1613" s="3" t="s">
        <v>5386</v>
      </c>
      <c r="E1613" s="3" t="s">
        <v>2416</v>
      </c>
      <c r="F1613" s="3" t="s">
        <v>2417</v>
      </c>
      <c r="G1613" s="3"/>
      <c r="H1613" s="3"/>
      <c r="I1613" s="4" t="b">
        <f>OR(((E1613 = "calculated")=TRUE), ((E1613 = "lookup")=TRUE), ((E1613 = "aggregation")=TRUE))</f>
        <v>0</v>
      </c>
      <c r="J1613" s="4" t="b">
        <f>H1613 &lt;&gt; ""</f>
        <v>0</v>
      </c>
      <c r="K1613" s="4">
        <f>COUNTIFS(FieldDisagreements!D2:D50, A1613)</f>
        <v>0</v>
      </c>
      <c r="L1613" s="4" t="b">
        <f>K1613 &gt; 0</f>
        <v>0</v>
      </c>
      <c r="M1613" s="3" t="s">
        <v>2418</v>
      </c>
    </row>
    <row r="1614">
      <c r="A1614" s="3" t="s">
        <v>5387</v>
      </c>
      <c r="B1614" s="4" t="str">
        <f>C1614 &amp; "." &amp; D1614</f>
        <v>AccessPrincipals.SchemaName</v>
      </c>
      <c r="C1614" s="3" t="s">
        <v>5379</v>
      </c>
      <c r="D1614" s="3" t="s">
        <v>5388</v>
      </c>
      <c r="E1614" s="3" t="s">
        <v>2416</v>
      </c>
      <c r="F1614" s="3" t="s">
        <v>2417</v>
      </c>
      <c r="G1614" s="3"/>
      <c r="H1614" s="3"/>
      <c r="I1614" s="4" t="b">
        <f>OR(((E1614 = "calculated")=TRUE), ((E1614 = "lookup")=TRUE), ((E1614 = "aggregation")=TRUE))</f>
        <v>0</v>
      </c>
      <c r="J1614" s="4" t="b">
        <f>H1614 &lt;&gt; ""</f>
        <v>0</v>
      </c>
      <c r="K1614" s="4">
        <f>COUNTIFS(FieldDisagreements!D2:D50, A1614)</f>
        <v>0</v>
      </c>
      <c r="L1614" s="4" t="b">
        <f>K1614 &gt; 0</f>
        <v>0</v>
      </c>
      <c r="M1614" s="3" t="s">
        <v>2418</v>
      </c>
    </row>
    <row r="1615">
      <c r="A1615" s="3" t="s">
        <v>5389</v>
      </c>
      <c r="B1615" s="4" t="str">
        <f>C1615 &amp; "." &amp; D1615</f>
        <v>AccessPrincipals.IsAdministrator</v>
      </c>
      <c r="C1615" s="3" t="s">
        <v>5379</v>
      </c>
      <c r="D1615" s="3" t="s">
        <v>5390</v>
      </c>
      <c r="E1615" s="3" t="s">
        <v>2416</v>
      </c>
      <c r="F1615" s="3" t="s">
        <v>2432</v>
      </c>
      <c r="G1615" s="3"/>
      <c r="H1615" s="3"/>
      <c r="I1615" s="4" t="b">
        <f>OR(((E1615 = "calculated")=TRUE), ((E1615 = "lookup")=TRUE), ((E1615 = "aggregation")=TRUE))</f>
        <v>0</v>
      </c>
      <c r="J1615" s="4" t="b">
        <f>H1615 &lt;&gt; ""</f>
        <v>0</v>
      </c>
      <c r="K1615" s="4">
        <f>COUNTIFS(FieldDisagreements!D2:D50, A1615)</f>
        <v>0</v>
      </c>
      <c r="L1615" s="4" t="b">
        <f>K1615 &gt; 0</f>
        <v>0</v>
      </c>
      <c r="M1615" s="3" t="s">
        <v>2418</v>
      </c>
    </row>
    <row r="1616">
      <c r="A1616" s="3" t="s">
        <v>5391</v>
      </c>
      <c r="B1616" s="4" t="str">
        <f>C1616 &amp; "." &amp; D1616</f>
        <v>AccessPrincipals.OrganizationScope</v>
      </c>
      <c r="C1616" s="3" t="s">
        <v>5379</v>
      </c>
      <c r="D1616" s="3" t="s">
        <v>5392</v>
      </c>
      <c r="E1616" s="3" t="s">
        <v>2509</v>
      </c>
      <c r="F1616" s="3" t="s">
        <v>2417</v>
      </c>
      <c r="G1616" s="3" t="s">
        <v>5393</v>
      </c>
      <c r="H1616" s="3"/>
      <c r="I1616" s="4" t="b">
        <f>OR(((E1616 = "calculated")=TRUE), ((E1616 = "lookup")=TRUE), ((E1616 = "aggregation")=TRUE))</f>
        <v>1</v>
      </c>
      <c r="J1616" s="4" t="b">
        <f>H1616 &lt;&gt; ""</f>
        <v>0</v>
      </c>
      <c r="K1616" s="4">
        <f>COUNTIFS(FieldDisagreements!D2:D50, A1616)</f>
        <v>0</v>
      </c>
      <c r="L1616" s="4" t="b">
        <f>K1616 &gt; 0</f>
        <v>0</v>
      </c>
      <c r="M1616" s="3" t="s">
        <v>2418</v>
      </c>
    </row>
    <row r="1617">
      <c r="A1617" s="3" t="s">
        <v>5394</v>
      </c>
      <c r="B1617" s="4" t="str">
        <f>C1617 &amp; "." &amp; D1617</f>
        <v>AccessPrincipals.RoleLabel</v>
      </c>
      <c r="C1617" s="3" t="s">
        <v>5379</v>
      </c>
      <c r="D1617" s="3" t="s">
        <v>5395</v>
      </c>
      <c r="E1617" s="3" t="s">
        <v>2509</v>
      </c>
      <c r="F1617" s="3" t="s">
        <v>2417</v>
      </c>
      <c r="G1617" s="3" t="s">
        <v>5396</v>
      </c>
      <c r="H1617" s="3"/>
      <c r="I1617" s="4" t="b">
        <f>OR(((E1617 = "calculated")=TRUE), ((E1617 = "lookup")=TRUE), ((E1617 = "aggregation")=TRUE))</f>
        <v>1</v>
      </c>
      <c r="J1617" s="4" t="b">
        <f>H1617 &lt;&gt; ""</f>
        <v>0</v>
      </c>
      <c r="K1617" s="4">
        <f>COUNTIFS(FieldDisagreements!D2:D50, A1617)</f>
        <v>0</v>
      </c>
      <c r="L1617" s="4" t="b">
        <f>K1617 &gt; 0</f>
        <v>0</v>
      </c>
      <c r="M1617" s="3" t="s">
        <v>2418</v>
      </c>
    </row>
    <row r="1618">
      <c r="A1618" s="3" t="s">
        <v>5397</v>
      </c>
      <c r="B1618" s="4" t="str">
        <f>C1618 &amp; "." &amp; D1618</f>
        <v>AccessPrincipals.PolicyCount</v>
      </c>
      <c r="C1618" s="3" t="s">
        <v>5379</v>
      </c>
      <c r="D1618" s="3" t="s">
        <v>5370</v>
      </c>
      <c r="E1618" s="3" t="s">
        <v>2469</v>
      </c>
      <c r="F1618" s="3" t="s">
        <v>2475</v>
      </c>
      <c r="G1618" s="3" t="s">
        <v>5398</v>
      </c>
      <c r="H1618" s="3"/>
      <c r="I1618" s="4" t="b">
        <f>OR(((E1618 = "calculated")=TRUE), ((E1618 = "lookup")=TRUE), ((E1618 = "aggregation")=TRUE))</f>
        <v>1</v>
      </c>
      <c r="J1618" s="4" t="b">
        <f>H1618 &lt;&gt; ""</f>
        <v>0</v>
      </c>
      <c r="K1618" s="4">
        <f>COUNTIFS(FieldDisagreements!D2:D50, A1618)</f>
        <v>0</v>
      </c>
      <c r="L1618" s="4" t="b">
        <f>K1618 &gt; 0</f>
        <v>0</v>
      </c>
      <c r="M1618" s="3" t="s">
        <v>2418</v>
      </c>
    </row>
    <row r="1619">
      <c r="A1619" s="3" t="s">
        <v>5399</v>
      </c>
      <c r="B1619" s="4" t="str">
        <f>C1619 &amp; "." &amp; D1619</f>
        <v>AccessPrincipals.GrantCount</v>
      </c>
      <c r="C1619" s="3" t="s">
        <v>5379</v>
      </c>
      <c r="D1619" s="3" t="s">
        <v>5400</v>
      </c>
      <c r="E1619" s="3" t="s">
        <v>2469</v>
      </c>
      <c r="F1619" s="3" t="s">
        <v>2475</v>
      </c>
      <c r="G1619" s="3" t="s">
        <v>5401</v>
      </c>
      <c r="H1619" s="3"/>
      <c r="I1619" s="4" t="b">
        <f>OR(((E1619 = "calculated")=TRUE), ((E1619 = "lookup")=TRUE), ((E1619 = "aggregation")=TRUE))</f>
        <v>1</v>
      </c>
      <c r="J1619" s="4" t="b">
        <f>H1619 &lt;&gt; ""</f>
        <v>0</v>
      </c>
      <c r="K1619" s="4">
        <f>COUNTIFS(FieldDisagreements!D2:D50, A1619)</f>
        <v>0</v>
      </c>
      <c r="L1619" s="4" t="b">
        <f>K1619 &gt; 0</f>
        <v>0</v>
      </c>
      <c r="M1619" s="3" t="s">
        <v>2418</v>
      </c>
    </row>
    <row r="1620">
      <c r="A1620" s="3" t="s">
        <v>5402</v>
      </c>
      <c r="B1620" s="4" t="str">
        <f>C1620 &amp; "." &amp; D1620</f>
        <v>AccessPrincipals.VisibleTableCount</v>
      </c>
      <c r="C1620" s="3" t="s">
        <v>5379</v>
      </c>
      <c r="D1620" s="3" t="s">
        <v>5403</v>
      </c>
      <c r="E1620" s="3" t="s">
        <v>2469</v>
      </c>
      <c r="F1620" s="3" t="s">
        <v>2475</v>
      </c>
      <c r="G1620" s="3" t="s">
        <v>5404</v>
      </c>
      <c r="H1620" s="3"/>
      <c r="I1620" s="4" t="b">
        <f>OR(((E1620 = "calculated")=TRUE), ((E1620 = "lookup")=TRUE), ((E1620 = "aggregation")=TRUE))</f>
        <v>1</v>
      </c>
      <c r="J1620" s="4" t="b">
        <f>H1620 &lt;&gt; ""</f>
        <v>0</v>
      </c>
      <c r="K1620" s="4">
        <f>COUNTIFS(FieldDisagreements!D2:D50, A1620)</f>
        <v>0</v>
      </c>
      <c r="L1620" s="4" t="b">
        <f>K1620 &gt; 0</f>
        <v>0</v>
      </c>
      <c r="M1620" s="3" t="s">
        <v>2418</v>
      </c>
    </row>
    <row r="1621">
      <c r="A1621" s="3" t="s">
        <v>5405</v>
      </c>
      <c r="B1621" s="4" t="str">
        <f>C1621 &amp; "." &amp; D1621</f>
        <v>AccessPrincipals.HasNoAccess</v>
      </c>
      <c r="C1621" s="3" t="s">
        <v>5379</v>
      </c>
      <c r="D1621" s="3" t="s">
        <v>5406</v>
      </c>
      <c r="E1621" s="3" t="s">
        <v>2420</v>
      </c>
      <c r="F1621" s="3" t="s">
        <v>2432</v>
      </c>
      <c r="G1621" s="3" t="s">
        <v>5374</v>
      </c>
      <c r="H1621" s="3"/>
      <c r="I1621" s="4" t="b">
        <f>OR(((E1621 = "calculated")=TRUE), ((E1621 = "lookup")=TRUE), ((E1621 = "aggregation")=TRUE))</f>
        <v>1</v>
      </c>
      <c r="J1621" s="4" t="b">
        <f>H1621 &lt;&gt; ""</f>
        <v>0</v>
      </c>
      <c r="K1621" s="4">
        <f>COUNTIFS(FieldDisagreements!D2:D50, A1621)</f>
        <v>0</v>
      </c>
      <c r="L1621" s="4" t="b">
        <f>K1621 &gt; 0</f>
        <v>0</v>
      </c>
      <c r="M1621" s="3" t="s">
        <v>2418</v>
      </c>
    </row>
    <row r="1622">
      <c r="A1622" s="3" t="s">
        <v>5407</v>
      </c>
      <c r="B1622" s="4" t="str">
        <f>C1622 &amp; "." &amp; D1622</f>
        <v>AccessPrincipals.IsOverPrivileged</v>
      </c>
      <c r="C1622" s="3" t="s">
        <v>5379</v>
      </c>
      <c r="D1622" s="3" t="s">
        <v>5408</v>
      </c>
      <c r="E1622" s="3" t="s">
        <v>2420</v>
      </c>
      <c r="F1622" s="3" t="s">
        <v>2432</v>
      </c>
      <c r="G1622" s="3" t="s">
        <v>5409</v>
      </c>
      <c r="H1622" s="3"/>
      <c r="I1622" s="4" t="b">
        <f>OR(((E1622 = "calculated")=TRUE), ((E1622 = "lookup")=TRUE), ((E1622 = "aggregation")=TRUE))</f>
        <v>1</v>
      </c>
      <c r="J1622" s="4" t="b">
        <f>H1622 &lt;&gt; ""</f>
        <v>0</v>
      </c>
      <c r="K1622" s="4">
        <f>COUNTIFS(FieldDisagreements!D2:D50, A1622)</f>
        <v>0</v>
      </c>
      <c r="L1622" s="4" t="b">
        <f>K1622 &gt; 0</f>
        <v>0</v>
      </c>
      <c r="M1622" s="3" t="s">
        <v>2418</v>
      </c>
    </row>
    <row r="1623">
      <c r="A1623" s="3" t="s">
        <v>5410</v>
      </c>
      <c r="B1623" s="4" t="str">
        <f>C1623 &amp; "." &amp; D1623</f>
        <v>AccessPrincipals.SemanticTypeIri</v>
      </c>
      <c r="C1623" s="3" t="s">
        <v>5379</v>
      </c>
      <c r="D1623" s="3" t="s">
        <v>94</v>
      </c>
      <c r="E1623" s="3" t="s">
        <v>2416</v>
      </c>
      <c r="F1623" s="3" t="s">
        <v>2417</v>
      </c>
      <c r="G1623" s="3"/>
      <c r="H1623" s="3"/>
      <c r="I1623" s="4" t="b">
        <f>OR(((E1623 = "calculated")=TRUE), ((E1623 = "lookup")=TRUE), ((E1623 = "aggregation")=TRUE))</f>
        <v>0</v>
      </c>
      <c r="J1623" s="4" t="b">
        <f>H1623 &lt;&gt; ""</f>
        <v>0</v>
      </c>
      <c r="K1623" s="4">
        <f>COUNTIFS(FieldDisagreements!D2:D50, A1623)</f>
        <v>0</v>
      </c>
      <c r="L1623" s="4" t="b">
        <f>K1623 &gt; 0</f>
        <v>0</v>
      </c>
      <c r="M1623" s="3" t="s">
        <v>2418</v>
      </c>
    </row>
    <row r="1624">
      <c r="A1624" s="3" t="s">
        <v>5411</v>
      </c>
      <c r="B1624" s="4" t="str">
        <f>C1624 &amp; "." &amp; D1624</f>
        <v>AccessPolicies.AccessPolicyId</v>
      </c>
      <c r="C1624" s="3" t="s">
        <v>5412</v>
      </c>
      <c r="D1624" s="3" t="s">
        <v>5413</v>
      </c>
      <c r="E1624" s="3" t="s">
        <v>2416</v>
      </c>
      <c r="F1624" s="3" t="s">
        <v>2417</v>
      </c>
      <c r="G1624" s="3"/>
      <c r="H1624" s="3"/>
      <c r="I1624" s="4" t="b">
        <f>OR(((E1624 = "calculated")=TRUE), ((E1624 = "lookup")=TRUE), ((E1624 = "aggregation")=TRUE))</f>
        <v>0</v>
      </c>
      <c r="J1624" s="4" t="b">
        <f>H1624 &lt;&gt; ""</f>
        <v>0</v>
      </c>
      <c r="K1624" s="4">
        <f>COUNTIFS(FieldDisagreements!D2:D50, A1624)</f>
        <v>0</v>
      </c>
      <c r="L1624" s="4" t="b">
        <f>K1624 &gt; 0</f>
        <v>0</v>
      </c>
      <c r="M1624" s="3" t="s">
        <v>2418</v>
      </c>
    </row>
    <row r="1625">
      <c r="A1625" s="3" t="s">
        <v>5414</v>
      </c>
      <c r="B1625" s="4" t="str">
        <f>C1625 &amp; "." &amp; D1625</f>
        <v>AccessPolicies.Name</v>
      </c>
      <c r="C1625" s="3" t="s">
        <v>5412</v>
      </c>
      <c r="D1625" s="3" t="s">
        <v>1</v>
      </c>
      <c r="E1625" s="3" t="s">
        <v>2420</v>
      </c>
      <c r="F1625" s="3" t="s">
        <v>2417</v>
      </c>
      <c r="G1625" s="3" t="s">
        <v>5415</v>
      </c>
      <c r="H1625" s="3"/>
      <c r="I1625" s="4" t="b">
        <f>OR(((E1625 = "calculated")=TRUE), ((E1625 = "lookup")=TRUE), ((E1625 = "aggregation")=TRUE))</f>
        <v>1</v>
      </c>
      <c r="J1625" s="4" t="b">
        <f>H1625 &lt;&gt; ""</f>
        <v>0</v>
      </c>
      <c r="K1625" s="4">
        <f>COUNTIFS(FieldDisagreements!D2:D50, A1625)</f>
        <v>0</v>
      </c>
      <c r="L1625" s="4" t="b">
        <f>K1625 &gt; 0</f>
        <v>0</v>
      </c>
      <c r="M1625" s="3" t="s">
        <v>2418</v>
      </c>
    </row>
    <row r="1626">
      <c r="A1626" s="3" t="s">
        <v>5416</v>
      </c>
      <c r="B1626" s="4" t="str">
        <f>C1626 &amp; "." &amp; D1626</f>
        <v>AccessPolicies.Principal</v>
      </c>
      <c r="C1626" s="3" t="s">
        <v>5412</v>
      </c>
      <c r="D1626" s="3" t="s">
        <v>5417</v>
      </c>
      <c r="E1626" s="3" t="s">
        <v>2465</v>
      </c>
      <c r="F1626" s="3" t="s">
        <v>2417</v>
      </c>
      <c r="G1626" s="3"/>
      <c r="H1626" s="3"/>
      <c r="I1626" s="4" t="b">
        <f>OR(((E1626 = "calculated")=TRUE), ((E1626 = "lookup")=TRUE), ((E1626 = "aggregation")=TRUE))</f>
        <v>0</v>
      </c>
      <c r="J1626" s="4" t="b">
        <f>H1626 &lt;&gt; ""</f>
        <v>0</v>
      </c>
      <c r="K1626" s="4">
        <f>COUNTIFS(FieldDisagreements!D2:D50, A1626)</f>
        <v>0</v>
      </c>
      <c r="L1626" s="4" t="b">
        <f>K1626 &gt; 0</f>
        <v>0</v>
      </c>
      <c r="M1626" s="3" t="s">
        <v>2418</v>
      </c>
    </row>
    <row r="1627">
      <c r="A1627" s="3" t="s">
        <v>5418</v>
      </c>
      <c r="B1627" s="4" t="str">
        <f>C1627 &amp; "." &amp; D1627</f>
        <v>AccessPolicies.TargetTable</v>
      </c>
      <c r="C1627" s="3" t="s">
        <v>5412</v>
      </c>
      <c r="D1627" s="3" t="s">
        <v>2404</v>
      </c>
      <c r="E1627" s="3" t="s">
        <v>2465</v>
      </c>
      <c r="F1627" s="3" t="s">
        <v>2417</v>
      </c>
      <c r="G1627" s="3"/>
      <c r="H1627" s="3"/>
      <c r="I1627" s="4" t="b">
        <f>OR(((E1627 = "calculated")=TRUE), ((E1627 = "lookup")=TRUE), ((E1627 = "aggregation")=TRUE))</f>
        <v>0</v>
      </c>
      <c r="J1627" s="4" t="b">
        <f>H1627 &lt;&gt; ""</f>
        <v>0</v>
      </c>
      <c r="K1627" s="4">
        <f>COUNTIFS(FieldDisagreements!D2:D50, A1627)</f>
        <v>0</v>
      </c>
      <c r="L1627" s="4" t="b">
        <f>K1627 &gt; 0</f>
        <v>0</v>
      </c>
      <c r="M1627" s="3" t="s">
        <v>2418</v>
      </c>
    </row>
    <row r="1628">
      <c r="A1628" s="3" t="s">
        <v>5419</v>
      </c>
      <c r="B1628" s="4" t="str">
        <f>C1628 &amp; "." &amp; D1628</f>
        <v>AccessPolicies.Command</v>
      </c>
      <c r="C1628" s="3" t="s">
        <v>5412</v>
      </c>
      <c r="D1628" s="3" t="s">
        <v>5420</v>
      </c>
      <c r="E1628" s="3" t="s">
        <v>2416</v>
      </c>
      <c r="F1628" s="3" t="s">
        <v>2417</v>
      </c>
      <c r="G1628" s="3"/>
      <c r="H1628" s="3"/>
      <c r="I1628" s="4" t="b">
        <f>OR(((E1628 = "calculated")=TRUE), ((E1628 = "lookup")=TRUE), ((E1628 = "aggregation")=TRUE))</f>
        <v>0</v>
      </c>
      <c r="J1628" s="4" t="b">
        <f>H1628 &lt;&gt; ""</f>
        <v>0</v>
      </c>
      <c r="K1628" s="4">
        <f>COUNTIFS(FieldDisagreements!D2:D50, A1628)</f>
        <v>0</v>
      </c>
      <c r="L1628" s="4" t="b">
        <f>K1628 &gt; 0</f>
        <v>0</v>
      </c>
      <c r="M1628" s="3" t="s">
        <v>2418</v>
      </c>
    </row>
    <row r="1629">
      <c r="A1629" s="3" t="s">
        <v>5421</v>
      </c>
      <c r="B1629" s="4" t="str">
        <f>C1629 &amp; "." &amp; D1629</f>
        <v>AccessPolicies.RowPredicate</v>
      </c>
      <c r="C1629" s="3" t="s">
        <v>5412</v>
      </c>
      <c r="D1629" s="3" t="s">
        <v>5422</v>
      </c>
      <c r="E1629" s="3" t="s">
        <v>2416</v>
      </c>
      <c r="F1629" s="3" t="s">
        <v>2417</v>
      </c>
      <c r="G1629" s="3"/>
      <c r="H1629" s="3"/>
      <c r="I1629" s="4" t="b">
        <f>OR(((E1629 = "calculated")=TRUE), ((E1629 = "lookup")=TRUE), ((E1629 = "aggregation")=TRUE))</f>
        <v>0</v>
      </c>
      <c r="J1629" s="4" t="b">
        <f>H1629 &lt;&gt; ""</f>
        <v>0</v>
      </c>
      <c r="K1629" s="4">
        <f>COUNTIFS(FieldDisagreements!D2:D50, A1629)</f>
        <v>0</v>
      </c>
      <c r="L1629" s="4" t="b">
        <f>K1629 &gt; 0</f>
        <v>0</v>
      </c>
      <c r="M1629" s="3" t="s">
        <v>2418</v>
      </c>
    </row>
    <row r="1630">
      <c r="A1630" s="3" t="s">
        <v>5423</v>
      </c>
      <c r="B1630" s="4" t="str">
        <f>C1630 &amp; "." &amp; D1630</f>
        <v>AccessPolicies.CheckPredicate</v>
      </c>
      <c r="C1630" s="3" t="s">
        <v>5412</v>
      </c>
      <c r="D1630" s="3" t="s">
        <v>5424</v>
      </c>
      <c r="E1630" s="3" t="s">
        <v>2416</v>
      </c>
      <c r="F1630" s="3" t="s">
        <v>2417</v>
      </c>
      <c r="G1630" s="3"/>
      <c r="H1630" s="3"/>
      <c r="I1630" s="4" t="b">
        <f>OR(((E1630 = "calculated")=TRUE), ((E1630 = "lookup")=TRUE), ((E1630 = "aggregation")=TRUE))</f>
        <v>0</v>
      </c>
      <c r="J1630" s="4" t="b">
        <f>H1630 &lt;&gt; ""</f>
        <v>0</v>
      </c>
      <c r="K1630" s="4">
        <f>COUNTIFS(FieldDisagreements!D2:D50, A1630)</f>
        <v>0</v>
      </c>
      <c r="L1630" s="4" t="b">
        <f>K1630 &gt; 0</f>
        <v>0</v>
      </c>
      <c r="M1630" s="3" t="s">
        <v>2418</v>
      </c>
    </row>
    <row r="1631">
      <c r="A1631" s="3" t="s">
        <v>5425</v>
      </c>
      <c r="B1631" s="4" t="str">
        <f>C1631 &amp; "." &amp; D1631</f>
        <v>AccessPolicies.Rationale</v>
      </c>
      <c r="C1631" s="3" t="s">
        <v>5412</v>
      </c>
      <c r="D1631" s="3" t="s">
        <v>93</v>
      </c>
      <c r="E1631" s="3" t="s">
        <v>2416</v>
      </c>
      <c r="F1631" s="3" t="s">
        <v>2417</v>
      </c>
      <c r="G1631" s="3"/>
      <c r="H1631" s="3"/>
      <c r="I1631" s="4" t="b">
        <f>OR(((E1631 = "calculated")=TRUE), ((E1631 = "lookup")=TRUE), ((E1631 = "aggregation")=TRUE))</f>
        <v>0</v>
      </c>
      <c r="J1631" s="4" t="b">
        <f>H1631 &lt;&gt; ""</f>
        <v>0</v>
      </c>
      <c r="K1631" s="4">
        <f>COUNTIFS(FieldDisagreements!D2:D50, A1631)</f>
        <v>0</v>
      </c>
      <c r="L1631" s="4" t="b">
        <f>K1631 &gt; 0</f>
        <v>0</v>
      </c>
      <c r="M1631" s="3" t="s">
        <v>2418</v>
      </c>
    </row>
    <row r="1632">
      <c r="A1632" s="3" t="s">
        <v>5426</v>
      </c>
      <c r="B1632" s="4" t="str">
        <f>C1632 &amp; "." &amp; D1632</f>
        <v>AccessPolicies.ReferencesInference</v>
      </c>
      <c r="C1632" s="3" t="s">
        <v>5412</v>
      </c>
      <c r="D1632" s="3" t="s">
        <v>5427</v>
      </c>
      <c r="E1632" s="3" t="s">
        <v>2416</v>
      </c>
      <c r="F1632" s="3" t="s">
        <v>2432</v>
      </c>
      <c r="G1632" s="3"/>
      <c r="H1632" s="3"/>
      <c r="I1632" s="4" t="b">
        <f>OR(((E1632 = "calculated")=TRUE), ((E1632 = "lookup")=TRUE), ((E1632 = "aggregation")=TRUE))</f>
        <v>0</v>
      </c>
      <c r="J1632" s="4" t="b">
        <f>H1632 &lt;&gt; ""</f>
        <v>0</v>
      </c>
      <c r="K1632" s="4">
        <f>COUNTIFS(FieldDisagreements!D2:D50, A1632)</f>
        <v>0</v>
      </c>
      <c r="L1632" s="4" t="b">
        <f>K1632 &gt; 0</f>
        <v>0</v>
      </c>
      <c r="M1632" s="3" t="s">
        <v>2418</v>
      </c>
    </row>
    <row r="1633">
      <c r="A1633" s="3" t="s">
        <v>5428</v>
      </c>
      <c r="B1633" s="4" t="str">
        <f>C1633 &amp; "." &amp; D1633</f>
        <v>AccessPolicies.IsWriteCommand</v>
      </c>
      <c r="C1633" s="3" t="s">
        <v>5412</v>
      </c>
      <c r="D1633" s="3" t="s">
        <v>5429</v>
      </c>
      <c r="E1633" s="3" t="s">
        <v>2420</v>
      </c>
      <c r="F1633" s="3" t="s">
        <v>2432</v>
      </c>
      <c r="G1633" s="3" t="s">
        <v>5430</v>
      </c>
      <c r="H1633" s="3"/>
      <c r="I1633" s="4" t="b">
        <f>OR(((E1633 = "calculated")=TRUE), ((E1633 = "lookup")=TRUE), ((E1633 = "aggregation")=TRUE))</f>
        <v>1</v>
      </c>
      <c r="J1633" s="4" t="b">
        <f>H1633 &lt;&gt; ""</f>
        <v>0</v>
      </c>
      <c r="K1633" s="4">
        <f>COUNTIFS(FieldDisagreements!D2:D50, A1633)</f>
        <v>0</v>
      </c>
      <c r="L1633" s="4" t="b">
        <f>K1633 &gt; 0</f>
        <v>0</v>
      </c>
      <c r="M1633" s="3" t="s">
        <v>2418</v>
      </c>
    </row>
    <row r="1634">
      <c r="A1634" s="3" t="s">
        <v>5431</v>
      </c>
      <c r="B1634" s="4" t="str">
        <f>C1634 &amp; "." &amp; D1634</f>
        <v>AccessPolicies.IsUnrestricted</v>
      </c>
      <c r="C1634" s="3" t="s">
        <v>5412</v>
      </c>
      <c r="D1634" s="3" t="s">
        <v>5432</v>
      </c>
      <c r="E1634" s="3" t="s">
        <v>2420</v>
      </c>
      <c r="F1634" s="3" t="s">
        <v>2432</v>
      </c>
      <c r="G1634" s="3" t="s">
        <v>5433</v>
      </c>
      <c r="H1634" s="3"/>
      <c r="I1634" s="4" t="b">
        <f>OR(((E1634 = "calculated")=TRUE), ((E1634 = "lookup")=TRUE), ((E1634 = "aggregation")=TRUE))</f>
        <v>1</v>
      </c>
      <c r="J1634" s="4" t="b">
        <f>H1634 &lt;&gt; ""</f>
        <v>0</v>
      </c>
      <c r="K1634" s="4">
        <f>COUNTIFS(FieldDisagreements!D2:D50, A1634)</f>
        <v>0</v>
      </c>
      <c r="L1634" s="4" t="b">
        <f>K1634 &gt; 0</f>
        <v>0</v>
      </c>
      <c r="M1634" s="3" t="s">
        <v>2418</v>
      </c>
    </row>
    <row r="1635">
      <c r="A1635" s="3" t="s">
        <v>5434</v>
      </c>
      <c r="B1635" s="4" t="str">
        <f>C1635 &amp; "." &amp; D1635</f>
        <v>AccessPolicies.PrincipalIsAdmin</v>
      </c>
      <c r="C1635" s="3" t="s">
        <v>5412</v>
      </c>
      <c r="D1635" s="3" t="s">
        <v>5435</v>
      </c>
      <c r="E1635" s="3" t="s">
        <v>2509</v>
      </c>
      <c r="F1635" s="3" t="s">
        <v>2432</v>
      </c>
      <c r="G1635" s="3" t="s">
        <v>5436</v>
      </c>
      <c r="H1635" s="3"/>
      <c r="I1635" s="4" t="b">
        <f>OR(((E1635 = "calculated")=TRUE), ((E1635 = "lookup")=TRUE), ((E1635 = "aggregation")=TRUE))</f>
        <v>1</v>
      </c>
      <c r="J1635" s="4" t="b">
        <f>H1635 &lt;&gt; ""</f>
        <v>0</v>
      </c>
      <c r="K1635" s="4">
        <f>COUNTIFS(FieldDisagreements!D2:D50, A1635)</f>
        <v>0</v>
      </c>
      <c r="L1635" s="4" t="b">
        <f>K1635 &gt; 0</f>
        <v>0</v>
      </c>
      <c r="M1635" s="3" t="s">
        <v>2418</v>
      </c>
    </row>
    <row r="1636">
      <c r="A1636" s="3" t="s">
        <v>5437</v>
      </c>
      <c r="B1636" s="4" t="str">
        <f>C1636 &amp; "." &amp; D1636</f>
        <v>AccessPolicies.IsUnrestrictedNonAdminGrant</v>
      </c>
      <c r="C1636" s="3" t="s">
        <v>5412</v>
      </c>
      <c r="D1636" s="3" t="s">
        <v>5438</v>
      </c>
      <c r="E1636" s="3" t="s">
        <v>2420</v>
      </c>
      <c r="F1636" s="3" t="s">
        <v>2432</v>
      </c>
      <c r="G1636" s="3" t="s">
        <v>5439</v>
      </c>
      <c r="H1636" s="3"/>
      <c r="I1636" s="4" t="b">
        <f>OR(((E1636 = "calculated")=TRUE), ((E1636 = "lookup")=TRUE), ((E1636 = "aggregation")=TRUE))</f>
        <v>1</v>
      </c>
      <c r="J1636" s="4" t="b">
        <f>H1636 &lt;&gt; ""</f>
        <v>0</v>
      </c>
      <c r="K1636" s="4">
        <f>COUNTIFS(FieldDisagreements!D2:D50, A1636)</f>
        <v>0</v>
      </c>
      <c r="L1636" s="4" t="b">
        <f>K1636 &gt; 0</f>
        <v>0</v>
      </c>
      <c r="M1636" s="3" t="s">
        <v>2418</v>
      </c>
    </row>
    <row r="1637">
      <c r="A1637" s="3" t="s">
        <v>5440</v>
      </c>
      <c r="B1637" s="4" t="str">
        <f>C1637 &amp; "." &amp; D1637</f>
        <v>AccessPolicies.IsUnwitnessedWrite</v>
      </c>
      <c r="C1637" s="3" t="s">
        <v>5412</v>
      </c>
      <c r="D1637" s="3" t="s">
        <v>5441</v>
      </c>
      <c r="E1637" s="3" t="s">
        <v>2420</v>
      </c>
      <c r="F1637" s="3" t="s">
        <v>2432</v>
      </c>
      <c r="G1637" s="3" t="s">
        <v>5442</v>
      </c>
      <c r="H1637" s="3"/>
      <c r="I1637" s="4" t="b">
        <f>OR(((E1637 = "calculated")=TRUE), ((E1637 = "lookup")=TRUE), ((E1637 = "aggregation")=TRUE))</f>
        <v>1</v>
      </c>
      <c r="J1637" s="4" t="b">
        <f>H1637 &lt;&gt; ""</f>
        <v>0</v>
      </c>
      <c r="K1637" s="4">
        <f>COUNTIFS(FieldDisagreements!D2:D50, A1637)</f>
        <v>0</v>
      </c>
      <c r="L1637" s="4" t="b">
        <f>K1637 &gt; 0</f>
        <v>0</v>
      </c>
      <c r="M1637" s="3" t="s">
        <v>2418</v>
      </c>
    </row>
    <row r="1638">
      <c r="A1638" s="3" t="s">
        <v>5443</v>
      </c>
      <c r="B1638" s="4" t="str">
        <f>C1638 &amp; "." &amp; D1638</f>
        <v>AccessPolicies.DenialTestCount</v>
      </c>
      <c r="C1638" s="3" t="s">
        <v>5412</v>
      </c>
      <c r="D1638" s="3" t="s">
        <v>5444</v>
      </c>
      <c r="E1638" s="3" t="s">
        <v>2469</v>
      </c>
      <c r="F1638" s="3" t="s">
        <v>2475</v>
      </c>
      <c r="G1638" s="3" t="s">
        <v>5445</v>
      </c>
      <c r="H1638" s="3"/>
      <c r="I1638" s="4" t="b">
        <f>OR(((E1638 = "calculated")=TRUE), ((E1638 = "lookup")=TRUE), ((E1638 = "aggregation")=TRUE))</f>
        <v>1</v>
      </c>
      <c r="J1638" s="4" t="b">
        <f>H1638 &lt;&gt; ""</f>
        <v>0</v>
      </c>
      <c r="K1638" s="4">
        <f>COUNTIFS(FieldDisagreements!D2:D50, A1638)</f>
        <v>0</v>
      </c>
      <c r="L1638" s="4" t="b">
        <f>K1638 &gt; 0</f>
        <v>0</v>
      </c>
      <c r="M1638" s="3" t="s">
        <v>2418</v>
      </c>
    </row>
    <row r="1639">
      <c r="A1639" s="3" t="s">
        <v>5446</v>
      </c>
      <c r="B1639" s="4" t="str">
        <f>C1639 &amp; "." &amp; D1639</f>
        <v>AccessPolicies.SemanticTypeIri</v>
      </c>
      <c r="C1639" s="3" t="s">
        <v>5412</v>
      </c>
      <c r="D1639" s="3" t="s">
        <v>94</v>
      </c>
      <c r="E1639" s="3" t="s">
        <v>2416</v>
      </c>
      <c r="F1639" s="3" t="s">
        <v>2417</v>
      </c>
      <c r="G1639" s="3"/>
      <c r="H1639" s="3"/>
      <c r="I1639" s="4" t="b">
        <f>OR(((E1639 = "calculated")=TRUE), ((E1639 = "lookup")=TRUE), ((E1639 = "aggregation")=TRUE))</f>
        <v>0</v>
      </c>
      <c r="J1639" s="4" t="b">
        <f>H1639 &lt;&gt; ""</f>
        <v>0</v>
      </c>
      <c r="K1639" s="4">
        <f>COUNTIFS(FieldDisagreements!D2:D50, A1639)</f>
        <v>0</v>
      </c>
      <c r="L1639" s="4" t="b">
        <f>K1639 &gt; 0</f>
        <v>0</v>
      </c>
      <c r="M1639" s="3" t="s">
        <v>2418</v>
      </c>
    </row>
    <row r="1640">
      <c r="A1640" s="3" t="s">
        <v>5447</v>
      </c>
      <c r="B1640" s="4" t="str">
        <f>C1640 &amp; "." &amp; D1640</f>
        <v>FieldGrants.FieldGrantId</v>
      </c>
      <c r="C1640" s="3" t="s">
        <v>5448</v>
      </c>
      <c r="D1640" s="3" t="s">
        <v>5449</v>
      </c>
      <c r="E1640" s="3" t="s">
        <v>2416</v>
      </c>
      <c r="F1640" s="3" t="s">
        <v>2417</v>
      </c>
      <c r="G1640" s="3"/>
      <c r="H1640" s="3"/>
      <c r="I1640" s="4" t="b">
        <f>OR(((E1640 = "calculated")=TRUE), ((E1640 = "lookup")=TRUE), ((E1640 = "aggregation")=TRUE))</f>
        <v>0</v>
      </c>
      <c r="J1640" s="4" t="b">
        <f>H1640 &lt;&gt; ""</f>
        <v>0</v>
      </c>
      <c r="K1640" s="4">
        <f>COUNTIFS(FieldDisagreements!D2:D50, A1640)</f>
        <v>0</v>
      </c>
      <c r="L1640" s="4" t="b">
        <f>K1640 &gt; 0</f>
        <v>0</v>
      </c>
      <c r="M1640" s="3" t="s">
        <v>2418</v>
      </c>
    </row>
    <row r="1641">
      <c r="A1641" s="3" t="s">
        <v>5450</v>
      </c>
      <c r="B1641" s="4" t="str">
        <f>C1641 &amp; "." &amp; D1641</f>
        <v>FieldGrants.Name</v>
      </c>
      <c r="C1641" s="3" t="s">
        <v>5448</v>
      </c>
      <c r="D1641" s="3" t="s">
        <v>1</v>
      </c>
      <c r="E1641" s="3" t="s">
        <v>2420</v>
      </c>
      <c r="F1641" s="3" t="s">
        <v>2417</v>
      </c>
      <c r="G1641" s="3" t="s">
        <v>5451</v>
      </c>
      <c r="H1641" s="3"/>
      <c r="I1641" s="4" t="b">
        <f>OR(((E1641 = "calculated")=TRUE), ((E1641 = "lookup")=TRUE), ((E1641 = "aggregation")=TRUE))</f>
        <v>1</v>
      </c>
      <c r="J1641" s="4" t="b">
        <f>H1641 &lt;&gt; ""</f>
        <v>0</v>
      </c>
      <c r="K1641" s="4">
        <f>COUNTIFS(FieldDisagreements!D2:D50, A1641)</f>
        <v>0</v>
      </c>
      <c r="L1641" s="4" t="b">
        <f>K1641 &gt; 0</f>
        <v>0</v>
      </c>
      <c r="M1641" s="3" t="s">
        <v>2418</v>
      </c>
    </row>
    <row r="1642">
      <c r="A1642" s="3" t="s">
        <v>5452</v>
      </c>
      <c r="B1642" s="4" t="str">
        <f>C1642 &amp; "." &amp; D1642</f>
        <v>FieldGrants.Principal</v>
      </c>
      <c r="C1642" s="3" t="s">
        <v>5448</v>
      </c>
      <c r="D1642" s="3" t="s">
        <v>5417</v>
      </c>
      <c r="E1642" s="3" t="s">
        <v>2465</v>
      </c>
      <c r="F1642" s="3" t="s">
        <v>2417</v>
      </c>
      <c r="G1642" s="3"/>
      <c r="H1642" s="3"/>
      <c r="I1642" s="4" t="b">
        <f>OR(((E1642 = "calculated")=TRUE), ((E1642 = "lookup")=TRUE), ((E1642 = "aggregation")=TRUE))</f>
        <v>0</v>
      </c>
      <c r="J1642" s="4" t="b">
        <f>H1642 &lt;&gt; ""</f>
        <v>0</v>
      </c>
      <c r="K1642" s="4">
        <f>COUNTIFS(FieldDisagreements!D2:D50, A1642)</f>
        <v>0</v>
      </c>
      <c r="L1642" s="4" t="b">
        <f>K1642 &gt; 0</f>
        <v>0</v>
      </c>
      <c r="M1642" s="3" t="s">
        <v>2418</v>
      </c>
    </row>
    <row r="1643">
      <c r="A1643" s="3" t="s">
        <v>5453</v>
      </c>
      <c r="B1643" s="4" t="str">
        <f>C1643 &amp; "." &amp; D1643</f>
        <v>FieldGrants.TargetField</v>
      </c>
      <c r="C1643" s="3" t="s">
        <v>5448</v>
      </c>
      <c r="D1643" s="3" t="s">
        <v>4219</v>
      </c>
      <c r="E1643" s="3" t="s">
        <v>2465</v>
      </c>
      <c r="F1643" s="3" t="s">
        <v>2417</v>
      </c>
      <c r="G1643" s="3"/>
      <c r="H1643" s="3"/>
      <c r="I1643" s="4" t="b">
        <f>OR(((E1643 = "calculated")=TRUE), ((E1643 = "lookup")=TRUE), ((E1643 = "aggregation")=TRUE))</f>
        <v>0</v>
      </c>
      <c r="J1643" s="4" t="b">
        <f>H1643 &lt;&gt; ""</f>
        <v>0</v>
      </c>
      <c r="K1643" s="4">
        <f>COUNTIFS(FieldDisagreements!D2:D50, A1643)</f>
        <v>0</v>
      </c>
      <c r="L1643" s="4" t="b">
        <f>K1643 &gt; 0</f>
        <v>0</v>
      </c>
      <c r="M1643" s="3" t="s">
        <v>2418</v>
      </c>
    </row>
    <row r="1644">
      <c r="A1644" s="3" t="s">
        <v>5454</v>
      </c>
      <c r="B1644" s="4" t="str">
        <f>C1644 &amp; "." &amp; D1644</f>
        <v>FieldGrants.CanRead</v>
      </c>
      <c r="C1644" s="3" t="s">
        <v>5448</v>
      </c>
      <c r="D1644" s="3" t="s">
        <v>5455</v>
      </c>
      <c r="E1644" s="3" t="s">
        <v>2416</v>
      </c>
      <c r="F1644" s="3" t="s">
        <v>2432</v>
      </c>
      <c r="G1644" s="3"/>
      <c r="H1644" s="3"/>
      <c r="I1644" s="4" t="b">
        <f>OR(((E1644 = "calculated")=TRUE), ((E1644 = "lookup")=TRUE), ((E1644 = "aggregation")=TRUE))</f>
        <v>0</v>
      </c>
      <c r="J1644" s="4" t="b">
        <f>H1644 &lt;&gt; ""</f>
        <v>0</v>
      </c>
      <c r="K1644" s="4">
        <f>COUNTIFS(FieldDisagreements!D2:D50, A1644)</f>
        <v>0</v>
      </c>
      <c r="L1644" s="4" t="b">
        <f>K1644 &gt; 0</f>
        <v>0</v>
      </c>
      <c r="M1644" s="3" t="s">
        <v>2418</v>
      </c>
    </row>
    <row r="1645">
      <c r="A1645" s="3" t="s">
        <v>5456</v>
      </c>
      <c r="B1645" s="4" t="str">
        <f>C1645 &amp; "." &amp; D1645</f>
        <v>FieldGrants.CanWrite</v>
      </c>
      <c r="C1645" s="3" t="s">
        <v>5448</v>
      </c>
      <c r="D1645" s="3" t="s">
        <v>5457</v>
      </c>
      <c r="E1645" s="3" t="s">
        <v>2416</v>
      </c>
      <c r="F1645" s="3" t="s">
        <v>2432</v>
      </c>
      <c r="G1645" s="3"/>
      <c r="H1645" s="3"/>
      <c r="I1645" s="4" t="b">
        <f>OR(((E1645 = "calculated")=TRUE), ((E1645 = "lookup")=TRUE), ((E1645 = "aggregation")=TRUE))</f>
        <v>0</v>
      </c>
      <c r="J1645" s="4" t="b">
        <f>H1645 &lt;&gt; ""</f>
        <v>0</v>
      </c>
      <c r="K1645" s="4">
        <f>COUNTIFS(FieldDisagreements!D2:D50, A1645)</f>
        <v>0</v>
      </c>
      <c r="L1645" s="4" t="b">
        <f>K1645 &gt; 0</f>
        <v>0</v>
      </c>
      <c r="M1645" s="3" t="s">
        <v>2418</v>
      </c>
    </row>
    <row r="1646">
      <c r="A1646" s="3" t="s">
        <v>5458</v>
      </c>
      <c r="B1646" s="4" t="str">
        <f>C1646 &amp; "." &amp; D1646</f>
        <v>FieldGrants.MaskStrategy</v>
      </c>
      <c r="C1646" s="3" t="s">
        <v>5448</v>
      </c>
      <c r="D1646" s="3" t="s">
        <v>5459</v>
      </c>
      <c r="E1646" s="3" t="s">
        <v>2416</v>
      </c>
      <c r="F1646" s="3" t="s">
        <v>2417</v>
      </c>
      <c r="G1646" s="3"/>
      <c r="H1646" s="3"/>
      <c r="I1646" s="4" t="b">
        <f>OR(((E1646 = "calculated")=TRUE), ((E1646 = "lookup")=TRUE), ((E1646 = "aggregation")=TRUE))</f>
        <v>0</v>
      </c>
      <c r="J1646" s="4" t="b">
        <f>H1646 &lt;&gt; ""</f>
        <v>0</v>
      </c>
      <c r="K1646" s="4">
        <f>COUNTIFS(FieldDisagreements!D2:D50, A1646)</f>
        <v>0</v>
      </c>
      <c r="L1646" s="4" t="b">
        <f>K1646 &gt; 0</f>
        <v>0</v>
      </c>
      <c r="M1646" s="3" t="s">
        <v>2418</v>
      </c>
    </row>
    <row r="1647">
      <c r="A1647" s="3" t="s">
        <v>5460</v>
      </c>
      <c r="B1647" s="4" t="str">
        <f>C1647 &amp; "." &amp; D1647</f>
        <v>FieldGrants.FieldTable</v>
      </c>
      <c r="C1647" s="3" t="s">
        <v>5448</v>
      </c>
      <c r="D1647" s="3" t="s">
        <v>5461</v>
      </c>
      <c r="E1647" s="3" t="s">
        <v>2509</v>
      </c>
      <c r="F1647" s="3" t="s">
        <v>2417</v>
      </c>
      <c r="G1647" s="3" t="s">
        <v>5462</v>
      </c>
      <c r="H1647" s="3"/>
      <c r="I1647" s="4" t="b">
        <f>OR(((E1647 = "calculated")=TRUE), ((E1647 = "lookup")=TRUE), ((E1647 = "aggregation")=TRUE))</f>
        <v>1</v>
      </c>
      <c r="J1647" s="4" t="b">
        <f>H1647 &lt;&gt; ""</f>
        <v>0</v>
      </c>
      <c r="K1647" s="4">
        <f>COUNTIFS(FieldDisagreements!D2:D50, A1647)</f>
        <v>0</v>
      </c>
      <c r="L1647" s="4" t="b">
        <f>K1647 &gt; 0</f>
        <v>0</v>
      </c>
      <c r="M1647" s="3" t="s">
        <v>2418</v>
      </c>
    </row>
    <row r="1648">
      <c r="A1648" s="3" t="s">
        <v>5463</v>
      </c>
      <c r="B1648" s="4" t="str">
        <f>C1648 &amp; "." &amp; D1648</f>
        <v>FieldGrants.FieldName</v>
      </c>
      <c r="C1648" s="3" t="s">
        <v>5448</v>
      </c>
      <c r="D1648" s="3" t="s">
        <v>2405</v>
      </c>
      <c r="E1648" s="3" t="s">
        <v>2509</v>
      </c>
      <c r="F1648" s="3" t="s">
        <v>2417</v>
      </c>
      <c r="G1648" s="3" t="s">
        <v>5464</v>
      </c>
      <c r="H1648" s="3"/>
      <c r="I1648" s="4" t="b">
        <f>OR(((E1648 = "calculated")=TRUE), ((E1648 = "lookup")=TRUE), ((E1648 = "aggregation")=TRUE))</f>
        <v>1</v>
      </c>
      <c r="J1648" s="4" t="b">
        <f>H1648 &lt;&gt; ""</f>
        <v>0</v>
      </c>
      <c r="K1648" s="4">
        <f>COUNTIFS(FieldDisagreements!D2:D50, A1648)</f>
        <v>0</v>
      </c>
      <c r="L1648" s="4" t="b">
        <f>K1648 &gt; 0</f>
        <v>0</v>
      </c>
      <c r="M1648" s="3" t="s">
        <v>2418</v>
      </c>
    </row>
    <row r="1649">
      <c r="A1649" s="3" t="s">
        <v>5465</v>
      </c>
      <c r="B1649" s="4" t="str">
        <f>C1649 &amp; "." &amp; D1649</f>
        <v>FieldGrants.FieldIsDerived</v>
      </c>
      <c r="C1649" s="3" t="s">
        <v>5448</v>
      </c>
      <c r="D1649" s="3" t="s">
        <v>5466</v>
      </c>
      <c r="E1649" s="3" t="s">
        <v>2509</v>
      </c>
      <c r="F1649" s="3" t="s">
        <v>2432</v>
      </c>
      <c r="G1649" s="3" t="s">
        <v>5467</v>
      </c>
      <c r="H1649" s="3"/>
      <c r="I1649" s="4" t="b">
        <f>OR(((E1649 = "calculated")=TRUE), ((E1649 = "lookup")=TRUE), ((E1649 = "aggregation")=TRUE))</f>
        <v>1</v>
      </c>
      <c r="J1649" s="4" t="b">
        <f>H1649 &lt;&gt; ""</f>
        <v>0</v>
      </c>
      <c r="K1649" s="4">
        <f>COUNTIFS(FieldDisagreements!D2:D50, A1649)</f>
        <v>0</v>
      </c>
      <c r="L1649" s="4" t="b">
        <f>K1649 &gt; 0</f>
        <v>0</v>
      </c>
      <c r="M1649" s="3" t="s">
        <v>2418</v>
      </c>
    </row>
    <row r="1650">
      <c r="A1650" s="3" t="s">
        <v>5468</v>
      </c>
      <c r="B1650" s="4" t="str">
        <f>C1650 &amp; "." &amp; D1650</f>
        <v>FieldGrants.IsWritableDerivedField</v>
      </c>
      <c r="C1650" s="3" t="s">
        <v>5448</v>
      </c>
      <c r="D1650" s="3" t="s">
        <v>5469</v>
      </c>
      <c r="E1650" s="3" t="s">
        <v>2420</v>
      </c>
      <c r="F1650" s="3" t="s">
        <v>2432</v>
      </c>
      <c r="G1650" s="3" t="s">
        <v>5470</v>
      </c>
      <c r="H1650" s="3"/>
      <c r="I1650" s="4" t="b">
        <f>OR(((E1650 = "calculated")=TRUE), ((E1650 = "lookup")=TRUE), ((E1650 = "aggregation")=TRUE))</f>
        <v>1</v>
      </c>
      <c r="J1650" s="4" t="b">
        <f>H1650 &lt;&gt; ""</f>
        <v>0</v>
      </c>
      <c r="K1650" s="4">
        <f>COUNTIFS(FieldDisagreements!D2:D50, A1650)</f>
        <v>0</v>
      </c>
      <c r="L1650" s="4" t="b">
        <f>K1650 &gt; 0</f>
        <v>0</v>
      </c>
      <c r="M1650" s="3" t="s">
        <v>2418</v>
      </c>
    </row>
    <row r="1651">
      <c r="A1651" s="3" t="s">
        <v>5471</v>
      </c>
      <c r="B1651" s="4" t="str">
        <f>C1651 &amp; "." &amp; D1651</f>
        <v>FieldGrants.IsMasked</v>
      </c>
      <c r="C1651" s="3" t="s">
        <v>5448</v>
      </c>
      <c r="D1651" s="3" t="s">
        <v>5472</v>
      </c>
      <c r="E1651" s="3" t="s">
        <v>2420</v>
      </c>
      <c r="F1651" s="3" t="s">
        <v>2432</v>
      </c>
      <c r="G1651" s="3" t="s">
        <v>5473</v>
      </c>
      <c r="H1651" s="3"/>
      <c r="I1651" s="4" t="b">
        <f>OR(((E1651 = "calculated")=TRUE), ((E1651 = "lookup")=TRUE), ((E1651 = "aggregation")=TRUE))</f>
        <v>1</v>
      </c>
      <c r="J1651" s="4" t="b">
        <f>H1651 &lt;&gt; ""</f>
        <v>0</v>
      </c>
      <c r="K1651" s="4">
        <f>COUNTIFS(FieldDisagreements!D2:D50, A1651)</f>
        <v>0</v>
      </c>
      <c r="L1651" s="4" t="b">
        <f>K1651 &gt; 0</f>
        <v>0</v>
      </c>
      <c r="M1651" s="3" t="s">
        <v>2418</v>
      </c>
    </row>
    <row r="1652">
      <c r="A1652" s="3" t="s">
        <v>5474</v>
      </c>
      <c r="B1652" s="4" t="str">
        <f>C1652 &amp; "." &amp; D1652</f>
        <v>FieldGrants.GrantKeyWhenReadable</v>
      </c>
      <c r="C1652" s="3" t="s">
        <v>5448</v>
      </c>
      <c r="D1652" s="3" t="s">
        <v>5475</v>
      </c>
      <c r="E1652" s="3" t="s">
        <v>2420</v>
      </c>
      <c r="F1652" s="3" t="s">
        <v>2417</v>
      </c>
      <c r="G1652" s="3" t="s">
        <v>5476</v>
      </c>
      <c r="H1652" s="3"/>
      <c r="I1652" s="4" t="b">
        <f>OR(((E1652 = "calculated")=TRUE), ((E1652 = "lookup")=TRUE), ((E1652 = "aggregation")=TRUE))</f>
        <v>1</v>
      </c>
      <c r="J1652" s="4" t="b">
        <f>H1652 &lt;&gt; ""</f>
        <v>0</v>
      </c>
      <c r="K1652" s="4">
        <f>COUNTIFS(FieldDisagreements!D2:D50, A1652)</f>
        <v>0</v>
      </c>
      <c r="L1652" s="4" t="b">
        <f>K1652 &gt; 0</f>
        <v>0</v>
      </c>
      <c r="M1652" s="3" t="s">
        <v>2418</v>
      </c>
    </row>
    <row r="1653">
      <c r="A1653" s="3" t="s">
        <v>5477</v>
      </c>
      <c r="B1653" s="4" t="str">
        <f>C1653 &amp; "." &amp; D1653</f>
        <v>FieldGrants.SemanticTypeIri</v>
      </c>
      <c r="C1653" s="3" t="s">
        <v>5448</v>
      </c>
      <c r="D1653" s="3" t="s">
        <v>94</v>
      </c>
      <c r="E1653" s="3" t="s">
        <v>2416</v>
      </c>
      <c r="F1653" s="3" t="s">
        <v>2417</v>
      </c>
      <c r="G1653" s="3"/>
      <c r="H1653" s="3"/>
      <c r="I1653" s="4" t="b">
        <f>OR(((E1653 = "calculated")=TRUE), ((E1653 = "lookup")=TRUE), ((E1653 = "aggregation")=TRUE))</f>
        <v>0</v>
      </c>
      <c r="J1653" s="4" t="b">
        <f>H1653 &lt;&gt; ""</f>
        <v>0</v>
      </c>
      <c r="K1653" s="4">
        <f>COUNTIFS(FieldDisagreements!D2:D50, A1653)</f>
        <v>0</v>
      </c>
      <c r="L1653" s="4" t="b">
        <f>K1653 &gt; 0</f>
        <v>0</v>
      </c>
      <c r="M1653" s="3" t="s">
        <v>2418</v>
      </c>
    </row>
    <row r="1654">
      <c r="A1654" s="3" t="s">
        <v>5478</v>
      </c>
      <c r="B1654" s="4" t="str">
        <f>C1654 &amp; "." &amp; D1654</f>
        <v>RoleSchemas.RoleSchemaId</v>
      </c>
      <c r="C1654" s="3" t="s">
        <v>5479</v>
      </c>
      <c r="D1654" s="3" t="s">
        <v>5480</v>
      </c>
      <c r="E1654" s="3" t="s">
        <v>2416</v>
      </c>
      <c r="F1654" s="3" t="s">
        <v>2417</v>
      </c>
      <c r="G1654" s="3"/>
      <c r="H1654" s="3"/>
      <c r="I1654" s="4" t="b">
        <f>OR(((E1654 = "calculated")=TRUE), ((E1654 = "lookup")=TRUE), ((E1654 = "aggregation")=TRUE))</f>
        <v>0</v>
      </c>
      <c r="J1654" s="4" t="b">
        <f>H1654 &lt;&gt; ""</f>
        <v>0</v>
      </c>
      <c r="K1654" s="4">
        <f>COUNTIFS(FieldDisagreements!D2:D50, A1654)</f>
        <v>0</v>
      </c>
      <c r="L1654" s="4" t="b">
        <f>K1654 &gt; 0</f>
        <v>0</v>
      </c>
      <c r="M1654" s="3" t="s">
        <v>2418</v>
      </c>
    </row>
    <row r="1655">
      <c r="A1655" s="3" t="s">
        <v>5481</v>
      </c>
      <c r="B1655" s="4" t="str">
        <f>C1655 &amp; "." &amp; D1655</f>
        <v>RoleSchemas.Name</v>
      </c>
      <c r="C1655" s="3" t="s">
        <v>5479</v>
      </c>
      <c r="D1655" s="3" t="s">
        <v>1</v>
      </c>
      <c r="E1655" s="3" t="s">
        <v>2420</v>
      </c>
      <c r="F1655" s="3" t="s">
        <v>2417</v>
      </c>
      <c r="G1655" s="3" t="s">
        <v>5482</v>
      </c>
      <c r="H1655" s="3"/>
      <c r="I1655" s="4" t="b">
        <f>OR(((E1655 = "calculated")=TRUE), ((E1655 = "lookup")=TRUE), ((E1655 = "aggregation")=TRUE))</f>
        <v>1</v>
      </c>
      <c r="J1655" s="4" t="b">
        <f>H1655 &lt;&gt; ""</f>
        <v>0</v>
      </c>
      <c r="K1655" s="4">
        <f>COUNTIFS(FieldDisagreements!D2:D50, A1655)</f>
        <v>0</v>
      </c>
      <c r="L1655" s="4" t="b">
        <f>K1655 &gt; 0</f>
        <v>0</v>
      </c>
      <c r="M1655" s="3" t="s">
        <v>2418</v>
      </c>
    </row>
    <row r="1656">
      <c r="A1656" s="3" t="s">
        <v>5483</v>
      </c>
      <c r="B1656" s="4" t="str">
        <f>C1656 &amp; "." &amp; D1656</f>
        <v>RoleSchemas.Principal</v>
      </c>
      <c r="C1656" s="3" t="s">
        <v>5479</v>
      </c>
      <c r="D1656" s="3" t="s">
        <v>5417</v>
      </c>
      <c r="E1656" s="3" t="s">
        <v>2465</v>
      </c>
      <c r="F1656" s="3" t="s">
        <v>2417</v>
      </c>
      <c r="G1656" s="3"/>
      <c r="H1656" s="3"/>
      <c r="I1656" s="4" t="b">
        <f>OR(((E1656 = "calculated")=TRUE), ((E1656 = "lookup")=TRUE), ((E1656 = "aggregation")=TRUE))</f>
        <v>0</v>
      </c>
      <c r="J1656" s="4" t="b">
        <f>H1656 &lt;&gt; ""</f>
        <v>0</v>
      </c>
      <c r="K1656" s="4">
        <f>COUNTIFS(FieldDisagreements!D2:D50, A1656)</f>
        <v>0</v>
      </c>
      <c r="L1656" s="4" t="b">
        <f>K1656 &gt; 0</f>
        <v>0</v>
      </c>
      <c r="M1656" s="3" t="s">
        <v>2418</v>
      </c>
    </row>
    <row r="1657">
      <c r="A1657" s="3" t="s">
        <v>5484</v>
      </c>
      <c r="B1657" s="4" t="str">
        <f>C1657 &amp; "." &amp; D1657</f>
        <v>RoleSchemas.SchemaName</v>
      </c>
      <c r="C1657" s="3" t="s">
        <v>5479</v>
      </c>
      <c r="D1657" s="3" t="s">
        <v>5388</v>
      </c>
      <c r="E1657" s="3" t="s">
        <v>2416</v>
      </c>
      <c r="F1657" s="3" t="s">
        <v>2417</v>
      </c>
      <c r="G1657" s="3"/>
      <c r="H1657" s="3"/>
      <c r="I1657" s="4" t="b">
        <f>OR(((E1657 = "calculated")=TRUE), ((E1657 = "lookup")=TRUE), ((E1657 = "aggregation")=TRUE))</f>
        <v>0</v>
      </c>
      <c r="J1657" s="4" t="b">
        <f>H1657 &lt;&gt; ""</f>
        <v>0</v>
      </c>
      <c r="K1657" s="4">
        <f>COUNTIFS(FieldDisagreements!D2:D50, A1657)</f>
        <v>0</v>
      </c>
      <c r="L1657" s="4" t="b">
        <f>K1657 &gt; 0</f>
        <v>0</v>
      </c>
      <c r="M1657" s="3" t="s">
        <v>2418</v>
      </c>
    </row>
    <row r="1658">
      <c r="A1658" s="3" t="s">
        <v>5485</v>
      </c>
      <c r="B1658" s="4" t="str">
        <f>C1658 &amp; "." &amp; D1658</f>
        <v>RoleSchemas.SearchPath</v>
      </c>
      <c r="C1658" s="3" t="s">
        <v>5479</v>
      </c>
      <c r="D1658" s="3" t="s">
        <v>5486</v>
      </c>
      <c r="E1658" s="3" t="s">
        <v>2420</v>
      </c>
      <c r="F1658" s="3" t="s">
        <v>2417</v>
      </c>
      <c r="G1658" s="3" t="s">
        <v>5482</v>
      </c>
      <c r="H1658" s="3"/>
      <c r="I1658" s="4" t="b">
        <f>OR(((E1658 = "calculated")=TRUE), ((E1658 = "lookup")=TRUE), ((E1658 = "aggregation")=TRUE))</f>
        <v>1</v>
      </c>
      <c r="J1658" s="4" t="b">
        <f>H1658 &lt;&gt; ""</f>
        <v>0</v>
      </c>
      <c r="K1658" s="4">
        <f>COUNTIFS(FieldDisagreements!D2:D50, A1658)</f>
        <v>0</v>
      </c>
      <c r="L1658" s="4" t="b">
        <f>K1658 &gt; 0</f>
        <v>0</v>
      </c>
      <c r="M1658" s="3" t="s">
        <v>2418</v>
      </c>
    </row>
    <row r="1659">
      <c r="A1659" s="3" t="s">
        <v>5487</v>
      </c>
      <c r="B1659" s="4" t="str">
        <f>C1659 &amp; "." &amp; D1659</f>
        <v>RoleSchemas.IsSealed</v>
      </c>
      <c r="C1659" s="3" t="s">
        <v>5479</v>
      </c>
      <c r="D1659" s="3" t="s">
        <v>5488</v>
      </c>
      <c r="E1659" s="3" t="s">
        <v>2416</v>
      </c>
      <c r="F1659" s="3" t="s">
        <v>2432</v>
      </c>
      <c r="G1659" s="3"/>
      <c r="H1659" s="3"/>
      <c r="I1659" s="4" t="b">
        <f>OR(((E1659 = "calculated")=TRUE), ((E1659 = "lookup")=TRUE), ((E1659 = "aggregation")=TRUE))</f>
        <v>0</v>
      </c>
      <c r="J1659" s="4" t="b">
        <f>H1659 &lt;&gt; ""</f>
        <v>0</v>
      </c>
      <c r="K1659" s="4">
        <f>COUNTIFS(FieldDisagreements!D2:D50, A1659)</f>
        <v>0</v>
      </c>
      <c r="L1659" s="4" t="b">
        <f>K1659 &gt; 0</f>
        <v>0</v>
      </c>
      <c r="M1659" s="3" t="s">
        <v>2418</v>
      </c>
    </row>
    <row r="1660">
      <c r="A1660" s="3" t="s">
        <v>5489</v>
      </c>
      <c r="B1660" s="4" t="str">
        <f>C1660 &amp; "." &amp; D1660</f>
        <v>RoleSchemas.ViewCount</v>
      </c>
      <c r="C1660" s="3" t="s">
        <v>5479</v>
      </c>
      <c r="D1660" s="3" t="s">
        <v>5490</v>
      </c>
      <c r="E1660" s="3" t="s">
        <v>2469</v>
      </c>
      <c r="F1660" s="3" t="s">
        <v>2475</v>
      </c>
      <c r="G1660" s="3" t="s">
        <v>5491</v>
      </c>
      <c r="H1660" s="3"/>
      <c r="I1660" s="4" t="b">
        <f>OR(((E1660 = "calculated")=TRUE), ((E1660 = "lookup")=TRUE), ((E1660 = "aggregation")=TRUE))</f>
        <v>1</v>
      </c>
      <c r="J1660" s="4" t="b">
        <f>H1660 &lt;&gt; ""</f>
        <v>0</v>
      </c>
      <c r="K1660" s="4">
        <f>COUNTIFS(FieldDisagreements!D2:D50, A1660)</f>
        <v>0</v>
      </c>
      <c r="L1660" s="4" t="b">
        <f>K1660 &gt; 0</f>
        <v>0</v>
      </c>
      <c r="M1660" s="3" t="s">
        <v>2418</v>
      </c>
    </row>
    <row r="1661">
      <c r="A1661" s="3" t="s">
        <v>5492</v>
      </c>
      <c r="B1661" s="4" t="str">
        <f>C1661 &amp; "." &amp; D1661</f>
        <v>RoleSchemas.IsEmptySchema</v>
      </c>
      <c r="C1661" s="3" t="s">
        <v>5479</v>
      </c>
      <c r="D1661" s="3" t="s">
        <v>5493</v>
      </c>
      <c r="E1661" s="3" t="s">
        <v>2420</v>
      </c>
      <c r="F1661" s="3" t="s">
        <v>2432</v>
      </c>
      <c r="G1661" s="3" t="s">
        <v>5494</v>
      </c>
      <c r="H1661" s="3"/>
      <c r="I1661" s="4" t="b">
        <f>OR(((E1661 = "calculated")=TRUE), ((E1661 = "lookup")=TRUE), ((E1661 = "aggregation")=TRUE))</f>
        <v>1</v>
      </c>
      <c r="J1661" s="4" t="b">
        <f>H1661 &lt;&gt; ""</f>
        <v>0</v>
      </c>
      <c r="K1661" s="4">
        <f>COUNTIFS(FieldDisagreements!D2:D50, A1661)</f>
        <v>0</v>
      </c>
      <c r="L1661" s="4" t="b">
        <f>K1661 &gt; 0</f>
        <v>0</v>
      </c>
      <c r="M1661" s="3" t="s">
        <v>2418</v>
      </c>
    </row>
    <row r="1662">
      <c r="A1662" s="3" t="s">
        <v>5495</v>
      </c>
      <c r="B1662" s="4" t="str">
        <f>C1662 &amp; "." &amp; D1662</f>
        <v>RoleSchemas.SemanticTypeIri</v>
      </c>
      <c r="C1662" s="3" t="s">
        <v>5479</v>
      </c>
      <c r="D1662" s="3" t="s">
        <v>94</v>
      </c>
      <c r="E1662" s="3" t="s">
        <v>2416</v>
      </c>
      <c r="F1662" s="3" t="s">
        <v>2417</v>
      </c>
      <c r="G1662" s="3"/>
      <c r="H1662" s="3"/>
      <c r="I1662" s="4" t="b">
        <f>OR(((E1662 = "calculated")=TRUE), ((E1662 = "lookup")=TRUE), ((E1662 = "aggregation")=TRUE))</f>
        <v>0</v>
      </c>
      <c r="J1662" s="4" t="b">
        <f>H1662 &lt;&gt; ""</f>
        <v>0</v>
      </c>
      <c r="K1662" s="4">
        <f>COUNTIFS(FieldDisagreements!D2:D50, A1662)</f>
        <v>0</v>
      </c>
      <c r="L1662" s="4" t="b">
        <f>K1662 &gt; 0</f>
        <v>0</v>
      </c>
      <c r="M1662" s="3" t="s">
        <v>2418</v>
      </c>
    </row>
    <row r="1663">
      <c r="A1663" s="3" t="s">
        <v>5496</v>
      </c>
      <c r="B1663" s="4" t="str">
        <f>C1663 &amp; "." &amp; D1663</f>
        <v>RoleSchemaViews.RoleSchemaViewId</v>
      </c>
      <c r="C1663" s="3" t="s">
        <v>5497</v>
      </c>
      <c r="D1663" s="3" t="s">
        <v>5498</v>
      </c>
      <c r="E1663" s="3" t="s">
        <v>2416</v>
      </c>
      <c r="F1663" s="3" t="s">
        <v>2417</v>
      </c>
      <c r="G1663" s="3"/>
      <c r="H1663" s="3"/>
      <c r="I1663" s="4" t="b">
        <f>OR(((E1663 = "calculated")=TRUE), ((E1663 = "lookup")=TRUE), ((E1663 = "aggregation")=TRUE))</f>
        <v>0</v>
      </c>
      <c r="J1663" s="4" t="b">
        <f>H1663 &lt;&gt; ""</f>
        <v>0</v>
      </c>
      <c r="K1663" s="4">
        <f>COUNTIFS(FieldDisagreements!D2:D50, A1663)</f>
        <v>0</v>
      </c>
      <c r="L1663" s="4" t="b">
        <f>K1663 &gt; 0</f>
        <v>0</v>
      </c>
      <c r="M1663" s="3" t="s">
        <v>2418</v>
      </c>
    </row>
    <row r="1664">
      <c r="A1664" s="3" t="s">
        <v>5499</v>
      </c>
      <c r="B1664" s="4" t="str">
        <f>C1664 &amp; "." &amp; D1664</f>
        <v>RoleSchemaViews.Name</v>
      </c>
      <c r="C1664" s="3" t="s">
        <v>5497</v>
      </c>
      <c r="D1664" s="3" t="s">
        <v>1</v>
      </c>
      <c r="E1664" s="3" t="s">
        <v>2420</v>
      </c>
      <c r="F1664" s="3" t="s">
        <v>2417</v>
      </c>
      <c r="G1664" s="3" t="s">
        <v>5500</v>
      </c>
      <c r="H1664" s="3"/>
      <c r="I1664" s="4" t="b">
        <f>OR(((E1664 = "calculated")=TRUE), ((E1664 = "lookup")=TRUE), ((E1664 = "aggregation")=TRUE))</f>
        <v>1</v>
      </c>
      <c r="J1664" s="4" t="b">
        <f>H1664 &lt;&gt; ""</f>
        <v>0</v>
      </c>
      <c r="K1664" s="4">
        <f>COUNTIFS(FieldDisagreements!D2:D50, A1664)</f>
        <v>0</v>
      </c>
      <c r="L1664" s="4" t="b">
        <f>K1664 &gt; 0</f>
        <v>0</v>
      </c>
      <c r="M1664" s="3" t="s">
        <v>2418</v>
      </c>
    </row>
    <row r="1665">
      <c r="A1665" s="3" t="s">
        <v>5501</v>
      </c>
      <c r="B1665" s="4" t="str">
        <f>C1665 &amp; "." &amp; D1665</f>
        <v>RoleSchemaViews.RoleSchema</v>
      </c>
      <c r="C1665" s="3" t="s">
        <v>5497</v>
      </c>
      <c r="D1665" s="3" t="s">
        <v>5502</v>
      </c>
      <c r="E1665" s="3" t="s">
        <v>2465</v>
      </c>
      <c r="F1665" s="3" t="s">
        <v>2417</v>
      </c>
      <c r="G1665" s="3"/>
      <c r="H1665" s="3"/>
      <c r="I1665" s="4" t="b">
        <f>OR(((E1665 = "calculated")=TRUE), ((E1665 = "lookup")=TRUE), ((E1665 = "aggregation")=TRUE))</f>
        <v>0</v>
      </c>
      <c r="J1665" s="4" t="b">
        <f>H1665 &lt;&gt; ""</f>
        <v>0</v>
      </c>
      <c r="K1665" s="4">
        <f>COUNTIFS(FieldDisagreements!D2:D50, A1665)</f>
        <v>0</v>
      </c>
      <c r="L1665" s="4" t="b">
        <f>K1665 &gt; 0</f>
        <v>0</v>
      </c>
      <c r="M1665" s="3" t="s">
        <v>2418</v>
      </c>
    </row>
    <row r="1666">
      <c r="A1666" s="3" t="s">
        <v>5503</v>
      </c>
      <c r="B1666" s="4" t="str">
        <f>C1666 &amp; "." &amp; D1666</f>
        <v>RoleSchemaViews.Principal</v>
      </c>
      <c r="C1666" s="3" t="s">
        <v>5497</v>
      </c>
      <c r="D1666" s="3" t="s">
        <v>5417</v>
      </c>
      <c r="E1666" s="3" t="s">
        <v>2465</v>
      </c>
      <c r="F1666" s="3" t="s">
        <v>2417</v>
      </c>
      <c r="G1666" s="3"/>
      <c r="H1666" s="3"/>
      <c r="I1666" s="4" t="b">
        <f>OR(((E1666 = "calculated")=TRUE), ((E1666 = "lookup")=TRUE), ((E1666 = "aggregation")=TRUE))</f>
        <v>0</v>
      </c>
      <c r="J1666" s="4" t="b">
        <f>H1666 &lt;&gt; ""</f>
        <v>0</v>
      </c>
      <c r="K1666" s="4">
        <f>COUNTIFS(FieldDisagreements!D2:D50, A1666)</f>
        <v>0</v>
      </c>
      <c r="L1666" s="4" t="b">
        <f>K1666 &gt; 0</f>
        <v>0</v>
      </c>
      <c r="M1666" s="3" t="s">
        <v>2418</v>
      </c>
    </row>
    <row r="1667">
      <c r="A1667" s="3" t="s">
        <v>5504</v>
      </c>
      <c r="B1667" s="4" t="str">
        <f>C1667 &amp; "." &amp; D1667</f>
        <v>RoleSchemaViews.TargetTable</v>
      </c>
      <c r="C1667" s="3" t="s">
        <v>5497</v>
      </c>
      <c r="D1667" s="3" t="s">
        <v>2404</v>
      </c>
      <c r="E1667" s="3" t="s">
        <v>2465</v>
      </c>
      <c r="F1667" s="3" t="s">
        <v>2417</v>
      </c>
      <c r="G1667" s="3"/>
      <c r="H1667" s="3"/>
      <c r="I1667" s="4" t="b">
        <f>OR(((E1667 = "calculated")=TRUE), ((E1667 = "lookup")=TRUE), ((E1667 = "aggregation")=TRUE))</f>
        <v>0</v>
      </c>
      <c r="J1667" s="4" t="b">
        <f>H1667 &lt;&gt; ""</f>
        <v>0</v>
      </c>
      <c r="K1667" s="4">
        <f>COUNTIFS(FieldDisagreements!D2:D50, A1667)</f>
        <v>0</v>
      </c>
      <c r="L1667" s="4" t="b">
        <f>K1667 &gt; 0</f>
        <v>0</v>
      </c>
      <c r="M1667" s="3" t="s">
        <v>2418</v>
      </c>
    </row>
    <row r="1668">
      <c r="A1668" s="3" t="s">
        <v>5505</v>
      </c>
      <c r="B1668" s="4" t="str">
        <f>C1668 &amp; "." &amp; D1668</f>
        <v>RoleSchemaViews.ViewName</v>
      </c>
      <c r="C1668" s="3" t="s">
        <v>5497</v>
      </c>
      <c r="D1668" s="3" t="s">
        <v>5506</v>
      </c>
      <c r="E1668" s="3" t="s">
        <v>2416</v>
      </c>
      <c r="F1668" s="3" t="s">
        <v>2417</v>
      </c>
      <c r="G1668" s="3"/>
      <c r="H1668" s="3"/>
      <c r="I1668" s="4" t="b">
        <f>OR(((E1668 = "calculated")=TRUE), ((E1668 = "lookup")=TRUE), ((E1668 = "aggregation")=TRUE))</f>
        <v>0</v>
      </c>
      <c r="J1668" s="4" t="b">
        <f>H1668 &lt;&gt; ""</f>
        <v>0</v>
      </c>
      <c r="K1668" s="4">
        <f>COUNTIFS(FieldDisagreements!D2:D50, A1668)</f>
        <v>0</v>
      </c>
      <c r="L1668" s="4" t="b">
        <f>K1668 &gt; 0</f>
        <v>0</v>
      </c>
      <c r="M1668" s="3" t="s">
        <v>2418</v>
      </c>
    </row>
    <row r="1669">
      <c r="A1669" s="3" t="s">
        <v>5507</v>
      </c>
      <c r="B1669" s="4" t="str">
        <f>C1669 &amp; "." &amp; D1669</f>
        <v>RoleSchemaViews.SchemaName</v>
      </c>
      <c r="C1669" s="3" t="s">
        <v>5497</v>
      </c>
      <c r="D1669" s="3" t="s">
        <v>5388</v>
      </c>
      <c r="E1669" s="3" t="s">
        <v>2509</v>
      </c>
      <c r="F1669" s="3" t="s">
        <v>2417</v>
      </c>
      <c r="G1669" s="3" t="s">
        <v>5508</v>
      </c>
      <c r="H1669" s="3"/>
      <c r="I1669" s="4" t="b">
        <f>OR(((E1669 = "calculated")=TRUE), ((E1669 = "lookup")=TRUE), ((E1669 = "aggregation")=TRUE))</f>
        <v>1</v>
      </c>
      <c r="J1669" s="4" t="b">
        <f>H1669 &lt;&gt; ""</f>
        <v>0</v>
      </c>
      <c r="K1669" s="4">
        <f>COUNTIFS(FieldDisagreements!D2:D50, A1669)</f>
        <v>0</v>
      </c>
      <c r="L1669" s="4" t="b">
        <f>K1669 &gt; 0</f>
        <v>0</v>
      </c>
      <c r="M1669" s="3" t="s">
        <v>2418</v>
      </c>
    </row>
    <row r="1670">
      <c r="A1670" s="3" t="s">
        <v>5509</v>
      </c>
      <c r="B1670" s="4" t="str">
        <f>C1670 &amp; "." &amp; D1670</f>
        <v>RoleSchemaViews.SourceView</v>
      </c>
      <c r="C1670" s="3" t="s">
        <v>5497</v>
      </c>
      <c r="D1670" s="3" t="s">
        <v>5510</v>
      </c>
      <c r="E1670" s="3" t="s">
        <v>2509</v>
      </c>
      <c r="F1670" s="3" t="s">
        <v>2417</v>
      </c>
      <c r="G1670" s="3" t="s">
        <v>5511</v>
      </c>
      <c r="H1670" s="3"/>
      <c r="I1670" s="4" t="b">
        <f>OR(((E1670 = "calculated")=TRUE), ((E1670 = "lookup")=TRUE), ((E1670 = "aggregation")=TRUE))</f>
        <v>1</v>
      </c>
      <c r="J1670" s="4" t="b">
        <f>H1670 &lt;&gt; ""</f>
        <v>0</v>
      </c>
      <c r="K1670" s="4">
        <f>COUNTIFS(FieldDisagreements!D2:D50, A1670)</f>
        <v>0</v>
      </c>
      <c r="L1670" s="4" t="b">
        <f>K1670 &gt; 0</f>
        <v>0</v>
      </c>
      <c r="M1670" s="3" t="s">
        <v>2418</v>
      </c>
    </row>
    <row r="1671">
      <c r="A1671" s="3" t="s">
        <v>5512</v>
      </c>
      <c r="B1671" s="4" t="str">
        <f>C1671 &amp; "." &amp; D1671</f>
        <v>RoleSchemaViews.GrantKey</v>
      </c>
      <c r="C1671" s="3" t="s">
        <v>5497</v>
      </c>
      <c r="D1671" s="3" t="s">
        <v>5513</v>
      </c>
      <c r="E1671" s="3" t="s">
        <v>2420</v>
      </c>
      <c r="F1671" s="3" t="s">
        <v>2417</v>
      </c>
      <c r="G1671" s="3" t="s">
        <v>5514</v>
      </c>
      <c r="H1671" s="3"/>
      <c r="I1671" s="4" t="b">
        <f>OR(((E1671 = "calculated")=TRUE), ((E1671 = "lookup")=TRUE), ((E1671 = "aggregation")=TRUE))</f>
        <v>1</v>
      </c>
      <c r="J1671" s="4" t="b">
        <f>H1671 &lt;&gt; ""</f>
        <v>0</v>
      </c>
      <c r="K1671" s="4">
        <f>COUNTIFS(FieldDisagreements!D2:D50, A1671)</f>
        <v>0</v>
      </c>
      <c r="L1671" s="4" t="b">
        <f>K1671 &gt; 0</f>
        <v>0</v>
      </c>
      <c r="M1671" s="3" t="s">
        <v>2418</v>
      </c>
    </row>
    <row r="1672">
      <c r="A1672" s="3" t="s">
        <v>5515</v>
      </c>
      <c r="B1672" s="4" t="str">
        <f>C1672 &amp; "." &amp; D1672</f>
        <v>RoleSchemaViews.ColumnCount</v>
      </c>
      <c r="C1672" s="3" t="s">
        <v>5497</v>
      </c>
      <c r="D1672" s="3" t="s">
        <v>5516</v>
      </c>
      <c r="E1672" s="3" t="s">
        <v>2469</v>
      </c>
      <c r="F1672" s="3" t="s">
        <v>2475</v>
      </c>
      <c r="G1672" s="3" t="s">
        <v>5517</v>
      </c>
      <c r="H1672" s="3"/>
      <c r="I1672" s="4" t="b">
        <f>OR(((E1672 = "calculated")=TRUE), ((E1672 = "lookup")=TRUE), ((E1672 = "aggregation")=TRUE))</f>
        <v>1</v>
      </c>
      <c r="J1672" s="4" t="b">
        <f>H1672 &lt;&gt; ""</f>
        <v>0</v>
      </c>
      <c r="K1672" s="4">
        <f>COUNTIFS(FieldDisagreements!D2:D50, A1672)</f>
        <v>0</v>
      </c>
      <c r="L1672" s="4" t="b">
        <f>K1672 &gt; 0</f>
        <v>0</v>
      </c>
      <c r="M1672" s="3" t="s">
        <v>2418</v>
      </c>
    </row>
    <row r="1673">
      <c r="A1673" s="3" t="s">
        <v>5518</v>
      </c>
      <c r="B1673" s="4" t="str">
        <f>C1673 &amp; "." &amp; D1673</f>
        <v>RoleSchemaViews.TableFieldCount</v>
      </c>
      <c r="C1673" s="3" t="s">
        <v>5497</v>
      </c>
      <c r="D1673" s="3" t="s">
        <v>5519</v>
      </c>
      <c r="E1673" s="3" t="s">
        <v>2509</v>
      </c>
      <c r="F1673" s="3" t="s">
        <v>2475</v>
      </c>
      <c r="G1673" s="3" t="s">
        <v>5520</v>
      </c>
      <c r="H1673" s="3"/>
      <c r="I1673" s="4" t="b">
        <f>OR(((E1673 = "calculated")=TRUE), ((E1673 = "lookup")=TRUE), ((E1673 = "aggregation")=TRUE))</f>
        <v>1</v>
      </c>
      <c r="J1673" s="4" t="b">
        <f>H1673 &lt;&gt; ""</f>
        <v>0</v>
      </c>
      <c r="K1673" s="4">
        <f>COUNTIFS(FieldDisagreements!D2:D50, A1673)</f>
        <v>0</v>
      </c>
      <c r="L1673" s="4" t="b">
        <f>K1673 &gt; 0</f>
        <v>0</v>
      </c>
      <c r="M1673" s="3" t="s">
        <v>2418</v>
      </c>
    </row>
    <row r="1674">
      <c r="A1674" s="3" t="s">
        <v>5521</v>
      </c>
      <c r="B1674" s="4" t="str">
        <f>C1674 &amp; "." &amp; D1674</f>
        <v>RoleSchemaViews.IsFullWidth</v>
      </c>
      <c r="C1674" s="3" t="s">
        <v>5497</v>
      </c>
      <c r="D1674" s="3" t="s">
        <v>5522</v>
      </c>
      <c r="E1674" s="3" t="s">
        <v>2420</v>
      </c>
      <c r="F1674" s="3" t="s">
        <v>2432</v>
      </c>
      <c r="G1674" s="3" t="s">
        <v>5523</v>
      </c>
      <c r="H1674" s="3"/>
      <c r="I1674" s="4" t="b">
        <f>OR(((E1674 = "calculated")=TRUE), ((E1674 = "lookup")=TRUE), ((E1674 = "aggregation")=TRUE))</f>
        <v>1</v>
      </c>
      <c r="J1674" s="4" t="b">
        <f>H1674 &lt;&gt; ""</f>
        <v>0</v>
      </c>
      <c r="K1674" s="4">
        <f>COUNTIFS(FieldDisagreements!D2:D50, A1674)</f>
        <v>0</v>
      </c>
      <c r="L1674" s="4" t="b">
        <f>K1674 &gt; 0</f>
        <v>0</v>
      </c>
      <c r="M1674" s="3" t="s">
        <v>2418</v>
      </c>
    </row>
    <row r="1675">
      <c r="A1675" s="3" t="s">
        <v>5524</v>
      </c>
      <c r="B1675" s="4" t="str">
        <f>C1675 &amp; "." &amp; D1675</f>
        <v>RoleSchemaViews.IsDegenerateView</v>
      </c>
      <c r="C1675" s="3" t="s">
        <v>5497</v>
      </c>
      <c r="D1675" s="3" t="s">
        <v>5525</v>
      </c>
      <c r="E1675" s="3" t="s">
        <v>2420</v>
      </c>
      <c r="F1675" s="3" t="s">
        <v>2432</v>
      </c>
      <c r="G1675" s="3" t="s">
        <v>5526</v>
      </c>
      <c r="H1675" s="3"/>
      <c r="I1675" s="4" t="b">
        <f>OR(((E1675 = "calculated")=TRUE), ((E1675 = "lookup")=TRUE), ((E1675 = "aggregation")=TRUE))</f>
        <v>1</v>
      </c>
      <c r="J1675" s="4" t="b">
        <f>H1675 &lt;&gt; ""</f>
        <v>0</v>
      </c>
      <c r="K1675" s="4">
        <f>COUNTIFS(FieldDisagreements!D2:D50, A1675)</f>
        <v>0</v>
      </c>
      <c r="L1675" s="4" t="b">
        <f>K1675 &gt; 0</f>
        <v>0</v>
      </c>
      <c r="M1675" s="3" t="s">
        <v>2418</v>
      </c>
    </row>
    <row r="1676">
      <c r="A1676" s="3" t="s">
        <v>5527</v>
      </c>
      <c r="B1676" s="4" t="str">
        <f>C1676 &amp; "." &amp; D1676</f>
        <v>RoleSchemaViews.SemanticTypeIri</v>
      </c>
      <c r="C1676" s="3" t="s">
        <v>5497</v>
      </c>
      <c r="D1676" s="3" t="s">
        <v>94</v>
      </c>
      <c r="E1676" s="3" t="s">
        <v>2416</v>
      </c>
      <c r="F1676" s="3" t="s">
        <v>2417</v>
      </c>
      <c r="G1676" s="3"/>
      <c r="H1676" s="3"/>
      <c r="I1676" s="4" t="b">
        <f>OR(((E1676 = "calculated")=TRUE), ((E1676 = "lookup")=TRUE), ((E1676 = "aggregation")=TRUE))</f>
        <v>0</v>
      </c>
      <c r="J1676" s="4" t="b">
        <f>H1676 &lt;&gt; ""</f>
        <v>0</v>
      </c>
      <c r="K1676" s="4">
        <f>COUNTIFS(FieldDisagreements!D2:D50, A1676)</f>
        <v>0</v>
      </c>
      <c r="L1676" s="4" t="b">
        <f>K1676 &gt; 0</f>
        <v>0</v>
      </c>
      <c r="M1676" s="3" t="s">
        <v>2418</v>
      </c>
    </row>
    <row r="1677">
      <c r="A1677" s="3" t="s">
        <v>5528</v>
      </c>
      <c r="B1677" s="4" t="str">
        <f>C1677 &amp; "." &amp; D1677</f>
        <v>JwtClaimMappings.JwtClaimMappingId</v>
      </c>
      <c r="C1677" s="3" t="s">
        <v>5529</v>
      </c>
      <c r="D1677" s="3" t="s">
        <v>5530</v>
      </c>
      <c r="E1677" s="3" t="s">
        <v>2416</v>
      </c>
      <c r="F1677" s="3" t="s">
        <v>2417</v>
      </c>
      <c r="G1677" s="3"/>
      <c r="H1677" s="3"/>
      <c r="I1677" s="4" t="b">
        <f>OR(((E1677 = "calculated")=TRUE), ((E1677 = "lookup")=TRUE), ((E1677 = "aggregation")=TRUE))</f>
        <v>0</v>
      </c>
      <c r="J1677" s="4" t="b">
        <f>H1677 &lt;&gt; ""</f>
        <v>0</v>
      </c>
      <c r="K1677" s="4">
        <f>COUNTIFS(FieldDisagreements!D2:D50, A1677)</f>
        <v>0</v>
      </c>
      <c r="L1677" s="4" t="b">
        <f>K1677 &gt; 0</f>
        <v>0</v>
      </c>
      <c r="M1677" s="3" t="s">
        <v>2418</v>
      </c>
    </row>
    <row r="1678">
      <c r="A1678" s="3" t="s">
        <v>5531</v>
      </c>
      <c r="B1678" s="4" t="str">
        <f>C1678 &amp; "." &amp; D1678</f>
        <v>JwtClaimMappings.Name</v>
      </c>
      <c r="C1678" s="3" t="s">
        <v>5529</v>
      </c>
      <c r="D1678" s="3" t="s">
        <v>1</v>
      </c>
      <c r="E1678" s="3" t="s">
        <v>2420</v>
      </c>
      <c r="F1678" s="3" t="s">
        <v>2417</v>
      </c>
      <c r="G1678" s="3" t="s">
        <v>5532</v>
      </c>
      <c r="H1678" s="3"/>
      <c r="I1678" s="4" t="b">
        <f>OR(((E1678 = "calculated")=TRUE), ((E1678 = "lookup")=TRUE), ((E1678 = "aggregation")=TRUE))</f>
        <v>1</v>
      </c>
      <c r="J1678" s="4" t="b">
        <f>H1678 &lt;&gt; ""</f>
        <v>0</v>
      </c>
      <c r="K1678" s="4">
        <f>COUNTIFS(FieldDisagreements!D2:D50, A1678)</f>
        <v>0</v>
      </c>
      <c r="L1678" s="4" t="b">
        <f>K1678 &gt; 0</f>
        <v>0</v>
      </c>
      <c r="M1678" s="3" t="s">
        <v>2418</v>
      </c>
    </row>
    <row r="1679">
      <c r="A1679" s="3" t="s">
        <v>5533</v>
      </c>
      <c r="B1679" s="4" t="str">
        <f>C1679 &amp; "." &amp; D1679</f>
        <v>JwtClaimMappings.ClaimName</v>
      </c>
      <c r="C1679" s="3" t="s">
        <v>5529</v>
      </c>
      <c r="D1679" s="3" t="s">
        <v>5534</v>
      </c>
      <c r="E1679" s="3" t="s">
        <v>2416</v>
      </c>
      <c r="F1679" s="3" t="s">
        <v>2417</v>
      </c>
      <c r="G1679" s="3"/>
      <c r="H1679" s="3"/>
      <c r="I1679" s="4" t="b">
        <f>OR(((E1679 = "calculated")=TRUE), ((E1679 = "lookup")=TRUE), ((E1679 = "aggregation")=TRUE))</f>
        <v>0</v>
      </c>
      <c r="J1679" s="4" t="b">
        <f>H1679 &lt;&gt; ""</f>
        <v>0</v>
      </c>
      <c r="K1679" s="4">
        <f>COUNTIFS(FieldDisagreements!D2:D50, A1679)</f>
        <v>0</v>
      </c>
      <c r="L1679" s="4" t="b">
        <f>K1679 &gt; 0</f>
        <v>0</v>
      </c>
      <c r="M1679" s="3" t="s">
        <v>2418</v>
      </c>
    </row>
    <row r="1680">
      <c r="A1680" s="3" t="s">
        <v>5535</v>
      </c>
      <c r="B1680" s="4" t="str">
        <f>C1680 &amp; "." &amp; D1680</f>
        <v>JwtClaimMappings.SqlAccessor</v>
      </c>
      <c r="C1680" s="3" t="s">
        <v>5529</v>
      </c>
      <c r="D1680" s="3" t="s">
        <v>5536</v>
      </c>
      <c r="E1680" s="3" t="s">
        <v>2416</v>
      </c>
      <c r="F1680" s="3" t="s">
        <v>2417</v>
      </c>
      <c r="G1680" s="3"/>
      <c r="H1680" s="3"/>
      <c r="I1680" s="4" t="b">
        <f>OR(((E1680 = "calculated")=TRUE), ((E1680 = "lookup")=TRUE), ((E1680 = "aggregation")=TRUE))</f>
        <v>0</v>
      </c>
      <c r="J1680" s="4" t="b">
        <f>H1680 &lt;&gt; ""</f>
        <v>0</v>
      </c>
      <c r="K1680" s="4">
        <f>COUNTIFS(FieldDisagreements!D2:D50, A1680)</f>
        <v>0</v>
      </c>
      <c r="L1680" s="4" t="b">
        <f>K1680 &gt; 0</f>
        <v>0</v>
      </c>
      <c r="M1680" s="3" t="s">
        <v>2418</v>
      </c>
    </row>
    <row r="1681">
      <c r="A1681" s="3" t="s">
        <v>5537</v>
      </c>
      <c r="B1681" s="4" t="str">
        <f>C1681 &amp; "." &amp; D1681</f>
        <v>JwtClaimMappings.IsReservedClaim</v>
      </c>
      <c r="C1681" s="3" t="s">
        <v>5529</v>
      </c>
      <c r="D1681" s="3" t="s">
        <v>5538</v>
      </c>
      <c r="E1681" s="3" t="s">
        <v>2416</v>
      </c>
      <c r="F1681" s="3" t="s">
        <v>2432</v>
      </c>
      <c r="G1681" s="3"/>
      <c r="H1681" s="3"/>
      <c r="I1681" s="4" t="b">
        <f>OR(((E1681 = "calculated")=TRUE), ((E1681 = "lookup")=TRUE), ((E1681 = "aggregation")=TRUE))</f>
        <v>0</v>
      </c>
      <c r="J1681" s="4" t="b">
        <f>H1681 &lt;&gt; ""</f>
        <v>0</v>
      </c>
      <c r="K1681" s="4">
        <f>COUNTIFS(FieldDisagreements!D2:D50, A1681)</f>
        <v>0</v>
      </c>
      <c r="L1681" s="4" t="b">
        <f>K1681 &gt; 0</f>
        <v>0</v>
      </c>
      <c r="M1681" s="3" t="s">
        <v>2418</v>
      </c>
    </row>
    <row r="1682">
      <c r="A1682" s="3" t="s">
        <v>5539</v>
      </c>
      <c r="B1682" s="4" t="str">
        <f>C1682 &amp; "." &amp; D1682</f>
        <v>JwtClaimMappings.MapsToPrincipal</v>
      </c>
      <c r="C1682" s="3" t="s">
        <v>5529</v>
      </c>
      <c r="D1682" s="3" t="s">
        <v>5540</v>
      </c>
      <c r="E1682" s="3" t="s">
        <v>2416</v>
      </c>
      <c r="F1682" s="3" t="s">
        <v>2432</v>
      </c>
      <c r="G1682" s="3"/>
      <c r="H1682" s="3"/>
      <c r="I1682" s="4" t="b">
        <f>OR(((E1682 = "calculated")=TRUE), ((E1682 = "lookup")=TRUE), ((E1682 = "aggregation")=TRUE))</f>
        <v>0</v>
      </c>
      <c r="J1682" s="4" t="b">
        <f>H1682 &lt;&gt; ""</f>
        <v>0</v>
      </c>
      <c r="K1682" s="4">
        <f>COUNTIFS(FieldDisagreements!D2:D50, A1682)</f>
        <v>0</v>
      </c>
      <c r="L1682" s="4" t="b">
        <f>K1682 &gt; 0</f>
        <v>0</v>
      </c>
      <c r="M1682" s="3" t="s">
        <v>2418</v>
      </c>
    </row>
    <row r="1683">
      <c r="A1683" s="3" t="s">
        <v>5541</v>
      </c>
      <c r="B1683" s="4" t="str">
        <f>C1683 &amp; "." &amp; D1683</f>
        <v>JwtClaimMappings.Description2</v>
      </c>
      <c r="C1683" s="3" t="s">
        <v>5529</v>
      </c>
      <c r="D1683" s="3" t="s">
        <v>5542</v>
      </c>
      <c r="E1683" s="3" t="s">
        <v>2416</v>
      </c>
      <c r="F1683" s="3" t="s">
        <v>2417</v>
      </c>
      <c r="G1683" s="3"/>
      <c r="H1683" s="3"/>
      <c r="I1683" s="4" t="b">
        <f>OR(((E1683 = "calculated")=TRUE), ((E1683 = "lookup")=TRUE), ((E1683 = "aggregation")=TRUE))</f>
        <v>0</v>
      </c>
      <c r="J1683" s="4" t="b">
        <f>H1683 &lt;&gt; ""</f>
        <v>0</v>
      </c>
      <c r="K1683" s="4">
        <f>COUNTIFS(FieldDisagreements!D2:D50, A1683)</f>
        <v>0</v>
      </c>
      <c r="L1683" s="4" t="b">
        <f>K1683 &gt; 0</f>
        <v>0</v>
      </c>
      <c r="M1683" s="3" t="s">
        <v>2418</v>
      </c>
    </row>
    <row r="1684">
      <c r="A1684" s="3" t="s">
        <v>5543</v>
      </c>
      <c r="B1684" s="4" t="str">
        <f>C1684 &amp; "." &amp; D1684</f>
        <v>JwtClaimMappings.UsageCount</v>
      </c>
      <c r="C1684" s="3" t="s">
        <v>5529</v>
      </c>
      <c r="D1684" s="3" t="s">
        <v>5544</v>
      </c>
      <c r="E1684" s="3" t="s">
        <v>2469</v>
      </c>
      <c r="F1684" s="3" t="s">
        <v>2475</v>
      </c>
      <c r="G1684" s="3" t="s">
        <v>5545</v>
      </c>
      <c r="H1684" s="3"/>
      <c r="I1684" s="4" t="b">
        <f>OR(((E1684 = "calculated")=TRUE), ((E1684 = "lookup")=TRUE), ((E1684 = "aggregation")=TRUE))</f>
        <v>1</v>
      </c>
      <c r="J1684" s="4" t="b">
        <f>H1684 &lt;&gt; ""</f>
        <v>0</v>
      </c>
      <c r="K1684" s="4">
        <f>COUNTIFS(FieldDisagreements!D2:D50, A1684)</f>
        <v>0</v>
      </c>
      <c r="L1684" s="4" t="b">
        <f>K1684 &gt; 0</f>
        <v>0</v>
      </c>
      <c r="M1684" s="3" t="s">
        <v>2418</v>
      </c>
    </row>
    <row r="1685">
      <c r="A1685" s="3" t="s">
        <v>5546</v>
      </c>
      <c r="B1685" s="4" t="str">
        <f>C1685 &amp; "." &amp; D1685</f>
        <v>JwtClaimMappings.SemanticTypeIri</v>
      </c>
      <c r="C1685" s="3" t="s">
        <v>5529</v>
      </c>
      <c r="D1685" s="3" t="s">
        <v>94</v>
      </c>
      <c r="E1685" s="3" t="s">
        <v>2416</v>
      </c>
      <c r="F1685" s="3" t="s">
        <v>2417</v>
      </c>
      <c r="G1685" s="3"/>
      <c r="H1685" s="3"/>
      <c r="I1685" s="4" t="b">
        <f>OR(((E1685 = "calculated")=TRUE), ((E1685 = "lookup")=TRUE), ((E1685 = "aggregation")=TRUE))</f>
        <v>0</v>
      </c>
      <c r="J1685" s="4" t="b">
        <f>H1685 &lt;&gt; ""</f>
        <v>0</v>
      </c>
      <c r="K1685" s="4">
        <f>COUNTIFS(FieldDisagreements!D2:D50, A1685)</f>
        <v>0</v>
      </c>
      <c r="L1685" s="4" t="b">
        <f>K1685 &gt; 0</f>
        <v>0</v>
      </c>
      <c r="M1685" s="3" t="s">
        <v>2418</v>
      </c>
    </row>
    <row r="1686">
      <c r="A1686" s="3" t="s">
        <v>5547</v>
      </c>
      <c r="B1686" s="4" t="str">
        <f>C1686 &amp; "." &amp; D1686</f>
        <v>AccessDenialTests.AccessDenialTestId</v>
      </c>
      <c r="C1686" s="3" t="s">
        <v>5548</v>
      </c>
      <c r="D1686" s="3" t="s">
        <v>5549</v>
      </c>
      <c r="E1686" s="3" t="s">
        <v>2416</v>
      </c>
      <c r="F1686" s="3" t="s">
        <v>2417</v>
      </c>
      <c r="G1686" s="3"/>
      <c r="H1686" s="3"/>
      <c r="I1686" s="4" t="b">
        <f>OR(((E1686 = "calculated")=TRUE), ((E1686 = "lookup")=TRUE), ((E1686 = "aggregation")=TRUE))</f>
        <v>0</v>
      </c>
      <c r="J1686" s="4" t="b">
        <f>H1686 &lt;&gt; ""</f>
        <v>0</v>
      </c>
      <c r="K1686" s="4">
        <f>COUNTIFS(FieldDisagreements!D2:D50, A1686)</f>
        <v>0</v>
      </c>
      <c r="L1686" s="4" t="b">
        <f>K1686 &gt; 0</f>
        <v>0</v>
      </c>
      <c r="M1686" s="3" t="s">
        <v>2418</v>
      </c>
    </row>
    <row r="1687">
      <c r="A1687" s="3" t="s">
        <v>5550</v>
      </c>
      <c r="B1687" s="4" t="str">
        <f>C1687 &amp; "." &amp; D1687</f>
        <v>AccessDenialTests.Name</v>
      </c>
      <c r="C1687" s="3" t="s">
        <v>5548</v>
      </c>
      <c r="D1687" s="3" t="s">
        <v>1</v>
      </c>
      <c r="E1687" s="3" t="s">
        <v>2420</v>
      </c>
      <c r="F1687" s="3" t="s">
        <v>2417</v>
      </c>
      <c r="G1687" s="3" t="s">
        <v>5551</v>
      </c>
      <c r="H1687" s="3"/>
      <c r="I1687" s="4" t="b">
        <f>OR(((E1687 = "calculated")=TRUE), ((E1687 = "lookup")=TRUE), ((E1687 = "aggregation")=TRUE))</f>
        <v>1</v>
      </c>
      <c r="J1687" s="4" t="b">
        <f>H1687 &lt;&gt; ""</f>
        <v>0</v>
      </c>
      <c r="K1687" s="4">
        <f>COUNTIFS(FieldDisagreements!D2:D50, A1687)</f>
        <v>1</v>
      </c>
      <c r="L1687" s="4" t="b">
        <f>K1687 &gt; 0</f>
        <v>1</v>
      </c>
      <c r="M1687" s="3" t="s">
        <v>2418</v>
      </c>
    </row>
    <row r="1688">
      <c r="A1688" s="3" t="s">
        <v>5552</v>
      </c>
      <c r="B1688" s="4" t="str">
        <f>C1688 &amp; "." &amp; D1688</f>
        <v>AccessDenialTests.TargetPolicy</v>
      </c>
      <c r="C1688" s="3" t="s">
        <v>5548</v>
      </c>
      <c r="D1688" s="3" t="s">
        <v>5553</v>
      </c>
      <c r="E1688" s="3" t="s">
        <v>2465</v>
      </c>
      <c r="F1688" s="3" t="s">
        <v>2417</v>
      </c>
      <c r="G1688" s="3"/>
      <c r="H1688" s="3"/>
      <c r="I1688" s="4" t="b">
        <f>OR(((E1688 = "calculated")=TRUE), ((E1688 = "lookup")=TRUE), ((E1688 = "aggregation")=TRUE))</f>
        <v>0</v>
      </c>
      <c r="J1688" s="4" t="b">
        <f>H1688 &lt;&gt; ""</f>
        <v>0</v>
      </c>
      <c r="K1688" s="4">
        <f>COUNTIFS(FieldDisagreements!D2:D50, A1688)</f>
        <v>0</v>
      </c>
      <c r="L1688" s="4" t="b">
        <f>K1688 &gt; 0</f>
        <v>0</v>
      </c>
      <c r="M1688" s="3" t="s">
        <v>2418</v>
      </c>
    </row>
    <row r="1689">
      <c r="A1689" s="3" t="s">
        <v>5554</v>
      </c>
      <c r="B1689" s="4" t="str">
        <f>C1689 &amp; "." &amp; D1689</f>
        <v>AccessDenialTests.Principal</v>
      </c>
      <c r="C1689" s="3" t="s">
        <v>5548</v>
      </c>
      <c r="D1689" s="3" t="s">
        <v>5417</v>
      </c>
      <c r="E1689" s="3" t="s">
        <v>2465</v>
      </c>
      <c r="F1689" s="3" t="s">
        <v>2417</v>
      </c>
      <c r="G1689" s="3"/>
      <c r="H1689" s="3"/>
      <c r="I1689" s="4" t="b">
        <f>OR(((E1689 = "calculated")=TRUE), ((E1689 = "lookup")=TRUE), ((E1689 = "aggregation")=TRUE))</f>
        <v>0</v>
      </c>
      <c r="J1689" s="4" t="b">
        <f>H1689 &lt;&gt; ""</f>
        <v>0</v>
      </c>
      <c r="K1689" s="4">
        <f>COUNTIFS(FieldDisagreements!D2:D50, A1689)</f>
        <v>0</v>
      </c>
      <c r="L1689" s="4" t="b">
        <f>K1689 &gt; 0</f>
        <v>0</v>
      </c>
      <c r="M1689" s="3" t="s">
        <v>2418</v>
      </c>
    </row>
    <row r="1690">
      <c r="A1690" s="3" t="s">
        <v>5555</v>
      </c>
      <c r="B1690" s="4" t="str">
        <f>C1690 &amp; "." &amp; D1690</f>
        <v>AccessDenialTests.TargetTable</v>
      </c>
      <c r="C1690" s="3" t="s">
        <v>5548</v>
      </c>
      <c r="D1690" s="3" t="s">
        <v>2404</v>
      </c>
      <c r="E1690" s="3" t="s">
        <v>2465</v>
      </c>
      <c r="F1690" s="3" t="s">
        <v>2417</v>
      </c>
      <c r="G1690" s="3"/>
      <c r="H1690" s="3"/>
      <c r="I1690" s="4" t="b">
        <f>OR(((E1690 = "calculated")=TRUE), ((E1690 = "lookup")=TRUE), ((E1690 = "aggregation")=TRUE))</f>
        <v>0</v>
      </c>
      <c r="J1690" s="4" t="b">
        <f>H1690 &lt;&gt; ""</f>
        <v>0</v>
      </c>
      <c r="K1690" s="4">
        <f>COUNTIFS(FieldDisagreements!D2:D50, A1690)</f>
        <v>0</v>
      </c>
      <c r="L1690" s="4" t="b">
        <f>K1690 &gt; 0</f>
        <v>0</v>
      </c>
      <c r="M1690" s="3" t="s">
        <v>2418</v>
      </c>
    </row>
    <row r="1691">
      <c r="A1691" s="3" t="s">
        <v>5556</v>
      </c>
      <c r="B1691" s="4" t="str">
        <f>C1691 &amp; "." &amp; D1691</f>
        <v>AccessDenialTests.ForbiddenRowId</v>
      </c>
      <c r="C1691" s="3" t="s">
        <v>5548</v>
      </c>
      <c r="D1691" s="3" t="s">
        <v>5557</v>
      </c>
      <c r="E1691" s="3" t="s">
        <v>2416</v>
      </c>
      <c r="F1691" s="3" t="s">
        <v>2417</v>
      </c>
      <c r="G1691" s="3"/>
      <c r="H1691" s="3"/>
      <c r="I1691" s="4" t="b">
        <f>OR(((E1691 = "calculated")=TRUE), ((E1691 = "lookup")=TRUE), ((E1691 = "aggregation")=TRUE))</f>
        <v>0</v>
      </c>
      <c r="J1691" s="4" t="b">
        <f>H1691 &lt;&gt; ""</f>
        <v>0</v>
      </c>
      <c r="K1691" s="4">
        <f>COUNTIFS(FieldDisagreements!D2:D50, A1691)</f>
        <v>0</v>
      </c>
      <c r="L1691" s="4" t="b">
        <f>K1691 &gt; 0</f>
        <v>0</v>
      </c>
      <c r="M1691" s="3" t="s">
        <v>2418</v>
      </c>
    </row>
    <row r="1692">
      <c r="A1692" s="3" t="s">
        <v>5558</v>
      </c>
      <c r="B1692" s="4" t="str">
        <f>C1692 &amp; "." &amp; D1692</f>
        <v>AccessDenialTests.ExpectedVisible</v>
      </c>
      <c r="C1692" s="3" t="s">
        <v>5548</v>
      </c>
      <c r="D1692" s="3" t="s">
        <v>5559</v>
      </c>
      <c r="E1692" s="3" t="s">
        <v>2416</v>
      </c>
      <c r="F1692" s="3" t="s">
        <v>2432</v>
      </c>
      <c r="G1692" s="3"/>
      <c r="H1692" s="3"/>
      <c r="I1692" s="4" t="b">
        <f>OR(((E1692 = "calculated")=TRUE), ((E1692 = "lookup")=TRUE), ((E1692 = "aggregation")=TRUE))</f>
        <v>0</v>
      </c>
      <c r="J1692" s="4" t="b">
        <f>H1692 &lt;&gt; ""</f>
        <v>0</v>
      </c>
      <c r="K1692" s="4">
        <f>COUNTIFS(FieldDisagreements!D2:D50, A1692)</f>
        <v>0</v>
      </c>
      <c r="L1692" s="4" t="b">
        <f>K1692 &gt; 0</f>
        <v>0</v>
      </c>
      <c r="M1692" s="3" t="s">
        <v>2418</v>
      </c>
    </row>
    <row r="1693">
      <c r="A1693" s="3" t="s">
        <v>5560</v>
      </c>
      <c r="B1693" s="4" t="str">
        <f>C1693 &amp; "." &amp; D1693</f>
        <v>AccessDenialTests.ObservedVisible</v>
      </c>
      <c r="C1693" s="3" t="s">
        <v>5548</v>
      </c>
      <c r="D1693" s="3" t="s">
        <v>5561</v>
      </c>
      <c r="E1693" s="3" t="s">
        <v>2416</v>
      </c>
      <c r="F1693" s="3" t="s">
        <v>2432</v>
      </c>
      <c r="G1693" s="3"/>
      <c r="H1693" s="3"/>
      <c r="I1693" s="4" t="b">
        <f>OR(((E1693 = "calculated")=TRUE), ((E1693 = "lookup")=TRUE), ((E1693 = "aggregation")=TRUE))</f>
        <v>0</v>
      </c>
      <c r="J1693" s="4" t="b">
        <f>H1693 &lt;&gt; ""</f>
        <v>0</v>
      </c>
      <c r="K1693" s="4">
        <f>COUNTIFS(FieldDisagreements!D2:D50, A1693)</f>
        <v>0</v>
      </c>
      <c r="L1693" s="4" t="b">
        <f>K1693 &gt; 0</f>
        <v>0</v>
      </c>
      <c r="M1693" s="3" t="s">
        <v>2418</v>
      </c>
    </row>
    <row r="1694">
      <c r="A1694" s="3" t="s">
        <v>5562</v>
      </c>
      <c r="B1694" s="4" t="str">
        <f>C1694 &amp; "." &amp; D1694</f>
        <v>AccessDenialTests.LastRunAt</v>
      </c>
      <c r="C1694" s="3" t="s">
        <v>5548</v>
      </c>
      <c r="D1694" s="3" t="s">
        <v>4234</v>
      </c>
      <c r="E1694" s="3" t="s">
        <v>2416</v>
      </c>
      <c r="F1694" s="3" t="s">
        <v>2428</v>
      </c>
      <c r="G1694" s="3"/>
      <c r="H1694" s="3"/>
      <c r="I1694" s="4" t="b">
        <f>OR(((E1694 = "calculated")=TRUE), ((E1694 = "lookup")=TRUE), ((E1694 = "aggregation")=TRUE))</f>
        <v>0</v>
      </c>
      <c r="J1694" s="4" t="b">
        <f>H1694 &lt;&gt; ""</f>
        <v>0</v>
      </c>
      <c r="K1694" s="4">
        <f>COUNTIFS(FieldDisagreements!D2:D50, A1694)</f>
        <v>0</v>
      </c>
      <c r="L1694" s="4" t="b">
        <f>K1694 &gt; 0</f>
        <v>0</v>
      </c>
      <c r="M1694" s="3" t="s">
        <v>2418</v>
      </c>
    </row>
    <row r="1695">
      <c r="A1695" s="3" t="s">
        <v>5563</v>
      </c>
      <c r="B1695" s="4" t="str">
        <f>C1695 &amp; "." &amp; D1695</f>
        <v>AccessDenialTests.HasRun</v>
      </c>
      <c r="C1695" s="3" t="s">
        <v>5548</v>
      </c>
      <c r="D1695" s="3" t="s">
        <v>5564</v>
      </c>
      <c r="E1695" s="3" t="s">
        <v>2420</v>
      </c>
      <c r="F1695" s="3" t="s">
        <v>2432</v>
      </c>
      <c r="G1695" s="3" t="s">
        <v>5565</v>
      </c>
      <c r="H1695" s="3"/>
      <c r="I1695" s="4" t="b">
        <f>OR(((E1695 = "calculated")=TRUE), ((E1695 = "lookup")=TRUE), ((E1695 = "aggregation")=TRUE))</f>
        <v>1</v>
      </c>
      <c r="J1695" s="4" t="b">
        <f>H1695 &lt;&gt; ""</f>
        <v>0</v>
      </c>
      <c r="K1695" s="4">
        <f>COUNTIFS(FieldDisagreements!D2:D50, A1695)</f>
        <v>0</v>
      </c>
      <c r="L1695" s="4" t="b">
        <f>K1695 &gt; 0</f>
        <v>0</v>
      </c>
      <c r="M1695" s="3" t="s">
        <v>2418</v>
      </c>
    </row>
    <row r="1696">
      <c r="A1696" s="3" t="s">
        <v>5566</v>
      </c>
      <c r="B1696" s="4" t="str">
        <f>C1696 &amp; "." &amp; D1696</f>
        <v>AccessDenialTests.IsPassing</v>
      </c>
      <c r="C1696" s="3" t="s">
        <v>5548</v>
      </c>
      <c r="D1696" s="3" t="s">
        <v>4236</v>
      </c>
      <c r="E1696" s="3" t="s">
        <v>2420</v>
      </c>
      <c r="F1696" s="3" t="s">
        <v>2432</v>
      </c>
      <c r="G1696" s="3" t="s">
        <v>5567</v>
      </c>
      <c r="H1696" s="3"/>
      <c r="I1696" s="4" t="b">
        <f>OR(((E1696 = "calculated")=TRUE), ((E1696 = "lookup")=TRUE), ((E1696 = "aggregation")=TRUE))</f>
        <v>1</v>
      </c>
      <c r="J1696" s="4" t="b">
        <f>H1696 &lt;&gt; ""</f>
        <v>0</v>
      </c>
      <c r="K1696" s="4">
        <f>COUNTIFS(FieldDisagreements!D2:D50, A1696)</f>
        <v>0</v>
      </c>
      <c r="L1696" s="4" t="b">
        <f>K1696 &gt; 0</f>
        <v>0</v>
      </c>
      <c r="M1696" s="3" t="s">
        <v>2418</v>
      </c>
    </row>
    <row r="1697">
      <c r="A1697" s="3" t="s">
        <v>5568</v>
      </c>
      <c r="B1697" s="4" t="str">
        <f>C1697 &amp; "." &amp; D1697</f>
        <v>AccessDenialTests.IsLeak</v>
      </c>
      <c r="C1697" s="3" t="s">
        <v>5548</v>
      </c>
      <c r="D1697" s="3" t="s">
        <v>5569</v>
      </c>
      <c r="E1697" s="3" t="s">
        <v>2420</v>
      </c>
      <c r="F1697" s="3" t="s">
        <v>2432</v>
      </c>
      <c r="G1697" s="3" t="s">
        <v>5570</v>
      </c>
      <c r="H1697" s="3"/>
      <c r="I1697" s="4" t="b">
        <f>OR(((E1697 = "calculated")=TRUE), ((E1697 = "lookup")=TRUE), ((E1697 = "aggregation")=TRUE))</f>
        <v>1</v>
      </c>
      <c r="J1697" s="4" t="b">
        <f>H1697 &lt;&gt; ""</f>
        <v>0</v>
      </c>
      <c r="K1697" s="4">
        <f>COUNTIFS(FieldDisagreements!D2:D50, A1697)</f>
        <v>0</v>
      </c>
      <c r="L1697" s="4" t="b">
        <f>K1697 &gt; 0</f>
        <v>0</v>
      </c>
      <c r="M1697" s="3" t="s">
        <v>2418</v>
      </c>
    </row>
    <row r="1698">
      <c r="A1698" s="3" t="s">
        <v>5571</v>
      </c>
      <c r="B1698" s="4" t="str">
        <f>C1698 &amp; "." &amp; D1698</f>
        <v>AccessDenialTests.IsUnproven</v>
      </c>
      <c r="C1698" s="3" t="s">
        <v>5548</v>
      </c>
      <c r="D1698" s="3" t="s">
        <v>5572</v>
      </c>
      <c r="E1698" s="3" t="s">
        <v>2420</v>
      </c>
      <c r="F1698" s="3" t="s">
        <v>2432</v>
      </c>
      <c r="G1698" s="3" t="s">
        <v>5573</v>
      </c>
      <c r="H1698" s="3"/>
      <c r="I1698" s="4" t="b">
        <f>OR(((E1698 = "calculated")=TRUE), ((E1698 = "lookup")=TRUE), ((E1698 = "aggregation")=TRUE))</f>
        <v>1</v>
      </c>
      <c r="J1698" s="4" t="b">
        <f>H1698 &lt;&gt; ""</f>
        <v>0</v>
      </c>
      <c r="K1698" s="4">
        <f>COUNTIFS(FieldDisagreements!D2:D50, A1698)</f>
        <v>0</v>
      </c>
      <c r="L1698" s="4" t="b">
        <f>K1698 &gt; 0</f>
        <v>0</v>
      </c>
      <c r="M1698" s="3" t="s">
        <v>2418</v>
      </c>
    </row>
    <row r="1699">
      <c r="A1699" s="3" t="s">
        <v>5574</v>
      </c>
      <c r="B1699" s="4" t="str">
        <f>C1699 &amp; "." &amp; D1699</f>
        <v>AccessDenialTests.Rationale</v>
      </c>
      <c r="C1699" s="3" t="s">
        <v>5548</v>
      </c>
      <c r="D1699" s="3" t="s">
        <v>93</v>
      </c>
      <c r="E1699" s="3" t="s">
        <v>2416</v>
      </c>
      <c r="F1699" s="3" t="s">
        <v>2417</v>
      </c>
      <c r="G1699" s="3"/>
      <c r="H1699" s="3"/>
      <c r="I1699" s="4" t="b">
        <f>OR(((E1699 = "calculated")=TRUE), ((E1699 = "lookup")=TRUE), ((E1699 = "aggregation")=TRUE))</f>
        <v>0</v>
      </c>
      <c r="J1699" s="4" t="b">
        <f>H1699 &lt;&gt; ""</f>
        <v>0</v>
      </c>
      <c r="K1699" s="4">
        <f>COUNTIFS(FieldDisagreements!D2:D50, A1699)</f>
        <v>0</v>
      </c>
      <c r="L1699" s="4" t="b">
        <f>K1699 &gt; 0</f>
        <v>0</v>
      </c>
      <c r="M1699" s="3" t="s">
        <v>2418</v>
      </c>
    </row>
    <row r="1700">
      <c r="A1700" s="3" t="s">
        <v>5575</v>
      </c>
      <c r="B1700" s="4" t="str">
        <f>C1700 &amp; "." &amp; D1700</f>
        <v>AccessDenialTests.IsPositiveControl</v>
      </c>
      <c r="C1700" s="3" t="s">
        <v>5548</v>
      </c>
      <c r="D1700" s="3" t="s">
        <v>5576</v>
      </c>
      <c r="E1700" s="3" t="s">
        <v>2420</v>
      </c>
      <c r="F1700" s="3" t="s">
        <v>2432</v>
      </c>
      <c r="G1700" s="3" t="s">
        <v>5577</v>
      </c>
      <c r="H1700" s="3"/>
      <c r="I1700" s="4" t="b">
        <f>OR(((E1700 = "calculated")=TRUE), ((E1700 = "lookup")=TRUE), ((E1700 = "aggregation")=TRUE))</f>
        <v>1</v>
      </c>
      <c r="J1700" s="4" t="b">
        <f>H1700 &lt;&gt; ""</f>
        <v>0</v>
      </c>
      <c r="K1700" s="4">
        <f>COUNTIFS(FieldDisagreements!D2:D50, A1700)</f>
        <v>0</v>
      </c>
      <c r="L1700" s="4" t="b">
        <f>K1700 &gt; 0</f>
        <v>0</v>
      </c>
      <c r="M1700" s="3" t="s">
        <v>2418</v>
      </c>
    </row>
    <row r="1701">
      <c r="A1701" s="3" t="s">
        <v>5578</v>
      </c>
      <c r="B1701" s="4" t="str">
        <f>C1701 &amp; "." &amp; D1701</f>
        <v>AccessDenialTests.ForbiddenTable</v>
      </c>
      <c r="C1701" s="3" t="s">
        <v>5548</v>
      </c>
      <c r="D1701" s="3" t="s">
        <v>5579</v>
      </c>
      <c r="E1701" s="3" t="s">
        <v>2416</v>
      </c>
      <c r="F1701" s="3" t="s">
        <v>2417</v>
      </c>
      <c r="G1701" s="3"/>
      <c r="H1701" s="3"/>
      <c r="I1701" s="4" t="b">
        <f>OR(((E1701 = "calculated")=TRUE), ((E1701 = "lookup")=TRUE), ((E1701 = "aggregation")=TRUE))</f>
        <v>0</v>
      </c>
      <c r="J1701" s="4" t="b">
        <f>H1701 &lt;&gt; ""</f>
        <v>0</v>
      </c>
      <c r="K1701" s="4">
        <f>COUNTIFS(FieldDisagreements!D2:D50, A1701)</f>
        <v>0</v>
      </c>
      <c r="L1701" s="4" t="b">
        <f>K1701 &gt; 0</f>
        <v>0</v>
      </c>
      <c r="M1701" s="3" t="s">
        <v>2418</v>
      </c>
    </row>
    <row r="1702">
      <c r="A1702" s="3" t="s">
        <v>5580</v>
      </c>
      <c r="B1702" s="4" t="str">
        <f>C1702 &amp; "." &amp; D1702</f>
        <v>AccessDenialTests.ForbiddenColumn</v>
      </c>
      <c r="C1702" s="3" t="s">
        <v>5548</v>
      </c>
      <c r="D1702" s="3" t="s">
        <v>5581</v>
      </c>
      <c r="E1702" s="3" t="s">
        <v>2416</v>
      </c>
      <c r="F1702" s="3" t="s">
        <v>2417</v>
      </c>
      <c r="G1702" s="3"/>
      <c r="H1702" s="3"/>
      <c r="I1702" s="4" t="b">
        <f>OR(((E1702 = "calculated")=TRUE), ((E1702 = "lookup")=TRUE), ((E1702 = "aggregation")=TRUE))</f>
        <v>0</v>
      </c>
      <c r="J1702" s="4" t="b">
        <f>H1702 &lt;&gt; ""</f>
        <v>0</v>
      </c>
      <c r="K1702" s="4">
        <f>COUNTIFS(FieldDisagreements!D2:D50, A1702)</f>
        <v>0</v>
      </c>
      <c r="L1702" s="4" t="b">
        <f>K1702 &gt; 0</f>
        <v>0</v>
      </c>
      <c r="M1702" s="3" t="s">
        <v>2418</v>
      </c>
    </row>
    <row r="1703">
      <c r="A1703" s="3" t="s">
        <v>5582</v>
      </c>
      <c r="B1703" s="4" t="str">
        <f>C1703 &amp; "." &amp; D1703</f>
        <v>AccessDenialTests.SemanticTypeIri</v>
      </c>
      <c r="C1703" s="3" t="s">
        <v>5548</v>
      </c>
      <c r="D1703" s="3" t="s">
        <v>94</v>
      </c>
      <c r="E1703" s="3" t="s">
        <v>2416</v>
      </c>
      <c r="F1703" s="3" t="s">
        <v>2417</v>
      </c>
      <c r="G1703" s="3"/>
      <c r="H1703" s="3"/>
      <c r="I1703" s="4" t="b">
        <f>OR(((E1703 = "calculated")=TRUE), ((E1703 = "lookup")=TRUE), ((E1703 = "aggregation")=TRUE))</f>
        <v>0</v>
      </c>
      <c r="J1703" s="4" t="b">
        <f>H1703 &lt;&gt; ""</f>
        <v>0</v>
      </c>
      <c r="K1703" s="4">
        <f>COUNTIFS(FieldDisagreements!D2:D50, A1703)</f>
        <v>0</v>
      </c>
      <c r="L1703" s="4" t="b">
        <f>K1703 &gt; 0</f>
        <v>0</v>
      </c>
      <c r="M1703" s="3" t="s">
        <v>2418</v>
      </c>
    </row>
    <row r="1704">
      <c r="A1704" s="3" t="s">
        <v>5583</v>
      </c>
      <c r="B1704" s="4" t="str">
        <f>C1704 &amp; "." &amp; D1704</f>
        <v>AppUsers.AppUserId</v>
      </c>
      <c r="C1704" s="3" t="s">
        <v>5584</v>
      </c>
      <c r="D1704" s="3" t="s">
        <v>5585</v>
      </c>
      <c r="E1704" s="3" t="s">
        <v>2416</v>
      </c>
      <c r="F1704" s="3" t="s">
        <v>2417</v>
      </c>
      <c r="G1704" s="3"/>
      <c r="H1704" s="3"/>
      <c r="I1704" s="4" t="b">
        <f>OR(((E1704 = "calculated")=TRUE), ((E1704 = "lookup")=TRUE), ((E1704 = "aggregation")=TRUE))</f>
        <v>0</v>
      </c>
      <c r="J1704" s="4" t="b">
        <f>H1704 &lt;&gt; ""</f>
        <v>0</v>
      </c>
      <c r="K1704" s="4">
        <f>COUNTIFS(FieldDisagreements!D2:D50, A1704)</f>
        <v>0</v>
      </c>
      <c r="L1704" s="4" t="b">
        <f>K1704 &gt; 0</f>
        <v>0</v>
      </c>
      <c r="M1704" s="3" t="s">
        <v>2418</v>
      </c>
    </row>
    <row r="1705">
      <c r="A1705" s="3" t="s">
        <v>5586</v>
      </c>
      <c r="B1705" s="4" t="str">
        <f>C1705 &amp; "." &amp; D1705</f>
        <v>AppUsers.Name</v>
      </c>
      <c r="C1705" s="3" t="s">
        <v>5584</v>
      </c>
      <c r="D1705" s="3" t="s">
        <v>1</v>
      </c>
      <c r="E1705" s="3" t="s">
        <v>2420</v>
      </c>
      <c r="F1705" s="3" t="s">
        <v>2417</v>
      </c>
      <c r="G1705" s="3" t="s">
        <v>2455</v>
      </c>
      <c r="H1705" s="3"/>
      <c r="I1705" s="4" t="b">
        <f>OR(((E1705 = "calculated")=TRUE), ((E1705 = "lookup")=TRUE), ((E1705 = "aggregation")=TRUE))</f>
        <v>1</v>
      </c>
      <c r="J1705" s="4" t="b">
        <f>H1705 &lt;&gt; ""</f>
        <v>0</v>
      </c>
      <c r="K1705" s="4">
        <f>COUNTIFS(FieldDisagreements!D2:D50, A1705)</f>
        <v>0</v>
      </c>
      <c r="L1705" s="4" t="b">
        <f>K1705 &gt; 0</f>
        <v>0</v>
      </c>
      <c r="M1705" s="3" t="s">
        <v>2418</v>
      </c>
    </row>
    <row r="1706">
      <c r="A1706" s="3" t="s">
        <v>5587</v>
      </c>
      <c r="B1706" s="4" t="str">
        <f>C1706 &amp; "." &amp; D1706</f>
        <v>AppUsers.EmailAddress</v>
      </c>
      <c r="C1706" s="3" t="s">
        <v>5584</v>
      </c>
      <c r="D1706" s="3" t="s">
        <v>4418</v>
      </c>
      <c r="E1706" s="3" t="s">
        <v>2416</v>
      </c>
      <c r="F1706" s="3" t="s">
        <v>2417</v>
      </c>
      <c r="G1706" s="3"/>
      <c r="H1706" s="3"/>
      <c r="I1706" s="4" t="b">
        <f>OR(((E1706 = "calculated")=TRUE), ((E1706 = "lookup")=TRUE), ((E1706 = "aggregation")=TRUE))</f>
        <v>0</v>
      </c>
      <c r="J1706" s="4" t="b">
        <f>H1706 &lt;&gt; ""</f>
        <v>0</v>
      </c>
      <c r="K1706" s="4">
        <f>COUNTIFS(FieldDisagreements!D2:D50, A1706)</f>
        <v>0</v>
      </c>
      <c r="L1706" s="4" t="b">
        <f>K1706 &gt; 0</f>
        <v>0</v>
      </c>
      <c r="M1706" s="3" t="s">
        <v>2418</v>
      </c>
    </row>
    <row r="1707">
      <c r="A1707" s="3" t="s">
        <v>5588</v>
      </c>
      <c r="B1707" s="4" t="str">
        <f>C1707 &amp; "." &amp; D1707</f>
        <v>AppUsers.DisplayName</v>
      </c>
      <c r="C1707" s="3" t="s">
        <v>5584</v>
      </c>
      <c r="D1707" s="3" t="s">
        <v>100</v>
      </c>
      <c r="E1707" s="3" t="s">
        <v>2416</v>
      </c>
      <c r="F1707" s="3" t="s">
        <v>2417</v>
      </c>
      <c r="G1707" s="3"/>
      <c r="H1707" s="3"/>
      <c r="I1707" s="4" t="b">
        <f>OR(((E1707 = "calculated")=TRUE), ((E1707 = "lookup")=TRUE), ((E1707 = "aggregation")=TRUE))</f>
        <v>0</v>
      </c>
      <c r="J1707" s="4" t="b">
        <f>H1707 &lt;&gt; ""</f>
        <v>0</v>
      </c>
      <c r="K1707" s="4">
        <f>COUNTIFS(FieldDisagreements!D2:D50, A1707)</f>
        <v>0</v>
      </c>
      <c r="L1707" s="4" t="b">
        <f>K1707 &gt; 0</f>
        <v>0</v>
      </c>
      <c r="M1707" s="3" t="s">
        <v>2418</v>
      </c>
    </row>
    <row r="1708">
      <c r="A1708" s="3" t="s">
        <v>5589</v>
      </c>
      <c r="B1708" s="4" t="str">
        <f>C1708 &amp; "." &amp; D1708</f>
        <v>AppUsers.LinkedAgent</v>
      </c>
      <c r="C1708" s="3" t="s">
        <v>5584</v>
      </c>
      <c r="D1708" s="3" t="s">
        <v>5590</v>
      </c>
      <c r="E1708" s="3" t="s">
        <v>2465</v>
      </c>
      <c r="F1708" s="3" t="s">
        <v>2417</v>
      </c>
      <c r="G1708" s="3"/>
      <c r="H1708" s="3"/>
      <c r="I1708" s="4" t="b">
        <f>OR(((E1708 = "calculated")=TRUE), ((E1708 = "lookup")=TRUE), ((E1708 = "aggregation")=TRUE))</f>
        <v>0</v>
      </c>
      <c r="J1708" s="4" t="b">
        <f>H1708 &lt;&gt; ""</f>
        <v>0</v>
      </c>
      <c r="K1708" s="4">
        <f>COUNTIFS(FieldDisagreements!D2:D50, A1708)</f>
        <v>0</v>
      </c>
      <c r="L1708" s="4" t="b">
        <f>K1708 &gt; 0</f>
        <v>0</v>
      </c>
      <c r="M1708" s="3" t="s">
        <v>2418</v>
      </c>
    </row>
    <row r="1709">
      <c r="A1709" s="3" t="s">
        <v>5591</v>
      </c>
      <c r="B1709" s="4" t="str">
        <f>C1709 &amp; "." &amp; D1709</f>
        <v>AppUsers.IsEnabled</v>
      </c>
      <c r="C1709" s="3" t="s">
        <v>5584</v>
      </c>
      <c r="D1709" s="3" t="s">
        <v>5592</v>
      </c>
      <c r="E1709" s="3" t="s">
        <v>2416</v>
      </c>
      <c r="F1709" s="3" t="s">
        <v>2432</v>
      </c>
      <c r="G1709" s="3"/>
      <c r="H1709" s="3"/>
      <c r="I1709" s="4" t="b">
        <f>OR(((E1709 = "calculated")=TRUE), ((E1709 = "lookup")=TRUE), ((E1709 = "aggregation")=TRUE))</f>
        <v>0</v>
      </c>
      <c r="J1709" s="4" t="b">
        <f>H1709 &lt;&gt; ""</f>
        <v>0</v>
      </c>
      <c r="K1709" s="4">
        <f>COUNTIFS(FieldDisagreements!D2:D50, A1709)</f>
        <v>0</v>
      </c>
      <c r="L1709" s="4" t="b">
        <f>K1709 &gt; 0</f>
        <v>0</v>
      </c>
      <c r="M1709" s="3" t="s">
        <v>2418</v>
      </c>
    </row>
    <row r="1710">
      <c r="A1710" s="3" t="s">
        <v>5593</v>
      </c>
      <c r="B1710" s="4" t="str">
        <f>C1710 &amp; "." &amp; D1710</f>
        <v>AppUsers.AgentKind</v>
      </c>
      <c r="C1710" s="3" t="s">
        <v>5584</v>
      </c>
      <c r="D1710" s="3" t="s">
        <v>120</v>
      </c>
      <c r="E1710" s="3" t="s">
        <v>2509</v>
      </c>
      <c r="F1710" s="3" t="s">
        <v>2417</v>
      </c>
      <c r="G1710" s="3" t="s">
        <v>5594</v>
      </c>
      <c r="H1710" s="3"/>
      <c r="I1710" s="4" t="b">
        <f>OR(((E1710 = "calculated")=TRUE), ((E1710 = "lookup")=TRUE), ((E1710 = "aggregation")=TRUE))</f>
        <v>1</v>
      </c>
      <c r="J1710" s="4" t="b">
        <f>H1710 &lt;&gt; ""</f>
        <v>0</v>
      </c>
      <c r="K1710" s="4">
        <f>COUNTIFS(FieldDisagreements!D2:D50, A1710)</f>
        <v>0</v>
      </c>
      <c r="L1710" s="4" t="b">
        <f>K1710 &gt; 0</f>
        <v>0</v>
      </c>
      <c r="M1710" s="3" t="s">
        <v>2418</v>
      </c>
    </row>
    <row r="1711">
      <c r="A1711" s="3" t="s">
        <v>5595</v>
      </c>
      <c r="B1711" s="4" t="str">
        <f>C1711 &amp; "." &amp; D1711</f>
        <v>AppUsers.Organization</v>
      </c>
      <c r="C1711" s="3" t="s">
        <v>5584</v>
      </c>
      <c r="D1711" s="3" t="s">
        <v>121</v>
      </c>
      <c r="E1711" s="3" t="s">
        <v>2509</v>
      </c>
      <c r="F1711" s="3" t="s">
        <v>2417</v>
      </c>
      <c r="G1711" s="3" t="s">
        <v>5596</v>
      </c>
      <c r="H1711" s="3"/>
      <c r="I1711" s="4" t="b">
        <f>OR(((E1711 = "calculated")=TRUE), ((E1711 = "lookup")=TRUE), ((E1711 = "aggregation")=TRUE))</f>
        <v>1</v>
      </c>
      <c r="J1711" s="4" t="b">
        <f>H1711 &lt;&gt; ""</f>
        <v>0</v>
      </c>
      <c r="K1711" s="4">
        <f>COUNTIFS(FieldDisagreements!D2:D50, A1711)</f>
        <v>0</v>
      </c>
      <c r="L1711" s="4" t="b">
        <f>K1711 &gt; 0</f>
        <v>0</v>
      </c>
      <c r="M1711" s="3" t="s">
        <v>2418</v>
      </c>
    </row>
    <row r="1712">
      <c r="A1712" s="3" t="s">
        <v>5597</v>
      </c>
      <c r="B1712" s="4" t="str">
        <f>C1712 &amp; "." &amp; D1712</f>
        <v>AppUsers.AssignmentCount</v>
      </c>
      <c r="C1712" s="3" t="s">
        <v>5584</v>
      </c>
      <c r="D1712" s="3" t="s">
        <v>5598</v>
      </c>
      <c r="E1712" s="3" t="s">
        <v>2469</v>
      </c>
      <c r="F1712" s="3" t="s">
        <v>2475</v>
      </c>
      <c r="G1712" s="3" t="s">
        <v>5599</v>
      </c>
      <c r="H1712" s="3"/>
      <c r="I1712" s="4" t="b">
        <f>OR(((E1712 = "calculated")=TRUE), ((E1712 = "lookup")=TRUE), ((E1712 = "aggregation")=TRUE))</f>
        <v>1</v>
      </c>
      <c r="J1712" s="4" t="b">
        <f>H1712 &lt;&gt; ""</f>
        <v>0</v>
      </c>
      <c r="K1712" s="4">
        <f>COUNTIFS(FieldDisagreements!D2:D50, A1712)</f>
        <v>0</v>
      </c>
      <c r="L1712" s="4" t="b">
        <f>K1712 &gt; 0</f>
        <v>0</v>
      </c>
      <c r="M1712" s="3" t="s">
        <v>2418</v>
      </c>
    </row>
    <row r="1713">
      <c r="A1713" s="3" t="s">
        <v>5600</v>
      </c>
      <c r="B1713" s="4" t="str">
        <f>C1713 &amp; "." &amp; D1713</f>
        <v>AppUsers.HasNoPrincipal</v>
      </c>
      <c r="C1713" s="3" t="s">
        <v>5584</v>
      </c>
      <c r="D1713" s="3" t="s">
        <v>5601</v>
      </c>
      <c r="E1713" s="3" t="s">
        <v>2420</v>
      </c>
      <c r="F1713" s="3" t="s">
        <v>2432</v>
      </c>
      <c r="G1713" s="3" t="s">
        <v>5602</v>
      </c>
      <c r="H1713" s="3"/>
      <c r="I1713" s="4" t="b">
        <f>OR(((E1713 = "calculated")=TRUE), ((E1713 = "lookup")=TRUE), ((E1713 = "aggregation")=TRUE))</f>
        <v>1</v>
      </c>
      <c r="J1713" s="4" t="b">
        <f>H1713 &lt;&gt; ""</f>
        <v>0</v>
      </c>
      <c r="K1713" s="4">
        <f>COUNTIFS(FieldDisagreements!D2:D50, A1713)</f>
        <v>0</v>
      </c>
      <c r="L1713" s="4" t="b">
        <f>K1713 &gt; 0</f>
        <v>0</v>
      </c>
      <c r="M1713" s="3" t="s">
        <v>2418</v>
      </c>
    </row>
    <row r="1714">
      <c r="A1714" s="3" t="s">
        <v>5603</v>
      </c>
      <c r="B1714" s="4" t="str">
        <f>C1714 &amp; "." &amp; D1714</f>
        <v>AppUsers.HoldsMultiplePrincipals</v>
      </c>
      <c r="C1714" s="3" t="s">
        <v>5584</v>
      </c>
      <c r="D1714" s="3" t="s">
        <v>5604</v>
      </c>
      <c r="E1714" s="3" t="s">
        <v>2420</v>
      </c>
      <c r="F1714" s="3" t="s">
        <v>2432</v>
      </c>
      <c r="G1714" s="3" t="s">
        <v>5605</v>
      </c>
      <c r="H1714" s="3"/>
      <c r="I1714" s="4" t="b">
        <f>OR(((E1714 = "calculated")=TRUE), ((E1714 = "lookup")=TRUE), ((E1714 = "aggregation")=TRUE))</f>
        <v>1</v>
      </c>
      <c r="J1714" s="4" t="b">
        <f>H1714 &lt;&gt; ""</f>
        <v>0</v>
      </c>
      <c r="K1714" s="4">
        <f>COUNTIFS(FieldDisagreements!D2:D50, A1714)</f>
        <v>0</v>
      </c>
      <c r="L1714" s="4" t="b">
        <f>K1714 &gt; 0</f>
        <v>0</v>
      </c>
      <c r="M1714" s="3" t="s">
        <v>2418</v>
      </c>
    </row>
    <row r="1715">
      <c r="A1715" s="3" t="s">
        <v>5606</v>
      </c>
      <c r="B1715" s="4" t="str">
        <f>C1715 &amp; "." &amp; D1715</f>
        <v>AppUsers.IsNonHumanSignIn</v>
      </c>
      <c r="C1715" s="3" t="s">
        <v>5584</v>
      </c>
      <c r="D1715" s="3" t="s">
        <v>5607</v>
      </c>
      <c r="E1715" s="3" t="s">
        <v>2420</v>
      </c>
      <c r="F1715" s="3" t="s">
        <v>2432</v>
      </c>
      <c r="G1715" s="3" t="s">
        <v>5608</v>
      </c>
      <c r="H1715" s="3"/>
      <c r="I1715" s="4" t="b">
        <f>OR(((E1715 = "calculated")=TRUE), ((E1715 = "lookup")=TRUE), ((E1715 = "aggregation")=TRUE))</f>
        <v>1</v>
      </c>
      <c r="J1715" s="4" t="b">
        <f>H1715 &lt;&gt; ""</f>
        <v>0</v>
      </c>
      <c r="K1715" s="4">
        <f>COUNTIFS(FieldDisagreements!D2:D50, A1715)</f>
        <v>0</v>
      </c>
      <c r="L1715" s="4" t="b">
        <f>K1715 &gt; 0</f>
        <v>0</v>
      </c>
      <c r="M1715" s="3" t="s">
        <v>2418</v>
      </c>
    </row>
    <row r="1716">
      <c r="A1716" s="3" t="s">
        <v>5609</v>
      </c>
      <c r="B1716" s="4" t="str">
        <f>C1716 &amp; "." &amp; D1716</f>
        <v>AppUsers.SemanticTypeIri</v>
      </c>
      <c r="C1716" s="3" t="s">
        <v>5584</v>
      </c>
      <c r="D1716" s="3" t="s">
        <v>94</v>
      </c>
      <c r="E1716" s="3" t="s">
        <v>2416</v>
      </c>
      <c r="F1716" s="3" t="s">
        <v>2417</v>
      </c>
      <c r="G1716" s="3"/>
      <c r="H1716" s="3"/>
      <c r="I1716" s="4" t="b">
        <f>OR(((E1716 = "calculated")=TRUE), ((E1716 = "lookup")=TRUE), ((E1716 = "aggregation")=TRUE))</f>
        <v>0</v>
      </c>
      <c r="J1716" s="4" t="b">
        <f>H1716 &lt;&gt; ""</f>
        <v>0</v>
      </c>
      <c r="K1716" s="4">
        <f>COUNTIFS(FieldDisagreements!D2:D50, A1716)</f>
        <v>0</v>
      </c>
      <c r="L1716" s="4" t="b">
        <f>K1716 &gt; 0</f>
        <v>0</v>
      </c>
      <c r="M1716" s="3" t="s">
        <v>2418</v>
      </c>
    </row>
    <row r="1717">
      <c r="A1717" s="3" t="s">
        <v>5610</v>
      </c>
      <c r="B1717" s="4" t="str">
        <f>C1717 &amp; "." &amp; D1717</f>
        <v>PrincipalAssignments.PrincipalAssignmentId</v>
      </c>
      <c r="C1717" s="3" t="s">
        <v>5611</v>
      </c>
      <c r="D1717" s="3" t="s">
        <v>5612</v>
      </c>
      <c r="E1717" s="3" t="s">
        <v>2416</v>
      </c>
      <c r="F1717" s="3" t="s">
        <v>2417</v>
      </c>
      <c r="G1717" s="3"/>
      <c r="H1717" s="3"/>
      <c r="I1717" s="4" t="b">
        <f>OR(((E1717 = "calculated")=TRUE), ((E1717 = "lookup")=TRUE), ((E1717 = "aggregation")=TRUE))</f>
        <v>0</v>
      </c>
      <c r="J1717" s="4" t="b">
        <f>H1717 &lt;&gt; ""</f>
        <v>0</v>
      </c>
      <c r="K1717" s="4">
        <f>COUNTIFS(FieldDisagreements!D2:D50, A1717)</f>
        <v>0</v>
      </c>
      <c r="L1717" s="4" t="b">
        <f>K1717 &gt; 0</f>
        <v>0</v>
      </c>
      <c r="M1717" s="3" t="s">
        <v>2418</v>
      </c>
    </row>
    <row r="1718">
      <c r="A1718" s="3" t="s">
        <v>5613</v>
      </c>
      <c r="B1718" s="4" t="str">
        <f>C1718 &amp; "." &amp; D1718</f>
        <v>PrincipalAssignments.Name</v>
      </c>
      <c r="C1718" s="3" t="s">
        <v>5611</v>
      </c>
      <c r="D1718" s="3" t="s">
        <v>1</v>
      </c>
      <c r="E1718" s="3" t="s">
        <v>2420</v>
      </c>
      <c r="F1718" s="3" t="s">
        <v>2417</v>
      </c>
      <c r="G1718" s="3" t="s">
        <v>5614</v>
      </c>
      <c r="H1718" s="3"/>
      <c r="I1718" s="4" t="b">
        <f>OR(((E1718 = "calculated")=TRUE), ((E1718 = "lookup")=TRUE), ((E1718 = "aggregation")=TRUE))</f>
        <v>1</v>
      </c>
      <c r="J1718" s="4" t="b">
        <f>H1718 &lt;&gt; ""</f>
        <v>0</v>
      </c>
      <c r="K1718" s="4">
        <f>COUNTIFS(FieldDisagreements!D2:D50, A1718)</f>
        <v>0</v>
      </c>
      <c r="L1718" s="4" t="b">
        <f>K1718 &gt; 0</f>
        <v>0</v>
      </c>
      <c r="M1718" s="3" t="s">
        <v>2418</v>
      </c>
    </row>
    <row r="1719">
      <c r="A1719" s="3" t="s">
        <v>5615</v>
      </c>
      <c r="B1719" s="4" t="str">
        <f>C1719 &amp; "." &amp; D1719</f>
        <v>PrincipalAssignments.AppUser</v>
      </c>
      <c r="C1719" s="3" t="s">
        <v>5611</v>
      </c>
      <c r="D1719" s="3" t="s">
        <v>5616</v>
      </c>
      <c r="E1719" s="3" t="s">
        <v>2465</v>
      </c>
      <c r="F1719" s="3" t="s">
        <v>2417</v>
      </c>
      <c r="G1719" s="3"/>
      <c r="H1719" s="3"/>
      <c r="I1719" s="4" t="b">
        <f>OR(((E1719 = "calculated")=TRUE), ((E1719 = "lookup")=TRUE), ((E1719 = "aggregation")=TRUE))</f>
        <v>0</v>
      </c>
      <c r="J1719" s="4" t="b">
        <f>H1719 &lt;&gt; ""</f>
        <v>0</v>
      </c>
      <c r="K1719" s="4">
        <f>COUNTIFS(FieldDisagreements!D2:D50, A1719)</f>
        <v>0</v>
      </c>
      <c r="L1719" s="4" t="b">
        <f>K1719 &gt; 0</f>
        <v>0</v>
      </c>
      <c r="M1719" s="3" t="s">
        <v>2418</v>
      </c>
    </row>
    <row r="1720">
      <c r="A1720" s="3" t="s">
        <v>5617</v>
      </c>
      <c r="B1720" s="4" t="str">
        <f>C1720 &amp; "." &amp; D1720</f>
        <v>PrincipalAssignments.Principal</v>
      </c>
      <c r="C1720" s="3" t="s">
        <v>5611</v>
      </c>
      <c r="D1720" s="3" t="s">
        <v>5417</v>
      </c>
      <c r="E1720" s="3" t="s">
        <v>2465</v>
      </c>
      <c r="F1720" s="3" t="s">
        <v>2417</v>
      </c>
      <c r="G1720" s="3"/>
      <c r="H1720" s="3"/>
      <c r="I1720" s="4" t="b">
        <f>OR(((E1720 = "calculated")=TRUE), ((E1720 = "lookup")=TRUE), ((E1720 = "aggregation")=TRUE))</f>
        <v>0</v>
      </c>
      <c r="J1720" s="4" t="b">
        <f>H1720 &lt;&gt; ""</f>
        <v>0</v>
      </c>
      <c r="K1720" s="4">
        <f>COUNTIFS(FieldDisagreements!D2:D50, A1720)</f>
        <v>0</v>
      </c>
      <c r="L1720" s="4" t="b">
        <f>K1720 &gt; 0</f>
        <v>0</v>
      </c>
      <c r="M1720" s="3" t="s">
        <v>2418</v>
      </c>
    </row>
    <row r="1721">
      <c r="A1721" s="3" t="s">
        <v>5618</v>
      </c>
      <c r="B1721" s="4" t="str">
        <f>C1721 &amp; "." &amp; D1721</f>
        <v>PrincipalAssignments.IsDefault</v>
      </c>
      <c r="C1721" s="3" t="s">
        <v>5611</v>
      </c>
      <c r="D1721" s="3" t="s">
        <v>5619</v>
      </c>
      <c r="E1721" s="3" t="s">
        <v>2416</v>
      </c>
      <c r="F1721" s="3" t="s">
        <v>2432</v>
      </c>
      <c r="G1721" s="3"/>
      <c r="H1721" s="3"/>
      <c r="I1721" s="4" t="b">
        <f>OR(((E1721 = "calculated")=TRUE), ((E1721 = "lookup")=TRUE), ((E1721 = "aggregation")=TRUE))</f>
        <v>0</v>
      </c>
      <c r="J1721" s="4" t="b">
        <f>H1721 &lt;&gt; ""</f>
        <v>0</v>
      </c>
      <c r="K1721" s="4">
        <f>COUNTIFS(FieldDisagreements!D2:D50, A1721)</f>
        <v>0</v>
      </c>
      <c r="L1721" s="4" t="b">
        <f>K1721 &gt; 0</f>
        <v>0</v>
      </c>
      <c r="M1721" s="3" t="s">
        <v>2418</v>
      </c>
    </row>
    <row r="1722">
      <c r="A1722" s="3" t="s">
        <v>5620</v>
      </c>
      <c r="B1722" s="4" t="str">
        <f>C1722 &amp; "." &amp; D1722</f>
        <v>PrincipalAssignments.GrantedRationale</v>
      </c>
      <c r="C1722" s="3" t="s">
        <v>5611</v>
      </c>
      <c r="D1722" s="3" t="s">
        <v>5621</v>
      </c>
      <c r="E1722" s="3" t="s">
        <v>2416</v>
      </c>
      <c r="F1722" s="3" t="s">
        <v>2417</v>
      </c>
      <c r="G1722" s="3"/>
      <c r="H1722" s="3"/>
      <c r="I1722" s="4" t="b">
        <f>OR(((E1722 = "calculated")=TRUE), ((E1722 = "lookup")=TRUE), ((E1722 = "aggregation")=TRUE))</f>
        <v>0</v>
      </c>
      <c r="J1722" s="4" t="b">
        <f>H1722 &lt;&gt; ""</f>
        <v>0</v>
      </c>
      <c r="K1722" s="4">
        <f>COUNTIFS(FieldDisagreements!D2:D50, A1722)</f>
        <v>0</v>
      </c>
      <c r="L1722" s="4" t="b">
        <f>K1722 &gt; 0</f>
        <v>0</v>
      </c>
      <c r="M1722" s="3" t="s">
        <v>2418</v>
      </c>
    </row>
    <row r="1723">
      <c r="A1723" s="3" t="s">
        <v>5622</v>
      </c>
      <c r="B1723" s="4" t="str">
        <f>C1723 &amp; "." &amp; D1723</f>
        <v>PrincipalAssignments.PrincipalIsAdmin</v>
      </c>
      <c r="C1723" s="3" t="s">
        <v>5611</v>
      </c>
      <c r="D1723" s="3" t="s">
        <v>5435</v>
      </c>
      <c r="E1723" s="3" t="s">
        <v>2509</v>
      </c>
      <c r="F1723" s="3" t="s">
        <v>2432</v>
      </c>
      <c r="G1723" s="3" t="s">
        <v>5436</v>
      </c>
      <c r="H1723" s="3"/>
      <c r="I1723" s="4" t="b">
        <f>OR(((E1723 = "calculated")=TRUE), ((E1723 = "lookup")=TRUE), ((E1723 = "aggregation")=TRUE))</f>
        <v>1</v>
      </c>
      <c r="J1723" s="4" t="b">
        <f>H1723 &lt;&gt; ""</f>
        <v>0</v>
      </c>
      <c r="K1723" s="4">
        <f>COUNTIFS(FieldDisagreements!D2:D50, A1723)</f>
        <v>0</v>
      </c>
      <c r="L1723" s="4" t="b">
        <f>K1723 &gt; 0</f>
        <v>0</v>
      </c>
      <c r="M1723" s="3" t="s">
        <v>2418</v>
      </c>
    </row>
    <row r="1724">
      <c r="A1724" s="3" t="s">
        <v>5623</v>
      </c>
      <c r="B1724" s="4" t="str">
        <f>C1724 &amp; "." &amp; D1724</f>
        <v>PrincipalAssignments.UserOrganization</v>
      </c>
      <c r="C1724" s="3" t="s">
        <v>5611</v>
      </c>
      <c r="D1724" s="3" t="s">
        <v>5624</v>
      </c>
      <c r="E1724" s="3" t="s">
        <v>2509</v>
      </c>
      <c r="F1724" s="3" t="s">
        <v>2417</v>
      </c>
      <c r="G1724" s="3" t="s">
        <v>5625</v>
      </c>
      <c r="H1724" s="3"/>
      <c r="I1724" s="4" t="b">
        <f>OR(((E1724 = "calculated")=TRUE), ((E1724 = "lookup")=TRUE), ((E1724 = "aggregation")=TRUE))</f>
        <v>1</v>
      </c>
      <c r="J1724" s="4" t="b">
        <f>H1724 &lt;&gt; ""</f>
        <v>0</v>
      </c>
      <c r="K1724" s="4">
        <f>COUNTIFS(FieldDisagreements!D2:D50, A1724)</f>
        <v>0</v>
      </c>
      <c r="L1724" s="4" t="b">
        <f>K1724 &gt; 0</f>
        <v>0</v>
      </c>
      <c r="M1724" s="3" t="s">
        <v>2418</v>
      </c>
    </row>
    <row r="1725">
      <c r="A1725" s="3" t="s">
        <v>5626</v>
      </c>
      <c r="B1725" s="4" t="str">
        <f>C1725 &amp; "." &amp; D1725</f>
        <v>PrincipalAssignments.PrincipalOrganization</v>
      </c>
      <c r="C1725" s="3" t="s">
        <v>5611</v>
      </c>
      <c r="D1725" s="3" t="s">
        <v>5627</v>
      </c>
      <c r="E1725" s="3" t="s">
        <v>2509</v>
      </c>
      <c r="F1725" s="3" t="s">
        <v>2417</v>
      </c>
      <c r="G1725" s="3" t="s">
        <v>5628</v>
      </c>
      <c r="H1725" s="3"/>
      <c r="I1725" s="4" t="b">
        <f>OR(((E1725 = "calculated")=TRUE), ((E1725 = "lookup")=TRUE), ((E1725 = "aggregation")=TRUE))</f>
        <v>1</v>
      </c>
      <c r="J1725" s="4" t="b">
        <f>H1725 &lt;&gt; ""</f>
        <v>0</v>
      </c>
      <c r="K1725" s="4">
        <f>COUNTIFS(FieldDisagreements!D2:D50, A1725)</f>
        <v>0</v>
      </c>
      <c r="L1725" s="4" t="b">
        <f>K1725 &gt; 0</f>
        <v>0</v>
      </c>
      <c r="M1725" s="3" t="s">
        <v>2418</v>
      </c>
    </row>
    <row r="1726">
      <c r="A1726" s="3" t="s">
        <v>5629</v>
      </c>
      <c r="B1726" s="4" t="str">
        <f>C1726 &amp; "." &amp; D1726</f>
        <v>PrincipalAssignments.IsCrossOrganizationGrant</v>
      </c>
      <c r="C1726" s="3" t="s">
        <v>5611</v>
      </c>
      <c r="D1726" s="3" t="s">
        <v>5630</v>
      </c>
      <c r="E1726" s="3" t="s">
        <v>2420</v>
      </c>
      <c r="F1726" s="3" t="s">
        <v>2432</v>
      </c>
      <c r="G1726" s="3" t="s">
        <v>5631</v>
      </c>
      <c r="H1726" s="3"/>
      <c r="I1726" s="4" t="b">
        <f>OR(((E1726 = "calculated")=TRUE), ((E1726 = "lookup")=TRUE), ((E1726 = "aggregation")=TRUE))</f>
        <v>1</v>
      </c>
      <c r="J1726" s="4" t="b">
        <f>H1726 &lt;&gt; ""</f>
        <v>0</v>
      </c>
      <c r="K1726" s="4">
        <f>COUNTIFS(FieldDisagreements!D2:D50, A1726)</f>
        <v>0</v>
      </c>
      <c r="L1726" s="4" t="b">
        <f>K1726 &gt; 0</f>
        <v>0</v>
      </c>
      <c r="M1726" s="3" t="s">
        <v>2418</v>
      </c>
    </row>
    <row r="1727">
      <c r="A1727" s="3" t="s">
        <v>5632</v>
      </c>
      <c r="B1727" s="4" t="str">
        <f>C1727 &amp; "." &amp; D1727</f>
        <v>PrincipalAssignments.SemanticTypeIri</v>
      </c>
      <c r="C1727" s="3" t="s">
        <v>5611</v>
      </c>
      <c r="D1727" s="3" t="s">
        <v>94</v>
      </c>
      <c r="E1727" s="3" t="s">
        <v>2416</v>
      </c>
      <c r="F1727" s="3" t="s">
        <v>2417</v>
      </c>
      <c r="G1727" s="3"/>
      <c r="H1727" s="3"/>
      <c r="I1727" s="4" t="b">
        <f>OR(((E1727 = "calculated")=TRUE), ((E1727 = "lookup")=TRUE), ((E1727 = "aggregation")=TRUE))</f>
        <v>0</v>
      </c>
      <c r="J1727" s="4" t="b">
        <f>H1727 &lt;&gt; ""</f>
        <v>0</v>
      </c>
      <c r="K1727" s="4">
        <f>COUNTIFS(FieldDisagreements!D2:D50, A1727)</f>
        <v>0</v>
      </c>
      <c r="L1727" s="4" t="b">
        <f>K1727 &gt; 0</f>
        <v>0</v>
      </c>
      <c r="M1727" s="3" t="s">
        <v>2418</v>
      </c>
    </row>
    <row r="1728">
      <c r="A1728" s="3" t="s">
        <v>5633</v>
      </c>
      <c r="B1728" s="4" t="str">
        <f>C1728 &amp; "." &amp; D1728</f>
        <v>IssuedTokens.IssuedTokenId</v>
      </c>
      <c r="C1728" s="3" t="s">
        <v>5634</v>
      </c>
      <c r="D1728" s="3" t="s">
        <v>5635</v>
      </c>
      <c r="E1728" s="3" t="s">
        <v>2416</v>
      </c>
      <c r="F1728" s="3" t="s">
        <v>2417</v>
      </c>
      <c r="G1728" s="3"/>
      <c r="H1728" s="3"/>
      <c r="I1728" s="4" t="b">
        <f>OR(((E1728 = "calculated")=TRUE), ((E1728 = "lookup")=TRUE), ((E1728 = "aggregation")=TRUE))</f>
        <v>0</v>
      </c>
      <c r="J1728" s="4" t="b">
        <f>H1728 &lt;&gt; ""</f>
        <v>0</v>
      </c>
      <c r="K1728" s="4">
        <f>COUNTIFS(FieldDisagreements!D2:D50, A1728)</f>
        <v>0</v>
      </c>
      <c r="L1728" s="4" t="b">
        <f>K1728 &gt; 0</f>
        <v>0</v>
      </c>
      <c r="M1728" s="3" t="s">
        <v>2418</v>
      </c>
    </row>
    <row r="1729">
      <c r="A1729" s="3" t="s">
        <v>5636</v>
      </c>
      <c r="B1729" s="4" t="str">
        <f>C1729 &amp; "." &amp; D1729</f>
        <v>IssuedTokens.Name</v>
      </c>
      <c r="C1729" s="3" t="s">
        <v>5634</v>
      </c>
      <c r="D1729" s="3" t="s">
        <v>1</v>
      </c>
      <c r="E1729" s="3" t="s">
        <v>2420</v>
      </c>
      <c r="F1729" s="3" t="s">
        <v>2417</v>
      </c>
      <c r="G1729" s="3" t="s">
        <v>5637</v>
      </c>
      <c r="H1729" s="3"/>
      <c r="I1729" s="4" t="b">
        <f>OR(((E1729 = "calculated")=TRUE), ((E1729 = "lookup")=TRUE), ((E1729 = "aggregation")=TRUE))</f>
        <v>1</v>
      </c>
      <c r="J1729" s="4" t="b">
        <f>H1729 &lt;&gt; ""</f>
        <v>0</v>
      </c>
      <c r="K1729" s="4">
        <f>COUNTIFS(FieldDisagreements!D2:D50, A1729)</f>
        <v>0</v>
      </c>
      <c r="L1729" s="4" t="b">
        <f>K1729 &gt; 0</f>
        <v>0</v>
      </c>
      <c r="M1729" s="3" t="s">
        <v>2418</v>
      </c>
    </row>
    <row r="1730">
      <c r="A1730" s="3" t="s">
        <v>5638</v>
      </c>
      <c r="B1730" s="4" t="str">
        <f>C1730 &amp; "." &amp; D1730</f>
        <v>IssuedTokens.AppUser</v>
      </c>
      <c r="C1730" s="3" t="s">
        <v>5634</v>
      </c>
      <c r="D1730" s="3" t="s">
        <v>5616</v>
      </c>
      <c r="E1730" s="3" t="s">
        <v>2465</v>
      </c>
      <c r="F1730" s="3" t="s">
        <v>2417</v>
      </c>
      <c r="G1730" s="3"/>
      <c r="H1730" s="3"/>
      <c r="I1730" s="4" t="b">
        <f>OR(((E1730 = "calculated")=TRUE), ((E1730 = "lookup")=TRUE), ((E1730 = "aggregation")=TRUE))</f>
        <v>0</v>
      </c>
      <c r="J1730" s="4" t="b">
        <f>H1730 &lt;&gt; ""</f>
        <v>0</v>
      </c>
      <c r="K1730" s="4">
        <f>COUNTIFS(FieldDisagreements!D2:D50, A1730)</f>
        <v>0</v>
      </c>
      <c r="L1730" s="4" t="b">
        <f>K1730 &gt; 0</f>
        <v>0</v>
      </c>
      <c r="M1730" s="3" t="s">
        <v>2418</v>
      </c>
    </row>
    <row r="1731">
      <c r="A1731" s="3" t="s">
        <v>5639</v>
      </c>
      <c r="B1731" s="4" t="str">
        <f>C1731 &amp; "." &amp; D1731</f>
        <v>IssuedTokens.Principal</v>
      </c>
      <c r="C1731" s="3" t="s">
        <v>5634</v>
      </c>
      <c r="D1731" s="3" t="s">
        <v>5417</v>
      </c>
      <c r="E1731" s="3" t="s">
        <v>2465</v>
      </c>
      <c r="F1731" s="3" t="s">
        <v>2417</v>
      </c>
      <c r="G1731" s="3"/>
      <c r="H1731" s="3"/>
      <c r="I1731" s="4" t="b">
        <f>OR(((E1731 = "calculated")=TRUE), ((E1731 = "lookup")=TRUE), ((E1731 = "aggregation")=TRUE))</f>
        <v>0</v>
      </c>
      <c r="J1731" s="4" t="b">
        <f>H1731 &lt;&gt; ""</f>
        <v>0</v>
      </c>
      <c r="K1731" s="4">
        <f>COUNTIFS(FieldDisagreements!D2:D50, A1731)</f>
        <v>0</v>
      </c>
      <c r="L1731" s="4" t="b">
        <f>K1731 &gt; 0</f>
        <v>0</v>
      </c>
      <c r="M1731" s="3" t="s">
        <v>2418</v>
      </c>
    </row>
    <row r="1732">
      <c r="A1732" s="3" t="s">
        <v>5640</v>
      </c>
      <c r="B1732" s="4" t="str">
        <f>C1732 &amp; "." &amp; D1732</f>
        <v>IssuedTokens.IssuedAt</v>
      </c>
      <c r="C1732" s="3" t="s">
        <v>5634</v>
      </c>
      <c r="D1732" s="3" t="s">
        <v>7</v>
      </c>
      <c r="E1732" s="3" t="s">
        <v>2416</v>
      </c>
      <c r="F1732" s="3" t="s">
        <v>2428</v>
      </c>
      <c r="G1732" s="3"/>
      <c r="H1732" s="3"/>
      <c r="I1732" s="4" t="b">
        <f>OR(((E1732 = "calculated")=TRUE), ((E1732 = "lookup")=TRUE), ((E1732 = "aggregation")=TRUE))</f>
        <v>0</v>
      </c>
      <c r="J1732" s="4" t="b">
        <f>H1732 &lt;&gt; ""</f>
        <v>0</v>
      </c>
      <c r="K1732" s="4">
        <f>COUNTIFS(FieldDisagreements!D2:D50, A1732)</f>
        <v>0</v>
      </c>
      <c r="L1732" s="4" t="b">
        <f>K1732 &gt; 0</f>
        <v>0</v>
      </c>
      <c r="M1732" s="3" t="s">
        <v>2418</v>
      </c>
    </row>
    <row r="1733">
      <c r="A1733" s="3" t="s">
        <v>5641</v>
      </c>
      <c r="B1733" s="4" t="str">
        <f>C1733 &amp; "." &amp; D1733</f>
        <v>IssuedTokens.ExpiresAt</v>
      </c>
      <c r="C1733" s="3" t="s">
        <v>5634</v>
      </c>
      <c r="D1733" s="3" t="s">
        <v>5642</v>
      </c>
      <c r="E1733" s="3" t="s">
        <v>2416</v>
      </c>
      <c r="F1733" s="3" t="s">
        <v>2428</v>
      </c>
      <c r="G1733" s="3"/>
      <c r="H1733" s="3"/>
      <c r="I1733" s="4" t="b">
        <f>OR(((E1733 = "calculated")=TRUE), ((E1733 = "lookup")=TRUE), ((E1733 = "aggregation")=TRUE))</f>
        <v>0</v>
      </c>
      <c r="J1733" s="4" t="b">
        <f>H1733 &lt;&gt; ""</f>
        <v>0</v>
      </c>
      <c r="K1733" s="4">
        <f>COUNTIFS(FieldDisagreements!D2:D50, A1733)</f>
        <v>0</v>
      </c>
      <c r="L1733" s="4" t="b">
        <f>K1733 &gt; 0</f>
        <v>0</v>
      </c>
      <c r="M1733" s="3" t="s">
        <v>2418</v>
      </c>
    </row>
    <row r="1734">
      <c r="A1734" s="3" t="s">
        <v>5643</v>
      </c>
      <c r="B1734" s="4" t="str">
        <f>C1734 &amp; "." &amp; D1734</f>
        <v>IssuedTokens.Issuer</v>
      </c>
      <c r="C1734" s="3" t="s">
        <v>5634</v>
      </c>
      <c r="D1734" s="3" t="s">
        <v>5644</v>
      </c>
      <c r="E1734" s="3" t="s">
        <v>2416</v>
      </c>
      <c r="F1734" s="3" t="s">
        <v>2417</v>
      </c>
      <c r="G1734" s="3"/>
      <c r="H1734" s="3"/>
      <c r="I1734" s="4" t="b">
        <f>OR(((E1734 = "calculated")=TRUE), ((E1734 = "lookup")=TRUE), ((E1734 = "aggregation")=TRUE))</f>
        <v>0</v>
      </c>
      <c r="J1734" s="4" t="b">
        <f>H1734 &lt;&gt; ""</f>
        <v>0</v>
      </c>
      <c r="K1734" s="4">
        <f>COUNTIFS(FieldDisagreements!D2:D50, A1734)</f>
        <v>0</v>
      </c>
      <c r="L1734" s="4" t="b">
        <f>K1734 &gt; 0</f>
        <v>0</v>
      </c>
      <c r="M1734" s="3" t="s">
        <v>2418</v>
      </c>
    </row>
    <row r="1735">
      <c r="A1735" s="3" t="s">
        <v>5645</v>
      </c>
      <c r="B1735" s="4" t="str">
        <f>C1735 &amp; "." &amp; D1735</f>
        <v>IssuedTokens.SubjectClaim</v>
      </c>
      <c r="C1735" s="3" t="s">
        <v>5634</v>
      </c>
      <c r="D1735" s="3" t="s">
        <v>5646</v>
      </c>
      <c r="E1735" s="3" t="s">
        <v>2416</v>
      </c>
      <c r="F1735" s="3" t="s">
        <v>2417</v>
      </c>
      <c r="G1735" s="3"/>
      <c r="H1735" s="3"/>
      <c r="I1735" s="4" t="b">
        <f>OR(((E1735 = "calculated")=TRUE), ((E1735 = "lookup")=TRUE), ((E1735 = "aggregation")=TRUE))</f>
        <v>0</v>
      </c>
      <c r="J1735" s="4" t="b">
        <f>H1735 &lt;&gt; ""</f>
        <v>0</v>
      </c>
      <c r="K1735" s="4">
        <f>COUNTIFS(FieldDisagreements!D2:D50, A1735)</f>
        <v>0</v>
      </c>
      <c r="L1735" s="4" t="b">
        <f>K1735 &gt; 0</f>
        <v>0</v>
      </c>
      <c r="M1735" s="3" t="s">
        <v>2418</v>
      </c>
    </row>
    <row r="1736">
      <c r="A1736" s="3" t="s">
        <v>5647</v>
      </c>
      <c r="B1736" s="4" t="str">
        <f>C1736 &amp; "." &amp; D1736</f>
        <v>IssuedTokens.ClaimsSnapshot</v>
      </c>
      <c r="C1736" s="3" t="s">
        <v>5634</v>
      </c>
      <c r="D1736" s="3" t="s">
        <v>5648</v>
      </c>
      <c r="E1736" s="3" t="s">
        <v>2416</v>
      </c>
      <c r="F1736" s="3" t="s">
        <v>2417</v>
      </c>
      <c r="G1736" s="3"/>
      <c r="H1736" s="3"/>
      <c r="I1736" s="4" t="b">
        <f>OR(((E1736 = "calculated")=TRUE), ((E1736 = "lookup")=TRUE), ((E1736 = "aggregation")=TRUE))</f>
        <v>0</v>
      </c>
      <c r="J1736" s="4" t="b">
        <f>H1736 &lt;&gt; ""</f>
        <v>0</v>
      </c>
      <c r="K1736" s="4">
        <f>COUNTIFS(FieldDisagreements!D2:D50, A1736)</f>
        <v>0</v>
      </c>
      <c r="L1736" s="4" t="b">
        <f>K1736 &gt; 0</f>
        <v>0</v>
      </c>
      <c r="M1736" s="3" t="s">
        <v>2418</v>
      </c>
    </row>
    <row r="1737">
      <c r="A1737" s="3" t="s">
        <v>5649</v>
      </c>
      <c r="B1737" s="4" t="str">
        <f>C1737 &amp; "." &amp; D1737</f>
        <v>IssuedTokens.IsDevMinted</v>
      </c>
      <c r="C1737" s="3" t="s">
        <v>5634</v>
      </c>
      <c r="D1737" s="3" t="s">
        <v>5650</v>
      </c>
      <c r="E1737" s="3" t="s">
        <v>2420</v>
      </c>
      <c r="F1737" s="3" t="s">
        <v>2432</v>
      </c>
      <c r="G1737" s="3" t="s">
        <v>5651</v>
      </c>
      <c r="H1737" s="3"/>
      <c r="I1737" s="4" t="b">
        <f>OR(((E1737 = "calculated")=TRUE), ((E1737 = "lookup")=TRUE), ((E1737 = "aggregation")=TRUE))</f>
        <v>1</v>
      </c>
      <c r="J1737" s="4" t="b">
        <f>H1737 &lt;&gt; ""</f>
        <v>0</v>
      </c>
      <c r="K1737" s="4">
        <f>COUNTIFS(FieldDisagreements!D2:D50, A1737)</f>
        <v>0</v>
      </c>
      <c r="L1737" s="4" t="b">
        <f>K1737 &gt; 0</f>
        <v>0</v>
      </c>
      <c r="M1737" s="3" t="s">
        <v>2418</v>
      </c>
    </row>
    <row r="1738">
      <c r="A1738" s="3" t="s">
        <v>5652</v>
      </c>
      <c r="B1738" s="4" t="str">
        <f>C1738 &amp; "." &amp; D1738</f>
        <v>IssuedTokens.SemanticTypeIri</v>
      </c>
      <c r="C1738" s="3" t="s">
        <v>5634</v>
      </c>
      <c r="D1738" s="3" t="s">
        <v>94</v>
      </c>
      <c r="E1738" s="3" t="s">
        <v>2416</v>
      </c>
      <c r="F1738" s="3" t="s">
        <v>2417</v>
      </c>
      <c r="G1738" s="3"/>
      <c r="H1738" s="3"/>
      <c r="I1738" s="4" t="b">
        <f>OR(((E1738 = "calculated")=TRUE), ((E1738 = "lookup")=TRUE), ((E1738 = "aggregation")=TRUE))</f>
        <v>0</v>
      </c>
      <c r="J1738" s="4" t="b">
        <f>H1738 &lt;&gt; ""</f>
        <v>0</v>
      </c>
      <c r="K1738" s="4">
        <f>COUNTIFS(FieldDisagreements!D2:D50, A1738)</f>
        <v>0</v>
      </c>
      <c r="L1738" s="4" t="b">
        <f>K1738 &gt; 0</f>
        <v>0</v>
      </c>
      <c r="M1738" s="3" t="s">
        <v>2418</v>
      </c>
    </row>
    <row r="1739">
      <c r="A1739" s="3" t="s">
        <v>5653</v>
      </c>
      <c r="B1739" s="4" t="str">
        <f>C1739 &amp; "." &amp; D1739</f>
        <v>ProcessMiningRuns.ProcessMiningRunId</v>
      </c>
      <c r="C1739" s="3" t="s">
        <v>1889</v>
      </c>
      <c r="D1739" s="3" t="s">
        <v>5654</v>
      </c>
      <c r="E1739" s="3" t="s">
        <v>2416</v>
      </c>
      <c r="F1739" s="3" t="s">
        <v>2417</v>
      </c>
      <c r="G1739" s="3"/>
      <c r="H1739" s="3" t="s">
        <v>2379</v>
      </c>
      <c r="I1739" s="4" t="b">
        <f>OR(((E1739 = "calculated")=TRUE), ((E1739 = "lookup")=TRUE), ((E1739 = "aggregation")=TRUE))</f>
        <v>0</v>
      </c>
      <c r="J1739" s="4" t="b">
        <f>H1739 &lt;&gt; ""</f>
        <v>1</v>
      </c>
      <c r="K1739" s="4">
        <f>COUNTIFS(FieldDisagreements!D2:D50, A1739)</f>
        <v>0</v>
      </c>
      <c r="L1739" s="4" t="b">
        <f>K1739 &gt; 0</f>
        <v>0</v>
      </c>
      <c r="M1739" s="3" t="s">
        <v>2418</v>
      </c>
    </row>
    <row r="1740">
      <c r="A1740" s="3" t="s">
        <v>5655</v>
      </c>
      <c r="B1740" s="4" t="str">
        <f>C1740 &amp; "." &amp; D1740</f>
        <v>ProcessMiningRuns.Name</v>
      </c>
      <c r="C1740" s="3" t="s">
        <v>1889</v>
      </c>
      <c r="D1740" s="3" t="s">
        <v>1</v>
      </c>
      <c r="E1740" s="3" t="s">
        <v>2420</v>
      </c>
      <c r="F1740" s="3" t="s">
        <v>2417</v>
      </c>
      <c r="G1740" s="3" t="s">
        <v>5656</v>
      </c>
      <c r="H1740" s="3" t="s">
        <v>2379</v>
      </c>
      <c r="I1740" s="4" t="b">
        <f>OR(((E1740 = "calculated")=TRUE), ((E1740 = "lookup")=TRUE), ((E1740 = "aggregation")=TRUE))</f>
        <v>1</v>
      </c>
      <c r="J1740" s="4" t="b">
        <f>H1740 &lt;&gt; ""</f>
        <v>1</v>
      </c>
      <c r="K1740" s="4">
        <f>COUNTIFS(FieldDisagreements!D2:D50, A1740)</f>
        <v>0</v>
      </c>
      <c r="L1740" s="4" t="b">
        <f>K1740 &gt; 0</f>
        <v>0</v>
      </c>
      <c r="M1740" s="3" t="s">
        <v>2418</v>
      </c>
    </row>
    <row r="1741">
      <c r="A1741" s="3" t="s">
        <v>5657</v>
      </c>
      <c r="B1741" s="4" t="str">
        <f>C1741 &amp; "." &amp; D1741</f>
        <v>ProcessMiningRuns.ProcedureVersion</v>
      </c>
      <c r="C1741" s="3" t="s">
        <v>1889</v>
      </c>
      <c r="D1741" s="3" t="s">
        <v>478</v>
      </c>
      <c r="E1741" s="3" t="s">
        <v>2465</v>
      </c>
      <c r="F1741" s="3" t="s">
        <v>2417</v>
      </c>
      <c r="G1741" s="3"/>
      <c r="H1741" s="3" t="s">
        <v>2379</v>
      </c>
      <c r="I1741" s="4" t="b">
        <f>OR(((E1741 = "calculated")=TRUE), ((E1741 = "lookup")=TRUE), ((E1741 = "aggregation")=TRUE))</f>
        <v>0</v>
      </c>
      <c r="J1741" s="4" t="b">
        <f>H1741 &lt;&gt; ""</f>
        <v>1</v>
      </c>
      <c r="K1741" s="4">
        <f>COUNTIFS(FieldDisagreements!D2:D50, A1741)</f>
        <v>0</v>
      </c>
      <c r="L1741" s="4" t="b">
        <f>K1741 &gt; 0</f>
        <v>0</v>
      </c>
      <c r="M1741" s="3" t="s">
        <v>2418</v>
      </c>
    </row>
    <row r="1742">
      <c r="A1742" s="3" t="s">
        <v>5658</v>
      </c>
      <c r="B1742" s="4" t="str">
        <f>C1742 &amp; "." &amp; D1742</f>
        <v>ProcessMiningRuns.EventLogSource</v>
      </c>
      <c r="C1742" s="3" t="s">
        <v>1889</v>
      </c>
      <c r="D1742" s="3" t="s">
        <v>5659</v>
      </c>
      <c r="E1742" s="3" t="s">
        <v>2416</v>
      </c>
      <c r="F1742" s="3" t="s">
        <v>2417</v>
      </c>
      <c r="G1742" s="3"/>
      <c r="H1742" s="3" t="s">
        <v>2379</v>
      </c>
      <c r="I1742" s="4" t="b">
        <f>OR(((E1742 = "calculated")=TRUE), ((E1742 = "lookup")=TRUE), ((E1742 = "aggregation")=TRUE))</f>
        <v>0</v>
      </c>
      <c r="J1742" s="4" t="b">
        <f>H1742 &lt;&gt; ""</f>
        <v>1</v>
      </c>
      <c r="K1742" s="4">
        <f>COUNTIFS(FieldDisagreements!D2:D50, A1742)</f>
        <v>0</v>
      </c>
      <c r="L1742" s="4" t="b">
        <f>K1742 &gt; 0</f>
        <v>0</v>
      </c>
      <c r="M1742" s="3" t="s">
        <v>2418</v>
      </c>
    </row>
    <row r="1743">
      <c r="A1743" s="3" t="s">
        <v>5660</v>
      </c>
      <c r="B1743" s="4" t="str">
        <f>C1743 &amp; "." &amp; D1743</f>
        <v>ProcessMiningRuns.MinedAt</v>
      </c>
      <c r="C1743" s="3" t="s">
        <v>1889</v>
      </c>
      <c r="D1743" s="3" t="s">
        <v>5661</v>
      </c>
      <c r="E1743" s="3" t="s">
        <v>2416</v>
      </c>
      <c r="F1743" s="3" t="s">
        <v>2428</v>
      </c>
      <c r="G1743" s="3"/>
      <c r="H1743" s="3" t="s">
        <v>2379</v>
      </c>
      <c r="I1743" s="4" t="b">
        <f>OR(((E1743 = "calculated")=TRUE), ((E1743 = "lookup")=TRUE), ((E1743 = "aggregation")=TRUE))</f>
        <v>0</v>
      </c>
      <c r="J1743" s="4" t="b">
        <f>H1743 &lt;&gt; ""</f>
        <v>1</v>
      </c>
      <c r="K1743" s="4">
        <f>COUNTIFS(FieldDisagreements!D2:D50, A1743)</f>
        <v>0</v>
      </c>
      <c r="L1743" s="4" t="b">
        <f>K1743 &gt; 0</f>
        <v>0</v>
      </c>
      <c r="M1743" s="3" t="s">
        <v>2418</v>
      </c>
    </row>
    <row r="1744">
      <c r="A1744" s="3" t="s">
        <v>5662</v>
      </c>
      <c r="B1744" s="4" t="str">
        <f>C1744 &amp; "." &amp; D1744</f>
        <v>ProcessMiningRuns.DiscoveredVariantCount</v>
      </c>
      <c r="C1744" s="3" t="s">
        <v>1889</v>
      </c>
      <c r="D1744" s="3" t="s">
        <v>5663</v>
      </c>
      <c r="E1744" s="3" t="s">
        <v>2416</v>
      </c>
      <c r="F1744" s="3" t="s">
        <v>2470</v>
      </c>
      <c r="G1744" s="3"/>
      <c r="H1744" s="3" t="s">
        <v>2379</v>
      </c>
      <c r="I1744" s="4" t="b">
        <f>OR(((E1744 = "calculated")=TRUE), ((E1744 = "lookup")=TRUE), ((E1744 = "aggregation")=TRUE))</f>
        <v>0</v>
      </c>
      <c r="J1744" s="4" t="b">
        <f>H1744 &lt;&gt; ""</f>
        <v>1</v>
      </c>
      <c r="K1744" s="4">
        <f>COUNTIFS(FieldDisagreements!D2:D50, A1744)</f>
        <v>0</v>
      </c>
      <c r="L1744" s="4" t="b">
        <f>K1744 &gt; 0</f>
        <v>0</v>
      </c>
      <c r="M1744" s="3" t="s">
        <v>2418</v>
      </c>
    </row>
    <row r="1745">
      <c r="A1745" s="3" t="s">
        <v>5664</v>
      </c>
      <c r="B1745" s="4" t="str">
        <f>C1745 &amp; "." &amp; D1745</f>
        <v>ProcessMiningRuns.ConformingVariantCount</v>
      </c>
      <c r="C1745" s="3" t="s">
        <v>1889</v>
      </c>
      <c r="D1745" s="3" t="s">
        <v>5665</v>
      </c>
      <c r="E1745" s="3" t="s">
        <v>2416</v>
      </c>
      <c r="F1745" s="3" t="s">
        <v>2470</v>
      </c>
      <c r="G1745" s="3"/>
      <c r="H1745" s="3" t="s">
        <v>2379</v>
      </c>
      <c r="I1745" s="4" t="b">
        <f>OR(((E1745 = "calculated")=TRUE), ((E1745 = "lookup")=TRUE), ((E1745 = "aggregation")=TRUE))</f>
        <v>0</v>
      </c>
      <c r="J1745" s="4" t="b">
        <f>H1745 &lt;&gt; ""</f>
        <v>1</v>
      </c>
      <c r="K1745" s="4">
        <f>COUNTIFS(FieldDisagreements!D2:D50, A1745)</f>
        <v>0</v>
      </c>
      <c r="L1745" s="4" t="b">
        <f>K1745 &gt; 0</f>
        <v>0</v>
      </c>
      <c r="M1745" s="3" t="s">
        <v>2418</v>
      </c>
    </row>
    <row r="1746">
      <c r="A1746" s="3" t="s">
        <v>5666</v>
      </c>
      <c r="B1746" s="4" t="str">
        <f>C1746 &amp; "." &amp; D1746</f>
        <v>ProcessMiningRuns.DeviationDescription</v>
      </c>
      <c r="C1746" s="3" t="s">
        <v>1889</v>
      </c>
      <c r="D1746" s="3" t="s">
        <v>5667</v>
      </c>
      <c r="E1746" s="3" t="s">
        <v>2416</v>
      </c>
      <c r="F1746" s="3" t="s">
        <v>2417</v>
      </c>
      <c r="G1746" s="3"/>
      <c r="H1746" s="3" t="s">
        <v>2379</v>
      </c>
      <c r="I1746" s="4" t="b">
        <f>OR(((E1746 = "calculated")=TRUE), ((E1746 = "lookup")=TRUE), ((E1746 = "aggregation")=TRUE))</f>
        <v>0</v>
      </c>
      <c r="J1746" s="4" t="b">
        <f>H1746 &lt;&gt; ""</f>
        <v>1</v>
      </c>
      <c r="K1746" s="4">
        <f>COUNTIFS(FieldDisagreements!D2:D50, A1746)</f>
        <v>0</v>
      </c>
      <c r="L1746" s="4" t="b">
        <f>K1746 &gt; 0</f>
        <v>0</v>
      </c>
      <c r="M1746" s="3" t="s">
        <v>2418</v>
      </c>
    </row>
    <row r="1747">
      <c r="A1747" s="3" t="s">
        <v>5668</v>
      </c>
      <c r="B1747" s="4" t="str">
        <f>C1747 &amp; "." &amp; D1747</f>
        <v>ProcessMiningRuns.EvaluationContext</v>
      </c>
      <c r="C1747" s="3" t="s">
        <v>1889</v>
      </c>
      <c r="D1747" s="3" t="s">
        <v>258</v>
      </c>
      <c r="E1747" s="3" t="s">
        <v>2465</v>
      </c>
      <c r="F1747" s="3" t="s">
        <v>2417</v>
      </c>
      <c r="G1747" s="3"/>
      <c r="H1747" s="3" t="s">
        <v>2379</v>
      </c>
      <c r="I1747" s="4" t="b">
        <f>OR(((E1747 = "calculated")=TRUE), ((E1747 = "lookup")=TRUE), ((E1747 = "aggregation")=TRUE))</f>
        <v>0</v>
      </c>
      <c r="J1747" s="4" t="b">
        <f>H1747 &lt;&gt; ""</f>
        <v>1</v>
      </c>
      <c r="K1747" s="4">
        <f>COUNTIFS(FieldDisagreements!D2:D50, A1747)</f>
        <v>0</v>
      </c>
      <c r="L1747" s="4" t="b">
        <f>K1747 &gt; 0</f>
        <v>0</v>
      </c>
      <c r="M1747" s="3" t="s">
        <v>2418</v>
      </c>
    </row>
    <row r="1748">
      <c r="A1748" s="3" t="s">
        <v>5669</v>
      </c>
      <c r="B1748" s="4" t="str">
        <f>C1748 &amp; "." &amp; D1748</f>
        <v>ProcessMiningRuns.AsOfInstant</v>
      </c>
      <c r="C1748" s="3" t="s">
        <v>1889</v>
      </c>
      <c r="D1748" s="3" t="s">
        <v>92</v>
      </c>
      <c r="E1748" s="3" t="s">
        <v>2509</v>
      </c>
      <c r="F1748" s="3" t="s">
        <v>2428</v>
      </c>
      <c r="G1748" s="3" t="s">
        <v>2555</v>
      </c>
      <c r="H1748" s="3" t="s">
        <v>2379</v>
      </c>
      <c r="I1748" s="4" t="b">
        <f>OR(((E1748 = "calculated")=TRUE), ((E1748 = "lookup")=TRUE), ((E1748 = "aggregation")=TRUE))</f>
        <v>1</v>
      </c>
      <c r="J1748" s="4" t="b">
        <f>H1748 &lt;&gt; ""</f>
        <v>1</v>
      </c>
      <c r="K1748" s="4">
        <f>COUNTIFS(FieldDisagreements!D2:D50, A1748)</f>
        <v>0</v>
      </c>
      <c r="L1748" s="4" t="b">
        <f>K1748 &gt; 0</f>
        <v>0</v>
      </c>
      <c r="M1748" s="3" t="s">
        <v>2418</v>
      </c>
    </row>
    <row r="1749">
      <c r="A1749" s="3" t="s">
        <v>5670</v>
      </c>
      <c r="B1749" s="4" t="str">
        <f>C1749 &amp; "." &amp; D1749</f>
        <v>ProcessMiningRuns.ConformanceRate</v>
      </c>
      <c r="C1749" s="3" t="s">
        <v>1889</v>
      </c>
      <c r="D1749" s="3" t="s">
        <v>5671</v>
      </c>
      <c r="E1749" s="3" t="s">
        <v>2420</v>
      </c>
      <c r="F1749" s="3" t="s">
        <v>2475</v>
      </c>
      <c r="G1749" s="3" t="s">
        <v>5672</v>
      </c>
      <c r="H1749" s="3" t="s">
        <v>2379</v>
      </c>
      <c r="I1749" s="4" t="b">
        <f>OR(((E1749 = "calculated")=TRUE), ((E1749 = "lookup")=TRUE), ((E1749 = "aggregation")=TRUE))</f>
        <v>1</v>
      </c>
      <c r="J1749" s="4" t="b">
        <f>H1749 &lt;&gt; ""</f>
        <v>1</v>
      </c>
      <c r="K1749" s="4">
        <f>COUNTIFS(FieldDisagreements!D2:D50, A1749)</f>
        <v>0</v>
      </c>
      <c r="L1749" s="4" t="b">
        <f>K1749 &gt; 0</f>
        <v>0</v>
      </c>
      <c r="M1749" s="3" t="s">
        <v>2418</v>
      </c>
    </row>
    <row r="1750">
      <c r="A1750" s="3" t="s">
        <v>5673</v>
      </c>
      <c r="B1750" s="4" t="str">
        <f>C1750 &amp; "." &amp; D1750</f>
        <v>ProcessMiningRuns.IsConformant</v>
      </c>
      <c r="C1750" s="3" t="s">
        <v>1889</v>
      </c>
      <c r="D1750" s="3" t="s">
        <v>5674</v>
      </c>
      <c r="E1750" s="3" t="s">
        <v>2420</v>
      </c>
      <c r="F1750" s="3" t="s">
        <v>2432</v>
      </c>
      <c r="G1750" s="3" t="s">
        <v>5675</v>
      </c>
      <c r="H1750" s="3" t="s">
        <v>2379</v>
      </c>
      <c r="I1750" s="4" t="b">
        <f>OR(((E1750 = "calculated")=TRUE), ((E1750 = "lookup")=TRUE), ((E1750 = "aggregation")=TRUE))</f>
        <v>1</v>
      </c>
      <c r="J1750" s="4" t="b">
        <f>H1750 &lt;&gt; ""</f>
        <v>1</v>
      </c>
      <c r="K1750" s="4">
        <f>COUNTIFS(FieldDisagreements!D2:D50, A1750)</f>
        <v>0</v>
      </c>
      <c r="L1750" s="4" t="b">
        <f>K1750 &gt; 0</f>
        <v>0</v>
      </c>
      <c r="M1750" s="3" t="s">
        <v>2418</v>
      </c>
    </row>
    <row r="1751">
      <c r="A1751" s="3" t="s">
        <v>5676</v>
      </c>
      <c r="B1751" s="4" t="str">
        <f>C1751 &amp; "." &amp; D1751</f>
        <v>ProcessMiningRuns.HasMajorDriftFromDocumentation</v>
      </c>
      <c r="C1751" s="3" t="s">
        <v>1889</v>
      </c>
      <c r="D1751" s="3" t="s">
        <v>5677</v>
      </c>
      <c r="E1751" s="3" t="s">
        <v>2420</v>
      </c>
      <c r="F1751" s="3" t="s">
        <v>2432</v>
      </c>
      <c r="G1751" s="3" t="s">
        <v>5678</v>
      </c>
      <c r="H1751" s="3" t="s">
        <v>2379</v>
      </c>
      <c r="I1751" s="4" t="b">
        <f>OR(((E1751 = "calculated")=TRUE), ((E1751 = "lookup")=TRUE), ((E1751 = "aggregation")=TRUE))</f>
        <v>1</v>
      </c>
      <c r="J1751" s="4" t="b">
        <f>H1751 &lt;&gt; ""</f>
        <v>1</v>
      </c>
      <c r="K1751" s="4">
        <f>COUNTIFS(FieldDisagreements!D2:D50, A1751)</f>
        <v>0</v>
      </c>
      <c r="L1751" s="4" t="b">
        <f>K1751 &gt; 0</f>
        <v>0</v>
      </c>
      <c r="M1751" s="3" t="s">
        <v>2418</v>
      </c>
    </row>
    <row r="1752">
      <c r="A1752" s="3" t="s">
        <v>5679</v>
      </c>
      <c r="B1752" s="4" t="str">
        <f>C1752 &amp; "." &amp; D1752</f>
        <v>ProcessMiningRuns.DaysSinceMined</v>
      </c>
      <c r="C1752" s="3" t="s">
        <v>1889</v>
      </c>
      <c r="D1752" s="3" t="s">
        <v>5680</v>
      </c>
      <c r="E1752" s="3" t="s">
        <v>2420</v>
      </c>
      <c r="F1752" s="3" t="s">
        <v>2470</v>
      </c>
      <c r="G1752" s="3" t="s">
        <v>5681</v>
      </c>
      <c r="H1752" s="3" t="s">
        <v>2379</v>
      </c>
      <c r="I1752" s="4" t="b">
        <f>OR(((E1752 = "calculated")=TRUE), ((E1752 = "lookup")=TRUE), ((E1752 = "aggregation")=TRUE))</f>
        <v>1</v>
      </c>
      <c r="J1752" s="4" t="b">
        <f>H1752 &lt;&gt; ""</f>
        <v>1</v>
      </c>
      <c r="K1752" s="4">
        <f>COUNTIFS(FieldDisagreements!D2:D50, A1752)</f>
        <v>0</v>
      </c>
      <c r="L1752" s="4" t="b">
        <f>K1752 &gt; 0</f>
        <v>0</v>
      </c>
      <c r="M1752" s="3" t="s">
        <v>2418</v>
      </c>
    </row>
    <row r="1753">
      <c r="A1753" s="3" t="s">
        <v>5682</v>
      </c>
      <c r="B1753" s="4" t="str">
        <f>C1753 &amp; "." &amp; D1753</f>
        <v>ProcessMiningRuns.IsStaleMiningEvidence</v>
      </c>
      <c r="C1753" s="3" t="s">
        <v>1889</v>
      </c>
      <c r="D1753" s="3" t="s">
        <v>5683</v>
      </c>
      <c r="E1753" s="3" t="s">
        <v>2420</v>
      </c>
      <c r="F1753" s="3" t="s">
        <v>2432</v>
      </c>
      <c r="G1753" s="3" t="s">
        <v>5684</v>
      </c>
      <c r="H1753" s="3" t="s">
        <v>2379</v>
      </c>
      <c r="I1753" s="4" t="b">
        <f>OR(((E1753 = "calculated")=TRUE), ((E1753 = "lookup")=TRUE), ((E1753 = "aggregation")=TRUE))</f>
        <v>1</v>
      </c>
      <c r="J1753" s="4" t="b">
        <f>H1753 &lt;&gt; ""</f>
        <v>1</v>
      </c>
      <c r="K1753" s="4">
        <f>COUNTIFS(FieldDisagreements!D2:D50, A1753)</f>
        <v>0</v>
      </c>
      <c r="L1753" s="4" t="b">
        <f>K1753 &gt; 0</f>
        <v>0</v>
      </c>
      <c r="M1753" s="3" t="s">
        <v>2418</v>
      </c>
    </row>
    <row r="1754">
      <c r="A1754" s="3" t="s">
        <v>5685</v>
      </c>
      <c r="B1754" s="4" t="str">
        <f>C1754 &amp; "." &amp; D1754</f>
        <v>ProcessMiningRuns.ProcedureVersionIsLive</v>
      </c>
      <c r="C1754" s="3" t="s">
        <v>1889</v>
      </c>
      <c r="D1754" s="3" t="s">
        <v>5686</v>
      </c>
      <c r="E1754" s="3" t="s">
        <v>2509</v>
      </c>
      <c r="F1754" s="3" t="s">
        <v>2432</v>
      </c>
      <c r="G1754" s="3" t="s">
        <v>3261</v>
      </c>
      <c r="H1754" s="3" t="s">
        <v>2379</v>
      </c>
      <c r="I1754" s="4" t="b">
        <f>OR(((E1754 = "calculated")=TRUE), ((E1754 = "lookup")=TRUE), ((E1754 = "aggregation")=TRUE))</f>
        <v>1</v>
      </c>
      <c r="J1754" s="4" t="b">
        <f>H1754 &lt;&gt; ""</f>
        <v>1</v>
      </c>
      <c r="K1754" s="4">
        <f>COUNTIFS(FieldDisagreements!D2:D50, A1754)</f>
        <v>0</v>
      </c>
      <c r="L1754" s="4" t="b">
        <f>K1754 &gt; 0</f>
        <v>0</v>
      </c>
      <c r="M1754" s="3" t="s">
        <v>2418</v>
      </c>
    </row>
    <row r="1755">
      <c r="A1755" s="3" t="s">
        <v>5687</v>
      </c>
      <c r="B1755" s="4" t="str">
        <f>C1755 &amp; "." &amp; D1755</f>
        <v>ProcessMiningRuns.IsDriftOnLiveVersion</v>
      </c>
      <c r="C1755" s="3" t="s">
        <v>1889</v>
      </c>
      <c r="D1755" s="3" t="s">
        <v>5688</v>
      </c>
      <c r="E1755" s="3" t="s">
        <v>2420</v>
      </c>
      <c r="F1755" s="3" t="s">
        <v>2432</v>
      </c>
      <c r="G1755" s="3" t="s">
        <v>5689</v>
      </c>
      <c r="H1755" s="3" t="s">
        <v>2379</v>
      </c>
      <c r="I1755" s="4" t="b">
        <f>OR(((E1755 = "calculated")=TRUE), ((E1755 = "lookup")=TRUE), ((E1755 = "aggregation")=TRUE))</f>
        <v>1</v>
      </c>
      <c r="J1755" s="4" t="b">
        <f>H1755 &lt;&gt; ""</f>
        <v>1</v>
      </c>
      <c r="K1755" s="4">
        <f>COUNTIFS(FieldDisagreements!D2:D50, A1755)</f>
        <v>0</v>
      </c>
      <c r="L1755" s="4" t="b">
        <f>K1755 &gt; 0</f>
        <v>0</v>
      </c>
      <c r="M1755" s="3" t="s">
        <v>2418</v>
      </c>
    </row>
    <row r="1756">
      <c r="A1756" s="3" t="s">
        <v>5690</v>
      </c>
      <c r="B1756" s="4" t="str">
        <f>C1756 &amp; "." &amp; D1756</f>
        <v>ProcessMiningRuns.DriftedMiningRunKey</v>
      </c>
      <c r="C1756" s="3" t="s">
        <v>1889</v>
      </c>
      <c r="D1756" s="3" t="s">
        <v>5691</v>
      </c>
      <c r="E1756" s="3" t="s">
        <v>2420</v>
      </c>
      <c r="F1756" s="3" t="s">
        <v>2417</v>
      </c>
      <c r="G1756" s="3" t="s">
        <v>5692</v>
      </c>
      <c r="H1756" s="3" t="s">
        <v>2379</v>
      </c>
      <c r="I1756" s="4" t="b">
        <f>OR(((E1756 = "calculated")=TRUE), ((E1756 = "lookup")=TRUE), ((E1756 = "aggregation")=TRUE))</f>
        <v>1</v>
      </c>
      <c r="J1756" s="4" t="b">
        <f>H1756 &lt;&gt; ""</f>
        <v>1</v>
      </c>
      <c r="K1756" s="4">
        <f>COUNTIFS(FieldDisagreements!D2:D50, A1756)</f>
        <v>0</v>
      </c>
      <c r="L1756" s="4" t="b">
        <f>K1756 &gt; 0</f>
        <v>0</v>
      </c>
      <c r="M1756" s="3" t="s">
        <v>2418</v>
      </c>
    </row>
    <row r="1757">
      <c r="A1757" s="3" t="s">
        <v>5693</v>
      </c>
      <c r="B1757" s="4" t="str">
        <f>C1757 &amp; "." &amp; D1757</f>
        <v>ProcessMiningRuns.SemanticTypeIri</v>
      </c>
      <c r="C1757" s="3" t="s">
        <v>1889</v>
      </c>
      <c r="D1757" s="3" t="s">
        <v>94</v>
      </c>
      <c r="E1757" s="3" t="s">
        <v>2416</v>
      </c>
      <c r="F1757" s="3" t="s">
        <v>2417</v>
      </c>
      <c r="G1757" s="3"/>
      <c r="H1757" s="3" t="s">
        <v>2379</v>
      </c>
      <c r="I1757" s="4" t="b">
        <f>OR(((E1757 = "calculated")=TRUE), ((E1757 = "lookup")=TRUE), ((E1757 = "aggregation")=TRUE))</f>
        <v>0</v>
      </c>
      <c r="J1757" s="4" t="b">
        <f>H1757 &lt;&gt; ""</f>
        <v>1</v>
      </c>
      <c r="K1757" s="4">
        <f>COUNTIFS(FieldDisagreements!D2:D50, A1757)</f>
        <v>0</v>
      </c>
      <c r="L1757" s="4" t="b">
        <f>K1757 &gt; 0</f>
        <v>0</v>
      </c>
      <c r="M1757" s="3" t="s">
        <v>2418</v>
      </c>
    </row>
    <row r="1758">
      <c r="A1758" s="3" t="s">
        <v>5694</v>
      </c>
      <c r="B1758" s="4" t="str">
        <f>C1758 &amp; "." &amp; D1758</f>
        <v>Vocabularies.VocabularyId</v>
      </c>
      <c r="C1758" s="3" t="s">
        <v>1893</v>
      </c>
      <c r="D1758" s="3" t="s">
        <v>5695</v>
      </c>
      <c r="E1758" s="3" t="s">
        <v>2416</v>
      </c>
      <c r="F1758" s="3" t="s">
        <v>2417</v>
      </c>
      <c r="G1758" s="3"/>
      <c r="H1758" s="3" t="s">
        <v>2383</v>
      </c>
      <c r="I1758" s="4" t="b">
        <f>OR(((E1758 = "calculated")=TRUE), ((E1758 = "lookup")=TRUE), ((E1758 = "aggregation")=TRUE))</f>
        <v>0</v>
      </c>
      <c r="J1758" s="4" t="b">
        <f>H1758 &lt;&gt; ""</f>
        <v>1</v>
      </c>
      <c r="K1758" s="4">
        <f>COUNTIFS(FieldDisagreements!D2:D50, A1758)</f>
        <v>0</v>
      </c>
      <c r="L1758" s="4" t="b">
        <f>K1758 &gt; 0</f>
        <v>0</v>
      </c>
      <c r="M1758" s="3" t="s">
        <v>2418</v>
      </c>
    </row>
    <row r="1759">
      <c r="A1759" s="3" t="s">
        <v>5696</v>
      </c>
      <c r="B1759" s="4" t="str">
        <f>C1759 &amp; "." &amp; D1759</f>
        <v>Vocabularies.Name</v>
      </c>
      <c r="C1759" s="3" t="s">
        <v>1893</v>
      </c>
      <c r="D1759" s="3" t="s">
        <v>1</v>
      </c>
      <c r="E1759" s="3" t="s">
        <v>2420</v>
      </c>
      <c r="F1759" s="3" t="s">
        <v>2417</v>
      </c>
      <c r="G1759" s="3" t="s">
        <v>2683</v>
      </c>
      <c r="H1759" s="3" t="s">
        <v>2383</v>
      </c>
      <c r="I1759" s="4" t="b">
        <f>OR(((E1759 = "calculated")=TRUE), ((E1759 = "lookup")=TRUE), ((E1759 = "aggregation")=TRUE))</f>
        <v>1</v>
      </c>
      <c r="J1759" s="4" t="b">
        <f>H1759 &lt;&gt; ""</f>
        <v>1</v>
      </c>
      <c r="K1759" s="4">
        <f>COUNTIFS(FieldDisagreements!D2:D50, A1759)</f>
        <v>0</v>
      </c>
      <c r="L1759" s="4" t="b">
        <f>K1759 &gt; 0</f>
        <v>0</v>
      </c>
      <c r="M1759" s="3" t="s">
        <v>2418</v>
      </c>
    </row>
    <row r="1760">
      <c r="A1760" s="3" t="s">
        <v>5697</v>
      </c>
      <c r="B1760" s="4" t="str">
        <f>C1760 &amp; "." &amp; D1760</f>
        <v>Vocabularies.Title</v>
      </c>
      <c r="C1760" s="3" t="s">
        <v>1893</v>
      </c>
      <c r="D1760" s="3" t="s">
        <v>358</v>
      </c>
      <c r="E1760" s="3" t="s">
        <v>2416</v>
      </c>
      <c r="F1760" s="3" t="s">
        <v>2417</v>
      </c>
      <c r="G1760" s="3"/>
      <c r="H1760" s="3" t="s">
        <v>2383</v>
      </c>
      <c r="I1760" s="4" t="b">
        <f>OR(((E1760 = "calculated")=TRUE), ((E1760 = "lookup")=TRUE), ((E1760 = "aggregation")=TRUE))</f>
        <v>0</v>
      </c>
      <c r="J1760" s="4" t="b">
        <f>H1760 &lt;&gt; ""</f>
        <v>1</v>
      </c>
      <c r="K1760" s="4">
        <f>COUNTIFS(FieldDisagreements!D2:D50, A1760)</f>
        <v>0</v>
      </c>
      <c r="L1760" s="4" t="b">
        <f>K1760 &gt; 0</f>
        <v>0</v>
      </c>
      <c r="M1760" s="3" t="s">
        <v>2418</v>
      </c>
    </row>
    <row r="1761">
      <c r="A1761" s="3" t="s">
        <v>5698</v>
      </c>
      <c r="B1761" s="4" t="str">
        <f>C1761 &amp; "." &amp; D1761</f>
        <v>Vocabularies.SchemeUri</v>
      </c>
      <c r="C1761" s="3" t="s">
        <v>1893</v>
      </c>
      <c r="D1761" s="3" t="s">
        <v>5699</v>
      </c>
      <c r="E1761" s="3" t="s">
        <v>2416</v>
      </c>
      <c r="F1761" s="3" t="s">
        <v>2417</v>
      </c>
      <c r="G1761" s="3"/>
      <c r="H1761" s="3" t="s">
        <v>2383</v>
      </c>
      <c r="I1761" s="4" t="b">
        <f>OR(((E1761 = "calculated")=TRUE), ((E1761 = "lookup")=TRUE), ((E1761 = "aggregation")=TRUE))</f>
        <v>0</v>
      </c>
      <c r="J1761" s="4" t="b">
        <f>H1761 &lt;&gt; ""</f>
        <v>1</v>
      </c>
      <c r="K1761" s="4">
        <f>COUNTIFS(FieldDisagreements!D2:D50, A1761)</f>
        <v>0</v>
      </c>
      <c r="L1761" s="4" t="b">
        <f>K1761 &gt; 0</f>
        <v>0</v>
      </c>
      <c r="M1761" s="3" t="s">
        <v>2418</v>
      </c>
    </row>
    <row r="1762">
      <c r="A1762" s="3" t="s">
        <v>5700</v>
      </c>
      <c r="B1762" s="4" t="str">
        <f>C1762 &amp; "." &amp; D1762</f>
        <v>Vocabularies.GoverningRole</v>
      </c>
      <c r="C1762" s="3" t="s">
        <v>1893</v>
      </c>
      <c r="D1762" s="3" t="s">
        <v>5701</v>
      </c>
      <c r="E1762" s="3" t="s">
        <v>2465</v>
      </c>
      <c r="F1762" s="3" t="s">
        <v>2417</v>
      </c>
      <c r="G1762" s="3"/>
      <c r="H1762" s="3" t="s">
        <v>2383</v>
      </c>
      <c r="I1762" s="4" t="b">
        <f>OR(((E1762 = "calculated")=TRUE), ((E1762 = "lookup")=TRUE), ((E1762 = "aggregation")=TRUE))</f>
        <v>0</v>
      </c>
      <c r="J1762" s="4" t="b">
        <f>H1762 &lt;&gt; ""</f>
        <v>1</v>
      </c>
      <c r="K1762" s="4">
        <f>COUNTIFS(FieldDisagreements!D2:D50, A1762)</f>
        <v>0</v>
      </c>
      <c r="L1762" s="4" t="b">
        <f>K1762 &gt; 0</f>
        <v>0</v>
      </c>
      <c r="M1762" s="3" t="s">
        <v>2418</v>
      </c>
    </row>
    <row r="1763">
      <c r="A1763" s="3" t="s">
        <v>5702</v>
      </c>
      <c r="B1763" s="4" t="str">
        <f>C1763 &amp; "." &amp; D1763</f>
        <v>Vocabularies.TermCount</v>
      </c>
      <c r="C1763" s="3" t="s">
        <v>1893</v>
      </c>
      <c r="D1763" s="3" t="s">
        <v>5703</v>
      </c>
      <c r="E1763" s="3" t="s">
        <v>2469</v>
      </c>
      <c r="F1763" s="3" t="s">
        <v>2475</v>
      </c>
      <c r="G1763" s="3" t="s">
        <v>5704</v>
      </c>
      <c r="H1763" s="3" t="s">
        <v>2383</v>
      </c>
      <c r="I1763" s="4" t="b">
        <f>OR(((E1763 = "calculated")=TRUE), ((E1763 = "lookup")=TRUE), ((E1763 = "aggregation")=TRUE))</f>
        <v>1</v>
      </c>
      <c r="J1763" s="4" t="b">
        <f>H1763 &lt;&gt; ""</f>
        <v>1</v>
      </c>
      <c r="K1763" s="4">
        <f>COUNTIFS(FieldDisagreements!D2:D50, A1763)</f>
        <v>0</v>
      </c>
      <c r="L1763" s="4" t="b">
        <f>K1763 &gt; 0</f>
        <v>0</v>
      </c>
      <c r="M1763" s="3" t="s">
        <v>2418</v>
      </c>
    </row>
    <row r="1764">
      <c r="A1764" s="3" t="s">
        <v>5705</v>
      </c>
      <c r="B1764" s="4" t="str">
        <f>C1764 &amp; "." &amp; D1764</f>
        <v>Vocabularies.OrphanTermCount</v>
      </c>
      <c r="C1764" s="3" t="s">
        <v>1893</v>
      </c>
      <c r="D1764" s="3" t="s">
        <v>5706</v>
      </c>
      <c r="E1764" s="3" t="s">
        <v>2469</v>
      </c>
      <c r="F1764" s="3" t="s">
        <v>2475</v>
      </c>
      <c r="G1764" s="3" t="s">
        <v>5707</v>
      </c>
      <c r="H1764" s="3" t="s">
        <v>2383</v>
      </c>
      <c r="I1764" s="4" t="b">
        <f>OR(((E1764 = "calculated")=TRUE), ((E1764 = "lookup")=TRUE), ((E1764 = "aggregation")=TRUE))</f>
        <v>1</v>
      </c>
      <c r="J1764" s="4" t="b">
        <f>H1764 &lt;&gt; ""</f>
        <v>1</v>
      </c>
      <c r="K1764" s="4">
        <f>COUNTIFS(FieldDisagreements!D2:D50, A1764)</f>
        <v>0</v>
      </c>
      <c r="L1764" s="4" t="b">
        <f>K1764 &gt; 0</f>
        <v>0</v>
      </c>
      <c r="M1764" s="3" t="s">
        <v>2418</v>
      </c>
    </row>
    <row r="1765">
      <c r="A1765" s="3" t="s">
        <v>5708</v>
      </c>
      <c r="B1765" s="4" t="str">
        <f>C1765 &amp; "." &amp; D1765</f>
        <v>Vocabularies.HasOrphanTerms</v>
      </c>
      <c r="C1765" s="3" t="s">
        <v>1893</v>
      </c>
      <c r="D1765" s="3" t="s">
        <v>5709</v>
      </c>
      <c r="E1765" s="3" t="s">
        <v>2420</v>
      </c>
      <c r="F1765" s="3" t="s">
        <v>2432</v>
      </c>
      <c r="G1765" s="3" t="s">
        <v>5710</v>
      </c>
      <c r="H1765" s="3" t="s">
        <v>2383</v>
      </c>
      <c r="I1765" s="4" t="b">
        <f>OR(((E1765 = "calculated")=TRUE), ((E1765 = "lookup")=TRUE), ((E1765 = "aggregation")=TRUE))</f>
        <v>1</v>
      </c>
      <c r="J1765" s="4" t="b">
        <f>H1765 &lt;&gt; ""</f>
        <v>1</v>
      </c>
      <c r="K1765" s="4">
        <f>COUNTIFS(FieldDisagreements!D2:D50, A1765)</f>
        <v>0</v>
      </c>
      <c r="L1765" s="4" t="b">
        <f>K1765 &gt; 0</f>
        <v>0</v>
      </c>
      <c r="M1765" s="3" t="s">
        <v>2418</v>
      </c>
    </row>
    <row r="1766">
      <c r="A1766" s="3" t="s">
        <v>5711</v>
      </c>
      <c r="B1766" s="4" t="str">
        <f>C1766 &amp; "." &amp; D1766</f>
        <v>Vocabularies.SemanticTypeIri</v>
      </c>
      <c r="C1766" s="3" t="s">
        <v>1893</v>
      </c>
      <c r="D1766" s="3" t="s">
        <v>94</v>
      </c>
      <c r="E1766" s="3" t="s">
        <v>2416</v>
      </c>
      <c r="F1766" s="3" t="s">
        <v>2417</v>
      </c>
      <c r="G1766" s="3"/>
      <c r="H1766" s="3" t="s">
        <v>2383</v>
      </c>
      <c r="I1766" s="4" t="b">
        <f>OR(((E1766 = "calculated")=TRUE), ((E1766 = "lookup")=TRUE), ((E1766 = "aggregation")=TRUE))</f>
        <v>0</v>
      </c>
      <c r="J1766" s="4" t="b">
        <f>H1766 &lt;&gt; ""</f>
        <v>1</v>
      </c>
      <c r="K1766" s="4">
        <f>COUNTIFS(FieldDisagreements!D2:D50, A1766)</f>
        <v>0</v>
      </c>
      <c r="L1766" s="4" t="b">
        <f>K1766 &gt; 0</f>
        <v>0</v>
      </c>
      <c r="M1766" s="3" t="s">
        <v>2418</v>
      </c>
    </row>
    <row r="1767">
      <c r="A1767" s="3" t="s">
        <v>5712</v>
      </c>
      <c r="B1767" s="4" t="str">
        <f>C1767 &amp; "." &amp; D1767</f>
        <v>VocabularyTerms.VocabularyTermId</v>
      </c>
      <c r="C1767" s="3" t="s">
        <v>1897</v>
      </c>
      <c r="D1767" s="3" t="s">
        <v>5713</v>
      </c>
      <c r="E1767" s="3" t="s">
        <v>2416</v>
      </c>
      <c r="F1767" s="3" t="s">
        <v>2417</v>
      </c>
      <c r="G1767" s="3"/>
      <c r="H1767" s="3" t="s">
        <v>2383</v>
      </c>
      <c r="I1767" s="4" t="b">
        <f>OR(((E1767 = "calculated")=TRUE), ((E1767 = "lookup")=TRUE), ((E1767 = "aggregation")=TRUE))</f>
        <v>0</v>
      </c>
      <c r="J1767" s="4" t="b">
        <f>H1767 &lt;&gt; ""</f>
        <v>1</v>
      </c>
      <c r="K1767" s="4">
        <f>COUNTIFS(FieldDisagreements!D2:D50, A1767)</f>
        <v>0</v>
      </c>
      <c r="L1767" s="4" t="b">
        <f>K1767 &gt; 0</f>
        <v>0</v>
      </c>
      <c r="M1767" s="3" t="s">
        <v>2418</v>
      </c>
    </row>
    <row r="1768">
      <c r="A1768" s="3" t="s">
        <v>5714</v>
      </c>
      <c r="B1768" s="4" t="str">
        <f>C1768 &amp; "." &amp; D1768</f>
        <v>VocabularyTerms.Name</v>
      </c>
      <c r="C1768" s="3" t="s">
        <v>1897</v>
      </c>
      <c r="D1768" s="3" t="s">
        <v>1</v>
      </c>
      <c r="E1768" s="3" t="s">
        <v>2420</v>
      </c>
      <c r="F1768" s="3" t="s">
        <v>2417</v>
      </c>
      <c r="G1768" s="3" t="s">
        <v>5715</v>
      </c>
      <c r="H1768" s="3" t="s">
        <v>2383</v>
      </c>
      <c r="I1768" s="4" t="b">
        <f>OR(((E1768 = "calculated")=TRUE), ((E1768 = "lookup")=TRUE), ((E1768 = "aggregation")=TRUE))</f>
        <v>1</v>
      </c>
      <c r="J1768" s="4" t="b">
        <f>H1768 &lt;&gt; ""</f>
        <v>1</v>
      </c>
      <c r="K1768" s="4">
        <f>COUNTIFS(FieldDisagreements!D2:D50, A1768)</f>
        <v>0</v>
      </c>
      <c r="L1768" s="4" t="b">
        <f>K1768 &gt; 0</f>
        <v>0</v>
      </c>
      <c r="M1768" s="3" t="s">
        <v>2418</v>
      </c>
    </row>
    <row r="1769">
      <c r="A1769" s="3" t="s">
        <v>5716</v>
      </c>
      <c r="B1769" s="4" t="str">
        <f>C1769 &amp; "." &amp; D1769</f>
        <v>VocabularyTerms.Vocabulary</v>
      </c>
      <c r="C1769" s="3" t="s">
        <v>1897</v>
      </c>
      <c r="D1769" s="3" t="s">
        <v>5717</v>
      </c>
      <c r="E1769" s="3" t="s">
        <v>2465</v>
      </c>
      <c r="F1769" s="3" t="s">
        <v>2417</v>
      </c>
      <c r="G1769" s="3"/>
      <c r="H1769" s="3" t="s">
        <v>2383</v>
      </c>
      <c r="I1769" s="4" t="b">
        <f>OR(((E1769 = "calculated")=TRUE), ((E1769 = "lookup")=TRUE), ((E1769 = "aggregation")=TRUE))</f>
        <v>0</v>
      </c>
      <c r="J1769" s="4" t="b">
        <f>H1769 &lt;&gt; ""</f>
        <v>1</v>
      </c>
      <c r="K1769" s="4">
        <f>COUNTIFS(FieldDisagreements!D2:D50, A1769)</f>
        <v>0</v>
      </c>
      <c r="L1769" s="4" t="b">
        <f>K1769 &gt; 0</f>
        <v>0</v>
      </c>
      <c r="M1769" s="3" t="s">
        <v>2418</v>
      </c>
    </row>
    <row r="1770">
      <c r="A1770" s="3" t="s">
        <v>5718</v>
      </c>
      <c r="B1770" s="4" t="str">
        <f>C1770 &amp; "." &amp; D1770</f>
        <v>VocabularyTerms.PrefLabel</v>
      </c>
      <c r="C1770" s="3" t="s">
        <v>1897</v>
      </c>
      <c r="D1770" s="3" t="s">
        <v>5719</v>
      </c>
      <c r="E1770" s="3" t="s">
        <v>2416</v>
      </c>
      <c r="F1770" s="3" t="s">
        <v>2417</v>
      </c>
      <c r="G1770" s="3"/>
      <c r="H1770" s="3" t="s">
        <v>2383</v>
      </c>
      <c r="I1770" s="4" t="b">
        <f>OR(((E1770 = "calculated")=TRUE), ((E1770 = "lookup")=TRUE), ((E1770 = "aggregation")=TRUE))</f>
        <v>0</v>
      </c>
      <c r="J1770" s="4" t="b">
        <f>H1770 &lt;&gt; ""</f>
        <v>1</v>
      </c>
      <c r="K1770" s="4">
        <f>COUNTIFS(FieldDisagreements!D2:D50, A1770)</f>
        <v>0</v>
      </c>
      <c r="L1770" s="4" t="b">
        <f>K1770 &gt; 0</f>
        <v>0</v>
      </c>
      <c r="M1770" s="3" t="s">
        <v>2418</v>
      </c>
    </row>
    <row r="1771">
      <c r="A1771" s="3" t="s">
        <v>5720</v>
      </c>
      <c r="B1771" s="4" t="str">
        <f>C1771 &amp; "." &amp; D1771</f>
        <v>VocabularyTerms.AltLabels</v>
      </c>
      <c r="C1771" s="3" t="s">
        <v>1897</v>
      </c>
      <c r="D1771" s="3" t="s">
        <v>5721</v>
      </c>
      <c r="E1771" s="3" t="s">
        <v>2416</v>
      </c>
      <c r="F1771" s="3" t="s">
        <v>2417</v>
      </c>
      <c r="G1771" s="3"/>
      <c r="H1771" s="3" t="s">
        <v>2383</v>
      </c>
      <c r="I1771" s="4" t="b">
        <f>OR(((E1771 = "calculated")=TRUE), ((E1771 = "lookup")=TRUE), ((E1771 = "aggregation")=TRUE))</f>
        <v>0</v>
      </c>
      <c r="J1771" s="4" t="b">
        <f>H1771 &lt;&gt; ""</f>
        <v>1</v>
      </c>
      <c r="K1771" s="4">
        <f>COUNTIFS(FieldDisagreements!D2:D50, A1771)</f>
        <v>0</v>
      </c>
      <c r="L1771" s="4" t="b">
        <f>K1771 &gt; 0</f>
        <v>0</v>
      </c>
      <c r="M1771" s="3" t="s">
        <v>2418</v>
      </c>
    </row>
    <row r="1772">
      <c r="A1772" s="3" t="s">
        <v>5722</v>
      </c>
      <c r="B1772" s="4" t="str">
        <f>C1772 &amp; "." &amp; D1772</f>
        <v>VocabularyTerms.Definition</v>
      </c>
      <c r="C1772" s="3" t="s">
        <v>1897</v>
      </c>
      <c r="D1772" s="3" t="s">
        <v>349</v>
      </c>
      <c r="E1772" s="3" t="s">
        <v>2416</v>
      </c>
      <c r="F1772" s="3" t="s">
        <v>2417</v>
      </c>
      <c r="G1772" s="3"/>
      <c r="H1772" s="3" t="s">
        <v>2383</v>
      </c>
      <c r="I1772" s="4" t="b">
        <f>OR(((E1772 = "calculated")=TRUE), ((E1772 = "lookup")=TRUE), ((E1772 = "aggregation")=TRUE))</f>
        <v>0</v>
      </c>
      <c r="J1772" s="4" t="b">
        <f>H1772 &lt;&gt; ""</f>
        <v>1</v>
      </c>
      <c r="K1772" s="4">
        <f>COUNTIFS(FieldDisagreements!D2:D50, A1772)</f>
        <v>0</v>
      </c>
      <c r="L1772" s="4" t="b">
        <f>K1772 &gt; 0</f>
        <v>0</v>
      </c>
      <c r="M1772" s="3" t="s">
        <v>2418</v>
      </c>
    </row>
    <row r="1773">
      <c r="A1773" s="3" t="s">
        <v>5723</v>
      </c>
      <c r="B1773" s="4" t="str">
        <f>C1773 &amp; "." &amp; D1773</f>
        <v>VocabularyTerms.UsageCount</v>
      </c>
      <c r="C1773" s="3" t="s">
        <v>1897</v>
      </c>
      <c r="D1773" s="3" t="s">
        <v>5544</v>
      </c>
      <c r="E1773" s="3" t="s">
        <v>2469</v>
      </c>
      <c r="F1773" s="3" t="s">
        <v>2475</v>
      </c>
      <c r="G1773" s="3" t="s">
        <v>5724</v>
      </c>
      <c r="H1773" s="3" t="s">
        <v>2383</v>
      </c>
      <c r="I1773" s="4" t="b">
        <f>OR(((E1773 = "calculated")=TRUE), ((E1773 = "lookup")=TRUE), ((E1773 = "aggregation")=TRUE))</f>
        <v>1</v>
      </c>
      <c r="J1773" s="4" t="b">
        <f>H1773 &lt;&gt; ""</f>
        <v>1</v>
      </c>
      <c r="K1773" s="4">
        <f>COUNTIFS(FieldDisagreements!D2:D50, A1773)</f>
        <v>0</v>
      </c>
      <c r="L1773" s="4" t="b">
        <f>K1773 &gt; 0</f>
        <v>0</v>
      </c>
      <c r="M1773" s="3" t="s">
        <v>2418</v>
      </c>
    </row>
    <row r="1774">
      <c r="A1774" s="3" t="s">
        <v>5725</v>
      </c>
      <c r="B1774" s="4" t="str">
        <f>C1774 &amp; "." &amp; D1774</f>
        <v>VocabularyTerms.IsOrphanTerm</v>
      </c>
      <c r="C1774" s="3" t="s">
        <v>1897</v>
      </c>
      <c r="D1774" s="3" t="s">
        <v>5726</v>
      </c>
      <c r="E1774" s="3" t="s">
        <v>2420</v>
      </c>
      <c r="F1774" s="3" t="s">
        <v>2432</v>
      </c>
      <c r="G1774" s="3" t="s">
        <v>5727</v>
      </c>
      <c r="H1774" s="3" t="s">
        <v>2383</v>
      </c>
      <c r="I1774" s="4" t="b">
        <f>OR(((E1774 = "calculated")=TRUE), ((E1774 = "lookup")=TRUE), ((E1774 = "aggregation")=TRUE))</f>
        <v>1</v>
      </c>
      <c r="J1774" s="4" t="b">
        <f>H1774 &lt;&gt; ""</f>
        <v>1</v>
      </c>
      <c r="K1774" s="4">
        <f>COUNTIFS(FieldDisagreements!D2:D50, A1774)</f>
        <v>0</v>
      </c>
      <c r="L1774" s="4" t="b">
        <f>K1774 &gt; 0</f>
        <v>0</v>
      </c>
      <c r="M1774" s="3" t="s">
        <v>2418</v>
      </c>
    </row>
    <row r="1775">
      <c r="A1775" s="3" t="s">
        <v>5728</v>
      </c>
      <c r="B1775" s="4" t="str">
        <f>C1775 &amp; "." &amp; D1775</f>
        <v>VocabularyTerms.IsWidelyAdoptedTerm</v>
      </c>
      <c r="C1775" s="3" t="s">
        <v>1897</v>
      </c>
      <c r="D1775" s="3" t="s">
        <v>5729</v>
      </c>
      <c r="E1775" s="3" t="s">
        <v>2420</v>
      </c>
      <c r="F1775" s="3" t="s">
        <v>2432</v>
      </c>
      <c r="G1775" s="3" t="s">
        <v>5730</v>
      </c>
      <c r="H1775" s="3" t="s">
        <v>2383</v>
      </c>
      <c r="I1775" s="4" t="b">
        <f>OR(((E1775 = "calculated")=TRUE), ((E1775 = "lookup")=TRUE), ((E1775 = "aggregation")=TRUE))</f>
        <v>1</v>
      </c>
      <c r="J1775" s="4" t="b">
        <f>H1775 &lt;&gt; ""</f>
        <v>1</v>
      </c>
      <c r="K1775" s="4">
        <f>COUNTIFS(FieldDisagreements!D2:D50, A1775)</f>
        <v>0</v>
      </c>
      <c r="L1775" s="4" t="b">
        <f>K1775 &gt; 0</f>
        <v>0</v>
      </c>
      <c r="M1775" s="3" t="s">
        <v>2418</v>
      </c>
    </row>
    <row r="1776">
      <c r="A1776" s="3" t="s">
        <v>5731</v>
      </c>
      <c r="B1776" s="4" t="str">
        <f>C1776 &amp; "." &amp; D1776</f>
        <v>VocabularyTerms.OrphanTermVocabularyKey</v>
      </c>
      <c r="C1776" s="3" t="s">
        <v>1897</v>
      </c>
      <c r="D1776" s="3" t="s">
        <v>5732</v>
      </c>
      <c r="E1776" s="3" t="s">
        <v>2420</v>
      </c>
      <c r="F1776" s="3" t="s">
        <v>2417</v>
      </c>
      <c r="G1776" s="3" t="s">
        <v>5733</v>
      </c>
      <c r="H1776" s="3" t="s">
        <v>2383</v>
      </c>
      <c r="I1776" s="4" t="b">
        <f>OR(((E1776 = "calculated")=TRUE), ((E1776 = "lookup")=TRUE), ((E1776 = "aggregation")=TRUE))</f>
        <v>1</v>
      </c>
      <c r="J1776" s="4" t="b">
        <f>H1776 &lt;&gt; ""</f>
        <v>1</v>
      </c>
      <c r="K1776" s="4">
        <f>COUNTIFS(FieldDisagreements!D2:D50, A1776)</f>
        <v>0</v>
      </c>
      <c r="L1776" s="4" t="b">
        <f>K1776 &gt; 0</f>
        <v>0</v>
      </c>
      <c r="M1776" s="3" t="s">
        <v>2418</v>
      </c>
    </row>
    <row r="1777">
      <c r="A1777" s="3" t="s">
        <v>5734</v>
      </c>
      <c r="B1777" s="4" t="str">
        <f>C1777 &amp; "." &amp; D1777</f>
        <v>VocabularyTerms.SemanticTypeIri</v>
      </c>
      <c r="C1777" s="3" t="s">
        <v>1897</v>
      </c>
      <c r="D1777" s="3" t="s">
        <v>94</v>
      </c>
      <c r="E1777" s="3" t="s">
        <v>2416</v>
      </c>
      <c r="F1777" s="3" t="s">
        <v>2417</v>
      </c>
      <c r="G1777" s="3"/>
      <c r="H1777" s="3" t="s">
        <v>2383</v>
      </c>
      <c r="I1777" s="4" t="b">
        <f>OR(((E1777 = "calculated")=TRUE), ((E1777 = "lookup")=TRUE), ((E1777 = "aggregation")=TRUE))</f>
        <v>0</v>
      </c>
      <c r="J1777" s="4" t="b">
        <f>H1777 &lt;&gt; ""</f>
        <v>1</v>
      </c>
      <c r="K1777" s="4">
        <f>COUNTIFS(FieldDisagreements!D2:D50, A1777)</f>
        <v>0</v>
      </c>
      <c r="L1777" s="4" t="b">
        <f>K1777 &gt; 0</f>
        <v>0</v>
      </c>
      <c r="M1777" s="3" t="s">
        <v>2418</v>
      </c>
    </row>
    <row r="1778">
      <c r="A1778" s="3" t="s">
        <v>5735</v>
      </c>
      <c r="B1778" s="4" t="str">
        <f>C1778 &amp; "." &amp; D1778</f>
        <v>KnowledgeBrokerLinks.KnowledgeBrokerLinkId</v>
      </c>
      <c r="C1778" s="3" t="s">
        <v>1901</v>
      </c>
      <c r="D1778" s="3" t="s">
        <v>5736</v>
      </c>
      <c r="E1778" s="3" t="s">
        <v>2416</v>
      </c>
      <c r="F1778" s="3" t="s">
        <v>2417</v>
      </c>
      <c r="G1778" s="3"/>
      <c r="H1778" s="3" t="s">
        <v>2387</v>
      </c>
      <c r="I1778" s="4" t="b">
        <f>OR(((E1778 = "calculated")=TRUE), ((E1778 = "lookup")=TRUE), ((E1778 = "aggregation")=TRUE))</f>
        <v>0</v>
      </c>
      <c r="J1778" s="4" t="b">
        <f>H1778 &lt;&gt; ""</f>
        <v>1</v>
      </c>
      <c r="K1778" s="4">
        <f>COUNTIFS(FieldDisagreements!D2:D50, A1778)</f>
        <v>0</v>
      </c>
      <c r="L1778" s="4" t="b">
        <f>K1778 &gt; 0</f>
        <v>0</v>
      </c>
      <c r="M1778" s="3" t="s">
        <v>2418</v>
      </c>
    </row>
    <row r="1779">
      <c r="A1779" s="3" t="s">
        <v>5737</v>
      </c>
      <c r="B1779" s="4" t="str">
        <f>C1779 &amp; "." &amp; D1779</f>
        <v>KnowledgeBrokerLinks.Name</v>
      </c>
      <c r="C1779" s="3" t="s">
        <v>1901</v>
      </c>
      <c r="D1779" s="3" t="s">
        <v>1</v>
      </c>
      <c r="E1779" s="3" t="s">
        <v>2420</v>
      </c>
      <c r="F1779" s="3" t="s">
        <v>2417</v>
      </c>
      <c r="G1779" s="3" t="s">
        <v>5738</v>
      </c>
      <c r="H1779" s="3" t="s">
        <v>2387</v>
      </c>
      <c r="I1779" s="4" t="b">
        <f>OR(((E1779 = "calculated")=TRUE), ((E1779 = "lookup")=TRUE), ((E1779 = "aggregation")=TRUE))</f>
        <v>1</v>
      </c>
      <c r="J1779" s="4" t="b">
        <f>H1779 &lt;&gt; ""</f>
        <v>1</v>
      </c>
      <c r="K1779" s="4">
        <f>COUNTIFS(FieldDisagreements!D2:D50, A1779)</f>
        <v>0</v>
      </c>
      <c r="L1779" s="4" t="b">
        <f>K1779 &gt; 0</f>
        <v>0</v>
      </c>
      <c r="M1779" s="3" t="s">
        <v>2418</v>
      </c>
    </row>
    <row r="1780">
      <c r="A1780" s="3" t="s">
        <v>5739</v>
      </c>
      <c r="B1780" s="4" t="str">
        <f>C1780 &amp; "." &amp; D1780</f>
        <v>KnowledgeBrokerLinks.Seeker</v>
      </c>
      <c r="C1780" s="3" t="s">
        <v>1901</v>
      </c>
      <c r="D1780" s="3" t="s">
        <v>5740</v>
      </c>
      <c r="E1780" s="3" t="s">
        <v>2465</v>
      </c>
      <c r="F1780" s="3" t="s">
        <v>2417</v>
      </c>
      <c r="G1780" s="3"/>
      <c r="H1780" s="3" t="s">
        <v>2387</v>
      </c>
      <c r="I1780" s="4" t="b">
        <f>OR(((E1780 = "calculated")=TRUE), ((E1780 = "lookup")=TRUE), ((E1780 = "aggregation")=TRUE))</f>
        <v>0</v>
      </c>
      <c r="J1780" s="4" t="b">
        <f>H1780 &lt;&gt; ""</f>
        <v>1</v>
      </c>
      <c r="K1780" s="4">
        <f>COUNTIFS(FieldDisagreements!D2:D50, A1780)</f>
        <v>0</v>
      </c>
      <c r="L1780" s="4" t="b">
        <f>K1780 &gt; 0</f>
        <v>0</v>
      </c>
      <c r="M1780" s="3" t="s">
        <v>2418</v>
      </c>
    </row>
    <row r="1781">
      <c r="A1781" s="3" t="s">
        <v>5741</v>
      </c>
      <c r="B1781" s="4" t="str">
        <f>C1781 &amp; "." &amp; D1781</f>
        <v>KnowledgeBrokerLinks.Broker</v>
      </c>
      <c r="C1781" s="3" t="s">
        <v>1901</v>
      </c>
      <c r="D1781" s="3" t="s">
        <v>5742</v>
      </c>
      <c r="E1781" s="3" t="s">
        <v>2465</v>
      </c>
      <c r="F1781" s="3" t="s">
        <v>2417</v>
      </c>
      <c r="G1781" s="3"/>
      <c r="H1781" s="3" t="s">
        <v>2387</v>
      </c>
      <c r="I1781" s="4" t="b">
        <f>OR(((E1781 = "calculated")=TRUE), ((E1781 = "lookup")=TRUE), ((E1781 = "aggregation")=TRUE))</f>
        <v>0</v>
      </c>
      <c r="J1781" s="4" t="b">
        <f>H1781 &lt;&gt; ""</f>
        <v>1</v>
      </c>
      <c r="K1781" s="4">
        <f>COUNTIFS(FieldDisagreements!D2:D50, A1781)</f>
        <v>0</v>
      </c>
      <c r="L1781" s="4" t="b">
        <f>K1781 &gt; 0</f>
        <v>0</v>
      </c>
      <c r="M1781" s="3" t="s">
        <v>2418</v>
      </c>
    </row>
    <row r="1782">
      <c r="A1782" s="3" t="s">
        <v>5743</v>
      </c>
      <c r="B1782" s="4" t="str">
        <f>C1782 &amp; "." &amp; D1782</f>
        <v>KnowledgeBrokerLinks.Topic</v>
      </c>
      <c r="C1782" s="3" t="s">
        <v>1901</v>
      </c>
      <c r="D1782" s="3" t="s">
        <v>5744</v>
      </c>
      <c r="E1782" s="3" t="s">
        <v>2465</v>
      </c>
      <c r="F1782" s="3" t="s">
        <v>2417</v>
      </c>
      <c r="G1782" s="3"/>
      <c r="H1782" s="3" t="s">
        <v>2387</v>
      </c>
      <c r="I1782" s="4" t="b">
        <f>OR(((E1782 = "calculated")=TRUE), ((E1782 = "lookup")=TRUE), ((E1782 = "aggregation")=TRUE))</f>
        <v>0</v>
      </c>
      <c r="J1782" s="4" t="b">
        <f>H1782 &lt;&gt; ""</f>
        <v>1</v>
      </c>
      <c r="K1782" s="4">
        <f>COUNTIFS(FieldDisagreements!D2:D50, A1782)</f>
        <v>0</v>
      </c>
      <c r="L1782" s="4" t="b">
        <f>K1782 &gt; 0</f>
        <v>0</v>
      </c>
      <c r="M1782" s="3" t="s">
        <v>2418</v>
      </c>
    </row>
    <row r="1783">
      <c r="A1783" s="3" t="s">
        <v>5745</v>
      </c>
      <c r="B1783" s="4" t="str">
        <f>C1783 &amp; "." &amp; D1783</f>
        <v>KnowledgeBrokerLinks.Frequency</v>
      </c>
      <c r="C1783" s="3" t="s">
        <v>1901</v>
      </c>
      <c r="D1783" s="3" t="s">
        <v>5746</v>
      </c>
      <c r="E1783" s="3" t="s">
        <v>2416</v>
      </c>
      <c r="F1783" s="3" t="s">
        <v>2417</v>
      </c>
      <c r="G1783" s="3"/>
      <c r="H1783" s="3" t="s">
        <v>2387</v>
      </c>
      <c r="I1783" s="4" t="b">
        <f>OR(((E1783 = "calculated")=TRUE), ((E1783 = "lookup")=TRUE), ((E1783 = "aggregation")=TRUE))</f>
        <v>0</v>
      </c>
      <c r="J1783" s="4" t="b">
        <f>H1783 &lt;&gt; ""</f>
        <v>1</v>
      </c>
      <c r="K1783" s="4">
        <f>COUNTIFS(FieldDisagreements!D2:D50, A1783)</f>
        <v>0</v>
      </c>
      <c r="L1783" s="4" t="b">
        <f>K1783 &gt; 0</f>
        <v>0</v>
      </c>
      <c r="M1783" s="3" t="s">
        <v>2418</v>
      </c>
    </row>
    <row r="1784">
      <c r="A1784" s="3" t="s">
        <v>5747</v>
      </c>
      <c r="B1784" s="4" t="str">
        <f>C1784 &amp; "." &amp; D1784</f>
        <v>KnowledgeBrokerLinks.LastConsultedAt</v>
      </c>
      <c r="C1784" s="3" t="s">
        <v>1901</v>
      </c>
      <c r="D1784" s="3" t="s">
        <v>5748</v>
      </c>
      <c r="E1784" s="3" t="s">
        <v>2416</v>
      </c>
      <c r="F1784" s="3" t="s">
        <v>2428</v>
      </c>
      <c r="G1784" s="3"/>
      <c r="H1784" s="3" t="s">
        <v>2387</v>
      </c>
      <c r="I1784" s="4" t="b">
        <f>OR(((E1784 = "calculated")=TRUE), ((E1784 = "lookup")=TRUE), ((E1784 = "aggregation")=TRUE))</f>
        <v>0</v>
      </c>
      <c r="J1784" s="4" t="b">
        <f>H1784 &lt;&gt; ""</f>
        <v>1</v>
      </c>
      <c r="K1784" s="4">
        <f>COUNTIFS(FieldDisagreements!D2:D50, A1784)</f>
        <v>0</v>
      </c>
      <c r="L1784" s="4" t="b">
        <f>K1784 &gt; 0</f>
        <v>0</v>
      </c>
      <c r="M1784" s="3" t="s">
        <v>2418</v>
      </c>
    </row>
    <row r="1785">
      <c r="A1785" s="3" t="s">
        <v>5749</v>
      </c>
      <c r="B1785" s="4" t="str">
        <f>C1785 &amp; "." &amp; D1785</f>
        <v>KnowledgeBrokerLinks.EvaluationContext</v>
      </c>
      <c r="C1785" s="3" t="s">
        <v>1901</v>
      </c>
      <c r="D1785" s="3" t="s">
        <v>258</v>
      </c>
      <c r="E1785" s="3" t="s">
        <v>2465</v>
      </c>
      <c r="F1785" s="3" t="s">
        <v>2417</v>
      </c>
      <c r="G1785" s="3"/>
      <c r="H1785" s="3" t="s">
        <v>2387</v>
      </c>
      <c r="I1785" s="4" t="b">
        <f>OR(((E1785 = "calculated")=TRUE), ((E1785 = "lookup")=TRUE), ((E1785 = "aggregation")=TRUE))</f>
        <v>0</v>
      </c>
      <c r="J1785" s="4" t="b">
        <f>H1785 &lt;&gt; ""</f>
        <v>1</v>
      </c>
      <c r="K1785" s="4">
        <f>COUNTIFS(FieldDisagreements!D2:D50, A1785)</f>
        <v>0</v>
      </c>
      <c r="L1785" s="4" t="b">
        <f>K1785 &gt; 0</f>
        <v>0</v>
      </c>
      <c r="M1785" s="3" t="s">
        <v>2418</v>
      </c>
    </row>
    <row r="1786">
      <c r="A1786" s="3" t="s">
        <v>5750</v>
      </c>
      <c r="B1786" s="4" t="str">
        <f>C1786 &amp; "." &amp; D1786</f>
        <v>KnowledgeBrokerLinks.AsOfInstant</v>
      </c>
      <c r="C1786" s="3" t="s">
        <v>1901</v>
      </c>
      <c r="D1786" s="3" t="s">
        <v>92</v>
      </c>
      <c r="E1786" s="3" t="s">
        <v>2509</v>
      </c>
      <c r="F1786" s="3" t="s">
        <v>2428</v>
      </c>
      <c r="G1786" s="3" t="s">
        <v>2555</v>
      </c>
      <c r="H1786" s="3" t="s">
        <v>2387</v>
      </c>
      <c r="I1786" s="4" t="b">
        <f>OR(((E1786 = "calculated")=TRUE), ((E1786 = "lookup")=TRUE), ((E1786 = "aggregation")=TRUE))</f>
        <v>1</v>
      </c>
      <c r="J1786" s="4" t="b">
        <f>H1786 &lt;&gt; ""</f>
        <v>1</v>
      </c>
      <c r="K1786" s="4">
        <f>COUNTIFS(FieldDisagreements!D2:D50, A1786)</f>
        <v>0</v>
      </c>
      <c r="L1786" s="4" t="b">
        <f>K1786 &gt; 0</f>
        <v>0</v>
      </c>
      <c r="M1786" s="3" t="s">
        <v>2418</v>
      </c>
    </row>
    <row r="1787">
      <c r="A1787" s="3" t="s">
        <v>5751</v>
      </c>
      <c r="B1787" s="4" t="str">
        <f>C1787 &amp; "." &amp; D1787</f>
        <v>KnowledgeBrokerLinks.DaysSinceConsulted</v>
      </c>
      <c r="C1787" s="3" t="s">
        <v>1901</v>
      </c>
      <c r="D1787" s="3" t="s">
        <v>5752</v>
      </c>
      <c r="E1787" s="3" t="s">
        <v>2420</v>
      </c>
      <c r="F1787" s="3" t="s">
        <v>2470</v>
      </c>
      <c r="G1787" s="3" t="s">
        <v>5753</v>
      </c>
      <c r="H1787" s="3" t="s">
        <v>2387</v>
      </c>
      <c r="I1787" s="4" t="b">
        <f>OR(((E1787 = "calculated")=TRUE), ((E1787 = "lookup")=TRUE), ((E1787 = "aggregation")=TRUE))</f>
        <v>1</v>
      </c>
      <c r="J1787" s="4" t="b">
        <f>H1787 &lt;&gt; ""</f>
        <v>1</v>
      </c>
      <c r="K1787" s="4">
        <f>COUNTIFS(FieldDisagreements!D2:D50, A1787)</f>
        <v>0</v>
      </c>
      <c r="L1787" s="4" t="b">
        <f>K1787 &gt; 0</f>
        <v>0</v>
      </c>
      <c r="M1787" s="3" t="s">
        <v>2418</v>
      </c>
    </row>
    <row r="1788">
      <c r="A1788" s="3" t="s">
        <v>5754</v>
      </c>
      <c r="B1788" s="4" t="str">
        <f>C1788 &amp; "." &amp; D1788</f>
        <v>KnowledgeBrokerLinks.IsActiveReliance</v>
      </c>
      <c r="C1788" s="3" t="s">
        <v>1901</v>
      </c>
      <c r="D1788" s="3" t="s">
        <v>5755</v>
      </c>
      <c r="E1788" s="3" t="s">
        <v>2420</v>
      </c>
      <c r="F1788" s="3" t="s">
        <v>2432</v>
      </c>
      <c r="G1788" s="3" t="s">
        <v>5756</v>
      </c>
      <c r="H1788" s="3" t="s">
        <v>2387</v>
      </c>
      <c r="I1788" s="4" t="b">
        <f>OR(((E1788 = "calculated")=TRUE), ((E1788 = "lookup")=TRUE), ((E1788 = "aggregation")=TRUE))</f>
        <v>1</v>
      </c>
      <c r="J1788" s="4" t="b">
        <f>H1788 &lt;&gt; ""</f>
        <v>1</v>
      </c>
      <c r="K1788" s="4">
        <f>COUNTIFS(FieldDisagreements!D2:D50, A1788)</f>
        <v>0</v>
      </c>
      <c r="L1788" s="4" t="b">
        <f>K1788 &gt; 0</f>
        <v>0</v>
      </c>
      <c r="M1788" s="3" t="s">
        <v>2418</v>
      </c>
    </row>
    <row r="1789">
      <c r="A1789" s="3" t="s">
        <v>5757</v>
      </c>
      <c r="B1789" s="4" t="str">
        <f>C1789 &amp; "." &amp; D1789</f>
        <v>KnowledgeBrokerLinks.BrokerIsStillEngaged</v>
      </c>
      <c r="C1789" s="3" t="s">
        <v>1901</v>
      </c>
      <c r="D1789" s="3" t="s">
        <v>5758</v>
      </c>
      <c r="E1789" s="3" t="s">
        <v>2509</v>
      </c>
      <c r="F1789" s="3" t="s">
        <v>2432</v>
      </c>
      <c r="G1789" s="3" t="s">
        <v>5759</v>
      </c>
      <c r="H1789" s="3" t="s">
        <v>2387</v>
      </c>
      <c r="I1789" s="4" t="b">
        <f>OR(((E1789 = "calculated")=TRUE), ((E1789 = "lookup")=TRUE), ((E1789 = "aggregation")=TRUE))</f>
        <v>1</v>
      </c>
      <c r="J1789" s="4" t="b">
        <f>H1789 &lt;&gt; ""</f>
        <v>1</v>
      </c>
      <c r="K1789" s="4">
        <f>COUNTIFS(FieldDisagreements!D2:D50, A1789)</f>
        <v>0</v>
      </c>
      <c r="L1789" s="4" t="b">
        <f>K1789 &gt; 0</f>
        <v>0</v>
      </c>
      <c r="M1789" s="3" t="s">
        <v>2418</v>
      </c>
    </row>
    <row r="1790">
      <c r="A1790" s="3" t="s">
        <v>5760</v>
      </c>
      <c r="B1790" s="4" t="str">
        <f>C1790 &amp; "." &amp; D1790</f>
        <v>KnowledgeBrokerLinks.IsAtRiskReliance</v>
      </c>
      <c r="C1790" s="3" t="s">
        <v>1901</v>
      </c>
      <c r="D1790" s="3" t="s">
        <v>5761</v>
      </c>
      <c r="E1790" s="3" t="s">
        <v>2420</v>
      </c>
      <c r="F1790" s="3" t="s">
        <v>2432</v>
      </c>
      <c r="G1790" s="3" t="s">
        <v>5762</v>
      </c>
      <c r="H1790" s="3" t="s">
        <v>2387</v>
      </c>
      <c r="I1790" s="4" t="b">
        <f>OR(((E1790 = "calculated")=TRUE), ((E1790 = "lookup")=TRUE), ((E1790 = "aggregation")=TRUE))</f>
        <v>1</v>
      </c>
      <c r="J1790" s="4" t="b">
        <f>H1790 &lt;&gt; ""</f>
        <v>1</v>
      </c>
      <c r="K1790" s="4">
        <f>COUNTIFS(FieldDisagreements!D2:D50, A1790)</f>
        <v>0</v>
      </c>
      <c r="L1790" s="4" t="b">
        <f>K1790 &gt; 0</f>
        <v>0</v>
      </c>
      <c r="M1790" s="3" t="s">
        <v>2418</v>
      </c>
    </row>
    <row r="1791">
      <c r="A1791" s="3" t="s">
        <v>5763</v>
      </c>
      <c r="B1791" s="4" t="str">
        <f>C1791 &amp; "." &amp; D1791</f>
        <v>KnowledgeBrokerLinks.ActiveRelianceBrokerKey</v>
      </c>
      <c r="C1791" s="3" t="s">
        <v>1901</v>
      </c>
      <c r="D1791" s="3" t="s">
        <v>5764</v>
      </c>
      <c r="E1791" s="3" t="s">
        <v>2420</v>
      </c>
      <c r="F1791" s="3" t="s">
        <v>2417</v>
      </c>
      <c r="G1791" s="3" t="s">
        <v>5765</v>
      </c>
      <c r="H1791" s="3" t="s">
        <v>2387</v>
      </c>
      <c r="I1791" s="4" t="b">
        <f>OR(((E1791 = "calculated")=TRUE), ((E1791 = "lookup")=TRUE), ((E1791 = "aggregation")=TRUE))</f>
        <v>1</v>
      </c>
      <c r="J1791" s="4" t="b">
        <f>H1791 &lt;&gt; ""</f>
        <v>1</v>
      </c>
      <c r="K1791" s="4">
        <f>COUNTIFS(FieldDisagreements!D2:D50, A1791)</f>
        <v>0</v>
      </c>
      <c r="L1791" s="4" t="b">
        <f>K1791 &gt; 0</f>
        <v>0</v>
      </c>
      <c r="M1791" s="3" t="s">
        <v>2418</v>
      </c>
    </row>
    <row r="1792">
      <c r="A1792" s="3" t="s">
        <v>5766</v>
      </c>
      <c r="B1792" s="4" t="str">
        <f>C1792 &amp; "." &amp; D1792</f>
        <v>KnowledgeBrokerLinks.AtRiskBrokerKey</v>
      </c>
      <c r="C1792" s="3" t="s">
        <v>1901</v>
      </c>
      <c r="D1792" s="3" t="s">
        <v>5767</v>
      </c>
      <c r="E1792" s="3" t="s">
        <v>2420</v>
      </c>
      <c r="F1792" s="3" t="s">
        <v>2417</v>
      </c>
      <c r="G1792" s="3" t="s">
        <v>5768</v>
      </c>
      <c r="H1792" s="3" t="s">
        <v>2387</v>
      </c>
      <c r="I1792" s="4" t="b">
        <f>OR(((E1792 = "calculated")=TRUE), ((E1792 = "lookup")=TRUE), ((E1792 = "aggregation")=TRUE))</f>
        <v>1</v>
      </c>
      <c r="J1792" s="4" t="b">
        <f>H1792 &lt;&gt; ""</f>
        <v>1</v>
      </c>
      <c r="K1792" s="4">
        <f>COUNTIFS(FieldDisagreements!D2:D50, A1792)</f>
        <v>0</v>
      </c>
      <c r="L1792" s="4" t="b">
        <f>K1792 &gt; 0</f>
        <v>0</v>
      </c>
      <c r="M1792" s="3" t="s">
        <v>2418</v>
      </c>
    </row>
    <row r="1793">
      <c r="A1793" s="3" t="s">
        <v>5769</v>
      </c>
      <c r="B1793" s="4" t="str">
        <f>C1793 &amp; "." &amp; D1793</f>
        <v>KnowledgeBrokerLinks.SemanticTypeIri</v>
      </c>
      <c r="C1793" s="3" t="s">
        <v>1901</v>
      </c>
      <c r="D1793" s="3" t="s">
        <v>94</v>
      </c>
      <c r="E1793" s="3" t="s">
        <v>2416</v>
      </c>
      <c r="F1793" s="3" t="s">
        <v>2417</v>
      </c>
      <c r="G1793" s="3"/>
      <c r="H1793" s="3" t="s">
        <v>2387</v>
      </c>
      <c r="I1793" s="4" t="b">
        <f>OR(((E1793 = "calculated")=TRUE), ((E1793 = "lookup")=TRUE), ((E1793 = "aggregation")=TRUE))</f>
        <v>0</v>
      </c>
      <c r="J1793" s="4" t="b">
        <f>H1793 &lt;&gt; ""</f>
        <v>1</v>
      </c>
      <c r="K1793" s="4">
        <f>COUNTIFS(FieldDisagreements!D2:D50, A1793)</f>
        <v>0</v>
      </c>
      <c r="L1793" s="4" t="b">
        <f>K1793 &gt; 0</f>
        <v>0</v>
      </c>
      <c r="M1793" s="3" t="s">
        <v>2418</v>
      </c>
    </row>
    <row r="1794">
      <c r="A1794" s="3" t="s">
        <v>5770</v>
      </c>
      <c r="B1794" s="4" t="str">
        <f>C1794 &amp; "." &amp; D1794</f>
        <v>ConformanceSubstrates.ConformanceSubstrateId</v>
      </c>
      <c r="C1794" s="3" t="s">
        <v>1905</v>
      </c>
      <c r="D1794" s="3" t="s">
        <v>5771</v>
      </c>
      <c r="E1794" s="3" t="s">
        <v>2416</v>
      </c>
      <c r="F1794" s="3" t="s">
        <v>2417</v>
      </c>
      <c r="G1794" s="3"/>
      <c r="H1794" s="3"/>
      <c r="I1794" s="4" t="b">
        <f>OR(((E1794 = "calculated")=TRUE), ((E1794 = "lookup")=TRUE), ((E1794 = "aggregation")=TRUE))</f>
        <v>0</v>
      </c>
      <c r="J1794" s="4" t="b">
        <f>H1794 &lt;&gt; ""</f>
        <v>0</v>
      </c>
      <c r="K1794" s="4">
        <f>COUNTIFS(FieldDisagreements!D2:D50, A1794)</f>
        <v>0</v>
      </c>
      <c r="L1794" s="4" t="b">
        <f>K1794 &gt; 0</f>
        <v>0</v>
      </c>
      <c r="M1794" s="3" t="s">
        <v>2418</v>
      </c>
    </row>
    <row r="1795">
      <c r="A1795" s="3" t="s">
        <v>5772</v>
      </c>
      <c r="B1795" s="4" t="str">
        <f>C1795 &amp; "." &amp; D1795</f>
        <v>ConformanceSubstrates.Name</v>
      </c>
      <c r="C1795" s="3" t="s">
        <v>1905</v>
      </c>
      <c r="D1795" s="3" t="s">
        <v>1</v>
      </c>
      <c r="E1795" s="3" t="s">
        <v>2420</v>
      </c>
      <c r="F1795" s="3" t="s">
        <v>2417</v>
      </c>
      <c r="G1795" s="3" t="s">
        <v>2504</v>
      </c>
      <c r="H1795" s="3"/>
      <c r="I1795" s="4" t="b">
        <f>OR(((E1795 = "calculated")=TRUE), ((E1795 = "lookup")=TRUE), ((E1795 = "aggregation")=TRUE))</f>
        <v>1</v>
      </c>
      <c r="J1795" s="4" t="b">
        <f>H1795 &lt;&gt; ""</f>
        <v>0</v>
      </c>
      <c r="K1795" s="4">
        <f>COUNTIFS(FieldDisagreements!D2:D50, A1795)</f>
        <v>0</v>
      </c>
      <c r="L1795" s="4" t="b">
        <f>K1795 &gt; 0</f>
        <v>0</v>
      </c>
      <c r="M1795" s="3" t="s">
        <v>2418</v>
      </c>
    </row>
    <row r="1796">
      <c r="A1796" s="3" t="s">
        <v>5773</v>
      </c>
      <c r="B1796" s="4" t="str">
        <f>C1796 &amp; "." &amp; D1796</f>
        <v>ConformanceSubstrates.Label</v>
      </c>
      <c r="C1796" s="3" t="s">
        <v>1905</v>
      </c>
      <c r="D1796" s="3" t="s">
        <v>19</v>
      </c>
      <c r="E1796" s="3" t="s">
        <v>2416</v>
      </c>
      <c r="F1796" s="3" t="s">
        <v>2417</v>
      </c>
      <c r="G1796" s="3"/>
      <c r="H1796" s="3"/>
      <c r="I1796" s="4" t="b">
        <f>OR(((E1796 = "calculated")=TRUE), ((E1796 = "lookup")=TRUE), ((E1796 = "aggregation")=TRUE))</f>
        <v>0</v>
      </c>
      <c r="J1796" s="4" t="b">
        <f>H1796 &lt;&gt; ""</f>
        <v>0</v>
      </c>
      <c r="K1796" s="4">
        <f>COUNTIFS(FieldDisagreements!D2:D50, A1796)</f>
        <v>0</v>
      </c>
      <c r="L1796" s="4" t="b">
        <f>K1796 &gt; 0</f>
        <v>0</v>
      </c>
      <c r="M1796" s="3" t="s">
        <v>2418</v>
      </c>
    </row>
    <row r="1797">
      <c r="A1797" s="3" t="s">
        <v>5774</v>
      </c>
      <c r="B1797" s="4" t="str">
        <f>C1797 &amp; "." &amp; D1797</f>
        <v>ConformanceSubstrates.Transpiler</v>
      </c>
      <c r="C1797" s="3" t="s">
        <v>1905</v>
      </c>
      <c r="D1797" s="3" t="s">
        <v>5775</v>
      </c>
      <c r="E1797" s="3" t="s">
        <v>2416</v>
      </c>
      <c r="F1797" s="3" t="s">
        <v>2417</v>
      </c>
      <c r="G1797" s="3"/>
      <c r="H1797" s="3"/>
      <c r="I1797" s="4" t="b">
        <f>OR(((E1797 = "calculated")=TRUE), ((E1797 = "lookup")=TRUE), ((E1797 = "aggregation")=TRUE))</f>
        <v>0</v>
      </c>
      <c r="J1797" s="4" t="b">
        <f>H1797 &lt;&gt; ""</f>
        <v>0</v>
      </c>
      <c r="K1797" s="4">
        <f>COUNTIFS(FieldDisagreements!D2:D50, A1797)</f>
        <v>0</v>
      </c>
      <c r="L1797" s="4" t="b">
        <f>K1797 &gt; 0</f>
        <v>0</v>
      </c>
      <c r="M1797" s="3" t="s">
        <v>2418</v>
      </c>
    </row>
    <row r="1798">
      <c r="A1798" s="3" t="s">
        <v>5776</v>
      </c>
      <c r="B1798" s="4" t="str">
        <f>C1798 &amp; "." &amp; D1798</f>
        <v>ConformanceSubstrates.OutputFolder</v>
      </c>
      <c r="C1798" s="3" t="s">
        <v>1905</v>
      </c>
      <c r="D1798" s="3" t="s">
        <v>5777</v>
      </c>
      <c r="E1798" s="3" t="s">
        <v>2416</v>
      </c>
      <c r="F1798" s="3" t="s">
        <v>2417</v>
      </c>
      <c r="G1798" s="3"/>
      <c r="H1798" s="3"/>
      <c r="I1798" s="4" t="b">
        <f>OR(((E1798 = "calculated")=TRUE), ((E1798 = "lookup")=TRUE), ((E1798 = "aggregation")=TRUE))</f>
        <v>0</v>
      </c>
      <c r="J1798" s="4" t="b">
        <f>H1798 &lt;&gt; ""</f>
        <v>0</v>
      </c>
      <c r="K1798" s="4">
        <f>COUNTIFS(FieldDisagreements!D2:D50, A1798)</f>
        <v>0</v>
      </c>
      <c r="L1798" s="4" t="b">
        <f>K1798 &gt; 0</f>
        <v>0</v>
      </c>
      <c r="M1798" s="3" t="s">
        <v>2418</v>
      </c>
    </row>
    <row r="1799">
      <c r="A1799" s="3" t="s">
        <v>5778</v>
      </c>
      <c r="B1799" s="4" t="str">
        <f>C1799 &amp; "." &amp; D1799</f>
        <v>ConformanceSubstrates.Engine</v>
      </c>
      <c r="C1799" s="3" t="s">
        <v>1905</v>
      </c>
      <c r="D1799" s="3" t="s">
        <v>5779</v>
      </c>
      <c r="E1799" s="3" t="s">
        <v>2416</v>
      </c>
      <c r="F1799" s="3" t="s">
        <v>2417</v>
      </c>
      <c r="G1799" s="3"/>
      <c r="H1799" s="3"/>
      <c r="I1799" s="4" t="b">
        <f>OR(((E1799 = "calculated")=TRUE), ((E1799 = "lookup")=TRUE), ((E1799 = "aggregation")=TRUE))</f>
        <v>0</v>
      </c>
      <c r="J1799" s="4" t="b">
        <f>H1799 &lt;&gt; ""</f>
        <v>0</v>
      </c>
      <c r="K1799" s="4">
        <f>COUNTIFS(FieldDisagreements!D2:D50, A1799)</f>
        <v>0</v>
      </c>
      <c r="L1799" s="4" t="b">
        <f>K1799 &gt; 0</f>
        <v>0</v>
      </c>
      <c r="M1799" s="3" t="s">
        <v>2418</v>
      </c>
    </row>
    <row r="1800">
      <c r="A1800" s="3" t="s">
        <v>5780</v>
      </c>
      <c r="B1800" s="4" t="str">
        <f>C1800 &amp; "." &amp; D1800</f>
        <v>ConformanceSubstrates.HowItComputes</v>
      </c>
      <c r="C1800" s="3" t="s">
        <v>1905</v>
      </c>
      <c r="D1800" s="3" t="s">
        <v>5781</v>
      </c>
      <c r="E1800" s="3" t="s">
        <v>2416</v>
      </c>
      <c r="F1800" s="3" t="s">
        <v>2417</v>
      </c>
      <c r="G1800" s="3"/>
      <c r="H1800" s="3"/>
      <c r="I1800" s="4" t="b">
        <f>OR(((E1800 = "calculated")=TRUE), ((E1800 = "lookup")=TRUE), ((E1800 = "aggregation")=TRUE))</f>
        <v>0</v>
      </c>
      <c r="J1800" s="4" t="b">
        <f>H1800 &lt;&gt; ""</f>
        <v>0</v>
      </c>
      <c r="K1800" s="4">
        <f>COUNTIFS(FieldDisagreements!D2:D50, A1800)</f>
        <v>0</v>
      </c>
      <c r="L1800" s="4" t="b">
        <f>K1800 &gt; 0</f>
        <v>0</v>
      </c>
      <c r="M1800" s="3" t="s">
        <v>2418</v>
      </c>
    </row>
    <row r="1801">
      <c r="A1801" s="3" t="s">
        <v>5782</v>
      </c>
      <c r="B1801" s="4" t="str">
        <f>C1801 &amp; "." &amp; D1801</f>
        <v>ConformanceSubstrates.Role</v>
      </c>
      <c r="C1801" s="3" t="s">
        <v>1905</v>
      </c>
      <c r="D1801" s="3" t="s">
        <v>253</v>
      </c>
      <c r="E1801" s="3" t="s">
        <v>2416</v>
      </c>
      <c r="F1801" s="3" t="s">
        <v>2417</v>
      </c>
      <c r="G1801" s="3"/>
      <c r="H1801" s="3"/>
      <c r="I1801" s="4" t="b">
        <f>OR(((E1801 = "calculated")=TRUE), ((E1801 = "lookup")=TRUE), ((E1801 = "aggregation")=TRUE))</f>
        <v>0</v>
      </c>
      <c r="J1801" s="4" t="b">
        <f>H1801 &lt;&gt; ""</f>
        <v>0</v>
      </c>
      <c r="K1801" s="4">
        <f>COUNTIFS(FieldDisagreements!D2:D50, A1801)</f>
        <v>0</v>
      </c>
      <c r="L1801" s="4" t="b">
        <f>K1801 &gt; 0</f>
        <v>0</v>
      </c>
      <c r="M1801" s="3" t="s">
        <v>2418</v>
      </c>
    </row>
    <row r="1802">
      <c r="A1802" s="3" t="s">
        <v>5783</v>
      </c>
      <c r="B1802" s="4" t="str">
        <f>C1802 &amp; "." &amp; D1802</f>
        <v>ConformanceSubstrates.SortOrder</v>
      </c>
      <c r="C1802" s="3" t="s">
        <v>1905</v>
      </c>
      <c r="D1802" s="3" t="s">
        <v>5281</v>
      </c>
      <c r="E1802" s="3" t="s">
        <v>2416</v>
      </c>
      <c r="F1802" s="3" t="s">
        <v>2475</v>
      </c>
      <c r="G1802" s="3"/>
      <c r="H1802" s="3"/>
      <c r="I1802" s="4" t="b">
        <f>OR(((E1802 = "calculated")=TRUE), ((E1802 = "lookup")=TRUE), ((E1802 = "aggregation")=TRUE))</f>
        <v>0</v>
      </c>
      <c r="J1802" s="4" t="b">
        <f>H1802 &lt;&gt; ""</f>
        <v>0</v>
      </c>
      <c r="K1802" s="4">
        <f>COUNTIFS(FieldDisagreements!D2:D50, A1802)</f>
        <v>0</v>
      </c>
      <c r="L1802" s="4" t="b">
        <f>K1802 &gt; 0</f>
        <v>0</v>
      </c>
      <c r="M1802" s="3" t="s">
        <v>2418</v>
      </c>
    </row>
    <row r="1803">
      <c r="A1803" s="3" t="s">
        <v>5784</v>
      </c>
      <c r="B1803" s="4" t="str">
        <f>C1803 &amp; "." &amp; D1803</f>
        <v>ConformanceSubstrates.IsGraded</v>
      </c>
      <c r="C1803" s="3" t="s">
        <v>1905</v>
      </c>
      <c r="D1803" s="3" t="s">
        <v>5785</v>
      </c>
      <c r="E1803" s="3" t="s">
        <v>2420</v>
      </c>
      <c r="F1803" s="3" t="s">
        <v>2432</v>
      </c>
      <c r="G1803" s="3" t="s">
        <v>5786</v>
      </c>
      <c r="H1803" s="3" t="s">
        <v>2391</v>
      </c>
      <c r="I1803" s="4" t="b">
        <f>OR(((E1803 = "calculated")=TRUE), ((E1803 = "lookup")=TRUE), ((E1803 = "aggregation")=TRUE))</f>
        <v>1</v>
      </c>
      <c r="J1803" s="4" t="b">
        <f>H1803 &lt;&gt; ""</f>
        <v>1</v>
      </c>
      <c r="K1803" s="4">
        <f>COUNTIFS(FieldDisagreements!D2:D50, A1803)</f>
        <v>0</v>
      </c>
      <c r="L1803" s="4" t="b">
        <f>K1803 &gt; 0</f>
        <v>0</v>
      </c>
      <c r="M1803" s="3" t="s">
        <v>2418</v>
      </c>
    </row>
    <row r="1804">
      <c r="A1804" s="3" t="s">
        <v>5787</v>
      </c>
      <c r="B1804" s="4" t="str">
        <f>C1804 &amp; "." &amp; D1804</f>
        <v>ConformanceSubstrates.RunCount</v>
      </c>
      <c r="C1804" s="3" t="s">
        <v>1905</v>
      </c>
      <c r="D1804" s="3" t="s">
        <v>5788</v>
      </c>
      <c r="E1804" s="3" t="s">
        <v>2469</v>
      </c>
      <c r="F1804" s="3" t="s">
        <v>2475</v>
      </c>
      <c r="G1804" s="3" t="s">
        <v>5789</v>
      </c>
      <c r="H1804" s="3" t="s">
        <v>2391</v>
      </c>
      <c r="I1804" s="4" t="b">
        <f>OR(((E1804 = "calculated")=TRUE), ((E1804 = "lookup")=TRUE), ((E1804 = "aggregation")=TRUE))</f>
        <v>1</v>
      </c>
      <c r="J1804" s="4" t="b">
        <f>H1804 &lt;&gt; ""</f>
        <v>1</v>
      </c>
      <c r="K1804" s="4">
        <f>COUNTIFS(FieldDisagreements!D2:D50, A1804)</f>
        <v>0</v>
      </c>
      <c r="L1804" s="4" t="b">
        <f>K1804 &gt; 0</f>
        <v>0</v>
      </c>
      <c r="M1804" s="3" t="s">
        <v>2418</v>
      </c>
    </row>
    <row r="1805">
      <c r="A1805" s="3" t="s">
        <v>5790</v>
      </c>
      <c r="B1805" s="4" t="str">
        <f>C1805 &amp; "." &amp; D1805</f>
        <v>ConformanceSubstrates.LatestCellsTested</v>
      </c>
      <c r="C1805" s="3" t="s">
        <v>1905</v>
      </c>
      <c r="D1805" s="3" t="s">
        <v>5791</v>
      </c>
      <c r="E1805" s="3" t="s">
        <v>2469</v>
      </c>
      <c r="F1805" s="3" t="s">
        <v>2475</v>
      </c>
      <c r="G1805" s="3" t="s">
        <v>5792</v>
      </c>
      <c r="H1805" s="3" t="s">
        <v>2391</v>
      </c>
      <c r="I1805" s="4" t="b">
        <f>OR(((E1805 = "calculated")=TRUE), ((E1805 = "lookup")=TRUE), ((E1805 = "aggregation")=TRUE))</f>
        <v>1</v>
      </c>
      <c r="J1805" s="4" t="b">
        <f>H1805 &lt;&gt; ""</f>
        <v>1</v>
      </c>
      <c r="K1805" s="4">
        <f>COUNTIFS(FieldDisagreements!D2:D50, A1805)</f>
        <v>0</v>
      </c>
      <c r="L1805" s="4" t="b">
        <f>K1805 &gt; 0</f>
        <v>0</v>
      </c>
      <c r="M1805" s="3" t="s">
        <v>2418</v>
      </c>
    </row>
    <row r="1806">
      <c r="A1806" s="3" t="s">
        <v>5793</v>
      </c>
      <c r="B1806" s="4" t="str">
        <f>C1806 &amp; "." &amp; D1806</f>
        <v>ConformanceSubstrates.LatestCellsPassed</v>
      </c>
      <c r="C1806" s="3" t="s">
        <v>1905</v>
      </c>
      <c r="D1806" s="3" t="s">
        <v>5794</v>
      </c>
      <c r="E1806" s="3" t="s">
        <v>2469</v>
      </c>
      <c r="F1806" s="3" t="s">
        <v>2475</v>
      </c>
      <c r="G1806" s="3" t="s">
        <v>5795</v>
      </c>
      <c r="H1806" s="3" t="s">
        <v>2391</v>
      </c>
      <c r="I1806" s="4" t="b">
        <f>OR(((E1806 = "calculated")=TRUE), ((E1806 = "lookup")=TRUE), ((E1806 = "aggregation")=TRUE))</f>
        <v>1</v>
      </c>
      <c r="J1806" s="4" t="b">
        <f>H1806 &lt;&gt; ""</f>
        <v>1</v>
      </c>
      <c r="K1806" s="4">
        <f>COUNTIFS(FieldDisagreements!D2:D50, A1806)</f>
        <v>0</v>
      </c>
      <c r="L1806" s="4" t="b">
        <f>K1806 &gt; 0</f>
        <v>0</v>
      </c>
      <c r="M1806" s="3" t="s">
        <v>2418</v>
      </c>
    </row>
    <row r="1807">
      <c r="A1807" s="3" t="s">
        <v>5796</v>
      </c>
      <c r="B1807" s="4" t="str">
        <f>C1807 &amp; "." &amp; D1807</f>
        <v>ConformanceSubstrates.LatestHarnessErrors</v>
      </c>
      <c r="C1807" s="3" t="s">
        <v>1905</v>
      </c>
      <c r="D1807" s="3" t="s">
        <v>5797</v>
      </c>
      <c r="E1807" s="3" t="s">
        <v>2469</v>
      </c>
      <c r="F1807" s="3" t="s">
        <v>2475</v>
      </c>
      <c r="G1807" s="3" t="s">
        <v>5798</v>
      </c>
      <c r="H1807" s="3" t="s">
        <v>2391</v>
      </c>
      <c r="I1807" s="4" t="b">
        <f>OR(((E1807 = "calculated")=TRUE), ((E1807 = "lookup")=TRUE), ((E1807 = "aggregation")=TRUE))</f>
        <v>1</v>
      </c>
      <c r="J1807" s="4" t="b">
        <f>H1807 &lt;&gt; ""</f>
        <v>1</v>
      </c>
      <c r="K1807" s="4">
        <f>COUNTIFS(FieldDisagreements!D2:D50, A1807)</f>
        <v>0</v>
      </c>
      <c r="L1807" s="4" t="b">
        <f>K1807 &gt; 0</f>
        <v>0</v>
      </c>
      <c r="M1807" s="3" t="s">
        <v>2418</v>
      </c>
    </row>
    <row r="1808">
      <c r="A1808" s="3" t="s">
        <v>5799</v>
      </c>
      <c r="B1808" s="4" t="str">
        <f>C1808 &amp; "." &amp; D1808</f>
        <v>ConformanceSubstrates.LatestCellsFailed</v>
      </c>
      <c r="C1808" s="3" t="s">
        <v>1905</v>
      </c>
      <c r="D1808" s="3" t="s">
        <v>5800</v>
      </c>
      <c r="E1808" s="3" t="s">
        <v>2420</v>
      </c>
      <c r="F1808" s="3" t="s">
        <v>2475</v>
      </c>
      <c r="G1808" s="3" t="s">
        <v>5801</v>
      </c>
      <c r="H1808" s="3" t="s">
        <v>2391</v>
      </c>
      <c r="I1808" s="4" t="b">
        <f>OR(((E1808 = "calculated")=TRUE), ((E1808 = "lookup")=TRUE), ((E1808 = "aggregation")=TRUE))</f>
        <v>1</v>
      </c>
      <c r="J1808" s="4" t="b">
        <f>H1808 &lt;&gt; ""</f>
        <v>1</v>
      </c>
      <c r="K1808" s="4">
        <f>COUNTIFS(FieldDisagreements!D2:D50, A1808)</f>
        <v>0</v>
      </c>
      <c r="L1808" s="4" t="b">
        <f>K1808 &gt; 0</f>
        <v>0</v>
      </c>
      <c r="M1808" s="3" t="s">
        <v>2418</v>
      </c>
    </row>
    <row r="1809">
      <c r="A1809" s="3" t="s">
        <v>5802</v>
      </c>
      <c r="B1809" s="4" t="str">
        <f>C1809 &amp; "." &amp; D1809</f>
        <v>ConformanceSubstrates.LatestScore</v>
      </c>
      <c r="C1809" s="3" t="s">
        <v>1905</v>
      </c>
      <c r="D1809" s="3" t="s">
        <v>5803</v>
      </c>
      <c r="E1809" s="3" t="s">
        <v>2420</v>
      </c>
      <c r="F1809" s="3" t="s">
        <v>2475</v>
      </c>
      <c r="G1809" s="3" t="s">
        <v>5804</v>
      </c>
      <c r="H1809" s="3" t="s">
        <v>2391</v>
      </c>
      <c r="I1809" s="4" t="b">
        <f>OR(((E1809 = "calculated")=TRUE), ((E1809 = "lookup")=TRUE), ((E1809 = "aggregation")=TRUE))</f>
        <v>1</v>
      </c>
      <c r="J1809" s="4" t="b">
        <f>H1809 &lt;&gt; ""</f>
        <v>1</v>
      </c>
      <c r="K1809" s="4">
        <f>COUNTIFS(FieldDisagreements!D2:D50, A1809)</f>
        <v>0</v>
      </c>
      <c r="L1809" s="4" t="b">
        <f>K1809 &gt; 0</f>
        <v>0</v>
      </c>
      <c r="M1809" s="3" t="s">
        <v>2418</v>
      </c>
    </row>
    <row r="1810">
      <c r="A1810" s="3" t="s">
        <v>5805</v>
      </c>
      <c r="B1810" s="4" t="str">
        <f>C1810 &amp; "." &amp; D1810</f>
        <v>ConformanceSubstrates.DisagreeingFieldCount</v>
      </c>
      <c r="C1810" s="3" t="s">
        <v>1905</v>
      </c>
      <c r="D1810" s="3" t="s">
        <v>5806</v>
      </c>
      <c r="E1810" s="3" t="s">
        <v>2469</v>
      </c>
      <c r="F1810" s="3" t="s">
        <v>2475</v>
      </c>
      <c r="G1810" s="3" t="s">
        <v>5807</v>
      </c>
      <c r="H1810" s="3" t="s">
        <v>2391</v>
      </c>
      <c r="I1810" s="4" t="b">
        <f>OR(((E1810 = "calculated")=TRUE), ((E1810 = "lookup")=TRUE), ((E1810 = "aggregation")=TRUE))</f>
        <v>1</v>
      </c>
      <c r="J1810" s="4" t="b">
        <f>H1810 &lt;&gt; ""</f>
        <v>1</v>
      </c>
      <c r="K1810" s="4">
        <f>COUNTIFS(FieldDisagreements!D2:D50, A1810)</f>
        <v>0</v>
      </c>
      <c r="L1810" s="4" t="b">
        <f>K1810 &gt; 0</f>
        <v>0</v>
      </c>
      <c r="M1810" s="3" t="s">
        <v>2418</v>
      </c>
    </row>
    <row r="1811">
      <c r="A1811" s="3" t="s">
        <v>5808</v>
      </c>
      <c r="B1811" s="4" t="str">
        <f>C1811 &amp; "." &amp; D1811</f>
        <v>ConformanceSubstrates.DisagreeingTableCount</v>
      </c>
      <c r="C1811" s="3" t="s">
        <v>1905</v>
      </c>
      <c r="D1811" s="3" t="s">
        <v>5809</v>
      </c>
      <c r="E1811" s="3" t="s">
        <v>2469</v>
      </c>
      <c r="F1811" s="3" t="s">
        <v>2475</v>
      </c>
      <c r="G1811" s="3" t="s">
        <v>5810</v>
      </c>
      <c r="H1811" s="3" t="s">
        <v>2391</v>
      </c>
      <c r="I1811" s="4" t="b">
        <f>OR(((E1811 = "calculated")=TRUE), ((E1811 = "lookup")=TRUE), ((E1811 = "aggregation")=TRUE))</f>
        <v>1</v>
      </c>
      <c r="J1811" s="4" t="b">
        <f>H1811 &lt;&gt; ""</f>
        <v>1</v>
      </c>
      <c r="K1811" s="4">
        <f>COUNTIFS(FieldDisagreements!D2:D50, A1811)</f>
        <v>0</v>
      </c>
      <c r="L1811" s="4" t="b">
        <f>K1811 &gt; 0</f>
        <v>0</v>
      </c>
      <c r="M1811" s="3" t="s">
        <v>2418</v>
      </c>
    </row>
    <row r="1812">
      <c r="A1812" s="3" t="s">
        <v>5811</v>
      </c>
      <c r="B1812" s="4" t="str">
        <f>C1812 &amp; "." &amp; D1812</f>
        <v>ConformanceSubstrates.IsFullyConformant</v>
      </c>
      <c r="C1812" s="3" t="s">
        <v>1905</v>
      </c>
      <c r="D1812" s="3" t="s">
        <v>5812</v>
      </c>
      <c r="E1812" s="3" t="s">
        <v>2420</v>
      </c>
      <c r="F1812" s="3" t="s">
        <v>2432</v>
      </c>
      <c r="G1812" s="3" t="s">
        <v>5813</v>
      </c>
      <c r="H1812" s="3" t="s">
        <v>2391</v>
      </c>
      <c r="I1812" s="4" t="b">
        <f>OR(((E1812 = "calculated")=TRUE), ((E1812 = "lookup")=TRUE), ((E1812 = "aggregation")=TRUE))</f>
        <v>1</v>
      </c>
      <c r="J1812" s="4" t="b">
        <f>H1812 &lt;&gt; ""</f>
        <v>1</v>
      </c>
      <c r="K1812" s="4">
        <f>COUNTIFS(FieldDisagreements!D2:D50, A1812)</f>
        <v>0</v>
      </c>
      <c r="L1812" s="4" t="b">
        <f>K1812 &gt; 0</f>
        <v>0</v>
      </c>
      <c r="M1812" s="3" t="s">
        <v>2418</v>
      </c>
    </row>
    <row r="1813">
      <c r="A1813" s="3" t="s">
        <v>5814</v>
      </c>
      <c r="B1813" s="4" t="str">
        <f>C1813 &amp; "." &amp; D1813</f>
        <v>ConformanceSubstrates.SemanticTypeIri</v>
      </c>
      <c r="C1813" s="3" t="s">
        <v>1905</v>
      </c>
      <c r="D1813" s="3" t="s">
        <v>94</v>
      </c>
      <c r="E1813" s="3" t="s">
        <v>2416</v>
      </c>
      <c r="F1813" s="3" t="s">
        <v>2417</v>
      </c>
      <c r="G1813" s="3"/>
      <c r="H1813" s="3"/>
      <c r="I1813" s="4" t="b">
        <f>OR(((E1813 = "calculated")=TRUE), ((E1813 = "lookup")=TRUE), ((E1813 = "aggregation")=TRUE))</f>
        <v>0</v>
      </c>
      <c r="J1813" s="4" t="b">
        <f>H1813 &lt;&gt; ""</f>
        <v>0</v>
      </c>
      <c r="K1813" s="4">
        <f>COUNTIFS(FieldDisagreements!D2:D50, A1813)</f>
        <v>0</v>
      </c>
      <c r="L1813" s="4" t="b">
        <f>K1813 &gt; 0</f>
        <v>0</v>
      </c>
      <c r="M1813" s="3" t="s">
        <v>2418</v>
      </c>
    </row>
    <row r="1814">
      <c r="A1814" s="3" t="s">
        <v>5815</v>
      </c>
      <c r="B1814" s="4" t="str">
        <f>C1814 &amp; "." &amp; D1814</f>
        <v>ConformanceRuns.ConformanceRunId</v>
      </c>
      <c r="C1814" s="3" t="s">
        <v>1909</v>
      </c>
      <c r="D1814" s="3" t="s">
        <v>5816</v>
      </c>
      <c r="E1814" s="3" t="s">
        <v>2416</v>
      </c>
      <c r="F1814" s="3" t="s">
        <v>2417</v>
      </c>
      <c r="G1814" s="3"/>
      <c r="H1814" s="3"/>
      <c r="I1814" s="4" t="b">
        <f>OR(((E1814 = "calculated")=TRUE), ((E1814 = "lookup")=TRUE), ((E1814 = "aggregation")=TRUE))</f>
        <v>0</v>
      </c>
      <c r="J1814" s="4" t="b">
        <f>H1814 &lt;&gt; ""</f>
        <v>0</v>
      </c>
      <c r="K1814" s="4">
        <f>COUNTIFS(FieldDisagreements!D2:D50, A1814)</f>
        <v>0</v>
      </c>
      <c r="L1814" s="4" t="b">
        <f>K1814 &gt; 0</f>
        <v>0</v>
      </c>
      <c r="M1814" s="3" t="s">
        <v>2418</v>
      </c>
    </row>
    <row r="1815">
      <c r="A1815" s="3" t="s">
        <v>5817</v>
      </c>
      <c r="B1815" s="4" t="str">
        <f>C1815 &amp; "." &amp; D1815</f>
        <v>ConformanceRuns.Name</v>
      </c>
      <c r="C1815" s="3" t="s">
        <v>1909</v>
      </c>
      <c r="D1815" s="3" t="s">
        <v>1</v>
      </c>
      <c r="E1815" s="3" t="s">
        <v>2420</v>
      </c>
      <c r="F1815" s="3" t="s">
        <v>2417</v>
      </c>
      <c r="G1815" s="3" t="s">
        <v>5818</v>
      </c>
      <c r="H1815" s="3"/>
      <c r="I1815" s="4" t="b">
        <f>OR(((E1815 = "calculated")=TRUE), ((E1815 = "lookup")=TRUE), ((E1815 = "aggregation")=TRUE))</f>
        <v>1</v>
      </c>
      <c r="J1815" s="4" t="b">
        <f>H1815 &lt;&gt; ""</f>
        <v>0</v>
      </c>
      <c r="K1815" s="4">
        <f>COUNTIFS(FieldDisagreements!D2:D50, A1815)</f>
        <v>0</v>
      </c>
      <c r="L1815" s="4" t="b">
        <f>K1815 &gt; 0</f>
        <v>0</v>
      </c>
      <c r="M1815" s="3" t="s">
        <v>2418</v>
      </c>
    </row>
    <row r="1816">
      <c r="A1816" s="3" t="s">
        <v>5819</v>
      </c>
      <c r="B1816" s="4" t="str">
        <f>C1816 &amp; "." &amp; D1816</f>
        <v>ConformanceRuns.RanOn</v>
      </c>
      <c r="C1816" s="3" t="s">
        <v>1909</v>
      </c>
      <c r="D1816" s="3" t="s">
        <v>5820</v>
      </c>
      <c r="E1816" s="3" t="s">
        <v>2416</v>
      </c>
      <c r="F1816" s="3" t="s">
        <v>2428</v>
      </c>
      <c r="G1816" s="3"/>
      <c r="H1816" s="3"/>
      <c r="I1816" s="4" t="b">
        <f>OR(((E1816 = "calculated")=TRUE), ((E1816 = "lookup")=TRUE), ((E1816 = "aggregation")=TRUE))</f>
        <v>0</v>
      </c>
      <c r="J1816" s="4" t="b">
        <f>H1816 &lt;&gt; ""</f>
        <v>0</v>
      </c>
      <c r="K1816" s="4">
        <f>COUNTIFS(FieldDisagreements!D2:D50, A1816)</f>
        <v>0</v>
      </c>
      <c r="L1816" s="4" t="b">
        <f>K1816 &gt; 0</f>
        <v>0</v>
      </c>
      <c r="M1816" s="3" t="s">
        <v>2418</v>
      </c>
    </row>
    <row r="1817">
      <c r="A1817" s="3" t="s">
        <v>5821</v>
      </c>
      <c r="B1817" s="4" t="str">
        <f>C1817 &amp; "." &amp; D1817</f>
        <v>ConformanceRuns.RulebookCommit</v>
      </c>
      <c r="C1817" s="3" t="s">
        <v>1909</v>
      </c>
      <c r="D1817" s="3" t="s">
        <v>5822</v>
      </c>
      <c r="E1817" s="3" t="s">
        <v>2416</v>
      </c>
      <c r="F1817" s="3" t="s">
        <v>2417</v>
      </c>
      <c r="G1817" s="3"/>
      <c r="H1817" s="3"/>
      <c r="I1817" s="4" t="b">
        <f>OR(((E1817 = "calculated")=TRUE), ((E1817 = "lookup")=TRUE), ((E1817 = "aggregation")=TRUE))</f>
        <v>0</v>
      </c>
      <c r="J1817" s="4" t="b">
        <f>H1817 &lt;&gt; ""</f>
        <v>0</v>
      </c>
      <c r="K1817" s="4">
        <f>COUNTIFS(FieldDisagreements!D2:D50, A1817)</f>
        <v>0</v>
      </c>
      <c r="L1817" s="4" t="b">
        <f>K1817 &gt; 0</f>
        <v>0</v>
      </c>
      <c r="M1817" s="3" t="s">
        <v>2418</v>
      </c>
    </row>
    <row r="1818">
      <c r="A1818" s="3" t="s">
        <v>5823</v>
      </c>
      <c r="B1818" s="4" t="str">
        <f>C1818 &amp; "." &amp; D1818</f>
        <v>ConformanceRuns.AnswerKeyAuthor</v>
      </c>
      <c r="C1818" s="3" t="s">
        <v>1909</v>
      </c>
      <c r="D1818" s="3" t="s">
        <v>5824</v>
      </c>
      <c r="E1818" s="3" t="s">
        <v>2465</v>
      </c>
      <c r="F1818" s="3" t="s">
        <v>2417</v>
      </c>
      <c r="G1818" s="3"/>
      <c r="H1818" s="3"/>
      <c r="I1818" s="4" t="b">
        <f>OR(((E1818 = "calculated")=TRUE), ((E1818 = "lookup")=TRUE), ((E1818 = "aggregation")=TRUE))</f>
        <v>0</v>
      </c>
      <c r="J1818" s="4" t="b">
        <f>H1818 &lt;&gt; ""</f>
        <v>0</v>
      </c>
      <c r="K1818" s="4">
        <f>COUNTIFS(FieldDisagreements!D2:D50, A1818)</f>
        <v>0</v>
      </c>
      <c r="L1818" s="4" t="b">
        <f>K1818 &gt; 0</f>
        <v>0</v>
      </c>
      <c r="M1818" s="3" t="s">
        <v>2418</v>
      </c>
    </row>
    <row r="1819">
      <c r="A1819" s="3" t="s">
        <v>5825</v>
      </c>
      <c r="B1819" s="4" t="str">
        <f>C1819 &amp; "." &amp; D1819</f>
        <v>ConformanceRuns.IsLatest</v>
      </c>
      <c r="C1819" s="3" t="s">
        <v>1909</v>
      </c>
      <c r="D1819" s="3" t="s">
        <v>5826</v>
      </c>
      <c r="E1819" s="3" t="s">
        <v>2416</v>
      </c>
      <c r="F1819" s="3" t="s">
        <v>2432</v>
      </c>
      <c r="G1819" s="3"/>
      <c r="H1819" s="3"/>
      <c r="I1819" s="4" t="b">
        <f>OR(((E1819 = "calculated")=TRUE), ((E1819 = "lookup")=TRUE), ((E1819 = "aggregation")=TRUE))</f>
        <v>0</v>
      </c>
      <c r="J1819" s="4" t="b">
        <f>H1819 &lt;&gt; ""</f>
        <v>0</v>
      </c>
      <c r="K1819" s="4">
        <f>COUNTIFS(FieldDisagreements!D2:D50, A1819)</f>
        <v>0</v>
      </c>
      <c r="L1819" s="4" t="b">
        <f>K1819 &gt; 0</f>
        <v>0</v>
      </c>
      <c r="M1819" s="3" t="s">
        <v>2418</v>
      </c>
    </row>
    <row r="1820">
      <c r="A1820" s="3" t="s">
        <v>5827</v>
      </c>
      <c r="B1820" s="4" t="str">
        <f>C1820 &amp; "." &amp; D1820</f>
        <v>ConformanceRuns.Notes</v>
      </c>
      <c r="C1820" s="3" t="s">
        <v>1909</v>
      </c>
      <c r="D1820" s="3" t="s">
        <v>1760</v>
      </c>
      <c r="E1820" s="3" t="s">
        <v>2416</v>
      </c>
      <c r="F1820" s="3" t="s">
        <v>2417</v>
      </c>
      <c r="G1820" s="3"/>
      <c r="H1820" s="3"/>
      <c r="I1820" s="4" t="b">
        <f>OR(((E1820 = "calculated")=TRUE), ((E1820 = "lookup")=TRUE), ((E1820 = "aggregation")=TRUE))</f>
        <v>0</v>
      </c>
      <c r="J1820" s="4" t="b">
        <f>H1820 &lt;&gt; ""</f>
        <v>0</v>
      </c>
      <c r="K1820" s="4">
        <f>COUNTIFS(FieldDisagreements!D2:D50, A1820)</f>
        <v>0</v>
      </c>
      <c r="L1820" s="4" t="b">
        <f>K1820 &gt; 0</f>
        <v>0</v>
      </c>
      <c r="M1820" s="3" t="s">
        <v>2418</v>
      </c>
    </row>
    <row r="1821">
      <c r="A1821" s="3" t="s">
        <v>5828</v>
      </c>
      <c r="B1821" s="4" t="str">
        <f>C1821 &amp; "." &amp; D1821</f>
        <v>ConformanceRuns.SubstrateCount</v>
      </c>
      <c r="C1821" s="3" t="s">
        <v>1909</v>
      </c>
      <c r="D1821" s="3" t="s">
        <v>5829</v>
      </c>
      <c r="E1821" s="3" t="s">
        <v>2469</v>
      </c>
      <c r="F1821" s="3" t="s">
        <v>2475</v>
      </c>
      <c r="G1821" s="3" t="s">
        <v>5830</v>
      </c>
      <c r="H1821" s="3" t="s">
        <v>2391</v>
      </c>
      <c r="I1821" s="4" t="b">
        <f>OR(((E1821 = "calculated")=TRUE), ((E1821 = "lookup")=TRUE), ((E1821 = "aggregation")=TRUE))</f>
        <v>1</v>
      </c>
      <c r="J1821" s="4" t="b">
        <f>H1821 &lt;&gt; ""</f>
        <v>1</v>
      </c>
      <c r="K1821" s="4">
        <f>COUNTIFS(FieldDisagreements!D2:D50, A1821)</f>
        <v>0</v>
      </c>
      <c r="L1821" s="4" t="b">
        <f>K1821 &gt; 0</f>
        <v>0</v>
      </c>
      <c r="M1821" s="3" t="s">
        <v>2418</v>
      </c>
    </row>
    <row r="1822">
      <c r="A1822" s="3" t="s">
        <v>5831</v>
      </c>
      <c r="B1822" s="4" t="str">
        <f>C1822 &amp; "." &amp; D1822</f>
        <v>ConformanceRuns.PerfectSubstrateCount</v>
      </c>
      <c r="C1822" s="3" t="s">
        <v>1909</v>
      </c>
      <c r="D1822" s="3" t="s">
        <v>5832</v>
      </c>
      <c r="E1822" s="3" t="s">
        <v>2469</v>
      </c>
      <c r="F1822" s="3" t="s">
        <v>2475</v>
      </c>
      <c r="G1822" s="3" t="s">
        <v>5833</v>
      </c>
      <c r="H1822" s="3" t="s">
        <v>2391</v>
      </c>
      <c r="I1822" s="4" t="b">
        <f>OR(((E1822 = "calculated")=TRUE), ((E1822 = "lookup")=TRUE), ((E1822 = "aggregation")=TRUE))</f>
        <v>1</v>
      </c>
      <c r="J1822" s="4" t="b">
        <f>H1822 &lt;&gt; ""</f>
        <v>1</v>
      </c>
      <c r="K1822" s="4">
        <f>COUNTIFS(FieldDisagreements!D2:D50, A1822)</f>
        <v>0</v>
      </c>
      <c r="L1822" s="4" t="b">
        <f>K1822 &gt; 0</f>
        <v>0</v>
      </c>
      <c r="M1822" s="3" t="s">
        <v>2418</v>
      </c>
    </row>
    <row r="1823">
      <c r="A1823" s="3" t="s">
        <v>5834</v>
      </c>
      <c r="B1823" s="4" t="str">
        <f>C1823 &amp; "." &amp; D1823</f>
        <v>ConformanceRuns.CellsTested</v>
      </c>
      <c r="C1823" s="3" t="s">
        <v>1909</v>
      </c>
      <c r="D1823" s="3" t="s">
        <v>5835</v>
      </c>
      <c r="E1823" s="3" t="s">
        <v>2469</v>
      </c>
      <c r="F1823" s="3" t="s">
        <v>2475</v>
      </c>
      <c r="G1823" s="3" t="s">
        <v>5836</v>
      </c>
      <c r="H1823" s="3" t="s">
        <v>2391</v>
      </c>
      <c r="I1823" s="4" t="b">
        <f>OR(((E1823 = "calculated")=TRUE), ((E1823 = "lookup")=TRUE), ((E1823 = "aggregation")=TRUE))</f>
        <v>1</v>
      </c>
      <c r="J1823" s="4" t="b">
        <f>H1823 &lt;&gt; ""</f>
        <v>1</v>
      </c>
      <c r="K1823" s="4">
        <f>COUNTIFS(FieldDisagreements!D2:D50, A1823)</f>
        <v>0</v>
      </c>
      <c r="L1823" s="4" t="b">
        <f>K1823 &gt; 0</f>
        <v>0</v>
      </c>
      <c r="M1823" s="3" t="s">
        <v>2418</v>
      </c>
    </row>
    <row r="1824">
      <c r="A1824" s="3" t="s">
        <v>5837</v>
      </c>
      <c r="B1824" s="4" t="str">
        <f>C1824 &amp; "." &amp; D1824</f>
        <v>ConformanceRuns.CellsPassed</v>
      </c>
      <c r="C1824" s="3" t="s">
        <v>1909</v>
      </c>
      <c r="D1824" s="3" t="s">
        <v>5838</v>
      </c>
      <c r="E1824" s="3" t="s">
        <v>2469</v>
      </c>
      <c r="F1824" s="3" t="s">
        <v>2475</v>
      </c>
      <c r="G1824" s="3" t="s">
        <v>5839</v>
      </c>
      <c r="H1824" s="3" t="s">
        <v>2391</v>
      </c>
      <c r="I1824" s="4" t="b">
        <f>OR(((E1824 = "calculated")=TRUE), ((E1824 = "lookup")=TRUE), ((E1824 = "aggregation")=TRUE))</f>
        <v>1</v>
      </c>
      <c r="J1824" s="4" t="b">
        <f>H1824 &lt;&gt; ""</f>
        <v>1</v>
      </c>
      <c r="K1824" s="4">
        <f>COUNTIFS(FieldDisagreements!D2:D50, A1824)</f>
        <v>0</v>
      </c>
      <c r="L1824" s="4" t="b">
        <f>K1824 &gt; 0</f>
        <v>0</v>
      </c>
      <c r="M1824" s="3" t="s">
        <v>2418</v>
      </c>
    </row>
    <row r="1825">
      <c r="A1825" s="3" t="s">
        <v>5840</v>
      </c>
      <c r="B1825" s="4" t="str">
        <f>C1825 &amp; "." &amp; D1825</f>
        <v>ConformanceRuns.CellsFailed</v>
      </c>
      <c r="C1825" s="3" t="s">
        <v>1909</v>
      </c>
      <c r="D1825" s="3" t="s">
        <v>5841</v>
      </c>
      <c r="E1825" s="3" t="s">
        <v>2420</v>
      </c>
      <c r="F1825" s="3" t="s">
        <v>2475</v>
      </c>
      <c r="G1825" s="3" t="s">
        <v>5842</v>
      </c>
      <c r="H1825" s="3" t="s">
        <v>2391</v>
      </c>
      <c r="I1825" s="4" t="b">
        <f>OR(((E1825 = "calculated")=TRUE), ((E1825 = "lookup")=TRUE), ((E1825 = "aggregation")=TRUE))</f>
        <v>1</v>
      </c>
      <c r="J1825" s="4" t="b">
        <f>H1825 &lt;&gt; ""</f>
        <v>1</v>
      </c>
      <c r="K1825" s="4">
        <f>COUNTIFS(FieldDisagreements!D2:D50, A1825)</f>
        <v>0</v>
      </c>
      <c r="L1825" s="4" t="b">
        <f>K1825 &gt; 0</f>
        <v>0</v>
      </c>
      <c r="M1825" s="3" t="s">
        <v>2418</v>
      </c>
    </row>
    <row r="1826">
      <c r="A1826" s="3" t="s">
        <v>5843</v>
      </c>
      <c r="B1826" s="4" t="str">
        <f>C1826 &amp; "." &amp; D1826</f>
        <v>ConformanceRuns.OverallScore</v>
      </c>
      <c r="C1826" s="3" t="s">
        <v>1909</v>
      </c>
      <c r="D1826" s="3" t="s">
        <v>5844</v>
      </c>
      <c r="E1826" s="3" t="s">
        <v>2420</v>
      </c>
      <c r="F1826" s="3" t="s">
        <v>2475</v>
      </c>
      <c r="G1826" s="3" t="s">
        <v>5845</v>
      </c>
      <c r="H1826" s="3" t="s">
        <v>2391</v>
      </c>
      <c r="I1826" s="4" t="b">
        <f>OR(((E1826 = "calculated")=TRUE), ((E1826 = "lookup")=TRUE), ((E1826 = "aggregation")=TRUE))</f>
        <v>1</v>
      </c>
      <c r="J1826" s="4" t="b">
        <f>H1826 &lt;&gt; ""</f>
        <v>1</v>
      </c>
      <c r="K1826" s="4">
        <f>COUNTIFS(FieldDisagreements!D2:D50, A1826)</f>
        <v>0</v>
      </c>
      <c r="L1826" s="4" t="b">
        <f>K1826 &gt; 0</f>
        <v>0</v>
      </c>
      <c r="M1826" s="3" t="s">
        <v>2418</v>
      </c>
    </row>
    <row r="1827">
      <c r="A1827" s="3" t="s">
        <v>5846</v>
      </c>
      <c r="B1827" s="4" t="str">
        <f>C1827 &amp; "." &amp; D1827</f>
        <v>ConformanceRuns.ImperfectSubstrateCount</v>
      </c>
      <c r="C1827" s="3" t="s">
        <v>1909</v>
      </c>
      <c r="D1827" s="3" t="s">
        <v>5847</v>
      </c>
      <c r="E1827" s="3" t="s">
        <v>2420</v>
      </c>
      <c r="F1827" s="3" t="s">
        <v>2475</v>
      </c>
      <c r="G1827" s="3" t="s">
        <v>5848</v>
      </c>
      <c r="H1827" s="3" t="s">
        <v>2391</v>
      </c>
      <c r="I1827" s="4" t="b">
        <f>OR(((E1827 = "calculated")=TRUE), ((E1827 = "lookup")=TRUE), ((E1827 = "aggregation")=TRUE))</f>
        <v>1</v>
      </c>
      <c r="J1827" s="4" t="b">
        <f>H1827 &lt;&gt; ""</f>
        <v>1</v>
      </c>
      <c r="K1827" s="4">
        <f>COUNTIFS(FieldDisagreements!D2:D50, A1827)</f>
        <v>0</v>
      </c>
      <c r="L1827" s="4" t="b">
        <f>K1827 &gt; 0</f>
        <v>0</v>
      </c>
      <c r="M1827" s="3" t="s">
        <v>2418</v>
      </c>
    </row>
    <row r="1828">
      <c r="A1828" s="3" t="s">
        <v>5849</v>
      </c>
      <c r="B1828" s="4" t="str">
        <f>C1828 &amp; "." &amp; D1828</f>
        <v>ConformanceRuns.IsFullyConformant</v>
      </c>
      <c r="C1828" s="3" t="s">
        <v>1909</v>
      </c>
      <c r="D1828" s="3" t="s">
        <v>5812</v>
      </c>
      <c r="E1828" s="3" t="s">
        <v>2420</v>
      </c>
      <c r="F1828" s="3" t="s">
        <v>2432</v>
      </c>
      <c r="G1828" s="3" t="s">
        <v>5850</v>
      </c>
      <c r="H1828" s="3" t="s">
        <v>2391</v>
      </c>
      <c r="I1828" s="4" t="b">
        <f>OR(((E1828 = "calculated")=TRUE), ((E1828 = "lookup")=TRUE), ((E1828 = "aggregation")=TRUE))</f>
        <v>1</v>
      </c>
      <c r="J1828" s="4" t="b">
        <f>H1828 &lt;&gt; ""</f>
        <v>1</v>
      </c>
      <c r="K1828" s="4">
        <f>COUNTIFS(FieldDisagreements!D2:D50, A1828)</f>
        <v>0</v>
      </c>
      <c r="L1828" s="4" t="b">
        <f>K1828 &gt; 0</f>
        <v>0</v>
      </c>
      <c r="M1828" s="3" t="s">
        <v>2418</v>
      </c>
    </row>
    <row r="1829">
      <c r="A1829" s="3" t="s">
        <v>5851</v>
      </c>
      <c r="B1829" s="4" t="str">
        <f>C1829 &amp; "." &amp; D1829</f>
        <v>ConformanceRuns.SemanticTypeIri</v>
      </c>
      <c r="C1829" s="3" t="s">
        <v>1909</v>
      </c>
      <c r="D1829" s="3" t="s">
        <v>94</v>
      </c>
      <c r="E1829" s="3" t="s">
        <v>2416</v>
      </c>
      <c r="F1829" s="3" t="s">
        <v>2417</v>
      </c>
      <c r="G1829" s="3"/>
      <c r="H1829" s="3"/>
      <c r="I1829" s="4" t="b">
        <f>OR(((E1829 = "calculated")=TRUE), ((E1829 = "lookup")=TRUE), ((E1829 = "aggregation")=TRUE))</f>
        <v>0</v>
      </c>
      <c r="J1829" s="4" t="b">
        <f>H1829 &lt;&gt; ""</f>
        <v>0</v>
      </c>
      <c r="K1829" s="4">
        <f>COUNTIFS(FieldDisagreements!D2:D50, A1829)</f>
        <v>0</v>
      </c>
      <c r="L1829" s="4" t="b">
        <f>K1829 &gt; 0</f>
        <v>0</v>
      </c>
      <c r="M1829" s="3" t="s">
        <v>2418</v>
      </c>
    </row>
    <row r="1830">
      <c r="A1830" s="3" t="s">
        <v>5852</v>
      </c>
      <c r="B1830" s="4" t="str">
        <f>C1830 &amp; "." &amp; D1830</f>
        <v>SubstrateRunScores.SubstrateRunScoreId</v>
      </c>
      <c r="C1830" s="3" t="s">
        <v>1913</v>
      </c>
      <c r="D1830" s="3" t="s">
        <v>5853</v>
      </c>
      <c r="E1830" s="3" t="s">
        <v>2416</v>
      </c>
      <c r="F1830" s="3" t="s">
        <v>2417</v>
      </c>
      <c r="G1830" s="3"/>
      <c r="H1830" s="3"/>
      <c r="I1830" s="4" t="b">
        <f>OR(((E1830 = "calculated")=TRUE), ((E1830 = "lookup")=TRUE), ((E1830 = "aggregation")=TRUE))</f>
        <v>0</v>
      </c>
      <c r="J1830" s="4" t="b">
        <f>H1830 &lt;&gt; ""</f>
        <v>0</v>
      </c>
      <c r="K1830" s="4">
        <f>COUNTIFS(FieldDisagreements!D2:D50, A1830)</f>
        <v>0</v>
      </c>
      <c r="L1830" s="4" t="b">
        <f>K1830 &gt; 0</f>
        <v>0</v>
      </c>
      <c r="M1830" s="3" t="s">
        <v>2418</v>
      </c>
    </row>
    <row r="1831">
      <c r="A1831" s="3" t="s">
        <v>5854</v>
      </c>
      <c r="B1831" s="4" t="str">
        <f>C1831 &amp; "." &amp; D1831</f>
        <v>SubstrateRunScores.Name</v>
      </c>
      <c r="C1831" s="3" t="s">
        <v>1913</v>
      </c>
      <c r="D1831" s="3" t="s">
        <v>1</v>
      </c>
      <c r="E1831" s="3" t="s">
        <v>2420</v>
      </c>
      <c r="F1831" s="3" t="s">
        <v>2417</v>
      </c>
      <c r="G1831" s="3" t="s">
        <v>5855</v>
      </c>
      <c r="H1831" s="3"/>
      <c r="I1831" s="4" t="b">
        <f>OR(((E1831 = "calculated")=TRUE), ((E1831 = "lookup")=TRUE), ((E1831 = "aggregation")=TRUE))</f>
        <v>1</v>
      </c>
      <c r="J1831" s="4" t="b">
        <f>H1831 &lt;&gt; ""</f>
        <v>0</v>
      </c>
      <c r="K1831" s="4">
        <f>COUNTIFS(FieldDisagreements!D2:D50, A1831)</f>
        <v>0</v>
      </c>
      <c r="L1831" s="4" t="b">
        <f>K1831 &gt; 0</f>
        <v>0</v>
      </c>
      <c r="M1831" s="3" t="s">
        <v>2418</v>
      </c>
    </row>
    <row r="1832">
      <c r="A1832" s="3" t="s">
        <v>5856</v>
      </c>
      <c r="B1832" s="4" t="str">
        <f>C1832 &amp; "." &amp; D1832</f>
        <v>SubstrateRunScores.Run</v>
      </c>
      <c r="C1832" s="3" t="s">
        <v>1913</v>
      </c>
      <c r="D1832" s="3" t="s">
        <v>5857</v>
      </c>
      <c r="E1832" s="3" t="s">
        <v>2465</v>
      </c>
      <c r="F1832" s="3" t="s">
        <v>2417</v>
      </c>
      <c r="G1832" s="3"/>
      <c r="H1832" s="3"/>
      <c r="I1832" s="4" t="b">
        <f>OR(((E1832 = "calculated")=TRUE), ((E1832 = "lookup")=TRUE), ((E1832 = "aggregation")=TRUE))</f>
        <v>0</v>
      </c>
      <c r="J1832" s="4" t="b">
        <f>H1832 &lt;&gt; ""</f>
        <v>0</v>
      </c>
      <c r="K1832" s="4">
        <f>COUNTIFS(FieldDisagreements!D2:D50, A1832)</f>
        <v>0</v>
      </c>
      <c r="L1832" s="4" t="b">
        <f>K1832 &gt; 0</f>
        <v>0</v>
      </c>
      <c r="M1832" s="3" t="s">
        <v>2418</v>
      </c>
    </row>
    <row r="1833">
      <c r="A1833" s="3" t="s">
        <v>5858</v>
      </c>
      <c r="B1833" s="4" t="str">
        <f>C1833 &amp; "." &amp; D1833</f>
        <v>SubstrateRunScores.Substrate</v>
      </c>
      <c r="C1833" s="3" t="s">
        <v>1913</v>
      </c>
      <c r="D1833" s="3" t="s">
        <v>5859</v>
      </c>
      <c r="E1833" s="3" t="s">
        <v>2465</v>
      </c>
      <c r="F1833" s="3" t="s">
        <v>2417</v>
      </c>
      <c r="G1833" s="3"/>
      <c r="H1833" s="3"/>
      <c r="I1833" s="4" t="b">
        <f>OR(((E1833 = "calculated")=TRUE), ((E1833 = "lookup")=TRUE), ((E1833 = "aggregation")=TRUE))</f>
        <v>0</v>
      </c>
      <c r="J1833" s="4" t="b">
        <f>H1833 &lt;&gt; ""</f>
        <v>0</v>
      </c>
      <c r="K1833" s="4">
        <f>COUNTIFS(FieldDisagreements!D2:D50, A1833)</f>
        <v>0</v>
      </c>
      <c r="L1833" s="4" t="b">
        <f>K1833 &gt; 0</f>
        <v>0</v>
      </c>
      <c r="M1833" s="3" t="s">
        <v>2418</v>
      </c>
    </row>
    <row r="1834">
      <c r="A1834" s="3" t="s">
        <v>5860</v>
      </c>
      <c r="B1834" s="4" t="str">
        <f>C1834 &amp; "." &amp; D1834</f>
        <v>SubstrateRunScores.HarnessError</v>
      </c>
      <c r="C1834" s="3" t="s">
        <v>1913</v>
      </c>
      <c r="D1834" s="3" t="s">
        <v>5861</v>
      </c>
      <c r="E1834" s="3" t="s">
        <v>2416</v>
      </c>
      <c r="F1834" s="3" t="s">
        <v>2417</v>
      </c>
      <c r="G1834" s="3"/>
      <c r="H1834" s="3"/>
      <c r="I1834" s="4" t="b">
        <f>OR(((E1834 = "calculated")=TRUE), ((E1834 = "lookup")=TRUE), ((E1834 = "aggregation")=TRUE))</f>
        <v>0</v>
      </c>
      <c r="J1834" s="4" t="b">
        <f>H1834 &lt;&gt; ""</f>
        <v>0</v>
      </c>
      <c r="K1834" s="4">
        <f>COUNTIFS(FieldDisagreements!D2:D50, A1834)</f>
        <v>0</v>
      </c>
      <c r="L1834" s="4" t="b">
        <f>K1834 &gt; 0</f>
        <v>0</v>
      </c>
      <c r="M1834" s="3" t="s">
        <v>2418</v>
      </c>
    </row>
    <row r="1835">
      <c r="A1835" s="3" t="s">
        <v>5862</v>
      </c>
      <c r="B1835" s="4" t="str">
        <f>C1835 &amp; "." &amp; D1835</f>
        <v>SubstrateRunScores.DurationSeconds</v>
      </c>
      <c r="C1835" s="3" t="s">
        <v>1913</v>
      </c>
      <c r="D1835" s="3" t="s">
        <v>5863</v>
      </c>
      <c r="E1835" s="3" t="s">
        <v>2416</v>
      </c>
      <c r="F1835" s="3" t="s">
        <v>2475</v>
      </c>
      <c r="G1835" s="3"/>
      <c r="H1835" s="3"/>
      <c r="I1835" s="4" t="b">
        <f>OR(((E1835 = "calculated")=TRUE), ((E1835 = "lookup")=TRUE), ((E1835 = "aggregation")=TRUE))</f>
        <v>0</v>
      </c>
      <c r="J1835" s="4" t="b">
        <f>H1835 &lt;&gt; ""</f>
        <v>0</v>
      </c>
      <c r="K1835" s="4">
        <f>COUNTIFS(FieldDisagreements!D2:D50, A1835)</f>
        <v>0</v>
      </c>
      <c r="L1835" s="4" t="b">
        <f>K1835 &gt; 0</f>
        <v>0</v>
      </c>
      <c r="M1835" s="3" t="s">
        <v>2418</v>
      </c>
    </row>
    <row r="1836">
      <c r="A1836" s="3" t="s">
        <v>5864</v>
      </c>
      <c r="B1836" s="4" t="str">
        <f>C1836 &amp; "." &amp; D1836</f>
        <v>SubstrateRunScores.CellsTested</v>
      </c>
      <c r="C1836" s="3" t="s">
        <v>1913</v>
      </c>
      <c r="D1836" s="3" t="s">
        <v>5835</v>
      </c>
      <c r="E1836" s="3" t="s">
        <v>2416</v>
      </c>
      <c r="F1836" s="3" t="s">
        <v>2475</v>
      </c>
      <c r="G1836" s="3"/>
      <c r="H1836" s="3"/>
      <c r="I1836" s="4" t="b">
        <f>OR(((E1836 = "calculated")=TRUE), ((E1836 = "lookup")=TRUE), ((E1836 = "aggregation")=TRUE))</f>
        <v>0</v>
      </c>
      <c r="J1836" s="4" t="b">
        <f>H1836 &lt;&gt; ""</f>
        <v>0</v>
      </c>
      <c r="K1836" s="4">
        <f>COUNTIFS(FieldDisagreements!D2:D50, A1836)</f>
        <v>0</v>
      </c>
      <c r="L1836" s="4" t="b">
        <f>K1836 &gt; 0</f>
        <v>0</v>
      </c>
      <c r="M1836" s="3" t="s">
        <v>2418</v>
      </c>
    </row>
    <row r="1837">
      <c r="A1837" s="3" t="s">
        <v>5865</v>
      </c>
      <c r="B1837" s="4" t="str">
        <f>C1837 &amp; "." &amp; D1837</f>
        <v>SubstrateRunScores.CellsPassed</v>
      </c>
      <c r="C1837" s="3" t="s">
        <v>1913</v>
      </c>
      <c r="D1837" s="3" t="s">
        <v>5838</v>
      </c>
      <c r="E1837" s="3" t="s">
        <v>2416</v>
      </c>
      <c r="F1837" s="3" t="s">
        <v>2475</v>
      </c>
      <c r="G1837" s="3"/>
      <c r="H1837" s="3"/>
      <c r="I1837" s="4" t="b">
        <f>OR(((E1837 = "calculated")=TRUE), ((E1837 = "lookup")=TRUE), ((E1837 = "aggregation")=TRUE))</f>
        <v>0</v>
      </c>
      <c r="J1837" s="4" t="b">
        <f>H1837 &lt;&gt; ""</f>
        <v>0</v>
      </c>
      <c r="K1837" s="4">
        <f>COUNTIFS(FieldDisagreements!D2:D50, A1837)</f>
        <v>0</v>
      </c>
      <c r="L1837" s="4" t="b">
        <f>K1837 &gt; 0</f>
        <v>0</v>
      </c>
      <c r="M1837" s="3" t="s">
        <v>2418</v>
      </c>
    </row>
    <row r="1838">
      <c r="A1838" s="3" t="s">
        <v>5866</v>
      </c>
      <c r="B1838" s="4" t="str">
        <f>C1838 &amp; "." &amp; D1838</f>
        <v>SubstrateRunScores.CalculatedTested</v>
      </c>
      <c r="C1838" s="3" t="s">
        <v>1913</v>
      </c>
      <c r="D1838" s="3" t="s">
        <v>5867</v>
      </c>
      <c r="E1838" s="3" t="s">
        <v>2416</v>
      </c>
      <c r="F1838" s="3" t="s">
        <v>2475</v>
      </c>
      <c r="G1838" s="3"/>
      <c r="H1838" s="3"/>
      <c r="I1838" s="4" t="b">
        <f>OR(((E1838 = "calculated")=TRUE), ((E1838 = "lookup")=TRUE), ((E1838 = "aggregation")=TRUE))</f>
        <v>0</v>
      </c>
      <c r="J1838" s="4" t="b">
        <f>H1838 &lt;&gt; ""</f>
        <v>0</v>
      </c>
      <c r="K1838" s="4">
        <f>COUNTIFS(FieldDisagreements!D2:D50, A1838)</f>
        <v>0</v>
      </c>
      <c r="L1838" s="4" t="b">
        <f>K1838 &gt; 0</f>
        <v>0</v>
      </c>
      <c r="M1838" s="3" t="s">
        <v>2418</v>
      </c>
    </row>
    <row r="1839">
      <c r="A1839" s="3" t="s">
        <v>5868</v>
      </c>
      <c r="B1839" s="4" t="str">
        <f>C1839 &amp; "." &amp; D1839</f>
        <v>SubstrateRunScores.CalculatedPassed</v>
      </c>
      <c r="C1839" s="3" t="s">
        <v>1913</v>
      </c>
      <c r="D1839" s="3" t="s">
        <v>5869</v>
      </c>
      <c r="E1839" s="3" t="s">
        <v>2416</v>
      </c>
      <c r="F1839" s="3" t="s">
        <v>2475</v>
      </c>
      <c r="G1839" s="3"/>
      <c r="H1839" s="3"/>
      <c r="I1839" s="4" t="b">
        <f>OR(((E1839 = "calculated")=TRUE), ((E1839 = "lookup")=TRUE), ((E1839 = "aggregation")=TRUE))</f>
        <v>0</v>
      </c>
      <c r="J1839" s="4" t="b">
        <f>H1839 &lt;&gt; ""</f>
        <v>0</v>
      </c>
      <c r="K1839" s="4">
        <f>COUNTIFS(FieldDisagreements!D2:D50, A1839)</f>
        <v>0</v>
      </c>
      <c r="L1839" s="4" t="b">
        <f>K1839 &gt; 0</f>
        <v>0</v>
      </c>
      <c r="M1839" s="3" t="s">
        <v>2418</v>
      </c>
    </row>
    <row r="1840">
      <c r="A1840" s="3" t="s">
        <v>5870</v>
      </c>
      <c r="B1840" s="4" t="str">
        <f>C1840 &amp; "." &amp; D1840</f>
        <v>SubstrateRunScores.LookupTested</v>
      </c>
      <c r="C1840" s="3" t="s">
        <v>1913</v>
      </c>
      <c r="D1840" s="3" t="s">
        <v>5871</v>
      </c>
      <c r="E1840" s="3" t="s">
        <v>2416</v>
      </c>
      <c r="F1840" s="3" t="s">
        <v>2475</v>
      </c>
      <c r="G1840" s="3"/>
      <c r="H1840" s="3"/>
      <c r="I1840" s="4" t="b">
        <f>OR(((E1840 = "calculated")=TRUE), ((E1840 = "lookup")=TRUE), ((E1840 = "aggregation")=TRUE))</f>
        <v>0</v>
      </c>
      <c r="J1840" s="4" t="b">
        <f>H1840 &lt;&gt; ""</f>
        <v>0</v>
      </c>
      <c r="K1840" s="4">
        <f>COUNTIFS(FieldDisagreements!D2:D50, A1840)</f>
        <v>0</v>
      </c>
      <c r="L1840" s="4" t="b">
        <f>K1840 &gt; 0</f>
        <v>0</v>
      </c>
      <c r="M1840" s="3" t="s">
        <v>2418</v>
      </c>
    </row>
    <row r="1841">
      <c r="A1841" s="3" t="s">
        <v>5872</v>
      </c>
      <c r="B1841" s="4" t="str">
        <f>C1841 &amp; "." &amp; D1841</f>
        <v>SubstrateRunScores.LookupPassed</v>
      </c>
      <c r="C1841" s="3" t="s">
        <v>1913</v>
      </c>
      <c r="D1841" s="3" t="s">
        <v>5873</v>
      </c>
      <c r="E1841" s="3" t="s">
        <v>2416</v>
      </c>
      <c r="F1841" s="3" t="s">
        <v>2475</v>
      </c>
      <c r="G1841" s="3"/>
      <c r="H1841" s="3"/>
      <c r="I1841" s="4" t="b">
        <f>OR(((E1841 = "calculated")=TRUE), ((E1841 = "lookup")=TRUE), ((E1841 = "aggregation")=TRUE))</f>
        <v>0</v>
      </c>
      <c r="J1841" s="4" t="b">
        <f>H1841 &lt;&gt; ""</f>
        <v>0</v>
      </c>
      <c r="K1841" s="4">
        <f>COUNTIFS(FieldDisagreements!D2:D50, A1841)</f>
        <v>0</v>
      </c>
      <c r="L1841" s="4" t="b">
        <f>K1841 &gt; 0</f>
        <v>0</v>
      </c>
      <c r="M1841" s="3" t="s">
        <v>2418</v>
      </c>
    </row>
    <row r="1842">
      <c r="A1842" s="3" t="s">
        <v>5874</v>
      </c>
      <c r="B1842" s="4" t="str">
        <f>C1842 &amp; "." &amp; D1842</f>
        <v>SubstrateRunScores.AggregationTested</v>
      </c>
      <c r="C1842" s="3" t="s">
        <v>1913</v>
      </c>
      <c r="D1842" s="3" t="s">
        <v>5875</v>
      </c>
      <c r="E1842" s="3" t="s">
        <v>2416</v>
      </c>
      <c r="F1842" s="3" t="s">
        <v>2475</v>
      </c>
      <c r="G1842" s="3"/>
      <c r="H1842" s="3"/>
      <c r="I1842" s="4" t="b">
        <f>OR(((E1842 = "calculated")=TRUE), ((E1842 = "lookup")=TRUE), ((E1842 = "aggregation")=TRUE))</f>
        <v>0</v>
      </c>
      <c r="J1842" s="4" t="b">
        <f>H1842 &lt;&gt; ""</f>
        <v>0</v>
      </c>
      <c r="K1842" s="4">
        <f>COUNTIFS(FieldDisagreements!D2:D50, A1842)</f>
        <v>0</v>
      </c>
      <c r="L1842" s="4" t="b">
        <f>K1842 &gt; 0</f>
        <v>0</v>
      </c>
      <c r="M1842" s="3" t="s">
        <v>2418</v>
      </c>
    </row>
    <row r="1843">
      <c r="A1843" s="3" t="s">
        <v>5876</v>
      </c>
      <c r="B1843" s="4" t="str">
        <f>C1843 &amp; "." &amp; D1843</f>
        <v>SubstrateRunScores.AggregationPassed</v>
      </c>
      <c r="C1843" s="3" t="s">
        <v>1913</v>
      </c>
      <c r="D1843" s="3" t="s">
        <v>5877</v>
      </c>
      <c r="E1843" s="3" t="s">
        <v>2416</v>
      </c>
      <c r="F1843" s="3" t="s">
        <v>2475</v>
      </c>
      <c r="G1843" s="3"/>
      <c r="H1843" s="3"/>
      <c r="I1843" s="4" t="b">
        <f>OR(((E1843 = "calculated")=TRUE), ((E1843 = "lookup")=TRUE), ((E1843 = "aggregation")=TRUE))</f>
        <v>0</v>
      </c>
      <c r="J1843" s="4" t="b">
        <f>H1843 &lt;&gt; ""</f>
        <v>0</v>
      </c>
      <c r="K1843" s="4">
        <f>COUNTIFS(FieldDisagreements!D2:D50, A1843)</f>
        <v>0</v>
      </c>
      <c r="L1843" s="4" t="b">
        <f>K1843 &gt; 0</f>
        <v>0</v>
      </c>
      <c r="M1843" s="3" t="s">
        <v>2418</v>
      </c>
    </row>
    <row r="1844">
      <c r="A1844" s="3" t="s">
        <v>5878</v>
      </c>
      <c r="B1844" s="4" t="str">
        <f>C1844 &amp; "." &amp; D1844</f>
        <v>SubstrateRunScores.CellsFailed</v>
      </c>
      <c r="C1844" s="3" t="s">
        <v>1913</v>
      </c>
      <c r="D1844" s="3" t="s">
        <v>5841</v>
      </c>
      <c r="E1844" s="3" t="s">
        <v>2420</v>
      </c>
      <c r="F1844" s="3" t="s">
        <v>2475</v>
      </c>
      <c r="G1844" s="3" t="s">
        <v>5842</v>
      </c>
      <c r="H1844" s="3" t="s">
        <v>2391</v>
      </c>
      <c r="I1844" s="4" t="b">
        <f>OR(((E1844 = "calculated")=TRUE), ((E1844 = "lookup")=TRUE), ((E1844 = "aggregation")=TRUE))</f>
        <v>1</v>
      </c>
      <c r="J1844" s="4" t="b">
        <f>H1844 &lt;&gt; ""</f>
        <v>1</v>
      </c>
      <c r="K1844" s="4">
        <f>COUNTIFS(FieldDisagreements!D2:D50, A1844)</f>
        <v>0</v>
      </c>
      <c r="L1844" s="4" t="b">
        <f>K1844 &gt; 0</f>
        <v>0</v>
      </c>
      <c r="M1844" s="3" t="s">
        <v>2418</v>
      </c>
    </row>
    <row r="1845">
      <c r="A1845" s="3" t="s">
        <v>5879</v>
      </c>
      <c r="B1845" s="4" t="str">
        <f>C1845 &amp; "." &amp; D1845</f>
        <v>SubstrateRunScores.Score</v>
      </c>
      <c r="C1845" s="3" t="s">
        <v>1913</v>
      </c>
      <c r="D1845" s="3" t="s">
        <v>5880</v>
      </c>
      <c r="E1845" s="3" t="s">
        <v>2420</v>
      </c>
      <c r="F1845" s="3" t="s">
        <v>2475</v>
      </c>
      <c r="G1845" s="3" t="s">
        <v>5845</v>
      </c>
      <c r="H1845" s="3" t="s">
        <v>2391</v>
      </c>
      <c r="I1845" s="4" t="b">
        <f>OR(((E1845 = "calculated")=TRUE), ((E1845 = "lookup")=TRUE), ((E1845 = "aggregation")=TRUE))</f>
        <v>1</v>
      </c>
      <c r="J1845" s="4" t="b">
        <f>H1845 &lt;&gt; ""</f>
        <v>1</v>
      </c>
      <c r="K1845" s="4">
        <f>COUNTIFS(FieldDisagreements!D2:D50, A1845)</f>
        <v>0</v>
      </c>
      <c r="L1845" s="4" t="b">
        <f>K1845 &gt; 0</f>
        <v>0</v>
      </c>
      <c r="M1845" s="3" t="s">
        <v>2418</v>
      </c>
    </row>
    <row r="1846">
      <c r="A1846" s="3" t="s">
        <v>5881</v>
      </c>
      <c r="B1846" s="4" t="str">
        <f>C1846 &amp; "." &amp; D1846</f>
        <v>SubstrateRunScores.CalculatedScore</v>
      </c>
      <c r="C1846" s="3" t="s">
        <v>1913</v>
      </c>
      <c r="D1846" s="3" t="s">
        <v>5882</v>
      </c>
      <c r="E1846" s="3" t="s">
        <v>2420</v>
      </c>
      <c r="F1846" s="3" t="s">
        <v>2475</v>
      </c>
      <c r="G1846" s="3" t="s">
        <v>5883</v>
      </c>
      <c r="H1846" s="3" t="s">
        <v>2391</v>
      </c>
      <c r="I1846" s="4" t="b">
        <f>OR(((E1846 = "calculated")=TRUE), ((E1846 = "lookup")=TRUE), ((E1846 = "aggregation")=TRUE))</f>
        <v>1</v>
      </c>
      <c r="J1846" s="4" t="b">
        <f>H1846 &lt;&gt; ""</f>
        <v>1</v>
      </c>
      <c r="K1846" s="4">
        <f>COUNTIFS(FieldDisagreements!D2:D50, A1846)</f>
        <v>0</v>
      </c>
      <c r="L1846" s="4" t="b">
        <f>K1846 &gt; 0</f>
        <v>0</v>
      </c>
      <c r="M1846" s="3" t="s">
        <v>2418</v>
      </c>
    </row>
    <row r="1847">
      <c r="A1847" s="3" t="s">
        <v>5884</v>
      </c>
      <c r="B1847" s="4" t="str">
        <f>C1847 &amp; "." &amp; D1847</f>
        <v>SubstrateRunScores.LookupScore</v>
      </c>
      <c r="C1847" s="3" t="s">
        <v>1913</v>
      </c>
      <c r="D1847" s="3" t="s">
        <v>5885</v>
      </c>
      <c r="E1847" s="3" t="s">
        <v>2420</v>
      </c>
      <c r="F1847" s="3" t="s">
        <v>2475</v>
      </c>
      <c r="G1847" s="3" t="s">
        <v>5886</v>
      </c>
      <c r="H1847" s="3" t="s">
        <v>2391</v>
      </c>
      <c r="I1847" s="4" t="b">
        <f>OR(((E1847 = "calculated")=TRUE), ((E1847 = "lookup")=TRUE), ((E1847 = "aggregation")=TRUE))</f>
        <v>1</v>
      </c>
      <c r="J1847" s="4" t="b">
        <f>H1847 &lt;&gt; ""</f>
        <v>1</v>
      </c>
      <c r="K1847" s="4">
        <f>COUNTIFS(FieldDisagreements!D2:D50, A1847)</f>
        <v>0</v>
      </c>
      <c r="L1847" s="4" t="b">
        <f>K1847 &gt; 0</f>
        <v>0</v>
      </c>
      <c r="M1847" s="3" t="s">
        <v>2418</v>
      </c>
    </row>
    <row r="1848">
      <c r="A1848" s="3" t="s">
        <v>5887</v>
      </c>
      <c r="B1848" s="4" t="str">
        <f>C1848 &amp; "." &amp; D1848</f>
        <v>SubstrateRunScores.AggregationScore</v>
      </c>
      <c r="C1848" s="3" t="s">
        <v>1913</v>
      </c>
      <c r="D1848" s="3" t="s">
        <v>5888</v>
      </c>
      <c r="E1848" s="3" t="s">
        <v>2420</v>
      </c>
      <c r="F1848" s="3" t="s">
        <v>2475</v>
      </c>
      <c r="G1848" s="3" t="s">
        <v>5889</v>
      </c>
      <c r="H1848" s="3" t="s">
        <v>2391</v>
      </c>
      <c r="I1848" s="4" t="b">
        <f>OR(((E1848 = "calculated")=TRUE), ((E1848 = "lookup")=TRUE), ((E1848 = "aggregation")=TRUE))</f>
        <v>1</v>
      </c>
      <c r="J1848" s="4" t="b">
        <f>H1848 &lt;&gt; ""</f>
        <v>1</v>
      </c>
      <c r="K1848" s="4">
        <f>COUNTIFS(FieldDisagreements!D2:D50, A1848)</f>
        <v>0</v>
      </c>
      <c r="L1848" s="4" t="b">
        <f>K1848 &gt; 0</f>
        <v>0</v>
      </c>
      <c r="M1848" s="3" t="s">
        <v>2418</v>
      </c>
    </row>
    <row r="1849">
      <c r="A1849" s="3" t="s">
        <v>5890</v>
      </c>
      <c r="B1849" s="4" t="str">
        <f>C1849 &amp; "." &amp; D1849</f>
        <v>SubstrateRunScores.IsPerfect</v>
      </c>
      <c r="C1849" s="3" t="s">
        <v>1913</v>
      </c>
      <c r="D1849" s="3" t="s">
        <v>5891</v>
      </c>
      <c r="E1849" s="3" t="s">
        <v>2420</v>
      </c>
      <c r="F1849" s="3" t="s">
        <v>2432</v>
      </c>
      <c r="G1849" s="3" t="s">
        <v>5892</v>
      </c>
      <c r="H1849" s="3" t="s">
        <v>2391</v>
      </c>
      <c r="I1849" s="4" t="b">
        <f>OR(((E1849 = "calculated")=TRUE), ((E1849 = "lookup")=TRUE), ((E1849 = "aggregation")=TRUE))</f>
        <v>1</v>
      </c>
      <c r="J1849" s="4" t="b">
        <f>H1849 &lt;&gt; ""</f>
        <v>1</v>
      </c>
      <c r="K1849" s="4">
        <f>COUNTIFS(FieldDisagreements!D2:D50, A1849)</f>
        <v>0</v>
      </c>
      <c r="L1849" s="4" t="b">
        <f>K1849 &gt; 0</f>
        <v>0</v>
      </c>
      <c r="M1849" s="3" t="s">
        <v>2418</v>
      </c>
    </row>
    <row r="1850">
      <c r="A1850" s="3" t="s">
        <v>5893</v>
      </c>
      <c r="B1850" s="4" t="str">
        <f>C1850 &amp; "." &amp; D1850</f>
        <v>SubstrateRunScores.PerfectRunKey</v>
      </c>
      <c r="C1850" s="3" t="s">
        <v>1913</v>
      </c>
      <c r="D1850" s="3" t="s">
        <v>5894</v>
      </c>
      <c r="E1850" s="3" t="s">
        <v>2420</v>
      </c>
      <c r="F1850" s="3" t="s">
        <v>2417</v>
      </c>
      <c r="G1850" s="3" t="s">
        <v>5895</v>
      </c>
      <c r="H1850" s="3" t="s">
        <v>2391</v>
      </c>
      <c r="I1850" s="4" t="b">
        <f>OR(((E1850 = "calculated")=TRUE), ((E1850 = "lookup")=TRUE), ((E1850 = "aggregation")=TRUE))</f>
        <v>1</v>
      </c>
      <c r="J1850" s="4" t="b">
        <f>H1850 &lt;&gt; ""</f>
        <v>1</v>
      </c>
      <c r="K1850" s="4">
        <f>COUNTIFS(FieldDisagreements!D2:D50, A1850)</f>
        <v>0</v>
      </c>
      <c r="L1850" s="4" t="b">
        <f>K1850 &gt; 0</f>
        <v>0</v>
      </c>
      <c r="M1850" s="3" t="s">
        <v>2418</v>
      </c>
    </row>
    <row r="1851">
      <c r="A1851" s="3" t="s">
        <v>5896</v>
      </c>
      <c r="B1851" s="4" t="str">
        <f>C1851 &amp; "." &amp; D1851</f>
        <v>SubstrateRunScores.IsInLatestRun</v>
      </c>
      <c r="C1851" s="3" t="s">
        <v>1913</v>
      </c>
      <c r="D1851" s="3" t="s">
        <v>5897</v>
      </c>
      <c r="E1851" s="3" t="s">
        <v>2509</v>
      </c>
      <c r="F1851" s="3" t="s">
        <v>2432</v>
      </c>
      <c r="G1851" s="3" t="s">
        <v>5898</v>
      </c>
      <c r="H1851" s="3" t="s">
        <v>2391</v>
      </c>
      <c r="I1851" s="4" t="b">
        <f>OR(((E1851 = "calculated")=TRUE), ((E1851 = "lookup")=TRUE), ((E1851 = "aggregation")=TRUE))</f>
        <v>1</v>
      </c>
      <c r="J1851" s="4" t="b">
        <f>H1851 &lt;&gt; ""</f>
        <v>1</v>
      </c>
      <c r="K1851" s="4">
        <f>COUNTIFS(FieldDisagreements!D2:D50, A1851)</f>
        <v>0</v>
      </c>
      <c r="L1851" s="4" t="b">
        <f>K1851 &gt; 0</f>
        <v>0</v>
      </c>
      <c r="M1851" s="3" t="s">
        <v>2418</v>
      </c>
    </row>
    <row r="1852">
      <c r="A1852" s="3" t="s">
        <v>5899</v>
      </c>
      <c r="B1852" s="4" t="str">
        <f>C1852 &amp; "." &amp; D1852</f>
        <v>SubstrateRunScores.LatestCellsTested</v>
      </c>
      <c r="C1852" s="3" t="s">
        <v>1913</v>
      </c>
      <c r="D1852" s="3" t="s">
        <v>5791</v>
      </c>
      <c r="E1852" s="3" t="s">
        <v>2420</v>
      </c>
      <c r="F1852" s="3" t="s">
        <v>2475</v>
      </c>
      <c r="G1852" s="3" t="s">
        <v>5900</v>
      </c>
      <c r="H1852" s="3" t="s">
        <v>2391</v>
      </c>
      <c r="I1852" s="4" t="b">
        <f>OR(((E1852 = "calculated")=TRUE), ((E1852 = "lookup")=TRUE), ((E1852 = "aggregation")=TRUE))</f>
        <v>1</v>
      </c>
      <c r="J1852" s="4" t="b">
        <f>H1852 &lt;&gt; ""</f>
        <v>1</v>
      </c>
      <c r="K1852" s="4">
        <f>COUNTIFS(FieldDisagreements!D2:D50, A1852)</f>
        <v>0</v>
      </c>
      <c r="L1852" s="4" t="b">
        <f>K1852 &gt; 0</f>
        <v>0</v>
      </c>
      <c r="M1852" s="3" t="s">
        <v>2418</v>
      </c>
    </row>
    <row r="1853">
      <c r="A1853" s="3" t="s">
        <v>5901</v>
      </c>
      <c r="B1853" s="4" t="str">
        <f>C1853 &amp; "." &amp; D1853</f>
        <v>SubstrateRunScores.LatestCellsPassed</v>
      </c>
      <c r="C1853" s="3" t="s">
        <v>1913</v>
      </c>
      <c r="D1853" s="3" t="s">
        <v>5794</v>
      </c>
      <c r="E1853" s="3" t="s">
        <v>2420</v>
      </c>
      <c r="F1853" s="3" t="s">
        <v>2475</v>
      </c>
      <c r="G1853" s="3" t="s">
        <v>5902</v>
      </c>
      <c r="H1853" s="3" t="s">
        <v>2391</v>
      </c>
      <c r="I1853" s="4" t="b">
        <f>OR(((E1853 = "calculated")=TRUE), ((E1853 = "lookup")=TRUE), ((E1853 = "aggregation")=TRUE))</f>
        <v>1</v>
      </c>
      <c r="J1853" s="4" t="b">
        <f>H1853 &lt;&gt; ""</f>
        <v>1</v>
      </c>
      <c r="K1853" s="4">
        <f>COUNTIFS(FieldDisagreements!D2:D50, A1853)</f>
        <v>0</v>
      </c>
      <c r="L1853" s="4" t="b">
        <f>K1853 &gt; 0</f>
        <v>0</v>
      </c>
      <c r="M1853" s="3" t="s">
        <v>2418</v>
      </c>
    </row>
    <row r="1854">
      <c r="A1854" s="3" t="s">
        <v>5903</v>
      </c>
      <c r="B1854" s="4" t="str">
        <f>C1854 &amp; "." &amp; D1854</f>
        <v>SubstrateRunScores.LatestErrorFlag</v>
      </c>
      <c r="C1854" s="3" t="s">
        <v>1913</v>
      </c>
      <c r="D1854" s="3" t="s">
        <v>5904</v>
      </c>
      <c r="E1854" s="3" t="s">
        <v>2420</v>
      </c>
      <c r="F1854" s="3" t="s">
        <v>2475</v>
      </c>
      <c r="G1854" s="3" t="s">
        <v>5905</v>
      </c>
      <c r="H1854" s="3" t="s">
        <v>2391</v>
      </c>
      <c r="I1854" s="4" t="b">
        <f>OR(((E1854 = "calculated")=TRUE), ((E1854 = "lookup")=TRUE), ((E1854 = "aggregation")=TRUE))</f>
        <v>1</v>
      </c>
      <c r="J1854" s="4" t="b">
        <f>H1854 &lt;&gt; ""</f>
        <v>1</v>
      </c>
      <c r="K1854" s="4">
        <f>COUNTIFS(FieldDisagreements!D2:D50, A1854)</f>
        <v>0</v>
      </c>
      <c r="L1854" s="4" t="b">
        <f>K1854 &gt; 0</f>
        <v>0</v>
      </c>
      <c r="M1854" s="3" t="s">
        <v>2418</v>
      </c>
    </row>
    <row r="1855">
      <c r="A1855" s="3" t="s">
        <v>5906</v>
      </c>
      <c r="B1855" s="4" t="str">
        <f>C1855 &amp; "." &amp; D1855</f>
        <v>SubstrateRunScores.SubstrateLabel</v>
      </c>
      <c r="C1855" s="3" t="s">
        <v>1913</v>
      </c>
      <c r="D1855" s="3" t="s">
        <v>5907</v>
      </c>
      <c r="E1855" s="3" t="s">
        <v>2509</v>
      </c>
      <c r="F1855" s="3" t="s">
        <v>2417</v>
      </c>
      <c r="G1855" s="3" t="s">
        <v>5908</v>
      </c>
      <c r="H1855" s="3" t="s">
        <v>2391</v>
      </c>
      <c r="I1855" s="4" t="b">
        <f>OR(((E1855 = "calculated")=TRUE), ((E1855 = "lookup")=TRUE), ((E1855 = "aggregation")=TRUE))</f>
        <v>1</v>
      </c>
      <c r="J1855" s="4" t="b">
        <f>H1855 &lt;&gt; ""</f>
        <v>1</v>
      </c>
      <c r="K1855" s="4">
        <f>COUNTIFS(FieldDisagreements!D2:D50, A1855)</f>
        <v>0</v>
      </c>
      <c r="L1855" s="4" t="b">
        <f>K1855 &gt; 0</f>
        <v>0</v>
      </c>
      <c r="M1855" s="3" t="s">
        <v>2418</v>
      </c>
    </row>
    <row r="1856">
      <c r="A1856" s="3" t="s">
        <v>5909</v>
      </c>
      <c r="B1856" s="4" t="str">
        <f>C1856 &amp; "." &amp; D1856</f>
        <v>SubstrateRunScores.SemanticTypeIri</v>
      </c>
      <c r="C1856" s="3" t="s">
        <v>1913</v>
      </c>
      <c r="D1856" s="3" t="s">
        <v>94</v>
      </c>
      <c r="E1856" s="3" t="s">
        <v>2416</v>
      </c>
      <c r="F1856" s="3" t="s">
        <v>2417</v>
      </c>
      <c r="G1856" s="3"/>
      <c r="H1856" s="3"/>
      <c r="I1856" s="4" t="b">
        <f>OR(((E1856 = "calculated")=TRUE), ((E1856 = "lookup")=TRUE), ((E1856 = "aggregation")=TRUE))</f>
        <v>0</v>
      </c>
      <c r="J1856" s="4" t="b">
        <f>H1856 &lt;&gt; ""</f>
        <v>0</v>
      </c>
      <c r="K1856" s="4">
        <f>COUNTIFS(FieldDisagreements!D2:D50, A1856)</f>
        <v>0</v>
      </c>
      <c r="L1856" s="4" t="b">
        <f>K1856 &gt; 0</f>
        <v>0</v>
      </c>
      <c r="M1856" s="3" t="s">
        <v>2418</v>
      </c>
    </row>
    <row r="1857">
      <c r="A1857" s="3" t="s">
        <v>5910</v>
      </c>
      <c r="B1857" s="4" t="str">
        <f>C1857 &amp; "." &amp; D1857</f>
        <v>TableConformance.TableConformanceId</v>
      </c>
      <c r="C1857" s="3" t="s">
        <v>1917</v>
      </c>
      <c r="D1857" s="3" t="s">
        <v>5911</v>
      </c>
      <c r="E1857" s="3" t="s">
        <v>2416</v>
      </c>
      <c r="F1857" s="3" t="s">
        <v>2417</v>
      </c>
      <c r="G1857" s="3"/>
      <c r="H1857" s="3"/>
      <c r="I1857" s="4" t="b">
        <f>OR(((E1857 = "calculated")=TRUE), ((E1857 = "lookup")=TRUE), ((E1857 = "aggregation")=TRUE))</f>
        <v>0</v>
      </c>
      <c r="J1857" s="4" t="b">
        <f>H1857 &lt;&gt; ""</f>
        <v>0</v>
      </c>
      <c r="K1857" s="4">
        <f>COUNTIFS(FieldDisagreements!D2:D50, A1857)</f>
        <v>0</v>
      </c>
      <c r="L1857" s="4" t="b">
        <f>K1857 &gt; 0</f>
        <v>0</v>
      </c>
      <c r="M1857" s="3" t="s">
        <v>2418</v>
      </c>
    </row>
    <row r="1858">
      <c r="A1858" s="3" t="s">
        <v>5912</v>
      </c>
      <c r="B1858" s="4" t="str">
        <f>C1858 &amp; "." &amp; D1858</f>
        <v>TableConformance.Name</v>
      </c>
      <c r="C1858" s="3" t="s">
        <v>1917</v>
      </c>
      <c r="D1858" s="3" t="s">
        <v>1</v>
      </c>
      <c r="E1858" s="3" t="s">
        <v>2420</v>
      </c>
      <c r="F1858" s="3" t="s">
        <v>2417</v>
      </c>
      <c r="G1858" s="3" t="s">
        <v>5913</v>
      </c>
      <c r="H1858" s="3"/>
      <c r="I1858" s="4" t="b">
        <f>OR(((E1858 = "calculated")=TRUE), ((E1858 = "lookup")=TRUE), ((E1858 = "aggregation")=TRUE))</f>
        <v>1</v>
      </c>
      <c r="J1858" s="4" t="b">
        <f>H1858 &lt;&gt; ""</f>
        <v>0</v>
      </c>
      <c r="K1858" s="4">
        <f>COUNTIFS(FieldDisagreements!D2:D50, A1858)</f>
        <v>0</v>
      </c>
      <c r="L1858" s="4" t="b">
        <f>K1858 &gt; 0</f>
        <v>0</v>
      </c>
      <c r="M1858" s="3" t="s">
        <v>2418</v>
      </c>
    </row>
    <row r="1859">
      <c r="A1859" s="3" t="s">
        <v>5914</v>
      </c>
      <c r="B1859" s="4" t="str">
        <f>C1859 &amp; "." &amp; D1859</f>
        <v>TableConformance.Run</v>
      </c>
      <c r="C1859" s="3" t="s">
        <v>1917</v>
      </c>
      <c r="D1859" s="3" t="s">
        <v>5857</v>
      </c>
      <c r="E1859" s="3" t="s">
        <v>2465</v>
      </c>
      <c r="F1859" s="3" t="s">
        <v>2417</v>
      </c>
      <c r="G1859" s="3"/>
      <c r="H1859" s="3"/>
      <c r="I1859" s="4" t="b">
        <f>OR(((E1859 = "calculated")=TRUE), ((E1859 = "lookup")=TRUE), ((E1859 = "aggregation")=TRUE))</f>
        <v>0</v>
      </c>
      <c r="J1859" s="4" t="b">
        <f>H1859 &lt;&gt; ""</f>
        <v>0</v>
      </c>
      <c r="K1859" s="4">
        <f>COUNTIFS(FieldDisagreements!D2:D50, A1859)</f>
        <v>0</v>
      </c>
      <c r="L1859" s="4" t="b">
        <f>K1859 &gt; 0</f>
        <v>0</v>
      </c>
      <c r="M1859" s="3" t="s">
        <v>2418</v>
      </c>
    </row>
    <row r="1860">
      <c r="A1860" s="3" t="s">
        <v>5915</v>
      </c>
      <c r="B1860" s="4" t="str">
        <f>C1860 &amp; "." &amp; D1860</f>
        <v>TableConformance.Substrate</v>
      </c>
      <c r="C1860" s="3" t="s">
        <v>1917</v>
      </c>
      <c r="D1860" s="3" t="s">
        <v>5859</v>
      </c>
      <c r="E1860" s="3" t="s">
        <v>2465</v>
      </c>
      <c r="F1860" s="3" t="s">
        <v>2417</v>
      </c>
      <c r="G1860" s="3"/>
      <c r="H1860" s="3"/>
      <c r="I1860" s="4" t="b">
        <f>OR(((E1860 = "calculated")=TRUE), ((E1860 = "lookup")=TRUE), ((E1860 = "aggregation")=TRUE))</f>
        <v>0</v>
      </c>
      <c r="J1860" s="4" t="b">
        <f>H1860 &lt;&gt; ""</f>
        <v>0</v>
      </c>
      <c r="K1860" s="4">
        <f>COUNTIFS(FieldDisagreements!D2:D50, A1860)</f>
        <v>0</v>
      </c>
      <c r="L1860" s="4" t="b">
        <f>K1860 &gt; 0</f>
        <v>0</v>
      </c>
      <c r="M1860" s="3" t="s">
        <v>2418</v>
      </c>
    </row>
    <row r="1861">
      <c r="A1861" s="3" t="s">
        <v>5916</v>
      </c>
      <c r="B1861" s="4" t="str">
        <f>C1861 &amp; "." &amp; D1861</f>
        <v>TableConformance.RulebookTable</v>
      </c>
      <c r="C1861" s="3" t="s">
        <v>1917</v>
      </c>
      <c r="D1861" s="3" t="s">
        <v>5917</v>
      </c>
      <c r="E1861" s="3" t="s">
        <v>2465</v>
      </c>
      <c r="F1861" s="3" t="s">
        <v>2417</v>
      </c>
      <c r="G1861" s="3"/>
      <c r="H1861" s="3"/>
      <c r="I1861" s="4" t="b">
        <f>OR(((E1861 = "calculated")=TRUE), ((E1861 = "lookup")=TRUE), ((E1861 = "aggregation")=TRUE))</f>
        <v>0</v>
      </c>
      <c r="J1861" s="4" t="b">
        <f>H1861 &lt;&gt; ""</f>
        <v>0</v>
      </c>
      <c r="K1861" s="4">
        <f>COUNTIFS(FieldDisagreements!D2:D50, A1861)</f>
        <v>0</v>
      </c>
      <c r="L1861" s="4" t="b">
        <f>K1861 &gt; 0</f>
        <v>0</v>
      </c>
      <c r="M1861" s="3" t="s">
        <v>2418</v>
      </c>
    </row>
    <row r="1862">
      <c r="A1862" s="3" t="s">
        <v>5918</v>
      </c>
      <c r="B1862" s="4" t="str">
        <f>C1862 &amp; "." &amp; D1862</f>
        <v>TableConformance.RecordCount</v>
      </c>
      <c r="C1862" s="3" t="s">
        <v>1917</v>
      </c>
      <c r="D1862" s="3" t="s">
        <v>5919</v>
      </c>
      <c r="E1862" s="3" t="s">
        <v>2416</v>
      </c>
      <c r="F1862" s="3" t="s">
        <v>2475</v>
      </c>
      <c r="G1862" s="3"/>
      <c r="H1862" s="3"/>
      <c r="I1862" s="4" t="b">
        <f>OR(((E1862 = "calculated")=TRUE), ((E1862 = "lookup")=TRUE), ((E1862 = "aggregation")=TRUE))</f>
        <v>0</v>
      </c>
      <c r="J1862" s="4" t="b">
        <f>H1862 &lt;&gt; ""</f>
        <v>0</v>
      </c>
      <c r="K1862" s="4">
        <f>COUNTIFS(FieldDisagreements!D2:D50, A1862)</f>
        <v>0</v>
      </c>
      <c r="L1862" s="4" t="b">
        <f>K1862 &gt; 0</f>
        <v>0</v>
      </c>
      <c r="M1862" s="3" t="s">
        <v>2418</v>
      </c>
    </row>
    <row r="1863">
      <c r="A1863" s="3" t="s">
        <v>5920</v>
      </c>
      <c r="B1863" s="4" t="str">
        <f>C1863 &amp; "." &amp; D1863</f>
        <v>TableConformance.DerivedFieldCount</v>
      </c>
      <c r="C1863" s="3" t="s">
        <v>1917</v>
      </c>
      <c r="D1863" s="3" t="s">
        <v>5921</v>
      </c>
      <c r="E1863" s="3" t="s">
        <v>2416</v>
      </c>
      <c r="F1863" s="3" t="s">
        <v>2475</v>
      </c>
      <c r="G1863" s="3"/>
      <c r="H1863" s="3"/>
      <c r="I1863" s="4" t="b">
        <f>OR(((E1863 = "calculated")=TRUE), ((E1863 = "lookup")=TRUE), ((E1863 = "aggregation")=TRUE))</f>
        <v>0</v>
      </c>
      <c r="J1863" s="4" t="b">
        <f>H1863 &lt;&gt; ""</f>
        <v>0</v>
      </c>
      <c r="K1863" s="4">
        <f>COUNTIFS(FieldDisagreements!D2:D50, A1863)</f>
        <v>0</v>
      </c>
      <c r="L1863" s="4" t="b">
        <f>K1863 &gt; 0</f>
        <v>0</v>
      </c>
      <c r="M1863" s="3" t="s">
        <v>2418</v>
      </c>
    </row>
    <row r="1864">
      <c r="A1864" s="3" t="s">
        <v>5922</v>
      </c>
      <c r="B1864" s="4" t="str">
        <f>C1864 &amp; "." &amp; D1864</f>
        <v>TableConformance.CellsTested</v>
      </c>
      <c r="C1864" s="3" t="s">
        <v>1917</v>
      </c>
      <c r="D1864" s="3" t="s">
        <v>5835</v>
      </c>
      <c r="E1864" s="3" t="s">
        <v>2416</v>
      </c>
      <c r="F1864" s="3" t="s">
        <v>2475</v>
      </c>
      <c r="G1864" s="3"/>
      <c r="H1864" s="3"/>
      <c r="I1864" s="4" t="b">
        <f>OR(((E1864 = "calculated")=TRUE), ((E1864 = "lookup")=TRUE), ((E1864 = "aggregation")=TRUE))</f>
        <v>0</v>
      </c>
      <c r="J1864" s="4" t="b">
        <f>H1864 &lt;&gt; ""</f>
        <v>0</v>
      </c>
      <c r="K1864" s="4">
        <f>COUNTIFS(FieldDisagreements!D2:D50, A1864)</f>
        <v>0</v>
      </c>
      <c r="L1864" s="4" t="b">
        <f>K1864 &gt; 0</f>
        <v>0</v>
      </c>
      <c r="M1864" s="3" t="s">
        <v>2418</v>
      </c>
    </row>
    <row r="1865">
      <c r="A1865" s="3" t="s">
        <v>5923</v>
      </c>
      <c r="B1865" s="4" t="str">
        <f>C1865 &amp; "." &amp; D1865</f>
        <v>TableConformance.CellsPassed</v>
      </c>
      <c r="C1865" s="3" t="s">
        <v>1917</v>
      </c>
      <c r="D1865" s="3" t="s">
        <v>5838</v>
      </c>
      <c r="E1865" s="3" t="s">
        <v>2416</v>
      </c>
      <c r="F1865" s="3" t="s">
        <v>2475</v>
      </c>
      <c r="G1865" s="3"/>
      <c r="H1865" s="3"/>
      <c r="I1865" s="4" t="b">
        <f>OR(((E1865 = "calculated")=TRUE), ((E1865 = "lookup")=TRUE), ((E1865 = "aggregation")=TRUE))</f>
        <v>0</v>
      </c>
      <c r="J1865" s="4" t="b">
        <f>H1865 &lt;&gt; ""</f>
        <v>0</v>
      </c>
      <c r="K1865" s="4">
        <f>COUNTIFS(FieldDisagreements!D2:D50, A1865)</f>
        <v>0</v>
      </c>
      <c r="L1865" s="4" t="b">
        <f>K1865 &gt; 0</f>
        <v>0</v>
      </c>
      <c r="M1865" s="3" t="s">
        <v>2418</v>
      </c>
    </row>
    <row r="1866">
      <c r="A1866" s="3" t="s">
        <v>5924</v>
      </c>
      <c r="B1866" s="4" t="str">
        <f>C1866 &amp; "." &amp; D1866</f>
        <v>TableConformance.IsMissingAnswerFile</v>
      </c>
      <c r="C1866" s="3" t="s">
        <v>1917</v>
      </c>
      <c r="D1866" s="3" t="s">
        <v>5925</v>
      </c>
      <c r="E1866" s="3" t="s">
        <v>2416</v>
      </c>
      <c r="F1866" s="3" t="s">
        <v>2432</v>
      </c>
      <c r="G1866" s="3"/>
      <c r="H1866" s="3"/>
      <c r="I1866" s="4" t="b">
        <f>OR(((E1866 = "calculated")=TRUE), ((E1866 = "lookup")=TRUE), ((E1866 = "aggregation")=TRUE))</f>
        <v>0</v>
      </c>
      <c r="J1866" s="4" t="b">
        <f>H1866 &lt;&gt; ""</f>
        <v>0</v>
      </c>
      <c r="K1866" s="4">
        <f>COUNTIFS(FieldDisagreements!D2:D50, A1866)</f>
        <v>0</v>
      </c>
      <c r="L1866" s="4" t="b">
        <f>K1866 &gt; 0</f>
        <v>0</v>
      </c>
      <c r="M1866" s="3" t="s">
        <v>2418</v>
      </c>
    </row>
    <row r="1867">
      <c r="A1867" s="3" t="s">
        <v>5926</v>
      </c>
      <c r="B1867" s="4" t="str">
        <f>C1867 &amp; "." &amp; D1867</f>
        <v>TableConformance.CellsFailed</v>
      </c>
      <c r="C1867" s="3" t="s">
        <v>1917</v>
      </c>
      <c r="D1867" s="3" t="s">
        <v>5841</v>
      </c>
      <c r="E1867" s="3" t="s">
        <v>2420</v>
      </c>
      <c r="F1867" s="3" t="s">
        <v>2475</v>
      </c>
      <c r="G1867" s="3" t="s">
        <v>5842</v>
      </c>
      <c r="H1867" s="3" t="s">
        <v>2391</v>
      </c>
      <c r="I1867" s="4" t="b">
        <f>OR(((E1867 = "calculated")=TRUE), ((E1867 = "lookup")=TRUE), ((E1867 = "aggregation")=TRUE))</f>
        <v>1</v>
      </c>
      <c r="J1867" s="4" t="b">
        <f>H1867 &lt;&gt; ""</f>
        <v>1</v>
      </c>
      <c r="K1867" s="4">
        <f>COUNTIFS(FieldDisagreements!D2:D50, A1867)</f>
        <v>0</v>
      </c>
      <c r="L1867" s="4" t="b">
        <f>K1867 &gt; 0</f>
        <v>0</v>
      </c>
      <c r="M1867" s="3" t="s">
        <v>2418</v>
      </c>
    </row>
    <row r="1868">
      <c r="A1868" s="3" t="s">
        <v>5927</v>
      </c>
      <c r="B1868" s="4" t="str">
        <f>C1868 &amp; "." &amp; D1868</f>
        <v>TableConformance.Score</v>
      </c>
      <c r="C1868" s="3" t="s">
        <v>1917</v>
      </c>
      <c r="D1868" s="3" t="s">
        <v>5880</v>
      </c>
      <c r="E1868" s="3" t="s">
        <v>2420</v>
      </c>
      <c r="F1868" s="3" t="s">
        <v>2475</v>
      </c>
      <c r="G1868" s="3" t="s">
        <v>5845</v>
      </c>
      <c r="H1868" s="3" t="s">
        <v>2391</v>
      </c>
      <c r="I1868" s="4" t="b">
        <f>OR(((E1868 = "calculated")=TRUE), ((E1868 = "lookup")=TRUE), ((E1868 = "aggregation")=TRUE))</f>
        <v>1</v>
      </c>
      <c r="J1868" s="4" t="b">
        <f>H1868 &lt;&gt; ""</f>
        <v>1</v>
      </c>
      <c r="K1868" s="4">
        <f>COUNTIFS(FieldDisagreements!D2:D50, A1868)</f>
        <v>0</v>
      </c>
      <c r="L1868" s="4" t="b">
        <f>K1868 &gt; 0</f>
        <v>0</v>
      </c>
      <c r="M1868" s="3" t="s">
        <v>2418</v>
      </c>
    </row>
    <row r="1869">
      <c r="A1869" s="3" t="s">
        <v>5928</v>
      </c>
      <c r="B1869" s="4" t="str">
        <f>C1869 &amp; "." &amp; D1869</f>
        <v>TableConformance.IsPerfect</v>
      </c>
      <c r="C1869" s="3" t="s">
        <v>1917</v>
      </c>
      <c r="D1869" s="3" t="s">
        <v>5891</v>
      </c>
      <c r="E1869" s="3" t="s">
        <v>2420</v>
      </c>
      <c r="F1869" s="3" t="s">
        <v>2432</v>
      </c>
      <c r="G1869" s="3" t="s">
        <v>5929</v>
      </c>
      <c r="H1869" s="3" t="s">
        <v>2391</v>
      </c>
      <c r="I1869" s="4" t="b">
        <f>OR(((E1869 = "calculated")=TRUE), ((E1869 = "lookup")=TRUE), ((E1869 = "aggregation")=TRUE))</f>
        <v>1</v>
      </c>
      <c r="J1869" s="4" t="b">
        <f>H1869 &lt;&gt; ""</f>
        <v>1</v>
      </c>
      <c r="K1869" s="4">
        <f>COUNTIFS(FieldDisagreements!D2:D50, A1869)</f>
        <v>0</v>
      </c>
      <c r="L1869" s="4" t="b">
        <f>K1869 &gt; 0</f>
        <v>0</v>
      </c>
      <c r="M1869" s="3" t="s">
        <v>2418</v>
      </c>
    </row>
    <row r="1870">
      <c r="A1870" s="3" t="s">
        <v>5930</v>
      </c>
      <c r="B1870" s="4" t="str">
        <f>C1870 &amp; "." &amp; D1870</f>
        <v>TableConformance.ImperfectSubstrateKey</v>
      </c>
      <c r="C1870" s="3" t="s">
        <v>1917</v>
      </c>
      <c r="D1870" s="3" t="s">
        <v>5931</v>
      </c>
      <c r="E1870" s="3" t="s">
        <v>2420</v>
      </c>
      <c r="F1870" s="3" t="s">
        <v>2417</v>
      </c>
      <c r="G1870" s="3" t="s">
        <v>5932</v>
      </c>
      <c r="H1870" s="3" t="s">
        <v>2391</v>
      </c>
      <c r="I1870" s="4" t="b">
        <f>OR(((E1870 = "calculated")=TRUE), ((E1870 = "lookup")=TRUE), ((E1870 = "aggregation")=TRUE))</f>
        <v>1</v>
      </c>
      <c r="J1870" s="4" t="b">
        <f>H1870 &lt;&gt; ""</f>
        <v>1</v>
      </c>
      <c r="K1870" s="4">
        <f>COUNTIFS(FieldDisagreements!D2:D50, A1870)</f>
        <v>0</v>
      </c>
      <c r="L1870" s="4" t="b">
        <f>K1870 &gt; 0</f>
        <v>0</v>
      </c>
      <c r="M1870" s="3" t="s">
        <v>2418</v>
      </c>
    </row>
    <row r="1871">
      <c r="A1871" s="3" t="s">
        <v>5933</v>
      </c>
      <c r="B1871" s="4" t="str">
        <f>C1871 &amp; "." &amp; D1871</f>
        <v>TableConformance.ImperfectTableKey</v>
      </c>
      <c r="C1871" s="3" t="s">
        <v>1917</v>
      </c>
      <c r="D1871" s="3" t="s">
        <v>5934</v>
      </c>
      <c r="E1871" s="3" t="s">
        <v>2420</v>
      </c>
      <c r="F1871" s="3" t="s">
        <v>2417</v>
      </c>
      <c r="G1871" s="3" t="s">
        <v>5935</v>
      </c>
      <c r="H1871" s="3" t="s">
        <v>2391</v>
      </c>
      <c r="I1871" s="4" t="b">
        <f>OR(((E1871 = "calculated")=TRUE), ((E1871 = "lookup")=TRUE), ((E1871 = "aggregation")=TRUE))</f>
        <v>1</v>
      </c>
      <c r="J1871" s="4" t="b">
        <f>H1871 &lt;&gt; ""</f>
        <v>1</v>
      </c>
      <c r="K1871" s="4">
        <f>COUNTIFS(FieldDisagreements!D2:D50, A1871)</f>
        <v>0</v>
      </c>
      <c r="L1871" s="4" t="b">
        <f>K1871 &gt; 0</f>
        <v>0</v>
      </c>
      <c r="M1871" s="3" t="s">
        <v>2418</v>
      </c>
    </row>
    <row r="1872">
      <c r="A1872" s="3" t="s">
        <v>5936</v>
      </c>
      <c r="B1872" s="4" t="str">
        <f>C1872 &amp; "." &amp; D1872</f>
        <v>TableConformance.DisagreeingFieldCount</v>
      </c>
      <c r="C1872" s="3" t="s">
        <v>1917</v>
      </c>
      <c r="D1872" s="3" t="s">
        <v>5806</v>
      </c>
      <c r="E1872" s="3" t="s">
        <v>2469</v>
      </c>
      <c r="F1872" s="3" t="s">
        <v>2475</v>
      </c>
      <c r="G1872" s="3" t="s">
        <v>5937</v>
      </c>
      <c r="H1872" s="3" t="s">
        <v>2391</v>
      </c>
      <c r="I1872" s="4" t="b">
        <f>OR(((E1872 = "calculated")=TRUE), ((E1872 = "lookup")=TRUE), ((E1872 = "aggregation")=TRUE))</f>
        <v>1</v>
      </c>
      <c r="J1872" s="4" t="b">
        <f>H1872 &lt;&gt; ""</f>
        <v>1</v>
      </c>
      <c r="K1872" s="4">
        <f>COUNTIFS(FieldDisagreements!D2:D50, A1872)</f>
        <v>0</v>
      </c>
      <c r="L1872" s="4" t="b">
        <f>K1872 &gt; 0</f>
        <v>0</v>
      </c>
      <c r="M1872" s="3" t="s">
        <v>2418</v>
      </c>
    </row>
    <row r="1873">
      <c r="A1873" s="3" t="s">
        <v>5938</v>
      </c>
      <c r="B1873" s="4" t="str">
        <f>C1873 &amp; "." &amp; D1873</f>
        <v>TableConformance.SubstrateLabel</v>
      </c>
      <c r="C1873" s="3" t="s">
        <v>1917</v>
      </c>
      <c r="D1873" s="3" t="s">
        <v>5907</v>
      </c>
      <c r="E1873" s="3" t="s">
        <v>2509</v>
      </c>
      <c r="F1873" s="3" t="s">
        <v>2417</v>
      </c>
      <c r="G1873" s="3" t="s">
        <v>5908</v>
      </c>
      <c r="H1873" s="3" t="s">
        <v>2391</v>
      </c>
      <c r="I1873" s="4" t="b">
        <f>OR(((E1873 = "calculated")=TRUE), ((E1873 = "lookup")=TRUE), ((E1873 = "aggregation")=TRUE))</f>
        <v>1</v>
      </c>
      <c r="J1873" s="4" t="b">
        <f>H1873 &lt;&gt; ""</f>
        <v>1</v>
      </c>
      <c r="K1873" s="4">
        <f>COUNTIFS(FieldDisagreements!D2:D50, A1873)</f>
        <v>0</v>
      </c>
      <c r="L1873" s="4" t="b">
        <f>K1873 &gt; 0</f>
        <v>0</v>
      </c>
      <c r="M1873" s="3" t="s">
        <v>2418</v>
      </c>
    </row>
    <row r="1874">
      <c r="A1874" s="3" t="s">
        <v>5939</v>
      </c>
      <c r="B1874" s="4" t="str">
        <f>C1874 &amp; "." &amp; D1874</f>
        <v>TableConformance.SubjectArea</v>
      </c>
      <c r="C1874" s="3" t="s">
        <v>1917</v>
      </c>
      <c r="D1874" s="3" t="s">
        <v>5363</v>
      </c>
      <c r="E1874" s="3" t="s">
        <v>2509</v>
      </c>
      <c r="F1874" s="3" t="s">
        <v>2417</v>
      </c>
      <c r="G1874" s="3" t="s">
        <v>5940</v>
      </c>
      <c r="H1874" s="3" t="s">
        <v>2391</v>
      </c>
      <c r="I1874" s="4" t="b">
        <f>OR(((E1874 = "calculated")=TRUE), ((E1874 = "lookup")=TRUE), ((E1874 = "aggregation")=TRUE))</f>
        <v>1</v>
      </c>
      <c r="J1874" s="4" t="b">
        <f>H1874 &lt;&gt; ""</f>
        <v>1</v>
      </c>
      <c r="K1874" s="4">
        <f>COUNTIFS(FieldDisagreements!D2:D50, A1874)</f>
        <v>0</v>
      </c>
      <c r="L1874" s="4" t="b">
        <f>K1874 &gt; 0</f>
        <v>0</v>
      </c>
      <c r="M1874" s="3" t="s">
        <v>2418</v>
      </c>
    </row>
    <row r="1875">
      <c r="A1875" s="3" t="s">
        <v>5941</v>
      </c>
      <c r="B1875" s="4" t="str">
        <f>C1875 &amp; "." &amp; D1875</f>
        <v>TableConformance.SemanticTypeIri</v>
      </c>
      <c r="C1875" s="3" t="s">
        <v>1917</v>
      </c>
      <c r="D1875" s="3" t="s">
        <v>94</v>
      </c>
      <c r="E1875" s="3" t="s">
        <v>2416</v>
      </c>
      <c r="F1875" s="3" t="s">
        <v>2417</v>
      </c>
      <c r="G1875" s="3"/>
      <c r="H1875" s="3"/>
      <c r="I1875" s="4" t="b">
        <f>OR(((E1875 = "calculated")=TRUE), ((E1875 = "lookup")=TRUE), ((E1875 = "aggregation")=TRUE))</f>
        <v>0</v>
      </c>
      <c r="J1875" s="4" t="b">
        <f>H1875 &lt;&gt; ""</f>
        <v>0</v>
      </c>
      <c r="K1875" s="4">
        <f>COUNTIFS(FieldDisagreements!D2:D50, A1875)</f>
        <v>0</v>
      </c>
      <c r="L1875" s="4" t="b">
        <f>K1875 &gt; 0</f>
        <v>0</v>
      </c>
      <c r="M1875" s="3" t="s">
        <v>2418</v>
      </c>
    </row>
    <row r="1876">
      <c r="A1876" s="3" t="s">
        <v>5942</v>
      </c>
      <c r="B1876" s="4" t="str">
        <f>C1876 &amp; "." &amp; D1876</f>
        <v>FieldDisagreements.FieldDisagreementId</v>
      </c>
      <c r="C1876" s="3" t="s">
        <v>1921</v>
      </c>
      <c r="D1876" s="3" t="s">
        <v>5943</v>
      </c>
      <c r="E1876" s="3" t="s">
        <v>2416</v>
      </c>
      <c r="F1876" s="3" t="s">
        <v>2417</v>
      </c>
      <c r="G1876" s="3"/>
      <c r="H1876" s="3"/>
      <c r="I1876" s="4" t="b">
        <f>OR(((E1876 = "calculated")=TRUE), ((E1876 = "lookup")=TRUE), ((E1876 = "aggregation")=TRUE))</f>
        <v>0</v>
      </c>
      <c r="J1876" s="4" t="b">
        <f>H1876 &lt;&gt; ""</f>
        <v>0</v>
      </c>
      <c r="K1876" s="4">
        <f>COUNTIFS(FieldDisagreements!D2:D50, A1876)</f>
        <v>0</v>
      </c>
      <c r="L1876" s="4" t="b">
        <f>K1876 &gt; 0</f>
        <v>0</v>
      </c>
      <c r="M1876" s="3" t="s">
        <v>2418</v>
      </c>
    </row>
    <row r="1877">
      <c r="A1877" s="3" t="s">
        <v>5944</v>
      </c>
      <c r="B1877" s="4" t="str">
        <f>C1877 &amp; "." &amp; D1877</f>
        <v>FieldDisagreements.Name</v>
      </c>
      <c r="C1877" s="3" t="s">
        <v>1921</v>
      </c>
      <c r="D1877" s="3" t="s">
        <v>1</v>
      </c>
      <c r="E1877" s="3" t="s">
        <v>2420</v>
      </c>
      <c r="F1877" s="3" t="s">
        <v>2417</v>
      </c>
      <c r="G1877" s="3" t="s">
        <v>5945</v>
      </c>
      <c r="H1877" s="3"/>
      <c r="I1877" s="4" t="b">
        <f>OR(((E1877 = "calculated")=TRUE), ((E1877 = "lookup")=TRUE), ((E1877 = "aggregation")=TRUE))</f>
        <v>1</v>
      </c>
      <c r="J1877" s="4" t="b">
        <f>H1877 &lt;&gt; ""</f>
        <v>0</v>
      </c>
      <c r="K1877" s="4">
        <f>COUNTIFS(FieldDisagreements!D2:D50, A1877)</f>
        <v>0</v>
      </c>
      <c r="L1877" s="4" t="b">
        <f>K1877 &gt; 0</f>
        <v>0</v>
      </c>
      <c r="M1877" s="3" t="s">
        <v>2418</v>
      </c>
    </row>
    <row r="1878">
      <c r="A1878" s="3" t="s">
        <v>5946</v>
      </c>
      <c r="B1878" s="4" t="str">
        <f>C1878 &amp; "." &amp; D1878</f>
        <v>FieldDisagreements.Substrate</v>
      </c>
      <c r="C1878" s="3" t="s">
        <v>1921</v>
      </c>
      <c r="D1878" s="3" t="s">
        <v>5859</v>
      </c>
      <c r="E1878" s="3" t="s">
        <v>2465</v>
      </c>
      <c r="F1878" s="3" t="s">
        <v>2417</v>
      </c>
      <c r="G1878" s="3"/>
      <c r="H1878" s="3"/>
      <c r="I1878" s="4" t="b">
        <f>OR(((E1878 = "calculated")=TRUE), ((E1878 = "lookup")=TRUE), ((E1878 = "aggregation")=TRUE))</f>
        <v>0</v>
      </c>
      <c r="J1878" s="4" t="b">
        <f>H1878 &lt;&gt; ""</f>
        <v>0</v>
      </c>
      <c r="K1878" s="4">
        <f>COUNTIFS(FieldDisagreements!D2:D50, A1878)</f>
        <v>0</v>
      </c>
      <c r="L1878" s="4" t="b">
        <f>K1878 &gt; 0</f>
        <v>0</v>
      </c>
      <c r="M1878" s="3" t="s">
        <v>2418</v>
      </c>
    </row>
    <row r="1879">
      <c r="A1879" s="3" t="s">
        <v>5947</v>
      </c>
      <c r="B1879" s="4" t="str">
        <f>C1879 &amp; "." &amp; D1879</f>
        <v>FieldDisagreements.RulebookField</v>
      </c>
      <c r="C1879" s="3" t="s">
        <v>1921</v>
      </c>
      <c r="D1879" s="3" t="s">
        <v>5948</v>
      </c>
      <c r="E1879" s="3" t="s">
        <v>2465</v>
      </c>
      <c r="F1879" s="3" t="s">
        <v>2417</v>
      </c>
      <c r="G1879" s="3"/>
      <c r="H1879" s="3"/>
      <c r="I1879" s="4" t="b">
        <f>OR(((E1879 = "calculated")=TRUE), ((E1879 = "lookup")=TRUE), ((E1879 = "aggregation")=TRUE))</f>
        <v>0</v>
      </c>
      <c r="J1879" s="4" t="b">
        <f>H1879 &lt;&gt; ""</f>
        <v>0</v>
      </c>
      <c r="K1879" s="4">
        <f>COUNTIFS(FieldDisagreements!D2:D50, A1879)</f>
        <v>0</v>
      </c>
      <c r="L1879" s="4" t="b">
        <f>K1879 &gt; 0</f>
        <v>0</v>
      </c>
      <c r="M1879" s="3" t="s">
        <v>2418</v>
      </c>
    </row>
    <row r="1880">
      <c r="A1880" s="3" t="s">
        <v>5949</v>
      </c>
      <c r="B1880" s="4" t="str">
        <f>C1880 &amp; "." &amp; D1880</f>
        <v>FieldDisagreements.TableConformance</v>
      </c>
      <c r="C1880" s="3" t="s">
        <v>1921</v>
      </c>
      <c r="D1880" s="3" t="s">
        <v>1917</v>
      </c>
      <c r="E1880" s="3" t="s">
        <v>2465</v>
      </c>
      <c r="F1880" s="3" t="s">
        <v>2417</v>
      </c>
      <c r="G1880" s="3"/>
      <c r="H1880" s="3"/>
      <c r="I1880" s="4" t="b">
        <f>OR(((E1880 = "calculated")=TRUE), ((E1880 = "lookup")=TRUE), ((E1880 = "aggregation")=TRUE))</f>
        <v>0</v>
      </c>
      <c r="J1880" s="4" t="b">
        <f>H1880 &lt;&gt; ""</f>
        <v>0</v>
      </c>
      <c r="K1880" s="4">
        <f>COUNTIFS(FieldDisagreements!D2:D50, A1880)</f>
        <v>0</v>
      </c>
      <c r="L1880" s="4" t="b">
        <f>K1880 &gt; 0</f>
        <v>0</v>
      </c>
      <c r="M1880" s="3" t="s">
        <v>2418</v>
      </c>
    </row>
    <row r="1881">
      <c r="A1881" s="3" t="s">
        <v>5950</v>
      </c>
      <c r="B1881" s="4" t="str">
        <f>C1881 &amp; "." &amp; D1881</f>
        <v>FieldDisagreements.FieldClass</v>
      </c>
      <c r="C1881" s="3" t="s">
        <v>1921</v>
      </c>
      <c r="D1881" s="3" t="s">
        <v>5951</v>
      </c>
      <c r="E1881" s="3" t="s">
        <v>2416</v>
      </c>
      <c r="F1881" s="3" t="s">
        <v>2417</v>
      </c>
      <c r="G1881" s="3"/>
      <c r="H1881" s="3"/>
      <c r="I1881" s="4" t="b">
        <f>OR(((E1881 = "calculated")=TRUE), ((E1881 = "lookup")=TRUE), ((E1881 = "aggregation")=TRUE))</f>
        <v>0</v>
      </c>
      <c r="J1881" s="4" t="b">
        <f>H1881 &lt;&gt; ""</f>
        <v>0</v>
      </c>
      <c r="K1881" s="4">
        <f>COUNTIFS(FieldDisagreements!D2:D50, A1881)</f>
        <v>0</v>
      </c>
      <c r="L1881" s="4" t="b">
        <f>K1881 &gt; 0</f>
        <v>0</v>
      </c>
      <c r="M1881" s="3" t="s">
        <v>2418</v>
      </c>
    </row>
    <row r="1882">
      <c r="A1882" s="3" t="s">
        <v>5952</v>
      </c>
      <c r="B1882" s="4" t="str">
        <f>C1882 &amp; "." &amp; D1882</f>
        <v>FieldDisagreements.CellsFailed</v>
      </c>
      <c r="C1882" s="3" t="s">
        <v>1921</v>
      </c>
      <c r="D1882" s="3" t="s">
        <v>5841</v>
      </c>
      <c r="E1882" s="3" t="s">
        <v>2416</v>
      </c>
      <c r="F1882" s="3" t="s">
        <v>2475</v>
      </c>
      <c r="G1882" s="3"/>
      <c r="H1882" s="3"/>
      <c r="I1882" s="4" t="b">
        <f>OR(((E1882 = "calculated")=TRUE), ((E1882 = "lookup")=TRUE), ((E1882 = "aggregation")=TRUE))</f>
        <v>0</v>
      </c>
      <c r="J1882" s="4" t="b">
        <f>H1882 &lt;&gt; ""</f>
        <v>0</v>
      </c>
      <c r="K1882" s="4">
        <f>COUNTIFS(FieldDisagreements!D2:D50, A1882)</f>
        <v>0</v>
      </c>
      <c r="L1882" s="4" t="b">
        <f>K1882 &gt; 0</f>
        <v>0</v>
      </c>
      <c r="M1882" s="3" t="s">
        <v>2418</v>
      </c>
    </row>
    <row r="1883">
      <c r="A1883" s="3" t="s">
        <v>5953</v>
      </c>
      <c r="B1883" s="4" t="str">
        <f>C1883 &amp; "." &amp; D1883</f>
        <v>FieldDisagreements.DominantReason</v>
      </c>
      <c r="C1883" s="3" t="s">
        <v>1921</v>
      </c>
      <c r="D1883" s="3" t="s">
        <v>5954</v>
      </c>
      <c r="E1883" s="3" t="s">
        <v>2416</v>
      </c>
      <c r="F1883" s="3" t="s">
        <v>2417</v>
      </c>
      <c r="G1883" s="3"/>
      <c r="H1883" s="3"/>
      <c r="I1883" s="4" t="b">
        <f>OR(((E1883 = "calculated")=TRUE), ((E1883 = "lookup")=TRUE), ((E1883 = "aggregation")=TRUE))</f>
        <v>0</v>
      </c>
      <c r="J1883" s="4" t="b">
        <f>H1883 &lt;&gt; ""</f>
        <v>0</v>
      </c>
      <c r="K1883" s="4">
        <f>COUNTIFS(FieldDisagreements!D2:D50, A1883)</f>
        <v>0</v>
      </c>
      <c r="L1883" s="4" t="b">
        <f>K1883 &gt; 0</f>
        <v>0</v>
      </c>
      <c r="M1883" s="3" t="s">
        <v>2418</v>
      </c>
    </row>
    <row r="1884">
      <c r="A1884" s="3" t="s">
        <v>5955</v>
      </c>
      <c r="B1884" s="4" t="str">
        <f>C1884 &amp; "." &amp; D1884</f>
        <v>FieldDisagreements.SampledCellCount</v>
      </c>
      <c r="C1884" s="3" t="s">
        <v>1921</v>
      </c>
      <c r="D1884" s="3" t="s">
        <v>5956</v>
      </c>
      <c r="E1884" s="3" t="s">
        <v>2469</v>
      </c>
      <c r="F1884" s="3" t="s">
        <v>2475</v>
      </c>
      <c r="G1884" s="3" t="s">
        <v>5957</v>
      </c>
      <c r="H1884" s="3" t="s">
        <v>2391</v>
      </c>
      <c r="I1884" s="4" t="b">
        <f>OR(((E1884 = "calculated")=TRUE), ((E1884 = "lookup")=TRUE), ((E1884 = "aggregation")=TRUE))</f>
        <v>1</v>
      </c>
      <c r="J1884" s="4" t="b">
        <f>H1884 &lt;&gt; ""</f>
        <v>1</v>
      </c>
      <c r="K1884" s="4">
        <f>COUNTIFS(FieldDisagreements!D2:D50, A1884)</f>
        <v>0</v>
      </c>
      <c r="L1884" s="4" t="b">
        <f>K1884 &gt; 0</f>
        <v>0</v>
      </c>
      <c r="M1884" s="3" t="s">
        <v>2418</v>
      </c>
    </row>
    <row r="1885">
      <c r="A1885" s="3" t="s">
        <v>5958</v>
      </c>
      <c r="B1885" s="4" t="str">
        <f>C1885 &amp; "." &amp; D1885</f>
        <v>FieldDisagreements.IsFullySampled</v>
      </c>
      <c r="C1885" s="3" t="s">
        <v>1921</v>
      </c>
      <c r="D1885" s="3" t="s">
        <v>5959</v>
      </c>
      <c r="E1885" s="3" t="s">
        <v>2420</v>
      </c>
      <c r="F1885" s="3" t="s">
        <v>2432</v>
      </c>
      <c r="G1885" s="3" t="s">
        <v>5960</v>
      </c>
      <c r="H1885" s="3" t="s">
        <v>2391</v>
      </c>
      <c r="I1885" s="4" t="b">
        <f>OR(((E1885 = "calculated")=TRUE), ((E1885 = "lookup")=TRUE), ((E1885 = "aggregation")=TRUE))</f>
        <v>1</v>
      </c>
      <c r="J1885" s="4" t="b">
        <f>H1885 &lt;&gt; ""</f>
        <v>1</v>
      </c>
      <c r="K1885" s="4">
        <f>COUNTIFS(FieldDisagreements!D2:D50, A1885)</f>
        <v>0</v>
      </c>
      <c r="L1885" s="4" t="b">
        <f>K1885 &gt; 0</f>
        <v>0</v>
      </c>
      <c r="M1885" s="3" t="s">
        <v>2418</v>
      </c>
    </row>
    <row r="1886">
      <c r="A1886" s="3" t="s">
        <v>5961</v>
      </c>
      <c r="B1886" s="4" t="str">
        <f>C1886 &amp; "." &amp; D1886</f>
        <v>FieldDisagreements.Formula</v>
      </c>
      <c r="C1886" s="3" t="s">
        <v>1921</v>
      </c>
      <c r="D1886" s="3" t="s">
        <v>2408</v>
      </c>
      <c r="E1886" s="3" t="s">
        <v>2509</v>
      </c>
      <c r="F1886" s="3" t="s">
        <v>2417</v>
      </c>
      <c r="G1886" s="3" t="s">
        <v>5962</v>
      </c>
      <c r="H1886" s="3" t="s">
        <v>2391</v>
      </c>
      <c r="I1886" s="4" t="b">
        <f>OR(((E1886 = "calculated")=TRUE), ((E1886 = "lookup")=TRUE), ((E1886 = "aggregation")=TRUE))</f>
        <v>1</v>
      </c>
      <c r="J1886" s="4" t="b">
        <f>H1886 &lt;&gt; ""</f>
        <v>1</v>
      </c>
      <c r="K1886" s="4">
        <f>COUNTIFS(FieldDisagreements!D2:D50, A1886)</f>
        <v>0</v>
      </c>
      <c r="L1886" s="4" t="b">
        <f>K1886 &gt; 0</f>
        <v>0</v>
      </c>
      <c r="M1886" s="3" t="s">
        <v>2418</v>
      </c>
    </row>
    <row r="1887">
      <c r="A1887" s="3" t="s">
        <v>5963</v>
      </c>
      <c r="B1887" s="4" t="str">
        <f>C1887 &amp; "." &amp; D1887</f>
        <v>FieldDisagreements.SubstrateLabel</v>
      </c>
      <c r="C1887" s="3" t="s">
        <v>1921</v>
      </c>
      <c r="D1887" s="3" t="s">
        <v>5907</v>
      </c>
      <c r="E1887" s="3" t="s">
        <v>2509</v>
      </c>
      <c r="F1887" s="3" t="s">
        <v>2417</v>
      </c>
      <c r="G1887" s="3" t="s">
        <v>5908</v>
      </c>
      <c r="H1887" s="3" t="s">
        <v>2391</v>
      </c>
      <c r="I1887" s="4" t="b">
        <f>OR(((E1887 = "calculated")=TRUE), ((E1887 = "lookup")=TRUE), ((E1887 = "aggregation")=TRUE))</f>
        <v>1</v>
      </c>
      <c r="J1887" s="4" t="b">
        <f>H1887 &lt;&gt; ""</f>
        <v>1</v>
      </c>
      <c r="K1887" s="4">
        <f>COUNTIFS(FieldDisagreements!D2:D50, A1887)</f>
        <v>0</v>
      </c>
      <c r="L1887" s="4" t="b">
        <f>K1887 &gt; 0</f>
        <v>0</v>
      </c>
      <c r="M1887" s="3" t="s">
        <v>2418</v>
      </c>
    </row>
    <row r="1888">
      <c r="A1888" s="3" t="s">
        <v>5964</v>
      </c>
      <c r="B1888" s="4" t="str">
        <f>C1888 &amp; "." &amp; D1888</f>
        <v>FieldDisagreements.SemanticTypeIri</v>
      </c>
      <c r="C1888" s="3" t="s">
        <v>1921</v>
      </c>
      <c r="D1888" s="3" t="s">
        <v>94</v>
      </c>
      <c r="E1888" s="3" t="s">
        <v>2416</v>
      </c>
      <c r="F1888" s="3" t="s">
        <v>2417</v>
      </c>
      <c r="G1888" s="3"/>
      <c r="H1888" s="3"/>
      <c r="I1888" s="4" t="b">
        <f>OR(((E1888 = "calculated")=TRUE), ((E1888 = "lookup")=TRUE), ((E1888 = "aggregation")=TRUE))</f>
        <v>0</v>
      </c>
      <c r="J1888" s="4" t="b">
        <f>H1888 &lt;&gt; ""</f>
        <v>0</v>
      </c>
      <c r="K1888" s="4">
        <f>COUNTIFS(FieldDisagreements!D2:D50, A1888)</f>
        <v>0</v>
      </c>
      <c r="L1888" s="4" t="b">
        <f>K1888 &gt; 0</f>
        <v>0</v>
      </c>
      <c r="M1888" s="3" t="s">
        <v>2418</v>
      </c>
    </row>
    <row r="1889">
      <c r="A1889" s="3" t="s">
        <v>5965</v>
      </c>
      <c r="B1889" s="4" t="str">
        <f>C1889 &amp; "." &amp; D1889</f>
        <v>CellDisagreements.CellDisagreementId</v>
      </c>
      <c r="C1889" s="3" t="s">
        <v>1925</v>
      </c>
      <c r="D1889" s="3" t="s">
        <v>5966</v>
      </c>
      <c r="E1889" s="3" t="s">
        <v>2416</v>
      </c>
      <c r="F1889" s="3" t="s">
        <v>2417</v>
      </c>
      <c r="G1889" s="3"/>
      <c r="H1889" s="3"/>
      <c r="I1889" s="4" t="b">
        <f>OR(((E1889 = "calculated")=TRUE), ((E1889 = "lookup")=TRUE), ((E1889 = "aggregation")=TRUE))</f>
        <v>0</v>
      </c>
      <c r="J1889" s="4" t="b">
        <f>H1889 &lt;&gt; ""</f>
        <v>0</v>
      </c>
      <c r="K1889" s="4">
        <f>COUNTIFS(FieldDisagreements!D2:D50, A1889)</f>
        <v>0</v>
      </c>
      <c r="L1889" s="4" t="b">
        <f>K1889 &gt; 0</f>
        <v>0</v>
      </c>
      <c r="M1889" s="3" t="s">
        <v>2418</v>
      </c>
    </row>
    <row r="1890">
      <c r="A1890" s="3" t="s">
        <v>5967</v>
      </c>
      <c r="B1890" s="4" t="str">
        <f>C1890 &amp; "." &amp; D1890</f>
        <v>CellDisagreements.Name</v>
      </c>
      <c r="C1890" s="3" t="s">
        <v>1925</v>
      </c>
      <c r="D1890" s="3" t="s">
        <v>1</v>
      </c>
      <c r="E1890" s="3" t="s">
        <v>2420</v>
      </c>
      <c r="F1890" s="3" t="s">
        <v>2417</v>
      </c>
      <c r="G1890" s="3" t="s">
        <v>5968</v>
      </c>
      <c r="H1890" s="3"/>
      <c r="I1890" s="4" t="b">
        <f>OR(((E1890 = "calculated")=TRUE), ((E1890 = "lookup")=TRUE), ((E1890 = "aggregation")=TRUE))</f>
        <v>1</v>
      </c>
      <c r="J1890" s="4" t="b">
        <f>H1890 &lt;&gt; ""</f>
        <v>0</v>
      </c>
      <c r="K1890" s="4">
        <f>COUNTIFS(FieldDisagreements!D2:D50, A1890)</f>
        <v>1</v>
      </c>
      <c r="L1890" s="4" t="b">
        <f>K1890 &gt; 0</f>
        <v>1</v>
      </c>
      <c r="M1890" s="3" t="s">
        <v>2418</v>
      </c>
    </row>
    <row r="1891">
      <c r="A1891" s="3" t="s">
        <v>5969</v>
      </c>
      <c r="B1891" s="4" t="str">
        <f>C1891 &amp; "." &amp; D1891</f>
        <v>CellDisagreements.FieldDisagreement</v>
      </c>
      <c r="C1891" s="3" t="s">
        <v>1925</v>
      </c>
      <c r="D1891" s="3" t="s">
        <v>5970</v>
      </c>
      <c r="E1891" s="3" t="s">
        <v>2465</v>
      </c>
      <c r="F1891" s="3" t="s">
        <v>2417</v>
      </c>
      <c r="G1891" s="3"/>
      <c r="H1891" s="3"/>
      <c r="I1891" s="4" t="b">
        <f>OR(((E1891 = "calculated")=TRUE), ((E1891 = "lookup")=TRUE), ((E1891 = "aggregation")=TRUE))</f>
        <v>0</v>
      </c>
      <c r="J1891" s="4" t="b">
        <f>H1891 &lt;&gt; ""</f>
        <v>0</v>
      </c>
      <c r="K1891" s="4">
        <f>COUNTIFS(FieldDisagreements!D2:D50, A1891)</f>
        <v>0</v>
      </c>
      <c r="L1891" s="4" t="b">
        <f>K1891 &gt; 0</f>
        <v>0</v>
      </c>
      <c r="M1891" s="3" t="s">
        <v>2418</v>
      </c>
    </row>
    <row r="1892">
      <c r="A1892" s="3" t="s">
        <v>5971</v>
      </c>
      <c r="B1892" s="4" t="str">
        <f>C1892 &amp; "." &amp; D1892</f>
        <v>CellDisagreements.RecordId</v>
      </c>
      <c r="C1892" s="3" t="s">
        <v>1925</v>
      </c>
      <c r="D1892" s="3" t="s">
        <v>5972</v>
      </c>
      <c r="E1892" s="3" t="s">
        <v>2416</v>
      </c>
      <c r="F1892" s="3" t="s">
        <v>2417</v>
      </c>
      <c r="G1892" s="3"/>
      <c r="H1892" s="3"/>
      <c r="I1892" s="4" t="b">
        <f>OR(((E1892 = "calculated")=TRUE), ((E1892 = "lookup")=TRUE), ((E1892 = "aggregation")=TRUE))</f>
        <v>0</v>
      </c>
      <c r="J1892" s="4" t="b">
        <f>H1892 &lt;&gt; ""</f>
        <v>0</v>
      </c>
      <c r="K1892" s="4">
        <f>COUNTIFS(FieldDisagreements!D2:D50, A1892)</f>
        <v>0</v>
      </c>
      <c r="L1892" s="4" t="b">
        <f>K1892 &gt; 0</f>
        <v>0</v>
      </c>
      <c r="M1892" s="3" t="s">
        <v>2418</v>
      </c>
    </row>
    <row r="1893">
      <c r="A1893" s="3" t="s">
        <v>5973</v>
      </c>
      <c r="B1893" s="4" t="str">
        <f>C1893 &amp; "." &amp; D1893</f>
        <v>CellDisagreements.ExpectedValue</v>
      </c>
      <c r="C1893" s="3" t="s">
        <v>1925</v>
      </c>
      <c r="D1893" s="3" t="s">
        <v>5974</v>
      </c>
      <c r="E1893" s="3" t="s">
        <v>2416</v>
      </c>
      <c r="F1893" s="3" t="s">
        <v>2417</v>
      </c>
      <c r="G1893" s="3"/>
      <c r="H1893" s="3"/>
      <c r="I1893" s="4" t="b">
        <f>OR(((E1893 = "calculated")=TRUE), ((E1893 = "lookup")=TRUE), ((E1893 = "aggregation")=TRUE))</f>
        <v>0</v>
      </c>
      <c r="J1893" s="4" t="b">
        <f>H1893 &lt;&gt; ""</f>
        <v>0</v>
      </c>
      <c r="K1893" s="4">
        <f>COUNTIFS(FieldDisagreements!D2:D50, A1893)</f>
        <v>0</v>
      </c>
      <c r="L1893" s="4" t="b">
        <f>K1893 &gt; 0</f>
        <v>0</v>
      </c>
      <c r="M1893" s="3" t="s">
        <v>2418</v>
      </c>
    </row>
    <row r="1894">
      <c r="A1894" s="3" t="s">
        <v>5975</v>
      </c>
      <c r="B1894" s="4" t="str">
        <f>C1894 &amp; "." &amp; D1894</f>
        <v>CellDisagreements.ActualValue</v>
      </c>
      <c r="C1894" s="3" t="s">
        <v>1925</v>
      </c>
      <c r="D1894" s="3" t="s">
        <v>5976</v>
      </c>
      <c r="E1894" s="3" t="s">
        <v>2416</v>
      </c>
      <c r="F1894" s="3" t="s">
        <v>2417</v>
      </c>
      <c r="G1894" s="3"/>
      <c r="H1894" s="3"/>
      <c r="I1894" s="4" t="b">
        <f>OR(((E1894 = "calculated")=TRUE), ((E1894 = "lookup")=TRUE), ((E1894 = "aggregation")=TRUE))</f>
        <v>0</v>
      </c>
      <c r="J1894" s="4" t="b">
        <f>H1894 &lt;&gt; ""</f>
        <v>0</v>
      </c>
      <c r="K1894" s="4">
        <f>COUNTIFS(FieldDisagreements!D2:D50, A1894)</f>
        <v>0</v>
      </c>
      <c r="L1894" s="4" t="b">
        <f>K1894 &gt; 0</f>
        <v>0</v>
      </c>
      <c r="M1894" s="3" t="s">
        <v>2418</v>
      </c>
    </row>
    <row r="1895">
      <c r="A1895" s="3" t="s">
        <v>5977</v>
      </c>
      <c r="B1895" s="4" t="str">
        <f>C1895 &amp; "." &amp; D1895</f>
        <v>CellDisagreements.Reason</v>
      </c>
      <c r="C1895" s="3" t="s">
        <v>1925</v>
      </c>
      <c r="D1895" s="3" t="s">
        <v>257</v>
      </c>
      <c r="E1895" s="3" t="s">
        <v>2416</v>
      </c>
      <c r="F1895" s="3" t="s">
        <v>2417</v>
      </c>
      <c r="G1895" s="3"/>
      <c r="H1895" s="3"/>
      <c r="I1895" s="4" t="b">
        <f>OR(((E1895 = "calculated")=TRUE), ((E1895 = "lookup")=TRUE), ((E1895 = "aggregation")=TRUE))</f>
        <v>0</v>
      </c>
      <c r="J1895" s="4" t="b">
        <f>H1895 &lt;&gt; ""</f>
        <v>0</v>
      </c>
      <c r="K1895" s="4">
        <f>COUNTIFS(FieldDisagreements!D2:D50, A1895)</f>
        <v>0</v>
      </c>
      <c r="L1895" s="4" t="b">
        <f>K1895 &gt; 0</f>
        <v>0</v>
      </c>
      <c r="M1895" s="3" t="s">
        <v>2418</v>
      </c>
    </row>
    <row r="1896">
      <c r="A1896" s="3" t="s">
        <v>5978</v>
      </c>
      <c r="B1896" s="4" t="str">
        <f>C1896 &amp; "." &amp; D1896</f>
        <v>CellDisagreements.Substrate</v>
      </c>
      <c r="C1896" s="3" t="s">
        <v>1925</v>
      </c>
      <c r="D1896" s="3" t="s">
        <v>5859</v>
      </c>
      <c r="E1896" s="3" t="s">
        <v>2509</v>
      </c>
      <c r="F1896" s="3" t="s">
        <v>2417</v>
      </c>
      <c r="G1896" s="3" t="s">
        <v>5979</v>
      </c>
      <c r="H1896" s="3" t="s">
        <v>2391</v>
      </c>
      <c r="I1896" s="4" t="b">
        <f>OR(((E1896 = "calculated")=TRUE), ((E1896 = "lookup")=TRUE), ((E1896 = "aggregation")=TRUE))</f>
        <v>1</v>
      </c>
      <c r="J1896" s="4" t="b">
        <f>H1896 &lt;&gt; ""</f>
        <v>1</v>
      </c>
      <c r="K1896" s="4">
        <f>COUNTIFS(FieldDisagreements!D2:D50, A1896)</f>
        <v>0</v>
      </c>
      <c r="L1896" s="4" t="b">
        <f>K1896 &gt; 0</f>
        <v>0</v>
      </c>
      <c r="M1896" s="3" t="s">
        <v>2418</v>
      </c>
    </row>
    <row r="1897">
      <c r="A1897" s="3" t="s">
        <v>5980</v>
      </c>
      <c r="B1897" s="4" t="str">
        <f>C1897 &amp; "." &amp; D1897</f>
        <v>CellDisagreements.RulebookField</v>
      </c>
      <c r="C1897" s="3" t="s">
        <v>1925</v>
      </c>
      <c r="D1897" s="3" t="s">
        <v>5948</v>
      </c>
      <c r="E1897" s="3" t="s">
        <v>2509</v>
      </c>
      <c r="F1897" s="3" t="s">
        <v>2417</v>
      </c>
      <c r="G1897" s="3" t="s">
        <v>5981</v>
      </c>
      <c r="H1897" s="3" t="s">
        <v>2391</v>
      </c>
      <c r="I1897" s="4" t="b">
        <f>OR(((E1897 = "calculated")=TRUE), ((E1897 = "lookup")=TRUE), ((E1897 = "aggregation")=TRUE))</f>
        <v>1</v>
      </c>
      <c r="J1897" s="4" t="b">
        <f>H1897 &lt;&gt; ""</f>
        <v>1</v>
      </c>
      <c r="K1897" s="4">
        <f>COUNTIFS(FieldDisagreements!D2:D50, A1897)</f>
        <v>0</v>
      </c>
      <c r="L1897" s="4" t="b">
        <f>K1897 &gt; 0</f>
        <v>0</v>
      </c>
      <c r="M1897" s="3" t="s">
        <v>2418</v>
      </c>
    </row>
    <row r="1898">
      <c r="A1898" s="3" t="s">
        <v>5982</v>
      </c>
      <c r="B1898" s="4" t="str">
        <f>C1898 &amp; "." &amp; D1898</f>
        <v>CellDisagreements.SemanticTypeIri</v>
      </c>
      <c r="C1898" s="3" t="s">
        <v>1925</v>
      </c>
      <c r="D1898" s="3" t="s">
        <v>94</v>
      </c>
      <c r="E1898" s="3" t="s">
        <v>2416</v>
      </c>
      <c r="F1898" s="3" t="s">
        <v>2417</v>
      </c>
      <c r="G1898" s="3"/>
      <c r="H1898" s="3"/>
      <c r="I1898" s="4" t="b">
        <f>OR(((E1898 = "calculated")=TRUE), ((E1898 = "lookup")=TRUE), ((E1898 = "aggregation")=TRUE))</f>
        <v>0</v>
      </c>
      <c r="J1898" s="4" t="b">
        <f>H1898 &lt;&gt; ""</f>
        <v>0</v>
      </c>
      <c r="K1898" s="4">
        <f>COUNTIFS(FieldDisagreements!D2:D50, A1898)</f>
        <v>0</v>
      </c>
      <c r="L1898" s="4" t="b">
        <f>K1898 &gt; 0</f>
        <v>0</v>
      </c>
      <c r="M1898" s="3" t="s">
        <v>2418</v>
      </c>
    </row>
  </sheetData>
  <autoFilter ref="A1:M1"/>
  <headerFooter/>
  <legacyDrawing r:id="rId1"/>
</worksheet>
</file>

<file path=xl/worksheets/sheet5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7"/>
  <sheetViews>
    <sheetView workbookViewId="0">
      <pane ySplit="1" topLeftCell="A2" state="frozen" activePane="bottomLeft"/>
      <selection pane="bottomLeft" activeCell="A1" sqref="A1"/>
    </sheetView>
  </sheetViews>
  <sheetFormatPr defaultRowHeight="15"/>
  <cols>
    <col min="1" max="1" width="17.443378448486328" customWidth="1"/>
    <col min="2" max="2" width="21.07895278930664" customWidth="1"/>
    <col min="3" max="3" width="21.07895278930664" customWidth="1"/>
    <col min="4" max="4" width="17.443378448486328" customWidth="1"/>
    <col min="5" max="5" width="17.443378448486328" customWidth="1"/>
    <col min="6" max="6" width="18.02218246459961" customWidth="1"/>
    <col min="7" max="7" width="17.443378448486328" customWidth="1"/>
    <col min="8" max="8" width="37.188419342041016" customWidth="1"/>
  </cols>
  <sheetData>
    <row r="1">
      <c r="A1" s="2" t="s">
        <v>4192</v>
      </c>
      <c r="B1" s="2" t="s">
        <v>1</v>
      </c>
      <c r="C1" s="2" t="s">
        <v>19</v>
      </c>
      <c r="D1" s="2" t="s">
        <v>4196</v>
      </c>
      <c r="E1" s="2" t="s">
        <v>4199</v>
      </c>
      <c r="F1" s="2" t="s">
        <v>4202</v>
      </c>
      <c r="G1" s="2" t="s">
        <v>4205</v>
      </c>
      <c r="H1" s="2" t="s">
        <v>94</v>
      </c>
    </row>
    <row r="2">
      <c r="A2" s="3" t="s">
        <v>5983</v>
      </c>
      <c r="B2" s="4" t="str">
        <f>C2</f>
        <v>Model structure</v>
      </c>
      <c r="C2" s="3" t="s">
        <v>5984</v>
      </c>
      <c r="D2" s="4">
        <f>COUNTIFS(TestCases!I2:I1795, A2)</f>
        <v>69</v>
      </c>
      <c r="E2" s="4">
        <f>COUNTIFS(TestCases!R2:R1795, A2)</f>
        <v>69</v>
      </c>
      <c r="F2" s="4">
        <f>COUNTIFS(TestCases!S2:S1795, A2)</f>
        <v>0</v>
      </c>
      <c r="G2" s="4" t="b">
        <f>F2 = 0</f>
        <v>1</v>
      </c>
      <c r="H2" s="3" t="s">
        <v>5985</v>
      </c>
    </row>
    <row r="3">
      <c r="A3" s="3" t="s">
        <v>5986</v>
      </c>
      <c r="B3" s="4" t="str">
        <f>C3</f>
        <v>Substrate translation</v>
      </c>
      <c r="C3" s="3" t="s">
        <v>5987</v>
      </c>
      <c r="D3" s="4">
        <f>COUNTIFS(TestCases!I2:I1795, A3)</f>
        <v>993</v>
      </c>
      <c r="E3" s="4">
        <f>COUNTIFS(TestCases!R2:R1795, A3)</f>
        <v>991</v>
      </c>
      <c r="F3" s="4">
        <f>COUNTIFS(TestCases!S2:S1795, A3)</f>
        <v>0</v>
      </c>
      <c r="G3" s="4" t="b">
        <f>F3 = 0</f>
        <v>1</v>
      </c>
      <c r="H3" s="3" t="s">
        <v>5985</v>
      </c>
    </row>
    <row r="4">
      <c r="A4" s="3" t="s">
        <v>5988</v>
      </c>
      <c r="B4" s="4" t="str">
        <f>C4</f>
        <v>Referential integrity</v>
      </c>
      <c r="C4" s="3" t="s">
        <v>5989</v>
      </c>
      <c r="D4" s="4">
        <f>COUNTIFS(TestCases!I2:I1795, A4)</f>
        <v>160</v>
      </c>
      <c r="E4" s="4">
        <f>COUNTIFS(TestCases!R2:R1795, A4)</f>
        <v>160</v>
      </c>
      <c r="F4" s="4">
        <f>COUNTIFS(TestCases!S2:S1795, A4)</f>
        <v>0</v>
      </c>
      <c r="G4" s="4" t="b">
        <f>F4 = 0</f>
        <v>1</v>
      </c>
      <c r="H4" s="3" t="s">
        <v>5985</v>
      </c>
    </row>
    <row r="5">
      <c r="A5" s="3" t="s">
        <v>5990</v>
      </c>
      <c r="B5" s="4" t="str">
        <f>C5</f>
        <v>Witness behaviour</v>
      </c>
      <c r="C5" s="3" t="s">
        <v>5991</v>
      </c>
      <c r="D5" s="4">
        <f>COUNTIFS(TestCases!I2:I1795, A5)</f>
        <v>458</v>
      </c>
      <c r="E5" s="4">
        <f>COUNTIFS(TestCases!R2:R1795, A5)</f>
        <v>225</v>
      </c>
      <c r="F5" s="4">
        <f>COUNTIFS(TestCases!S2:S1795, A5)</f>
        <v>0</v>
      </c>
      <c r="G5" s="4" t="b">
        <f>F5 = 0</f>
        <v>1</v>
      </c>
      <c r="H5" s="3" t="s">
        <v>5985</v>
      </c>
    </row>
    <row r="6">
      <c r="A6" s="3" t="s">
        <v>5992</v>
      </c>
      <c r="B6" s="4" t="str">
        <f>C6</f>
        <v>Question provenance</v>
      </c>
      <c r="C6" s="3" t="s">
        <v>5993</v>
      </c>
      <c r="D6" s="4">
        <f>COUNTIFS(TestCases!I2:I1795, A6)</f>
        <v>107</v>
      </c>
      <c r="E6" s="4">
        <f>COUNTIFS(TestCases!R2:R1795, A6)</f>
        <v>107</v>
      </c>
      <c r="F6" s="4">
        <f>COUNTIFS(TestCases!S2:S1795, A6)</f>
        <v>0</v>
      </c>
      <c r="G6" s="4" t="b">
        <f>F6 = 0</f>
        <v>1</v>
      </c>
      <c r="H6" s="3" t="s">
        <v>5985</v>
      </c>
    </row>
    <row r="7">
      <c r="A7" s="3" t="s">
        <v>5994</v>
      </c>
      <c r="B7" s="4" t="str">
        <f>C7</f>
        <v>Domain invariants</v>
      </c>
      <c r="C7" s="3" t="s">
        <v>5995</v>
      </c>
      <c r="D7" s="4">
        <f>COUNTIFS(TestCases!I2:I1795, A7)</f>
        <v>7</v>
      </c>
      <c r="E7" s="4">
        <f>COUNTIFS(TestCases!R2:R1795, A7)</f>
        <v>7</v>
      </c>
      <c r="F7" s="4">
        <f>COUNTIFS(TestCases!S2:S1795, A7)</f>
        <v>0</v>
      </c>
      <c r="G7" s="4" t="b">
        <f>F7 = 0</f>
        <v>1</v>
      </c>
      <c r="H7" s="3" t="s">
        <v>5985</v>
      </c>
    </row>
  </sheetData>
  <autoFilter ref="A1:H1"/>
  <headerFooter/>
  <legacyDrawing r:id="rId1"/>
</worksheet>
</file>

<file path=xl/worksheets/sheet5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T1795"/>
  <sheetViews>
    <sheetView workbookViewId="0">
      <pane ySplit="1" topLeftCell="A2" state="frozen" activePane="bottomLeft"/>
      <selection pane="bottomLeft" activeCell="A1" sqref="A1"/>
    </sheetView>
  </sheetViews>
  <sheetFormatPr defaultRowHeight="15"/>
  <cols>
    <col min="1" max="1" width="74.13104248046875" customWidth="1"/>
    <col min="2" max="2" width="85.5906982421875" customWidth="1"/>
    <col min="3" max="3" width="21.431428909301758" customWidth="1"/>
    <col min="4" max="4" width="73.83155059814453" customWidth="1"/>
    <col min="5" max="5" width="25.653127670288086" customWidth="1"/>
    <col min="6" max="6" width="41.25803756713867" customWidth="1"/>
    <col min="7" max="7" width="98.50501251220703" customWidth="1"/>
    <col min="8" max="8" width="53.72490310668945" customWidth="1"/>
    <col min="9" max="9" width="17.443378448486328" customWidth="1"/>
    <col min="10" max="10" width="17.443378448486328" customWidth="1"/>
    <col min="11" max="11" width="17.443378448486328" customWidth="1"/>
    <col min="12" max="12" width="17.443378448486328" customWidth="1"/>
    <col min="13" max="13" width="45.001068115234375" customWidth="1"/>
    <col min="14" max="14" width="23.46630859375" customWidth="1"/>
    <col min="15" max="15" width="17.443378448486328" customWidth="1"/>
    <col min="16" max="16" width="17.443378448486328" customWidth="1"/>
    <col min="17" max="17" width="17.443378448486328" customWidth="1"/>
    <col min="18" max="18" width="17.443378448486328" customWidth="1"/>
    <col min="19" max="19" width="23.88530158996582" customWidth="1"/>
    <col min="20" max="20" width="37.00636672973633" customWidth="1"/>
  </cols>
  <sheetData>
    <row r="1">
      <c r="A1" s="2" t="s">
        <v>4210</v>
      </c>
      <c r="B1" s="2" t="s">
        <v>1</v>
      </c>
      <c r="C1" s="2" t="s">
        <v>4214</v>
      </c>
      <c r="D1" s="2" t="s">
        <v>4216</v>
      </c>
      <c r="E1" s="2" t="s">
        <v>2404</v>
      </c>
      <c r="F1" s="2" t="s">
        <v>4219</v>
      </c>
      <c r="G1" s="2" t="s">
        <v>4221</v>
      </c>
      <c r="H1" s="2" t="s">
        <v>4223</v>
      </c>
      <c r="I1" s="2" t="s">
        <v>4225</v>
      </c>
      <c r="J1" s="2" t="s">
        <v>1195</v>
      </c>
      <c r="K1" s="2" t="s">
        <v>803</v>
      </c>
      <c r="L1" s="2" t="s">
        <v>4230</v>
      </c>
      <c r="M1" s="2" t="s">
        <v>4232</v>
      </c>
      <c r="N1" s="2" t="s">
        <v>4234</v>
      </c>
      <c r="O1" s="2" t="s">
        <v>4236</v>
      </c>
      <c r="P1" s="2" t="s">
        <v>4239</v>
      </c>
      <c r="Q1" s="2" t="s">
        <v>4242</v>
      </c>
      <c r="R1" s="2" t="s">
        <v>4245</v>
      </c>
      <c r="S1" s="2" t="s">
        <v>4248</v>
      </c>
      <c r="T1" s="2" t="s">
        <v>94</v>
      </c>
    </row>
    <row r="2">
      <c r="A2" s="3" t="s">
        <v>5996</v>
      </c>
      <c r="B2" s="4" t="str">
        <f>C2 &amp; ": " &amp; D2</f>
        <v>structural: RulebookReleases</v>
      </c>
      <c r="C2" s="3" t="s">
        <v>5997</v>
      </c>
      <c r="D2" s="3" t="s">
        <v>2415</v>
      </c>
      <c r="E2" s="3" t="s">
        <v>2415</v>
      </c>
      <c r="F2" s="3"/>
      <c r="G2" s="3" t="s">
        <v>5998</v>
      </c>
      <c r="H2" s="3"/>
      <c r="I2" s="3" t="s">
        <v>5983</v>
      </c>
      <c r="J2" s="3" t="s">
        <v>5999</v>
      </c>
      <c r="K2" s="4" t="b">
        <f>J2 = "blocking"</f>
        <v>1</v>
      </c>
      <c r="L2" s="3" t="s">
        <v>1448</v>
      </c>
      <c r="M2" s="3" t="s">
        <v>6000</v>
      </c>
      <c r="N2" s="5">
        <v>46223.1297337963</v>
      </c>
      <c r="O2" s="4" t="b">
        <f>L2 = "PASS"</f>
        <v>1</v>
      </c>
      <c r="P2" s="4" t="b">
        <f>L2 = "FAIL"</f>
        <v>0</v>
      </c>
      <c r="Q2" s="4" t="b">
        <f>AND(((P2)=TRUE), ((K2)=TRUE))</f>
        <v>0</v>
      </c>
      <c r="R2" s="4" t="str">
        <f>IF(((O2)=TRUE),  I2,  "")</f>
        <v>suite-structure</v>
      </c>
      <c r="S2" s="4" t="str">
        <f>IF(((Q2)=TRUE),  I2,  "")</f>
      </c>
      <c r="T2" s="3" t="s">
        <v>6001</v>
      </c>
    </row>
    <row r="3">
      <c r="A3" s="3" t="s">
        <v>6002</v>
      </c>
      <c r="B3" s="4" t="str">
        <f>C3 &amp; ": " &amp; D3</f>
        <v>structural: OntologyProfiles</v>
      </c>
      <c r="C3" s="3" t="s">
        <v>5997</v>
      </c>
      <c r="D3" s="3" t="s">
        <v>2434</v>
      </c>
      <c r="E3" s="3" t="s">
        <v>2434</v>
      </c>
      <c r="F3" s="3"/>
      <c r="G3" s="3" t="s">
        <v>5998</v>
      </c>
      <c r="H3" s="3"/>
      <c r="I3" s="3" t="s">
        <v>5983</v>
      </c>
      <c r="J3" s="3" t="s">
        <v>5999</v>
      </c>
      <c r="K3" s="4" t="b">
        <f>J3 = "blocking"</f>
        <v>1</v>
      </c>
      <c r="L3" s="3" t="s">
        <v>1448</v>
      </c>
      <c r="M3" s="3" t="s">
        <v>6003</v>
      </c>
      <c r="N3" s="5">
        <v>46223.1297337963</v>
      </c>
      <c r="O3" s="4" t="b">
        <f>L3 = "PASS"</f>
        <v>1</v>
      </c>
      <c r="P3" s="4" t="b">
        <f>L3 = "FAIL"</f>
        <v>0</v>
      </c>
      <c r="Q3" s="4" t="b">
        <f>AND(((P3)=TRUE), ((K3)=TRUE))</f>
        <v>0</v>
      </c>
      <c r="R3" s="4" t="str">
        <f>IF(((O3)=TRUE),  I3,  "")</f>
        <v>suite-structure</v>
      </c>
      <c r="S3" s="4" t="str">
        <f>IF(((Q3)=TRUE),  I3,  "")</f>
      </c>
      <c r="T3" s="3" t="s">
        <v>6001</v>
      </c>
    </row>
    <row r="4">
      <c r="A4" s="3" t="s">
        <v>6004</v>
      </c>
      <c r="B4" s="4" t="str">
        <f>C4 &amp; ": " &amp; D4</f>
        <v>structural: EvaluationContexts</v>
      </c>
      <c r="C4" s="3" t="s">
        <v>5997</v>
      </c>
      <c r="D4" s="3" t="s">
        <v>2444</v>
      </c>
      <c r="E4" s="3" t="s">
        <v>2444</v>
      </c>
      <c r="F4" s="3"/>
      <c r="G4" s="3" t="s">
        <v>5998</v>
      </c>
      <c r="H4" s="3"/>
      <c r="I4" s="3" t="s">
        <v>5983</v>
      </c>
      <c r="J4" s="3" t="s">
        <v>5999</v>
      </c>
      <c r="K4" s="4" t="b">
        <f>J4 = "blocking"</f>
        <v>1</v>
      </c>
      <c r="L4" s="3" t="s">
        <v>1448</v>
      </c>
      <c r="M4" s="3" t="s">
        <v>6005</v>
      </c>
      <c r="N4" s="5">
        <v>46223.1297337963</v>
      </c>
      <c r="O4" s="4" t="b">
        <f>L4 = "PASS"</f>
        <v>1</v>
      </c>
      <c r="P4" s="4" t="b">
        <f>L4 = "FAIL"</f>
        <v>0</v>
      </c>
      <c r="Q4" s="4" t="b">
        <f>AND(((P4)=TRUE), ((K4)=TRUE))</f>
        <v>0</v>
      </c>
      <c r="R4" s="4" t="str">
        <f>IF(((O4)=TRUE),  I4,  "")</f>
        <v>suite-structure</v>
      </c>
      <c r="S4" s="4" t="str">
        <f>IF(((Q4)=TRUE),  I4,  "")</f>
      </c>
      <c r="T4" s="3" t="s">
        <v>6001</v>
      </c>
    </row>
    <row r="5">
      <c r="A5" s="3" t="s">
        <v>6006</v>
      </c>
      <c r="B5" s="4" t="str">
        <f>C5 &amp; ": " &amp; D5</f>
        <v>structural: Organizations</v>
      </c>
      <c r="C5" s="3" t="s">
        <v>5997</v>
      </c>
      <c r="D5" s="3" t="s">
        <v>2453</v>
      </c>
      <c r="E5" s="3" t="s">
        <v>2453</v>
      </c>
      <c r="F5" s="3"/>
      <c r="G5" s="3" t="s">
        <v>5998</v>
      </c>
      <c r="H5" s="3"/>
      <c r="I5" s="3" t="s">
        <v>5983</v>
      </c>
      <c r="J5" s="3" t="s">
        <v>5999</v>
      </c>
      <c r="K5" s="4" t="b">
        <f>J5 = "blocking"</f>
        <v>1</v>
      </c>
      <c r="L5" s="3" t="s">
        <v>1448</v>
      </c>
      <c r="M5" s="3" t="s">
        <v>6007</v>
      </c>
      <c r="N5" s="5">
        <v>46223.1297337963</v>
      </c>
      <c r="O5" s="4" t="b">
        <f>L5 = "PASS"</f>
        <v>1</v>
      </c>
      <c r="P5" s="4" t="b">
        <f>L5 = "FAIL"</f>
        <v>0</v>
      </c>
      <c r="Q5" s="4" t="b">
        <f>AND(((P5)=TRUE), ((K5)=TRUE))</f>
        <v>0</v>
      </c>
      <c r="R5" s="4" t="str">
        <f>IF(((O5)=TRUE),  I5,  "")</f>
        <v>suite-structure</v>
      </c>
      <c r="S5" s="4" t="str">
        <f>IF(((Q5)=TRUE),  I5,  "")</f>
      </c>
      <c r="T5" s="3" t="s">
        <v>6001</v>
      </c>
    </row>
    <row r="6">
      <c r="A6" s="3" t="s">
        <v>6008</v>
      </c>
      <c r="B6" s="4" t="str">
        <f>C6 &amp; ": " &amp; D6</f>
        <v>structural: Agents</v>
      </c>
      <c r="C6" s="3" t="s">
        <v>5997</v>
      </c>
      <c r="D6" s="3" t="s">
        <v>1814</v>
      </c>
      <c r="E6" s="3" t="s">
        <v>1814</v>
      </c>
      <c r="F6" s="3"/>
      <c r="G6" s="3" t="s">
        <v>5998</v>
      </c>
      <c r="H6" s="3"/>
      <c r="I6" s="3" t="s">
        <v>5983</v>
      </c>
      <c r="J6" s="3" t="s">
        <v>5999</v>
      </c>
      <c r="K6" s="4" t="b">
        <f>J6 = "blocking"</f>
        <v>1</v>
      </c>
      <c r="L6" s="3" t="s">
        <v>1448</v>
      </c>
      <c r="M6" s="3" t="s">
        <v>6009</v>
      </c>
      <c r="N6" s="5">
        <v>46223.1297337963</v>
      </c>
      <c r="O6" s="4" t="b">
        <f>L6 = "PASS"</f>
        <v>1</v>
      </c>
      <c r="P6" s="4" t="b">
        <f>L6 = "FAIL"</f>
        <v>0</v>
      </c>
      <c r="Q6" s="4" t="b">
        <f>AND(((P6)=TRUE), ((K6)=TRUE))</f>
        <v>0</v>
      </c>
      <c r="R6" s="4" t="str">
        <f>IF(((O6)=TRUE),  I6,  "")</f>
        <v>suite-structure</v>
      </c>
      <c r="S6" s="4" t="str">
        <f>IF(((Q6)=TRUE),  I6,  "")</f>
      </c>
      <c r="T6" s="3" t="s">
        <v>6001</v>
      </c>
    </row>
    <row r="7">
      <c r="A7" s="3" t="s">
        <v>6010</v>
      </c>
      <c r="B7" s="4" t="str">
        <f>C7 &amp; ": " &amp; D7</f>
        <v>structural: Roles</v>
      </c>
      <c r="C7" s="3" t="s">
        <v>5997</v>
      </c>
      <c r="D7" s="3" t="s">
        <v>1818</v>
      </c>
      <c r="E7" s="3" t="s">
        <v>1818</v>
      </c>
      <c r="F7" s="3"/>
      <c r="G7" s="3" t="s">
        <v>5998</v>
      </c>
      <c r="H7" s="3"/>
      <c r="I7" s="3" t="s">
        <v>5983</v>
      </c>
      <c r="J7" s="3" t="s">
        <v>5999</v>
      </c>
      <c r="K7" s="4" t="b">
        <f>J7 = "blocking"</f>
        <v>1</v>
      </c>
      <c r="L7" s="3" t="s">
        <v>1448</v>
      </c>
      <c r="M7" s="3" t="s">
        <v>6011</v>
      </c>
      <c r="N7" s="5">
        <v>46223.1297337963</v>
      </c>
      <c r="O7" s="4" t="b">
        <f>L7 = "PASS"</f>
        <v>1</v>
      </c>
      <c r="P7" s="4" t="b">
        <f>L7 = "FAIL"</f>
        <v>0</v>
      </c>
      <c r="Q7" s="4" t="b">
        <f>AND(((P7)=TRUE), ((K7)=TRUE))</f>
        <v>0</v>
      </c>
      <c r="R7" s="4" t="str">
        <f>IF(((O7)=TRUE),  I7,  "")</f>
        <v>suite-structure</v>
      </c>
      <c r="S7" s="4" t="str">
        <f>IF(((Q7)=TRUE),  I7,  "")</f>
      </c>
      <c r="T7" s="3" t="s">
        <v>6001</v>
      </c>
    </row>
    <row r="8">
      <c r="A8" s="3" t="s">
        <v>6012</v>
      </c>
      <c r="B8" s="4" t="str">
        <f>C8 &amp; ": " &amp; D8</f>
        <v>structural: RoleAssignments</v>
      </c>
      <c r="C8" s="3" t="s">
        <v>5997</v>
      </c>
      <c r="D8" s="3" t="s">
        <v>1821</v>
      </c>
      <c r="E8" s="3" t="s">
        <v>1821</v>
      </c>
      <c r="F8" s="3"/>
      <c r="G8" s="3" t="s">
        <v>5998</v>
      </c>
      <c r="H8" s="3"/>
      <c r="I8" s="3" t="s">
        <v>5983</v>
      </c>
      <c r="J8" s="3" t="s">
        <v>5999</v>
      </c>
      <c r="K8" s="4" t="b">
        <f>J8 = "blocking"</f>
        <v>1</v>
      </c>
      <c r="L8" s="3" t="s">
        <v>1448</v>
      </c>
      <c r="M8" s="3" t="s">
        <v>6013</v>
      </c>
      <c r="N8" s="5">
        <v>46223.1297337963</v>
      </c>
      <c r="O8" s="4" t="b">
        <f>L8 = "PASS"</f>
        <v>1</v>
      </c>
      <c r="P8" s="4" t="b">
        <f>L8 = "FAIL"</f>
        <v>0</v>
      </c>
      <c r="Q8" s="4" t="b">
        <f>AND(((P8)=TRUE), ((K8)=TRUE))</f>
        <v>0</v>
      </c>
      <c r="R8" s="4" t="str">
        <f>IF(((O8)=TRUE),  I8,  "")</f>
        <v>suite-structure</v>
      </c>
      <c r="S8" s="4" t="str">
        <f>IF(((Q8)=TRUE),  I8,  "")</f>
      </c>
      <c r="T8" s="3" t="s">
        <v>6001</v>
      </c>
    </row>
    <row r="9">
      <c r="A9" s="3" t="s">
        <v>6014</v>
      </c>
      <c r="B9" s="4" t="str">
        <f>C9 &amp; ": " &amp; D9</f>
        <v>structural: CommunitiesOfPractice</v>
      </c>
      <c r="C9" s="3" t="s">
        <v>5997</v>
      </c>
      <c r="D9" s="3" t="s">
        <v>2655</v>
      </c>
      <c r="E9" s="3" t="s">
        <v>2655</v>
      </c>
      <c r="F9" s="3"/>
      <c r="G9" s="3" t="s">
        <v>5998</v>
      </c>
      <c r="H9" s="3"/>
      <c r="I9" s="3" t="s">
        <v>5983</v>
      </c>
      <c r="J9" s="3" t="s">
        <v>5999</v>
      </c>
      <c r="K9" s="4" t="b">
        <f>J9 = "blocking"</f>
        <v>1</v>
      </c>
      <c r="L9" s="3" t="s">
        <v>1448</v>
      </c>
      <c r="M9" s="3" t="s">
        <v>6003</v>
      </c>
      <c r="N9" s="5">
        <v>46223.1297337963</v>
      </c>
      <c r="O9" s="4" t="b">
        <f>L9 = "PASS"</f>
        <v>1</v>
      </c>
      <c r="P9" s="4" t="b">
        <f>L9 = "FAIL"</f>
        <v>0</v>
      </c>
      <c r="Q9" s="4" t="b">
        <f>AND(((P9)=TRUE), ((K9)=TRUE))</f>
        <v>0</v>
      </c>
      <c r="R9" s="4" t="str">
        <f>IF(((O9)=TRUE),  I9,  "")</f>
        <v>suite-structure</v>
      </c>
      <c r="S9" s="4" t="str">
        <f>IF(((Q9)=TRUE),  I9,  "")</f>
      </c>
      <c r="T9" s="3" t="s">
        <v>6001</v>
      </c>
    </row>
    <row r="10">
      <c r="A10" s="3" t="s">
        <v>6015</v>
      </c>
      <c r="B10" s="4" t="str">
        <f>C10 &amp; ": " &amp; D10</f>
        <v>structural: Mentorships</v>
      </c>
      <c r="C10" s="3" t="s">
        <v>5997</v>
      </c>
      <c r="D10" s="3" t="s">
        <v>2664</v>
      </c>
      <c r="E10" s="3" t="s">
        <v>2664</v>
      </c>
      <c r="F10" s="3"/>
      <c r="G10" s="3" t="s">
        <v>5998</v>
      </c>
      <c r="H10" s="3"/>
      <c r="I10" s="3" t="s">
        <v>5983</v>
      </c>
      <c r="J10" s="3" t="s">
        <v>5999</v>
      </c>
      <c r="K10" s="4" t="b">
        <f>J10 = "blocking"</f>
        <v>1</v>
      </c>
      <c r="L10" s="3" t="s">
        <v>1448</v>
      </c>
      <c r="M10" s="3" t="s">
        <v>6016</v>
      </c>
      <c r="N10" s="5">
        <v>46223.1297337963</v>
      </c>
      <c r="O10" s="4" t="b">
        <f>L10 = "PASS"</f>
        <v>1</v>
      </c>
      <c r="P10" s="4" t="b">
        <f>L10 = "FAIL"</f>
        <v>0</v>
      </c>
      <c r="Q10" s="4" t="b">
        <f>AND(((P10)=TRUE), ((K10)=TRUE))</f>
        <v>0</v>
      </c>
      <c r="R10" s="4" t="str">
        <f>IF(((O10)=TRUE),  I10,  "")</f>
        <v>suite-structure</v>
      </c>
      <c r="S10" s="4" t="str">
        <f>IF(((Q10)=TRUE),  I10,  "")</f>
      </c>
      <c r="T10" s="3" t="s">
        <v>6001</v>
      </c>
    </row>
    <row r="11">
      <c r="A11" s="3" t="s">
        <v>6017</v>
      </c>
      <c r="B11" s="4" t="str">
        <f>C11 &amp; ": " &amp; D11</f>
        <v>structural: ProcedureTypes</v>
      </c>
      <c r="C11" s="3" t="s">
        <v>5997</v>
      </c>
      <c r="D11" s="3" t="s">
        <v>2676</v>
      </c>
      <c r="E11" s="3" t="s">
        <v>2676</v>
      </c>
      <c r="F11" s="3"/>
      <c r="G11" s="3" t="s">
        <v>5998</v>
      </c>
      <c r="H11" s="3"/>
      <c r="I11" s="3" t="s">
        <v>5983</v>
      </c>
      <c r="J11" s="3" t="s">
        <v>5999</v>
      </c>
      <c r="K11" s="4" t="b">
        <f>J11 = "blocking"</f>
        <v>1</v>
      </c>
      <c r="L11" s="3" t="s">
        <v>1448</v>
      </c>
      <c r="M11" s="3" t="s">
        <v>6018</v>
      </c>
      <c r="N11" s="5">
        <v>46223.1297337963</v>
      </c>
      <c r="O11" s="4" t="b">
        <f>L11 = "PASS"</f>
        <v>1</v>
      </c>
      <c r="P11" s="4" t="b">
        <f>L11 = "FAIL"</f>
        <v>0</v>
      </c>
      <c r="Q11" s="4" t="b">
        <f>AND(((P11)=TRUE), ((K11)=TRUE))</f>
        <v>0</v>
      </c>
      <c r="R11" s="4" t="str">
        <f>IF(((O11)=TRUE),  I11,  "")</f>
        <v>suite-structure</v>
      </c>
      <c r="S11" s="4" t="str">
        <f>IF(((Q11)=TRUE),  I11,  "")</f>
      </c>
      <c r="T11" s="3" t="s">
        <v>6001</v>
      </c>
    </row>
    <row r="12">
      <c r="A12" s="3" t="s">
        <v>6019</v>
      </c>
      <c r="B12" s="4" t="str">
        <f>C12 &amp; ": " &amp; D12</f>
        <v>structural: Procedures</v>
      </c>
      <c r="C12" s="3" t="s">
        <v>5997</v>
      </c>
      <c r="D12" s="3" t="s">
        <v>1762</v>
      </c>
      <c r="E12" s="3" t="s">
        <v>1762</v>
      </c>
      <c r="F12" s="3"/>
      <c r="G12" s="3" t="s">
        <v>5998</v>
      </c>
      <c r="H12" s="3"/>
      <c r="I12" s="3" t="s">
        <v>5983</v>
      </c>
      <c r="J12" s="3" t="s">
        <v>5999</v>
      </c>
      <c r="K12" s="4" t="b">
        <f>J12 = "blocking"</f>
        <v>1</v>
      </c>
      <c r="L12" s="3" t="s">
        <v>1448</v>
      </c>
      <c r="M12" s="3" t="s">
        <v>6000</v>
      </c>
      <c r="N12" s="5">
        <v>46223.1297337963</v>
      </c>
      <c r="O12" s="4" t="b">
        <f>L12 = "PASS"</f>
        <v>1</v>
      </c>
      <c r="P12" s="4" t="b">
        <f>L12 = "FAIL"</f>
        <v>0</v>
      </c>
      <c r="Q12" s="4" t="b">
        <f>AND(((P12)=TRUE), ((K12)=TRUE))</f>
        <v>0</v>
      </c>
      <c r="R12" s="4" t="str">
        <f>IF(((O12)=TRUE),  I12,  "")</f>
        <v>suite-structure</v>
      </c>
      <c r="S12" s="4" t="str">
        <f>IF(((Q12)=TRUE),  I12,  "")</f>
      </c>
      <c r="T12" s="3" t="s">
        <v>6001</v>
      </c>
    </row>
    <row r="13">
      <c r="A13" s="3" t="s">
        <v>6020</v>
      </c>
      <c r="B13" s="4" t="str">
        <f>C13 &amp; ": " &amp; D13</f>
        <v>structural: ProcedureVersions</v>
      </c>
      <c r="C13" s="3" t="s">
        <v>5997</v>
      </c>
      <c r="D13" s="3" t="s">
        <v>1767</v>
      </c>
      <c r="E13" s="3" t="s">
        <v>1767</v>
      </c>
      <c r="F13" s="3"/>
      <c r="G13" s="3" t="s">
        <v>5998</v>
      </c>
      <c r="H13" s="3"/>
      <c r="I13" s="3" t="s">
        <v>5983</v>
      </c>
      <c r="J13" s="3" t="s">
        <v>5999</v>
      </c>
      <c r="K13" s="4" t="b">
        <f>J13 = "blocking"</f>
        <v>1</v>
      </c>
      <c r="L13" s="3" t="s">
        <v>1448</v>
      </c>
      <c r="M13" s="3" t="s">
        <v>6021</v>
      </c>
      <c r="N13" s="5">
        <v>46223.1297337963</v>
      </c>
      <c r="O13" s="4" t="b">
        <f>L13 = "PASS"</f>
        <v>1</v>
      </c>
      <c r="P13" s="4" t="b">
        <f>L13 = "FAIL"</f>
        <v>0</v>
      </c>
      <c r="Q13" s="4" t="b">
        <f>AND(((P13)=TRUE), ((K13)=TRUE))</f>
        <v>0</v>
      </c>
      <c r="R13" s="4" t="str">
        <f>IF(((O13)=TRUE),  I13,  "")</f>
        <v>suite-structure</v>
      </c>
      <c r="S13" s="4" t="str">
        <f>IF(((Q13)=TRUE),  I13,  "")</f>
      </c>
      <c r="T13" s="3" t="s">
        <v>6001</v>
      </c>
    </row>
    <row r="14">
      <c r="A14" s="3" t="s">
        <v>6022</v>
      </c>
      <c r="B14" s="4" t="str">
        <f>C14 &amp; ": " &amp; D14</f>
        <v>structural: ProcedureVersionLinks</v>
      </c>
      <c r="C14" s="3" t="s">
        <v>5997</v>
      </c>
      <c r="D14" s="3" t="s">
        <v>2851</v>
      </c>
      <c r="E14" s="3" t="s">
        <v>2851</v>
      </c>
      <c r="F14" s="3"/>
      <c r="G14" s="3" t="s">
        <v>5998</v>
      </c>
      <c r="H14" s="3"/>
      <c r="I14" s="3" t="s">
        <v>5983</v>
      </c>
      <c r="J14" s="3" t="s">
        <v>5999</v>
      </c>
      <c r="K14" s="4" t="b">
        <f>J14 = "blocking"</f>
        <v>1</v>
      </c>
      <c r="L14" s="3" t="s">
        <v>1448</v>
      </c>
      <c r="M14" s="3" t="s">
        <v>6005</v>
      </c>
      <c r="N14" s="5">
        <v>46223.1297337963</v>
      </c>
      <c r="O14" s="4" t="b">
        <f>L14 = "PASS"</f>
        <v>1</v>
      </c>
      <c r="P14" s="4" t="b">
        <f>L14 = "FAIL"</f>
        <v>0</v>
      </c>
      <c r="Q14" s="4" t="b">
        <f>AND(((P14)=TRUE), ((K14)=TRUE))</f>
        <v>0</v>
      </c>
      <c r="R14" s="4" t="str">
        <f>IF(((O14)=TRUE),  I14,  "")</f>
        <v>suite-structure</v>
      </c>
      <c r="S14" s="4" t="str">
        <f>IF(((Q14)=TRUE),  I14,  "")</f>
      </c>
      <c r="T14" s="3" t="s">
        <v>6001</v>
      </c>
    </row>
    <row r="15">
      <c r="A15" s="3" t="s">
        <v>6023</v>
      </c>
      <c r="B15" s="4" t="str">
        <f>C15 &amp; ": " &amp; D15</f>
        <v>structural: ProcedureStatusChanges</v>
      </c>
      <c r="C15" s="3" t="s">
        <v>5997</v>
      </c>
      <c r="D15" s="3" t="s">
        <v>1775</v>
      </c>
      <c r="E15" s="3" t="s">
        <v>1775</v>
      </c>
      <c r="F15" s="3"/>
      <c r="G15" s="3" t="s">
        <v>5998</v>
      </c>
      <c r="H15" s="3"/>
      <c r="I15" s="3" t="s">
        <v>5983</v>
      </c>
      <c r="J15" s="3" t="s">
        <v>5999</v>
      </c>
      <c r="K15" s="4" t="b">
        <f>J15 = "blocking"</f>
        <v>1</v>
      </c>
      <c r="L15" s="3" t="s">
        <v>1448</v>
      </c>
      <c r="M15" s="3" t="s">
        <v>6024</v>
      </c>
      <c r="N15" s="5">
        <v>46223.1297337963</v>
      </c>
      <c r="O15" s="4" t="b">
        <f>L15 = "PASS"</f>
        <v>1</v>
      </c>
      <c r="P15" s="4" t="b">
        <f>L15 = "FAIL"</f>
        <v>0</v>
      </c>
      <c r="Q15" s="4" t="b">
        <f>AND(((P15)=TRUE), ((K15)=TRUE))</f>
        <v>0</v>
      </c>
      <c r="R15" s="4" t="str">
        <f>IF(((O15)=TRUE),  I15,  "")</f>
        <v>suite-structure</v>
      </c>
      <c r="S15" s="4" t="str">
        <f>IF(((Q15)=TRUE),  I15,  "")</f>
      </c>
      <c r="T15" s="3" t="s">
        <v>6001</v>
      </c>
    </row>
    <row r="16">
      <c r="A16" s="3" t="s">
        <v>6025</v>
      </c>
      <c r="B16" s="4" t="str">
        <f>C16 &amp; ": " &amp; D16</f>
        <v>structural: Steps</v>
      </c>
      <c r="C16" s="3" t="s">
        <v>5997</v>
      </c>
      <c r="D16" s="3" t="s">
        <v>1778</v>
      </c>
      <c r="E16" s="3" t="s">
        <v>1778</v>
      </c>
      <c r="F16" s="3"/>
      <c r="G16" s="3" t="s">
        <v>5998</v>
      </c>
      <c r="H16" s="3"/>
      <c r="I16" s="3" t="s">
        <v>5983</v>
      </c>
      <c r="J16" s="3" t="s">
        <v>5999</v>
      </c>
      <c r="K16" s="4" t="b">
        <f>J16 = "blocking"</f>
        <v>1</v>
      </c>
      <c r="L16" s="3" t="s">
        <v>1448</v>
      </c>
      <c r="M16" s="3" t="s">
        <v>6026</v>
      </c>
      <c r="N16" s="5">
        <v>46223.1297337963</v>
      </c>
      <c r="O16" s="4" t="b">
        <f>L16 = "PASS"</f>
        <v>1</v>
      </c>
      <c r="P16" s="4" t="b">
        <f>L16 = "FAIL"</f>
        <v>0</v>
      </c>
      <c r="Q16" s="4" t="b">
        <f>AND(((P16)=TRUE), ((K16)=TRUE))</f>
        <v>0</v>
      </c>
      <c r="R16" s="4" t="str">
        <f>IF(((O16)=TRUE),  I16,  "")</f>
        <v>suite-structure</v>
      </c>
      <c r="S16" s="4" t="str">
        <f>IF(((Q16)=TRUE),  I16,  "")</f>
      </c>
      <c r="T16" s="3" t="s">
        <v>6001</v>
      </c>
    </row>
    <row r="17">
      <c r="A17" s="3" t="s">
        <v>6027</v>
      </c>
      <c r="B17" s="4" t="str">
        <f>C17 &amp; ": " &amp; D17</f>
        <v>structural: StepTransitions</v>
      </c>
      <c r="C17" s="3" t="s">
        <v>5997</v>
      </c>
      <c r="D17" s="3" t="s">
        <v>1784</v>
      </c>
      <c r="E17" s="3" t="s">
        <v>1784</v>
      </c>
      <c r="F17" s="3"/>
      <c r="G17" s="3" t="s">
        <v>5998</v>
      </c>
      <c r="H17" s="3"/>
      <c r="I17" s="3" t="s">
        <v>5983</v>
      </c>
      <c r="J17" s="3" t="s">
        <v>5999</v>
      </c>
      <c r="K17" s="4" t="b">
        <f>J17 = "blocking"</f>
        <v>1</v>
      </c>
      <c r="L17" s="3" t="s">
        <v>1448</v>
      </c>
      <c r="M17" s="3" t="s">
        <v>6028</v>
      </c>
      <c r="N17" s="5">
        <v>46223.1297337963</v>
      </c>
      <c r="O17" s="4" t="b">
        <f>L17 = "PASS"</f>
        <v>1</v>
      </c>
      <c r="P17" s="4" t="b">
        <f>L17 = "FAIL"</f>
        <v>0</v>
      </c>
      <c r="Q17" s="4" t="b">
        <f>AND(((P17)=TRUE), ((K17)=TRUE))</f>
        <v>0</v>
      </c>
      <c r="R17" s="4" t="str">
        <f>IF(((O17)=TRUE),  I17,  "")</f>
        <v>suite-structure</v>
      </c>
      <c r="S17" s="4" t="str">
        <f>IF(((Q17)=TRUE),  I17,  "")</f>
      </c>
      <c r="T17" s="3" t="s">
        <v>6001</v>
      </c>
    </row>
    <row r="18">
      <c r="A18" s="3" t="s">
        <v>6029</v>
      </c>
      <c r="B18" s="4" t="str">
        <f>C18 &amp; ": " &amp; D18</f>
        <v>structural: Actions</v>
      </c>
      <c r="C18" s="3" t="s">
        <v>5997</v>
      </c>
      <c r="D18" s="3" t="s">
        <v>1796</v>
      </c>
      <c r="E18" s="3" t="s">
        <v>1796</v>
      </c>
      <c r="F18" s="3"/>
      <c r="G18" s="3" t="s">
        <v>5998</v>
      </c>
      <c r="H18" s="3"/>
      <c r="I18" s="3" t="s">
        <v>5983</v>
      </c>
      <c r="J18" s="3" t="s">
        <v>5999</v>
      </c>
      <c r="K18" s="4" t="b">
        <f>J18 = "blocking"</f>
        <v>1</v>
      </c>
      <c r="L18" s="3" t="s">
        <v>1448</v>
      </c>
      <c r="M18" s="3" t="s">
        <v>6018</v>
      </c>
      <c r="N18" s="5">
        <v>46223.1297337963</v>
      </c>
      <c r="O18" s="4" t="b">
        <f>L18 = "PASS"</f>
        <v>1</v>
      </c>
      <c r="P18" s="4" t="b">
        <f>L18 = "FAIL"</f>
        <v>0</v>
      </c>
      <c r="Q18" s="4" t="b">
        <f>AND(((P18)=TRUE), ((K18)=TRUE))</f>
        <v>0</v>
      </c>
      <c r="R18" s="4" t="str">
        <f>IF(((O18)=TRUE),  I18,  "")</f>
        <v>suite-structure</v>
      </c>
      <c r="S18" s="4" t="str">
        <f>IF(((Q18)=TRUE),  I18,  "")</f>
      </c>
      <c r="T18" s="3" t="s">
        <v>6001</v>
      </c>
    </row>
    <row r="19">
      <c r="A19" s="3" t="s">
        <v>6030</v>
      </c>
      <c r="B19" s="4" t="str">
        <f>C19 &amp; ": " &amp; D19</f>
        <v>structural: Functions</v>
      </c>
      <c r="C19" s="3" t="s">
        <v>5997</v>
      </c>
      <c r="D19" s="3" t="s">
        <v>1799</v>
      </c>
      <c r="E19" s="3" t="s">
        <v>1799</v>
      </c>
      <c r="F19" s="3"/>
      <c r="G19" s="3" t="s">
        <v>5998</v>
      </c>
      <c r="H19" s="3"/>
      <c r="I19" s="3" t="s">
        <v>5983</v>
      </c>
      <c r="J19" s="3" t="s">
        <v>5999</v>
      </c>
      <c r="K19" s="4" t="b">
        <f>J19 = "blocking"</f>
        <v>1</v>
      </c>
      <c r="L19" s="3" t="s">
        <v>1448</v>
      </c>
      <c r="M19" s="3" t="s">
        <v>6007</v>
      </c>
      <c r="N19" s="5">
        <v>46223.1297337963</v>
      </c>
      <c r="O19" s="4" t="b">
        <f>L19 = "PASS"</f>
        <v>1</v>
      </c>
      <c r="P19" s="4" t="b">
        <f>L19 = "FAIL"</f>
        <v>0</v>
      </c>
      <c r="Q19" s="4" t="b">
        <f>AND(((P19)=TRUE), ((K19)=TRUE))</f>
        <v>0</v>
      </c>
      <c r="R19" s="4" t="str">
        <f>IF(((O19)=TRUE),  I19,  "")</f>
        <v>suite-structure</v>
      </c>
      <c r="S19" s="4" t="str">
        <f>IF(((Q19)=TRUE),  I19,  "")</f>
      </c>
      <c r="T19" s="3" t="s">
        <v>6001</v>
      </c>
    </row>
    <row r="20">
      <c r="A20" s="3" t="s">
        <v>6031</v>
      </c>
      <c r="B20" s="4" t="str">
        <f>C20 &amp; ": " &amp; D20</f>
        <v>structural: Tools</v>
      </c>
      <c r="C20" s="3" t="s">
        <v>5997</v>
      </c>
      <c r="D20" s="3" t="s">
        <v>1802</v>
      </c>
      <c r="E20" s="3" t="s">
        <v>1802</v>
      </c>
      <c r="F20" s="3"/>
      <c r="G20" s="3" t="s">
        <v>5998</v>
      </c>
      <c r="H20" s="3"/>
      <c r="I20" s="3" t="s">
        <v>5983</v>
      </c>
      <c r="J20" s="3" t="s">
        <v>5999</v>
      </c>
      <c r="K20" s="4" t="b">
        <f>J20 = "blocking"</f>
        <v>1</v>
      </c>
      <c r="L20" s="3" t="s">
        <v>1448</v>
      </c>
      <c r="M20" s="3" t="s">
        <v>6018</v>
      </c>
      <c r="N20" s="5">
        <v>46223.1297337963</v>
      </c>
      <c r="O20" s="4" t="b">
        <f>L20 = "PASS"</f>
        <v>1</v>
      </c>
      <c r="P20" s="4" t="b">
        <f>L20 = "FAIL"</f>
        <v>0</v>
      </c>
      <c r="Q20" s="4" t="b">
        <f>AND(((P20)=TRUE), ((K20)=TRUE))</f>
        <v>0</v>
      </c>
      <c r="R20" s="4" t="str">
        <f>IF(((O20)=TRUE),  I20,  "")</f>
        <v>suite-structure</v>
      </c>
      <c r="S20" s="4" t="str">
        <f>IF(((Q20)=TRUE),  I20,  "")</f>
      </c>
      <c r="T20" s="3" t="s">
        <v>6001</v>
      </c>
    </row>
    <row r="21">
      <c r="A21" s="3" t="s">
        <v>6032</v>
      </c>
      <c r="B21" s="4" t="str">
        <f>C21 &amp; ": " &amp; D21</f>
        <v>structural: StepActions</v>
      </c>
      <c r="C21" s="3" t="s">
        <v>5997</v>
      </c>
      <c r="D21" s="3" t="s">
        <v>3028</v>
      </c>
      <c r="E21" s="3" t="s">
        <v>3028</v>
      </c>
      <c r="F21" s="3"/>
      <c r="G21" s="3" t="s">
        <v>5998</v>
      </c>
      <c r="H21" s="3"/>
      <c r="I21" s="3" t="s">
        <v>5983</v>
      </c>
      <c r="J21" s="3" t="s">
        <v>5999</v>
      </c>
      <c r="K21" s="4" t="b">
        <f>J21 = "blocking"</f>
        <v>1</v>
      </c>
      <c r="L21" s="3" t="s">
        <v>1448</v>
      </c>
      <c r="M21" s="3" t="s">
        <v>6033</v>
      </c>
      <c r="N21" s="5">
        <v>46223.1297337963</v>
      </c>
      <c r="O21" s="4" t="b">
        <f>L21 = "PASS"</f>
        <v>1</v>
      </c>
      <c r="P21" s="4" t="b">
        <f>L21 = "FAIL"</f>
        <v>0</v>
      </c>
      <c r="Q21" s="4" t="b">
        <f>AND(((P21)=TRUE), ((K21)=TRUE))</f>
        <v>0</v>
      </c>
      <c r="R21" s="4" t="str">
        <f>IF(((O21)=TRUE),  I21,  "")</f>
        <v>suite-structure</v>
      </c>
      <c r="S21" s="4" t="str">
        <f>IF(((Q21)=TRUE),  I21,  "")</f>
      </c>
      <c r="T21" s="3" t="s">
        <v>6001</v>
      </c>
    </row>
    <row r="22">
      <c r="A22" s="3" t="s">
        <v>6034</v>
      </c>
      <c r="B22" s="4" t="str">
        <f>C22 &amp; ": " &amp; D22</f>
        <v>structural: StepFunctions</v>
      </c>
      <c r="C22" s="3" t="s">
        <v>5997</v>
      </c>
      <c r="D22" s="3" t="s">
        <v>3034</v>
      </c>
      <c r="E22" s="3" t="s">
        <v>3034</v>
      </c>
      <c r="F22" s="3"/>
      <c r="G22" s="3" t="s">
        <v>5998</v>
      </c>
      <c r="H22" s="3"/>
      <c r="I22" s="3" t="s">
        <v>5983</v>
      </c>
      <c r="J22" s="3" t="s">
        <v>5999</v>
      </c>
      <c r="K22" s="4" t="b">
        <f>J22 = "blocking"</f>
        <v>1</v>
      </c>
      <c r="L22" s="3" t="s">
        <v>1448</v>
      </c>
      <c r="M22" s="3" t="s">
        <v>6033</v>
      </c>
      <c r="N22" s="5">
        <v>46223.1297337963</v>
      </c>
      <c r="O22" s="4" t="b">
        <f>L22 = "PASS"</f>
        <v>1</v>
      </c>
      <c r="P22" s="4" t="b">
        <f>L22 = "FAIL"</f>
        <v>0</v>
      </c>
      <c r="Q22" s="4" t="b">
        <f>AND(((P22)=TRUE), ((K22)=TRUE))</f>
        <v>0</v>
      </c>
      <c r="R22" s="4" t="str">
        <f>IF(((O22)=TRUE),  I22,  "")</f>
        <v>suite-structure</v>
      </c>
      <c r="S22" s="4" t="str">
        <f>IF(((Q22)=TRUE),  I22,  "")</f>
      </c>
      <c r="T22" s="3" t="s">
        <v>6001</v>
      </c>
    </row>
    <row r="23">
      <c r="A23" s="3" t="s">
        <v>6035</v>
      </c>
      <c r="B23" s="4" t="str">
        <f>C23 &amp; ": " &amp; D23</f>
        <v>structural: StepTools</v>
      </c>
      <c r="C23" s="3" t="s">
        <v>5997</v>
      </c>
      <c r="D23" s="3" t="s">
        <v>3040</v>
      </c>
      <c r="E23" s="3" t="s">
        <v>3040</v>
      </c>
      <c r="F23" s="3"/>
      <c r="G23" s="3" t="s">
        <v>5998</v>
      </c>
      <c r="H23" s="3"/>
      <c r="I23" s="3" t="s">
        <v>5983</v>
      </c>
      <c r="J23" s="3" t="s">
        <v>5999</v>
      </c>
      <c r="K23" s="4" t="b">
        <f>J23 = "blocking"</f>
        <v>1</v>
      </c>
      <c r="L23" s="3" t="s">
        <v>1448</v>
      </c>
      <c r="M23" s="3" t="s">
        <v>6033</v>
      </c>
      <c r="N23" s="5">
        <v>46223.1297337963</v>
      </c>
      <c r="O23" s="4" t="b">
        <f>L23 = "PASS"</f>
        <v>1</v>
      </c>
      <c r="P23" s="4" t="b">
        <f>L23 = "FAIL"</f>
        <v>0</v>
      </c>
      <c r="Q23" s="4" t="b">
        <f>AND(((P23)=TRUE), ((K23)=TRUE))</f>
        <v>0</v>
      </c>
      <c r="R23" s="4" t="str">
        <f>IF(((O23)=TRUE),  I23,  "")</f>
        <v>suite-structure</v>
      </c>
      <c r="S23" s="4" t="str">
        <f>IF(((Q23)=TRUE),  I23,  "")</f>
      </c>
      <c r="T23" s="3" t="s">
        <v>6001</v>
      </c>
    </row>
    <row r="24">
      <c r="A24" s="3" t="s">
        <v>6036</v>
      </c>
      <c r="B24" s="4" t="str">
        <f>C24 &amp; ": " &amp; D24</f>
        <v>structural: Requirements</v>
      </c>
      <c r="C24" s="3" t="s">
        <v>5997</v>
      </c>
      <c r="D24" s="3" t="s">
        <v>1805</v>
      </c>
      <c r="E24" s="3" t="s">
        <v>1805</v>
      </c>
      <c r="F24" s="3"/>
      <c r="G24" s="3" t="s">
        <v>5998</v>
      </c>
      <c r="H24" s="3"/>
      <c r="I24" s="3" t="s">
        <v>5983</v>
      </c>
      <c r="J24" s="3" t="s">
        <v>5999</v>
      </c>
      <c r="K24" s="4" t="b">
        <f>J24 = "blocking"</f>
        <v>1</v>
      </c>
      <c r="L24" s="3" t="s">
        <v>1448</v>
      </c>
      <c r="M24" s="3" t="s">
        <v>6037</v>
      </c>
      <c r="N24" s="5">
        <v>46223.1297337963</v>
      </c>
      <c r="O24" s="4" t="b">
        <f>L24 = "PASS"</f>
        <v>1</v>
      </c>
      <c r="P24" s="4" t="b">
        <f>L24 = "FAIL"</f>
        <v>0</v>
      </c>
      <c r="Q24" s="4" t="b">
        <f>AND(((P24)=TRUE), ((K24)=TRUE))</f>
        <v>0</v>
      </c>
      <c r="R24" s="4" t="str">
        <f>IF(((O24)=TRUE),  I24,  "")</f>
        <v>suite-structure</v>
      </c>
      <c r="S24" s="4" t="str">
        <f>IF(((Q24)=TRUE),  I24,  "")</f>
      </c>
      <c r="T24" s="3" t="s">
        <v>6001</v>
      </c>
    </row>
    <row r="25">
      <c r="A25" s="3" t="s">
        <v>6038</v>
      </c>
      <c r="B25" s="4" t="str">
        <f>C25 &amp; ": " &amp; D25</f>
        <v>structural: StepRequirements</v>
      </c>
      <c r="C25" s="3" t="s">
        <v>5997</v>
      </c>
      <c r="D25" s="3" t="s">
        <v>3119</v>
      </c>
      <c r="E25" s="3" t="s">
        <v>3119</v>
      </c>
      <c r="F25" s="3"/>
      <c r="G25" s="3" t="s">
        <v>5998</v>
      </c>
      <c r="H25" s="3"/>
      <c r="I25" s="3" t="s">
        <v>5983</v>
      </c>
      <c r="J25" s="3" t="s">
        <v>5999</v>
      </c>
      <c r="K25" s="4" t="b">
        <f>J25 = "blocking"</f>
        <v>1</v>
      </c>
      <c r="L25" s="3" t="s">
        <v>1448</v>
      </c>
      <c r="M25" s="3" t="s">
        <v>6039</v>
      </c>
      <c r="N25" s="5">
        <v>46223.1297337963</v>
      </c>
      <c r="O25" s="4" t="b">
        <f>L25 = "PASS"</f>
        <v>1</v>
      </c>
      <c r="P25" s="4" t="b">
        <f>L25 = "FAIL"</f>
        <v>0</v>
      </c>
      <c r="Q25" s="4" t="b">
        <f>AND(((P25)=TRUE), ((K25)=TRUE))</f>
        <v>0</v>
      </c>
      <c r="R25" s="4" t="str">
        <f>IF(((O25)=TRUE),  I25,  "")</f>
        <v>suite-structure</v>
      </c>
      <c r="S25" s="4" t="str">
        <f>IF(((Q25)=TRUE),  I25,  "")</f>
      </c>
      <c r="T25" s="3" t="s">
        <v>6001</v>
      </c>
    </row>
    <row r="26">
      <c r="A26" s="3" t="s">
        <v>6040</v>
      </c>
      <c r="B26" s="4" t="str">
        <f>C26 &amp; ": " &amp; D26</f>
        <v>structural: StepVerifications</v>
      </c>
      <c r="C26" s="3" t="s">
        <v>5997</v>
      </c>
      <c r="D26" s="3" t="s">
        <v>1808</v>
      </c>
      <c r="E26" s="3" t="s">
        <v>1808</v>
      </c>
      <c r="F26" s="3"/>
      <c r="G26" s="3" t="s">
        <v>5998</v>
      </c>
      <c r="H26" s="3"/>
      <c r="I26" s="3" t="s">
        <v>5983</v>
      </c>
      <c r="J26" s="3" t="s">
        <v>5999</v>
      </c>
      <c r="K26" s="4" t="b">
        <f>J26 = "blocking"</f>
        <v>1</v>
      </c>
      <c r="L26" s="3" t="s">
        <v>1448</v>
      </c>
      <c r="M26" s="3" t="s">
        <v>6003</v>
      </c>
      <c r="N26" s="5">
        <v>46223.1297337963</v>
      </c>
      <c r="O26" s="4" t="b">
        <f>L26 = "PASS"</f>
        <v>1</v>
      </c>
      <c r="P26" s="4" t="b">
        <f>L26 = "FAIL"</f>
        <v>0</v>
      </c>
      <c r="Q26" s="4" t="b">
        <f>AND(((P26)=TRUE), ((K26)=TRUE))</f>
        <v>0</v>
      </c>
      <c r="R26" s="4" t="str">
        <f>IF(((O26)=TRUE),  I26,  "")</f>
        <v>suite-structure</v>
      </c>
      <c r="S26" s="4" t="str">
        <f>IF(((Q26)=TRUE),  I26,  "")</f>
      </c>
      <c r="T26" s="3" t="s">
        <v>6001</v>
      </c>
    </row>
    <row r="27">
      <c r="A27" s="3" t="s">
        <v>6041</v>
      </c>
      <c r="B27" s="4" t="str">
        <f>C27 &amp; ": " &amp; D27</f>
        <v>structural: Rationales</v>
      </c>
      <c r="C27" s="3" t="s">
        <v>5997</v>
      </c>
      <c r="D27" s="3" t="s">
        <v>3151</v>
      </c>
      <c r="E27" s="3" t="s">
        <v>3151</v>
      </c>
      <c r="F27" s="3"/>
      <c r="G27" s="3" t="s">
        <v>5998</v>
      </c>
      <c r="H27" s="3"/>
      <c r="I27" s="3" t="s">
        <v>5983</v>
      </c>
      <c r="J27" s="3" t="s">
        <v>5999</v>
      </c>
      <c r="K27" s="4" t="b">
        <f>J27 = "blocking"</f>
        <v>1</v>
      </c>
      <c r="L27" s="3" t="s">
        <v>1448</v>
      </c>
      <c r="M27" s="3" t="s">
        <v>6024</v>
      </c>
      <c r="N27" s="5">
        <v>46223.1297337963</v>
      </c>
      <c r="O27" s="4" t="b">
        <f>L27 = "PASS"</f>
        <v>1</v>
      </c>
      <c r="P27" s="4" t="b">
        <f>L27 = "FAIL"</f>
        <v>0</v>
      </c>
      <c r="Q27" s="4" t="b">
        <f>AND(((P27)=TRUE), ((K27)=TRUE))</f>
        <v>0</v>
      </c>
      <c r="R27" s="4" t="str">
        <f>IF(((O27)=TRUE),  I27,  "")</f>
        <v>suite-structure</v>
      </c>
      <c r="S27" s="4" t="str">
        <f>IF(((Q27)=TRUE),  I27,  "")</f>
      </c>
      <c r="T27" s="3" t="s">
        <v>6001</v>
      </c>
    </row>
    <row r="28">
      <c r="A28" s="3" t="s">
        <v>6042</v>
      </c>
      <c r="B28" s="4" t="str">
        <f>C28 &amp; ": " &amp; D28</f>
        <v>structural: Exceptions</v>
      </c>
      <c r="C28" s="3" t="s">
        <v>5997</v>
      </c>
      <c r="D28" s="3" t="s">
        <v>3161</v>
      </c>
      <c r="E28" s="3" t="s">
        <v>3161</v>
      </c>
      <c r="F28" s="3"/>
      <c r="G28" s="3" t="s">
        <v>5998</v>
      </c>
      <c r="H28" s="3"/>
      <c r="I28" s="3" t="s">
        <v>5983</v>
      </c>
      <c r="J28" s="3" t="s">
        <v>5999</v>
      </c>
      <c r="K28" s="4" t="b">
        <f>J28 = "blocking"</f>
        <v>1</v>
      </c>
      <c r="L28" s="3" t="s">
        <v>1448</v>
      </c>
      <c r="M28" s="3" t="s">
        <v>6000</v>
      </c>
      <c r="N28" s="5">
        <v>46223.1297337963</v>
      </c>
      <c r="O28" s="4" t="b">
        <f>L28 = "PASS"</f>
        <v>1</v>
      </c>
      <c r="P28" s="4" t="b">
        <f>L28 = "FAIL"</f>
        <v>0</v>
      </c>
      <c r="Q28" s="4" t="b">
        <f>AND(((P28)=TRUE), ((K28)=TRUE))</f>
        <v>0</v>
      </c>
      <c r="R28" s="4" t="str">
        <f>IF(((O28)=TRUE),  I28,  "")</f>
        <v>suite-structure</v>
      </c>
      <c r="S28" s="4" t="str">
        <f>IF(((Q28)=TRUE),  I28,  "")</f>
      </c>
      <c r="T28" s="3" t="s">
        <v>6001</v>
      </c>
    </row>
    <row r="29">
      <c r="A29" s="3" t="s">
        <v>6043</v>
      </c>
      <c r="B29" s="4" t="str">
        <f>C29 &amp; ": " &amp; D29</f>
        <v>structural: Resources</v>
      </c>
      <c r="C29" s="3" t="s">
        <v>5997</v>
      </c>
      <c r="D29" s="3" t="s">
        <v>1811</v>
      </c>
      <c r="E29" s="3" t="s">
        <v>1811</v>
      </c>
      <c r="F29" s="3"/>
      <c r="G29" s="3" t="s">
        <v>5998</v>
      </c>
      <c r="H29" s="3"/>
      <c r="I29" s="3" t="s">
        <v>5983</v>
      </c>
      <c r="J29" s="3" t="s">
        <v>5999</v>
      </c>
      <c r="K29" s="4" t="b">
        <f>J29 = "blocking"</f>
        <v>1</v>
      </c>
      <c r="L29" s="3" t="s">
        <v>1448</v>
      </c>
      <c r="M29" s="3" t="s">
        <v>6000</v>
      </c>
      <c r="N29" s="5">
        <v>46223.1297337963</v>
      </c>
      <c r="O29" s="4" t="b">
        <f>L29 = "PASS"</f>
        <v>1</v>
      </c>
      <c r="P29" s="4" t="b">
        <f>L29 = "FAIL"</f>
        <v>0</v>
      </c>
      <c r="Q29" s="4" t="b">
        <f>AND(((P29)=TRUE), ((K29)=TRUE))</f>
        <v>0</v>
      </c>
      <c r="R29" s="4" t="str">
        <f>IF(((O29)=TRUE),  I29,  "")</f>
        <v>suite-structure</v>
      </c>
      <c r="S29" s="4" t="str">
        <f>IF(((Q29)=TRUE),  I29,  "")</f>
      </c>
      <c r="T29" s="3" t="s">
        <v>6001</v>
      </c>
    </row>
    <row r="30">
      <c r="A30" s="3" t="s">
        <v>6044</v>
      </c>
      <c r="B30" s="4" t="str">
        <f>C30 &amp; ": " &amp; D30</f>
        <v>structural: ProcedureResources</v>
      </c>
      <c r="C30" s="3" t="s">
        <v>5997</v>
      </c>
      <c r="D30" s="3" t="s">
        <v>3187</v>
      </c>
      <c r="E30" s="3" t="s">
        <v>3187</v>
      </c>
      <c r="F30" s="3"/>
      <c r="G30" s="3" t="s">
        <v>5998</v>
      </c>
      <c r="H30" s="3"/>
      <c r="I30" s="3" t="s">
        <v>5983</v>
      </c>
      <c r="J30" s="3" t="s">
        <v>5999</v>
      </c>
      <c r="K30" s="4" t="b">
        <f>J30 = "blocking"</f>
        <v>1</v>
      </c>
      <c r="L30" s="3" t="s">
        <v>1448</v>
      </c>
      <c r="M30" s="3" t="s">
        <v>6007</v>
      </c>
      <c r="N30" s="5">
        <v>46223.1297337963</v>
      </c>
      <c r="O30" s="4" t="b">
        <f>L30 = "PASS"</f>
        <v>1</v>
      </c>
      <c r="P30" s="4" t="b">
        <f>L30 = "FAIL"</f>
        <v>0</v>
      </c>
      <c r="Q30" s="4" t="b">
        <f>AND(((P30)=TRUE), ((K30)=TRUE))</f>
        <v>0</v>
      </c>
      <c r="R30" s="4" t="str">
        <f>IF(((O30)=TRUE),  I30,  "")</f>
        <v>suite-structure</v>
      </c>
      <c r="S30" s="4" t="str">
        <f>IF(((Q30)=TRUE),  I30,  "")</f>
      </c>
      <c r="T30" s="3" t="s">
        <v>6001</v>
      </c>
    </row>
    <row r="31">
      <c r="A31" s="3" t="s">
        <v>6045</v>
      </c>
      <c r="B31" s="4" t="str">
        <f>C31 &amp; ": " &amp; D31</f>
        <v>structural: ElicitationSessions</v>
      </c>
      <c r="C31" s="3" t="s">
        <v>5997</v>
      </c>
      <c r="D31" s="3" t="s">
        <v>1855</v>
      </c>
      <c r="E31" s="3" t="s">
        <v>1855</v>
      </c>
      <c r="F31" s="3"/>
      <c r="G31" s="3" t="s">
        <v>5998</v>
      </c>
      <c r="H31" s="3"/>
      <c r="I31" s="3" t="s">
        <v>5983</v>
      </c>
      <c r="J31" s="3" t="s">
        <v>5999</v>
      </c>
      <c r="K31" s="4" t="b">
        <f>J31 = "blocking"</f>
        <v>1</v>
      </c>
      <c r="L31" s="3" t="s">
        <v>1448</v>
      </c>
      <c r="M31" s="3" t="s">
        <v>6046</v>
      </c>
      <c r="N31" s="5">
        <v>46223.1297337963</v>
      </c>
      <c r="O31" s="4" t="b">
        <f>L31 = "PASS"</f>
        <v>1</v>
      </c>
      <c r="P31" s="4" t="b">
        <f>L31 = "FAIL"</f>
        <v>0</v>
      </c>
      <c r="Q31" s="4" t="b">
        <f>AND(((P31)=TRUE), ((K31)=TRUE))</f>
        <v>0</v>
      </c>
      <c r="R31" s="4" t="str">
        <f>IF(((O31)=TRUE),  I31,  "")</f>
        <v>suite-structure</v>
      </c>
      <c r="S31" s="4" t="str">
        <f>IF(((Q31)=TRUE),  I31,  "")</f>
      </c>
      <c r="T31" s="3" t="s">
        <v>6001</v>
      </c>
    </row>
    <row r="32">
      <c r="A32" s="3" t="s">
        <v>6047</v>
      </c>
      <c r="B32" s="4" t="str">
        <f>C32 &amp; ": " &amp; D32</f>
        <v>structural: KnowledgeFragments</v>
      </c>
      <c r="C32" s="3" t="s">
        <v>5997</v>
      </c>
      <c r="D32" s="3" t="s">
        <v>1851</v>
      </c>
      <c r="E32" s="3" t="s">
        <v>1851</v>
      </c>
      <c r="F32" s="3"/>
      <c r="G32" s="3" t="s">
        <v>5998</v>
      </c>
      <c r="H32" s="3"/>
      <c r="I32" s="3" t="s">
        <v>5983</v>
      </c>
      <c r="J32" s="3" t="s">
        <v>5999</v>
      </c>
      <c r="K32" s="4" t="b">
        <f>J32 = "blocking"</f>
        <v>1</v>
      </c>
      <c r="L32" s="3" t="s">
        <v>1448</v>
      </c>
      <c r="M32" s="3" t="s">
        <v>6048</v>
      </c>
      <c r="N32" s="5">
        <v>46223.1297337963</v>
      </c>
      <c r="O32" s="4" t="b">
        <f>L32 = "PASS"</f>
        <v>1</v>
      </c>
      <c r="P32" s="4" t="b">
        <f>L32 = "FAIL"</f>
        <v>0</v>
      </c>
      <c r="Q32" s="4" t="b">
        <f>AND(((P32)=TRUE), ((K32)=TRUE))</f>
        <v>0</v>
      </c>
      <c r="R32" s="4" t="str">
        <f>IF(((O32)=TRUE),  I32,  "")</f>
        <v>suite-structure</v>
      </c>
      <c r="S32" s="4" t="str">
        <f>IF(((Q32)=TRUE),  I32,  "")</f>
      </c>
      <c r="T32" s="3" t="s">
        <v>6001</v>
      </c>
    </row>
    <row r="33">
      <c r="A33" s="3" t="s">
        <v>6049</v>
      </c>
      <c r="B33" s="4" t="str">
        <f>C33 &amp; ": " &amp; D33</f>
        <v>structural: KnowledgeGaps</v>
      </c>
      <c r="C33" s="3" t="s">
        <v>5997</v>
      </c>
      <c r="D33" s="3" t="s">
        <v>3368</v>
      </c>
      <c r="E33" s="3" t="s">
        <v>3368</v>
      </c>
      <c r="F33" s="3"/>
      <c r="G33" s="3" t="s">
        <v>5998</v>
      </c>
      <c r="H33" s="3"/>
      <c r="I33" s="3" t="s">
        <v>5983</v>
      </c>
      <c r="J33" s="3" t="s">
        <v>5999</v>
      </c>
      <c r="K33" s="4" t="b">
        <f>J33 = "blocking"</f>
        <v>1</v>
      </c>
      <c r="L33" s="3" t="s">
        <v>1448</v>
      </c>
      <c r="M33" s="3" t="s">
        <v>6050</v>
      </c>
      <c r="N33" s="5">
        <v>46223.1297337963</v>
      </c>
      <c r="O33" s="4" t="b">
        <f>L33 = "PASS"</f>
        <v>1</v>
      </c>
      <c r="P33" s="4" t="b">
        <f>L33 = "FAIL"</f>
        <v>0</v>
      </c>
      <c r="Q33" s="4" t="b">
        <f>AND(((P33)=TRUE), ((K33)=TRUE))</f>
        <v>0</v>
      </c>
      <c r="R33" s="4" t="str">
        <f>IF(((O33)=TRUE),  I33,  "")</f>
        <v>suite-structure</v>
      </c>
      <c r="S33" s="4" t="str">
        <f>IF(((Q33)=TRUE),  I33,  "")</f>
      </c>
      <c r="T33" s="3" t="s">
        <v>6001</v>
      </c>
    </row>
    <row r="34">
      <c r="A34" s="3" t="s">
        <v>6051</v>
      </c>
      <c r="B34" s="4" t="str">
        <f>C34 &amp; ": " &amp; D34</f>
        <v>structural: FAQs</v>
      </c>
      <c r="C34" s="3" t="s">
        <v>5997</v>
      </c>
      <c r="D34" s="3" t="s">
        <v>1845</v>
      </c>
      <c r="E34" s="3" t="s">
        <v>1845</v>
      </c>
      <c r="F34" s="3"/>
      <c r="G34" s="3" t="s">
        <v>5998</v>
      </c>
      <c r="H34" s="3"/>
      <c r="I34" s="3" t="s">
        <v>5983</v>
      </c>
      <c r="J34" s="3" t="s">
        <v>5999</v>
      </c>
      <c r="K34" s="4" t="b">
        <f>J34 = "blocking"</f>
        <v>1</v>
      </c>
      <c r="L34" s="3" t="s">
        <v>1448</v>
      </c>
      <c r="M34" s="3" t="s">
        <v>6024</v>
      </c>
      <c r="N34" s="5">
        <v>46223.1297337963</v>
      </c>
      <c r="O34" s="4" t="b">
        <f>L34 = "PASS"</f>
        <v>1</v>
      </c>
      <c r="P34" s="4" t="b">
        <f>L34 = "FAIL"</f>
        <v>0</v>
      </c>
      <c r="Q34" s="4" t="b">
        <f>AND(((P34)=TRUE), ((K34)=TRUE))</f>
        <v>0</v>
      </c>
      <c r="R34" s="4" t="str">
        <f>IF(((O34)=TRUE),  I34,  "")</f>
        <v>suite-structure</v>
      </c>
      <c r="S34" s="4" t="str">
        <f>IF(((Q34)=TRUE),  I34,  "")</f>
      </c>
      <c r="T34" s="3" t="s">
        <v>6001</v>
      </c>
    </row>
    <row r="35">
      <c r="A35" s="3" t="s">
        <v>6052</v>
      </c>
      <c r="B35" s="4" t="str">
        <f>C35 &amp; ": " &amp; D35</f>
        <v>structural: Explanations</v>
      </c>
      <c r="C35" s="3" t="s">
        <v>5997</v>
      </c>
      <c r="D35" s="3" t="s">
        <v>1848</v>
      </c>
      <c r="E35" s="3" t="s">
        <v>1848</v>
      </c>
      <c r="F35" s="3"/>
      <c r="G35" s="3" t="s">
        <v>5998</v>
      </c>
      <c r="H35" s="3"/>
      <c r="I35" s="3" t="s">
        <v>5983</v>
      </c>
      <c r="J35" s="3" t="s">
        <v>5999</v>
      </c>
      <c r="K35" s="4" t="b">
        <f>J35 = "blocking"</f>
        <v>1</v>
      </c>
      <c r="L35" s="3" t="s">
        <v>1448</v>
      </c>
      <c r="M35" s="3" t="s">
        <v>6005</v>
      </c>
      <c r="N35" s="5">
        <v>46223.1297337963</v>
      </c>
      <c r="O35" s="4" t="b">
        <f>L35 = "PASS"</f>
        <v>1</v>
      </c>
      <c r="P35" s="4" t="b">
        <f>L35 = "FAIL"</f>
        <v>0</v>
      </c>
      <c r="Q35" s="4" t="b">
        <f>AND(((P35)=TRUE), ((K35)=TRUE))</f>
        <v>0</v>
      </c>
      <c r="R35" s="4" t="str">
        <f>IF(((O35)=TRUE),  I35,  "")</f>
        <v>suite-structure</v>
      </c>
      <c r="S35" s="4" t="str">
        <f>IF(((Q35)=TRUE),  I35,  "")</f>
      </c>
      <c r="T35" s="3" t="s">
        <v>6001</v>
      </c>
    </row>
    <row r="36">
      <c r="A36" s="3" t="s">
        <v>6053</v>
      </c>
      <c r="B36" s="4" t="str">
        <f>C36 &amp; ": " &amp; D36</f>
        <v>structural: ProcedureExecutions</v>
      </c>
      <c r="C36" s="3" t="s">
        <v>5997</v>
      </c>
      <c r="D36" s="3" t="s">
        <v>1824</v>
      </c>
      <c r="E36" s="3" t="s">
        <v>1824</v>
      </c>
      <c r="F36" s="3"/>
      <c r="G36" s="3" t="s">
        <v>5998</v>
      </c>
      <c r="H36" s="3"/>
      <c r="I36" s="3" t="s">
        <v>5983</v>
      </c>
      <c r="J36" s="3" t="s">
        <v>5999</v>
      </c>
      <c r="K36" s="4" t="b">
        <f>J36 = "blocking"</f>
        <v>1</v>
      </c>
      <c r="L36" s="3" t="s">
        <v>1448</v>
      </c>
      <c r="M36" s="3" t="s">
        <v>6054</v>
      </c>
      <c r="N36" s="5">
        <v>46223.1297337963</v>
      </c>
      <c r="O36" s="4" t="b">
        <f>L36 = "PASS"</f>
        <v>1</v>
      </c>
      <c r="P36" s="4" t="b">
        <f>L36 = "FAIL"</f>
        <v>0</v>
      </c>
      <c r="Q36" s="4" t="b">
        <f>AND(((P36)=TRUE), ((K36)=TRUE))</f>
        <v>0</v>
      </c>
      <c r="R36" s="4" t="str">
        <f>IF(((O36)=TRUE),  I36,  "")</f>
        <v>suite-structure</v>
      </c>
      <c r="S36" s="4" t="str">
        <f>IF(((Q36)=TRUE),  I36,  "")</f>
      </c>
      <c r="T36" s="3" t="s">
        <v>6001</v>
      </c>
    </row>
    <row r="37">
      <c r="A37" s="3" t="s">
        <v>6055</v>
      </c>
      <c r="B37" s="4" t="str">
        <f>C37 &amp; ": " &amp; D37</f>
        <v>structural: StepExecutions</v>
      </c>
      <c r="C37" s="3" t="s">
        <v>5997</v>
      </c>
      <c r="D37" s="3" t="s">
        <v>1827</v>
      </c>
      <c r="E37" s="3" t="s">
        <v>1827</v>
      </c>
      <c r="F37" s="3"/>
      <c r="G37" s="3" t="s">
        <v>5998</v>
      </c>
      <c r="H37" s="3"/>
      <c r="I37" s="3" t="s">
        <v>5983</v>
      </c>
      <c r="J37" s="3" t="s">
        <v>5999</v>
      </c>
      <c r="K37" s="4" t="b">
        <f>J37 = "blocking"</f>
        <v>1</v>
      </c>
      <c r="L37" s="3" t="s">
        <v>1448</v>
      </c>
      <c r="M37" s="3" t="s">
        <v>6056</v>
      </c>
      <c r="N37" s="5">
        <v>46223.1297337963</v>
      </c>
      <c r="O37" s="4" t="b">
        <f>L37 = "PASS"</f>
        <v>1</v>
      </c>
      <c r="P37" s="4" t="b">
        <f>L37 = "FAIL"</f>
        <v>0</v>
      </c>
      <c r="Q37" s="4" t="b">
        <f>AND(((P37)=TRUE), ((K37)=TRUE))</f>
        <v>0</v>
      </c>
      <c r="R37" s="4" t="str">
        <f>IF(((O37)=TRUE),  I37,  "")</f>
        <v>suite-structure</v>
      </c>
      <c r="S37" s="4" t="str">
        <f>IF(((Q37)=TRUE),  I37,  "")</f>
      </c>
      <c r="T37" s="3" t="s">
        <v>6001</v>
      </c>
    </row>
    <row r="38">
      <c r="A38" s="3" t="s">
        <v>6057</v>
      </c>
      <c r="B38" s="4" t="str">
        <f>C38 &amp; ": " &amp; D38</f>
        <v>structural: RequirementSatisfactions</v>
      </c>
      <c r="C38" s="3" t="s">
        <v>5997</v>
      </c>
      <c r="D38" s="3" t="s">
        <v>1830</v>
      </c>
      <c r="E38" s="3" t="s">
        <v>1830</v>
      </c>
      <c r="F38" s="3"/>
      <c r="G38" s="3" t="s">
        <v>5998</v>
      </c>
      <c r="H38" s="3"/>
      <c r="I38" s="3" t="s">
        <v>5983</v>
      </c>
      <c r="J38" s="3" t="s">
        <v>5999</v>
      </c>
      <c r="K38" s="4" t="b">
        <f>J38 = "blocking"</f>
        <v>1</v>
      </c>
      <c r="L38" s="3" t="s">
        <v>1448</v>
      </c>
      <c r="M38" s="3" t="s">
        <v>6058</v>
      </c>
      <c r="N38" s="5">
        <v>46223.1297337963</v>
      </c>
      <c r="O38" s="4" t="b">
        <f>L38 = "PASS"</f>
        <v>1</v>
      </c>
      <c r="P38" s="4" t="b">
        <f>L38 = "FAIL"</f>
        <v>0</v>
      </c>
      <c r="Q38" s="4" t="b">
        <f>AND(((P38)=TRUE), ((K38)=TRUE))</f>
        <v>0</v>
      </c>
      <c r="R38" s="4" t="str">
        <f>IF(((O38)=TRUE),  I38,  "")</f>
        <v>suite-structure</v>
      </c>
      <c r="S38" s="4" t="str">
        <f>IF(((Q38)=TRUE),  I38,  "")</f>
      </c>
      <c r="T38" s="3" t="s">
        <v>6001</v>
      </c>
    </row>
    <row r="39">
      <c r="A39" s="3" t="s">
        <v>6059</v>
      </c>
      <c r="B39" s="4" t="str">
        <f>C39 &amp; ": " &amp; D39</f>
        <v>structural: Errors</v>
      </c>
      <c r="C39" s="3" t="s">
        <v>5997</v>
      </c>
      <c r="D39" s="3" t="s">
        <v>1833</v>
      </c>
      <c r="E39" s="3" t="s">
        <v>1833</v>
      </c>
      <c r="F39" s="3"/>
      <c r="G39" s="3" t="s">
        <v>5998</v>
      </c>
      <c r="H39" s="3"/>
      <c r="I39" s="3" t="s">
        <v>5983</v>
      </c>
      <c r="J39" s="3" t="s">
        <v>5999</v>
      </c>
      <c r="K39" s="4" t="b">
        <f>J39 = "blocking"</f>
        <v>1</v>
      </c>
      <c r="L39" s="3" t="s">
        <v>1448</v>
      </c>
      <c r="M39" s="3" t="s">
        <v>6007</v>
      </c>
      <c r="N39" s="5">
        <v>46223.1297337963</v>
      </c>
      <c r="O39" s="4" t="b">
        <f>L39 = "PASS"</f>
        <v>1</v>
      </c>
      <c r="P39" s="4" t="b">
        <f>L39 = "FAIL"</f>
        <v>0</v>
      </c>
      <c r="Q39" s="4" t="b">
        <f>AND(((P39)=TRUE), ((K39)=TRUE))</f>
        <v>0</v>
      </c>
      <c r="R39" s="4" t="str">
        <f>IF(((O39)=TRUE),  I39,  "")</f>
        <v>suite-structure</v>
      </c>
      <c r="S39" s="4" t="str">
        <f>IF(((Q39)=TRUE),  I39,  "")</f>
      </c>
      <c r="T39" s="3" t="s">
        <v>6001</v>
      </c>
    </row>
    <row r="40">
      <c r="A40" s="3" t="s">
        <v>6060</v>
      </c>
      <c r="B40" s="4" t="str">
        <f>C40 &amp; ": " &amp; D40</f>
        <v>structural: IssueOccurrences</v>
      </c>
      <c r="C40" s="3" t="s">
        <v>5997</v>
      </c>
      <c r="D40" s="3" t="s">
        <v>1836</v>
      </c>
      <c r="E40" s="3" t="s">
        <v>1836</v>
      </c>
      <c r="F40" s="3"/>
      <c r="G40" s="3" t="s">
        <v>5998</v>
      </c>
      <c r="H40" s="3"/>
      <c r="I40" s="3" t="s">
        <v>5983</v>
      </c>
      <c r="J40" s="3" t="s">
        <v>5999</v>
      </c>
      <c r="K40" s="4" t="b">
        <f>J40 = "blocking"</f>
        <v>1</v>
      </c>
      <c r="L40" s="3" t="s">
        <v>1448</v>
      </c>
      <c r="M40" s="3" t="s">
        <v>6061</v>
      </c>
      <c r="N40" s="5">
        <v>46223.1297337963</v>
      </c>
      <c r="O40" s="4" t="b">
        <f>L40 = "PASS"</f>
        <v>1</v>
      </c>
      <c r="P40" s="4" t="b">
        <f>L40 = "FAIL"</f>
        <v>0</v>
      </c>
      <c r="Q40" s="4" t="b">
        <f>AND(((P40)=TRUE), ((K40)=TRUE))</f>
        <v>0</v>
      </c>
      <c r="R40" s="4" t="str">
        <f>IF(((O40)=TRUE),  I40,  "")</f>
        <v>suite-structure</v>
      </c>
      <c r="S40" s="4" t="str">
        <f>IF(((Q40)=TRUE),  I40,  "")</f>
      </c>
      <c r="T40" s="3" t="s">
        <v>6001</v>
      </c>
    </row>
    <row r="41">
      <c r="A41" s="3" t="s">
        <v>6062</v>
      </c>
      <c r="B41" s="4" t="str">
        <f>C41 &amp; ": " &amp; D41</f>
        <v>structural: UserQuestions</v>
      </c>
      <c r="C41" s="3" t="s">
        <v>5997</v>
      </c>
      <c r="D41" s="3" t="s">
        <v>1839</v>
      </c>
      <c r="E41" s="3" t="s">
        <v>1839</v>
      </c>
      <c r="F41" s="3"/>
      <c r="G41" s="3" t="s">
        <v>5998</v>
      </c>
      <c r="H41" s="3"/>
      <c r="I41" s="3" t="s">
        <v>5983</v>
      </c>
      <c r="J41" s="3" t="s">
        <v>5999</v>
      </c>
      <c r="K41" s="4" t="b">
        <f>J41 = "blocking"</f>
        <v>1</v>
      </c>
      <c r="L41" s="3" t="s">
        <v>1448</v>
      </c>
      <c r="M41" s="3" t="s">
        <v>6016</v>
      </c>
      <c r="N41" s="5">
        <v>46223.1297337963</v>
      </c>
      <c r="O41" s="4" t="b">
        <f>L41 = "PASS"</f>
        <v>1</v>
      </c>
      <c r="P41" s="4" t="b">
        <f>L41 = "FAIL"</f>
        <v>0</v>
      </c>
      <c r="Q41" s="4" t="b">
        <f>AND(((P41)=TRUE), ((K41)=TRUE))</f>
        <v>0</v>
      </c>
      <c r="R41" s="4" t="str">
        <f>IF(((O41)=TRUE),  I41,  "")</f>
        <v>suite-structure</v>
      </c>
      <c r="S41" s="4" t="str">
        <f>IF(((Q41)=TRUE),  I41,  "")</f>
      </c>
      <c r="T41" s="3" t="s">
        <v>6001</v>
      </c>
    </row>
    <row r="42">
      <c r="A42" s="3" t="s">
        <v>6063</v>
      </c>
      <c r="B42" s="4" t="str">
        <f>C42 &amp; ": " &amp; D42</f>
        <v>structural: UserFeedback</v>
      </c>
      <c r="C42" s="3" t="s">
        <v>5997</v>
      </c>
      <c r="D42" s="3" t="s">
        <v>1842</v>
      </c>
      <c r="E42" s="3" t="s">
        <v>1842</v>
      </c>
      <c r="F42" s="3"/>
      <c r="G42" s="3" t="s">
        <v>5998</v>
      </c>
      <c r="H42" s="3"/>
      <c r="I42" s="3" t="s">
        <v>5983</v>
      </c>
      <c r="J42" s="3" t="s">
        <v>5999</v>
      </c>
      <c r="K42" s="4" t="b">
        <f>J42 = "blocking"</f>
        <v>1</v>
      </c>
      <c r="L42" s="3" t="s">
        <v>1448</v>
      </c>
      <c r="M42" s="3" t="s">
        <v>6024</v>
      </c>
      <c r="N42" s="5">
        <v>46223.1297337963</v>
      </c>
      <c r="O42" s="4" t="b">
        <f>L42 = "PASS"</f>
        <v>1</v>
      </c>
      <c r="P42" s="4" t="b">
        <f>L42 = "FAIL"</f>
        <v>0</v>
      </c>
      <c r="Q42" s="4" t="b">
        <f>AND(((P42)=TRUE), ((K42)=TRUE))</f>
        <v>0</v>
      </c>
      <c r="R42" s="4" t="str">
        <f>IF(((O42)=TRUE),  I42,  "")</f>
        <v>suite-structure</v>
      </c>
      <c r="S42" s="4" t="str">
        <f>IF(((Q42)=TRUE),  I42,  "")</f>
      </c>
      <c r="T42" s="3" t="s">
        <v>6001</v>
      </c>
    </row>
    <row r="43">
      <c r="A43" s="3" t="s">
        <v>6064</v>
      </c>
      <c r="B43" s="4" t="str">
        <f>C43 &amp; ": " &amp; D43</f>
        <v>structural: StewardshipAssignments</v>
      </c>
      <c r="C43" s="3" t="s">
        <v>5997</v>
      </c>
      <c r="D43" s="3" t="s">
        <v>1859</v>
      </c>
      <c r="E43" s="3" t="s">
        <v>1859</v>
      </c>
      <c r="F43" s="3"/>
      <c r="G43" s="3" t="s">
        <v>5998</v>
      </c>
      <c r="H43" s="3"/>
      <c r="I43" s="3" t="s">
        <v>5983</v>
      </c>
      <c r="J43" s="3" t="s">
        <v>5999</v>
      </c>
      <c r="K43" s="4" t="b">
        <f>J43 = "blocking"</f>
        <v>1</v>
      </c>
      <c r="L43" s="3" t="s">
        <v>1448</v>
      </c>
      <c r="M43" s="3" t="s">
        <v>6065</v>
      </c>
      <c r="N43" s="5">
        <v>46223.1297337963</v>
      </c>
      <c r="O43" s="4" t="b">
        <f>L43 = "PASS"</f>
        <v>1</v>
      </c>
      <c r="P43" s="4" t="b">
        <f>L43 = "FAIL"</f>
        <v>0</v>
      </c>
      <c r="Q43" s="4" t="b">
        <f>AND(((P43)=TRUE), ((K43)=TRUE))</f>
        <v>0</v>
      </c>
      <c r="R43" s="4" t="str">
        <f>IF(((O43)=TRUE),  I43,  "")</f>
        <v>suite-structure</v>
      </c>
      <c r="S43" s="4" t="str">
        <f>IF(((Q43)=TRUE),  I43,  "")</f>
      </c>
      <c r="T43" s="3" t="s">
        <v>6001</v>
      </c>
    </row>
    <row r="44">
      <c r="A44" s="3" t="s">
        <v>6066</v>
      </c>
      <c r="B44" s="4" t="str">
        <f>C44 &amp; ": " &amp; D44</f>
        <v>structural: ChangeRequests</v>
      </c>
      <c r="C44" s="3" t="s">
        <v>5997</v>
      </c>
      <c r="D44" s="3" t="s">
        <v>3914</v>
      </c>
      <c r="E44" s="3" t="s">
        <v>3914</v>
      </c>
      <c r="F44" s="3"/>
      <c r="G44" s="3" t="s">
        <v>5998</v>
      </c>
      <c r="H44" s="3"/>
      <c r="I44" s="3" t="s">
        <v>5983</v>
      </c>
      <c r="J44" s="3" t="s">
        <v>5999</v>
      </c>
      <c r="K44" s="4" t="b">
        <f>J44 = "blocking"</f>
        <v>1</v>
      </c>
      <c r="L44" s="3" t="s">
        <v>1448</v>
      </c>
      <c r="M44" s="3" t="s">
        <v>6067</v>
      </c>
      <c r="N44" s="5">
        <v>46223.1297337963</v>
      </c>
      <c r="O44" s="4" t="b">
        <f>L44 = "PASS"</f>
        <v>1</v>
      </c>
      <c r="P44" s="4" t="b">
        <f>L44 = "FAIL"</f>
        <v>0</v>
      </c>
      <c r="Q44" s="4" t="b">
        <f>AND(((P44)=TRUE), ((K44)=TRUE))</f>
        <v>0</v>
      </c>
      <c r="R44" s="4" t="str">
        <f>IF(((O44)=TRUE),  I44,  "")</f>
        <v>suite-structure</v>
      </c>
      <c r="S44" s="4" t="str">
        <f>IF(((Q44)=TRUE),  I44,  "")</f>
      </c>
      <c r="T44" s="3" t="s">
        <v>6001</v>
      </c>
    </row>
    <row r="45">
      <c r="A45" s="3" t="s">
        <v>6068</v>
      </c>
      <c r="B45" s="4" t="str">
        <f>C45 &amp; ": " &amp; D45</f>
        <v>structural: ReviewEvents</v>
      </c>
      <c r="C45" s="3" t="s">
        <v>5997</v>
      </c>
      <c r="D45" s="3" t="s">
        <v>3988</v>
      </c>
      <c r="E45" s="3" t="s">
        <v>3988</v>
      </c>
      <c r="F45" s="3"/>
      <c r="G45" s="3" t="s">
        <v>5998</v>
      </c>
      <c r="H45" s="3"/>
      <c r="I45" s="3" t="s">
        <v>5983</v>
      </c>
      <c r="J45" s="3" t="s">
        <v>5999</v>
      </c>
      <c r="K45" s="4" t="b">
        <f>J45 = "blocking"</f>
        <v>1</v>
      </c>
      <c r="L45" s="3" t="s">
        <v>1448</v>
      </c>
      <c r="M45" s="3" t="s">
        <v>6069</v>
      </c>
      <c r="N45" s="5">
        <v>46223.1297337963</v>
      </c>
      <c r="O45" s="4" t="b">
        <f>L45 = "PASS"</f>
        <v>1</v>
      </c>
      <c r="P45" s="4" t="b">
        <f>L45 = "FAIL"</f>
        <v>0</v>
      </c>
      <c r="Q45" s="4" t="b">
        <f>AND(((P45)=TRUE), ((K45)=TRUE))</f>
        <v>0</v>
      </c>
      <c r="R45" s="4" t="str">
        <f>IF(((O45)=TRUE),  I45,  "")</f>
        <v>suite-structure</v>
      </c>
      <c r="S45" s="4" t="str">
        <f>IF(((Q45)=TRUE),  I45,  "")</f>
      </c>
      <c r="T45" s="3" t="s">
        <v>6001</v>
      </c>
    </row>
    <row r="46">
      <c r="A46" s="3" t="s">
        <v>6070</v>
      </c>
      <c r="B46" s="4" t="str">
        <f>C46 &amp; ": " &amp; D46</f>
        <v>structural: LearningActivities</v>
      </c>
      <c r="C46" s="3" t="s">
        <v>5997</v>
      </c>
      <c r="D46" s="3" t="s">
        <v>4017</v>
      </c>
      <c r="E46" s="3" t="s">
        <v>4017</v>
      </c>
      <c r="F46" s="3"/>
      <c r="G46" s="3" t="s">
        <v>5998</v>
      </c>
      <c r="H46" s="3"/>
      <c r="I46" s="3" t="s">
        <v>5983</v>
      </c>
      <c r="J46" s="3" t="s">
        <v>5999</v>
      </c>
      <c r="K46" s="4" t="b">
        <f>J46 = "blocking"</f>
        <v>1</v>
      </c>
      <c r="L46" s="3" t="s">
        <v>1448</v>
      </c>
      <c r="M46" s="3" t="s">
        <v>6016</v>
      </c>
      <c r="N46" s="5">
        <v>46223.1297337963</v>
      </c>
      <c r="O46" s="4" t="b">
        <f>L46 = "PASS"</f>
        <v>1</v>
      </c>
      <c r="P46" s="4" t="b">
        <f>L46 = "FAIL"</f>
        <v>0</v>
      </c>
      <c r="Q46" s="4" t="b">
        <f>AND(((P46)=TRUE), ((K46)=TRUE))</f>
        <v>0</v>
      </c>
      <c r="R46" s="4" t="str">
        <f>IF(((O46)=TRUE),  I46,  "")</f>
        <v>suite-structure</v>
      </c>
      <c r="S46" s="4" t="str">
        <f>IF(((Q46)=TRUE),  I46,  "")</f>
      </c>
      <c r="T46" s="3" t="s">
        <v>6001</v>
      </c>
    </row>
    <row r="47">
      <c r="A47" s="3" t="s">
        <v>6071</v>
      </c>
      <c r="B47" s="4" t="str">
        <f>C47 &amp; ": " &amp; D47</f>
        <v>structural: OperationalBindings</v>
      </c>
      <c r="C47" s="3" t="s">
        <v>5997</v>
      </c>
      <c r="D47" s="3" t="s">
        <v>1862</v>
      </c>
      <c r="E47" s="3" t="s">
        <v>1862</v>
      </c>
      <c r="F47" s="3"/>
      <c r="G47" s="3" t="s">
        <v>5998</v>
      </c>
      <c r="H47" s="3"/>
      <c r="I47" s="3" t="s">
        <v>5983</v>
      </c>
      <c r="J47" s="3" t="s">
        <v>5999</v>
      </c>
      <c r="K47" s="4" t="b">
        <f>J47 = "blocking"</f>
        <v>1</v>
      </c>
      <c r="L47" s="3" t="s">
        <v>1448</v>
      </c>
      <c r="M47" s="3" t="s">
        <v>6072</v>
      </c>
      <c r="N47" s="5">
        <v>46223.1297337963</v>
      </c>
      <c r="O47" s="4" t="b">
        <f>L47 = "PASS"</f>
        <v>1</v>
      </c>
      <c r="P47" s="4" t="b">
        <f>L47 = "FAIL"</f>
        <v>0</v>
      </c>
      <c r="Q47" s="4" t="b">
        <f>AND(((P47)=TRUE), ((K47)=TRUE))</f>
        <v>0</v>
      </c>
      <c r="R47" s="4" t="str">
        <f>IF(((O47)=TRUE),  I47,  "")</f>
        <v>suite-structure</v>
      </c>
      <c r="S47" s="4" t="str">
        <f>IF(((Q47)=TRUE),  I47,  "")</f>
      </c>
      <c r="T47" s="3" t="s">
        <v>6001</v>
      </c>
    </row>
    <row r="48">
      <c r="A48" s="3" t="s">
        <v>6073</v>
      </c>
      <c r="B48" s="4" t="str">
        <f>C48 &amp; ": " &amp; D48</f>
        <v>structural: CommunicationPolicies</v>
      </c>
      <c r="C48" s="3" t="s">
        <v>5997</v>
      </c>
      <c r="D48" s="3" t="s">
        <v>1865</v>
      </c>
      <c r="E48" s="3" t="s">
        <v>1865</v>
      </c>
      <c r="F48" s="3"/>
      <c r="G48" s="3" t="s">
        <v>5998</v>
      </c>
      <c r="H48" s="3"/>
      <c r="I48" s="3" t="s">
        <v>5983</v>
      </c>
      <c r="J48" s="3" t="s">
        <v>5999</v>
      </c>
      <c r="K48" s="4" t="b">
        <f>J48 = "blocking"</f>
        <v>1</v>
      </c>
      <c r="L48" s="3" t="s">
        <v>1448</v>
      </c>
      <c r="M48" s="3" t="s">
        <v>6072</v>
      </c>
      <c r="N48" s="5">
        <v>46223.1297337963</v>
      </c>
      <c r="O48" s="4" t="b">
        <f>L48 = "PASS"</f>
        <v>1</v>
      </c>
      <c r="P48" s="4" t="b">
        <f>L48 = "FAIL"</f>
        <v>0</v>
      </c>
      <c r="Q48" s="4" t="b">
        <f>AND(((P48)=TRUE), ((K48)=TRUE))</f>
        <v>0</v>
      </c>
      <c r="R48" s="4" t="str">
        <f>IF(((O48)=TRUE),  I48,  "")</f>
        <v>suite-structure</v>
      </c>
      <c r="S48" s="4" t="str">
        <f>IF(((Q48)=TRUE),  I48,  "")</f>
      </c>
      <c r="T48" s="3" t="s">
        <v>6001</v>
      </c>
    </row>
    <row r="49">
      <c r="A49" s="3" t="s">
        <v>6074</v>
      </c>
      <c r="B49" s="4" t="str">
        <f>C49 &amp; ": " &amp; D49</f>
        <v>structural: MessageTemplates</v>
      </c>
      <c r="C49" s="3" t="s">
        <v>5997</v>
      </c>
      <c r="D49" s="3" t="s">
        <v>4087</v>
      </c>
      <c r="E49" s="3" t="s">
        <v>4087</v>
      </c>
      <c r="F49" s="3"/>
      <c r="G49" s="3" t="s">
        <v>5998</v>
      </c>
      <c r="H49" s="3"/>
      <c r="I49" s="3" t="s">
        <v>5983</v>
      </c>
      <c r="J49" s="3" t="s">
        <v>5999</v>
      </c>
      <c r="K49" s="4" t="b">
        <f>J49 = "blocking"</f>
        <v>1</v>
      </c>
      <c r="L49" s="3" t="s">
        <v>1448</v>
      </c>
      <c r="M49" s="3" t="s">
        <v>6075</v>
      </c>
      <c r="N49" s="5">
        <v>46223.1297337963</v>
      </c>
      <c r="O49" s="4" t="b">
        <f>L49 = "PASS"</f>
        <v>1</v>
      </c>
      <c r="P49" s="4" t="b">
        <f>L49 = "FAIL"</f>
        <v>0</v>
      </c>
      <c r="Q49" s="4" t="b">
        <f>AND(((P49)=TRUE), ((K49)=TRUE))</f>
        <v>0</v>
      </c>
      <c r="R49" s="4" t="str">
        <f>IF(((O49)=TRUE),  I49,  "")</f>
        <v>suite-structure</v>
      </c>
      <c r="S49" s="4" t="str">
        <f>IF(((Q49)=TRUE),  I49,  "")</f>
      </c>
      <c r="T49" s="3" t="s">
        <v>6001</v>
      </c>
    </row>
    <row r="50">
      <c r="A50" s="3" t="s">
        <v>6076</v>
      </c>
      <c r="B50" s="4" t="str">
        <f>C50 &amp; ": " &amp; D50</f>
        <v>structural: SemanticMappings</v>
      </c>
      <c r="C50" s="3" t="s">
        <v>5997</v>
      </c>
      <c r="D50" s="3" t="s">
        <v>4130</v>
      </c>
      <c r="E50" s="3" t="s">
        <v>4130</v>
      </c>
      <c r="F50" s="3"/>
      <c r="G50" s="3" t="s">
        <v>5998</v>
      </c>
      <c r="H50" s="3"/>
      <c r="I50" s="3" t="s">
        <v>5983</v>
      </c>
      <c r="J50" s="3" t="s">
        <v>5999</v>
      </c>
      <c r="K50" s="4" t="b">
        <f>J50 = "blocking"</f>
        <v>1</v>
      </c>
      <c r="L50" s="3" t="s">
        <v>1448</v>
      </c>
      <c r="M50" s="3" t="s">
        <v>6003</v>
      </c>
      <c r="N50" s="5">
        <v>46223.1297337963</v>
      </c>
      <c r="O50" s="4" t="b">
        <f>L50 = "PASS"</f>
        <v>1</v>
      </c>
      <c r="P50" s="4" t="b">
        <f>L50 = "FAIL"</f>
        <v>0</v>
      </c>
      <c r="Q50" s="4" t="b">
        <f>AND(((P50)=TRUE), ((K50)=TRUE))</f>
        <v>0</v>
      </c>
      <c r="R50" s="4" t="str">
        <f>IF(((O50)=TRUE),  I50,  "")</f>
        <v>suite-structure</v>
      </c>
      <c r="S50" s="4" t="str">
        <f>IF(((Q50)=TRUE),  I50,  "")</f>
      </c>
      <c r="T50" s="3" t="s">
        <v>6001</v>
      </c>
    </row>
    <row r="51">
      <c r="A51" s="3" t="s">
        <v>6077</v>
      </c>
      <c r="B51" s="4" t="str">
        <f>C51 &amp; ": " &amp; D51</f>
        <v>structural: WitnessLoops</v>
      </c>
      <c r="C51" s="3" t="s">
        <v>5997</v>
      </c>
      <c r="D51" s="3" t="s">
        <v>4140</v>
      </c>
      <c r="E51" s="3" t="s">
        <v>4140</v>
      </c>
      <c r="F51" s="3"/>
      <c r="G51" s="3" t="s">
        <v>5998</v>
      </c>
      <c r="H51" s="3"/>
      <c r="I51" s="3" t="s">
        <v>5983</v>
      </c>
      <c r="J51" s="3" t="s">
        <v>5999</v>
      </c>
      <c r="K51" s="4" t="b">
        <f>J51 = "blocking"</f>
        <v>1</v>
      </c>
      <c r="L51" s="3" t="s">
        <v>1448</v>
      </c>
      <c r="M51" s="3" t="s">
        <v>6039</v>
      </c>
      <c r="N51" s="5">
        <v>46223.1297337963</v>
      </c>
      <c r="O51" s="4" t="b">
        <f>L51 = "PASS"</f>
        <v>1</v>
      </c>
      <c r="P51" s="4" t="b">
        <f>L51 = "FAIL"</f>
        <v>0</v>
      </c>
      <c r="Q51" s="4" t="b">
        <f>AND(((P51)=TRUE), ((K51)=TRUE))</f>
        <v>0</v>
      </c>
      <c r="R51" s="4" t="str">
        <f>IF(((O51)=TRUE),  I51,  "")</f>
        <v>suite-structure</v>
      </c>
      <c r="S51" s="4" t="str">
        <f>IF(((Q51)=TRUE),  I51,  "")</f>
      </c>
      <c r="T51" s="3" t="s">
        <v>6001</v>
      </c>
    </row>
    <row r="52">
      <c r="A52" s="3" t="s">
        <v>6078</v>
      </c>
      <c r="B52" s="4" t="str">
        <f>C52 &amp; ": " &amp; D52</f>
        <v>structural: RoleQuestions</v>
      </c>
      <c r="C52" s="3" t="s">
        <v>5997</v>
      </c>
      <c r="D52" s="3" t="s">
        <v>4157</v>
      </c>
      <c r="E52" s="3" t="s">
        <v>4157</v>
      </c>
      <c r="F52" s="3"/>
      <c r="G52" s="3" t="s">
        <v>5998</v>
      </c>
      <c r="H52" s="3"/>
      <c r="I52" s="3" t="s">
        <v>5983</v>
      </c>
      <c r="J52" s="3" t="s">
        <v>5999</v>
      </c>
      <c r="K52" s="4" t="b">
        <f>J52 = "blocking"</f>
        <v>1</v>
      </c>
      <c r="L52" s="3" t="s">
        <v>1448</v>
      </c>
      <c r="M52" s="3" t="s">
        <v>6000</v>
      </c>
      <c r="N52" s="5">
        <v>46223.1297337963</v>
      </c>
      <c r="O52" s="4" t="b">
        <f>L52 = "PASS"</f>
        <v>1</v>
      </c>
      <c r="P52" s="4" t="b">
        <f>L52 = "FAIL"</f>
        <v>0</v>
      </c>
      <c r="Q52" s="4" t="b">
        <f>AND(((P52)=TRUE), ((K52)=TRUE))</f>
        <v>0</v>
      </c>
      <c r="R52" s="4" t="str">
        <f>IF(((O52)=TRUE),  I52,  "")</f>
        <v>suite-structure</v>
      </c>
      <c r="S52" s="4" t="str">
        <f>IF(((Q52)=TRUE),  I52,  "")</f>
      </c>
      <c r="T52" s="3" t="s">
        <v>6001</v>
      </c>
    </row>
    <row r="53">
      <c r="A53" s="3" t="s">
        <v>6079</v>
      </c>
      <c r="B53" s="4" t="str">
        <f>C53 &amp; ": " &amp; D53</f>
        <v>structural: RulebookFields</v>
      </c>
      <c r="C53" s="3" t="s">
        <v>5997</v>
      </c>
      <c r="D53" s="3" t="s">
        <v>4172</v>
      </c>
      <c r="E53" s="3" t="s">
        <v>4172</v>
      </c>
      <c r="F53" s="3"/>
      <c r="G53" s="3" t="s">
        <v>5998</v>
      </c>
      <c r="H53" s="3"/>
      <c r="I53" s="3" t="s">
        <v>5983</v>
      </c>
      <c r="J53" s="3" t="s">
        <v>5999</v>
      </c>
      <c r="K53" s="4" t="b">
        <f>J53 = "blocking"</f>
        <v>1</v>
      </c>
      <c r="L53" s="3" t="s">
        <v>1448</v>
      </c>
      <c r="M53" s="3" t="s">
        <v>6000</v>
      </c>
      <c r="N53" s="5">
        <v>46223.1297337963</v>
      </c>
      <c r="O53" s="4" t="b">
        <f>L53 = "PASS"</f>
        <v>1</v>
      </c>
      <c r="P53" s="4" t="b">
        <f>L53 = "FAIL"</f>
        <v>0</v>
      </c>
      <c r="Q53" s="4" t="b">
        <f>AND(((P53)=TRUE), ((K53)=TRUE))</f>
        <v>0</v>
      </c>
      <c r="R53" s="4" t="str">
        <f>IF(((O53)=TRUE),  I53,  "")</f>
        <v>suite-structure</v>
      </c>
      <c r="S53" s="4" t="str">
        <f>IF(((Q53)=TRUE),  I53,  "")</f>
      </c>
      <c r="T53" s="3" t="s">
        <v>6001</v>
      </c>
    </row>
    <row r="54">
      <c r="A54" s="3" t="s">
        <v>6080</v>
      </c>
      <c r="B54" s="4" t="str">
        <f>C54 &amp; ": " &amp; D54</f>
        <v>structural: TestSuites</v>
      </c>
      <c r="C54" s="3" t="s">
        <v>5997</v>
      </c>
      <c r="D54" s="3" t="s">
        <v>4191</v>
      </c>
      <c r="E54" s="3" t="s">
        <v>4191</v>
      </c>
      <c r="F54" s="3"/>
      <c r="G54" s="3" t="s">
        <v>5998</v>
      </c>
      <c r="H54" s="3"/>
      <c r="I54" s="3" t="s">
        <v>5983</v>
      </c>
      <c r="J54" s="3" t="s">
        <v>5999</v>
      </c>
      <c r="K54" s="4" t="b">
        <f>J54 = "blocking"</f>
        <v>1</v>
      </c>
      <c r="L54" s="3" t="s">
        <v>1448</v>
      </c>
      <c r="M54" s="3" t="s">
        <v>6003</v>
      </c>
      <c r="N54" s="5">
        <v>46223.1297337963</v>
      </c>
      <c r="O54" s="4" t="b">
        <f>L54 = "PASS"</f>
        <v>1</v>
      </c>
      <c r="P54" s="4" t="b">
        <f>L54 = "FAIL"</f>
        <v>0</v>
      </c>
      <c r="Q54" s="4" t="b">
        <f>AND(((P54)=TRUE), ((K54)=TRUE))</f>
        <v>0</v>
      </c>
      <c r="R54" s="4" t="str">
        <f>IF(((O54)=TRUE),  I54,  "")</f>
        <v>suite-structure</v>
      </c>
      <c r="S54" s="4" t="str">
        <f>IF(((Q54)=TRUE),  I54,  "")</f>
      </c>
      <c r="T54" s="3" t="s">
        <v>6001</v>
      </c>
    </row>
    <row r="55">
      <c r="A55" s="3" t="s">
        <v>6081</v>
      </c>
      <c r="B55" s="4" t="str">
        <f>C55 &amp; ": " &amp; D55</f>
        <v>structural: TestCases</v>
      </c>
      <c r="C55" s="3" t="s">
        <v>5997</v>
      </c>
      <c r="D55" s="3" t="s">
        <v>4209</v>
      </c>
      <c r="E55" s="3" t="s">
        <v>4209</v>
      </c>
      <c r="F55" s="3"/>
      <c r="G55" s="3" t="s">
        <v>5998</v>
      </c>
      <c r="H55" s="3"/>
      <c r="I55" s="3" t="s">
        <v>5983</v>
      </c>
      <c r="J55" s="3" t="s">
        <v>5999</v>
      </c>
      <c r="K55" s="4" t="b">
        <f>J55 = "blocking"</f>
        <v>1</v>
      </c>
      <c r="L55" s="3" t="s">
        <v>1448</v>
      </c>
      <c r="M55" s="3" t="s">
        <v>6069</v>
      </c>
      <c r="N55" s="5">
        <v>46223.1297337963</v>
      </c>
      <c r="O55" s="4" t="b">
        <f>L55 = "PASS"</f>
        <v>1</v>
      </c>
      <c r="P55" s="4" t="b">
        <f>L55 = "FAIL"</f>
        <v>0</v>
      </c>
      <c r="Q55" s="4" t="b">
        <f>AND(((P55)=TRUE), ((K55)=TRUE))</f>
        <v>0</v>
      </c>
      <c r="R55" s="4" t="str">
        <f>IF(((O55)=TRUE),  I55,  "")</f>
        <v>suite-structure</v>
      </c>
      <c r="S55" s="4" t="str">
        <f>IF(((Q55)=TRUE),  I55,  "")</f>
      </c>
      <c r="T55" s="3" t="s">
        <v>6001</v>
      </c>
    </row>
    <row r="56">
      <c r="A56" s="3" t="s">
        <v>6082</v>
      </c>
      <c r="B56" s="4" t="str">
        <f>C56 &amp; ": " &amp; D56</f>
        <v>structural: ERBVersions</v>
      </c>
      <c r="C56" s="3" t="s">
        <v>5997</v>
      </c>
      <c r="D56" s="3" t="s">
        <v>4252</v>
      </c>
      <c r="E56" s="3" t="s">
        <v>4252</v>
      </c>
      <c r="F56" s="3"/>
      <c r="G56" s="3" t="s">
        <v>5998</v>
      </c>
      <c r="H56" s="3"/>
      <c r="I56" s="3" t="s">
        <v>5983</v>
      </c>
      <c r="J56" s="3" t="s">
        <v>5999</v>
      </c>
      <c r="K56" s="4" t="b">
        <f>J56 = "blocking"</f>
        <v>1</v>
      </c>
      <c r="L56" s="3" t="s">
        <v>1448</v>
      </c>
      <c r="M56" s="3" t="s">
        <v>6005</v>
      </c>
      <c r="N56" s="5">
        <v>46223.1297337963</v>
      </c>
      <c r="O56" s="4" t="b">
        <f>L56 = "PASS"</f>
        <v>1</v>
      </c>
      <c r="P56" s="4" t="b">
        <f>L56 = "FAIL"</f>
        <v>0</v>
      </c>
      <c r="Q56" s="4" t="b">
        <f>AND(((P56)=TRUE), ((K56)=TRUE))</f>
        <v>0</v>
      </c>
      <c r="R56" s="4" t="str">
        <f>IF(((O56)=TRUE),  I56,  "")</f>
        <v>suite-structure</v>
      </c>
      <c r="S56" s="4" t="str">
        <f>IF(((Q56)=TRUE),  I56,  "")</f>
      </c>
      <c r="T56" s="3" t="s">
        <v>6001</v>
      </c>
    </row>
    <row r="57">
      <c r="A57" s="3" t="s">
        <v>6083</v>
      </c>
      <c r="B57" s="4" t="str">
        <f>C57 &amp; ": " &amp; D57</f>
        <v>structural: ERBCustomizations</v>
      </c>
      <c r="C57" s="3" t="s">
        <v>5997</v>
      </c>
      <c r="D57" s="3" t="s">
        <v>4265</v>
      </c>
      <c r="E57" s="3" t="s">
        <v>4265</v>
      </c>
      <c r="F57" s="3"/>
      <c r="G57" s="3" t="s">
        <v>5998</v>
      </c>
      <c r="H57" s="3"/>
      <c r="I57" s="3" t="s">
        <v>5983</v>
      </c>
      <c r="J57" s="3" t="s">
        <v>5999</v>
      </c>
      <c r="K57" s="4" t="b">
        <f>J57 = "blocking"</f>
        <v>1</v>
      </c>
      <c r="L57" s="3" t="s">
        <v>1448</v>
      </c>
      <c r="M57" s="3" t="s">
        <v>6007</v>
      </c>
      <c r="N57" s="5">
        <v>46223.1297337963</v>
      </c>
      <c r="O57" s="4" t="b">
        <f>L57 = "PASS"</f>
        <v>1</v>
      </c>
      <c r="P57" s="4" t="b">
        <f>L57 = "FAIL"</f>
        <v>0</v>
      </c>
      <c r="Q57" s="4" t="b">
        <f>AND(((P57)=TRUE), ((K57)=TRUE))</f>
        <v>0</v>
      </c>
      <c r="R57" s="4" t="str">
        <f>IF(((O57)=TRUE),  I57,  "")</f>
        <v>suite-structure</v>
      </c>
      <c r="S57" s="4" t="str">
        <f>IF(((Q57)=TRUE),  I57,  "")</f>
      </c>
      <c r="T57" s="3" t="s">
        <v>6001</v>
      </c>
    </row>
    <row r="58">
      <c r="A58" s="3" t="s">
        <v>6084</v>
      </c>
      <c r="B58" s="4" t="str">
        <f>C58 &amp; ": " &amp; D58</f>
        <v>structural: __meta__</v>
      </c>
      <c r="C58" s="3" t="s">
        <v>5997</v>
      </c>
      <c r="D58" s="3" t="s">
        <v>4276</v>
      </c>
      <c r="E58" s="3" t="s">
        <v>4276</v>
      </c>
      <c r="F58" s="3"/>
      <c r="G58" s="3" t="s">
        <v>5998</v>
      </c>
      <c r="H58" s="3"/>
      <c r="I58" s="3" t="s">
        <v>5983</v>
      </c>
      <c r="J58" s="3" t="s">
        <v>5999</v>
      </c>
      <c r="K58" s="4" t="b">
        <f>J58 = "blocking"</f>
        <v>1</v>
      </c>
      <c r="L58" s="3" t="s">
        <v>1448</v>
      </c>
      <c r="M58" s="3" t="s">
        <v>6018</v>
      </c>
      <c r="N58" s="5">
        <v>46223.1297337963</v>
      </c>
      <c r="O58" s="4" t="b">
        <f>L58 = "PASS"</f>
        <v>1</v>
      </c>
      <c r="P58" s="4" t="b">
        <f>L58 = "FAIL"</f>
        <v>0</v>
      </c>
      <c r="Q58" s="4" t="b">
        <f>AND(((P58)=TRUE), ((K58)=TRUE))</f>
        <v>0</v>
      </c>
      <c r="R58" s="4" t="str">
        <f>IF(((O58)=TRUE),  I58,  "")</f>
        <v>suite-structure</v>
      </c>
      <c r="S58" s="4" t="str">
        <f>IF(((Q58)=TRUE),  I58,  "")</f>
      </c>
      <c r="T58" s="3" t="s">
        <v>6001</v>
      </c>
    </row>
    <row r="59">
      <c r="A59" s="3" t="s">
        <v>6085</v>
      </c>
      <c r="B59" s="4" t="str">
        <f>C59 &amp; ": " &amp; D59</f>
        <v>structural: ExceptionInvocations</v>
      </c>
      <c r="C59" s="3" t="s">
        <v>5997</v>
      </c>
      <c r="D59" s="3" t="s">
        <v>4287</v>
      </c>
      <c r="E59" s="3" t="s">
        <v>4287</v>
      </c>
      <c r="F59" s="3"/>
      <c r="G59" s="3" t="s">
        <v>5998</v>
      </c>
      <c r="H59" s="3"/>
      <c r="I59" s="3" t="s">
        <v>5983</v>
      </c>
      <c r="J59" s="3" t="s">
        <v>5999</v>
      </c>
      <c r="K59" s="4" t="b">
        <f>J59 = "blocking"</f>
        <v>1</v>
      </c>
      <c r="L59" s="3" t="s">
        <v>1448</v>
      </c>
      <c r="M59" s="3" t="s">
        <v>6046</v>
      </c>
      <c r="N59" s="5">
        <v>46223.1297337963</v>
      </c>
      <c r="O59" s="4" t="b">
        <f>L59 = "PASS"</f>
        <v>1</v>
      </c>
      <c r="P59" s="4" t="b">
        <f>L59 = "FAIL"</f>
        <v>0</v>
      </c>
      <c r="Q59" s="4" t="b">
        <f>AND(((P59)=TRUE), ((K59)=TRUE))</f>
        <v>0</v>
      </c>
      <c r="R59" s="4" t="str">
        <f>IF(((O59)=TRUE),  I59,  "")</f>
        <v>suite-structure</v>
      </c>
      <c r="S59" s="4" t="str">
        <f>IF(((Q59)=TRUE),  I59,  "")</f>
      </c>
      <c r="T59" s="3" t="s">
        <v>6001</v>
      </c>
    </row>
    <row r="60">
      <c r="A60" s="3" t="s">
        <v>6086</v>
      </c>
      <c r="B60" s="4" t="str">
        <f>C60 &amp; ": " &amp; D60</f>
        <v>structural: VerificationOutcomes</v>
      </c>
      <c r="C60" s="3" t="s">
        <v>5997</v>
      </c>
      <c r="D60" s="3" t="s">
        <v>4337</v>
      </c>
      <c r="E60" s="3" t="s">
        <v>4337</v>
      </c>
      <c r="F60" s="3"/>
      <c r="G60" s="3" t="s">
        <v>5998</v>
      </c>
      <c r="H60" s="3"/>
      <c r="I60" s="3" t="s">
        <v>5983</v>
      </c>
      <c r="J60" s="3" t="s">
        <v>5999</v>
      </c>
      <c r="K60" s="4" t="b">
        <f>J60 = "blocking"</f>
        <v>1</v>
      </c>
      <c r="L60" s="3" t="s">
        <v>1448</v>
      </c>
      <c r="M60" s="3" t="s">
        <v>6075</v>
      </c>
      <c r="N60" s="5">
        <v>46223.1297337963</v>
      </c>
      <c r="O60" s="4" t="b">
        <f>L60 = "PASS"</f>
        <v>1</v>
      </c>
      <c r="P60" s="4" t="b">
        <f>L60 = "FAIL"</f>
        <v>0</v>
      </c>
      <c r="Q60" s="4" t="b">
        <f>AND(((P60)=TRUE), ((K60)=TRUE))</f>
        <v>0</v>
      </c>
      <c r="R60" s="4" t="str">
        <f>IF(((O60)=TRUE),  I60,  "")</f>
        <v>suite-structure</v>
      </c>
      <c r="S60" s="4" t="str">
        <f>IF(((Q60)=TRUE),  I60,  "")</f>
      </c>
      <c r="T60" s="3" t="s">
        <v>6001</v>
      </c>
    </row>
    <row r="61">
      <c r="A61" s="3" t="s">
        <v>6087</v>
      </c>
      <c r="B61" s="4" t="str">
        <f>C61 &amp; ": " &amp; D61</f>
        <v>structural: ObservedTransitions</v>
      </c>
      <c r="C61" s="3" t="s">
        <v>5997</v>
      </c>
      <c r="D61" s="3" t="s">
        <v>4398</v>
      </c>
      <c r="E61" s="3" t="s">
        <v>4398</v>
      </c>
      <c r="F61" s="3"/>
      <c r="G61" s="3" t="s">
        <v>5998</v>
      </c>
      <c r="H61" s="3"/>
      <c r="I61" s="3" t="s">
        <v>5983</v>
      </c>
      <c r="J61" s="3" t="s">
        <v>5999</v>
      </c>
      <c r="K61" s="4" t="b">
        <f>J61 = "blocking"</f>
        <v>1</v>
      </c>
      <c r="L61" s="3" t="s">
        <v>1448</v>
      </c>
      <c r="M61" s="3" t="s">
        <v>6003</v>
      </c>
      <c r="N61" s="5">
        <v>46223.1297337963</v>
      </c>
      <c r="O61" s="4" t="b">
        <f>L61 = "PASS"</f>
        <v>1</v>
      </c>
      <c r="P61" s="4" t="b">
        <f>L61 = "FAIL"</f>
        <v>0</v>
      </c>
      <c r="Q61" s="4" t="b">
        <f>AND(((P61)=TRUE), ((K61)=TRUE))</f>
        <v>0</v>
      </c>
      <c r="R61" s="4" t="str">
        <f>IF(((O61)=TRUE),  I61,  "")</f>
        <v>suite-structure</v>
      </c>
      <c r="S61" s="4" t="str">
        <f>IF(((Q61)=TRUE),  I61,  "")</f>
      </c>
      <c r="T61" s="3" t="s">
        <v>6001</v>
      </c>
    </row>
    <row r="62">
      <c r="A62" s="3" t="s">
        <v>6088</v>
      </c>
      <c r="B62" s="4" t="str">
        <f>C62 &amp; ": " &amp; D62</f>
        <v>structural: Recipients</v>
      </c>
      <c r="C62" s="3" t="s">
        <v>5997</v>
      </c>
      <c r="D62" s="3" t="s">
        <v>4412</v>
      </c>
      <c r="E62" s="3" t="s">
        <v>4412</v>
      </c>
      <c r="F62" s="3"/>
      <c r="G62" s="3" t="s">
        <v>5998</v>
      </c>
      <c r="H62" s="3"/>
      <c r="I62" s="3" t="s">
        <v>5983</v>
      </c>
      <c r="J62" s="3" t="s">
        <v>5999</v>
      </c>
      <c r="K62" s="4" t="b">
        <f>J62 = "blocking"</f>
        <v>1</v>
      </c>
      <c r="L62" s="3" t="s">
        <v>1448</v>
      </c>
      <c r="M62" s="3" t="s">
        <v>6089</v>
      </c>
      <c r="N62" s="5">
        <v>46223.1297337963</v>
      </c>
      <c r="O62" s="4" t="b">
        <f>L62 = "PASS"</f>
        <v>1</v>
      </c>
      <c r="P62" s="4" t="b">
        <f>L62 = "FAIL"</f>
        <v>0</v>
      </c>
      <c r="Q62" s="4" t="b">
        <f>AND(((P62)=TRUE), ((K62)=TRUE))</f>
        <v>0</v>
      </c>
      <c r="R62" s="4" t="str">
        <f>IF(((O62)=TRUE),  I62,  "")</f>
        <v>suite-structure</v>
      </c>
      <c r="S62" s="4" t="str">
        <f>IF(((Q62)=TRUE),  I62,  "")</f>
      </c>
      <c r="T62" s="3" t="s">
        <v>6001</v>
      </c>
    </row>
    <row r="63">
      <c r="A63" s="3" t="s">
        <v>6090</v>
      </c>
      <c r="B63" s="4" t="str">
        <f>C63 &amp; ": " &amp; D63</f>
        <v>structural: MessageDeliveries</v>
      </c>
      <c r="C63" s="3" t="s">
        <v>5997</v>
      </c>
      <c r="D63" s="3" t="s">
        <v>4444</v>
      </c>
      <c r="E63" s="3" t="s">
        <v>4444</v>
      </c>
      <c r="F63" s="3"/>
      <c r="G63" s="3" t="s">
        <v>5998</v>
      </c>
      <c r="H63" s="3"/>
      <c r="I63" s="3" t="s">
        <v>5983</v>
      </c>
      <c r="J63" s="3" t="s">
        <v>5999</v>
      </c>
      <c r="K63" s="4" t="b">
        <f>J63 = "blocking"</f>
        <v>1</v>
      </c>
      <c r="L63" s="3" t="s">
        <v>1448</v>
      </c>
      <c r="M63" s="3" t="s">
        <v>6091</v>
      </c>
      <c r="N63" s="5">
        <v>46223.1297337963</v>
      </c>
      <c r="O63" s="4" t="b">
        <f>L63 = "PASS"</f>
        <v>1</v>
      </c>
      <c r="P63" s="4" t="b">
        <f>L63 = "FAIL"</f>
        <v>0</v>
      </c>
      <c r="Q63" s="4" t="b">
        <f>AND(((P63)=TRUE), ((K63)=TRUE))</f>
        <v>0</v>
      </c>
      <c r="R63" s="4" t="str">
        <f>IF(((O63)=TRUE),  I63,  "")</f>
        <v>suite-structure</v>
      </c>
      <c r="S63" s="4" t="str">
        <f>IF(((Q63)=TRUE),  I63,  "")</f>
      </c>
      <c r="T63" s="3" t="s">
        <v>6001</v>
      </c>
    </row>
    <row r="64">
      <c r="A64" s="3" t="s">
        <v>6092</v>
      </c>
      <c r="B64" s="4" t="str">
        <f>C64 &amp; ": " &amp; D64</f>
        <v>structural: TemplateApprovals</v>
      </c>
      <c r="C64" s="3" t="s">
        <v>5997</v>
      </c>
      <c r="D64" s="3" t="s">
        <v>4698</v>
      </c>
      <c r="E64" s="3" t="s">
        <v>4698</v>
      </c>
      <c r="F64" s="3"/>
      <c r="G64" s="3" t="s">
        <v>5998</v>
      </c>
      <c r="H64" s="3"/>
      <c r="I64" s="3" t="s">
        <v>5983</v>
      </c>
      <c r="J64" s="3" t="s">
        <v>5999</v>
      </c>
      <c r="K64" s="4" t="b">
        <f>J64 = "blocking"</f>
        <v>1</v>
      </c>
      <c r="L64" s="3" t="s">
        <v>1448</v>
      </c>
      <c r="M64" s="3" t="s">
        <v>6089</v>
      </c>
      <c r="N64" s="5">
        <v>46223.1297337963</v>
      </c>
      <c r="O64" s="4" t="b">
        <f>L64 = "PASS"</f>
        <v>1</v>
      </c>
      <c r="P64" s="4" t="b">
        <f>L64 = "FAIL"</f>
        <v>0</v>
      </c>
      <c r="Q64" s="4" t="b">
        <f>AND(((P64)=TRUE), ((K64)=TRUE))</f>
        <v>0</v>
      </c>
      <c r="R64" s="4" t="str">
        <f>IF(((O64)=TRUE),  I64,  "")</f>
        <v>suite-structure</v>
      </c>
      <c r="S64" s="4" t="str">
        <f>IF(((Q64)=TRUE),  I64,  "")</f>
      </c>
      <c r="T64" s="3" t="s">
        <v>6001</v>
      </c>
    </row>
    <row r="65">
      <c r="A65" s="3" t="s">
        <v>6093</v>
      </c>
      <c r="B65" s="4" t="str">
        <f>C65 &amp; ": " &amp; D65</f>
        <v>structural: SendIntents</v>
      </c>
      <c r="C65" s="3" t="s">
        <v>5997</v>
      </c>
      <c r="D65" s="3" t="s">
        <v>4728</v>
      </c>
      <c r="E65" s="3" t="s">
        <v>4728</v>
      </c>
      <c r="F65" s="3"/>
      <c r="G65" s="3" t="s">
        <v>5998</v>
      </c>
      <c r="H65" s="3"/>
      <c r="I65" s="3" t="s">
        <v>5983</v>
      </c>
      <c r="J65" s="3" t="s">
        <v>5999</v>
      </c>
      <c r="K65" s="4" t="b">
        <f>J65 = "blocking"</f>
        <v>1</v>
      </c>
      <c r="L65" s="3" t="s">
        <v>1448</v>
      </c>
      <c r="M65" s="3" t="s">
        <v>6094</v>
      </c>
      <c r="N65" s="5">
        <v>46223.1297337963</v>
      </c>
      <c r="O65" s="4" t="b">
        <f>L65 = "PASS"</f>
        <v>1</v>
      </c>
      <c r="P65" s="4" t="b">
        <f>L65 = "FAIL"</f>
        <v>0</v>
      </c>
      <c r="Q65" s="4" t="b">
        <f>AND(((P65)=TRUE), ((K65)=TRUE))</f>
        <v>0</v>
      </c>
      <c r="R65" s="4" t="str">
        <f>IF(((O65)=TRUE),  I65,  "")</f>
        <v>suite-structure</v>
      </c>
      <c r="S65" s="4" t="str">
        <f>IF(((Q65)=TRUE),  I65,  "")</f>
      </c>
      <c r="T65" s="3" t="s">
        <v>6001</v>
      </c>
    </row>
    <row r="66">
      <c r="A66" s="3" t="s">
        <v>6095</v>
      </c>
      <c r="B66" s="4" t="str">
        <f>C66 &amp; ": " &amp; D66</f>
        <v>structural: AgentDecisionRecords</v>
      </c>
      <c r="C66" s="3" t="s">
        <v>5997</v>
      </c>
      <c r="D66" s="3" t="s">
        <v>4994</v>
      </c>
      <c r="E66" s="3" t="s">
        <v>4994</v>
      </c>
      <c r="F66" s="3"/>
      <c r="G66" s="3" t="s">
        <v>5998</v>
      </c>
      <c r="H66" s="3"/>
      <c r="I66" s="3" t="s">
        <v>5983</v>
      </c>
      <c r="J66" s="3" t="s">
        <v>5999</v>
      </c>
      <c r="K66" s="4" t="b">
        <f>J66 = "blocking"</f>
        <v>1</v>
      </c>
      <c r="L66" s="3" t="s">
        <v>1448</v>
      </c>
      <c r="M66" s="3" t="s">
        <v>6096</v>
      </c>
      <c r="N66" s="5">
        <v>46223.1297337963</v>
      </c>
      <c r="O66" s="4" t="b">
        <f>L66 = "PASS"</f>
        <v>1</v>
      </c>
      <c r="P66" s="4" t="b">
        <f>L66 = "FAIL"</f>
        <v>0</v>
      </c>
      <c r="Q66" s="4" t="b">
        <f>AND(((P66)=TRUE), ((K66)=TRUE))</f>
        <v>0</v>
      </c>
      <c r="R66" s="4" t="str">
        <f>IF(((O66)=TRUE),  I66,  "")</f>
        <v>suite-structure</v>
      </c>
      <c r="S66" s="4" t="str">
        <f>IF(((Q66)=TRUE),  I66,  "")</f>
      </c>
      <c r="T66" s="3" t="s">
        <v>6001</v>
      </c>
    </row>
    <row r="67">
      <c r="A67" s="3" t="s">
        <v>6097</v>
      </c>
      <c r="B67" s="4" t="str">
        <f>C67 &amp; ": " &amp; D67</f>
        <v>structural: DeliveredCommunications</v>
      </c>
      <c r="C67" s="3" t="s">
        <v>5997</v>
      </c>
      <c r="D67" s="3" t="s">
        <v>5095</v>
      </c>
      <c r="E67" s="3" t="s">
        <v>5095</v>
      </c>
      <c r="F67" s="3"/>
      <c r="G67" s="3" t="s">
        <v>5998</v>
      </c>
      <c r="H67" s="3"/>
      <c r="I67" s="3" t="s">
        <v>5983</v>
      </c>
      <c r="J67" s="3" t="s">
        <v>5999</v>
      </c>
      <c r="K67" s="4" t="b">
        <f>J67 = "blocking"</f>
        <v>1</v>
      </c>
      <c r="L67" s="3" t="s">
        <v>1448</v>
      </c>
      <c r="M67" s="3" t="s">
        <v>6098</v>
      </c>
      <c r="N67" s="5">
        <v>46223.1297337963</v>
      </c>
      <c r="O67" s="4" t="b">
        <f>L67 = "PASS"</f>
        <v>1</v>
      </c>
      <c r="P67" s="4" t="b">
        <f>L67 = "FAIL"</f>
        <v>0</v>
      </c>
      <c r="Q67" s="4" t="b">
        <f>AND(((P67)=TRUE), ((K67)=TRUE))</f>
        <v>0</v>
      </c>
      <c r="R67" s="4" t="str">
        <f>IF(((O67)=TRUE),  I67,  "")</f>
        <v>suite-structure</v>
      </c>
      <c r="S67" s="4" t="str">
        <f>IF(((Q67)=TRUE),  I67,  "")</f>
      </c>
      <c r="T67" s="3" t="s">
        <v>6001</v>
      </c>
    </row>
    <row r="68">
      <c r="A68" s="3" t="s">
        <v>6099</v>
      </c>
      <c r="B68" s="4" t="str">
        <f>C68 &amp; ": " &amp; D68</f>
        <v>structural: AuthorityBoundaries</v>
      </c>
      <c r="C68" s="3" t="s">
        <v>5997</v>
      </c>
      <c r="D68" s="3" t="s">
        <v>5131</v>
      </c>
      <c r="E68" s="3" t="s">
        <v>5131</v>
      </c>
      <c r="F68" s="3"/>
      <c r="G68" s="3" t="s">
        <v>5998</v>
      </c>
      <c r="H68" s="3"/>
      <c r="I68" s="3" t="s">
        <v>5983</v>
      </c>
      <c r="J68" s="3" t="s">
        <v>5999</v>
      </c>
      <c r="K68" s="4" t="b">
        <f>J68 = "blocking"</f>
        <v>1</v>
      </c>
      <c r="L68" s="3" t="s">
        <v>1448</v>
      </c>
      <c r="M68" s="3" t="s">
        <v>6100</v>
      </c>
      <c r="N68" s="5">
        <v>46223.1297337963</v>
      </c>
      <c r="O68" s="4" t="b">
        <f>L68 = "PASS"</f>
        <v>1</v>
      </c>
      <c r="P68" s="4" t="b">
        <f>L68 = "FAIL"</f>
        <v>0</v>
      </c>
      <c r="Q68" s="4" t="b">
        <f>AND(((P68)=TRUE), ((K68)=TRUE))</f>
        <v>0</v>
      </c>
      <c r="R68" s="4" t="str">
        <f>IF(((O68)=TRUE),  I68,  "")</f>
        <v>suite-structure</v>
      </c>
      <c r="S68" s="4" t="str">
        <f>IF(((Q68)=TRUE),  I68,  "")</f>
      </c>
      <c r="T68" s="3" t="s">
        <v>6001</v>
      </c>
    </row>
    <row r="69">
      <c r="A69" s="3" t="s">
        <v>6101</v>
      </c>
      <c r="B69" s="4" t="str">
        <f>C69 &amp; ": " &amp; D69</f>
        <v>structural: BindingObservations</v>
      </c>
      <c r="C69" s="3" t="s">
        <v>5997</v>
      </c>
      <c r="D69" s="3" t="s">
        <v>5208</v>
      </c>
      <c r="E69" s="3" t="s">
        <v>5208</v>
      </c>
      <c r="F69" s="3"/>
      <c r="G69" s="3" t="s">
        <v>5998</v>
      </c>
      <c r="H69" s="3"/>
      <c r="I69" s="3" t="s">
        <v>5983</v>
      </c>
      <c r="J69" s="3" t="s">
        <v>5999</v>
      </c>
      <c r="K69" s="4" t="b">
        <f>J69 = "blocking"</f>
        <v>1</v>
      </c>
      <c r="L69" s="3" t="s">
        <v>1448</v>
      </c>
      <c r="M69" s="3" t="s">
        <v>6000</v>
      </c>
      <c r="N69" s="5">
        <v>46223.1297337963</v>
      </c>
      <c r="O69" s="4" t="b">
        <f>L69 = "PASS"</f>
        <v>1</v>
      </c>
      <c r="P69" s="4" t="b">
        <f>L69 = "FAIL"</f>
        <v>0</v>
      </c>
      <c r="Q69" s="4" t="b">
        <f>AND(((P69)=TRUE), ((K69)=TRUE))</f>
        <v>0</v>
      </c>
      <c r="R69" s="4" t="str">
        <f>IF(((O69)=TRUE),  I69,  "")</f>
        <v>suite-structure</v>
      </c>
      <c r="S69" s="4" t="str">
        <f>IF(((Q69)=TRUE),  I69,  "")</f>
      </c>
      <c r="T69" s="3" t="s">
        <v>6001</v>
      </c>
    </row>
    <row r="70">
      <c r="A70" s="3" t="s">
        <v>6102</v>
      </c>
      <c r="B70" s="4" t="str">
        <f>C70 &amp; ": " &amp; D70</f>
        <v>structural: Attestations</v>
      </c>
      <c r="C70" s="3" t="s">
        <v>5997</v>
      </c>
      <c r="D70" s="3" t="s">
        <v>5235</v>
      </c>
      <c r="E70" s="3" t="s">
        <v>5235</v>
      </c>
      <c r="F70" s="3"/>
      <c r="G70" s="3" t="s">
        <v>5998</v>
      </c>
      <c r="H70" s="3"/>
      <c r="I70" s="3" t="s">
        <v>5983</v>
      </c>
      <c r="J70" s="3" t="s">
        <v>5999</v>
      </c>
      <c r="K70" s="4" t="b">
        <f>J70 = "blocking"</f>
        <v>1</v>
      </c>
      <c r="L70" s="3" t="s">
        <v>1448</v>
      </c>
      <c r="M70" s="3" t="s">
        <v>6061</v>
      </c>
      <c r="N70" s="5">
        <v>46223.1297337963</v>
      </c>
      <c r="O70" s="4" t="b">
        <f>L70 = "PASS"</f>
        <v>1</v>
      </c>
      <c r="P70" s="4" t="b">
        <f>L70 = "FAIL"</f>
        <v>0</v>
      </c>
      <c r="Q70" s="4" t="b">
        <f>AND(((P70)=TRUE), ((K70)=TRUE))</f>
        <v>0</v>
      </c>
      <c r="R70" s="4" t="str">
        <f>IF(((O70)=TRUE),  I70,  "")</f>
        <v>suite-structure</v>
      </c>
      <c r="S70" s="4" t="str">
        <f>IF(((Q70)=TRUE),  I70,  "")</f>
      </c>
      <c r="T70" s="3" t="s">
        <v>6001</v>
      </c>
    </row>
    <row r="71">
      <c r="A71" s="3" t="s">
        <v>6103</v>
      </c>
      <c r="B71" s="4" t="str">
        <f>C71 &amp; ": " &amp; D71</f>
        <v>formula-translates: RulebookReleases.Name</v>
      </c>
      <c r="C71" s="3" t="s">
        <v>6104</v>
      </c>
      <c r="D71" s="3" t="s">
        <v>2419</v>
      </c>
      <c r="E71" s="3" t="s">
        <v>2415</v>
      </c>
      <c r="F71" s="3" t="s">
        <v>1</v>
      </c>
      <c r="G71" s="3" t="s">
        <v>6105</v>
      </c>
      <c r="H71" s="3"/>
      <c r="I71" s="3" t="s">
        <v>5986</v>
      </c>
      <c r="J71" s="3" t="s">
        <v>5999</v>
      </c>
      <c r="K71" s="4" t="b">
        <f>J71 = "blocking"</f>
        <v>1</v>
      </c>
      <c r="L71" s="3" t="s">
        <v>1448</v>
      </c>
      <c r="M71" s="3" t="s">
        <v>6106</v>
      </c>
      <c r="N71" s="5">
        <v>46223.1297337963</v>
      </c>
      <c r="O71" s="4" t="b">
        <f>L71 = "PASS"</f>
        <v>1</v>
      </c>
      <c r="P71" s="4" t="b">
        <f>L71 = "FAIL"</f>
        <v>0</v>
      </c>
      <c r="Q71" s="4" t="b">
        <f>AND(((P71)=TRUE), ((K71)=TRUE))</f>
        <v>0</v>
      </c>
      <c r="R71" s="4" t="str">
        <f>IF(((O71)=TRUE),  I71,  "")</f>
        <v>suite-substrate</v>
      </c>
      <c r="S71" s="4" t="str">
        <f>IF(((Q71)=TRUE),  I71,  "")</f>
      </c>
      <c r="T71" s="3" t="s">
        <v>6001</v>
      </c>
    </row>
    <row r="72">
      <c r="A72" s="3" t="s">
        <v>6107</v>
      </c>
      <c r="B72" s="4" t="str">
        <f>C72 &amp; ": " &amp; D72</f>
        <v>formula-translates: OntologyProfiles.Name</v>
      </c>
      <c r="C72" s="3" t="s">
        <v>6104</v>
      </c>
      <c r="D72" s="3" t="s">
        <v>2435</v>
      </c>
      <c r="E72" s="3" t="s">
        <v>2434</v>
      </c>
      <c r="F72" s="3" t="s">
        <v>1</v>
      </c>
      <c r="G72" s="3" t="s">
        <v>6105</v>
      </c>
      <c r="H72" s="3"/>
      <c r="I72" s="3" t="s">
        <v>5986</v>
      </c>
      <c r="J72" s="3" t="s">
        <v>5999</v>
      </c>
      <c r="K72" s="4" t="b">
        <f>J72 = "blocking"</f>
        <v>1</v>
      </c>
      <c r="L72" s="3" t="s">
        <v>1448</v>
      </c>
      <c r="M72" s="3" t="s">
        <v>6106</v>
      </c>
      <c r="N72" s="5">
        <v>46223.1297337963</v>
      </c>
      <c r="O72" s="4" t="b">
        <f>L72 = "PASS"</f>
        <v>1</v>
      </c>
      <c r="P72" s="4" t="b">
        <f>L72 = "FAIL"</f>
        <v>0</v>
      </c>
      <c r="Q72" s="4" t="b">
        <f>AND(((P72)=TRUE), ((K72)=TRUE))</f>
        <v>0</v>
      </c>
      <c r="R72" s="4" t="str">
        <f>IF(((O72)=TRUE),  I72,  "")</f>
        <v>suite-substrate</v>
      </c>
      <c r="S72" s="4" t="str">
        <f>IF(((Q72)=TRUE),  I72,  "")</f>
      </c>
      <c r="T72" s="3" t="s">
        <v>6001</v>
      </c>
    </row>
    <row r="73">
      <c r="A73" s="3" t="s">
        <v>6108</v>
      </c>
      <c r="B73" s="4" t="str">
        <f>C73 &amp; ": " &amp; D73</f>
        <v>formula-translates: EvaluationContexts.Name</v>
      </c>
      <c r="C73" s="3" t="s">
        <v>6104</v>
      </c>
      <c r="D73" s="3" t="s">
        <v>2445</v>
      </c>
      <c r="E73" s="3" t="s">
        <v>2444</v>
      </c>
      <c r="F73" s="3" t="s">
        <v>1</v>
      </c>
      <c r="G73" s="3" t="s">
        <v>6105</v>
      </c>
      <c r="H73" s="3"/>
      <c r="I73" s="3" t="s">
        <v>5986</v>
      </c>
      <c r="J73" s="3" t="s">
        <v>5999</v>
      </c>
      <c r="K73" s="4" t="b">
        <f>J73 = "blocking"</f>
        <v>1</v>
      </c>
      <c r="L73" s="3" t="s">
        <v>1448</v>
      </c>
      <c r="M73" s="3" t="s">
        <v>6106</v>
      </c>
      <c r="N73" s="5">
        <v>46223.1297337963</v>
      </c>
      <c r="O73" s="4" t="b">
        <f>L73 = "PASS"</f>
        <v>1</v>
      </c>
      <c r="P73" s="4" t="b">
        <f>L73 = "FAIL"</f>
        <v>0</v>
      </c>
      <c r="Q73" s="4" t="b">
        <f>AND(((P73)=TRUE), ((K73)=TRUE))</f>
        <v>0</v>
      </c>
      <c r="R73" s="4" t="str">
        <f>IF(((O73)=TRUE),  I73,  "")</f>
        <v>suite-substrate</v>
      </c>
      <c r="S73" s="4" t="str">
        <f>IF(((Q73)=TRUE),  I73,  "")</f>
      </c>
      <c r="T73" s="3" t="s">
        <v>6001</v>
      </c>
    </row>
    <row r="74">
      <c r="A74" s="3" t="s">
        <v>6109</v>
      </c>
      <c r="B74" s="4" t="str">
        <f>C74 &amp; ": " &amp; D74</f>
        <v>formula-translates: Organizations.Name</v>
      </c>
      <c r="C74" s="3" t="s">
        <v>6104</v>
      </c>
      <c r="D74" s="3" t="s">
        <v>2454</v>
      </c>
      <c r="E74" s="3" t="s">
        <v>2453</v>
      </c>
      <c r="F74" s="3" t="s">
        <v>1</v>
      </c>
      <c r="G74" s="3" t="s">
        <v>6105</v>
      </c>
      <c r="H74" s="3"/>
      <c r="I74" s="3" t="s">
        <v>5986</v>
      </c>
      <c r="J74" s="3" t="s">
        <v>5999</v>
      </c>
      <c r="K74" s="4" t="b">
        <f>J74 = "blocking"</f>
        <v>1</v>
      </c>
      <c r="L74" s="3" t="s">
        <v>1448</v>
      </c>
      <c r="M74" s="3" t="s">
        <v>6106</v>
      </c>
      <c r="N74" s="5">
        <v>46223.1297337963</v>
      </c>
      <c r="O74" s="4" t="b">
        <f>L74 = "PASS"</f>
        <v>1</v>
      </c>
      <c r="P74" s="4" t="b">
        <f>L74 = "FAIL"</f>
        <v>0</v>
      </c>
      <c r="Q74" s="4" t="b">
        <f>AND(((P74)=TRUE), ((K74)=TRUE))</f>
        <v>0</v>
      </c>
      <c r="R74" s="4" t="str">
        <f>IF(((O74)=TRUE),  I74,  "")</f>
        <v>suite-substrate</v>
      </c>
      <c r="S74" s="4" t="str">
        <f>IF(((Q74)=TRUE),  I74,  "")</f>
      </c>
      <c r="T74" s="3" t="s">
        <v>6001</v>
      </c>
    </row>
    <row r="75">
      <c r="A75" s="3" t="s">
        <v>6110</v>
      </c>
      <c r="B75" s="4" t="str">
        <f>C75 &amp; ": " &amp; D75</f>
        <v>formula-translates: Agents.Name</v>
      </c>
      <c r="C75" s="3" t="s">
        <v>6104</v>
      </c>
      <c r="D75" s="3" t="s">
        <v>2461</v>
      </c>
      <c r="E75" s="3" t="s">
        <v>1814</v>
      </c>
      <c r="F75" s="3" t="s">
        <v>1</v>
      </c>
      <c r="G75" s="3" t="s">
        <v>6105</v>
      </c>
      <c r="H75" s="3"/>
      <c r="I75" s="3" t="s">
        <v>5986</v>
      </c>
      <c r="J75" s="3" t="s">
        <v>5999</v>
      </c>
      <c r="K75" s="4" t="b">
        <f>J75 = "blocking"</f>
        <v>1</v>
      </c>
      <c r="L75" s="3" t="s">
        <v>1448</v>
      </c>
      <c r="M75" s="3" t="s">
        <v>6106</v>
      </c>
      <c r="N75" s="5">
        <v>46223.1297337963</v>
      </c>
      <c r="O75" s="4" t="b">
        <f>L75 = "PASS"</f>
        <v>1</v>
      </c>
      <c r="P75" s="4" t="b">
        <f>L75 = "FAIL"</f>
        <v>0</v>
      </c>
      <c r="Q75" s="4" t="b">
        <f>AND(((P75)=TRUE), ((K75)=TRUE))</f>
        <v>0</v>
      </c>
      <c r="R75" s="4" t="str">
        <f>IF(((O75)=TRUE),  I75,  "")</f>
        <v>suite-substrate</v>
      </c>
      <c r="S75" s="4" t="str">
        <f>IF(((Q75)=TRUE),  I75,  "")</f>
      </c>
      <c r="T75" s="3" t="s">
        <v>6001</v>
      </c>
    </row>
    <row r="76">
      <c r="A76" s="3" t="s">
        <v>6111</v>
      </c>
      <c r="B76" s="4" t="str">
        <f>C76 &amp; ": " &amp; D76</f>
        <v>formula-translates: Agents.CountOfCurrentRoleAssignments</v>
      </c>
      <c r="C76" s="3" t="s">
        <v>6104</v>
      </c>
      <c r="D76" s="3" t="s">
        <v>2468</v>
      </c>
      <c r="E76" s="3" t="s">
        <v>1814</v>
      </c>
      <c r="F76" s="3" t="s">
        <v>124</v>
      </c>
      <c r="G76" s="3" t="s">
        <v>6105</v>
      </c>
      <c r="H76" s="3" t="s">
        <v>2039</v>
      </c>
      <c r="I76" s="3" t="s">
        <v>5986</v>
      </c>
      <c r="J76" s="3" t="s">
        <v>5999</v>
      </c>
      <c r="K76" s="4" t="b">
        <f>J76 = "blocking"</f>
        <v>1</v>
      </c>
      <c r="L76" s="3" t="s">
        <v>1448</v>
      </c>
      <c r="M76" s="3" t="s">
        <v>6106</v>
      </c>
      <c r="N76" s="5">
        <v>46223.1297337963</v>
      </c>
      <c r="O76" s="4" t="b">
        <f>L76 = "PASS"</f>
        <v>1</v>
      </c>
      <c r="P76" s="4" t="b">
        <f>L76 = "FAIL"</f>
        <v>0</v>
      </c>
      <c r="Q76" s="4" t="b">
        <f>AND(((P76)=TRUE), ((K76)=TRUE))</f>
        <v>0</v>
      </c>
      <c r="R76" s="4" t="str">
        <f>IF(((O76)=TRUE),  I76,  "")</f>
        <v>suite-substrate</v>
      </c>
      <c r="S76" s="4" t="str">
        <f>IF(((Q76)=TRUE),  I76,  "")</f>
      </c>
      <c r="T76" s="3" t="s">
        <v>6001</v>
      </c>
    </row>
    <row r="77">
      <c r="A77" s="3" t="s">
        <v>6112</v>
      </c>
      <c r="B77" s="4" t="str">
        <f>C77 &amp; ": " &amp; D77</f>
        <v>formula-translates: Agents.IsStillEngaged</v>
      </c>
      <c r="C77" s="3" t="s">
        <v>6104</v>
      </c>
      <c r="D77" s="3" t="s">
        <v>2472</v>
      </c>
      <c r="E77" s="3" t="s">
        <v>1814</v>
      </c>
      <c r="F77" s="3" t="s">
        <v>125</v>
      </c>
      <c r="G77" s="3" t="s">
        <v>6105</v>
      </c>
      <c r="H77" s="3" t="s">
        <v>2039</v>
      </c>
      <c r="I77" s="3" t="s">
        <v>5986</v>
      </c>
      <c r="J77" s="3" t="s">
        <v>5999</v>
      </c>
      <c r="K77" s="4" t="b">
        <f>J77 = "blocking"</f>
        <v>1</v>
      </c>
      <c r="L77" s="3" t="s">
        <v>1448</v>
      </c>
      <c r="M77" s="3" t="s">
        <v>6106</v>
      </c>
      <c r="N77" s="5">
        <v>46223.1297337963</v>
      </c>
      <c r="O77" s="4" t="b">
        <f>L77 = "PASS"</f>
        <v>1</v>
      </c>
      <c r="P77" s="4" t="b">
        <f>L77 = "FAIL"</f>
        <v>0</v>
      </c>
      <c r="Q77" s="4" t="b">
        <f>AND(((P77)=TRUE), ((K77)=TRUE))</f>
        <v>0</v>
      </c>
      <c r="R77" s="4" t="str">
        <f>IF(((O77)=TRUE),  I77,  "")</f>
        <v>suite-substrate</v>
      </c>
      <c r="S77" s="4" t="str">
        <f>IF(((Q77)=TRUE),  I77,  "")</f>
      </c>
      <c r="T77" s="3" t="s">
        <v>6001</v>
      </c>
    </row>
    <row r="78">
      <c r="A78" s="3" t="s">
        <v>6113</v>
      </c>
      <c r="B78" s="4" t="str">
        <f>C78 &amp; ": " &amp; D78</f>
        <v>formula-translates: Agents.DecisionCount</v>
      </c>
      <c r="C78" s="3" t="s">
        <v>6104</v>
      </c>
      <c r="D78" s="3" t="s">
        <v>2474</v>
      </c>
      <c r="E78" s="3" t="s">
        <v>1814</v>
      </c>
      <c r="F78" s="3" t="s">
        <v>126</v>
      </c>
      <c r="G78" s="3" t="s">
        <v>6105</v>
      </c>
      <c r="H78" s="3" t="s">
        <v>2135</v>
      </c>
      <c r="I78" s="3" t="s">
        <v>5986</v>
      </c>
      <c r="J78" s="3" t="s">
        <v>5999</v>
      </c>
      <c r="K78" s="4" t="b">
        <f>J78 = "blocking"</f>
        <v>1</v>
      </c>
      <c r="L78" s="3" t="s">
        <v>1448</v>
      </c>
      <c r="M78" s="3" t="s">
        <v>6106</v>
      </c>
      <c r="N78" s="5">
        <v>46223.1297337963</v>
      </c>
      <c r="O78" s="4" t="b">
        <f>L78 = "PASS"</f>
        <v>1</v>
      </c>
      <c r="P78" s="4" t="b">
        <f>L78 = "FAIL"</f>
        <v>0</v>
      </c>
      <c r="Q78" s="4" t="b">
        <f>AND(((P78)=TRUE), ((K78)=TRUE))</f>
        <v>0</v>
      </c>
      <c r="R78" s="4" t="str">
        <f>IF(((O78)=TRUE),  I78,  "")</f>
        <v>suite-substrate</v>
      </c>
      <c r="S78" s="4" t="str">
        <f>IF(((Q78)=TRUE),  I78,  "")</f>
      </c>
      <c r="T78" s="3" t="s">
        <v>6001</v>
      </c>
    </row>
    <row r="79">
      <c r="A79" s="3" t="s">
        <v>6114</v>
      </c>
      <c r="B79" s="4" t="str">
        <f>C79 &amp; ": " &amp; D79</f>
        <v>formula-translates: Agents.OverriddenDecisionCount</v>
      </c>
      <c r="C79" s="3" t="s">
        <v>6104</v>
      </c>
      <c r="D79" s="3" t="s">
        <v>2477</v>
      </c>
      <c r="E79" s="3" t="s">
        <v>1814</v>
      </c>
      <c r="F79" s="3" t="s">
        <v>127</v>
      </c>
      <c r="G79" s="3" t="s">
        <v>6105</v>
      </c>
      <c r="H79" s="3" t="s">
        <v>2135</v>
      </c>
      <c r="I79" s="3" t="s">
        <v>5986</v>
      </c>
      <c r="J79" s="3" t="s">
        <v>5999</v>
      </c>
      <c r="K79" s="4" t="b">
        <f>J79 = "blocking"</f>
        <v>1</v>
      </c>
      <c r="L79" s="3" t="s">
        <v>1448</v>
      </c>
      <c r="M79" s="3" t="s">
        <v>6106</v>
      </c>
      <c r="N79" s="5">
        <v>46223.1297337963</v>
      </c>
      <c r="O79" s="4" t="b">
        <f>L79 = "PASS"</f>
        <v>1</v>
      </c>
      <c r="P79" s="4" t="b">
        <f>L79 = "FAIL"</f>
        <v>0</v>
      </c>
      <c r="Q79" s="4" t="b">
        <f>AND(((P79)=TRUE), ((K79)=TRUE))</f>
        <v>0</v>
      </c>
      <c r="R79" s="4" t="str">
        <f>IF(((O79)=TRUE),  I79,  "")</f>
        <v>suite-substrate</v>
      </c>
      <c r="S79" s="4" t="str">
        <f>IF(((Q79)=TRUE),  I79,  "")</f>
      </c>
      <c r="T79" s="3" t="s">
        <v>6001</v>
      </c>
    </row>
    <row r="80">
      <c r="A80" s="3" t="s">
        <v>6115</v>
      </c>
      <c r="B80" s="4" t="str">
        <f>C80 &amp; ": " &amp; D80</f>
        <v>formula-translates: Agents.OverrideRatePercent</v>
      </c>
      <c r="C80" s="3" t="s">
        <v>6104</v>
      </c>
      <c r="D80" s="3" t="s">
        <v>2479</v>
      </c>
      <c r="E80" s="3" t="s">
        <v>1814</v>
      </c>
      <c r="F80" s="3" t="s">
        <v>128</v>
      </c>
      <c r="G80" s="3" t="s">
        <v>6105</v>
      </c>
      <c r="H80" s="3" t="s">
        <v>2135</v>
      </c>
      <c r="I80" s="3" t="s">
        <v>5986</v>
      </c>
      <c r="J80" s="3" t="s">
        <v>5999</v>
      </c>
      <c r="K80" s="4" t="b">
        <f>J80 = "blocking"</f>
        <v>1</v>
      </c>
      <c r="L80" s="3" t="s">
        <v>1448</v>
      </c>
      <c r="M80" s="3" t="s">
        <v>6106</v>
      </c>
      <c r="N80" s="5">
        <v>46223.1297337963</v>
      </c>
      <c r="O80" s="4" t="b">
        <f>L80 = "PASS"</f>
        <v>1</v>
      </c>
      <c r="P80" s="4" t="b">
        <f>L80 = "FAIL"</f>
        <v>0</v>
      </c>
      <c r="Q80" s="4" t="b">
        <f>AND(((P80)=TRUE), ((K80)=TRUE))</f>
        <v>0</v>
      </c>
      <c r="R80" s="4" t="str">
        <f>IF(((O80)=TRUE),  I80,  "")</f>
        <v>suite-substrate</v>
      </c>
      <c r="S80" s="4" t="str">
        <f>IF(((Q80)=TRUE),  I80,  "")</f>
      </c>
      <c r="T80" s="3" t="s">
        <v>6001</v>
      </c>
    </row>
    <row r="81">
      <c r="A81" s="3" t="s">
        <v>6116</v>
      </c>
      <c r="B81" s="4" t="str">
        <f>C81 &amp; ": " &amp; D81</f>
        <v>formula-translates: Agents.IsNonHuman</v>
      </c>
      <c r="C81" s="3" t="s">
        <v>6104</v>
      </c>
      <c r="D81" s="3" t="s">
        <v>2481</v>
      </c>
      <c r="E81" s="3" t="s">
        <v>1814</v>
      </c>
      <c r="F81" s="3" t="s">
        <v>129</v>
      </c>
      <c r="G81" s="3" t="s">
        <v>6105</v>
      </c>
      <c r="H81" s="3" t="s">
        <v>2135</v>
      </c>
      <c r="I81" s="3" t="s">
        <v>5986</v>
      </c>
      <c r="J81" s="3" t="s">
        <v>5999</v>
      </c>
      <c r="K81" s="4" t="b">
        <f>J81 = "blocking"</f>
        <v>1</v>
      </c>
      <c r="L81" s="3" t="s">
        <v>1448</v>
      </c>
      <c r="M81" s="3" t="s">
        <v>6106</v>
      </c>
      <c r="N81" s="5">
        <v>46223.1297337963</v>
      </c>
      <c r="O81" s="4" t="b">
        <f>L81 = "PASS"</f>
        <v>1</v>
      </c>
      <c r="P81" s="4" t="b">
        <f>L81 = "FAIL"</f>
        <v>0</v>
      </c>
      <c r="Q81" s="4" t="b">
        <f>AND(((P81)=TRUE), ((K81)=TRUE))</f>
        <v>0</v>
      </c>
      <c r="R81" s="4" t="str">
        <f>IF(((O81)=TRUE),  I81,  "")</f>
        <v>suite-substrate</v>
      </c>
      <c r="S81" s="4" t="str">
        <f>IF(((Q81)=TRUE),  I81,  "")</f>
      </c>
      <c r="T81" s="3" t="s">
        <v>6001</v>
      </c>
    </row>
    <row r="82">
      <c r="A82" s="3" t="s">
        <v>6117</v>
      </c>
      <c r="B82" s="4" t="str">
        <f>C82 &amp; ": " &amp; D82</f>
        <v>formula-translates: Agents.BoundaryViolationCount</v>
      </c>
      <c r="C82" s="3" t="s">
        <v>6104</v>
      </c>
      <c r="D82" s="3" t="s">
        <v>2483</v>
      </c>
      <c r="E82" s="3" t="s">
        <v>1814</v>
      </c>
      <c r="F82" s="3" t="s">
        <v>130</v>
      </c>
      <c r="G82" s="3" t="s">
        <v>6105</v>
      </c>
      <c r="H82" s="3" t="s">
        <v>2187</v>
      </c>
      <c r="I82" s="3" t="s">
        <v>5986</v>
      </c>
      <c r="J82" s="3" t="s">
        <v>5999</v>
      </c>
      <c r="K82" s="4" t="b">
        <f>J82 = "blocking"</f>
        <v>1</v>
      </c>
      <c r="L82" s="3" t="s">
        <v>1448</v>
      </c>
      <c r="M82" s="3" t="s">
        <v>6106</v>
      </c>
      <c r="N82" s="5">
        <v>46223.1297337963</v>
      </c>
      <c r="O82" s="4" t="b">
        <f>L82 = "PASS"</f>
        <v>1</v>
      </c>
      <c r="P82" s="4" t="b">
        <f>L82 = "FAIL"</f>
        <v>0</v>
      </c>
      <c r="Q82" s="4" t="b">
        <f>AND(((P82)=TRUE), ((K82)=TRUE))</f>
        <v>0</v>
      </c>
      <c r="R82" s="4" t="str">
        <f>IF(((O82)=TRUE),  I82,  "")</f>
        <v>suite-substrate</v>
      </c>
      <c r="S82" s="4" t="str">
        <f>IF(((Q82)=TRUE),  I82,  "")</f>
      </c>
      <c r="T82" s="3" t="s">
        <v>6001</v>
      </c>
    </row>
    <row r="83">
      <c r="A83" s="3" t="s">
        <v>6118</v>
      </c>
      <c r="B83" s="4" t="str">
        <f>C83 &amp; ": " &amp; D83</f>
        <v>formula-translates: Agents.IsOperatingOutsideBoundary</v>
      </c>
      <c r="C83" s="3" t="s">
        <v>6104</v>
      </c>
      <c r="D83" s="3" t="s">
        <v>2485</v>
      </c>
      <c r="E83" s="3" t="s">
        <v>1814</v>
      </c>
      <c r="F83" s="3" t="s">
        <v>131</v>
      </c>
      <c r="G83" s="3" t="s">
        <v>6105</v>
      </c>
      <c r="H83" s="3" t="s">
        <v>2187</v>
      </c>
      <c r="I83" s="3" t="s">
        <v>5986</v>
      </c>
      <c r="J83" s="3" t="s">
        <v>5999</v>
      </c>
      <c r="K83" s="4" t="b">
        <f>J83 = "blocking"</f>
        <v>1</v>
      </c>
      <c r="L83" s="3" t="s">
        <v>1448</v>
      </c>
      <c r="M83" s="3" t="s">
        <v>6106</v>
      </c>
      <c r="N83" s="5">
        <v>46223.1297337963</v>
      </c>
      <c r="O83" s="4" t="b">
        <f>L83 = "PASS"</f>
        <v>1</v>
      </c>
      <c r="P83" s="4" t="b">
        <f>L83 = "FAIL"</f>
        <v>0</v>
      </c>
      <c r="Q83" s="4" t="b">
        <f>AND(((P83)=TRUE), ((K83)=TRUE))</f>
        <v>0</v>
      </c>
      <c r="R83" s="4" t="str">
        <f>IF(((O83)=TRUE),  I83,  "")</f>
        <v>suite-substrate</v>
      </c>
      <c r="S83" s="4" t="str">
        <f>IF(((Q83)=TRUE),  I83,  "")</f>
      </c>
      <c r="T83" s="3" t="s">
        <v>6001</v>
      </c>
    </row>
    <row r="84">
      <c r="A84" s="3" t="s">
        <v>6119</v>
      </c>
      <c r="B84" s="4" t="str">
        <f>C84 &amp; ": " &amp; D84</f>
        <v>formula-translates: Agents.DraftDecisionCount</v>
      </c>
      <c r="C84" s="3" t="s">
        <v>6104</v>
      </c>
      <c r="D84" s="3" t="s">
        <v>2487</v>
      </c>
      <c r="E84" s="3" t="s">
        <v>1814</v>
      </c>
      <c r="F84" s="3" t="s">
        <v>132</v>
      </c>
      <c r="G84" s="3" t="s">
        <v>6105</v>
      </c>
      <c r="H84" s="3" t="s">
        <v>2191</v>
      </c>
      <c r="I84" s="3" t="s">
        <v>5986</v>
      </c>
      <c r="J84" s="3" t="s">
        <v>5999</v>
      </c>
      <c r="K84" s="4" t="b">
        <f>J84 = "blocking"</f>
        <v>1</v>
      </c>
      <c r="L84" s="3" t="s">
        <v>1448</v>
      </c>
      <c r="M84" s="3" t="s">
        <v>6106</v>
      </c>
      <c r="N84" s="5">
        <v>46223.1297337963</v>
      </c>
      <c r="O84" s="4" t="b">
        <f>L84 = "PASS"</f>
        <v>1</v>
      </c>
      <c r="P84" s="4" t="b">
        <f>L84 = "FAIL"</f>
        <v>0</v>
      </c>
      <c r="Q84" s="4" t="b">
        <f>AND(((P84)=TRUE), ((K84)=TRUE))</f>
        <v>0</v>
      </c>
      <c r="R84" s="4" t="str">
        <f>IF(((O84)=TRUE),  I84,  "")</f>
        <v>suite-substrate</v>
      </c>
      <c r="S84" s="4" t="str">
        <f>IF(((Q84)=TRUE),  I84,  "")</f>
      </c>
      <c r="T84" s="3" t="s">
        <v>6001</v>
      </c>
    </row>
    <row r="85">
      <c r="A85" s="3" t="s">
        <v>6120</v>
      </c>
      <c r="B85" s="4" t="str">
        <f>C85 &amp; ": " &amp; D85</f>
        <v>formula-translates: Agents.OverriddenDraftCount</v>
      </c>
      <c r="C85" s="3" t="s">
        <v>6104</v>
      </c>
      <c r="D85" s="3" t="s">
        <v>2489</v>
      </c>
      <c r="E85" s="3" t="s">
        <v>1814</v>
      </c>
      <c r="F85" s="3" t="s">
        <v>133</v>
      </c>
      <c r="G85" s="3" t="s">
        <v>6105</v>
      </c>
      <c r="H85" s="3" t="s">
        <v>2191</v>
      </c>
      <c r="I85" s="3" t="s">
        <v>5986</v>
      </c>
      <c r="J85" s="3" t="s">
        <v>5999</v>
      </c>
      <c r="K85" s="4" t="b">
        <f>J85 = "blocking"</f>
        <v>1</v>
      </c>
      <c r="L85" s="3" t="s">
        <v>1448</v>
      </c>
      <c r="M85" s="3" t="s">
        <v>6106</v>
      </c>
      <c r="N85" s="5">
        <v>46223.1297337963</v>
      </c>
      <c r="O85" s="4" t="b">
        <f>L85 = "PASS"</f>
        <v>1</v>
      </c>
      <c r="P85" s="4" t="b">
        <f>L85 = "FAIL"</f>
        <v>0</v>
      </c>
      <c r="Q85" s="4" t="b">
        <f>AND(((P85)=TRUE), ((K85)=TRUE))</f>
        <v>0</v>
      </c>
      <c r="R85" s="4" t="str">
        <f>IF(((O85)=TRUE),  I85,  "")</f>
        <v>suite-substrate</v>
      </c>
      <c r="S85" s="4" t="str">
        <f>IF(((Q85)=TRUE),  I85,  "")</f>
      </c>
      <c r="T85" s="3" t="s">
        <v>6001</v>
      </c>
    </row>
    <row r="86">
      <c r="A86" s="3" t="s">
        <v>6121</v>
      </c>
      <c r="B86" s="4" t="str">
        <f>C86 &amp; ": " &amp; D86</f>
        <v>formula-translates: Agents.DraftRewriteRatePercent</v>
      </c>
      <c r="C86" s="3" t="s">
        <v>6104</v>
      </c>
      <c r="D86" s="3" t="s">
        <v>2491</v>
      </c>
      <c r="E86" s="3" t="s">
        <v>1814</v>
      </c>
      <c r="F86" s="3" t="s">
        <v>134</v>
      </c>
      <c r="G86" s="3" t="s">
        <v>6105</v>
      </c>
      <c r="H86" s="3" t="s">
        <v>2191</v>
      </c>
      <c r="I86" s="3" t="s">
        <v>5986</v>
      </c>
      <c r="J86" s="3" t="s">
        <v>5999</v>
      </c>
      <c r="K86" s="4" t="b">
        <f>J86 = "blocking"</f>
        <v>1</v>
      </c>
      <c r="L86" s="3" t="s">
        <v>1448</v>
      </c>
      <c r="M86" s="3" t="s">
        <v>6106</v>
      </c>
      <c r="N86" s="5">
        <v>46223.1297337963</v>
      </c>
      <c r="O86" s="4" t="b">
        <f>L86 = "PASS"</f>
        <v>1</v>
      </c>
      <c r="P86" s="4" t="b">
        <f>L86 = "FAIL"</f>
        <v>0</v>
      </c>
      <c r="Q86" s="4" t="b">
        <f>AND(((P86)=TRUE), ((K86)=TRUE))</f>
        <v>0</v>
      </c>
      <c r="R86" s="4" t="str">
        <f>IF(((O86)=TRUE),  I86,  "")</f>
        <v>suite-substrate</v>
      </c>
      <c r="S86" s="4" t="str">
        <f>IF(((Q86)=TRUE),  I86,  "")</f>
      </c>
      <c r="T86" s="3" t="s">
        <v>6001</v>
      </c>
    </row>
    <row r="87">
      <c r="A87" s="3" t="s">
        <v>6122</v>
      </c>
      <c r="B87" s="4" t="str">
        <f>C87 &amp; ": " &amp; D87</f>
        <v>formula-translates: Roles.Name</v>
      </c>
      <c r="C87" s="3" t="s">
        <v>6104</v>
      </c>
      <c r="D87" s="3" t="s">
        <v>2503</v>
      </c>
      <c r="E87" s="3" t="s">
        <v>1818</v>
      </c>
      <c r="F87" s="3" t="s">
        <v>1</v>
      </c>
      <c r="G87" s="3" t="s">
        <v>6105</v>
      </c>
      <c r="H87" s="3"/>
      <c r="I87" s="3" t="s">
        <v>5986</v>
      </c>
      <c r="J87" s="3" t="s">
        <v>5999</v>
      </c>
      <c r="K87" s="4" t="b">
        <f>J87 = "blocking"</f>
        <v>1</v>
      </c>
      <c r="L87" s="3" t="s">
        <v>1448</v>
      </c>
      <c r="M87" s="3" t="s">
        <v>6106</v>
      </c>
      <c r="N87" s="5">
        <v>46223.1297337963</v>
      </c>
      <c r="O87" s="4" t="b">
        <f>L87 = "PASS"</f>
        <v>1</v>
      </c>
      <c r="P87" s="4" t="b">
        <f>L87 = "FAIL"</f>
        <v>0</v>
      </c>
      <c r="Q87" s="4" t="b">
        <f>AND(((P87)=TRUE), ((K87)=TRUE))</f>
        <v>0</v>
      </c>
      <c r="R87" s="4" t="str">
        <f>IF(((O87)=TRUE),  I87,  "")</f>
        <v>suite-substrate</v>
      </c>
      <c r="S87" s="4" t="str">
        <f>IF(((Q87)=TRUE),  I87,  "")</f>
      </c>
      <c r="T87" s="3" t="s">
        <v>6001</v>
      </c>
    </row>
    <row r="88">
      <c r="A88" s="3" t="s">
        <v>6123</v>
      </c>
      <c r="B88" s="4" t="str">
        <f>C88 &amp; ": " &amp; D88</f>
        <v>formula-translates: Roles.CurrentAgentKind</v>
      </c>
      <c r="C88" s="3" t="s">
        <v>6104</v>
      </c>
      <c r="D88" s="3" t="s">
        <v>2508</v>
      </c>
      <c r="E88" s="3" t="s">
        <v>1818</v>
      </c>
      <c r="F88" s="3" t="s">
        <v>185</v>
      </c>
      <c r="G88" s="3" t="s">
        <v>6105</v>
      </c>
      <c r="H88" s="3"/>
      <c r="I88" s="3" t="s">
        <v>5986</v>
      </c>
      <c r="J88" s="3" t="s">
        <v>5999</v>
      </c>
      <c r="K88" s="4" t="b">
        <f>J88 = "blocking"</f>
        <v>1</v>
      </c>
      <c r="L88" s="3" t="s">
        <v>1448</v>
      </c>
      <c r="M88" s="3" t="s">
        <v>6106</v>
      </c>
      <c r="N88" s="5">
        <v>46223.1297337963</v>
      </c>
      <c r="O88" s="4" t="b">
        <f>L88 = "PASS"</f>
        <v>1</v>
      </c>
      <c r="P88" s="4" t="b">
        <f>L88 = "FAIL"</f>
        <v>0</v>
      </c>
      <c r="Q88" s="4" t="b">
        <f>AND(((P88)=TRUE), ((K88)=TRUE))</f>
        <v>0</v>
      </c>
      <c r="R88" s="4" t="str">
        <f>IF(((O88)=TRUE),  I88,  "")</f>
        <v>suite-substrate</v>
      </c>
      <c r="S88" s="4" t="str">
        <f>IF(((Q88)=TRUE),  I88,  "")</f>
      </c>
      <c r="T88" s="3" t="s">
        <v>6001</v>
      </c>
    </row>
    <row r="89">
      <c r="A89" s="3" t="s">
        <v>6124</v>
      </c>
      <c r="B89" s="4" t="str">
        <f>C89 &amp; ": " &amp; D89</f>
        <v>formula-translates: Roles.ActiveAssignmentCount</v>
      </c>
      <c r="C89" s="3" t="s">
        <v>6104</v>
      </c>
      <c r="D89" s="3" t="s">
        <v>2512</v>
      </c>
      <c r="E89" s="3" t="s">
        <v>1818</v>
      </c>
      <c r="F89" s="3" t="s">
        <v>187</v>
      </c>
      <c r="G89" s="3" t="s">
        <v>6105</v>
      </c>
      <c r="H89" s="3" t="s">
        <v>2119</v>
      </c>
      <c r="I89" s="3" t="s">
        <v>5986</v>
      </c>
      <c r="J89" s="3" t="s">
        <v>5999</v>
      </c>
      <c r="K89" s="4" t="b">
        <f>J89 = "blocking"</f>
        <v>1</v>
      </c>
      <c r="L89" s="3" t="s">
        <v>1448</v>
      </c>
      <c r="M89" s="3" t="s">
        <v>6106</v>
      </c>
      <c r="N89" s="5">
        <v>46223.1297337963</v>
      </c>
      <c r="O89" s="4" t="b">
        <f>L89 = "PASS"</f>
        <v>1</v>
      </c>
      <c r="P89" s="4" t="b">
        <f>L89 = "FAIL"</f>
        <v>0</v>
      </c>
      <c r="Q89" s="4" t="b">
        <f>AND(((P89)=TRUE), ((K89)=TRUE))</f>
        <v>0</v>
      </c>
      <c r="R89" s="4" t="str">
        <f>IF(((O89)=TRUE),  I89,  "")</f>
        <v>suite-substrate</v>
      </c>
      <c r="S89" s="4" t="str">
        <f>IF(((Q89)=TRUE),  I89,  "")</f>
      </c>
      <c r="T89" s="3" t="s">
        <v>6001</v>
      </c>
    </row>
    <row r="90">
      <c r="A90" s="3" t="s">
        <v>6125</v>
      </c>
      <c r="B90" s="4" t="str">
        <f>C90 &amp; ": " &amp; D90</f>
        <v>formula-translates: Roles.CurrentlyCoveredAssignmentCount</v>
      </c>
      <c r="C90" s="3" t="s">
        <v>6104</v>
      </c>
      <c r="D90" s="3" t="s">
        <v>2514</v>
      </c>
      <c r="E90" s="3" t="s">
        <v>1818</v>
      </c>
      <c r="F90" s="3" t="s">
        <v>188</v>
      </c>
      <c r="G90" s="3" t="s">
        <v>6105</v>
      </c>
      <c r="H90" s="3" t="s">
        <v>2119</v>
      </c>
      <c r="I90" s="3" t="s">
        <v>5986</v>
      </c>
      <c r="J90" s="3" t="s">
        <v>5999</v>
      </c>
      <c r="K90" s="4" t="b">
        <f>J90 = "blocking"</f>
        <v>1</v>
      </c>
      <c r="L90" s="3" t="s">
        <v>1448</v>
      </c>
      <c r="M90" s="3" t="s">
        <v>6106</v>
      </c>
      <c r="N90" s="5">
        <v>46223.1297337963</v>
      </c>
      <c r="O90" s="4" t="b">
        <f>L90 = "PASS"</f>
        <v>1</v>
      </c>
      <c r="P90" s="4" t="b">
        <f>L90 = "FAIL"</f>
        <v>0</v>
      </c>
      <c r="Q90" s="4" t="b">
        <f>AND(((P90)=TRUE), ((K90)=TRUE))</f>
        <v>0</v>
      </c>
      <c r="R90" s="4" t="str">
        <f>IF(((O90)=TRUE),  I90,  "")</f>
        <v>suite-substrate</v>
      </c>
      <c r="S90" s="4" t="str">
        <f>IF(((Q90)=TRUE),  I90,  "")</f>
      </c>
      <c r="T90" s="3" t="s">
        <v>6001</v>
      </c>
    </row>
    <row r="91">
      <c r="A91" s="3" t="s">
        <v>6126</v>
      </c>
      <c r="B91" s="4" t="str">
        <f>C91 &amp; ": " &amp; D91</f>
        <v>formula-translates: Roles.HasNoCurrentHolder</v>
      </c>
      <c r="C91" s="3" t="s">
        <v>6104</v>
      </c>
      <c r="D91" s="3" t="s">
        <v>2516</v>
      </c>
      <c r="E91" s="3" t="s">
        <v>1818</v>
      </c>
      <c r="F91" s="3" t="s">
        <v>189</v>
      </c>
      <c r="G91" s="3" t="s">
        <v>6105</v>
      </c>
      <c r="H91" s="3" t="s">
        <v>2119</v>
      </c>
      <c r="I91" s="3" t="s">
        <v>5986</v>
      </c>
      <c r="J91" s="3" t="s">
        <v>5999</v>
      </c>
      <c r="K91" s="4" t="b">
        <f>J91 = "blocking"</f>
        <v>1</v>
      </c>
      <c r="L91" s="3" t="s">
        <v>1448</v>
      </c>
      <c r="M91" s="3" t="s">
        <v>6106</v>
      </c>
      <c r="N91" s="5">
        <v>46223.1297337963</v>
      </c>
      <c r="O91" s="4" t="b">
        <f>L91 = "PASS"</f>
        <v>1</v>
      </c>
      <c r="P91" s="4" t="b">
        <f>L91 = "FAIL"</f>
        <v>0</v>
      </c>
      <c r="Q91" s="4" t="b">
        <f>AND(((P91)=TRUE), ((K91)=TRUE))</f>
        <v>0</v>
      </c>
      <c r="R91" s="4" t="str">
        <f>IF(((O91)=TRUE),  I91,  "")</f>
        <v>suite-substrate</v>
      </c>
      <c r="S91" s="4" t="str">
        <f>IF(((Q91)=TRUE),  I91,  "")</f>
      </c>
      <c r="T91" s="3" t="s">
        <v>6001</v>
      </c>
    </row>
    <row r="92">
      <c r="A92" s="3" t="s">
        <v>6127</v>
      </c>
      <c r="B92" s="4" t="str">
        <f>C92 &amp; ": " &amp; D92</f>
        <v>formula-translates: Roles.CountOfAwaitedDecisions</v>
      </c>
      <c r="C92" s="3" t="s">
        <v>6104</v>
      </c>
      <c r="D92" s="3" t="s">
        <v>2518</v>
      </c>
      <c r="E92" s="3" t="s">
        <v>1818</v>
      </c>
      <c r="F92" s="3" t="s">
        <v>190</v>
      </c>
      <c r="G92" s="3" t="s">
        <v>6105</v>
      </c>
      <c r="H92" s="3" t="s">
        <v>2139</v>
      </c>
      <c r="I92" s="3" t="s">
        <v>5986</v>
      </c>
      <c r="J92" s="3" t="s">
        <v>5999</v>
      </c>
      <c r="K92" s="4" t="b">
        <f>J92 = "blocking"</f>
        <v>1</v>
      </c>
      <c r="L92" s="3" t="s">
        <v>1448</v>
      </c>
      <c r="M92" s="3" t="s">
        <v>6106</v>
      </c>
      <c r="N92" s="5">
        <v>46223.1297337963</v>
      </c>
      <c r="O92" s="4" t="b">
        <f>L92 = "PASS"</f>
        <v>1</v>
      </c>
      <c r="P92" s="4" t="b">
        <f>L92 = "FAIL"</f>
        <v>0</v>
      </c>
      <c r="Q92" s="4" t="b">
        <f>AND(((P92)=TRUE), ((K92)=TRUE))</f>
        <v>0</v>
      </c>
      <c r="R92" s="4" t="str">
        <f>IF(((O92)=TRUE),  I92,  "")</f>
        <v>suite-substrate</v>
      </c>
      <c r="S92" s="4" t="str">
        <f>IF(((Q92)=TRUE),  I92,  "")</f>
      </c>
      <c r="T92" s="3" t="s">
        <v>6001</v>
      </c>
    </row>
    <row r="93">
      <c r="A93" s="3" t="s">
        <v>6128</v>
      </c>
      <c r="B93" s="4" t="str">
        <f>C93 &amp; ": " &amp; D93</f>
        <v>formula-translates: Roles.CurrentAssignmentValidFrom</v>
      </c>
      <c r="C93" s="3" t="s">
        <v>6104</v>
      </c>
      <c r="D93" s="3" t="s">
        <v>2521</v>
      </c>
      <c r="E93" s="3" t="s">
        <v>1818</v>
      </c>
      <c r="F93" s="3" t="s">
        <v>192</v>
      </c>
      <c r="G93" s="3" t="s">
        <v>6105</v>
      </c>
      <c r="H93" s="3" t="s">
        <v>2175</v>
      </c>
      <c r="I93" s="3" t="s">
        <v>5986</v>
      </c>
      <c r="J93" s="3" t="s">
        <v>5999</v>
      </c>
      <c r="K93" s="4" t="b">
        <f>J93 = "blocking"</f>
        <v>1</v>
      </c>
      <c r="L93" s="3" t="s">
        <v>1448</v>
      </c>
      <c r="M93" s="3" t="s">
        <v>6106</v>
      </c>
      <c r="N93" s="5">
        <v>46223.1297337963</v>
      </c>
      <c r="O93" s="4" t="b">
        <f>L93 = "PASS"</f>
        <v>1</v>
      </c>
      <c r="P93" s="4" t="b">
        <f>L93 = "FAIL"</f>
        <v>0</v>
      </c>
      <c r="Q93" s="4" t="b">
        <f>AND(((P93)=TRUE), ((K93)=TRUE))</f>
        <v>0</v>
      </c>
      <c r="R93" s="4" t="str">
        <f>IF(((O93)=TRUE),  I93,  "")</f>
        <v>suite-substrate</v>
      </c>
      <c r="S93" s="4" t="str">
        <f>IF(((Q93)=TRUE),  I93,  "")</f>
      </c>
      <c r="T93" s="3" t="s">
        <v>6001</v>
      </c>
    </row>
    <row r="94">
      <c r="A94" s="3" t="s">
        <v>6129</v>
      </c>
      <c r="B94" s="4" t="str">
        <f>C94 &amp; ": " &amp; D94</f>
        <v>formula-translates: Roles.IsNonHumanHeld</v>
      </c>
      <c r="C94" s="3" t="s">
        <v>6104</v>
      </c>
      <c r="D94" s="3" t="s">
        <v>2523</v>
      </c>
      <c r="E94" s="3" t="s">
        <v>1818</v>
      </c>
      <c r="F94" s="3" t="s">
        <v>193</v>
      </c>
      <c r="G94" s="3" t="s">
        <v>6105</v>
      </c>
      <c r="H94" s="3" t="s">
        <v>2179</v>
      </c>
      <c r="I94" s="3" t="s">
        <v>5986</v>
      </c>
      <c r="J94" s="3" t="s">
        <v>5999</v>
      </c>
      <c r="K94" s="4" t="b">
        <f>J94 = "blocking"</f>
        <v>1</v>
      </c>
      <c r="L94" s="3" t="s">
        <v>1448</v>
      </c>
      <c r="M94" s="3" t="s">
        <v>6106</v>
      </c>
      <c r="N94" s="5">
        <v>46223.1297337963</v>
      </c>
      <c r="O94" s="4" t="b">
        <f>L94 = "PASS"</f>
        <v>1</v>
      </c>
      <c r="P94" s="4" t="b">
        <f>L94 = "FAIL"</f>
        <v>0</v>
      </c>
      <c r="Q94" s="4" t="b">
        <f>AND(((P94)=TRUE), ((K94)=TRUE))</f>
        <v>0</v>
      </c>
      <c r="R94" s="4" t="str">
        <f>IF(((O94)=TRUE),  I94,  "")</f>
        <v>suite-substrate</v>
      </c>
      <c r="S94" s="4" t="str">
        <f>IF(((Q94)=TRUE),  I94,  "")</f>
      </c>
      <c r="T94" s="3" t="s">
        <v>6001</v>
      </c>
    </row>
    <row r="95">
      <c r="A95" s="3" t="s">
        <v>6130</v>
      </c>
      <c r="B95" s="4" t="str">
        <f>C95 &amp; ": " &amp; D95</f>
        <v>formula-translates: Roles.IsUngovernedNonHumanRole</v>
      </c>
      <c r="C95" s="3" t="s">
        <v>6104</v>
      </c>
      <c r="D95" s="3" t="s">
        <v>2525</v>
      </c>
      <c r="E95" s="3" t="s">
        <v>1818</v>
      </c>
      <c r="F95" s="3" t="s">
        <v>194</v>
      </c>
      <c r="G95" s="3" t="s">
        <v>6105</v>
      </c>
      <c r="H95" s="3" t="s">
        <v>2179</v>
      </c>
      <c r="I95" s="3" t="s">
        <v>5986</v>
      </c>
      <c r="J95" s="3" t="s">
        <v>5999</v>
      </c>
      <c r="K95" s="4" t="b">
        <f>J95 = "blocking"</f>
        <v>1</v>
      </c>
      <c r="L95" s="3" t="s">
        <v>1448</v>
      </c>
      <c r="M95" s="3" t="s">
        <v>6106</v>
      </c>
      <c r="N95" s="5">
        <v>46223.1297337963</v>
      </c>
      <c r="O95" s="4" t="b">
        <f>L95 = "PASS"</f>
        <v>1</v>
      </c>
      <c r="P95" s="4" t="b">
        <f>L95 = "FAIL"</f>
        <v>0</v>
      </c>
      <c r="Q95" s="4" t="b">
        <f>AND(((P95)=TRUE), ((K95)=TRUE))</f>
        <v>0</v>
      </c>
      <c r="R95" s="4" t="str">
        <f>IF(((O95)=TRUE),  I95,  "")</f>
        <v>suite-substrate</v>
      </c>
      <c r="S95" s="4" t="str">
        <f>IF(((Q95)=TRUE),  I95,  "")</f>
      </c>
      <c r="T95" s="3" t="s">
        <v>6001</v>
      </c>
    </row>
    <row r="96">
      <c r="A96" s="3" t="s">
        <v>6131</v>
      </c>
      <c r="B96" s="4" t="str">
        <f>C96 &amp; ": " &amp; D96</f>
        <v>formula-translates: Roles.DepartedAssignmentCount</v>
      </c>
      <c r="C96" s="3" t="s">
        <v>6104</v>
      </c>
      <c r="D96" s="3" t="s">
        <v>2527</v>
      </c>
      <c r="E96" s="3" t="s">
        <v>1818</v>
      </c>
      <c r="F96" s="3" t="s">
        <v>195</v>
      </c>
      <c r="G96" s="3" t="s">
        <v>6105</v>
      </c>
      <c r="H96" s="3" t="s">
        <v>2235</v>
      </c>
      <c r="I96" s="3" t="s">
        <v>5986</v>
      </c>
      <c r="J96" s="3" t="s">
        <v>5999</v>
      </c>
      <c r="K96" s="4" t="b">
        <f>J96 = "blocking"</f>
        <v>1</v>
      </c>
      <c r="L96" s="3" t="s">
        <v>1448</v>
      </c>
      <c r="M96" s="3" t="s">
        <v>6106</v>
      </c>
      <c r="N96" s="5">
        <v>46223.1297337963</v>
      </c>
      <c r="O96" s="4" t="b">
        <f>L96 = "PASS"</f>
        <v>1</v>
      </c>
      <c r="P96" s="4" t="b">
        <f>L96 = "FAIL"</f>
        <v>0</v>
      </c>
      <c r="Q96" s="4" t="b">
        <f>AND(((P96)=TRUE), ((K96)=TRUE))</f>
        <v>0</v>
      </c>
      <c r="R96" s="4" t="str">
        <f>IF(((O96)=TRUE),  I96,  "")</f>
        <v>suite-substrate</v>
      </c>
      <c r="S96" s="4" t="str">
        <f>IF(((Q96)=TRUE),  I96,  "")</f>
      </c>
      <c r="T96" s="3" t="s">
        <v>6001</v>
      </c>
    </row>
    <row r="97">
      <c r="A97" s="3" t="s">
        <v>6132</v>
      </c>
      <c r="B97" s="4" t="str">
        <f>C97 &amp; ": " &amp; D97</f>
        <v>formula-translates: Roles.HasLostAHolder</v>
      </c>
      <c r="C97" s="3" t="s">
        <v>6104</v>
      </c>
      <c r="D97" s="3" t="s">
        <v>2529</v>
      </c>
      <c r="E97" s="3" t="s">
        <v>1818</v>
      </c>
      <c r="F97" s="3" t="s">
        <v>196</v>
      </c>
      <c r="G97" s="3" t="s">
        <v>6105</v>
      </c>
      <c r="H97" s="3" t="s">
        <v>2235</v>
      </c>
      <c r="I97" s="3" t="s">
        <v>5986</v>
      </c>
      <c r="J97" s="3" t="s">
        <v>5999</v>
      </c>
      <c r="K97" s="4" t="b">
        <f>J97 = "blocking"</f>
        <v>1</v>
      </c>
      <c r="L97" s="3" t="s">
        <v>1448</v>
      </c>
      <c r="M97" s="3" t="s">
        <v>6106</v>
      </c>
      <c r="N97" s="5">
        <v>46223.1297337963</v>
      </c>
      <c r="O97" s="4" t="b">
        <f>L97 = "PASS"</f>
        <v>1</v>
      </c>
      <c r="P97" s="4" t="b">
        <f>L97 = "FAIL"</f>
        <v>0</v>
      </c>
      <c r="Q97" s="4" t="b">
        <f>AND(((P97)=TRUE), ((K97)=TRUE))</f>
        <v>0</v>
      </c>
      <c r="R97" s="4" t="str">
        <f>IF(((O97)=TRUE),  I97,  "")</f>
        <v>suite-substrate</v>
      </c>
      <c r="S97" s="4" t="str">
        <f>IF(((Q97)=TRUE),  I97,  "")</f>
      </c>
      <c r="T97" s="3" t="s">
        <v>6001</v>
      </c>
    </row>
    <row r="98">
      <c r="A98" s="3" t="s">
        <v>6133</v>
      </c>
      <c r="B98" s="4" t="str">
        <f>C98 &amp; ": " &amp; D98</f>
        <v>formula-translates: Roles.IsVacatedRole</v>
      </c>
      <c r="C98" s="3" t="s">
        <v>6104</v>
      </c>
      <c r="D98" s="3" t="s">
        <v>2531</v>
      </c>
      <c r="E98" s="3" t="s">
        <v>1818</v>
      </c>
      <c r="F98" s="3" t="s">
        <v>197</v>
      </c>
      <c r="G98" s="3" t="s">
        <v>6105</v>
      </c>
      <c r="H98" s="3" t="s">
        <v>2235</v>
      </c>
      <c r="I98" s="3" t="s">
        <v>5986</v>
      </c>
      <c r="J98" s="3" t="s">
        <v>5999</v>
      </c>
      <c r="K98" s="4" t="b">
        <f>J98 = "blocking"</f>
        <v>1</v>
      </c>
      <c r="L98" s="3" t="s">
        <v>1448</v>
      </c>
      <c r="M98" s="3" t="s">
        <v>6106</v>
      </c>
      <c r="N98" s="5">
        <v>46223.1297337963</v>
      </c>
      <c r="O98" s="4" t="b">
        <f>L98 = "PASS"</f>
        <v>1</v>
      </c>
      <c r="P98" s="4" t="b">
        <f>L98 = "FAIL"</f>
        <v>0</v>
      </c>
      <c r="Q98" s="4" t="b">
        <f>AND(((P98)=TRUE), ((K98)=TRUE))</f>
        <v>0</v>
      </c>
      <c r="R98" s="4" t="str">
        <f>IF(((O98)=TRUE),  I98,  "")</f>
        <v>suite-substrate</v>
      </c>
      <c r="S98" s="4" t="str">
        <f>IF(((Q98)=TRUE),  I98,  "")</f>
      </c>
      <c r="T98" s="3" t="s">
        <v>6001</v>
      </c>
    </row>
    <row r="99">
      <c r="A99" s="3" t="s">
        <v>6134</v>
      </c>
      <c r="B99" s="4" t="str">
        <f>C99 &amp; ": " &amp; D99</f>
        <v>formula-translates: Roles.UngroundedBoundaryCount</v>
      </c>
      <c r="C99" s="3" t="s">
        <v>6104</v>
      </c>
      <c r="D99" s="3" t="s">
        <v>2533</v>
      </c>
      <c r="E99" s="3" t="s">
        <v>1818</v>
      </c>
      <c r="F99" s="3" t="s">
        <v>198</v>
      </c>
      <c r="G99" s="3" t="s">
        <v>6105</v>
      </c>
      <c r="H99" s="3" t="s">
        <v>2343</v>
      </c>
      <c r="I99" s="3" t="s">
        <v>5986</v>
      </c>
      <c r="J99" s="3" t="s">
        <v>5999</v>
      </c>
      <c r="K99" s="4" t="b">
        <f>J99 = "blocking"</f>
        <v>1</v>
      </c>
      <c r="L99" s="3" t="s">
        <v>1448</v>
      </c>
      <c r="M99" s="3" t="s">
        <v>6106</v>
      </c>
      <c r="N99" s="5">
        <v>46223.1297337963</v>
      </c>
      <c r="O99" s="4" t="b">
        <f>L99 = "PASS"</f>
        <v>1</v>
      </c>
      <c r="P99" s="4" t="b">
        <f>L99 = "FAIL"</f>
        <v>0</v>
      </c>
      <c r="Q99" s="4" t="b">
        <f>AND(((P99)=TRUE), ((K99)=TRUE))</f>
        <v>0</v>
      </c>
      <c r="R99" s="4" t="str">
        <f>IF(((O99)=TRUE),  I99,  "")</f>
        <v>suite-substrate</v>
      </c>
      <c r="S99" s="4" t="str">
        <f>IF(((Q99)=TRUE),  I99,  "")</f>
      </c>
      <c r="T99" s="3" t="s">
        <v>6001</v>
      </c>
    </row>
    <row r="100">
      <c r="A100" s="3" t="s">
        <v>6135</v>
      </c>
      <c r="B100" s="4" t="str">
        <f>C100 &amp; ": " &amp; D100</f>
        <v>formula-translates: Roles.IsGovernedByLapsedAuthority</v>
      </c>
      <c r="C100" s="3" t="s">
        <v>6104</v>
      </c>
      <c r="D100" s="3" t="s">
        <v>2535</v>
      </c>
      <c r="E100" s="3" t="s">
        <v>1818</v>
      </c>
      <c r="F100" s="3" t="s">
        <v>199</v>
      </c>
      <c r="G100" s="3" t="s">
        <v>6105</v>
      </c>
      <c r="H100" s="3" t="s">
        <v>2343</v>
      </c>
      <c r="I100" s="3" t="s">
        <v>5986</v>
      </c>
      <c r="J100" s="3" t="s">
        <v>5999</v>
      </c>
      <c r="K100" s="4" t="b">
        <f>J100 = "blocking"</f>
        <v>1</v>
      </c>
      <c r="L100" s="3" t="s">
        <v>1448</v>
      </c>
      <c r="M100" s="3" t="s">
        <v>6106</v>
      </c>
      <c r="N100" s="5">
        <v>46223.1297337963</v>
      </c>
      <c r="O100" s="4" t="b">
        <f>L100 = "PASS"</f>
        <v>1</v>
      </c>
      <c r="P100" s="4" t="b">
        <f>L100 = "FAIL"</f>
        <v>0</v>
      </c>
      <c r="Q100" s="4" t="b">
        <f>AND(((P100)=TRUE), ((K100)=TRUE))</f>
        <v>0</v>
      </c>
      <c r="R100" s="4" t="str">
        <f>IF(((O100)=TRUE),  I100,  "")</f>
        <v>suite-substrate</v>
      </c>
      <c r="S100" s="4" t="str">
        <f>IF(((Q100)=TRUE),  I100,  "")</f>
      </c>
      <c r="T100" s="3" t="s">
        <v>6001</v>
      </c>
    </row>
    <row r="101">
      <c r="A101" s="3" t="s">
        <v>6136</v>
      </c>
      <c r="B101" s="4" t="str">
        <f>C101 &amp; ": " &amp; D101</f>
        <v>formula-translates: Roles.UnescalatedRefusalCount</v>
      </c>
      <c r="C101" s="3" t="s">
        <v>6104</v>
      </c>
      <c r="D101" s="3" t="s">
        <v>2537</v>
      </c>
      <c r="E101" s="3" t="s">
        <v>1818</v>
      </c>
      <c r="F101" s="3" t="s">
        <v>200</v>
      </c>
      <c r="G101" s="3" t="s">
        <v>6105</v>
      </c>
      <c r="H101" s="3" t="s">
        <v>2359</v>
      </c>
      <c r="I101" s="3" t="s">
        <v>5986</v>
      </c>
      <c r="J101" s="3" t="s">
        <v>5999</v>
      </c>
      <c r="K101" s="4" t="b">
        <f>J101 = "blocking"</f>
        <v>1</v>
      </c>
      <c r="L101" s="3" t="s">
        <v>1448</v>
      </c>
      <c r="M101" s="3" t="s">
        <v>6106</v>
      </c>
      <c r="N101" s="5">
        <v>46223.1297337963</v>
      </c>
      <c r="O101" s="4" t="b">
        <f>L101 = "PASS"</f>
        <v>1</v>
      </c>
      <c r="P101" s="4" t="b">
        <f>L101 = "FAIL"</f>
        <v>0</v>
      </c>
      <c r="Q101" s="4" t="b">
        <f>AND(((P101)=TRUE), ((K101)=TRUE))</f>
        <v>0</v>
      </c>
      <c r="R101" s="4" t="str">
        <f>IF(((O101)=TRUE),  I101,  "")</f>
        <v>suite-substrate</v>
      </c>
      <c r="S101" s="4" t="str">
        <f>IF(((Q101)=TRUE),  I101,  "")</f>
      </c>
      <c r="T101" s="3" t="s">
        <v>6001</v>
      </c>
    </row>
    <row r="102">
      <c r="A102" s="3" t="s">
        <v>6137</v>
      </c>
      <c r="B102" s="4" t="str">
        <f>C102 &amp; ": " &amp; D102</f>
        <v>formula-translates: Roles.UnauthorizedEnforcementAssignmentCount</v>
      </c>
      <c r="C102" s="3" t="s">
        <v>6104</v>
      </c>
      <c r="D102" s="3" t="s">
        <v>2539</v>
      </c>
      <c r="E102" s="3" t="s">
        <v>1818</v>
      </c>
      <c r="F102" s="3" t="s">
        <v>201</v>
      </c>
      <c r="G102" s="3" t="s">
        <v>6105</v>
      </c>
      <c r="H102" s="3" t="s">
        <v>2367</v>
      </c>
      <c r="I102" s="3" t="s">
        <v>5986</v>
      </c>
      <c r="J102" s="3" t="s">
        <v>5999</v>
      </c>
      <c r="K102" s="4" t="b">
        <f>J102 = "blocking"</f>
        <v>1</v>
      </c>
      <c r="L102" s="3" t="s">
        <v>1448</v>
      </c>
      <c r="M102" s="3" t="s">
        <v>6106</v>
      </c>
      <c r="N102" s="5">
        <v>46223.1297337963</v>
      </c>
      <c r="O102" s="4" t="b">
        <f>L102 = "PASS"</f>
        <v>1</v>
      </c>
      <c r="P102" s="4" t="b">
        <f>L102 = "FAIL"</f>
        <v>0</v>
      </c>
      <c r="Q102" s="4" t="b">
        <f>AND(((P102)=TRUE), ((K102)=TRUE))</f>
        <v>0</v>
      </c>
      <c r="R102" s="4" t="str">
        <f>IF(((O102)=TRUE),  I102,  "")</f>
        <v>suite-substrate</v>
      </c>
      <c r="S102" s="4" t="str">
        <f>IF(((Q102)=TRUE),  I102,  "")</f>
      </c>
      <c r="T102" s="3" t="s">
        <v>6001</v>
      </c>
    </row>
    <row r="103">
      <c r="A103" s="3" t="s">
        <v>6138</v>
      </c>
      <c r="B103" s="4" t="str">
        <f>C103 &amp; ": " &amp; D103</f>
        <v>formula-translates: Roles.IsUngovernedEnforcementRole</v>
      </c>
      <c r="C103" s="3" t="s">
        <v>6104</v>
      </c>
      <c r="D103" s="3" t="s">
        <v>2541</v>
      </c>
      <c r="E103" s="3" t="s">
        <v>1818</v>
      </c>
      <c r="F103" s="3" t="s">
        <v>202</v>
      </c>
      <c r="G103" s="3" t="s">
        <v>6105</v>
      </c>
      <c r="H103" s="3" t="s">
        <v>2367</v>
      </c>
      <c r="I103" s="3" t="s">
        <v>5986</v>
      </c>
      <c r="J103" s="3" t="s">
        <v>5999</v>
      </c>
      <c r="K103" s="4" t="b">
        <f>J103 = "blocking"</f>
        <v>1</v>
      </c>
      <c r="L103" s="3" t="s">
        <v>1448</v>
      </c>
      <c r="M103" s="3" t="s">
        <v>6106</v>
      </c>
      <c r="N103" s="5">
        <v>46223.1297337963</v>
      </c>
      <c r="O103" s="4" t="b">
        <f>L103 = "PASS"</f>
        <v>1</v>
      </c>
      <c r="P103" s="4" t="b">
        <f>L103 = "FAIL"</f>
        <v>0</v>
      </c>
      <c r="Q103" s="4" t="b">
        <f>AND(((P103)=TRUE), ((K103)=TRUE))</f>
        <v>0</v>
      </c>
      <c r="R103" s="4" t="str">
        <f>IF(((O103)=TRUE),  I103,  "")</f>
        <v>suite-substrate</v>
      </c>
      <c r="S103" s="4" t="str">
        <f>IF(((Q103)=TRUE),  I103,  "")</f>
      </c>
      <c r="T103" s="3" t="s">
        <v>6001</v>
      </c>
    </row>
    <row r="104">
      <c r="A104" s="3" t="s">
        <v>6139</v>
      </c>
      <c r="B104" s="4" t="str">
        <f>C104 &amp; ": " &amp; D104</f>
        <v>formula-translates: RoleAssignments.Name</v>
      </c>
      <c r="C104" s="3" t="s">
        <v>6104</v>
      </c>
      <c r="D104" s="3" t="s">
        <v>2545</v>
      </c>
      <c r="E104" s="3" t="s">
        <v>1821</v>
      </c>
      <c r="F104" s="3" t="s">
        <v>1</v>
      </c>
      <c r="G104" s="3" t="s">
        <v>6105</v>
      </c>
      <c r="H104" s="3"/>
      <c r="I104" s="3" t="s">
        <v>5986</v>
      </c>
      <c r="J104" s="3" t="s">
        <v>5999</v>
      </c>
      <c r="K104" s="4" t="b">
        <f>J104 = "blocking"</f>
        <v>1</v>
      </c>
      <c r="L104" s="3" t="s">
        <v>1448</v>
      </c>
      <c r="M104" s="3" t="s">
        <v>6106</v>
      </c>
      <c r="N104" s="5">
        <v>46223.1297337963</v>
      </c>
      <c r="O104" s="4" t="b">
        <f>L104 = "PASS"</f>
        <v>1</v>
      </c>
      <c r="P104" s="4" t="b">
        <f>L104 = "FAIL"</f>
        <v>0</v>
      </c>
      <c r="Q104" s="4" t="b">
        <f>AND(((P104)=TRUE), ((K104)=TRUE))</f>
        <v>0</v>
      </c>
      <c r="R104" s="4" t="str">
        <f>IF(((O104)=TRUE),  I104,  "")</f>
        <v>suite-substrate</v>
      </c>
      <c r="S104" s="4" t="str">
        <f>IF(((Q104)=TRUE),  I104,  "")</f>
      </c>
      <c r="T104" s="3" t="s">
        <v>6001</v>
      </c>
    </row>
    <row r="105">
      <c r="A105" s="3" t="s">
        <v>6140</v>
      </c>
      <c r="B105" s="4" t="str">
        <f>C105 &amp; ": " &amp; D105</f>
        <v>formula-translates: RoleAssignments.AsOfInstant</v>
      </c>
      <c r="C105" s="3" t="s">
        <v>6104</v>
      </c>
      <c r="D105" s="3" t="s">
        <v>2554</v>
      </c>
      <c r="E105" s="3" t="s">
        <v>1821</v>
      </c>
      <c r="F105" s="3" t="s">
        <v>92</v>
      </c>
      <c r="G105" s="3" t="s">
        <v>6105</v>
      </c>
      <c r="H105" s="3"/>
      <c r="I105" s="3" t="s">
        <v>5986</v>
      </c>
      <c r="J105" s="3" t="s">
        <v>5999</v>
      </c>
      <c r="K105" s="4" t="b">
        <f>J105 = "blocking"</f>
        <v>1</v>
      </c>
      <c r="L105" s="3" t="s">
        <v>1448</v>
      </c>
      <c r="M105" s="3" t="s">
        <v>6106</v>
      </c>
      <c r="N105" s="5">
        <v>46223.1297337963</v>
      </c>
      <c r="O105" s="4" t="b">
        <f>L105 = "PASS"</f>
        <v>1</v>
      </c>
      <c r="P105" s="4" t="b">
        <f>L105 = "FAIL"</f>
        <v>0</v>
      </c>
      <c r="Q105" s="4" t="b">
        <f>AND(((P105)=TRUE), ((K105)=TRUE))</f>
        <v>0</v>
      </c>
      <c r="R105" s="4" t="str">
        <f>IF(((O105)=TRUE),  I105,  "")</f>
        <v>suite-substrate</v>
      </c>
      <c r="S105" s="4" t="str">
        <f>IF(((Q105)=TRUE),  I105,  "")</f>
      </c>
      <c r="T105" s="3" t="s">
        <v>6001</v>
      </c>
    </row>
    <row r="106">
      <c r="A106" s="3" t="s">
        <v>6141</v>
      </c>
      <c r="B106" s="4" t="str">
        <f>C106 &amp; ": " &amp; D106</f>
        <v>formula-translates: RoleAssignments.IsCurrent</v>
      </c>
      <c r="C106" s="3" t="s">
        <v>6104</v>
      </c>
      <c r="D106" s="3" t="s">
        <v>2556</v>
      </c>
      <c r="E106" s="3" t="s">
        <v>1821</v>
      </c>
      <c r="F106" s="3" t="s">
        <v>10</v>
      </c>
      <c r="G106" s="3" t="s">
        <v>6105</v>
      </c>
      <c r="H106" s="3"/>
      <c r="I106" s="3" t="s">
        <v>5986</v>
      </c>
      <c r="J106" s="3" t="s">
        <v>5999</v>
      </c>
      <c r="K106" s="4" t="b">
        <f>J106 = "blocking"</f>
        <v>1</v>
      </c>
      <c r="L106" s="3" t="s">
        <v>1448</v>
      </c>
      <c r="M106" s="3" t="s">
        <v>6106</v>
      </c>
      <c r="N106" s="5">
        <v>46223.1297337963</v>
      </c>
      <c r="O106" s="4" t="b">
        <f>L106 = "PASS"</f>
        <v>1</v>
      </c>
      <c r="P106" s="4" t="b">
        <f>L106 = "FAIL"</f>
        <v>0</v>
      </c>
      <c r="Q106" s="4" t="b">
        <f>AND(((P106)=TRUE), ((K106)=TRUE))</f>
        <v>0</v>
      </c>
      <c r="R106" s="4" t="str">
        <f>IF(((O106)=TRUE),  I106,  "")</f>
        <v>suite-substrate</v>
      </c>
      <c r="S106" s="4" t="str">
        <f>IF(((Q106)=TRUE),  I106,  "")</f>
      </c>
      <c r="T106" s="3" t="s">
        <v>6001</v>
      </c>
    </row>
    <row r="107">
      <c r="A107" s="3" t="s">
        <v>6142</v>
      </c>
      <c r="B107" s="4" t="str">
        <f>C107 &amp; ": " &amp; D107</f>
        <v>formula-translates: RoleAssignments.CurrentAgentKey</v>
      </c>
      <c r="C107" s="3" t="s">
        <v>6104</v>
      </c>
      <c r="D107" s="3" t="s">
        <v>2558</v>
      </c>
      <c r="E107" s="3" t="s">
        <v>1821</v>
      </c>
      <c r="F107" s="3" t="s">
        <v>259</v>
      </c>
      <c r="G107" s="3" t="s">
        <v>6105</v>
      </c>
      <c r="H107" s="3"/>
      <c r="I107" s="3" t="s">
        <v>5986</v>
      </c>
      <c r="J107" s="3" t="s">
        <v>5999</v>
      </c>
      <c r="K107" s="4" t="b">
        <f>J107 = "blocking"</f>
        <v>1</v>
      </c>
      <c r="L107" s="3" t="s">
        <v>1448</v>
      </c>
      <c r="M107" s="3" t="s">
        <v>6106</v>
      </c>
      <c r="N107" s="5">
        <v>46223.1297337963</v>
      </c>
      <c r="O107" s="4" t="b">
        <f>L107 = "PASS"</f>
        <v>1</v>
      </c>
      <c r="P107" s="4" t="b">
        <f>L107 = "FAIL"</f>
        <v>0</v>
      </c>
      <c r="Q107" s="4" t="b">
        <f>AND(((P107)=TRUE), ((K107)=TRUE))</f>
        <v>0</v>
      </c>
      <c r="R107" s="4" t="str">
        <f>IF(((O107)=TRUE),  I107,  "")</f>
        <v>suite-substrate</v>
      </c>
      <c r="S107" s="4" t="str">
        <f>IF(((Q107)=TRUE),  I107,  "")</f>
      </c>
      <c r="T107" s="3" t="s">
        <v>6001</v>
      </c>
    </row>
    <row r="108">
      <c r="A108" s="3" t="s">
        <v>6143</v>
      </c>
      <c r="B108" s="4" t="str">
        <f>C108 &amp; ": " &amp; D108</f>
        <v>formula-translates: RoleAssignments.IsCurrentlyValid</v>
      </c>
      <c r="C108" s="3" t="s">
        <v>6104</v>
      </c>
      <c r="D108" s="3" t="s">
        <v>2560</v>
      </c>
      <c r="E108" s="3" t="s">
        <v>1821</v>
      </c>
      <c r="F108" s="3" t="s">
        <v>260</v>
      </c>
      <c r="G108" s="3" t="s">
        <v>6105</v>
      </c>
      <c r="H108" s="3" t="s">
        <v>1983</v>
      </c>
      <c r="I108" s="3" t="s">
        <v>5986</v>
      </c>
      <c r="J108" s="3" t="s">
        <v>5999</v>
      </c>
      <c r="K108" s="4" t="b">
        <f>J108 = "blocking"</f>
        <v>1</v>
      </c>
      <c r="L108" s="3" t="s">
        <v>1448</v>
      </c>
      <c r="M108" s="3" t="s">
        <v>6106</v>
      </c>
      <c r="N108" s="5">
        <v>46223.1297337963</v>
      </c>
      <c r="O108" s="4" t="b">
        <f>L108 = "PASS"</f>
        <v>1</v>
      </c>
      <c r="P108" s="4" t="b">
        <f>L108 = "FAIL"</f>
        <v>0</v>
      </c>
      <c r="Q108" s="4" t="b">
        <f>AND(((P108)=TRUE), ((K108)=TRUE))</f>
        <v>0</v>
      </c>
      <c r="R108" s="4" t="str">
        <f>IF(((O108)=TRUE),  I108,  "")</f>
        <v>suite-substrate</v>
      </c>
      <c r="S108" s="4" t="str">
        <f>IF(((Q108)=TRUE),  I108,  "")</f>
      </c>
      <c r="T108" s="3" t="s">
        <v>6001</v>
      </c>
    </row>
    <row r="109">
      <c r="A109" s="3" t="s">
        <v>6144</v>
      </c>
      <c r="B109" s="4" t="str">
        <f>C109 &amp; ": " &amp; D109</f>
        <v>formula-translates: RoleAssignments.AgentRoleKey</v>
      </c>
      <c r="C109" s="3" t="s">
        <v>6104</v>
      </c>
      <c r="D109" s="3" t="s">
        <v>2562</v>
      </c>
      <c r="E109" s="3" t="s">
        <v>1821</v>
      </c>
      <c r="F109" s="3" t="s">
        <v>261</v>
      </c>
      <c r="G109" s="3" t="s">
        <v>6105</v>
      </c>
      <c r="H109" s="3" t="s">
        <v>1983</v>
      </c>
      <c r="I109" s="3" t="s">
        <v>5986</v>
      </c>
      <c r="J109" s="3" t="s">
        <v>5999</v>
      </c>
      <c r="K109" s="4" t="b">
        <f>J109 = "blocking"</f>
        <v>1</v>
      </c>
      <c r="L109" s="3" t="s">
        <v>1448</v>
      </c>
      <c r="M109" s="3" t="s">
        <v>6106</v>
      </c>
      <c r="N109" s="5">
        <v>46223.1297337963</v>
      </c>
      <c r="O109" s="4" t="b">
        <f>L109 = "PASS"</f>
        <v>1</v>
      </c>
      <c r="P109" s="4" t="b">
        <f>L109 = "FAIL"</f>
        <v>0</v>
      </c>
      <c r="Q109" s="4" t="b">
        <f>AND(((P109)=TRUE), ((K109)=TRUE))</f>
        <v>0</v>
      </c>
      <c r="R109" s="4" t="str">
        <f>IF(((O109)=TRUE),  I109,  "")</f>
        <v>suite-substrate</v>
      </c>
      <c r="S109" s="4" t="str">
        <f>IF(((Q109)=TRUE),  I109,  "")</f>
      </c>
      <c r="T109" s="3" t="s">
        <v>6001</v>
      </c>
    </row>
    <row r="110">
      <c r="A110" s="3" t="s">
        <v>6145</v>
      </c>
      <c r="B110" s="4" t="str">
        <f>C110 &amp; ": " &amp; D110</f>
        <v>formula-translates: RoleAssignments.HasDeparted</v>
      </c>
      <c r="C110" s="3" t="s">
        <v>6104</v>
      </c>
      <c r="D110" s="3" t="s">
        <v>2564</v>
      </c>
      <c r="E110" s="3" t="s">
        <v>1821</v>
      </c>
      <c r="F110" s="3" t="s">
        <v>262</v>
      </c>
      <c r="G110" s="3" t="s">
        <v>6105</v>
      </c>
      <c r="H110" s="3" t="s">
        <v>2039</v>
      </c>
      <c r="I110" s="3" t="s">
        <v>5986</v>
      </c>
      <c r="J110" s="3" t="s">
        <v>5999</v>
      </c>
      <c r="K110" s="4" t="b">
        <f>J110 = "blocking"</f>
        <v>1</v>
      </c>
      <c r="L110" s="3" t="s">
        <v>1448</v>
      </c>
      <c r="M110" s="3" t="s">
        <v>6106</v>
      </c>
      <c r="N110" s="5">
        <v>46223.1297337963</v>
      </c>
      <c r="O110" s="4" t="b">
        <f>L110 = "PASS"</f>
        <v>1</v>
      </c>
      <c r="P110" s="4" t="b">
        <f>L110 = "FAIL"</f>
        <v>0</v>
      </c>
      <c r="Q110" s="4" t="b">
        <f>AND(((P110)=TRUE), ((K110)=TRUE))</f>
        <v>0</v>
      </c>
      <c r="R110" s="4" t="str">
        <f>IF(((O110)=TRUE),  I110,  "")</f>
        <v>suite-substrate</v>
      </c>
      <c r="S110" s="4" t="str">
        <f>IF(((Q110)=TRUE),  I110,  "")</f>
      </c>
      <c r="T110" s="3" t="s">
        <v>6001</v>
      </c>
    </row>
    <row r="111">
      <c r="A111" s="3" t="s">
        <v>6146</v>
      </c>
      <c r="B111" s="4" t="str">
        <f>C111 &amp; ": " &amp; D111</f>
        <v>formula-translates: RoleAssignments.CoversNow</v>
      </c>
      <c r="C111" s="3" t="s">
        <v>6104</v>
      </c>
      <c r="D111" s="3" t="s">
        <v>2566</v>
      </c>
      <c r="E111" s="3" t="s">
        <v>1821</v>
      </c>
      <c r="F111" s="3" t="s">
        <v>263</v>
      </c>
      <c r="G111" s="3" t="s">
        <v>6105</v>
      </c>
      <c r="H111" s="3" t="s">
        <v>2119</v>
      </c>
      <c r="I111" s="3" t="s">
        <v>5986</v>
      </c>
      <c r="J111" s="3" t="s">
        <v>5999</v>
      </c>
      <c r="K111" s="4" t="b">
        <f>J111 = "blocking"</f>
        <v>1</v>
      </c>
      <c r="L111" s="3" t="s">
        <v>1448</v>
      </c>
      <c r="M111" s="3" t="s">
        <v>6106</v>
      </c>
      <c r="N111" s="5">
        <v>46223.1297337963</v>
      </c>
      <c r="O111" s="4" t="b">
        <f>L111 = "PASS"</f>
        <v>1</v>
      </c>
      <c r="P111" s="4" t="b">
        <f>L111 = "FAIL"</f>
        <v>0</v>
      </c>
      <c r="Q111" s="4" t="b">
        <f>AND(((P111)=TRUE), ((K111)=TRUE))</f>
        <v>0</v>
      </c>
      <c r="R111" s="4" t="str">
        <f>IF(((O111)=TRUE),  I111,  "")</f>
        <v>suite-substrate</v>
      </c>
      <c r="S111" s="4" t="str">
        <f>IF(((Q111)=TRUE),  I111,  "")</f>
      </c>
      <c r="T111" s="3" t="s">
        <v>6001</v>
      </c>
    </row>
    <row r="112">
      <c r="A112" s="3" t="s">
        <v>6147</v>
      </c>
      <c r="B112" s="4" t="str">
        <f>C112 &amp; ": " &amp; D112</f>
        <v>formula-translates: RoleAssignments.RoleWhenCovering</v>
      </c>
      <c r="C112" s="3" t="s">
        <v>6104</v>
      </c>
      <c r="D112" s="3" t="s">
        <v>2568</v>
      </c>
      <c r="E112" s="3" t="s">
        <v>1821</v>
      </c>
      <c r="F112" s="3" t="s">
        <v>264</v>
      </c>
      <c r="G112" s="3" t="s">
        <v>6105</v>
      </c>
      <c r="H112" s="3" t="s">
        <v>2119</v>
      </c>
      <c r="I112" s="3" t="s">
        <v>5986</v>
      </c>
      <c r="J112" s="3" t="s">
        <v>5999</v>
      </c>
      <c r="K112" s="4" t="b">
        <f>J112 = "blocking"</f>
        <v>1</v>
      </c>
      <c r="L112" s="3" t="s">
        <v>1448</v>
      </c>
      <c r="M112" s="3" t="s">
        <v>6106</v>
      </c>
      <c r="N112" s="5">
        <v>46223.1297337963</v>
      </c>
      <c r="O112" s="4" t="b">
        <f>L112 = "PASS"</f>
        <v>1</v>
      </c>
      <c r="P112" s="4" t="b">
        <f>L112 = "FAIL"</f>
        <v>0</v>
      </c>
      <c r="Q112" s="4" t="b">
        <f>AND(((P112)=TRUE), ((K112)=TRUE))</f>
        <v>0</v>
      </c>
      <c r="R112" s="4" t="str">
        <f>IF(((O112)=TRUE),  I112,  "")</f>
        <v>suite-substrate</v>
      </c>
      <c r="S112" s="4" t="str">
        <f>IF(((Q112)=TRUE),  I112,  "")</f>
      </c>
      <c r="T112" s="3" t="s">
        <v>6001</v>
      </c>
    </row>
    <row r="113">
      <c r="A113" s="3" t="s">
        <v>6148</v>
      </c>
      <c r="B113" s="4" t="str">
        <f>C113 &amp; ": " &amp; D113</f>
        <v>formula-translates: RoleAssignments.AgentKind</v>
      </c>
      <c r="C113" s="3" t="s">
        <v>6104</v>
      </c>
      <c r="D113" s="3" t="s">
        <v>2570</v>
      </c>
      <c r="E113" s="3" t="s">
        <v>1821</v>
      </c>
      <c r="F113" s="3" t="s">
        <v>120</v>
      </c>
      <c r="G113" s="3" t="s">
        <v>6105</v>
      </c>
      <c r="H113" s="3" t="s">
        <v>2159</v>
      </c>
      <c r="I113" s="3" t="s">
        <v>5986</v>
      </c>
      <c r="J113" s="3" t="s">
        <v>5999</v>
      </c>
      <c r="K113" s="4" t="b">
        <f>J113 = "blocking"</f>
        <v>1</v>
      </c>
      <c r="L113" s="3" t="s">
        <v>1448</v>
      </c>
      <c r="M113" s="3" t="s">
        <v>6106</v>
      </c>
      <c r="N113" s="5">
        <v>46223.1297337963</v>
      </c>
      <c r="O113" s="4" t="b">
        <f>L113 = "PASS"</f>
        <v>1</v>
      </c>
      <c r="P113" s="4" t="b">
        <f>L113 = "FAIL"</f>
        <v>0</v>
      </c>
      <c r="Q113" s="4" t="b">
        <f>AND(((P113)=TRUE), ((K113)=TRUE))</f>
        <v>0</v>
      </c>
      <c r="R113" s="4" t="str">
        <f>IF(((O113)=TRUE),  I113,  "")</f>
        <v>suite-substrate</v>
      </c>
      <c r="S113" s="4" t="str">
        <f>IF(((Q113)=TRUE),  I113,  "")</f>
      </c>
      <c r="T113" s="3" t="s">
        <v>6001</v>
      </c>
    </row>
    <row r="114">
      <c r="A114" s="3" t="s">
        <v>6149</v>
      </c>
      <c r="B114" s="4" t="str">
        <f>C114 &amp; ": " &amp; D114</f>
        <v>formula-translates: RoleAssignments.IsNonHumanAssignment</v>
      </c>
      <c r="C114" s="3" t="s">
        <v>6104</v>
      </c>
      <c r="D114" s="3" t="s">
        <v>2572</v>
      </c>
      <c r="E114" s="3" t="s">
        <v>1821</v>
      </c>
      <c r="F114" s="3" t="s">
        <v>265</v>
      </c>
      <c r="G114" s="3" t="s">
        <v>6105</v>
      </c>
      <c r="H114" s="3" t="s">
        <v>2159</v>
      </c>
      <c r="I114" s="3" t="s">
        <v>5986</v>
      </c>
      <c r="J114" s="3" t="s">
        <v>5999</v>
      </c>
      <c r="K114" s="4" t="b">
        <f>J114 = "blocking"</f>
        <v>1</v>
      </c>
      <c r="L114" s="3" t="s">
        <v>1448</v>
      </c>
      <c r="M114" s="3" t="s">
        <v>6106</v>
      </c>
      <c r="N114" s="5">
        <v>46223.1297337963</v>
      </c>
      <c r="O114" s="4" t="b">
        <f>L114 = "PASS"</f>
        <v>1</v>
      </c>
      <c r="P114" s="4" t="b">
        <f>L114 = "FAIL"</f>
        <v>0</v>
      </c>
      <c r="Q114" s="4" t="b">
        <f>AND(((P114)=TRUE), ((K114)=TRUE))</f>
        <v>0</v>
      </c>
      <c r="R114" s="4" t="str">
        <f>IF(((O114)=TRUE),  I114,  "")</f>
        <v>suite-substrate</v>
      </c>
      <c r="S114" s="4" t="str">
        <f>IF(((Q114)=TRUE),  I114,  "")</f>
      </c>
      <c r="T114" s="3" t="s">
        <v>6001</v>
      </c>
    </row>
    <row r="115">
      <c r="A115" s="3" t="s">
        <v>6150</v>
      </c>
      <c r="B115" s="4" t="str">
        <f>C115 &amp; ": " &amp; D115</f>
        <v>formula-translates: RoleAssignments.PredecessorAgentKind</v>
      </c>
      <c r="C115" s="3" t="s">
        <v>6104</v>
      </c>
      <c r="D115" s="3" t="s">
        <v>2574</v>
      </c>
      <c r="E115" s="3" t="s">
        <v>1821</v>
      </c>
      <c r="F115" s="3" t="s">
        <v>267</v>
      </c>
      <c r="G115" s="3" t="s">
        <v>6105</v>
      </c>
      <c r="H115" s="3" t="s">
        <v>2159</v>
      </c>
      <c r="I115" s="3" t="s">
        <v>5986</v>
      </c>
      <c r="J115" s="3" t="s">
        <v>5999</v>
      </c>
      <c r="K115" s="4" t="b">
        <f>J115 = "blocking"</f>
        <v>1</v>
      </c>
      <c r="L115" s="3" t="s">
        <v>1448</v>
      </c>
      <c r="M115" s="3" t="s">
        <v>6106</v>
      </c>
      <c r="N115" s="5">
        <v>46223.1297337963</v>
      </c>
      <c r="O115" s="4" t="b">
        <f>L115 = "PASS"</f>
        <v>1</v>
      </c>
      <c r="P115" s="4" t="b">
        <f>L115 = "FAIL"</f>
        <v>0</v>
      </c>
      <c r="Q115" s="4" t="b">
        <f>AND(((P115)=TRUE), ((K115)=TRUE))</f>
        <v>0</v>
      </c>
      <c r="R115" s="4" t="str">
        <f>IF(((O115)=TRUE),  I115,  "")</f>
        <v>suite-substrate</v>
      </c>
      <c r="S115" s="4" t="str">
        <f>IF(((Q115)=TRUE),  I115,  "")</f>
      </c>
      <c r="T115" s="3" t="s">
        <v>6001</v>
      </c>
    </row>
    <row r="116">
      <c r="A116" s="3" t="s">
        <v>6151</v>
      </c>
      <c r="B116" s="4" t="str">
        <f>C116 &amp; ": " &amp; D116</f>
        <v>formula-translates: RoleAssignments.IsHumanToNonHumanHandover</v>
      </c>
      <c r="C116" s="3" t="s">
        <v>6104</v>
      </c>
      <c r="D116" s="3" t="s">
        <v>2576</v>
      </c>
      <c r="E116" s="3" t="s">
        <v>1821</v>
      </c>
      <c r="F116" s="3" t="s">
        <v>268</v>
      </c>
      <c r="G116" s="3" t="s">
        <v>6105</v>
      </c>
      <c r="H116" s="3" t="s">
        <v>2159</v>
      </c>
      <c r="I116" s="3" t="s">
        <v>5986</v>
      </c>
      <c r="J116" s="3" t="s">
        <v>5999</v>
      </c>
      <c r="K116" s="4" t="b">
        <f>J116 = "blocking"</f>
        <v>1</v>
      </c>
      <c r="L116" s="3" t="s">
        <v>1448</v>
      </c>
      <c r="M116" s="3" t="s">
        <v>6106</v>
      </c>
      <c r="N116" s="5">
        <v>46223.1297337963</v>
      </c>
      <c r="O116" s="4" t="b">
        <f>L116 = "PASS"</f>
        <v>1</v>
      </c>
      <c r="P116" s="4" t="b">
        <f>L116 = "FAIL"</f>
        <v>0</v>
      </c>
      <c r="Q116" s="4" t="b">
        <f>AND(((P116)=TRUE), ((K116)=TRUE))</f>
        <v>0</v>
      </c>
      <c r="R116" s="4" t="str">
        <f>IF(((O116)=TRUE),  I116,  "")</f>
        <v>suite-substrate</v>
      </c>
      <c r="S116" s="4" t="str">
        <f>IF(((Q116)=TRUE),  I116,  "")</f>
      </c>
      <c r="T116" s="3" t="s">
        <v>6001</v>
      </c>
    </row>
    <row r="117">
      <c r="A117" s="3" t="s">
        <v>6152</v>
      </c>
      <c r="B117" s="4" t="str">
        <f>C117 &amp; ": " &amp; D117</f>
        <v>formula-translates: RoleAssignments.IsUnauthorizedNonHumanAssignment</v>
      </c>
      <c r="C117" s="3" t="s">
        <v>6104</v>
      </c>
      <c r="D117" s="3" t="s">
        <v>2580</v>
      </c>
      <c r="E117" s="3" t="s">
        <v>1821</v>
      </c>
      <c r="F117" s="3" t="s">
        <v>271</v>
      </c>
      <c r="G117" s="3" t="s">
        <v>6105</v>
      </c>
      <c r="H117" s="3" t="s">
        <v>2159</v>
      </c>
      <c r="I117" s="3" t="s">
        <v>5986</v>
      </c>
      <c r="J117" s="3" t="s">
        <v>5999</v>
      </c>
      <c r="K117" s="4" t="b">
        <f>J117 = "blocking"</f>
        <v>1</v>
      </c>
      <c r="L117" s="3" t="s">
        <v>1448</v>
      </c>
      <c r="M117" s="3" t="s">
        <v>6106</v>
      </c>
      <c r="N117" s="5">
        <v>46223.1297337963</v>
      </c>
      <c r="O117" s="4" t="b">
        <f>L117 = "PASS"</f>
        <v>1</v>
      </c>
      <c r="P117" s="4" t="b">
        <f>L117 = "FAIL"</f>
        <v>0</v>
      </c>
      <c r="Q117" s="4" t="b">
        <f>AND(((P117)=TRUE), ((K117)=TRUE))</f>
        <v>0</v>
      </c>
      <c r="R117" s="4" t="str">
        <f>IF(((O117)=TRUE),  I117,  "")</f>
        <v>suite-substrate</v>
      </c>
      <c r="S117" s="4" t="str">
        <f>IF(((Q117)=TRUE),  I117,  "")</f>
      </c>
      <c r="T117" s="3" t="s">
        <v>6001</v>
      </c>
    </row>
    <row r="118">
      <c r="A118" s="3" t="s">
        <v>6153</v>
      </c>
      <c r="B118" s="4" t="str">
        <f>C118 &amp; ": " &amp; D118</f>
        <v>formula-translates: RoleAssignments.WasAuthorizedByChangeRequest</v>
      </c>
      <c r="C118" s="3" t="s">
        <v>6104</v>
      </c>
      <c r="D118" s="3" t="s">
        <v>2582</v>
      </c>
      <c r="E118" s="3" t="s">
        <v>1821</v>
      </c>
      <c r="F118" s="3" t="s">
        <v>272</v>
      </c>
      <c r="G118" s="3" t="s">
        <v>6105</v>
      </c>
      <c r="H118" s="3"/>
      <c r="I118" s="3" t="s">
        <v>5986</v>
      </c>
      <c r="J118" s="3" t="s">
        <v>5999</v>
      </c>
      <c r="K118" s="4" t="b">
        <f>J118 = "blocking"</f>
        <v>1</v>
      </c>
      <c r="L118" s="3" t="s">
        <v>1448</v>
      </c>
      <c r="M118" s="3" t="s">
        <v>6106</v>
      </c>
      <c r="N118" s="5">
        <v>46223.1297337963</v>
      </c>
      <c r="O118" s="4" t="b">
        <f>L118 = "PASS"</f>
        <v>1</v>
      </c>
      <c r="P118" s="4" t="b">
        <f>L118 = "FAIL"</f>
        <v>0</v>
      </c>
      <c r="Q118" s="4" t="b">
        <f>AND(((P118)=TRUE), ((K118)=TRUE))</f>
        <v>0</v>
      </c>
      <c r="R118" s="4" t="str">
        <f>IF(((O118)=TRUE),  I118,  "")</f>
        <v>suite-substrate</v>
      </c>
      <c r="S118" s="4" t="str">
        <f>IF(((Q118)=TRUE),  I118,  "")</f>
      </c>
      <c r="T118" s="3" t="s">
        <v>6001</v>
      </c>
    </row>
    <row r="119">
      <c r="A119" s="3" t="s">
        <v>6154</v>
      </c>
      <c r="B119" s="4" t="str">
        <f>C119 &amp; ": " &amp; D119</f>
        <v>formula-translates: RoleAssignments.DecisionCount</v>
      </c>
      <c r="C119" s="3" t="s">
        <v>6104</v>
      </c>
      <c r="D119" s="3" t="s">
        <v>2584</v>
      </c>
      <c r="E119" s="3" t="s">
        <v>1821</v>
      </c>
      <c r="F119" s="3" t="s">
        <v>126</v>
      </c>
      <c r="G119" s="3" t="s">
        <v>6105</v>
      </c>
      <c r="H119" s="3" t="s">
        <v>2163</v>
      </c>
      <c r="I119" s="3" t="s">
        <v>5986</v>
      </c>
      <c r="J119" s="3" t="s">
        <v>5999</v>
      </c>
      <c r="K119" s="4" t="b">
        <f>J119 = "blocking"</f>
        <v>1</v>
      </c>
      <c r="L119" s="3" t="s">
        <v>1448</v>
      </c>
      <c r="M119" s="3" t="s">
        <v>6106</v>
      </c>
      <c r="N119" s="5">
        <v>46223.1297337963</v>
      </c>
      <c r="O119" s="4" t="b">
        <f>L119 = "PASS"</f>
        <v>1</v>
      </c>
      <c r="P119" s="4" t="b">
        <f>L119 = "FAIL"</f>
        <v>0</v>
      </c>
      <c r="Q119" s="4" t="b">
        <f>AND(((P119)=TRUE), ((K119)=TRUE))</f>
        <v>0</v>
      </c>
      <c r="R119" s="4" t="str">
        <f>IF(((O119)=TRUE),  I119,  "")</f>
        <v>suite-substrate</v>
      </c>
      <c r="S119" s="4" t="str">
        <f>IF(((Q119)=TRUE),  I119,  "")</f>
      </c>
      <c r="T119" s="3" t="s">
        <v>6001</v>
      </c>
    </row>
    <row r="120">
      <c r="A120" s="3" t="s">
        <v>6155</v>
      </c>
      <c r="B120" s="4" t="str">
        <f>C120 &amp; ": " &amp; D120</f>
        <v>formula-translates: RoleAssignments.OverriddenDecisionCount</v>
      </c>
      <c r="C120" s="3" t="s">
        <v>6104</v>
      </c>
      <c r="D120" s="3" t="s">
        <v>2586</v>
      </c>
      <c r="E120" s="3" t="s">
        <v>1821</v>
      </c>
      <c r="F120" s="3" t="s">
        <v>127</v>
      </c>
      <c r="G120" s="3" t="s">
        <v>6105</v>
      </c>
      <c r="H120" s="3" t="s">
        <v>2163</v>
      </c>
      <c r="I120" s="3" t="s">
        <v>5986</v>
      </c>
      <c r="J120" s="3" t="s">
        <v>5999</v>
      </c>
      <c r="K120" s="4" t="b">
        <f>J120 = "blocking"</f>
        <v>1</v>
      </c>
      <c r="L120" s="3" t="s">
        <v>1448</v>
      </c>
      <c r="M120" s="3" t="s">
        <v>6106</v>
      </c>
      <c r="N120" s="5">
        <v>46223.1297337963</v>
      </c>
      <c r="O120" s="4" t="b">
        <f>L120 = "PASS"</f>
        <v>1</v>
      </c>
      <c r="P120" s="4" t="b">
        <f>L120 = "FAIL"</f>
        <v>0</v>
      </c>
      <c r="Q120" s="4" t="b">
        <f>AND(((P120)=TRUE), ((K120)=TRUE))</f>
        <v>0</v>
      </c>
      <c r="R120" s="4" t="str">
        <f>IF(((O120)=TRUE),  I120,  "")</f>
        <v>suite-substrate</v>
      </c>
      <c r="S120" s="4" t="str">
        <f>IF(((Q120)=TRUE),  I120,  "")</f>
      </c>
      <c r="T120" s="3" t="s">
        <v>6001</v>
      </c>
    </row>
    <row r="121">
      <c r="A121" s="3" t="s">
        <v>6156</v>
      </c>
      <c r="B121" s="4" t="str">
        <f>C121 &amp; ": " &amp; D121</f>
        <v>formula-translates: RoleAssignments.OverrideRatePercent</v>
      </c>
      <c r="C121" s="3" t="s">
        <v>6104</v>
      </c>
      <c r="D121" s="3" t="s">
        <v>2588</v>
      </c>
      <c r="E121" s="3" t="s">
        <v>1821</v>
      </c>
      <c r="F121" s="3" t="s">
        <v>128</v>
      </c>
      <c r="G121" s="3" t="s">
        <v>6105</v>
      </c>
      <c r="H121" s="3" t="s">
        <v>2163</v>
      </c>
      <c r="I121" s="3" t="s">
        <v>5986</v>
      </c>
      <c r="J121" s="3" t="s">
        <v>5999</v>
      </c>
      <c r="K121" s="4" t="b">
        <f>J121 = "blocking"</f>
        <v>1</v>
      </c>
      <c r="L121" s="3" t="s">
        <v>1448</v>
      </c>
      <c r="M121" s="3" t="s">
        <v>6106</v>
      </c>
      <c r="N121" s="5">
        <v>46223.1297337963</v>
      </c>
      <c r="O121" s="4" t="b">
        <f>L121 = "PASS"</f>
        <v>1</v>
      </c>
      <c r="P121" s="4" t="b">
        <f>L121 = "FAIL"</f>
        <v>0</v>
      </c>
      <c r="Q121" s="4" t="b">
        <f>AND(((P121)=TRUE), ((K121)=TRUE))</f>
        <v>0</v>
      </c>
      <c r="R121" s="4" t="str">
        <f>IF(((O121)=TRUE),  I121,  "")</f>
        <v>suite-substrate</v>
      </c>
      <c r="S121" s="4" t="str">
        <f>IF(((Q121)=TRUE),  I121,  "")</f>
      </c>
      <c r="T121" s="3" t="s">
        <v>6001</v>
      </c>
    </row>
    <row r="122">
      <c r="A122" s="3" t="s">
        <v>6157</v>
      </c>
      <c r="B122" s="4" t="str">
        <f>C122 &amp; ": " &amp; D122</f>
        <v>formula-translates: RoleAssignments.PredecessorOverrideRatePercent</v>
      </c>
      <c r="C122" s="3" t="s">
        <v>6104</v>
      </c>
      <c r="D122" s="3" t="s">
        <v>2589</v>
      </c>
      <c r="E122" s="3" t="s">
        <v>1821</v>
      </c>
      <c r="F122" s="3" t="s">
        <v>273</v>
      </c>
      <c r="G122" s="3" t="s">
        <v>6105</v>
      </c>
      <c r="H122" s="3" t="s">
        <v>2163</v>
      </c>
      <c r="I122" s="3" t="s">
        <v>5986</v>
      </c>
      <c r="J122" s="3" t="s">
        <v>5999</v>
      </c>
      <c r="K122" s="4" t="b">
        <f>J122 = "blocking"</f>
        <v>1</v>
      </c>
      <c r="L122" s="3" t="s">
        <v>1448</v>
      </c>
      <c r="M122" s="3" t="s">
        <v>6106</v>
      </c>
      <c r="N122" s="5">
        <v>46223.1297337963</v>
      </c>
      <c r="O122" s="4" t="b">
        <f>L122 = "PASS"</f>
        <v>1</v>
      </c>
      <c r="P122" s="4" t="b">
        <f>L122 = "FAIL"</f>
        <v>0</v>
      </c>
      <c r="Q122" s="4" t="b">
        <f>AND(((P122)=TRUE), ((K122)=TRUE))</f>
        <v>0</v>
      </c>
      <c r="R122" s="4" t="str">
        <f>IF(((O122)=TRUE),  I122,  "")</f>
        <v>suite-substrate</v>
      </c>
      <c r="S122" s="4" t="str">
        <f>IF(((Q122)=TRUE),  I122,  "")</f>
      </c>
      <c r="T122" s="3" t="s">
        <v>6001</v>
      </c>
    </row>
    <row r="123">
      <c r="A123" s="3" t="s">
        <v>6158</v>
      </c>
      <c r="B123" s="4" t="str">
        <f>C123 &amp; ": " &amp; D123</f>
        <v>formula-translates: RoleAssignments.QualityRegressedVsPredecessor</v>
      </c>
      <c r="C123" s="3" t="s">
        <v>6104</v>
      </c>
      <c r="D123" s="3" t="s">
        <v>2591</v>
      </c>
      <c r="E123" s="3" t="s">
        <v>1821</v>
      </c>
      <c r="F123" s="3" t="s">
        <v>274</v>
      </c>
      <c r="G123" s="3" t="s">
        <v>6105</v>
      </c>
      <c r="H123" s="3" t="s">
        <v>2163</v>
      </c>
      <c r="I123" s="3" t="s">
        <v>5986</v>
      </c>
      <c r="J123" s="3" t="s">
        <v>5999</v>
      </c>
      <c r="K123" s="4" t="b">
        <f>J123 = "blocking"</f>
        <v>1</v>
      </c>
      <c r="L123" s="3" t="s">
        <v>1448</v>
      </c>
      <c r="M123" s="3" t="s">
        <v>6106</v>
      </c>
      <c r="N123" s="5">
        <v>46223.1297337963</v>
      </c>
      <c r="O123" s="4" t="b">
        <f>L123 = "PASS"</f>
        <v>1</v>
      </c>
      <c r="P123" s="4" t="b">
        <f>L123 = "FAIL"</f>
        <v>0</v>
      </c>
      <c r="Q123" s="4" t="b">
        <f>AND(((P123)=TRUE), ((K123)=TRUE))</f>
        <v>0</v>
      </c>
      <c r="R123" s="4" t="str">
        <f>IF(((O123)=TRUE),  I123,  "")</f>
        <v>suite-substrate</v>
      </c>
      <c r="S123" s="4" t="str">
        <f>IF(((Q123)=TRUE),  I123,  "")</f>
      </c>
      <c r="T123" s="3" t="s">
        <v>6001</v>
      </c>
    </row>
    <row r="124">
      <c r="A124" s="3" t="s">
        <v>6159</v>
      </c>
      <c r="B124" s="4" t="str">
        <f>C124 &amp; ": " &amp; D124</f>
        <v>formula-translates: RoleAssignments.DepartedRoleKey</v>
      </c>
      <c r="C124" s="3" t="s">
        <v>6104</v>
      </c>
      <c r="D124" s="3" t="s">
        <v>2593</v>
      </c>
      <c r="E124" s="3" t="s">
        <v>1821</v>
      </c>
      <c r="F124" s="3" t="s">
        <v>275</v>
      </c>
      <c r="G124" s="3" t="s">
        <v>6105</v>
      </c>
      <c r="H124" s="3" t="s">
        <v>2235</v>
      </c>
      <c r="I124" s="3" t="s">
        <v>5986</v>
      </c>
      <c r="J124" s="3" t="s">
        <v>5999</v>
      </c>
      <c r="K124" s="4" t="b">
        <f>J124 = "blocking"</f>
        <v>1</v>
      </c>
      <c r="L124" s="3" t="s">
        <v>1448</v>
      </c>
      <c r="M124" s="3" t="s">
        <v>6106</v>
      </c>
      <c r="N124" s="5">
        <v>46223.1297337963</v>
      </c>
      <c r="O124" s="4" t="b">
        <f>L124 = "PASS"</f>
        <v>1</v>
      </c>
      <c r="P124" s="4" t="b">
        <f>L124 = "FAIL"</f>
        <v>0</v>
      </c>
      <c r="Q124" s="4" t="b">
        <f>AND(((P124)=TRUE), ((K124)=TRUE))</f>
        <v>0</v>
      </c>
      <c r="R124" s="4" t="str">
        <f>IF(((O124)=TRUE),  I124,  "")</f>
        <v>suite-substrate</v>
      </c>
      <c r="S124" s="4" t="str">
        <f>IF(((Q124)=TRUE),  I124,  "")</f>
      </c>
      <c r="T124" s="3" t="s">
        <v>6001</v>
      </c>
    </row>
    <row r="125">
      <c r="A125" s="3" t="s">
        <v>6160</v>
      </c>
      <c r="B125" s="4" t="str">
        <f>C125 &amp; ": " &amp; D125</f>
        <v>formula-translates: RoleAssignments.PredecessorDecisionCount</v>
      </c>
      <c r="C125" s="3" t="s">
        <v>6104</v>
      </c>
      <c r="D125" s="3" t="s">
        <v>2596</v>
      </c>
      <c r="E125" s="3" t="s">
        <v>1821</v>
      </c>
      <c r="F125" s="3" t="s">
        <v>277</v>
      </c>
      <c r="G125" s="3" t="s">
        <v>6105</v>
      </c>
      <c r="H125" s="3" t="s">
        <v>2339</v>
      </c>
      <c r="I125" s="3" t="s">
        <v>5986</v>
      </c>
      <c r="J125" s="3" t="s">
        <v>5999</v>
      </c>
      <c r="K125" s="4" t="b">
        <f>J125 = "blocking"</f>
        <v>1</v>
      </c>
      <c r="L125" s="3" t="s">
        <v>1448</v>
      </c>
      <c r="M125" s="3" t="s">
        <v>6106</v>
      </c>
      <c r="N125" s="5">
        <v>46223.1297337963</v>
      </c>
      <c r="O125" s="4" t="b">
        <f>L125 = "PASS"</f>
        <v>1</v>
      </c>
      <c r="P125" s="4" t="b">
        <f>L125 = "FAIL"</f>
        <v>0</v>
      </c>
      <c r="Q125" s="4" t="b">
        <f>AND(((P125)=TRUE), ((K125)=TRUE))</f>
        <v>0</v>
      </c>
      <c r="R125" s="4" t="str">
        <f>IF(((O125)=TRUE),  I125,  "")</f>
        <v>suite-substrate</v>
      </c>
      <c r="S125" s="4" t="str">
        <f>IF(((Q125)=TRUE),  I125,  "")</f>
      </c>
      <c r="T125" s="3" t="s">
        <v>6001</v>
      </c>
    </row>
    <row r="126">
      <c r="A126" s="3" t="s">
        <v>6161</v>
      </c>
      <c r="B126" s="4" t="str">
        <f>C126 &amp; ": " &amp; D126</f>
        <v>formula-translates: RoleAssignments.HasSufficientSample</v>
      </c>
      <c r="C126" s="3" t="s">
        <v>6104</v>
      </c>
      <c r="D126" s="3" t="s">
        <v>2598</v>
      </c>
      <c r="E126" s="3" t="s">
        <v>1821</v>
      </c>
      <c r="F126" s="3" t="s">
        <v>278</v>
      </c>
      <c r="G126" s="3" t="s">
        <v>6105</v>
      </c>
      <c r="H126" s="3" t="s">
        <v>2339</v>
      </c>
      <c r="I126" s="3" t="s">
        <v>5986</v>
      </c>
      <c r="J126" s="3" t="s">
        <v>5999</v>
      </c>
      <c r="K126" s="4" t="b">
        <f>J126 = "blocking"</f>
        <v>1</v>
      </c>
      <c r="L126" s="3" t="s">
        <v>1448</v>
      </c>
      <c r="M126" s="3" t="s">
        <v>6106</v>
      </c>
      <c r="N126" s="5">
        <v>46223.1297337963</v>
      </c>
      <c r="O126" s="4" t="b">
        <f>L126 = "PASS"</f>
        <v>1</v>
      </c>
      <c r="P126" s="4" t="b">
        <f>L126 = "FAIL"</f>
        <v>0</v>
      </c>
      <c r="Q126" s="4" t="b">
        <f>AND(((P126)=TRUE), ((K126)=TRUE))</f>
        <v>0</v>
      </c>
      <c r="R126" s="4" t="str">
        <f>IF(((O126)=TRUE),  I126,  "")</f>
        <v>suite-substrate</v>
      </c>
      <c r="S126" s="4" t="str">
        <f>IF(((Q126)=TRUE),  I126,  "")</f>
      </c>
      <c r="T126" s="3" t="s">
        <v>6001</v>
      </c>
    </row>
    <row r="127">
      <c r="A127" s="3" t="s">
        <v>6162</v>
      </c>
      <c r="B127" s="4" t="str">
        <f>C127 &amp; ": " &amp; D127</f>
        <v>formula-translates: RoleAssignments.PredecessorHasSufficientSample</v>
      </c>
      <c r="C127" s="3" t="s">
        <v>6104</v>
      </c>
      <c r="D127" s="3" t="s">
        <v>2600</v>
      </c>
      <c r="E127" s="3" t="s">
        <v>1821</v>
      </c>
      <c r="F127" s="3" t="s">
        <v>279</v>
      </c>
      <c r="G127" s="3" t="s">
        <v>6105</v>
      </c>
      <c r="H127" s="3" t="s">
        <v>2339</v>
      </c>
      <c r="I127" s="3" t="s">
        <v>5986</v>
      </c>
      <c r="J127" s="3" t="s">
        <v>5999</v>
      </c>
      <c r="K127" s="4" t="b">
        <f>J127 = "blocking"</f>
        <v>1</v>
      </c>
      <c r="L127" s="3" t="s">
        <v>1448</v>
      </c>
      <c r="M127" s="3" t="s">
        <v>6106</v>
      </c>
      <c r="N127" s="5">
        <v>46223.1297337963</v>
      </c>
      <c r="O127" s="4" t="b">
        <f>L127 = "PASS"</f>
        <v>1</v>
      </c>
      <c r="P127" s="4" t="b">
        <f>L127 = "FAIL"</f>
        <v>0</v>
      </c>
      <c r="Q127" s="4" t="b">
        <f>AND(((P127)=TRUE), ((K127)=TRUE))</f>
        <v>0</v>
      </c>
      <c r="R127" s="4" t="str">
        <f>IF(((O127)=TRUE),  I127,  "")</f>
        <v>suite-substrate</v>
      </c>
      <c r="S127" s="4" t="str">
        <f>IF(((Q127)=TRUE),  I127,  "")</f>
      </c>
      <c r="T127" s="3" t="s">
        <v>6001</v>
      </c>
    </row>
    <row r="128">
      <c r="A128" s="3" t="s">
        <v>6163</v>
      </c>
      <c r="B128" s="4" t="str">
        <f>C128 &amp; ": " &amp; D128</f>
        <v>formula-translates: RoleAssignments.ComparisonIsEvidentiallySound</v>
      </c>
      <c r="C128" s="3" t="s">
        <v>6104</v>
      </c>
      <c r="D128" s="3" t="s">
        <v>2602</v>
      </c>
      <c r="E128" s="3" t="s">
        <v>1821</v>
      </c>
      <c r="F128" s="3" t="s">
        <v>280</v>
      </c>
      <c r="G128" s="3" t="s">
        <v>6105</v>
      </c>
      <c r="H128" s="3" t="s">
        <v>2339</v>
      </c>
      <c r="I128" s="3" t="s">
        <v>5986</v>
      </c>
      <c r="J128" s="3" t="s">
        <v>5999</v>
      </c>
      <c r="K128" s="4" t="b">
        <f>J128 = "blocking"</f>
        <v>1</v>
      </c>
      <c r="L128" s="3" t="s">
        <v>1448</v>
      </c>
      <c r="M128" s="3" t="s">
        <v>6106</v>
      </c>
      <c r="N128" s="5">
        <v>46223.1297337963</v>
      </c>
      <c r="O128" s="4" t="b">
        <f>L128 = "PASS"</f>
        <v>1</v>
      </c>
      <c r="P128" s="4" t="b">
        <f>L128 = "FAIL"</f>
        <v>0</v>
      </c>
      <c r="Q128" s="4" t="b">
        <f>AND(((P128)=TRUE), ((K128)=TRUE))</f>
        <v>0</v>
      </c>
      <c r="R128" s="4" t="str">
        <f>IF(((O128)=TRUE),  I128,  "")</f>
        <v>suite-substrate</v>
      </c>
      <c r="S128" s="4" t="str">
        <f>IF(((Q128)=TRUE),  I128,  "")</f>
      </c>
      <c r="T128" s="3" t="s">
        <v>6001</v>
      </c>
    </row>
    <row r="129">
      <c r="A129" s="3" t="s">
        <v>6164</v>
      </c>
      <c r="B129" s="4" t="str">
        <f>C129 &amp; ": " &amp; D129</f>
        <v>formula-translates: RoleAssignments.SingleOverrideSwingPercent</v>
      </c>
      <c r="C129" s="3" t="s">
        <v>6104</v>
      </c>
      <c r="D129" s="3" t="s">
        <v>2604</v>
      </c>
      <c r="E129" s="3" t="s">
        <v>1821</v>
      </c>
      <c r="F129" s="3" t="s">
        <v>281</v>
      </c>
      <c r="G129" s="3" t="s">
        <v>6105</v>
      </c>
      <c r="H129" s="3" t="s">
        <v>2339</v>
      </c>
      <c r="I129" s="3" t="s">
        <v>5986</v>
      </c>
      <c r="J129" s="3" t="s">
        <v>5999</v>
      </c>
      <c r="K129" s="4" t="b">
        <f>J129 = "blocking"</f>
        <v>1</v>
      </c>
      <c r="L129" s="3" t="s">
        <v>1448</v>
      </c>
      <c r="M129" s="3" t="s">
        <v>6106</v>
      </c>
      <c r="N129" s="5">
        <v>46223.1297337963</v>
      </c>
      <c r="O129" s="4" t="b">
        <f>L129 = "PASS"</f>
        <v>1</v>
      </c>
      <c r="P129" s="4" t="b">
        <f>L129 = "FAIL"</f>
        <v>0</v>
      </c>
      <c r="Q129" s="4" t="b">
        <f>AND(((P129)=TRUE), ((K129)=TRUE))</f>
        <v>0</v>
      </c>
      <c r="R129" s="4" t="str">
        <f>IF(((O129)=TRUE),  I129,  "")</f>
        <v>suite-substrate</v>
      </c>
      <c r="S129" s="4" t="str">
        <f>IF(((Q129)=TRUE),  I129,  "")</f>
      </c>
      <c r="T129" s="3" t="s">
        <v>6001</v>
      </c>
    </row>
    <row r="130">
      <c r="A130" s="3" t="s">
        <v>6165</v>
      </c>
      <c r="B130" s="4" t="str">
        <f>C130 &amp; ": " &amp; D130</f>
        <v>formula-translates: RoleAssignments.QualityVerdictIsUnsupported</v>
      </c>
      <c r="C130" s="3" t="s">
        <v>6104</v>
      </c>
      <c r="D130" s="3" t="s">
        <v>2606</v>
      </c>
      <c r="E130" s="3" t="s">
        <v>1821</v>
      </c>
      <c r="F130" s="3" t="s">
        <v>282</v>
      </c>
      <c r="G130" s="3" t="s">
        <v>6105</v>
      </c>
      <c r="H130" s="3" t="s">
        <v>2339</v>
      </c>
      <c r="I130" s="3" t="s">
        <v>5986</v>
      </c>
      <c r="J130" s="3" t="s">
        <v>5999</v>
      </c>
      <c r="K130" s="4" t="b">
        <f>J130 = "blocking"</f>
        <v>1</v>
      </c>
      <c r="L130" s="3" t="s">
        <v>1448</v>
      </c>
      <c r="M130" s="3" t="s">
        <v>6106</v>
      </c>
      <c r="N130" s="5">
        <v>46223.1297337963</v>
      </c>
      <c r="O130" s="4" t="b">
        <f>L130 = "PASS"</f>
        <v>1</v>
      </c>
      <c r="P130" s="4" t="b">
        <f>L130 = "FAIL"</f>
        <v>0</v>
      </c>
      <c r="Q130" s="4" t="b">
        <f>AND(((P130)=TRUE), ((K130)=TRUE))</f>
        <v>0</v>
      </c>
      <c r="R130" s="4" t="str">
        <f>IF(((O130)=TRUE),  I130,  "")</f>
        <v>suite-substrate</v>
      </c>
      <c r="S130" s="4" t="str">
        <f>IF(((Q130)=TRUE),  I130,  "")</f>
      </c>
      <c r="T130" s="3" t="s">
        <v>6001</v>
      </c>
    </row>
    <row r="131">
      <c r="A131" s="3" t="s">
        <v>6166</v>
      </c>
      <c r="B131" s="4" t="str">
        <f>C131 &amp; ": " &amp; D131</f>
        <v>formula-translates: RoleAssignments.IsUnmeasuredAutomationHandover</v>
      </c>
      <c r="C131" s="3" t="s">
        <v>6104</v>
      </c>
      <c r="D131" s="3" t="s">
        <v>2608</v>
      </c>
      <c r="E131" s="3" t="s">
        <v>1821</v>
      </c>
      <c r="F131" s="3" t="s">
        <v>283</v>
      </c>
      <c r="G131" s="3" t="s">
        <v>6105</v>
      </c>
      <c r="H131" s="3" t="s">
        <v>2339</v>
      </c>
      <c r="I131" s="3" t="s">
        <v>5986</v>
      </c>
      <c r="J131" s="3" t="s">
        <v>5999</v>
      </c>
      <c r="K131" s="4" t="b">
        <f>J131 = "blocking"</f>
        <v>1</v>
      </c>
      <c r="L131" s="3" t="s">
        <v>1448</v>
      </c>
      <c r="M131" s="3" t="s">
        <v>6106</v>
      </c>
      <c r="N131" s="5">
        <v>46223.1297337963</v>
      </c>
      <c r="O131" s="4" t="b">
        <f>L131 = "PASS"</f>
        <v>1</v>
      </c>
      <c r="P131" s="4" t="b">
        <f>L131 = "FAIL"</f>
        <v>0</v>
      </c>
      <c r="Q131" s="4" t="b">
        <f>AND(((P131)=TRUE), ((K131)=TRUE))</f>
        <v>0</v>
      </c>
      <c r="R131" s="4" t="str">
        <f>IF(((O131)=TRUE),  I131,  "")</f>
        <v>suite-substrate</v>
      </c>
      <c r="S131" s="4" t="str">
        <f>IF(((Q131)=TRUE),  I131,  "")</f>
      </c>
      <c r="T131" s="3" t="s">
        <v>6001</v>
      </c>
    </row>
    <row r="132">
      <c r="A132" s="3" t="s">
        <v>6167</v>
      </c>
      <c r="B132" s="4" t="str">
        <f>C132 &amp; ": " &amp; D132</f>
        <v>formula-translates: RoleAssignments.ErrorCorrectionCount</v>
      </c>
      <c r="C132" s="3" t="s">
        <v>6104</v>
      </c>
      <c r="D132" s="3" t="s">
        <v>2610</v>
      </c>
      <c r="E132" s="3" t="s">
        <v>1821</v>
      </c>
      <c r="F132" s="3" t="s">
        <v>284</v>
      </c>
      <c r="G132" s="3" t="s">
        <v>6105</v>
      </c>
      <c r="H132" s="3" t="s">
        <v>2347</v>
      </c>
      <c r="I132" s="3" t="s">
        <v>5986</v>
      </c>
      <c r="J132" s="3" t="s">
        <v>5999</v>
      </c>
      <c r="K132" s="4" t="b">
        <f>J132 = "blocking"</f>
        <v>1</v>
      </c>
      <c r="L132" s="3" t="s">
        <v>1448</v>
      </c>
      <c r="M132" s="3" t="s">
        <v>6106</v>
      </c>
      <c r="N132" s="5">
        <v>46223.1297337963</v>
      </c>
      <c r="O132" s="4" t="b">
        <f>L132 = "PASS"</f>
        <v>1</v>
      </c>
      <c r="P132" s="4" t="b">
        <f>L132 = "FAIL"</f>
        <v>0</v>
      </c>
      <c r="Q132" s="4" t="b">
        <f>AND(((P132)=TRUE), ((K132)=TRUE))</f>
        <v>0</v>
      </c>
      <c r="R132" s="4" t="str">
        <f>IF(((O132)=TRUE),  I132,  "")</f>
        <v>suite-substrate</v>
      </c>
      <c r="S132" s="4" t="str">
        <f>IF(((Q132)=TRUE),  I132,  "")</f>
      </c>
      <c r="T132" s="3" t="s">
        <v>6001</v>
      </c>
    </row>
    <row r="133">
      <c r="A133" s="3" t="s">
        <v>6168</v>
      </c>
      <c r="B133" s="4" t="str">
        <f>C133 &amp; ": " &amp; D133</f>
        <v>formula-translates: RoleAssignments.ErrorRatePercent</v>
      </c>
      <c r="C133" s="3" t="s">
        <v>6104</v>
      </c>
      <c r="D133" s="3" t="s">
        <v>2612</v>
      </c>
      <c r="E133" s="3" t="s">
        <v>1821</v>
      </c>
      <c r="F133" s="3" t="s">
        <v>285</v>
      </c>
      <c r="G133" s="3" t="s">
        <v>6105</v>
      </c>
      <c r="H133" s="3" t="s">
        <v>2347</v>
      </c>
      <c r="I133" s="3" t="s">
        <v>5986</v>
      </c>
      <c r="J133" s="3" t="s">
        <v>5999</v>
      </c>
      <c r="K133" s="4" t="b">
        <f>J133 = "blocking"</f>
        <v>1</v>
      </c>
      <c r="L133" s="3" t="s">
        <v>1448</v>
      </c>
      <c r="M133" s="3" t="s">
        <v>6106</v>
      </c>
      <c r="N133" s="5">
        <v>46223.1297337963</v>
      </c>
      <c r="O133" s="4" t="b">
        <f>L133 = "PASS"</f>
        <v>1</v>
      </c>
      <c r="P133" s="4" t="b">
        <f>L133 = "FAIL"</f>
        <v>0</v>
      </c>
      <c r="Q133" s="4" t="b">
        <f>AND(((P133)=TRUE), ((K133)=TRUE))</f>
        <v>0</v>
      </c>
      <c r="R133" s="4" t="str">
        <f>IF(((O133)=TRUE),  I133,  "")</f>
        <v>suite-substrate</v>
      </c>
      <c r="S133" s="4" t="str">
        <f>IF(((Q133)=TRUE),  I133,  "")</f>
      </c>
      <c r="T133" s="3" t="s">
        <v>6001</v>
      </c>
    </row>
    <row r="134">
      <c r="A134" s="3" t="s">
        <v>6169</v>
      </c>
      <c r="B134" s="4" t="str">
        <f>C134 &amp; ": " &amp; D134</f>
        <v>formula-translates: RoleAssignments.HasDatedAuthorization</v>
      </c>
      <c r="C134" s="3" t="s">
        <v>6104</v>
      </c>
      <c r="D134" s="3" t="s">
        <v>2617</v>
      </c>
      <c r="E134" s="3" t="s">
        <v>1821</v>
      </c>
      <c r="F134" s="3" t="s">
        <v>289</v>
      </c>
      <c r="G134" s="3" t="s">
        <v>6105</v>
      </c>
      <c r="H134" s="3" t="s">
        <v>2351</v>
      </c>
      <c r="I134" s="3" t="s">
        <v>5986</v>
      </c>
      <c r="J134" s="3" t="s">
        <v>5999</v>
      </c>
      <c r="K134" s="4" t="b">
        <f>J134 = "blocking"</f>
        <v>1</v>
      </c>
      <c r="L134" s="3" t="s">
        <v>1448</v>
      </c>
      <c r="M134" s="3" t="s">
        <v>6106</v>
      </c>
      <c r="N134" s="5">
        <v>46223.1297337963</v>
      </c>
      <c r="O134" s="4" t="b">
        <f>L134 = "PASS"</f>
        <v>1</v>
      </c>
      <c r="P134" s="4" t="b">
        <f>L134 = "FAIL"</f>
        <v>0</v>
      </c>
      <c r="Q134" s="4" t="b">
        <f>AND(((P134)=TRUE), ((K134)=TRUE))</f>
        <v>0</v>
      </c>
      <c r="R134" s="4" t="str">
        <f>IF(((O134)=TRUE),  I134,  "")</f>
        <v>suite-substrate</v>
      </c>
      <c r="S134" s="4" t="str">
        <f>IF(((Q134)=TRUE),  I134,  "")</f>
      </c>
      <c r="T134" s="3" t="s">
        <v>6001</v>
      </c>
    </row>
    <row r="135">
      <c r="A135" s="3" t="s">
        <v>6170</v>
      </c>
      <c r="B135" s="4" t="str">
        <f>C135 &amp; ": " &amp; D135</f>
        <v>formula-translates: RoleAssignments.DaysSinceAuthorizationReview</v>
      </c>
      <c r="C135" s="3" t="s">
        <v>6104</v>
      </c>
      <c r="D135" s="3" t="s">
        <v>2619</v>
      </c>
      <c r="E135" s="3" t="s">
        <v>1821</v>
      </c>
      <c r="F135" s="3" t="s">
        <v>290</v>
      </c>
      <c r="G135" s="3" t="s">
        <v>6105</v>
      </c>
      <c r="H135" s="3" t="s">
        <v>2351</v>
      </c>
      <c r="I135" s="3" t="s">
        <v>5986</v>
      </c>
      <c r="J135" s="3" t="s">
        <v>5999</v>
      </c>
      <c r="K135" s="4" t="b">
        <f>J135 = "blocking"</f>
        <v>1</v>
      </c>
      <c r="L135" s="3" t="s">
        <v>1448</v>
      </c>
      <c r="M135" s="3" t="s">
        <v>6106</v>
      </c>
      <c r="N135" s="5">
        <v>46223.1297337963</v>
      </c>
      <c r="O135" s="4" t="b">
        <f>L135 = "PASS"</f>
        <v>1</v>
      </c>
      <c r="P135" s="4" t="b">
        <f>L135 = "FAIL"</f>
        <v>0</v>
      </c>
      <c r="Q135" s="4" t="b">
        <f>AND(((P135)=TRUE), ((K135)=TRUE))</f>
        <v>0</v>
      </c>
      <c r="R135" s="4" t="str">
        <f>IF(((O135)=TRUE),  I135,  "")</f>
        <v>suite-substrate</v>
      </c>
      <c r="S135" s="4" t="str">
        <f>IF(((Q135)=TRUE),  I135,  "")</f>
      </c>
      <c r="T135" s="3" t="s">
        <v>6001</v>
      </c>
    </row>
    <row r="136">
      <c r="A136" s="3" t="s">
        <v>6171</v>
      </c>
      <c r="B136" s="4" t="str">
        <f>C136 &amp; ": " &amp; D136</f>
        <v>formula-translates: RoleAssignments.AuthorizationIsOverdueForReview</v>
      </c>
      <c r="C136" s="3" t="s">
        <v>6104</v>
      </c>
      <c r="D136" s="3" t="s">
        <v>2621</v>
      </c>
      <c r="E136" s="3" t="s">
        <v>1821</v>
      </c>
      <c r="F136" s="3" t="s">
        <v>291</v>
      </c>
      <c r="G136" s="3" t="s">
        <v>6105</v>
      </c>
      <c r="H136" s="3" t="s">
        <v>2351</v>
      </c>
      <c r="I136" s="3" t="s">
        <v>5986</v>
      </c>
      <c r="J136" s="3" t="s">
        <v>5999</v>
      </c>
      <c r="K136" s="4" t="b">
        <f>J136 = "blocking"</f>
        <v>1</v>
      </c>
      <c r="L136" s="3" t="s">
        <v>1448</v>
      </c>
      <c r="M136" s="3" t="s">
        <v>6106</v>
      </c>
      <c r="N136" s="5">
        <v>46223.1297337963</v>
      </c>
      <c r="O136" s="4" t="b">
        <f>L136 = "PASS"</f>
        <v>1</v>
      </c>
      <c r="P136" s="4" t="b">
        <f>L136 = "FAIL"</f>
        <v>0</v>
      </c>
      <c r="Q136" s="4" t="b">
        <f>AND(((P136)=TRUE), ((K136)=TRUE))</f>
        <v>0</v>
      </c>
      <c r="R136" s="4" t="str">
        <f>IF(((O136)=TRUE),  I136,  "")</f>
        <v>suite-substrate</v>
      </c>
      <c r="S136" s="4" t="str">
        <f>IF(((Q136)=TRUE),  I136,  "")</f>
      </c>
      <c r="T136" s="3" t="s">
        <v>6001</v>
      </c>
    </row>
    <row r="137">
      <c r="A137" s="3" t="s">
        <v>6172</v>
      </c>
      <c r="B137" s="4" t="str">
        <f>C137 &amp; ": " &amp; D137</f>
        <v>formula-translates: RoleAssignments.IsStandingUnreviewedAutomation</v>
      </c>
      <c r="C137" s="3" t="s">
        <v>6104</v>
      </c>
      <c r="D137" s="3" t="s">
        <v>2623</v>
      </c>
      <c r="E137" s="3" t="s">
        <v>1821</v>
      </c>
      <c r="F137" s="3" t="s">
        <v>292</v>
      </c>
      <c r="G137" s="3" t="s">
        <v>6105</v>
      </c>
      <c r="H137" s="3" t="s">
        <v>2351</v>
      </c>
      <c r="I137" s="3" t="s">
        <v>5986</v>
      </c>
      <c r="J137" s="3" t="s">
        <v>5999</v>
      </c>
      <c r="K137" s="4" t="b">
        <f>J137 = "blocking"</f>
        <v>1</v>
      </c>
      <c r="L137" s="3" t="s">
        <v>1448</v>
      </c>
      <c r="M137" s="3" t="s">
        <v>6106</v>
      </c>
      <c r="N137" s="5">
        <v>46223.1297337963</v>
      </c>
      <c r="O137" s="4" t="b">
        <f>L137 = "PASS"</f>
        <v>1</v>
      </c>
      <c r="P137" s="4" t="b">
        <f>L137 = "FAIL"</f>
        <v>0</v>
      </c>
      <c r="Q137" s="4" t="b">
        <f>AND(((P137)=TRUE), ((K137)=TRUE))</f>
        <v>0</v>
      </c>
      <c r="R137" s="4" t="str">
        <f>IF(((O137)=TRUE),  I137,  "")</f>
        <v>suite-substrate</v>
      </c>
      <c r="S137" s="4" t="str">
        <f>IF(((Q137)=TRUE),  I137,  "")</f>
      </c>
      <c r="T137" s="3" t="s">
        <v>6001</v>
      </c>
    </row>
    <row r="138">
      <c r="A138" s="3" t="s">
        <v>6173</v>
      </c>
      <c r="B138" s="4" t="str">
        <f>C138 &amp; ": " &amp; D138</f>
        <v>formula-translates: RoleAssignments.IsUnconditionedAutomationHandover</v>
      </c>
      <c r="C138" s="3" t="s">
        <v>6104</v>
      </c>
      <c r="D138" s="3" t="s">
        <v>2625</v>
      </c>
      <c r="E138" s="3" t="s">
        <v>1821</v>
      </c>
      <c r="F138" s="3" t="s">
        <v>293</v>
      </c>
      <c r="G138" s="3" t="s">
        <v>6105</v>
      </c>
      <c r="H138" s="3" t="s">
        <v>2351</v>
      </c>
      <c r="I138" s="3" t="s">
        <v>5986</v>
      </c>
      <c r="J138" s="3" t="s">
        <v>5999</v>
      </c>
      <c r="K138" s="4" t="b">
        <f>J138 = "blocking"</f>
        <v>1</v>
      </c>
      <c r="L138" s="3" t="s">
        <v>1448</v>
      </c>
      <c r="M138" s="3" t="s">
        <v>6106</v>
      </c>
      <c r="N138" s="5">
        <v>46223.1297337963</v>
      </c>
      <c r="O138" s="4" t="b">
        <f>L138 = "PASS"</f>
        <v>1</v>
      </c>
      <c r="P138" s="4" t="b">
        <f>L138 = "FAIL"</f>
        <v>0</v>
      </c>
      <c r="Q138" s="4" t="b">
        <f>AND(((P138)=TRUE), ((K138)=TRUE))</f>
        <v>0</v>
      </c>
      <c r="R138" s="4" t="str">
        <f>IF(((O138)=TRUE),  I138,  "")</f>
        <v>suite-substrate</v>
      </c>
      <c r="S138" s="4" t="str">
        <f>IF(((Q138)=TRUE),  I138,  "")</f>
      </c>
      <c r="T138" s="3" t="s">
        <v>6001</v>
      </c>
    </row>
    <row r="139">
      <c r="A139" s="3" t="s">
        <v>6174</v>
      </c>
      <c r="B139" s="4" t="str">
        <f>C139 &amp; ": " &amp; D139</f>
        <v>formula-translates: RoleAssignments.ExceedsTolerableErrorRate</v>
      </c>
      <c r="C139" s="3" t="s">
        <v>6104</v>
      </c>
      <c r="D139" s="3" t="s">
        <v>2628</v>
      </c>
      <c r="E139" s="3" t="s">
        <v>1821</v>
      </c>
      <c r="F139" s="3" t="s">
        <v>295</v>
      </c>
      <c r="G139" s="3" t="s">
        <v>6105</v>
      </c>
      <c r="H139" s="3" t="s">
        <v>2355</v>
      </c>
      <c r="I139" s="3" t="s">
        <v>5986</v>
      </c>
      <c r="J139" s="3" t="s">
        <v>5999</v>
      </c>
      <c r="K139" s="4" t="b">
        <f>J139 = "blocking"</f>
        <v>1</v>
      </c>
      <c r="L139" s="3" t="s">
        <v>1448</v>
      </c>
      <c r="M139" s="3" t="s">
        <v>6106</v>
      </c>
      <c r="N139" s="5">
        <v>46223.1297337963</v>
      </c>
      <c r="O139" s="4" t="b">
        <f>L139 = "PASS"</f>
        <v>1</v>
      </c>
      <c r="P139" s="4" t="b">
        <f>L139 = "FAIL"</f>
        <v>0</v>
      </c>
      <c r="Q139" s="4" t="b">
        <f>AND(((P139)=TRUE), ((K139)=TRUE))</f>
        <v>0</v>
      </c>
      <c r="R139" s="4" t="str">
        <f>IF(((O139)=TRUE),  I139,  "")</f>
        <v>suite-substrate</v>
      </c>
      <c r="S139" s="4" t="str">
        <f>IF(((Q139)=TRUE),  I139,  "")</f>
      </c>
      <c r="T139" s="3" t="s">
        <v>6001</v>
      </c>
    </row>
    <row r="140">
      <c r="A140" s="3" t="s">
        <v>6175</v>
      </c>
      <c r="B140" s="4" t="str">
        <f>C140 &amp; ": " &amp; D140</f>
        <v>formula-translates: RoleAssignments.BoundaryViolationCountForAssignment</v>
      </c>
      <c r="C140" s="3" t="s">
        <v>6104</v>
      </c>
      <c r="D140" s="3" t="s">
        <v>2630</v>
      </c>
      <c r="E140" s="3" t="s">
        <v>1821</v>
      </c>
      <c r="F140" s="3" t="s">
        <v>296</v>
      </c>
      <c r="G140" s="3" t="s">
        <v>6105</v>
      </c>
      <c r="H140" s="3" t="s">
        <v>2355</v>
      </c>
      <c r="I140" s="3" t="s">
        <v>5986</v>
      </c>
      <c r="J140" s="3" t="s">
        <v>5999</v>
      </c>
      <c r="K140" s="4" t="b">
        <f>J140 = "blocking"</f>
        <v>1</v>
      </c>
      <c r="L140" s="3" t="s">
        <v>1448</v>
      </c>
      <c r="M140" s="3" t="s">
        <v>6106</v>
      </c>
      <c r="N140" s="5">
        <v>46223.1297337963</v>
      </c>
      <c r="O140" s="4" t="b">
        <f>L140 = "PASS"</f>
        <v>1</v>
      </c>
      <c r="P140" s="4" t="b">
        <f>L140 = "FAIL"</f>
        <v>0</v>
      </c>
      <c r="Q140" s="4" t="b">
        <f>AND(((P140)=TRUE), ((K140)=TRUE))</f>
        <v>0</v>
      </c>
      <c r="R140" s="4" t="str">
        <f>IF(((O140)=TRUE),  I140,  "")</f>
        <v>suite-substrate</v>
      </c>
      <c r="S140" s="4" t="str">
        <f>IF(((Q140)=TRUE),  I140,  "")</f>
      </c>
      <c r="T140" s="3" t="s">
        <v>6001</v>
      </c>
    </row>
    <row r="141">
      <c r="A141" s="3" t="s">
        <v>6176</v>
      </c>
      <c r="B141" s="4" t="str">
        <f>C141 &amp; ": " &amp; D141</f>
        <v>formula-translates: RoleAssignments.HasAnyBoundaryViolation</v>
      </c>
      <c r="C141" s="3" t="s">
        <v>6104</v>
      </c>
      <c r="D141" s="3" t="s">
        <v>2632</v>
      </c>
      <c r="E141" s="3" t="s">
        <v>1821</v>
      </c>
      <c r="F141" s="3" t="s">
        <v>297</v>
      </c>
      <c r="G141" s="3" t="s">
        <v>6105</v>
      </c>
      <c r="H141" s="3" t="s">
        <v>2355</v>
      </c>
      <c r="I141" s="3" t="s">
        <v>5986</v>
      </c>
      <c r="J141" s="3" t="s">
        <v>5999</v>
      </c>
      <c r="K141" s="4" t="b">
        <f>J141 = "blocking"</f>
        <v>1</v>
      </c>
      <c r="L141" s="3" t="s">
        <v>1448</v>
      </c>
      <c r="M141" s="3" t="s">
        <v>6106</v>
      </c>
      <c r="N141" s="5">
        <v>46223.1297337963</v>
      </c>
      <c r="O141" s="4" t="b">
        <f>L141 = "PASS"</f>
        <v>1</v>
      </c>
      <c r="P141" s="4" t="b">
        <f>L141 = "FAIL"</f>
        <v>0</v>
      </c>
      <c r="Q141" s="4" t="b">
        <f>AND(((P141)=TRUE), ((K141)=TRUE))</f>
        <v>0</v>
      </c>
      <c r="R141" s="4" t="str">
        <f>IF(((O141)=TRUE),  I141,  "")</f>
        <v>suite-substrate</v>
      </c>
      <c r="S141" s="4" t="str">
        <f>IF(((Q141)=TRUE),  I141,  "")</f>
      </c>
      <c r="T141" s="3" t="s">
        <v>6001</v>
      </c>
    </row>
    <row r="142">
      <c r="A142" s="3" t="s">
        <v>6177</v>
      </c>
      <c r="B142" s="4" t="str">
        <f>C142 &amp; ": " &amp; D142</f>
        <v>formula-translates: RoleAssignments.HasUngroundedGoverningBoundary</v>
      </c>
      <c r="C142" s="3" t="s">
        <v>6104</v>
      </c>
      <c r="D142" s="3" t="s">
        <v>2634</v>
      </c>
      <c r="E142" s="3" t="s">
        <v>1821</v>
      </c>
      <c r="F142" s="3" t="s">
        <v>298</v>
      </c>
      <c r="G142" s="3" t="s">
        <v>6105</v>
      </c>
      <c r="H142" s="3" t="s">
        <v>2355</v>
      </c>
      <c r="I142" s="3" t="s">
        <v>5986</v>
      </c>
      <c r="J142" s="3" t="s">
        <v>5999</v>
      </c>
      <c r="K142" s="4" t="b">
        <f>J142 = "blocking"</f>
        <v>1</v>
      </c>
      <c r="L142" s="3" t="s">
        <v>1448</v>
      </c>
      <c r="M142" s="3" t="s">
        <v>6106</v>
      </c>
      <c r="N142" s="5">
        <v>46223.1297337963</v>
      </c>
      <c r="O142" s="4" t="b">
        <f>L142 = "PASS"</f>
        <v>1</v>
      </c>
      <c r="P142" s="4" t="b">
        <f>L142 = "FAIL"</f>
        <v>0</v>
      </c>
      <c r="Q142" s="4" t="b">
        <f>AND(((P142)=TRUE), ((K142)=TRUE))</f>
        <v>0</v>
      </c>
      <c r="R142" s="4" t="str">
        <f>IF(((O142)=TRUE),  I142,  "")</f>
        <v>suite-substrate</v>
      </c>
      <c r="S142" s="4" t="str">
        <f>IF(((Q142)=TRUE),  I142,  "")</f>
      </c>
      <c r="T142" s="3" t="s">
        <v>6001</v>
      </c>
    </row>
    <row r="143">
      <c r="A143" s="3" t="s">
        <v>6178</v>
      </c>
      <c r="B143" s="4" t="str">
        <f>C143 &amp; ": " &amp; D143</f>
        <v>formula-translates: RoleAssignments.SuspensionConditionMet</v>
      </c>
      <c r="C143" s="3" t="s">
        <v>6104</v>
      </c>
      <c r="D143" s="3" t="s">
        <v>2636</v>
      </c>
      <c r="E143" s="3" t="s">
        <v>1821</v>
      </c>
      <c r="F143" s="3" t="s">
        <v>299</v>
      </c>
      <c r="G143" s="3" t="s">
        <v>6105</v>
      </c>
      <c r="H143" s="3" t="s">
        <v>2355</v>
      </c>
      <c r="I143" s="3" t="s">
        <v>5986</v>
      </c>
      <c r="J143" s="3" t="s">
        <v>5999</v>
      </c>
      <c r="K143" s="4" t="b">
        <f>J143 = "blocking"</f>
        <v>1</v>
      </c>
      <c r="L143" s="3" t="s">
        <v>1448</v>
      </c>
      <c r="M143" s="3" t="s">
        <v>6106</v>
      </c>
      <c r="N143" s="5">
        <v>46223.1297337963</v>
      </c>
      <c r="O143" s="4" t="b">
        <f>L143 = "PASS"</f>
        <v>1</v>
      </c>
      <c r="P143" s="4" t="b">
        <f>L143 = "FAIL"</f>
        <v>0</v>
      </c>
      <c r="Q143" s="4" t="b">
        <f>AND(((P143)=TRUE), ((K143)=TRUE))</f>
        <v>0</v>
      </c>
      <c r="R143" s="4" t="str">
        <f>IF(((O143)=TRUE),  I143,  "")</f>
        <v>suite-substrate</v>
      </c>
      <c r="S143" s="4" t="str">
        <f>IF(((Q143)=TRUE),  I143,  "")</f>
      </c>
      <c r="T143" s="3" t="s">
        <v>6001</v>
      </c>
    </row>
    <row r="144">
      <c r="A144" s="3" t="s">
        <v>6179</v>
      </c>
      <c r="B144" s="4" t="str">
        <f>C144 &amp; ": " &amp; D144</f>
        <v>formula-translates: RoleAssignments.IsOperatingUnderMetSuspensionCondition</v>
      </c>
      <c r="C144" s="3" t="s">
        <v>6104</v>
      </c>
      <c r="D144" s="3" t="s">
        <v>2638</v>
      </c>
      <c r="E144" s="3" t="s">
        <v>1821</v>
      </c>
      <c r="F144" s="3" t="s">
        <v>300</v>
      </c>
      <c r="G144" s="3" t="s">
        <v>6105</v>
      </c>
      <c r="H144" s="3" t="s">
        <v>2355</v>
      </c>
      <c r="I144" s="3" t="s">
        <v>5986</v>
      </c>
      <c r="J144" s="3" t="s">
        <v>5999</v>
      </c>
      <c r="K144" s="4" t="b">
        <f>J144 = "blocking"</f>
        <v>1</v>
      </c>
      <c r="L144" s="3" t="s">
        <v>1448</v>
      </c>
      <c r="M144" s="3" t="s">
        <v>6106</v>
      </c>
      <c r="N144" s="5">
        <v>46223.1297337963</v>
      </c>
      <c r="O144" s="4" t="b">
        <f>L144 = "PASS"</f>
        <v>1</v>
      </c>
      <c r="P144" s="4" t="b">
        <f>L144 = "FAIL"</f>
        <v>0</v>
      </c>
      <c r="Q144" s="4" t="b">
        <f>AND(((P144)=TRUE), ((K144)=TRUE))</f>
        <v>0</v>
      </c>
      <c r="R144" s="4" t="str">
        <f>IF(((O144)=TRUE),  I144,  "")</f>
        <v>suite-substrate</v>
      </c>
      <c r="S144" s="4" t="str">
        <f>IF(((Q144)=TRUE),  I144,  "")</f>
      </c>
      <c r="T144" s="3" t="s">
        <v>6001</v>
      </c>
    </row>
    <row r="145">
      <c r="A145" s="3" t="s">
        <v>6180</v>
      </c>
      <c r="B145" s="4" t="str">
        <f>C145 &amp; ": " &amp; D145</f>
        <v>formula-translates: RoleAssignments.HasDeclaredSuspensionCondition</v>
      </c>
      <c r="C145" s="3" t="s">
        <v>6104</v>
      </c>
      <c r="D145" s="3" t="s">
        <v>2640</v>
      </c>
      <c r="E145" s="3" t="s">
        <v>1821</v>
      </c>
      <c r="F145" s="3" t="s">
        <v>301</v>
      </c>
      <c r="G145" s="3" t="s">
        <v>6105</v>
      </c>
      <c r="H145" s="3" t="s">
        <v>2355</v>
      </c>
      <c r="I145" s="3" t="s">
        <v>5986</v>
      </c>
      <c r="J145" s="3" t="s">
        <v>5999</v>
      </c>
      <c r="K145" s="4" t="b">
        <f>J145 = "blocking"</f>
        <v>1</v>
      </c>
      <c r="L145" s="3" t="s">
        <v>1448</v>
      </c>
      <c r="M145" s="3" t="s">
        <v>6106</v>
      </c>
      <c r="N145" s="5">
        <v>46223.1297337963</v>
      </c>
      <c r="O145" s="4" t="b">
        <f>L145 = "PASS"</f>
        <v>1</v>
      </c>
      <c r="P145" s="4" t="b">
        <f>L145 = "FAIL"</f>
        <v>0</v>
      </c>
      <c r="Q145" s="4" t="b">
        <f>AND(((P145)=TRUE), ((K145)=TRUE))</f>
        <v>0</v>
      </c>
      <c r="R145" s="4" t="str">
        <f>IF(((O145)=TRUE),  I145,  "")</f>
        <v>suite-substrate</v>
      </c>
      <c r="S145" s="4" t="str">
        <f>IF(((Q145)=TRUE),  I145,  "")</f>
      </c>
      <c r="T145" s="3" t="s">
        <v>6001</v>
      </c>
    </row>
    <row r="146">
      <c r="A146" s="3" t="s">
        <v>6181</v>
      </c>
      <c r="B146" s="4" t="str">
        <f>C146 &amp; ": " &amp; D146</f>
        <v>formula-translates: RoleAssignments.HasApprovingAuthority</v>
      </c>
      <c r="C146" s="3" t="s">
        <v>6104</v>
      </c>
      <c r="D146" s="3" t="s">
        <v>2642</v>
      </c>
      <c r="E146" s="3" t="s">
        <v>1821</v>
      </c>
      <c r="F146" s="3" t="s">
        <v>302</v>
      </c>
      <c r="G146" s="3" t="s">
        <v>6105</v>
      </c>
      <c r="H146" s="3" t="s">
        <v>2367</v>
      </c>
      <c r="I146" s="3" t="s">
        <v>5986</v>
      </c>
      <c r="J146" s="3" t="s">
        <v>5999</v>
      </c>
      <c r="K146" s="4" t="b">
        <f>J146 = "blocking"</f>
        <v>1</v>
      </c>
      <c r="L146" s="3" t="s">
        <v>1448</v>
      </c>
      <c r="M146" s="3" t="s">
        <v>6106</v>
      </c>
      <c r="N146" s="5">
        <v>46223.1297337963</v>
      </c>
      <c r="O146" s="4" t="b">
        <f>L146 = "PASS"</f>
        <v>1</v>
      </c>
      <c r="P146" s="4" t="b">
        <f>L146 = "FAIL"</f>
        <v>0</v>
      </c>
      <c r="Q146" s="4" t="b">
        <f>AND(((P146)=TRUE), ((K146)=TRUE))</f>
        <v>0</v>
      </c>
      <c r="R146" s="4" t="str">
        <f>IF(((O146)=TRUE),  I146,  "")</f>
        <v>suite-substrate</v>
      </c>
      <c r="S146" s="4" t="str">
        <f>IF(((Q146)=TRUE),  I146,  "")</f>
      </c>
      <c r="T146" s="3" t="s">
        <v>6001</v>
      </c>
    </row>
    <row r="147">
      <c r="A147" s="3" t="s">
        <v>6182</v>
      </c>
      <c r="B147" s="4" t="str">
        <f>C147 &amp; ": " &amp; D147</f>
        <v>formula-translates: RoleAssignments.HasAuthorizingChangeRequest</v>
      </c>
      <c r="C147" s="3" t="s">
        <v>6104</v>
      </c>
      <c r="D147" s="3" t="s">
        <v>2644</v>
      </c>
      <c r="E147" s="3" t="s">
        <v>1821</v>
      </c>
      <c r="F147" s="3" t="s">
        <v>303</v>
      </c>
      <c r="G147" s="3" t="s">
        <v>6105</v>
      </c>
      <c r="H147" s="3" t="s">
        <v>2367</v>
      </c>
      <c r="I147" s="3" t="s">
        <v>5986</v>
      </c>
      <c r="J147" s="3" t="s">
        <v>5999</v>
      </c>
      <c r="K147" s="4" t="b">
        <f>J147 = "blocking"</f>
        <v>1</v>
      </c>
      <c r="L147" s="3" t="s">
        <v>1448</v>
      </c>
      <c r="M147" s="3" t="s">
        <v>6106</v>
      </c>
      <c r="N147" s="5">
        <v>46223.1297337963</v>
      </c>
      <c r="O147" s="4" t="b">
        <f>L147 = "PASS"</f>
        <v>1</v>
      </c>
      <c r="P147" s="4" t="b">
        <f>L147 = "FAIL"</f>
        <v>0</v>
      </c>
      <c r="Q147" s="4" t="b">
        <f>AND(((P147)=TRUE), ((K147)=TRUE))</f>
        <v>0</v>
      </c>
      <c r="R147" s="4" t="str">
        <f>IF(((O147)=TRUE),  I147,  "")</f>
        <v>suite-substrate</v>
      </c>
      <c r="S147" s="4" t="str">
        <f>IF(((Q147)=TRUE),  I147,  "")</f>
      </c>
      <c r="T147" s="3" t="s">
        <v>6001</v>
      </c>
    </row>
    <row r="148">
      <c r="A148" s="3" t="s">
        <v>6183</v>
      </c>
      <c r="B148" s="4" t="str">
        <f>C148 &amp; ": " &amp; D148</f>
        <v>formula-translates: RoleAssignments.IsUnauthorizedEnforcementAgent</v>
      </c>
      <c r="C148" s="3" t="s">
        <v>6104</v>
      </c>
      <c r="D148" s="3" t="s">
        <v>2647</v>
      </c>
      <c r="E148" s="3" t="s">
        <v>1821</v>
      </c>
      <c r="F148" s="3" t="s">
        <v>305</v>
      </c>
      <c r="G148" s="3" t="s">
        <v>6105</v>
      </c>
      <c r="H148" s="3" t="s">
        <v>2367</v>
      </c>
      <c r="I148" s="3" t="s">
        <v>5986</v>
      </c>
      <c r="J148" s="3" t="s">
        <v>5999</v>
      </c>
      <c r="K148" s="4" t="b">
        <f>J148 = "blocking"</f>
        <v>1</v>
      </c>
      <c r="L148" s="3" t="s">
        <v>1448</v>
      </c>
      <c r="M148" s="3" t="s">
        <v>6106</v>
      </c>
      <c r="N148" s="5">
        <v>46223.1297337963</v>
      </c>
      <c r="O148" s="4" t="b">
        <f>L148 = "PASS"</f>
        <v>1</v>
      </c>
      <c r="P148" s="4" t="b">
        <f>L148 = "FAIL"</f>
        <v>0</v>
      </c>
      <c r="Q148" s="4" t="b">
        <f>AND(((P148)=TRUE), ((K148)=TRUE))</f>
        <v>0</v>
      </c>
      <c r="R148" s="4" t="str">
        <f>IF(((O148)=TRUE),  I148,  "")</f>
        <v>suite-substrate</v>
      </c>
      <c r="S148" s="4" t="str">
        <f>IF(((Q148)=TRUE),  I148,  "")</f>
      </c>
      <c r="T148" s="3" t="s">
        <v>6001</v>
      </c>
    </row>
    <row r="149">
      <c r="A149" s="3" t="s">
        <v>6184</v>
      </c>
      <c r="B149" s="4" t="str">
        <f>C149 &amp; ": " &amp; D149</f>
        <v>formula-translates: RoleAssignments.GovernanceEvidenceCount</v>
      </c>
      <c r="C149" s="3" t="s">
        <v>6104</v>
      </c>
      <c r="D149" s="3" t="s">
        <v>2649</v>
      </c>
      <c r="E149" s="3" t="s">
        <v>1821</v>
      </c>
      <c r="F149" s="3" t="s">
        <v>306</v>
      </c>
      <c r="G149" s="3" t="s">
        <v>6105</v>
      </c>
      <c r="H149" s="3" t="s">
        <v>2367</v>
      </c>
      <c r="I149" s="3" t="s">
        <v>5986</v>
      </c>
      <c r="J149" s="3" t="s">
        <v>5999</v>
      </c>
      <c r="K149" s="4" t="b">
        <f>J149 = "blocking"</f>
        <v>1</v>
      </c>
      <c r="L149" s="3" t="s">
        <v>1448</v>
      </c>
      <c r="M149" s="3" t="s">
        <v>6106</v>
      </c>
      <c r="N149" s="5">
        <v>46223.1297337963</v>
      </c>
      <c r="O149" s="4" t="b">
        <f>L149 = "PASS"</f>
        <v>1</v>
      </c>
      <c r="P149" s="4" t="b">
        <f>L149 = "FAIL"</f>
        <v>0</v>
      </c>
      <c r="Q149" s="4" t="b">
        <f>AND(((P149)=TRUE), ((K149)=TRUE))</f>
        <v>0</v>
      </c>
      <c r="R149" s="4" t="str">
        <f>IF(((O149)=TRUE),  I149,  "")</f>
        <v>suite-substrate</v>
      </c>
      <c r="S149" s="4" t="str">
        <f>IF(((Q149)=TRUE),  I149,  "")</f>
      </c>
      <c r="T149" s="3" t="s">
        <v>6001</v>
      </c>
    </row>
    <row r="150">
      <c r="A150" s="3" t="s">
        <v>6185</v>
      </c>
      <c r="B150" s="4" t="str">
        <f>C150 &amp; ": " &amp; D150</f>
        <v>formula-translates: RoleAssignments.UnauthorizedEnforcementRoleKey</v>
      </c>
      <c r="C150" s="3" t="s">
        <v>6104</v>
      </c>
      <c r="D150" s="3" t="s">
        <v>2651</v>
      </c>
      <c r="E150" s="3" t="s">
        <v>1821</v>
      </c>
      <c r="F150" s="3" t="s">
        <v>307</v>
      </c>
      <c r="G150" s="3" t="s">
        <v>6105</v>
      </c>
      <c r="H150" s="3" t="s">
        <v>2367</v>
      </c>
      <c r="I150" s="3" t="s">
        <v>5986</v>
      </c>
      <c r="J150" s="3" t="s">
        <v>5999</v>
      </c>
      <c r="K150" s="4" t="b">
        <f>J150 = "blocking"</f>
        <v>1</v>
      </c>
      <c r="L150" s="3" t="s">
        <v>1448</v>
      </c>
      <c r="M150" s="3" t="s">
        <v>6106</v>
      </c>
      <c r="N150" s="5">
        <v>46223.1297337963</v>
      </c>
      <c r="O150" s="4" t="b">
        <f>L150 = "PASS"</f>
        <v>1</v>
      </c>
      <c r="P150" s="4" t="b">
        <f>L150 = "FAIL"</f>
        <v>0</v>
      </c>
      <c r="Q150" s="4" t="b">
        <f>AND(((P150)=TRUE), ((K150)=TRUE))</f>
        <v>0</v>
      </c>
      <c r="R150" s="4" t="str">
        <f>IF(((O150)=TRUE),  I150,  "")</f>
        <v>suite-substrate</v>
      </c>
      <c r="S150" s="4" t="str">
        <f>IF(((Q150)=TRUE),  I150,  "")</f>
      </c>
      <c r="T150" s="3" t="s">
        <v>6001</v>
      </c>
    </row>
    <row r="151">
      <c r="A151" s="3" t="s">
        <v>6186</v>
      </c>
      <c r="B151" s="4" t="str">
        <f>C151 &amp; ": " &amp; D151</f>
        <v>formula-translates: CommunitiesOfPractice.Name</v>
      </c>
      <c r="C151" s="3" t="s">
        <v>6104</v>
      </c>
      <c r="D151" s="3" t="s">
        <v>2656</v>
      </c>
      <c r="E151" s="3" t="s">
        <v>2655</v>
      </c>
      <c r="F151" s="3" t="s">
        <v>1</v>
      </c>
      <c r="G151" s="3" t="s">
        <v>6105</v>
      </c>
      <c r="H151" s="3"/>
      <c r="I151" s="3" t="s">
        <v>5986</v>
      </c>
      <c r="J151" s="3" t="s">
        <v>5999</v>
      </c>
      <c r="K151" s="4" t="b">
        <f>J151 = "blocking"</f>
        <v>1</v>
      </c>
      <c r="L151" s="3" t="s">
        <v>1448</v>
      </c>
      <c r="M151" s="3" t="s">
        <v>6106</v>
      </c>
      <c r="N151" s="5">
        <v>46223.1297337963</v>
      </c>
      <c r="O151" s="4" t="b">
        <f>L151 = "PASS"</f>
        <v>1</v>
      </c>
      <c r="P151" s="4" t="b">
        <f>L151 = "FAIL"</f>
        <v>0</v>
      </c>
      <c r="Q151" s="4" t="b">
        <f>AND(((P151)=TRUE), ((K151)=TRUE))</f>
        <v>0</v>
      </c>
      <c r="R151" s="4" t="str">
        <f>IF(((O151)=TRUE),  I151,  "")</f>
        <v>suite-substrate</v>
      </c>
      <c r="S151" s="4" t="str">
        <f>IF(((Q151)=TRUE),  I151,  "")</f>
      </c>
      <c r="T151" s="3" t="s">
        <v>6001</v>
      </c>
    </row>
    <row r="152">
      <c r="A152" s="3" t="s">
        <v>6187</v>
      </c>
      <c r="B152" s="4" t="str">
        <f>C152 &amp; ": " &amp; D152</f>
        <v>formula-translates: Mentorships.Name</v>
      </c>
      <c r="C152" s="3" t="s">
        <v>6104</v>
      </c>
      <c r="D152" s="3" t="s">
        <v>2665</v>
      </c>
      <c r="E152" s="3" t="s">
        <v>2664</v>
      </c>
      <c r="F152" s="3" t="s">
        <v>1</v>
      </c>
      <c r="G152" s="3" t="s">
        <v>6105</v>
      </c>
      <c r="H152" s="3"/>
      <c r="I152" s="3" t="s">
        <v>5986</v>
      </c>
      <c r="J152" s="3" t="s">
        <v>5999</v>
      </c>
      <c r="K152" s="4" t="b">
        <f>J152 = "blocking"</f>
        <v>1</v>
      </c>
      <c r="L152" s="3" t="s">
        <v>1448</v>
      </c>
      <c r="M152" s="3" t="s">
        <v>6106</v>
      </c>
      <c r="N152" s="5">
        <v>46223.1297337963</v>
      </c>
      <c r="O152" s="4" t="b">
        <f>L152 = "PASS"</f>
        <v>1</v>
      </c>
      <c r="P152" s="4" t="b">
        <f>L152 = "FAIL"</f>
        <v>0</v>
      </c>
      <c r="Q152" s="4" t="b">
        <f>AND(((P152)=TRUE), ((K152)=TRUE))</f>
        <v>0</v>
      </c>
      <c r="R152" s="4" t="str">
        <f>IF(((O152)=TRUE),  I152,  "")</f>
        <v>suite-substrate</v>
      </c>
      <c r="S152" s="4" t="str">
        <f>IF(((Q152)=TRUE),  I152,  "")</f>
      </c>
      <c r="T152" s="3" t="s">
        <v>6001</v>
      </c>
    </row>
    <row r="153">
      <c r="A153" s="3" t="s">
        <v>6188</v>
      </c>
      <c r="B153" s="4" t="str">
        <f>C153 &amp; ": " &amp; D153</f>
        <v>formula-translates: ProcedureTypes.Name</v>
      </c>
      <c r="C153" s="3" t="s">
        <v>6104</v>
      </c>
      <c r="D153" s="3" t="s">
        <v>2677</v>
      </c>
      <c r="E153" s="3" t="s">
        <v>2676</v>
      </c>
      <c r="F153" s="3" t="s">
        <v>1</v>
      </c>
      <c r="G153" s="3" t="s">
        <v>6105</v>
      </c>
      <c r="H153" s="3"/>
      <c r="I153" s="3" t="s">
        <v>5986</v>
      </c>
      <c r="J153" s="3" t="s">
        <v>5999</v>
      </c>
      <c r="K153" s="4" t="b">
        <f>J153 = "blocking"</f>
        <v>1</v>
      </c>
      <c r="L153" s="3" t="s">
        <v>1448</v>
      </c>
      <c r="M153" s="3" t="s">
        <v>6106</v>
      </c>
      <c r="N153" s="5">
        <v>46223.1297337963</v>
      </c>
      <c r="O153" s="4" t="b">
        <f>L153 = "PASS"</f>
        <v>1</v>
      </c>
      <c r="P153" s="4" t="b">
        <f>L153 = "FAIL"</f>
        <v>0</v>
      </c>
      <c r="Q153" s="4" t="b">
        <f>AND(((P153)=TRUE), ((K153)=TRUE))</f>
        <v>0</v>
      </c>
      <c r="R153" s="4" t="str">
        <f>IF(((O153)=TRUE),  I153,  "")</f>
        <v>suite-substrate</v>
      </c>
      <c r="S153" s="4" t="str">
        <f>IF(((Q153)=TRUE),  I153,  "")</f>
      </c>
      <c r="T153" s="3" t="s">
        <v>6001</v>
      </c>
    </row>
    <row r="154">
      <c r="A154" s="3" t="s">
        <v>6189</v>
      </c>
      <c r="B154" s="4" t="str">
        <f>C154 &amp; ": " &amp; D154</f>
        <v>formula-translates: Procedures.Name</v>
      </c>
      <c r="C154" s="3" t="s">
        <v>6104</v>
      </c>
      <c r="D154" s="3" t="s">
        <v>2682</v>
      </c>
      <c r="E154" s="3" t="s">
        <v>1762</v>
      </c>
      <c r="F154" s="3" t="s">
        <v>1</v>
      </c>
      <c r="G154" s="3" t="s">
        <v>6105</v>
      </c>
      <c r="H154" s="3"/>
      <c r="I154" s="3" t="s">
        <v>5986</v>
      </c>
      <c r="J154" s="3" t="s">
        <v>5999</v>
      </c>
      <c r="K154" s="4" t="b">
        <f>J154 = "blocking"</f>
        <v>1</v>
      </c>
      <c r="L154" s="3" t="s">
        <v>1448</v>
      </c>
      <c r="M154" s="3" t="s">
        <v>6106</v>
      </c>
      <c r="N154" s="5">
        <v>46223.1297337963</v>
      </c>
      <c r="O154" s="4" t="b">
        <f>L154 = "PASS"</f>
        <v>1</v>
      </c>
      <c r="P154" s="4" t="b">
        <f>L154 = "FAIL"</f>
        <v>0</v>
      </c>
      <c r="Q154" s="4" t="b">
        <f>AND(((P154)=TRUE), ((K154)=TRUE))</f>
        <v>0</v>
      </c>
      <c r="R154" s="4" t="str">
        <f>IF(((O154)=TRUE),  I154,  "")</f>
        <v>suite-substrate</v>
      </c>
      <c r="S154" s="4" t="str">
        <f>IF(((Q154)=TRUE),  I154,  "")</f>
      </c>
      <c r="T154" s="3" t="s">
        <v>6001</v>
      </c>
    </row>
    <row r="155">
      <c r="A155" s="3" t="s">
        <v>6190</v>
      </c>
      <c r="B155" s="4" t="str">
        <f>C155 &amp; ": " &amp; D155</f>
        <v>formula-translates: ProcedureVersions.Name</v>
      </c>
      <c r="C155" s="3" t="s">
        <v>6104</v>
      </c>
      <c r="D155" s="3" t="s">
        <v>2694</v>
      </c>
      <c r="E155" s="3" t="s">
        <v>1767</v>
      </c>
      <c r="F155" s="3" t="s">
        <v>1</v>
      </c>
      <c r="G155" s="3" t="s">
        <v>6105</v>
      </c>
      <c r="H155" s="3"/>
      <c r="I155" s="3" t="s">
        <v>5986</v>
      </c>
      <c r="J155" s="3" t="s">
        <v>5999</v>
      </c>
      <c r="K155" s="4" t="b">
        <f>J155 = "blocking"</f>
        <v>1</v>
      </c>
      <c r="L155" s="3" t="s">
        <v>1448</v>
      </c>
      <c r="M155" s="3" t="s">
        <v>6106</v>
      </c>
      <c r="N155" s="5">
        <v>46223.1297337963</v>
      </c>
      <c r="O155" s="4" t="b">
        <f>L155 = "PASS"</f>
        <v>1</v>
      </c>
      <c r="P155" s="4" t="b">
        <f>L155 = "FAIL"</f>
        <v>0</v>
      </c>
      <c r="Q155" s="4" t="b">
        <f>AND(((P155)=TRUE), ((K155)=TRUE))</f>
        <v>0</v>
      </c>
      <c r="R155" s="4" t="str">
        <f>IF(((O155)=TRUE),  I155,  "")</f>
        <v>suite-substrate</v>
      </c>
      <c r="S155" s="4" t="str">
        <f>IF(((Q155)=TRUE),  I155,  "")</f>
      </c>
      <c r="T155" s="3" t="s">
        <v>6001</v>
      </c>
    </row>
    <row r="156">
      <c r="A156" s="3" t="s">
        <v>6191</v>
      </c>
      <c r="B156" s="4" t="str">
        <f>C156 &amp; ": " &amp; D156</f>
        <v>formula-translates: ProcedureVersions.CountOfSteps</v>
      </c>
      <c r="C156" s="3" t="s">
        <v>6104</v>
      </c>
      <c r="D156" s="3" t="s">
        <v>2705</v>
      </c>
      <c r="E156" s="3" t="s">
        <v>1767</v>
      </c>
      <c r="F156" s="3" t="s">
        <v>384</v>
      </c>
      <c r="G156" s="3" t="s">
        <v>6105</v>
      </c>
      <c r="H156" s="3"/>
      <c r="I156" s="3" t="s">
        <v>5986</v>
      </c>
      <c r="J156" s="3" t="s">
        <v>5999</v>
      </c>
      <c r="K156" s="4" t="b">
        <f>J156 = "blocking"</f>
        <v>1</v>
      </c>
      <c r="L156" s="3" t="s">
        <v>1448</v>
      </c>
      <c r="M156" s="3" t="s">
        <v>6106</v>
      </c>
      <c r="N156" s="5">
        <v>46223.1297337963</v>
      </c>
      <c r="O156" s="4" t="b">
        <f>L156 = "PASS"</f>
        <v>1</v>
      </c>
      <c r="P156" s="4" t="b">
        <f>L156 = "FAIL"</f>
        <v>0</v>
      </c>
      <c r="Q156" s="4" t="b">
        <f>AND(((P156)=TRUE), ((K156)=TRUE))</f>
        <v>0</v>
      </c>
      <c r="R156" s="4" t="str">
        <f>IF(((O156)=TRUE),  I156,  "")</f>
        <v>suite-substrate</v>
      </c>
      <c r="S156" s="4" t="str">
        <f>IF(((Q156)=TRUE),  I156,  "")</f>
      </c>
      <c r="T156" s="3" t="s">
        <v>6001</v>
      </c>
    </row>
    <row r="157">
      <c r="A157" s="3" t="s">
        <v>6192</v>
      </c>
      <c r="B157" s="4" t="str">
        <f>C157 &amp; ": " &amp; D157</f>
        <v>formula-translates: ProcedureVersions.CountOfOpenKnowledgeGaps</v>
      </c>
      <c r="C157" s="3" t="s">
        <v>6104</v>
      </c>
      <c r="D157" s="3" t="s">
        <v>2707</v>
      </c>
      <c r="E157" s="3" t="s">
        <v>1767</v>
      </c>
      <c r="F157" s="3" t="s">
        <v>385</v>
      </c>
      <c r="G157" s="3" t="s">
        <v>6105</v>
      </c>
      <c r="H157" s="3"/>
      <c r="I157" s="3" t="s">
        <v>5986</v>
      </c>
      <c r="J157" s="3" t="s">
        <v>5999</v>
      </c>
      <c r="K157" s="4" t="b">
        <f>J157 = "blocking"</f>
        <v>1</v>
      </c>
      <c r="L157" s="3" t="s">
        <v>1448</v>
      </c>
      <c r="M157" s="3" t="s">
        <v>6106</v>
      </c>
      <c r="N157" s="5">
        <v>46223.1297337963</v>
      </c>
      <c r="O157" s="4" t="b">
        <f>L157 = "PASS"</f>
        <v>1</v>
      </c>
      <c r="P157" s="4" t="b">
        <f>L157 = "FAIL"</f>
        <v>0</v>
      </c>
      <c r="Q157" s="4" t="b">
        <f>AND(((P157)=TRUE), ((K157)=TRUE))</f>
        <v>0</v>
      </c>
      <c r="R157" s="4" t="str">
        <f>IF(((O157)=TRUE),  I157,  "")</f>
        <v>suite-substrate</v>
      </c>
      <c r="S157" s="4" t="str">
        <f>IF(((Q157)=TRUE),  I157,  "")</f>
      </c>
      <c r="T157" s="3" t="s">
        <v>6001</v>
      </c>
    </row>
    <row r="158">
      <c r="A158" s="3" t="s">
        <v>6193</v>
      </c>
      <c r="B158" s="4" t="str">
        <f>C158 &amp; ": " &amp; D158</f>
        <v>formula-translates: ProcedureVersions.IsReadyForExecution</v>
      </c>
      <c r="C158" s="3" t="s">
        <v>6104</v>
      </c>
      <c r="D158" s="3" t="s">
        <v>2709</v>
      </c>
      <c r="E158" s="3" t="s">
        <v>1767</v>
      </c>
      <c r="F158" s="3" t="s">
        <v>386</v>
      </c>
      <c r="G158" s="3" t="s">
        <v>6105</v>
      </c>
      <c r="H158" s="3"/>
      <c r="I158" s="3" t="s">
        <v>5986</v>
      </c>
      <c r="J158" s="3" t="s">
        <v>5999</v>
      </c>
      <c r="K158" s="4" t="b">
        <f>J158 = "blocking"</f>
        <v>1</v>
      </c>
      <c r="L158" s="3" t="s">
        <v>1448</v>
      </c>
      <c r="M158" s="3" t="s">
        <v>6106</v>
      </c>
      <c r="N158" s="5">
        <v>46223.1297337963</v>
      </c>
      <c r="O158" s="4" t="b">
        <f>L158 = "PASS"</f>
        <v>1</v>
      </c>
      <c r="P158" s="4" t="b">
        <f>L158 = "FAIL"</f>
        <v>0</v>
      </c>
      <c r="Q158" s="4" t="b">
        <f>AND(((P158)=TRUE), ((K158)=TRUE))</f>
        <v>0</v>
      </c>
      <c r="R158" s="4" t="str">
        <f>IF(((O158)=TRUE),  I158,  "")</f>
        <v>suite-substrate</v>
      </c>
      <c r="S158" s="4" t="str">
        <f>IF(((Q158)=TRUE),  I158,  "")</f>
      </c>
      <c r="T158" s="3" t="s">
        <v>6001</v>
      </c>
    </row>
    <row r="159">
      <c r="A159" s="3" t="s">
        <v>6194</v>
      </c>
      <c r="B159" s="4" t="str">
        <f>C159 &amp; ": " &amp; D159</f>
        <v>formula-translates: ProcedureVersions.SpecifiedStepCount</v>
      </c>
      <c r="C159" s="3" t="s">
        <v>6104</v>
      </c>
      <c r="D159" s="3" t="s">
        <v>2711</v>
      </c>
      <c r="E159" s="3" t="s">
        <v>1767</v>
      </c>
      <c r="F159" s="3" t="s">
        <v>387</v>
      </c>
      <c r="G159" s="3" t="s">
        <v>6105</v>
      </c>
      <c r="H159" s="3" t="s">
        <v>1991</v>
      </c>
      <c r="I159" s="3" t="s">
        <v>5986</v>
      </c>
      <c r="J159" s="3" t="s">
        <v>5999</v>
      </c>
      <c r="K159" s="4" t="b">
        <f>J159 = "blocking"</f>
        <v>1</v>
      </c>
      <c r="L159" s="3" t="s">
        <v>1448</v>
      </c>
      <c r="M159" s="3" t="s">
        <v>6106</v>
      </c>
      <c r="N159" s="5">
        <v>46223.1297337963</v>
      </c>
      <c r="O159" s="4" t="b">
        <f>L159 = "PASS"</f>
        <v>1</v>
      </c>
      <c r="P159" s="4" t="b">
        <f>L159 = "FAIL"</f>
        <v>0</v>
      </c>
      <c r="Q159" s="4" t="b">
        <f>AND(((P159)=TRUE), ((K159)=TRUE))</f>
        <v>0</v>
      </c>
      <c r="R159" s="4" t="str">
        <f>IF(((O159)=TRUE),  I159,  "")</f>
        <v>suite-substrate</v>
      </c>
      <c r="S159" s="4" t="str">
        <f>IF(((Q159)=TRUE),  I159,  "")</f>
      </c>
      <c r="T159" s="3" t="s">
        <v>6001</v>
      </c>
    </row>
    <row r="160">
      <c r="A160" s="3" t="s">
        <v>6195</v>
      </c>
      <c r="B160" s="4" t="str">
        <f>C160 &amp; ": " &amp; D160</f>
        <v>formula-translates: ProcedureVersions.OverdueReviewCount</v>
      </c>
      <c r="C160" s="3" t="s">
        <v>6104</v>
      </c>
      <c r="D160" s="3" t="s">
        <v>2713</v>
      </c>
      <c r="E160" s="3" t="s">
        <v>1767</v>
      </c>
      <c r="F160" s="3" t="s">
        <v>388</v>
      </c>
      <c r="G160" s="3" t="s">
        <v>6105</v>
      </c>
      <c r="H160" s="3" t="s">
        <v>2003</v>
      </c>
      <c r="I160" s="3" t="s">
        <v>5986</v>
      </c>
      <c r="J160" s="3" t="s">
        <v>5999</v>
      </c>
      <c r="K160" s="4" t="b">
        <f>J160 = "blocking"</f>
        <v>1</v>
      </c>
      <c r="L160" s="3" t="s">
        <v>1448</v>
      </c>
      <c r="M160" s="3" t="s">
        <v>6106</v>
      </c>
      <c r="N160" s="5">
        <v>46223.1297337963</v>
      </c>
      <c r="O160" s="4" t="b">
        <f>L160 = "PASS"</f>
        <v>1</v>
      </c>
      <c r="P160" s="4" t="b">
        <f>L160 = "FAIL"</f>
        <v>0</v>
      </c>
      <c r="Q160" s="4" t="b">
        <f>AND(((P160)=TRUE), ((K160)=TRUE))</f>
        <v>0</v>
      </c>
      <c r="R160" s="4" t="str">
        <f>IF(((O160)=TRUE),  I160,  "")</f>
        <v>suite-substrate</v>
      </c>
      <c r="S160" s="4" t="str">
        <f>IF(((Q160)=TRUE),  I160,  "")</f>
      </c>
      <c r="T160" s="3" t="s">
        <v>6001</v>
      </c>
    </row>
    <row r="161">
      <c r="A161" s="3" t="s">
        <v>6196</v>
      </c>
      <c r="B161" s="4" t="str">
        <f>C161 &amp; ": " &amp; D161</f>
        <v>formula-translates: ProcedureVersions.OpenChangeRequestCount</v>
      </c>
      <c r="C161" s="3" t="s">
        <v>6104</v>
      </c>
      <c r="D161" s="3" t="s">
        <v>2715</v>
      </c>
      <c r="E161" s="3" t="s">
        <v>1767</v>
      </c>
      <c r="F161" s="3" t="s">
        <v>389</v>
      </c>
      <c r="G161" s="3" t="s">
        <v>6105</v>
      </c>
      <c r="H161" s="3" t="s">
        <v>2003</v>
      </c>
      <c r="I161" s="3" t="s">
        <v>5986</v>
      </c>
      <c r="J161" s="3" t="s">
        <v>5999</v>
      </c>
      <c r="K161" s="4" t="b">
        <f>J161 = "blocking"</f>
        <v>1</v>
      </c>
      <c r="L161" s="3" t="s">
        <v>1448</v>
      </c>
      <c r="M161" s="3" t="s">
        <v>6106</v>
      </c>
      <c r="N161" s="5">
        <v>46223.1297337963</v>
      </c>
      <c r="O161" s="4" t="b">
        <f>L161 = "PASS"</f>
        <v>1</v>
      </c>
      <c r="P161" s="4" t="b">
        <f>L161 = "FAIL"</f>
        <v>0</v>
      </c>
      <c r="Q161" s="4" t="b">
        <f>AND(((P161)=TRUE), ((K161)=TRUE))</f>
        <v>0</v>
      </c>
      <c r="R161" s="4" t="str">
        <f>IF(((O161)=TRUE),  I161,  "")</f>
        <v>suite-substrate</v>
      </c>
      <c r="S161" s="4" t="str">
        <f>IF(((Q161)=TRUE),  I161,  "")</f>
      </c>
      <c r="T161" s="3" t="s">
        <v>6001</v>
      </c>
    </row>
    <row r="162">
      <c r="A162" s="3" t="s">
        <v>6197</v>
      </c>
      <c r="B162" s="4" t="str">
        <f>C162 &amp; ": " &amp; D162</f>
        <v>formula-translates: ProcedureVersions.OpenHighSeverityGapCount</v>
      </c>
      <c r="C162" s="3" t="s">
        <v>6104</v>
      </c>
      <c r="D162" s="3" t="s">
        <v>2717</v>
      </c>
      <c r="E162" s="3" t="s">
        <v>1767</v>
      </c>
      <c r="F162" s="3" t="s">
        <v>390</v>
      </c>
      <c r="G162" s="3" t="s">
        <v>6105</v>
      </c>
      <c r="H162" s="3" t="s">
        <v>2003</v>
      </c>
      <c r="I162" s="3" t="s">
        <v>5986</v>
      </c>
      <c r="J162" s="3" t="s">
        <v>5999</v>
      </c>
      <c r="K162" s="4" t="b">
        <f>J162 = "blocking"</f>
        <v>1</v>
      </c>
      <c r="L162" s="3" t="s">
        <v>1448</v>
      </c>
      <c r="M162" s="3" t="s">
        <v>6106</v>
      </c>
      <c r="N162" s="5">
        <v>46223.1297337963</v>
      </c>
      <c r="O162" s="4" t="b">
        <f>L162 = "PASS"</f>
        <v>1</v>
      </c>
      <c r="P162" s="4" t="b">
        <f>L162 = "FAIL"</f>
        <v>0</v>
      </c>
      <c r="Q162" s="4" t="b">
        <f>AND(((P162)=TRUE), ((K162)=TRUE))</f>
        <v>0</v>
      </c>
      <c r="R162" s="4" t="str">
        <f>IF(((O162)=TRUE),  I162,  "")</f>
        <v>suite-substrate</v>
      </c>
      <c r="S162" s="4" t="str">
        <f>IF(((Q162)=TRUE),  I162,  "")</f>
      </c>
      <c r="T162" s="3" t="s">
        <v>6001</v>
      </c>
    </row>
    <row r="163">
      <c r="A163" s="3" t="s">
        <v>6198</v>
      </c>
      <c r="B163" s="4" t="str">
        <f>C163 &amp; ": " &amp; D163</f>
        <v>formula-translates: ProcedureVersions.IsFitToExecute</v>
      </c>
      <c r="C163" s="3" t="s">
        <v>6104</v>
      </c>
      <c r="D163" s="3" t="s">
        <v>2719</v>
      </c>
      <c r="E163" s="3" t="s">
        <v>1767</v>
      </c>
      <c r="F163" s="3" t="s">
        <v>391</v>
      </c>
      <c r="G163" s="3" t="s">
        <v>6105</v>
      </c>
      <c r="H163" s="3" t="s">
        <v>2003</v>
      </c>
      <c r="I163" s="3" t="s">
        <v>5986</v>
      </c>
      <c r="J163" s="3" t="s">
        <v>5999</v>
      </c>
      <c r="K163" s="4" t="b">
        <f>J163 = "blocking"</f>
        <v>1</v>
      </c>
      <c r="L163" s="3" t="s">
        <v>1448</v>
      </c>
      <c r="M163" s="3" t="s">
        <v>6106</v>
      </c>
      <c r="N163" s="5">
        <v>46223.1297337963</v>
      </c>
      <c r="O163" s="4" t="b">
        <f>L163 = "PASS"</f>
        <v>1</v>
      </c>
      <c r="P163" s="4" t="b">
        <f>L163 = "FAIL"</f>
        <v>0</v>
      </c>
      <c r="Q163" s="4" t="b">
        <f>AND(((P163)=TRUE), ((K163)=TRUE))</f>
        <v>0</v>
      </c>
      <c r="R163" s="4" t="str">
        <f>IF(((O163)=TRUE),  I163,  "")</f>
        <v>suite-substrate</v>
      </c>
      <c r="S163" s="4" t="str">
        <f>IF(((Q163)=TRUE),  I163,  "")</f>
      </c>
      <c r="T163" s="3" t="s">
        <v>6001</v>
      </c>
    </row>
    <row r="164">
      <c r="A164" s="3" t="s">
        <v>6199</v>
      </c>
      <c r="B164" s="4" t="str">
        <f>C164 &amp; ": " &amp; D164</f>
        <v>formula-translates: ProcedureVersions.StewardReviewCadenceDays</v>
      </c>
      <c r="C164" s="3" t="s">
        <v>6104</v>
      </c>
      <c r="D164" s="3" t="s">
        <v>2721</v>
      </c>
      <c r="E164" s="3" t="s">
        <v>1767</v>
      </c>
      <c r="F164" s="3" t="s">
        <v>392</v>
      </c>
      <c r="G164" s="3" t="s">
        <v>6105</v>
      </c>
      <c r="H164" s="3" t="s">
        <v>2019</v>
      </c>
      <c r="I164" s="3" t="s">
        <v>5986</v>
      </c>
      <c r="J164" s="3" t="s">
        <v>5999</v>
      </c>
      <c r="K164" s="4" t="b">
        <f>J164 = "blocking"</f>
        <v>1</v>
      </c>
      <c r="L164" s="3" t="s">
        <v>1448</v>
      </c>
      <c r="M164" s="3" t="s">
        <v>6106</v>
      </c>
      <c r="N164" s="5">
        <v>46223.1297337963</v>
      </c>
      <c r="O164" s="4" t="b">
        <f>L164 = "PASS"</f>
        <v>1</v>
      </c>
      <c r="P164" s="4" t="b">
        <f>L164 = "FAIL"</f>
        <v>0</v>
      </c>
      <c r="Q164" s="4" t="b">
        <f>AND(((P164)=TRUE), ((K164)=TRUE))</f>
        <v>0</v>
      </c>
      <c r="R164" s="4" t="str">
        <f>IF(((O164)=TRUE),  I164,  "")</f>
        <v>suite-substrate</v>
      </c>
      <c r="S164" s="4" t="str">
        <f>IF(((Q164)=TRUE),  I164,  "")</f>
      </c>
      <c r="T164" s="3" t="s">
        <v>6001</v>
      </c>
    </row>
    <row r="165">
      <c r="A165" s="3" t="s">
        <v>6200</v>
      </c>
      <c r="B165" s="4" t="str">
        <f>C165 &amp; ": " &amp; D165</f>
        <v>formula-translates: ProcedureVersions.CountOfStewardshipAssignments</v>
      </c>
      <c r="C165" s="3" t="s">
        <v>6104</v>
      </c>
      <c r="D165" s="3" t="s">
        <v>2723</v>
      </c>
      <c r="E165" s="3" t="s">
        <v>1767</v>
      </c>
      <c r="F165" s="3" t="s">
        <v>393</v>
      </c>
      <c r="G165" s="3" t="s">
        <v>6105</v>
      </c>
      <c r="H165" s="3" t="s">
        <v>2023</v>
      </c>
      <c r="I165" s="3" t="s">
        <v>5986</v>
      </c>
      <c r="J165" s="3" t="s">
        <v>5999</v>
      </c>
      <c r="K165" s="4" t="b">
        <f>J165 = "blocking"</f>
        <v>1</v>
      </c>
      <c r="L165" s="3" t="s">
        <v>1448</v>
      </c>
      <c r="M165" s="3" t="s">
        <v>6106</v>
      </c>
      <c r="N165" s="5">
        <v>46223.1297337963</v>
      </c>
      <c r="O165" s="4" t="b">
        <f>L165 = "PASS"</f>
        <v>1</v>
      </c>
      <c r="P165" s="4" t="b">
        <f>L165 = "FAIL"</f>
        <v>0</v>
      </c>
      <c r="Q165" s="4" t="b">
        <f>AND(((P165)=TRUE), ((K165)=TRUE))</f>
        <v>0</v>
      </c>
      <c r="R165" s="4" t="str">
        <f>IF(((O165)=TRUE),  I165,  "")</f>
        <v>suite-substrate</v>
      </c>
      <c r="S165" s="4" t="str">
        <f>IF(((Q165)=TRUE),  I165,  "")</f>
      </c>
      <c r="T165" s="3" t="s">
        <v>6001</v>
      </c>
    </row>
    <row r="166">
      <c r="A166" s="3" t="s">
        <v>6201</v>
      </c>
      <c r="B166" s="4" t="str">
        <f>C166 &amp; ": " &amp; D166</f>
        <v>formula-translates: ProcedureVersions.HasAnySteward</v>
      </c>
      <c r="C166" s="3" t="s">
        <v>6104</v>
      </c>
      <c r="D166" s="3" t="s">
        <v>2725</v>
      </c>
      <c r="E166" s="3" t="s">
        <v>1767</v>
      </c>
      <c r="F166" s="3" t="s">
        <v>394</v>
      </c>
      <c r="G166" s="3" t="s">
        <v>6105</v>
      </c>
      <c r="H166" s="3" t="s">
        <v>2023</v>
      </c>
      <c r="I166" s="3" t="s">
        <v>5986</v>
      </c>
      <c r="J166" s="3" t="s">
        <v>5999</v>
      </c>
      <c r="K166" s="4" t="b">
        <f>J166 = "blocking"</f>
        <v>1</v>
      </c>
      <c r="L166" s="3" t="s">
        <v>1448</v>
      </c>
      <c r="M166" s="3" t="s">
        <v>6106</v>
      </c>
      <c r="N166" s="5">
        <v>46223.1297337963</v>
      </c>
      <c r="O166" s="4" t="b">
        <f>L166 = "PASS"</f>
        <v>1</v>
      </c>
      <c r="P166" s="4" t="b">
        <f>L166 = "FAIL"</f>
        <v>0</v>
      </c>
      <c r="Q166" s="4" t="b">
        <f>AND(((P166)=TRUE), ((K166)=TRUE))</f>
        <v>0</v>
      </c>
      <c r="R166" s="4" t="str">
        <f>IF(((O166)=TRUE),  I166,  "")</f>
        <v>suite-substrate</v>
      </c>
      <c r="S166" s="4" t="str">
        <f>IF(((Q166)=TRUE),  I166,  "")</f>
      </c>
      <c r="T166" s="3" t="s">
        <v>6001</v>
      </c>
    </row>
    <row r="167">
      <c r="A167" s="3" t="s">
        <v>6202</v>
      </c>
      <c r="B167" s="4" t="str">
        <f>C167 &amp; ": " &amp; D167</f>
        <v>formula-translates: ProcedureVersions.IsLive</v>
      </c>
      <c r="C167" s="3" t="s">
        <v>6104</v>
      </c>
      <c r="D167" s="3" t="s">
        <v>2727</v>
      </c>
      <c r="E167" s="3" t="s">
        <v>1767</v>
      </c>
      <c r="F167" s="3" t="s">
        <v>395</v>
      </c>
      <c r="G167" s="3" t="s">
        <v>6105</v>
      </c>
      <c r="H167" s="3" t="s">
        <v>2023</v>
      </c>
      <c r="I167" s="3" t="s">
        <v>5986</v>
      </c>
      <c r="J167" s="3" t="s">
        <v>5999</v>
      </c>
      <c r="K167" s="4" t="b">
        <f>J167 = "blocking"</f>
        <v>1</v>
      </c>
      <c r="L167" s="3" t="s">
        <v>1448</v>
      </c>
      <c r="M167" s="3" t="s">
        <v>6106</v>
      </c>
      <c r="N167" s="5">
        <v>46223.1297337963</v>
      </c>
      <c r="O167" s="4" t="b">
        <f>L167 = "PASS"</f>
        <v>1</v>
      </c>
      <c r="P167" s="4" t="b">
        <f>L167 = "FAIL"</f>
        <v>0</v>
      </c>
      <c r="Q167" s="4" t="b">
        <f>AND(((P167)=TRUE), ((K167)=TRUE))</f>
        <v>0</v>
      </c>
      <c r="R167" s="4" t="str">
        <f>IF(((O167)=TRUE),  I167,  "")</f>
        <v>suite-substrate</v>
      </c>
      <c r="S167" s="4" t="str">
        <f>IF(((Q167)=TRUE),  I167,  "")</f>
      </c>
      <c r="T167" s="3" t="s">
        <v>6001</v>
      </c>
    </row>
    <row r="168">
      <c r="A168" s="3" t="s">
        <v>6203</v>
      </c>
      <c r="B168" s="4" t="str">
        <f>C168 &amp; ": " &amp; D168</f>
        <v>formula-translates: ProcedureVersions.IsUnstewarded</v>
      </c>
      <c r="C168" s="3" t="s">
        <v>6104</v>
      </c>
      <c r="D168" s="3" t="s">
        <v>2729</v>
      </c>
      <c r="E168" s="3" t="s">
        <v>1767</v>
      </c>
      <c r="F168" s="3" t="s">
        <v>396</v>
      </c>
      <c r="G168" s="3" t="s">
        <v>6105</v>
      </c>
      <c r="H168" s="3" t="s">
        <v>2023</v>
      </c>
      <c r="I168" s="3" t="s">
        <v>5986</v>
      </c>
      <c r="J168" s="3" t="s">
        <v>5999</v>
      </c>
      <c r="K168" s="4" t="b">
        <f>J168 = "blocking"</f>
        <v>1</v>
      </c>
      <c r="L168" s="3" t="s">
        <v>1448</v>
      </c>
      <c r="M168" s="3" t="s">
        <v>6106</v>
      </c>
      <c r="N168" s="5">
        <v>46223.1297337963</v>
      </c>
      <c r="O168" s="4" t="b">
        <f>L168 = "PASS"</f>
        <v>1</v>
      </c>
      <c r="P168" s="4" t="b">
        <f>L168 = "FAIL"</f>
        <v>0</v>
      </c>
      <c r="Q168" s="4" t="b">
        <f>AND(((P168)=TRUE), ((K168)=TRUE))</f>
        <v>0</v>
      </c>
      <c r="R168" s="4" t="str">
        <f>IF(((O168)=TRUE),  I168,  "")</f>
        <v>suite-substrate</v>
      </c>
      <c r="S168" s="4" t="str">
        <f>IF(((Q168)=TRUE),  I168,  "")</f>
      </c>
      <c r="T168" s="3" t="s">
        <v>6001</v>
      </c>
    </row>
    <row r="169">
      <c r="A169" s="3" t="s">
        <v>6204</v>
      </c>
      <c r="B169" s="4" t="str">
        <f>C169 &amp; ": " &amp; D169</f>
        <v>formula-translates: ProcedureVersions.IsLiveAndUnstewarded</v>
      </c>
      <c r="C169" s="3" t="s">
        <v>6104</v>
      </c>
      <c r="D169" s="3" t="s">
        <v>2731</v>
      </c>
      <c r="E169" s="3" t="s">
        <v>1767</v>
      </c>
      <c r="F169" s="3" t="s">
        <v>397</v>
      </c>
      <c r="G169" s="3" t="s">
        <v>6105</v>
      </c>
      <c r="H169" s="3" t="s">
        <v>2023</v>
      </c>
      <c r="I169" s="3" t="s">
        <v>5986</v>
      </c>
      <c r="J169" s="3" t="s">
        <v>5999</v>
      </c>
      <c r="K169" s="4" t="b">
        <f>J169 = "blocking"</f>
        <v>1</v>
      </c>
      <c r="L169" s="3" t="s">
        <v>1448</v>
      </c>
      <c r="M169" s="3" t="s">
        <v>6106</v>
      </c>
      <c r="N169" s="5">
        <v>46223.1297337963</v>
      </c>
      <c r="O169" s="4" t="b">
        <f>L169 = "PASS"</f>
        <v>1</v>
      </c>
      <c r="P169" s="4" t="b">
        <f>L169 = "FAIL"</f>
        <v>0</v>
      </c>
      <c r="Q169" s="4" t="b">
        <f>AND(((P169)=TRUE), ((K169)=TRUE))</f>
        <v>0</v>
      </c>
      <c r="R169" s="4" t="str">
        <f>IF(((O169)=TRUE),  I169,  "")</f>
        <v>suite-substrate</v>
      </c>
      <c r="S169" s="4" t="str">
        <f>IF(((Q169)=TRUE),  I169,  "")</f>
      </c>
      <c r="T169" s="3" t="s">
        <v>6001</v>
      </c>
    </row>
    <row r="170">
      <c r="A170" s="3" t="s">
        <v>6205</v>
      </c>
      <c r="B170" s="4" t="str">
        <f>C170 &amp; ": " &amp; D170</f>
        <v>formula-translates: ProcedureVersions.CountOfOpenBlockingGaps</v>
      </c>
      <c r="C170" s="3" t="s">
        <v>6104</v>
      </c>
      <c r="D170" s="3" t="s">
        <v>2733</v>
      </c>
      <c r="E170" s="3" t="s">
        <v>1767</v>
      </c>
      <c r="F170" s="3" t="s">
        <v>398</v>
      </c>
      <c r="G170" s="3" t="s">
        <v>6105</v>
      </c>
      <c r="H170" s="3" t="s">
        <v>2031</v>
      </c>
      <c r="I170" s="3" t="s">
        <v>5986</v>
      </c>
      <c r="J170" s="3" t="s">
        <v>5999</v>
      </c>
      <c r="K170" s="4" t="b">
        <f>J170 = "blocking"</f>
        <v>1</v>
      </c>
      <c r="L170" s="3" t="s">
        <v>1448</v>
      </c>
      <c r="M170" s="3" t="s">
        <v>6106</v>
      </c>
      <c r="N170" s="5">
        <v>46223.1297337963</v>
      </c>
      <c r="O170" s="4" t="b">
        <f>L170 = "PASS"</f>
        <v>1</v>
      </c>
      <c r="P170" s="4" t="b">
        <f>L170 = "FAIL"</f>
        <v>0</v>
      </c>
      <c r="Q170" s="4" t="b">
        <f>AND(((P170)=TRUE), ((K170)=TRUE))</f>
        <v>0</v>
      </c>
      <c r="R170" s="4" t="str">
        <f>IF(((O170)=TRUE),  I170,  "")</f>
        <v>suite-substrate</v>
      </c>
      <c r="S170" s="4" t="str">
        <f>IF(((Q170)=TRUE),  I170,  "")</f>
      </c>
      <c r="T170" s="3" t="s">
        <v>6001</v>
      </c>
    </row>
    <row r="171">
      <c r="A171" s="3" t="s">
        <v>6206</v>
      </c>
      <c r="B171" s="4" t="str">
        <f>C171 &amp; ": " &amp; D171</f>
        <v>formula-translates: ProcedureVersions.HasOpenBlockingGap</v>
      </c>
      <c r="C171" s="3" t="s">
        <v>6104</v>
      </c>
      <c r="D171" s="3" t="s">
        <v>2735</v>
      </c>
      <c r="E171" s="3" t="s">
        <v>1767</v>
      </c>
      <c r="F171" s="3" t="s">
        <v>399</v>
      </c>
      <c r="G171" s="3" t="s">
        <v>6105</v>
      </c>
      <c r="H171" s="3" t="s">
        <v>2031</v>
      </c>
      <c r="I171" s="3" t="s">
        <v>5986</v>
      </c>
      <c r="J171" s="3" t="s">
        <v>5999</v>
      </c>
      <c r="K171" s="4" t="b">
        <f>J171 = "blocking"</f>
        <v>1</v>
      </c>
      <c r="L171" s="3" t="s">
        <v>1448</v>
      </c>
      <c r="M171" s="3" t="s">
        <v>6106</v>
      </c>
      <c r="N171" s="5">
        <v>46223.1297337963</v>
      </c>
      <c r="O171" s="4" t="b">
        <f>L171 = "PASS"</f>
        <v>1</v>
      </c>
      <c r="P171" s="4" t="b">
        <f>L171 = "FAIL"</f>
        <v>0</v>
      </c>
      <c r="Q171" s="4" t="b">
        <f>AND(((P171)=TRUE), ((K171)=TRUE))</f>
        <v>0</v>
      </c>
      <c r="R171" s="4" t="str">
        <f>IF(((O171)=TRUE),  I171,  "")</f>
        <v>suite-substrate</v>
      </c>
      <c r="S171" s="4" t="str">
        <f>IF(((Q171)=TRUE),  I171,  "")</f>
      </c>
      <c r="T171" s="3" t="s">
        <v>6001</v>
      </c>
    </row>
    <row r="172">
      <c r="A172" s="3" t="s">
        <v>6207</v>
      </c>
      <c r="B172" s="4" t="str">
        <f>C172 &amp; ": " &amp; D172</f>
        <v>formula-translates: ProcedureVersions.IsLiveWithBlockingGap</v>
      </c>
      <c r="C172" s="3" t="s">
        <v>6104</v>
      </c>
      <c r="D172" s="3" t="s">
        <v>2737</v>
      </c>
      <c r="E172" s="3" t="s">
        <v>1767</v>
      </c>
      <c r="F172" s="3" t="s">
        <v>400</v>
      </c>
      <c r="G172" s="3" t="s">
        <v>6105</v>
      </c>
      <c r="H172" s="3" t="s">
        <v>2031</v>
      </c>
      <c r="I172" s="3" t="s">
        <v>5986</v>
      </c>
      <c r="J172" s="3" t="s">
        <v>5999</v>
      </c>
      <c r="K172" s="4" t="b">
        <f>J172 = "blocking"</f>
        <v>1</v>
      </c>
      <c r="L172" s="3" t="s">
        <v>1448</v>
      </c>
      <c r="M172" s="3" t="s">
        <v>6106</v>
      </c>
      <c r="N172" s="5">
        <v>46223.1297337963</v>
      </c>
      <c r="O172" s="4" t="b">
        <f>L172 = "PASS"</f>
        <v>1</v>
      </c>
      <c r="P172" s="4" t="b">
        <f>L172 = "FAIL"</f>
        <v>0</v>
      </c>
      <c r="Q172" s="4" t="b">
        <f>AND(((P172)=TRUE), ((K172)=TRUE))</f>
        <v>0</v>
      </c>
      <c r="R172" s="4" t="str">
        <f>IF(((O172)=TRUE),  I172,  "")</f>
        <v>suite-substrate</v>
      </c>
      <c r="S172" s="4" t="str">
        <f>IF(((Q172)=TRUE),  I172,  "")</f>
      </c>
      <c r="T172" s="3" t="s">
        <v>6001</v>
      </c>
    </row>
    <row r="173">
      <c r="A173" s="3" t="s">
        <v>6208</v>
      </c>
      <c r="B173" s="4" t="str">
        <f>C173 &amp; ": " &amp; D173</f>
        <v>formula-translates: ProcedureVersions.ShouldNotBeExecutable</v>
      </c>
      <c r="C173" s="3" t="s">
        <v>6104</v>
      </c>
      <c r="D173" s="3" t="s">
        <v>2739</v>
      </c>
      <c r="E173" s="3" t="s">
        <v>1767</v>
      </c>
      <c r="F173" s="3" t="s">
        <v>401</v>
      </c>
      <c r="G173" s="3" t="s">
        <v>6105</v>
      </c>
      <c r="H173" s="3" t="s">
        <v>2031</v>
      </c>
      <c r="I173" s="3" t="s">
        <v>5986</v>
      </c>
      <c r="J173" s="3" t="s">
        <v>5999</v>
      </c>
      <c r="K173" s="4" t="b">
        <f>J173 = "blocking"</f>
        <v>1</v>
      </c>
      <c r="L173" s="3" t="s">
        <v>1448</v>
      </c>
      <c r="M173" s="3" t="s">
        <v>6106</v>
      </c>
      <c r="N173" s="5">
        <v>46223.1297337963</v>
      </c>
      <c r="O173" s="4" t="b">
        <f>L173 = "PASS"</f>
        <v>1</v>
      </c>
      <c r="P173" s="4" t="b">
        <f>L173 = "FAIL"</f>
        <v>0</v>
      </c>
      <c r="Q173" s="4" t="b">
        <f>AND(((P173)=TRUE), ((K173)=TRUE))</f>
        <v>0</v>
      </c>
      <c r="R173" s="4" t="str">
        <f>IF(((O173)=TRUE),  I173,  "")</f>
        <v>suite-substrate</v>
      </c>
      <c r="S173" s="4" t="str">
        <f>IF(((Q173)=TRUE),  I173,  "")</f>
      </c>
      <c r="T173" s="3" t="s">
        <v>6001</v>
      </c>
    </row>
    <row r="174">
      <c r="A174" s="3" t="s">
        <v>6209</v>
      </c>
      <c r="B174" s="4" t="str">
        <f>C174 &amp; ": " &amp; D174</f>
        <v>formula-translates: ProcedureVersions.CountOfUnapprovedRelianceFragments</v>
      </c>
      <c r="C174" s="3" t="s">
        <v>6104</v>
      </c>
      <c r="D174" s="3" t="s">
        <v>2741</v>
      </c>
      <c r="E174" s="3" t="s">
        <v>1767</v>
      </c>
      <c r="F174" s="3" t="s">
        <v>402</v>
      </c>
      <c r="G174" s="3" t="s">
        <v>6105</v>
      </c>
      <c r="H174" s="3" t="s">
        <v>2043</v>
      </c>
      <c r="I174" s="3" t="s">
        <v>5986</v>
      </c>
      <c r="J174" s="3" t="s">
        <v>5999</v>
      </c>
      <c r="K174" s="4" t="b">
        <f>J174 = "blocking"</f>
        <v>1</v>
      </c>
      <c r="L174" s="3" t="s">
        <v>1448</v>
      </c>
      <c r="M174" s="3" t="s">
        <v>6106</v>
      </c>
      <c r="N174" s="5">
        <v>46223.1297337963</v>
      </c>
      <c r="O174" s="4" t="b">
        <f>L174 = "PASS"</f>
        <v>1</v>
      </c>
      <c r="P174" s="4" t="b">
        <f>L174 = "FAIL"</f>
        <v>0</v>
      </c>
      <c r="Q174" s="4" t="b">
        <f>AND(((P174)=TRUE), ((K174)=TRUE))</f>
        <v>0</v>
      </c>
      <c r="R174" s="4" t="str">
        <f>IF(((O174)=TRUE),  I174,  "")</f>
        <v>suite-substrate</v>
      </c>
      <c r="S174" s="4" t="str">
        <f>IF(((Q174)=TRUE),  I174,  "")</f>
      </c>
      <c r="T174" s="3" t="s">
        <v>6001</v>
      </c>
    </row>
    <row r="175">
      <c r="A175" s="3" t="s">
        <v>6210</v>
      </c>
      <c r="B175" s="4" t="str">
        <f>C175 &amp; ": " &amp; D175</f>
        <v>formula-translates: ProcedureVersions.RunsOnUnapprovedKnowledge</v>
      </c>
      <c r="C175" s="3" t="s">
        <v>6104</v>
      </c>
      <c r="D175" s="3" t="s">
        <v>2743</v>
      </c>
      <c r="E175" s="3" t="s">
        <v>1767</v>
      </c>
      <c r="F175" s="3" t="s">
        <v>403</v>
      </c>
      <c r="G175" s="3" t="s">
        <v>6105</v>
      </c>
      <c r="H175" s="3" t="s">
        <v>2043</v>
      </c>
      <c r="I175" s="3" t="s">
        <v>5986</v>
      </c>
      <c r="J175" s="3" t="s">
        <v>5999</v>
      </c>
      <c r="K175" s="4" t="b">
        <f>J175 = "blocking"</f>
        <v>1</v>
      </c>
      <c r="L175" s="3" t="s">
        <v>1448</v>
      </c>
      <c r="M175" s="3" t="s">
        <v>6106</v>
      </c>
      <c r="N175" s="5">
        <v>46223.1297337963</v>
      </c>
      <c r="O175" s="4" t="b">
        <f>L175 = "PASS"</f>
        <v>1</v>
      </c>
      <c r="P175" s="4" t="b">
        <f>L175 = "FAIL"</f>
        <v>0</v>
      </c>
      <c r="Q175" s="4" t="b">
        <f>AND(((P175)=TRUE), ((K175)=TRUE))</f>
        <v>0</v>
      </c>
      <c r="R175" s="4" t="str">
        <f>IF(((O175)=TRUE),  I175,  "")</f>
        <v>suite-substrate</v>
      </c>
      <c r="S175" s="4" t="str">
        <f>IF(((Q175)=TRUE),  I175,  "")</f>
      </c>
      <c r="T175" s="3" t="s">
        <v>6001</v>
      </c>
    </row>
    <row r="176">
      <c r="A176" s="3" t="s">
        <v>6211</v>
      </c>
      <c r="B176" s="4" t="str">
        <f>C176 &amp; ": " &amp; D176</f>
        <v>formula-translates: ProcedureVersions.CountOfOverdueGaps</v>
      </c>
      <c r="C176" s="3" t="s">
        <v>6104</v>
      </c>
      <c r="D176" s="3" t="s">
        <v>2745</v>
      </c>
      <c r="E176" s="3" t="s">
        <v>1767</v>
      </c>
      <c r="F176" s="3" t="s">
        <v>404</v>
      </c>
      <c r="G176" s="3" t="s">
        <v>6105</v>
      </c>
      <c r="H176" s="3" t="s">
        <v>2051</v>
      </c>
      <c r="I176" s="3" t="s">
        <v>5986</v>
      </c>
      <c r="J176" s="3" t="s">
        <v>5999</v>
      </c>
      <c r="K176" s="4" t="b">
        <f>J176 = "blocking"</f>
        <v>1</v>
      </c>
      <c r="L176" s="3" t="s">
        <v>1448</v>
      </c>
      <c r="M176" s="3" t="s">
        <v>6106</v>
      </c>
      <c r="N176" s="5">
        <v>46223.1297337963</v>
      </c>
      <c r="O176" s="4" t="b">
        <f>L176 = "PASS"</f>
        <v>1</v>
      </c>
      <c r="P176" s="4" t="b">
        <f>L176 = "FAIL"</f>
        <v>0</v>
      </c>
      <c r="Q176" s="4" t="b">
        <f>AND(((P176)=TRUE), ((K176)=TRUE))</f>
        <v>0</v>
      </c>
      <c r="R176" s="4" t="str">
        <f>IF(((O176)=TRUE),  I176,  "")</f>
        <v>suite-substrate</v>
      </c>
      <c r="S176" s="4" t="str">
        <f>IF(((Q176)=TRUE),  I176,  "")</f>
      </c>
      <c r="T176" s="3" t="s">
        <v>6001</v>
      </c>
    </row>
    <row r="177">
      <c r="A177" s="3" t="s">
        <v>6212</v>
      </c>
      <c r="B177" s="4" t="str">
        <f>C177 &amp; ": " &amp; D177</f>
        <v>formula-translates: ProcedureVersions.CountOfChangeRequests</v>
      </c>
      <c r="C177" s="3" t="s">
        <v>6104</v>
      </c>
      <c r="D177" s="3" t="s">
        <v>2747</v>
      </c>
      <c r="E177" s="3" t="s">
        <v>1767</v>
      </c>
      <c r="F177" s="3" t="s">
        <v>405</v>
      </c>
      <c r="G177" s="3" t="s">
        <v>6105</v>
      </c>
      <c r="H177" s="3" t="s">
        <v>2055</v>
      </c>
      <c r="I177" s="3" t="s">
        <v>5986</v>
      </c>
      <c r="J177" s="3" t="s">
        <v>5999</v>
      </c>
      <c r="K177" s="4" t="b">
        <f>J177 = "blocking"</f>
        <v>1</v>
      </c>
      <c r="L177" s="3" t="s">
        <v>1448</v>
      </c>
      <c r="M177" s="3" t="s">
        <v>6106</v>
      </c>
      <c r="N177" s="5">
        <v>46223.1297337963</v>
      </c>
      <c r="O177" s="4" t="b">
        <f>L177 = "PASS"</f>
        <v>1</v>
      </c>
      <c r="P177" s="4" t="b">
        <f>L177 = "FAIL"</f>
        <v>0</v>
      </c>
      <c r="Q177" s="4" t="b">
        <f>AND(((P177)=TRUE), ((K177)=TRUE))</f>
        <v>0</v>
      </c>
      <c r="R177" s="4" t="str">
        <f>IF(((O177)=TRUE),  I177,  "")</f>
        <v>suite-substrate</v>
      </c>
      <c r="S177" s="4" t="str">
        <f>IF(((Q177)=TRUE),  I177,  "")</f>
      </c>
      <c r="T177" s="3" t="s">
        <v>6001</v>
      </c>
    </row>
    <row r="178">
      <c r="A178" s="3" t="s">
        <v>6213</v>
      </c>
      <c r="B178" s="4" t="str">
        <f>C178 &amp; ": " &amp; D178</f>
        <v>formula-translates: ProcedureVersions.CountOfReviewEvents</v>
      </c>
      <c r="C178" s="3" t="s">
        <v>6104</v>
      </c>
      <c r="D178" s="3" t="s">
        <v>2749</v>
      </c>
      <c r="E178" s="3" t="s">
        <v>1767</v>
      </c>
      <c r="F178" s="3" t="s">
        <v>406</v>
      </c>
      <c r="G178" s="3" t="s">
        <v>6105</v>
      </c>
      <c r="H178" s="3" t="s">
        <v>2055</v>
      </c>
      <c r="I178" s="3" t="s">
        <v>5986</v>
      </c>
      <c r="J178" s="3" t="s">
        <v>5999</v>
      </c>
      <c r="K178" s="4" t="b">
        <f>J178 = "blocking"</f>
        <v>1</v>
      </c>
      <c r="L178" s="3" t="s">
        <v>1448</v>
      </c>
      <c r="M178" s="3" t="s">
        <v>6106</v>
      </c>
      <c r="N178" s="5">
        <v>46223.1297337963</v>
      </c>
      <c r="O178" s="4" t="b">
        <f>L178 = "PASS"</f>
        <v>1</v>
      </c>
      <c r="P178" s="4" t="b">
        <f>L178 = "FAIL"</f>
        <v>0</v>
      </c>
      <c r="Q178" s="4" t="b">
        <f>AND(((P178)=TRUE), ((K178)=TRUE))</f>
        <v>0</v>
      </c>
      <c r="R178" s="4" t="str">
        <f>IF(((O178)=TRUE),  I178,  "")</f>
        <v>suite-substrate</v>
      </c>
      <c r="S178" s="4" t="str">
        <f>IF(((Q178)=TRUE),  I178,  "")</f>
      </c>
      <c r="T178" s="3" t="s">
        <v>6001</v>
      </c>
    </row>
    <row r="179">
      <c r="A179" s="3" t="s">
        <v>6214</v>
      </c>
      <c r="B179" s="4" t="str">
        <f>C179 &amp; ": " &amp; D179</f>
        <v>formula-translates: ProcedureVersions.HasGovernanceRecord</v>
      </c>
      <c r="C179" s="3" t="s">
        <v>6104</v>
      </c>
      <c r="D179" s="3" t="s">
        <v>2751</v>
      </c>
      <c r="E179" s="3" t="s">
        <v>1767</v>
      </c>
      <c r="F179" s="3" t="s">
        <v>407</v>
      </c>
      <c r="G179" s="3" t="s">
        <v>6105</v>
      </c>
      <c r="H179" s="3" t="s">
        <v>2055</v>
      </c>
      <c r="I179" s="3" t="s">
        <v>5986</v>
      </c>
      <c r="J179" s="3" t="s">
        <v>5999</v>
      </c>
      <c r="K179" s="4" t="b">
        <f>J179 = "blocking"</f>
        <v>1</v>
      </c>
      <c r="L179" s="3" t="s">
        <v>1448</v>
      </c>
      <c r="M179" s="3" t="s">
        <v>6106</v>
      </c>
      <c r="N179" s="5">
        <v>46223.1297337963</v>
      </c>
      <c r="O179" s="4" t="b">
        <f>L179 = "PASS"</f>
        <v>1</v>
      </c>
      <c r="P179" s="4" t="b">
        <f>L179 = "FAIL"</f>
        <v>0</v>
      </c>
      <c r="Q179" s="4" t="b">
        <f>AND(((P179)=TRUE), ((K179)=TRUE))</f>
        <v>0</v>
      </c>
      <c r="R179" s="4" t="str">
        <f>IF(((O179)=TRUE),  I179,  "")</f>
        <v>suite-substrate</v>
      </c>
      <c r="S179" s="4" t="str">
        <f>IF(((Q179)=TRUE),  I179,  "")</f>
      </c>
      <c r="T179" s="3" t="s">
        <v>6001</v>
      </c>
    </row>
    <row r="180">
      <c r="A180" s="3" t="s">
        <v>6215</v>
      </c>
      <c r="B180" s="4" t="str">
        <f>C180 &amp; ": " &amp; D180</f>
        <v>formula-translates: ProcedureVersions.AsOfInstant</v>
      </c>
      <c r="C180" s="3" t="s">
        <v>6104</v>
      </c>
      <c r="D180" s="3" t="s">
        <v>2754</v>
      </c>
      <c r="E180" s="3" t="s">
        <v>1767</v>
      </c>
      <c r="F180" s="3" t="s">
        <v>92</v>
      </c>
      <c r="G180" s="3" t="s">
        <v>6105</v>
      </c>
      <c r="H180" s="3"/>
      <c r="I180" s="3" t="s">
        <v>5986</v>
      </c>
      <c r="J180" s="3" t="s">
        <v>5999</v>
      </c>
      <c r="K180" s="4" t="b">
        <f>J180 = "blocking"</f>
        <v>1</v>
      </c>
      <c r="L180" s="3" t="s">
        <v>1448</v>
      </c>
      <c r="M180" s="3" t="s">
        <v>6106</v>
      </c>
      <c r="N180" s="5">
        <v>46223.1297337963</v>
      </c>
      <c r="O180" s="4" t="b">
        <f>L180 = "PASS"</f>
        <v>1</v>
      </c>
      <c r="P180" s="4" t="b">
        <f>L180 = "FAIL"</f>
        <v>0</v>
      </c>
      <c r="Q180" s="4" t="b">
        <f>AND(((P180)=TRUE), ((K180)=TRUE))</f>
        <v>0</v>
      </c>
      <c r="R180" s="4" t="str">
        <f>IF(((O180)=TRUE),  I180,  "")</f>
        <v>suite-substrate</v>
      </c>
      <c r="S180" s="4" t="str">
        <f>IF(((Q180)=TRUE),  I180,  "")</f>
      </c>
      <c r="T180" s="3" t="s">
        <v>6001</v>
      </c>
    </row>
    <row r="181">
      <c r="A181" s="3" t="s">
        <v>6216</v>
      </c>
      <c r="B181" s="4" t="str">
        <f>C181 &amp; ": " &amp; D181</f>
        <v>formula-translates: ProcedureVersions.DaysSinceModified</v>
      </c>
      <c r="C181" s="3" t="s">
        <v>6104</v>
      </c>
      <c r="D181" s="3" t="s">
        <v>2755</v>
      </c>
      <c r="E181" s="3" t="s">
        <v>1767</v>
      </c>
      <c r="F181" s="3" t="s">
        <v>408</v>
      </c>
      <c r="G181" s="3" t="s">
        <v>6105</v>
      </c>
      <c r="H181" s="3" t="s">
        <v>2055</v>
      </c>
      <c r="I181" s="3" t="s">
        <v>5986</v>
      </c>
      <c r="J181" s="3" t="s">
        <v>5999</v>
      </c>
      <c r="K181" s="4" t="b">
        <f>J181 = "blocking"</f>
        <v>1</v>
      </c>
      <c r="L181" s="3" t="s">
        <v>1448</v>
      </c>
      <c r="M181" s="3" t="s">
        <v>6106</v>
      </c>
      <c r="N181" s="5">
        <v>46223.1297337963</v>
      </c>
      <c r="O181" s="4" t="b">
        <f>L181 = "PASS"</f>
        <v>1</v>
      </c>
      <c r="P181" s="4" t="b">
        <f>L181 = "FAIL"</f>
        <v>0</v>
      </c>
      <c r="Q181" s="4" t="b">
        <f>AND(((P181)=TRUE), ((K181)=TRUE))</f>
        <v>0</v>
      </c>
      <c r="R181" s="4" t="str">
        <f>IF(((O181)=TRUE),  I181,  "")</f>
        <v>suite-substrate</v>
      </c>
      <c r="S181" s="4" t="str">
        <f>IF(((Q181)=TRUE),  I181,  "")</f>
      </c>
      <c r="T181" s="3" t="s">
        <v>6001</v>
      </c>
    </row>
    <row r="182">
      <c r="A182" s="3" t="s">
        <v>6217</v>
      </c>
      <c r="B182" s="4" t="str">
        <f>C182 &amp; ": " &amp; D182</f>
        <v>formula-translates: ProcedureVersions.DaysSinceLastReview</v>
      </c>
      <c r="C182" s="3" t="s">
        <v>6104</v>
      </c>
      <c r="D182" s="3" t="s">
        <v>2757</v>
      </c>
      <c r="E182" s="3" t="s">
        <v>1767</v>
      </c>
      <c r="F182" s="3" t="s">
        <v>409</v>
      </c>
      <c r="G182" s="3" t="s">
        <v>6105</v>
      </c>
      <c r="H182" s="3" t="s">
        <v>2055</v>
      </c>
      <c r="I182" s="3" t="s">
        <v>5986</v>
      </c>
      <c r="J182" s="3" t="s">
        <v>5999</v>
      </c>
      <c r="K182" s="4" t="b">
        <f>J182 = "blocking"</f>
        <v>1</v>
      </c>
      <c r="L182" s="3" t="s">
        <v>1448</v>
      </c>
      <c r="M182" s="3" t="s">
        <v>6106</v>
      </c>
      <c r="N182" s="5">
        <v>46223.1297337963</v>
      </c>
      <c r="O182" s="4" t="b">
        <f>L182 = "PASS"</f>
        <v>1</v>
      </c>
      <c r="P182" s="4" t="b">
        <f>L182 = "FAIL"</f>
        <v>0</v>
      </c>
      <c r="Q182" s="4" t="b">
        <f>AND(((P182)=TRUE), ((K182)=TRUE))</f>
        <v>0</v>
      </c>
      <c r="R182" s="4" t="str">
        <f>IF(((O182)=TRUE),  I182,  "")</f>
        <v>suite-substrate</v>
      </c>
      <c r="S182" s="4" t="str">
        <f>IF(((Q182)=TRUE),  I182,  "")</f>
      </c>
      <c r="T182" s="3" t="s">
        <v>6001</v>
      </c>
    </row>
    <row r="183">
      <c r="A183" s="3" t="s">
        <v>6218</v>
      </c>
      <c r="B183" s="4" t="str">
        <f>C183 &amp; ": " &amp; D183</f>
        <v>formula-translates: ProcedureVersions.WasModifiedSinceLastReview</v>
      </c>
      <c r="C183" s="3" t="s">
        <v>6104</v>
      </c>
      <c r="D183" s="3" t="s">
        <v>2759</v>
      </c>
      <c r="E183" s="3" t="s">
        <v>1767</v>
      </c>
      <c r="F183" s="3" t="s">
        <v>410</v>
      </c>
      <c r="G183" s="3" t="s">
        <v>6105</v>
      </c>
      <c r="H183" s="3" t="s">
        <v>2055</v>
      </c>
      <c r="I183" s="3" t="s">
        <v>5986</v>
      </c>
      <c r="J183" s="3" t="s">
        <v>5999</v>
      </c>
      <c r="K183" s="4" t="b">
        <f>J183 = "blocking"</f>
        <v>1</v>
      </c>
      <c r="L183" s="3" t="s">
        <v>1448</v>
      </c>
      <c r="M183" s="3" t="s">
        <v>6106</v>
      </c>
      <c r="N183" s="5">
        <v>46223.1297337963</v>
      </c>
      <c r="O183" s="4" t="b">
        <f>L183 = "PASS"</f>
        <v>1</v>
      </c>
      <c r="P183" s="4" t="b">
        <f>L183 = "FAIL"</f>
        <v>0</v>
      </c>
      <c r="Q183" s="4" t="b">
        <f>AND(((P183)=TRUE), ((K183)=TRUE))</f>
        <v>0</v>
      </c>
      <c r="R183" s="4" t="str">
        <f>IF(((O183)=TRUE),  I183,  "")</f>
        <v>suite-substrate</v>
      </c>
      <c r="S183" s="4" t="str">
        <f>IF(((Q183)=TRUE),  I183,  "")</f>
      </c>
      <c r="T183" s="3" t="s">
        <v>6001</v>
      </c>
    </row>
    <row r="184">
      <c r="A184" s="3" t="s">
        <v>6219</v>
      </c>
      <c r="B184" s="4" t="str">
        <f>C184 &amp; ": " &amp; D184</f>
        <v>formula-translates: ProcedureVersions.ModifierIsAuthority</v>
      </c>
      <c r="C184" s="3" t="s">
        <v>6104</v>
      </c>
      <c r="D184" s="3" t="s">
        <v>2761</v>
      </c>
      <c r="E184" s="3" t="s">
        <v>1767</v>
      </c>
      <c r="F184" s="3" t="s">
        <v>411</v>
      </c>
      <c r="G184" s="3" t="s">
        <v>6105</v>
      </c>
      <c r="H184" s="3" t="s">
        <v>2055</v>
      </c>
      <c r="I184" s="3" t="s">
        <v>5986</v>
      </c>
      <c r="J184" s="3" t="s">
        <v>5999</v>
      </c>
      <c r="K184" s="4" t="b">
        <f>J184 = "blocking"</f>
        <v>1</v>
      </c>
      <c r="L184" s="3" t="s">
        <v>1448</v>
      </c>
      <c r="M184" s="3" t="s">
        <v>6106</v>
      </c>
      <c r="N184" s="5">
        <v>46223.1297337963</v>
      </c>
      <c r="O184" s="4" t="b">
        <f>L184 = "PASS"</f>
        <v>1</v>
      </c>
      <c r="P184" s="4" t="b">
        <f>L184 = "FAIL"</f>
        <v>0</v>
      </c>
      <c r="Q184" s="4" t="b">
        <f>AND(((P184)=TRUE), ((K184)=TRUE))</f>
        <v>0</v>
      </c>
      <c r="R184" s="4" t="str">
        <f>IF(((O184)=TRUE),  I184,  "")</f>
        <v>suite-substrate</v>
      </c>
      <c r="S184" s="4" t="str">
        <f>IF(((Q184)=TRUE),  I184,  "")</f>
      </c>
      <c r="T184" s="3" t="s">
        <v>6001</v>
      </c>
    </row>
    <row r="185">
      <c r="A185" s="3" t="s">
        <v>6220</v>
      </c>
      <c r="B185" s="4" t="str">
        <f>C185 &amp; ": " &amp; D185</f>
        <v>formula-translates: ProcedureVersions.HasUnwitnessedChange</v>
      </c>
      <c r="C185" s="3" t="s">
        <v>6104</v>
      </c>
      <c r="D185" s="3" t="s">
        <v>2763</v>
      </c>
      <c r="E185" s="3" t="s">
        <v>1767</v>
      </c>
      <c r="F185" s="3" t="s">
        <v>412</v>
      </c>
      <c r="G185" s="3" t="s">
        <v>6105</v>
      </c>
      <c r="H185" s="3" t="s">
        <v>2055</v>
      </c>
      <c r="I185" s="3" t="s">
        <v>5986</v>
      </c>
      <c r="J185" s="3" t="s">
        <v>5999</v>
      </c>
      <c r="K185" s="4" t="b">
        <f>J185 = "blocking"</f>
        <v>1</v>
      </c>
      <c r="L185" s="3" t="s">
        <v>1448</v>
      </c>
      <c r="M185" s="3" t="s">
        <v>6106</v>
      </c>
      <c r="N185" s="5">
        <v>46223.1297337963</v>
      </c>
      <c r="O185" s="4" t="b">
        <f>L185 = "PASS"</f>
        <v>1</v>
      </c>
      <c r="P185" s="4" t="b">
        <f>L185 = "FAIL"</f>
        <v>0</v>
      </c>
      <c r="Q185" s="4" t="b">
        <f>AND(((P185)=TRUE), ((K185)=TRUE))</f>
        <v>0</v>
      </c>
      <c r="R185" s="4" t="str">
        <f>IF(((O185)=TRUE),  I185,  "")</f>
        <v>suite-substrate</v>
      </c>
      <c r="S185" s="4" t="str">
        <f>IF(((Q185)=TRUE),  I185,  "")</f>
      </c>
      <c r="T185" s="3" t="s">
        <v>6001</v>
      </c>
    </row>
    <row r="186">
      <c r="A186" s="3" t="s">
        <v>6221</v>
      </c>
      <c r="B186" s="4" t="str">
        <f>C186 &amp; ": " &amp; D186</f>
        <v>formula-translates: ProcedureVersions.CountOfStaleFragments</v>
      </c>
      <c r="C186" s="3" t="s">
        <v>6104</v>
      </c>
      <c r="D186" s="3" t="s">
        <v>2765</v>
      </c>
      <c r="E186" s="3" t="s">
        <v>1767</v>
      </c>
      <c r="F186" s="3" t="s">
        <v>413</v>
      </c>
      <c r="G186" s="3" t="s">
        <v>6105</v>
      </c>
      <c r="H186" s="3" t="s">
        <v>2155</v>
      </c>
      <c r="I186" s="3" t="s">
        <v>5986</v>
      </c>
      <c r="J186" s="3" t="s">
        <v>5999</v>
      </c>
      <c r="K186" s="4" t="b">
        <f>J186 = "blocking"</f>
        <v>1</v>
      </c>
      <c r="L186" s="3" t="s">
        <v>1448</v>
      </c>
      <c r="M186" s="3" t="s">
        <v>6106</v>
      </c>
      <c r="N186" s="5">
        <v>46223.1297337963</v>
      </c>
      <c r="O186" s="4" t="b">
        <f>L186 = "PASS"</f>
        <v>1</v>
      </c>
      <c r="P186" s="4" t="b">
        <f>L186 = "FAIL"</f>
        <v>0</v>
      </c>
      <c r="Q186" s="4" t="b">
        <f>AND(((P186)=TRUE), ((K186)=TRUE))</f>
        <v>0</v>
      </c>
      <c r="R186" s="4" t="str">
        <f>IF(((O186)=TRUE),  I186,  "")</f>
        <v>suite-substrate</v>
      </c>
      <c r="S186" s="4" t="str">
        <f>IF(((Q186)=TRUE),  I186,  "")</f>
      </c>
      <c r="T186" s="3" t="s">
        <v>6001</v>
      </c>
    </row>
    <row r="187">
      <c r="A187" s="3" t="s">
        <v>6222</v>
      </c>
      <c r="B187" s="4" t="str">
        <f>C187 &amp; ": " &amp; D187</f>
        <v>formula-translates: ProcedureVersions.KnowledgeIsStalerThanCadence</v>
      </c>
      <c r="C187" s="3" t="s">
        <v>6104</v>
      </c>
      <c r="D187" s="3" t="s">
        <v>2767</v>
      </c>
      <c r="E187" s="3" t="s">
        <v>1767</v>
      </c>
      <c r="F187" s="3" t="s">
        <v>414</v>
      </c>
      <c r="G187" s="3" t="s">
        <v>6105</v>
      </c>
      <c r="H187" s="3" t="s">
        <v>2155</v>
      </c>
      <c r="I187" s="3" t="s">
        <v>5986</v>
      </c>
      <c r="J187" s="3" t="s">
        <v>5999</v>
      </c>
      <c r="K187" s="4" t="b">
        <f>J187 = "blocking"</f>
        <v>1</v>
      </c>
      <c r="L187" s="3" t="s">
        <v>1448</v>
      </c>
      <c r="M187" s="3" t="s">
        <v>6106</v>
      </c>
      <c r="N187" s="5">
        <v>46223.1297337963</v>
      </c>
      <c r="O187" s="4" t="b">
        <f>L187 = "PASS"</f>
        <v>1</v>
      </c>
      <c r="P187" s="4" t="b">
        <f>L187 = "FAIL"</f>
        <v>0</v>
      </c>
      <c r="Q187" s="4" t="b">
        <f>AND(((P187)=TRUE), ((K187)=TRUE))</f>
        <v>0</v>
      </c>
      <c r="R187" s="4" t="str">
        <f>IF(((O187)=TRUE),  I187,  "")</f>
        <v>suite-substrate</v>
      </c>
      <c r="S187" s="4" t="str">
        <f>IF(((Q187)=TRUE),  I187,  "")</f>
      </c>
      <c r="T187" s="3" t="s">
        <v>6001</v>
      </c>
    </row>
    <row r="188">
      <c r="A188" s="3" t="s">
        <v>6223</v>
      </c>
      <c r="B188" s="4" t="str">
        <f>C188 &amp; ": " &amp; D188</f>
        <v>formula-translates: ProcedureVersions.CompoundFragileFragmentCount</v>
      </c>
      <c r="C188" s="3" t="s">
        <v>6104</v>
      </c>
      <c r="D188" s="3" t="s">
        <v>2769</v>
      </c>
      <c r="E188" s="3" t="s">
        <v>1767</v>
      </c>
      <c r="F188" s="3" t="s">
        <v>415</v>
      </c>
      <c r="G188" s="3" t="s">
        <v>6105</v>
      </c>
      <c r="H188" s="3" t="s">
        <v>2199</v>
      </c>
      <c r="I188" s="3" t="s">
        <v>5986</v>
      </c>
      <c r="J188" s="3" t="s">
        <v>5999</v>
      </c>
      <c r="K188" s="4" t="b">
        <f>J188 = "blocking"</f>
        <v>1</v>
      </c>
      <c r="L188" s="3" t="s">
        <v>1448</v>
      </c>
      <c r="M188" s="3" t="s">
        <v>6106</v>
      </c>
      <c r="N188" s="5">
        <v>46223.1297337963</v>
      </c>
      <c r="O188" s="4" t="b">
        <f>L188 = "PASS"</f>
        <v>1</v>
      </c>
      <c r="P188" s="4" t="b">
        <f>L188 = "FAIL"</f>
        <v>0</v>
      </c>
      <c r="Q188" s="4" t="b">
        <f>AND(((P188)=TRUE), ((K188)=TRUE))</f>
        <v>0</v>
      </c>
      <c r="R188" s="4" t="str">
        <f>IF(((O188)=TRUE),  I188,  "")</f>
        <v>suite-substrate</v>
      </c>
      <c r="S188" s="4" t="str">
        <f>IF(((Q188)=TRUE),  I188,  "")</f>
      </c>
      <c r="T188" s="3" t="s">
        <v>6001</v>
      </c>
    </row>
    <row r="189">
      <c r="A189" s="3" t="s">
        <v>6224</v>
      </c>
      <c r="B189" s="4" t="str">
        <f>C189 &amp; ": " &amp; D189</f>
        <v>formula-translates: ProcedureVersions.RestsOnCompoundFragileKnowledge</v>
      </c>
      <c r="C189" s="3" t="s">
        <v>6104</v>
      </c>
      <c r="D189" s="3" t="s">
        <v>2771</v>
      </c>
      <c r="E189" s="3" t="s">
        <v>1767</v>
      </c>
      <c r="F189" s="3" t="s">
        <v>416</v>
      </c>
      <c r="G189" s="3" t="s">
        <v>6105</v>
      </c>
      <c r="H189" s="3" t="s">
        <v>2199</v>
      </c>
      <c r="I189" s="3" t="s">
        <v>5986</v>
      </c>
      <c r="J189" s="3" t="s">
        <v>5999</v>
      </c>
      <c r="K189" s="4" t="b">
        <f>J189 = "blocking"</f>
        <v>1</v>
      </c>
      <c r="L189" s="3" t="s">
        <v>1448</v>
      </c>
      <c r="M189" s="3" t="s">
        <v>6106</v>
      </c>
      <c r="N189" s="5">
        <v>46223.1297337963</v>
      </c>
      <c r="O189" s="4" t="b">
        <f>L189 = "PASS"</f>
        <v>1</v>
      </c>
      <c r="P189" s="4" t="b">
        <f>L189 = "FAIL"</f>
        <v>0</v>
      </c>
      <c r="Q189" s="4" t="b">
        <f>AND(((P189)=TRUE), ((K189)=TRUE))</f>
        <v>0</v>
      </c>
      <c r="R189" s="4" t="str">
        <f>IF(((O189)=TRUE),  I189,  "")</f>
        <v>suite-substrate</v>
      </c>
      <c r="S189" s="4" t="str">
        <f>IF(((Q189)=TRUE),  I189,  "")</f>
      </c>
      <c r="T189" s="3" t="s">
        <v>6001</v>
      </c>
    </row>
    <row r="190">
      <c r="A190" s="3" t="s">
        <v>6225</v>
      </c>
      <c r="B190" s="4" t="str">
        <f>C190 &amp; ": " &amp; D190</f>
        <v>formula-translates: ProcedureVersions.ConcentratedWitnessSessionCount</v>
      </c>
      <c r="C190" s="3" t="s">
        <v>6104</v>
      </c>
      <c r="D190" s="3" t="s">
        <v>2773</v>
      </c>
      <c r="E190" s="3" t="s">
        <v>1767</v>
      </c>
      <c r="F190" s="3" t="s">
        <v>417</v>
      </c>
      <c r="G190" s="3" t="s">
        <v>6105</v>
      </c>
      <c r="H190" s="3" t="s">
        <v>2207</v>
      </c>
      <c r="I190" s="3" t="s">
        <v>5986</v>
      </c>
      <c r="J190" s="3" t="s">
        <v>5999</v>
      </c>
      <c r="K190" s="4" t="b">
        <f>J190 = "blocking"</f>
        <v>1</v>
      </c>
      <c r="L190" s="3" t="s">
        <v>1448</v>
      </c>
      <c r="M190" s="3" t="s">
        <v>6106</v>
      </c>
      <c r="N190" s="5">
        <v>46223.1297337963</v>
      </c>
      <c r="O190" s="4" t="b">
        <f>L190 = "PASS"</f>
        <v>1</v>
      </c>
      <c r="P190" s="4" t="b">
        <f>L190 = "FAIL"</f>
        <v>0</v>
      </c>
      <c r="Q190" s="4" t="b">
        <f>AND(((P190)=TRUE), ((K190)=TRUE))</f>
        <v>0</v>
      </c>
      <c r="R190" s="4" t="str">
        <f>IF(((O190)=TRUE),  I190,  "")</f>
        <v>suite-substrate</v>
      </c>
      <c r="S190" s="4" t="str">
        <f>IF(((Q190)=TRUE),  I190,  "")</f>
      </c>
      <c r="T190" s="3" t="s">
        <v>6001</v>
      </c>
    </row>
    <row r="191">
      <c r="A191" s="3" t="s">
        <v>6226</v>
      </c>
      <c r="B191" s="4" t="str">
        <f>C191 &amp; ": " &amp; D191</f>
        <v>formula-translates: ProcedureVersions.KnowledgeBaseIsConcentrated</v>
      </c>
      <c r="C191" s="3" t="s">
        <v>6104</v>
      </c>
      <c r="D191" s="3" t="s">
        <v>2775</v>
      </c>
      <c r="E191" s="3" t="s">
        <v>1767</v>
      </c>
      <c r="F191" s="3" t="s">
        <v>418</v>
      </c>
      <c r="G191" s="3" t="s">
        <v>6105</v>
      </c>
      <c r="H191" s="3" t="s">
        <v>2207</v>
      </c>
      <c r="I191" s="3" t="s">
        <v>5986</v>
      </c>
      <c r="J191" s="3" t="s">
        <v>5999</v>
      </c>
      <c r="K191" s="4" t="b">
        <f>J191 = "blocking"</f>
        <v>1</v>
      </c>
      <c r="L191" s="3" t="s">
        <v>1448</v>
      </c>
      <c r="M191" s="3" t="s">
        <v>6106</v>
      </c>
      <c r="N191" s="5">
        <v>46223.1297337963</v>
      </c>
      <c r="O191" s="4" t="b">
        <f>L191 = "PASS"</f>
        <v>1</v>
      </c>
      <c r="P191" s="4" t="b">
        <f>L191 = "FAIL"</f>
        <v>0</v>
      </c>
      <c r="Q191" s="4" t="b">
        <f>AND(((P191)=TRUE), ((K191)=TRUE))</f>
        <v>0</v>
      </c>
      <c r="R191" s="4" t="str">
        <f>IF(((O191)=TRUE),  I191,  "")</f>
        <v>suite-substrate</v>
      </c>
      <c r="S191" s="4" t="str">
        <f>IF(((Q191)=TRUE),  I191,  "")</f>
      </c>
      <c r="T191" s="3" t="s">
        <v>6001</v>
      </c>
    </row>
    <row r="192">
      <c r="A192" s="3" t="s">
        <v>6227</v>
      </c>
      <c r="B192" s="4" t="str">
        <f>C192 &amp; ": " &amp; D192</f>
        <v>formula-translates: ProcedureVersions.MachineConsumedUnapprovedCount</v>
      </c>
      <c r="C192" s="3" t="s">
        <v>6104</v>
      </c>
      <c r="D192" s="3" t="s">
        <v>2777</v>
      </c>
      <c r="E192" s="3" t="s">
        <v>1767</v>
      </c>
      <c r="F192" s="3" t="s">
        <v>419</v>
      </c>
      <c r="G192" s="3" t="s">
        <v>6105</v>
      </c>
      <c r="H192" s="3" t="s">
        <v>2211</v>
      </c>
      <c r="I192" s="3" t="s">
        <v>5986</v>
      </c>
      <c r="J192" s="3" t="s">
        <v>5999</v>
      </c>
      <c r="K192" s="4" t="b">
        <f>J192 = "blocking"</f>
        <v>1</v>
      </c>
      <c r="L192" s="3" t="s">
        <v>1448</v>
      </c>
      <c r="M192" s="3" t="s">
        <v>6106</v>
      </c>
      <c r="N192" s="5">
        <v>46223.1297337963</v>
      </c>
      <c r="O192" s="4" t="b">
        <f>L192 = "PASS"</f>
        <v>1</v>
      </c>
      <c r="P192" s="4" t="b">
        <f>L192 = "FAIL"</f>
        <v>0</v>
      </c>
      <c r="Q192" s="4" t="b">
        <f>AND(((P192)=TRUE), ((K192)=TRUE))</f>
        <v>0</v>
      </c>
      <c r="R192" s="4" t="str">
        <f>IF(((O192)=TRUE),  I192,  "")</f>
        <v>suite-substrate</v>
      </c>
      <c r="S192" s="4" t="str">
        <f>IF(((Q192)=TRUE),  I192,  "")</f>
      </c>
      <c r="T192" s="3" t="s">
        <v>6001</v>
      </c>
    </row>
    <row r="193">
      <c r="A193" s="3" t="s">
        <v>6228</v>
      </c>
      <c r="B193" s="4" t="str">
        <f>C193 &amp; ": " &amp; D193</f>
        <v>formula-translates: ProcedureVersions.FeedsUnapprovedKnowledgeToMachines</v>
      </c>
      <c r="C193" s="3" t="s">
        <v>6104</v>
      </c>
      <c r="D193" s="3" t="s">
        <v>2779</v>
      </c>
      <c r="E193" s="3" t="s">
        <v>1767</v>
      </c>
      <c r="F193" s="3" t="s">
        <v>420</v>
      </c>
      <c r="G193" s="3" t="s">
        <v>6105</v>
      </c>
      <c r="H193" s="3" t="s">
        <v>2211</v>
      </c>
      <c r="I193" s="3" t="s">
        <v>5986</v>
      </c>
      <c r="J193" s="3" t="s">
        <v>5999</v>
      </c>
      <c r="K193" s="4" t="b">
        <f>J193 = "blocking"</f>
        <v>1</v>
      </c>
      <c r="L193" s="3" t="s">
        <v>1448</v>
      </c>
      <c r="M193" s="3" t="s">
        <v>6106</v>
      </c>
      <c r="N193" s="5">
        <v>46223.1297337963</v>
      </c>
      <c r="O193" s="4" t="b">
        <f>L193 = "PASS"</f>
        <v>1</v>
      </c>
      <c r="P193" s="4" t="b">
        <f>L193 = "FAIL"</f>
        <v>0</v>
      </c>
      <c r="Q193" s="4" t="b">
        <f>AND(((P193)=TRUE), ((K193)=TRUE))</f>
        <v>0</v>
      </c>
      <c r="R193" s="4" t="str">
        <f>IF(((O193)=TRUE),  I193,  "")</f>
        <v>suite-substrate</v>
      </c>
      <c r="S193" s="4" t="str">
        <f>IF(((Q193)=TRUE),  I193,  "")</f>
      </c>
      <c r="T193" s="3" t="s">
        <v>6001</v>
      </c>
    </row>
    <row r="194">
      <c r="A194" s="3" t="s">
        <v>6229</v>
      </c>
      <c r="B194" s="4" t="str">
        <f>C194 &amp; ": " &amp; D194</f>
        <v>formula-translates: ProcedureVersions.GenuinelyOverdueFragmentCount</v>
      </c>
      <c r="C194" s="3" t="s">
        <v>6104</v>
      </c>
      <c r="D194" s="3" t="s">
        <v>2781</v>
      </c>
      <c r="E194" s="3" t="s">
        <v>1767</v>
      </c>
      <c r="F194" s="3" t="s">
        <v>421</v>
      </c>
      <c r="G194" s="3" t="s">
        <v>6105</v>
      </c>
      <c r="H194" s="3" t="s">
        <v>2215</v>
      </c>
      <c r="I194" s="3" t="s">
        <v>5986</v>
      </c>
      <c r="J194" s="3" t="s">
        <v>5999</v>
      </c>
      <c r="K194" s="4" t="b">
        <f>J194 = "blocking"</f>
        <v>1</v>
      </c>
      <c r="L194" s="3" t="s">
        <v>1448</v>
      </c>
      <c r="M194" s="3" t="s">
        <v>6106</v>
      </c>
      <c r="N194" s="5">
        <v>46223.1297337963</v>
      </c>
      <c r="O194" s="4" t="b">
        <f>L194 = "PASS"</f>
        <v>1</v>
      </c>
      <c r="P194" s="4" t="b">
        <f>L194 = "FAIL"</f>
        <v>0</v>
      </c>
      <c r="Q194" s="4" t="b">
        <f>AND(((P194)=TRUE), ((K194)=TRUE))</f>
        <v>0</v>
      </c>
      <c r="R194" s="4" t="str">
        <f>IF(((O194)=TRUE),  I194,  "")</f>
        <v>suite-substrate</v>
      </c>
      <c r="S194" s="4" t="str">
        <f>IF(((Q194)=TRUE),  I194,  "")</f>
      </c>
      <c r="T194" s="3" t="s">
        <v>6001</v>
      </c>
    </row>
    <row r="195">
      <c r="A195" s="3" t="s">
        <v>6230</v>
      </c>
      <c r="B195" s="4" t="str">
        <f>C195 &amp; ": " &amp; D195</f>
        <v>formula-translates: ProcedureVersions.AwaitedDecisionCount</v>
      </c>
      <c r="C195" s="3" t="s">
        <v>6104</v>
      </c>
      <c r="D195" s="3" t="s">
        <v>2783</v>
      </c>
      <c r="E195" s="3" t="s">
        <v>1767</v>
      </c>
      <c r="F195" s="3" t="s">
        <v>422</v>
      </c>
      <c r="G195" s="3" t="s">
        <v>6105</v>
      </c>
      <c r="H195" s="3" t="s">
        <v>2219</v>
      </c>
      <c r="I195" s="3" t="s">
        <v>5986</v>
      </c>
      <c r="J195" s="3" t="s">
        <v>5999</v>
      </c>
      <c r="K195" s="4" t="b">
        <f>J195 = "blocking"</f>
        <v>1</v>
      </c>
      <c r="L195" s="3" t="s">
        <v>1448</v>
      </c>
      <c r="M195" s="3" t="s">
        <v>6106</v>
      </c>
      <c r="N195" s="5">
        <v>46223.1297337963</v>
      </c>
      <c r="O195" s="4" t="b">
        <f>L195 = "PASS"</f>
        <v>1</v>
      </c>
      <c r="P195" s="4" t="b">
        <f>L195 = "FAIL"</f>
        <v>0</v>
      </c>
      <c r="Q195" s="4" t="b">
        <f>AND(((P195)=TRUE), ((K195)=TRUE))</f>
        <v>0</v>
      </c>
      <c r="R195" s="4" t="str">
        <f>IF(((O195)=TRUE),  I195,  "")</f>
        <v>suite-substrate</v>
      </c>
      <c r="S195" s="4" t="str">
        <f>IF(((Q195)=TRUE),  I195,  "")</f>
      </c>
      <c r="T195" s="3" t="s">
        <v>6001</v>
      </c>
    </row>
    <row r="196">
      <c r="A196" s="3" t="s">
        <v>6231</v>
      </c>
      <c r="B196" s="4" t="str">
        <f>C196 &amp; ": " &amp; D196</f>
        <v>formula-translates: ProcedureVersions.ScopedOpenBlockingGapCount</v>
      </c>
      <c r="C196" s="3" t="s">
        <v>6104</v>
      </c>
      <c r="D196" s="3" t="s">
        <v>2785</v>
      </c>
      <c r="E196" s="3" t="s">
        <v>1767</v>
      </c>
      <c r="F196" s="3" t="s">
        <v>423</v>
      </c>
      <c r="G196" s="3" t="s">
        <v>6105</v>
      </c>
      <c r="H196" s="3" t="s">
        <v>2219</v>
      </c>
      <c r="I196" s="3" t="s">
        <v>5986</v>
      </c>
      <c r="J196" s="3" t="s">
        <v>5999</v>
      </c>
      <c r="K196" s="4" t="b">
        <f>J196 = "blocking"</f>
        <v>1</v>
      </c>
      <c r="L196" s="3" t="s">
        <v>1448</v>
      </c>
      <c r="M196" s="3" t="s">
        <v>6106</v>
      </c>
      <c r="N196" s="5">
        <v>46223.1297337963</v>
      </c>
      <c r="O196" s="4" t="b">
        <f>L196 = "PASS"</f>
        <v>1</v>
      </c>
      <c r="P196" s="4" t="b">
        <f>L196 = "FAIL"</f>
        <v>0</v>
      </c>
      <c r="Q196" s="4" t="b">
        <f>AND(((P196)=TRUE), ((K196)=TRUE))</f>
        <v>0</v>
      </c>
      <c r="R196" s="4" t="str">
        <f>IF(((O196)=TRUE),  I196,  "")</f>
        <v>suite-substrate</v>
      </c>
      <c r="S196" s="4" t="str">
        <f>IF(((Q196)=TRUE),  I196,  "")</f>
      </c>
      <c r="T196" s="3" t="s">
        <v>6001</v>
      </c>
    </row>
    <row r="197">
      <c r="A197" s="3" t="s">
        <v>6232</v>
      </c>
      <c r="B197" s="4" t="str">
        <f>C197 &amp; ": " &amp; D197</f>
        <v>formula-translates: ProcedureVersions.IsBlockedOnPendingDecision</v>
      </c>
      <c r="C197" s="3" t="s">
        <v>6104</v>
      </c>
      <c r="D197" s="3" t="s">
        <v>2787</v>
      </c>
      <c r="E197" s="3" t="s">
        <v>1767</v>
      </c>
      <c r="F197" s="3" t="s">
        <v>424</v>
      </c>
      <c r="G197" s="3" t="s">
        <v>6105</v>
      </c>
      <c r="H197" s="3" t="s">
        <v>2219</v>
      </c>
      <c r="I197" s="3" t="s">
        <v>5986</v>
      </c>
      <c r="J197" s="3" t="s">
        <v>5999</v>
      </c>
      <c r="K197" s="4" t="b">
        <f>J197 = "blocking"</f>
        <v>1</v>
      </c>
      <c r="L197" s="3" t="s">
        <v>1448</v>
      </c>
      <c r="M197" s="3" t="s">
        <v>6106</v>
      </c>
      <c r="N197" s="5">
        <v>46223.1297337963</v>
      </c>
      <c r="O197" s="4" t="b">
        <f>L197 = "PASS"</f>
        <v>1</v>
      </c>
      <c r="P197" s="4" t="b">
        <f>L197 = "FAIL"</f>
        <v>0</v>
      </c>
      <c r="Q197" s="4" t="b">
        <f>AND(((P197)=TRUE), ((K197)=TRUE))</f>
        <v>0</v>
      </c>
      <c r="R197" s="4" t="str">
        <f>IF(((O197)=TRUE),  I197,  "")</f>
        <v>suite-substrate</v>
      </c>
      <c r="S197" s="4" t="str">
        <f>IF(((Q197)=TRUE),  I197,  "")</f>
      </c>
      <c r="T197" s="3" t="s">
        <v>6001</v>
      </c>
    </row>
    <row r="198">
      <c r="A198" s="3" t="s">
        <v>6233</v>
      </c>
      <c r="B198" s="4" t="str">
        <f>C198 &amp; ": " &amp; D198</f>
        <v>formula-translates: ProcedureVersions.UnexercisedHumanGateCount</v>
      </c>
      <c r="C198" s="3" t="s">
        <v>6104</v>
      </c>
      <c r="D198" s="3" t="s">
        <v>2789</v>
      </c>
      <c r="E198" s="3" t="s">
        <v>1767</v>
      </c>
      <c r="F198" s="3" t="s">
        <v>425</v>
      </c>
      <c r="G198" s="3" t="s">
        <v>6105</v>
      </c>
      <c r="H198" s="3" t="s">
        <v>2223</v>
      </c>
      <c r="I198" s="3" t="s">
        <v>5986</v>
      </c>
      <c r="J198" s="3" t="s">
        <v>5999</v>
      </c>
      <c r="K198" s="4" t="b">
        <f>J198 = "blocking"</f>
        <v>1</v>
      </c>
      <c r="L198" s="3" t="s">
        <v>1448</v>
      </c>
      <c r="M198" s="3" t="s">
        <v>6106</v>
      </c>
      <c r="N198" s="5">
        <v>46223.1297337963</v>
      </c>
      <c r="O198" s="4" t="b">
        <f>L198 = "PASS"</f>
        <v>1</v>
      </c>
      <c r="P198" s="4" t="b">
        <f>L198 = "FAIL"</f>
        <v>0</v>
      </c>
      <c r="Q198" s="4" t="b">
        <f>AND(((P198)=TRUE), ((K198)=TRUE))</f>
        <v>0</v>
      </c>
      <c r="R198" s="4" t="str">
        <f>IF(((O198)=TRUE),  I198,  "")</f>
        <v>suite-substrate</v>
      </c>
      <c r="S198" s="4" t="str">
        <f>IF(((Q198)=TRUE),  I198,  "")</f>
      </c>
      <c r="T198" s="3" t="s">
        <v>6001</v>
      </c>
    </row>
    <row r="199">
      <c r="A199" s="3" t="s">
        <v>6234</v>
      </c>
      <c r="B199" s="4" t="str">
        <f>C199 &amp; ": " &amp; D199</f>
        <v>formula-translates: ProcedureVersions.AiBoundaryIsUnevidenced</v>
      </c>
      <c r="C199" s="3" t="s">
        <v>6104</v>
      </c>
      <c r="D199" s="3" t="s">
        <v>2791</v>
      </c>
      <c r="E199" s="3" t="s">
        <v>1767</v>
      </c>
      <c r="F199" s="3" t="s">
        <v>426</v>
      </c>
      <c r="G199" s="3" t="s">
        <v>6105</v>
      </c>
      <c r="H199" s="3" t="s">
        <v>2223</v>
      </c>
      <c r="I199" s="3" t="s">
        <v>5986</v>
      </c>
      <c r="J199" s="3" t="s">
        <v>5999</v>
      </c>
      <c r="K199" s="4" t="b">
        <f>J199 = "blocking"</f>
        <v>1</v>
      </c>
      <c r="L199" s="3" t="s">
        <v>1448</v>
      </c>
      <c r="M199" s="3" t="s">
        <v>6106</v>
      </c>
      <c r="N199" s="5">
        <v>46223.1297337963</v>
      </c>
      <c r="O199" s="4" t="b">
        <f>L199 = "PASS"</f>
        <v>1</v>
      </c>
      <c r="P199" s="4" t="b">
        <f>L199 = "FAIL"</f>
        <v>0</v>
      </c>
      <c r="Q199" s="4" t="b">
        <f>AND(((P199)=TRUE), ((K199)=TRUE))</f>
        <v>0</v>
      </c>
      <c r="R199" s="4" t="str">
        <f>IF(((O199)=TRUE),  I199,  "")</f>
        <v>suite-substrate</v>
      </c>
      <c r="S199" s="4" t="str">
        <f>IF(((Q199)=TRUE),  I199,  "")</f>
      </c>
      <c r="T199" s="3" t="s">
        <v>6001</v>
      </c>
    </row>
    <row r="200">
      <c r="A200" s="3" t="s">
        <v>6235</v>
      </c>
      <c r="B200" s="4" t="str">
        <f>C200 &amp; ": " &amp; D200</f>
        <v>formula-translates: ProcedureVersions.LoadBearingUnapprovedCount</v>
      </c>
      <c r="C200" s="3" t="s">
        <v>6104</v>
      </c>
      <c r="D200" s="3" t="s">
        <v>2793</v>
      </c>
      <c r="E200" s="3" t="s">
        <v>1767</v>
      </c>
      <c r="F200" s="3" t="s">
        <v>427</v>
      </c>
      <c r="G200" s="3" t="s">
        <v>6105</v>
      </c>
      <c r="H200" s="3" t="s">
        <v>2227</v>
      </c>
      <c r="I200" s="3" t="s">
        <v>5986</v>
      </c>
      <c r="J200" s="3" t="s">
        <v>5999</v>
      </c>
      <c r="K200" s="4" t="b">
        <f>J200 = "blocking"</f>
        <v>1</v>
      </c>
      <c r="L200" s="3" t="s">
        <v>1448</v>
      </c>
      <c r="M200" s="3" t="s">
        <v>6106</v>
      </c>
      <c r="N200" s="5">
        <v>46223.1297337963</v>
      </c>
      <c r="O200" s="4" t="b">
        <f>L200 = "PASS"</f>
        <v>1</v>
      </c>
      <c r="P200" s="4" t="b">
        <f>L200 = "FAIL"</f>
        <v>0</v>
      </c>
      <c r="Q200" s="4" t="b">
        <f>AND(((P200)=TRUE), ((K200)=TRUE))</f>
        <v>0</v>
      </c>
      <c r="R200" s="4" t="str">
        <f>IF(((O200)=TRUE),  I200,  "")</f>
        <v>suite-substrate</v>
      </c>
      <c r="S200" s="4" t="str">
        <f>IF(((Q200)=TRUE),  I200,  "")</f>
      </c>
      <c r="T200" s="3" t="s">
        <v>6001</v>
      </c>
    </row>
    <row r="201">
      <c r="A201" s="3" t="s">
        <v>6236</v>
      </c>
      <c r="B201" s="4" t="str">
        <f>C201 &amp; ": " &amp; D201</f>
        <v>formula-translates: ProcedureVersions.UnlandedDecisionCount</v>
      </c>
      <c r="C201" s="3" t="s">
        <v>6104</v>
      </c>
      <c r="D201" s="3" t="s">
        <v>2795</v>
      </c>
      <c r="E201" s="3" t="s">
        <v>1767</v>
      </c>
      <c r="F201" s="3" t="s">
        <v>428</v>
      </c>
      <c r="G201" s="3" t="s">
        <v>6105</v>
      </c>
      <c r="H201" s="3" t="s">
        <v>2231</v>
      </c>
      <c r="I201" s="3" t="s">
        <v>5986</v>
      </c>
      <c r="J201" s="3" t="s">
        <v>5999</v>
      </c>
      <c r="K201" s="4" t="b">
        <f>J201 = "blocking"</f>
        <v>1</v>
      </c>
      <c r="L201" s="3" t="s">
        <v>1448</v>
      </c>
      <c r="M201" s="3" t="s">
        <v>6106</v>
      </c>
      <c r="N201" s="5">
        <v>46223.1297337963</v>
      </c>
      <c r="O201" s="4" t="b">
        <f>L201 = "PASS"</f>
        <v>1</v>
      </c>
      <c r="P201" s="4" t="b">
        <f>L201 = "FAIL"</f>
        <v>0</v>
      </c>
      <c r="Q201" s="4" t="b">
        <f>AND(((P201)=TRUE), ((K201)=TRUE))</f>
        <v>0</v>
      </c>
      <c r="R201" s="4" t="str">
        <f>IF(((O201)=TRUE),  I201,  "")</f>
        <v>suite-substrate</v>
      </c>
      <c r="S201" s="4" t="str">
        <f>IF(((Q201)=TRUE),  I201,  "")</f>
      </c>
      <c r="T201" s="3" t="s">
        <v>6001</v>
      </c>
    </row>
    <row r="202">
      <c r="A202" s="3" t="s">
        <v>6237</v>
      </c>
      <c r="B202" s="4" t="str">
        <f>C202 &amp; ": " &amp; D202</f>
        <v>formula-translates: ProcedureVersions.UnrehearsedControlEntryCount</v>
      </c>
      <c r="C202" s="3" t="s">
        <v>6104</v>
      </c>
      <c r="D202" s="3" t="s">
        <v>2797</v>
      </c>
      <c r="E202" s="3" t="s">
        <v>1767</v>
      </c>
      <c r="F202" s="3" t="s">
        <v>429</v>
      </c>
      <c r="G202" s="3" t="s">
        <v>6105</v>
      </c>
      <c r="H202" s="3" t="s">
        <v>2239</v>
      </c>
      <c r="I202" s="3" t="s">
        <v>5986</v>
      </c>
      <c r="J202" s="3" t="s">
        <v>5999</v>
      </c>
      <c r="K202" s="4" t="b">
        <f>J202 = "blocking"</f>
        <v>1</v>
      </c>
      <c r="L202" s="3" t="s">
        <v>1448</v>
      </c>
      <c r="M202" s="3" t="s">
        <v>6106</v>
      </c>
      <c r="N202" s="5">
        <v>46223.1297337963</v>
      </c>
      <c r="O202" s="4" t="b">
        <f>L202 = "PASS"</f>
        <v>1</v>
      </c>
      <c r="P202" s="4" t="b">
        <f>L202 = "FAIL"</f>
        <v>0</v>
      </c>
      <c r="Q202" s="4" t="b">
        <f>AND(((P202)=TRUE), ((K202)=TRUE))</f>
        <v>0</v>
      </c>
      <c r="R202" s="4" t="str">
        <f>IF(((O202)=TRUE),  I202,  "")</f>
        <v>suite-substrate</v>
      </c>
      <c r="S202" s="4" t="str">
        <f>IF(((Q202)=TRUE),  I202,  "")</f>
      </c>
      <c r="T202" s="3" t="s">
        <v>6001</v>
      </c>
    </row>
    <row r="203">
      <c r="A203" s="3" t="s">
        <v>6238</v>
      </c>
      <c r="B203" s="4" t="str">
        <f>C203 &amp; ": " &amp; D203</f>
        <v>formula-translates: ProcedureVersions.HasUnrehearsedControlEntry</v>
      </c>
      <c r="C203" s="3" t="s">
        <v>6104</v>
      </c>
      <c r="D203" s="3" t="s">
        <v>2799</v>
      </c>
      <c r="E203" s="3" t="s">
        <v>1767</v>
      </c>
      <c r="F203" s="3" t="s">
        <v>430</v>
      </c>
      <c r="G203" s="3" t="s">
        <v>6105</v>
      </c>
      <c r="H203" s="3" t="s">
        <v>2239</v>
      </c>
      <c r="I203" s="3" t="s">
        <v>5986</v>
      </c>
      <c r="J203" s="3" t="s">
        <v>5999</v>
      </c>
      <c r="K203" s="4" t="b">
        <f>J203 = "blocking"</f>
        <v>1</v>
      </c>
      <c r="L203" s="3" t="s">
        <v>1448</v>
      </c>
      <c r="M203" s="3" t="s">
        <v>6106</v>
      </c>
      <c r="N203" s="5">
        <v>46223.1297337963</v>
      </c>
      <c r="O203" s="4" t="b">
        <f>L203 = "PASS"</f>
        <v>1</v>
      </c>
      <c r="P203" s="4" t="b">
        <f>L203 = "FAIL"</f>
        <v>0</v>
      </c>
      <c r="Q203" s="4" t="b">
        <f>AND(((P203)=TRUE), ((K203)=TRUE))</f>
        <v>0</v>
      </c>
      <c r="R203" s="4" t="str">
        <f>IF(((O203)=TRUE),  I203,  "")</f>
        <v>suite-substrate</v>
      </c>
      <c r="S203" s="4" t="str">
        <f>IF(((Q203)=TRUE),  I203,  "")</f>
      </c>
      <c r="T203" s="3" t="s">
        <v>6001</v>
      </c>
    </row>
    <row r="204">
      <c r="A204" s="3" t="s">
        <v>6239</v>
      </c>
      <c r="B204" s="4" t="str">
        <f>C204 &amp; ": " &amp; D204</f>
        <v>formula-translates: ProcedureVersions.IsLiveWithUnrehearsedControl</v>
      </c>
      <c r="C204" s="3" t="s">
        <v>6104</v>
      </c>
      <c r="D204" s="3" t="s">
        <v>2801</v>
      </c>
      <c r="E204" s="3" t="s">
        <v>1767</v>
      </c>
      <c r="F204" s="3" t="s">
        <v>431</v>
      </c>
      <c r="G204" s="3" t="s">
        <v>6105</v>
      </c>
      <c r="H204" s="3" t="s">
        <v>2239</v>
      </c>
      <c r="I204" s="3" t="s">
        <v>5986</v>
      </c>
      <c r="J204" s="3" t="s">
        <v>5999</v>
      </c>
      <c r="K204" s="4" t="b">
        <f>J204 = "blocking"</f>
        <v>1</v>
      </c>
      <c r="L204" s="3" t="s">
        <v>1448</v>
      </c>
      <c r="M204" s="3" t="s">
        <v>6106</v>
      </c>
      <c r="N204" s="5">
        <v>46223.1297337963</v>
      </c>
      <c r="O204" s="4" t="b">
        <f>L204 = "PASS"</f>
        <v>1</v>
      </c>
      <c r="P204" s="4" t="b">
        <f>L204 = "FAIL"</f>
        <v>0</v>
      </c>
      <c r="Q204" s="4" t="b">
        <f>AND(((P204)=TRUE), ((K204)=TRUE))</f>
        <v>0</v>
      </c>
      <c r="R204" s="4" t="str">
        <f>IF(((O204)=TRUE),  I204,  "")</f>
        <v>suite-substrate</v>
      </c>
      <c r="S204" s="4" t="str">
        <f>IF(((Q204)=TRUE),  I204,  "")</f>
      </c>
      <c r="T204" s="3" t="s">
        <v>6001</v>
      </c>
    </row>
    <row r="205">
      <c r="A205" s="3" t="s">
        <v>6240</v>
      </c>
      <c r="B205" s="4" t="str">
        <f>C205 &amp; ": " &amp; D205</f>
        <v>formula-translates: ProcedureVersions.CadenceBreachCount</v>
      </c>
      <c r="C205" s="3" t="s">
        <v>6104</v>
      </c>
      <c r="D205" s="3" t="s">
        <v>2803</v>
      </c>
      <c r="E205" s="3" t="s">
        <v>1767</v>
      </c>
      <c r="F205" s="3" t="s">
        <v>432</v>
      </c>
      <c r="G205" s="3" t="s">
        <v>6105</v>
      </c>
      <c r="H205" s="3" t="s">
        <v>2243</v>
      </c>
      <c r="I205" s="3" t="s">
        <v>5986</v>
      </c>
      <c r="J205" s="3" t="s">
        <v>5999</v>
      </c>
      <c r="K205" s="4" t="b">
        <f>J205 = "blocking"</f>
        <v>1</v>
      </c>
      <c r="L205" s="3" t="s">
        <v>1448</v>
      </c>
      <c r="M205" s="3" t="s">
        <v>6106</v>
      </c>
      <c r="N205" s="5">
        <v>46223.1297337963</v>
      </c>
      <c r="O205" s="4" t="b">
        <f>L205 = "PASS"</f>
        <v>1</v>
      </c>
      <c r="P205" s="4" t="b">
        <f>L205 = "FAIL"</f>
        <v>0</v>
      </c>
      <c r="Q205" s="4" t="b">
        <f>AND(((P205)=TRUE), ((K205)=TRUE))</f>
        <v>0</v>
      </c>
      <c r="R205" s="4" t="str">
        <f>IF(((O205)=TRUE),  I205,  "")</f>
        <v>suite-substrate</v>
      </c>
      <c r="S205" s="4" t="str">
        <f>IF(((Q205)=TRUE),  I205,  "")</f>
      </c>
      <c r="T205" s="3" t="s">
        <v>6001</v>
      </c>
    </row>
    <row r="206">
      <c r="A206" s="3" t="s">
        <v>6241</v>
      </c>
      <c r="B206" s="4" t="str">
        <f>C206 &amp; ": " &amp; D206</f>
        <v>formula-translates: ProcedureVersions.IsInCadenceBreach</v>
      </c>
      <c r="C206" s="3" t="s">
        <v>6104</v>
      </c>
      <c r="D206" s="3" t="s">
        <v>2805</v>
      </c>
      <c r="E206" s="3" t="s">
        <v>1767</v>
      </c>
      <c r="F206" s="3" t="s">
        <v>433</v>
      </c>
      <c r="G206" s="3" t="s">
        <v>6105</v>
      </c>
      <c r="H206" s="3" t="s">
        <v>2243</v>
      </c>
      <c r="I206" s="3" t="s">
        <v>5986</v>
      </c>
      <c r="J206" s="3" t="s">
        <v>5999</v>
      </c>
      <c r="K206" s="4" t="b">
        <f>J206 = "blocking"</f>
        <v>1</v>
      </c>
      <c r="L206" s="3" t="s">
        <v>1448</v>
      </c>
      <c r="M206" s="3" t="s">
        <v>6106</v>
      </c>
      <c r="N206" s="5">
        <v>46223.1297337963</v>
      </c>
      <c r="O206" s="4" t="b">
        <f>L206 = "PASS"</f>
        <v>1</v>
      </c>
      <c r="P206" s="4" t="b">
        <f>L206 = "FAIL"</f>
        <v>0</v>
      </c>
      <c r="Q206" s="4" t="b">
        <f>AND(((P206)=TRUE), ((K206)=TRUE))</f>
        <v>0</v>
      </c>
      <c r="R206" s="4" t="str">
        <f>IF(((O206)=TRUE),  I206,  "")</f>
        <v>suite-substrate</v>
      </c>
      <c r="S206" s="4" t="str">
        <f>IF(((Q206)=TRUE),  I206,  "")</f>
      </c>
      <c r="T206" s="3" t="s">
        <v>6001</v>
      </c>
    </row>
    <row r="207">
      <c r="A207" s="3" t="s">
        <v>6242</v>
      </c>
      <c r="B207" s="4" t="str">
        <f>C207 &amp; ": " &amp; D207</f>
        <v>formula-translates: ProcedureVersions.HasDecisionInFlight</v>
      </c>
      <c r="C207" s="3" t="s">
        <v>6104</v>
      </c>
      <c r="D207" s="3" t="s">
        <v>2807</v>
      </c>
      <c r="E207" s="3" t="s">
        <v>1767</v>
      </c>
      <c r="F207" s="3" t="s">
        <v>434</v>
      </c>
      <c r="G207" s="3" t="s">
        <v>6105</v>
      </c>
      <c r="H207" s="3" t="s">
        <v>2243</v>
      </c>
      <c r="I207" s="3" t="s">
        <v>5986</v>
      </c>
      <c r="J207" s="3" t="s">
        <v>5999</v>
      </c>
      <c r="K207" s="4" t="b">
        <f>J207 = "blocking"</f>
        <v>1</v>
      </c>
      <c r="L207" s="3" t="s">
        <v>1448</v>
      </c>
      <c r="M207" s="3" t="s">
        <v>6106</v>
      </c>
      <c r="N207" s="5">
        <v>46223.1297337963</v>
      </c>
      <c r="O207" s="4" t="b">
        <f>L207 = "PASS"</f>
        <v>1</v>
      </c>
      <c r="P207" s="4" t="b">
        <f>L207 = "FAIL"</f>
        <v>0</v>
      </c>
      <c r="Q207" s="4" t="b">
        <f>AND(((P207)=TRUE), ((K207)=TRUE))</f>
        <v>0</v>
      </c>
      <c r="R207" s="4" t="str">
        <f>IF(((O207)=TRUE),  I207,  "")</f>
        <v>suite-substrate</v>
      </c>
      <c r="S207" s="4" t="str">
        <f>IF(((Q207)=TRUE),  I207,  "")</f>
      </c>
      <c r="T207" s="3" t="s">
        <v>6001</v>
      </c>
    </row>
    <row r="208">
      <c r="A208" s="3" t="s">
        <v>6243</v>
      </c>
      <c r="B208" s="4" t="str">
        <f>C208 &amp; ": " &amp; D208</f>
        <v>formula-translates: ProcedureVersions.IsUnremediatedCadenceBreach</v>
      </c>
      <c r="C208" s="3" t="s">
        <v>6104</v>
      </c>
      <c r="D208" s="3" t="s">
        <v>2809</v>
      </c>
      <c r="E208" s="3" t="s">
        <v>1767</v>
      </c>
      <c r="F208" s="3" t="s">
        <v>435</v>
      </c>
      <c r="G208" s="3" t="s">
        <v>6105</v>
      </c>
      <c r="H208" s="3" t="s">
        <v>2243</v>
      </c>
      <c r="I208" s="3" t="s">
        <v>5986</v>
      </c>
      <c r="J208" s="3" t="s">
        <v>5999</v>
      </c>
      <c r="K208" s="4" t="b">
        <f>J208 = "blocking"</f>
        <v>1</v>
      </c>
      <c r="L208" s="3" t="s">
        <v>1448</v>
      </c>
      <c r="M208" s="3" t="s">
        <v>6106</v>
      </c>
      <c r="N208" s="5">
        <v>46223.1297337963</v>
      </c>
      <c r="O208" s="4" t="b">
        <f>L208 = "PASS"</f>
        <v>1</v>
      </c>
      <c r="P208" s="4" t="b">
        <f>L208 = "FAIL"</f>
        <v>0</v>
      </c>
      <c r="Q208" s="4" t="b">
        <f>AND(((P208)=TRUE), ((K208)=TRUE))</f>
        <v>0</v>
      </c>
      <c r="R208" s="4" t="str">
        <f>IF(((O208)=TRUE),  I208,  "")</f>
        <v>suite-substrate</v>
      </c>
      <c r="S208" s="4" t="str">
        <f>IF(((Q208)=TRUE),  I208,  "")</f>
      </c>
      <c r="T208" s="3" t="s">
        <v>6001</v>
      </c>
    </row>
    <row r="209">
      <c r="A209" s="3" t="s">
        <v>6244</v>
      </c>
      <c r="B209" s="4" t="str">
        <f>C209 &amp; ": " &amp; D209</f>
        <v>formula-translates: ProcedureVersions.IsManagedCadenceBreach</v>
      </c>
      <c r="C209" s="3" t="s">
        <v>6104</v>
      </c>
      <c r="D209" s="3" t="s">
        <v>2811</v>
      </c>
      <c r="E209" s="3" t="s">
        <v>1767</v>
      </c>
      <c r="F209" s="3" t="s">
        <v>436</v>
      </c>
      <c r="G209" s="3" t="s">
        <v>6105</v>
      </c>
      <c r="H209" s="3" t="s">
        <v>2243</v>
      </c>
      <c r="I209" s="3" t="s">
        <v>5986</v>
      </c>
      <c r="J209" s="3" t="s">
        <v>5999</v>
      </c>
      <c r="K209" s="4" t="b">
        <f>J209 = "blocking"</f>
        <v>1</v>
      </c>
      <c r="L209" s="3" t="s">
        <v>1448</v>
      </c>
      <c r="M209" s="3" t="s">
        <v>6106</v>
      </c>
      <c r="N209" s="5">
        <v>46223.1297337963</v>
      </c>
      <c r="O209" s="4" t="b">
        <f>L209 = "PASS"</f>
        <v>1</v>
      </c>
      <c r="P209" s="4" t="b">
        <f>L209 = "FAIL"</f>
        <v>0</v>
      </c>
      <c r="Q209" s="4" t="b">
        <f>AND(((P209)=TRUE), ((K209)=TRUE))</f>
        <v>0</v>
      </c>
      <c r="R209" s="4" t="str">
        <f>IF(((O209)=TRUE),  I209,  "")</f>
        <v>suite-substrate</v>
      </c>
      <c r="S209" s="4" t="str">
        <f>IF(((Q209)=TRUE),  I209,  "")</f>
      </c>
      <c r="T209" s="3" t="s">
        <v>6001</v>
      </c>
    </row>
    <row r="210">
      <c r="A210" s="3" t="s">
        <v>6245</v>
      </c>
      <c r="B210" s="4" t="str">
        <f>C210 &amp; ": " &amp; D210</f>
        <v>formula-translates: ProcedureVersions.GovernanceIsSilent</v>
      </c>
      <c r="C210" s="3" t="s">
        <v>6104</v>
      </c>
      <c r="D210" s="3" t="s">
        <v>2813</v>
      </c>
      <c r="E210" s="3" t="s">
        <v>1767</v>
      </c>
      <c r="F210" s="3" t="s">
        <v>437</v>
      </c>
      <c r="G210" s="3" t="s">
        <v>6105</v>
      </c>
      <c r="H210" s="3" t="s">
        <v>2243</v>
      </c>
      <c r="I210" s="3" t="s">
        <v>5986</v>
      </c>
      <c r="J210" s="3" t="s">
        <v>5999</v>
      </c>
      <c r="K210" s="4" t="b">
        <f>J210 = "blocking"</f>
        <v>1</v>
      </c>
      <c r="L210" s="3" t="s">
        <v>1448</v>
      </c>
      <c r="M210" s="3" t="s">
        <v>6106</v>
      </c>
      <c r="N210" s="5">
        <v>46223.1297337963</v>
      </c>
      <c r="O210" s="4" t="b">
        <f>L210 = "PASS"</f>
        <v>1</v>
      </c>
      <c r="P210" s="4" t="b">
        <f>L210 = "FAIL"</f>
        <v>0</v>
      </c>
      <c r="Q210" s="4" t="b">
        <f>AND(((P210)=TRUE), ((K210)=TRUE))</f>
        <v>0</v>
      </c>
      <c r="R210" s="4" t="str">
        <f>IF(((O210)=TRUE),  I210,  "")</f>
        <v>suite-substrate</v>
      </c>
      <c r="S210" s="4" t="str">
        <f>IF(((Q210)=TRUE),  I210,  "")</f>
      </c>
      <c r="T210" s="3" t="s">
        <v>6001</v>
      </c>
    </row>
    <row r="211">
      <c r="A211" s="3" t="s">
        <v>6246</v>
      </c>
      <c r="B211" s="4" t="str">
        <f>C211 &amp; ": " &amp; D211</f>
        <v>formula-translates: ProcedureVersions.ValidFragmentCount</v>
      </c>
      <c r="C211" s="3" t="s">
        <v>6104</v>
      </c>
      <c r="D211" s="3" t="s">
        <v>2815</v>
      </c>
      <c r="E211" s="3" t="s">
        <v>1767</v>
      </c>
      <c r="F211" s="3" t="s">
        <v>438</v>
      </c>
      <c r="G211" s="3" t="s">
        <v>6105</v>
      </c>
      <c r="H211" s="3" t="s">
        <v>2247</v>
      </c>
      <c r="I211" s="3" t="s">
        <v>5986</v>
      </c>
      <c r="J211" s="3" t="s">
        <v>5999</v>
      </c>
      <c r="K211" s="4" t="b">
        <f>J211 = "blocking"</f>
        <v>1</v>
      </c>
      <c r="L211" s="3" t="s">
        <v>1448</v>
      </c>
      <c r="M211" s="3" t="s">
        <v>6106</v>
      </c>
      <c r="N211" s="5">
        <v>46223.1297337963</v>
      </c>
      <c r="O211" s="4" t="b">
        <f>L211 = "PASS"</f>
        <v>1</v>
      </c>
      <c r="P211" s="4" t="b">
        <f>L211 = "FAIL"</f>
        <v>0</v>
      </c>
      <c r="Q211" s="4" t="b">
        <f>AND(((P211)=TRUE), ((K211)=TRUE))</f>
        <v>0</v>
      </c>
      <c r="R211" s="4" t="str">
        <f>IF(((O211)=TRUE),  I211,  "")</f>
        <v>suite-substrate</v>
      </c>
      <c r="S211" s="4" t="str">
        <f>IF(((Q211)=TRUE),  I211,  "")</f>
      </c>
      <c r="T211" s="3" t="s">
        <v>6001</v>
      </c>
    </row>
    <row r="212">
      <c r="A212" s="3" t="s">
        <v>6247</v>
      </c>
      <c r="B212" s="4" t="str">
        <f>C212 &amp; ": " &amp; D212</f>
        <v>formula-translates: ProcedureVersions.StillOwnsValidKnowledge</v>
      </c>
      <c r="C212" s="3" t="s">
        <v>6104</v>
      </c>
      <c r="D212" s="3" t="s">
        <v>2817</v>
      </c>
      <c r="E212" s="3" t="s">
        <v>1767</v>
      </c>
      <c r="F212" s="3" t="s">
        <v>439</v>
      </c>
      <c r="G212" s="3" t="s">
        <v>6105</v>
      </c>
      <c r="H212" s="3" t="s">
        <v>2247</v>
      </c>
      <c r="I212" s="3" t="s">
        <v>5986</v>
      </c>
      <c r="J212" s="3" t="s">
        <v>5999</v>
      </c>
      <c r="K212" s="4" t="b">
        <f>J212 = "blocking"</f>
        <v>1</v>
      </c>
      <c r="L212" s="3" t="s">
        <v>1448</v>
      </c>
      <c r="M212" s="3" t="s">
        <v>6106</v>
      </c>
      <c r="N212" s="5">
        <v>46223.1297337963</v>
      </c>
      <c r="O212" s="4" t="b">
        <f>L212 = "PASS"</f>
        <v>1</v>
      </c>
      <c r="P212" s="4" t="b">
        <f>L212 = "FAIL"</f>
        <v>0</v>
      </c>
      <c r="Q212" s="4" t="b">
        <f>AND(((P212)=TRUE), ((K212)=TRUE))</f>
        <v>0</v>
      </c>
      <c r="R212" s="4" t="str">
        <f>IF(((O212)=TRUE),  I212,  "")</f>
        <v>suite-substrate</v>
      </c>
      <c r="S212" s="4" t="str">
        <f>IF(((Q212)=TRUE),  I212,  "")</f>
      </c>
      <c r="T212" s="3" t="s">
        <v>6001</v>
      </c>
    </row>
    <row r="213">
      <c r="A213" s="3" t="s">
        <v>6248</v>
      </c>
      <c r="B213" s="4" t="str">
        <f>C213 &amp; ": " &amp; D213</f>
        <v>formula-translates: ProcedureVersions.IncomingSupersessionCount</v>
      </c>
      <c r="C213" s="3" t="s">
        <v>6104</v>
      </c>
      <c r="D213" s="3" t="s">
        <v>2819</v>
      </c>
      <c r="E213" s="3" t="s">
        <v>1767</v>
      </c>
      <c r="F213" s="3" t="s">
        <v>440</v>
      </c>
      <c r="G213" s="3" t="s">
        <v>6105</v>
      </c>
      <c r="H213" s="3" t="s">
        <v>2247</v>
      </c>
      <c r="I213" s="3" t="s">
        <v>5986</v>
      </c>
      <c r="J213" s="3" t="s">
        <v>5999</v>
      </c>
      <c r="K213" s="4" t="b">
        <f>J213 = "blocking"</f>
        <v>1</v>
      </c>
      <c r="L213" s="3" t="s">
        <v>1448</v>
      </c>
      <c r="M213" s="3" t="s">
        <v>6106</v>
      </c>
      <c r="N213" s="5">
        <v>46223.1297337963</v>
      </c>
      <c r="O213" s="4" t="b">
        <f>L213 = "PASS"</f>
        <v>1</v>
      </c>
      <c r="P213" s="4" t="b">
        <f>L213 = "FAIL"</f>
        <v>0</v>
      </c>
      <c r="Q213" s="4" t="b">
        <f>AND(((P213)=TRUE), ((K213)=TRUE))</f>
        <v>0</v>
      </c>
      <c r="R213" s="4" t="str">
        <f>IF(((O213)=TRUE),  I213,  "")</f>
        <v>suite-substrate</v>
      </c>
      <c r="S213" s="4" t="str">
        <f>IF(((Q213)=TRUE),  I213,  "")</f>
      </c>
      <c r="T213" s="3" t="s">
        <v>6001</v>
      </c>
    </row>
    <row r="214">
      <c r="A214" s="3" t="s">
        <v>6249</v>
      </c>
      <c r="B214" s="4" t="str">
        <f>C214 &amp; ": " &amp; D214</f>
        <v>formula-translates: ProcedureVersions.IsStillReferenced</v>
      </c>
      <c r="C214" s="3" t="s">
        <v>6104</v>
      </c>
      <c r="D214" s="3" t="s">
        <v>2821</v>
      </c>
      <c r="E214" s="3" t="s">
        <v>1767</v>
      </c>
      <c r="F214" s="3" t="s">
        <v>441</v>
      </c>
      <c r="G214" s="3" t="s">
        <v>6105</v>
      </c>
      <c r="H214" s="3" t="s">
        <v>2247</v>
      </c>
      <c r="I214" s="3" t="s">
        <v>5986</v>
      </c>
      <c r="J214" s="3" t="s">
        <v>5999</v>
      </c>
      <c r="K214" s="4" t="b">
        <f>J214 = "blocking"</f>
        <v>1</v>
      </c>
      <c r="L214" s="3" t="s">
        <v>1448</v>
      </c>
      <c r="M214" s="3" t="s">
        <v>6106</v>
      </c>
      <c r="N214" s="5">
        <v>46223.1297337963</v>
      </c>
      <c r="O214" s="4" t="b">
        <f>L214 = "PASS"</f>
        <v>1</v>
      </c>
      <c r="P214" s="4" t="b">
        <f>L214 = "FAIL"</f>
        <v>0</v>
      </c>
      <c r="Q214" s="4" t="b">
        <f>AND(((P214)=TRUE), ((K214)=TRUE))</f>
        <v>0</v>
      </c>
      <c r="R214" s="4" t="str">
        <f>IF(((O214)=TRUE),  I214,  "")</f>
        <v>suite-substrate</v>
      </c>
      <c r="S214" s="4" t="str">
        <f>IF(((Q214)=TRUE),  I214,  "")</f>
      </c>
      <c r="T214" s="3" t="s">
        <v>6001</v>
      </c>
    </row>
    <row r="215">
      <c r="A215" s="3" t="s">
        <v>6250</v>
      </c>
      <c r="B215" s="4" t="str">
        <f>C215 &amp; ": " &amp; D215</f>
        <v>formula-translates: ProcedureVersions.IsLoadBearingOrphan</v>
      </c>
      <c r="C215" s="3" t="s">
        <v>6104</v>
      </c>
      <c r="D215" s="3" t="s">
        <v>2823</v>
      </c>
      <c r="E215" s="3" t="s">
        <v>1767</v>
      </c>
      <c r="F215" s="3" t="s">
        <v>442</v>
      </c>
      <c r="G215" s="3" t="s">
        <v>6105</v>
      </c>
      <c r="H215" s="3" t="s">
        <v>2247</v>
      </c>
      <c r="I215" s="3" t="s">
        <v>5986</v>
      </c>
      <c r="J215" s="3" t="s">
        <v>5999</v>
      </c>
      <c r="K215" s="4" t="b">
        <f>J215 = "blocking"</f>
        <v>1</v>
      </c>
      <c r="L215" s="3" t="s">
        <v>1448</v>
      </c>
      <c r="M215" s="3" t="s">
        <v>6106</v>
      </c>
      <c r="N215" s="5">
        <v>46223.1297337963</v>
      </c>
      <c r="O215" s="4" t="b">
        <f>L215 = "PASS"</f>
        <v>1</v>
      </c>
      <c r="P215" s="4" t="b">
        <f>L215 = "FAIL"</f>
        <v>0</v>
      </c>
      <c r="Q215" s="4" t="b">
        <f>AND(((P215)=TRUE), ((K215)=TRUE))</f>
        <v>0</v>
      </c>
      <c r="R215" s="4" t="str">
        <f>IF(((O215)=TRUE),  I215,  "")</f>
        <v>suite-substrate</v>
      </c>
      <c r="S215" s="4" t="str">
        <f>IF(((Q215)=TRUE),  I215,  "")</f>
      </c>
      <c r="T215" s="3" t="s">
        <v>6001</v>
      </c>
    </row>
    <row r="216">
      <c r="A216" s="3" t="s">
        <v>6251</v>
      </c>
      <c r="B216" s="4" t="str">
        <f>C216 &amp; ": " &amp; D216</f>
        <v>formula-translates: ProcedureVersions.IsCleanlyRetired</v>
      </c>
      <c r="C216" s="3" t="s">
        <v>6104</v>
      </c>
      <c r="D216" s="3" t="s">
        <v>2825</v>
      </c>
      <c r="E216" s="3" t="s">
        <v>1767</v>
      </c>
      <c r="F216" s="3" t="s">
        <v>443</v>
      </c>
      <c r="G216" s="3" t="s">
        <v>6105</v>
      </c>
      <c r="H216" s="3" t="s">
        <v>2247</v>
      </c>
      <c r="I216" s="3" t="s">
        <v>5986</v>
      </c>
      <c r="J216" s="3" t="s">
        <v>5999</v>
      </c>
      <c r="K216" s="4" t="b">
        <f>J216 = "blocking"</f>
        <v>1</v>
      </c>
      <c r="L216" s="3" t="s">
        <v>1448</v>
      </c>
      <c r="M216" s="3" t="s">
        <v>6106</v>
      </c>
      <c r="N216" s="5">
        <v>46223.1297337963</v>
      </c>
      <c r="O216" s="4" t="b">
        <f>L216 = "PASS"</f>
        <v>1</v>
      </c>
      <c r="P216" s="4" t="b">
        <f>L216 = "FAIL"</f>
        <v>0</v>
      </c>
      <c r="Q216" s="4" t="b">
        <f>AND(((P216)=TRUE), ((K216)=TRUE))</f>
        <v>0</v>
      </c>
      <c r="R216" s="4" t="str">
        <f>IF(((O216)=TRUE),  I216,  "")</f>
        <v>suite-substrate</v>
      </c>
      <c r="S216" s="4" t="str">
        <f>IF(((Q216)=TRUE),  I216,  "")</f>
      </c>
      <c r="T216" s="3" t="s">
        <v>6001</v>
      </c>
    </row>
    <row r="217">
      <c r="A217" s="3" t="s">
        <v>6252</v>
      </c>
      <c r="B217" s="4" t="str">
        <f>C217 &amp; ": " &amp; D217</f>
        <v>formula-translates: ProcedureVersions.StalledImplementationCount</v>
      </c>
      <c r="C217" s="3" t="s">
        <v>6104</v>
      </c>
      <c r="D217" s="3" t="s">
        <v>2827</v>
      </c>
      <c r="E217" s="3" t="s">
        <v>1767</v>
      </c>
      <c r="F217" s="3" t="s">
        <v>444</v>
      </c>
      <c r="G217" s="3" t="s">
        <v>6105</v>
      </c>
      <c r="H217" s="3" t="s">
        <v>2251</v>
      </c>
      <c r="I217" s="3" t="s">
        <v>5986</v>
      </c>
      <c r="J217" s="3" t="s">
        <v>5999</v>
      </c>
      <c r="K217" s="4" t="b">
        <f>J217 = "blocking"</f>
        <v>1</v>
      </c>
      <c r="L217" s="3" t="s">
        <v>1448</v>
      </c>
      <c r="M217" s="3" t="s">
        <v>6106</v>
      </c>
      <c r="N217" s="5">
        <v>46223.1297337963</v>
      </c>
      <c r="O217" s="4" t="b">
        <f>L217 = "PASS"</f>
        <v>1</v>
      </c>
      <c r="P217" s="4" t="b">
        <f>L217 = "FAIL"</f>
        <v>0</v>
      </c>
      <c r="Q217" s="4" t="b">
        <f>AND(((P217)=TRUE), ((K217)=TRUE))</f>
        <v>0</v>
      </c>
      <c r="R217" s="4" t="str">
        <f>IF(((O217)=TRUE),  I217,  "")</f>
        <v>suite-substrate</v>
      </c>
      <c r="S217" s="4" t="str">
        <f>IF(((Q217)=TRUE),  I217,  "")</f>
      </c>
      <c r="T217" s="3" t="s">
        <v>6001</v>
      </c>
    </row>
    <row r="218">
      <c r="A218" s="3" t="s">
        <v>6253</v>
      </c>
      <c r="B218" s="4" t="str">
        <f>C218 &amp; ": " &amp; D218</f>
        <v>formula-translates: ProcedureVersions.IsHeldUnfitByLandedDecisions</v>
      </c>
      <c r="C218" s="3" t="s">
        <v>6104</v>
      </c>
      <c r="D218" s="3" t="s">
        <v>2829</v>
      </c>
      <c r="E218" s="3" t="s">
        <v>1767</v>
      </c>
      <c r="F218" s="3" t="s">
        <v>445</v>
      </c>
      <c r="G218" s="3" t="s">
        <v>6105</v>
      </c>
      <c r="H218" s="3" t="s">
        <v>2251</v>
      </c>
      <c r="I218" s="3" t="s">
        <v>5986</v>
      </c>
      <c r="J218" s="3" t="s">
        <v>5999</v>
      </c>
      <c r="K218" s="4" t="b">
        <f>J218 = "blocking"</f>
        <v>1</v>
      </c>
      <c r="L218" s="3" t="s">
        <v>1448</v>
      </c>
      <c r="M218" s="3" t="s">
        <v>6106</v>
      </c>
      <c r="N218" s="5">
        <v>46223.1297337963</v>
      </c>
      <c r="O218" s="4" t="b">
        <f>L218 = "PASS"</f>
        <v>1</v>
      </c>
      <c r="P218" s="4" t="b">
        <f>L218 = "FAIL"</f>
        <v>0</v>
      </c>
      <c r="Q218" s="4" t="b">
        <f>AND(((P218)=TRUE), ((K218)=TRUE))</f>
        <v>0</v>
      </c>
      <c r="R218" s="4" t="str">
        <f>IF(((O218)=TRUE),  I218,  "")</f>
        <v>suite-substrate</v>
      </c>
      <c r="S218" s="4" t="str">
        <f>IF(((Q218)=TRUE),  I218,  "")</f>
      </c>
      <c r="T218" s="3" t="s">
        <v>6001</v>
      </c>
    </row>
    <row r="219">
      <c r="A219" s="3" t="s">
        <v>6254</v>
      </c>
      <c r="B219" s="4" t="str">
        <f>C219 &amp; ": " &amp; D219</f>
        <v>formula-translates: ProcedureVersions.UndeclaredControlKindCount</v>
      </c>
      <c r="C219" s="3" t="s">
        <v>6104</v>
      </c>
      <c r="D219" s="3" t="s">
        <v>2831</v>
      </c>
      <c r="E219" s="3" t="s">
        <v>1767</v>
      </c>
      <c r="F219" s="3" t="s">
        <v>446</v>
      </c>
      <c r="G219" s="3" t="s">
        <v>6105</v>
      </c>
      <c r="H219" s="3" t="s">
        <v>2255</v>
      </c>
      <c r="I219" s="3" t="s">
        <v>5986</v>
      </c>
      <c r="J219" s="3" t="s">
        <v>5999</v>
      </c>
      <c r="K219" s="4" t="b">
        <f>J219 = "blocking"</f>
        <v>1</v>
      </c>
      <c r="L219" s="3" t="s">
        <v>1448</v>
      </c>
      <c r="M219" s="3" t="s">
        <v>6106</v>
      </c>
      <c r="N219" s="5">
        <v>46223.1297337963</v>
      </c>
      <c r="O219" s="4" t="b">
        <f>L219 = "PASS"</f>
        <v>1</v>
      </c>
      <c r="P219" s="4" t="b">
        <f>L219 = "FAIL"</f>
        <v>0</v>
      </c>
      <c r="Q219" s="4" t="b">
        <f>AND(((P219)=TRUE), ((K219)=TRUE))</f>
        <v>0</v>
      </c>
      <c r="R219" s="4" t="str">
        <f>IF(((O219)=TRUE),  I219,  "")</f>
        <v>suite-substrate</v>
      </c>
      <c r="S219" s="4" t="str">
        <f>IF(((Q219)=TRUE),  I219,  "")</f>
      </c>
      <c r="T219" s="3" t="s">
        <v>6001</v>
      </c>
    </row>
    <row r="220">
      <c r="A220" s="3" t="s">
        <v>6255</v>
      </c>
      <c r="B220" s="4" t="str">
        <f>C220 &amp; ": " &amp; D220</f>
        <v>formula-translates: ProcedureVersions.ControlTaxonomyIsIncomplete</v>
      </c>
      <c r="C220" s="3" t="s">
        <v>6104</v>
      </c>
      <c r="D220" s="3" t="s">
        <v>2833</v>
      </c>
      <c r="E220" s="3" t="s">
        <v>1767</v>
      </c>
      <c r="F220" s="3" t="s">
        <v>447</v>
      </c>
      <c r="G220" s="3" t="s">
        <v>6105</v>
      </c>
      <c r="H220" s="3" t="s">
        <v>2255</v>
      </c>
      <c r="I220" s="3" t="s">
        <v>5986</v>
      </c>
      <c r="J220" s="3" t="s">
        <v>5999</v>
      </c>
      <c r="K220" s="4" t="b">
        <f>J220 = "blocking"</f>
        <v>1</v>
      </c>
      <c r="L220" s="3" t="s">
        <v>1448</v>
      </c>
      <c r="M220" s="3" t="s">
        <v>6106</v>
      </c>
      <c r="N220" s="5">
        <v>46223.1297337963</v>
      </c>
      <c r="O220" s="4" t="b">
        <f>L220 = "PASS"</f>
        <v>1</v>
      </c>
      <c r="P220" s="4" t="b">
        <f>L220 = "FAIL"</f>
        <v>0</v>
      </c>
      <c r="Q220" s="4" t="b">
        <f>AND(((P220)=TRUE), ((K220)=TRUE))</f>
        <v>0</v>
      </c>
      <c r="R220" s="4" t="str">
        <f>IF(((O220)=TRUE),  I220,  "")</f>
        <v>suite-substrate</v>
      </c>
      <c r="S220" s="4" t="str">
        <f>IF(((Q220)=TRUE),  I220,  "")</f>
      </c>
      <c r="T220" s="3" t="s">
        <v>6001</v>
      </c>
    </row>
    <row r="221">
      <c r="A221" s="3" t="s">
        <v>6256</v>
      </c>
      <c r="B221" s="4" t="str">
        <f>C221 &amp; ": " &amp; D221</f>
        <v>formula-translates: ProcedureVersions.HasApprovedChangeRequest</v>
      </c>
      <c r="C221" s="3" t="s">
        <v>6104</v>
      </c>
      <c r="D221" s="3" t="s">
        <v>2835</v>
      </c>
      <c r="E221" s="3" t="s">
        <v>1767</v>
      </c>
      <c r="F221" s="3" t="s">
        <v>448</v>
      </c>
      <c r="G221" s="3" t="s">
        <v>6105</v>
      </c>
      <c r="H221" s="3" t="s">
        <v>2295</v>
      </c>
      <c r="I221" s="3" t="s">
        <v>5986</v>
      </c>
      <c r="J221" s="3" t="s">
        <v>5999</v>
      </c>
      <c r="K221" s="4" t="b">
        <f>J221 = "blocking"</f>
        <v>1</v>
      </c>
      <c r="L221" s="3" t="s">
        <v>1448</v>
      </c>
      <c r="M221" s="3" t="s">
        <v>6106</v>
      </c>
      <c r="N221" s="5">
        <v>46223.1297337963</v>
      </c>
      <c r="O221" s="4" t="b">
        <f>L221 = "PASS"</f>
        <v>1</v>
      </c>
      <c r="P221" s="4" t="b">
        <f>L221 = "FAIL"</f>
        <v>0</v>
      </c>
      <c r="Q221" s="4" t="b">
        <f>AND(((P221)=TRUE), ((K221)=TRUE))</f>
        <v>0</v>
      </c>
      <c r="R221" s="4" t="str">
        <f>IF(((O221)=TRUE),  I221,  "")</f>
        <v>suite-substrate</v>
      </c>
      <c r="S221" s="4" t="str">
        <f>IF(((Q221)=TRUE),  I221,  "")</f>
      </c>
      <c r="T221" s="3" t="s">
        <v>6001</v>
      </c>
    </row>
    <row r="222">
      <c r="A222" s="3" t="s">
        <v>6257</v>
      </c>
      <c r="B222" s="4" t="str">
        <f>C222 &amp; ": " &amp; D222</f>
        <v>formula-translates: ProcedureVersions.ApprovedChangeRequestCount</v>
      </c>
      <c r="C222" s="3" t="s">
        <v>6104</v>
      </c>
      <c r="D222" s="3" t="s">
        <v>2837</v>
      </c>
      <c r="E222" s="3" t="s">
        <v>1767</v>
      </c>
      <c r="F222" s="3" t="s">
        <v>449</v>
      </c>
      <c r="G222" s="3" t="s">
        <v>6105</v>
      </c>
      <c r="H222" s="3" t="s">
        <v>2295</v>
      </c>
      <c r="I222" s="3" t="s">
        <v>5986</v>
      </c>
      <c r="J222" s="3" t="s">
        <v>5999</v>
      </c>
      <c r="K222" s="4" t="b">
        <f>J222 = "blocking"</f>
        <v>1</v>
      </c>
      <c r="L222" s="3" t="s">
        <v>1448</v>
      </c>
      <c r="M222" s="3" t="s">
        <v>6106</v>
      </c>
      <c r="N222" s="5">
        <v>46223.1297337963</v>
      </c>
      <c r="O222" s="4" t="b">
        <f>L222 = "PASS"</f>
        <v>1</v>
      </c>
      <c r="P222" s="4" t="b">
        <f>L222 = "FAIL"</f>
        <v>0</v>
      </c>
      <c r="Q222" s="4" t="b">
        <f>AND(((P222)=TRUE), ((K222)=TRUE))</f>
        <v>0</v>
      </c>
      <c r="R222" s="4" t="str">
        <f>IF(((O222)=TRUE),  I222,  "")</f>
        <v>suite-substrate</v>
      </c>
      <c r="S222" s="4" t="str">
        <f>IF(((Q222)=TRUE),  I222,  "")</f>
      </c>
      <c r="T222" s="3" t="s">
        <v>6001</v>
      </c>
    </row>
    <row r="223">
      <c r="A223" s="3" t="s">
        <v>6258</v>
      </c>
      <c r="B223" s="4" t="str">
        <f>C223 &amp; ": " &amp; D223</f>
        <v>formula-translates: ProcedureVersions.UnwatchedUnownedControlCount</v>
      </c>
      <c r="C223" s="3" t="s">
        <v>6104</v>
      </c>
      <c r="D223" s="3" t="s">
        <v>2839</v>
      </c>
      <c r="E223" s="3" t="s">
        <v>1767</v>
      </c>
      <c r="F223" s="3" t="s">
        <v>450</v>
      </c>
      <c r="G223" s="3" t="s">
        <v>6105</v>
      </c>
      <c r="H223" s="3" t="s">
        <v>2311</v>
      </c>
      <c r="I223" s="3" t="s">
        <v>5986</v>
      </c>
      <c r="J223" s="3" t="s">
        <v>5999</v>
      </c>
      <c r="K223" s="4" t="b">
        <f>J223 = "blocking"</f>
        <v>1</v>
      </c>
      <c r="L223" s="3" t="s">
        <v>1448</v>
      </c>
      <c r="M223" s="3" t="s">
        <v>6106</v>
      </c>
      <c r="N223" s="5">
        <v>46223.1297337963</v>
      </c>
      <c r="O223" s="4" t="b">
        <f>L223 = "PASS"</f>
        <v>1</v>
      </c>
      <c r="P223" s="4" t="b">
        <f>L223 = "FAIL"</f>
        <v>0</v>
      </c>
      <c r="Q223" s="4" t="b">
        <f>AND(((P223)=TRUE), ((K223)=TRUE))</f>
        <v>0</v>
      </c>
      <c r="R223" s="4" t="str">
        <f>IF(((O223)=TRUE),  I223,  "")</f>
        <v>suite-substrate</v>
      </c>
      <c r="S223" s="4" t="str">
        <f>IF(((Q223)=TRUE),  I223,  "")</f>
      </c>
      <c r="T223" s="3" t="s">
        <v>6001</v>
      </c>
    </row>
    <row r="224">
      <c r="A224" s="3" t="s">
        <v>6259</v>
      </c>
      <c r="B224" s="4" t="str">
        <f>C224 &amp; ": " &amp; D224</f>
        <v>formula-translates: ProcedureVersionLinks.Name</v>
      </c>
      <c r="C224" s="3" t="s">
        <v>6104</v>
      </c>
      <c r="D224" s="3" t="s">
        <v>2852</v>
      </c>
      <c r="E224" s="3" t="s">
        <v>2851</v>
      </c>
      <c r="F224" s="3" t="s">
        <v>1</v>
      </c>
      <c r="G224" s="3" t="s">
        <v>6105</v>
      </c>
      <c r="H224" s="3"/>
      <c r="I224" s="3" t="s">
        <v>5986</v>
      </c>
      <c r="J224" s="3" t="s">
        <v>5999</v>
      </c>
      <c r="K224" s="4" t="b">
        <f>J224 = "blocking"</f>
        <v>1</v>
      </c>
      <c r="L224" s="3" t="s">
        <v>1448</v>
      </c>
      <c r="M224" s="3" t="s">
        <v>6106</v>
      </c>
      <c r="N224" s="5">
        <v>46223.1297337963</v>
      </c>
      <c r="O224" s="4" t="b">
        <f>L224 = "PASS"</f>
        <v>1</v>
      </c>
      <c r="P224" s="4" t="b">
        <f>L224 = "FAIL"</f>
        <v>0</v>
      </c>
      <c r="Q224" s="4" t="b">
        <f>AND(((P224)=TRUE), ((K224)=TRUE))</f>
        <v>0</v>
      </c>
      <c r="R224" s="4" t="str">
        <f>IF(((O224)=TRUE),  I224,  "")</f>
        <v>suite-substrate</v>
      </c>
      <c r="S224" s="4" t="str">
        <f>IF(((Q224)=TRUE),  I224,  "")</f>
      </c>
      <c r="T224" s="3" t="s">
        <v>6001</v>
      </c>
    </row>
    <row r="225">
      <c r="A225" s="3" t="s">
        <v>6260</v>
      </c>
      <c r="B225" s="4" t="str">
        <f>C225 &amp; ": " &amp; D225</f>
        <v>formula-translates: ProcedureVersionLinks.SupersededVersionKey</v>
      </c>
      <c r="C225" s="3" t="s">
        <v>6104</v>
      </c>
      <c r="D225" s="3" t="s">
        <v>2858</v>
      </c>
      <c r="E225" s="3" t="s">
        <v>2851</v>
      </c>
      <c r="F225" s="3" t="s">
        <v>473</v>
      </c>
      <c r="G225" s="3" t="s">
        <v>6105</v>
      </c>
      <c r="H225" s="3" t="s">
        <v>2247</v>
      </c>
      <c r="I225" s="3" t="s">
        <v>5986</v>
      </c>
      <c r="J225" s="3" t="s">
        <v>5999</v>
      </c>
      <c r="K225" s="4" t="b">
        <f>J225 = "blocking"</f>
        <v>1</v>
      </c>
      <c r="L225" s="3" t="s">
        <v>1448</v>
      </c>
      <c r="M225" s="3" t="s">
        <v>6106</v>
      </c>
      <c r="N225" s="5">
        <v>46223.1297337963</v>
      </c>
      <c r="O225" s="4" t="b">
        <f>L225 = "PASS"</f>
        <v>1</v>
      </c>
      <c r="P225" s="4" t="b">
        <f>L225 = "FAIL"</f>
        <v>0</v>
      </c>
      <c r="Q225" s="4" t="b">
        <f>AND(((P225)=TRUE), ((K225)=TRUE))</f>
        <v>0</v>
      </c>
      <c r="R225" s="4" t="str">
        <f>IF(((O225)=TRUE),  I225,  "")</f>
        <v>suite-substrate</v>
      </c>
      <c r="S225" s="4" t="str">
        <f>IF(((Q225)=TRUE),  I225,  "")</f>
      </c>
      <c r="T225" s="3" t="s">
        <v>6001</v>
      </c>
    </row>
    <row r="226">
      <c r="A226" s="3" t="s">
        <v>6261</v>
      </c>
      <c r="B226" s="4" t="str">
        <f>C226 &amp; ": " &amp; D226</f>
        <v>formula-translates: ProcedureStatusChanges.Name</v>
      </c>
      <c r="C226" s="3" t="s">
        <v>6104</v>
      </c>
      <c r="D226" s="3" t="s">
        <v>2861</v>
      </c>
      <c r="E226" s="3" t="s">
        <v>1775</v>
      </c>
      <c r="F226" s="3" t="s">
        <v>1</v>
      </c>
      <c r="G226" s="3" t="s">
        <v>6105</v>
      </c>
      <c r="H226" s="3"/>
      <c r="I226" s="3" t="s">
        <v>5986</v>
      </c>
      <c r="J226" s="3" t="s">
        <v>5999</v>
      </c>
      <c r="K226" s="4" t="b">
        <f>J226 = "blocking"</f>
        <v>1</v>
      </c>
      <c r="L226" s="3" t="s">
        <v>1448</v>
      </c>
      <c r="M226" s="3" t="s">
        <v>6106</v>
      </c>
      <c r="N226" s="5">
        <v>46223.1297337963</v>
      </c>
      <c r="O226" s="4" t="b">
        <f>L226 = "PASS"</f>
        <v>1</v>
      </c>
      <c r="P226" s="4" t="b">
        <f>L226 = "FAIL"</f>
        <v>0</v>
      </c>
      <c r="Q226" s="4" t="b">
        <f>AND(((P226)=TRUE), ((K226)=TRUE))</f>
        <v>0</v>
      </c>
      <c r="R226" s="4" t="str">
        <f>IF(((O226)=TRUE),  I226,  "")</f>
        <v>suite-substrate</v>
      </c>
      <c r="S226" s="4" t="str">
        <f>IF(((Q226)=TRUE),  I226,  "")</f>
      </c>
      <c r="T226" s="3" t="s">
        <v>6001</v>
      </c>
    </row>
    <row r="227">
      <c r="A227" s="3" t="s">
        <v>6262</v>
      </c>
      <c r="B227" s="4" t="str">
        <f>C227 &amp; ": " &amp; D227</f>
        <v>formula-translates: Steps.Name</v>
      </c>
      <c r="C227" s="3" t="s">
        <v>6104</v>
      </c>
      <c r="D227" s="3" t="s">
        <v>2871</v>
      </c>
      <c r="E227" s="3" t="s">
        <v>1778</v>
      </c>
      <c r="F227" s="3" t="s">
        <v>1</v>
      </c>
      <c r="G227" s="3" t="s">
        <v>6105</v>
      </c>
      <c r="H227" s="3"/>
      <c r="I227" s="3" t="s">
        <v>5986</v>
      </c>
      <c r="J227" s="3" t="s">
        <v>5999</v>
      </c>
      <c r="K227" s="4" t="b">
        <f>J227 = "blocking"</f>
        <v>1</v>
      </c>
      <c r="L227" s="3" t="s">
        <v>1448</v>
      </c>
      <c r="M227" s="3" t="s">
        <v>6106</v>
      </c>
      <c r="N227" s="5">
        <v>46223.1297337963</v>
      </c>
      <c r="O227" s="4" t="b">
        <f>L227 = "PASS"</f>
        <v>1</v>
      </c>
      <c r="P227" s="4" t="b">
        <f>L227 = "FAIL"</f>
        <v>0</v>
      </c>
      <c r="Q227" s="4" t="b">
        <f>AND(((P227)=TRUE), ((K227)=TRUE))</f>
        <v>0</v>
      </c>
      <c r="R227" s="4" t="str">
        <f>IF(((O227)=TRUE),  I227,  "")</f>
        <v>suite-substrate</v>
      </c>
      <c r="S227" s="4" t="str">
        <f>IF(((Q227)=TRUE),  I227,  "")</f>
      </c>
      <c r="T227" s="3" t="s">
        <v>6001</v>
      </c>
    </row>
    <row r="228">
      <c r="A228" s="3" t="s">
        <v>6263</v>
      </c>
      <c r="B228" s="4" t="str">
        <f>C228 &amp; ": " &amp; D228</f>
        <v>formula-translates: Steps.AssignedRoleLabel</v>
      </c>
      <c r="C228" s="3" t="s">
        <v>6104</v>
      </c>
      <c r="D228" s="3" t="s">
        <v>2878</v>
      </c>
      <c r="E228" s="3" t="s">
        <v>1778</v>
      </c>
      <c r="F228" s="3" t="s">
        <v>502</v>
      </c>
      <c r="G228" s="3" t="s">
        <v>6105</v>
      </c>
      <c r="H228" s="3"/>
      <c r="I228" s="3" t="s">
        <v>5986</v>
      </c>
      <c r="J228" s="3" t="s">
        <v>5999</v>
      </c>
      <c r="K228" s="4" t="b">
        <f>J228 = "blocking"</f>
        <v>1</v>
      </c>
      <c r="L228" s="3" t="s">
        <v>1448</v>
      </c>
      <c r="M228" s="3" t="s">
        <v>6106</v>
      </c>
      <c r="N228" s="5">
        <v>46223.1297337963</v>
      </c>
      <c r="O228" s="4" t="b">
        <f>L228 = "PASS"</f>
        <v>1</v>
      </c>
      <c r="P228" s="4" t="b">
        <f>L228 = "FAIL"</f>
        <v>0</v>
      </c>
      <c r="Q228" s="4" t="b">
        <f>AND(((P228)=TRUE), ((K228)=TRUE))</f>
        <v>0</v>
      </c>
      <c r="R228" s="4" t="str">
        <f>IF(((O228)=TRUE),  I228,  "")</f>
        <v>suite-substrate</v>
      </c>
      <c r="S228" s="4" t="str">
        <f>IF(((Q228)=TRUE),  I228,  "")</f>
      </c>
      <c r="T228" s="3" t="s">
        <v>6001</v>
      </c>
    </row>
    <row r="229">
      <c r="A229" s="3" t="s">
        <v>6264</v>
      </c>
      <c r="B229" s="4" t="str">
        <f>C229 &amp; ": " &amp; D229</f>
        <v>formula-translates: Steps.AssignedAgentKind</v>
      </c>
      <c r="C229" s="3" t="s">
        <v>6104</v>
      </c>
      <c r="D229" s="3" t="s">
        <v>2880</v>
      </c>
      <c r="E229" s="3" t="s">
        <v>1778</v>
      </c>
      <c r="F229" s="3" t="s">
        <v>503</v>
      </c>
      <c r="G229" s="3" t="s">
        <v>6105</v>
      </c>
      <c r="H229" s="3"/>
      <c r="I229" s="3" t="s">
        <v>5986</v>
      </c>
      <c r="J229" s="3" t="s">
        <v>5999</v>
      </c>
      <c r="K229" s="4" t="b">
        <f>J229 = "blocking"</f>
        <v>1</v>
      </c>
      <c r="L229" s="3" t="s">
        <v>1448</v>
      </c>
      <c r="M229" s="3" t="s">
        <v>6106</v>
      </c>
      <c r="N229" s="5">
        <v>46223.1297337963</v>
      </c>
      <c r="O229" s="4" t="b">
        <f>L229 = "PASS"</f>
        <v>1</v>
      </c>
      <c r="P229" s="4" t="b">
        <f>L229 = "FAIL"</f>
        <v>0</v>
      </c>
      <c r="Q229" s="4" t="b">
        <f>AND(((P229)=TRUE), ((K229)=TRUE))</f>
        <v>0</v>
      </c>
      <c r="R229" s="4" t="str">
        <f>IF(((O229)=TRUE),  I229,  "")</f>
        <v>suite-substrate</v>
      </c>
      <c r="S229" s="4" t="str">
        <f>IF(((Q229)=TRUE),  I229,  "")</f>
      </c>
      <c r="T229" s="3" t="s">
        <v>6001</v>
      </c>
    </row>
    <row r="230">
      <c r="A230" s="3" t="s">
        <v>6265</v>
      </c>
      <c r="B230" s="4" t="str">
        <f>C230 &amp; ": " &amp; D230</f>
        <v>formula-translates: Steps.BlockingRequirementCount</v>
      </c>
      <c r="C230" s="3" t="s">
        <v>6104</v>
      </c>
      <c r="D230" s="3" t="s">
        <v>2886</v>
      </c>
      <c r="E230" s="3" t="s">
        <v>1778</v>
      </c>
      <c r="F230" s="3" t="s">
        <v>508</v>
      </c>
      <c r="G230" s="3" t="s">
        <v>6105</v>
      </c>
      <c r="H230" s="3" t="s">
        <v>1963</v>
      </c>
      <c r="I230" s="3" t="s">
        <v>5986</v>
      </c>
      <c r="J230" s="3" t="s">
        <v>5999</v>
      </c>
      <c r="K230" s="4" t="b">
        <f>J230 = "blocking"</f>
        <v>1</v>
      </c>
      <c r="L230" s="3" t="s">
        <v>1448</v>
      </c>
      <c r="M230" s="3" t="s">
        <v>6106</v>
      </c>
      <c r="N230" s="5">
        <v>46223.1297337963</v>
      </c>
      <c r="O230" s="4" t="b">
        <f>L230 = "PASS"</f>
        <v>1</v>
      </c>
      <c r="P230" s="4" t="b">
        <f>L230 = "FAIL"</f>
        <v>0</v>
      </c>
      <c r="Q230" s="4" t="b">
        <f>AND(((P230)=TRUE), ((K230)=TRUE))</f>
        <v>0</v>
      </c>
      <c r="R230" s="4" t="str">
        <f>IF(((O230)=TRUE),  I230,  "")</f>
        <v>suite-substrate</v>
      </c>
      <c r="S230" s="4" t="str">
        <f>IF(((Q230)=TRUE),  I230,  "")</f>
      </c>
      <c r="T230" s="3" t="s">
        <v>6001</v>
      </c>
    </row>
    <row r="231">
      <c r="A231" s="3" t="s">
        <v>6266</v>
      </c>
      <c r="B231" s="4" t="str">
        <f>C231 &amp; ": " &amp; D231</f>
        <v>formula-translates: Steps.StaleBindingCount</v>
      </c>
      <c r="C231" s="3" t="s">
        <v>6104</v>
      </c>
      <c r="D231" s="3" t="s">
        <v>2888</v>
      </c>
      <c r="E231" s="3" t="s">
        <v>1778</v>
      </c>
      <c r="F231" s="3" t="s">
        <v>509</v>
      </c>
      <c r="G231" s="3" t="s">
        <v>6105</v>
      </c>
      <c r="H231" s="3" t="s">
        <v>1967</v>
      </c>
      <c r="I231" s="3" t="s">
        <v>5986</v>
      </c>
      <c r="J231" s="3" t="s">
        <v>5999</v>
      </c>
      <c r="K231" s="4" t="b">
        <f>J231 = "blocking"</f>
        <v>1</v>
      </c>
      <c r="L231" s="3" t="s">
        <v>1448</v>
      </c>
      <c r="M231" s="3" t="s">
        <v>6106</v>
      </c>
      <c r="N231" s="5">
        <v>46223.1297337963</v>
      </c>
      <c r="O231" s="4" t="b">
        <f>L231 = "PASS"</f>
        <v>1</v>
      </c>
      <c r="P231" s="4" t="b">
        <f>L231 = "FAIL"</f>
        <v>0</v>
      </c>
      <c r="Q231" s="4" t="b">
        <f>AND(((P231)=TRUE), ((K231)=TRUE))</f>
        <v>0</v>
      </c>
      <c r="R231" s="4" t="str">
        <f>IF(((O231)=TRUE),  I231,  "")</f>
        <v>suite-substrate</v>
      </c>
      <c r="S231" s="4" t="str">
        <f>IF(((Q231)=TRUE),  I231,  "")</f>
      </c>
      <c r="T231" s="3" t="s">
        <v>6001</v>
      </c>
    </row>
    <row r="232">
      <c r="A232" s="3" t="s">
        <v>6267</v>
      </c>
      <c r="B232" s="4" t="str">
        <f>C232 &amp; ": " &amp; D232</f>
        <v>formula-translates: Steps.AuthoritativeStaleCount</v>
      </c>
      <c r="C232" s="3" t="s">
        <v>6104</v>
      </c>
      <c r="D232" s="3" t="s">
        <v>2890</v>
      </c>
      <c r="E232" s="3" t="s">
        <v>1778</v>
      </c>
      <c r="F232" s="3" t="s">
        <v>510</v>
      </c>
      <c r="G232" s="3" t="s">
        <v>6105</v>
      </c>
      <c r="H232" s="3" t="s">
        <v>1967</v>
      </c>
      <c r="I232" s="3" t="s">
        <v>5986</v>
      </c>
      <c r="J232" s="3" t="s">
        <v>5999</v>
      </c>
      <c r="K232" s="4" t="b">
        <f>J232 = "blocking"</f>
        <v>1</v>
      </c>
      <c r="L232" s="3" t="s">
        <v>1448</v>
      </c>
      <c r="M232" s="3" t="s">
        <v>6106</v>
      </c>
      <c r="N232" s="5">
        <v>46223.1297337963</v>
      </c>
      <c r="O232" s="4" t="b">
        <f>L232 = "PASS"</f>
        <v>1</v>
      </c>
      <c r="P232" s="4" t="b">
        <f>L232 = "FAIL"</f>
        <v>0</v>
      </c>
      <c r="Q232" s="4" t="b">
        <f>AND(((P232)=TRUE), ((K232)=TRUE))</f>
        <v>0</v>
      </c>
      <c r="R232" s="4" t="str">
        <f>IF(((O232)=TRUE),  I232,  "")</f>
        <v>suite-substrate</v>
      </c>
      <c r="S232" s="4" t="str">
        <f>IF(((Q232)=TRUE),  I232,  "")</f>
      </c>
      <c r="T232" s="3" t="s">
        <v>6001</v>
      </c>
    </row>
    <row r="233">
      <c r="A233" s="3" t="s">
        <v>6268</v>
      </c>
      <c r="B233" s="4" t="str">
        <f>C233 &amp; ": " &amp; D233</f>
        <v>formula-translates: Steps.AvailableExceptionCount</v>
      </c>
      <c r="C233" s="3" t="s">
        <v>6104</v>
      </c>
      <c r="D233" s="3" t="s">
        <v>2892</v>
      </c>
      <c r="E233" s="3" t="s">
        <v>1778</v>
      </c>
      <c r="F233" s="3" t="s">
        <v>511</v>
      </c>
      <c r="G233" s="3" t="s">
        <v>6105</v>
      </c>
      <c r="H233" s="3" t="s">
        <v>1971</v>
      </c>
      <c r="I233" s="3" t="s">
        <v>5986</v>
      </c>
      <c r="J233" s="3" t="s">
        <v>5999</v>
      </c>
      <c r="K233" s="4" t="b">
        <f>J233 = "blocking"</f>
        <v>1</v>
      </c>
      <c r="L233" s="3" t="s">
        <v>1448</v>
      </c>
      <c r="M233" s="3" t="s">
        <v>6106</v>
      </c>
      <c r="N233" s="5">
        <v>46223.1297337963</v>
      </c>
      <c r="O233" s="4" t="b">
        <f>L233 = "PASS"</f>
        <v>1</v>
      </c>
      <c r="P233" s="4" t="b">
        <f>L233 = "FAIL"</f>
        <v>0</v>
      </c>
      <c r="Q233" s="4" t="b">
        <f>AND(((P233)=TRUE), ((K233)=TRUE))</f>
        <v>0</v>
      </c>
      <c r="R233" s="4" t="str">
        <f>IF(((O233)=TRUE),  I233,  "")</f>
        <v>suite-substrate</v>
      </c>
      <c r="S233" s="4" t="str">
        <f>IF(((Q233)=TRUE),  I233,  "")</f>
      </c>
      <c r="T233" s="3" t="s">
        <v>6001</v>
      </c>
    </row>
    <row r="234">
      <c r="A234" s="3" t="s">
        <v>6269</v>
      </c>
      <c r="B234" s="4" t="str">
        <f>C234 &amp; ": " &amp; D234</f>
        <v>formula-translates: Steps.DeclaredVerificationCount</v>
      </c>
      <c r="C234" s="3" t="s">
        <v>6104</v>
      </c>
      <c r="D234" s="3" t="s">
        <v>2894</v>
      </c>
      <c r="E234" s="3" t="s">
        <v>1778</v>
      </c>
      <c r="F234" s="3" t="s">
        <v>512</v>
      </c>
      <c r="G234" s="3" t="s">
        <v>6105</v>
      </c>
      <c r="H234" s="3" t="s">
        <v>1975</v>
      </c>
      <c r="I234" s="3" t="s">
        <v>5986</v>
      </c>
      <c r="J234" s="3" t="s">
        <v>5999</v>
      </c>
      <c r="K234" s="4" t="b">
        <f>J234 = "blocking"</f>
        <v>1</v>
      </c>
      <c r="L234" s="3" t="s">
        <v>1448</v>
      </c>
      <c r="M234" s="3" t="s">
        <v>6106</v>
      </c>
      <c r="N234" s="5">
        <v>46223.1297337963</v>
      </c>
      <c r="O234" s="4" t="b">
        <f>L234 = "PASS"</f>
        <v>1</v>
      </c>
      <c r="P234" s="4" t="b">
        <f>L234 = "FAIL"</f>
        <v>0</v>
      </c>
      <c r="Q234" s="4" t="b">
        <f>AND(((P234)=TRUE), ((K234)=TRUE))</f>
        <v>0</v>
      </c>
      <c r="R234" s="4" t="str">
        <f>IF(((O234)=TRUE),  I234,  "")</f>
        <v>suite-substrate</v>
      </c>
      <c r="S234" s="4" t="str">
        <f>IF(((Q234)=TRUE),  I234,  "")</f>
      </c>
      <c r="T234" s="3" t="s">
        <v>6001</v>
      </c>
    </row>
    <row r="235">
      <c r="A235" s="3" t="s">
        <v>6270</v>
      </c>
      <c r="B235" s="4" t="str">
        <f>C235 &amp; ": " &amp; D235</f>
        <v>formula-translates: Steps.IsPreparationStep</v>
      </c>
      <c r="C235" s="3" t="s">
        <v>6104</v>
      </c>
      <c r="D235" s="3" t="s">
        <v>2896</v>
      </c>
      <c r="E235" s="3" t="s">
        <v>1778</v>
      </c>
      <c r="F235" s="3" t="s">
        <v>513</v>
      </c>
      <c r="G235" s="3" t="s">
        <v>6105</v>
      </c>
      <c r="H235" s="3" t="s">
        <v>1979</v>
      </c>
      <c r="I235" s="3" t="s">
        <v>5986</v>
      </c>
      <c r="J235" s="3" t="s">
        <v>5999</v>
      </c>
      <c r="K235" s="4" t="b">
        <f>J235 = "blocking"</f>
        <v>1</v>
      </c>
      <c r="L235" s="3" t="s">
        <v>1448</v>
      </c>
      <c r="M235" s="3" t="s">
        <v>6106</v>
      </c>
      <c r="N235" s="5">
        <v>46223.1297337963</v>
      </c>
      <c r="O235" s="4" t="b">
        <f>L235 = "PASS"</f>
        <v>1</v>
      </c>
      <c r="P235" s="4" t="b">
        <f>L235 = "FAIL"</f>
        <v>0</v>
      </c>
      <c r="Q235" s="4" t="b">
        <f>AND(((P235)=TRUE), ((K235)=TRUE))</f>
        <v>0</v>
      </c>
      <c r="R235" s="4" t="str">
        <f>IF(((O235)=TRUE),  I235,  "")</f>
        <v>suite-substrate</v>
      </c>
      <c r="S235" s="4" t="str">
        <f>IF(((Q235)=TRUE),  I235,  "")</f>
      </c>
      <c r="T235" s="3" t="s">
        <v>6001</v>
      </c>
    </row>
    <row r="236">
      <c r="A236" s="3" t="s">
        <v>6271</v>
      </c>
      <c r="B236" s="4" t="str">
        <f>C236 &amp; ": " &amp; D236</f>
        <v>formula-translates: Steps.IsApprovalStep</v>
      </c>
      <c r="C236" s="3" t="s">
        <v>6104</v>
      </c>
      <c r="D236" s="3" t="s">
        <v>2898</v>
      </c>
      <c r="E236" s="3" t="s">
        <v>1778</v>
      </c>
      <c r="F236" s="3" t="s">
        <v>514</v>
      </c>
      <c r="G236" s="3" t="s">
        <v>6105</v>
      </c>
      <c r="H236" s="3" t="s">
        <v>1979</v>
      </c>
      <c r="I236" s="3" t="s">
        <v>5986</v>
      </c>
      <c r="J236" s="3" t="s">
        <v>5999</v>
      </c>
      <c r="K236" s="4" t="b">
        <f>J236 = "blocking"</f>
        <v>1</v>
      </c>
      <c r="L236" s="3" t="s">
        <v>1448</v>
      </c>
      <c r="M236" s="3" t="s">
        <v>6106</v>
      </c>
      <c r="N236" s="5">
        <v>46223.1297337963</v>
      </c>
      <c r="O236" s="4" t="b">
        <f>L236 = "PASS"</f>
        <v>1</v>
      </c>
      <c r="P236" s="4" t="b">
        <f>L236 = "FAIL"</f>
        <v>0</v>
      </c>
      <c r="Q236" s="4" t="b">
        <f>AND(((P236)=TRUE), ((K236)=TRUE))</f>
        <v>0</v>
      </c>
      <c r="R236" s="4" t="str">
        <f>IF(((O236)=TRUE),  I236,  "")</f>
        <v>suite-substrate</v>
      </c>
      <c r="S236" s="4" t="str">
        <f>IF(((Q236)=TRUE),  I236,  "")</f>
      </c>
      <c r="T236" s="3" t="s">
        <v>6001</v>
      </c>
    </row>
    <row r="237">
      <c r="A237" s="3" t="s">
        <v>6272</v>
      </c>
      <c r="B237" s="4" t="str">
        <f>C237 &amp; ": " &amp; D237</f>
        <v>formula-translates: Steps.StaleAuthoritativeBindingCount</v>
      </c>
      <c r="C237" s="3" t="s">
        <v>6104</v>
      </c>
      <c r="D237" s="3" t="s">
        <v>2900</v>
      </c>
      <c r="E237" s="3" t="s">
        <v>1778</v>
      </c>
      <c r="F237" s="3" t="s">
        <v>515</v>
      </c>
      <c r="G237" s="3" t="s">
        <v>6105</v>
      </c>
      <c r="H237" s="3" t="s">
        <v>2123</v>
      </c>
      <c r="I237" s="3" t="s">
        <v>5986</v>
      </c>
      <c r="J237" s="3" t="s">
        <v>5999</v>
      </c>
      <c r="K237" s="4" t="b">
        <f>J237 = "blocking"</f>
        <v>1</v>
      </c>
      <c r="L237" s="3" t="s">
        <v>1448</v>
      </c>
      <c r="M237" s="3" t="s">
        <v>6106</v>
      </c>
      <c r="N237" s="5">
        <v>46223.1297337963</v>
      </c>
      <c r="O237" s="4" t="b">
        <f>L237 = "PASS"</f>
        <v>1</v>
      </c>
      <c r="P237" s="4" t="b">
        <f>L237 = "FAIL"</f>
        <v>0</v>
      </c>
      <c r="Q237" s="4" t="b">
        <f>AND(((P237)=TRUE), ((K237)=TRUE))</f>
        <v>0</v>
      </c>
      <c r="R237" s="4" t="str">
        <f>IF(((O237)=TRUE),  I237,  "")</f>
        <v>suite-substrate</v>
      </c>
      <c r="S237" s="4" t="str">
        <f>IF(((Q237)=TRUE),  I237,  "")</f>
      </c>
      <c r="T237" s="3" t="s">
        <v>6001</v>
      </c>
    </row>
    <row r="238">
      <c r="A238" s="3" t="s">
        <v>6273</v>
      </c>
      <c r="B238" s="4" t="str">
        <f>C238 &amp; ": " &amp; D238</f>
        <v>formula-translates: Steps.InputsAreFresh</v>
      </c>
      <c r="C238" s="3" t="s">
        <v>6104</v>
      </c>
      <c r="D238" s="3" t="s">
        <v>2902</v>
      </c>
      <c r="E238" s="3" t="s">
        <v>1778</v>
      </c>
      <c r="F238" s="3" t="s">
        <v>516</v>
      </c>
      <c r="G238" s="3" t="s">
        <v>6105</v>
      </c>
      <c r="H238" s="3" t="s">
        <v>2123</v>
      </c>
      <c r="I238" s="3" t="s">
        <v>5986</v>
      </c>
      <c r="J238" s="3" t="s">
        <v>5999</v>
      </c>
      <c r="K238" s="4" t="b">
        <f>J238 = "blocking"</f>
        <v>1</v>
      </c>
      <c r="L238" s="3" t="s">
        <v>1448</v>
      </c>
      <c r="M238" s="3" t="s">
        <v>6106</v>
      </c>
      <c r="N238" s="5">
        <v>46223.1297337963</v>
      </c>
      <c r="O238" s="4" t="b">
        <f>L238 = "PASS"</f>
        <v>1</v>
      </c>
      <c r="P238" s="4" t="b">
        <f>L238 = "FAIL"</f>
        <v>0</v>
      </c>
      <c r="Q238" s="4" t="b">
        <f>AND(((P238)=TRUE), ((K238)=TRUE))</f>
        <v>0</v>
      </c>
      <c r="R238" s="4" t="str">
        <f>IF(((O238)=TRUE),  I238,  "")</f>
        <v>suite-substrate</v>
      </c>
      <c r="S238" s="4" t="str">
        <f>IF(((Q238)=TRUE),  I238,  "")</f>
      </c>
      <c r="T238" s="3" t="s">
        <v>6001</v>
      </c>
    </row>
    <row r="239">
      <c r="A239" s="3" t="s">
        <v>6274</v>
      </c>
      <c r="B239" s="4" t="str">
        <f>C239 &amp; ": " &amp; D239</f>
        <v>formula-translates: Steps.IsSoftwareAssigned</v>
      </c>
      <c r="C239" s="3" t="s">
        <v>6104</v>
      </c>
      <c r="D239" s="3" t="s">
        <v>2904</v>
      </c>
      <c r="E239" s="3" t="s">
        <v>1778</v>
      </c>
      <c r="F239" s="3" t="s">
        <v>517</v>
      </c>
      <c r="G239" s="3" t="s">
        <v>6105</v>
      </c>
      <c r="H239" s="3" t="s">
        <v>2143</v>
      </c>
      <c r="I239" s="3" t="s">
        <v>5986</v>
      </c>
      <c r="J239" s="3" t="s">
        <v>5999</v>
      </c>
      <c r="K239" s="4" t="b">
        <f>J239 = "blocking"</f>
        <v>1</v>
      </c>
      <c r="L239" s="3" t="s">
        <v>1448</v>
      </c>
      <c r="M239" s="3" t="s">
        <v>6106</v>
      </c>
      <c r="N239" s="5">
        <v>46223.1297337963</v>
      </c>
      <c r="O239" s="4" t="b">
        <f>L239 = "PASS"</f>
        <v>1</v>
      </c>
      <c r="P239" s="4" t="b">
        <f>L239 = "FAIL"</f>
        <v>0</v>
      </c>
      <c r="Q239" s="4" t="b">
        <f>AND(((P239)=TRUE), ((K239)=TRUE))</f>
        <v>0</v>
      </c>
      <c r="R239" s="4" t="str">
        <f>IF(((O239)=TRUE),  I239,  "")</f>
        <v>suite-substrate</v>
      </c>
      <c r="S239" s="4" t="str">
        <f>IF(((Q239)=TRUE),  I239,  "")</f>
      </c>
      <c r="T239" s="3" t="s">
        <v>6001</v>
      </c>
    </row>
    <row r="240">
      <c r="A240" s="3" t="s">
        <v>6275</v>
      </c>
      <c r="B240" s="4" t="str">
        <f>C240 &amp; ": " &amp; D240</f>
        <v>formula-translates: Steps.IsHumanApprovalGate</v>
      </c>
      <c r="C240" s="3" t="s">
        <v>6104</v>
      </c>
      <c r="D240" s="3" t="s">
        <v>2906</v>
      </c>
      <c r="E240" s="3" t="s">
        <v>1778</v>
      </c>
      <c r="F240" s="3" t="s">
        <v>518</v>
      </c>
      <c r="G240" s="3" t="s">
        <v>6105</v>
      </c>
      <c r="H240" s="3" t="s">
        <v>2143</v>
      </c>
      <c r="I240" s="3" t="s">
        <v>5986</v>
      </c>
      <c r="J240" s="3" t="s">
        <v>5999</v>
      </c>
      <c r="K240" s="4" t="b">
        <f>J240 = "blocking"</f>
        <v>1</v>
      </c>
      <c r="L240" s="3" t="s">
        <v>1448</v>
      </c>
      <c r="M240" s="3" t="s">
        <v>6106</v>
      </c>
      <c r="N240" s="5">
        <v>46223.1297337963</v>
      </c>
      <c r="O240" s="4" t="b">
        <f>L240 = "PASS"</f>
        <v>1</v>
      </c>
      <c r="P240" s="4" t="b">
        <f>L240 = "FAIL"</f>
        <v>0</v>
      </c>
      <c r="Q240" s="4" t="b">
        <f>AND(((P240)=TRUE), ((K240)=TRUE))</f>
        <v>0</v>
      </c>
      <c r="R240" s="4" t="str">
        <f>IF(((O240)=TRUE),  I240,  "")</f>
        <v>suite-substrate</v>
      </c>
      <c r="S240" s="4" t="str">
        <f>IF(((Q240)=TRUE),  I240,  "")</f>
      </c>
      <c r="T240" s="3" t="s">
        <v>6001</v>
      </c>
    </row>
    <row r="241">
      <c r="A241" s="3" t="s">
        <v>6276</v>
      </c>
      <c r="B241" s="4" t="str">
        <f>C241 &amp; ": " &amp; D241</f>
        <v>formula-translates: Steps.GateHeldByHuman</v>
      </c>
      <c r="C241" s="3" t="s">
        <v>6104</v>
      </c>
      <c r="D241" s="3" t="s">
        <v>2908</v>
      </c>
      <c r="E241" s="3" t="s">
        <v>1778</v>
      </c>
      <c r="F241" s="3" t="s">
        <v>519</v>
      </c>
      <c r="G241" s="3" t="s">
        <v>6105</v>
      </c>
      <c r="H241" s="3" t="s">
        <v>2143</v>
      </c>
      <c r="I241" s="3" t="s">
        <v>5986</v>
      </c>
      <c r="J241" s="3" t="s">
        <v>5999</v>
      </c>
      <c r="K241" s="4" t="b">
        <f>J241 = "blocking"</f>
        <v>1</v>
      </c>
      <c r="L241" s="3" t="s">
        <v>1448</v>
      </c>
      <c r="M241" s="3" t="s">
        <v>6106</v>
      </c>
      <c r="N241" s="5">
        <v>46223.1297337963</v>
      </c>
      <c r="O241" s="4" t="b">
        <f>L241 = "PASS"</f>
        <v>1</v>
      </c>
      <c r="P241" s="4" t="b">
        <f>L241 = "FAIL"</f>
        <v>0</v>
      </c>
      <c r="Q241" s="4" t="b">
        <f>AND(((P241)=TRUE), ((K241)=TRUE))</f>
        <v>0</v>
      </c>
      <c r="R241" s="4" t="str">
        <f>IF(((O241)=TRUE),  I241,  "")</f>
        <v>suite-substrate</v>
      </c>
      <c r="S241" s="4" t="str">
        <f>IF(((Q241)=TRUE),  I241,  "")</f>
      </c>
      <c r="T241" s="3" t="s">
        <v>6001</v>
      </c>
    </row>
    <row r="242">
      <c r="A242" s="3" t="s">
        <v>6277</v>
      </c>
      <c r="B242" s="4" t="str">
        <f>C242 &amp; ": " &amp; D242</f>
        <v>formula-translates: Steps.BindingBoundaryCount</v>
      </c>
      <c r="C242" s="3" t="s">
        <v>6104</v>
      </c>
      <c r="D242" s="3" t="s">
        <v>2910</v>
      </c>
      <c r="E242" s="3" t="s">
        <v>1778</v>
      </c>
      <c r="F242" s="3" t="s">
        <v>520</v>
      </c>
      <c r="G242" s="3" t="s">
        <v>6105</v>
      </c>
      <c r="H242" s="3" t="s">
        <v>2167</v>
      </c>
      <c r="I242" s="3" t="s">
        <v>5986</v>
      </c>
      <c r="J242" s="3" t="s">
        <v>5999</v>
      </c>
      <c r="K242" s="4" t="b">
        <f>J242 = "blocking"</f>
        <v>1</v>
      </c>
      <c r="L242" s="3" t="s">
        <v>1448</v>
      </c>
      <c r="M242" s="3" t="s">
        <v>6106</v>
      </c>
      <c r="N242" s="5">
        <v>46223.1297337963</v>
      </c>
      <c r="O242" s="4" t="b">
        <f>L242 = "PASS"</f>
        <v>1</v>
      </c>
      <c r="P242" s="4" t="b">
        <f>L242 = "FAIL"</f>
        <v>0</v>
      </c>
      <c r="Q242" s="4" t="b">
        <f>AND(((P242)=TRUE), ((K242)=TRUE))</f>
        <v>0</v>
      </c>
      <c r="R242" s="4" t="str">
        <f>IF(((O242)=TRUE),  I242,  "")</f>
        <v>suite-substrate</v>
      </c>
      <c r="S242" s="4" t="str">
        <f>IF(((Q242)=TRUE),  I242,  "")</f>
      </c>
      <c r="T242" s="3" t="s">
        <v>6001</v>
      </c>
    </row>
    <row r="243">
      <c r="A243" s="3" t="s">
        <v>6278</v>
      </c>
      <c r="B243" s="4" t="str">
        <f>C243 &amp; ": " &amp; D243</f>
        <v>formula-translates: Steps.AssignedRoleIsUngoverned</v>
      </c>
      <c r="C243" s="3" t="s">
        <v>6104</v>
      </c>
      <c r="D243" s="3" t="s">
        <v>2912</v>
      </c>
      <c r="E243" s="3" t="s">
        <v>1778</v>
      </c>
      <c r="F243" s="3" t="s">
        <v>521</v>
      </c>
      <c r="G243" s="3" t="s">
        <v>6105</v>
      </c>
      <c r="H243" s="3" t="s">
        <v>2179</v>
      </c>
      <c r="I243" s="3" t="s">
        <v>5986</v>
      </c>
      <c r="J243" s="3" t="s">
        <v>5999</v>
      </c>
      <c r="K243" s="4" t="b">
        <f>J243 = "blocking"</f>
        <v>1</v>
      </c>
      <c r="L243" s="3" t="s">
        <v>1448</v>
      </c>
      <c r="M243" s="3" t="s">
        <v>6106</v>
      </c>
      <c r="N243" s="5">
        <v>46223.1297337963</v>
      </c>
      <c r="O243" s="4" t="b">
        <f>L243 = "PASS"</f>
        <v>1</v>
      </c>
      <c r="P243" s="4" t="b">
        <f>L243 = "FAIL"</f>
        <v>0</v>
      </c>
      <c r="Q243" s="4" t="b">
        <f>AND(((P243)=TRUE), ((K243)=TRUE))</f>
        <v>0</v>
      </c>
      <c r="R243" s="4" t="str">
        <f>IF(((O243)=TRUE),  I243,  "")</f>
        <v>suite-substrate</v>
      </c>
      <c r="S243" s="4" t="str">
        <f>IF(((Q243)=TRUE),  I243,  "")</f>
      </c>
      <c r="T243" s="3" t="s">
        <v>6001</v>
      </c>
    </row>
    <row r="244">
      <c r="A244" s="3" t="s">
        <v>6279</v>
      </c>
      <c r="B244" s="4" t="str">
        <f>C244 &amp; ": " &amp; D244</f>
        <v>formula-translates: Steps.UnusableBindingCount</v>
      </c>
      <c r="C244" s="3" t="s">
        <v>6104</v>
      </c>
      <c r="D244" s="3" t="s">
        <v>2914</v>
      </c>
      <c r="E244" s="3" t="s">
        <v>1778</v>
      </c>
      <c r="F244" s="3" t="s">
        <v>522</v>
      </c>
      <c r="G244" s="3" t="s">
        <v>6105</v>
      </c>
      <c r="H244" s="3" t="s">
        <v>2183</v>
      </c>
      <c r="I244" s="3" t="s">
        <v>5986</v>
      </c>
      <c r="J244" s="3" t="s">
        <v>5999</v>
      </c>
      <c r="K244" s="4" t="b">
        <f>J244 = "blocking"</f>
        <v>1</v>
      </c>
      <c r="L244" s="3" t="s">
        <v>1448</v>
      </c>
      <c r="M244" s="3" t="s">
        <v>6106</v>
      </c>
      <c r="N244" s="5">
        <v>46223.1297337963</v>
      </c>
      <c r="O244" s="4" t="b">
        <f>L244 = "PASS"</f>
        <v>1</v>
      </c>
      <c r="P244" s="4" t="b">
        <f>L244 = "FAIL"</f>
        <v>0</v>
      </c>
      <c r="Q244" s="4" t="b">
        <f>AND(((P244)=TRUE), ((K244)=TRUE))</f>
        <v>0</v>
      </c>
      <c r="R244" s="4" t="str">
        <f>IF(((O244)=TRUE),  I244,  "")</f>
        <v>suite-substrate</v>
      </c>
      <c r="S244" s="4" t="str">
        <f>IF(((Q244)=TRUE),  I244,  "")</f>
      </c>
      <c r="T244" s="3" t="s">
        <v>6001</v>
      </c>
    </row>
    <row r="245">
      <c r="A245" s="3" t="s">
        <v>6280</v>
      </c>
      <c r="B245" s="4" t="str">
        <f>C245 &amp; ": " &amp; D245</f>
        <v>formula-translates: Steps.AllSourcesUsable</v>
      </c>
      <c r="C245" s="3" t="s">
        <v>6104</v>
      </c>
      <c r="D245" s="3" t="s">
        <v>2916</v>
      </c>
      <c r="E245" s="3" t="s">
        <v>1778</v>
      </c>
      <c r="F245" s="3" t="s">
        <v>523</v>
      </c>
      <c r="G245" s="3" t="s">
        <v>6105</v>
      </c>
      <c r="H245" s="3" t="s">
        <v>2183</v>
      </c>
      <c r="I245" s="3" t="s">
        <v>5986</v>
      </c>
      <c r="J245" s="3" t="s">
        <v>5999</v>
      </c>
      <c r="K245" s="4" t="b">
        <f>J245 = "blocking"</f>
        <v>1</v>
      </c>
      <c r="L245" s="3" t="s">
        <v>1448</v>
      </c>
      <c r="M245" s="3" t="s">
        <v>6106</v>
      </c>
      <c r="N245" s="5">
        <v>46223.1297337963</v>
      </c>
      <c r="O245" s="4" t="b">
        <f>L245 = "PASS"</f>
        <v>1</v>
      </c>
      <c r="P245" s="4" t="b">
        <f>L245 = "FAIL"</f>
        <v>0</v>
      </c>
      <c r="Q245" s="4" t="b">
        <f>AND(((P245)=TRUE), ((K245)=TRUE))</f>
        <v>0</v>
      </c>
      <c r="R245" s="4" t="str">
        <f>IF(((O245)=TRUE),  I245,  "")</f>
        <v>suite-substrate</v>
      </c>
      <c r="S245" s="4" t="str">
        <f>IF(((Q245)=TRUE),  I245,  "")</f>
      </c>
      <c r="T245" s="3" t="s">
        <v>6001</v>
      </c>
    </row>
    <row r="246">
      <c r="A246" s="3" t="s">
        <v>6281</v>
      </c>
      <c r="B246" s="4" t="str">
        <f>C246 &amp; ": " &amp; D246</f>
        <v>formula-translates: Steps.UnwarrantedBoundaryCount</v>
      </c>
      <c r="C246" s="3" t="s">
        <v>6104</v>
      </c>
      <c r="D246" s="3" t="s">
        <v>2919</v>
      </c>
      <c r="E246" s="3" t="s">
        <v>1778</v>
      </c>
      <c r="F246" s="3" t="s">
        <v>525</v>
      </c>
      <c r="G246" s="3" t="s">
        <v>6105</v>
      </c>
      <c r="H246" s="3" t="s">
        <v>2203</v>
      </c>
      <c r="I246" s="3" t="s">
        <v>5986</v>
      </c>
      <c r="J246" s="3" t="s">
        <v>5999</v>
      </c>
      <c r="K246" s="4" t="b">
        <f>J246 = "blocking"</f>
        <v>1</v>
      </c>
      <c r="L246" s="3" t="s">
        <v>1448</v>
      </c>
      <c r="M246" s="3" t="s">
        <v>6106</v>
      </c>
      <c r="N246" s="5">
        <v>46223.1297337963</v>
      </c>
      <c r="O246" s="4" t="b">
        <f>L246 = "PASS"</f>
        <v>1</v>
      </c>
      <c r="P246" s="4" t="b">
        <f>L246 = "FAIL"</f>
        <v>0</v>
      </c>
      <c r="Q246" s="4" t="b">
        <f>AND(((P246)=TRUE), ((K246)=TRUE))</f>
        <v>0</v>
      </c>
      <c r="R246" s="4" t="str">
        <f>IF(((O246)=TRUE),  I246,  "")</f>
        <v>suite-substrate</v>
      </c>
      <c r="S246" s="4" t="str">
        <f>IF(((Q246)=TRUE),  I246,  "")</f>
      </c>
      <c r="T246" s="3" t="s">
        <v>6001</v>
      </c>
    </row>
    <row r="247">
      <c r="A247" s="3" t="s">
        <v>6282</v>
      </c>
      <c r="B247" s="4" t="str">
        <f>C247 &amp; ": " &amp; D247</f>
        <v>formula-translates: Steps.IsGovernedByUnwarrantedBoundary</v>
      </c>
      <c r="C247" s="3" t="s">
        <v>6104</v>
      </c>
      <c r="D247" s="3" t="s">
        <v>2921</v>
      </c>
      <c r="E247" s="3" t="s">
        <v>1778</v>
      </c>
      <c r="F247" s="3" t="s">
        <v>526</v>
      </c>
      <c r="G247" s="3" t="s">
        <v>6105</v>
      </c>
      <c r="H247" s="3" t="s">
        <v>2203</v>
      </c>
      <c r="I247" s="3" t="s">
        <v>5986</v>
      </c>
      <c r="J247" s="3" t="s">
        <v>5999</v>
      </c>
      <c r="K247" s="4" t="b">
        <f>J247 = "blocking"</f>
        <v>1</v>
      </c>
      <c r="L247" s="3" t="s">
        <v>1448</v>
      </c>
      <c r="M247" s="3" t="s">
        <v>6106</v>
      </c>
      <c r="N247" s="5">
        <v>46223.1297337963</v>
      </c>
      <c r="O247" s="4" t="b">
        <f>L247 = "PASS"</f>
        <v>1</v>
      </c>
      <c r="P247" s="4" t="b">
        <f>L247 = "FAIL"</f>
        <v>0</v>
      </c>
      <c r="Q247" s="4" t="b">
        <f>AND(((P247)=TRUE), ((K247)=TRUE))</f>
        <v>0</v>
      </c>
      <c r="R247" s="4" t="str">
        <f>IF(((O247)=TRUE),  I247,  "")</f>
        <v>suite-substrate</v>
      </c>
      <c r="S247" s="4" t="str">
        <f>IF(((Q247)=TRUE),  I247,  "")</f>
      </c>
      <c r="T247" s="3" t="s">
        <v>6001</v>
      </c>
    </row>
    <row r="248">
      <c r="A248" s="3" t="s">
        <v>6283</v>
      </c>
      <c r="B248" s="4" t="str">
        <f>C248 &amp; ": " &amp; D248</f>
        <v>formula-translates: Steps.SoftwareExecutionCount</v>
      </c>
      <c r="C248" s="3" t="s">
        <v>6104</v>
      </c>
      <c r="D248" s="3" t="s">
        <v>2923</v>
      </c>
      <c r="E248" s="3" t="s">
        <v>1778</v>
      </c>
      <c r="F248" s="3" t="s">
        <v>527</v>
      </c>
      <c r="G248" s="3" t="s">
        <v>6105</v>
      </c>
      <c r="H248" s="3" t="s">
        <v>2223</v>
      </c>
      <c r="I248" s="3" t="s">
        <v>5986</v>
      </c>
      <c r="J248" s="3" t="s">
        <v>5999</v>
      </c>
      <c r="K248" s="4" t="b">
        <f>J248 = "blocking"</f>
        <v>1</v>
      </c>
      <c r="L248" s="3" t="s">
        <v>1448</v>
      </c>
      <c r="M248" s="3" t="s">
        <v>6106</v>
      </c>
      <c r="N248" s="5">
        <v>46223.1297337963</v>
      </c>
      <c r="O248" s="4" t="b">
        <f>L248 = "PASS"</f>
        <v>1</v>
      </c>
      <c r="P248" s="4" t="b">
        <f>L248 = "FAIL"</f>
        <v>0</v>
      </c>
      <c r="Q248" s="4" t="b">
        <f>AND(((P248)=TRUE), ((K248)=TRUE))</f>
        <v>0</v>
      </c>
      <c r="R248" s="4" t="str">
        <f>IF(((O248)=TRUE),  I248,  "")</f>
        <v>suite-substrate</v>
      </c>
      <c r="S248" s="4" t="str">
        <f>IF(((Q248)=TRUE),  I248,  "")</f>
      </c>
      <c r="T248" s="3" t="s">
        <v>6001</v>
      </c>
    </row>
    <row r="249">
      <c r="A249" s="3" t="s">
        <v>6284</v>
      </c>
      <c r="B249" s="4" t="str">
        <f>C249 &amp; ": " &amp; D249</f>
        <v>formula-translates: Steps.HasBeenApproachedBySoftware</v>
      </c>
      <c r="C249" s="3" t="s">
        <v>6104</v>
      </c>
      <c r="D249" s="3" t="s">
        <v>2925</v>
      </c>
      <c r="E249" s="3" t="s">
        <v>1778</v>
      </c>
      <c r="F249" s="3" t="s">
        <v>528</v>
      </c>
      <c r="G249" s="3" t="s">
        <v>6105</v>
      </c>
      <c r="H249" s="3" t="s">
        <v>2223</v>
      </c>
      <c r="I249" s="3" t="s">
        <v>5986</v>
      </c>
      <c r="J249" s="3" t="s">
        <v>5999</v>
      </c>
      <c r="K249" s="4" t="b">
        <f>J249 = "blocking"</f>
        <v>1</v>
      </c>
      <c r="L249" s="3" t="s">
        <v>1448</v>
      </c>
      <c r="M249" s="3" t="s">
        <v>6106</v>
      </c>
      <c r="N249" s="5">
        <v>46223.1297337963</v>
      </c>
      <c r="O249" s="4" t="b">
        <f>L249 = "PASS"</f>
        <v>1</v>
      </c>
      <c r="P249" s="4" t="b">
        <f>L249 = "FAIL"</f>
        <v>0</v>
      </c>
      <c r="Q249" s="4" t="b">
        <f>AND(((P249)=TRUE), ((K249)=TRUE))</f>
        <v>0</v>
      </c>
      <c r="R249" s="4" t="str">
        <f>IF(((O249)=TRUE),  I249,  "")</f>
        <v>suite-substrate</v>
      </c>
      <c r="S249" s="4" t="str">
        <f>IF(((Q249)=TRUE),  I249,  "")</f>
      </c>
      <c r="T249" s="3" t="s">
        <v>6001</v>
      </c>
    </row>
    <row r="250">
      <c r="A250" s="3" t="s">
        <v>6285</v>
      </c>
      <c r="B250" s="4" t="str">
        <f>C250 &amp; ": " &amp; D250</f>
        <v>formula-translates: Steps.IsUnexercisedHumanGate</v>
      </c>
      <c r="C250" s="3" t="s">
        <v>6104</v>
      </c>
      <c r="D250" s="3" t="s">
        <v>2927</v>
      </c>
      <c r="E250" s="3" t="s">
        <v>1778</v>
      </c>
      <c r="F250" s="3" t="s">
        <v>529</v>
      </c>
      <c r="G250" s="3" t="s">
        <v>6105</v>
      </c>
      <c r="H250" s="3" t="s">
        <v>2223</v>
      </c>
      <c r="I250" s="3" t="s">
        <v>5986</v>
      </c>
      <c r="J250" s="3" t="s">
        <v>5999</v>
      </c>
      <c r="K250" s="4" t="b">
        <f>J250 = "blocking"</f>
        <v>1</v>
      </c>
      <c r="L250" s="3" t="s">
        <v>1448</v>
      </c>
      <c r="M250" s="3" t="s">
        <v>6106</v>
      </c>
      <c r="N250" s="5">
        <v>46223.1297337963</v>
      </c>
      <c r="O250" s="4" t="b">
        <f>L250 = "PASS"</f>
        <v>1</v>
      </c>
      <c r="P250" s="4" t="b">
        <f>L250 = "FAIL"</f>
        <v>0</v>
      </c>
      <c r="Q250" s="4" t="b">
        <f>AND(((P250)=TRUE), ((K250)=TRUE))</f>
        <v>0</v>
      </c>
      <c r="R250" s="4" t="str">
        <f>IF(((O250)=TRUE),  I250,  "")</f>
        <v>suite-substrate</v>
      </c>
      <c r="S250" s="4" t="str">
        <f>IF(((Q250)=TRUE),  I250,  "")</f>
      </c>
      <c r="T250" s="3" t="s">
        <v>6001</v>
      </c>
    </row>
    <row r="251">
      <c r="A251" s="3" t="s">
        <v>6286</v>
      </c>
      <c r="B251" s="4" t="str">
        <f>C251 &amp; ": " &amp; D251</f>
        <v>formula-translates: Steps.IsDemonstratedHumanGate</v>
      </c>
      <c r="C251" s="3" t="s">
        <v>6104</v>
      </c>
      <c r="D251" s="3" t="s">
        <v>2929</v>
      </c>
      <c r="E251" s="3" t="s">
        <v>1778</v>
      </c>
      <c r="F251" s="3" t="s">
        <v>530</v>
      </c>
      <c r="G251" s="3" t="s">
        <v>6105</v>
      </c>
      <c r="H251" s="3" t="s">
        <v>2223</v>
      </c>
      <c r="I251" s="3" t="s">
        <v>5986</v>
      </c>
      <c r="J251" s="3" t="s">
        <v>5999</v>
      </c>
      <c r="K251" s="4" t="b">
        <f>J251 = "blocking"</f>
        <v>1</v>
      </c>
      <c r="L251" s="3" t="s">
        <v>1448</v>
      </c>
      <c r="M251" s="3" t="s">
        <v>6106</v>
      </c>
      <c r="N251" s="5">
        <v>46223.1297337963</v>
      </c>
      <c r="O251" s="4" t="b">
        <f>L251 = "PASS"</f>
        <v>1</v>
      </c>
      <c r="P251" s="4" t="b">
        <f>L251 = "FAIL"</f>
        <v>0</v>
      </c>
      <c r="Q251" s="4" t="b">
        <f>AND(((P251)=TRUE), ((K251)=TRUE))</f>
        <v>0</v>
      </c>
      <c r="R251" s="4" t="str">
        <f>IF(((O251)=TRUE),  I251,  "")</f>
        <v>suite-substrate</v>
      </c>
      <c r="S251" s="4" t="str">
        <f>IF(((Q251)=TRUE),  I251,  "")</f>
      </c>
      <c r="T251" s="3" t="s">
        <v>6001</v>
      </c>
    </row>
    <row r="252">
      <c r="A252" s="3" t="s">
        <v>6287</v>
      </c>
      <c r="B252" s="4" t="str">
        <f>C252 &amp; ": " &amp; D252</f>
        <v>formula-translates: Steps.UnexercisedGateVersionKey</v>
      </c>
      <c r="C252" s="3" t="s">
        <v>6104</v>
      </c>
      <c r="D252" s="3" t="s">
        <v>2931</v>
      </c>
      <c r="E252" s="3" t="s">
        <v>1778</v>
      </c>
      <c r="F252" s="3" t="s">
        <v>531</v>
      </c>
      <c r="G252" s="3" t="s">
        <v>6105</v>
      </c>
      <c r="H252" s="3" t="s">
        <v>2223</v>
      </c>
      <c r="I252" s="3" t="s">
        <v>5986</v>
      </c>
      <c r="J252" s="3" t="s">
        <v>5999</v>
      </c>
      <c r="K252" s="4" t="b">
        <f>J252 = "blocking"</f>
        <v>1</v>
      </c>
      <c r="L252" s="3" t="s">
        <v>1448</v>
      </c>
      <c r="M252" s="3" t="s">
        <v>6106</v>
      </c>
      <c r="N252" s="5">
        <v>46223.1297337963</v>
      </c>
      <c r="O252" s="4" t="b">
        <f>L252 = "PASS"</f>
        <v>1</v>
      </c>
      <c r="P252" s="4" t="b">
        <f>L252 = "FAIL"</f>
        <v>0</v>
      </c>
      <c r="Q252" s="4" t="b">
        <f>AND(((P252)=TRUE), ((K252)=TRUE))</f>
        <v>0</v>
      </c>
      <c r="R252" s="4" t="str">
        <f>IF(((O252)=TRUE),  I252,  "")</f>
        <v>suite-substrate</v>
      </c>
      <c r="S252" s="4" t="str">
        <f>IF(((Q252)=TRUE),  I252,  "")</f>
      </c>
      <c r="T252" s="3" t="s">
        <v>6001</v>
      </c>
    </row>
    <row r="253">
      <c r="A253" s="3" t="s">
        <v>6288</v>
      </c>
      <c r="B253" s="4" t="str">
        <f>C253 &amp; ": " &amp; D253</f>
        <v>formula-translates: Steps.HasDeclaredControlKind</v>
      </c>
      <c r="C253" s="3" t="s">
        <v>6104</v>
      </c>
      <c r="D253" s="3" t="s">
        <v>2933</v>
      </c>
      <c r="E253" s="3" t="s">
        <v>1778</v>
      </c>
      <c r="F253" s="3" t="s">
        <v>532</v>
      </c>
      <c r="G253" s="3" t="s">
        <v>6105</v>
      </c>
      <c r="H253" s="3" t="s">
        <v>2255</v>
      </c>
      <c r="I253" s="3" t="s">
        <v>5986</v>
      </c>
      <c r="J253" s="3" t="s">
        <v>5999</v>
      </c>
      <c r="K253" s="4" t="b">
        <f>J253 = "blocking"</f>
        <v>1</v>
      </c>
      <c r="L253" s="3" t="s">
        <v>1448</v>
      </c>
      <c r="M253" s="3" t="s">
        <v>6106</v>
      </c>
      <c r="N253" s="5">
        <v>46223.1297337963</v>
      </c>
      <c r="O253" s="4" t="b">
        <f>L253 = "PASS"</f>
        <v>1</v>
      </c>
      <c r="P253" s="4" t="b">
        <f>L253 = "FAIL"</f>
        <v>0</v>
      </c>
      <c r="Q253" s="4" t="b">
        <f>AND(((P253)=TRUE), ((K253)=TRUE))</f>
        <v>0</v>
      </c>
      <c r="R253" s="4" t="str">
        <f>IF(((O253)=TRUE),  I253,  "")</f>
        <v>suite-substrate</v>
      </c>
      <c r="S253" s="4" t="str">
        <f>IF(((Q253)=TRUE),  I253,  "")</f>
      </c>
      <c r="T253" s="3" t="s">
        <v>6001</v>
      </c>
    </row>
    <row r="254">
      <c r="A254" s="3" t="s">
        <v>6289</v>
      </c>
      <c r="B254" s="4" t="str">
        <f>C254 &amp; ": " &amp; D254</f>
        <v>formula-translates: Steps.UndeclaredControlVersionKey</v>
      </c>
      <c r="C254" s="3" t="s">
        <v>6104</v>
      </c>
      <c r="D254" s="3" t="s">
        <v>2935</v>
      </c>
      <c r="E254" s="3" t="s">
        <v>1778</v>
      </c>
      <c r="F254" s="3" t="s">
        <v>533</v>
      </c>
      <c r="G254" s="3" t="s">
        <v>6105</v>
      </c>
      <c r="H254" s="3" t="s">
        <v>2255</v>
      </c>
      <c r="I254" s="3" t="s">
        <v>5986</v>
      </c>
      <c r="J254" s="3" t="s">
        <v>5999</v>
      </c>
      <c r="K254" s="4" t="b">
        <f>J254 = "blocking"</f>
        <v>1</v>
      </c>
      <c r="L254" s="3" t="s">
        <v>1448</v>
      </c>
      <c r="M254" s="3" t="s">
        <v>6106</v>
      </c>
      <c r="N254" s="5">
        <v>46223.1297337963</v>
      </c>
      <c r="O254" s="4" t="b">
        <f>L254 = "PASS"</f>
        <v>1</v>
      </c>
      <c r="P254" s="4" t="b">
        <f>L254 = "FAIL"</f>
        <v>0</v>
      </c>
      <c r="Q254" s="4" t="b">
        <f>AND(((P254)=TRUE), ((K254)=TRUE))</f>
        <v>0</v>
      </c>
      <c r="R254" s="4" t="str">
        <f>IF(((O254)=TRUE),  I254,  "")</f>
        <v>suite-substrate</v>
      </c>
      <c r="S254" s="4" t="str">
        <f>IF(((Q254)=TRUE),  I254,  "")</f>
      </c>
      <c r="T254" s="3" t="s">
        <v>6001</v>
      </c>
    </row>
    <row r="255">
      <c r="A255" s="3" t="s">
        <v>6290</v>
      </c>
      <c r="B255" s="4" t="str">
        <f>C255 &amp; ": " &amp; D255</f>
        <v>formula-translates: Steps.ApprovalStepIsSoftwareAssigned</v>
      </c>
      <c r="C255" s="3" t="s">
        <v>6104</v>
      </c>
      <c r="D255" s="3" t="s">
        <v>2937</v>
      </c>
      <c r="E255" s="3" t="s">
        <v>1778</v>
      </c>
      <c r="F255" s="3" t="s">
        <v>534</v>
      </c>
      <c r="G255" s="3" t="s">
        <v>6105</v>
      </c>
      <c r="H255" s="3" t="s">
        <v>2255</v>
      </c>
      <c r="I255" s="3" t="s">
        <v>5986</v>
      </c>
      <c r="J255" s="3" t="s">
        <v>5999</v>
      </c>
      <c r="K255" s="4" t="b">
        <f>J255 = "blocking"</f>
        <v>1</v>
      </c>
      <c r="L255" s="3" t="s">
        <v>1448</v>
      </c>
      <c r="M255" s="3" t="s">
        <v>6106</v>
      </c>
      <c r="N255" s="5">
        <v>46223.1297337963</v>
      </c>
      <c r="O255" s="4" t="b">
        <f>L255 = "PASS"</f>
        <v>1</v>
      </c>
      <c r="P255" s="4" t="b">
        <f>L255 = "FAIL"</f>
        <v>0</v>
      </c>
      <c r="Q255" s="4" t="b">
        <f>AND(((P255)=TRUE), ((K255)=TRUE))</f>
        <v>0</v>
      </c>
      <c r="R255" s="4" t="str">
        <f>IF(((O255)=TRUE),  I255,  "")</f>
        <v>suite-substrate</v>
      </c>
      <c r="S255" s="4" t="str">
        <f>IF(((Q255)=TRUE),  I255,  "")</f>
      </c>
      <c r="T255" s="3" t="s">
        <v>6001</v>
      </c>
    </row>
    <row r="256">
      <c r="A256" s="3" t="s">
        <v>6291</v>
      </c>
      <c r="B256" s="4" t="str">
        <f>C256 &amp; ": " &amp; D256</f>
        <v>formula-translates: Steps.UnwitnessedBlockingCount</v>
      </c>
      <c r="C256" s="3" t="s">
        <v>6104</v>
      </c>
      <c r="D256" s="3" t="s">
        <v>2939</v>
      </c>
      <c r="E256" s="3" t="s">
        <v>1778</v>
      </c>
      <c r="F256" s="3" t="s">
        <v>535</v>
      </c>
      <c r="G256" s="3" t="s">
        <v>6105</v>
      </c>
      <c r="H256" s="3" t="s">
        <v>2267</v>
      </c>
      <c r="I256" s="3" t="s">
        <v>5986</v>
      </c>
      <c r="J256" s="3" t="s">
        <v>5999</v>
      </c>
      <c r="K256" s="4" t="b">
        <f>J256 = "blocking"</f>
        <v>1</v>
      </c>
      <c r="L256" s="3" t="s">
        <v>1448</v>
      </c>
      <c r="M256" s="3" t="s">
        <v>6106</v>
      </c>
      <c r="N256" s="5">
        <v>46223.1297337963</v>
      </c>
      <c r="O256" s="4" t="b">
        <f>L256 = "PASS"</f>
        <v>1</v>
      </c>
      <c r="P256" s="4" t="b">
        <f>L256 = "FAIL"</f>
        <v>0</v>
      </c>
      <c r="Q256" s="4" t="b">
        <f>AND(((P256)=TRUE), ((K256)=TRUE))</f>
        <v>0</v>
      </c>
      <c r="R256" s="4" t="str">
        <f>IF(((O256)=TRUE),  I256,  "")</f>
        <v>suite-substrate</v>
      </c>
      <c r="S256" s="4" t="str">
        <f>IF(((Q256)=TRUE),  I256,  "")</f>
      </c>
      <c r="T256" s="3" t="s">
        <v>6001</v>
      </c>
    </row>
    <row r="257">
      <c r="A257" s="3" t="s">
        <v>6292</v>
      </c>
      <c r="B257" s="4" t="str">
        <f>C257 &amp; ": " &amp; D257</f>
        <v>formula-translates: StepTransitions.Name</v>
      </c>
      <c r="C257" s="3" t="s">
        <v>6104</v>
      </c>
      <c r="D257" s="3" t="s">
        <v>2967</v>
      </c>
      <c r="E257" s="3" t="s">
        <v>1784</v>
      </c>
      <c r="F257" s="3" t="s">
        <v>1</v>
      </c>
      <c r="G257" s="3" t="s">
        <v>6105</v>
      </c>
      <c r="H257" s="3"/>
      <c r="I257" s="3" t="s">
        <v>5986</v>
      </c>
      <c r="J257" s="3" t="s">
        <v>5999</v>
      </c>
      <c r="K257" s="4" t="b">
        <f>J257 = "blocking"</f>
        <v>1</v>
      </c>
      <c r="L257" s="3" t="s">
        <v>1448</v>
      </c>
      <c r="M257" s="3" t="s">
        <v>6106</v>
      </c>
      <c r="N257" s="5">
        <v>46223.1297337963</v>
      </c>
      <c r="O257" s="4" t="b">
        <f>L257 = "PASS"</f>
        <v>1</v>
      </c>
      <c r="P257" s="4" t="b">
        <f>L257 = "FAIL"</f>
        <v>0</v>
      </c>
      <c r="Q257" s="4" t="b">
        <f>AND(((P257)=TRUE), ((K257)=TRUE))</f>
        <v>0</v>
      </c>
      <c r="R257" s="4" t="str">
        <f>IF(((O257)=TRUE),  I257,  "")</f>
        <v>suite-substrate</v>
      </c>
      <c r="S257" s="4" t="str">
        <f>IF(((Q257)=TRUE),  I257,  "")</f>
      </c>
      <c r="T257" s="3" t="s">
        <v>6001</v>
      </c>
    </row>
    <row r="258">
      <c r="A258" s="3" t="s">
        <v>6293</v>
      </c>
      <c r="B258" s="4" t="str">
        <f>C258 &amp; ": " &amp; D258</f>
        <v>formula-translates: StepTransitions.IsRecoveryPath</v>
      </c>
      <c r="C258" s="3" t="s">
        <v>6104</v>
      </c>
      <c r="D258" s="3" t="s">
        <v>2973</v>
      </c>
      <c r="E258" s="3" t="s">
        <v>1784</v>
      </c>
      <c r="F258" s="3" t="s">
        <v>627</v>
      </c>
      <c r="G258" s="3" t="s">
        <v>6105</v>
      </c>
      <c r="H258" s="3" t="s">
        <v>2027</v>
      </c>
      <c r="I258" s="3" t="s">
        <v>5986</v>
      </c>
      <c r="J258" s="3" t="s">
        <v>5999</v>
      </c>
      <c r="K258" s="4" t="b">
        <f>J258 = "blocking"</f>
        <v>1</v>
      </c>
      <c r="L258" s="3" t="s">
        <v>1448</v>
      </c>
      <c r="M258" s="3" t="s">
        <v>6106</v>
      </c>
      <c r="N258" s="5">
        <v>46223.1297337963</v>
      </c>
      <c r="O258" s="4" t="b">
        <f>L258 = "PASS"</f>
        <v>1</v>
      </c>
      <c r="P258" s="4" t="b">
        <f>L258 = "FAIL"</f>
        <v>0</v>
      </c>
      <c r="Q258" s="4" t="b">
        <f>AND(((P258)=TRUE), ((K258)=TRUE))</f>
        <v>0</v>
      </c>
      <c r="R258" s="4" t="str">
        <f>IF(((O258)=TRUE),  I258,  "")</f>
        <v>suite-substrate</v>
      </c>
      <c r="S258" s="4" t="str">
        <f>IF(((Q258)=TRUE),  I258,  "")</f>
      </c>
      <c r="T258" s="3" t="s">
        <v>6001</v>
      </c>
    </row>
    <row r="259">
      <c r="A259" s="3" t="s">
        <v>6294</v>
      </c>
      <c r="B259" s="4" t="str">
        <f>C259 &amp; ": " &amp; D259</f>
        <v>formula-translates: StepTransitions.CountOfFromStepExecutions</v>
      </c>
      <c r="C259" s="3" t="s">
        <v>6104</v>
      </c>
      <c r="D259" s="3" t="s">
        <v>2975</v>
      </c>
      <c r="E259" s="3" t="s">
        <v>1784</v>
      </c>
      <c r="F259" s="3" t="s">
        <v>628</v>
      </c>
      <c r="G259" s="3" t="s">
        <v>6105</v>
      </c>
      <c r="H259" s="3" t="s">
        <v>2027</v>
      </c>
      <c r="I259" s="3" t="s">
        <v>5986</v>
      </c>
      <c r="J259" s="3" t="s">
        <v>5999</v>
      </c>
      <c r="K259" s="4" t="b">
        <f>J259 = "blocking"</f>
        <v>1</v>
      </c>
      <c r="L259" s="3" t="s">
        <v>1448</v>
      </c>
      <c r="M259" s="3" t="s">
        <v>6106</v>
      </c>
      <c r="N259" s="5">
        <v>46223.1297337963</v>
      </c>
      <c r="O259" s="4" t="b">
        <f>L259 = "PASS"</f>
        <v>1</v>
      </c>
      <c r="P259" s="4" t="b">
        <f>L259 = "FAIL"</f>
        <v>0</v>
      </c>
      <c r="Q259" s="4" t="b">
        <f>AND(((P259)=TRUE), ((K259)=TRUE))</f>
        <v>0</v>
      </c>
      <c r="R259" s="4" t="str">
        <f>IF(((O259)=TRUE),  I259,  "")</f>
        <v>suite-substrate</v>
      </c>
      <c r="S259" s="4" t="str">
        <f>IF(((Q259)=TRUE),  I259,  "")</f>
      </c>
      <c r="T259" s="3" t="s">
        <v>6001</v>
      </c>
    </row>
    <row r="260">
      <c r="A260" s="3" t="s">
        <v>6295</v>
      </c>
      <c r="B260" s="4" t="str">
        <f>C260 &amp; ": " &amp; D260</f>
        <v>formula-translates: StepTransitions.CountOfToStepExecutions</v>
      </c>
      <c r="C260" s="3" t="s">
        <v>6104</v>
      </c>
      <c r="D260" s="3" t="s">
        <v>2977</v>
      </c>
      <c r="E260" s="3" t="s">
        <v>1784</v>
      </c>
      <c r="F260" s="3" t="s">
        <v>629</v>
      </c>
      <c r="G260" s="3" t="s">
        <v>6105</v>
      </c>
      <c r="H260" s="3" t="s">
        <v>2027</v>
      </c>
      <c r="I260" s="3" t="s">
        <v>5986</v>
      </c>
      <c r="J260" s="3" t="s">
        <v>5999</v>
      </c>
      <c r="K260" s="4" t="b">
        <f>J260 = "blocking"</f>
        <v>1</v>
      </c>
      <c r="L260" s="3" t="s">
        <v>1448</v>
      </c>
      <c r="M260" s="3" t="s">
        <v>6106</v>
      </c>
      <c r="N260" s="5">
        <v>46223.1297337963</v>
      </c>
      <c r="O260" s="4" t="b">
        <f>L260 = "PASS"</f>
        <v>1</v>
      </c>
      <c r="P260" s="4" t="b">
        <f>L260 = "FAIL"</f>
        <v>0</v>
      </c>
      <c r="Q260" s="4" t="b">
        <f>AND(((P260)=TRUE), ((K260)=TRUE))</f>
        <v>0</v>
      </c>
      <c r="R260" s="4" t="str">
        <f>IF(((O260)=TRUE),  I260,  "")</f>
        <v>suite-substrate</v>
      </c>
      <c r="S260" s="4" t="str">
        <f>IF(((Q260)=TRUE),  I260,  "")</f>
      </c>
      <c r="T260" s="3" t="s">
        <v>6001</v>
      </c>
    </row>
    <row r="261">
      <c r="A261" s="3" t="s">
        <v>6296</v>
      </c>
      <c r="B261" s="4" t="str">
        <f>C261 &amp; ": " &amp; D261</f>
        <v>formula-translates: StepTransitions.HasReachableOrigin</v>
      </c>
      <c r="C261" s="3" t="s">
        <v>6104</v>
      </c>
      <c r="D261" s="3" t="s">
        <v>2979</v>
      </c>
      <c r="E261" s="3" t="s">
        <v>1784</v>
      </c>
      <c r="F261" s="3" t="s">
        <v>630</v>
      </c>
      <c r="G261" s="3" t="s">
        <v>6105</v>
      </c>
      <c r="H261" s="3" t="s">
        <v>2027</v>
      </c>
      <c r="I261" s="3" t="s">
        <v>5986</v>
      </c>
      <c r="J261" s="3" t="s">
        <v>5999</v>
      </c>
      <c r="K261" s="4" t="b">
        <f>J261 = "blocking"</f>
        <v>1</v>
      </c>
      <c r="L261" s="3" t="s">
        <v>1448</v>
      </c>
      <c r="M261" s="3" t="s">
        <v>6106</v>
      </c>
      <c r="N261" s="5">
        <v>46223.1297337963</v>
      </c>
      <c r="O261" s="4" t="b">
        <f>L261 = "PASS"</f>
        <v>1</v>
      </c>
      <c r="P261" s="4" t="b">
        <f>L261 = "FAIL"</f>
        <v>0</v>
      </c>
      <c r="Q261" s="4" t="b">
        <f>AND(((P261)=TRUE), ((K261)=TRUE))</f>
        <v>0</v>
      </c>
      <c r="R261" s="4" t="str">
        <f>IF(((O261)=TRUE),  I261,  "")</f>
        <v>suite-substrate</v>
      </c>
      <c r="S261" s="4" t="str">
        <f>IF(((Q261)=TRUE),  I261,  "")</f>
      </c>
      <c r="T261" s="3" t="s">
        <v>6001</v>
      </c>
    </row>
    <row r="262">
      <c r="A262" s="3" t="s">
        <v>6297</v>
      </c>
      <c r="B262" s="4" t="str">
        <f>C262 &amp; ": " &amp; D262</f>
        <v>formula-translates: StepTransitions.HasReachableTarget</v>
      </c>
      <c r="C262" s="3" t="s">
        <v>6104</v>
      </c>
      <c r="D262" s="3" t="s">
        <v>2981</v>
      </c>
      <c r="E262" s="3" t="s">
        <v>1784</v>
      </c>
      <c r="F262" s="3" t="s">
        <v>631</v>
      </c>
      <c r="G262" s="3" t="s">
        <v>6105</v>
      </c>
      <c r="H262" s="3" t="s">
        <v>2027</v>
      </c>
      <c r="I262" s="3" t="s">
        <v>5986</v>
      </c>
      <c r="J262" s="3" t="s">
        <v>5999</v>
      </c>
      <c r="K262" s="4" t="b">
        <f>J262 = "blocking"</f>
        <v>1</v>
      </c>
      <c r="L262" s="3" t="s">
        <v>1448</v>
      </c>
      <c r="M262" s="3" t="s">
        <v>6106</v>
      </c>
      <c r="N262" s="5">
        <v>46223.1297337963</v>
      </c>
      <c r="O262" s="4" t="b">
        <f>L262 = "PASS"</f>
        <v>1</v>
      </c>
      <c r="P262" s="4" t="b">
        <f>L262 = "FAIL"</f>
        <v>0</v>
      </c>
      <c r="Q262" s="4" t="b">
        <f>AND(((P262)=TRUE), ((K262)=TRUE))</f>
        <v>0</v>
      </c>
      <c r="R262" s="4" t="str">
        <f>IF(((O262)=TRUE),  I262,  "")</f>
        <v>suite-substrate</v>
      </c>
      <c r="S262" s="4" t="str">
        <f>IF(((Q262)=TRUE),  I262,  "")</f>
      </c>
      <c r="T262" s="3" t="s">
        <v>6001</v>
      </c>
    </row>
    <row r="263">
      <c r="A263" s="3" t="s">
        <v>6298</v>
      </c>
      <c r="B263" s="4" t="str">
        <f>C263 &amp; ": " &amp; D263</f>
        <v>formula-translates: StepTransitions.IsNeverExercised</v>
      </c>
      <c r="C263" s="3" t="s">
        <v>6104</v>
      </c>
      <c r="D263" s="3" t="s">
        <v>2983</v>
      </c>
      <c r="E263" s="3" t="s">
        <v>1784</v>
      </c>
      <c r="F263" s="3" t="s">
        <v>632</v>
      </c>
      <c r="G263" s="3" t="s">
        <v>6105</v>
      </c>
      <c r="H263" s="3" t="s">
        <v>2027</v>
      </c>
      <c r="I263" s="3" t="s">
        <v>5986</v>
      </c>
      <c r="J263" s="3" t="s">
        <v>5999</v>
      </c>
      <c r="K263" s="4" t="b">
        <f>J263 = "blocking"</f>
        <v>1</v>
      </c>
      <c r="L263" s="3" t="s">
        <v>1448</v>
      </c>
      <c r="M263" s="3" t="s">
        <v>6106</v>
      </c>
      <c r="N263" s="5">
        <v>46223.1297337963</v>
      </c>
      <c r="O263" s="4" t="b">
        <f>L263 = "PASS"</f>
        <v>1</v>
      </c>
      <c r="P263" s="4" t="b">
        <f>L263 = "FAIL"</f>
        <v>0</v>
      </c>
      <c r="Q263" s="4" t="b">
        <f>AND(((P263)=TRUE), ((K263)=TRUE))</f>
        <v>0</v>
      </c>
      <c r="R263" s="4" t="str">
        <f>IF(((O263)=TRUE),  I263,  "")</f>
        <v>suite-substrate</v>
      </c>
      <c r="S263" s="4" t="str">
        <f>IF(((Q263)=TRUE),  I263,  "")</f>
      </c>
      <c r="T263" s="3" t="s">
        <v>6001</v>
      </c>
    </row>
    <row r="264">
      <c r="A264" s="3" t="s">
        <v>6299</v>
      </c>
      <c r="B264" s="4" t="str">
        <f>C264 &amp; ": " &amp; D264</f>
        <v>formula-translates: StepTransitions.IsUntestedRecoveryPath</v>
      </c>
      <c r="C264" s="3" t="s">
        <v>6104</v>
      </c>
      <c r="D264" s="3" t="s">
        <v>2985</v>
      </c>
      <c r="E264" s="3" t="s">
        <v>1784</v>
      </c>
      <c r="F264" s="3" t="s">
        <v>633</v>
      </c>
      <c r="G264" s="3" t="s">
        <v>6105</v>
      </c>
      <c r="H264" s="3" t="s">
        <v>2027</v>
      </c>
      <c r="I264" s="3" t="s">
        <v>5986</v>
      </c>
      <c r="J264" s="3" t="s">
        <v>5999</v>
      </c>
      <c r="K264" s="4" t="b">
        <f>J264 = "blocking"</f>
        <v>1</v>
      </c>
      <c r="L264" s="3" t="s">
        <v>1448</v>
      </c>
      <c r="M264" s="3" t="s">
        <v>6106</v>
      </c>
      <c r="N264" s="5">
        <v>46223.1297337963</v>
      </c>
      <c r="O264" s="4" t="b">
        <f>L264 = "PASS"</f>
        <v>1</v>
      </c>
      <c r="P264" s="4" t="b">
        <f>L264 = "FAIL"</f>
        <v>0</v>
      </c>
      <c r="Q264" s="4" t="b">
        <f>AND(((P264)=TRUE), ((K264)=TRUE))</f>
        <v>0</v>
      </c>
      <c r="R264" s="4" t="str">
        <f>IF(((O264)=TRUE),  I264,  "")</f>
        <v>suite-substrate</v>
      </c>
      <c r="S264" s="4" t="str">
        <f>IF(((Q264)=TRUE),  I264,  "")</f>
      </c>
      <c r="T264" s="3" t="s">
        <v>6001</v>
      </c>
    </row>
    <row r="265">
      <c r="A265" s="3" t="s">
        <v>6300</v>
      </c>
      <c r="B265" s="4" t="str">
        <f>C265 &amp; ": " &amp; D265</f>
        <v>formula-translates: StepTransitions.CountOfObservedTraversals</v>
      </c>
      <c r="C265" s="3" t="s">
        <v>6104</v>
      </c>
      <c r="D265" s="3" t="s">
        <v>2987</v>
      </c>
      <c r="E265" s="3" t="s">
        <v>1784</v>
      </c>
      <c r="F265" s="3" t="s">
        <v>634</v>
      </c>
      <c r="G265" s="3" t="s">
        <v>6105</v>
      </c>
      <c r="H265" s="3" t="s">
        <v>2027</v>
      </c>
      <c r="I265" s="3" t="s">
        <v>5986</v>
      </c>
      <c r="J265" s="3" t="s">
        <v>5999</v>
      </c>
      <c r="K265" s="4" t="b">
        <f>J265 = "blocking"</f>
        <v>1</v>
      </c>
      <c r="L265" s="3" t="s">
        <v>1448</v>
      </c>
      <c r="M265" s="3" t="s">
        <v>6106</v>
      </c>
      <c r="N265" s="5">
        <v>46223.1297337963</v>
      </c>
      <c r="O265" s="4" t="b">
        <f>L265 = "PASS"</f>
        <v>1</v>
      </c>
      <c r="P265" s="4" t="b">
        <f>L265 = "FAIL"</f>
        <v>0</v>
      </c>
      <c r="Q265" s="4" t="b">
        <f>AND(((P265)=TRUE), ((K265)=TRUE))</f>
        <v>0</v>
      </c>
      <c r="R265" s="4" t="str">
        <f>IF(((O265)=TRUE),  I265,  "")</f>
        <v>suite-substrate</v>
      </c>
      <c r="S265" s="4" t="str">
        <f>IF(((Q265)=TRUE),  I265,  "")</f>
      </c>
      <c r="T265" s="3" t="s">
        <v>6001</v>
      </c>
    </row>
    <row r="266">
      <c r="A266" s="3" t="s">
        <v>6301</v>
      </c>
      <c r="B266" s="4" t="str">
        <f>C266 &amp; ": " &amp; D266</f>
        <v>formula-translates: StepTransitions.HasBeenTraversed</v>
      </c>
      <c r="C266" s="3" t="s">
        <v>6104</v>
      </c>
      <c r="D266" s="3" t="s">
        <v>2989</v>
      </c>
      <c r="E266" s="3" t="s">
        <v>1784</v>
      </c>
      <c r="F266" s="3" t="s">
        <v>635</v>
      </c>
      <c r="G266" s="3" t="s">
        <v>6105</v>
      </c>
      <c r="H266" s="3" t="s">
        <v>2027</v>
      </c>
      <c r="I266" s="3" t="s">
        <v>5986</v>
      </c>
      <c r="J266" s="3" t="s">
        <v>5999</v>
      </c>
      <c r="K266" s="4" t="b">
        <f>J266 = "blocking"</f>
        <v>1</v>
      </c>
      <c r="L266" s="3" t="s">
        <v>1448</v>
      </c>
      <c r="M266" s="3" t="s">
        <v>6106</v>
      </c>
      <c r="N266" s="5">
        <v>46223.1297337963</v>
      </c>
      <c r="O266" s="4" t="b">
        <f>L266 = "PASS"</f>
        <v>1</v>
      </c>
      <c r="P266" s="4" t="b">
        <f>L266 = "FAIL"</f>
        <v>0</v>
      </c>
      <c r="Q266" s="4" t="b">
        <f>AND(((P266)=TRUE), ((K266)=TRUE))</f>
        <v>0</v>
      </c>
      <c r="R266" s="4" t="str">
        <f>IF(((O266)=TRUE),  I266,  "")</f>
        <v>suite-substrate</v>
      </c>
      <c r="S266" s="4" t="str">
        <f>IF(((Q266)=TRUE),  I266,  "")</f>
      </c>
      <c r="T266" s="3" t="s">
        <v>6001</v>
      </c>
    </row>
    <row r="267">
      <c r="A267" s="3" t="s">
        <v>6302</v>
      </c>
      <c r="B267" s="4" t="str">
        <f>C267 &amp; ": " &amp; D267</f>
        <v>formula-translates: StepTransitions.IsUnwalkedRecoveryPath</v>
      </c>
      <c r="C267" s="3" t="s">
        <v>6104</v>
      </c>
      <c r="D267" s="3" t="s">
        <v>2991</v>
      </c>
      <c r="E267" s="3" t="s">
        <v>1784</v>
      </c>
      <c r="F267" s="3" t="s">
        <v>636</v>
      </c>
      <c r="G267" s="3" t="s">
        <v>6105</v>
      </c>
      <c r="H267" s="3" t="s">
        <v>2027</v>
      </c>
      <c r="I267" s="3" t="s">
        <v>5986</v>
      </c>
      <c r="J267" s="3" t="s">
        <v>5999</v>
      </c>
      <c r="K267" s="4" t="b">
        <f>J267 = "blocking"</f>
        <v>1</v>
      </c>
      <c r="L267" s="3" t="s">
        <v>1448</v>
      </c>
      <c r="M267" s="3" t="s">
        <v>6106</v>
      </c>
      <c r="N267" s="5">
        <v>46223.1297337963</v>
      </c>
      <c r="O267" s="4" t="b">
        <f>L267 = "PASS"</f>
        <v>1</v>
      </c>
      <c r="P267" s="4" t="b">
        <f>L267 = "FAIL"</f>
        <v>0</v>
      </c>
      <c r="Q267" s="4" t="b">
        <f>AND(((P267)=TRUE), ((K267)=TRUE))</f>
        <v>0</v>
      </c>
      <c r="R267" s="4" t="str">
        <f>IF(((O267)=TRUE),  I267,  "")</f>
        <v>suite-substrate</v>
      </c>
      <c r="S267" s="4" t="str">
        <f>IF(((Q267)=TRUE),  I267,  "")</f>
      </c>
      <c r="T267" s="3" t="s">
        <v>6001</v>
      </c>
    </row>
    <row r="268">
      <c r="A268" s="3" t="s">
        <v>6303</v>
      </c>
      <c r="B268" s="4" t="str">
        <f>C268 &amp; ": " &amp; D268</f>
        <v>formula-translates: StepTransitions.TargetBlockingRequirementCount</v>
      </c>
      <c r="C268" s="3" t="s">
        <v>6104</v>
      </c>
      <c r="D268" s="3" t="s">
        <v>2993</v>
      </c>
      <c r="E268" s="3" t="s">
        <v>1784</v>
      </c>
      <c r="F268" s="3" t="s">
        <v>637</v>
      </c>
      <c r="G268" s="3" t="s">
        <v>6105</v>
      </c>
      <c r="H268" s="3" t="s">
        <v>2239</v>
      </c>
      <c r="I268" s="3" t="s">
        <v>5986</v>
      </c>
      <c r="J268" s="3" t="s">
        <v>5999</v>
      </c>
      <c r="K268" s="4" t="b">
        <f>J268 = "blocking"</f>
        <v>1</v>
      </c>
      <c r="L268" s="3" t="s">
        <v>1448</v>
      </c>
      <c r="M268" s="3" t="s">
        <v>6106</v>
      </c>
      <c r="N268" s="5">
        <v>46223.1297337963</v>
      </c>
      <c r="O268" s="4" t="b">
        <f>L268 = "PASS"</f>
        <v>1</v>
      </c>
      <c r="P268" s="4" t="b">
        <f>L268 = "FAIL"</f>
        <v>0</v>
      </c>
      <c r="Q268" s="4" t="b">
        <f>AND(((P268)=TRUE), ((K268)=TRUE))</f>
        <v>0</v>
      </c>
      <c r="R268" s="4" t="str">
        <f>IF(((O268)=TRUE),  I268,  "")</f>
        <v>suite-substrate</v>
      </c>
      <c r="S268" s="4" t="str">
        <f>IF(((Q268)=TRUE),  I268,  "")</f>
      </c>
      <c r="T268" s="3" t="s">
        <v>6001</v>
      </c>
    </row>
    <row r="269">
      <c r="A269" s="3" t="s">
        <v>6304</v>
      </c>
      <c r="B269" s="4" t="str">
        <f>C269 &amp; ": " &amp; D269</f>
        <v>formula-translates: StepTransitions.TargetCarriesBlockingControl</v>
      </c>
      <c r="C269" s="3" t="s">
        <v>6104</v>
      </c>
      <c r="D269" s="3" t="s">
        <v>2995</v>
      </c>
      <c r="E269" s="3" t="s">
        <v>1784</v>
      </c>
      <c r="F269" s="3" t="s">
        <v>638</v>
      </c>
      <c r="G269" s="3" t="s">
        <v>6105</v>
      </c>
      <c r="H269" s="3" t="s">
        <v>2239</v>
      </c>
      <c r="I269" s="3" t="s">
        <v>5986</v>
      </c>
      <c r="J269" s="3" t="s">
        <v>5999</v>
      </c>
      <c r="K269" s="4" t="b">
        <f>J269 = "blocking"</f>
        <v>1</v>
      </c>
      <c r="L269" s="3" t="s">
        <v>1448</v>
      </c>
      <c r="M269" s="3" t="s">
        <v>6106</v>
      </c>
      <c r="N269" s="5">
        <v>46223.1297337963</v>
      </c>
      <c r="O269" s="4" t="b">
        <f>L269 = "PASS"</f>
        <v>1</v>
      </c>
      <c r="P269" s="4" t="b">
        <f>L269 = "FAIL"</f>
        <v>0</v>
      </c>
      <c r="Q269" s="4" t="b">
        <f>AND(((P269)=TRUE), ((K269)=TRUE))</f>
        <v>0</v>
      </c>
      <c r="R269" s="4" t="str">
        <f>IF(((O269)=TRUE),  I269,  "")</f>
        <v>suite-substrate</v>
      </c>
      <c r="S269" s="4" t="str">
        <f>IF(((Q269)=TRUE),  I269,  "")</f>
      </c>
      <c r="T269" s="3" t="s">
        <v>6001</v>
      </c>
    </row>
    <row r="270">
      <c r="A270" s="3" t="s">
        <v>6305</v>
      </c>
      <c r="B270" s="4" t="str">
        <f>C270 &amp; ": " &amp; D270</f>
        <v>formula-translates: StepTransitions.IsUnrehearsedControlEntry</v>
      </c>
      <c r="C270" s="3" t="s">
        <v>6104</v>
      </c>
      <c r="D270" s="3" t="s">
        <v>2997</v>
      </c>
      <c r="E270" s="3" t="s">
        <v>1784</v>
      </c>
      <c r="F270" s="3" t="s">
        <v>639</v>
      </c>
      <c r="G270" s="3" t="s">
        <v>6105</v>
      </c>
      <c r="H270" s="3" t="s">
        <v>2239</v>
      </c>
      <c r="I270" s="3" t="s">
        <v>5986</v>
      </c>
      <c r="J270" s="3" t="s">
        <v>5999</v>
      </c>
      <c r="K270" s="4" t="b">
        <f>J270 = "blocking"</f>
        <v>1</v>
      </c>
      <c r="L270" s="3" t="s">
        <v>1448</v>
      </c>
      <c r="M270" s="3" t="s">
        <v>6106</v>
      </c>
      <c r="N270" s="5">
        <v>46223.1297337963</v>
      </c>
      <c r="O270" s="4" t="b">
        <f>L270 = "PASS"</f>
        <v>1</v>
      </c>
      <c r="P270" s="4" t="b">
        <f>L270 = "FAIL"</f>
        <v>0</v>
      </c>
      <c r="Q270" s="4" t="b">
        <f>AND(((P270)=TRUE), ((K270)=TRUE))</f>
        <v>0</v>
      </c>
      <c r="R270" s="4" t="str">
        <f>IF(((O270)=TRUE),  I270,  "")</f>
        <v>suite-substrate</v>
      </c>
      <c r="S270" s="4" t="str">
        <f>IF(((Q270)=TRUE),  I270,  "")</f>
      </c>
      <c r="T270" s="3" t="s">
        <v>6001</v>
      </c>
    </row>
    <row r="271">
      <c r="A271" s="3" t="s">
        <v>6306</v>
      </c>
      <c r="B271" s="4" t="str">
        <f>C271 &amp; ": " &amp; D271</f>
        <v>formula-translates: StepTransitions.UnrehearsedControlVersionKey</v>
      </c>
      <c r="C271" s="3" t="s">
        <v>6104</v>
      </c>
      <c r="D271" s="3" t="s">
        <v>2999</v>
      </c>
      <c r="E271" s="3" t="s">
        <v>1784</v>
      </c>
      <c r="F271" s="3" t="s">
        <v>640</v>
      </c>
      <c r="G271" s="3" t="s">
        <v>6105</v>
      </c>
      <c r="H271" s="3" t="s">
        <v>2239</v>
      </c>
      <c r="I271" s="3" t="s">
        <v>5986</v>
      </c>
      <c r="J271" s="3" t="s">
        <v>5999</v>
      </c>
      <c r="K271" s="4" t="b">
        <f>J271 = "blocking"</f>
        <v>1</v>
      </c>
      <c r="L271" s="3" t="s">
        <v>1448</v>
      </c>
      <c r="M271" s="3" t="s">
        <v>6106</v>
      </c>
      <c r="N271" s="5">
        <v>46223.1297337963</v>
      </c>
      <c r="O271" s="4" t="b">
        <f>L271 = "PASS"</f>
        <v>1</v>
      </c>
      <c r="P271" s="4" t="b">
        <f>L271 = "FAIL"</f>
        <v>0</v>
      </c>
      <c r="Q271" s="4" t="b">
        <f>AND(((P271)=TRUE), ((K271)=TRUE))</f>
        <v>0</v>
      </c>
      <c r="R271" s="4" t="str">
        <f>IF(((O271)=TRUE),  I271,  "")</f>
        <v>suite-substrate</v>
      </c>
      <c r="S271" s="4" t="str">
        <f>IF(((Q271)=TRUE),  I271,  "")</f>
      </c>
      <c r="T271" s="3" t="s">
        <v>6001</v>
      </c>
    </row>
    <row r="272">
      <c r="A272" s="3" t="s">
        <v>6307</v>
      </c>
      <c r="B272" s="4" t="str">
        <f>C272 &amp; ": " &amp; D272</f>
        <v>formula-translates: Actions.Name</v>
      </c>
      <c r="C272" s="3" t="s">
        <v>6104</v>
      </c>
      <c r="D272" s="3" t="s">
        <v>3012</v>
      </c>
      <c r="E272" s="3" t="s">
        <v>1796</v>
      </c>
      <c r="F272" s="3" t="s">
        <v>1</v>
      </c>
      <c r="G272" s="3" t="s">
        <v>6105</v>
      </c>
      <c r="H272" s="3"/>
      <c r="I272" s="3" t="s">
        <v>5986</v>
      </c>
      <c r="J272" s="3" t="s">
        <v>5999</v>
      </c>
      <c r="K272" s="4" t="b">
        <f>J272 = "blocking"</f>
        <v>1</v>
      </c>
      <c r="L272" s="3" t="s">
        <v>1448</v>
      </c>
      <c r="M272" s="3" t="s">
        <v>6106</v>
      </c>
      <c r="N272" s="5">
        <v>46223.1297337963</v>
      </c>
      <c r="O272" s="4" t="b">
        <f>L272 = "PASS"</f>
        <v>1</v>
      </c>
      <c r="P272" s="4" t="b">
        <f>L272 = "FAIL"</f>
        <v>0</v>
      </c>
      <c r="Q272" s="4" t="b">
        <f>AND(((P272)=TRUE), ((K272)=TRUE))</f>
        <v>0</v>
      </c>
      <c r="R272" s="4" t="str">
        <f>IF(((O272)=TRUE),  I272,  "")</f>
        <v>suite-substrate</v>
      </c>
      <c r="S272" s="4" t="str">
        <f>IF(((Q272)=TRUE),  I272,  "")</f>
      </c>
      <c r="T272" s="3" t="s">
        <v>6001</v>
      </c>
    </row>
    <row r="273">
      <c r="A273" s="3" t="s">
        <v>6308</v>
      </c>
      <c r="B273" s="4" t="str">
        <f>C273 &amp; ": " &amp; D273</f>
        <v>formula-translates: Functions.Name</v>
      </c>
      <c r="C273" s="3" t="s">
        <v>6104</v>
      </c>
      <c r="D273" s="3" t="s">
        <v>3017</v>
      </c>
      <c r="E273" s="3" t="s">
        <v>1799</v>
      </c>
      <c r="F273" s="3" t="s">
        <v>1</v>
      </c>
      <c r="G273" s="3" t="s">
        <v>6105</v>
      </c>
      <c r="H273" s="3"/>
      <c r="I273" s="3" t="s">
        <v>5986</v>
      </c>
      <c r="J273" s="3" t="s">
        <v>5999</v>
      </c>
      <c r="K273" s="4" t="b">
        <f>J273 = "blocking"</f>
        <v>1</v>
      </c>
      <c r="L273" s="3" t="s">
        <v>1448</v>
      </c>
      <c r="M273" s="3" t="s">
        <v>6106</v>
      </c>
      <c r="N273" s="5">
        <v>46223.1297337963</v>
      </c>
      <c r="O273" s="4" t="b">
        <f>L273 = "PASS"</f>
        <v>1</v>
      </c>
      <c r="P273" s="4" t="b">
        <f>L273 = "FAIL"</f>
        <v>0</v>
      </c>
      <c r="Q273" s="4" t="b">
        <f>AND(((P273)=TRUE), ((K273)=TRUE))</f>
        <v>0</v>
      </c>
      <c r="R273" s="4" t="str">
        <f>IF(((O273)=TRUE),  I273,  "")</f>
        <v>suite-substrate</v>
      </c>
      <c r="S273" s="4" t="str">
        <f>IF(((Q273)=TRUE),  I273,  "")</f>
      </c>
      <c r="T273" s="3" t="s">
        <v>6001</v>
      </c>
    </row>
    <row r="274">
      <c r="A274" s="3" t="s">
        <v>6309</v>
      </c>
      <c r="B274" s="4" t="str">
        <f>C274 &amp; ": " &amp; D274</f>
        <v>formula-translates: Tools.Name</v>
      </c>
      <c r="C274" s="3" t="s">
        <v>6104</v>
      </c>
      <c r="D274" s="3" t="s">
        <v>3023</v>
      </c>
      <c r="E274" s="3" t="s">
        <v>1802</v>
      </c>
      <c r="F274" s="3" t="s">
        <v>1</v>
      </c>
      <c r="G274" s="3" t="s">
        <v>6105</v>
      </c>
      <c r="H274" s="3"/>
      <c r="I274" s="3" t="s">
        <v>5986</v>
      </c>
      <c r="J274" s="3" t="s">
        <v>5999</v>
      </c>
      <c r="K274" s="4" t="b">
        <f>J274 = "blocking"</f>
        <v>1</v>
      </c>
      <c r="L274" s="3" t="s">
        <v>1448</v>
      </c>
      <c r="M274" s="3" t="s">
        <v>6106</v>
      </c>
      <c r="N274" s="5">
        <v>46223.1297337963</v>
      </c>
      <c r="O274" s="4" t="b">
        <f>L274 = "PASS"</f>
        <v>1</v>
      </c>
      <c r="P274" s="4" t="b">
        <f>L274 = "FAIL"</f>
        <v>0</v>
      </c>
      <c r="Q274" s="4" t="b">
        <f>AND(((P274)=TRUE), ((K274)=TRUE))</f>
        <v>0</v>
      </c>
      <c r="R274" s="4" t="str">
        <f>IF(((O274)=TRUE),  I274,  "")</f>
        <v>suite-substrate</v>
      </c>
      <c r="S274" s="4" t="str">
        <f>IF(((Q274)=TRUE),  I274,  "")</f>
      </c>
      <c r="T274" s="3" t="s">
        <v>6001</v>
      </c>
    </row>
    <row r="275">
      <c r="A275" s="3" t="s">
        <v>6310</v>
      </c>
      <c r="B275" s="4" t="str">
        <f>C275 &amp; ": " &amp; D275</f>
        <v>formula-translates: StepActions.Name</v>
      </c>
      <c r="C275" s="3" t="s">
        <v>6104</v>
      </c>
      <c r="D275" s="3" t="s">
        <v>3029</v>
      </c>
      <c r="E275" s="3" t="s">
        <v>3028</v>
      </c>
      <c r="F275" s="3" t="s">
        <v>1</v>
      </c>
      <c r="G275" s="3" t="s">
        <v>6105</v>
      </c>
      <c r="H275" s="3"/>
      <c r="I275" s="3" t="s">
        <v>5986</v>
      </c>
      <c r="J275" s="3" t="s">
        <v>5999</v>
      </c>
      <c r="K275" s="4" t="b">
        <f>J275 = "blocking"</f>
        <v>1</v>
      </c>
      <c r="L275" s="3" t="s">
        <v>1448</v>
      </c>
      <c r="M275" s="3" t="s">
        <v>6106</v>
      </c>
      <c r="N275" s="5">
        <v>46223.1297337963</v>
      </c>
      <c r="O275" s="4" t="b">
        <f>L275 = "PASS"</f>
        <v>1</v>
      </c>
      <c r="P275" s="4" t="b">
        <f>L275 = "FAIL"</f>
        <v>0</v>
      </c>
      <c r="Q275" s="4" t="b">
        <f>AND(((P275)=TRUE), ((K275)=TRUE))</f>
        <v>0</v>
      </c>
      <c r="R275" s="4" t="str">
        <f>IF(((O275)=TRUE),  I275,  "")</f>
        <v>suite-substrate</v>
      </c>
      <c r="S275" s="4" t="str">
        <f>IF(((Q275)=TRUE),  I275,  "")</f>
      </c>
      <c r="T275" s="3" t="s">
        <v>6001</v>
      </c>
    </row>
    <row r="276">
      <c r="A276" s="3" t="s">
        <v>6311</v>
      </c>
      <c r="B276" s="4" t="str">
        <f>C276 &amp; ": " &amp; D276</f>
        <v>formula-translates: StepFunctions.Name</v>
      </c>
      <c r="C276" s="3" t="s">
        <v>6104</v>
      </c>
      <c r="D276" s="3" t="s">
        <v>3035</v>
      </c>
      <c r="E276" s="3" t="s">
        <v>3034</v>
      </c>
      <c r="F276" s="3" t="s">
        <v>1</v>
      </c>
      <c r="G276" s="3" t="s">
        <v>6105</v>
      </c>
      <c r="H276" s="3"/>
      <c r="I276" s="3" t="s">
        <v>5986</v>
      </c>
      <c r="J276" s="3" t="s">
        <v>5999</v>
      </c>
      <c r="K276" s="4" t="b">
        <f>J276 = "blocking"</f>
        <v>1</v>
      </c>
      <c r="L276" s="3" t="s">
        <v>1448</v>
      </c>
      <c r="M276" s="3" t="s">
        <v>6106</v>
      </c>
      <c r="N276" s="5">
        <v>46223.1297337963</v>
      </c>
      <c r="O276" s="4" t="b">
        <f>L276 = "PASS"</f>
        <v>1</v>
      </c>
      <c r="P276" s="4" t="b">
        <f>L276 = "FAIL"</f>
        <v>0</v>
      </c>
      <c r="Q276" s="4" t="b">
        <f>AND(((P276)=TRUE), ((K276)=TRUE))</f>
        <v>0</v>
      </c>
      <c r="R276" s="4" t="str">
        <f>IF(((O276)=TRUE),  I276,  "")</f>
        <v>suite-substrate</v>
      </c>
      <c r="S276" s="4" t="str">
        <f>IF(((Q276)=TRUE),  I276,  "")</f>
      </c>
      <c r="T276" s="3" t="s">
        <v>6001</v>
      </c>
    </row>
    <row r="277">
      <c r="A277" s="3" t="s">
        <v>6312</v>
      </c>
      <c r="B277" s="4" t="str">
        <f>C277 &amp; ": " &amp; D277</f>
        <v>formula-translates: StepTools.Name</v>
      </c>
      <c r="C277" s="3" t="s">
        <v>6104</v>
      </c>
      <c r="D277" s="3" t="s">
        <v>3041</v>
      </c>
      <c r="E277" s="3" t="s">
        <v>3040</v>
      </c>
      <c r="F277" s="3" t="s">
        <v>1</v>
      </c>
      <c r="G277" s="3" t="s">
        <v>6105</v>
      </c>
      <c r="H277" s="3"/>
      <c r="I277" s="3" t="s">
        <v>5986</v>
      </c>
      <c r="J277" s="3" t="s">
        <v>5999</v>
      </c>
      <c r="K277" s="4" t="b">
        <f>J277 = "blocking"</f>
        <v>1</v>
      </c>
      <c r="L277" s="3" t="s">
        <v>1448</v>
      </c>
      <c r="M277" s="3" t="s">
        <v>6106</v>
      </c>
      <c r="N277" s="5">
        <v>46223.1297337963</v>
      </c>
      <c r="O277" s="4" t="b">
        <f>L277 = "PASS"</f>
        <v>1</v>
      </c>
      <c r="P277" s="4" t="b">
        <f>L277 = "FAIL"</f>
        <v>0</v>
      </c>
      <c r="Q277" s="4" t="b">
        <f>AND(((P277)=TRUE), ((K277)=TRUE))</f>
        <v>0</v>
      </c>
      <c r="R277" s="4" t="str">
        <f>IF(((O277)=TRUE),  I277,  "")</f>
        <v>suite-substrate</v>
      </c>
      <c r="S277" s="4" t="str">
        <f>IF(((Q277)=TRUE),  I277,  "")</f>
      </c>
      <c r="T277" s="3" t="s">
        <v>6001</v>
      </c>
    </row>
    <row r="278">
      <c r="A278" s="3" t="s">
        <v>6313</v>
      </c>
      <c r="B278" s="4" t="str">
        <f>C278 &amp; ": " &amp; D278</f>
        <v>formula-translates: Requirements.Name</v>
      </c>
      <c r="C278" s="3" t="s">
        <v>6104</v>
      </c>
      <c r="D278" s="3" t="s">
        <v>3046</v>
      </c>
      <c r="E278" s="3" t="s">
        <v>1805</v>
      </c>
      <c r="F278" s="3" t="s">
        <v>1</v>
      </c>
      <c r="G278" s="3" t="s">
        <v>6105</v>
      </c>
      <c r="H278" s="3"/>
      <c r="I278" s="3" t="s">
        <v>5986</v>
      </c>
      <c r="J278" s="3" t="s">
        <v>5999</v>
      </c>
      <c r="K278" s="4" t="b">
        <f>J278 = "blocking"</f>
        <v>1</v>
      </c>
      <c r="L278" s="3" t="s">
        <v>1448</v>
      </c>
      <c r="M278" s="3" t="s">
        <v>6106</v>
      </c>
      <c r="N278" s="5">
        <v>46223.1297337963</v>
      </c>
      <c r="O278" s="4" t="b">
        <f>L278 = "PASS"</f>
        <v>1</v>
      </c>
      <c r="P278" s="4" t="b">
        <f>L278 = "FAIL"</f>
        <v>0</v>
      </c>
      <c r="Q278" s="4" t="b">
        <f>AND(((P278)=TRUE), ((K278)=TRUE))</f>
        <v>0</v>
      </c>
      <c r="R278" s="4" t="str">
        <f>IF(((O278)=TRUE),  I278,  "")</f>
        <v>suite-substrate</v>
      </c>
      <c r="S278" s="4" t="str">
        <f>IF(((Q278)=TRUE),  I278,  "")</f>
      </c>
      <c r="T278" s="3" t="s">
        <v>6001</v>
      </c>
    </row>
    <row r="279">
      <c r="A279" s="3" t="s">
        <v>6314</v>
      </c>
      <c r="B279" s="4" t="str">
        <f>C279 &amp; ": " &amp; D279</f>
        <v>formula-translates: Requirements.SatisfactionRecordCount</v>
      </c>
      <c r="C279" s="3" t="s">
        <v>6104</v>
      </c>
      <c r="D279" s="3" t="s">
        <v>3052</v>
      </c>
      <c r="E279" s="3" t="s">
        <v>1805</v>
      </c>
      <c r="F279" s="3" t="s">
        <v>804</v>
      </c>
      <c r="G279" s="3" t="s">
        <v>6105</v>
      </c>
      <c r="H279" s="3" t="s">
        <v>1987</v>
      </c>
      <c r="I279" s="3" t="s">
        <v>5986</v>
      </c>
      <c r="J279" s="3" t="s">
        <v>5999</v>
      </c>
      <c r="K279" s="4" t="b">
        <f>J279 = "blocking"</f>
        <v>1</v>
      </c>
      <c r="L279" s="3" t="s">
        <v>1448</v>
      </c>
      <c r="M279" s="3" t="s">
        <v>6106</v>
      </c>
      <c r="N279" s="5">
        <v>46223.1297337963</v>
      </c>
      <c r="O279" s="4" t="b">
        <f>L279 = "PASS"</f>
        <v>1</v>
      </c>
      <c r="P279" s="4" t="b">
        <f>L279 = "FAIL"</f>
        <v>0</v>
      </c>
      <c r="Q279" s="4" t="b">
        <f>AND(((P279)=TRUE), ((K279)=TRUE))</f>
        <v>0</v>
      </c>
      <c r="R279" s="4" t="str">
        <f>IF(((O279)=TRUE),  I279,  "")</f>
        <v>suite-substrate</v>
      </c>
      <c r="S279" s="4" t="str">
        <f>IF(((Q279)=TRUE),  I279,  "")</f>
      </c>
      <c r="T279" s="3" t="s">
        <v>6001</v>
      </c>
    </row>
    <row r="280">
      <c r="A280" s="3" t="s">
        <v>6315</v>
      </c>
      <c r="B280" s="4" t="str">
        <f>C280 &amp; ": " &amp; D280</f>
        <v>formula-translates: Requirements.StepBindingCount</v>
      </c>
      <c r="C280" s="3" t="s">
        <v>6104</v>
      </c>
      <c r="D280" s="3" t="s">
        <v>3054</v>
      </c>
      <c r="E280" s="3" t="s">
        <v>1805</v>
      </c>
      <c r="F280" s="3" t="s">
        <v>805</v>
      </c>
      <c r="G280" s="3" t="s">
        <v>6105</v>
      </c>
      <c r="H280" s="3" t="s">
        <v>1987</v>
      </c>
      <c r="I280" s="3" t="s">
        <v>5986</v>
      </c>
      <c r="J280" s="3" t="s">
        <v>5999</v>
      </c>
      <c r="K280" s="4" t="b">
        <f>J280 = "blocking"</f>
        <v>1</v>
      </c>
      <c r="L280" s="3" t="s">
        <v>1448</v>
      </c>
      <c r="M280" s="3" t="s">
        <v>6106</v>
      </c>
      <c r="N280" s="5">
        <v>46223.1297337963</v>
      </c>
      <c r="O280" s="4" t="b">
        <f>L280 = "PASS"</f>
        <v>1</v>
      </c>
      <c r="P280" s="4" t="b">
        <f>L280 = "FAIL"</f>
        <v>0</v>
      </c>
      <c r="Q280" s="4" t="b">
        <f>AND(((P280)=TRUE), ((K280)=TRUE))</f>
        <v>0</v>
      </c>
      <c r="R280" s="4" t="str">
        <f>IF(((O280)=TRUE),  I280,  "")</f>
        <v>suite-substrate</v>
      </c>
      <c r="S280" s="4" t="str">
        <f>IF(((Q280)=TRUE),  I280,  "")</f>
      </c>
      <c r="T280" s="3" t="s">
        <v>6001</v>
      </c>
    </row>
    <row r="281">
      <c r="A281" s="3" t="s">
        <v>6316</v>
      </c>
      <c r="B281" s="4" t="str">
        <f>C281 &amp; ": " &amp; D281</f>
        <v>formula-translates: Requirements.IsBoundToAnyStep</v>
      </c>
      <c r="C281" s="3" t="s">
        <v>6104</v>
      </c>
      <c r="D281" s="3" t="s">
        <v>3056</v>
      </c>
      <c r="E281" s="3" t="s">
        <v>1805</v>
      </c>
      <c r="F281" s="3" t="s">
        <v>806</v>
      </c>
      <c r="G281" s="3" t="s">
        <v>6105</v>
      </c>
      <c r="H281" s="3" t="s">
        <v>1987</v>
      </c>
      <c r="I281" s="3" t="s">
        <v>5986</v>
      </c>
      <c r="J281" s="3" t="s">
        <v>5999</v>
      </c>
      <c r="K281" s="4" t="b">
        <f>J281 = "blocking"</f>
        <v>1</v>
      </c>
      <c r="L281" s="3" t="s">
        <v>1448</v>
      </c>
      <c r="M281" s="3" t="s">
        <v>6106</v>
      </c>
      <c r="N281" s="5">
        <v>46223.1297337963</v>
      </c>
      <c r="O281" s="4" t="b">
        <f>L281 = "PASS"</f>
        <v>1</v>
      </c>
      <c r="P281" s="4" t="b">
        <f>L281 = "FAIL"</f>
        <v>0</v>
      </c>
      <c r="Q281" s="4" t="b">
        <f>AND(((P281)=TRUE), ((K281)=TRUE))</f>
        <v>0</v>
      </c>
      <c r="R281" s="4" t="str">
        <f>IF(((O281)=TRUE),  I281,  "")</f>
        <v>suite-substrate</v>
      </c>
      <c r="S281" s="4" t="str">
        <f>IF(((Q281)=TRUE),  I281,  "")</f>
      </c>
      <c r="T281" s="3" t="s">
        <v>6001</v>
      </c>
    </row>
    <row r="282">
      <c r="A282" s="3" t="s">
        <v>6317</v>
      </c>
      <c r="B282" s="4" t="str">
        <f>C282 &amp; ": " &amp; D282</f>
        <v>formula-translates: Requirements.HasEverBeenEvaluated</v>
      </c>
      <c r="C282" s="3" t="s">
        <v>6104</v>
      </c>
      <c r="D282" s="3" t="s">
        <v>3058</v>
      </c>
      <c r="E282" s="3" t="s">
        <v>1805</v>
      </c>
      <c r="F282" s="3" t="s">
        <v>807</v>
      </c>
      <c r="G282" s="3" t="s">
        <v>6105</v>
      </c>
      <c r="H282" s="3" t="s">
        <v>1987</v>
      </c>
      <c r="I282" s="3" t="s">
        <v>5986</v>
      </c>
      <c r="J282" s="3" t="s">
        <v>5999</v>
      </c>
      <c r="K282" s="4" t="b">
        <f>J282 = "blocking"</f>
        <v>1</v>
      </c>
      <c r="L282" s="3" t="s">
        <v>1448</v>
      </c>
      <c r="M282" s="3" t="s">
        <v>6106</v>
      </c>
      <c r="N282" s="5">
        <v>46223.1297337963</v>
      </c>
      <c r="O282" s="4" t="b">
        <f>L282 = "PASS"</f>
        <v>1</v>
      </c>
      <c r="P282" s="4" t="b">
        <f>L282 = "FAIL"</f>
        <v>0</v>
      </c>
      <c r="Q282" s="4" t="b">
        <f>AND(((P282)=TRUE), ((K282)=TRUE))</f>
        <v>0</v>
      </c>
      <c r="R282" s="4" t="str">
        <f>IF(((O282)=TRUE),  I282,  "")</f>
        <v>suite-substrate</v>
      </c>
      <c r="S282" s="4" t="str">
        <f>IF(((Q282)=TRUE),  I282,  "")</f>
      </c>
      <c r="T282" s="3" t="s">
        <v>6001</v>
      </c>
    </row>
    <row r="283">
      <c r="A283" s="3" t="s">
        <v>6318</v>
      </c>
      <c r="B283" s="4" t="str">
        <f>C283 &amp; ": " &amp; D283</f>
        <v>formula-translates: Requirements.NegativeOutcomeCount</v>
      </c>
      <c r="C283" s="3" t="s">
        <v>6104</v>
      </c>
      <c r="D283" s="3" t="s">
        <v>3060</v>
      </c>
      <c r="E283" s="3" t="s">
        <v>1805</v>
      </c>
      <c r="F283" s="3" t="s">
        <v>808</v>
      </c>
      <c r="G283" s="3" t="s">
        <v>6105</v>
      </c>
      <c r="H283" s="3" t="s">
        <v>1987</v>
      </c>
      <c r="I283" s="3" t="s">
        <v>5986</v>
      </c>
      <c r="J283" s="3" t="s">
        <v>5999</v>
      </c>
      <c r="K283" s="4" t="b">
        <f>J283 = "blocking"</f>
        <v>1</v>
      </c>
      <c r="L283" s="3" t="s">
        <v>1448</v>
      </c>
      <c r="M283" s="3" t="s">
        <v>6106</v>
      </c>
      <c r="N283" s="5">
        <v>46223.1297337963</v>
      </c>
      <c r="O283" s="4" t="b">
        <f>L283 = "PASS"</f>
        <v>1</v>
      </c>
      <c r="P283" s="4" t="b">
        <f>L283 = "FAIL"</f>
        <v>0</v>
      </c>
      <c r="Q283" s="4" t="b">
        <f>AND(((P283)=TRUE), ((K283)=TRUE))</f>
        <v>0</v>
      </c>
      <c r="R283" s="4" t="str">
        <f>IF(((O283)=TRUE),  I283,  "")</f>
        <v>suite-substrate</v>
      </c>
      <c r="S283" s="4" t="str">
        <f>IF(((Q283)=TRUE),  I283,  "")</f>
      </c>
      <c r="T283" s="3" t="s">
        <v>6001</v>
      </c>
    </row>
    <row r="284">
      <c r="A284" s="3" t="s">
        <v>6319</v>
      </c>
      <c r="B284" s="4" t="str">
        <f>C284 &amp; ": " &amp; D284</f>
        <v>formula-translates: Requirements.IsInoperativeControl</v>
      </c>
      <c r="C284" s="3" t="s">
        <v>6104</v>
      </c>
      <c r="D284" s="3" t="s">
        <v>3062</v>
      </c>
      <c r="E284" s="3" t="s">
        <v>1805</v>
      </c>
      <c r="F284" s="3" t="s">
        <v>809</v>
      </c>
      <c r="G284" s="3" t="s">
        <v>6105</v>
      </c>
      <c r="H284" s="3" t="s">
        <v>1987</v>
      </c>
      <c r="I284" s="3" t="s">
        <v>5986</v>
      </c>
      <c r="J284" s="3" t="s">
        <v>5999</v>
      </c>
      <c r="K284" s="4" t="b">
        <f>J284 = "blocking"</f>
        <v>1</v>
      </c>
      <c r="L284" s="3" t="s">
        <v>1448</v>
      </c>
      <c r="M284" s="3" t="s">
        <v>6106</v>
      </c>
      <c r="N284" s="5">
        <v>46223.1297337963</v>
      </c>
      <c r="O284" s="4" t="b">
        <f>L284 = "PASS"</f>
        <v>1</v>
      </c>
      <c r="P284" s="4" t="b">
        <f>L284 = "FAIL"</f>
        <v>0</v>
      </c>
      <c r="Q284" s="4" t="b">
        <f>AND(((P284)=TRUE), ((K284)=TRUE))</f>
        <v>0</v>
      </c>
      <c r="R284" s="4" t="str">
        <f>IF(((O284)=TRUE),  I284,  "")</f>
        <v>suite-substrate</v>
      </c>
      <c r="S284" s="4" t="str">
        <f>IF(((Q284)=TRUE),  I284,  "")</f>
      </c>
      <c r="T284" s="3" t="s">
        <v>6001</v>
      </c>
    </row>
    <row r="285">
      <c r="A285" s="3" t="s">
        <v>6320</v>
      </c>
      <c r="B285" s="4" t="str">
        <f>C285 &amp; ": " &amp; D285</f>
        <v>formula-translates: Requirements.IsDecorativeControl</v>
      </c>
      <c r="C285" s="3" t="s">
        <v>6104</v>
      </c>
      <c r="D285" s="3" t="s">
        <v>3064</v>
      </c>
      <c r="E285" s="3" t="s">
        <v>1805</v>
      </c>
      <c r="F285" s="3" t="s">
        <v>810</v>
      </c>
      <c r="G285" s="3" t="s">
        <v>6105</v>
      </c>
      <c r="H285" s="3" t="s">
        <v>1987</v>
      </c>
      <c r="I285" s="3" t="s">
        <v>5986</v>
      </c>
      <c r="J285" s="3" t="s">
        <v>5999</v>
      </c>
      <c r="K285" s="4" t="b">
        <f>J285 = "blocking"</f>
        <v>1</v>
      </c>
      <c r="L285" s="3" t="s">
        <v>1448</v>
      </c>
      <c r="M285" s="3" t="s">
        <v>6106</v>
      </c>
      <c r="N285" s="5">
        <v>46223.1297337963</v>
      </c>
      <c r="O285" s="4" t="b">
        <f>L285 = "PASS"</f>
        <v>1</v>
      </c>
      <c r="P285" s="4" t="b">
        <f>L285 = "FAIL"</f>
        <v>0</v>
      </c>
      <c r="Q285" s="4" t="b">
        <f>AND(((P285)=TRUE), ((K285)=TRUE))</f>
        <v>0</v>
      </c>
      <c r="R285" s="4" t="str">
        <f>IF(((O285)=TRUE),  I285,  "")</f>
        <v>suite-substrate</v>
      </c>
      <c r="S285" s="4" t="str">
        <f>IF(((Q285)=TRUE),  I285,  "")</f>
      </c>
      <c r="T285" s="3" t="s">
        <v>6001</v>
      </c>
    </row>
    <row r="286">
      <c r="A286" s="3" t="s">
        <v>6321</v>
      </c>
      <c r="B286" s="4" t="str">
        <f>C286 &amp; ": " &amp; D286</f>
        <v>formula-translates: Requirements.HasEverProducedNegative</v>
      </c>
      <c r="C286" s="3" t="s">
        <v>6104</v>
      </c>
      <c r="D286" s="3" t="s">
        <v>3068</v>
      </c>
      <c r="E286" s="3" t="s">
        <v>1805</v>
      </c>
      <c r="F286" s="3" t="s">
        <v>813</v>
      </c>
      <c r="G286" s="3" t="s">
        <v>6105</v>
      </c>
      <c r="H286" s="3" t="s">
        <v>2259</v>
      </c>
      <c r="I286" s="3" t="s">
        <v>5986</v>
      </c>
      <c r="J286" s="3" t="s">
        <v>5999</v>
      </c>
      <c r="K286" s="4" t="b">
        <f>J286 = "blocking"</f>
        <v>1</v>
      </c>
      <c r="L286" s="3" t="s">
        <v>1448</v>
      </c>
      <c r="M286" s="3" t="s">
        <v>6106</v>
      </c>
      <c r="N286" s="5">
        <v>46223.1297337963</v>
      </c>
      <c r="O286" s="4" t="b">
        <f>L286 = "PASS"</f>
        <v>1</v>
      </c>
      <c r="P286" s="4" t="b">
        <f>L286 = "FAIL"</f>
        <v>0</v>
      </c>
      <c r="Q286" s="4" t="b">
        <f>AND(((P286)=TRUE), ((K286)=TRUE))</f>
        <v>0</v>
      </c>
      <c r="R286" s="4" t="str">
        <f>IF(((O286)=TRUE),  I286,  "")</f>
        <v>suite-substrate</v>
      </c>
      <c r="S286" s="4" t="str">
        <f>IF(((Q286)=TRUE),  I286,  "")</f>
      </c>
      <c r="T286" s="3" t="s">
        <v>6001</v>
      </c>
    </row>
    <row r="287">
      <c r="A287" s="3" t="s">
        <v>6322</v>
      </c>
      <c r="B287" s="4" t="str">
        <f>C287 &amp; ": " &amp; D287</f>
        <v>formula-translates: Requirements.IsUnfalsifiedControl</v>
      </c>
      <c r="C287" s="3" t="s">
        <v>6104</v>
      </c>
      <c r="D287" s="3" t="s">
        <v>3070</v>
      </c>
      <c r="E287" s="3" t="s">
        <v>1805</v>
      </c>
      <c r="F287" s="3" t="s">
        <v>814</v>
      </c>
      <c r="G287" s="3" t="s">
        <v>6105</v>
      </c>
      <c r="H287" s="3" t="s">
        <v>2259</v>
      </c>
      <c r="I287" s="3" t="s">
        <v>5986</v>
      </c>
      <c r="J287" s="3" t="s">
        <v>5999</v>
      </c>
      <c r="K287" s="4" t="b">
        <f>J287 = "blocking"</f>
        <v>1</v>
      </c>
      <c r="L287" s="3" t="s">
        <v>1448</v>
      </c>
      <c r="M287" s="3" t="s">
        <v>6106</v>
      </c>
      <c r="N287" s="5">
        <v>46223.1297337963</v>
      </c>
      <c r="O287" s="4" t="b">
        <f>L287 = "PASS"</f>
        <v>1</v>
      </c>
      <c r="P287" s="4" t="b">
        <f>L287 = "FAIL"</f>
        <v>0</v>
      </c>
      <c r="Q287" s="4" t="b">
        <f>AND(((P287)=TRUE), ((K287)=TRUE))</f>
        <v>0</v>
      </c>
      <c r="R287" s="4" t="str">
        <f>IF(((O287)=TRUE),  I287,  "")</f>
        <v>suite-substrate</v>
      </c>
      <c r="S287" s="4" t="str">
        <f>IF(((Q287)=TRUE),  I287,  "")</f>
      </c>
      <c r="T287" s="3" t="s">
        <v>6001</v>
      </c>
    </row>
    <row r="288">
      <c r="A288" s="3" t="s">
        <v>6323</v>
      </c>
      <c r="B288" s="4" t="str">
        <f>C288 &amp; ": " &amp; D288</f>
        <v>formula-translates: Requirements.ClaimsAWitnessField</v>
      </c>
      <c r="C288" s="3" t="s">
        <v>6104</v>
      </c>
      <c r="D288" s="3" t="s">
        <v>3072</v>
      </c>
      <c r="E288" s="3" t="s">
        <v>1805</v>
      </c>
      <c r="F288" s="3" t="s">
        <v>815</v>
      </c>
      <c r="G288" s="3" t="s">
        <v>6105</v>
      </c>
      <c r="H288" s="3" t="s">
        <v>2267</v>
      </c>
      <c r="I288" s="3" t="s">
        <v>5986</v>
      </c>
      <c r="J288" s="3" t="s">
        <v>5999</v>
      </c>
      <c r="K288" s="4" t="b">
        <f>J288 = "blocking"</f>
        <v>1</v>
      </c>
      <c r="L288" s="3" t="s">
        <v>1448</v>
      </c>
      <c r="M288" s="3" t="s">
        <v>6106</v>
      </c>
      <c r="N288" s="5">
        <v>46223.1297337963</v>
      </c>
      <c r="O288" s="4" t="b">
        <f>L288 = "PASS"</f>
        <v>1</v>
      </c>
      <c r="P288" s="4" t="b">
        <f>L288 = "FAIL"</f>
        <v>0</v>
      </c>
      <c r="Q288" s="4" t="b">
        <f>AND(((P288)=TRUE), ((K288)=TRUE))</f>
        <v>0</v>
      </c>
      <c r="R288" s="4" t="str">
        <f>IF(((O288)=TRUE),  I288,  "")</f>
        <v>suite-substrate</v>
      </c>
      <c r="S288" s="4" t="str">
        <f>IF(((Q288)=TRUE),  I288,  "")</f>
      </c>
      <c r="T288" s="3" t="s">
        <v>6001</v>
      </c>
    </row>
    <row r="289">
      <c r="A289" s="3" t="s">
        <v>6324</v>
      </c>
      <c r="B289" s="4" t="str">
        <f>C289 &amp; ": " &amp; D289</f>
        <v>formula-translates: Requirements.NamedWitnessFieldExists</v>
      </c>
      <c r="C289" s="3" t="s">
        <v>6104</v>
      </c>
      <c r="D289" s="3" t="s">
        <v>3074</v>
      </c>
      <c r="E289" s="3" t="s">
        <v>1805</v>
      </c>
      <c r="F289" s="3" t="s">
        <v>816</v>
      </c>
      <c r="G289" s="3" t="s">
        <v>6105</v>
      </c>
      <c r="H289" s="3" t="s">
        <v>2267</v>
      </c>
      <c r="I289" s="3" t="s">
        <v>5986</v>
      </c>
      <c r="J289" s="3" t="s">
        <v>5999</v>
      </c>
      <c r="K289" s="4" t="b">
        <f>J289 = "blocking"</f>
        <v>1</v>
      </c>
      <c r="L289" s="3" t="s">
        <v>1448</v>
      </c>
      <c r="M289" s="3" t="s">
        <v>6106</v>
      </c>
      <c r="N289" s="5">
        <v>46223.1297337963</v>
      </c>
      <c r="O289" s="4" t="b">
        <f>L289 = "PASS"</f>
        <v>1</v>
      </c>
      <c r="P289" s="4" t="b">
        <f>L289 = "FAIL"</f>
        <v>0</v>
      </c>
      <c r="Q289" s="4" t="b">
        <f>AND(((P289)=TRUE), ((K289)=TRUE))</f>
        <v>0</v>
      </c>
      <c r="R289" s="4" t="str">
        <f>IF(((O289)=TRUE),  I289,  "")</f>
        <v>suite-substrate</v>
      </c>
      <c r="S289" s="4" t="str">
        <f>IF(((Q289)=TRUE),  I289,  "")</f>
      </c>
      <c r="T289" s="3" t="s">
        <v>6001</v>
      </c>
    </row>
    <row r="290">
      <c r="A290" s="3" t="s">
        <v>6325</v>
      </c>
      <c r="B290" s="4" t="str">
        <f>C290 &amp; ": " &amp; D290</f>
        <v>formula-translates: Requirements.DerivedHasComputedWitness</v>
      </c>
      <c r="C290" s="3" t="s">
        <v>6104</v>
      </c>
      <c r="D290" s="3" t="s">
        <v>3076</v>
      </c>
      <c r="E290" s="3" t="s">
        <v>1805</v>
      </c>
      <c r="F290" s="3" t="s">
        <v>817</v>
      </c>
      <c r="G290" s="3" t="s">
        <v>6105</v>
      </c>
      <c r="H290" s="3" t="s">
        <v>2267</v>
      </c>
      <c r="I290" s="3" t="s">
        <v>5986</v>
      </c>
      <c r="J290" s="3" t="s">
        <v>5999</v>
      </c>
      <c r="K290" s="4" t="b">
        <f>J290 = "blocking"</f>
        <v>1</v>
      </c>
      <c r="L290" s="3" t="s">
        <v>1448</v>
      </c>
      <c r="M290" s="3" t="s">
        <v>6106</v>
      </c>
      <c r="N290" s="5">
        <v>46223.1297337963</v>
      </c>
      <c r="O290" s="4" t="b">
        <f>L290 = "PASS"</f>
        <v>1</v>
      </c>
      <c r="P290" s="4" t="b">
        <f>L290 = "FAIL"</f>
        <v>0</v>
      </c>
      <c r="Q290" s="4" t="b">
        <f>AND(((P290)=TRUE), ((K290)=TRUE))</f>
        <v>0</v>
      </c>
      <c r="R290" s="4" t="str">
        <f>IF(((O290)=TRUE),  I290,  "")</f>
        <v>suite-substrate</v>
      </c>
      <c r="S290" s="4" t="str">
        <f>IF(((Q290)=TRUE),  I290,  "")</f>
      </c>
      <c r="T290" s="3" t="s">
        <v>6001</v>
      </c>
    </row>
    <row r="291">
      <c r="A291" s="3" t="s">
        <v>6326</v>
      </c>
      <c r="B291" s="4" t="str">
        <f>C291 &amp; ": " &amp; D291</f>
        <v>formula-translates: Requirements.WitnessClaimIsUnverified</v>
      </c>
      <c r="C291" s="3" t="s">
        <v>6104</v>
      </c>
      <c r="D291" s="3" t="s">
        <v>3078</v>
      </c>
      <c r="E291" s="3" t="s">
        <v>1805</v>
      </c>
      <c r="F291" s="3" t="s">
        <v>818</v>
      </c>
      <c r="G291" s="3" t="s">
        <v>6105</v>
      </c>
      <c r="H291" s="3" t="s">
        <v>2267</v>
      </c>
      <c r="I291" s="3" t="s">
        <v>5986</v>
      </c>
      <c r="J291" s="3" t="s">
        <v>5999</v>
      </c>
      <c r="K291" s="4" t="b">
        <f>J291 = "blocking"</f>
        <v>1</v>
      </c>
      <c r="L291" s="3" t="s">
        <v>1448</v>
      </c>
      <c r="M291" s="3" t="s">
        <v>6106</v>
      </c>
      <c r="N291" s="5">
        <v>46223.1297337963</v>
      </c>
      <c r="O291" s="4" t="b">
        <f>L291 = "PASS"</f>
        <v>1</v>
      </c>
      <c r="P291" s="4" t="b">
        <f>L291 = "FAIL"</f>
        <v>0</v>
      </c>
      <c r="Q291" s="4" t="b">
        <f>AND(((P291)=TRUE), ((K291)=TRUE))</f>
        <v>0</v>
      </c>
      <c r="R291" s="4" t="str">
        <f>IF(((O291)=TRUE),  I291,  "")</f>
        <v>suite-substrate</v>
      </c>
      <c r="S291" s="4" t="str">
        <f>IF(((Q291)=TRUE),  I291,  "")</f>
      </c>
      <c r="T291" s="3" t="s">
        <v>6001</v>
      </c>
    </row>
    <row r="292">
      <c r="A292" s="3" t="s">
        <v>6327</v>
      </c>
      <c r="B292" s="4" t="str">
        <f>C292 &amp; ": " &amp; D292</f>
        <v>formula-translates: Requirements.IsUnwitnessedBlockingControl</v>
      </c>
      <c r="C292" s="3" t="s">
        <v>6104</v>
      </c>
      <c r="D292" s="3" t="s">
        <v>3080</v>
      </c>
      <c r="E292" s="3" t="s">
        <v>1805</v>
      </c>
      <c r="F292" s="3" t="s">
        <v>819</v>
      </c>
      <c r="G292" s="3" t="s">
        <v>6105</v>
      </c>
      <c r="H292" s="3" t="s">
        <v>2267</v>
      </c>
      <c r="I292" s="3" t="s">
        <v>5986</v>
      </c>
      <c r="J292" s="3" t="s">
        <v>5999</v>
      </c>
      <c r="K292" s="4" t="b">
        <f>J292 = "blocking"</f>
        <v>1</v>
      </c>
      <c r="L292" s="3" t="s">
        <v>1448</v>
      </c>
      <c r="M292" s="3" t="s">
        <v>6106</v>
      </c>
      <c r="N292" s="5">
        <v>46223.1297337963</v>
      </c>
      <c r="O292" s="4" t="b">
        <f>L292 = "PASS"</f>
        <v>1</v>
      </c>
      <c r="P292" s="4" t="b">
        <f>L292 = "FAIL"</f>
        <v>0</v>
      </c>
      <c r="Q292" s="4" t="b">
        <f>AND(((P292)=TRUE), ((K292)=TRUE))</f>
        <v>0</v>
      </c>
      <c r="R292" s="4" t="str">
        <f>IF(((O292)=TRUE),  I292,  "")</f>
        <v>suite-substrate</v>
      </c>
      <c r="S292" s="4" t="str">
        <f>IF(((Q292)=TRUE),  I292,  "")</f>
      </c>
      <c r="T292" s="3" t="s">
        <v>6001</v>
      </c>
    </row>
    <row r="293">
      <c r="A293" s="3" t="s">
        <v>6328</v>
      </c>
      <c r="B293" s="4" t="str">
        <f>C293 &amp; ": " &amp; D293</f>
        <v>formula-translates: Requirements.WitnessFireCount</v>
      </c>
      <c r="C293" s="3" t="s">
        <v>6104</v>
      </c>
      <c r="D293" s="3" t="s">
        <v>3082</v>
      </c>
      <c r="E293" s="3" t="s">
        <v>1805</v>
      </c>
      <c r="F293" s="3" t="s">
        <v>820</v>
      </c>
      <c r="G293" s="3" t="s">
        <v>6105</v>
      </c>
      <c r="H293" s="3" t="s">
        <v>2279</v>
      </c>
      <c r="I293" s="3" t="s">
        <v>5986</v>
      </c>
      <c r="J293" s="3" t="s">
        <v>5999</v>
      </c>
      <c r="K293" s="4" t="b">
        <f>J293 = "blocking"</f>
        <v>1</v>
      </c>
      <c r="L293" s="3" t="s">
        <v>1448</v>
      </c>
      <c r="M293" s="3" t="s">
        <v>6106</v>
      </c>
      <c r="N293" s="5">
        <v>46223.1297337963</v>
      </c>
      <c r="O293" s="4" t="b">
        <f>L293 = "PASS"</f>
        <v>1</v>
      </c>
      <c r="P293" s="4" t="b">
        <f>L293 = "FAIL"</f>
        <v>0</v>
      </c>
      <c r="Q293" s="4" t="b">
        <f>AND(((P293)=TRUE), ((K293)=TRUE))</f>
        <v>0</v>
      </c>
      <c r="R293" s="4" t="str">
        <f>IF(((O293)=TRUE),  I293,  "")</f>
        <v>suite-substrate</v>
      </c>
      <c r="S293" s="4" t="str">
        <f>IF(((Q293)=TRUE),  I293,  "")</f>
      </c>
      <c r="T293" s="3" t="s">
        <v>6001</v>
      </c>
    </row>
    <row r="294">
      <c r="A294" s="3" t="s">
        <v>6329</v>
      </c>
      <c r="B294" s="4" t="str">
        <f>C294 &amp; ": " &amp; D294</f>
        <v>formula-translates: Requirements.WitnessHasNeverFired</v>
      </c>
      <c r="C294" s="3" t="s">
        <v>6104</v>
      </c>
      <c r="D294" s="3" t="s">
        <v>3084</v>
      </c>
      <c r="E294" s="3" t="s">
        <v>1805</v>
      </c>
      <c r="F294" s="3" t="s">
        <v>821</v>
      </c>
      <c r="G294" s="3" t="s">
        <v>6105</v>
      </c>
      <c r="H294" s="3" t="s">
        <v>2279</v>
      </c>
      <c r="I294" s="3" t="s">
        <v>5986</v>
      </c>
      <c r="J294" s="3" t="s">
        <v>5999</v>
      </c>
      <c r="K294" s="4" t="b">
        <f>J294 = "blocking"</f>
        <v>1</v>
      </c>
      <c r="L294" s="3" t="s">
        <v>1448</v>
      </c>
      <c r="M294" s="3" t="s">
        <v>6106</v>
      </c>
      <c r="N294" s="5">
        <v>46223.1297337963</v>
      </c>
      <c r="O294" s="4" t="b">
        <f>L294 = "PASS"</f>
        <v>1</v>
      </c>
      <c r="P294" s="4" t="b">
        <f>L294 = "FAIL"</f>
        <v>0</v>
      </c>
      <c r="Q294" s="4" t="b">
        <f>AND(((P294)=TRUE), ((K294)=TRUE))</f>
        <v>0</v>
      </c>
      <c r="R294" s="4" t="str">
        <f>IF(((O294)=TRUE),  I294,  "")</f>
        <v>suite-substrate</v>
      </c>
      <c r="S294" s="4" t="str">
        <f>IF(((Q294)=TRUE),  I294,  "")</f>
      </c>
      <c r="T294" s="3" t="s">
        <v>6001</v>
      </c>
    </row>
    <row r="295">
      <c r="A295" s="3" t="s">
        <v>6330</v>
      </c>
      <c r="B295" s="4" t="str">
        <f>C295 &amp; ": " &amp; D295</f>
        <v>formula-translates: Requirements.EvaluationSampleSize</v>
      </c>
      <c r="C295" s="3" t="s">
        <v>6104</v>
      </c>
      <c r="D295" s="3" t="s">
        <v>3086</v>
      </c>
      <c r="E295" s="3" t="s">
        <v>1805</v>
      </c>
      <c r="F295" s="3" t="s">
        <v>822</v>
      </c>
      <c r="G295" s="3" t="s">
        <v>6105</v>
      </c>
      <c r="H295" s="3" t="s">
        <v>2279</v>
      </c>
      <c r="I295" s="3" t="s">
        <v>5986</v>
      </c>
      <c r="J295" s="3" t="s">
        <v>5999</v>
      </c>
      <c r="K295" s="4" t="b">
        <f>J295 = "blocking"</f>
        <v>1</v>
      </c>
      <c r="L295" s="3" t="s">
        <v>1448</v>
      </c>
      <c r="M295" s="3" t="s">
        <v>6106</v>
      </c>
      <c r="N295" s="5">
        <v>46223.1297337963</v>
      </c>
      <c r="O295" s="4" t="b">
        <f>L295 = "PASS"</f>
        <v>1</v>
      </c>
      <c r="P295" s="4" t="b">
        <f>L295 = "FAIL"</f>
        <v>0</v>
      </c>
      <c r="Q295" s="4" t="b">
        <f>AND(((P295)=TRUE), ((K295)=TRUE))</f>
        <v>0</v>
      </c>
      <c r="R295" s="4" t="str">
        <f>IF(((O295)=TRUE),  I295,  "")</f>
        <v>suite-substrate</v>
      </c>
      <c r="S295" s="4" t="str">
        <f>IF(((Q295)=TRUE),  I295,  "")</f>
      </c>
      <c r="T295" s="3" t="s">
        <v>6001</v>
      </c>
    </row>
    <row r="296">
      <c r="A296" s="3" t="s">
        <v>6331</v>
      </c>
      <c r="B296" s="4" t="str">
        <f>C296 &amp; ": " &amp; D296</f>
        <v>formula-translates: Requirements.HasMeaningfulSample</v>
      </c>
      <c r="C296" s="3" t="s">
        <v>6104</v>
      </c>
      <c r="D296" s="3" t="s">
        <v>3088</v>
      </c>
      <c r="E296" s="3" t="s">
        <v>1805</v>
      </c>
      <c r="F296" s="3" t="s">
        <v>823</v>
      </c>
      <c r="G296" s="3" t="s">
        <v>6105</v>
      </c>
      <c r="H296" s="3" t="s">
        <v>2279</v>
      </c>
      <c r="I296" s="3" t="s">
        <v>5986</v>
      </c>
      <c r="J296" s="3" t="s">
        <v>5999</v>
      </c>
      <c r="K296" s="4" t="b">
        <f>J296 = "blocking"</f>
        <v>1</v>
      </c>
      <c r="L296" s="3" t="s">
        <v>1448</v>
      </c>
      <c r="M296" s="3" t="s">
        <v>6106</v>
      </c>
      <c r="N296" s="5">
        <v>46223.1297337963</v>
      </c>
      <c r="O296" s="4" t="b">
        <f>L296 = "PASS"</f>
        <v>1</v>
      </c>
      <c r="P296" s="4" t="b">
        <f>L296 = "FAIL"</f>
        <v>0</v>
      </c>
      <c r="Q296" s="4" t="b">
        <f>AND(((P296)=TRUE), ((K296)=TRUE))</f>
        <v>0</v>
      </c>
      <c r="R296" s="4" t="str">
        <f>IF(((O296)=TRUE),  I296,  "")</f>
        <v>suite-substrate</v>
      </c>
      <c r="S296" s="4" t="str">
        <f>IF(((Q296)=TRUE),  I296,  "")</f>
      </c>
      <c r="T296" s="3" t="s">
        <v>6001</v>
      </c>
    </row>
    <row r="297">
      <c r="A297" s="3" t="s">
        <v>6332</v>
      </c>
      <c r="B297" s="4" t="str">
        <f>C297 &amp; ": " &amp; D297</f>
        <v>formula-translates: Requirements.IsUntestedWitness</v>
      </c>
      <c r="C297" s="3" t="s">
        <v>6104</v>
      </c>
      <c r="D297" s="3" t="s">
        <v>3091</v>
      </c>
      <c r="E297" s="3" t="s">
        <v>1805</v>
      </c>
      <c r="F297" s="3" t="s">
        <v>825</v>
      </c>
      <c r="G297" s="3" t="s">
        <v>6105</v>
      </c>
      <c r="H297" s="3" t="s">
        <v>2279</v>
      </c>
      <c r="I297" s="3" t="s">
        <v>5986</v>
      </c>
      <c r="J297" s="3" t="s">
        <v>5999</v>
      </c>
      <c r="K297" s="4" t="b">
        <f>J297 = "blocking"</f>
        <v>1</v>
      </c>
      <c r="L297" s="3" t="s">
        <v>1448</v>
      </c>
      <c r="M297" s="3" t="s">
        <v>6106</v>
      </c>
      <c r="N297" s="5">
        <v>46223.1297337963</v>
      </c>
      <c r="O297" s="4" t="b">
        <f>L297 = "PASS"</f>
        <v>1</v>
      </c>
      <c r="P297" s="4" t="b">
        <f>L297 = "FAIL"</f>
        <v>0</v>
      </c>
      <c r="Q297" s="4" t="b">
        <f>AND(((P297)=TRUE), ((K297)=TRUE))</f>
        <v>0</v>
      </c>
      <c r="R297" s="4" t="str">
        <f>IF(((O297)=TRUE),  I297,  "")</f>
        <v>suite-substrate</v>
      </c>
      <c r="S297" s="4" t="str">
        <f>IF(((Q297)=TRUE),  I297,  "")</f>
      </c>
      <c r="T297" s="3" t="s">
        <v>6001</v>
      </c>
    </row>
    <row r="298">
      <c r="A298" s="3" t="s">
        <v>6333</v>
      </c>
      <c r="B298" s="4" t="str">
        <f>C298 &amp; ": " &amp; D298</f>
        <v>formula-translates: Requirements.IsEvidencedHoldingControl</v>
      </c>
      <c r="C298" s="3" t="s">
        <v>6104</v>
      </c>
      <c r="D298" s="3" t="s">
        <v>3093</v>
      </c>
      <c r="E298" s="3" t="s">
        <v>1805</v>
      </c>
      <c r="F298" s="3" t="s">
        <v>826</v>
      </c>
      <c r="G298" s="3" t="s">
        <v>6105</v>
      </c>
      <c r="H298" s="3" t="s">
        <v>2279</v>
      </c>
      <c r="I298" s="3" t="s">
        <v>5986</v>
      </c>
      <c r="J298" s="3" t="s">
        <v>5999</v>
      </c>
      <c r="K298" s="4" t="b">
        <f>J298 = "blocking"</f>
        <v>1</v>
      </c>
      <c r="L298" s="3" t="s">
        <v>1448</v>
      </c>
      <c r="M298" s="3" t="s">
        <v>6106</v>
      </c>
      <c r="N298" s="5">
        <v>46223.1297337963</v>
      </c>
      <c r="O298" s="4" t="b">
        <f>L298 = "PASS"</f>
        <v>1</v>
      </c>
      <c r="P298" s="4" t="b">
        <f>L298 = "FAIL"</f>
        <v>0</v>
      </c>
      <c r="Q298" s="4" t="b">
        <f>AND(((P298)=TRUE), ((K298)=TRUE))</f>
        <v>0</v>
      </c>
      <c r="R298" s="4" t="str">
        <f>IF(((O298)=TRUE),  I298,  "")</f>
        <v>suite-substrate</v>
      </c>
      <c r="S298" s="4" t="str">
        <f>IF(((Q298)=TRUE),  I298,  "")</f>
      </c>
      <c r="T298" s="3" t="s">
        <v>6001</v>
      </c>
    </row>
    <row r="299">
      <c r="A299" s="3" t="s">
        <v>6334</v>
      </c>
      <c r="B299" s="4" t="str">
        <f>C299 &amp; ": " &amp; D299</f>
        <v>formula-translates: Requirements.ControlAssuranceState</v>
      </c>
      <c r="C299" s="3" t="s">
        <v>6104</v>
      </c>
      <c r="D299" s="3" t="s">
        <v>3095</v>
      </c>
      <c r="E299" s="3" t="s">
        <v>1805</v>
      </c>
      <c r="F299" s="3" t="s">
        <v>827</v>
      </c>
      <c r="G299" s="3" t="s">
        <v>6105</v>
      </c>
      <c r="H299" s="3" t="s">
        <v>2279</v>
      </c>
      <c r="I299" s="3" t="s">
        <v>5986</v>
      </c>
      <c r="J299" s="3" t="s">
        <v>5999</v>
      </c>
      <c r="K299" s="4" t="b">
        <f>J299 = "blocking"</f>
        <v>1</v>
      </c>
      <c r="L299" s="3" t="s">
        <v>1448</v>
      </c>
      <c r="M299" s="3" t="s">
        <v>6106</v>
      </c>
      <c r="N299" s="5">
        <v>46223.1297337963</v>
      </c>
      <c r="O299" s="4" t="b">
        <f>L299 = "PASS"</f>
        <v>1</v>
      </c>
      <c r="P299" s="4" t="b">
        <f>L299 = "FAIL"</f>
        <v>0</v>
      </c>
      <c r="Q299" s="4" t="b">
        <f>AND(((P299)=TRUE), ((K299)=TRUE))</f>
        <v>0</v>
      </c>
      <c r="R299" s="4" t="str">
        <f>IF(((O299)=TRUE),  I299,  "")</f>
        <v>suite-substrate</v>
      </c>
      <c r="S299" s="4" t="str">
        <f>IF(((Q299)=TRUE),  I299,  "")</f>
      </c>
      <c r="T299" s="3" t="s">
        <v>6001</v>
      </c>
    </row>
    <row r="300">
      <c r="A300" s="3" t="s">
        <v>6335</v>
      </c>
      <c r="B300" s="4" t="str">
        <f>C300 &amp; ": " &amp; D300</f>
        <v>formula-translates: Requirements.UnexercisedBindingCount</v>
      </c>
      <c r="C300" s="3" t="s">
        <v>6104</v>
      </c>
      <c r="D300" s="3" t="s">
        <v>3097</v>
      </c>
      <c r="E300" s="3" t="s">
        <v>1805</v>
      </c>
      <c r="F300" s="3" t="s">
        <v>828</v>
      </c>
      <c r="G300" s="3" t="s">
        <v>6105</v>
      </c>
      <c r="H300" s="3" t="s">
        <v>2283</v>
      </c>
      <c r="I300" s="3" t="s">
        <v>5986</v>
      </c>
      <c r="J300" s="3" t="s">
        <v>5999</v>
      </c>
      <c r="K300" s="4" t="b">
        <f>J300 = "blocking"</f>
        <v>1</v>
      </c>
      <c r="L300" s="3" t="s">
        <v>1448</v>
      </c>
      <c r="M300" s="3" t="s">
        <v>6106</v>
      </c>
      <c r="N300" s="5">
        <v>46223.1297337963</v>
      </c>
      <c r="O300" s="4" t="b">
        <f>L300 = "PASS"</f>
        <v>1</v>
      </c>
      <c r="P300" s="4" t="b">
        <f>L300 = "FAIL"</f>
        <v>0</v>
      </c>
      <c r="Q300" s="4" t="b">
        <f>AND(((P300)=TRUE), ((K300)=TRUE))</f>
        <v>0</v>
      </c>
      <c r="R300" s="4" t="str">
        <f>IF(((O300)=TRUE),  I300,  "")</f>
        <v>suite-substrate</v>
      </c>
      <c r="S300" s="4" t="str">
        <f>IF(((Q300)=TRUE),  I300,  "")</f>
      </c>
      <c r="T300" s="3" t="s">
        <v>6001</v>
      </c>
    </row>
    <row r="301">
      <c r="A301" s="3" t="s">
        <v>6336</v>
      </c>
      <c r="B301" s="4" t="str">
        <f>C301 &amp; ": " &amp; D301</f>
        <v>formula-translates: Requirements.WitnessIsPartiallyScoped</v>
      </c>
      <c r="C301" s="3" t="s">
        <v>6104</v>
      </c>
      <c r="D301" s="3" t="s">
        <v>3099</v>
      </c>
      <c r="E301" s="3" t="s">
        <v>1805</v>
      </c>
      <c r="F301" s="3" t="s">
        <v>829</v>
      </c>
      <c r="G301" s="3" t="s">
        <v>6105</v>
      </c>
      <c r="H301" s="3" t="s">
        <v>2283</v>
      </c>
      <c r="I301" s="3" t="s">
        <v>5986</v>
      </c>
      <c r="J301" s="3" t="s">
        <v>5999</v>
      </c>
      <c r="K301" s="4" t="b">
        <f>J301 = "blocking"</f>
        <v>1</v>
      </c>
      <c r="L301" s="3" t="s">
        <v>1448</v>
      </c>
      <c r="M301" s="3" t="s">
        <v>6106</v>
      </c>
      <c r="N301" s="5">
        <v>46223.1297337963</v>
      </c>
      <c r="O301" s="4" t="b">
        <f>L301 = "PASS"</f>
        <v>1</v>
      </c>
      <c r="P301" s="4" t="b">
        <f>L301 = "FAIL"</f>
        <v>0</v>
      </c>
      <c r="Q301" s="4" t="b">
        <f>AND(((P301)=TRUE), ((K301)=TRUE))</f>
        <v>0</v>
      </c>
      <c r="R301" s="4" t="str">
        <f>IF(((O301)=TRUE),  I301,  "")</f>
        <v>suite-substrate</v>
      </c>
      <c r="S301" s="4" t="str">
        <f>IF(((Q301)=TRUE),  I301,  "")</f>
      </c>
      <c r="T301" s="3" t="s">
        <v>6001</v>
      </c>
    </row>
    <row r="302">
      <c r="A302" s="3" t="s">
        <v>6337</v>
      </c>
      <c r="B302" s="4" t="str">
        <f>C302 &amp; ": " &amp; D302</f>
        <v>formula-translates: Requirements.AccountableAgent</v>
      </c>
      <c r="C302" s="3" t="s">
        <v>6104</v>
      </c>
      <c r="D302" s="3" t="s">
        <v>3102</v>
      </c>
      <c r="E302" s="3" t="s">
        <v>1805</v>
      </c>
      <c r="F302" s="3" t="s">
        <v>831</v>
      </c>
      <c r="G302" s="3" t="s">
        <v>6105</v>
      </c>
      <c r="H302" s="3" t="s">
        <v>2311</v>
      </c>
      <c r="I302" s="3" t="s">
        <v>5986</v>
      </c>
      <c r="J302" s="3" t="s">
        <v>5999</v>
      </c>
      <c r="K302" s="4" t="b">
        <f>J302 = "blocking"</f>
        <v>1</v>
      </c>
      <c r="L302" s="3" t="s">
        <v>1448</v>
      </c>
      <c r="M302" s="3" t="s">
        <v>6106</v>
      </c>
      <c r="N302" s="5">
        <v>46223.1297337963</v>
      </c>
      <c r="O302" s="4" t="b">
        <f>L302 = "PASS"</f>
        <v>1</v>
      </c>
      <c r="P302" s="4" t="b">
        <f>L302 = "FAIL"</f>
        <v>0</v>
      </c>
      <c r="Q302" s="4" t="b">
        <f>AND(((P302)=TRUE), ((K302)=TRUE))</f>
        <v>0</v>
      </c>
      <c r="R302" s="4" t="str">
        <f>IF(((O302)=TRUE),  I302,  "")</f>
        <v>suite-substrate</v>
      </c>
      <c r="S302" s="4" t="str">
        <f>IF(((Q302)=TRUE),  I302,  "")</f>
      </c>
      <c r="T302" s="3" t="s">
        <v>6001</v>
      </c>
    </row>
    <row r="303">
      <c r="A303" s="3" t="s">
        <v>6338</v>
      </c>
      <c r="B303" s="4" t="str">
        <f>C303 &amp; ": " &amp; D303</f>
        <v>formula-translates: Requirements.HasNamedOwner</v>
      </c>
      <c r="C303" s="3" t="s">
        <v>6104</v>
      </c>
      <c r="D303" s="3" t="s">
        <v>3104</v>
      </c>
      <c r="E303" s="3" t="s">
        <v>1805</v>
      </c>
      <c r="F303" s="3" t="s">
        <v>832</v>
      </c>
      <c r="G303" s="3" t="s">
        <v>6105</v>
      </c>
      <c r="H303" s="3" t="s">
        <v>2311</v>
      </c>
      <c r="I303" s="3" t="s">
        <v>5986</v>
      </c>
      <c r="J303" s="3" t="s">
        <v>5999</v>
      </c>
      <c r="K303" s="4" t="b">
        <f>J303 = "blocking"</f>
        <v>1</v>
      </c>
      <c r="L303" s="3" t="s">
        <v>1448</v>
      </c>
      <c r="M303" s="3" t="s">
        <v>6106</v>
      </c>
      <c r="N303" s="5">
        <v>46223.1297337963</v>
      </c>
      <c r="O303" s="4" t="b">
        <f>L303 = "PASS"</f>
        <v>1</v>
      </c>
      <c r="P303" s="4" t="b">
        <f>L303 = "FAIL"</f>
        <v>0</v>
      </c>
      <c r="Q303" s="4" t="b">
        <f>AND(((P303)=TRUE), ((K303)=TRUE))</f>
        <v>0</v>
      </c>
      <c r="R303" s="4" t="str">
        <f>IF(((O303)=TRUE),  I303,  "")</f>
        <v>suite-substrate</v>
      </c>
      <c r="S303" s="4" t="str">
        <f>IF(((Q303)=TRUE),  I303,  "")</f>
      </c>
      <c r="T303" s="3" t="s">
        <v>6001</v>
      </c>
    </row>
    <row r="304">
      <c r="A304" s="3" t="s">
        <v>6339</v>
      </c>
      <c r="B304" s="4" t="str">
        <f>C304 &amp; ": " &amp; D304</f>
        <v>formula-translates: Requirements.IsOrphanedBlockingControl</v>
      </c>
      <c r="C304" s="3" t="s">
        <v>6104</v>
      </c>
      <c r="D304" s="3" t="s">
        <v>3106</v>
      </c>
      <c r="E304" s="3" t="s">
        <v>1805</v>
      </c>
      <c r="F304" s="3" t="s">
        <v>833</v>
      </c>
      <c r="G304" s="3" t="s">
        <v>6105</v>
      </c>
      <c r="H304" s="3" t="s">
        <v>2311</v>
      </c>
      <c r="I304" s="3" t="s">
        <v>5986</v>
      </c>
      <c r="J304" s="3" t="s">
        <v>5999</v>
      </c>
      <c r="K304" s="4" t="b">
        <f>J304 = "blocking"</f>
        <v>1</v>
      </c>
      <c r="L304" s="3" t="s">
        <v>1448</v>
      </c>
      <c r="M304" s="3" t="s">
        <v>6106</v>
      </c>
      <c r="N304" s="5">
        <v>46223.1297337963</v>
      </c>
      <c r="O304" s="4" t="b">
        <f>L304 = "PASS"</f>
        <v>1</v>
      </c>
      <c r="P304" s="4" t="b">
        <f>L304 = "FAIL"</f>
        <v>0</v>
      </c>
      <c r="Q304" s="4" t="b">
        <f>AND(((P304)=TRUE), ((K304)=TRUE))</f>
        <v>0</v>
      </c>
      <c r="R304" s="4" t="str">
        <f>IF(((O304)=TRUE),  I304,  "")</f>
        <v>suite-substrate</v>
      </c>
      <c r="S304" s="4" t="str">
        <f>IF(((Q304)=TRUE),  I304,  "")</f>
      </c>
      <c r="T304" s="3" t="s">
        <v>6001</v>
      </c>
    </row>
    <row r="305">
      <c r="A305" s="3" t="s">
        <v>6340</v>
      </c>
      <c r="B305" s="4" t="str">
        <f>C305 &amp; ": " &amp; D305</f>
        <v>formula-translates: Requirements.IsUnwatchedAndUnowned</v>
      </c>
      <c r="C305" s="3" t="s">
        <v>6104</v>
      </c>
      <c r="D305" s="3" t="s">
        <v>3108</v>
      </c>
      <c r="E305" s="3" t="s">
        <v>1805</v>
      </c>
      <c r="F305" s="3" t="s">
        <v>834</v>
      </c>
      <c r="G305" s="3" t="s">
        <v>6105</v>
      </c>
      <c r="H305" s="3" t="s">
        <v>2311</v>
      </c>
      <c r="I305" s="3" t="s">
        <v>5986</v>
      </c>
      <c r="J305" s="3" t="s">
        <v>5999</v>
      </c>
      <c r="K305" s="4" t="b">
        <f>J305 = "blocking"</f>
        <v>1</v>
      </c>
      <c r="L305" s="3" t="s">
        <v>1448</v>
      </c>
      <c r="M305" s="3" t="s">
        <v>6106</v>
      </c>
      <c r="N305" s="5">
        <v>46223.1297337963</v>
      </c>
      <c r="O305" s="4" t="b">
        <f>L305 = "PASS"</f>
        <v>1</v>
      </c>
      <c r="P305" s="4" t="b">
        <f>L305 = "FAIL"</f>
        <v>0</v>
      </c>
      <c r="Q305" s="4" t="b">
        <f>AND(((P305)=TRUE), ((K305)=TRUE))</f>
        <v>0</v>
      </c>
      <c r="R305" s="4" t="str">
        <f>IF(((O305)=TRUE),  I305,  "")</f>
        <v>suite-substrate</v>
      </c>
      <c r="S305" s="4" t="str">
        <f>IF(((Q305)=TRUE),  I305,  "")</f>
      </c>
      <c r="T305" s="3" t="s">
        <v>6001</v>
      </c>
    </row>
    <row r="306">
      <c r="A306" s="3" t="s">
        <v>6341</v>
      </c>
      <c r="B306" s="4" t="str">
        <f>C306 &amp; ": " &amp; D306</f>
        <v>formula-translates: Requirements.AttestationExposureNote</v>
      </c>
      <c r="C306" s="3" t="s">
        <v>6104</v>
      </c>
      <c r="D306" s="3" t="s">
        <v>3110</v>
      </c>
      <c r="E306" s="3" t="s">
        <v>1805</v>
      </c>
      <c r="F306" s="3" t="s">
        <v>835</v>
      </c>
      <c r="G306" s="3" t="s">
        <v>6105</v>
      </c>
      <c r="H306" s="3" t="s">
        <v>2311</v>
      </c>
      <c r="I306" s="3" t="s">
        <v>5986</v>
      </c>
      <c r="J306" s="3" t="s">
        <v>5999</v>
      </c>
      <c r="K306" s="4" t="b">
        <f>J306 = "blocking"</f>
        <v>1</v>
      </c>
      <c r="L306" s="3" t="s">
        <v>1448</v>
      </c>
      <c r="M306" s="3" t="s">
        <v>6106</v>
      </c>
      <c r="N306" s="5">
        <v>46223.1297337963</v>
      </c>
      <c r="O306" s="4" t="b">
        <f>L306 = "PASS"</f>
        <v>1</v>
      </c>
      <c r="P306" s="4" t="b">
        <f>L306 = "FAIL"</f>
        <v>0</v>
      </c>
      <c r="Q306" s="4" t="b">
        <f>AND(((P306)=TRUE), ((K306)=TRUE))</f>
        <v>0</v>
      </c>
      <c r="R306" s="4" t="str">
        <f>IF(((O306)=TRUE),  I306,  "")</f>
        <v>suite-substrate</v>
      </c>
      <c r="S306" s="4" t="str">
        <f>IF(((Q306)=TRUE),  I306,  "")</f>
      </c>
      <c r="T306" s="3" t="s">
        <v>6001</v>
      </c>
    </row>
    <row r="307">
      <c r="A307" s="3" t="s">
        <v>6342</v>
      </c>
      <c r="B307" s="4" t="str">
        <f>C307 &amp; ": " &amp; D307</f>
        <v>formula-translates: Requirements.UnwatchedUnownedFlag</v>
      </c>
      <c r="C307" s="3" t="s">
        <v>6104</v>
      </c>
      <c r="D307" s="3" t="s">
        <v>3112</v>
      </c>
      <c r="E307" s="3" t="s">
        <v>1805</v>
      </c>
      <c r="F307" s="3" t="s">
        <v>836</v>
      </c>
      <c r="G307" s="3" t="s">
        <v>6105</v>
      </c>
      <c r="H307" s="3" t="s">
        <v>2311</v>
      </c>
      <c r="I307" s="3" t="s">
        <v>5986</v>
      </c>
      <c r="J307" s="3" t="s">
        <v>5999</v>
      </c>
      <c r="K307" s="4" t="b">
        <f>J307 = "blocking"</f>
        <v>1</v>
      </c>
      <c r="L307" s="3" t="s">
        <v>1448</v>
      </c>
      <c r="M307" s="3" t="s">
        <v>6106</v>
      </c>
      <c r="N307" s="5">
        <v>46223.1297337963</v>
      </c>
      <c r="O307" s="4" t="b">
        <f>L307 = "PASS"</f>
        <v>1</v>
      </c>
      <c r="P307" s="4" t="b">
        <f>L307 = "FAIL"</f>
        <v>0</v>
      </c>
      <c r="Q307" s="4" t="b">
        <f>AND(((P307)=TRUE), ((K307)=TRUE))</f>
        <v>0</v>
      </c>
      <c r="R307" s="4" t="str">
        <f>IF(((O307)=TRUE),  I307,  "")</f>
        <v>suite-substrate</v>
      </c>
      <c r="S307" s="4" t="str">
        <f>IF(((Q307)=TRUE),  I307,  "")</f>
      </c>
      <c r="T307" s="3" t="s">
        <v>6001</v>
      </c>
    </row>
    <row r="308">
      <c r="A308" s="3" t="s">
        <v>6343</v>
      </c>
      <c r="B308" s="4" t="str">
        <f>C308 &amp; ": " &amp; D308</f>
        <v>formula-translates: StepRequirements.Name</v>
      </c>
      <c r="C308" s="3" t="s">
        <v>6104</v>
      </c>
      <c r="D308" s="3" t="s">
        <v>3120</v>
      </c>
      <c r="E308" s="3" t="s">
        <v>3119</v>
      </c>
      <c r="F308" s="3" t="s">
        <v>1</v>
      </c>
      <c r="G308" s="3" t="s">
        <v>6105</v>
      </c>
      <c r="H308" s="3"/>
      <c r="I308" s="3" t="s">
        <v>5986</v>
      </c>
      <c r="J308" s="3" t="s">
        <v>5999</v>
      </c>
      <c r="K308" s="4" t="b">
        <f>J308 = "blocking"</f>
        <v>1</v>
      </c>
      <c r="L308" s="3" t="s">
        <v>1448</v>
      </c>
      <c r="M308" s="3" t="s">
        <v>6106</v>
      </c>
      <c r="N308" s="5">
        <v>46223.1297337963</v>
      </c>
      <c r="O308" s="4" t="b">
        <f>L308 = "PASS"</f>
        <v>1</v>
      </c>
      <c r="P308" s="4" t="b">
        <f>L308 = "FAIL"</f>
        <v>0</v>
      </c>
      <c r="Q308" s="4" t="b">
        <f>AND(((P308)=TRUE), ((K308)=TRUE))</f>
        <v>0</v>
      </c>
      <c r="R308" s="4" t="str">
        <f>IF(((O308)=TRUE),  I308,  "")</f>
        <v>suite-substrate</v>
      </c>
      <c r="S308" s="4" t="str">
        <f>IF(((Q308)=TRUE),  I308,  "")</f>
      </c>
      <c r="T308" s="3" t="s">
        <v>6001</v>
      </c>
    </row>
    <row r="309">
      <c r="A309" s="3" t="s">
        <v>6344</v>
      </c>
      <c r="B309" s="4" t="str">
        <f>C309 &amp; ": " &amp; D309</f>
        <v>formula-translates: StepRequirements.RequirementIsBlocking</v>
      </c>
      <c r="C309" s="3" t="s">
        <v>6104</v>
      </c>
      <c r="D309" s="3" t="s">
        <v>3124</v>
      </c>
      <c r="E309" s="3" t="s">
        <v>3119</v>
      </c>
      <c r="F309" s="3" t="s">
        <v>915</v>
      </c>
      <c r="G309" s="3" t="s">
        <v>6105</v>
      </c>
      <c r="H309" s="3" t="s">
        <v>1963</v>
      </c>
      <c r="I309" s="3" t="s">
        <v>5986</v>
      </c>
      <c r="J309" s="3" t="s">
        <v>5999</v>
      </c>
      <c r="K309" s="4" t="b">
        <f>J309 = "blocking"</f>
        <v>1</v>
      </c>
      <c r="L309" s="3" t="s">
        <v>1448</v>
      </c>
      <c r="M309" s="3" t="s">
        <v>6106</v>
      </c>
      <c r="N309" s="5">
        <v>46223.1297337963</v>
      </c>
      <c r="O309" s="4" t="b">
        <f>L309 = "PASS"</f>
        <v>1</v>
      </c>
      <c r="P309" s="4" t="b">
        <f>L309 = "FAIL"</f>
        <v>0</v>
      </c>
      <c r="Q309" s="4" t="b">
        <f>AND(((P309)=TRUE), ((K309)=TRUE))</f>
        <v>0</v>
      </c>
      <c r="R309" s="4" t="str">
        <f>IF(((O309)=TRUE),  I309,  "")</f>
        <v>suite-substrate</v>
      </c>
      <c r="S309" s="4" t="str">
        <f>IF(((Q309)=TRUE),  I309,  "")</f>
      </c>
      <c r="T309" s="3" t="s">
        <v>6001</v>
      </c>
    </row>
    <row r="310">
      <c r="A310" s="3" t="s">
        <v>6345</v>
      </c>
      <c r="B310" s="4" t="str">
        <f>C310 &amp; ": " &amp; D310</f>
        <v>formula-translates: StepRequirements.BlockingStepKey</v>
      </c>
      <c r="C310" s="3" t="s">
        <v>6104</v>
      </c>
      <c r="D310" s="3" t="s">
        <v>3126</v>
      </c>
      <c r="E310" s="3" t="s">
        <v>3119</v>
      </c>
      <c r="F310" s="3" t="s">
        <v>916</v>
      </c>
      <c r="G310" s="3" t="s">
        <v>6105</v>
      </c>
      <c r="H310" s="3" t="s">
        <v>1963</v>
      </c>
      <c r="I310" s="3" t="s">
        <v>5986</v>
      </c>
      <c r="J310" s="3" t="s">
        <v>5999</v>
      </c>
      <c r="K310" s="4" t="b">
        <f>J310 = "blocking"</f>
        <v>1</v>
      </c>
      <c r="L310" s="3" t="s">
        <v>1448</v>
      </c>
      <c r="M310" s="3" t="s">
        <v>6106</v>
      </c>
      <c r="N310" s="5">
        <v>46223.1297337963</v>
      </c>
      <c r="O310" s="4" t="b">
        <f>L310 = "PASS"</f>
        <v>1</v>
      </c>
      <c r="P310" s="4" t="b">
        <f>L310 = "FAIL"</f>
        <v>0</v>
      </c>
      <c r="Q310" s="4" t="b">
        <f>AND(((P310)=TRUE), ((K310)=TRUE))</f>
        <v>0</v>
      </c>
      <c r="R310" s="4" t="str">
        <f>IF(((O310)=TRUE),  I310,  "")</f>
        <v>suite-substrate</v>
      </c>
      <c r="S310" s="4" t="str">
        <f>IF(((Q310)=TRUE),  I310,  "")</f>
      </c>
      <c r="T310" s="3" t="s">
        <v>6001</v>
      </c>
    </row>
    <row r="311">
      <c r="A311" s="3" t="s">
        <v>6346</v>
      </c>
      <c r="B311" s="4" t="str">
        <f>C311 &amp; ": " &amp; D311</f>
        <v>formula-translates: StepRequirements.StepWhenBlocking</v>
      </c>
      <c r="C311" s="3" t="s">
        <v>6104</v>
      </c>
      <c r="D311" s="3" t="s">
        <v>3128</v>
      </c>
      <c r="E311" s="3" t="s">
        <v>3119</v>
      </c>
      <c r="F311" s="3" t="s">
        <v>917</v>
      </c>
      <c r="G311" s="3" t="s">
        <v>6105</v>
      </c>
      <c r="H311" s="3" t="s">
        <v>2131</v>
      </c>
      <c r="I311" s="3" t="s">
        <v>5986</v>
      </c>
      <c r="J311" s="3" t="s">
        <v>5999</v>
      </c>
      <c r="K311" s="4" t="b">
        <f>J311 = "blocking"</f>
        <v>1</v>
      </c>
      <c r="L311" s="3" t="s">
        <v>1448</v>
      </c>
      <c r="M311" s="3" t="s">
        <v>6106</v>
      </c>
      <c r="N311" s="5">
        <v>46223.1297337963</v>
      </c>
      <c r="O311" s="4" t="b">
        <f>L311 = "PASS"</f>
        <v>1</v>
      </c>
      <c r="P311" s="4" t="b">
        <f>L311 = "FAIL"</f>
        <v>0</v>
      </c>
      <c r="Q311" s="4" t="b">
        <f>AND(((P311)=TRUE), ((K311)=TRUE))</f>
        <v>0</v>
      </c>
      <c r="R311" s="4" t="str">
        <f>IF(((O311)=TRUE),  I311,  "")</f>
        <v>suite-substrate</v>
      </c>
      <c r="S311" s="4" t="str">
        <f>IF(((Q311)=TRUE),  I311,  "")</f>
      </c>
      <c r="T311" s="3" t="s">
        <v>6001</v>
      </c>
    </row>
    <row r="312">
      <c r="A312" s="3" t="s">
        <v>6347</v>
      </c>
      <c r="B312" s="4" t="str">
        <f>C312 &amp; ": " &amp; D312</f>
        <v>formula-translates: StepRequirements.RequirementLacksWitness</v>
      </c>
      <c r="C312" s="3" t="s">
        <v>6104</v>
      </c>
      <c r="D312" s="3" t="s">
        <v>3129</v>
      </c>
      <c r="E312" s="3" t="s">
        <v>3119</v>
      </c>
      <c r="F312" s="3" t="s">
        <v>918</v>
      </c>
      <c r="G312" s="3" t="s">
        <v>6105</v>
      </c>
      <c r="H312" s="3" t="s">
        <v>2267</v>
      </c>
      <c r="I312" s="3" t="s">
        <v>5986</v>
      </c>
      <c r="J312" s="3" t="s">
        <v>5999</v>
      </c>
      <c r="K312" s="4" t="b">
        <f>J312 = "blocking"</f>
        <v>1</v>
      </c>
      <c r="L312" s="3" t="s">
        <v>1448</v>
      </c>
      <c r="M312" s="3" t="s">
        <v>6106</v>
      </c>
      <c r="N312" s="5">
        <v>46223.1297337963</v>
      </c>
      <c r="O312" s="4" t="b">
        <f>L312 = "PASS"</f>
        <v>1</v>
      </c>
      <c r="P312" s="4" t="b">
        <f>L312 = "FAIL"</f>
        <v>0</v>
      </c>
      <c r="Q312" s="4" t="b">
        <f>AND(((P312)=TRUE), ((K312)=TRUE))</f>
        <v>0</v>
      </c>
      <c r="R312" s="4" t="str">
        <f>IF(((O312)=TRUE),  I312,  "")</f>
        <v>suite-substrate</v>
      </c>
      <c r="S312" s="4" t="str">
        <f>IF(((Q312)=TRUE),  I312,  "")</f>
      </c>
      <c r="T312" s="3" t="s">
        <v>6001</v>
      </c>
    </row>
    <row r="313">
      <c r="A313" s="3" t="s">
        <v>6348</v>
      </c>
      <c r="B313" s="4" t="str">
        <f>C313 &amp; ": " &amp; D313</f>
        <v>formula-translates: StepRequirements.UnwitnessedStepKey</v>
      </c>
      <c r="C313" s="3" t="s">
        <v>6104</v>
      </c>
      <c r="D313" s="3" t="s">
        <v>3131</v>
      </c>
      <c r="E313" s="3" t="s">
        <v>3119</v>
      </c>
      <c r="F313" s="3" t="s">
        <v>919</v>
      </c>
      <c r="G313" s="3" t="s">
        <v>6105</v>
      </c>
      <c r="H313" s="3" t="s">
        <v>2267</v>
      </c>
      <c r="I313" s="3" t="s">
        <v>5986</v>
      </c>
      <c r="J313" s="3" t="s">
        <v>5999</v>
      </c>
      <c r="K313" s="4" t="b">
        <f>J313 = "blocking"</f>
        <v>1</v>
      </c>
      <c r="L313" s="3" t="s">
        <v>1448</v>
      </c>
      <c r="M313" s="3" t="s">
        <v>6106</v>
      </c>
      <c r="N313" s="5">
        <v>46223.1297337963</v>
      </c>
      <c r="O313" s="4" t="b">
        <f>L313 = "PASS"</f>
        <v>1</v>
      </c>
      <c r="P313" s="4" t="b">
        <f>L313 = "FAIL"</f>
        <v>0</v>
      </c>
      <c r="Q313" s="4" t="b">
        <f>AND(((P313)=TRUE), ((K313)=TRUE))</f>
        <v>0</v>
      </c>
      <c r="R313" s="4" t="str">
        <f>IF(((O313)=TRUE),  I313,  "")</f>
        <v>suite-substrate</v>
      </c>
      <c r="S313" s="4" t="str">
        <f>IF(((Q313)=TRUE),  I313,  "")</f>
      </c>
      <c r="T313" s="3" t="s">
        <v>6001</v>
      </c>
    </row>
    <row r="314">
      <c r="A314" s="3" t="s">
        <v>6349</v>
      </c>
      <c r="B314" s="4" t="str">
        <f>C314 &amp; ": " &amp; D314</f>
        <v>formula-translates: StepRequirements.SatisfactionCountForBinding</v>
      </c>
      <c r="C314" s="3" t="s">
        <v>6104</v>
      </c>
      <c r="D314" s="3" t="s">
        <v>3133</v>
      </c>
      <c r="E314" s="3" t="s">
        <v>3119</v>
      </c>
      <c r="F314" s="3" t="s">
        <v>920</v>
      </c>
      <c r="G314" s="3" t="s">
        <v>6105</v>
      </c>
      <c r="H314" s="3" t="s">
        <v>2283</v>
      </c>
      <c r="I314" s="3" t="s">
        <v>5986</v>
      </c>
      <c r="J314" s="3" t="s">
        <v>5999</v>
      </c>
      <c r="K314" s="4" t="b">
        <f>J314 = "blocking"</f>
        <v>1</v>
      </c>
      <c r="L314" s="3" t="s">
        <v>1448</v>
      </c>
      <c r="M314" s="3" t="s">
        <v>6106</v>
      </c>
      <c r="N314" s="5">
        <v>46223.1297337963</v>
      </c>
      <c r="O314" s="4" t="b">
        <f>L314 = "PASS"</f>
        <v>1</v>
      </c>
      <c r="P314" s="4" t="b">
        <f>L314 = "FAIL"</f>
        <v>0</v>
      </c>
      <c r="Q314" s="4" t="b">
        <f>AND(((P314)=TRUE), ((K314)=TRUE))</f>
        <v>0</v>
      </c>
      <c r="R314" s="4" t="str">
        <f>IF(((O314)=TRUE),  I314,  "")</f>
        <v>suite-substrate</v>
      </c>
      <c r="S314" s="4" t="str">
        <f>IF(((Q314)=TRUE),  I314,  "")</f>
      </c>
      <c r="T314" s="3" t="s">
        <v>6001</v>
      </c>
    </row>
    <row r="315">
      <c r="A315" s="3" t="s">
        <v>6350</v>
      </c>
      <c r="B315" s="4" t="str">
        <f>C315 &amp; ": " &amp; D315</f>
        <v>formula-translates: StepRequirements.BindingWasEverExercised</v>
      </c>
      <c r="C315" s="3" t="s">
        <v>6104</v>
      </c>
      <c r="D315" s="3" t="s">
        <v>3135</v>
      </c>
      <c r="E315" s="3" t="s">
        <v>3119</v>
      </c>
      <c r="F315" s="3" t="s">
        <v>921</v>
      </c>
      <c r="G315" s="3" t="s">
        <v>6105</v>
      </c>
      <c r="H315" s="3" t="s">
        <v>2283</v>
      </c>
      <c r="I315" s="3" t="s">
        <v>5986</v>
      </c>
      <c r="J315" s="3" t="s">
        <v>5999</v>
      </c>
      <c r="K315" s="4" t="b">
        <f>J315 = "blocking"</f>
        <v>1</v>
      </c>
      <c r="L315" s="3" t="s">
        <v>1448</v>
      </c>
      <c r="M315" s="3" t="s">
        <v>6106</v>
      </c>
      <c r="N315" s="5">
        <v>46223.1297337963</v>
      </c>
      <c r="O315" s="4" t="b">
        <f>L315 = "PASS"</f>
        <v>1</v>
      </c>
      <c r="P315" s="4" t="b">
        <f>L315 = "FAIL"</f>
        <v>0</v>
      </c>
      <c r="Q315" s="4" t="b">
        <f>AND(((P315)=TRUE), ((K315)=TRUE))</f>
        <v>0</v>
      </c>
      <c r="R315" s="4" t="str">
        <f>IF(((O315)=TRUE),  I315,  "")</f>
        <v>suite-substrate</v>
      </c>
      <c r="S315" s="4" t="str">
        <f>IF(((Q315)=TRUE),  I315,  "")</f>
      </c>
      <c r="T315" s="3" t="s">
        <v>6001</v>
      </c>
    </row>
    <row r="316">
      <c r="A316" s="3" t="s">
        <v>6351</v>
      </c>
      <c r="B316" s="4" t="str">
        <f>C316 &amp; ": " &amp; D316</f>
        <v>formula-translates: StepRequirements.IsUnexercisedBlockingBinding</v>
      </c>
      <c r="C316" s="3" t="s">
        <v>6104</v>
      </c>
      <c r="D316" s="3" t="s">
        <v>3137</v>
      </c>
      <c r="E316" s="3" t="s">
        <v>3119</v>
      </c>
      <c r="F316" s="3" t="s">
        <v>922</v>
      </c>
      <c r="G316" s="3" t="s">
        <v>6105</v>
      </c>
      <c r="H316" s="3" t="s">
        <v>2283</v>
      </c>
      <c r="I316" s="3" t="s">
        <v>5986</v>
      </c>
      <c r="J316" s="3" t="s">
        <v>5999</v>
      </c>
      <c r="K316" s="4" t="b">
        <f>J316 = "blocking"</f>
        <v>1</v>
      </c>
      <c r="L316" s="3" t="s">
        <v>1448</v>
      </c>
      <c r="M316" s="3" t="s">
        <v>6106</v>
      </c>
      <c r="N316" s="5">
        <v>46223.1297337963</v>
      </c>
      <c r="O316" s="4" t="b">
        <f>L316 = "PASS"</f>
        <v>1</v>
      </c>
      <c r="P316" s="4" t="b">
        <f>L316 = "FAIL"</f>
        <v>0</v>
      </c>
      <c r="Q316" s="4" t="b">
        <f>AND(((P316)=TRUE), ((K316)=TRUE))</f>
        <v>0</v>
      </c>
      <c r="R316" s="4" t="str">
        <f>IF(((O316)=TRUE),  I316,  "")</f>
        <v>suite-substrate</v>
      </c>
      <c r="S316" s="4" t="str">
        <f>IF(((Q316)=TRUE),  I316,  "")</f>
      </c>
      <c r="T316" s="3" t="s">
        <v>6001</v>
      </c>
    </row>
    <row r="317">
      <c r="A317" s="3" t="s">
        <v>6352</v>
      </c>
      <c r="B317" s="4" t="str">
        <f>C317 &amp; ": " &amp; D317</f>
        <v>formula-translates: StepRequirements.UnexercisedBindingRequirementKey</v>
      </c>
      <c r="C317" s="3" t="s">
        <v>6104</v>
      </c>
      <c r="D317" s="3" t="s">
        <v>3139</v>
      </c>
      <c r="E317" s="3" t="s">
        <v>3119</v>
      </c>
      <c r="F317" s="3" t="s">
        <v>923</v>
      </c>
      <c r="G317" s="3" t="s">
        <v>6105</v>
      </c>
      <c r="H317" s="3" t="s">
        <v>2283</v>
      </c>
      <c r="I317" s="3" t="s">
        <v>5986</v>
      </c>
      <c r="J317" s="3" t="s">
        <v>5999</v>
      </c>
      <c r="K317" s="4" t="b">
        <f>J317 = "blocking"</f>
        <v>1</v>
      </c>
      <c r="L317" s="3" t="s">
        <v>1448</v>
      </c>
      <c r="M317" s="3" t="s">
        <v>6106</v>
      </c>
      <c r="N317" s="5">
        <v>46223.1297337963</v>
      </c>
      <c r="O317" s="4" t="b">
        <f>L317 = "PASS"</f>
        <v>1</v>
      </c>
      <c r="P317" s="4" t="b">
        <f>L317 = "FAIL"</f>
        <v>0</v>
      </c>
      <c r="Q317" s="4" t="b">
        <f>AND(((P317)=TRUE), ((K317)=TRUE))</f>
        <v>0</v>
      </c>
      <c r="R317" s="4" t="str">
        <f>IF(((O317)=TRUE),  I317,  "")</f>
        <v>suite-substrate</v>
      </c>
      <c r="S317" s="4" t="str">
        <f>IF(((Q317)=TRUE),  I317,  "")</f>
      </c>
      <c r="T317" s="3" t="s">
        <v>6001</v>
      </c>
    </row>
    <row r="318">
      <c r="A318" s="3" t="s">
        <v>6353</v>
      </c>
      <c r="B318" s="4" t="str">
        <f>C318 &amp; ": " &amp; D318</f>
        <v>formula-translates: StepVerifications.Name</v>
      </c>
      <c r="C318" s="3" t="s">
        <v>6104</v>
      </c>
      <c r="D318" s="3" t="s">
        <v>3142</v>
      </c>
      <c r="E318" s="3" t="s">
        <v>1808</v>
      </c>
      <c r="F318" s="3" t="s">
        <v>1</v>
      </c>
      <c r="G318" s="3" t="s">
        <v>6105</v>
      </c>
      <c r="H318" s="3"/>
      <c r="I318" s="3" t="s">
        <v>5986</v>
      </c>
      <c r="J318" s="3" t="s">
        <v>5999</v>
      </c>
      <c r="K318" s="4" t="b">
        <f>J318 = "blocking"</f>
        <v>1</v>
      </c>
      <c r="L318" s="3" t="s">
        <v>1448</v>
      </c>
      <c r="M318" s="3" t="s">
        <v>6106</v>
      </c>
      <c r="N318" s="5">
        <v>46223.1297337963</v>
      </c>
      <c r="O318" s="4" t="b">
        <f>L318 = "PASS"</f>
        <v>1</v>
      </c>
      <c r="P318" s="4" t="b">
        <f>L318 = "FAIL"</f>
        <v>0</v>
      </c>
      <c r="Q318" s="4" t="b">
        <f>AND(((P318)=TRUE), ((K318)=TRUE))</f>
        <v>0</v>
      </c>
      <c r="R318" s="4" t="str">
        <f>IF(((O318)=TRUE),  I318,  "")</f>
        <v>suite-substrate</v>
      </c>
      <c r="S318" s="4" t="str">
        <f>IF(((Q318)=TRUE),  I318,  "")</f>
      </c>
      <c r="T318" s="3" t="s">
        <v>6001</v>
      </c>
    </row>
    <row r="319">
      <c r="A319" s="3" t="s">
        <v>6354</v>
      </c>
      <c r="B319" s="4" t="str">
        <f>C319 &amp; ": " &amp; D319</f>
        <v>formula-translates: Rationales.Name</v>
      </c>
      <c r="C319" s="3" t="s">
        <v>6104</v>
      </c>
      <c r="D319" s="3" t="s">
        <v>3152</v>
      </c>
      <c r="E319" s="3" t="s">
        <v>3151</v>
      </c>
      <c r="F319" s="3" t="s">
        <v>1</v>
      </c>
      <c r="G319" s="3" t="s">
        <v>6105</v>
      </c>
      <c r="H319" s="3"/>
      <c r="I319" s="3" t="s">
        <v>5986</v>
      </c>
      <c r="J319" s="3" t="s">
        <v>5999</v>
      </c>
      <c r="K319" s="4" t="b">
        <f>J319 = "blocking"</f>
        <v>1</v>
      </c>
      <c r="L319" s="3" t="s">
        <v>1448</v>
      </c>
      <c r="M319" s="3" t="s">
        <v>6106</v>
      </c>
      <c r="N319" s="5">
        <v>46223.1297337963</v>
      </c>
      <c r="O319" s="4" t="b">
        <f>L319 = "PASS"</f>
        <v>1</v>
      </c>
      <c r="P319" s="4" t="b">
        <f>L319 = "FAIL"</f>
        <v>0</v>
      </c>
      <c r="Q319" s="4" t="b">
        <f>AND(((P319)=TRUE), ((K319)=TRUE))</f>
        <v>0</v>
      </c>
      <c r="R319" s="4" t="str">
        <f>IF(((O319)=TRUE),  I319,  "")</f>
        <v>suite-substrate</v>
      </c>
      <c r="S319" s="4" t="str">
        <f>IF(((Q319)=TRUE),  I319,  "")</f>
      </c>
      <c r="T319" s="3" t="s">
        <v>6001</v>
      </c>
    </row>
    <row r="320">
      <c r="A320" s="3" t="s">
        <v>6355</v>
      </c>
      <c r="B320" s="4" t="str">
        <f>C320 &amp; ": " &amp; D320</f>
        <v>formula-translates: Exceptions.Name</v>
      </c>
      <c r="C320" s="3" t="s">
        <v>6104</v>
      </c>
      <c r="D320" s="3" t="s">
        <v>3162</v>
      </c>
      <c r="E320" s="3" t="s">
        <v>3161</v>
      </c>
      <c r="F320" s="3" t="s">
        <v>1</v>
      </c>
      <c r="G320" s="3" t="s">
        <v>6105</v>
      </c>
      <c r="H320" s="3"/>
      <c r="I320" s="3" t="s">
        <v>5986</v>
      </c>
      <c r="J320" s="3" t="s">
        <v>5999</v>
      </c>
      <c r="K320" s="4" t="b">
        <f>J320 = "blocking"</f>
        <v>1</v>
      </c>
      <c r="L320" s="3" t="s">
        <v>1448</v>
      </c>
      <c r="M320" s="3" t="s">
        <v>6106</v>
      </c>
      <c r="N320" s="5">
        <v>46223.1297337963</v>
      </c>
      <c r="O320" s="4" t="b">
        <f>L320 = "PASS"</f>
        <v>1</v>
      </c>
      <c r="P320" s="4" t="b">
        <f>L320 = "FAIL"</f>
        <v>0</v>
      </c>
      <c r="Q320" s="4" t="b">
        <f>AND(((P320)=TRUE), ((K320)=TRUE))</f>
        <v>0</v>
      </c>
      <c r="R320" s="4" t="str">
        <f>IF(((O320)=TRUE),  I320,  "")</f>
        <v>suite-substrate</v>
      </c>
      <c r="S320" s="4" t="str">
        <f>IF(((Q320)=TRUE),  I320,  "")</f>
      </c>
      <c r="T320" s="3" t="s">
        <v>6001</v>
      </c>
    </row>
    <row r="321">
      <c r="A321" s="3" t="s">
        <v>6356</v>
      </c>
      <c r="B321" s="4" t="str">
        <f>C321 &amp; ": " &amp; D321</f>
        <v>formula-translates: Exceptions.ActiveExceptionStepKey</v>
      </c>
      <c r="C321" s="3" t="s">
        <v>6104</v>
      </c>
      <c r="D321" s="3" t="s">
        <v>3171</v>
      </c>
      <c r="E321" s="3" t="s">
        <v>3161</v>
      </c>
      <c r="F321" s="3" t="s">
        <v>1005</v>
      </c>
      <c r="G321" s="3" t="s">
        <v>6105</v>
      </c>
      <c r="H321" s="3" t="s">
        <v>1971</v>
      </c>
      <c r="I321" s="3" t="s">
        <v>5986</v>
      </c>
      <c r="J321" s="3" t="s">
        <v>5999</v>
      </c>
      <c r="K321" s="4" t="b">
        <f>J321 = "blocking"</f>
        <v>1</v>
      </c>
      <c r="L321" s="3" t="s">
        <v>1448</v>
      </c>
      <c r="M321" s="3" t="s">
        <v>6106</v>
      </c>
      <c r="N321" s="5">
        <v>46223.1297337963</v>
      </c>
      <c r="O321" s="4" t="b">
        <f>L321 = "PASS"</f>
        <v>1</v>
      </c>
      <c r="P321" s="4" t="b">
        <f>L321 = "FAIL"</f>
        <v>0</v>
      </c>
      <c r="Q321" s="4" t="b">
        <f>AND(((P321)=TRUE), ((K321)=TRUE))</f>
        <v>0</v>
      </c>
      <c r="R321" s="4" t="str">
        <f>IF(((O321)=TRUE),  I321,  "")</f>
        <v>suite-substrate</v>
      </c>
      <c r="S321" s="4" t="str">
        <f>IF(((Q321)=TRUE),  I321,  "")</f>
      </c>
      <c r="T321" s="3" t="s">
        <v>6001</v>
      </c>
    </row>
    <row r="322">
      <c r="A322" s="3" t="s">
        <v>6357</v>
      </c>
      <c r="B322" s="4" t="str">
        <f>C322 &amp; ": " &amp; D322</f>
        <v>formula-translates: Resources.Name</v>
      </c>
      <c r="C322" s="3" t="s">
        <v>6104</v>
      </c>
      <c r="D322" s="3" t="s">
        <v>3175</v>
      </c>
      <c r="E322" s="3" t="s">
        <v>1811</v>
      </c>
      <c r="F322" s="3" t="s">
        <v>1</v>
      </c>
      <c r="G322" s="3" t="s">
        <v>6105</v>
      </c>
      <c r="H322" s="3"/>
      <c r="I322" s="3" t="s">
        <v>5986</v>
      </c>
      <c r="J322" s="3" t="s">
        <v>5999</v>
      </c>
      <c r="K322" s="4" t="b">
        <f>J322 = "blocking"</f>
        <v>1</v>
      </c>
      <c r="L322" s="3" t="s">
        <v>1448</v>
      </c>
      <c r="M322" s="3" t="s">
        <v>6106</v>
      </c>
      <c r="N322" s="5">
        <v>46223.1297337963</v>
      </c>
      <c r="O322" s="4" t="b">
        <f>L322 = "PASS"</f>
        <v>1</v>
      </c>
      <c r="P322" s="4" t="b">
        <f>L322 = "FAIL"</f>
        <v>0</v>
      </c>
      <c r="Q322" s="4" t="b">
        <f>AND(((P322)=TRUE), ((K322)=TRUE))</f>
        <v>0</v>
      </c>
      <c r="R322" s="4" t="str">
        <f>IF(((O322)=TRUE),  I322,  "")</f>
        <v>suite-substrate</v>
      </c>
      <c r="S322" s="4" t="str">
        <f>IF(((Q322)=TRUE),  I322,  "")</f>
      </c>
      <c r="T322" s="3" t="s">
        <v>6001</v>
      </c>
    </row>
    <row r="323">
      <c r="A323" s="3" t="s">
        <v>6358</v>
      </c>
      <c r="B323" s="4" t="str">
        <f>C323 &amp; ": " &amp; D323</f>
        <v>formula-translates: Resources.IsApprovedSource</v>
      </c>
      <c r="C323" s="3" t="s">
        <v>6104</v>
      </c>
      <c r="D323" s="3" t="s">
        <v>3183</v>
      </c>
      <c r="E323" s="3" t="s">
        <v>1811</v>
      </c>
      <c r="F323" s="3" t="s">
        <v>1025</v>
      </c>
      <c r="G323" s="3" t="s">
        <v>6105</v>
      </c>
      <c r="H323" s="3" t="s">
        <v>2183</v>
      </c>
      <c r="I323" s="3" t="s">
        <v>5986</v>
      </c>
      <c r="J323" s="3" t="s">
        <v>5999</v>
      </c>
      <c r="K323" s="4" t="b">
        <f>J323 = "blocking"</f>
        <v>1</v>
      </c>
      <c r="L323" s="3" t="s">
        <v>1448</v>
      </c>
      <c r="M323" s="3" t="s">
        <v>6106</v>
      </c>
      <c r="N323" s="5">
        <v>46223.1297337963</v>
      </c>
      <c r="O323" s="4" t="b">
        <f>L323 = "PASS"</f>
        <v>1</v>
      </c>
      <c r="P323" s="4" t="b">
        <f>L323 = "FAIL"</f>
        <v>0</v>
      </c>
      <c r="Q323" s="4" t="b">
        <f>AND(((P323)=TRUE), ((K323)=TRUE))</f>
        <v>0</v>
      </c>
      <c r="R323" s="4" t="str">
        <f>IF(((O323)=TRUE),  I323,  "")</f>
        <v>suite-substrate</v>
      </c>
      <c r="S323" s="4" t="str">
        <f>IF(((Q323)=TRUE),  I323,  "")</f>
      </c>
      <c r="T323" s="3" t="s">
        <v>6001</v>
      </c>
    </row>
    <row r="324">
      <c r="A324" s="3" t="s">
        <v>6359</v>
      </c>
      <c r="B324" s="4" t="str">
        <f>C324 &amp; ": " &amp; D324</f>
        <v>formula-translates: ProcedureResources.Name</v>
      </c>
      <c r="C324" s="3" t="s">
        <v>6104</v>
      </c>
      <c r="D324" s="3" t="s">
        <v>3188</v>
      </c>
      <c r="E324" s="3" t="s">
        <v>3187</v>
      </c>
      <c r="F324" s="3" t="s">
        <v>1</v>
      </c>
      <c r="G324" s="3" t="s">
        <v>6105</v>
      </c>
      <c r="H324" s="3"/>
      <c r="I324" s="3" t="s">
        <v>5986</v>
      </c>
      <c r="J324" s="3" t="s">
        <v>5999</v>
      </c>
      <c r="K324" s="4" t="b">
        <f>J324 = "blocking"</f>
        <v>1</v>
      </c>
      <c r="L324" s="3" t="s">
        <v>1448</v>
      </c>
      <c r="M324" s="3" t="s">
        <v>6106</v>
      </c>
      <c r="N324" s="5">
        <v>46223.1297337963</v>
      </c>
      <c r="O324" s="4" t="b">
        <f>L324 = "PASS"</f>
        <v>1</v>
      </c>
      <c r="P324" s="4" t="b">
        <f>L324 = "FAIL"</f>
        <v>0</v>
      </c>
      <c r="Q324" s="4" t="b">
        <f>AND(((P324)=TRUE), ((K324)=TRUE))</f>
        <v>0</v>
      </c>
      <c r="R324" s="4" t="str">
        <f>IF(((O324)=TRUE),  I324,  "")</f>
        <v>suite-substrate</v>
      </c>
      <c r="S324" s="4" t="str">
        <f>IF(((Q324)=TRUE),  I324,  "")</f>
      </c>
      <c r="T324" s="3" t="s">
        <v>6001</v>
      </c>
    </row>
    <row r="325">
      <c r="A325" s="3" t="s">
        <v>6360</v>
      </c>
      <c r="B325" s="4" t="str">
        <f>C325 &amp; ": " &amp; D325</f>
        <v>formula-translates: ProcedureResources.RelationIri</v>
      </c>
      <c r="C325" s="3" t="s">
        <v>6104</v>
      </c>
      <c r="D325" s="3" t="s">
        <v>3193</v>
      </c>
      <c r="E325" s="3" t="s">
        <v>3187</v>
      </c>
      <c r="F325" s="3" t="s">
        <v>471</v>
      </c>
      <c r="G325" s="3" t="s">
        <v>6105</v>
      </c>
      <c r="H325" s="3"/>
      <c r="I325" s="3" t="s">
        <v>5986</v>
      </c>
      <c r="J325" s="3" t="s">
        <v>5999</v>
      </c>
      <c r="K325" s="4" t="b">
        <f>J325 = "blocking"</f>
        <v>1</v>
      </c>
      <c r="L325" s="3" t="s">
        <v>1448</v>
      </c>
      <c r="M325" s="3" t="s">
        <v>6106</v>
      </c>
      <c r="N325" s="5">
        <v>46223.1297337963</v>
      </c>
      <c r="O325" s="4" t="b">
        <f>L325 = "PASS"</f>
        <v>1</v>
      </c>
      <c r="P325" s="4" t="b">
        <f>L325 = "FAIL"</f>
        <v>0</v>
      </c>
      <c r="Q325" s="4" t="b">
        <f>AND(((P325)=TRUE), ((K325)=TRUE))</f>
        <v>0</v>
      </c>
      <c r="R325" s="4" t="str">
        <f>IF(((O325)=TRUE),  I325,  "")</f>
        <v>suite-substrate</v>
      </c>
      <c r="S325" s="4" t="str">
        <f>IF(((Q325)=TRUE),  I325,  "")</f>
      </c>
      <c r="T325" s="3" t="s">
        <v>6001</v>
      </c>
    </row>
    <row r="326">
      <c r="A326" s="3" t="s">
        <v>6361</v>
      </c>
      <c r="B326" s="4" t="str">
        <f>C326 &amp; ": " &amp; D326</f>
        <v>formula-translates: ElicitationSessions.Name</v>
      </c>
      <c r="C326" s="3" t="s">
        <v>6104</v>
      </c>
      <c r="D326" s="3" t="s">
        <v>3196</v>
      </c>
      <c r="E326" s="3" t="s">
        <v>1855</v>
      </c>
      <c r="F326" s="3" t="s">
        <v>1</v>
      </c>
      <c r="G326" s="3" t="s">
        <v>6105</v>
      </c>
      <c r="H326" s="3"/>
      <c r="I326" s="3" t="s">
        <v>5986</v>
      </c>
      <c r="J326" s="3" t="s">
        <v>5999</v>
      </c>
      <c r="K326" s="4" t="b">
        <f>J326 = "blocking"</f>
        <v>1</v>
      </c>
      <c r="L326" s="3" t="s">
        <v>1448</v>
      </c>
      <c r="M326" s="3" t="s">
        <v>6106</v>
      </c>
      <c r="N326" s="5">
        <v>46223.1297337963</v>
      </c>
      <c r="O326" s="4" t="b">
        <f>L326 = "PASS"</f>
        <v>1</v>
      </c>
      <c r="P326" s="4" t="b">
        <f>L326 = "FAIL"</f>
        <v>0</v>
      </c>
      <c r="Q326" s="4" t="b">
        <f>AND(((P326)=TRUE), ((K326)=TRUE))</f>
        <v>0</v>
      </c>
      <c r="R326" s="4" t="str">
        <f>IF(((O326)=TRUE),  I326,  "")</f>
        <v>suite-substrate</v>
      </c>
      <c r="S326" s="4" t="str">
        <f>IF(((Q326)=TRUE),  I326,  "")</f>
      </c>
      <c r="T326" s="3" t="s">
        <v>6001</v>
      </c>
    </row>
    <row r="327">
      <c r="A327" s="3" t="s">
        <v>6362</v>
      </c>
      <c r="B327" s="4" t="str">
        <f>C327 &amp; ": " &amp; D327</f>
        <v>formula-translates: ElicitationSessions.AsOfInstant</v>
      </c>
      <c r="C327" s="3" t="s">
        <v>6104</v>
      </c>
      <c r="D327" s="3" t="s">
        <v>3207</v>
      </c>
      <c r="E327" s="3" t="s">
        <v>1855</v>
      </c>
      <c r="F327" s="3" t="s">
        <v>92</v>
      </c>
      <c r="G327" s="3" t="s">
        <v>6105</v>
      </c>
      <c r="H327" s="3"/>
      <c r="I327" s="3" t="s">
        <v>5986</v>
      </c>
      <c r="J327" s="3" t="s">
        <v>5999</v>
      </c>
      <c r="K327" s="4" t="b">
        <f>J327 = "blocking"</f>
        <v>1</v>
      </c>
      <c r="L327" s="3" t="s">
        <v>1448</v>
      </c>
      <c r="M327" s="3" t="s">
        <v>6106</v>
      </c>
      <c r="N327" s="5">
        <v>46223.1297337963</v>
      </c>
      <c r="O327" s="4" t="b">
        <f>L327 = "PASS"</f>
        <v>1</v>
      </c>
      <c r="P327" s="4" t="b">
        <f>L327 = "FAIL"</f>
        <v>0</v>
      </c>
      <c r="Q327" s="4" t="b">
        <f>AND(((P327)=TRUE), ((K327)=TRUE))</f>
        <v>0</v>
      </c>
      <c r="R327" s="4" t="str">
        <f>IF(((O327)=TRUE),  I327,  "")</f>
        <v>suite-substrate</v>
      </c>
      <c r="S327" s="4" t="str">
        <f>IF(((Q327)=TRUE),  I327,  "")</f>
      </c>
      <c r="T327" s="3" t="s">
        <v>6001</v>
      </c>
    </row>
    <row r="328">
      <c r="A328" s="3" t="s">
        <v>6363</v>
      </c>
      <c r="B328" s="4" t="str">
        <f>C328 &amp; ": " &amp; D328</f>
        <v>formula-translates: ElicitationSessions.DaysSinceElicited</v>
      </c>
      <c r="C328" s="3" t="s">
        <v>6104</v>
      </c>
      <c r="D328" s="3" t="s">
        <v>3208</v>
      </c>
      <c r="E328" s="3" t="s">
        <v>1855</v>
      </c>
      <c r="F328" s="3" t="s">
        <v>1085</v>
      </c>
      <c r="G328" s="3" t="s">
        <v>6105</v>
      </c>
      <c r="H328" s="3" t="s">
        <v>2047</v>
      </c>
      <c r="I328" s="3" t="s">
        <v>5986</v>
      </c>
      <c r="J328" s="3" t="s">
        <v>5999</v>
      </c>
      <c r="K328" s="4" t="b">
        <f>J328 = "blocking"</f>
        <v>1</v>
      </c>
      <c r="L328" s="3" t="s">
        <v>1448</v>
      </c>
      <c r="M328" s="3" t="s">
        <v>6106</v>
      </c>
      <c r="N328" s="5">
        <v>46223.1297337963</v>
      </c>
      <c r="O328" s="4" t="b">
        <f>L328 = "PASS"</f>
        <v>1</v>
      </c>
      <c r="P328" s="4" t="b">
        <f>L328 = "FAIL"</f>
        <v>0</v>
      </c>
      <c r="Q328" s="4" t="b">
        <f>AND(((P328)=TRUE), ((K328)=TRUE))</f>
        <v>0</v>
      </c>
      <c r="R328" s="4" t="str">
        <f>IF(((O328)=TRUE),  I328,  "")</f>
        <v>suite-substrate</v>
      </c>
      <c r="S328" s="4" t="str">
        <f>IF(((Q328)=TRUE),  I328,  "")</f>
      </c>
      <c r="T328" s="3" t="s">
        <v>6001</v>
      </c>
    </row>
    <row r="329">
      <c r="A329" s="3" t="s">
        <v>6364</v>
      </c>
      <c r="B329" s="4" t="str">
        <f>C329 &amp; ": " &amp; D329</f>
        <v>formula-translates: ElicitationSessions.IsSingleWitnessMethod</v>
      </c>
      <c r="C329" s="3" t="s">
        <v>6104</v>
      </c>
      <c r="D329" s="3" t="s">
        <v>3210</v>
      </c>
      <c r="E329" s="3" t="s">
        <v>1855</v>
      </c>
      <c r="F329" s="3" t="s">
        <v>1086</v>
      </c>
      <c r="G329" s="3" t="s">
        <v>6105</v>
      </c>
      <c r="H329" s="3" t="s">
        <v>2047</v>
      </c>
      <c r="I329" s="3" t="s">
        <v>5986</v>
      </c>
      <c r="J329" s="3" t="s">
        <v>5999</v>
      </c>
      <c r="K329" s="4" t="b">
        <f>J329 = "blocking"</f>
        <v>1</v>
      </c>
      <c r="L329" s="3" t="s">
        <v>1448</v>
      </c>
      <c r="M329" s="3" t="s">
        <v>6106</v>
      </c>
      <c r="N329" s="5">
        <v>46223.1297337963</v>
      </c>
      <c r="O329" s="4" t="b">
        <f>L329 = "PASS"</f>
        <v>1</v>
      </c>
      <c r="P329" s="4" t="b">
        <f>L329 = "FAIL"</f>
        <v>0</v>
      </c>
      <c r="Q329" s="4" t="b">
        <f>AND(((P329)=TRUE), ((K329)=TRUE))</f>
        <v>0</v>
      </c>
      <c r="R329" s="4" t="str">
        <f>IF(((O329)=TRUE),  I329,  "")</f>
        <v>suite-substrate</v>
      </c>
      <c r="S329" s="4" t="str">
        <f>IF(((Q329)=TRUE),  I329,  "")</f>
      </c>
      <c r="T329" s="3" t="s">
        <v>6001</v>
      </c>
    </row>
    <row r="330">
      <c r="A330" s="3" t="s">
        <v>6365</v>
      </c>
      <c r="B330" s="4" t="str">
        <f>C330 &amp; ": " &amp; D330</f>
        <v>formula-translates: ElicitationSessions.PractitionerIsStillEngaged</v>
      </c>
      <c r="C330" s="3" t="s">
        <v>6104</v>
      </c>
      <c r="D330" s="3" t="s">
        <v>3212</v>
      </c>
      <c r="E330" s="3" t="s">
        <v>1855</v>
      </c>
      <c r="F330" s="3" t="s">
        <v>1087</v>
      </c>
      <c r="G330" s="3" t="s">
        <v>6105</v>
      </c>
      <c r="H330" s="3" t="s">
        <v>2047</v>
      </c>
      <c r="I330" s="3" t="s">
        <v>5986</v>
      </c>
      <c r="J330" s="3" t="s">
        <v>5999</v>
      </c>
      <c r="K330" s="4" t="b">
        <f>J330 = "blocking"</f>
        <v>1</v>
      </c>
      <c r="L330" s="3" t="s">
        <v>1448</v>
      </c>
      <c r="M330" s="3" t="s">
        <v>6106</v>
      </c>
      <c r="N330" s="5">
        <v>46223.1297337963</v>
      </c>
      <c r="O330" s="4" t="b">
        <f>L330 = "PASS"</f>
        <v>1</v>
      </c>
      <c r="P330" s="4" t="b">
        <f>L330 = "FAIL"</f>
        <v>0</v>
      </c>
      <c r="Q330" s="4" t="b">
        <f>AND(((P330)=TRUE), ((K330)=TRUE))</f>
        <v>0</v>
      </c>
      <c r="R330" s="4" t="str">
        <f>IF(((O330)=TRUE),  I330,  "")</f>
        <v>suite-substrate</v>
      </c>
      <c r="S330" s="4" t="str">
        <f>IF(((Q330)=TRUE),  I330,  "")</f>
      </c>
      <c r="T330" s="3" t="s">
        <v>6001</v>
      </c>
    </row>
    <row r="331">
      <c r="A331" s="3" t="s">
        <v>6366</v>
      </c>
      <c r="B331" s="4" t="str">
        <f>C331 &amp; ": " &amp; D331</f>
        <v>formula-translates: ElicitationSessions.ValidFragmentsProduced</v>
      </c>
      <c r="C331" s="3" t="s">
        <v>6104</v>
      </c>
      <c r="D331" s="3" t="s">
        <v>3214</v>
      </c>
      <c r="E331" s="3" t="s">
        <v>1855</v>
      </c>
      <c r="F331" s="3" t="s">
        <v>1088</v>
      </c>
      <c r="G331" s="3" t="s">
        <v>6105</v>
      </c>
      <c r="H331" s="3" t="s">
        <v>2207</v>
      </c>
      <c r="I331" s="3" t="s">
        <v>5986</v>
      </c>
      <c r="J331" s="3" t="s">
        <v>5999</v>
      </c>
      <c r="K331" s="4" t="b">
        <f>J331 = "blocking"</f>
        <v>1</v>
      </c>
      <c r="L331" s="3" t="s">
        <v>1448</v>
      </c>
      <c r="M331" s="3" t="s">
        <v>6106</v>
      </c>
      <c r="N331" s="5">
        <v>46223.1297337963</v>
      </c>
      <c r="O331" s="4" t="b">
        <f>L331 = "PASS"</f>
        <v>1</v>
      </c>
      <c r="P331" s="4" t="b">
        <f>L331 = "FAIL"</f>
        <v>0</v>
      </c>
      <c r="Q331" s="4" t="b">
        <f>AND(((P331)=TRUE), ((K331)=TRUE))</f>
        <v>0</v>
      </c>
      <c r="R331" s="4" t="str">
        <f>IF(((O331)=TRUE),  I331,  "")</f>
        <v>suite-substrate</v>
      </c>
      <c r="S331" s="4" t="str">
        <f>IF(((Q331)=TRUE),  I331,  "")</f>
      </c>
      <c r="T331" s="3" t="s">
        <v>6001</v>
      </c>
    </row>
    <row r="332">
      <c r="A332" s="3" t="s">
        <v>6367</v>
      </c>
      <c r="B332" s="4" t="str">
        <f>C332 &amp; ": " &amp; D332</f>
        <v>formula-translates: ElicitationSessions.IsHighYieldSession</v>
      </c>
      <c r="C332" s="3" t="s">
        <v>6104</v>
      </c>
      <c r="D332" s="3" t="s">
        <v>3216</v>
      </c>
      <c r="E332" s="3" t="s">
        <v>1855</v>
      </c>
      <c r="F332" s="3" t="s">
        <v>1089</v>
      </c>
      <c r="G332" s="3" t="s">
        <v>6105</v>
      </c>
      <c r="H332" s="3" t="s">
        <v>2207</v>
      </c>
      <c r="I332" s="3" t="s">
        <v>5986</v>
      </c>
      <c r="J332" s="3" t="s">
        <v>5999</v>
      </c>
      <c r="K332" s="4" t="b">
        <f>J332 = "blocking"</f>
        <v>1</v>
      </c>
      <c r="L332" s="3" t="s">
        <v>1448</v>
      </c>
      <c r="M332" s="3" t="s">
        <v>6106</v>
      </c>
      <c r="N332" s="5">
        <v>46223.1297337963</v>
      </c>
      <c r="O332" s="4" t="b">
        <f>L332 = "PASS"</f>
        <v>1</v>
      </c>
      <c r="P332" s="4" t="b">
        <f>L332 = "FAIL"</f>
        <v>0</v>
      </c>
      <c r="Q332" s="4" t="b">
        <f>AND(((P332)=TRUE), ((K332)=TRUE))</f>
        <v>0</v>
      </c>
      <c r="R332" s="4" t="str">
        <f>IF(((O332)=TRUE),  I332,  "")</f>
        <v>suite-substrate</v>
      </c>
      <c r="S332" s="4" t="str">
        <f>IF(((Q332)=TRUE),  I332,  "")</f>
      </c>
      <c r="T332" s="3" t="s">
        <v>6001</v>
      </c>
    </row>
    <row r="333">
      <c r="A333" s="3" t="s">
        <v>6368</v>
      </c>
      <c r="B333" s="4" t="str">
        <f>C333 &amp; ": " &amp; D333</f>
        <v>formula-translates: ElicitationSessions.IsConcentratedSingleWitness</v>
      </c>
      <c r="C333" s="3" t="s">
        <v>6104</v>
      </c>
      <c r="D333" s="3" t="s">
        <v>3218</v>
      </c>
      <c r="E333" s="3" t="s">
        <v>1855</v>
      </c>
      <c r="F333" s="3" t="s">
        <v>1090</v>
      </c>
      <c r="G333" s="3" t="s">
        <v>6105</v>
      </c>
      <c r="H333" s="3" t="s">
        <v>2207</v>
      </c>
      <c r="I333" s="3" t="s">
        <v>5986</v>
      </c>
      <c r="J333" s="3" t="s">
        <v>5999</v>
      </c>
      <c r="K333" s="4" t="b">
        <f>J333 = "blocking"</f>
        <v>1</v>
      </c>
      <c r="L333" s="3" t="s">
        <v>1448</v>
      </c>
      <c r="M333" s="3" t="s">
        <v>6106</v>
      </c>
      <c r="N333" s="5">
        <v>46223.1297337963</v>
      </c>
      <c r="O333" s="4" t="b">
        <f>L333 = "PASS"</f>
        <v>1</v>
      </c>
      <c r="P333" s="4" t="b">
        <f>L333 = "FAIL"</f>
        <v>0</v>
      </c>
      <c r="Q333" s="4" t="b">
        <f>AND(((P333)=TRUE), ((K333)=TRUE))</f>
        <v>0</v>
      </c>
      <c r="R333" s="4" t="str">
        <f>IF(((O333)=TRUE),  I333,  "")</f>
        <v>suite-substrate</v>
      </c>
      <c r="S333" s="4" t="str">
        <f>IF(((Q333)=TRUE),  I333,  "")</f>
      </c>
      <c r="T333" s="3" t="s">
        <v>6001</v>
      </c>
    </row>
    <row r="334">
      <c r="A334" s="3" t="s">
        <v>6369</v>
      </c>
      <c r="B334" s="4" t="str">
        <f>C334 &amp; ": " &amp; D334</f>
        <v>formula-translates: ElicitationSessions.IsStaleConcentratedWitness</v>
      </c>
      <c r="C334" s="3" t="s">
        <v>6104</v>
      </c>
      <c r="D334" s="3" t="s">
        <v>3220</v>
      </c>
      <c r="E334" s="3" t="s">
        <v>1855</v>
      </c>
      <c r="F334" s="3" t="s">
        <v>1091</v>
      </c>
      <c r="G334" s="3" t="s">
        <v>6105</v>
      </c>
      <c r="H334" s="3" t="s">
        <v>2207</v>
      </c>
      <c r="I334" s="3" t="s">
        <v>5986</v>
      </c>
      <c r="J334" s="3" t="s">
        <v>5999</v>
      </c>
      <c r="K334" s="4" t="b">
        <f>J334 = "blocking"</f>
        <v>1</v>
      </c>
      <c r="L334" s="3" t="s">
        <v>1448</v>
      </c>
      <c r="M334" s="3" t="s">
        <v>6106</v>
      </c>
      <c r="N334" s="5">
        <v>46223.1297337963</v>
      </c>
      <c r="O334" s="4" t="b">
        <f>L334 = "PASS"</f>
        <v>1</v>
      </c>
      <c r="P334" s="4" t="b">
        <f>L334 = "FAIL"</f>
        <v>0</v>
      </c>
      <c r="Q334" s="4" t="b">
        <f>AND(((P334)=TRUE), ((K334)=TRUE))</f>
        <v>0</v>
      </c>
      <c r="R334" s="4" t="str">
        <f>IF(((O334)=TRUE),  I334,  "")</f>
        <v>suite-substrate</v>
      </c>
      <c r="S334" s="4" t="str">
        <f>IF(((Q334)=TRUE),  I334,  "")</f>
      </c>
      <c r="T334" s="3" t="s">
        <v>6001</v>
      </c>
    </row>
    <row r="335">
      <c r="A335" s="3" t="s">
        <v>6370</v>
      </c>
      <c r="B335" s="4" t="str">
        <f>C335 &amp; ": " &amp; D335</f>
        <v>formula-translates: ElicitationSessions.ConcentratedSessionVersionKey</v>
      </c>
      <c r="C335" s="3" t="s">
        <v>6104</v>
      </c>
      <c r="D335" s="3" t="s">
        <v>3222</v>
      </c>
      <c r="E335" s="3" t="s">
        <v>1855</v>
      </c>
      <c r="F335" s="3" t="s">
        <v>1092</v>
      </c>
      <c r="G335" s="3" t="s">
        <v>6105</v>
      </c>
      <c r="H335" s="3" t="s">
        <v>2207</v>
      </c>
      <c r="I335" s="3" t="s">
        <v>5986</v>
      </c>
      <c r="J335" s="3" t="s">
        <v>5999</v>
      </c>
      <c r="K335" s="4" t="b">
        <f>J335 = "blocking"</f>
        <v>1</v>
      </c>
      <c r="L335" s="3" t="s">
        <v>1448</v>
      </c>
      <c r="M335" s="3" t="s">
        <v>6106</v>
      </c>
      <c r="N335" s="5">
        <v>46223.1297337963</v>
      </c>
      <c r="O335" s="4" t="b">
        <f>L335 = "PASS"</f>
        <v>1</v>
      </c>
      <c r="P335" s="4" t="b">
        <f>L335 = "FAIL"</f>
        <v>0</v>
      </c>
      <c r="Q335" s="4" t="b">
        <f>AND(((P335)=TRUE), ((K335)=TRUE))</f>
        <v>0</v>
      </c>
      <c r="R335" s="4" t="str">
        <f>IF(((O335)=TRUE),  I335,  "")</f>
        <v>suite-substrate</v>
      </c>
      <c r="S335" s="4" t="str">
        <f>IF(((Q335)=TRUE),  I335,  "")</f>
      </c>
      <c r="T335" s="3" t="s">
        <v>6001</v>
      </c>
    </row>
    <row r="336">
      <c r="A336" s="3" t="s">
        <v>6371</v>
      </c>
      <c r="B336" s="4" t="str">
        <f>C336 &amp; ": " &amp; D336</f>
        <v>formula-translates: KnowledgeFragments.Name</v>
      </c>
      <c r="C336" s="3" t="s">
        <v>6104</v>
      </c>
      <c r="D336" s="3" t="s">
        <v>3226</v>
      </c>
      <c r="E336" s="3" t="s">
        <v>1851</v>
      </c>
      <c r="F336" s="3" t="s">
        <v>1</v>
      </c>
      <c r="G336" s="3" t="s">
        <v>6105</v>
      </c>
      <c r="H336" s="3"/>
      <c r="I336" s="3" t="s">
        <v>5986</v>
      </c>
      <c r="J336" s="3" t="s">
        <v>5999</v>
      </c>
      <c r="K336" s="4" t="b">
        <f>J336 = "blocking"</f>
        <v>1</v>
      </c>
      <c r="L336" s="3" t="s">
        <v>1448</v>
      </c>
      <c r="M336" s="3" t="s">
        <v>6106</v>
      </c>
      <c r="N336" s="5">
        <v>46223.1297337963</v>
      </c>
      <c r="O336" s="4" t="b">
        <f>L336 = "PASS"</f>
        <v>1</v>
      </c>
      <c r="P336" s="4" t="b">
        <f>L336 = "FAIL"</f>
        <v>0</v>
      </c>
      <c r="Q336" s="4" t="b">
        <f>AND(((P336)=TRUE), ((K336)=TRUE))</f>
        <v>0</v>
      </c>
      <c r="R336" s="4" t="str">
        <f>IF(((O336)=TRUE),  I336,  "")</f>
        <v>suite-substrate</v>
      </c>
      <c r="S336" s="4" t="str">
        <f>IF(((Q336)=TRUE),  I336,  "")</f>
      </c>
      <c r="T336" s="3" t="s">
        <v>6001</v>
      </c>
    </row>
    <row r="337">
      <c r="A337" s="3" t="s">
        <v>6372</v>
      </c>
      <c r="B337" s="4" t="str">
        <f>C337 &amp; ": " &amp; D337</f>
        <v>formula-translates: KnowledgeFragments.AsOfInstant</v>
      </c>
      <c r="C337" s="3" t="s">
        <v>6104</v>
      </c>
      <c r="D337" s="3" t="s">
        <v>3240</v>
      </c>
      <c r="E337" s="3" t="s">
        <v>1851</v>
      </c>
      <c r="F337" s="3" t="s">
        <v>92</v>
      </c>
      <c r="G337" s="3" t="s">
        <v>6105</v>
      </c>
      <c r="H337" s="3"/>
      <c r="I337" s="3" t="s">
        <v>5986</v>
      </c>
      <c r="J337" s="3" t="s">
        <v>5999</v>
      </c>
      <c r="K337" s="4" t="b">
        <f>J337 = "blocking"</f>
        <v>1</v>
      </c>
      <c r="L337" s="3" t="s">
        <v>1448</v>
      </c>
      <c r="M337" s="3" t="s">
        <v>6106</v>
      </c>
      <c r="N337" s="5">
        <v>46223.1297337963</v>
      </c>
      <c r="O337" s="4" t="b">
        <f>L337 = "PASS"</f>
        <v>1</v>
      </c>
      <c r="P337" s="4" t="b">
        <f>L337 = "FAIL"</f>
        <v>0</v>
      </c>
      <c r="Q337" s="4" t="b">
        <f>AND(((P337)=TRUE), ((K337)=TRUE))</f>
        <v>0</v>
      </c>
      <c r="R337" s="4" t="str">
        <f>IF(((O337)=TRUE),  I337,  "")</f>
        <v>suite-substrate</v>
      </c>
      <c r="S337" s="4" t="str">
        <f>IF(((Q337)=TRUE),  I337,  "")</f>
      </c>
      <c r="T337" s="3" t="s">
        <v>6001</v>
      </c>
    </row>
    <row r="338">
      <c r="A338" s="3" t="s">
        <v>6373</v>
      </c>
      <c r="B338" s="4" t="str">
        <f>C338 &amp; ": " &amp; D338</f>
        <v>formula-translates: KnowledgeFragments.IsCurrentlyValid</v>
      </c>
      <c r="C338" s="3" t="s">
        <v>6104</v>
      </c>
      <c r="D338" s="3" t="s">
        <v>3241</v>
      </c>
      <c r="E338" s="3" t="s">
        <v>1851</v>
      </c>
      <c r="F338" s="3" t="s">
        <v>260</v>
      </c>
      <c r="G338" s="3" t="s">
        <v>6105</v>
      </c>
      <c r="H338" s="3"/>
      <c r="I338" s="3" t="s">
        <v>5986</v>
      </c>
      <c r="J338" s="3" t="s">
        <v>5999</v>
      </c>
      <c r="K338" s="4" t="b">
        <f>J338 = "blocking"</f>
        <v>1</v>
      </c>
      <c r="L338" s="3" t="s">
        <v>1448</v>
      </c>
      <c r="M338" s="3" t="s">
        <v>6106</v>
      </c>
      <c r="N338" s="5">
        <v>46223.1297337963</v>
      </c>
      <c r="O338" s="4" t="b">
        <f>L338 = "PASS"</f>
        <v>1</v>
      </c>
      <c r="P338" s="4" t="b">
        <f>L338 = "FAIL"</f>
        <v>0</v>
      </c>
      <c r="Q338" s="4" t="b">
        <f>AND(((P338)=TRUE), ((K338)=TRUE))</f>
        <v>0</v>
      </c>
      <c r="R338" s="4" t="str">
        <f>IF(((O338)=TRUE),  I338,  "")</f>
        <v>suite-substrate</v>
      </c>
      <c r="S338" s="4" t="str">
        <f>IF(((Q338)=TRUE),  I338,  "")</f>
      </c>
      <c r="T338" s="3" t="s">
        <v>6001</v>
      </c>
    </row>
    <row r="339">
      <c r="A339" s="3" t="s">
        <v>6374</v>
      </c>
      <c r="B339" s="4" t="str">
        <f>C339 &amp; ": " &amp; D339</f>
        <v>formula-translates: KnowledgeFragments.SourceAgentIsStillEngaged</v>
      </c>
      <c r="C339" s="3" t="s">
        <v>6104</v>
      </c>
      <c r="D339" s="3" t="s">
        <v>3243</v>
      </c>
      <c r="E339" s="3" t="s">
        <v>1851</v>
      </c>
      <c r="F339" s="3" t="s">
        <v>1109</v>
      </c>
      <c r="G339" s="3" t="s">
        <v>6105</v>
      </c>
      <c r="H339" s="3" t="s">
        <v>2039</v>
      </c>
      <c r="I339" s="3" t="s">
        <v>5986</v>
      </c>
      <c r="J339" s="3" t="s">
        <v>5999</v>
      </c>
      <c r="K339" s="4" t="b">
        <f>J339 = "blocking"</f>
        <v>1</v>
      </c>
      <c r="L339" s="3" t="s">
        <v>1448</v>
      </c>
      <c r="M339" s="3" t="s">
        <v>6106</v>
      </c>
      <c r="N339" s="5">
        <v>46223.1297337963</v>
      </c>
      <c r="O339" s="4" t="b">
        <f>L339 = "PASS"</f>
        <v>1</v>
      </c>
      <c r="P339" s="4" t="b">
        <f>L339 = "FAIL"</f>
        <v>0</v>
      </c>
      <c r="Q339" s="4" t="b">
        <f>AND(((P339)=TRUE), ((K339)=TRUE))</f>
        <v>0</v>
      </c>
      <c r="R339" s="4" t="str">
        <f>IF(((O339)=TRUE),  I339,  "")</f>
        <v>suite-substrate</v>
      </c>
      <c r="S339" s="4" t="str">
        <f>IF(((Q339)=TRUE),  I339,  "")</f>
      </c>
      <c r="T339" s="3" t="s">
        <v>6001</v>
      </c>
    </row>
    <row r="340">
      <c r="A340" s="3" t="s">
        <v>6375</v>
      </c>
      <c r="B340" s="4" t="str">
        <f>C340 &amp; ": " &amp; D340</f>
        <v>formula-translates: KnowledgeFragments.SourceAgentKind</v>
      </c>
      <c r="C340" s="3" t="s">
        <v>6104</v>
      </c>
      <c r="D340" s="3" t="s">
        <v>3245</v>
      </c>
      <c r="E340" s="3" t="s">
        <v>1851</v>
      </c>
      <c r="F340" s="3" t="s">
        <v>1110</v>
      </c>
      <c r="G340" s="3" t="s">
        <v>6105</v>
      </c>
      <c r="H340" s="3" t="s">
        <v>2039</v>
      </c>
      <c r="I340" s="3" t="s">
        <v>5986</v>
      </c>
      <c r="J340" s="3" t="s">
        <v>5999</v>
      </c>
      <c r="K340" s="4" t="b">
        <f>J340 = "blocking"</f>
        <v>1</v>
      </c>
      <c r="L340" s="3" t="s">
        <v>1448</v>
      </c>
      <c r="M340" s="3" t="s">
        <v>6106</v>
      </c>
      <c r="N340" s="5">
        <v>46223.1297337963</v>
      </c>
      <c r="O340" s="4" t="b">
        <f>L340 = "PASS"</f>
        <v>1</v>
      </c>
      <c r="P340" s="4" t="b">
        <f>L340 = "FAIL"</f>
        <v>0</v>
      </c>
      <c r="Q340" s="4" t="b">
        <f>AND(((P340)=TRUE), ((K340)=TRUE))</f>
        <v>0</v>
      </c>
      <c r="R340" s="4" t="str">
        <f>IF(((O340)=TRUE),  I340,  "")</f>
        <v>suite-substrate</v>
      </c>
      <c r="S340" s="4" t="str">
        <f>IF(((Q340)=TRUE),  I340,  "")</f>
      </c>
      <c r="T340" s="3" t="s">
        <v>6001</v>
      </c>
    </row>
    <row r="341">
      <c r="A341" s="3" t="s">
        <v>6376</v>
      </c>
      <c r="B341" s="4" t="str">
        <f>C341 &amp; ": " &amp; D341</f>
        <v>formula-translates: KnowledgeFragments.HasHumanSource</v>
      </c>
      <c r="C341" s="3" t="s">
        <v>6104</v>
      </c>
      <c r="D341" s="3" t="s">
        <v>3247</v>
      </c>
      <c r="E341" s="3" t="s">
        <v>1851</v>
      </c>
      <c r="F341" s="3" t="s">
        <v>1111</v>
      </c>
      <c r="G341" s="3" t="s">
        <v>6105</v>
      </c>
      <c r="H341" s="3" t="s">
        <v>2039</v>
      </c>
      <c r="I341" s="3" t="s">
        <v>5986</v>
      </c>
      <c r="J341" s="3" t="s">
        <v>5999</v>
      </c>
      <c r="K341" s="4" t="b">
        <f>J341 = "blocking"</f>
        <v>1</v>
      </c>
      <c r="L341" s="3" t="s">
        <v>1448</v>
      </c>
      <c r="M341" s="3" t="s">
        <v>6106</v>
      </c>
      <c r="N341" s="5">
        <v>46223.1297337963</v>
      </c>
      <c r="O341" s="4" t="b">
        <f>L341 = "PASS"</f>
        <v>1</v>
      </c>
      <c r="P341" s="4" t="b">
        <f>L341 = "FAIL"</f>
        <v>0</v>
      </c>
      <c r="Q341" s="4" t="b">
        <f>AND(((P341)=TRUE), ((K341)=TRUE))</f>
        <v>0</v>
      </c>
      <c r="R341" s="4" t="str">
        <f>IF(((O341)=TRUE),  I341,  "")</f>
        <v>suite-substrate</v>
      </c>
      <c r="S341" s="4" t="str">
        <f>IF(((Q341)=TRUE),  I341,  "")</f>
      </c>
      <c r="T341" s="3" t="s">
        <v>6001</v>
      </c>
    </row>
    <row r="342">
      <c r="A342" s="3" t="s">
        <v>6377</v>
      </c>
      <c r="B342" s="4" t="str">
        <f>C342 &amp; ": " &amp; D342</f>
        <v>formula-translates: KnowledgeFragments.HasOrphanedProvenance</v>
      </c>
      <c r="C342" s="3" t="s">
        <v>6104</v>
      </c>
      <c r="D342" s="3" t="s">
        <v>3249</v>
      </c>
      <c r="E342" s="3" t="s">
        <v>1851</v>
      </c>
      <c r="F342" s="3" t="s">
        <v>1112</v>
      </c>
      <c r="G342" s="3" t="s">
        <v>6105</v>
      </c>
      <c r="H342" s="3" t="s">
        <v>2039</v>
      </c>
      <c r="I342" s="3" t="s">
        <v>5986</v>
      </c>
      <c r="J342" s="3" t="s">
        <v>5999</v>
      </c>
      <c r="K342" s="4" t="b">
        <f>J342 = "blocking"</f>
        <v>1</v>
      </c>
      <c r="L342" s="3" t="s">
        <v>1448</v>
      </c>
      <c r="M342" s="3" t="s">
        <v>6106</v>
      </c>
      <c r="N342" s="5">
        <v>46223.1297337963</v>
      </c>
      <c r="O342" s="4" t="b">
        <f>L342 = "PASS"</f>
        <v>1</v>
      </c>
      <c r="P342" s="4" t="b">
        <f>L342 = "FAIL"</f>
        <v>0</v>
      </c>
      <c r="Q342" s="4" t="b">
        <f>AND(((P342)=TRUE), ((K342)=TRUE))</f>
        <v>0</v>
      </c>
      <c r="R342" s="4" t="str">
        <f>IF(((O342)=TRUE),  I342,  "")</f>
        <v>suite-substrate</v>
      </c>
      <c r="S342" s="4" t="str">
        <f>IF(((Q342)=TRUE),  I342,  "")</f>
      </c>
      <c r="T342" s="3" t="s">
        <v>6001</v>
      </c>
    </row>
    <row r="343">
      <c r="A343" s="3" t="s">
        <v>6378</v>
      </c>
      <c r="B343" s="4" t="str">
        <f>C343 &amp; ": " &amp; D343</f>
        <v>formula-translates: KnowledgeFragments.IsUndefendableTacitClaim</v>
      </c>
      <c r="C343" s="3" t="s">
        <v>6104</v>
      </c>
      <c r="D343" s="3" t="s">
        <v>3251</v>
      </c>
      <c r="E343" s="3" t="s">
        <v>1851</v>
      </c>
      <c r="F343" s="3" t="s">
        <v>1113</v>
      </c>
      <c r="G343" s="3" t="s">
        <v>6105</v>
      </c>
      <c r="H343" s="3" t="s">
        <v>2039</v>
      </c>
      <c r="I343" s="3" t="s">
        <v>5986</v>
      </c>
      <c r="J343" s="3" t="s">
        <v>5999</v>
      </c>
      <c r="K343" s="4" t="b">
        <f>J343 = "blocking"</f>
        <v>1</v>
      </c>
      <c r="L343" s="3" t="s">
        <v>1448</v>
      </c>
      <c r="M343" s="3" t="s">
        <v>6106</v>
      </c>
      <c r="N343" s="5">
        <v>46223.1297337963</v>
      </c>
      <c r="O343" s="4" t="b">
        <f>L343 = "PASS"</f>
        <v>1</v>
      </c>
      <c r="P343" s="4" t="b">
        <f>L343 = "FAIL"</f>
        <v>0</v>
      </c>
      <c r="Q343" s="4" t="b">
        <f>AND(((P343)=TRUE), ((K343)=TRUE))</f>
        <v>0</v>
      </c>
      <c r="R343" s="4" t="str">
        <f>IF(((O343)=TRUE),  I343,  "")</f>
        <v>suite-substrate</v>
      </c>
      <c r="S343" s="4" t="str">
        <f>IF(((Q343)=TRUE),  I343,  "")</f>
      </c>
      <c r="T343" s="3" t="s">
        <v>6001</v>
      </c>
    </row>
    <row r="344">
      <c r="A344" s="3" t="s">
        <v>6379</v>
      </c>
      <c r="B344" s="4" t="str">
        <f>C344 &amp; ": " &amp; D344</f>
        <v>formula-translates: KnowledgeFragments.IsApproved</v>
      </c>
      <c r="C344" s="3" t="s">
        <v>6104</v>
      </c>
      <c r="D344" s="3" t="s">
        <v>3253</v>
      </c>
      <c r="E344" s="3" t="s">
        <v>1851</v>
      </c>
      <c r="F344" s="3" t="s">
        <v>1114</v>
      </c>
      <c r="G344" s="3" t="s">
        <v>6105</v>
      </c>
      <c r="H344" s="3" t="s">
        <v>2043</v>
      </c>
      <c r="I344" s="3" t="s">
        <v>5986</v>
      </c>
      <c r="J344" s="3" t="s">
        <v>5999</v>
      </c>
      <c r="K344" s="4" t="b">
        <f>J344 = "blocking"</f>
        <v>1</v>
      </c>
      <c r="L344" s="3" t="s">
        <v>1448</v>
      </c>
      <c r="M344" s="3" t="s">
        <v>6106</v>
      </c>
      <c r="N344" s="5">
        <v>46223.1297337963</v>
      </c>
      <c r="O344" s="4" t="b">
        <f>L344 = "PASS"</f>
        <v>1</v>
      </c>
      <c r="P344" s="4" t="b">
        <f>L344 = "FAIL"</f>
        <v>0</v>
      </c>
      <c r="Q344" s="4" t="b">
        <f>AND(((P344)=TRUE), ((K344)=TRUE))</f>
        <v>0</v>
      </c>
      <c r="R344" s="4" t="str">
        <f>IF(((O344)=TRUE),  I344,  "")</f>
        <v>suite-substrate</v>
      </c>
      <c r="S344" s="4" t="str">
        <f>IF(((Q344)=TRUE),  I344,  "")</f>
      </c>
      <c r="T344" s="3" t="s">
        <v>6001</v>
      </c>
    </row>
    <row r="345">
      <c r="A345" s="3" t="s">
        <v>6380</v>
      </c>
      <c r="B345" s="4" t="str">
        <f>C345 &amp; ": " &amp; D345</f>
        <v>formula-translates: KnowledgeFragments.IsWithinValidityWindow</v>
      </c>
      <c r="C345" s="3" t="s">
        <v>6104</v>
      </c>
      <c r="D345" s="3" t="s">
        <v>3255</v>
      </c>
      <c r="E345" s="3" t="s">
        <v>1851</v>
      </c>
      <c r="F345" s="3" t="s">
        <v>1115</v>
      </c>
      <c r="G345" s="3" t="s">
        <v>6105</v>
      </c>
      <c r="H345" s="3" t="s">
        <v>2043</v>
      </c>
      <c r="I345" s="3" t="s">
        <v>5986</v>
      </c>
      <c r="J345" s="3" t="s">
        <v>5999</v>
      </c>
      <c r="K345" s="4" t="b">
        <f>J345 = "blocking"</f>
        <v>1</v>
      </c>
      <c r="L345" s="3" t="s">
        <v>1448</v>
      </c>
      <c r="M345" s="3" t="s">
        <v>6106</v>
      </c>
      <c r="N345" s="5">
        <v>46223.1297337963</v>
      </c>
      <c r="O345" s="4" t="b">
        <f>L345 = "PASS"</f>
        <v>1</v>
      </c>
      <c r="P345" s="4" t="b">
        <f>L345 = "FAIL"</f>
        <v>0</v>
      </c>
      <c r="Q345" s="4" t="b">
        <f>AND(((P345)=TRUE), ((K345)=TRUE))</f>
        <v>0</v>
      </c>
      <c r="R345" s="4" t="str">
        <f>IF(((O345)=TRUE),  I345,  "")</f>
        <v>suite-substrate</v>
      </c>
      <c r="S345" s="4" t="str">
        <f>IF(((Q345)=TRUE),  I345,  "")</f>
      </c>
      <c r="T345" s="3" t="s">
        <v>6001</v>
      </c>
    </row>
    <row r="346">
      <c r="A346" s="3" t="s">
        <v>6381</v>
      </c>
      <c r="B346" s="4" t="str">
        <f>C346 &amp; ": " &amp; D346</f>
        <v>formula-translates: KnowledgeFragments.IsReliedUpon</v>
      </c>
      <c r="C346" s="3" t="s">
        <v>6104</v>
      </c>
      <c r="D346" s="3" t="s">
        <v>3256</v>
      </c>
      <c r="E346" s="3" t="s">
        <v>1851</v>
      </c>
      <c r="F346" s="3" t="s">
        <v>1116</v>
      </c>
      <c r="G346" s="3" t="s">
        <v>6105</v>
      </c>
      <c r="H346" s="3" t="s">
        <v>2043</v>
      </c>
      <c r="I346" s="3" t="s">
        <v>5986</v>
      </c>
      <c r="J346" s="3" t="s">
        <v>5999</v>
      </c>
      <c r="K346" s="4" t="b">
        <f>J346 = "blocking"</f>
        <v>1</v>
      </c>
      <c r="L346" s="3" t="s">
        <v>1448</v>
      </c>
      <c r="M346" s="3" t="s">
        <v>6106</v>
      </c>
      <c r="N346" s="5">
        <v>46223.1297337963</v>
      </c>
      <c r="O346" s="4" t="b">
        <f>L346 = "PASS"</f>
        <v>1</v>
      </c>
      <c r="P346" s="4" t="b">
        <f>L346 = "FAIL"</f>
        <v>0</v>
      </c>
      <c r="Q346" s="4" t="b">
        <f>AND(((P346)=TRUE), ((K346)=TRUE))</f>
        <v>0</v>
      </c>
      <c r="R346" s="4" t="str">
        <f>IF(((O346)=TRUE),  I346,  "")</f>
        <v>suite-substrate</v>
      </c>
      <c r="S346" s="4" t="str">
        <f>IF(((Q346)=TRUE),  I346,  "")</f>
      </c>
      <c r="T346" s="3" t="s">
        <v>6001</v>
      </c>
    </row>
    <row r="347">
      <c r="A347" s="3" t="s">
        <v>6382</v>
      </c>
      <c r="B347" s="4" t="str">
        <f>C347 &amp; ": " &amp; D347</f>
        <v>formula-translates: KnowledgeFragments.StepProcedureVersionStatus</v>
      </c>
      <c r="C347" s="3" t="s">
        <v>6104</v>
      </c>
      <c r="D347" s="3" t="s">
        <v>3258</v>
      </c>
      <c r="E347" s="3" t="s">
        <v>1851</v>
      </c>
      <c r="F347" s="3" t="s">
        <v>1117</v>
      </c>
      <c r="G347" s="3" t="s">
        <v>6105</v>
      </c>
      <c r="H347" s="3" t="s">
        <v>2043</v>
      </c>
      <c r="I347" s="3" t="s">
        <v>5986</v>
      </c>
      <c r="J347" s="3" t="s">
        <v>5999</v>
      </c>
      <c r="K347" s="4" t="b">
        <f>J347 = "blocking"</f>
        <v>1</v>
      </c>
      <c r="L347" s="3" t="s">
        <v>1448</v>
      </c>
      <c r="M347" s="3" t="s">
        <v>6106</v>
      </c>
      <c r="N347" s="5">
        <v>46223.1297337963</v>
      </c>
      <c r="O347" s="4" t="b">
        <f>L347 = "PASS"</f>
        <v>1</v>
      </c>
      <c r="P347" s="4" t="b">
        <f>L347 = "FAIL"</f>
        <v>0</v>
      </c>
      <c r="Q347" s="4" t="b">
        <f>AND(((P347)=TRUE), ((K347)=TRUE))</f>
        <v>0</v>
      </c>
      <c r="R347" s="4" t="str">
        <f>IF(((O347)=TRUE),  I347,  "")</f>
        <v>suite-substrate</v>
      </c>
      <c r="S347" s="4" t="str">
        <f>IF(((Q347)=TRUE),  I347,  "")</f>
      </c>
      <c r="T347" s="3" t="s">
        <v>6001</v>
      </c>
    </row>
    <row r="348">
      <c r="A348" s="3" t="s">
        <v>6383</v>
      </c>
      <c r="B348" s="4" t="str">
        <f>C348 &amp; ": " &amp; D348</f>
        <v>formula-translates: KnowledgeFragments.IsAttachedToLiveVersion</v>
      </c>
      <c r="C348" s="3" t="s">
        <v>6104</v>
      </c>
      <c r="D348" s="3" t="s">
        <v>3260</v>
      </c>
      <c r="E348" s="3" t="s">
        <v>1851</v>
      </c>
      <c r="F348" s="3" t="s">
        <v>1118</v>
      </c>
      <c r="G348" s="3" t="s">
        <v>6105</v>
      </c>
      <c r="H348" s="3" t="s">
        <v>2043</v>
      </c>
      <c r="I348" s="3" t="s">
        <v>5986</v>
      </c>
      <c r="J348" s="3" t="s">
        <v>5999</v>
      </c>
      <c r="K348" s="4" t="b">
        <f>J348 = "blocking"</f>
        <v>1</v>
      </c>
      <c r="L348" s="3" t="s">
        <v>1448</v>
      </c>
      <c r="M348" s="3" t="s">
        <v>6106</v>
      </c>
      <c r="N348" s="5">
        <v>46223.1297337963</v>
      </c>
      <c r="O348" s="4" t="b">
        <f>L348 = "PASS"</f>
        <v>1</v>
      </c>
      <c r="P348" s="4" t="b">
        <f>L348 = "FAIL"</f>
        <v>0</v>
      </c>
      <c r="Q348" s="4" t="b">
        <f>AND(((P348)=TRUE), ((K348)=TRUE))</f>
        <v>0</v>
      </c>
      <c r="R348" s="4" t="str">
        <f>IF(((O348)=TRUE),  I348,  "")</f>
        <v>suite-substrate</v>
      </c>
      <c r="S348" s="4" t="str">
        <f>IF(((Q348)=TRUE),  I348,  "")</f>
      </c>
      <c r="T348" s="3" t="s">
        <v>6001</v>
      </c>
    </row>
    <row r="349">
      <c r="A349" s="3" t="s">
        <v>6384</v>
      </c>
      <c r="B349" s="4" t="str">
        <f>C349 &amp; ": " &amp; D349</f>
        <v>formula-translates: KnowledgeFragments.IsUnapprovedButReliedOn</v>
      </c>
      <c r="C349" s="3" t="s">
        <v>6104</v>
      </c>
      <c r="D349" s="3" t="s">
        <v>3262</v>
      </c>
      <c r="E349" s="3" t="s">
        <v>1851</v>
      </c>
      <c r="F349" s="3" t="s">
        <v>1119</v>
      </c>
      <c r="G349" s="3" t="s">
        <v>6105</v>
      </c>
      <c r="H349" s="3" t="s">
        <v>2043</v>
      </c>
      <c r="I349" s="3" t="s">
        <v>5986</v>
      </c>
      <c r="J349" s="3" t="s">
        <v>5999</v>
      </c>
      <c r="K349" s="4" t="b">
        <f>J349 = "blocking"</f>
        <v>1</v>
      </c>
      <c r="L349" s="3" t="s">
        <v>1448</v>
      </c>
      <c r="M349" s="3" t="s">
        <v>6106</v>
      </c>
      <c r="N349" s="5">
        <v>46223.1297337963</v>
      </c>
      <c r="O349" s="4" t="b">
        <f>L349 = "PASS"</f>
        <v>1</v>
      </c>
      <c r="P349" s="4" t="b">
        <f>L349 = "FAIL"</f>
        <v>0</v>
      </c>
      <c r="Q349" s="4" t="b">
        <f>AND(((P349)=TRUE), ((K349)=TRUE))</f>
        <v>0</v>
      </c>
      <c r="R349" s="4" t="str">
        <f>IF(((O349)=TRUE),  I349,  "")</f>
        <v>suite-substrate</v>
      </c>
      <c r="S349" s="4" t="str">
        <f>IF(((Q349)=TRUE),  I349,  "")</f>
      </c>
      <c r="T349" s="3" t="s">
        <v>6001</v>
      </c>
    </row>
    <row r="350">
      <c r="A350" s="3" t="s">
        <v>6385</v>
      </c>
      <c r="B350" s="4" t="str">
        <f>C350 &amp; ": " &amp; D350</f>
        <v>formula-translates: KnowledgeFragments.EvidenceAgeDays</v>
      </c>
      <c r="C350" s="3" t="s">
        <v>6104</v>
      </c>
      <c r="D350" s="3" t="s">
        <v>3264</v>
      </c>
      <c r="E350" s="3" t="s">
        <v>1851</v>
      </c>
      <c r="F350" s="3" t="s">
        <v>1120</v>
      </c>
      <c r="G350" s="3" t="s">
        <v>6105</v>
      </c>
      <c r="H350" s="3" t="s">
        <v>2047</v>
      </c>
      <c r="I350" s="3" t="s">
        <v>5986</v>
      </c>
      <c r="J350" s="3" t="s">
        <v>5999</v>
      </c>
      <c r="K350" s="4" t="b">
        <f>J350 = "blocking"</f>
        <v>1</v>
      </c>
      <c r="L350" s="3" t="s">
        <v>1448</v>
      </c>
      <c r="M350" s="3" t="s">
        <v>6106</v>
      </c>
      <c r="N350" s="5">
        <v>46223.1297337963</v>
      </c>
      <c r="O350" s="4" t="b">
        <f>L350 = "PASS"</f>
        <v>1</v>
      </c>
      <c r="P350" s="4" t="b">
        <f>L350 = "FAIL"</f>
        <v>0</v>
      </c>
      <c r="Q350" s="4" t="b">
        <f>AND(((P350)=TRUE), ((K350)=TRUE))</f>
        <v>0</v>
      </c>
      <c r="R350" s="4" t="str">
        <f>IF(((O350)=TRUE),  I350,  "")</f>
        <v>suite-substrate</v>
      </c>
      <c r="S350" s="4" t="str">
        <f>IF(((Q350)=TRUE),  I350,  "")</f>
      </c>
      <c r="T350" s="3" t="s">
        <v>6001</v>
      </c>
    </row>
    <row r="351">
      <c r="A351" s="3" t="s">
        <v>6386</v>
      </c>
      <c r="B351" s="4" t="str">
        <f>C351 &amp; ": " &amp; D351</f>
        <v>formula-translates: KnowledgeFragments.HasRecordedElicitation</v>
      </c>
      <c r="C351" s="3" t="s">
        <v>6104</v>
      </c>
      <c r="D351" s="3" t="s">
        <v>3266</v>
      </c>
      <c r="E351" s="3" t="s">
        <v>1851</v>
      </c>
      <c r="F351" s="3" t="s">
        <v>1121</v>
      </c>
      <c r="G351" s="3" t="s">
        <v>6105</v>
      </c>
      <c r="H351" s="3" t="s">
        <v>2047</v>
      </c>
      <c r="I351" s="3" t="s">
        <v>5986</v>
      </c>
      <c r="J351" s="3" t="s">
        <v>5999</v>
      </c>
      <c r="K351" s="4" t="b">
        <f>J351 = "blocking"</f>
        <v>1</v>
      </c>
      <c r="L351" s="3" t="s">
        <v>1448</v>
      </c>
      <c r="M351" s="3" t="s">
        <v>6106</v>
      </c>
      <c r="N351" s="5">
        <v>46223.1297337963</v>
      </c>
      <c r="O351" s="4" t="b">
        <f>L351 = "PASS"</f>
        <v>1</v>
      </c>
      <c r="P351" s="4" t="b">
        <f>L351 = "FAIL"</f>
        <v>0</v>
      </c>
      <c r="Q351" s="4" t="b">
        <f>AND(((P351)=TRUE), ((K351)=TRUE))</f>
        <v>0</v>
      </c>
      <c r="R351" s="4" t="str">
        <f>IF(((O351)=TRUE),  I351,  "")</f>
        <v>suite-substrate</v>
      </c>
      <c r="S351" s="4" t="str">
        <f>IF(((Q351)=TRUE),  I351,  "")</f>
      </c>
      <c r="T351" s="3" t="s">
        <v>6001</v>
      </c>
    </row>
    <row r="352">
      <c r="A352" s="3" t="s">
        <v>6387</v>
      </c>
      <c r="B352" s="4" t="str">
        <f>C352 &amp; ": " &amp; D352</f>
        <v>formula-translates: KnowledgeFragments.IsFromSingleWitness</v>
      </c>
      <c r="C352" s="3" t="s">
        <v>6104</v>
      </c>
      <c r="D352" s="3" t="s">
        <v>3268</v>
      </c>
      <c r="E352" s="3" t="s">
        <v>1851</v>
      </c>
      <c r="F352" s="3" t="s">
        <v>1122</v>
      </c>
      <c r="G352" s="3" t="s">
        <v>6105</v>
      </c>
      <c r="H352" s="3" t="s">
        <v>2047</v>
      </c>
      <c r="I352" s="3" t="s">
        <v>5986</v>
      </c>
      <c r="J352" s="3" t="s">
        <v>5999</v>
      </c>
      <c r="K352" s="4" t="b">
        <f>J352 = "blocking"</f>
        <v>1</v>
      </c>
      <c r="L352" s="3" t="s">
        <v>1448</v>
      </c>
      <c r="M352" s="3" t="s">
        <v>6106</v>
      </c>
      <c r="N352" s="5">
        <v>46223.1297337963</v>
      </c>
      <c r="O352" s="4" t="b">
        <f>L352 = "PASS"</f>
        <v>1</v>
      </c>
      <c r="P352" s="4" t="b">
        <f>L352 = "FAIL"</f>
        <v>0</v>
      </c>
      <c r="Q352" s="4" t="b">
        <f>AND(((P352)=TRUE), ((K352)=TRUE))</f>
        <v>0</v>
      </c>
      <c r="R352" s="4" t="str">
        <f>IF(((O352)=TRUE),  I352,  "")</f>
        <v>suite-substrate</v>
      </c>
      <c r="S352" s="4" t="str">
        <f>IF(((Q352)=TRUE),  I352,  "")</f>
      </c>
      <c r="T352" s="3" t="s">
        <v>6001</v>
      </c>
    </row>
    <row r="353">
      <c r="A353" s="3" t="s">
        <v>6388</v>
      </c>
      <c r="B353" s="4" t="str">
        <f>C353 &amp; ": " &amp; D353</f>
        <v>formula-translates: KnowledgeFragments.EvidenceExpiryDays</v>
      </c>
      <c r="C353" s="3" t="s">
        <v>6104</v>
      </c>
      <c r="D353" s="3" t="s">
        <v>3270</v>
      </c>
      <c r="E353" s="3" t="s">
        <v>1851</v>
      </c>
      <c r="F353" s="3" t="s">
        <v>1123</v>
      </c>
      <c r="G353" s="3" t="s">
        <v>6105</v>
      </c>
      <c r="H353" s="3" t="s">
        <v>2047</v>
      </c>
      <c r="I353" s="3" t="s">
        <v>5986</v>
      </c>
      <c r="J353" s="3" t="s">
        <v>5999</v>
      </c>
      <c r="K353" s="4" t="b">
        <f>J353 = "blocking"</f>
        <v>1</v>
      </c>
      <c r="L353" s="3" t="s">
        <v>1448</v>
      </c>
      <c r="M353" s="3" t="s">
        <v>6106</v>
      </c>
      <c r="N353" s="5">
        <v>46223.1297337963</v>
      </c>
      <c r="O353" s="4" t="b">
        <f>L353 = "PASS"</f>
        <v>1</v>
      </c>
      <c r="P353" s="4" t="b">
        <f>L353 = "FAIL"</f>
        <v>0</v>
      </c>
      <c r="Q353" s="4" t="b">
        <f>AND(((P353)=TRUE), ((K353)=TRUE))</f>
        <v>0</v>
      </c>
      <c r="R353" s="4" t="str">
        <f>IF(((O353)=TRUE),  I353,  "")</f>
        <v>suite-substrate</v>
      </c>
      <c r="S353" s="4" t="str">
        <f>IF(((Q353)=TRUE),  I353,  "")</f>
      </c>
      <c r="T353" s="3" t="s">
        <v>6001</v>
      </c>
    </row>
    <row r="354">
      <c r="A354" s="3" t="s">
        <v>6389</v>
      </c>
      <c r="B354" s="4" t="str">
        <f>C354 &amp; ": " &amp; D354</f>
        <v>formula-translates: KnowledgeFragments.EvidenceHasExpired</v>
      </c>
      <c r="C354" s="3" t="s">
        <v>6104</v>
      </c>
      <c r="D354" s="3" t="s">
        <v>3272</v>
      </c>
      <c r="E354" s="3" t="s">
        <v>1851</v>
      </c>
      <c r="F354" s="3" t="s">
        <v>1124</v>
      </c>
      <c r="G354" s="3" t="s">
        <v>6105</v>
      </c>
      <c r="H354" s="3" t="s">
        <v>2047</v>
      </c>
      <c r="I354" s="3" t="s">
        <v>5986</v>
      </c>
      <c r="J354" s="3" t="s">
        <v>5999</v>
      </c>
      <c r="K354" s="4" t="b">
        <f>J354 = "blocking"</f>
        <v>1</v>
      </c>
      <c r="L354" s="3" t="s">
        <v>1448</v>
      </c>
      <c r="M354" s="3" t="s">
        <v>6106</v>
      </c>
      <c r="N354" s="5">
        <v>46223.1297337963</v>
      </c>
      <c r="O354" s="4" t="b">
        <f>L354 = "PASS"</f>
        <v>1</v>
      </c>
      <c r="P354" s="4" t="b">
        <f>L354 = "FAIL"</f>
        <v>0</v>
      </c>
      <c r="Q354" s="4" t="b">
        <f>AND(((P354)=TRUE), ((K354)=TRUE))</f>
        <v>0</v>
      </c>
      <c r="R354" s="4" t="str">
        <f>IF(((O354)=TRUE),  I354,  "")</f>
        <v>suite-substrate</v>
      </c>
      <c r="S354" s="4" t="str">
        <f>IF(((Q354)=TRUE),  I354,  "")</f>
      </c>
      <c r="T354" s="3" t="s">
        <v>6001</v>
      </c>
    </row>
    <row r="355">
      <c r="A355" s="3" t="s">
        <v>6390</v>
      </c>
      <c r="B355" s="4" t="str">
        <f>C355 &amp; ": " &amp; D355</f>
        <v>formula-translates: KnowledgeFragments.OwnerAgent</v>
      </c>
      <c r="C355" s="3" t="s">
        <v>6104</v>
      </c>
      <c r="D355" s="3" t="s">
        <v>3274</v>
      </c>
      <c r="E355" s="3" t="s">
        <v>1851</v>
      </c>
      <c r="F355" s="3" t="s">
        <v>1125</v>
      </c>
      <c r="G355" s="3" t="s">
        <v>6105</v>
      </c>
      <c r="H355" s="3" t="s">
        <v>2147</v>
      </c>
      <c r="I355" s="3" t="s">
        <v>5986</v>
      </c>
      <c r="J355" s="3" t="s">
        <v>5999</v>
      </c>
      <c r="K355" s="4" t="b">
        <f>J355 = "blocking"</f>
        <v>1</v>
      </c>
      <c r="L355" s="3" t="s">
        <v>1448</v>
      </c>
      <c r="M355" s="3" t="s">
        <v>6106</v>
      </c>
      <c r="N355" s="5">
        <v>46223.1297337963</v>
      </c>
      <c r="O355" s="4" t="b">
        <f>L355 = "PASS"</f>
        <v>1</v>
      </c>
      <c r="P355" s="4" t="b">
        <f>L355 = "FAIL"</f>
        <v>0</v>
      </c>
      <c r="Q355" s="4" t="b">
        <f>AND(((P355)=TRUE), ((K355)=TRUE))</f>
        <v>0</v>
      </c>
      <c r="R355" s="4" t="str">
        <f>IF(((O355)=TRUE),  I355,  "")</f>
        <v>suite-substrate</v>
      </c>
      <c r="S355" s="4" t="str">
        <f>IF(((Q355)=TRUE),  I355,  "")</f>
      </c>
      <c r="T355" s="3" t="s">
        <v>6001</v>
      </c>
    </row>
    <row r="356">
      <c r="A356" s="3" t="s">
        <v>6391</v>
      </c>
      <c r="B356" s="4" t="str">
        <f>C356 &amp; ": " &amp; D356</f>
        <v>formula-translates: KnowledgeFragments.IsAwaitingApproval</v>
      </c>
      <c r="C356" s="3" t="s">
        <v>6104</v>
      </c>
      <c r="D356" s="3" t="s">
        <v>3276</v>
      </c>
      <c r="E356" s="3" t="s">
        <v>1851</v>
      </c>
      <c r="F356" s="3" t="s">
        <v>1126</v>
      </c>
      <c r="G356" s="3" t="s">
        <v>6105</v>
      </c>
      <c r="H356" s="3" t="s">
        <v>2147</v>
      </c>
      <c r="I356" s="3" t="s">
        <v>5986</v>
      </c>
      <c r="J356" s="3" t="s">
        <v>5999</v>
      </c>
      <c r="K356" s="4" t="b">
        <f>J356 = "blocking"</f>
        <v>1</v>
      </c>
      <c r="L356" s="3" t="s">
        <v>1448</v>
      </c>
      <c r="M356" s="3" t="s">
        <v>6106</v>
      </c>
      <c r="N356" s="5">
        <v>46223.1297337963</v>
      </c>
      <c r="O356" s="4" t="b">
        <f>L356 = "PASS"</f>
        <v>1</v>
      </c>
      <c r="P356" s="4" t="b">
        <f>L356 = "FAIL"</f>
        <v>0</v>
      </c>
      <c r="Q356" s="4" t="b">
        <f>AND(((P356)=TRUE), ((K356)=TRUE))</f>
        <v>0</v>
      </c>
      <c r="R356" s="4" t="str">
        <f>IF(((O356)=TRUE),  I356,  "")</f>
        <v>suite-substrate</v>
      </c>
      <c r="S356" s="4" t="str">
        <f>IF(((Q356)=TRUE),  I356,  "")</f>
      </c>
      <c r="T356" s="3" t="s">
        <v>6001</v>
      </c>
    </row>
    <row r="357">
      <c r="A357" s="3" t="s">
        <v>6392</v>
      </c>
      <c r="B357" s="4" t="str">
        <f>C357 &amp; ": " &amp; D357</f>
        <v>formula-translates: KnowledgeFragments.OwnerIsMe</v>
      </c>
      <c r="C357" s="3" t="s">
        <v>6104</v>
      </c>
      <c r="D357" s="3" t="s">
        <v>3278</v>
      </c>
      <c r="E357" s="3" t="s">
        <v>1851</v>
      </c>
      <c r="F357" s="3" t="s">
        <v>1127</v>
      </c>
      <c r="G357" s="3" t="s">
        <v>6105</v>
      </c>
      <c r="H357" s="3" t="s">
        <v>2147</v>
      </c>
      <c r="I357" s="3" t="s">
        <v>5986</v>
      </c>
      <c r="J357" s="3" t="s">
        <v>5999</v>
      </c>
      <c r="K357" s="4" t="b">
        <f>J357 = "blocking"</f>
        <v>1</v>
      </c>
      <c r="L357" s="3" t="s">
        <v>1448</v>
      </c>
      <c r="M357" s="3" t="s">
        <v>6106</v>
      </c>
      <c r="N357" s="5">
        <v>46223.1297337963</v>
      </c>
      <c r="O357" s="4" t="b">
        <f>L357 = "PASS"</f>
        <v>1</v>
      </c>
      <c r="P357" s="4" t="b">
        <f>L357 = "FAIL"</f>
        <v>0</v>
      </c>
      <c r="Q357" s="4" t="b">
        <f>AND(((P357)=TRUE), ((K357)=TRUE))</f>
        <v>0</v>
      </c>
      <c r="R357" s="4" t="str">
        <f>IF(((O357)=TRUE),  I357,  "")</f>
        <v>suite-substrate</v>
      </c>
      <c r="S357" s="4" t="str">
        <f>IF(((Q357)=TRUE),  I357,  "")</f>
      </c>
      <c r="T357" s="3" t="s">
        <v>6001</v>
      </c>
    </row>
    <row r="358">
      <c r="A358" s="3" t="s">
        <v>6393</v>
      </c>
      <c r="B358" s="4" t="str">
        <f>C358 &amp; ": " &amp; D358</f>
        <v>formula-translates: KnowledgeFragments.IsMyUnfinishedApproval</v>
      </c>
      <c r="C358" s="3" t="s">
        <v>6104</v>
      </c>
      <c r="D358" s="3" t="s">
        <v>3280</v>
      </c>
      <c r="E358" s="3" t="s">
        <v>1851</v>
      </c>
      <c r="F358" s="3" t="s">
        <v>1128</v>
      </c>
      <c r="G358" s="3" t="s">
        <v>6105</v>
      </c>
      <c r="H358" s="3" t="s">
        <v>2147</v>
      </c>
      <c r="I358" s="3" t="s">
        <v>5986</v>
      </c>
      <c r="J358" s="3" t="s">
        <v>5999</v>
      </c>
      <c r="K358" s="4" t="b">
        <f>J358 = "blocking"</f>
        <v>1</v>
      </c>
      <c r="L358" s="3" t="s">
        <v>1448</v>
      </c>
      <c r="M358" s="3" t="s">
        <v>6106</v>
      </c>
      <c r="N358" s="5">
        <v>46223.1297337963</v>
      </c>
      <c r="O358" s="4" t="b">
        <f>L358 = "PASS"</f>
        <v>1</v>
      </c>
      <c r="P358" s="4" t="b">
        <f>L358 = "FAIL"</f>
        <v>0</v>
      </c>
      <c r="Q358" s="4" t="b">
        <f>AND(((P358)=TRUE), ((K358)=TRUE))</f>
        <v>0</v>
      </c>
      <c r="R358" s="4" t="str">
        <f>IF(((O358)=TRUE),  I358,  "")</f>
        <v>suite-substrate</v>
      </c>
      <c r="S358" s="4" t="str">
        <f>IF(((Q358)=TRUE),  I358,  "")</f>
      </c>
      <c r="T358" s="3" t="s">
        <v>6001</v>
      </c>
    </row>
    <row r="359">
      <c r="A359" s="3" t="s">
        <v>6394</v>
      </c>
      <c r="B359" s="4" t="str">
        <f>C359 &amp; ": " &amp; D359</f>
        <v>formula-translates: KnowledgeFragments.IsInvokedByAnException</v>
      </c>
      <c r="C359" s="3" t="s">
        <v>6104</v>
      </c>
      <c r="D359" s="3" t="s">
        <v>3282</v>
      </c>
      <c r="E359" s="3" t="s">
        <v>1851</v>
      </c>
      <c r="F359" s="3" t="s">
        <v>1129</v>
      </c>
      <c r="G359" s="3" t="s">
        <v>6105</v>
      </c>
      <c r="H359" s="3" t="s">
        <v>2147</v>
      </c>
      <c r="I359" s="3" t="s">
        <v>5986</v>
      </c>
      <c r="J359" s="3" t="s">
        <v>5999</v>
      </c>
      <c r="K359" s="4" t="b">
        <f>J359 = "blocking"</f>
        <v>1</v>
      </c>
      <c r="L359" s="3" t="s">
        <v>1448</v>
      </c>
      <c r="M359" s="3" t="s">
        <v>6106</v>
      </c>
      <c r="N359" s="5">
        <v>46223.1297337963</v>
      </c>
      <c r="O359" s="4" t="b">
        <f>L359 = "PASS"</f>
        <v>1</v>
      </c>
      <c r="P359" s="4" t="b">
        <f>L359 = "FAIL"</f>
        <v>0</v>
      </c>
      <c r="Q359" s="4" t="b">
        <f>AND(((P359)=TRUE), ((K359)=TRUE))</f>
        <v>0</v>
      </c>
      <c r="R359" s="4" t="str">
        <f>IF(((O359)=TRUE),  I359,  "")</f>
        <v>suite-substrate</v>
      </c>
      <c r="S359" s="4" t="str">
        <f>IF(((Q359)=TRUE),  I359,  "")</f>
      </c>
      <c r="T359" s="3" t="s">
        <v>6001</v>
      </c>
    </row>
    <row r="360">
      <c r="A360" s="3" t="s">
        <v>6395</v>
      </c>
      <c r="B360" s="4" t="str">
        <f>C360 &amp; ": " &amp; D360</f>
        <v>formula-translates: KnowledgeFragments.HasOperationalReliance</v>
      </c>
      <c r="C360" s="3" t="s">
        <v>6104</v>
      </c>
      <c r="D360" s="3" t="s">
        <v>3284</v>
      </c>
      <c r="E360" s="3" t="s">
        <v>1851</v>
      </c>
      <c r="F360" s="3" t="s">
        <v>1130</v>
      </c>
      <c r="G360" s="3" t="s">
        <v>6105</v>
      </c>
      <c r="H360" s="3" t="s">
        <v>2147</v>
      </c>
      <c r="I360" s="3" t="s">
        <v>5986</v>
      </c>
      <c r="J360" s="3" t="s">
        <v>5999</v>
      </c>
      <c r="K360" s="4" t="b">
        <f>J360 = "blocking"</f>
        <v>1</v>
      </c>
      <c r="L360" s="3" t="s">
        <v>1448</v>
      </c>
      <c r="M360" s="3" t="s">
        <v>6106</v>
      </c>
      <c r="N360" s="5">
        <v>46223.1297337963</v>
      </c>
      <c r="O360" s="4" t="b">
        <f>L360 = "PASS"</f>
        <v>1</v>
      </c>
      <c r="P360" s="4" t="b">
        <f>L360 = "FAIL"</f>
        <v>0</v>
      </c>
      <c r="Q360" s="4" t="b">
        <f>AND(((P360)=TRUE), ((K360)=TRUE))</f>
        <v>0</v>
      </c>
      <c r="R360" s="4" t="str">
        <f>IF(((O360)=TRUE),  I360,  "")</f>
        <v>suite-substrate</v>
      </c>
      <c r="S360" s="4" t="str">
        <f>IF(((Q360)=TRUE),  I360,  "")</f>
      </c>
      <c r="T360" s="3" t="s">
        <v>6001</v>
      </c>
    </row>
    <row r="361">
      <c r="A361" s="3" t="s">
        <v>6396</v>
      </c>
      <c r="B361" s="4" t="str">
        <f>C361 &amp; ": " &amp; D361</f>
        <v>formula-translates: KnowledgeFragments.IsUnapprovedAndOperationallyLive</v>
      </c>
      <c r="C361" s="3" t="s">
        <v>6104</v>
      </c>
      <c r="D361" s="3" t="s">
        <v>3286</v>
      </c>
      <c r="E361" s="3" t="s">
        <v>1851</v>
      </c>
      <c r="F361" s="3" t="s">
        <v>1131</v>
      </c>
      <c r="G361" s="3" t="s">
        <v>6105</v>
      </c>
      <c r="H361" s="3" t="s">
        <v>2147</v>
      </c>
      <c r="I361" s="3" t="s">
        <v>5986</v>
      </c>
      <c r="J361" s="3" t="s">
        <v>5999</v>
      </c>
      <c r="K361" s="4" t="b">
        <f>J361 = "blocking"</f>
        <v>1</v>
      </c>
      <c r="L361" s="3" t="s">
        <v>1448</v>
      </c>
      <c r="M361" s="3" t="s">
        <v>6106</v>
      </c>
      <c r="N361" s="5">
        <v>46223.1297337963</v>
      </c>
      <c r="O361" s="4" t="b">
        <f>L361 = "PASS"</f>
        <v>1</v>
      </c>
      <c r="P361" s="4" t="b">
        <f>L361 = "FAIL"</f>
        <v>0</v>
      </c>
      <c r="Q361" s="4" t="b">
        <f>AND(((P361)=TRUE), ((K361)=TRUE))</f>
        <v>0</v>
      </c>
      <c r="R361" s="4" t="str">
        <f>IF(((O361)=TRUE),  I361,  "")</f>
        <v>suite-substrate</v>
      </c>
      <c r="S361" s="4" t="str">
        <f>IF(((Q361)=TRUE),  I361,  "")</f>
      </c>
      <c r="T361" s="3" t="s">
        <v>6001</v>
      </c>
    </row>
    <row r="362">
      <c r="A362" s="3" t="s">
        <v>6397</v>
      </c>
      <c r="B362" s="4" t="str">
        <f>C362 &amp; ": " &amp; D362</f>
        <v>formula-translates: KnowledgeFragments.AgeDays</v>
      </c>
      <c r="C362" s="3" t="s">
        <v>6104</v>
      </c>
      <c r="D362" s="3" t="s">
        <v>3288</v>
      </c>
      <c r="E362" s="3" t="s">
        <v>1851</v>
      </c>
      <c r="F362" s="3" t="s">
        <v>1132</v>
      </c>
      <c r="G362" s="3" t="s">
        <v>6105</v>
      </c>
      <c r="H362" s="3" t="s">
        <v>2155</v>
      </c>
      <c r="I362" s="3" t="s">
        <v>5986</v>
      </c>
      <c r="J362" s="3" t="s">
        <v>5999</v>
      </c>
      <c r="K362" s="4" t="b">
        <f>J362 = "blocking"</f>
        <v>1</v>
      </c>
      <c r="L362" s="3" t="s">
        <v>1448</v>
      </c>
      <c r="M362" s="3" t="s">
        <v>6106</v>
      </c>
      <c r="N362" s="5">
        <v>46223.1297337963</v>
      </c>
      <c r="O362" s="4" t="b">
        <f>L362 = "PASS"</f>
        <v>1</v>
      </c>
      <c r="P362" s="4" t="b">
        <f>L362 = "FAIL"</f>
        <v>0</v>
      </c>
      <c r="Q362" s="4" t="b">
        <f>AND(((P362)=TRUE), ((K362)=TRUE))</f>
        <v>0</v>
      </c>
      <c r="R362" s="4" t="str">
        <f>IF(((O362)=TRUE),  I362,  "")</f>
        <v>suite-substrate</v>
      </c>
      <c r="S362" s="4" t="str">
        <f>IF(((Q362)=TRUE),  I362,  "")</f>
      </c>
      <c r="T362" s="3" t="s">
        <v>6001</v>
      </c>
    </row>
    <row r="363">
      <c r="A363" s="3" t="s">
        <v>6398</v>
      </c>
      <c r="B363" s="4" t="str">
        <f>C363 &amp; ": " &amp; D363</f>
        <v>formula-translates: KnowledgeFragments.IsLowConfidence</v>
      </c>
      <c r="C363" s="3" t="s">
        <v>6104</v>
      </c>
      <c r="D363" s="3" t="s">
        <v>3290</v>
      </c>
      <c r="E363" s="3" t="s">
        <v>1851</v>
      </c>
      <c r="F363" s="3" t="s">
        <v>1133</v>
      </c>
      <c r="G363" s="3" t="s">
        <v>6105</v>
      </c>
      <c r="H363" s="3" t="s">
        <v>2155</v>
      </c>
      <c r="I363" s="3" t="s">
        <v>5986</v>
      </c>
      <c r="J363" s="3" t="s">
        <v>5999</v>
      </c>
      <c r="K363" s="4" t="b">
        <f>J363 = "blocking"</f>
        <v>1</v>
      </c>
      <c r="L363" s="3" t="s">
        <v>1448</v>
      </c>
      <c r="M363" s="3" t="s">
        <v>6106</v>
      </c>
      <c r="N363" s="5">
        <v>46223.1297337963</v>
      </c>
      <c r="O363" s="4" t="b">
        <f>L363 = "PASS"</f>
        <v>1</v>
      </c>
      <c r="P363" s="4" t="b">
        <f>L363 = "FAIL"</f>
        <v>0</v>
      </c>
      <c r="Q363" s="4" t="b">
        <f>AND(((P363)=TRUE), ((K363)=TRUE))</f>
        <v>0</v>
      </c>
      <c r="R363" s="4" t="str">
        <f>IF(((O363)=TRUE),  I363,  "")</f>
        <v>suite-substrate</v>
      </c>
      <c r="S363" s="4" t="str">
        <f>IF(((Q363)=TRUE),  I363,  "")</f>
      </c>
      <c r="T363" s="3" t="s">
        <v>6001</v>
      </c>
    </row>
    <row r="364">
      <c r="A364" s="3" t="s">
        <v>6399</v>
      </c>
      <c r="B364" s="4" t="str">
        <f>C364 &amp; ": " &amp; D364</f>
        <v>formula-translates: KnowledgeFragments.OwningVersionCadenceDays</v>
      </c>
      <c r="C364" s="3" t="s">
        <v>6104</v>
      </c>
      <c r="D364" s="3" t="s">
        <v>3292</v>
      </c>
      <c r="E364" s="3" t="s">
        <v>1851</v>
      </c>
      <c r="F364" s="3" t="s">
        <v>1134</v>
      </c>
      <c r="G364" s="3" t="s">
        <v>6105</v>
      </c>
      <c r="H364" s="3" t="s">
        <v>2155</v>
      </c>
      <c r="I364" s="3" t="s">
        <v>5986</v>
      </c>
      <c r="J364" s="3" t="s">
        <v>5999</v>
      </c>
      <c r="K364" s="4" t="b">
        <f>J364 = "blocking"</f>
        <v>1</v>
      </c>
      <c r="L364" s="3" t="s">
        <v>1448</v>
      </c>
      <c r="M364" s="3" t="s">
        <v>6106</v>
      </c>
      <c r="N364" s="5">
        <v>46223.1297337963</v>
      </c>
      <c r="O364" s="4" t="b">
        <f>L364 = "PASS"</f>
        <v>1</v>
      </c>
      <c r="P364" s="4" t="b">
        <f>L364 = "FAIL"</f>
        <v>0</v>
      </c>
      <c r="Q364" s="4" t="b">
        <f>AND(((P364)=TRUE), ((K364)=TRUE))</f>
        <v>0</v>
      </c>
      <c r="R364" s="4" t="str">
        <f>IF(((O364)=TRUE),  I364,  "")</f>
        <v>suite-substrate</v>
      </c>
      <c r="S364" s="4" t="str">
        <f>IF(((Q364)=TRUE),  I364,  "")</f>
      </c>
      <c r="T364" s="3" t="s">
        <v>6001</v>
      </c>
    </row>
    <row r="365">
      <c r="A365" s="3" t="s">
        <v>6400</v>
      </c>
      <c r="B365" s="4" t="str">
        <f>C365 &amp; ": " &amp; D365</f>
        <v>formula-translates: KnowledgeFragments.ExceedsOwningCadence</v>
      </c>
      <c r="C365" s="3" t="s">
        <v>6104</v>
      </c>
      <c r="D365" s="3" t="s">
        <v>3294</v>
      </c>
      <c r="E365" s="3" t="s">
        <v>1851</v>
      </c>
      <c r="F365" s="3" t="s">
        <v>1135</v>
      </c>
      <c r="G365" s="3" t="s">
        <v>6105</v>
      </c>
      <c r="H365" s="3" t="s">
        <v>2155</v>
      </c>
      <c r="I365" s="3" t="s">
        <v>5986</v>
      </c>
      <c r="J365" s="3" t="s">
        <v>5999</v>
      </c>
      <c r="K365" s="4" t="b">
        <f>J365 = "blocking"</f>
        <v>1</v>
      </c>
      <c r="L365" s="3" t="s">
        <v>1448</v>
      </c>
      <c r="M365" s="3" t="s">
        <v>6106</v>
      </c>
      <c r="N365" s="5">
        <v>46223.1297337963</v>
      </c>
      <c r="O365" s="4" t="b">
        <f>L365 = "PASS"</f>
        <v>1</v>
      </c>
      <c r="P365" s="4" t="b">
        <f>L365 = "FAIL"</f>
        <v>0</v>
      </c>
      <c r="Q365" s="4" t="b">
        <f>AND(((P365)=TRUE), ((K365)=TRUE))</f>
        <v>0</v>
      </c>
      <c r="R365" s="4" t="str">
        <f>IF(((O365)=TRUE),  I365,  "")</f>
        <v>suite-substrate</v>
      </c>
      <c r="S365" s="4" t="str">
        <f>IF(((Q365)=TRUE),  I365,  "")</f>
      </c>
      <c r="T365" s="3" t="s">
        <v>6001</v>
      </c>
    </row>
    <row r="366">
      <c r="A366" s="3" t="s">
        <v>6401</v>
      </c>
      <c r="B366" s="4" t="str">
        <f>C366 &amp; ": " &amp; D366</f>
        <v>formula-translates: KnowledgeFragments.IsAgingLowConfidenceClaim</v>
      </c>
      <c r="C366" s="3" t="s">
        <v>6104</v>
      </c>
      <c r="D366" s="3" t="s">
        <v>3296</v>
      </c>
      <c r="E366" s="3" t="s">
        <v>1851</v>
      </c>
      <c r="F366" s="3" t="s">
        <v>1136</v>
      </c>
      <c r="G366" s="3" t="s">
        <v>6105</v>
      </c>
      <c r="H366" s="3" t="s">
        <v>2155</v>
      </c>
      <c r="I366" s="3" t="s">
        <v>5986</v>
      </c>
      <c r="J366" s="3" t="s">
        <v>5999</v>
      </c>
      <c r="K366" s="4" t="b">
        <f>J366 = "blocking"</f>
        <v>1</v>
      </c>
      <c r="L366" s="3" t="s">
        <v>1448</v>
      </c>
      <c r="M366" s="3" t="s">
        <v>6106</v>
      </c>
      <c r="N366" s="5">
        <v>46223.1297337963</v>
      </c>
      <c r="O366" s="4" t="b">
        <f>L366 = "PASS"</f>
        <v>1</v>
      </c>
      <c r="P366" s="4" t="b">
        <f>L366 = "FAIL"</f>
        <v>0</v>
      </c>
      <c r="Q366" s="4" t="b">
        <f>AND(((P366)=TRUE), ((K366)=TRUE))</f>
        <v>0</v>
      </c>
      <c r="R366" s="4" t="str">
        <f>IF(((O366)=TRUE),  I366,  "")</f>
        <v>suite-substrate</v>
      </c>
      <c r="S366" s="4" t="str">
        <f>IF(((Q366)=TRUE),  I366,  "")</f>
      </c>
      <c r="T366" s="3" t="s">
        <v>6001</v>
      </c>
    </row>
    <row r="367">
      <c r="A367" s="3" t="s">
        <v>6402</v>
      </c>
      <c r="B367" s="4" t="str">
        <f>C367 &amp; ": " &amp; D367</f>
        <v>formula-translates: KnowledgeFragments.OwnerRoleAgentKind</v>
      </c>
      <c r="C367" s="3" t="s">
        <v>6104</v>
      </c>
      <c r="D367" s="3" t="s">
        <v>3298</v>
      </c>
      <c r="E367" s="3" t="s">
        <v>1851</v>
      </c>
      <c r="F367" s="3" t="s">
        <v>1137</v>
      </c>
      <c r="G367" s="3" t="s">
        <v>6105</v>
      </c>
      <c r="H367" s="3" t="s">
        <v>2175</v>
      </c>
      <c r="I367" s="3" t="s">
        <v>5986</v>
      </c>
      <c r="J367" s="3" t="s">
        <v>5999</v>
      </c>
      <c r="K367" s="4" t="b">
        <f>J367 = "blocking"</f>
        <v>1</v>
      </c>
      <c r="L367" s="3" t="s">
        <v>1448</v>
      </c>
      <c r="M367" s="3" t="s">
        <v>6106</v>
      </c>
      <c r="N367" s="5">
        <v>46223.1297337963</v>
      </c>
      <c r="O367" s="4" t="b">
        <f>L367 = "PASS"</f>
        <v>1</v>
      </c>
      <c r="P367" s="4" t="b">
        <f>L367 = "FAIL"</f>
        <v>0</v>
      </c>
      <c r="Q367" s="4" t="b">
        <f>AND(((P367)=TRUE), ((K367)=TRUE))</f>
        <v>0</v>
      </c>
      <c r="R367" s="4" t="str">
        <f>IF(((O367)=TRUE),  I367,  "")</f>
        <v>suite-substrate</v>
      </c>
      <c r="S367" s="4" t="str">
        <f>IF(((Q367)=TRUE),  I367,  "")</f>
      </c>
      <c r="T367" s="3" t="s">
        <v>6001</v>
      </c>
    </row>
    <row r="368">
      <c r="A368" s="3" t="s">
        <v>6403</v>
      </c>
      <c r="B368" s="4" t="str">
        <f>C368 &amp; ": " &amp; D368</f>
        <v>formula-translates: KnowledgeFragments.IsHumanOwned</v>
      </c>
      <c r="C368" s="3" t="s">
        <v>6104</v>
      </c>
      <c r="D368" s="3" t="s">
        <v>3300</v>
      </c>
      <c r="E368" s="3" t="s">
        <v>1851</v>
      </c>
      <c r="F368" s="3" t="s">
        <v>1138</v>
      </c>
      <c r="G368" s="3" t="s">
        <v>6105</v>
      </c>
      <c r="H368" s="3" t="s">
        <v>2175</v>
      </c>
      <c r="I368" s="3" t="s">
        <v>5986</v>
      </c>
      <c r="J368" s="3" t="s">
        <v>5999</v>
      </c>
      <c r="K368" s="4" t="b">
        <f>J368 = "blocking"</f>
        <v>1</v>
      </c>
      <c r="L368" s="3" t="s">
        <v>1448</v>
      </c>
      <c r="M368" s="3" t="s">
        <v>6106</v>
      </c>
      <c r="N368" s="5">
        <v>46223.1297337963</v>
      </c>
      <c r="O368" s="4" t="b">
        <f>L368 = "PASS"</f>
        <v>1</v>
      </c>
      <c r="P368" s="4" t="b">
        <f>L368 = "FAIL"</f>
        <v>0</v>
      </c>
      <c r="Q368" s="4" t="b">
        <f>AND(((P368)=TRUE), ((K368)=TRUE))</f>
        <v>0</v>
      </c>
      <c r="R368" s="4" t="str">
        <f>IF(((O368)=TRUE),  I368,  "")</f>
        <v>suite-substrate</v>
      </c>
      <c r="S368" s="4" t="str">
        <f>IF(((Q368)=TRUE),  I368,  "")</f>
      </c>
      <c r="T368" s="3" t="s">
        <v>6001</v>
      </c>
    </row>
    <row r="369">
      <c r="A369" s="3" t="s">
        <v>6404</v>
      </c>
      <c r="B369" s="4" t="str">
        <f>C369 &amp; ": " &amp; D369</f>
        <v>formula-translates: KnowledgeFragments.IsAiValidatedByAi</v>
      </c>
      <c r="C369" s="3" t="s">
        <v>6104</v>
      </c>
      <c r="D369" s="3" t="s">
        <v>3302</v>
      </c>
      <c r="E369" s="3" t="s">
        <v>1851</v>
      </c>
      <c r="F369" s="3" t="s">
        <v>1139</v>
      </c>
      <c r="G369" s="3" t="s">
        <v>6105</v>
      </c>
      <c r="H369" s="3" t="s">
        <v>2175</v>
      </c>
      <c r="I369" s="3" t="s">
        <v>5986</v>
      </c>
      <c r="J369" s="3" t="s">
        <v>5999</v>
      </c>
      <c r="K369" s="4" t="b">
        <f>J369 = "blocking"</f>
        <v>1</v>
      </c>
      <c r="L369" s="3" t="s">
        <v>1448</v>
      </c>
      <c r="M369" s="3" t="s">
        <v>6106</v>
      </c>
      <c r="N369" s="5">
        <v>46223.1297337963</v>
      </c>
      <c r="O369" s="4" t="b">
        <f>L369 = "PASS"</f>
        <v>1</v>
      </c>
      <c r="P369" s="4" t="b">
        <f>L369 = "FAIL"</f>
        <v>0</v>
      </c>
      <c r="Q369" s="4" t="b">
        <f>AND(((P369)=TRUE), ((K369)=TRUE))</f>
        <v>0</v>
      </c>
      <c r="R369" s="4" t="str">
        <f>IF(((O369)=TRUE),  I369,  "")</f>
        <v>suite-substrate</v>
      </c>
      <c r="S369" s="4" t="str">
        <f>IF(((Q369)=TRUE),  I369,  "")</f>
      </c>
      <c r="T369" s="3" t="s">
        <v>6001</v>
      </c>
    </row>
    <row r="370">
      <c r="A370" s="3" t="s">
        <v>6405</v>
      </c>
      <c r="B370" s="4" t="str">
        <f>C370 &amp; ": " &amp; D370</f>
        <v>formula-translates: KnowledgeFragments.ReviewCadenceDays</v>
      </c>
      <c r="C370" s="3" t="s">
        <v>6104</v>
      </c>
      <c r="D370" s="3" t="s">
        <v>3304</v>
      </c>
      <c r="E370" s="3" t="s">
        <v>1851</v>
      </c>
      <c r="F370" s="3" t="s">
        <v>1140</v>
      </c>
      <c r="G370" s="3" t="s">
        <v>6105</v>
      </c>
      <c r="H370" s="3" t="s">
        <v>2175</v>
      </c>
      <c r="I370" s="3" t="s">
        <v>5986</v>
      </c>
      <c r="J370" s="3" t="s">
        <v>5999</v>
      </c>
      <c r="K370" s="4" t="b">
        <f>J370 = "blocking"</f>
        <v>1</v>
      </c>
      <c r="L370" s="3" t="s">
        <v>1448</v>
      </c>
      <c r="M370" s="3" t="s">
        <v>6106</v>
      </c>
      <c r="N370" s="5">
        <v>46223.1297337963</v>
      </c>
      <c r="O370" s="4" t="b">
        <f>L370 = "PASS"</f>
        <v>1</v>
      </c>
      <c r="P370" s="4" t="b">
        <f>L370 = "FAIL"</f>
        <v>0</v>
      </c>
      <c r="Q370" s="4" t="b">
        <f>AND(((P370)=TRUE), ((K370)=TRUE))</f>
        <v>0</v>
      </c>
      <c r="R370" s="4" t="str">
        <f>IF(((O370)=TRUE),  I370,  "")</f>
        <v>suite-substrate</v>
      </c>
      <c r="S370" s="4" t="str">
        <f>IF(((Q370)=TRUE),  I370,  "")</f>
      </c>
      <c r="T370" s="3" t="s">
        <v>6001</v>
      </c>
    </row>
    <row r="371">
      <c r="A371" s="3" t="s">
        <v>6406</v>
      </c>
      <c r="B371" s="4" t="str">
        <f>C371 &amp; ": " &amp; D371</f>
        <v>formula-translates: KnowledgeFragments.IsOverdueForReview</v>
      </c>
      <c r="C371" s="3" t="s">
        <v>6104</v>
      </c>
      <c r="D371" s="3" t="s">
        <v>3305</v>
      </c>
      <c r="E371" s="3" t="s">
        <v>1851</v>
      </c>
      <c r="F371" s="3" t="s">
        <v>1141</v>
      </c>
      <c r="G371" s="3" t="s">
        <v>6105</v>
      </c>
      <c r="H371" s="3" t="s">
        <v>2175</v>
      </c>
      <c r="I371" s="3" t="s">
        <v>5986</v>
      </c>
      <c r="J371" s="3" t="s">
        <v>5999</v>
      </c>
      <c r="K371" s="4" t="b">
        <f>J371 = "blocking"</f>
        <v>1</v>
      </c>
      <c r="L371" s="3" t="s">
        <v>1448</v>
      </c>
      <c r="M371" s="3" t="s">
        <v>6106</v>
      </c>
      <c r="N371" s="5">
        <v>46223.1297337963</v>
      </c>
      <c r="O371" s="4" t="b">
        <f>L371 = "PASS"</f>
        <v>1</v>
      </c>
      <c r="P371" s="4" t="b">
        <f>L371 = "FAIL"</f>
        <v>0</v>
      </c>
      <c r="Q371" s="4" t="b">
        <f>AND(((P371)=TRUE), ((K371)=TRUE))</f>
        <v>0</v>
      </c>
      <c r="R371" s="4" t="str">
        <f>IF(((O371)=TRUE),  I371,  "")</f>
        <v>suite-substrate</v>
      </c>
      <c r="S371" s="4" t="str">
        <f>IF(((Q371)=TRUE),  I371,  "")</f>
      </c>
      <c r="T371" s="3" t="s">
        <v>6001</v>
      </c>
    </row>
    <row r="372">
      <c r="A372" s="3" t="s">
        <v>6407</v>
      </c>
      <c r="B372" s="4" t="str">
        <f>C372 &amp; ": " &amp; D372</f>
        <v>formula-translates: KnowledgeFragments.PredatesCurrentRoleHolder</v>
      </c>
      <c r="C372" s="3" t="s">
        <v>6104</v>
      </c>
      <c r="D372" s="3" t="s">
        <v>3307</v>
      </c>
      <c r="E372" s="3" t="s">
        <v>1851</v>
      </c>
      <c r="F372" s="3" t="s">
        <v>1142</v>
      </c>
      <c r="G372" s="3" t="s">
        <v>6105</v>
      </c>
      <c r="H372" s="3" t="s">
        <v>2175</v>
      </c>
      <c r="I372" s="3" t="s">
        <v>5986</v>
      </c>
      <c r="J372" s="3" t="s">
        <v>5999</v>
      </c>
      <c r="K372" s="4" t="b">
        <f>J372 = "blocking"</f>
        <v>1</v>
      </c>
      <c r="L372" s="3" t="s">
        <v>1448</v>
      </c>
      <c r="M372" s="3" t="s">
        <v>6106</v>
      </c>
      <c r="N372" s="5">
        <v>46223.1297337963</v>
      </c>
      <c r="O372" s="4" t="b">
        <f>L372 = "PASS"</f>
        <v>1</v>
      </c>
      <c r="P372" s="4" t="b">
        <f>L372 = "FAIL"</f>
        <v>0</v>
      </c>
      <c r="Q372" s="4" t="b">
        <f>AND(((P372)=TRUE), ((K372)=TRUE))</f>
        <v>0</v>
      </c>
      <c r="R372" s="4" t="str">
        <f>IF(((O372)=TRUE),  I372,  "")</f>
        <v>suite-substrate</v>
      </c>
      <c r="S372" s="4" t="str">
        <f>IF(((Q372)=TRUE),  I372,  "")</f>
      </c>
      <c r="T372" s="3" t="s">
        <v>6001</v>
      </c>
    </row>
    <row r="373">
      <c r="A373" s="3" t="s">
        <v>6408</v>
      </c>
      <c r="B373" s="4" t="str">
        <f>C373 &amp; ": " &amp; D373</f>
        <v>formula-translates: KnowledgeFragments.OwnerRoleAssignmentValidFrom</v>
      </c>
      <c r="C373" s="3" t="s">
        <v>6104</v>
      </c>
      <c r="D373" s="3" t="s">
        <v>3309</v>
      </c>
      <c r="E373" s="3" t="s">
        <v>1851</v>
      </c>
      <c r="F373" s="3" t="s">
        <v>1143</v>
      </c>
      <c r="G373" s="3" t="s">
        <v>6105</v>
      </c>
      <c r="H373" s="3" t="s">
        <v>2175</v>
      </c>
      <c r="I373" s="3" t="s">
        <v>5986</v>
      </c>
      <c r="J373" s="3" t="s">
        <v>5999</v>
      </c>
      <c r="K373" s="4" t="b">
        <f>J373 = "blocking"</f>
        <v>1</v>
      </c>
      <c r="L373" s="3" t="s">
        <v>1448</v>
      </c>
      <c r="M373" s="3" t="s">
        <v>6106</v>
      </c>
      <c r="N373" s="5">
        <v>46223.1297337963</v>
      </c>
      <c r="O373" s="4" t="b">
        <f>L373 = "PASS"</f>
        <v>1</v>
      </c>
      <c r="P373" s="4" t="b">
        <f>L373 = "FAIL"</f>
        <v>0</v>
      </c>
      <c r="Q373" s="4" t="b">
        <f>AND(((P373)=TRUE), ((K373)=TRUE))</f>
        <v>0</v>
      </c>
      <c r="R373" s="4" t="str">
        <f>IF(((O373)=TRUE),  I373,  "")</f>
        <v>suite-substrate</v>
      </c>
      <c r="S373" s="4" t="str">
        <f>IF(((Q373)=TRUE),  I373,  "")</f>
      </c>
      <c r="T373" s="3" t="s">
        <v>6001</v>
      </c>
    </row>
    <row r="374">
      <c r="A374" s="3" t="s">
        <v>6409</v>
      </c>
      <c r="B374" s="4" t="str">
        <f>C374 &amp; ": " &amp; D374</f>
        <v>formula-translates: KnowledgeFragments.FragilitySignalCount</v>
      </c>
      <c r="C374" s="3" t="s">
        <v>6104</v>
      </c>
      <c r="D374" s="3" t="s">
        <v>3312</v>
      </c>
      <c r="E374" s="3" t="s">
        <v>1851</v>
      </c>
      <c r="F374" s="3" t="s">
        <v>1145</v>
      </c>
      <c r="G374" s="3" t="s">
        <v>6105</v>
      </c>
      <c r="H374" s="3" t="s">
        <v>2199</v>
      </c>
      <c r="I374" s="3" t="s">
        <v>5986</v>
      </c>
      <c r="J374" s="3" t="s">
        <v>5999</v>
      </c>
      <c r="K374" s="4" t="b">
        <f>J374 = "blocking"</f>
        <v>1</v>
      </c>
      <c r="L374" s="3" t="s">
        <v>1448</v>
      </c>
      <c r="M374" s="3" t="s">
        <v>6106</v>
      </c>
      <c r="N374" s="5">
        <v>46223.1297337963</v>
      </c>
      <c r="O374" s="4" t="b">
        <f>L374 = "PASS"</f>
        <v>1</v>
      </c>
      <c r="P374" s="4" t="b">
        <f>L374 = "FAIL"</f>
        <v>0</v>
      </c>
      <c r="Q374" s="4" t="b">
        <f>AND(((P374)=TRUE), ((K374)=TRUE))</f>
        <v>0</v>
      </c>
      <c r="R374" s="4" t="str">
        <f>IF(((O374)=TRUE),  I374,  "")</f>
        <v>suite-substrate</v>
      </c>
      <c r="S374" s="4" t="str">
        <f>IF(((Q374)=TRUE),  I374,  "")</f>
      </c>
      <c r="T374" s="3" t="s">
        <v>6001</v>
      </c>
    </row>
    <row r="375">
      <c r="A375" s="3" t="s">
        <v>6410</v>
      </c>
      <c r="B375" s="4" t="str">
        <f>C375 &amp; ": " &amp; D375</f>
        <v>formula-translates: KnowledgeFragments.IsCompoundFragile</v>
      </c>
      <c r="C375" s="3" t="s">
        <v>6104</v>
      </c>
      <c r="D375" s="3" t="s">
        <v>3314</v>
      </c>
      <c r="E375" s="3" t="s">
        <v>1851</v>
      </c>
      <c r="F375" s="3" t="s">
        <v>1146</v>
      </c>
      <c r="G375" s="3" t="s">
        <v>6105</v>
      </c>
      <c r="H375" s="3" t="s">
        <v>2199</v>
      </c>
      <c r="I375" s="3" t="s">
        <v>5986</v>
      </c>
      <c r="J375" s="3" t="s">
        <v>5999</v>
      </c>
      <c r="K375" s="4" t="b">
        <f>J375 = "blocking"</f>
        <v>1</v>
      </c>
      <c r="L375" s="3" t="s">
        <v>1448</v>
      </c>
      <c r="M375" s="3" t="s">
        <v>6106</v>
      </c>
      <c r="N375" s="5">
        <v>46223.1297337963</v>
      </c>
      <c r="O375" s="4" t="b">
        <f>L375 = "PASS"</f>
        <v>1</v>
      </c>
      <c r="P375" s="4" t="b">
        <f>L375 = "FAIL"</f>
        <v>0</v>
      </c>
      <c r="Q375" s="4" t="b">
        <f>AND(((P375)=TRUE), ((K375)=TRUE))</f>
        <v>0</v>
      </c>
      <c r="R375" s="4" t="str">
        <f>IF(((O375)=TRUE),  I375,  "")</f>
        <v>suite-substrate</v>
      </c>
      <c r="S375" s="4" t="str">
        <f>IF(((Q375)=TRUE),  I375,  "")</f>
      </c>
      <c r="T375" s="3" t="s">
        <v>6001</v>
      </c>
    </row>
    <row r="376">
      <c r="A376" s="3" t="s">
        <v>6411</v>
      </c>
      <c r="B376" s="4" t="str">
        <f>C376 &amp; ": " &amp; D376</f>
        <v>formula-translates: KnowledgeFragments.IsSinglePointOfFailure</v>
      </c>
      <c r="C376" s="3" t="s">
        <v>6104</v>
      </c>
      <c r="D376" s="3" t="s">
        <v>3316</v>
      </c>
      <c r="E376" s="3" t="s">
        <v>1851</v>
      </c>
      <c r="F376" s="3" t="s">
        <v>1147</v>
      </c>
      <c r="G376" s="3" t="s">
        <v>6105</v>
      </c>
      <c r="H376" s="3" t="s">
        <v>2199</v>
      </c>
      <c r="I376" s="3" t="s">
        <v>5986</v>
      </c>
      <c r="J376" s="3" t="s">
        <v>5999</v>
      </c>
      <c r="K376" s="4" t="b">
        <f>J376 = "blocking"</f>
        <v>1</v>
      </c>
      <c r="L376" s="3" t="s">
        <v>1448</v>
      </c>
      <c r="M376" s="3" t="s">
        <v>6106</v>
      </c>
      <c r="N376" s="5">
        <v>46223.1297337963</v>
      </c>
      <c r="O376" s="4" t="b">
        <f>L376 = "PASS"</f>
        <v>1</v>
      </c>
      <c r="P376" s="4" t="b">
        <f>L376 = "FAIL"</f>
        <v>0</v>
      </c>
      <c r="Q376" s="4" t="b">
        <f>AND(((P376)=TRUE), ((K376)=TRUE))</f>
        <v>0</v>
      </c>
      <c r="R376" s="4" t="str">
        <f>IF(((O376)=TRUE),  I376,  "")</f>
        <v>suite-substrate</v>
      </c>
      <c r="S376" s="4" t="str">
        <f>IF(((Q376)=TRUE),  I376,  "")</f>
      </c>
      <c r="T376" s="3" t="s">
        <v>6001</v>
      </c>
    </row>
    <row r="377">
      <c r="A377" s="3" t="s">
        <v>6412</v>
      </c>
      <c r="B377" s="4" t="str">
        <f>C377 &amp; ": " &amp; D377</f>
        <v>formula-translates: KnowledgeFragments.IsExpiringSinglePointOfFailure</v>
      </c>
      <c r="C377" s="3" t="s">
        <v>6104</v>
      </c>
      <c r="D377" s="3" t="s">
        <v>3318</v>
      </c>
      <c r="E377" s="3" t="s">
        <v>1851</v>
      </c>
      <c r="F377" s="3" t="s">
        <v>1148</v>
      </c>
      <c r="G377" s="3" t="s">
        <v>6105</v>
      </c>
      <c r="H377" s="3" t="s">
        <v>2199</v>
      </c>
      <c r="I377" s="3" t="s">
        <v>5986</v>
      </c>
      <c r="J377" s="3" t="s">
        <v>5999</v>
      </c>
      <c r="K377" s="4" t="b">
        <f>J377 = "blocking"</f>
        <v>1</v>
      </c>
      <c r="L377" s="3" t="s">
        <v>1448</v>
      </c>
      <c r="M377" s="3" t="s">
        <v>6106</v>
      </c>
      <c r="N377" s="5">
        <v>46223.1297337963</v>
      </c>
      <c r="O377" s="4" t="b">
        <f>L377 = "PASS"</f>
        <v>1</v>
      </c>
      <c r="P377" s="4" t="b">
        <f>L377 = "FAIL"</f>
        <v>0</v>
      </c>
      <c r="Q377" s="4" t="b">
        <f>AND(((P377)=TRUE), ((K377)=TRUE))</f>
        <v>0</v>
      </c>
      <c r="R377" s="4" t="str">
        <f>IF(((O377)=TRUE),  I377,  "")</f>
        <v>suite-substrate</v>
      </c>
      <c r="S377" s="4" t="str">
        <f>IF(((Q377)=TRUE),  I377,  "")</f>
      </c>
      <c r="T377" s="3" t="s">
        <v>6001</v>
      </c>
    </row>
    <row r="378">
      <c r="A378" s="3" t="s">
        <v>6413</v>
      </c>
      <c r="B378" s="4" t="str">
        <f>C378 &amp; ": " &amp; D378</f>
        <v>formula-translates: KnowledgeFragments.CompoundFragileVersionKey</v>
      </c>
      <c r="C378" s="3" t="s">
        <v>6104</v>
      </c>
      <c r="D378" s="3" t="s">
        <v>3320</v>
      </c>
      <c r="E378" s="3" t="s">
        <v>1851</v>
      </c>
      <c r="F378" s="3" t="s">
        <v>1149</v>
      </c>
      <c r="G378" s="3" t="s">
        <v>6105</v>
      </c>
      <c r="H378" s="3" t="s">
        <v>2199</v>
      </c>
      <c r="I378" s="3" t="s">
        <v>5986</v>
      </c>
      <c r="J378" s="3" t="s">
        <v>5999</v>
      </c>
      <c r="K378" s="4" t="b">
        <f>J378 = "blocking"</f>
        <v>1</v>
      </c>
      <c r="L378" s="3" t="s">
        <v>1448</v>
      </c>
      <c r="M378" s="3" t="s">
        <v>6106</v>
      </c>
      <c r="N378" s="5">
        <v>46223.1297337963</v>
      </c>
      <c r="O378" s="4" t="b">
        <f>L378 = "PASS"</f>
        <v>1</v>
      </c>
      <c r="P378" s="4" t="b">
        <f>L378 = "FAIL"</f>
        <v>0</v>
      </c>
      <c r="Q378" s="4" t="b">
        <f>AND(((P378)=TRUE), ((K378)=TRUE))</f>
        <v>0</v>
      </c>
      <c r="R378" s="4" t="str">
        <f>IF(((O378)=TRUE),  I378,  "")</f>
        <v>suite-substrate</v>
      </c>
      <c r="S378" s="4" t="str">
        <f>IF(((Q378)=TRUE),  I378,  "")</f>
      </c>
      <c r="T378" s="3" t="s">
        <v>6001</v>
      </c>
    </row>
    <row r="379">
      <c r="A379" s="3" t="s">
        <v>6414</v>
      </c>
      <c r="B379" s="4" t="str">
        <f>C379 &amp; ": " &amp; D379</f>
        <v>formula-translates: KnowledgeFragments.ValidFragmentSessionKey</v>
      </c>
      <c r="C379" s="3" t="s">
        <v>6104</v>
      </c>
      <c r="D379" s="3" t="s">
        <v>3322</v>
      </c>
      <c r="E379" s="3" t="s">
        <v>1851</v>
      </c>
      <c r="F379" s="3" t="s">
        <v>1150</v>
      </c>
      <c r="G379" s="3" t="s">
        <v>6105</v>
      </c>
      <c r="H379" s="3" t="s">
        <v>2207</v>
      </c>
      <c r="I379" s="3" t="s">
        <v>5986</v>
      </c>
      <c r="J379" s="3" t="s">
        <v>5999</v>
      </c>
      <c r="K379" s="4" t="b">
        <f>J379 = "blocking"</f>
        <v>1</v>
      </c>
      <c r="L379" s="3" t="s">
        <v>1448</v>
      </c>
      <c r="M379" s="3" t="s">
        <v>6106</v>
      </c>
      <c r="N379" s="5">
        <v>46223.1297337963</v>
      </c>
      <c r="O379" s="4" t="b">
        <f>L379 = "PASS"</f>
        <v>1</v>
      </c>
      <c r="P379" s="4" t="b">
        <f>L379 = "FAIL"</f>
        <v>0</v>
      </c>
      <c r="Q379" s="4" t="b">
        <f>AND(((P379)=TRUE), ((K379)=TRUE))</f>
        <v>0</v>
      </c>
      <c r="R379" s="4" t="str">
        <f>IF(((O379)=TRUE),  I379,  "")</f>
        <v>suite-substrate</v>
      </c>
      <c r="S379" s="4" t="str">
        <f>IF(((Q379)=TRUE),  I379,  "")</f>
      </c>
      <c r="T379" s="3" t="s">
        <v>6001</v>
      </c>
    </row>
    <row r="380">
      <c r="A380" s="3" t="s">
        <v>6415</v>
      </c>
      <c r="B380" s="4" t="str">
        <f>C380 &amp; ": " &amp; D380</f>
        <v>formula-translates: KnowledgeFragments.ConsumingStepIsSoftwareAssigned</v>
      </c>
      <c r="C380" s="3" t="s">
        <v>6104</v>
      </c>
      <c r="D380" s="3" t="s">
        <v>3324</v>
      </c>
      <c r="E380" s="3" t="s">
        <v>1851</v>
      </c>
      <c r="F380" s="3" t="s">
        <v>1151</v>
      </c>
      <c r="G380" s="3" t="s">
        <v>6105</v>
      </c>
      <c r="H380" s="3" t="s">
        <v>2211</v>
      </c>
      <c r="I380" s="3" t="s">
        <v>5986</v>
      </c>
      <c r="J380" s="3" t="s">
        <v>5999</v>
      </c>
      <c r="K380" s="4" t="b">
        <f>J380 = "blocking"</f>
        <v>1</v>
      </c>
      <c r="L380" s="3" t="s">
        <v>1448</v>
      </c>
      <c r="M380" s="3" t="s">
        <v>6106</v>
      </c>
      <c r="N380" s="5">
        <v>46223.1297337963</v>
      </c>
      <c r="O380" s="4" t="b">
        <f>L380 = "PASS"</f>
        <v>1</v>
      </c>
      <c r="P380" s="4" t="b">
        <f>L380 = "FAIL"</f>
        <v>0</v>
      </c>
      <c r="Q380" s="4" t="b">
        <f>AND(((P380)=TRUE), ((K380)=TRUE))</f>
        <v>0</v>
      </c>
      <c r="R380" s="4" t="str">
        <f>IF(((O380)=TRUE),  I380,  "")</f>
        <v>suite-substrate</v>
      </c>
      <c r="S380" s="4" t="str">
        <f>IF(((Q380)=TRUE),  I380,  "")</f>
      </c>
      <c r="T380" s="3" t="s">
        <v>6001</v>
      </c>
    </row>
    <row r="381">
      <c r="A381" s="3" t="s">
        <v>6416</v>
      </c>
      <c r="B381" s="4" t="str">
        <f>C381 &amp; ": " &amp; D381</f>
        <v>formula-translates: KnowledgeFragments.ConsumingStepAgentKind</v>
      </c>
      <c r="C381" s="3" t="s">
        <v>6104</v>
      </c>
      <c r="D381" s="3" t="s">
        <v>3326</v>
      </c>
      <c r="E381" s="3" t="s">
        <v>1851</v>
      </c>
      <c r="F381" s="3" t="s">
        <v>1152</v>
      </c>
      <c r="G381" s="3" t="s">
        <v>6105</v>
      </c>
      <c r="H381" s="3" t="s">
        <v>2211</v>
      </c>
      <c r="I381" s="3" t="s">
        <v>5986</v>
      </c>
      <c r="J381" s="3" t="s">
        <v>5999</v>
      </c>
      <c r="K381" s="4" t="b">
        <f>J381 = "blocking"</f>
        <v>1</v>
      </c>
      <c r="L381" s="3" t="s">
        <v>1448</v>
      </c>
      <c r="M381" s="3" t="s">
        <v>6106</v>
      </c>
      <c r="N381" s="5">
        <v>46223.1297337963</v>
      </c>
      <c r="O381" s="4" t="b">
        <f>L381 = "PASS"</f>
        <v>1</v>
      </c>
      <c r="P381" s="4" t="b">
        <f>L381 = "FAIL"</f>
        <v>0</v>
      </c>
      <c r="Q381" s="4" t="b">
        <f>AND(((P381)=TRUE), ((K381)=TRUE))</f>
        <v>0</v>
      </c>
      <c r="R381" s="4" t="str">
        <f>IF(((O381)=TRUE),  I381,  "")</f>
        <v>suite-substrate</v>
      </c>
      <c r="S381" s="4" t="str">
        <f>IF(((Q381)=TRUE),  I381,  "")</f>
      </c>
      <c r="T381" s="3" t="s">
        <v>6001</v>
      </c>
    </row>
    <row r="382">
      <c r="A382" s="3" t="s">
        <v>6417</v>
      </c>
      <c r="B382" s="4" t="str">
        <f>C382 &amp; ": " &amp; D382</f>
        <v>formula-translates: KnowledgeFragments.IsUnapprovedAndMachineConsumed</v>
      </c>
      <c r="C382" s="3" t="s">
        <v>6104</v>
      </c>
      <c r="D382" s="3" t="s">
        <v>3328</v>
      </c>
      <c r="E382" s="3" t="s">
        <v>1851</v>
      </c>
      <c r="F382" s="3" t="s">
        <v>1153</v>
      </c>
      <c r="G382" s="3" t="s">
        <v>6105</v>
      </c>
      <c r="H382" s="3" t="s">
        <v>2211</v>
      </c>
      <c r="I382" s="3" t="s">
        <v>5986</v>
      </c>
      <c r="J382" s="3" t="s">
        <v>5999</v>
      </c>
      <c r="K382" s="4" t="b">
        <f>J382 = "blocking"</f>
        <v>1</v>
      </c>
      <c r="L382" s="3" t="s">
        <v>1448</v>
      </c>
      <c r="M382" s="3" t="s">
        <v>6106</v>
      </c>
      <c r="N382" s="5">
        <v>46223.1297337963</v>
      </c>
      <c r="O382" s="4" t="b">
        <f>L382 = "PASS"</f>
        <v>1</v>
      </c>
      <c r="P382" s="4" t="b">
        <f>L382 = "FAIL"</f>
        <v>0</v>
      </c>
      <c r="Q382" s="4" t="b">
        <f>AND(((P382)=TRUE), ((K382)=TRUE))</f>
        <v>0</v>
      </c>
      <c r="R382" s="4" t="str">
        <f>IF(((O382)=TRUE),  I382,  "")</f>
        <v>suite-substrate</v>
      </c>
      <c r="S382" s="4" t="str">
        <f>IF(((Q382)=TRUE),  I382,  "")</f>
      </c>
      <c r="T382" s="3" t="s">
        <v>6001</v>
      </c>
    </row>
    <row r="383">
      <c r="A383" s="3" t="s">
        <v>6418</v>
      </c>
      <c r="B383" s="4" t="str">
        <f>C383 &amp; ": " &amp; D383</f>
        <v>formula-translates: KnowledgeFragments.IsUnapprovedAndHumanConsumed</v>
      </c>
      <c r="C383" s="3" t="s">
        <v>6104</v>
      </c>
      <c r="D383" s="3" t="s">
        <v>3330</v>
      </c>
      <c r="E383" s="3" t="s">
        <v>1851</v>
      </c>
      <c r="F383" s="3" t="s">
        <v>1154</v>
      </c>
      <c r="G383" s="3" t="s">
        <v>6105</v>
      </c>
      <c r="H383" s="3" t="s">
        <v>2211</v>
      </c>
      <c r="I383" s="3" t="s">
        <v>5986</v>
      </c>
      <c r="J383" s="3" t="s">
        <v>5999</v>
      </c>
      <c r="K383" s="4" t="b">
        <f>J383 = "blocking"</f>
        <v>1</v>
      </c>
      <c r="L383" s="3" t="s">
        <v>1448</v>
      </c>
      <c r="M383" s="3" t="s">
        <v>6106</v>
      </c>
      <c r="N383" s="5">
        <v>46223.1297337963</v>
      </c>
      <c r="O383" s="4" t="b">
        <f>L383 = "PASS"</f>
        <v>1</v>
      </c>
      <c r="P383" s="4" t="b">
        <f>L383 = "FAIL"</f>
        <v>0</v>
      </c>
      <c r="Q383" s="4" t="b">
        <f>AND(((P383)=TRUE), ((K383)=TRUE))</f>
        <v>0</v>
      </c>
      <c r="R383" s="4" t="str">
        <f>IF(((O383)=TRUE),  I383,  "")</f>
        <v>suite-substrate</v>
      </c>
      <c r="S383" s="4" t="str">
        <f>IF(((Q383)=TRUE),  I383,  "")</f>
      </c>
      <c r="T383" s="3" t="s">
        <v>6001</v>
      </c>
    </row>
    <row r="384">
      <c r="A384" s="3" t="s">
        <v>6419</v>
      </c>
      <c r="B384" s="4" t="str">
        <f>C384 &amp; ": " &amp; D384</f>
        <v>formula-translates: KnowledgeFragments.MachineConsumedUnapprovedVersionKey</v>
      </c>
      <c r="C384" s="3" t="s">
        <v>6104</v>
      </c>
      <c r="D384" s="3" t="s">
        <v>3332</v>
      </c>
      <c r="E384" s="3" t="s">
        <v>1851</v>
      </c>
      <c r="F384" s="3" t="s">
        <v>1155</v>
      </c>
      <c r="G384" s="3" t="s">
        <v>6105</v>
      </c>
      <c r="H384" s="3" t="s">
        <v>2211</v>
      </c>
      <c r="I384" s="3" t="s">
        <v>5986</v>
      </c>
      <c r="J384" s="3" t="s">
        <v>5999</v>
      </c>
      <c r="K384" s="4" t="b">
        <f>J384 = "blocking"</f>
        <v>1</v>
      </c>
      <c r="L384" s="3" t="s">
        <v>1448</v>
      </c>
      <c r="M384" s="3" t="s">
        <v>6106</v>
      </c>
      <c r="N384" s="5">
        <v>46223.1297337963</v>
      </c>
      <c r="O384" s="4" t="b">
        <f>L384 = "PASS"</f>
        <v>1</v>
      </c>
      <c r="P384" s="4" t="b">
        <f>L384 = "FAIL"</f>
        <v>0</v>
      </c>
      <c r="Q384" s="4" t="b">
        <f>AND(((P384)=TRUE), ((K384)=TRUE))</f>
        <v>0</v>
      </c>
      <c r="R384" s="4" t="str">
        <f>IF(((O384)=TRUE),  I384,  "")</f>
        <v>suite-substrate</v>
      </c>
      <c r="S384" s="4" t="str">
        <f>IF(((Q384)=TRUE),  I384,  "")</f>
      </c>
      <c r="T384" s="3" t="s">
        <v>6001</v>
      </c>
    </row>
    <row r="385">
      <c r="A385" s="3" t="s">
        <v>6420</v>
      </c>
      <c r="B385" s="4" t="str">
        <f>C385 &amp; ": " &amp; D385</f>
        <v>formula-translates: KnowledgeFragments.HasReviewRecord</v>
      </c>
      <c r="C385" s="3" t="s">
        <v>6104</v>
      </c>
      <c r="D385" s="3" t="s">
        <v>3334</v>
      </c>
      <c r="E385" s="3" t="s">
        <v>1851</v>
      </c>
      <c r="F385" s="3" t="s">
        <v>1156</v>
      </c>
      <c r="G385" s="3" t="s">
        <v>6105</v>
      </c>
      <c r="H385" s="3" t="s">
        <v>2215</v>
      </c>
      <c r="I385" s="3" t="s">
        <v>5986</v>
      </c>
      <c r="J385" s="3" t="s">
        <v>5999</v>
      </c>
      <c r="K385" s="4" t="b">
        <f>J385 = "blocking"</f>
        <v>1</v>
      </c>
      <c r="L385" s="3" t="s">
        <v>1448</v>
      </c>
      <c r="M385" s="3" t="s">
        <v>6106</v>
      </c>
      <c r="N385" s="5">
        <v>46223.1297337963</v>
      </c>
      <c r="O385" s="4" t="b">
        <f>L385 = "PASS"</f>
        <v>1</v>
      </c>
      <c r="P385" s="4" t="b">
        <f>L385 = "FAIL"</f>
        <v>0</v>
      </c>
      <c r="Q385" s="4" t="b">
        <f>AND(((P385)=TRUE), ((K385)=TRUE))</f>
        <v>0</v>
      </c>
      <c r="R385" s="4" t="str">
        <f>IF(((O385)=TRUE),  I385,  "")</f>
        <v>suite-substrate</v>
      </c>
      <c r="S385" s="4" t="str">
        <f>IF(((Q385)=TRUE),  I385,  "")</f>
      </c>
      <c r="T385" s="3" t="s">
        <v>6001</v>
      </c>
    </row>
    <row r="386">
      <c r="A386" s="3" t="s">
        <v>6421</v>
      </c>
      <c r="B386" s="4" t="str">
        <f>C386 &amp; ": " &amp; D386</f>
        <v>formula-translates: KnowledgeFragments.DaysSinceActualReview</v>
      </c>
      <c r="C386" s="3" t="s">
        <v>6104</v>
      </c>
      <c r="D386" s="3" t="s">
        <v>3336</v>
      </c>
      <c r="E386" s="3" t="s">
        <v>1851</v>
      </c>
      <c r="F386" s="3" t="s">
        <v>1157</v>
      </c>
      <c r="G386" s="3" t="s">
        <v>6105</v>
      </c>
      <c r="H386" s="3" t="s">
        <v>2215</v>
      </c>
      <c r="I386" s="3" t="s">
        <v>5986</v>
      </c>
      <c r="J386" s="3" t="s">
        <v>5999</v>
      </c>
      <c r="K386" s="4" t="b">
        <f>J386 = "blocking"</f>
        <v>1</v>
      </c>
      <c r="L386" s="3" t="s">
        <v>1448</v>
      </c>
      <c r="M386" s="3" t="s">
        <v>6106</v>
      </c>
      <c r="N386" s="5">
        <v>46223.1297337963</v>
      </c>
      <c r="O386" s="4" t="b">
        <f>L386 = "PASS"</f>
        <v>1</v>
      </c>
      <c r="P386" s="4" t="b">
        <f>L386 = "FAIL"</f>
        <v>0</v>
      </c>
      <c r="Q386" s="4" t="b">
        <f>AND(((P386)=TRUE), ((K386)=TRUE))</f>
        <v>0</v>
      </c>
      <c r="R386" s="4" t="str">
        <f>IF(((O386)=TRUE),  I386,  "")</f>
        <v>suite-substrate</v>
      </c>
      <c r="S386" s="4" t="str">
        <f>IF(((Q386)=TRUE),  I386,  "")</f>
      </c>
      <c r="T386" s="3" t="s">
        <v>6001</v>
      </c>
    </row>
    <row r="387">
      <c r="A387" s="3" t="s">
        <v>6422</v>
      </c>
      <c r="B387" s="4" t="str">
        <f>C387 &amp; ": " &amp; D387</f>
        <v>formula-translates: KnowledgeFragments.IsUnreviewedSinceAuthoring</v>
      </c>
      <c r="C387" s="3" t="s">
        <v>6104</v>
      </c>
      <c r="D387" s="3" t="s">
        <v>3338</v>
      </c>
      <c r="E387" s="3" t="s">
        <v>1851</v>
      </c>
      <c r="F387" s="3" t="s">
        <v>1158</v>
      </c>
      <c r="G387" s="3" t="s">
        <v>6105</v>
      </c>
      <c r="H387" s="3" t="s">
        <v>2215</v>
      </c>
      <c r="I387" s="3" t="s">
        <v>5986</v>
      </c>
      <c r="J387" s="3" t="s">
        <v>5999</v>
      </c>
      <c r="K387" s="4" t="b">
        <f>J387 = "blocking"</f>
        <v>1</v>
      </c>
      <c r="L387" s="3" t="s">
        <v>1448</v>
      </c>
      <c r="M387" s="3" t="s">
        <v>6106</v>
      </c>
      <c r="N387" s="5">
        <v>46223.1297337963</v>
      </c>
      <c r="O387" s="4" t="b">
        <f>L387 = "PASS"</f>
        <v>1</v>
      </c>
      <c r="P387" s="4" t="b">
        <f>L387 = "FAIL"</f>
        <v>0</v>
      </c>
      <c r="Q387" s="4" t="b">
        <f>AND(((P387)=TRUE), ((K387)=TRUE))</f>
        <v>0</v>
      </c>
      <c r="R387" s="4" t="str">
        <f>IF(((O387)=TRUE),  I387,  "")</f>
        <v>suite-substrate</v>
      </c>
      <c r="S387" s="4" t="str">
        <f>IF(((Q387)=TRUE),  I387,  "")</f>
      </c>
      <c r="T387" s="3" t="s">
        <v>6001</v>
      </c>
    </row>
    <row r="388">
      <c r="A388" s="3" t="s">
        <v>6423</v>
      </c>
      <c r="B388" s="4" t="str">
        <f>C388 &amp; ": " &amp; D388</f>
        <v>formula-translates: KnowledgeFragments.IsGenuinelyOverdue</v>
      </c>
      <c r="C388" s="3" t="s">
        <v>6104</v>
      </c>
      <c r="D388" s="3" t="s">
        <v>3340</v>
      </c>
      <c r="E388" s="3" t="s">
        <v>1851</v>
      </c>
      <c r="F388" s="3" t="s">
        <v>1159</v>
      </c>
      <c r="G388" s="3" t="s">
        <v>6105</v>
      </c>
      <c r="H388" s="3" t="s">
        <v>2215</v>
      </c>
      <c r="I388" s="3" t="s">
        <v>5986</v>
      </c>
      <c r="J388" s="3" t="s">
        <v>5999</v>
      </c>
      <c r="K388" s="4" t="b">
        <f>J388 = "blocking"</f>
        <v>1</v>
      </c>
      <c r="L388" s="3" t="s">
        <v>1448</v>
      </c>
      <c r="M388" s="3" t="s">
        <v>6106</v>
      </c>
      <c r="N388" s="5">
        <v>46223.1297337963</v>
      </c>
      <c r="O388" s="4" t="b">
        <f>L388 = "PASS"</f>
        <v>1</v>
      </c>
      <c r="P388" s="4" t="b">
        <f>L388 = "FAIL"</f>
        <v>0</v>
      </c>
      <c r="Q388" s="4" t="b">
        <f>AND(((P388)=TRUE), ((K388)=TRUE))</f>
        <v>0</v>
      </c>
      <c r="R388" s="4" t="str">
        <f>IF(((O388)=TRUE),  I388,  "")</f>
        <v>suite-substrate</v>
      </c>
      <c r="S388" s="4" t="str">
        <f>IF(((Q388)=TRUE),  I388,  "")</f>
      </c>
      <c r="T388" s="3" t="s">
        <v>6001</v>
      </c>
    </row>
    <row r="389">
      <c r="A389" s="3" t="s">
        <v>6424</v>
      </c>
      <c r="B389" s="4" t="str">
        <f>C389 &amp; ": " &amp; D389</f>
        <v>formula-translates: KnowledgeFragments.ReviewRecencyIsInferred</v>
      </c>
      <c r="C389" s="3" t="s">
        <v>6104</v>
      </c>
      <c r="D389" s="3" t="s">
        <v>3342</v>
      </c>
      <c r="E389" s="3" t="s">
        <v>1851</v>
      </c>
      <c r="F389" s="3" t="s">
        <v>1160</v>
      </c>
      <c r="G389" s="3" t="s">
        <v>6105</v>
      </c>
      <c r="H389" s="3" t="s">
        <v>2215</v>
      </c>
      <c r="I389" s="3" t="s">
        <v>5986</v>
      </c>
      <c r="J389" s="3" t="s">
        <v>5999</v>
      </c>
      <c r="K389" s="4" t="b">
        <f>J389 = "blocking"</f>
        <v>1</v>
      </c>
      <c r="L389" s="3" t="s">
        <v>1448</v>
      </c>
      <c r="M389" s="3" t="s">
        <v>6106</v>
      </c>
      <c r="N389" s="5">
        <v>46223.1297337963</v>
      </c>
      <c r="O389" s="4" t="b">
        <f>L389 = "PASS"</f>
        <v>1</v>
      </c>
      <c r="P389" s="4" t="b">
        <f>L389 = "FAIL"</f>
        <v>0</v>
      </c>
      <c r="Q389" s="4" t="b">
        <f>AND(((P389)=TRUE), ((K389)=TRUE))</f>
        <v>0</v>
      </c>
      <c r="R389" s="4" t="str">
        <f>IF(((O389)=TRUE),  I389,  "")</f>
        <v>suite-substrate</v>
      </c>
      <c r="S389" s="4" t="str">
        <f>IF(((Q389)=TRUE),  I389,  "")</f>
      </c>
      <c r="T389" s="3" t="s">
        <v>6001</v>
      </c>
    </row>
    <row r="390">
      <c r="A390" s="3" t="s">
        <v>6425</v>
      </c>
      <c r="B390" s="4" t="str">
        <f>C390 &amp; ": " &amp; D390</f>
        <v>formula-translates: KnowledgeFragments.InferenceDisagreesWithRecord</v>
      </c>
      <c r="C390" s="3" t="s">
        <v>6104</v>
      </c>
      <c r="D390" s="3" t="s">
        <v>3344</v>
      </c>
      <c r="E390" s="3" t="s">
        <v>1851</v>
      </c>
      <c r="F390" s="3" t="s">
        <v>1161</v>
      </c>
      <c r="G390" s="3" t="s">
        <v>6105</v>
      </c>
      <c r="H390" s="3" t="s">
        <v>2215</v>
      </c>
      <c r="I390" s="3" t="s">
        <v>5986</v>
      </c>
      <c r="J390" s="3" t="s">
        <v>5999</v>
      </c>
      <c r="K390" s="4" t="b">
        <f>J390 = "blocking"</f>
        <v>1</v>
      </c>
      <c r="L390" s="3" t="s">
        <v>1448</v>
      </c>
      <c r="M390" s="3" t="s">
        <v>6106</v>
      </c>
      <c r="N390" s="5">
        <v>46223.1297337963</v>
      </c>
      <c r="O390" s="4" t="b">
        <f>L390 = "PASS"</f>
        <v>1</v>
      </c>
      <c r="P390" s="4" t="b">
        <f>L390 = "FAIL"</f>
        <v>0</v>
      </c>
      <c r="Q390" s="4" t="b">
        <f>AND(((P390)=TRUE), ((K390)=TRUE))</f>
        <v>0</v>
      </c>
      <c r="R390" s="4" t="str">
        <f>IF(((O390)=TRUE),  I390,  "")</f>
        <v>suite-substrate</v>
      </c>
      <c r="S390" s="4" t="str">
        <f>IF(((Q390)=TRUE),  I390,  "")</f>
      </c>
      <c r="T390" s="3" t="s">
        <v>6001</v>
      </c>
    </row>
    <row r="391">
      <c r="A391" s="3" t="s">
        <v>6426</v>
      </c>
      <c r="B391" s="4" t="str">
        <f>C391 &amp; ": " &amp; D391</f>
        <v>formula-translates: KnowledgeFragments.GenuinelyOverdueVersionKey</v>
      </c>
      <c r="C391" s="3" t="s">
        <v>6104</v>
      </c>
      <c r="D391" s="3" t="s">
        <v>3346</v>
      </c>
      <c r="E391" s="3" t="s">
        <v>1851</v>
      </c>
      <c r="F391" s="3" t="s">
        <v>1162</v>
      </c>
      <c r="G391" s="3" t="s">
        <v>6105</v>
      </c>
      <c r="H391" s="3" t="s">
        <v>2215</v>
      </c>
      <c r="I391" s="3" t="s">
        <v>5986</v>
      </c>
      <c r="J391" s="3" t="s">
        <v>5999</v>
      </c>
      <c r="K391" s="4" t="b">
        <f>J391 = "blocking"</f>
        <v>1</v>
      </c>
      <c r="L391" s="3" t="s">
        <v>1448</v>
      </c>
      <c r="M391" s="3" t="s">
        <v>6106</v>
      </c>
      <c r="N391" s="5">
        <v>46223.1297337963</v>
      </c>
      <c r="O391" s="4" t="b">
        <f>L391 = "PASS"</f>
        <v>1</v>
      </c>
      <c r="P391" s="4" t="b">
        <f>L391 = "FAIL"</f>
        <v>0</v>
      </c>
      <c r="Q391" s="4" t="b">
        <f>AND(((P391)=TRUE), ((K391)=TRUE))</f>
        <v>0</v>
      </c>
      <c r="R391" s="4" t="str">
        <f>IF(((O391)=TRUE),  I391,  "")</f>
        <v>suite-substrate</v>
      </c>
      <c r="S391" s="4" t="str">
        <f>IF(((Q391)=TRUE),  I391,  "")</f>
      </c>
      <c r="T391" s="3" t="s">
        <v>6001</v>
      </c>
    </row>
    <row r="392">
      <c r="A392" s="3" t="s">
        <v>6427</v>
      </c>
      <c r="B392" s="4" t="str">
        <f>C392 &amp; ": " &amp; D392</f>
        <v>formula-translates: KnowledgeFragments.RatifiedBoundaryCount</v>
      </c>
      <c r="C392" s="3" t="s">
        <v>6104</v>
      </c>
      <c r="D392" s="3" t="s">
        <v>3348</v>
      </c>
      <c r="E392" s="3" t="s">
        <v>1851</v>
      </c>
      <c r="F392" s="3" t="s">
        <v>1163</v>
      </c>
      <c r="G392" s="3" t="s">
        <v>6105</v>
      </c>
      <c r="H392" s="3" t="s">
        <v>2227</v>
      </c>
      <c r="I392" s="3" t="s">
        <v>5986</v>
      </c>
      <c r="J392" s="3" t="s">
        <v>5999</v>
      </c>
      <c r="K392" s="4" t="b">
        <f>J392 = "blocking"</f>
        <v>1</v>
      </c>
      <c r="L392" s="3" t="s">
        <v>1448</v>
      </c>
      <c r="M392" s="3" t="s">
        <v>6106</v>
      </c>
      <c r="N392" s="5">
        <v>46223.1297337963</v>
      </c>
      <c r="O392" s="4" t="b">
        <f>L392 = "PASS"</f>
        <v>1</v>
      </c>
      <c r="P392" s="4" t="b">
        <f>L392 = "FAIL"</f>
        <v>0</v>
      </c>
      <c r="Q392" s="4" t="b">
        <f>AND(((P392)=TRUE), ((K392)=TRUE))</f>
        <v>0</v>
      </c>
      <c r="R392" s="4" t="str">
        <f>IF(((O392)=TRUE),  I392,  "")</f>
        <v>suite-substrate</v>
      </c>
      <c r="S392" s="4" t="str">
        <f>IF(((Q392)=TRUE),  I392,  "")</f>
      </c>
      <c r="T392" s="3" t="s">
        <v>6001</v>
      </c>
    </row>
    <row r="393">
      <c r="A393" s="3" t="s">
        <v>6428</v>
      </c>
      <c r="B393" s="4" t="str">
        <f>C393 &amp; ": " &amp; D393</f>
        <v>formula-translates: KnowledgeFragments.RelianceSurfaceCount</v>
      </c>
      <c r="C393" s="3" t="s">
        <v>6104</v>
      </c>
      <c r="D393" s="3" t="s">
        <v>3350</v>
      </c>
      <c r="E393" s="3" t="s">
        <v>1851</v>
      </c>
      <c r="F393" s="3" t="s">
        <v>1164</v>
      </c>
      <c r="G393" s="3" t="s">
        <v>6105</v>
      </c>
      <c r="H393" s="3" t="s">
        <v>2227</v>
      </c>
      <c r="I393" s="3" t="s">
        <v>5986</v>
      </c>
      <c r="J393" s="3" t="s">
        <v>5999</v>
      </c>
      <c r="K393" s="4" t="b">
        <f>J393 = "blocking"</f>
        <v>1</v>
      </c>
      <c r="L393" s="3" t="s">
        <v>1448</v>
      </c>
      <c r="M393" s="3" t="s">
        <v>6106</v>
      </c>
      <c r="N393" s="5">
        <v>46223.1297337963</v>
      </c>
      <c r="O393" s="4" t="b">
        <f>L393 = "PASS"</f>
        <v>1</v>
      </c>
      <c r="P393" s="4" t="b">
        <f>L393 = "FAIL"</f>
        <v>0</v>
      </c>
      <c r="Q393" s="4" t="b">
        <f>AND(((P393)=TRUE), ((K393)=TRUE))</f>
        <v>0</v>
      </c>
      <c r="R393" s="4" t="str">
        <f>IF(((O393)=TRUE),  I393,  "")</f>
        <v>suite-substrate</v>
      </c>
      <c r="S393" s="4" t="str">
        <f>IF(((Q393)=TRUE),  I393,  "")</f>
      </c>
      <c r="T393" s="3" t="s">
        <v>6001</v>
      </c>
    </row>
    <row r="394">
      <c r="A394" s="3" t="s">
        <v>6429</v>
      </c>
      <c r="B394" s="4" t="str">
        <f>C394 &amp; ": " &amp; D394</f>
        <v>formula-translates: KnowledgeFragments.DaysAwaitingMyApproval</v>
      </c>
      <c r="C394" s="3" t="s">
        <v>6104</v>
      </c>
      <c r="D394" s="3" t="s">
        <v>3352</v>
      </c>
      <c r="E394" s="3" t="s">
        <v>1851</v>
      </c>
      <c r="F394" s="3" t="s">
        <v>1165</v>
      </c>
      <c r="G394" s="3" t="s">
        <v>6105</v>
      </c>
      <c r="H394" s="3" t="s">
        <v>2227</v>
      </c>
      <c r="I394" s="3" t="s">
        <v>5986</v>
      </c>
      <c r="J394" s="3" t="s">
        <v>5999</v>
      </c>
      <c r="K394" s="4" t="b">
        <f>J394 = "blocking"</f>
        <v>1</v>
      </c>
      <c r="L394" s="3" t="s">
        <v>1448</v>
      </c>
      <c r="M394" s="3" t="s">
        <v>6106</v>
      </c>
      <c r="N394" s="5">
        <v>46223.1297337963</v>
      </c>
      <c r="O394" s="4" t="b">
        <f>L394 = "PASS"</f>
        <v>1</v>
      </c>
      <c r="P394" s="4" t="b">
        <f>L394 = "FAIL"</f>
        <v>0</v>
      </c>
      <c r="Q394" s="4" t="b">
        <f>AND(((P394)=TRUE), ((K394)=TRUE))</f>
        <v>0</v>
      </c>
      <c r="R394" s="4" t="str">
        <f>IF(((O394)=TRUE),  I394,  "")</f>
        <v>suite-substrate</v>
      </c>
      <c r="S394" s="4" t="str">
        <f>IF(((Q394)=TRUE),  I394,  "")</f>
      </c>
      <c r="T394" s="3" t="s">
        <v>6001</v>
      </c>
    </row>
    <row r="395">
      <c r="A395" s="3" t="s">
        <v>6430</v>
      </c>
      <c r="B395" s="4" t="str">
        <f>C395 &amp; ": " &amp; D395</f>
        <v>formula-translates: KnowledgeFragments.IsHighBlastRadiusUnapproved</v>
      </c>
      <c r="C395" s="3" t="s">
        <v>6104</v>
      </c>
      <c r="D395" s="3" t="s">
        <v>3354</v>
      </c>
      <c r="E395" s="3" t="s">
        <v>1851</v>
      </c>
      <c r="F395" s="3" t="s">
        <v>1166</v>
      </c>
      <c r="G395" s="3" t="s">
        <v>6105</v>
      </c>
      <c r="H395" s="3" t="s">
        <v>2227</v>
      </c>
      <c r="I395" s="3" t="s">
        <v>5986</v>
      </c>
      <c r="J395" s="3" t="s">
        <v>5999</v>
      </c>
      <c r="K395" s="4" t="b">
        <f>J395 = "blocking"</f>
        <v>1</v>
      </c>
      <c r="L395" s="3" t="s">
        <v>1448</v>
      </c>
      <c r="M395" s="3" t="s">
        <v>6106</v>
      </c>
      <c r="N395" s="5">
        <v>46223.1297337963</v>
      </c>
      <c r="O395" s="4" t="b">
        <f>L395 = "PASS"</f>
        <v>1</v>
      </c>
      <c r="P395" s="4" t="b">
        <f>L395 = "FAIL"</f>
        <v>0</v>
      </c>
      <c r="Q395" s="4" t="b">
        <f>AND(((P395)=TRUE), ((K395)=TRUE))</f>
        <v>0</v>
      </c>
      <c r="R395" s="4" t="str">
        <f>IF(((O395)=TRUE),  I395,  "")</f>
        <v>suite-substrate</v>
      </c>
      <c r="S395" s="4" t="str">
        <f>IF(((Q395)=TRUE),  I395,  "")</f>
      </c>
      <c r="T395" s="3" t="s">
        <v>6001</v>
      </c>
    </row>
    <row r="396">
      <c r="A396" s="3" t="s">
        <v>6431</v>
      </c>
      <c r="B396" s="4" t="str">
        <f>C396 &amp; ": " &amp; D396</f>
        <v>formula-translates: KnowledgeFragments.IsLongUnapproved</v>
      </c>
      <c r="C396" s="3" t="s">
        <v>6104</v>
      </c>
      <c r="D396" s="3" t="s">
        <v>3356</v>
      </c>
      <c r="E396" s="3" t="s">
        <v>1851</v>
      </c>
      <c r="F396" s="3" t="s">
        <v>1167</v>
      </c>
      <c r="G396" s="3" t="s">
        <v>6105</v>
      </c>
      <c r="H396" s="3" t="s">
        <v>2227</v>
      </c>
      <c r="I396" s="3" t="s">
        <v>5986</v>
      </c>
      <c r="J396" s="3" t="s">
        <v>5999</v>
      </c>
      <c r="K396" s="4" t="b">
        <f>J396 = "blocking"</f>
        <v>1</v>
      </c>
      <c r="L396" s="3" t="s">
        <v>1448</v>
      </c>
      <c r="M396" s="3" t="s">
        <v>6106</v>
      </c>
      <c r="N396" s="5">
        <v>46223.1297337963</v>
      </c>
      <c r="O396" s="4" t="b">
        <f>L396 = "PASS"</f>
        <v>1</v>
      </c>
      <c r="P396" s="4" t="b">
        <f>L396 = "FAIL"</f>
        <v>0</v>
      </c>
      <c r="Q396" s="4" t="b">
        <f>AND(((P396)=TRUE), ((K396)=TRUE))</f>
        <v>0</v>
      </c>
      <c r="R396" s="4" t="str">
        <f>IF(((O396)=TRUE),  I396,  "")</f>
        <v>suite-substrate</v>
      </c>
      <c r="S396" s="4" t="str">
        <f>IF(((Q396)=TRUE),  I396,  "")</f>
      </c>
      <c r="T396" s="3" t="s">
        <v>6001</v>
      </c>
    </row>
    <row r="397">
      <c r="A397" s="3" t="s">
        <v>6432</v>
      </c>
      <c r="B397" s="4" t="str">
        <f>C397 &amp; ": " &amp; D397</f>
        <v>formula-translates: KnowledgeFragments.UnapprovedLoadBearingVersionKey</v>
      </c>
      <c r="C397" s="3" t="s">
        <v>6104</v>
      </c>
      <c r="D397" s="3" t="s">
        <v>3358</v>
      </c>
      <c r="E397" s="3" t="s">
        <v>1851</v>
      </c>
      <c r="F397" s="3" t="s">
        <v>1168</v>
      </c>
      <c r="G397" s="3" t="s">
        <v>6105</v>
      </c>
      <c r="H397" s="3" t="s">
        <v>2227</v>
      </c>
      <c r="I397" s="3" t="s">
        <v>5986</v>
      </c>
      <c r="J397" s="3" t="s">
        <v>5999</v>
      </c>
      <c r="K397" s="4" t="b">
        <f>J397 = "blocking"</f>
        <v>1</v>
      </c>
      <c r="L397" s="3" t="s">
        <v>1448</v>
      </c>
      <c r="M397" s="3" t="s">
        <v>6106</v>
      </c>
      <c r="N397" s="5">
        <v>46223.1297337963</v>
      </c>
      <c r="O397" s="4" t="b">
        <f>L397 = "PASS"</f>
        <v>1</v>
      </c>
      <c r="P397" s="4" t="b">
        <f>L397 = "FAIL"</f>
        <v>0</v>
      </c>
      <c r="Q397" s="4" t="b">
        <f>AND(((P397)=TRUE), ((K397)=TRUE))</f>
        <v>0</v>
      </c>
      <c r="R397" s="4" t="str">
        <f>IF(((O397)=TRUE),  I397,  "")</f>
        <v>suite-substrate</v>
      </c>
      <c r="S397" s="4" t="str">
        <f>IF(((Q397)=TRUE),  I397,  "")</f>
      </c>
      <c r="T397" s="3" t="s">
        <v>6001</v>
      </c>
    </row>
    <row r="398">
      <c r="A398" s="3" t="s">
        <v>6433</v>
      </c>
      <c r="B398" s="4" t="str">
        <f>C398 &amp; ": " &amp; D398</f>
        <v>formula-translates: KnowledgeFragments.OwnerRoleIsVacated</v>
      </c>
      <c r="C398" s="3" t="s">
        <v>6104</v>
      </c>
      <c r="D398" s="3" t="s">
        <v>3360</v>
      </c>
      <c r="E398" s="3" t="s">
        <v>1851</v>
      </c>
      <c r="F398" s="3" t="s">
        <v>1169</v>
      </c>
      <c r="G398" s="3" t="s">
        <v>6105</v>
      </c>
      <c r="H398" s="3" t="s">
        <v>2235</v>
      </c>
      <c r="I398" s="3" t="s">
        <v>5986</v>
      </c>
      <c r="J398" s="3" t="s">
        <v>5999</v>
      </c>
      <c r="K398" s="4" t="b">
        <f>J398 = "blocking"</f>
        <v>1</v>
      </c>
      <c r="L398" s="3" t="s">
        <v>1448</v>
      </c>
      <c r="M398" s="3" t="s">
        <v>6106</v>
      </c>
      <c r="N398" s="5">
        <v>46223.1297337963</v>
      </c>
      <c r="O398" s="4" t="b">
        <f>L398 = "PASS"</f>
        <v>1</v>
      </c>
      <c r="P398" s="4" t="b">
        <f>L398 = "FAIL"</f>
        <v>0</v>
      </c>
      <c r="Q398" s="4" t="b">
        <f>AND(((P398)=TRUE), ((K398)=TRUE))</f>
        <v>0</v>
      </c>
      <c r="R398" s="4" t="str">
        <f>IF(((O398)=TRUE),  I398,  "")</f>
        <v>suite-substrate</v>
      </c>
      <c r="S398" s="4" t="str">
        <f>IF(((Q398)=TRUE),  I398,  "")</f>
      </c>
      <c r="T398" s="3" t="s">
        <v>6001</v>
      </c>
    </row>
    <row r="399">
      <c r="A399" s="3" t="s">
        <v>6434</v>
      </c>
      <c r="B399" s="4" t="str">
        <f>C399 &amp; ": " &amp; D399</f>
        <v>formula-translates: KnowledgeFragments.IsOrphanedByRole</v>
      </c>
      <c r="C399" s="3" t="s">
        <v>6104</v>
      </c>
      <c r="D399" s="3" t="s">
        <v>3362</v>
      </c>
      <c r="E399" s="3" t="s">
        <v>1851</v>
      </c>
      <c r="F399" s="3" t="s">
        <v>1170</v>
      </c>
      <c r="G399" s="3" t="s">
        <v>6105</v>
      </c>
      <c r="H399" s="3" t="s">
        <v>2235</v>
      </c>
      <c r="I399" s="3" t="s">
        <v>5986</v>
      </c>
      <c r="J399" s="3" t="s">
        <v>5999</v>
      </c>
      <c r="K399" s="4" t="b">
        <f>J399 = "blocking"</f>
        <v>1</v>
      </c>
      <c r="L399" s="3" t="s">
        <v>1448</v>
      </c>
      <c r="M399" s="3" t="s">
        <v>6106</v>
      </c>
      <c r="N399" s="5">
        <v>46223.1297337963</v>
      </c>
      <c r="O399" s="4" t="b">
        <f>L399 = "PASS"</f>
        <v>1</v>
      </c>
      <c r="P399" s="4" t="b">
        <f>L399 = "FAIL"</f>
        <v>0</v>
      </c>
      <c r="Q399" s="4" t="b">
        <f>AND(((P399)=TRUE), ((K399)=TRUE))</f>
        <v>0</v>
      </c>
      <c r="R399" s="4" t="str">
        <f>IF(((O399)=TRUE),  I399,  "")</f>
        <v>suite-substrate</v>
      </c>
      <c r="S399" s="4" t="str">
        <f>IF(((Q399)=TRUE),  I399,  "")</f>
      </c>
      <c r="T399" s="3" t="s">
        <v>6001</v>
      </c>
    </row>
    <row r="400">
      <c r="A400" s="3" t="s">
        <v>6435</v>
      </c>
      <c r="B400" s="4" t="str">
        <f>C400 &amp; ": " &amp; D400</f>
        <v>formula-translates: KnowledgeFragments.ValidFragmentVersionKey</v>
      </c>
      <c r="C400" s="3" t="s">
        <v>6104</v>
      </c>
      <c r="D400" s="3" t="s">
        <v>3364</v>
      </c>
      <c r="E400" s="3" t="s">
        <v>1851</v>
      </c>
      <c r="F400" s="3" t="s">
        <v>1171</v>
      </c>
      <c r="G400" s="3" t="s">
        <v>6105</v>
      </c>
      <c r="H400" s="3" t="s">
        <v>2247</v>
      </c>
      <c r="I400" s="3" t="s">
        <v>5986</v>
      </c>
      <c r="J400" s="3" t="s">
        <v>5999</v>
      </c>
      <c r="K400" s="4" t="b">
        <f>J400 = "blocking"</f>
        <v>1</v>
      </c>
      <c r="L400" s="3" t="s">
        <v>1448</v>
      </c>
      <c r="M400" s="3" t="s">
        <v>6106</v>
      </c>
      <c r="N400" s="5">
        <v>46223.1297337963</v>
      </c>
      <c r="O400" s="4" t="b">
        <f>L400 = "PASS"</f>
        <v>1</v>
      </c>
      <c r="P400" s="4" t="b">
        <f>L400 = "FAIL"</f>
        <v>0</v>
      </c>
      <c r="Q400" s="4" t="b">
        <f>AND(((P400)=TRUE), ((K400)=TRUE))</f>
        <v>0</v>
      </c>
      <c r="R400" s="4" t="str">
        <f>IF(((O400)=TRUE),  I400,  "")</f>
        <v>suite-substrate</v>
      </c>
      <c r="S400" s="4" t="str">
        <f>IF(((Q400)=TRUE),  I400,  "")</f>
      </c>
      <c r="T400" s="3" t="s">
        <v>6001</v>
      </c>
    </row>
    <row r="401">
      <c r="A401" s="3" t="s">
        <v>6436</v>
      </c>
      <c r="B401" s="4" t="str">
        <f>C401 &amp; ": " &amp; D401</f>
        <v>formula-translates: KnowledgeGaps.Name</v>
      </c>
      <c r="C401" s="3" t="s">
        <v>6104</v>
      </c>
      <c r="D401" s="3" t="s">
        <v>3369</v>
      </c>
      <c r="E401" s="3" t="s">
        <v>3368</v>
      </c>
      <c r="F401" s="3" t="s">
        <v>1</v>
      </c>
      <c r="G401" s="3" t="s">
        <v>6105</v>
      </c>
      <c r="H401" s="3"/>
      <c r="I401" s="3" t="s">
        <v>5986</v>
      </c>
      <c r="J401" s="3" t="s">
        <v>5999</v>
      </c>
      <c r="K401" s="4" t="b">
        <f>J401 = "blocking"</f>
        <v>1</v>
      </c>
      <c r="L401" s="3" t="s">
        <v>1448</v>
      </c>
      <c r="M401" s="3" t="s">
        <v>6106</v>
      </c>
      <c r="N401" s="5">
        <v>46223.1297337963</v>
      </c>
      <c r="O401" s="4" t="b">
        <f>L401 = "PASS"</f>
        <v>1</v>
      </c>
      <c r="P401" s="4" t="b">
        <f>L401 = "FAIL"</f>
        <v>0</v>
      </c>
      <c r="Q401" s="4" t="b">
        <f>AND(((P401)=TRUE), ((K401)=TRUE))</f>
        <v>0</v>
      </c>
      <c r="R401" s="4" t="str">
        <f>IF(((O401)=TRUE),  I401,  "")</f>
        <v>suite-substrate</v>
      </c>
      <c r="S401" s="4" t="str">
        <f>IF(((Q401)=TRUE),  I401,  "")</f>
      </c>
      <c r="T401" s="3" t="s">
        <v>6001</v>
      </c>
    </row>
    <row r="402">
      <c r="A402" s="3" t="s">
        <v>6437</v>
      </c>
      <c r="B402" s="4" t="str">
        <f>C402 &amp; ": " &amp; D402</f>
        <v>formula-translates: KnowledgeGaps.IsOpen</v>
      </c>
      <c r="C402" s="3" t="s">
        <v>6104</v>
      </c>
      <c r="D402" s="3" t="s">
        <v>3380</v>
      </c>
      <c r="E402" s="3" t="s">
        <v>3368</v>
      </c>
      <c r="F402" s="3" t="s">
        <v>1199</v>
      </c>
      <c r="G402" s="3" t="s">
        <v>6105</v>
      </c>
      <c r="H402" s="3"/>
      <c r="I402" s="3" t="s">
        <v>5986</v>
      </c>
      <c r="J402" s="3" t="s">
        <v>5999</v>
      </c>
      <c r="K402" s="4" t="b">
        <f>J402 = "blocking"</f>
        <v>1</v>
      </c>
      <c r="L402" s="3" t="s">
        <v>1448</v>
      </c>
      <c r="M402" s="3" t="s">
        <v>6106</v>
      </c>
      <c r="N402" s="5">
        <v>46223.1297337963</v>
      </c>
      <c r="O402" s="4" t="b">
        <f>L402 = "PASS"</f>
        <v>1</v>
      </c>
      <c r="P402" s="4" t="b">
        <f>L402 = "FAIL"</f>
        <v>0</v>
      </c>
      <c r="Q402" s="4" t="b">
        <f>AND(((P402)=TRUE), ((K402)=TRUE))</f>
        <v>0</v>
      </c>
      <c r="R402" s="4" t="str">
        <f>IF(((O402)=TRUE),  I402,  "")</f>
        <v>suite-substrate</v>
      </c>
      <c r="S402" s="4" t="str">
        <f>IF(((Q402)=TRUE),  I402,  "")</f>
      </c>
      <c r="T402" s="3" t="s">
        <v>6001</v>
      </c>
    </row>
    <row r="403">
      <c r="A403" s="3" t="s">
        <v>6438</v>
      </c>
      <c r="B403" s="4" t="str">
        <f>C403 &amp; ": " &amp; D403</f>
        <v>formula-translates: KnowledgeGaps.OpenGapVersionKey</v>
      </c>
      <c r="C403" s="3" t="s">
        <v>6104</v>
      </c>
      <c r="D403" s="3" t="s">
        <v>3382</v>
      </c>
      <c r="E403" s="3" t="s">
        <v>3368</v>
      </c>
      <c r="F403" s="3" t="s">
        <v>1200</v>
      </c>
      <c r="G403" s="3" t="s">
        <v>6105</v>
      </c>
      <c r="H403" s="3" t="s">
        <v>2003</v>
      </c>
      <c r="I403" s="3" t="s">
        <v>5986</v>
      </c>
      <c r="J403" s="3" t="s">
        <v>5999</v>
      </c>
      <c r="K403" s="4" t="b">
        <f>J403 = "blocking"</f>
        <v>1</v>
      </c>
      <c r="L403" s="3" t="s">
        <v>1448</v>
      </c>
      <c r="M403" s="3" t="s">
        <v>6106</v>
      </c>
      <c r="N403" s="5">
        <v>46223.1297337963</v>
      </c>
      <c r="O403" s="4" t="b">
        <f>L403 = "PASS"</f>
        <v>1</v>
      </c>
      <c r="P403" s="4" t="b">
        <f>L403 = "FAIL"</f>
        <v>0</v>
      </c>
      <c r="Q403" s="4" t="b">
        <f>AND(((P403)=TRUE), ((K403)=TRUE))</f>
        <v>0</v>
      </c>
      <c r="R403" s="4" t="str">
        <f>IF(((O403)=TRUE),  I403,  "")</f>
        <v>suite-substrate</v>
      </c>
      <c r="S403" s="4" t="str">
        <f>IF(((Q403)=TRUE),  I403,  "")</f>
      </c>
      <c r="T403" s="3" t="s">
        <v>6001</v>
      </c>
    </row>
    <row r="404">
      <c r="A404" s="3" t="s">
        <v>6439</v>
      </c>
      <c r="B404" s="4" t="str">
        <f>C404 &amp; ": " &amp; D404</f>
        <v>formula-translates: KnowledgeGaps.IsBlocking</v>
      </c>
      <c r="C404" s="3" t="s">
        <v>6104</v>
      </c>
      <c r="D404" s="3" t="s">
        <v>3384</v>
      </c>
      <c r="E404" s="3" t="s">
        <v>3368</v>
      </c>
      <c r="F404" s="3" t="s">
        <v>803</v>
      </c>
      <c r="G404" s="3" t="s">
        <v>6105</v>
      </c>
      <c r="H404" s="3" t="s">
        <v>2031</v>
      </c>
      <c r="I404" s="3" t="s">
        <v>5986</v>
      </c>
      <c r="J404" s="3" t="s">
        <v>5999</v>
      </c>
      <c r="K404" s="4" t="b">
        <f>J404 = "blocking"</f>
        <v>1</v>
      </c>
      <c r="L404" s="3" t="s">
        <v>1448</v>
      </c>
      <c r="M404" s="3" t="s">
        <v>6106</v>
      </c>
      <c r="N404" s="5">
        <v>46223.1297337963</v>
      </c>
      <c r="O404" s="4" t="b">
        <f>L404 = "PASS"</f>
        <v>1</v>
      </c>
      <c r="P404" s="4" t="b">
        <f>L404 = "FAIL"</f>
        <v>0</v>
      </c>
      <c r="Q404" s="4" t="b">
        <f>AND(((P404)=TRUE), ((K404)=TRUE))</f>
        <v>0</v>
      </c>
      <c r="R404" s="4" t="str">
        <f>IF(((O404)=TRUE),  I404,  "")</f>
        <v>suite-substrate</v>
      </c>
      <c r="S404" s="4" t="str">
        <f>IF(((Q404)=TRUE),  I404,  "")</f>
      </c>
      <c r="T404" s="3" t="s">
        <v>6001</v>
      </c>
    </row>
    <row r="405">
      <c r="A405" s="3" t="s">
        <v>6440</v>
      </c>
      <c r="B405" s="4" t="str">
        <f>C405 &amp; ": " &amp; D405</f>
        <v>formula-translates: KnowledgeGaps.IsOpenAndBlocking</v>
      </c>
      <c r="C405" s="3" t="s">
        <v>6104</v>
      </c>
      <c r="D405" s="3" t="s">
        <v>3386</v>
      </c>
      <c r="E405" s="3" t="s">
        <v>3368</v>
      </c>
      <c r="F405" s="3" t="s">
        <v>1201</v>
      </c>
      <c r="G405" s="3" t="s">
        <v>6105</v>
      </c>
      <c r="H405" s="3" t="s">
        <v>2031</v>
      </c>
      <c r="I405" s="3" t="s">
        <v>5986</v>
      </c>
      <c r="J405" s="3" t="s">
        <v>5999</v>
      </c>
      <c r="K405" s="4" t="b">
        <f>J405 = "blocking"</f>
        <v>1</v>
      </c>
      <c r="L405" s="3" t="s">
        <v>1448</v>
      </c>
      <c r="M405" s="3" t="s">
        <v>6106</v>
      </c>
      <c r="N405" s="5">
        <v>46223.1297337963</v>
      </c>
      <c r="O405" s="4" t="b">
        <f>L405 = "PASS"</f>
        <v>1</v>
      </c>
      <c r="P405" s="4" t="b">
        <f>L405 = "FAIL"</f>
        <v>0</v>
      </c>
      <c r="Q405" s="4" t="b">
        <f>AND(((P405)=TRUE), ((K405)=TRUE))</f>
        <v>0</v>
      </c>
      <c r="R405" s="4" t="str">
        <f>IF(((O405)=TRUE),  I405,  "")</f>
        <v>suite-substrate</v>
      </c>
      <c r="S405" s="4" t="str">
        <f>IF(((Q405)=TRUE),  I405,  "")</f>
      </c>
      <c r="T405" s="3" t="s">
        <v>6001</v>
      </c>
    </row>
    <row r="406">
      <c r="A406" s="3" t="s">
        <v>6441</v>
      </c>
      <c r="B406" s="4" t="str">
        <f>C406 &amp; ": " &amp; D406</f>
        <v>formula-translates: KnowledgeGaps.AsOfInstant</v>
      </c>
      <c r="C406" s="3" t="s">
        <v>6104</v>
      </c>
      <c r="D406" s="3" t="s">
        <v>3389</v>
      </c>
      <c r="E406" s="3" t="s">
        <v>3368</v>
      </c>
      <c r="F406" s="3" t="s">
        <v>92</v>
      </c>
      <c r="G406" s="3" t="s">
        <v>6105</v>
      </c>
      <c r="H406" s="3"/>
      <c r="I406" s="3" t="s">
        <v>5986</v>
      </c>
      <c r="J406" s="3" t="s">
        <v>5999</v>
      </c>
      <c r="K406" s="4" t="b">
        <f>J406 = "blocking"</f>
        <v>1</v>
      </c>
      <c r="L406" s="3" t="s">
        <v>1448</v>
      </c>
      <c r="M406" s="3" t="s">
        <v>6106</v>
      </c>
      <c r="N406" s="5">
        <v>46223.1297337963</v>
      </c>
      <c r="O406" s="4" t="b">
        <f>L406 = "PASS"</f>
        <v>1</v>
      </c>
      <c r="P406" s="4" t="b">
        <f>L406 = "FAIL"</f>
        <v>0</v>
      </c>
      <c r="Q406" s="4" t="b">
        <f>AND(((P406)=TRUE), ((K406)=TRUE))</f>
        <v>0</v>
      </c>
      <c r="R406" s="4" t="str">
        <f>IF(((O406)=TRUE),  I406,  "")</f>
        <v>suite-substrate</v>
      </c>
      <c r="S406" s="4" t="str">
        <f>IF(((Q406)=TRUE),  I406,  "")</f>
      </c>
      <c r="T406" s="3" t="s">
        <v>6001</v>
      </c>
    </row>
    <row r="407">
      <c r="A407" s="3" t="s">
        <v>6442</v>
      </c>
      <c r="B407" s="4" t="str">
        <f>C407 &amp; ": " &amp; D407</f>
        <v>formula-translates: KnowledgeGaps.DaysOpen</v>
      </c>
      <c r="C407" s="3" t="s">
        <v>6104</v>
      </c>
      <c r="D407" s="3" t="s">
        <v>3390</v>
      </c>
      <c r="E407" s="3" t="s">
        <v>3368</v>
      </c>
      <c r="F407" s="3" t="s">
        <v>1202</v>
      </c>
      <c r="G407" s="3" t="s">
        <v>6105</v>
      </c>
      <c r="H407" s="3" t="s">
        <v>2051</v>
      </c>
      <c r="I407" s="3" t="s">
        <v>5986</v>
      </c>
      <c r="J407" s="3" t="s">
        <v>5999</v>
      </c>
      <c r="K407" s="4" t="b">
        <f>J407 = "blocking"</f>
        <v>1</v>
      </c>
      <c r="L407" s="3" t="s">
        <v>1448</v>
      </c>
      <c r="M407" s="3" t="s">
        <v>6106</v>
      </c>
      <c r="N407" s="5">
        <v>46223.1297337963</v>
      </c>
      <c r="O407" s="4" t="b">
        <f>L407 = "PASS"</f>
        <v>1</v>
      </c>
      <c r="P407" s="4" t="b">
        <f>L407 = "FAIL"</f>
        <v>0</v>
      </c>
      <c r="Q407" s="4" t="b">
        <f>AND(((P407)=TRUE), ((K407)=TRUE))</f>
        <v>0</v>
      </c>
      <c r="R407" s="4" t="str">
        <f>IF(((O407)=TRUE),  I407,  "")</f>
        <v>suite-substrate</v>
      </c>
      <c r="S407" s="4" t="str">
        <f>IF(((Q407)=TRUE),  I407,  "")</f>
      </c>
      <c r="T407" s="3" t="s">
        <v>6001</v>
      </c>
    </row>
    <row r="408">
      <c r="A408" s="3" t="s">
        <v>6443</v>
      </c>
      <c r="B408" s="4" t="str">
        <f>C408 &amp; ": " &amp; D408</f>
        <v>formula-translates: KnowledgeGaps.ToleranceDays</v>
      </c>
      <c r="C408" s="3" t="s">
        <v>6104</v>
      </c>
      <c r="D408" s="3" t="s">
        <v>3392</v>
      </c>
      <c r="E408" s="3" t="s">
        <v>3368</v>
      </c>
      <c r="F408" s="3" t="s">
        <v>1203</v>
      </c>
      <c r="G408" s="3" t="s">
        <v>6105</v>
      </c>
      <c r="H408" s="3" t="s">
        <v>2051</v>
      </c>
      <c r="I408" s="3" t="s">
        <v>5986</v>
      </c>
      <c r="J408" s="3" t="s">
        <v>5999</v>
      </c>
      <c r="K408" s="4" t="b">
        <f>J408 = "blocking"</f>
        <v>1</v>
      </c>
      <c r="L408" s="3" t="s">
        <v>1448</v>
      </c>
      <c r="M408" s="3" t="s">
        <v>6106</v>
      </c>
      <c r="N408" s="5">
        <v>46223.1297337963</v>
      </c>
      <c r="O408" s="4" t="b">
        <f>L408 = "PASS"</f>
        <v>1</v>
      </c>
      <c r="P408" s="4" t="b">
        <f>L408 = "FAIL"</f>
        <v>0</v>
      </c>
      <c r="Q408" s="4" t="b">
        <f>AND(((P408)=TRUE), ((K408)=TRUE))</f>
        <v>0</v>
      </c>
      <c r="R408" s="4" t="str">
        <f>IF(((O408)=TRUE),  I408,  "")</f>
        <v>suite-substrate</v>
      </c>
      <c r="S408" s="4" t="str">
        <f>IF(((Q408)=TRUE),  I408,  "")</f>
      </c>
      <c r="T408" s="3" t="s">
        <v>6001</v>
      </c>
    </row>
    <row r="409">
      <c r="A409" s="3" t="s">
        <v>6444</v>
      </c>
      <c r="B409" s="4" t="str">
        <f>C409 &amp; ": " &amp; D409</f>
        <v>formula-translates: KnowledgeGaps.IsOverdueGap</v>
      </c>
      <c r="C409" s="3" t="s">
        <v>6104</v>
      </c>
      <c r="D409" s="3" t="s">
        <v>3394</v>
      </c>
      <c r="E409" s="3" t="s">
        <v>3368</v>
      </c>
      <c r="F409" s="3" t="s">
        <v>1204</v>
      </c>
      <c r="G409" s="3" t="s">
        <v>6105</v>
      </c>
      <c r="H409" s="3" t="s">
        <v>2051</v>
      </c>
      <c r="I409" s="3" t="s">
        <v>5986</v>
      </c>
      <c r="J409" s="3" t="s">
        <v>5999</v>
      </c>
      <c r="K409" s="4" t="b">
        <f>J409 = "blocking"</f>
        <v>1</v>
      </c>
      <c r="L409" s="3" t="s">
        <v>1448</v>
      </c>
      <c r="M409" s="3" t="s">
        <v>6106</v>
      </c>
      <c r="N409" s="5">
        <v>46223.1297337963</v>
      </c>
      <c r="O409" s="4" t="b">
        <f>L409 = "PASS"</f>
        <v>1</v>
      </c>
      <c r="P409" s="4" t="b">
        <f>L409 = "FAIL"</f>
        <v>0</v>
      </c>
      <c r="Q409" s="4" t="b">
        <f>AND(((P409)=TRUE), ((K409)=TRUE))</f>
        <v>0</v>
      </c>
      <c r="R409" s="4" t="str">
        <f>IF(((O409)=TRUE),  I409,  "")</f>
        <v>suite-substrate</v>
      </c>
      <c r="S409" s="4" t="str">
        <f>IF(((Q409)=TRUE),  I409,  "")</f>
      </c>
      <c r="T409" s="3" t="s">
        <v>6001</v>
      </c>
    </row>
    <row r="410">
      <c r="A410" s="3" t="s">
        <v>6445</v>
      </c>
      <c r="B410" s="4" t="str">
        <f>C410 &amp; ": " &amp; D410</f>
        <v>formula-translates: KnowledgeGaps.OwnerAgent</v>
      </c>
      <c r="C410" s="3" t="s">
        <v>6104</v>
      </c>
      <c r="D410" s="3" t="s">
        <v>3396</v>
      </c>
      <c r="E410" s="3" t="s">
        <v>3368</v>
      </c>
      <c r="F410" s="3" t="s">
        <v>1125</v>
      </c>
      <c r="G410" s="3" t="s">
        <v>6105</v>
      </c>
      <c r="H410" s="3" t="s">
        <v>2051</v>
      </c>
      <c r="I410" s="3" t="s">
        <v>5986</v>
      </c>
      <c r="J410" s="3" t="s">
        <v>5999</v>
      </c>
      <c r="K410" s="4" t="b">
        <f>J410 = "blocking"</f>
        <v>1</v>
      </c>
      <c r="L410" s="3" t="s">
        <v>1448</v>
      </c>
      <c r="M410" s="3" t="s">
        <v>6106</v>
      </c>
      <c r="N410" s="5">
        <v>46223.1297337963</v>
      </c>
      <c r="O410" s="4" t="b">
        <f>L410 = "PASS"</f>
        <v>1</v>
      </c>
      <c r="P410" s="4" t="b">
        <f>L410 = "FAIL"</f>
        <v>0</v>
      </c>
      <c r="Q410" s="4" t="b">
        <f>AND(((P410)=TRUE), ((K410)=TRUE))</f>
        <v>0</v>
      </c>
      <c r="R410" s="4" t="str">
        <f>IF(((O410)=TRUE),  I410,  "")</f>
        <v>suite-substrate</v>
      </c>
      <c r="S410" s="4" t="str">
        <f>IF(((Q410)=TRUE),  I410,  "")</f>
      </c>
      <c r="T410" s="3" t="s">
        <v>6001</v>
      </c>
    </row>
    <row r="411">
      <c r="A411" s="3" t="s">
        <v>6446</v>
      </c>
      <c r="B411" s="4" t="str">
        <f>C411 &amp; ": " &amp; D411</f>
        <v>formula-translates: KnowledgeGaps.OwnerIsStillEngaged</v>
      </c>
      <c r="C411" s="3" t="s">
        <v>6104</v>
      </c>
      <c r="D411" s="3" t="s">
        <v>3397</v>
      </c>
      <c r="E411" s="3" t="s">
        <v>3368</v>
      </c>
      <c r="F411" s="3" t="s">
        <v>1205</v>
      </c>
      <c r="G411" s="3" t="s">
        <v>6105</v>
      </c>
      <c r="H411" s="3" t="s">
        <v>2051</v>
      </c>
      <c r="I411" s="3" t="s">
        <v>5986</v>
      </c>
      <c r="J411" s="3" t="s">
        <v>5999</v>
      </c>
      <c r="K411" s="4" t="b">
        <f>J411 = "blocking"</f>
        <v>1</v>
      </c>
      <c r="L411" s="3" t="s">
        <v>1448</v>
      </c>
      <c r="M411" s="3" t="s">
        <v>6106</v>
      </c>
      <c r="N411" s="5">
        <v>46223.1297337963</v>
      </c>
      <c r="O411" s="4" t="b">
        <f>L411 = "PASS"</f>
        <v>1</v>
      </c>
      <c r="P411" s="4" t="b">
        <f>L411 = "FAIL"</f>
        <v>0</v>
      </c>
      <c r="Q411" s="4" t="b">
        <f>AND(((P411)=TRUE), ((K411)=TRUE))</f>
        <v>0</v>
      </c>
      <c r="R411" s="4" t="str">
        <f>IF(((O411)=TRUE),  I411,  "")</f>
        <v>suite-substrate</v>
      </c>
      <c r="S411" s="4" t="str">
        <f>IF(((Q411)=TRUE),  I411,  "")</f>
      </c>
      <c r="T411" s="3" t="s">
        <v>6001</v>
      </c>
    </row>
    <row r="412">
      <c r="A412" s="3" t="s">
        <v>6447</v>
      </c>
      <c r="B412" s="4" t="str">
        <f>C412 &amp; ": " &amp; D412</f>
        <v>formula-translates: KnowledgeGaps.HasResolutionPlan</v>
      </c>
      <c r="C412" s="3" t="s">
        <v>6104</v>
      </c>
      <c r="D412" s="3" t="s">
        <v>3399</v>
      </c>
      <c r="E412" s="3" t="s">
        <v>3368</v>
      </c>
      <c r="F412" s="3" t="s">
        <v>1206</v>
      </c>
      <c r="G412" s="3" t="s">
        <v>6105</v>
      </c>
      <c r="H412" s="3" t="s">
        <v>2051</v>
      </c>
      <c r="I412" s="3" t="s">
        <v>5986</v>
      </c>
      <c r="J412" s="3" t="s">
        <v>5999</v>
      </c>
      <c r="K412" s="4" t="b">
        <f>J412 = "blocking"</f>
        <v>1</v>
      </c>
      <c r="L412" s="3" t="s">
        <v>1448</v>
      </c>
      <c r="M412" s="3" t="s">
        <v>6106</v>
      </c>
      <c r="N412" s="5">
        <v>46223.1297337963</v>
      </c>
      <c r="O412" s="4" t="b">
        <f>L412 = "PASS"</f>
        <v>1</v>
      </c>
      <c r="P412" s="4" t="b">
        <f>L412 = "FAIL"</f>
        <v>0</v>
      </c>
      <c r="Q412" s="4" t="b">
        <f>AND(((P412)=TRUE), ((K412)=TRUE))</f>
        <v>0</v>
      </c>
      <c r="R412" s="4" t="str">
        <f>IF(((O412)=TRUE),  I412,  "")</f>
        <v>suite-substrate</v>
      </c>
      <c r="S412" s="4" t="str">
        <f>IF(((Q412)=TRUE),  I412,  "")</f>
      </c>
      <c r="T412" s="3" t="s">
        <v>6001</v>
      </c>
    </row>
    <row r="413">
      <c r="A413" s="3" t="s">
        <v>6448</v>
      </c>
      <c r="B413" s="4" t="str">
        <f>C413 &amp; ": " &amp; D413</f>
        <v>formula-translates: KnowledgeGaps.IsAbandonedUnknown</v>
      </c>
      <c r="C413" s="3" t="s">
        <v>6104</v>
      </c>
      <c r="D413" s="3" t="s">
        <v>3401</v>
      </c>
      <c r="E413" s="3" t="s">
        <v>3368</v>
      </c>
      <c r="F413" s="3" t="s">
        <v>1207</v>
      </c>
      <c r="G413" s="3" t="s">
        <v>6105</v>
      </c>
      <c r="H413" s="3" t="s">
        <v>2051</v>
      </c>
      <c r="I413" s="3" t="s">
        <v>5986</v>
      </c>
      <c r="J413" s="3" t="s">
        <v>5999</v>
      </c>
      <c r="K413" s="4" t="b">
        <f>J413 = "blocking"</f>
        <v>1</v>
      </c>
      <c r="L413" s="3" t="s">
        <v>1448</v>
      </c>
      <c r="M413" s="3" t="s">
        <v>6106</v>
      </c>
      <c r="N413" s="5">
        <v>46223.1297337963</v>
      </c>
      <c r="O413" s="4" t="b">
        <f>L413 = "PASS"</f>
        <v>1</v>
      </c>
      <c r="P413" s="4" t="b">
        <f>L413 = "FAIL"</f>
        <v>0</v>
      </c>
      <c r="Q413" s="4" t="b">
        <f>AND(((P413)=TRUE), ((K413)=TRUE))</f>
        <v>0</v>
      </c>
      <c r="R413" s="4" t="str">
        <f>IF(((O413)=TRUE),  I413,  "")</f>
        <v>suite-substrate</v>
      </c>
      <c r="S413" s="4" t="str">
        <f>IF(((Q413)=TRUE),  I413,  "")</f>
      </c>
      <c r="T413" s="3" t="s">
        <v>6001</v>
      </c>
    </row>
    <row r="414">
      <c r="A414" s="3" t="s">
        <v>6449</v>
      </c>
      <c r="B414" s="4" t="str">
        <f>C414 &amp; ": " &amp; D414</f>
        <v>formula-translates: KnowledgeGaps.OpenBlockingGapVersionKey</v>
      </c>
      <c r="C414" s="3" t="s">
        <v>6104</v>
      </c>
      <c r="D414" s="3" t="s">
        <v>3403</v>
      </c>
      <c r="E414" s="3" t="s">
        <v>3368</v>
      </c>
      <c r="F414" s="3" t="s">
        <v>1208</v>
      </c>
      <c r="G414" s="3" t="s">
        <v>6105</v>
      </c>
      <c r="H414" s="3" t="s">
        <v>2219</v>
      </c>
      <c r="I414" s="3" t="s">
        <v>5986</v>
      </c>
      <c r="J414" s="3" t="s">
        <v>5999</v>
      </c>
      <c r="K414" s="4" t="b">
        <f>J414 = "blocking"</f>
        <v>1</v>
      </c>
      <c r="L414" s="3" t="s">
        <v>1448</v>
      </c>
      <c r="M414" s="3" t="s">
        <v>6106</v>
      </c>
      <c r="N414" s="5">
        <v>46223.1297337963</v>
      </c>
      <c r="O414" s="4" t="b">
        <f>L414 = "PASS"</f>
        <v>1</v>
      </c>
      <c r="P414" s="4" t="b">
        <f>L414 = "FAIL"</f>
        <v>0</v>
      </c>
      <c r="Q414" s="4" t="b">
        <f>AND(((P414)=TRUE), ((K414)=TRUE))</f>
        <v>0</v>
      </c>
      <c r="R414" s="4" t="str">
        <f>IF(((O414)=TRUE),  I414,  "")</f>
        <v>suite-substrate</v>
      </c>
      <c r="S414" s="4" t="str">
        <f>IF(((Q414)=TRUE),  I414,  "")</f>
      </c>
      <c r="T414" s="3" t="s">
        <v>6001</v>
      </c>
    </row>
    <row r="415">
      <c r="A415" s="3" t="s">
        <v>6450</v>
      </c>
      <c r="B415" s="4" t="str">
        <f>C415 &amp; ": " &amp; D415</f>
        <v>formula-translates: KnowledgeGaps.OwnerRoleIsVacated</v>
      </c>
      <c r="C415" s="3" t="s">
        <v>6104</v>
      </c>
      <c r="D415" s="3" t="s">
        <v>3405</v>
      </c>
      <c r="E415" s="3" t="s">
        <v>3368</v>
      </c>
      <c r="F415" s="3" t="s">
        <v>1169</v>
      </c>
      <c r="G415" s="3" t="s">
        <v>6105</v>
      </c>
      <c r="H415" s="3" t="s">
        <v>2235</v>
      </c>
      <c r="I415" s="3" t="s">
        <v>5986</v>
      </c>
      <c r="J415" s="3" t="s">
        <v>5999</v>
      </c>
      <c r="K415" s="4" t="b">
        <f>J415 = "blocking"</f>
        <v>1</v>
      </c>
      <c r="L415" s="3" t="s">
        <v>1448</v>
      </c>
      <c r="M415" s="3" t="s">
        <v>6106</v>
      </c>
      <c r="N415" s="5">
        <v>46223.1297337963</v>
      </c>
      <c r="O415" s="4" t="b">
        <f>L415 = "PASS"</f>
        <v>1</v>
      </c>
      <c r="P415" s="4" t="b">
        <f>L415 = "FAIL"</f>
        <v>0</v>
      </c>
      <c r="Q415" s="4" t="b">
        <f>AND(((P415)=TRUE), ((K415)=TRUE))</f>
        <v>0</v>
      </c>
      <c r="R415" s="4" t="str">
        <f>IF(((O415)=TRUE),  I415,  "")</f>
        <v>suite-substrate</v>
      </c>
      <c r="S415" s="4" t="str">
        <f>IF(((Q415)=TRUE),  I415,  "")</f>
      </c>
      <c r="T415" s="3" t="s">
        <v>6001</v>
      </c>
    </row>
    <row r="416">
      <c r="A416" s="3" t="s">
        <v>6451</v>
      </c>
      <c r="B416" s="4" t="str">
        <f>C416 &amp; ": " &amp; D416</f>
        <v>formula-translates: KnowledgeGaps.IsOwnerlessOpenGap</v>
      </c>
      <c r="C416" s="3" t="s">
        <v>6104</v>
      </c>
      <c r="D416" s="3" t="s">
        <v>3406</v>
      </c>
      <c r="E416" s="3" t="s">
        <v>3368</v>
      </c>
      <c r="F416" s="3" t="s">
        <v>1209</v>
      </c>
      <c r="G416" s="3" t="s">
        <v>6105</v>
      </c>
      <c r="H416" s="3" t="s">
        <v>2235</v>
      </c>
      <c r="I416" s="3" t="s">
        <v>5986</v>
      </c>
      <c r="J416" s="3" t="s">
        <v>5999</v>
      </c>
      <c r="K416" s="4" t="b">
        <f>J416 = "blocking"</f>
        <v>1</v>
      </c>
      <c r="L416" s="3" t="s">
        <v>1448</v>
      </c>
      <c r="M416" s="3" t="s">
        <v>6106</v>
      </c>
      <c r="N416" s="5">
        <v>46223.1297337963</v>
      </c>
      <c r="O416" s="4" t="b">
        <f>L416 = "PASS"</f>
        <v>1</v>
      </c>
      <c r="P416" s="4" t="b">
        <f>L416 = "FAIL"</f>
        <v>0</v>
      </c>
      <c r="Q416" s="4" t="b">
        <f>AND(((P416)=TRUE), ((K416)=TRUE))</f>
        <v>0</v>
      </c>
      <c r="R416" s="4" t="str">
        <f>IF(((O416)=TRUE),  I416,  "")</f>
        <v>suite-substrate</v>
      </c>
      <c r="S416" s="4" t="str">
        <f>IF(((Q416)=TRUE),  I416,  "")</f>
      </c>
      <c r="T416" s="3" t="s">
        <v>6001</v>
      </c>
    </row>
    <row r="417">
      <c r="A417" s="3" t="s">
        <v>6452</v>
      </c>
      <c r="B417" s="4" t="str">
        <f>C417 &amp; ": " &amp; D417</f>
        <v>formula-translates: FAQs.Name</v>
      </c>
      <c r="C417" s="3" t="s">
        <v>6104</v>
      </c>
      <c r="D417" s="3" t="s">
        <v>3410</v>
      </c>
      <c r="E417" s="3" t="s">
        <v>1845</v>
      </c>
      <c r="F417" s="3" t="s">
        <v>1</v>
      </c>
      <c r="G417" s="3" t="s">
        <v>6105</v>
      </c>
      <c r="H417" s="3"/>
      <c r="I417" s="3" t="s">
        <v>5986</v>
      </c>
      <c r="J417" s="3" t="s">
        <v>5999</v>
      </c>
      <c r="K417" s="4" t="b">
        <f>J417 = "blocking"</f>
        <v>1</v>
      </c>
      <c r="L417" s="3" t="s">
        <v>1448</v>
      </c>
      <c r="M417" s="3" t="s">
        <v>6106</v>
      </c>
      <c r="N417" s="5">
        <v>46223.1297337963</v>
      </c>
      <c r="O417" s="4" t="b">
        <f>L417 = "PASS"</f>
        <v>1</v>
      </c>
      <c r="P417" s="4" t="b">
        <f>L417 = "FAIL"</f>
        <v>0</v>
      </c>
      <c r="Q417" s="4" t="b">
        <f>AND(((P417)=TRUE), ((K417)=TRUE))</f>
        <v>0</v>
      </c>
      <c r="R417" s="4" t="str">
        <f>IF(((O417)=TRUE),  I417,  "")</f>
        <v>suite-substrate</v>
      </c>
      <c r="S417" s="4" t="str">
        <f>IF(((Q417)=TRUE),  I417,  "")</f>
      </c>
      <c r="T417" s="3" t="s">
        <v>6001</v>
      </c>
    </row>
    <row r="418">
      <c r="A418" s="3" t="s">
        <v>6453</v>
      </c>
      <c r="B418" s="4" t="str">
        <f>C418 &amp; ": " &amp; D418</f>
        <v>formula-translates: Explanations.Name</v>
      </c>
      <c r="C418" s="3" t="s">
        <v>6104</v>
      </c>
      <c r="D418" s="3" t="s">
        <v>3420</v>
      </c>
      <c r="E418" s="3" t="s">
        <v>1848</v>
      </c>
      <c r="F418" s="3" t="s">
        <v>1</v>
      </c>
      <c r="G418" s="3" t="s">
        <v>6105</v>
      </c>
      <c r="H418" s="3"/>
      <c r="I418" s="3" t="s">
        <v>5986</v>
      </c>
      <c r="J418" s="3" t="s">
        <v>5999</v>
      </c>
      <c r="K418" s="4" t="b">
        <f>J418 = "blocking"</f>
        <v>1</v>
      </c>
      <c r="L418" s="3" t="s">
        <v>1448</v>
      </c>
      <c r="M418" s="3" t="s">
        <v>6106</v>
      </c>
      <c r="N418" s="5">
        <v>46223.1297337963</v>
      </c>
      <c r="O418" s="4" t="b">
        <f>L418 = "PASS"</f>
        <v>1</v>
      </c>
      <c r="P418" s="4" t="b">
        <f>L418 = "FAIL"</f>
        <v>0</v>
      </c>
      <c r="Q418" s="4" t="b">
        <f>AND(((P418)=TRUE), ((K418)=TRUE))</f>
        <v>0</v>
      </c>
      <c r="R418" s="4" t="str">
        <f>IF(((O418)=TRUE),  I418,  "")</f>
        <v>suite-substrate</v>
      </c>
      <c r="S418" s="4" t="str">
        <f>IF(((Q418)=TRUE),  I418,  "")</f>
      </c>
      <c r="T418" s="3" t="s">
        <v>6001</v>
      </c>
    </row>
    <row r="419">
      <c r="A419" s="3" t="s">
        <v>6454</v>
      </c>
      <c r="B419" s="4" t="str">
        <f>C419 &amp; ": " &amp; D419</f>
        <v>formula-translates: ProcedureExecutions.Name</v>
      </c>
      <c r="C419" s="3" t="s">
        <v>6104</v>
      </c>
      <c r="D419" s="3" t="s">
        <v>3427</v>
      </c>
      <c r="E419" s="3" t="s">
        <v>1824</v>
      </c>
      <c r="F419" s="3" t="s">
        <v>1</v>
      </c>
      <c r="G419" s="3" t="s">
        <v>6105</v>
      </c>
      <c r="H419" s="3"/>
      <c r="I419" s="3" t="s">
        <v>5986</v>
      </c>
      <c r="J419" s="3" t="s">
        <v>5999</v>
      </c>
      <c r="K419" s="4" t="b">
        <f>J419 = "blocking"</f>
        <v>1</v>
      </c>
      <c r="L419" s="3" t="s">
        <v>1448</v>
      </c>
      <c r="M419" s="3" t="s">
        <v>6106</v>
      </c>
      <c r="N419" s="5">
        <v>46223.1297337963</v>
      </c>
      <c r="O419" s="4" t="b">
        <f>L419 = "PASS"</f>
        <v>1</v>
      </c>
      <c r="P419" s="4" t="b">
        <f>L419 = "FAIL"</f>
        <v>0</v>
      </c>
      <c r="Q419" s="4" t="b">
        <f>AND(((P419)=TRUE), ((K419)=TRUE))</f>
        <v>0</v>
      </c>
      <c r="R419" s="4" t="str">
        <f>IF(((O419)=TRUE),  I419,  "")</f>
        <v>suite-substrate</v>
      </c>
      <c r="S419" s="4" t="str">
        <f>IF(((Q419)=TRUE),  I419,  "")</f>
      </c>
      <c r="T419" s="3" t="s">
        <v>6001</v>
      </c>
    </row>
    <row r="420">
      <c r="A420" s="3" t="s">
        <v>6455</v>
      </c>
      <c r="B420" s="4" t="str">
        <f>C420 &amp; ": " &amp; D420</f>
        <v>formula-translates: ProcedureExecutions.ExpectedStepCount</v>
      </c>
      <c r="C420" s="3" t="s">
        <v>6104</v>
      </c>
      <c r="D420" s="3" t="s">
        <v>3436</v>
      </c>
      <c r="E420" s="3" t="s">
        <v>1824</v>
      </c>
      <c r="F420" s="3" t="s">
        <v>1271</v>
      </c>
      <c r="G420" s="3" t="s">
        <v>6105</v>
      </c>
      <c r="H420" s="3" t="s">
        <v>1991</v>
      </c>
      <c r="I420" s="3" t="s">
        <v>5986</v>
      </c>
      <c r="J420" s="3" t="s">
        <v>5999</v>
      </c>
      <c r="K420" s="4" t="b">
        <f>J420 = "blocking"</f>
        <v>1</v>
      </c>
      <c r="L420" s="3" t="s">
        <v>1448</v>
      </c>
      <c r="M420" s="3" t="s">
        <v>6106</v>
      </c>
      <c r="N420" s="5">
        <v>46223.1297337963</v>
      </c>
      <c r="O420" s="4" t="b">
        <f>L420 = "PASS"</f>
        <v>1</v>
      </c>
      <c r="P420" s="4" t="b">
        <f>L420 = "FAIL"</f>
        <v>0</v>
      </c>
      <c r="Q420" s="4" t="b">
        <f>AND(((P420)=TRUE), ((K420)=TRUE))</f>
        <v>0</v>
      </c>
      <c r="R420" s="4" t="str">
        <f>IF(((O420)=TRUE),  I420,  "")</f>
        <v>suite-substrate</v>
      </c>
      <c r="S420" s="4" t="str">
        <f>IF(((Q420)=TRUE),  I420,  "")</f>
      </c>
      <c r="T420" s="3" t="s">
        <v>6001</v>
      </c>
    </row>
    <row r="421">
      <c r="A421" s="3" t="s">
        <v>6456</v>
      </c>
      <c r="B421" s="4" t="str">
        <f>C421 &amp; ": " &amp; D421</f>
        <v>formula-translates: ProcedureExecutions.CompletedStepCount</v>
      </c>
      <c r="C421" s="3" t="s">
        <v>6104</v>
      </c>
      <c r="D421" s="3" t="s">
        <v>3438</v>
      </c>
      <c r="E421" s="3" t="s">
        <v>1824</v>
      </c>
      <c r="F421" s="3" t="s">
        <v>1272</v>
      </c>
      <c r="G421" s="3" t="s">
        <v>6105</v>
      </c>
      <c r="H421" s="3" t="s">
        <v>1991</v>
      </c>
      <c r="I421" s="3" t="s">
        <v>5986</v>
      </c>
      <c r="J421" s="3" t="s">
        <v>5999</v>
      </c>
      <c r="K421" s="4" t="b">
        <f>J421 = "blocking"</f>
        <v>1</v>
      </c>
      <c r="L421" s="3" t="s">
        <v>1448</v>
      </c>
      <c r="M421" s="3" t="s">
        <v>6106</v>
      </c>
      <c r="N421" s="5">
        <v>46223.1297337963</v>
      </c>
      <c r="O421" s="4" t="b">
        <f>L421 = "PASS"</f>
        <v>1</v>
      </c>
      <c r="P421" s="4" t="b">
        <f>L421 = "FAIL"</f>
        <v>0</v>
      </c>
      <c r="Q421" s="4" t="b">
        <f>AND(((P421)=TRUE), ((K421)=TRUE))</f>
        <v>0</v>
      </c>
      <c r="R421" s="4" t="str">
        <f>IF(((O421)=TRUE),  I421,  "")</f>
        <v>suite-substrate</v>
      </c>
      <c r="S421" s="4" t="str">
        <f>IF(((Q421)=TRUE),  I421,  "")</f>
      </c>
      <c r="T421" s="3" t="s">
        <v>6001</v>
      </c>
    </row>
    <row r="422">
      <c r="A422" s="3" t="s">
        <v>6457</v>
      </c>
      <c r="B422" s="4" t="str">
        <f>C422 &amp; ": " &amp; D422</f>
        <v>formula-translates: ProcedureExecutions.ControlBreachCount</v>
      </c>
      <c r="C422" s="3" t="s">
        <v>6104</v>
      </c>
      <c r="D422" s="3" t="s">
        <v>3440</v>
      </c>
      <c r="E422" s="3" t="s">
        <v>1824</v>
      </c>
      <c r="F422" s="3" t="s">
        <v>1273</v>
      </c>
      <c r="G422" s="3" t="s">
        <v>6105</v>
      </c>
      <c r="H422" s="3" t="s">
        <v>1991</v>
      </c>
      <c r="I422" s="3" t="s">
        <v>5986</v>
      </c>
      <c r="J422" s="3" t="s">
        <v>5999</v>
      </c>
      <c r="K422" s="4" t="b">
        <f>J422 = "blocking"</f>
        <v>1</v>
      </c>
      <c r="L422" s="3" t="s">
        <v>1448</v>
      </c>
      <c r="M422" s="3" t="s">
        <v>6106</v>
      </c>
      <c r="N422" s="5">
        <v>46223.1297337963</v>
      </c>
      <c r="O422" s="4" t="b">
        <f>L422 = "PASS"</f>
        <v>1</v>
      </c>
      <c r="P422" s="4" t="b">
        <f>L422 = "FAIL"</f>
        <v>0</v>
      </c>
      <c r="Q422" s="4" t="b">
        <f>AND(((P422)=TRUE), ((K422)=TRUE))</f>
        <v>0</v>
      </c>
      <c r="R422" s="4" t="str">
        <f>IF(((O422)=TRUE),  I422,  "")</f>
        <v>suite-substrate</v>
      </c>
      <c r="S422" s="4" t="str">
        <f>IF(((Q422)=TRUE),  I422,  "")</f>
      </c>
      <c r="T422" s="3" t="s">
        <v>6001</v>
      </c>
    </row>
    <row r="423">
      <c r="A423" s="3" t="s">
        <v>6458</v>
      </c>
      <c r="B423" s="4" t="str">
        <f>C423 &amp; ": " &amp; D423</f>
        <v>formula-translates: ProcedureExecutions.LateStepCount</v>
      </c>
      <c r="C423" s="3" t="s">
        <v>6104</v>
      </c>
      <c r="D423" s="3" t="s">
        <v>3442</v>
      </c>
      <c r="E423" s="3" t="s">
        <v>1824</v>
      </c>
      <c r="F423" s="3" t="s">
        <v>1274</v>
      </c>
      <c r="G423" s="3" t="s">
        <v>6105</v>
      </c>
      <c r="H423" s="3" t="s">
        <v>1991</v>
      </c>
      <c r="I423" s="3" t="s">
        <v>5986</v>
      </c>
      <c r="J423" s="3" t="s">
        <v>5999</v>
      </c>
      <c r="K423" s="4" t="b">
        <f>J423 = "blocking"</f>
        <v>1</v>
      </c>
      <c r="L423" s="3" t="s">
        <v>1448</v>
      </c>
      <c r="M423" s="3" t="s">
        <v>6106</v>
      </c>
      <c r="N423" s="5">
        <v>46223.1297337963</v>
      </c>
      <c r="O423" s="4" t="b">
        <f>L423 = "PASS"</f>
        <v>1</v>
      </c>
      <c r="P423" s="4" t="b">
        <f>L423 = "FAIL"</f>
        <v>0</v>
      </c>
      <c r="Q423" s="4" t="b">
        <f>AND(((P423)=TRUE), ((K423)=TRUE))</f>
        <v>0</v>
      </c>
      <c r="R423" s="4" t="str">
        <f>IF(((O423)=TRUE),  I423,  "")</f>
        <v>suite-substrate</v>
      </c>
      <c r="S423" s="4" t="str">
        <f>IF(((Q423)=TRUE),  I423,  "")</f>
      </c>
      <c r="T423" s="3" t="s">
        <v>6001</v>
      </c>
    </row>
    <row r="424">
      <c r="A424" s="3" t="s">
        <v>6459</v>
      </c>
      <c r="B424" s="4" t="str">
        <f>C424 &amp; ": " &amp; D424</f>
        <v>formula-translates: ProcedureExecutions.IsStructurallyComplete</v>
      </c>
      <c r="C424" s="3" t="s">
        <v>6104</v>
      </c>
      <c r="D424" s="3" t="s">
        <v>3444</v>
      </c>
      <c r="E424" s="3" t="s">
        <v>1824</v>
      </c>
      <c r="F424" s="3" t="s">
        <v>1275</v>
      </c>
      <c r="G424" s="3" t="s">
        <v>6105</v>
      </c>
      <c r="H424" s="3" t="s">
        <v>1991</v>
      </c>
      <c r="I424" s="3" t="s">
        <v>5986</v>
      </c>
      <c r="J424" s="3" t="s">
        <v>5999</v>
      </c>
      <c r="K424" s="4" t="b">
        <f>J424 = "blocking"</f>
        <v>1</v>
      </c>
      <c r="L424" s="3" t="s">
        <v>1448</v>
      </c>
      <c r="M424" s="3" t="s">
        <v>6106</v>
      </c>
      <c r="N424" s="5">
        <v>46223.1297337963</v>
      </c>
      <c r="O424" s="4" t="b">
        <f>L424 = "PASS"</f>
        <v>1</v>
      </c>
      <c r="P424" s="4" t="b">
        <f>L424 = "FAIL"</f>
        <v>0</v>
      </c>
      <c r="Q424" s="4" t="b">
        <f>AND(((P424)=TRUE), ((K424)=TRUE))</f>
        <v>0</v>
      </c>
      <c r="R424" s="4" t="str">
        <f>IF(((O424)=TRUE),  I424,  "")</f>
        <v>suite-substrate</v>
      </c>
      <c r="S424" s="4" t="str">
        <f>IF(((Q424)=TRUE),  I424,  "")</f>
      </c>
      <c r="T424" s="3" t="s">
        <v>6001</v>
      </c>
    </row>
    <row r="425">
      <c r="A425" s="3" t="s">
        <v>6460</v>
      </c>
      <c r="B425" s="4" t="str">
        <f>C425 &amp; ": " &amp; D425</f>
        <v>formula-translates: ProcedureExecutions.DivergedFromSpecification</v>
      </c>
      <c r="C425" s="3" t="s">
        <v>6104</v>
      </c>
      <c r="D425" s="3" t="s">
        <v>3446</v>
      </c>
      <c r="E425" s="3" t="s">
        <v>1824</v>
      </c>
      <c r="F425" s="3" t="s">
        <v>1276</v>
      </c>
      <c r="G425" s="3" t="s">
        <v>6105</v>
      </c>
      <c r="H425" s="3" t="s">
        <v>1991</v>
      </c>
      <c r="I425" s="3" t="s">
        <v>5986</v>
      </c>
      <c r="J425" s="3" t="s">
        <v>5999</v>
      </c>
      <c r="K425" s="4" t="b">
        <f>J425 = "blocking"</f>
        <v>1</v>
      </c>
      <c r="L425" s="3" t="s">
        <v>1448</v>
      </c>
      <c r="M425" s="3" t="s">
        <v>6106</v>
      </c>
      <c r="N425" s="5">
        <v>46223.1297337963</v>
      </c>
      <c r="O425" s="4" t="b">
        <f>L425 = "PASS"</f>
        <v>1</v>
      </c>
      <c r="P425" s="4" t="b">
        <f>L425 = "FAIL"</f>
        <v>0</v>
      </c>
      <c r="Q425" s="4" t="b">
        <f>AND(((P425)=TRUE), ((K425)=TRUE))</f>
        <v>0</v>
      </c>
      <c r="R425" s="4" t="str">
        <f>IF(((O425)=TRUE),  I425,  "")</f>
        <v>suite-substrate</v>
      </c>
      <c r="S425" s="4" t="str">
        <f>IF(((Q425)=TRUE),  I425,  "")</f>
      </c>
      <c r="T425" s="3" t="s">
        <v>6001</v>
      </c>
    </row>
    <row r="426">
      <c r="A426" s="3" t="s">
        <v>6461</v>
      </c>
      <c r="B426" s="4" t="str">
        <f>C426 &amp; ": " &amp; D426</f>
        <v>formula-translates: ProcedureExecutions.AllBlockingControlsEvaluated</v>
      </c>
      <c r="C426" s="3" t="s">
        <v>6104</v>
      </c>
      <c r="D426" s="3" t="s">
        <v>3448</v>
      </c>
      <c r="E426" s="3" t="s">
        <v>1824</v>
      </c>
      <c r="F426" s="3" t="s">
        <v>1277</v>
      </c>
      <c r="G426" s="3" t="s">
        <v>6105</v>
      </c>
      <c r="H426" s="3" t="s">
        <v>1999</v>
      </c>
      <c r="I426" s="3" t="s">
        <v>5986</v>
      </c>
      <c r="J426" s="3" t="s">
        <v>5999</v>
      </c>
      <c r="K426" s="4" t="b">
        <f>J426 = "blocking"</f>
        <v>1</v>
      </c>
      <c r="L426" s="3" t="s">
        <v>1448</v>
      </c>
      <c r="M426" s="3" t="s">
        <v>6106</v>
      </c>
      <c r="N426" s="5">
        <v>46223.1297337963</v>
      </c>
      <c r="O426" s="4" t="b">
        <f>L426 = "PASS"</f>
        <v>1</v>
      </c>
      <c r="P426" s="4" t="b">
        <f>L426 = "FAIL"</f>
        <v>0</v>
      </c>
      <c r="Q426" s="4" t="b">
        <f>AND(((P426)=TRUE), ((K426)=TRUE))</f>
        <v>0</v>
      </c>
      <c r="R426" s="4" t="str">
        <f>IF(((O426)=TRUE),  I426,  "")</f>
        <v>suite-substrate</v>
      </c>
      <c r="S426" s="4" t="str">
        <f>IF(((Q426)=TRUE),  I426,  "")</f>
      </c>
      <c r="T426" s="3" t="s">
        <v>6001</v>
      </c>
    </row>
    <row r="427">
      <c r="A427" s="3" t="s">
        <v>6462</v>
      </c>
      <c r="B427" s="4" t="str">
        <f>C427 &amp; ": " &amp; D427</f>
        <v>formula-translates: ProcedureExecutions.UnevaluatedBlockingTotal</v>
      </c>
      <c r="C427" s="3" t="s">
        <v>6104</v>
      </c>
      <c r="D427" s="3" t="s">
        <v>3450</v>
      </c>
      <c r="E427" s="3" t="s">
        <v>1824</v>
      </c>
      <c r="F427" s="3" t="s">
        <v>1278</v>
      </c>
      <c r="G427" s="3" t="s">
        <v>6105</v>
      </c>
      <c r="H427" s="3" t="s">
        <v>1999</v>
      </c>
      <c r="I427" s="3" t="s">
        <v>5986</v>
      </c>
      <c r="J427" s="3" t="s">
        <v>5999</v>
      </c>
      <c r="K427" s="4" t="b">
        <f>J427 = "blocking"</f>
        <v>1</v>
      </c>
      <c r="L427" s="3" t="s">
        <v>1448</v>
      </c>
      <c r="M427" s="3" t="s">
        <v>6106</v>
      </c>
      <c r="N427" s="5">
        <v>46223.1297337963</v>
      </c>
      <c r="O427" s="4" t="b">
        <f>L427 = "PASS"</f>
        <v>1</v>
      </c>
      <c r="P427" s="4" t="b">
        <f>L427 = "FAIL"</f>
        <v>0</v>
      </c>
      <c r="Q427" s="4" t="b">
        <f>AND(((P427)=TRUE), ((K427)=TRUE))</f>
        <v>0</v>
      </c>
      <c r="R427" s="4" t="str">
        <f>IF(((O427)=TRUE),  I427,  "")</f>
        <v>suite-substrate</v>
      </c>
      <c r="S427" s="4" t="str">
        <f>IF(((Q427)=TRUE),  I427,  "")</f>
      </c>
      <c r="T427" s="3" t="s">
        <v>6001</v>
      </c>
    </row>
    <row r="428">
      <c r="A428" s="3" t="s">
        <v>6463</v>
      </c>
      <c r="B428" s="4" t="str">
        <f>C428 &amp; ": " &amp; D428</f>
        <v>formula-translates: ProcedureExecutions.SeparationOfDutiesHeld</v>
      </c>
      <c r="C428" s="3" t="s">
        <v>6104</v>
      </c>
      <c r="D428" s="3" t="s">
        <v>3452</v>
      </c>
      <c r="E428" s="3" t="s">
        <v>1824</v>
      </c>
      <c r="F428" s="3" t="s">
        <v>1279</v>
      </c>
      <c r="G428" s="3" t="s">
        <v>6105</v>
      </c>
      <c r="H428" s="3" t="s">
        <v>1999</v>
      </c>
      <c r="I428" s="3" t="s">
        <v>5986</v>
      </c>
      <c r="J428" s="3" t="s">
        <v>5999</v>
      </c>
      <c r="K428" s="4" t="b">
        <f>J428 = "blocking"</f>
        <v>1</v>
      </c>
      <c r="L428" s="3" t="s">
        <v>1448</v>
      </c>
      <c r="M428" s="3" t="s">
        <v>6106</v>
      </c>
      <c r="N428" s="5">
        <v>46223.1297337963</v>
      </c>
      <c r="O428" s="4" t="b">
        <f>L428 = "PASS"</f>
        <v>1</v>
      </c>
      <c r="P428" s="4" t="b">
        <f>L428 = "FAIL"</f>
        <v>0</v>
      </c>
      <c r="Q428" s="4" t="b">
        <f>AND(((P428)=TRUE), ((K428)=TRUE))</f>
        <v>0</v>
      </c>
      <c r="R428" s="4" t="str">
        <f>IF(((O428)=TRUE),  I428,  "")</f>
        <v>suite-substrate</v>
      </c>
      <c r="S428" s="4" t="str">
        <f>IF(((Q428)=TRUE),  I428,  "")</f>
      </c>
      <c r="T428" s="3" t="s">
        <v>6001</v>
      </c>
    </row>
    <row r="429">
      <c r="A429" s="3" t="s">
        <v>6464</v>
      </c>
      <c r="B429" s="4" t="str">
        <f>C429 &amp; ": " &amp; D429</f>
        <v>formula-translates: ProcedureExecutions.SeparationViolationCount</v>
      </c>
      <c r="C429" s="3" t="s">
        <v>6104</v>
      </c>
      <c r="D429" s="3" t="s">
        <v>3454</v>
      </c>
      <c r="E429" s="3" t="s">
        <v>1824</v>
      </c>
      <c r="F429" s="3" t="s">
        <v>1280</v>
      </c>
      <c r="G429" s="3" t="s">
        <v>6105</v>
      </c>
      <c r="H429" s="3" t="s">
        <v>1999</v>
      </c>
      <c r="I429" s="3" t="s">
        <v>5986</v>
      </c>
      <c r="J429" s="3" t="s">
        <v>5999</v>
      </c>
      <c r="K429" s="4" t="b">
        <f>J429 = "blocking"</f>
        <v>1</v>
      </c>
      <c r="L429" s="3" t="s">
        <v>1448</v>
      </c>
      <c r="M429" s="3" t="s">
        <v>6106</v>
      </c>
      <c r="N429" s="5">
        <v>46223.1297337963</v>
      </c>
      <c r="O429" s="4" t="b">
        <f>L429 = "PASS"</f>
        <v>1</v>
      </c>
      <c r="P429" s="4" t="b">
        <f>L429 = "FAIL"</f>
        <v>0</v>
      </c>
      <c r="Q429" s="4" t="b">
        <f>AND(((P429)=TRUE), ((K429)=TRUE))</f>
        <v>0</v>
      </c>
      <c r="R429" s="4" t="str">
        <f>IF(((O429)=TRUE),  I429,  "")</f>
        <v>suite-substrate</v>
      </c>
      <c r="S429" s="4" t="str">
        <f>IF(((Q429)=TRUE),  I429,  "")</f>
      </c>
      <c r="T429" s="3" t="s">
        <v>6001</v>
      </c>
    </row>
    <row r="430">
      <c r="A430" s="3" t="s">
        <v>6465</v>
      </c>
      <c r="B430" s="4" t="str">
        <f>C430 &amp; ": " &amp; D430</f>
        <v>formula-translates: ProcedureExecutions.IsAttestationReady</v>
      </c>
      <c r="C430" s="3" t="s">
        <v>6104</v>
      </c>
      <c r="D430" s="3" t="s">
        <v>3456</v>
      </c>
      <c r="E430" s="3" t="s">
        <v>1824</v>
      </c>
      <c r="F430" s="3" t="s">
        <v>1281</v>
      </c>
      <c r="G430" s="3" t="s">
        <v>6105</v>
      </c>
      <c r="H430" s="3" t="s">
        <v>1999</v>
      </c>
      <c r="I430" s="3" t="s">
        <v>5986</v>
      </c>
      <c r="J430" s="3" t="s">
        <v>5999</v>
      </c>
      <c r="K430" s="4" t="b">
        <f>J430 = "blocking"</f>
        <v>1</v>
      </c>
      <c r="L430" s="3" t="s">
        <v>1448</v>
      </c>
      <c r="M430" s="3" t="s">
        <v>6106</v>
      </c>
      <c r="N430" s="5">
        <v>46223.1297337963</v>
      </c>
      <c r="O430" s="4" t="b">
        <f>L430 = "PASS"</f>
        <v>1</v>
      </c>
      <c r="P430" s="4" t="b">
        <f>L430 = "FAIL"</f>
        <v>0</v>
      </c>
      <c r="Q430" s="4" t="b">
        <f>AND(((P430)=TRUE), ((K430)=TRUE))</f>
        <v>0</v>
      </c>
      <c r="R430" s="4" t="str">
        <f>IF(((O430)=TRUE),  I430,  "")</f>
        <v>suite-substrate</v>
      </c>
      <c r="S430" s="4" t="str">
        <f>IF(((Q430)=TRUE),  I430,  "")</f>
      </c>
      <c r="T430" s="3" t="s">
        <v>6001</v>
      </c>
    </row>
    <row r="431">
      <c r="A431" s="3" t="s">
        <v>6466</v>
      </c>
      <c r="B431" s="4" t="str">
        <f>C431 &amp; ": " &amp; D431</f>
        <v>formula-translates: ProcedureExecutions.AttestationBlockerSummary</v>
      </c>
      <c r="C431" s="3" t="s">
        <v>6104</v>
      </c>
      <c r="D431" s="3" t="s">
        <v>3458</v>
      </c>
      <c r="E431" s="3" t="s">
        <v>1824</v>
      </c>
      <c r="F431" s="3" t="s">
        <v>1282</v>
      </c>
      <c r="G431" s="3" t="s">
        <v>6105</v>
      </c>
      <c r="H431" s="3" t="s">
        <v>1999</v>
      </c>
      <c r="I431" s="3" t="s">
        <v>5986</v>
      </c>
      <c r="J431" s="3" t="s">
        <v>5999</v>
      </c>
      <c r="K431" s="4" t="b">
        <f>J431 = "blocking"</f>
        <v>1</v>
      </c>
      <c r="L431" s="3" t="s">
        <v>1448</v>
      </c>
      <c r="M431" s="3" t="s">
        <v>6106</v>
      </c>
      <c r="N431" s="5">
        <v>46223.1297337963</v>
      </c>
      <c r="O431" s="4" t="b">
        <f>L431 = "PASS"</f>
        <v>1</v>
      </c>
      <c r="P431" s="4" t="b">
        <f>L431 = "FAIL"</f>
        <v>0</v>
      </c>
      <c r="Q431" s="4" t="b">
        <f>AND(((P431)=TRUE), ((K431)=TRUE))</f>
        <v>0</v>
      </c>
      <c r="R431" s="4" t="str">
        <f>IF(((O431)=TRUE),  I431,  "")</f>
        <v>suite-substrate</v>
      </c>
      <c r="S431" s="4" t="str">
        <f>IF(((Q431)=TRUE),  I431,  "")</f>
      </c>
      <c r="T431" s="3" t="s">
        <v>6001</v>
      </c>
    </row>
    <row r="432">
      <c r="A432" s="3" t="s">
        <v>6467</v>
      </c>
      <c r="B432" s="4" t="str">
        <f>C432 &amp; ": " &amp; D432</f>
        <v>formula-translates: ProcedureExecutions.ExecutedVersionIsFit</v>
      </c>
      <c r="C432" s="3" t="s">
        <v>6104</v>
      </c>
      <c r="D432" s="3" t="s">
        <v>3460</v>
      </c>
      <c r="E432" s="3" t="s">
        <v>1824</v>
      </c>
      <c r="F432" s="3" t="s">
        <v>1283</v>
      </c>
      <c r="G432" s="3" t="s">
        <v>6105</v>
      </c>
      <c r="H432" s="3" t="s">
        <v>2003</v>
      </c>
      <c r="I432" s="3" t="s">
        <v>5986</v>
      </c>
      <c r="J432" s="3" t="s">
        <v>5999</v>
      </c>
      <c r="K432" s="4" t="b">
        <f>J432 = "blocking"</f>
        <v>1</v>
      </c>
      <c r="L432" s="3" t="s">
        <v>1448</v>
      </c>
      <c r="M432" s="3" t="s">
        <v>6106</v>
      </c>
      <c r="N432" s="5">
        <v>46223.1297337963</v>
      </c>
      <c r="O432" s="4" t="b">
        <f>L432 = "PASS"</f>
        <v>1</v>
      </c>
      <c r="P432" s="4" t="b">
        <f>L432 = "FAIL"</f>
        <v>0</v>
      </c>
      <c r="Q432" s="4" t="b">
        <f>AND(((P432)=TRUE), ((K432)=TRUE))</f>
        <v>0</v>
      </c>
      <c r="R432" s="4" t="str">
        <f>IF(((O432)=TRUE),  I432,  "")</f>
        <v>suite-substrate</v>
      </c>
      <c r="S432" s="4" t="str">
        <f>IF(((Q432)=TRUE),  I432,  "")</f>
      </c>
      <c r="T432" s="3" t="s">
        <v>6001</v>
      </c>
    </row>
    <row r="433">
      <c r="A433" s="3" t="s">
        <v>6468</v>
      </c>
      <c r="B433" s="4" t="str">
        <f>C433 &amp; ": " &amp; D433</f>
        <v>formula-translates: ProcedureExecutions.SignedAgainstUnfitVersion</v>
      </c>
      <c r="C433" s="3" t="s">
        <v>6104</v>
      </c>
      <c r="D433" s="3" t="s">
        <v>3462</v>
      </c>
      <c r="E433" s="3" t="s">
        <v>1824</v>
      </c>
      <c r="F433" s="3" t="s">
        <v>1284</v>
      </c>
      <c r="G433" s="3" t="s">
        <v>6105</v>
      </c>
      <c r="H433" s="3" t="s">
        <v>2003</v>
      </c>
      <c r="I433" s="3" t="s">
        <v>5986</v>
      </c>
      <c r="J433" s="3" t="s">
        <v>5999</v>
      </c>
      <c r="K433" s="4" t="b">
        <f>J433 = "blocking"</f>
        <v>1</v>
      </c>
      <c r="L433" s="3" t="s">
        <v>1448</v>
      </c>
      <c r="M433" s="3" t="s">
        <v>6106</v>
      </c>
      <c r="N433" s="5">
        <v>46223.1297337963</v>
      </c>
      <c r="O433" s="4" t="b">
        <f>L433 = "PASS"</f>
        <v>1</v>
      </c>
      <c r="P433" s="4" t="b">
        <f>L433 = "FAIL"</f>
        <v>0</v>
      </c>
      <c r="Q433" s="4" t="b">
        <f>AND(((P433)=TRUE), ((K433)=TRUE))</f>
        <v>0</v>
      </c>
      <c r="R433" s="4" t="str">
        <f>IF(((O433)=TRUE),  I433,  "")</f>
        <v>suite-substrate</v>
      </c>
      <c r="S433" s="4" t="str">
        <f>IF(((Q433)=TRUE),  I433,  "")</f>
      </c>
      <c r="T433" s="3" t="s">
        <v>6001</v>
      </c>
    </row>
    <row r="434">
      <c r="A434" s="3" t="s">
        <v>6469</v>
      </c>
      <c r="B434" s="4" t="str">
        <f>C434 &amp; ": " &amp; D434</f>
        <v>formula-translates: ProcedureExecutions.AssertedOnlyControlCount</v>
      </c>
      <c r="C434" s="3" t="s">
        <v>6104</v>
      </c>
      <c r="D434" s="3" t="s">
        <v>3464</v>
      </c>
      <c r="E434" s="3" t="s">
        <v>1824</v>
      </c>
      <c r="F434" s="3" t="s">
        <v>1285</v>
      </c>
      <c r="G434" s="3" t="s">
        <v>6105</v>
      </c>
      <c r="H434" s="3" t="s">
        <v>2015</v>
      </c>
      <c r="I434" s="3" t="s">
        <v>5986</v>
      </c>
      <c r="J434" s="3" t="s">
        <v>5999</v>
      </c>
      <c r="K434" s="4" t="b">
        <f>J434 = "blocking"</f>
        <v>1</v>
      </c>
      <c r="L434" s="3" t="s">
        <v>1448</v>
      </c>
      <c r="M434" s="3" t="s">
        <v>6106</v>
      </c>
      <c r="N434" s="5">
        <v>46223.1297337963</v>
      </c>
      <c r="O434" s="4" t="b">
        <f>L434 = "PASS"</f>
        <v>1</v>
      </c>
      <c r="P434" s="4" t="b">
        <f>L434 = "FAIL"</f>
        <v>0</v>
      </c>
      <c r="Q434" s="4" t="b">
        <f>AND(((P434)=TRUE), ((K434)=TRUE))</f>
        <v>0</v>
      </c>
      <c r="R434" s="4" t="str">
        <f>IF(((O434)=TRUE),  I434,  "")</f>
        <v>suite-substrate</v>
      </c>
      <c r="S434" s="4" t="str">
        <f>IF(((Q434)=TRUE),  I434,  "")</f>
      </c>
      <c r="T434" s="3" t="s">
        <v>6001</v>
      </c>
    </row>
    <row r="435">
      <c r="A435" s="3" t="s">
        <v>6470</v>
      </c>
      <c r="B435" s="4" t="str">
        <f>C435 &amp; ": " &amp; D435</f>
        <v>formula-translates: ProcedureExecutions.AssuranceIsMostlyAsserted</v>
      </c>
      <c r="C435" s="3" t="s">
        <v>6104</v>
      </c>
      <c r="D435" s="3" t="s">
        <v>3466</v>
      </c>
      <c r="E435" s="3" t="s">
        <v>1824</v>
      </c>
      <c r="F435" s="3" t="s">
        <v>1286</v>
      </c>
      <c r="G435" s="3" t="s">
        <v>6105</v>
      </c>
      <c r="H435" s="3" t="s">
        <v>2015</v>
      </c>
      <c r="I435" s="3" t="s">
        <v>5986</v>
      </c>
      <c r="J435" s="3" t="s">
        <v>5999</v>
      </c>
      <c r="K435" s="4" t="b">
        <f>J435 = "blocking"</f>
        <v>1</v>
      </c>
      <c r="L435" s="3" t="s">
        <v>1448</v>
      </c>
      <c r="M435" s="3" t="s">
        <v>6106</v>
      </c>
      <c r="N435" s="5">
        <v>46223.1297337963</v>
      </c>
      <c r="O435" s="4" t="b">
        <f>L435 = "PASS"</f>
        <v>1</v>
      </c>
      <c r="P435" s="4" t="b">
        <f>L435 = "FAIL"</f>
        <v>0</v>
      </c>
      <c r="Q435" s="4" t="b">
        <f>AND(((P435)=TRUE), ((K435)=TRUE))</f>
        <v>0</v>
      </c>
      <c r="R435" s="4" t="str">
        <f>IF(((O435)=TRUE),  I435,  "")</f>
        <v>suite-substrate</v>
      </c>
      <c r="S435" s="4" t="str">
        <f>IF(((Q435)=TRUE),  I435,  "")</f>
      </c>
      <c r="T435" s="3" t="s">
        <v>6001</v>
      </c>
    </row>
    <row r="436">
      <c r="A436" s="3" t="s">
        <v>6471</v>
      </c>
      <c r="B436" s="4" t="str">
        <f>C436 &amp; ": " &amp; D436</f>
        <v>formula-translates: ProcedureExecutions.UnreachableHandlingFailureCount</v>
      </c>
      <c r="C436" s="3" t="s">
        <v>6104</v>
      </c>
      <c r="D436" s="3" t="s">
        <v>3468</v>
      </c>
      <c r="E436" s="3" t="s">
        <v>1824</v>
      </c>
      <c r="F436" s="3" t="s">
        <v>1287</v>
      </c>
      <c r="G436" s="3" t="s">
        <v>6105</v>
      </c>
      <c r="H436" s="3" t="s">
        <v>2067</v>
      </c>
      <c r="I436" s="3" t="s">
        <v>5986</v>
      </c>
      <c r="J436" s="3" t="s">
        <v>5999</v>
      </c>
      <c r="K436" s="4" t="b">
        <f>J436 = "blocking"</f>
        <v>1</v>
      </c>
      <c r="L436" s="3" t="s">
        <v>1448</v>
      </c>
      <c r="M436" s="3" t="s">
        <v>6106</v>
      </c>
      <c r="N436" s="5">
        <v>46223.1297337963</v>
      </c>
      <c r="O436" s="4" t="b">
        <f>L436 = "PASS"</f>
        <v>1</v>
      </c>
      <c r="P436" s="4" t="b">
        <f>L436 = "FAIL"</f>
        <v>0</v>
      </c>
      <c r="Q436" s="4" t="b">
        <f>AND(((P436)=TRUE), ((K436)=TRUE))</f>
        <v>0</v>
      </c>
      <c r="R436" s="4" t="str">
        <f>IF(((O436)=TRUE),  I436,  "")</f>
        <v>suite-substrate</v>
      </c>
      <c r="S436" s="4" t="str">
        <f>IF(((Q436)=TRUE),  I436,  "")</f>
      </c>
      <c r="T436" s="3" t="s">
        <v>6001</v>
      </c>
    </row>
    <row r="437">
      <c r="A437" s="3" t="s">
        <v>6472</v>
      </c>
      <c r="B437" s="4" t="str">
        <f>C437 &amp; ": " &amp; D437</f>
        <v>formula-translates: ProcedureExecutions.RetentionBreachCount</v>
      </c>
      <c r="C437" s="3" t="s">
        <v>6104</v>
      </c>
      <c r="D437" s="3" t="s">
        <v>3470</v>
      </c>
      <c r="E437" s="3" t="s">
        <v>1824</v>
      </c>
      <c r="F437" s="3" t="s">
        <v>1288</v>
      </c>
      <c r="G437" s="3" t="s">
        <v>6105</v>
      </c>
      <c r="H437" s="3" t="s">
        <v>2071</v>
      </c>
      <c r="I437" s="3" t="s">
        <v>5986</v>
      </c>
      <c r="J437" s="3" t="s">
        <v>5999</v>
      </c>
      <c r="K437" s="4" t="b">
        <f>J437 = "blocking"</f>
        <v>1</v>
      </c>
      <c r="L437" s="3" t="s">
        <v>1448</v>
      </c>
      <c r="M437" s="3" t="s">
        <v>6106</v>
      </c>
      <c r="N437" s="5">
        <v>46223.1297337963</v>
      </c>
      <c r="O437" s="4" t="b">
        <f>L437 = "PASS"</f>
        <v>1</v>
      </c>
      <c r="P437" s="4" t="b">
        <f>L437 = "FAIL"</f>
        <v>0</v>
      </c>
      <c r="Q437" s="4" t="b">
        <f>AND(((P437)=TRUE), ((K437)=TRUE))</f>
        <v>0</v>
      </c>
      <c r="R437" s="4" t="str">
        <f>IF(((O437)=TRUE),  I437,  "")</f>
        <v>suite-substrate</v>
      </c>
      <c r="S437" s="4" t="str">
        <f>IF(((Q437)=TRUE),  I437,  "")</f>
      </c>
      <c r="T437" s="3" t="s">
        <v>6001</v>
      </c>
    </row>
    <row r="438">
      <c r="A438" s="3" t="s">
        <v>6473</v>
      </c>
      <c r="B438" s="4" t="str">
        <f>C438 &amp; ": " &amp; D438</f>
        <v>formula-translates: ProcedureExecutions.ClearedLegalReviewCount</v>
      </c>
      <c r="C438" s="3" t="s">
        <v>6104</v>
      </c>
      <c r="D438" s="3" t="s">
        <v>3472</v>
      </c>
      <c r="E438" s="3" t="s">
        <v>1824</v>
      </c>
      <c r="F438" s="3" t="s">
        <v>1289</v>
      </c>
      <c r="G438" s="3" t="s">
        <v>6105</v>
      </c>
      <c r="H438" s="3" t="s">
        <v>2075</v>
      </c>
      <c r="I438" s="3" t="s">
        <v>5986</v>
      </c>
      <c r="J438" s="3" t="s">
        <v>5999</v>
      </c>
      <c r="K438" s="4" t="b">
        <f>J438 = "blocking"</f>
        <v>1</v>
      </c>
      <c r="L438" s="3" t="s">
        <v>1448</v>
      </c>
      <c r="M438" s="3" t="s">
        <v>6106</v>
      </c>
      <c r="N438" s="5">
        <v>46223.1297337963</v>
      </c>
      <c r="O438" s="4" t="b">
        <f>L438 = "PASS"</f>
        <v>1</v>
      </c>
      <c r="P438" s="4" t="b">
        <f>L438 = "FAIL"</f>
        <v>0</v>
      </c>
      <c r="Q438" s="4" t="b">
        <f>AND(((P438)=TRUE), ((K438)=TRUE))</f>
        <v>0</v>
      </c>
      <c r="R438" s="4" t="str">
        <f>IF(((O438)=TRUE),  I438,  "")</f>
        <v>suite-substrate</v>
      </c>
      <c r="S438" s="4" t="str">
        <f>IF(((Q438)=TRUE),  I438,  "")</f>
      </c>
      <c r="T438" s="3" t="s">
        <v>6001</v>
      </c>
    </row>
    <row r="439">
      <c r="A439" s="3" t="s">
        <v>6474</v>
      </c>
      <c r="B439" s="4" t="str">
        <f>C439 &amp; ": " &amp; D439</f>
        <v>formula-translates: ProcedureExecutions.HasClearedLegalReview</v>
      </c>
      <c r="C439" s="3" t="s">
        <v>6104</v>
      </c>
      <c r="D439" s="3" t="s">
        <v>3474</v>
      </c>
      <c r="E439" s="3" t="s">
        <v>1824</v>
      </c>
      <c r="F439" s="3" t="s">
        <v>1290</v>
      </c>
      <c r="G439" s="3" t="s">
        <v>6105</v>
      </c>
      <c r="H439" s="3" t="s">
        <v>2075</v>
      </c>
      <c r="I439" s="3" t="s">
        <v>5986</v>
      </c>
      <c r="J439" s="3" t="s">
        <v>5999</v>
      </c>
      <c r="K439" s="4" t="b">
        <f>J439 = "blocking"</f>
        <v>1</v>
      </c>
      <c r="L439" s="3" t="s">
        <v>1448</v>
      </c>
      <c r="M439" s="3" t="s">
        <v>6106</v>
      </c>
      <c r="N439" s="5">
        <v>46223.1297337963</v>
      </c>
      <c r="O439" s="4" t="b">
        <f>L439 = "PASS"</f>
        <v>1</v>
      </c>
      <c r="P439" s="4" t="b">
        <f>L439 = "FAIL"</f>
        <v>0</v>
      </c>
      <c r="Q439" s="4" t="b">
        <f>AND(((P439)=TRUE), ((K439)=TRUE))</f>
        <v>0</v>
      </c>
      <c r="R439" s="4" t="str">
        <f>IF(((O439)=TRUE),  I439,  "")</f>
        <v>suite-substrate</v>
      </c>
      <c r="S439" s="4" t="str">
        <f>IF(((Q439)=TRUE),  I439,  "")</f>
      </c>
      <c r="T439" s="3" t="s">
        <v>6001</v>
      </c>
    </row>
    <row r="440">
      <c r="A440" s="3" t="s">
        <v>6475</v>
      </c>
      <c r="B440" s="4" t="str">
        <f>C440 &amp; ": " &amp; D440</f>
        <v>formula-translates: ProcedureExecutions.AbandonedFailureCount</v>
      </c>
      <c r="C440" s="3" t="s">
        <v>6104</v>
      </c>
      <c r="D440" s="3" t="s">
        <v>3476</v>
      </c>
      <c r="E440" s="3" t="s">
        <v>1824</v>
      </c>
      <c r="F440" s="3" t="s">
        <v>1291</v>
      </c>
      <c r="G440" s="3" t="s">
        <v>6105</v>
      </c>
      <c r="H440" s="3" t="s">
        <v>2091</v>
      </c>
      <c r="I440" s="3" t="s">
        <v>5986</v>
      </c>
      <c r="J440" s="3" t="s">
        <v>5999</v>
      </c>
      <c r="K440" s="4" t="b">
        <f>J440 = "blocking"</f>
        <v>1</v>
      </c>
      <c r="L440" s="3" t="s">
        <v>1448</v>
      </c>
      <c r="M440" s="3" t="s">
        <v>6106</v>
      </c>
      <c r="N440" s="5">
        <v>46223.1297337963</v>
      </c>
      <c r="O440" s="4" t="b">
        <f>L440 = "PASS"</f>
        <v>1</v>
      </c>
      <c r="P440" s="4" t="b">
        <f>L440 = "FAIL"</f>
        <v>0</v>
      </c>
      <c r="Q440" s="4" t="b">
        <f>AND(((P440)=TRUE), ((K440)=TRUE))</f>
        <v>0</v>
      </c>
      <c r="R440" s="4" t="str">
        <f>IF(((O440)=TRUE),  I440,  "")</f>
        <v>suite-substrate</v>
      </c>
      <c r="S440" s="4" t="str">
        <f>IF(((Q440)=TRUE),  I440,  "")</f>
      </c>
      <c r="T440" s="3" t="s">
        <v>6001</v>
      </c>
    </row>
    <row r="441">
      <c r="A441" s="3" t="s">
        <v>6476</v>
      </c>
      <c r="B441" s="4" t="str">
        <f>C441 &amp; ": " &amp; D441</f>
        <v>formula-translates: ProcedureExecutions.DeliveredCount</v>
      </c>
      <c r="C441" s="3" t="s">
        <v>6104</v>
      </c>
      <c r="D441" s="3" t="s">
        <v>3478</v>
      </c>
      <c r="E441" s="3" t="s">
        <v>1824</v>
      </c>
      <c r="F441" s="3" t="s">
        <v>1292</v>
      </c>
      <c r="G441" s="3" t="s">
        <v>6105</v>
      </c>
      <c r="H441" s="3" t="s">
        <v>2091</v>
      </c>
      <c r="I441" s="3" t="s">
        <v>5986</v>
      </c>
      <c r="J441" s="3" t="s">
        <v>5999</v>
      </c>
      <c r="K441" s="4" t="b">
        <f>J441 = "blocking"</f>
        <v>1</v>
      </c>
      <c r="L441" s="3" t="s">
        <v>1448</v>
      </c>
      <c r="M441" s="3" t="s">
        <v>6106</v>
      </c>
      <c r="N441" s="5">
        <v>46223.1297337963</v>
      </c>
      <c r="O441" s="4" t="b">
        <f>L441 = "PASS"</f>
        <v>1</v>
      </c>
      <c r="P441" s="4" t="b">
        <f>L441 = "FAIL"</f>
        <v>0</v>
      </c>
      <c r="Q441" s="4" t="b">
        <f>AND(((P441)=TRUE), ((K441)=TRUE))</f>
        <v>0</v>
      </c>
      <c r="R441" s="4" t="str">
        <f>IF(((O441)=TRUE),  I441,  "")</f>
        <v>suite-substrate</v>
      </c>
      <c r="S441" s="4" t="str">
        <f>IF(((Q441)=TRUE),  I441,  "")</f>
      </c>
      <c r="T441" s="3" t="s">
        <v>6001</v>
      </c>
    </row>
    <row r="442">
      <c r="A442" s="3" t="s">
        <v>6477</v>
      </c>
      <c r="B442" s="4" t="str">
        <f>C442 &amp; ": " &amp; D442</f>
        <v>formula-translates: ProcedureExecutions.TotalDeliveryAttemptCount</v>
      </c>
      <c r="C442" s="3" t="s">
        <v>6104</v>
      </c>
      <c r="D442" s="3" t="s">
        <v>3480</v>
      </c>
      <c r="E442" s="3" t="s">
        <v>1824</v>
      </c>
      <c r="F442" s="3" t="s">
        <v>1293</v>
      </c>
      <c r="G442" s="3" t="s">
        <v>6105</v>
      </c>
      <c r="H442" s="3" t="s">
        <v>2091</v>
      </c>
      <c r="I442" s="3" t="s">
        <v>5986</v>
      </c>
      <c r="J442" s="3" t="s">
        <v>5999</v>
      </c>
      <c r="K442" s="4" t="b">
        <f>J442 = "blocking"</f>
        <v>1</v>
      </c>
      <c r="L442" s="3" t="s">
        <v>1448</v>
      </c>
      <c r="M442" s="3" t="s">
        <v>6106</v>
      </c>
      <c r="N442" s="5">
        <v>46223.1297337963</v>
      </c>
      <c r="O442" s="4" t="b">
        <f>L442 = "PASS"</f>
        <v>1</v>
      </c>
      <c r="P442" s="4" t="b">
        <f>L442 = "FAIL"</f>
        <v>0</v>
      </c>
      <c r="Q442" s="4" t="b">
        <f>AND(((P442)=TRUE), ((K442)=TRUE))</f>
        <v>0</v>
      </c>
      <c r="R442" s="4" t="str">
        <f>IF(((O442)=TRUE),  I442,  "")</f>
        <v>suite-substrate</v>
      </c>
      <c r="S442" s="4" t="str">
        <f>IF(((Q442)=TRUE),  I442,  "")</f>
      </c>
      <c r="T442" s="3" t="s">
        <v>6001</v>
      </c>
    </row>
    <row r="443">
      <c r="A443" s="3" t="s">
        <v>6478</v>
      </c>
      <c r="B443" s="4" t="str">
        <f>C443 &amp; ": " &amp; D443</f>
        <v>formula-translates: ProcedureExecutions.HasAbandonedFailures</v>
      </c>
      <c r="C443" s="3" t="s">
        <v>6104</v>
      </c>
      <c r="D443" s="3" t="s">
        <v>3482</v>
      </c>
      <c r="E443" s="3" t="s">
        <v>1824</v>
      </c>
      <c r="F443" s="3" t="s">
        <v>1294</v>
      </c>
      <c r="G443" s="3" t="s">
        <v>6105</v>
      </c>
      <c r="H443" s="3" t="s">
        <v>2091</v>
      </c>
      <c r="I443" s="3" t="s">
        <v>5986</v>
      </c>
      <c r="J443" s="3" t="s">
        <v>5999</v>
      </c>
      <c r="K443" s="4" t="b">
        <f>J443 = "blocking"</f>
        <v>1</v>
      </c>
      <c r="L443" s="3" t="s">
        <v>1448</v>
      </c>
      <c r="M443" s="3" t="s">
        <v>6106</v>
      </c>
      <c r="N443" s="5">
        <v>46223.1297337963</v>
      </c>
      <c r="O443" s="4" t="b">
        <f>L443 = "PASS"</f>
        <v>1</v>
      </c>
      <c r="P443" s="4" t="b">
        <f>L443 = "FAIL"</f>
        <v>0</v>
      </c>
      <c r="Q443" s="4" t="b">
        <f>AND(((P443)=TRUE), ((K443)=TRUE))</f>
        <v>0</v>
      </c>
      <c r="R443" s="4" t="str">
        <f>IF(((O443)=TRUE),  I443,  "")</f>
        <v>suite-substrate</v>
      </c>
      <c r="S443" s="4" t="str">
        <f>IF(((Q443)=TRUE),  I443,  "")</f>
      </c>
      <c r="T443" s="3" t="s">
        <v>6001</v>
      </c>
    </row>
    <row r="444">
      <c r="A444" s="3" t="s">
        <v>6479</v>
      </c>
      <c r="B444" s="4" t="str">
        <f>C444 &amp; ": " &amp; D444</f>
        <v>formula-translates: ProcedureExecutions.MishandledRefusalCount</v>
      </c>
      <c r="C444" s="3" t="s">
        <v>6104</v>
      </c>
      <c r="D444" s="3" t="s">
        <v>3484</v>
      </c>
      <c r="E444" s="3" t="s">
        <v>1824</v>
      </c>
      <c r="F444" s="3" t="s">
        <v>1295</v>
      </c>
      <c r="G444" s="3" t="s">
        <v>6105</v>
      </c>
      <c r="H444" s="3" t="s">
        <v>2115</v>
      </c>
      <c r="I444" s="3" t="s">
        <v>5986</v>
      </c>
      <c r="J444" s="3" t="s">
        <v>5999</v>
      </c>
      <c r="K444" s="4" t="b">
        <f>J444 = "blocking"</f>
        <v>1</v>
      </c>
      <c r="L444" s="3" t="s">
        <v>1448</v>
      </c>
      <c r="M444" s="3" t="s">
        <v>6106</v>
      </c>
      <c r="N444" s="5">
        <v>46223.1297337963</v>
      </c>
      <c r="O444" s="4" t="b">
        <f>L444 = "PASS"</f>
        <v>1</v>
      </c>
      <c r="P444" s="4" t="b">
        <f>L444 = "FAIL"</f>
        <v>0</v>
      </c>
      <c r="Q444" s="4" t="b">
        <f>AND(((P444)=TRUE), ((K444)=TRUE))</f>
        <v>0</v>
      </c>
      <c r="R444" s="4" t="str">
        <f>IF(((O444)=TRUE),  I444,  "")</f>
        <v>suite-substrate</v>
      </c>
      <c r="S444" s="4" t="str">
        <f>IF(((Q444)=TRUE),  I444,  "")</f>
      </c>
      <c r="T444" s="3" t="s">
        <v>6001</v>
      </c>
    </row>
    <row r="445">
      <c r="A445" s="3" t="s">
        <v>6480</v>
      </c>
      <c r="B445" s="4" t="str">
        <f>C445 &amp; ": " &amp; D445</f>
        <v>formula-translates: ProcedureExecutions.UncleanStepCount</v>
      </c>
      <c r="C445" s="3" t="s">
        <v>6104</v>
      </c>
      <c r="D445" s="3" t="s">
        <v>3486</v>
      </c>
      <c r="E445" s="3" t="s">
        <v>1824</v>
      </c>
      <c r="F445" s="3" t="s">
        <v>1296</v>
      </c>
      <c r="G445" s="3" t="s">
        <v>6105</v>
      </c>
      <c r="H445" s="3" t="s">
        <v>2127</v>
      </c>
      <c r="I445" s="3" t="s">
        <v>5986</v>
      </c>
      <c r="J445" s="3" t="s">
        <v>5999</v>
      </c>
      <c r="K445" s="4" t="b">
        <f>J445 = "blocking"</f>
        <v>1</v>
      </c>
      <c r="L445" s="3" t="s">
        <v>1448</v>
      </c>
      <c r="M445" s="3" t="s">
        <v>6106</v>
      </c>
      <c r="N445" s="5">
        <v>46223.1297337963</v>
      </c>
      <c r="O445" s="4" t="b">
        <f>L445 = "PASS"</f>
        <v>1</v>
      </c>
      <c r="P445" s="4" t="b">
        <f>L445 = "FAIL"</f>
        <v>0</v>
      </c>
      <c r="Q445" s="4" t="b">
        <f>AND(((P445)=TRUE), ((K445)=TRUE))</f>
        <v>0</v>
      </c>
      <c r="R445" s="4" t="str">
        <f>IF(((O445)=TRUE),  I445,  "")</f>
        <v>suite-substrate</v>
      </c>
      <c r="S445" s="4" t="str">
        <f>IF(((Q445)=TRUE),  I445,  "")</f>
      </c>
      <c r="T445" s="3" t="s">
        <v>6001</v>
      </c>
    </row>
    <row r="446">
      <c r="A446" s="3" t="s">
        <v>6481</v>
      </c>
      <c r="B446" s="4" t="str">
        <f>C446 &amp; ": " &amp; D446</f>
        <v>formula-translates: ProcedureExecutions.RanClean</v>
      </c>
      <c r="C446" s="3" t="s">
        <v>6104</v>
      </c>
      <c r="D446" s="3" t="s">
        <v>3488</v>
      </c>
      <c r="E446" s="3" t="s">
        <v>1824</v>
      </c>
      <c r="F446" s="3" t="s">
        <v>1297</v>
      </c>
      <c r="G446" s="3" t="s">
        <v>6105</v>
      </c>
      <c r="H446" s="3" t="s">
        <v>2127</v>
      </c>
      <c r="I446" s="3" t="s">
        <v>5986</v>
      </c>
      <c r="J446" s="3" t="s">
        <v>5999</v>
      </c>
      <c r="K446" s="4" t="b">
        <f>J446 = "blocking"</f>
        <v>1</v>
      </c>
      <c r="L446" s="3" t="s">
        <v>1448</v>
      </c>
      <c r="M446" s="3" t="s">
        <v>6106</v>
      </c>
      <c r="N446" s="5">
        <v>46223.1297337963</v>
      </c>
      <c r="O446" s="4" t="b">
        <f>L446 = "PASS"</f>
        <v>1</v>
      </c>
      <c r="P446" s="4" t="b">
        <f>L446 = "FAIL"</f>
        <v>0</v>
      </c>
      <c r="Q446" s="4" t="b">
        <f>AND(((P446)=TRUE), ((K446)=TRUE))</f>
        <v>0</v>
      </c>
      <c r="R446" s="4" t="str">
        <f>IF(((O446)=TRUE),  I446,  "")</f>
        <v>suite-substrate</v>
      </c>
      <c r="S446" s="4" t="str">
        <f>IF(((Q446)=TRUE),  I446,  "")</f>
      </c>
      <c r="T446" s="3" t="s">
        <v>6001</v>
      </c>
    </row>
    <row r="447">
      <c r="A447" s="3" t="s">
        <v>6482</v>
      </c>
      <c r="B447" s="4" t="str">
        <f>C447 &amp; ": " &amp; D447</f>
        <v>formula-translates: ProcedureExecutions.CountOfApprovalExecutions</v>
      </c>
      <c r="C447" s="3" t="s">
        <v>6104</v>
      </c>
      <c r="D447" s="3" t="s">
        <v>3490</v>
      </c>
      <c r="E447" s="3" t="s">
        <v>1824</v>
      </c>
      <c r="F447" s="3" t="s">
        <v>1298</v>
      </c>
      <c r="G447" s="3" t="s">
        <v>6105</v>
      </c>
      <c r="H447" s="3" t="s">
        <v>2151</v>
      </c>
      <c r="I447" s="3" t="s">
        <v>5986</v>
      </c>
      <c r="J447" s="3" t="s">
        <v>5999</v>
      </c>
      <c r="K447" s="4" t="b">
        <f>J447 = "blocking"</f>
        <v>1</v>
      </c>
      <c r="L447" s="3" t="s">
        <v>1448</v>
      </c>
      <c r="M447" s="3" t="s">
        <v>6106</v>
      </c>
      <c r="N447" s="5">
        <v>46223.1297337963</v>
      </c>
      <c r="O447" s="4" t="b">
        <f>L447 = "PASS"</f>
        <v>1</v>
      </c>
      <c r="P447" s="4" t="b">
        <f>L447 = "FAIL"</f>
        <v>0</v>
      </c>
      <c r="Q447" s="4" t="b">
        <f>AND(((P447)=TRUE), ((K447)=TRUE))</f>
        <v>0</v>
      </c>
      <c r="R447" s="4" t="str">
        <f>IF(((O447)=TRUE),  I447,  "")</f>
        <v>suite-substrate</v>
      </c>
      <c r="S447" s="4" t="str">
        <f>IF(((Q447)=TRUE),  I447,  "")</f>
      </c>
      <c r="T447" s="3" t="s">
        <v>6001</v>
      </c>
    </row>
    <row r="448">
      <c r="A448" s="3" t="s">
        <v>6483</v>
      </c>
      <c r="B448" s="4" t="str">
        <f>C448 &amp; ": " &amp; D448</f>
        <v>formula-translates: ProcedureExecutions.HasHumanApproval</v>
      </c>
      <c r="C448" s="3" t="s">
        <v>6104</v>
      </c>
      <c r="D448" s="3" t="s">
        <v>3492</v>
      </c>
      <c r="E448" s="3" t="s">
        <v>1824</v>
      </c>
      <c r="F448" s="3" t="s">
        <v>1299</v>
      </c>
      <c r="G448" s="3" t="s">
        <v>6105</v>
      </c>
      <c r="H448" s="3" t="s">
        <v>2151</v>
      </c>
      <c r="I448" s="3" t="s">
        <v>5986</v>
      </c>
      <c r="J448" s="3" t="s">
        <v>5999</v>
      </c>
      <c r="K448" s="4" t="b">
        <f>J448 = "blocking"</f>
        <v>1</v>
      </c>
      <c r="L448" s="3" t="s">
        <v>1448</v>
      </c>
      <c r="M448" s="3" t="s">
        <v>6106</v>
      </c>
      <c r="N448" s="5">
        <v>46223.1297337963</v>
      </c>
      <c r="O448" s="4" t="b">
        <f>L448 = "PASS"</f>
        <v>1</v>
      </c>
      <c r="P448" s="4" t="b">
        <f>L448 = "FAIL"</f>
        <v>0</v>
      </c>
      <c r="Q448" s="4" t="b">
        <f>AND(((P448)=TRUE), ((K448)=TRUE))</f>
        <v>0</v>
      </c>
      <c r="R448" s="4" t="str">
        <f>IF(((O448)=TRUE),  I448,  "")</f>
        <v>suite-substrate</v>
      </c>
      <c r="S448" s="4" t="str">
        <f>IF(((Q448)=TRUE),  I448,  "")</f>
      </c>
      <c r="T448" s="3" t="s">
        <v>6001</v>
      </c>
    </row>
    <row r="449">
      <c r="A449" s="3" t="s">
        <v>6484</v>
      </c>
      <c r="B449" s="4" t="str">
        <f>C449 &amp; ": " &amp; D449</f>
        <v>formula-translates: ProcedureExecutions.CountOfDeliveryExecutions</v>
      </c>
      <c r="C449" s="3" t="s">
        <v>6104</v>
      </c>
      <c r="D449" s="3" t="s">
        <v>3494</v>
      </c>
      <c r="E449" s="3" t="s">
        <v>1824</v>
      </c>
      <c r="F449" s="3" t="s">
        <v>1300</v>
      </c>
      <c r="G449" s="3" t="s">
        <v>6105</v>
      </c>
      <c r="H449" s="3" t="s">
        <v>2151</v>
      </c>
      <c r="I449" s="3" t="s">
        <v>5986</v>
      </c>
      <c r="J449" s="3" t="s">
        <v>5999</v>
      </c>
      <c r="K449" s="4" t="b">
        <f>J449 = "blocking"</f>
        <v>1</v>
      </c>
      <c r="L449" s="3" t="s">
        <v>1448</v>
      </c>
      <c r="M449" s="3" t="s">
        <v>6106</v>
      </c>
      <c r="N449" s="5">
        <v>46223.1297337963</v>
      </c>
      <c r="O449" s="4" t="b">
        <f>L449 = "PASS"</f>
        <v>1</v>
      </c>
      <c r="P449" s="4" t="b">
        <f>L449 = "FAIL"</f>
        <v>0</v>
      </c>
      <c r="Q449" s="4" t="b">
        <f>AND(((P449)=TRUE), ((K449)=TRUE))</f>
        <v>0</v>
      </c>
      <c r="R449" s="4" t="str">
        <f>IF(((O449)=TRUE),  I449,  "")</f>
        <v>suite-substrate</v>
      </c>
      <c r="S449" s="4" t="str">
        <f>IF(((Q449)=TRUE),  I449,  "")</f>
      </c>
      <c r="T449" s="3" t="s">
        <v>6001</v>
      </c>
    </row>
    <row r="450">
      <c r="A450" s="3" t="s">
        <v>6485</v>
      </c>
      <c r="B450" s="4" t="str">
        <f>C450 &amp; ": " &amp; D450</f>
        <v>formula-translates: ProcedureExecutions.HasDelivered</v>
      </c>
      <c r="C450" s="3" t="s">
        <v>6104</v>
      </c>
      <c r="D450" s="3" t="s">
        <v>3496</v>
      </c>
      <c r="E450" s="3" t="s">
        <v>1824</v>
      </c>
      <c r="F450" s="3" t="s">
        <v>1301</v>
      </c>
      <c r="G450" s="3" t="s">
        <v>6105</v>
      </c>
      <c r="H450" s="3" t="s">
        <v>2151</v>
      </c>
      <c r="I450" s="3" t="s">
        <v>5986</v>
      </c>
      <c r="J450" s="3" t="s">
        <v>5999</v>
      </c>
      <c r="K450" s="4" t="b">
        <f>J450 = "blocking"</f>
        <v>1</v>
      </c>
      <c r="L450" s="3" t="s">
        <v>1448</v>
      </c>
      <c r="M450" s="3" t="s">
        <v>6106</v>
      </c>
      <c r="N450" s="5">
        <v>46223.1297337963</v>
      </c>
      <c r="O450" s="4" t="b">
        <f>L450 = "PASS"</f>
        <v>1</v>
      </c>
      <c r="P450" s="4" t="b">
        <f>L450 = "FAIL"</f>
        <v>0</v>
      </c>
      <c r="Q450" s="4" t="b">
        <f>AND(((P450)=TRUE), ((K450)=TRUE))</f>
        <v>0</v>
      </c>
      <c r="R450" s="4" t="str">
        <f>IF(((O450)=TRUE),  I450,  "")</f>
        <v>suite-substrate</v>
      </c>
      <c r="S450" s="4" t="str">
        <f>IF(((Q450)=TRUE),  I450,  "")</f>
      </c>
      <c r="T450" s="3" t="s">
        <v>6001</v>
      </c>
    </row>
    <row r="451">
      <c r="A451" s="3" t="s">
        <v>6486</v>
      </c>
      <c r="B451" s="4" t="str">
        <f>C451 &amp; ": " &amp; D451</f>
        <v>formula-translates: ProcedureExecutions.DeliveredWithoutApproval</v>
      </c>
      <c r="C451" s="3" t="s">
        <v>6104</v>
      </c>
      <c r="D451" s="3" t="s">
        <v>3498</v>
      </c>
      <c r="E451" s="3" t="s">
        <v>1824</v>
      </c>
      <c r="F451" s="3" t="s">
        <v>1302</v>
      </c>
      <c r="G451" s="3" t="s">
        <v>6105</v>
      </c>
      <c r="H451" s="3" t="s">
        <v>2151</v>
      </c>
      <c r="I451" s="3" t="s">
        <v>5986</v>
      </c>
      <c r="J451" s="3" t="s">
        <v>5999</v>
      </c>
      <c r="K451" s="4" t="b">
        <f>J451 = "blocking"</f>
        <v>1</v>
      </c>
      <c r="L451" s="3" t="s">
        <v>1448</v>
      </c>
      <c r="M451" s="3" t="s">
        <v>6106</v>
      </c>
      <c r="N451" s="5">
        <v>46223.1297337963</v>
      </c>
      <c r="O451" s="4" t="b">
        <f>L451 = "PASS"</f>
        <v>1</v>
      </c>
      <c r="P451" s="4" t="b">
        <f>L451 = "FAIL"</f>
        <v>0</v>
      </c>
      <c r="Q451" s="4" t="b">
        <f>AND(((P451)=TRUE), ((K451)=TRUE))</f>
        <v>0</v>
      </c>
      <c r="R451" s="4" t="str">
        <f>IF(((O451)=TRUE),  I451,  "")</f>
        <v>suite-substrate</v>
      </c>
      <c r="S451" s="4" t="str">
        <f>IF(((Q451)=TRUE),  I451,  "")</f>
      </c>
      <c r="T451" s="3" t="s">
        <v>6001</v>
      </c>
    </row>
    <row r="452">
      <c r="A452" s="3" t="s">
        <v>6487</v>
      </c>
      <c r="B452" s="4" t="str">
        <f>C452 &amp; ": " &amp; D452</f>
        <v>formula-translates: ProcedureExecutions.InvalidApprovalCount</v>
      </c>
      <c r="C452" s="3" t="s">
        <v>6104</v>
      </c>
      <c r="D452" s="3" t="s">
        <v>3500</v>
      </c>
      <c r="E452" s="3" t="s">
        <v>1824</v>
      </c>
      <c r="F452" s="3" t="s">
        <v>1303</v>
      </c>
      <c r="G452" s="3" t="s">
        <v>6105</v>
      </c>
      <c r="H452" s="3" t="s">
        <v>2195</v>
      </c>
      <c r="I452" s="3" t="s">
        <v>5986</v>
      </c>
      <c r="J452" s="3" t="s">
        <v>5999</v>
      </c>
      <c r="K452" s="4" t="b">
        <f>J452 = "blocking"</f>
        <v>1</v>
      </c>
      <c r="L452" s="3" t="s">
        <v>1448</v>
      </c>
      <c r="M452" s="3" t="s">
        <v>6106</v>
      </c>
      <c r="N452" s="5">
        <v>46223.1297337963</v>
      </c>
      <c r="O452" s="4" t="b">
        <f>L452 = "PASS"</f>
        <v>1</v>
      </c>
      <c r="P452" s="4" t="b">
        <f>L452 = "FAIL"</f>
        <v>0</v>
      </c>
      <c r="Q452" s="4" t="b">
        <f>AND(((P452)=TRUE), ((K452)=TRUE))</f>
        <v>0</v>
      </c>
      <c r="R452" s="4" t="str">
        <f>IF(((O452)=TRUE),  I452,  "")</f>
        <v>suite-substrate</v>
      </c>
      <c r="S452" s="4" t="str">
        <f>IF(((Q452)=TRUE),  I452,  "")</f>
      </c>
      <c r="T452" s="3" t="s">
        <v>6001</v>
      </c>
    </row>
    <row r="453">
      <c r="A453" s="3" t="s">
        <v>6488</v>
      </c>
      <c r="B453" s="4" t="str">
        <f>C453 &amp; ": " &amp; D453</f>
        <v>formula-translates: ProcedureExecutions.ApprovalChainIsComplete</v>
      </c>
      <c r="C453" s="3" t="s">
        <v>6104</v>
      </c>
      <c r="D453" s="3" t="s">
        <v>3502</v>
      </c>
      <c r="E453" s="3" t="s">
        <v>1824</v>
      </c>
      <c r="F453" s="3" t="s">
        <v>1304</v>
      </c>
      <c r="G453" s="3" t="s">
        <v>6105</v>
      </c>
      <c r="H453" s="3" t="s">
        <v>2195</v>
      </c>
      <c r="I453" s="3" t="s">
        <v>5986</v>
      </c>
      <c r="J453" s="3" t="s">
        <v>5999</v>
      </c>
      <c r="K453" s="4" t="b">
        <f>J453 = "blocking"</f>
        <v>1</v>
      </c>
      <c r="L453" s="3" t="s">
        <v>1448</v>
      </c>
      <c r="M453" s="3" t="s">
        <v>6106</v>
      </c>
      <c r="N453" s="5">
        <v>46223.1297337963</v>
      </c>
      <c r="O453" s="4" t="b">
        <f>L453 = "PASS"</f>
        <v>1</v>
      </c>
      <c r="P453" s="4" t="b">
        <f>L453 = "FAIL"</f>
        <v>0</v>
      </c>
      <c r="Q453" s="4" t="b">
        <f>AND(((P453)=TRUE), ((K453)=TRUE))</f>
        <v>0</v>
      </c>
      <c r="R453" s="4" t="str">
        <f>IF(((O453)=TRUE),  I453,  "")</f>
        <v>suite-substrate</v>
      </c>
      <c r="S453" s="4" t="str">
        <f>IF(((Q453)=TRUE),  I453,  "")</f>
      </c>
      <c r="T453" s="3" t="s">
        <v>6001</v>
      </c>
    </row>
    <row r="454">
      <c r="A454" s="3" t="s">
        <v>6489</v>
      </c>
      <c r="B454" s="4" t="str">
        <f>C454 &amp; ": " &amp; D454</f>
        <v>formula-translates: ProcedureExecutions.VacuouslyCleanStepCount</v>
      </c>
      <c r="C454" s="3" t="s">
        <v>6104</v>
      </c>
      <c r="D454" s="3" t="s">
        <v>3504</v>
      </c>
      <c r="E454" s="3" t="s">
        <v>1824</v>
      </c>
      <c r="F454" s="3" t="s">
        <v>1305</v>
      </c>
      <c r="G454" s="3" t="s">
        <v>6105</v>
      </c>
      <c r="H454" s="3" t="s">
        <v>2271</v>
      </c>
      <c r="I454" s="3" t="s">
        <v>5986</v>
      </c>
      <c r="J454" s="3" t="s">
        <v>5999</v>
      </c>
      <c r="K454" s="4" t="b">
        <f>J454 = "blocking"</f>
        <v>1</v>
      </c>
      <c r="L454" s="3" t="s">
        <v>1448</v>
      </c>
      <c r="M454" s="3" t="s">
        <v>6106</v>
      </c>
      <c r="N454" s="5">
        <v>46223.1297337963</v>
      </c>
      <c r="O454" s="4" t="b">
        <f>L454 = "PASS"</f>
        <v>1</v>
      </c>
      <c r="P454" s="4" t="b">
        <f>L454 = "FAIL"</f>
        <v>0</v>
      </c>
      <c r="Q454" s="4" t="b">
        <f>AND(((P454)=TRUE), ((K454)=TRUE))</f>
        <v>0</v>
      </c>
      <c r="R454" s="4" t="str">
        <f>IF(((O454)=TRUE),  I454,  "")</f>
        <v>suite-substrate</v>
      </c>
      <c r="S454" s="4" t="str">
        <f>IF(((Q454)=TRUE),  I454,  "")</f>
      </c>
      <c r="T454" s="3" t="s">
        <v>6001</v>
      </c>
    </row>
    <row r="455">
      <c r="A455" s="3" t="s">
        <v>6490</v>
      </c>
      <c r="B455" s="4" t="str">
        <f>C455 &amp; ": " &amp; D455</f>
        <v>formula-translates: ProcedureExecutions.PreparationStepCount</v>
      </c>
      <c r="C455" s="3" t="s">
        <v>6104</v>
      </c>
      <c r="D455" s="3" t="s">
        <v>3506</v>
      </c>
      <c r="E455" s="3" t="s">
        <v>1824</v>
      </c>
      <c r="F455" s="3" t="s">
        <v>1306</v>
      </c>
      <c r="G455" s="3" t="s">
        <v>6105</v>
      </c>
      <c r="H455" s="3" t="s">
        <v>2287</v>
      </c>
      <c r="I455" s="3" t="s">
        <v>5986</v>
      </c>
      <c r="J455" s="3" t="s">
        <v>5999</v>
      </c>
      <c r="K455" s="4" t="b">
        <f>J455 = "blocking"</f>
        <v>1</v>
      </c>
      <c r="L455" s="3" t="s">
        <v>1448</v>
      </c>
      <c r="M455" s="3" t="s">
        <v>6106</v>
      </c>
      <c r="N455" s="5">
        <v>46223.1297337963</v>
      </c>
      <c r="O455" s="4" t="b">
        <f>L455 = "PASS"</f>
        <v>1</v>
      </c>
      <c r="P455" s="4" t="b">
        <f>L455 = "FAIL"</f>
        <v>0</v>
      </c>
      <c r="Q455" s="4" t="b">
        <f>AND(((P455)=TRUE), ((K455)=TRUE))</f>
        <v>0</v>
      </c>
      <c r="R455" s="4" t="str">
        <f>IF(((O455)=TRUE),  I455,  "")</f>
        <v>suite-substrate</v>
      </c>
      <c r="S455" s="4" t="str">
        <f>IF(((Q455)=TRUE),  I455,  "")</f>
      </c>
      <c r="T455" s="3" t="s">
        <v>6001</v>
      </c>
    </row>
    <row r="456">
      <c r="A456" s="3" t="s">
        <v>6491</v>
      </c>
      <c r="B456" s="4" t="str">
        <f>C456 &amp; ": " &amp; D456</f>
        <v>formula-translates: ProcedureExecutions.ApprovalStepCount</v>
      </c>
      <c r="C456" s="3" t="s">
        <v>6104</v>
      </c>
      <c r="D456" s="3" t="s">
        <v>3508</v>
      </c>
      <c r="E456" s="3" t="s">
        <v>1824</v>
      </c>
      <c r="F456" s="3" t="s">
        <v>1307</v>
      </c>
      <c r="G456" s="3" t="s">
        <v>6105</v>
      </c>
      <c r="H456" s="3" t="s">
        <v>2287</v>
      </c>
      <c r="I456" s="3" t="s">
        <v>5986</v>
      </c>
      <c r="J456" s="3" t="s">
        <v>5999</v>
      </c>
      <c r="K456" s="4" t="b">
        <f>J456 = "blocking"</f>
        <v>1</v>
      </c>
      <c r="L456" s="3" t="s">
        <v>1448</v>
      </c>
      <c r="M456" s="3" t="s">
        <v>6106</v>
      </c>
      <c r="N456" s="5">
        <v>46223.1297337963</v>
      </c>
      <c r="O456" s="4" t="b">
        <f>L456 = "PASS"</f>
        <v>1</v>
      </c>
      <c r="P456" s="4" t="b">
        <f>L456 = "FAIL"</f>
        <v>0</v>
      </c>
      <c r="Q456" s="4" t="b">
        <f>AND(((P456)=TRUE), ((K456)=TRUE))</f>
        <v>0</v>
      </c>
      <c r="R456" s="4" t="str">
        <f>IF(((O456)=TRUE),  I456,  "")</f>
        <v>suite-substrate</v>
      </c>
      <c r="S456" s="4" t="str">
        <f>IF(((Q456)=TRUE),  I456,  "")</f>
      </c>
      <c r="T456" s="3" t="s">
        <v>6001</v>
      </c>
    </row>
    <row r="457">
      <c r="A457" s="3" t="s">
        <v>6492</v>
      </c>
      <c r="B457" s="4" t="str">
        <f>C457 &amp; ": " &amp; D457</f>
        <v>formula-translates: ProcedureExecutions.SeparationWasTestable</v>
      </c>
      <c r="C457" s="3" t="s">
        <v>6104</v>
      </c>
      <c r="D457" s="3" t="s">
        <v>3510</v>
      </c>
      <c r="E457" s="3" t="s">
        <v>1824</v>
      </c>
      <c r="F457" s="3" t="s">
        <v>1308</v>
      </c>
      <c r="G457" s="3" t="s">
        <v>6105</v>
      </c>
      <c r="H457" s="3" t="s">
        <v>2287</v>
      </c>
      <c r="I457" s="3" t="s">
        <v>5986</v>
      </c>
      <c r="J457" s="3" t="s">
        <v>5999</v>
      </c>
      <c r="K457" s="4" t="b">
        <f>J457 = "blocking"</f>
        <v>1</v>
      </c>
      <c r="L457" s="3" t="s">
        <v>1448</v>
      </c>
      <c r="M457" s="3" t="s">
        <v>6106</v>
      </c>
      <c r="N457" s="5">
        <v>46223.1297337963</v>
      </c>
      <c r="O457" s="4" t="b">
        <f>L457 = "PASS"</f>
        <v>1</v>
      </c>
      <c r="P457" s="4" t="b">
        <f>L457 = "FAIL"</f>
        <v>0</v>
      </c>
      <c r="Q457" s="4" t="b">
        <f>AND(((P457)=TRUE), ((K457)=TRUE))</f>
        <v>0</v>
      </c>
      <c r="R457" s="4" t="str">
        <f>IF(((O457)=TRUE),  I457,  "")</f>
        <v>suite-substrate</v>
      </c>
      <c r="S457" s="4" t="str">
        <f>IF(((Q457)=TRUE),  I457,  "")</f>
      </c>
      <c r="T457" s="3" t="s">
        <v>6001</v>
      </c>
    </row>
    <row r="458">
      <c r="A458" s="3" t="s">
        <v>6493</v>
      </c>
      <c r="B458" s="4" t="str">
        <f>C458 &amp; ": " &amp; D458</f>
        <v>formula-translates: ProcedureExecutions.SeparationHeldUnderTest</v>
      </c>
      <c r="C458" s="3" t="s">
        <v>6104</v>
      </c>
      <c r="D458" s="3" t="s">
        <v>3512</v>
      </c>
      <c r="E458" s="3" t="s">
        <v>1824</v>
      </c>
      <c r="F458" s="3" t="s">
        <v>1309</v>
      </c>
      <c r="G458" s="3" t="s">
        <v>6105</v>
      </c>
      <c r="H458" s="3" t="s">
        <v>2287</v>
      </c>
      <c r="I458" s="3" t="s">
        <v>5986</v>
      </c>
      <c r="J458" s="3" t="s">
        <v>5999</v>
      </c>
      <c r="K458" s="4" t="b">
        <f>J458 = "blocking"</f>
        <v>1</v>
      </c>
      <c r="L458" s="3" t="s">
        <v>1448</v>
      </c>
      <c r="M458" s="3" t="s">
        <v>6106</v>
      </c>
      <c r="N458" s="5">
        <v>46223.1297337963</v>
      </c>
      <c r="O458" s="4" t="b">
        <f>L458 = "PASS"</f>
        <v>1</v>
      </c>
      <c r="P458" s="4" t="b">
        <f>L458 = "FAIL"</f>
        <v>0</v>
      </c>
      <c r="Q458" s="4" t="b">
        <f>AND(((P458)=TRUE), ((K458)=TRUE))</f>
        <v>0</v>
      </c>
      <c r="R458" s="4" t="str">
        <f>IF(((O458)=TRUE),  I458,  "")</f>
        <v>suite-substrate</v>
      </c>
      <c r="S458" s="4" t="str">
        <f>IF(((Q458)=TRUE),  I458,  "")</f>
      </c>
      <c r="T458" s="3" t="s">
        <v>6001</v>
      </c>
    </row>
    <row r="459">
      <c r="A459" s="3" t="s">
        <v>6494</v>
      </c>
      <c r="B459" s="4" t="str">
        <f>C459 &amp; ": " &amp; D459</f>
        <v>formula-translates: ProcedureExecutions.SeparationIsVacuouslyGreen</v>
      </c>
      <c r="C459" s="3" t="s">
        <v>6104</v>
      </c>
      <c r="D459" s="3" t="s">
        <v>3514</v>
      </c>
      <c r="E459" s="3" t="s">
        <v>1824</v>
      </c>
      <c r="F459" s="3" t="s">
        <v>1310</v>
      </c>
      <c r="G459" s="3" t="s">
        <v>6105</v>
      </c>
      <c r="H459" s="3" t="s">
        <v>2287</v>
      </c>
      <c r="I459" s="3" t="s">
        <v>5986</v>
      </c>
      <c r="J459" s="3" t="s">
        <v>5999</v>
      </c>
      <c r="K459" s="4" t="b">
        <f>J459 = "blocking"</f>
        <v>1</v>
      </c>
      <c r="L459" s="3" t="s">
        <v>1448</v>
      </c>
      <c r="M459" s="3" t="s">
        <v>6106</v>
      </c>
      <c r="N459" s="5">
        <v>46223.1297337963</v>
      </c>
      <c r="O459" s="4" t="b">
        <f>L459 = "PASS"</f>
        <v>1</v>
      </c>
      <c r="P459" s="4" t="b">
        <f>L459 = "FAIL"</f>
        <v>0</v>
      </c>
      <c r="Q459" s="4" t="b">
        <f>AND(((P459)=TRUE), ((K459)=TRUE))</f>
        <v>0</v>
      </c>
      <c r="R459" s="4" t="str">
        <f>IF(((O459)=TRUE),  I459,  "")</f>
        <v>suite-substrate</v>
      </c>
      <c r="S459" s="4" t="str">
        <f>IF(((Q459)=TRUE),  I459,  "")</f>
      </c>
      <c r="T459" s="3" t="s">
        <v>6001</v>
      </c>
    </row>
    <row r="460">
      <c r="A460" s="3" t="s">
        <v>6495</v>
      </c>
      <c r="B460" s="4" t="str">
        <f>C460 &amp; ": " &amp; D460</f>
        <v>formula-translates: ProcedureExecutions.SeparationAssuranceNote</v>
      </c>
      <c r="C460" s="3" t="s">
        <v>6104</v>
      </c>
      <c r="D460" s="3" t="s">
        <v>3516</v>
      </c>
      <c r="E460" s="3" t="s">
        <v>1824</v>
      </c>
      <c r="F460" s="3" t="s">
        <v>1311</v>
      </c>
      <c r="G460" s="3" t="s">
        <v>6105</v>
      </c>
      <c r="H460" s="3" t="s">
        <v>2287</v>
      </c>
      <c r="I460" s="3" t="s">
        <v>5986</v>
      </c>
      <c r="J460" s="3" t="s">
        <v>5999</v>
      </c>
      <c r="K460" s="4" t="b">
        <f>J460 = "blocking"</f>
        <v>1</v>
      </c>
      <c r="L460" s="3" t="s">
        <v>1448</v>
      </c>
      <c r="M460" s="3" t="s">
        <v>6106</v>
      </c>
      <c r="N460" s="5">
        <v>46223.1297337963</v>
      </c>
      <c r="O460" s="4" t="b">
        <f>L460 = "PASS"</f>
        <v>1</v>
      </c>
      <c r="P460" s="4" t="b">
        <f>L460 = "FAIL"</f>
        <v>0</v>
      </c>
      <c r="Q460" s="4" t="b">
        <f>AND(((P460)=TRUE), ((K460)=TRUE))</f>
        <v>0</v>
      </c>
      <c r="R460" s="4" t="str">
        <f>IF(((O460)=TRUE),  I460,  "")</f>
        <v>suite-substrate</v>
      </c>
      <c r="S460" s="4" t="str">
        <f>IF(((Q460)=TRUE),  I460,  "")</f>
      </c>
      <c r="T460" s="3" t="s">
        <v>6001</v>
      </c>
    </row>
    <row r="461">
      <c r="A461" s="3" t="s">
        <v>6496</v>
      </c>
      <c r="B461" s="4" t="str">
        <f>C461 &amp; ": " &amp; D461</f>
        <v>formula-translates: ProcedureExecutions.UngovernedDivergenceCount</v>
      </c>
      <c r="C461" s="3" t="s">
        <v>6104</v>
      </c>
      <c r="D461" s="3" t="s">
        <v>3518</v>
      </c>
      <c r="E461" s="3" t="s">
        <v>1824</v>
      </c>
      <c r="F461" s="3" t="s">
        <v>1312</v>
      </c>
      <c r="G461" s="3" t="s">
        <v>6105</v>
      </c>
      <c r="H461" s="3" t="s">
        <v>2295</v>
      </c>
      <c r="I461" s="3" t="s">
        <v>5986</v>
      </c>
      <c r="J461" s="3" t="s">
        <v>5999</v>
      </c>
      <c r="K461" s="4" t="b">
        <f>J461 = "blocking"</f>
        <v>1</v>
      </c>
      <c r="L461" s="3" t="s">
        <v>1448</v>
      </c>
      <c r="M461" s="3" t="s">
        <v>6106</v>
      </c>
      <c r="N461" s="5">
        <v>46223.1297337963</v>
      </c>
      <c r="O461" s="4" t="b">
        <f>L461 = "PASS"</f>
        <v>1</v>
      </c>
      <c r="P461" s="4" t="b">
        <f>L461 = "FAIL"</f>
        <v>0</v>
      </c>
      <c r="Q461" s="4" t="b">
        <f>AND(((P461)=TRUE), ((K461)=TRUE))</f>
        <v>0</v>
      </c>
      <c r="R461" s="4" t="str">
        <f>IF(((O461)=TRUE),  I461,  "")</f>
        <v>suite-substrate</v>
      </c>
      <c r="S461" s="4" t="str">
        <f>IF(((Q461)=TRUE),  I461,  "")</f>
      </c>
      <c r="T461" s="3" t="s">
        <v>6001</v>
      </c>
    </row>
    <row r="462">
      <c r="A462" s="3" t="s">
        <v>6497</v>
      </c>
      <c r="B462" s="4" t="str">
        <f>C462 &amp; ": " &amp; D462</f>
        <v>formula-translates: ProcedureExecutions.DivergenceWasFullyGoverned</v>
      </c>
      <c r="C462" s="3" t="s">
        <v>6104</v>
      </c>
      <c r="D462" s="3" t="s">
        <v>3520</v>
      </c>
      <c r="E462" s="3" t="s">
        <v>1824</v>
      </c>
      <c r="F462" s="3" t="s">
        <v>1313</v>
      </c>
      <c r="G462" s="3" t="s">
        <v>6105</v>
      </c>
      <c r="H462" s="3" t="s">
        <v>2295</v>
      </c>
      <c r="I462" s="3" t="s">
        <v>5986</v>
      </c>
      <c r="J462" s="3" t="s">
        <v>5999</v>
      </c>
      <c r="K462" s="4" t="b">
        <f>J462 = "blocking"</f>
        <v>1</v>
      </c>
      <c r="L462" s="3" t="s">
        <v>1448</v>
      </c>
      <c r="M462" s="3" t="s">
        <v>6106</v>
      </c>
      <c r="N462" s="5">
        <v>46223.1297337963</v>
      </c>
      <c r="O462" s="4" t="b">
        <f>L462 = "PASS"</f>
        <v>1</v>
      </c>
      <c r="P462" s="4" t="b">
        <f>L462 = "FAIL"</f>
        <v>0</v>
      </c>
      <c r="Q462" s="4" t="b">
        <f>AND(((P462)=TRUE), ((K462)=TRUE))</f>
        <v>0</v>
      </c>
      <c r="R462" s="4" t="str">
        <f>IF(((O462)=TRUE),  I462,  "")</f>
        <v>suite-substrate</v>
      </c>
      <c r="S462" s="4" t="str">
        <f>IF(((Q462)=TRUE),  I462,  "")</f>
      </c>
      <c r="T462" s="3" t="s">
        <v>6001</v>
      </c>
    </row>
    <row r="463">
      <c r="A463" s="3" t="s">
        <v>6498</v>
      </c>
      <c r="B463" s="4" t="str">
        <f>C463 &amp; ": " &amp; D463</f>
        <v>formula-translates: ProcedureExecutions.ComputedlyWitnessedControlCount</v>
      </c>
      <c r="C463" s="3" t="s">
        <v>6104</v>
      </c>
      <c r="D463" s="3" t="s">
        <v>3522</v>
      </c>
      <c r="E463" s="3" t="s">
        <v>1824</v>
      </c>
      <c r="F463" s="3" t="s">
        <v>1314</v>
      </c>
      <c r="G463" s="3" t="s">
        <v>6105</v>
      </c>
      <c r="H463" s="3" t="s">
        <v>2299</v>
      </c>
      <c r="I463" s="3" t="s">
        <v>5986</v>
      </c>
      <c r="J463" s="3" t="s">
        <v>5999</v>
      </c>
      <c r="K463" s="4" t="b">
        <f>J463 = "blocking"</f>
        <v>1</v>
      </c>
      <c r="L463" s="3" t="s">
        <v>1448</v>
      </c>
      <c r="M463" s="3" t="s">
        <v>6106</v>
      </c>
      <c r="N463" s="5">
        <v>46223.1297337963</v>
      </c>
      <c r="O463" s="4" t="b">
        <f>L463 = "PASS"</f>
        <v>1</v>
      </c>
      <c r="P463" s="4" t="b">
        <f>L463 = "FAIL"</f>
        <v>0</v>
      </c>
      <c r="Q463" s="4" t="b">
        <f>AND(((P463)=TRUE), ((K463)=TRUE))</f>
        <v>0</v>
      </c>
      <c r="R463" s="4" t="str">
        <f>IF(((O463)=TRUE),  I463,  "")</f>
        <v>suite-substrate</v>
      </c>
      <c r="S463" s="4" t="str">
        <f>IF(((Q463)=TRUE),  I463,  "")</f>
      </c>
      <c r="T463" s="3" t="s">
        <v>6001</v>
      </c>
    </row>
    <row r="464">
      <c r="A464" s="3" t="s">
        <v>6499</v>
      </c>
      <c r="B464" s="4" t="str">
        <f>C464 &amp; ": " &amp; D464</f>
        <v>formula-translates: ProcedureExecutions.EvaluatedControlCount</v>
      </c>
      <c r="C464" s="3" t="s">
        <v>6104</v>
      </c>
      <c r="D464" s="3" t="s">
        <v>3524</v>
      </c>
      <c r="E464" s="3" t="s">
        <v>1824</v>
      </c>
      <c r="F464" s="3" t="s">
        <v>1315</v>
      </c>
      <c r="G464" s="3" t="s">
        <v>6105</v>
      </c>
      <c r="H464" s="3" t="s">
        <v>2299</v>
      </c>
      <c r="I464" s="3" t="s">
        <v>5986</v>
      </c>
      <c r="J464" s="3" t="s">
        <v>5999</v>
      </c>
      <c r="K464" s="4" t="b">
        <f>J464 = "blocking"</f>
        <v>1</v>
      </c>
      <c r="L464" s="3" t="s">
        <v>1448</v>
      </c>
      <c r="M464" s="3" t="s">
        <v>6106</v>
      </c>
      <c r="N464" s="5">
        <v>46223.1297337963</v>
      </c>
      <c r="O464" s="4" t="b">
        <f>L464 = "PASS"</f>
        <v>1</v>
      </c>
      <c r="P464" s="4" t="b">
        <f>L464 = "FAIL"</f>
        <v>0</v>
      </c>
      <c r="Q464" s="4" t="b">
        <f>AND(((P464)=TRUE), ((K464)=TRUE))</f>
        <v>0</v>
      </c>
      <c r="R464" s="4" t="str">
        <f>IF(((O464)=TRUE),  I464,  "")</f>
        <v>suite-substrate</v>
      </c>
      <c r="S464" s="4" t="str">
        <f>IF(((Q464)=TRUE),  I464,  "")</f>
      </c>
      <c r="T464" s="3" t="s">
        <v>6001</v>
      </c>
    </row>
    <row r="465">
      <c r="A465" s="3" t="s">
        <v>6500</v>
      </c>
      <c r="B465" s="4" t="str">
        <f>C465 &amp; ": " &amp; D465</f>
        <v>formula-translates: ProcedureExecutions.ComputedAssuranceRatio</v>
      </c>
      <c r="C465" s="3" t="s">
        <v>6104</v>
      </c>
      <c r="D465" s="3" t="s">
        <v>3526</v>
      </c>
      <c r="E465" s="3" t="s">
        <v>1824</v>
      </c>
      <c r="F465" s="3" t="s">
        <v>1316</v>
      </c>
      <c r="G465" s="3" t="s">
        <v>6105</v>
      </c>
      <c r="H465" s="3" t="s">
        <v>2299</v>
      </c>
      <c r="I465" s="3" t="s">
        <v>5986</v>
      </c>
      <c r="J465" s="3" t="s">
        <v>5999</v>
      </c>
      <c r="K465" s="4" t="b">
        <f>J465 = "blocking"</f>
        <v>1</v>
      </c>
      <c r="L465" s="3" t="s">
        <v>1448</v>
      </c>
      <c r="M465" s="3" t="s">
        <v>6106</v>
      </c>
      <c r="N465" s="5">
        <v>46223.1297337963</v>
      </c>
      <c r="O465" s="4" t="b">
        <f>L465 = "PASS"</f>
        <v>1</v>
      </c>
      <c r="P465" s="4" t="b">
        <f>L465 = "FAIL"</f>
        <v>0</v>
      </c>
      <c r="Q465" s="4" t="b">
        <f>AND(((P465)=TRUE), ((K465)=TRUE))</f>
        <v>0</v>
      </c>
      <c r="R465" s="4" t="str">
        <f>IF(((O465)=TRUE),  I465,  "")</f>
        <v>suite-substrate</v>
      </c>
      <c r="S465" s="4" t="str">
        <f>IF(((Q465)=TRUE),  I465,  "")</f>
      </c>
      <c r="T465" s="3" t="s">
        <v>6001</v>
      </c>
    </row>
    <row r="466">
      <c r="A466" s="3" t="s">
        <v>6501</v>
      </c>
      <c r="B466" s="4" t="str">
        <f>C466 &amp; ": " &amp; D466</f>
        <v>formula-translates: ProcedureExecutions.InterestedPartyAssertionCount</v>
      </c>
      <c r="C466" s="3" t="s">
        <v>6104</v>
      </c>
      <c r="D466" s="3" t="s">
        <v>3528</v>
      </c>
      <c r="E466" s="3" t="s">
        <v>1824</v>
      </c>
      <c r="F466" s="3" t="s">
        <v>1317</v>
      </c>
      <c r="G466" s="3" t="s">
        <v>6105</v>
      </c>
      <c r="H466" s="3" t="s">
        <v>2299</v>
      </c>
      <c r="I466" s="3" t="s">
        <v>5986</v>
      </c>
      <c r="J466" s="3" t="s">
        <v>5999</v>
      </c>
      <c r="K466" s="4" t="b">
        <f>J466 = "blocking"</f>
        <v>1</v>
      </c>
      <c r="L466" s="3" t="s">
        <v>1448</v>
      </c>
      <c r="M466" s="3" t="s">
        <v>6106</v>
      </c>
      <c r="N466" s="5">
        <v>46223.1297337963</v>
      </c>
      <c r="O466" s="4" t="b">
        <f>L466 = "PASS"</f>
        <v>1</v>
      </c>
      <c r="P466" s="4" t="b">
        <f>L466 = "FAIL"</f>
        <v>0</v>
      </c>
      <c r="Q466" s="4" t="b">
        <f>AND(((P466)=TRUE), ((K466)=TRUE))</f>
        <v>0</v>
      </c>
      <c r="R466" s="4" t="str">
        <f>IF(((O466)=TRUE),  I466,  "")</f>
        <v>suite-substrate</v>
      </c>
      <c r="S466" s="4" t="str">
        <f>IF(((Q466)=TRUE),  I466,  "")</f>
      </c>
      <c r="T466" s="3" t="s">
        <v>6001</v>
      </c>
    </row>
    <row r="467">
      <c r="A467" s="3" t="s">
        <v>6502</v>
      </c>
      <c r="B467" s="4" t="str">
        <f>C467 &amp; ": " &amp; D467</f>
        <v>formula-translates: ProcedureExecutions.AssuranceGrade</v>
      </c>
      <c r="C467" s="3" t="s">
        <v>6104</v>
      </c>
      <c r="D467" s="3" t="s">
        <v>3530</v>
      </c>
      <c r="E467" s="3" t="s">
        <v>1824</v>
      </c>
      <c r="F467" s="3" t="s">
        <v>1318</v>
      </c>
      <c r="G467" s="3" t="s">
        <v>6105</v>
      </c>
      <c r="H467" s="3" t="s">
        <v>2299</v>
      </c>
      <c r="I467" s="3" t="s">
        <v>5986</v>
      </c>
      <c r="J467" s="3" t="s">
        <v>5999</v>
      </c>
      <c r="K467" s="4" t="b">
        <f>J467 = "blocking"</f>
        <v>1</v>
      </c>
      <c r="L467" s="3" t="s">
        <v>1448</v>
      </c>
      <c r="M467" s="3" t="s">
        <v>6106</v>
      </c>
      <c r="N467" s="5">
        <v>46223.1297337963</v>
      </c>
      <c r="O467" s="4" t="b">
        <f>L467 = "PASS"</f>
        <v>1</v>
      </c>
      <c r="P467" s="4" t="b">
        <f>L467 = "FAIL"</f>
        <v>0</v>
      </c>
      <c r="Q467" s="4" t="b">
        <f>AND(((P467)=TRUE), ((K467)=TRUE))</f>
        <v>0</v>
      </c>
      <c r="R467" s="4" t="str">
        <f>IF(((O467)=TRUE),  I467,  "")</f>
        <v>suite-substrate</v>
      </c>
      <c r="S467" s="4" t="str">
        <f>IF(((Q467)=TRUE),  I467,  "")</f>
      </c>
      <c r="T467" s="3" t="s">
        <v>6001</v>
      </c>
    </row>
    <row r="468">
      <c r="A468" s="3" t="s">
        <v>6503</v>
      </c>
      <c r="B468" s="4" t="str">
        <f>C468 &amp; ": " &amp; D468</f>
        <v>formula-translates: ProcedureExecutions.AttestationWouldBeWeaklyBased</v>
      </c>
      <c r="C468" s="3" t="s">
        <v>6104</v>
      </c>
      <c r="D468" s="3" t="s">
        <v>3532</v>
      </c>
      <c r="E468" s="3" t="s">
        <v>1824</v>
      </c>
      <c r="F468" s="3" t="s">
        <v>1319</v>
      </c>
      <c r="G468" s="3" t="s">
        <v>6105</v>
      </c>
      <c r="H468" s="3" t="s">
        <v>2299</v>
      </c>
      <c r="I468" s="3" t="s">
        <v>5986</v>
      </c>
      <c r="J468" s="3" t="s">
        <v>5999</v>
      </c>
      <c r="K468" s="4" t="b">
        <f>J468 = "blocking"</f>
        <v>1</v>
      </c>
      <c r="L468" s="3" t="s">
        <v>1448</v>
      </c>
      <c r="M468" s="3" t="s">
        <v>6106</v>
      </c>
      <c r="N468" s="5">
        <v>46223.1297337963</v>
      </c>
      <c r="O468" s="4" t="b">
        <f>L468 = "PASS"</f>
        <v>1</v>
      </c>
      <c r="P468" s="4" t="b">
        <f>L468 = "FAIL"</f>
        <v>0</v>
      </c>
      <c r="Q468" s="4" t="b">
        <f>AND(((P468)=TRUE), ((K468)=TRUE))</f>
        <v>0</v>
      </c>
      <c r="R468" s="4" t="str">
        <f>IF(((O468)=TRUE),  I468,  "")</f>
        <v>suite-substrate</v>
      </c>
      <c r="S468" s="4" t="str">
        <f>IF(((Q468)=TRUE),  I468,  "")</f>
      </c>
      <c r="T468" s="3" t="s">
        <v>6001</v>
      </c>
    </row>
    <row r="469">
      <c r="A469" s="3" t="s">
        <v>6504</v>
      </c>
      <c r="B469" s="4" t="str">
        <f>C469 &amp; ": " &amp; D469</f>
        <v>formula-translates: ProcedureExecutions.IndependentHumanObservationCount</v>
      </c>
      <c r="C469" s="3" t="s">
        <v>6104</v>
      </c>
      <c r="D469" s="3" t="s">
        <v>3534</v>
      </c>
      <c r="E469" s="3" t="s">
        <v>1824</v>
      </c>
      <c r="F469" s="3" t="s">
        <v>1320</v>
      </c>
      <c r="G469" s="3" t="s">
        <v>6105</v>
      </c>
      <c r="H469" s="3" t="s">
        <v>2307</v>
      </c>
      <c r="I469" s="3" t="s">
        <v>5986</v>
      </c>
      <c r="J469" s="3" t="s">
        <v>5999</v>
      </c>
      <c r="K469" s="4" t="b">
        <f>J469 = "blocking"</f>
        <v>1</v>
      </c>
      <c r="L469" s="3" t="s">
        <v>1448</v>
      </c>
      <c r="M469" s="3" t="s">
        <v>6106</v>
      </c>
      <c r="N469" s="5">
        <v>46223.1297337963</v>
      </c>
      <c r="O469" s="4" t="b">
        <f>L469 = "PASS"</f>
        <v>1</v>
      </c>
      <c r="P469" s="4" t="b">
        <f>L469 = "FAIL"</f>
        <v>0</v>
      </c>
      <c r="Q469" s="4" t="b">
        <f>AND(((P469)=TRUE), ((K469)=TRUE))</f>
        <v>0</v>
      </c>
      <c r="R469" s="4" t="str">
        <f>IF(((O469)=TRUE),  I469,  "")</f>
        <v>suite-substrate</v>
      </c>
      <c r="S469" s="4" t="str">
        <f>IF(((Q469)=TRUE),  I469,  "")</f>
      </c>
      <c r="T469" s="3" t="s">
        <v>6001</v>
      </c>
    </row>
    <row r="470">
      <c r="A470" s="3" t="s">
        <v>6505</v>
      </c>
      <c r="B470" s="4" t="str">
        <f>C470 &amp; ": " &amp; D470</f>
        <v>formula-translates: ProcedureExecutions.HasAnyIndependentObservation</v>
      </c>
      <c r="C470" s="3" t="s">
        <v>6104</v>
      </c>
      <c r="D470" s="3" t="s">
        <v>3536</v>
      </c>
      <c r="E470" s="3" t="s">
        <v>1824</v>
      </c>
      <c r="F470" s="3" t="s">
        <v>1321</v>
      </c>
      <c r="G470" s="3" t="s">
        <v>6105</v>
      </c>
      <c r="H470" s="3" t="s">
        <v>2307</v>
      </c>
      <c r="I470" s="3" t="s">
        <v>5986</v>
      </c>
      <c r="J470" s="3" t="s">
        <v>5999</v>
      </c>
      <c r="K470" s="4" t="b">
        <f>J470 = "blocking"</f>
        <v>1</v>
      </c>
      <c r="L470" s="3" t="s">
        <v>1448</v>
      </c>
      <c r="M470" s="3" t="s">
        <v>6106</v>
      </c>
      <c r="N470" s="5">
        <v>46223.1297337963</v>
      </c>
      <c r="O470" s="4" t="b">
        <f>L470 = "PASS"</f>
        <v>1</v>
      </c>
      <c r="P470" s="4" t="b">
        <f>L470 = "FAIL"</f>
        <v>0</v>
      </c>
      <c r="Q470" s="4" t="b">
        <f>AND(((P470)=TRUE), ((K470)=TRUE))</f>
        <v>0</v>
      </c>
      <c r="R470" s="4" t="str">
        <f>IF(((O470)=TRUE),  I470,  "")</f>
        <v>suite-substrate</v>
      </c>
      <c r="S470" s="4" t="str">
        <f>IF(((Q470)=TRUE),  I470,  "")</f>
      </c>
      <c r="T470" s="3" t="s">
        <v>6001</v>
      </c>
    </row>
    <row r="471">
      <c r="A471" s="3" t="s">
        <v>6506</v>
      </c>
      <c r="B471" s="4" t="str">
        <f>C471 &amp; ": " &amp; D471</f>
        <v>formula-translates: ProcedureExecutions.SelfAttestedApprovalCount</v>
      </c>
      <c r="C471" s="3" t="s">
        <v>6104</v>
      </c>
      <c r="D471" s="3" t="s">
        <v>3538</v>
      </c>
      <c r="E471" s="3" t="s">
        <v>1824</v>
      </c>
      <c r="F471" s="3" t="s">
        <v>1322</v>
      </c>
      <c r="G471" s="3" t="s">
        <v>6105</v>
      </c>
      <c r="H471" s="3" t="s">
        <v>2307</v>
      </c>
      <c r="I471" s="3" t="s">
        <v>5986</v>
      </c>
      <c r="J471" s="3" t="s">
        <v>5999</v>
      </c>
      <c r="K471" s="4" t="b">
        <f>J471 = "blocking"</f>
        <v>1</v>
      </c>
      <c r="L471" s="3" t="s">
        <v>1448</v>
      </c>
      <c r="M471" s="3" t="s">
        <v>6106</v>
      </c>
      <c r="N471" s="5">
        <v>46223.1297337963</v>
      </c>
      <c r="O471" s="4" t="b">
        <f>L471 = "PASS"</f>
        <v>1</v>
      </c>
      <c r="P471" s="4" t="b">
        <f>L471 = "FAIL"</f>
        <v>0</v>
      </c>
      <c r="Q471" s="4" t="b">
        <f>AND(((P471)=TRUE), ((K471)=TRUE))</f>
        <v>0</v>
      </c>
      <c r="R471" s="4" t="str">
        <f>IF(((O471)=TRUE),  I471,  "")</f>
        <v>suite-substrate</v>
      </c>
      <c r="S471" s="4" t="str">
        <f>IF(((Q471)=TRUE),  I471,  "")</f>
      </c>
      <c r="T471" s="3" t="s">
        <v>6001</v>
      </c>
    </row>
    <row r="472">
      <c r="A472" s="3" t="s">
        <v>6507</v>
      </c>
      <c r="B472" s="4" t="str">
        <f>C472 &amp; ": " &amp; D472</f>
        <v>formula-translates: ProcedureExecutions.AssuranceChainIsCircular</v>
      </c>
      <c r="C472" s="3" t="s">
        <v>6104</v>
      </c>
      <c r="D472" s="3" t="s">
        <v>3540</v>
      </c>
      <c r="E472" s="3" t="s">
        <v>1824</v>
      </c>
      <c r="F472" s="3" t="s">
        <v>1323</v>
      </c>
      <c r="G472" s="3" t="s">
        <v>6105</v>
      </c>
      <c r="H472" s="3" t="s">
        <v>2307</v>
      </c>
      <c r="I472" s="3" t="s">
        <v>5986</v>
      </c>
      <c r="J472" s="3" t="s">
        <v>5999</v>
      </c>
      <c r="K472" s="4" t="b">
        <f>J472 = "blocking"</f>
        <v>1</v>
      </c>
      <c r="L472" s="3" t="s">
        <v>1448</v>
      </c>
      <c r="M472" s="3" t="s">
        <v>6106</v>
      </c>
      <c r="N472" s="5">
        <v>46223.1297337963</v>
      </c>
      <c r="O472" s="4" t="b">
        <f>L472 = "PASS"</f>
        <v>1</v>
      </c>
      <c r="P472" s="4" t="b">
        <f>L472 = "FAIL"</f>
        <v>0</v>
      </c>
      <c r="Q472" s="4" t="b">
        <f>AND(((P472)=TRUE), ((K472)=TRUE))</f>
        <v>0</v>
      </c>
      <c r="R472" s="4" t="str">
        <f>IF(((O472)=TRUE),  I472,  "")</f>
        <v>suite-substrate</v>
      </c>
      <c r="S472" s="4" t="str">
        <f>IF(((Q472)=TRUE),  I472,  "")</f>
      </c>
      <c r="T472" s="3" t="s">
        <v>6001</v>
      </c>
    </row>
    <row r="473">
      <c r="A473" s="3" t="s">
        <v>6508</v>
      </c>
      <c r="B473" s="4" t="str">
        <f>C473 &amp; ": " &amp; D473</f>
        <v>formula-translates: ProcedureExecutions.LatestAttestationInstant</v>
      </c>
      <c r="C473" s="3" t="s">
        <v>6104</v>
      </c>
      <c r="D473" s="3" t="s">
        <v>3542</v>
      </c>
      <c r="E473" s="3" t="s">
        <v>1824</v>
      </c>
      <c r="F473" s="3" t="s">
        <v>1324</v>
      </c>
      <c r="G473" s="3" t="s">
        <v>6105</v>
      </c>
      <c r="H473" s="3" t="s">
        <v>2315</v>
      </c>
      <c r="I473" s="3" t="s">
        <v>5986</v>
      </c>
      <c r="J473" s="3" t="s">
        <v>5999</v>
      </c>
      <c r="K473" s="4" t="b">
        <f>J473 = "blocking"</f>
        <v>1</v>
      </c>
      <c r="L473" s="3" t="s">
        <v>1448</v>
      </c>
      <c r="M473" s="3" t="s">
        <v>6106</v>
      </c>
      <c r="N473" s="5">
        <v>46223.1297337963</v>
      </c>
      <c r="O473" s="4" t="b">
        <f>L473 = "PASS"</f>
        <v>1</v>
      </c>
      <c r="P473" s="4" t="b">
        <f>L473 = "FAIL"</f>
        <v>0</v>
      </c>
      <c r="Q473" s="4" t="b">
        <f>AND(((P473)=TRUE), ((K473)=TRUE))</f>
        <v>0</v>
      </c>
      <c r="R473" s="4" t="str">
        <f>IF(((O473)=TRUE),  I473,  "")</f>
        <v>suite-substrate</v>
      </c>
      <c r="S473" s="4" t="str">
        <f>IF(((Q473)=TRUE),  I473,  "")</f>
      </c>
      <c r="T473" s="3" t="s">
        <v>6001</v>
      </c>
    </row>
    <row r="474">
      <c r="A474" s="3" t="s">
        <v>6509</v>
      </c>
      <c r="B474" s="4" t="str">
        <f>C474 &amp; ": " &amp; D474</f>
        <v>formula-translates: ProcedureExecutions.HasBeenAttested</v>
      </c>
      <c r="C474" s="3" t="s">
        <v>6104</v>
      </c>
      <c r="D474" s="3" t="s">
        <v>3544</v>
      </c>
      <c r="E474" s="3" t="s">
        <v>1824</v>
      </c>
      <c r="F474" s="3" t="s">
        <v>1325</v>
      </c>
      <c r="G474" s="3" t="s">
        <v>6105</v>
      </c>
      <c r="H474" s="3" t="s">
        <v>2315</v>
      </c>
      <c r="I474" s="3" t="s">
        <v>5986</v>
      </c>
      <c r="J474" s="3" t="s">
        <v>5999</v>
      </c>
      <c r="K474" s="4" t="b">
        <f>J474 = "blocking"</f>
        <v>1</v>
      </c>
      <c r="L474" s="3" t="s">
        <v>1448</v>
      </c>
      <c r="M474" s="3" t="s">
        <v>6106</v>
      </c>
      <c r="N474" s="5">
        <v>46223.1297337963</v>
      </c>
      <c r="O474" s="4" t="b">
        <f>L474 = "PASS"</f>
        <v>1</v>
      </c>
      <c r="P474" s="4" t="b">
        <f>L474 = "FAIL"</f>
        <v>0</v>
      </c>
      <c r="Q474" s="4" t="b">
        <f>AND(((P474)=TRUE), ((K474)=TRUE))</f>
        <v>0</v>
      </c>
      <c r="R474" s="4" t="str">
        <f>IF(((O474)=TRUE),  I474,  "")</f>
        <v>suite-substrate</v>
      </c>
      <c r="S474" s="4" t="str">
        <f>IF(((Q474)=TRUE),  I474,  "")</f>
      </c>
      <c r="T474" s="3" t="s">
        <v>6001</v>
      </c>
    </row>
    <row r="475">
      <c r="A475" s="3" t="s">
        <v>6510</v>
      </c>
      <c r="B475" s="4" t="str">
        <f>C475 &amp; ": " &amp; D475</f>
        <v>formula-translates: ProcedureExecutions.AttestationCount</v>
      </c>
      <c r="C475" s="3" t="s">
        <v>6104</v>
      </c>
      <c r="D475" s="3" t="s">
        <v>3546</v>
      </c>
      <c r="E475" s="3" t="s">
        <v>1824</v>
      </c>
      <c r="F475" s="3" t="s">
        <v>1326</v>
      </c>
      <c r="G475" s="3" t="s">
        <v>6105</v>
      </c>
      <c r="H475" s="3" t="s">
        <v>2315</v>
      </c>
      <c r="I475" s="3" t="s">
        <v>5986</v>
      </c>
      <c r="J475" s="3" t="s">
        <v>5999</v>
      </c>
      <c r="K475" s="4" t="b">
        <f>J475 = "blocking"</f>
        <v>1</v>
      </c>
      <c r="L475" s="3" t="s">
        <v>1448</v>
      </c>
      <c r="M475" s="3" t="s">
        <v>6106</v>
      </c>
      <c r="N475" s="5">
        <v>46223.1297337963</v>
      </c>
      <c r="O475" s="4" t="b">
        <f>L475 = "PASS"</f>
        <v>1</v>
      </c>
      <c r="P475" s="4" t="b">
        <f>L475 = "FAIL"</f>
        <v>0</v>
      </c>
      <c r="Q475" s="4" t="b">
        <f>AND(((P475)=TRUE), ((K475)=TRUE))</f>
        <v>0</v>
      </c>
      <c r="R475" s="4" t="str">
        <f>IF(((O475)=TRUE),  I475,  "")</f>
        <v>suite-substrate</v>
      </c>
      <c r="S475" s="4" t="str">
        <f>IF(((Q475)=TRUE),  I475,  "")</f>
      </c>
      <c r="T475" s="3" t="s">
        <v>6001</v>
      </c>
    </row>
    <row r="476">
      <c r="A476" s="3" t="s">
        <v>6511</v>
      </c>
      <c r="B476" s="4" t="str">
        <f>C476 &amp; ": " &amp; D476</f>
        <v>formula-translates: ProcedureExecutions.PostAttestationScoreCount</v>
      </c>
      <c r="C476" s="3" t="s">
        <v>6104</v>
      </c>
      <c r="D476" s="3" t="s">
        <v>3548</v>
      </c>
      <c r="E476" s="3" t="s">
        <v>1824</v>
      </c>
      <c r="F476" s="3" t="s">
        <v>1327</v>
      </c>
      <c r="G476" s="3" t="s">
        <v>6105</v>
      </c>
      <c r="H476" s="3" t="s">
        <v>2315</v>
      </c>
      <c r="I476" s="3" t="s">
        <v>5986</v>
      </c>
      <c r="J476" s="3" t="s">
        <v>5999</v>
      </c>
      <c r="K476" s="4" t="b">
        <f>J476 = "blocking"</f>
        <v>1</v>
      </c>
      <c r="L476" s="3" t="s">
        <v>1448</v>
      </c>
      <c r="M476" s="3" t="s">
        <v>6106</v>
      </c>
      <c r="N476" s="5">
        <v>46223.1297337963</v>
      </c>
      <c r="O476" s="4" t="b">
        <f>L476 = "PASS"</f>
        <v>1</v>
      </c>
      <c r="P476" s="4" t="b">
        <f>L476 = "FAIL"</f>
        <v>0</v>
      </c>
      <c r="Q476" s="4" t="b">
        <f>AND(((P476)=TRUE), ((K476)=TRUE))</f>
        <v>0</v>
      </c>
      <c r="R476" s="4" t="str">
        <f>IF(((O476)=TRUE),  I476,  "")</f>
        <v>suite-substrate</v>
      </c>
      <c r="S476" s="4" t="str">
        <f>IF(((Q476)=TRUE),  I476,  "")</f>
      </c>
      <c r="T476" s="3" t="s">
        <v>6001</v>
      </c>
    </row>
    <row r="477">
      <c r="A477" s="3" t="s">
        <v>6512</v>
      </c>
      <c r="B477" s="4" t="str">
        <f>C477 &amp; ": " &amp; D477</f>
        <v>formula-translates: ProcedureExecutions.BasisChangedAfterSignature</v>
      </c>
      <c r="C477" s="3" t="s">
        <v>6104</v>
      </c>
      <c r="D477" s="3" t="s">
        <v>3550</v>
      </c>
      <c r="E477" s="3" t="s">
        <v>1824</v>
      </c>
      <c r="F477" s="3" t="s">
        <v>1328</v>
      </c>
      <c r="G477" s="3" t="s">
        <v>6105</v>
      </c>
      <c r="H477" s="3" t="s">
        <v>2315</v>
      </c>
      <c r="I477" s="3" t="s">
        <v>5986</v>
      </c>
      <c r="J477" s="3" t="s">
        <v>5999</v>
      </c>
      <c r="K477" s="4" t="b">
        <f>J477 = "blocking"</f>
        <v>1</v>
      </c>
      <c r="L477" s="3" t="s">
        <v>1448</v>
      </c>
      <c r="M477" s="3" t="s">
        <v>6106</v>
      </c>
      <c r="N477" s="5">
        <v>46223.1297337963</v>
      </c>
      <c r="O477" s="4" t="b">
        <f>L477 = "PASS"</f>
        <v>1</v>
      </c>
      <c r="P477" s="4" t="b">
        <f>L477 = "FAIL"</f>
        <v>0</v>
      </c>
      <c r="Q477" s="4" t="b">
        <f>AND(((P477)=TRUE), ((K477)=TRUE))</f>
        <v>0</v>
      </c>
      <c r="R477" s="4" t="str">
        <f>IF(((O477)=TRUE),  I477,  "")</f>
        <v>suite-substrate</v>
      </c>
      <c r="S477" s="4" t="str">
        <f>IF(((Q477)=TRUE),  I477,  "")</f>
      </c>
      <c r="T477" s="3" t="s">
        <v>6001</v>
      </c>
    </row>
    <row r="478">
      <c r="A478" s="3" t="s">
        <v>6513</v>
      </c>
      <c r="B478" s="4" t="str">
        <f>C478 &amp; ": " &amp; D478</f>
        <v>formula-translates: ProcedureExecutions.RequiresReAttestation</v>
      </c>
      <c r="C478" s="3" t="s">
        <v>6104</v>
      </c>
      <c r="D478" s="3" t="s">
        <v>3552</v>
      </c>
      <c r="E478" s="3" t="s">
        <v>1824</v>
      </c>
      <c r="F478" s="3" t="s">
        <v>1329</v>
      </c>
      <c r="G478" s="3" t="s">
        <v>6105</v>
      </c>
      <c r="H478" s="3" t="s">
        <v>2315</v>
      </c>
      <c r="I478" s="3" t="s">
        <v>5986</v>
      </c>
      <c r="J478" s="3" t="s">
        <v>5999</v>
      </c>
      <c r="K478" s="4" t="b">
        <f>J478 = "blocking"</f>
        <v>1</v>
      </c>
      <c r="L478" s="3" t="s">
        <v>1448</v>
      </c>
      <c r="M478" s="3" t="s">
        <v>6106</v>
      </c>
      <c r="N478" s="5">
        <v>46223.1297337963</v>
      </c>
      <c r="O478" s="4" t="b">
        <f>L478 = "PASS"</f>
        <v>1</v>
      </c>
      <c r="P478" s="4" t="b">
        <f>L478 = "FAIL"</f>
        <v>0</v>
      </c>
      <c r="Q478" s="4" t="b">
        <f>AND(((P478)=TRUE), ((K478)=TRUE))</f>
        <v>0</v>
      </c>
      <c r="R478" s="4" t="str">
        <f>IF(((O478)=TRUE),  I478,  "")</f>
        <v>suite-substrate</v>
      </c>
      <c r="S478" s="4" t="str">
        <f>IF(((Q478)=TRUE),  I478,  "")</f>
      </c>
      <c r="T478" s="3" t="s">
        <v>6001</v>
      </c>
    </row>
    <row r="479">
      <c r="A479" s="3" t="s">
        <v>6514</v>
      </c>
      <c r="B479" s="4" t="str">
        <f>C479 &amp; ": " &amp; D479</f>
        <v>formula-translates: ProcedureExecutions.IntendedRecipientCount</v>
      </c>
      <c r="C479" s="3" t="s">
        <v>6104</v>
      </c>
      <c r="D479" s="3" t="s">
        <v>3554</v>
      </c>
      <c r="E479" s="3" t="s">
        <v>1824</v>
      </c>
      <c r="F479" s="3" t="s">
        <v>1330</v>
      </c>
      <c r="G479" s="3" t="s">
        <v>6105</v>
      </c>
      <c r="H479" s="3" t="s">
        <v>2319</v>
      </c>
      <c r="I479" s="3" t="s">
        <v>5986</v>
      </c>
      <c r="J479" s="3" t="s">
        <v>5999</v>
      </c>
      <c r="K479" s="4" t="b">
        <f>J479 = "blocking"</f>
        <v>1</v>
      </c>
      <c r="L479" s="3" t="s">
        <v>1448</v>
      </c>
      <c r="M479" s="3" t="s">
        <v>6106</v>
      </c>
      <c r="N479" s="5">
        <v>46223.1297337963</v>
      </c>
      <c r="O479" s="4" t="b">
        <f>L479 = "PASS"</f>
        <v>1</v>
      </c>
      <c r="P479" s="4" t="b">
        <f>L479 = "FAIL"</f>
        <v>0</v>
      </c>
      <c r="Q479" s="4" t="b">
        <f>AND(((P479)=TRUE), ((K479)=TRUE))</f>
        <v>0</v>
      </c>
      <c r="R479" s="4" t="str">
        <f>IF(((O479)=TRUE),  I479,  "")</f>
        <v>suite-substrate</v>
      </c>
      <c r="S479" s="4" t="str">
        <f>IF(((Q479)=TRUE),  I479,  "")</f>
      </c>
      <c r="T479" s="3" t="s">
        <v>6001</v>
      </c>
    </row>
    <row r="480">
      <c r="A480" s="3" t="s">
        <v>6515</v>
      </c>
      <c r="B480" s="4" t="str">
        <f>C480 &amp; ": " &amp; D480</f>
        <v>formula-translates: ProcedureExecutions.ReachedRecipientCount</v>
      </c>
      <c r="C480" s="3" t="s">
        <v>6104</v>
      </c>
      <c r="D480" s="3" t="s">
        <v>3556</v>
      </c>
      <c r="E480" s="3" t="s">
        <v>1824</v>
      </c>
      <c r="F480" s="3" t="s">
        <v>1331</v>
      </c>
      <c r="G480" s="3" t="s">
        <v>6105</v>
      </c>
      <c r="H480" s="3" t="s">
        <v>2319</v>
      </c>
      <c r="I480" s="3" t="s">
        <v>5986</v>
      </c>
      <c r="J480" s="3" t="s">
        <v>5999</v>
      </c>
      <c r="K480" s="4" t="b">
        <f>J480 = "blocking"</f>
        <v>1</v>
      </c>
      <c r="L480" s="3" t="s">
        <v>1448</v>
      </c>
      <c r="M480" s="3" t="s">
        <v>6106</v>
      </c>
      <c r="N480" s="5">
        <v>46223.1297337963</v>
      </c>
      <c r="O480" s="4" t="b">
        <f>L480 = "PASS"</f>
        <v>1</v>
      </c>
      <c r="P480" s="4" t="b">
        <f>L480 = "FAIL"</f>
        <v>0</v>
      </c>
      <c r="Q480" s="4" t="b">
        <f>AND(((P480)=TRUE), ((K480)=TRUE))</f>
        <v>0</v>
      </c>
      <c r="R480" s="4" t="str">
        <f>IF(((O480)=TRUE),  I480,  "")</f>
        <v>suite-substrate</v>
      </c>
      <c r="S480" s="4" t="str">
        <f>IF(((Q480)=TRUE),  I480,  "")</f>
      </c>
      <c r="T480" s="3" t="s">
        <v>6001</v>
      </c>
    </row>
    <row r="481">
      <c r="A481" s="3" t="s">
        <v>6516</v>
      </c>
      <c r="B481" s="4" t="str">
        <f>C481 &amp; ": " &amp; D481</f>
        <v>formula-translates: ProcedureExecutions.SilentlyDroppedCount</v>
      </c>
      <c r="C481" s="3" t="s">
        <v>6104</v>
      </c>
      <c r="D481" s="3" t="s">
        <v>3558</v>
      </c>
      <c r="E481" s="3" t="s">
        <v>1824</v>
      </c>
      <c r="F481" s="3" t="s">
        <v>1332</v>
      </c>
      <c r="G481" s="3" t="s">
        <v>6105</v>
      </c>
      <c r="H481" s="3" t="s">
        <v>2319</v>
      </c>
      <c r="I481" s="3" t="s">
        <v>5986</v>
      </c>
      <c r="J481" s="3" t="s">
        <v>5999</v>
      </c>
      <c r="K481" s="4" t="b">
        <f>J481 = "blocking"</f>
        <v>1</v>
      </c>
      <c r="L481" s="3" t="s">
        <v>1448</v>
      </c>
      <c r="M481" s="3" t="s">
        <v>6106</v>
      </c>
      <c r="N481" s="5">
        <v>46223.1297337963</v>
      </c>
      <c r="O481" s="4" t="b">
        <f>L481 = "PASS"</f>
        <v>1</v>
      </c>
      <c r="P481" s="4" t="b">
        <f>L481 = "FAIL"</f>
        <v>0</v>
      </c>
      <c r="Q481" s="4" t="b">
        <f>AND(((P481)=TRUE), ((K481)=TRUE))</f>
        <v>0</v>
      </c>
      <c r="R481" s="4" t="str">
        <f>IF(((O481)=TRUE),  I481,  "")</f>
        <v>suite-substrate</v>
      </c>
      <c r="S481" s="4" t="str">
        <f>IF(((Q481)=TRUE),  I481,  "")</f>
      </c>
      <c r="T481" s="3" t="s">
        <v>6001</v>
      </c>
    </row>
    <row r="482">
      <c r="A482" s="3" t="s">
        <v>6517</v>
      </c>
      <c r="B482" s="4" t="str">
        <f>C482 &amp; ": " &amp; D482</f>
        <v>formula-translates: ProcedureExecutions.DeliveryYieldPercent</v>
      </c>
      <c r="C482" s="3" t="s">
        <v>6104</v>
      </c>
      <c r="D482" s="3" t="s">
        <v>3560</v>
      </c>
      <c r="E482" s="3" t="s">
        <v>1824</v>
      </c>
      <c r="F482" s="3" t="s">
        <v>1333</v>
      </c>
      <c r="G482" s="3" t="s">
        <v>6105</v>
      </c>
      <c r="H482" s="3" t="s">
        <v>2319</v>
      </c>
      <c r="I482" s="3" t="s">
        <v>5986</v>
      </c>
      <c r="J482" s="3" t="s">
        <v>5999</v>
      </c>
      <c r="K482" s="4" t="b">
        <f>J482 = "blocking"</f>
        <v>1</v>
      </c>
      <c r="L482" s="3" t="s">
        <v>1448</v>
      </c>
      <c r="M482" s="3" t="s">
        <v>6106</v>
      </c>
      <c r="N482" s="5">
        <v>46223.1297337963</v>
      </c>
      <c r="O482" s="4" t="b">
        <f>L482 = "PASS"</f>
        <v>1</v>
      </c>
      <c r="P482" s="4" t="b">
        <f>L482 = "FAIL"</f>
        <v>0</v>
      </c>
      <c r="Q482" s="4" t="b">
        <f>AND(((P482)=TRUE), ((K482)=TRUE))</f>
        <v>0</v>
      </c>
      <c r="R482" s="4" t="str">
        <f>IF(((O482)=TRUE),  I482,  "")</f>
        <v>suite-substrate</v>
      </c>
      <c r="S482" s="4" t="str">
        <f>IF(((Q482)=TRUE),  I482,  "")</f>
      </c>
      <c r="T482" s="3" t="s">
        <v>6001</v>
      </c>
    </row>
    <row r="483">
      <c r="A483" s="3" t="s">
        <v>6518</v>
      </c>
      <c r="B483" s="4" t="str">
        <f>C483 &amp; ": " &amp; D483</f>
        <v>formula-translates: ProcedureExecutions.CampaignSilentlyLostAudience</v>
      </c>
      <c r="C483" s="3" t="s">
        <v>6104</v>
      </c>
      <c r="D483" s="3" t="s">
        <v>3562</v>
      </c>
      <c r="E483" s="3" t="s">
        <v>1824</v>
      </c>
      <c r="F483" s="3" t="s">
        <v>1334</v>
      </c>
      <c r="G483" s="3" t="s">
        <v>6105</v>
      </c>
      <c r="H483" s="3" t="s">
        <v>2319</v>
      </c>
      <c r="I483" s="3" t="s">
        <v>5986</v>
      </c>
      <c r="J483" s="3" t="s">
        <v>5999</v>
      </c>
      <c r="K483" s="4" t="b">
        <f>J483 = "blocking"</f>
        <v>1</v>
      </c>
      <c r="L483" s="3" t="s">
        <v>1448</v>
      </c>
      <c r="M483" s="3" t="s">
        <v>6106</v>
      </c>
      <c r="N483" s="5">
        <v>46223.1297337963</v>
      </c>
      <c r="O483" s="4" t="b">
        <f>L483 = "PASS"</f>
        <v>1</v>
      </c>
      <c r="P483" s="4" t="b">
        <f>L483 = "FAIL"</f>
        <v>0</v>
      </c>
      <c r="Q483" s="4" t="b">
        <f>AND(((P483)=TRUE), ((K483)=TRUE))</f>
        <v>0</v>
      </c>
      <c r="R483" s="4" t="str">
        <f>IF(((O483)=TRUE),  I483,  "")</f>
        <v>suite-substrate</v>
      </c>
      <c r="S483" s="4" t="str">
        <f>IF(((Q483)=TRUE),  I483,  "")</f>
      </c>
      <c r="T483" s="3" t="s">
        <v>6001</v>
      </c>
    </row>
    <row r="484">
      <c r="A484" s="3" t="s">
        <v>6519</v>
      </c>
      <c r="B484" s="4" t="str">
        <f>C484 &amp; ": " &amp; D484</f>
        <v>formula-translates: ProcedureExecutions.UnrecordedRefusalCount</v>
      </c>
      <c r="C484" s="3" t="s">
        <v>6104</v>
      </c>
      <c r="D484" s="3" t="s">
        <v>3564</v>
      </c>
      <c r="E484" s="3" t="s">
        <v>1824</v>
      </c>
      <c r="F484" s="3" t="s">
        <v>1335</v>
      </c>
      <c r="G484" s="3" t="s">
        <v>6105</v>
      </c>
      <c r="H484" s="3" t="s">
        <v>2359</v>
      </c>
      <c r="I484" s="3" t="s">
        <v>5986</v>
      </c>
      <c r="J484" s="3" t="s">
        <v>5999</v>
      </c>
      <c r="K484" s="4" t="b">
        <f>J484 = "blocking"</f>
        <v>1</v>
      </c>
      <c r="L484" s="3" t="s">
        <v>1448</v>
      </c>
      <c r="M484" s="3" t="s">
        <v>6106</v>
      </c>
      <c r="N484" s="5">
        <v>46223.1297337963</v>
      </c>
      <c r="O484" s="4" t="b">
        <f>L484 = "PASS"</f>
        <v>1</v>
      </c>
      <c r="P484" s="4" t="b">
        <f>L484 = "FAIL"</f>
        <v>0</v>
      </c>
      <c r="Q484" s="4" t="b">
        <f>AND(((P484)=TRUE), ((K484)=TRUE))</f>
        <v>0</v>
      </c>
      <c r="R484" s="4" t="str">
        <f>IF(((O484)=TRUE),  I484,  "")</f>
        <v>suite-substrate</v>
      </c>
      <c r="S484" s="4" t="str">
        <f>IF(((Q484)=TRUE),  I484,  "")</f>
      </c>
      <c r="T484" s="3" t="s">
        <v>6001</v>
      </c>
    </row>
    <row r="485">
      <c r="A485" s="3" t="s">
        <v>6520</v>
      </c>
      <c r="B485" s="4" t="str">
        <f>C485 &amp; ": " &amp; D485</f>
        <v>formula-translates: ProcedureExecutions.HasUnrecordedRefusals</v>
      </c>
      <c r="C485" s="3" t="s">
        <v>6104</v>
      </c>
      <c r="D485" s="3" t="s">
        <v>3566</v>
      </c>
      <c r="E485" s="3" t="s">
        <v>1824</v>
      </c>
      <c r="F485" s="3" t="s">
        <v>1336</v>
      </c>
      <c r="G485" s="3" t="s">
        <v>6105</v>
      </c>
      <c r="H485" s="3" t="s">
        <v>2359</v>
      </c>
      <c r="I485" s="3" t="s">
        <v>5986</v>
      </c>
      <c r="J485" s="3" t="s">
        <v>5999</v>
      </c>
      <c r="K485" s="4" t="b">
        <f>J485 = "blocking"</f>
        <v>1</v>
      </c>
      <c r="L485" s="3" t="s">
        <v>1448</v>
      </c>
      <c r="M485" s="3" t="s">
        <v>6106</v>
      </c>
      <c r="N485" s="5">
        <v>46223.1297337963</v>
      </c>
      <c r="O485" s="4" t="b">
        <f>L485 = "PASS"</f>
        <v>1</v>
      </c>
      <c r="P485" s="4" t="b">
        <f>L485 = "FAIL"</f>
        <v>0</v>
      </c>
      <c r="Q485" s="4" t="b">
        <f>AND(((P485)=TRUE), ((K485)=TRUE))</f>
        <v>0</v>
      </c>
      <c r="R485" s="4" t="str">
        <f>IF(((O485)=TRUE),  I485,  "")</f>
        <v>suite-substrate</v>
      </c>
      <c r="S485" s="4" t="str">
        <f>IF(((Q485)=TRUE),  I485,  "")</f>
      </c>
      <c r="T485" s="3" t="s">
        <v>6001</v>
      </c>
    </row>
    <row r="486">
      <c r="A486" s="3" t="s">
        <v>6521</v>
      </c>
      <c r="B486" s="4" t="str">
        <f>C486 &amp; ": " &amp; D486</f>
        <v>formula-translates: ProcedureExecutions.IndependentlyConfirmedIntentCount</v>
      </c>
      <c r="C486" s="3" t="s">
        <v>6104</v>
      </c>
      <c r="D486" s="3" t="s">
        <v>3568</v>
      </c>
      <c r="E486" s="3" t="s">
        <v>1824</v>
      </c>
      <c r="F486" s="3" t="s">
        <v>1337</v>
      </c>
      <c r="G486" s="3" t="s">
        <v>6105</v>
      </c>
      <c r="H486" s="3" t="s">
        <v>2371</v>
      </c>
      <c r="I486" s="3" t="s">
        <v>5986</v>
      </c>
      <c r="J486" s="3" t="s">
        <v>5999</v>
      </c>
      <c r="K486" s="4" t="b">
        <f>J486 = "blocking"</f>
        <v>1</v>
      </c>
      <c r="L486" s="3" t="s">
        <v>1448</v>
      </c>
      <c r="M486" s="3" t="s">
        <v>6106</v>
      </c>
      <c r="N486" s="5">
        <v>46223.1297337963</v>
      </c>
      <c r="O486" s="4" t="b">
        <f>L486 = "PASS"</f>
        <v>1</v>
      </c>
      <c r="P486" s="4" t="b">
        <f>L486 = "FAIL"</f>
        <v>0</v>
      </c>
      <c r="Q486" s="4" t="b">
        <f>AND(((P486)=TRUE), ((K486)=TRUE))</f>
        <v>0</v>
      </c>
      <c r="R486" s="4" t="str">
        <f>IF(((O486)=TRUE),  I486,  "")</f>
        <v>suite-substrate</v>
      </c>
      <c r="S486" s="4" t="str">
        <f>IF(((Q486)=TRUE),  I486,  "")</f>
      </c>
      <c r="T486" s="3" t="s">
        <v>6001</v>
      </c>
    </row>
    <row r="487">
      <c r="A487" s="3" t="s">
        <v>6522</v>
      </c>
      <c r="B487" s="4" t="str">
        <f>C487 &amp; ": " &amp; D487</f>
        <v>formula-translates: ProcedureExecutions.SendDecisionsAreEntirelySelfWitnessed</v>
      </c>
      <c r="C487" s="3" t="s">
        <v>6104</v>
      </c>
      <c r="D487" s="3" t="s">
        <v>3570</v>
      </c>
      <c r="E487" s="3" t="s">
        <v>1824</v>
      </c>
      <c r="F487" s="3" t="s">
        <v>1338</v>
      </c>
      <c r="G487" s="3" t="s">
        <v>6105</v>
      </c>
      <c r="H487" s="3" t="s">
        <v>2371</v>
      </c>
      <c r="I487" s="3" t="s">
        <v>5986</v>
      </c>
      <c r="J487" s="3" t="s">
        <v>5999</v>
      </c>
      <c r="K487" s="4" t="b">
        <f>J487 = "blocking"</f>
        <v>1</v>
      </c>
      <c r="L487" s="3" t="s">
        <v>1448</v>
      </c>
      <c r="M487" s="3" t="s">
        <v>6106</v>
      </c>
      <c r="N487" s="5">
        <v>46223.1297337963</v>
      </c>
      <c r="O487" s="4" t="b">
        <f>L487 = "PASS"</f>
        <v>1</v>
      </c>
      <c r="P487" s="4" t="b">
        <f>L487 = "FAIL"</f>
        <v>0</v>
      </c>
      <c r="Q487" s="4" t="b">
        <f>AND(((P487)=TRUE), ((K487)=TRUE))</f>
        <v>0</v>
      </c>
      <c r="R487" s="4" t="str">
        <f>IF(((O487)=TRUE),  I487,  "")</f>
        <v>suite-substrate</v>
      </c>
      <c r="S487" s="4" t="str">
        <f>IF(((Q487)=TRUE),  I487,  "")</f>
      </c>
      <c r="T487" s="3" t="s">
        <v>6001</v>
      </c>
    </row>
    <row r="488">
      <c r="A488" s="3" t="s">
        <v>6523</v>
      </c>
      <c r="B488" s="4" t="str">
        <f>C488 &amp; ": " &amp; D488</f>
        <v>formula-translates: StepExecutions.Name</v>
      </c>
      <c r="C488" s="3" t="s">
        <v>6104</v>
      </c>
      <c r="D488" s="3" t="s">
        <v>3574</v>
      </c>
      <c r="E488" s="3" t="s">
        <v>1827</v>
      </c>
      <c r="F488" s="3" t="s">
        <v>1</v>
      </c>
      <c r="G488" s="3" t="s">
        <v>6105</v>
      </c>
      <c r="H488" s="3"/>
      <c r="I488" s="3" t="s">
        <v>5986</v>
      </c>
      <c r="J488" s="3" t="s">
        <v>5999</v>
      </c>
      <c r="K488" s="4" t="b">
        <f>J488 = "blocking"</f>
        <v>1</v>
      </c>
      <c r="L488" s="3" t="s">
        <v>1448</v>
      </c>
      <c r="M488" s="3" t="s">
        <v>6106</v>
      </c>
      <c r="N488" s="5">
        <v>46223.1297337963</v>
      </c>
      <c r="O488" s="4" t="b">
        <f>L488 = "PASS"</f>
        <v>1</v>
      </c>
      <c r="P488" s="4" t="b">
        <f>L488 = "FAIL"</f>
        <v>0</v>
      </c>
      <c r="Q488" s="4" t="b">
        <f>AND(((P488)=TRUE), ((K488)=TRUE))</f>
        <v>0</v>
      </c>
      <c r="R488" s="4" t="str">
        <f>IF(((O488)=TRUE),  I488,  "")</f>
        <v>suite-substrate</v>
      </c>
      <c r="S488" s="4" t="str">
        <f>IF(((Q488)=TRUE),  I488,  "")</f>
      </c>
      <c r="T488" s="3" t="s">
        <v>6001</v>
      </c>
    </row>
    <row r="489">
      <c r="A489" s="3" t="s">
        <v>6524</v>
      </c>
      <c r="B489" s="4" t="str">
        <f>C489 &amp; ": " &amp; D489</f>
        <v>formula-translates: StepExecutions.ActualDurationMinutes</v>
      </c>
      <c r="C489" s="3" t="s">
        <v>6104</v>
      </c>
      <c r="D489" s="3" t="s">
        <v>3584</v>
      </c>
      <c r="E489" s="3" t="s">
        <v>1827</v>
      </c>
      <c r="F489" s="3" t="s">
        <v>1352</v>
      </c>
      <c r="G489" s="3" t="s">
        <v>6105</v>
      </c>
      <c r="H489" s="3"/>
      <c r="I489" s="3" t="s">
        <v>5986</v>
      </c>
      <c r="J489" s="3" t="s">
        <v>5999</v>
      </c>
      <c r="K489" s="4" t="b">
        <f>J489 = "blocking"</f>
        <v>1</v>
      </c>
      <c r="L489" s="3" t="s">
        <v>1448</v>
      </c>
      <c r="M489" s="3" t="s">
        <v>6106</v>
      </c>
      <c r="N489" s="5">
        <v>46223.1297337963</v>
      </c>
      <c r="O489" s="4" t="b">
        <f>L489 = "PASS"</f>
        <v>1</v>
      </c>
      <c r="P489" s="4" t="b">
        <f>L489 = "FAIL"</f>
        <v>0</v>
      </c>
      <c r="Q489" s="4" t="b">
        <f>AND(((P489)=TRUE), ((K489)=TRUE))</f>
        <v>0</v>
      </c>
      <c r="R489" s="4" t="str">
        <f>IF(((O489)=TRUE),  I489,  "")</f>
        <v>suite-substrate</v>
      </c>
      <c r="S489" s="4" t="str">
        <f>IF(((Q489)=TRUE),  I489,  "")</f>
      </c>
      <c r="T489" s="3" t="s">
        <v>6001</v>
      </c>
    </row>
    <row r="490">
      <c r="A490" s="3" t="s">
        <v>6525</v>
      </c>
      <c r="B490" s="4" t="str">
        <f>C490 &amp; ": " &amp; D490</f>
        <v>formula-translates: StepExecutions.ExpectedDurationMinutes</v>
      </c>
      <c r="C490" s="3" t="s">
        <v>6104</v>
      </c>
      <c r="D490" s="3" t="s">
        <v>3586</v>
      </c>
      <c r="E490" s="3" t="s">
        <v>1827</v>
      </c>
      <c r="F490" s="3" t="s">
        <v>505</v>
      </c>
      <c r="G490" s="3" t="s">
        <v>6105</v>
      </c>
      <c r="H490" s="3"/>
      <c r="I490" s="3" t="s">
        <v>5986</v>
      </c>
      <c r="J490" s="3" t="s">
        <v>5999</v>
      </c>
      <c r="K490" s="4" t="b">
        <f>J490 = "blocking"</f>
        <v>1</v>
      </c>
      <c r="L490" s="3" t="s">
        <v>1448</v>
      </c>
      <c r="M490" s="3" t="s">
        <v>6106</v>
      </c>
      <c r="N490" s="5">
        <v>46223.1297337963</v>
      </c>
      <c r="O490" s="4" t="b">
        <f>L490 = "PASS"</f>
        <v>1</v>
      </c>
      <c r="P490" s="4" t="b">
        <f>L490 = "FAIL"</f>
        <v>0</v>
      </c>
      <c r="Q490" s="4" t="b">
        <f>AND(((P490)=TRUE), ((K490)=TRUE))</f>
        <v>0</v>
      </c>
      <c r="R490" s="4" t="str">
        <f>IF(((O490)=TRUE),  I490,  "")</f>
        <v>suite-substrate</v>
      </c>
      <c r="S490" s="4" t="str">
        <f>IF(((Q490)=TRUE),  I490,  "")</f>
      </c>
      <c r="T490" s="3" t="s">
        <v>6001</v>
      </c>
    </row>
    <row r="491">
      <c r="A491" s="3" t="s">
        <v>6526</v>
      </c>
      <c r="B491" s="4" t="str">
        <f>C491 &amp; ": " &amp; D491</f>
        <v>formula-translates: StepExecutions.IsLate</v>
      </c>
      <c r="C491" s="3" t="s">
        <v>6104</v>
      </c>
      <c r="D491" s="3" t="s">
        <v>3588</v>
      </c>
      <c r="E491" s="3" t="s">
        <v>1827</v>
      </c>
      <c r="F491" s="3" t="s">
        <v>1353</v>
      </c>
      <c r="G491" s="3" t="s">
        <v>6105</v>
      </c>
      <c r="H491" s="3"/>
      <c r="I491" s="3" t="s">
        <v>5986</v>
      </c>
      <c r="J491" s="3" t="s">
        <v>5999</v>
      </c>
      <c r="K491" s="4" t="b">
        <f>J491 = "blocking"</f>
        <v>1</v>
      </c>
      <c r="L491" s="3" t="s">
        <v>1448</v>
      </c>
      <c r="M491" s="3" t="s">
        <v>6106</v>
      </c>
      <c r="N491" s="5">
        <v>46223.1297337963</v>
      </c>
      <c r="O491" s="4" t="b">
        <f>L491 = "PASS"</f>
        <v>1</v>
      </c>
      <c r="P491" s="4" t="b">
        <f>L491 = "FAIL"</f>
        <v>0</v>
      </c>
      <c r="Q491" s="4" t="b">
        <f>AND(((P491)=TRUE), ((K491)=TRUE))</f>
        <v>0</v>
      </c>
      <c r="R491" s="4" t="str">
        <f>IF(((O491)=TRUE),  I491,  "")</f>
        <v>suite-substrate</v>
      </c>
      <c r="S491" s="4" t="str">
        <f>IF(((Q491)=TRUE),  I491,  "")</f>
      </c>
      <c r="T491" s="3" t="s">
        <v>6001</v>
      </c>
    </row>
    <row r="492">
      <c r="A492" s="3" t="s">
        <v>6527</v>
      </c>
      <c r="B492" s="4" t="str">
        <f>C492 &amp; ": " &amp; D492</f>
        <v>formula-translates: StepExecutions.BlockingUnmetCount</v>
      </c>
      <c r="C492" s="3" t="s">
        <v>6104</v>
      </c>
      <c r="D492" s="3" t="s">
        <v>3590</v>
      </c>
      <c r="E492" s="3" t="s">
        <v>1827</v>
      </c>
      <c r="F492" s="3" t="s">
        <v>1354</v>
      </c>
      <c r="G492" s="3" t="s">
        <v>6105</v>
      </c>
      <c r="H492" s="3" t="s">
        <v>1958</v>
      </c>
      <c r="I492" s="3" t="s">
        <v>5986</v>
      </c>
      <c r="J492" s="3" t="s">
        <v>5999</v>
      </c>
      <c r="K492" s="4" t="b">
        <f>J492 = "blocking"</f>
        <v>1</v>
      </c>
      <c r="L492" s="3" t="s">
        <v>1448</v>
      </c>
      <c r="M492" s="3" t="s">
        <v>6106</v>
      </c>
      <c r="N492" s="5">
        <v>46223.1297337963</v>
      </c>
      <c r="O492" s="4" t="b">
        <f>L492 = "PASS"</f>
        <v>1</v>
      </c>
      <c r="P492" s="4" t="b">
        <f>L492 = "FAIL"</f>
        <v>0</v>
      </c>
      <c r="Q492" s="4" t="b">
        <f>AND(((P492)=TRUE), ((K492)=TRUE))</f>
        <v>0</v>
      </c>
      <c r="R492" s="4" t="str">
        <f>IF(((O492)=TRUE),  I492,  "")</f>
        <v>suite-substrate</v>
      </c>
      <c r="S492" s="4" t="str">
        <f>IF(((Q492)=TRUE),  I492,  "")</f>
      </c>
      <c r="T492" s="3" t="s">
        <v>6001</v>
      </c>
    </row>
    <row r="493">
      <c r="A493" s="3" t="s">
        <v>6528</v>
      </c>
      <c r="B493" s="4" t="str">
        <f>C493 &amp; ": " &amp; D493</f>
        <v>formula-translates: StepExecutions.BlockingUnmetCountSafe</v>
      </c>
      <c r="C493" s="3" t="s">
        <v>6104</v>
      </c>
      <c r="D493" s="3" t="s">
        <v>3592</v>
      </c>
      <c r="E493" s="3" t="s">
        <v>1827</v>
      </c>
      <c r="F493" s="3" t="s">
        <v>1355</v>
      </c>
      <c r="G493" s="3" t="s">
        <v>6105</v>
      </c>
      <c r="H493" s="3" t="s">
        <v>1958</v>
      </c>
      <c r="I493" s="3" t="s">
        <v>5986</v>
      </c>
      <c r="J493" s="3" t="s">
        <v>5999</v>
      </c>
      <c r="K493" s="4" t="b">
        <f>J493 = "blocking"</f>
        <v>1</v>
      </c>
      <c r="L493" s="3" t="s">
        <v>1448</v>
      </c>
      <c r="M493" s="3" t="s">
        <v>6106</v>
      </c>
      <c r="N493" s="5">
        <v>46223.1297337963</v>
      </c>
      <c r="O493" s="4" t="b">
        <f>L493 = "PASS"</f>
        <v>1</v>
      </c>
      <c r="P493" s="4" t="b">
        <f>L493 = "FAIL"</f>
        <v>0</v>
      </c>
      <c r="Q493" s="4" t="b">
        <f>AND(((P493)=TRUE), ((K493)=TRUE))</f>
        <v>0</v>
      </c>
      <c r="R493" s="4" t="str">
        <f>IF(((O493)=TRUE),  I493,  "")</f>
        <v>suite-substrate</v>
      </c>
      <c r="S493" s="4" t="str">
        <f>IF(((Q493)=TRUE),  I493,  "")</f>
      </c>
      <c r="T493" s="3" t="s">
        <v>6001</v>
      </c>
    </row>
    <row r="494">
      <c r="A494" s="3" t="s">
        <v>6529</v>
      </c>
      <c r="B494" s="4" t="str">
        <f>C494 &amp; ": " &amp; D494</f>
        <v>formula-translates: StepExecutions.ProceededPastBlockingControl</v>
      </c>
      <c r="C494" s="3" t="s">
        <v>6104</v>
      </c>
      <c r="D494" s="3" t="s">
        <v>3594</v>
      </c>
      <c r="E494" s="3" t="s">
        <v>1827</v>
      </c>
      <c r="F494" s="3" t="s">
        <v>1356</v>
      </c>
      <c r="G494" s="3" t="s">
        <v>6105</v>
      </c>
      <c r="H494" s="3" t="s">
        <v>1958</v>
      </c>
      <c r="I494" s="3" t="s">
        <v>5986</v>
      </c>
      <c r="J494" s="3" t="s">
        <v>5999</v>
      </c>
      <c r="K494" s="4" t="b">
        <f>J494 = "blocking"</f>
        <v>1</v>
      </c>
      <c r="L494" s="3" t="s">
        <v>1448</v>
      </c>
      <c r="M494" s="3" t="s">
        <v>6106</v>
      </c>
      <c r="N494" s="5">
        <v>46223.1297337963</v>
      </c>
      <c r="O494" s="4" t="b">
        <f>L494 = "PASS"</f>
        <v>1</v>
      </c>
      <c r="P494" s="4" t="b">
        <f>L494 = "FAIL"</f>
        <v>0</v>
      </c>
      <c r="Q494" s="4" t="b">
        <f>AND(((P494)=TRUE), ((K494)=TRUE))</f>
        <v>0</v>
      </c>
      <c r="R494" s="4" t="str">
        <f>IF(((O494)=TRUE),  I494,  "")</f>
        <v>suite-substrate</v>
      </c>
      <c r="S494" s="4" t="str">
        <f>IF(((Q494)=TRUE),  I494,  "")</f>
      </c>
      <c r="T494" s="3" t="s">
        <v>6001</v>
      </c>
    </row>
    <row r="495">
      <c r="A495" s="3" t="s">
        <v>6530</v>
      </c>
      <c r="B495" s="4" t="str">
        <f>C495 &amp; ": " &amp; D495</f>
        <v>formula-translates: StepExecutions.ExpectedBlockingCount</v>
      </c>
      <c r="C495" s="3" t="s">
        <v>6104</v>
      </c>
      <c r="D495" s="3" t="s">
        <v>3596</v>
      </c>
      <c r="E495" s="3" t="s">
        <v>1827</v>
      </c>
      <c r="F495" s="3" t="s">
        <v>1357</v>
      </c>
      <c r="G495" s="3" t="s">
        <v>6105</v>
      </c>
      <c r="H495" s="3" t="s">
        <v>1963</v>
      </c>
      <c r="I495" s="3" t="s">
        <v>5986</v>
      </c>
      <c r="J495" s="3" t="s">
        <v>5999</v>
      </c>
      <c r="K495" s="4" t="b">
        <f>J495 = "blocking"</f>
        <v>1</v>
      </c>
      <c r="L495" s="3" t="s">
        <v>1448</v>
      </c>
      <c r="M495" s="3" t="s">
        <v>6106</v>
      </c>
      <c r="N495" s="5">
        <v>46223.1297337963</v>
      </c>
      <c r="O495" s="4" t="b">
        <f>L495 = "PASS"</f>
        <v>1</v>
      </c>
      <c r="P495" s="4" t="b">
        <f>L495 = "FAIL"</f>
        <v>0</v>
      </c>
      <c r="Q495" s="4" t="b">
        <f>AND(((P495)=TRUE), ((K495)=TRUE))</f>
        <v>0</v>
      </c>
      <c r="R495" s="4" t="str">
        <f>IF(((O495)=TRUE),  I495,  "")</f>
        <v>suite-substrate</v>
      </c>
      <c r="S495" s="4" t="str">
        <f>IF(((Q495)=TRUE),  I495,  "")</f>
      </c>
      <c r="T495" s="3" t="s">
        <v>6001</v>
      </c>
    </row>
    <row r="496">
      <c r="A496" s="3" t="s">
        <v>6531</v>
      </c>
      <c r="B496" s="4" t="str">
        <f>C496 &amp; ": " &amp; D496</f>
        <v>formula-translates: StepExecutions.EvaluatedBlockingCount</v>
      </c>
      <c r="C496" s="3" t="s">
        <v>6104</v>
      </c>
      <c r="D496" s="3" t="s">
        <v>3598</v>
      </c>
      <c r="E496" s="3" t="s">
        <v>1827</v>
      </c>
      <c r="F496" s="3" t="s">
        <v>1358</v>
      </c>
      <c r="G496" s="3" t="s">
        <v>6105</v>
      </c>
      <c r="H496" s="3" t="s">
        <v>1963</v>
      </c>
      <c r="I496" s="3" t="s">
        <v>5986</v>
      </c>
      <c r="J496" s="3" t="s">
        <v>5999</v>
      </c>
      <c r="K496" s="4" t="b">
        <f>J496 = "blocking"</f>
        <v>1</v>
      </c>
      <c r="L496" s="3" t="s">
        <v>1448</v>
      </c>
      <c r="M496" s="3" t="s">
        <v>6106</v>
      </c>
      <c r="N496" s="5">
        <v>46223.1297337963</v>
      </c>
      <c r="O496" s="4" t="b">
        <f>L496 = "PASS"</f>
        <v>1</v>
      </c>
      <c r="P496" s="4" t="b">
        <f>L496 = "FAIL"</f>
        <v>0</v>
      </c>
      <c r="Q496" s="4" t="b">
        <f>AND(((P496)=TRUE), ((K496)=TRUE))</f>
        <v>0</v>
      </c>
      <c r="R496" s="4" t="str">
        <f>IF(((O496)=TRUE),  I496,  "")</f>
        <v>suite-substrate</v>
      </c>
      <c r="S496" s="4" t="str">
        <f>IF(((Q496)=TRUE),  I496,  "")</f>
      </c>
      <c r="T496" s="3" t="s">
        <v>6001</v>
      </c>
    </row>
    <row r="497">
      <c r="A497" s="3" t="s">
        <v>6532</v>
      </c>
      <c r="B497" s="4" t="str">
        <f>C497 &amp; ": " &amp; D497</f>
        <v>formula-translates: StepExecutions.UnevaluatedBlockingCount</v>
      </c>
      <c r="C497" s="3" t="s">
        <v>6104</v>
      </c>
      <c r="D497" s="3" t="s">
        <v>3600</v>
      </c>
      <c r="E497" s="3" t="s">
        <v>1827</v>
      </c>
      <c r="F497" s="3" t="s">
        <v>1359</v>
      </c>
      <c r="G497" s="3" t="s">
        <v>6105</v>
      </c>
      <c r="H497" s="3" t="s">
        <v>1963</v>
      </c>
      <c r="I497" s="3" t="s">
        <v>5986</v>
      </c>
      <c r="J497" s="3" t="s">
        <v>5999</v>
      </c>
      <c r="K497" s="4" t="b">
        <f>J497 = "blocking"</f>
        <v>1</v>
      </c>
      <c r="L497" s="3" t="s">
        <v>1448</v>
      </c>
      <c r="M497" s="3" t="s">
        <v>6106</v>
      </c>
      <c r="N497" s="5">
        <v>46223.1297337963</v>
      </c>
      <c r="O497" s="4" t="b">
        <f>L497 = "PASS"</f>
        <v>1</v>
      </c>
      <c r="P497" s="4" t="b">
        <f>L497 = "FAIL"</f>
        <v>0</v>
      </c>
      <c r="Q497" s="4" t="b">
        <f>AND(((P497)=TRUE), ((K497)=TRUE))</f>
        <v>0</v>
      </c>
      <c r="R497" s="4" t="str">
        <f>IF(((O497)=TRUE),  I497,  "")</f>
        <v>suite-substrate</v>
      </c>
      <c r="S497" s="4" t="str">
        <f>IF(((Q497)=TRUE),  I497,  "")</f>
      </c>
      <c r="T497" s="3" t="s">
        <v>6001</v>
      </c>
    </row>
    <row r="498">
      <c r="A498" s="3" t="s">
        <v>6533</v>
      </c>
      <c r="B498" s="4" t="str">
        <f>C498 &amp; ": " &amp; D498</f>
        <v>formula-translates: StepExecutions.HasUnevaluatedBlockingControl</v>
      </c>
      <c r="C498" s="3" t="s">
        <v>6104</v>
      </c>
      <c r="D498" s="3" t="s">
        <v>3602</v>
      </c>
      <c r="E498" s="3" t="s">
        <v>1827</v>
      </c>
      <c r="F498" s="3" t="s">
        <v>1360</v>
      </c>
      <c r="G498" s="3" t="s">
        <v>6105</v>
      </c>
      <c r="H498" s="3" t="s">
        <v>1963</v>
      </c>
      <c r="I498" s="3" t="s">
        <v>5986</v>
      </c>
      <c r="J498" s="3" t="s">
        <v>5999</v>
      </c>
      <c r="K498" s="4" t="b">
        <f>J498 = "blocking"</f>
        <v>1</v>
      </c>
      <c r="L498" s="3" t="s">
        <v>1448</v>
      </c>
      <c r="M498" s="3" t="s">
        <v>6106</v>
      </c>
      <c r="N498" s="5">
        <v>46223.1297337963</v>
      </c>
      <c r="O498" s="4" t="b">
        <f>L498 = "PASS"</f>
        <v>1</v>
      </c>
      <c r="P498" s="4" t="b">
        <f>L498 = "FAIL"</f>
        <v>0</v>
      </c>
      <c r="Q498" s="4" t="b">
        <f>AND(((P498)=TRUE), ((K498)=TRUE))</f>
        <v>0</v>
      </c>
      <c r="R498" s="4" t="str">
        <f>IF(((O498)=TRUE),  I498,  "")</f>
        <v>suite-substrate</v>
      </c>
      <c r="S498" s="4" t="str">
        <f>IF(((Q498)=TRUE),  I498,  "")</f>
      </c>
      <c r="T498" s="3" t="s">
        <v>6001</v>
      </c>
    </row>
    <row r="499">
      <c r="A499" s="3" t="s">
        <v>6534</v>
      </c>
      <c r="B499" s="4" t="str">
        <f>C499 &amp; ": " &amp; D499</f>
        <v>formula-translates: StepExecutions.StaleAuthoritativeSourceCount</v>
      </c>
      <c r="C499" s="3" t="s">
        <v>6104</v>
      </c>
      <c r="D499" s="3" t="s">
        <v>3604</v>
      </c>
      <c r="E499" s="3" t="s">
        <v>1827</v>
      </c>
      <c r="F499" s="3" t="s">
        <v>1361</v>
      </c>
      <c r="G499" s="3" t="s">
        <v>6105</v>
      </c>
      <c r="H499" s="3" t="s">
        <v>1967</v>
      </c>
      <c r="I499" s="3" t="s">
        <v>5986</v>
      </c>
      <c r="J499" s="3" t="s">
        <v>5999</v>
      </c>
      <c r="K499" s="4" t="b">
        <f>J499 = "blocking"</f>
        <v>1</v>
      </c>
      <c r="L499" s="3" t="s">
        <v>1448</v>
      </c>
      <c r="M499" s="3" t="s">
        <v>6106</v>
      </c>
      <c r="N499" s="5">
        <v>46223.1297337963</v>
      </c>
      <c r="O499" s="4" t="b">
        <f>L499 = "PASS"</f>
        <v>1</v>
      </c>
      <c r="P499" s="4" t="b">
        <f>L499 = "FAIL"</f>
        <v>0</v>
      </c>
      <c r="Q499" s="4" t="b">
        <f>AND(((P499)=TRUE), ((K499)=TRUE))</f>
        <v>0</v>
      </c>
      <c r="R499" s="4" t="str">
        <f>IF(((O499)=TRUE),  I499,  "")</f>
        <v>suite-substrate</v>
      </c>
      <c r="S499" s="4" t="str">
        <f>IF(((Q499)=TRUE),  I499,  "")</f>
      </c>
      <c r="T499" s="3" t="s">
        <v>6001</v>
      </c>
    </row>
    <row r="500">
      <c r="A500" s="3" t="s">
        <v>6535</v>
      </c>
      <c r="B500" s="4" t="str">
        <f>C500 &amp; ": " &amp; D500</f>
        <v>formula-translates: StepExecutions.RanOnStaleAuthoritativeSource</v>
      </c>
      <c r="C500" s="3" t="s">
        <v>6104</v>
      </c>
      <c r="D500" s="3" t="s">
        <v>3606</v>
      </c>
      <c r="E500" s="3" t="s">
        <v>1827</v>
      </c>
      <c r="F500" s="3" t="s">
        <v>1362</v>
      </c>
      <c r="G500" s="3" t="s">
        <v>6105</v>
      </c>
      <c r="H500" s="3" t="s">
        <v>1967</v>
      </c>
      <c r="I500" s="3" t="s">
        <v>5986</v>
      </c>
      <c r="J500" s="3" t="s">
        <v>5999</v>
      </c>
      <c r="K500" s="4" t="b">
        <f>J500 = "blocking"</f>
        <v>1</v>
      </c>
      <c r="L500" s="3" t="s">
        <v>1448</v>
      </c>
      <c r="M500" s="3" t="s">
        <v>6106</v>
      </c>
      <c r="N500" s="5">
        <v>46223.1297337963</v>
      </c>
      <c r="O500" s="4" t="b">
        <f>L500 = "PASS"</f>
        <v>1</v>
      </c>
      <c r="P500" s="4" t="b">
        <f>L500 = "FAIL"</f>
        <v>0</v>
      </c>
      <c r="Q500" s="4" t="b">
        <f>AND(((P500)=TRUE), ((K500)=TRUE))</f>
        <v>0</v>
      </c>
      <c r="R500" s="4" t="str">
        <f>IF(((O500)=TRUE),  I500,  "")</f>
        <v>suite-substrate</v>
      </c>
      <c r="S500" s="4" t="str">
        <f>IF(((Q500)=TRUE),  I500,  "")</f>
      </c>
      <c r="T500" s="3" t="s">
        <v>6001</v>
      </c>
    </row>
    <row r="501">
      <c r="A501" s="3" t="s">
        <v>6536</v>
      </c>
      <c r="B501" s="4" t="str">
        <f>C501 &amp; ": " &amp; D501</f>
        <v>formula-translates: StepExecutions.HasDeviationNote</v>
      </c>
      <c r="C501" s="3" t="s">
        <v>6104</v>
      </c>
      <c r="D501" s="3" t="s">
        <v>3608</v>
      </c>
      <c r="E501" s="3" t="s">
        <v>1827</v>
      </c>
      <c r="F501" s="3" t="s">
        <v>1363</v>
      </c>
      <c r="G501" s="3" t="s">
        <v>6105</v>
      </c>
      <c r="H501" s="3" t="s">
        <v>1971</v>
      </c>
      <c r="I501" s="3" t="s">
        <v>5986</v>
      </c>
      <c r="J501" s="3" t="s">
        <v>5999</v>
      </c>
      <c r="K501" s="4" t="b">
        <f>J501 = "blocking"</f>
        <v>1</v>
      </c>
      <c r="L501" s="3" t="s">
        <v>1448</v>
      </c>
      <c r="M501" s="3" t="s">
        <v>6106</v>
      </c>
      <c r="N501" s="5">
        <v>46223.1297337963</v>
      </c>
      <c r="O501" s="4" t="b">
        <f>L501 = "PASS"</f>
        <v>1</v>
      </c>
      <c r="P501" s="4" t="b">
        <f>L501 = "FAIL"</f>
        <v>0</v>
      </c>
      <c r="Q501" s="4" t="b">
        <f>AND(((P501)=TRUE), ((K501)=TRUE))</f>
        <v>0</v>
      </c>
      <c r="R501" s="4" t="str">
        <f>IF(((O501)=TRUE),  I501,  "")</f>
        <v>suite-substrate</v>
      </c>
      <c r="S501" s="4" t="str">
        <f>IF(((Q501)=TRUE),  I501,  "")</f>
      </c>
      <c r="T501" s="3" t="s">
        <v>6001</v>
      </c>
    </row>
    <row r="502">
      <c r="A502" s="3" t="s">
        <v>6537</v>
      </c>
      <c r="B502" s="4" t="str">
        <f>C502 &amp; ": " &amp; D502</f>
        <v>formula-translates: StepExecutions.IsLateAndUnexplained</v>
      </c>
      <c r="C502" s="3" t="s">
        <v>6104</v>
      </c>
      <c r="D502" s="3" t="s">
        <v>3610</v>
      </c>
      <c r="E502" s="3" t="s">
        <v>1827</v>
      </c>
      <c r="F502" s="3" t="s">
        <v>1364</v>
      </c>
      <c r="G502" s="3" t="s">
        <v>6105</v>
      </c>
      <c r="H502" s="3" t="s">
        <v>1971</v>
      </c>
      <c r="I502" s="3" t="s">
        <v>5986</v>
      </c>
      <c r="J502" s="3" t="s">
        <v>5999</v>
      </c>
      <c r="K502" s="4" t="b">
        <f>J502 = "blocking"</f>
        <v>1</v>
      </c>
      <c r="L502" s="3" t="s">
        <v>1448</v>
      </c>
      <c r="M502" s="3" t="s">
        <v>6106</v>
      </c>
      <c r="N502" s="5">
        <v>46223.1297337963</v>
      </c>
      <c r="O502" s="4" t="b">
        <f>L502 = "PASS"</f>
        <v>1</v>
      </c>
      <c r="P502" s="4" t="b">
        <f>L502 = "FAIL"</f>
        <v>0</v>
      </c>
      <c r="Q502" s="4" t="b">
        <f>AND(((P502)=TRUE), ((K502)=TRUE))</f>
        <v>0</v>
      </c>
      <c r="R502" s="4" t="str">
        <f>IF(((O502)=TRUE),  I502,  "")</f>
        <v>suite-substrate</v>
      </c>
      <c r="S502" s="4" t="str">
        <f>IF(((Q502)=TRUE),  I502,  "")</f>
      </c>
      <c r="T502" s="3" t="s">
        <v>6001</v>
      </c>
    </row>
    <row r="503">
      <c r="A503" s="3" t="s">
        <v>6538</v>
      </c>
      <c r="B503" s="4" t="str">
        <f>C503 &amp; ": " &amp; D503</f>
        <v>formula-translates: StepExecutions.AvailableExceptionCountForStep</v>
      </c>
      <c r="C503" s="3" t="s">
        <v>6104</v>
      </c>
      <c r="D503" s="3" t="s">
        <v>3612</v>
      </c>
      <c r="E503" s="3" t="s">
        <v>1827</v>
      </c>
      <c r="F503" s="3" t="s">
        <v>1365</v>
      </c>
      <c r="G503" s="3" t="s">
        <v>6105</v>
      </c>
      <c r="H503" s="3" t="s">
        <v>1971</v>
      </c>
      <c r="I503" s="3" t="s">
        <v>5986</v>
      </c>
      <c r="J503" s="3" t="s">
        <v>5999</v>
      </c>
      <c r="K503" s="4" t="b">
        <f>J503 = "blocking"</f>
        <v>1</v>
      </c>
      <c r="L503" s="3" t="s">
        <v>1448</v>
      </c>
      <c r="M503" s="3" t="s">
        <v>6106</v>
      </c>
      <c r="N503" s="5">
        <v>46223.1297337963</v>
      </c>
      <c r="O503" s="4" t="b">
        <f>L503 = "PASS"</f>
        <v>1</v>
      </c>
      <c r="P503" s="4" t="b">
        <f>L503 = "FAIL"</f>
        <v>0</v>
      </c>
      <c r="Q503" s="4" t="b">
        <f>AND(((P503)=TRUE), ((K503)=TRUE))</f>
        <v>0</v>
      </c>
      <c r="R503" s="4" t="str">
        <f>IF(((O503)=TRUE),  I503,  "")</f>
        <v>suite-substrate</v>
      </c>
      <c r="S503" s="4" t="str">
        <f>IF(((Q503)=TRUE),  I503,  "")</f>
      </c>
      <c r="T503" s="3" t="s">
        <v>6001</v>
      </c>
    </row>
    <row r="504">
      <c r="A504" s="3" t="s">
        <v>6539</v>
      </c>
      <c r="B504" s="4" t="str">
        <f>C504 &amp; ": " &amp; D504</f>
        <v>formula-translates: StepExecutions.HadUninvokedExceptionAvailable</v>
      </c>
      <c r="C504" s="3" t="s">
        <v>6104</v>
      </c>
      <c r="D504" s="3" t="s">
        <v>3614</v>
      </c>
      <c r="E504" s="3" t="s">
        <v>1827</v>
      </c>
      <c r="F504" s="3" t="s">
        <v>1366</v>
      </c>
      <c r="G504" s="3" t="s">
        <v>6105</v>
      </c>
      <c r="H504" s="3" t="s">
        <v>1971</v>
      </c>
      <c r="I504" s="3" t="s">
        <v>5986</v>
      </c>
      <c r="J504" s="3" t="s">
        <v>5999</v>
      </c>
      <c r="K504" s="4" t="b">
        <f>J504 = "blocking"</f>
        <v>1</v>
      </c>
      <c r="L504" s="3" t="s">
        <v>1448</v>
      </c>
      <c r="M504" s="3" t="s">
        <v>6106</v>
      </c>
      <c r="N504" s="5">
        <v>46223.1297337963</v>
      </c>
      <c r="O504" s="4" t="b">
        <f>L504 = "PASS"</f>
        <v>1</v>
      </c>
      <c r="P504" s="4" t="b">
        <f>L504 = "FAIL"</f>
        <v>0</v>
      </c>
      <c r="Q504" s="4" t="b">
        <f>AND(((P504)=TRUE), ((K504)=TRUE))</f>
        <v>0</v>
      </c>
      <c r="R504" s="4" t="str">
        <f>IF(((O504)=TRUE),  I504,  "")</f>
        <v>suite-substrate</v>
      </c>
      <c r="S504" s="4" t="str">
        <f>IF(((Q504)=TRUE),  I504,  "")</f>
      </c>
      <c r="T504" s="3" t="s">
        <v>6001</v>
      </c>
    </row>
    <row r="505">
      <c r="A505" s="3" t="s">
        <v>6540</v>
      </c>
      <c r="B505" s="4" t="str">
        <f>C505 &amp; ": " &amp; D505</f>
        <v>formula-translates: StepExecutions.ExpectedVerificationCount</v>
      </c>
      <c r="C505" s="3" t="s">
        <v>6104</v>
      </c>
      <c r="D505" s="3" t="s">
        <v>3616</v>
      </c>
      <c r="E505" s="3" t="s">
        <v>1827</v>
      </c>
      <c r="F505" s="3" t="s">
        <v>1367</v>
      </c>
      <c r="G505" s="3" t="s">
        <v>6105</v>
      </c>
      <c r="H505" s="3" t="s">
        <v>1975</v>
      </c>
      <c r="I505" s="3" t="s">
        <v>5986</v>
      </c>
      <c r="J505" s="3" t="s">
        <v>5999</v>
      </c>
      <c r="K505" s="4" t="b">
        <f>J505 = "blocking"</f>
        <v>1</v>
      </c>
      <c r="L505" s="3" t="s">
        <v>1448</v>
      </c>
      <c r="M505" s="3" t="s">
        <v>6106</v>
      </c>
      <c r="N505" s="5">
        <v>46223.1297337963</v>
      </c>
      <c r="O505" s="4" t="b">
        <f>L505 = "PASS"</f>
        <v>1</v>
      </c>
      <c r="P505" s="4" t="b">
        <f>L505 = "FAIL"</f>
        <v>0</v>
      </c>
      <c r="Q505" s="4" t="b">
        <f>AND(((P505)=TRUE), ((K505)=TRUE))</f>
        <v>0</v>
      </c>
      <c r="R505" s="4" t="str">
        <f>IF(((O505)=TRUE),  I505,  "")</f>
        <v>suite-substrate</v>
      </c>
      <c r="S505" s="4" t="str">
        <f>IF(((Q505)=TRUE),  I505,  "")</f>
      </c>
      <c r="T505" s="3" t="s">
        <v>6001</v>
      </c>
    </row>
    <row r="506">
      <c r="A506" s="3" t="s">
        <v>6541</v>
      </c>
      <c r="B506" s="4" t="str">
        <f>C506 &amp; ": " &amp; D506</f>
        <v>formula-translates: StepExecutions.PerformedVerificationCount</v>
      </c>
      <c r="C506" s="3" t="s">
        <v>6104</v>
      </c>
      <c r="D506" s="3" t="s">
        <v>3618</v>
      </c>
      <c r="E506" s="3" t="s">
        <v>1827</v>
      </c>
      <c r="F506" s="3" t="s">
        <v>1368</v>
      </c>
      <c r="G506" s="3" t="s">
        <v>6105</v>
      </c>
      <c r="H506" s="3" t="s">
        <v>1975</v>
      </c>
      <c r="I506" s="3" t="s">
        <v>5986</v>
      </c>
      <c r="J506" s="3" t="s">
        <v>5999</v>
      </c>
      <c r="K506" s="4" t="b">
        <f>J506 = "blocking"</f>
        <v>1</v>
      </c>
      <c r="L506" s="3" t="s">
        <v>1448</v>
      </c>
      <c r="M506" s="3" t="s">
        <v>6106</v>
      </c>
      <c r="N506" s="5">
        <v>46223.1297337963</v>
      </c>
      <c r="O506" s="4" t="b">
        <f>L506 = "PASS"</f>
        <v>1</v>
      </c>
      <c r="P506" s="4" t="b">
        <f>L506 = "FAIL"</f>
        <v>0</v>
      </c>
      <c r="Q506" s="4" t="b">
        <f>AND(((P506)=TRUE), ((K506)=TRUE))</f>
        <v>0</v>
      </c>
      <c r="R506" s="4" t="str">
        <f>IF(((O506)=TRUE),  I506,  "")</f>
        <v>suite-substrate</v>
      </c>
      <c r="S506" s="4" t="str">
        <f>IF(((Q506)=TRUE),  I506,  "")</f>
      </c>
      <c r="T506" s="3" t="s">
        <v>6001</v>
      </c>
    </row>
    <row r="507">
      <c r="A507" s="3" t="s">
        <v>6542</v>
      </c>
      <c r="B507" s="4" t="str">
        <f>C507 &amp; ": " &amp; D507</f>
        <v>formula-translates: StepExecutions.SkippedVerificationCount</v>
      </c>
      <c r="C507" s="3" t="s">
        <v>6104</v>
      </c>
      <c r="D507" s="3" t="s">
        <v>3620</v>
      </c>
      <c r="E507" s="3" t="s">
        <v>1827</v>
      </c>
      <c r="F507" s="3" t="s">
        <v>1369</v>
      </c>
      <c r="G507" s="3" t="s">
        <v>6105</v>
      </c>
      <c r="H507" s="3" t="s">
        <v>1975</v>
      </c>
      <c r="I507" s="3" t="s">
        <v>5986</v>
      </c>
      <c r="J507" s="3" t="s">
        <v>5999</v>
      </c>
      <c r="K507" s="4" t="b">
        <f>J507 = "blocking"</f>
        <v>1</v>
      </c>
      <c r="L507" s="3" t="s">
        <v>1448</v>
      </c>
      <c r="M507" s="3" t="s">
        <v>6106</v>
      </c>
      <c r="N507" s="5">
        <v>46223.1297337963</v>
      </c>
      <c r="O507" s="4" t="b">
        <f>L507 = "PASS"</f>
        <v>1</v>
      </c>
      <c r="P507" s="4" t="b">
        <f>L507 = "FAIL"</f>
        <v>0</v>
      </c>
      <c r="Q507" s="4" t="b">
        <f>AND(((P507)=TRUE), ((K507)=TRUE))</f>
        <v>0</v>
      </c>
      <c r="R507" s="4" t="str">
        <f>IF(((O507)=TRUE),  I507,  "")</f>
        <v>suite-substrate</v>
      </c>
      <c r="S507" s="4" t="str">
        <f>IF(((Q507)=TRUE),  I507,  "")</f>
      </c>
      <c r="T507" s="3" t="s">
        <v>6001</v>
      </c>
    </row>
    <row r="508">
      <c r="A508" s="3" t="s">
        <v>6543</v>
      </c>
      <c r="B508" s="4" t="str">
        <f>C508 &amp; ": " &amp; D508</f>
        <v>formula-translates: StepExecutions.HasSkippedVerification</v>
      </c>
      <c r="C508" s="3" t="s">
        <v>6104</v>
      </c>
      <c r="D508" s="3" t="s">
        <v>3622</v>
      </c>
      <c r="E508" s="3" t="s">
        <v>1827</v>
      </c>
      <c r="F508" s="3" t="s">
        <v>1370</v>
      </c>
      <c r="G508" s="3" t="s">
        <v>6105</v>
      </c>
      <c r="H508" s="3" t="s">
        <v>1975</v>
      </c>
      <c r="I508" s="3" t="s">
        <v>5986</v>
      </c>
      <c r="J508" s="3" t="s">
        <v>5999</v>
      </c>
      <c r="K508" s="4" t="b">
        <f>J508 = "blocking"</f>
        <v>1</v>
      </c>
      <c r="L508" s="3" t="s">
        <v>1448</v>
      </c>
      <c r="M508" s="3" t="s">
        <v>6106</v>
      </c>
      <c r="N508" s="5">
        <v>46223.1297337963</v>
      </c>
      <c r="O508" s="4" t="b">
        <f>L508 = "PASS"</f>
        <v>1</v>
      </c>
      <c r="P508" s="4" t="b">
        <f>L508 = "FAIL"</f>
        <v>0</v>
      </c>
      <c r="Q508" s="4" t="b">
        <f>AND(((P508)=TRUE), ((K508)=TRUE))</f>
        <v>0</v>
      </c>
      <c r="R508" s="4" t="str">
        <f>IF(((O508)=TRUE),  I508,  "")</f>
        <v>suite-substrate</v>
      </c>
      <c r="S508" s="4" t="str">
        <f>IF(((Q508)=TRUE),  I508,  "")</f>
      </c>
      <c r="T508" s="3" t="s">
        <v>6001</v>
      </c>
    </row>
    <row r="509">
      <c r="A509" s="3" t="s">
        <v>6544</v>
      </c>
      <c r="B509" s="4" t="str">
        <f>C509 &amp; ": " &amp; D509</f>
        <v>formula-translates: StepExecutions.ClaimsPassWithoutEvidence</v>
      </c>
      <c r="C509" s="3" t="s">
        <v>6104</v>
      </c>
      <c r="D509" s="3" t="s">
        <v>3624</v>
      </c>
      <c r="E509" s="3" t="s">
        <v>1827</v>
      </c>
      <c r="F509" s="3" t="s">
        <v>1371</v>
      </c>
      <c r="G509" s="3" t="s">
        <v>6105</v>
      </c>
      <c r="H509" s="3" t="s">
        <v>1975</v>
      </c>
      <c r="I509" s="3" t="s">
        <v>5986</v>
      </c>
      <c r="J509" s="3" t="s">
        <v>5999</v>
      </c>
      <c r="K509" s="4" t="b">
        <f>J509 = "blocking"</f>
        <v>1</v>
      </c>
      <c r="L509" s="3" t="s">
        <v>1448</v>
      </c>
      <c r="M509" s="3" t="s">
        <v>6106</v>
      </c>
      <c r="N509" s="5">
        <v>46223.1297337963</v>
      </c>
      <c r="O509" s="4" t="b">
        <f>L509 = "PASS"</f>
        <v>1</v>
      </c>
      <c r="P509" s="4" t="b">
        <f>L509 = "FAIL"</f>
        <v>0</v>
      </c>
      <c r="Q509" s="4" t="b">
        <f>AND(((P509)=TRUE), ((K509)=TRUE))</f>
        <v>0</v>
      </c>
      <c r="R509" s="4" t="str">
        <f>IF(((O509)=TRUE),  I509,  "")</f>
        <v>suite-substrate</v>
      </c>
      <c r="S509" s="4" t="str">
        <f>IF(((Q509)=TRUE),  I509,  "")</f>
      </c>
      <c r="T509" s="3" t="s">
        <v>6001</v>
      </c>
    </row>
    <row r="510">
      <c r="A510" s="3" t="s">
        <v>6545</v>
      </c>
      <c r="B510" s="4" t="str">
        <f>C510 &amp; ": " &amp; D510</f>
        <v>formula-translates: StepExecutions.StepIsPreparation</v>
      </c>
      <c r="C510" s="3" t="s">
        <v>6104</v>
      </c>
      <c r="D510" s="3" t="s">
        <v>3626</v>
      </c>
      <c r="E510" s="3" t="s">
        <v>1827</v>
      </c>
      <c r="F510" s="3" t="s">
        <v>1372</v>
      </c>
      <c r="G510" s="3" t="s">
        <v>6105</v>
      </c>
      <c r="H510" s="3" t="s">
        <v>1979</v>
      </c>
      <c r="I510" s="3" t="s">
        <v>5986</v>
      </c>
      <c r="J510" s="3" t="s">
        <v>5999</v>
      </c>
      <c r="K510" s="4" t="b">
        <f>J510 = "blocking"</f>
        <v>1</v>
      </c>
      <c r="L510" s="3" t="s">
        <v>1448</v>
      </c>
      <c r="M510" s="3" t="s">
        <v>6106</v>
      </c>
      <c r="N510" s="5">
        <v>46223.1297337963</v>
      </c>
      <c r="O510" s="4" t="b">
        <f>L510 = "PASS"</f>
        <v>1</v>
      </c>
      <c r="P510" s="4" t="b">
        <f>L510 = "FAIL"</f>
        <v>0</v>
      </c>
      <c r="Q510" s="4" t="b">
        <f>AND(((P510)=TRUE), ((K510)=TRUE))</f>
        <v>0</v>
      </c>
      <c r="R510" s="4" t="str">
        <f>IF(((O510)=TRUE),  I510,  "")</f>
        <v>suite-substrate</v>
      </c>
      <c r="S510" s="4" t="str">
        <f>IF(((Q510)=TRUE),  I510,  "")</f>
      </c>
      <c r="T510" s="3" t="s">
        <v>6001</v>
      </c>
    </row>
    <row r="511">
      <c r="A511" s="3" t="s">
        <v>6546</v>
      </c>
      <c r="B511" s="4" t="str">
        <f>C511 &amp; ": " &amp; D511</f>
        <v>formula-translates: StepExecutions.StepIsApproval</v>
      </c>
      <c r="C511" s="3" t="s">
        <v>6104</v>
      </c>
      <c r="D511" s="3" t="s">
        <v>3628</v>
      </c>
      <c r="E511" s="3" t="s">
        <v>1827</v>
      </c>
      <c r="F511" s="3" t="s">
        <v>1373</v>
      </c>
      <c r="G511" s="3" t="s">
        <v>6105</v>
      </c>
      <c r="H511" s="3" t="s">
        <v>1979</v>
      </c>
      <c r="I511" s="3" t="s">
        <v>5986</v>
      </c>
      <c r="J511" s="3" t="s">
        <v>5999</v>
      </c>
      <c r="K511" s="4" t="b">
        <f>J511 = "blocking"</f>
        <v>1</v>
      </c>
      <c r="L511" s="3" t="s">
        <v>1448</v>
      </c>
      <c r="M511" s="3" t="s">
        <v>6106</v>
      </c>
      <c r="N511" s="5">
        <v>46223.1297337963</v>
      </c>
      <c r="O511" s="4" t="b">
        <f>L511 = "PASS"</f>
        <v>1</v>
      </c>
      <c r="P511" s="4" t="b">
        <f>L511 = "FAIL"</f>
        <v>0</v>
      </c>
      <c r="Q511" s="4" t="b">
        <f>AND(((P511)=TRUE), ((K511)=TRUE))</f>
        <v>0</v>
      </c>
      <c r="R511" s="4" t="str">
        <f>IF(((O511)=TRUE),  I511,  "")</f>
        <v>suite-substrate</v>
      </c>
      <c r="S511" s="4" t="str">
        <f>IF(((Q511)=TRUE),  I511,  "")</f>
      </c>
      <c r="T511" s="3" t="s">
        <v>6001</v>
      </c>
    </row>
    <row r="512">
      <c r="A512" s="3" t="s">
        <v>6547</v>
      </c>
      <c r="B512" s="4" t="str">
        <f>C512 &amp; ": " &amp; D512</f>
        <v>formula-translates: StepExecutions.PreparerAgentKey</v>
      </c>
      <c r="C512" s="3" t="s">
        <v>6104</v>
      </c>
      <c r="D512" s="3" t="s">
        <v>3630</v>
      </c>
      <c r="E512" s="3" t="s">
        <v>1827</v>
      </c>
      <c r="F512" s="3" t="s">
        <v>1374</v>
      </c>
      <c r="G512" s="3" t="s">
        <v>6105</v>
      </c>
      <c r="H512" s="3" t="s">
        <v>1979</v>
      </c>
      <c r="I512" s="3" t="s">
        <v>5986</v>
      </c>
      <c r="J512" s="3" t="s">
        <v>5999</v>
      </c>
      <c r="K512" s="4" t="b">
        <f>J512 = "blocking"</f>
        <v>1</v>
      </c>
      <c r="L512" s="3" t="s">
        <v>1448</v>
      </c>
      <c r="M512" s="3" t="s">
        <v>6106</v>
      </c>
      <c r="N512" s="5">
        <v>46223.1297337963</v>
      </c>
      <c r="O512" s="4" t="b">
        <f>L512 = "PASS"</f>
        <v>1</v>
      </c>
      <c r="P512" s="4" t="b">
        <f>L512 = "FAIL"</f>
        <v>0</v>
      </c>
      <c r="Q512" s="4" t="b">
        <f>AND(((P512)=TRUE), ((K512)=TRUE))</f>
        <v>0</v>
      </c>
      <c r="R512" s="4" t="str">
        <f>IF(((O512)=TRUE),  I512,  "")</f>
        <v>suite-substrate</v>
      </c>
      <c r="S512" s="4" t="str">
        <f>IF(((Q512)=TRUE),  I512,  "")</f>
      </c>
      <c r="T512" s="3" t="s">
        <v>6001</v>
      </c>
    </row>
    <row r="513">
      <c r="A513" s="3" t="s">
        <v>6548</v>
      </c>
      <c r="B513" s="4" t="str">
        <f>C513 &amp; ": " &amp; D513</f>
        <v>formula-translates: StepExecutions.ApproverAgentKey</v>
      </c>
      <c r="C513" s="3" t="s">
        <v>6104</v>
      </c>
      <c r="D513" s="3" t="s">
        <v>3632</v>
      </c>
      <c r="E513" s="3" t="s">
        <v>1827</v>
      </c>
      <c r="F513" s="3" t="s">
        <v>1375</v>
      </c>
      <c r="G513" s="3" t="s">
        <v>6105</v>
      </c>
      <c r="H513" s="3" t="s">
        <v>1979</v>
      </c>
      <c r="I513" s="3" t="s">
        <v>5986</v>
      </c>
      <c r="J513" s="3" t="s">
        <v>5999</v>
      </c>
      <c r="K513" s="4" t="b">
        <f>J513 = "blocking"</f>
        <v>1</v>
      </c>
      <c r="L513" s="3" t="s">
        <v>1448</v>
      </c>
      <c r="M513" s="3" t="s">
        <v>6106</v>
      </c>
      <c r="N513" s="5">
        <v>46223.1297337963</v>
      </c>
      <c r="O513" s="4" t="b">
        <f>L513 = "PASS"</f>
        <v>1</v>
      </c>
      <c r="P513" s="4" t="b">
        <f>L513 = "FAIL"</f>
        <v>0</v>
      </c>
      <c r="Q513" s="4" t="b">
        <f>AND(((P513)=TRUE), ((K513)=TRUE))</f>
        <v>0</v>
      </c>
      <c r="R513" s="4" t="str">
        <f>IF(((O513)=TRUE),  I513,  "")</f>
        <v>suite-substrate</v>
      </c>
      <c r="S513" s="4" t="str">
        <f>IF(((Q513)=TRUE),  I513,  "")</f>
      </c>
      <c r="T513" s="3" t="s">
        <v>6001</v>
      </c>
    </row>
    <row r="514">
      <c r="A514" s="3" t="s">
        <v>6549</v>
      </c>
      <c r="B514" s="4" t="str">
        <f>C514 &amp; ": " &amp; D514</f>
        <v>formula-translates: StepExecutions.PreparedByThisAgentCount</v>
      </c>
      <c r="C514" s="3" t="s">
        <v>6104</v>
      </c>
      <c r="D514" s="3" t="s">
        <v>3634</v>
      </c>
      <c r="E514" s="3" t="s">
        <v>1827</v>
      </c>
      <c r="F514" s="3" t="s">
        <v>1376</v>
      </c>
      <c r="G514" s="3" t="s">
        <v>6105</v>
      </c>
      <c r="H514" s="3" t="s">
        <v>1979</v>
      </c>
      <c r="I514" s="3" t="s">
        <v>5986</v>
      </c>
      <c r="J514" s="3" t="s">
        <v>5999</v>
      </c>
      <c r="K514" s="4" t="b">
        <f>J514 = "blocking"</f>
        <v>1</v>
      </c>
      <c r="L514" s="3" t="s">
        <v>1448</v>
      </c>
      <c r="M514" s="3" t="s">
        <v>6106</v>
      </c>
      <c r="N514" s="5">
        <v>46223.1297337963</v>
      </c>
      <c r="O514" s="4" t="b">
        <f>L514 = "PASS"</f>
        <v>1</v>
      </c>
      <c r="P514" s="4" t="b">
        <f>L514 = "FAIL"</f>
        <v>0</v>
      </c>
      <c r="Q514" s="4" t="b">
        <f>AND(((P514)=TRUE), ((K514)=TRUE))</f>
        <v>0</v>
      </c>
      <c r="R514" s="4" t="str">
        <f>IF(((O514)=TRUE),  I514,  "")</f>
        <v>suite-substrate</v>
      </c>
      <c r="S514" s="4" t="str">
        <f>IF(((Q514)=TRUE),  I514,  "")</f>
      </c>
      <c r="T514" s="3" t="s">
        <v>6001</v>
      </c>
    </row>
    <row r="515">
      <c r="A515" s="3" t="s">
        <v>6550</v>
      </c>
      <c r="B515" s="4" t="str">
        <f>C515 &amp; ": " &amp; D515</f>
        <v>formula-translates: StepExecutions.ViolatesSeparationOfDuties</v>
      </c>
      <c r="C515" s="3" t="s">
        <v>6104</v>
      </c>
      <c r="D515" s="3" t="s">
        <v>858</v>
      </c>
      <c r="E515" s="3" t="s">
        <v>1827</v>
      </c>
      <c r="F515" s="3" t="s">
        <v>1377</v>
      </c>
      <c r="G515" s="3" t="s">
        <v>6105</v>
      </c>
      <c r="H515" s="3" t="s">
        <v>1979</v>
      </c>
      <c r="I515" s="3" t="s">
        <v>5986</v>
      </c>
      <c r="J515" s="3" t="s">
        <v>5999</v>
      </c>
      <c r="K515" s="4" t="b">
        <f>J515 = "blocking"</f>
        <v>1</v>
      </c>
      <c r="L515" s="3" t="s">
        <v>1448</v>
      </c>
      <c r="M515" s="3" t="s">
        <v>6106</v>
      </c>
      <c r="N515" s="5">
        <v>46223.1297337963</v>
      </c>
      <c r="O515" s="4" t="b">
        <f>L515 = "PASS"</f>
        <v>1</v>
      </c>
      <c r="P515" s="4" t="b">
        <f>L515 = "FAIL"</f>
        <v>0</v>
      </c>
      <c r="Q515" s="4" t="b">
        <f>AND(((P515)=TRUE), ((K515)=TRUE))</f>
        <v>0</v>
      </c>
      <c r="R515" s="4" t="str">
        <f>IF(((O515)=TRUE),  I515,  "")</f>
        <v>suite-substrate</v>
      </c>
      <c r="S515" s="4" t="str">
        <f>IF(((Q515)=TRUE),  I515,  "")</f>
      </c>
      <c r="T515" s="3" t="s">
        <v>6001</v>
      </c>
    </row>
    <row r="516">
      <c r="A516" s="3" t="s">
        <v>6551</v>
      </c>
      <c r="B516" s="4" t="str">
        <f>C516 &amp; ": " &amp; D516</f>
        <v>formula-translates: StepExecutions.RequiredRoleForStep</v>
      </c>
      <c r="C516" s="3" t="s">
        <v>6104</v>
      </c>
      <c r="D516" s="3" t="s">
        <v>3637</v>
      </c>
      <c r="E516" s="3" t="s">
        <v>1827</v>
      </c>
      <c r="F516" s="3" t="s">
        <v>1378</v>
      </c>
      <c r="G516" s="3" t="s">
        <v>6105</v>
      </c>
      <c r="H516" s="3" t="s">
        <v>1983</v>
      </c>
      <c r="I516" s="3" t="s">
        <v>5986</v>
      </c>
      <c r="J516" s="3" t="s">
        <v>5999</v>
      </c>
      <c r="K516" s="4" t="b">
        <f>J516 = "blocking"</f>
        <v>1</v>
      </c>
      <c r="L516" s="3" t="s">
        <v>1448</v>
      </c>
      <c r="M516" s="3" t="s">
        <v>6106</v>
      </c>
      <c r="N516" s="5">
        <v>46223.1297337963</v>
      </c>
      <c r="O516" s="4" t="b">
        <f>L516 = "PASS"</f>
        <v>1</v>
      </c>
      <c r="P516" s="4" t="b">
        <f>L516 = "FAIL"</f>
        <v>0</v>
      </c>
      <c r="Q516" s="4" t="b">
        <f>AND(((P516)=TRUE), ((K516)=TRUE))</f>
        <v>0</v>
      </c>
      <c r="R516" s="4" t="str">
        <f>IF(((O516)=TRUE),  I516,  "")</f>
        <v>suite-substrate</v>
      </c>
      <c r="S516" s="4" t="str">
        <f>IF(((Q516)=TRUE),  I516,  "")</f>
      </c>
      <c r="T516" s="3" t="s">
        <v>6001</v>
      </c>
    </row>
    <row r="517">
      <c r="A517" s="3" t="s">
        <v>6552</v>
      </c>
      <c r="B517" s="4" t="str">
        <f>C517 &amp; ": " &amp; D517</f>
        <v>formula-translates: StepExecutions.ExecutorRoleKey</v>
      </c>
      <c r="C517" s="3" t="s">
        <v>6104</v>
      </c>
      <c r="D517" s="3" t="s">
        <v>3639</v>
      </c>
      <c r="E517" s="3" t="s">
        <v>1827</v>
      </c>
      <c r="F517" s="3" t="s">
        <v>1379</v>
      </c>
      <c r="G517" s="3" t="s">
        <v>6105</v>
      </c>
      <c r="H517" s="3" t="s">
        <v>1983</v>
      </c>
      <c r="I517" s="3" t="s">
        <v>5986</v>
      </c>
      <c r="J517" s="3" t="s">
        <v>5999</v>
      </c>
      <c r="K517" s="4" t="b">
        <f>J517 = "blocking"</f>
        <v>1</v>
      </c>
      <c r="L517" s="3" t="s">
        <v>1448</v>
      </c>
      <c r="M517" s="3" t="s">
        <v>6106</v>
      </c>
      <c r="N517" s="5">
        <v>46223.1297337963</v>
      </c>
      <c r="O517" s="4" t="b">
        <f>L517 = "PASS"</f>
        <v>1</v>
      </c>
      <c r="P517" s="4" t="b">
        <f>L517 = "FAIL"</f>
        <v>0</v>
      </c>
      <c r="Q517" s="4" t="b">
        <f>AND(((P517)=TRUE), ((K517)=TRUE))</f>
        <v>0</v>
      </c>
      <c r="R517" s="4" t="str">
        <f>IF(((O517)=TRUE),  I517,  "")</f>
        <v>suite-substrate</v>
      </c>
      <c r="S517" s="4" t="str">
        <f>IF(((Q517)=TRUE),  I517,  "")</f>
      </c>
      <c r="T517" s="3" t="s">
        <v>6001</v>
      </c>
    </row>
    <row r="518">
      <c r="A518" s="3" t="s">
        <v>6553</v>
      </c>
      <c r="B518" s="4" t="str">
        <f>C518 &amp; ": " &amp; D518</f>
        <v>formula-translates: StepExecutions.ExecutorAuthorityCount</v>
      </c>
      <c r="C518" s="3" t="s">
        <v>6104</v>
      </c>
      <c r="D518" s="3" t="s">
        <v>3641</v>
      </c>
      <c r="E518" s="3" t="s">
        <v>1827</v>
      </c>
      <c r="F518" s="3" t="s">
        <v>1380</v>
      </c>
      <c r="G518" s="3" t="s">
        <v>6105</v>
      </c>
      <c r="H518" s="3" t="s">
        <v>1983</v>
      </c>
      <c r="I518" s="3" t="s">
        <v>5986</v>
      </c>
      <c r="J518" s="3" t="s">
        <v>5999</v>
      </c>
      <c r="K518" s="4" t="b">
        <f>J518 = "blocking"</f>
        <v>1</v>
      </c>
      <c r="L518" s="3" t="s">
        <v>1448</v>
      </c>
      <c r="M518" s="3" t="s">
        <v>6106</v>
      </c>
      <c r="N518" s="5">
        <v>46223.1297337963</v>
      </c>
      <c r="O518" s="4" t="b">
        <f>L518 = "PASS"</f>
        <v>1</v>
      </c>
      <c r="P518" s="4" t="b">
        <f>L518 = "FAIL"</f>
        <v>0</v>
      </c>
      <c r="Q518" s="4" t="b">
        <f>AND(((P518)=TRUE), ((K518)=TRUE))</f>
        <v>0</v>
      </c>
      <c r="R518" s="4" t="str">
        <f>IF(((O518)=TRUE),  I518,  "")</f>
        <v>suite-substrate</v>
      </c>
      <c r="S518" s="4" t="str">
        <f>IF(((Q518)=TRUE),  I518,  "")</f>
      </c>
      <c r="T518" s="3" t="s">
        <v>6001</v>
      </c>
    </row>
    <row r="519">
      <c r="A519" s="3" t="s">
        <v>6554</v>
      </c>
      <c r="B519" s="4" t="str">
        <f>C519 &amp; ": " &amp; D519</f>
        <v>formula-translates: StepExecutions.ExecutorHeldRequiredRole</v>
      </c>
      <c r="C519" s="3" t="s">
        <v>6104</v>
      </c>
      <c r="D519" s="3" t="s">
        <v>3643</v>
      </c>
      <c r="E519" s="3" t="s">
        <v>1827</v>
      </c>
      <c r="F519" s="3" t="s">
        <v>1381</v>
      </c>
      <c r="G519" s="3" t="s">
        <v>6105</v>
      </c>
      <c r="H519" s="3" t="s">
        <v>1983</v>
      </c>
      <c r="I519" s="3" t="s">
        <v>5986</v>
      </c>
      <c r="J519" s="3" t="s">
        <v>5999</v>
      </c>
      <c r="K519" s="4" t="b">
        <f>J519 = "blocking"</f>
        <v>1</v>
      </c>
      <c r="L519" s="3" t="s">
        <v>1448</v>
      </c>
      <c r="M519" s="3" t="s">
        <v>6106</v>
      </c>
      <c r="N519" s="5">
        <v>46223.1297337963</v>
      </c>
      <c r="O519" s="4" t="b">
        <f>L519 = "PASS"</f>
        <v>1</v>
      </c>
      <c r="P519" s="4" t="b">
        <f>L519 = "FAIL"</f>
        <v>0</v>
      </c>
      <c r="Q519" s="4" t="b">
        <f>AND(((P519)=TRUE), ((K519)=TRUE))</f>
        <v>0</v>
      </c>
      <c r="R519" s="4" t="str">
        <f>IF(((O519)=TRUE),  I519,  "")</f>
        <v>suite-substrate</v>
      </c>
      <c r="S519" s="4" t="str">
        <f>IF(((Q519)=TRUE),  I519,  "")</f>
      </c>
      <c r="T519" s="3" t="s">
        <v>6001</v>
      </c>
    </row>
    <row r="520">
      <c r="A520" s="3" t="s">
        <v>6555</v>
      </c>
      <c r="B520" s="4" t="str">
        <f>C520 &amp; ": " &amp; D520</f>
        <v>formula-translates: StepExecutions.IsUnauthorizedApproval</v>
      </c>
      <c r="C520" s="3" t="s">
        <v>6104</v>
      </c>
      <c r="D520" s="3" t="s">
        <v>3645</v>
      </c>
      <c r="E520" s="3" t="s">
        <v>1827</v>
      </c>
      <c r="F520" s="3" t="s">
        <v>1382</v>
      </c>
      <c r="G520" s="3" t="s">
        <v>6105</v>
      </c>
      <c r="H520" s="3" t="s">
        <v>1983</v>
      </c>
      <c r="I520" s="3" t="s">
        <v>5986</v>
      </c>
      <c r="J520" s="3" t="s">
        <v>5999</v>
      </c>
      <c r="K520" s="4" t="b">
        <f>J520 = "blocking"</f>
        <v>1</v>
      </c>
      <c r="L520" s="3" t="s">
        <v>1448</v>
      </c>
      <c r="M520" s="3" t="s">
        <v>6106</v>
      </c>
      <c r="N520" s="5">
        <v>46223.1297337963</v>
      </c>
      <c r="O520" s="4" t="b">
        <f>L520 = "PASS"</f>
        <v>1</v>
      </c>
      <c r="P520" s="4" t="b">
        <f>L520 = "FAIL"</f>
        <v>0</v>
      </c>
      <c r="Q520" s="4" t="b">
        <f>AND(((P520)=TRUE), ((K520)=TRUE))</f>
        <v>0</v>
      </c>
      <c r="R520" s="4" t="str">
        <f>IF(((O520)=TRUE),  I520,  "")</f>
        <v>suite-substrate</v>
      </c>
      <c r="S520" s="4" t="str">
        <f>IF(((Q520)=TRUE),  I520,  "")</f>
      </c>
      <c r="T520" s="3" t="s">
        <v>6001</v>
      </c>
    </row>
    <row r="521">
      <c r="A521" s="3" t="s">
        <v>6556</v>
      </c>
      <c r="B521" s="4" t="str">
        <f>C521 &amp; ": " &amp; D521</f>
        <v>formula-translates: StepExecutions.CompletedExecutionKey</v>
      </c>
      <c r="C521" s="3" t="s">
        <v>6104</v>
      </c>
      <c r="D521" s="3" t="s">
        <v>3647</v>
      </c>
      <c r="E521" s="3" t="s">
        <v>1827</v>
      </c>
      <c r="F521" s="3" t="s">
        <v>1383</v>
      </c>
      <c r="G521" s="3" t="s">
        <v>6105</v>
      </c>
      <c r="H521" s="3" t="s">
        <v>1991</v>
      </c>
      <c r="I521" s="3" t="s">
        <v>5986</v>
      </c>
      <c r="J521" s="3" t="s">
        <v>5999</v>
      </c>
      <c r="K521" s="4" t="b">
        <f>J521 = "blocking"</f>
        <v>1</v>
      </c>
      <c r="L521" s="3" t="s">
        <v>1448</v>
      </c>
      <c r="M521" s="3" t="s">
        <v>6106</v>
      </c>
      <c r="N521" s="5">
        <v>46223.1297337963</v>
      </c>
      <c r="O521" s="4" t="b">
        <f>L521 = "PASS"</f>
        <v>1</v>
      </c>
      <c r="P521" s="4" t="b">
        <f>L521 = "FAIL"</f>
        <v>0</v>
      </c>
      <c r="Q521" s="4" t="b">
        <f>AND(((P521)=TRUE), ((K521)=TRUE))</f>
        <v>0</v>
      </c>
      <c r="R521" s="4" t="str">
        <f>IF(((O521)=TRUE),  I521,  "")</f>
        <v>suite-substrate</v>
      </c>
      <c r="S521" s="4" t="str">
        <f>IF(((Q521)=TRUE),  I521,  "")</f>
      </c>
      <c r="T521" s="3" t="s">
        <v>6001</v>
      </c>
    </row>
    <row r="522">
      <c r="A522" s="3" t="s">
        <v>6557</v>
      </c>
      <c r="B522" s="4" t="str">
        <f>C522 &amp; ": " &amp; D522</f>
        <v>formula-translates: StepExecutions.ControlBreachExecutionKey</v>
      </c>
      <c r="C522" s="3" t="s">
        <v>6104</v>
      </c>
      <c r="D522" s="3" t="s">
        <v>3649</v>
      </c>
      <c r="E522" s="3" t="s">
        <v>1827</v>
      </c>
      <c r="F522" s="3" t="s">
        <v>1384</v>
      </c>
      <c r="G522" s="3" t="s">
        <v>6105</v>
      </c>
      <c r="H522" s="3" t="s">
        <v>1991</v>
      </c>
      <c r="I522" s="3" t="s">
        <v>5986</v>
      </c>
      <c r="J522" s="3" t="s">
        <v>5999</v>
      </c>
      <c r="K522" s="4" t="b">
        <f>J522 = "blocking"</f>
        <v>1</v>
      </c>
      <c r="L522" s="3" t="s">
        <v>1448</v>
      </c>
      <c r="M522" s="3" t="s">
        <v>6106</v>
      </c>
      <c r="N522" s="5">
        <v>46223.1297337963</v>
      </c>
      <c r="O522" s="4" t="b">
        <f>L522 = "PASS"</f>
        <v>1</v>
      </c>
      <c r="P522" s="4" t="b">
        <f>L522 = "FAIL"</f>
        <v>0</v>
      </c>
      <c r="Q522" s="4" t="b">
        <f>AND(((P522)=TRUE), ((K522)=TRUE))</f>
        <v>0</v>
      </c>
      <c r="R522" s="4" t="str">
        <f>IF(((O522)=TRUE),  I522,  "")</f>
        <v>suite-substrate</v>
      </c>
      <c r="S522" s="4" t="str">
        <f>IF(((Q522)=TRUE),  I522,  "")</f>
      </c>
      <c r="T522" s="3" t="s">
        <v>6001</v>
      </c>
    </row>
    <row r="523">
      <c r="A523" s="3" t="s">
        <v>6558</v>
      </c>
      <c r="B523" s="4" t="str">
        <f>C523 &amp; ": " &amp; D523</f>
        <v>formula-translates: StepExecutions.LateExecutionKey</v>
      </c>
      <c r="C523" s="3" t="s">
        <v>6104</v>
      </c>
      <c r="D523" s="3" t="s">
        <v>3651</v>
      </c>
      <c r="E523" s="3" t="s">
        <v>1827</v>
      </c>
      <c r="F523" s="3" t="s">
        <v>1385</v>
      </c>
      <c r="G523" s="3" t="s">
        <v>6105</v>
      </c>
      <c r="H523" s="3" t="s">
        <v>1991</v>
      </c>
      <c r="I523" s="3" t="s">
        <v>5986</v>
      </c>
      <c r="J523" s="3" t="s">
        <v>5999</v>
      </c>
      <c r="K523" s="4" t="b">
        <f>J523 = "blocking"</f>
        <v>1</v>
      </c>
      <c r="L523" s="3" t="s">
        <v>1448</v>
      </c>
      <c r="M523" s="3" t="s">
        <v>6106</v>
      </c>
      <c r="N523" s="5">
        <v>46223.1297337963</v>
      </c>
      <c r="O523" s="4" t="b">
        <f>L523 = "PASS"</f>
        <v>1</v>
      </c>
      <c r="P523" s="4" t="b">
        <f>L523 = "FAIL"</f>
        <v>0</v>
      </c>
      <c r="Q523" s="4" t="b">
        <f>AND(((P523)=TRUE), ((K523)=TRUE))</f>
        <v>0</v>
      </c>
      <c r="R523" s="4" t="str">
        <f>IF(((O523)=TRUE),  I523,  "")</f>
        <v>suite-substrate</v>
      </c>
      <c r="S523" s="4" t="str">
        <f>IF(((Q523)=TRUE),  I523,  "")</f>
      </c>
      <c r="T523" s="3" t="s">
        <v>6001</v>
      </c>
    </row>
    <row r="524">
      <c r="A524" s="3" t="s">
        <v>6559</v>
      </c>
      <c r="B524" s="4" t="str">
        <f>C524 &amp; ": " &amp; D524</f>
        <v>formula-translates: StepExecutions.ExecutorAgentKind</v>
      </c>
      <c r="C524" s="3" t="s">
        <v>6104</v>
      </c>
      <c r="D524" s="3" t="s">
        <v>3653</v>
      </c>
      <c r="E524" s="3" t="s">
        <v>1827</v>
      </c>
      <c r="F524" s="3" t="s">
        <v>1386</v>
      </c>
      <c r="G524" s="3" t="s">
        <v>6105</v>
      </c>
      <c r="H524" s="3" t="s">
        <v>1995</v>
      </c>
      <c r="I524" s="3" t="s">
        <v>5986</v>
      </c>
      <c r="J524" s="3" t="s">
        <v>5999</v>
      </c>
      <c r="K524" s="4" t="b">
        <f>J524 = "blocking"</f>
        <v>1</v>
      </c>
      <c r="L524" s="3" t="s">
        <v>1448</v>
      </c>
      <c r="M524" s="3" t="s">
        <v>6106</v>
      </c>
      <c r="N524" s="5">
        <v>46223.1297337963</v>
      </c>
      <c r="O524" s="4" t="b">
        <f>L524 = "PASS"</f>
        <v>1</v>
      </c>
      <c r="P524" s="4" t="b">
        <f>L524 = "FAIL"</f>
        <v>0</v>
      </c>
      <c r="Q524" s="4" t="b">
        <f>AND(((P524)=TRUE), ((K524)=TRUE))</f>
        <v>0</v>
      </c>
      <c r="R524" s="4" t="str">
        <f>IF(((O524)=TRUE),  I524,  "")</f>
        <v>suite-substrate</v>
      </c>
      <c r="S524" s="4" t="str">
        <f>IF(((Q524)=TRUE),  I524,  "")</f>
      </c>
      <c r="T524" s="3" t="s">
        <v>6001</v>
      </c>
    </row>
    <row r="525">
      <c r="A525" s="3" t="s">
        <v>6560</v>
      </c>
      <c r="B525" s="4" t="str">
        <f>C525 &amp; ": " &amp; D525</f>
        <v>formula-translates: StepExecutions.ExecutorIsHuman</v>
      </c>
      <c r="C525" s="3" t="s">
        <v>6104</v>
      </c>
      <c r="D525" s="3" t="s">
        <v>3655</v>
      </c>
      <c r="E525" s="3" t="s">
        <v>1827</v>
      </c>
      <c r="F525" s="3" t="s">
        <v>1387</v>
      </c>
      <c r="G525" s="3" t="s">
        <v>6105</v>
      </c>
      <c r="H525" s="3" t="s">
        <v>1995</v>
      </c>
      <c r="I525" s="3" t="s">
        <v>5986</v>
      </c>
      <c r="J525" s="3" t="s">
        <v>5999</v>
      </c>
      <c r="K525" s="4" t="b">
        <f>J525 = "blocking"</f>
        <v>1</v>
      </c>
      <c r="L525" s="3" t="s">
        <v>1448</v>
      </c>
      <c r="M525" s="3" t="s">
        <v>6106</v>
      </c>
      <c r="N525" s="5">
        <v>46223.1297337963</v>
      </c>
      <c r="O525" s="4" t="b">
        <f>L525 = "PASS"</f>
        <v>1</v>
      </c>
      <c r="P525" s="4" t="b">
        <f>L525 = "FAIL"</f>
        <v>0</v>
      </c>
      <c r="Q525" s="4" t="b">
        <f>AND(((P525)=TRUE), ((K525)=TRUE))</f>
        <v>0</v>
      </c>
      <c r="R525" s="4" t="str">
        <f>IF(((O525)=TRUE),  I525,  "")</f>
        <v>suite-substrate</v>
      </c>
      <c r="S525" s="4" t="str">
        <f>IF(((Q525)=TRUE),  I525,  "")</f>
      </c>
      <c r="T525" s="3" t="s">
        <v>6001</v>
      </c>
    </row>
    <row r="526">
      <c r="A526" s="3" t="s">
        <v>6561</v>
      </c>
      <c r="B526" s="4" t="str">
        <f>C526 &amp; ": " &amp; D526</f>
        <v>formula-translates: StepExecutions.StepRequiresHumanConfirmation</v>
      </c>
      <c r="C526" s="3" t="s">
        <v>6104</v>
      </c>
      <c r="D526" s="3" t="s">
        <v>3657</v>
      </c>
      <c r="E526" s="3" t="s">
        <v>1827</v>
      </c>
      <c r="F526" s="3" t="s">
        <v>1388</v>
      </c>
      <c r="G526" s="3" t="s">
        <v>6105</v>
      </c>
      <c r="H526" s="3" t="s">
        <v>1995</v>
      </c>
      <c r="I526" s="3" t="s">
        <v>5986</v>
      </c>
      <c r="J526" s="3" t="s">
        <v>5999</v>
      </c>
      <c r="K526" s="4" t="b">
        <f>J526 = "blocking"</f>
        <v>1</v>
      </c>
      <c r="L526" s="3" t="s">
        <v>1448</v>
      </c>
      <c r="M526" s="3" t="s">
        <v>6106</v>
      </c>
      <c r="N526" s="5">
        <v>46223.1297337963</v>
      </c>
      <c r="O526" s="4" t="b">
        <f>L526 = "PASS"</f>
        <v>1</v>
      </c>
      <c r="P526" s="4" t="b">
        <f>L526 = "FAIL"</f>
        <v>0</v>
      </c>
      <c r="Q526" s="4" t="b">
        <f>AND(((P526)=TRUE), ((K526)=TRUE))</f>
        <v>0</v>
      </c>
      <c r="R526" s="4" t="str">
        <f>IF(((O526)=TRUE),  I526,  "")</f>
        <v>suite-substrate</v>
      </c>
      <c r="S526" s="4" t="str">
        <f>IF(((Q526)=TRUE),  I526,  "")</f>
      </c>
      <c r="T526" s="3" t="s">
        <v>6001</v>
      </c>
    </row>
    <row r="527">
      <c r="A527" s="3" t="s">
        <v>6562</v>
      </c>
      <c r="B527" s="4" t="str">
        <f>C527 &amp; ": " &amp; D527</f>
        <v>formula-translates: StepExecutions.NonHumanRanHumanStep</v>
      </c>
      <c r="C527" s="3" t="s">
        <v>6104</v>
      </c>
      <c r="D527" s="3" t="s">
        <v>3659</v>
      </c>
      <c r="E527" s="3" t="s">
        <v>1827</v>
      </c>
      <c r="F527" s="3" t="s">
        <v>1389</v>
      </c>
      <c r="G527" s="3" t="s">
        <v>6105</v>
      </c>
      <c r="H527" s="3" t="s">
        <v>1995</v>
      </c>
      <c r="I527" s="3" t="s">
        <v>5986</v>
      </c>
      <c r="J527" s="3" t="s">
        <v>5999</v>
      </c>
      <c r="K527" s="4" t="b">
        <f>J527 = "blocking"</f>
        <v>1</v>
      </c>
      <c r="L527" s="3" t="s">
        <v>1448</v>
      </c>
      <c r="M527" s="3" t="s">
        <v>6106</v>
      </c>
      <c r="N527" s="5">
        <v>46223.1297337963</v>
      </c>
      <c r="O527" s="4" t="b">
        <f>L527 = "PASS"</f>
        <v>1</v>
      </c>
      <c r="P527" s="4" t="b">
        <f>L527 = "FAIL"</f>
        <v>0</v>
      </c>
      <c r="Q527" s="4" t="b">
        <f>AND(((P527)=TRUE), ((K527)=TRUE))</f>
        <v>0</v>
      </c>
      <c r="R527" s="4" t="str">
        <f>IF(((O527)=TRUE),  I527,  "")</f>
        <v>suite-substrate</v>
      </c>
      <c r="S527" s="4" t="str">
        <f>IF(((Q527)=TRUE),  I527,  "")</f>
      </c>
      <c r="T527" s="3" t="s">
        <v>6001</v>
      </c>
    </row>
    <row r="528">
      <c r="A528" s="3" t="s">
        <v>6563</v>
      </c>
      <c r="B528" s="4" t="str">
        <f>C528 &amp; ": " &amp; D528</f>
        <v>formula-translates: StepExecutions.NonHumanApproval</v>
      </c>
      <c r="C528" s="3" t="s">
        <v>6104</v>
      </c>
      <c r="D528" s="3" t="s">
        <v>3661</v>
      </c>
      <c r="E528" s="3" t="s">
        <v>1827</v>
      </c>
      <c r="F528" s="3" t="s">
        <v>1390</v>
      </c>
      <c r="G528" s="3" t="s">
        <v>6105</v>
      </c>
      <c r="H528" s="3" t="s">
        <v>1995</v>
      </c>
      <c r="I528" s="3" t="s">
        <v>5986</v>
      </c>
      <c r="J528" s="3" t="s">
        <v>5999</v>
      </c>
      <c r="K528" s="4" t="b">
        <f>J528 = "blocking"</f>
        <v>1</v>
      </c>
      <c r="L528" s="3" t="s">
        <v>1448</v>
      </c>
      <c r="M528" s="3" t="s">
        <v>6106</v>
      </c>
      <c r="N528" s="5">
        <v>46223.1297337963</v>
      </c>
      <c r="O528" s="4" t="b">
        <f>L528 = "PASS"</f>
        <v>1</v>
      </c>
      <c r="P528" s="4" t="b">
        <f>L528 = "FAIL"</f>
        <v>0</v>
      </c>
      <c r="Q528" s="4" t="b">
        <f>AND(((P528)=TRUE), ((K528)=TRUE))</f>
        <v>0</v>
      </c>
      <c r="R528" s="4" t="str">
        <f>IF(((O528)=TRUE),  I528,  "")</f>
        <v>suite-substrate</v>
      </c>
      <c r="S528" s="4" t="str">
        <f>IF(((Q528)=TRUE),  I528,  "")</f>
      </c>
      <c r="T528" s="3" t="s">
        <v>6001</v>
      </c>
    </row>
    <row r="529">
      <c r="A529" s="3" t="s">
        <v>6564</v>
      </c>
      <c r="B529" s="4" t="str">
        <f>C529 &amp; ": " &amp; D529</f>
        <v>formula-translates: StepExecutions.UnevaluatedBlockingExecutionKey</v>
      </c>
      <c r="C529" s="3" t="s">
        <v>6104</v>
      </c>
      <c r="D529" s="3" t="s">
        <v>3663</v>
      </c>
      <c r="E529" s="3" t="s">
        <v>1827</v>
      </c>
      <c r="F529" s="3" t="s">
        <v>1391</v>
      </c>
      <c r="G529" s="3" t="s">
        <v>6105</v>
      </c>
      <c r="H529" s="3" t="s">
        <v>1999</v>
      </c>
      <c r="I529" s="3" t="s">
        <v>5986</v>
      </c>
      <c r="J529" s="3" t="s">
        <v>5999</v>
      </c>
      <c r="K529" s="4" t="b">
        <f>J529 = "blocking"</f>
        <v>1</v>
      </c>
      <c r="L529" s="3" t="s">
        <v>1448</v>
      </c>
      <c r="M529" s="3" t="s">
        <v>6106</v>
      </c>
      <c r="N529" s="5">
        <v>46223.1297337963</v>
      </c>
      <c r="O529" s="4" t="b">
        <f>L529 = "PASS"</f>
        <v>1</v>
      </c>
      <c r="P529" s="4" t="b">
        <f>L529 = "FAIL"</f>
        <v>0</v>
      </c>
      <c r="Q529" s="4" t="b">
        <f>AND(((P529)=TRUE), ((K529)=TRUE))</f>
        <v>0</v>
      </c>
      <c r="R529" s="4" t="str">
        <f>IF(((O529)=TRUE),  I529,  "")</f>
        <v>suite-substrate</v>
      </c>
      <c r="S529" s="4" t="str">
        <f>IF(((Q529)=TRUE),  I529,  "")</f>
      </c>
      <c r="T529" s="3" t="s">
        <v>6001</v>
      </c>
    </row>
    <row r="530">
      <c r="A530" s="3" t="s">
        <v>6565</v>
      </c>
      <c r="B530" s="4" t="str">
        <f>C530 &amp; ": " &amp; D530</f>
        <v>formula-translates: StepExecutions.SeparationViolationExecutionKey</v>
      </c>
      <c r="C530" s="3" t="s">
        <v>6104</v>
      </c>
      <c r="D530" s="3" t="s">
        <v>3665</v>
      </c>
      <c r="E530" s="3" t="s">
        <v>1827</v>
      </c>
      <c r="F530" s="3" t="s">
        <v>1392</v>
      </c>
      <c r="G530" s="3" t="s">
        <v>6105</v>
      </c>
      <c r="H530" s="3" t="s">
        <v>1999</v>
      </c>
      <c r="I530" s="3" t="s">
        <v>5986</v>
      </c>
      <c r="J530" s="3" t="s">
        <v>5999</v>
      </c>
      <c r="K530" s="4" t="b">
        <f>J530 = "blocking"</f>
        <v>1</v>
      </c>
      <c r="L530" s="3" t="s">
        <v>1448</v>
      </c>
      <c r="M530" s="3" t="s">
        <v>6106</v>
      </c>
      <c r="N530" s="5">
        <v>46223.1297337963</v>
      </c>
      <c r="O530" s="4" t="b">
        <f>L530 = "PASS"</f>
        <v>1</v>
      </c>
      <c r="P530" s="4" t="b">
        <f>L530 = "FAIL"</f>
        <v>0</v>
      </c>
      <c r="Q530" s="4" t="b">
        <f>AND(((P530)=TRUE), ((K530)=TRUE))</f>
        <v>0</v>
      </c>
      <c r="R530" s="4" t="str">
        <f>IF(((O530)=TRUE),  I530,  "")</f>
        <v>suite-substrate</v>
      </c>
      <c r="S530" s="4" t="str">
        <f>IF(((Q530)=TRUE),  I530,  "")</f>
      </c>
      <c r="T530" s="3" t="s">
        <v>6001</v>
      </c>
    </row>
    <row r="531">
      <c r="A531" s="3" t="s">
        <v>6566</v>
      </c>
      <c r="B531" s="4" t="str">
        <f>C531 &amp; ": " &amp; D531</f>
        <v>formula-translates: StepExecutions.SelfWitnessedVerificationCount</v>
      </c>
      <c r="C531" s="3" t="s">
        <v>6104</v>
      </c>
      <c r="D531" s="3" t="s">
        <v>3667</v>
      </c>
      <c r="E531" s="3" t="s">
        <v>1827</v>
      </c>
      <c r="F531" s="3" t="s">
        <v>1393</v>
      </c>
      <c r="G531" s="3" t="s">
        <v>6105</v>
      </c>
      <c r="H531" s="3" t="s">
        <v>2007</v>
      </c>
      <c r="I531" s="3" t="s">
        <v>5986</v>
      </c>
      <c r="J531" s="3" t="s">
        <v>5999</v>
      </c>
      <c r="K531" s="4" t="b">
        <f>J531 = "blocking"</f>
        <v>1</v>
      </c>
      <c r="L531" s="3" t="s">
        <v>1448</v>
      </c>
      <c r="M531" s="3" t="s">
        <v>6106</v>
      </c>
      <c r="N531" s="5">
        <v>46223.1297337963</v>
      </c>
      <c r="O531" s="4" t="b">
        <f>L531 = "PASS"</f>
        <v>1</v>
      </c>
      <c r="P531" s="4" t="b">
        <f>L531 = "FAIL"</f>
        <v>0</v>
      </c>
      <c r="Q531" s="4" t="b">
        <f>AND(((P531)=TRUE), ((K531)=TRUE))</f>
        <v>0</v>
      </c>
      <c r="R531" s="4" t="str">
        <f>IF(((O531)=TRUE),  I531,  "")</f>
        <v>suite-substrate</v>
      </c>
      <c r="S531" s="4" t="str">
        <f>IF(((Q531)=TRUE),  I531,  "")</f>
      </c>
      <c r="T531" s="3" t="s">
        <v>6001</v>
      </c>
    </row>
    <row r="532">
      <c r="A532" s="3" t="s">
        <v>6567</v>
      </c>
      <c r="B532" s="4" t="str">
        <f>C532 &amp; ": " &amp; D532</f>
        <v>formula-translates: StepExecutions.UnbackedVerificationCount</v>
      </c>
      <c r="C532" s="3" t="s">
        <v>6104</v>
      </c>
      <c r="D532" s="3" t="s">
        <v>3669</v>
      </c>
      <c r="E532" s="3" t="s">
        <v>1827</v>
      </c>
      <c r="F532" s="3" t="s">
        <v>1394</v>
      </c>
      <c r="G532" s="3" t="s">
        <v>6105</v>
      </c>
      <c r="H532" s="3" t="s">
        <v>2007</v>
      </c>
      <c r="I532" s="3" t="s">
        <v>5986</v>
      </c>
      <c r="J532" s="3" t="s">
        <v>5999</v>
      </c>
      <c r="K532" s="4" t="b">
        <f>J532 = "blocking"</f>
        <v>1</v>
      </c>
      <c r="L532" s="3" t="s">
        <v>1448</v>
      </c>
      <c r="M532" s="3" t="s">
        <v>6106</v>
      </c>
      <c r="N532" s="5">
        <v>46223.1297337963</v>
      </c>
      <c r="O532" s="4" t="b">
        <f>L532 = "PASS"</f>
        <v>1</v>
      </c>
      <c r="P532" s="4" t="b">
        <f>L532 = "FAIL"</f>
        <v>0</v>
      </c>
      <c r="Q532" s="4" t="b">
        <f>AND(((P532)=TRUE), ((K532)=TRUE))</f>
        <v>0</v>
      </c>
      <c r="R532" s="4" t="str">
        <f>IF(((O532)=TRUE),  I532,  "")</f>
        <v>suite-substrate</v>
      </c>
      <c r="S532" s="4" t="str">
        <f>IF(((Q532)=TRUE),  I532,  "")</f>
      </c>
      <c r="T532" s="3" t="s">
        <v>6001</v>
      </c>
    </row>
    <row r="533">
      <c r="A533" s="3" t="s">
        <v>6568</v>
      </c>
      <c r="B533" s="4" t="str">
        <f>C533 &amp; ": " &amp; D533</f>
        <v>formula-translates: StepExecutions.ApprovalRestsOnSelfAttestation</v>
      </c>
      <c r="C533" s="3" t="s">
        <v>6104</v>
      </c>
      <c r="D533" s="3" t="s">
        <v>3671</v>
      </c>
      <c r="E533" s="3" t="s">
        <v>1827</v>
      </c>
      <c r="F533" s="3" t="s">
        <v>1395</v>
      </c>
      <c r="G533" s="3" t="s">
        <v>6105</v>
      </c>
      <c r="H533" s="3" t="s">
        <v>2007</v>
      </c>
      <c r="I533" s="3" t="s">
        <v>5986</v>
      </c>
      <c r="J533" s="3" t="s">
        <v>5999</v>
      </c>
      <c r="K533" s="4" t="b">
        <f>J533 = "blocking"</f>
        <v>1</v>
      </c>
      <c r="L533" s="3" t="s">
        <v>1448</v>
      </c>
      <c r="M533" s="3" t="s">
        <v>6106</v>
      </c>
      <c r="N533" s="5">
        <v>46223.1297337963</v>
      </c>
      <c r="O533" s="4" t="b">
        <f>L533 = "PASS"</f>
        <v>1</v>
      </c>
      <c r="P533" s="4" t="b">
        <f>L533 = "FAIL"</f>
        <v>0</v>
      </c>
      <c r="Q533" s="4" t="b">
        <f>AND(((P533)=TRUE), ((K533)=TRUE))</f>
        <v>0</v>
      </c>
      <c r="R533" s="4" t="str">
        <f>IF(((O533)=TRUE),  I533,  "")</f>
        <v>suite-substrate</v>
      </c>
      <c r="S533" s="4" t="str">
        <f>IF(((Q533)=TRUE),  I533,  "")</f>
      </c>
      <c r="T533" s="3" t="s">
        <v>6001</v>
      </c>
    </row>
    <row r="534">
      <c r="A534" s="3" t="s">
        <v>6569</v>
      </c>
      <c r="B534" s="4" t="str">
        <f>C534 &amp; ": " &amp; D534</f>
        <v>formula-translates: StepExecutions.ExceptionInvocationCount</v>
      </c>
      <c r="C534" s="3" t="s">
        <v>6104</v>
      </c>
      <c r="D534" s="3" t="s">
        <v>3673</v>
      </c>
      <c r="E534" s="3" t="s">
        <v>1827</v>
      </c>
      <c r="F534" s="3" t="s">
        <v>1396</v>
      </c>
      <c r="G534" s="3" t="s">
        <v>6105</v>
      </c>
      <c r="H534" s="3" t="s">
        <v>2011</v>
      </c>
      <c r="I534" s="3" t="s">
        <v>5986</v>
      </c>
      <c r="J534" s="3" t="s">
        <v>5999</v>
      </c>
      <c r="K534" s="4" t="b">
        <f>J534 = "blocking"</f>
        <v>1</v>
      </c>
      <c r="L534" s="3" t="s">
        <v>1448</v>
      </c>
      <c r="M534" s="3" t="s">
        <v>6106</v>
      </c>
      <c r="N534" s="5">
        <v>46223.1297337963</v>
      </c>
      <c r="O534" s="4" t="b">
        <f>L534 = "PASS"</f>
        <v>1</v>
      </c>
      <c r="P534" s="4" t="b">
        <f>L534 = "FAIL"</f>
        <v>0</v>
      </c>
      <c r="Q534" s="4" t="b">
        <f>AND(((P534)=TRUE), ((K534)=TRUE))</f>
        <v>0</v>
      </c>
      <c r="R534" s="4" t="str">
        <f>IF(((O534)=TRUE),  I534,  "")</f>
        <v>suite-substrate</v>
      </c>
      <c r="S534" s="4" t="str">
        <f>IF(((Q534)=TRUE),  I534,  "")</f>
      </c>
      <c r="T534" s="3" t="s">
        <v>6001</v>
      </c>
    </row>
    <row r="535">
      <c r="A535" s="3" t="s">
        <v>6570</v>
      </c>
      <c r="B535" s="4" t="str">
        <f>C535 &amp; ": " &amp; D535</f>
        <v>formula-translates: StepExecutions.RanUnderException</v>
      </c>
      <c r="C535" s="3" t="s">
        <v>6104</v>
      </c>
      <c r="D535" s="3" t="s">
        <v>3675</v>
      </c>
      <c r="E535" s="3" t="s">
        <v>1827</v>
      </c>
      <c r="F535" s="3" t="s">
        <v>1397</v>
      </c>
      <c r="G535" s="3" t="s">
        <v>6105</v>
      </c>
      <c r="H535" s="3" t="s">
        <v>2011</v>
      </c>
      <c r="I535" s="3" t="s">
        <v>5986</v>
      </c>
      <c r="J535" s="3" t="s">
        <v>5999</v>
      </c>
      <c r="K535" s="4" t="b">
        <f>J535 = "blocking"</f>
        <v>1</v>
      </c>
      <c r="L535" s="3" t="s">
        <v>1448</v>
      </c>
      <c r="M535" s="3" t="s">
        <v>6106</v>
      </c>
      <c r="N535" s="5">
        <v>46223.1297337963</v>
      </c>
      <c r="O535" s="4" t="b">
        <f>L535 = "PASS"</f>
        <v>1</v>
      </c>
      <c r="P535" s="4" t="b">
        <f>L535 = "FAIL"</f>
        <v>0</v>
      </c>
      <c r="Q535" s="4" t="b">
        <f>AND(((P535)=TRUE), ((K535)=TRUE))</f>
        <v>0</v>
      </c>
      <c r="R535" s="4" t="str">
        <f>IF(((O535)=TRUE),  I535,  "")</f>
        <v>suite-substrate</v>
      </c>
      <c r="S535" s="4" t="str">
        <f>IF(((Q535)=TRUE),  I535,  "")</f>
      </c>
      <c r="T535" s="3" t="s">
        <v>6001</v>
      </c>
    </row>
    <row r="536">
      <c r="A536" s="3" t="s">
        <v>6571</v>
      </c>
      <c r="B536" s="4" t="str">
        <f>C536 &amp; ": " &amp; D536</f>
        <v>formula-translates: StepExecutions.IsCompleted</v>
      </c>
      <c r="C536" s="3" t="s">
        <v>6104</v>
      </c>
      <c r="D536" s="3" t="s">
        <v>3677</v>
      </c>
      <c r="E536" s="3" t="s">
        <v>1827</v>
      </c>
      <c r="F536" s="3" t="s">
        <v>1398</v>
      </c>
      <c r="G536" s="3" t="s">
        <v>6105</v>
      </c>
      <c r="H536" s="3" t="s">
        <v>2027</v>
      </c>
      <c r="I536" s="3" t="s">
        <v>5986</v>
      </c>
      <c r="J536" s="3" t="s">
        <v>5999</v>
      </c>
      <c r="K536" s="4" t="b">
        <f>J536 = "blocking"</f>
        <v>1</v>
      </c>
      <c r="L536" s="3" t="s">
        <v>1448</v>
      </c>
      <c r="M536" s="3" t="s">
        <v>6106</v>
      </c>
      <c r="N536" s="5">
        <v>46223.1297337963</v>
      </c>
      <c r="O536" s="4" t="b">
        <f>L536 = "PASS"</f>
        <v>1</v>
      </c>
      <c r="P536" s="4" t="b">
        <f>L536 = "FAIL"</f>
        <v>0</v>
      </c>
      <c r="Q536" s="4" t="b">
        <f>AND(((P536)=TRUE), ((K536)=TRUE))</f>
        <v>0</v>
      </c>
      <c r="R536" s="4" t="str">
        <f>IF(((O536)=TRUE),  I536,  "")</f>
        <v>suite-substrate</v>
      </c>
      <c r="S536" s="4" t="str">
        <f>IF(((Q536)=TRUE),  I536,  "")</f>
      </c>
      <c r="T536" s="3" t="s">
        <v>6001</v>
      </c>
    </row>
    <row r="537">
      <c r="A537" s="3" t="s">
        <v>6572</v>
      </c>
      <c r="B537" s="4" t="str">
        <f>C537 &amp; ": " &amp; D537</f>
        <v>formula-translates: StepExecutions.IsVerificationPassed</v>
      </c>
      <c r="C537" s="3" t="s">
        <v>6104</v>
      </c>
      <c r="D537" s="3" t="s">
        <v>3679</v>
      </c>
      <c r="E537" s="3" t="s">
        <v>1827</v>
      </c>
      <c r="F537" s="3" t="s">
        <v>1399</v>
      </c>
      <c r="G537" s="3" t="s">
        <v>6105</v>
      </c>
      <c r="H537" s="3" t="s">
        <v>2075</v>
      </c>
      <c r="I537" s="3" t="s">
        <v>5986</v>
      </c>
      <c r="J537" s="3" t="s">
        <v>5999</v>
      </c>
      <c r="K537" s="4" t="b">
        <f>J537 = "blocking"</f>
        <v>1</v>
      </c>
      <c r="L537" s="3" t="s">
        <v>1448</v>
      </c>
      <c r="M537" s="3" t="s">
        <v>6106</v>
      </c>
      <c r="N537" s="5">
        <v>46223.1297337963</v>
      </c>
      <c r="O537" s="4" t="b">
        <f>L537 = "PASS"</f>
        <v>1</v>
      </c>
      <c r="P537" s="4" t="b">
        <f>L537 = "FAIL"</f>
        <v>0</v>
      </c>
      <c r="Q537" s="4" t="b">
        <f>AND(((P537)=TRUE), ((K537)=TRUE))</f>
        <v>0</v>
      </c>
      <c r="R537" s="4" t="str">
        <f>IF(((O537)=TRUE),  I537,  "")</f>
        <v>suite-substrate</v>
      </c>
      <c r="S537" s="4" t="str">
        <f>IF(((Q537)=TRUE),  I537,  "")</f>
      </c>
      <c r="T537" s="3" t="s">
        <v>6001</v>
      </c>
    </row>
    <row r="538">
      <c r="A538" s="3" t="s">
        <v>6573</v>
      </c>
      <c r="B538" s="4" t="str">
        <f>C538 &amp; ": " &amp; D538</f>
        <v>formula-translates: StepExecutions.IsLegalReviewStep</v>
      </c>
      <c r="C538" s="3" t="s">
        <v>6104</v>
      </c>
      <c r="D538" s="3" t="s">
        <v>3681</v>
      </c>
      <c r="E538" s="3" t="s">
        <v>1827</v>
      </c>
      <c r="F538" s="3" t="s">
        <v>1400</v>
      </c>
      <c r="G538" s="3" t="s">
        <v>6105</v>
      </c>
      <c r="H538" s="3" t="s">
        <v>2075</v>
      </c>
      <c r="I538" s="3" t="s">
        <v>5986</v>
      </c>
      <c r="J538" s="3" t="s">
        <v>5999</v>
      </c>
      <c r="K538" s="4" t="b">
        <f>J538 = "blocking"</f>
        <v>1</v>
      </c>
      <c r="L538" s="3" t="s">
        <v>1448</v>
      </c>
      <c r="M538" s="3" t="s">
        <v>6106</v>
      </c>
      <c r="N538" s="5">
        <v>46223.1297337963</v>
      </c>
      <c r="O538" s="4" t="b">
        <f>L538 = "PASS"</f>
        <v>1</v>
      </c>
      <c r="P538" s="4" t="b">
        <f>L538 = "FAIL"</f>
        <v>0</v>
      </c>
      <c r="Q538" s="4" t="b">
        <f>AND(((P538)=TRUE), ((K538)=TRUE))</f>
        <v>0</v>
      </c>
      <c r="R538" s="4" t="str">
        <f>IF(((O538)=TRUE),  I538,  "")</f>
        <v>suite-substrate</v>
      </c>
      <c r="S538" s="4" t="str">
        <f>IF(((Q538)=TRUE),  I538,  "")</f>
      </c>
      <c r="T538" s="3" t="s">
        <v>6001</v>
      </c>
    </row>
    <row r="539">
      <c r="A539" s="3" t="s">
        <v>6574</v>
      </c>
      <c r="B539" s="4" t="str">
        <f>C539 &amp; ": " &amp; D539</f>
        <v>formula-translates: StepExecutions.ClearedLegalReviewKey</v>
      </c>
      <c r="C539" s="3" t="s">
        <v>6104</v>
      </c>
      <c r="D539" s="3" t="s">
        <v>3683</v>
      </c>
      <c r="E539" s="3" t="s">
        <v>1827</v>
      </c>
      <c r="F539" s="3" t="s">
        <v>1401</v>
      </c>
      <c r="G539" s="3" t="s">
        <v>6105</v>
      </c>
      <c r="H539" s="3" t="s">
        <v>2075</v>
      </c>
      <c r="I539" s="3" t="s">
        <v>5986</v>
      </c>
      <c r="J539" s="3" t="s">
        <v>5999</v>
      </c>
      <c r="K539" s="4" t="b">
        <f>J539 = "blocking"</f>
        <v>1</v>
      </c>
      <c r="L539" s="3" t="s">
        <v>1448</v>
      </c>
      <c r="M539" s="3" t="s">
        <v>6106</v>
      </c>
      <c r="N539" s="5">
        <v>46223.1297337963</v>
      </c>
      <c r="O539" s="4" t="b">
        <f>L539 = "PASS"</f>
        <v>1</v>
      </c>
      <c r="P539" s="4" t="b">
        <f>L539 = "FAIL"</f>
        <v>0</v>
      </c>
      <c r="Q539" s="4" t="b">
        <f>AND(((P539)=TRUE), ((K539)=TRUE))</f>
        <v>0</v>
      </c>
      <c r="R539" s="4" t="str">
        <f>IF(((O539)=TRUE),  I539,  "")</f>
        <v>suite-substrate</v>
      </c>
      <c r="S539" s="4" t="str">
        <f>IF(((Q539)=TRUE),  I539,  "")</f>
      </c>
      <c r="T539" s="3" t="s">
        <v>6001</v>
      </c>
    </row>
    <row r="540">
      <c r="A540" s="3" t="s">
        <v>6575</v>
      </c>
      <c r="B540" s="4" t="str">
        <f>C540 &amp; ": " &amp; D540</f>
        <v>formula-translates: StepExecutions.AssignedRole</v>
      </c>
      <c r="C540" s="3" t="s">
        <v>6104</v>
      </c>
      <c r="D540" s="3" t="s">
        <v>3685</v>
      </c>
      <c r="E540" s="3" t="s">
        <v>1827</v>
      </c>
      <c r="F540" s="3" t="s">
        <v>501</v>
      </c>
      <c r="G540" s="3" t="s">
        <v>6105</v>
      </c>
      <c r="H540" s="3" t="s">
        <v>2119</v>
      </c>
      <c r="I540" s="3" t="s">
        <v>5986</v>
      </c>
      <c r="J540" s="3" t="s">
        <v>5999</v>
      </c>
      <c r="K540" s="4" t="b">
        <f>J540 = "blocking"</f>
        <v>1</v>
      </c>
      <c r="L540" s="3" t="s">
        <v>1448</v>
      </c>
      <c r="M540" s="3" t="s">
        <v>6106</v>
      </c>
      <c r="N540" s="5">
        <v>46223.1297337963</v>
      </c>
      <c r="O540" s="4" t="b">
        <f>L540 = "PASS"</f>
        <v>1</v>
      </c>
      <c r="P540" s="4" t="b">
        <f>L540 = "FAIL"</f>
        <v>0</v>
      </c>
      <c r="Q540" s="4" t="b">
        <f>AND(((P540)=TRUE), ((K540)=TRUE))</f>
        <v>0</v>
      </c>
      <c r="R540" s="4" t="str">
        <f>IF(((O540)=TRUE),  I540,  "")</f>
        <v>suite-substrate</v>
      </c>
      <c r="S540" s="4" t="str">
        <f>IF(((Q540)=TRUE),  I540,  "")</f>
      </c>
      <c r="T540" s="3" t="s">
        <v>6001</v>
      </c>
    </row>
    <row r="541">
      <c r="A541" s="3" t="s">
        <v>6576</v>
      </c>
      <c r="B541" s="4" t="str">
        <f>C541 &amp; ": " &amp; D541</f>
        <v>formula-translates: StepExecutions.RoleCurrentAgent</v>
      </c>
      <c r="C541" s="3" t="s">
        <v>6104</v>
      </c>
      <c r="D541" s="3" t="s">
        <v>3686</v>
      </c>
      <c r="E541" s="3" t="s">
        <v>1827</v>
      </c>
      <c r="F541" s="3" t="s">
        <v>1402</v>
      </c>
      <c r="G541" s="3" t="s">
        <v>6105</v>
      </c>
      <c r="H541" s="3" t="s">
        <v>2119</v>
      </c>
      <c r="I541" s="3" t="s">
        <v>5986</v>
      </c>
      <c r="J541" s="3" t="s">
        <v>5999</v>
      </c>
      <c r="K541" s="4" t="b">
        <f>J541 = "blocking"</f>
        <v>1</v>
      </c>
      <c r="L541" s="3" t="s">
        <v>1448</v>
      </c>
      <c r="M541" s="3" t="s">
        <v>6106</v>
      </c>
      <c r="N541" s="5">
        <v>46223.1297337963</v>
      </c>
      <c r="O541" s="4" t="b">
        <f>L541 = "PASS"</f>
        <v>1</v>
      </c>
      <c r="P541" s="4" t="b">
        <f>L541 = "FAIL"</f>
        <v>0</v>
      </c>
      <c r="Q541" s="4" t="b">
        <f>AND(((P541)=TRUE), ((K541)=TRUE))</f>
        <v>0</v>
      </c>
      <c r="R541" s="4" t="str">
        <f>IF(((O541)=TRUE),  I541,  "")</f>
        <v>suite-substrate</v>
      </c>
      <c r="S541" s="4" t="str">
        <f>IF(((Q541)=TRUE),  I541,  "")</f>
      </c>
      <c r="T541" s="3" t="s">
        <v>6001</v>
      </c>
    </row>
    <row r="542">
      <c r="A542" s="3" t="s">
        <v>6577</v>
      </c>
      <c r="B542" s="4" t="str">
        <f>C542 &amp; ": " &amp; D542</f>
        <v>formula-translates: StepExecutions.ExecutorIsDesignatedAgent</v>
      </c>
      <c r="C542" s="3" t="s">
        <v>6104</v>
      </c>
      <c r="D542" s="3" t="s">
        <v>3688</v>
      </c>
      <c r="E542" s="3" t="s">
        <v>1827</v>
      </c>
      <c r="F542" s="3" t="s">
        <v>1403</v>
      </c>
      <c r="G542" s="3" t="s">
        <v>6105</v>
      </c>
      <c r="H542" s="3" t="s">
        <v>2119</v>
      </c>
      <c r="I542" s="3" t="s">
        <v>5986</v>
      </c>
      <c r="J542" s="3" t="s">
        <v>5999</v>
      </c>
      <c r="K542" s="4" t="b">
        <f>J542 = "blocking"</f>
        <v>1</v>
      </c>
      <c r="L542" s="3" t="s">
        <v>1448</v>
      </c>
      <c r="M542" s="3" t="s">
        <v>6106</v>
      </c>
      <c r="N542" s="5">
        <v>46223.1297337963</v>
      </c>
      <c r="O542" s="4" t="b">
        <f>L542 = "PASS"</f>
        <v>1</v>
      </c>
      <c r="P542" s="4" t="b">
        <f>L542 = "FAIL"</f>
        <v>0</v>
      </c>
      <c r="Q542" s="4" t="b">
        <f>AND(((P542)=TRUE), ((K542)=TRUE))</f>
        <v>0</v>
      </c>
      <c r="R542" s="4" t="str">
        <f>IF(((O542)=TRUE),  I542,  "")</f>
        <v>suite-substrate</v>
      </c>
      <c r="S542" s="4" t="str">
        <f>IF(((Q542)=TRUE),  I542,  "")</f>
      </c>
      <c r="T542" s="3" t="s">
        <v>6001</v>
      </c>
    </row>
    <row r="543">
      <c r="A543" s="3" t="s">
        <v>6578</v>
      </c>
      <c r="B543" s="4" t="str">
        <f>C543 &amp; ": " &amp; D543</f>
        <v>formula-translates: StepExecutions.InputsWereFreshAtRun</v>
      </c>
      <c r="C543" s="3" t="s">
        <v>6104</v>
      </c>
      <c r="D543" s="3" t="s">
        <v>3690</v>
      </c>
      <c r="E543" s="3" t="s">
        <v>1827</v>
      </c>
      <c r="F543" s="3" t="s">
        <v>1404</v>
      </c>
      <c r="G543" s="3" t="s">
        <v>6105</v>
      </c>
      <c r="H543" s="3" t="s">
        <v>2123</v>
      </c>
      <c r="I543" s="3" t="s">
        <v>5986</v>
      </c>
      <c r="J543" s="3" t="s">
        <v>5999</v>
      </c>
      <c r="K543" s="4" t="b">
        <f>J543 = "blocking"</f>
        <v>1</v>
      </c>
      <c r="L543" s="3" t="s">
        <v>1448</v>
      </c>
      <c r="M543" s="3" t="s">
        <v>6106</v>
      </c>
      <c r="N543" s="5">
        <v>46223.1297337963</v>
      </c>
      <c r="O543" s="4" t="b">
        <f>L543 = "PASS"</f>
        <v>1</v>
      </c>
      <c r="P543" s="4" t="b">
        <f>L543 = "FAIL"</f>
        <v>0</v>
      </c>
      <c r="Q543" s="4" t="b">
        <f>AND(((P543)=TRUE), ((K543)=TRUE))</f>
        <v>0</v>
      </c>
      <c r="R543" s="4" t="str">
        <f>IF(((O543)=TRUE),  I543,  "")</f>
        <v>suite-substrate</v>
      </c>
      <c r="S543" s="4" t="str">
        <f>IF(((Q543)=TRUE),  I543,  "")</f>
      </c>
      <c r="T543" s="3" t="s">
        <v>6001</v>
      </c>
    </row>
    <row r="544">
      <c r="A544" s="3" t="s">
        <v>6579</v>
      </c>
      <c r="B544" s="4" t="str">
        <f>C544 &amp; ": " &amp; D544</f>
        <v>formula-translates: StepExecutions.RanOnStaleInputs</v>
      </c>
      <c r="C544" s="3" t="s">
        <v>6104</v>
      </c>
      <c r="D544" s="3" t="s">
        <v>3692</v>
      </c>
      <c r="E544" s="3" t="s">
        <v>1827</v>
      </c>
      <c r="F544" s="3" t="s">
        <v>1405</v>
      </c>
      <c r="G544" s="3" t="s">
        <v>6105</v>
      </c>
      <c r="H544" s="3" t="s">
        <v>2123</v>
      </c>
      <c r="I544" s="3" t="s">
        <v>5986</v>
      </c>
      <c r="J544" s="3" t="s">
        <v>5999</v>
      </c>
      <c r="K544" s="4" t="b">
        <f>J544 = "blocking"</f>
        <v>1</v>
      </c>
      <c r="L544" s="3" t="s">
        <v>1448</v>
      </c>
      <c r="M544" s="3" t="s">
        <v>6106</v>
      </c>
      <c r="N544" s="5">
        <v>46223.1297337963</v>
      </c>
      <c r="O544" s="4" t="b">
        <f>L544 = "PASS"</f>
        <v>1</v>
      </c>
      <c r="P544" s="4" t="b">
        <f>L544 = "FAIL"</f>
        <v>0</v>
      </c>
      <c r="Q544" s="4" t="b">
        <f>AND(((P544)=TRUE), ((K544)=TRUE))</f>
        <v>0</v>
      </c>
      <c r="R544" s="4" t="str">
        <f>IF(((O544)=TRUE),  I544,  "")</f>
        <v>suite-substrate</v>
      </c>
      <c r="S544" s="4" t="str">
        <f>IF(((Q544)=TRUE),  I544,  "")</f>
      </c>
      <c r="T544" s="3" t="s">
        <v>6001</v>
      </c>
    </row>
    <row r="545">
      <c r="A545" s="3" t="s">
        <v>6580</v>
      </c>
      <c r="B545" s="4" t="str">
        <f>C545 &amp; ": " &amp; D545</f>
        <v>formula-translates: StepExecutions.UnresolvedIssueCount</v>
      </c>
      <c r="C545" s="3" t="s">
        <v>6104</v>
      </c>
      <c r="D545" s="3" t="s">
        <v>3694</v>
      </c>
      <c r="E545" s="3" t="s">
        <v>1827</v>
      </c>
      <c r="F545" s="3" t="s">
        <v>1406</v>
      </c>
      <c r="G545" s="3" t="s">
        <v>6105</v>
      </c>
      <c r="H545" s="3" t="s">
        <v>2127</v>
      </c>
      <c r="I545" s="3" t="s">
        <v>5986</v>
      </c>
      <c r="J545" s="3" t="s">
        <v>5999</v>
      </c>
      <c r="K545" s="4" t="b">
        <f>J545 = "blocking"</f>
        <v>1</v>
      </c>
      <c r="L545" s="3" t="s">
        <v>1448</v>
      </c>
      <c r="M545" s="3" t="s">
        <v>6106</v>
      </c>
      <c r="N545" s="5">
        <v>46223.1297337963</v>
      </c>
      <c r="O545" s="4" t="b">
        <f>L545 = "PASS"</f>
        <v>1</v>
      </c>
      <c r="P545" s="4" t="b">
        <f>L545 = "FAIL"</f>
        <v>0</v>
      </c>
      <c r="Q545" s="4" t="b">
        <f>AND(((P545)=TRUE), ((K545)=TRUE))</f>
        <v>0</v>
      </c>
      <c r="R545" s="4" t="str">
        <f>IF(((O545)=TRUE),  I545,  "")</f>
        <v>suite-substrate</v>
      </c>
      <c r="S545" s="4" t="str">
        <f>IF(((Q545)=TRUE),  I545,  "")</f>
      </c>
      <c r="T545" s="3" t="s">
        <v>6001</v>
      </c>
    </row>
    <row r="546">
      <c r="A546" s="3" t="s">
        <v>6581</v>
      </c>
      <c r="B546" s="4" t="str">
        <f>C546 &amp; ": " &amp; D546</f>
        <v>formula-translates: StepExecutions.HasDeviation</v>
      </c>
      <c r="C546" s="3" t="s">
        <v>6104</v>
      </c>
      <c r="D546" s="3" t="s">
        <v>3696</v>
      </c>
      <c r="E546" s="3" t="s">
        <v>1827</v>
      </c>
      <c r="F546" s="3" t="s">
        <v>1407</v>
      </c>
      <c r="G546" s="3" t="s">
        <v>6105</v>
      </c>
      <c r="H546" s="3" t="s">
        <v>2127</v>
      </c>
      <c r="I546" s="3" t="s">
        <v>5986</v>
      </c>
      <c r="J546" s="3" t="s">
        <v>5999</v>
      </c>
      <c r="K546" s="4" t="b">
        <f>J546 = "blocking"</f>
        <v>1</v>
      </c>
      <c r="L546" s="3" t="s">
        <v>1448</v>
      </c>
      <c r="M546" s="3" t="s">
        <v>6106</v>
      </c>
      <c r="N546" s="5">
        <v>46223.1297337963</v>
      </c>
      <c r="O546" s="4" t="b">
        <f>L546 = "PASS"</f>
        <v>1</v>
      </c>
      <c r="P546" s="4" t="b">
        <f>L546 = "FAIL"</f>
        <v>0</v>
      </c>
      <c r="Q546" s="4" t="b">
        <f>AND(((P546)=TRUE), ((K546)=TRUE))</f>
        <v>0</v>
      </c>
      <c r="R546" s="4" t="str">
        <f>IF(((O546)=TRUE),  I546,  "")</f>
        <v>suite-substrate</v>
      </c>
      <c r="S546" s="4" t="str">
        <f>IF(((Q546)=TRUE),  I546,  "")</f>
      </c>
      <c r="T546" s="3" t="s">
        <v>6001</v>
      </c>
    </row>
    <row r="547">
      <c r="A547" s="3" t="s">
        <v>6582</v>
      </c>
      <c r="B547" s="4" t="str">
        <f>C547 &amp; ": " &amp; D547</f>
        <v>formula-translates: StepExecutions.IsClean</v>
      </c>
      <c r="C547" s="3" t="s">
        <v>6104</v>
      </c>
      <c r="D547" s="3" t="s">
        <v>3697</v>
      </c>
      <c r="E547" s="3" t="s">
        <v>1827</v>
      </c>
      <c r="F547" s="3" t="s">
        <v>1408</v>
      </c>
      <c r="G547" s="3" t="s">
        <v>6105</v>
      </c>
      <c r="H547" s="3" t="s">
        <v>2127</v>
      </c>
      <c r="I547" s="3" t="s">
        <v>5986</v>
      </c>
      <c r="J547" s="3" t="s">
        <v>5999</v>
      </c>
      <c r="K547" s="4" t="b">
        <f>J547 = "blocking"</f>
        <v>1</v>
      </c>
      <c r="L547" s="3" t="s">
        <v>1448</v>
      </c>
      <c r="M547" s="3" t="s">
        <v>6106</v>
      </c>
      <c r="N547" s="5">
        <v>46223.1297337963</v>
      </c>
      <c r="O547" s="4" t="b">
        <f>L547 = "PASS"</f>
        <v>1</v>
      </c>
      <c r="P547" s="4" t="b">
        <f>L547 = "FAIL"</f>
        <v>0</v>
      </c>
      <c r="Q547" s="4" t="b">
        <f>AND(((P547)=TRUE), ((K547)=TRUE))</f>
        <v>0</v>
      </c>
      <c r="R547" s="4" t="str">
        <f>IF(((O547)=TRUE),  I547,  "")</f>
        <v>suite-substrate</v>
      </c>
      <c r="S547" s="4" t="str">
        <f>IF(((Q547)=TRUE),  I547,  "")</f>
      </c>
      <c r="T547" s="3" t="s">
        <v>6001</v>
      </c>
    </row>
    <row r="548">
      <c r="A548" s="3" t="s">
        <v>6583</v>
      </c>
      <c r="B548" s="4" t="str">
        <f>C548 &amp; ": " &amp; D548</f>
        <v>formula-translates: StepExecutions.ProcedureExecutionWhenUnclean</v>
      </c>
      <c r="C548" s="3" t="s">
        <v>6104</v>
      </c>
      <c r="D548" s="3" t="s">
        <v>3699</v>
      </c>
      <c r="E548" s="3" t="s">
        <v>1827</v>
      </c>
      <c r="F548" s="3" t="s">
        <v>1409</v>
      </c>
      <c r="G548" s="3" t="s">
        <v>6105</v>
      </c>
      <c r="H548" s="3" t="s">
        <v>2127</v>
      </c>
      <c r="I548" s="3" t="s">
        <v>5986</v>
      </c>
      <c r="J548" s="3" t="s">
        <v>5999</v>
      </c>
      <c r="K548" s="4" t="b">
        <f>J548 = "blocking"</f>
        <v>1</v>
      </c>
      <c r="L548" s="3" t="s">
        <v>1448</v>
      </c>
      <c r="M548" s="3" t="s">
        <v>6106</v>
      </c>
      <c r="N548" s="5">
        <v>46223.1297337963</v>
      </c>
      <c r="O548" s="4" t="b">
        <f>L548 = "PASS"</f>
        <v>1</v>
      </c>
      <c r="P548" s="4" t="b">
        <f>L548 = "FAIL"</f>
        <v>0</v>
      </c>
      <c r="Q548" s="4" t="b">
        <f>AND(((P548)=TRUE), ((K548)=TRUE))</f>
        <v>0</v>
      </c>
      <c r="R548" s="4" t="str">
        <f>IF(((O548)=TRUE),  I548,  "")</f>
        <v>suite-substrate</v>
      </c>
      <c r="S548" s="4" t="str">
        <f>IF(((Q548)=TRUE),  I548,  "")</f>
      </c>
      <c r="T548" s="3" t="s">
        <v>6001</v>
      </c>
    </row>
    <row r="549">
      <c r="A549" s="3" t="s">
        <v>6584</v>
      </c>
      <c r="B549" s="4" t="str">
        <f>C549 &amp; ": " &amp; D549</f>
        <v>formula-translates: StepExecutions.EvaluatedRequirementCount</v>
      </c>
      <c r="C549" s="3" t="s">
        <v>6104</v>
      </c>
      <c r="D549" s="3" t="s">
        <v>3701</v>
      </c>
      <c r="E549" s="3" t="s">
        <v>1827</v>
      </c>
      <c r="F549" s="3" t="s">
        <v>1410</v>
      </c>
      <c r="G549" s="3" t="s">
        <v>6105</v>
      </c>
      <c r="H549" s="3" t="s">
        <v>2131</v>
      </c>
      <c r="I549" s="3" t="s">
        <v>5986</v>
      </c>
      <c r="J549" s="3" t="s">
        <v>5999</v>
      </c>
      <c r="K549" s="4" t="b">
        <f>J549 = "blocking"</f>
        <v>1</v>
      </c>
      <c r="L549" s="3" t="s">
        <v>1448</v>
      </c>
      <c r="M549" s="3" t="s">
        <v>6106</v>
      </c>
      <c r="N549" s="5">
        <v>46223.1297337963</v>
      </c>
      <c r="O549" s="4" t="b">
        <f>L549 = "PASS"</f>
        <v>1</v>
      </c>
      <c r="P549" s="4" t="b">
        <f>L549 = "FAIL"</f>
        <v>0</v>
      </c>
      <c r="Q549" s="4" t="b">
        <f>AND(((P549)=TRUE), ((K549)=TRUE))</f>
        <v>0</v>
      </c>
      <c r="R549" s="4" t="str">
        <f>IF(((O549)=TRUE),  I549,  "")</f>
        <v>suite-substrate</v>
      </c>
      <c r="S549" s="4" t="str">
        <f>IF(((Q549)=TRUE),  I549,  "")</f>
      </c>
      <c r="T549" s="3" t="s">
        <v>6001</v>
      </c>
    </row>
    <row r="550">
      <c r="A550" s="3" t="s">
        <v>6585</v>
      </c>
      <c r="B550" s="4" t="str">
        <f>C550 &amp; ": " &amp; D550</f>
        <v>formula-translates: StepExecutions.RequiredBlockingCount</v>
      </c>
      <c r="C550" s="3" t="s">
        <v>6104</v>
      </c>
      <c r="D550" s="3" t="s">
        <v>3703</v>
      </c>
      <c r="E550" s="3" t="s">
        <v>1827</v>
      </c>
      <c r="F550" s="3" t="s">
        <v>1411</v>
      </c>
      <c r="G550" s="3" t="s">
        <v>6105</v>
      </c>
      <c r="H550" s="3" t="s">
        <v>2131</v>
      </c>
      <c r="I550" s="3" t="s">
        <v>5986</v>
      </c>
      <c r="J550" s="3" t="s">
        <v>5999</v>
      </c>
      <c r="K550" s="4" t="b">
        <f>J550 = "blocking"</f>
        <v>1</v>
      </c>
      <c r="L550" s="3" t="s">
        <v>1448</v>
      </c>
      <c r="M550" s="3" t="s">
        <v>6106</v>
      </c>
      <c r="N550" s="5">
        <v>46223.1297337963</v>
      </c>
      <c r="O550" s="4" t="b">
        <f>L550 = "PASS"</f>
        <v>1</v>
      </c>
      <c r="P550" s="4" t="b">
        <f>L550 = "FAIL"</f>
        <v>0</v>
      </c>
      <c r="Q550" s="4" t="b">
        <f>AND(((P550)=TRUE), ((K550)=TRUE))</f>
        <v>0</v>
      </c>
      <c r="R550" s="4" t="str">
        <f>IF(((O550)=TRUE),  I550,  "")</f>
        <v>suite-substrate</v>
      </c>
      <c r="S550" s="4" t="str">
        <f>IF(((Q550)=TRUE),  I550,  "")</f>
      </c>
      <c r="T550" s="3" t="s">
        <v>6001</v>
      </c>
    </row>
    <row r="551">
      <c r="A551" s="3" t="s">
        <v>6586</v>
      </c>
      <c r="B551" s="4" t="str">
        <f>C551 &amp; ": " &amp; D551</f>
        <v>formula-translates: StepExecutions.HasUnevaluatedBlockingRequirement</v>
      </c>
      <c r="C551" s="3" t="s">
        <v>6104</v>
      </c>
      <c r="D551" s="3" t="s">
        <v>3704</v>
      </c>
      <c r="E551" s="3" t="s">
        <v>1827</v>
      </c>
      <c r="F551" s="3" t="s">
        <v>1412</v>
      </c>
      <c r="G551" s="3" t="s">
        <v>6105</v>
      </c>
      <c r="H551" s="3" t="s">
        <v>2131</v>
      </c>
      <c r="I551" s="3" t="s">
        <v>5986</v>
      </c>
      <c r="J551" s="3" t="s">
        <v>5999</v>
      </c>
      <c r="K551" s="4" t="b">
        <f>J551 = "blocking"</f>
        <v>1</v>
      </c>
      <c r="L551" s="3" t="s">
        <v>1448</v>
      </c>
      <c r="M551" s="3" t="s">
        <v>6106</v>
      </c>
      <c r="N551" s="5">
        <v>46223.1297337963</v>
      </c>
      <c r="O551" s="4" t="b">
        <f>L551 = "PASS"</f>
        <v>1</v>
      </c>
      <c r="P551" s="4" t="b">
        <f>L551 = "FAIL"</f>
        <v>0</v>
      </c>
      <c r="Q551" s="4" t="b">
        <f>AND(((P551)=TRUE), ((K551)=TRUE))</f>
        <v>0</v>
      </c>
      <c r="R551" s="4" t="str">
        <f>IF(((O551)=TRUE),  I551,  "")</f>
        <v>suite-substrate</v>
      </c>
      <c r="S551" s="4" t="str">
        <f>IF(((Q551)=TRUE),  I551,  "")</f>
      </c>
      <c r="T551" s="3" t="s">
        <v>6001</v>
      </c>
    </row>
    <row r="552">
      <c r="A552" s="3" t="s">
        <v>6587</v>
      </c>
      <c r="B552" s="4" t="str">
        <f>C552 &amp; ": " &amp; D552</f>
        <v>formula-translates: StepExecutions.ExecutingAgentKind</v>
      </c>
      <c r="C552" s="3" t="s">
        <v>6104</v>
      </c>
      <c r="D552" s="3" t="s">
        <v>3706</v>
      </c>
      <c r="E552" s="3" t="s">
        <v>1827</v>
      </c>
      <c r="F552" s="3" t="s">
        <v>1413</v>
      </c>
      <c r="G552" s="3" t="s">
        <v>6105</v>
      </c>
      <c r="H552" s="3" t="s">
        <v>2143</v>
      </c>
      <c r="I552" s="3" t="s">
        <v>5986</v>
      </c>
      <c r="J552" s="3" t="s">
        <v>5999</v>
      </c>
      <c r="K552" s="4" t="b">
        <f>J552 = "blocking"</f>
        <v>1</v>
      </c>
      <c r="L552" s="3" t="s">
        <v>1448</v>
      </c>
      <c r="M552" s="3" t="s">
        <v>6106</v>
      </c>
      <c r="N552" s="5">
        <v>46223.1297337963</v>
      </c>
      <c r="O552" s="4" t="b">
        <f>L552 = "PASS"</f>
        <v>1</v>
      </c>
      <c r="P552" s="4" t="b">
        <f>L552 = "FAIL"</f>
        <v>0</v>
      </c>
      <c r="Q552" s="4" t="b">
        <f>AND(((P552)=TRUE), ((K552)=TRUE))</f>
        <v>0</v>
      </c>
      <c r="R552" s="4" t="str">
        <f>IF(((O552)=TRUE),  I552,  "")</f>
        <v>suite-substrate</v>
      </c>
      <c r="S552" s="4" t="str">
        <f>IF(((Q552)=TRUE),  I552,  "")</f>
      </c>
      <c r="T552" s="3" t="s">
        <v>6001</v>
      </c>
    </row>
    <row r="553">
      <c r="A553" s="3" t="s">
        <v>6588</v>
      </c>
      <c r="B553" s="4" t="str">
        <f>C553 &amp; ": " &amp; D553</f>
        <v>formula-translates: StepExecutions.WasExecutedBySoftware</v>
      </c>
      <c r="C553" s="3" t="s">
        <v>6104</v>
      </c>
      <c r="D553" s="3" t="s">
        <v>3707</v>
      </c>
      <c r="E553" s="3" t="s">
        <v>1827</v>
      </c>
      <c r="F553" s="3" t="s">
        <v>1414</v>
      </c>
      <c r="G553" s="3" t="s">
        <v>6105</v>
      </c>
      <c r="H553" s="3" t="s">
        <v>2143</v>
      </c>
      <c r="I553" s="3" t="s">
        <v>5986</v>
      </c>
      <c r="J553" s="3" t="s">
        <v>5999</v>
      </c>
      <c r="K553" s="4" t="b">
        <f>J553 = "blocking"</f>
        <v>1</v>
      </c>
      <c r="L553" s="3" t="s">
        <v>1448</v>
      </c>
      <c r="M553" s="3" t="s">
        <v>6106</v>
      </c>
      <c r="N553" s="5">
        <v>46223.1297337963</v>
      </c>
      <c r="O553" s="4" t="b">
        <f>L553 = "PASS"</f>
        <v>1</v>
      </c>
      <c r="P553" s="4" t="b">
        <f>L553 = "FAIL"</f>
        <v>0</v>
      </c>
      <c r="Q553" s="4" t="b">
        <f>AND(((P553)=TRUE), ((K553)=TRUE))</f>
        <v>0</v>
      </c>
      <c r="R553" s="4" t="str">
        <f>IF(((O553)=TRUE),  I553,  "")</f>
        <v>suite-substrate</v>
      </c>
      <c r="S553" s="4" t="str">
        <f>IF(((Q553)=TRUE),  I553,  "")</f>
      </c>
      <c r="T553" s="3" t="s">
        <v>6001</v>
      </c>
    </row>
    <row r="554">
      <c r="A554" s="3" t="s">
        <v>6589</v>
      </c>
      <c r="B554" s="4" t="str">
        <f>C554 &amp; ": " &amp; D554</f>
        <v>formula-translates: StepExecutions.StepIsSoftwareAssigned</v>
      </c>
      <c r="C554" s="3" t="s">
        <v>6104</v>
      </c>
      <c r="D554" s="3" t="s">
        <v>3709</v>
      </c>
      <c r="E554" s="3" t="s">
        <v>1827</v>
      </c>
      <c r="F554" s="3" t="s">
        <v>1415</v>
      </c>
      <c r="G554" s="3" t="s">
        <v>6105</v>
      </c>
      <c r="H554" s="3" t="s">
        <v>2143</v>
      </c>
      <c r="I554" s="3" t="s">
        <v>5986</v>
      </c>
      <c r="J554" s="3" t="s">
        <v>5999</v>
      </c>
      <c r="K554" s="4" t="b">
        <f>J554 = "blocking"</f>
        <v>1</v>
      </c>
      <c r="L554" s="3" t="s">
        <v>1448</v>
      </c>
      <c r="M554" s="3" t="s">
        <v>6106</v>
      </c>
      <c r="N554" s="5">
        <v>46223.1297337963</v>
      </c>
      <c r="O554" s="4" t="b">
        <f>L554 = "PASS"</f>
        <v>1</v>
      </c>
      <c r="P554" s="4" t="b">
        <f>L554 = "FAIL"</f>
        <v>0</v>
      </c>
      <c r="Q554" s="4" t="b">
        <f>AND(((P554)=TRUE), ((K554)=TRUE))</f>
        <v>0</v>
      </c>
      <c r="R554" s="4" t="str">
        <f>IF(((O554)=TRUE),  I554,  "")</f>
        <v>suite-substrate</v>
      </c>
      <c r="S554" s="4" t="str">
        <f>IF(((Q554)=TRUE),  I554,  "")</f>
      </c>
      <c r="T554" s="3" t="s">
        <v>6001</v>
      </c>
    </row>
    <row r="555">
      <c r="A555" s="3" t="s">
        <v>6590</v>
      </c>
      <c r="B555" s="4" t="str">
        <f>C555 &amp; ": " &amp; D555</f>
        <v>formula-translates: StepExecutions.SoftwareDidHumanWork</v>
      </c>
      <c r="C555" s="3" t="s">
        <v>6104</v>
      </c>
      <c r="D555" s="3" t="s">
        <v>3710</v>
      </c>
      <c r="E555" s="3" t="s">
        <v>1827</v>
      </c>
      <c r="F555" s="3" t="s">
        <v>1416</v>
      </c>
      <c r="G555" s="3" t="s">
        <v>6105</v>
      </c>
      <c r="H555" s="3" t="s">
        <v>2143</v>
      </c>
      <c r="I555" s="3" t="s">
        <v>5986</v>
      </c>
      <c r="J555" s="3" t="s">
        <v>5999</v>
      </c>
      <c r="K555" s="4" t="b">
        <f>J555 = "blocking"</f>
        <v>1</v>
      </c>
      <c r="L555" s="3" t="s">
        <v>1448</v>
      </c>
      <c r="M555" s="3" t="s">
        <v>6106</v>
      </c>
      <c r="N555" s="5">
        <v>46223.1297337963</v>
      </c>
      <c r="O555" s="4" t="b">
        <f>L555 = "PASS"</f>
        <v>1</v>
      </c>
      <c r="P555" s="4" t="b">
        <f>L555 = "FAIL"</f>
        <v>0</v>
      </c>
      <c r="Q555" s="4" t="b">
        <f>AND(((P555)=TRUE), ((K555)=TRUE))</f>
        <v>0</v>
      </c>
      <c r="R555" s="4" t="str">
        <f>IF(((O555)=TRUE),  I555,  "")</f>
        <v>suite-substrate</v>
      </c>
      <c r="S555" s="4" t="str">
        <f>IF(((Q555)=TRUE),  I555,  "")</f>
      </c>
      <c r="T555" s="3" t="s">
        <v>6001</v>
      </c>
    </row>
    <row r="556">
      <c r="A556" s="3" t="s">
        <v>6591</v>
      </c>
      <c r="B556" s="4" t="str">
        <f>C556 &amp; ": " &amp; D556</f>
        <v>formula-translates: StepExecutions.IsApprovalExecution</v>
      </c>
      <c r="C556" s="3" t="s">
        <v>6104</v>
      </c>
      <c r="D556" s="3" t="s">
        <v>3712</v>
      </c>
      <c r="E556" s="3" t="s">
        <v>1827</v>
      </c>
      <c r="F556" s="3" t="s">
        <v>1417</v>
      </c>
      <c r="G556" s="3" t="s">
        <v>6105</v>
      </c>
      <c r="H556" s="3" t="s">
        <v>2151</v>
      </c>
      <c r="I556" s="3" t="s">
        <v>5986</v>
      </c>
      <c r="J556" s="3" t="s">
        <v>5999</v>
      </c>
      <c r="K556" s="4" t="b">
        <f>J556 = "blocking"</f>
        <v>1</v>
      </c>
      <c r="L556" s="3" t="s">
        <v>1448</v>
      </c>
      <c r="M556" s="3" t="s">
        <v>6106</v>
      </c>
      <c r="N556" s="5">
        <v>46223.1297337963</v>
      </c>
      <c r="O556" s="4" t="b">
        <f>L556 = "PASS"</f>
        <v>1</v>
      </c>
      <c r="P556" s="4" t="b">
        <f>L556 = "FAIL"</f>
        <v>0</v>
      </c>
      <c r="Q556" s="4" t="b">
        <f>AND(((P556)=TRUE), ((K556)=TRUE))</f>
        <v>0</v>
      </c>
      <c r="R556" s="4" t="str">
        <f>IF(((O556)=TRUE),  I556,  "")</f>
        <v>suite-substrate</v>
      </c>
      <c r="S556" s="4" t="str">
        <f>IF(((Q556)=TRUE),  I556,  "")</f>
      </c>
      <c r="T556" s="3" t="s">
        <v>6001</v>
      </c>
    </row>
    <row r="557">
      <c r="A557" s="3" t="s">
        <v>6592</v>
      </c>
      <c r="B557" s="4" t="str">
        <f>C557 &amp; ": " &amp; D557</f>
        <v>formula-translates: StepExecutions.IsVerified</v>
      </c>
      <c r="C557" s="3" t="s">
        <v>6104</v>
      </c>
      <c r="D557" s="3" t="s">
        <v>3714</v>
      </c>
      <c r="E557" s="3" t="s">
        <v>1827</v>
      </c>
      <c r="F557" s="3" t="s">
        <v>1418</v>
      </c>
      <c r="G557" s="3" t="s">
        <v>6105</v>
      </c>
      <c r="H557" s="3" t="s">
        <v>2151</v>
      </c>
      <c r="I557" s="3" t="s">
        <v>5986</v>
      </c>
      <c r="J557" s="3" t="s">
        <v>5999</v>
      </c>
      <c r="K557" s="4" t="b">
        <f>J557 = "blocking"</f>
        <v>1</v>
      </c>
      <c r="L557" s="3" t="s">
        <v>1448</v>
      </c>
      <c r="M557" s="3" t="s">
        <v>6106</v>
      </c>
      <c r="N557" s="5">
        <v>46223.1297337963</v>
      </c>
      <c r="O557" s="4" t="b">
        <f>L557 = "PASS"</f>
        <v>1</v>
      </c>
      <c r="P557" s="4" t="b">
        <f>L557 = "FAIL"</f>
        <v>0</v>
      </c>
      <c r="Q557" s="4" t="b">
        <f>AND(((P557)=TRUE), ((K557)=TRUE))</f>
        <v>0</v>
      </c>
      <c r="R557" s="4" t="str">
        <f>IF(((O557)=TRUE),  I557,  "")</f>
        <v>suite-substrate</v>
      </c>
      <c r="S557" s="4" t="str">
        <f>IF(((Q557)=TRUE),  I557,  "")</f>
      </c>
      <c r="T557" s="3" t="s">
        <v>6001</v>
      </c>
    </row>
    <row r="558">
      <c r="A558" s="3" t="s">
        <v>6593</v>
      </c>
      <c r="B558" s="4" t="str">
        <f>C558 &amp; ": " &amp; D558</f>
        <v>formula-translates: StepExecutions.UnconfirmedNonHumanDecisionCount</v>
      </c>
      <c r="C558" s="3" t="s">
        <v>6104</v>
      </c>
      <c r="D558" s="3" t="s">
        <v>3716</v>
      </c>
      <c r="E558" s="3" t="s">
        <v>1827</v>
      </c>
      <c r="F558" s="3" t="s">
        <v>1419</v>
      </c>
      <c r="G558" s="3" t="s">
        <v>6105</v>
      </c>
      <c r="H558" s="3" t="s">
        <v>2171</v>
      </c>
      <c r="I558" s="3" t="s">
        <v>5986</v>
      </c>
      <c r="J558" s="3" t="s">
        <v>5999</v>
      </c>
      <c r="K558" s="4" t="b">
        <f>J558 = "blocking"</f>
        <v>1</v>
      </c>
      <c r="L558" s="3" t="s">
        <v>1448</v>
      </c>
      <c r="M558" s="3" t="s">
        <v>6106</v>
      </c>
      <c r="N558" s="5">
        <v>46223.1297337963</v>
      </c>
      <c r="O558" s="4" t="b">
        <f>L558 = "PASS"</f>
        <v>1</v>
      </c>
      <c r="P558" s="4" t="b">
        <f>L558 = "FAIL"</f>
        <v>0</v>
      </c>
      <c r="Q558" s="4" t="b">
        <f>AND(((P558)=TRUE), ((K558)=TRUE))</f>
        <v>0</v>
      </c>
      <c r="R558" s="4" t="str">
        <f>IF(((O558)=TRUE),  I558,  "")</f>
        <v>suite-substrate</v>
      </c>
      <c r="S558" s="4" t="str">
        <f>IF(((Q558)=TRUE),  I558,  "")</f>
      </c>
      <c r="T558" s="3" t="s">
        <v>6001</v>
      </c>
    </row>
    <row r="559">
      <c r="A559" s="3" t="s">
        <v>6594</v>
      </c>
      <c r="B559" s="4" t="str">
        <f>C559 &amp; ": " &amp; D559</f>
        <v>formula-translates: StepExecutions.RequiresHumanConfirmation</v>
      </c>
      <c r="C559" s="3" t="s">
        <v>6104</v>
      </c>
      <c r="D559" s="3" t="s">
        <v>3718</v>
      </c>
      <c r="E559" s="3" t="s">
        <v>1827</v>
      </c>
      <c r="F559" s="3" t="s">
        <v>507</v>
      </c>
      <c r="G559" s="3" t="s">
        <v>6105</v>
      </c>
      <c r="H559" s="3" t="s">
        <v>2171</v>
      </c>
      <c r="I559" s="3" t="s">
        <v>5986</v>
      </c>
      <c r="J559" s="3" t="s">
        <v>5999</v>
      </c>
      <c r="K559" s="4" t="b">
        <f>J559 = "blocking"</f>
        <v>1</v>
      </c>
      <c r="L559" s="3" t="s">
        <v>1448</v>
      </c>
      <c r="M559" s="3" t="s">
        <v>6106</v>
      </c>
      <c r="N559" s="5">
        <v>46223.1297337963</v>
      </c>
      <c r="O559" s="4" t="b">
        <f>L559 = "PASS"</f>
        <v>1</v>
      </c>
      <c r="P559" s="4" t="b">
        <f>L559 = "FAIL"</f>
        <v>0</v>
      </c>
      <c r="Q559" s="4" t="b">
        <f>AND(((P559)=TRUE), ((K559)=TRUE))</f>
        <v>0</v>
      </c>
      <c r="R559" s="4" t="str">
        <f>IF(((O559)=TRUE),  I559,  "")</f>
        <v>suite-substrate</v>
      </c>
      <c r="S559" s="4" t="str">
        <f>IF(((Q559)=TRUE),  I559,  "")</f>
      </c>
      <c r="T559" s="3" t="s">
        <v>6001</v>
      </c>
    </row>
    <row r="560">
      <c r="A560" s="3" t="s">
        <v>6595</v>
      </c>
      <c r="B560" s="4" t="str">
        <f>C560 &amp; ": " &amp; D560</f>
        <v>formula-translates: StepExecutions.HumanConfirmationMissing</v>
      </c>
      <c r="C560" s="3" t="s">
        <v>6104</v>
      </c>
      <c r="D560" s="3" t="s">
        <v>3719</v>
      </c>
      <c r="E560" s="3" t="s">
        <v>1827</v>
      </c>
      <c r="F560" s="3" t="s">
        <v>1420</v>
      </c>
      <c r="G560" s="3" t="s">
        <v>6105</v>
      </c>
      <c r="H560" s="3" t="s">
        <v>2171</v>
      </c>
      <c r="I560" s="3" t="s">
        <v>5986</v>
      </c>
      <c r="J560" s="3" t="s">
        <v>5999</v>
      </c>
      <c r="K560" s="4" t="b">
        <f>J560 = "blocking"</f>
        <v>1</v>
      </c>
      <c r="L560" s="3" t="s">
        <v>1448</v>
      </c>
      <c r="M560" s="3" t="s">
        <v>6106</v>
      </c>
      <c r="N560" s="5">
        <v>46223.1297337963</v>
      </c>
      <c r="O560" s="4" t="b">
        <f>L560 = "PASS"</f>
        <v>1</v>
      </c>
      <c r="P560" s="4" t="b">
        <f>L560 = "FAIL"</f>
        <v>0</v>
      </c>
      <c r="Q560" s="4" t="b">
        <f>AND(((P560)=TRUE), ((K560)=TRUE))</f>
        <v>0</v>
      </c>
      <c r="R560" s="4" t="str">
        <f>IF(((O560)=TRUE),  I560,  "")</f>
        <v>suite-substrate</v>
      </c>
      <c r="S560" s="4" t="str">
        <f>IF(((Q560)=TRUE),  I560,  "")</f>
      </c>
      <c r="T560" s="3" t="s">
        <v>6001</v>
      </c>
    </row>
    <row r="561">
      <c r="A561" s="3" t="s">
        <v>6596</v>
      </c>
      <c r="B561" s="4" t="str">
        <f>C561 &amp; ": " &amp; D561</f>
        <v>formula-translates: StepExecutions.DraftedFromUnusableSource</v>
      </c>
      <c r="C561" s="3" t="s">
        <v>6104</v>
      </c>
      <c r="D561" s="3" t="s">
        <v>3721</v>
      </c>
      <c r="E561" s="3" t="s">
        <v>1827</v>
      </c>
      <c r="F561" s="3" t="s">
        <v>1421</v>
      </c>
      <c r="G561" s="3" t="s">
        <v>6105</v>
      </c>
      <c r="H561" s="3" t="s">
        <v>2183</v>
      </c>
      <c r="I561" s="3" t="s">
        <v>5986</v>
      </c>
      <c r="J561" s="3" t="s">
        <v>5999</v>
      </c>
      <c r="K561" s="4" t="b">
        <f>J561 = "blocking"</f>
        <v>1</v>
      </c>
      <c r="L561" s="3" t="s">
        <v>1448</v>
      </c>
      <c r="M561" s="3" t="s">
        <v>6106</v>
      </c>
      <c r="N561" s="5">
        <v>46223.1297337963</v>
      </c>
      <c r="O561" s="4" t="b">
        <f>L561 = "PASS"</f>
        <v>1</v>
      </c>
      <c r="P561" s="4" t="b">
        <f>L561 = "FAIL"</f>
        <v>0</v>
      </c>
      <c r="Q561" s="4" t="b">
        <f>AND(((P561)=TRUE), ((K561)=TRUE))</f>
        <v>0</v>
      </c>
      <c r="R561" s="4" t="str">
        <f>IF(((O561)=TRUE),  I561,  "")</f>
        <v>suite-substrate</v>
      </c>
      <c r="S561" s="4" t="str">
        <f>IF(((Q561)=TRUE),  I561,  "")</f>
      </c>
      <c r="T561" s="3" t="s">
        <v>6001</v>
      </c>
    </row>
    <row r="562">
      <c r="A562" s="3" t="s">
        <v>6597</v>
      </c>
      <c r="B562" s="4" t="str">
        <f>C562 &amp; ": " &amp; D562</f>
        <v>formula-translates: StepExecutions.InputsWereUsable</v>
      </c>
      <c r="C562" s="3" t="s">
        <v>6104</v>
      </c>
      <c r="D562" s="3" t="s">
        <v>3723</v>
      </c>
      <c r="E562" s="3" t="s">
        <v>1827</v>
      </c>
      <c r="F562" s="3" t="s">
        <v>1422</v>
      </c>
      <c r="G562" s="3" t="s">
        <v>6105</v>
      </c>
      <c r="H562" s="3" t="s">
        <v>2183</v>
      </c>
      <c r="I562" s="3" t="s">
        <v>5986</v>
      </c>
      <c r="J562" s="3" t="s">
        <v>5999</v>
      </c>
      <c r="K562" s="4" t="b">
        <f>J562 = "blocking"</f>
        <v>1</v>
      </c>
      <c r="L562" s="3" t="s">
        <v>1448</v>
      </c>
      <c r="M562" s="3" t="s">
        <v>6106</v>
      </c>
      <c r="N562" s="5">
        <v>46223.1297337963</v>
      </c>
      <c r="O562" s="4" t="b">
        <f>L562 = "PASS"</f>
        <v>1</v>
      </c>
      <c r="P562" s="4" t="b">
        <f>L562 = "FAIL"</f>
        <v>0</v>
      </c>
      <c r="Q562" s="4" t="b">
        <f>AND(((P562)=TRUE), ((K562)=TRUE))</f>
        <v>0</v>
      </c>
      <c r="R562" s="4" t="str">
        <f>IF(((O562)=TRUE),  I562,  "")</f>
        <v>suite-substrate</v>
      </c>
      <c r="S562" s="4" t="str">
        <f>IF(((Q562)=TRUE),  I562,  "")</f>
      </c>
      <c r="T562" s="3" t="s">
        <v>6001</v>
      </c>
    </row>
    <row r="563">
      <c r="A563" s="3" t="s">
        <v>6598</v>
      </c>
      <c r="B563" s="4" t="str">
        <f>C563 &amp; ": " &amp; D563</f>
        <v>formula-translates: StepExecutions.SoftwareExecutionStepKey</v>
      </c>
      <c r="C563" s="3" t="s">
        <v>6104</v>
      </c>
      <c r="D563" s="3" t="s">
        <v>3725</v>
      </c>
      <c r="E563" s="3" t="s">
        <v>1827</v>
      </c>
      <c r="F563" s="3" t="s">
        <v>1423</v>
      </c>
      <c r="G563" s="3" t="s">
        <v>6105</v>
      </c>
      <c r="H563" s="3" t="s">
        <v>2223</v>
      </c>
      <c r="I563" s="3" t="s">
        <v>5986</v>
      </c>
      <c r="J563" s="3" t="s">
        <v>5999</v>
      </c>
      <c r="K563" s="4" t="b">
        <f>J563 = "blocking"</f>
        <v>1</v>
      </c>
      <c r="L563" s="3" t="s">
        <v>1448</v>
      </c>
      <c r="M563" s="3" t="s">
        <v>6106</v>
      </c>
      <c r="N563" s="5">
        <v>46223.1297337963</v>
      </c>
      <c r="O563" s="4" t="b">
        <f>L563 = "PASS"</f>
        <v>1</v>
      </c>
      <c r="P563" s="4" t="b">
        <f>L563 = "FAIL"</f>
        <v>0</v>
      </c>
      <c r="Q563" s="4" t="b">
        <f>AND(((P563)=TRUE), ((K563)=TRUE))</f>
        <v>0</v>
      </c>
      <c r="R563" s="4" t="str">
        <f>IF(((O563)=TRUE),  I563,  "")</f>
        <v>suite-substrate</v>
      </c>
      <c r="S563" s="4" t="str">
        <f>IF(((Q563)=TRUE),  I563,  "")</f>
      </c>
      <c r="T563" s="3" t="s">
        <v>6001</v>
      </c>
    </row>
    <row r="564">
      <c r="A564" s="3" t="s">
        <v>6599</v>
      </c>
      <c r="B564" s="4" t="str">
        <f>C564 &amp; ": " &amp; D564</f>
        <v>formula-translates: StepExecutions.StepControlKind</v>
      </c>
      <c r="C564" s="3" t="s">
        <v>6104</v>
      </c>
      <c r="D564" s="3" t="s">
        <v>3727</v>
      </c>
      <c r="E564" s="3" t="s">
        <v>1827</v>
      </c>
      <c r="F564" s="3" t="s">
        <v>1424</v>
      </c>
      <c r="G564" s="3" t="s">
        <v>6105</v>
      </c>
      <c r="H564" s="3" t="s">
        <v>2255</v>
      </c>
      <c r="I564" s="3" t="s">
        <v>5986</v>
      </c>
      <c r="J564" s="3" t="s">
        <v>5999</v>
      </c>
      <c r="K564" s="4" t="b">
        <f>J564 = "blocking"</f>
        <v>1</v>
      </c>
      <c r="L564" s="3" t="s">
        <v>1448</v>
      </c>
      <c r="M564" s="3" t="s">
        <v>6106</v>
      </c>
      <c r="N564" s="5">
        <v>46223.1297337963</v>
      </c>
      <c r="O564" s="4" t="b">
        <f>L564 = "PASS"</f>
        <v>1</v>
      </c>
      <c r="P564" s="4" t="b">
        <f>L564 = "FAIL"</f>
        <v>0</v>
      </c>
      <c r="Q564" s="4" t="b">
        <f>AND(((P564)=TRUE), ((K564)=TRUE))</f>
        <v>0</v>
      </c>
      <c r="R564" s="4" t="str">
        <f>IF(((O564)=TRUE),  I564,  "")</f>
        <v>suite-substrate</v>
      </c>
      <c r="S564" s="4" t="str">
        <f>IF(((Q564)=TRUE),  I564,  "")</f>
      </c>
      <c r="T564" s="3" t="s">
        <v>6001</v>
      </c>
    </row>
    <row r="565">
      <c r="A565" s="3" t="s">
        <v>6600</v>
      </c>
      <c r="B565" s="4" t="str">
        <f>C565 &amp; ": " &amp; D565</f>
        <v>formula-translates: StepExecutions.UnfalsifiedClearanceCount</v>
      </c>
      <c r="C565" s="3" t="s">
        <v>6104</v>
      </c>
      <c r="D565" s="3" t="s">
        <v>3729</v>
      </c>
      <c r="E565" s="3" t="s">
        <v>1827</v>
      </c>
      <c r="F565" s="3" t="s">
        <v>1425</v>
      </c>
      <c r="G565" s="3" t="s">
        <v>6105</v>
      </c>
      <c r="H565" s="3" t="s">
        <v>2259</v>
      </c>
      <c r="I565" s="3" t="s">
        <v>5986</v>
      </c>
      <c r="J565" s="3" t="s">
        <v>5999</v>
      </c>
      <c r="K565" s="4" t="b">
        <f>J565 = "blocking"</f>
        <v>1</v>
      </c>
      <c r="L565" s="3" t="s">
        <v>1448</v>
      </c>
      <c r="M565" s="3" t="s">
        <v>6106</v>
      </c>
      <c r="N565" s="5">
        <v>46223.1297337963</v>
      </c>
      <c r="O565" s="4" t="b">
        <f>L565 = "PASS"</f>
        <v>1</v>
      </c>
      <c r="P565" s="4" t="b">
        <f>L565 = "FAIL"</f>
        <v>0</v>
      </c>
      <c r="Q565" s="4" t="b">
        <f>AND(((P565)=TRUE), ((K565)=TRUE))</f>
        <v>0</v>
      </c>
      <c r="R565" s="4" t="str">
        <f>IF(((O565)=TRUE),  I565,  "")</f>
        <v>suite-substrate</v>
      </c>
      <c r="S565" s="4" t="str">
        <f>IF(((Q565)=TRUE),  I565,  "")</f>
      </c>
      <c r="T565" s="3" t="s">
        <v>6001</v>
      </c>
    </row>
    <row r="566">
      <c r="A566" s="3" t="s">
        <v>6601</v>
      </c>
      <c r="B566" s="4" t="str">
        <f>C566 &amp; ": " &amp; D566</f>
        <v>formula-translates: StepExecutions.AllClearancesAreUnfalsified</v>
      </c>
      <c r="C566" s="3" t="s">
        <v>6104</v>
      </c>
      <c r="D566" s="3" t="s">
        <v>3731</v>
      </c>
      <c r="E566" s="3" t="s">
        <v>1827</v>
      </c>
      <c r="F566" s="3" t="s">
        <v>1426</v>
      </c>
      <c r="G566" s="3" t="s">
        <v>6105</v>
      </c>
      <c r="H566" s="3" t="s">
        <v>2259</v>
      </c>
      <c r="I566" s="3" t="s">
        <v>5986</v>
      </c>
      <c r="J566" s="3" t="s">
        <v>5999</v>
      </c>
      <c r="K566" s="4" t="b">
        <f>J566 = "blocking"</f>
        <v>1</v>
      </c>
      <c r="L566" s="3" t="s">
        <v>1448</v>
      </c>
      <c r="M566" s="3" t="s">
        <v>6106</v>
      </c>
      <c r="N566" s="5">
        <v>46223.1297337963</v>
      </c>
      <c r="O566" s="4" t="b">
        <f>L566 = "PASS"</f>
        <v>1</v>
      </c>
      <c r="P566" s="4" t="b">
        <f>L566 = "FAIL"</f>
        <v>0</v>
      </c>
      <c r="Q566" s="4" t="b">
        <f>AND(((P566)=TRUE), ((K566)=TRUE))</f>
        <v>0</v>
      </c>
      <c r="R566" s="4" t="str">
        <f>IF(((O566)=TRUE),  I566,  "")</f>
        <v>suite-substrate</v>
      </c>
      <c r="S566" s="4" t="str">
        <f>IF(((Q566)=TRUE),  I566,  "")</f>
      </c>
      <c r="T566" s="3" t="s">
        <v>6001</v>
      </c>
    </row>
    <row r="567">
      <c r="A567" s="3" t="s">
        <v>6602</v>
      </c>
      <c r="B567" s="4" t="str">
        <f>C567 &amp; ": " &amp; D567</f>
        <v>formula-translates: StepExecutions.StaleAtRunCount</v>
      </c>
      <c r="C567" s="3" t="s">
        <v>6104</v>
      </c>
      <c r="D567" s="3" t="s">
        <v>3733</v>
      </c>
      <c r="E567" s="3" t="s">
        <v>1827</v>
      </c>
      <c r="F567" s="3" t="s">
        <v>1427</v>
      </c>
      <c r="G567" s="3" t="s">
        <v>6105</v>
      </c>
      <c r="H567" s="3" t="s">
        <v>2263</v>
      </c>
      <c r="I567" s="3" t="s">
        <v>5986</v>
      </c>
      <c r="J567" s="3" t="s">
        <v>5999</v>
      </c>
      <c r="K567" s="4" t="b">
        <f>J567 = "blocking"</f>
        <v>1</v>
      </c>
      <c r="L567" s="3" t="s">
        <v>1448</v>
      </c>
      <c r="M567" s="3" t="s">
        <v>6106</v>
      </c>
      <c r="N567" s="5">
        <v>46223.1297337963</v>
      </c>
      <c r="O567" s="4" t="b">
        <f>L567 = "PASS"</f>
        <v>1</v>
      </c>
      <c r="P567" s="4" t="b">
        <f>L567 = "FAIL"</f>
        <v>0</v>
      </c>
      <c r="Q567" s="4" t="b">
        <f>AND(((P567)=TRUE), ((K567)=TRUE))</f>
        <v>0</v>
      </c>
      <c r="R567" s="4" t="str">
        <f>IF(((O567)=TRUE),  I567,  "")</f>
        <v>suite-substrate</v>
      </c>
      <c r="S567" s="4" t="str">
        <f>IF(((Q567)=TRUE),  I567,  "")</f>
      </c>
      <c r="T567" s="3" t="s">
        <v>6001</v>
      </c>
    </row>
    <row r="568">
      <c r="A568" s="3" t="s">
        <v>6603</v>
      </c>
      <c r="B568" s="4" t="str">
        <f>C568 &amp; ": " &amp; D568</f>
        <v>formula-translates: StepExecutions.WasStaleWhenIRanIt</v>
      </c>
      <c r="C568" s="3" t="s">
        <v>6104</v>
      </c>
      <c r="D568" s="3" t="s">
        <v>3735</v>
      </c>
      <c r="E568" s="3" t="s">
        <v>1827</v>
      </c>
      <c r="F568" s="3" t="s">
        <v>1428</v>
      </c>
      <c r="G568" s="3" t="s">
        <v>6105</v>
      </c>
      <c r="H568" s="3" t="s">
        <v>2263</v>
      </c>
      <c r="I568" s="3" t="s">
        <v>5986</v>
      </c>
      <c r="J568" s="3" t="s">
        <v>5999</v>
      </c>
      <c r="K568" s="4" t="b">
        <f>J568 = "blocking"</f>
        <v>1</v>
      </c>
      <c r="L568" s="3" t="s">
        <v>1448</v>
      </c>
      <c r="M568" s="3" t="s">
        <v>6106</v>
      </c>
      <c r="N568" s="5">
        <v>46223.1297337963</v>
      </c>
      <c r="O568" s="4" t="b">
        <f>L568 = "PASS"</f>
        <v>1</v>
      </c>
      <c r="P568" s="4" t="b">
        <f>L568 = "FAIL"</f>
        <v>0</v>
      </c>
      <c r="Q568" s="4" t="b">
        <f>AND(((P568)=TRUE), ((K568)=TRUE))</f>
        <v>0</v>
      </c>
      <c r="R568" s="4" t="str">
        <f>IF(((O568)=TRUE),  I568,  "")</f>
        <v>suite-substrate</v>
      </c>
      <c r="S568" s="4" t="str">
        <f>IF(((Q568)=TRUE),  I568,  "")</f>
      </c>
      <c r="T568" s="3" t="s">
        <v>6001</v>
      </c>
    </row>
    <row r="569">
      <c r="A569" s="3" t="s">
        <v>6604</v>
      </c>
      <c r="B569" s="4" t="str">
        <f>C569 &amp; ": " &amp; D569</f>
        <v>formula-translates: StepExecutions.StalenessAnswerIsTenseDependent</v>
      </c>
      <c r="C569" s="3" t="s">
        <v>6104</v>
      </c>
      <c r="D569" s="3" t="s">
        <v>3737</v>
      </c>
      <c r="E569" s="3" t="s">
        <v>1827</v>
      </c>
      <c r="F569" s="3" t="s">
        <v>1429</v>
      </c>
      <c r="G569" s="3" t="s">
        <v>6105</v>
      </c>
      <c r="H569" s="3" t="s">
        <v>2263</v>
      </c>
      <c r="I569" s="3" t="s">
        <v>5986</v>
      </c>
      <c r="J569" s="3" t="s">
        <v>5999</v>
      </c>
      <c r="K569" s="4" t="b">
        <f>J569 = "blocking"</f>
        <v>1</v>
      </c>
      <c r="L569" s="3" t="s">
        <v>1448</v>
      </c>
      <c r="M569" s="3" t="s">
        <v>6106</v>
      </c>
      <c r="N569" s="5">
        <v>46223.1297337963</v>
      </c>
      <c r="O569" s="4" t="b">
        <f>L569 = "PASS"</f>
        <v>1</v>
      </c>
      <c r="P569" s="4" t="b">
        <f>L569 = "FAIL"</f>
        <v>0</v>
      </c>
      <c r="Q569" s="4" t="b">
        <f>AND(((P569)=TRUE), ((K569)=TRUE))</f>
        <v>0</v>
      </c>
      <c r="R569" s="4" t="str">
        <f>IF(((O569)=TRUE),  I569,  "")</f>
        <v>suite-substrate</v>
      </c>
      <c r="S569" s="4" t="str">
        <f>IF(((Q569)=TRUE),  I569,  "")</f>
      </c>
      <c r="T569" s="3" t="s">
        <v>6001</v>
      </c>
    </row>
    <row r="570">
      <c r="A570" s="3" t="s">
        <v>6605</v>
      </c>
      <c r="B570" s="4" t="str">
        <f>C570 &amp; ": " &amp; D570</f>
        <v>formula-translates: StepExecutions.HasAnyDeclaredCheck</v>
      </c>
      <c r="C570" s="3" t="s">
        <v>6104</v>
      </c>
      <c r="D570" s="3" t="s">
        <v>3739</v>
      </c>
      <c r="E570" s="3" t="s">
        <v>1827</v>
      </c>
      <c r="F570" s="3" t="s">
        <v>1430</v>
      </c>
      <c r="G570" s="3" t="s">
        <v>6105</v>
      </c>
      <c r="H570" s="3" t="s">
        <v>2271</v>
      </c>
      <c r="I570" s="3" t="s">
        <v>5986</v>
      </c>
      <c r="J570" s="3" t="s">
        <v>5999</v>
      </c>
      <c r="K570" s="4" t="b">
        <f>J570 = "blocking"</f>
        <v>1</v>
      </c>
      <c r="L570" s="3" t="s">
        <v>1448</v>
      </c>
      <c r="M570" s="3" t="s">
        <v>6106</v>
      </c>
      <c r="N570" s="5">
        <v>46223.1297337963</v>
      </c>
      <c r="O570" s="4" t="b">
        <f>L570 = "PASS"</f>
        <v>1</v>
      </c>
      <c r="P570" s="4" t="b">
        <f>L570 = "FAIL"</f>
        <v>0</v>
      </c>
      <c r="Q570" s="4" t="b">
        <f>AND(((P570)=TRUE), ((K570)=TRUE))</f>
        <v>0</v>
      </c>
      <c r="R570" s="4" t="str">
        <f>IF(((O570)=TRUE),  I570,  "")</f>
        <v>suite-substrate</v>
      </c>
      <c r="S570" s="4" t="str">
        <f>IF(((Q570)=TRUE),  I570,  "")</f>
      </c>
      <c r="T570" s="3" t="s">
        <v>6001</v>
      </c>
    </row>
    <row r="571">
      <c r="A571" s="3" t="s">
        <v>6606</v>
      </c>
      <c r="B571" s="4" t="str">
        <f>C571 &amp; ": " &amp; D571</f>
        <v>formula-translates: StepExecutions.PerformedCheckCount</v>
      </c>
      <c r="C571" s="3" t="s">
        <v>6104</v>
      </c>
      <c r="D571" s="3" t="s">
        <v>3741</v>
      </c>
      <c r="E571" s="3" t="s">
        <v>1827</v>
      </c>
      <c r="F571" s="3" t="s">
        <v>1431</v>
      </c>
      <c r="G571" s="3" t="s">
        <v>6105</v>
      </c>
      <c r="H571" s="3" t="s">
        <v>2271</v>
      </c>
      <c r="I571" s="3" t="s">
        <v>5986</v>
      </c>
      <c r="J571" s="3" t="s">
        <v>5999</v>
      </c>
      <c r="K571" s="4" t="b">
        <f>J571 = "blocking"</f>
        <v>1</v>
      </c>
      <c r="L571" s="3" t="s">
        <v>1448</v>
      </c>
      <c r="M571" s="3" t="s">
        <v>6106</v>
      </c>
      <c r="N571" s="5">
        <v>46223.1297337963</v>
      </c>
      <c r="O571" s="4" t="b">
        <f>L571 = "PASS"</f>
        <v>1</v>
      </c>
      <c r="P571" s="4" t="b">
        <f>L571 = "FAIL"</f>
        <v>0</v>
      </c>
      <c r="Q571" s="4" t="b">
        <f>AND(((P571)=TRUE), ((K571)=TRUE))</f>
        <v>0</v>
      </c>
      <c r="R571" s="4" t="str">
        <f>IF(((O571)=TRUE),  I571,  "")</f>
        <v>suite-substrate</v>
      </c>
      <c r="S571" s="4" t="str">
        <f>IF(((Q571)=TRUE),  I571,  "")</f>
      </c>
      <c r="T571" s="3" t="s">
        <v>6001</v>
      </c>
    </row>
    <row r="572">
      <c r="A572" s="3" t="s">
        <v>6607</v>
      </c>
      <c r="B572" s="4" t="str">
        <f>C572 &amp; ": " &amp; D572</f>
        <v>formula-translates: StepExecutions.DeclaredCheckCount</v>
      </c>
      <c r="C572" s="3" t="s">
        <v>6104</v>
      </c>
      <c r="D572" s="3" t="s">
        <v>3743</v>
      </c>
      <c r="E572" s="3" t="s">
        <v>1827</v>
      </c>
      <c r="F572" s="3" t="s">
        <v>1432</v>
      </c>
      <c r="G572" s="3" t="s">
        <v>6105</v>
      </c>
      <c r="H572" s="3" t="s">
        <v>2271</v>
      </c>
      <c r="I572" s="3" t="s">
        <v>5986</v>
      </c>
      <c r="J572" s="3" t="s">
        <v>5999</v>
      </c>
      <c r="K572" s="4" t="b">
        <f>J572 = "blocking"</f>
        <v>1</v>
      </c>
      <c r="L572" s="3" t="s">
        <v>1448</v>
      </c>
      <c r="M572" s="3" t="s">
        <v>6106</v>
      </c>
      <c r="N572" s="5">
        <v>46223.1297337963</v>
      </c>
      <c r="O572" s="4" t="b">
        <f>L572 = "PASS"</f>
        <v>1</v>
      </c>
      <c r="P572" s="4" t="b">
        <f>L572 = "FAIL"</f>
        <v>0</v>
      </c>
      <c r="Q572" s="4" t="b">
        <f>AND(((P572)=TRUE), ((K572)=TRUE))</f>
        <v>0</v>
      </c>
      <c r="R572" s="4" t="str">
        <f>IF(((O572)=TRUE),  I572,  "")</f>
        <v>suite-substrate</v>
      </c>
      <c r="S572" s="4" t="str">
        <f>IF(((Q572)=TRUE),  I572,  "")</f>
      </c>
      <c r="T572" s="3" t="s">
        <v>6001</v>
      </c>
    </row>
    <row r="573">
      <c r="A573" s="3" t="s">
        <v>6608</v>
      </c>
      <c r="B573" s="4" t="str">
        <f>C573 &amp; ": " &amp; D573</f>
        <v>formula-translates: StepExecutions.IsUncheckedByDesign</v>
      </c>
      <c r="C573" s="3" t="s">
        <v>6104</v>
      </c>
      <c r="D573" s="3" t="s">
        <v>3745</v>
      </c>
      <c r="E573" s="3" t="s">
        <v>1827</v>
      </c>
      <c r="F573" s="3" t="s">
        <v>1433</v>
      </c>
      <c r="G573" s="3" t="s">
        <v>6105</v>
      </c>
      <c r="H573" s="3" t="s">
        <v>2271</v>
      </c>
      <c r="I573" s="3" t="s">
        <v>5986</v>
      </c>
      <c r="J573" s="3" t="s">
        <v>5999</v>
      </c>
      <c r="K573" s="4" t="b">
        <f>J573 = "blocking"</f>
        <v>1</v>
      </c>
      <c r="L573" s="3" t="s">
        <v>1448</v>
      </c>
      <c r="M573" s="3" t="s">
        <v>6106</v>
      </c>
      <c r="N573" s="5">
        <v>46223.1297337963</v>
      </c>
      <c r="O573" s="4" t="b">
        <f>L573 = "PASS"</f>
        <v>1</v>
      </c>
      <c r="P573" s="4" t="b">
        <f>L573 = "FAIL"</f>
        <v>0</v>
      </c>
      <c r="Q573" s="4" t="b">
        <f>AND(((P573)=TRUE), ((K573)=TRUE))</f>
        <v>0</v>
      </c>
      <c r="R573" s="4" t="str">
        <f>IF(((O573)=TRUE),  I573,  "")</f>
        <v>suite-substrate</v>
      </c>
      <c r="S573" s="4" t="str">
        <f>IF(((Q573)=TRUE),  I573,  "")</f>
      </c>
      <c r="T573" s="3" t="s">
        <v>6001</v>
      </c>
    </row>
    <row r="574">
      <c r="A574" s="3" t="s">
        <v>6609</v>
      </c>
      <c r="B574" s="4" t="str">
        <f>C574 &amp; ": " &amp; D574</f>
        <v>formula-translates: StepExecutions.IsVacuouslyClean</v>
      </c>
      <c r="C574" s="3" t="s">
        <v>6104</v>
      </c>
      <c r="D574" s="3" t="s">
        <v>3747</v>
      </c>
      <c r="E574" s="3" t="s">
        <v>1827</v>
      </c>
      <c r="F574" s="3" t="s">
        <v>1434</v>
      </c>
      <c r="G574" s="3" t="s">
        <v>6105</v>
      </c>
      <c r="H574" s="3" t="s">
        <v>2271</v>
      </c>
      <c r="I574" s="3" t="s">
        <v>5986</v>
      </c>
      <c r="J574" s="3" t="s">
        <v>5999</v>
      </c>
      <c r="K574" s="4" t="b">
        <f>J574 = "blocking"</f>
        <v>1</v>
      </c>
      <c r="L574" s="3" t="s">
        <v>1448</v>
      </c>
      <c r="M574" s="3" t="s">
        <v>6106</v>
      </c>
      <c r="N574" s="5">
        <v>46223.1297337963</v>
      </c>
      <c r="O574" s="4" t="b">
        <f>L574 = "PASS"</f>
        <v>1</v>
      </c>
      <c r="P574" s="4" t="b">
        <f>L574 = "FAIL"</f>
        <v>0</v>
      </c>
      <c r="Q574" s="4" t="b">
        <f>AND(((P574)=TRUE), ((K574)=TRUE))</f>
        <v>0</v>
      </c>
      <c r="R574" s="4" t="str">
        <f>IF(((O574)=TRUE),  I574,  "")</f>
        <v>suite-substrate</v>
      </c>
      <c r="S574" s="4" t="str">
        <f>IF(((Q574)=TRUE),  I574,  "")</f>
      </c>
      <c r="T574" s="3" t="s">
        <v>6001</v>
      </c>
    </row>
    <row r="575">
      <c r="A575" s="3" t="s">
        <v>6610</v>
      </c>
      <c r="B575" s="4" t="str">
        <f>C575 &amp; ": " &amp; D575</f>
        <v>formula-translates: StepExecutions.IsSubstantivelyClean</v>
      </c>
      <c r="C575" s="3" t="s">
        <v>6104</v>
      </c>
      <c r="D575" s="3" t="s">
        <v>3749</v>
      </c>
      <c r="E575" s="3" t="s">
        <v>1827</v>
      </c>
      <c r="F575" s="3" t="s">
        <v>1435</v>
      </c>
      <c r="G575" s="3" t="s">
        <v>6105</v>
      </c>
      <c r="H575" s="3" t="s">
        <v>2271</v>
      </c>
      <c r="I575" s="3" t="s">
        <v>5986</v>
      </c>
      <c r="J575" s="3" t="s">
        <v>5999</v>
      </c>
      <c r="K575" s="4" t="b">
        <f>J575 = "blocking"</f>
        <v>1</v>
      </c>
      <c r="L575" s="3" t="s">
        <v>1448</v>
      </c>
      <c r="M575" s="3" t="s">
        <v>6106</v>
      </c>
      <c r="N575" s="5">
        <v>46223.1297337963</v>
      </c>
      <c r="O575" s="4" t="b">
        <f>L575 = "PASS"</f>
        <v>1</v>
      </c>
      <c r="P575" s="4" t="b">
        <f>L575 = "FAIL"</f>
        <v>0</v>
      </c>
      <c r="Q575" s="4" t="b">
        <f>AND(((P575)=TRUE), ((K575)=TRUE))</f>
        <v>0</v>
      </c>
      <c r="R575" s="4" t="str">
        <f>IF(((O575)=TRUE),  I575,  "")</f>
        <v>suite-substrate</v>
      </c>
      <c r="S575" s="4" t="str">
        <f>IF(((Q575)=TRUE),  I575,  "")</f>
      </c>
      <c r="T575" s="3" t="s">
        <v>6001</v>
      </c>
    </row>
    <row r="576">
      <c r="A576" s="3" t="s">
        <v>6611</v>
      </c>
      <c r="B576" s="4" t="str">
        <f>C576 &amp; ": " &amp; D576</f>
        <v>formula-translates: StepExecutions.VacuouslyCleanExecutionKey</v>
      </c>
      <c r="C576" s="3" t="s">
        <v>6104</v>
      </c>
      <c r="D576" s="3" t="s">
        <v>3751</v>
      </c>
      <c r="E576" s="3" t="s">
        <v>1827</v>
      </c>
      <c r="F576" s="3" t="s">
        <v>1436</v>
      </c>
      <c r="G576" s="3" t="s">
        <v>6105</v>
      </c>
      <c r="H576" s="3" t="s">
        <v>2271</v>
      </c>
      <c r="I576" s="3" t="s">
        <v>5986</v>
      </c>
      <c r="J576" s="3" t="s">
        <v>5999</v>
      </c>
      <c r="K576" s="4" t="b">
        <f>J576 = "blocking"</f>
        <v>1</v>
      </c>
      <c r="L576" s="3" t="s">
        <v>1448</v>
      </c>
      <c r="M576" s="3" t="s">
        <v>6106</v>
      </c>
      <c r="N576" s="5">
        <v>46223.1297337963</v>
      </c>
      <c r="O576" s="4" t="b">
        <f>L576 = "PASS"</f>
        <v>1</v>
      </c>
      <c r="P576" s="4" t="b">
        <f>L576 = "FAIL"</f>
        <v>0</v>
      </c>
      <c r="Q576" s="4" t="b">
        <f>AND(((P576)=TRUE), ((K576)=TRUE))</f>
        <v>0</v>
      </c>
      <c r="R576" s="4" t="str">
        <f>IF(((O576)=TRUE),  I576,  "")</f>
        <v>suite-substrate</v>
      </c>
      <c r="S576" s="4" t="str">
        <f>IF(((Q576)=TRUE),  I576,  "")</f>
      </c>
      <c r="T576" s="3" t="s">
        <v>6001</v>
      </c>
    </row>
    <row r="577">
      <c r="A577" s="3" t="s">
        <v>6612</v>
      </c>
      <c r="B577" s="4" t="str">
        <f>C577 &amp; ": " &amp; D577</f>
        <v>formula-translates: StepExecutions.UncorroboratedPassCount</v>
      </c>
      <c r="C577" s="3" t="s">
        <v>6104</v>
      </c>
      <c r="D577" s="3" t="s">
        <v>3753</v>
      </c>
      <c r="E577" s="3" t="s">
        <v>1827</v>
      </c>
      <c r="F577" s="3" t="s">
        <v>1437</v>
      </c>
      <c r="G577" s="3" t="s">
        <v>6105</v>
      </c>
      <c r="H577" s="3" t="s">
        <v>2275</v>
      </c>
      <c r="I577" s="3" t="s">
        <v>5986</v>
      </c>
      <c r="J577" s="3" t="s">
        <v>5999</v>
      </c>
      <c r="K577" s="4" t="b">
        <f>J577 = "blocking"</f>
        <v>1</v>
      </c>
      <c r="L577" s="3" t="s">
        <v>1448</v>
      </c>
      <c r="M577" s="3" t="s">
        <v>6106</v>
      </c>
      <c r="N577" s="5">
        <v>46223.1297337963</v>
      </c>
      <c r="O577" s="4" t="b">
        <f>L577 = "PASS"</f>
        <v>1</v>
      </c>
      <c r="P577" s="4" t="b">
        <f>L577 = "FAIL"</f>
        <v>0</v>
      </c>
      <c r="Q577" s="4" t="b">
        <f>AND(((P577)=TRUE), ((K577)=TRUE))</f>
        <v>0</v>
      </c>
      <c r="R577" s="4" t="str">
        <f>IF(((O577)=TRUE),  I577,  "")</f>
        <v>suite-substrate</v>
      </c>
      <c r="S577" s="4" t="str">
        <f>IF(((Q577)=TRUE),  I577,  "")</f>
      </c>
      <c r="T577" s="3" t="s">
        <v>6001</v>
      </c>
    </row>
    <row r="578">
      <c r="A578" s="3" t="s">
        <v>6613</v>
      </c>
      <c r="B578" s="4" t="str">
        <f>C578 &amp; ": " &amp; D578</f>
        <v>formula-translates: StepExecutions.EvidencePositionIsWeak</v>
      </c>
      <c r="C578" s="3" t="s">
        <v>6104</v>
      </c>
      <c r="D578" s="3" t="s">
        <v>3755</v>
      </c>
      <c r="E578" s="3" t="s">
        <v>1827</v>
      </c>
      <c r="F578" s="3" t="s">
        <v>1438</v>
      </c>
      <c r="G578" s="3" t="s">
        <v>6105</v>
      </c>
      <c r="H578" s="3" t="s">
        <v>2275</v>
      </c>
      <c r="I578" s="3" t="s">
        <v>5986</v>
      </c>
      <c r="J578" s="3" t="s">
        <v>5999</v>
      </c>
      <c r="K578" s="4" t="b">
        <f>J578 = "blocking"</f>
        <v>1</v>
      </c>
      <c r="L578" s="3" t="s">
        <v>1448</v>
      </c>
      <c r="M578" s="3" t="s">
        <v>6106</v>
      </c>
      <c r="N578" s="5">
        <v>46223.1297337963</v>
      </c>
      <c r="O578" s="4" t="b">
        <f>L578 = "PASS"</f>
        <v>1</v>
      </c>
      <c r="P578" s="4" t="b">
        <f>L578 = "FAIL"</f>
        <v>0</v>
      </c>
      <c r="Q578" s="4" t="b">
        <f>AND(((P578)=TRUE), ((K578)=TRUE))</f>
        <v>0</v>
      </c>
      <c r="R578" s="4" t="str">
        <f>IF(((O578)=TRUE),  I578,  "")</f>
        <v>suite-substrate</v>
      </c>
      <c r="S578" s="4" t="str">
        <f>IF(((Q578)=TRUE),  I578,  "")</f>
      </c>
      <c r="T578" s="3" t="s">
        <v>6001</v>
      </c>
    </row>
    <row r="579">
      <c r="A579" s="3" t="s">
        <v>6614</v>
      </c>
      <c r="B579" s="4" t="str">
        <f>C579 &amp; ": " &amp; D579</f>
        <v>formula-translates: StepExecutions.PreparationExecutionKey</v>
      </c>
      <c r="C579" s="3" t="s">
        <v>6104</v>
      </c>
      <c r="D579" s="3" t="s">
        <v>3757</v>
      </c>
      <c r="E579" s="3" t="s">
        <v>1827</v>
      </c>
      <c r="F579" s="3" t="s">
        <v>1439</v>
      </c>
      <c r="G579" s="3" t="s">
        <v>6105</v>
      </c>
      <c r="H579" s="3" t="s">
        <v>2287</v>
      </c>
      <c r="I579" s="3" t="s">
        <v>5986</v>
      </c>
      <c r="J579" s="3" t="s">
        <v>5999</v>
      </c>
      <c r="K579" s="4" t="b">
        <f>J579 = "blocking"</f>
        <v>1</v>
      </c>
      <c r="L579" s="3" t="s">
        <v>1448</v>
      </c>
      <c r="M579" s="3" t="s">
        <v>6106</v>
      </c>
      <c r="N579" s="5">
        <v>46223.1297337963</v>
      </c>
      <c r="O579" s="4" t="b">
        <f>L579 = "PASS"</f>
        <v>1</v>
      </c>
      <c r="P579" s="4" t="b">
        <f>L579 = "FAIL"</f>
        <v>0</v>
      </c>
      <c r="Q579" s="4" t="b">
        <f>AND(((P579)=TRUE), ((K579)=TRUE))</f>
        <v>0</v>
      </c>
      <c r="R579" s="4" t="str">
        <f>IF(((O579)=TRUE),  I579,  "")</f>
        <v>suite-substrate</v>
      </c>
      <c r="S579" s="4" t="str">
        <f>IF(((Q579)=TRUE),  I579,  "")</f>
      </c>
      <c r="T579" s="3" t="s">
        <v>6001</v>
      </c>
    </row>
    <row r="580">
      <c r="A580" s="3" t="s">
        <v>6615</v>
      </c>
      <c r="B580" s="4" t="str">
        <f>C580 &amp; ": " &amp; D580</f>
        <v>formula-translates: StepExecutions.ApprovalExecutionKey</v>
      </c>
      <c r="C580" s="3" t="s">
        <v>6104</v>
      </c>
      <c r="D580" s="3" t="s">
        <v>3759</v>
      </c>
      <c r="E580" s="3" t="s">
        <v>1827</v>
      </c>
      <c r="F580" s="3" t="s">
        <v>1440</v>
      </c>
      <c r="G580" s="3" t="s">
        <v>6105</v>
      </c>
      <c r="H580" s="3" t="s">
        <v>2287</v>
      </c>
      <c r="I580" s="3" t="s">
        <v>5986</v>
      </c>
      <c r="J580" s="3" t="s">
        <v>5999</v>
      </c>
      <c r="K580" s="4" t="b">
        <f>J580 = "blocking"</f>
        <v>1</v>
      </c>
      <c r="L580" s="3" t="s">
        <v>1448</v>
      </c>
      <c r="M580" s="3" t="s">
        <v>6106</v>
      </c>
      <c r="N580" s="5">
        <v>46223.1297337963</v>
      </c>
      <c r="O580" s="4" t="b">
        <f>L580 = "PASS"</f>
        <v>1</v>
      </c>
      <c r="P580" s="4" t="b">
        <f>L580 = "FAIL"</f>
        <v>0</v>
      </c>
      <c r="Q580" s="4" t="b">
        <f>AND(((P580)=TRUE), ((K580)=TRUE))</f>
        <v>0</v>
      </c>
      <c r="R580" s="4" t="str">
        <f>IF(((O580)=TRUE),  I580,  "")</f>
        <v>suite-substrate</v>
      </c>
      <c r="S580" s="4" t="str">
        <f>IF(((Q580)=TRUE),  I580,  "")</f>
      </c>
      <c r="T580" s="3" t="s">
        <v>6001</v>
      </c>
    </row>
    <row r="581">
      <c r="A581" s="3" t="s">
        <v>6616</v>
      </c>
      <c r="B581" s="4" t="str">
        <f>C581 &amp; ": " &amp; D581</f>
        <v>formula-translates: StepExecutions.HasGoverningInstrument</v>
      </c>
      <c r="C581" s="3" t="s">
        <v>6104</v>
      </c>
      <c r="D581" s="3" t="s">
        <v>3761</v>
      </c>
      <c r="E581" s="3" t="s">
        <v>1827</v>
      </c>
      <c r="F581" s="3" t="s">
        <v>1441</v>
      </c>
      <c r="G581" s="3" t="s">
        <v>6105</v>
      </c>
      <c r="H581" s="3" t="s">
        <v>2295</v>
      </c>
      <c r="I581" s="3" t="s">
        <v>5986</v>
      </c>
      <c r="J581" s="3" t="s">
        <v>5999</v>
      </c>
      <c r="K581" s="4" t="b">
        <f>J581 = "blocking"</f>
        <v>1</v>
      </c>
      <c r="L581" s="3" t="s">
        <v>1448</v>
      </c>
      <c r="M581" s="3" t="s">
        <v>6106</v>
      </c>
      <c r="N581" s="5">
        <v>46223.1297337963</v>
      </c>
      <c r="O581" s="4" t="b">
        <f>L581 = "PASS"</f>
        <v>1</v>
      </c>
      <c r="P581" s="4" t="b">
        <f>L581 = "FAIL"</f>
        <v>0</v>
      </c>
      <c r="Q581" s="4" t="b">
        <f>AND(((P581)=TRUE), ((K581)=TRUE))</f>
        <v>0</v>
      </c>
      <c r="R581" s="4" t="str">
        <f>IF(((O581)=TRUE),  I581,  "")</f>
        <v>suite-substrate</v>
      </c>
      <c r="S581" s="4" t="str">
        <f>IF(((Q581)=TRUE),  I581,  "")</f>
      </c>
      <c r="T581" s="3" t="s">
        <v>6001</v>
      </c>
    </row>
    <row r="582">
      <c r="A582" s="3" t="s">
        <v>6617</v>
      </c>
      <c r="B582" s="4" t="str">
        <f>C582 &amp; ": " &amp; D582</f>
        <v>formula-translates: StepExecutions.HasApprovedChangeCoverage</v>
      </c>
      <c r="C582" s="3" t="s">
        <v>6104</v>
      </c>
      <c r="D582" s="3" t="s">
        <v>3763</v>
      </c>
      <c r="E582" s="3" t="s">
        <v>1827</v>
      </c>
      <c r="F582" s="3" t="s">
        <v>1442</v>
      </c>
      <c r="G582" s="3" t="s">
        <v>6105</v>
      </c>
      <c r="H582" s="3" t="s">
        <v>2295</v>
      </c>
      <c r="I582" s="3" t="s">
        <v>5986</v>
      </c>
      <c r="J582" s="3" t="s">
        <v>5999</v>
      </c>
      <c r="K582" s="4" t="b">
        <f>J582 = "blocking"</f>
        <v>1</v>
      </c>
      <c r="L582" s="3" t="s">
        <v>1448</v>
      </c>
      <c r="M582" s="3" t="s">
        <v>6106</v>
      </c>
      <c r="N582" s="5">
        <v>46223.1297337963</v>
      </c>
      <c r="O582" s="4" t="b">
        <f>L582 = "PASS"</f>
        <v>1</v>
      </c>
      <c r="P582" s="4" t="b">
        <f>L582 = "FAIL"</f>
        <v>0</v>
      </c>
      <c r="Q582" s="4" t="b">
        <f>AND(((P582)=TRUE), ((K582)=TRUE))</f>
        <v>0</v>
      </c>
      <c r="R582" s="4" t="str">
        <f>IF(((O582)=TRUE),  I582,  "")</f>
        <v>suite-substrate</v>
      </c>
      <c r="S582" s="4" t="str">
        <f>IF(((Q582)=TRUE),  I582,  "")</f>
      </c>
      <c r="T582" s="3" t="s">
        <v>6001</v>
      </c>
    </row>
    <row r="583">
      <c r="A583" s="3" t="s">
        <v>6618</v>
      </c>
      <c r="B583" s="4" t="str">
        <f>C583 &amp; ": " &amp; D583</f>
        <v>formula-translates: StepExecutions.VersionOfStep</v>
      </c>
      <c r="C583" s="3" t="s">
        <v>6104</v>
      </c>
      <c r="D583" s="3" t="s">
        <v>3765</v>
      </c>
      <c r="E583" s="3" t="s">
        <v>1827</v>
      </c>
      <c r="F583" s="3" t="s">
        <v>1443</v>
      </c>
      <c r="G583" s="3" t="s">
        <v>6105</v>
      </c>
      <c r="H583" s="3" t="s">
        <v>2295</v>
      </c>
      <c r="I583" s="3" t="s">
        <v>5986</v>
      </c>
      <c r="J583" s="3" t="s">
        <v>5999</v>
      </c>
      <c r="K583" s="4" t="b">
        <f>J583 = "blocking"</f>
        <v>1</v>
      </c>
      <c r="L583" s="3" t="s">
        <v>1448</v>
      </c>
      <c r="M583" s="3" t="s">
        <v>6106</v>
      </c>
      <c r="N583" s="5">
        <v>46223.1297337963</v>
      </c>
      <c r="O583" s="4" t="b">
        <f>L583 = "PASS"</f>
        <v>1</v>
      </c>
      <c r="P583" s="4" t="b">
        <f>L583 = "FAIL"</f>
        <v>0</v>
      </c>
      <c r="Q583" s="4" t="b">
        <f>AND(((P583)=TRUE), ((K583)=TRUE))</f>
        <v>0</v>
      </c>
      <c r="R583" s="4" t="str">
        <f>IF(((O583)=TRUE),  I583,  "")</f>
        <v>suite-substrate</v>
      </c>
      <c r="S583" s="4" t="str">
        <f>IF(((Q583)=TRUE),  I583,  "")</f>
      </c>
      <c r="T583" s="3" t="s">
        <v>6001</v>
      </c>
    </row>
    <row r="584">
      <c r="A584" s="3" t="s">
        <v>6619</v>
      </c>
      <c r="B584" s="4" t="str">
        <f>C584 &amp; ": " &amp; D584</f>
        <v>formula-translates: StepExecutions.IsUngovernedDivergence</v>
      </c>
      <c r="C584" s="3" t="s">
        <v>6104</v>
      </c>
      <c r="D584" s="3" t="s">
        <v>3766</v>
      </c>
      <c r="E584" s="3" t="s">
        <v>1827</v>
      </c>
      <c r="F584" s="3" t="s">
        <v>1444</v>
      </c>
      <c r="G584" s="3" t="s">
        <v>6105</v>
      </c>
      <c r="H584" s="3" t="s">
        <v>2295</v>
      </c>
      <c r="I584" s="3" t="s">
        <v>5986</v>
      </c>
      <c r="J584" s="3" t="s">
        <v>5999</v>
      </c>
      <c r="K584" s="4" t="b">
        <f>J584 = "blocking"</f>
        <v>1</v>
      </c>
      <c r="L584" s="3" t="s">
        <v>1448</v>
      </c>
      <c r="M584" s="3" t="s">
        <v>6106</v>
      </c>
      <c r="N584" s="5">
        <v>46223.1297337963</v>
      </c>
      <c r="O584" s="4" t="b">
        <f>L584 = "PASS"</f>
        <v>1</v>
      </c>
      <c r="P584" s="4" t="b">
        <f>L584 = "FAIL"</f>
        <v>0</v>
      </c>
      <c r="Q584" s="4" t="b">
        <f>AND(((P584)=TRUE), ((K584)=TRUE))</f>
        <v>0</v>
      </c>
      <c r="R584" s="4" t="str">
        <f>IF(((O584)=TRUE),  I584,  "")</f>
        <v>suite-substrate</v>
      </c>
      <c r="S584" s="4" t="str">
        <f>IF(((Q584)=TRUE),  I584,  "")</f>
      </c>
      <c r="T584" s="3" t="s">
        <v>6001</v>
      </c>
    </row>
    <row r="585">
      <c r="A585" s="3" t="s">
        <v>6620</v>
      </c>
      <c r="B585" s="4" t="str">
        <f>C585 &amp; ": " &amp; D585</f>
        <v>formula-translates: StepExecutions.UngovernedDivergenceExecutionKey</v>
      </c>
      <c r="C585" s="3" t="s">
        <v>6104</v>
      </c>
      <c r="D585" s="3" t="s">
        <v>3768</v>
      </c>
      <c r="E585" s="3" t="s">
        <v>1827</v>
      </c>
      <c r="F585" s="3" t="s">
        <v>1445</v>
      </c>
      <c r="G585" s="3" t="s">
        <v>6105</v>
      </c>
      <c r="H585" s="3" t="s">
        <v>2295</v>
      </c>
      <c r="I585" s="3" t="s">
        <v>5986</v>
      </c>
      <c r="J585" s="3" t="s">
        <v>5999</v>
      </c>
      <c r="K585" s="4" t="b">
        <f>J585 = "blocking"</f>
        <v>1</v>
      </c>
      <c r="L585" s="3" t="s">
        <v>1448</v>
      </c>
      <c r="M585" s="3" t="s">
        <v>6106</v>
      </c>
      <c r="N585" s="5">
        <v>46223.1297337963</v>
      </c>
      <c r="O585" s="4" t="b">
        <f>L585 = "PASS"</f>
        <v>1</v>
      </c>
      <c r="P585" s="4" t="b">
        <f>L585 = "FAIL"</f>
        <v>0</v>
      </c>
      <c r="Q585" s="4" t="b">
        <f>AND(((P585)=TRUE), ((K585)=TRUE))</f>
        <v>0</v>
      </c>
      <c r="R585" s="4" t="str">
        <f>IF(((O585)=TRUE),  I585,  "")</f>
        <v>suite-substrate</v>
      </c>
      <c r="S585" s="4" t="str">
        <f>IF(((Q585)=TRUE),  I585,  "")</f>
      </c>
      <c r="T585" s="3" t="s">
        <v>6001</v>
      </c>
    </row>
    <row r="586">
      <c r="A586" s="3" t="s">
        <v>6621</v>
      </c>
      <c r="B586" s="4" t="str">
        <f>C586 &amp; ": " &amp; D586</f>
        <v>formula-translates: StepExecutions.SelfAttestedApprovalExecutionKey</v>
      </c>
      <c r="C586" s="3" t="s">
        <v>6104</v>
      </c>
      <c r="D586" s="3" t="s">
        <v>3770</v>
      </c>
      <c r="E586" s="3" t="s">
        <v>1827</v>
      </c>
      <c r="F586" s="3" t="s">
        <v>1446</v>
      </c>
      <c r="G586" s="3" t="s">
        <v>6105</v>
      </c>
      <c r="H586" s="3" t="s">
        <v>2307</v>
      </c>
      <c r="I586" s="3" t="s">
        <v>5986</v>
      </c>
      <c r="J586" s="3" t="s">
        <v>5999</v>
      </c>
      <c r="K586" s="4" t="b">
        <f>J586 = "blocking"</f>
        <v>1</v>
      </c>
      <c r="L586" s="3" t="s">
        <v>1448</v>
      </c>
      <c r="M586" s="3" t="s">
        <v>6106</v>
      </c>
      <c r="N586" s="5">
        <v>46223.1297337963</v>
      </c>
      <c r="O586" s="4" t="b">
        <f>L586 = "PASS"</f>
        <v>1</v>
      </c>
      <c r="P586" s="4" t="b">
        <f>L586 = "FAIL"</f>
        <v>0</v>
      </c>
      <c r="Q586" s="4" t="b">
        <f>AND(((P586)=TRUE), ((K586)=TRUE))</f>
        <v>0</v>
      </c>
      <c r="R586" s="4" t="str">
        <f>IF(((O586)=TRUE),  I586,  "")</f>
        <v>suite-substrate</v>
      </c>
      <c r="S586" s="4" t="str">
        <f>IF(((Q586)=TRUE),  I586,  "")</f>
      </c>
      <c r="T586" s="3" t="s">
        <v>6001</v>
      </c>
    </row>
    <row r="587">
      <c r="A587" s="3" t="s">
        <v>6622</v>
      </c>
      <c r="B587" s="4" t="str">
        <f>C587 &amp; ": " &amp; D587</f>
        <v>formula-translates: RequirementSatisfactions.Name</v>
      </c>
      <c r="C587" s="3" t="s">
        <v>6104</v>
      </c>
      <c r="D587" s="3" t="s">
        <v>3774</v>
      </c>
      <c r="E587" s="3" t="s">
        <v>1830</v>
      </c>
      <c r="F587" s="3" t="s">
        <v>1</v>
      </c>
      <c r="G587" s="3" t="s">
        <v>6105</v>
      </c>
      <c r="H587" s="3"/>
      <c r="I587" s="3" t="s">
        <v>5986</v>
      </c>
      <c r="J587" s="3" t="s">
        <v>5999</v>
      </c>
      <c r="K587" s="4" t="b">
        <f>J587 = "blocking"</f>
        <v>1</v>
      </c>
      <c r="L587" s="3" t="s">
        <v>1448</v>
      </c>
      <c r="M587" s="3" t="s">
        <v>6106</v>
      </c>
      <c r="N587" s="5">
        <v>46223.1297337963</v>
      </c>
      <c r="O587" s="4" t="b">
        <f>L587 = "PASS"</f>
        <v>1</v>
      </c>
      <c r="P587" s="4" t="b">
        <f>L587 = "FAIL"</f>
        <v>0</v>
      </c>
      <c r="Q587" s="4" t="b">
        <f>AND(((P587)=TRUE), ((K587)=TRUE))</f>
        <v>0</v>
      </c>
      <c r="R587" s="4" t="str">
        <f>IF(((O587)=TRUE),  I587,  "")</f>
        <v>suite-substrate</v>
      </c>
      <c r="S587" s="4" t="str">
        <f>IF(((Q587)=TRUE),  I587,  "")</f>
      </c>
      <c r="T587" s="3" t="s">
        <v>6001</v>
      </c>
    </row>
    <row r="588">
      <c r="A588" s="3" t="s">
        <v>6623</v>
      </c>
      <c r="B588" s="4" t="str">
        <f>C588 &amp; ": " &amp; D588</f>
        <v>formula-translates: RequirementSatisfactions.RequirementIsBlocking</v>
      </c>
      <c r="C588" s="3" t="s">
        <v>6104</v>
      </c>
      <c r="D588" s="3" t="s">
        <v>3782</v>
      </c>
      <c r="E588" s="3" t="s">
        <v>1830</v>
      </c>
      <c r="F588" s="3" t="s">
        <v>915</v>
      </c>
      <c r="G588" s="3" t="s">
        <v>6105</v>
      </c>
      <c r="H588" s="3" t="s">
        <v>1958</v>
      </c>
      <c r="I588" s="3" t="s">
        <v>5986</v>
      </c>
      <c r="J588" s="3" t="s">
        <v>5999</v>
      </c>
      <c r="K588" s="4" t="b">
        <f>J588 = "blocking"</f>
        <v>1</v>
      </c>
      <c r="L588" s="3" t="s">
        <v>1448</v>
      </c>
      <c r="M588" s="3" t="s">
        <v>6106</v>
      </c>
      <c r="N588" s="5">
        <v>46223.1297337963</v>
      </c>
      <c r="O588" s="4" t="b">
        <f>L588 = "PASS"</f>
        <v>1</v>
      </c>
      <c r="P588" s="4" t="b">
        <f>L588 = "FAIL"</f>
        <v>0</v>
      </c>
      <c r="Q588" s="4" t="b">
        <f>AND(((P588)=TRUE), ((K588)=TRUE))</f>
        <v>0</v>
      </c>
      <c r="R588" s="4" t="str">
        <f>IF(((O588)=TRUE),  I588,  "")</f>
        <v>suite-substrate</v>
      </c>
      <c r="S588" s="4" t="str">
        <f>IF(((Q588)=TRUE),  I588,  "")</f>
      </c>
      <c r="T588" s="3" t="s">
        <v>6001</v>
      </c>
    </row>
    <row r="589">
      <c r="A589" s="3" t="s">
        <v>6624</v>
      </c>
      <c r="B589" s="4" t="str">
        <f>C589 &amp; ": " &amp; D589</f>
        <v>formula-translates: RequirementSatisfactions.IsFullySatisfied</v>
      </c>
      <c r="C589" s="3" t="s">
        <v>6104</v>
      </c>
      <c r="D589" s="3" t="s">
        <v>3783</v>
      </c>
      <c r="E589" s="3" t="s">
        <v>1830</v>
      </c>
      <c r="F589" s="3" t="s">
        <v>1472</v>
      </c>
      <c r="G589" s="3" t="s">
        <v>6105</v>
      </c>
      <c r="H589" s="3" t="s">
        <v>1958</v>
      </c>
      <c r="I589" s="3" t="s">
        <v>5986</v>
      </c>
      <c r="J589" s="3" t="s">
        <v>5999</v>
      </c>
      <c r="K589" s="4" t="b">
        <f>J589 = "blocking"</f>
        <v>1</v>
      </c>
      <c r="L589" s="3" t="s">
        <v>1448</v>
      </c>
      <c r="M589" s="3" t="s">
        <v>6106</v>
      </c>
      <c r="N589" s="5">
        <v>46223.1297337963</v>
      </c>
      <c r="O589" s="4" t="b">
        <f>L589 = "PASS"</f>
        <v>1</v>
      </c>
      <c r="P589" s="4" t="b">
        <f>L589 = "FAIL"</f>
        <v>0</v>
      </c>
      <c r="Q589" s="4" t="b">
        <f>AND(((P589)=TRUE), ((K589)=TRUE))</f>
        <v>0</v>
      </c>
      <c r="R589" s="4" t="str">
        <f>IF(((O589)=TRUE),  I589,  "")</f>
        <v>suite-substrate</v>
      </c>
      <c r="S589" s="4" t="str">
        <f>IF(((Q589)=TRUE),  I589,  "")</f>
      </c>
      <c r="T589" s="3" t="s">
        <v>6001</v>
      </c>
    </row>
    <row r="590">
      <c r="A590" s="3" t="s">
        <v>6625</v>
      </c>
      <c r="B590" s="4" t="str">
        <f>C590 &amp; ": " &amp; D590</f>
        <v>formula-translates: RequirementSatisfactions.IsBlockingAndUnmet</v>
      </c>
      <c r="C590" s="3" t="s">
        <v>6104</v>
      </c>
      <c r="D590" s="3" t="s">
        <v>865</v>
      </c>
      <c r="E590" s="3" t="s">
        <v>1830</v>
      </c>
      <c r="F590" s="3" t="s">
        <v>1473</v>
      </c>
      <c r="G590" s="3" t="s">
        <v>6105</v>
      </c>
      <c r="H590" s="3" t="s">
        <v>1958</v>
      </c>
      <c r="I590" s="3" t="s">
        <v>5986</v>
      </c>
      <c r="J590" s="3" t="s">
        <v>5999</v>
      </c>
      <c r="K590" s="4" t="b">
        <f>J590 = "blocking"</f>
        <v>1</v>
      </c>
      <c r="L590" s="3" t="s">
        <v>1448</v>
      </c>
      <c r="M590" s="3" t="s">
        <v>6106</v>
      </c>
      <c r="N590" s="5">
        <v>46223.1297337963</v>
      </c>
      <c r="O590" s="4" t="b">
        <f>L590 = "PASS"</f>
        <v>1</v>
      </c>
      <c r="P590" s="4" t="b">
        <f>L590 = "FAIL"</f>
        <v>0</v>
      </c>
      <c r="Q590" s="4" t="b">
        <f>AND(((P590)=TRUE), ((K590)=TRUE))</f>
        <v>0</v>
      </c>
      <c r="R590" s="4" t="str">
        <f>IF(((O590)=TRUE),  I590,  "")</f>
        <v>suite-substrate</v>
      </c>
      <c r="S590" s="4" t="str">
        <f>IF(((Q590)=TRUE),  I590,  "")</f>
      </c>
      <c r="T590" s="3" t="s">
        <v>6001</v>
      </c>
    </row>
    <row r="591">
      <c r="A591" s="3" t="s">
        <v>6626</v>
      </c>
      <c r="B591" s="4" t="str">
        <f>C591 &amp; ": " &amp; D591</f>
        <v>formula-translates: RequirementSatisfactions.BlockingUnmetStepKey</v>
      </c>
      <c r="C591" s="3" t="s">
        <v>6104</v>
      </c>
      <c r="D591" s="3" t="s">
        <v>3786</v>
      </c>
      <c r="E591" s="3" t="s">
        <v>1830</v>
      </c>
      <c r="F591" s="3" t="s">
        <v>1474</v>
      </c>
      <c r="G591" s="3" t="s">
        <v>6105</v>
      </c>
      <c r="H591" s="3" t="s">
        <v>1958</v>
      </c>
      <c r="I591" s="3" t="s">
        <v>5986</v>
      </c>
      <c r="J591" s="3" t="s">
        <v>5999</v>
      </c>
      <c r="K591" s="4" t="b">
        <f>J591 = "blocking"</f>
        <v>1</v>
      </c>
      <c r="L591" s="3" t="s">
        <v>1448</v>
      </c>
      <c r="M591" s="3" t="s">
        <v>6106</v>
      </c>
      <c r="N591" s="5">
        <v>46223.1297337963</v>
      </c>
      <c r="O591" s="4" t="b">
        <f>L591 = "PASS"</f>
        <v>1</v>
      </c>
      <c r="P591" s="4" t="b">
        <f>L591 = "FAIL"</f>
        <v>0</v>
      </c>
      <c r="Q591" s="4" t="b">
        <f>AND(((P591)=TRUE), ((K591)=TRUE))</f>
        <v>0</v>
      </c>
      <c r="R591" s="4" t="str">
        <f>IF(((O591)=TRUE),  I591,  "")</f>
        <v>suite-substrate</v>
      </c>
      <c r="S591" s="4" t="str">
        <f>IF(((Q591)=TRUE),  I591,  "")</f>
      </c>
      <c r="T591" s="3" t="s">
        <v>6001</v>
      </c>
    </row>
    <row r="592">
      <c r="A592" s="3" t="s">
        <v>6627</v>
      </c>
      <c r="B592" s="4" t="str">
        <f>C592 &amp; ": " &amp; D592</f>
        <v>formula-translates: RequirementSatisfactions.BlockingSatisfactionStepKey</v>
      </c>
      <c r="C592" s="3" t="s">
        <v>6104</v>
      </c>
      <c r="D592" s="3" t="s">
        <v>3788</v>
      </c>
      <c r="E592" s="3" t="s">
        <v>1830</v>
      </c>
      <c r="F592" s="3" t="s">
        <v>1475</v>
      </c>
      <c r="G592" s="3" t="s">
        <v>6105</v>
      </c>
      <c r="H592" s="3" t="s">
        <v>1963</v>
      </c>
      <c r="I592" s="3" t="s">
        <v>5986</v>
      </c>
      <c r="J592" s="3" t="s">
        <v>5999</v>
      </c>
      <c r="K592" s="4" t="b">
        <f>J592 = "blocking"</f>
        <v>1</v>
      </c>
      <c r="L592" s="3" t="s">
        <v>1448</v>
      </c>
      <c r="M592" s="3" t="s">
        <v>6106</v>
      </c>
      <c r="N592" s="5">
        <v>46223.1297337963</v>
      </c>
      <c r="O592" s="4" t="b">
        <f>L592 = "PASS"</f>
        <v>1</v>
      </c>
      <c r="P592" s="4" t="b">
        <f>L592 = "FAIL"</f>
        <v>0</v>
      </c>
      <c r="Q592" s="4" t="b">
        <f>AND(((P592)=TRUE), ((K592)=TRUE))</f>
        <v>0</v>
      </c>
      <c r="R592" s="4" t="str">
        <f>IF(((O592)=TRUE),  I592,  "")</f>
        <v>suite-substrate</v>
      </c>
      <c r="S592" s="4" t="str">
        <f>IF(((Q592)=TRUE),  I592,  "")</f>
      </c>
      <c r="T592" s="3" t="s">
        <v>6001</v>
      </c>
    </row>
    <row r="593">
      <c r="A593" s="3" t="s">
        <v>6628</v>
      </c>
      <c r="B593" s="4" t="str">
        <f>C593 &amp; ": " &amp; D593</f>
        <v>formula-translates: RequirementSatisfactions.NegativeOutcomeRequirementKey</v>
      </c>
      <c r="C593" s="3" t="s">
        <v>6104</v>
      </c>
      <c r="D593" s="3" t="s">
        <v>3790</v>
      </c>
      <c r="E593" s="3" t="s">
        <v>1830</v>
      </c>
      <c r="F593" s="3" t="s">
        <v>1476</v>
      </c>
      <c r="G593" s="3" t="s">
        <v>6105</v>
      </c>
      <c r="H593" s="3" t="s">
        <v>1987</v>
      </c>
      <c r="I593" s="3" t="s">
        <v>5986</v>
      </c>
      <c r="J593" s="3" t="s">
        <v>5999</v>
      </c>
      <c r="K593" s="4" t="b">
        <f>J593 = "blocking"</f>
        <v>1</v>
      </c>
      <c r="L593" s="3" t="s">
        <v>1448</v>
      </c>
      <c r="M593" s="3" t="s">
        <v>6106</v>
      </c>
      <c r="N593" s="5">
        <v>46223.1297337963</v>
      </c>
      <c r="O593" s="4" t="b">
        <f>L593 = "PASS"</f>
        <v>1</v>
      </c>
      <c r="P593" s="4" t="b">
        <f>L593 = "FAIL"</f>
        <v>0</v>
      </c>
      <c r="Q593" s="4" t="b">
        <f>AND(((P593)=TRUE), ((K593)=TRUE))</f>
        <v>0</v>
      </c>
      <c r="R593" s="4" t="str">
        <f>IF(((O593)=TRUE),  I593,  "")</f>
        <v>suite-substrate</v>
      </c>
      <c r="S593" s="4" t="str">
        <f>IF(((Q593)=TRUE),  I593,  "")</f>
      </c>
      <c r="T593" s="3" t="s">
        <v>6001</v>
      </c>
    </row>
    <row r="594">
      <c r="A594" s="3" t="s">
        <v>6629</v>
      </c>
      <c r="B594" s="4" t="str">
        <f>C594 &amp; ": " &amp; D594</f>
        <v>formula-translates: RequirementSatisfactions.EvaluatorAgentKind</v>
      </c>
      <c r="C594" s="3" t="s">
        <v>6104</v>
      </c>
      <c r="D594" s="3" t="s">
        <v>3792</v>
      </c>
      <c r="E594" s="3" t="s">
        <v>1830</v>
      </c>
      <c r="F594" s="3" t="s">
        <v>1477</v>
      </c>
      <c r="G594" s="3" t="s">
        <v>6105</v>
      </c>
      <c r="H594" s="3" t="s">
        <v>1995</v>
      </c>
      <c r="I594" s="3" t="s">
        <v>5986</v>
      </c>
      <c r="J594" s="3" t="s">
        <v>5999</v>
      </c>
      <c r="K594" s="4" t="b">
        <f>J594 = "blocking"</f>
        <v>1</v>
      </c>
      <c r="L594" s="3" t="s">
        <v>1448</v>
      </c>
      <c r="M594" s="3" t="s">
        <v>6106</v>
      </c>
      <c r="N594" s="5">
        <v>46223.1297337963</v>
      </c>
      <c r="O594" s="4" t="b">
        <f>L594 = "PASS"</f>
        <v>1</v>
      </c>
      <c r="P594" s="4" t="b">
        <f>L594 = "FAIL"</f>
        <v>0</v>
      </c>
      <c r="Q594" s="4" t="b">
        <f>AND(((P594)=TRUE), ((K594)=TRUE))</f>
        <v>0</v>
      </c>
      <c r="R594" s="4" t="str">
        <f>IF(((O594)=TRUE),  I594,  "")</f>
        <v>suite-substrate</v>
      </c>
      <c r="S594" s="4" t="str">
        <f>IF(((Q594)=TRUE),  I594,  "")</f>
      </c>
      <c r="T594" s="3" t="s">
        <v>6001</v>
      </c>
    </row>
    <row r="595">
      <c r="A595" s="3" t="s">
        <v>6630</v>
      </c>
      <c r="B595" s="4" t="str">
        <f>C595 &amp; ": " &amp; D595</f>
        <v>formula-translates: RequirementSatisfactions.NonHumanEvaluatedHumanControl</v>
      </c>
      <c r="C595" s="3" t="s">
        <v>6104</v>
      </c>
      <c r="D595" s="3" t="s">
        <v>3794</v>
      </c>
      <c r="E595" s="3" t="s">
        <v>1830</v>
      </c>
      <c r="F595" s="3" t="s">
        <v>1478</v>
      </c>
      <c r="G595" s="3" t="s">
        <v>6105</v>
      </c>
      <c r="H595" s="3" t="s">
        <v>1995</v>
      </c>
      <c r="I595" s="3" t="s">
        <v>5986</v>
      </c>
      <c r="J595" s="3" t="s">
        <v>5999</v>
      </c>
      <c r="K595" s="4" t="b">
        <f>J595 = "blocking"</f>
        <v>1</v>
      </c>
      <c r="L595" s="3" t="s">
        <v>1448</v>
      </c>
      <c r="M595" s="3" t="s">
        <v>6106</v>
      </c>
      <c r="N595" s="5">
        <v>46223.1297337963</v>
      </c>
      <c r="O595" s="4" t="b">
        <f>L595 = "PASS"</f>
        <v>1</v>
      </c>
      <c r="P595" s="4" t="b">
        <f>L595 = "FAIL"</f>
        <v>0</v>
      </c>
      <c r="Q595" s="4" t="b">
        <f>AND(((P595)=TRUE), ((K595)=TRUE))</f>
        <v>0</v>
      </c>
      <c r="R595" s="4" t="str">
        <f>IF(((O595)=TRUE),  I595,  "")</f>
        <v>suite-substrate</v>
      </c>
      <c r="S595" s="4" t="str">
        <f>IF(((Q595)=TRUE),  I595,  "")</f>
      </c>
      <c r="T595" s="3" t="s">
        <v>6001</v>
      </c>
    </row>
    <row r="596">
      <c r="A596" s="3" t="s">
        <v>6631</v>
      </c>
      <c r="B596" s="4" t="str">
        <f>C596 &amp; ": " &amp; D596</f>
        <v>formula-translates: RequirementSatisfactions.RequirementHasComputedWitness</v>
      </c>
      <c r="C596" s="3" t="s">
        <v>6104</v>
      </c>
      <c r="D596" s="3" t="s">
        <v>3796</v>
      </c>
      <c r="E596" s="3" t="s">
        <v>1830</v>
      </c>
      <c r="F596" s="3" t="s">
        <v>1479</v>
      </c>
      <c r="G596" s="3" t="s">
        <v>6105</v>
      </c>
      <c r="H596" s="3" t="s">
        <v>2015</v>
      </c>
      <c r="I596" s="3" t="s">
        <v>5986</v>
      </c>
      <c r="J596" s="3" t="s">
        <v>5999</v>
      </c>
      <c r="K596" s="4" t="b">
        <f>J596 = "blocking"</f>
        <v>1</v>
      </c>
      <c r="L596" s="3" t="s">
        <v>1448</v>
      </c>
      <c r="M596" s="3" t="s">
        <v>6106</v>
      </c>
      <c r="N596" s="5">
        <v>46223.1297337963</v>
      </c>
      <c r="O596" s="4" t="b">
        <f>L596 = "PASS"</f>
        <v>1</v>
      </c>
      <c r="P596" s="4" t="b">
        <f>L596 = "FAIL"</f>
        <v>0</v>
      </c>
      <c r="Q596" s="4" t="b">
        <f>AND(((P596)=TRUE), ((K596)=TRUE))</f>
        <v>0</v>
      </c>
      <c r="R596" s="4" t="str">
        <f>IF(((O596)=TRUE),  I596,  "")</f>
        <v>suite-substrate</v>
      </c>
      <c r="S596" s="4" t="str">
        <f>IF(((Q596)=TRUE),  I596,  "")</f>
      </c>
      <c r="T596" s="3" t="s">
        <v>6001</v>
      </c>
    </row>
    <row r="597">
      <c r="A597" s="3" t="s">
        <v>6632</v>
      </c>
      <c r="B597" s="4" t="str">
        <f>C597 &amp; ": " &amp; D597</f>
        <v>formula-translates: RequirementSatisfactions.IsAssertedOnly</v>
      </c>
      <c r="C597" s="3" t="s">
        <v>6104</v>
      </c>
      <c r="D597" s="3" t="s">
        <v>3798</v>
      </c>
      <c r="E597" s="3" t="s">
        <v>1830</v>
      </c>
      <c r="F597" s="3" t="s">
        <v>1480</v>
      </c>
      <c r="G597" s="3" t="s">
        <v>6105</v>
      </c>
      <c r="H597" s="3" t="s">
        <v>2015</v>
      </c>
      <c r="I597" s="3" t="s">
        <v>5986</v>
      </c>
      <c r="J597" s="3" t="s">
        <v>5999</v>
      </c>
      <c r="K597" s="4" t="b">
        <f>J597 = "blocking"</f>
        <v>1</v>
      </c>
      <c r="L597" s="3" t="s">
        <v>1448</v>
      </c>
      <c r="M597" s="3" t="s">
        <v>6106</v>
      </c>
      <c r="N597" s="5">
        <v>46223.1297337963</v>
      </c>
      <c r="O597" s="4" t="b">
        <f>L597 = "PASS"</f>
        <v>1</v>
      </c>
      <c r="P597" s="4" t="b">
        <f>L597 = "FAIL"</f>
        <v>0</v>
      </c>
      <c r="Q597" s="4" t="b">
        <f>AND(((P597)=TRUE), ((K597)=TRUE))</f>
        <v>0</v>
      </c>
      <c r="R597" s="4" t="str">
        <f>IF(((O597)=TRUE),  I597,  "")</f>
        <v>suite-substrate</v>
      </c>
      <c r="S597" s="4" t="str">
        <f>IF(((Q597)=TRUE),  I597,  "")</f>
      </c>
      <c r="T597" s="3" t="s">
        <v>6001</v>
      </c>
    </row>
    <row r="598">
      <c r="A598" s="3" t="s">
        <v>6633</v>
      </c>
      <c r="B598" s="4" t="str">
        <f>C598 &amp; ": " &amp; D598</f>
        <v>formula-translates: RequirementSatisfactions.AssertedOnlyExecutionKey</v>
      </c>
      <c r="C598" s="3" t="s">
        <v>6104</v>
      </c>
      <c r="D598" s="3" t="s">
        <v>3800</v>
      </c>
      <c r="E598" s="3" t="s">
        <v>1830</v>
      </c>
      <c r="F598" s="3" t="s">
        <v>1481</v>
      </c>
      <c r="G598" s="3" t="s">
        <v>6105</v>
      </c>
      <c r="H598" s="3" t="s">
        <v>2015</v>
      </c>
      <c r="I598" s="3" t="s">
        <v>5986</v>
      </c>
      <c r="J598" s="3" t="s">
        <v>5999</v>
      </c>
      <c r="K598" s="4" t="b">
        <f>J598 = "blocking"</f>
        <v>1</v>
      </c>
      <c r="L598" s="3" t="s">
        <v>1448</v>
      </c>
      <c r="M598" s="3" t="s">
        <v>6106</v>
      </c>
      <c r="N598" s="5">
        <v>46223.1297337963</v>
      </c>
      <c r="O598" s="4" t="b">
        <f>L598 = "PASS"</f>
        <v>1</v>
      </c>
      <c r="P598" s="4" t="b">
        <f>L598 = "FAIL"</f>
        <v>0</v>
      </c>
      <c r="Q598" s="4" t="b">
        <f>AND(((P598)=TRUE), ((K598)=TRUE))</f>
        <v>0</v>
      </c>
      <c r="R598" s="4" t="str">
        <f>IF(((O598)=TRUE),  I598,  "")</f>
        <v>suite-substrate</v>
      </c>
      <c r="S598" s="4" t="str">
        <f>IF(((Q598)=TRUE),  I598,  "")</f>
      </c>
      <c r="T598" s="3" t="s">
        <v>6001</v>
      </c>
    </row>
    <row r="599">
      <c r="A599" s="3" t="s">
        <v>6634</v>
      </c>
      <c r="B599" s="4" t="str">
        <f>C599 &amp; ": " &amp; D599</f>
        <v>formula-translates: RequirementSatisfactions.ParentProcedureExecution</v>
      </c>
      <c r="C599" s="3" t="s">
        <v>6104</v>
      </c>
      <c r="D599" s="3" t="s">
        <v>3802</v>
      </c>
      <c r="E599" s="3" t="s">
        <v>1830</v>
      </c>
      <c r="F599" s="3" t="s">
        <v>1482</v>
      </c>
      <c r="G599" s="3" t="s">
        <v>6105</v>
      </c>
      <c r="H599" s="3" t="s">
        <v>2015</v>
      </c>
      <c r="I599" s="3" t="s">
        <v>5986</v>
      </c>
      <c r="J599" s="3" t="s">
        <v>5999</v>
      </c>
      <c r="K599" s="4" t="b">
        <f>J599 = "blocking"</f>
        <v>1</v>
      </c>
      <c r="L599" s="3" t="s">
        <v>1448</v>
      </c>
      <c r="M599" s="3" t="s">
        <v>6106</v>
      </c>
      <c r="N599" s="5">
        <v>46223.1297337963</v>
      </c>
      <c r="O599" s="4" t="b">
        <f>L599 = "PASS"</f>
        <v>1</v>
      </c>
      <c r="P599" s="4" t="b">
        <f>L599 = "FAIL"</f>
        <v>0</v>
      </c>
      <c r="Q599" s="4" t="b">
        <f>AND(((P599)=TRUE), ((K599)=TRUE))</f>
        <v>0</v>
      </c>
      <c r="R599" s="4" t="str">
        <f>IF(((O599)=TRUE),  I599,  "")</f>
        <v>suite-substrate</v>
      </c>
      <c r="S599" s="4" t="str">
        <f>IF(((Q599)=TRUE),  I599,  "")</f>
      </c>
      <c r="T599" s="3" t="s">
        <v>6001</v>
      </c>
    </row>
    <row r="600">
      <c r="A600" s="3" t="s">
        <v>6635</v>
      </c>
      <c r="B600" s="4" t="str">
        <f>C600 &amp; ": " &amp; D600</f>
        <v>formula-translates: RequirementSatisfactions.StepExecutionWhenScored</v>
      </c>
      <c r="C600" s="3" t="s">
        <v>6104</v>
      </c>
      <c r="D600" s="3" t="s">
        <v>3804</v>
      </c>
      <c r="E600" s="3" t="s">
        <v>1830</v>
      </c>
      <c r="F600" s="3" t="s">
        <v>1483</v>
      </c>
      <c r="G600" s="3" t="s">
        <v>6105</v>
      </c>
      <c r="H600" s="3" t="s">
        <v>2131</v>
      </c>
      <c r="I600" s="3" t="s">
        <v>5986</v>
      </c>
      <c r="J600" s="3" t="s">
        <v>5999</v>
      </c>
      <c r="K600" s="4" t="b">
        <f>J600 = "blocking"</f>
        <v>1</v>
      </c>
      <c r="L600" s="3" t="s">
        <v>1448</v>
      </c>
      <c r="M600" s="3" t="s">
        <v>6106</v>
      </c>
      <c r="N600" s="5">
        <v>46223.1297337963</v>
      </c>
      <c r="O600" s="4" t="b">
        <f>L600 = "PASS"</f>
        <v>1</v>
      </c>
      <c r="P600" s="4" t="b">
        <f>L600 = "FAIL"</f>
        <v>0</v>
      </c>
      <c r="Q600" s="4" t="b">
        <f>AND(((P600)=TRUE), ((K600)=TRUE))</f>
        <v>0</v>
      </c>
      <c r="R600" s="4" t="str">
        <f>IF(((O600)=TRUE),  I600,  "")</f>
        <v>suite-substrate</v>
      </c>
      <c r="S600" s="4" t="str">
        <f>IF(((Q600)=TRUE),  I600,  "")</f>
      </c>
      <c r="T600" s="3" t="s">
        <v>6001</v>
      </c>
    </row>
    <row r="601">
      <c r="A601" s="3" t="s">
        <v>6636</v>
      </c>
      <c r="B601" s="4" t="str">
        <f>C601 &amp; ": " &amp; D601</f>
        <v>formula-translates: RequirementSatisfactions.IsHumanEvaluated</v>
      </c>
      <c r="C601" s="3" t="s">
        <v>6104</v>
      </c>
      <c r="D601" s="3" t="s">
        <v>3806</v>
      </c>
      <c r="E601" s="3" t="s">
        <v>1830</v>
      </c>
      <c r="F601" s="3" t="s">
        <v>1484</v>
      </c>
      <c r="G601" s="3" t="s">
        <v>6105</v>
      </c>
      <c r="H601" s="3" t="s">
        <v>2195</v>
      </c>
      <c r="I601" s="3" t="s">
        <v>5986</v>
      </c>
      <c r="J601" s="3" t="s">
        <v>5999</v>
      </c>
      <c r="K601" s="4" t="b">
        <f>J601 = "blocking"</f>
        <v>1</v>
      </c>
      <c r="L601" s="3" t="s">
        <v>1448</v>
      </c>
      <c r="M601" s="3" t="s">
        <v>6106</v>
      </c>
      <c r="N601" s="5">
        <v>46223.1297337963</v>
      </c>
      <c r="O601" s="4" t="b">
        <f>L601 = "PASS"</f>
        <v>1</v>
      </c>
      <c r="P601" s="4" t="b">
        <f>L601 = "FAIL"</f>
        <v>0</v>
      </c>
      <c r="Q601" s="4" t="b">
        <f>AND(((P601)=TRUE), ((K601)=TRUE))</f>
        <v>0</v>
      </c>
      <c r="R601" s="4" t="str">
        <f>IF(((O601)=TRUE),  I601,  "")</f>
        <v>suite-substrate</v>
      </c>
      <c r="S601" s="4" t="str">
        <f>IF(((Q601)=TRUE),  I601,  "")</f>
      </c>
      <c r="T601" s="3" t="s">
        <v>6001</v>
      </c>
    </row>
    <row r="602">
      <c r="A602" s="3" t="s">
        <v>6637</v>
      </c>
      <c r="B602" s="4" t="str">
        <f>C602 &amp; ": " &amp; D602</f>
        <v>formula-translates: RequirementSatisfactions.RequirementIsApprovalType</v>
      </c>
      <c r="C602" s="3" t="s">
        <v>6104</v>
      </c>
      <c r="D602" s="3" t="s">
        <v>3808</v>
      </c>
      <c r="E602" s="3" t="s">
        <v>1830</v>
      </c>
      <c r="F602" s="3" t="s">
        <v>1485</v>
      </c>
      <c r="G602" s="3" t="s">
        <v>6105</v>
      </c>
      <c r="H602" s="3" t="s">
        <v>2195</v>
      </c>
      <c r="I602" s="3" t="s">
        <v>5986</v>
      </c>
      <c r="J602" s="3" t="s">
        <v>5999</v>
      </c>
      <c r="K602" s="4" t="b">
        <f>J602 = "blocking"</f>
        <v>1</v>
      </c>
      <c r="L602" s="3" t="s">
        <v>1448</v>
      </c>
      <c r="M602" s="3" t="s">
        <v>6106</v>
      </c>
      <c r="N602" s="5">
        <v>46223.1297337963</v>
      </c>
      <c r="O602" s="4" t="b">
        <f>L602 = "PASS"</f>
        <v>1</v>
      </c>
      <c r="P602" s="4" t="b">
        <f>L602 = "FAIL"</f>
        <v>0</v>
      </c>
      <c r="Q602" s="4" t="b">
        <f>AND(((P602)=TRUE), ((K602)=TRUE))</f>
        <v>0</v>
      </c>
      <c r="R602" s="4" t="str">
        <f>IF(((O602)=TRUE),  I602,  "")</f>
        <v>suite-substrate</v>
      </c>
      <c r="S602" s="4" t="str">
        <f>IF(((Q602)=TRUE),  I602,  "")</f>
      </c>
      <c r="T602" s="3" t="s">
        <v>6001</v>
      </c>
    </row>
    <row r="603">
      <c r="A603" s="3" t="s">
        <v>6638</v>
      </c>
      <c r="B603" s="4" t="str">
        <f>C603 &amp; ": " &amp; D603</f>
        <v>formula-translates: RequirementSatisfactions.IsInvalidApproval</v>
      </c>
      <c r="C603" s="3" t="s">
        <v>6104</v>
      </c>
      <c r="D603" s="3" t="s">
        <v>3810</v>
      </c>
      <c r="E603" s="3" t="s">
        <v>1830</v>
      </c>
      <c r="F603" s="3" t="s">
        <v>1486</v>
      </c>
      <c r="G603" s="3" t="s">
        <v>6105</v>
      </c>
      <c r="H603" s="3" t="s">
        <v>2195</v>
      </c>
      <c r="I603" s="3" t="s">
        <v>5986</v>
      </c>
      <c r="J603" s="3" t="s">
        <v>5999</v>
      </c>
      <c r="K603" s="4" t="b">
        <f>J603 = "blocking"</f>
        <v>1</v>
      </c>
      <c r="L603" s="3" t="s">
        <v>1448</v>
      </c>
      <c r="M603" s="3" t="s">
        <v>6106</v>
      </c>
      <c r="N603" s="5">
        <v>46223.1297337963</v>
      </c>
      <c r="O603" s="4" t="b">
        <f>L603 = "PASS"</f>
        <v>1</v>
      </c>
      <c r="P603" s="4" t="b">
        <f>L603 = "FAIL"</f>
        <v>0</v>
      </c>
      <c r="Q603" s="4" t="b">
        <f>AND(((P603)=TRUE), ((K603)=TRUE))</f>
        <v>0</v>
      </c>
      <c r="R603" s="4" t="str">
        <f>IF(((O603)=TRUE),  I603,  "")</f>
        <v>suite-substrate</v>
      </c>
      <c r="S603" s="4" t="str">
        <f>IF(((Q603)=TRUE),  I603,  "")</f>
      </c>
      <c r="T603" s="3" t="s">
        <v>6001</v>
      </c>
    </row>
    <row r="604">
      <c r="A604" s="3" t="s">
        <v>6639</v>
      </c>
      <c r="B604" s="4" t="str">
        <f>C604 &amp; ": " &amp; D604</f>
        <v>formula-translates: RequirementSatisfactions.ProcedureExecutionOfSatisfaction</v>
      </c>
      <c r="C604" s="3" t="s">
        <v>6104</v>
      </c>
      <c r="D604" s="3" t="s">
        <v>3812</v>
      </c>
      <c r="E604" s="3" t="s">
        <v>1830</v>
      </c>
      <c r="F604" s="3" t="s">
        <v>1487</v>
      </c>
      <c r="G604" s="3" t="s">
        <v>6105</v>
      </c>
      <c r="H604" s="3" t="s">
        <v>2195</v>
      </c>
      <c r="I604" s="3" t="s">
        <v>5986</v>
      </c>
      <c r="J604" s="3" t="s">
        <v>5999</v>
      </c>
      <c r="K604" s="4" t="b">
        <f>J604 = "blocking"</f>
        <v>1</v>
      </c>
      <c r="L604" s="3" t="s">
        <v>1448</v>
      </c>
      <c r="M604" s="3" t="s">
        <v>6106</v>
      </c>
      <c r="N604" s="5">
        <v>46223.1297337963</v>
      </c>
      <c r="O604" s="4" t="b">
        <f>L604 = "PASS"</f>
        <v>1</v>
      </c>
      <c r="P604" s="4" t="b">
        <f>L604 = "FAIL"</f>
        <v>0</v>
      </c>
      <c r="Q604" s="4" t="b">
        <f>AND(((P604)=TRUE), ((K604)=TRUE))</f>
        <v>0</v>
      </c>
      <c r="R604" s="4" t="str">
        <f>IF(((O604)=TRUE),  I604,  "")</f>
        <v>suite-substrate</v>
      </c>
      <c r="S604" s="4" t="str">
        <f>IF(((Q604)=TRUE),  I604,  "")</f>
      </c>
      <c r="T604" s="3" t="s">
        <v>6001</v>
      </c>
    </row>
    <row r="605">
      <c r="A605" s="3" t="s">
        <v>6640</v>
      </c>
      <c r="B605" s="4" t="str">
        <f>C605 &amp; ": " &amp; D605</f>
        <v>formula-translates: RequirementSatisfactions.RunWhenInvalidApproval</v>
      </c>
      <c r="C605" s="3" t="s">
        <v>6104</v>
      </c>
      <c r="D605" s="3" t="s">
        <v>3813</v>
      </c>
      <c r="E605" s="3" t="s">
        <v>1830</v>
      </c>
      <c r="F605" s="3" t="s">
        <v>1488</v>
      </c>
      <c r="G605" s="3" t="s">
        <v>6105</v>
      </c>
      <c r="H605" s="3" t="s">
        <v>2195</v>
      </c>
      <c r="I605" s="3" t="s">
        <v>5986</v>
      </c>
      <c r="J605" s="3" t="s">
        <v>5999</v>
      </c>
      <c r="K605" s="4" t="b">
        <f>J605 = "blocking"</f>
        <v>1</v>
      </c>
      <c r="L605" s="3" t="s">
        <v>1448</v>
      </c>
      <c r="M605" s="3" t="s">
        <v>6106</v>
      </c>
      <c r="N605" s="5">
        <v>46223.1297337963</v>
      </c>
      <c r="O605" s="4" t="b">
        <f>L605 = "PASS"</f>
        <v>1</v>
      </c>
      <c r="P605" s="4" t="b">
        <f>L605 = "FAIL"</f>
        <v>0</v>
      </c>
      <c r="Q605" s="4" t="b">
        <f>AND(((P605)=TRUE), ((K605)=TRUE))</f>
        <v>0</v>
      </c>
      <c r="R605" s="4" t="str">
        <f>IF(((O605)=TRUE),  I605,  "")</f>
        <v>suite-substrate</v>
      </c>
      <c r="S605" s="4" t="str">
        <f>IF(((Q605)=TRUE),  I605,  "")</f>
      </c>
      <c r="T605" s="3" t="s">
        <v>6001</v>
      </c>
    </row>
    <row r="606">
      <c r="A606" s="3" t="s">
        <v>6641</v>
      </c>
      <c r="B606" s="4" t="str">
        <f>C606 &amp; ": " &amp; D606</f>
        <v>formula-translates: RequirementSatisfactions.RequirementIsUnfalsified</v>
      </c>
      <c r="C606" s="3" t="s">
        <v>6104</v>
      </c>
      <c r="D606" s="3" t="s">
        <v>3815</v>
      </c>
      <c r="E606" s="3" t="s">
        <v>1830</v>
      </c>
      <c r="F606" s="3" t="s">
        <v>1489</v>
      </c>
      <c r="G606" s="3" t="s">
        <v>6105</v>
      </c>
      <c r="H606" s="3" t="s">
        <v>2259</v>
      </c>
      <c r="I606" s="3" t="s">
        <v>5986</v>
      </c>
      <c r="J606" s="3" t="s">
        <v>5999</v>
      </c>
      <c r="K606" s="4" t="b">
        <f>J606 = "blocking"</f>
        <v>1</v>
      </c>
      <c r="L606" s="3" t="s">
        <v>1448</v>
      </c>
      <c r="M606" s="3" t="s">
        <v>6106</v>
      </c>
      <c r="N606" s="5">
        <v>46223.1297337963</v>
      </c>
      <c r="O606" s="4" t="b">
        <f>L606 = "PASS"</f>
        <v>1</v>
      </c>
      <c r="P606" s="4" t="b">
        <f>L606 = "FAIL"</f>
        <v>0</v>
      </c>
      <c r="Q606" s="4" t="b">
        <f>AND(((P606)=TRUE), ((K606)=TRUE))</f>
        <v>0</v>
      </c>
      <c r="R606" s="4" t="str">
        <f>IF(((O606)=TRUE),  I606,  "")</f>
        <v>suite-substrate</v>
      </c>
      <c r="S606" s="4" t="str">
        <f>IF(((Q606)=TRUE),  I606,  "")</f>
      </c>
      <c r="T606" s="3" t="s">
        <v>6001</v>
      </c>
    </row>
    <row r="607">
      <c r="A607" s="3" t="s">
        <v>6642</v>
      </c>
      <c r="B607" s="4" t="str">
        <f>C607 &amp; ": " &amp; D607</f>
        <v>formula-translates: RequirementSatisfactions.IsClearanceByUnfalsifiedControl</v>
      </c>
      <c r="C607" s="3" t="s">
        <v>6104</v>
      </c>
      <c r="D607" s="3" t="s">
        <v>3817</v>
      </c>
      <c r="E607" s="3" t="s">
        <v>1830</v>
      </c>
      <c r="F607" s="3" t="s">
        <v>1490</v>
      </c>
      <c r="G607" s="3" t="s">
        <v>6105</v>
      </c>
      <c r="H607" s="3" t="s">
        <v>2259</v>
      </c>
      <c r="I607" s="3" t="s">
        <v>5986</v>
      </c>
      <c r="J607" s="3" t="s">
        <v>5999</v>
      </c>
      <c r="K607" s="4" t="b">
        <f>J607 = "blocking"</f>
        <v>1</v>
      </c>
      <c r="L607" s="3" t="s">
        <v>1448</v>
      </c>
      <c r="M607" s="3" t="s">
        <v>6106</v>
      </c>
      <c r="N607" s="5">
        <v>46223.1297337963</v>
      </c>
      <c r="O607" s="4" t="b">
        <f>L607 = "PASS"</f>
        <v>1</v>
      </c>
      <c r="P607" s="4" t="b">
        <f>L607 = "FAIL"</f>
        <v>0</v>
      </c>
      <c r="Q607" s="4" t="b">
        <f>AND(((P607)=TRUE), ((K607)=TRUE))</f>
        <v>0</v>
      </c>
      <c r="R607" s="4" t="str">
        <f>IF(((O607)=TRUE),  I607,  "")</f>
        <v>suite-substrate</v>
      </c>
      <c r="S607" s="4" t="str">
        <f>IF(((Q607)=TRUE),  I607,  "")</f>
      </c>
      <c r="T607" s="3" t="s">
        <v>6001</v>
      </c>
    </row>
    <row r="608">
      <c r="A608" s="3" t="s">
        <v>6643</v>
      </c>
      <c r="B608" s="4" t="str">
        <f>C608 &amp; ": " &amp; D608</f>
        <v>formula-translates: RequirementSatisfactions.UnfalsifiedClearanceStepKey</v>
      </c>
      <c r="C608" s="3" t="s">
        <v>6104</v>
      </c>
      <c r="D608" s="3" t="s">
        <v>3819</v>
      </c>
      <c r="E608" s="3" t="s">
        <v>1830</v>
      </c>
      <c r="F608" s="3" t="s">
        <v>1491</v>
      </c>
      <c r="G608" s="3" t="s">
        <v>6105</v>
      </c>
      <c r="H608" s="3" t="s">
        <v>2259</v>
      </c>
      <c r="I608" s="3" t="s">
        <v>5986</v>
      </c>
      <c r="J608" s="3" t="s">
        <v>5999</v>
      </c>
      <c r="K608" s="4" t="b">
        <f>J608 = "blocking"</f>
        <v>1</v>
      </c>
      <c r="L608" s="3" t="s">
        <v>1448</v>
      </c>
      <c r="M608" s="3" t="s">
        <v>6106</v>
      </c>
      <c r="N608" s="5">
        <v>46223.1297337963</v>
      </c>
      <c r="O608" s="4" t="b">
        <f>L608 = "PASS"</f>
        <v>1</v>
      </c>
      <c r="P608" s="4" t="b">
        <f>L608 = "FAIL"</f>
        <v>0</v>
      </c>
      <c r="Q608" s="4" t="b">
        <f>AND(((P608)=TRUE), ((K608)=TRUE))</f>
        <v>0</v>
      </c>
      <c r="R608" s="4" t="str">
        <f>IF(((O608)=TRUE),  I608,  "")</f>
        <v>suite-substrate</v>
      </c>
      <c r="S608" s="4" t="str">
        <f>IF(((Q608)=TRUE),  I608,  "")</f>
      </c>
      <c r="T608" s="3" t="s">
        <v>6001</v>
      </c>
    </row>
    <row r="609">
      <c r="A609" s="3" t="s">
        <v>6644</v>
      </c>
      <c r="B609" s="4" t="str">
        <f>C609 &amp; ": " &amp; D609</f>
        <v>formula-translates: RequirementSatisfactions.SpecStepOfExecution</v>
      </c>
      <c r="C609" s="3" t="s">
        <v>6104</v>
      </c>
      <c r="D609" s="3" t="s">
        <v>3821</v>
      </c>
      <c r="E609" s="3" t="s">
        <v>1830</v>
      </c>
      <c r="F609" s="3" t="s">
        <v>1492</v>
      </c>
      <c r="G609" s="3" t="s">
        <v>6105</v>
      </c>
      <c r="H609" s="3" t="s">
        <v>2283</v>
      </c>
      <c r="I609" s="3" t="s">
        <v>5986</v>
      </c>
      <c r="J609" s="3" t="s">
        <v>5999</v>
      </c>
      <c r="K609" s="4" t="b">
        <f>J609 = "blocking"</f>
        <v>1</v>
      </c>
      <c r="L609" s="3" t="s">
        <v>1448</v>
      </c>
      <c r="M609" s="3" t="s">
        <v>6106</v>
      </c>
      <c r="N609" s="5">
        <v>46223.1297337963</v>
      </c>
      <c r="O609" s="4" t="b">
        <f>L609 = "PASS"</f>
        <v>1</v>
      </c>
      <c r="P609" s="4" t="b">
        <f>L609 = "FAIL"</f>
        <v>0</v>
      </c>
      <c r="Q609" s="4" t="b">
        <f>AND(((P609)=TRUE), ((K609)=TRUE))</f>
        <v>0</v>
      </c>
      <c r="R609" s="4" t="str">
        <f>IF(((O609)=TRUE),  I609,  "")</f>
        <v>suite-substrate</v>
      </c>
      <c r="S609" s="4" t="str">
        <f>IF(((Q609)=TRUE),  I609,  "")</f>
      </c>
      <c r="T609" s="3" t="s">
        <v>6001</v>
      </c>
    </row>
    <row r="610">
      <c r="A610" s="3" t="s">
        <v>6645</v>
      </c>
      <c r="B610" s="4" t="str">
        <f>C610 &amp; ": " &amp; D610</f>
        <v>formula-translates: RequirementSatisfactions.BindingKey</v>
      </c>
      <c r="C610" s="3" t="s">
        <v>6104</v>
      </c>
      <c r="D610" s="3" t="s">
        <v>3823</v>
      </c>
      <c r="E610" s="3" t="s">
        <v>1830</v>
      </c>
      <c r="F610" s="3" t="s">
        <v>1493</v>
      </c>
      <c r="G610" s="3" t="s">
        <v>6105</v>
      </c>
      <c r="H610" s="3" t="s">
        <v>2283</v>
      </c>
      <c r="I610" s="3" t="s">
        <v>5986</v>
      </c>
      <c r="J610" s="3" t="s">
        <v>5999</v>
      </c>
      <c r="K610" s="4" t="b">
        <f>J610 = "blocking"</f>
        <v>1</v>
      </c>
      <c r="L610" s="3" t="s">
        <v>1448</v>
      </c>
      <c r="M610" s="3" t="s">
        <v>6106</v>
      </c>
      <c r="N610" s="5">
        <v>46223.1297337963</v>
      </c>
      <c r="O610" s="4" t="b">
        <f>L610 = "PASS"</f>
        <v>1</v>
      </c>
      <c r="P610" s="4" t="b">
        <f>L610 = "FAIL"</f>
        <v>0</v>
      </c>
      <c r="Q610" s="4" t="b">
        <f>AND(((P610)=TRUE), ((K610)=TRUE))</f>
        <v>0</v>
      </c>
      <c r="R610" s="4" t="str">
        <f>IF(((O610)=TRUE),  I610,  "")</f>
        <v>suite-substrate</v>
      </c>
      <c r="S610" s="4" t="str">
        <f>IF(((Q610)=TRUE),  I610,  "")</f>
      </c>
      <c r="T610" s="3" t="s">
        <v>6001</v>
      </c>
    </row>
    <row r="611">
      <c r="A611" s="3" t="s">
        <v>6646</v>
      </c>
      <c r="B611" s="4" t="str">
        <f>C611 &amp; ": " &amp; D611</f>
        <v>formula-translates: RequirementSatisfactions.ScoredStepExecutorAgent</v>
      </c>
      <c r="C611" s="3" t="s">
        <v>6104</v>
      </c>
      <c r="D611" s="3" t="s">
        <v>3825</v>
      </c>
      <c r="E611" s="3" t="s">
        <v>1830</v>
      </c>
      <c r="F611" s="3" t="s">
        <v>1494</v>
      </c>
      <c r="G611" s="3" t="s">
        <v>6105</v>
      </c>
      <c r="H611" s="3" t="s">
        <v>2291</v>
      </c>
      <c r="I611" s="3" t="s">
        <v>5986</v>
      </c>
      <c r="J611" s="3" t="s">
        <v>5999</v>
      </c>
      <c r="K611" s="4" t="b">
        <f>J611 = "blocking"</f>
        <v>1</v>
      </c>
      <c r="L611" s="3" t="s">
        <v>1448</v>
      </c>
      <c r="M611" s="3" t="s">
        <v>6106</v>
      </c>
      <c r="N611" s="5">
        <v>46223.1297337963</v>
      </c>
      <c r="O611" s="4" t="b">
        <f>L611 = "PASS"</f>
        <v>1</v>
      </c>
      <c r="P611" s="4" t="b">
        <f>L611 = "FAIL"</f>
        <v>0</v>
      </c>
      <c r="Q611" s="4" t="b">
        <f>AND(((P611)=TRUE), ((K611)=TRUE))</f>
        <v>0</v>
      </c>
      <c r="R611" s="4" t="str">
        <f>IF(((O611)=TRUE),  I611,  "")</f>
        <v>suite-substrate</v>
      </c>
      <c r="S611" s="4" t="str">
        <f>IF(((Q611)=TRUE),  I611,  "")</f>
      </c>
      <c r="T611" s="3" t="s">
        <v>6001</v>
      </c>
    </row>
    <row r="612">
      <c r="A612" s="3" t="s">
        <v>6647</v>
      </c>
      <c r="B612" s="4" t="str">
        <f>C612 &amp; ": " &amp; D612</f>
        <v>formula-translates: RequirementSatisfactions.EvaluatorIsStepExecutor</v>
      </c>
      <c r="C612" s="3" t="s">
        <v>6104</v>
      </c>
      <c r="D612" s="3" t="s">
        <v>3827</v>
      </c>
      <c r="E612" s="3" t="s">
        <v>1830</v>
      </c>
      <c r="F612" s="3" t="s">
        <v>1495</v>
      </c>
      <c r="G612" s="3" t="s">
        <v>6105</v>
      </c>
      <c r="H612" s="3" t="s">
        <v>2291</v>
      </c>
      <c r="I612" s="3" t="s">
        <v>5986</v>
      </c>
      <c r="J612" s="3" t="s">
        <v>5999</v>
      </c>
      <c r="K612" s="4" t="b">
        <f>J612 = "blocking"</f>
        <v>1</v>
      </c>
      <c r="L612" s="3" t="s">
        <v>1448</v>
      </c>
      <c r="M612" s="3" t="s">
        <v>6106</v>
      </c>
      <c r="N612" s="5">
        <v>46223.1297337963</v>
      </c>
      <c r="O612" s="4" t="b">
        <f>L612 = "PASS"</f>
        <v>1</v>
      </c>
      <c r="P612" s="4" t="b">
        <f>L612 = "FAIL"</f>
        <v>0</v>
      </c>
      <c r="Q612" s="4" t="b">
        <f>AND(((P612)=TRUE), ((K612)=TRUE))</f>
        <v>0</v>
      </c>
      <c r="R612" s="4" t="str">
        <f>IF(((O612)=TRUE),  I612,  "")</f>
        <v>suite-substrate</v>
      </c>
      <c r="S612" s="4" t="str">
        <f>IF(((Q612)=TRUE),  I612,  "")</f>
      </c>
      <c r="T612" s="3" t="s">
        <v>6001</v>
      </c>
    </row>
    <row r="613">
      <c r="A613" s="3" t="s">
        <v>6648</v>
      </c>
      <c r="B613" s="4" t="str">
        <f>C613 &amp; ": " &amp; D613</f>
        <v>formula-translates: RequirementSatisfactions.RunOwnerAgent</v>
      </c>
      <c r="C613" s="3" t="s">
        <v>6104</v>
      </c>
      <c r="D613" s="3" t="s">
        <v>3829</v>
      </c>
      <c r="E613" s="3" t="s">
        <v>1830</v>
      </c>
      <c r="F613" s="3" t="s">
        <v>1496</v>
      </c>
      <c r="G613" s="3" t="s">
        <v>6105</v>
      </c>
      <c r="H613" s="3" t="s">
        <v>2291</v>
      </c>
      <c r="I613" s="3" t="s">
        <v>5986</v>
      </c>
      <c r="J613" s="3" t="s">
        <v>5999</v>
      </c>
      <c r="K613" s="4" t="b">
        <f>J613 = "blocking"</f>
        <v>1</v>
      </c>
      <c r="L613" s="3" t="s">
        <v>1448</v>
      </c>
      <c r="M613" s="3" t="s">
        <v>6106</v>
      </c>
      <c r="N613" s="5">
        <v>46223.1297337963</v>
      </c>
      <c r="O613" s="4" t="b">
        <f>L613 = "PASS"</f>
        <v>1</v>
      </c>
      <c r="P613" s="4" t="b">
        <f>L613 = "FAIL"</f>
        <v>0</v>
      </c>
      <c r="Q613" s="4" t="b">
        <f>AND(((P613)=TRUE), ((K613)=TRUE))</f>
        <v>0</v>
      </c>
      <c r="R613" s="4" t="str">
        <f>IF(((O613)=TRUE),  I613,  "")</f>
        <v>suite-substrate</v>
      </c>
      <c r="S613" s="4" t="str">
        <f>IF(((Q613)=TRUE),  I613,  "")</f>
      </c>
      <c r="T613" s="3" t="s">
        <v>6001</v>
      </c>
    </row>
    <row r="614">
      <c r="A614" s="3" t="s">
        <v>6649</v>
      </c>
      <c r="B614" s="4" t="str">
        <f>C614 &amp; ": " &amp; D614</f>
        <v>formula-translates: RequirementSatisfactions.EvaluatorOwnsTheRun</v>
      </c>
      <c r="C614" s="3" t="s">
        <v>6104</v>
      </c>
      <c r="D614" s="3" t="s">
        <v>3831</v>
      </c>
      <c r="E614" s="3" t="s">
        <v>1830</v>
      </c>
      <c r="F614" s="3" t="s">
        <v>1497</v>
      </c>
      <c r="G614" s="3" t="s">
        <v>6105</v>
      </c>
      <c r="H614" s="3" t="s">
        <v>2291</v>
      </c>
      <c r="I614" s="3" t="s">
        <v>5986</v>
      </c>
      <c r="J614" s="3" t="s">
        <v>5999</v>
      </c>
      <c r="K614" s="4" t="b">
        <f>J614 = "blocking"</f>
        <v>1</v>
      </c>
      <c r="L614" s="3" t="s">
        <v>1448</v>
      </c>
      <c r="M614" s="3" t="s">
        <v>6106</v>
      </c>
      <c r="N614" s="5">
        <v>46223.1297337963</v>
      </c>
      <c r="O614" s="4" t="b">
        <f>L614 = "PASS"</f>
        <v>1</v>
      </c>
      <c r="P614" s="4" t="b">
        <f>L614 = "FAIL"</f>
        <v>0</v>
      </c>
      <c r="Q614" s="4" t="b">
        <f>AND(((P614)=TRUE), ((K614)=TRUE))</f>
        <v>0</v>
      </c>
      <c r="R614" s="4" t="str">
        <f>IF(((O614)=TRUE),  I614,  "")</f>
        <v>suite-substrate</v>
      </c>
      <c r="S614" s="4" t="str">
        <f>IF(((Q614)=TRUE),  I614,  "")</f>
      </c>
      <c r="T614" s="3" t="s">
        <v>6001</v>
      </c>
    </row>
    <row r="615">
      <c r="A615" s="3" t="s">
        <v>6650</v>
      </c>
      <c r="B615" s="4" t="str">
        <f>C615 &amp; ": " &amp; D615</f>
        <v>formula-translates: RequirementSatisfactions.IsInterestedPartyAssertion</v>
      </c>
      <c r="C615" s="3" t="s">
        <v>6104</v>
      </c>
      <c r="D615" s="3" t="s">
        <v>3833</v>
      </c>
      <c r="E615" s="3" t="s">
        <v>1830</v>
      </c>
      <c r="F615" s="3" t="s">
        <v>1498</v>
      </c>
      <c r="G615" s="3" t="s">
        <v>6105</v>
      </c>
      <c r="H615" s="3" t="s">
        <v>2291</v>
      </c>
      <c r="I615" s="3" t="s">
        <v>5986</v>
      </c>
      <c r="J615" s="3" t="s">
        <v>5999</v>
      </c>
      <c r="K615" s="4" t="b">
        <f>J615 = "blocking"</f>
        <v>1</v>
      </c>
      <c r="L615" s="3" t="s">
        <v>1448</v>
      </c>
      <c r="M615" s="3" t="s">
        <v>6106</v>
      </c>
      <c r="N615" s="5">
        <v>46223.1297337963</v>
      </c>
      <c r="O615" s="4" t="b">
        <f>L615 = "PASS"</f>
        <v>1</v>
      </c>
      <c r="P615" s="4" t="b">
        <f>L615 = "FAIL"</f>
        <v>0</v>
      </c>
      <c r="Q615" s="4" t="b">
        <f>AND(((P615)=TRUE), ((K615)=TRUE))</f>
        <v>0</v>
      </c>
      <c r="R615" s="4" t="str">
        <f>IF(((O615)=TRUE),  I615,  "")</f>
        <v>suite-substrate</v>
      </c>
      <c r="S615" s="4" t="str">
        <f>IF(((Q615)=TRUE),  I615,  "")</f>
      </c>
      <c r="T615" s="3" t="s">
        <v>6001</v>
      </c>
    </row>
    <row r="616">
      <c r="A616" s="3" t="s">
        <v>6651</v>
      </c>
      <c r="B616" s="4" t="str">
        <f>C616 &amp; ": " &amp; D616</f>
        <v>formula-translates: RequirementSatisfactions.HasWrittenEvidence</v>
      </c>
      <c r="C616" s="3" t="s">
        <v>6104</v>
      </c>
      <c r="D616" s="3" t="s">
        <v>3835</v>
      </c>
      <c r="E616" s="3" t="s">
        <v>1830</v>
      </c>
      <c r="F616" s="3" t="s">
        <v>1499</v>
      </c>
      <c r="G616" s="3" t="s">
        <v>6105</v>
      </c>
      <c r="H616" s="3" t="s">
        <v>2291</v>
      </c>
      <c r="I616" s="3" t="s">
        <v>5986</v>
      </c>
      <c r="J616" s="3" t="s">
        <v>5999</v>
      </c>
      <c r="K616" s="4" t="b">
        <f>J616 = "blocking"</f>
        <v>1</v>
      </c>
      <c r="L616" s="3" t="s">
        <v>1448</v>
      </c>
      <c r="M616" s="3" t="s">
        <v>6106</v>
      </c>
      <c r="N616" s="5">
        <v>46223.1297337963</v>
      </c>
      <c r="O616" s="4" t="b">
        <f>L616 = "PASS"</f>
        <v>1</v>
      </c>
      <c r="P616" s="4" t="b">
        <f>L616 = "FAIL"</f>
        <v>0</v>
      </c>
      <c r="Q616" s="4" t="b">
        <f>AND(((P616)=TRUE), ((K616)=TRUE))</f>
        <v>0</v>
      </c>
      <c r="R616" s="4" t="str">
        <f>IF(((O616)=TRUE),  I616,  "")</f>
        <v>suite-substrate</v>
      </c>
      <c r="S616" s="4" t="str">
        <f>IF(((Q616)=TRUE),  I616,  "")</f>
      </c>
      <c r="T616" s="3" t="s">
        <v>6001</v>
      </c>
    </row>
    <row r="617">
      <c r="A617" s="3" t="s">
        <v>6652</v>
      </c>
      <c r="B617" s="4" t="str">
        <f>C617 &amp; ": " &amp; D617</f>
        <v>formula-translates: RequirementSatisfactions.IsBareAssertion</v>
      </c>
      <c r="C617" s="3" t="s">
        <v>6104</v>
      </c>
      <c r="D617" s="3" t="s">
        <v>3837</v>
      </c>
      <c r="E617" s="3" t="s">
        <v>1830</v>
      </c>
      <c r="F617" s="3" t="s">
        <v>1500</v>
      </c>
      <c r="G617" s="3" t="s">
        <v>6105</v>
      </c>
      <c r="H617" s="3" t="s">
        <v>2291</v>
      </c>
      <c r="I617" s="3" t="s">
        <v>5986</v>
      </c>
      <c r="J617" s="3" t="s">
        <v>5999</v>
      </c>
      <c r="K617" s="4" t="b">
        <f>J617 = "blocking"</f>
        <v>1</v>
      </c>
      <c r="L617" s="3" t="s">
        <v>1448</v>
      </c>
      <c r="M617" s="3" t="s">
        <v>6106</v>
      </c>
      <c r="N617" s="5">
        <v>46223.1297337963</v>
      </c>
      <c r="O617" s="4" t="b">
        <f>L617 = "PASS"</f>
        <v>1</v>
      </c>
      <c r="P617" s="4" t="b">
        <f>L617 = "FAIL"</f>
        <v>0</v>
      </c>
      <c r="Q617" s="4" t="b">
        <f>AND(((P617)=TRUE), ((K617)=TRUE))</f>
        <v>0</v>
      </c>
      <c r="R617" s="4" t="str">
        <f>IF(((O617)=TRUE),  I617,  "")</f>
        <v>suite-substrate</v>
      </c>
      <c r="S617" s="4" t="str">
        <f>IF(((Q617)=TRUE),  I617,  "")</f>
      </c>
      <c r="T617" s="3" t="s">
        <v>6001</v>
      </c>
    </row>
    <row r="618">
      <c r="A618" s="3" t="s">
        <v>6653</v>
      </c>
      <c r="B618" s="4" t="str">
        <f>C618 &amp; ": " &amp; D618</f>
        <v>formula-translates: RequirementSatisfactions.InterestedAssertionExecutionKey</v>
      </c>
      <c r="C618" s="3" t="s">
        <v>6104</v>
      </c>
      <c r="D618" s="3" t="s">
        <v>3839</v>
      </c>
      <c r="E618" s="3" t="s">
        <v>1830</v>
      </c>
      <c r="F618" s="3" t="s">
        <v>1501</v>
      </c>
      <c r="G618" s="3" t="s">
        <v>6105</v>
      </c>
      <c r="H618" s="3" t="s">
        <v>2291</v>
      </c>
      <c r="I618" s="3" t="s">
        <v>5986</v>
      </c>
      <c r="J618" s="3" t="s">
        <v>5999</v>
      </c>
      <c r="K618" s="4" t="b">
        <f>J618 = "blocking"</f>
        <v>1</v>
      </c>
      <c r="L618" s="3" t="s">
        <v>1448</v>
      </c>
      <c r="M618" s="3" t="s">
        <v>6106</v>
      </c>
      <c r="N618" s="5">
        <v>46223.1297337963</v>
      </c>
      <c r="O618" s="4" t="b">
        <f>L618 = "PASS"</f>
        <v>1</v>
      </c>
      <c r="P618" s="4" t="b">
        <f>L618 = "FAIL"</f>
        <v>0</v>
      </c>
      <c r="Q618" s="4" t="b">
        <f>AND(((P618)=TRUE), ((K618)=TRUE))</f>
        <v>0</v>
      </c>
      <c r="R618" s="4" t="str">
        <f>IF(((O618)=TRUE),  I618,  "")</f>
        <v>suite-substrate</v>
      </c>
      <c r="S618" s="4" t="str">
        <f>IF(((Q618)=TRUE),  I618,  "")</f>
      </c>
      <c r="T618" s="3" t="s">
        <v>6001</v>
      </c>
    </row>
    <row r="619">
      <c r="A619" s="3" t="s">
        <v>6654</v>
      </c>
      <c r="B619" s="4" t="str">
        <f>C619 &amp; ": " &amp; D619</f>
        <v>formula-translates: RequirementSatisfactions.IsComputedlyWitnessed</v>
      </c>
      <c r="C619" s="3" t="s">
        <v>6104</v>
      </c>
      <c r="D619" s="3" t="s">
        <v>3841</v>
      </c>
      <c r="E619" s="3" t="s">
        <v>1830</v>
      </c>
      <c r="F619" s="3" t="s">
        <v>1502</v>
      </c>
      <c r="G619" s="3" t="s">
        <v>6105</v>
      </c>
      <c r="H619" s="3" t="s">
        <v>2299</v>
      </c>
      <c r="I619" s="3" t="s">
        <v>5986</v>
      </c>
      <c r="J619" s="3" t="s">
        <v>5999</v>
      </c>
      <c r="K619" s="4" t="b">
        <f>J619 = "blocking"</f>
        <v>1</v>
      </c>
      <c r="L619" s="3" t="s">
        <v>1448</v>
      </c>
      <c r="M619" s="3" t="s">
        <v>6106</v>
      </c>
      <c r="N619" s="5">
        <v>46223.1297337963</v>
      </c>
      <c r="O619" s="4" t="b">
        <f>L619 = "PASS"</f>
        <v>1</v>
      </c>
      <c r="P619" s="4" t="b">
        <f>L619 = "FAIL"</f>
        <v>0</v>
      </c>
      <c r="Q619" s="4" t="b">
        <f>AND(((P619)=TRUE), ((K619)=TRUE))</f>
        <v>0</v>
      </c>
      <c r="R619" s="4" t="str">
        <f>IF(((O619)=TRUE),  I619,  "")</f>
        <v>suite-substrate</v>
      </c>
      <c r="S619" s="4" t="str">
        <f>IF(((Q619)=TRUE),  I619,  "")</f>
      </c>
      <c r="T619" s="3" t="s">
        <v>6001</v>
      </c>
    </row>
    <row r="620">
      <c r="A620" s="3" t="s">
        <v>6655</v>
      </c>
      <c r="B620" s="4" t="str">
        <f>C620 &amp; ": " &amp; D620</f>
        <v>formula-translates: RequirementSatisfactions.ComputedWitnessExecutionKey</v>
      </c>
      <c r="C620" s="3" t="s">
        <v>6104</v>
      </c>
      <c r="D620" s="3" t="s">
        <v>3843</v>
      </c>
      <c r="E620" s="3" t="s">
        <v>1830</v>
      </c>
      <c r="F620" s="3" t="s">
        <v>1503</v>
      </c>
      <c r="G620" s="3" t="s">
        <v>6105</v>
      </c>
      <c r="H620" s="3" t="s">
        <v>2299</v>
      </c>
      <c r="I620" s="3" t="s">
        <v>5986</v>
      </c>
      <c r="J620" s="3" t="s">
        <v>5999</v>
      </c>
      <c r="K620" s="4" t="b">
        <f>J620 = "blocking"</f>
        <v>1</v>
      </c>
      <c r="L620" s="3" t="s">
        <v>1448</v>
      </c>
      <c r="M620" s="3" t="s">
        <v>6106</v>
      </c>
      <c r="N620" s="5">
        <v>46223.1297337963</v>
      </c>
      <c r="O620" s="4" t="b">
        <f>L620 = "PASS"</f>
        <v>1</v>
      </c>
      <c r="P620" s="4" t="b">
        <f>L620 = "FAIL"</f>
        <v>0</v>
      </c>
      <c r="Q620" s="4" t="b">
        <f>AND(((P620)=TRUE), ((K620)=TRUE))</f>
        <v>0</v>
      </c>
      <c r="R620" s="4" t="str">
        <f>IF(((O620)=TRUE),  I620,  "")</f>
        <v>suite-substrate</v>
      </c>
      <c r="S620" s="4" t="str">
        <f>IF(((Q620)=TRUE),  I620,  "")</f>
      </c>
      <c r="T620" s="3" t="s">
        <v>6001</v>
      </c>
    </row>
    <row r="621">
      <c r="A621" s="3" t="s">
        <v>6656</v>
      </c>
      <c r="B621" s="4" t="str">
        <f>C621 &amp; ": " &amp; D621</f>
        <v>formula-translates: RequirementSatisfactions.StepExecutorAgent</v>
      </c>
      <c r="C621" s="3" t="s">
        <v>6104</v>
      </c>
      <c r="D621" s="3" t="s">
        <v>3845</v>
      </c>
      <c r="E621" s="3" t="s">
        <v>1830</v>
      </c>
      <c r="F621" s="3" t="s">
        <v>1504</v>
      </c>
      <c r="G621" s="3" t="s">
        <v>6105</v>
      </c>
      <c r="H621" s="3" t="s">
        <v>2299</v>
      </c>
      <c r="I621" s="3" t="s">
        <v>5986</v>
      </c>
      <c r="J621" s="3" t="s">
        <v>5999</v>
      </c>
      <c r="K621" s="4" t="b">
        <f>J621 = "blocking"</f>
        <v>1</v>
      </c>
      <c r="L621" s="3" t="s">
        <v>1448</v>
      </c>
      <c r="M621" s="3" t="s">
        <v>6106</v>
      </c>
      <c r="N621" s="5">
        <v>46223.1297337963</v>
      </c>
      <c r="O621" s="4" t="b">
        <f>L621 = "PASS"</f>
        <v>1</v>
      </c>
      <c r="P621" s="4" t="b">
        <f>L621 = "FAIL"</f>
        <v>0</v>
      </c>
      <c r="Q621" s="4" t="b">
        <f>AND(((P621)=TRUE), ((K621)=TRUE))</f>
        <v>0</v>
      </c>
      <c r="R621" s="4" t="str">
        <f>IF(((O621)=TRUE),  I621,  "")</f>
        <v>suite-substrate</v>
      </c>
      <c r="S621" s="4" t="str">
        <f>IF(((Q621)=TRUE),  I621,  "")</f>
      </c>
      <c r="T621" s="3" t="s">
        <v>6001</v>
      </c>
    </row>
    <row r="622">
      <c r="A622" s="3" t="s">
        <v>6657</v>
      </c>
      <c r="B622" s="4" t="str">
        <f>C622 &amp; ": " &amp; D622</f>
        <v>formula-translates: RequirementSatisfactions.WasScoredAfterAttestation</v>
      </c>
      <c r="C622" s="3" t="s">
        <v>6104</v>
      </c>
      <c r="D622" s="3" t="s">
        <v>3846</v>
      </c>
      <c r="E622" s="3" t="s">
        <v>1830</v>
      </c>
      <c r="F622" s="3" t="s">
        <v>1505</v>
      </c>
      <c r="G622" s="3" t="s">
        <v>6105</v>
      </c>
      <c r="H622" s="3" t="s">
        <v>2315</v>
      </c>
      <c r="I622" s="3" t="s">
        <v>5986</v>
      </c>
      <c r="J622" s="3" t="s">
        <v>5999</v>
      </c>
      <c r="K622" s="4" t="b">
        <f>J622 = "blocking"</f>
        <v>1</v>
      </c>
      <c r="L622" s="3" t="s">
        <v>1448</v>
      </c>
      <c r="M622" s="3" t="s">
        <v>6106</v>
      </c>
      <c r="N622" s="5">
        <v>46223.1297337963</v>
      </c>
      <c r="O622" s="4" t="b">
        <f>L622 = "PASS"</f>
        <v>1</v>
      </c>
      <c r="P622" s="4" t="b">
        <f>L622 = "FAIL"</f>
        <v>0</v>
      </c>
      <c r="Q622" s="4" t="b">
        <f>AND(((P622)=TRUE), ((K622)=TRUE))</f>
        <v>0</v>
      </c>
      <c r="R622" s="4" t="str">
        <f>IF(((O622)=TRUE),  I622,  "")</f>
        <v>suite-substrate</v>
      </c>
      <c r="S622" s="4" t="str">
        <f>IF(((Q622)=TRUE),  I622,  "")</f>
      </c>
      <c r="T622" s="3" t="s">
        <v>6001</v>
      </c>
    </row>
    <row r="623">
      <c r="A623" s="3" t="s">
        <v>6658</v>
      </c>
      <c r="B623" s="4" t="str">
        <f>C623 &amp; ": " &amp; D623</f>
        <v>formula-translates: RequirementSatisfactions.AttestationInstantForRun</v>
      </c>
      <c r="C623" s="3" t="s">
        <v>6104</v>
      </c>
      <c r="D623" s="3" t="s">
        <v>3848</v>
      </c>
      <c r="E623" s="3" t="s">
        <v>1830</v>
      </c>
      <c r="F623" s="3" t="s">
        <v>1506</v>
      </c>
      <c r="G623" s="3" t="s">
        <v>6105</v>
      </c>
      <c r="H623" s="3" t="s">
        <v>2315</v>
      </c>
      <c r="I623" s="3" t="s">
        <v>5986</v>
      </c>
      <c r="J623" s="3" t="s">
        <v>5999</v>
      </c>
      <c r="K623" s="4" t="b">
        <f>J623 = "blocking"</f>
        <v>1</v>
      </c>
      <c r="L623" s="3" t="s">
        <v>1448</v>
      </c>
      <c r="M623" s="3" t="s">
        <v>6106</v>
      </c>
      <c r="N623" s="5">
        <v>46223.1297337963</v>
      </c>
      <c r="O623" s="4" t="b">
        <f>L623 = "PASS"</f>
        <v>1</v>
      </c>
      <c r="P623" s="4" t="b">
        <f>L623 = "FAIL"</f>
        <v>0</v>
      </c>
      <c r="Q623" s="4" t="b">
        <f>AND(((P623)=TRUE), ((K623)=TRUE))</f>
        <v>0</v>
      </c>
      <c r="R623" s="4" t="str">
        <f>IF(((O623)=TRUE),  I623,  "")</f>
        <v>suite-substrate</v>
      </c>
      <c r="S623" s="4" t="str">
        <f>IF(((Q623)=TRUE),  I623,  "")</f>
      </c>
      <c r="T623" s="3" t="s">
        <v>6001</v>
      </c>
    </row>
    <row r="624">
      <c r="A624" s="3" t="s">
        <v>6659</v>
      </c>
      <c r="B624" s="4" t="str">
        <f>C624 &amp; ": " &amp; D624</f>
        <v>formula-translates: RequirementSatisfactions.PostAttestationScoreExecutionKey</v>
      </c>
      <c r="C624" s="3" t="s">
        <v>6104</v>
      </c>
      <c r="D624" s="3" t="s">
        <v>3850</v>
      </c>
      <c r="E624" s="3" t="s">
        <v>1830</v>
      </c>
      <c r="F624" s="3" t="s">
        <v>1507</v>
      </c>
      <c r="G624" s="3" t="s">
        <v>6105</v>
      </c>
      <c r="H624" s="3" t="s">
        <v>2315</v>
      </c>
      <c r="I624" s="3" t="s">
        <v>5986</v>
      </c>
      <c r="J624" s="3" t="s">
        <v>5999</v>
      </c>
      <c r="K624" s="4" t="b">
        <f>J624 = "blocking"</f>
        <v>1</v>
      </c>
      <c r="L624" s="3" t="s">
        <v>1448</v>
      </c>
      <c r="M624" s="3" t="s">
        <v>6106</v>
      </c>
      <c r="N624" s="5">
        <v>46223.1297337963</v>
      </c>
      <c r="O624" s="4" t="b">
        <f>L624 = "PASS"</f>
        <v>1</v>
      </c>
      <c r="P624" s="4" t="b">
        <f>L624 = "FAIL"</f>
        <v>0</v>
      </c>
      <c r="Q624" s="4" t="b">
        <f>AND(((P624)=TRUE), ((K624)=TRUE))</f>
        <v>0</v>
      </c>
      <c r="R624" s="4" t="str">
        <f>IF(((O624)=TRUE),  I624,  "")</f>
        <v>suite-substrate</v>
      </c>
      <c r="S624" s="4" t="str">
        <f>IF(((Q624)=TRUE),  I624,  "")</f>
      </c>
      <c r="T624" s="3" t="s">
        <v>6001</v>
      </c>
    </row>
    <row r="625">
      <c r="A625" s="3" t="s">
        <v>6660</v>
      </c>
      <c r="B625" s="4" t="str">
        <f>C625 &amp; ": " &amp; D625</f>
        <v>formula-translates: Errors.Name</v>
      </c>
      <c r="C625" s="3" t="s">
        <v>6104</v>
      </c>
      <c r="D625" s="3" t="s">
        <v>3854</v>
      </c>
      <c r="E625" s="3" t="s">
        <v>1833</v>
      </c>
      <c r="F625" s="3" t="s">
        <v>1</v>
      </c>
      <c r="G625" s="3" t="s">
        <v>6105</v>
      </c>
      <c r="H625" s="3"/>
      <c r="I625" s="3" t="s">
        <v>5986</v>
      </c>
      <c r="J625" s="3" t="s">
        <v>5999</v>
      </c>
      <c r="K625" s="4" t="b">
        <f>J625 = "blocking"</f>
        <v>1</v>
      </c>
      <c r="L625" s="3" t="s">
        <v>1448</v>
      </c>
      <c r="M625" s="3" t="s">
        <v>6106</v>
      </c>
      <c r="N625" s="5">
        <v>46223.1297337963</v>
      </c>
      <c r="O625" s="4" t="b">
        <f>L625 = "PASS"</f>
        <v>1</v>
      </c>
      <c r="P625" s="4" t="b">
        <f>L625 = "FAIL"</f>
        <v>0</v>
      </c>
      <c r="Q625" s="4" t="b">
        <f>AND(((P625)=TRUE), ((K625)=TRUE))</f>
        <v>0</v>
      </c>
      <c r="R625" s="4" t="str">
        <f>IF(((O625)=TRUE),  I625,  "")</f>
        <v>suite-substrate</v>
      </c>
      <c r="S625" s="4" t="str">
        <f>IF(((Q625)=TRUE),  I625,  "")</f>
      </c>
      <c r="T625" s="3" t="s">
        <v>6001</v>
      </c>
    </row>
    <row r="626">
      <c r="A626" s="3" t="s">
        <v>6661</v>
      </c>
      <c r="B626" s="4" t="str">
        <f>C626 &amp; ": " &amp; D626</f>
        <v>formula-translates: IssueOccurrences.Name</v>
      </c>
      <c r="C626" s="3" t="s">
        <v>6104</v>
      </c>
      <c r="D626" s="3" t="s">
        <v>3861</v>
      </c>
      <c r="E626" s="3" t="s">
        <v>1836</v>
      </c>
      <c r="F626" s="3" t="s">
        <v>1</v>
      </c>
      <c r="G626" s="3" t="s">
        <v>6105</v>
      </c>
      <c r="H626" s="3"/>
      <c r="I626" s="3" t="s">
        <v>5986</v>
      </c>
      <c r="J626" s="3" t="s">
        <v>5999</v>
      </c>
      <c r="K626" s="4" t="b">
        <f>J626 = "blocking"</f>
        <v>1</v>
      </c>
      <c r="L626" s="3" t="s">
        <v>1448</v>
      </c>
      <c r="M626" s="3" t="s">
        <v>6106</v>
      </c>
      <c r="N626" s="5">
        <v>46223.1297337963</v>
      </c>
      <c r="O626" s="4" t="b">
        <f>L626 = "PASS"</f>
        <v>1</v>
      </c>
      <c r="P626" s="4" t="b">
        <f>L626 = "FAIL"</f>
        <v>0</v>
      </c>
      <c r="Q626" s="4" t="b">
        <f>AND(((P626)=TRUE), ((K626)=TRUE))</f>
        <v>0</v>
      </c>
      <c r="R626" s="4" t="str">
        <f>IF(((O626)=TRUE),  I626,  "")</f>
        <v>suite-substrate</v>
      </c>
      <c r="S626" s="4" t="str">
        <f>IF(((Q626)=TRUE),  I626,  "")</f>
      </c>
      <c r="T626" s="3" t="s">
        <v>6001</v>
      </c>
    </row>
    <row r="627">
      <c r="A627" s="3" t="s">
        <v>6662</v>
      </c>
      <c r="B627" s="4" t="str">
        <f>C627 &amp; ": " &amp; D627</f>
        <v>formula-translates: IssueOccurrences.IsUnresolved</v>
      </c>
      <c r="C627" s="3" t="s">
        <v>6104</v>
      </c>
      <c r="D627" s="3" t="s">
        <v>3870</v>
      </c>
      <c r="E627" s="3" t="s">
        <v>1836</v>
      </c>
      <c r="F627" s="3" t="s">
        <v>1545</v>
      </c>
      <c r="G627" s="3" t="s">
        <v>6105</v>
      </c>
      <c r="H627" s="3" t="s">
        <v>2127</v>
      </c>
      <c r="I627" s="3" t="s">
        <v>5986</v>
      </c>
      <c r="J627" s="3" t="s">
        <v>5999</v>
      </c>
      <c r="K627" s="4" t="b">
        <f>J627 = "blocking"</f>
        <v>1</v>
      </c>
      <c r="L627" s="3" t="s">
        <v>1448</v>
      </c>
      <c r="M627" s="3" t="s">
        <v>6106</v>
      </c>
      <c r="N627" s="5">
        <v>46223.1297337963</v>
      </c>
      <c r="O627" s="4" t="b">
        <f>L627 = "PASS"</f>
        <v>1</v>
      </c>
      <c r="P627" s="4" t="b">
        <f>L627 = "FAIL"</f>
        <v>0</v>
      </c>
      <c r="Q627" s="4" t="b">
        <f>AND(((P627)=TRUE), ((K627)=TRUE))</f>
        <v>0</v>
      </c>
      <c r="R627" s="4" t="str">
        <f>IF(((O627)=TRUE),  I627,  "")</f>
        <v>suite-substrate</v>
      </c>
      <c r="S627" s="4" t="str">
        <f>IF(((Q627)=TRUE),  I627,  "")</f>
      </c>
      <c r="T627" s="3" t="s">
        <v>6001</v>
      </c>
    </row>
    <row r="628">
      <c r="A628" s="3" t="s">
        <v>6663</v>
      </c>
      <c r="B628" s="4" t="str">
        <f>C628 &amp; ": " &amp; D628</f>
        <v>formula-translates: IssueOccurrences.StepExecutionWhenUnresolved</v>
      </c>
      <c r="C628" s="3" t="s">
        <v>6104</v>
      </c>
      <c r="D628" s="3" t="s">
        <v>3872</v>
      </c>
      <c r="E628" s="3" t="s">
        <v>1836</v>
      </c>
      <c r="F628" s="3" t="s">
        <v>1546</v>
      </c>
      <c r="G628" s="3" t="s">
        <v>6105</v>
      </c>
      <c r="H628" s="3" t="s">
        <v>2127</v>
      </c>
      <c r="I628" s="3" t="s">
        <v>5986</v>
      </c>
      <c r="J628" s="3" t="s">
        <v>5999</v>
      </c>
      <c r="K628" s="4" t="b">
        <f>J628 = "blocking"</f>
        <v>1</v>
      </c>
      <c r="L628" s="3" t="s">
        <v>1448</v>
      </c>
      <c r="M628" s="3" t="s">
        <v>6106</v>
      </c>
      <c r="N628" s="5">
        <v>46223.1297337963</v>
      </c>
      <c r="O628" s="4" t="b">
        <f>L628 = "PASS"</f>
        <v>1</v>
      </c>
      <c r="P628" s="4" t="b">
        <f>L628 = "FAIL"</f>
        <v>0</v>
      </c>
      <c r="Q628" s="4" t="b">
        <f>AND(((P628)=TRUE), ((K628)=TRUE))</f>
        <v>0</v>
      </c>
      <c r="R628" s="4" t="str">
        <f>IF(((O628)=TRUE),  I628,  "")</f>
        <v>suite-substrate</v>
      </c>
      <c r="S628" s="4" t="str">
        <f>IF(((Q628)=TRUE),  I628,  "")</f>
      </c>
      <c r="T628" s="3" t="s">
        <v>6001</v>
      </c>
    </row>
    <row r="629">
      <c r="A629" s="3" t="s">
        <v>6664</v>
      </c>
      <c r="B629" s="4" t="str">
        <f>C629 &amp; ": " &amp; D629</f>
        <v>formula-translates: UserQuestions.Name</v>
      </c>
      <c r="C629" s="3" t="s">
        <v>6104</v>
      </c>
      <c r="D629" s="3" t="s">
        <v>3876</v>
      </c>
      <c r="E629" s="3" t="s">
        <v>1839</v>
      </c>
      <c r="F629" s="3" t="s">
        <v>1</v>
      </c>
      <c r="G629" s="3" t="s">
        <v>6105</v>
      </c>
      <c r="H629" s="3"/>
      <c r="I629" s="3" t="s">
        <v>5986</v>
      </c>
      <c r="J629" s="3" t="s">
        <v>5999</v>
      </c>
      <c r="K629" s="4" t="b">
        <f>J629 = "blocking"</f>
        <v>1</v>
      </c>
      <c r="L629" s="3" t="s">
        <v>1448</v>
      </c>
      <c r="M629" s="3" t="s">
        <v>6106</v>
      </c>
      <c r="N629" s="5">
        <v>46223.1297337963</v>
      </c>
      <c r="O629" s="4" t="b">
        <f>L629 = "PASS"</f>
        <v>1</v>
      </c>
      <c r="P629" s="4" t="b">
        <f>L629 = "FAIL"</f>
        <v>0</v>
      </c>
      <c r="Q629" s="4" t="b">
        <f>AND(((P629)=TRUE), ((K629)=TRUE))</f>
        <v>0</v>
      </c>
      <c r="R629" s="4" t="str">
        <f>IF(((O629)=TRUE),  I629,  "")</f>
        <v>suite-substrate</v>
      </c>
      <c r="S629" s="4" t="str">
        <f>IF(((Q629)=TRUE),  I629,  "")</f>
      </c>
      <c r="T629" s="3" t="s">
        <v>6001</v>
      </c>
    </row>
    <row r="630">
      <c r="A630" s="3" t="s">
        <v>6665</v>
      </c>
      <c r="B630" s="4" t="str">
        <f>C630 &amp; ": " &amp; D630</f>
        <v>formula-translates: UserFeedback.Name</v>
      </c>
      <c r="C630" s="3" t="s">
        <v>6104</v>
      </c>
      <c r="D630" s="3" t="s">
        <v>3887</v>
      </c>
      <c r="E630" s="3" t="s">
        <v>1842</v>
      </c>
      <c r="F630" s="3" t="s">
        <v>1</v>
      </c>
      <c r="G630" s="3" t="s">
        <v>6105</v>
      </c>
      <c r="H630" s="3"/>
      <c r="I630" s="3" t="s">
        <v>5986</v>
      </c>
      <c r="J630" s="3" t="s">
        <v>5999</v>
      </c>
      <c r="K630" s="4" t="b">
        <f>J630 = "blocking"</f>
        <v>1</v>
      </c>
      <c r="L630" s="3" t="s">
        <v>1448</v>
      </c>
      <c r="M630" s="3" t="s">
        <v>6106</v>
      </c>
      <c r="N630" s="5">
        <v>46223.1297337963</v>
      </c>
      <c r="O630" s="4" t="b">
        <f>L630 = "PASS"</f>
        <v>1</v>
      </c>
      <c r="P630" s="4" t="b">
        <f>L630 = "FAIL"</f>
        <v>0</v>
      </c>
      <c r="Q630" s="4" t="b">
        <f>AND(((P630)=TRUE), ((K630)=TRUE))</f>
        <v>0</v>
      </c>
      <c r="R630" s="4" t="str">
        <f>IF(((O630)=TRUE),  I630,  "")</f>
        <v>suite-substrate</v>
      </c>
      <c r="S630" s="4" t="str">
        <f>IF(((Q630)=TRUE),  I630,  "")</f>
      </c>
      <c r="T630" s="3" t="s">
        <v>6001</v>
      </c>
    </row>
    <row r="631">
      <c r="A631" s="3" t="s">
        <v>6666</v>
      </c>
      <c r="B631" s="4" t="str">
        <f>C631 &amp; ": " &amp; D631</f>
        <v>formula-translates: StewardshipAssignments.Name</v>
      </c>
      <c r="C631" s="3" t="s">
        <v>6104</v>
      </c>
      <c r="D631" s="3" t="s">
        <v>3897</v>
      </c>
      <c r="E631" s="3" t="s">
        <v>1859</v>
      </c>
      <c r="F631" s="3" t="s">
        <v>1</v>
      </c>
      <c r="G631" s="3" t="s">
        <v>6105</v>
      </c>
      <c r="H631" s="3"/>
      <c r="I631" s="3" t="s">
        <v>5986</v>
      </c>
      <c r="J631" s="3" t="s">
        <v>5999</v>
      </c>
      <c r="K631" s="4" t="b">
        <f>J631 = "blocking"</f>
        <v>1</v>
      </c>
      <c r="L631" s="3" t="s">
        <v>1448</v>
      </c>
      <c r="M631" s="3" t="s">
        <v>6106</v>
      </c>
      <c r="N631" s="5">
        <v>46223.1297337963</v>
      </c>
      <c r="O631" s="4" t="b">
        <f>L631 = "PASS"</f>
        <v>1</v>
      </c>
      <c r="P631" s="4" t="b">
        <f>L631 = "FAIL"</f>
        <v>0</v>
      </c>
      <c r="Q631" s="4" t="b">
        <f>AND(((P631)=TRUE), ((K631)=TRUE))</f>
        <v>0</v>
      </c>
      <c r="R631" s="4" t="str">
        <f>IF(((O631)=TRUE),  I631,  "")</f>
        <v>suite-substrate</v>
      </c>
      <c r="S631" s="4" t="str">
        <f>IF(((Q631)=TRUE),  I631,  "")</f>
      </c>
      <c r="T631" s="3" t="s">
        <v>6001</v>
      </c>
    </row>
    <row r="632">
      <c r="A632" s="3" t="s">
        <v>6667</v>
      </c>
      <c r="B632" s="4" t="str">
        <f>C632 &amp; ": " &amp; D632</f>
        <v>formula-translates: StewardshipAssignments.CountOfReviewEvents</v>
      </c>
      <c r="C632" s="3" t="s">
        <v>6104</v>
      </c>
      <c r="D632" s="3" t="s">
        <v>3905</v>
      </c>
      <c r="E632" s="3" t="s">
        <v>1859</v>
      </c>
      <c r="F632" s="3" t="s">
        <v>406</v>
      </c>
      <c r="G632" s="3" t="s">
        <v>6105</v>
      </c>
      <c r="H632" s="3" t="s">
        <v>2019</v>
      </c>
      <c r="I632" s="3" t="s">
        <v>5986</v>
      </c>
      <c r="J632" s="3" t="s">
        <v>5999</v>
      </c>
      <c r="K632" s="4" t="b">
        <f>J632 = "blocking"</f>
        <v>1</v>
      </c>
      <c r="L632" s="3" t="s">
        <v>1448</v>
      </c>
      <c r="M632" s="3" t="s">
        <v>6106</v>
      </c>
      <c r="N632" s="5">
        <v>46223.1297337963</v>
      </c>
      <c r="O632" s="4" t="b">
        <f>L632 = "PASS"</f>
        <v>1</v>
      </c>
      <c r="P632" s="4" t="b">
        <f>L632 = "FAIL"</f>
        <v>0</v>
      </c>
      <c r="Q632" s="4" t="b">
        <f>AND(((P632)=TRUE), ((K632)=TRUE))</f>
        <v>0</v>
      </c>
      <c r="R632" s="4" t="str">
        <f>IF(((O632)=TRUE),  I632,  "")</f>
        <v>suite-substrate</v>
      </c>
      <c r="S632" s="4" t="str">
        <f>IF(((Q632)=TRUE),  I632,  "")</f>
      </c>
      <c r="T632" s="3" t="s">
        <v>6001</v>
      </c>
    </row>
    <row r="633">
      <c r="A633" s="3" t="s">
        <v>6668</v>
      </c>
      <c r="B633" s="4" t="str">
        <f>C633 &amp; ": " &amp; D633</f>
        <v>formula-translates: StewardshipAssignments.HasEverBeenReviewed</v>
      </c>
      <c r="C633" s="3" t="s">
        <v>6104</v>
      </c>
      <c r="D633" s="3" t="s">
        <v>3907</v>
      </c>
      <c r="E633" s="3" t="s">
        <v>1859</v>
      </c>
      <c r="F633" s="3" t="s">
        <v>1583</v>
      </c>
      <c r="G633" s="3" t="s">
        <v>6105</v>
      </c>
      <c r="H633" s="3" t="s">
        <v>2019</v>
      </c>
      <c r="I633" s="3" t="s">
        <v>5986</v>
      </c>
      <c r="J633" s="3" t="s">
        <v>5999</v>
      </c>
      <c r="K633" s="4" t="b">
        <f>J633 = "blocking"</f>
        <v>1</v>
      </c>
      <c r="L633" s="3" t="s">
        <v>1448</v>
      </c>
      <c r="M633" s="3" t="s">
        <v>6106</v>
      </c>
      <c r="N633" s="5">
        <v>46223.1297337963</v>
      </c>
      <c r="O633" s="4" t="b">
        <f>L633 = "PASS"</f>
        <v>1</v>
      </c>
      <c r="P633" s="4" t="b">
        <f>L633 = "FAIL"</f>
        <v>0</v>
      </c>
      <c r="Q633" s="4" t="b">
        <f>AND(((P633)=TRUE), ((K633)=TRUE))</f>
        <v>0</v>
      </c>
      <c r="R633" s="4" t="str">
        <f>IF(((O633)=TRUE),  I633,  "")</f>
        <v>suite-substrate</v>
      </c>
      <c r="S633" s="4" t="str">
        <f>IF(((Q633)=TRUE),  I633,  "")</f>
      </c>
      <c r="T633" s="3" t="s">
        <v>6001</v>
      </c>
    </row>
    <row r="634">
      <c r="A634" s="3" t="s">
        <v>6669</v>
      </c>
      <c r="B634" s="4" t="str">
        <f>C634 &amp; ": " &amp; D634</f>
        <v>formula-translates: StewardshipAssignments.AsOfInstant</v>
      </c>
      <c r="C634" s="3" t="s">
        <v>6104</v>
      </c>
      <c r="D634" s="3" t="s">
        <v>3910</v>
      </c>
      <c r="E634" s="3" t="s">
        <v>1859</v>
      </c>
      <c r="F634" s="3" t="s">
        <v>92</v>
      </c>
      <c r="G634" s="3" t="s">
        <v>6105</v>
      </c>
      <c r="H634" s="3"/>
      <c r="I634" s="3" t="s">
        <v>5986</v>
      </c>
      <c r="J634" s="3" t="s">
        <v>5999</v>
      </c>
      <c r="K634" s="4" t="b">
        <f>J634 = "blocking"</f>
        <v>1</v>
      </c>
      <c r="L634" s="3" t="s">
        <v>1448</v>
      </c>
      <c r="M634" s="3" t="s">
        <v>6106</v>
      </c>
      <c r="N634" s="5">
        <v>46223.1297337963</v>
      </c>
      <c r="O634" s="4" t="b">
        <f>L634 = "PASS"</f>
        <v>1</v>
      </c>
      <c r="P634" s="4" t="b">
        <f>L634 = "FAIL"</f>
        <v>0</v>
      </c>
      <c r="Q634" s="4" t="b">
        <f>AND(((P634)=TRUE), ((K634)=TRUE))</f>
        <v>0</v>
      </c>
      <c r="R634" s="4" t="str">
        <f>IF(((O634)=TRUE),  I634,  "")</f>
        <v>suite-substrate</v>
      </c>
      <c r="S634" s="4" t="str">
        <f>IF(((Q634)=TRUE),  I634,  "")</f>
      </c>
      <c r="T634" s="3" t="s">
        <v>6001</v>
      </c>
    </row>
    <row r="635">
      <c r="A635" s="3" t="s">
        <v>6670</v>
      </c>
      <c r="B635" s="4" t="str">
        <f>C635 &amp; ": " &amp; D635</f>
        <v>formula-translates: StewardshipAssignments.IsCurrentAssignment</v>
      </c>
      <c r="C635" s="3" t="s">
        <v>6104</v>
      </c>
      <c r="D635" s="3" t="s">
        <v>3911</v>
      </c>
      <c r="E635" s="3" t="s">
        <v>1859</v>
      </c>
      <c r="F635" s="3" t="s">
        <v>1584</v>
      </c>
      <c r="G635" s="3" t="s">
        <v>6105</v>
      </c>
      <c r="H635" s="3" t="s">
        <v>2023</v>
      </c>
      <c r="I635" s="3" t="s">
        <v>5986</v>
      </c>
      <c r="J635" s="3" t="s">
        <v>5999</v>
      </c>
      <c r="K635" s="4" t="b">
        <f>J635 = "blocking"</f>
        <v>1</v>
      </c>
      <c r="L635" s="3" t="s">
        <v>1448</v>
      </c>
      <c r="M635" s="3" t="s">
        <v>6106</v>
      </c>
      <c r="N635" s="5">
        <v>46223.1297337963</v>
      </c>
      <c r="O635" s="4" t="b">
        <f>L635 = "PASS"</f>
        <v>1</v>
      </c>
      <c r="P635" s="4" t="b">
        <f>L635 = "FAIL"</f>
        <v>0</v>
      </c>
      <c r="Q635" s="4" t="b">
        <f>AND(((P635)=TRUE), ((K635)=TRUE))</f>
        <v>0</v>
      </c>
      <c r="R635" s="4" t="str">
        <f>IF(((O635)=TRUE),  I635,  "")</f>
        <v>suite-substrate</v>
      </c>
      <c r="S635" s="4" t="str">
        <f>IF(((Q635)=TRUE),  I635,  "")</f>
      </c>
      <c r="T635" s="3" t="s">
        <v>6001</v>
      </c>
    </row>
    <row r="636">
      <c r="A636" s="3" t="s">
        <v>6671</v>
      </c>
      <c r="B636" s="4" t="str">
        <f>C636 &amp; ": " &amp; D636</f>
        <v>formula-translates: ChangeRequests.Name</v>
      </c>
      <c r="C636" s="3" t="s">
        <v>6104</v>
      </c>
      <c r="D636" s="3" t="s">
        <v>3915</v>
      </c>
      <c r="E636" s="3" t="s">
        <v>3914</v>
      </c>
      <c r="F636" s="3" t="s">
        <v>1</v>
      </c>
      <c r="G636" s="3" t="s">
        <v>6105</v>
      </c>
      <c r="H636" s="3"/>
      <c r="I636" s="3" t="s">
        <v>5986</v>
      </c>
      <c r="J636" s="3" t="s">
        <v>5999</v>
      </c>
      <c r="K636" s="4" t="b">
        <f>J636 = "blocking"</f>
        <v>1</v>
      </c>
      <c r="L636" s="3" t="s">
        <v>1448</v>
      </c>
      <c r="M636" s="3" t="s">
        <v>6106</v>
      </c>
      <c r="N636" s="5">
        <v>46223.1297337963</v>
      </c>
      <c r="O636" s="4" t="b">
        <f>L636 = "PASS"</f>
        <v>1</v>
      </c>
      <c r="P636" s="4" t="b">
        <f>L636 = "FAIL"</f>
        <v>0</v>
      </c>
      <c r="Q636" s="4" t="b">
        <f>AND(((P636)=TRUE), ((K636)=TRUE))</f>
        <v>0</v>
      </c>
      <c r="R636" s="4" t="str">
        <f>IF(((O636)=TRUE),  I636,  "")</f>
        <v>suite-substrate</v>
      </c>
      <c r="S636" s="4" t="str">
        <f>IF(((Q636)=TRUE),  I636,  "")</f>
      </c>
      <c r="T636" s="3" t="s">
        <v>6001</v>
      </c>
    </row>
    <row r="637">
      <c r="A637" s="3" t="s">
        <v>6672</v>
      </c>
      <c r="B637" s="4" t="str">
        <f>C637 &amp; ": " &amp; D637</f>
        <v>formula-translates: ChangeRequests.IsOpen</v>
      </c>
      <c r="C637" s="3" t="s">
        <v>6104</v>
      </c>
      <c r="D637" s="3" t="s">
        <v>3925</v>
      </c>
      <c r="E637" s="3" t="s">
        <v>3914</v>
      </c>
      <c r="F637" s="3" t="s">
        <v>1199</v>
      </c>
      <c r="G637" s="3" t="s">
        <v>6105</v>
      </c>
      <c r="H637" s="3"/>
      <c r="I637" s="3" t="s">
        <v>5986</v>
      </c>
      <c r="J637" s="3" t="s">
        <v>5999</v>
      </c>
      <c r="K637" s="4" t="b">
        <f>J637 = "blocking"</f>
        <v>1</v>
      </c>
      <c r="L637" s="3" t="s">
        <v>1448</v>
      </c>
      <c r="M637" s="3" t="s">
        <v>6106</v>
      </c>
      <c r="N637" s="5">
        <v>46223.1297337963</v>
      </c>
      <c r="O637" s="4" t="b">
        <f>L637 = "PASS"</f>
        <v>1</v>
      </c>
      <c r="P637" s="4" t="b">
        <f>L637 = "FAIL"</f>
        <v>0</v>
      </c>
      <c r="Q637" s="4" t="b">
        <f>AND(((P637)=TRUE), ((K637)=TRUE))</f>
        <v>0</v>
      </c>
      <c r="R637" s="4" t="str">
        <f>IF(((O637)=TRUE),  I637,  "")</f>
        <v>suite-substrate</v>
      </c>
      <c r="S637" s="4" t="str">
        <f>IF(((Q637)=TRUE),  I637,  "")</f>
      </c>
      <c r="T637" s="3" t="s">
        <v>6001</v>
      </c>
    </row>
    <row r="638">
      <c r="A638" s="3" t="s">
        <v>6673</v>
      </c>
      <c r="B638" s="4" t="str">
        <f>C638 &amp; ": " &amp; D638</f>
        <v>formula-translates: ChangeRequests.OpenChangeVersionKey</v>
      </c>
      <c r="C638" s="3" t="s">
        <v>6104</v>
      </c>
      <c r="D638" s="3" t="s">
        <v>3927</v>
      </c>
      <c r="E638" s="3" t="s">
        <v>3914</v>
      </c>
      <c r="F638" s="3" t="s">
        <v>1594</v>
      </c>
      <c r="G638" s="3" t="s">
        <v>6105</v>
      </c>
      <c r="H638" s="3" t="s">
        <v>2003</v>
      </c>
      <c r="I638" s="3" t="s">
        <v>5986</v>
      </c>
      <c r="J638" s="3" t="s">
        <v>5999</v>
      </c>
      <c r="K638" s="4" t="b">
        <f>J638 = "blocking"</f>
        <v>1</v>
      </c>
      <c r="L638" s="3" t="s">
        <v>1448</v>
      </c>
      <c r="M638" s="3" t="s">
        <v>6106</v>
      </c>
      <c r="N638" s="5">
        <v>46223.1297337963</v>
      </c>
      <c r="O638" s="4" t="b">
        <f>L638 = "PASS"</f>
        <v>1</v>
      </c>
      <c r="P638" s="4" t="b">
        <f>L638 = "FAIL"</f>
        <v>0</v>
      </c>
      <c r="Q638" s="4" t="b">
        <f>AND(((P638)=TRUE), ((K638)=TRUE))</f>
        <v>0</v>
      </c>
      <c r="R638" s="4" t="str">
        <f>IF(((O638)=TRUE),  I638,  "")</f>
        <v>suite-substrate</v>
      </c>
      <c r="S638" s="4" t="str">
        <f>IF(((Q638)=TRUE),  I638,  "")</f>
      </c>
      <c r="T638" s="3" t="s">
        <v>6001</v>
      </c>
    </row>
    <row r="639">
      <c r="A639" s="3" t="s">
        <v>6674</v>
      </c>
      <c r="B639" s="4" t="str">
        <f>C639 &amp; ": " &amp; D639</f>
        <v>formula-translates: ChangeRequests.IsDecided</v>
      </c>
      <c r="C639" s="3" t="s">
        <v>6104</v>
      </c>
      <c r="D639" s="3" t="s">
        <v>3929</v>
      </c>
      <c r="E639" s="3" t="s">
        <v>3914</v>
      </c>
      <c r="F639" s="3" t="s">
        <v>1595</v>
      </c>
      <c r="G639" s="3" t="s">
        <v>6105</v>
      </c>
      <c r="H639" s="3" t="s">
        <v>2035</v>
      </c>
      <c r="I639" s="3" t="s">
        <v>5986</v>
      </c>
      <c r="J639" s="3" t="s">
        <v>5999</v>
      </c>
      <c r="K639" s="4" t="b">
        <f>J639 = "blocking"</f>
        <v>1</v>
      </c>
      <c r="L639" s="3" t="s">
        <v>1448</v>
      </c>
      <c r="M639" s="3" t="s">
        <v>6106</v>
      </c>
      <c r="N639" s="5">
        <v>46223.1297337963</v>
      </c>
      <c r="O639" s="4" t="b">
        <f>L639 = "PASS"</f>
        <v>1</v>
      </c>
      <c r="P639" s="4" t="b">
        <f>L639 = "FAIL"</f>
        <v>0</v>
      </c>
      <c r="Q639" s="4" t="b">
        <f>AND(((P639)=TRUE), ((K639)=TRUE))</f>
        <v>0</v>
      </c>
      <c r="R639" s="4" t="str">
        <f>IF(((O639)=TRUE),  I639,  "")</f>
        <v>suite-substrate</v>
      </c>
      <c r="S639" s="4" t="str">
        <f>IF(((Q639)=TRUE),  I639,  "")</f>
      </c>
      <c r="T639" s="3" t="s">
        <v>6001</v>
      </c>
    </row>
    <row r="640">
      <c r="A640" s="3" t="s">
        <v>6675</v>
      </c>
      <c r="B640" s="4" t="str">
        <f>C640 &amp; ": " &amp; D640</f>
        <v>formula-translates: ChangeRequests.AsOfInstant</v>
      </c>
      <c r="C640" s="3" t="s">
        <v>6104</v>
      </c>
      <c r="D640" s="3" t="s">
        <v>3932</v>
      </c>
      <c r="E640" s="3" t="s">
        <v>3914</v>
      </c>
      <c r="F640" s="3" t="s">
        <v>92</v>
      </c>
      <c r="G640" s="3" t="s">
        <v>6105</v>
      </c>
      <c r="H640" s="3"/>
      <c r="I640" s="3" t="s">
        <v>5986</v>
      </c>
      <c r="J640" s="3" t="s">
        <v>5999</v>
      </c>
      <c r="K640" s="4" t="b">
        <f>J640 = "blocking"</f>
        <v>1</v>
      </c>
      <c r="L640" s="3" t="s">
        <v>1448</v>
      </c>
      <c r="M640" s="3" t="s">
        <v>6106</v>
      </c>
      <c r="N640" s="5">
        <v>46223.1297337963</v>
      </c>
      <c r="O640" s="4" t="b">
        <f>L640 = "PASS"</f>
        <v>1</v>
      </c>
      <c r="P640" s="4" t="b">
        <f>L640 = "FAIL"</f>
        <v>0</v>
      </c>
      <c r="Q640" s="4" t="b">
        <f>AND(((P640)=TRUE), ((K640)=TRUE))</f>
        <v>0</v>
      </c>
      <c r="R640" s="4" t="str">
        <f>IF(((O640)=TRUE),  I640,  "")</f>
        <v>suite-substrate</v>
      </c>
      <c r="S640" s="4" t="str">
        <f>IF(((Q640)=TRUE),  I640,  "")</f>
      </c>
      <c r="T640" s="3" t="s">
        <v>6001</v>
      </c>
    </row>
    <row r="641">
      <c r="A641" s="3" t="s">
        <v>6676</v>
      </c>
      <c r="B641" s="4" t="str">
        <f>C641 &amp; ": " &amp; D641</f>
        <v>formula-translates: ChangeRequests.DaysPending</v>
      </c>
      <c r="C641" s="3" t="s">
        <v>6104</v>
      </c>
      <c r="D641" s="3" t="s">
        <v>3933</v>
      </c>
      <c r="E641" s="3" t="s">
        <v>3914</v>
      </c>
      <c r="F641" s="3" t="s">
        <v>1596</v>
      </c>
      <c r="G641" s="3" t="s">
        <v>6105</v>
      </c>
      <c r="H641" s="3" t="s">
        <v>2035</v>
      </c>
      <c r="I641" s="3" t="s">
        <v>5986</v>
      </c>
      <c r="J641" s="3" t="s">
        <v>5999</v>
      </c>
      <c r="K641" s="4" t="b">
        <f>J641 = "blocking"</f>
        <v>1</v>
      </c>
      <c r="L641" s="3" t="s">
        <v>1448</v>
      </c>
      <c r="M641" s="3" t="s">
        <v>6106</v>
      </c>
      <c r="N641" s="5">
        <v>46223.1297337963</v>
      </c>
      <c r="O641" s="4" t="b">
        <f>L641 = "PASS"</f>
        <v>1</v>
      </c>
      <c r="P641" s="4" t="b">
        <f>L641 = "FAIL"</f>
        <v>0</v>
      </c>
      <c r="Q641" s="4" t="b">
        <f>AND(((P641)=TRUE), ((K641)=TRUE))</f>
        <v>0</v>
      </c>
      <c r="R641" s="4" t="str">
        <f>IF(((O641)=TRUE),  I641,  "")</f>
        <v>suite-substrate</v>
      </c>
      <c r="S641" s="4" t="str">
        <f>IF(((Q641)=TRUE),  I641,  "")</f>
      </c>
      <c r="T641" s="3" t="s">
        <v>6001</v>
      </c>
    </row>
    <row r="642">
      <c r="A642" s="3" t="s">
        <v>6677</v>
      </c>
      <c r="B642" s="4" t="str">
        <f>C642 &amp; ": " &amp; D642</f>
        <v>formula-translates: ChangeRequests.IsStillPending</v>
      </c>
      <c r="C642" s="3" t="s">
        <v>6104</v>
      </c>
      <c r="D642" s="3" t="s">
        <v>3935</v>
      </c>
      <c r="E642" s="3" t="s">
        <v>3914</v>
      </c>
      <c r="F642" s="3" t="s">
        <v>1597</v>
      </c>
      <c r="G642" s="3" t="s">
        <v>6105</v>
      </c>
      <c r="H642" s="3" t="s">
        <v>2035</v>
      </c>
      <c r="I642" s="3" t="s">
        <v>5986</v>
      </c>
      <c r="J642" s="3" t="s">
        <v>5999</v>
      </c>
      <c r="K642" s="4" t="b">
        <f>J642 = "blocking"</f>
        <v>1</v>
      </c>
      <c r="L642" s="3" t="s">
        <v>1448</v>
      </c>
      <c r="M642" s="3" t="s">
        <v>6106</v>
      </c>
      <c r="N642" s="5">
        <v>46223.1297337963</v>
      </c>
      <c r="O642" s="4" t="b">
        <f>L642 = "PASS"</f>
        <v>1</v>
      </c>
      <c r="P642" s="4" t="b">
        <f>L642 = "FAIL"</f>
        <v>0</v>
      </c>
      <c r="Q642" s="4" t="b">
        <f>AND(((P642)=TRUE), ((K642)=TRUE))</f>
        <v>0</v>
      </c>
      <c r="R642" s="4" t="str">
        <f>IF(((O642)=TRUE),  I642,  "")</f>
        <v>suite-substrate</v>
      </c>
      <c r="S642" s="4" t="str">
        <f>IF(((Q642)=TRUE),  I642,  "")</f>
      </c>
      <c r="T642" s="3" t="s">
        <v>6001</v>
      </c>
    </row>
    <row r="643">
      <c r="A643" s="3" t="s">
        <v>6678</v>
      </c>
      <c r="B643" s="4" t="str">
        <f>C643 &amp; ": " &amp; D643</f>
        <v>formula-translates: ChangeRequests.IsStalled</v>
      </c>
      <c r="C643" s="3" t="s">
        <v>6104</v>
      </c>
      <c r="D643" s="3" t="s">
        <v>3937</v>
      </c>
      <c r="E643" s="3" t="s">
        <v>3914</v>
      </c>
      <c r="F643" s="3" t="s">
        <v>1598</v>
      </c>
      <c r="G643" s="3" t="s">
        <v>6105</v>
      </c>
      <c r="H643" s="3" t="s">
        <v>2035</v>
      </c>
      <c r="I643" s="3" t="s">
        <v>5986</v>
      </c>
      <c r="J643" s="3" t="s">
        <v>5999</v>
      </c>
      <c r="K643" s="4" t="b">
        <f>J643 = "blocking"</f>
        <v>1</v>
      </c>
      <c r="L643" s="3" t="s">
        <v>1448</v>
      </c>
      <c r="M643" s="3" t="s">
        <v>6106</v>
      </c>
      <c r="N643" s="5">
        <v>46223.1297337963</v>
      </c>
      <c r="O643" s="4" t="b">
        <f>L643 = "PASS"</f>
        <v>1</v>
      </c>
      <c r="P643" s="4" t="b">
        <f>L643 = "FAIL"</f>
        <v>0</v>
      </c>
      <c r="Q643" s="4" t="b">
        <f>AND(((P643)=TRUE), ((K643)=TRUE))</f>
        <v>0</v>
      </c>
      <c r="R643" s="4" t="str">
        <f>IF(((O643)=TRUE),  I643,  "")</f>
        <v>suite-substrate</v>
      </c>
      <c r="S643" s="4" t="str">
        <f>IF(((Q643)=TRUE),  I643,  "")</f>
      </c>
      <c r="T643" s="3" t="s">
        <v>6001</v>
      </c>
    </row>
    <row r="644">
      <c r="A644" s="3" t="s">
        <v>6679</v>
      </c>
      <c r="B644" s="4" t="str">
        <f>C644 &amp; ": " &amp; D644</f>
        <v>formula-translates: ChangeRequests.AuthorityAgent</v>
      </c>
      <c r="C644" s="3" t="s">
        <v>6104</v>
      </c>
      <c r="D644" s="3" t="s">
        <v>3939</v>
      </c>
      <c r="E644" s="3" t="s">
        <v>3914</v>
      </c>
      <c r="F644" s="3" t="s">
        <v>1599</v>
      </c>
      <c r="G644" s="3" t="s">
        <v>6105</v>
      </c>
      <c r="H644" s="3" t="s">
        <v>2035</v>
      </c>
      <c r="I644" s="3" t="s">
        <v>5986</v>
      </c>
      <c r="J644" s="3" t="s">
        <v>5999</v>
      </c>
      <c r="K644" s="4" t="b">
        <f>J644 = "blocking"</f>
        <v>1</v>
      </c>
      <c r="L644" s="3" t="s">
        <v>1448</v>
      </c>
      <c r="M644" s="3" t="s">
        <v>6106</v>
      </c>
      <c r="N644" s="5">
        <v>46223.1297337963</v>
      </c>
      <c r="O644" s="4" t="b">
        <f>L644 = "PASS"</f>
        <v>1</v>
      </c>
      <c r="P644" s="4" t="b">
        <f>L644 = "FAIL"</f>
        <v>0</v>
      </c>
      <c r="Q644" s="4" t="b">
        <f>AND(((P644)=TRUE), ((K644)=TRUE))</f>
        <v>0</v>
      </c>
      <c r="R644" s="4" t="str">
        <f>IF(((O644)=TRUE),  I644,  "")</f>
        <v>suite-substrate</v>
      </c>
      <c r="S644" s="4" t="str">
        <f>IF(((Q644)=TRUE),  I644,  "")</f>
      </c>
      <c r="T644" s="3" t="s">
        <v>6001</v>
      </c>
    </row>
    <row r="645">
      <c r="A645" s="3" t="s">
        <v>6680</v>
      </c>
      <c r="B645" s="4" t="str">
        <f>C645 &amp; ": " &amp; D645</f>
        <v>formula-translates: ChangeRequests.RequesterIsAuthority</v>
      </c>
      <c r="C645" s="3" t="s">
        <v>6104</v>
      </c>
      <c r="D645" s="3" t="s">
        <v>3941</v>
      </c>
      <c r="E645" s="3" t="s">
        <v>3914</v>
      </c>
      <c r="F645" s="3" t="s">
        <v>1600</v>
      </c>
      <c r="G645" s="3" t="s">
        <v>6105</v>
      </c>
      <c r="H645" s="3" t="s">
        <v>2035</v>
      </c>
      <c r="I645" s="3" t="s">
        <v>5986</v>
      </c>
      <c r="J645" s="3" t="s">
        <v>5999</v>
      </c>
      <c r="K645" s="4" t="b">
        <f>J645 = "blocking"</f>
        <v>1</v>
      </c>
      <c r="L645" s="3" t="s">
        <v>1448</v>
      </c>
      <c r="M645" s="3" t="s">
        <v>6106</v>
      </c>
      <c r="N645" s="5">
        <v>46223.1297337963</v>
      </c>
      <c r="O645" s="4" t="b">
        <f>L645 = "PASS"</f>
        <v>1</v>
      </c>
      <c r="P645" s="4" t="b">
        <f>L645 = "FAIL"</f>
        <v>0</v>
      </c>
      <c r="Q645" s="4" t="b">
        <f>AND(((P645)=TRUE), ((K645)=TRUE))</f>
        <v>0</v>
      </c>
      <c r="R645" s="4" t="str">
        <f>IF(((O645)=TRUE),  I645,  "")</f>
        <v>suite-substrate</v>
      </c>
      <c r="S645" s="4" t="str">
        <f>IF(((Q645)=TRUE),  I645,  "")</f>
      </c>
      <c r="T645" s="3" t="s">
        <v>6001</v>
      </c>
    </row>
    <row r="646">
      <c r="A646" s="3" t="s">
        <v>6681</v>
      </c>
      <c r="B646" s="4" t="str">
        <f>C646 &amp; ": " &amp; D646</f>
        <v>formula-translates: ChangeRequests.AwaitsAuthorityDecision</v>
      </c>
      <c r="C646" s="3" t="s">
        <v>6104</v>
      </c>
      <c r="D646" s="3" t="s">
        <v>3943</v>
      </c>
      <c r="E646" s="3" t="s">
        <v>3914</v>
      </c>
      <c r="F646" s="3" t="s">
        <v>1601</v>
      </c>
      <c r="G646" s="3" t="s">
        <v>6105</v>
      </c>
      <c r="H646" s="3" t="s">
        <v>2139</v>
      </c>
      <c r="I646" s="3" t="s">
        <v>5986</v>
      </c>
      <c r="J646" s="3" t="s">
        <v>5999</v>
      </c>
      <c r="K646" s="4" t="b">
        <f>J646 = "blocking"</f>
        <v>1</v>
      </c>
      <c r="L646" s="3" t="s">
        <v>1448</v>
      </c>
      <c r="M646" s="3" t="s">
        <v>6106</v>
      </c>
      <c r="N646" s="5">
        <v>46223.1297337963</v>
      </c>
      <c r="O646" s="4" t="b">
        <f>L646 = "PASS"</f>
        <v>1</v>
      </c>
      <c r="P646" s="4" t="b">
        <f>L646 = "FAIL"</f>
        <v>0</v>
      </c>
      <c r="Q646" s="4" t="b">
        <f>AND(((P646)=TRUE), ((K646)=TRUE))</f>
        <v>0</v>
      </c>
      <c r="R646" s="4" t="str">
        <f>IF(((O646)=TRUE),  I646,  "")</f>
        <v>suite-substrate</v>
      </c>
      <c r="S646" s="4" t="str">
        <f>IF(((Q646)=TRUE),  I646,  "")</f>
      </c>
      <c r="T646" s="3" t="s">
        <v>6001</v>
      </c>
    </row>
    <row r="647">
      <c r="A647" s="3" t="s">
        <v>6682</v>
      </c>
      <c r="B647" s="4" t="str">
        <f>C647 &amp; ": " &amp; D647</f>
        <v>formula-translates: ChangeRequests.AuthorityRoleLabel</v>
      </c>
      <c r="C647" s="3" t="s">
        <v>6104</v>
      </c>
      <c r="D647" s="3" t="s">
        <v>3945</v>
      </c>
      <c r="E647" s="3" t="s">
        <v>3914</v>
      </c>
      <c r="F647" s="3" t="s">
        <v>1602</v>
      </c>
      <c r="G647" s="3" t="s">
        <v>6105</v>
      </c>
      <c r="H647" s="3" t="s">
        <v>2139</v>
      </c>
      <c r="I647" s="3" t="s">
        <v>5986</v>
      </c>
      <c r="J647" s="3" t="s">
        <v>5999</v>
      </c>
      <c r="K647" s="4" t="b">
        <f>J647 = "blocking"</f>
        <v>1</v>
      </c>
      <c r="L647" s="3" t="s">
        <v>1448</v>
      </c>
      <c r="M647" s="3" t="s">
        <v>6106</v>
      </c>
      <c r="N647" s="5">
        <v>46223.1297337963</v>
      </c>
      <c r="O647" s="4" t="b">
        <f>L647 = "PASS"</f>
        <v>1</v>
      </c>
      <c r="P647" s="4" t="b">
        <f>L647 = "FAIL"</f>
        <v>0</v>
      </c>
      <c r="Q647" s="4" t="b">
        <f>AND(((P647)=TRUE), ((K647)=TRUE))</f>
        <v>0</v>
      </c>
      <c r="R647" s="4" t="str">
        <f>IF(((O647)=TRUE),  I647,  "")</f>
        <v>suite-substrate</v>
      </c>
      <c r="S647" s="4" t="str">
        <f>IF(((Q647)=TRUE),  I647,  "")</f>
      </c>
      <c r="T647" s="3" t="s">
        <v>6001</v>
      </c>
    </row>
    <row r="648">
      <c r="A648" s="3" t="s">
        <v>6683</v>
      </c>
      <c r="B648" s="4" t="str">
        <f>C648 &amp; ": " &amp; D648</f>
        <v>formula-translates: ChangeRequests.TouchesLiveVersion</v>
      </c>
      <c r="C648" s="3" t="s">
        <v>6104</v>
      </c>
      <c r="D648" s="3" t="s">
        <v>3947</v>
      </c>
      <c r="E648" s="3" t="s">
        <v>3914</v>
      </c>
      <c r="F648" s="3" t="s">
        <v>1603</v>
      </c>
      <c r="G648" s="3" t="s">
        <v>6105</v>
      </c>
      <c r="H648" s="3" t="s">
        <v>2139</v>
      </c>
      <c r="I648" s="3" t="s">
        <v>5986</v>
      </c>
      <c r="J648" s="3" t="s">
        <v>5999</v>
      </c>
      <c r="K648" s="4" t="b">
        <f>J648 = "blocking"</f>
        <v>1</v>
      </c>
      <c r="L648" s="3" t="s">
        <v>1448</v>
      </c>
      <c r="M648" s="3" t="s">
        <v>6106</v>
      </c>
      <c r="N648" s="5">
        <v>46223.1297337963</v>
      </c>
      <c r="O648" s="4" t="b">
        <f>L648 = "PASS"</f>
        <v>1</v>
      </c>
      <c r="P648" s="4" t="b">
        <f>L648 = "FAIL"</f>
        <v>0</v>
      </c>
      <c r="Q648" s="4" t="b">
        <f>AND(((P648)=TRUE), ((K648)=TRUE))</f>
        <v>0</v>
      </c>
      <c r="R648" s="4" t="str">
        <f>IF(((O648)=TRUE),  I648,  "")</f>
        <v>suite-substrate</v>
      </c>
      <c r="S648" s="4" t="str">
        <f>IF(((Q648)=TRUE),  I648,  "")</f>
      </c>
      <c r="T648" s="3" t="s">
        <v>6001</v>
      </c>
    </row>
    <row r="649">
      <c r="A649" s="3" t="s">
        <v>6684</v>
      </c>
      <c r="B649" s="4" t="str">
        <f>C649 &amp; ": " &amp; D649</f>
        <v>formula-translates: ChangeRequests.IsLiveDecisionBacklog</v>
      </c>
      <c r="C649" s="3" t="s">
        <v>6104</v>
      </c>
      <c r="D649" s="3" t="s">
        <v>3948</v>
      </c>
      <c r="E649" s="3" t="s">
        <v>3914</v>
      </c>
      <c r="F649" s="3" t="s">
        <v>1604</v>
      </c>
      <c r="G649" s="3" t="s">
        <v>6105</v>
      </c>
      <c r="H649" s="3" t="s">
        <v>2139</v>
      </c>
      <c r="I649" s="3" t="s">
        <v>5986</v>
      </c>
      <c r="J649" s="3" t="s">
        <v>5999</v>
      </c>
      <c r="K649" s="4" t="b">
        <f>J649 = "blocking"</f>
        <v>1</v>
      </c>
      <c r="L649" s="3" t="s">
        <v>1448</v>
      </c>
      <c r="M649" s="3" t="s">
        <v>6106</v>
      </c>
      <c r="N649" s="5">
        <v>46223.1297337963</v>
      </c>
      <c r="O649" s="4" t="b">
        <f>L649 = "PASS"</f>
        <v>1</v>
      </c>
      <c r="P649" s="4" t="b">
        <f>L649 = "FAIL"</f>
        <v>0</v>
      </c>
      <c r="Q649" s="4" t="b">
        <f>AND(((P649)=TRUE), ((K649)=TRUE))</f>
        <v>0</v>
      </c>
      <c r="R649" s="4" t="str">
        <f>IF(((O649)=TRUE),  I649,  "")</f>
        <v>suite-substrate</v>
      </c>
      <c r="S649" s="4" t="str">
        <f>IF(((Q649)=TRUE),  I649,  "")</f>
      </c>
      <c r="T649" s="3" t="s">
        <v>6001</v>
      </c>
    </row>
    <row r="650">
      <c r="A650" s="3" t="s">
        <v>6685</v>
      </c>
      <c r="B650" s="4" t="str">
        <f>C650 &amp; ": " &amp; D650</f>
        <v>formula-translates: ChangeRequests.BlocksAnOpenGap</v>
      </c>
      <c r="C650" s="3" t="s">
        <v>6104</v>
      </c>
      <c r="D650" s="3" t="s">
        <v>3950</v>
      </c>
      <c r="E650" s="3" t="s">
        <v>3914</v>
      </c>
      <c r="F650" s="3" t="s">
        <v>1605</v>
      </c>
      <c r="G650" s="3" t="s">
        <v>6105</v>
      </c>
      <c r="H650" s="3" t="s">
        <v>2139</v>
      </c>
      <c r="I650" s="3" t="s">
        <v>5986</v>
      </c>
      <c r="J650" s="3" t="s">
        <v>5999</v>
      </c>
      <c r="K650" s="4" t="b">
        <f>J650 = "blocking"</f>
        <v>1</v>
      </c>
      <c r="L650" s="3" t="s">
        <v>1448</v>
      </c>
      <c r="M650" s="3" t="s">
        <v>6106</v>
      </c>
      <c r="N650" s="5">
        <v>46223.1297337963</v>
      </c>
      <c r="O650" s="4" t="b">
        <f>L650 = "PASS"</f>
        <v>1</v>
      </c>
      <c r="P650" s="4" t="b">
        <f>L650 = "FAIL"</f>
        <v>0</v>
      </c>
      <c r="Q650" s="4" t="b">
        <f>AND(((P650)=TRUE), ((K650)=TRUE))</f>
        <v>0</v>
      </c>
      <c r="R650" s="4" t="str">
        <f>IF(((O650)=TRUE),  I650,  "")</f>
        <v>suite-substrate</v>
      </c>
      <c r="S650" s="4" t="str">
        <f>IF(((Q650)=TRUE),  I650,  "")</f>
      </c>
      <c r="T650" s="3" t="s">
        <v>6001</v>
      </c>
    </row>
    <row r="651">
      <c r="A651" s="3" t="s">
        <v>6686</v>
      </c>
      <c r="B651" s="4" t="str">
        <f>C651 &amp; ": " &amp; D651</f>
        <v>formula-translates: ChangeRequests.BacklogVersionKey</v>
      </c>
      <c r="C651" s="3" t="s">
        <v>6104</v>
      </c>
      <c r="D651" s="3" t="s">
        <v>3953</v>
      </c>
      <c r="E651" s="3" t="s">
        <v>3914</v>
      </c>
      <c r="F651" s="3" t="s">
        <v>1607</v>
      </c>
      <c r="G651" s="3" t="s">
        <v>6105</v>
      </c>
      <c r="H651" s="3" t="s">
        <v>2219</v>
      </c>
      <c r="I651" s="3" t="s">
        <v>5986</v>
      </c>
      <c r="J651" s="3" t="s">
        <v>5999</v>
      </c>
      <c r="K651" s="4" t="b">
        <f>J651 = "blocking"</f>
        <v>1</v>
      </c>
      <c r="L651" s="3" t="s">
        <v>1448</v>
      </c>
      <c r="M651" s="3" t="s">
        <v>6106</v>
      </c>
      <c r="N651" s="5">
        <v>46223.1297337963</v>
      </c>
      <c r="O651" s="4" t="b">
        <f>L651 = "PASS"</f>
        <v>1</v>
      </c>
      <c r="P651" s="4" t="b">
        <f>L651 = "FAIL"</f>
        <v>0</v>
      </c>
      <c r="Q651" s="4" t="b">
        <f>AND(((P651)=TRUE), ((K651)=TRUE))</f>
        <v>0</v>
      </c>
      <c r="R651" s="4" t="str">
        <f>IF(((O651)=TRUE),  I651,  "")</f>
        <v>suite-substrate</v>
      </c>
      <c r="S651" s="4" t="str">
        <f>IF(((Q651)=TRUE),  I651,  "")</f>
      </c>
      <c r="T651" s="3" t="s">
        <v>6001</v>
      </c>
    </row>
    <row r="652">
      <c r="A652" s="3" t="s">
        <v>6687</v>
      </c>
      <c r="B652" s="4" t="str">
        <f>C652 &amp; ": " &amp; D652</f>
        <v>formula-translates: ChangeRequests.IsMyPendingDecision</v>
      </c>
      <c r="C652" s="3" t="s">
        <v>6104</v>
      </c>
      <c r="D652" s="3" t="s">
        <v>3955</v>
      </c>
      <c r="E652" s="3" t="s">
        <v>3914</v>
      </c>
      <c r="F652" s="3" t="s">
        <v>1608</v>
      </c>
      <c r="G652" s="3" t="s">
        <v>6105</v>
      </c>
      <c r="H652" s="3" t="s">
        <v>2219</v>
      </c>
      <c r="I652" s="3" t="s">
        <v>5986</v>
      </c>
      <c r="J652" s="3" t="s">
        <v>5999</v>
      </c>
      <c r="K652" s="4" t="b">
        <f>J652 = "blocking"</f>
        <v>1</v>
      </c>
      <c r="L652" s="3" t="s">
        <v>1448</v>
      </c>
      <c r="M652" s="3" t="s">
        <v>6106</v>
      </c>
      <c r="N652" s="5">
        <v>46223.1297337963</v>
      </c>
      <c r="O652" s="4" t="b">
        <f>L652 = "PASS"</f>
        <v>1</v>
      </c>
      <c r="P652" s="4" t="b">
        <f>L652 = "FAIL"</f>
        <v>0</v>
      </c>
      <c r="Q652" s="4" t="b">
        <f>AND(((P652)=TRUE), ((K652)=TRUE))</f>
        <v>0</v>
      </c>
      <c r="R652" s="4" t="str">
        <f>IF(((O652)=TRUE),  I652,  "")</f>
        <v>suite-substrate</v>
      </c>
      <c r="S652" s="4" t="str">
        <f>IF(((Q652)=TRUE),  I652,  "")</f>
      </c>
      <c r="T652" s="3" t="s">
        <v>6001</v>
      </c>
    </row>
    <row r="653">
      <c r="A653" s="3" t="s">
        <v>6688</v>
      </c>
      <c r="B653" s="4" t="str">
        <f>C653 &amp; ": " &amp; D653</f>
        <v>formula-translates: ChangeRequests.IsMyBlockingBacklog</v>
      </c>
      <c r="C653" s="3" t="s">
        <v>6104</v>
      </c>
      <c r="D653" s="3" t="s">
        <v>3957</v>
      </c>
      <c r="E653" s="3" t="s">
        <v>3914</v>
      </c>
      <c r="F653" s="3" t="s">
        <v>1609</v>
      </c>
      <c r="G653" s="3" t="s">
        <v>6105</v>
      </c>
      <c r="H653" s="3" t="s">
        <v>2219</v>
      </c>
      <c r="I653" s="3" t="s">
        <v>5986</v>
      </c>
      <c r="J653" s="3" t="s">
        <v>5999</v>
      </c>
      <c r="K653" s="4" t="b">
        <f>J653 = "blocking"</f>
        <v>1</v>
      </c>
      <c r="L653" s="3" t="s">
        <v>1448</v>
      </c>
      <c r="M653" s="3" t="s">
        <v>6106</v>
      </c>
      <c r="N653" s="5">
        <v>46223.1297337963</v>
      </c>
      <c r="O653" s="4" t="b">
        <f>L653 = "PASS"</f>
        <v>1</v>
      </c>
      <c r="P653" s="4" t="b">
        <f>L653 = "FAIL"</f>
        <v>0</v>
      </c>
      <c r="Q653" s="4" t="b">
        <f>AND(((P653)=TRUE), ((K653)=TRUE))</f>
        <v>0</v>
      </c>
      <c r="R653" s="4" t="str">
        <f>IF(((O653)=TRUE),  I653,  "")</f>
        <v>suite-substrate</v>
      </c>
      <c r="S653" s="4" t="str">
        <f>IF(((Q653)=TRUE),  I653,  "")</f>
      </c>
      <c r="T653" s="3" t="s">
        <v>6001</v>
      </c>
    </row>
    <row r="654">
      <c r="A654" s="3" t="s">
        <v>6689</v>
      </c>
      <c r="B654" s="4" t="str">
        <f>C654 &amp; ": " &amp; D654</f>
        <v>formula-translates: ChangeRequests.IsMyOverdueBacklog</v>
      </c>
      <c r="C654" s="3" t="s">
        <v>6104</v>
      </c>
      <c r="D654" s="3" t="s">
        <v>3959</v>
      </c>
      <c r="E654" s="3" t="s">
        <v>3914</v>
      </c>
      <c r="F654" s="3" t="s">
        <v>1610</v>
      </c>
      <c r="G654" s="3" t="s">
        <v>6105</v>
      </c>
      <c r="H654" s="3" t="s">
        <v>2219</v>
      </c>
      <c r="I654" s="3" t="s">
        <v>5986</v>
      </c>
      <c r="J654" s="3" t="s">
        <v>5999</v>
      </c>
      <c r="K654" s="4" t="b">
        <f>J654 = "blocking"</f>
        <v>1</v>
      </c>
      <c r="L654" s="3" t="s">
        <v>1448</v>
      </c>
      <c r="M654" s="3" t="s">
        <v>6106</v>
      </c>
      <c r="N654" s="5">
        <v>46223.1297337963</v>
      </c>
      <c r="O654" s="4" t="b">
        <f>L654 = "PASS"</f>
        <v>1</v>
      </c>
      <c r="P654" s="4" t="b">
        <f>L654 = "FAIL"</f>
        <v>0</v>
      </c>
      <c r="Q654" s="4" t="b">
        <f>AND(((P654)=TRUE), ((K654)=TRUE))</f>
        <v>0</v>
      </c>
      <c r="R654" s="4" t="str">
        <f>IF(((O654)=TRUE),  I654,  "")</f>
        <v>suite-substrate</v>
      </c>
      <c r="S654" s="4" t="str">
        <f>IF(((Q654)=TRUE),  I654,  "")</f>
      </c>
      <c r="T654" s="3" t="s">
        <v>6001</v>
      </c>
    </row>
    <row r="655">
      <c r="A655" s="3" t="s">
        <v>6690</v>
      </c>
      <c r="B655" s="4" t="str">
        <f>C655 &amp; ": " &amp; D655</f>
        <v>formula-translates: ChangeRequests.IsImplemented</v>
      </c>
      <c r="C655" s="3" t="s">
        <v>6104</v>
      </c>
      <c r="D655" s="3" t="s">
        <v>3961</v>
      </c>
      <c r="E655" s="3" t="s">
        <v>3914</v>
      </c>
      <c r="F655" s="3" t="s">
        <v>1611</v>
      </c>
      <c r="G655" s="3" t="s">
        <v>6105</v>
      </c>
      <c r="H655" s="3" t="s">
        <v>2231</v>
      </c>
      <c r="I655" s="3" t="s">
        <v>5986</v>
      </c>
      <c r="J655" s="3" t="s">
        <v>5999</v>
      </c>
      <c r="K655" s="4" t="b">
        <f>J655 = "blocking"</f>
        <v>1</v>
      </c>
      <c r="L655" s="3" t="s">
        <v>1448</v>
      </c>
      <c r="M655" s="3" t="s">
        <v>6106</v>
      </c>
      <c r="N655" s="5">
        <v>46223.1297337963</v>
      </c>
      <c r="O655" s="4" t="b">
        <f>L655 = "PASS"</f>
        <v>1</v>
      </c>
      <c r="P655" s="4" t="b">
        <f>L655 = "FAIL"</f>
        <v>0</v>
      </c>
      <c r="Q655" s="4" t="b">
        <f>AND(((P655)=TRUE), ((K655)=TRUE))</f>
        <v>0</v>
      </c>
      <c r="R655" s="4" t="str">
        <f>IF(((O655)=TRUE),  I655,  "")</f>
        <v>suite-substrate</v>
      </c>
      <c r="S655" s="4" t="str">
        <f>IF(((Q655)=TRUE),  I655,  "")</f>
      </c>
      <c r="T655" s="3" t="s">
        <v>6001</v>
      </c>
    </row>
    <row r="656">
      <c r="A656" s="3" t="s">
        <v>6691</v>
      </c>
      <c r="B656" s="4" t="str">
        <f>C656 &amp; ": " &amp; D656</f>
        <v>formula-translates: ChangeRequests.IsMyDecidedRequest</v>
      </c>
      <c r="C656" s="3" t="s">
        <v>6104</v>
      </c>
      <c r="D656" s="3" t="s">
        <v>3963</v>
      </c>
      <c r="E656" s="3" t="s">
        <v>3914</v>
      </c>
      <c r="F656" s="3" t="s">
        <v>1612</v>
      </c>
      <c r="G656" s="3" t="s">
        <v>6105</v>
      </c>
      <c r="H656" s="3" t="s">
        <v>2231</v>
      </c>
      <c r="I656" s="3" t="s">
        <v>5986</v>
      </c>
      <c r="J656" s="3" t="s">
        <v>5999</v>
      </c>
      <c r="K656" s="4" t="b">
        <f>J656 = "blocking"</f>
        <v>1</v>
      </c>
      <c r="L656" s="3" t="s">
        <v>1448</v>
      </c>
      <c r="M656" s="3" t="s">
        <v>6106</v>
      </c>
      <c r="N656" s="5">
        <v>46223.1297337963</v>
      </c>
      <c r="O656" s="4" t="b">
        <f>L656 = "PASS"</f>
        <v>1</v>
      </c>
      <c r="P656" s="4" t="b">
        <f>L656 = "FAIL"</f>
        <v>0</v>
      </c>
      <c r="Q656" s="4" t="b">
        <f>AND(((P656)=TRUE), ((K656)=TRUE))</f>
        <v>0</v>
      </c>
      <c r="R656" s="4" t="str">
        <f>IF(((O656)=TRUE),  I656,  "")</f>
        <v>suite-substrate</v>
      </c>
      <c r="S656" s="4" t="str">
        <f>IF(((Q656)=TRUE),  I656,  "")</f>
      </c>
      <c r="T656" s="3" t="s">
        <v>6001</v>
      </c>
    </row>
    <row r="657">
      <c r="A657" s="3" t="s">
        <v>6692</v>
      </c>
      <c r="B657" s="4" t="str">
        <f>C657 &amp; ": " &amp; D657</f>
        <v>formula-translates: ChangeRequests.IsMyDecidedButUnlanded</v>
      </c>
      <c r="C657" s="3" t="s">
        <v>6104</v>
      </c>
      <c r="D657" s="3" t="s">
        <v>3965</v>
      </c>
      <c r="E657" s="3" t="s">
        <v>3914</v>
      </c>
      <c r="F657" s="3" t="s">
        <v>1613</v>
      </c>
      <c r="G657" s="3" t="s">
        <v>6105</v>
      </c>
      <c r="H657" s="3" t="s">
        <v>2231</v>
      </c>
      <c r="I657" s="3" t="s">
        <v>5986</v>
      </c>
      <c r="J657" s="3" t="s">
        <v>5999</v>
      </c>
      <c r="K657" s="4" t="b">
        <f>J657 = "blocking"</f>
        <v>1</v>
      </c>
      <c r="L657" s="3" t="s">
        <v>1448</v>
      </c>
      <c r="M657" s="3" t="s">
        <v>6106</v>
      </c>
      <c r="N657" s="5">
        <v>46223.1297337963</v>
      </c>
      <c r="O657" s="4" t="b">
        <f>L657 = "PASS"</f>
        <v>1</v>
      </c>
      <c r="P657" s="4" t="b">
        <f>L657 = "FAIL"</f>
        <v>0</v>
      </c>
      <c r="Q657" s="4" t="b">
        <f>AND(((P657)=TRUE), ((K657)=TRUE))</f>
        <v>0</v>
      </c>
      <c r="R657" s="4" t="str">
        <f>IF(((O657)=TRUE),  I657,  "")</f>
        <v>suite-substrate</v>
      </c>
      <c r="S657" s="4" t="str">
        <f>IF(((Q657)=TRUE),  I657,  "")</f>
      </c>
      <c r="T657" s="3" t="s">
        <v>6001</v>
      </c>
    </row>
    <row r="658">
      <c r="A658" s="3" t="s">
        <v>6693</v>
      </c>
      <c r="B658" s="4" t="str">
        <f>C658 &amp; ": " &amp; D658</f>
        <v>formula-translates: ChangeRequests.DecisionLatencyDays</v>
      </c>
      <c r="C658" s="3" t="s">
        <v>6104</v>
      </c>
      <c r="D658" s="3" t="s">
        <v>3967</v>
      </c>
      <c r="E658" s="3" t="s">
        <v>3914</v>
      </c>
      <c r="F658" s="3" t="s">
        <v>1614</v>
      </c>
      <c r="G658" s="3" t="s">
        <v>6105</v>
      </c>
      <c r="H658" s="3" t="s">
        <v>2231</v>
      </c>
      <c r="I658" s="3" t="s">
        <v>5986</v>
      </c>
      <c r="J658" s="3" t="s">
        <v>5999</v>
      </c>
      <c r="K658" s="4" t="b">
        <f>J658 = "blocking"</f>
        <v>1</v>
      </c>
      <c r="L658" s="3" t="s">
        <v>1448</v>
      </c>
      <c r="M658" s="3" t="s">
        <v>6106</v>
      </c>
      <c r="N658" s="5">
        <v>46223.1297337963</v>
      </c>
      <c r="O658" s="4" t="b">
        <f>L658 = "PASS"</f>
        <v>1</v>
      </c>
      <c r="P658" s="4" t="b">
        <f>L658 = "FAIL"</f>
        <v>0</v>
      </c>
      <c r="Q658" s="4" t="b">
        <f>AND(((P658)=TRUE), ((K658)=TRUE))</f>
        <v>0</v>
      </c>
      <c r="R658" s="4" t="str">
        <f>IF(((O658)=TRUE),  I658,  "")</f>
        <v>suite-substrate</v>
      </c>
      <c r="S658" s="4" t="str">
        <f>IF(((Q658)=TRUE),  I658,  "")</f>
      </c>
      <c r="T658" s="3" t="s">
        <v>6001</v>
      </c>
    </row>
    <row r="659">
      <c r="A659" s="3" t="s">
        <v>6694</v>
      </c>
      <c r="B659" s="4" t="str">
        <f>C659 &amp; ": " &amp; D659</f>
        <v>formula-translates: ChangeRequests.ImplementationLatencyDays</v>
      </c>
      <c r="C659" s="3" t="s">
        <v>6104</v>
      </c>
      <c r="D659" s="3" t="s">
        <v>3969</v>
      </c>
      <c r="E659" s="3" t="s">
        <v>3914</v>
      </c>
      <c r="F659" s="3" t="s">
        <v>1615</v>
      </c>
      <c r="G659" s="3" t="s">
        <v>6105</v>
      </c>
      <c r="H659" s="3" t="s">
        <v>2231</v>
      </c>
      <c r="I659" s="3" t="s">
        <v>5986</v>
      </c>
      <c r="J659" s="3" t="s">
        <v>5999</v>
      </c>
      <c r="K659" s="4" t="b">
        <f>J659 = "blocking"</f>
        <v>1</v>
      </c>
      <c r="L659" s="3" t="s">
        <v>1448</v>
      </c>
      <c r="M659" s="3" t="s">
        <v>6106</v>
      </c>
      <c r="N659" s="5">
        <v>46223.1297337963</v>
      </c>
      <c r="O659" s="4" t="b">
        <f>L659 = "PASS"</f>
        <v>1</v>
      </c>
      <c r="P659" s="4" t="b">
        <f>L659 = "FAIL"</f>
        <v>0</v>
      </c>
      <c r="Q659" s="4" t="b">
        <f>AND(((P659)=TRUE), ((K659)=TRUE))</f>
        <v>0</v>
      </c>
      <c r="R659" s="4" t="str">
        <f>IF(((O659)=TRUE),  I659,  "")</f>
        <v>suite-substrate</v>
      </c>
      <c r="S659" s="4" t="str">
        <f>IF(((Q659)=TRUE),  I659,  "")</f>
      </c>
      <c r="T659" s="3" t="s">
        <v>6001</v>
      </c>
    </row>
    <row r="660">
      <c r="A660" s="3" t="s">
        <v>6695</v>
      </c>
      <c r="B660" s="4" t="str">
        <f>C660 &amp; ": " &amp; D660</f>
        <v>formula-translates: ChangeRequests.DelayIsDownstreamOfMe</v>
      </c>
      <c r="C660" s="3" t="s">
        <v>6104</v>
      </c>
      <c r="D660" s="3" t="s">
        <v>3971</v>
      </c>
      <c r="E660" s="3" t="s">
        <v>3914</v>
      </c>
      <c r="F660" s="3" t="s">
        <v>1616</v>
      </c>
      <c r="G660" s="3" t="s">
        <v>6105</v>
      </c>
      <c r="H660" s="3" t="s">
        <v>2231</v>
      </c>
      <c r="I660" s="3" t="s">
        <v>5986</v>
      </c>
      <c r="J660" s="3" t="s">
        <v>5999</v>
      </c>
      <c r="K660" s="4" t="b">
        <f>J660 = "blocking"</f>
        <v>1</v>
      </c>
      <c r="L660" s="3" t="s">
        <v>1448</v>
      </c>
      <c r="M660" s="3" t="s">
        <v>6106</v>
      </c>
      <c r="N660" s="5">
        <v>46223.1297337963</v>
      </c>
      <c r="O660" s="4" t="b">
        <f>L660 = "PASS"</f>
        <v>1</v>
      </c>
      <c r="P660" s="4" t="b">
        <f>L660 = "FAIL"</f>
        <v>0</v>
      </c>
      <c r="Q660" s="4" t="b">
        <f>AND(((P660)=TRUE), ((K660)=TRUE))</f>
        <v>0</v>
      </c>
      <c r="R660" s="4" t="str">
        <f>IF(((O660)=TRUE),  I660,  "")</f>
        <v>suite-substrate</v>
      </c>
      <c r="S660" s="4" t="str">
        <f>IF(((Q660)=TRUE),  I660,  "")</f>
      </c>
      <c r="T660" s="3" t="s">
        <v>6001</v>
      </c>
    </row>
    <row r="661">
      <c r="A661" s="3" t="s">
        <v>6696</v>
      </c>
      <c r="B661" s="4" t="str">
        <f>C661 &amp; ": " &amp; D661</f>
        <v>formula-translates: ChangeRequests.UnlandedVersionKey</v>
      </c>
      <c r="C661" s="3" t="s">
        <v>6104</v>
      </c>
      <c r="D661" s="3" t="s">
        <v>3973</v>
      </c>
      <c r="E661" s="3" t="s">
        <v>3914</v>
      </c>
      <c r="F661" s="3" t="s">
        <v>1617</v>
      </c>
      <c r="G661" s="3" t="s">
        <v>6105</v>
      </c>
      <c r="H661" s="3" t="s">
        <v>2231</v>
      </c>
      <c r="I661" s="3" t="s">
        <v>5986</v>
      </c>
      <c r="J661" s="3" t="s">
        <v>5999</v>
      </c>
      <c r="K661" s="4" t="b">
        <f>J661 = "blocking"</f>
        <v>1</v>
      </c>
      <c r="L661" s="3" t="s">
        <v>1448</v>
      </c>
      <c r="M661" s="3" t="s">
        <v>6106</v>
      </c>
      <c r="N661" s="5">
        <v>46223.1297337963</v>
      </c>
      <c r="O661" s="4" t="b">
        <f>L661 = "PASS"</f>
        <v>1</v>
      </c>
      <c r="P661" s="4" t="b">
        <f>L661 = "FAIL"</f>
        <v>0</v>
      </c>
      <c r="Q661" s="4" t="b">
        <f>AND(((P661)=TRUE), ((K661)=TRUE))</f>
        <v>0</v>
      </c>
      <c r="R661" s="4" t="str">
        <f>IF(((O661)=TRUE),  I661,  "")</f>
        <v>suite-substrate</v>
      </c>
      <c r="S661" s="4" t="str">
        <f>IF(((Q661)=TRUE),  I661,  "")</f>
      </c>
      <c r="T661" s="3" t="s">
        <v>6001</v>
      </c>
    </row>
    <row r="662">
      <c r="A662" s="3" t="s">
        <v>6697</v>
      </c>
      <c r="B662" s="4" t="str">
        <f>C662 &amp; ": " &amp; D662</f>
        <v>formula-translates: ChangeRequests.IsApprovedNotImplemented</v>
      </c>
      <c r="C662" s="3" t="s">
        <v>6104</v>
      </c>
      <c r="D662" s="3" t="s">
        <v>3975</v>
      </c>
      <c r="E662" s="3" t="s">
        <v>3914</v>
      </c>
      <c r="F662" s="3" t="s">
        <v>1618</v>
      </c>
      <c r="G662" s="3" t="s">
        <v>6105</v>
      </c>
      <c r="H662" s="3" t="s">
        <v>2251</v>
      </c>
      <c r="I662" s="3" t="s">
        <v>5986</v>
      </c>
      <c r="J662" s="3" t="s">
        <v>5999</v>
      </c>
      <c r="K662" s="4" t="b">
        <f>J662 = "blocking"</f>
        <v>1</v>
      </c>
      <c r="L662" s="3" t="s">
        <v>1448</v>
      </c>
      <c r="M662" s="3" t="s">
        <v>6106</v>
      </c>
      <c r="N662" s="5">
        <v>46223.1297337963</v>
      </c>
      <c r="O662" s="4" t="b">
        <f>L662 = "PASS"</f>
        <v>1</v>
      </c>
      <c r="P662" s="4" t="b">
        <f>L662 = "FAIL"</f>
        <v>0</v>
      </c>
      <c r="Q662" s="4" t="b">
        <f>AND(((P662)=TRUE), ((K662)=TRUE))</f>
        <v>0</v>
      </c>
      <c r="R662" s="4" t="str">
        <f>IF(((O662)=TRUE),  I662,  "")</f>
        <v>suite-substrate</v>
      </c>
      <c r="S662" s="4" t="str">
        <f>IF(((Q662)=TRUE),  I662,  "")</f>
      </c>
      <c r="T662" s="3" t="s">
        <v>6001</v>
      </c>
    </row>
    <row r="663">
      <c r="A663" s="3" t="s">
        <v>6698</v>
      </c>
      <c r="B663" s="4" t="str">
        <f>C663 &amp; ": " &amp; D663</f>
        <v>formula-translates: ChangeRequests.DaysSinceApproval</v>
      </c>
      <c r="C663" s="3" t="s">
        <v>6104</v>
      </c>
      <c r="D663" s="3" t="s">
        <v>3977</v>
      </c>
      <c r="E663" s="3" t="s">
        <v>3914</v>
      </c>
      <c r="F663" s="3" t="s">
        <v>1619</v>
      </c>
      <c r="G663" s="3" t="s">
        <v>6105</v>
      </c>
      <c r="H663" s="3" t="s">
        <v>2251</v>
      </c>
      <c r="I663" s="3" t="s">
        <v>5986</v>
      </c>
      <c r="J663" s="3" t="s">
        <v>5999</v>
      </c>
      <c r="K663" s="4" t="b">
        <f>J663 = "blocking"</f>
        <v>1</v>
      </c>
      <c r="L663" s="3" t="s">
        <v>1448</v>
      </c>
      <c r="M663" s="3" t="s">
        <v>6106</v>
      </c>
      <c r="N663" s="5">
        <v>46223.1297337963</v>
      </c>
      <c r="O663" s="4" t="b">
        <f>L663 = "PASS"</f>
        <v>1</v>
      </c>
      <c r="P663" s="4" t="b">
        <f>L663 = "FAIL"</f>
        <v>0</v>
      </c>
      <c r="Q663" s="4" t="b">
        <f>AND(((P663)=TRUE), ((K663)=TRUE))</f>
        <v>0</v>
      </c>
      <c r="R663" s="4" t="str">
        <f>IF(((O663)=TRUE),  I663,  "")</f>
        <v>suite-substrate</v>
      </c>
      <c r="S663" s="4" t="str">
        <f>IF(((Q663)=TRUE),  I663,  "")</f>
      </c>
      <c r="T663" s="3" t="s">
        <v>6001</v>
      </c>
    </row>
    <row r="664">
      <c r="A664" s="3" t="s">
        <v>6699</v>
      </c>
      <c r="B664" s="4" t="str">
        <f>C664 &amp; ": " &amp; D664</f>
        <v>formula-translates: ChangeRequests.IsStalledImplementation</v>
      </c>
      <c r="C664" s="3" t="s">
        <v>6104</v>
      </c>
      <c r="D664" s="3" t="s">
        <v>3979</v>
      </c>
      <c r="E664" s="3" t="s">
        <v>3914</v>
      </c>
      <c r="F664" s="3" t="s">
        <v>1620</v>
      </c>
      <c r="G664" s="3" t="s">
        <v>6105</v>
      </c>
      <c r="H664" s="3" t="s">
        <v>2251</v>
      </c>
      <c r="I664" s="3" t="s">
        <v>5986</v>
      </c>
      <c r="J664" s="3" t="s">
        <v>5999</v>
      </c>
      <c r="K664" s="4" t="b">
        <f>J664 = "blocking"</f>
        <v>1</v>
      </c>
      <c r="L664" s="3" t="s">
        <v>1448</v>
      </c>
      <c r="M664" s="3" t="s">
        <v>6106</v>
      </c>
      <c r="N664" s="5">
        <v>46223.1297337963</v>
      </c>
      <c r="O664" s="4" t="b">
        <f>L664 = "PASS"</f>
        <v>1</v>
      </c>
      <c r="P664" s="4" t="b">
        <f>L664 = "FAIL"</f>
        <v>0</v>
      </c>
      <c r="Q664" s="4" t="b">
        <f>AND(((P664)=TRUE), ((K664)=TRUE))</f>
        <v>0</v>
      </c>
      <c r="R664" s="4" t="str">
        <f>IF(((O664)=TRUE),  I664,  "")</f>
        <v>suite-substrate</v>
      </c>
      <c r="S664" s="4" t="str">
        <f>IF(((Q664)=TRUE),  I664,  "")</f>
      </c>
      <c r="T664" s="3" t="s">
        <v>6001</v>
      </c>
    </row>
    <row r="665">
      <c r="A665" s="3" t="s">
        <v>6700</v>
      </c>
      <c r="B665" s="4" t="str">
        <f>C665 &amp; ": " &amp; D665</f>
        <v>formula-translates: ChangeRequests.StalledImplementationVersionKey</v>
      </c>
      <c r="C665" s="3" t="s">
        <v>6104</v>
      </c>
      <c r="D665" s="3" t="s">
        <v>3981</v>
      </c>
      <c r="E665" s="3" t="s">
        <v>3914</v>
      </c>
      <c r="F665" s="3" t="s">
        <v>1621</v>
      </c>
      <c r="G665" s="3" t="s">
        <v>6105</v>
      </c>
      <c r="H665" s="3" t="s">
        <v>2251</v>
      </c>
      <c r="I665" s="3" t="s">
        <v>5986</v>
      </c>
      <c r="J665" s="3" t="s">
        <v>5999</v>
      </c>
      <c r="K665" s="4" t="b">
        <f>J665 = "blocking"</f>
        <v>1</v>
      </c>
      <c r="L665" s="3" t="s">
        <v>1448</v>
      </c>
      <c r="M665" s="3" t="s">
        <v>6106</v>
      </c>
      <c r="N665" s="5">
        <v>46223.1297337963</v>
      </c>
      <c r="O665" s="4" t="b">
        <f>L665 = "PASS"</f>
        <v>1</v>
      </c>
      <c r="P665" s="4" t="b">
        <f>L665 = "FAIL"</f>
        <v>0</v>
      </c>
      <c r="Q665" s="4" t="b">
        <f>AND(((P665)=TRUE), ((K665)=TRUE))</f>
        <v>0</v>
      </c>
      <c r="R665" s="4" t="str">
        <f>IF(((O665)=TRUE),  I665,  "")</f>
        <v>suite-substrate</v>
      </c>
      <c r="S665" s="4" t="str">
        <f>IF(((Q665)=TRUE),  I665,  "")</f>
      </c>
      <c r="T665" s="3" t="s">
        <v>6001</v>
      </c>
    </row>
    <row r="666">
      <c r="A666" s="3" t="s">
        <v>6701</v>
      </c>
      <c r="B666" s="4" t="str">
        <f>C666 &amp; ": " &amp; D666</f>
        <v>formula-translates: ChangeRequests.ApprovedVersionKey</v>
      </c>
      <c r="C666" s="3" t="s">
        <v>6104</v>
      </c>
      <c r="D666" s="3" t="s">
        <v>3983</v>
      </c>
      <c r="E666" s="3" t="s">
        <v>3914</v>
      </c>
      <c r="F666" s="3" t="s">
        <v>1622</v>
      </c>
      <c r="G666" s="3" t="s">
        <v>6105</v>
      </c>
      <c r="H666" s="3" t="s">
        <v>2295</v>
      </c>
      <c r="I666" s="3" t="s">
        <v>5986</v>
      </c>
      <c r="J666" s="3" t="s">
        <v>5999</v>
      </c>
      <c r="K666" s="4" t="b">
        <f>J666 = "blocking"</f>
        <v>1</v>
      </c>
      <c r="L666" s="3" t="s">
        <v>1448</v>
      </c>
      <c r="M666" s="3" t="s">
        <v>6106</v>
      </c>
      <c r="N666" s="5">
        <v>46223.1297337963</v>
      </c>
      <c r="O666" s="4" t="b">
        <f>L666 = "PASS"</f>
        <v>1</v>
      </c>
      <c r="P666" s="4" t="b">
        <f>L666 = "FAIL"</f>
        <v>0</v>
      </c>
      <c r="Q666" s="4" t="b">
        <f>AND(((P666)=TRUE), ((K666)=TRUE))</f>
        <v>0</v>
      </c>
      <c r="R666" s="4" t="str">
        <f>IF(((O666)=TRUE),  I666,  "")</f>
        <v>suite-substrate</v>
      </c>
      <c r="S666" s="4" t="str">
        <f>IF(((Q666)=TRUE),  I666,  "")</f>
      </c>
      <c r="T666" s="3" t="s">
        <v>6001</v>
      </c>
    </row>
    <row r="667">
      <c r="A667" s="3" t="s">
        <v>6702</v>
      </c>
      <c r="B667" s="4" t="str">
        <f>C667 &amp; ": " &amp; D667</f>
        <v>formula-translates: ChangeRequests.IsApprovedDecision</v>
      </c>
      <c r="C667" s="3" t="s">
        <v>6104</v>
      </c>
      <c r="D667" s="3" t="s">
        <v>3985</v>
      </c>
      <c r="E667" s="3" t="s">
        <v>3914</v>
      </c>
      <c r="F667" s="3" t="s">
        <v>1623</v>
      </c>
      <c r="G667" s="3" t="s">
        <v>6105</v>
      </c>
      <c r="H667" s="3" t="s">
        <v>2295</v>
      </c>
      <c r="I667" s="3" t="s">
        <v>5986</v>
      </c>
      <c r="J667" s="3" t="s">
        <v>5999</v>
      </c>
      <c r="K667" s="4" t="b">
        <f>J667 = "blocking"</f>
        <v>1</v>
      </c>
      <c r="L667" s="3" t="s">
        <v>1448</v>
      </c>
      <c r="M667" s="3" t="s">
        <v>6106</v>
      </c>
      <c r="N667" s="5">
        <v>46223.1297337963</v>
      </c>
      <c r="O667" s="4" t="b">
        <f>L667 = "PASS"</f>
        <v>1</v>
      </c>
      <c r="P667" s="4" t="b">
        <f>L667 = "FAIL"</f>
        <v>0</v>
      </c>
      <c r="Q667" s="4" t="b">
        <f>AND(((P667)=TRUE), ((K667)=TRUE))</f>
        <v>0</v>
      </c>
      <c r="R667" s="4" t="str">
        <f>IF(((O667)=TRUE),  I667,  "")</f>
        <v>suite-substrate</v>
      </c>
      <c r="S667" s="4" t="str">
        <f>IF(((Q667)=TRUE),  I667,  "")</f>
      </c>
      <c r="T667" s="3" t="s">
        <v>6001</v>
      </c>
    </row>
    <row r="668">
      <c r="A668" s="3" t="s">
        <v>6703</v>
      </c>
      <c r="B668" s="4" t="str">
        <f>C668 &amp; ": " &amp; D668</f>
        <v>formula-translates: ReviewEvents.Name</v>
      </c>
      <c r="C668" s="3" t="s">
        <v>6104</v>
      </c>
      <c r="D668" s="3" t="s">
        <v>3989</v>
      </c>
      <c r="E668" s="3" t="s">
        <v>3988</v>
      </c>
      <c r="F668" s="3" t="s">
        <v>1</v>
      </c>
      <c r="G668" s="3" t="s">
        <v>6105</v>
      </c>
      <c r="H668" s="3"/>
      <c r="I668" s="3" t="s">
        <v>5986</v>
      </c>
      <c r="J668" s="3" t="s">
        <v>5999</v>
      </c>
      <c r="K668" s="4" t="b">
        <f>J668 = "blocking"</f>
        <v>1</v>
      </c>
      <c r="L668" s="3" t="s">
        <v>1448</v>
      </c>
      <c r="M668" s="3" t="s">
        <v>6106</v>
      </c>
      <c r="N668" s="5">
        <v>46223.1297337963</v>
      </c>
      <c r="O668" s="4" t="b">
        <f>L668 = "PASS"</f>
        <v>1</v>
      </c>
      <c r="P668" s="4" t="b">
        <f>L668 = "FAIL"</f>
        <v>0</v>
      </c>
      <c r="Q668" s="4" t="b">
        <f>AND(((P668)=TRUE), ((K668)=TRUE))</f>
        <v>0</v>
      </c>
      <c r="R668" s="4" t="str">
        <f>IF(((O668)=TRUE),  I668,  "")</f>
        <v>suite-substrate</v>
      </c>
      <c r="S668" s="4" t="str">
        <f>IF(((Q668)=TRUE),  I668,  "")</f>
      </c>
      <c r="T668" s="3" t="s">
        <v>6001</v>
      </c>
    </row>
    <row r="669">
      <c r="A669" s="3" t="s">
        <v>6704</v>
      </c>
      <c r="B669" s="4" t="str">
        <f>C669 &amp; ": " &amp; D669</f>
        <v>formula-translates: ReviewEvents.AsOfInstant</v>
      </c>
      <c r="C669" s="3" t="s">
        <v>6104</v>
      </c>
      <c r="D669" s="3" t="s">
        <v>3999</v>
      </c>
      <c r="E669" s="3" t="s">
        <v>3988</v>
      </c>
      <c r="F669" s="3" t="s">
        <v>92</v>
      </c>
      <c r="G669" s="3" t="s">
        <v>6105</v>
      </c>
      <c r="H669" s="3"/>
      <c r="I669" s="3" t="s">
        <v>5986</v>
      </c>
      <c r="J669" s="3" t="s">
        <v>5999</v>
      </c>
      <c r="K669" s="4" t="b">
        <f>J669 = "blocking"</f>
        <v>1</v>
      </c>
      <c r="L669" s="3" t="s">
        <v>1448</v>
      </c>
      <c r="M669" s="3" t="s">
        <v>6106</v>
      </c>
      <c r="N669" s="5">
        <v>46223.1297337963</v>
      </c>
      <c r="O669" s="4" t="b">
        <f>L669 = "PASS"</f>
        <v>1</v>
      </c>
      <c r="P669" s="4" t="b">
        <f>L669 = "FAIL"</f>
        <v>0</v>
      </c>
      <c r="Q669" s="4" t="b">
        <f>AND(((P669)=TRUE), ((K669)=TRUE))</f>
        <v>0</v>
      </c>
      <c r="R669" s="4" t="str">
        <f>IF(((O669)=TRUE),  I669,  "")</f>
        <v>suite-substrate</v>
      </c>
      <c r="S669" s="4" t="str">
        <f>IF(((Q669)=TRUE),  I669,  "")</f>
      </c>
      <c r="T669" s="3" t="s">
        <v>6001</v>
      </c>
    </row>
    <row r="670">
      <c r="A670" s="3" t="s">
        <v>6705</v>
      </c>
      <c r="B670" s="4" t="str">
        <f>C670 &amp; ": " &amp; D670</f>
        <v>formula-translates: ReviewEvents.IsOverdue</v>
      </c>
      <c r="C670" s="3" t="s">
        <v>6104</v>
      </c>
      <c r="D670" s="3" t="s">
        <v>4000</v>
      </c>
      <c r="E670" s="3" t="s">
        <v>3988</v>
      </c>
      <c r="F670" s="3" t="s">
        <v>1638</v>
      </c>
      <c r="G670" s="3" t="s">
        <v>6105</v>
      </c>
      <c r="H670" s="3"/>
      <c r="I670" s="3" t="s">
        <v>5986</v>
      </c>
      <c r="J670" s="3" t="s">
        <v>5999</v>
      </c>
      <c r="K670" s="4" t="b">
        <f>J670 = "blocking"</f>
        <v>1</v>
      </c>
      <c r="L670" s="3" t="s">
        <v>1448</v>
      </c>
      <c r="M670" s="3" t="s">
        <v>6106</v>
      </c>
      <c r="N670" s="5">
        <v>46223.1297337963</v>
      </c>
      <c r="O670" s="4" t="b">
        <f>L670 = "PASS"</f>
        <v>1</v>
      </c>
      <c r="P670" s="4" t="b">
        <f>L670 = "FAIL"</f>
        <v>0</v>
      </c>
      <c r="Q670" s="4" t="b">
        <f>AND(((P670)=TRUE), ((K670)=TRUE))</f>
        <v>0</v>
      </c>
      <c r="R670" s="4" t="str">
        <f>IF(((O670)=TRUE),  I670,  "")</f>
        <v>suite-substrate</v>
      </c>
      <c r="S670" s="4" t="str">
        <f>IF(((Q670)=TRUE),  I670,  "")</f>
      </c>
      <c r="T670" s="3" t="s">
        <v>6001</v>
      </c>
    </row>
    <row r="671">
      <c r="A671" s="3" t="s">
        <v>6706</v>
      </c>
      <c r="B671" s="4" t="str">
        <f>C671 &amp; ": " &amp; D671</f>
        <v>formula-translates: ReviewEvents.OverdueVersionKey</v>
      </c>
      <c r="C671" s="3" t="s">
        <v>6104</v>
      </c>
      <c r="D671" s="3" t="s">
        <v>4002</v>
      </c>
      <c r="E671" s="3" t="s">
        <v>3988</v>
      </c>
      <c r="F671" s="3" t="s">
        <v>1639</v>
      </c>
      <c r="G671" s="3" t="s">
        <v>6105</v>
      </c>
      <c r="H671" s="3" t="s">
        <v>2003</v>
      </c>
      <c r="I671" s="3" t="s">
        <v>5986</v>
      </c>
      <c r="J671" s="3" t="s">
        <v>5999</v>
      </c>
      <c r="K671" s="4" t="b">
        <f>J671 = "blocking"</f>
        <v>1</v>
      </c>
      <c r="L671" s="3" t="s">
        <v>1448</v>
      </c>
      <c r="M671" s="3" t="s">
        <v>6106</v>
      </c>
      <c r="N671" s="5">
        <v>46223.1297337963</v>
      </c>
      <c r="O671" s="4" t="b">
        <f>L671 = "PASS"</f>
        <v>1</v>
      </c>
      <c r="P671" s="4" t="b">
        <f>L671 = "FAIL"</f>
        <v>0</v>
      </c>
      <c r="Q671" s="4" t="b">
        <f>AND(((P671)=TRUE), ((K671)=TRUE))</f>
        <v>0</v>
      </c>
      <c r="R671" s="4" t="str">
        <f>IF(((O671)=TRUE),  I671,  "")</f>
        <v>suite-substrate</v>
      </c>
      <c r="S671" s="4" t="str">
        <f>IF(((Q671)=TRUE),  I671,  "")</f>
      </c>
      <c r="T671" s="3" t="s">
        <v>6001</v>
      </c>
    </row>
    <row r="672">
      <c r="A672" s="3" t="s">
        <v>6707</v>
      </c>
      <c r="B672" s="4" t="str">
        <f>C672 &amp; ": " &amp; D672</f>
        <v>formula-translates: ReviewEvents.PromisedCadenceDays</v>
      </c>
      <c r="C672" s="3" t="s">
        <v>6104</v>
      </c>
      <c r="D672" s="3" t="s">
        <v>4004</v>
      </c>
      <c r="E672" s="3" t="s">
        <v>3988</v>
      </c>
      <c r="F672" s="3" t="s">
        <v>1640</v>
      </c>
      <c r="G672" s="3" t="s">
        <v>6105</v>
      </c>
      <c r="H672" s="3" t="s">
        <v>2019</v>
      </c>
      <c r="I672" s="3" t="s">
        <v>5986</v>
      </c>
      <c r="J672" s="3" t="s">
        <v>5999</v>
      </c>
      <c r="K672" s="4" t="b">
        <f>J672 = "blocking"</f>
        <v>1</v>
      </c>
      <c r="L672" s="3" t="s">
        <v>1448</v>
      </c>
      <c r="M672" s="3" t="s">
        <v>6106</v>
      </c>
      <c r="N672" s="5">
        <v>46223.1297337963</v>
      </c>
      <c r="O672" s="4" t="b">
        <f>L672 = "PASS"</f>
        <v>1</v>
      </c>
      <c r="P672" s="4" t="b">
        <f>L672 = "FAIL"</f>
        <v>0</v>
      </c>
      <c r="Q672" s="4" t="b">
        <f>AND(((P672)=TRUE), ((K672)=TRUE))</f>
        <v>0</v>
      </c>
      <c r="R672" s="4" t="str">
        <f>IF(((O672)=TRUE),  I672,  "")</f>
        <v>suite-substrate</v>
      </c>
      <c r="S672" s="4" t="str">
        <f>IF(((Q672)=TRUE),  I672,  "")</f>
      </c>
      <c r="T672" s="3" t="s">
        <v>6001</v>
      </c>
    </row>
    <row r="673">
      <c r="A673" s="3" t="s">
        <v>6708</v>
      </c>
      <c r="B673" s="4" t="str">
        <f>C673 &amp; ": " &amp; D673</f>
        <v>formula-translates: ReviewEvents.DaysSinceReviewed</v>
      </c>
      <c r="C673" s="3" t="s">
        <v>6104</v>
      </c>
      <c r="D673" s="3" t="s">
        <v>4005</v>
      </c>
      <c r="E673" s="3" t="s">
        <v>3988</v>
      </c>
      <c r="F673" s="3" t="s">
        <v>1641</v>
      </c>
      <c r="G673" s="3" t="s">
        <v>6105</v>
      </c>
      <c r="H673" s="3" t="s">
        <v>2019</v>
      </c>
      <c r="I673" s="3" t="s">
        <v>5986</v>
      </c>
      <c r="J673" s="3" t="s">
        <v>5999</v>
      </c>
      <c r="K673" s="4" t="b">
        <f>J673 = "blocking"</f>
        <v>1</v>
      </c>
      <c r="L673" s="3" t="s">
        <v>1448</v>
      </c>
      <c r="M673" s="3" t="s">
        <v>6106</v>
      </c>
      <c r="N673" s="5">
        <v>46223.1297337963</v>
      </c>
      <c r="O673" s="4" t="b">
        <f>L673 = "PASS"</f>
        <v>1</v>
      </c>
      <c r="P673" s="4" t="b">
        <f>L673 = "FAIL"</f>
        <v>0</v>
      </c>
      <c r="Q673" s="4" t="b">
        <f>AND(((P673)=TRUE), ((K673)=TRUE))</f>
        <v>0</v>
      </c>
      <c r="R673" s="4" t="str">
        <f>IF(((O673)=TRUE),  I673,  "")</f>
        <v>suite-substrate</v>
      </c>
      <c r="S673" s="4" t="str">
        <f>IF(((Q673)=TRUE),  I673,  "")</f>
      </c>
      <c r="T673" s="3" t="s">
        <v>6001</v>
      </c>
    </row>
    <row r="674">
      <c r="A674" s="3" t="s">
        <v>6709</v>
      </c>
      <c r="B674" s="4" t="str">
        <f>C674 &amp; ": " &amp; D674</f>
        <v>formula-translates: ReviewEvents.ExceedsPromisedCadence</v>
      </c>
      <c r="C674" s="3" t="s">
        <v>6104</v>
      </c>
      <c r="D674" s="3" t="s">
        <v>4007</v>
      </c>
      <c r="E674" s="3" t="s">
        <v>3988</v>
      </c>
      <c r="F674" s="3" t="s">
        <v>1642</v>
      </c>
      <c r="G674" s="3" t="s">
        <v>6105</v>
      </c>
      <c r="H674" s="3" t="s">
        <v>2019</v>
      </c>
      <c r="I674" s="3" t="s">
        <v>5986</v>
      </c>
      <c r="J674" s="3" t="s">
        <v>5999</v>
      </c>
      <c r="K674" s="4" t="b">
        <f>J674 = "blocking"</f>
        <v>1</v>
      </c>
      <c r="L674" s="3" t="s">
        <v>1448</v>
      </c>
      <c r="M674" s="3" t="s">
        <v>6106</v>
      </c>
      <c r="N674" s="5">
        <v>46223.1297337963</v>
      </c>
      <c r="O674" s="4" t="b">
        <f>L674 = "PASS"</f>
        <v>1</v>
      </c>
      <c r="P674" s="4" t="b">
        <f>L674 = "FAIL"</f>
        <v>0</v>
      </c>
      <c r="Q674" s="4" t="b">
        <f>AND(((P674)=TRUE), ((K674)=TRUE))</f>
        <v>0</v>
      </c>
      <c r="R674" s="4" t="str">
        <f>IF(((O674)=TRUE),  I674,  "")</f>
        <v>suite-substrate</v>
      </c>
      <c r="S674" s="4" t="str">
        <f>IF(((Q674)=TRUE),  I674,  "")</f>
      </c>
      <c r="T674" s="3" t="s">
        <v>6001</v>
      </c>
    </row>
    <row r="675">
      <c r="A675" s="3" t="s">
        <v>6710</v>
      </c>
      <c r="B675" s="4" t="str">
        <f>C675 &amp; ": " &amp; D675</f>
        <v>formula-translates: ReviewEvents.CadenceDriftDays</v>
      </c>
      <c r="C675" s="3" t="s">
        <v>6104</v>
      </c>
      <c r="D675" s="3" t="s">
        <v>4009</v>
      </c>
      <c r="E675" s="3" t="s">
        <v>3988</v>
      </c>
      <c r="F675" s="3" t="s">
        <v>1643</v>
      </c>
      <c r="G675" s="3" t="s">
        <v>6105</v>
      </c>
      <c r="H675" s="3" t="s">
        <v>2019</v>
      </c>
      <c r="I675" s="3" t="s">
        <v>5986</v>
      </c>
      <c r="J675" s="3" t="s">
        <v>5999</v>
      </c>
      <c r="K675" s="4" t="b">
        <f>J675 = "blocking"</f>
        <v>1</v>
      </c>
      <c r="L675" s="3" t="s">
        <v>1448</v>
      </c>
      <c r="M675" s="3" t="s">
        <v>6106</v>
      </c>
      <c r="N675" s="5">
        <v>46223.1297337963</v>
      </c>
      <c r="O675" s="4" t="b">
        <f>L675 = "PASS"</f>
        <v>1</v>
      </c>
      <c r="P675" s="4" t="b">
        <f>L675 = "FAIL"</f>
        <v>0</v>
      </c>
      <c r="Q675" s="4" t="b">
        <f>AND(((P675)=TRUE), ((K675)=TRUE))</f>
        <v>0</v>
      </c>
      <c r="R675" s="4" t="str">
        <f>IF(((O675)=TRUE),  I675,  "")</f>
        <v>suite-substrate</v>
      </c>
      <c r="S675" s="4" t="str">
        <f>IF(((Q675)=TRUE),  I675,  "")</f>
      </c>
      <c r="T675" s="3" t="s">
        <v>6001</v>
      </c>
    </row>
    <row r="676">
      <c r="A676" s="3" t="s">
        <v>6711</v>
      </c>
      <c r="B676" s="4" t="str">
        <f>C676 &amp; ": " &amp; D676</f>
        <v>formula-translates: ReviewEvents.PromiseAndBehaviorDisagree</v>
      </c>
      <c r="C676" s="3" t="s">
        <v>6104</v>
      </c>
      <c r="D676" s="3" t="s">
        <v>4011</v>
      </c>
      <c r="E676" s="3" t="s">
        <v>3988</v>
      </c>
      <c r="F676" s="3" t="s">
        <v>1644</v>
      </c>
      <c r="G676" s="3" t="s">
        <v>6105</v>
      </c>
      <c r="H676" s="3" t="s">
        <v>2019</v>
      </c>
      <c r="I676" s="3" t="s">
        <v>5986</v>
      </c>
      <c r="J676" s="3" t="s">
        <v>5999</v>
      </c>
      <c r="K676" s="4" t="b">
        <f>J676 = "blocking"</f>
        <v>1</v>
      </c>
      <c r="L676" s="3" t="s">
        <v>1448</v>
      </c>
      <c r="M676" s="3" t="s">
        <v>6106</v>
      </c>
      <c r="N676" s="5">
        <v>46223.1297337963</v>
      </c>
      <c r="O676" s="4" t="b">
        <f>L676 = "PASS"</f>
        <v>1</v>
      </c>
      <c r="P676" s="4" t="b">
        <f>L676 = "FAIL"</f>
        <v>0</v>
      </c>
      <c r="Q676" s="4" t="b">
        <f>AND(((P676)=TRUE), ((K676)=TRUE))</f>
        <v>0</v>
      </c>
      <c r="R676" s="4" t="str">
        <f>IF(((O676)=TRUE),  I676,  "")</f>
        <v>suite-substrate</v>
      </c>
      <c r="S676" s="4" t="str">
        <f>IF(((Q676)=TRUE),  I676,  "")</f>
      </c>
      <c r="T676" s="3" t="s">
        <v>6001</v>
      </c>
    </row>
    <row r="677">
      <c r="A677" s="3" t="s">
        <v>6712</v>
      </c>
      <c r="B677" s="4" t="str">
        <f>C677 &amp; ": " &amp; D677</f>
        <v>formula-translates: ReviewEvents.CadenceBreachVersionKey</v>
      </c>
      <c r="C677" s="3" t="s">
        <v>6104</v>
      </c>
      <c r="D677" s="3" t="s">
        <v>4013</v>
      </c>
      <c r="E677" s="3" t="s">
        <v>3988</v>
      </c>
      <c r="F677" s="3" t="s">
        <v>1645</v>
      </c>
      <c r="G677" s="3" t="s">
        <v>6105</v>
      </c>
      <c r="H677" s="3" t="s">
        <v>2243</v>
      </c>
      <c r="I677" s="3" t="s">
        <v>5986</v>
      </c>
      <c r="J677" s="3" t="s">
        <v>5999</v>
      </c>
      <c r="K677" s="4" t="b">
        <f>J677 = "blocking"</f>
        <v>1</v>
      </c>
      <c r="L677" s="3" t="s">
        <v>1448</v>
      </c>
      <c r="M677" s="3" t="s">
        <v>6106</v>
      </c>
      <c r="N677" s="5">
        <v>46223.1297337963</v>
      </c>
      <c r="O677" s="4" t="b">
        <f>L677 = "PASS"</f>
        <v>1</v>
      </c>
      <c r="P677" s="4" t="b">
        <f>L677 = "FAIL"</f>
        <v>0</v>
      </c>
      <c r="Q677" s="4" t="b">
        <f>AND(((P677)=TRUE), ((K677)=TRUE))</f>
        <v>0</v>
      </c>
      <c r="R677" s="4" t="str">
        <f>IF(((O677)=TRUE),  I677,  "")</f>
        <v>suite-substrate</v>
      </c>
      <c r="S677" s="4" t="str">
        <f>IF(((Q677)=TRUE),  I677,  "")</f>
      </c>
      <c r="T677" s="3" t="s">
        <v>6001</v>
      </c>
    </row>
    <row r="678">
      <c r="A678" s="3" t="s">
        <v>6713</v>
      </c>
      <c r="B678" s="4" t="str">
        <f>C678 &amp; ": " &amp; D678</f>
        <v>formula-translates: LearningActivities.Name</v>
      </c>
      <c r="C678" s="3" t="s">
        <v>6104</v>
      </c>
      <c r="D678" s="3" t="s">
        <v>4018</v>
      </c>
      <c r="E678" s="3" t="s">
        <v>4017</v>
      </c>
      <c r="F678" s="3" t="s">
        <v>1</v>
      </c>
      <c r="G678" s="3" t="s">
        <v>6105</v>
      </c>
      <c r="H678" s="3"/>
      <c r="I678" s="3" t="s">
        <v>5986</v>
      </c>
      <c r="J678" s="3" t="s">
        <v>5999</v>
      </c>
      <c r="K678" s="4" t="b">
        <f>J678 = "blocking"</f>
        <v>1</v>
      </c>
      <c r="L678" s="3" t="s">
        <v>1448</v>
      </c>
      <c r="M678" s="3" t="s">
        <v>6106</v>
      </c>
      <c r="N678" s="5">
        <v>46223.1297337963</v>
      </c>
      <c r="O678" s="4" t="b">
        <f>L678 = "PASS"</f>
        <v>1</v>
      </c>
      <c r="P678" s="4" t="b">
        <f>L678 = "FAIL"</f>
        <v>0</v>
      </c>
      <c r="Q678" s="4" t="b">
        <f>AND(((P678)=TRUE), ((K678)=TRUE))</f>
        <v>0</v>
      </c>
      <c r="R678" s="4" t="str">
        <f>IF(((O678)=TRUE),  I678,  "")</f>
        <v>suite-substrate</v>
      </c>
      <c r="S678" s="4" t="str">
        <f>IF(((Q678)=TRUE),  I678,  "")</f>
      </c>
      <c r="T678" s="3" t="s">
        <v>6001</v>
      </c>
    </row>
    <row r="679">
      <c r="A679" s="3" t="s">
        <v>6714</v>
      </c>
      <c r="B679" s="4" t="str">
        <f>C679 &amp; ": " &amp; D679</f>
        <v>formula-translates: OperationalBindings.Name</v>
      </c>
      <c r="C679" s="3" t="s">
        <v>6104</v>
      </c>
      <c r="D679" s="3" t="s">
        <v>4029</v>
      </c>
      <c r="E679" s="3" t="s">
        <v>1862</v>
      </c>
      <c r="F679" s="3" t="s">
        <v>1</v>
      </c>
      <c r="G679" s="3" t="s">
        <v>6105</v>
      </c>
      <c r="H679" s="3"/>
      <c r="I679" s="3" t="s">
        <v>5986</v>
      </c>
      <c r="J679" s="3" t="s">
        <v>5999</v>
      </c>
      <c r="K679" s="4" t="b">
        <f>J679 = "blocking"</f>
        <v>1</v>
      </c>
      <c r="L679" s="3" t="s">
        <v>1448</v>
      </c>
      <c r="M679" s="3" t="s">
        <v>6106</v>
      </c>
      <c r="N679" s="5">
        <v>46223.1297337963</v>
      </c>
      <c r="O679" s="4" t="b">
        <f>L679 = "PASS"</f>
        <v>1</v>
      </c>
      <c r="P679" s="4" t="b">
        <f>L679 = "FAIL"</f>
        <v>0</v>
      </c>
      <c r="Q679" s="4" t="b">
        <f>AND(((P679)=TRUE), ((K679)=TRUE))</f>
        <v>0</v>
      </c>
      <c r="R679" s="4" t="str">
        <f>IF(((O679)=TRUE),  I679,  "")</f>
        <v>suite-substrate</v>
      </c>
      <c r="S679" s="4" t="str">
        <f>IF(((Q679)=TRUE),  I679,  "")</f>
      </c>
      <c r="T679" s="3" t="s">
        <v>6001</v>
      </c>
    </row>
    <row r="680">
      <c r="A680" s="3" t="s">
        <v>6715</v>
      </c>
      <c r="B680" s="4" t="str">
        <f>C680 &amp; ": " &amp; D680</f>
        <v>formula-translates: OperationalBindings.AsOfInstant</v>
      </c>
      <c r="C680" s="3" t="s">
        <v>6104</v>
      </c>
      <c r="D680" s="3" t="s">
        <v>4040</v>
      </c>
      <c r="E680" s="3" t="s">
        <v>1862</v>
      </c>
      <c r="F680" s="3" t="s">
        <v>92</v>
      </c>
      <c r="G680" s="3" t="s">
        <v>6105</v>
      </c>
      <c r="H680" s="3"/>
      <c r="I680" s="3" t="s">
        <v>5986</v>
      </c>
      <c r="J680" s="3" t="s">
        <v>5999</v>
      </c>
      <c r="K680" s="4" t="b">
        <f>J680 = "blocking"</f>
        <v>1</v>
      </c>
      <c r="L680" s="3" t="s">
        <v>1448</v>
      </c>
      <c r="M680" s="3" t="s">
        <v>6106</v>
      </c>
      <c r="N680" s="5">
        <v>46223.1297337963</v>
      </c>
      <c r="O680" s="4" t="b">
        <f>L680 = "PASS"</f>
        <v>1</v>
      </c>
      <c r="P680" s="4" t="b">
        <f>L680 = "FAIL"</f>
        <v>0</v>
      </c>
      <c r="Q680" s="4" t="b">
        <f>AND(((P680)=TRUE), ((K680)=TRUE))</f>
        <v>0</v>
      </c>
      <c r="R680" s="4" t="str">
        <f>IF(((O680)=TRUE),  I680,  "")</f>
        <v>suite-substrate</v>
      </c>
      <c r="S680" s="4" t="str">
        <f>IF(((Q680)=TRUE),  I680,  "")</f>
      </c>
      <c r="T680" s="3" t="s">
        <v>6001</v>
      </c>
    </row>
    <row r="681">
      <c r="A681" s="3" t="s">
        <v>6716</v>
      </c>
      <c r="B681" s="4" t="str">
        <f>C681 &amp; ": " &amp; D681</f>
        <v>formula-translates: OperationalBindings.AgeMinutes</v>
      </c>
      <c r="C681" s="3" t="s">
        <v>6104</v>
      </c>
      <c r="D681" s="3" t="s">
        <v>4041</v>
      </c>
      <c r="E681" s="3" t="s">
        <v>1862</v>
      </c>
      <c r="F681" s="3" t="s">
        <v>1668</v>
      </c>
      <c r="G681" s="3" t="s">
        <v>6105</v>
      </c>
      <c r="H681" s="3"/>
      <c r="I681" s="3" t="s">
        <v>5986</v>
      </c>
      <c r="J681" s="3" t="s">
        <v>5999</v>
      </c>
      <c r="K681" s="4" t="b">
        <f>J681 = "blocking"</f>
        <v>1</v>
      </c>
      <c r="L681" s="3" t="s">
        <v>1448</v>
      </c>
      <c r="M681" s="3" t="s">
        <v>6106</v>
      </c>
      <c r="N681" s="5">
        <v>46223.1297337963</v>
      </c>
      <c r="O681" s="4" t="b">
        <f>L681 = "PASS"</f>
        <v>1</v>
      </c>
      <c r="P681" s="4" t="b">
        <f>L681 = "FAIL"</f>
        <v>0</v>
      </c>
      <c r="Q681" s="4" t="b">
        <f>AND(((P681)=TRUE), ((K681)=TRUE))</f>
        <v>0</v>
      </c>
      <c r="R681" s="4" t="str">
        <f>IF(((O681)=TRUE),  I681,  "")</f>
        <v>suite-substrate</v>
      </c>
      <c r="S681" s="4" t="str">
        <f>IF(((Q681)=TRUE),  I681,  "")</f>
      </c>
      <c r="T681" s="3" t="s">
        <v>6001</v>
      </c>
    </row>
    <row r="682">
      <c r="A682" s="3" t="s">
        <v>6717</v>
      </c>
      <c r="B682" s="4" t="str">
        <f>C682 &amp; ": " &amp; D682</f>
        <v>formula-translates: OperationalBindings.IsFresh</v>
      </c>
      <c r="C682" s="3" t="s">
        <v>6104</v>
      </c>
      <c r="D682" s="3" t="s">
        <v>4043</v>
      </c>
      <c r="E682" s="3" t="s">
        <v>1862</v>
      </c>
      <c r="F682" s="3" t="s">
        <v>1669</v>
      </c>
      <c r="G682" s="3" t="s">
        <v>6105</v>
      </c>
      <c r="H682" s="3"/>
      <c r="I682" s="3" t="s">
        <v>5986</v>
      </c>
      <c r="J682" s="3" t="s">
        <v>5999</v>
      </c>
      <c r="K682" s="4" t="b">
        <f>J682 = "blocking"</f>
        <v>1</v>
      </c>
      <c r="L682" s="3" t="s">
        <v>1448</v>
      </c>
      <c r="M682" s="3" t="s">
        <v>6106</v>
      </c>
      <c r="N682" s="5">
        <v>46223.1297337963</v>
      </c>
      <c r="O682" s="4" t="b">
        <f>L682 = "PASS"</f>
        <v>1</v>
      </c>
      <c r="P682" s="4" t="b">
        <f>L682 = "FAIL"</f>
        <v>0</v>
      </c>
      <c r="Q682" s="4" t="b">
        <f>AND(((P682)=TRUE), ((K682)=TRUE))</f>
        <v>0</v>
      </c>
      <c r="R682" s="4" t="str">
        <f>IF(((O682)=TRUE),  I682,  "")</f>
        <v>suite-substrate</v>
      </c>
      <c r="S682" s="4" t="str">
        <f>IF(((Q682)=TRUE),  I682,  "")</f>
      </c>
      <c r="T682" s="3" t="s">
        <v>6001</v>
      </c>
    </row>
    <row r="683">
      <c r="A683" s="3" t="s">
        <v>6718</v>
      </c>
      <c r="B683" s="4" t="str">
        <f>C683 &amp; ": " &amp; D683</f>
        <v>formula-translates: OperationalBindings.StaleBindingStepKey</v>
      </c>
      <c r="C683" s="3" t="s">
        <v>6104</v>
      </c>
      <c r="D683" s="3" t="s">
        <v>4045</v>
      </c>
      <c r="E683" s="3" t="s">
        <v>1862</v>
      </c>
      <c r="F683" s="3" t="s">
        <v>1670</v>
      </c>
      <c r="G683" s="3" t="s">
        <v>6105</v>
      </c>
      <c r="H683" s="3" t="s">
        <v>1967</v>
      </c>
      <c r="I683" s="3" t="s">
        <v>5986</v>
      </c>
      <c r="J683" s="3" t="s">
        <v>5999</v>
      </c>
      <c r="K683" s="4" t="b">
        <f>J683 = "blocking"</f>
        <v>1</v>
      </c>
      <c r="L683" s="3" t="s">
        <v>1448</v>
      </c>
      <c r="M683" s="3" t="s">
        <v>6106</v>
      </c>
      <c r="N683" s="5">
        <v>46223.1297337963</v>
      </c>
      <c r="O683" s="4" t="b">
        <f>L683 = "PASS"</f>
        <v>1</v>
      </c>
      <c r="P683" s="4" t="b">
        <f>L683 = "FAIL"</f>
        <v>0</v>
      </c>
      <c r="Q683" s="4" t="b">
        <f>AND(((P683)=TRUE), ((K683)=TRUE))</f>
        <v>0</v>
      </c>
      <c r="R683" s="4" t="str">
        <f>IF(((O683)=TRUE),  I683,  "")</f>
        <v>suite-substrate</v>
      </c>
      <c r="S683" s="4" t="str">
        <f>IF(((Q683)=TRUE),  I683,  "")</f>
      </c>
      <c r="T683" s="3" t="s">
        <v>6001</v>
      </c>
    </row>
    <row r="684">
      <c r="A684" s="3" t="s">
        <v>6719</v>
      </c>
      <c r="B684" s="4" t="str">
        <f>C684 &amp; ": " &amp; D684</f>
        <v>formula-translates: OperationalBindings.AuthoritativeStaleStepKey</v>
      </c>
      <c r="C684" s="3" t="s">
        <v>6104</v>
      </c>
      <c r="D684" s="3" t="s">
        <v>4047</v>
      </c>
      <c r="E684" s="3" t="s">
        <v>1862</v>
      </c>
      <c r="F684" s="3" t="s">
        <v>1671</v>
      </c>
      <c r="G684" s="3" t="s">
        <v>6105</v>
      </c>
      <c r="H684" s="3" t="s">
        <v>1967</v>
      </c>
      <c r="I684" s="3" t="s">
        <v>5986</v>
      </c>
      <c r="J684" s="3" t="s">
        <v>5999</v>
      </c>
      <c r="K684" s="4" t="b">
        <f>J684 = "blocking"</f>
        <v>1</v>
      </c>
      <c r="L684" s="3" t="s">
        <v>1448</v>
      </c>
      <c r="M684" s="3" t="s">
        <v>6106</v>
      </c>
      <c r="N684" s="5">
        <v>46223.1297337963</v>
      </c>
      <c r="O684" s="4" t="b">
        <f>L684 = "PASS"</f>
        <v>1</v>
      </c>
      <c r="P684" s="4" t="b">
        <f>L684 = "FAIL"</f>
        <v>0</v>
      </c>
      <c r="Q684" s="4" t="b">
        <f>AND(((P684)=TRUE), ((K684)=TRUE))</f>
        <v>0</v>
      </c>
      <c r="R684" s="4" t="str">
        <f>IF(((O684)=TRUE),  I684,  "")</f>
        <v>suite-substrate</v>
      </c>
      <c r="S684" s="4" t="str">
        <f>IF(((Q684)=TRUE),  I684,  "")</f>
      </c>
      <c r="T684" s="3" t="s">
        <v>6001</v>
      </c>
    </row>
    <row r="685">
      <c r="A685" s="3" t="s">
        <v>6720</v>
      </c>
      <c r="B685" s="4" t="str">
        <f>C685 &amp; ": " &amp; D685</f>
        <v>formula-translates: OperationalBindings.IsStaleAndAuthoritative</v>
      </c>
      <c r="C685" s="3" t="s">
        <v>6104</v>
      </c>
      <c r="D685" s="3" t="s">
        <v>4049</v>
      </c>
      <c r="E685" s="3" t="s">
        <v>1862</v>
      </c>
      <c r="F685" s="3" t="s">
        <v>1672</v>
      </c>
      <c r="G685" s="3" t="s">
        <v>6105</v>
      </c>
      <c r="H685" s="3" t="s">
        <v>2123</v>
      </c>
      <c r="I685" s="3" t="s">
        <v>5986</v>
      </c>
      <c r="J685" s="3" t="s">
        <v>5999</v>
      </c>
      <c r="K685" s="4" t="b">
        <f>J685 = "blocking"</f>
        <v>1</v>
      </c>
      <c r="L685" s="3" t="s">
        <v>1448</v>
      </c>
      <c r="M685" s="3" t="s">
        <v>6106</v>
      </c>
      <c r="N685" s="5">
        <v>46223.1297337963</v>
      </c>
      <c r="O685" s="4" t="b">
        <f>L685 = "PASS"</f>
        <v>1</v>
      </c>
      <c r="P685" s="4" t="b">
        <f>L685 = "FAIL"</f>
        <v>0</v>
      </c>
      <c r="Q685" s="4" t="b">
        <f>AND(((P685)=TRUE), ((K685)=TRUE))</f>
        <v>0</v>
      </c>
      <c r="R685" s="4" t="str">
        <f>IF(((O685)=TRUE),  I685,  "")</f>
        <v>suite-substrate</v>
      </c>
      <c r="S685" s="4" t="str">
        <f>IF(((Q685)=TRUE),  I685,  "")</f>
      </c>
      <c r="T685" s="3" t="s">
        <v>6001</v>
      </c>
    </row>
    <row r="686">
      <c r="A686" s="3" t="s">
        <v>6721</v>
      </c>
      <c r="B686" s="4" t="str">
        <f>C686 &amp; ": " &amp; D686</f>
        <v>formula-translates: OperationalBindings.StepWhenStale</v>
      </c>
      <c r="C686" s="3" t="s">
        <v>6104</v>
      </c>
      <c r="D686" s="3" t="s">
        <v>4051</v>
      </c>
      <c r="E686" s="3" t="s">
        <v>1862</v>
      </c>
      <c r="F686" s="3" t="s">
        <v>1673</v>
      </c>
      <c r="G686" s="3" t="s">
        <v>6105</v>
      </c>
      <c r="H686" s="3" t="s">
        <v>2123</v>
      </c>
      <c r="I686" s="3" t="s">
        <v>5986</v>
      </c>
      <c r="J686" s="3" t="s">
        <v>5999</v>
      </c>
      <c r="K686" s="4" t="b">
        <f>J686 = "blocking"</f>
        <v>1</v>
      </c>
      <c r="L686" s="3" t="s">
        <v>1448</v>
      </c>
      <c r="M686" s="3" t="s">
        <v>6106</v>
      </c>
      <c r="N686" s="5">
        <v>46223.1297337963</v>
      </c>
      <c r="O686" s="4" t="b">
        <f>L686 = "PASS"</f>
        <v>1</v>
      </c>
      <c r="P686" s="4" t="b">
        <f>L686 = "FAIL"</f>
        <v>0</v>
      </c>
      <c r="Q686" s="4" t="b">
        <f>AND(((P686)=TRUE), ((K686)=TRUE))</f>
        <v>0</v>
      </c>
      <c r="R686" s="4" t="str">
        <f>IF(((O686)=TRUE),  I686,  "")</f>
        <v>suite-substrate</v>
      </c>
      <c r="S686" s="4" t="str">
        <f>IF(((Q686)=TRUE),  I686,  "")</f>
      </c>
      <c r="T686" s="3" t="s">
        <v>6001</v>
      </c>
    </row>
    <row r="687">
      <c r="A687" s="3" t="s">
        <v>6722</v>
      </c>
      <c r="B687" s="4" t="str">
        <f>C687 &amp; ": " &amp; D687</f>
        <v>formula-translates: OperationalBindings.ResourceIsApproved</v>
      </c>
      <c r="C687" s="3" t="s">
        <v>6104</v>
      </c>
      <c r="D687" s="3" t="s">
        <v>4053</v>
      </c>
      <c r="E687" s="3" t="s">
        <v>1862</v>
      </c>
      <c r="F687" s="3" t="s">
        <v>1674</v>
      </c>
      <c r="G687" s="3" t="s">
        <v>6105</v>
      </c>
      <c r="H687" s="3" t="s">
        <v>2183</v>
      </c>
      <c r="I687" s="3" t="s">
        <v>5986</v>
      </c>
      <c r="J687" s="3" t="s">
        <v>5999</v>
      </c>
      <c r="K687" s="4" t="b">
        <f>J687 = "blocking"</f>
        <v>1</v>
      </c>
      <c r="L687" s="3" t="s">
        <v>1448</v>
      </c>
      <c r="M687" s="3" t="s">
        <v>6106</v>
      </c>
      <c r="N687" s="5">
        <v>46223.1297337963</v>
      </c>
      <c r="O687" s="4" t="b">
        <f>L687 = "PASS"</f>
        <v>1</v>
      </c>
      <c r="P687" s="4" t="b">
        <f>L687 = "FAIL"</f>
        <v>0</v>
      </c>
      <c r="Q687" s="4" t="b">
        <f>AND(((P687)=TRUE), ((K687)=TRUE))</f>
        <v>0</v>
      </c>
      <c r="R687" s="4" t="str">
        <f>IF(((O687)=TRUE),  I687,  "")</f>
        <v>suite-substrate</v>
      </c>
      <c r="S687" s="4" t="str">
        <f>IF(((Q687)=TRUE),  I687,  "")</f>
      </c>
      <c r="T687" s="3" t="s">
        <v>6001</v>
      </c>
    </row>
    <row r="688">
      <c r="A688" s="3" t="s">
        <v>6723</v>
      </c>
      <c r="B688" s="4" t="str">
        <f>C688 &amp; ": " &amp; D688</f>
        <v>formula-translates: OperationalBindings.IsUsableForDrafting</v>
      </c>
      <c r="C688" s="3" t="s">
        <v>6104</v>
      </c>
      <c r="D688" s="3" t="s">
        <v>4055</v>
      </c>
      <c r="E688" s="3" t="s">
        <v>1862</v>
      </c>
      <c r="F688" s="3" t="s">
        <v>1675</v>
      </c>
      <c r="G688" s="3" t="s">
        <v>6105</v>
      </c>
      <c r="H688" s="3" t="s">
        <v>2183</v>
      </c>
      <c r="I688" s="3" t="s">
        <v>5986</v>
      </c>
      <c r="J688" s="3" t="s">
        <v>5999</v>
      </c>
      <c r="K688" s="4" t="b">
        <f>J688 = "blocking"</f>
        <v>1</v>
      </c>
      <c r="L688" s="3" t="s">
        <v>1448</v>
      </c>
      <c r="M688" s="3" t="s">
        <v>6106</v>
      </c>
      <c r="N688" s="5">
        <v>46223.1297337963</v>
      </c>
      <c r="O688" s="4" t="b">
        <f>L688 = "PASS"</f>
        <v>1</v>
      </c>
      <c r="P688" s="4" t="b">
        <f>L688 = "FAIL"</f>
        <v>0</v>
      </c>
      <c r="Q688" s="4" t="b">
        <f>AND(((P688)=TRUE), ((K688)=TRUE))</f>
        <v>0</v>
      </c>
      <c r="R688" s="4" t="str">
        <f>IF(((O688)=TRUE),  I688,  "")</f>
        <v>suite-substrate</v>
      </c>
      <c r="S688" s="4" t="str">
        <f>IF(((Q688)=TRUE),  I688,  "")</f>
      </c>
      <c r="T688" s="3" t="s">
        <v>6001</v>
      </c>
    </row>
    <row r="689">
      <c r="A689" s="3" t="s">
        <v>6724</v>
      </c>
      <c r="B689" s="4" t="str">
        <f>C689 &amp; ": " &amp; D689</f>
        <v>formula-translates: OperationalBindings.StepWhenUnusable</v>
      </c>
      <c r="C689" s="3" t="s">
        <v>6104</v>
      </c>
      <c r="D689" s="3" t="s">
        <v>4057</v>
      </c>
      <c r="E689" s="3" t="s">
        <v>1862</v>
      </c>
      <c r="F689" s="3" t="s">
        <v>1676</v>
      </c>
      <c r="G689" s="3" t="s">
        <v>6105</v>
      </c>
      <c r="H689" s="3" t="s">
        <v>2183</v>
      </c>
      <c r="I689" s="3" t="s">
        <v>5986</v>
      </c>
      <c r="J689" s="3" t="s">
        <v>5999</v>
      </c>
      <c r="K689" s="4" t="b">
        <f>J689 = "blocking"</f>
        <v>1</v>
      </c>
      <c r="L689" s="3" t="s">
        <v>1448</v>
      </c>
      <c r="M689" s="3" t="s">
        <v>6106</v>
      </c>
      <c r="N689" s="5">
        <v>46223.1297337963</v>
      </c>
      <c r="O689" s="4" t="b">
        <f>L689 = "PASS"</f>
        <v>1</v>
      </c>
      <c r="P689" s="4" t="b">
        <f>L689 = "FAIL"</f>
        <v>0</v>
      </c>
      <c r="Q689" s="4" t="b">
        <f>AND(((P689)=TRUE), ((K689)=TRUE))</f>
        <v>0</v>
      </c>
      <c r="R689" s="4" t="str">
        <f>IF(((O689)=TRUE),  I689,  "")</f>
        <v>suite-substrate</v>
      </c>
      <c r="S689" s="4" t="str">
        <f>IF(((Q689)=TRUE),  I689,  "")</f>
      </c>
      <c r="T689" s="3" t="s">
        <v>6001</v>
      </c>
    </row>
    <row r="690">
      <c r="A690" s="3" t="s">
        <v>6725</v>
      </c>
      <c r="B690" s="4" t="str">
        <f>C690 &amp; ": " &amp; D690</f>
        <v>formula-translates: CommunicationPolicies.Name</v>
      </c>
      <c r="C690" s="3" t="s">
        <v>6104</v>
      </c>
      <c r="D690" s="3" t="s">
        <v>4061</v>
      </c>
      <c r="E690" s="3" t="s">
        <v>1865</v>
      </c>
      <c r="F690" s="3" t="s">
        <v>1</v>
      </c>
      <c r="G690" s="3" t="s">
        <v>6105</v>
      </c>
      <c r="H690" s="3"/>
      <c r="I690" s="3" t="s">
        <v>5986</v>
      </c>
      <c r="J690" s="3" t="s">
        <v>5999</v>
      </c>
      <c r="K690" s="4" t="b">
        <f>J690 = "blocking"</f>
        <v>1</v>
      </c>
      <c r="L690" s="3" t="s">
        <v>1448</v>
      </c>
      <c r="M690" s="3" t="s">
        <v>6106</v>
      </c>
      <c r="N690" s="5">
        <v>46223.1297337963</v>
      </c>
      <c r="O690" s="4" t="b">
        <f>L690 = "PASS"</f>
        <v>1</v>
      </c>
      <c r="P690" s="4" t="b">
        <f>L690 = "FAIL"</f>
        <v>0</v>
      </c>
      <c r="Q690" s="4" t="b">
        <f>AND(((P690)=TRUE), ((K690)=TRUE))</f>
        <v>0</v>
      </c>
      <c r="R690" s="4" t="str">
        <f>IF(((O690)=TRUE),  I690,  "")</f>
        <v>suite-substrate</v>
      </c>
      <c r="S690" s="4" t="str">
        <f>IF(((Q690)=TRUE),  I690,  "")</f>
      </c>
      <c r="T690" s="3" t="s">
        <v>6001</v>
      </c>
    </row>
    <row r="691">
      <c r="A691" s="3" t="s">
        <v>6726</v>
      </c>
      <c r="B691" s="4" t="str">
        <f>C691 &amp; ": " &amp; D691</f>
        <v>formula-translates: CommunicationPolicies.ConsentViolationCount</v>
      </c>
      <c r="C691" s="3" t="s">
        <v>6104</v>
      </c>
      <c r="D691" s="3" t="s">
        <v>4076</v>
      </c>
      <c r="E691" s="3" t="s">
        <v>1865</v>
      </c>
      <c r="F691" s="3" t="s">
        <v>1701</v>
      </c>
      <c r="G691" s="3" t="s">
        <v>6105</v>
      </c>
      <c r="H691" s="3" t="s">
        <v>2059</v>
      </c>
      <c r="I691" s="3" t="s">
        <v>5986</v>
      </c>
      <c r="J691" s="3" t="s">
        <v>5999</v>
      </c>
      <c r="K691" s="4" t="b">
        <f>J691 = "blocking"</f>
        <v>1</v>
      </c>
      <c r="L691" s="3" t="s">
        <v>1448</v>
      </c>
      <c r="M691" s="3" t="s">
        <v>6106</v>
      </c>
      <c r="N691" s="5">
        <v>46223.1297337963</v>
      </c>
      <c r="O691" s="4" t="b">
        <f>L691 = "PASS"</f>
        <v>1</v>
      </c>
      <c r="P691" s="4" t="b">
        <f>L691 = "FAIL"</f>
        <v>0</v>
      </c>
      <c r="Q691" s="4" t="b">
        <f>AND(((P691)=TRUE), ((K691)=TRUE))</f>
        <v>0</v>
      </c>
      <c r="R691" s="4" t="str">
        <f>IF(((O691)=TRUE),  I691,  "")</f>
        <v>suite-substrate</v>
      </c>
      <c r="S691" s="4" t="str">
        <f>IF(((Q691)=TRUE),  I691,  "")</f>
      </c>
      <c r="T691" s="3" t="s">
        <v>6001</v>
      </c>
    </row>
    <row r="692">
      <c r="A692" s="3" t="s">
        <v>6727</v>
      </c>
      <c r="B692" s="4" t="str">
        <f>C692 &amp; ": " &amp; D692</f>
        <v>formula-translates: CommunicationPolicies.QuietHoursViolationCount</v>
      </c>
      <c r="C692" s="3" t="s">
        <v>6104</v>
      </c>
      <c r="D692" s="3" t="s">
        <v>4080</v>
      </c>
      <c r="E692" s="3" t="s">
        <v>1865</v>
      </c>
      <c r="F692" s="3" t="s">
        <v>1704</v>
      </c>
      <c r="G692" s="3" t="s">
        <v>6105</v>
      </c>
      <c r="H692" s="3" t="s">
        <v>2063</v>
      </c>
      <c r="I692" s="3" t="s">
        <v>5986</v>
      </c>
      <c r="J692" s="3" t="s">
        <v>5999</v>
      </c>
      <c r="K692" s="4" t="b">
        <f>J692 = "blocking"</f>
        <v>1</v>
      </c>
      <c r="L692" s="3" t="s">
        <v>1448</v>
      </c>
      <c r="M692" s="3" t="s">
        <v>6106</v>
      </c>
      <c r="N692" s="5">
        <v>46223.1297337963</v>
      </c>
      <c r="O692" s="4" t="b">
        <f>L692 = "PASS"</f>
        <v>1</v>
      </c>
      <c r="P692" s="4" t="b">
        <f>L692 = "FAIL"</f>
        <v>0</v>
      </c>
      <c r="Q692" s="4" t="b">
        <f>AND(((P692)=TRUE), ((K692)=TRUE))</f>
        <v>0</v>
      </c>
      <c r="R692" s="4" t="str">
        <f>IF(((O692)=TRUE),  I692,  "")</f>
        <v>suite-substrate</v>
      </c>
      <c r="S692" s="4" t="str">
        <f>IF(((Q692)=TRUE),  I692,  "")</f>
      </c>
      <c r="T692" s="3" t="s">
        <v>6001</v>
      </c>
    </row>
    <row r="693">
      <c r="A693" s="3" t="s">
        <v>6728</v>
      </c>
      <c r="B693" s="4" t="str">
        <f>C693 &amp; ": " &amp; D693</f>
        <v>formula-translates: CommunicationPolicies.IsActivePolicy</v>
      </c>
      <c r="C693" s="3" t="s">
        <v>6104</v>
      </c>
      <c r="D693" s="3" t="s">
        <v>4083</v>
      </c>
      <c r="E693" s="3" t="s">
        <v>1865</v>
      </c>
      <c r="F693" s="3" t="s">
        <v>1706</v>
      </c>
      <c r="G693" s="3" t="s">
        <v>6105</v>
      </c>
      <c r="H693" s="3" t="s">
        <v>2099</v>
      </c>
      <c r="I693" s="3" t="s">
        <v>5986</v>
      </c>
      <c r="J693" s="3" t="s">
        <v>5999</v>
      </c>
      <c r="K693" s="4" t="b">
        <f>J693 = "blocking"</f>
        <v>1</v>
      </c>
      <c r="L693" s="3" t="s">
        <v>1448</v>
      </c>
      <c r="M693" s="3" t="s">
        <v>6106</v>
      </c>
      <c r="N693" s="5">
        <v>46223.1297337963</v>
      </c>
      <c r="O693" s="4" t="b">
        <f>L693 = "PASS"</f>
        <v>1</v>
      </c>
      <c r="P693" s="4" t="b">
        <f>L693 = "FAIL"</f>
        <v>0</v>
      </c>
      <c r="Q693" s="4" t="b">
        <f>AND(((P693)=TRUE), ((K693)=TRUE))</f>
        <v>0</v>
      </c>
      <c r="R693" s="4" t="str">
        <f>IF(((O693)=TRUE),  I693,  "")</f>
        <v>suite-substrate</v>
      </c>
      <c r="S693" s="4" t="str">
        <f>IF(((Q693)=TRUE),  I693,  "")</f>
      </c>
      <c r="T693" s="3" t="s">
        <v>6001</v>
      </c>
    </row>
    <row r="694">
      <c r="A694" s="3" t="s">
        <v>6729</v>
      </c>
      <c r="B694" s="4" t="str">
        <f>C694 &amp; ": " &amp; D694</f>
        <v>formula-translates: MessageTemplates.Name</v>
      </c>
      <c r="C694" s="3" t="s">
        <v>6104</v>
      </c>
      <c r="D694" s="3" t="s">
        <v>4088</v>
      </c>
      <c r="E694" s="3" t="s">
        <v>4087</v>
      </c>
      <c r="F694" s="3" t="s">
        <v>1</v>
      </c>
      <c r="G694" s="3" t="s">
        <v>6105</v>
      </c>
      <c r="H694" s="3"/>
      <c r="I694" s="3" t="s">
        <v>5986</v>
      </c>
      <c r="J694" s="3" t="s">
        <v>5999</v>
      </c>
      <c r="K694" s="4" t="b">
        <f>J694 = "blocking"</f>
        <v>1</v>
      </c>
      <c r="L694" s="3" t="s">
        <v>1448</v>
      </c>
      <c r="M694" s="3" t="s">
        <v>6106</v>
      </c>
      <c r="N694" s="5">
        <v>46223.1297337963</v>
      </c>
      <c r="O694" s="4" t="b">
        <f>L694 = "PASS"</f>
        <v>1</v>
      </c>
      <c r="P694" s="4" t="b">
        <f>L694 = "FAIL"</f>
        <v>0</v>
      </c>
      <c r="Q694" s="4" t="b">
        <f>AND(((P694)=TRUE), ((K694)=TRUE))</f>
        <v>0</v>
      </c>
      <c r="R694" s="4" t="str">
        <f>IF(((O694)=TRUE),  I694,  "")</f>
        <v>suite-substrate</v>
      </c>
      <c r="S694" s="4" t="str">
        <f>IF(((Q694)=TRUE),  I694,  "")</f>
      </c>
      <c r="T694" s="3" t="s">
        <v>6001</v>
      </c>
    </row>
    <row r="695">
      <c r="A695" s="3" t="s">
        <v>6730</v>
      </c>
      <c r="B695" s="4" t="str">
        <f>C695 &amp; ": " &amp; D695</f>
        <v>formula-translates: MessageTemplates.PolicyMaxMessageLength</v>
      </c>
      <c r="C695" s="3" t="s">
        <v>6104</v>
      </c>
      <c r="D695" s="3" t="s">
        <v>4096</v>
      </c>
      <c r="E695" s="3" t="s">
        <v>4087</v>
      </c>
      <c r="F695" s="3" t="s">
        <v>1727</v>
      </c>
      <c r="G695" s="3" t="s">
        <v>6105</v>
      </c>
      <c r="H695" s="3" t="s">
        <v>2079</v>
      </c>
      <c r="I695" s="3" t="s">
        <v>5986</v>
      </c>
      <c r="J695" s="3" t="s">
        <v>5999</v>
      </c>
      <c r="K695" s="4" t="b">
        <f>J695 = "blocking"</f>
        <v>1</v>
      </c>
      <c r="L695" s="3" t="s">
        <v>1448</v>
      </c>
      <c r="M695" s="3" t="s">
        <v>6106</v>
      </c>
      <c r="N695" s="5">
        <v>46223.1297337963</v>
      </c>
      <c r="O695" s="4" t="b">
        <f>L695 = "PASS"</f>
        <v>1</v>
      </c>
      <c r="P695" s="4" t="b">
        <f>L695 = "FAIL"</f>
        <v>0</v>
      </c>
      <c r="Q695" s="4" t="b">
        <f>AND(((P695)=TRUE), ((K695)=TRUE))</f>
        <v>0</v>
      </c>
      <c r="R695" s="4" t="str">
        <f>IF(((O695)=TRUE),  I695,  "")</f>
        <v>suite-substrate</v>
      </c>
      <c r="S695" s="4" t="str">
        <f>IF(((Q695)=TRUE),  I695,  "")</f>
      </c>
      <c r="T695" s="3" t="s">
        <v>6001</v>
      </c>
    </row>
    <row r="696">
      <c r="A696" s="3" t="s">
        <v>6731</v>
      </c>
      <c r="B696" s="4" t="str">
        <f>C696 &amp; ": " &amp; D696</f>
        <v>formula-translates: MessageTemplates.PolicyMaxSegments</v>
      </c>
      <c r="C696" s="3" t="s">
        <v>6104</v>
      </c>
      <c r="D696" s="3" t="s">
        <v>4098</v>
      </c>
      <c r="E696" s="3" t="s">
        <v>4087</v>
      </c>
      <c r="F696" s="3" t="s">
        <v>1728</v>
      </c>
      <c r="G696" s="3" t="s">
        <v>6105</v>
      </c>
      <c r="H696" s="3" t="s">
        <v>2079</v>
      </c>
      <c r="I696" s="3" t="s">
        <v>5986</v>
      </c>
      <c r="J696" s="3" t="s">
        <v>5999</v>
      </c>
      <c r="K696" s="4" t="b">
        <f>J696 = "blocking"</f>
        <v>1</v>
      </c>
      <c r="L696" s="3" t="s">
        <v>1448</v>
      </c>
      <c r="M696" s="3" t="s">
        <v>6106</v>
      </c>
      <c r="N696" s="5">
        <v>46223.1297337963</v>
      </c>
      <c r="O696" s="4" t="b">
        <f>L696 = "PASS"</f>
        <v>1</v>
      </c>
      <c r="P696" s="4" t="b">
        <f>L696 = "FAIL"</f>
        <v>0</v>
      </c>
      <c r="Q696" s="4" t="b">
        <f>AND(((P696)=TRUE), ((K696)=TRUE))</f>
        <v>0</v>
      </c>
      <c r="R696" s="4" t="str">
        <f>IF(((O696)=TRUE),  I696,  "")</f>
        <v>suite-substrate</v>
      </c>
      <c r="S696" s="4" t="str">
        <f>IF(((Q696)=TRUE),  I696,  "")</f>
      </c>
      <c r="T696" s="3" t="s">
        <v>6001</v>
      </c>
    </row>
    <row r="697">
      <c r="A697" s="3" t="s">
        <v>6732</v>
      </c>
      <c r="B697" s="4" t="str">
        <f>C697 &amp; ": " &amp; D697</f>
        <v>formula-translates: MessageTemplates.BodyTemplateLength</v>
      </c>
      <c r="C697" s="3" t="s">
        <v>6104</v>
      </c>
      <c r="D697" s="3" t="s">
        <v>4100</v>
      </c>
      <c r="E697" s="3" t="s">
        <v>4087</v>
      </c>
      <c r="F697" s="3" t="s">
        <v>1729</v>
      </c>
      <c r="G697" s="3" t="s">
        <v>6105</v>
      </c>
      <c r="H697" s="3" t="s">
        <v>2079</v>
      </c>
      <c r="I697" s="3" t="s">
        <v>5986</v>
      </c>
      <c r="J697" s="3" t="s">
        <v>5999</v>
      </c>
      <c r="K697" s="4" t="b">
        <f>J697 = "blocking"</f>
        <v>1</v>
      </c>
      <c r="L697" s="3" t="s">
        <v>1448</v>
      </c>
      <c r="M697" s="3" t="s">
        <v>6106</v>
      </c>
      <c r="N697" s="5">
        <v>46223.1297337963</v>
      </c>
      <c r="O697" s="4" t="b">
        <f>L697 = "PASS"</f>
        <v>1</v>
      </c>
      <c r="P697" s="4" t="b">
        <f>L697 = "FAIL"</f>
        <v>0</v>
      </c>
      <c r="Q697" s="4" t="b">
        <f>AND(((P697)=TRUE), ((K697)=TRUE))</f>
        <v>0</v>
      </c>
      <c r="R697" s="4" t="str">
        <f>IF(((O697)=TRUE),  I697,  "")</f>
        <v>suite-substrate</v>
      </c>
      <c r="S697" s="4" t="str">
        <f>IF(((Q697)=TRUE),  I697,  "")</f>
      </c>
      <c r="T697" s="3" t="s">
        <v>6001</v>
      </c>
    </row>
    <row r="698">
      <c r="A698" s="3" t="s">
        <v>6733</v>
      </c>
      <c r="B698" s="4" t="str">
        <f>C698 &amp; ": " &amp; D698</f>
        <v>formula-translates: MessageTemplates.IsTemplateOverLength</v>
      </c>
      <c r="C698" s="3" t="s">
        <v>6104</v>
      </c>
      <c r="D698" s="3" t="s">
        <v>4102</v>
      </c>
      <c r="E698" s="3" t="s">
        <v>4087</v>
      </c>
      <c r="F698" s="3" t="s">
        <v>1730</v>
      </c>
      <c r="G698" s="3" t="s">
        <v>6105</v>
      </c>
      <c r="H698" s="3" t="s">
        <v>2079</v>
      </c>
      <c r="I698" s="3" t="s">
        <v>5986</v>
      </c>
      <c r="J698" s="3" t="s">
        <v>5999</v>
      </c>
      <c r="K698" s="4" t="b">
        <f>J698 = "blocking"</f>
        <v>1</v>
      </c>
      <c r="L698" s="3" t="s">
        <v>1448</v>
      </c>
      <c r="M698" s="3" t="s">
        <v>6106</v>
      </c>
      <c r="N698" s="5">
        <v>46223.1297337963</v>
      </c>
      <c r="O698" s="4" t="b">
        <f>L698 = "PASS"</f>
        <v>1</v>
      </c>
      <c r="P698" s="4" t="b">
        <f>L698 = "FAIL"</f>
        <v>0</v>
      </c>
      <c r="Q698" s="4" t="b">
        <f>AND(((P698)=TRUE), ((K698)=TRUE))</f>
        <v>0</v>
      </c>
      <c r="R698" s="4" t="str">
        <f>IF(((O698)=TRUE),  I698,  "")</f>
        <v>suite-substrate</v>
      </c>
      <c r="S698" s="4" t="str">
        <f>IF(((Q698)=TRUE),  I698,  "")</f>
      </c>
      <c r="T698" s="3" t="s">
        <v>6001</v>
      </c>
    </row>
    <row r="699">
      <c r="A699" s="3" t="s">
        <v>6734</v>
      </c>
      <c r="B699" s="4" t="str">
        <f>C699 &amp; ": " &amp; D699</f>
        <v>formula-translates: MessageTemplates.ValidApprovalCount</v>
      </c>
      <c r="C699" s="3" t="s">
        <v>6104</v>
      </c>
      <c r="D699" s="3" t="s">
        <v>4104</v>
      </c>
      <c r="E699" s="3" t="s">
        <v>4087</v>
      </c>
      <c r="F699" s="3" t="s">
        <v>1731</v>
      </c>
      <c r="G699" s="3" t="s">
        <v>6105</v>
      </c>
      <c r="H699" s="3" t="s">
        <v>2083</v>
      </c>
      <c r="I699" s="3" t="s">
        <v>5986</v>
      </c>
      <c r="J699" s="3" t="s">
        <v>5999</v>
      </c>
      <c r="K699" s="4" t="b">
        <f>J699 = "blocking"</f>
        <v>1</v>
      </c>
      <c r="L699" s="3" t="s">
        <v>1448</v>
      </c>
      <c r="M699" s="3" t="s">
        <v>6106</v>
      </c>
      <c r="N699" s="5">
        <v>46223.1297337963</v>
      </c>
      <c r="O699" s="4" t="b">
        <f>L699 = "PASS"</f>
        <v>1</v>
      </c>
      <c r="P699" s="4" t="b">
        <f>L699 = "FAIL"</f>
        <v>0</v>
      </c>
      <c r="Q699" s="4" t="b">
        <f>AND(((P699)=TRUE), ((K699)=TRUE))</f>
        <v>0</v>
      </c>
      <c r="R699" s="4" t="str">
        <f>IF(((O699)=TRUE),  I699,  "")</f>
        <v>suite-substrate</v>
      </c>
      <c r="S699" s="4" t="str">
        <f>IF(((Q699)=TRUE),  I699,  "")</f>
      </c>
      <c r="T699" s="3" t="s">
        <v>6001</v>
      </c>
    </row>
    <row r="700">
      <c r="A700" s="3" t="s">
        <v>6735</v>
      </c>
      <c r="B700" s="4" t="str">
        <f>C700 &amp; ": " &amp; D700</f>
        <v>formula-translates: MessageTemplates.HasValidApproval</v>
      </c>
      <c r="C700" s="3" t="s">
        <v>6104</v>
      </c>
      <c r="D700" s="3" t="s">
        <v>4106</v>
      </c>
      <c r="E700" s="3" t="s">
        <v>4087</v>
      </c>
      <c r="F700" s="3" t="s">
        <v>1732</v>
      </c>
      <c r="G700" s="3" t="s">
        <v>6105</v>
      </c>
      <c r="H700" s="3" t="s">
        <v>2083</v>
      </c>
      <c r="I700" s="3" t="s">
        <v>5986</v>
      </c>
      <c r="J700" s="3" t="s">
        <v>5999</v>
      </c>
      <c r="K700" s="4" t="b">
        <f>J700 = "blocking"</f>
        <v>1</v>
      </c>
      <c r="L700" s="3" t="s">
        <v>1448</v>
      </c>
      <c r="M700" s="3" t="s">
        <v>6106</v>
      </c>
      <c r="N700" s="5">
        <v>46223.1297337963</v>
      </c>
      <c r="O700" s="4" t="b">
        <f>L700 = "PASS"</f>
        <v>1</v>
      </c>
      <c r="P700" s="4" t="b">
        <f>L700 = "FAIL"</f>
        <v>0</v>
      </c>
      <c r="Q700" s="4" t="b">
        <f>AND(((P700)=TRUE), ((K700)=TRUE))</f>
        <v>0</v>
      </c>
      <c r="R700" s="4" t="str">
        <f>IF(((O700)=TRUE),  I700,  "")</f>
        <v>suite-substrate</v>
      </c>
      <c r="S700" s="4" t="str">
        <f>IF(((Q700)=TRUE),  I700,  "")</f>
      </c>
      <c r="T700" s="3" t="s">
        <v>6001</v>
      </c>
    </row>
    <row r="701">
      <c r="A701" s="3" t="s">
        <v>6736</v>
      </c>
      <c r="B701" s="4" t="str">
        <f>C701 &amp; ": " &amp; D701</f>
        <v>formula-translates: MessageTemplates.IsClaimingUnbackedApproval</v>
      </c>
      <c r="C701" s="3" t="s">
        <v>6104</v>
      </c>
      <c r="D701" s="3" t="s">
        <v>4108</v>
      </c>
      <c r="E701" s="3" t="s">
        <v>4087</v>
      </c>
      <c r="F701" s="3" t="s">
        <v>1733</v>
      </c>
      <c r="G701" s="3" t="s">
        <v>6105</v>
      </c>
      <c r="H701" s="3" t="s">
        <v>2083</v>
      </c>
      <c r="I701" s="3" t="s">
        <v>5986</v>
      </c>
      <c r="J701" s="3" t="s">
        <v>5999</v>
      </c>
      <c r="K701" s="4" t="b">
        <f>J701 = "blocking"</f>
        <v>1</v>
      </c>
      <c r="L701" s="3" t="s">
        <v>1448</v>
      </c>
      <c r="M701" s="3" t="s">
        <v>6106</v>
      </c>
      <c r="N701" s="5">
        <v>46223.1297337963</v>
      </c>
      <c r="O701" s="4" t="b">
        <f>L701 = "PASS"</f>
        <v>1</v>
      </c>
      <c r="P701" s="4" t="b">
        <f>L701 = "FAIL"</f>
        <v>0</v>
      </c>
      <c r="Q701" s="4" t="b">
        <f>AND(((P701)=TRUE), ((K701)=TRUE))</f>
        <v>0</v>
      </c>
      <c r="R701" s="4" t="str">
        <f>IF(((O701)=TRUE),  I701,  "")</f>
        <v>suite-substrate</v>
      </c>
      <c r="S701" s="4" t="str">
        <f>IF(((Q701)=TRUE),  I701,  "")</f>
      </c>
      <c r="T701" s="3" t="s">
        <v>6001</v>
      </c>
    </row>
    <row r="702">
      <c r="A702" s="3" t="s">
        <v>6737</v>
      </c>
      <c r="B702" s="4" t="str">
        <f>C702 &amp; ": " &amp; D702</f>
        <v>formula-translates: MessageTemplates.LastApprovedBodyHash</v>
      </c>
      <c r="C702" s="3" t="s">
        <v>6104</v>
      </c>
      <c r="D702" s="3" t="s">
        <v>4111</v>
      </c>
      <c r="E702" s="3" t="s">
        <v>4087</v>
      </c>
      <c r="F702" s="3" t="s">
        <v>1735</v>
      </c>
      <c r="G702" s="3" t="s">
        <v>6105</v>
      </c>
      <c r="H702" s="3" t="s">
        <v>2095</v>
      </c>
      <c r="I702" s="3" t="s">
        <v>5986</v>
      </c>
      <c r="J702" s="3" t="s">
        <v>5999</v>
      </c>
      <c r="K702" s="4" t="b">
        <f>J702 = "blocking"</f>
        <v>1</v>
      </c>
      <c r="L702" s="3" t="s">
        <v>1448</v>
      </c>
      <c r="M702" s="3" t="s">
        <v>6106</v>
      </c>
      <c r="N702" s="5">
        <v>46223.1297337963</v>
      </c>
      <c r="O702" s="4" t="b">
        <f>L702 = "PASS"</f>
        <v>1</v>
      </c>
      <c r="P702" s="4" t="b">
        <f>L702 = "FAIL"</f>
        <v>0</v>
      </c>
      <c r="Q702" s="4" t="b">
        <f>AND(((P702)=TRUE), ((K702)=TRUE))</f>
        <v>0</v>
      </c>
      <c r="R702" s="4" t="str">
        <f>IF(((O702)=TRUE),  I702,  "")</f>
        <v>suite-substrate</v>
      </c>
      <c r="S702" s="4" t="str">
        <f>IF(((Q702)=TRUE),  I702,  "")</f>
      </c>
      <c r="T702" s="3" t="s">
        <v>6001</v>
      </c>
    </row>
    <row r="703">
      <c r="A703" s="3" t="s">
        <v>6738</v>
      </c>
      <c r="B703" s="4" t="str">
        <f>C703 &amp; ": " &amp; D703</f>
        <v>formula-translates: MessageTemplates.HasBodyDrifted</v>
      </c>
      <c r="C703" s="3" t="s">
        <v>6104</v>
      </c>
      <c r="D703" s="3" t="s">
        <v>4114</v>
      </c>
      <c r="E703" s="3" t="s">
        <v>4087</v>
      </c>
      <c r="F703" s="3" t="s">
        <v>1737</v>
      </c>
      <c r="G703" s="3" t="s">
        <v>6105</v>
      </c>
      <c r="H703" s="3" t="s">
        <v>2095</v>
      </c>
      <c r="I703" s="3" t="s">
        <v>5986</v>
      </c>
      <c r="J703" s="3" t="s">
        <v>5999</v>
      </c>
      <c r="K703" s="4" t="b">
        <f>J703 = "blocking"</f>
        <v>1</v>
      </c>
      <c r="L703" s="3" t="s">
        <v>1448</v>
      </c>
      <c r="M703" s="3" t="s">
        <v>6106</v>
      </c>
      <c r="N703" s="5">
        <v>46223.1297337963</v>
      </c>
      <c r="O703" s="4" t="b">
        <f>L703 = "PASS"</f>
        <v>1</v>
      </c>
      <c r="P703" s="4" t="b">
        <f>L703 = "FAIL"</f>
        <v>0</v>
      </c>
      <c r="Q703" s="4" t="b">
        <f>AND(((P703)=TRUE), ((K703)=TRUE))</f>
        <v>0</v>
      </c>
      <c r="R703" s="4" t="str">
        <f>IF(((O703)=TRUE),  I703,  "")</f>
        <v>suite-substrate</v>
      </c>
      <c r="S703" s="4" t="str">
        <f>IF(((Q703)=TRUE),  I703,  "")</f>
      </c>
      <c r="T703" s="3" t="s">
        <v>6001</v>
      </c>
    </row>
    <row r="704">
      <c r="A704" s="3" t="s">
        <v>6739</v>
      </c>
      <c r="B704" s="4" t="str">
        <f>C704 &amp; ": " &amp; D704</f>
        <v>formula-translates: MessageTemplates.IsSendableUnderApproval</v>
      </c>
      <c r="C704" s="3" t="s">
        <v>6104</v>
      </c>
      <c r="D704" s="3" t="s">
        <v>4116</v>
      </c>
      <c r="E704" s="3" t="s">
        <v>4087</v>
      </c>
      <c r="F704" s="3" t="s">
        <v>1738</v>
      </c>
      <c r="G704" s="3" t="s">
        <v>6105</v>
      </c>
      <c r="H704" s="3" t="s">
        <v>2095</v>
      </c>
      <c r="I704" s="3" t="s">
        <v>5986</v>
      </c>
      <c r="J704" s="3" t="s">
        <v>5999</v>
      </c>
      <c r="K704" s="4" t="b">
        <f>J704 = "blocking"</f>
        <v>1</v>
      </c>
      <c r="L704" s="3" t="s">
        <v>1448</v>
      </c>
      <c r="M704" s="3" t="s">
        <v>6106</v>
      </c>
      <c r="N704" s="5">
        <v>46223.1297337963</v>
      </c>
      <c r="O704" s="4" t="b">
        <f>L704 = "PASS"</f>
        <v>1</v>
      </c>
      <c r="P704" s="4" t="b">
        <f>L704 = "FAIL"</f>
        <v>0</v>
      </c>
      <c r="Q704" s="4" t="b">
        <f>AND(((P704)=TRUE), ((K704)=TRUE))</f>
        <v>0</v>
      </c>
      <c r="R704" s="4" t="str">
        <f>IF(((O704)=TRUE),  I704,  "")</f>
        <v>suite-substrate</v>
      </c>
      <c r="S704" s="4" t="str">
        <f>IF(((Q704)=TRUE),  I704,  "")</f>
      </c>
      <c r="T704" s="3" t="s">
        <v>6001</v>
      </c>
    </row>
    <row r="705">
      <c r="A705" s="3" t="s">
        <v>6740</v>
      </c>
      <c r="B705" s="4" t="str">
        <f>C705 &amp; ": " &amp; D705</f>
        <v>formula-translates: MessageTemplates.DriftedSendCount</v>
      </c>
      <c r="C705" s="3" t="s">
        <v>6104</v>
      </c>
      <c r="D705" s="3" t="s">
        <v>4118</v>
      </c>
      <c r="E705" s="3" t="s">
        <v>4087</v>
      </c>
      <c r="F705" s="3" t="s">
        <v>1739</v>
      </c>
      <c r="G705" s="3" t="s">
        <v>6105</v>
      </c>
      <c r="H705" s="3" t="s">
        <v>2095</v>
      </c>
      <c r="I705" s="3" t="s">
        <v>5986</v>
      </c>
      <c r="J705" s="3" t="s">
        <v>5999</v>
      </c>
      <c r="K705" s="4" t="b">
        <f>J705 = "blocking"</f>
        <v>1</v>
      </c>
      <c r="L705" s="3" t="s">
        <v>1448</v>
      </c>
      <c r="M705" s="3" t="s">
        <v>6106</v>
      </c>
      <c r="N705" s="5">
        <v>46223.1297337963</v>
      </c>
      <c r="O705" s="4" t="b">
        <f>L705 = "PASS"</f>
        <v>1</v>
      </c>
      <c r="P705" s="4" t="b">
        <f>L705 = "FAIL"</f>
        <v>0</v>
      </c>
      <c r="Q705" s="4" t="b">
        <f>AND(((P705)=TRUE), ((K705)=TRUE))</f>
        <v>0</v>
      </c>
      <c r="R705" s="4" t="str">
        <f>IF(((O705)=TRUE),  I705,  "")</f>
        <v>suite-substrate</v>
      </c>
      <c r="S705" s="4" t="str">
        <f>IF(((Q705)=TRUE),  I705,  "")</f>
      </c>
      <c r="T705" s="3" t="s">
        <v>6001</v>
      </c>
    </row>
    <row r="706">
      <c r="A706" s="3" t="s">
        <v>6741</v>
      </c>
      <c r="B706" s="4" t="str">
        <f>C706 &amp; ": " &amp; D706</f>
        <v>formula-translates: MessageTemplates.UnansweredDeliveryCount</v>
      </c>
      <c r="C706" s="3" t="s">
        <v>6104</v>
      </c>
      <c r="D706" s="3" t="s">
        <v>4120</v>
      </c>
      <c r="E706" s="3" t="s">
        <v>4087</v>
      </c>
      <c r="F706" s="3" t="s">
        <v>1740</v>
      </c>
      <c r="G706" s="3" t="s">
        <v>6105</v>
      </c>
      <c r="H706" s="3" t="s">
        <v>2323</v>
      </c>
      <c r="I706" s="3" t="s">
        <v>5986</v>
      </c>
      <c r="J706" s="3" t="s">
        <v>5999</v>
      </c>
      <c r="K706" s="4" t="b">
        <f>J706 = "blocking"</f>
        <v>1</v>
      </c>
      <c r="L706" s="3" t="s">
        <v>1448</v>
      </c>
      <c r="M706" s="3" t="s">
        <v>6106</v>
      </c>
      <c r="N706" s="5">
        <v>46223.1297337963</v>
      </c>
      <c r="O706" s="4" t="b">
        <f>L706 = "PASS"</f>
        <v>1</v>
      </c>
      <c r="P706" s="4" t="b">
        <f>L706 = "FAIL"</f>
        <v>0</v>
      </c>
      <c r="Q706" s="4" t="b">
        <f>AND(((P706)=TRUE), ((K706)=TRUE))</f>
        <v>0</v>
      </c>
      <c r="R706" s="4" t="str">
        <f>IF(((O706)=TRUE),  I706,  "")</f>
        <v>suite-substrate</v>
      </c>
      <c r="S706" s="4" t="str">
        <f>IF(((Q706)=TRUE),  I706,  "")</f>
      </c>
      <c r="T706" s="3" t="s">
        <v>6001</v>
      </c>
    </row>
    <row r="707">
      <c r="A707" s="3" t="s">
        <v>6742</v>
      </c>
      <c r="B707" s="4" t="str">
        <f>C707 &amp; ": " &amp; D707</f>
        <v>formula-translates: MessageTemplates.TransmittedDeliveryCount</v>
      </c>
      <c r="C707" s="3" t="s">
        <v>6104</v>
      </c>
      <c r="D707" s="3" t="s">
        <v>4122</v>
      </c>
      <c r="E707" s="3" t="s">
        <v>4087</v>
      </c>
      <c r="F707" s="3" t="s">
        <v>1741</v>
      </c>
      <c r="G707" s="3" t="s">
        <v>6105</v>
      </c>
      <c r="H707" s="3" t="s">
        <v>2323</v>
      </c>
      <c r="I707" s="3" t="s">
        <v>5986</v>
      </c>
      <c r="J707" s="3" t="s">
        <v>5999</v>
      </c>
      <c r="K707" s="4" t="b">
        <f>J707 = "blocking"</f>
        <v>1</v>
      </c>
      <c r="L707" s="3" t="s">
        <v>1448</v>
      </c>
      <c r="M707" s="3" t="s">
        <v>6106</v>
      </c>
      <c r="N707" s="5">
        <v>46223.1297337963</v>
      </c>
      <c r="O707" s="4" t="b">
        <f>L707 = "PASS"</f>
        <v>1</v>
      </c>
      <c r="P707" s="4" t="b">
        <f>L707 = "FAIL"</f>
        <v>0</v>
      </c>
      <c r="Q707" s="4" t="b">
        <f>AND(((P707)=TRUE), ((K707)=TRUE))</f>
        <v>0</v>
      </c>
      <c r="R707" s="4" t="str">
        <f>IF(((O707)=TRUE),  I707,  "")</f>
        <v>suite-substrate</v>
      </c>
      <c r="S707" s="4" t="str">
        <f>IF(((Q707)=TRUE),  I707,  "")</f>
      </c>
      <c r="T707" s="3" t="s">
        <v>6001</v>
      </c>
    </row>
    <row r="708">
      <c r="A708" s="3" t="s">
        <v>6743</v>
      </c>
      <c r="B708" s="4" t="str">
        <f>C708 &amp; ": " &amp; D708</f>
        <v>formula-translates: MessageTemplates.TemplateDrawsNoResponse</v>
      </c>
      <c r="C708" s="3" t="s">
        <v>6104</v>
      </c>
      <c r="D708" s="3" t="s">
        <v>4124</v>
      </c>
      <c r="E708" s="3" t="s">
        <v>4087</v>
      </c>
      <c r="F708" s="3" t="s">
        <v>1742</v>
      </c>
      <c r="G708" s="3" t="s">
        <v>6105</v>
      </c>
      <c r="H708" s="3" t="s">
        <v>2323</v>
      </c>
      <c r="I708" s="3" t="s">
        <v>5986</v>
      </c>
      <c r="J708" s="3" t="s">
        <v>5999</v>
      </c>
      <c r="K708" s="4" t="b">
        <f>J708 = "blocking"</f>
        <v>1</v>
      </c>
      <c r="L708" s="3" t="s">
        <v>1448</v>
      </c>
      <c r="M708" s="3" t="s">
        <v>6106</v>
      </c>
      <c r="N708" s="5">
        <v>46223.1297337963</v>
      </c>
      <c r="O708" s="4" t="b">
        <f>L708 = "PASS"</f>
        <v>1</v>
      </c>
      <c r="P708" s="4" t="b">
        <f>L708 = "FAIL"</f>
        <v>0</v>
      </c>
      <c r="Q708" s="4" t="b">
        <f>AND(((P708)=TRUE), ((K708)=TRUE))</f>
        <v>0</v>
      </c>
      <c r="R708" s="4" t="str">
        <f>IF(((O708)=TRUE),  I708,  "")</f>
        <v>suite-substrate</v>
      </c>
      <c r="S708" s="4" t="str">
        <f>IF(((Q708)=TRUE),  I708,  "")</f>
      </c>
      <c r="T708" s="3" t="s">
        <v>6001</v>
      </c>
    </row>
    <row r="709">
      <c r="A709" s="3" t="s">
        <v>6744</v>
      </c>
      <c r="B709" s="4" t="str">
        <f>C709 &amp; ": " &amp; D709</f>
        <v>formula-translates: MessageTemplates.LastApprovalAt</v>
      </c>
      <c r="C709" s="3" t="s">
        <v>6104</v>
      </c>
      <c r="D709" s="3" t="s">
        <v>4126</v>
      </c>
      <c r="E709" s="3" t="s">
        <v>4087</v>
      </c>
      <c r="F709" s="3" t="s">
        <v>1743</v>
      </c>
      <c r="G709" s="3" t="s">
        <v>6105</v>
      </c>
      <c r="H709" s="3" t="s">
        <v>2331</v>
      </c>
      <c r="I709" s="3" t="s">
        <v>5986</v>
      </c>
      <c r="J709" s="3" t="s">
        <v>5999</v>
      </c>
      <c r="K709" s="4" t="b">
        <f>J709 = "blocking"</f>
        <v>1</v>
      </c>
      <c r="L709" s="3" t="s">
        <v>1448</v>
      </c>
      <c r="M709" s="3" t="s">
        <v>6106</v>
      </c>
      <c r="N709" s="5">
        <v>46223.1297337963</v>
      </c>
      <c r="O709" s="4" t="b">
        <f>L709 = "PASS"</f>
        <v>1</v>
      </c>
      <c r="P709" s="4" t="b">
        <f>L709 = "FAIL"</f>
        <v>0</v>
      </c>
      <c r="Q709" s="4" t="b">
        <f>AND(((P709)=TRUE), ((K709)=TRUE))</f>
        <v>0</v>
      </c>
      <c r="R709" s="4" t="str">
        <f>IF(((O709)=TRUE),  I709,  "")</f>
        <v>suite-substrate</v>
      </c>
      <c r="S709" s="4" t="str">
        <f>IF(((Q709)=TRUE),  I709,  "")</f>
      </c>
      <c r="T709" s="3" t="s">
        <v>6001</v>
      </c>
    </row>
    <row r="710">
      <c r="A710" s="3" t="s">
        <v>6745</v>
      </c>
      <c r="B710" s="4" t="str">
        <f>C710 &amp; ": " &amp; D710</f>
        <v>formula-translates: SemanticMappings.Name</v>
      </c>
      <c r="C710" s="3" t="s">
        <v>6104</v>
      </c>
      <c r="D710" s="3" t="s">
        <v>4131</v>
      </c>
      <c r="E710" s="3" t="s">
        <v>4130</v>
      </c>
      <c r="F710" s="3" t="s">
        <v>1</v>
      </c>
      <c r="G710" s="3" t="s">
        <v>6105</v>
      </c>
      <c r="H710" s="3"/>
      <c r="I710" s="3" t="s">
        <v>5986</v>
      </c>
      <c r="J710" s="3" t="s">
        <v>5999</v>
      </c>
      <c r="K710" s="4" t="b">
        <f>J710 = "blocking"</f>
        <v>1</v>
      </c>
      <c r="L710" s="3" t="s">
        <v>1448</v>
      </c>
      <c r="M710" s="3" t="s">
        <v>6106</v>
      </c>
      <c r="N710" s="5">
        <v>46223.1297337963</v>
      </c>
      <c r="O710" s="4" t="b">
        <f>L710 = "PASS"</f>
        <v>1</v>
      </c>
      <c r="P710" s="4" t="b">
        <f>L710 = "FAIL"</f>
        <v>0</v>
      </c>
      <c r="Q710" s="4" t="b">
        <f>AND(((P710)=TRUE), ((K710)=TRUE))</f>
        <v>0</v>
      </c>
      <c r="R710" s="4" t="str">
        <f>IF(((O710)=TRUE),  I710,  "")</f>
        <v>suite-substrate</v>
      </c>
      <c r="S710" s="4" t="str">
        <f>IF(((Q710)=TRUE),  I710,  "")</f>
      </c>
      <c r="T710" s="3" t="s">
        <v>6001</v>
      </c>
    </row>
    <row r="711">
      <c r="A711" s="3" t="s">
        <v>6746</v>
      </c>
      <c r="B711" s="4" t="str">
        <f>C711 &amp; ": " &amp; D711</f>
        <v>formula-translates: WitnessLoops.Name</v>
      </c>
      <c r="C711" s="3" t="s">
        <v>6104</v>
      </c>
      <c r="D711" s="3" t="s">
        <v>4141</v>
      </c>
      <c r="E711" s="3" t="s">
        <v>4140</v>
      </c>
      <c r="F711" s="3" t="s">
        <v>1</v>
      </c>
      <c r="G711" s="3" t="s">
        <v>6105</v>
      </c>
      <c r="H711" s="3"/>
      <c r="I711" s="3" t="s">
        <v>5986</v>
      </c>
      <c r="J711" s="3" t="s">
        <v>5999</v>
      </c>
      <c r="K711" s="4" t="b">
        <f>J711 = "blocking"</f>
        <v>1</v>
      </c>
      <c r="L711" s="3" t="s">
        <v>1448</v>
      </c>
      <c r="M711" s="3" t="s">
        <v>6106</v>
      </c>
      <c r="N711" s="5">
        <v>46223.1297337963</v>
      </c>
      <c r="O711" s="4" t="b">
        <f>L711 = "PASS"</f>
        <v>1</v>
      </c>
      <c r="P711" s="4" t="b">
        <f>L711 = "FAIL"</f>
        <v>0</v>
      </c>
      <c r="Q711" s="4" t="b">
        <f>AND(((P711)=TRUE), ((K711)=TRUE))</f>
        <v>0</v>
      </c>
      <c r="R711" s="4" t="str">
        <f>IF(((O711)=TRUE),  I711,  "")</f>
        <v>suite-substrate</v>
      </c>
      <c r="S711" s="4" t="str">
        <f>IF(((Q711)=TRUE),  I711,  "")</f>
      </c>
      <c r="T711" s="3" t="s">
        <v>6001</v>
      </c>
    </row>
    <row r="712">
      <c r="A712" s="3" t="s">
        <v>6747</v>
      </c>
      <c r="B712" s="4" t="str">
        <f>C712 &amp; ": " &amp; D712</f>
        <v>formula-translates: WitnessLoops.QuestionCount</v>
      </c>
      <c r="C712" s="3" t="s">
        <v>6104</v>
      </c>
      <c r="D712" s="3" t="s">
        <v>4148</v>
      </c>
      <c r="E712" s="3" t="s">
        <v>4140</v>
      </c>
      <c r="F712" s="3" t="s">
        <v>1932</v>
      </c>
      <c r="G712" s="3" t="s">
        <v>6105</v>
      </c>
      <c r="H712" s="3"/>
      <c r="I712" s="3" t="s">
        <v>5986</v>
      </c>
      <c r="J712" s="3" t="s">
        <v>5999</v>
      </c>
      <c r="K712" s="4" t="b">
        <f>J712 = "blocking"</f>
        <v>1</v>
      </c>
      <c r="L712" s="3" t="s">
        <v>1448</v>
      </c>
      <c r="M712" s="3" t="s">
        <v>6106</v>
      </c>
      <c r="N712" s="5">
        <v>46223.1297337963</v>
      </c>
      <c r="O712" s="4" t="b">
        <f>L712 = "PASS"</f>
        <v>1</v>
      </c>
      <c r="P712" s="4" t="b">
        <f>L712 = "FAIL"</f>
        <v>0</v>
      </c>
      <c r="Q712" s="4" t="b">
        <f>AND(((P712)=TRUE), ((K712)=TRUE))</f>
        <v>0</v>
      </c>
      <c r="R712" s="4" t="str">
        <f>IF(((O712)=TRUE),  I712,  "")</f>
        <v>suite-substrate</v>
      </c>
      <c r="S712" s="4" t="str">
        <f>IF(((Q712)=TRUE),  I712,  "")</f>
      </c>
      <c r="T712" s="3" t="s">
        <v>6001</v>
      </c>
    </row>
    <row r="713">
      <c r="A713" s="3" t="s">
        <v>6748</v>
      </c>
      <c r="B713" s="4" t="str">
        <f>C713 &amp; ": " &amp; D713</f>
        <v>formula-translates: WitnessLoops.IsComplete</v>
      </c>
      <c r="C713" s="3" t="s">
        <v>6104</v>
      </c>
      <c r="D713" s="3" t="s">
        <v>4150</v>
      </c>
      <c r="E713" s="3" t="s">
        <v>4140</v>
      </c>
      <c r="F713" s="3" t="s">
        <v>1933</v>
      </c>
      <c r="G713" s="3" t="s">
        <v>6105</v>
      </c>
      <c r="H713" s="3"/>
      <c r="I713" s="3" t="s">
        <v>5986</v>
      </c>
      <c r="J713" s="3" t="s">
        <v>5999</v>
      </c>
      <c r="K713" s="4" t="b">
        <f>J713 = "blocking"</f>
        <v>1</v>
      </c>
      <c r="L713" s="3" t="s">
        <v>1448</v>
      </c>
      <c r="M713" s="3" t="s">
        <v>6106</v>
      </c>
      <c r="N713" s="5">
        <v>46223.1297337963</v>
      </c>
      <c r="O713" s="4" t="b">
        <f>L713 = "PASS"</f>
        <v>1</v>
      </c>
      <c r="P713" s="4" t="b">
        <f>L713 = "FAIL"</f>
        <v>0</v>
      </c>
      <c r="Q713" s="4" t="b">
        <f>AND(((P713)=TRUE), ((K713)=TRUE))</f>
        <v>0</v>
      </c>
      <c r="R713" s="4" t="str">
        <f>IF(((O713)=TRUE),  I713,  "")</f>
        <v>suite-substrate</v>
      </c>
      <c r="S713" s="4" t="str">
        <f>IF(((Q713)=TRUE),  I713,  "")</f>
      </c>
      <c r="T713" s="3" t="s">
        <v>6001</v>
      </c>
    </row>
    <row r="714">
      <c r="A714" s="3" t="s">
        <v>6749</v>
      </c>
      <c r="B714" s="4" t="str">
        <f>C714 &amp; ": " &amp; D714</f>
        <v>formula-translates: RoleQuestions.Name</v>
      </c>
      <c r="C714" s="3" t="s">
        <v>6104</v>
      </c>
      <c r="D714" s="3" t="s">
        <v>4158</v>
      </c>
      <c r="E714" s="3" t="s">
        <v>4157</v>
      </c>
      <c r="F714" s="3" t="s">
        <v>1</v>
      </c>
      <c r="G714" s="3" t="s">
        <v>6105</v>
      </c>
      <c r="H714" s="3"/>
      <c r="I714" s="3" t="s">
        <v>5986</v>
      </c>
      <c r="J714" s="3" t="s">
        <v>5999</v>
      </c>
      <c r="K714" s="4" t="b">
        <f>J714 = "blocking"</f>
        <v>1</v>
      </c>
      <c r="L714" s="3" t="s">
        <v>1448</v>
      </c>
      <c r="M714" s="3" t="s">
        <v>6106</v>
      </c>
      <c r="N714" s="5">
        <v>46223.1297337963</v>
      </c>
      <c r="O714" s="4" t="b">
        <f>L714 = "PASS"</f>
        <v>1</v>
      </c>
      <c r="P714" s="4" t="b">
        <f>L714 = "FAIL"</f>
        <v>0</v>
      </c>
      <c r="Q714" s="4" t="b">
        <f>AND(((P714)=TRUE), ((K714)=TRUE))</f>
        <v>0</v>
      </c>
      <c r="R714" s="4" t="str">
        <f>IF(((O714)=TRUE),  I714,  "")</f>
        <v>suite-substrate</v>
      </c>
      <c r="S714" s="4" t="str">
        <f>IF(((Q714)=TRUE),  I714,  "")</f>
      </c>
      <c r="T714" s="3" t="s">
        <v>6001</v>
      </c>
    </row>
    <row r="715">
      <c r="A715" s="3" t="s">
        <v>6750</v>
      </c>
      <c r="B715" s="4" t="str">
        <f>C715 &amp; ": " &amp; D715</f>
        <v>formula-translates: RoleQuestions.PredicateCount</v>
      </c>
      <c r="C715" s="3" t="s">
        <v>6104</v>
      </c>
      <c r="D715" s="3" t="s">
        <v>4165</v>
      </c>
      <c r="E715" s="3" t="s">
        <v>4157</v>
      </c>
      <c r="F715" s="3" t="s">
        <v>1955</v>
      </c>
      <c r="G715" s="3" t="s">
        <v>6105</v>
      </c>
      <c r="H715" s="3"/>
      <c r="I715" s="3" t="s">
        <v>5986</v>
      </c>
      <c r="J715" s="3" t="s">
        <v>5999</v>
      </c>
      <c r="K715" s="4" t="b">
        <f>J715 = "blocking"</f>
        <v>1</v>
      </c>
      <c r="L715" s="3" t="s">
        <v>1448</v>
      </c>
      <c r="M715" s="3" t="s">
        <v>6106</v>
      </c>
      <c r="N715" s="5">
        <v>46223.1297337963</v>
      </c>
      <c r="O715" s="4" t="b">
        <f>L715 = "PASS"</f>
        <v>1</v>
      </c>
      <c r="P715" s="4" t="b">
        <f>L715 = "FAIL"</f>
        <v>0</v>
      </c>
      <c r="Q715" s="4" t="b">
        <f>AND(((P715)=TRUE), ((K715)=TRUE))</f>
        <v>0</v>
      </c>
      <c r="R715" s="4" t="str">
        <f>IF(((O715)=TRUE),  I715,  "")</f>
        <v>suite-substrate</v>
      </c>
      <c r="S715" s="4" t="str">
        <f>IF(((Q715)=TRUE),  I715,  "")</f>
      </c>
      <c r="T715" s="3" t="s">
        <v>6001</v>
      </c>
    </row>
    <row r="716">
      <c r="A716" s="3" t="s">
        <v>6751</v>
      </c>
      <c r="B716" s="4" t="str">
        <f>C716 &amp; ": " &amp; D716</f>
        <v>formula-translates: RoleQuestions.IsAnswered</v>
      </c>
      <c r="C716" s="3" t="s">
        <v>6104</v>
      </c>
      <c r="D716" s="3" t="s">
        <v>4167</v>
      </c>
      <c r="E716" s="3" t="s">
        <v>4157</v>
      </c>
      <c r="F716" s="3" t="s">
        <v>1956</v>
      </c>
      <c r="G716" s="3" t="s">
        <v>6105</v>
      </c>
      <c r="H716" s="3"/>
      <c r="I716" s="3" t="s">
        <v>5986</v>
      </c>
      <c r="J716" s="3" t="s">
        <v>5999</v>
      </c>
      <c r="K716" s="4" t="b">
        <f>J716 = "blocking"</f>
        <v>1</v>
      </c>
      <c r="L716" s="3" t="s">
        <v>1448</v>
      </c>
      <c r="M716" s="3" t="s">
        <v>6106</v>
      </c>
      <c r="N716" s="5">
        <v>46223.1297337963</v>
      </c>
      <c r="O716" s="4" t="b">
        <f>L716 = "PASS"</f>
        <v>1</v>
      </c>
      <c r="P716" s="4" t="b">
        <f>L716 = "FAIL"</f>
        <v>0</v>
      </c>
      <c r="Q716" s="4" t="b">
        <f>AND(((P716)=TRUE), ((K716)=TRUE))</f>
        <v>0</v>
      </c>
      <c r="R716" s="4" t="str">
        <f>IF(((O716)=TRUE),  I716,  "")</f>
        <v>suite-substrate</v>
      </c>
      <c r="S716" s="4" t="str">
        <f>IF(((Q716)=TRUE),  I716,  "")</f>
      </c>
      <c r="T716" s="3" t="s">
        <v>6001</v>
      </c>
    </row>
    <row r="717">
      <c r="A717" s="3" t="s">
        <v>6752</v>
      </c>
      <c r="B717" s="4" t="str">
        <f>C717 &amp; ": " &amp; D717</f>
        <v>formula-translates: RulebookFields.Name</v>
      </c>
      <c r="C717" s="3" t="s">
        <v>6104</v>
      </c>
      <c r="D717" s="3" t="s">
        <v>4173</v>
      </c>
      <c r="E717" s="3" t="s">
        <v>4172</v>
      </c>
      <c r="F717" s="3" t="s">
        <v>1</v>
      </c>
      <c r="G717" s="3" t="s">
        <v>6105</v>
      </c>
      <c r="H717" s="3"/>
      <c r="I717" s="3" t="s">
        <v>5986</v>
      </c>
      <c r="J717" s="3" t="s">
        <v>5999</v>
      </c>
      <c r="K717" s="4" t="b">
        <f>J717 = "blocking"</f>
        <v>1</v>
      </c>
      <c r="L717" s="3" t="s">
        <v>1448</v>
      </c>
      <c r="M717" s="3" t="s">
        <v>6106</v>
      </c>
      <c r="N717" s="5">
        <v>46223.1297337963</v>
      </c>
      <c r="O717" s="4" t="b">
        <f>L717 = "PASS"</f>
        <v>1</v>
      </c>
      <c r="P717" s="4" t="b">
        <f>L717 = "FAIL"</f>
        <v>0</v>
      </c>
      <c r="Q717" s="4" t="b">
        <f>AND(((P717)=TRUE), ((K717)=TRUE))</f>
        <v>0</v>
      </c>
      <c r="R717" s="4" t="str">
        <f>IF(((O717)=TRUE),  I717,  "")</f>
        <v>suite-substrate</v>
      </c>
      <c r="S717" s="4" t="str">
        <f>IF(((Q717)=TRUE),  I717,  "")</f>
      </c>
      <c r="T717" s="3" t="s">
        <v>6001</v>
      </c>
    </row>
    <row r="718">
      <c r="A718" s="3" t="s">
        <v>6753</v>
      </c>
      <c r="B718" s="4" t="str">
        <f>C718 &amp; ": " &amp; D718</f>
        <v>formula-translates: RulebookFields.IsDerived</v>
      </c>
      <c r="C718" s="3" t="s">
        <v>6104</v>
      </c>
      <c r="D718" s="3" t="s">
        <v>4181</v>
      </c>
      <c r="E718" s="3" t="s">
        <v>4172</v>
      </c>
      <c r="F718" s="3" t="s">
        <v>2410</v>
      </c>
      <c r="G718" s="3" t="s">
        <v>6105</v>
      </c>
      <c r="H718" s="3"/>
      <c r="I718" s="3" t="s">
        <v>5986</v>
      </c>
      <c r="J718" s="3" t="s">
        <v>5999</v>
      </c>
      <c r="K718" s="4" t="b">
        <f>J718 = "blocking"</f>
        <v>1</v>
      </c>
      <c r="L718" s="3" t="s">
        <v>1448</v>
      </c>
      <c r="M718" s="3" t="s">
        <v>6106</v>
      </c>
      <c r="N718" s="5">
        <v>46223.1297337963</v>
      </c>
      <c r="O718" s="4" t="b">
        <f>L718 = "PASS"</f>
        <v>1</v>
      </c>
      <c r="P718" s="4" t="b">
        <f>L718 = "FAIL"</f>
        <v>0</v>
      </c>
      <c r="Q718" s="4" t="b">
        <f>AND(((P718)=TRUE), ((K718)=TRUE))</f>
        <v>0</v>
      </c>
      <c r="R718" s="4" t="str">
        <f>IF(((O718)=TRUE),  I718,  "")</f>
        <v>suite-substrate</v>
      </c>
      <c r="S718" s="4" t="str">
        <f>IF(((Q718)=TRUE),  I718,  "")</f>
      </c>
      <c r="T718" s="3" t="s">
        <v>6001</v>
      </c>
    </row>
    <row r="719">
      <c r="A719" s="3" t="s">
        <v>6754</v>
      </c>
      <c r="B719" s="4" t="str">
        <f>C719 &amp; ": " &amp; D719</f>
        <v>formula-translates: RulebookFields.IsWitness</v>
      </c>
      <c r="C719" s="3" t="s">
        <v>6104</v>
      </c>
      <c r="D719" s="3" t="s">
        <v>4183</v>
      </c>
      <c r="E719" s="3" t="s">
        <v>4172</v>
      </c>
      <c r="F719" s="3" t="s">
        <v>2411</v>
      </c>
      <c r="G719" s="3" t="s">
        <v>6105</v>
      </c>
      <c r="H719" s="3"/>
      <c r="I719" s="3" t="s">
        <v>5986</v>
      </c>
      <c r="J719" s="3" t="s">
        <v>5999</v>
      </c>
      <c r="K719" s="4" t="b">
        <f>J719 = "blocking"</f>
        <v>1</v>
      </c>
      <c r="L719" s="3" t="s">
        <v>1448</v>
      </c>
      <c r="M719" s="3" t="s">
        <v>6106</v>
      </c>
      <c r="N719" s="5">
        <v>46223.1297337963</v>
      </c>
      <c r="O719" s="4" t="b">
        <f>L719 = "PASS"</f>
        <v>1</v>
      </c>
      <c r="P719" s="4" t="b">
        <f>L719 = "FAIL"</f>
        <v>0</v>
      </c>
      <c r="Q719" s="4" t="b">
        <f>AND(((P719)=TRUE), ((K719)=TRUE))</f>
        <v>0</v>
      </c>
      <c r="R719" s="4" t="str">
        <f>IF(((O719)=TRUE),  I719,  "")</f>
        <v>suite-substrate</v>
      </c>
      <c r="S719" s="4" t="str">
        <f>IF(((Q719)=TRUE),  I719,  "")</f>
      </c>
      <c r="T719" s="3" t="s">
        <v>6001</v>
      </c>
    </row>
    <row r="720">
      <c r="A720" s="3" t="s">
        <v>6755</v>
      </c>
      <c r="B720" s="4" t="str">
        <f>C720 &amp; ": " &amp; D720</f>
        <v>formula-translates: TestSuites.Name</v>
      </c>
      <c r="C720" s="3" t="s">
        <v>6104</v>
      </c>
      <c r="D720" s="3" t="s">
        <v>4193</v>
      </c>
      <c r="E720" s="3" t="s">
        <v>4191</v>
      </c>
      <c r="F720" s="3" t="s">
        <v>1</v>
      </c>
      <c r="G720" s="3" t="s">
        <v>6105</v>
      </c>
      <c r="H720" s="3"/>
      <c r="I720" s="3" t="s">
        <v>5986</v>
      </c>
      <c r="J720" s="3" t="s">
        <v>5999</v>
      </c>
      <c r="K720" s="4" t="b">
        <f>J720 = "blocking"</f>
        <v>1</v>
      </c>
      <c r="L720" s="3" t="s">
        <v>1448</v>
      </c>
      <c r="M720" s="3" t="s">
        <v>6106</v>
      </c>
      <c r="N720" s="5">
        <v>46223.1297337963</v>
      </c>
      <c r="O720" s="4" t="b">
        <f>L720 = "PASS"</f>
        <v>1</v>
      </c>
      <c r="P720" s="4" t="b">
        <f>L720 = "FAIL"</f>
        <v>0</v>
      </c>
      <c r="Q720" s="4" t="b">
        <f>AND(((P720)=TRUE), ((K720)=TRUE))</f>
        <v>0</v>
      </c>
      <c r="R720" s="4" t="str">
        <f>IF(((O720)=TRUE),  I720,  "")</f>
        <v>suite-substrate</v>
      </c>
      <c r="S720" s="4" t="str">
        <f>IF(((Q720)=TRUE),  I720,  "")</f>
      </c>
      <c r="T720" s="3" t="s">
        <v>6001</v>
      </c>
    </row>
    <row r="721">
      <c r="A721" s="3" t="s">
        <v>6756</v>
      </c>
      <c r="B721" s="4" t="str">
        <f>C721 &amp; ": " &amp; D721</f>
        <v>formula-translates: TestSuites.TestCount</v>
      </c>
      <c r="C721" s="3" t="s">
        <v>6104</v>
      </c>
      <c r="D721" s="3" t="s">
        <v>4195</v>
      </c>
      <c r="E721" s="3" t="s">
        <v>4191</v>
      </c>
      <c r="F721" s="3" t="s">
        <v>4196</v>
      </c>
      <c r="G721" s="3" t="s">
        <v>6105</v>
      </c>
      <c r="H721" s="3"/>
      <c r="I721" s="3" t="s">
        <v>5986</v>
      </c>
      <c r="J721" s="3" t="s">
        <v>5999</v>
      </c>
      <c r="K721" s="4" t="b">
        <f>J721 = "blocking"</f>
        <v>1</v>
      </c>
      <c r="L721" s="3" t="s">
        <v>1448</v>
      </c>
      <c r="M721" s="3" t="s">
        <v>6106</v>
      </c>
      <c r="N721" s="5">
        <v>46223.1297337963</v>
      </c>
      <c r="O721" s="4" t="b">
        <f>L721 = "PASS"</f>
        <v>1</v>
      </c>
      <c r="P721" s="4" t="b">
        <f>L721 = "FAIL"</f>
        <v>0</v>
      </c>
      <c r="Q721" s="4" t="b">
        <f>AND(((P721)=TRUE), ((K721)=TRUE))</f>
        <v>0</v>
      </c>
      <c r="R721" s="4" t="str">
        <f>IF(((O721)=TRUE),  I721,  "")</f>
        <v>suite-substrate</v>
      </c>
      <c r="S721" s="4" t="str">
        <f>IF(((Q721)=TRUE),  I721,  "")</f>
      </c>
      <c r="T721" s="3" t="s">
        <v>6001</v>
      </c>
    </row>
    <row r="722">
      <c r="A722" s="3" t="s">
        <v>6757</v>
      </c>
      <c r="B722" s="4" t="str">
        <f>C722 &amp; ": " &amp; D722</f>
        <v>formula-translates: TestSuites.PassCount</v>
      </c>
      <c r="C722" s="3" t="s">
        <v>6104</v>
      </c>
      <c r="D722" s="3" t="s">
        <v>4198</v>
      </c>
      <c r="E722" s="3" t="s">
        <v>4191</v>
      </c>
      <c r="F722" s="3" t="s">
        <v>4199</v>
      </c>
      <c r="G722" s="3" t="s">
        <v>6105</v>
      </c>
      <c r="H722" s="3"/>
      <c r="I722" s="3" t="s">
        <v>5986</v>
      </c>
      <c r="J722" s="3" t="s">
        <v>5999</v>
      </c>
      <c r="K722" s="4" t="b">
        <f>J722 = "blocking"</f>
        <v>1</v>
      </c>
      <c r="L722" s="3" t="s">
        <v>1448</v>
      </c>
      <c r="M722" s="3" t="s">
        <v>6106</v>
      </c>
      <c r="N722" s="5">
        <v>46223.1297337963</v>
      </c>
      <c r="O722" s="4" t="b">
        <f>L722 = "PASS"</f>
        <v>1</v>
      </c>
      <c r="P722" s="4" t="b">
        <f>L722 = "FAIL"</f>
        <v>0</v>
      </c>
      <c r="Q722" s="4" t="b">
        <f>AND(((P722)=TRUE), ((K722)=TRUE))</f>
        <v>0</v>
      </c>
      <c r="R722" s="4" t="str">
        <f>IF(((O722)=TRUE),  I722,  "")</f>
        <v>suite-substrate</v>
      </c>
      <c r="S722" s="4" t="str">
        <f>IF(((Q722)=TRUE),  I722,  "")</f>
      </c>
      <c r="T722" s="3" t="s">
        <v>6001</v>
      </c>
    </row>
    <row r="723">
      <c r="A723" s="3" t="s">
        <v>6758</v>
      </c>
      <c r="B723" s="4" t="str">
        <f>C723 &amp; ": " &amp; D723</f>
        <v>formula-translates: TestSuites.BlockingFailCount</v>
      </c>
      <c r="C723" s="3" t="s">
        <v>6104</v>
      </c>
      <c r="D723" s="3" t="s">
        <v>4201</v>
      </c>
      <c r="E723" s="3" t="s">
        <v>4191</v>
      </c>
      <c r="F723" s="3" t="s">
        <v>4202</v>
      </c>
      <c r="G723" s="3" t="s">
        <v>6105</v>
      </c>
      <c r="H723" s="3"/>
      <c r="I723" s="3" t="s">
        <v>5986</v>
      </c>
      <c r="J723" s="3" t="s">
        <v>5999</v>
      </c>
      <c r="K723" s="4" t="b">
        <f>J723 = "blocking"</f>
        <v>1</v>
      </c>
      <c r="L723" s="3" t="s">
        <v>1448</v>
      </c>
      <c r="M723" s="3" t="s">
        <v>6106</v>
      </c>
      <c r="N723" s="5">
        <v>46223.1297337963</v>
      </c>
      <c r="O723" s="4" t="b">
        <f>L723 = "PASS"</f>
        <v>1</v>
      </c>
      <c r="P723" s="4" t="b">
        <f>L723 = "FAIL"</f>
        <v>0</v>
      </c>
      <c r="Q723" s="4" t="b">
        <f>AND(((P723)=TRUE), ((K723)=TRUE))</f>
        <v>0</v>
      </c>
      <c r="R723" s="4" t="str">
        <f>IF(((O723)=TRUE),  I723,  "")</f>
        <v>suite-substrate</v>
      </c>
      <c r="S723" s="4" t="str">
        <f>IF(((Q723)=TRUE),  I723,  "")</f>
      </c>
      <c r="T723" s="3" t="s">
        <v>6001</v>
      </c>
    </row>
    <row r="724">
      <c r="A724" s="3" t="s">
        <v>6759</v>
      </c>
      <c r="B724" s="4" t="str">
        <f>C724 &amp; ": " &amp; D724</f>
        <v>formula-translates: TestSuites.IsGreen</v>
      </c>
      <c r="C724" s="3" t="s">
        <v>6104</v>
      </c>
      <c r="D724" s="3" t="s">
        <v>4204</v>
      </c>
      <c r="E724" s="3" t="s">
        <v>4191</v>
      </c>
      <c r="F724" s="3" t="s">
        <v>4205</v>
      </c>
      <c r="G724" s="3" t="s">
        <v>6105</v>
      </c>
      <c r="H724" s="3"/>
      <c r="I724" s="3" t="s">
        <v>5986</v>
      </c>
      <c r="J724" s="3" t="s">
        <v>5999</v>
      </c>
      <c r="K724" s="4" t="b">
        <f>J724 = "blocking"</f>
        <v>1</v>
      </c>
      <c r="L724" s="3" t="s">
        <v>1448</v>
      </c>
      <c r="M724" s="3" t="s">
        <v>6106</v>
      </c>
      <c r="N724" s="5">
        <v>46223.1297337963</v>
      </c>
      <c r="O724" s="4" t="b">
        <f>L724 = "PASS"</f>
        <v>1</v>
      </c>
      <c r="P724" s="4" t="b">
        <f>L724 = "FAIL"</f>
        <v>0</v>
      </c>
      <c r="Q724" s="4" t="b">
        <f>AND(((P724)=TRUE), ((K724)=TRUE))</f>
        <v>0</v>
      </c>
      <c r="R724" s="4" t="str">
        <f>IF(((O724)=TRUE),  I724,  "")</f>
        <v>suite-substrate</v>
      </c>
      <c r="S724" s="4" t="str">
        <f>IF(((Q724)=TRUE),  I724,  "")</f>
      </c>
      <c r="T724" s="3" t="s">
        <v>6001</v>
      </c>
    </row>
    <row r="725">
      <c r="A725" s="3" t="s">
        <v>6760</v>
      </c>
      <c r="B725" s="4" t="str">
        <f>C725 &amp; ": " &amp; D725</f>
        <v>formula-translates: TestCases.Name</v>
      </c>
      <c r="C725" s="3" t="s">
        <v>6104</v>
      </c>
      <c r="D725" s="3" t="s">
        <v>4211</v>
      </c>
      <c r="E725" s="3" t="s">
        <v>4209</v>
      </c>
      <c r="F725" s="3" t="s">
        <v>1</v>
      </c>
      <c r="G725" s="3" t="s">
        <v>6105</v>
      </c>
      <c r="H725" s="3"/>
      <c r="I725" s="3" t="s">
        <v>5986</v>
      </c>
      <c r="J725" s="3" t="s">
        <v>5999</v>
      </c>
      <c r="K725" s="4" t="b">
        <f>J725 = "blocking"</f>
        <v>1</v>
      </c>
      <c r="L725" s="3" t="s">
        <v>1448</v>
      </c>
      <c r="M725" s="3" t="s">
        <v>6106</v>
      </c>
      <c r="N725" s="5">
        <v>46223.1297337963</v>
      </c>
      <c r="O725" s="4" t="b">
        <f>L725 = "PASS"</f>
        <v>1</v>
      </c>
      <c r="P725" s="4" t="b">
        <f>L725 = "FAIL"</f>
        <v>0</v>
      </c>
      <c r="Q725" s="4" t="b">
        <f>AND(((P725)=TRUE), ((K725)=TRUE))</f>
        <v>0</v>
      </c>
      <c r="R725" s="4" t="str">
        <f>IF(((O725)=TRUE),  I725,  "")</f>
        <v>suite-substrate</v>
      </c>
      <c r="S725" s="4" t="str">
        <f>IF(((Q725)=TRUE),  I725,  "")</f>
      </c>
      <c r="T725" s="3" t="s">
        <v>6001</v>
      </c>
    </row>
    <row r="726">
      <c r="A726" s="3" t="s">
        <v>6761</v>
      </c>
      <c r="B726" s="4" t="str">
        <f>C726 &amp; ": " &amp; D726</f>
        <v>formula-translates: TestCases.IsBlocking</v>
      </c>
      <c r="C726" s="3" t="s">
        <v>6104</v>
      </c>
      <c r="D726" s="3" t="s">
        <v>4227</v>
      </c>
      <c r="E726" s="3" t="s">
        <v>4209</v>
      </c>
      <c r="F726" s="3" t="s">
        <v>803</v>
      </c>
      <c r="G726" s="3" t="s">
        <v>6105</v>
      </c>
      <c r="H726" s="3"/>
      <c r="I726" s="3" t="s">
        <v>5986</v>
      </c>
      <c r="J726" s="3" t="s">
        <v>5999</v>
      </c>
      <c r="K726" s="4" t="b">
        <f>J726 = "blocking"</f>
        <v>1</v>
      </c>
      <c r="L726" s="3" t="s">
        <v>1448</v>
      </c>
      <c r="M726" s="3" t="s">
        <v>6106</v>
      </c>
      <c r="N726" s="5">
        <v>46223.1297337963</v>
      </c>
      <c r="O726" s="4" t="b">
        <f>L726 = "PASS"</f>
        <v>1</v>
      </c>
      <c r="P726" s="4" t="b">
        <f>L726 = "FAIL"</f>
        <v>0</v>
      </c>
      <c r="Q726" s="4" t="b">
        <f>AND(((P726)=TRUE), ((K726)=TRUE))</f>
        <v>0</v>
      </c>
      <c r="R726" s="4" t="str">
        <f>IF(((O726)=TRUE),  I726,  "")</f>
        <v>suite-substrate</v>
      </c>
      <c r="S726" s="4" t="str">
        <f>IF(((Q726)=TRUE),  I726,  "")</f>
      </c>
      <c r="T726" s="3" t="s">
        <v>6001</v>
      </c>
    </row>
    <row r="727">
      <c r="A727" s="3" t="s">
        <v>6762</v>
      </c>
      <c r="B727" s="4" t="str">
        <f>C727 &amp; ": " &amp; D727</f>
        <v>formula-translates: TestCases.IsPassing</v>
      </c>
      <c r="C727" s="3" t="s">
        <v>6104</v>
      </c>
      <c r="D727" s="3" t="s">
        <v>4235</v>
      </c>
      <c r="E727" s="3" t="s">
        <v>4209</v>
      </c>
      <c r="F727" s="3" t="s">
        <v>4236</v>
      </c>
      <c r="G727" s="3" t="s">
        <v>6105</v>
      </c>
      <c r="H727" s="3"/>
      <c r="I727" s="3" t="s">
        <v>5986</v>
      </c>
      <c r="J727" s="3" t="s">
        <v>5999</v>
      </c>
      <c r="K727" s="4" t="b">
        <f>J727 = "blocking"</f>
        <v>1</v>
      </c>
      <c r="L727" s="3" t="s">
        <v>1448</v>
      </c>
      <c r="M727" s="3" t="s">
        <v>6106</v>
      </c>
      <c r="N727" s="5">
        <v>46223.1297337963</v>
      </c>
      <c r="O727" s="4" t="b">
        <f>L727 = "PASS"</f>
        <v>1</v>
      </c>
      <c r="P727" s="4" t="b">
        <f>L727 = "FAIL"</f>
        <v>0</v>
      </c>
      <c r="Q727" s="4" t="b">
        <f>AND(((P727)=TRUE), ((K727)=TRUE))</f>
        <v>0</v>
      </c>
      <c r="R727" s="4" t="str">
        <f>IF(((O727)=TRUE),  I727,  "")</f>
        <v>suite-substrate</v>
      </c>
      <c r="S727" s="4" t="str">
        <f>IF(((Q727)=TRUE),  I727,  "")</f>
      </c>
      <c r="T727" s="3" t="s">
        <v>6001</v>
      </c>
    </row>
    <row r="728">
      <c r="A728" s="3" t="s">
        <v>6763</v>
      </c>
      <c r="B728" s="4" t="str">
        <f>C728 &amp; ": " &amp; D728</f>
        <v>formula-translates: TestCases.IsFailing</v>
      </c>
      <c r="C728" s="3" t="s">
        <v>6104</v>
      </c>
      <c r="D728" s="3" t="s">
        <v>4238</v>
      </c>
      <c r="E728" s="3" t="s">
        <v>4209</v>
      </c>
      <c r="F728" s="3" t="s">
        <v>4239</v>
      </c>
      <c r="G728" s="3" t="s">
        <v>6105</v>
      </c>
      <c r="H728" s="3"/>
      <c r="I728" s="3" t="s">
        <v>5986</v>
      </c>
      <c r="J728" s="3" t="s">
        <v>5999</v>
      </c>
      <c r="K728" s="4" t="b">
        <f>J728 = "blocking"</f>
        <v>1</v>
      </c>
      <c r="L728" s="3" t="s">
        <v>1448</v>
      </c>
      <c r="M728" s="3" t="s">
        <v>6106</v>
      </c>
      <c r="N728" s="5">
        <v>46223.1297337963</v>
      </c>
      <c r="O728" s="4" t="b">
        <f>L728 = "PASS"</f>
        <v>1</v>
      </c>
      <c r="P728" s="4" t="b">
        <f>L728 = "FAIL"</f>
        <v>0</v>
      </c>
      <c r="Q728" s="4" t="b">
        <f>AND(((P728)=TRUE), ((K728)=TRUE))</f>
        <v>0</v>
      </c>
      <c r="R728" s="4" t="str">
        <f>IF(((O728)=TRUE),  I728,  "")</f>
        <v>suite-substrate</v>
      </c>
      <c r="S728" s="4" t="str">
        <f>IF(((Q728)=TRUE),  I728,  "")</f>
      </c>
      <c r="T728" s="3" t="s">
        <v>6001</v>
      </c>
    </row>
    <row r="729">
      <c r="A729" s="3" t="s">
        <v>6764</v>
      </c>
      <c r="B729" s="4" t="str">
        <f>C729 &amp; ": " &amp; D729</f>
        <v>formula-translates: TestCases.NeedsAttention</v>
      </c>
      <c r="C729" s="3" t="s">
        <v>6104</v>
      </c>
      <c r="D729" s="3" t="s">
        <v>4241</v>
      </c>
      <c r="E729" s="3" t="s">
        <v>4209</v>
      </c>
      <c r="F729" s="3" t="s">
        <v>4242</v>
      </c>
      <c r="G729" s="3" t="s">
        <v>6105</v>
      </c>
      <c r="H729" s="3"/>
      <c r="I729" s="3" t="s">
        <v>5986</v>
      </c>
      <c r="J729" s="3" t="s">
        <v>5999</v>
      </c>
      <c r="K729" s="4" t="b">
        <f>J729 = "blocking"</f>
        <v>1</v>
      </c>
      <c r="L729" s="3" t="s">
        <v>1448</v>
      </c>
      <c r="M729" s="3" t="s">
        <v>6106</v>
      </c>
      <c r="N729" s="5">
        <v>46223.1297337963</v>
      </c>
      <c r="O729" s="4" t="b">
        <f>L729 = "PASS"</f>
        <v>1</v>
      </c>
      <c r="P729" s="4" t="b">
        <f>L729 = "FAIL"</f>
        <v>0</v>
      </c>
      <c r="Q729" s="4" t="b">
        <f>AND(((P729)=TRUE), ((K729)=TRUE))</f>
        <v>0</v>
      </c>
      <c r="R729" s="4" t="str">
        <f>IF(((O729)=TRUE),  I729,  "")</f>
        <v>suite-substrate</v>
      </c>
      <c r="S729" s="4" t="str">
        <f>IF(((Q729)=TRUE),  I729,  "")</f>
      </c>
      <c r="T729" s="3" t="s">
        <v>6001</v>
      </c>
    </row>
    <row r="730">
      <c r="A730" s="3" t="s">
        <v>6765</v>
      </c>
      <c r="B730" s="4" t="str">
        <f>C730 &amp; ": " &amp; D730</f>
        <v>formula-translates: TestCases.PassingSuiteKey</v>
      </c>
      <c r="C730" s="3" t="s">
        <v>6104</v>
      </c>
      <c r="D730" s="3" t="s">
        <v>4244</v>
      </c>
      <c r="E730" s="3" t="s">
        <v>4209</v>
      </c>
      <c r="F730" s="3" t="s">
        <v>4245</v>
      </c>
      <c r="G730" s="3" t="s">
        <v>6105</v>
      </c>
      <c r="H730" s="3"/>
      <c r="I730" s="3" t="s">
        <v>5986</v>
      </c>
      <c r="J730" s="3" t="s">
        <v>5999</v>
      </c>
      <c r="K730" s="4" t="b">
        <f>J730 = "blocking"</f>
        <v>1</v>
      </c>
      <c r="L730" s="3" t="s">
        <v>1448</v>
      </c>
      <c r="M730" s="3" t="s">
        <v>6106</v>
      </c>
      <c r="N730" s="5">
        <v>46223.1297337963</v>
      </c>
      <c r="O730" s="4" t="b">
        <f>L730 = "PASS"</f>
        <v>1</v>
      </c>
      <c r="P730" s="4" t="b">
        <f>L730 = "FAIL"</f>
        <v>0</v>
      </c>
      <c r="Q730" s="4" t="b">
        <f>AND(((P730)=TRUE), ((K730)=TRUE))</f>
        <v>0</v>
      </c>
      <c r="R730" s="4" t="str">
        <f>IF(((O730)=TRUE),  I730,  "")</f>
        <v>suite-substrate</v>
      </c>
      <c r="S730" s="4" t="str">
        <f>IF(((Q730)=TRUE),  I730,  "")</f>
      </c>
      <c r="T730" s="3" t="s">
        <v>6001</v>
      </c>
    </row>
    <row r="731">
      <c r="A731" s="3" t="s">
        <v>6766</v>
      </c>
      <c r="B731" s="4" t="str">
        <f>C731 &amp; ": " &amp; D731</f>
        <v>formula-translates: TestCases.NeedsAttentionSuiteKey</v>
      </c>
      <c r="C731" s="3" t="s">
        <v>6104</v>
      </c>
      <c r="D731" s="3" t="s">
        <v>4247</v>
      </c>
      <c r="E731" s="3" t="s">
        <v>4209</v>
      </c>
      <c r="F731" s="3" t="s">
        <v>4248</v>
      </c>
      <c r="G731" s="3" t="s">
        <v>6105</v>
      </c>
      <c r="H731" s="3"/>
      <c r="I731" s="3" t="s">
        <v>5986</v>
      </c>
      <c r="J731" s="3" t="s">
        <v>5999</v>
      </c>
      <c r="K731" s="4" t="b">
        <f>J731 = "blocking"</f>
        <v>1</v>
      </c>
      <c r="L731" s="3" t="s">
        <v>1448</v>
      </c>
      <c r="M731" s="3" t="s">
        <v>6106</v>
      </c>
      <c r="N731" s="5">
        <v>46223.1297337963</v>
      </c>
      <c r="O731" s="4" t="b">
        <f>L731 = "PASS"</f>
        <v>1</v>
      </c>
      <c r="P731" s="4" t="b">
        <f>L731 = "FAIL"</f>
        <v>0</v>
      </c>
      <c r="Q731" s="4" t="b">
        <f>AND(((P731)=TRUE), ((K731)=TRUE))</f>
        <v>0</v>
      </c>
      <c r="R731" s="4" t="str">
        <f>IF(((O731)=TRUE),  I731,  "")</f>
        <v>suite-substrate</v>
      </c>
      <c r="S731" s="4" t="str">
        <f>IF(((Q731)=TRUE),  I731,  "")</f>
      </c>
      <c r="T731" s="3" t="s">
        <v>6001</v>
      </c>
    </row>
    <row r="732">
      <c r="A732" s="3" t="s">
        <v>6767</v>
      </c>
      <c r="B732" s="4" t="str">
        <f>C732 &amp; ": " &amp; D732</f>
        <v>formula-translates: __meta__.Name</v>
      </c>
      <c r="C732" s="3" t="s">
        <v>6104</v>
      </c>
      <c r="D732" s="3" t="s">
        <v>4278</v>
      </c>
      <c r="E732" s="3" t="s">
        <v>4276</v>
      </c>
      <c r="F732" s="3" t="s">
        <v>1</v>
      </c>
      <c r="G732" s="3" t="s">
        <v>6105</v>
      </c>
      <c r="H732" s="3"/>
      <c r="I732" s="3" t="s">
        <v>5986</v>
      </c>
      <c r="J732" s="3" t="s">
        <v>5999</v>
      </c>
      <c r="K732" s="4" t="b">
        <f>J732 = "blocking"</f>
        <v>1</v>
      </c>
      <c r="L732" s="3" t="s">
        <v>1448</v>
      </c>
      <c r="M732" s="3" t="s">
        <v>6106</v>
      </c>
      <c r="N732" s="5">
        <v>46223.1297337963</v>
      </c>
      <c r="O732" s="4" t="b">
        <f>L732 = "PASS"</f>
        <v>1</v>
      </c>
      <c r="P732" s="4" t="b">
        <f>L732 = "FAIL"</f>
        <v>0</v>
      </c>
      <c r="Q732" s="4" t="b">
        <f>AND(((P732)=TRUE), ((K732)=TRUE))</f>
        <v>0</v>
      </c>
      <c r="R732" s="4" t="str">
        <f>IF(((O732)=TRUE),  I732,  "")</f>
        <v>suite-substrate</v>
      </c>
      <c r="S732" s="4" t="str">
        <f>IF(((Q732)=TRUE),  I732,  "")</f>
      </c>
      <c r="T732" s="3" t="s">
        <v>6001</v>
      </c>
    </row>
    <row r="733">
      <c r="A733" s="3" t="s">
        <v>6768</v>
      </c>
      <c r="B733" s="4" t="str">
        <f>C733 &amp; ": " &amp; D733</f>
        <v>formula-translates: ExceptionInvocations.Name</v>
      </c>
      <c r="C733" s="3" t="s">
        <v>6104</v>
      </c>
      <c r="D733" s="3" t="s">
        <v>4289</v>
      </c>
      <c r="E733" s="3" t="s">
        <v>4287</v>
      </c>
      <c r="F733" s="3" t="s">
        <v>1</v>
      </c>
      <c r="G733" s="3" t="s">
        <v>6105</v>
      </c>
      <c r="H733" s="3"/>
      <c r="I733" s="3" t="s">
        <v>5986</v>
      </c>
      <c r="J733" s="3" t="s">
        <v>5999</v>
      </c>
      <c r="K733" s="4" t="b">
        <f>J733 = "blocking"</f>
        <v>1</v>
      </c>
      <c r="L733" s="3" t="s">
        <v>1448</v>
      </c>
      <c r="M733" s="3" t="s">
        <v>6106</v>
      </c>
      <c r="N733" s="5">
        <v>46223.1297337963</v>
      </c>
      <c r="O733" s="4" t="b">
        <f>L733 = "PASS"</f>
        <v>1</v>
      </c>
      <c r="P733" s="4" t="b">
        <f>L733 = "FAIL"</f>
        <v>0</v>
      </c>
      <c r="Q733" s="4" t="b">
        <f>AND(((P733)=TRUE), ((K733)=TRUE))</f>
        <v>0</v>
      </c>
      <c r="R733" s="4" t="str">
        <f>IF(((O733)=TRUE),  I733,  "")</f>
        <v>suite-substrate</v>
      </c>
      <c r="S733" s="4" t="str">
        <f>IF(((Q733)=TRUE),  I733,  "")</f>
      </c>
      <c r="T733" s="3" t="s">
        <v>6001</v>
      </c>
    </row>
    <row r="734">
      <c r="A734" s="3" t="s">
        <v>6769</v>
      </c>
      <c r="B734" s="4" t="str">
        <f>C734 &amp; ": " &amp; D734</f>
        <v>formula-translates: ExceptionInvocations.ExpectedHandling</v>
      </c>
      <c r="C734" s="3" t="s">
        <v>6104</v>
      </c>
      <c r="D734" s="3" t="s">
        <v>4302</v>
      </c>
      <c r="E734" s="3" t="s">
        <v>4287</v>
      </c>
      <c r="F734" s="3" t="s">
        <v>4303</v>
      </c>
      <c r="G734" s="3" t="s">
        <v>6105</v>
      </c>
      <c r="H734" s="3"/>
      <c r="I734" s="3" t="s">
        <v>5986</v>
      </c>
      <c r="J734" s="3" t="s">
        <v>5999</v>
      </c>
      <c r="K734" s="4" t="b">
        <f>J734 = "blocking"</f>
        <v>1</v>
      </c>
      <c r="L734" s="3" t="s">
        <v>1448</v>
      </c>
      <c r="M734" s="3" t="s">
        <v>6106</v>
      </c>
      <c r="N734" s="5">
        <v>46223.1297337963</v>
      </c>
      <c r="O734" s="4" t="b">
        <f>L734 = "PASS"</f>
        <v>1</v>
      </c>
      <c r="P734" s="4" t="b">
        <f>L734 = "FAIL"</f>
        <v>0</v>
      </c>
      <c r="Q734" s="4" t="b">
        <f>AND(((P734)=TRUE), ((K734)=TRUE))</f>
        <v>0</v>
      </c>
      <c r="R734" s="4" t="str">
        <f>IF(((O734)=TRUE),  I734,  "")</f>
        <v>suite-substrate</v>
      </c>
      <c r="S734" s="4" t="str">
        <f>IF(((Q734)=TRUE),  I734,  "")</f>
      </c>
      <c r="T734" s="3" t="s">
        <v>6001</v>
      </c>
    </row>
    <row r="735">
      <c r="A735" s="3" t="s">
        <v>6770</v>
      </c>
      <c r="B735" s="4" t="str">
        <f>C735 &amp; ": " &amp; D735</f>
        <v>formula-translates: ExceptionInvocations.RequiredApprovalRole</v>
      </c>
      <c r="C735" s="3" t="s">
        <v>6104</v>
      </c>
      <c r="D735" s="3" t="s">
        <v>4305</v>
      </c>
      <c r="E735" s="3" t="s">
        <v>4287</v>
      </c>
      <c r="F735" s="3" t="s">
        <v>4306</v>
      </c>
      <c r="G735" s="3" t="s">
        <v>6105</v>
      </c>
      <c r="H735" s="3"/>
      <c r="I735" s="3" t="s">
        <v>5986</v>
      </c>
      <c r="J735" s="3" t="s">
        <v>5999</v>
      </c>
      <c r="K735" s="4" t="b">
        <f>J735 = "blocking"</f>
        <v>1</v>
      </c>
      <c r="L735" s="3" t="s">
        <v>1448</v>
      </c>
      <c r="M735" s="3" t="s">
        <v>6106</v>
      </c>
      <c r="N735" s="5">
        <v>46223.1297337963</v>
      </c>
      <c r="O735" s="4" t="b">
        <f>L735 = "PASS"</f>
        <v>1</v>
      </c>
      <c r="P735" s="4" t="b">
        <f>L735 = "FAIL"</f>
        <v>0</v>
      </c>
      <c r="Q735" s="4" t="b">
        <f>AND(((P735)=TRUE), ((K735)=TRUE))</f>
        <v>0</v>
      </c>
      <c r="R735" s="4" t="str">
        <f>IF(((O735)=TRUE),  I735,  "")</f>
        <v>suite-substrate</v>
      </c>
      <c r="S735" s="4" t="str">
        <f>IF(((Q735)=TRUE),  I735,  "")</f>
      </c>
      <c r="T735" s="3" t="s">
        <v>6001</v>
      </c>
    </row>
    <row r="736">
      <c r="A736" s="3" t="s">
        <v>6771</v>
      </c>
      <c r="B736" s="4" t="str">
        <f>C736 &amp; ": " &amp; D736</f>
        <v>formula-translates: ExceptionInvocations.RequiredApprovalRoleHolder</v>
      </c>
      <c r="C736" s="3" t="s">
        <v>6104</v>
      </c>
      <c r="D736" s="3" t="s">
        <v>4308</v>
      </c>
      <c r="E736" s="3" t="s">
        <v>4287</v>
      </c>
      <c r="F736" s="3" t="s">
        <v>4309</v>
      </c>
      <c r="G736" s="3" t="s">
        <v>6105</v>
      </c>
      <c r="H736" s="3"/>
      <c r="I736" s="3" t="s">
        <v>5986</v>
      </c>
      <c r="J736" s="3" t="s">
        <v>5999</v>
      </c>
      <c r="K736" s="4" t="b">
        <f>J736 = "blocking"</f>
        <v>1</v>
      </c>
      <c r="L736" s="3" t="s">
        <v>1448</v>
      </c>
      <c r="M736" s="3" t="s">
        <v>6106</v>
      </c>
      <c r="N736" s="5">
        <v>46223.1297337963</v>
      </c>
      <c r="O736" s="4" t="b">
        <f>L736 = "PASS"</f>
        <v>1</v>
      </c>
      <c r="P736" s="4" t="b">
        <f>L736 = "FAIL"</f>
        <v>0</v>
      </c>
      <c r="Q736" s="4" t="b">
        <f>AND(((P736)=TRUE), ((K736)=TRUE))</f>
        <v>0</v>
      </c>
      <c r="R736" s="4" t="str">
        <f>IF(((O736)=TRUE),  I736,  "")</f>
        <v>suite-substrate</v>
      </c>
      <c r="S736" s="4" t="str">
        <f>IF(((Q736)=TRUE),  I736,  "")</f>
      </c>
      <c r="T736" s="3" t="s">
        <v>6001</v>
      </c>
    </row>
    <row r="737">
      <c r="A737" s="3" t="s">
        <v>6772</v>
      </c>
      <c r="B737" s="4" t="str">
        <f>C737 &amp; ": " &amp; D737</f>
        <v>formula-translates: ExceptionInvocations.ApprovalRoleMatches</v>
      </c>
      <c r="C737" s="3" t="s">
        <v>6104</v>
      </c>
      <c r="D737" s="3" t="s">
        <v>4311</v>
      </c>
      <c r="E737" s="3" t="s">
        <v>4287</v>
      </c>
      <c r="F737" s="3" t="s">
        <v>4312</v>
      </c>
      <c r="G737" s="3" t="s">
        <v>6105</v>
      </c>
      <c r="H737" s="3"/>
      <c r="I737" s="3" t="s">
        <v>5986</v>
      </c>
      <c r="J737" s="3" t="s">
        <v>5999</v>
      </c>
      <c r="K737" s="4" t="b">
        <f>J737 = "blocking"</f>
        <v>1</v>
      </c>
      <c r="L737" s="3" t="s">
        <v>1448</v>
      </c>
      <c r="M737" s="3" t="s">
        <v>6106</v>
      </c>
      <c r="N737" s="5">
        <v>46223.1297337963</v>
      </c>
      <c r="O737" s="4" t="b">
        <f>L737 = "PASS"</f>
        <v>1</v>
      </c>
      <c r="P737" s="4" t="b">
        <f>L737 = "FAIL"</f>
        <v>0</v>
      </c>
      <c r="Q737" s="4" t="b">
        <f>AND(((P737)=TRUE), ((K737)=TRUE))</f>
        <v>0</v>
      </c>
      <c r="R737" s="4" t="str">
        <f>IF(((O737)=TRUE),  I737,  "")</f>
        <v>suite-substrate</v>
      </c>
      <c r="S737" s="4" t="str">
        <f>IF(((Q737)=TRUE),  I737,  "")</f>
      </c>
      <c r="T737" s="3" t="s">
        <v>6001</v>
      </c>
    </row>
    <row r="738">
      <c r="A738" s="3" t="s">
        <v>6773</v>
      </c>
      <c r="B738" s="4" t="str">
        <f>C738 &amp; ": " &amp; D738</f>
        <v>formula-translates: ExceptionInvocations.IsApproved</v>
      </c>
      <c r="C738" s="3" t="s">
        <v>6104</v>
      </c>
      <c r="D738" s="3" t="s">
        <v>4314</v>
      </c>
      <c r="E738" s="3" t="s">
        <v>4287</v>
      </c>
      <c r="F738" s="3" t="s">
        <v>1114</v>
      </c>
      <c r="G738" s="3" t="s">
        <v>6105</v>
      </c>
      <c r="H738" s="3"/>
      <c r="I738" s="3" t="s">
        <v>5986</v>
      </c>
      <c r="J738" s="3" t="s">
        <v>5999</v>
      </c>
      <c r="K738" s="4" t="b">
        <f>J738 = "blocking"</f>
        <v>1</v>
      </c>
      <c r="L738" s="3" t="s">
        <v>1448</v>
      </c>
      <c r="M738" s="3" t="s">
        <v>6106</v>
      </c>
      <c r="N738" s="5">
        <v>46223.1297337963</v>
      </c>
      <c r="O738" s="4" t="b">
        <f>L738 = "PASS"</f>
        <v>1</v>
      </c>
      <c r="P738" s="4" t="b">
        <f>L738 = "FAIL"</f>
        <v>0</v>
      </c>
      <c r="Q738" s="4" t="b">
        <f>AND(((P738)=TRUE), ((K738)=TRUE))</f>
        <v>0</v>
      </c>
      <c r="R738" s="4" t="str">
        <f>IF(((O738)=TRUE),  I738,  "")</f>
        <v>suite-substrate</v>
      </c>
      <c r="S738" s="4" t="str">
        <f>IF(((Q738)=TRUE),  I738,  "")</f>
      </c>
      <c r="T738" s="3" t="s">
        <v>6001</v>
      </c>
    </row>
    <row r="739">
      <c r="A739" s="3" t="s">
        <v>6774</v>
      </c>
      <c r="B739" s="4" t="str">
        <f>C739 &amp; ": " &amp; D739</f>
        <v>formula-translates: ExceptionInvocations.IsImproperlyApproved</v>
      </c>
      <c r="C739" s="3" t="s">
        <v>6104</v>
      </c>
      <c r="D739" s="3" t="s">
        <v>4316</v>
      </c>
      <c r="E739" s="3" t="s">
        <v>4287</v>
      </c>
      <c r="F739" s="3" t="s">
        <v>4317</v>
      </c>
      <c r="G739" s="3" t="s">
        <v>6105</v>
      </c>
      <c r="H739" s="3"/>
      <c r="I739" s="3" t="s">
        <v>5986</v>
      </c>
      <c r="J739" s="3" t="s">
        <v>5999</v>
      </c>
      <c r="K739" s="4" t="b">
        <f>J739 = "blocking"</f>
        <v>1</v>
      </c>
      <c r="L739" s="3" t="s">
        <v>1448</v>
      </c>
      <c r="M739" s="3" t="s">
        <v>6106</v>
      </c>
      <c r="N739" s="5">
        <v>46223.1297337963</v>
      </c>
      <c r="O739" s="4" t="b">
        <f>L739 = "PASS"</f>
        <v>1</v>
      </c>
      <c r="P739" s="4" t="b">
        <f>L739 = "FAIL"</f>
        <v>0</v>
      </c>
      <c r="Q739" s="4" t="b">
        <f>AND(((P739)=TRUE), ((K739)=TRUE))</f>
        <v>0</v>
      </c>
      <c r="R739" s="4" t="str">
        <f>IF(((O739)=TRUE),  I739,  "")</f>
        <v>suite-substrate</v>
      </c>
      <c r="S739" s="4" t="str">
        <f>IF(((Q739)=TRUE),  I739,  "")</f>
      </c>
      <c r="T739" s="3" t="s">
        <v>6001</v>
      </c>
    </row>
    <row r="740">
      <c r="A740" s="3" t="s">
        <v>6775</v>
      </c>
      <c r="B740" s="4" t="str">
        <f>C740 &amp; ": " &amp; D740</f>
        <v>formula-translates: ExceptionInvocations.InvokerAgentKind</v>
      </c>
      <c r="C740" s="3" t="s">
        <v>6104</v>
      </c>
      <c r="D740" s="3" t="s">
        <v>4319</v>
      </c>
      <c r="E740" s="3" t="s">
        <v>4287</v>
      </c>
      <c r="F740" s="3" t="s">
        <v>4320</v>
      </c>
      <c r="G740" s="3" t="s">
        <v>6105</v>
      </c>
      <c r="H740" s="3" t="s">
        <v>2011</v>
      </c>
      <c r="I740" s="3" t="s">
        <v>5986</v>
      </c>
      <c r="J740" s="3" t="s">
        <v>5999</v>
      </c>
      <c r="K740" s="4" t="b">
        <f>J740 = "blocking"</f>
        <v>1</v>
      </c>
      <c r="L740" s="3" t="s">
        <v>1448</v>
      </c>
      <c r="M740" s="3" t="s">
        <v>6106</v>
      </c>
      <c r="N740" s="5">
        <v>46223.1297337963</v>
      </c>
      <c r="O740" s="4" t="b">
        <f>L740 = "PASS"</f>
        <v>1</v>
      </c>
      <c r="P740" s="4" t="b">
        <f>L740 = "FAIL"</f>
        <v>0</v>
      </c>
      <c r="Q740" s="4" t="b">
        <f>AND(((P740)=TRUE), ((K740)=TRUE))</f>
        <v>0</v>
      </c>
      <c r="R740" s="4" t="str">
        <f>IF(((O740)=TRUE),  I740,  "")</f>
        <v>suite-substrate</v>
      </c>
      <c r="S740" s="4" t="str">
        <f>IF(((Q740)=TRUE),  I740,  "")</f>
      </c>
      <c r="T740" s="3" t="s">
        <v>6001</v>
      </c>
    </row>
    <row r="741">
      <c r="A741" s="3" t="s">
        <v>6776</v>
      </c>
      <c r="B741" s="4" t="str">
        <f>C741 &amp; ": " &amp; D741</f>
        <v>formula-translates: ExceptionInvocations.InvokerAlsoPreparedKey</v>
      </c>
      <c r="C741" s="3" t="s">
        <v>6104</v>
      </c>
      <c r="D741" s="3" t="s">
        <v>4322</v>
      </c>
      <c r="E741" s="3" t="s">
        <v>4287</v>
      </c>
      <c r="F741" s="3" t="s">
        <v>4323</v>
      </c>
      <c r="G741" s="3" t="s">
        <v>6105</v>
      </c>
      <c r="H741" s="3" t="s">
        <v>2011</v>
      </c>
      <c r="I741" s="3" t="s">
        <v>5986</v>
      </c>
      <c r="J741" s="3" t="s">
        <v>5999</v>
      </c>
      <c r="K741" s="4" t="b">
        <f>J741 = "blocking"</f>
        <v>1</v>
      </c>
      <c r="L741" s="3" t="s">
        <v>1448</v>
      </c>
      <c r="M741" s="3" t="s">
        <v>6106</v>
      </c>
      <c r="N741" s="5">
        <v>46223.1297337963</v>
      </c>
      <c r="O741" s="4" t="b">
        <f>L741 = "PASS"</f>
        <v>1</v>
      </c>
      <c r="P741" s="4" t="b">
        <f>L741 = "FAIL"</f>
        <v>0</v>
      </c>
      <c r="Q741" s="4" t="b">
        <f>AND(((P741)=TRUE), ((K741)=TRUE))</f>
        <v>0</v>
      </c>
      <c r="R741" s="4" t="str">
        <f>IF(((O741)=TRUE),  I741,  "")</f>
        <v>suite-substrate</v>
      </c>
      <c r="S741" s="4" t="str">
        <f>IF(((Q741)=TRUE),  I741,  "")</f>
      </c>
      <c r="T741" s="3" t="s">
        <v>6001</v>
      </c>
    </row>
    <row r="742">
      <c r="A742" s="3" t="s">
        <v>6777</v>
      </c>
      <c r="B742" s="4" t="str">
        <f>C742 &amp; ": " &amp; D742</f>
        <v>formula-translates: ExceptionInvocations.ParentProcedureExecution</v>
      </c>
      <c r="C742" s="3" t="s">
        <v>6104</v>
      </c>
      <c r="D742" s="3" t="s">
        <v>4325</v>
      </c>
      <c r="E742" s="3" t="s">
        <v>4287</v>
      </c>
      <c r="F742" s="3" t="s">
        <v>1482</v>
      </c>
      <c r="G742" s="3" t="s">
        <v>6105</v>
      </c>
      <c r="H742" s="3" t="s">
        <v>2011</v>
      </c>
      <c r="I742" s="3" t="s">
        <v>5986</v>
      </c>
      <c r="J742" s="3" t="s">
        <v>5999</v>
      </c>
      <c r="K742" s="4" t="b">
        <f>J742 = "blocking"</f>
        <v>1</v>
      </c>
      <c r="L742" s="3" t="s">
        <v>1448</v>
      </c>
      <c r="M742" s="3" t="s">
        <v>6106</v>
      </c>
      <c r="N742" s="5">
        <v>46223.1297337963</v>
      </c>
      <c r="O742" s="4" t="b">
        <f>L742 = "PASS"</f>
        <v>1</v>
      </c>
      <c r="P742" s="4" t="b">
        <f>L742 = "FAIL"</f>
        <v>0</v>
      </c>
      <c r="Q742" s="4" t="b">
        <f>AND(((P742)=TRUE), ((K742)=TRUE))</f>
        <v>0</v>
      </c>
      <c r="R742" s="4" t="str">
        <f>IF(((O742)=TRUE),  I742,  "")</f>
        <v>suite-substrate</v>
      </c>
      <c r="S742" s="4" t="str">
        <f>IF(((Q742)=TRUE),  I742,  "")</f>
      </c>
      <c r="T742" s="3" t="s">
        <v>6001</v>
      </c>
    </row>
    <row r="743">
      <c r="A743" s="3" t="s">
        <v>6778</v>
      </c>
      <c r="B743" s="4" t="str">
        <f>C743 &amp; ": " &amp; D743</f>
        <v>formula-translates: ExceptionInvocations.ApproverPreparedCount</v>
      </c>
      <c r="C743" s="3" t="s">
        <v>6104</v>
      </c>
      <c r="D743" s="3" t="s">
        <v>4326</v>
      </c>
      <c r="E743" s="3" t="s">
        <v>4287</v>
      </c>
      <c r="F743" s="3" t="s">
        <v>4327</v>
      </c>
      <c r="G743" s="3" t="s">
        <v>6105</v>
      </c>
      <c r="H743" s="3" t="s">
        <v>2011</v>
      </c>
      <c r="I743" s="3" t="s">
        <v>5986</v>
      </c>
      <c r="J743" s="3" t="s">
        <v>5999</v>
      </c>
      <c r="K743" s="4" t="b">
        <f>J743 = "blocking"</f>
        <v>1</v>
      </c>
      <c r="L743" s="3" t="s">
        <v>1448</v>
      </c>
      <c r="M743" s="3" t="s">
        <v>6106</v>
      </c>
      <c r="N743" s="5">
        <v>46223.1297337963</v>
      </c>
      <c r="O743" s="4" t="b">
        <f>L743 = "PASS"</f>
        <v>1</v>
      </c>
      <c r="P743" s="4" t="b">
        <f>L743 = "FAIL"</f>
        <v>0</v>
      </c>
      <c r="Q743" s="4" t="b">
        <f>AND(((P743)=TRUE), ((K743)=TRUE))</f>
        <v>0</v>
      </c>
      <c r="R743" s="4" t="str">
        <f>IF(((O743)=TRUE),  I743,  "")</f>
        <v>suite-substrate</v>
      </c>
      <c r="S743" s="4" t="str">
        <f>IF(((Q743)=TRUE),  I743,  "")</f>
      </c>
      <c r="T743" s="3" t="s">
        <v>6001</v>
      </c>
    </row>
    <row r="744">
      <c r="A744" s="3" t="s">
        <v>6779</v>
      </c>
      <c r="B744" s="4" t="str">
        <f>C744 &amp; ": " &amp; D744</f>
        <v>formula-translates: ExceptionInvocations.DelegatedToPreparer</v>
      </c>
      <c r="C744" s="3" t="s">
        <v>6104</v>
      </c>
      <c r="D744" s="3" t="s">
        <v>4329</v>
      </c>
      <c r="E744" s="3" t="s">
        <v>4287</v>
      </c>
      <c r="F744" s="3" t="s">
        <v>4330</v>
      </c>
      <c r="G744" s="3" t="s">
        <v>6105</v>
      </c>
      <c r="H744" s="3" t="s">
        <v>2011</v>
      </c>
      <c r="I744" s="3" t="s">
        <v>5986</v>
      </c>
      <c r="J744" s="3" t="s">
        <v>5999</v>
      </c>
      <c r="K744" s="4" t="b">
        <f>J744 = "blocking"</f>
        <v>1</v>
      </c>
      <c r="L744" s="3" t="s">
        <v>1448</v>
      </c>
      <c r="M744" s="3" t="s">
        <v>6106</v>
      </c>
      <c r="N744" s="5">
        <v>46223.1297337963</v>
      </c>
      <c r="O744" s="4" t="b">
        <f>L744 = "PASS"</f>
        <v>1</v>
      </c>
      <c r="P744" s="4" t="b">
        <f>L744 = "FAIL"</f>
        <v>0</v>
      </c>
      <c r="Q744" s="4" t="b">
        <f>AND(((P744)=TRUE), ((K744)=TRUE))</f>
        <v>0</v>
      </c>
      <c r="R744" s="4" t="str">
        <f>IF(((O744)=TRUE),  I744,  "")</f>
        <v>suite-substrate</v>
      </c>
      <c r="S744" s="4" t="str">
        <f>IF(((Q744)=TRUE),  I744,  "")</f>
      </c>
      <c r="T744" s="3" t="s">
        <v>6001</v>
      </c>
    </row>
    <row r="745">
      <c r="A745" s="3" t="s">
        <v>6780</v>
      </c>
      <c r="B745" s="4" t="str">
        <f>C745 &amp; ": " &amp; D745</f>
        <v>formula-translates: ExceptionInvocations.IsUngovernedInvocation</v>
      </c>
      <c r="C745" s="3" t="s">
        <v>6104</v>
      </c>
      <c r="D745" s="3" t="s">
        <v>4332</v>
      </c>
      <c r="E745" s="3" t="s">
        <v>4287</v>
      </c>
      <c r="F745" s="3" t="s">
        <v>4333</v>
      </c>
      <c r="G745" s="3" t="s">
        <v>6105</v>
      </c>
      <c r="H745" s="3" t="s">
        <v>2011</v>
      </c>
      <c r="I745" s="3" t="s">
        <v>5986</v>
      </c>
      <c r="J745" s="3" t="s">
        <v>5999</v>
      </c>
      <c r="K745" s="4" t="b">
        <f>J745 = "blocking"</f>
        <v>1</v>
      </c>
      <c r="L745" s="3" t="s">
        <v>1448</v>
      </c>
      <c r="M745" s="3" t="s">
        <v>6106</v>
      </c>
      <c r="N745" s="5">
        <v>46223.1297337963</v>
      </c>
      <c r="O745" s="4" t="b">
        <f>L745 = "PASS"</f>
        <v>1</v>
      </c>
      <c r="P745" s="4" t="b">
        <f>L745 = "FAIL"</f>
        <v>0</v>
      </c>
      <c r="Q745" s="4" t="b">
        <f>AND(((P745)=TRUE), ((K745)=TRUE))</f>
        <v>0</v>
      </c>
      <c r="R745" s="4" t="str">
        <f>IF(((O745)=TRUE),  I745,  "")</f>
        <v>suite-substrate</v>
      </c>
      <c r="S745" s="4" t="str">
        <f>IF(((Q745)=TRUE),  I745,  "")</f>
      </c>
      <c r="T745" s="3" t="s">
        <v>6001</v>
      </c>
    </row>
    <row r="746">
      <c r="A746" s="3" t="s">
        <v>6781</v>
      </c>
      <c r="B746" s="4" t="str">
        <f>C746 &amp; ": " &amp; D746</f>
        <v>formula-translates: VerificationOutcomes.Name</v>
      </c>
      <c r="C746" s="3" t="s">
        <v>6104</v>
      </c>
      <c r="D746" s="3" t="s">
        <v>4339</v>
      </c>
      <c r="E746" s="3" t="s">
        <v>4337</v>
      </c>
      <c r="F746" s="3" t="s">
        <v>1</v>
      </c>
      <c r="G746" s="3" t="s">
        <v>6105</v>
      </c>
      <c r="H746" s="3"/>
      <c r="I746" s="3" t="s">
        <v>5986</v>
      </c>
      <c r="J746" s="3" t="s">
        <v>5999</v>
      </c>
      <c r="K746" s="4" t="b">
        <f>J746 = "blocking"</f>
        <v>1</v>
      </c>
      <c r="L746" s="3" t="s">
        <v>1448</v>
      </c>
      <c r="M746" s="3" t="s">
        <v>6106</v>
      </c>
      <c r="N746" s="5">
        <v>46223.1297337963</v>
      </c>
      <c r="O746" s="4" t="b">
        <f>L746 = "PASS"</f>
        <v>1</v>
      </c>
      <c r="P746" s="4" t="b">
        <f>L746 = "FAIL"</f>
        <v>0</v>
      </c>
      <c r="Q746" s="4" t="b">
        <f>AND(((P746)=TRUE), ((K746)=TRUE))</f>
        <v>0</v>
      </c>
      <c r="R746" s="4" t="str">
        <f>IF(((O746)=TRUE),  I746,  "")</f>
        <v>suite-substrate</v>
      </c>
      <c r="S746" s="4" t="str">
        <f>IF(((Q746)=TRUE),  I746,  "")</f>
      </c>
      <c r="T746" s="3" t="s">
        <v>6001</v>
      </c>
    </row>
    <row r="747">
      <c r="A747" s="3" t="s">
        <v>6782</v>
      </c>
      <c r="B747" s="4" t="str">
        <f>C747 &amp; ": " &amp; D747</f>
        <v>formula-translates: VerificationOutcomes.ExpectedSignalValue</v>
      </c>
      <c r="C747" s="3" t="s">
        <v>6104</v>
      </c>
      <c r="D747" s="3" t="s">
        <v>4352</v>
      </c>
      <c r="E747" s="3" t="s">
        <v>4337</v>
      </c>
      <c r="F747" s="3" t="s">
        <v>942</v>
      </c>
      <c r="G747" s="3" t="s">
        <v>6105</v>
      </c>
      <c r="H747" s="3"/>
      <c r="I747" s="3" t="s">
        <v>5986</v>
      </c>
      <c r="J747" s="3" t="s">
        <v>5999</v>
      </c>
      <c r="K747" s="4" t="b">
        <f>J747 = "blocking"</f>
        <v>1</v>
      </c>
      <c r="L747" s="3" t="s">
        <v>1448</v>
      </c>
      <c r="M747" s="3" t="s">
        <v>6106</v>
      </c>
      <c r="N747" s="5">
        <v>46223.1297337963</v>
      </c>
      <c r="O747" s="4" t="b">
        <f>L747 = "PASS"</f>
        <v>1</v>
      </c>
      <c r="P747" s="4" t="b">
        <f>L747 = "FAIL"</f>
        <v>0</v>
      </c>
      <c r="Q747" s="4" t="b">
        <f>AND(((P747)=TRUE), ((K747)=TRUE))</f>
        <v>0</v>
      </c>
      <c r="R747" s="4" t="str">
        <f>IF(((O747)=TRUE),  I747,  "")</f>
        <v>suite-substrate</v>
      </c>
      <c r="S747" s="4" t="str">
        <f>IF(((Q747)=TRUE),  I747,  "")</f>
      </c>
      <c r="T747" s="3" t="s">
        <v>6001</v>
      </c>
    </row>
    <row r="748">
      <c r="A748" s="3" t="s">
        <v>6783</v>
      </c>
      <c r="B748" s="4" t="str">
        <f>C748 &amp; ": " &amp; D748</f>
        <v>formula-translates: VerificationOutcomes.SignalIdentifier</v>
      </c>
      <c r="C748" s="3" t="s">
        <v>6104</v>
      </c>
      <c r="D748" s="3" t="s">
        <v>4354</v>
      </c>
      <c r="E748" s="3" t="s">
        <v>4337</v>
      </c>
      <c r="F748" s="3" t="s">
        <v>941</v>
      </c>
      <c r="G748" s="3" t="s">
        <v>6105</v>
      </c>
      <c r="H748" s="3"/>
      <c r="I748" s="3" t="s">
        <v>5986</v>
      </c>
      <c r="J748" s="3" t="s">
        <v>5999</v>
      </c>
      <c r="K748" s="4" t="b">
        <f>J748 = "blocking"</f>
        <v>1</v>
      </c>
      <c r="L748" s="3" t="s">
        <v>1448</v>
      </c>
      <c r="M748" s="3" t="s">
        <v>6106</v>
      </c>
      <c r="N748" s="5">
        <v>46223.1297337963</v>
      </c>
      <c r="O748" s="4" t="b">
        <f>L748 = "PASS"</f>
        <v>1</v>
      </c>
      <c r="P748" s="4" t="b">
        <f>L748 = "FAIL"</f>
        <v>0</v>
      </c>
      <c r="Q748" s="4" t="b">
        <f>AND(((P748)=TRUE), ((K748)=TRUE))</f>
        <v>0</v>
      </c>
      <c r="R748" s="4" t="str">
        <f>IF(((O748)=TRUE),  I748,  "")</f>
        <v>suite-substrate</v>
      </c>
      <c r="S748" s="4" t="str">
        <f>IF(((Q748)=TRUE),  I748,  "")</f>
      </c>
      <c r="T748" s="3" t="s">
        <v>6001</v>
      </c>
    </row>
    <row r="749">
      <c r="A749" s="3" t="s">
        <v>6784</v>
      </c>
      <c r="B749" s="4" t="str">
        <f>C749 &amp; ": " &amp; D749</f>
        <v>formula-translates: VerificationOutcomes.SignalMatchesExpected</v>
      </c>
      <c r="C749" s="3" t="s">
        <v>6104</v>
      </c>
      <c r="D749" s="3" t="s">
        <v>844</v>
      </c>
      <c r="E749" s="3" t="s">
        <v>4337</v>
      </c>
      <c r="F749" s="3" t="s">
        <v>4356</v>
      </c>
      <c r="G749" s="3" t="s">
        <v>6105</v>
      </c>
      <c r="H749" s="3"/>
      <c r="I749" s="3" t="s">
        <v>5986</v>
      </c>
      <c r="J749" s="3" t="s">
        <v>5999</v>
      </c>
      <c r="K749" s="4" t="b">
        <f>J749 = "blocking"</f>
        <v>1</v>
      </c>
      <c r="L749" s="3" t="s">
        <v>1448</v>
      </c>
      <c r="M749" s="3" t="s">
        <v>6106</v>
      </c>
      <c r="N749" s="5">
        <v>46223.1297337963</v>
      </c>
      <c r="O749" s="4" t="b">
        <f>L749 = "PASS"</f>
        <v>1</v>
      </c>
      <c r="P749" s="4" t="b">
        <f>L749 = "FAIL"</f>
        <v>0</v>
      </c>
      <c r="Q749" s="4" t="b">
        <f>AND(((P749)=TRUE), ((K749)=TRUE))</f>
        <v>0</v>
      </c>
      <c r="R749" s="4" t="str">
        <f>IF(((O749)=TRUE),  I749,  "")</f>
        <v>suite-substrate</v>
      </c>
      <c r="S749" s="4" t="str">
        <f>IF(((Q749)=TRUE),  I749,  "")</f>
      </c>
      <c r="T749" s="3" t="s">
        <v>6001</v>
      </c>
    </row>
    <row r="750">
      <c r="A750" s="3" t="s">
        <v>6785</v>
      </c>
      <c r="B750" s="4" t="str">
        <f>C750 &amp; ": " &amp; D750</f>
        <v>formula-translates: VerificationOutcomes.HasEvidence</v>
      </c>
      <c r="C750" s="3" t="s">
        <v>6104</v>
      </c>
      <c r="D750" s="3" t="s">
        <v>4358</v>
      </c>
      <c r="E750" s="3" t="s">
        <v>4337</v>
      </c>
      <c r="F750" s="3" t="s">
        <v>4359</v>
      </c>
      <c r="G750" s="3" t="s">
        <v>6105</v>
      </c>
      <c r="H750" s="3"/>
      <c r="I750" s="3" t="s">
        <v>5986</v>
      </c>
      <c r="J750" s="3" t="s">
        <v>5999</v>
      </c>
      <c r="K750" s="4" t="b">
        <f>J750 = "blocking"</f>
        <v>1</v>
      </c>
      <c r="L750" s="3" t="s">
        <v>1448</v>
      </c>
      <c r="M750" s="3" t="s">
        <v>6106</v>
      </c>
      <c r="N750" s="5">
        <v>46223.1297337963</v>
      </c>
      <c r="O750" s="4" t="b">
        <f>L750 = "PASS"</f>
        <v>1</v>
      </c>
      <c r="P750" s="4" t="b">
        <f>L750 = "FAIL"</f>
        <v>0</v>
      </c>
      <c r="Q750" s="4" t="b">
        <f>AND(((P750)=TRUE), ((K750)=TRUE))</f>
        <v>0</v>
      </c>
      <c r="R750" s="4" t="str">
        <f>IF(((O750)=TRUE),  I750,  "")</f>
        <v>suite-substrate</v>
      </c>
      <c r="S750" s="4" t="str">
        <f>IF(((Q750)=TRUE),  I750,  "")</f>
      </c>
      <c r="T750" s="3" t="s">
        <v>6001</v>
      </c>
    </row>
    <row r="751">
      <c r="A751" s="3" t="s">
        <v>6786</v>
      </c>
      <c r="B751" s="4" t="str">
        <f>C751 &amp; ": " &amp; D751</f>
        <v>formula-translates: VerificationOutcomes.IsUnbackedObservation</v>
      </c>
      <c r="C751" s="3" t="s">
        <v>6104</v>
      </c>
      <c r="D751" s="3" t="s">
        <v>851</v>
      </c>
      <c r="E751" s="3" t="s">
        <v>4337</v>
      </c>
      <c r="F751" s="3" t="s">
        <v>4361</v>
      </c>
      <c r="G751" s="3" t="s">
        <v>6105</v>
      </c>
      <c r="H751" s="3"/>
      <c r="I751" s="3" t="s">
        <v>5986</v>
      </c>
      <c r="J751" s="3" t="s">
        <v>5999</v>
      </c>
      <c r="K751" s="4" t="b">
        <f>J751 = "blocking"</f>
        <v>1</v>
      </c>
      <c r="L751" s="3" t="s">
        <v>1448</v>
      </c>
      <c r="M751" s="3" t="s">
        <v>6106</v>
      </c>
      <c r="N751" s="5">
        <v>46223.1297337963</v>
      </c>
      <c r="O751" s="4" t="b">
        <f>L751 = "PASS"</f>
        <v>1</v>
      </c>
      <c r="P751" s="4" t="b">
        <f>L751 = "FAIL"</f>
        <v>0</v>
      </c>
      <c r="Q751" s="4" t="b">
        <f>AND(((P751)=TRUE), ((K751)=TRUE))</f>
        <v>0</v>
      </c>
      <c r="R751" s="4" t="str">
        <f>IF(((O751)=TRUE),  I751,  "")</f>
        <v>suite-substrate</v>
      </c>
      <c r="S751" s="4" t="str">
        <f>IF(((Q751)=TRUE),  I751,  "")</f>
      </c>
      <c r="T751" s="3" t="s">
        <v>6001</v>
      </c>
    </row>
    <row r="752">
      <c r="A752" s="3" t="s">
        <v>6787</v>
      </c>
      <c r="B752" s="4" t="str">
        <f>C752 &amp; ": " &amp; D752</f>
        <v>formula-translates: VerificationOutcomes.IsSelfWitnessed</v>
      </c>
      <c r="C752" s="3" t="s">
        <v>6104</v>
      </c>
      <c r="D752" s="3" t="s">
        <v>4363</v>
      </c>
      <c r="E752" s="3" t="s">
        <v>4337</v>
      </c>
      <c r="F752" s="3" t="s">
        <v>4364</v>
      </c>
      <c r="G752" s="3" t="s">
        <v>6105</v>
      </c>
      <c r="H752" s="3" t="s">
        <v>2007</v>
      </c>
      <c r="I752" s="3" t="s">
        <v>5986</v>
      </c>
      <c r="J752" s="3" t="s">
        <v>5999</v>
      </c>
      <c r="K752" s="4" t="b">
        <f>J752 = "blocking"</f>
        <v>1</v>
      </c>
      <c r="L752" s="3" t="s">
        <v>1448</v>
      </c>
      <c r="M752" s="3" t="s">
        <v>6106</v>
      </c>
      <c r="N752" s="5">
        <v>46223.1297337963</v>
      </c>
      <c r="O752" s="4" t="b">
        <f>L752 = "PASS"</f>
        <v>1</v>
      </c>
      <c r="P752" s="4" t="b">
        <f>L752 = "FAIL"</f>
        <v>0</v>
      </c>
      <c r="Q752" s="4" t="b">
        <f>AND(((P752)=TRUE), ((K752)=TRUE))</f>
        <v>0</v>
      </c>
      <c r="R752" s="4" t="str">
        <f>IF(((O752)=TRUE),  I752,  "")</f>
        <v>suite-substrate</v>
      </c>
      <c r="S752" s="4" t="str">
        <f>IF(((Q752)=TRUE),  I752,  "")</f>
      </c>
      <c r="T752" s="3" t="s">
        <v>6001</v>
      </c>
    </row>
    <row r="753">
      <c r="A753" s="3" t="s">
        <v>6788</v>
      </c>
      <c r="B753" s="4" t="str">
        <f>C753 &amp; ": " &amp; D753</f>
        <v>formula-translates: VerificationOutcomes.StepExecutorAgent</v>
      </c>
      <c r="C753" s="3" t="s">
        <v>6104</v>
      </c>
      <c r="D753" s="3" t="s">
        <v>4366</v>
      </c>
      <c r="E753" s="3" t="s">
        <v>4337</v>
      </c>
      <c r="F753" s="3" t="s">
        <v>1504</v>
      </c>
      <c r="G753" s="3" t="s">
        <v>6105</v>
      </c>
      <c r="H753" s="3" t="s">
        <v>2007</v>
      </c>
      <c r="I753" s="3" t="s">
        <v>5986</v>
      </c>
      <c r="J753" s="3" t="s">
        <v>5999</v>
      </c>
      <c r="K753" s="4" t="b">
        <f>J753 = "blocking"</f>
        <v>1</v>
      </c>
      <c r="L753" s="3" t="s">
        <v>1448</v>
      </c>
      <c r="M753" s="3" t="s">
        <v>6106</v>
      </c>
      <c r="N753" s="5">
        <v>46223.1297337963</v>
      </c>
      <c r="O753" s="4" t="b">
        <f>L753 = "PASS"</f>
        <v>1</v>
      </c>
      <c r="P753" s="4" t="b">
        <f>L753 = "FAIL"</f>
        <v>0</v>
      </c>
      <c r="Q753" s="4" t="b">
        <f>AND(((P753)=TRUE), ((K753)=TRUE))</f>
        <v>0</v>
      </c>
      <c r="R753" s="4" t="str">
        <f>IF(((O753)=TRUE),  I753,  "")</f>
        <v>suite-substrate</v>
      </c>
      <c r="S753" s="4" t="str">
        <f>IF(((Q753)=TRUE),  I753,  "")</f>
      </c>
      <c r="T753" s="3" t="s">
        <v>6001</v>
      </c>
    </row>
    <row r="754">
      <c r="A754" s="3" t="s">
        <v>6789</v>
      </c>
      <c r="B754" s="4" t="str">
        <f>C754 &amp; ": " &amp; D754</f>
        <v>formula-translates: VerificationOutcomes.SelfWitnessedStepKey</v>
      </c>
      <c r="C754" s="3" t="s">
        <v>6104</v>
      </c>
      <c r="D754" s="3" t="s">
        <v>4367</v>
      </c>
      <c r="E754" s="3" t="s">
        <v>4337</v>
      </c>
      <c r="F754" s="3" t="s">
        <v>4368</v>
      </c>
      <c r="G754" s="3" t="s">
        <v>6105</v>
      </c>
      <c r="H754" s="3" t="s">
        <v>2007</v>
      </c>
      <c r="I754" s="3" t="s">
        <v>5986</v>
      </c>
      <c r="J754" s="3" t="s">
        <v>5999</v>
      </c>
      <c r="K754" s="4" t="b">
        <f>J754 = "blocking"</f>
        <v>1</v>
      </c>
      <c r="L754" s="3" t="s">
        <v>1448</v>
      </c>
      <c r="M754" s="3" t="s">
        <v>6106</v>
      </c>
      <c r="N754" s="5">
        <v>46223.1297337963</v>
      </c>
      <c r="O754" s="4" t="b">
        <f>L754 = "PASS"</f>
        <v>1</v>
      </c>
      <c r="P754" s="4" t="b">
        <f>L754 = "FAIL"</f>
        <v>0</v>
      </c>
      <c r="Q754" s="4" t="b">
        <f>AND(((P754)=TRUE), ((K754)=TRUE))</f>
        <v>0</v>
      </c>
      <c r="R754" s="4" t="str">
        <f>IF(((O754)=TRUE),  I754,  "")</f>
        <v>suite-substrate</v>
      </c>
      <c r="S754" s="4" t="str">
        <f>IF(((Q754)=TRUE),  I754,  "")</f>
      </c>
      <c r="T754" s="3" t="s">
        <v>6001</v>
      </c>
    </row>
    <row r="755">
      <c r="A755" s="3" t="s">
        <v>6790</v>
      </c>
      <c r="B755" s="4" t="str">
        <f>C755 &amp; ": " &amp; D755</f>
        <v>formula-translates: VerificationOutcomes.UnbackedStepKey</v>
      </c>
      <c r="C755" s="3" t="s">
        <v>6104</v>
      </c>
      <c r="D755" s="3" t="s">
        <v>4370</v>
      </c>
      <c r="E755" s="3" t="s">
        <v>4337</v>
      </c>
      <c r="F755" s="3" t="s">
        <v>4371</v>
      </c>
      <c r="G755" s="3" t="s">
        <v>6105</v>
      </c>
      <c r="H755" s="3" t="s">
        <v>2007</v>
      </c>
      <c r="I755" s="3" t="s">
        <v>5986</v>
      </c>
      <c r="J755" s="3" t="s">
        <v>5999</v>
      </c>
      <c r="K755" s="4" t="b">
        <f>J755 = "blocking"</f>
        <v>1</v>
      </c>
      <c r="L755" s="3" t="s">
        <v>1448</v>
      </c>
      <c r="M755" s="3" t="s">
        <v>6106</v>
      </c>
      <c r="N755" s="5">
        <v>46223.1297337963</v>
      </c>
      <c r="O755" s="4" t="b">
        <f>L755 = "PASS"</f>
        <v>1</v>
      </c>
      <c r="P755" s="4" t="b">
        <f>L755 = "FAIL"</f>
        <v>0</v>
      </c>
      <c r="Q755" s="4" t="b">
        <f>AND(((P755)=TRUE), ((K755)=TRUE))</f>
        <v>0</v>
      </c>
      <c r="R755" s="4" t="str">
        <f>IF(((O755)=TRUE),  I755,  "")</f>
        <v>suite-substrate</v>
      </c>
      <c r="S755" s="4" t="str">
        <f>IF(((Q755)=TRUE),  I755,  "")</f>
      </c>
      <c r="T755" s="3" t="s">
        <v>6001</v>
      </c>
    </row>
    <row r="756">
      <c r="A756" s="3" t="s">
        <v>6791</v>
      </c>
      <c r="B756" s="4" t="str">
        <f>C756 &amp; ": " &amp; D756</f>
        <v>formula-translates: VerificationOutcomes.IsSelfWitnessedAndUnbacked</v>
      </c>
      <c r="C756" s="3" t="s">
        <v>6104</v>
      </c>
      <c r="D756" s="3" t="s">
        <v>4373</v>
      </c>
      <c r="E756" s="3" t="s">
        <v>4337</v>
      </c>
      <c r="F756" s="3" t="s">
        <v>4374</v>
      </c>
      <c r="G756" s="3" t="s">
        <v>6105</v>
      </c>
      <c r="H756" s="3" t="s">
        <v>2275</v>
      </c>
      <c r="I756" s="3" t="s">
        <v>5986</v>
      </c>
      <c r="J756" s="3" t="s">
        <v>5999</v>
      </c>
      <c r="K756" s="4" t="b">
        <f>J756 = "blocking"</f>
        <v>1</v>
      </c>
      <c r="L756" s="3" t="s">
        <v>1448</v>
      </c>
      <c r="M756" s="3" t="s">
        <v>6106</v>
      </c>
      <c r="N756" s="5">
        <v>46223.1297337963</v>
      </c>
      <c r="O756" s="4" t="b">
        <f>L756 = "PASS"</f>
        <v>1</v>
      </c>
      <c r="P756" s="4" t="b">
        <f>L756 = "FAIL"</f>
        <v>0</v>
      </c>
      <c r="Q756" s="4" t="b">
        <f>AND(((P756)=TRUE), ((K756)=TRUE))</f>
        <v>0</v>
      </c>
      <c r="R756" s="4" t="str">
        <f>IF(((O756)=TRUE),  I756,  "")</f>
        <v>suite-substrate</v>
      </c>
      <c r="S756" s="4" t="str">
        <f>IF(((Q756)=TRUE),  I756,  "")</f>
      </c>
      <c r="T756" s="3" t="s">
        <v>6001</v>
      </c>
    </row>
    <row r="757">
      <c r="A757" s="3" t="s">
        <v>6792</v>
      </c>
      <c r="B757" s="4" t="str">
        <f>C757 &amp; ": " &amp; D757</f>
        <v>formula-translates: VerificationOutcomes.IsUncorroboratedPass</v>
      </c>
      <c r="C757" s="3" t="s">
        <v>6104</v>
      </c>
      <c r="D757" s="3" t="s">
        <v>4376</v>
      </c>
      <c r="E757" s="3" t="s">
        <v>4337</v>
      </c>
      <c r="F757" s="3" t="s">
        <v>4377</v>
      </c>
      <c r="G757" s="3" t="s">
        <v>6105</v>
      </c>
      <c r="H757" s="3" t="s">
        <v>2275</v>
      </c>
      <c r="I757" s="3" t="s">
        <v>5986</v>
      </c>
      <c r="J757" s="3" t="s">
        <v>5999</v>
      </c>
      <c r="K757" s="4" t="b">
        <f>J757 = "blocking"</f>
        <v>1</v>
      </c>
      <c r="L757" s="3" t="s">
        <v>1448</v>
      </c>
      <c r="M757" s="3" t="s">
        <v>6106</v>
      </c>
      <c r="N757" s="5">
        <v>46223.1297337963</v>
      </c>
      <c r="O757" s="4" t="b">
        <f>L757 = "PASS"</f>
        <v>1</v>
      </c>
      <c r="P757" s="4" t="b">
        <f>L757 = "FAIL"</f>
        <v>0</v>
      </c>
      <c r="Q757" s="4" t="b">
        <f>AND(((P757)=TRUE), ((K757)=TRUE))</f>
        <v>0</v>
      </c>
      <c r="R757" s="4" t="str">
        <f>IF(((O757)=TRUE),  I757,  "")</f>
        <v>suite-substrate</v>
      </c>
      <c r="S757" s="4" t="str">
        <f>IF(((Q757)=TRUE),  I757,  "")</f>
      </c>
      <c r="T757" s="3" t="s">
        <v>6001</v>
      </c>
    </row>
    <row r="758">
      <c r="A758" s="3" t="s">
        <v>6793</v>
      </c>
      <c r="B758" s="4" t="str">
        <f>C758 &amp; ": " &amp; D758</f>
        <v>formula-translates: VerificationOutcomes.UncorroboratedPassStepKey</v>
      </c>
      <c r="C758" s="3" t="s">
        <v>6104</v>
      </c>
      <c r="D758" s="3" t="s">
        <v>4379</v>
      </c>
      <c r="E758" s="3" t="s">
        <v>4337</v>
      </c>
      <c r="F758" s="3" t="s">
        <v>4380</v>
      </c>
      <c r="G758" s="3" t="s">
        <v>6105</v>
      </c>
      <c r="H758" s="3" t="s">
        <v>2275</v>
      </c>
      <c r="I758" s="3" t="s">
        <v>5986</v>
      </c>
      <c r="J758" s="3" t="s">
        <v>5999</v>
      </c>
      <c r="K758" s="4" t="b">
        <f>J758 = "blocking"</f>
        <v>1</v>
      </c>
      <c r="L758" s="3" t="s">
        <v>1448</v>
      </c>
      <c r="M758" s="3" t="s">
        <v>6106</v>
      </c>
      <c r="N758" s="5">
        <v>46223.1297337963</v>
      </c>
      <c r="O758" s="4" t="b">
        <f>L758 = "PASS"</f>
        <v>1</v>
      </c>
      <c r="P758" s="4" t="b">
        <f>L758 = "FAIL"</f>
        <v>0</v>
      </c>
      <c r="Q758" s="4" t="b">
        <f>AND(((P758)=TRUE), ((K758)=TRUE))</f>
        <v>0</v>
      </c>
      <c r="R758" s="4" t="str">
        <f>IF(((O758)=TRUE),  I758,  "")</f>
        <v>suite-substrate</v>
      </c>
      <c r="S758" s="4" t="str">
        <f>IF(((Q758)=TRUE),  I758,  "")</f>
      </c>
      <c r="T758" s="3" t="s">
        <v>6001</v>
      </c>
    </row>
    <row r="759">
      <c r="A759" s="3" t="s">
        <v>6794</v>
      </c>
      <c r="B759" s="4" t="str">
        <f>C759 &amp; ": " &amp; D759</f>
        <v>formula-translates: VerificationOutcomes.ObserverIsNonHuman</v>
      </c>
      <c r="C759" s="3" t="s">
        <v>6104</v>
      </c>
      <c r="D759" s="3" t="s">
        <v>4382</v>
      </c>
      <c r="E759" s="3" t="s">
        <v>4337</v>
      </c>
      <c r="F759" s="3" t="s">
        <v>4383</v>
      </c>
      <c r="G759" s="3" t="s">
        <v>6105</v>
      </c>
      <c r="H759" s="3" t="s">
        <v>2275</v>
      </c>
      <c r="I759" s="3" t="s">
        <v>5986</v>
      </c>
      <c r="J759" s="3" t="s">
        <v>5999</v>
      </c>
      <c r="K759" s="4" t="b">
        <f>J759 = "blocking"</f>
        <v>1</v>
      </c>
      <c r="L759" s="3" t="s">
        <v>1448</v>
      </c>
      <c r="M759" s="3" t="s">
        <v>6106</v>
      </c>
      <c r="N759" s="5">
        <v>46223.1297337963</v>
      </c>
      <c r="O759" s="4" t="b">
        <f>L759 = "PASS"</f>
        <v>1</v>
      </c>
      <c r="P759" s="4" t="b">
        <f>L759 = "FAIL"</f>
        <v>0</v>
      </c>
      <c r="Q759" s="4" t="b">
        <f>AND(((P759)=TRUE), ((K759)=TRUE))</f>
        <v>0</v>
      </c>
      <c r="R759" s="4" t="str">
        <f>IF(((O759)=TRUE),  I759,  "")</f>
        <v>suite-substrate</v>
      </c>
      <c r="S759" s="4" t="str">
        <f>IF(((Q759)=TRUE),  I759,  "")</f>
      </c>
      <c r="T759" s="3" t="s">
        <v>6001</v>
      </c>
    </row>
    <row r="760">
      <c r="A760" s="3" t="s">
        <v>6795</v>
      </c>
      <c r="B760" s="4" t="str">
        <f>C760 &amp; ": " &amp; D760</f>
        <v>formula-translates: VerificationOutcomes.ObserverIsIndependentOfExecutor</v>
      </c>
      <c r="C760" s="3" t="s">
        <v>6104</v>
      </c>
      <c r="D760" s="3" t="s">
        <v>4385</v>
      </c>
      <c r="E760" s="3" t="s">
        <v>4337</v>
      </c>
      <c r="F760" s="3" t="s">
        <v>4386</v>
      </c>
      <c r="G760" s="3" t="s">
        <v>6105</v>
      </c>
      <c r="H760" s="3" t="s">
        <v>2275</v>
      </c>
      <c r="I760" s="3" t="s">
        <v>5986</v>
      </c>
      <c r="J760" s="3" t="s">
        <v>5999</v>
      </c>
      <c r="K760" s="4" t="b">
        <f>J760 = "blocking"</f>
        <v>1</v>
      </c>
      <c r="L760" s="3" t="s">
        <v>1448</v>
      </c>
      <c r="M760" s="3" t="s">
        <v>6106</v>
      </c>
      <c r="N760" s="5">
        <v>46223.1297337963</v>
      </c>
      <c r="O760" s="4" t="b">
        <f>L760 = "PASS"</f>
        <v>1</v>
      </c>
      <c r="P760" s="4" t="b">
        <f>L760 = "FAIL"</f>
        <v>0</v>
      </c>
      <c r="Q760" s="4" t="b">
        <f>AND(((P760)=TRUE), ((K760)=TRUE))</f>
        <v>0</v>
      </c>
      <c r="R760" s="4" t="str">
        <f>IF(((O760)=TRUE),  I760,  "")</f>
        <v>suite-substrate</v>
      </c>
      <c r="S760" s="4" t="str">
        <f>IF(((Q760)=TRUE),  I760,  "")</f>
      </c>
      <c r="T760" s="3" t="s">
        <v>6001</v>
      </c>
    </row>
    <row r="761">
      <c r="A761" s="3" t="s">
        <v>6796</v>
      </c>
      <c r="B761" s="4" t="str">
        <f>C761 &amp; ": " &amp; D761</f>
        <v>formula-translates: VerificationOutcomes.IsIndependentHumanObservation</v>
      </c>
      <c r="C761" s="3" t="s">
        <v>6104</v>
      </c>
      <c r="D761" s="3" t="s">
        <v>4388</v>
      </c>
      <c r="E761" s="3" t="s">
        <v>4337</v>
      </c>
      <c r="F761" s="3" t="s">
        <v>4389</v>
      </c>
      <c r="G761" s="3" t="s">
        <v>6105</v>
      </c>
      <c r="H761" s="3" t="s">
        <v>2307</v>
      </c>
      <c r="I761" s="3" t="s">
        <v>5986</v>
      </c>
      <c r="J761" s="3" t="s">
        <v>5999</v>
      </c>
      <c r="K761" s="4" t="b">
        <f>J761 = "blocking"</f>
        <v>1</v>
      </c>
      <c r="L761" s="3" t="s">
        <v>1448</v>
      </c>
      <c r="M761" s="3" t="s">
        <v>6106</v>
      </c>
      <c r="N761" s="5">
        <v>46223.1297337963</v>
      </c>
      <c r="O761" s="4" t="b">
        <f>L761 = "PASS"</f>
        <v>1</v>
      </c>
      <c r="P761" s="4" t="b">
        <f>L761 = "FAIL"</f>
        <v>0</v>
      </c>
      <c r="Q761" s="4" t="b">
        <f>AND(((P761)=TRUE), ((K761)=TRUE))</f>
        <v>0</v>
      </c>
      <c r="R761" s="4" t="str">
        <f>IF(((O761)=TRUE),  I761,  "")</f>
        <v>suite-substrate</v>
      </c>
      <c r="S761" s="4" t="str">
        <f>IF(((Q761)=TRUE),  I761,  "")</f>
      </c>
      <c r="T761" s="3" t="s">
        <v>6001</v>
      </c>
    </row>
    <row r="762">
      <c r="A762" s="3" t="s">
        <v>6797</v>
      </c>
      <c r="B762" s="4" t="str">
        <f>C762 &amp; ": " &amp; D762</f>
        <v>formula-translates: VerificationOutcomes.IndependentObservationExecutionKey</v>
      </c>
      <c r="C762" s="3" t="s">
        <v>6104</v>
      </c>
      <c r="D762" s="3" t="s">
        <v>4391</v>
      </c>
      <c r="E762" s="3" t="s">
        <v>4337</v>
      </c>
      <c r="F762" s="3" t="s">
        <v>4392</v>
      </c>
      <c r="G762" s="3" t="s">
        <v>6105</v>
      </c>
      <c r="H762" s="3" t="s">
        <v>2307</v>
      </c>
      <c r="I762" s="3" t="s">
        <v>5986</v>
      </c>
      <c r="J762" s="3" t="s">
        <v>5999</v>
      </c>
      <c r="K762" s="4" t="b">
        <f>J762 = "blocking"</f>
        <v>1</v>
      </c>
      <c r="L762" s="3" t="s">
        <v>1448</v>
      </c>
      <c r="M762" s="3" t="s">
        <v>6106</v>
      </c>
      <c r="N762" s="5">
        <v>46223.1297337963</v>
      </c>
      <c r="O762" s="4" t="b">
        <f>L762 = "PASS"</f>
        <v>1</v>
      </c>
      <c r="P762" s="4" t="b">
        <f>L762 = "FAIL"</f>
        <v>0</v>
      </c>
      <c r="Q762" s="4" t="b">
        <f>AND(((P762)=TRUE), ((K762)=TRUE))</f>
        <v>0</v>
      </c>
      <c r="R762" s="4" t="str">
        <f>IF(((O762)=TRUE),  I762,  "")</f>
        <v>suite-substrate</v>
      </c>
      <c r="S762" s="4" t="str">
        <f>IF(((Q762)=TRUE),  I762,  "")</f>
      </c>
      <c r="T762" s="3" t="s">
        <v>6001</v>
      </c>
    </row>
    <row r="763">
      <c r="A763" s="3" t="s">
        <v>6798</v>
      </c>
      <c r="B763" s="4" t="str">
        <f>C763 &amp; ": " &amp; D763</f>
        <v>formula-translates: VerificationOutcomes.ParentProcedureExecutionOfOutcome</v>
      </c>
      <c r="C763" s="3" t="s">
        <v>6104</v>
      </c>
      <c r="D763" s="3" t="s">
        <v>4394</v>
      </c>
      <c r="E763" s="3" t="s">
        <v>4337</v>
      </c>
      <c r="F763" s="3" t="s">
        <v>4395</v>
      </c>
      <c r="G763" s="3" t="s">
        <v>6105</v>
      </c>
      <c r="H763" s="3" t="s">
        <v>2307</v>
      </c>
      <c r="I763" s="3" t="s">
        <v>5986</v>
      </c>
      <c r="J763" s="3" t="s">
        <v>5999</v>
      </c>
      <c r="K763" s="4" t="b">
        <f>J763 = "blocking"</f>
        <v>1</v>
      </c>
      <c r="L763" s="3" t="s">
        <v>1448</v>
      </c>
      <c r="M763" s="3" t="s">
        <v>6106</v>
      </c>
      <c r="N763" s="5">
        <v>46223.1297337963</v>
      </c>
      <c r="O763" s="4" t="b">
        <f>L763 = "PASS"</f>
        <v>1</v>
      </c>
      <c r="P763" s="4" t="b">
        <f>L763 = "FAIL"</f>
        <v>0</v>
      </c>
      <c r="Q763" s="4" t="b">
        <f>AND(((P763)=TRUE), ((K763)=TRUE))</f>
        <v>0</v>
      </c>
      <c r="R763" s="4" t="str">
        <f>IF(((O763)=TRUE),  I763,  "")</f>
        <v>suite-substrate</v>
      </c>
      <c r="S763" s="4" t="str">
        <f>IF(((Q763)=TRUE),  I763,  "")</f>
      </c>
      <c r="T763" s="3" t="s">
        <v>6001</v>
      </c>
    </row>
    <row r="764">
      <c r="A764" s="3" t="s">
        <v>6799</v>
      </c>
      <c r="B764" s="4" t="str">
        <f>C764 &amp; ": " &amp; D764</f>
        <v>formula-translates: ObservedTransitions.Name</v>
      </c>
      <c r="C764" s="3" t="s">
        <v>6104</v>
      </c>
      <c r="D764" s="3" t="s">
        <v>4400</v>
      </c>
      <c r="E764" s="3" t="s">
        <v>4398</v>
      </c>
      <c r="F764" s="3" t="s">
        <v>1</v>
      </c>
      <c r="G764" s="3" t="s">
        <v>6105</v>
      </c>
      <c r="H764" s="3"/>
      <c r="I764" s="3" t="s">
        <v>5986</v>
      </c>
      <c r="J764" s="3" t="s">
        <v>5999</v>
      </c>
      <c r="K764" s="4" t="b">
        <f>J764 = "blocking"</f>
        <v>1</v>
      </c>
      <c r="L764" s="3" t="s">
        <v>1448</v>
      </c>
      <c r="M764" s="3" t="s">
        <v>6106</v>
      </c>
      <c r="N764" s="5">
        <v>46223.1297337963</v>
      </c>
      <c r="O764" s="4" t="b">
        <f>L764 = "PASS"</f>
        <v>1</v>
      </c>
      <c r="P764" s="4" t="b">
        <f>L764 = "FAIL"</f>
        <v>0</v>
      </c>
      <c r="Q764" s="4" t="b">
        <f>AND(((P764)=TRUE), ((K764)=TRUE))</f>
        <v>0</v>
      </c>
      <c r="R764" s="4" t="str">
        <f>IF(((O764)=TRUE),  I764,  "")</f>
        <v>suite-substrate</v>
      </c>
      <c r="S764" s="4" t="str">
        <f>IF(((Q764)=TRUE),  I764,  "")</f>
      </c>
      <c r="T764" s="3" t="s">
        <v>6001</v>
      </c>
    </row>
    <row r="765">
      <c r="A765" s="3" t="s">
        <v>6800</v>
      </c>
      <c r="B765" s="4" t="str">
        <f>C765 &amp; ": " &amp; D765</f>
        <v>formula-translates: Recipients.Name</v>
      </c>
      <c r="C765" s="3" t="s">
        <v>6104</v>
      </c>
      <c r="D765" s="3" t="s">
        <v>4414</v>
      </c>
      <c r="E765" s="3" t="s">
        <v>4412</v>
      </c>
      <c r="F765" s="3" t="s">
        <v>1</v>
      </c>
      <c r="G765" s="3" t="s">
        <v>6105</v>
      </c>
      <c r="H765" s="3"/>
      <c r="I765" s="3" t="s">
        <v>5986</v>
      </c>
      <c r="J765" s="3" t="s">
        <v>5999</v>
      </c>
      <c r="K765" s="4" t="b">
        <f>J765 = "blocking"</f>
        <v>1</v>
      </c>
      <c r="L765" s="3" t="s">
        <v>1448</v>
      </c>
      <c r="M765" s="3" t="s">
        <v>6106</v>
      </c>
      <c r="N765" s="5">
        <v>46223.1297337963</v>
      </c>
      <c r="O765" s="4" t="b">
        <f>L765 = "PASS"</f>
        <v>1</v>
      </c>
      <c r="P765" s="4" t="b">
        <f>L765 = "FAIL"</f>
        <v>0</v>
      </c>
      <c r="Q765" s="4" t="b">
        <f>AND(((P765)=TRUE), ((K765)=TRUE))</f>
        <v>0</v>
      </c>
      <c r="R765" s="4" t="str">
        <f>IF(((O765)=TRUE),  I765,  "")</f>
        <v>suite-substrate</v>
      </c>
      <c r="S765" s="4" t="str">
        <f>IF(((Q765)=TRUE),  I765,  "")</f>
      </c>
      <c r="T765" s="3" t="s">
        <v>6001</v>
      </c>
    </row>
    <row r="766">
      <c r="A766" s="3" t="s">
        <v>6801</v>
      </c>
      <c r="B766" s="4" t="str">
        <f>C766 &amp; ": " &amp; D766</f>
        <v>formula-translates: Recipients.HasSmsConsent</v>
      </c>
      <c r="C766" s="3" t="s">
        <v>6104</v>
      </c>
      <c r="D766" s="3" t="s">
        <v>4427</v>
      </c>
      <c r="E766" s="3" t="s">
        <v>4412</v>
      </c>
      <c r="F766" s="3" t="s">
        <v>4428</v>
      </c>
      <c r="G766" s="3" t="s">
        <v>6105</v>
      </c>
      <c r="H766" s="3"/>
      <c r="I766" s="3" t="s">
        <v>5986</v>
      </c>
      <c r="J766" s="3" t="s">
        <v>5999</v>
      </c>
      <c r="K766" s="4" t="b">
        <f>J766 = "blocking"</f>
        <v>1</v>
      </c>
      <c r="L766" s="3" t="s">
        <v>1448</v>
      </c>
      <c r="M766" s="3" t="s">
        <v>6106</v>
      </c>
      <c r="N766" s="5">
        <v>46223.1297337963</v>
      </c>
      <c r="O766" s="4" t="b">
        <f>L766 = "PASS"</f>
        <v>1</v>
      </c>
      <c r="P766" s="4" t="b">
        <f>L766 = "FAIL"</f>
        <v>0</v>
      </c>
      <c r="Q766" s="4" t="b">
        <f>AND(((P766)=TRUE), ((K766)=TRUE))</f>
        <v>0</v>
      </c>
      <c r="R766" s="4" t="str">
        <f>IF(((O766)=TRUE),  I766,  "")</f>
        <v>suite-substrate</v>
      </c>
      <c r="S766" s="4" t="str">
        <f>IF(((Q766)=TRUE),  I766,  "")</f>
      </c>
      <c r="T766" s="3" t="s">
        <v>6001</v>
      </c>
    </row>
    <row r="767">
      <c r="A767" s="3" t="s">
        <v>6802</v>
      </c>
      <c r="B767" s="4" t="str">
        <f>C767 &amp; ": " &amp; D767</f>
        <v>formula-translates: Recipients.IsEmailReachable</v>
      </c>
      <c r="C767" s="3" t="s">
        <v>6104</v>
      </c>
      <c r="D767" s="3" t="s">
        <v>4430</v>
      </c>
      <c r="E767" s="3" t="s">
        <v>4412</v>
      </c>
      <c r="F767" s="3" t="s">
        <v>4431</v>
      </c>
      <c r="G767" s="3" t="s">
        <v>6105</v>
      </c>
      <c r="H767" s="3"/>
      <c r="I767" s="3" t="s">
        <v>5986</v>
      </c>
      <c r="J767" s="3" t="s">
        <v>5999</v>
      </c>
      <c r="K767" s="4" t="b">
        <f>J767 = "blocking"</f>
        <v>1</v>
      </c>
      <c r="L767" s="3" t="s">
        <v>1448</v>
      </c>
      <c r="M767" s="3" t="s">
        <v>6106</v>
      </c>
      <c r="N767" s="5">
        <v>46223.1297337963</v>
      </c>
      <c r="O767" s="4" t="b">
        <f>L767 = "PASS"</f>
        <v>1</v>
      </c>
      <c r="P767" s="4" t="b">
        <f>L767 = "FAIL"</f>
        <v>0</v>
      </c>
      <c r="Q767" s="4" t="b">
        <f>AND(((P767)=TRUE), ((K767)=TRUE))</f>
        <v>0</v>
      </c>
      <c r="R767" s="4" t="str">
        <f>IF(((O767)=TRUE),  I767,  "")</f>
        <v>suite-substrate</v>
      </c>
      <c r="S767" s="4" t="str">
        <f>IF(((Q767)=TRUE),  I767,  "")</f>
      </c>
      <c r="T767" s="3" t="s">
        <v>6001</v>
      </c>
    </row>
    <row r="768">
      <c r="A768" s="3" t="s">
        <v>6803</v>
      </c>
      <c r="B768" s="4" t="str">
        <f>C768 &amp; ": " &amp; D768</f>
        <v>formula-translates: Recipients.IsSmsReachable</v>
      </c>
      <c r="C768" s="3" t="s">
        <v>6104</v>
      </c>
      <c r="D768" s="3" t="s">
        <v>4433</v>
      </c>
      <c r="E768" s="3" t="s">
        <v>4412</v>
      </c>
      <c r="F768" s="3" t="s">
        <v>4434</v>
      </c>
      <c r="G768" s="3" t="s">
        <v>6105</v>
      </c>
      <c r="H768" s="3"/>
      <c r="I768" s="3" t="s">
        <v>5986</v>
      </c>
      <c r="J768" s="3" t="s">
        <v>5999</v>
      </c>
      <c r="K768" s="4" t="b">
        <f>J768 = "blocking"</f>
        <v>1</v>
      </c>
      <c r="L768" s="3" t="s">
        <v>1448</v>
      </c>
      <c r="M768" s="3" t="s">
        <v>6106</v>
      </c>
      <c r="N768" s="5">
        <v>46223.1297337963</v>
      </c>
      <c r="O768" s="4" t="b">
        <f>L768 = "PASS"</f>
        <v>1</v>
      </c>
      <c r="P768" s="4" t="b">
        <f>L768 = "FAIL"</f>
        <v>0</v>
      </c>
      <c r="Q768" s="4" t="b">
        <f>AND(((P768)=TRUE), ((K768)=TRUE))</f>
        <v>0</v>
      </c>
      <c r="R768" s="4" t="str">
        <f>IF(((O768)=TRUE),  I768,  "")</f>
        <v>suite-substrate</v>
      </c>
      <c r="S768" s="4" t="str">
        <f>IF(((Q768)=TRUE),  I768,  "")</f>
      </c>
      <c r="T768" s="3" t="s">
        <v>6001</v>
      </c>
    </row>
    <row r="769">
      <c r="A769" s="3" t="s">
        <v>6804</v>
      </c>
      <c r="B769" s="4" t="str">
        <f>C769 &amp; ": " &amp; D769</f>
        <v>formula-translates: Recipients.IsUnreachable</v>
      </c>
      <c r="C769" s="3" t="s">
        <v>6104</v>
      </c>
      <c r="D769" s="3" t="s">
        <v>4436</v>
      </c>
      <c r="E769" s="3" t="s">
        <v>4412</v>
      </c>
      <c r="F769" s="3" t="s">
        <v>4437</v>
      </c>
      <c r="G769" s="3" t="s">
        <v>6105</v>
      </c>
      <c r="H769" s="3"/>
      <c r="I769" s="3" t="s">
        <v>5986</v>
      </c>
      <c r="J769" s="3" t="s">
        <v>5999</v>
      </c>
      <c r="K769" s="4" t="b">
        <f>J769 = "blocking"</f>
        <v>1</v>
      </c>
      <c r="L769" s="3" t="s">
        <v>1448</v>
      </c>
      <c r="M769" s="3" t="s">
        <v>6106</v>
      </c>
      <c r="N769" s="5">
        <v>46223.1297337963</v>
      </c>
      <c r="O769" s="4" t="b">
        <f>L769 = "PASS"</f>
        <v>1</v>
      </c>
      <c r="P769" s="4" t="b">
        <f>L769 = "FAIL"</f>
        <v>0</v>
      </c>
      <c r="Q769" s="4" t="b">
        <f>AND(((P769)=TRUE), ((K769)=TRUE))</f>
        <v>0</v>
      </c>
      <c r="R769" s="4" t="str">
        <f>IF(((O769)=TRUE),  I769,  "")</f>
        <v>suite-substrate</v>
      </c>
      <c r="S769" s="4" t="str">
        <f>IF(((Q769)=TRUE),  I769,  "")</f>
      </c>
      <c r="T769" s="3" t="s">
        <v>6001</v>
      </c>
    </row>
    <row r="770">
      <c r="A770" s="3" t="s">
        <v>6805</v>
      </c>
      <c r="B770" s="4" t="str">
        <f>C770 &amp; ": " &amp; D770</f>
        <v>formula-translates: Recipients.IsCommunicationallyStranded</v>
      </c>
      <c r="C770" s="3" t="s">
        <v>6104</v>
      </c>
      <c r="D770" s="3" t="s">
        <v>4439</v>
      </c>
      <c r="E770" s="3" t="s">
        <v>4412</v>
      </c>
      <c r="F770" s="3" t="s">
        <v>4440</v>
      </c>
      <c r="G770" s="3" t="s">
        <v>6105</v>
      </c>
      <c r="H770" s="3" t="s">
        <v>2335</v>
      </c>
      <c r="I770" s="3" t="s">
        <v>5986</v>
      </c>
      <c r="J770" s="3" t="s">
        <v>5999</v>
      </c>
      <c r="K770" s="4" t="b">
        <f>J770 = "blocking"</f>
        <v>1</v>
      </c>
      <c r="L770" s="3" t="s">
        <v>1448</v>
      </c>
      <c r="M770" s="3" t="s">
        <v>6106</v>
      </c>
      <c r="N770" s="5">
        <v>46223.1297337963</v>
      </c>
      <c r="O770" s="4" t="b">
        <f>L770 = "PASS"</f>
        <v>1</v>
      </c>
      <c r="P770" s="4" t="b">
        <f>L770 = "FAIL"</f>
        <v>0</v>
      </c>
      <c r="Q770" s="4" t="b">
        <f>AND(((P770)=TRUE), ((K770)=TRUE))</f>
        <v>0</v>
      </c>
      <c r="R770" s="4" t="str">
        <f>IF(((O770)=TRUE),  I770,  "")</f>
        <v>suite-substrate</v>
      </c>
      <c r="S770" s="4" t="str">
        <f>IF(((Q770)=TRUE),  I770,  "")</f>
      </c>
      <c r="T770" s="3" t="s">
        <v>6001</v>
      </c>
    </row>
    <row r="771">
      <c r="A771" s="3" t="s">
        <v>6806</v>
      </c>
      <c r="B771" s="4" t="str">
        <f>C771 &amp; ": " &amp; D771</f>
        <v>formula-translates: MessageDeliveries.Name</v>
      </c>
      <c r="C771" s="3" t="s">
        <v>6104</v>
      </c>
      <c r="D771" s="3" t="s">
        <v>4446</v>
      </c>
      <c r="E771" s="3" t="s">
        <v>4444</v>
      </c>
      <c r="F771" s="3" t="s">
        <v>1</v>
      </c>
      <c r="G771" s="3" t="s">
        <v>6105</v>
      </c>
      <c r="H771" s="3"/>
      <c r="I771" s="3" t="s">
        <v>5986</v>
      </c>
      <c r="J771" s="3" t="s">
        <v>5999</v>
      </c>
      <c r="K771" s="4" t="b">
        <f>J771 = "blocking"</f>
        <v>1</v>
      </c>
      <c r="L771" s="3" t="s">
        <v>1448</v>
      </c>
      <c r="M771" s="3" t="s">
        <v>6106</v>
      </c>
      <c r="N771" s="5">
        <v>46223.1297337963</v>
      </c>
      <c r="O771" s="4" t="b">
        <f>L771 = "PASS"</f>
        <v>1</v>
      </c>
      <c r="P771" s="4" t="b">
        <f>L771 = "FAIL"</f>
        <v>0</v>
      </c>
      <c r="Q771" s="4" t="b">
        <f>AND(((P771)=TRUE), ((K771)=TRUE))</f>
        <v>0</v>
      </c>
      <c r="R771" s="4" t="str">
        <f>IF(((O771)=TRUE),  I771,  "")</f>
        <v>suite-substrate</v>
      </c>
      <c r="S771" s="4" t="str">
        <f>IF(((Q771)=TRUE),  I771,  "")</f>
      </c>
      <c r="T771" s="3" t="s">
        <v>6001</v>
      </c>
    </row>
    <row r="772">
      <c r="A772" s="3" t="s">
        <v>6807</v>
      </c>
      <c r="B772" s="4" t="str">
        <f>C772 &amp; ": " &amp; D772</f>
        <v>formula-translates: MessageDeliveries.PolicyChannel</v>
      </c>
      <c r="C772" s="3" t="s">
        <v>6104</v>
      </c>
      <c r="D772" s="3" t="s">
        <v>4470</v>
      </c>
      <c r="E772" s="3" t="s">
        <v>4444</v>
      </c>
      <c r="F772" s="3" t="s">
        <v>4471</v>
      </c>
      <c r="G772" s="3" t="s">
        <v>6105</v>
      </c>
      <c r="H772" s="3" t="s">
        <v>2059</v>
      </c>
      <c r="I772" s="3" t="s">
        <v>5986</v>
      </c>
      <c r="J772" s="3" t="s">
        <v>5999</v>
      </c>
      <c r="K772" s="4" t="b">
        <f>J772 = "blocking"</f>
        <v>1</v>
      </c>
      <c r="L772" s="3" t="s">
        <v>1448</v>
      </c>
      <c r="M772" s="3" t="s">
        <v>6106</v>
      </c>
      <c r="N772" s="5">
        <v>46223.1297337963</v>
      </c>
      <c r="O772" s="4" t="b">
        <f>L772 = "PASS"</f>
        <v>1</v>
      </c>
      <c r="P772" s="4" t="b">
        <f>L772 = "FAIL"</f>
        <v>0</v>
      </c>
      <c r="Q772" s="4" t="b">
        <f>AND(((P772)=TRUE), ((K772)=TRUE))</f>
        <v>0</v>
      </c>
      <c r="R772" s="4" t="str">
        <f>IF(((O772)=TRUE),  I772,  "")</f>
        <v>suite-substrate</v>
      </c>
      <c r="S772" s="4" t="str">
        <f>IF(((Q772)=TRUE),  I772,  "")</f>
      </c>
      <c r="T772" s="3" t="s">
        <v>6001</v>
      </c>
    </row>
    <row r="773">
      <c r="A773" s="3" t="s">
        <v>6808</v>
      </c>
      <c r="B773" s="4" t="str">
        <f>C773 &amp; ": " &amp; D773</f>
        <v>formula-translates: MessageDeliveries.ChannelName</v>
      </c>
      <c r="C773" s="3" t="s">
        <v>6104</v>
      </c>
      <c r="D773" s="3" t="s">
        <v>4473</v>
      </c>
      <c r="E773" s="3" t="s">
        <v>4444</v>
      </c>
      <c r="F773" s="3" t="s">
        <v>4474</v>
      </c>
      <c r="G773" s="3" t="s">
        <v>6105</v>
      </c>
      <c r="H773" s="3" t="s">
        <v>2059</v>
      </c>
      <c r="I773" s="3" t="s">
        <v>5986</v>
      </c>
      <c r="J773" s="3" t="s">
        <v>5999</v>
      </c>
      <c r="K773" s="4" t="b">
        <f>J773 = "blocking"</f>
        <v>1</v>
      </c>
      <c r="L773" s="3" t="s">
        <v>1448</v>
      </c>
      <c r="M773" s="3" t="s">
        <v>6106</v>
      </c>
      <c r="N773" s="5">
        <v>46223.1297337963</v>
      </c>
      <c r="O773" s="4" t="b">
        <f>L773 = "PASS"</f>
        <v>1</v>
      </c>
      <c r="P773" s="4" t="b">
        <f>L773 = "FAIL"</f>
        <v>0</v>
      </c>
      <c r="Q773" s="4" t="b">
        <f>AND(((P773)=TRUE), ((K773)=TRUE))</f>
        <v>0</v>
      </c>
      <c r="R773" s="4" t="str">
        <f>IF(((O773)=TRUE),  I773,  "")</f>
        <v>suite-substrate</v>
      </c>
      <c r="S773" s="4" t="str">
        <f>IF(((Q773)=TRUE),  I773,  "")</f>
      </c>
      <c r="T773" s="3" t="s">
        <v>6001</v>
      </c>
    </row>
    <row r="774">
      <c r="A774" s="3" t="s">
        <v>6809</v>
      </c>
      <c r="B774" s="4" t="str">
        <f>C774 &amp; ": " &amp; D774</f>
        <v>formula-translates: MessageDeliveries.PolicyRequiresConsent</v>
      </c>
      <c r="C774" s="3" t="s">
        <v>6104</v>
      </c>
      <c r="D774" s="3" t="s">
        <v>4476</v>
      </c>
      <c r="E774" s="3" t="s">
        <v>4444</v>
      </c>
      <c r="F774" s="3" t="s">
        <v>4477</v>
      </c>
      <c r="G774" s="3" t="s">
        <v>6105</v>
      </c>
      <c r="H774" s="3" t="s">
        <v>2059</v>
      </c>
      <c r="I774" s="3" t="s">
        <v>5986</v>
      </c>
      <c r="J774" s="3" t="s">
        <v>5999</v>
      </c>
      <c r="K774" s="4" t="b">
        <f>J774 = "blocking"</f>
        <v>1</v>
      </c>
      <c r="L774" s="3" t="s">
        <v>1448</v>
      </c>
      <c r="M774" s="3" t="s">
        <v>6106</v>
      </c>
      <c r="N774" s="5">
        <v>46223.1297337963</v>
      </c>
      <c r="O774" s="4" t="b">
        <f>L774 = "PASS"</f>
        <v>1</v>
      </c>
      <c r="P774" s="4" t="b">
        <f>L774 = "FAIL"</f>
        <v>0</v>
      </c>
      <c r="Q774" s="4" t="b">
        <f>AND(((P774)=TRUE), ((K774)=TRUE))</f>
        <v>0</v>
      </c>
      <c r="R774" s="4" t="str">
        <f>IF(((O774)=TRUE),  I774,  "")</f>
        <v>suite-substrate</v>
      </c>
      <c r="S774" s="4" t="str">
        <f>IF(((Q774)=TRUE),  I774,  "")</f>
      </c>
      <c r="T774" s="3" t="s">
        <v>6001</v>
      </c>
    </row>
    <row r="775">
      <c r="A775" s="3" t="s">
        <v>6810</v>
      </c>
      <c r="B775" s="4" t="str">
        <f>C775 &amp; ": " &amp; D775</f>
        <v>formula-translates: MessageDeliveries.RecipientHasSmsConsent</v>
      </c>
      <c r="C775" s="3" t="s">
        <v>6104</v>
      </c>
      <c r="D775" s="3" t="s">
        <v>4479</v>
      </c>
      <c r="E775" s="3" t="s">
        <v>4444</v>
      </c>
      <c r="F775" s="3" t="s">
        <v>4480</v>
      </c>
      <c r="G775" s="3" t="s">
        <v>6105</v>
      </c>
      <c r="H775" s="3" t="s">
        <v>2059</v>
      </c>
      <c r="I775" s="3" t="s">
        <v>5986</v>
      </c>
      <c r="J775" s="3" t="s">
        <v>5999</v>
      </c>
      <c r="K775" s="4" t="b">
        <f>J775 = "blocking"</f>
        <v>1</v>
      </c>
      <c r="L775" s="3" t="s">
        <v>1448</v>
      </c>
      <c r="M775" s="3" t="s">
        <v>6106</v>
      </c>
      <c r="N775" s="5">
        <v>46223.1297337963</v>
      </c>
      <c r="O775" s="4" t="b">
        <f>L775 = "PASS"</f>
        <v>1</v>
      </c>
      <c r="P775" s="4" t="b">
        <f>L775 = "FAIL"</f>
        <v>0</v>
      </c>
      <c r="Q775" s="4" t="b">
        <f>AND(((P775)=TRUE), ((K775)=TRUE))</f>
        <v>0</v>
      </c>
      <c r="R775" s="4" t="str">
        <f>IF(((O775)=TRUE),  I775,  "")</f>
        <v>suite-substrate</v>
      </c>
      <c r="S775" s="4" t="str">
        <f>IF(((Q775)=TRUE),  I775,  "")</f>
      </c>
      <c r="T775" s="3" t="s">
        <v>6001</v>
      </c>
    </row>
    <row r="776">
      <c r="A776" s="3" t="s">
        <v>6811</v>
      </c>
      <c r="B776" s="4" t="str">
        <f>C776 &amp; ": " &amp; D776</f>
        <v>formula-translates: MessageDeliveries.WasActuallyTransmitted</v>
      </c>
      <c r="C776" s="3" t="s">
        <v>6104</v>
      </c>
      <c r="D776" s="3" t="s">
        <v>4482</v>
      </c>
      <c r="E776" s="3" t="s">
        <v>4444</v>
      </c>
      <c r="F776" s="3" t="s">
        <v>4483</v>
      </c>
      <c r="G776" s="3" t="s">
        <v>6105</v>
      </c>
      <c r="H776" s="3" t="s">
        <v>2059</v>
      </c>
      <c r="I776" s="3" t="s">
        <v>5986</v>
      </c>
      <c r="J776" s="3" t="s">
        <v>5999</v>
      </c>
      <c r="K776" s="4" t="b">
        <f>J776 = "blocking"</f>
        <v>1</v>
      </c>
      <c r="L776" s="3" t="s">
        <v>1448</v>
      </c>
      <c r="M776" s="3" t="s">
        <v>6106</v>
      </c>
      <c r="N776" s="5">
        <v>46223.1297337963</v>
      </c>
      <c r="O776" s="4" t="b">
        <f>L776 = "PASS"</f>
        <v>1</v>
      </c>
      <c r="P776" s="4" t="b">
        <f>L776 = "FAIL"</f>
        <v>0</v>
      </c>
      <c r="Q776" s="4" t="b">
        <f>AND(((P776)=TRUE), ((K776)=TRUE))</f>
        <v>0</v>
      </c>
      <c r="R776" s="4" t="str">
        <f>IF(((O776)=TRUE),  I776,  "")</f>
        <v>suite-substrate</v>
      </c>
      <c r="S776" s="4" t="str">
        <f>IF(((Q776)=TRUE),  I776,  "")</f>
      </c>
      <c r="T776" s="3" t="s">
        <v>6001</v>
      </c>
    </row>
    <row r="777">
      <c r="A777" s="3" t="s">
        <v>6812</v>
      </c>
      <c r="B777" s="4" t="str">
        <f>C777 &amp; ": " &amp; D777</f>
        <v>formula-translates: MessageDeliveries.IsConsentViolation</v>
      </c>
      <c r="C777" s="3" t="s">
        <v>6104</v>
      </c>
      <c r="D777" s="3" t="s">
        <v>4485</v>
      </c>
      <c r="E777" s="3" t="s">
        <v>4444</v>
      </c>
      <c r="F777" s="3" t="s">
        <v>4486</v>
      </c>
      <c r="G777" s="3" t="s">
        <v>6105</v>
      </c>
      <c r="H777" s="3" t="s">
        <v>2059</v>
      </c>
      <c r="I777" s="3" t="s">
        <v>5986</v>
      </c>
      <c r="J777" s="3" t="s">
        <v>5999</v>
      </c>
      <c r="K777" s="4" t="b">
        <f>J777 = "blocking"</f>
        <v>1</v>
      </c>
      <c r="L777" s="3" t="s">
        <v>1448</v>
      </c>
      <c r="M777" s="3" t="s">
        <v>6106</v>
      </c>
      <c r="N777" s="5">
        <v>46223.1297337963</v>
      </c>
      <c r="O777" s="4" t="b">
        <f>L777 = "PASS"</f>
        <v>1</v>
      </c>
      <c r="P777" s="4" t="b">
        <f>L777 = "FAIL"</f>
        <v>0</v>
      </c>
      <c r="Q777" s="4" t="b">
        <f>AND(((P777)=TRUE), ((K777)=TRUE))</f>
        <v>0</v>
      </c>
      <c r="R777" s="4" t="str">
        <f>IF(((O777)=TRUE),  I777,  "")</f>
        <v>suite-substrate</v>
      </c>
      <c r="S777" s="4" t="str">
        <f>IF(((Q777)=TRUE),  I777,  "")</f>
      </c>
      <c r="T777" s="3" t="s">
        <v>6001</v>
      </c>
    </row>
    <row r="778">
      <c r="A778" s="3" t="s">
        <v>6813</v>
      </c>
      <c r="B778" s="4" t="str">
        <f>C778 &amp; ": " &amp; D778</f>
        <v>formula-translates: MessageDeliveries.ConsentViolationPolicyKey</v>
      </c>
      <c r="C778" s="3" t="s">
        <v>6104</v>
      </c>
      <c r="D778" s="3" t="s">
        <v>4488</v>
      </c>
      <c r="E778" s="3" t="s">
        <v>4444</v>
      </c>
      <c r="F778" s="3" t="s">
        <v>4489</v>
      </c>
      <c r="G778" s="3" t="s">
        <v>6105</v>
      </c>
      <c r="H778" s="3" t="s">
        <v>2059</v>
      </c>
      <c r="I778" s="3" t="s">
        <v>5986</v>
      </c>
      <c r="J778" s="3" t="s">
        <v>5999</v>
      </c>
      <c r="K778" s="4" t="b">
        <f>J778 = "blocking"</f>
        <v>1</v>
      </c>
      <c r="L778" s="3" t="s">
        <v>1448</v>
      </c>
      <c r="M778" s="3" t="s">
        <v>6106</v>
      </c>
      <c r="N778" s="5">
        <v>46223.1297337963</v>
      </c>
      <c r="O778" s="4" t="b">
        <f>L778 = "PASS"</f>
        <v>1</v>
      </c>
      <c r="P778" s="4" t="b">
        <f>L778 = "FAIL"</f>
        <v>0</v>
      </c>
      <c r="Q778" s="4" t="b">
        <f>AND(((P778)=TRUE), ((K778)=TRUE))</f>
        <v>0</v>
      </c>
      <c r="R778" s="4" t="str">
        <f>IF(((O778)=TRUE),  I778,  "")</f>
        <v>suite-substrate</v>
      </c>
      <c r="S778" s="4" t="str">
        <f>IF(((Q778)=TRUE),  I778,  "")</f>
      </c>
      <c r="T778" s="3" t="s">
        <v>6001</v>
      </c>
    </row>
    <row r="779">
      <c r="A779" s="3" t="s">
        <v>6814</v>
      </c>
      <c r="B779" s="4" t="str">
        <f>C779 &amp; ": " &amp; D779</f>
        <v>formula-translates: MessageDeliveries.PolicyQuietHoursStartHour</v>
      </c>
      <c r="C779" s="3" t="s">
        <v>6104</v>
      </c>
      <c r="D779" s="3" t="s">
        <v>4491</v>
      </c>
      <c r="E779" s="3" t="s">
        <v>4444</v>
      </c>
      <c r="F779" s="3" t="s">
        <v>4492</v>
      </c>
      <c r="G779" s="3" t="s">
        <v>6105</v>
      </c>
      <c r="H779" s="3" t="s">
        <v>2063</v>
      </c>
      <c r="I779" s="3" t="s">
        <v>5986</v>
      </c>
      <c r="J779" s="3" t="s">
        <v>5999</v>
      </c>
      <c r="K779" s="4" t="b">
        <f>J779 = "blocking"</f>
        <v>1</v>
      </c>
      <c r="L779" s="3" t="s">
        <v>1448</v>
      </c>
      <c r="M779" s="3" t="s">
        <v>6106</v>
      </c>
      <c r="N779" s="5">
        <v>46223.1297337963</v>
      </c>
      <c r="O779" s="4" t="b">
        <f>L779 = "PASS"</f>
        <v>1</v>
      </c>
      <c r="P779" s="4" t="b">
        <f>L779 = "FAIL"</f>
        <v>0</v>
      </c>
      <c r="Q779" s="4" t="b">
        <f>AND(((P779)=TRUE), ((K779)=TRUE))</f>
        <v>0</v>
      </c>
      <c r="R779" s="4" t="str">
        <f>IF(((O779)=TRUE),  I779,  "")</f>
        <v>suite-substrate</v>
      </c>
      <c r="S779" s="4" t="str">
        <f>IF(((Q779)=TRUE),  I779,  "")</f>
      </c>
      <c r="T779" s="3" t="s">
        <v>6001</v>
      </c>
    </row>
    <row r="780">
      <c r="A780" s="3" t="s">
        <v>6815</v>
      </c>
      <c r="B780" s="4" t="str">
        <f>C780 &amp; ": " &amp; D780</f>
        <v>formula-translates: MessageDeliveries.PolicyQuietHoursEndHour</v>
      </c>
      <c r="C780" s="3" t="s">
        <v>6104</v>
      </c>
      <c r="D780" s="3" t="s">
        <v>4494</v>
      </c>
      <c r="E780" s="3" t="s">
        <v>4444</v>
      </c>
      <c r="F780" s="3" t="s">
        <v>4495</v>
      </c>
      <c r="G780" s="3" t="s">
        <v>6105</v>
      </c>
      <c r="H780" s="3" t="s">
        <v>2063</v>
      </c>
      <c r="I780" s="3" t="s">
        <v>5986</v>
      </c>
      <c r="J780" s="3" t="s">
        <v>5999</v>
      </c>
      <c r="K780" s="4" t="b">
        <f>J780 = "blocking"</f>
        <v>1</v>
      </c>
      <c r="L780" s="3" t="s">
        <v>1448</v>
      </c>
      <c r="M780" s="3" t="s">
        <v>6106</v>
      </c>
      <c r="N780" s="5">
        <v>46223.1297337963</v>
      </c>
      <c r="O780" s="4" t="b">
        <f>L780 = "PASS"</f>
        <v>1</v>
      </c>
      <c r="P780" s="4" t="b">
        <f>L780 = "FAIL"</f>
        <v>0</v>
      </c>
      <c r="Q780" s="4" t="b">
        <f>AND(((P780)=TRUE), ((K780)=TRUE))</f>
        <v>0</v>
      </c>
      <c r="R780" s="4" t="str">
        <f>IF(((O780)=TRUE),  I780,  "")</f>
        <v>suite-substrate</v>
      </c>
      <c r="S780" s="4" t="str">
        <f>IF(((Q780)=TRUE),  I780,  "")</f>
      </c>
      <c r="T780" s="3" t="s">
        <v>6001</v>
      </c>
    </row>
    <row r="781">
      <c r="A781" s="3" t="s">
        <v>6816</v>
      </c>
      <c r="B781" s="4" t="str">
        <f>C781 &amp; ": " &amp; D781</f>
        <v>formula-translates: MessageDeliveries.PolicyHasQuietHours</v>
      </c>
      <c r="C781" s="3" t="s">
        <v>6104</v>
      </c>
      <c r="D781" s="3" t="s">
        <v>4497</v>
      </c>
      <c r="E781" s="3" t="s">
        <v>4444</v>
      </c>
      <c r="F781" s="3" t="s">
        <v>4498</v>
      </c>
      <c r="G781" s="3" t="s">
        <v>6105</v>
      </c>
      <c r="H781" s="3" t="s">
        <v>2063</v>
      </c>
      <c r="I781" s="3" t="s">
        <v>5986</v>
      </c>
      <c r="J781" s="3" t="s">
        <v>5999</v>
      </c>
      <c r="K781" s="4" t="b">
        <f>J781 = "blocking"</f>
        <v>1</v>
      </c>
      <c r="L781" s="3" t="s">
        <v>1448</v>
      </c>
      <c r="M781" s="3" t="s">
        <v>6106</v>
      </c>
      <c r="N781" s="5">
        <v>46223.1297337963</v>
      </c>
      <c r="O781" s="4" t="b">
        <f>L781 = "PASS"</f>
        <v>1</v>
      </c>
      <c r="P781" s="4" t="b">
        <f>L781 = "FAIL"</f>
        <v>0</v>
      </c>
      <c r="Q781" s="4" t="b">
        <f>AND(((P781)=TRUE), ((K781)=TRUE))</f>
        <v>0</v>
      </c>
      <c r="R781" s="4" t="str">
        <f>IF(((O781)=TRUE),  I781,  "")</f>
        <v>suite-substrate</v>
      </c>
      <c r="S781" s="4" t="str">
        <f>IF(((Q781)=TRUE),  I781,  "")</f>
      </c>
      <c r="T781" s="3" t="s">
        <v>6001</v>
      </c>
    </row>
    <row r="782">
      <c r="A782" s="3" t="s">
        <v>6817</v>
      </c>
      <c r="B782" s="4" t="str">
        <f>C782 &amp; ": " &amp; D782</f>
        <v>formula-translates: MessageDeliveries.QuietWindowWrapsMidnight</v>
      </c>
      <c r="C782" s="3" t="s">
        <v>6104</v>
      </c>
      <c r="D782" s="3" t="s">
        <v>4500</v>
      </c>
      <c r="E782" s="3" t="s">
        <v>4444</v>
      </c>
      <c r="F782" s="3" t="s">
        <v>4501</v>
      </c>
      <c r="G782" s="3" t="s">
        <v>6105</v>
      </c>
      <c r="H782" s="3" t="s">
        <v>2063</v>
      </c>
      <c r="I782" s="3" t="s">
        <v>5986</v>
      </c>
      <c r="J782" s="3" t="s">
        <v>5999</v>
      </c>
      <c r="K782" s="4" t="b">
        <f>J782 = "blocking"</f>
        <v>1</v>
      </c>
      <c r="L782" s="3" t="s">
        <v>1448</v>
      </c>
      <c r="M782" s="3" t="s">
        <v>6106</v>
      </c>
      <c r="N782" s="5">
        <v>46223.1297337963</v>
      </c>
      <c r="O782" s="4" t="b">
        <f>L782 = "PASS"</f>
        <v>1</v>
      </c>
      <c r="P782" s="4" t="b">
        <f>L782 = "FAIL"</f>
        <v>0</v>
      </c>
      <c r="Q782" s="4" t="b">
        <f>AND(((P782)=TRUE), ((K782)=TRUE))</f>
        <v>0</v>
      </c>
      <c r="R782" s="4" t="str">
        <f>IF(((O782)=TRUE),  I782,  "")</f>
        <v>suite-substrate</v>
      </c>
      <c r="S782" s="4" t="str">
        <f>IF(((Q782)=TRUE),  I782,  "")</f>
      </c>
      <c r="T782" s="3" t="s">
        <v>6001</v>
      </c>
    </row>
    <row r="783">
      <c r="A783" s="3" t="s">
        <v>6818</v>
      </c>
      <c r="B783" s="4" t="str">
        <f>C783 &amp; ": " &amp; D783</f>
        <v>formula-translates: MessageDeliveries.IsInsideQuietWindow</v>
      </c>
      <c r="C783" s="3" t="s">
        <v>6104</v>
      </c>
      <c r="D783" s="3" t="s">
        <v>4503</v>
      </c>
      <c r="E783" s="3" t="s">
        <v>4444</v>
      </c>
      <c r="F783" s="3" t="s">
        <v>4504</v>
      </c>
      <c r="G783" s="3" t="s">
        <v>6105</v>
      </c>
      <c r="H783" s="3" t="s">
        <v>2063</v>
      </c>
      <c r="I783" s="3" t="s">
        <v>5986</v>
      </c>
      <c r="J783" s="3" t="s">
        <v>5999</v>
      </c>
      <c r="K783" s="4" t="b">
        <f>J783 = "blocking"</f>
        <v>1</v>
      </c>
      <c r="L783" s="3" t="s">
        <v>1448</v>
      </c>
      <c r="M783" s="3" t="s">
        <v>6106</v>
      </c>
      <c r="N783" s="5">
        <v>46223.1297337963</v>
      </c>
      <c r="O783" s="4" t="b">
        <f>L783 = "PASS"</f>
        <v>1</v>
      </c>
      <c r="P783" s="4" t="b">
        <f>L783 = "FAIL"</f>
        <v>0</v>
      </c>
      <c r="Q783" s="4" t="b">
        <f>AND(((P783)=TRUE), ((K783)=TRUE))</f>
        <v>0</v>
      </c>
      <c r="R783" s="4" t="str">
        <f>IF(((O783)=TRUE),  I783,  "")</f>
        <v>suite-substrate</v>
      </c>
      <c r="S783" s="4" t="str">
        <f>IF(((Q783)=TRUE),  I783,  "")</f>
      </c>
      <c r="T783" s="3" t="s">
        <v>6001</v>
      </c>
    </row>
    <row r="784">
      <c r="A784" s="3" t="s">
        <v>6819</v>
      </c>
      <c r="B784" s="4" t="str">
        <f>C784 &amp; ": " &amp; D784</f>
        <v>formula-translates: MessageDeliveries.IsQuietHoursViolation</v>
      </c>
      <c r="C784" s="3" t="s">
        <v>6104</v>
      </c>
      <c r="D784" s="3" t="s">
        <v>4506</v>
      </c>
      <c r="E784" s="3" t="s">
        <v>4444</v>
      </c>
      <c r="F784" s="3" t="s">
        <v>4507</v>
      </c>
      <c r="G784" s="3" t="s">
        <v>6105</v>
      </c>
      <c r="H784" s="3" t="s">
        <v>2063</v>
      </c>
      <c r="I784" s="3" t="s">
        <v>5986</v>
      </c>
      <c r="J784" s="3" t="s">
        <v>5999</v>
      </c>
      <c r="K784" s="4" t="b">
        <f>J784 = "blocking"</f>
        <v>1</v>
      </c>
      <c r="L784" s="3" t="s">
        <v>1448</v>
      </c>
      <c r="M784" s="3" t="s">
        <v>6106</v>
      </c>
      <c r="N784" s="5">
        <v>46223.1297337963</v>
      </c>
      <c r="O784" s="4" t="b">
        <f>L784 = "PASS"</f>
        <v>1</v>
      </c>
      <c r="P784" s="4" t="b">
        <f>L784 = "FAIL"</f>
        <v>0</v>
      </c>
      <c r="Q784" s="4" t="b">
        <f>AND(((P784)=TRUE), ((K784)=TRUE))</f>
        <v>0</v>
      </c>
      <c r="R784" s="4" t="str">
        <f>IF(((O784)=TRUE),  I784,  "")</f>
        <v>suite-substrate</v>
      </c>
      <c r="S784" s="4" t="str">
        <f>IF(((Q784)=TRUE),  I784,  "")</f>
      </c>
      <c r="T784" s="3" t="s">
        <v>6001</v>
      </c>
    </row>
    <row r="785">
      <c r="A785" s="3" t="s">
        <v>6820</v>
      </c>
      <c r="B785" s="4" t="str">
        <f>C785 &amp; ": " &amp; D785</f>
        <v>formula-translates: MessageDeliveries.QuietHoursViolationPolicyKey</v>
      </c>
      <c r="C785" s="3" t="s">
        <v>6104</v>
      </c>
      <c r="D785" s="3" t="s">
        <v>4509</v>
      </c>
      <c r="E785" s="3" t="s">
        <v>4444</v>
      </c>
      <c r="F785" s="3" t="s">
        <v>4510</v>
      </c>
      <c r="G785" s="3" t="s">
        <v>6105</v>
      </c>
      <c r="H785" s="3" t="s">
        <v>2063</v>
      </c>
      <c r="I785" s="3" t="s">
        <v>5986</v>
      </c>
      <c r="J785" s="3" t="s">
        <v>5999</v>
      </c>
      <c r="K785" s="4" t="b">
        <f>J785 = "blocking"</f>
        <v>1</v>
      </c>
      <c r="L785" s="3" t="s">
        <v>1448</v>
      </c>
      <c r="M785" s="3" t="s">
        <v>6106</v>
      </c>
      <c r="N785" s="5">
        <v>46223.1297337963</v>
      </c>
      <c r="O785" s="4" t="b">
        <f>L785 = "PASS"</f>
        <v>1</v>
      </c>
      <c r="P785" s="4" t="b">
        <f>L785 = "FAIL"</f>
        <v>0</v>
      </c>
      <c r="Q785" s="4" t="b">
        <f>AND(((P785)=TRUE), ((K785)=TRUE))</f>
        <v>0</v>
      </c>
      <c r="R785" s="4" t="str">
        <f>IF(((O785)=TRUE),  I785,  "")</f>
        <v>suite-substrate</v>
      </c>
      <c r="S785" s="4" t="str">
        <f>IF(((Q785)=TRUE),  I785,  "")</f>
      </c>
      <c r="T785" s="3" t="s">
        <v>6001</v>
      </c>
    </row>
    <row r="786">
      <c r="A786" s="3" t="s">
        <v>6821</v>
      </c>
      <c r="B786" s="4" t="str">
        <f>C786 &amp; ": " &amp; D786</f>
        <v>formula-translates: MessageDeliveries.RecipientIsUnreachable</v>
      </c>
      <c r="C786" s="3" t="s">
        <v>6104</v>
      </c>
      <c r="D786" s="3" t="s">
        <v>4512</v>
      </c>
      <c r="E786" s="3" t="s">
        <v>4444</v>
      </c>
      <c r="F786" s="3" t="s">
        <v>4513</v>
      </c>
      <c r="G786" s="3" t="s">
        <v>6105</v>
      </c>
      <c r="H786" s="3" t="s">
        <v>2067</v>
      </c>
      <c r="I786" s="3" t="s">
        <v>5986</v>
      </c>
      <c r="J786" s="3" t="s">
        <v>5999</v>
      </c>
      <c r="K786" s="4" t="b">
        <f>J786 = "blocking"</f>
        <v>1</v>
      </c>
      <c r="L786" s="3" t="s">
        <v>1448</v>
      </c>
      <c r="M786" s="3" t="s">
        <v>6106</v>
      </c>
      <c r="N786" s="5">
        <v>46223.1297337963</v>
      </c>
      <c r="O786" s="4" t="b">
        <f>L786 = "PASS"</f>
        <v>1</v>
      </c>
      <c r="P786" s="4" t="b">
        <f>L786 = "FAIL"</f>
        <v>0</v>
      </c>
      <c r="Q786" s="4" t="b">
        <f>AND(((P786)=TRUE), ((K786)=TRUE))</f>
        <v>0</v>
      </c>
      <c r="R786" s="4" t="str">
        <f>IF(((O786)=TRUE),  I786,  "")</f>
        <v>suite-substrate</v>
      </c>
      <c r="S786" s="4" t="str">
        <f>IF(((Q786)=TRUE),  I786,  "")</f>
      </c>
      <c r="T786" s="3" t="s">
        <v>6001</v>
      </c>
    </row>
    <row r="787">
      <c r="A787" s="3" t="s">
        <v>6822</v>
      </c>
      <c r="B787" s="4" t="str">
        <f>C787 &amp; ": " &amp; D787</f>
        <v>formula-translates: MessageDeliveries.IsAcknowledged</v>
      </c>
      <c r="C787" s="3" t="s">
        <v>6104</v>
      </c>
      <c r="D787" s="3" t="s">
        <v>4515</v>
      </c>
      <c r="E787" s="3" t="s">
        <v>4444</v>
      </c>
      <c r="F787" s="3" t="s">
        <v>4516</v>
      </c>
      <c r="G787" s="3" t="s">
        <v>6105</v>
      </c>
      <c r="H787" s="3" t="s">
        <v>2067</v>
      </c>
      <c r="I787" s="3" t="s">
        <v>5986</v>
      </c>
      <c r="J787" s="3" t="s">
        <v>5999</v>
      </c>
      <c r="K787" s="4" t="b">
        <f>J787 = "blocking"</f>
        <v>1</v>
      </c>
      <c r="L787" s="3" t="s">
        <v>1448</v>
      </c>
      <c r="M787" s="3" t="s">
        <v>6106</v>
      </c>
      <c r="N787" s="5">
        <v>46223.1297337963</v>
      </c>
      <c r="O787" s="4" t="b">
        <f>L787 = "PASS"</f>
        <v>1</v>
      </c>
      <c r="P787" s="4" t="b">
        <f>L787 = "FAIL"</f>
        <v>0</v>
      </c>
      <c r="Q787" s="4" t="b">
        <f>AND(((P787)=TRUE), ((K787)=TRUE))</f>
        <v>0</v>
      </c>
      <c r="R787" s="4" t="str">
        <f>IF(((O787)=TRUE),  I787,  "")</f>
        <v>suite-substrate</v>
      </c>
      <c r="S787" s="4" t="str">
        <f>IF(((Q787)=TRUE),  I787,  "")</f>
      </c>
      <c r="T787" s="3" t="s">
        <v>6001</v>
      </c>
    </row>
    <row r="788">
      <c r="A788" s="3" t="s">
        <v>6823</v>
      </c>
      <c r="B788" s="4" t="str">
        <f>C788 &amp; ": " &amp; D788</f>
        <v>formula-translates: MessageDeliveries.InvokedExceptionCondition</v>
      </c>
      <c r="C788" s="3" t="s">
        <v>6104</v>
      </c>
      <c r="D788" s="3" t="s">
        <v>4518</v>
      </c>
      <c r="E788" s="3" t="s">
        <v>4444</v>
      </c>
      <c r="F788" s="3" t="s">
        <v>4519</v>
      </c>
      <c r="G788" s="3" t="s">
        <v>6105</v>
      </c>
      <c r="H788" s="3" t="s">
        <v>2067</v>
      </c>
      <c r="I788" s="3" t="s">
        <v>5986</v>
      </c>
      <c r="J788" s="3" t="s">
        <v>5999</v>
      </c>
      <c r="K788" s="4" t="b">
        <f>J788 = "blocking"</f>
        <v>1</v>
      </c>
      <c r="L788" s="3" t="s">
        <v>1448</v>
      </c>
      <c r="M788" s="3" t="s">
        <v>6106</v>
      </c>
      <c r="N788" s="5">
        <v>46223.1297337963</v>
      </c>
      <c r="O788" s="4" t="b">
        <f>L788 = "PASS"</f>
        <v>1</v>
      </c>
      <c r="P788" s="4" t="b">
        <f>L788 = "FAIL"</f>
        <v>0</v>
      </c>
      <c r="Q788" s="4" t="b">
        <f>AND(((P788)=TRUE), ((K788)=TRUE))</f>
        <v>0</v>
      </c>
      <c r="R788" s="4" t="str">
        <f>IF(((O788)=TRUE),  I788,  "")</f>
        <v>suite-substrate</v>
      </c>
      <c r="S788" s="4" t="str">
        <f>IF(((Q788)=TRUE),  I788,  "")</f>
      </c>
      <c r="T788" s="3" t="s">
        <v>6001</v>
      </c>
    </row>
    <row r="789">
      <c r="A789" s="3" t="s">
        <v>6824</v>
      </c>
      <c r="B789" s="4" t="str">
        <f>C789 &amp; ": " &amp; D789</f>
        <v>formula-translates: MessageDeliveries.HasUnreachableExceptionInvoked</v>
      </c>
      <c r="C789" s="3" t="s">
        <v>6104</v>
      </c>
      <c r="D789" s="3" t="s">
        <v>4521</v>
      </c>
      <c r="E789" s="3" t="s">
        <v>4444</v>
      </c>
      <c r="F789" s="3" t="s">
        <v>4522</v>
      </c>
      <c r="G789" s="3" t="s">
        <v>6105</v>
      </c>
      <c r="H789" s="3" t="s">
        <v>2067</v>
      </c>
      <c r="I789" s="3" t="s">
        <v>5986</v>
      </c>
      <c r="J789" s="3" t="s">
        <v>5999</v>
      </c>
      <c r="K789" s="4" t="b">
        <f>J789 = "blocking"</f>
        <v>1</v>
      </c>
      <c r="L789" s="3" t="s">
        <v>1448</v>
      </c>
      <c r="M789" s="3" t="s">
        <v>6106</v>
      </c>
      <c r="N789" s="5">
        <v>46223.1297337963</v>
      </c>
      <c r="O789" s="4" t="b">
        <f>L789 = "PASS"</f>
        <v>1</v>
      </c>
      <c r="P789" s="4" t="b">
        <f>L789 = "FAIL"</f>
        <v>0</v>
      </c>
      <c r="Q789" s="4" t="b">
        <f>AND(((P789)=TRUE), ((K789)=TRUE))</f>
        <v>0</v>
      </c>
      <c r="R789" s="4" t="str">
        <f>IF(((O789)=TRUE),  I789,  "")</f>
        <v>suite-substrate</v>
      </c>
      <c r="S789" s="4" t="str">
        <f>IF(((Q789)=TRUE),  I789,  "")</f>
      </c>
      <c r="T789" s="3" t="s">
        <v>6001</v>
      </c>
    </row>
    <row r="790">
      <c r="A790" s="3" t="s">
        <v>6825</v>
      </c>
      <c r="B790" s="4" t="str">
        <f>C790 &amp; ": " &amp; D790</f>
        <v>formula-translates: MessageDeliveries.IsFabricatedAcknowledgement</v>
      </c>
      <c r="C790" s="3" t="s">
        <v>6104</v>
      </c>
      <c r="D790" s="3" t="s">
        <v>4524</v>
      </c>
      <c r="E790" s="3" t="s">
        <v>4444</v>
      </c>
      <c r="F790" s="3" t="s">
        <v>4525</v>
      </c>
      <c r="G790" s="3" t="s">
        <v>6105</v>
      </c>
      <c r="H790" s="3" t="s">
        <v>2067</v>
      </c>
      <c r="I790" s="3" t="s">
        <v>5986</v>
      </c>
      <c r="J790" s="3" t="s">
        <v>5999</v>
      </c>
      <c r="K790" s="4" t="b">
        <f>J790 = "blocking"</f>
        <v>1</v>
      </c>
      <c r="L790" s="3" t="s">
        <v>1448</v>
      </c>
      <c r="M790" s="3" t="s">
        <v>6106</v>
      </c>
      <c r="N790" s="5">
        <v>46223.1297337963</v>
      </c>
      <c r="O790" s="4" t="b">
        <f>L790 = "PASS"</f>
        <v>1</v>
      </c>
      <c r="P790" s="4" t="b">
        <f>L790 = "FAIL"</f>
        <v>0</v>
      </c>
      <c r="Q790" s="4" t="b">
        <f>AND(((P790)=TRUE), ((K790)=TRUE))</f>
        <v>0</v>
      </c>
      <c r="R790" s="4" t="str">
        <f>IF(((O790)=TRUE),  I790,  "")</f>
        <v>suite-substrate</v>
      </c>
      <c r="S790" s="4" t="str">
        <f>IF(((Q790)=TRUE),  I790,  "")</f>
      </c>
      <c r="T790" s="3" t="s">
        <v>6001</v>
      </c>
    </row>
    <row r="791">
      <c r="A791" s="3" t="s">
        <v>6826</v>
      </c>
      <c r="B791" s="4" t="str">
        <f>C791 &amp; ": " &amp; D791</f>
        <v>formula-translates: MessageDeliveries.IsUnhandledUnreachable</v>
      </c>
      <c r="C791" s="3" t="s">
        <v>6104</v>
      </c>
      <c r="D791" s="3" t="s">
        <v>4527</v>
      </c>
      <c r="E791" s="3" t="s">
        <v>4444</v>
      </c>
      <c r="F791" s="3" t="s">
        <v>4528</v>
      </c>
      <c r="G791" s="3" t="s">
        <v>6105</v>
      </c>
      <c r="H791" s="3" t="s">
        <v>2067</v>
      </c>
      <c r="I791" s="3" t="s">
        <v>5986</v>
      </c>
      <c r="J791" s="3" t="s">
        <v>5999</v>
      </c>
      <c r="K791" s="4" t="b">
        <f>J791 = "blocking"</f>
        <v>1</v>
      </c>
      <c r="L791" s="3" t="s">
        <v>1448</v>
      </c>
      <c r="M791" s="3" t="s">
        <v>6106</v>
      </c>
      <c r="N791" s="5">
        <v>46223.1297337963</v>
      </c>
      <c r="O791" s="4" t="b">
        <f>L791 = "PASS"</f>
        <v>1</v>
      </c>
      <c r="P791" s="4" t="b">
        <f>L791 = "FAIL"</f>
        <v>0</v>
      </c>
      <c r="Q791" s="4" t="b">
        <f>AND(((P791)=TRUE), ((K791)=TRUE))</f>
        <v>0</v>
      </c>
      <c r="R791" s="4" t="str">
        <f>IF(((O791)=TRUE),  I791,  "")</f>
        <v>suite-substrate</v>
      </c>
      <c r="S791" s="4" t="str">
        <f>IF(((Q791)=TRUE),  I791,  "")</f>
      </c>
      <c r="T791" s="3" t="s">
        <v>6001</v>
      </c>
    </row>
    <row r="792">
      <c r="A792" s="3" t="s">
        <v>6827</v>
      </c>
      <c r="B792" s="4" t="str">
        <f>C792 &amp; ": " &amp; D792</f>
        <v>formula-translates: MessageDeliveries.UnreachableFailureKey</v>
      </c>
      <c r="C792" s="3" t="s">
        <v>6104</v>
      </c>
      <c r="D792" s="3" t="s">
        <v>4530</v>
      </c>
      <c r="E792" s="3" t="s">
        <v>4444</v>
      </c>
      <c r="F792" s="3" t="s">
        <v>4531</v>
      </c>
      <c r="G792" s="3" t="s">
        <v>6105</v>
      </c>
      <c r="H792" s="3" t="s">
        <v>2067</v>
      </c>
      <c r="I792" s="3" t="s">
        <v>5986</v>
      </c>
      <c r="J792" s="3" t="s">
        <v>5999</v>
      </c>
      <c r="K792" s="4" t="b">
        <f>J792 = "blocking"</f>
        <v>1</v>
      </c>
      <c r="L792" s="3" t="s">
        <v>1448</v>
      </c>
      <c r="M792" s="3" t="s">
        <v>6106</v>
      </c>
      <c r="N792" s="5">
        <v>46223.1297337963</v>
      </c>
      <c r="O792" s="4" t="b">
        <f>L792 = "PASS"</f>
        <v>1</v>
      </c>
      <c r="P792" s="4" t="b">
        <f>L792 = "FAIL"</f>
        <v>0</v>
      </c>
      <c r="Q792" s="4" t="b">
        <f>AND(((P792)=TRUE), ((K792)=TRUE))</f>
        <v>0</v>
      </c>
      <c r="R792" s="4" t="str">
        <f>IF(((O792)=TRUE),  I792,  "")</f>
        <v>suite-substrate</v>
      </c>
      <c r="S792" s="4" t="str">
        <f>IF(((Q792)=TRUE),  I792,  "")</f>
      </c>
      <c r="T792" s="3" t="s">
        <v>6001</v>
      </c>
    </row>
    <row r="793">
      <c r="A793" s="3" t="s">
        <v>6828</v>
      </c>
      <c r="B793" s="4" t="str">
        <f>C793 &amp; ": " &amp; D793</f>
        <v>formula-translates: MessageDeliveries.PolicyRetentionDays</v>
      </c>
      <c r="C793" s="3" t="s">
        <v>6104</v>
      </c>
      <c r="D793" s="3" t="s">
        <v>4533</v>
      </c>
      <c r="E793" s="3" t="s">
        <v>4444</v>
      </c>
      <c r="F793" s="3" t="s">
        <v>4534</v>
      </c>
      <c r="G793" s="3" t="s">
        <v>6105</v>
      </c>
      <c r="H793" s="3" t="s">
        <v>2071</v>
      </c>
      <c r="I793" s="3" t="s">
        <v>5986</v>
      </c>
      <c r="J793" s="3" t="s">
        <v>5999</v>
      </c>
      <c r="K793" s="4" t="b">
        <f>J793 = "blocking"</f>
        <v>1</v>
      </c>
      <c r="L793" s="3" t="s">
        <v>1448</v>
      </c>
      <c r="M793" s="3" t="s">
        <v>6106</v>
      </c>
      <c r="N793" s="5">
        <v>46223.1297337963</v>
      </c>
      <c r="O793" s="4" t="b">
        <f>L793 = "PASS"</f>
        <v>1</v>
      </c>
      <c r="P793" s="4" t="b">
        <f>L793 = "FAIL"</f>
        <v>0</v>
      </c>
      <c r="Q793" s="4" t="b">
        <f>AND(((P793)=TRUE), ((K793)=TRUE))</f>
        <v>0</v>
      </c>
      <c r="R793" s="4" t="str">
        <f>IF(((O793)=TRUE),  I793,  "")</f>
        <v>suite-substrate</v>
      </c>
      <c r="S793" s="4" t="str">
        <f>IF(((Q793)=TRUE),  I793,  "")</f>
      </c>
      <c r="T793" s="3" t="s">
        <v>6001</v>
      </c>
    </row>
    <row r="794">
      <c r="A794" s="3" t="s">
        <v>6829</v>
      </c>
      <c r="B794" s="4" t="str">
        <f>C794 &amp; ": " &amp; D794</f>
        <v>formula-translates: MessageDeliveries.AsOfInstant</v>
      </c>
      <c r="C794" s="3" t="s">
        <v>6104</v>
      </c>
      <c r="D794" s="3" t="s">
        <v>4537</v>
      </c>
      <c r="E794" s="3" t="s">
        <v>4444</v>
      </c>
      <c r="F794" s="3" t="s">
        <v>92</v>
      </c>
      <c r="G794" s="3" t="s">
        <v>6105</v>
      </c>
      <c r="H794" s="3"/>
      <c r="I794" s="3" t="s">
        <v>5986</v>
      </c>
      <c r="J794" s="3" t="s">
        <v>5999</v>
      </c>
      <c r="K794" s="4" t="b">
        <f>J794 = "blocking"</f>
        <v>1</v>
      </c>
      <c r="L794" s="3" t="s">
        <v>1448</v>
      </c>
      <c r="M794" s="3" t="s">
        <v>6106</v>
      </c>
      <c r="N794" s="5">
        <v>46223.1297337963</v>
      </c>
      <c r="O794" s="4" t="b">
        <f>L794 = "PASS"</f>
        <v>1</v>
      </c>
      <c r="P794" s="4" t="b">
        <f>L794 = "FAIL"</f>
        <v>0</v>
      </c>
      <c r="Q794" s="4" t="b">
        <f>AND(((P794)=TRUE), ((K794)=TRUE))</f>
        <v>0</v>
      </c>
      <c r="R794" s="4" t="str">
        <f>IF(((O794)=TRUE),  I794,  "")</f>
        <v>suite-substrate</v>
      </c>
      <c r="S794" s="4" t="str">
        <f>IF(((Q794)=TRUE),  I794,  "")</f>
      </c>
      <c r="T794" s="3" t="s">
        <v>6001</v>
      </c>
    </row>
    <row r="795">
      <c r="A795" s="3" t="s">
        <v>6830</v>
      </c>
      <c r="B795" s="4" t="str">
        <f>C795 &amp; ": " &amp; D795</f>
        <v>formula-translates: MessageDeliveries.AgeDays</v>
      </c>
      <c r="C795" s="3" t="s">
        <v>6104</v>
      </c>
      <c r="D795" s="3" t="s">
        <v>4538</v>
      </c>
      <c r="E795" s="3" t="s">
        <v>4444</v>
      </c>
      <c r="F795" s="3" t="s">
        <v>1132</v>
      </c>
      <c r="G795" s="3" t="s">
        <v>6105</v>
      </c>
      <c r="H795" s="3" t="s">
        <v>2071</v>
      </c>
      <c r="I795" s="3" t="s">
        <v>5986</v>
      </c>
      <c r="J795" s="3" t="s">
        <v>5999</v>
      </c>
      <c r="K795" s="4" t="b">
        <f>J795 = "blocking"</f>
        <v>1</v>
      </c>
      <c r="L795" s="3" t="s">
        <v>1448</v>
      </c>
      <c r="M795" s="3" t="s">
        <v>6106</v>
      </c>
      <c r="N795" s="5">
        <v>46223.1297337963</v>
      </c>
      <c r="O795" s="4" t="b">
        <f>L795 = "PASS"</f>
        <v>1</v>
      </c>
      <c r="P795" s="4" t="b">
        <f>L795 = "FAIL"</f>
        <v>0</v>
      </c>
      <c r="Q795" s="4" t="b">
        <f>AND(((P795)=TRUE), ((K795)=TRUE))</f>
        <v>0</v>
      </c>
      <c r="R795" s="4" t="str">
        <f>IF(((O795)=TRUE),  I795,  "")</f>
        <v>suite-substrate</v>
      </c>
      <c r="S795" s="4" t="str">
        <f>IF(((Q795)=TRUE),  I795,  "")</f>
      </c>
      <c r="T795" s="3" t="s">
        <v>6001</v>
      </c>
    </row>
    <row r="796">
      <c r="A796" s="3" t="s">
        <v>6831</v>
      </c>
      <c r="B796" s="4" t="str">
        <f>C796 &amp; ": " &amp; D796</f>
        <v>formula-translates: MessageDeliveries.IsWithinRetentionWindow</v>
      </c>
      <c r="C796" s="3" t="s">
        <v>6104</v>
      </c>
      <c r="D796" s="3" t="s">
        <v>4540</v>
      </c>
      <c r="E796" s="3" t="s">
        <v>4444</v>
      </c>
      <c r="F796" s="3" t="s">
        <v>4541</v>
      </c>
      <c r="G796" s="3" t="s">
        <v>6105</v>
      </c>
      <c r="H796" s="3" t="s">
        <v>2071</v>
      </c>
      <c r="I796" s="3" t="s">
        <v>5986</v>
      </c>
      <c r="J796" s="3" t="s">
        <v>5999</v>
      </c>
      <c r="K796" s="4" t="b">
        <f>J796 = "blocking"</f>
        <v>1</v>
      </c>
      <c r="L796" s="3" t="s">
        <v>1448</v>
      </c>
      <c r="M796" s="3" t="s">
        <v>6106</v>
      </c>
      <c r="N796" s="5">
        <v>46223.1297337963</v>
      </c>
      <c r="O796" s="4" t="b">
        <f>L796 = "PASS"</f>
        <v>1</v>
      </c>
      <c r="P796" s="4" t="b">
        <f>L796 = "FAIL"</f>
        <v>0</v>
      </c>
      <c r="Q796" s="4" t="b">
        <f>AND(((P796)=TRUE), ((K796)=TRUE))</f>
        <v>0</v>
      </c>
      <c r="R796" s="4" t="str">
        <f>IF(((O796)=TRUE),  I796,  "")</f>
        <v>suite-substrate</v>
      </c>
      <c r="S796" s="4" t="str">
        <f>IF(((Q796)=TRUE),  I796,  "")</f>
      </c>
      <c r="T796" s="3" t="s">
        <v>6001</v>
      </c>
    </row>
    <row r="797">
      <c r="A797" s="3" t="s">
        <v>6832</v>
      </c>
      <c r="B797" s="4" t="str">
        <f>C797 &amp; ": " &amp; D797</f>
        <v>formula-translates: MessageDeliveries.HasRenderedBody</v>
      </c>
      <c r="C797" s="3" t="s">
        <v>6104</v>
      </c>
      <c r="D797" s="3" t="s">
        <v>4543</v>
      </c>
      <c r="E797" s="3" t="s">
        <v>4444</v>
      </c>
      <c r="F797" s="3" t="s">
        <v>4544</v>
      </c>
      <c r="G797" s="3" t="s">
        <v>6105</v>
      </c>
      <c r="H797" s="3" t="s">
        <v>2071</v>
      </c>
      <c r="I797" s="3" t="s">
        <v>5986</v>
      </c>
      <c r="J797" s="3" t="s">
        <v>5999</v>
      </c>
      <c r="K797" s="4" t="b">
        <f>J797 = "blocking"</f>
        <v>1</v>
      </c>
      <c r="L797" s="3" t="s">
        <v>1448</v>
      </c>
      <c r="M797" s="3" t="s">
        <v>6106</v>
      </c>
      <c r="N797" s="5">
        <v>46223.1297337963</v>
      </c>
      <c r="O797" s="4" t="b">
        <f>L797 = "PASS"</f>
        <v>1</v>
      </c>
      <c r="P797" s="4" t="b">
        <f>L797 = "FAIL"</f>
        <v>0</v>
      </c>
      <c r="Q797" s="4" t="b">
        <f>AND(((P797)=TRUE), ((K797)=TRUE))</f>
        <v>0</v>
      </c>
      <c r="R797" s="4" t="str">
        <f>IF(((O797)=TRUE),  I797,  "")</f>
        <v>suite-substrate</v>
      </c>
      <c r="S797" s="4" t="str">
        <f>IF(((Q797)=TRUE),  I797,  "")</f>
      </c>
      <c r="T797" s="3" t="s">
        <v>6001</v>
      </c>
    </row>
    <row r="798">
      <c r="A798" s="3" t="s">
        <v>6833</v>
      </c>
      <c r="B798" s="4" t="str">
        <f>C798 &amp; ": " &amp; D798</f>
        <v>formula-translates: MessageDeliveries.IsEvidenceRequired</v>
      </c>
      <c r="C798" s="3" t="s">
        <v>6104</v>
      </c>
      <c r="D798" s="3" t="s">
        <v>4546</v>
      </c>
      <c r="E798" s="3" t="s">
        <v>4444</v>
      </c>
      <c r="F798" s="3" t="s">
        <v>4547</v>
      </c>
      <c r="G798" s="3" t="s">
        <v>6105</v>
      </c>
      <c r="H798" s="3" t="s">
        <v>2071</v>
      </c>
      <c r="I798" s="3" t="s">
        <v>5986</v>
      </c>
      <c r="J798" s="3" t="s">
        <v>5999</v>
      </c>
      <c r="K798" s="4" t="b">
        <f>J798 = "blocking"</f>
        <v>1</v>
      </c>
      <c r="L798" s="3" t="s">
        <v>1448</v>
      </c>
      <c r="M798" s="3" t="s">
        <v>6106</v>
      </c>
      <c r="N798" s="5">
        <v>46223.1297337963</v>
      </c>
      <c r="O798" s="4" t="b">
        <f>L798 = "PASS"</f>
        <v>1</v>
      </c>
      <c r="P798" s="4" t="b">
        <f>L798 = "FAIL"</f>
        <v>0</v>
      </c>
      <c r="Q798" s="4" t="b">
        <f>AND(((P798)=TRUE), ((K798)=TRUE))</f>
        <v>0</v>
      </c>
      <c r="R798" s="4" t="str">
        <f>IF(((O798)=TRUE),  I798,  "")</f>
        <v>suite-substrate</v>
      </c>
      <c r="S798" s="4" t="str">
        <f>IF(((Q798)=TRUE),  I798,  "")</f>
      </c>
      <c r="T798" s="3" t="s">
        <v>6001</v>
      </c>
    </row>
    <row r="799">
      <c r="A799" s="3" t="s">
        <v>6834</v>
      </c>
      <c r="B799" s="4" t="str">
        <f>C799 &amp; ": " &amp; D799</f>
        <v>formula-translates: MessageDeliveries.IsRetentionBreach</v>
      </c>
      <c r="C799" s="3" t="s">
        <v>6104</v>
      </c>
      <c r="D799" s="3" t="s">
        <v>4549</v>
      </c>
      <c r="E799" s="3" t="s">
        <v>4444</v>
      </c>
      <c r="F799" s="3" t="s">
        <v>4550</v>
      </c>
      <c r="G799" s="3" t="s">
        <v>6105</v>
      </c>
      <c r="H799" s="3" t="s">
        <v>2071</v>
      </c>
      <c r="I799" s="3" t="s">
        <v>5986</v>
      </c>
      <c r="J799" s="3" t="s">
        <v>5999</v>
      </c>
      <c r="K799" s="4" t="b">
        <f>J799 = "blocking"</f>
        <v>1</v>
      </c>
      <c r="L799" s="3" t="s">
        <v>1448</v>
      </c>
      <c r="M799" s="3" t="s">
        <v>6106</v>
      </c>
      <c r="N799" s="5">
        <v>46223.1297337963</v>
      </c>
      <c r="O799" s="4" t="b">
        <f>L799 = "PASS"</f>
        <v>1</v>
      </c>
      <c r="P799" s="4" t="b">
        <f>L799 = "FAIL"</f>
        <v>0</v>
      </c>
      <c r="Q799" s="4" t="b">
        <f>AND(((P799)=TRUE), ((K799)=TRUE))</f>
        <v>0</v>
      </c>
      <c r="R799" s="4" t="str">
        <f>IF(((O799)=TRUE),  I799,  "")</f>
        <v>suite-substrate</v>
      </c>
      <c r="S799" s="4" t="str">
        <f>IF(((Q799)=TRUE),  I799,  "")</f>
      </c>
      <c r="T799" s="3" t="s">
        <v>6001</v>
      </c>
    </row>
    <row r="800">
      <c r="A800" s="3" t="s">
        <v>6835</v>
      </c>
      <c r="B800" s="4" t="str">
        <f>C800 &amp; ": " &amp; D800</f>
        <v>formula-translates: MessageDeliveries.RetentionBreachExecutionKey</v>
      </c>
      <c r="C800" s="3" t="s">
        <v>6104</v>
      </c>
      <c r="D800" s="3" t="s">
        <v>4552</v>
      </c>
      <c r="E800" s="3" t="s">
        <v>4444</v>
      </c>
      <c r="F800" s="3" t="s">
        <v>4553</v>
      </c>
      <c r="G800" s="3" t="s">
        <v>6105</v>
      </c>
      <c r="H800" s="3" t="s">
        <v>2071</v>
      </c>
      <c r="I800" s="3" t="s">
        <v>5986</v>
      </c>
      <c r="J800" s="3" t="s">
        <v>5999</v>
      </c>
      <c r="K800" s="4" t="b">
        <f>J800 = "blocking"</f>
        <v>1</v>
      </c>
      <c r="L800" s="3" t="s">
        <v>1448</v>
      </c>
      <c r="M800" s="3" t="s">
        <v>6106</v>
      </c>
      <c r="N800" s="5">
        <v>46223.1297337963</v>
      </c>
      <c r="O800" s="4" t="b">
        <f>L800 = "PASS"</f>
        <v>1</v>
      </c>
      <c r="P800" s="4" t="b">
        <f>L800 = "FAIL"</f>
        <v>0</v>
      </c>
      <c r="Q800" s="4" t="b">
        <f>AND(((P800)=TRUE), ((K800)=TRUE))</f>
        <v>0</v>
      </c>
      <c r="R800" s="4" t="str">
        <f>IF(((O800)=TRUE),  I800,  "")</f>
        <v>suite-substrate</v>
      </c>
      <c r="S800" s="4" t="str">
        <f>IF(((Q800)=TRUE),  I800,  "")</f>
      </c>
      <c r="T800" s="3" t="s">
        <v>6001</v>
      </c>
    </row>
    <row r="801">
      <c r="A801" s="3" t="s">
        <v>6836</v>
      </c>
      <c r="B801" s="4" t="str">
        <f>C801 &amp; ": " &amp; D801</f>
        <v>formula-translates: MessageDeliveries.SendingStepExecutionStep</v>
      </c>
      <c r="C801" s="3" t="s">
        <v>6104</v>
      </c>
      <c r="D801" s="3" t="s">
        <v>4555</v>
      </c>
      <c r="E801" s="3" t="s">
        <v>4444</v>
      </c>
      <c r="F801" s="3" t="s">
        <v>4556</v>
      </c>
      <c r="G801" s="3" t="s">
        <v>6105</v>
      </c>
      <c r="H801" s="3" t="s">
        <v>2075</v>
      </c>
      <c r="I801" s="3" t="s">
        <v>5986</v>
      </c>
      <c r="J801" s="3" t="s">
        <v>5999</v>
      </c>
      <c r="K801" s="4" t="b">
        <f>J801 = "blocking"</f>
        <v>1</v>
      </c>
      <c r="L801" s="3" t="s">
        <v>1448</v>
      </c>
      <c r="M801" s="3" t="s">
        <v>6106</v>
      </c>
      <c r="N801" s="5">
        <v>46223.1297337963</v>
      </c>
      <c r="O801" s="4" t="b">
        <f>L801 = "PASS"</f>
        <v>1</v>
      </c>
      <c r="P801" s="4" t="b">
        <f>L801 = "FAIL"</f>
        <v>0</v>
      </c>
      <c r="Q801" s="4" t="b">
        <f>AND(((P801)=TRUE), ((K801)=TRUE))</f>
        <v>0</v>
      </c>
      <c r="R801" s="4" t="str">
        <f>IF(((O801)=TRUE),  I801,  "")</f>
        <v>suite-substrate</v>
      </c>
      <c r="S801" s="4" t="str">
        <f>IF(((Q801)=TRUE),  I801,  "")</f>
      </c>
      <c r="T801" s="3" t="s">
        <v>6001</v>
      </c>
    </row>
    <row r="802">
      <c r="A802" s="3" t="s">
        <v>6837</v>
      </c>
      <c r="B802" s="4" t="str">
        <f>C802 &amp; ": " &amp; D802</f>
        <v>formula-translates: MessageDeliveries.ExecutionHasClearedLegalReview</v>
      </c>
      <c r="C802" s="3" t="s">
        <v>6104</v>
      </c>
      <c r="D802" s="3" t="s">
        <v>4557</v>
      </c>
      <c r="E802" s="3" t="s">
        <v>4444</v>
      </c>
      <c r="F802" s="3" t="s">
        <v>4558</v>
      </c>
      <c r="G802" s="3" t="s">
        <v>6105</v>
      </c>
      <c r="H802" s="3" t="s">
        <v>2075</v>
      </c>
      <c r="I802" s="3" t="s">
        <v>5986</v>
      </c>
      <c r="J802" s="3" t="s">
        <v>5999</v>
      </c>
      <c r="K802" s="4" t="b">
        <f>J802 = "blocking"</f>
        <v>1</v>
      </c>
      <c r="L802" s="3" t="s">
        <v>1448</v>
      </c>
      <c r="M802" s="3" t="s">
        <v>6106</v>
      </c>
      <c r="N802" s="5">
        <v>46223.1297337963</v>
      </c>
      <c r="O802" s="4" t="b">
        <f>L802 = "PASS"</f>
        <v>1</v>
      </c>
      <c r="P802" s="4" t="b">
        <f>L802 = "FAIL"</f>
        <v>0</v>
      </c>
      <c r="Q802" s="4" t="b">
        <f>AND(((P802)=TRUE), ((K802)=TRUE))</f>
        <v>0</v>
      </c>
      <c r="R802" s="4" t="str">
        <f>IF(((O802)=TRUE),  I802,  "")</f>
        <v>suite-substrate</v>
      </c>
      <c r="S802" s="4" t="str">
        <f>IF(((Q802)=TRUE),  I802,  "")</f>
      </c>
      <c r="T802" s="3" t="s">
        <v>6001</v>
      </c>
    </row>
    <row r="803">
      <c r="A803" s="3" t="s">
        <v>6838</v>
      </c>
      <c r="B803" s="4" t="str">
        <f>C803 &amp; ": " &amp; D803</f>
        <v>formula-translates: MessageDeliveries.IsUnreviewedSend</v>
      </c>
      <c r="C803" s="3" t="s">
        <v>6104</v>
      </c>
      <c r="D803" s="3" t="s">
        <v>4560</v>
      </c>
      <c r="E803" s="3" t="s">
        <v>4444</v>
      </c>
      <c r="F803" s="3" t="s">
        <v>4561</v>
      </c>
      <c r="G803" s="3" t="s">
        <v>6105</v>
      </c>
      <c r="H803" s="3" t="s">
        <v>2075</v>
      </c>
      <c r="I803" s="3" t="s">
        <v>5986</v>
      </c>
      <c r="J803" s="3" t="s">
        <v>5999</v>
      </c>
      <c r="K803" s="4" t="b">
        <f>J803 = "blocking"</f>
        <v>1</v>
      </c>
      <c r="L803" s="3" t="s">
        <v>1448</v>
      </c>
      <c r="M803" s="3" t="s">
        <v>6106</v>
      </c>
      <c r="N803" s="5">
        <v>46223.1297337963</v>
      </c>
      <c r="O803" s="4" t="b">
        <f>L803 = "PASS"</f>
        <v>1</v>
      </c>
      <c r="P803" s="4" t="b">
        <f>L803 = "FAIL"</f>
        <v>0</v>
      </c>
      <c r="Q803" s="4" t="b">
        <f>AND(((P803)=TRUE), ((K803)=TRUE))</f>
        <v>0</v>
      </c>
      <c r="R803" s="4" t="str">
        <f>IF(((O803)=TRUE),  I803,  "")</f>
        <v>suite-substrate</v>
      </c>
      <c r="S803" s="4" t="str">
        <f>IF(((Q803)=TRUE),  I803,  "")</f>
      </c>
      <c r="T803" s="3" t="s">
        <v>6001</v>
      </c>
    </row>
    <row r="804">
      <c r="A804" s="3" t="s">
        <v>6839</v>
      </c>
      <c r="B804" s="4" t="str">
        <f>C804 &amp; ": " &amp; D804</f>
        <v>formula-translates: MessageDeliveries.RenderedBodyLength</v>
      </c>
      <c r="C804" s="3" t="s">
        <v>6104</v>
      </c>
      <c r="D804" s="3" t="s">
        <v>4563</v>
      </c>
      <c r="E804" s="3" t="s">
        <v>4444</v>
      </c>
      <c r="F804" s="3" t="s">
        <v>4564</v>
      </c>
      <c r="G804" s="3" t="s">
        <v>6105</v>
      </c>
      <c r="H804" s="3" t="s">
        <v>2079</v>
      </c>
      <c r="I804" s="3" t="s">
        <v>5986</v>
      </c>
      <c r="J804" s="3" t="s">
        <v>5999</v>
      </c>
      <c r="K804" s="4" t="b">
        <f>J804 = "blocking"</f>
        <v>1</v>
      </c>
      <c r="L804" s="3" t="s">
        <v>1448</v>
      </c>
      <c r="M804" s="3" t="s">
        <v>6106</v>
      </c>
      <c r="N804" s="5">
        <v>46223.1297337963</v>
      </c>
      <c r="O804" s="4" t="b">
        <f>L804 = "PASS"</f>
        <v>1</v>
      </c>
      <c r="P804" s="4" t="b">
        <f>L804 = "FAIL"</f>
        <v>0</v>
      </c>
      <c r="Q804" s="4" t="b">
        <f>AND(((P804)=TRUE), ((K804)=TRUE))</f>
        <v>0</v>
      </c>
      <c r="R804" s="4" t="str">
        <f>IF(((O804)=TRUE),  I804,  "")</f>
        <v>suite-substrate</v>
      </c>
      <c r="S804" s="4" t="str">
        <f>IF(((Q804)=TRUE),  I804,  "")</f>
      </c>
      <c r="T804" s="3" t="s">
        <v>6001</v>
      </c>
    </row>
    <row r="805">
      <c r="A805" s="3" t="s">
        <v>6840</v>
      </c>
      <c r="B805" s="4" t="str">
        <f>C805 &amp; ": " &amp; D805</f>
        <v>formula-translates: MessageDeliveries.PolicyMaxMessageLengthAtSend</v>
      </c>
      <c r="C805" s="3" t="s">
        <v>6104</v>
      </c>
      <c r="D805" s="3" t="s">
        <v>4566</v>
      </c>
      <c r="E805" s="3" t="s">
        <v>4444</v>
      </c>
      <c r="F805" s="3" t="s">
        <v>4567</v>
      </c>
      <c r="G805" s="3" t="s">
        <v>6105</v>
      </c>
      <c r="H805" s="3" t="s">
        <v>2079</v>
      </c>
      <c r="I805" s="3" t="s">
        <v>5986</v>
      </c>
      <c r="J805" s="3" t="s">
        <v>5999</v>
      </c>
      <c r="K805" s="4" t="b">
        <f>J805 = "blocking"</f>
        <v>1</v>
      </c>
      <c r="L805" s="3" t="s">
        <v>1448</v>
      </c>
      <c r="M805" s="3" t="s">
        <v>6106</v>
      </c>
      <c r="N805" s="5">
        <v>46223.1297337963</v>
      </c>
      <c r="O805" s="4" t="b">
        <f>L805 = "PASS"</f>
        <v>1</v>
      </c>
      <c r="P805" s="4" t="b">
        <f>L805 = "FAIL"</f>
        <v>0</v>
      </c>
      <c r="Q805" s="4" t="b">
        <f>AND(((P805)=TRUE), ((K805)=TRUE))</f>
        <v>0</v>
      </c>
      <c r="R805" s="4" t="str">
        <f>IF(((O805)=TRUE),  I805,  "")</f>
        <v>suite-substrate</v>
      </c>
      <c r="S805" s="4" t="str">
        <f>IF(((Q805)=TRUE),  I805,  "")</f>
      </c>
      <c r="T805" s="3" t="s">
        <v>6001</v>
      </c>
    </row>
    <row r="806">
      <c r="A806" s="3" t="s">
        <v>6841</v>
      </c>
      <c r="B806" s="4" t="str">
        <f>C806 &amp; ": " &amp; D806</f>
        <v>formula-translates: MessageDeliveries.SegmentCount</v>
      </c>
      <c r="C806" s="3" t="s">
        <v>6104</v>
      </c>
      <c r="D806" s="3" t="s">
        <v>4569</v>
      </c>
      <c r="E806" s="3" t="s">
        <v>4444</v>
      </c>
      <c r="F806" s="3" t="s">
        <v>4570</v>
      </c>
      <c r="G806" s="3" t="s">
        <v>6105</v>
      </c>
      <c r="H806" s="3" t="s">
        <v>2079</v>
      </c>
      <c r="I806" s="3" t="s">
        <v>5986</v>
      </c>
      <c r="J806" s="3" t="s">
        <v>5999</v>
      </c>
      <c r="K806" s="4" t="b">
        <f>J806 = "blocking"</f>
        <v>1</v>
      </c>
      <c r="L806" s="3" t="s">
        <v>1448</v>
      </c>
      <c r="M806" s="3" t="s">
        <v>6106</v>
      </c>
      <c r="N806" s="5">
        <v>46223.1297337963</v>
      </c>
      <c r="O806" s="4" t="b">
        <f>L806 = "PASS"</f>
        <v>1</v>
      </c>
      <c r="P806" s="4" t="b">
        <f>L806 = "FAIL"</f>
        <v>0</v>
      </c>
      <c r="Q806" s="4" t="b">
        <f>AND(((P806)=TRUE), ((K806)=TRUE))</f>
        <v>0</v>
      </c>
      <c r="R806" s="4" t="str">
        <f>IF(((O806)=TRUE),  I806,  "")</f>
        <v>suite-substrate</v>
      </c>
      <c r="S806" s="4" t="str">
        <f>IF(((Q806)=TRUE),  I806,  "")</f>
      </c>
      <c r="T806" s="3" t="s">
        <v>6001</v>
      </c>
    </row>
    <row r="807">
      <c r="A807" s="3" t="s">
        <v>6842</v>
      </c>
      <c r="B807" s="4" t="str">
        <f>C807 &amp; ": " &amp; D807</f>
        <v>formula-translates: MessageDeliveries.PolicyMaxSegmentsAtSend</v>
      </c>
      <c r="C807" s="3" t="s">
        <v>6104</v>
      </c>
      <c r="D807" s="3" t="s">
        <v>4572</v>
      </c>
      <c r="E807" s="3" t="s">
        <v>4444</v>
      </c>
      <c r="F807" s="3" t="s">
        <v>4573</v>
      </c>
      <c r="G807" s="3" t="s">
        <v>6105</v>
      </c>
      <c r="H807" s="3" t="s">
        <v>2079</v>
      </c>
      <c r="I807" s="3" t="s">
        <v>5986</v>
      </c>
      <c r="J807" s="3" t="s">
        <v>5999</v>
      </c>
      <c r="K807" s="4" t="b">
        <f>J807 = "blocking"</f>
        <v>1</v>
      </c>
      <c r="L807" s="3" t="s">
        <v>1448</v>
      </c>
      <c r="M807" s="3" t="s">
        <v>6106</v>
      </c>
      <c r="N807" s="5">
        <v>46223.1297337963</v>
      </c>
      <c r="O807" s="4" t="b">
        <f>L807 = "PASS"</f>
        <v>1</v>
      </c>
      <c r="P807" s="4" t="b">
        <f>L807 = "FAIL"</f>
        <v>0</v>
      </c>
      <c r="Q807" s="4" t="b">
        <f>AND(((P807)=TRUE), ((K807)=TRUE))</f>
        <v>0</v>
      </c>
      <c r="R807" s="4" t="str">
        <f>IF(((O807)=TRUE),  I807,  "")</f>
        <v>suite-substrate</v>
      </c>
      <c r="S807" s="4" t="str">
        <f>IF(((Q807)=TRUE),  I807,  "")</f>
      </c>
      <c r="T807" s="3" t="s">
        <v>6001</v>
      </c>
    </row>
    <row r="808">
      <c r="A808" s="3" t="s">
        <v>6843</v>
      </c>
      <c r="B808" s="4" t="str">
        <f>C808 &amp; ": " &amp; D808</f>
        <v>formula-translates: MessageDeliveries.IsOverSegmentLimit</v>
      </c>
      <c r="C808" s="3" t="s">
        <v>6104</v>
      </c>
      <c r="D808" s="3" t="s">
        <v>4575</v>
      </c>
      <c r="E808" s="3" t="s">
        <v>4444</v>
      </c>
      <c r="F808" s="3" t="s">
        <v>4576</v>
      </c>
      <c r="G808" s="3" t="s">
        <v>6105</v>
      </c>
      <c r="H808" s="3" t="s">
        <v>2079</v>
      </c>
      <c r="I808" s="3" t="s">
        <v>5986</v>
      </c>
      <c r="J808" s="3" t="s">
        <v>5999</v>
      </c>
      <c r="K808" s="4" t="b">
        <f>J808 = "blocking"</f>
        <v>1</v>
      </c>
      <c r="L808" s="3" t="s">
        <v>1448</v>
      </c>
      <c r="M808" s="3" t="s">
        <v>6106</v>
      </c>
      <c r="N808" s="5">
        <v>46223.1297337963</v>
      </c>
      <c r="O808" s="4" t="b">
        <f>L808 = "PASS"</f>
        <v>1</v>
      </c>
      <c r="P808" s="4" t="b">
        <f>L808 = "FAIL"</f>
        <v>0</v>
      </c>
      <c r="Q808" s="4" t="b">
        <f>AND(((P808)=TRUE), ((K808)=TRUE))</f>
        <v>0</v>
      </c>
      <c r="R808" s="4" t="str">
        <f>IF(((O808)=TRUE),  I808,  "")</f>
        <v>suite-substrate</v>
      </c>
      <c r="S808" s="4" t="str">
        <f>IF(((Q808)=TRUE),  I808,  "")</f>
      </c>
      <c r="T808" s="3" t="s">
        <v>6001</v>
      </c>
    </row>
    <row r="809">
      <c r="A809" s="3" t="s">
        <v>6844</v>
      </c>
      <c r="B809" s="4" t="str">
        <f>C809 &amp; ": " &amp; D809</f>
        <v>formula-translates: MessageDeliveries.TemplateHasValidApproval</v>
      </c>
      <c r="C809" s="3" t="s">
        <v>6104</v>
      </c>
      <c r="D809" s="3" t="s">
        <v>4578</v>
      </c>
      <c r="E809" s="3" t="s">
        <v>4444</v>
      </c>
      <c r="F809" s="3" t="s">
        <v>4579</v>
      </c>
      <c r="G809" s="3" t="s">
        <v>6105</v>
      </c>
      <c r="H809" s="3" t="s">
        <v>2083</v>
      </c>
      <c r="I809" s="3" t="s">
        <v>5986</v>
      </c>
      <c r="J809" s="3" t="s">
        <v>5999</v>
      </c>
      <c r="K809" s="4" t="b">
        <f>J809 = "blocking"</f>
        <v>1</v>
      </c>
      <c r="L809" s="3" t="s">
        <v>1448</v>
      </c>
      <c r="M809" s="3" t="s">
        <v>6106</v>
      </c>
      <c r="N809" s="5">
        <v>46223.1297337963</v>
      </c>
      <c r="O809" s="4" t="b">
        <f>L809 = "PASS"</f>
        <v>1</v>
      </c>
      <c r="P809" s="4" t="b">
        <f>L809 = "FAIL"</f>
        <v>0</v>
      </c>
      <c r="Q809" s="4" t="b">
        <f>AND(((P809)=TRUE), ((K809)=TRUE))</f>
        <v>0</v>
      </c>
      <c r="R809" s="4" t="str">
        <f>IF(((O809)=TRUE),  I809,  "")</f>
        <v>suite-substrate</v>
      </c>
      <c r="S809" s="4" t="str">
        <f>IF(((Q809)=TRUE),  I809,  "")</f>
      </c>
      <c r="T809" s="3" t="s">
        <v>6001</v>
      </c>
    </row>
    <row r="810">
      <c r="A810" s="3" t="s">
        <v>6845</v>
      </c>
      <c r="B810" s="4" t="str">
        <f>C810 &amp; ": " &amp; D810</f>
        <v>formula-translates: MessageDeliveries.IsUnapprovedSend</v>
      </c>
      <c r="C810" s="3" t="s">
        <v>6104</v>
      </c>
      <c r="D810" s="3" t="s">
        <v>4581</v>
      </c>
      <c r="E810" s="3" t="s">
        <v>4444</v>
      </c>
      <c r="F810" s="3" t="s">
        <v>4582</v>
      </c>
      <c r="G810" s="3" t="s">
        <v>6105</v>
      </c>
      <c r="H810" s="3" t="s">
        <v>2083</v>
      </c>
      <c r="I810" s="3" t="s">
        <v>5986</v>
      </c>
      <c r="J810" s="3" t="s">
        <v>5999</v>
      </c>
      <c r="K810" s="4" t="b">
        <f>J810 = "blocking"</f>
        <v>1</v>
      </c>
      <c r="L810" s="3" t="s">
        <v>1448</v>
      </c>
      <c r="M810" s="3" t="s">
        <v>6106</v>
      </c>
      <c r="N810" s="5">
        <v>46223.1297337963</v>
      </c>
      <c r="O810" s="4" t="b">
        <f>L810 = "PASS"</f>
        <v>1</v>
      </c>
      <c r="P810" s="4" t="b">
        <f>L810 = "FAIL"</f>
        <v>0</v>
      </c>
      <c r="Q810" s="4" t="b">
        <f>AND(((P810)=TRUE), ((K810)=TRUE))</f>
        <v>0</v>
      </c>
      <c r="R810" s="4" t="str">
        <f>IF(((O810)=TRUE),  I810,  "")</f>
        <v>suite-substrate</v>
      </c>
      <c r="S810" s="4" t="str">
        <f>IF(((Q810)=TRUE),  I810,  "")</f>
      </c>
      <c r="T810" s="3" t="s">
        <v>6001</v>
      </c>
    </row>
    <row r="811">
      <c r="A811" s="3" t="s">
        <v>6846</v>
      </c>
      <c r="B811" s="4" t="str">
        <f>C811 &amp; ": " &amp; D811</f>
        <v>formula-translates: MessageDeliveries.PolicyRequiredOptOutPhrase</v>
      </c>
      <c r="C811" s="3" t="s">
        <v>6104</v>
      </c>
      <c r="D811" s="3" t="s">
        <v>4584</v>
      </c>
      <c r="E811" s="3" t="s">
        <v>4444</v>
      </c>
      <c r="F811" s="3" t="s">
        <v>4585</v>
      </c>
      <c r="G811" s="3" t="s">
        <v>6105</v>
      </c>
      <c r="H811" s="3" t="s">
        <v>2087</v>
      </c>
      <c r="I811" s="3" t="s">
        <v>5986</v>
      </c>
      <c r="J811" s="3" t="s">
        <v>5999</v>
      </c>
      <c r="K811" s="4" t="b">
        <f>J811 = "blocking"</f>
        <v>1</v>
      </c>
      <c r="L811" s="3" t="s">
        <v>1448</v>
      </c>
      <c r="M811" s="3" t="s">
        <v>6106</v>
      </c>
      <c r="N811" s="5">
        <v>46223.1297337963</v>
      </c>
      <c r="O811" s="4" t="b">
        <f>L811 = "PASS"</f>
        <v>1</v>
      </c>
      <c r="P811" s="4" t="b">
        <f>L811 = "FAIL"</f>
        <v>0</v>
      </c>
      <c r="Q811" s="4" t="b">
        <f>AND(((P811)=TRUE), ((K811)=TRUE))</f>
        <v>0</v>
      </c>
      <c r="R811" s="4" t="str">
        <f>IF(((O811)=TRUE),  I811,  "")</f>
        <v>suite-substrate</v>
      </c>
      <c r="S811" s="4" t="str">
        <f>IF(((Q811)=TRUE),  I811,  "")</f>
      </c>
      <c r="T811" s="3" t="s">
        <v>6001</v>
      </c>
    </row>
    <row r="812">
      <c r="A812" s="3" t="s">
        <v>6847</v>
      </c>
      <c r="B812" s="4" t="str">
        <f>C812 &amp; ": " &amp; D812</f>
        <v>formula-translates: MessageDeliveries.PolicyRequiresOptOut</v>
      </c>
      <c r="C812" s="3" t="s">
        <v>6104</v>
      </c>
      <c r="D812" s="3" t="s">
        <v>4587</v>
      </c>
      <c r="E812" s="3" t="s">
        <v>4444</v>
      </c>
      <c r="F812" s="3" t="s">
        <v>4588</v>
      </c>
      <c r="G812" s="3" t="s">
        <v>6105</v>
      </c>
      <c r="H812" s="3" t="s">
        <v>2087</v>
      </c>
      <c r="I812" s="3" t="s">
        <v>5986</v>
      </c>
      <c r="J812" s="3" t="s">
        <v>5999</v>
      </c>
      <c r="K812" s="4" t="b">
        <f>J812 = "blocking"</f>
        <v>1</v>
      </c>
      <c r="L812" s="3" t="s">
        <v>1448</v>
      </c>
      <c r="M812" s="3" t="s">
        <v>6106</v>
      </c>
      <c r="N812" s="5">
        <v>46223.1297337963</v>
      </c>
      <c r="O812" s="4" t="b">
        <f>L812 = "PASS"</f>
        <v>1</v>
      </c>
      <c r="P812" s="4" t="b">
        <f>L812 = "FAIL"</f>
        <v>0</v>
      </c>
      <c r="Q812" s="4" t="b">
        <f>AND(((P812)=TRUE), ((K812)=TRUE))</f>
        <v>0</v>
      </c>
      <c r="R812" s="4" t="str">
        <f>IF(((O812)=TRUE),  I812,  "")</f>
        <v>suite-substrate</v>
      </c>
      <c r="S812" s="4" t="str">
        <f>IF(((Q812)=TRUE),  I812,  "")</f>
      </c>
      <c r="T812" s="3" t="s">
        <v>6001</v>
      </c>
    </row>
    <row r="813">
      <c r="A813" s="3" t="s">
        <v>6848</v>
      </c>
      <c r="B813" s="4" t="str">
        <f>C813 &amp; ": " &amp; D813</f>
        <v>formula-translates: MessageDeliveries.OptOutPhrasePosition</v>
      </c>
      <c r="C813" s="3" t="s">
        <v>6104</v>
      </c>
      <c r="D813" s="3" t="s">
        <v>4590</v>
      </c>
      <c r="E813" s="3" t="s">
        <v>4444</v>
      </c>
      <c r="F813" s="3" t="s">
        <v>4591</v>
      </c>
      <c r="G813" s="3" t="s">
        <v>6105</v>
      </c>
      <c r="H813" s="3" t="s">
        <v>2087</v>
      </c>
      <c r="I813" s="3" t="s">
        <v>5986</v>
      </c>
      <c r="J813" s="3" t="s">
        <v>5999</v>
      </c>
      <c r="K813" s="4" t="b">
        <f>J813 = "blocking"</f>
        <v>1</v>
      </c>
      <c r="L813" s="3" t="s">
        <v>1448</v>
      </c>
      <c r="M813" s="3" t="s">
        <v>6106</v>
      </c>
      <c r="N813" s="5">
        <v>46223.1297337963</v>
      </c>
      <c r="O813" s="4" t="b">
        <f>L813 = "PASS"</f>
        <v>1</v>
      </c>
      <c r="P813" s="4" t="b">
        <f>L813 = "FAIL"</f>
        <v>0</v>
      </c>
      <c r="Q813" s="4" t="b">
        <f>AND(((P813)=TRUE), ((K813)=TRUE))</f>
        <v>0</v>
      </c>
      <c r="R813" s="4" t="str">
        <f>IF(((O813)=TRUE),  I813,  "")</f>
        <v>suite-substrate</v>
      </c>
      <c r="S813" s="4" t="str">
        <f>IF(((Q813)=TRUE),  I813,  "")</f>
      </c>
      <c r="T813" s="3" t="s">
        <v>6001</v>
      </c>
    </row>
    <row r="814">
      <c r="A814" s="3" t="s">
        <v>6849</v>
      </c>
      <c r="B814" s="4" t="str">
        <f>C814 &amp; ": " &amp; D814</f>
        <v>formula-translates: MessageDeliveries.HasOptOutPhrase</v>
      </c>
      <c r="C814" s="3" t="s">
        <v>6104</v>
      </c>
      <c r="D814" s="3" t="s">
        <v>4593</v>
      </c>
      <c r="E814" s="3" t="s">
        <v>4444</v>
      </c>
      <c r="F814" s="3" t="s">
        <v>4594</v>
      </c>
      <c r="G814" s="3" t="s">
        <v>6105</v>
      </c>
      <c r="H814" s="3" t="s">
        <v>2087</v>
      </c>
      <c r="I814" s="3" t="s">
        <v>5986</v>
      </c>
      <c r="J814" s="3" t="s">
        <v>5999</v>
      </c>
      <c r="K814" s="4" t="b">
        <f>J814 = "blocking"</f>
        <v>1</v>
      </c>
      <c r="L814" s="3" t="s">
        <v>1448</v>
      </c>
      <c r="M814" s="3" t="s">
        <v>6106</v>
      </c>
      <c r="N814" s="5">
        <v>46223.1297337963</v>
      </c>
      <c r="O814" s="4" t="b">
        <f>L814 = "PASS"</f>
        <v>1</v>
      </c>
      <c r="P814" s="4" t="b">
        <f>L814 = "FAIL"</f>
        <v>0</v>
      </c>
      <c r="Q814" s="4" t="b">
        <f>AND(((P814)=TRUE), ((K814)=TRUE))</f>
        <v>0</v>
      </c>
      <c r="R814" s="4" t="str">
        <f>IF(((O814)=TRUE),  I814,  "")</f>
        <v>suite-substrate</v>
      </c>
      <c r="S814" s="4" t="str">
        <f>IF(((Q814)=TRUE),  I814,  "")</f>
      </c>
      <c r="T814" s="3" t="s">
        <v>6001</v>
      </c>
    </row>
    <row r="815">
      <c r="A815" s="3" t="s">
        <v>6850</v>
      </c>
      <c r="B815" s="4" t="str">
        <f>C815 &amp; ": " &amp; D815</f>
        <v>formula-translates: MessageDeliveries.IsOptOutInFirstSegment</v>
      </c>
      <c r="C815" s="3" t="s">
        <v>6104</v>
      </c>
      <c r="D815" s="3" t="s">
        <v>4596</v>
      </c>
      <c r="E815" s="3" t="s">
        <v>4444</v>
      </c>
      <c r="F815" s="3" t="s">
        <v>4597</v>
      </c>
      <c r="G815" s="3" t="s">
        <v>6105</v>
      </c>
      <c r="H815" s="3" t="s">
        <v>2087</v>
      </c>
      <c r="I815" s="3" t="s">
        <v>5986</v>
      </c>
      <c r="J815" s="3" t="s">
        <v>5999</v>
      </c>
      <c r="K815" s="4" t="b">
        <f>J815 = "blocking"</f>
        <v>1</v>
      </c>
      <c r="L815" s="3" t="s">
        <v>1448</v>
      </c>
      <c r="M815" s="3" t="s">
        <v>6106</v>
      </c>
      <c r="N815" s="5">
        <v>46223.1297337963</v>
      </c>
      <c r="O815" s="4" t="b">
        <f>L815 = "PASS"</f>
        <v>1</v>
      </c>
      <c r="P815" s="4" t="b">
        <f>L815 = "FAIL"</f>
        <v>0</v>
      </c>
      <c r="Q815" s="4" t="b">
        <f>AND(((P815)=TRUE), ((K815)=TRUE))</f>
        <v>0</v>
      </c>
      <c r="R815" s="4" t="str">
        <f>IF(((O815)=TRUE),  I815,  "")</f>
        <v>suite-substrate</v>
      </c>
      <c r="S815" s="4" t="str">
        <f>IF(((Q815)=TRUE),  I815,  "")</f>
      </c>
      <c r="T815" s="3" t="s">
        <v>6001</v>
      </c>
    </row>
    <row r="816">
      <c r="A816" s="3" t="s">
        <v>6851</v>
      </c>
      <c r="B816" s="4" t="str">
        <f>C816 &amp; ": " &amp; D816</f>
        <v>formula-translates: MessageDeliveries.IsMissingRequiredOptOut</v>
      </c>
      <c r="C816" s="3" t="s">
        <v>6104</v>
      </c>
      <c r="D816" s="3" t="s">
        <v>4599</v>
      </c>
      <c r="E816" s="3" t="s">
        <v>4444</v>
      </c>
      <c r="F816" s="3" t="s">
        <v>4600</v>
      </c>
      <c r="G816" s="3" t="s">
        <v>6105</v>
      </c>
      <c r="H816" s="3" t="s">
        <v>2087</v>
      </c>
      <c r="I816" s="3" t="s">
        <v>5986</v>
      </c>
      <c r="J816" s="3" t="s">
        <v>5999</v>
      </c>
      <c r="K816" s="4" t="b">
        <f>J816 = "blocking"</f>
        <v>1</v>
      </c>
      <c r="L816" s="3" t="s">
        <v>1448</v>
      </c>
      <c r="M816" s="3" t="s">
        <v>6106</v>
      </c>
      <c r="N816" s="5">
        <v>46223.1297337963</v>
      </c>
      <c r="O816" s="4" t="b">
        <f>L816 = "PASS"</f>
        <v>1</v>
      </c>
      <c r="P816" s="4" t="b">
        <f>L816 = "FAIL"</f>
        <v>0</v>
      </c>
      <c r="Q816" s="4" t="b">
        <f>AND(((P816)=TRUE), ((K816)=TRUE))</f>
        <v>0</v>
      </c>
      <c r="R816" s="4" t="str">
        <f>IF(((O816)=TRUE),  I816,  "")</f>
        <v>suite-substrate</v>
      </c>
      <c r="S816" s="4" t="str">
        <f>IF(((Q816)=TRUE),  I816,  "")</f>
      </c>
      <c r="T816" s="3" t="s">
        <v>6001</v>
      </c>
    </row>
    <row r="817">
      <c r="A817" s="3" t="s">
        <v>6852</v>
      </c>
      <c r="B817" s="4" t="str">
        <f>C817 &amp; ": " &amp; D817</f>
        <v>formula-translates: MessageDeliveries.IsOptOutAtRiskOfTruncation</v>
      </c>
      <c r="C817" s="3" t="s">
        <v>6104</v>
      </c>
      <c r="D817" s="3" t="s">
        <v>4602</v>
      </c>
      <c r="E817" s="3" t="s">
        <v>4444</v>
      </c>
      <c r="F817" s="3" t="s">
        <v>4603</v>
      </c>
      <c r="G817" s="3" t="s">
        <v>6105</v>
      </c>
      <c r="H817" s="3" t="s">
        <v>2087</v>
      </c>
      <c r="I817" s="3" t="s">
        <v>5986</v>
      </c>
      <c r="J817" s="3" t="s">
        <v>5999</v>
      </c>
      <c r="K817" s="4" t="b">
        <f>J817 = "blocking"</f>
        <v>1</v>
      </c>
      <c r="L817" s="3" t="s">
        <v>1448</v>
      </c>
      <c r="M817" s="3" t="s">
        <v>6106</v>
      </c>
      <c r="N817" s="5">
        <v>46223.1297337963</v>
      </c>
      <c r="O817" s="4" t="b">
        <f>L817 = "PASS"</f>
        <v>1</v>
      </c>
      <c r="P817" s="4" t="b">
        <f>L817 = "FAIL"</f>
        <v>0</v>
      </c>
      <c r="Q817" s="4" t="b">
        <f>AND(((P817)=TRUE), ((K817)=TRUE))</f>
        <v>0</v>
      </c>
      <c r="R817" s="4" t="str">
        <f>IF(((O817)=TRUE),  I817,  "")</f>
        <v>suite-substrate</v>
      </c>
      <c r="S817" s="4" t="str">
        <f>IF(((Q817)=TRUE),  I817,  "")</f>
      </c>
      <c r="T817" s="3" t="s">
        <v>6001</v>
      </c>
    </row>
    <row r="818">
      <c r="A818" s="3" t="s">
        <v>6853</v>
      </c>
      <c r="B818" s="4" t="str">
        <f>C818 &amp; ": " &amp; D818</f>
        <v>formula-translates: MessageDeliveries.IsFailedDelivery</v>
      </c>
      <c r="C818" s="3" t="s">
        <v>6104</v>
      </c>
      <c r="D818" s="3" t="s">
        <v>4605</v>
      </c>
      <c r="E818" s="3" t="s">
        <v>4444</v>
      </c>
      <c r="F818" s="3" t="s">
        <v>4606</v>
      </c>
      <c r="G818" s="3" t="s">
        <v>6105</v>
      </c>
      <c r="H818" s="3" t="s">
        <v>2091</v>
      </c>
      <c r="I818" s="3" t="s">
        <v>5986</v>
      </c>
      <c r="J818" s="3" t="s">
        <v>5999</v>
      </c>
      <c r="K818" s="4" t="b">
        <f>J818 = "blocking"</f>
        <v>1</v>
      </c>
      <c r="L818" s="3" t="s">
        <v>1448</v>
      </c>
      <c r="M818" s="3" t="s">
        <v>6106</v>
      </c>
      <c r="N818" s="5">
        <v>46223.1297337963</v>
      </c>
      <c r="O818" s="4" t="b">
        <f>L818 = "PASS"</f>
        <v>1</v>
      </c>
      <c r="P818" s="4" t="b">
        <f>L818 = "FAIL"</f>
        <v>0</v>
      </c>
      <c r="Q818" s="4" t="b">
        <f>AND(((P818)=TRUE), ((K818)=TRUE))</f>
        <v>0</v>
      </c>
      <c r="R818" s="4" t="str">
        <f>IF(((O818)=TRUE),  I818,  "")</f>
        <v>suite-substrate</v>
      </c>
      <c r="S818" s="4" t="str">
        <f>IF(((Q818)=TRUE),  I818,  "")</f>
      </c>
      <c r="T818" s="3" t="s">
        <v>6001</v>
      </c>
    </row>
    <row r="819">
      <c r="A819" s="3" t="s">
        <v>6854</v>
      </c>
      <c r="B819" s="4" t="str">
        <f>C819 &amp; ": " &amp; D819</f>
        <v>formula-translates: MessageDeliveries.IsSuppressed</v>
      </c>
      <c r="C819" s="3" t="s">
        <v>6104</v>
      </c>
      <c r="D819" s="3" t="s">
        <v>4608</v>
      </c>
      <c r="E819" s="3" t="s">
        <v>4444</v>
      </c>
      <c r="F819" s="3" t="s">
        <v>4609</v>
      </c>
      <c r="G819" s="3" t="s">
        <v>6105</v>
      </c>
      <c r="H819" s="3" t="s">
        <v>2091</v>
      </c>
      <c r="I819" s="3" t="s">
        <v>5986</v>
      </c>
      <c r="J819" s="3" t="s">
        <v>5999</v>
      </c>
      <c r="K819" s="4" t="b">
        <f>J819 = "blocking"</f>
        <v>1</v>
      </c>
      <c r="L819" s="3" t="s">
        <v>1448</v>
      </c>
      <c r="M819" s="3" t="s">
        <v>6106</v>
      </c>
      <c r="N819" s="5">
        <v>46223.1297337963</v>
      </c>
      <c r="O819" s="4" t="b">
        <f>L819 = "PASS"</f>
        <v>1</v>
      </c>
      <c r="P819" s="4" t="b">
        <f>L819 = "FAIL"</f>
        <v>0</v>
      </c>
      <c r="Q819" s="4" t="b">
        <f>AND(((P819)=TRUE), ((K819)=TRUE))</f>
        <v>0</v>
      </c>
      <c r="R819" s="4" t="str">
        <f>IF(((O819)=TRUE),  I819,  "")</f>
        <v>suite-substrate</v>
      </c>
      <c r="S819" s="4" t="str">
        <f>IF(((Q819)=TRUE),  I819,  "")</f>
      </c>
      <c r="T819" s="3" t="s">
        <v>6001</v>
      </c>
    </row>
    <row r="820">
      <c r="A820" s="3" t="s">
        <v>6855</v>
      </c>
      <c r="B820" s="4" t="str">
        <f>C820 &amp; ": " &amp; D820</f>
        <v>formula-translates: MessageDeliveries.IsTriaged</v>
      </c>
      <c r="C820" s="3" t="s">
        <v>6104</v>
      </c>
      <c r="D820" s="3" t="s">
        <v>4611</v>
      </c>
      <c r="E820" s="3" t="s">
        <v>4444</v>
      </c>
      <c r="F820" s="3" t="s">
        <v>4612</v>
      </c>
      <c r="G820" s="3" t="s">
        <v>6105</v>
      </c>
      <c r="H820" s="3" t="s">
        <v>2091</v>
      </c>
      <c r="I820" s="3" t="s">
        <v>5986</v>
      </c>
      <c r="J820" s="3" t="s">
        <v>5999</v>
      </c>
      <c r="K820" s="4" t="b">
        <f>J820 = "blocking"</f>
        <v>1</v>
      </c>
      <c r="L820" s="3" t="s">
        <v>1448</v>
      </c>
      <c r="M820" s="3" t="s">
        <v>6106</v>
      </c>
      <c r="N820" s="5">
        <v>46223.1297337963</v>
      </c>
      <c r="O820" s="4" t="b">
        <f>L820 = "PASS"</f>
        <v>1</v>
      </c>
      <c r="P820" s="4" t="b">
        <f>L820 = "FAIL"</f>
        <v>0</v>
      </c>
      <c r="Q820" s="4" t="b">
        <f>AND(((P820)=TRUE), ((K820)=TRUE))</f>
        <v>0</v>
      </c>
      <c r="R820" s="4" t="str">
        <f>IF(((O820)=TRUE),  I820,  "")</f>
        <v>suite-substrate</v>
      </c>
      <c r="S820" s="4" t="str">
        <f>IF(((Q820)=TRUE),  I820,  "")</f>
      </c>
      <c r="T820" s="3" t="s">
        <v>6001</v>
      </c>
    </row>
    <row r="821">
      <c r="A821" s="3" t="s">
        <v>6856</v>
      </c>
      <c r="B821" s="4" t="str">
        <f>C821 &amp; ": " &amp; D821</f>
        <v>formula-translates: MessageDeliveries.IsAbandonedFailure</v>
      </c>
      <c r="C821" s="3" t="s">
        <v>6104</v>
      </c>
      <c r="D821" s="3" t="s">
        <v>4614</v>
      </c>
      <c r="E821" s="3" t="s">
        <v>4444</v>
      </c>
      <c r="F821" s="3" t="s">
        <v>4615</v>
      </c>
      <c r="G821" s="3" t="s">
        <v>6105</v>
      </c>
      <c r="H821" s="3" t="s">
        <v>2091</v>
      </c>
      <c r="I821" s="3" t="s">
        <v>5986</v>
      </c>
      <c r="J821" s="3" t="s">
        <v>5999</v>
      </c>
      <c r="K821" s="4" t="b">
        <f>J821 = "blocking"</f>
        <v>1</v>
      </c>
      <c r="L821" s="3" t="s">
        <v>1448</v>
      </c>
      <c r="M821" s="3" t="s">
        <v>6106</v>
      </c>
      <c r="N821" s="5">
        <v>46223.1297337963</v>
      </c>
      <c r="O821" s="4" t="b">
        <f>L821 = "PASS"</f>
        <v>1</v>
      </c>
      <c r="P821" s="4" t="b">
        <f>L821 = "FAIL"</f>
        <v>0</v>
      </c>
      <c r="Q821" s="4" t="b">
        <f>AND(((P821)=TRUE), ((K821)=TRUE))</f>
        <v>0</v>
      </c>
      <c r="R821" s="4" t="str">
        <f>IF(((O821)=TRUE),  I821,  "")</f>
        <v>suite-substrate</v>
      </c>
      <c r="S821" s="4" t="str">
        <f>IF(((Q821)=TRUE),  I821,  "")</f>
      </c>
      <c r="T821" s="3" t="s">
        <v>6001</v>
      </c>
    </row>
    <row r="822">
      <c r="A822" s="3" t="s">
        <v>6857</v>
      </c>
      <c r="B822" s="4" t="str">
        <f>C822 &amp; ": " &amp; D822</f>
        <v>formula-translates: MessageDeliveries.AbandonedFailureExecutionKey</v>
      </c>
      <c r="C822" s="3" t="s">
        <v>6104</v>
      </c>
      <c r="D822" s="3" t="s">
        <v>4617</v>
      </c>
      <c r="E822" s="3" t="s">
        <v>4444</v>
      </c>
      <c r="F822" s="3" t="s">
        <v>4618</v>
      </c>
      <c r="G822" s="3" t="s">
        <v>6105</v>
      </c>
      <c r="H822" s="3" t="s">
        <v>2091</v>
      </c>
      <c r="I822" s="3" t="s">
        <v>5986</v>
      </c>
      <c r="J822" s="3" t="s">
        <v>5999</v>
      </c>
      <c r="K822" s="4" t="b">
        <f>J822 = "blocking"</f>
        <v>1</v>
      </c>
      <c r="L822" s="3" t="s">
        <v>1448</v>
      </c>
      <c r="M822" s="3" t="s">
        <v>6106</v>
      </c>
      <c r="N822" s="5">
        <v>46223.1297337963</v>
      </c>
      <c r="O822" s="4" t="b">
        <f>L822 = "PASS"</f>
        <v>1</v>
      </c>
      <c r="P822" s="4" t="b">
        <f>L822 = "FAIL"</f>
        <v>0</v>
      </c>
      <c r="Q822" s="4" t="b">
        <f>AND(((P822)=TRUE), ((K822)=TRUE))</f>
        <v>0</v>
      </c>
      <c r="R822" s="4" t="str">
        <f>IF(((O822)=TRUE),  I822,  "")</f>
        <v>suite-substrate</v>
      </c>
      <c r="S822" s="4" t="str">
        <f>IF(((Q822)=TRUE),  I822,  "")</f>
      </c>
      <c r="T822" s="3" t="s">
        <v>6001</v>
      </c>
    </row>
    <row r="823">
      <c r="A823" s="3" t="s">
        <v>6858</v>
      </c>
      <c r="B823" s="4" t="str">
        <f>C823 &amp; ": " &amp; D823</f>
        <v>formula-translates: MessageDeliveries.ReachedExecutionKey</v>
      </c>
      <c r="C823" s="3" t="s">
        <v>6104</v>
      </c>
      <c r="D823" s="3" t="s">
        <v>4620</v>
      </c>
      <c r="E823" s="3" t="s">
        <v>4444</v>
      </c>
      <c r="F823" s="3" t="s">
        <v>4621</v>
      </c>
      <c r="G823" s="3" t="s">
        <v>6105</v>
      </c>
      <c r="H823" s="3" t="s">
        <v>2091</v>
      </c>
      <c r="I823" s="3" t="s">
        <v>5986</v>
      </c>
      <c r="J823" s="3" t="s">
        <v>5999</v>
      </c>
      <c r="K823" s="4" t="b">
        <f>J823 = "blocking"</f>
        <v>1</v>
      </c>
      <c r="L823" s="3" t="s">
        <v>1448</v>
      </c>
      <c r="M823" s="3" t="s">
        <v>6106</v>
      </c>
      <c r="N823" s="5">
        <v>46223.1297337963</v>
      </c>
      <c r="O823" s="4" t="b">
        <f>L823 = "PASS"</f>
        <v>1</v>
      </c>
      <c r="P823" s="4" t="b">
        <f>L823 = "FAIL"</f>
        <v>0</v>
      </c>
      <c r="Q823" s="4" t="b">
        <f>AND(((P823)=TRUE), ((K823)=TRUE))</f>
        <v>0</v>
      </c>
      <c r="R823" s="4" t="str">
        <f>IF(((O823)=TRUE),  I823,  "")</f>
        <v>suite-substrate</v>
      </c>
      <c r="S823" s="4" t="str">
        <f>IF(((Q823)=TRUE),  I823,  "")</f>
      </c>
      <c r="T823" s="3" t="s">
        <v>6001</v>
      </c>
    </row>
    <row r="824">
      <c r="A824" s="3" t="s">
        <v>6859</v>
      </c>
      <c r="B824" s="4" t="str">
        <f>C824 &amp; ": " &amp; D824</f>
        <v>formula-translates: MessageDeliveries.TemplateWasSendable</v>
      </c>
      <c r="C824" s="3" t="s">
        <v>6104</v>
      </c>
      <c r="D824" s="3" t="s">
        <v>4623</v>
      </c>
      <c r="E824" s="3" t="s">
        <v>4444</v>
      </c>
      <c r="F824" s="3" t="s">
        <v>4624</v>
      </c>
      <c r="G824" s="3" t="s">
        <v>6105</v>
      </c>
      <c r="H824" s="3" t="s">
        <v>2095</v>
      </c>
      <c r="I824" s="3" t="s">
        <v>5986</v>
      </c>
      <c r="J824" s="3" t="s">
        <v>5999</v>
      </c>
      <c r="K824" s="4" t="b">
        <f>J824 = "blocking"</f>
        <v>1</v>
      </c>
      <c r="L824" s="3" t="s">
        <v>1448</v>
      </c>
      <c r="M824" s="3" t="s">
        <v>6106</v>
      </c>
      <c r="N824" s="5">
        <v>46223.1297337963</v>
      </c>
      <c r="O824" s="4" t="b">
        <f>L824 = "PASS"</f>
        <v>1</v>
      </c>
      <c r="P824" s="4" t="b">
        <f>L824 = "FAIL"</f>
        <v>0</v>
      </c>
      <c r="Q824" s="4" t="b">
        <f>AND(((P824)=TRUE), ((K824)=TRUE))</f>
        <v>0</v>
      </c>
      <c r="R824" s="4" t="str">
        <f>IF(((O824)=TRUE),  I824,  "")</f>
        <v>suite-substrate</v>
      </c>
      <c r="S824" s="4" t="str">
        <f>IF(((Q824)=TRUE),  I824,  "")</f>
      </c>
      <c r="T824" s="3" t="s">
        <v>6001</v>
      </c>
    </row>
    <row r="825">
      <c r="A825" s="3" t="s">
        <v>6860</v>
      </c>
      <c r="B825" s="4" t="str">
        <f>C825 &amp; ": " &amp; D825</f>
        <v>formula-translates: MessageDeliveries.IsDriftedSend</v>
      </c>
      <c r="C825" s="3" t="s">
        <v>6104</v>
      </c>
      <c r="D825" s="3" t="s">
        <v>4626</v>
      </c>
      <c r="E825" s="3" t="s">
        <v>4444</v>
      </c>
      <c r="F825" s="3" t="s">
        <v>4627</v>
      </c>
      <c r="G825" s="3" t="s">
        <v>6105</v>
      </c>
      <c r="H825" s="3" t="s">
        <v>2095</v>
      </c>
      <c r="I825" s="3" t="s">
        <v>5986</v>
      </c>
      <c r="J825" s="3" t="s">
        <v>5999</v>
      </c>
      <c r="K825" s="4" t="b">
        <f>J825 = "blocking"</f>
        <v>1</v>
      </c>
      <c r="L825" s="3" t="s">
        <v>1448</v>
      </c>
      <c r="M825" s="3" t="s">
        <v>6106</v>
      </c>
      <c r="N825" s="5">
        <v>46223.1297337963</v>
      </c>
      <c r="O825" s="4" t="b">
        <f>L825 = "PASS"</f>
        <v>1</v>
      </c>
      <c r="P825" s="4" t="b">
        <f>L825 = "FAIL"</f>
        <v>0</v>
      </c>
      <c r="Q825" s="4" t="b">
        <f>AND(((P825)=TRUE), ((K825)=TRUE))</f>
        <v>0</v>
      </c>
      <c r="R825" s="4" t="str">
        <f>IF(((O825)=TRUE),  I825,  "")</f>
        <v>suite-substrate</v>
      </c>
      <c r="S825" s="4" t="str">
        <f>IF(((Q825)=TRUE),  I825,  "")</f>
      </c>
      <c r="T825" s="3" t="s">
        <v>6001</v>
      </c>
    </row>
    <row r="826">
      <c r="A826" s="3" t="s">
        <v>6861</v>
      </c>
      <c r="B826" s="4" t="str">
        <f>C826 &amp; ": " &amp; D826</f>
        <v>formula-translates: MessageDeliveries.DriftedSendTemplateKey</v>
      </c>
      <c r="C826" s="3" t="s">
        <v>6104</v>
      </c>
      <c r="D826" s="3" t="s">
        <v>4629</v>
      </c>
      <c r="E826" s="3" t="s">
        <v>4444</v>
      </c>
      <c r="F826" s="3" t="s">
        <v>4630</v>
      </c>
      <c r="G826" s="3" t="s">
        <v>6105</v>
      </c>
      <c r="H826" s="3" t="s">
        <v>2095</v>
      </c>
      <c r="I826" s="3" t="s">
        <v>5986</v>
      </c>
      <c r="J826" s="3" t="s">
        <v>5999</v>
      </c>
      <c r="K826" s="4" t="b">
        <f>J826 = "blocking"</f>
        <v>1</v>
      </c>
      <c r="L826" s="3" t="s">
        <v>1448</v>
      </c>
      <c r="M826" s="3" t="s">
        <v>6106</v>
      </c>
      <c r="N826" s="5">
        <v>46223.1297337963</v>
      </c>
      <c r="O826" s="4" t="b">
        <f>L826 = "PASS"</f>
        <v>1</v>
      </c>
      <c r="P826" s="4" t="b">
        <f>L826 = "FAIL"</f>
        <v>0</v>
      </c>
      <c r="Q826" s="4" t="b">
        <f>AND(((P826)=TRUE), ((K826)=TRUE))</f>
        <v>0</v>
      </c>
      <c r="R826" s="4" t="str">
        <f>IF(((O826)=TRUE),  I826,  "")</f>
        <v>suite-substrate</v>
      </c>
      <c r="S826" s="4" t="str">
        <f>IF(((Q826)=TRUE),  I826,  "")</f>
      </c>
      <c r="T826" s="3" t="s">
        <v>6001</v>
      </c>
    </row>
    <row r="827">
      <c r="A827" s="3" t="s">
        <v>6862</v>
      </c>
      <c r="B827" s="4" t="str">
        <f>C827 &amp; ": " &amp; D827</f>
        <v>formula-translates: MessageDeliveries.WasSentOutsideBusinessHours</v>
      </c>
      <c r="C827" s="3" t="s">
        <v>6104</v>
      </c>
      <c r="D827" s="3" t="s">
        <v>4632</v>
      </c>
      <c r="E827" s="3" t="s">
        <v>4444</v>
      </c>
      <c r="F827" s="3" t="s">
        <v>4633</v>
      </c>
      <c r="G827" s="3" t="s">
        <v>6105</v>
      </c>
      <c r="H827" s="3" t="s">
        <v>2323</v>
      </c>
      <c r="I827" s="3" t="s">
        <v>5986</v>
      </c>
      <c r="J827" s="3" t="s">
        <v>5999</v>
      </c>
      <c r="K827" s="4" t="b">
        <f>J827 = "blocking"</f>
        <v>1</v>
      </c>
      <c r="L827" s="3" t="s">
        <v>1448</v>
      </c>
      <c r="M827" s="3" t="s">
        <v>6106</v>
      </c>
      <c r="N827" s="5">
        <v>46223.1297337963</v>
      </c>
      <c r="O827" s="4" t="b">
        <f>L827 = "PASS"</f>
        <v>1</v>
      </c>
      <c r="P827" s="4" t="b">
        <f>L827 = "FAIL"</f>
        <v>0</v>
      </c>
      <c r="Q827" s="4" t="b">
        <f>AND(((P827)=TRUE), ((K827)=TRUE))</f>
        <v>0</v>
      </c>
      <c r="R827" s="4" t="str">
        <f>IF(((O827)=TRUE),  I827,  "")</f>
        <v>suite-substrate</v>
      </c>
      <c r="S827" s="4" t="str">
        <f>IF(((Q827)=TRUE),  I827,  "")</f>
      </c>
      <c r="T827" s="3" t="s">
        <v>6001</v>
      </c>
    </row>
    <row r="828">
      <c r="A828" s="3" t="s">
        <v>6863</v>
      </c>
      <c r="B828" s="4" t="str">
        <f>C828 &amp; ": " &amp; D828</f>
        <v>formula-translates: MessageDeliveries.WasDeliveredAndUnanswered</v>
      </c>
      <c r="C828" s="3" t="s">
        <v>6104</v>
      </c>
      <c r="D828" s="3" t="s">
        <v>4635</v>
      </c>
      <c r="E828" s="3" t="s">
        <v>4444</v>
      </c>
      <c r="F828" s="3" t="s">
        <v>4636</v>
      </c>
      <c r="G828" s="3" t="s">
        <v>6105</v>
      </c>
      <c r="H828" s="3" t="s">
        <v>2323</v>
      </c>
      <c r="I828" s="3" t="s">
        <v>5986</v>
      </c>
      <c r="J828" s="3" t="s">
        <v>5999</v>
      </c>
      <c r="K828" s="4" t="b">
        <f>J828 = "blocking"</f>
        <v>1</v>
      </c>
      <c r="L828" s="3" t="s">
        <v>1448</v>
      </c>
      <c r="M828" s="3" t="s">
        <v>6106</v>
      </c>
      <c r="N828" s="5">
        <v>46223.1297337963</v>
      </c>
      <c r="O828" s="4" t="b">
        <f>L828 = "PASS"</f>
        <v>1</v>
      </c>
      <c r="P828" s="4" t="b">
        <f>L828 = "FAIL"</f>
        <v>0</v>
      </c>
      <c r="Q828" s="4" t="b">
        <f>AND(((P828)=TRUE), ((K828)=TRUE))</f>
        <v>0</v>
      </c>
      <c r="R828" s="4" t="str">
        <f>IF(((O828)=TRUE),  I828,  "")</f>
        <v>suite-substrate</v>
      </c>
      <c r="S828" s="4" t="str">
        <f>IF(((Q828)=TRUE),  I828,  "")</f>
      </c>
      <c r="T828" s="3" t="s">
        <v>6001</v>
      </c>
    </row>
    <row r="829">
      <c r="A829" s="3" t="s">
        <v>6864</v>
      </c>
      <c r="B829" s="4" t="str">
        <f>C829 &amp; ": " &amp; D829</f>
        <v>formula-translates: MessageDeliveries.IsPoorlyTimedUnanswered</v>
      </c>
      <c r="C829" s="3" t="s">
        <v>6104</v>
      </c>
      <c r="D829" s="3" t="s">
        <v>4638</v>
      </c>
      <c r="E829" s="3" t="s">
        <v>4444</v>
      </c>
      <c r="F829" s="3" t="s">
        <v>4639</v>
      </c>
      <c r="G829" s="3" t="s">
        <v>6105</v>
      </c>
      <c r="H829" s="3" t="s">
        <v>2323</v>
      </c>
      <c r="I829" s="3" t="s">
        <v>5986</v>
      </c>
      <c r="J829" s="3" t="s">
        <v>5999</v>
      </c>
      <c r="K829" s="4" t="b">
        <f>J829 = "blocking"</f>
        <v>1</v>
      </c>
      <c r="L829" s="3" t="s">
        <v>1448</v>
      </c>
      <c r="M829" s="3" t="s">
        <v>6106</v>
      </c>
      <c r="N829" s="5">
        <v>46223.1297337963</v>
      </c>
      <c r="O829" s="4" t="b">
        <f>L829 = "PASS"</f>
        <v>1</v>
      </c>
      <c r="P829" s="4" t="b">
        <f>L829 = "FAIL"</f>
        <v>0</v>
      </c>
      <c r="Q829" s="4" t="b">
        <f>AND(((P829)=TRUE), ((K829)=TRUE))</f>
        <v>0</v>
      </c>
      <c r="R829" s="4" t="str">
        <f>IF(((O829)=TRUE),  I829,  "")</f>
        <v>suite-substrate</v>
      </c>
      <c r="S829" s="4" t="str">
        <f>IF(((Q829)=TRUE),  I829,  "")</f>
      </c>
      <c r="T829" s="3" t="s">
        <v>6001</v>
      </c>
    </row>
    <row r="830">
      <c r="A830" s="3" t="s">
        <v>6865</v>
      </c>
      <c r="B830" s="4" t="str">
        <f>C830 &amp; ": " &amp; D830</f>
        <v>formula-translates: MessageDeliveries.IsWellTimedUnanswered</v>
      </c>
      <c r="C830" s="3" t="s">
        <v>6104</v>
      </c>
      <c r="D830" s="3" t="s">
        <v>4641</v>
      </c>
      <c r="E830" s="3" t="s">
        <v>4444</v>
      </c>
      <c r="F830" s="3" t="s">
        <v>4642</v>
      </c>
      <c r="G830" s="3" t="s">
        <v>6105</v>
      </c>
      <c r="H830" s="3" t="s">
        <v>2323</v>
      </c>
      <c r="I830" s="3" t="s">
        <v>5986</v>
      </c>
      <c r="J830" s="3" t="s">
        <v>5999</v>
      </c>
      <c r="K830" s="4" t="b">
        <f>J830 = "blocking"</f>
        <v>1</v>
      </c>
      <c r="L830" s="3" t="s">
        <v>1448</v>
      </c>
      <c r="M830" s="3" t="s">
        <v>6106</v>
      </c>
      <c r="N830" s="5">
        <v>46223.1297337963</v>
      </c>
      <c r="O830" s="4" t="b">
        <f>L830 = "PASS"</f>
        <v>1</v>
      </c>
      <c r="P830" s="4" t="b">
        <f>L830 = "FAIL"</f>
        <v>0</v>
      </c>
      <c r="Q830" s="4" t="b">
        <f>AND(((P830)=TRUE), ((K830)=TRUE))</f>
        <v>0</v>
      </c>
      <c r="R830" s="4" t="str">
        <f>IF(((O830)=TRUE),  I830,  "")</f>
        <v>suite-substrate</v>
      </c>
      <c r="S830" s="4" t="str">
        <f>IF(((Q830)=TRUE),  I830,  "")</f>
      </c>
      <c r="T830" s="3" t="s">
        <v>6001</v>
      </c>
    </row>
    <row r="831">
      <c r="A831" s="3" t="s">
        <v>6866</v>
      </c>
      <c r="B831" s="4" t="str">
        <f>C831 &amp; ": " &amp; D831</f>
        <v>formula-translates: MessageDeliveries.UnansweredTemplateKey</v>
      </c>
      <c r="C831" s="3" t="s">
        <v>6104</v>
      </c>
      <c r="D831" s="3" t="s">
        <v>4644</v>
      </c>
      <c r="E831" s="3" t="s">
        <v>4444</v>
      </c>
      <c r="F831" s="3" t="s">
        <v>4645</v>
      </c>
      <c r="G831" s="3" t="s">
        <v>6105</v>
      </c>
      <c r="H831" s="3" t="s">
        <v>2323</v>
      </c>
      <c r="I831" s="3" t="s">
        <v>5986</v>
      </c>
      <c r="J831" s="3" t="s">
        <v>5999</v>
      </c>
      <c r="K831" s="4" t="b">
        <f>J831 = "blocking"</f>
        <v>1</v>
      </c>
      <c r="L831" s="3" t="s">
        <v>1448</v>
      </c>
      <c r="M831" s="3" t="s">
        <v>6106</v>
      </c>
      <c r="N831" s="5">
        <v>46223.1297337963</v>
      </c>
      <c r="O831" s="4" t="b">
        <f>L831 = "PASS"</f>
        <v>1</v>
      </c>
      <c r="P831" s="4" t="b">
        <f>L831 = "FAIL"</f>
        <v>0</v>
      </c>
      <c r="Q831" s="4" t="b">
        <f>AND(((P831)=TRUE), ((K831)=TRUE))</f>
        <v>0</v>
      </c>
      <c r="R831" s="4" t="str">
        <f>IF(((O831)=TRUE),  I831,  "")</f>
        <v>suite-substrate</v>
      </c>
      <c r="S831" s="4" t="str">
        <f>IF(((Q831)=TRUE),  I831,  "")</f>
      </c>
      <c r="T831" s="3" t="s">
        <v>6001</v>
      </c>
    </row>
    <row r="832">
      <c r="A832" s="3" t="s">
        <v>6867</v>
      </c>
      <c r="B832" s="4" t="str">
        <f>C832 &amp; ": " &amp; D832</f>
        <v>formula-translates: MessageDeliveries.TransmittedTemplateKey</v>
      </c>
      <c r="C832" s="3" t="s">
        <v>6104</v>
      </c>
      <c r="D832" s="3" t="s">
        <v>4647</v>
      </c>
      <c r="E832" s="3" t="s">
        <v>4444</v>
      </c>
      <c r="F832" s="3" t="s">
        <v>4648</v>
      </c>
      <c r="G832" s="3" t="s">
        <v>6105</v>
      </c>
      <c r="H832" s="3" t="s">
        <v>2323</v>
      </c>
      <c r="I832" s="3" t="s">
        <v>5986</v>
      </c>
      <c r="J832" s="3" t="s">
        <v>5999</v>
      </c>
      <c r="K832" s="4" t="b">
        <f>J832 = "blocking"</f>
        <v>1</v>
      </c>
      <c r="L832" s="3" t="s">
        <v>1448</v>
      </c>
      <c r="M832" s="3" t="s">
        <v>6106</v>
      </c>
      <c r="N832" s="5">
        <v>46223.1297337963</v>
      </c>
      <c r="O832" s="4" t="b">
        <f>L832 = "PASS"</f>
        <v>1</v>
      </c>
      <c r="P832" s="4" t="b">
        <f>L832 = "FAIL"</f>
        <v>0</v>
      </c>
      <c r="Q832" s="4" t="b">
        <f>AND(((P832)=TRUE), ((K832)=TRUE))</f>
        <v>0</v>
      </c>
      <c r="R832" s="4" t="str">
        <f>IF(((O832)=TRUE),  I832,  "")</f>
        <v>suite-substrate</v>
      </c>
      <c r="S832" s="4" t="str">
        <f>IF(((Q832)=TRUE),  I832,  "")</f>
      </c>
      <c r="T832" s="3" t="s">
        <v>6001</v>
      </c>
    </row>
    <row r="833">
      <c r="A833" s="3" t="s">
        <v>6868</v>
      </c>
      <c r="B833" s="4" t="str">
        <f>C833 &amp; ": " &amp; D833</f>
        <v>formula-translates: MessageDeliveries.ApprovalPrecededSend</v>
      </c>
      <c r="C833" s="3" t="s">
        <v>6104</v>
      </c>
      <c r="D833" s="3" t="s">
        <v>4656</v>
      </c>
      <c r="E833" s="3" t="s">
        <v>4444</v>
      </c>
      <c r="F833" s="3" t="s">
        <v>4657</v>
      </c>
      <c r="G833" s="3" t="s">
        <v>6105</v>
      </c>
      <c r="H833" s="3" t="s">
        <v>2331</v>
      </c>
      <c r="I833" s="3" t="s">
        <v>5986</v>
      </c>
      <c r="J833" s="3" t="s">
        <v>5999</v>
      </c>
      <c r="K833" s="4" t="b">
        <f>J833 = "blocking"</f>
        <v>1</v>
      </c>
      <c r="L833" s="3" t="s">
        <v>1448</v>
      </c>
      <c r="M833" s="3" t="s">
        <v>6106</v>
      </c>
      <c r="N833" s="5">
        <v>46223.1297337963</v>
      </c>
      <c r="O833" s="4" t="b">
        <f>L833 = "PASS"</f>
        <v>1</v>
      </c>
      <c r="P833" s="4" t="b">
        <f>L833 = "FAIL"</f>
        <v>0</v>
      </c>
      <c r="Q833" s="4" t="b">
        <f>AND(((P833)=TRUE), ((K833)=TRUE))</f>
        <v>0</v>
      </c>
      <c r="R833" s="4" t="str">
        <f>IF(((O833)=TRUE),  I833,  "")</f>
        <v>suite-substrate</v>
      </c>
      <c r="S833" s="4" t="str">
        <f>IF(((Q833)=TRUE),  I833,  "")</f>
      </c>
      <c r="T833" s="3" t="s">
        <v>6001</v>
      </c>
    </row>
    <row r="834">
      <c r="A834" s="3" t="s">
        <v>6869</v>
      </c>
      <c r="B834" s="4" t="str">
        <f>C834 &amp; ": " &amp; D834</f>
        <v>formula-translates: MessageDeliveries.HasFrozenApprovalEvidence</v>
      </c>
      <c r="C834" s="3" t="s">
        <v>6104</v>
      </c>
      <c r="D834" s="3" t="s">
        <v>4659</v>
      </c>
      <c r="E834" s="3" t="s">
        <v>4444</v>
      </c>
      <c r="F834" s="3" t="s">
        <v>4660</v>
      </c>
      <c r="G834" s="3" t="s">
        <v>6105</v>
      </c>
      <c r="H834" s="3" t="s">
        <v>2331</v>
      </c>
      <c r="I834" s="3" t="s">
        <v>5986</v>
      </c>
      <c r="J834" s="3" t="s">
        <v>5999</v>
      </c>
      <c r="K834" s="4" t="b">
        <f>J834 = "blocking"</f>
        <v>1</v>
      </c>
      <c r="L834" s="3" t="s">
        <v>1448</v>
      </c>
      <c r="M834" s="3" t="s">
        <v>6106</v>
      </c>
      <c r="N834" s="5">
        <v>46223.1297337963</v>
      </c>
      <c r="O834" s="4" t="b">
        <f>L834 = "PASS"</f>
        <v>1</v>
      </c>
      <c r="P834" s="4" t="b">
        <f>L834 = "FAIL"</f>
        <v>0</v>
      </c>
      <c r="Q834" s="4" t="b">
        <f>AND(((P834)=TRUE), ((K834)=TRUE))</f>
        <v>0</v>
      </c>
      <c r="R834" s="4" t="str">
        <f>IF(((O834)=TRUE),  I834,  "")</f>
        <v>suite-substrate</v>
      </c>
      <c r="S834" s="4" t="str">
        <f>IF(((Q834)=TRUE),  I834,  "")</f>
      </c>
      <c r="T834" s="3" t="s">
        <v>6001</v>
      </c>
    </row>
    <row r="835">
      <c r="A835" s="3" t="s">
        <v>6870</v>
      </c>
      <c r="B835" s="4" t="str">
        <f>C835 &amp; ": " &amp; D835</f>
        <v>formula-translates: MessageDeliveries.ProvenanceIsLiveDerived</v>
      </c>
      <c r="C835" s="3" t="s">
        <v>6104</v>
      </c>
      <c r="D835" s="3" t="s">
        <v>4662</v>
      </c>
      <c r="E835" s="3" t="s">
        <v>4444</v>
      </c>
      <c r="F835" s="3" t="s">
        <v>4663</v>
      </c>
      <c r="G835" s="3" t="s">
        <v>6105</v>
      </c>
      <c r="H835" s="3" t="s">
        <v>2331</v>
      </c>
      <c r="I835" s="3" t="s">
        <v>5986</v>
      </c>
      <c r="J835" s="3" t="s">
        <v>5999</v>
      </c>
      <c r="K835" s="4" t="b">
        <f>J835 = "blocking"</f>
        <v>1</v>
      </c>
      <c r="L835" s="3" t="s">
        <v>1448</v>
      </c>
      <c r="M835" s="3" t="s">
        <v>6106</v>
      </c>
      <c r="N835" s="5">
        <v>46223.1297337963</v>
      </c>
      <c r="O835" s="4" t="b">
        <f>L835 = "PASS"</f>
        <v>1</v>
      </c>
      <c r="P835" s="4" t="b">
        <f>L835 = "FAIL"</f>
        <v>0</v>
      </c>
      <c r="Q835" s="4" t="b">
        <f>AND(((P835)=TRUE), ((K835)=TRUE))</f>
        <v>0</v>
      </c>
      <c r="R835" s="4" t="str">
        <f>IF(((O835)=TRUE),  I835,  "")</f>
        <v>suite-substrate</v>
      </c>
      <c r="S835" s="4" t="str">
        <f>IF(((Q835)=TRUE),  I835,  "")</f>
      </c>
      <c r="T835" s="3" t="s">
        <v>6001</v>
      </c>
    </row>
    <row r="836">
      <c r="A836" s="3" t="s">
        <v>6871</v>
      </c>
      <c r="B836" s="4" t="str">
        <f>C836 &amp; ": " &amp; D836</f>
        <v>formula-translates: MessageDeliveries.CurrentLastApprovalAt</v>
      </c>
      <c r="C836" s="3" t="s">
        <v>6104</v>
      </c>
      <c r="D836" s="3" t="s">
        <v>4665</v>
      </c>
      <c r="E836" s="3" t="s">
        <v>4444</v>
      </c>
      <c r="F836" s="3" t="s">
        <v>4666</v>
      </c>
      <c r="G836" s="3" t="s">
        <v>6105</v>
      </c>
      <c r="H836" s="3" t="s">
        <v>2331</v>
      </c>
      <c r="I836" s="3" t="s">
        <v>5986</v>
      </c>
      <c r="J836" s="3" t="s">
        <v>5999</v>
      </c>
      <c r="K836" s="4" t="b">
        <f>J836 = "blocking"</f>
        <v>1</v>
      </c>
      <c r="L836" s="3" t="s">
        <v>1448</v>
      </c>
      <c r="M836" s="3" t="s">
        <v>6106</v>
      </c>
      <c r="N836" s="5">
        <v>46223.1297337963</v>
      </c>
      <c r="O836" s="4" t="b">
        <f>L836 = "PASS"</f>
        <v>1</v>
      </c>
      <c r="P836" s="4" t="b">
        <f>L836 = "FAIL"</f>
        <v>0</v>
      </c>
      <c r="Q836" s="4" t="b">
        <f>AND(((P836)=TRUE), ((K836)=TRUE))</f>
        <v>0</v>
      </c>
      <c r="R836" s="4" t="str">
        <f>IF(((O836)=TRUE),  I836,  "")</f>
        <v>suite-substrate</v>
      </c>
      <c r="S836" s="4" t="str">
        <f>IF(((Q836)=TRUE),  I836,  "")</f>
      </c>
      <c r="T836" s="3" t="s">
        <v>6001</v>
      </c>
    </row>
    <row r="837">
      <c r="A837" s="3" t="s">
        <v>6872</v>
      </c>
      <c r="B837" s="4" t="str">
        <f>C837 &amp; ": " &amp; D837</f>
        <v>formula-translates: MessageDeliveries.TemplateReapprovedSinceSend</v>
      </c>
      <c r="C837" s="3" t="s">
        <v>6104</v>
      </c>
      <c r="D837" s="3" t="s">
        <v>4668</v>
      </c>
      <c r="E837" s="3" t="s">
        <v>4444</v>
      </c>
      <c r="F837" s="3" t="s">
        <v>4669</v>
      </c>
      <c r="G837" s="3" t="s">
        <v>6105</v>
      </c>
      <c r="H837" s="3" t="s">
        <v>2331</v>
      </c>
      <c r="I837" s="3" t="s">
        <v>5986</v>
      </c>
      <c r="J837" s="3" t="s">
        <v>5999</v>
      </c>
      <c r="K837" s="4" t="b">
        <f>J837 = "blocking"</f>
        <v>1</v>
      </c>
      <c r="L837" s="3" t="s">
        <v>1448</v>
      </c>
      <c r="M837" s="3" t="s">
        <v>6106</v>
      </c>
      <c r="N837" s="5">
        <v>46223.1297337963</v>
      </c>
      <c r="O837" s="4" t="b">
        <f>L837 = "PASS"</f>
        <v>1</v>
      </c>
      <c r="P837" s="4" t="b">
        <f>L837 = "FAIL"</f>
        <v>0</v>
      </c>
      <c r="Q837" s="4" t="b">
        <f>AND(((P837)=TRUE), ((K837)=TRUE))</f>
        <v>0</v>
      </c>
      <c r="R837" s="4" t="str">
        <f>IF(((O837)=TRUE),  I837,  "")</f>
        <v>suite-substrate</v>
      </c>
      <c r="S837" s="4" t="str">
        <f>IF(((Q837)=TRUE),  I837,  "")</f>
      </c>
      <c r="T837" s="3" t="s">
        <v>6001</v>
      </c>
    </row>
    <row r="838">
      <c r="A838" s="3" t="s">
        <v>6873</v>
      </c>
      <c r="B838" s="4" t="str">
        <f>C838 &amp; ": " &amp; D838</f>
        <v>formula-translates: MessageDeliveries.IsUnprovableApprovalClaim</v>
      </c>
      <c r="C838" s="3" t="s">
        <v>6104</v>
      </c>
      <c r="D838" s="3" t="s">
        <v>4671</v>
      </c>
      <c r="E838" s="3" t="s">
        <v>4444</v>
      </c>
      <c r="F838" s="3" t="s">
        <v>4672</v>
      </c>
      <c r="G838" s="3" t="s">
        <v>6105</v>
      </c>
      <c r="H838" s="3" t="s">
        <v>2331</v>
      </c>
      <c r="I838" s="3" t="s">
        <v>5986</v>
      </c>
      <c r="J838" s="3" t="s">
        <v>5999</v>
      </c>
      <c r="K838" s="4" t="b">
        <f>J838 = "blocking"</f>
        <v>1</v>
      </c>
      <c r="L838" s="3" t="s">
        <v>1448</v>
      </c>
      <c r="M838" s="3" t="s">
        <v>6106</v>
      </c>
      <c r="N838" s="5">
        <v>46223.1297337963</v>
      </c>
      <c r="O838" s="4" t="b">
        <f>L838 = "PASS"</f>
        <v>1</v>
      </c>
      <c r="P838" s="4" t="b">
        <f>L838 = "FAIL"</f>
        <v>0</v>
      </c>
      <c r="Q838" s="4" t="b">
        <f>AND(((P838)=TRUE), ((K838)=TRUE))</f>
        <v>0</v>
      </c>
      <c r="R838" s="4" t="str">
        <f>IF(((O838)=TRUE),  I838,  "")</f>
        <v>suite-substrate</v>
      </c>
      <c r="S838" s="4" t="str">
        <f>IF(((Q838)=TRUE),  I838,  "")</f>
      </c>
      <c r="T838" s="3" t="s">
        <v>6001</v>
      </c>
    </row>
    <row r="839">
      <c r="A839" s="3" t="s">
        <v>6874</v>
      </c>
      <c r="B839" s="4" t="str">
        <f>C839 &amp; ": " &amp; D839</f>
        <v>formula-translates: MessageDeliveries.HasSentReminder</v>
      </c>
      <c r="C839" s="3" t="s">
        <v>6104</v>
      </c>
      <c r="D839" s="3" t="s">
        <v>4678</v>
      </c>
      <c r="E839" s="3" t="s">
        <v>4444</v>
      </c>
      <c r="F839" s="3" t="s">
        <v>4679</v>
      </c>
      <c r="G839" s="3" t="s">
        <v>6105</v>
      </c>
      <c r="H839" s="3" t="s">
        <v>2375</v>
      </c>
      <c r="I839" s="3" t="s">
        <v>5986</v>
      </c>
      <c r="J839" s="3" t="s">
        <v>5999</v>
      </c>
      <c r="K839" s="4" t="b">
        <f>J839 = "blocking"</f>
        <v>1</v>
      </c>
      <c r="L839" s="3" t="s">
        <v>1448</v>
      </c>
      <c r="M839" s="3" t="s">
        <v>6106</v>
      </c>
      <c r="N839" s="5">
        <v>46223.1297337963</v>
      </c>
      <c r="O839" s="4" t="b">
        <f>L839 = "PASS"</f>
        <v>1</v>
      </c>
      <c r="P839" s="4" t="b">
        <f>L839 = "FAIL"</f>
        <v>0</v>
      </c>
      <c r="Q839" s="4" t="b">
        <f>AND(((P839)=TRUE), ((K839)=TRUE))</f>
        <v>0</v>
      </c>
      <c r="R839" s="4" t="str">
        <f>IF(((O839)=TRUE),  I839,  "")</f>
        <v>suite-substrate</v>
      </c>
      <c r="S839" s="4" t="str">
        <f>IF(((Q839)=TRUE),  I839,  "")</f>
      </c>
      <c r="T839" s="3" t="s">
        <v>6001</v>
      </c>
    </row>
    <row r="840">
      <c r="A840" s="3" t="s">
        <v>6875</v>
      </c>
      <c r="B840" s="4" t="str">
        <f>C840 &amp; ": " &amp; D840</f>
        <v>formula-translates: MessageDeliveries.AcknowledgementIsOutstanding</v>
      </c>
      <c r="C840" s="3" t="s">
        <v>6104</v>
      </c>
      <c r="D840" s="3" t="s">
        <v>4681</v>
      </c>
      <c r="E840" s="3" t="s">
        <v>4444</v>
      </c>
      <c r="F840" s="3" t="s">
        <v>4682</v>
      </c>
      <c r="G840" s="3" t="s">
        <v>6105</v>
      </c>
      <c r="H840" s="3" t="s">
        <v>2375</v>
      </c>
      <c r="I840" s="3" t="s">
        <v>5986</v>
      </c>
      <c r="J840" s="3" t="s">
        <v>5999</v>
      </c>
      <c r="K840" s="4" t="b">
        <f>J840 = "blocking"</f>
        <v>1</v>
      </c>
      <c r="L840" s="3" t="s">
        <v>1448</v>
      </c>
      <c r="M840" s="3" t="s">
        <v>6106</v>
      </c>
      <c r="N840" s="5">
        <v>46223.1297337963</v>
      </c>
      <c r="O840" s="4" t="b">
        <f>L840 = "PASS"</f>
        <v>1</v>
      </c>
      <c r="P840" s="4" t="b">
        <f>L840 = "FAIL"</f>
        <v>0</v>
      </c>
      <c r="Q840" s="4" t="b">
        <f>AND(((P840)=TRUE), ((K840)=TRUE))</f>
        <v>0</v>
      </c>
      <c r="R840" s="4" t="str">
        <f>IF(((O840)=TRUE),  I840,  "")</f>
        <v>suite-substrate</v>
      </c>
      <c r="S840" s="4" t="str">
        <f>IF(((Q840)=TRUE),  I840,  "")</f>
      </c>
      <c r="T840" s="3" t="s">
        <v>6001</v>
      </c>
    </row>
    <row r="841">
      <c r="A841" s="3" t="s">
        <v>6876</v>
      </c>
      <c r="B841" s="4" t="str">
        <f>C841 &amp; ": " &amp; D841</f>
        <v>formula-translates: MessageDeliveries.OutstandingAgeDays</v>
      </c>
      <c r="C841" s="3" t="s">
        <v>6104</v>
      </c>
      <c r="D841" s="3" t="s">
        <v>4684</v>
      </c>
      <c r="E841" s="3" t="s">
        <v>4444</v>
      </c>
      <c r="F841" s="3" t="s">
        <v>4685</v>
      </c>
      <c r="G841" s="3" t="s">
        <v>6105</v>
      </c>
      <c r="H841" s="3" t="s">
        <v>2375</v>
      </c>
      <c r="I841" s="3" t="s">
        <v>5986</v>
      </c>
      <c r="J841" s="3" t="s">
        <v>5999</v>
      </c>
      <c r="K841" s="4" t="b">
        <f>J841 = "blocking"</f>
        <v>1</v>
      </c>
      <c r="L841" s="3" t="s">
        <v>1448</v>
      </c>
      <c r="M841" s="3" t="s">
        <v>6106</v>
      </c>
      <c r="N841" s="5">
        <v>46223.1297337963</v>
      </c>
      <c r="O841" s="4" t="b">
        <f>L841 = "PASS"</f>
        <v>1</v>
      </c>
      <c r="P841" s="4" t="b">
        <f>L841 = "FAIL"</f>
        <v>0</v>
      </c>
      <c r="Q841" s="4" t="b">
        <f>AND(((P841)=TRUE), ((K841)=TRUE))</f>
        <v>0</v>
      </c>
      <c r="R841" s="4" t="str">
        <f>IF(((O841)=TRUE),  I841,  "")</f>
        <v>suite-substrate</v>
      </c>
      <c r="S841" s="4" t="str">
        <f>IF(((Q841)=TRUE),  I841,  "")</f>
      </c>
      <c r="T841" s="3" t="s">
        <v>6001</v>
      </c>
    </row>
    <row r="842">
      <c r="A842" s="3" t="s">
        <v>6877</v>
      </c>
      <c r="B842" s="4" t="str">
        <f>C842 &amp; ": " &amp; D842</f>
        <v>formula-translates: MessageDeliveries.IsUnchasedAcknowledgement</v>
      </c>
      <c r="C842" s="3" t="s">
        <v>6104</v>
      </c>
      <c r="D842" s="3" t="s">
        <v>4687</v>
      </c>
      <c r="E842" s="3" t="s">
        <v>4444</v>
      </c>
      <c r="F842" s="3" t="s">
        <v>4688</v>
      </c>
      <c r="G842" s="3" t="s">
        <v>6105</v>
      </c>
      <c r="H842" s="3" t="s">
        <v>2375</v>
      </c>
      <c r="I842" s="3" t="s">
        <v>5986</v>
      </c>
      <c r="J842" s="3" t="s">
        <v>5999</v>
      </c>
      <c r="K842" s="4" t="b">
        <f>J842 = "blocking"</f>
        <v>1</v>
      </c>
      <c r="L842" s="3" t="s">
        <v>1448</v>
      </c>
      <c r="M842" s="3" t="s">
        <v>6106</v>
      </c>
      <c r="N842" s="5">
        <v>46223.1297337963</v>
      </c>
      <c r="O842" s="4" t="b">
        <f>L842 = "PASS"</f>
        <v>1</v>
      </c>
      <c r="P842" s="4" t="b">
        <f>L842 = "FAIL"</f>
        <v>0</v>
      </c>
      <c r="Q842" s="4" t="b">
        <f>AND(((P842)=TRUE), ((K842)=TRUE))</f>
        <v>0</v>
      </c>
      <c r="R842" s="4" t="str">
        <f>IF(((O842)=TRUE),  I842,  "")</f>
        <v>suite-substrate</v>
      </c>
      <c r="S842" s="4" t="str">
        <f>IF(((Q842)=TRUE),  I842,  "")</f>
      </c>
      <c r="T842" s="3" t="s">
        <v>6001</v>
      </c>
    </row>
    <row r="843">
      <c r="A843" s="3" t="s">
        <v>6878</v>
      </c>
      <c r="B843" s="4" t="str">
        <f>C843 &amp; ": " &amp; D843</f>
        <v>formula-translates: MessageDeliveries.IsExhaustedFollowUp</v>
      </c>
      <c r="C843" s="3" t="s">
        <v>6104</v>
      </c>
      <c r="D843" s="3" t="s">
        <v>4690</v>
      </c>
      <c r="E843" s="3" t="s">
        <v>4444</v>
      </c>
      <c r="F843" s="3" t="s">
        <v>4691</v>
      </c>
      <c r="G843" s="3" t="s">
        <v>6105</v>
      </c>
      <c r="H843" s="3" t="s">
        <v>2375</v>
      </c>
      <c r="I843" s="3" t="s">
        <v>5986</v>
      </c>
      <c r="J843" s="3" t="s">
        <v>5999</v>
      </c>
      <c r="K843" s="4" t="b">
        <f>J843 = "blocking"</f>
        <v>1</v>
      </c>
      <c r="L843" s="3" t="s">
        <v>1448</v>
      </c>
      <c r="M843" s="3" t="s">
        <v>6106</v>
      </c>
      <c r="N843" s="5">
        <v>46223.1297337963</v>
      </c>
      <c r="O843" s="4" t="b">
        <f>L843 = "PASS"</f>
        <v>1</v>
      </c>
      <c r="P843" s="4" t="b">
        <f>L843 = "FAIL"</f>
        <v>0</v>
      </c>
      <c r="Q843" s="4" t="b">
        <f>AND(((P843)=TRUE), ((K843)=TRUE))</f>
        <v>0</v>
      </c>
      <c r="R843" s="4" t="str">
        <f>IF(((O843)=TRUE),  I843,  "")</f>
        <v>suite-substrate</v>
      </c>
      <c r="S843" s="4" t="str">
        <f>IF(((Q843)=TRUE),  I843,  "")</f>
      </c>
      <c r="T843" s="3" t="s">
        <v>6001</v>
      </c>
    </row>
    <row r="844">
      <c r="A844" s="3" t="s">
        <v>6879</v>
      </c>
      <c r="B844" s="4" t="str">
        <f>C844 &amp; ": " &amp; D844</f>
        <v>formula-translates: MessageDeliveries.NeedsHumanEscalation</v>
      </c>
      <c r="C844" s="3" t="s">
        <v>6104</v>
      </c>
      <c r="D844" s="3" t="s">
        <v>4693</v>
      </c>
      <c r="E844" s="3" t="s">
        <v>4444</v>
      </c>
      <c r="F844" s="3" t="s">
        <v>4694</v>
      </c>
      <c r="G844" s="3" t="s">
        <v>6105</v>
      </c>
      <c r="H844" s="3" t="s">
        <v>2375</v>
      </c>
      <c r="I844" s="3" t="s">
        <v>5986</v>
      </c>
      <c r="J844" s="3" t="s">
        <v>5999</v>
      </c>
      <c r="K844" s="4" t="b">
        <f>J844 = "blocking"</f>
        <v>1</v>
      </c>
      <c r="L844" s="3" t="s">
        <v>1448</v>
      </c>
      <c r="M844" s="3" t="s">
        <v>6106</v>
      </c>
      <c r="N844" s="5">
        <v>46223.1297337963</v>
      </c>
      <c r="O844" s="4" t="b">
        <f>L844 = "PASS"</f>
        <v>1</v>
      </c>
      <c r="P844" s="4" t="b">
        <f>L844 = "FAIL"</f>
        <v>0</v>
      </c>
      <c r="Q844" s="4" t="b">
        <f>AND(((P844)=TRUE), ((K844)=TRUE))</f>
        <v>0</v>
      </c>
      <c r="R844" s="4" t="str">
        <f>IF(((O844)=TRUE),  I844,  "")</f>
        <v>suite-substrate</v>
      </c>
      <c r="S844" s="4" t="str">
        <f>IF(((Q844)=TRUE),  I844,  "")</f>
      </c>
      <c r="T844" s="3" t="s">
        <v>6001</v>
      </c>
    </row>
    <row r="845">
      <c r="A845" s="3" t="s">
        <v>6880</v>
      </c>
      <c r="B845" s="4" t="str">
        <f>C845 &amp; ": " &amp; D845</f>
        <v>formula-translates: TemplateApprovals.Name</v>
      </c>
      <c r="C845" s="3" t="s">
        <v>6104</v>
      </c>
      <c r="D845" s="3" t="s">
        <v>4700</v>
      </c>
      <c r="E845" s="3" t="s">
        <v>4698</v>
      </c>
      <c r="F845" s="3" t="s">
        <v>1</v>
      </c>
      <c r="G845" s="3" t="s">
        <v>6105</v>
      </c>
      <c r="H845" s="3"/>
      <c r="I845" s="3" t="s">
        <v>5986</v>
      </c>
      <c r="J845" s="3" t="s">
        <v>5999</v>
      </c>
      <c r="K845" s="4" t="b">
        <f>J845 = "blocking"</f>
        <v>1</v>
      </c>
      <c r="L845" s="3" t="s">
        <v>1448</v>
      </c>
      <c r="M845" s="3" t="s">
        <v>6106</v>
      </c>
      <c r="N845" s="5">
        <v>46223.1297337963</v>
      </c>
      <c r="O845" s="4" t="b">
        <f>L845 = "PASS"</f>
        <v>1</v>
      </c>
      <c r="P845" s="4" t="b">
        <f>L845 = "FAIL"</f>
        <v>0</v>
      </c>
      <c r="Q845" s="4" t="b">
        <f>AND(((P845)=TRUE), ((K845)=TRUE))</f>
        <v>0</v>
      </c>
      <c r="R845" s="4" t="str">
        <f>IF(((O845)=TRUE),  I845,  "")</f>
        <v>suite-substrate</v>
      </c>
      <c r="S845" s="4" t="str">
        <f>IF(((Q845)=TRUE),  I845,  "")</f>
      </c>
      <c r="T845" s="3" t="s">
        <v>6001</v>
      </c>
    </row>
    <row r="846">
      <c r="A846" s="3" t="s">
        <v>6881</v>
      </c>
      <c r="B846" s="4" t="str">
        <f>C846 &amp; ": " &amp; D846</f>
        <v>formula-translates: TemplateApprovals.IsApprovalDecision</v>
      </c>
      <c r="C846" s="3" t="s">
        <v>6104</v>
      </c>
      <c r="D846" s="3" t="s">
        <v>4713</v>
      </c>
      <c r="E846" s="3" t="s">
        <v>4698</v>
      </c>
      <c r="F846" s="3" t="s">
        <v>4714</v>
      </c>
      <c r="G846" s="3" t="s">
        <v>6105</v>
      </c>
      <c r="H846" s="3" t="s">
        <v>2083</v>
      </c>
      <c r="I846" s="3" t="s">
        <v>5986</v>
      </c>
      <c r="J846" s="3" t="s">
        <v>5999</v>
      </c>
      <c r="K846" s="4" t="b">
        <f>J846 = "blocking"</f>
        <v>1</v>
      </c>
      <c r="L846" s="3" t="s">
        <v>1448</v>
      </c>
      <c r="M846" s="3" t="s">
        <v>6106</v>
      </c>
      <c r="N846" s="5">
        <v>46223.1297337963</v>
      </c>
      <c r="O846" s="4" t="b">
        <f>L846 = "PASS"</f>
        <v>1</v>
      </c>
      <c r="P846" s="4" t="b">
        <f>L846 = "FAIL"</f>
        <v>0</v>
      </c>
      <c r="Q846" s="4" t="b">
        <f>AND(((P846)=TRUE), ((K846)=TRUE))</f>
        <v>0</v>
      </c>
      <c r="R846" s="4" t="str">
        <f>IF(((O846)=TRUE),  I846,  "")</f>
        <v>suite-substrate</v>
      </c>
      <c r="S846" s="4" t="str">
        <f>IF(((Q846)=TRUE),  I846,  "")</f>
      </c>
      <c r="T846" s="3" t="s">
        <v>6001</v>
      </c>
    </row>
    <row r="847">
      <c r="A847" s="3" t="s">
        <v>6882</v>
      </c>
      <c r="B847" s="4" t="str">
        <f>C847 &amp; ": " &amp; D847</f>
        <v>formula-translates: TemplateApprovals.TemplatePolicy</v>
      </c>
      <c r="C847" s="3" t="s">
        <v>6104</v>
      </c>
      <c r="D847" s="3" t="s">
        <v>4716</v>
      </c>
      <c r="E847" s="3" t="s">
        <v>4698</v>
      </c>
      <c r="F847" s="3" t="s">
        <v>4717</v>
      </c>
      <c r="G847" s="3" t="s">
        <v>6105</v>
      </c>
      <c r="H847" s="3" t="s">
        <v>2083</v>
      </c>
      <c r="I847" s="3" t="s">
        <v>5986</v>
      </c>
      <c r="J847" s="3" t="s">
        <v>5999</v>
      </c>
      <c r="K847" s="4" t="b">
        <f>J847 = "blocking"</f>
        <v>1</v>
      </c>
      <c r="L847" s="3" t="s">
        <v>1448</v>
      </c>
      <c r="M847" s="3" t="s">
        <v>6106</v>
      </c>
      <c r="N847" s="5">
        <v>46223.1297337963</v>
      </c>
      <c r="O847" s="4" t="b">
        <f>L847 = "PASS"</f>
        <v>1</v>
      </c>
      <c r="P847" s="4" t="b">
        <f>L847 = "FAIL"</f>
        <v>0</v>
      </c>
      <c r="Q847" s="4" t="b">
        <f>AND(((P847)=TRUE), ((K847)=TRUE))</f>
        <v>0</v>
      </c>
      <c r="R847" s="4" t="str">
        <f>IF(((O847)=TRUE),  I847,  "")</f>
        <v>suite-substrate</v>
      </c>
      <c r="S847" s="4" t="str">
        <f>IF(((Q847)=TRUE),  I847,  "")</f>
      </c>
      <c r="T847" s="3" t="s">
        <v>6001</v>
      </c>
    </row>
    <row r="848">
      <c r="A848" s="3" t="s">
        <v>6883</v>
      </c>
      <c r="B848" s="4" t="str">
        <f>C848 &amp; ": " &amp; D848</f>
        <v>formula-translates: TemplateApprovals.RequiredApprovalRole</v>
      </c>
      <c r="C848" s="3" t="s">
        <v>6104</v>
      </c>
      <c r="D848" s="3" t="s">
        <v>4718</v>
      </c>
      <c r="E848" s="3" t="s">
        <v>4698</v>
      </c>
      <c r="F848" s="3" t="s">
        <v>4306</v>
      </c>
      <c r="G848" s="3" t="s">
        <v>6105</v>
      </c>
      <c r="H848" s="3" t="s">
        <v>2083</v>
      </c>
      <c r="I848" s="3" t="s">
        <v>5986</v>
      </c>
      <c r="J848" s="3" t="s">
        <v>5999</v>
      </c>
      <c r="K848" s="4" t="b">
        <f>J848 = "blocking"</f>
        <v>1</v>
      </c>
      <c r="L848" s="3" t="s">
        <v>1448</v>
      </c>
      <c r="M848" s="3" t="s">
        <v>6106</v>
      </c>
      <c r="N848" s="5">
        <v>46223.1297337963</v>
      </c>
      <c r="O848" s="4" t="b">
        <f>L848 = "PASS"</f>
        <v>1</v>
      </c>
      <c r="P848" s="4" t="b">
        <f>L848 = "FAIL"</f>
        <v>0</v>
      </c>
      <c r="Q848" s="4" t="b">
        <f>AND(((P848)=TRUE), ((K848)=TRUE))</f>
        <v>0</v>
      </c>
      <c r="R848" s="4" t="str">
        <f>IF(((O848)=TRUE),  I848,  "")</f>
        <v>suite-substrate</v>
      </c>
      <c r="S848" s="4" t="str">
        <f>IF(((Q848)=TRUE),  I848,  "")</f>
      </c>
      <c r="T848" s="3" t="s">
        <v>6001</v>
      </c>
    </row>
    <row r="849">
      <c r="A849" s="3" t="s">
        <v>6884</v>
      </c>
      <c r="B849" s="4" t="str">
        <f>C849 &amp; ": " &amp; D849</f>
        <v>formula-translates: TemplateApprovals.IsDecidedByRequiredRole</v>
      </c>
      <c r="C849" s="3" t="s">
        <v>6104</v>
      </c>
      <c r="D849" s="3" t="s">
        <v>4720</v>
      </c>
      <c r="E849" s="3" t="s">
        <v>4698</v>
      </c>
      <c r="F849" s="3" t="s">
        <v>4721</v>
      </c>
      <c r="G849" s="3" t="s">
        <v>6105</v>
      </c>
      <c r="H849" s="3" t="s">
        <v>2083</v>
      </c>
      <c r="I849" s="3" t="s">
        <v>5986</v>
      </c>
      <c r="J849" s="3" t="s">
        <v>5999</v>
      </c>
      <c r="K849" s="4" t="b">
        <f>J849 = "blocking"</f>
        <v>1</v>
      </c>
      <c r="L849" s="3" t="s">
        <v>1448</v>
      </c>
      <c r="M849" s="3" t="s">
        <v>6106</v>
      </c>
      <c r="N849" s="5">
        <v>46223.1297337963</v>
      </c>
      <c r="O849" s="4" t="b">
        <f>L849 = "PASS"</f>
        <v>1</v>
      </c>
      <c r="P849" s="4" t="b">
        <f>L849 = "FAIL"</f>
        <v>0</v>
      </c>
      <c r="Q849" s="4" t="b">
        <f>AND(((P849)=TRUE), ((K849)=TRUE))</f>
        <v>0</v>
      </c>
      <c r="R849" s="4" t="str">
        <f>IF(((O849)=TRUE),  I849,  "")</f>
        <v>suite-substrate</v>
      </c>
      <c r="S849" s="4" t="str">
        <f>IF(((Q849)=TRUE),  I849,  "")</f>
      </c>
      <c r="T849" s="3" t="s">
        <v>6001</v>
      </c>
    </row>
    <row r="850">
      <c r="A850" s="3" t="s">
        <v>6885</v>
      </c>
      <c r="B850" s="4" t="str">
        <f>C850 &amp; ": " &amp; D850</f>
        <v>formula-translates: TemplateApprovals.ValidApprovalTemplateKey</v>
      </c>
      <c r="C850" s="3" t="s">
        <v>6104</v>
      </c>
      <c r="D850" s="3" t="s">
        <v>4723</v>
      </c>
      <c r="E850" s="3" t="s">
        <v>4698</v>
      </c>
      <c r="F850" s="3" t="s">
        <v>4724</v>
      </c>
      <c r="G850" s="3" t="s">
        <v>6105</v>
      </c>
      <c r="H850" s="3" t="s">
        <v>2083</v>
      </c>
      <c r="I850" s="3" t="s">
        <v>5986</v>
      </c>
      <c r="J850" s="3" t="s">
        <v>5999</v>
      </c>
      <c r="K850" s="4" t="b">
        <f>J850 = "blocking"</f>
        <v>1</v>
      </c>
      <c r="L850" s="3" t="s">
        <v>1448</v>
      </c>
      <c r="M850" s="3" t="s">
        <v>6106</v>
      </c>
      <c r="N850" s="5">
        <v>46223.1297337963</v>
      </c>
      <c r="O850" s="4" t="b">
        <f>L850 = "PASS"</f>
        <v>1</v>
      </c>
      <c r="P850" s="4" t="b">
        <f>L850 = "FAIL"</f>
        <v>0</v>
      </c>
      <c r="Q850" s="4" t="b">
        <f>AND(((P850)=TRUE), ((K850)=TRUE))</f>
        <v>0</v>
      </c>
      <c r="R850" s="4" t="str">
        <f>IF(((O850)=TRUE),  I850,  "")</f>
        <v>suite-substrate</v>
      </c>
      <c r="S850" s="4" t="str">
        <f>IF(((Q850)=TRUE),  I850,  "")</f>
      </c>
      <c r="T850" s="3" t="s">
        <v>6001</v>
      </c>
    </row>
    <row r="851">
      <c r="A851" s="3" t="s">
        <v>6886</v>
      </c>
      <c r="B851" s="4" t="str">
        <f>C851 &amp; ": " &amp; D851</f>
        <v>formula-translates: SendIntents.Name</v>
      </c>
      <c r="C851" s="3" t="s">
        <v>6104</v>
      </c>
      <c r="D851" s="3" t="s">
        <v>4730</v>
      </c>
      <c r="E851" s="3" t="s">
        <v>4728</v>
      </c>
      <c r="F851" s="3" t="s">
        <v>1</v>
      </c>
      <c r="G851" s="3" t="s">
        <v>6105</v>
      </c>
      <c r="H851" s="3"/>
      <c r="I851" s="3" t="s">
        <v>5986</v>
      </c>
      <c r="J851" s="3" t="s">
        <v>5999</v>
      </c>
      <c r="K851" s="4" t="b">
        <f>J851 = "blocking"</f>
        <v>1</v>
      </c>
      <c r="L851" s="3" t="s">
        <v>1448</v>
      </c>
      <c r="M851" s="3" t="s">
        <v>6106</v>
      </c>
      <c r="N851" s="5">
        <v>46223.1297337963</v>
      </c>
      <c r="O851" s="4" t="b">
        <f>L851 = "PASS"</f>
        <v>1</v>
      </c>
      <c r="P851" s="4" t="b">
        <f>L851 = "FAIL"</f>
        <v>0</v>
      </c>
      <c r="Q851" s="4" t="b">
        <f>AND(((P851)=TRUE), ((K851)=TRUE))</f>
        <v>0</v>
      </c>
      <c r="R851" s="4" t="str">
        <f>IF(((O851)=TRUE),  I851,  "")</f>
        <v>suite-substrate</v>
      </c>
      <c r="S851" s="4" t="str">
        <f>IF(((Q851)=TRUE),  I851,  "")</f>
      </c>
      <c r="T851" s="3" t="s">
        <v>6001</v>
      </c>
    </row>
    <row r="852">
      <c r="A852" s="3" t="s">
        <v>6887</v>
      </c>
      <c r="B852" s="4" t="str">
        <f>C852 &amp; ": " &amp; D852</f>
        <v>formula-translates: SendIntents.IntentPolicy</v>
      </c>
      <c r="C852" s="3" t="s">
        <v>6104</v>
      </c>
      <c r="D852" s="3" t="s">
        <v>4743</v>
      </c>
      <c r="E852" s="3" t="s">
        <v>4728</v>
      </c>
      <c r="F852" s="3" t="s">
        <v>4744</v>
      </c>
      <c r="G852" s="3" t="s">
        <v>6105</v>
      </c>
      <c r="H852" s="3" t="s">
        <v>2099</v>
      </c>
      <c r="I852" s="3" t="s">
        <v>5986</v>
      </c>
      <c r="J852" s="3" t="s">
        <v>5999</v>
      </c>
      <c r="K852" s="4" t="b">
        <f>J852 = "blocking"</f>
        <v>1</v>
      </c>
      <c r="L852" s="3" t="s">
        <v>1448</v>
      </c>
      <c r="M852" s="3" t="s">
        <v>6106</v>
      </c>
      <c r="N852" s="5">
        <v>46223.1297337963</v>
      </c>
      <c r="O852" s="4" t="b">
        <f>L852 = "PASS"</f>
        <v>1</v>
      </c>
      <c r="P852" s="4" t="b">
        <f>L852 = "FAIL"</f>
        <v>0</v>
      </c>
      <c r="Q852" s="4" t="b">
        <f>AND(((P852)=TRUE), ((K852)=TRUE))</f>
        <v>0</v>
      </c>
      <c r="R852" s="4" t="str">
        <f>IF(((O852)=TRUE),  I852,  "")</f>
        <v>suite-substrate</v>
      </c>
      <c r="S852" s="4" t="str">
        <f>IF(((Q852)=TRUE),  I852,  "")</f>
      </c>
      <c r="T852" s="3" t="s">
        <v>6001</v>
      </c>
    </row>
    <row r="853">
      <c r="A853" s="3" t="s">
        <v>6888</v>
      </c>
      <c r="B853" s="4" t="str">
        <f>C853 &amp; ": " &amp; D853</f>
        <v>formula-translates: SendIntents.IntentChannel</v>
      </c>
      <c r="C853" s="3" t="s">
        <v>6104</v>
      </c>
      <c r="D853" s="3" t="s">
        <v>4745</v>
      </c>
      <c r="E853" s="3" t="s">
        <v>4728</v>
      </c>
      <c r="F853" s="3" t="s">
        <v>4746</v>
      </c>
      <c r="G853" s="3" t="s">
        <v>6105</v>
      </c>
      <c r="H853" s="3" t="s">
        <v>2099</v>
      </c>
      <c r="I853" s="3" t="s">
        <v>5986</v>
      </c>
      <c r="J853" s="3" t="s">
        <v>5999</v>
      </c>
      <c r="K853" s="4" t="b">
        <f>J853 = "blocking"</f>
        <v>1</v>
      </c>
      <c r="L853" s="3" t="s">
        <v>1448</v>
      </c>
      <c r="M853" s="3" t="s">
        <v>6106</v>
      </c>
      <c r="N853" s="5">
        <v>46223.1297337963</v>
      </c>
      <c r="O853" s="4" t="b">
        <f>L853 = "PASS"</f>
        <v>1</v>
      </c>
      <c r="P853" s="4" t="b">
        <f>L853 = "FAIL"</f>
        <v>0</v>
      </c>
      <c r="Q853" s="4" t="b">
        <f>AND(((P853)=TRUE), ((K853)=TRUE))</f>
        <v>0</v>
      </c>
      <c r="R853" s="4" t="str">
        <f>IF(((O853)=TRUE),  I853,  "")</f>
        <v>suite-substrate</v>
      </c>
      <c r="S853" s="4" t="str">
        <f>IF(((Q853)=TRUE),  I853,  "")</f>
      </c>
      <c r="T853" s="3" t="s">
        <v>6001</v>
      </c>
    </row>
    <row r="854">
      <c r="A854" s="3" t="s">
        <v>6889</v>
      </c>
      <c r="B854" s="4" t="str">
        <f>C854 &amp; ": " &amp; D854</f>
        <v>formula-translates: SendIntents.PolicyIsActive</v>
      </c>
      <c r="C854" s="3" t="s">
        <v>6104</v>
      </c>
      <c r="D854" s="3" t="s">
        <v>4748</v>
      </c>
      <c r="E854" s="3" t="s">
        <v>4728</v>
      </c>
      <c r="F854" s="3" t="s">
        <v>4749</v>
      </c>
      <c r="G854" s="3" t="s">
        <v>6105</v>
      </c>
      <c r="H854" s="3" t="s">
        <v>2099</v>
      </c>
      <c r="I854" s="3" t="s">
        <v>5986</v>
      </c>
      <c r="J854" s="3" t="s">
        <v>5999</v>
      </c>
      <c r="K854" s="4" t="b">
        <f>J854 = "blocking"</f>
        <v>1</v>
      </c>
      <c r="L854" s="3" t="s">
        <v>1448</v>
      </c>
      <c r="M854" s="3" t="s">
        <v>6106</v>
      </c>
      <c r="N854" s="5">
        <v>46223.1297337963</v>
      </c>
      <c r="O854" s="4" t="b">
        <f>L854 = "PASS"</f>
        <v>1</v>
      </c>
      <c r="P854" s="4" t="b">
        <f>L854 = "FAIL"</f>
        <v>0</v>
      </c>
      <c r="Q854" s="4" t="b">
        <f>AND(((P854)=TRUE), ((K854)=TRUE))</f>
        <v>0</v>
      </c>
      <c r="R854" s="4" t="str">
        <f>IF(((O854)=TRUE),  I854,  "")</f>
        <v>suite-substrate</v>
      </c>
      <c r="S854" s="4" t="str">
        <f>IF(((Q854)=TRUE),  I854,  "")</f>
      </c>
      <c r="T854" s="3" t="s">
        <v>6001</v>
      </c>
    </row>
    <row r="855">
      <c r="A855" s="3" t="s">
        <v>6890</v>
      </c>
      <c r="B855" s="4" t="str">
        <f>C855 &amp; ": " &amp; D855</f>
        <v>formula-translates: SendIntents.IntentRequiresConsent</v>
      </c>
      <c r="C855" s="3" t="s">
        <v>6104</v>
      </c>
      <c r="D855" s="3" t="s">
        <v>4751</v>
      </c>
      <c r="E855" s="3" t="s">
        <v>4728</v>
      </c>
      <c r="F855" s="3" t="s">
        <v>4752</v>
      </c>
      <c r="G855" s="3" t="s">
        <v>6105</v>
      </c>
      <c r="H855" s="3" t="s">
        <v>2099</v>
      </c>
      <c r="I855" s="3" t="s">
        <v>5986</v>
      </c>
      <c r="J855" s="3" t="s">
        <v>5999</v>
      </c>
      <c r="K855" s="4" t="b">
        <f>J855 = "blocking"</f>
        <v>1</v>
      </c>
      <c r="L855" s="3" t="s">
        <v>1448</v>
      </c>
      <c r="M855" s="3" t="s">
        <v>6106</v>
      </c>
      <c r="N855" s="5">
        <v>46223.1297337963</v>
      </c>
      <c r="O855" s="4" t="b">
        <f>L855 = "PASS"</f>
        <v>1</v>
      </c>
      <c r="P855" s="4" t="b">
        <f>L855 = "FAIL"</f>
        <v>0</v>
      </c>
      <c r="Q855" s="4" t="b">
        <f>AND(((P855)=TRUE), ((K855)=TRUE))</f>
        <v>0</v>
      </c>
      <c r="R855" s="4" t="str">
        <f>IF(((O855)=TRUE),  I855,  "")</f>
        <v>suite-substrate</v>
      </c>
      <c r="S855" s="4" t="str">
        <f>IF(((Q855)=TRUE),  I855,  "")</f>
      </c>
      <c r="T855" s="3" t="s">
        <v>6001</v>
      </c>
    </row>
    <row r="856">
      <c r="A856" s="3" t="s">
        <v>6891</v>
      </c>
      <c r="B856" s="4" t="str">
        <f>C856 &amp; ": " &amp; D856</f>
        <v>formula-translates: SendIntents.RecipientHasChannelConsent</v>
      </c>
      <c r="C856" s="3" t="s">
        <v>6104</v>
      </c>
      <c r="D856" s="3" t="s">
        <v>4754</v>
      </c>
      <c r="E856" s="3" t="s">
        <v>4728</v>
      </c>
      <c r="F856" s="3" t="s">
        <v>4755</v>
      </c>
      <c r="G856" s="3" t="s">
        <v>6105</v>
      </c>
      <c r="H856" s="3" t="s">
        <v>2099</v>
      </c>
      <c r="I856" s="3" t="s">
        <v>5986</v>
      </c>
      <c r="J856" s="3" t="s">
        <v>5999</v>
      </c>
      <c r="K856" s="4" t="b">
        <f>J856 = "blocking"</f>
        <v>1</v>
      </c>
      <c r="L856" s="3" t="s">
        <v>1448</v>
      </c>
      <c r="M856" s="3" t="s">
        <v>6106</v>
      </c>
      <c r="N856" s="5">
        <v>46223.1297337963</v>
      </c>
      <c r="O856" s="4" t="b">
        <f>L856 = "PASS"</f>
        <v>1</v>
      </c>
      <c r="P856" s="4" t="b">
        <f>L856 = "FAIL"</f>
        <v>0</v>
      </c>
      <c r="Q856" s="4" t="b">
        <f>AND(((P856)=TRUE), ((K856)=TRUE))</f>
        <v>0</v>
      </c>
      <c r="R856" s="4" t="str">
        <f>IF(((O856)=TRUE),  I856,  "")</f>
        <v>suite-substrate</v>
      </c>
      <c r="S856" s="4" t="str">
        <f>IF(((Q856)=TRUE),  I856,  "")</f>
      </c>
      <c r="T856" s="3" t="s">
        <v>6001</v>
      </c>
    </row>
    <row r="857">
      <c r="A857" s="3" t="s">
        <v>6892</v>
      </c>
      <c r="B857" s="4" t="str">
        <f>C857 &amp; ": " &amp; D857</f>
        <v>formula-translates: SendIntents.ConsentGatePassed</v>
      </c>
      <c r="C857" s="3" t="s">
        <v>6104</v>
      </c>
      <c r="D857" s="3" t="s">
        <v>4756</v>
      </c>
      <c r="E857" s="3" t="s">
        <v>4728</v>
      </c>
      <c r="F857" s="3" t="s">
        <v>4757</v>
      </c>
      <c r="G857" s="3" t="s">
        <v>6105</v>
      </c>
      <c r="H857" s="3" t="s">
        <v>2099</v>
      </c>
      <c r="I857" s="3" t="s">
        <v>5986</v>
      </c>
      <c r="J857" s="3" t="s">
        <v>5999</v>
      </c>
      <c r="K857" s="4" t="b">
        <f>J857 = "blocking"</f>
        <v>1</v>
      </c>
      <c r="L857" s="3" t="s">
        <v>1448</v>
      </c>
      <c r="M857" s="3" t="s">
        <v>6106</v>
      </c>
      <c r="N857" s="5">
        <v>46223.1297337963</v>
      </c>
      <c r="O857" s="4" t="b">
        <f>L857 = "PASS"</f>
        <v>1</v>
      </c>
      <c r="P857" s="4" t="b">
        <f>L857 = "FAIL"</f>
        <v>0</v>
      </c>
      <c r="Q857" s="4" t="b">
        <f>AND(((P857)=TRUE), ((K857)=TRUE))</f>
        <v>0</v>
      </c>
      <c r="R857" s="4" t="str">
        <f>IF(((O857)=TRUE),  I857,  "")</f>
        <v>suite-substrate</v>
      </c>
      <c r="S857" s="4" t="str">
        <f>IF(((Q857)=TRUE),  I857,  "")</f>
      </c>
      <c r="T857" s="3" t="s">
        <v>6001</v>
      </c>
    </row>
    <row r="858">
      <c r="A858" s="3" t="s">
        <v>6893</v>
      </c>
      <c r="B858" s="4" t="str">
        <f>C858 &amp; ": " &amp; D858</f>
        <v>formula-translates: SendIntents.RecipientIsSmsReachable</v>
      </c>
      <c r="C858" s="3" t="s">
        <v>6104</v>
      </c>
      <c r="D858" s="3" t="s">
        <v>4759</v>
      </c>
      <c r="E858" s="3" t="s">
        <v>4728</v>
      </c>
      <c r="F858" s="3" t="s">
        <v>4760</v>
      </c>
      <c r="G858" s="3" t="s">
        <v>6105</v>
      </c>
      <c r="H858" s="3" t="s">
        <v>2099</v>
      </c>
      <c r="I858" s="3" t="s">
        <v>5986</v>
      </c>
      <c r="J858" s="3" t="s">
        <v>5999</v>
      </c>
      <c r="K858" s="4" t="b">
        <f>J858 = "blocking"</f>
        <v>1</v>
      </c>
      <c r="L858" s="3" t="s">
        <v>1448</v>
      </c>
      <c r="M858" s="3" t="s">
        <v>6106</v>
      </c>
      <c r="N858" s="5">
        <v>46223.1297337963</v>
      </c>
      <c r="O858" s="4" t="b">
        <f>L858 = "PASS"</f>
        <v>1</v>
      </c>
      <c r="P858" s="4" t="b">
        <f>L858 = "FAIL"</f>
        <v>0</v>
      </c>
      <c r="Q858" s="4" t="b">
        <f>AND(((P858)=TRUE), ((K858)=TRUE))</f>
        <v>0</v>
      </c>
      <c r="R858" s="4" t="str">
        <f>IF(((O858)=TRUE),  I858,  "")</f>
        <v>suite-substrate</v>
      </c>
      <c r="S858" s="4" t="str">
        <f>IF(((Q858)=TRUE),  I858,  "")</f>
      </c>
      <c r="T858" s="3" t="s">
        <v>6001</v>
      </c>
    </row>
    <row r="859">
      <c r="A859" s="3" t="s">
        <v>6894</v>
      </c>
      <c r="B859" s="4" t="str">
        <f>C859 &amp; ": " &amp; D859</f>
        <v>formula-translates: SendIntents.RecipientIsEmailReachable</v>
      </c>
      <c r="C859" s="3" t="s">
        <v>6104</v>
      </c>
      <c r="D859" s="3" t="s">
        <v>4762</v>
      </c>
      <c r="E859" s="3" t="s">
        <v>4728</v>
      </c>
      <c r="F859" s="3" t="s">
        <v>4763</v>
      </c>
      <c r="G859" s="3" t="s">
        <v>6105</v>
      </c>
      <c r="H859" s="3" t="s">
        <v>2099</v>
      </c>
      <c r="I859" s="3" t="s">
        <v>5986</v>
      </c>
      <c r="J859" s="3" t="s">
        <v>5999</v>
      </c>
      <c r="K859" s="4" t="b">
        <f>J859 = "blocking"</f>
        <v>1</v>
      </c>
      <c r="L859" s="3" t="s">
        <v>1448</v>
      </c>
      <c r="M859" s="3" t="s">
        <v>6106</v>
      </c>
      <c r="N859" s="5">
        <v>46223.1297337963</v>
      </c>
      <c r="O859" s="4" t="b">
        <f>L859 = "PASS"</f>
        <v>1</v>
      </c>
      <c r="P859" s="4" t="b">
        <f>L859 = "FAIL"</f>
        <v>0</v>
      </c>
      <c r="Q859" s="4" t="b">
        <f>AND(((P859)=TRUE), ((K859)=TRUE))</f>
        <v>0</v>
      </c>
      <c r="R859" s="4" t="str">
        <f>IF(((O859)=TRUE),  I859,  "")</f>
        <v>suite-substrate</v>
      </c>
      <c r="S859" s="4" t="str">
        <f>IF(((Q859)=TRUE),  I859,  "")</f>
      </c>
      <c r="T859" s="3" t="s">
        <v>6001</v>
      </c>
    </row>
    <row r="860">
      <c r="A860" s="3" t="s">
        <v>6895</v>
      </c>
      <c r="B860" s="4" t="str">
        <f>C860 &amp; ": " &amp; D860</f>
        <v>formula-translates: SendIntents.ReachabilityGatePassed</v>
      </c>
      <c r="C860" s="3" t="s">
        <v>6104</v>
      </c>
      <c r="D860" s="3" t="s">
        <v>4765</v>
      </c>
      <c r="E860" s="3" t="s">
        <v>4728</v>
      </c>
      <c r="F860" s="3" t="s">
        <v>4766</v>
      </c>
      <c r="G860" s="3" t="s">
        <v>6105</v>
      </c>
      <c r="H860" s="3" t="s">
        <v>2099</v>
      </c>
      <c r="I860" s="3" t="s">
        <v>5986</v>
      </c>
      <c r="J860" s="3" t="s">
        <v>5999</v>
      </c>
      <c r="K860" s="4" t="b">
        <f>J860 = "blocking"</f>
        <v>1</v>
      </c>
      <c r="L860" s="3" t="s">
        <v>1448</v>
      </c>
      <c r="M860" s="3" t="s">
        <v>6106</v>
      </c>
      <c r="N860" s="5">
        <v>46223.1297337963</v>
      </c>
      <c r="O860" s="4" t="b">
        <f>L860 = "PASS"</f>
        <v>1</v>
      </c>
      <c r="P860" s="4" t="b">
        <f>L860 = "FAIL"</f>
        <v>0</v>
      </c>
      <c r="Q860" s="4" t="b">
        <f>AND(((P860)=TRUE), ((K860)=TRUE))</f>
        <v>0</v>
      </c>
      <c r="R860" s="4" t="str">
        <f>IF(((O860)=TRUE),  I860,  "")</f>
        <v>suite-substrate</v>
      </c>
      <c r="S860" s="4" t="str">
        <f>IF(((Q860)=TRUE),  I860,  "")</f>
      </c>
      <c r="T860" s="3" t="s">
        <v>6001</v>
      </c>
    </row>
    <row r="861">
      <c r="A861" s="3" t="s">
        <v>6896</v>
      </c>
      <c r="B861" s="4" t="str">
        <f>C861 &amp; ": " &amp; D861</f>
        <v>formula-translates: SendIntents.PermissionGatePassed</v>
      </c>
      <c r="C861" s="3" t="s">
        <v>6104</v>
      </c>
      <c r="D861" s="3" t="s">
        <v>4768</v>
      </c>
      <c r="E861" s="3" t="s">
        <v>4728</v>
      </c>
      <c r="F861" s="3" t="s">
        <v>4769</v>
      </c>
      <c r="G861" s="3" t="s">
        <v>6105</v>
      </c>
      <c r="H861" s="3" t="s">
        <v>2099</v>
      </c>
      <c r="I861" s="3" t="s">
        <v>5986</v>
      </c>
      <c r="J861" s="3" t="s">
        <v>5999</v>
      </c>
      <c r="K861" s="4" t="b">
        <f>J861 = "blocking"</f>
        <v>1</v>
      </c>
      <c r="L861" s="3" t="s">
        <v>1448</v>
      </c>
      <c r="M861" s="3" t="s">
        <v>6106</v>
      </c>
      <c r="N861" s="5">
        <v>46223.1297337963</v>
      </c>
      <c r="O861" s="4" t="b">
        <f>L861 = "PASS"</f>
        <v>1</v>
      </c>
      <c r="P861" s="4" t="b">
        <f>L861 = "FAIL"</f>
        <v>0</v>
      </c>
      <c r="Q861" s="4" t="b">
        <f>AND(((P861)=TRUE), ((K861)=TRUE))</f>
        <v>0</v>
      </c>
      <c r="R861" s="4" t="str">
        <f>IF(((O861)=TRUE),  I861,  "")</f>
        <v>suite-substrate</v>
      </c>
      <c r="S861" s="4" t="str">
        <f>IF(((Q861)=TRUE),  I861,  "")</f>
      </c>
      <c r="T861" s="3" t="s">
        <v>6001</v>
      </c>
    </row>
    <row r="862">
      <c r="A862" s="3" t="s">
        <v>6897</v>
      </c>
      <c r="B862" s="4" t="str">
        <f>C862 &amp; ": " &amp; D862</f>
        <v>formula-translates: SendIntents.IntentQuietStartHour</v>
      </c>
      <c r="C862" s="3" t="s">
        <v>6104</v>
      </c>
      <c r="D862" s="3" t="s">
        <v>4771</v>
      </c>
      <c r="E862" s="3" t="s">
        <v>4728</v>
      </c>
      <c r="F862" s="3" t="s">
        <v>4772</v>
      </c>
      <c r="G862" s="3" t="s">
        <v>6105</v>
      </c>
      <c r="H862" s="3" t="s">
        <v>2103</v>
      </c>
      <c r="I862" s="3" t="s">
        <v>5986</v>
      </c>
      <c r="J862" s="3" t="s">
        <v>5999</v>
      </c>
      <c r="K862" s="4" t="b">
        <f>J862 = "blocking"</f>
        <v>1</v>
      </c>
      <c r="L862" s="3" t="s">
        <v>1448</v>
      </c>
      <c r="M862" s="3" t="s">
        <v>6106</v>
      </c>
      <c r="N862" s="5">
        <v>46223.1297337963</v>
      </c>
      <c r="O862" s="4" t="b">
        <f>L862 = "PASS"</f>
        <v>1</v>
      </c>
      <c r="P862" s="4" t="b">
        <f>L862 = "FAIL"</f>
        <v>0</v>
      </c>
      <c r="Q862" s="4" t="b">
        <f>AND(((P862)=TRUE), ((K862)=TRUE))</f>
        <v>0</v>
      </c>
      <c r="R862" s="4" t="str">
        <f>IF(((O862)=TRUE),  I862,  "")</f>
        <v>suite-substrate</v>
      </c>
      <c r="S862" s="4" t="str">
        <f>IF(((Q862)=TRUE),  I862,  "")</f>
      </c>
      <c r="T862" s="3" t="s">
        <v>6001</v>
      </c>
    </row>
    <row r="863">
      <c r="A863" s="3" t="s">
        <v>6898</v>
      </c>
      <c r="B863" s="4" t="str">
        <f>C863 &amp; ": " &amp; D863</f>
        <v>formula-translates: SendIntents.IntentQuietEndHour</v>
      </c>
      <c r="C863" s="3" t="s">
        <v>6104</v>
      </c>
      <c r="D863" s="3" t="s">
        <v>4774</v>
      </c>
      <c r="E863" s="3" t="s">
        <v>4728</v>
      </c>
      <c r="F863" s="3" t="s">
        <v>4775</v>
      </c>
      <c r="G863" s="3" t="s">
        <v>6105</v>
      </c>
      <c r="H863" s="3" t="s">
        <v>2103</v>
      </c>
      <c r="I863" s="3" t="s">
        <v>5986</v>
      </c>
      <c r="J863" s="3" t="s">
        <v>5999</v>
      </c>
      <c r="K863" s="4" t="b">
        <f>J863 = "blocking"</f>
        <v>1</v>
      </c>
      <c r="L863" s="3" t="s">
        <v>1448</v>
      </c>
      <c r="M863" s="3" t="s">
        <v>6106</v>
      </c>
      <c r="N863" s="5">
        <v>46223.1297337963</v>
      </c>
      <c r="O863" s="4" t="b">
        <f>L863 = "PASS"</f>
        <v>1</v>
      </c>
      <c r="P863" s="4" t="b">
        <f>L863 = "FAIL"</f>
        <v>0</v>
      </c>
      <c r="Q863" s="4" t="b">
        <f>AND(((P863)=TRUE), ((K863)=TRUE))</f>
        <v>0</v>
      </c>
      <c r="R863" s="4" t="str">
        <f>IF(((O863)=TRUE),  I863,  "")</f>
        <v>suite-substrate</v>
      </c>
      <c r="S863" s="4" t="str">
        <f>IF(((Q863)=TRUE),  I863,  "")</f>
      </c>
      <c r="T863" s="3" t="s">
        <v>6001</v>
      </c>
    </row>
    <row r="864">
      <c r="A864" s="3" t="s">
        <v>6899</v>
      </c>
      <c r="B864" s="4" t="str">
        <f>C864 &amp; ": " &amp; D864</f>
        <v>formula-translates: SendIntents.IntentPolicyHasQuietHours</v>
      </c>
      <c r="C864" s="3" t="s">
        <v>6104</v>
      </c>
      <c r="D864" s="3" t="s">
        <v>4777</v>
      </c>
      <c r="E864" s="3" t="s">
        <v>4728</v>
      </c>
      <c r="F864" s="3" t="s">
        <v>4778</v>
      </c>
      <c r="G864" s="3" t="s">
        <v>6105</v>
      </c>
      <c r="H864" s="3" t="s">
        <v>2103</v>
      </c>
      <c r="I864" s="3" t="s">
        <v>5986</v>
      </c>
      <c r="J864" s="3" t="s">
        <v>5999</v>
      </c>
      <c r="K864" s="4" t="b">
        <f>J864 = "blocking"</f>
        <v>1</v>
      </c>
      <c r="L864" s="3" t="s">
        <v>1448</v>
      </c>
      <c r="M864" s="3" t="s">
        <v>6106</v>
      </c>
      <c r="N864" s="5">
        <v>46223.1297337963</v>
      </c>
      <c r="O864" s="4" t="b">
        <f>L864 = "PASS"</f>
        <v>1</v>
      </c>
      <c r="P864" s="4" t="b">
        <f>L864 = "FAIL"</f>
        <v>0</v>
      </c>
      <c r="Q864" s="4" t="b">
        <f>AND(((P864)=TRUE), ((K864)=TRUE))</f>
        <v>0</v>
      </c>
      <c r="R864" s="4" t="str">
        <f>IF(((O864)=TRUE),  I864,  "")</f>
        <v>suite-substrate</v>
      </c>
      <c r="S864" s="4" t="str">
        <f>IF(((Q864)=TRUE),  I864,  "")</f>
      </c>
      <c r="T864" s="3" t="s">
        <v>6001</v>
      </c>
    </row>
    <row r="865">
      <c r="A865" s="3" t="s">
        <v>6900</v>
      </c>
      <c r="B865" s="4" t="str">
        <f>C865 &amp; ": " &amp; D865</f>
        <v>formula-translates: SendIntents.IntentQuietWindowWraps</v>
      </c>
      <c r="C865" s="3" t="s">
        <v>6104</v>
      </c>
      <c r="D865" s="3" t="s">
        <v>4780</v>
      </c>
      <c r="E865" s="3" t="s">
        <v>4728</v>
      </c>
      <c r="F865" s="3" t="s">
        <v>4781</v>
      </c>
      <c r="G865" s="3" t="s">
        <v>6105</v>
      </c>
      <c r="H865" s="3" t="s">
        <v>2103</v>
      </c>
      <c r="I865" s="3" t="s">
        <v>5986</v>
      </c>
      <c r="J865" s="3" t="s">
        <v>5999</v>
      </c>
      <c r="K865" s="4" t="b">
        <f>J865 = "blocking"</f>
        <v>1</v>
      </c>
      <c r="L865" s="3" t="s">
        <v>1448</v>
      </c>
      <c r="M865" s="3" t="s">
        <v>6106</v>
      </c>
      <c r="N865" s="5">
        <v>46223.1297337963</v>
      </c>
      <c r="O865" s="4" t="b">
        <f>L865 = "PASS"</f>
        <v>1</v>
      </c>
      <c r="P865" s="4" t="b">
        <f>L865 = "FAIL"</f>
        <v>0</v>
      </c>
      <c r="Q865" s="4" t="b">
        <f>AND(((P865)=TRUE), ((K865)=TRUE))</f>
        <v>0</v>
      </c>
      <c r="R865" s="4" t="str">
        <f>IF(((O865)=TRUE),  I865,  "")</f>
        <v>suite-substrate</v>
      </c>
      <c r="S865" s="4" t="str">
        <f>IF(((Q865)=TRUE),  I865,  "")</f>
      </c>
      <c r="T865" s="3" t="s">
        <v>6001</v>
      </c>
    </row>
    <row r="866">
      <c r="A866" s="3" t="s">
        <v>6901</v>
      </c>
      <c r="B866" s="4" t="str">
        <f>C866 &amp; ": " &amp; D866</f>
        <v>formula-translates: SendIntents.IntentIsInsideQuietWindow</v>
      </c>
      <c r="C866" s="3" t="s">
        <v>6104</v>
      </c>
      <c r="D866" s="3" t="s">
        <v>4783</v>
      </c>
      <c r="E866" s="3" t="s">
        <v>4728</v>
      </c>
      <c r="F866" s="3" t="s">
        <v>4784</v>
      </c>
      <c r="G866" s="3" t="s">
        <v>6105</v>
      </c>
      <c r="H866" s="3" t="s">
        <v>2103</v>
      </c>
      <c r="I866" s="3" t="s">
        <v>5986</v>
      </c>
      <c r="J866" s="3" t="s">
        <v>5999</v>
      </c>
      <c r="K866" s="4" t="b">
        <f>J866 = "blocking"</f>
        <v>1</v>
      </c>
      <c r="L866" s="3" t="s">
        <v>1448</v>
      </c>
      <c r="M866" s="3" t="s">
        <v>6106</v>
      </c>
      <c r="N866" s="5">
        <v>46223.1297337963</v>
      </c>
      <c r="O866" s="4" t="b">
        <f>L866 = "PASS"</f>
        <v>1</v>
      </c>
      <c r="P866" s="4" t="b">
        <f>L866 = "FAIL"</f>
        <v>0</v>
      </c>
      <c r="Q866" s="4" t="b">
        <f>AND(((P866)=TRUE), ((K866)=TRUE))</f>
        <v>0</v>
      </c>
      <c r="R866" s="4" t="str">
        <f>IF(((O866)=TRUE),  I866,  "")</f>
        <v>suite-substrate</v>
      </c>
      <c r="S866" s="4" t="str">
        <f>IF(((Q866)=TRUE),  I866,  "")</f>
      </c>
      <c r="T866" s="3" t="s">
        <v>6001</v>
      </c>
    </row>
    <row r="867">
      <c r="A867" s="3" t="s">
        <v>6902</v>
      </c>
      <c r="B867" s="4" t="str">
        <f>C867 &amp; ": " &amp; D867</f>
        <v>formula-translates: SendIntents.TimingGatePassed</v>
      </c>
      <c r="C867" s="3" t="s">
        <v>6104</v>
      </c>
      <c r="D867" s="3" t="s">
        <v>4786</v>
      </c>
      <c r="E867" s="3" t="s">
        <v>4728</v>
      </c>
      <c r="F867" s="3" t="s">
        <v>4787</v>
      </c>
      <c r="G867" s="3" t="s">
        <v>6105</v>
      </c>
      <c r="H867" s="3" t="s">
        <v>2103</v>
      </c>
      <c r="I867" s="3" t="s">
        <v>5986</v>
      </c>
      <c r="J867" s="3" t="s">
        <v>5999</v>
      </c>
      <c r="K867" s="4" t="b">
        <f>J867 = "blocking"</f>
        <v>1</v>
      </c>
      <c r="L867" s="3" t="s">
        <v>1448</v>
      </c>
      <c r="M867" s="3" t="s">
        <v>6106</v>
      </c>
      <c r="N867" s="5">
        <v>46223.1297337963</v>
      </c>
      <c r="O867" s="4" t="b">
        <f>L867 = "PASS"</f>
        <v>1</v>
      </c>
      <c r="P867" s="4" t="b">
        <f>L867 = "FAIL"</f>
        <v>0</v>
      </c>
      <c r="Q867" s="4" t="b">
        <f>AND(((P867)=TRUE), ((K867)=TRUE))</f>
        <v>0</v>
      </c>
      <c r="R867" s="4" t="str">
        <f>IF(((O867)=TRUE),  I867,  "")</f>
        <v>suite-substrate</v>
      </c>
      <c r="S867" s="4" t="str">
        <f>IF(((Q867)=TRUE),  I867,  "")</f>
      </c>
      <c r="T867" s="3" t="s">
        <v>6001</v>
      </c>
    </row>
    <row r="868">
      <c r="A868" s="3" t="s">
        <v>6903</v>
      </c>
      <c r="B868" s="4" t="str">
        <f>C868 &amp; ": " &amp; D868</f>
        <v>formula-translates: SendIntents.HoursUntilWindowOpens</v>
      </c>
      <c r="C868" s="3" t="s">
        <v>6104</v>
      </c>
      <c r="D868" s="3" t="s">
        <v>4789</v>
      </c>
      <c r="E868" s="3" t="s">
        <v>4728</v>
      </c>
      <c r="F868" s="3" t="s">
        <v>4790</v>
      </c>
      <c r="G868" s="3" t="s">
        <v>6105</v>
      </c>
      <c r="H868" s="3" t="s">
        <v>2103</v>
      </c>
      <c r="I868" s="3" t="s">
        <v>5986</v>
      </c>
      <c r="J868" s="3" t="s">
        <v>5999</v>
      </c>
      <c r="K868" s="4" t="b">
        <f>J868 = "blocking"</f>
        <v>1</v>
      </c>
      <c r="L868" s="3" t="s">
        <v>1448</v>
      </c>
      <c r="M868" s="3" t="s">
        <v>6106</v>
      </c>
      <c r="N868" s="5">
        <v>46223.1297337963</v>
      </c>
      <c r="O868" s="4" t="b">
        <f>L868 = "PASS"</f>
        <v>1</v>
      </c>
      <c r="P868" s="4" t="b">
        <f>L868 = "FAIL"</f>
        <v>0</v>
      </c>
      <c r="Q868" s="4" t="b">
        <f>AND(((P868)=TRUE), ((K868)=TRUE))</f>
        <v>0</v>
      </c>
      <c r="R868" s="4" t="str">
        <f>IF(((O868)=TRUE),  I868,  "")</f>
        <v>suite-substrate</v>
      </c>
      <c r="S868" s="4" t="str">
        <f>IF(((Q868)=TRUE),  I868,  "")</f>
      </c>
      <c r="T868" s="3" t="s">
        <v>6001</v>
      </c>
    </row>
    <row r="869">
      <c r="A869" s="3" t="s">
        <v>6904</v>
      </c>
      <c r="B869" s="4" t="str">
        <f>C869 &amp; ": " &amp; D869</f>
        <v>formula-translates: SendIntents.IntentMaxMessageLength</v>
      </c>
      <c r="C869" s="3" t="s">
        <v>6104</v>
      </c>
      <c r="D869" s="3" t="s">
        <v>4792</v>
      </c>
      <c r="E869" s="3" t="s">
        <v>4728</v>
      </c>
      <c r="F869" s="3" t="s">
        <v>4793</v>
      </c>
      <c r="G869" s="3" t="s">
        <v>6105</v>
      </c>
      <c r="H869" s="3" t="s">
        <v>2107</v>
      </c>
      <c r="I869" s="3" t="s">
        <v>5986</v>
      </c>
      <c r="J869" s="3" t="s">
        <v>5999</v>
      </c>
      <c r="K869" s="4" t="b">
        <f>J869 = "blocking"</f>
        <v>1</v>
      </c>
      <c r="L869" s="3" t="s">
        <v>1448</v>
      </c>
      <c r="M869" s="3" t="s">
        <v>6106</v>
      </c>
      <c r="N869" s="5">
        <v>46223.1297337963</v>
      </c>
      <c r="O869" s="4" t="b">
        <f>L869 = "PASS"</f>
        <v>1</v>
      </c>
      <c r="P869" s="4" t="b">
        <f>L869 = "FAIL"</f>
        <v>0</v>
      </c>
      <c r="Q869" s="4" t="b">
        <f>AND(((P869)=TRUE), ((K869)=TRUE))</f>
        <v>0</v>
      </c>
      <c r="R869" s="4" t="str">
        <f>IF(((O869)=TRUE),  I869,  "")</f>
        <v>suite-substrate</v>
      </c>
      <c r="S869" s="4" t="str">
        <f>IF(((Q869)=TRUE),  I869,  "")</f>
      </c>
      <c r="T869" s="3" t="s">
        <v>6001</v>
      </c>
    </row>
    <row r="870">
      <c r="A870" s="3" t="s">
        <v>6905</v>
      </c>
      <c r="B870" s="4" t="str">
        <f>C870 &amp; ": " &amp; D870</f>
        <v>formula-translates: SendIntents.IntentMaxSegments</v>
      </c>
      <c r="C870" s="3" t="s">
        <v>6104</v>
      </c>
      <c r="D870" s="3" t="s">
        <v>4795</v>
      </c>
      <c r="E870" s="3" t="s">
        <v>4728</v>
      </c>
      <c r="F870" s="3" t="s">
        <v>4796</v>
      </c>
      <c r="G870" s="3" t="s">
        <v>6105</v>
      </c>
      <c r="H870" s="3" t="s">
        <v>2107</v>
      </c>
      <c r="I870" s="3" t="s">
        <v>5986</v>
      </c>
      <c r="J870" s="3" t="s">
        <v>5999</v>
      </c>
      <c r="K870" s="4" t="b">
        <f>J870 = "blocking"</f>
        <v>1</v>
      </c>
      <c r="L870" s="3" t="s">
        <v>1448</v>
      </c>
      <c r="M870" s="3" t="s">
        <v>6106</v>
      </c>
      <c r="N870" s="5">
        <v>46223.1297337963</v>
      </c>
      <c r="O870" s="4" t="b">
        <f>L870 = "PASS"</f>
        <v>1</v>
      </c>
      <c r="P870" s="4" t="b">
        <f>L870 = "FAIL"</f>
        <v>0</v>
      </c>
      <c r="Q870" s="4" t="b">
        <f>AND(((P870)=TRUE), ((K870)=TRUE))</f>
        <v>0</v>
      </c>
      <c r="R870" s="4" t="str">
        <f>IF(((O870)=TRUE),  I870,  "")</f>
        <v>suite-substrate</v>
      </c>
      <c r="S870" s="4" t="str">
        <f>IF(((Q870)=TRUE),  I870,  "")</f>
      </c>
      <c r="T870" s="3" t="s">
        <v>6001</v>
      </c>
    </row>
    <row r="871">
      <c r="A871" s="3" t="s">
        <v>6906</v>
      </c>
      <c r="B871" s="4" t="str">
        <f>C871 &amp; ": " &amp; D871</f>
        <v>formula-translates: SendIntents.LengthGatePassed</v>
      </c>
      <c r="C871" s="3" t="s">
        <v>6104</v>
      </c>
      <c r="D871" s="3" t="s">
        <v>4802</v>
      </c>
      <c r="E871" s="3" t="s">
        <v>4728</v>
      </c>
      <c r="F871" s="3" t="s">
        <v>4803</v>
      </c>
      <c r="G871" s="3" t="s">
        <v>6105</v>
      </c>
      <c r="H871" s="3" t="s">
        <v>2107</v>
      </c>
      <c r="I871" s="3" t="s">
        <v>5986</v>
      </c>
      <c r="J871" s="3" t="s">
        <v>5999</v>
      </c>
      <c r="K871" s="4" t="b">
        <f>J871 = "blocking"</f>
        <v>1</v>
      </c>
      <c r="L871" s="3" t="s">
        <v>1448</v>
      </c>
      <c r="M871" s="3" t="s">
        <v>6106</v>
      </c>
      <c r="N871" s="5">
        <v>46223.1297337963</v>
      </c>
      <c r="O871" s="4" t="b">
        <f>L871 = "PASS"</f>
        <v>1</v>
      </c>
      <c r="P871" s="4" t="b">
        <f>L871 = "FAIL"</f>
        <v>0</v>
      </c>
      <c r="Q871" s="4" t="b">
        <f>AND(((P871)=TRUE), ((K871)=TRUE))</f>
        <v>0</v>
      </c>
      <c r="R871" s="4" t="str">
        <f>IF(((O871)=TRUE),  I871,  "")</f>
        <v>suite-substrate</v>
      </c>
      <c r="S871" s="4" t="str">
        <f>IF(((Q871)=TRUE),  I871,  "")</f>
      </c>
      <c r="T871" s="3" t="s">
        <v>6001</v>
      </c>
    </row>
    <row r="872">
      <c r="A872" s="3" t="s">
        <v>6907</v>
      </c>
      <c r="B872" s="4" t="str">
        <f>C872 &amp; ": " &amp; D872</f>
        <v>formula-translates: SendIntents.IntentRequiredOptOutPhrase</v>
      </c>
      <c r="C872" s="3" t="s">
        <v>6104</v>
      </c>
      <c r="D872" s="3" t="s">
        <v>4805</v>
      </c>
      <c r="E872" s="3" t="s">
        <v>4728</v>
      </c>
      <c r="F872" s="3" t="s">
        <v>4806</v>
      </c>
      <c r="G872" s="3" t="s">
        <v>6105</v>
      </c>
      <c r="H872" s="3" t="s">
        <v>2107</v>
      </c>
      <c r="I872" s="3" t="s">
        <v>5986</v>
      </c>
      <c r="J872" s="3" t="s">
        <v>5999</v>
      </c>
      <c r="K872" s="4" t="b">
        <f>J872 = "blocking"</f>
        <v>1</v>
      </c>
      <c r="L872" s="3" t="s">
        <v>1448</v>
      </c>
      <c r="M872" s="3" t="s">
        <v>6106</v>
      </c>
      <c r="N872" s="5">
        <v>46223.1297337963</v>
      </c>
      <c r="O872" s="4" t="b">
        <f>L872 = "PASS"</f>
        <v>1</v>
      </c>
      <c r="P872" s="4" t="b">
        <f>L872 = "FAIL"</f>
        <v>0</v>
      </c>
      <c r="Q872" s="4" t="b">
        <f>AND(((P872)=TRUE), ((K872)=TRUE))</f>
        <v>0</v>
      </c>
      <c r="R872" s="4" t="str">
        <f>IF(((O872)=TRUE),  I872,  "")</f>
        <v>suite-substrate</v>
      </c>
      <c r="S872" s="4" t="str">
        <f>IF(((Q872)=TRUE),  I872,  "")</f>
      </c>
      <c r="T872" s="3" t="s">
        <v>6001</v>
      </c>
    </row>
    <row r="873">
      <c r="A873" s="3" t="s">
        <v>6908</v>
      </c>
      <c r="B873" s="4" t="str">
        <f>C873 &amp; ": " &amp; D873</f>
        <v>formula-translates: SendIntents.OptOutGatePassed</v>
      </c>
      <c r="C873" s="3" t="s">
        <v>6104</v>
      </c>
      <c r="D873" s="3" t="s">
        <v>4810</v>
      </c>
      <c r="E873" s="3" t="s">
        <v>4728</v>
      </c>
      <c r="F873" s="3" t="s">
        <v>4811</v>
      </c>
      <c r="G873" s="3" t="s">
        <v>6105</v>
      </c>
      <c r="H873" s="3" t="s">
        <v>2107</v>
      </c>
      <c r="I873" s="3" t="s">
        <v>5986</v>
      </c>
      <c r="J873" s="3" t="s">
        <v>5999</v>
      </c>
      <c r="K873" s="4" t="b">
        <f>J873 = "blocking"</f>
        <v>1</v>
      </c>
      <c r="L873" s="3" t="s">
        <v>1448</v>
      </c>
      <c r="M873" s="3" t="s">
        <v>6106</v>
      </c>
      <c r="N873" s="5">
        <v>46223.1297337963</v>
      </c>
      <c r="O873" s="4" t="b">
        <f>L873 = "PASS"</f>
        <v>1</v>
      </c>
      <c r="P873" s="4" t="b">
        <f>L873 = "FAIL"</f>
        <v>0</v>
      </c>
      <c r="Q873" s="4" t="b">
        <f>AND(((P873)=TRUE), ((K873)=TRUE))</f>
        <v>0</v>
      </c>
      <c r="R873" s="4" t="str">
        <f>IF(((O873)=TRUE),  I873,  "")</f>
        <v>suite-substrate</v>
      </c>
      <c r="S873" s="4" t="str">
        <f>IF(((Q873)=TRUE),  I873,  "")</f>
      </c>
      <c r="T873" s="3" t="s">
        <v>6001</v>
      </c>
    </row>
    <row r="874">
      <c r="A874" s="3" t="s">
        <v>6909</v>
      </c>
      <c r="B874" s="4" t="str">
        <f>C874 &amp; ": " &amp; D874</f>
        <v>formula-translates: SendIntents.ContentGatePassed</v>
      </c>
      <c r="C874" s="3" t="s">
        <v>6104</v>
      </c>
      <c r="D874" s="3" t="s">
        <v>4813</v>
      </c>
      <c r="E874" s="3" t="s">
        <v>4728</v>
      </c>
      <c r="F874" s="3" t="s">
        <v>4814</v>
      </c>
      <c r="G874" s="3" t="s">
        <v>6105</v>
      </c>
      <c r="H874" s="3" t="s">
        <v>2107</v>
      </c>
      <c r="I874" s="3" t="s">
        <v>5986</v>
      </c>
      <c r="J874" s="3" t="s">
        <v>5999</v>
      </c>
      <c r="K874" s="4" t="b">
        <f>J874 = "blocking"</f>
        <v>1</v>
      </c>
      <c r="L874" s="3" t="s">
        <v>1448</v>
      </c>
      <c r="M874" s="3" t="s">
        <v>6106</v>
      </c>
      <c r="N874" s="5">
        <v>46223.1297337963</v>
      </c>
      <c r="O874" s="4" t="b">
        <f>L874 = "PASS"</f>
        <v>1</v>
      </c>
      <c r="P874" s="4" t="b">
        <f>L874 = "FAIL"</f>
        <v>0</v>
      </c>
      <c r="Q874" s="4" t="b">
        <f>AND(((P874)=TRUE), ((K874)=TRUE))</f>
        <v>0</v>
      </c>
      <c r="R874" s="4" t="str">
        <f>IF(((O874)=TRUE),  I874,  "")</f>
        <v>suite-substrate</v>
      </c>
      <c r="S874" s="4" t="str">
        <f>IF(((Q874)=TRUE),  I874,  "")</f>
      </c>
      <c r="T874" s="3" t="s">
        <v>6001</v>
      </c>
    </row>
    <row r="875">
      <c r="A875" s="3" t="s">
        <v>6910</v>
      </c>
      <c r="B875" s="4" t="str">
        <f>C875 &amp; ": " &amp; D875</f>
        <v>formula-translates: SendIntents.TemplateIsSendable</v>
      </c>
      <c r="C875" s="3" t="s">
        <v>6104</v>
      </c>
      <c r="D875" s="3" t="s">
        <v>4816</v>
      </c>
      <c r="E875" s="3" t="s">
        <v>4728</v>
      </c>
      <c r="F875" s="3" t="s">
        <v>4817</v>
      </c>
      <c r="G875" s="3" t="s">
        <v>6105</v>
      </c>
      <c r="H875" s="3" t="s">
        <v>2111</v>
      </c>
      <c r="I875" s="3" t="s">
        <v>5986</v>
      </c>
      <c r="J875" s="3" t="s">
        <v>5999</v>
      </c>
      <c r="K875" s="4" t="b">
        <f>J875 = "blocking"</f>
        <v>1</v>
      </c>
      <c r="L875" s="3" t="s">
        <v>1448</v>
      </c>
      <c r="M875" s="3" t="s">
        <v>6106</v>
      </c>
      <c r="N875" s="5">
        <v>46223.1297337963</v>
      </c>
      <c r="O875" s="4" t="b">
        <f>L875 = "PASS"</f>
        <v>1</v>
      </c>
      <c r="P875" s="4" t="b">
        <f>L875 = "FAIL"</f>
        <v>0</v>
      </c>
      <c r="Q875" s="4" t="b">
        <f>AND(((P875)=TRUE), ((K875)=TRUE))</f>
        <v>0</v>
      </c>
      <c r="R875" s="4" t="str">
        <f>IF(((O875)=TRUE),  I875,  "")</f>
        <v>suite-substrate</v>
      </c>
      <c r="S875" s="4" t="str">
        <f>IF(((Q875)=TRUE),  I875,  "")</f>
      </c>
      <c r="T875" s="3" t="s">
        <v>6001</v>
      </c>
    </row>
    <row r="876">
      <c r="A876" s="3" t="s">
        <v>6911</v>
      </c>
      <c r="B876" s="4" t="str">
        <f>C876 &amp; ": " &amp; D876</f>
        <v>formula-translates: SendIntents.ExecutionHasLegalClearance</v>
      </c>
      <c r="C876" s="3" t="s">
        <v>6104</v>
      </c>
      <c r="D876" s="3" t="s">
        <v>4818</v>
      </c>
      <c r="E876" s="3" t="s">
        <v>4728</v>
      </c>
      <c r="F876" s="3" t="s">
        <v>4819</v>
      </c>
      <c r="G876" s="3" t="s">
        <v>6105</v>
      </c>
      <c r="H876" s="3" t="s">
        <v>2111</v>
      </c>
      <c r="I876" s="3" t="s">
        <v>5986</v>
      </c>
      <c r="J876" s="3" t="s">
        <v>5999</v>
      </c>
      <c r="K876" s="4" t="b">
        <f>J876 = "blocking"</f>
        <v>1</v>
      </c>
      <c r="L876" s="3" t="s">
        <v>1448</v>
      </c>
      <c r="M876" s="3" t="s">
        <v>6106</v>
      </c>
      <c r="N876" s="5">
        <v>46223.1297337963</v>
      </c>
      <c r="O876" s="4" t="b">
        <f>L876 = "PASS"</f>
        <v>1</v>
      </c>
      <c r="P876" s="4" t="b">
        <f>L876 = "FAIL"</f>
        <v>0</v>
      </c>
      <c r="Q876" s="4" t="b">
        <f>AND(((P876)=TRUE), ((K876)=TRUE))</f>
        <v>0</v>
      </c>
      <c r="R876" s="4" t="str">
        <f>IF(((O876)=TRUE),  I876,  "")</f>
        <v>suite-substrate</v>
      </c>
      <c r="S876" s="4" t="str">
        <f>IF(((Q876)=TRUE),  I876,  "")</f>
      </c>
      <c r="T876" s="3" t="s">
        <v>6001</v>
      </c>
    </row>
    <row r="877">
      <c r="A877" s="3" t="s">
        <v>6912</v>
      </c>
      <c r="B877" s="4" t="str">
        <f>C877 &amp; ": " &amp; D877</f>
        <v>formula-translates: SendIntents.IntentApprovalRole</v>
      </c>
      <c r="C877" s="3" t="s">
        <v>6104</v>
      </c>
      <c r="D877" s="3" t="s">
        <v>4820</v>
      </c>
      <c r="E877" s="3" t="s">
        <v>4728</v>
      </c>
      <c r="F877" s="3" t="s">
        <v>4821</v>
      </c>
      <c r="G877" s="3" t="s">
        <v>6105</v>
      </c>
      <c r="H877" s="3" t="s">
        <v>2111</v>
      </c>
      <c r="I877" s="3" t="s">
        <v>5986</v>
      </c>
      <c r="J877" s="3" t="s">
        <v>5999</v>
      </c>
      <c r="K877" s="4" t="b">
        <f>J877 = "blocking"</f>
        <v>1</v>
      </c>
      <c r="L877" s="3" t="s">
        <v>1448</v>
      </c>
      <c r="M877" s="3" t="s">
        <v>6106</v>
      </c>
      <c r="N877" s="5">
        <v>46223.1297337963</v>
      </c>
      <c r="O877" s="4" t="b">
        <f>L877 = "PASS"</f>
        <v>1</v>
      </c>
      <c r="P877" s="4" t="b">
        <f>L877 = "FAIL"</f>
        <v>0</v>
      </c>
      <c r="Q877" s="4" t="b">
        <f>AND(((P877)=TRUE), ((K877)=TRUE))</f>
        <v>0</v>
      </c>
      <c r="R877" s="4" t="str">
        <f>IF(((O877)=TRUE),  I877,  "")</f>
        <v>suite-substrate</v>
      </c>
      <c r="S877" s="4" t="str">
        <f>IF(((Q877)=TRUE),  I877,  "")</f>
      </c>
      <c r="T877" s="3" t="s">
        <v>6001</v>
      </c>
    </row>
    <row r="878">
      <c r="A878" s="3" t="s">
        <v>6913</v>
      </c>
      <c r="B878" s="4" t="str">
        <f>C878 &amp; ": " &amp; D878</f>
        <v>formula-translates: SendIntents.ApprovalRoleAgentKind</v>
      </c>
      <c r="C878" s="3" t="s">
        <v>6104</v>
      </c>
      <c r="D878" s="3" t="s">
        <v>4823</v>
      </c>
      <c r="E878" s="3" t="s">
        <v>4728</v>
      </c>
      <c r="F878" s="3" t="s">
        <v>4824</v>
      </c>
      <c r="G878" s="3" t="s">
        <v>6105</v>
      </c>
      <c r="H878" s="3" t="s">
        <v>2111</v>
      </c>
      <c r="I878" s="3" t="s">
        <v>5986</v>
      </c>
      <c r="J878" s="3" t="s">
        <v>5999</v>
      </c>
      <c r="K878" s="4" t="b">
        <f>J878 = "blocking"</f>
        <v>1</v>
      </c>
      <c r="L878" s="3" t="s">
        <v>1448</v>
      </c>
      <c r="M878" s="3" t="s">
        <v>6106</v>
      </c>
      <c r="N878" s="5">
        <v>46223.1297337963</v>
      </c>
      <c r="O878" s="4" t="b">
        <f>L878 = "PASS"</f>
        <v>1</v>
      </c>
      <c r="P878" s="4" t="b">
        <f>L878 = "FAIL"</f>
        <v>0</v>
      </c>
      <c r="Q878" s="4" t="b">
        <f>AND(((P878)=TRUE), ((K878)=TRUE))</f>
        <v>0</v>
      </c>
      <c r="R878" s="4" t="str">
        <f>IF(((O878)=TRUE),  I878,  "")</f>
        <v>suite-substrate</v>
      </c>
      <c r="S878" s="4" t="str">
        <f>IF(((Q878)=TRUE),  I878,  "")</f>
      </c>
      <c r="T878" s="3" t="s">
        <v>6001</v>
      </c>
    </row>
    <row r="879">
      <c r="A879" s="3" t="s">
        <v>6914</v>
      </c>
      <c r="B879" s="4" t="str">
        <f>C879 &amp; ": " &amp; D879</f>
        <v>formula-translates: SendIntents.ApprovalIsHuman</v>
      </c>
      <c r="C879" s="3" t="s">
        <v>6104</v>
      </c>
      <c r="D879" s="3" t="s">
        <v>4826</v>
      </c>
      <c r="E879" s="3" t="s">
        <v>4728</v>
      </c>
      <c r="F879" s="3" t="s">
        <v>4827</v>
      </c>
      <c r="G879" s="3" t="s">
        <v>6105</v>
      </c>
      <c r="H879" s="3" t="s">
        <v>2111</v>
      </c>
      <c r="I879" s="3" t="s">
        <v>5986</v>
      </c>
      <c r="J879" s="3" t="s">
        <v>5999</v>
      </c>
      <c r="K879" s="4" t="b">
        <f>J879 = "blocking"</f>
        <v>1</v>
      </c>
      <c r="L879" s="3" t="s">
        <v>1448</v>
      </c>
      <c r="M879" s="3" t="s">
        <v>6106</v>
      </c>
      <c r="N879" s="5">
        <v>46223.1297337963</v>
      </c>
      <c r="O879" s="4" t="b">
        <f>L879 = "PASS"</f>
        <v>1</v>
      </c>
      <c r="P879" s="4" t="b">
        <f>L879 = "FAIL"</f>
        <v>0</v>
      </c>
      <c r="Q879" s="4" t="b">
        <f>AND(((P879)=TRUE), ((K879)=TRUE))</f>
        <v>0</v>
      </c>
      <c r="R879" s="4" t="str">
        <f>IF(((O879)=TRUE),  I879,  "")</f>
        <v>suite-substrate</v>
      </c>
      <c r="S879" s="4" t="str">
        <f>IF(((Q879)=TRUE),  I879,  "")</f>
      </c>
      <c r="T879" s="3" t="s">
        <v>6001</v>
      </c>
    </row>
    <row r="880">
      <c r="A880" s="3" t="s">
        <v>6915</v>
      </c>
      <c r="B880" s="4" t="str">
        <f>C880 &amp; ": " &amp; D880</f>
        <v>formula-translates: SendIntents.AuthorizationGatePassed</v>
      </c>
      <c r="C880" s="3" t="s">
        <v>6104</v>
      </c>
      <c r="D880" s="3" t="s">
        <v>4829</v>
      </c>
      <c r="E880" s="3" t="s">
        <v>4728</v>
      </c>
      <c r="F880" s="3" t="s">
        <v>4830</v>
      </c>
      <c r="G880" s="3" t="s">
        <v>6105</v>
      </c>
      <c r="H880" s="3" t="s">
        <v>2111</v>
      </c>
      <c r="I880" s="3" t="s">
        <v>5986</v>
      </c>
      <c r="J880" s="3" t="s">
        <v>5999</v>
      </c>
      <c r="K880" s="4" t="b">
        <f>J880 = "blocking"</f>
        <v>1</v>
      </c>
      <c r="L880" s="3" t="s">
        <v>1448</v>
      </c>
      <c r="M880" s="3" t="s">
        <v>6106</v>
      </c>
      <c r="N880" s="5">
        <v>46223.1297337963</v>
      </c>
      <c r="O880" s="4" t="b">
        <f>L880 = "PASS"</f>
        <v>1</v>
      </c>
      <c r="P880" s="4" t="b">
        <f>L880 = "FAIL"</f>
        <v>0</v>
      </c>
      <c r="Q880" s="4" t="b">
        <f>AND(((P880)=TRUE), ((K880)=TRUE))</f>
        <v>0</v>
      </c>
      <c r="R880" s="4" t="str">
        <f>IF(((O880)=TRUE),  I880,  "")</f>
        <v>suite-substrate</v>
      </c>
      <c r="S880" s="4" t="str">
        <f>IF(((Q880)=TRUE),  I880,  "")</f>
      </c>
      <c r="T880" s="3" t="s">
        <v>6001</v>
      </c>
    </row>
    <row r="881">
      <c r="A881" s="3" t="s">
        <v>6916</v>
      </c>
      <c r="B881" s="4" t="str">
        <f>C881 &amp; ": " &amp; D881</f>
        <v>formula-translates: SendIntents.IsClearedToSend</v>
      </c>
      <c r="C881" s="3" t="s">
        <v>6104</v>
      </c>
      <c r="D881" s="3" t="s">
        <v>4832</v>
      </c>
      <c r="E881" s="3" t="s">
        <v>4728</v>
      </c>
      <c r="F881" s="3" t="s">
        <v>4833</v>
      </c>
      <c r="G881" s="3" t="s">
        <v>6105</v>
      </c>
      <c r="H881" s="3" t="s">
        <v>2111</v>
      </c>
      <c r="I881" s="3" t="s">
        <v>5986</v>
      </c>
      <c r="J881" s="3" t="s">
        <v>5999</v>
      </c>
      <c r="K881" s="4" t="b">
        <f>J881 = "blocking"</f>
        <v>1</v>
      </c>
      <c r="L881" s="3" t="s">
        <v>1448</v>
      </c>
      <c r="M881" s="3" t="s">
        <v>6106</v>
      </c>
      <c r="N881" s="5">
        <v>46223.1297337963</v>
      </c>
      <c r="O881" s="4" t="b">
        <f>L881 = "PASS"</f>
        <v>1</v>
      </c>
      <c r="P881" s="4" t="b">
        <f>L881 = "FAIL"</f>
        <v>0</v>
      </c>
      <c r="Q881" s="4" t="b">
        <f>AND(((P881)=TRUE), ((K881)=TRUE))</f>
        <v>0</v>
      </c>
      <c r="R881" s="4" t="str">
        <f>IF(((O881)=TRUE),  I881,  "")</f>
        <v>suite-substrate</v>
      </c>
      <c r="S881" s="4" t="str">
        <f>IF(((Q881)=TRUE),  I881,  "")</f>
      </c>
      <c r="T881" s="3" t="s">
        <v>6001</v>
      </c>
    </row>
    <row r="882">
      <c r="A882" s="3" t="s">
        <v>6917</v>
      </c>
      <c r="B882" s="4" t="str">
        <f>C882 &amp; ": " &amp; D882</f>
        <v>formula-translates: SendIntents.BlockingGateName</v>
      </c>
      <c r="C882" s="3" t="s">
        <v>6104</v>
      </c>
      <c r="D882" s="3" t="s">
        <v>4835</v>
      </c>
      <c r="E882" s="3" t="s">
        <v>4728</v>
      </c>
      <c r="F882" s="3" t="s">
        <v>4836</v>
      </c>
      <c r="G882" s="3" t="s">
        <v>6105</v>
      </c>
      <c r="H882" s="3" t="s">
        <v>2111</v>
      </c>
      <c r="I882" s="3" t="s">
        <v>5986</v>
      </c>
      <c r="J882" s="3" t="s">
        <v>5999</v>
      </c>
      <c r="K882" s="4" t="b">
        <f>J882 = "blocking"</f>
        <v>1</v>
      </c>
      <c r="L882" s="3" t="s">
        <v>1448</v>
      </c>
      <c r="M882" s="3" t="s">
        <v>6106</v>
      </c>
      <c r="N882" s="5">
        <v>46223.1297337963</v>
      </c>
      <c r="O882" s="4" t="b">
        <f>L882 = "PASS"</f>
        <v>1</v>
      </c>
      <c r="P882" s="4" t="b">
        <f>L882 = "FAIL"</f>
        <v>0</v>
      </c>
      <c r="Q882" s="4" t="b">
        <f>AND(((P882)=TRUE), ((K882)=TRUE))</f>
        <v>0</v>
      </c>
      <c r="R882" s="4" t="str">
        <f>IF(((O882)=TRUE),  I882,  "")</f>
        <v>suite-substrate</v>
      </c>
      <c r="S882" s="4" t="str">
        <f>IF(((Q882)=TRUE),  I882,  "")</f>
      </c>
      <c r="T882" s="3" t="s">
        <v>6001</v>
      </c>
    </row>
    <row r="883">
      <c r="A883" s="3" t="s">
        <v>6918</v>
      </c>
      <c r="B883" s="4" t="str">
        <f>C883 &amp; ": " &amp; D883</f>
        <v>formula-translates: SendIntents.HasResultingDelivery</v>
      </c>
      <c r="C883" s="3" t="s">
        <v>6104</v>
      </c>
      <c r="D883" s="3" t="s">
        <v>4838</v>
      </c>
      <c r="E883" s="3" t="s">
        <v>4728</v>
      </c>
      <c r="F883" s="3" t="s">
        <v>4839</v>
      </c>
      <c r="G883" s="3" t="s">
        <v>6105</v>
      </c>
      <c r="H883" s="3" t="s">
        <v>2115</v>
      </c>
      <c r="I883" s="3" t="s">
        <v>5986</v>
      </c>
      <c r="J883" s="3" t="s">
        <v>5999</v>
      </c>
      <c r="K883" s="4" t="b">
        <f>J883 = "blocking"</f>
        <v>1</v>
      </c>
      <c r="L883" s="3" t="s">
        <v>1448</v>
      </c>
      <c r="M883" s="3" t="s">
        <v>6106</v>
      </c>
      <c r="N883" s="5">
        <v>46223.1297337963</v>
      </c>
      <c r="O883" s="4" t="b">
        <f>L883 = "PASS"</f>
        <v>1</v>
      </c>
      <c r="P883" s="4" t="b">
        <f>L883 = "FAIL"</f>
        <v>0</v>
      </c>
      <c r="Q883" s="4" t="b">
        <f>AND(((P883)=TRUE), ((K883)=TRUE))</f>
        <v>0</v>
      </c>
      <c r="R883" s="4" t="str">
        <f>IF(((O883)=TRUE),  I883,  "")</f>
        <v>suite-substrate</v>
      </c>
      <c r="S883" s="4" t="str">
        <f>IF(((Q883)=TRUE),  I883,  "")</f>
      </c>
      <c r="T883" s="3" t="s">
        <v>6001</v>
      </c>
    </row>
    <row r="884">
      <c r="A884" s="3" t="s">
        <v>6919</v>
      </c>
      <c r="B884" s="4" t="str">
        <f>C884 &amp; ": " &amp; D884</f>
        <v>formula-translates: SendIntents.ResultingDeliveryWasTransmitted</v>
      </c>
      <c r="C884" s="3" t="s">
        <v>6104</v>
      </c>
      <c r="D884" s="3" t="s">
        <v>4841</v>
      </c>
      <c r="E884" s="3" t="s">
        <v>4728</v>
      </c>
      <c r="F884" s="3" t="s">
        <v>4842</v>
      </c>
      <c r="G884" s="3" t="s">
        <v>6105</v>
      </c>
      <c r="H884" s="3" t="s">
        <v>2115</v>
      </c>
      <c r="I884" s="3" t="s">
        <v>5986</v>
      </c>
      <c r="J884" s="3" t="s">
        <v>5999</v>
      </c>
      <c r="K884" s="4" t="b">
        <f>J884 = "blocking"</f>
        <v>1</v>
      </c>
      <c r="L884" s="3" t="s">
        <v>1448</v>
      </c>
      <c r="M884" s="3" t="s">
        <v>6106</v>
      </c>
      <c r="N884" s="5">
        <v>46223.1297337963</v>
      </c>
      <c r="O884" s="4" t="b">
        <f>L884 = "PASS"</f>
        <v>1</v>
      </c>
      <c r="P884" s="4" t="b">
        <f>L884 = "FAIL"</f>
        <v>0</v>
      </c>
      <c r="Q884" s="4" t="b">
        <f>AND(((P884)=TRUE), ((K884)=TRUE))</f>
        <v>0</v>
      </c>
      <c r="R884" s="4" t="str">
        <f>IF(((O884)=TRUE),  I884,  "")</f>
        <v>suite-substrate</v>
      </c>
      <c r="S884" s="4" t="str">
        <f>IF(((Q884)=TRUE),  I884,  "")</f>
      </c>
      <c r="T884" s="3" t="s">
        <v>6001</v>
      </c>
    </row>
    <row r="885">
      <c r="A885" s="3" t="s">
        <v>6920</v>
      </c>
      <c r="B885" s="4" t="str">
        <f>C885 &amp; ": " &amp; D885</f>
        <v>formula-translates: SendIntents.IsOverriddenRefusal</v>
      </c>
      <c r="C885" s="3" t="s">
        <v>6104</v>
      </c>
      <c r="D885" s="3" t="s">
        <v>4844</v>
      </c>
      <c r="E885" s="3" t="s">
        <v>4728</v>
      </c>
      <c r="F885" s="3" t="s">
        <v>4845</v>
      </c>
      <c r="G885" s="3" t="s">
        <v>6105</v>
      </c>
      <c r="H885" s="3" t="s">
        <v>2115</v>
      </c>
      <c r="I885" s="3" t="s">
        <v>5986</v>
      </c>
      <c r="J885" s="3" t="s">
        <v>5999</v>
      </c>
      <c r="K885" s="4" t="b">
        <f>J885 = "blocking"</f>
        <v>1</v>
      </c>
      <c r="L885" s="3" t="s">
        <v>1448</v>
      </c>
      <c r="M885" s="3" t="s">
        <v>6106</v>
      </c>
      <c r="N885" s="5">
        <v>46223.1297337963</v>
      </c>
      <c r="O885" s="4" t="b">
        <f>L885 = "PASS"</f>
        <v>1</v>
      </c>
      <c r="P885" s="4" t="b">
        <f>L885 = "FAIL"</f>
        <v>0</v>
      </c>
      <c r="Q885" s="4" t="b">
        <f>AND(((P885)=TRUE), ((K885)=TRUE))</f>
        <v>0</v>
      </c>
      <c r="R885" s="4" t="str">
        <f>IF(((O885)=TRUE),  I885,  "")</f>
        <v>suite-substrate</v>
      </c>
      <c r="S885" s="4" t="str">
        <f>IF(((Q885)=TRUE),  I885,  "")</f>
      </c>
      <c r="T885" s="3" t="s">
        <v>6001</v>
      </c>
    </row>
    <row r="886">
      <c r="A886" s="3" t="s">
        <v>6921</v>
      </c>
      <c r="B886" s="4" t="str">
        <f>C886 &amp; ": " &amp; D886</f>
        <v>formula-translates: SendIntents.IsSilentlyDropped</v>
      </c>
      <c r="C886" s="3" t="s">
        <v>6104</v>
      </c>
      <c r="D886" s="3" t="s">
        <v>4847</v>
      </c>
      <c r="E886" s="3" t="s">
        <v>4728</v>
      </c>
      <c r="F886" s="3" t="s">
        <v>4848</v>
      </c>
      <c r="G886" s="3" t="s">
        <v>6105</v>
      </c>
      <c r="H886" s="3" t="s">
        <v>2115</v>
      </c>
      <c r="I886" s="3" t="s">
        <v>5986</v>
      </c>
      <c r="J886" s="3" t="s">
        <v>5999</v>
      </c>
      <c r="K886" s="4" t="b">
        <f>J886 = "blocking"</f>
        <v>1</v>
      </c>
      <c r="L886" s="3" t="s">
        <v>1448</v>
      </c>
      <c r="M886" s="3" t="s">
        <v>6106</v>
      </c>
      <c r="N886" s="5">
        <v>46223.1297337963</v>
      </c>
      <c r="O886" s="4" t="b">
        <f>L886 = "PASS"</f>
        <v>1</v>
      </c>
      <c r="P886" s="4" t="b">
        <f>L886 = "FAIL"</f>
        <v>0</v>
      </c>
      <c r="Q886" s="4" t="b">
        <f>AND(((P886)=TRUE), ((K886)=TRUE))</f>
        <v>0</v>
      </c>
      <c r="R886" s="4" t="str">
        <f>IF(((O886)=TRUE),  I886,  "")</f>
        <v>suite-substrate</v>
      </c>
      <c r="S886" s="4" t="str">
        <f>IF(((Q886)=TRUE),  I886,  "")</f>
      </c>
      <c r="T886" s="3" t="s">
        <v>6001</v>
      </c>
    </row>
    <row r="887">
      <c r="A887" s="3" t="s">
        <v>6922</v>
      </c>
      <c r="B887" s="4" t="str">
        <f>C887 &amp; ": " &amp; D887</f>
        <v>formula-translates: SendIntents.ResultingDeliveryException</v>
      </c>
      <c r="C887" s="3" t="s">
        <v>6104</v>
      </c>
      <c r="D887" s="3" t="s">
        <v>4850</v>
      </c>
      <c r="E887" s="3" t="s">
        <v>4728</v>
      </c>
      <c r="F887" s="3" t="s">
        <v>4851</v>
      </c>
      <c r="G887" s="3" t="s">
        <v>6105</v>
      </c>
      <c r="H887" s="3" t="s">
        <v>2115</v>
      </c>
      <c r="I887" s="3" t="s">
        <v>5986</v>
      </c>
      <c r="J887" s="3" t="s">
        <v>5999</v>
      </c>
      <c r="K887" s="4" t="b">
        <f>J887 = "blocking"</f>
        <v>1</v>
      </c>
      <c r="L887" s="3" t="s">
        <v>1448</v>
      </c>
      <c r="M887" s="3" t="s">
        <v>6106</v>
      </c>
      <c r="N887" s="5">
        <v>46223.1297337963</v>
      </c>
      <c r="O887" s="4" t="b">
        <f>L887 = "PASS"</f>
        <v>1</v>
      </c>
      <c r="P887" s="4" t="b">
        <f>L887 = "FAIL"</f>
        <v>0</v>
      </c>
      <c r="Q887" s="4" t="b">
        <f>AND(((P887)=TRUE), ((K887)=TRUE))</f>
        <v>0</v>
      </c>
      <c r="R887" s="4" t="str">
        <f>IF(((O887)=TRUE),  I887,  "")</f>
        <v>suite-substrate</v>
      </c>
      <c r="S887" s="4" t="str">
        <f>IF(((Q887)=TRUE),  I887,  "")</f>
      </c>
      <c r="T887" s="3" t="s">
        <v>6001</v>
      </c>
    </row>
    <row r="888">
      <c r="A888" s="3" t="s">
        <v>6923</v>
      </c>
      <c r="B888" s="4" t="str">
        <f>C888 &amp; ": " &amp; D888</f>
        <v>formula-translates: SendIntents.RefusalCitedAnException</v>
      </c>
      <c r="C888" s="3" t="s">
        <v>6104</v>
      </c>
      <c r="D888" s="3" t="s">
        <v>4853</v>
      </c>
      <c r="E888" s="3" t="s">
        <v>4728</v>
      </c>
      <c r="F888" s="3" t="s">
        <v>4854</v>
      </c>
      <c r="G888" s="3" t="s">
        <v>6105</v>
      </c>
      <c r="H888" s="3" t="s">
        <v>2115</v>
      </c>
      <c r="I888" s="3" t="s">
        <v>5986</v>
      </c>
      <c r="J888" s="3" t="s">
        <v>5999</v>
      </c>
      <c r="K888" s="4" t="b">
        <f>J888 = "blocking"</f>
        <v>1</v>
      </c>
      <c r="L888" s="3" t="s">
        <v>1448</v>
      </c>
      <c r="M888" s="3" t="s">
        <v>6106</v>
      </c>
      <c r="N888" s="5">
        <v>46223.1297337963</v>
      </c>
      <c r="O888" s="4" t="b">
        <f>L888 = "PASS"</f>
        <v>1</v>
      </c>
      <c r="P888" s="4" t="b">
        <f>L888 = "FAIL"</f>
        <v>0</v>
      </c>
      <c r="Q888" s="4" t="b">
        <f>AND(((P888)=TRUE), ((K888)=TRUE))</f>
        <v>0</v>
      </c>
      <c r="R888" s="4" t="str">
        <f>IF(((O888)=TRUE),  I888,  "")</f>
        <v>suite-substrate</v>
      </c>
      <c r="S888" s="4" t="str">
        <f>IF(((Q888)=TRUE),  I888,  "")</f>
      </c>
      <c r="T888" s="3" t="s">
        <v>6001</v>
      </c>
    </row>
    <row r="889">
      <c r="A889" s="3" t="s">
        <v>6924</v>
      </c>
      <c r="B889" s="4" t="str">
        <f>C889 &amp; ": " &amp; D889</f>
        <v>formula-translates: SendIntents.IsProperlyHandledRefusal</v>
      </c>
      <c r="C889" s="3" t="s">
        <v>6104</v>
      </c>
      <c r="D889" s="3" t="s">
        <v>4856</v>
      </c>
      <c r="E889" s="3" t="s">
        <v>4728</v>
      </c>
      <c r="F889" s="3" t="s">
        <v>4857</v>
      </c>
      <c r="G889" s="3" t="s">
        <v>6105</v>
      </c>
      <c r="H889" s="3" t="s">
        <v>2115</v>
      </c>
      <c r="I889" s="3" t="s">
        <v>5986</v>
      </c>
      <c r="J889" s="3" t="s">
        <v>5999</v>
      </c>
      <c r="K889" s="4" t="b">
        <f>J889 = "blocking"</f>
        <v>1</v>
      </c>
      <c r="L889" s="3" t="s">
        <v>1448</v>
      </c>
      <c r="M889" s="3" t="s">
        <v>6106</v>
      </c>
      <c r="N889" s="5">
        <v>46223.1297337963</v>
      </c>
      <c r="O889" s="4" t="b">
        <f>L889 = "PASS"</f>
        <v>1</v>
      </c>
      <c r="P889" s="4" t="b">
        <f>L889 = "FAIL"</f>
        <v>0</v>
      </c>
      <c r="Q889" s="4" t="b">
        <f>AND(((P889)=TRUE), ((K889)=TRUE))</f>
        <v>0</v>
      </c>
      <c r="R889" s="4" t="str">
        <f>IF(((O889)=TRUE),  I889,  "")</f>
        <v>suite-substrate</v>
      </c>
      <c r="S889" s="4" t="str">
        <f>IF(((Q889)=TRUE),  I889,  "")</f>
      </c>
      <c r="T889" s="3" t="s">
        <v>6001</v>
      </c>
    </row>
    <row r="890">
      <c r="A890" s="3" t="s">
        <v>6925</v>
      </c>
      <c r="B890" s="4" t="str">
        <f>C890 &amp; ": " &amp; D890</f>
        <v>formula-translates: SendIntents.RefusalFailureExecutionKey</v>
      </c>
      <c r="C890" s="3" t="s">
        <v>6104</v>
      </c>
      <c r="D890" s="3" t="s">
        <v>4859</v>
      </c>
      <c r="E890" s="3" t="s">
        <v>4728</v>
      </c>
      <c r="F890" s="3" t="s">
        <v>4860</v>
      </c>
      <c r="G890" s="3" t="s">
        <v>6105</v>
      </c>
      <c r="H890" s="3" t="s">
        <v>2115</v>
      </c>
      <c r="I890" s="3" t="s">
        <v>5986</v>
      </c>
      <c r="J890" s="3" t="s">
        <v>5999</v>
      </c>
      <c r="K890" s="4" t="b">
        <f>J890 = "blocking"</f>
        <v>1</v>
      </c>
      <c r="L890" s="3" t="s">
        <v>1448</v>
      </c>
      <c r="M890" s="3" t="s">
        <v>6106</v>
      </c>
      <c r="N890" s="5">
        <v>46223.1297337963</v>
      </c>
      <c r="O890" s="4" t="b">
        <f>L890 = "PASS"</f>
        <v>1</v>
      </c>
      <c r="P890" s="4" t="b">
        <f>L890 = "FAIL"</f>
        <v>0</v>
      </c>
      <c r="Q890" s="4" t="b">
        <f>AND(((P890)=TRUE), ((K890)=TRUE))</f>
        <v>0</v>
      </c>
      <c r="R890" s="4" t="str">
        <f>IF(((O890)=TRUE),  I890,  "")</f>
        <v>suite-substrate</v>
      </c>
      <c r="S890" s="4" t="str">
        <f>IF(((Q890)=TRUE),  I890,  "")</f>
      </c>
      <c r="T890" s="3" t="s">
        <v>6001</v>
      </c>
    </row>
    <row r="891">
      <c r="A891" s="3" t="s">
        <v>6926</v>
      </c>
      <c r="B891" s="4" t="str">
        <f>C891 &amp; ": " &amp; D891</f>
        <v>formula-translates: SendIntents.IntentExecutionKey</v>
      </c>
      <c r="C891" s="3" t="s">
        <v>6104</v>
      </c>
      <c r="D891" s="3" t="s">
        <v>4862</v>
      </c>
      <c r="E891" s="3" t="s">
        <v>4728</v>
      </c>
      <c r="F891" s="3" t="s">
        <v>4863</v>
      </c>
      <c r="G891" s="3" t="s">
        <v>6105</v>
      </c>
      <c r="H891" s="3" t="s">
        <v>2319</v>
      </c>
      <c r="I891" s="3" t="s">
        <v>5986</v>
      </c>
      <c r="J891" s="3" t="s">
        <v>5999</v>
      </c>
      <c r="K891" s="4" t="b">
        <f>J891 = "blocking"</f>
        <v>1</v>
      </c>
      <c r="L891" s="3" t="s">
        <v>1448</v>
      </c>
      <c r="M891" s="3" t="s">
        <v>6106</v>
      </c>
      <c r="N891" s="5">
        <v>46223.1297337963</v>
      </c>
      <c r="O891" s="4" t="b">
        <f>L891 = "PASS"</f>
        <v>1</v>
      </c>
      <c r="P891" s="4" t="b">
        <f>L891 = "FAIL"</f>
        <v>0</v>
      </c>
      <c r="Q891" s="4" t="b">
        <f>AND(((P891)=TRUE), ((K891)=TRUE))</f>
        <v>0</v>
      </c>
      <c r="R891" s="4" t="str">
        <f>IF(((O891)=TRUE),  I891,  "")</f>
        <v>suite-substrate</v>
      </c>
      <c r="S891" s="4" t="str">
        <f>IF(((Q891)=TRUE),  I891,  "")</f>
      </c>
      <c r="T891" s="3" t="s">
        <v>6001</v>
      </c>
    </row>
    <row r="892">
      <c r="A892" s="3" t="s">
        <v>6927</v>
      </c>
      <c r="B892" s="4" t="str">
        <f>C892 &amp; ": " &amp; D892</f>
        <v>formula-translates: SendIntents.DeliveredIntentExecutionKey</v>
      </c>
      <c r="C892" s="3" t="s">
        <v>6104</v>
      </c>
      <c r="D892" s="3" t="s">
        <v>4865</v>
      </c>
      <c r="E892" s="3" t="s">
        <v>4728</v>
      </c>
      <c r="F892" s="3" t="s">
        <v>4866</v>
      </c>
      <c r="G892" s="3" t="s">
        <v>6105</v>
      </c>
      <c r="H892" s="3" t="s">
        <v>2319</v>
      </c>
      <c r="I892" s="3" t="s">
        <v>5986</v>
      </c>
      <c r="J892" s="3" t="s">
        <v>5999</v>
      </c>
      <c r="K892" s="4" t="b">
        <f>J892 = "blocking"</f>
        <v>1</v>
      </c>
      <c r="L892" s="3" t="s">
        <v>1448</v>
      </c>
      <c r="M892" s="3" t="s">
        <v>6106</v>
      </c>
      <c r="N892" s="5">
        <v>46223.1297337963</v>
      </c>
      <c r="O892" s="4" t="b">
        <f>L892 = "PASS"</f>
        <v>1</v>
      </c>
      <c r="P892" s="4" t="b">
        <f>L892 = "FAIL"</f>
        <v>0</v>
      </c>
      <c r="Q892" s="4" t="b">
        <f>AND(((P892)=TRUE), ((K892)=TRUE))</f>
        <v>0</v>
      </c>
      <c r="R892" s="4" t="str">
        <f>IF(((O892)=TRUE),  I892,  "")</f>
        <v>suite-substrate</v>
      </c>
      <c r="S892" s="4" t="str">
        <f>IF(((Q892)=TRUE),  I892,  "")</f>
      </c>
      <c r="T892" s="3" t="s">
        <v>6001</v>
      </c>
    </row>
    <row r="893">
      <c r="A893" s="3" t="s">
        <v>6928</v>
      </c>
      <c r="B893" s="4" t="str">
        <f>C893 &amp; ": " &amp; D893</f>
        <v>formula-translates: SendIntents.DroppedIntentExecutionKey</v>
      </c>
      <c r="C893" s="3" t="s">
        <v>6104</v>
      </c>
      <c r="D893" s="3" t="s">
        <v>4868</v>
      </c>
      <c r="E893" s="3" t="s">
        <v>4728</v>
      </c>
      <c r="F893" s="3" t="s">
        <v>4869</v>
      </c>
      <c r="G893" s="3" t="s">
        <v>6105</v>
      </c>
      <c r="H893" s="3" t="s">
        <v>2319</v>
      </c>
      <c r="I893" s="3" t="s">
        <v>5986</v>
      </c>
      <c r="J893" s="3" t="s">
        <v>5999</v>
      </c>
      <c r="K893" s="4" t="b">
        <f>J893 = "blocking"</f>
        <v>1</v>
      </c>
      <c r="L893" s="3" t="s">
        <v>1448</v>
      </c>
      <c r="M893" s="3" t="s">
        <v>6106</v>
      </c>
      <c r="N893" s="5">
        <v>46223.1297337963</v>
      </c>
      <c r="O893" s="4" t="b">
        <f>L893 = "PASS"</f>
        <v>1</v>
      </c>
      <c r="P893" s="4" t="b">
        <f>L893 = "FAIL"</f>
        <v>0</v>
      </c>
      <c r="Q893" s="4" t="b">
        <f>AND(((P893)=TRUE), ((K893)=TRUE))</f>
        <v>0</v>
      </c>
      <c r="R893" s="4" t="str">
        <f>IF(((O893)=TRUE),  I893,  "")</f>
        <v>suite-substrate</v>
      </c>
      <c r="S893" s="4" t="str">
        <f>IF(((Q893)=TRUE),  I893,  "")</f>
      </c>
      <c r="T893" s="3" t="s">
        <v>6001</v>
      </c>
    </row>
    <row r="894">
      <c r="A894" s="3" t="s">
        <v>6929</v>
      </c>
      <c r="B894" s="4" t="str">
        <f>C894 &amp; ": " &amp; D894</f>
        <v>formula-translates: SendIntents.MyApprovalWasInForce</v>
      </c>
      <c r="C894" s="3" t="s">
        <v>6104</v>
      </c>
      <c r="D894" s="3" t="s">
        <v>4871</v>
      </c>
      <c r="E894" s="3" t="s">
        <v>4728</v>
      </c>
      <c r="F894" s="3" t="s">
        <v>4872</v>
      </c>
      <c r="G894" s="3" t="s">
        <v>6105</v>
      </c>
      <c r="H894" s="3" t="s">
        <v>2327</v>
      </c>
      <c r="I894" s="3" t="s">
        <v>5986</v>
      </c>
      <c r="J894" s="3" t="s">
        <v>5999</v>
      </c>
      <c r="K894" s="4" t="b">
        <f>J894 = "blocking"</f>
        <v>1</v>
      </c>
      <c r="L894" s="3" t="s">
        <v>1448</v>
      </c>
      <c r="M894" s="3" t="s">
        <v>6106</v>
      </c>
      <c r="N894" s="5">
        <v>46223.1297337963</v>
      </c>
      <c r="O894" s="4" t="b">
        <f>L894 = "PASS"</f>
        <v>1</v>
      </c>
      <c r="P894" s="4" t="b">
        <f>L894 = "FAIL"</f>
        <v>0</v>
      </c>
      <c r="Q894" s="4" t="b">
        <f>AND(((P894)=TRUE), ((K894)=TRUE))</f>
        <v>0</v>
      </c>
      <c r="R894" s="4" t="str">
        <f>IF(((O894)=TRUE),  I894,  "")</f>
        <v>suite-substrate</v>
      </c>
      <c r="S894" s="4" t="str">
        <f>IF(((Q894)=TRUE),  I894,  "")</f>
      </c>
      <c r="T894" s="3" t="s">
        <v>6001</v>
      </c>
    </row>
    <row r="895">
      <c r="A895" s="3" t="s">
        <v>6930</v>
      </c>
      <c r="B895" s="4" t="str">
        <f>C895 &amp; ": " &amp; D895</f>
        <v>formula-translates: SendIntents.RefusedOnApprovedContent</v>
      </c>
      <c r="C895" s="3" t="s">
        <v>6104</v>
      </c>
      <c r="D895" s="3" t="s">
        <v>4874</v>
      </c>
      <c r="E895" s="3" t="s">
        <v>4728</v>
      </c>
      <c r="F895" s="3" t="s">
        <v>4875</v>
      </c>
      <c r="G895" s="3" t="s">
        <v>6105</v>
      </c>
      <c r="H895" s="3" t="s">
        <v>2327</v>
      </c>
      <c r="I895" s="3" t="s">
        <v>5986</v>
      </c>
      <c r="J895" s="3" t="s">
        <v>5999</v>
      </c>
      <c r="K895" s="4" t="b">
        <f>J895 = "blocking"</f>
        <v>1</v>
      </c>
      <c r="L895" s="3" t="s">
        <v>1448</v>
      </c>
      <c r="M895" s="3" t="s">
        <v>6106</v>
      </c>
      <c r="N895" s="5">
        <v>46223.1297337963</v>
      </c>
      <c r="O895" s="4" t="b">
        <f>L895 = "PASS"</f>
        <v>1</v>
      </c>
      <c r="P895" s="4" t="b">
        <f>L895 = "FAIL"</f>
        <v>0</v>
      </c>
      <c r="Q895" s="4" t="b">
        <f>AND(((P895)=TRUE), ((K895)=TRUE))</f>
        <v>0</v>
      </c>
      <c r="R895" s="4" t="str">
        <f>IF(((O895)=TRUE),  I895,  "")</f>
        <v>suite-substrate</v>
      </c>
      <c r="S895" s="4" t="str">
        <f>IF(((Q895)=TRUE),  I895,  "")</f>
      </c>
      <c r="T895" s="3" t="s">
        <v>6001</v>
      </c>
    </row>
    <row r="896">
      <c r="A896" s="3" t="s">
        <v>6931</v>
      </c>
      <c r="B896" s="4" t="str">
        <f>C896 &amp; ": " &amp; D896</f>
        <v>formula-translates: SendIntents.RefusedOnOptOutOnly</v>
      </c>
      <c r="C896" s="3" t="s">
        <v>6104</v>
      </c>
      <c r="D896" s="3" t="s">
        <v>4877</v>
      </c>
      <c r="E896" s="3" t="s">
        <v>4728</v>
      </c>
      <c r="F896" s="3" t="s">
        <v>4878</v>
      </c>
      <c r="G896" s="3" t="s">
        <v>6105</v>
      </c>
      <c r="H896" s="3" t="s">
        <v>2327</v>
      </c>
      <c r="I896" s="3" t="s">
        <v>5986</v>
      </c>
      <c r="J896" s="3" t="s">
        <v>5999</v>
      </c>
      <c r="K896" s="4" t="b">
        <f>J896 = "blocking"</f>
        <v>1</v>
      </c>
      <c r="L896" s="3" t="s">
        <v>1448</v>
      </c>
      <c r="M896" s="3" t="s">
        <v>6106</v>
      </c>
      <c r="N896" s="5">
        <v>46223.1297337963</v>
      </c>
      <c r="O896" s="4" t="b">
        <f>L896 = "PASS"</f>
        <v>1</v>
      </c>
      <c r="P896" s="4" t="b">
        <f>L896 = "FAIL"</f>
        <v>0</v>
      </c>
      <c r="Q896" s="4" t="b">
        <f>AND(((P896)=TRUE), ((K896)=TRUE))</f>
        <v>0</v>
      </c>
      <c r="R896" s="4" t="str">
        <f>IF(((O896)=TRUE),  I896,  "")</f>
        <v>suite-substrate</v>
      </c>
      <c r="S896" s="4" t="str">
        <f>IF(((Q896)=TRUE),  I896,  "")</f>
      </c>
      <c r="T896" s="3" t="s">
        <v>6001</v>
      </c>
    </row>
    <row r="897">
      <c r="A897" s="3" t="s">
        <v>6932</v>
      </c>
      <c r="B897" s="4" t="str">
        <f>C897 &amp; ": " &amp; D897</f>
        <v>formula-translates: SendIntents.RefusalWasOnMyRules</v>
      </c>
      <c r="C897" s="3" t="s">
        <v>6104</v>
      </c>
      <c r="D897" s="3" t="s">
        <v>4880</v>
      </c>
      <c r="E897" s="3" t="s">
        <v>4728</v>
      </c>
      <c r="F897" s="3" t="s">
        <v>4881</v>
      </c>
      <c r="G897" s="3" t="s">
        <v>6105</v>
      </c>
      <c r="H897" s="3" t="s">
        <v>2327</v>
      </c>
      <c r="I897" s="3" t="s">
        <v>5986</v>
      </c>
      <c r="J897" s="3" t="s">
        <v>5999</v>
      </c>
      <c r="K897" s="4" t="b">
        <f>J897 = "blocking"</f>
        <v>1</v>
      </c>
      <c r="L897" s="3" t="s">
        <v>1448</v>
      </c>
      <c r="M897" s="3" t="s">
        <v>6106</v>
      </c>
      <c r="N897" s="5">
        <v>46223.1297337963</v>
      </c>
      <c r="O897" s="4" t="b">
        <f>L897 = "PASS"</f>
        <v>1</v>
      </c>
      <c r="P897" s="4" t="b">
        <f>L897 = "FAIL"</f>
        <v>0</v>
      </c>
      <c r="Q897" s="4" t="b">
        <f>AND(((P897)=TRUE), ((K897)=TRUE))</f>
        <v>0</v>
      </c>
      <c r="R897" s="4" t="str">
        <f>IF(((O897)=TRUE),  I897,  "")</f>
        <v>suite-substrate</v>
      </c>
      <c r="S897" s="4" t="str">
        <f>IF(((Q897)=TRUE),  I897,  "")</f>
      </c>
      <c r="T897" s="3" t="s">
        <v>6001</v>
      </c>
    </row>
    <row r="898">
      <c r="A898" s="3" t="s">
        <v>6933</v>
      </c>
      <c r="B898" s="4" t="str">
        <f>C898 &amp; ": " &amp; D898</f>
        <v>formula-translates: SendIntents.RefusalWasOutsideMyControl</v>
      </c>
      <c r="C898" s="3" t="s">
        <v>6104</v>
      </c>
      <c r="D898" s="3" t="s">
        <v>4883</v>
      </c>
      <c r="E898" s="3" t="s">
        <v>4728</v>
      </c>
      <c r="F898" s="3" t="s">
        <v>4884</v>
      </c>
      <c r="G898" s="3" t="s">
        <v>6105</v>
      </c>
      <c r="H898" s="3" t="s">
        <v>2327</v>
      </c>
      <c r="I898" s="3" t="s">
        <v>5986</v>
      </c>
      <c r="J898" s="3" t="s">
        <v>5999</v>
      </c>
      <c r="K898" s="4" t="b">
        <f>J898 = "blocking"</f>
        <v>1</v>
      </c>
      <c r="L898" s="3" t="s">
        <v>1448</v>
      </c>
      <c r="M898" s="3" t="s">
        <v>6106</v>
      </c>
      <c r="N898" s="5">
        <v>46223.1297337963</v>
      </c>
      <c r="O898" s="4" t="b">
        <f>L898 = "PASS"</f>
        <v>1</v>
      </c>
      <c r="P898" s="4" t="b">
        <f>L898 = "FAIL"</f>
        <v>0</v>
      </c>
      <c r="Q898" s="4" t="b">
        <f>AND(((P898)=TRUE), ((K898)=TRUE))</f>
        <v>0</v>
      </c>
      <c r="R898" s="4" t="str">
        <f>IF(((O898)=TRUE),  I898,  "")</f>
        <v>suite-substrate</v>
      </c>
      <c r="S898" s="4" t="str">
        <f>IF(((Q898)=TRUE),  I898,  "")</f>
      </c>
      <c r="T898" s="3" t="s">
        <v>6001</v>
      </c>
    </row>
    <row r="899">
      <c r="A899" s="3" t="s">
        <v>6934</v>
      </c>
      <c r="B899" s="4" t="str">
        <f>C899 &amp; ": " &amp; D899</f>
        <v>formula-translates: SendIntents.IsUnreportedRefusalOnMyRules</v>
      </c>
      <c r="C899" s="3" t="s">
        <v>6104</v>
      </c>
      <c r="D899" s="3" t="s">
        <v>4888</v>
      </c>
      <c r="E899" s="3" t="s">
        <v>4728</v>
      </c>
      <c r="F899" s="3" t="s">
        <v>4889</v>
      </c>
      <c r="G899" s="3" t="s">
        <v>6105</v>
      </c>
      <c r="H899" s="3" t="s">
        <v>2327</v>
      </c>
      <c r="I899" s="3" t="s">
        <v>5986</v>
      </c>
      <c r="J899" s="3" t="s">
        <v>5999</v>
      </c>
      <c r="K899" s="4" t="b">
        <f>J899 = "blocking"</f>
        <v>1</v>
      </c>
      <c r="L899" s="3" t="s">
        <v>1448</v>
      </c>
      <c r="M899" s="3" t="s">
        <v>6106</v>
      </c>
      <c r="N899" s="5">
        <v>46223.1297337963</v>
      </c>
      <c r="O899" s="4" t="b">
        <f>L899 = "PASS"</f>
        <v>1</v>
      </c>
      <c r="P899" s="4" t="b">
        <f>L899 = "FAIL"</f>
        <v>0</v>
      </c>
      <c r="Q899" s="4" t="b">
        <f>AND(((P899)=TRUE), ((K899)=TRUE))</f>
        <v>0</v>
      </c>
      <c r="R899" s="4" t="str">
        <f>IF(((O899)=TRUE),  I899,  "")</f>
        <v>suite-substrate</v>
      </c>
      <c r="S899" s="4" t="str">
        <f>IF(((Q899)=TRUE),  I899,  "")</f>
      </c>
      <c r="T899" s="3" t="s">
        <v>6001</v>
      </c>
    </row>
    <row r="900">
      <c r="A900" s="3" t="s">
        <v>6935</v>
      </c>
      <c r="B900" s="4" t="str">
        <f>C900 &amp; ": " &amp; D900</f>
        <v>formula-translates: SendIntents.IsApprovalOverriddenSilently</v>
      </c>
      <c r="C900" s="3" t="s">
        <v>6104</v>
      </c>
      <c r="D900" s="3" t="s">
        <v>4891</v>
      </c>
      <c r="E900" s="3" t="s">
        <v>4728</v>
      </c>
      <c r="F900" s="3" t="s">
        <v>4892</v>
      </c>
      <c r="G900" s="3" t="s">
        <v>6105</v>
      </c>
      <c r="H900" s="3" t="s">
        <v>2327</v>
      </c>
      <c r="I900" s="3" t="s">
        <v>5986</v>
      </c>
      <c r="J900" s="3" t="s">
        <v>5999</v>
      </c>
      <c r="K900" s="4" t="b">
        <f>J900 = "blocking"</f>
        <v>1</v>
      </c>
      <c r="L900" s="3" t="s">
        <v>1448</v>
      </c>
      <c r="M900" s="3" t="s">
        <v>6106</v>
      </c>
      <c r="N900" s="5">
        <v>46223.1297337963</v>
      </c>
      <c r="O900" s="4" t="b">
        <f>L900 = "PASS"</f>
        <v>1</v>
      </c>
      <c r="P900" s="4" t="b">
        <f>L900 = "FAIL"</f>
        <v>0</v>
      </c>
      <c r="Q900" s="4" t="b">
        <f>AND(((P900)=TRUE), ((K900)=TRUE))</f>
        <v>0</v>
      </c>
      <c r="R900" s="4" t="str">
        <f>IF(((O900)=TRUE),  I900,  "")</f>
        <v>suite-substrate</v>
      </c>
      <c r="S900" s="4" t="str">
        <f>IF(((Q900)=TRUE),  I900,  "")</f>
      </c>
      <c r="T900" s="3" t="s">
        <v>6001</v>
      </c>
    </row>
    <row r="901">
      <c r="A901" s="3" t="s">
        <v>6936</v>
      </c>
      <c r="B901" s="4" t="str">
        <f>C901 &amp; ": " &amp; D901</f>
        <v>formula-translates: SendIntents.HasAlternateChannelAttempt</v>
      </c>
      <c r="C901" s="3" t="s">
        <v>6104</v>
      </c>
      <c r="D901" s="3" t="s">
        <v>4896</v>
      </c>
      <c r="E901" s="3" t="s">
        <v>4728</v>
      </c>
      <c r="F901" s="3" t="s">
        <v>4897</v>
      </c>
      <c r="G901" s="3" t="s">
        <v>6105</v>
      </c>
      <c r="H901" s="3" t="s">
        <v>2335</v>
      </c>
      <c r="I901" s="3" t="s">
        <v>5986</v>
      </c>
      <c r="J901" s="3" t="s">
        <v>5999</v>
      </c>
      <c r="K901" s="4" t="b">
        <f>J901 = "blocking"</f>
        <v>1</v>
      </c>
      <c r="L901" s="3" t="s">
        <v>1448</v>
      </c>
      <c r="M901" s="3" t="s">
        <v>6106</v>
      </c>
      <c r="N901" s="5">
        <v>46223.1297337963</v>
      </c>
      <c r="O901" s="4" t="b">
        <f>L901 = "PASS"</f>
        <v>1</v>
      </c>
      <c r="P901" s="4" t="b">
        <f>L901 = "FAIL"</f>
        <v>0</v>
      </c>
      <c r="Q901" s="4" t="b">
        <f>AND(((P901)=TRUE), ((K901)=TRUE))</f>
        <v>0</v>
      </c>
      <c r="R901" s="4" t="str">
        <f>IF(((O901)=TRUE),  I901,  "")</f>
        <v>suite-substrate</v>
      </c>
      <c r="S901" s="4" t="str">
        <f>IF(((Q901)=TRUE),  I901,  "")</f>
      </c>
      <c r="T901" s="3" t="s">
        <v>6001</v>
      </c>
    </row>
    <row r="902">
      <c r="A902" s="3" t="s">
        <v>6937</v>
      </c>
      <c r="B902" s="4" t="str">
        <f>C902 &amp; ": " &amp; D902</f>
        <v>formula-translates: SendIntents.AlternateAttemptWasCleared</v>
      </c>
      <c r="C902" s="3" t="s">
        <v>6104</v>
      </c>
      <c r="D902" s="3" t="s">
        <v>4899</v>
      </c>
      <c r="E902" s="3" t="s">
        <v>4728</v>
      </c>
      <c r="F902" s="3" t="s">
        <v>4900</v>
      </c>
      <c r="G902" s="3" t="s">
        <v>6105</v>
      </c>
      <c r="H902" s="3" t="s">
        <v>2335</v>
      </c>
      <c r="I902" s="3" t="s">
        <v>5986</v>
      </c>
      <c r="J902" s="3" t="s">
        <v>5999</v>
      </c>
      <c r="K902" s="4" t="b">
        <f>J902 = "blocking"</f>
        <v>1</v>
      </c>
      <c r="L902" s="3" t="s">
        <v>1448</v>
      </c>
      <c r="M902" s="3" t="s">
        <v>6106</v>
      </c>
      <c r="N902" s="5">
        <v>46223.1297337963</v>
      </c>
      <c r="O902" s="4" t="b">
        <f>L902 = "PASS"</f>
        <v>1</v>
      </c>
      <c r="P902" s="4" t="b">
        <f>L902 = "FAIL"</f>
        <v>0</v>
      </c>
      <c r="Q902" s="4" t="b">
        <f>AND(((P902)=TRUE), ((K902)=TRUE))</f>
        <v>0</v>
      </c>
      <c r="R902" s="4" t="str">
        <f>IF(((O902)=TRUE),  I902,  "")</f>
        <v>suite-substrate</v>
      </c>
      <c r="S902" s="4" t="str">
        <f>IF(((Q902)=TRUE),  I902,  "")</f>
      </c>
      <c r="T902" s="3" t="s">
        <v>6001</v>
      </c>
    </row>
    <row r="903">
      <c r="A903" s="3" t="s">
        <v>6938</v>
      </c>
      <c r="B903" s="4" t="str">
        <f>C903 &amp; ": " &amp; D903</f>
        <v>formula-translates: SendIntents.IsRefusedWithNoAlternative</v>
      </c>
      <c r="C903" s="3" t="s">
        <v>6104</v>
      </c>
      <c r="D903" s="3" t="s">
        <v>4902</v>
      </c>
      <c r="E903" s="3" t="s">
        <v>4728</v>
      </c>
      <c r="F903" s="3" t="s">
        <v>4903</v>
      </c>
      <c r="G903" s="3" t="s">
        <v>6105</v>
      </c>
      <c r="H903" s="3" t="s">
        <v>2335</v>
      </c>
      <c r="I903" s="3" t="s">
        <v>5986</v>
      </c>
      <c r="J903" s="3" t="s">
        <v>5999</v>
      </c>
      <c r="K903" s="4" t="b">
        <f>J903 = "blocking"</f>
        <v>1</v>
      </c>
      <c r="L903" s="3" t="s">
        <v>1448</v>
      </c>
      <c r="M903" s="3" t="s">
        <v>6106</v>
      </c>
      <c r="N903" s="5">
        <v>46223.1297337963</v>
      </c>
      <c r="O903" s="4" t="b">
        <f>L903 = "PASS"</f>
        <v>1</v>
      </c>
      <c r="P903" s="4" t="b">
        <f>L903 = "FAIL"</f>
        <v>0</v>
      </c>
      <c r="Q903" s="4" t="b">
        <f>AND(((P903)=TRUE), ((K903)=TRUE))</f>
        <v>0</v>
      </c>
      <c r="R903" s="4" t="str">
        <f>IF(((O903)=TRUE),  I903,  "")</f>
        <v>suite-substrate</v>
      </c>
      <c r="S903" s="4" t="str">
        <f>IF(((Q903)=TRUE),  I903,  "")</f>
      </c>
      <c r="T903" s="3" t="s">
        <v>6001</v>
      </c>
    </row>
    <row r="904">
      <c r="A904" s="3" t="s">
        <v>6939</v>
      </c>
      <c r="B904" s="4" t="str">
        <f>C904 &amp; ": " &amp; D904</f>
        <v>formula-translates: SendIntents.ExceptionPrescribedAnAlternative</v>
      </c>
      <c r="C904" s="3" t="s">
        <v>6104</v>
      </c>
      <c r="D904" s="3" t="s">
        <v>4905</v>
      </c>
      <c r="E904" s="3" t="s">
        <v>4728</v>
      </c>
      <c r="F904" s="3" t="s">
        <v>4906</v>
      </c>
      <c r="G904" s="3" t="s">
        <v>6105</v>
      </c>
      <c r="H904" s="3" t="s">
        <v>2335</v>
      </c>
      <c r="I904" s="3" t="s">
        <v>5986</v>
      </c>
      <c r="J904" s="3" t="s">
        <v>5999</v>
      </c>
      <c r="K904" s="4" t="b">
        <f>J904 = "blocking"</f>
        <v>1</v>
      </c>
      <c r="L904" s="3" t="s">
        <v>1448</v>
      </c>
      <c r="M904" s="3" t="s">
        <v>6106</v>
      </c>
      <c r="N904" s="5">
        <v>46223.1297337963</v>
      </c>
      <c r="O904" s="4" t="b">
        <f>L904 = "PASS"</f>
        <v>1</v>
      </c>
      <c r="P904" s="4" t="b">
        <f>L904 = "FAIL"</f>
        <v>0</v>
      </c>
      <c r="Q904" s="4" t="b">
        <f>AND(((P904)=TRUE), ((K904)=TRUE))</f>
        <v>0</v>
      </c>
      <c r="R904" s="4" t="str">
        <f>IF(((O904)=TRUE),  I904,  "")</f>
        <v>suite-substrate</v>
      </c>
      <c r="S904" s="4" t="str">
        <f>IF(((Q904)=TRUE),  I904,  "")</f>
      </c>
      <c r="T904" s="3" t="s">
        <v>6001</v>
      </c>
    </row>
    <row r="905">
      <c r="A905" s="3" t="s">
        <v>6940</v>
      </c>
      <c r="B905" s="4" t="str">
        <f>C905 &amp; ": " &amp; D905</f>
        <v>formula-translates: SendIntents.PrescribedHandlingWasPerformed</v>
      </c>
      <c r="C905" s="3" t="s">
        <v>6104</v>
      </c>
      <c r="D905" s="3" t="s">
        <v>4908</v>
      </c>
      <c r="E905" s="3" t="s">
        <v>4728</v>
      </c>
      <c r="F905" s="3" t="s">
        <v>4909</v>
      </c>
      <c r="G905" s="3" t="s">
        <v>6105</v>
      </c>
      <c r="H905" s="3" t="s">
        <v>2335</v>
      </c>
      <c r="I905" s="3" t="s">
        <v>5986</v>
      </c>
      <c r="J905" s="3" t="s">
        <v>5999</v>
      </c>
      <c r="K905" s="4" t="b">
        <f>J905 = "blocking"</f>
        <v>1</v>
      </c>
      <c r="L905" s="3" t="s">
        <v>1448</v>
      </c>
      <c r="M905" s="3" t="s">
        <v>6106</v>
      </c>
      <c r="N905" s="5">
        <v>46223.1297337963</v>
      </c>
      <c r="O905" s="4" t="b">
        <f>L905 = "PASS"</f>
        <v>1</v>
      </c>
      <c r="P905" s="4" t="b">
        <f>L905 = "FAIL"</f>
        <v>0</v>
      </c>
      <c r="Q905" s="4" t="b">
        <f>AND(((P905)=TRUE), ((K905)=TRUE))</f>
        <v>0</v>
      </c>
      <c r="R905" s="4" t="str">
        <f>IF(((O905)=TRUE),  I905,  "")</f>
        <v>suite-substrate</v>
      </c>
      <c r="S905" s="4" t="str">
        <f>IF(((Q905)=TRUE),  I905,  "")</f>
      </c>
      <c r="T905" s="3" t="s">
        <v>6001</v>
      </c>
    </row>
    <row r="906">
      <c r="A906" s="3" t="s">
        <v>6941</v>
      </c>
      <c r="B906" s="4" t="str">
        <f>C906 &amp; ": " &amp; D906</f>
        <v>formula-translates: SendIntents.IsSuppressionWithoutRemedy</v>
      </c>
      <c r="C906" s="3" t="s">
        <v>6104</v>
      </c>
      <c r="D906" s="3" t="s">
        <v>4911</v>
      </c>
      <c r="E906" s="3" t="s">
        <v>4728</v>
      </c>
      <c r="F906" s="3" t="s">
        <v>4912</v>
      </c>
      <c r="G906" s="3" t="s">
        <v>6105</v>
      </c>
      <c r="H906" s="3" t="s">
        <v>2335</v>
      </c>
      <c r="I906" s="3" t="s">
        <v>5986</v>
      </c>
      <c r="J906" s="3" t="s">
        <v>5999</v>
      </c>
      <c r="K906" s="4" t="b">
        <f>J906 = "blocking"</f>
        <v>1</v>
      </c>
      <c r="L906" s="3" t="s">
        <v>1448</v>
      </c>
      <c r="M906" s="3" t="s">
        <v>6106</v>
      </c>
      <c r="N906" s="5">
        <v>46223.1297337963</v>
      </c>
      <c r="O906" s="4" t="b">
        <f>L906 = "PASS"</f>
        <v>1</v>
      </c>
      <c r="P906" s="4" t="b">
        <f>L906 = "FAIL"</f>
        <v>0</v>
      </c>
      <c r="Q906" s="4" t="b">
        <f>AND(((P906)=TRUE), ((K906)=TRUE))</f>
        <v>0</v>
      </c>
      <c r="R906" s="4" t="str">
        <f>IF(((O906)=TRUE),  I906,  "")</f>
        <v>suite-substrate</v>
      </c>
      <c r="S906" s="4" t="str">
        <f>IF(((Q906)=TRUE),  I906,  "")</f>
      </c>
      <c r="T906" s="3" t="s">
        <v>6001</v>
      </c>
    </row>
    <row r="907">
      <c r="A907" s="3" t="s">
        <v>6942</v>
      </c>
      <c r="B907" s="4" t="str">
        <f>C907 &amp; ": " &amp; D907</f>
        <v>formula-translates: SendIntents.HasDurableRefusalRecord</v>
      </c>
      <c r="C907" s="3" t="s">
        <v>6104</v>
      </c>
      <c r="D907" s="3" t="s">
        <v>4918</v>
      </c>
      <c r="E907" s="3" t="s">
        <v>4728</v>
      </c>
      <c r="F907" s="3" t="s">
        <v>4919</v>
      </c>
      <c r="G907" s="3" t="s">
        <v>6105</v>
      </c>
      <c r="H907" s="3" t="s">
        <v>2359</v>
      </c>
      <c r="I907" s="3" t="s">
        <v>5986</v>
      </c>
      <c r="J907" s="3" t="s">
        <v>5999</v>
      </c>
      <c r="K907" s="4" t="b">
        <f>J907 = "blocking"</f>
        <v>1</v>
      </c>
      <c r="L907" s="3" t="s">
        <v>1448</v>
      </c>
      <c r="M907" s="3" t="s">
        <v>6106</v>
      </c>
      <c r="N907" s="5">
        <v>46223.1297337963</v>
      </c>
      <c r="O907" s="4" t="b">
        <f>L907 = "PASS"</f>
        <v>1</v>
      </c>
      <c r="P907" s="4" t="b">
        <f>L907 = "FAIL"</f>
        <v>0</v>
      </c>
      <c r="Q907" s="4" t="b">
        <f>AND(((P907)=TRUE), ((K907)=TRUE))</f>
        <v>0</v>
      </c>
      <c r="R907" s="4" t="str">
        <f>IF(((O907)=TRUE),  I907,  "")</f>
        <v>suite-substrate</v>
      </c>
      <c r="S907" s="4" t="str">
        <f>IF(((Q907)=TRUE),  I907,  "")</f>
      </c>
      <c r="T907" s="3" t="s">
        <v>6001</v>
      </c>
    </row>
    <row r="908">
      <c r="A908" s="3" t="s">
        <v>6943</v>
      </c>
      <c r="B908" s="4" t="str">
        <f>C908 &amp; ": " &amp; D908</f>
        <v>formula-translates: SendIntents.RefusalWasEscalated</v>
      </c>
      <c r="C908" s="3" t="s">
        <v>6104</v>
      </c>
      <c r="D908" s="3" t="s">
        <v>4921</v>
      </c>
      <c r="E908" s="3" t="s">
        <v>4728</v>
      </c>
      <c r="F908" s="3" t="s">
        <v>4922</v>
      </c>
      <c r="G908" s="3" t="s">
        <v>6105</v>
      </c>
      <c r="H908" s="3" t="s">
        <v>2359</v>
      </c>
      <c r="I908" s="3" t="s">
        <v>5986</v>
      </c>
      <c r="J908" s="3" t="s">
        <v>5999</v>
      </c>
      <c r="K908" s="4" t="b">
        <f>J908 = "blocking"</f>
        <v>1</v>
      </c>
      <c r="L908" s="3" t="s">
        <v>1448</v>
      </c>
      <c r="M908" s="3" t="s">
        <v>6106</v>
      </c>
      <c r="N908" s="5">
        <v>46223.1297337963</v>
      </c>
      <c r="O908" s="4" t="b">
        <f>L908 = "PASS"</f>
        <v>1</v>
      </c>
      <c r="P908" s="4" t="b">
        <f>L908 = "FAIL"</f>
        <v>0</v>
      </c>
      <c r="Q908" s="4" t="b">
        <f>AND(((P908)=TRUE), ((K908)=TRUE))</f>
        <v>0</v>
      </c>
      <c r="R908" s="4" t="str">
        <f>IF(((O908)=TRUE),  I908,  "")</f>
        <v>suite-substrate</v>
      </c>
      <c r="S908" s="4" t="str">
        <f>IF(((Q908)=TRUE),  I908,  "")</f>
      </c>
      <c r="T908" s="3" t="s">
        <v>6001</v>
      </c>
    </row>
    <row r="909">
      <c r="A909" s="3" t="s">
        <v>6944</v>
      </c>
      <c r="B909" s="4" t="str">
        <f>C909 &amp; ": " &amp; D909</f>
        <v>formula-translates: SendIntents.IsUnrecordedRefusal</v>
      </c>
      <c r="C909" s="3" t="s">
        <v>6104</v>
      </c>
      <c r="D909" s="3" t="s">
        <v>4924</v>
      </c>
      <c r="E909" s="3" t="s">
        <v>4728</v>
      </c>
      <c r="F909" s="3" t="s">
        <v>4925</v>
      </c>
      <c r="G909" s="3" t="s">
        <v>6105</v>
      </c>
      <c r="H909" s="3" t="s">
        <v>2359</v>
      </c>
      <c r="I909" s="3" t="s">
        <v>5986</v>
      </c>
      <c r="J909" s="3" t="s">
        <v>5999</v>
      </c>
      <c r="K909" s="4" t="b">
        <f>J909 = "blocking"</f>
        <v>1</v>
      </c>
      <c r="L909" s="3" t="s">
        <v>1448</v>
      </c>
      <c r="M909" s="3" t="s">
        <v>6106</v>
      </c>
      <c r="N909" s="5">
        <v>46223.1297337963</v>
      </c>
      <c r="O909" s="4" t="b">
        <f>L909 = "PASS"</f>
        <v>1</v>
      </c>
      <c r="P909" s="4" t="b">
        <f>L909 = "FAIL"</f>
        <v>0</v>
      </c>
      <c r="Q909" s="4" t="b">
        <f>AND(((P909)=TRUE), ((K909)=TRUE))</f>
        <v>0</v>
      </c>
      <c r="R909" s="4" t="str">
        <f>IF(((O909)=TRUE),  I909,  "")</f>
        <v>suite-substrate</v>
      </c>
      <c r="S909" s="4" t="str">
        <f>IF(((Q909)=TRUE),  I909,  "")</f>
      </c>
      <c r="T909" s="3" t="s">
        <v>6001</v>
      </c>
    </row>
    <row r="910">
      <c r="A910" s="3" t="s">
        <v>6945</v>
      </c>
      <c r="B910" s="4" t="str">
        <f>C910 &amp; ": " &amp; D910</f>
        <v>formula-translates: SendIntents.IsUnescalatedRefusal</v>
      </c>
      <c r="C910" s="3" t="s">
        <v>6104</v>
      </c>
      <c r="D910" s="3" t="s">
        <v>4927</v>
      </c>
      <c r="E910" s="3" t="s">
        <v>4728</v>
      </c>
      <c r="F910" s="3" t="s">
        <v>4928</v>
      </c>
      <c r="G910" s="3" t="s">
        <v>6105</v>
      </c>
      <c r="H910" s="3" t="s">
        <v>2359</v>
      </c>
      <c r="I910" s="3" t="s">
        <v>5986</v>
      </c>
      <c r="J910" s="3" t="s">
        <v>5999</v>
      </c>
      <c r="K910" s="4" t="b">
        <f>J910 = "blocking"</f>
        <v>1</v>
      </c>
      <c r="L910" s="3" t="s">
        <v>1448</v>
      </c>
      <c r="M910" s="3" t="s">
        <v>6106</v>
      </c>
      <c r="N910" s="5">
        <v>46223.1297337963</v>
      </c>
      <c r="O910" s="4" t="b">
        <f>L910 = "PASS"</f>
        <v>1</v>
      </c>
      <c r="P910" s="4" t="b">
        <f>L910 = "FAIL"</f>
        <v>0</v>
      </c>
      <c r="Q910" s="4" t="b">
        <f>AND(((P910)=TRUE), ((K910)=TRUE))</f>
        <v>0</v>
      </c>
      <c r="R910" s="4" t="str">
        <f>IF(((O910)=TRUE),  I910,  "")</f>
        <v>suite-substrate</v>
      </c>
      <c r="S910" s="4" t="str">
        <f>IF(((Q910)=TRUE),  I910,  "")</f>
      </c>
      <c r="T910" s="3" t="s">
        <v>6001</v>
      </c>
    </row>
    <row r="911">
      <c r="A911" s="3" t="s">
        <v>6946</v>
      </c>
      <c r="B911" s="4" t="str">
        <f>C911 &amp; ": " &amp; D911</f>
        <v>formula-translates: SendIntents.UnescalatedRefusalRoleKey</v>
      </c>
      <c r="C911" s="3" t="s">
        <v>6104</v>
      </c>
      <c r="D911" s="3" t="s">
        <v>4930</v>
      </c>
      <c r="E911" s="3" t="s">
        <v>4728</v>
      </c>
      <c r="F911" s="3" t="s">
        <v>4931</v>
      </c>
      <c r="G911" s="3" t="s">
        <v>6105</v>
      </c>
      <c r="H911" s="3" t="s">
        <v>2359</v>
      </c>
      <c r="I911" s="3" t="s">
        <v>5986</v>
      </c>
      <c r="J911" s="3" t="s">
        <v>5999</v>
      </c>
      <c r="K911" s="4" t="b">
        <f>J911 = "blocking"</f>
        <v>1</v>
      </c>
      <c r="L911" s="3" t="s">
        <v>1448</v>
      </c>
      <c r="M911" s="3" t="s">
        <v>6106</v>
      </c>
      <c r="N911" s="5">
        <v>46223.1297337963</v>
      </c>
      <c r="O911" s="4" t="b">
        <f>L911 = "PASS"</f>
        <v>1</v>
      </c>
      <c r="P911" s="4" t="b">
        <f>L911 = "FAIL"</f>
        <v>0</v>
      </c>
      <c r="Q911" s="4" t="b">
        <f>AND(((P911)=TRUE), ((K911)=TRUE))</f>
        <v>0</v>
      </c>
      <c r="R911" s="4" t="str">
        <f>IF(((O911)=TRUE),  I911,  "")</f>
        <v>suite-substrate</v>
      </c>
      <c r="S911" s="4" t="str">
        <f>IF(((Q911)=TRUE),  I911,  "")</f>
      </c>
      <c r="T911" s="3" t="s">
        <v>6001</v>
      </c>
    </row>
    <row r="912">
      <c r="A912" s="3" t="s">
        <v>6947</v>
      </c>
      <c r="B912" s="4" t="str">
        <f>C912 &amp; ": " &amp; D912</f>
        <v>formula-translates: SendIntents.UnrecordedRefusalExecutionKey</v>
      </c>
      <c r="C912" s="3" t="s">
        <v>6104</v>
      </c>
      <c r="D912" s="3" t="s">
        <v>4933</v>
      </c>
      <c r="E912" s="3" t="s">
        <v>4728</v>
      </c>
      <c r="F912" s="3" t="s">
        <v>4934</v>
      </c>
      <c r="G912" s="3" t="s">
        <v>6105</v>
      </c>
      <c r="H912" s="3" t="s">
        <v>2359</v>
      </c>
      <c r="I912" s="3" t="s">
        <v>5986</v>
      </c>
      <c r="J912" s="3" t="s">
        <v>5999</v>
      </c>
      <c r="K912" s="4" t="b">
        <f>J912 = "blocking"</f>
        <v>1</v>
      </c>
      <c r="L912" s="3" t="s">
        <v>1448</v>
      </c>
      <c r="M912" s="3" t="s">
        <v>6106</v>
      </c>
      <c r="N912" s="5">
        <v>46223.1297337963</v>
      </c>
      <c r="O912" s="4" t="b">
        <f>L912 = "PASS"</f>
        <v>1</v>
      </c>
      <c r="P912" s="4" t="b">
        <f>L912 = "FAIL"</f>
        <v>0</v>
      </c>
      <c r="Q912" s="4" t="b">
        <f>AND(((P912)=TRUE), ((K912)=TRUE))</f>
        <v>0</v>
      </c>
      <c r="R912" s="4" t="str">
        <f>IF(((O912)=TRUE),  I912,  "")</f>
        <v>suite-substrate</v>
      </c>
      <c r="S912" s="4" t="str">
        <f>IF(((Q912)=TRUE),  I912,  "")</f>
      </c>
      <c r="T912" s="3" t="s">
        <v>6001</v>
      </c>
    </row>
    <row r="913">
      <c r="A913" s="3" t="s">
        <v>6948</v>
      </c>
      <c r="B913" s="4" t="str">
        <f>C913 &amp; ": " &amp; D913</f>
        <v>formula-translates: SendIntents.WasDeferredOnTiming</v>
      </c>
      <c r="C913" s="3" t="s">
        <v>6104</v>
      </c>
      <c r="D913" s="3" t="s">
        <v>4938</v>
      </c>
      <c r="E913" s="3" t="s">
        <v>4728</v>
      </c>
      <c r="F913" s="3" t="s">
        <v>4939</v>
      </c>
      <c r="G913" s="3" t="s">
        <v>6105</v>
      </c>
      <c r="H913" s="3" t="s">
        <v>2363</v>
      </c>
      <c r="I913" s="3" t="s">
        <v>5986</v>
      </c>
      <c r="J913" s="3" t="s">
        <v>5999</v>
      </c>
      <c r="K913" s="4" t="b">
        <f>J913 = "blocking"</f>
        <v>1</v>
      </c>
      <c r="L913" s="3" t="s">
        <v>1448</v>
      </c>
      <c r="M913" s="3" t="s">
        <v>6106</v>
      </c>
      <c r="N913" s="5">
        <v>46223.1297337963</v>
      </c>
      <c r="O913" s="4" t="b">
        <f>L913 = "PASS"</f>
        <v>1</v>
      </c>
      <c r="P913" s="4" t="b">
        <f>L913 = "FAIL"</f>
        <v>0</v>
      </c>
      <c r="Q913" s="4" t="b">
        <f>AND(((P913)=TRUE), ((K913)=TRUE))</f>
        <v>0</v>
      </c>
      <c r="R913" s="4" t="str">
        <f>IF(((O913)=TRUE),  I913,  "")</f>
        <v>suite-substrate</v>
      </c>
      <c r="S913" s="4" t="str">
        <f>IF(((Q913)=TRUE),  I913,  "")</f>
      </c>
      <c r="T913" s="3" t="s">
        <v>6001</v>
      </c>
    </row>
    <row r="914">
      <c r="A914" s="3" t="s">
        <v>6949</v>
      </c>
      <c r="B914" s="4" t="str">
        <f>C914 &amp; ": " &amp; D914</f>
        <v>formula-translates: SendIntents.AsOfInstant</v>
      </c>
      <c r="C914" s="3" t="s">
        <v>6104</v>
      </c>
      <c r="D914" s="3" t="s">
        <v>4942</v>
      </c>
      <c r="E914" s="3" t="s">
        <v>4728</v>
      </c>
      <c r="F914" s="3" t="s">
        <v>92</v>
      </c>
      <c r="G914" s="3" t="s">
        <v>6105</v>
      </c>
      <c r="H914" s="3"/>
      <c r="I914" s="3" t="s">
        <v>5986</v>
      </c>
      <c r="J914" s="3" t="s">
        <v>5999</v>
      </c>
      <c r="K914" s="4" t="b">
        <f>J914 = "blocking"</f>
        <v>1</v>
      </c>
      <c r="L914" s="3" t="s">
        <v>1448</v>
      </c>
      <c r="M914" s="3" t="s">
        <v>6106</v>
      </c>
      <c r="N914" s="5">
        <v>46223.1297337963</v>
      </c>
      <c r="O914" s="4" t="b">
        <f>L914 = "PASS"</f>
        <v>1</v>
      </c>
      <c r="P914" s="4" t="b">
        <f>L914 = "FAIL"</f>
        <v>0</v>
      </c>
      <c r="Q914" s="4" t="b">
        <f>AND(((P914)=TRUE), ((K914)=TRUE))</f>
        <v>0</v>
      </c>
      <c r="R914" s="4" t="str">
        <f>IF(((O914)=TRUE),  I914,  "")</f>
        <v>suite-substrate</v>
      </c>
      <c r="S914" s="4" t="str">
        <f>IF(((Q914)=TRUE),  I914,  "")</f>
      </c>
      <c r="T914" s="3" t="s">
        <v>6001</v>
      </c>
    </row>
    <row r="915">
      <c r="A915" s="3" t="s">
        <v>6950</v>
      </c>
      <c r="B915" s="4" t="str">
        <f>C915 &amp; ": " &amp; D915</f>
        <v>formula-translates: SendIntents.WindowHasSinceReopened</v>
      </c>
      <c r="C915" s="3" t="s">
        <v>6104</v>
      </c>
      <c r="D915" s="3" t="s">
        <v>4943</v>
      </c>
      <c r="E915" s="3" t="s">
        <v>4728</v>
      </c>
      <c r="F915" s="3" t="s">
        <v>4944</v>
      </c>
      <c r="G915" s="3" t="s">
        <v>6105</v>
      </c>
      <c r="H915" s="3" t="s">
        <v>2363</v>
      </c>
      <c r="I915" s="3" t="s">
        <v>5986</v>
      </c>
      <c r="J915" s="3" t="s">
        <v>5999</v>
      </c>
      <c r="K915" s="4" t="b">
        <f>J915 = "blocking"</f>
        <v>1</v>
      </c>
      <c r="L915" s="3" t="s">
        <v>1448</v>
      </c>
      <c r="M915" s="3" t="s">
        <v>6106</v>
      </c>
      <c r="N915" s="5">
        <v>46223.1297337963</v>
      </c>
      <c r="O915" s="4" t="b">
        <f>L915 = "PASS"</f>
        <v>1</v>
      </c>
      <c r="P915" s="4" t="b">
        <f>L915 = "FAIL"</f>
        <v>0</v>
      </c>
      <c r="Q915" s="4" t="b">
        <f>AND(((P915)=TRUE), ((K915)=TRUE))</f>
        <v>0</v>
      </c>
      <c r="R915" s="4" t="str">
        <f>IF(((O915)=TRUE),  I915,  "")</f>
        <v>suite-substrate</v>
      </c>
      <c r="S915" s="4" t="str">
        <f>IF(((Q915)=TRUE),  I915,  "")</f>
      </c>
      <c r="T915" s="3" t="s">
        <v>6001</v>
      </c>
    </row>
    <row r="916">
      <c r="A916" s="3" t="s">
        <v>6951</v>
      </c>
      <c r="B916" s="4" t="str">
        <f>C916 &amp; ": " &amp; D916</f>
        <v>formula-translates: SendIntents.HasRetryAttempt</v>
      </c>
      <c r="C916" s="3" t="s">
        <v>6104</v>
      </c>
      <c r="D916" s="3" t="s">
        <v>4946</v>
      </c>
      <c r="E916" s="3" t="s">
        <v>4728</v>
      </c>
      <c r="F916" s="3" t="s">
        <v>4947</v>
      </c>
      <c r="G916" s="3" t="s">
        <v>6105</v>
      </c>
      <c r="H916" s="3" t="s">
        <v>2363</v>
      </c>
      <c r="I916" s="3" t="s">
        <v>5986</v>
      </c>
      <c r="J916" s="3" t="s">
        <v>5999</v>
      </c>
      <c r="K916" s="4" t="b">
        <f>J916 = "blocking"</f>
        <v>1</v>
      </c>
      <c r="L916" s="3" t="s">
        <v>1448</v>
      </c>
      <c r="M916" s="3" t="s">
        <v>6106</v>
      </c>
      <c r="N916" s="5">
        <v>46223.1297337963</v>
      </c>
      <c r="O916" s="4" t="b">
        <f>L916 = "PASS"</f>
        <v>1</v>
      </c>
      <c r="P916" s="4" t="b">
        <f>L916 = "FAIL"</f>
        <v>0</v>
      </c>
      <c r="Q916" s="4" t="b">
        <f>AND(((P916)=TRUE), ((K916)=TRUE))</f>
        <v>0</v>
      </c>
      <c r="R916" s="4" t="str">
        <f>IF(((O916)=TRUE),  I916,  "")</f>
        <v>suite-substrate</v>
      </c>
      <c r="S916" s="4" t="str">
        <f>IF(((Q916)=TRUE),  I916,  "")</f>
      </c>
      <c r="T916" s="3" t="s">
        <v>6001</v>
      </c>
    </row>
    <row r="917">
      <c r="A917" s="3" t="s">
        <v>6952</v>
      </c>
      <c r="B917" s="4" t="str">
        <f>C917 &amp; ": " &amp; D917</f>
        <v>formula-translates: SendIntents.RetryWasCleared</v>
      </c>
      <c r="C917" s="3" t="s">
        <v>6104</v>
      </c>
      <c r="D917" s="3" t="s">
        <v>4949</v>
      </c>
      <c r="E917" s="3" t="s">
        <v>4728</v>
      </c>
      <c r="F917" s="3" t="s">
        <v>4950</v>
      </c>
      <c r="G917" s="3" t="s">
        <v>6105</v>
      </c>
      <c r="H917" s="3" t="s">
        <v>2363</v>
      </c>
      <c r="I917" s="3" t="s">
        <v>5986</v>
      </c>
      <c r="J917" s="3" t="s">
        <v>5999</v>
      </c>
      <c r="K917" s="4" t="b">
        <f>J917 = "blocking"</f>
        <v>1</v>
      </c>
      <c r="L917" s="3" t="s">
        <v>1448</v>
      </c>
      <c r="M917" s="3" t="s">
        <v>6106</v>
      </c>
      <c r="N917" s="5">
        <v>46223.1297337963</v>
      </c>
      <c r="O917" s="4" t="b">
        <f>L917 = "PASS"</f>
        <v>1</v>
      </c>
      <c r="P917" s="4" t="b">
        <f>L917 = "FAIL"</f>
        <v>0</v>
      </c>
      <c r="Q917" s="4" t="b">
        <f>AND(((P917)=TRUE), ((K917)=TRUE))</f>
        <v>0</v>
      </c>
      <c r="R917" s="4" t="str">
        <f>IF(((O917)=TRUE),  I917,  "")</f>
        <v>suite-substrate</v>
      </c>
      <c r="S917" s="4" t="str">
        <f>IF(((Q917)=TRUE),  I917,  "")</f>
      </c>
      <c r="T917" s="3" t="s">
        <v>6001</v>
      </c>
    </row>
    <row r="918">
      <c r="A918" s="3" t="s">
        <v>6953</v>
      </c>
      <c r="B918" s="4" t="str">
        <f>C918 &amp; ": " &amp; D918</f>
        <v>formula-translates: SendIntents.IsAbandonedDeferral</v>
      </c>
      <c r="C918" s="3" t="s">
        <v>6104</v>
      </c>
      <c r="D918" s="3" t="s">
        <v>4952</v>
      </c>
      <c r="E918" s="3" t="s">
        <v>4728</v>
      </c>
      <c r="F918" s="3" t="s">
        <v>4953</v>
      </c>
      <c r="G918" s="3" t="s">
        <v>6105</v>
      </c>
      <c r="H918" s="3" t="s">
        <v>2363</v>
      </c>
      <c r="I918" s="3" t="s">
        <v>5986</v>
      </c>
      <c r="J918" s="3" t="s">
        <v>5999</v>
      </c>
      <c r="K918" s="4" t="b">
        <f>J918 = "blocking"</f>
        <v>1</v>
      </c>
      <c r="L918" s="3" t="s">
        <v>1448</v>
      </c>
      <c r="M918" s="3" t="s">
        <v>6106</v>
      </c>
      <c r="N918" s="5">
        <v>46223.1297337963</v>
      </c>
      <c r="O918" s="4" t="b">
        <f>L918 = "PASS"</f>
        <v>1</v>
      </c>
      <c r="P918" s="4" t="b">
        <f>L918 = "FAIL"</f>
        <v>0</v>
      </c>
      <c r="Q918" s="4" t="b">
        <f>AND(((P918)=TRUE), ((K918)=TRUE))</f>
        <v>0</v>
      </c>
      <c r="R918" s="4" t="str">
        <f>IF(((O918)=TRUE),  I918,  "")</f>
        <v>suite-substrate</v>
      </c>
      <c r="S918" s="4" t="str">
        <f>IF(((Q918)=TRUE),  I918,  "")</f>
      </c>
      <c r="T918" s="3" t="s">
        <v>6001</v>
      </c>
    </row>
    <row r="919">
      <c r="A919" s="3" t="s">
        <v>6954</v>
      </c>
      <c r="B919" s="4" t="str">
        <f>C919 &amp; ": " &amp; D919</f>
        <v>formula-translates: SendIntents.DeferralAgeHours</v>
      </c>
      <c r="C919" s="3" t="s">
        <v>6104</v>
      </c>
      <c r="D919" s="3" t="s">
        <v>4955</v>
      </c>
      <c r="E919" s="3" t="s">
        <v>4728</v>
      </c>
      <c r="F919" s="3" t="s">
        <v>4956</v>
      </c>
      <c r="G919" s="3" t="s">
        <v>6105</v>
      </c>
      <c r="H919" s="3" t="s">
        <v>2363</v>
      </c>
      <c r="I919" s="3" t="s">
        <v>5986</v>
      </c>
      <c r="J919" s="3" t="s">
        <v>5999</v>
      </c>
      <c r="K919" s="4" t="b">
        <f>J919 = "blocking"</f>
        <v>1</v>
      </c>
      <c r="L919" s="3" t="s">
        <v>1448</v>
      </c>
      <c r="M919" s="3" t="s">
        <v>6106</v>
      </c>
      <c r="N919" s="5">
        <v>46223.1297337963</v>
      </c>
      <c r="O919" s="4" t="b">
        <f>L919 = "PASS"</f>
        <v>1</v>
      </c>
      <c r="P919" s="4" t="b">
        <f>L919 = "FAIL"</f>
        <v>0</v>
      </c>
      <c r="Q919" s="4" t="b">
        <f>AND(((P919)=TRUE), ((K919)=TRUE))</f>
        <v>0</v>
      </c>
      <c r="R919" s="4" t="str">
        <f>IF(((O919)=TRUE),  I919,  "")</f>
        <v>suite-substrate</v>
      </c>
      <c r="S919" s="4" t="str">
        <f>IF(((Q919)=TRUE),  I919,  "")</f>
      </c>
      <c r="T919" s="3" t="s">
        <v>6001</v>
      </c>
    </row>
    <row r="920">
      <c r="A920" s="3" t="s">
        <v>6955</v>
      </c>
      <c r="B920" s="4" t="str">
        <f>C920 &amp; ": " &amp; D920</f>
        <v>formula-translates: SendIntents.IsStaleDeferral</v>
      </c>
      <c r="C920" s="3" t="s">
        <v>6104</v>
      </c>
      <c r="D920" s="3" t="s">
        <v>4958</v>
      </c>
      <c r="E920" s="3" t="s">
        <v>4728</v>
      </c>
      <c r="F920" s="3" t="s">
        <v>4959</v>
      </c>
      <c r="G920" s="3" t="s">
        <v>6105</v>
      </c>
      <c r="H920" s="3" t="s">
        <v>2363</v>
      </c>
      <c r="I920" s="3" t="s">
        <v>5986</v>
      </c>
      <c r="J920" s="3" t="s">
        <v>5999</v>
      </c>
      <c r="K920" s="4" t="b">
        <f>J920 = "blocking"</f>
        <v>1</v>
      </c>
      <c r="L920" s="3" t="s">
        <v>1448</v>
      </c>
      <c r="M920" s="3" t="s">
        <v>6106</v>
      </c>
      <c r="N920" s="5">
        <v>46223.1297337963</v>
      </c>
      <c r="O920" s="4" t="b">
        <f>L920 = "PASS"</f>
        <v>1</v>
      </c>
      <c r="P920" s="4" t="b">
        <f>L920 = "FAIL"</f>
        <v>0</v>
      </c>
      <c r="Q920" s="4" t="b">
        <f>AND(((P920)=TRUE), ((K920)=TRUE))</f>
        <v>0</v>
      </c>
      <c r="R920" s="4" t="str">
        <f>IF(((O920)=TRUE),  I920,  "")</f>
        <v>suite-substrate</v>
      </c>
      <c r="S920" s="4" t="str">
        <f>IF(((Q920)=TRUE),  I920,  "")</f>
      </c>
      <c r="T920" s="3" t="s">
        <v>6001</v>
      </c>
    </row>
    <row r="921">
      <c r="A921" s="3" t="s">
        <v>6956</v>
      </c>
      <c r="B921" s="4" t="str">
        <f>C921 &amp; ": " &amp; D921</f>
        <v>formula-translates: SendIntents.EnforcedByUnauthorizedAgent</v>
      </c>
      <c r="C921" s="3" t="s">
        <v>6104</v>
      </c>
      <c r="D921" s="3" t="s">
        <v>4963</v>
      </c>
      <c r="E921" s="3" t="s">
        <v>4728</v>
      </c>
      <c r="F921" s="3" t="s">
        <v>4964</v>
      </c>
      <c r="G921" s="3" t="s">
        <v>6105</v>
      </c>
      <c r="H921" s="3" t="s">
        <v>2367</v>
      </c>
      <c r="I921" s="3" t="s">
        <v>5986</v>
      </c>
      <c r="J921" s="3" t="s">
        <v>5999</v>
      </c>
      <c r="K921" s="4" t="b">
        <f>J921 = "blocking"</f>
        <v>1</v>
      </c>
      <c r="L921" s="3" t="s">
        <v>1448</v>
      </c>
      <c r="M921" s="3" t="s">
        <v>6106</v>
      </c>
      <c r="N921" s="5">
        <v>46223.1297337963</v>
      </c>
      <c r="O921" s="4" t="b">
        <f>L921 = "PASS"</f>
        <v>1</v>
      </c>
      <c r="P921" s="4" t="b">
        <f>L921 = "FAIL"</f>
        <v>0</v>
      </c>
      <c r="Q921" s="4" t="b">
        <f>AND(((P921)=TRUE), ((K921)=TRUE))</f>
        <v>0</v>
      </c>
      <c r="R921" s="4" t="str">
        <f>IF(((O921)=TRUE),  I921,  "")</f>
        <v>suite-substrate</v>
      </c>
      <c r="S921" s="4" t="str">
        <f>IF(((Q921)=TRUE),  I921,  "")</f>
      </c>
      <c r="T921" s="3" t="s">
        <v>6001</v>
      </c>
    </row>
    <row r="922">
      <c r="A922" s="3" t="s">
        <v>6957</v>
      </c>
      <c r="B922" s="4" t="str">
        <f>C922 &amp; ": " &amp; D922</f>
        <v>formula-translates: SendIntents.ConsentInputWasResolvable</v>
      </c>
      <c r="C922" s="3" t="s">
        <v>6104</v>
      </c>
      <c r="D922" s="3" t="s">
        <v>4966</v>
      </c>
      <c r="E922" s="3" t="s">
        <v>4728</v>
      </c>
      <c r="F922" s="3" t="s">
        <v>4967</v>
      </c>
      <c r="G922" s="3" t="s">
        <v>6105</v>
      </c>
      <c r="H922" s="3" t="s">
        <v>2371</v>
      </c>
      <c r="I922" s="3" t="s">
        <v>5986</v>
      </c>
      <c r="J922" s="3" t="s">
        <v>5999</v>
      </c>
      <c r="K922" s="4" t="b">
        <f>J922 = "blocking"</f>
        <v>1</v>
      </c>
      <c r="L922" s="3" t="s">
        <v>1448</v>
      </c>
      <c r="M922" s="3" t="s">
        <v>6106</v>
      </c>
      <c r="N922" s="5">
        <v>46223.1297337963</v>
      </c>
      <c r="O922" s="4" t="b">
        <f>L922 = "PASS"</f>
        <v>1</v>
      </c>
      <c r="P922" s="4" t="b">
        <f>L922 = "FAIL"</f>
        <v>0</v>
      </c>
      <c r="Q922" s="4" t="b">
        <f>AND(((P922)=TRUE), ((K922)=TRUE))</f>
        <v>0</v>
      </c>
      <c r="R922" s="4" t="str">
        <f>IF(((O922)=TRUE),  I922,  "")</f>
        <v>suite-substrate</v>
      </c>
      <c r="S922" s="4" t="str">
        <f>IF(((Q922)=TRUE),  I922,  "")</f>
      </c>
      <c r="T922" s="3" t="s">
        <v>6001</v>
      </c>
    </row>
    <row r="923">
      <c r="A923" s="3" t="s">
        <v>6958</v>
      </c>
      <c r="B923" s="4" t="str">
        <f>C923 &amp; ": " &amp; D923</f>
        <v>formula-translates: SendIntents.RecipientConsentStatusRaw</v>
      </c>
      <c r="C923" s="3" t="s">
        <v>6104</v>
      </c>
      <c r="D923" s="3" t="s">
        <v>4969</v>
      </c>
      <c r="E923" s="3" t="s">
        <v>4728</v>
      </c>
      <c r="F923" s="3" t="s">
        <v>4970</v>
      </c>
      <c r="G923" s="3" t="s">
        <v>6105</v>
      </c>
      <c r="H923" s="3" t="s">
        <v>2371</v>
      </c>
      <c r="I923" s="3" t="s">
        <v>5986</v>
      </c>
      <c r="J923" s="3" t="s">
        <v>5999</v>
      </c>
      <c r="K923" s="4" t="b">
        <f>J923 = "blocking"</f>
        <v>1</v>
      </c>
      <c r="L923" s="3" t="s">
        <v>1448</v>
      </c>
      <c r="M923" s="3" t="s">
        <v>6106</v>
      </c>
      <c r="N923" s="5">
        <v>46223.1297337963</v>
      </c>
      <c r="O923" s="4" t="b">
        <f>L923 = "PASS"</f>
        <v>1</v>
      </c>
      <c r="P923" s="4" t="b">
        <f>L923 = "FAIL"</f>
        <v>0</v>
      </c>
      <c r="Q923" s="4" t="b">
        <f>AND(((P923)=TRUE), ((K923)=TRUE))</f>
        <v>0</v>
      </c>
      <c r="R923" s="4" t="str">
        <f>IF(((O923)=TRUE),  I923,  "")</f>
        <v>suite-substrate</v>
      </c>
      <c r="S923" s="4" t="str">
        <f>IF(((Q923)=TRUE),  I923,  "")</f>
      </c>
      <c r="T923" s="3" t="s">
        <v>6001</v>
      </c>
    </row>
    <row r="924">
      <c r="A924" s="3" t="s">
        <v>6959</v>
      </c>
      <c r="B924" s="4" t="str">
        <f>C924 &amp; ": " &amp; D924</f>
        <v>formula-translates: SendIntents.PolicyInputWasResolvable</v>
      </c>
      <c r="C924" s="3" t="s">
        <v>6104</v>
      </c>
      <c r="D924" s="3" t="s">
        <v>4972</v>
      </c>
      <c r="E924" s="3" t="s">
        <v>4728</v>
      </c>
      <c r="F924" s="3" t="s">
        <v>4973</v>
      </c>
      <c r="G924" s="3" t="s">
        <v>6105</v>
      </c>
      <c r="H924" s="3" t="s">
        <v>2371</v>
      </c>
      <c r="I924" s="3" t="s">
        <v>5986</v>
      </c>
      <c r="J924" s="3" t="s">
        <v>5999</v>
      </c>
      <c r="K924" s="4" t="b">
        <f>J924 = "blocking"</f>
        <v>1</v>
      </c>
      <c r="L924" s="3" t="s">
        <v>1448</v>
      </c>
      <c r="M924" s="3" t="s">
        <v>6106</v>
      </c>
      <c r="N924" s="5">
        <v>46223.1297337963</v>
      </c>
      <c r="O924" s="4" t="b">
        <f>L924 = "PASS"</f>
        <v>1</v>
      </c>
      <c r="P924" s="4" t="b">
        <f>L924 = "FAIL"</f>
        <v>0</v>
      </c>
      <c r="Q924" s="4" t="b">
        <f>AND(((P924)=TRUE), ((K924)=TRUE))</f>
        <v>0</v>
      </c>
      <c r="R924" s="4" t="str">
        <f>IF(((O924)=TRUE),  I924,  "")</f>
        <v>suite-substrate</v>
      </c>
      <c r="S924" s="4" t="str">
        <f>IF(((Q924)=TRUE),  I924,  "")</f>
      </c>
      <c r="T924" s="3" t="s">
        <v>6001</v>
      </c>
    </row>
    <row r="925">
      <c r="A925" s="3" t="s">
        <v>6960</v>
      </c>
      <c r="B925" s="4" t="str">
        <f>C925 &amp; ": " &amp; D925</f>
        <v>formula-translates: SendIntents.AllGateInputsResolved</v>
      </c>
      <c r="C925" s="3" t="s">
        <v>6104</v>
      </c>
      <c r="D925" s="3" t="s">
        <v>4975</v>
      </c>
      <c r="E925" s="3" t="s">
        <v>4728</v>
      </c>
      <c r="F925" s="3" t="s">
        <v>4976</v>
      </c>
      <c r="G925" s="3" t="s">
        <v>6105</v>
      </c>
      <c r="H925" s="3" t="s">
        <v>2371</v>
      </c>
      <c r="I925" s="3" t="s">
        <v>5986</v>
      </c>
      <c r="J925" s="3" t="s">
        <v>5999</v>
      </c>
      <c r="K925" s="4" t="b">
        <f>J925 = "blocking"</f>
        <v>1</v>
      </c>
      <c r="L925" s="3" t="s">
        <v>1448</v>
      </c>
      <c r="M925" s="3" t="s">
        <v>6106</v>
      </c>
      <c r="N925" s="5">
        <v>46223.1297337963</v>
      </c>
      <c r="O925" s="4" t="b">
        <f>L925 = "PASS"</f>
        <v>1</v>
      </c>
      <c r="P925" s="4" t="b">
        <f>L925 = "FAIL"</f>
        <v>0</v>
      </c>
      <c r="Q925" s="4" t="b">
        <f>AND(((P925)=TRUE), ((K925)=TRUE))</f>
        <v>0</v>
      </c>
      <c r="R925" s="4" t="str">
        <f>IF(((O925)=TRUE),  I925,  "")</f>
        <v>suite-substrate</v>
      </c>
      <c r="S925" s="4" t="str">
        <f>IF(((Q925)=TRUE),  I925,  "")</f>
      </c>
      <c r="T925" s="3" t="s">
        <v>6001</v>
      </c>
    </row>
    <row r="926">
      <c r="A926" s="3" t="s">
        <v>6961</v>
      </c>
      <c r="B926" s="4" t="str">
        <f>C926 &amp; ": " &amp; D926</f>
        <v>formula-translates: SendIntents.IsUnevaluableRefusal</v>
      </c>
      <c r="C926" s="3" t="s">
        <v>6104</v>
      </c>
      <c r="D926" s="3" t="s">
        <v>4978</v>
      </c>
      <c r="E926" s="3" t="s">
        <v>4728</v>
      </c>
      <c r="F926" s="3" t="s">
        <v>4979</v>
      </c>
      <c r="G926" s="3" t="s">
        <v>6105</v>
      </c>
      <c r="H926" s="3" t="s">
        <v>2371</v>
      </c>
      <c r="I926" s="3" t="s">
        <v>5986</v>
      </c>
      <c r="J926" s="3" t="s">
        <v>5999</v>
      </c>
      <c r="K926" s="4" t="b">
        <f>J926 = "blocking"</f>
        <v>1</v>
      </c>
      <c r="L926" s="3" t="s">
        <v>1448</v>
      </c>
      <c r="M926" s="3" t="s">
        <v>6106</v>
      </c>
      <c r="N926" s="5">
        <v>46223.1297337963</v>
      </c>
      <c r="O926" s="4" t="b">
        <f>L926 = "PASS"</f>
        <v>1</v>
      </c>
      <c r="P926" s="4" t="b">
        <f>L926 = "FAIL"</f>
        <v>0</v>
      </c>
      <c r="Q926" s="4" t="b">
        <f>AND(((P926)=TRUE), ((K926)=TRUE))</f>
        <v>0</v>
      </c>
      <c r="R926" s="4" t="str">
        <f>IF(((O926)=TRUE),  I926,  "")</f>
        <v>suite-substrate</v>
      </c>
      <c r="S926" s="4" t="str">
        <f>IF(((Q926)=TRUE),  I926,  "")</f>
      </c>
      <c r="T926" s="3" t="s">
        <v>6001</v>
      </c>
    </row>
    <row r="927">
      <c r="A927" s="3" t="s">
        <v>6962</v>
      </c>
      <c r="B927" s="4" t="str">
        <f>C927 &amp; ": " &amp; D927</f>
        <v>formula-translates: SendIntents.IsSelfWitnessedDecision</v>
      </c>
      <c r="C927" s="3" t="s">
        <v>6104</v>
      </c>
      <c r="D927" s="3" t="s">
        <v>4983</v>
      </c>
      <c r="E927" s="3" t="s">
        <v>4728</v>
      </c>
      <c r="F927" s="3" t="s">
        <v>4984</v>
      </c>
      <c r="G927" s="3" t="s">
        <v>6105</v>
      </c>
      <c r="H927" s="3" t="s">
        <v>2371</v>
      </c>
      <c r="I927" s="3" t="s">
        <v>5986</v>
      </c>
      <c r="J927" s="3" t="s">
        <v>5999</v>
      </c>
      <c r="K927" s="4" t="b">
        <f>J927 = "blocking"</f>
        <v>1</v>
      </c>
      <c r="L927" s="3" t="s">
        <v>1448</v>
      </c>
      <c r="M927" s="3" t="s">
        <v>6106</v>
      </c>
      <c r="N927" s="5">
        <v>46223.1297337963</v>
      </c>
      <c r="O927" s="4" t="b">
        <f>L927 = "PASS"</f>
        <v>1</v>
      </c>
      <c r="P927" s="4" t="b">
        <f>L927 = "FAIL"</f>
        <v>0</v>
      </c>
      <c r="Q927" s="4" t="b">
        <f>AND(((P927)=TRUE), ((K927)=TRUE))</f>
        <v>0</v>
      </c>
      <c r="R927" s="4" t="str">
        <f>IF(((O927)=TRUE),  I927,  "")</f>
        <v>suite-substrate</v>
      </c>
      <c r="S927" s="4" t="str">
        <f>IF(((Q927)=TRUE),  I927,  "")</f>
      </c>
      <c r="T927" s="3" t="s">
        <v>6001</v>
      </c>
    </row>
    <row r="928">
      <c r="A928" s="3" t="s">
        <v>6963</v>
      </c>
      <c r="B928" s="4" t="str">
        <f>C928 &amp; ": " &amp; D928</f>
        <v>formula-translates: SendIntents.IsIndependentlyConfirmed</v>
      </c>
      <c r="C928" s="3" t="s">
        <v>6104</v>
      </c>
      <c r="D928" s="3" t="s">
        <v>4986</v>
      </c>
      <c r="E928" s="3" t="s">
        <v>4728</v>
      </c>
      <c r="F928" s="3" t="s">
        <v>4987</v>
      </c>
      <c r="G928" s="3" t="s">
        <v>6105</v>
      </c>
      <c r="H928" s="3" t="s">
        <v>2371</v>
      </c>
      <c r="I928" s="3" t="s">
        <v>5986</v>
      </c>
      <c r="J928" s="3" t="s">
        <v>5999</v>
      </c>
      <c r="K928" s="4" t="b">
        <f>J928 = "blocking"</f>
        <v>1</v>
      </c>
      <c r="L928" s="3" t="s">
        <v>1448</v>
      </c>
      <c r="M928" s="3" t="s">
        <v>6106</v>
      </c>
      <c r="N928" s="5">
        <v>46223.1297337963</v>
      </c>
      <c r="O928" s="4" t="b">
        <f>L928 = "PASS"</f>
        <v>1</v>
      </c>
      <c r="P928" s="4" t="b">
        <f>L928 = "FAIL"</f>
        <v>0</v>
      </c>
      <c r="Q928" s="4" t="b">
        <f>AND(((P928)=TRUE), ((K928)=TRUE))</f>
        <v>0</v>
      </c>
      <c r="R928" s="4" t="str">
        <f>IF(((O928)=TRUE),  I928,  "")</f>
        <v>suite-substrate</v>
      </c>
      <c r="S928" s="4" t="str">
        <f>IF(((Q928)=TRUE),  I928,  "")</f>
      </c>
      <c r="T928" s="3" t="s">
        <v>6001</v>
      </c>
    </row>
    <row r="929">
      <c r="A929" s="3" t="s">
        <v>6964</v>
      </c>
      <c r="B929" s="4" t="str">
        <f>C929 &amp; ": " &amp; D929</f>
        <v>formula-translates: SendIntents.IndependentlyConfirmedExecutionKey</v>
      </c>
      <c r="C929" s="3" t="s">
        <v>6104</v>
      </c>
      <c r="D929" s="3" t="s">
        <v>4989</v>
      </c>
      <c r="E929" s="3" t="s">
        <v>4728</v>
      </c>
      <c r="F929" s="3" t="s">
        <v>4990</v>
      </c>
      <c r="G929" s="3" t="s">
        <v>6105</v>
      </c>
      <c r="H929" s="3" t="s">
        <v>2371</v>
      </c>
      <c r="I929" s="3" t="s">
        <v>5986</v>
      </c>
      <c r="J929" s="3" t="s">
        <v>5999</v>
      </c>
      <c r="K929" s="4" t="b">
        <f>J929 = "blocking"</f>
        <v>1</v>
      </c>
      <c r="L929" s="3" t="s">
        <v>1448</v>
      </c>
      <c r="M929" s="3" t="s">
        <v>6106</v>
      </c>
      <c r="N929" s="5">
        <v>46223.1297337963</v>
      </c>
      <c r="O929" s="4" t="b">
        <f>L929 = "PASS"</f>
        <v>1</v>
      </c>
      <c r="P929" s="4" t="b">
        <f>L929 = "FAIL"</f>
        <v>0</v>
      </c>
      <c r="Q929" s="4" t="b">
        <f>AND(((P929)=TRUE), ((K929)=TRUE))</f>
        <v>0</v>
      </c>
      <c r="R929" s="4" t="str">
        <f>IF(((O929)=TRUE),  I929,  "")</f>
        <v>suite-substrate</v>
      </c>
      <c r="S929" s="4" t="str">
        <f>IF(((Q929)=TRUE),  I929,  "")</f>
      </c>
      <c r="T929" s="3" t="s">
        <v>6001</v>
      </c>
    </row>
    <row r="930">
      <c r="A930" s="3" t="s">
        <v>6965</v>
      </c>
      <c r="B930" s="4" t="str">
        <f>C930 &amp; ": " &amp; D930</f>
        <v>formula-translates: AgentDecisionRecords.Name</v>
      </c>
      <c r="C930" s="3" t="s">
        <v>6104</v>
      </c>
      <c r="D930" s="3" t="s">
        <v>4996</v>
      </c>
      <c r="E930" s="3" t="s">
        <v>4994</v>
      </c>
      <c r="F930" s="3" t="s">
        <v>1</v>
      </c>
      <c r="G930" s="3" t="s">
        <v>6105</v>
      </c>
      <c r="H930" s="3"/>
      <c r="I930" s="3" t="s">
        <v>5986</v>
      </c>
      <c r="J930" s="3" t="s">
        <v>5999</v>
      </c>
      <c r="K930" s="4" t="b">
        <f>J930 = "blocking"</f>
        <v>1</v>
      </c>
      <c r="L930" s="3" t="s">
        <v>1448</v>
      </c>
      <c r="M930" s="3" t="s">
        <v>6106</v>
      </c>
      <c r="N930" s="5">
        <v>46223.1297337963</v>
      </c>
      <c r="O930" s="4" t="b">
        <f>L930 = "PASS"</f>
        <v>1</v>
      </c>
      <c r="P930" s="4" t="b">
        <f>L930 = "FAIL"</f>
        <v>0</v>
      </c>
      <c r="Q930" s="4" t="b">
        <f>AND(((P930)=TRUE), ((K930)=TRUE))</f>
        <v>0</v>
      </c>
      <c r="R930" s="4" t="str">
        <f>IF(((O930)=TRUE),  I930,  "")</f>
        <v>suite-substrate</v>
      </c>
      <c r="S930" s="4" t="str">
        <f>IF(((Q930)=TRUE),  I930,  "")</f>
      </c>
      <c r="T930" s="3" t="s">
        <v>6001</v>
      </c>
    </row>
    <row r="931">
      <c r="A931" s="3" t="s">
        <v>6966</v>
      </c>
      <c r="B931" s="4" t="str">
        <f>C931 &amp; ": " &amp; D931</f>
        <v>formula-translates: AgentDecisionRecords.WasOverridden</v>
      </c>
      <c r="C931" s="3" t="s">
        <v>6104</v>
      </c>
      <c r="D931" s="3" t="s">
        <v>5012</v>
      </c>
      <c r="E931" s="3" t="s">
        <v>4994</v>
      </c>
      <c r="F931" s="3" t="s">
        <v>5013</v>
      </c>
      <c r="G931" s="3" t="s">
        <v>6105</v>
      </c>
      <c r="H931" s="3" t="s">
        <v>2135</v>
      </c>
      <c r="I931" s="3" t="s">
        <v>5986</v>
      </c>
      <c r="J931" s="3" t="s">
        <v>5999</v>
      </c>
      <c r="K931" s="4" t="b">
        <f>J931 = "blocking"</f>
        <v>1</v>
      </c>
      <c r="L931" s="3" t="s">
        <v>1448</v>
      </c>
      <c r="M931" s="3" t="s">
        <v>6106</v>
      </c>
      <c r="N931" s="5">
        <v>46223.1297337963</v>
      </c>
      <c r="O931" s="4" t="b">
        <f>L931 = "PASS"</f>
        <v>1</v>
      </c>
      <c r="P931" s="4" t="b">
        <f>L931 = "FAIL"</f>
        <v>0</v>
      </c>
      <c r="Q931" s="4" t="b">
        <f>AND(((P931)=TRUE), ((K931)=TRUE))</f>
        <v>0</v>
      </c>
      <c r="R931" s="4" t="str">
        <f>IF(((O931)=TRUE),  I931,  "")</f>
        <v>suite-substrate</v>
      </c>
      <c r="S931" s="4" t="str">
        <f>IF(((Q931)=TRUE),  I931,  "")</f>
      </c>
      <c r="T931" s="3" t="s">
        <v>6001</v>
      </c>
    </row>
    <row r="932">
      <c r="A932" s="3" t="s">
        <v>6967</v>
      </c>
      <c r="B932" s="4" t="str">
        <f>C932 &amp; ": " &amp; D932</f>
        <v>formula-translates: AgentDecisionRecords.WasReviewed</v>
      </c>
      <c r="C932" s="3" t="s">
        <v>6104</v>
      </c>
      <c r="D932" s="3" t="s">
        <v>5015</v>
      </c>
      <c r="E932" s="3" t="s">
        <v>4994</v>
      </c>
      <c r="F932" s="3" t="s">
        <v>5016</v>
      </c>
      <c r="G932" s="3" t="s">
        <v>6105</v>
      </c>
      <c r="H932" s="3" t="s">
        <v>2135</v>
      </c>
      <c r="I932" s="3" t="s">
        <v>5986</v>
      </c>
      <c r="J932" s="3" t="s">
        <v>5999</v>
      </c>
      <c r="K932" s="4" t="b">
        <f>J932 = "blocking"</f>
        <v>1</v>
      </c>
      <c r="L932" s="3" t="s">
        <v>1448</v>
      </c>
      <c r="M932" s="3" t="s">
        <v>6106</v>
      </c>
      <c r="N932" s="5">
        <v>46223.1297337963</v>
      </c>
      <c r="O932" s="4" t="b">
        <f>L932 = "PASS"</f>
        <v>1</v>
      </c>
      <c r="P932" s="4" t="b">
        <f>L932 = "FAIL"</f>
        <v>0</v>
      </c>
      <c r="Q932" s="4" t="b">
        <f>AND(((P932)=TRUE), ((K932)=TRUE))</f>
        <v>0</v>
      </c>
      <c r="R932" s="4" t="str">
        <f>IF(((O932)=TRUE),  I932,  "")</f>
        <v>suite-substrate</v>
      </c>
      <c r="S932" s="4" t="str">
        <f>IF(((Q932)=TRUE),  I932,  "")</f>
      </c>
      <c r="T932" s="3" t="s">
        <v>6001</v>
      </c>
    </row>
    <row r="933">
      <c r="A933" s="3" t="s">
        <v>6968</v>
      </c>
      <c r="B933" s="4" t="str">
        <f>C933 &amp; ": " &amp; D933</f>
        <v>formula-translates: AgentDecisionRecords.DecidingAgentKind</v>
      </c>
      <c r="C933" s="3" t="s">
        <v>6104</v>
      </c>
      <c r="D933" s="3" t="s">
        <v>5018</v>
      </c>
      <c r="E933" s="3" t="s">
        <v>4994</v>
      </c>
      <c r="F933" s="3" t="s">
        <v>5019</v>
      </c>
      <c r="G933" s="3" t="s">
        <v>6105</v>
      </c>
      <c r="H933" s="3" t="s">
        <v>2135</v>
      </c>
      <c r="I933" s="3" t="s">
        <v>5986</v>
      </c>
      <c r="J933" s="3" t="s">
        <v>5999</v>
      </c>
      <c r="K933" s="4" t="b">
        <f>J933 = "blocking"</f>
        <v>1</v>
      </c>
      <c r="L933" s="3" t="s">
        <v>1448</v>
      </c>
      <c r="M933" s="3" t="s">
        <v>6106</v>
      </c>
      <c r="N933" s="5">
        <v>46223.1297337963</v>
      </c>
      <c r="O933" s="4" t="b">
        <f>L933 = "PASS"</f>
        <v>1</v>
      </c>
      <c r="P933" s="4" t="b">
        <f>L933 = "FAIL"</f>
        <v>0</v>
      </c>
      <c r="Q933" s="4" t="b">
        <f>AND(((P933)=TRUE), ((K933)=TRUE))</f>
        <v>0</v>
      </c>
      <c r="R933" s="4" t="str">
        <f>IF(((O933)=TRUE),  I933,  "")</f>
        <v>suite-substrate</v>
      </c>
      <c r="S933" s="4" t="str">
        <f>IF(((Q933)=TRUE),  I933,  "")</f>
      </c>
      <c r="T933" s="3" t="s">
        <v>6001</v>
      </c>
    </row>
    <row r="934">
      <c r="A934" s="3" t="s">
        <v>6969</v>
      </c>
      <c r="B934" s="4" t="str">
        <f>C934 &amp; ": " &amp; D934</f>
        <v>formula-translates: AgentDecisionRecords.DecidingAgentWhenOverridden</v>
      </c>
      <c r="C934" s="3" t="s">
        <v>6104</v>
      </c>
      <c r="D934" s="3" t="s">
        <v>5021</v>
      </c>
      <c r="E934" s="3" t="s">
        <v>4994</v>
      </c>
      <c r="F934" s="3" t="s">
        <v>5022</v>
      </c>
      <c r="G934" s="3" t="s">
        <v>6105</v>
      </c>
      <c r="H934" s="3" t="s">
        <v>2135</v>
      </c>
      <c r="I934" s="3" t="s">
        <v>5986</v>
      </c>
      <c r="J934" s="3" t="s">
        <v>5999</v>
      </c>
      <c r="K934" s="4" t="b">
        <f>J934 = "blocking"</f>
        <v>1</v>
      </c>
      <c r="L934" s="3" t="s">
        <v>1448</v>
      </c>
      <c r="M934" s="3" t="s">
        <v>6106</v>
      </c>
      <c r="N934" s="5">
        <v>46223.1297337963</v>
      </c>
      <c r="O934" s="4" t="b">
        <f>L934 = "PASS"</f>
        <v>1</v>
      </c>
      <c r="P934" s="4" t="b">
        <f>L934 = "FAIL"</f>
        <v>0</v>
      </c>
      <c r="Q934" s="4" t="b">
        <f>AND(((P934)=TRUE), ((K934)=TRUE))</f>
        <v>0</v>
      </c>
      <c r="R934" s="4" t="str">
        <f>IF(((O934)=TRUE),  I934,  "")</f>
        <v>suite-substrate</v>
      </c>
      <c r="S934" s="4" t="str">
        <f>IF(((Q934)=TRUE),  I934,  "")</f>
      </c>
      <c r="T934" s="3" t="s">
        <v>6001</v>
      </c>
    </row>
    <row r="935">
      <c r="A935" s="3" t="s">
        <v>6970</v>
      </c>
      <c r="B935" s="4" t="str">
        <f>C935 &amp; ": " &amp; D935</f>
        <v>formula-translates: AgentDecisionRecords.RoleAssignmentWhenScored</v>
      </c>
      <c r="C935" s="3" t="s">
        <v>6104</v>
      </c>
      <c r="D935" s="3" t="s">
        <v>5026</v>
      </c>
      <c r="E935" s="3" t="s">
        <v>4994</v>
      </c>
      <c r="F935" s="3" t="s">
        <v>5027</v>
      </c>
      <c r="G935" s="3" t="s">
        <v>6105</v>
      </c>
      <c r="H935" s="3" t="s">
        <v>2163</v>
      </c>
      <c r="I935" s="3" t="s">
        <v>5986</v>
      </c>
      <c r="J935" s="3" t="s">
        <v>5999</v>
      </c>
      <c r="K935" s="4" t="b">
        <f>J935 = "blocking"</f>
        <v>1</v>
      </c>
      <c r="L935" s="3" t="s">
        <v>1448</v>
      </c>
      <c r="M935" s="3" t="s">
        <v>6106</v>
      </c>
      <c r="N935" s="5">
        <v>46223.1297337963</v>
      </c>
      <c r="O935" s="4" t="b">
        <f>L935 = "PASS"</f>
        <v>1</v>
      </c>
      <c r="P935" s="4" t="b">
        <f>L935 = "FAIL"</f>
        <v>0</v>
      </c>
      <c r="Q935" s="4" t="b">
        <f>AND(((P935)=TRUE), ((K935)=TRUE))</f>
        <v>0</v>
      </c>
      <c r="R935" s="4" t="str">
        <f>IF(((O935)=TRUE),  I935,  "")</f>
        <v>suite-substrate</v>
      </c>
      <c r="S935" s="4" t="str">
        <f>IF(((Q935)=TRUE),  I935,  "")</f>
      </c>
      <c r="T935" s="3" t="s">
        <v>6001</v>
      </c>
    </row>
    <row r="936">
      <c r="A936" s="3" t="s">
        <v>6971</v>
      </c>
      <c r="B936" s="4" t="str">
        <f>C936 &amp; ": " &amp; D936</f>
        <v>formula-translates: AgentDecisionRecords.RoleAssignmentWhenOverridden</v>
      </c>
      <c r="C936" s="3" t="s">
        <v>6104</v>
      </c>
      <c r="D936" s="3" t="s">
        <v>5029</v>
      </c>
      <c r="E936" s="3" t="s">
        <v>4994</v>
      </c>
      <c r="F936" s="3" t="s">
        <v>5030</v>
      </c>
      <c r="G936" s="3" t="s">
        <v>6105</v>
      </c>
      <c r="H936" s="3" t="s">
        <v>2163</v>
      </c>
      <c r="I936" s="3" t="s">
        <v>5986</v>
      </c>
      <c r="J936" s="3" t="s">
        <v>5999</v>
      </c>
      <c r="K936" s="4" t="b">
        <f>J936 = "blocking"</f>
        <v>1</v>
      </c>
      <c r="L936" s="3" t="s">
        <v>1448</v>
      </c>
      <c r="M936" s="3" t="s">
        <v>6106</v>
      </c>
      <c r="N936" s="5">
        <v>46223.1297337963</v>
      </c>
      <c r="O936" s="4" t="b">
        <f>L936 = "PASS"</f>
        <v>1</v>
      </c>
      <c r="P936" s="4" t="b">
        <f>L936 = "FAIL"</f>
        <v>0</v>
      </c>
      <c r="Q936" s="4" t="b">
        <f>AND(((P936)=TRUE), ((K936)=TRUE))</f>
        <v>0</v>
      </c>
      <c r="R936" s="4" t="str">
        <f>IF(((O936)=TRUE),  I936,  "")</f>
        <v>suite-substrate</v>
      </c>
      <c r="S936" s="4" t="str">
        <f>IF(((Q936)=TRUE),  I936,  "")</f>
      </c>
      <c r="T936" s="3" t="s">
        <v>6001</v>
      </c>
    </row>
    <row r="937">
      <c r="A937" s="3" t="s">
        <v>6972</v>
      </c>
      <c r="B937" s="4" t="str">
        <f>C937 &amp; ": " &amp; D937</f>
        <v>formula-translates: AgentDecisionRecords.StepOfDecision</v>
      </c>
      <c r="C937" s="3" t="s">
        <v>6104</v>
      </c>
      <c r="D937" s="3" t="s">
        <v>5032</v>
      </c>
      <c r="E937" s="3" t="s">
        <v>4994</v>
      </c>
      <c r="F937" s="3" t="s">
        <v>5033</v>
      </c>
      <c r="G937" s="3" t="s">
        <v>6105</v>
      </c>
      <c r="H937" s="3" t="s">
        <v>2167</v>
      </c>
      <c r="I937" s="3" t="s">
        <v>5986</v>
      </c>
      <c r="J937" s="3" t="s">
        <v>5999</v>
      </c>
      <c r="K937" s="4" t="b">
        <f>J937 = "blocking"</f>
        <v>1</v>
      </c>
      <c r="L937" s="3" t="s">
        <v>1448</v>
      </c>
      <c r="M937" s="3" t="s">
        <v>6106</v>
      </c>
      <c r="N937" s="5">
        <v>46223.1297337963</v>
      </c>
      <c r="O937" s="4" t="b">
        <f>L937 = "PASS"</f>
        <v>1</v>
      </c>
      <c r="P937" s="4" t="b">
        <f>L937 = "FAIL"</f>
        <v>0</v>
      </c>
      <c r="Q937" s="4" t="b">
        <f>AND(((P937)=TRUE), ((K937)=TRUE))</f>
        <v>0</v>
      </c>
      <c r="R937" s="4" t="str">
        <f>IF(((O937)=TRUE),  I937,  "")</f>
        <v>suite-substrate</v>
      </c>
      <c r="S937" s="4" t="str">
        <f>IF(((Q937)=TRUE),  I937,  "")</f>
      </c>
      <c r="T937" s="3" t="s">
        <v>6001</v>
      </c>
    </row>
    <row r="938">
      <c r="A938" s="3" t="s">
        <v>6973</v>
      </c>
      <c r="B938" s="4" t="str">
        <f>C938 &amp; ": " &amp; D938</f>
        <v>formula-translates: AgentDecisionRecords.BoundaryMatchKey</v>
      </c>
      <c r="C938" s="3" t="s">
        <v>6104</v>
      </c>
      <c r="D938" s="3" t="s">
        <v>5034</v>
      </c>
      <c r="E938" s="3" t="s">
        <v>4994</v>
      </c>
      <c r="F938" s="3" t="s">
        <v>5035</v>
      </c>
      <c r="G938" s="3" t="s">
        <v>6105</v>
      </c>
      <c r="H938" s="3" t="s">
        <v>2167</v>
      </c>
      <c r="I938" s="3" t="s">
        <v>5986</v>
      </c>
      <c r="J938" s="3" t="s">
        <v>5999</v>
      </c>
      <c r="K938" s="4" t="b">
        <f>J938 = "blocking"</f>
        <v>1</v>
      </c>
      <c r="L938" s="3" t="s">
        <v>1448</v>
      </c>
      <c r="M938" s="3" t="s">
        <v>6106</v>
      </c>
      <c r="N938" s="5">
        <v>46223.1297337963</v>
      </c>
      <c r="O938" s="4" t="b">
        <f>L938 = "PASS"</f>
        <v>1</v>
      </c>
      <c r="P938" s="4" t="b">
        <f>L938 = "FAIL"</f>
        <v>0</v>
      </c>
      <c r="Q938" s="4" t="b">
        <f>AND(((P938)=TRUE), ((K938)=TRUE))</f>
        <v>0</v>
      </c>
      <c r="R938" s="4" t="str">
        <f>IF(((O938)=TRUE),  I938,  "")</f>
        <v>suite-substrate</v>
      </c>
      <c r="S938" s="4" t="str">
        <f>IF(((Q938)=TRUE),  I938,  "")</f>
      </c>
      <c r="T938" s="3" t="s">
        <v>6001</v>
      </c>
    </row>
    <row r="939">
      <c r="A939" s="3" t="s">
        <v>6974</v>
      </c>
      <c r="B939" s="4" t="str">
        <f>C939 &amp; ": " &amp; D939</f>
        <v>formula-translates: AgentDecisionRecords.MatchingBoundaryCount</v>
      </c>
      <c r="C939" s="3" t="s">
        <v>6104</v>
      </c>
      <c r="D939" s="3" t="s">
        <v>5037</v>
      </c>
      <c r="E939" s="3" t="s">
        <v>4994</v>
      </c>
      <c r="F939" s="3" t="s">
        <v>5038</v>
      </c>
      <c r="G939" s="3" t="s">
        <v>6105</v>
      </c>
      <c r="H939" s="3" t="s">
        <v>2167</v>
      </c>
      <c r="I939" s="3" t="s">
        <v>5986</v>
      </c>
      <c r="J939" s="3" t="s">
        <v>5999</v>
      </c>
      <c r="K939" s="4" t="b">
        <f>J939 = "blocking"</f>
        <v>1</v>
      </c>
      <c r="L939" s="3" t="s">
        <v>1448</v>
      </c>
      <c r="M939" s="3" t="s">
        <v>6106</v>
      </c>
      <c r="N939" s="5">
        <v>46223.1297337963</v>
      </c>
      <c r="O939" s="4" t="b">
        <f>L939 = "PASS"</f>
        <v>1</v>
      </c>
      <c r="P939" s="4" t="b">
        <f>L939 = "FAIL"</f>
        <v>0</v>
      </c>
      <c r="Q939" s="4" t="b">
        <f>AND(((P939)=TRUE), ((K939)=TRUE))</f>
        <v>0</v>
      </c>
      <c r="R939" s="4" t="str">
        <f>IF(((O939)=TRUE),  I939,  "")</f>
        <v>suite-substrate</v>
      </c>
      <c r="S939" s="4" t="str">
        <f>IF(((Q939)=TRUE),  I939,  "")</f>
      </c>
      <c r="T939" s="3" t="s">
        <v>6001</v>
      </c>
    </row>
    <row r="940">
      <c r="A940" s="3" t="s">
        <v>6975</v>
      </c>
      <c r="B940" s="4" t="str">
        <f>C940 &amp; ": " &amp; D940</f>
        <v>formula-translates: AgentDecisionRecords.ViolatedAuthorityBoundary</v>
      </c>
      <c r="C940" s="3" t="s">
        <v>6104</v>
      </c>
      <c r="D940" s="3" t="s">
        <v>5040</v>
      </c>
      <c r="E940" s="3" t="s">
        <v>4994</v>
      </c>
      <c r="F940" s="3" t="s">
        <v>5041</v>
      </c>
      <c r="G940" s="3" t="s">
        <v>6105</v>
      </c>
      <c r="H940" s="3" t="s">
        <v>2167</v>
      </c>
      <c r="I940" s="3" t="s">
        <v>5986</v>
      </c>
      <c r="J940" s="3" t="s">
        <v>5999</v>
      </c>
      <c r="K940" s="4" t="b">
        <f>J940 = "blocking"</f>
        <v>1</v>
      </c>
      <c r="L940" s="3" t="s">
        <v>1448</v>
      </c>
      <c r="M940" s="3" t="s">
        <v>6106</v>
      </c>
      <c r="N940" s="5">
        <v>46223.1297337963</v>
      </c>
      <c r="O940" s="4" t="b">
        <f>L940 = "PASS"</f>
        <v>1</v>
      </c>
      <c r="P940" s="4" t="b">
        <f>L940 = "FAIL"</f>
        <v>0</v>
      </c>
      <c r="Q940" s="4" t="b">
        <f>AND(((P940)=TRUE), ((K940)=TRUE))</f>
        <v>0</v>
      </c>
      <c r="R940" s="4" t="str">
        <f>IF(((O940)=TRUE),  I940,  "")</f>
        <v>suite-substrate</v>
      </c>
      <c r="S940" s="4" t="str">
        <f>IF(((Q940)=TRUE),  I940,  "")</f>
      </c>
      <c r="T940" s="3" t="s">
        <v>6001</v>
      </c>
    </row>
    <row r="941">
      <c r="A941" s="3" t="s">
        <v>6976</v>
      </c>
      <c r="B941" s="4" t="str">
        <f>C941 &amp; ": " &amp; D941</f>
        <v>formula-translates: AgentDecisionRecords.ReviewerAgentKind</v>
      </c>
      <c r="C941" s="3" t="s">
        <v>6104</v>
      </c>
      <c r="D941" s="3" t="s">
        <v>5043</v>
      </c>
      <c r="E941" s="3" t="s">
        <v>4994</v>
      </c>
      <c r="F941" s="3" t="s">
        <v>5044</v>
      </c>
      <c r="G941" s="3" t="s">
        <v>6105</v>
      </c>
      <c r="H941" s="3" t="s">
        <v>2171</v>
      </c>
      <c r="I941" s="3" t="s">
        <v>5986</v>
      </c>
      <c r="J941" s="3" t="s">
        <v>5999</v>
      </c>
      <c r="K941" s="4" t="b">
        <f>J941 = "blocking"</f>
        <v>1</v>
      </c>
      <c r="L941" s="3" t="s">
        <v>1448</v>
      </c>
      <c r="M941" s="3" t="s">
        <v>6106</v>
      </c>
      <c r="N941" s="5">
        <v>46223.1297337963</v>
      </c>
      <c r="O941" s="4" t="b">
        <f>L941 = "PASS"</f>
        <v>1</v>
      </c>
      <c r="P941" s="4" t="b">
        <f>L941 = "FAIL"</f>
        <v>0</v>
      </c>
      <c r="Q941" s="4" t="b">
        <f>AND(((P941)=TRUE), ((K941)=TRUE))</f>
        <v>0</v>
      </c>
      <c r="R941" s="4" t="str">
        <f>IF(((O941)=TRUE),  I941,  "")</f>
        <v>suite-substrate</v>
      </c>
      <c r="S941" s="4" t="str">
        <f>IF(((Q941)=TRUE),  I941,  "")</f>
      </c>
      <c r="T941" s="3" t="s">
        <v>6001</v>
      </c>
    </row>
    <row r="942">
      <c r="A942" s="3" t="s">
        <v>6977</v>
      </c>
      <c r="B942" s="4" t="str">
        <f>C942 &amp; ": " &amp; D942</f>
        <v>formula-translates: AgentDecisionRecords.HasHumanConfirmation</v>
      </c>
      <c r="C942" s="3" t="s">
        <v>6104</v>
      </c>
      <c r="D942" s="3" t="s">
        <v>5046</v>
      </c>
      <c r="E942" s="3" t="s">
        <v>4994</v>
      </c>
      <c r="F942" s="3" t="s">
        <v>5047</v>
      </c>
      <c r="G942" s="3" t="s">
        <v>6105</v>
      </c>
      <c r="H942" s="3" t="s">
        <v>2171</v>
      </c>
      <c r="I942" s="3" t="s">
        <v>5986</v>
      </c>
      <c r="J942" s="3" t="s">
        <v>5999</v>
      </c>
      <c r="K942" s="4" t="b">
        <f>J942 = "blocking"</f>
        <v>1</v>
      </c>
      <c r="L942" s="3" t="s">
        <v>1448</v>
      </c>
      <c r="M942" s="3" t="s">
        <v>6106</v>
      </c>
      <c r="N942" s="5">
        <v>46223.1297337963</v>
      </c>
      <c r="O942" s="4" t="b">
        <f>L942 = "PASS"</f>
        <v>1</v>
      </c>
      <c r="P942" s="4" t="b">
        <f>L942 = "FAIL"</f>
        <v>0</v>
      </c>
      <c r="Q942" s="4" t="b">
        <f>AND(((P942)=TRUE), ((K942)=TRUE))</f>
        <v>0</v>
      </c>
      <c r="R942" s="4" t="str">
        <f>IF(((O942)=TRUE),  I942,  "")</f>
        <v>suite-substrate</v>
      </c>
      <c r="S942" s="4" t="str">
        <f>IF(((Q942)=TRUE),  I942,  "")</f>
      </c>
      <c r="T942" s="3" t="s">
        <v>6001</v>
      </c>
    </row>
    <row r="943">
      <c r="A943" s="3" t="s">
        <v>6978</v>
      </c>
      <c r="B943" s="4" t="str">
        <f>C943 &amp; ": " &amp; D943</f>
        <v>formula-translates: AgentDecisionRecords.NeedsHumanConfirmation</v>
      </c>
      <c r="C943" s="3" t="s">
        <v>6104</v>
      </c>
      <c r="D943" s="3" t="s">
        <v>5049</v>
      </c>
      <c r="E943" s="3" t="s">
        <v>4994</v>
      </c>
      <c r="F943" s="3" t="s">
        <v>5050</v>
      </c>
      <c r="G943" s="3" t="s">
        <v>6105</v>
      </c>
      <c r="H943" s="3" t="s">
        <v>2171</v>
      </c>
      <c r="I943" s="3" t="s">
        <v>5986</v>
      </c>
      <c r="J943" s="3" t="s">
        <v>5999</v>
      </c>
      <c r="K943" s="4" t="b">
        <f>J943 = "blocking"</f>
        <v>1</v>
      </c>
      <c r="L943" s="3" t="s">
        <v>1448</v>
      </c>
      <c r="M943" s="3" t="s">
        <v>6106</v>
      </c>
      <c r="N943" s="5">
        <v>46223.1297337963</v>
      </c>
      <c r="O943" s="4" t="b">
        <f>L943 = "PASS"</f>
        <v>1</v>
      </c>
      <c r="P943" s="4" t="b">
        <f>L943 = "FAIL"</f>
        <v>0</v>
      </c>
      <c r="Q943" s="4" t="b">
        <f>AND(((P943)=TRUE), ((K943)=TRUE))</f>
        <v>0</v>
      </c>
      <c r="R943" s="4" t="str">
        <f>IF(((O943)=TRUE),  I943,  "")</f>
        <v>suite-substrate</v>
      </c>
      <c r="S943" s="4" t="str">
        <f>IF(((Q943)=TRUE),  I943,  "")</f>
      </c>
      <c r="T943" s="3" t="s">
        <v>6001</v>
      </c>
    </row>
    <row r="944">
      <c r="A944" s="3" t="s">
        <v>6979</v>
      </c>
      <c r="B944" s="4" t="str">
        <f>C944 &amp; ": " &amp; D944</f>
        <v>formula-translates: AgentDecisionRecords.IsUnconfirmedNonHumanDecision</v>
      </c>
      <c r="C944" s="3" t="s">
        <v>6104</v>
      </c>
      <c r="D944" s="3" t="s">
        <v>5052</v>
      </c>
      <c r="E944" s="3" t="s">
        <v>4994</v>
      </c>
      <c r="F944" s="3" t="s">
        <v>5053</v>
      </c>
      <c r="G944" s="3" t="s">
        <v>6105</v>
      </c>
      <c r="H944" s="3" t="s">
        <v>2171</v>
      </c>
      <c r="I944" s="3" t="s">
        <v>5986</v>
      </c>
      <c r="J944" s="3" t="s">
        <v>5999</v>
      </c>
      <c r="K944" s="4" t="b">
        <f>J944 = "blocking"</f>
        <v>1</v>
      </c>
      <c r="L944" s="3" t="s">
        <v>1448</v>
      </c>
      <c r="M944" s="3" t="s">
        <v>6106</v>
      </c>
      <c r="N944" s="5">
        <v>46223.1297337963</v>
      </c>
      <c r="O944" s="4" t="b">
        <f>L944 = "PASS"</f>
        <v>1</v>
      </c>
      <c r="P944" s="4" t="b">
        <f>L944 = "FAIL"</f>
        <v>0</v>
      </c>
      <c r="Q944" s="4" t="b">
        <f>AND(((P944)=TRUE), ((K944)=TRUE))</f>
        <v>0</v>
      </c>
      <c r="R944" s="4" t="str">
        <f>IF(((O944)=TRUE),  I944,  "")</f>
        <v>suite-substrate</v>
      </c>
      <c r="S944" s="4" t="str">
        <f>IF(((Q944)=TRUE),  I944,  "")</f>
      </c>
      <c r="T944" s="3" t="s">
        <v>6001</v>
      </c>
    </row>
    <row r="945">
      <c r="A945" s="3" t="s">
        <v>6980</v>
      </c>
      <c r="B945" s="4" t="str">
        <f>C945 &amp; ": " &amp; D945</f>
        <v>formula-translates: AgentDecisionRecords.StepExecutionWhenUnconfirmed</v>
      </c>
      <c r="C945" s="3" t="s">
        <v>6104</v>
      </c>
      <c r="D945" s="3" t="s">
        <v>5055</v>
      </c>
      <c r="E945" s="3" t="s">
        <v>4994</v>
      </c>
      <c r="F945" s="3" t="s">
        <v>5056</v>
      </c>
      <c r="G945" s="3" t="s">
        <v>6105</v>
      </c>
      <c r="H945" s="3" t="s">
        <v>2171</v>
      </c>
      <c r="I945" s="3" t="s">
        <v>5986</v>
      </c>
      <c r="J945" s="3" t="s">
        <v>5999</v>
      </c>
      <c r="K945" s="4" t="b">
        <f>J945 = "blocking"</f>
        <v>1</v>
      </c>
      <c r="L945" s="3" t="s">
        <v>1448</v>
      </c>
      <c r="M945" s="3" t="s">
        <v>6106</v>
      </c>
      <c r="N945" s="5">
        <v>46223.1297337963</v>
      </c>
      <c r="O945" s="4" t="b">
        <f>L945 = "PASS"</f>
        <v>1</v>
      </c>
      <c r="P945" s="4" t="b">
        <f>L945 = "FAIL"</f>
        <v>0</v>
      </c>
      <c r="Q945" s="4" t="b">
        <f>AND(((P945)=TRUE), ((K945)=TRUE))</f>
        <v>0</v>
      </c>
      <c r="R945" s="4" t="str">
        <f>IF(((O945)=TRUE),  I945,  "")</f>
        <v>suite-substrate</v>
      </c>
      <c r="S945" s="4" t="str">
        <f>IF(((Q945)=TRUE),  I945,  "")</f>
      </c>
      <c r="T945" s="3" t="s">
        <v>6001</v>
      </c>
    </row>
    <row r="946">
      <c r="A946" s="3" t="s">
        <v>6981</v>
      </c>
      <c r="B946" s="4" t="str">
        <f>C946 &amp; ": " &amp; D946</f>
        <v>formula-translates: AgentDecisionRecords.AgentWhenBoundaryViolated</v>
      </c>
      <c r="C946" s="3" t="s">
        <v>6104</v>
      </c>
      <c r="D946" s="3" t="s">
        <v>5058</v>
      </c>
      <c r="E946" s="3" t="s">
        <v>4994</v>
      </c>
      <c r="F946" s="3" t="s">
        <v>5059</v>
      </c>
      <c r="G946" s="3" t="s">
        <v>6105</v>
      </c>
      <c r="H946" s="3" t="s">
        <v>2187</v>
      </c>
      <c r="I946" s="3" t="s">
        <v>5986</v>
      </c>
      <c r="J946" s="3" t="s">
        <v>5999</v>
      </c>
      <c r="K946" s="4" t="b">
        <f>J946 = "blocking"</f>
        <v>1</v>
      </c>
      <c r="L946" s="3" t="s">
        <v>1448</v>
      </c>
      <c r="M946" s="3" t="s">
        <v>6106</v>
      </c>
      <c r="N946" s="5">
        <v>46223.1297337963</v>
      </c>
      <c r="O946" s="4" t="b">
        <f>L946 = "PASS"</f>
        <v>1</v>
      </c>
      <c r="P946" s="4" t="b">
        <f>L946 = "FAIL"</f>
        <v>0</v>
      </c>
      <c r="Q946" s="4" t="b">
        <f>AND(((P946)=TRUE), ((K946)=TRUE))</f>
        <v>0</v>
      </c>
      <c r="R946" s="4" t="str">
        <f>IF(((O946)=TRUE),  I946,  "")</f>
        <v>suite-substrate</v>
      </c>
      <c r="S946" s="4" t="str">
        <f>IF(((Q946)=TRUE),  I946,  "")</f>
      </c>
      <c r="T946" s="3" t="s">
        <v>6001</v>
      </c>
    </row>
    <row r="947">
      <c r="A947" s="3" t="s">
        <v>6982</v>
      </c>
      <c r="B947" s="4" t="str">
        <f>C947 &amp; ": " &amp; D947</f>
        <v>formula-translates: AgentDecisionRecords.ReviewLatencyMinutes</v>
      </c>
      <c r="C947" s="3" t="s">
        <v>6104</v>
      </c>
      <c r="D947" s="3" t="s">
        <v>5061</v>
      </c>
      <c r="E947" s="3" t="s">
        <v>4994</v>
      </c>
      <c r="F947" s="3" t="s">
        <v>5062</v>
      </c>
      <c r="G947" s="3" t="s">
        <v>6105</v>
      </c>
      <c r="H947" s="3" t="s">
        <v>2191</v>
      </c>
      <c r="I947" s="3" t="s">
        <v>5986</v>
      </c>
      <c r="J947" s="3" t="s">
        <v>5999</v>
      </c>
      <c r="K947" s="4" t="b">
        <f>J947 = "blocking"</f>
        <v>1</v>
      </c>
      <c r="L947" s="3" t="s">
        <v>1448</v>
      </c>
      <c r="M947" s="3" t="s">
        <v>6106</v>
      </c>
      <c r="N947" s="5">
        <v>46223.1297337963</v>
      </c>
      <c r="O947" s="4" t="b">
        <f>L947 = "PASS"</f>
        <v>1</v>
      </c>
      <c r="P947" s="4" t="b">
        <f>L947 = "FAIL"</f>
        <v>0</v>
      </c>
      <c r="Q947" s="4" t="b">
        <f>AND(((P947)=TRUE), ((K947)=TRUE))</f>
        <v>0</v>
      </c>
      <c r="R947" s="4" t="str">
        <f>IF(((O947)=TRUE),  I947,  "")</f>
        <v>suite-substrate</v>
      </c>
      <c r="S947" s="4" t="str">
        <f>IF(((Q947)=TRUE),  I947,  "")</f>
      </c>
      <c r="T947" s="3" t="s">
        <v>6001</v>
      </c>
    </row>
    <row r="948">
      <c r="A948" s="3" t="s">
        <v>6983</v>
      </c>
      <c r="B948" s="4" t="str">
        <f>C948 &amp; ": " &amp; D948</f>
        <v>formula-translates: AgentDecisionRecords.IsDraftKind</v>
      </c>
      <c r="C948" s="3" t="s">
        <v>6104</v>
      </c>
      <c r="D948" s="3" t="s">
        <v>5064</v>
      </c>
      <c r="E948" s="3" t="s">
        <v>4994</v>
      </c>
      <c r="F948" s="3" t="s">
        <v>5065</v>
      </c>
      <c r="G948" s="3" t="s">
        <v>6105</v>
      </c>
      <c r="H948" s="3" t="s">
        <v>2191</v>
      </c>
      <c r="I948" s="3" t="s">
        <v>5986</v>
      </c>
      <c r="J948" s="3" t="s">
        <v>5999</v>
      </c>
      <c r="K948" s="4" t="b">
        <f>J948 = "blocking"</f>
        <v>1</v>
      </c>
      <c r="L948" s="3" t="s">
        <v>1448</v>
      </c>
      <c r="M948" s="3" t="s">
        <v>6106</v>
      </c>
      <c r="N948" s="5">
        <v>46223.1297337963</v>
      </c>
      <c r="O948" s="4" t="b">
        <f>L948 = "PASS"</f>
        <v>1</v>
      </c>
      <c r="P948" s="4" t="b">
        <f>L948 = "FAIL"</f>
        <v>0</v>
      </c>
      <c r="Q948" s="4" t="b">
        <f>AND(((P948)=TRUE), ((K948)=TRUE))</f>
        <v>0</v>
      </c>
      <c r="R948" s="4" t="str">
        <f>IF(((O948)=TRUE),  I948,  "")</f>
        <v>suite-substrate</v>
      </c>
      <c r="S948" s="4" t="str">
        <f>IF(((Q948)=TRUE),  I948,  "")</f>
      </c>
      <c r="T948" s="3" t="s">
        <v>6001</v>
      </c>
    </row>
    <row r="949">
      <c r="A949" s="3" t="s">
        <v>6984</v>
      </c>
      <c r="B949" s="4" t="str">
        <f>C949 &amp; ": " &amp; D949</f>
        <v>formula-translates: AgentDecisionRecords.AgentWhenDraftOverridden</v>
      </c>
      <c r="C949" s="3" t="s">
        <v>6104</v>
      </c>
      <c r="D949" s="3" t="s">
        <v>5067</v>
      </c>
      <c r="E949" s="3" t="s">
        <v>4994</v>
      </c>
      <c r="F949" s="3" t="s">
        <v>5068</v>
      </c>
      <c r="G949" s="3" t="s">
        <v>6105</v>
      </c>
      <c r="H949" s="3" t="s">
        <v>2191</v>
      </c>
      <c r="I949" s="3" t="s">
        <v>5986</v>
      </c>
      <c r="J949" s="3" t="s">
        <v>5999</v>
      </c>
      <c r="K949" s="4" t="b">
        <f>J949 = "blocking"</f>
        <v>1</v>
      </c>
      <c r="L949" s="3" t="s">
        <v>1448</v>
      </c>
      <c r="M949" s="3" t="s">
        <v>6106</v>
      </c>
      <c r="N949" s="5">
        <v>46223.1297337963</v>
      </c>
      <c r="O949" s="4" t="b">
        <f>L949 = "PASS"</f>
        <v>1</v>
      </c>
      <c r="P949" s="4" t="b">
        <f>L949 = "FAIL"</f>
        <v>0</v>
      </c>
      <c r="Q949" s="4" t="b">
        <f>AND(((P949)=TRUE), ((K949)=TRUE))</f>
        <v>0</v>
      </c>
      <c r="R949" s="4" t="str">
        <f>IF(((O949)=TRUE),  I949,  "")</f>
        <v>suite-substrate</v>
      </c>
      <c r="S949" s="4" t="str">
        <f>IF(((Q949)=TRUE),  I949,  "")</f>
      </c>
      <c r="T949" s="3" t="s">
        <v>6001</v>
      </c>
    </row>
    <row r="950">
      <c r="A950" s="3" t="s">
        <v>6985</v>
      </c>
      <c r="B950" s="4" t="str">
        <f>C950 &amp; ": " &amp; D950</f>
        <v>formula-translates: AgentDecisionRecords.AgentWhenDraft</v>
      </c>
      <c r="C950" s="3" t="s">
        <v>6104</v>
      </c>
      <c r="D950" s="3" t="s">
        <v>5070</v>
      </c>
      <c r="E950" s="3" t="s">
        <v>4994</v>
      </c>
      <c r="F950" s="3" t="s">
        <v>5071</v>
      </c>
      <c r="G950" s="3" t="s">
        <v>6105</v>
      </c>
      <c r="H950" s="3" t="s">
        <v>2191</v>
      </c>
      <c r="I950" s="3" t="s">
        <v>5986</v>
      </c>
      <c r="J950" s="3" t="s">
        <v>5999</v>
      </c>
      <c r="K950" s="4" t="b">
        <f>J950 = "blocking"</f>
        <v>1</v>
      </c>
      <c r="L950" s="3" t="s">
        <v>1448</v>
      </c>
      <c r="M950" s="3" t="s">
        <v>6106</v>
      </c>
      <c r="N950" s="5">
        <v>46223.1297337963</v>
      </c>
      <c r="O950" s="4" t="b">
        <f>L950 = "PASS"</f>
        <v>1</v>
      </c>
      <c r="P950" s="4" t="b">
        <f>L950 = "FAIL"</f>
        <v>0</v>
      </c>
      <c r="Q950" s="4" t="b">
        <f>AND(((P950)=TRUE), ((K950)=TRUE))</f>
        <v>0</v>
      </c>
      <c r="R950" s="4" t="str">
        <f>IF(((O950)=TRUE),  I950,  "")</f>
        <v>suite-substrate</v>
      </c>
      <c r="S950" s="4" t="str">
        <f>IF(((Q950)=TRUE),  I950,  "")</f>
      </c>
      <c r="T950" s="3" t="s">
        <v>6001</v>
      </c>
    </row>
    <row r="951">
      <c r="A951" s="3" t="s">
        <v>6986</v>
      </c>
      <c r="B951" s="4" t="str">
        <f>C951 &amp; ": " &amp; D951</f>
        <v>formula-translates: AgentDecisionRecords.IsErrorCorrection</v>
      </c>
      <c r="C951" s="3" t="s">
        <v>6104</v>
      </c>
      <c r="D951" s="3" t="s">
        <v>5075</v>
      </c>
      <c r="E951" s="3" t="s">
        <v>4994</v>
      </c>
      <c r="F951" s="3" t="s">
        <v>5076</v>
      </c>
      <c r="G951" s="3" t="s">
        <v>6105</v>
      </c>
      <c r="H951" s="3" t="s">
        <v>2347</v>
      </c>
      <c r="I951" s="3" t="s">
        <v>5986</v>
      </c>
      <c r="J951" s="3" t="s">
        <v>5999</v>
      </c>
      <c r="K951" s="4" t="b">
        <f>J951 = "blocking"</f>
        <v>1</v>
      </c>
      <c r="L951" s="3" t="s">
        <v>1448</v>
      </c>
      <c r="M951" s="3" t="s">
        <v>6106</v>
      </c>
      <c r="N951" s="5">
        <v>46223.1297337963</v>
      </c>
      <c r="O951" s="4" t="b">
        <f>L951 = "PASS"</f>
        <v>1</v>
      </c>
      <c r="P951" s="4" t="b">
        <f>L951 = "FAIL"</f>
        <v>0</v>
      </c>
      <c r="Q951" s="4" t="b">
        <f>AND(((P951)=TRUE), ((K951)=TRUE))</f>
        <v>0</v>
      </c>
      <c r="R951" s="4" t="str">
        <f>IF(((O951)=TRUE),  I951,  "")</f>
        <v>suite-substrate</v>
      </c>
      <c r="S951" s="4" t="str">
        <f>IF(((Q951)=TRUE),  I951,  "")</f>
      </c>
      <c r="T951" s="3" t="s">
        <v>6001</v>
      </c>
    </row>
    <row r="952">
      <c r="A952" s="3" t="s">
        <v>6987</v>
      </c>
      <c r="B952" s="4" t="str">
        <f>C952 &amp; ": " &amp; D952</f>
        <v>formula-translates: AgentDecisionRecords.IsReservedJudgmentOverride</v>
      </c>
      <c r="C952" s="3" t="s">
        <v>6104</v>
      </c>
      <c r="D952" s="3" t="s">
        <v>5078</v>
      </c>
      <c r="E952" s="3" t="s">
        <v>4994</v>
      </c>
      <c r="F952" s="3" t="s">
        <v>5079</v>
      </c>
      <c r="G952" s="3" t="s">
        <v>6105</v>
      </c>
      <c r="H952" s="3" t="s">
        <v>2347</v>
      </c>
      <c r="I952" s="3" t="s">
        <v>5986</v>
      </c>
      <c r="J952" s="3" t="s">
        <v>5999</v>
      </c>
      <c r="K952" s="4" t="b">
        <f>J952 = "blocking"</f>
        <v>1</v>
      </c>
      <c r="L952" s="3" t="s">
        <v>1448</v>
      </c>
      <c r="M952" s="3" t="s">
        <v>6106</v>
      </c>
      <c r="N952" s="5">
        <v>46223.1297337963</v>
      </c>
      <c r="O952" s="4" t="b">
        <f>L952 = "PASS"</f>
        <v>1</v>
      </c>
      <c r="P952" s="4" t="b">
        <f>L952 = "FAIL"</f>
        <v>0</v>
      </c>
      <c r="Q952" s="4" t="b">
        <f>AND(((P952)=TRUE), ((K952)=TRUE))</f>
        <v>0</v>
      </c>
      <c r="R952" s="4" t="str">
        <f>IF(((O952)=TRUE),  I952,  "")</f>
        <v>suite-substrate</v>
      </c>
      <c r="S952" s="4" t="str">
        <f>IF(((Q952)=TRUE),  I952,  "")</f>
      </c>
      <c r="T952" s="3" t="s">
        <v>6001</v>
      </c>
    </row>
    <row r="953">
      <c r="A953" s="3" t="s">
        <v>6988</v>
      </c>
      <c r="B953" s="4" t="str">
        <f>C953 &amp; ": " &amp; D953</f>
        <v>formula-translates: AgentDecisionRecords.OverrideReasonIsRecorded</v>
      </c>
      <c r="C953" s="3" t="s">
        <v>6104</v>
      </c>
      <c r="D953" s="3" t="s">
        <v>5081</v>
      </c>
      <c r="E953" s="3" t="s">
        <v>4994</v>
      </c>
      <c r="F953" s="3" t="s">
        <v>5082</v>
      </c>
      <c r="G953" s="3" t="s">
        <v>6105</v>
      </c>
      <c r="H953" s="3" t="s">
        <v>2347</v>
      </c>
      <c r="I953" s="3" t="s">
        <v>5986</v>
      </c>
      <c r="J953" s="3" t="s">
        <v>5999</v>
      </c>
      <c r="K953" s="4" t="b">
        <f>J953 = "blocking"</f>
        <v>1</v>
      </c>
      <c r="L953" s="3" t="s">
        <v>1448</v>
      </c>
      <c r="M953" s="3" t="s">
        <v>6106</v>
      </c>
      <c r="N953" s="5">
        <v>46223.1297337963</v>
      </c>
      <c r="O953" s="4" t="b">
        <f>L953 = "PASS"</f>
        <v>1</v>
      </c>
      <c r="P953" s="4" t="b">
        <f>L953 = "FAIL"</f>
        <v>0</v>
      </c>
      <c r="Q953" s="4" t="b">
        <f>AND(((P953)=TRUE), ((K953)=TRUE))</f>
        <v>0</v>
      </c>
      <c r="R953" s="4" t="str">
        <f>IF(((O953)=TRUE),  I953,  "")</f>
        <v>suite-substrate</v>
      </c>
      <c r="S953" s="4" t="str">
        <f>IF(((Q953)=TRUE),  I953,  "")</f>
      </c>
      <c r="T953" s="3" t="s">
        <v>6001</v>
      </c>
    </row>
    <row r="954">
      <c r="A954" s="3" t="s">
        <v>6989</v>
      </c>
      <c r="B954" s="4" t="str">
        <f>C954 &amp; ": " &amp; D954</f>
        <v>formula-translates: AgentDecisionRecords.IsUnexplainedOverride</v>
      </c>
      <c r="C954" s="3" t="s">
        <v>6104</v>
      </c>
      <c r="D954" s="3" t="s">
        <v>5084</v>
      </c>
      <c r="E954" s="3" t="s">
        <v>4994</v>
      </c>
      <c r="F954" s="3" t="s">
        <v>5085</v>
      </c>
      <c r="G954" s="3" t="s">
        <v>6105</v>
      </c>
      <c r="H954" s="3" t="s">
        <v>2347</v>
      </c>
      <c r="I954" s="3" t="s">
        <v>5986</v>
      </c>
      <c r="J954" s="3" t="s">
        <v>5999</v>
      </c>
      <c r="K954" s="4" t="b">
        <f>J954 = "blocking"</f>
        <v>1</v>
      </c>
      <c r="L954" s="3" t="s">
        <v>1448</v>
      </c>
      <c r="M954" s="3" t="s">
        <v>6106</v>
      </c>
      <c r="N954" s="5">
        <v>46223.1297337963</v>
      </c>
      <c r="O954" s="4" t="b">
        <f>L954 = "PASS"</f>
        <v>1</v>
      </c>
      <c r="P954" s="4" t="b">
        <f>L954 = "FAIL"</f>
        <v>0</v>
      </c>
      <c r="Q954" s="4" t="b">
        <f>AND(((P954)=TRUE), ((K954)=TRUE))</f>
        <v>0</v>
      </c>
      <c r="R954" s="4" t="str">
        <f>IF(((O954)=TRUE),  I954,  "")</f>
        <v>suite-substrate</v>
      </c>
      <c r="S954" s="4" t="str">
        <f>IF(((Q954)=TRUE),  I954,  "")</f>
      </c>
      <c r="T954" s="3" t="s">
        <v>6001</v>
      </c>
    </row>
    <row r="955">
      <c r="A955" s="3" t="s">
        <v>6990</v>
      </c>
      <c r="B955" s="4" t="str">
        <f>C955 &amp; ": " &amp; D955</f>
        <v>formula-translates: AgentDecisionRecords.ErrorCorrectionRoleAssignmentKey</v>
      </c>
      <c r="C955" s="3" t="s">
        <v>6104</v>
      </c>
      <c r="D955" s="3" t="s">
        <v>5087</v>
      </c>
      <c r="E955" s="3" t="s">
        <v>4994</v>
      </c>
      <c r="F955" s="3" t="s">
        <v>5088</v>
      </c>
      <c r="G955" s="3" t="s">
        <v>6105</v>
      </c>
      <c r="H955" s="3" t="s">
        <v>2347</v>
      </c>
      <c r="I955" s="3" t="s">
        <v>5986</v>
      </c>
      <c r="J955" s="3" t="s">
        <v>5999</v>
      </c>
      <c r="K955" s="4" t="b">
        <f>J955 = "blocking"</f>
        <v>1</v>
      </c>
      <c r="L955" s="3" t="s">
        <v>1448</v>
      </c>
      <c r="M955" s="3" t="s">
        <v>6106</v>
      </c>
      <c r="N955" s="5">
        <v>46223.1297337963</v>
      </c>
      <c r="O955" s="4" t="b">
        <f>L955 = "PASS"</f>
        <v>1</v>
      </c>
      <c r="P955" s="4" t="b">
        <f>L955 = "FAIL"</f>
        <v>0</v>
      </c>
      <c r="Q955" s="4" t="b">
        <f>AND(((P955)=TRUE), ((K955)=TRUE))</f>
        <v>0</v>
      </c>
      <c r="R955" s="4" t="str">
        <f>IF(((O955)=TRUE),  I955,  "")</f>
        <v>suite-substrate</v>
      </c>
      <c r="S955" s="4" t="str">
        <f>IF(((Q955)=TRUE),  I955,  "")</f>
      </c>
      <c r="T955" s="3" t="s">
        <v>6001</v>
      </c>
    </row>
    <row r="956">
      <c r="A956" s="3" t="s">
        <v>6991</v>
      </c>
      <c r="B956" s="4" t="str">
        <f>C956 &amp; ": " &amp; D956</f>
        <v>formula-translates: AgentDecisionRecords.BoundaryViolationRoleAssignmentKey</v>
      </c>
      <c r="C956" s="3" t="s">
        <v>6104</v>
      </c>
      <c r="D956" s="3" t="s">
        <v>5090</v>
      </c>
      <c r="E956" s="3" t="s">
        <v>4994</v>
      </c>
      <c r="F956" s="3" t="s">
        <v>5091</v>
      </c>
      <c r="G956" s="3" t="s">
        <v>6105</v>
      </c>
      <c r="H956" s="3" t="s">
        <v>2355</v>
      </c>
      <c r="I956" s="3" t="s">
        <v>5986</v>
      </c>
      <c r="J956" s="3" t="s">
        <v>5999</v>
      </c>
      <c r="K956" s="4" t="b">
        <f>J956 = "blocking"</f>
        <v>1</v>
      </c>
      <c r="L956" s="3" t="s">
        <v>1448</v>
      </c>
      <c r="M956" s="3" t="s">
        <v>6106</v>
      </c>
      <c r="N956" s="5">
        <v>46223.1297337963</v>
      </c>
      <c r="O956" s="4" t="b">
        <f>L956 = "PASS"</f>
        <v>1</v>
      </c>
      <c r="P956" s="4" t="b">
        <f>L956 = "FAIL"</f>
        <v>0</v>
      </c>
      <c r="Q956" s="4" t="b">
        <f>AND(((P956)=TRUE), ((K956)=TRUE))</f>
        <v>0</v>
      </c>
      <c r="R956" s="4" t="str">
        <f>IF(((O956)=TRUE),  I956,  "")</f>
        <v>suite-substrate</v>
      </c>
      <c r="S956" s="4" t="str">
        <f>IF(((Q956)=TRUE),  I956,  "")</f>
      </c>
      <c r="T956" s="3" t="s">
        <v>6001</v>
      </c>
    </row>
    <row r="957">
      <c r="A957" s="3" t="s">
        <v>6992</v>
      </c>
      <c r="B957" s="4" t="str">
        <f>C957 &amp; ": " &amp; D957</f>
        <v>formula-translates: DeliveredCommunications.Name</v>
      </c>
      <c r="C957" s="3" t="s">
        <v>6104</v>
      </c>
      <c r="D957" s="3" t="s">
        <v>5097</v>
      </c>
      <c r="E957" s="3" t="s">
        <v>5095</v>
      </c>
      <c r="F957" s="3" t="s">
        <v>1</v>
      </c>
      <c r="G957" s="3" t="s">
        <v>6105</v>
      </c>
      <c r="H957" s="3"/>
      <c r="I957" s="3" t="s">
        <v>5986</v>
      </c>
      <c r="J957" s="3" t="s">
        <v>5999</v>
      </c>
      <c r="K957" s="4" t="b">
        <f>J957 = "blocking"</f>
        <v>1</v>
      </c>
      <c r="L957" s="3" t="s">
        <v>1448</v>
      </c>
      <c r="M957" s="3" t="s">
        <v>6106</v>
      </c>
      <c r="N957" s="5">
        <v>46223.1297337963</v>
      </c>
      <c r="O957" s="4" t="b">
        <f>L957 = "PASS"</f>
        <v>1</v>
      </c>
      <c r="P957" s="4" t="b">
        <f>L957 = "FAIL"</f>
        <v>0</v>
      </c>
      <c r="Q957" s="4" t="b">
        <f>AND(((P957)=TRUE), ((K957)=TRUE))</f>
        <v>0</v>
      </c>
      <c r="R957" s="4" t="str">
        <f>IF(((O957)=TRUE),  I957,  "")</f>
        <v>suite-substrate</v>
      </c>
      <c r="S957" s="4" t="str">
        <f>IF(((Q957)=TRUE),  I957,  "")</f>
      </c>
      <c r="T957" s="3" t="s">
        <v>6001</v>
      </c>
    </row>
    <row r="958">
      <c r="A958" s="3" t="s">
        <v>6993</v>
      </c>
      <c r="B958" s="4" t="str">
        <f>C958 &amp; ": " &amp; D958</f>
        <v>formula-translates: DeliveredCommunications.HasAuthorization</v>
      </c>
      <c r="C958" s="3" t="s">
        <v>6104</v>
      </c>
      <c r="D958" s="3" t="s">
        <v>5115</v>
      </c>
      <c r="E958" s="3" t="s">
        <v>5095</v>
      </c>
      <c r="F958" s="3" t="s">
        <v>5116</v>
      </c>
      <c r="G958" s="3" t="s">
        <v>6105</v>
      </c>
      <c r="H958" s="3"/>
      <c r="I958" s="3" t="s">
        <v>5986</v>
      </c>
      <c r="J958" s="3" t="s">
        <v>5999</v>
      </c>
      <c r="K958" s="4" t="b">
        <f>J958 = "blocking"</f>
        <v>1</v>
      </c>
      <c r="L958" s="3" t="s">
        <v>1448</v>
      </c>
      <c r="M958" s="3" t="s">
        <v>6106</v>
      </c>
      <c r="N958" s="5">
        <v>46223.1297337963</v>
      </c>
      <c r="O958" s="4" t="b">
        <f>L958 = "PASS"</f>
        <v>1</v>
      </c>
      <c r="P958" s="4" t="b">
        <f>L958 = "FAIL"</f>
        <v>0</v>
      </c>
      <c r="Q958" s="4" t="b">
        <f>AND(((P958)=TRUE), ((K958)=TRUE))</f>
        <v>0</v>
      </c>
      <c r="R958" s="4" t="str">
        <f>IF(((O958)=TRUE),  I958,  "")</f>
        <v>suite-substrate</v>
      </c>
      <c r="S958" s="4" t="str">
        <f>IF(((Q958)=TRUE),  I958,  "")</f>
      </c>
      <c r="T958" s="3" t="s">
        <v>6001</v>
      </c>
    </row>
    <row r="959">
      <c r="A959" s="3" t="s">
        <v>6994</v>
      </c>
      <c r="B959" s="4" t="str">
        <f>C959 &amp; ": " &amp; D959</f>
        <v>formula-translates: DeliveredCommunications.ContentMatchesApproval</v>
      </c>
      <c r="C959" s="3" t="s">
        <v>6104</v>
      </c>
      <c r="D959" s="3" t="s">
        <v>5118</v>
      </c>
      <c r="E959" s="3" t="s">
        <v>5095</v>
      </c>
      <c r="F959" s="3" t="s">
        <v>5119</v>
      </c>
      <c r="G959" s="3" t="s">
        <v>6105</v>
      </c>
      <c r="H959" s="3"/>
      <c r="I959" s="3" t="s">
        <v>5986</v>
      </c>
      <c r="J959" s="3" t="s">
        <v>5999</v>
      </c>
      <c r="K959" s="4" t="b">
        <f>J959 = "blocking"</f>
        <v>1</v>
      </c>
      <c r="L959" s="3" t="s">
        <v>1448</v>
      </c>
      <c r="M959" s="3" t="s">
        <v>6106</v>
      </c>
      <c r="N959" s="5">
        <v>46223.1297337963</v>
      </c>
      <c r="O959" s="4" t="b">
        <f>L959 = "PASS"</f>
        <v>1</v>
      </c>
      <c r="P959" s="4" t="b">
        <f>L959 = "FAIL"</f>
        <v>0</v>
      </c>
      <c r="Q959" s="4" t="b">
        <f>AND(((P959)=TRUE), ((K959)=TRUE))</f>
        <v>0</v>
      </c>
      <c r="R959" s="4" t="str">
        <f>IF(((O959)=TRUE),  I959,  "")</f>
        <v>suite-substrate</v>
      </c>
      <c r="S959" s="4" t="str">
        <f>IF(((Q959)=TRUE),  I959,  "")</f>
      </c>
      <c r="T959" s="3" t="s">
        <v>6001</v>
      </c>
    </row>
    <row r="960">
      <c r="A960" s="3" t="s">
        <v>6995</v>
      </c>
      <c r="B960" s="4" t="str">
        <f>C960 &amp; ": " &amp; D960</f>
        <v>formula-translates: DeliveredCommunications.AuthorizedAt</v>
      </c>
      <c r="C960" s="3" t="s">
        <v>6104</v>
      </c>
      <c r="D960" s="3" t="s">
        <v>5121</v>
      </c>
      <c r="E960" s="3" t="s">
        <v>5095</v>
      </c>
      <c r="F960" s="3" t="s">
        <v>5122</v>
      </c>
      <c r="G960" s="3" t="s">
        <v>6105</v>
      </c>
      <c r="H960" s="3"/>
      <c r="I960" s="3" t="s">
        <v>5986</v>
      </c>
      <c r="J960" s="3" t="s">
        <v>5999</v>
      </c>
      <c r="K960" s="4" t="b">
        <f>J960 = "blocking"</f>
        <v>1</v>
      </c>
      <c r="L960" s="3" t="s">
        <v>1448</v>
      </c>
      <c r="M960" s="3" t="s">
        <v>6106</v>
      </c>
      <c r="N960" s="5">
        <v>46223.1297337963</v>
      </c>
      <c r="O960" s="4" t="b">
        <f>L960 = "PASS"</f>
        <v>1</v>
      </c>
      <c r="P960" s="4" t="b">
        <f>L960 = "FAIL"</f>
        <v>0</v>
      </c>
      <c r="Q960" s="4" t="b">
        <f>AND(((P960)=TRUE), ((K960)=TRUE))</f>
        <v>0</v>
      </c>
      <c r="R960" s="4" t="str">
        <f>IF(((O960)=TRUE),  I960,  "")</f>
        <v>suite-substrate</v>
      </c>
      <c r="S960" s="4" t="str">
        <f>IF(((Q960)=TRUE),  I960,  "")</f>
      </c>
      <c r="T960" s="3" t="s">
        <v>6001</v>
      </c>
    </row>
    <row r="961">
      <c r="A961" s="3" t="s">
        <v>6996</v>
      </c>
      <c r="B961" s="4" t="str">
        <f>C961 &amp; ": " &amp; D961</f>
        <v>formula-translates: DeliveredCommunications.WasApprovedBeforeSending</v>
      </c>
      <c r="C961" s="3" t="s">
        <v>6104</v>
      </c>
      <c r="D961" s="3" t="s">
        <v>5124</v>
      </c>
      <c r="E961" s="3" t="s">
        <v>5095</v>
      </c>
      <c r="F961" s="3" t="s">
        <v>5125</v>
      </c>
      <c r="G961" s="3" t="s">
        <v>6105</v>
      </c>
      <c r="H961" s="3"/>
      <c r="I961" s="3" t="s">
        <v>5986</v>
      </c>
      <c r="J961" s="3" t="s">
        <v>5999</v>
      </c>
      <c r="K961" s="4" t="b">
        <f>J961 = "blocking"</f>
        <v>1</v>
      </c>
      <c r="L961" s="3" t="s">
        <v>1448</v>
      </c>
      <c r="M961" s="3" t="s">
        <v>6106</v>
      </c>
      <c r="N961" s="5">
        <v>46223.1297337963</v>
      </c>
      <c r="O961" s="4" t="b">
        <f>L961 = "PASS"</f>
        <v>1</v>
      </c>
      <c r="P961" s="4" t="b">
        <f>L961 = "FAIL"</f>
        <v>0</v>
      </c>
      <c r="Q961" s="4" t="b">
        <f>AND(((P961)=TRUE), ((K961)=TRUE))</f>
        <v>0</v>
      </c>
      <c r="R961" s="4" t="str">
        <f>IF(((O961)=TRUE),  I961,  "")</f>
        <v>suite-substrate</v>
      </c>
      <c r="S961" s="4" t="str">
        <f>IF(((Q961)=TRUE),  I961,  "")</f>
      </c>
      <c r="T961" s="3" t="s">
        <v>6001</v>
      </c>
    </row>
    <row r="962">
      <c r="A962" s="3" t="s">
        <v>6997</v>
      </c>
      <c r="B962" s="4" t="str">
        <f>C962 &amp; ": " &amp; D962</f>
        <v>formula-translates: DeliveredCommunications.IsDefensible</v>
      </c>
      <c r="C962" s="3" t="s">
        <v>6104</v>
      </c>
      <c r="D962" s="3" t="s">
        <v>5127</v>
      </c>
      <c r="E962" s="3" t="s">
        <v>5095</v>
      </c>
      <c r="F962" s="3" t="s">
        <v>5128</v>
      </c>
      <c r="G962" s="3" t="s">
        <v>6105</v>
      </c>
      <c r="H962" s="3"/>
      <c r="I962" s="3" t="s">
        <v>5986</v>
      </c>
      <c r="J962" s="3" t="s">
        <v>5999</v>
      </c>
      <c r="K962" s="4" t="b">
        <f>J962 = "blocking"</f>
        <v>1</v>
      </c>
      <c r="L962" s="3" t="s">
        <v>1448</v>
      </c>
      <c r="M962" s="3" t="s">
        <v>6106</v>
      </c>
      <c r="N962" s="5">
        <v>46223.1297337963</v>
      </c>
      <c r="O962" s="4" t="b">
        <f>L962 = "PASS"</f>
        <v>1</v>
      </c>
      <c r="P962" s="4" t="b">
        <f>L962 = "FAIL"</f>
        <v>0</v>
      </c>
      <c r="Q962" s="4" t="b">
        <f>AND(((P962)=TRUE), ((K962)=TRUE))</f>
        <v>0</v>
      </c>
      <c r="R962" s="4" t="str">
        <f>IF(((O962)=TRUE),  I962,  "")</f>
        <v>suite-substrate</v>
      </c>
      <c r="S962" s="4" t="str">
        <f>IF(((Q962)=TRUE),  I962,  "")</f>
      </c>
      <c r="T962" s="3" t="s">
        <v>6001</v>
      </c>
    </row>
    <row r="963">
      <c r="A963" s="3" t="s">
        <v>6998</v>
      </c>
      <c r="B963" s="4" t="str">
        <f>C963 &amp; ": " &amp; D963</f>
        <v>formula-translates: AuthorityBoundaries.Name</v>
      </c>
      <c r="C963" s="3" t="s">
        <v>6104</v>
      </c>
      <c r="D963" s="3" t="s">
        <v>5133</v>
      </c>
      <c r="E963" s="3" t="s">
        <v>5131</v>
      </c>
      <c r="F963" s="3" t="s">
        <v>1</v>
      </c>
      <c r="G963" s="3" t="s">
        <v>6105</v>
      </c>
      <c r="H963" s="3"/>
      <c r="I963" s="3" t="s">
        <v>5986</v>
      </c>
      <c r="J963" s="3" t="s">
        <v>5999</v>
      </c>
      <c r="K963" s="4" t="b">
        <f>J963 = "blocking"</f>
        <v>1</v>
      </c>
      <c r="L963" s="3" t="s">
        <v>1448</v>
      </c>
      <c r="M963" s="3" t="s">
        <v>6106</v>
      </c>
      <c r="N963" s="5">
        <v>46223.1297337963</v>
      </c>
      <c r="O963" s="4" t="b">
        <f>L963 = "PASS"</f>
        <v>1</v>
      </c>
      <c r="P963" s="4" t="b">
        <f>L963 = "FAIL"</f>
        <v>0</v>
      </c>
      <c r="Q963" s="4" t="b">
        <f>AND(((P963)=TRUE), ((K963)=TRUE))</f>
        <v>0</v>
      </c>
      <c r="R963" s="4" t="str">
        <f>IF(((O963)=TRUE),  I963,  "")</f>
        <v>suite-substrate</v>
      </c>
      <c r="S963" s="4" t="str">
        <f>IF(((Q963)=TRUE),  I963,  "")</f>
      </c>
      <c r="T963" s="3" t="s">
        <v>6001</v>
      </c>
    </row>
    <row r="964">
      <c r="A964" s="3" t="s">
        <v>6999</v>
      </c>
      <c r="B964" s="4" t="str">
        <f>C964 &amp; ": " &amp; D964</f>
        <v>formula-translates: AuthorityBoundaries.AsOfInstant</v>
      </c>
      <c r="C964" s="3" t="s">
        <v>6104</v>
      </c>
      <c r="D964" s="3" t="s">
        <v>5149</v>
      </c>
      <c r="E964" s="3" t="s">
        <v>5131</v>
      </c>
      <c r="F964" s="3" t="s">
        <v>92</v>
      </c>
      <c r="G964" s="3" t="s">
        <v>6105</v>
      </c>
      <c r="H964" s="3"/>
      <c r="I964" s="3" t="s">
        <v>5986</v>
      </c>
      <c r="J964" s="3" t="s">
        <v>5999</v>
      </c>
      <c r="K964" s="4" t="b">
        <f>J964 = "blocking"</f>
        <v>1</v>
      </c>
      <c r="L964" s="3" t="s">
        <v>1448</v>
      </c>
      <c r="M964" s="3" t="s">
        <v>6106</v>
      </c>
      <c r="N964" s="5">
        <v>46223.1297337963</v>
      </c>
      <c r="O964" s="4" t="b">
        <f>L964 = "PASS"</f>
        <v>1</v>
      </c>
      <c r="P964" s="4" t="b">
        <f>L964 = "FAIL"</f>
        <v>0</v>
      </c>
      <c r="Q964" s="4" t="b">
        <f>AND(((P964)=TRUE), ((K964)=TRUE))</f>
        <v>0</v>
      </c>
      <c r="R964" s="4" t="str">
        <f>IF(((O964)=TRUE),  I964,  "")</f>
        <v>suite-substrate</v>
      </c>
      <c r="S964" s="4" t="str">
        <f>IF(((Q964)=TRUE),  I964,  "")</f>
      </c>
      <c r="T964" s="3" t="s">
        <v>6001</v>
      </c>
    </row>
    <row r="965">
      <c r="A965" s="3" t="s">
        <v>7000</v>
      </c>
      <c r="B965" s="4" t="str">
        <f>C965 &amp; ": " &amp; D965</f>
        <v>formula-translates: AuthorityBoundaries.IsCurrentlyBinding</v>
      </c>
      <c r="C965" s="3" t="s">
        <v>6104</v>
      </c>
      <c r="D965" s="3" t="s">
        <v>5150</v>
      </c>
      <c r="E965" s="3" t="s">
        <v>5131</v>
      </c>
      <c r="F965" s="3" t="s">
        <v>5151</v>
      </c>
      <c r="G965" s="3" t="s">
        <v>6105</v>
      </c>
      <c r="H965" s="3" t="s">
        <v>2167</v>
      </c>
      <c r="I965" s="3" t="s">
        <v>5986</v>
      </c>
      <c r="J965" s="3" t="s">
        <v>5999</v>
      </c>
      <c r="K965" s="4" t="b">
        <f>J965 = "blocking"</f>
        <v>1</v>
      </c>
      <c r="L965" s="3" t="s">
        <v>1448</v>
      </c>
      <c r="M965" s="3" t="s">
        <v>6106</v>
      </c>
      <c r="N965" s="5">
        <v>46223.1297337963</v>
      </c>
      <c r="O965" s="4" t="b">
        <f>L965 = "PASS"</f>
        <v>1</v>
      </c>
      <c r="P965" s="4" t="b">
        <f>L965 = "FAIL"</f>
        <v>0</v>
      </c>
      <c r="Q965" s="4" t="b">
        <f>AND(((P965)=TRUE), ((K965)=TRUE))</f>
        <v>0</v>
      </c>
      <c r="R965" s="4" t="str">
        <f>IF(((O965)=TRUE),  I965,  "")</f>
        <v>suite-substrate</v>
      </c>
      <c r="S965" s="4" t="str">
        <f>IF(((Q965)=TRUE),  I965,  "")</f>
      </c>
      <c r="T965" s="3" t="s">
        <v>6001</v>
      </c>
    </row>
    <row r="966">
      <c r="A966" s="3" t="s">
        <v>7001</v>
      </c>
      <c r="B966" s="4" t="str">
        <f>C966 &amp; ": " &amp; D966</f>
        <v>formula-translates: AuthorityBoundaries.RatifyingFragmentIsValid</v>
      </c>
      <c r="C966" s="3" t="s">
        <v>6104</v>
      </c>
      <c r="D966" s="3" t="s">
        <v>5153</v>
      </c>
      <c r="E966" s="3" t="s">
        <v>5131</v>
      </c>
      <c r="F966" s="3" t="s">
        <v>5154</v>
      </c>
      <c r="G966" s="3" t="s">
        <v>6105</v>
      </c>
      <c r="H966" s="3" t="s">
        <v>2167</v>
      </c>
      <c r="I966" s="3" t="s">
        <v>5986</v>
      </c>
      <c r="J966" s="3" t="s">
        <v>5999</v>
      </c>
      <c r="K966" s="4" t="b">
        <f>J966 = "blocking"</f>
        <v>1</v>
      </c>
      <c r="L966" s="3" t="s">
        <v>1448</v>
      </c>
      <c r="M966" s="3" t="s">
        <v>6106</v>
      </c>
      <c r="N966" s="5">
        <v>46223.1297337963</v>
      </c>
      <c r="O966" s="4" t="b">
        <f>L966 = "PASS"</f>
        <v>1</v>
      </c>
      <c r="P966" s="4" t="b">
        <f>L966 = "FAIL"</f>
        <v>0</v>
      </c>
      <c r="Q966" s="4" t="b">
        <f>AND(((P966)=TRUE), ((K966)=TRUE))</f>
        <v>0</v>
      </c>
      <c r="R966" s="4" t="str">
        <f>IF(((O966)=TRUE),  I966,  "")</f>
        <v>suite-substrate</v>
      </c>
      <c r="S966" s="4" t="str">
        <f>IF(((Q966)=TRUE),  I966,  "")</f>
      </c>
      <c r="T966" s="3" t="s">
        <v>6001</v>
      </c>
    </row>
    <row r="967">
      <c r="A967" s="3" t="s">
        <v>7002</v>
      </c>
      <c r="B967" s="4" t="str">
        <f>C967 &amp; ": " &amp; D967</f>
        <v>formula-translates: AuthorityBoundaries.StepWhenBinding</v>
      </c>
      <c r="C967" s="3" t="s">
        <v>6104</v>
      </c>
      <c r="D967" s="3" t="s">
        <v>5156</v>
      </c>
      <c r="E967" s="3" t="s">
        <v>5131</v>
      </c>
      <c r="F967" s="3" t="s">
        <v>5157</v>
      </c>
      <c r="G967" s="3" t="s">
        <v>6105</v>
      </c>
      <c r="H967" s="3" t="s">
        <v>2167</v>
      </c>
      <c r="I967" s="3" t="s">
        <v>5986</v>
      </c>
      <c r="J967" s="3" t="s">
        <v>5999</v>
      </c>
      <c r="K967" s="4" t="b">
        <f>J967 = "blocking"</f>
        <v>1</v>
      </c>
      <c r="L967" s="3" t="s">
        <v>1448</v>
      </c>
      <c r="M967" s="3" t="s">
        <v>6106</v>
      </c>
      <c r="N967" s="5">
        <v>46223.1297337963</v>
      </c>
      <c r="O967" s="4" t="b">
        <f>L967 = "PASS"</f>
        <v>1</v>
      </c>
      <c r="P967" s="4" t="b">
        <f>L967 = "FAIL"</f>
        <v>0</v>
      </c>
      <c r="Q967" s="4" t="b">
        <f>AND(((P967)=TRUE), ((K967)=TRUE))</f>
        <v>0</v>
      </c>
      <c r="R967" s="4" t="str">
        <f>IF(((O967)=TRUE),  I967,  "")</f>
        <v>suite-substrate</v>
      </c>
      <c r="S967" s="4" t="str">
        <f>IF(((Q967)=TRUE),  I967,  "")</f>
      </c>
      <c r="T967" s="3" t="s">
        <v>6001</v>
      </c>
    </row>
    <row r="968">
      <c r="A968" s="3" t="s">
        <v>7003</v>
      </c>
      <c r="B968" s="4" t="str">
        <f>C968 &amp; ": " &amp; D968</f>
        <v>formula-translates: AuthorityBoundaries.BoundaryMatchKey</v>
      </c>
      <c r="C968" s="3" t="s">
        <v>6104</v>
      </c>
      <c r="D968" s="3" t="s">
        <v>5159</v>
      </c>
      <c r="E968" s="3" t="s">
        <v>5131</v>
      </c>
      <c r="F968" s="3" t="s">
        <v>5035</v>
      </c>
      <c r="G968" s="3" t="s">
        <v>6105</v>
      </c>
      <c r="H968" s="3" t="s">
        <v>2167</v>
      </c>
      <c r="I968" s="3" t="s">
        <v>5986</v>
      </c>
      <c r="J968" s="3" t="s">
        <v>5999</v>
      </c>
      <c r="K968" s="4" t="b">
        <f>J968 = "blocking"</f>
        <v>1</v>
      </c>
      <c r="L968" s="3" t="s">
        <v>1448</v>
      </c>
      <c r="M968" s="3" t="s">
        <v>6106</v>
      </c>
      <c r="N968" s="5">
        <v>46223.1297337963</v>
      </c>
      <c r="O968" s="4" t="b">
        <f>L968 = "PASS"</f>
        <v>1</v>
      </c>
      <c r="P968" s="4" t="b">
        <f>L968 = "FAIL"</f>
        <v>0</v>
      </c>
      <c r="Q968" s="4" t="b">
        <f>AND(((P968)=TRUE), ((K968)=TRUE))</f>
        <v>0</v>
      </c>
      <c r="R968" s="4" t="str">
        <f>IF(((O968)=TRUE),  I968,  "")</f>
        <v>suite-substrate</v>
      </c>
      <c r="S968" s="4" t="str">
        <f>IF(((Q968)=TRUE),  I968,  "")</f>
      </c>
      <c r="T968" s="3" t="s">
        <v>6001</v>
      </c>
    </row>
    <row r="969">
      <c r="A969" s="3" t="s">
        <v>7004</v>
      </c>
      <c r="B969" s="4" t="str">
        <f>C969 &amp; ": " &amp; D969</f>
        <v>formula-translates: AuthorityBoundaries.ViolationCount</v>
      </c>
      <c r="C969" s="3" t="s">
        <v>6104</v>
      </c>
      <c r="D969" s="3" t="s">
        <v>5161</v>
      </c>
      <c r="E969" s="3" t="s">
        <v>5131</v>
      </c>
      <c r="F969" s="3" t="s">
        <v>5162</v>
      </c>
      <c r="G969" s="3" t="s">
        <v>6105</v>
      </c>
      <c r="H969" s="3" t="s">
        <v>2187</v>
      </c>
      <c r="I969" s="3" t="s">
        <v>5986</v>
      </c>
      <c r="J969" s="3" t="s">
        <v>5999</v>
      </c>
      <c r="K969" s="4" t="b">
        <f>J969 = "blocking"</f>
        <v>1</v>
      </c>
      <c r="L969" s="3" t="s">
        <v>1448</v>
      </c>
      <c r="M969" s="3" t="s">
        <v>6106</v>
      </c>
      <c r="N969" s="5">
        <v>46223.1297337963</v>
      </c>
      <c r="O969" s="4" t="b">
        <f>L969 = "PASS"</f>
        <v>1</v>
      </c>
      <c r="P969" s="4" t="b">
        <f>L969 = "FAIL"</f>
        <v>0</v>
      </c>
      <c r="Q969" s="4" t="b">
        <f>AND(((P969)=TRUE), ((K969)=TRUE))</f>
        <v>0</v>
      </c>
      <c r="R969" s="4" t="str">
        <f>IF(((O969)=TRUE),  I969,  "")</f>
        <v>suite-substrate</v>
      </c>
      <c r="S969" s="4" t="str">
        <f>IF(((Q969)=TRUE),  I969,  "")</f>
      </c>
      <c r="T969" s="3" t="s">
        <v>6001</v>
      </c>
    </row>
    <row r="970">
      <c r="A970" s="3" t="s">
        <v>7005</v>
      </c>
      <c r="B970" s="4" t="str">
        <f>C970 &amp; ": " &amp; D970</f>
        <v>formula-translates: AuthorityBoundaries.IsUntested</v>
      </c>
      <c r="C970" s="3" t="s">
        <v>6104</v>
      </c>
      <c r="D970" s="3" t="s">
        <v>5164</v>
      </c>
      <c r="E970" s="3" t="s">
        <v>5131</v>
      </c>
      <c r="F970" s="3" t="s">
        <v>5165</v>
      </c>
      <c r="G970" s="3" t="s">
        <v>6105</v>
      </c>
      <c r="H970" s="3" t="s">
        <v>2187</v>
      </c>
      <c r="I970" s="3" t="s">
        <v>5986</v>
      </c>
      <c r="J970" s="3" t="s">
        <v>5999</v>
      </c>
      <c r="K970" s="4" t="b">
        <f>J970 = "blocking"</f>
        <v>1</v>
      </c>
      <c r="L970" s="3" t="s">
        <v>1448</v>
      </c>
      <c r="M970" s="3" t="s">
        <v>6106</v>
      </c>
      <c r="N970" s="5">
        <v>46223.1297337963</v>
      </c>
      <c r="O970" s="4" t="b">
        <f>L970 = "PASS"</f>
        <v>1</v>
      </c>
      <c r="P970" s="4" t="b">
        <f>L970 = "FAIL"</f>
        <v>0</v>
      </c>
      <c r="Q970" s="4" t="b">
        <f>AND(((P970)=TRUE), ((K970)=TRUE))</f>
        <v>0</v>
      </c>
      <c r="R970" s="4" t="str">
        <f>IF(((O970)=TRUE),  I970,  "")</f>
        <v>suite-substrate</v>
      </c>
      <c r="S970" s="4" t="str">
        <f>IF(((Q970)=TRUE),  I970,  "")</f>
      </c>
      <c r="T970" s="3" t="s">
        <v>6001</v>
      </c>
    </row>
    <row r="971">
      <c r="A971" s="3" t="s">
        <v>7006</v>
      </c>
      <c r="B971" s="4" t="str">
        <f>C971 &amp; ": " &amp; D971</f>
        <v>formula-translates: AuthorityBoundaries.HasRatifyingFragment</v>
      </c>
      <c r="C971" s="3" t="s">
        <v>6104</v>
      </c>
      <c r="D971" s="3" t="s">
        <v>5167</v>
      </c>
      <c r="E971" s="3" t="s">
        <v>5131</v>
      </c>
      <c r="F971" s="3" t="s">
        <v>5168</v>
      </c>
      <c r="G971" s="3" t="s">
        <v>6105</v>
      </c>
      <c r="H971" s="3"/>
      <c r="I971" s="3" t="s">
        <v>5986</v>
      </c>
      <c r="J971" s="3" t="s">
        <v>5999</v>
      </c>
      <c r="K971" s="4" t="b">
        <f>J971 = "blocking"</f>
        <v>1</v>
      </c>
      <c r="L971" s="3" t="s">
        <v>1448</v>
      </c>
      <c r="M971" s="3" t="s">
        <v>6106</v>
      </c>
      <c r="N971" s="5">
        <v>46223.1297337963</v>
      </c>
      <c r="O971" s="4" t="b">
        <f>L971 = "PASS"</f>
        <v>1</v>
      </c>
      <c r="P971" s="4" t="b">
        <f>L971 = "FAIL"</f>
        <v>0</v>
      </c>
      <c r="Q971" s="4" t="b">
        <f>AND(((P971)=TRUE), ((K971)=TRUE))</f>
        <v>0</v>
      </c>
      <c r="R971" s="4" t="str">
        <f>IF(((O971)=TRUE),  I971,  "")</f>
        <v>suite-substrate</v>
      </c>
      <c r="S971" s="4" t="str">
        <f>IF(((Q971)=TRUE),  I971,  "")</f>
      </c>
      <c r="T971" s="3" t="s">
        <v>6001</v>
      </c>
    </row>
    <row r="972">
      <c r="A972" s="3" t="s">
        <v>7007</v>
      </c>
      <c r="B972" s="4" t="str">
        <f>C972 &amp; ": " &amp; D972</f>
        <v>formula-translates: AuthorityBoundaries.IsUnwarranted</v>
      </c>
      <c r="C972" s="3" t="s">
        <v>6104</v>
      </c>
      <c r="D972" s="3" t="s">
        <v>5170</v>
      </c>
      <c r="E972" s="3" t="s">
        <v>5131</v>
      </c>
      <c r="F972" s="3" t="s">
        <v>5171</v>
      </c>
      <c r="G972" s="3" t="s">
        <v>6105</v>
      </c>
      <c r="H972" s="3" t="s">
        <v>2203</v>
      </c>
      <c r="I972" s="3" t="s">
        <v>5986</v>
      </c>
      <c r="J972" s="3" t="s">
        <v>5999</v>
      </c>
      <c r="K972" s="4" t="b">
        <f>J972 = "blocking"</f>
        <v>1</v>
      </c>
      <c r="L972" s="3" t="s">
        <v>1448</v>
      </c>
      <c r="M972" s="3" t="s">
        <v>6106</v>
      </c>
      <c r="N972" s="5">
        <v>46223.1297337963</v>
      </c>
      <c r="O972" s="4" t="b">
        <f>L972 = "PASS"</f>
        <v>1</v>
      </c>
      <c r="P972" s="4" t="b">
        <f>L972 = "FAIL"</f>
        <v>0</v>
      </c>
      <c r="Q972" s="4" t="b">
        <f>AND(((P972)=TRUE), ((K972)=TRUE))</f>
        <v>0</v>
      </c>
      <c r="R972" s="4" t="str">
        <f>IF(((O972)=TRUE),  I972,  "")</f>
        <v>suite-substrate</v>
      </c>
      <c r="S972" s="4" t="str">
        <f>IF(((Q972)=TRUE),  I972,  "")</f>
      </c>
      <c r="T972" s="3" t="s">
        <v>6001</v>
      </c>
    </row>
    <row r="973">
      <c r="A973" s="3" t="s">
        <v>7008</v>
      </c>
      <c r="B973" s="4" t="str">
        <f>C973 &amp; ": " &amp; D973</f>
        <v>formula-translates: AuthorityBoundaries.RatifyingFragmentIsOverdue</v>
      </c>
      <c r="C973" s="3" t="s">
        <v>6104</v>
      </c>
      <c r="D973" s="3" t="s">
        <v>5173</v>
      </c>
      <c r="E973" s="3" t="s">
        <v>5131</v>
      </c>
      <c r="F973" s="3" t="s">
        <v>5174</v>
      </c>
      <c r="G973" s="3" t="s">
        <v>6105</v>
      </c>
      <c r="H973" s="3" t="s">
        <v>2203</v>
      </c>
      <c r="I973" s="3" t="s">
        <v>5986</v>
      </c>
      <c r="J973" s="3" t="s">
        <v>5999</v>
      </c>
      <c r="K973" s="4" t="b">
        <f>J973 = "blocking"</f>
        <v>1</v>
      </c>
      <c r="L973" s="3" t="s">
        <v>1448</v>
      </c>
      <c r="M973" s="3" t="s">
        <v>6106</v>
      </c>
      <c r="N973" s="5">
        <v>46223.1297337963</v>
      </c>
      <c r="O973" s="4" t="b">
        <f>L973 = "PASS"</f>
        <v>1</v>
      </c>
      <c r="P973" s="4" t="b">
        <f>L973 = "FAIL"</f>
        <v>0</v>
      </c>
      <c r="Q973" s="4" t="b">
        <f>AND(((P973)=TRUE), ((K973)=TRUE))</f>
        <v>0</v>
      </c>
      <c r="R973" s="4" t="str">
        <f>IF(((O973)=TRUE),  I973,  "")</f>
        <v>suite-substrate</v>
      </c>
      <c r="S973" s="4" t="str">
        <f>IF(((Q973)=TRUE),  I973,  "")</f>
      </c>
      <c r="T973" s="3" t="s">
        <v>6001</v>
      </c>
    </row>
    <row r="974">
      <c r="A974" s="3" t="s">
        <v>7009</v>
      </c>
      <c r="B974" s="4" t="str">
        <f>C974 &amp; ": " &amp; D974</f>
        <v>formula-translates: AuthorityBoundaries.RatifyingFragmentIsSingleWitness</v>
      </c>
      <c r="C974" s="3" t="s">
        <v>6104</v>
      </c>
      <c r="D974" s="3" t="s">
        <v>5176</v>
      </c>
      <c r="E974" s="3" t="s">
        <v>5131</v>
      </c>
      <c r="F974" s="3" t="s">
        <v>5177</v>
      </c>
      <c r="G974" s="3" t="s">
        <v>6105</v>
      </c>
      <c r="H974" s="3" t="s">
        <v>2203</v>
      </c>
      <c r="I974" s="3" t="s">
        <v>5986</v>
      </c>
      <c r="J974" s="3" t="s">
        <v>5999</v>
      </c>
      <c r="K974" s="4" t="b">
        <f>J974 = "blocking"</f>
        <v>1</v>
      </c>
      <c r="L974" s="3" t="s">
        <v>1448</v>
      </c>
      <c r="M974" s="3" t="s">
        <v>6106</v>
      </c>
      <c r="N974" s="5">
        <v>46223.1297337963</v>
      </c>
      <c r="O974" s="4" t="b">
        <f>L974 = "PASS"</f>
        <v>1</v>
      </c>
      <c r="P974" s="4" t="b">
        <f>L974 = "FAIL"</f>
        <v>0</v>
      </c>
      <c r="Q974" s="4" t="b">
        <f>AND(((P974)=TRUE), ((K974)=TRUE))</f>
        <v>0</v>
      </c>
      <c r="R974" s="4" t="str">
        <f>IF(((O974)=TRUE),  I974,  "")</f>
        <v>suite-substrate</v>
      </c>
      <c r="S974" s="4" t="str">
        <f>IF(((Q974)=TRUE),  I974,  "")</f>
      </c>
      <c r="T974" s="3" t="s">
        <v>6001</v>
      </c>
    </row>
    <row r="975">
      <c r="A975" s="3" t="s">
        <v>7010</v>
      </c>
      <c r="B975" s="4" t="str">
        <f>C975 &amp; ": " &amp; D975</f>
        <v>formula-translates: AuthorityBoundaries.WarrantIsThin</v>
      </c>
      <c r="C975" s="3" t="s">
        <v>6104</v>
      </c>
      <c r="D975" s="3" t="s">
        <v>5179</v>
      </c>
      <c r="E975" s="3" t="s">
        <v>5131</v>
      </c>
      <c r="F975" s="3" t="s">
        <v>5180</v>
      </c>
      <c r="G975" s="3" t="s">
        <v>6105</v>
      </c>
      <c r="H975" s="3" t="s">
        <v>2203</v>
      </c>
      <c r="I975" s="3" t="s">
        <v>5986</v>
      </c>
      <c r="J975" s="3" t="s">
        <v>5999</v>
      </c>
      <c r="K975" s="4" t="b">
        <f>J975 = "blocking"</f>
        <v>1</v>
      </c>
      <c r="L975" s="3" t="s">
        <v>1448</v>
      </c>
      <c r="M975" s="3" t="s">
        <v>6106</v>
      </c>
      <c r="N975" s="5">
        <v>46223.1297337963</v>
      </c>
      <c r="O975" s="4" t="b">
        <f>L975 = "PASS"</f>
        <v>1</v>
      </c>
      <c r="P975" s="4" t="b">
        <f>L975 = "FAIL"</f>
        <v>0</v>
      </c>
      <c r="Q975" s="4" t="b">
        <f>AND(((P975)=TRUE), ((K975)=TRUE))</f>
        <v>0</v>
      </c>
      <c r="R975" s="4" t="str">
        <f>IF(((O975)=TRUE),  I975,  "")</f>
        <v>suite-substrate</v>
      </c>
      <c r="S975" s="4" t="str">
        <f>IF(((Q975)=TRUE),  I975,  "")</f>
      </c>
      <c r="T975" s="3" t="s">
        <v>6001</v>
      </c>
    </row>
    <row r="976">
      <c r="A976" s="3" t="s">
        <v>7011</v>
      </c>
      <c r="B976" s="4" t="str">
        <f>C976 &amp; ": " &amp; D976</f>
        <v>formula-translates: AuthorityBoundaries.IsUnwarrantedAndUntested</v>
      </c>
      <c r="C976" s="3" t="s">
        <v>6104</v>
      </c>
      <c r="D976" s="3" t="s">
        <v>5182</v>
      </c>
      <c r="E976" s="3" t="s">
        <v>5131</v>
      </c>
      <c r="F976" s="3" t="s">
        <v>5183</v>
      </c>
      <c r="G976" s="3" t="s">
        <v>6105</v>
      </c>
      <c r="H976" s="3" t="s">
        <v>2203</v>
      </c>
      <c r="I976" s="3" t="s">
        <v>5986</v>
      </c>
      <c r="J976" s="3" t="s">
        <v>5999</v>
      </c>
      <c r="K976" s="4" t="b">
        <f>J976 = "blocking"</f>
        <v>1</v>
      </c>
      <c r="L976" s="3" t="s">
        <v>1448</v>
      </c>
      <c r="M976" s="3" t="s">
        <v>6106</v>
      </c>
      <c r="N976" s="5">
        <v>46223.1297337963</v>
      </c>
      <c r="O976" s="4" t="b">
        <f>L976 = "PASS"</f>
        <v>1</v>
      </c>
      <c r="P976" s="4" t="b">
        <f>L976 = "FAIL"</f>
        <v>0</v>
      </c>
      <c r="Q976" s="4" t="b">
        <f>AND(((P976)=TRUE), ((K976)=TRUE))</f>
        <v>0</v>
      </c>
      <c r="R976" s="4" t="str">
        <f>IF(((O976)=TRUE),  I976,  "")</f>
        <v>suite-substrate</v>
      </c>
      <c r="S976" s="4" t="str">
        <f>IF(((Q976)=TRUE),  I976,  "")</f>
      </c>
      <c r="T976" s="3" t="s">
        <v>6001</v>
      </c>
    </row>
    <row r="977">
      <c r="A977" s="3" t="s">
        <v>7012</v>
      </c>
      <c r="B977" s="4" t="str">
        <f>C977 &amp; ": " &amp; D977</f>
        <v>formula-translates: AuthorityBoundaries.UnwarrantedBoundaryStepKey</v>
      </c>
      <c r="C977" s="3" t="s">
        <v>6104</v>
      </c>
      <c r="D977" s="3" t="s">
        <v>5185</v>
      </c>
      <c r="E977" s="3" t="s">
        <v>5131</v>
      </c>
      <c r="F977" s="3" t="s">
        <v>5186</v>
      </c>
      <c r="G977" s="3" t="s">
        <v>6105</v>
      </c>
      <c r="H977" s="3" t="s">
        <v>2203</v>
      </c>
      <c r="I977" s="3" t="s">
        <v>5986</v>
      </c>
      <c r="J977" s="3" t="s">
        <v>5999</v>
      </c>
      <c r="K977" s="4" t="b">
        <f>J977 = "blocking"</f>
        <v>1</v>
      </c>
      <c r="L977" s="3" t="s">
        <v>1448</v>
      </c>
      <c r="M977" s="3" t="s">
        <v>6106</v>
      </c>
      <c r="N977" s="5">
        <v>46223.1297337963</v>
      </c>
      <c r="O977" s="4" t="b">
        <f>L977 = "PASS"</f>
        <v>1</v>
      </c>
      <c r="P977" s="4" t="b">
        <f>L977 = "FAIL"</f>
        <v>0</v>
      </c>
      <c r="Q977" s="4" t="b">
        <f>AND(((P977)=TRUE), ((K977)=TRUE))</f>
        <v>0</v>
      </c>
      <c r="R977" s="4" t="str">
        <f>IF(((O977)=TRUE),  I977,  "")</f>
        <v>suite-substrate</v>
      </c>
      <c r="S977" s="4" t="str">
        <f>IF(((Q977)=TRUE),  I977,  "")</f>
      </c>
      <c r="T977" s="3" t="s">
        <v>6001</v>
      </c>
    </row>
    <row r="978">
      <c r="A978" s="3" t="s">
        <v>7013</v>
      </c>
      <c r="B978" s="4" t="str">
        <f>C978 &amp; ": " &amp; D978</f>
        <v>formula-translates: AuthorityBoundaries.RatifyingFragmentKey</v>
      </c>
      <c r="C978" s="3" t="s">
        <v>6104</v>
      </c>
      <c r="D978" s="3" t="s">
        <v>5188</v>
      </c>
      <c r="E978" s="3" t="s">
        <v>5131</v>
      </c>
      <c r="F978" s="3" t="s">
        <v>5189</v>
      </c>
      <c r="G978" s="3" t="s">
        <v>6105</v>
      </c>
      <c r="H978" s="3" t="s">
        <v>2227</v>
      </c>
      <c r="I978" s="3" t="s">
        <v>5986</v>
      </c>
      <c r="J978" s="3" t="s">
        <v>5999</v>
      </c>
      <c r="K978" s="4" t="b">
        <f>J978 = "blocking"</f>
        <v>1</v>
      </c>
      <c r="L978" s="3" t="s">
        <v>1448</v>
      </c>
      <c r="M978" s="3" t="s">
        <v>6106</v>
      </c>
      <c r="N978" s="5">
        <v>46223.1297337963</v>
      </c>
      <c r="O978" s="4" t="b">
        <f>L978 = "PASS"</f>
        <v>1</v>
      </c>
      <c r="P978" s="4" t="b">
        <f>L978 = "FAIL"</f>
        <v>0</v>
      </c>
      <c r="Q978" s="4" t="b">
        <f>AND(((P978)=TRUE), ((K978)=TRUE))</f>
        <v>0</v>
      </c>
      <c r="R978" s="4" t="str">
        <f>IF(((O978)=TRUE),  I978,  "")</f>
        <v>suite-substrate</v>
      </c>
      <c r="S978" s="4" t="str">
        <f>IF(((Q978)=TRUE),  I978,  "")</f>
      </c>
      <c r="T978" s="3" t="s">
        <v>6001</v>
      </c>
    </row>
    <row r="979">
      <c r="A979" s="3" t="s">
        <v>7014</v>
      </c>
      <c r="B979" s="4" t="str">
        <f>C979 &amp; ": " &amp; D979</f>
        <v>formula-translates: AuthorityBoundaries.RatifyingFragmentStatus</v>
      </c>
      <c r="C979" s="3" t="s">
        <v>6104</v>
      </c>
      <c r="D979" s="3" t="s">
        <v>5191</v>
      </c>
      <c r="E979" s="3" t="s">
        <v>5131</v>
      </c>
      <c r="F979" s="3" t="s">
        <v>5192</v>
      </c>
      <c r="G979" s="3" t="s">
        <v>6105</v>
      </c>
      <c r="H979" s="3" t="s">
        <v>2343</v>
      </c>
      <c r="I979" s="3" t="s">
        <v>5986</v>
      </c>
      <c r="J979" s="3" t="s">
        <v>5999</v>
      </c>
      <c r="K979" s="4" t="b">
        <f>J979 = "blocking"</f>
        <v>1</v>
      </c>
      <c r="L979" s="3" t="s">
        <v>1448</v>
      </c>
      <c r="M979" s="3" t="s">
        <v>6106</v>
      </c>
      <c r="N979" s="5">
        <v>46223.1297337963</v>
      </c>
      <c r="O979" s="4" t="b">
        <f>L979 = "PASS"</f>
        <v>1</v>
      </c>
      <c r="P979" s="4" t="b">
        <f>L979 = "FAIL"</f>
        <v>0</v>
      </c>
      <c r="Q979" s="4" t="b">
        <f>AND(((P979)=TRUE), ((K979)=TRUE))</f>
        <v>0</v>
      </c>
      <c r="R979" s="4" t="str">
        <f>IF(((O979)=TRUE),  I979,  "")</f>
        <v>suite-substrate</v>
      </c>
      <c r="S979" s="4" t="str">
        <f>IF(((Q979)=TRUE),  I979,  "")</f>
      </c>
      <c r="T979" s="3" t="s">
        <v>6001</v>
      </c>
    </row>
    <row r="980">
      <c r="A980" s="3" t="s">
        <v>7015</v>
      </c>
      <c r="B980" s="4" t="str">
        <f>C980 &amp; ": " &amp; D980</f>
        <v>formula-translates: AuthorityBoundaries.RatificationLapsed</v>
      </c>
      <c r="C980" s="3" t="s">
        <v>6104</v>
      </c>
      <c r="D980" s="3" t="s">
        <v>5194</v>
      </c>
      <c r="E980" s="3" t="s">
        <v>5131</v>
      </c>
      <c r="F980" s="3" t="s">
        <v>5195</v>
      </c>
      <c r="G980" s="3" t="s">
        <v>6105</v>
      </c>
      <c r="H980" s="3" t="s">
        <v>2343</v>
      </c>
      <c r="I980" s="3" t="s">
        <v>5986</v>
      </c>
      <c r="J980" s="3" t="s">
        <v>5999</v>
      </c>
      <c r="K980" s="4" t="b">
        <f>J980 = "blocking"</f>
        <v>1</v>
      </c>
      <c r="L980" s="3" t="s">
        <v>1448</v>
      </c>
      <c r="M980" s="3" t="s">
        <v>6106</v>
      </c>
      <c r="N980" s="5">
        <v>46223.1297337963</v>
      </c>
      <c r="O980" s="4" t="b">
        <f>L980 = "PASS"</f>
        <v>1</v>
      </c>
      <c r="P980" s="4" t="b">
        <f>L980 = "FAIL"</f>
        <v>0</v>
      </c>
      <c r="Q980" s="4" t="b">
        <f>AND(((P980)=TRUE), ((K980)=TRUE))</f>
        <v>0</v>
      </c>
      <c r="R980" s="4" t="str">
        <f>IF(((O980)=TRUE),  I980,  "")</f>
        <v>suite-substrate</v>
      </c>
      <c r="S980" s="4" t="str">
        <f>IF(((Q980)=TRUE),  I980,  "")</f>
      </c>
      <c r="T980" s="3" t="s">
        <v>6001</v>
      </c>
    </row>
    <row r="981">
      <c r="A981" s="3" t="s">
        <v>7016</v>
      </c>
      <c r="B981" s="4" t="str">
        <f>C981 &amp; ": " &amp; D981</f>
        <v>formula-translates: AuthorityBoundaries.BindsDespiteLapsedRatification</v>
      </c>
      <c r="C981" s="3" t="s">
        <v>6104</v>
      </c>
      <c r="D981" s="3" t="s">
        <v>5197</v>
      </c>
      <c r="E981" s="3" t="s">
        <v>5131</v>
      </c>
      <c r="F981" s="3" t="s">
        <v>5198</v>
      </c>
      <c r="G981" s="3" t="s">
        <v>6105</v>
      </c>
      <c r="H981" s="3" t="s">
        <v>2343</v>
      </c>
      <c r="I981" s="3" t="s">
        <v>5986</v>
      </c>
      <c r="J981" s="3" t="s">
        <v>5999</v>
      </c>
      <c r="K981" s="4" t="b">
        <f>J981 = "blocking"</f>
        <v>1</v>
      </c>
      <c r="L981" s="3" t="s">
        <v>1448</v>
      </c>
      <c r="M981" s="3" t="s">
        <v>6106</v>
      </c>
      <c r="N981" s="5">
        <v>46223.1297337963</v>
      </c>
      <c r="O981" s="4" t="b">
        <f>L981 = "PASS"</f>
        <v>1</v>
      </c>
      <c r="P981" s="4" t="b">
        <f>L981 = "FAIL"</f>
        <v>0</v>
      </c>
      <c r="Q981" s="4" t="b">
        <f>AND(((P981)=TRUE), ((K981)=TRUE))</f>
        <v>0</v>
      </c>
      <c r="R981" s="4" t="str">
        <f>IF(((O981)=TRUE),  I981,  "")</f>
        <v>suite-substrate</v>
      </c>
      <c r="S981" s="4" t="str">
        <f>IF(((Q981)=TRUE),  I981,  "")</f>
      </c>
      <c r="T981" s="3" t="s">
        <v>6001</v>
      </c>
    </row>
    <row r="982">
      <c r="A982" s="3" t="s">
        <v>7017</v>
      </c>
      <c r="B982" s="4" t="str">
        <f>C982 &amp; ": " &amp; D982</f>
        <v>formula-translates: AuthorityBoundaries.IsUngroundedAndUntested</v>
      </c>
      <c r="C982" s="3" t="s">
        <v>6104</v>
      </c>
      <c r="D982" s="3" t="s">
        <v>5200</v>
      </c>
      <c r="E982" s="3" t="s">
        <v>5131</v>
      </c>
      <c r="F982" s="3" t="s">
        <v>5201</v>
      </c>
      <c r="G982" s="3" t="s">
        <v>6105</v>
      </c>
      <c r="H982" s="3" t="s">
        <v>2343</v>
      </c>
      <c r="I982" s="3" t="s">
        <v>5986</v>
      </c>
      <c r="J982" s="3" t="s">
        <v>5999</v>
      </c>
      <c r="K982" s="4" t="b">
        <f>J982 = "blocking"</f>
        <v>1</v>
      </c>
      <c r="L982" s="3" t="s">
        <v>1448</v>
      </c>
      <c r="M982" s="3" t="s">
        <v>6106</v>
      </c>
      <c r="N982" s="5">
        <v>46223.1297337963</v>
      </c>
      <c r="O982" s="4" t="b">
        <f>L982 = "PASS"</f>
        <v>1</v>
      </c>
      <c r="P982" s="4" t="b">
        <f>L982 = "FAIL"</f>
        <v>0</v>
      </c>
      <c r="Q982" s="4" t="b">
        <f>AND(((P982)=TRUE), ((K982)=TRUE))</f>
        <v>0</v>
      </c>
      <c r="R982" s="4" t="str">
        <f>IF(((O982)=TRUE),  I982,  "")</f>
        <v>suite-substrate</v>
      </c>
      <c r="S982" s="4" t="str">
        <f>IF(((Q982)=TRUE),  I982,  "")</f>
      </c>
      <c r="T982" s="3" t="s">
        <v>6001</v>
      </c>
    </row>
    <row r="983">
      <c r="A983" s="3" t="s">
        <v>7018</v>
      </c>
      <c r="B983" s="4" t="str">
        <f>C983 &amp; ": " &amp; D983</f>
        <v>formula-translates: AuthorityBoundaries.ConstrainedRoleAssignmentKey</v>
      </c>
      <c r="C983" s="3" t="s">
        <v>6104</v>
      </c>
      <c r="D983" s="3" t="s">
        <v>5203</v>
      </c>
      <c r="E983" s="3" t="s">
        <v>5131</v>
      </c>
      <c r="F983" s="3" t="s">
        <v>5204</v>
      </c>
      <c r="G983" s="3" t="s">
        <v>6105</v>
      </c>
      <c r="H983" s="3" t="s">
        <v>2343</v>
      </c>
      <c r="I983" s="3" t="s">
        <v>5986</v>
      </c>
      <c r="J983" s="3" t="s">
        <v>5999</v>
      </c>
      <c r="K983" s="4" t="b">
        <f>J983 = "blocking"</f>
        <v>1</v>
      </c>
      <c r="L983" s="3" t="s">
        <v>1448</v>
      </c>
      <c r="M983" s="3" t="s">
        <v>6106</v>
      </c>
      <c r="N983" s="5">
        <v>46223.1297337963</v>
      </c>
      <c r="O983" s="4" t="b">
        <f>L983 = "PASS"</f>
        <v>1</v>
      </c>
      <c r="P983" s="4" t="b">
        <f>L983 = "FAIL"</f>
        <v>0</v>
      </c>
      <c r="Q983" s="4" t="b">
        <f>AND(((P983)=TRUE), ((K983)=TRUE))</f>
        <v>0</v>
      </c>
      <c r="R983" s="4" t="str">
        <f>IF(((O983)=TRUE),  I983,  "")</f>
        <v>suite-substrate</v>
      </c>
      <c r="S983" s="4" t="str">
        <f>IF(((Q983)=TRUE),  I983,  "")</f>
      </c>
      <c r="T983" s="3" t="s">
        <v>6001</v>
      </c>
    </row>
    <row r="984">
      <c r="A984" s="3" t="s">
        <v>7019</v>
      </c>
      <c r="B984" s="4" t="str">
        <f>C984 &amp; ": " &amp; D984</f>
        <v>formula-translates: BindingObservations.Name</v>
      </c>
      <c r="C984" s="3" t="s">
        <v>6104</v>
      </c>
      <c r="D984" s="3" t="s">
        <v>5210</v>
      </c>
      <c r="E984" s="3" t="s">
        <v>5208</v>
      </c>
      <c r="F984" s="3" t="s">
        <v>1</v>
      </c>
      <c r="G984" s="3" t="s">
        <v>6105</v>
      </c>
      <c r="H984" s="3"/>
      <c r="I984" s="3" t="s">
        <v>5986</v>
      </c>
      <c r="J984" s="3" t="s">
        <v>5999</v>
      </c>
      <c r="K984" s="4" t="b">
        <f>J984 = "blocking"</f>
        <v>1</v>
      </c>
      <c r="L984" s="3" t="s">
        <v>1448</v>
      </c>
      <c r="M984" s="3" t="s">
        <v>6106</v>
      </c>
      <c r="N984" s="5">
        <v>46223.1297337963</v>
      </c>
      <c r="O984" s="4" t="b">
        <f>L984 = "PASS"</f>
        <v>1</v>
      </c>
      <c r="P984" s="4" t="b">
        <f>L984 = "FAIL"</f>
        <v>0</v>
      </c>
      <c r="Q984" s="4" t="b">
        <f>AND(((P984)=TRUE), ((K984)=TRUE))</f>
        <v>0</v>
      </c>
      <c r="R984" s="4" t="str">
        <f>IF(((O984)=TRUE),  I984,  "")</f>
        <v>suite-substrate</v>
      </c>
      <c r="S984" s="4" t="str">
        <f>IF(((Q984)=TRUE),  I984,  "")</f>
      </c>
      <c r="T984" s="3" t="s">
        <v>6001</v>
      </c>
    </row>
    <row r="985">
      <c r="A985" s="3" t="s">
        <v>7020</v>
      </c>
      <c r="B985" s="4" t="str">
        <f>C985 &amp; ": " &amp; D985</f>
        <v>formula-translates: BindingObservations.SlaMinutesAtRun</v>
      </c>
      <c r="C985" s="3" t="s">
        <v>6104</v>
      </c>
      <c r="D985" s="3" t="s">
        <v>5219</v>
      </c>
      <c r="E985" s="3" t="s">
        <v>5208</v>
      </c>
      <c r="F985" s="3" t="s">
        <v>5220</v>
      </c>
      <c r="G985" s="3" t="s">
        <v>6105</v>
      </c>
      <c r="H985" s="3" t="s">
        <v>2263</v>
      </c>
      <c r="I985" s="3" t="s">
        <v>5986</v>
      </c>
      <c r="J985" s="3" t="s">
        <v>5999</v>
      </c>
      <c r="K985" s="4" t="b">
        <f>J985 = "blocking"</f>
        <v>1</v>
      </c>
      <c r="L985" s="3" t="s">
        <v>1448</v>
      </c>
      <c r="M985" s="3" t="s">
        <v>6106</v>
      </c>
      <c r="N985" s="5">
        <v>46223.1297337963</v>
      </c>
      <c r="O985" s="4" t="b">
        <f>L985 = "PASS"</f>
        <v>1</v>
      </c>
      <c r="P985" s="4" t="b">
        <f>L985 = "FAIL"</f>
        <v>0</v>
      </c>
      <c r="Q985" s="4" t="b">
        <f>AND(((P985)=TRUE), ((K985)=TRUE))</f>
        <v>0</v>
      </c>
      <c r="R985" s="4" t="str">
        <f>IF(((O985)=TRUE),  I985,  "")</f>
        <v>suite-substrate</v>
      </c>
      <c r="S985" s="4" t="str">
        <f>IF(((Q985)=TRUE),  I985,  "")</f>
      </c>
      <c r="T985" s="3" t="s">
        <v>6001</v>
      </c>
    </row>
    <row r="986">
      <c r="A986" s="3" t="s">
        <v>7021</v>
      </c>
      <c r="B986" s="4" t="str">
        <f>C986 &amp; ": " &amp; D986</f>
        <v>formula-translates: BindingObservations.AgeAtRunMinutes</v>
      </c>
      <c r="C986" s="3" t="s">
        <v>6104</v>
      </c>
      <c r="D986" s="3" t="s">
        <v>5222</v>
      </c>
      <c r="E986" s="3" t="s">
        <v>5208</v>
      </c>
      <c r="F986" s="3" t="s">
        <v>5223</v>
      </c>
      <c r="G986" s="3" t="s">
        <v>6105</v>
      </c>
      <c r="H986" s="3" t="s">
        <v>2263</v>
      </c>
      <c r="I986" s="3" t="s">
        <v>5986</v>
      </c>
      <c r="J986" s="3" t="s">
        <v>5999</v>
      </c>
      <c r="K986" s="4" t="b">
        <f>J986 = "blocking"</f>
        <v>1</v>
      </c>
      <c r="L986" s="3" t="s">
        <v>1448</v>
      </c>
      <c r="M986" s="3" t="s">
        <v>6106</v>
      </c>
      <c r="N986" s="5">
        <v>46223.1297337963</v>
      </c>
      <c r="O986" s="4" t="b">
        <f>L986 = "PASS"</f>
        <v>1</v>
      </c>
      <c r="P986" s="4" t="b">
        <f>L986 = "FAIL"</f>
        <v>0</v>
      </c>
      <c r="Q986" s="4" t="b">
        <f>AND(((P986)=TRUE), ((K986)=TRUE))</f>
        <v>0</v>
      </c>
      <c r="R986" s="4" t="str">
        <f>IF(((O986)=TRUE),  I986,  "")</f>
        <v>suite-substrate</v>
      </c>
      <c r="S986" s="4" t="str">
        <f>IF(((Q986)=TRUE),  I986,  "")</f>
      </c>
      <c r="T986" s="3" t="s">
        <v>6001</v>
      </c>
    </row>
    <row r="987">
      <c r="A987" s="3" t="s">
        <v>7022</v>
      </c>
      <c r="B987" s="4" t="str">
        <f>C987 &amp; ": " &amp; D987</f>
        <v>formula-translates: BindingObservations.WasStaleAtRun</v>
      </c>
      <c r="C987" s="3" t="s">
        <v>6104</v>
      </c>
      <c r="D987" s="3" t="s">
        <v>5225</v>
      </c>
      <c r="E987" s="3" t="s">
        <v>5208</v>
      </c>
      <c r="F987" s="3" t="s">
        <v>5226</v>
      </c>
      <c r="G987" s="3" t="s">
        <v>6105</v>
      </c>
      <c r="H987" s="3" t="s">
        <v>2263</v>
      </c>
      <c r="I987" s="3" t="s">
        <v>5986</v>
      </c>
      <c r="J987" s="3" t="s">
        <v>5999</v>
      </c>
      <c r="K987" s="4" t="b">
        <f>J987 = "blocking"</f>
        <v>1</v>
      </c>
      <c r="L987" s="3" t="s">
        <v>1448</v>
      </c>
      <c r="M987" s="3" t="s">
        <v>6106</v>
      </c>
      <c r="N987" s="5">
        <v>46223.1297337963</v>
      </c>
      <c r="O987" s="4" t="b">
        <f>L987 = "PASS"</f>
        <v>1</v>
      </c>
      <c r="P987" s="4" t="b">
        <f>L987 = "FAIL"</f>
        <v>0</v>
      </c>
      <c r="Q987" s="4" t="b">
        <f>AND(((P987)=TRUE), ((K987)=TRUE))</f>
        <v>0</v>
      </c>
      <c r="R987" s="4" t="str">
        <f>IF(((O987)=TRUE),  I987,  "")</f>
        <v>suite-substrate</v>
      </c>
      <c r="S987" s="4" t="str">
        <f>IF(((Q987)=TRUE),  I987,  "")</f>
      </c>
      <c r="T987" s="3" t="s">
        <v>6001</v>
      </c>
    </row>
    <row r="988">
      <c r="A988" s="3" t="s">
        <v>7023</v>
      </c>
      <c r="B988" s="4" t="str">
        <f>C988 &amp; ": " &amp; D988</f>
        <v>formula-translates: BindingObservations.IsAuthoritativeBinding</v>
      </c>
      <c r="C988" s="3" t="s">
        <v>6104</v>
      </c>
      <c r="D988" s="3" t="s">
        <v>5228</v>
      </c>
      <c r="E988" s="3" t="s">
        <v>5208</v>
      </c>
      <c r="F988" s="3" t="s">
        <v>5229</v>
      </c>
      <c r="G988" s="3" t="s">
        <v>6105</v>
      </c>
      <c r="H988" s="3" t="s">
        <v>2263</v>
      </c>
      <c r="I988" s="3" t="s">
        <v>5986</v>
      </c>
      <c r="J988" s="3" t="s">
        <v>5999</v>
      </c>
      <c r="K988" s="4" t="b">
        <f>J988 = "blocking"</f>
        <v>1</v>
      </c>
      <c r="L988" s="3" t="s">
        <v>1448</v>
      </c>
      <c r="M988" s="3" t="s">
        <v>6106</v>
      </c>
      <c r="N988" s="5">
        <v>46223.1297337963</v>
      </c>
      <c r="O988" s="4" t="b">
        <f>L988 = "PASS"</f>
        <v>1</v>
      </c>
      <c r="P988" s="4" t="b">
        <f>L988 = "FAIL"</f>
        <v>0</v>
      </c>
      <c r="Q988" s="4" t="b">
        <f>AND(((P988)=TRUE), ((K988)=TRUE))</f>
        <v>0</v>
      </c>
      <c r="R988" s="4" t="str">
        <f>IF(((O988)=TRUE),  I988,  "")</f>
        <v>suite-substrate</v>
      </c>
      <c r="S988" s="4" t="str">
        <f>IF(((Q988)=TRUE),  I988,  "")</f>
      </c>
      <c r="T988" s="3" t="s">
        <v>6001</v>
      </c>
    </row>
    <row r="989">
      <c r="A989" s="3" t="s">
        <v>7024</v>
      </c>
      <c r="B989" s="4" t="str">
        <f>C989 &amp; ": " &amp; D989</f>
        <v>formula-translates: BindingObservations.StaleAtRunStepKey</v>
      </c>
      <c r="C989" s="3" t="s">
        <v>6104</v>
      </c>
      <c r="D989" s="3" t="s">
        <v>5231</v>
      </c>
      <c r="E989" s="3" t="s">
        <v>5208</v>
      </c>
      <c r="F989" s="3" t="s">
        <v>5232</v>
      </c>
      <c r="G989" s="3" t="s">
        <v>6105</v>
      </c>
      <c r="H989" s="3" t="s">
        <v>2263</v>
      </c>
      <c r="I989" s="3" t="s">
        <v>5986</v>
      </c>
      <c r="J989" s="3" t="s">
        <v>5999</v>
      </c>
      <c r="K989" s="4" t="b">
        <f>J989 = "blocking"</f>
        <v>1</v>
      </c>
      <c r="L989" s="3" t="s">
        <v>1448</v>
      </c>
      <c r="M989" s="3" t="s">
        <v>6106</v>
      </c>
      <c r="N989" s="5">
        <v>46223.1297337963</v>
      </c>
      <c r="O989" s="4" t="b">
        <f>L989 = "PASS"</f>
        <v>1</v>
      </c>
      <c r="P989" s="4" t="b">
        <f>L989 = "FAIL"</f>
        <v>0</v>
      </c>
      <c r="Q989" s="4" t="b">
        <f>AND(((P989)=TRUE), ((K989)=TRUE))</f>
        <v>0</v>
      </c>
      <c r="R989" s="4" t="str">
        <f>IF(((O989)=TRUE),  I989,  "")</f>
        <v>suite-substrate</v>
      </c>
      <c r="S989" s="4" t="str">
        <f>IF(((Q989)=TRUE),  I989,  "")</f>
      </c>
      <c r="T989" s="3" t="s">
        <v>6001</v>
      </c>
    </row>
    <row r="990">
      <c r="A990" s="3" t="s">
        <v>7025</v>
      </c>
      <c r="B990" s="4" t="str">
        <f>C990 &amp; ": " &amp; D990</f>
        <v>formula-translates: Attestations.Name</v>
      </c>
      <c r="C990" s="3" t="s">
        <v>6104</v>
      </c>
      <c r="D990" s="3" t="s">
        <v>5237</v>
      </c>
      <c r="E990" s="3" t="s">
        <v>5235</v>
      </c>
      <c r="F990" s="3" t="s">
        <v>1</v>
      </c>
      <c r="G990" s="3" t="s">
        <v>6105</v>
      </c>
      <c r="H990" s="3"/>
      <c r="I990" s="3" t="s">
        <v>5986</v>
      </c>
      <c r="J990" s="3" t="s">
        <v>5999</v>
      </c>
      <c r="K990" s="4" t="b">
        <f>J990 = "blocking"</f>
        <v>1</v>
      </c>
      <c r="L990" s="3" t="s">
        <v>1448</v>
      </c>
      <c r="M990" s="3" t="s">
        <v>6106</v>
      </c>
      <c r="N990" s="5">
        <v>46223.1297337963</v>
      </c>
      <c r="O990" s="4" t="b">
        <f>L990 = "PASS"</f>
        <v>1</v>
      </c>
      <c r="P990" s="4" t="b">
        <f>L990 = "FAIL"</f>
        <v>0</v>
      </c>
      <c r="Q990" s="4" t="b">
        <f>AND(((P990)=TRUE), ((K990)=TRUE))</f>
        <v>0</v>
      </c>
      <c r="R990" s="4" t="str">
        <f>IF(((O990)=TRUE),  I990,  "")</f>
        <v>suite-substrate</v>
      </c>
      <c r="S990" s="4" t="str">
        <f>IF(((Q990)=TRUE),  I990,  "")</f>
      </c>
      <c r="T990" s="3" t="s">
        <v>6001</v>
      </c>
    </row>
    <row r="991">
      <c r="A991" s="3" t="s">
        <v>7026</v>
      </c>
      <c r="B991" s="4" t="str">
        <f>C991 &amp; ": " &amp; D991</f>
        <v>formula-translates: Attestations.VersionIsFitNow</v>
      </c>
      <c r="C991" s="3" t="s">
        <v>6104</v>
      </c>
      <c r="D991" s="3" t="s">
        <v>5248</v>
      </c>
      <c r="E991" s="3" t="s">
        <v>5235</v>
      </c>
      <c r="F991" s="3" t="s">
        <v>5249</v>
      </c>
      <c r="G991" s="3" t="s">
        <v>6105</v>
      </c>
      <c r="H991" s="3" t="s">
        <v>2303</v>
      </c>
      <c r="I991" s="3" t="s">
        <v>5986</v>
      </c>
      <c r="J991" s="3" t="s">
        <v>5999</v>
      </c>
      <c r="K991" s="4" t="b">
        <f>J991 = "blocking"</f>
        <v>1</v>
      </c>
      <c r="L991" s="3" t="s">
        <v>1448</v>
      </c>
      <c r="M991" s="3" t="s">
        <v>6106</v>
      </c>
      <c r="N991" s="5">
        <v>46223.1297337963</v>
      </c>
      <c r="O991" s="4" t="b">
        <f>L991 = "PASS"</f>
        <v>1</v>
      </c>
      <c r="P991" s="4" t="b">
        <f>L991 = "FAIL"</f>
        <v>0</v>
      </c>
      <c r="Q991" s="4" t="b">
        <f>AND(((P991)=TRUE), ((K991)=TRUE))</f>
        <v>0</v>
      </c>
      <c r="R991" s="4" t="str">
        <f>IF(((O991)=TRUE),  I991,  "")</f>
        <v>suite-substrate</v>
      </c>
      <c r="S991" s="4" t="str">
        <f>IF(((Q991)=TRUE),  I991,  "")</f>
      </c>
      <c r="T991" s="3" t="s">
        <v>6001</v>
      </c>
    </row>
    <row r="992">
      <c r="A992" s="3" t="s">
        <v>7027</v>
      </c>
      <c r="B992" s="4" t="str">
        <f>C992 &amp; ": " &amp; D992</f>
        <v>formula-translates: Attestations.FitnessVerdictHasDrifted</v>
      </c>
      <c r="C992" s="3" t="s">
        <v>6104</v>
      </c>
      <c r="D992" s="3" t="s">
        <v>5251</v>
      </c>
      <c r="E992" s="3" t="s">
        <v>5235</v>
      </c>
      <c r="F992" s="3" t="s">
        <v>5252</v>
      </c>
      <c r="G992" s="3" t="s">
        <v>6105</v>
      </c>
      <c r="H992" s="3" t="s">
        <v>2303</v>
      </c>
      <c r="I992" s="3" t="s">
        <v>5986</v>
      </c>
      <c r="J992" s="3" t="s">
        <v>5999</v>
      </c>
      <c r="K992" s="4" t="b">
        <f>J992 = "blocking"</f>
        <v>1</v>
      </c>
      <c r="L992" s="3" t="s">
        <v>1448</v>
      </c>
      <c r="M992" s="3" t="s">
        <v>6106</v>
      </c>
      <c r="N992" s="5">
        <v>46223.1297337963</v>
      </c>
      <c r="O992" s="4" t="b">
        <f>L992 = "PASS"</f>
        <v>1</v>
      </c>
      <c r="P992" s="4" t="b">
        <f>L992 = "FAIL"</f>
        <v>0</v>
      </c>
      <c r="Q992" s="4" t="b">
        <f>AND(((P992)=TRUE), ((K992)=TRUE))</f>
        <v>0</v>
      </c>
      <c r="R992" s="4" t="str">
        <f>IF(((O992)=TRUE),  I992,  "")</f>
        <v>suite-substrate</v>
      </c>
      <c r="S992" s="4" t="str">
        <f>IF(((Q992)=TRUE),  I992,  "")</f>
      </c>
      <c r="T992" s="3" t="s">
        <v>6001</v>
      </c>
    </row>
    <row r="993">
      <c r="A993" s="3" t="s">
        <v>7028</v>
      </c>
      <c r="B993" s="4" t="str">
        <f>C993 &amp; ": " &amp; D993</f>
        <v>formula-translates: Attestations.AssuranceGradeNow</v>
      </c>
      <c r="C993" s="3" t="s">
        <v>6104</v>
      </c>
      <c r="D993" s="3" t="s">
        <v>5254</v>
      </c>
      <c r="E993" s="3" t="s">
        <v>5235</v>
      </c>
      <c r="F993" s="3" t="s">
        <v>5255</v>
      </c>
      <c r="G993" s="3" t="s">
        <v>6105</v>
      </c>
      <c r="H993" s="3" t="s">
        <v>2303</v>
      </c>
      <c r="I993" s="3" t="s">
        <v>5986</v>
      </c>
      <c r="J993" s="3" t="s">
        <v>5999</v>
      </c>
      <c r="K993" s="4" t="b">
        <f>J993 = "blocking"</f>
        <v>1</v>
      </c>
      <c r="L993" s="3" t="s">
        <v>1448</v>
      </c>
      <c r="M993" s="3" t="s">
        <v>6106</v>
      </c>
      <c r="N993" s="5">
        <v>46223.1297337963</v>
      </c>
      <c r="O993" s="4" t="b">
        <f>L993 = "PASS"</f>
        <v>1</v>
      </c>
      <c r="P993" s="4" t="b">
        <f>L993 = "FAIL"</f>
        <v>0</v>
      </c>
      <c r="Q993" s="4" t="b">
        <f>AND(((P993)=TRUE), ((K993)=TRUE))</f>
        <v>0</v>
      </c>
      <c r="R993" s="4" t="str">
        <f>IF(((O993)=TRUE),  I993,  "")</f>
        <v>suite-substrate</v>
      </c>
      <c r="S993" s="4" t="str">
        <f>IF(((Q993)=TRUE),  I993,  "")</f>
      </c>
      <c r="T993" s="3" t="s">
        <v>6001</v>
      </c>
    </row>
    <row r="994">
      <c r="A994" s="3" t="s">
        <v>7029</v>
      </c>
      <c r="B994" s="4" t="str">
        <f>C994 &amp; ": " &amp; D994</f>
        <v>formula-translates: Attestations.AssuranceGradeHasDrifted</v>
      </c>
      <c r="C994" s="3" t="s">
        <v>6104</v>
      </c>
      <c r="D994" s="3" t="s">
        <v>5257</v>
      </c>
      <c r="E994" s="3" t="s">
        <v>5235</v>
      </c>
      <c r="F994" s="3" t="s">
        <v>5258</v>
      </c>
      <c r="G994" s="3" t="s">
        <v>6105</v>
      </c>
      <c r="H994" s="3" t="s">
        <v>2303</v>
      </c>
      <c r="I994" s="3" t="s">
        <v>5986</v>
      </c>
      <c r="J994" s="3" t="s">
        <v>5999</v>
      </c>
      <c r="K994" s="4" t="b">
        <f>J994 = "blocking"</f>
        <v>1</v>
      </c>
      <c r="L994" s="3" t="s">
        <v>1448</v>
      </c>
      <c r="M994" s="3" t="s">
        <v>6106</v>
      </c>
      <c r="N994" s="5">
        <v>46223.1297337963</v>
      </c>
      <c r="O994" s="4" t="b">
        <f>L994 = "PASS"</f>
        <v>1</v>
      </c>
      <c r="P994" s="4" t="b">
        <f>L994 = "FAIL"</f>
        <v>0</v>
      </c>
      <c r="Q994" s="4" t="b">
        <f>AND(((P994)=TRUE), ((K994)=TRUE))</f>
        <v>0</v>
      </c>
      <c r="R994" s="4" t="str">
        <f>IF(((O994)=TRUE),  I994,  "")</f>
        <v>suite-substrate</v>
      </c>
      <c r="S994" s="4" t="str">
        <f>IF(((Q994)=TRUE),  I994,  "")</f>
      </c>
      <c r="T994" s="3" t="s">
        <v>6001</v>
      </c>
    </row>
    <row r="995">
      <c r="A995" s="3" t="s">
        <v>7030</v>
      </c>
      <c r="B995" s="4" t="str">
        <f>C995 &amp; ": " &amp; D995</f>
        <v>formula-translates: Attestations.WouldNotSurviveRestatement</v>
      </c>
      <c r="C995" s="3" t="s">
        <v>6104</v>
      </c>
      <c r="D995" s="3" t="s">
        <v>5260</v>
      </c>
      <c r="E995" s="3" t="s">
        <v>5235</v>
      </c>
      <c r="F995" s="3" t="s">
        <v>5261</v>
      </c>
      <c r="G995" s="3" t="s">
        <v>6105</v>
      </c>
      <c r="H995" s="3" t="s">
        <v>2303</v>
      </c>
      <c r="I995" s="3" t="s">
        <v>5986</v>
      </c>
      <c r="J995" s="3" t="s">
        <v>5999</v>
      </c>
      <c r="K995" s="4" t="b">
        <f>J995 = "blocking"</f>
        <v>1</v>
      </c>
      <c r="L995" s="3" t="s">
        <v>1448</v>
      </c>
      <c r="M995" s="3" t="s">
        <v>6106</v>
      </c>
      <c r="N995" s="5">
        <v>46223.1297337963</v>
      </c>
      <c r="O995" s="4" t="b">
        <f>L995 = "PASS"</f>
        <v>1</v>
      </c>
      <c r="P995" s="4" t="b">
        <f>L995 = "FAIL"</f>
        <v>0</v>
      </c>
      <c r="Q995" s="4" t="b">
        <f>AND(((P995)=TRUE), ((K995)=TRUE))</f>
        <v>0</v>
      </c>
      <c r="R995" s="4" t="str">
        <f>IF(((O995)=TRUE),  I995,  "")</f>
        <v>suite-substrate</v>
      </c>
      <c r="S995" s="4" t="str">
        <f>IF(((Q995)=TRUE),  I995,  "")</f>
      </c>
      <c r="T995" s="3" t="s">
        <v>6001</v>
      </c>
    </row>
    <row r="996">
      <c r="A996" s="3" t="s">
        <v>7031</v>
      </c>
      <c r="B996" s="4" t="str">
        <f>C996 &amp; ": " &amp; D996</f>
        <v>view-loads: vw_rulebook_releases</v>
      </c>
      <c r="C996" s="3" t="s">
        <v>7032</v>
      </c>
      <c r="D996" s="3" t="s">
        <v>7033</v>
      </c>
      <c r="E996" s="3" t="s">
        <v>2415</v>
      </c>
      <c r="F996" s="3"/>
      <c r="G996" s="3" t="s">
        <v>7034</v>
      </c>
      <c r="H996" s="3"/>
      <c r="I996" s="3" t="s">
        <v>5986</v>
      </c>
      <c r="J996" s="3" t="s">
        <v>5999</v>
      </c>
      <c r="K996" s="4" t="b">
        <f>J996 = "blocking"</f>
        <v>1</v>
      </c>
      <c r="L996" s="3" t="s">
        <v>1448</v>
      </c>
      <c r="M996" s="3" t="s">
        <v>7035</v>
      </c>
      <c r="N996" s="5">
        <v>46223.1297337963</v>
      </c>
      <c r="O996" s="4" t="b">
        <f>L996 = "PASS"</f>
        <v>1</v>
      </c>
      <c r="P996" s="4" t="b">
        <f>L996 = "FAIL"</f>
        <v>0</v>
      </c>
      <c r="Q996" s="4" t="b">
        <f>AND(((P996)=TRUE), ((K996)=TRUE))</f>
        <v>0</v>
      </c>
      <c r="R996" s="4" t="str">
        <f>IF(((O996)=TRUE),  I996,  "")</f>
        <v>suite-substrate</v>
      </c>
      <c r="S996" s="4" t="str">
        <f>IF(((Q996)=TRUE),  I996,  "")</f>
      </c>
      <c r="T996" s="3" t="s">
        <v>6001</v>
      </c>
    </row>
    <row r="997">
      <c r="A997" s="3" t="s">
        <v>7036</v>
      </c>
      <c r="B997" s="4" t="str">
        <f>C997 &amp; ": " &amp; D997</f>
        <v>view-loads: vw_ontology_profiles</v>
      </c>
      <c r="C997" s="3" t="s">
        <v>7032</v>
      </c>
      <c r="D997" s="3" t="s">
        <v>7037</v>
      </c>
      <c r="E997" s="3" t="s">
        <v>2434</v>
      </c>
      <c r="F997" s="3"/>
      <c r="G997" s="3" t="s">
        <v>7034</v>
      </c>
      <c r="H997" s="3"/>
      <c r="I997" s="3" t="s">
        <v>5986</v>
      </c>
      <c r="J997" s="3" t="s">
        <v>5999</v>
      </c>
      <c r="K997" s="4" t="b">
        <f>J997 = "blocking"</f>
        <v>1</v>
      </c>
      <c r="L997" s="3" t="s">
        <v>1448</v>
      </c>
      <c r="M997" s="3" t="s">
        <v>7038</v>
      </c>
      <c r="N997" s="5">
        <v>46223.1297337963</v>
      </c>
      <c r="O997" s="4" t="b">
        <f>L997 = "PASS"</f>
        <v>1</v>
      </c>
      <c r="P997" s="4" t="b">
        <f>L997 = "FAIL"</f>
        <v>0</v>
      </c>
      <c r="Q997" s="4" t="b">
        <f>AND(((P997)=TRUE), ((K997)=TRUE))</f>
        <v>0</v>
      </c>
      <c r="R997" s="4" t="str">
        <f>IF(((O997)=TRUE),  I997,  "")</f>
        <v>suite-substrate</v>
      </c>
      <c r="S997" s="4" t="str">
        <f>IF(((Q997)=TRUE),  I997,  "")</f>
      </c>
      <c r="T997" s="3" t="s">
        <v>6001</v>
      </c>
    </row>
    <row r="998">
      <c r="A998" s="3" t="s">
        <v>7039</v>
      </c>
      <c r="B998" s="4" t="str">
        <f>C998 &amp; ": " &amp; D998</f>
        <v>view-loads: vw_evaluation_contexts</v>
      </c>
      <c r="C998" s="3" t="s">
        <v>7032</v>
      </c>
      <c r="D998" s="3" t="s">
        <v>7040</v>
      </c>
      <c r="E998" s="3" t="s">
        <v>2444</v>
      </c>
      <c r="F998" s="3"/>
      <c r="G998" s="3" t="s">
        <v>7034</v>
      </c>
      <c r="H998" s="3"/>
      <c r="I998" s="3" t="s">
        <v>5986</v>
      </c>
      <c r="J998" s="3" t="s">
        <v>5999</v>
      </c>
      <c r="K998" s="4" t="b">
        <f>J998 = "blocking"</f>
        <v>1</v>
      </c>
      <c r="L998" s="3" t="s">
        <v>1448</v>
      </c>
      <c r="M998" s="3" t="s">
        <v>7035</v>
      </c>
      <c r="N998" s="5">
        <v>46223.1297337963</v>
      </c>
      <c r="O998" s="4" t="b">
        <f>L998 = "PASS"</f>
        <v>1</v>
      </c>
      <c r="P998" s="4" t="b">
        <f>L998 = "FAIL"</f>
        <v>0</v>
      </c>
      <c r="Q998" s="4" t="b">
        <f>AND(((P998)=TRUE), ((K998)=TRUE))</f>
        <v>0</v>
      </c>
      <c r="R998" s="4" t="str">
        <f>IF(((O998)=TRUE),  I998,  "")</f>
        <v>suite-substrate</v>
      </c>
      <c r="S998" s="4" t="str">
        <f>IF(((Q998)=TRUE),  I998,  "")</f>
      </c>
      <c r="T998" s="3" t="s">
        <v>6001</v>
      </c>
    </row>
    <row r="999">
      <c r="A999" s="3" t="s">
        <v>7041</v>
      </c>
      <c r="B999" s="4" t="str">
        <f>C999 &amp; ": " &amp; D999</f>
        <v>view-loads: vw_organizations</v>
      </c>
      <c r="C999" s="3" t="s">
        <v>7032</v>
      </c>
      <c r="D999" s="3" t="s">
        <v>7042</v>
      </c>
      <c r="E999" s="3" t="s">
        <v>2453</v>
      </c>
      <c r="F999" s="3"/>
      <c r="G999" s="3" t="s">
        <v>7034</v>
      </c>
      <c r="H999" s="3"/>
      <c r="I999" s="3" t="s">
        <v>5986</v>
      </c>
      <c r="J999" s="3" t="s">
        <v>5999</v>
      </c>
      <c r="K999" s="4" t="b">
        <f>J999 = "blocking"</f>
        <v>1</v>
      </c>
      <c r="L999" s="3" t="s">
        <v>1448</v>
      </c>
      <c r="M999" s="3" t="s">
        <v>7043</v>
      </c>
      <c r="N999" s="5">
        <v>46223.1297337963</v>
      </c>
      <c r="O999" s="4" t="b">
        <f>L999 = "PASS"</f>
        <v>1</v>
      </c>
      <c r="P999" s="4" t="b">
        <f>L999 = "FAIL"</f>
        <v>0</v>
      </c>
      <c r="Q999" s="4" t="b">
        <f>AND(((P999)=TRUE), ((K999)=TRUE))</f>
        <v>0</v>
      </c>
      <c r="R999" s="4" t="str">
        <f>IF(((O999)=TRUE),  I999,  "")</f>
        <v>suite-substrate</v>
      </c>
      <c r="S999" s="4" t="str">
        <f>IF(((Q999)=TRUE),  I999,  "")</f>
      </c>
      <c r="T999" s="3" t="s">
        <v>6001</v>
      </c>
    </row>
    <row r="1000">
      <c r="A1000" s="3" t="s">
        <v>7044</v>
      </c>
      <c r="B1000" s="4" t="str">
        <f>C1000 &amp; ": " &amp; D1000</f>
        <v>view-loads: vw_agents</v>
      </c>
      <c r="C1000" s="3" t="s">
        <v>7032</v>
      </c>
      <c r="D1000" s="3" t="s">
        <v>7045</v>
      </c>
      <c r="E1000" s="3" t="s">
        <v>1814</v>
      </c>
      <c r="F1000" s="3"/>
      <c r="G1000" s="3" t="s">
        <v>7034</v>
      </c>
      <c r="H1000" s="3"/>
      <c r="I1000" s="3" t="s">
        <v>5986</v>
      </c>
      <c r="J1000" s="3" t="s">
        <v>5999</v>
      </c>
      <c r="K1000" s="4" t="b">
        <f>J1000 = "blocking"</f>
        <v>1</v>
      </c>
      <c r="L1000" s="3" t="s">
        <v>1448</v>
      </c>
      <c r="M1000" s="3" t="s">
        <v>7046</v>
      </c>
      <c r="N1000" s="5">
        <v>46223.1297337963</v>
      </c>
      <c r="O1000" s="4" t="b">
        <f>L1000 = "PASS"</f>
        <v>1</v>
      </c>
      <c r="P1000" s="4" t="b">
        <f>L1000 = "FAIL"</f>
        <v>0</v>
      </c>
      <c r="Q1000" s="4" t="b">
        <f>AND(((P1000)=TRUE), ((K1000)=TRUE))</f>
        <v>0</v>
      </c>
      <c r="R1000" s="4" t="str">
        <f>IF(((O1000)=TRUE),  I1000,  "")</f>
        <v>suite-substrate</v>
      </c>
      <c r="S1000" s="4" t="str">
        <f>IF(((Q1000)=TRUE),  I1000,  "")</f>
      </c>
      <c r="T1000" s="3" t="s">
        <v>6001</v>
      </c>
    </row>
    <row r="1001">
      <c r="A1001" s="3" t="s">
        <v>7047</v>
      </c>
      <c r="B1001" s="4" t="str">
        <f>C1001 &amp; ": " &amp; D1001</f>
        <v>view-loads: vw_roles</v>
      </c>
      <c r="C1001" s="3" t="s">
        <v>7032</v>
      </c>
      <c r="D1001" s="3" t="s">
        <v>7048</v>
      </c>
      <c r="E1001" s="3" t="s">
        <v>1818</v>
      </c>
      <c r="F1001" s="3"/>
      <c r="G1001" s="3" t="s">
        <v>7034</v>
      </c>
      <c r="H1001" s="3"/>
      <c r="I1001" s="3" t="s">
        <v>5986</v>
      </c>
      <c r="J1001" s="3" t="s">
        <v>5999</v>
      </c>
      <c r="K1001" s="4" t="b">
        <f>J1001 = "blocking"</f>
        <v>1</v>
      </c>
      <c r="L1001" s="3" t="s">
        <v>1448</v>
      </c>
      <c r="M1001" s="3" t="s">
        <v>7049</v>
      </c>
      <c r="N1001" s="5">
        <v>46223.1297337963</v>
      </c>
      <c r="O1001" s="4" t="b">
        <f>L1001 = "PASS"</f>
        <v>1</v>
      </c>
      <c r="P1001" s="4" t="b">
        <f>L1001 = "FAIL"</f>
        <v>0</v>
      </c>
      <c r="Q1001" s="4" t="b">
        <f>AND(((P1001)=TRUE), ((K1001)=TRUE))</f>
        <v>0</v>
      </c>
      <c r="R1001" s="4" t="str">
        <f>IF(((O1001)=TRUE),  I1001,  "")</f>
        <v>suite-substrate</v>
      </c>
      <c r="S1001" s="4" t="str">
        <f>IF(((Q1001)=TRUE),  I1001,  "")</f>
      </c>
      <c r="T1001" s="3" t="s">
        <v>6001</v>
      </c>
    </row>
    <row r="1002">
      <c r="A1002" s="3" t="s">
        <v>7050</v>
      </c>
      <c r="B1002" s="4" t="str">
        <f>C1002 &amp; ": " &amp; D1002</f>
        <v>view-loads: vw_role_assignments</v>
      </c>
      <c r="C1002" s="3" t="s">
        <v>7032</v>
      </c>
      <c r="D1002" s="3" t="s">
        <v>7051</v>
      </c>
      <c r="E1002" s="3" t="s">
        <v>1821</v>
      </c>
      <c r="F1002" s="3"/>
      <c r="G1002" s="3" t="s">
        <v>7034</v>
      </c>
      <c r="H1002" s="3"/>
      <c r="I1002" s="3" t="s">
        <v>5986</v>
      </c>
      <c r="J1002" s="3" t="s">
        <v>5999</v>
      </c>
      <c r="K1002" s="4" t="b">
        <f>J1002 = "blocking"</f>
        <v>1</v>
      </c>
      <c r="L1002" s="3" t="s">
        <v>1448</v>
      </c>
      <c r="M1002" s="3" t="s">
        <v>7052</v>
      </c>
      <c r="N1002" s="5">
        <v>46223.1297337963</v>
      </c>
      <c r="O1002" s="4" t="b">
        <f>L1002 = "PASS"</f>
        <v>1</v>
      </c>
      <c r="P1002" s="4" t="b">
        <f>L1002 = "FAIL"</f>
        <v>0</v>
      </c>
      <c r="Q1002" s="4" t="b">
        <f>AND(((P1002)=TRUE), ((K1002)=TRUE))</f>
        <v>0</v>
      </c>
      <c r="R1002" s="4" t="str">
        <f>IF(((O1002)=TRUE),  I1002,  "")</f>
        <v>suite-substrate</v>
      </c>
      <c r="S1002" s="4" t="str">
        <f>IF(((Q1002)=TRUE),  I1002,  "")</f>
      </c>
      <c r="T1002" s="3" t="s">
        <v>6001</v>
      </c>
    </row>
    <row r="1003">
      <c r="A1003" s="3" t="s">
        <v>7053</v>
      </c>
      <c r="B1003" s="4" t="str">
        <f>C1003 &amp; ": " &amp; D1003</f>
        <v>view-loads: vw_communities_of_practice</v>
      </c>
      <c r="C1003" s="3" t="s">
        <v>7032</v>
      </c>
      <c r="D1003" s="3" t="s">
        <v>7054</v>
      </c>
      <c r="E1003" s="3" t="s">
        <v>2655</v>
      </c>
      <c r="F1003" s="3"/>
      <c r="G1003" s="3" t="s">
        <v>7034</v>
      </c>
      <c r="H1003" s="3"/>
      <c r="I1003" s="3" t="s">
        <v>5986</v>
      </c>
      <c r="J1003" s="3" t="s">
        <v>5999</v>
      </c>
      <c r="K1003" s="4" t="b">
        <f>J1003 = "blocking"</f>
        <v>1</v>
      </c>
      <c r="L1003" s="3" t="s">
        <v>1448</v>
      </c>
      <c r="M1003" s="3" t="s">
        <v>7055</v>
      </c>
      <c r="N1003" s="5">
        <v>46223.1297337963</v>
      </c>
      <c r="O1003" s="4" t="b">
        <f>L1003 = "PASS"</f>
        <v>1</v>
      </c>
      <c r="P1003" s="4" t="b">
        <f>L1003 = "FAIL"</f>
        <v>0</v>
      </c>
      <c r="Q1003" s="4" t="b">
        <f>AND(((P1003)=TRUE), ((K1003)=TRUE))</f>
        <v>0</v>
      </c>
      <c r="R1003" s="4" t="str">
        <f>IF(((O1003)=TRUE),  I1003,  "")</f>
        <v>suite-substrate</v>
      </c>
      <c r="S1003" s="4" t="str">
        <f>IF(((Q1003)=TRUE),  I1003,  "")</f>
      </c>
      <c r="T1003" s="3" t="s">
        <v>6001</v>
      </c>
    </row>
    <row r="1004">
      <c r="A1004" s="3" t="s">
        <v>7056</v>
      </c>
      <c r="B1004" s="4" t="str">
        <f>C1004 &amp; ": " &amp; D1004</f>
        <v>view-loads: vw_mentorships</v>
      </c>
      <c r="C1004" s="3" t="s">
        <v>7032</v>
      </c>
      <c r="D1004" s="3" t="s">
        <v>7057</v>
      </c>
      <c r="E1004" s="3" t="s">
        <v>2664</v>
      </c>
      <c r="F1004" s="3"/>
      <c r="G1004" s="3" t="s">
        <v>7034</v>
      </c>
      <c r="H1004" s="3"/>
      <c r="I1004" s="3" t="s">
        <v>5986</v>
      </c>
      <c r="J1004" s="3" t="s">
        <v>5999</v>
      </c>
      <c r="K1004" s="4" t="b">
        <f>J1004 = "blocking"</f>
        <v>1</v>
      </c>
      <c r="L1004" s="3" t="s">
        <v>1448</v>
      </c>
      <c r="M1004" s="3" t="s">
        <v>7035</v>
      </c>
      <c r="N1004" s="5">
        <v>46223.1297337963</v>
      </c>
      <c r="O1004" s="4" t="b">
        <f>L1004 = "PASS"</f>
        <v>1</v>
      </c>
      <c r="P1004" s="4" t="b">
        <f>L1004 = "FAIL"</f>
        <v>0</v>
      </c>
      <c r="Q1004" s="4" t="b">
        <f>AND(((P1004)=TRUE), ((K1004)=TRUE))</f>
        <v>0</v>
      </c>
      <c r="R1004" s="4" t="str">
        <f>IF(((O1004)=TRUE),  I1004,  "")</f>
        <v>suite-substrate</v>
      </c>
      <c r="S1004" s="4" t="str">
        <f>IF(((Q1004)=TRUE),  I1004,  "")</f>
      </c>
      <c r="T1004" s="3" t="s">
        <v>6001</v>
      </c>
    </row>
    <row r="1005">
      <c r="A1005" s="3" t="s">
        <v>7058</v>
      </c>
      <c r="B1005" s="4" t="str">
        <f>C1005 &amp; ": " &amp; D1005</f>
        <v>view-loads: vw_procedure_types</v>
      </c>
      <c r="C1005" s="3" t="s">
        <v>7032</v>
      </c>
      <c r="D1005" s="3" t="s">
        <v>7059</v>
      </c>
      <c r="E1005" s="3" t="s">
        <v>2676</v>
      </c>
      <c r="F1005" s="3"/>
      <c r="G1005" s="3" t="s">
        <v>7034</v>
      </c>
      <c r="H1005" s="3"/>
      <c r="I1005" s="3" t="s">
        <v>5986</v>
      </c>
      <c r="J1005" s="3" t="s">
        <v>5999</v>
      </c>
      <c r="K1005" s="4" t="b">
        <f>J1005 = "blocking"</f>
        <v>1</v>
      </c>
      <c r="L1005" s="3" t="s">
        <v>1448</v>
      </c>
      <c r="M1005" s="3" t="s">
        <v>7055</v>
      </c>
      <c r="N1005" s="5">
        <v>46223.1297337963</v>
      </c>
      <c r="O1005" s="4" t="b">
        <f>L1005 = "PASS"</f>
        <v>1</v>
      </c>
      <c r="P1005" s="4" t="b">
        <f>L1005 = "FAIL"</f>
        <v>0</v>
      </c>
      <c r="Q1005" s="4" t="b">
        <f>AND(((P1005)=TRUE), ((K1005)=TRUE))</f>
        <v>0</v>
      </c>
      <c r="R1005" s="4" t="str">
        <f>IF(((O1005)=TRUE),  I1005,  "")</f>
        <v>suite-substrate</v>
      </c>
      <c r="S1005" s="4" t="str">
        <f>IF(((Q1005)=TRUE),  I1005,  "")</f>
      </c>
      <c r="T1005" s="3" t="s">
        <v>6001</v>
      </c>
    </row>
    <row r="1006">
      <c r="A1006" s="3" t="s">
        <v>7060</v>
      </c>
      <c r="B1006" s="4" t="str">
        <f>C1006 &amp; ": " &amp; D1006</f>
        <v>view-loads: vw_procedures</v>
      </c>
      <c r="C1006" s="3" t="s">
        <v>7032</v>
      </c>
      <c r="D1006" s="3" t="s">
        <v>7061</v>
      </c>
      <c r="E1006" s="3" t="s">
        <v>1762</v>
      </c>
      <c r="F1006" s="3"/>
      <c r="G1006" s="3" t="s">
        <v>7034</v>
      </c>
      <c r="H1006" s="3"/>
      <c r="I1006" s="3" t="s">
        <v>5986</v>
      </c>
      <c r="J1006" s="3" t="s">
        <v>5999</v>
      </c>
      <c r="K1006" s="4" t="b">
        <f>J1006 = "blocking"</f>
        <v>1</v>
      </c>
      <c r="L1006" s="3" t="s">
        <v>1448</v>
      </c>
      <c r="M1006" s="3" t="s">
        <v>7055</v>
      </c>
      <c r="N1006" s="5">
        <v>46223.1297337963</v>
      </c>
      <c r="O1006" s="4" t="b">
        <f>L1006 = "PASS"</f>
        <v>1</v>
      </c>
      <c r="P1006" s="4" t="b">
        <f>L1006 = "FAIL"</f>
        <v>0</v>
      </c>
      <c r="Q1006" s="4" t="b">
        <f>AND(((P1006)=TRUE), ((K1006)=TRUE))</f>
        <v>0</v>
      </c>
      <c r="R1006" s="4" t="str">
        <f>IF(((O1006)=TRUE),  I1006,  "")</f>
        <v>suite-substrate</v>
      </c>
      <c r="S1006" s="4" t="str">
        <f>IF(((Q1006)=TRUE),  I1006,  "")</f>
      </c>
      <c r="T1006" s="3" t="s">
        <v>6001</v>
      </c>
    </row>
    <row r="1007">
      <c r="A1007" s="3" t="s">
        <v>7062</v>
      </c>
      <c r="B1007" s="4" t="str">
        <f>C1007 &amp; ": " &amp; D1007</f>
        <v>view-loads: vw_procedure_versions</v>
      </c>
      <c r="C1007" s="3" t="s">
        <v>7032</v>
      </c>
      <c r="D1007" s="3" t="s">
        <v>7063</v>
      </c>
      <c r="E1007" s="3" t="s">
        <v>1767</v>
      </c>
      <c r="F1007" s="3"/>
      <c r="G1007" s="3" t="s">
        <v>7034</v>
      </c>
      <c r="H1007" s="3"/>
      <c r="I1007" s="3" t="s">
        <v>5986</v>
      </c>
      <c r="J1007" s="3" t="s">
        <v>5999</v>
      </c>
      <c r="K1007" s="4" t="b">
        <f>J1007 = "blocking"</f>
        <v>1</v>
      </c>
      <c r="L1007" s="3" t="s">
        <v>1448</v>
      </c>
      <c r="M1007" s="3" t="s">
        <v>7064</v>
      </c>
      <c r="N1007" s="5">
        <v>46223.1297337963</v>
      </c>
      <c r="O1007" s="4" t="b">
        <f>L1007 = "PASS"</f>
        <v>1</v>
      </c>
      <c r="P1007" s="4" t="b">
        <f>L1007 = "FAIL"</f>
        <v>0</v>
      </c>
      <c r="Q1007" s="4" t="b">
        <f>AND(((P1007)=TRUE), ((K1007)=TRUE))</f>
        <v>0</v>
      </c>
      <c r="R1007" s="4" t="str">
        <f>IF(((O1007)=TRUE),  I1007,  "")</f>
        <v>suite-substrate</v>
      </c>
      <c r="S1007" s="4" t="str">
        <f>IF(((Q1007)=TRUE),  I1007,  "")</f>
      </c>
      <c r="T1007" s="3" t="s">
        <v>6001</v>
      </c>
    </row>
    <row r="1008">
      <c r="A1008" s="3" t="s">
        <v>7065</v>
      </c>
      <c r="B1008" s="4" t="str">
        <f>C1008 &amp; ": " &amp; D1008</f>
        <v>view-loads: vw_procedure_version_links</v>
      </c>
      <c r="C1008" s="3" t="s">
        <v>7032</v>
      </c>
      <c r="D1008" s="3" t="s">
        <v>7066</v>
      </c>
      <c r="E1008" s="3" t="s">
        <v>2851</v>
      </c>
      <c r="F1008" s="3"/>
      <c r="G1008" s="3" t="s">
        <v>7034</v>
      </c>
      <c r="H1008" s="3"/>
      <c r="I1008" s="3" t="s">
        <v>5986</v>
      </c>
      <c r="J1008" s="3" t="s">
        <v>5999</v>
      </c>
      <c r="K1008" s="4" t="b">
        <f>J1008 = "blocking"</f>
        <v>1</v>
      </c>
      <c r="L1008" s="3" t="s">
        <v>1448</v>
      </c>
      <c r="M1008" s="3" t="s">
        <v>7035</v>
      </c>
      <c r="N1008" s="5">
        <v>46223.1297337963</v>
      </c>
      <c r="O1008" s="4" t="b">
        <f>L1008 = "PASS"</f>
        <v>1</v>
      </c>
      <c r="P1008" s="4" t="b">
        <f>L1008 = "FAIL"</f>
        <v>0</v>
      </c>
      <c r="Q1008" s="4" t="b">
        <f>AND(((P1008)=TRUE), ((K1008)=TRUE))</f>
        <v>0</v>
      </c>
      <c r="R1008" s="4" t="str">
        <f>IF(((O1008)=TRUE),  I1008,  "")</f>
        <v>suite-substrate</v>
      </c>
      <c r="S1008" s="4" t="str">
        <f>IF(((Q1008)=TRUE),  I1008,  "")</f>
      </c>
      <c r="T1008" s="3" t="s">
        <v>6001</v>
      </c>
    </row>
    <row r="1009">
      <c r="A1009" s="3" t="s">
        <v>7067</v>
      </c>
      <c r="B1009" s="4" t="str">
        <f>C1009 &amp; ": " &amp; D1009</f>
        <v>view-loads: vw_procedure_status_changes</v>
      </c>
      <c r="C1009" s="3" t="s">
        <v>7032</v>
      </c>
      <c r="D1009" s="3" t="s">
        <v>7068</v>
      </c>
      <c r="E1009" s="3" t="s">
        <v>1775</v>
      </c>
      <c r="F1009" s="3"/>
      <c r="G1009" s="3" t="s">
        <v>7034</v>
      </c>
      <c r="H1009" s="3"/>
      <c r="I1009" s="3" t="s">
        <v>5986</v>
      </c>
      <c r="J1009" s="3" t="s">
        <v>5999</v>
      </c>
      <c r="K1009" s="4" t="b">
        <f>J1009 = "blocking"</f>
        <v>1</v>
      </c>
      <c r="L1009" s="3" t="s">
        <v>1448</v>
      </c>
      <c r="M1009" s="3" t="s">
        <v>7069</v>
      </c>
      <c r="N1009" s="5">
        <v>46223.1297337963</v>
      </c>
      <c r="O1009" s="4" t="b">
        <f>L1009 = "PASS"</f>
        <v>1</v>
      </c>
      <c r="P1009" s="4" t="b">
        <f>L1009 = "FAIL"</f>
        <v>0</v>
      </c>
      <c r="Q1009" s="4" t="b">
        <f>AND(((P1009)=TRUE), ((K1009)=TRUE))</f>
        <v>0</v>
      </c>
      <c r="R1009" s="4" t="str">
        <f>IF(((O1009)=TRUE),  I1009,  "")</f>
        <v>suite-substrate</v>
      </c>
      <c r="S1009" s="4" t="str">
        <f>IF(((Q1009)=TRUE),  I1009,  "")</f>
      </c>
      <c r="T1009" s="3" t="s">
        <v>6001</v>
      </c>
    </row>
    <row r="1010">
      <c r="A1010" s="3" t="s">
        <v>7070</v>
      </c>
      <c r="B1010" s="4" t="str">
        <f>C1010 &amp; ": " &amp; D1010</f>
        <v>view-loads: vw_steps</v>
      </c>
      <c r="C1010" s="3" t="s">
        <v>7032</v>
      </c>
      <c r="D1010" s="3" t="s">
        <v>7071</v>
      </c>
      <c r="E1010" s="3" t="s">
        <v>1778</v>
      </c>
      <c r="F1010" s="3"/>
      <c r="G1010" s="3" t="s">
        <v>7034</v>
      </c>
      <c r="H1010" s="3"/>
      <c r="I1010" s="3" t="s">
        <v>5986</v>
      </c>
      <c r="J1010" s="3" t="s">
        <v>5999</v>
      </c>
      <c r="K1010" s="4" t="b">
        <f>J1010 = "blocking"</f>
        <v>1</v>
      </c>
      <c r="L1010" s="3" t="s">
        <v>1448</v>
      </c>
      <c r="M1010" s="3" t="s">
        <v>7072</v>
      </c>
      <c r="N1010" s="5">
        <v>46223.1297337963</v>
      </c>
      <c r="O1010" s="4" t="b">
        <f>L1010 = "PASS"</f>
        <v>1</v>
      </c>
      <c r="P1010" s="4" t="b">
        <f>L1010 = "FAIL"</f>
        <v>0</v>
      </c>
      <c r="Q1010" s="4" t="b">
        <f>AND(((P1010)=TRUE), ((K1010)=TRUE))</f>
        <v>0</v>
      </c>
      <c r="R1010" s="4" t="str">
        <f>IF(((O1010)=TRUE),  I1010,  "")</f>
        <v>suite-substrate</v>
      </c>
      <c r="S1010" s="4" t="str">
        <f>IF(((Q1010)=TRUE),  I1010,  "")</f>
      </c>
      <c r="T1010" s="3" t="s">
        <v>6001</v>
      </c>
    </row>
    <row r="1011">
      <c r="A1011" s="3" t="s">
        <v>7073</v>
      </c>
      <c r="B1011" s="4" t="str">
        <f>C1011 &amp; ": " &amp; D1011</f>
        <v>view-loads: vw_step_transitions</v>
      </c>
      <c r="C1011" s="3" t="s">
        <v>7032</v>
      </c>
      <c r="D1011" s="3" t="s">
        <v>7074</v>
      </c>
      <c r="E1011" s="3" t="s">
        <v>1784</v>
      </c>
      <c r="F1011" s="3"/>
      <c r="G1011" s="3" t="s">
        <v>7034</v>
      </c>
      <c r="H1011" s="3"/>
      <c r="I1011" s="3" t="s">
        <v>5986</v>
      </c>
      <c r="J1011" s="3" t="s">
        <v>5999</v>
      </c>
      <c r="K1011" s="4" t="b">
        <f>J1011 = "blocking"</f>
        <v>1</v>
      </c>
      <c r="L1011" s="3" t="s">
        <v>1448</v>
      </c>
      <c r="M1011" s="3" t="s">
        <v>7075</v>
      </c>
      <c r="N1011" s="5">
        <v>46223.1297337963</v>
      </c>
      <c r="O1011" s="4" t="b">
        <f>L1011 = "PASS"</f>
        <v>1</v>
      </c>
      <c r="P1011" s="4" t="b">
        <f>L1011 = "FAIL"</f>
        <v>0</v>
      </c>
      <c r="Q1011" s="4" t="b">
        <f>AND(((P1011)=TRUE), ((K1011)=TRUE))</f>
        <v>0</v>
      </c>
      <c r="R1011" s="4" t="str">
        <f>IF(((O1011)=TRUE),  I1011,  "")</f>
        <v>suite-substrate</v>
      </c>
      <c r="S1011" s="4" t="str">
        <f>IF(((Q1011)=TRUE),  I1011,  "")</f>
      </c>
      <c r="T1011" s="3" t="s">
        <v>6001</v>
      </c>
    </row>
    <row r="1012">
      <c r="A1012" s="3" t="s">
        <v>7076</v>
      </c>
      <c r="B1012" s="4" t="str">
        <f>C1012 &amp; ": " &amp; D1012</f>
        <v>view-loads: vw_actions</v>
      </c>
      <c r="C1012" s="3" t="s">
        <v>7032</v>
      </c>
      <c r="D1012" s="3" t="s">
        <v>7077</v>
      </c>
      <c r="E1012" s="3" t="s">
        <v>1796</v>
      </c>
      <c r="F1012" s="3"/>
      <c r="G1012" s="3" t="s">
        <v>7034</v>
      </c>
      <c r="H1012" s="3"/>
      <c r="I1012" s="3" t="s">
        <v>5986</v>
      </c>
      <c r="J1012" s="3" t="s">
        <v>5999</v>
      </c>
      <c r="K1012" s="4" t="b">
        <f>J1012 = "blocking"</f>
        <v>1</v>
      </c>
      <c r="L1012" s="3" t="s">
        <v>1448</v>
      </c>
      <c r="M1012" s="3" t="s">
        <v>7078</v>
      </c>
      <c r="N1012" s="5">
        <v>46223.1297337963</v>
      </c>
      <c r="O1012" s="4" t="b">
        <f>L1012 = "PASS"</f>
        <v>1</v>
      </c>
      <c r="P1012" s="4" t="b">
        <f>L1012 = "FAIL"</f>
        <v>0</v>
      </c>
      <c r="Q1012" s="4" t="b">
        <f>AND(((P1012)=TRUE), ((K1012)=TRUE))</f>
        <v>0</v>
      </c>
      <c r="R1012" s="4" t="str">
        <f>IF(((O1012)=TRUE),  I1012,  "")</f>
        <v>suite-substrate</v>
      </c>
      <c r="S1012" s="4" t="str">
        <f>IF(((Q1012)=TRUE),  I1012,  "")</f>
      </c>
      <c r="T1012" s="3" t="s">
        <v>6001</v>
      </c>
    </row>
    <row r="1013">
      <c r="A1013" s="3" t="s">
        <v>7079</v>
      </c>
      <c r="B1013" s="4" t="str">
        <f>C1013 &amp; ": " &amp; D1013</f>
        <v>view-loads: vw_functions</v>
      </c>
      <c r="C1013" s="3" t="s">
        <v>7032</v>
      </c>
      <c r="D1013" s="3" t="s">
        <v>7080</v>
      </c>
      <c r="E1013" s="3" t="s">
        <v>1799</v>
      </c>
      <c r="F1013" s="3"/>
      <c r="G1013" s="3" t="s">
        <v>7034</v>
      </c>
      <c r="H1013" s="3"/>
      <c r="I1013" s="3" t="s">
        <v>5986</v>
      </c>
      <c r="J1013" s="3" t="s">
        <v>5999</v>
      </c>
      <c r="K1013" s="4" t="b">
        <f>J1013 = "blocking"</f>
        <v>1</v>
      </c>
      <c r="L1013" s="3" t="s">
        <v>1448</v>
      </c>
      <c r="M1013" s="3" t="s">
        <v>7081</v>
      </c>
      <c r="N1013" s="5">
        <v>46223.1297337963</v>
      </c>
      <c r="O1013" s="4" t="b">
        <f>L1013 = "PASS"</f>
        <v>1</v>
      </c>
      <c r="P1013" s="4" t="b">
        <f>L1013 = "FAIL"</f>
        <v>0</v>
      </c>
      <c r="Q1013" s="4" t="b">
        <f>AND(((P1013)=TRUE), ((K1013)=TRUE))</f>
        <v>0</v>
      </c>
      <c r="R1013" s="4" t="str">
        <f>IF(((O1013)=TRUE),  I1013,  "")</f>
        <v>suite-substrate</v>
      </c>
      <c r="S1013" s="4" t="str">
        <f>IF(((Q1013)=TRUE),  I1013,  "")</f>
      </c>
      <c r="T1013" s="3" t="s">
        <v>6001</v>
      </c>
    </row>
    <row r="1014">
      <c r="A1014" s="3" t="s">
        <v>7082</v>
      </c>
      <c r="B1014" s="4" t="str">
        <f>C1014 &amp; ": " &amp; D1014</f>
        <v>view-loads: vw_tools</v>
      </c>
      <c r="C1014" s="3" t="s">
        <v>7032</v>
      </c>
      <c r="D1014" s="3" t="s">
        <v>7083</v>
      </c>
      <c r="E1014" s="3" t="s">
        <v>1802</v>
      </c>
      <c r="F1014" s="3"/>
      <c r="G1014" s="3" t="s">
        <v>7034</v>
      </c>
      <c r="H1014" s="3"/>
      <c r="I1014" s="3" t="s">
        <v>5986</v>
      </c>
      <c r="J1014" s="3" t="s">
        <v>5999</v>
      </c>
      <c r="K1014" s="4" t="b">
        <f>J1014 = "blocking"</f>
        <v>1</v>
      </c>
      <c r="L1014" s="3" t="s">
        <v>1448</v>
      </c>
      <c r="M1014" s="3" t="s">
        <v>7081</v>
      </c>
      <c r="N1014" s="5">
        <v>46223.1297337963</v>
      </c>
      <c r="O1014" s="4" t="b">
        <f>L1014 = "PASS"</f>
        <v>1</v>
      </c>
      <c r="P1014" s="4" t="b">
        <f>L1014 = "FAIL"</f>
        <v>0</v>
      </c>
      <c r="Q1014" s="4" t="b">
        <f>AND(((P1014)=TRUE), ((K1014)=TRUE))</f>
        <v>0</v>
      </c>
      <c r="R1014" s="4" t="str">
        <f>IF(((O1014)=TRUE),  I1014,  "")</f>
        <v>suite-substrate</v>
      </c>
      <c r="S1014" s="4" t="str">
        <f>IF(((Q1014)=TRUE),  I1014,  "")</f>
      </c>
      <c r="T1014" s="3" t="s">
        <v>6001</v>
      </c>
    </row>
    <row r="1015">
      <c r="A1015" s="3" t="s">
        <v>7084</v>
      </c>
      <c r="B1015" s="4" t="str">
        <f>C1015 &amp; ": " &amp; D1015</f>
        <v>view-loads: vw_step_actions</v>
      </c>
      <c r="C1015" s="3" t="s">
        <v>7032</v>
      </c>
      <c r="D1015" s="3" t="s">
        <v>7085</v>
      </c>
      <c r="E1015" s="3" t="s">
        <v>3028</v>
      </c>
      <c r="F1015" s="3"/>
      <c r="G1015" s="3" t="s">
        <v>7034</v>
      </c>
      <c r="H1015" s="3"/>
      <c r="I1015" s="3" t="s">
        <v>5986</v>
      </c>
      <c r="J1015" s="3" t="s">
        <v>5999</v>
      </c>
      <c r="K1015" s="4" t="b">
        <f>J1015 = "blocking"</f>
        <v>1</v>
      </c>
      <c r="L1015" s="3" t="s">
        <v>1448</v>
      </c>
      <c r="M1015" s="3" t="s">
        <v>7078</v>
      </c>
      <c r="N1015" s="5">
        <v>46223.1297337963</v>
      </c>
      <c r="O1015" s="4" t="b">
        <f>L1015 = "PASS"</f>
        <v>1</v>
      </c>
      <c r="P1015" s="4" t="b">
        <f>L1015 = "FAIL"</f>
        <v>0</v>
      </c>
      <c r="Q1015" s="4" t="b">
        <f>AND(((P1015)=TRUE), ((K1015)=TRUE))</f>
        <v>0</v>
      </c>
      <c r="R1015" s="4" t="str">
        <f>IF(((O1015)=TRUE),  I1015,  "")</f>
        <v>suite-substrate</v>
      </c>
      <c r="S1015" s="4" t="str">
        <f>IF(((Q1015)=TRUE),  I1015,  "")</f>
      </c>
      <c r="T1015" s="3" t="s">
        <v>6001</v>
      </c>
    </row>
    <row r="1016">
      <c r="A1016" s="3" t="s">
        <v>7086</v>
      </c>
      <c r="B1016" s="4" t="str">
        <f>C1016 &amp; ": " &amp; D1016</f>
        <v>view-loads: vw_step_functions</v>
      </c>
      <c r="C1016" s="3" t="s">
        <v>7032</v>
      </c>
      <c r="D1016" s="3" t="s">
        <v>7087</v>
      </c>
      <c r="E1016" s="3" t="s">
        <v>3034</v>
      </c>
      <c r="F1016" s="3"/>
      <c r="G1016" s="3" t="s">
        <v>7034</v>
      </c>
      <c r="H1016" s="3"/>
      <c r="I1016" s="3" t="s">
        <v>5986</v>
      </c>
      <c r="J1016" s="3" t="s">
        <v>5999</v>
      </c>
      <c r="K1016" s="4" t="b">
        <f>J1016 = "blocking"</f>
        <v>1</v>
      </c>
      <c r="L1016" s="3" t="s">
        <v>1448</v>
      </c>
      <c r="M1016" s="3" t="s">
        <v>7081</v>
      </c>
      <c r="N1016" s="5">
        <v>46223.1297337963</v>
      </c>
      <c r="O1016" s="4" t="b">
        <f>L1016 = "PASS"</f>
        <v>1</v>
      </c>
      <c r="P1016" s="4" t="b">
        <f>L1016 = "FAIL"</f>
        <v>0</v>
      </c>
      <c r="Q1016" s="4" t="b">
        <f>AND(((P1016)=TRUE), ((K1016)=TRUE))</f>
        <v>0</v>
      </c>
      <c r="R1016" s="4" t="str">
        <f>IF(((O1016)=TRUE),  I1016,  "")</f>
        <v>suite-substrate</v>
      </c>
      <c r="S1016" s="4" t="str">
        <f>IF(((Q1016)=TRUE),  I1016,  "")</f>
      </c>
      <c r="T1016" s="3" t="s">
        <v>6001</v>
      </c>
    </row>
    <row r="1017">
      <c r="A1017" s="3" t="s">
        <v>7088</v>
      </c>
      <c r="B1017" s="4" t="str">
        <f>C1017 &amp; ": " &amp; D1017</f>
        <v>view-loads: vw_step_tools</v>
      </c>
      <c r="C1017" s="3" t="s">
        <v>7032</v>
      </c>
      <c r="D1017" s="3" t="s">
        <v>7089</v>
      </c>
      <c r="E1017" s="3" t="s">
        <v>3040</v>
      </c>
      <c r="F1017" s="3"/>
      <c r="G1017" s="3" t="s">
        <v>7034</v>
      </c>
      <c r="H1017" s="3"/>
      <c r="I1017" s="3" t="s">
        <v>5986</v>
      </c>
      <c r="J1017" s="3" t="s">
        <v>5999</v>
      </c>
      <c r="K1017" s="4" t="b">
        <f>J1017 = "blocking"</f>
        <v>1</v>
      </c>
      <c r="L1017" s="3" t="s">
        <v>1448</v>
      </c>
      <c r="M1017" s="3" t="s">
        <v>7046</v>
      </c>
      <c r="N1017" s="5">
        <v>46223.1297337963</v>
      </c>
      <c r="O1017" s="4" t="b">
        <f>L1017 = "PASS"</f>
        <v>1</v>
      </c>
      <c r="P1017" s="4" t="b">
        <f>L1017 = "FAIL"</f>
        <v>0</v>
      </c>
      <c r="Q1017" s="4" t="b">
        <f>AND(((P1017)=TRUE), ((K1017)=TRUE))</f>
        <v>0</v>
      </c>
      <c r="R1017" s="4" t="str">
        <f>IF(((O1017)=TRUE),  I1017,  "")</f>
        <v>suite-substrate</v>
      </c>
      <c r="S1017" s="4" t="str">
        <f>IF(((Q1017)=TRUE),  I1017,  "")</f>
      </c>
      <c r="T1017" s="3" t="s">
        <v>6001</v>
      </c>
    </row>
    <row r="1018">
      <c r="A1018" s="3" t="s">
        <v>7090</v>
      </c>
      <c r="B1018" s="4" t="str">
        <f>C1018 &amp; ": " &amp; D1018</f>
        <v>view-loads: vw_requirements</v>
      </c>
      <c r="C1018" s="3" t="s">
        <v>7032</v>
      </c>
      <c r="D1018" s="3" t="s">
        <v>7091</v>
      </c>
      <c r="E1018" s="3" t="s">
        <v>1805</v>
      </c>
      <c r="F1018" s="3"/>
      <c r="G1018" s="3" t="s">
        <v>7034</v>
      </c>
      <c r="H1018" s="3"/>
      <c r="I1018" s="3" t="s">
        <v>5986</v>
      </c>
      <c r="J1018" s="3" t="s">
        <v>5999</v>
      </c>
      <c r="K1018" s="4" t="b">
        <f>J1018 = "blocking"</f>
        <v>1</v>
      </c>
      <c r="L1018" s="3" t="s">
        <v>1448</v>
      </c>
      <c r="M1018" s="3" t="s">
        <v>7052</v>
      </c>
      <c r="N1018" s="5">
        <v>46223.1297337963</v>
      </c>
      <c r="O1018" s="4" t="b">
        <f>L1018 = "PASS"</f>
        <v>1</v>
      </c>
      <c r="P1018" s="4" t="b">
        <f>L1018 = "FAIL"</f>
        <v>0</v>
      </c>
      <c r="Q1018" s="4" t="b">
        <f>AND(((P1018)=TRUE), ((K1018)=TRUE))</f>
        <v>0</v>
      </c>
      <c r="R1018" s="4" t="str">
        <f>IF(((O1018)=TRUE),  I1018,  "")</f>
        <v>suite-substrate</v>
      </c>
      <c r="S1018" s="4" t="str">
        <f>IF(((Q1018)=TRUE),  I1018,  "")</f>
      </c>
      <c r="T1018" s="3" t="s">
        <v>6001</v>
      </c>
    </row>
    <row r="1019">
      <c r="A1019" s="3" t="s">
        <v>7092</v>
      </c>
      <c r="B1019" s="4" t="str">
        <f>C1019 &amp; ": " &amp; D1019</f>
        <v>view-loads: vw_step_requirements</v>
      </c>
      <c r="C1019" s="3" t="s">
        <v>7032</v>
      </c>
      <c r="D1019" s="3" t="s">
        <v>7093</v>
      </c>
      <c r="E1019" s="3" t="s">
        <v>3119</v>
      </c>
      <c r="F1019" s="3"/>
      <c r="G1019" s="3" t="s">
        <v>7034</v>
      </c>
      <c r="H1019" s="3"/>
      <c r="I1019" s="3" t="s">
        <v>5986</v>
      </c>
      <c r="J1019" s="3" t="s">
        <v>5999</v>
      </c>
      <c r="K1019" s="4" t="b">
        <f>J1019 = "blocking"</f>
        <v>1</v>
      </c>
      <c r="L1019" s="3" t="s">
        <v>1448</v>
      </c>
      <c r="M1019" s="3" t="s">
        <v>7094</v>
      </c>
      <c r="N1019" s="5">
        <v>46223.1297337963</v>
      </c>
      <c r="O1019" s="4" t="b">
        <f>L1019 = "PASS"</f>
        <v>1</v>
      </c>
      <c r="P1019" s="4" t="b">
        <f>L1019 = "FAIL"</f>
        <v>0</v>
      </c>
      <c r="Q1019" s="4" t="b">
        <f>AND(((P1019)=TRUE), ((K1019)=TRUE))</f>
        <v>0</v>
      </c>
      <c r="R1019" s="4" t="str">
        <f>IF(((O1019)=TRUE),  I1019,  "")</f>
        <v>suite-substrate</v>
      </c>
      <c r="S1019" s="4" t="str">
        <f>IF(((Q1019)=TRUE),  I1019,  "")</f>
      </c>
      <c r="T1019" s="3" t="s">
        <v>6001</v>
      </c>
    </row>
    <row r="1020">
      <c r="A1020" s="3" t="s">
        <v>7095</v>
      </c>
      <c r="B1020" s="4" t="str">
        <f>C1020 &amp; ": " &amp; D1020</f>
        <v>view-loads: vw_step_verifications</v>
      </c>
      <c r="C1020" s="3" t="s">
        <v>7032</v>
      </c>
      <c r="D1020" s="3" t="s">
        <v>7096</v>
      </c>
      <c r="E1020" s="3" t="s">
        <v>1808</v>
      </c>
      <c r="F1020" s="3"/>
      <c r="G1020" s="3" t="s">
        <v>7034</v>
      </c>
      <c r="H1020" s="3"/>
      <c r="I1020" s="3" t="s">
        <v>5986</v>
      </c>
      <c r="J1020" s="3" t="s">
        <v>5999</v>
      </c>
      <c r="K1020" s="4" t="b">
        <f>J1020 = "blocking"</f>
        <v>1</v>
      </c>
      <c r="L1020" s="3" t="s">
        <v>1448</v>
      </c>
      <c r="M1020" s="3" t="s">
        <v>7038</v>
      </c>
      <c r="N1020" s="5">
        <v>46223.1297337963</v>
      </c>
      <c r="O1020" s="4" t="b">
        <f>L1020 = "PASS"</f>
        <v>1</v>
      </c>
      <c r="P1020" s="4" t="b">
        <f>L1020 = "FAIL"</f>
        <v>0</v>
      </c>
      <c r="Q1020" s="4" t="b">
        <f>AND(((P1020)=TRUE), ((K1020)=TRUE))</f>
        <v>0</v>
      </c>
      <c r="R1020" s="4" t="str">
        <f>IF(((O1020)=TRUE),  I1020,  "")</f>
        <v>suite-substrate</v>
      </c>
      <c r="S1020" s="4" t="str">
        <f>IF(((Q1020)=TRUE),  I1020,  "")</f>
      </c>
      <c r="T1020" s="3" t="s">
        <v>6001</v>
      </c>
    </row>
    <row r="1021">
      <c r="A1021" s="3" t="s">
        <v>7097</v>
      </c>
      <c r="B1021" s="4" t="str">
        <f>C1021 &amp; ": " &amp; D1021</f>
        <v>view-loads: vw_rationales</v>
      </c>
      <c r="C1021" s="3" t="s">
        <v>7032</v>
      </c>
      <c r="D1021" s="3" t="s">
        <v>7098</v>
      </c>
      <c r="E1021" s="3" t="s">
        <v>3151</v>
      </c>
      <c r="F1021" s="3"/>
      <c r="G1021" s="3" t="s">
        <v>7034</v>
      </c>
      <c r="H1021" s="3"/>
      <c r="I1021" s="3" t="s">
        <v>5986</v>
      </c>
      <c r="J1021" s="3" t="s">
        <v>5999</v>
      </c>
      <c r="K1021" s="4" t="b">
        <f>J1021 = "blocking"</f>
        <v>1</v>
      </c>
      <c r="L1021" s="3" t="s">
        <v>1448</v>
      </c>
      <c r="M1021" s="3" t="s">
        <v>7043</v>
      </c>
      <c r="N1021" s="5">
        <v>46223.1297337963</v>
      </c>
      <c r="O1021" s="4" t="b">
        <f>L1021 = "PASS"</f>
        <v>1</v>
      </c>
      <c r="P1021" s="4" t="b">
        <f>L1021 = "FAIL"</f>
        <v>0</v>
      </c>
      <c r="Q1021" s="4" t="b">
        <f>AND(((P1021)=TRUE), ((K1021)=TRUE))</f>
        <v>0</v>
      </c>
      <c r="R1021" s="4" t="str">
        <f>IF(((O1021)=TRUE),  I1021,  "")</f>
        <v>suite-substrate</v>
      </c>
      <c r="S1021" s="4" t="str">
        <f>IF(((Q1021)=TRUE),  I1021,  "")</f>
      </c>
      <c r="T1021" s="3" t="s">
        <v>6001</v>
      </c>
    </row>
    <row r="1022">
      <c r="A1022" s="3" t="s">
        <v>7099</v>
      </c>
      <c r="B1022" s="4" t="str">
        <f>C1022 &amp; ": " &amp; D1022</f>
        <v>view-loads: vw_exceptions</v>
      </c>
      <c r="C1022" s="3" t="s">
        <v>7032</v>
      </c>
      <c r="D1022" s="3" t="s">
        <v>7100</v>
      </c>
      <c r="E1022" s="3" t="s">
        <v>3161</v>
      </c>
      <c r="F1022" s="3"/>
      <c r="G1022" s="3" t="s">
        <v>7034</v>
      </c>
      <c r="H1022" s="3"/>
      <c r="I1022" s="3" t="s">
        <v>5986</v>
      </c>
      <c r="J1022" s="3" t="s">
        <v>5999</v>
      </c>
      <c r="K1022" s="4" t="b">
        <f>J1022 = "blocking"</f>
        <v>1</v>
      </c>
      <c r="L1022" s="3" t="s">
        <v>1448</v>
      </c>
      <c r="M1022" s="3" t="s">
        <v>7043</v>
      </c>
      <c r="N1022" s="5">
        <v>46223.1297337963</v>
      </c>
      <c r="O1022" s="4" t="b">
        <f>L1022 = "PASS"</f>
        <v>1</v>
      </c>
      <c r="P1022" s="4" t="b">
        <f>L1022 = "FAIL"</f>
        <v>0</v>
      </c>
      <c r="Q1022" s="4" t="b">
        <f>AND(((P1022)=TRUE), ((K1022)=TRUE))</f>
        <v>0</v>
      </c>
      <c r="R1022" s="4" t="str">
        <f>IF(((O1022)=TRUE),  I1022,  "")</f>
        <v>suite-substrate</v>
      </c>
      <c r="S1022" s="4" t="str">
        <f>IF(((Q1022)=TRUE),  I1022,  "")</f>
      </c>
      <c r="T1022" s="3" t="s">
        <v>6001</v>
      </c>
    </row>
    <row r="1023">
      <c r="A1023" s="3" t="s">
        <v>7101</v>
      </c>
      <c r="B1023" s="4" t="str">
        <f>C1023 &amp; ": " &amp; D1023</f>
        <v>view-loads: vw_resources</v>
      </c>
      <c r="C1023" s="3" t="s">
        <v>7032</v>
      </c>
      <c r="D1023" s="3" t="s">
        <v>7102</v>
      </c>
      <c r="E1023" s="3" t="s">
        <v>1811</v>
      </c>
      <c r="F1023" s="3"/>
      <c r="G1023" s="3" t="s">
        <v>7034</v>
      </c>
      <c r="H1023" s="3"/>
      <c r="I1023" s="3" t="s">
        <v>5986</v>
      </c>
      <c r="J1023" s="3" t="s">
        <v>5999</v>
      </c>
      <c r="K1023" s="4" t="b">
        <f>J1023 = "blocking"</f>
        <v>1</v>
      </c>
      <c r="L1023" s="3" t="s">
        <v>1448</v>
      </c>
      <c r="M1023" s="3" t="s">
        <v>7081</v>
      </c>
      <c r="N1023" s="5">
        <v>46223.1297337963</v>
      </c>
      <c r="O1023" s="4" t="b">
        <f>L1023 = "PASS"</f>
        <v>1</v>
      </c>
      <c r="P1023" s="4" t="b">
        <f>L1023 = "FAIL"</f>
        <v>0</v>
      </c>
      <c r="Q1023" s="4" t="b">
        <f>AND(((P1023)=TRUE), ((K1023)=TRUE))</f>
        <v>0</v>
      </c>
      <c r="R1023" s="4" t="str">
        <f>IF(((O1023)=TRUE),  I1023,  "")</f>
        <v>suite-substrate</v>
      </c>
      <c r="S1023" s="4" t="str">
        <f>IF(((Q1023)=TRUE),  I1023,  "")</f>
      </c>
      <c r="T1023" s="3" t="s">
        <v>6001</v>
      </c>
    </row>
    <row r="1024">
      <c r="A1024" s="3" t="s">
        <v>7103</v>
      </c>
      <c r="B1024" s="4" t="str">
        <f>C1024 &amp; ": " &amp; D1024</f>
        <v>view-loads: vw_procedure_resources</v>
      </c>
      <c r="C1024" s="3" t="s">
        <v>7032</v>
      </c>
      <c r="D1024" s="3" t="s">
        <v>7104</v>
      </c>
      <c r="E1024" s="3" t="s">
        <v>3187</v>
      </c>
      <c r="F1024" s="3"/>
      <c r="G1024" s="3" t="s">
        <v>7034</v>
      </c>
      <c r="H1024" s="3"/>
      <c r="I1024" s="3" t="s">
        <v>5986</v>
      </c>
      <c r="J1024" s="3" t="s">
        <v>5999</v>
      </c>
      <c r="K1024" s="4" t="b">
        <f>J1024 = "blocking"</f>
        <v>1</v>
      </c>
      <c r="L1024" s="3" t="s">
        <v>1448</v>
      </c>
      <c r="M1024" s="3" t="s">
        <v>7081</v>
      </c>
      <c r="N1024" s="5">
        <v>46223.1297337963</v>
      </c>
      <c r="O1024" s="4" t="b">
        <f>L1024 = "PASS"</f>
        <v>1</v>
      </c>
      <c r="P1024" s="4" t="b">
        <f>L1024 = "FAIL"</f>
        <v>0</v>
      </c>
      <c r="Q1024" s="4" t="b">
        <f>AND(((P1024)=TRUE), ((K1024)=TRUE))</f>
        <v>0</v>
      </c>
      <c r="R1024" s="4" t="str">
        <f>IF(((O1024)=TRUE),  I1024,  "")</f>
        <v>suite-substrate</v>
      </c>
      <c r="S1024" s="4" t="str">
        <f>IF(((Q1024)=TRUE),  I1024,  "")</f>
      </c>
      <c r="T1024" s="3" t="s">
        <v>6001</v>
      </c>
    </row>
    <row r="1025">
      <c r="A1025" s="3" t="s">
        <v>7105</v>
      </c>
      <c r="B1025" s="4" t="str">
        <f>C1025 &amp; ": " &amp; D1025</f>
        <v>view-loads: vw_elicitation_sessions</v>
      </c>
      <c r="C1025" s="3" t="s">
        <v>7032</v>
      </c>
      <c r="D1025" s="3" t="s">
        <v>7106</v>
      </c>
      <c r="E1025" s="3" t="s">
        <v>1855</v>
      </c>
      <c r="F1025" s="3"/>
      <c r="G1025" s="3" t="s">
        <v>7034</v>
      </c>
      <c r="H1025" s="3"/>
      <c r="I1025" s="3" t="s">
        <v>5986</v>
      </c>
      <c r="J1025" s="3" t="s">
        <v>5999</v>
      </c>
      <c r="K1025" s="4" t="b">
        <f>J1025 = "blocking"</f>
        <v>1</v>
      </c>
      <c r="L1025" s="3" t="s">
        <v>1448</v>
      </c>
      <c r="M1025" s="3" t="s">
        <v>7064</v>
      </c>
      <c r="N1025" s="5">
        <v>46223.1297337963</v>
      </c>
      <c r="O1025" s="4" t="b">
        <f>L1025 = "PASS"</f>
        <v>1</v>
      </c>
      <c r="P1025" s="4" t="b">
        <f>L1025 = "FAIL"</f>
        <v>0</v>
      </c>
      <c r="Q1025" s="4" t="b">
        <f>AND(((P1025)=TRUE), ((K1025)=TRUE))</f>
        <v>0</v>
      </c>
      <c r="R1025" s="4" t="str">
        <f>IF(((O1025)=TRUE),  I1025,  "")</f>
        <v>suite-substrate</v>
      </c>
      <c r="S1025" s="4" t="str">
        <f>IF(((Q1025)=TRUE),  I1025,  "")</f>
      </c>
      <c r="T1025" s="3" t="s">
        <v>6001</v>
      </c>
    </row>
    <row r="1026">
      <c r="A1026" s="3" t="s">
        <v>7107</v>
      </c>
      <c r="B1026" s="4" t="str">
        <f>C1026 &amp; ": " &amp; D1026</f>
        <v>view-loads: vw_knowledge_fragments</v>
      </c>
      <c r="C1026" s="3" t="s">
        <v>7032</v>
      </c>
      <c r="D1026" s="3" t="s">
        <v>7108</v>
      </c>
      <c r="E1026" s="3" t="s">
        <v>1851</v>
      </c>
      <c r="F1026" s="3"/>
      <c r="G1026" s="3" t="s">
        <v>7034</v>
      </c>
      <c r="H1026" s="3"/>
      <c r="I1026" s="3" t="s">
        <v>5986</v>
      </c>
      <c r="J1026" s="3" t="s">
        <v>5999</v>
      </c>
      <c r="K1026" s="4" t="b">
        <f>J1026 = "blocking"</f>
        <v>1</v>
      </c>
      <c r="L1026" s="3" t="s">
        <v>1448</v>
      </c>
      <c r="M1026" s="3" t="s">
        <v>7109</v>
      </c>
      <c r="N1026" s="5">
        <v>46223.1297337963</v>
      </c>
      <c r="O1026" s="4" t="b">
        <f>L1026 = "PASS"</f>
        <v>1</v>
      </c>
      <c r="P1026" s="4" t="b">
        <f>L1026 = "FAIL"</f>
        <v>0</v>
      </c>
      <c r="Q1026" s="4" t="b">
        <f>AND(((P1026)=TRUE), ((K1026)=TRUE))</f>
        <v>0</v>
      </c>
      <c r="R1026" s="4" t="str">
        <f>IF(((O1026)=TRUE),  I1026,  "")</f>
        <v>suite-substrate</v>
      </c>
      <c r="S1026" s="4" t="str">
        <f>IF(((Q1026)=TRUE),  I1026,  "")</f>
      </c>
      <c r="T1026" s="3" t="s">
        <v>6001</v>
      </c>
    </row>
    <row r="1027">
      <c r="A1027" s="3" t="s">
        <v>7110</v>
      </c>
      <c r="B1027" s="4" t="str">
        <f>C1027 &amp; ": " &amp; D1027</f>
        <v>view-loads: vw_knowledge_gaps</v>
      </c>
      <c r="C1027" s="3" t="s">
        <v>7032</v>
      </c>
      <c r="D1027" s="3" t="s">
        <v>7111</v>
      </c>
      <c r="E1027" s="3" t="s">
        <v>3368</v>
      </c>
      <c r="F1027" s="3"/>
      <c r="G1027" s="3" t="s">
        <v>7034</v>
      </c>
      <c r="H1027" s="3"/>
      <c r="I1027" s="3" t="s">
        <v>5986</v>
      </c>
      <c r="J1027" s="3" t="s">
        <v>5999</v>
      </c>
      <c r="K1027" s="4" t="b">
        <f>J1027 = "blocking"</f>
        <v>1</v>
      </c>
      <c r="L1027" s="3" t="s">
        <v>1448</v>
      </c>
      <c r="M1027" s="3" t="s">
        <v>7081</v>
      </c>
      <c r="N1027" s="5">
        <v>46223.1297337963</v>
      </c>
      <c r="O1027" s="4" t="b">
        <f>L1027 = "PASS"</f>
        <v>1</v>
      </c>
      <c r="P1027" s="4" t="b">
        <f>L1027 = "FAIL"</f>
        <v>0</v>
      </c>
      <c r="Q1027" s="4" t="b">
        <f>AND(((P1027)=TRUE), ((K1027)=TRUE))</f>
        <v>0</v>
      </c>
      <c r="R1027" s="4" t="str">
        <f>IF(((O1027)=TRUE),  I1027,  "")</f>
        <v>suite-substrate</v>
      </c>
      <c r="S1027" s="4" t="str">
        <f>IF(((Q1027)=TRUE),  I1027,  "")</f>
      </c>
      <c r="T1027" s="3" t="s">
        <v>6001</v>
      </c>
    </row>
    <row r="1028">
      <c r="A1028" s="3" t="s">
        <v>7112</v>
      </c>
      <c r="B1028" s="4" t="str">
        <f>C1028 &amp; ": " &amp; D1028</f>
        <v>view-loads: vw_f_a_qs</v>
      </c>
      <c r="C1028" s="3" t="s">
        <v>7032</v>
      </c>
      <c r="D1028" s="3" t="s">
        <v>7113</v>
      </c>
      <c r="E1028" s="3" t="s">
        <v>1845</v>
      </c>
      <c r="F1028" s="3"/>
      <c r="G1028" s="3" t="s">
        <v>7034</v>
      </c>
      <c r="H1028" s="3"/>
      <c r="I1028" s="3" t="s">
        <v>5986</v>
      </c>
      <c r="J1028" s="3" t="s">
        <v>5999</v>
      </c>
      <c r="K1028" s="4" t="b">
        <f>J1028 = "blocking"</f>
        <v>1</v>
      </c>
      <c r="L1028" s="3" t="s">
        <v>1448</v>
      </c>
      <c r="M1028" s="3" t="s">
        <v>7064</v>
      </c>
      <c r="N1028" s="5">
        <v>46223.1297337963</v>
      </c>
      <c r="O1028" s="4" t="b">
        <f>L1028 = "PASS"</f>
        <v>1</v>
      </c>
      <c r="P1028" s="4" t="b">
        <f>L1028 = "FAIL"</f>
        <v>0</v>
      </c>
      <c r="Q1028" s="4" t="b">
        <f>AND(((P1028)=TRUE), ((K1028)=TRUE))</f>
        <v>0</v>
      </c>
      <c r="R1028" s="4" t="str">
        <f>IF(((O1028)=TRUE),  I1028,  "")</f>
        <v>suite-substrate</v>
      </c>
      <c r="S1028" s="4" t="str">
        <f>IF(((Q1028)=TRUE),  I1028,  "")</f>
      </c>
      <c r="T1028" s="3" t="s">
        <v>6001</v>
      </c>
    </row>
    <row r="1029">
      <c r="A1029" s="3" t="s">
        <v>7114</v>
      </c>
      <c r="B1029" s="4" t="str">
        <f>C1029 &amp; ": " &amp; D1029</f>
        <v>view-loads: vw_explanations</v>
      </c>
      <c r="C1029" s="3" t="s">
        <v>7032</v>
      </c>
      <c r="D1029" s="3" t="s">
        <v>7115</v>
      </c>
      <c r="E1029" s="3" t="s">
        <v>1848</v>
      </c>
      <c r="F1029" s="3"/>
      <c r="G1029" s="3" t="s">
        <v>7034</v>
      </c>
      <c r="H1029" s="3"/>
      <c r="I1029" s="3" t="s">
        <v>5986</v>
      </c>
      <c r="J1029" s="3" t="s">
        <v>5999</v>
      </c>
      <c r="K1029" s="4" t="b">
        <f>J1029 = "blocking"</f>
        <v>1</v>
      </c>
      <c r="L1029" s="3" t="s">
        <v>1448</v>
      </c>
      <c r="M1029" s="3" t="s">
        <v>7055</v>
      </c>
      <c r="N1029" s="5">
        <v>46223.1297337963</v>
      </c>
      <c r="O1029" s="4" t="b">
        <f>L1029 = "PASS"</f>
        <v>1</v>
      </c>
      <c r="P1029" s="4" t="b">
        <f>L1029 = "FAIL"</f>
        <v>0</v>
      </c>
      <c r="Q1029" s="4" t="b">
        <f>AND(((P1029)=TRUE), ((K1029)=TRUE))</f>
        <v>0</v>
      </c>
      <c r="R1029" s="4" t="str">
        <f>IF(((O1029)=TRUE),  I1029,  "")</f>
        <v>suite-substrate</v>
      </c>
      <c r="S1029" s="4" t="str">
        <f>IF(((Q1029)=TRUE),  I1029,  "")</f>
      </c>
      <c r="T1029" s="3" t="s">
        <v>6001</v>
      </c>
    </row>
    <row r="1030">
      <c r="A1030" s="3" t="s">
        <v>7116</v>
      </c>
      <c r="B1030" s="4" t="str">
        <f>C1030 &amp; ": " &amp; D1030</f>
        <v>view-loads: vw_procedure_executions</v>
      </c>
      <c r="C1030" s="3" t="s">
        <v>7032</v>
      </c>
      <c r="D1030" s="3" t="s">
        <v>7117</v>
      </c>
      <c r="E1030" s="3" t="s">
        <v>1824</v>
      </c>
      <c r="F1030" s="3"/>
      <c r="G1030" s="3" t="s">
        <v>7034</v>
      </c>
      <c r="H1030" s="3"/>
      <c r="I1030" s="3" t="s">
        <v>5986</v>
      </c>
      <c r="J1030" s="3" t="s">
        <v>5999</v>
      </c>
      <c r="K1030" s="4" t="b">
        <f>J1030 = "blocking"</f>
        <v>1</v>
      </c>
      <c r="L1030" s="3" t="s">
        <v>1448</v>
      </c>
      <c r="M1030" s="3" t="s">
        <v>7055</v>
      </c>
      <c r="N1030" s="5">
        <v>46223.1297337963</v>
      </c>
      <c r="O1030" s="4" t="b">
        <f>L1030 = "PASS"</f>
        <v>1</v>
      </c>
      <c r="P1030" s="4" t="b">
        <f>L1030 = "FAIL"</f>
        <v>0</v>
      </c>
      <c r="Q1030" s="4" t="b">
        <f>AND(((P1030)=TRUE), ((K1030)=TRUE))</f>
        <v>0</v>
      </c>
      <c r="R1030" s="4" t="str">
        <f>IF(((O1030)=TRUE),  I1030,  "")</f>
        <v>suite-substrate</v>
      </c>
      <c r="S1030" s="4" t="str">
        <f>IF(((Q1030)=TRUE),  I1030,  "")</f>
      </c>
      <c r="T1030" s="3" t="s">
        <v>6001</v>
      </c>
    </row>
    <row r="1031">
      <c r="A1031" s="3" t="s">
        <v>7118</v>
      </c>
      <c r="B1031" s="4" t="str">
        <f>C1031 &amp; ": " &amp; D1031</f>
        <v>view-loads: vw_step_executions</v>
      </c>
      <c r="C1031" s="3" t="s">
        <v>7032</v>
      </c>
      <c r="D1031" s="3" t="s">
        <v>7119</v>
      </c>
      <c r="E1031" s="3" t="s">
        <v>1827</v>
      </c>
      <c r="F1031" s="3"/>
      <c r="G1031" s="3" t="s">
        <v>7034</v>
      </c>
      <c r="H1031" s="3"/>
      <c r="I1031" s="3" t="s">
        <v>5986</v>
      </c>
      <c r="J1031" s="3" t="s">
        <v>5999</v>
      </c>
      <c r="K1031" s="4" t="b">
        <f>J1031 = "blocking"</f>
        <v>1</v>
      </c>
      <c r="L1031" s="3" t="s">
        <v>1448</v>
      </c>
      <c r="M1031" s="3" t="s">
        <v>7049</v>
      </c>
      <c r="N1031" s="5">
        <v>46223.1297337963</v>
      </c>
      <c r="O1031" s="4" t="b">
        <f>L1031 = "PASS"</f>
        <v>1</v>
      </c>
      <c r="P1031" s="4" t="b">
        <f>L1031 = "FAIL"</f>
        <v>0</v>
      </c>
      <c r="Q1031" s="4" t="b">
        <f>AND(((P1031)=TRUE), ((K1031)=TRUE))</f>
        <v>0</v>
      </c>
      <c r="R1031" s="4" t="str">
        <f>IF(((O1031)=TRUE),  I1031,  "")</f>
        <v>suite-substrate</v>
      </c>
      <c r="S1031" s="4" t="str">
        <f>IF(((Q1031)=TRUE),  I1031,  "")</f>
      </c>
      <c r="T1031" s="3" t="s">
        <v>6001</v>
      </c>
    </row>
    <row r="1032">
      <c r="A1032" s="3" t="s">
        <v>7120</v>
      </c>
      <c r="B1032" s="4" t="str">
        <f>C1032 &amp; ": " &amp; D1032</f>
        <v>view-loads: vw_requirement_satisfactions</v>
      </c>
      <c r="C1032" s="3" t="s">
        <v>7032</v>
      </c>
      <c r="D1032" s="3" t="s">
        <v>7121</v>
      </c>
      <c r="E1032" s="3" t="s">
        <v>1830</v>
      </c>
      <c r="F1032" s="3"/>
      <c r="G1032" s="3" t="s">
        <v>7034</v>
      </c>
      <c r="H1032" s="3"/>
      <c r="I1032" s="3" t="s">
        <v>5986</v>
      </c>
      <c r="J1032" s="3" t="s">
        <v>5999</v>
      </c>
      <c r="K1032" s="4" t="b">
        <f>J1032 = "blocking"</f>
        <v>1</v>
      </c>
      <c r="L1032" s="3" t="s">
        <v>1448</v>
      </c>
      <c r="M1032" s="3" t="s">
        <v>7081</v>
      </c>
      <c r="N1032" s="5">
        <v>46223.1297337963</v>
      </c>
      <c r="O1032" s="4" t="b">
        <f>L1032 = "PASS"</f>
        <v>1</v>
      </c>
      <c r="P1032" s="4" t="b">
        <f>L1032 = "FAIL"</f>
        <v>0</v>
      </c>
      <c r="Q1032" s="4" t="b">
        <f>AND(((P1032)=TRUE), ((K1032)=TRUE))</f>
        <v>0</v>
      </c>
      <c r="R1032" s="4" t="str">
        <f>IF(((O1032)=TRUE),  I1032,  "")</f>
        <v>suite-substrate</v>
      </c>
      <c r="S1032" s="4" t="str">
        <f>IF(((Q1032)=TRUE),  I1032,  "")</f>
      </c>
      <c r="T1032" s="3" t="s">
        <v>6001</v>
      </c>
    </row>
    <row r="1033">
      <c r="A1033" s="3" t="s">
        <v>7122</v>
      </c>
      <c r="B1033" s="4" t="str">
        <f>C1033 &amp; ": " &amp; D1033</f>
        <v>view-loads: vw_errors</v>
      </c>
      <c r="C1033" s="3" t="s">
        <v>7032</v>
      </c>
      <c r="D1033" s="3" t="s">
        <v>7123</v>
      </c>
      <c r="E1033" s="3" t="s">
        <v>1833</v>
      </c>
      <c r="F1033" s="3"/>
      <c r="G1033" s="3" t="s">
        <v>7034</v>
      </c>
      <c r="H1033" s="3"/>
      <c r="I1033" s="3" t="s">
        <v>5986</v>
      </c>
      <c r="J1033" s="3" t="s">
        <v>5999</v>
      </c>
      <c r="K1033" s="4" t="b">
        <f>J1033 = "blocking"</f>
        <v>1</v>
      </c>
      <c r="L1033" s="3" t="s">
        <v>1448</v>
      </c>
      <c r="M1033" s="3" t="s">
        <v>7055</v>
      </c>
      <c r="N1033" s="5">
        <v>46223.1297337963</v>
      </c>
      <c r="O1033" s="4" t="b">
        <f>L1033 = "PASS"</f>
        <v>1</v>
      </c>
      <c r="P1033" s="4" t="b">
        <f>L1033 = "FAIL"</f>
        <v>0</v>
      </c>
      <c r="Q1033" s="4" t="b">
        <f>AND(((P1033)=TRUE), ((K1033)=TRUE))</f>
        <v>0</v>
      </c>
      <c r="R1033" s="4" t="str">
        <f>IF(((O1033)=TRUE),  I1033,  "")</f>
        <v>suite-substrate</v>
      </c>
      <c r="S1033" s="4" t="str">
        <f>IF(((Q1033)=TRUE),  I1033,  "")</f>
      </c>
      <c r="T1033" s="3" t="s">
        <v>6001</v>
      </c>
    </row>
    <row r="1034">
      <c r="A1034" s="3" t="s">
        <v>7124</v>
      </c>
      <c r="B1034" s="4" t="str">
        <f>C1034 &amp; ": " &amp; D1034</f>
        <v>view-loads: vw_issue_occurrences</v>
      </c>
      <c r="C1034" s="3" t="s">
        <v>7032</v>
      </c>
      <c r="D1034" s="3" t="s">
        <v>7125</v>
      </c>
      <c r="E1034" s="3" t="s">
        <v>1836</v>
      </c>
      <c r="F1034" s="3"/>
      <c r="G1034" s="3" t="s">
        <v>7034</v>
      </c>
      <c r="H1034" s="3"/>
      <c r="I1034" s="3" t="s">
        <v>5986</v>
      </c>
      <c r="J1034" s="3" t="s">
        <v>5999</v>
      </c>
      <c r="K1034" s="4" t="b">
        <f>J1034 = "blocking"</f>
        <v>1</v>
      </c>
      <c r="L1034" s="3" t="s">
        <v>1448</v>
      </c>
      <c r="M1034" s="3" t="s">
        <v>7055</v>
      </c>
      <c r="N1034" s="5">
        <v>46223.1297337963</v>
      </c>
      <c r="O1034" s="4" t="b">
        <f>L1034 = "PASS"</f>
        <v>1</v>
      </c>
      <c r="P1034" s="4" t="b">
        <f>L1034 = "FAIL"</f>
        <v>0</v>
      </c>
      <c r="Q1034" s="4" t="b">
        <f>AND(((P1034)=TRUE), ((K1034)=TRUE))</f>
        <v>0</v>
      </c>
      <c r="R1034" s="4" t="str">
        <f>IF(((O1034)=TRUE),  I1034,  "")</f>
        <v>suite-substrate</v>
      </c>
      <c r="S1034" s="4" t="str">
        <f>IF(((Q1034)=TRUE),  I1034,  "")</f>
      </c>
      <c r="T1034" s="3" t="s">
        <v>6001</v>
      </c>
    </row>
    <row r="1035">
      <c r="A1035" s="3" t="s">
        <v>7126</v>
      </c>
      <c r="B1035" s="4" t="str">
        <f>C1035 &amp; ": " &amp; D1035</f>
        <v>view-loads: vw_user_questions</v>
      </c>
      <c r="C1035" s="3" t="s">
        <v>7032</v>
      </c>
      <c r="D1035" s="3" t="s">
        <v>7127</v>
      </c>
      <c r="E1035" s="3" t="s">
        <v>1839</v>
      </c>
      <c r="F1035" s="3"/>
      <c r="G1035" s="3" t="s">
        <v>7034</v>
      </c>
      <c r="H1035" s="3"/>
      <c r="I1035" s="3" t="s">
        <v>5986</v>
      </c>
      <c r="J1035" s="3" t="s">
        <v>5999</v>
      </c>
      <c r="K1035" s="4" t="b">
        <f>J1035 = "blocking"</f>
        <v>1</v>
      </c>
      <c r="L1035" s="3" t="s">
        <v>1448</v>
      </c>
      <c r="M1035" s="3" t="s">
        <v>7055</v>
      </c>
      <c r="N1035" s="5">
        <v>46223.1297337963</v>
      </c>
      <c r="O1035" s="4" t="b">
        <f>L1035 = "PASS"</f>
        <v>1</v>
      </c>
      <c r="P1035" s="4" t="b">
        <f>L1035 = "FAIL"</f>
        <v>0</v>
      </c>
      <c r="Q1035" s="4" t="b">
        <f>AND(((P1035)=TRUE), ((K1035)=TRUE))</f>
        <v>0</v>
      </c>
      <c r="R1035" s="4" t="str">
        <f>IF(((O1035)=TRUE),  I1035,  "")</f>
        <v>suite-substrate</v>
      </c>
      <c r="S1035" s="4" t="str">
        <f>IF(((Q1035)=TRUE),  I1035,  "")</f>
      </c>
      <c r="T1035" s="3" t="s">
        <v>6001</v>
      </c>
    </row>
    <row r="1036">
      <c r="A1036" s="3" t="s">
        <v>7128</v>
      </c>
      <c r="B1036" s="4" t="str">
        <f>C1036 &amp; ": " &amp; D1036</f>
        <v>view-loads: vw_user_feedback</v>
      </c>
      <c r="C1036" s="3" t="s">
        <v>7032</v>
      </c>
      <c r="D1036" s="3" t="s">
        <v>7129</v>
      </c>
      <c r="E1036" s="3" t="s">
        <v>1842</v>
      </c>
      <c r="F1036" s="3"/>
      <c r="G1036" s="3" t="s">
        <v>7034</v>
      </c>
      <c r="H1036" s="3"/>
      <c r="I1036" s="3" t="s">
        <v>5986</v>
      </c>
      <c r="J1036" s="3" t="s">
        <v>5999</v>
      </c>
      <c r="K1036" s="4" t="b">
        <f>J1036 = "blocking"</f>
        <v>1</v>
      </c>
      <c r="L1036" s="3" t="s">
        <v>1448</v>
      </c>
      <c r="M1036" s="3" t="s">
        <v>7055</v>
      </c>
      <c r="N1036" s="5">
        <v>46223.1297337963</v>
      </c>
      <c r="O1036" s="4" t="b">
        <f>L1036 = "PASS"</f>
        <v>1</v>
      </c>
      <c r="P1036" s="4" t="b">
        <f>L1036 = "FAIL"</f>
        <v>0</v>
      </c>
      <c r="Q1036" s="4" t="b">
        <f>AND(((P1036)=TRUE), ((K1036)=TRUE))</f>
        <v>0</v>
      </c>
      <c r="R1036" s="4" t="str">
        <f>IF(((O1036)=TRUE),  I1036,  "")</f>
        <v>suite-substrate</v>
      </c>
      <c r="S1036" s="4" t="str">
        <f>IF(((Q1036)=TRUE),  I1036,  "")</f>
      </c>
      <c r="T1036" s="3" t="s">
        <v>6001</v>
      </c>
    </row>
    <row r="1037">
      <c r="A1037" s="3" t="s">
        <v>7130</v>
      </c>
      <c r="B1037" s="4" t="str">
        <f>C1037 &amp; ": " &amp; D1037</f>
        <v>view-loads: vw_stewardship_assignments</v>
      </c>
      <c r="C1037" s="3" t="s">
        <v>7032</v>
      </c>
      <c r="D1037" s="3" t="s">
        <v>7131</v>
      </c>
      <c r="E1037" s="3" t="s">
        <v>1859</v>
      </c>
      <c r="F1037" s="3"/>
      <c r="G1037" s="3" t="s">
        <v>7034</v>
      </c>
      <c r="H1037" s="3"/>
      <c r="I1037" s="3" t="s">
        <v>5986</v>
      </c>
      <c r="J1037" s="3" t="s">
        <v>5999</v>
      </c>
      <c r="K1037" s="4" t="b">
        <f>J1037 = "blocking"</f>
        <v>1</v>
      </c>
      <c r="L1037" s="3" t="s">
        <v>1448</v>
      </c>
      <c r="M1037" s="3" t="s">
        <v>7055</v>
      </c>
      <c r="N1037" s="5">
        <v>46223.1297337963</v>
      </c>
      <c r="O1037" s="4" t="b">
        <f>L1037 = "PASS"</f>
        <v>1</v>
      </c>
      <c r="P1037" s="4" t="b">
        <f>L1037 = "FAIL"</f>
        <v>0</v>
      </c>
      <c r="Q1037" s="4" t="b">
        <f>AND(((P1037)=TRUE), ((K1037)=TRUE))</f>
        <v>0</v>
      </c>
      <c r="R1037" s="4" t="str">
        <f>IF(((O1037)=TRUE),  I1037,  "")</f>
        <v>suite-substrate</v>
      </c>
      <c r="S1037" s="4" t="str">
        <f>IF(((Q1037)=TRUE),  I1037,  "")</f>
      </c>
      <c r="T1037" s="3" t="s">
        <v>6001</v>
      </c>
    </row>
    <row r="1038">
      <c r="A1038" s="3" t="s">
        <v>7132</v>
      </c>
      <c r="B1038" s="4" t="str">
        <f>C1038 &amp; ": " &amp; D1038</f>
        <v>view-loads: vw_change_requests</v>
      </c>
      <c r="C1038" s="3" t="s">
        <v>7032</v>
      </c>
      <c r="D1038" s="3" t="s">
        <v>7133</v>
      </c>
      <c r="E1038" s="3" t="s">
        <v>3914</v>
      </c>
      <c r="F1038" s="3"/>
      <c r="G1038" s="3" t="s">
        <v>7034</v>
      </c>
      <c r="H1038" s="3"/>
      <c r="I1038" s="3" t="s">
        <v>5986</v>
      </c>
      <c r="J1038" s="3" t="s">
        <v>5999</v>
      </c>
      <c r="K1038" s="4" t="b">
        <f>J1038 = "blocking"</f>
        <v>1</v>
      </c>
      <c r="L1038" s="3" t="s">
        <v>1448</v>
      </c>
      <c r="M1038" s="3" t="s">
        <v>7055</v>
      </c>
      <c r="N1038" s="5">
        <v>46223.1297337963</v>
      </c>
      <c r="O1038" s="4" t="b">
        <f>L1038 = "PASS"</f>
        <v>1</v>
      </c>
      <c r="P1038" s="4" t="b">
        <f>L1038 = "FAIL"</f>
        <v>0</v>
      </c>
      <c r="Q1038" s="4" t="b">
        <f>AND(((P1038)=TRUE), ((K1038)=TRUE))</f>
        <v>0</v>
      </c>
      <c r="R1038" s="4" t="str">
        <f>IF(((O1038)=TRUE),  I1038,  "")</f>
        <v>suite-substrate</v>
      </c>
      <c r="S1038" s="4" t="str">
        <f>IF(((Q1038)=TRUE),  I1038,  "")</f>
      </c>
      <c r="T1038" s="3" t="s">
        <v>6001</v>
      </c>
    </row>
    <row r="1039">
      <c r="A1039" s="3" t="s">
        <v>7134</v>
      </c>
      <c r="B1039" s="4" t="str">
        <f>C1039 &amp; ": " &amp; D1039</f>
        <v>view-loads: vw_review_events</v>
      </c>
      <c r="C1039" s="3" t="s">
        <v>7032</v>
      </c>
      <c r="D1039" s="3" t="s">
        <v>7135</v>
      </c>
      <c r="E1039" s="3" t="s">
        <v>3988</v>
      </c>
      <c r="F1039" s="3"/>
      <c r="G1039" s="3" t="s">
        <v>7034</v>
      </c>
      <c r="H1039" s="3"/>
      <c r="I1039" s="3" t="s">
        <v>5986</v>
      </c>
      <c r="J1039" s="3" t="s">
        <v>5999</v>
      </c>
      <c r="K1039" s="4" t="b">
        <f>J1039 = "blocking"</f>
        <v>1</v>
      </c>
      <c r="L1039" s="3" t="s">
        <v>1448</v>
      </c>
      <c r="M1039" s="3" t="s">
        <v>7064</v>
      </c>
      <c r="N1039" s="5">
        <v>46223.1297337963</v>
      </c>
      <c r="O1039" s="4" t="b">
        <f>L1039 = "PASS"</f>
        <v>1</v>
      </c>
      <c r="P1039" s="4" t="b">
        <f>L1039 = "FAIL"</f>
        <v>0</v>
      </c>
      <c r="Q1039" s="4" t="b">
        <f>AND(((P1039)=TRUE), ((K1039)=TRUE))</f>
        <v>0</v>
      </c>
      <c r="R1039" s="4" t="str">
        <f>IF(((O1039)=TRUE),  I1039,  "")</f>
        <v>suite-substrate</v>
      </c>
      <c r="S1039" s="4" t="str">
        <f>IF(((Q1039)=TRUE),  I1039,  "")</f>
      </c>
      <c r="T1039" s="3" t="s">
        <v>6001</v>
      </c>
    </row>
    <row r="1040">
      <c r="A1040" s="3" t="s">
        <v>7136</v>
      </c>
      <c r="B1040" s="4" t="str">
        <f>C1040 &amp; ": " &amp; D1040</f>
        <v>view-loads: vw_learning_activities</v>
      </c>
      <c r="C1040" s="3" t="s">
        <v>7032</v>
      </c>
      <c r="D1040" s="3" t="s">
        <v>7137</v>
      </c>
      <c r="E1040" s="3" t="s">
        <v>4017</v>
      </c>
      <c r="F1040" s="3"/>
      <c r="G1040" s="3" t="s">
        <v>7034</v>
      </c>
      <c r="H1040" s="3"/>
      <c r="I1040" s="3" t="s">
        <v>5986</v>
      </c>
      <c r="J1040" s="3" t="s">
        <v>5999</v>
      </c>
      <c r="K1040" s="4" t="b">
        <f>J1040 = "blocking"</f>
        <v>1</v>
      </c>
      <c r="L1040" s="3" t="s">
        <v>1448</v>
      </c>
      <c r="M1040" s="3" t="s">
        <v>7055</v>
      </c>
      <c r="N1040" s="5">
        <v>46223.1297337963</v>
      </c>
      <c r="O1040" s="4" t="b">
        <f>L1040 = "PASS"</f>
        <v>1</v>
      </c>
      <c r="P1040" s="4" t="b">
        <f>L1040 = "FAIL"</f>
        <v>0</v>
      </c>
      <c r="Q1040" s="4" t="b">
        <f>AND(((P1040)=TRUE), ((K1040)=TRUE))</f>
        <v>0</v>
      </c>
      <c r="R1040" s="4" t="str">
        <f>IF(((O1040)=TRUE),  I1040,  "")</f>
        <v>suite-substrate</v>
      </c>
      <c r="S1040" s="4" t="str">
        <f>IF(((Q1040)=TRUE),  I1040,  "")</f>
      </c>
      <c r="T1040" s="3" t="s">
        <v>6001</v>
      </c>
    </row>
    <row r="1041">
      <c r="A1041" s="3" t="s">
        <v>7138</v>
      </c>
      <c r="B1041" s="4" t="str">
        <f>C1041 &amp; ": " &amp; D1041</f>
        <v>view-loads: vw_operational_bindings</v>
      </c>
      <c r="C1041" s="3" t="s">
        <v>7032</v>
      </c>
      <c r="D1041" s="3" t="s">
        <v>7139</v>
      </c>
      <c r="E1041" s="3" t="s">
        <v>1862</v>
      </c>
      <c r="F1041" s="3"/>
      <c r="G1041" s="3" t="s">
        <v>7034</v>
      </c>
      <c r="H1041" s="3"/>
      <c r="I1041" s="3" t="s">
        <v>5986</v>
      </c>
      <c r="J1041" s="3" t="s">
        <v>5999</v>
      </c>
      <c r="K1041" s="4" t="b">
        <f>J1041 = "blocking"</f>
        <v>1</v>
      </c>
      <c r="L1041" s="3" t="s">
        <v>1448</v>
      </c>
      <c r="M1041" s="3" t="s">
        <v>7069</v>
      </c>
      <c r="N1041" s="5">
        <v>46223.1297337963</v>
      </c>
      <c r="O1041" s="4" t="b">
        <f>L1041 = "PASS"</f>
        <v>1</v>
      </c>
      <c r="P1041" s="4" t="b">
        <f>L1041 = "FAIL"</f>
        <v>0</v>
      </c>
      <c r="Q1041" s="4" t="b">
        <f>AND(((P1041)=TRUE), ((K1041)=TRUE))</f>
        <v>0</v>
      </c>
      <c r="R1041" s="4" t="str">
        <f>IF(((O1041)=TRUE),  I1041,  "")</f>
        <v>suite-substrate</v>
      </c>
      <c r="S1041" s="4" t="str">
        <f>IF(((Q1041)=TRUE),  I1041,  "")</f>
      </c>
      <c r="T1041" s="3" t="s">
        <v>6001</v>
      </c>
    </row>
    <row r="1042">
      <c r="A1042" s="3" t="s">
        <v>7140</v>
      </c>
      <c r="B1042" s="4" t="str">
        <f>C1042 &amp; ": " &amp; D1042</f>
        <v>view-loads: vw_communication_policies</v>
      </c>
      <c r="C1042" s="3" t="s">
        <v>7032</v>
      </c>
      <c r="D1042" s="3" t="s">
        <v>7141</v>
      </c>
      <c r="E1042" s="3" t="s">
        <v>1865</v>
      </c>
      <c r="F1042" s="3"/>
      <c r="G1042" s="3" t="s">
        <v>7034</v>
      </c>
      <c r="H1042" s="3"/>
      <c r="I1042" s="3" t="s">
        <v>5986</v>
      </c>
      <c r="J1042" s="3" t="s">
        <v>5999</v>
      </c>
      <c r="K1042" s="4" t="b">
        <f>J1042 = "blocking"</f>
        <v>1</v>
      </c>
      <c r="L1042" s="3" t="s">
        <v>1448</v>
      </c>
      <c r="M1042" s="3" t="s">
        <v>7055</v>
      </c>
      <c r="N1042" s="5">
        <v>46223.1297337963</v>
      </c>
      <c r="O1042" s="4" t="b">
        <f>L1042 = "PASS"</f>
        <v>1</v>
      </c>
      <c r="P1042" s="4" t="b">
        <f>L1042 = "FAIL"</f>
        <v>0</v>
      </c>
      <c r="Q1042" s="4" t="b">
        <f>AND(((P1042)=TRUE), ((K1042)=TRUE))</f>
        <v>0</v>
      </c>
      <c r="R1042" s="4" t="str">
        <f>IF(((O1042)=TRUE),  I1042,  "")</f>
        <v>suite-substrate</v>
      </c>
      <c r="S1042" s="4" t="str">
        <f>IF(((Q1042)=TRUE),  I1042,  "")</f>
      </c>
      <c r="T1042" s="3" t="s">
        <v>6001</v>
      </c>
    </row>
    <row r="1043">
      <c r="A1043" s="3" t="s">
        <v>7142</v>
      </c>
      <c r="B1043" s="4" t="str">
        <f>C1043 &amp; ": " &amp; D1043</f>
        <v>view-loads: vw_message_templates</v>
      </c>
      <c r="C1043" s="3" t="s">
        <v>7032</v>
      </c>
      <c r="D1043" s="3" t="s">
        <v>7143</v>
      </c>
      <c r="E1043" s="3" t="s">
        <v>4087</v>
      </c>
      <c r="F1043" s="3"/>
      <c r="G1043" s="3" t="s">
        <v>7034</v>
      </c>
      <c r="H1043" s="3"/>
      <c r="I1043" s="3" t="s">
        <v>5986</v>
      </c>
      <c r="J1043" s="3" t="s">
        <v>5999</v>
      </c>
      <c r="K1043" s="4" t="b">
        <f>J1043 = "blocking"</f>
        <v>1</v>
      </c>
      <c r="L1043" s="3" t="s">
        <v>1448</v>
      </c>
      <c r="M1043" s="3" t="s">
        <v>7055</v>
      </c>
      <c r="N1043" s="5">
        <v>46223.1297337963</v>
      </c>
      <c r="O1043" s="4" t="b">
        <f>L1043 = "PASS"</f>
        <v>1</v>
      </c>
      <c r="P1043" s="4" t="b">
        <f>L1043 = "FAIL"</f>
        <v>0</v>
      </c>
      <c r="Q1043" s="4" t="b">
        <f>AND(((P1043)=TRUE), ((K1043)=TRUE))</f>
        <v>0</v>
      </c>
      <c r="R1043" s="4" t="str">
        <f>IF(((O1043)=TRUE),  I1043,  "")</f>
        <v>suite-substrate</v>
      </c>
      <c r="S1043" s="4" t="str">
        <f>IF(((Q1043)=TRUE),  I1043,  "")</f>
      </c>
      <c r="T1043" s="3" t="s">
        <v>6001</v>
      </c>
    </row>
    <row r="1044">
      <c r="A1044" s="3" t="s">
        <v>7144</v>
      </c>
      <c r="B1044" s="4" t="str">
        <f>C1044 &amp; ": " &amp; D1044</f>
        <v>view-loads: vw_semantic_mappings</v>
      </c>
      <c r="C1044" s="3" t="s">
        <v>7032</v>
      </c>
      <c r="D1044" s="3" t="s">
        <v>7145</v>
      </c>
      <c r="E1044" s="3" t="s">
        <v>4130</v>
      </c>
      <c r="F1044" s="3"/>
      <c r="G1044" s="3" t="s">
        <v>7034</v>
      </c>
      <c r="H1044" s="3"/>
      <c r="I1044" s="3" t="s">
        <v>5986</v>
      </c>
      <c r="J1044" s="3" t="s">
        <v>5999</v>
      </c>
      <c r="K1044" s="4" t="b">
        <f>J1044 = "blocking"</f>
        <v>1</v>
      </c>
      <c r="L1044" s="3" t="s">
        <v>1448</v>
      </c>
      <c r="M1044" s="3" t="s">
        <v>7146</v>
      </c>
      <c r="N1044" s="5">
        <v>46223.1297337963</v>
      </c>
      <c r="O1044" s="4" t="b">
        <f>L1044 = "PASS"</f>
        <v>1</v>
      </c>
      <c r="P1044" s="4" t="b">
        <f>L1044 = "FAIL"</f>
        <v>0</v>
      </c>
      <c r="Q1044" s="4" t="b">
        <f>AND(((P1044)=TRUE), ((K1044)=TRUE))</f>
        <v>0</v>
      </c>
      <c r="R1044" s="4" t="str">
        <f>IF(((O1044)=TRUE),  I1044,  "")</f>
        <v>suite-substrate</v>
      </c>
      <c r="S1044" s="4" t="str">
        <f>IF(((Q1044)=TRUE),  I1044,  "")</f>
      </c>
      <c r="T1044" s="3" t="s">
        <v>6001</v>
      </c>
    </row>
    <row r="1045">
      <c r="A1045" s="3" t="s">
        <v>7147</v>
      </c>
      <c r="B1045" s="4" t="str">
        <f>C1045 &amp; ": " &amp; D1045</f>
        <v>view-loads: vw_witness_loops</v>
      </c>
      <c r="C1045" s="3" t="s">
        <v>7032</v>
      </c>
      <c r="D1045" s="3" t="s">
        <v>7148</v>
      </c>
      <c r="E1045" s="3" t="s">
        <v>4140</v>
      </c>
      <c r="F1045" s="3"/>
      <c r="G1045" s="3" t="s">
        <v>7034</v>
      </c>
      <c r="H1045" s="3"/>
      <c r="I1045" s="3" t="s">
        <v>5986</v>
      </c>
      <c r="J1045" s="3" t="s">
        <v>5999</v>
      </c>
      <c r="K1045" s="4" t="b">
        <f>J1045 = "blocking"</f>
        <v>1</v>
      </c>
      <c r="L1045" s="3" t="s">
        <v>1448</v>
      </c>
      <c r="M1045" s="3" t="s">
        <v>7055</v>
      </c>
      <c r="N1045" s="5">
        <v>46223.1297337963</v>
      </c>
      <c r="O1045" s="4" t="b">
        <f>L1045 = "PASS"</f>
        <v>1</v>
      </c>
      <c r="P1045" s="4" t="b">
        <f>L1045 = "FAIL"</f>
        <v>0</v>
      </c>
      <c r="Q1045" s="4" t="b">
        <f>AND(((P1045)=TRUE), ((K1045)=TRUE))</f>
        <v>0</v>
      </c>
      <c r="R1045" s="4" t="str">
        <f>IF(((O1045)=TRUE),  I1045,  "")</f>
        <v>suite-substrate</v>
      </c>
      <c r="S1045" s="4" t="str">
        <f>IF(((Q1045)=TRUE),  I1045,  "")</f>
      </c>
      <c r="T1045" s="3" t="s">
        <v>6001</v>
      </c>
    </row>
    <row r="1046">
      <c r="A1046" s="3" t="s">
        <v>7149</v>
      </c>
      <c r="B1046" s="4" t="str">
        <f>C1046 &amp; ": " &amp; D1046</f>
        <v>view-loads: vw_role_questions</v>
      </c>
      <c r="C1046" s="3" t="s">
        <v>7032</v>
      </c>
      <c r="D1046" s="3" t="s">
        <v>7150</v>
      </c>
      <c r="E1046" s="3" t="s">
        <v>4157</v>
      </c>
      <c r="F1046" s="3"/>
      <c r="G1046" s="3" t="s">
        <v>7034</v>
      </c>
      <c r="H1046" s="3"/>
      <c r="I1046" s="3" t="s">
        <v>5986</v>
      </c>
      <c r="J1046" s="3" t="s">
        <v>5999</v>
      </c>
      <c r="K1046" s="4" t="b">
        <f>J1046 = "blocking"</f>
        <v>1</v>
      </c>
      <c r="L1046" s="3" t="s">
        <v>1448</v>
      </c>
      <c r="M1046" s="3" t="s">
        <v>7151</v>
      </c>
      <c r="N1046" s="5">
        <v>46223.1297337963</v>
      </c>
      <c r="O1046" s="4" t="b">
        <f>L1046 = "PASS"</f>
        <v>1</v>
      </c>
      <c r="P1046" s="4" t="b">
        <f>L1046 = "FAIL"</f>
        <v>0</v>
      </c>
      <c r="Q1046" s="4" t="b">
        <f>AND(((P1046)=TRUE), ((K1046)=TRUE))</f>
        <v>0</v>
      </c>
      <c r="R1046" s="4" t="str">
        <f>IF(((O1046)=TRUE),  I1046,  "")</f>
        <v>suite-substrate</v>
      </c>
      <c r="S1046" s="4" t="str">
        <f>IF(((Q1046)=TRUE),  I1046,  "")</f>
      </c>
      <c r="T1046" s="3" t="s">
        <v>6001</v>
      </c>
    </row>
    <row r="1047">
      <c r="A1047" s="3" t="s">
        <v>7152</v>
      </c>
      <c r="B1047" s="4" t="str">
        <f>C1047 &amp; ": " &amp; D1047</f>
        <v>view-loads: vw_rulebook_fields</v>
      </c>
      <c r="C1047" s="3" t="s">
        <v>7032</v>
      </c>
      <c r="D1047" s="3" t="s">
        <v>7153</v>
      </c>
      <c r="E1047" s="3" t="s">
        <v>4172</v>
      </c>
      <c r="F1047" s="3"/>
      <c r="G1047" s="3" t="s">
        <v>7034</v>
      </c>
      <c r="H1047" s="3"/>
      <c r="I1047" s="3" t="s">
        <v>5986</v>
      </c>
      <c r="J1047" s="3" t="s">
        <v>5999</v>
      </c>
      <c r="K1047" s="4" t="b">
        <f>J1047 = "blocking"</f>
        <v>1</v>
      </c>
      <c r="L1047" s="3" t="s">
        <v>1448</v>
      </c>
      <c r="M1047" s="3" t="s">
        <v>7154</v>
      </c>
      <c r="N1047" s="5">
        <v>46223.1297337963</v>
      </c>
      <c r="O1047" s="4" t="b">
        <f>L1047 = "PASS"</f>
        <v>1</v>
      </c>
      <c r="P1047" s="4" t="b">
        <f>L1047 = "FAIL"</f>
        <v>0</v>
      </c>
      <c r="Q1047" s="4" t="b">
        <f>AND(((P1047)=TRUE), ((K1047)=TRUE))</f>
        <v>0</v>
      </c>
      <c r="R1047" s="4" t="str">
        <f>IF(((O1047)=TRUE),  I1047,  "")</f>
        <v>suite-substrate</v>
      </c>
      <c r="S1047" s="4" t="str">
        <f>IF(((Q1047)=TRUE),  I1047,  "")</f>
      </c>
      <c r="T1047" s="3" t="s">
        <v>6001</v>
      </c>
    </row>
    <row r="1048">
      <c r="A1048" s="3" t="s">
        <v>7155</v>
      </c>
      <c r="B1048" s="4" t="str">
        <f>C1048 &amp; ": " &amp; D1048</f>
        <v>view-loads: vw_test_suites</v>
      </c>
      <c r="C1048" s="3" t="s">
        <v>7032</v>
      </c>
      <c r="D1048" s="3" t="s">
        <v>7156</v>
      </c>
      <c r="E1048" s="3" t="s">
        <v>4191</v>
      </c>
      <c r="F1048" s="3"/>
      <c r="G1048" s="3" t="s">
        <v>7034</v>
      </c>
      <c r="H1048" s="3"/>
      <c r="I1048" s="3" t="s">
        <v>5986</v>
      </c>
      <c r="J1048" s="3" t="s">
        <v>5999</v>
      </c>
      <c r="K1048" s="4" t="b">
        <f>J1048 = "blocking"</f>
        <v>1</v>
      </c>
      <c r="L1048" s="3" t="s">
        <v>1448</v>
      </c>
      <c r="M1048" s="3" t="s">
        <v>7157</v>
      </c>
      <c r="N1048" s="5">
        <v>46223.1297337963</v>
      </c>
      <c r="O1048" s="4" t="b">
        <f>L1048 = "PASS"</f>
        <v>1</v>
      </c>
      <c r="P1048" s="4" t="b">
        <f>L1048 = "FAIL"</f>
        <v>0</v>
      </c>
      <c r="Q1048" s="4" t="b">
        <f>AND(((P1048)=TRUE), ((K1048)=TRUE))</f>
        <v>0</v>
      </c>
      <c r="R1048" s="4" t="str">
        <f>IF(((O1048)=TRUE),  I1048,  "")</f>
        <v>suite-substrate</v>
      </c>
      <c r="S1048" s="4" t="str">
        <f>IF(((Q1048)=TRUE),  I1048,  "")</f>
      </c>
      <c r="T1048" s="3" t="s">
        <v>6001</v>
      </c>
    </row>
    <row r="1049">
      <c r="A1049" s="3" t="s">
        <v>7158</v>
      </c>
      <c r="B1049" s="4" t="str">
        <f>C1049 &amp; ": " &amp; D1049</f>
        <v>view-loads: vw_test_cases</v>
      </c>
      <c r="C1049" s="3" t="s">
        <v>7032</v>
      </c>
      <c r="D1049" s="3" t="s">
        <v>7159</v>
      </c>
      <c r="E1049" s="3" t="s">
        <v>4209</v>
      </c>
      <c r="F1049" s="3"/>
      <c r="G1049" s="3" t="s">
        <v>7034</v>
      </c>
      <c r="H1049" s="3"/>
      <c r="I1049" s="3" t="s">
        <v>5986</v>
      </c>
      <c r="J1049" s="3" t="s">
        <v>5999</v>
      </c>
      <c r="K1049" s="4" t="b">
        <f>J1049 = "blocking"</f>
        <v>1</v>
      </c>
      <c r="L1049" s="3" t="s">
        <v>1448</v>
      </c>
      <c r="M1049" s="3" t="s">
        <v>7160</v>
      </c>
      <c r="N1049" s="5">
        <v>46223.1297337963</v>
      </c>
      <c r="O1049" s="4" t="b">
        <f>L1049 = "PASS"</f>
        <v>1</v>
      </c>
      <c r="P1049" s="4" t="b">
        <f>L1049 = "FAIL"</f>
        <v>0</v>
      </c>
      <c r="Q1049" s="4" t="b">
        <f>AND(((P1049)=TRUE), ((K1049)=TRUE))</f>
        <v>0</v>
      </c>
      <c r="R1049" s="4" t="str">
        <f>IF(((O1049)=TRUE),  I1049,  "")</f>
        <v>suite-substrate</v>
      </c>
      <c r="S1049" s="4" t="str">
        <f>IF(((Q1049)=TRUE),  I1049,  "")</f>
      </c>
      <c r="T1049" s="3" t="s">
        <v>6001</v>
      </c>
    </row>
    <row r="1050">
      <c r="A1050" s="3" t="s">
        <v>7161</v>
      </c>
      <c r="B1050" s="4" t="str">
        <f>C1050 &amp; ": " &amp; D1050</f>
        <v>view-loads: vw_e_r_b_versions</v>
      </c>
      <c r="C1050" s="3" t="s">
        <v>7032</v>
      </c>
      <c r="D1050" s="3" t="s">
        <v>7162</v>
      </c>
      <c r="E1050" s="3" t="s">
        <v>4252</v>
      </c>
      <c r="F1050" s="3"/>
      <c r="G1050" s="3" t="s">
        <v>7034</v>
      </c>
      <c r="H1050" s="3"/>
      <c r="I1050" s="3" t="s">
        <v>5986</v>
      </c>
      <c r="J1050" s="3" t="s">
        <v>5999</v>
      </c>
      <c r="K1050" s="4" t="b">
        <f>J1050 = "blocking"</f>
        <v>1</v>
      </c>
      <c r="L1050" s="3" t="s">
        <v>7163</v>
      </c>
      <c r="M1050" s="3" t="s">
        <v>7164</v>
      </c>
      <c r="N1050" s="5">
        <v>46223.1297337963</v>
      </c>
      <c r="O1050" s="4" t="b">
        <f>L1050 = "PASS"</f>
        <v>0</v>
      </c>
      <c r="P1050" s="4" t="b">
        <f>L1050 = "FAIL"</f>
        <v>0</v>
      </c>
      <c r="Q1050" s="4" t="b">
        <f>AND(((P1050)=TRUE), ((K1050)=TRUE))</f>
        <v>0</v>
      </c>
      <c r="R1050" s="4" t="str">
        <f>IF(((O1050)=TRUE),  I1050,  "")</f>
      </c>
      <c r="S1050" s="4" t="str">
        <f>IF(((Q1050)=TRUE),  I1050,  "")</f>
      </c>
      <c r="T1050" s="3" t="s">
        <v>6001</v>
      </c>
    </row>
    <row r="1051">
      <c r="A1051" s="3" t="s">
        <v>7165</v>
      </c>
      <c r="B1051" s="4" t="str">
        <f>C1051 &amp; ": " &amp; D1051</f>
        <v>view-loads: vw_e_r_b_customizations</v>
      </c>
      <c r="C1051" s="3" t="s">
        <v>7032</v>
      </c>
      <c r="D1051" s="3" t="s">
        <v>7166</v>
      </c>
      <c r="E1051" s="3" t="s">
        <v>4265</v>
      </c>
      <c r="F1051" s="3"/>
      <c r="G1051" s="3" t="s">
        <v>7034</v>
      </c>
      <c r="H1051" s="3"/>
      <c r="I1051" s="3" t="s">
        <v>5986</v>
      </c>
      <c r="J1051" s="3" t="s">
        <v>5999</v>
      </c>
      <c r="K1051" s="4" t="b">
        <f>J1051 = "blocking"</f>
        <v>1</v>
      </c>
      <c r="L1051" s="3" t="s">
        <v>7163</v>
      </c>
      <c r="M1051" s="3" t="s">
        <v>7164</v>
      </c>
      <c r="N1051" s="5">
        <v>46223.1297337963</v>
      </c>
      <c r="O1051" s="4" t="b">
        <f>L1051 = "PASS"</f>
        <v>0</v>
      </c>
      <c r="P1051" s="4" t="b">
        <f>L1051 = "FAIL"</f>
        <v>0</v>
      </c>
      <c r="Q1051" s="4" t="b">
        <f>AND(((P1051)=TRUE), ((K1051)=TRUE))</f>
        <v>0</v>
      </c>
      <c r="R1051" s="4" t="str">
        <f>IF(((O1051)=TRUE),  I1051,  "")</f>
      </c>
      <c r="S1051" s="4" t="str">
        <f>IF(((Q1051)=TRUE),  I1051,  "")</f>
      </c>
      <c r="T1051" s="3" t="s">
        <v>6001</v>
      </c>
    </row>
    <row r="1052">
      <c r="A1052" s="3" t="s">
        <v>7167</v>
      </c>
      <c r="B1052" s="4" t="str">
        <f>C1052 &amp; ": " &amp; D1052</f>
        <v>view-loads: vw_exception_invocations</v>
      </c>
      <c r="C1052" s="3" t="s">
        <v>7032</v>
      </c>
      <c r="D1052" s="3" t="s">
        <v>7168</v>
      </c>
      <c r="E1052" s="3" t="s">
        <v>4287</v>
      </c>
      <c r="F1052" s="3"/>
      <c r="G1052" s="3" t="s">
        <v>7034</v>
      </c>
      <c r="H1052" s="3"/>
      <c r="I1052" s="3" t="s">
        <v>5986</v>
      </c>
      <c r="J1052" s="3" t="s">
        <v>5999</v>
      </c>
      <c r="K1052" s="4" t="b">
        <f>J1052 = "blocking"</f>
        <v>1</v>
      </c>
      <c r="L1052" s="3" t="s">
        <v>1448</v>
      </c>
      <c r="M1052" s="3" t="s">
        <v>7035</v>
      </c>
      <c r="N1052" s="5">
        <v>46223.1297337963</v>
      </c>
      <c r="O1052" s="4" t="b">
        <f>L1052 = "PASS"</f>
        <v>1</v>
      </c>
      <c r="P1052" s="4" t="b">
        <f>L1052 = "FAIL"</f>
        <v>0</v>
      </c>
      <c r="Q1052" s="4" t="b">
        <f>AND(((P1052)=TRUE), ((K1052)=TRUE))</f>
        <v>0</v>
      </c>
      <c r="R1052" s="4" t="str">
        <f>IF(((O1052)=TRUE),  I1052,  "")</f>
        <v>suite-substrate</v>
      </c>
      <c r="S1052" s="4" t="str">
        <f>IF(((Q1052)=TRUE),  I1052,  "")</f>
      </c>
      <c r="T1052" s="3" t="s">
        <v>6001</v>
      </c>
    </row>
    <row r="1053">
      <c r="A1053" s="3" t="s">
        <v>7169</v>
      </c>
      <c r="B1053" s="4" t="str">
        <f>C1053 &amp; ": " &amp; D1053</f>
        <v>view-loads: vw_verification_outcomes</v>
      </c>
      <c r="C1053" s="3" t="s">
        <v>7032</v>
      </c>
      <c r="D1053" s="3" t="s">
        <v>7170</v>
      </c>
      <c r="E1053" s="3" t="s">
        <v>4337</v>
      </c>
      <c r="F1053" s="3"/>
      <c r="G1053" s="3" t="s">
        <v>7034</v>
      </c>
      <c r="H1053" s="3"/>
      <c r="I1053" s="3" t="s">
        <v>5986</v>
      </c>
      <c r="J1053" s="3" t="s">
        <v>5999</v>
      </c>
      <c r="K1053" s="4" t="b">
        <f>J1053 = "blocking"</f>
        <v>1</v>
      </c>
      <c r="L1053" s="3" t="s">
        <v>1448</v>
      </c>
      <c r="M1053" s="3" t="s">
        <v>7043</v>
      </c>
      <c r="N1053" s="5">
        <v>46223.1297337963</v>
      </c>
      <c r="O1053" s="4" t="b">
        <f>L1053 = "PASS"</f>
        <v>1</v>
      </c>
      <c r="P1053" s="4" t="b">
        <f>L1053 = "FAIL"</f>
        <v>0</v>
      </c>
      <c r="Q1053" s="4" t="b">
        <f>AND(((P1053)=TRUE), ((K1053)=TRUE))</f>
        <v>0</v>
      </c>
      <c r="R1053" s="4" t="str">
        <f>IF(((O1053)=TRUE),  I1053,  "")</f>
        <v>suite-substrate</v>
      </c>
      <c r="S1053" s="4" t="str">
        <f>IF(((Q1053)=TRUE),  I1053,  "")</f>
      </c>
      <c r="T1053" s="3" t="s">
        <v>6001</v>
      </c>
    </row>
    <row r="1054">
      <c r="A1054" s="3" t="s">
        <v>7171</v>
      </c>
      <c r="B1054" s="4" t="str">
        <f>C1054 &amp; ": " &amp; D1054</f>
        <v>view-loads: vw_observed_transitions</v>
      </c>
      <c r="C1054" s="3" t="s">
        <v>7032</v>
      </c>
      <c r="D1054" s="3" t="s">
        <v>7172</v>
      </c>
      <c r="E1054" s="3" t="s">
        <v>4398</v>
      </c>
      <c r="F1054" s="3"/>
      <c r="G1054" s="3" t="s">
        <v>7034</v>
      </c>
      <c r="H1054" s="3"/>
      <c r="I1054" s="3" t="s">
        <v>5986</v>
      </c>
      <c r="J1054" s="3" t="s">
        <v>5999</v>
      </c>
      <c r="K1054" s="4" t="b">
        <f>J1054 = "blocking"</f>
        <v>1</v>
      </c>
      <c r="L1054" s="3" t="s">
        <v>1448</v>
      </c>
      <c r="M1054" s="3" t="s">
        <v>7046</v>
      </c>
      <c r="N1054" s="5">
        <v>46223.1297337963</v>
      </c>
      <c r="O1054" s="4" t="b">
        <f>L1054 = "PASS"</f>
        <v>1</v>
      </c>
      <c r="P1054" s="4" t="b">
        <f>L1054 = "FAIL"</f>
        <v>0</v>
      </c>
      <c r="Q1054" s="4" t="b">
        <f>AND(((P1054)=TRUE), ((K1054)=TRUE))</f>
        <v>0</v>
      </c>
      <c r="R1054" s="4" t="str">
        <f>IF(((O1054)=TRUE),  I1054,  "")</f>
        <v>suite-substrate</v>
      </c>
      <c r="S1054" s="4" t="str">
        <f>IF(((Q1054)=TRUE),  I1054,  "")</f>
      </c>
      <c r="T1054" s="3" t="s">
        <v>6001</v>
      </c>
    </row>
    <row r="1055">
      <c r="A1055" s="3" t="s">
        <v>7173</v>
      </c>
      <c r="B1055" s="4" t="str">
        <f>C1055 &amp; ": " &amp; D1055</f>
        <v>view-loads: vw_recipients</v>
      </c>
      <c r="C1055" s="3" t="s">
        <v>7032</v>
      </c>
      <c r="D1055" s="3" t="s">
        <v>7174</v>
      </c>
      <c r="E1055" s="3" t="s">
        <v>4412</v>
      </c>
      <c r="F1055" s="3"/>
      <c r="G1055" s="3" t="s">
        <v>7034</v>
      </c>
      <c r="H1055" s="3"/>
      <c r="I1055" s="3" t="s">
        <v>5986</v>
      </c>
      <c r="J1055" s="3" t="s">
        <v>5999</v>
      </c>
      <c r="K1055" s="4" t="b">
        <f>J1055 = "blocking"</f>
        <v>1</v>
      </c>
      <c r="L1055" s="3" t="s">
        <v>1448</v>
      </c>
      <c r="M1055" s="3" t="s">
        <v>7069</v>
      </c>
      <c r="N1055" s="5">
        <v>46223.1297337963</v>
      </c>
      <c r="O1055" s="4" t="b">
        <f>L1055 = "PASS"</f>
        <v>1</v>
      </c>
      <c r="P1055" s="4" t="b">
        <f>L1055 = "FAIL"</f>
        <v>0</v>
      </c>
      <c r="Q1055" s="4" t="b">
        <f>AND(((P1055)=TRUE), ((K1055)=TRUE))</f>
        <v>0</v>
      </c>
      <c r="R1055" s="4" t="str">
        <f>IF(((O1055)=TRUE),  I1055,  "")</f>
        <v>suite-substrate</v>
      </c>
      <c r="S1055" s="4" t="str">
        <f>IF(((Q1055)=TRUE),  I1055,  "")</f>
      </c>
      <c r="T1055" s="3" t="s">
        <v>6001</v>
      </c>
    </row>
    <row r="1056">
      <c r="A1056" s="3" t="s">
        <v>7175</v>
      </c>
      <c r="B1056" s="4" t="str">
        <f>C1056 &amp; ": " &amp; D1056</f>
        <v>view-loads: vw_message_deliveries</v>
      </c>
      <c r="C1056" s="3" t="s">
        <v>7032</v>
      </c>
      <c r="D1056" s="3" t="s">
        <v>7176</v>
      </c>
      <c r="E1056" s="3" t="s">
        <v>4444</v>
      </c>
      <c r="F1056" s="3"/>
      <c r="G1056" s="3" t="s">
        <v>7034</v>
      </c>
      <c r="H1056" s="3"/>
      <c r="I1056" s="3" t="s">
        <v>5986</v>
      </c>
      <c r="J1056" s="3" t="s">
        <v>5999</v>
      </c>
      <c r="K1056" s="4" t="b">
        <f>J1056 = "blocking"</f>
        <v>1</v>
      </c>
      <c r="L1056" s="3" t="s">
        <v>1448</v>
      </c>
      <c r="M1056" s="3" t="s">
        <v>7157</v>
      </c>
      <c r="N1056" s="5">
        <v>46223.1297337963</v>
      </c>
      <c r="O1056" s="4" t="b">
        <f>L1056 = "PASS"</f>
        <v>1</v>
      </c>
      <c r="P1056" s="4" t="b">
        <f>L1056 = "FAIL"</f>
        <v>0</v>
      </c>
      <c r="Q1056" s="4" t="b">
        <f>AND(((P1056)=TRUE), ((K1056)=TRUE))</f>
        <v>0</v>
      </c>
      <c r="R1056" s="4" t="str">
        <f>IF(((O1056)=TRUE),  I1056,  "")</f>
        <v>suite-substrate</v>
      </c>
      <c r="S1056" s="4" t="str">
        <f>IF(((Q1056)=TRUE),  I1056,  "")</f>
      </c>
      <c r="T1056" s="3" t="s">
        <v>6001</v>
      </c>
    </row>
    <row r="1057">
      <c r="A1057" s="3" t="s">
        <v>7177</v>
      </c>
      <c r="B1057" s="4" t="str">
        <f>C1057 &amp; ": " &amp; D1057</f>
        <v>view-loads: vw_template_approvals</v>
      </c>
      <c r="C1057" s="3" t="s">
        <v>7032</v>
      </c>
      <c r="D1057" s="3" t="s">
        <v>7178</v>
      </c>
      <c r="E1057" s="3" t="s">
        <v>4698</v>
      </c>
      <c r="F1057" s="3"/>
      <c r="G1057" s="3" t="s">
        <v>7034</v>
      </c>
      <c r="H1057" s="3"/>
      <c r="I1057" s="3" t="s">
        <v>5986</v>
      </c>
      <c r="J1057" s="3" t="s">
        <v>5999</v>
      </c>
      <c r="K1057" s="4" t="b">
        <f>J1057 = "blocking"</f>
        <v>1</v>
      </c>
      <c r="L1057" s="3" t="s">
        <v>1448</v>
      </c>
      <c r="M1057" s="3" t="s">
        <v>7055</v>
      </c>
      <c r="N1057" s="5">
        <v>46223.1297337963</v>
      </c>
      <c r="O1057" s="4" t="b">
        <f>L1057 = "PASS"</f>
        <v>1</v>
      </c>
      <c r="P1057" s="4" t="b">
        <f>L1057 = "FAIL"</f>
        <v>0</v>
      </c>
      <c r="Q1057" s="4" t="b">
        <f>AND(((P1057)=TRUE), ((K1057)=TRUE))</f>
        <v>0</v>
      </c>
      <c r="R1057" s="4" t="str">
        <f>IF(((O1057)=TRUE),  I1057,  "")</f>
        <v>suite-substrate</v>
      </c>
      <c r="S1057" s="4" t="str">
        <f>IF(((Q1057)=TRUE),  I1057,  "")</f>
      </c>
      <c r="T1057" s="3" t="s">
        <v>6001</v>
      </c>
    </row>
    <row r="1058">
      <c r="A1058" s="3" t="s">
        <v>7179</v>
      </c>
      <c r="B1058" s="4" t="str">
        <f>C1058 &amp; ": " &amp; D1058</f>
        <v>view-loads: vw_send_intents</v>
      </c>
      <c r="C1058" s="3" t="s">
        <v>7032</v>
      </c>
      <c r="D1058" s="3" t="s">
        <v>7180</v>
      </c>
      <c r="E1058" s="3" t="s">
        <v>4728</v>
      </c>
      <c r="F1058" s="3"/>
      <c r="G1058" s="3" t="s">
        <v>7034</v>
      </c>
      <c r="H1058" s="3"/>
      <c r="I1058" s="3" t="s">
        <v>5986</v>
      </c>
      <c r="J1058" s="3" t="s">
        <v>5999</v>
      </c>
      <c r="K1058" s="4" t="b">
        <f>J1058 = "blocking"</f>
        <v>1</v>
      </c>
      <c r="L1058" s="3" t="s">
        <v>1448</v>
      </c>
      <c r="M1058" s="3" t="s">
        <v>7109</v>
      </c>
      <c r="N1058" s="5">
        <v>46223.1297337963</v>
      </c>
      <c r="O1058" s="4" t="b">
        <f>L1058 = "PASS"</f>
        <v>1</v>
      </c>
      <c r="P1058" s="4" t="b">
        <f>L1058 = "FAIL"</f>
        <v>0</v>
      </c>
      <c r="Q1058" s="4" t="b">
        <f>AND(((P1058)=TRUE), ((K1058)=TRUE))</f>
        <v>0</v>
      </c>
      <c r="R1058" s="4" t="str">
        <f>IF(((O1058)=TRUE),  I1058,  "")</f>
        <v>suite-substrate</v>
      </c>
      <c r="S1058" s="4" t="str">
        <f>IF(((Q1058)=TRUE),  I1058,  "")</f>
      </c>
      <c r="T1058" s="3" t="s">
        <v>6001</v>
      </c>
    </row>
    <row r="1059">
      <c r="A1059" s="3" t="s">
        <v>7181</v>
      </c>
      <c r="B1059" s="4" t="str">
        <f>C1059 &amp; ": " &amp; D1059</f>
        <v>view-loads: vw_agent_decision_records</v>
      </c>
      <c r="C1059" s="3" t="s">
        <v>7032</v>
      </c>
      <c r="D1059" s="3" t="s">
        <v>7182</v>
      </c>
      <c r="E1059" s="3" t="s">
        <v>4994</v>
      </c>
      <c r="F1059" s="3"/>
      <c r="G1059" s="3" t="s">
        <v>7034</v>
      </c>
      <c r="H1059" s="3"/>
      <c r="I1059" s="3" t="s">
        <v>5986</v>
      </c>
      <c r="J1059" s="3" t="s">
        <v>5999</v>
      </c>
      <c r="K1059" s="4" t="b">
        <f>J1059 = "blocking"</f>
        <v>1</v>
      </c>
      <c r="L1059" s="3" t="s">
        <v>1448</v>
      </c>
      <c r="M1059" s="3" t="s">
        <v>7064</v>
      </c>
      <c r="N1059" s="5">
        <v>46223.1297337963</v>
      </c>
      <c r="O1059" s="4" t="b">
        <f>L1059 = "PASS"</f>
        <v>1</v>
      </c>
      <c r="P1059" s="4" t="b">
        <f>L1059 = "FAIL"</f>
        <v>0</v>
      </c>
      <c r="Q1059" s="4" t="b">
        <f>AND(((P1059)=TRUE), ((K1059)=TRUE))</f>
        <v>0</v>
      </c>
      <c r="R1059" s="4" t="str">
        <f>IF(((O1059)=TRUE),  I1059,  "")</f>
        <v>suite-substrate</v>
      </c>
      <c r="S1059" s="4" t="str">
        <f>IF(((Q1059)=TRUE),  I1059,  "")</f>
      </c>
      <c r="T1059" s="3" t="s">
        <v>6001</v>
      </c>
    </row>
    <row r="1060">
      <c r="A1060" s="3" t="s">
        <v>7183</v>
      </c>
      <c r="B1060" s="4" t="str">
        <f>C1060 &amp; ": " &amp; D1060</f>
        <v>view-loads: vw_delivered_communications</v>
      </c>
      <c r="C1060" s="3" t="s">
        <v>7032</v>
      </c>
      <c r="D1060" s="3" t="s">
        <v>7184</v>
      </c>
      <c r="E1060" s="3" t="s">
        <v>5095</v>
      </c>
      <c r="F1060" s="3"/>
      <c r="G1060" s="3" t="s">
        <v>7034</v>
      </c>
      <c r="H1060" s="3"/>
      <c r="I1060" s="3" t="s">
        <v>5986</v>
      </c>
      <c r="J1060" s="3" t="s">
        <v>5999</v>
      </c>
      <c r="K1060" s="4" t="b">
        <f>J1060 = "blocking"</f>
        <v>1</v>
      </c>
      <c r="L1060" s="3" t="s">
        <v>1448</v>
      </c>
      <c r="M1060" s="3" t="s">
        <v>7035</v>
      </c>
      <c r="N1060" s="5">
        <v>46223.1297337963</v>
      </c>
      <c r="O1060" s="4" t="b">
        <f>L1060 = "PASS"</f>
        <v>1</v>
      </c>
      <c r="P1060" s="4" t="b">
        <f>L1060 = "FAIL"</f>
        <v>0</v>
      </c>
      <c r="Q1060" s="4" t="b">
        <f>AND(((P1060)=TRUE), ((K1060)=TRUE))</f>
        <v>0</v>
      </c>
      <c r="R1060" s="4" t="str">
        <f>IF(((O1060)=TRUE),  I1060,  "")</f>
        <v>suite-substrate</v>
      </c>
      <c r="S1060" s="4" t="str">
        <f>IF(((Q1060)=TRUE),  I1060,  "")</f>
      </c>
      <c r="T1060" s="3" t="s">
        <v>6001</v>
      </c>
    </row>
    <row r="1061">
      <c r="A1061" s="3" t="s">
        <v>7185</v>
      </c>
      <c r="B1061" s="4" t="str">
        <f>C1061 &amp; ": " &amp; D1061</f>
        <v>view-loads: vw_authority_boundaries</v>
      </c>
      <c r="C1061" s="3" t="s">
        <v>7032</v>
      </c>
      <c r="D1061" s="3" t="s">
        <v>7186</v>
      </c>
      <c r="E1061" s="3" t="s">
        <v>5131</v>
      </c>
      <c r="F1061" s="3"/>
      <c r="G1061" s="3" t="s">
        <v>7034</v>
      </c>
      <c r="H1061" s="3"/>
      <c r="I1061" s="3" t="s">
        <v>5986</v>
      </c>
      <c r="J1061" s="3" t="s">
        <v>5999</v>
      </c>
      <c r="K1061" s="4" t="b">
        <f>J1061 = "blocking"</f>
        <v>1</v>
      </c>
      <c r="L1061" s="3" t="s">
        <v>1448</v>
      </c>
      <c r="M1061" s="3" t="s">
        <v>7064</v>
      </c>
      <c r="N1061" s="5">
        <v>46223.1297337963</v>
      </c>
      <c r="O1061" s="4" t="b">
        <f>L1061 = "PASS"</f>
        <v>1</v>
      </c>
      <c r="P1061" s="4" t="b">
        <f>L1061 = "FAIL"</f>
        <v>0</v>
      </c>
      <c r="Q1061" s="4" t="b">
        <f>AND(((P1061)=TRUE), ((K1061)=TRUE))</f>
        <v>0</v>
      </c>
      <c r="R1061" s="4" t="str">
        <f>IF(((O1061)=TRUE),  I1061,  "")</f>
        <v>suite-substrate</v>
      </c>
      <c r="S1061" s="4" t="str">
        <f>IF(((Q1061)=TRUE),  I1061,  "")</f>
      </c>
      <c r="T1061" s="3" t="s">
        <v>6001</v>
      </c>
    </row>
    <row r="1062">
      <c r="A1062" s="3" t="s">
        <v>7187</v>
      </c>
      <c r="B1062" s="4" t="str">
        <f>C1062 &amp; ": " &amp; D1062</f>
        <v>view-loads: vw_binding_observations</v>
      </c>
      <c r="C1062" s="3" t="s">
        <v>7032</v>
      </c>
      <c r="D1062" s="3" t="s">
        <v>7188</v>
      </c>
      <c r="E1062" s="3" t="s">
        <v>5208</v>
      </c>
      <c r="F1062" s="3"/>
      <c r="G1062" s="3" t="s">
        <v>7034</v>
      </c>
      <c r="H1062" s="3"/>
      <c r="I1062" s="3" t="s">
        <v>5986</v>
      </c>
      <c r="J1062" s="3" t="s">
        <v>5999</v>
      </c>
      <c r="K1062" s="4" t="b">
        <f>J1062 = "blocking"</f>
        <v>1</v>
      </c>
      <c r="L1062" s="3" t="s">
        <v>1448</v>
      </c>
      <c r="M1062" s="3" t="s">
        <v>7189</v>
      </c>
      <c r="N1062" s="5">
        <v>46223.1297337963</v>
      </c>
      <c r="O1062" s="4" t="b">
        <f>L1062 = "PASS"</f>
        <v>1</v>
      </c>
      <c r="P1062" s="4" t="b">
        <f>L1062 = "FAIL"</f>
        <v>0</v>
      </c>
      <c r="Q1062" s="4" t="b">
        <f>AND(((P1062)=TRUE), ((K1062)=TRUE))</f>
        <v>0</v>
      </c>
      <c r="R1062" s="4" t="str">
        <f>IF(((O1062)=TRUE),  I1062,  "")</f>
        <v>suite-substrate</v>
      </c>
      <c r="S1062" s="4" t="str">
        <f>IF(((Q1062)=TRUE),  I1062,  "")</f>
      </c>
      <c r="T1062" s="3" t="s">
        <v>6001</v>
      </c>
    </row>
    <row r="1063">
      <c r="A1063" s="3" t="s">
        <v>7190</v>
      </c>
      <c r="B1063" s="4" t="str">
        <f>C1063 &amp; ": " &amp; D1063</f>
        <v>view-loads: vw_attestations</v>
      </c>
      <c r="C1063" s="3" t="s">
        <v>7032</v>
      </c>
      <c r="D1063" s="3" t="s">
        <v>7191</v>
      </c>
      <c r="E1063" s="3" t="s">
        <v>5235</v>
      </c>
      <c r="F1063" s="3"/>
      <c r="G1063" s="3" t="s">
        <v>7034</v>
      </c>
      <c r="H1063" s="3"/>
      <c r="I1063" s="3" t="s">
        <v>5986</v>
      </c>
      <c r="J1063" s="3" t="s">
        <v>5999</v>
      </c>
      <c r="K1063" s="4" t="b">
        <f>J1063 = "blocking"</f>
        <v>1</v>
      </c>
      <c r="L1063" s="3" t="s">
        <v>1448</v>
      </c>
      <c r="M1063" s="3" t="s">
        <v>7189</v>
      </c>
      <c r="N1063" s="5">
        <v>46223.1297337963</v>
      </c>
      <c r="O1063" s="4" t="b">
        <f>L1063 = "PASS"</f>
        <v>1</v>
      </c>
      <c r="P1063" s="4" t="b">
        <f>L1063 = "FAIL"</f>
        <v>0</v>
      </c>
      <c r="Q1063" s="4" t="b">
        <f>AND(((P1063)=TRUE), ((K1063)=TRUE))</f>
        <v>0</v>
      </c>
      <c r="R1063" s="4" t="str">
        <f>IF(((O1063)=TRUE),  I1063,  "")</f>
        <v>suite-substrate</v>
      </c>
      <c r="S1063" s="4" t="str">
        <f>IF(((Q1063)=TRUE),  I1063,  "")</f>
      </c>
      <c r="T1063" s="3" t="s">
        <v>6001</v>
      </c>
    </row>
    <row r="1064">
      <c r="A1064" s="3" t="s">
        <v>7192</v>
      </c>
      <c r="B1064" s="4" t="str">
        <f>C1064 &amp; ": " &amp; D1064</f>
        <v>fk-resolves: Agents.Organization -&gt; Organizations</v>
      </c>
      <c r="C1064" s="3" t="s">
        <v>7193</v>
      </c>
      <c r="D1064" s="3" t="s">
        <v>7194</v>
      </c>
      <c r="E1064" s="3" t="s">
        <v>1814</v>
      </c>
      <c r="F1064" s="3" t="s">
        <v>121</v>
      </c>
      <c r="G1064" s="3" t="s">
        <v>7195</v>
      </c>
      <c r="H1064" s="3"/>
      <c r="I1064" s="3" t="s">
        <v>5988</v>
      </c>
      <c r="J1064" s="3" t="s">
        <v>5999</v>
      </c>
      <c r="K1064" s="4" t="b">
        <f>J1064 = "blocking"</f>
        <v>1</v>
      </c>
      <c r="L1064" s="3" t="s">
        <v>1448</v>
      </c>
      <c r="M1064" s="3" t="s">
        <v>7196</v>
      </c>
      <c r="N1064" s="5">
        <v>46223.1297337963</v>
      </c>
      <c r="O1064" s="4" t="b">
        <f>L1064 = "PASS"</f>
        <v>1</v>
      </c>
      <c r="P1064" s="4" t="b">
        <f>L1064 = "FAIL"</f>
        <v>0</v>
      </c>
      <c r="Q1064" s="4" t="b">
        <f>AND(((P1064)=TRUE), ((K1064)=TRUE))</f>
        <v>0</v>
      </c>
      <c r="R1064" s="4" t="str">
        <f>IF(((O1064)=TRUE),  I1064,  "")</f>
        <v>suite-integrity</v>
      </c>
      <c r="S1064" s="4" t="str">
        <f>IF(((Q1064)=TRUE),  I1064,  "")</f>
      </c>
      <c r="T1064" s="3" t="s">
        <v>6001</v>
      </c>
    </row>
    <row r="1065">
      <c r="A1065" s="3" t="s">
        <v>7197</v>
      </c>
      <c r="B1065" s="4" t="str">
        <f>C1065 &amp; ": " &amp; D1065</f>
        <v>fk-resolves: Roles.Organization -&gt; Organizations</v>
      </c>
      <c r="C1065" s="3" t="s">
        <v>7193</v>
      </c>
      <c r="D1065" s="3" t="s">
        <v>7198</v>
      </c>
      <c r="E1065" s="3" t="s">
        <v>1818</v>
      </c>
      <c r="F1065" s="3" t="s">
        <v>121</v>
      </c>
      <c r="G1065" s="3" t="s">
        <v>7195</v>
      </c>
      <c r="H1065" s="3"/>
      <c r="I1065" s="3" t="s">
        <v>5988</v>
      </c>
      <c r="J1065" s="3" t="s">
        <v>5999</v>
      </c>
      <c r="K1065" s="4" t="b">
        <f>J1065 = "blocking"</f>
        <v>1</v>
      </c>
      <c r="L1065" s="3" t="s">
        <v>1448</v>
      </c>
      <c r="M1065" s="3" t="s">
        <v>7196</v>
      </c>
      <c r="N1065" s="5">
        <v>46223.1297337963</v>
      </c>
      <c r="O1065" s="4" t="b">
        <f>L1065 = "PASS"</f>
        <v>1</v>
      </c>
      <c r="P1065" s="4" t="b">
        <f>L1065 = "FAIL"</f>
        <v>0</v>
      </c>
      <c r="Q1065" s="4" t="b">
        <f>AND(((P1065)=TRUE), ((K1065)=TRUE))</f>
        <v>0</v>
      </c>
      <c r="R1065" s="4" t="str">
        <f>IF(((O1065)=TRUE),  I1065,  "")</f>
        <v>suite-integrity</v>
      </c>
      <c r="S1065" s="4" t="str">
        <f>IF(((Q1065)=TRUE),  I1065,  "")</f>
      </c>
      <c r="T1065" s="3" t="s">
        <v>6001</v>
      </c>
    </row>
    <row r="1066">
      <c r="A1066" s="3" t="s">
        <v>7199</v>
      </c>
      <c r="B1066" s="4" t="str">
        <f>C1066 &amp; ": " &amp; D1066</f>
        <v>fk-resolves: Roles.CurrentAgent -&gt; Agents</v>
      </c>
      <c r="C1066" s="3" t="s">
        <v>7193</v>
      </c>
      <c r="D1066" s="3" t="s">
        <v>7200</v>
      </c>
      <c r="E1066" s="3" t="s">
        <v>1818</v>
      </c>
      <c r="F1066" s="3" t="s">
        <v>184</v>
      </c>
      <c r="G1066" s="3" t="s">
        <v>7201</v>
      </c>
      <c r="H1066" s="3"/>
      <c r="I1066" s="3" t="s">
        <v>5988</v>
      </c>
      <c r="J1066" s="3" t="s">
        <v>5999</v>
      </c>
      <c r="K1066" s="4" t="b">
        <f>J1066 = "blocking"</f>
        <v>1</v>
      </c>
      <c r="L1066" s="3" t="s">
        <v>1448</v>
      </c>
      <c r="M1066" s="3" t="s">
        <v>7196</v>
      </c>
      <c r="N1066" s="5">
        <v>46223.1297337963</v>
      </c>
      <c r="O1066" s="4" t="b">
        <f>L1066 = "PASS"</f>
        <v>1</v>
      </c>
      <c r="P1066" s="4" t="b">
        <f>L1066 = "FAIL"</f>
        <v>0</v>
      </c>
      <c r="Q1066" s="4" t="b">
        <f>AND(((P1066)=TRUE), ((K1066)=TRUE))</f>
        <v>0</v>
      </c>
      <c r="R1066" s="4" t="str">
        <f>IF(((O1066)=TRUE),  I1066,  "")</f>
        <v>suite-integrity</v>
      </c>
      <c r="S1066" s="4" t="str">
        <f>IF(((Q1066)=TRUE),  I1066,  "")</f>
      </c>
      <c r="T1066" s="3" t="s">
        <v>6001</v>
      </c>
    </row>
    <row r="1067">
      <c r="A1067" s="3" t="s">
        <v>7202</v>
      </c>
      <c r="B1067" s="4" t="str">
        <f>C1067 &amp; ": " &amp; D1067</f>
        <v>fk-resolves: RoleAssignments.Role -&gt; Roles</v>
      </c>
      <c r="C1067" s="3" t="s">
        <v>7193</v>
      </c>
      <c r="D1067" s="3" t="s">
        <v>7203</v>
      </c>
      <c r="E1067" s="3" t="s">
        <v>1821</v>
      </c>
      <c r="F1067" s="3" t="s">
        <v>253</v>
      </c>
      <c r="G1067" s="3" t="s">
        <v>7204</v>
      </c>
      <c r="H1067" s="3"/>
      <c r="I1067" s="3" t="s">
        <v>5988</v>
      </c>
      <c r="J1067" s="3" t="s">
        <v>5999</v>
      </c>
      <c r="K1067" s="4" t="b">
        <f>J1067 = "blocking"</f>
        <v>1</v>
      </c>
      <c r="L1067" s="3" t="s">
        <v>1448</v>
      </c>
      <c r="M1067" s="3" t="s">
        <v>7196</v>
      </c>
      <c r="N1067" s="5">
        <v>46223.1297337963</v>
      </c>
      <c r="O1067" s="4" t="b">
        <f>L1067 = "PASS"</f>
        <v>1</v>
      </c>
      <c r="P1067" s="4" t="b">
        <f>L1067 = "FAIL"</f>
        <v>0</v>
      </c>
      <c r="Q1067" s="4" t="b">
        <f>AND(((P1067)=TRUE), ((K1067)=TRUE))</f>
        <v>0</v>
      </c>
      <c r="R1067" s="4" t="str">
        <f>IF(((O1067)=TRUE),  I1067,  "")</f>
        <v>suite-integrity</v>
      </c>
      <c r="S1067" s="4" t="str">
        <f>IF(((Q1067)=TRUE),  I1067,  "")</f>
      </c>
      <c r="T1067" s="3" t="s">
        <v>6001</v>
      </c>
    </row>
    <row r="1068">
      <c r="A1068" s="3" t="s">
        <v>7205</v>
      </c>
      <c r="B1068" s="4" t="str">
        <f>C1068 &amp; ": " &amp; D1068</f>
        <v>fk-resolves: RoleAssignments.Agent -&gt; Agents</v>
      </c>
      <c r="C1068" s="3" t="s">
        <v>7193</v>
      </c>
      <c r="D1068" s="3" t="s">
        <v>7206</v>
      </c>
      <c r="E1068" s="3" t="s">
        <v>1821</v>
      </c>
      <c r="F1068" s="3" t="s">
        <v>254</v>
      </c>
      <c r="G1068" s="3" t="s">
        <v>7201</v>
      </c>
      <c r="H1068" s="3"/>
      <c r="I1068" s="3" t="s">
        <v>5988</v>
      </c>
      <c r="J1068" s="3" t="s">
        <v>5999</v>
      </c>
      <c r="K1068" s="4" t="b">
        <f>J1068 = "blocking"</f>
        <v>1</v>
      </c>
      <c r="L1068" s="3" t="s">
        <v>1448</v>
      </c>
      <c r="M1068" s="3" t="s">
        <v>7196</v>
      </c>
      <c r="N1068" s="5">
        <v>46223.1297337963</v>
      </c>
      <c r="O1068" s="4" t="b">
        <f>L1068 = "PASS"</f>
        <v>1</v>
      </c>
      <c r="P1068" s="4" t="b">
        <f>L1068 = "FAIL"</f>
        <v>0</v>
      </c>
      <c r="Q1068" s="4" t="b">
        <f>AND(((P1068)=TRUE), ((K1068)=TRUE))</f>
        <v>0</v>
      </c>
      <c r="R1068" s="4" t="str">
        <f>IF(((O1068)=TRUE),  I1068,  "")</f>
        <v>suite-integrity</v>
      </c>
      <c r="S1068" s="4" t="str">
        <f>IF(((Q1068)=TRUE),  I1068,  "")</f>
      </c>
      <c r="T1068" s="3" t="s">
        <v>6001</v>
      </c>
    </row>
    <row r="1069">
      <c r="A1069" s="3" t="s">
        <v>7207</v>
      </c>
      <c r="B1069" s="4" t="str">
        <f>C1069 &amp; ": " &amp; D1069</f>
        <v>fk-resolves: RoleAssignments.EvaluationContext -&gt; EvaluationContexts</v>
      </c>
      <c r="C1069" s="3" t="s">
        <v>7193</v>
      </c>
      <c r="D1069" s="3" t="s">
        <v>7208</v>
      </c>
      <c r="E1069" s="3" t="s">
        <v>1821</v>
      </c>
      <c r="F1069" s="3" t="s">
        <v>258</v>
      </c>
      <c r="G1069" s="3" t="s">
        <v>7209</v>
      </c>
      <c r="H1069" s="3"/>
      <c r="I1069" s="3" t="s">
        <v>5988</v>
      </c>
      <c r="J1069" s="3" t="s">
        <v>5999</v>
      </c>
      <c r="K1069" s="4" t="b">
        <f>J1069 = "blocking"</f>
        <v>1</v>
      </c>
      <c r="L1069" s="3" t="s">
        <v>1448</v>
      </c>
      <c r="M1069" s="3" t="s">
        <v>7196</v>
      </c>
      <c r="N1069" s="5">
        <v>46223.1297337963</v>
      </c>
      <c r="O1069" s="4" t="b">
        <f>L1069 = "PASS"</f>
        <v>1</v>
      </c>
      <c r="P1069" s="4" t="b">
        <f>L1069 = "FAIL"</f>
        <v>0</v>
      </c>
      <c r="Q1069" s="4" t="b">
        <f>AND(((P1069)=TRUE), ((K1069)=TRUE))</f>
        <v>0</v>
      </c>
      <c r="R1069" s="4" t="str">
        <f>IF(((O1069)=TRUE),  I1069,  "")</f>
        <v>suite-integrity</v>
      </c>
      <c r="S1069" s="4" t="str">
        <f>IF(((Q1069)=TRUE),  I1069,  "")</f>
      </c>
      <c r="T1069" s="3" t="s">
        <v>6001</v>
      </c>
    </row>
    <row r="1070">
      <c r="A1070" s="3" t="s">
        <v>7210</v>
      </c>
      <c r="B1070" s="4" t="str">
        <f>C1070 &amp; ": " &amp; D1070</f>
        <v>fk-resolves: RoleAssignments.SupersedesAssignment -&gt; RoleAssignments</v>
      </c>
      <c r="C1070" s="3" t="s">
        <v>7193</v>
      </c>
      <c r="D1070" s="3" t="s">
        <v>7211</v>
      </c>
      <c r="E1070" s="3" t="s">
        <v>1821</v>
      </c>
      <c r="F1070" s="3" t="s">
        <v>266</v>
      </c>
      <c r="G1070" s="3" t="s">
        <v>7212</v>
      </c>
      <c r="H1070" s="3"/>
      <c r="I1070" s="3" t="s">
        <v>5988</v>
      </c>
      <c r="J1070" s="3" t="s">
        <v>5999</v>
      </c>
      <c r="K1070" s="4" t="b">
        <f>J1070 = "blocking"</f>
        <v>1</v>
      </c>
      <c r="L1070" s="3" t="s">
        <v>1448</v>
      </c>
      <c r="M1070" s="3" t="s">
        <v>7196</v>
      </c>
      <c r="N1070" s="5">
        <v>46223.1297337963</v>
      </c>
      <c r="O1070" s="4" t="b">
        <f>L1070 = "PASS"</f>
        <v>1</v>
      </c>
      <c r="P1070" s="4" t="b">
        <f>L1070 = "FAIL"</f>
        <v>0</v>
      </c>
      <c r="Q1070" s="4" t="b">
        <f>AND(((P1070)=TRUE), ((K1070)=TRUE))</f>
        <v>0</v>
      </c>
      <c r="R1070" s="4" t="str">
        <f>IF(((O1070)=TRUE),  I1070,  "")</f>
        <v>suite-integrity</v>
      </c>
      <c r="S1070" s="4" t="str">
        <f>IF(((Q1070)=TRUE),  I1070,  "")</f>
      </c>
      <c r="T1070" s="3" t="s">
        <v>6001</v>
      </c>
    </row>
    <row r="1071">
      <c r="A1071" s="3" t="s">
        <v>7213</v>
      </c>
      <c r="B1071" s="4" t="str">
        <f>C1071 &amp; ": " &amp; D1071</f>
        <v>fk-resolves: RoleAssignments.ApprovingAuthorityRole -&gt; Roles</v>
      </c>
      <c r="C1071" s="3" t="s">
        <v>7193</v>
      </c>
      <c r="D1071" s="3" t="s">
        <v>7214</v>
      </c>
      <c r="E1071" s="3" t="s">
        <v>1821</v>
      </c>
      <c r="F1071" s="3" t="s">
        <v>269</v>
      </c>
      <c r="G1071" s="3" t="s">
        <v>7204</v>
      </c>
      <c r="H1071" s="3"/>
      <c r="I1071" s="3" t="s">
        <v>5988</v>
      </c>
      <c r="J1071" s="3" t="s">
        <v>5999</v>
      </c>
      <c r="K1071" s="4" t="b">
        <f>J1071 = "blocking"</f>
        <v>1</v>
      </c>
      <c r="L1071" s="3" t="s">
        <v>1448</v>
      </c>
      <c r="M1071" s="3" t="s">
        <v>7196</v>
      </c>
      <c r="N1071" s="5">
        <v>46223.1297337963</v>
      </c>
      <c r="O1071" s="4" t="b">
        <f>L1071 = "PASS"</f>
        <v>1</v>
      </c>
      <c r="P1071" s="4" t="b">
        <f>L1071 = "FAIL"</f>
        <v>0</v>
      </c>
      <c r="Q1071" s="4" t="b">
        <f>AND(((P1071)=TRUE), ((K1071)=TRUE))</f>
        <v>0</v>
      </c>
      <c r="R1071" s="4" t="str">
        <f>IF(((O1071)=TRUE),  I1071,  "")</f>
        <v>suite-integrity</v>
      </c>
      <c r="S1071" s="4" t="str">
        <f>IF(((Q1071)=TRUE),  I1071,  "")</f>
      </c>
      <c r="T1071" s="3" t="s">
        <v>6001</v>
      </c>
    </row>
    <row r="1072">
      <c r="A1072" s="3" t="s">
        <v>7215</v>
      </c>
      <c r="B1072" s="4" t="str">
        <f>C1072 &amp; ": " &amp; D1072</f>
        <v>fk-resolves: RoleAssignments.AuthorizingChangeRequest -&gt; ChangeRequests</v>
      </c>
      <c r="C1072" s="3" t="s">
        <v>7193</v>
      </c>
      <c r="D1072" s="3" t="s">
        <v>7216</v>
      </c>
      <c r="E1072" s="3" t="s">
        <v>1821</v>
      </c>
      <c r="F1072" s="3" t="s">
        <v>270</v>
      </c>
      <c r="G1072" s="3" t="s">
        <v>7217</v>
      </c>
      <c r="H1072" s="3"/>
      <c r="I1072" s="3" t="s">
        <v>5988</v>
      </c>
      <c r="J1072" s="3" t="s">
        <v>5999</v>
      </c>
      <c r="K1072" s="4" t="b">
        <f>J1072 = "blocking"</f>
        <v>1</v>
      </c>
      <c r="L1072" s="3" t="s">
        <v>1448</v>
      </c>
      <c r="M1072" s="3" t="s">
        <v>7196</v>
      </c>
      <c r="N1072" s="5">
        <v>46223.1297337963</v>
      </c>
      <c r="O1072" s="4" t="b">
        <f>L1072 = "PASS"</f>
        <v>1</v>
      </c>
      <c r="P1072" s="4" t="b">
        <f>L1072 = "FAIL"</f>
        <v>0</v>
      </c>
      <c r="Q1072" s="4" t="b">
        <f>AND(((P1072)=TRUE), ((K1072)=TRUE))</f>
        <v>0</v>
      </c>
      <c r="R1072" s="4" t="str">
        <f>IF(((O1072)=TRUE),  I1072,  "")</f>
        <v>suite-integrity</v>
      </c>
      <c r="S1072" s="4" t="str">
        <f>IF(((Q1072)=TRUE),  I1072,  "")</f>
      </c>
      <c r="T1072" s="3" t="s">
        <v>6001</v>
      </c>
    </row>
    <row r="1073">
      <c r="A1073" s="3" t="s">
        <v>7218</v>
      </c>
      <c r="B1073" s="4" t="str">
        <f>C1073 &amp; ": " &amp; D1073</f>
        <v>fk-resolves: CommunitiesOfPractice.Organization -&gt; Organizations</v>
      </c>
      <c r="C1073" s="3" t="s">
        <v>7193</v>
      </c>
      <c r="D1073" s="3" t="s">
        <v>7219</v>
      </c>
      <c r="E1073" s="3" t="s">
        <v>2655</v>
      </c>
      <c r="F1073" s="3" t="s">
        <v>121</v>
      </c>
      <c r="G1073" s="3" t="s">
        <v>7195</v>
      </c>
      <c r="H1073" s="3"/>
      <c r="I1073" s="3" t="s">
        <v>5988</v>
      </c>
      <c r="J1073" s="3" t="s">
        <v>5999</v>
      </c>
      <c r="K1073" s="4" t="b">
        <f>J1073 = "blocking"</f>
        <v>1</v>
      </c>
      <c r="L1073" s="3" t="s">
        <v>1448</v>
      </c>
      <c r="M1073" s="3" t="s">
        <v>7196</v>
      </c>
      <c r="N1073" s="5">
        <v>46223.1297337963</v>
      </c>
      <c r="O1073" s="4" t="b">
        <f>L1073 = "PASS"</f>
        <v>1</v>
      </c>
      <c r="P1073" s="4" t="b">
        <f>L1073 = "FAIL"</f>
        <v>0</v>
      </c>
      <c r="Q1073" s="4" t="b">
        <f>AND(((P1073)=TRUE), ((K1073)=TRUE))</f>
        <v>0</v>
      </c>
      <c r="R1073" s="4" t="str">
        <f>IF(((O1073)=TRUE),  I1073,  "")</f>
        <v>suite-integrity</v>
      </c>
      <c r="S1073" s="4" t="str">
        <f>IF(((Q1073)=TRUE),  I1073,  "")</f>
      </c>
      <c r="T1073" s="3" t="s">
        <v>6001</v>
      </c>
    </row>
    <row r="1074">
      <c r="A1074" s="3" t="s">
        <v>7220</v>
      </c>
      <c r="B1074" s="4" t="str">
        <f>C1074 &amp; ": " &amp; D1074</f>
        <v>fk-resolves: CommunitiesOfPractice.StewardRole -&gt; Roles</v>
      </c>
      <c r="C1074" s="3" t="s">
        <v>7193</v>
      </c>
      <c r="D1074" s="3" t="s">
        <v>7221</v>
      </c>
      <c r="E1074" s="3" t="s">
        <v>2655</v>
      </c>
      <c r="F1074" s="3" t="s">
        <v>326</v>
      </c>
      <c r="G1074" s="3" t="s">
        <v>7204</v>
      </c>
      <c r="H1074" s="3"/>
      <c r="I1074" s="3" t="s">
        <v>5988</v>
      </c>
      <c r="J1074" s="3" t="s">
        <v>5999</v>
      </c>
      <c r="K1074" s="4" t="b">
        <f>J1074 = "blocking"</f>
        <v>1</v>
      </c>
      <c r="L1074" s="3" t="s">
        <v>1448</v>
      </c>
      <c r="M1074" s="3" t="s">
        <v>7196</v>
      </c>
      <c r="N1074" s="5">
        <v>46223.1297337963</v>
      </c>
      <c r="O1074" s="4" t="b">
        <f>L1074 = "PASS"</f>
        <v>1</v>
      </c>
      <c r="P1074" s="4" t="b">
        <f>L1074 = "FAIL"</f>
        <v>0</v>
      </c>
      <c r="Q1074" s="4" t="b">
        <f>AND(((P1074)=TRUE), ((K1074)=TRUE))</f>
        <v>0</v>
      </c>
      <c r="R1074" s="4" t="str">
        <f>IF(((O1074)=TRUE),  I1074,  "")</f>
        <v>suite-integrity</v>
      </c>
      <c r="S1074" s="4" t="str">
        <f>IF(((Q1074)=TRUE),  I1074,  "")</f>
      </c>
      <c r="T1074" s="3" t="s">
        <v>6001</v>
      </c>
    </row>
    <row r="1075">
      <c r="A1075" s="3" t="s">
        <v>7222</v>
      </c>
      <c r="B1075" s="4" t="str">
        <f>C1075 &amp; ": " &amp; D1075</f>
        <v>fk-resolves: Mentorships.CommunityOfPractice -&gt; CommunitiesOfPractice</v>
      </c>
      <c r="C1075" s="3" t="s">
        <v>7193</v>
      </c>
      <c r="D1075" s="3" t="s">
        <v>7223</v>
      </c>
      <c r="E1075" s="3" t="s">
        <v>2664</v>
      </c>
      <c r="F1075" s="3" t="s">
        <v>339</v>
      </c>
      <c r="G1075" s="3" t="s">
        <v>7224</v>
      </c>
      <c r="H1075" s="3"/>
      <c r="I1075" s="3" t="s">
        <v>5988</v>
      </c>
      <c r="J1075" s="3" t="s">
        <v>5999</v>
      </c>
      <c r="K1075" s="4" t="b">
        <f>J1075 = "blocking"</f>
        <v>1</v>
      </c>
      <c r="L1075" s="3" t="s">
        <v>1448</v>
      </c>
      <c r="M1075" s="3" t="s">
        <v>7196</v>
      </c>
      <c r="N1075" s="5">
        <v>46223.1297337963</v>
      </c>
      <c r="O1075" s="4" t="b">
        <f>L1075 = "PASS"</f>
        <v>1</v>
      </c>
      <c r="P1075" s="4" t="b">
        <f>L1075 = "FAIL"</f>
        <v>0</v>
      </c>
      <c r="Q1075" s="4" t="b">
        <f>AND(((P1075)=TRUE), ((K1075)=TRUE))</f>
        <v>0</v>
      </c>
      <c r="R1075" s="4" t="str">
        <f>IF(((O1075)=TRUE),  I1075,  "")</f>
        <v>suite-integrity</v>
      </c>
      <c r="S1075" s="4" t="str">
        <f>IF(((Q1075)=TRUE),  I1075,  "")</f>
      </c>
      <c r="T1075" s="3" t="s">
        <v>6001</v>
      </c>
    </row>
    <row r="1076">
      <c r="A1076" s="3" t="s">
        <v>7225</v>
      </c>
      <c r="B1076" s="4" t="str">
        <f>C1076 &amp; ": " &amp; D1076</f>
        <v>fk-resolves: Mentorships.MentorAgent -&gt; Agents</v>
      </c>
      <c r="C1076" s="3" t="s">
        <v>7193</v>
      </c>
      <c r="D1076" s="3" t="s">
        <v>7226</v>
      </c>
      <c r="E1076" s="3" t="s">
        <v>2664</v>
      </c>
      <c r="F1076" s="3" t="s">
        <v>340</v>
      </c>
      <c r="G1076" s="3" t="s">
        <v>7201</v>
      </c>
      <c r="H1076" s="3"/>
      <c r="I1076" s="3" t="s">
        <v>5988</v>
      </c>
      <c r="J1076" s="3" t="s">
        <v>5999</v>
      </c>
      <c r="K1076" s="4" t="b">
        <f>J1076 = "blocking"</f>
        <v>1</v>
      </c>
      <c r="L1076" s="3" t="s">
        <v>1448</v>
      </c>
      <c r="M1076" s="3" t="s">
        <v>7196</v>
      </c>
      <c r="N1076" s="5">
        <v>46223.1297337963</v>
      </c>
      <c r="O1076" s="4" t="b">
        <f>L1076 = "PASS"</f>
        <v>1</v>
      </c>
      <c r="P1076" s="4" t="b">
        <f>L1076 = "FAIL"</f>
        <v>0</v>
      </c>
      <c r="Q1076" s="4" t="b">
        <f>AND(((P1076)=TRUE), ((K1076)=TRUE))</f>
        <v>0</v>
      </c>
      <c r="R1076" s="4" t="str">
        <f>IF(((O1076)=TRUE),  I1076,  "")</f>
        <v>suite-integrity</v>
      </c>
      <c r="S1076" s="4" t="str">
        <f>IF(((Q1076)=TRUE),  I1076,  "")</f>
      </c>
      <c r="T1076" s="3" t="s">
        <v>6001</v>
      </c>
    </row>
    <row r="1077">
      <c r="A1077" s="3" t="s">
        <v>7227</v>
      </c>
      <c r="B1077" s="4" t="str">
        <f>C1077 &amp; ": " &amp; D1077</f>
        <v>fk-resolves: Mentorships.LearnerAgent -&gt; Agents</v>
      </c>
      <c r="C1077" s="3" t="s">
        <v>7193</v>
      </c>
      <c r="D1077" s="3" t="s">
        <v>7228</v>
      </c>
      <c r="E1077" s="3" t="s">
        <v>2664</v>
      </c>
      <c r="F1077" s="3" t="s">
        <v>341</v>
      </c>
      <c r="G1077" s="3" t="s">
        <v>7201</v>
      </c>
      <c r="H1077" s="3"/>
      <c r="I1077" s="3" t="s">
        <v>5988</v>
      </c>
      <c r="J1077" s="3" t="s">
        <v>5999</v>
      </c>
      <c r="K1077" s="4" t="b">
        <f>J1077 = "blocking"</f>
        <v>1</v>
      </c>
      <c r="L1077" s="3" t="s">
        <v>1448</v>
      </c>
      <c r="M1077" s="3" t="s">
        <v>7196</v>
      </c>
      <c r="N1077" s="5">
        <v>46223.1297337963</v>
      </c>
      <c r="O1077" s="4" t="b">
        <f>L1077 = "PASS"</f>
        <v>1</v>
      </c>
      <c r="P1077" s="4" t="b">
        <f>L1077 = "FAIL"</f>
        <v>0</v>
      </c>
      <c r="Q1077" s="4" t="b">
        <f>AND(((P1077)=TRUE), ((K1077)=TRUE))</f>
        <v>0</v>
      </c>
      <c r="R1077" s="4" t="str">
        <f>IF(((O1077)=TRUE),  I1077,  "")</f>
        <v>suite-integrity</v>
      </c>
      <c r="S1077" s="4" t="str">
        <f>IF(((Q1077)=TRUE),  I1077,  "")</f>
      </c>
      <c r="T1077" s="3" t="s">
        <v>6001</v>
      </c>
    </row>
    <row r="1078">
      <c r="A1078" s="3" t="s">
        <v>7229</v>
      </c>
      <c r="B1078" s="4" t="str">
        <f>C1078 &amp; ": " &amp; D1078</f>
        <v>fk-resolves: Procedures.ProcedureType -&gt; ProcedureTypes</v>
      </c>
      <c r="C1078" s="3" t="s">
        <v>7193</v>
      </c>
      <c r="D1078" s="3" t="s">
        <v>7230</v>
      </c>
      <c r="E1078" s="3" t="s">
        <v>1762</v>
      </c>
      <c r="F1078" s="3" t="s">
        <v>359</v>
      </c>
      <c r="G1078" s="3" t="s">
        <v>7231</v>
      </c>
      <c r="H1078" s="3"/>
      <c r="I1078" s="3" t="s">
        <v>5988</v>
      </c>
      <c r="J1078" s="3" t="s">
        <v>5999</v>
      </c>
      <c r="K1078" s="4" t="b">
        <f>J1078 = "blocking"</f>
        <v>1</v>
      </c>
      <c r="L1078" s="3" t="s">
        <v>1448</v>
      </c>
      <c r="M1078" s="3" t="s">
        <v>7196</v>
      </c>
      <c r="N1078" s="5">
        <v>46223.1297337963</v>
      </c>
      <c r="O1078" s="4" t="b">
        <f>L1078 = "PASS"</f>
        <v>1</v>
      </c>
      <c r="P1078" s="4" t="b">
        <f>L1078 = "FAIL"</f>
        <v>0</v>
      </c>
      <c r="Q1078" s="4" t="b">
        <f>AND(((P1078)=TRUE), ((K1078)=TRUE))</f>
        <v>0</v>
      </c>
      <c r="R1078" s="4" t="str">
        <f>IF(((O1078)=TRUE),  I1078,  "")</f>
        <v>suite-integrity</v>
      </c>
      <c r="S1078" s="4" t="str">
        <f>IF(((Q1078)=TRUE),  I1078,  "")</f>
      </c>
      <c r="T1078" s="3" t="s">
        <v>6001</v>
      </c>
    </row>
    <row r="1079">
      <c r="A1079" s="3" t="s">
        <v>7232</v>
      </c>
      <c r="B1079" s="4" t="str">
        <f>C1079 &amp; ": " &amp; D1079</f>
        <v>fk-resolves: Procedures.OwnerOrganization -&gt; Organizations</v>
      </c>
      <c r="C1079" s="3" t="s">
        <v>7193</v>
      </c>
      <c r="D1079" s="3" t="s">
        <v>7233</v>
      </c>
      <c r="E1079" s="3" t="s">
        <v>1762</v>
      </c>
      <c r="F1079" s="3" t="s">
        <v>360</v>
      </c>
      <c r="G1079" s="3" t="s">
        <v>7195</v>
      </c>
      <c r="H1079" s="3"/>
      <c r="I1079" s="3" t="s">
        <v>5988</v>
      </c>
      <c r="J1079" s="3" t="s">
        <v>5999</v>
      </c>
      <c r="K1079" s="4" t="b">
        <f>J1079 = "blocking"</f>
        <v>1</v>
      </c>
      <c r="L1079" s="3" t="s">
        <v>1448</v>
      </c>
      <c r="M1079" s="3" t="s">
        <v>7196</v>
      </c>
      <c r="N1079" s="5">
        <v>46223.1297337963</v>
      </c>
      <c r="O1079" s="4" t="b">
        <f>L1079 = "PASS"</f>
        <v>1</v>
      </c>
      <c r="P1079" s="4" t="b">
        <f>L1079 = "FAIL"</f>
        <v>0</v>
      </c>
      <c r="Q1079" s="4" t="b">
        <f>AND(((P1079)=TRUE), ((K1079)=TRUE))</f>
        <v>0</v>
      </c>
      <c r="R1079" s="4" t="str">
        <f>IF(((O1079)=TRUE),  I1079,  "")</f>
        <v>suite-integrity</v>
      </c>
      <c r="S1079" s="4" t="str">
        <f>IF(((Q1079)=TRUE),  I1079,  "")</f>
      </c>
      <c r="T1079" s="3" t="s">
        <v>6001</v>
      </c>
    </row>
    <row r="1080">
      <c r="A1080" s="3" t="s">
        <v>7234</v>
      </c>
      <c r="B1080" s="4" t="str">
        <f>C1080 &amp; ": " &amp; D1080</f>
        <v>fk-resolves: Procedures.AdoptedByOrganization -&gt; Organizations</v>
      </c>
      <c r="C1080" s="3" t="s">
        <v>7193</v>
      </c>
      <c r="D1080" s="3" t="s">
        <v>7235</v>
      </c>
      <c r="E1080" s="3" t="s">
        <v>1762</v>
      </c>
      <c r="F1080" s="3" t="s">
        <v>361</v>
      </c>
      <c r="G1080" s="3" t="s">
        <v>7195</v>
      </c>
      <c r="H1080" s="3"/>
      <c r="I1080" s="3" t="s">
        <v>5988</v>
      </c>
      <c r="J1080" s="3" t="s">
        <v>5999</v>
      </c>
      <c r="K1080" s="4" t="b">
        <f>J1080 = "blocking"</f>
        <v>1</v>
      </c>
      <c r="L1080" s="3" t="s">
        <v>1448</v>
      </c>
      <c r="M1080" s="3" t="s">
        <v>7196</v>
      </c>
      <c r="N1080" s="5">
        <v>46223.1297337963</v>
      </c>
      <c r="O1080" s="4" t="b">
        <f>L1080 = "PASS"</f>
        <v>1</v>
      </c>
      <c r="P1080" s="4" t="b">
        <f>L1080 = "FAIL"</f>
        <v>0</v>
      </c>
      <c r="Q1080" s="4" t="b">
        <f>AND(((P1080)=TRUE), ((K1080)=TRUE))</f>
        <v>0</v>
      </c>
      <c r="R1080" s="4" t="str">
        <f>IF(((O1080)=TRUE),  I1080,  "")</f>
        <v>suite-integrity</v>
      </c>
      <c r="S1080" s="4" t="str">
        <f>IF(((Q1080)=TRUE),  I1080,  "")</f>
      </c>
      <c r="T1080" s="3" t="s">
        <v>6001</v>
      </c>
    </row>
    <row r="1081">
      <c r="A1081" s="3" t="s">
        <v>7236</v>
      </c>
      <c r="B1081" s="4" t="str">
        <f>C1081 &amp; ": " &amp; D1081</f>
        <v>fk-resolves: ProcedureVersions.Procedure -&gt; Procedures</v>
      </c>
      <c r="C1081" s="3" t="s">
        <v>7193</v>
      </c>
      <c r="D1081" s="3" t="s">
        <v>7237</v>
      </c>
      <c r="E1081" s="3" t="s">
        <v>1767</v>
      </c>
      <c r="F1081" s="3" t="s">
        <v>377</v>
      </c>
      <c r="G1081" s="3" t="s">
        <v>7238</v>
      </c>
      <c r="H1081" s="3"/>
      <c r="I1081" s="3" t="s">
        <v>5988</v>
      </c>
      <c r="J1081" s="3" t="s">
        <v>5999</v>
      </c>
      <c r="K1081" s="4" t="b">
        <f>J1081 = "blocking"</f>
        <v>1</v>
      </c>
      <c r="L1081" s="3" t="s">
        <v>1448</v>
      </c>
      <c r="M1081" s="3" t="s">
        <v>7196</v>
      </c>
      <c r="N1081" s="5">
        <v>46223.1297337963</v>
      </c>
      <c r="O1081" s="4" t="b">
        <f>L1081 = "PASS"</f>
        <v>1</v>
      </c>
      <c r="P1081" s="4" t="b">
        <f>L1081 = "FAIL"</f>
        <v>0</v>
      </c>
      <c r="Q1081" s="4" t="b">
        <f>AND(((P1081)=TRUE), ((K1081)=TRUE))</f>
        <v>0</v>
      </c>
      <c r="R1081" s="4" t="str">
        <f>IF(((O1081)=TRUE),  I1081,  "")</f>
        <v>suite-integrity</v>
      </c>
      <c r="S1081" s="4" t="str">
        <f>IF(((Q1081)=TRUE),  I1081,  "")</f>
      </c>
      <c r="T1081" s="3" t="s">
        <v>6001</v>
      </c>
    </row>
    <row r="1082">
      <c r="A1082" s="3" t="s">
        <v>7239</v>
      </c>
      <c r="B1082" s="4" t="str">
        <f>C1082 &amp; ": " &amp; D1082</f>
        <v>fk-resolves: ProcedureVersions.CreatedByAgent -&gt; Agents</v>
      </c>
      <c r="C1082" s="3" t="s">
        <v>7193</v>
      </c>
      <c r="D1082" s="3" t="s">
        <v>7240</v>
      </c>
      <c r="E1082" s="3" t="s">
        <v>1767</v>
      </c>
      <c r="F1082" s="3" t="s">
        <v>380</v>
      </c>
      <c r="G1082" s="3" t="s">
        <v>7201</v>
      </c>
      <c r="H1082" s="3"/>
      <c r="I1082" s="3" t="s">
        <v>5988</v>
      </c>
      <c r="J1082" s="3" t="s">
        <v>5999</v>
      </c>
      <c r="K1082" s="4" t="b">
        <f>J1082 = "blocking"</f>
        <v>1</v>
      </c>
      <c r="L1082" s="3" t="s">
        <v>1448</v>
      </c>
      <c r="M1082" s="3" t="s">
        <v>7196</v>
      </c>
      <c r="N1082" s="5">
        <v>46223.1297337963</v>
      </c>
      <c r="O1082" s="4" t="b">
        <f>L1082 = "PASS"</f>
        <v>1</v>
      </c>
      <c r="P1082" s="4" t="b">
        <f>L1082 = "FAIL"</f>
        <v>0</v>
      </c>
      <c r="Q1082" s="4" t="b">
        <f>AND(((P1082)=TRUE), ((K1082)=TRUE))</f>
        <v>0</v>
      </c>
      <c r="R1082" s="4" t="str">
        <f>IF(((O1082)=TRUE),  I1082,  "")</f>
        <v>suite-integrity</v>
      </c>
      <c r="S1082" s="4" t="str">
        <f>IF(((Q1082)=TRUE),  I1082,  "")</f>
      </c>
      <c r="T1082" s="3" t="s">
        <v>6001</v>
      </c>
    </row>
    <row r="1083">
      <c r="A1083" s="3" t="s">
        <v>7241</v>
      </c>
      <c r="B1083" s="4" t="str">
        <f>C1083 &amp; ": " &amp; D1083</f>
        <v>fk-resolves: ProcedureVersions.ModifiedByAgent -&gt; Agents</v>
      </c>
      <c r="C1083" s="3" t="s">
        <v>7193</v>
      </c>
      <c r="D1083" s="3" t="s">
        <v>7242</v>
      </c>
      <c r="E1083" s="3" t="s">
        <v>1767</v>
      </c>
      <c r="F1083" s="3" t="s">
        <v>381</v>
      </c>
      <c r="G1083" s="3" t="s">
        <v>7201</v>
      </c>
      <c r="H1083" s="3"/>
      <c r="I1083" s="3" t="s">
        <v>5988</v>
      </c>
      <c r="J1083" s="3" t="s">
        <v>5999</v>
      </c>
      <c r="K1083" s="4" t="b">
        <f>J1083 = "blocking"</f>
        <v>1</v>
      </c>
      <c r="L1083" s="3" t="s">
        <v>1448</v>
      </c>
      <c r="M1083" s="3" t="s">
        <v>7196</v>
      </c>
      <c r="N1083" s="5">
        <v>46223.1297337963</v>
      </c>
      <c r="O1083" s="4" t="b">
        <f>L1083 = "PASS"</f>
        <v>1</v>
      </c>
      <c r="P1083" s="4" t="b">
        <f>L1083 = "FAIL"</f>
        <v>0</v>
      </c>
      <c r="Q1083" s="4" t="b">
        <f>AND(((P1083)=TRUE), ((K1083)=TRUE))</f>
        <v>0</v>
      </c>
      <c r="R1083" s="4" t="str">
        <f>IF(((O1083)=TRUE),  I1083,  "")</f>
        <v>suite-integrity</v>
      </c>
      <c r="S1083" s="4" t="str">
        <f>IF(((Q1083)=TRUE),  I1083,  "")</f>
      </c>
      <c r="T1083" s="3" t="s">
        <v>6001</v>
      </c>
    </row>
    <row r="1084">
      <c r="A1084" s="3" t="s">
        <v>7243</v>
      </c>
      <c r="B1084" s="4" t="str">
        <f>C1084 &amp; ": " &amp; D1084</f>
        <v>fk-resolves: ProcedureVersions.EvaluationContext -&gt; EvaluationContexts</v>
      </c>
      <c r="C1084" s="3" t="s">
        <v>7193</v>
      </c>
      <c r="D1084" s="3" t="s">
        <v>7244</v>
      </c>
      <c r="E1084" s="3" t="s">
        <v>1767</v>
      </c>
      <c r="F1084" s="3" t="s">
        <v>258</v>
      </c>
      <c r="G1084" s="3" t="s">
        <v>7209</v>
      </c>
      <c r="H1084" s="3"/>
      <c r="I1084" s="3" t="s">
        <v>5988</v>
      </c>
      <c r="J1084" s="3" t="s">
        <v>5999</v>
      </c>
      <c r="K1084" s="4" t="b">
        <f>J1084 = "blocking"</f>
        <v>1</v>
      </c>
      <c r="L1084" s="3" t="s">
        <v>1448</v>
      </c>
      <c r="M1084" s="3" t="s">
        <v>7196</v>
      </c>
      <c r="N1084" s="5">
        <v>46223.1297337963</v>
      </c>
      <c r="O1084" s="4" t="b">
        <f>L1084 = "PASS"</f>
        <v>1</v>
      </c>
      <c r="P1084" s="4" t="b">
        <f>L1084 = "FAIL"</f>
        <v>0</v>
      </c>
      <c r="Q1084" s="4" t="b">
        <f>AND(((P1084)=TRUE), ((K1084)=TRUE))</f>
        <v>0</v>
      </c>
      <c r="R1084" s="4" t="str">
        <f>IF(((O1084)=TRUE),  I1084,  "")</f>
        <v>suite-integrity</v>
      </c>
      <c r="S1084" s="4" t="str">
        <f>IF(((Q1084)=TRUE),  I1084,  "")</f>
      </c>
      <c r="T1084" s="3" t="s">
        <v>6001</v>
      </c>
    </row>
    <row r="1085">
      <c r="A1085" s="3" t="s">
        <v>7245</v>
      </c>
      <c r="B1085" s="4" t="str">
        <f>C1085 &amp; ": " &amp; D1085</f>
        <v>fk-resolves: ProcedureVersionLinks.PreviousProcedureVersion -&gt; ProcedureVersions</v>
      </c>
      <c r="C1085" s="3" t="s">
        <v>7193</v>
      </c>
      <c r="D1085" s="3" t="s">
        <v>7246</v>
      </c>
      <c r="E1085" s="3" t="s">
        <v>2851</v>
      </c>
      <c r="F1085" s="3" t="s">
        <v>469</v>
      </c>
      <c r="G1085" s="3" t="s">
        <v>7247</v>
      </c>
      <c r="H1085" s="3"/>
      <c r="I1085" s="3" t="s">
        <v>5988</v>
      </c>
      <c r="J1085" s="3" t="s">
        <v>5999</v>
      </c>
      <c r="K1085" s="4" t="b">
        <f>J1085 = "blocking"</f>
        <v>1</v>
      </c>
      <c r="L1085" s="3" t="s">
        <v>1448</v>
      </c>
      <c r="M1085" s="3" t="s">
        <v>7196</v>
      </c>
      <c r="N1085" s="5">
        <v>46223.1297337963</v>
      </c>
      <c r="O1085" s="4" t="b">
        <f>L1085 = "PASS"</f>
        <v>1</v>
      </c>
      <c r="P1085" s="4" t="b">
        <f>L1085 = "FAIL"</f>
        <v>0</v>
      </c>
      <c r="Q1085" s="4" t="b">
        <f>AND(((P1085)=TRUE), ((K1085)=TRUE))</f>
        <v>0</v>
      </c>
      <c r="R1085" s="4" t="str">
        <f>IF(((O1085)=TRUE),  I1085,  "")</f>
        <v>suite-integrity</v>
      </c>
      <c r="S1085" s="4" t="str">
        <f>IF(((Q1085)=TRUE),  I1085,  "")</f>
      </c>
      <c r="T1085" s="3" t="s">
        <v>6001</v>
      </c>
    </row>
    <row r="1086">
      <c r="A1086" s="3" t="s">
        <v>7248</v>
      </c>
      <c r="B1086" s="4" t="str">
        <f>C1086 &amp; ": " &amp; D1086</f>
        <v>fk-resolves: ProcedureVersionLinks.NextProcedureVersion -&gt; ProcedureVersions</v>
      </c>
      <c r="C1086" s="3" t="s">
        <v>7193</v>
      </c>
      <c r="D1086" s="3" t="s">
        <v>7249</v>
      </c>
      <c r="E1086" s="3" t="s">
        <v>2851</v>
      </c>
      <c r="F1086" s="3" t="s">
        <v>470</v>
      </c>
      <c r="G1086" s="3" t="s">
        <v>7247</v>
      </c>
      <c r="H1086" s="3"/>
      <c r="I1086" s="3" t="s">
        <v>5988</v>
      </c>
      <c r="J1086" s="3" t="s">
        <v>5999</v>
      </c>
      <c r="K1086" s="4" t="b">
        <f>J1086 = "blocking"</f>
        <v>1</v>
      </c>
      <c r="L1086" s="3" t="s">
        <v>1448</v>
      </c>
      <c r="M1086" s="3" t="s">
        <v>7196</v>
      </c>
      <c r="N1086" s="5">
        <v>46223.1297337963</v>
      </c>
      <c r="O1086" s="4" t="b">
        <f>L1086 = "PASS"</f>
        <v>1</v>
      </c>
      <c r="P1086" s="4" t="b">
        <f>L1086 = "FAIL"</f>
        <v>0</v>
      </c>
      <c r="Q1086" s="4" t="b">
        <f>AND(((P1086)=TRUE), ((K1086)=TRUE))</f>
        <v>0</v>
      </c>
      <c r="R1086" s="4" t="str">
        <f>IF(((O1086)=TRUE),  I1086,  "")</f>
        <v>suite-integrity</v>
      </c>
      <c r="S1086" s="4" t="str">
        <f>IF(((Q1086)=TRUE),  I1086,  "")</f>
      </c>
      <c r="T1086" s="3" t="s">
        <v>6001</v>
      </c>
    </row>
    <row r="1087">
      <c r="A1087" s="3" t="s">
        <v>7250</v>
      </c>
      <c r="B1087" s="4" t="str">
        <f>C1087 &amp; ": " &amp; D1087</f>
        <v>fk-resolves: ProcedureStatusChanges.ProcedureVersion -&gt; ProcedureVersions</v>
      </c>
      <c r="C1087" s="3" t="s">
        <v>7193</v>
      </c>
      <c r="D1087" s="3" t="s">
        <v>7251</v>
      </c>
      <c r="E1087" s="3" t="s">
        <v>1775</v>
      </c>
      <c r="F1087" s="3" t="s">
        <v>478</v>
      </c>
      <c r="G1087" s="3" t="s">
        <v>7247</v>
      </c>
      <c r="H1087" s="3"/>
      <c r="I1087" s="3" t="s">
        <v>5988</v>
      </c>
      <c r="J1087" s="3" t="s">
        <v>5999</v>
      </c>
      <c r="K1087" s="4" t="b">
        <f>J1087 = "blocking"</f>
        <v>1</v>
      </c>
      <c r="L1087" s="3" t="s">
        <v>1448</v>
      </c>
      <c r="M1087" s="3" t="s">
        <v>7196</v>
      </c>
      <c r="N1087" s="5">
        <v>46223.1297337963</v>
      </c>
      <c r="O1087" s="4" t="b">
        <f>L1087 = "PASS"</f>
        <v>1</v>
      </c>
      <c r="P1087" s="4" t="b">
        <f>L1087 = "FAIL"</f>
        <v>0</v>
      </c>
      <c r="Q1087" s="4" t="b">
        <f>AND(((P1087)=TRUE), ((K1087)=TRUE))</f>
        <v>0</v>
      </c>
      <c r="R1087" s="4" t="str">
        <f>IF(((O1087)=TRUE),  I1087,  "")</f>
        <v>suite-integrity</v>
      </c>
      <c r="S1087" s="4" t="str">
        <f>IF(((Q1087)=TRUE),  I1087,  "")</f>
      </c>
      <c r="T1087" s="3" t="s">
        <v>6001</v>
      </c>
    </row>
    <row r="1088">
      <c r="A1088" s="3" t="s">
        <v>7252</v>
      </c>
      <c r="B1088" s="4" t="str">
        <f>C1088 &amp; ": " &amp; D1088</f>
        <v>fk-resolves: ProcedureStatusChanges.ChangedByAgent -&gt; Agents</v>
      </c>
      <c r="C1088" s="3" t="s">
        <v>7193</v>
      </c>
      <c r="D1088" s="3" t="s">
        <v>7253</v>
      </c>
      <c r="E1088" s="3" t="s">
        <v>1775</v>
      </c>
      <c r="F1088" s="3" t="s">
        <v>482</v>
      </c>
      <c r="G1088" s="3" t="s">
        <v>7201</v>
      </c>
      <c r="H1088" s="3"/>
      <c r="I1088" s="3" t="s">
        <v>5988</v>
      </c>
      <c r="J1088" s="3" t="s">
        <v>5999</v>
      </c>
      <c r="K1088" s="4" t="b">
        <f>J1088 = "blocking"</f>
        <v>1</v>
      </c>
      <c r="L1088" s="3" t="s">
        <v>1448</v>
      </c>
      <c r="M1088" s="3" t="s">
        <v>7196</v>
      </c>
      <c r="N1088" s="5">
        <v>46223.1297337963</v>
      </c>
      <c r="O1088" s="4" t="b">
        <f>L1088 = "PASS"</f>
        <v>1</v>
      </c>
      <c r="P1088" s="4" t="b">
        <f>L1088 = "FAIL"</f>
        <v>0</v>
      </c>
      <c r="Q1088" s="4" t="b">
        <f>AND(((P1088)=TRUE), ((K1088)=TRUE))</f>
        <v>0</v>
      </c>
      <c r="R1088" s="4" t="str">
        <f>IF(((O1088)=TRUE),  I1088,  "")</f>
        <v>suite-integrity</v>
      </c>
      <c r="S1088" s="4" t="str">
        <f>IF(((Q1088)=TRUE),  I1088,  "")</f>
      </c>
      <c r="T1088" s="3" t="s">
        <v>6001</v>
      </c>
    </row>
    <row r="1089">
      <c r="A1089" s="3" t="s">
        <v>7254</v>
      </c>
      <c r="B1089" s="4" t="str">
        <f>C1089 &amp; ": " &amp; D1089</f>
        <v>fk-resolves: Steps.ProcedureVersion -&gt; ProcedureVersions</v>
      </c>
      <c r="C1089" s="3" t="s">
        <v>7193</v>
      </c>
      <c r="D1089" s="3" t="s">
        <v>7255</v>
      </c>
      <c r="E1089" s="3" t="s">
        <v>1778</v>
      </c>
      <c r="F1089" s="3" t="s">
        <v>478</v>
      </c>
      <c r="G1089" s="3" t="s">
        <v>7247</v>
      </c>
      <c r="H1089" s="3"/>
      <c r="I1089" s="3" t="s">
        <v>5988</v>
      </c>
      <c r="J1089" s="3" t="s">
        <v>5999</v>
      </c>
      <c r="K1089" s="4" t="b">
        <f>J1089 = "blocking"</f>
        <v>1</v>
      </c>
      <c r="L1089" s="3" t="s">
        <v>1448</v>
      </c>
      <c r="M1089" s="3" t="s">
        <v>7196</v>
      </c>
      <c r="N1089" s="5">
        <v>46223.1297337963</v>
      </c>
      <c r="O1089" s="4" t="b">
        <f>L1089 = "PASS"</f>
        <v>1</v>
      </c>
      <c r="P1089" s="4" t="b">
        <f>L1089 = "FAIL"</f>
        <v>0</v>
      </c>
      <c r="Q1089" s="4" t="b">
        <f>AND(((P1089)=TRUE), ((K1089)=TRUE))</f>
        <v>0</v>
      </c>
      <c r="R1089" s="4" t="str">
        <f>IF(((O1089)=TRUE),  I1089,  "")</f>
        <v>suite-integrity</v>
      </c>
      <c r="S1089" s="4" t="str">
        <f>IF(((Q1089)=TRUE),  I1089,  "")</f>
      </c>
      <c r="T1089" s="3" t="s">
        <v>6001</v>
      </c>
    </row>
    <row r="1090">
      <c r="A1090" s="3" t="s">
        <v>7256</v>
      </c>
      <c r="B1090" s="4" t="str">
        <f>C1090 &amp; ": " &amp; D1090</f>
        <v>fk-resolves: Steps.AssignedRole -&gt; Roles</v>
      </c>
      <c r="C1090" s="3" t="s">
        <v>7193</v>
      </c>
      <c r="D1090" s="3" t="s">
        <v>7257</v>
      </c>
      <c r="E1090" s="3" t="s">
        <v>1778</v>
      </c>
      <c r="F1090" s="3" t="s">
        <v>501</v>
      </c>
      <c r="G1090" s="3" t="s">
        <v>7204</v>
      </c>
      <c r="H1090" s="3"/>
      <c r="I1090" s="3" t="s">
        <v>5988</v>
      </c>
      <c r="J1090" s="3" t="s">
        <v>5999</v>
      </c>
      <c r="K1090" s="4" t="b">
        <f>J1090 = "blocking"</f>
        <v>1</v>
      </c>
      <c r="L1090" s="3" t="s">
        <v>1448</v>
      </c>
      <c r="M1090" s="3" t="s">
        <v>7196</v>
      </c>
      <c r="N1090" s="5">
        <v>46223.1297337963</v>
      </c>
      <c r="O1090" s="4" t="b">
        <f>L1090 = "PASS"</f>
        <v>1</v>
      </c>
      <c r="P1090" s="4" t="b">
        <f>L1090 = "FAIL"</f>
        <v>0</v>
      </c>
      <c r="Q1090" s="4" t="b">
        <f>AND(((P1090)=TRUE), ((K1090)=TRUE))</f>
        <v>0</v>
      </c>
      <c r="R1090" s="4" t="str">
        <f>IF(((O1090)=TRUE),  I1090,  "")</f>
        <v>suite-integrity</v>
      </c>
      <c r="S1090" s="4" t="str">
        <f>IF(((Q1090)=TRUE),  I1090,  "")</f>
      </c>
      <c r="T1090" s="3" t="s">
        <v>6001</v>
      </c>
    </row>
    <row r="1091">
      <c r="A1091" s="3" t="s">
        <v>7258</v>
      </c>
      <c r="B1091" s="4" t="str">
        <f>C1091 &amp; ": " &amp; D1091</f>
        <v>fk-resolves: StepTransitions.ProcedureVersion -&gt; ProcedureVersions</v>
      </c>
      <c r="C1091" s="3" t="s">
        <v>7193</v>
      </c>
      <c r="D1091" s="3" t="s">
        <v>7259</v>
      </c>
      <c r="E1091" s="3" t="s">
        <v>1784</v>
      </c>
      <c r="F1091" s="3" t="s">
        <v>478</v>
      </c>
      <c r="G1091" s="3" t="s">
        <v>7247</v>
      </c>
      <c r="H1091" s="3"/>
      <c r="I1091" s="3" t="s">
        <v>5988</v>
      </c>
      <c r="J1091" s="3" t="s">
        <v>5999</v>
      </c>
      <c r="K1091" s="4" t="b">
        <f>J1091 = "blocking"</f>
        <v>1</v>
      </c>
      <c r="L1091" s="3" t="s">
        <v>1448</v>
      </c>
      <c r="M1091" s="3" t="s">
        <v>7196</v>
      </c>
      <c r="N1091" s="5">
        <v>46223.1297337963</v>
      </c>
      <c r="O1091" s="4" t="b">
        <f>L1091 = "PASS"</f>
        <v>1</v>
      </c>
      <c r="P1091" s="4" t="b">
        <f>L1091 = "FAIL"</f>
        <v>0</v>
      </c>
      <c r="Q1091" s="4" t="b">
        <f>AND(((P1091)=TRUE), ((K1091)=TRUE))</f>
        <v>0</v>
      </c>
      <c r="R1091" s="4" t="str">
        <f>IF(((O1091)=TRUE),  I1091,  "")</f>
        <v>suite-integrity</v>
      </c>
      <c r="S1091" s="4" t="str">
        <f>IF(((Q1091)=TRUE),  I1091,  "")</f>
      </c>
      <c r="T1091" s="3" t="s">
        <v>6001</v>
      </c>
    </row>
    <row r="1092">
      <c r="A1092" s="3" t="s">
        <v>7260</v>
      </c>
      <c r="B1092" s="4" t="str">
        <f>C1092 &amp; ": " &amp; D1092</f>
        <v>fk-resolves: StepTransitions.FromStep -&gt; Steps</v>
      </c>
      <c r="C1092" s="3" t="s">
        <v>7193</v>
      </c>
      <c r="D1092" s="3" t="s">
        <v>7261</v>
      </c>
      <c r="E1092" s="3" t="s">
        <v>1784</v>
      </c>
      <c r="F1092" s="3" t="s">
        <v>622</v>
      </c>
      <c r="G1092" s="3" t="s">
        <v>7262</v>
      </c>
      <c r="H1092" s="3"/>
      <c r="I1092" s="3" t="s">
        <v>5988</v>
      </c>
      <c r="J1092" s="3" t="s">
        <v>5999</v>
      </c>
      <c r="K1092" s="4" t="b">
        <f>J1092 = "blocking"</f>
        <v>1</v>
      </c>
      <c r="L1092" s="3" t="s">
        <v>1448</v>
      </c>
      <c r="M1092" s="3" t="s">
        <v>7196</v>
      </c>
      <c r="N1092" s="5">
        <v>46223.1297337963</v>
      </c>
      <c r="O1092" s="4" t="b">
        <f>L1092 = "PASS"</f>
        <v>1</v>
      </c>
      <c r="P1092" s="4" t="b">
        <f>L1092 = "FAIL"</f>
        <v>0</v>
      </c>
      <c r="Q1092" s="4" t="b">
        <f>AND(((P1092)=TRUE), ((K1092)=TRUE))</f>
        <v>0</v>
      </c>
      <c r="R1092" s="4" t="str">
        <f>IF(((O1092)=TRUE),  I1092,  "")</f>
        <v>suite-integrity</v>
      </c>
      <c r="S1092" s="4" t="str">
        <f>IF(((Q1092)=TRUE),  I1092,  "")</f>
      </c>
      <c r="T1092" s="3" t="s">
        <v>6001</v>
      </c>
    </row>
    <row r="1093">
      <c r="A1093" s="3" t="s">
        <v>7263</v>
      </c>
      <c r="B1093" s="4" t="str">
        <f>C1093 &amp; ": " &amp; D1093</f>
        <v>fk-resolves: StepTransitions.ToStep -&gt; Steps</v>
      </c>
      <c r="C1093" s="3" t="s">
        <v>7193</v>
      </c>
      <c r="D1093" s="3" t="s">
        <v>7264</v>
      </c>
      <c r="E1093" s="3" t="s">
        <v>1784</v>
      </c>
      <c r="F1093" s="3" t="s">
        <v>623</v>
      </c>
      <c r="G1093" s="3" t="s">
        <v>7262</v>
      </c>
      <c r="H1093" s="3"/>
      <c r="I1093" s="3" t="s">
        <v>5988</v>
      </c>
      <c r="J1093" s="3" t="s">
        <v>5999</v>
      </c>
      <c r="K1093" s="4" t="b">
        <f>J1093 = "blocking"</f>
        <v>1</v>
      </c>
      <c r="L1093" s="3" t="s">
        <v>1448</v>
      </c>
      <c r="M1093" s="3" t="s">
        <v>7196</v>
      </c>
      <c r="N1093" s="5">
        <v>46223.1297337963</v>
      </c>
      <c r="O1093" s="4" t="b">
        <f>L1093 = "PASS"</f>
        <v>1</v>
      </c>
      <c r="P1093" s="4" t="b">
        <f>L1093 = "FAIL"</f>
        <v>0</v>
      </c>
      <c r="Q1093" s="4" t="b">
        <f>AND(((P1093)=TRUE), ((K1093)=TRUE))</f>
        <v>0</v>
      </c>
      <c r="R1093" s="4" t="str">
        <f>IF(((O1093)=TRUE),  I1093,  "")</f>
        <v>suite-integrity</v>
      </c>
      <c r="S1093" s="4" t="str">
        <f>IF(((Q1093)=TRUE),  I1093,  "")</f>
      </c>
      <c r="T1093" s="3" t="s">
        <v>6001</v>
      </c>
    </row>
    <row r="1094">
      <c r="A1094" s="3" t="s">
        <v>7265</v>
      </c>
      <c r="B1094" s="4" t="str">
        <f>C1094 &amp; ": " &amp; D1094</f>
        <v>fk-resolves: StepActions.Step -&gt; Steps</v>
      </c>
      <c r="C1094" s="3" t="s">
        <v>7193</v>
      </c>
      <c r="D1094" s="3" t="s">
        <v>7266</v>
      </c>
      <c r="E1094" s="3" t="s">
        <v>3028</v>
      </c>
      <c r="F1094" s="3" t="s">
        <v>767</v>
      </c>
      <c r="G1094" s="3" t="s">
        <v>7262</v>
      </c>
      <c r="H1094" s="3"/>
      <c r="I1094" s="3" t="s">
        <v>5988</v>
      </c>
      <c r="J1094" s="3" t="s">
        <v>5999</v>
      </c>
      <c r="K1094" s="4" t="b">
        <f>J1094 = "blocking"</f>
        <v>1</v>
      </c>
      <c r="L1094" s="3" t="s">
        <v>1448</v>
      </c>
      <c r="M1094" s="3" t="s">
        <v>7196</v>
      </c>
      <c r="N1094" s="5">
        <v>46223.1297337963</v>
      </c>
      <c r="O1094" s="4" t="b">
        <f>L1094 = "PASS"</f>
        <v>1</v>
      </c>
      <c r="P1094" s="4" t="b">
        <f>L1094 = "FAIL"</f>
        <v>0</v>
      </c>
      <c r="Q1094" s="4" t="b">
        <f>AND(((P1094)=TRUE), ((K1094)=TRUE))</f>
        <v>0</v>
      </c>
      <c r="R1094" s="4" t="str">
        <f>IF(((O1094)=TRUE),  I1094,  "")</f>
        <v>suite-integrity</v>
      </c>
      <c r="S1094" s="4" t="str">
        <f>IF(((Q1094)=TRUE),  I1094,  "")</f>
      </c>
      <c r="T1094" s="3" t="s">
        <v>6001</v>
      </c>
    </row>
    <row r="1095">
      <c r="A1095" s="3" t="s">
        <v>7267</v>
      </c>
      <c r="B1095" s="4" t="str">
        <f>C1095 &amp; ": " &amp; D1095</f>
        <v>fk-resolves: StepActions.Action -&gt; Actions</v>
      </c>
      <c r="C1095" s="3" t="s">
        <v>7193</v>
      </c>
      <c r="D1095" s="3" t="s">
        <v>7268</v>
      </c>
      <c r="E1095" s="3" t="s">
        <v>3028</v>
      </c>
      <c r="F1095" s="3" t="s">
        <v>768</v>
      </c>
      <c r="G1095" s="3" t="s">
        <v>7269</v>
      </c>
      <c r="H1095" s="3"/>
      <c r="I1095" s="3" t="s">
        <v>5988</v>
      </c>
      <c r="J1095" s="3" t="s">
        <v>5999</v>
      </c>
      <c r="K1095" s="4" t="b">
        <f>J1095 = "blocking"</f>
        <v>1</v>
      </c>
      <c r="L1095" s="3" t="s">
        <v>1448</v>
      </c>
      <c r="M1095" s="3" t="s">
        <v>7196</v>
      </c>
      <c r="N1095" s="5">
        <v>46223.1297337963</v>
      </c>
      <c r="O1095" s="4" t="b">
        <f>L1095 = "PASS"</f>
        <v>1</v>
      </c>
      <c r="P1095" s="4" t="b">
        <f>L1095 = "FAIL"</f>
        <v>0</v>
      </c>
      <c r="Q1095" s="4" t="b">
        <f>AND(((P1095)=TRUE), ((K1095)=TRUE))</f>
        <v>0</v>
      </c>
      <c r="R1095" s="4" t="str">
        <f>IF(((O1095)=TRUE),  I1095,  "")</f>
        <v>suite-integrity</v>
      </c>
      <c r="S1095" s="4" t="str">
        <f>IF(((Q1095)=TRUE),  I1095,  "")</f>
      </c>
      <c r="T1095" s="3" t="s">
        <v>6001</v>
      </c>
    </row>
    <row r="1096">
      <c r="A1096" s="3" t="s">
        <v>7270</v>
      </c>
      <c r="B1096" s="4" t="str">
        <f>C1096 &amp; ": " &amp; D1096</f>
        <v>fk-resolves: StepFunctions.Step -&gt; Steps</v>
      </c>
      <c r="C1096" s="3" t="s">
        <v>7193</v>
      </c>
      <c r="D1096" s="3" t="s">
        <v>7271</v>
      </c>
      <c r="E1096" s="3" t="s">
        <v>3034</v>
      </c>
      <c r="F1096" s="3" t="s">
        <v>767</v>
      </c>
      <c r="G1096" s="3" t="s">
        <v>7262</v>
      </c>
      <c r="H1096" s="3"/>
      <c r="I1096" s="3" t="s">
        <v>5988</v>
      </c>
      <c r="J1096" s="3" t="s">
        <v>5999</v>
      </c>
      <c r="K1096" s="4" t="b">
        <f>J1096 = "blocking"</f>
        <v>1</v>
      </c>
      <c r="L1096" s="3" t="s">
        <v>1448</v>
      </c>
      <c r="M1096" s="3" t="s">
        <v>7196</v>
      </c>
      <c r="N1096" s="5">
        <v>46223.1297337963</v>
      </c>
      <c r="O1096" s="4" t="b">
        <f>L1096 = "PASS"</f>
        <v>1</v>
      </c>
      <c r="P1096" s="4" t="b">
        <f>L1096 = "FAIL"</f>
        <v>0</v>
      </c>
      <c r="Q1096" s="4" t="b">
        <f>AND(((P1096)=TRUE), ((K1096)=TRUE))</f>
        <v>0</v>
      </c>
      <c r="R1096" s="4" t="str">
        <f>IF(((O1096)=TRUE),  I1096,  "")</f>
        <v>suite-integrity</v>
      </c>
      <c r="S1096" s="4" t="str">
        <f>IF(((Q1096)=TRUE),  I1096,  "")</f>
      </c>
      <c r="T1096" s="3" t="s">
        <v>6001</v>
      </c>
    </row>
    <row r="1097">
      <c r="A1097" s="3" t="s">
        <v>7272</v>
      </c>
      <c r="B1097" s="4" t="str">
        <f>C1097 &amp; ": " &amp; D1097</f>
        <v>fk-resolves: StepFunctions.Function -&gt; Functions</v>
      </c>
      <c r="C1097" s="3" t="s">
        <v>7193</v>
      </c>
      <c r="D1097" s="3" t="s">
        <v>7273</v>
      </c>
      <c r="E1097" s="3" t="s">
        <v>3034</v>
      </c>
      <c r="F1097" s="3" t="s">
        <v>779</v>
      </c>
      <c r="G1097" s="3" t="s">
        <v>7274</v>
      </c>
      <c r="H1097" s="3"/>
      <c r="I1097" s="3" t="s">
        <v>5988</v>
      </c>
      <c r="J1097" s="3" t="s">
        <v>5999</v>
      </c>
      <c r="K1097" s="4" t="b">
        <f>J1097 = "blocking"</f>
        <v>1</v>
      </c>
      <c r="L1097" s="3" t="s">
        <v>1448</v>
      </c>
      <c r="M1097" s="3" t="s">
        <v>7196</v>
      </c>
      <c r="N1097" s="5">
        <v>46223.1297337963</v>
      </c>
      <c r="O1097" s="4" t="b">
        <f>L1097 = "PASS"</f>
        <v>1</v>
      </c>
      <c r="P1097" s="4" t="b">
        <f>L1097 = "FAIL"</f>
        <v>0</v>
      </c>
      <c r="Q1097" s="4" t="b">
        <f>AND(((P1097)=TRUE), ((K1097)=TRUE))</f>
        <v>0</v>
      </c>
      <c r="R1097" s="4" t="str">
        <f>IF(((O1097)=TRUE),  I1097,  "")</f>
        <v>suite-integrity</v>
      </c>
      <c r="S1097" s="4" t="str">
        <f>IF(((Q1097)=TRUE),  I1097,  "")</f>
      </c>
      <c r="T1097" s="3" t="s">
        <v>6001</v>
      </c>
    </row>
    <row r="1098">
      <c r="A1098" s="3" t="s">
        <v>7275</v>
      </c>
      <c r="B1098" s="4" t="str">
        <f>C1098 &amp; ": " &amp; D1098</f>
        <v>fk-resolves: StepTools.Step -&gt; Steps</v>
      </c>
      <c r="C1098" s="3" t="s">
        <v>7193</v>
      </c>
      <c r="D1098" s="3" t="s">
        <v>7276</v>
      </c>
      <c r="E1098" s="3" t="s">
        <v>3040</v>
      </c>
      <c r="F1098" s="3" t="s">
        <v>767</v>
      </c>
      <c r="G1098" s="3" t="s">
        <v>7262</v>
      </c>
      <c r="H1098" s="3"/>
      <c r="I1098" s="3" t="s">
        <v>5988</v>
      </c>
      <c r="J1098" s="3" t="s">
        <v>5999</v>
      </c>
      <c r="K1098" s="4" t="b">
        <f>J1098 = "blocking"</f>
        <v>1</v>
      </c>
      <c r="L1098" s="3" t="s">
        <v>1448</v>
      </c>
      <c r="M1098" s="3" t="s">
        <v>7196</v>
      </c>
      <c r="N1098" s="5">
        <v>46223.1297337963</v>
      </c>
      <c r="O1098" s="4" t="b">
        <f>L1098 = "PASS"</f>
        <v>1</v>
      </c>
      <c r="P1098" s="4" t="b">
        <f>L1098 = "FAIL"</f>
        <v>0</v>
      </c>
      <c r="Q1098" s="4" t="b">
        <f>AND(((P1098)=TRUE), ((K1098)=TRUE))</f>
        <v>0</v>
      </c>
      <c r="R1098" s="4" t="str">
        <f>IF(((O1098)=TRUE),  I1098,  "")</f>
        <v>suite-integrity</v>
      </c>
      <c r="S1098" s="4" t="str">
        <f>IF(((Q1098)=TRUE),  I1098,  "")</f>
      </c>
      <c r="T1098" s="3" t="s">
        <v>6001</v>
      </c>
    </row>
    <row r="1099">
      <c r="A1099" s="3" t="s">
        <v>7277</v>
      </c>
      <c r="B1099" s="4" t="str">
        <f>C1099 &amp; ": " &amp; D1099</f>
        <v>fk-resolves: StepTools.Tool -&gt; Tools</v>
      </c>
      <c r="C1099" s="3" t="s">
        <v>7193</v>
      </c>
      <c r="D1099" s="3" t="s">
        <v>7278</v>
      </c>
      <c r="E1099" s="3" t="s">
        <v>3040</v>
      </c>
      <c r="F1099" s="3" t="s">
        <v>789</v>
      </c>
      <c r="G1099" s="3" t="s">
        <v>7279</v>
      </c>
      <c r="H1099" s="3"/>
      <c r="I1099" s="3" t="s">
        <v>5988</v>
      </c>
      <c r="J1099" s="3" t="s">
        <v>5999</v>
      </c>
      <c r="K1099" s="4" t="b">
        <f>J1099 = "blocking"</f>
        <v>1</v>
      </c>
      <c r="L1099" s="3" t="s">
        <v>1448</v>
      </c>
      <c r="M1099" s="3" t="s">
        <v>7196</v>
      </c>
      <c r="N1099" s="5">
        <v>46223.1297337963</v>
      </c>
      <c r="O1099" s="4" t="b">
        <f>L1099 = "PASS"</f>
        <v>1</v>
      </c>
      <c r="P1099" s="4" t="b">
        <f>L1099 = "FAIL"</f>
        <v>0</v>
      </c>
      <c r="Q1099" s="4" t="b">
        <f>AND(((P1099)=TRUE), ((K1099)=TRUE))</f>
        <v>0</v>
      </c>
      <c r="R1099" s="4" t="str">
        <f>IF(((O1099)=TRUE),  I1099,  "")</f>
        <v>suite-integrity</v>
      </c>
      <c r="S1099" s="4" t="str">
        <f>IF(((Q1099)=TRUE),  I1099,  "")</f>
      </c>
      <c r="T1099" s="3" t="s">
        <v>6001</v>
      </c>
    </row>
    <row r="1100">
      <c r="A1100" s="3" t="s">
        <v>7280</v>
      </c>
      <c r="B1100" s="4" t="str">
        <f>C1100 &amp; ": " &amp; D1100</f>
        <v>fk-resolves: Requirements.AccountableRole -&gt; Roles</v>
      </c>
      <c r="C1100" s="3" t="s">
        <v>7193</v>
      </c>
      <c r="D1100" s="3" t="s">
        <v>7281</v>
      </c>
      <c r="E1100" s="3" t="s">
        <v>1805</v>
      </c>
      <c r="F1100" s="3" t="s">
        <v>830</v>
      </c>
      <c r="G1100" s="3" t="s">
        <v>7204</v>
      </c>
      <c r="H1100" s="3"/>
      <c r="I1100" s="3" t="s">
        <v>5988</v>
      </c>
      <c r="J1100" s="3" t="s">
        <v>5999</v>
      </c>
      <c r="K1100" s="4" t="b">
        <f>J1100 = "blocking"</f>
        <v>1</v>
      </c>
      <c r="L1100" s="3" t="s">
        <v>1448</v>
      </c>
      <c r="M1100" s="3" t="s">
        <v>7196</v>
      </c>
      <c r="N1100" s="5">
        <v>46223.1297337963</v>
      </c>
      <c r="O1100" s="4" t="b">
        <f>L1100 = "PASS"</f>
        <v>1</v>
      </c>
      <c r="P1100" s="4" t="b">
        <f>L1100 = "FAIL"</f>
        <v>0</v>
      </c>
      <c r="Q1100" s="4" t="b">
        <f>AND(((P1100)=TRUE), ((K1100)=TRUE))</f>
        <v>0</v>
      </c>
      <c r="R1100" s="4" t="str">
        <f>IF(((O1100)=TRUE),  I1100,  "")</f>
        <v>suite-integrity</v>
      </c>
      <c r="S1100" s="4" t="str">
        <f>IF(((Q1100)=TRUE),  I1100,  "")</f>
      </c>
      <c r="T1100" s="3" t="s">
        <v>6001</v>
      </c>
    </row>
    <row r="1101">
      <c r="A1101" s="3" t="s">
        <v>7282</v>
      </c>
      <c r="B1101" s="4" t="str">
        <f>C1101 &amp; ": " &amp; D1101</f>
        <v>fk-resolves: StepRequirements.Step -&gt; Steps</v>
      </c>
      <c r="C1101" s="3" t="s">
        <v>7193</v>
      </c>
      <c r="D1101" s="3" t="s">
        <v>7283</v>
      </c>
      <c r="E1101" s="3" t="s">
        <v>3119</v>
      </c>
      <c r="F1101" s="3" t="s">
        <v>767</v>
      </c>
      <c r="G1101" s="3" t="s">
        <v>7262</v>
      </c>
      <c r="H1101" s="3"/>
      <c r="I1101" s="3" t="s">
        <v>5988</v>
      </c>
      <c r="J1101" s="3" t="s">
        <v>5999</v>
      </c>
      <c r="K1101" s="4" t="b">
        <f>J1101 = "blocking"</f>
        <v>1</v>
      </c>
      <c r="L1101" s="3" t="s">
        <v>1448</v>
      </c>
      <c r="M1101" s="3" t="s">
        <v>7196</v>
      </c>
      <c r="N1101" s="5">
        <v>46223.1297337963</v>
      </c>
      <c r="O1101" s="4" t="b">
        <f>L1101 = "PASS"</f>
        <v>1</v>
      </c>
      <c r="P1101" s="4" t="b">
        <f>L1101 = "FAIL"</f>
        <v>0</v>
      </c>
      <c r="Q1101" s="4" t="b">
        <f>AND(((P1101)=TRUE), ((K1101)=TRUE))</f>
        <v>0</v>
      </c>
      <c r="R1101" s="4" t="str">
        <f>IF(((O1101)=TRUE),  I1101,  "")</f>
        <v>suite-integrity</v>
      </c>
      <c r="S1101" s="4" t="str">
        <f>IF(((Q1101)=TRUE),  I1101,  "")</f>
      </c>
      <c r="T1101" s="3" t="s">
        <v>6001</v>
      </c>
    </row>
    <row r="1102">
      <c r="A1102" s="3" t="s">
        <v>7284</v>
      </c>
      <c r="B1102" s="4" t="str">
        <f>C1102 &amp; ": " &amp; D1102</f>
        <v>fk-resolves: StepRequirements.Requirement -&gt; Requirements</v>
      </c>
      <c r="C1102" s="3" t="s">
        <v>7193</v>
      </c>
      <c r="D1102" s="3" t="s">
        <v>7285</v>
      </c>
      <c r="E1102" s="3" t="s">
        <v>3119</v>
      </c>
      <c r="F1102" s="3" t="s">
        <v>914</v>
      </c>
      <c r="G1102" s="3" t="s">
        <v>7286</v>
      </c>
      <c r="H1102" s="3"/>
      <c r="I1102" s="3" t="s">
        <v>5988</v>
      </c>
      <c r="J1102" s="3" t="s">
        <v>5999</v>
      </c>
      <c r="K1102" s="4" t="b">
        <f>J1102 = "blocking"</f>
        <v>1</v>
      </c>
      <c r="L1102" s="3" t="s">
        <v>1448</v>
      </c>
      <c r="M1102" s="3" t="s">
        <v>7196</v>
      </c>
      <c r="N1102" s="5">
        <v>46223.1297337963</v>
      </c>
      <c r="O1102" s="4" t="b">
        <f>L1102 = "PASS"</f>
        <v>1</v>
      </c>
      <c r="P1102" s="4" t="b">
        <f>L1102 = "FAIL"</f>
        <v>0</v>
      </c>
      <c r="Q1102" s="4" t="b">
        <f>AND(((P1102)=TRUE), ((K1102)=TRUE))</f>
        <v>0</v>
      </c>
      <c r="R1102" s="4" t="str">
        <f>IF(((O1102)=TRUE),  I1102,  "")</f>
        <v>suite-integrity</v>
      </c>
      <c r="S1102" s="4" t="str">
        <f>IF(((Q1102)=TRUE),  I1102,  "")</f>
      </c>
      <c r="T1102" s="3" t="s">
        <v>6001</v>
      </c>
    </row>
    <row r="1103">
      <c r="A1103" s="3" t="s">
        <v>7287</v>
      </c>
      <c r="B1103" s="4" t="str">
        <f>C1103 &amp; ": " &amp; D1103</f>
        <v>fk-resolves: StepVerifications.Step -&gt; Steps</v>
      </c>
      <c r="C1103" s="3" t="s">
        <v>7193</v>
      </c>
      <c r="D1103" s="3" t="s">
        <v>7288</v>
      </c>
      <c r="E1103" s="3" t="s">
        <v>1808</v>
      </c>
      <c r="F1103" s="3" t="s">
        <v>767</v>
      </c>
      <c r="G1103" s="3" t="s">
        <v>7262</v>
      </c>
      <c r="H1103" s="3"/>
      <c r="I1103" s="3" t="s">
        <v>5988</v>
      </c>
      <c r="J1103" s="3" t="s">
        <v>5999</v>
      </c>
      <c r="K1103" s="4" t="b">
        <f>J1103 = "blocking"</f>
        <v>1</v>
      </c>
      <c r="L1103" s="3" t="s">
        <v>1448</v>
      </c>
      <c r="M1103" s="3" t="s">
        <v>7196</v>
      </c>
      <c r="N1103" s="5">
        <v>46223.1297337963</v>
      </c>
      <c r="O1103" s="4" t="b">
        <f>L1103 = "PASS"</f>
        <v>1</v>
      </c>
      <c r="P1103" s="4" t="b">
        <f>L1103 = "FAIL"</f>
        <v>0</v>
      </c>
      <c r="Q1103" s="4" t="b">
        <f>AND(((P1103)=TRUE), ((K1103)=TRUE))</f>
        <v>0</v>
      </c>
      <c r="R1103" s="4" t="str">
        <f>IF(((O1103)=TRUE),  I1103,  "")</f>
        <v>suite-integrity</v>
      </c>
      <c r="S1103" s="4" t="str">
        <f>IF(((Q1103)=TRUE),  I1103,  "")</f>
      </c>
      <c r="T1103" s="3" t="s">
        <v>6001</v>
      </c>
    </row>
    <row r="1104">
      <c r="A1104" s="3" t="s">
        <v>7289</v>
      </c>
      <c r="B1104" s="4" t="str">
        <f>C1104 &amp; ": " &amp; D1104</f>
        <v>fk-resolves: Rationales.ProcedureVersion -&gt; ProcedureVersions</v>
      </c>
      <c r="C1104" s="3" t="s">
        <v>7193</v>
      </c>
      <c r="D1104" s="3" t="s">
        <v>7290</v>
      </c>
      <c r="E1104" s="3" t="s">
        <v>3151</v>
      </c>
      <c r="F1104" s="3" t="s">
        <v>478</v>
      </c>
      <c r="G1104" s="3" t="s">
        <v>7247</v>
      </c>
      <c r="H1104" s="3"/>
      <c r="I1104" s="3" t="s">
        <v>5988</v>
      </c>
      <c r="J1104" s="3" t="s">
        <v>5999</v>
      </c>
      <c r="K1104" s="4" t="b">
        <f>J1104 = "blocking"</f>
        <v>1</v>
      </c>
      <c r="L1104" s="3" t="s">
        <v>1448</v>
      </c>
      <c r="M1104" s="3" t="s">
        <v>7196</v>
      </c>
      <c r="N1104" s="5">
        <v>46223.1297337963</v>
      </c>
      <c r="O1104" s="4" t="b">
        <f>L1104 = "PASS"</f>
        <v>1</v>
      </c>
      <c r="P1104" s="4" t="b">
        <f>L1104 = "FAIL"</f>
        <v>0</v>
      </c>
      <c r="Q1104" s="4" t="b">
        <f>AND(((P1104)=TRUE), ((K1104)=TRUE))</f>
        <v>0</v>
      </c>
      <c r="R1104" s="4" t="str">
        <f>IF(((O1104)=TRUE),  I1104,  "")</f>
        <v>suite-integrity</v>
      </c>
      <c r="S1104" s="4" t="str">
        <f>IF(((Q1104)=TRUE),  I1104,  "")</f>
      </c>
      <c r="T1104" s="3" t="s">
        <v>6001</v>
      </c>
    </row>
    <row r="1105">
      <c r="A1105" s="3" t="s">
        <v>7291</v>
      </c>
      <c r="B1105" s="4" t="str">
        <f>C1105 &amp; ": " &amp; D1105</f>
        <v>fk-resolves: Rationales.Step -&gt; Steps</v>
      </c>
      <c r="C1105" s="3" t="s">
        <v>7193</v>
      </c>
      <c r="D1105" s="3" t="s">
        <v>7292</v>
      </c>
      <c r="E1105" s="3" t="s">
        <v>3151</v>
      </c>
      <c r="F1105" s="3" t="s">
        <v>767</v>
      </c>
      <c r="G1105" s="3" t="s">
        <v>7262</v>
      </c>
      <c r="H1105" s="3"/>
      <c r="I1105" s="3" t="s">
        <v>5988</v>
      </c>
      <c r="J1105" s="3" t="s">
        <v>5999</v>
      </c>
      <c r="K1105" s="4" t="b">
        <f>J1105 = "blocking"</f>
        <v>1</v>
      </c>
      <c r="L1105" s="3" t="s">
        <v>1448</v>
      </c>
      <c r="M1105" s="3" t="s">
        <v>7196</v>
      </c>
      <c r="N1105" s="5">
        <v>46223.1297337963</v>
      </c>
      <c r="O1105" s="4" t="b">
        <f>L1105 = "PASS"</f>
        <v>1</v>
      </c>
      <c r="P1105" s="4" t="b">
        <f>L1105 = "FAIL"</f>
        <v>0</v>
      </c>
      <c r="Q1105" s="4" t="b">
        <f>AND(((P1105)=TRUE), ((K1105)=TRUE))</f>
        <v>0</v>
      </c>
      <c r="R1105" s="4" t="str">
        <f>IF(((O1105)=TRUE),  I1105,  "")</f>
        <v>suite-integrity</v>
      </c>
      <c r="S1105" s="4" t="str">
        <f>IF(((Q1105)=TRUE),  I1105,  "")</f>
      </c>
      <c r="T1105" s="3" t="s">
        <v>6001</v>
      </c>
    </row>
    <row r="1106">
      <c r="A1106" s="3" t="s">
        <v>7293</v>
      </c>
      <c r="B1106" s="4" t="str">
        <f>C1106 &amp; ": " &amp; D1106</f>
        <v>fk-resolves: Rationales.AuthorityRole -&gt; Roles</v>
      </c>
      <c r="C1106" s="3" t="s">
        <v>7193</v>
      </c>
      <c r="D1106" s="3" t="s">
        <v>7294</v>
      </c>
      <c r="E1106" s="3" t="s">
        <v>3151</v>
      </c>
      <c r="F1106" s="3" t="s">
        <v>986</v>
      </c>
      <c r="G1106" s="3" t="s">
        <v>7204</v>
      </c>
      <c r="H1106" s="3"/>
      <c r="I1106" s="3" t="s">
        <v>5988</v>
      </c>
      <c r="J1106" s="3" t="s">
        <v>5999</v>
      </c>
      <c r="K1106" s="4" t="b">
        <f>J1106 = "blocking"</f>
        <v>1</v>
      </c>
      <c r="L1106" s="3" t="s">
        <v>1448</v>
      </c>
      <c r="M1106" s="3" t="s">
        <v>7196</v>
      </c>
      <c r="N1106" s="5">
        <v>46223.1297337963</v>
      </c>
      <c r="O1106" s="4" t="b">
        <f>L1106 = "PASS"</f>
        <v>1</v>
      </c>
      <c r="P1106" s="4" t="b">
        <f>L1106 = "FAIL"</f>
        <v>0</v>
      </c>
      <c r="Q1106" s="4" t="b">
        <f>AND(((P1106)=TRUE), ((K1106)=TRUE))</f>
        <v>0</v>
      </c>
      <c r="R1106" s="4" t="str">
        <f>IF(((O1106)=TRUE),  I1106,  "")</f>
        <v>suite-integrity</v>
      </c>
      <c r="S1106" s="4" t="str">
        <f>IF(((Q1106)=TRUE),  I1106,  "")</f>
      </c>
      <c r="T1106" s="3" t="s">
        <v>6001</v>
      </c>
    </row>
    <row r="1107">
      <c r="A1107" s="3" t="s">
        <v>7295</v>
      </c>
      <c r="B1107" s="4" t="str">
        <f>C1107 &amp; ": " &amp; D1107</f>
        <v>fk-resolves: Exceptions.ProcedureVersion -&gt; ProcedureVersions</v>
      </c>
      <c r="C1107" s="3" t="s">
        <v>7193</v>
      </c>
      <c r="D1107" s="3" t="s">
        <v>7296</v>
      </c>
      <c r="E1107" s="3" t="s">
        <v>3161</v>
      </c>
      <c r="F1107" s="3" t="s">
        <v>478</v>
      </c>
      <c r="G1107" s="3" t="s">
        <v>7247</v>
      </c>
      <c r="H1107" s="3"/>
      <c r="I1107" s="3" t="s">
        <v>5988</v>
      </c>
      <c r="J1107" s="3" t="s">
        <v>5999</v>
      </c>
      <c r="K1107" s="4" t="b">
        <f>J1107 = "blocking"</f>
        <v>1</v>
      </c>
      <c r="L1107" s="3" t="s">
        <v>1448</v>
      </c>
      <c r="M1107" s="3" t="s">
        <v>7196</v>
      </c>
      <c r="N1107" s="5">
        <v>46223.1297337963</v>
      </c>
      <c r="O1107" s="4" t="b">
        <f>L1107 = "PASS"</f>
        <v>1</v>
      </c>
      <c r="P1107" s="4" t="b">
        <f>L1107 = "FAIL"</f>
        <v>0</v>
      </c>
      <c r="Q1107" s="4" t="b">
        <f>AND(((P1107)=TRUE), ((K1107)=TRUE))</f>
        <v>0</v>
      </c>
      <c r="R1107" s="4" t="str">
        <f>IF(((O1107)=TRUE),  I1107,  "")</f>
        <v>suite-integrity</v>
      </c>
      <c r="S1107" s="4" t="str">
        <f>IF(((Q1107)=TRUE),  I1107,  "")</f>
      </c>
      <c r="T1107" s="3" t="s">
        <v>6001</v>
      </c>
    </row>
    <row r="1108">
      <c r="A1108" s="3" t="s">
        <v>7297</v>
      </c>
      <c r="B1108" s="4" t="str">
        <f>C1108 &amp; ": " &amp; D1108</f>
        <v>fk-resolves: Exceptions.TriggerStep -&gt; Steps</v>
      </c>
      <c r="C1108" s="3" t="s">
        <v>7193</v>
      </c>
      <c r="D1108" s="3" t="s">
        <v>7298</v>
      </c>
      <c r="E1108" s="3" t="s">
        <v>3161</v>
      </c>
      <c r="F1108" s="3" t="s">
        <v>1001</v>
      </c>
      <c r="G1108" s="3" t="s">
        <v>7262</v>
      </c>
      <c r="H1108" s="3"/>
      <c r="I1108" s="3" t="s">
        <v>5988</v>
      </c>
      <c r="J1108" s="3" t="s">
        <v>5999</v>
      </c>
      <c r="K1108" s="4" t="b">
        <f>J1108 = "blocking"</f>
        <v>1</v>
      </c>
      <c r="L1108" s="3" t="s">
        <v>1448</v>
      </c>
      <c r="M1108" s="3" t="s">
        <v>7196</v>
      </c>
      <c r="N1108" s="5">
        <v>46223.1297337963</v>
      </c>
      <c r="O1108" s="4" t="b">
        <f>L1108 = "PASS"</f>
        <v>1</v>
      </c>
      <c r="P1108" s="4" t="b">
        <f>L1108 = "FAIL"</f>
        <v>0</v>
      </c>
      <c r="Q1108" s="4" t="b">
        <f>AND(((P1108)=TRUE), ((K1108)=TRUE))</f>
        <v>0</v>
      </c>
      <c r="R1108" s="4" t="str">
        <f>IF(((O1108)=TRUE),  I1108,  "")</f>
        <v>suite-integrity</v>
      </c>
      <c r="S1108" s="4" t="str">
        <f>IF(((Q1108)=TRUE),  I1108,  "")</f>
      </c>
      <c r="T1108" s="3" t="s">
        <v>6001</v>
      </c>
    </row>
    <row r="1109">
      <c r="A1109" s="3" t="s">
        <v>7299</v>
      </c>
      <c r="B1109" s="4" t="str">
        <f>C1109 &amp; ": " &amp; D1109</f>
        <v>fk-resolves: Exceptions.ApprovalRole -&gt; Roles</v>
      </c>
      <c r="C1109" s="3" t="s">
        <v>7193</v>
      </c>
      <c r="D1109" s="3" t="s">
        <v>7300</v>
      </c>
      <c r="E1109" s="3" t="s">
        <v>3161</v>
      </c>
      <c r="F1109" s="3" t="s">
        <v>1003</v>
      </c>
      <c r="G1109" s="3" t="s">
        <v>7204</v>
      </c>
      <c r="H1109" s="3"/>
      <c r="I1109" s="3" t="s">
        <v>5988</v>
      </c>
      <c r="J1109" s="3" t="s">
        <v>5999</v>
      </c>
      <c r="K1109" s="4" t="b">
        <f>J1109 = "blocking"</f>
        <v>1</v>
      </c>
      <c r="L1109" s="3" t="s">
        <v>1448</v>
      </c>
      <c r="M1109" s="3" t="s">
        <v>7196</v>
      </c>
      <c r="N1109" s="5">
        <v>46223.1297337963</v>
      </c>
      <c r="O1109" s="4" t="b">
        <f>L1109 = "PASS"</f>
        <v>1</v>
      </c>
      <c r="P1109" s="4" t="b">
        <f>L1109 = "FAIL"</f>
        <v>0</v>
      </c>
      <c r="Q1109" s="4" t="b">
        <f>AND(((P1109)=TRUE), ((K1109)=TRUE))</f>
        <v>0</v>
      </c>
      <c r="R1109" s="4" t="str">
        <f>IF(((O1109)=TRUE),  I1109,  "")</f>
        <v>suite-integrity</v>
      </c>
      <c r="S1109" s="4" t="str">
        <f>IF(((Q1109)=TRUE),  I1109,  "")</f>
      </c>
      <c r="T1109" s="3" t="s">
        <v>6001</v>
      </c>
    </row>
    <row r="1110">
      <c r="A1110" s="3" t="s">
        <v>7301</v>
      </c>
      <c r="B1110" s="4" t="str">
        <f>C1110 &amp; ": " &amp; D1110</f>
        <v>fk-resolves: Exceptions.FallbackRole -&gt; Roles</v>
      </c>
      <c r="C1110" s="3" t="s">
        <v>7193</v>
      </c>
      <c r="D1110" s="3" t="s">
        <v>7302</v>
      </c>
      <c r="E1110" s="3" t="s">
        <v>3161</v>
      </c>
      <c r="F1110" s="3" t="s">
        <v>1004</v>
      </c>
      <c r="G1110" s="3" t="s">
        <v>7204</v>
      </c>
      <c r="H1110" s="3"/>
      <c r="I1110" s="3" t="s">
        <v>5988</v>
      </c>
      <c r="J1110" s="3" t="s">
        <v>5999</v>
      </c>
      <c r="K1110" s="4" t="b">
        <f>J1110 = "blocking"</f>
        <v>1</v>
      </c>
      <c r="L1110" s="3" t="s">
        <v>1448</v>
      </c>
      <c r="M1110" s="3" t="s">
        <v>7196</v>
      </c>
      <c r="N1110" s="5">
        <v>46223.1297337963</v>
      </c>
      <c r="O1110" s="4" t="b">
        <f>L1110 = "PASS"</f>
        <v>1</v>
      </c>
      <c r="P1110" s="4" t="b">
        <f>L1110 = "FAIL"</f>
        <v>0</v>
      </c>
      <c r="Q1110" s="4" t="b">
        <f>AND(((P1110)=TRUE), ((K1110)=TRUE))</f>
        <v>0</v>
      </c>
      <c r="R1110" s="4" t="str">
        <f>IF(((O1110)=TRUE),  I1110,  "")</f>
        <v>suite-integrity</v>
      </c>
      <c r="S1110" s="4" t="str">
        <f>IF(((Q1110)=TRUE),  I1110,  "")</f>
      </c>
      <c r="T1110" s="3" t="s">
        <v>6001</v>
      </c>
    </row>
    <row r="1111">
      <c r="A1111" s="3" t="s">
        <v>7303</v>
      </c>
      <c r="B1111" s="4" t="str">
        <f>C1111 &amp; ": " &amp; D1111</f>
        <v>fk-resolves: ProcedureResources.ProcedureVersion -&gt; ProcedureVersions</v>
      </c>
      <c r="C1111" s="3" t="s">
        <v>7193</v>
      </c>
      <c r="D1111" s="3" t="s">
        <v>7304</v>
      </c>
      <c r="E1111" s="3" t="s">
        <v>3187</v>
      </c>
      <c r="F1111" s="3" t="s">
        <v>478</v>
      </c>
      <c r="G1111" s="3" t="s">
        <v>7247</v>
      </c>
      <c r="H1111" s="3"/>
      <c r="I1111" s="3" t="s">
        <v>5988</v>
      </c>
      <c r="J1111" s="3" t="s">
        <v>5999</v>
      </c>
      <c r="K1111" s="4" t="b">
        <f>J1111 = "blocking"</f>
        <v>1</v>
      </c>
      <c r="L1111" s="3" t="s">
        <v>1448</v>
      </c>
      <c r="M1111" s="3" t="s">
        <v>7196</v>
      </c>
      <c r="N1111" s="5">
        <v>46223.1297337963</v>
      </c>
      <c r="O1111" s="4" t="b">
        <f>L1111 = "PASS"</f>
        <v>1</v>
      </c>
      <c r="P1111" s="4" t="b">
        <f>L1111 = "FAIL"</f>
        <v>0</v>
      </c>
      <c r="Q1111" s="4" t="b">
        <f>AND(((P1111)=TRUE), ((K1111)=TRUE))</f>
        <v>0</v>
      </c>
      <c r="R1111" s="4" t="str">
        <f>IF(((O1111)=TRUE),  I1111,  "")</f>
        <v>suite-integrity</v>
      </c>
      <c r="S1111" s="4" t="str">
        <f>IF(((Q1111)=TRUE),  I1111,  "")</f>
      </c>
      <c r="T1111" s="3" t="s">
        <v>6001</v>
      </c>
    </row>
    <row r="1112">
      <c r="A1112" s="3" t="s">
        <v>7305</v>
      </c>
      <c r="B1112" s="4" t="str">
        <f>C1112 &amp; ": " &amp; D1112</f>
        <v>fk-resolves: ProcedureResources.Resource -&gt; Resources</v>
      </c>
      <c r="C1112" s="3" t="s">
        <v>7193</v>
      </c>
      <c r="D1112" s="3" t="s">
        <v>7306</v>
      </c>
      <c r="E1112" s="3" t="s">
        <v>3187</v>
      </c>
      <c r="F1112" s="3" t="s">
        <v>1066</v>
      </c>
      <c r="G1112" s="3" t="s">
        <v>7307</v>
      </c>
      <c r="H1112" s="3"/>
      <c r="I1112" s="3" t="s">
        <v>5988</v>
      </c>
      <c r="J1112" s="3" t="s">
        <v>5999</v>
      </c>
      <c r="K1112" s="4" t="b">
        <f>J1112 = "blocking"</f>
        <v>1</v>
      </c>
      <c r="L1112" s="3" t="s">
        <v>1448</v>
      </c>
      <c r="M1112" s="3" t="s">
        <v>7196</v>
      </c>
      <c r="N1112" s="5">
        <v>46223.1297337963</v>
      </c>
      <c r="O1112" s="4" t="b">
        <f>L1112 = "PASS"</f>
        <v>1</v>
      </c>
      <c r="P1112" s="4" t="b">
        <f>L1112 = "FAIL"</f>
        <v>0</v>
      </c>
      <c r="Q1112" s="4" t="b">
        <f>AND(((P1112)=TRUE), ((K1112)=TRUE))</f>
        <v>0</v>
      </c>
      <c r="R1112" s="4" t="str">
        <f>IF(((O1112)=TRUE),  I1112,  "")</f>
        <v>suite-integrity</v>
      </c>
      <c r="S1112" s="4" t="str">
        <f>IF(((Q1112)=TRUE),  I1112,  "")</f>
      </c>
      <c r="T1112" s="3" t="s">
        <v>6001</v>
      </c>
    </row>
    <row r="1113">
      <c r="A1113" s="3" t="s">
        <v>7308</v>
      </c>
      <c r="B1113" s="4" t="str">
        <f>C1113 &amp; ": " &amp; D1113</f>
        <v>fk-resolves: ElicitationSessions.ProcedureVersion -&gt; ProcedureVersions</v>
      </c>
      <c r="C1113" s="3" t="s">
        <v>7193</v>
      </c>
      <c r="D1113" s="3" t="s">
        <v>7309</v>
      </c>
      <c r="E1113" s="3" t="s">
        <v>1855</v>
      </c>
      <c r="F1113" s="3" t="s">
        <v>478</v>
      </c>
      <c r="G1113" s="3" t="s">
        <v>7247</v>
      </c>
      <c r="H1113" s="3"/>
      <c r="I1113" s="3" t="s">
        <v>5988</v>
      </c>
      <c r="J1113" s="3" t="s">
        <v>5999</v>
      </c>
      <c r="K1113" s="4" t="b">
        <f>J1113 = "blocking"</f>
        <v>1</v>
      </c>
      <c r="L1113" s="3" t="s">
        <v>1448</v>
      </c>
      <c r="M1113" s="3" t="s">
        <v>7196</v>
      </c>
      <c r="N1113" s="5">
        <v>46223.1297337963</v>
      </c>
      <c r="O1113" s="4" t="b">
        <f>L1113 = "PASS"</f>
        <v>1</v>
      </c>
      <c r="P1113" s="4" t="b">
        <f>L1113 = "FAIL"</f>
        <v>0</v>
      </c>
      <c r="Q1113" s="4" t="b">
        <f>AND(((P1113)=TRUE), ((K1113)=TRUE))</f>
        <v>0</v>
      </c>
      <c r="R1113" s="4" t="str">
        <f>IF(((O1113)=TRUE),  I1113,  "")</f>
        <v>suite-integrity</v>
      </c>
      <c r="S1113" s="4" t="str">
        <f>IF(((Q1113)=TRUE),  I1113,  "")</f>
      </c>
      <c r="T1113" s="3" t="s">
        <v>6001</v>
      </c>
    </row>
    <row r="1114">
      <c r="A1114" s="3" t="s">
        <v>7310</v>
      </c>
      <c r="B1114" s="4" t="str">
        <f>C1114 &amp; ": " &amp; D1114</f>
        <v>fk-resolves: ElicitationSessions.PractitionerAgent -&gt; Agents</v>
      </c>
      <c r="C1114" s="3" t="s">
        <v>7193</v>
      </c>
      <c r="D1114" s="3" t="s">
        <v>7311</v>
      </c>
      <c r="E1114" s="3" t="s">
        <v>1855</v>
      </c>
      <c r="F1114" s="3" t="s">
        <v>1082</v>
      </c>
      <c r="G1114" s="3" t="s">
        <v>7201</v>
      </c>
      <c r="H1114" s="3"/>
      <c r="I1114" s="3" t="s">
        <v>5988</v>
      </c>
      <c r="J1114" s="3" t="s">
        <v>5999</v>
      </c>
      <c r="K1114" s="4" t="b">
        <f>J1114 = "blocking"</f>
        <v>1</v>
      </c>
      <c r="L1114" s="3" t="s">
        <v>1448</v>
      </c>
      <c r="M1114" s="3" t="s">
        <v>7196</v>
      </c>
      <c r="N1114" s="5">
        <v>46223.1297337963</v>
      </c>
      <c r="O1114" s="4" t="b">
        <f>L1114 = "PASS"</f>
        <v>1</v>
      </c>
      <c r="P1114" s="4" t="b">
        <f>L1114 = "FAIL"</f>
        <v>0</v>
      </c>
      <c r="Q1114" s="4" t="b">
        <f>AND(((P1114)=TRUE), ((K1114)=TRUE))</f>
        <v>0</v>
      </c>
      <c r="R1114" s="4" t="str">
        <f>IF(((O1114)=TRUE),  I1114,  "")</f>
        <v>suite-integrity</v>
      </c>
      <c r="S1114" s="4" t="str">
        <f>IF(((Q1114)=TRUE),  I1114,  "")</f>
      </c>
      <c r="T1114" s="3" t="s">
        <v>6001</v>
      </c>
    </row>
    <row r="1115">
      <c r="A1115" s="3" t="s">
        <v>7312</v>
      </c>
      <c r="B1115" s="4" t="str">
        <f>C1115 &amp; ": " &amp; D1115</f>
        <v>fk-resolves: ElicitationSessions.FacilitatorAgent -&gt; Agents</v>
      </c>
      <c r="C1115" s="3" t="s">
        <v>7193</v>
      </c>
      <c r="D1115" s="3" t="s">
        <v>7313</v>
      </c>
      <c r="E1115" s="3" t="s">
        <v>1855</v>
      </c>
      <c r="F1115" s="3" t="s">
        <v>1083</v>
      </c>
      <c r="G1115" s="3" t="s">
        <v>7201</v>
      </c>
      <c r="H1115" s="3"/>
      <c r="I1115" s="3" t="s">
        <v>5988</v>
      </c>
      <c r="J1115" s="3" t="s">
        <v>5999</v>
      </c>
      <c r="K1115" s="4" t="b">
        <f>J1115 = "blocking"</f>
        <v>1</v>
      </c>
      <c r="L1115" s="3" t="s">
        <v>1448</v>
      </c>
      <c r="M1115" s="3" t="s">
        <v>7196</v>
      </c>
      <c r="N1115" s="5">
        <v>46223.1297337963</v>
      </c>
      <c r="O1115" s="4" t="b">
        <f>L1115 = "PASS"</f>
        <v>1</v>
      </c>
      <c r="P1115" s="4" t="b">
        <f>L1115 = "FAIL"</f>
        <v>0</v>
      </c>
      <c r="Q1115" s="4" t="b">
        <f>AND(((P1115)=TRUE), ((K1115)=TRUE))</f>
        <v>0</v>
      </c>
      <c r="R1115" s="4" t="str">
        <f>IF(((O1115)=TRUE),  I1115,  "")</f>
        <v>suite-integrity</v>
      </c>
      <c r="S1115" s="4" t="str">
        <f>IF(((Q1115)=TRUE),  I1115,  "")</f>
      </c>
      <c r="T1115" s="3" t="s">
        <v>6001</v>
      </c>
    </row>
    <row r="1116">
      <c r="A1116" s="3" t="s">
        <v>7314</v>
      </c>
      <c r="B1116" s="4" t="str">
        <f>C1116 &amp; ": " &amp; D1116</f>
        <v>fk-resolves: ElicitationSessions.EvaluationContext -&gt; EvaluationContexts</v>
      </c>
      <c r="C1116" s="3" t="s">
        <v>7193</v>
      </c>
      <c r="D1116" s="3" t="s">
        <v>7315</v>
      </c>
      <c r="E1116" s="3" t="s">
        <v>1855</v>
      </c>
      <c r="F1116" s="3" t="s">
        <v>258</v>
      </c>
      <c r="G1116" s="3" t="s">
        <v>7209</v>
      </c>
      <c r="H1116" s="3"/>
      <c r="I1116" s="3" t="s">
        <v>5988</v>
      </c>
      <c r="J1116" s="3" t="s">
        <v>5999</v>
      </c>
      <c r="K1116" s="4" t="b">
        <f>J1116 = "blocking"</f>
        <v>1</v>
      </c>
      <c r="L1116" s="3" t="s">
        <v>1448</v>
      </c>
      <c r="M1116" s="3" t="s">
        <v>7196</v>
      </c>
      <c r="N1116" s="5">
        <v>46223.1297337963</v>
      </c>
      <c r="O1116" s="4" t="b">
        <f>L1116 = "PASS"</f>
        <v>1</v>
      </c>
      <c r="P1116" s="4" t="b">
        <f>L1116 = "FAIL"</f>
        <v>0</v>
      </c>
      <c r="Q1116" s="4" t="b">
        <f>AND(((P1116)=TRUE), ((K1116)=TRUE))</f>
        <v>0</v>
      </c>
      <c r="R1116" s="4" t="str">
        <f>IF(((O1116)=TRUE),  I1116,  "")</f>
        <v>suite-integrity</v>
      </c>
      <c r="S1116" s="4" t="str">
        <f>IF(((Q1116)=TRUE),  I1116,  "")</f>
      </c>
      <c r="T1116" s="3" t="s">
        <v>6001</v>
      </c>
    </row>
    <row r="1117">
      <c r="A1117" s="3" t="s">
        <v>7316</v>
      </c>
      <c r="B1117" s="4" t="str">
        <f>C1117 &amp; ": " &amp; D1117</f>
        <v>fk-resolves: KnowledgeFragments.ProcedureVersion -&gt; ProcedureVersions</v>
      </c>
      <c r="C1117" s="3" t="s">
        <v>7193</v>
      </c>
      <c r="D1117" s="3" t="s">
        <v>7317</v>
      </c>
      <c r="E1117" s="3" t="s">
        <v>1851</v>
      </c>
      <c r="F1117" s="3" t="s">
        <v>478</v>
      </c>
      <c r="G1117" s="3" t="s">
        <v>7247</v>
      </c>
      <c r="H1117" s="3"/>
      <c r="I1117" s="3" t="s">
        <v>5988</v>
      </c>
      <c r="J1117" s="3" t="s">
        <v>5999</v>
      </c>
      <c r="K1117" s="4" t="b">
        <f>J1117 = "blocking"</f>
        <v>1</v>
      </c>
      <c r="L1117" s="3" t="s">
        <v>1448</v>
      </c>
      <c r="M1117" s="3" t="s">
        <v>7196</v>
      </c>
      <c r="N1117" s="5">
        <v>46223.1297337963</v>
      </c>
      <c r="O1117" s="4" t="b">
        <f>L1117 = "PASS"</f>
        <v>1</v>
      </c>
      <c r="P1117" s="4" t="b">
        <f>L1117 = "FAIL"</f>
        <v>0</v>
      </c>
      <c r="Q1117" s="4" t="b">
        <f>AND(((P1117)=TRUE), ((K1117)=TRUE))</f>
        <v>0</v>
      </c>
      <c r="R1117" s="4" t="str">
        <f>IF(((O1117)=TRUE),  I1117,  "")</f>
        <v>suite-integrity</v>
      </c>
      <c r="S1117" s="4" t="str">
        <f>IF(((Q1117)=TRUE),  I1117,  "")</f>
      </c>
      <c r="T1117" s="3" t="s">
        <v>6001</v>
      </c>
    </row>
    <row r="1118">
      <c r="A1118" s="3" t="s">
        <v>7318</v>
      </c>
      <c r="B1118" s="4" t="str">
        <f>C1118 &amp; ": " &amp; D1118</f>
        <v>fk-resolves: KnowledgeFragments.Step -&gt; Steps</v>
      </c>
      <c r="C1118" s="3" t="s">
        <v>7193</v>
      </c>
      <c r="D1118" s="3" t="s">
        <v>7319</v>
      </c>
      <c r="E1118" s="3" t="s">
        <v>1851</v>
      </c>
      <c r="F1118" s="3" t="s">
        <v>767</v>
      </c>
      <c r="G1118" s="3" t="s">
        <v>7262</v>
      </c>
      <c r="H1118" s="3"/>
      <c r="I1118" s="3" t="s">
        <v>5988</v>
      </c>
      <c r="J1118" s="3" t="s">
        <v>5999</v>
      </c>
      <c r="K1118" s="4" t="b">
        <f>J1118 = "blocking"</f>
        <v>1</v>
      </c>
      <c r="L1118" s="3" t="s">
        <v>1448</v>
      </c>
      <c r="M1118" s="3" t="s">
        <v>7196</v>
      </c>
      <c r="N1118" s="5">
        <v>46223.1297337963</v>
      </c>
      <c r="O1118" s="4" t="b">
        <f>L1118 = "PASS"</f>
        <v>1</v>
      </c>
      <c r="P1118" s="4" t="b">
        <f>L1118 = "FAIL"</f>
        <v>0</v>
      </c>
      <c r="Q1118" s="4" t="b">
        <f>AND(((P1118)=TRUE), ((K1118)=TRUE))</f>
        <v>0</v>
      </c>
      <c r="R1118" s="4" t="str">
        <f>IF(((O1118)=TRUE),  I1118,  "")</f>
        <v>suite-integrity</v>
      </c>
      <c r="S1118" s="4" t="str">
        <f>IF(((Q1118)=TRUE),  I1118,  "")</f>
      </c>
      <c r="T1118" s="3" t="s">
        <v>6001</v>
      </c>
    </row>
    <row r="1119">
      <c r="A1119" s="3" t="s">
        <v>7320</v>
      </c>
      <c r="B1119" s="4" t="str">
        <f>C1119 &amp; ": " &amp; D1119</f>
        <v>fk-resolves: KnowledgeFragments.ElicitationSession -&gt; ElicitationSessions</v>
      </c>
      <c r="C1119" s="3" t="s">
        <v>7193</v>
      </c>
      <c r="D1119" s="3" t="s">
        <v>7321</v>
      </c>
      <c r="E1119" s="3" t="s">
        <v>1851</v>
      </c>
      <c r="F1119" s="3" t="s">
        <v>1105</v>
      </c>
      <c r="G1119" s="3" t="s">
        <v>7322</v>
      </c>
      <c r="H1119" s="3"/>
      <c r="I1119" s="3" t="s">
        <v>5988</v>
      </c>
      <c r="J1119" s="3" t="s">
        <v>5999</v>
      </c>
      <c r="K1119" s="4" t="b">
        <f>J1119 = "blocking"</f>
        <v>1</v>
      </c>
      <c r="L1119" s="3" t="s">
        <v>1448</v>
      </c>
      <c r="M1119" s="3" t="s">
        <v>7196</v>
      </c>
      <c r="N1119" s="5">
        <v>46223.1297337963</v>
      </c>
      <c r="O1119" s="4" t="b">
        <f>L1119 = "PASS"</f>
        <v>1</v>
      </c>
      <c r="P1119" s="4" t="b">
        <f>L1119 = "FAIL"</f>
        <v>0</v>
      </c>
      <c r="Q1119" s="4" t="b">
        <f>AND(((P1119)=TRUE), ((K1119)=TRUE))</f>
        <v>0</v>
      </c>
      <c r="R1119" s="4" t="str">
        <f>IF(((O1119)=TRUE),  I1119,  "")</f>
        <v>suite-integrity</v>
      </c>
      <c r="S1119" s="4" t="str">
        <f>IF(((Q1119)=TRUE),  I1119,  "")</f>
      </c>
      <c r="T1119" s="3" t="s">
        <v>6001</v>
      </c>
    </row>
    <row r="1120">
      <c r="A1120" s="3" t="s">
        <v>7323</v>
      </c>
      <c r="B1120" s="4" t="str">
        <f>C1120 &amp; ": " &amp; D1120</f>
        <v>fk-resolves: KnowledgeFragments.SourceAgent -&gt; Agents</v>
      </c>
      <c r="C1120" s="3" t="s">
        <v>7193</v>
      </c>
      <c r="D1120" s="3" t="s">
        <v>7324</v>
      </c>
      <c r="E1120" s="3" t="s">
        <v>1851</v>
      </c>
      <c r="F1120" s="3" t="s">
        <v>1106</v>
      </c>
      <c r="G1120" s="3" t="s">
        <v>7201</v>
      </c>
      <c r="H1120" s="3"/>
      <c r="I1120" s="3" t="s">
        <v>5988</v>
      </c>
      <c r="J1120" s="3" t="s">
        <v>5999</v>
      </c>
      <c r="K1120" s="4" t="b">
        <f>J1120 = "blocking"</f>
        <v>1</v>
      </c>
      <c r="L1120" s="3" t="s">
        <v>1448</v>
      </c>
      <c r="M1120" s="3" t="s">
        <v>7196</v>
      </c>
      <c r="N1120" s="5">
        <v>46223.1297337963</v>
      </c>
      <c r="O1120" s="4" t="b">
        <f>L1120 = "PASS"</f>
        <v>1</v>
      </c>
      <c r="P1120" s="4" t="b">
        <f>L1120 = "FAIL"</f>
        <v>0</v>
      </c>
      <c r="Q1120" s="4" t="b">
        <f>AND(((P1120)=TRUE), ((K1120)=TRUE))</f>
        <v>0</v>
      </c>
      <c r="R1120" s="4" t="str">
        <f>IF(((O1120)=TRUE),  I1120,  "")</f>
        <v>suite-integrity</v>
      </c>
      <c r="S1120" s="4" t="str">
        <f>IF(((Q1120)=TRUE),  I1120,  "")</f>
      </c>
      <c r="T1120" s="3" t="s">
        <v>6001</v>
      </c>
    </row>
    <row r="1121">
      <c r="A1121" s="3" t="s">
        <v>7325</v>
      </c>
      <c r="B1121" s="4" t="str">
        <f>C1121 &amp; ": " &amp; D1121</f>
        <v>fk-resolves: KnowledgeFragments.OwnerRole -&gt; Roles</v>
      </c>
      <c r="C1121" s="3" t="s">
        <v>7193</v>
      </c>
      <c r="D1121" s="3" t="s">
        <v>7326</v>
      </c>
      <c r="E1121" s="3" t="s">
        <v>1851</v>
      </c>
      <c r="F1121" s="3" t="s">
        <v>1108</v>
      </c>
      <c r="G1121" s="3" t="s">
        <v>7204</v>
      </c>
      <c r="H1121" s="3"/>
      <c r="I1121" s="3" t="s">
        <v>5988</v>
      </c>
      <c r="J1121" s="3" t="s">
        <v>5999</v>
      </c>
      <c r="K1121" s="4" t="b">
        <f>J1121 = "blocking"</f>
        <v>1</v>
      </c>
      <c r="L1121" s="3" t="s">
        <v>1448</v>
      </c>
      <c r="M1121" s="3" t="s">
        <v>7196</v>
      </c>
      <c r="N1121" s="5">
        <v>46223.1297337963</v>
      </c>
      <c r="O1121" s="4" t="b">
        <f>L1121 = "PASS"</f>
        <v>1</v>
      </c>
      <c r="P1121" s="4" t="b">
        <f>L1121 = "FAIL"</f>
        <v>0</v>
      </c>
      <c r="Q1121" s="4" t="b">
        <f>AND(((P1121)=TRUE), ((K1121)=TRUE))</f>
        <v>0</v>
      </c>
      <c r="R1121" s="4" t="str">
        <f>IF(((O1121)=TRUE),  I1121,  "")</f>
        <v>suite-integrity</v>
      </c>
      <c r="S1121" s="4" t="str">
        <f>IF(((Q1121)=TRUE),  I1121,  "")</f>
      </c>
      <c r="T1121" s="3" t="s">
        <v>6001</v>
      </c>
    </row>
    <row r="1122">
      <c r="A1122" s="3" t="s">
        <v>7327</v>
      </c>
      <c r="B1122" s="4" t="str">
        <f>C1122 &amp; ": " &amp; D1122</f>
        <v>fk-resolves: KnowledgeFragments.EvaluationContext -&gt; EvaluationContexts</v>
      </c>
      <c r="C1122" s="3" t="s">
        <v>7193</v>
      </c>
      <c r="D1122" s="3" t="s">
        <v>7328</v>
      </c>
      <c r="E1122" s="3" t="s">
        <v>1851</v>
      </c>
      <c r="F1122" s="3" t="s">
        <v>258</v>
      </c>
      <c r="G1122" s="3" t="s">
        <v>7209</v>
      </c>
      <c r="H1122" s="3"/>
      <c r="I1122" s="3" t="s">
        <v>5988</v>
      </c>
      <c r="J1122" s="3" t="s">
        <v>5999</v>
      </c>
      <c r="K1122" s="4" t="b">
        <f>J1122 = "blocking"</f>
        <v>1</v>
      </c>
      <c r="L1122" s="3" t="s">
        <v>1448</v>
      </c>
      <c r="M1122" s="3" t="s">
        <v>7196</v>
      </c>
      <c r="N1122" s="5">
        <v>46223.1297337963</v>
      </c>
      <c r="O1122" s="4" t="b">
        <f>L1122 = "PASS"</f>
        <v>1</v>
      </c>
      <c r="P1122" s="4" t="b">
        <f>L1122 = "FAIL"</f>
        <v>0</v>
      </c>
      <c r="Q1122" s="4" t="b">
        <f>AND(((P1122)=TRUE), ((K1122)=TRUE))</f>
        <v>0</v>
      </c>
      <c r="R1122" s="4" t="str">
        <f>IF(((O1122)=TRUE),  I1122,  "")</f>
        <v>suite-integrity</v>
      </c>
      <c r="S1122" s="4" t="str">
        <f>IF(((Q1122)=TRUE),  I1122,  "")</f>
      </c>
      <c r="T1122" s="3" t="s">
        <v>6001</v>
      </c>
    </row>
    <row r="1123">
      <c r="A1123" s="3" t="s">
        <v>7329</v>
      </c>
      <c r="B1123" s="4" t="str">
        <f>C1123 &amp; ": " &amp; D1123</f>
        <v>fk-resolves: KnowledgeGaps.ProcedureVersion -&gt; ProcedureVersions</v>
      </c>
      <c r="C1123" s="3" t="s">
        <v>7193</v>
      </c>
      <c r="D1123" s="3" t="s">
        <v>7330</v>
      </c>
      <c r="E1123" s="3" t="s">
        <v>3368</v>
      </c>
      <c r="F1123" s="3" t="s">
        <v>478</v>
      </c>
      <c r="G1123" s="3" t="s">
        <v>7247</v>
      </c>
      <c r="H1123" s="3"/>
      <c r="I1123" s="3" t="s">
        <v>5988</v>
      </c>
      <c r="J1123" s="3" t="s">
        <v>5999</v>
      </c>
      <c r="K1123" s="4" t="b">
        <f>J1123 = "blocking"</f>
        <v>1</v>
      </c>
      <c r="L1123" s="3" t="s">
        <v>1448</v>
      </c>
      <c r="M1123" s="3" t="s">
        <v>7196</v>
      </c>
      <c r="N1123" s="5">
        <v>46223.1297337963</v>
      </c>
      <c r="O1123" s="4" t="b">
        <f>L1123 = "PASS"</f>
        <v>1</v>
      </c>
      <c r="P1123" s="4" t="b">
        <f>L1123 = "FAIL"</f>
        <v>0</v>
      </c>
      <c r="Q1123" s="4" t="b">
        <f>AND(((P1123)=TRUE), ((K1123)=TRUE))</f>
        <v>0</v>
      </c>
      <c r="R1123" s="4" t="str">
        <f>IF(((O1123)=TRUE),  I1123,  "")</f>
        <v>suite-integrity</v>
      </c>
      <c r="S1123" s="4" t="str">
        <f>IF(((Q1123)=TRUE),  I1123,  "")</f>
      </c>
      <c r="T1123" s="3" t="s">
        <v>6001</v>
      </c>
    </row>
    <row r="1124">
      <c r="A1124" s="3" t="s">
        <v>7331</v>
      </c>
      <c r="B1124" s="4" t="str">
        <f>C1124 &amp; ": " &amp; D1124</f>
        <v>fk-resolves: KnowledgeGaps.Step -&gt; Steps</v>
      </c>
      <c r="C1124" s="3" t="s">
        <v>7193</v>
      </c>
      <c r="D1124" s="3" t="s">
        <v>7332</v>
      </c>
      <c r="E1124" s="3" t="s">
        <v>3368</v>
      </c>
      <c r="F1124" s="3" t="s">
        <v>767</v>
      </c>
      <c r="G1124" s="3" t="s">
        <v>7262</v>
      </c>
      <c r="H1124" s="3"/>
      <c r="I1124" s="3" t="s">
        <v>5988</v>
      </c>
      <c r="J1124" s="3" t="s">
        <v>5999</v>
      </c>
      <c r="K1124" s="4" t="b">
        <f>J1124 = "blocking"</f>
        <v>1</v>
      </c>
      <c r="L1124" s="3" t="s">
        <v>1448</v>
      </c>
      <c r="M1124" s="3" t="s">
        <v>7196</v>
      </c>
      <c r="N1124" s="5">
        <v>46223.1297337963</v>
      </c>
      <c r="O1124" s="4" t="b">
        <f>L1124 = "PASS"</f>
        <v>1</v>
      </c>
      <c r="P1124" s="4" t="b">
        <f>L1124 = "FAIL"</f>
        <v>0</v>
      </c>
      <c r="Q1124" s="4" t="b">
        <f>AND(((P1124)=TRUE), ((K1124)=TRUE))</f>
        <v>0</v>
      </c>
      <c r="R1124" s="4" t="str">
        <f>IF(((O1124)=TRUE),  I1124,  "")</f>
        <v>suite-integrity</v>
      </c>
      <c r="S1124" s="4" t="str">
        <f>IF(((Q1124)=TRUE),  I1124,  "")</f>
      </c>
      <c r="T1124" s="3" t="s">
        <v>6001</v>
      </c>
    </row>
    <row r="1125">
      <c r="A1125" s="3" t="s">
        <v>7333</v>
      </c>
      <c r="B1125" s="4" t="str">
        <f>C1125 &amp; ": " &amp; D1125</f>
        <v>fk-resolves: KnowledgeGaps.OwnerRole -&gt; Roles</v>
      </c>
      <c r="C1125" s="3" t="s">
        <v>7193</v>
      </c>
      <c r="D1125" s="3" t="s">
        <v>7334</v>
      </c>
      <c r="E1125" s="3" t="s">
        <v>3368</v>
      </c>
      <c r="F1125" s="3" t="s">
        <v>1108</v>
      </c>
      <c r="G1125" s="3" t="s">
        <v>7204</v>
      </c>
      <c r="H1125" s="3"/>
      <c r="I1125" s="3" t="s">
        <v>5988</v>
      </c>
      <c r="J1125" s="3" t="s">
        <v>5999</v>
      </c>
      <c r="K1125" s="4" t="b">
        <f>J1125 = "blocking"</f>
        <v>1</v>
      </c>
      <c r="L1125" s="3" t="s">
        <v>1448</v>
      </c>
      <c r="M1125" s="3" t="s">
        <v>7196</v>
      </c>
      <c r="N1125" s="5">
        <v>46223.1297337963</v>
      </c>
      <c r="O1125" s="4" t="b">
        <f>L1125 = "PASS"</f>
        <v>1</v>
      </c>
      <c r="P1125" s="4" t="b">
        <f>L1125 = "FAIL"</f>
        <v>0</v>
      </c>
      <c r="Q1125" s="4" t="b">
        <f>AND(((P1125)=TRUE), ((K1125)=TRUE))</f>
        <v>0</v>
      </c>
      <c r="R1125" s="4" t="str">
        <f>IF(((O1125)=TRUE),  I1125,  "")</f>
        <v>suite-integrity</v>
      </c>
      <c r="S1125" s="4" t="str">
        <f>IF(((Q1125)=TRUE),  I1125,  "")</f>
      </c>
      <c r="T1125" s="3" t="s">
        <v>6001</v>
      </c>
    </row>
    <row r="1126">
      <c r="A1126" s="3" t="s">
        <v>7335</v>
      </c>
      <c r="B1126" s="4" t="str">
        <f>C1126 &amp; ": " &amp; D1126</f>
        <v>fk-resolves: KnowledgeGaps.EvaluationContext -&gt; EvaluationContexts</v>
      </c>
      <c r="C1126" s="3" t="s">
        <v>7193</v>
      </c>
      <c r="D1126" s="3" t="s">
        <v>7336</v>
      </c>
      <c r="E1126" s="3" t="s">
        <v>3368</v>
      </c>
      <c r="F1126" s="3" t="s">
        <v>258</v>
      </c>
      <c r="G1126" s="3" t="s">
        <v>7209</v>
      </c>
      <c r="H1126" s="3"/>
      <c r="I1126" s="3" t="s">
        <v>5988</v>
      </c>
      <c r="J1126" s="3" t="s">
        <v>5999</v>
      </c>
      <c r="K1126" s="4" t="b">
        <f>J1126 = "blocking"</f>
        <v>1</v>
      </c>
      <c r="L1126" s="3" t="s">
        <v>1448</v>
      </c>
      <c r="M1126" s="3" t="s">
        <v>7196</v>
      </c>
      <c r="N1126" s="5">
        <v>46223.1297337963</v>
      </c>
      <c r="O1126" s="4" t="b">
        <f>L1126 = "PASS"</f>
        <v>1</v>
      </c>
      <c r="P1126" s="4" t="b">
        <f>L1126 = "FAIL"</f>
        <v>0</v>
      </c>
      <c r="Q1126" s="4" t="b">
        <f>AND(((P1126)=TRUE), ((K1126)=TRUE))</f>
        <v>0</v>
      </c>
      <c r="R1126" s="4" t="str">
        <f>IF(((O1126)=TRUE),  I1126,  "")</f>
        <v>suite-integrity</v>
      </c>
      <c r="S1126" s="4" t="str">
        <f>IF(((Q1126)=TRUE),  I1126,  "")</f>
      </c>
      <c r="T1126" s="3" t="s">
        <v>6001</v>
      </c>
    </row>
    <row r="1127">
      <c r="A1127" s="3" t="s">
        <v>7337</v>
      </c>
      <c r="B1127" s="4" t="str">
        <f>C1127 &amp; ": " &amp; D1127</f>
        <v>fk-resolves: FAQs.ProcedureVersion -&gt; ProcedureVersions</v>
      </c>
      <c r="C1127" s="3" t="s">
        <v>7193</v>
      </c>
      <c r="D1127" s="3" t="s">
        <v>7338</v>
      </c>
      <c r="E1127" s="3" t="s">
        <v>1845</v>
      </c>
      <c r="F1127" s="3" t="s">
        <v>478</v>
      </c>
      <c r="G1127" s="3" t="s">
        <v>7247</v>
      </c>
      <c r="H1127" s="3"/>
      <c r="I1127" s="3" t="s">
        <v>5988</v>
      </c>
      <c r="J1127" s="3" t="s">
        <v>5999</v>
      </c>
      <c r="K1127" s="4" t="b">
        <f>J1127 = "blocking"</f>
        <v>1</v>
      </c>
      <c r="L1127" s="3" t="s">
        <v>1448</v>
      </c>
      <c r="M1127" s="3" t="s">
        <v>7196</v>
      </c>
      <c r="N1127" s="5">
        <v>46223.1297337963</v>
      </c>
      <c r="O1127" s="4" t="b">
        <f>L1127 = "PASS"</f>
        <v>1</v>
      </c>
      <c r="P1127" s="4" t="b">
        <f>L1127 = "FAIL"</f>
        <v>0</v>
      </c>
      <c r="Q1127" s="4" t="b">
        <f>AND(((P1127)=TRUE), ((K1127)=TRUE))</f>
        <v>0</v>
      </c>
      <c r="R1127" s="4" t="str">
        <f>IF(((O1127)=TRUE),  I1127,  "")</f>
        <v>suite-integrity</v>
      </c>
      <c r="S1127" s="4" t="str">
        <f>IF(((Q1127)=TRUE),  I1127,  "")</f>
      </c>
      <c r="T1127" s="3" t="s">
        <v>6001</v>
      </c>
    </row>
    <row r="1128">
      <c r="A1128" s="3" t="s">
        <v>7339</v>
      </c>
      <c r="B1128" s="4" t="str">
        <f>C1128 &amp; ": " &amp; D1128</f>
        <v>fk-resolves: FAQs.Step -&gt; Steps</v>
      </c>
      <c r="C1128" s="3" t="s">
        <v>7193</v>
      </c>
      <c r="D1128" s="3" t="s">
        <v>7340</v>
      </c>
      <c r="E1128" s="3" t="s">
        <v>1845</v>
      </c>
      <c r="F1128" s="3" t="s">
        <v>767</v>
      </c>
      <c r="G1128" s="3" t="s">
        <v>7262</v>
      </c>
      <c r="H1128" s="3"/>
      <c r="I1128" s="3" t="s">
        <v>5988</v>
      </c>
      <c r="J1128" s="3" t="s">
        <v>5999</v>
      </c>
      <c r="K1128" s="4" t="b">
        <f>J1128 = "blocking"</f>
        <v>1</v>
      </c>
      <c r="L1128" s="3" t="s">
        <v>1448</v>
      </c>
      <c r="M1128" s="3" t="s">
        <v>7196</v>
      </c>
      <c r="N1128" s="5">
        <v>46223.1297337963</v>
      </c>
      <c r="O1128" s="4" t="b">
        <f>L1128 = "PASS"</f>
        <v>1</v>
      </c>
      <c r="P1128" s="4" t="b">
        <f>L1128 = "FAIL"</f>
        <v>0</v>
      </c>
      <c r="Q1128" s="4" t="b">
        <f>AND(((P1128)=TRUE), ((K1128)=TRUE))</f>
        <v>0</v>
      </c>
      <c r="R1128" s="4" t="str">
        <f>IF(((O1128)=TRUE),  I1128,  "")</f>
        <v>suite-integrity</v>
      </c>
      <c r="S1128" s="4" t="str">
        <f>IF(((Q1128)=TRUE),  I1128,  "")</f>
      </c>
      <c r="T1128" s="3" t="s">
        <v>6001</v>
      </c>
    </row>
    <row r="1129">
      <c r="A1129" s="3" t="s">
        <v>7341</v>
      </c>
      <c r="B1129" s="4" t="str">
        <f>C1129 &amp; ": " &amp; D1129</f>
        <v>fk-resolves: Explanations.ProcedureVersion -&gt; ProcedureVersions</v>
      </c>
      <c r="C1129" s="3" t="s">
        <v>7193</v>
      </c>
      <c r="D1129" s="3" t="s">
        <v>7342</v>
      </c>
      <c r="E1129" s="3" t="s">
        <v>1848</v>
      </c>
      <c r="F1129" s="3" t="s">
        <v>478</v>
      </c>
      <c r="G1129" s="3" t="s">
        <v>7247</v>
      </c>
      <c r="H1129" s="3"/>
      <c r="I1129" s="3" t="s">
        <v>5988</v>
      </c>
      <c r="J1129" s="3" t="s">
        <v>5999</v>
      </c>
      <c r="K1129" s="4" t="b">
        <f>J1129 = "blocking"</f>
        <v>1</v>
      </c>
      <c r="L1129" s="3" t="s">
        <v>1448</v>
      </c>
      <c r="M1129" s="3" t="s">
        <v>7196</v>
      </c>
      <c r="N1129" s="5">
        <v>46223.1297337963</v>
      </c>
      <c r="O1129" s="4" t="b">
        <f>L1129 = "PASS"</f>
        <v>1</v>
      </c>
      <c r="P1129" s="4" t="b">
        <f>L1129 = "FAIL"</f>
        <v>0</v>
      </c>
      <c r="Q1129" s="4" t="b">
        <f>AND(((P1129)=TRUE), ((K1129)=TRUE))</f>
        <v>0</v>
      </c>
      <c r="R1129" s="4" t="str">
        <f>IF(((O1129)=TRUE),  I1129,  "")</f>
        <v>suite-integrity</v>
      </c>
      <c r="S1129" s="4" t="str">
        <f>IF(((Q1129)=TRUE),  I1129,  "")</f>
      </c>
      <c r="T1129" s="3" t="s">
        <v>6001</v>
      </c>
    </row>
    <row r="1130">
      <c r="A1130" s="3" t="s">
        <v>7343</v>
      </c>
      <c r="B1130" s="4" t="str">
        <f>C1130 &amp; ": " &amp; D1130</f>
        <v>fk-resolves: Explanations.Step -&gt; Steps</v>
      </c>
      <c r="C1130" s="3" t="s">
        <v>7193</v>
      </c>
      <c r="D1130" s="3" t="s">
        <v>7344</v>
      </c>
      <c r="E1130" s="3" t="s">
        <v>1848</v>
      </c>
      <c r="F1130" s="3" t="s">
        <v>767</v>
      </c>
      <c r="G1130" s="3" t="s">
        <v>7262</v>
      </c>
      <c r="H1130" s="3"/>
      <c r="I1130" s="3" t="s">
        <v>5988</v>
      </c>
      <c r="J1130" s="3" t="s">
        <v>5999</v>
      </c>
      <c r="K1130" s="4" t="b">
        <f>J1130 = "blocking"</f>
        <v>1</v>
      </c>
      <c r="L1130" s="3" t="s">
        <v>1448</v>
      </c>
      <c r="M1130" s="3" t="s">
        <v>7196</v>
      </c>
      <c r="N1130" s="5">
        <v>46223.1297337963</v>
      </c>
      <c r="O1130" s="4" t="b">
        <f>L1130 = "PASS"</f>
        <v>1</v>
      </c>
      <c r="P1130" s="4" t="b">
        <f>L1130 = "FAIL"</f>
        <v>0</v>
      </c>
      <c r="Q1130" s="4" t="b">
        <f>AND(((P1130)=TRUE), ((K1130)=TRUE))</f>
        <v>0</v>
      </c>
      <c r="R1130" s="4" t="str">
        <f>IF(((O1130)=TRUE),  I1130,  "")</f>
        <v>suite-integrity</v>
      </c>
      <c r="S1130" s="4" t="str">
        <f>IF(((Q1130)=TRUE),  I1130,  "")</f>
      </c>
      <c r="T1130" s="3" t="s">
        <v>6001</v>
      </c>
    </row>
    <row r="1131">
      <c r="A1131" s="3" t="s">
        <v>7345</v>
      </c>
      <c r="B1131" s="4" t="str">
        <f>C1131 &amp; ": " &amp; D1131</f>
        <v>fk-resolves: ProcedureExecutions.ProcedureVersion -&gt; ProcedureVersions</v>
      </c>
      <c r="C1131" s="3" t="s">
        <v>7193</v>
      </c>
      <c r="D1131" s="3" t="s">
        <v>7346</v>
      </c>
      <c r="E1131" s="3" t="s">
        <v>1824</v>
      </c>
      <c r="F1131" s="3" t="s">
        <v>478</v>
      </c>
      <c r="G1131" s="3" t="s">
        <v>7247</v>
      </c>
      <c r="H1131" s="3"/>
      <c r="I1131" s="3" t="s">
        <v>5988</v>
      </c>
      <c r="J1131" s="3" t="s">
        <v>5999</v>
      </c>
      <c r="K1131" s="4" t="b">
        <f>J1131 = "blocking"</f>
        <v>1</v>
      </c>
      <c r="L1131" s="3" t="s">
        <v>1448</v>
      </c>
      <c r="M1131" s="3" t="s">
        <v>7196</v>
      </c>
      <c r="N1131" s="5">
        <v>46223.1297337963</v>
      </c>
      <c r="O1131" s="4" t="b">
        <f>L1131 = "PASS"</f>
        <v>1</v>
      </c>
      <c r="P1131" s="4" t="b">
        <f>L1131 = "FAIL"</f>
        <v>0</v>
      </c>
      <c r="Q1131" s="4" t="b">
        <f>AND(((P1131)=TRUE), ((K1131)=TRUE))</f>
        <v>0</v>
      </c>
      <c r="R1131" s="4" t="str">
        <f>IF(((O1131)=TRUE),  I1131,  "")</f>
        <v>suite-integrity</v>
      </c>
      <c r="S1131" s="4" t="str">
        <f>IF(((Q1131)=TRUE),  I1131,  "")</f>
      </c>
      <c r="T1131" s="3" t="s">
        <v>6001</v>
      </c>
    </row>
    <row r="1132">
      <c r="A1132" s="3" t="s">
        <v>7347</v>
      </c>
      <c r="B1132" s="4" t="str">
        <f>C1132 &amp; ": " &amp; D1132</f>
        <v>fk-resolves: ProcedureExecutions.ExecutedByAgent -&gt; Agents</v>
      </c>
      <c r="C1132" s="3" t="s">
        <v>7193</v>
      </c>
      <c r="D1132" s="3" t="s">
        <v>7348</v>
      </c>
      <c r="E1132" s="3" t="s">
        <v>1824</v>
      </c>
      <c r="F1132" s="3" t="s">
        <v>1268</v>
      </c>
      <c r="G1132" s="3" t="s">
        <v>7201</v>
      </c>
      <c r="H1132" s="3"/>
      <c r="I1132" s="3" t="s">
        <v>5988</v>
      </c>
      <c r="J1132" s="3" t="s">
        <v>5999</v>
      </c>
      <c r="K1132" s="4" t="b">
        <f>J1132 = "blocking"</f>
        <v>1</v>
      </c>
      <c r="L1132" s="3" t="s">
        <v>1448</v>
      </c>
      <c r="M1132" s="3" t="s">
        <v>7196</v>
      </c>
      <c r="N1132" s="5">
        <v>46223.1297337963</v>
      </c>
      <c r="O1132" s="4" t="b">
        <f>L1132 = "PASS"</f>
        <v>1</v>
      </c>
      <c r="P1132" s="4" t="b">
        <f>L1132 = "FAIL"</f>
        <v>0</v>
      </c>
      <c r="Q1132" s="4" t="b">
        <f>AND(((P1132)=TRUE), ((K1132)=TRUE))</f>
        <v>0</v>
      </c>
      <c r="R1132" s="4" t="str">
        <f>IF(((O1132)=TRUE),  I1132,  "")</f>
        <v>suite-integrity</v>
      </c>
      <c r="S1132" s="4" t="str">
        <f>IF(((Q1132)=TRUE),  I1132,  "")</f>
      </c>
      <c r="T1132" s="3" t="s">
        <v>6001</v>
      </c>
    </row>
    <row r="1133">
      <c r="A1133" s="3" t="s">
        <v>7349</v>
      </c>
      <c r="B1133" s="4" t="str">
        <f>C1133 &amp; ": " &amp; D1133</f>
        <v>fk-resolves: StepExecutions.ProcedureExecution -&gt; ProcedureExecutions</v>
      </c>
      <c r="C1133" s="3" t="s">
        <v>7193</v>
      </c>
      <c r="D1133" s="3" t="s">
        <v>7350</v>
      </c>
      <c r="E1133" s="3" t="s">
        <v>1827</v>
      </c>
      <c r="F1133" s="3" t="s">
        <v>1349</v>
      </c>
      <c r="G1133" s="3" t="s">
        <v>7351</v>
      </c>
      <c r="H1133" s="3"/>
      <c r="I1133" s="3" t="s">
        <v>5988</v>
      </c>
      <c r="J1133" s="3" t="s">
        <v>5999</v>
      </c>
      <c r="K1133" s="4" t="b">
        <f>J1133 = "blocking"</f>
        <v>1</v>
      </c>
      <c r="L1133" s="3" t="s">
        <v>1448</v>
      </c>
      <c r="M1133" s="3" t="s">
        <v>7196</v>
      </c>
      <c r="N1133" s="5">
        <v>46223.1297337963</v>
      </c>
      <c r="O1133" s="4" t="b">
        <f>L1133 = "PASS"</f>
        <v>1</v>
      </c>
      <c r="P1133" s="4" t="b">
        <f>L1133 = "FAIL"</f>
        <v>0</v>
      </c>
      <c r="Q1133" s="4" t="b">
        <f>AND(((P1133)=TRUE), ((K1133)=TRUE))</f>
        <v>0</v>
      </c>
      <c r="R1133" s="4" t="str">
        <f>IF(((O1133)=TRUE),  I1133,  "")</f>
        <v>suite-integrity</v>
      </c>
      <c r="S1133" s="4" t="str">
        <f>IF(((Q1133)=TRUE),  I1133,  "")</f>
      </c>
      <c r="T1133" s="3" t="s">
        <v>6001</v>
      </c>
    </row>
    <row r="1134">
      <c r="A1134" s="3" t="s">
        <v>7352</v>
      </c>
      <c r="B1134" s="4" t="str">
        <f>C1134 &amp; ": " &amp; D1134</f>
        <v>fk-resolves: StepExecutions.Step -&gt; Steps</v>
      </c>
      <c r="C1134" s="3" t="s">
        <v>7193</v>
      </c>
      <c r="D1134" s="3" t="s">
        <v>7353</v>
      </c>
      <c r="E1134" s="3" t="s">
        <v>1827</v>
      </c>
      <c r="F1134" s="3" t="s">
        <v>767</v>
      </c>
      <c r="G1134" s="3" t="s">
        <v>7262</v>
      </c>
      <c r="H1134" s="3"/>
      <c r="I1134" s="3" t="s">
        <v>5988</v>
      </c>
      <c r="J1134" s="3" t="s">
        <v>5999</v>
      </c>
      <c r="K1134" s="4" t="b">
        <f>J1134 = "blocking"</f>
        <v>1</v>
      </c>
      <c r="L1134" s="3" t="s">
        <v>1448</v>
      </c>
      <c r="M1134" s="3" t="s">
        <v>7196</v>
      </c>
      <c r="N1134" s="5">
        <v>46223.1297337963</v>
      </c>
      <c r="O1134" s="4" t="b">
        <f>L1134 = "PASS"</f>
        <v>1</v>
      </c>
      <c r="P1134" s="4" t="b">
        <f>L1134 = "FAIL"</f>
        <v>0</v>
      </c>
      <c r="Q1134" s="4" t="b">
        <f>AND(((P1134)=TRUE), ((K1134)=TRUE))</f>
        <v>0</v>
      </c>
      <c r="R1134" s="4" t="str">
        <f>IF(((O1134)=TRUE),  I1134,  "")</f>
        <v>suite-integrity</v>
      </c>
      <c r="S1134" s="4" t="str">
        <f>IF(((Q1134)=TRUE),  I1134,  "")</f>
      </c>
      <c r="T1134" s="3" t="s">
        <v>6001</v>
      </c>
    </row>
    <row r="1135">
      <c r="A1135" s="3" t="s">
        <v>7354</v>
      </c>
      <c r="B1135" s="4" t="str">
        <f>C1135 &amp; ": " &amp; D1135</f>
        <v>fk-resolves: StepExecutions.ExecutedByAgent -&gt; Agents</v>
      </c>
      <c r="C1135" s="3" t="s">
        <v>7193</v>
      </c>
      <c r="D1135" s="3" t="s">
        <v>7355</v>
      </c>
      <c r="E1135" s="3" t="s">
        <v>1827</v>
      </c>
      <c r="F1135" s="3" t="s">
        <v>1268</v>
      </c>
      <c r="G1135" s="3" t="s">
        <v>7201</v>
      </c>
      <c r="H1135" s="3"/>
      <c r="I1135" s="3" t="s">
        <v>5988</v>
      </c>
      <c r="J1135" s="3" t="s">
        <v>5999</v>
      </c>
      <c r="K1135" s="4" t="b">
        <f>J1135 = "blocking"</f>
        <v>1</v>
      </c>
      <c r="L1135" s="3" t="s">
        <v>1448</v>
      </c>
      <c r="M1135" s="3" t="s">
        <v>7196</v>
      </c>
      <c r="N1135" s="5">
        <v>46223.1297337963</v>
      </c>
      <c r="O1135" s="4" t="b">
        <f>L1135 = "PASS"</f>
        <v>1</v>
      </c>
      <c r="P1135" s="4" t="b">
        <f>L1135 = "FAIL"</f>
        <v>0</v>
      </c>
      <c r="Q1135" s="4" t="b">
        <f>AND(((P1135)=TRUE), ((K1135)=TRUE))</f>
        <v>0</v>
      </c>
      <c r="R1135" s="4" t="str">
        <f>IF(((O1135)=TRUE),  I1135,  "")</f>
        <v>suite-integrity</v>
      </c>
      <c r="S1135" s="4" t="str">
        <f>IF(((Q1135)=TRUE),  I1135,  "")</f>
      </c>
      <c r="T1135" s="3" t="s">
        <v>6001</v>
      </c>
    </row>
    <row r="1136">
      <c r="A1136" s="3" t="s">
        <v>7356</v>
      </c>
      <c r="B1136" s="4" t="str">
        <f>C1136 &amp; ": " &amp; D1136</f>
        <v>fk-resolves: RequirementSatisfactions.StepExecution -&gt; StepExecutions</v>
      </c>
      <c r="C1136" s="3" t="s">
        <v>7193</v>
      </c>
      <c r="D1136" s="3" t="s">
        <v>7357</v>
      </c>
      <c r="E1136" s="3" t="s">
        <v>1830</v>
      </c>
      <c r="F1136" s="3" t="s">
        <v>1467</v>
      </c>
      <c r="G1136" s="3" t="s">
        <v>7358</v>
      </c>
      <c r="H1136" s="3"/>
      <c r="I1136" s="3" t="s">
        <v>5988</v>
      </c>
      <c r="J1136" s="3" t="s">
        <v>5999</v>
      </c>
      <c r="K1136" s="4" t="b">
        <f>J1136 = "blocking"</f>
        <v>1</v>
      </c>
      <c r="L1136" s="3" t="s">
        <v>1448</v>
      </c>
      <c r="M1136" s="3" t="s">
        <v>7196</v>
      </c>
      <c r="N1136" s="5">
        <v>46223.1297337963</v>
      </c>
      <c r="O1136" s="4" t="b">
        <f>L1136 = "PASS"</f>
        <v>1</v>
      </c>
      <c r="P1136" s="4" t="b">
        <f>L1136 = "FAIL"</f>
        <v>0</v>
      </c>
      <c r="Q1136" s="4" t="b">
        <f>AND(((P1136)=TRUE), ((K1136)=TRUE))</f>
        <v>0</v>
      </c>
      <c r="R1136" s="4" t="str">
        <f>IF(((O1136)=TRUE),  I1136,  "")</f>
        <v>suite-integrity</v>
      </c>
      <c r="S1136" s="4" t="str">
        <f>IF(((Q1136)=TRUE),  I1136,  "")</f>
      </c>
      <c r="T1136" s="3" t="s">
        <v>6001</v>
      </c>
    </row>
    <row r="1137">
      <c r="A1137" s="3" t="s">
        <v>7359</v>
      </c>
      <c r="B1137" s="4" t="str">
        <f>C1137 &amp; ": " &amp; D1137</f>
        <v>fk-resolves: RequirementSatisfactions.Requirement -&gt; Requirements</v>
      </c>
      <c r="C1137" s="3" t="s">
        <v>7193</v>
      </c>
      <c r="D1137" s="3" t="s">
        <v>7360</v>
      </c>
      <c r="E1137" s="3" t="s">
        <v>1830</v>
      </c>
      <c r="F1137" s="3" t="s">
        <v>914</v>
      </c>
      <c r="G1137" s="3" t="s">
        <v>7286</v>
      </c>
      <c r="H1137" s="3"/>
      <c r="I1137" s="3" t="s">
        <v>5988</v>
      </c>
      <c r="J1137" s="3" t="s">
        <v>5999</v>
      </c>
      <c r="K1137" s="4" t="b">
        <f>J1137 = "blocking"</f>
        <v>1</v>
      </c>
      <c r="L1137" s="3" t="s">
        <v>1448</v>
      </c>
      <c r="M1137" s="3" t="s">
        <v>7196</v>
      </c>
      <c r="N1137" s="5">
        <v>46223.1297337963</v>
      </c>
      <c r="O1137" s="4" t="b">
        <f>L1137 = "PASS"</f>
        <v>1</v>
      </c>
      <c r="P1137" s="4" t="b">
        <f>L1137 = "FAIL"</f>
        <v>0</v>
      </c>
      <c r="Q1137" s="4" t="b">
        <f>AND(((P1137)=TRUE), ((K1137)=TRUE))</f>
        <v>0</v>
      </c>
      <c r="R1137" s="4" t="str">
        <f>IF(((O1137)=TRUE),  I1137,  "")</f>
        <v>suite-integrity</v>
      </c>
      <c r="S1137" s="4" t="str">
        <f>IF(((Q1137)=TRUE),  I1137,  "")</f>
      </c>
      <c r="T1137" s="3" t="s">
        <v>6001</v>
      </c>
    </row>
    <row r="1138">
      <c r="A1138" s="3" t="s">
        <v>7361</v>
      </c>
      <c r="B1138" s="4" t="str">
        <f>C1138 &amp; ": " &amp; D1138</f>
        <v>fk-resolves: RequirementSatisfactions.EvaluatedByAgent -&gt; Agents</v>
      </c>
      <c r="C1138" s="3" t="s">
        <v>7193</v>
      </c>
      <c r="D1138" s="3" t="s">
        <v>7362</v>
      </c>
      <c r="E1138" s="3" t="s">
        <v>1830</v>
      </c>
      <c r="F1138" s="3" t="s">
        <v>1470</v>
      </c>
      <c r="G1138" s="3" t="s">
        <v>7201</v>
      </c>
      <c r="H1138" s="3"/>
      <c r="I1138" s="3" t="s">
        <v>5988</v>
      </c>
      <c r="J1138" s="3" t="s">
        <v>5999</v>
      </c>
      <c r="K1138" s="4" t="b">
        <f>J1138 = "blocking"</f>
        <v>1</v>
      </c>
      <c r="L1138" s="3" t="s">
        <v>1448</v>
      </c>
      <c r="M1138" s="3" t="s">
        <v>7196</v>
      </c>
      <c r="N1138" s="5">
        <v>46223.1297337963</v>
      </c>
      <c r="O1138" s="4" t="b">
        <f>L1138 = "PASS"</f>
        <v>1</v>
      </c>
      <c r="P1138" s="4" t="b">
        <f>L1138 = "FAIL"</f>
        <v>0</v>
      </c>
      <c r="Q1138" s="4" t="b">
        <f>AND(((P1138)=TRUE), ((K1138)=TRUE))</f>
        <v>0</v>
      </c>
      <c r="R1138" s="4" t="str">
        <f>IF(((O1138)=TRUE),  I1138,  "")</f>
        <v>suite-integrity</v>
      </c>
      <c r="S1138" s="4" t="str">
        <f>IF(((Q1138)=TRUE),  I1138,  "")</f>
      </c>
      <c r="T1138" s="3" t="s">
        <v>6001</v>
      </c>
    </row>
    <row r="1139">
      <c r="A1139" s="3" t="s">
        <v>7363</v>
      </c>
      <c r="B1139" s="4" t="str">
        <f>C1139 &amp; ": " &amp; D1139</f>
        <v>fk-resolves: IssueOccurrences.StepExecution -&gt; StepExecutions</v>
      </c>
      <c r="C1139" s="3" t="s">
        <v>7193</v>
      </c>
      <c r="D1139" s="3" t="s">
        <v>7364</v>
      </c>
      <c r="E1139" s="3" t="s">
        <v>1836</v>
      </c>
      <c r="F1139" s="3" t="s">
        <v>1467</v>
      </c>
      <c r="G1139" s="3" t="s">
        <v>7358</v>
      </c>
      <c r="H1139" s="3"/>
      <c r="I1139" s="3" t="s">
        <v>5988</v>
      </c>
      <c r="J1139" s="3" t="s">
        <v>5999</v>
      </c>
      <c r="K1139" s="4" t="b">
        <f>J1139 = "blocking"</f>
        <v>1</v>
      </c>
      <c r="L1139" s="3" t="s">
        <v>1448</v>
      </c>
      <c r="M1139" s="3" t="s">
        <v>7196</v>
      </c>
      <c r="N1139" s="5">
        <v>46223.1297337963</v>
      </c>
      <c r="O1139" s="4" t="b">
        <f>L1139 = "PASS"</f>
        <v>1</v>
      </c>
      <c r="P1139" s="4" t="b">
        <f>L1139 = "FAIL"</f>
        <v>0</v>
      </c>
      <c r="Q1139" s="4" t="b">
        <f>AND(((P1139)=TRUE), ((K1139)=TRUE))</f>
        <v>0</v>
      </c>
      <c r="R1139" s="4" t="str">
        <f>IF(((O1139)=TRUE),  I1139,  "")</f>
        <v>suite-integrity</v>
      </c>
      <c r="S1139" s="4" t="str">
        <f>IF(((Q1139)=TRUE),  I1139,  "")</f>
      </c>
      <c r="T1139" s="3" t="s">
        <v>6001</v>
      </c>
    </row>
    <row r="1140">
      <c r="A1140" s="3" t="s">
        <v>7365</v>
      </c>
      <c r="B1140" s="4" t="str">
        <f>C1140 &amp; ": " &amp; D1140</f>
        <v>fk-resolves: IssueOccurrences.Error -&gt; Errors</v>
      </c>
      <c r="C1140" s="3" t="s">
        <v>7193</v>
      </c>
      <c r="D1140" s="3" t="s">
        <v>7366</v>
      </c>
      <c r="E1140" s="3" t="s">
        <v>1836</v>
      </c>
      <c r="F1140" s="3" t="s">
        <v>1540</v>
      </c>
      <c r="G1140" s="3" t="s">
        <v>7367</v>
      </c>
      <c r="H1140" s="3"/>
      <c r="I1140" s="3" t="s">
        <v>5988</v>
      </c>
      <c r="J1140" s="3" t="s">
        <v>5999</v>
      </c>
      <c r="K1140" s="4" t="b">
        <f>J1140 = "blocking"</f>
        <v>1</v>
      </c>
      <c r="L1140" s="3" t="s">
        <v>1448</v>
      </c>
      <c r="M1140" s="3" t="s">
        <v>7196</v>
      </c>
      <c r="N1140" s="5">
        <v>46223.1297337963</v>
      </c>
      <c r="O1140" s="4" t="b">
        <f>L1140 = "PASS"</f>
        <v>1</v>
      </c>
      <c r="P1140" s="4" t="b">
        <f>L1140 = "FAIL"</f>
        <v>0</v>
      </c>
      <c r="Q1140" s="4" t="b">
        <f>AND(((P1140)=TRUE), ((K1140)=TRUE))</f>
        <v>0</v>
      </c>
      <c r="R1140" s="4" t="str">
        <f>IF(((O1140)=TRUE),  I1140,  "")</f>
        <v>suite-integrity</v>
      </c>
      <c r="S1140" s="4" t="str">
        <f>IF(((Q1140)=TRUE),  I1140,  "")</f>
      </c>
      <c r="T1140" s="3" t="s">
        <v>6001</v>
      </c>
    </row>
    <row r="1141">
      <c r="A1141" s="3" t="s">
        <v>7368</v>
      </c>
      <c r="B1141" s="4" t="str">
        <f>C1141 &amp; ": " &amp; D1141</f>
        <v>fk-resolves: IssueOccurrences.EncounteredByAgent -&gt; Agents</v>
      </c>
      <c r="C1141" s="3" t="s">
        <v>7193</v>
      </c>
      <c r="D1141" s="3" t="s">
        <v>7369</v>
      </c>
      <c r="E1141" s="3" t="s">
        <v>1836</v>
      </c>
      <c r="F1141" s="3" t="s">
        <v>1541</v>
      </c>
      <c r="G1141" s="3" t="s">
        <v>7201</v>
      </c>
      <c r="H1141" s="3"/>
      <c r="I1141" s="3" t="s">
        <v>5988</v>
      </c>
      <c r="J1141" s="3" t="s">
        <v>5999</v>
      </c>
      <c r="K1141" s="4" t="b">
        <f>J1141 = "blocking"</f>
        <v>1</v>
      </c>
      <c r="L1141" s="3" t="s">
        <v>1448</v>
      </c>
      <c r="M1141" s="3" t="s">
        <v>7196</v>
      </c>
      <c r="N1141" s="5">
        <v>46223.1297337963</v>
      </c>
      <c r="O1141" s="4" t="b">
        <f>L1141 = "PASS"</f>
        <v>1</v>
      </c>
      <c r="P1141" s="4" t="b">
        <f>L1141 = "FAIL"</f>
        <v>0</v>
      </c>
      <c r="Q1141" s="4" t="b">
        <f>AND(((P1141)=TRUE), ((K1141)=TRUE))</f>
        <v>0</v>
      </c>
      <c r="R1141" s="4" t="str">
        <f>IF(((O1141)=TRUE),  I1141,  "")</f>
        <v>suite-integrity</v>
      </c>
      <c r="S1141" s="4" t="str">
        <f>IF(((Q1141)=TRUE),  I1141,  "")</f>
      </c>
      <c r="T1141" s="3" t="s">
        <v>6001</v>
      </c>
    </row>
    <row r="1142">
      <c r="A1142" s="3" t="s">
        <v>7370</v>
      </c>
      <c r="B1142" s="4" t="str">
        <f>C1142 &amp; ": " &amp; D1142</f>
        <v>fk-resolves: UserQuestions.StepExecution -&gt; StepExecutions</v>
      </c>
      <c r="C1142" s="3" t="s">
        <v>7193</v>
      </c>
      <c r="D1142" s="3" t="s">
        <v>7371</v>
      </c>
      <c r="E1142" s="3" t="s">
        <v>1839</v>
      </c>
      <c r="F1142" s="3" t="s">
        <v>1467</v>
      </c>
      <c r="G1142" s="3" t="s">
        <v>7358</v>
      </c>
      <c r="H1142" s="3"/>
      <c r="I1142" s="3" t="s">
        <v>5988</v>
      </c>
      <c r="J1142" s="3" t="s">
        <v>5999</v>
      </c>
      <c r="K1142" s="4" t="b">
        <f>J1142 = "blocking"</f>
        <v>1</v>
      </c>
      <c r="L1142" s="3" t="s">
        <v>1448</v>
      </c>
      <c r="M1142" s="3" t="s">
        <v>7196</v>
      </c>
      <c r="N1142" s="5">
        <v>46223.1297337963</v>
      </c>
      <c r="O1142" s="4" t="b">
        <f>L1142 = "PASS"</f>
        <v>1</v>
      </c>
      <c r="P1142" s="4" t="b">
        <f>L1142 = "FAIL"</f>
        <v>0</v>
      </c>
      <c r="Q1142" s="4" t="b">
        <f>AND(((P1142)=TRUE), ((K1142)=TRUE))</f>
        <v>0</v>
      </c>
      <c r="R1142" s="4" t="str">
        <f>IF(((O1142)=TRUE),  I1142,  "")</f>
        <v>suite-integrity</v>
      </c>
      <c r="S1142" s="4" t="str">
        <f>IF(((Q1142)=TRUE),  I1142,  "")</f>
      </c>
      <c r="T1142" s="3" t="s">
        <v>6001</v>
      </c>
    </row>
    <row r="1143">
      <c r="A1143" s="3" t="s">
        <v>7372</v>
      </c>
      <c r="B1143" s="4" t="str">
        <f>C1143 &amp; ": " &amp; D1143</f>
        <v>fk-resolves: UserQuestions.AskedByAgent -&gt; Agents</v>
      </c>
      <c r="C1143" s="3" t="s">
        <v>7193</v>
      </c>
      <c r="D1143" s="3" t="s">
        <v>7373</v>
      </c>
      <c r="E1143" s="3" t="s">
        <v>1839</v>
      </c>
      <c r="F1143" s="3" t="s">
        <v>1556</v>
      </c>
      <c r="G1143" s="3" t="s">
        <v>7201</v>
      </c>
      <c r="H1143" s="3"/>
      <c r="I1143" s="3" t="s">
        <v>5988</v>
      </c>
      <c r="J1143" s="3" t="s">
        <v>5999</v>
      </c>
      <c r="K1143" s="4" t="b">
        <f>J1143 = "blocking"</f>
        <v>1</v>
      </c>
      <c r="L1143" s="3" t="s">
        <v>1448</v>
      </c>
      <c r="M1143" s="3" t="s">
        <v>7196</v>
      </c>
      <c r="N1143" s="5">
        <v>46223.1297337963</v>
      </c>
      <c r="O1143" s="4" t="b">
        <f>L1143 = "PASS"</f>
        <v>1</v>
      </c>
      <c r="P1143" s="4" t="b">
        <f>L1143 = "FAIL"</f>
        <v>0</v>
      </c>
      <c r="Q1143" s="4" t="b">
        <f>AND(((P1143)=TRUE), ((K1143)=TRUE))</f>
        <v>0</v>
      </c>
      <c r="R1143" s="4" t="str">
        <f>IF(((O1143)=TRUE),  I1143,  "")</f>
        <v>suite-integrity</v>
      </c>
      <c r="S1143" s="4" t="str">
        <f>IF(((Q1143)=TRUE),  I1143,  "")</f>
      </c>
      <c r="T1143" s="3" t="s">
        <v>6001</v>
      </c>
    </row>
    <row r="1144">
      <c r="A1144" s="3" t="s">
        <v>7374</v>
      </c>
      <c r="B1144" s="4" t="str">
        <f>C1144 &amp; ": " &amp; D1144</f>
        <v>fk-resolves: UserQuestions.ResolvedByFaq -&gt; FAQs</v>
      </c>
      <c r="C1144" s="3" t="s">
        <v>7193</v>
      </c>
      <c r="D1144" s="3" t="s">
        <v>7375</v>
      </c>
      <c r="E1144" s="3" t="s">
        <v>1839</v>
      </c>
      <c r="F1144" s="3" t="s">
        <v>1559</v>
      </c>
      <c r="G1144" s="3" t="s">
        <v>7376</v>
      </c>
      <c r="H1144" s="3"/>
      <c r="I1144" s="3" t="s">
        <v>5988</v>
      </c>
      <c r="J1144" s="3" t="s">
        <v>5999</v>
      </c>
      <c r="K1144" s="4" t="b">
        <f>J1144 = "blocking"</f>
        <v>1</v>
      </c>
      <c r="L1144" s="3" t="s">
        <v>1448</v>
      </c>
      <c r="M1144" s="3" t="s">
        <v>7196</v>
      </c>
      <c r="N1144" s="5">
        <v>46223.1297337963</v>
      </c>
      <c r="O1144" s="4" t="b">
        <f>L1144 = "PASS"</f>
        <v>1</v>
      </c>
      <c r="P1144" s="4" t="b">
        <f>L1144 = "FAIL"</f>
        <v>0</v>
      </c>
      <c r="Q1144" s="4" t="b">
        <f>AND(((P1144)=TRUE), ((K1144)=TRUE))</f>
        <v>0</v>
      </c>
      <c r="R1144" s="4" t="str">
        <f>IF(((O1144)=TRUE),  I1144,  "")</f>
        <v>suite-integrity</v>
      </c>
      <c r="S1144" s="4" t="str">
        <f>IF(((Q1144)=TRUE),  I1144,  "")</f>
      </c>
      <c r="T1144" s="3" t="s">
        <v>6001</v>
      </c>
    </row>
    <row r="1145">
      <c r="A1145" s="3" t="s">
        <v>7377</v>
      </c>
      <c r="B1145" s="4" t="str">
        <f>C1145 &amp; ": " &amp; D1145</f>
        <v>fk-resolves: UserQuestions.AddressedByResource -&gt; Resources</v>
      </c>
      <c r="C1145" s="3" t="s">
        <v>7193</v>
      </c>
      <c r="D1145" s="3" t="s">
        <v>7378</v>
      </c>
      <c r="E1145" s="3" t="s">
        <v>1839</v>
      </c>
      <c r="F1145" s="3" t="s">
        <v>1560</v>
      </c>
      <c r="G1145" s="3" t="s">
        <v>7307</v>
      </c>
      <c r="H1145" s="3"/>
      <c r="I1145" s="3" t="s">
        <v>5988</v>
      </c>
      <c r="J1145" s="3" t="s">
        <v>5999</v>
      </c>
      <c r="K1145" s="4" t="b">
        <f>J1145 = "blocking"</f>
        <v>1</v>
      </c>
      <c r="L1145" s="3" t="s">
        <v>1448</v>
      </c>
      <c r="M1145" s="3" t="s">
        <v>7196</v>
      </c>
      <c r="N1145" s="5">
        <v>46223.1297337963</v>
      </c>
      <c r="O1145" s="4" t="b">
        <f>L1145 = "PASS"</f>
        <v>1</v>
      </c>
      <c r="P1145" s="4" t="b">
        <f>L1145 = "FAIL"</f>
        <v>0</v>
      </c>
      <c r="Q1145" s="4" t="b">
        <f>AND(((P1145)=TRUE), ((K1145)=TRUE))</f>
        <v>0</v>
      </c>
      <c r="R1145" s="4" t="str">
        <f>IF(((O1145)=TRUE),  I1145,  "")</f>
        <v>suite-integrity</v>
      </c>
      <c r="S1145" s="4" t="str">
        <f>IF(((Q1145)=TRUE),  I1145,  "")</f>
      </c>
      <c r="T1145" s="3" t="s">
        <v>6001</v>
      </c>
    </row>
    <row r="1146">
      <c r="A1146" s="3" t="s">
        <v>7379</v>
      </c>
      <c r="B1146" s="4" t="str">
        <f>C1146 &amp; ": " &amp; D1146</f>
        <v>fk-resolves: UserFeedback.ProcedureExecution -&gt; ProcedureExecutions</v>
      </c>
      <c r="C1146" s="3" t="s">
        <v>7193</v>
      </c>
      <c r="D1146" s="3" t="s">
        <v>7380</v>
      </c>
      <c r="E1146" s="3" t="s">
        <v>1842</v>
      </c>
      <c r="F1146" s="3" t="s">
        <v>1349</v>
      </c>
      <c r="G1146" s="3" t="s">
        <v>7351</v>
      </c>
      <c r="H1146" s="3"/>
      <c r="I1146" s="3" t="s">
        <v>5988</v>
      </c>
      <c r="J1146" s="3" t="s">
        <v>5999</v>
      </c>
      <c r="K1146" s="4" t="b">
        <f>J1146 = "blocking"</f>
        <v>1</v>
      </c>
      <c r="L1146" s="3" t="s">
        <v>1448</v>
      </c>
      <c r="M1146" s="3" t="s">
        <v>7196</v>
      </c>
      <c r="N1146" s="5">
        <v>46223.1297337963</v>
      </c>
      <c r="O1146" s="4" t="b">
        <f>L1146 = "PASS"</f>
        <v>1</v>
      </c>
      <c r="P1146" s="4" t="b">
        <f>L1146 = "FAIL"</f>
        <v>0</v>
      </c>
      <c r="Q1146" s="4" t="b">
        <f>AND(((P1146)=TRUE), ((K1146)=TRUE))</f>
        <v>0</v>
      </c>
      <c r="R1146" s="4" t="str">
        <f>IF(((O1146)=TRUE),  I1146,  "")</f>
        <v>suite-integrity</v>
      </c>
      <c r="S1146" s="4" t="str">
        <f>IF(((Q1146)=TRUE),  I1146,  "")</f>
      </c>
      <c r="T1146" s="3" t="s">
        <v>6001</v>
      </c>
    </row>
    <row r="1147">
      <c r="A1147" s="3" t="s">
        <v>7381</v>
      </c>
      <c r="B1147" s="4" t="str">
        <f>C1147 &amp; ": " &amp; D1147</f>
        <v>fk-resolves: UserFeedback.ProvidedByAgent -&gt; Agents</v>
      </c>
      <c r="C1147" s="3" t="s">
        <v>7193</v>
      </c>
      <c r="D1147" s="3" t="s">
        <v>7382</v>
      </c>
      <c r="E1147" s="3" t="s">
        <v>1842</v>
      </c>
      <c r="F1147" s="3" t="s">
        <v>1568</v>
      </c>
      <c r="G1147" s="3" t="s">
        <v>7201</v>
      </c>
      <c r="H1147" s="3"/>
      <c r="I1147" s="3" t="s">
        <v>5988</v>
      </c>
      <c r="J1147" s="3" t="s">
        <v>5999</v>
      </c>
      <c r="K1147" s="4" t="b">
        <f>J1147 = "blocking"</f>
        <v>1</v>
      </c>
      <c r="L1147" s="3" t="s">
        <v>1448</v>
      </c>
      <c r="M1147" s="3" t="s">
        <v>7196</v>
      </c>
      <c r="N1147" s="5">
        <v>46223.1297337963</v>
      </c>
      <c r="O1147" s="4" t="b">
        <f>L1147 = "PASS"</f>
        <v>1</v>
      </c>
      <c r="P1147" s="4" t="b">
        <f>L1147 = "FAIL"</f>
        <v>0</v>
      </c>
      <c r="Q1147" s="4" t="b">
        <f>AND(((P1147)=TRUE), ((K1147)=TRUE))</f>
        <v>0</v>
      </c>
      <c r="R1147" s="4" t="str">
        <f>IF(((O1147)=TRUE),  I1147,  "")</f>
        <v>suite-integrity</v>
      </c>
      <c r="S1147" s="4" t="str">
        <f>IF(((Q1147)=TRUE),  I1147,  "")</f>
      </c>
      <c r="T1147" s="3" t="s">
        <v>6001</v>
      </c>
    </row>
    <row r="1148">
      <c r="A1148" s="3" t="s">
        <v>7383</v>
      </c>
      <c r="B1148" s="4" t="str">
        <f>C1148 &amp; ": " &amp; D1148</f>
        <v>fk-resolves: StewardshipAssignments.ProcedureVersion -&gt; ProcedureVersions</v>
      </c>
      <c r="C1148" s="3" t="s">
        <v>7193</v>
      </c>
      <c r="D1148" s="3" t="s">
        <v>7384</v>
      </c>
      <c r="E1148" s="3" t="s">
        <v>1859</v>
      </c>
      <c r="F1148" s="3" t="s">
        <v>478</v>
      </c>
      <c r="G1148" s="3" t="s">
        <v>7247</v>
      </c>
      <c r="H1148" s="3"/>
      <c r="I1148" s="3" t="s">
        <v>5988</v>
      </c>
      <c r="J1148" s="3" t="s">
        <v>5999</v>
      </c>
      <c r="K1148" s="4" t="b">
        <f>J1148 = "blocking"</f>
        <v>1</v>
      </c>
      <c r="L1148" s="3" t="s">
        <v>1448</v>
      </c>
      <c r="M1148" s="3" t="s">
        <v>7196</v>
      </c>
      <c r="N1148" s="5">
        <v>46223.1297337963</v>
      </c>
      <c r="O1148" s="4" t="b">
        <f>L1148 = "PASS"</f>
        <v>1</v>
      </c>
      <c r="P1148" s="4" t="b">
        <f>L1148 = "FAIL"</f>
        <v>0</v>
      </c>
      <c r="Q1148" s="4" t="b">
        <f>AND(((P1148)=TRUE), ((K1148)=TRUE))</f>
        <v>0</v>
      </c>
      <c r="R1148" s="4" t="str">
        <f>IF(((O1148)=TRUE),  I1148,  "")</f>
        <v>suite-integrity</v>
      </c>
      <c r="S1148" s="4" t="str">
        <f>IF(((Q1148)=TRUE),  I1148,  "")</f>
      </c>
      <c r="T1148" s="3" t="s">
        <v>6001</v>
      </c>
    </row>
    <row r="1149">
      <c r="A1149" s="3" t="s">
        <v>7385</v>
      </c>
      <c r="B1149" s="4" t="str">
        <f>C1149 &amp; ": " &amp; D1149</f>
        <v>fk-resolves: StewardshipAssignments.StewardRole -&gt; Roles</v>
      </c>
      <c r="C1149" s="3" t="s">
        <v>7193</v>
      </c>
      <c r="D1149" s="3" t="s">
        <v>7386</v>
      </c>
      <c r="E1149" s="3" t="s">
        <v>1859</v>
      </c>
      <c r="F1149" s="3" t="s">
        <v>326</v>
      </c>
      <c r="G1149" s="3" t="s">
        <v>7204</v>
      </c>
      <c r="H1149" s="3"/>
      <c r="I1149" s="3" t="s">
        <v>5988</v>
      </c>
      <c r="J1149" s="3" t="s">
        <v>5999</v>
      </c>
      <c r="K1149" s="4" t="b">
        <f>J1149 = "blocking"</f>
        <v>1</v>
      </c>
      <c r="L1149" s="3" t="s">
        <v>1448</v>
      </c>
      <c r="M1149" s="3" t="s">
        <v>7196</v>
      </c>
      <c r="N1149" s="5">
        <v>46223.1297337963</v>
      </c>
      <c r="O1149" s="4" t="b">
        <f>L1149 = "PASS"</f>
        <v>1</v>
      </c>
      <c r="P1149" s="4" t="b">
        <f>L1149 = "FAIL"</f>
        <v>0</v>
      </c>
      <c r="Q1149" s="4" t="b">
        <f>AND(((P1149)=TRUE), ((K1149)=TRUE))</f>
        <v>0</v>
      </c>
      <c r="R1149" s="4" t="str">
        <f>IF(((O1149)=TRUE),  I1149,  "")</f>
        <v>suite-integrity</v>
      </c>
      <c r="S1149" s="4" t="str">
        <f>IF(((Q1149)=TRUE),  I1149,  "")</f>
      </c>
      <c r="T1149" s="3" t="s">
        <v>6001</v>
      </c>
    </row>
    <row r="1150">
      <c r="A1150" s="3" t="s">
        <v>7387</v>
      </c>
      <c r="B1150" s="4" t="str">
        <f>C1150 &amp; ": " &amp; D1150</f>
        <v>fk-resolves: StewardshipAssignments.AuthorityRole -&gt; Roles</v>
      </c>
      <c r="C1150" s="3" t="s">
        <v>7193</v>
      </c>
      <c r="D1150" s="3" t="s">
        <v>7388</v>
      </c>
      <c r="E1150" s="3" t="s">
        <v>1859</v>
      </c>
      <c r="F1150" s="3" t="s">
        <v>986</v>
      </c>
      <c r="G1150" s="3" t="s">
        <v>7204</v>
      </c>
      <c r="H1150" s="3"/>
      <c r="I1150" s="3" t="s">
        <v>5988</v>
      </c>
      <c r="J1150" s="3" t="s">
        <v>5999</v>
      </c>
      <c r="K1150" s="4" t="b">
        <f>J1150 = "blocking"</f>
        <v>1</v>
      </c>
      <c r="L1150" s="3" t="s">
        <v>1448</v>
      </c>
      <c r="M1150" s="3" t="s">
        <v>7196</v>
      </c>
      <c r="N1150" s="5">
        <v>46223.1297337963</v>
      </c>
      <c r="O1150" s="4" t="b">
        <f>L1150 = "PASS"</f>
        <v>1</v>
      </c>
      <c r="P1150" s="4" t="b">
        <f>L1150 = "FAIL"</f>
        <v>0</v>
      </c>
      <c r="Q1150" s="4" t="b">
        <f>AND(((P1150)=TRUE), ((K1150)=TRUE))</f>
        <v>0</v>
      </c>
      <c r="R1150" s="4" t="str">
        <f>IF(((O1150)=TRUE),  I1150,  "")</f>
        <v>suite-integrity</v>
      </c>
      <c r="S1150" s="4" t="str">
        <f>IF(((Q1150)=TRUE),  I1150,  "")</f>
      </c>
      <c r="T1150" s="3" t="s">
        <v>6001</v>
      </c>
    </row>
    <row r="1151">
      <c r="A1151" s="3" t="s">
        <v>7389</v>
      </c>
      <c r="B1151" s="4" t="str">
        <f>C1151 &amp; ": " &amp; D1151</f>
        <v>fk-resolves: StewardshipAssignments.EvaluationContext -&gt; EvaluationContexts</v>
      </c>
      <c r="C1151" s="3" t="s">
        <v>7193</v>
      </c>
      <c r="D1151" s="3" t="s">
        <v>7390</v>
      </c>
      <c r="E1151" s="3" t="s">
        <v>1859</v>
      </c>
      <c r="F1151" s="3" t="s">
        <v>258</v>
      </c>
      <c r="G1151" s="3" t="s">
        <v>7209</v>
      </c>
      <c r="H1151" s="3"/>
      <c r="I1151" s="3" t="s">
        <v>5988</v>
      </c>
      <c r="J1151" s="3" t="s">
        <v>5999</v>
      </c>
      <c r="K1151" s="4" t="b">
        <f>J1151 = "blocking"</f>
        <v>1</v>
      </c>
      <c r="L1151" s="3" t="s">
        <v>1448</v>
      </c>
      <c r="M1151" s="3" t="s">
        <v>7196</v>
      </c>
      <c r="N1151" s="5">
        <v>46223.1297337963</v>
      </c>
      <c r="O1151" s="4" t="b">
        <f>L1151 = "PASS"</f>
        <v>1</v>
      </c>
      <c r="P1151" s="4" t="b">
        <f>L1151 = "FAIL"</f>
        <v>0</v>
      </c>
      <c r="Q1151" s="4" t="b">
        <f>AND(((P1151)=TRUE), ((K1151)=TRUE))</f>
        <v>0</v>
      </c>
      <c r="R1151" s="4" t="str">
        <f>IF(((O1151)=TRUE),  I1151,  "")</f>
        <v>suite-integrity</v>
      </c>
      <c r="S1151" s="4" t="str">
        <f>IF(((Q1151)=TRUE),  I1151,  "")</f>
      </c>
      <c r="T1151" s="3" t="s">
        <v>6001</v>
      </c>
    </row>
    <row r="1152">
      <c r="A1152" s="3" t="s">
        <v>7391</v>
      </c>
      <c r="B1152" s="4" t="str">
        <f>C1152 &amp; ": " &amp; D1152</f>
        <v>fk-resolves: ChangeRequests.ProcedureVersion -&gt; ProcedureVersions</v>
      </c>
      <c r="C1152" s="3" t="s">
        <v>7193</v>
      </c>
      <c r="D1152" s="3" t="s">
        <v>7392</v>
      </c>
      <c r="E1152" s="3" t="s">
        <v>3914</v>
      </c>
      <c r="F1152" s="3" t="s">
        <v>478</v>
      </c>
      <c r="G1152" s="3" t="s">
        <v>7247</v>
      </c>
      <c r="H1152" s="3"/>
      <c r="I1152" s="3" t="s">
        <v>5988</v>
      </c>
      <c r="J1152" s="3" t="s">
        <v>5999</v>
      </c>
      <c r="K1152" s="4" t="b">
        <f>J1152 = "blocking"</f>
        <v>1</v>
      </c>
      <c r="L1152" s="3" t="s">
        <v>1448</v>
      </c>
      <c r="M1152" s="3" t="s">
        <v>7196</v>
      </c>
      <c r="N1152" s="5">
        <v>46223.1297337963</v>
      </c>
      <c r="O1152" s="4" t="b">
        <f>L1152 = "PASS"</f>
        <v>1</v>
      </c>
      <c r="P1152" s="4" t="b">
        <f>L1152 = "FAIL"</f>
        <v>0</v>
      </c>
      <c r="Q1152" s="4" t="b">
        <f>AND(((P1152)=TRUE), ((K1152)=TRUE))</f>
        <v>0</v>
      </c>
      <c r="R1152" s="4" t="str">
        <f>IF(((O1152)=TRUE),  I1152,  "")</f>
        <v>suite-integrity</v>
      </c>
      <c r="S1152" s="4" t="str">
        <f>IF(((Q1152)=TRUE),  I1152,  "")</f>
      </c>
      <c r="T1152" s="3" t="s">
        <v>6001</v>
      </c>
    </row>
    <row r="1153">
      <c r="A1153" s="3" t="s">
        <v>7393</v>
      </c>
      <c r="B1153" s="4" t="str">
        <f>C1153 &amp; ": " &amp; D1153</f>
        <v>fk-resolves: ChangeRequests.RequestedByAgent -&gt; Agents</v>
      </c>
      <c r="C1153" s="3" t="s">
        <v>7193</v>
      </c>
      <c r="D1153" s="3" t="s">
        <v>7394</v>
      </c>
      <c r="E1153" s="3" t="s">
        <v>3914</v>
      </c>
      <c r="F1153" s="3" t="s">
        <v>1590</v>
      </c>
      <c r="G1153" s="3" t="s">
        <v>7201</v>
      </c>
      <c r="H1153" s="3"/>
      <c r="I1153" s="3" t="s">
        <v>5988</v>
      </c>
      <c r="J1153" s="3" t="s">
        <v>5999</v>
      </c>
      <c r="K1153" s="4" t="b">
        <f>J1153 = "blocking"</f>
        <v>1</v>
      </c>
      <c r="L1153" s="3" t="s">
        <v>1448</v>
      </c>
      <c r="M1153" s="3" t="s">
        <v>7196</v>
      </c>
      <c r="N1153" s="5">
        <v>46223.1297337963</v>
      </c>
      <c r="O1153" s="4" t="b">
        <f>L1153 = "PASS"</f>
        <v>1</v>
      </c>
      <c r="P1153" s="4" t="b">
        <f>L1153 = "FAIL"</f>
        <v>0</v>
      </c>
      <c r="Q1153" s="4" t="b">
        <f>AND(((P1153)=TRUE), ((K1153)=TRUE))</f>
        <v>0</v>
      </c>
      <c r="R1153" s="4" t="str">
        <f>IF(((O1153)=TRUE),  I1153,  "")</f>
        <v>suite-integrity</v>
      </c>
      <c r="S1153" s="4" t="str">
        <f>IF(((Q1153)=TRUE),  I1153,  "")</f>
      </c>
      <c r="T1153" s="3" t="s">
        <v>6001</v>
      </c>
    </row>
    <row r="1154">
      <c r="A1154" s="3" t="s">
        <v>7395</v>
      </c>
      <c r="B1154" s="4" t="str">
        <f>C1154 &amp; ": " &amp; D1154</f>
        <v>fk-resolves: ChangeRequests.AuthorityRole -&gt; Roles</v>
      </c>
      <c r="C1154" s="3" t="s">
        <v>7193</v>
      </c>
      <c r="D1154" s="3" t="s">
        <v>7396</v>
      </c>
      <c r="E1154" s="3" t="s">
        <v>3914</v>
      </c>
      <c r="F1154" s="3" t="s">
        <v>986</v>
      </c>
      <c r="G1154" s="3" t="s">
        <v>7204</v>
      </c>
      <c r="H1154" s="3"/>
      <c r="I1154" s="3" t="s">
        <v>5988</v>
      </c>
      <c r="J1154" s="3" t="s">
        <v>5999</v>
      </c>
      <c r="K1154" s="4" t="b">
        <f>J1154 = "blocking"</f>
        <v>1</v>
      </c>
      <c r="L1154" s="3" t="s">
        <v>1448</v>
      </c>
      <c r="M1154" s="3" t="s">
        <v>7196</v>
      </c>
      <c r="N1154" s="5">
        <v>46223.1297337963</v>
      </c>
      <c r="O1154" s="4" t="b">
        <f>L1154 = "PASS"</f>
        <v>1</v>
      </c>
      <c r="P1154" s="4" t="b">
        <f>L1154 = "FAIL"</f>
        <v>0</v>
      </c>
      <c r="Q1154" s="4" t="b">
        <f>AND(((P1154)=TRUE), ((K1154)=TRUE))</f>
        <v>0</v>
      </c>
      <c r="R1154" s="4" t="str">
        <f>IF(((O1154)=TRUE),  I1154,  "")</f>
        <v>suite-integrity</v>
      </c>
      <c r="S1154" s="4" t="str">
        <f>IF(((Q1154)=TRUE),  I1154,  "")</f>
      </c>
      <c r="T1154" s="3" t="s">
        <v>6001</v>
      </c>
    </row>
    <row r="1155">
      <c r="A1155" s="3" t="s">
        <v>7397</v>
      </c>
      <c r="B1155" s="4" t="str">
        <f>C1155 &amp; ": " &amp; D1155</f>
        <v>fk-resolves: ChangeRequests.EvaluationContext -&gt; EvaluationContexts</v>
      </c>
      <c r="C1155" s="3" t="s">
        <v>7193</v>
      </c>
      <c r="D1155" s="3" t="s">
        <v>7398</v>
      </c>
      <c r="E1155" s="3" t="s">
        <v>3914</v>
      </c>
      <c r="F1155" s="3" t="s">
        <v>258</v>
      </c>
      <c r="G1155" s="3" t="s">
        <v>7209</v>
      </c>
      <c r="H1155" s="3"/>
      <c r="I1155" s="3" t="s">
        <v>5988</v>
      </c>
      <c r="J1155" s="3" t="s">
        <v>5999</v>
      </c>
      <c r="K1155" s="4" t="b">
        <f>J1155 = "blocking"</f>
        <v>1</v>
      </c>
      <c r="L1155" s="3" t="s">
        <v>1448</v>
      </c>
      <c r="M1155" s="3" t="s">
        <v>7196</v>
      </c>
      <c r="N1155" s="5">
        <v>46223.1297337963</v>
      </c>
      <c r="O1155" s="4" t="b">
        <f>L1155 = "PASS"</f>
        <v>1</v>
      </c>
      <c r="P1155" s="4" t="b">
        <f>L1155 = "FAIL"</f>
        <v>0</v>
      </c>
      <c r="Q1155" s="4" t="b">
        <f>AND(((P1155)=TRUE), ((K1155)=TRUE))</f>
        <v>0</v>
      </c>
      <c r="R1155" s="4" t="str">
        <f>IF(((O1155)=TRUE),  I1155,  "")</f>
        <v>suite-integrity</v>
      </c>
      <c r="S1155" s="4" t="str">
        <f>IF(((Q1155)=TRUE),  I1155,  "")</f>
      </c>
      <c r="T1155" s="3" t="s">
        <v>6001</v>
      </c>
    </row>
    <row r="1156">
      <c r="A1156" s="3" t="s">
        <v>7399</v>
      </c>
      <c r="B1156" s="4" t="str">
        <f>C1156 &amp; ": " &amp; D1156</f>
        <v>fk-resolves: ReviewEvents.ProcedureVersion -&gt; ProcedureVersions</v>
      </c>
      <c r="C1156" s="3" t="s">
        <v>7193</v>
      </c>
      <c r="D1156" s="3" t="s">
        <v>7400</v>
      </c>
      <c r="E1156" s="3" t="s">
        <v>3988</v>
      </c>
      <c r="F1156" s="3" t="s">
        <v>478</v>
      </c>
      <c r="G1156" s="3" t="s">
        <v>7247</v>
      </c>
      <c r="H1156" s="3"/>
      <c r="I1156" s="3" t="s">
        <v>5988</v>
      </c>
      <c r="J1156" s="3" t="s">
        <v>5999</v>
      </c>
      <c r="K1156" s="4" t="b">
        <f>J1156 = "blocking"</f>
        <v>1</v>
      </c>
      <c r="L1156" s="3" t="s">
        <v>1448</v>
      </c>
      <c r="M1156" s="3" t="s">
        <v>7196</v>
      </c>
      <c r="N1156" s="5">
        <v>46223.1297337963</v>
      </c>
      <c r="O1156" s="4" t="b">
        <f>L1156 = "PASS"</f>
        <v>1</v>
      </c>
      <c r="P1156" s="4" t="b">
        <f>L1156 = "FAIL"</f>
        <v>0</v>
      </c>
      <c r="Q1156" s="4" t="b">
        <f>AND(((P1156)=TRUE), ((K1156)=TRUE))</f>
        <v>0</v>
      </c>
      <c r="R1156" s="4" t="str">
        <f>IF(((O1156)=TRUE),  I1156,  "")</f>
        <v>suite-integrity</v>
      </c>
      <c r="S1156" s="4" t="str">
        <f>IF(((Q1156)=TRUE),  I1156,  "")</f>
      </c>
      <c r="T1156" s="3" t="s">
        <v>6001</v>
      </c>
    </row>
    <row r="1157">
      <c r="A1157" s="3" t="s">
        <v>7401</v>
      </c>
      <c r="B1157" s="4" t="str">
        <f>C1157 &amp; ": " &amp; D1157</f>
        <v>fk-resolves: ReviewEvents.ReviewedByAgent -&gt; Agents</v>
      </c>
      <c r="C1157" s="3" t="s">
        <v>7193</v>
      </c>
      <c r="D1157" s="3" t="s">
        <v>7402</v>
      </c>
      <c r="E1157" s="3" t="s">
        <v>3988</v>
      </c>
      <c r="F1157" s="3" t="s">
        <v>1634</v>
      </c>
      <c r="G1157" s="3" t="s">
        <v>7201</v>
      </c>
      <c r="H1157" s="3"/>
      <c r="I1157" s="3" t="s">
        <v>5988</v>
      </c>
      <c r="J1157" s="3" t="s">
        <v>5999</v>
      </c>
      <c r="K1157" s="4" t="b">
        <f>J1157 = "blocking"</f>
        <v>1</v>
      </c>
      <c r="L1157" s="3" t="s">
        <v>1448</v>
      </c>
      <c r="M1157" s="3" t="s">
        <v>7196</v>
      </c>
      <c r="N1157" s="5">
        <v>46223.1297337963</v>
      </c>
      <c r="O1157" s="4" t="b">
        <f>L1157 = "PASS"</f>
        <v>1</v>
      </c>
      <c r="P1157" s="4" t="b">
        <f>L1157 = "FAIL"</f>
        <v>0</v>
      </c>
      <c r="Q1157" s="4" t="b">
        <f>AND(((P1157)=TRUE), ((K1157)=TRUE))</f>
        <v>0</v>
      </c>
      <c r="R1157" s="4" t="str">
        <f>IF(((O1157)=TRUE),  I1157,  "")</f>
        <v>suite-integrity</v>
      </c>
      <c r="S1157" s="4" t="str">
        <f>IF(((Q1157)=TRUE),  I1157,  "")</f>
      </c>
      <c r="T1157" s="3" t="s">
        <v>6001</v>
      </c>
    </row>
    <row r="1158">
      <c r="A1158" s="3" t="s">
        <v>7403</v>
      </c>
      <c r="B1158" s="4" t="str">
        <f>C1158 &amp; ": " &amp; D1158</f>
        <v>fk-resolves: ReviewEvents.RelatedChangeRequest -&gt; ChangeRequests</v>
      </c>
      <c r="C1158" s="3" t="s">
        <v>7193</v>
      </c>
      <c r="D1158" s="3" t="s">
        <v>7404</v>
      </c>
      <c r="E1158" s="3" t="s">
        <v>3988</v>
      </c>
      <c r="F1158" s="3" t="s">
        <v>1636</v>
      </c>
      <c r="G1158" s="3" t="s">
        <v>7217</v>
      </c>
      <c r="H1158" s="3"/>
      <c r="I1158" s="3" t="s">
        <v>5988</v>
      </c>
      <c r="J1158" s="3" t="s">
        <v>5999</v>
      </c>
      <c r="K1158" s="4" t="b">
        <f>J1158 = "blocking"</f>
        <v>1</v>
      </c>
      <c r="L1158" s="3" t="s">
        <v>1448</v>
      </c>
      <c r="M1158" s="3" t="s">
        <v>7196</v>
      </c>
      <c r="N1158" s="5">
        <v>46223.1297337963</v>
      </c>
      <c r="O1158" s="4" t="b">
        <f>L1158 = "PASS"</f>
        <v>1</v>
      </c>
      <c r="P1158" s="4" t="b">
        <f>L1158 = "FAIL"</f>
        <v>0</v>
      </c>
      <c r="Q1158" s="4" t="b">
        <f>AND(((P1158)=TRUE), ((K1158)=TRUE))</f>
        <v>0</v>
      </c>
      <c r="R1158" s="4" t="str">
        <f>IF(((O1158)=TRUE),  I1158,  "")</f>
        <v>suite-integrity</v>
      </c>
      <c r="S1158" s="4" t="str">
        <f>IF(((Q1158)=TRUE),  I1158,  "")</f>
      </c>
      <c r="T1158" s="3" t="s">
        <v>6001</v>
      </c>
    </row>
    <row r="1159">
      <c r="A1159" s="3" t="s">
        <v>7405</v>
      </c>
      <c r="B1159" s="4" t="str">
        <f>C1159 &amp; ": " &amp; D1159</f>
        <v>fk-resolves: ReviewEvents.EvaluationContext -&gt; EvaluationContexts</v>
      </c>
      <c r="C1159" s="3" t="s">
        <v>7193</v>
      </c>
      <c r="D1159" s="3" t="s">
        <v>7406</v>
      </c>
      <c r="E1159" s="3" t="s">
        <v>3988</v>
      </c>
      <c r="F1159" s="3" t="s">
        <v>258</v>
      </c>
      <c r="G1159" s="3" t="s">
        <v>7209</v>
      </c>
      <c r="H1159" s="3"/>
      <c r="I1159" s="3" t="s">
        <v>5988</v>
      </c>
      <c r="J1159" s="3" t="s">
        <v>5999</v>
      </c>
      <c r="K1159" s="4" t="b">
        <f>J1159 = "blocking"</f>
        <v>1</v>
      </c>
      <c r="L1159" s="3" t="s">
        <v>1448</v>
      </c>
      <c r="M1159" s="3" t="s">
        <v>7196</v>
      </c>
      <c r="N1159" s="5">
        <v>46223.1297337963</v>
      </c>
      <c r="O1159" s="4" t="b">
        <f>L1159 = "PASS"</f>
        <v>1</v>
      </c>
      <c r="P1159" s="4" t="b">
        <f>L1159 = "FAIL"</f>
        <v>0</v>
      </c>
      <c r="Q1159" s="4" t="b">
        <f>AND(((P1159)=TRUE), ((K1159)=TRUE))</f>
        <v>0</v>
      </c>
      <c r="R1159" s="4" t="str">
        <f>IF(((O1159)=TRUE),  I1159,  "")</f>
        <v>suite-integrity</v>
      </c>
      <c r="S1159" s="4" t="str">
        <f>IF(((Q1159)=TRUE),  I1159,  "")</f>
      </c>
      <c r="T1159" s="3" t="s">
        <v>6001</v>
      </c>
    </row>
    <row r="1160">
      <c r="A1160" s="3" t="s">
        <v>7407</v>
      </c>
      <c r="B1160" s="4" t="str">
        <f>C1160 &amp; ": " &amp; D1160</f>
        <v>fk-resolves: LearningActivities.CommunityOfPractice -&gt; CommunitiesOfPractice</v>
      </c>
      <c r="C1160" s="3" t="s">
        <v>7193</v>
      </c>
      <c r="D1160" s="3" t="s">
        <v>7408</v>
      </c>
      <c r="E1160" s="3" t="s">
        <v>4017</v>
      </c>
      <c r="F1160" s="3" t="s">
        <v>339</v>
      </c>
      <c r="G1160" s="3" t="s">
        <v>7224</v>
      </c>
      <c r="H1160" s="3"/>
      <c r="I1160" s="3" t="s">
        <v>5988</v>
      </c>
      <c r="J1160" s="3" t="s">
        <v>5999</v>
      </c>
      <c r="K1160" s="4" t="b">
        <f>J1160 = "blocking"</f>
        <v>1</v>
      </c>
      <c r="L1160" s="3" t="s">
        <v>1448</v>
      </c>
      <c r="M1160" s="3" t="s">
        <v>7196</v>
      </c>
      <c r="N1160" s="5">
        <v>46223.1297337963</v>
      </c>
      <c r="O1160" s="4" t="b">
        <f>L1160 = "PASS"</f>
        <v>1</v>
      </c>
      <c r="P1160" s="4" t="b">
        <f>L1160 = "FAIL"</f>
        <v>0</v>
      </c>
      <c r="Q1160" s="4" t="b">
        <f>AND(((P1160)=TRUE), ((K1160)=TRUE))</f>
        <v>0</v>
      </c>
      <c r="R1160" s="4" t="str">
        <f>IF(((O1160)=TRUE),  I1160,  "")</f>
        <v>suite-integrity</v>
      </c>
      <c r="S1160" s="4" t="str">
        <f>IF(((Q1160)=TRUE),  I1160,  "")</f>
      </c>
      <c r="T1160" s="3" t="s">
        <v>6001</v>
      </c>
    </row>
    <row r="1161">
      <c r="A1161" s="3" t="s">
        <v>7409</v>
      </c>
      <c r="B1161" s="4" t="str">
        <f>C1161 &amp; ": " &amp; D1161</f>
        <v>fk-resolves: LearningActivities.ProcedureVersion -&gt; ProcedureVersions</v>
      </c>
      <c r="C1161" s="3" t="s">
        <v>7193</v>
      </c>
      <c r="D1161" s="3" t="s">
        <v>7410</v>
      </c>
      <c r="E1161" s="3" t="s">
        <v>4017</v>
      </c>
      <c r="F1161" s="3" t="s">
        <v>478</v>
      </c>
      <c r="G1161" s="3" t="s">
        <v>7247</v>
      </c>
      <c r="H1161" s="3"/>
      <c r="I1161" s="3" t="s">
        <v>5988</v>
      </c>
      <c r="J1161" s="3" t="s">
        <v>5999</v>
      </c>
      <c r="K1161" s="4" t="b">
        <f>J1161 = "blocking"</f>
        <v>1</v>
      </c>
      <c r="L1161" s="3" t="s">
        <v>1448</v>
      </c>
      <c r="M1161" s="3" t="s">
        <v>7196</v>
      </c>
      <c r="N1161" s="5">
        <v>46223.1297337963</v>
      </c>
      <c r="O1161" s="4" t="b">
        <f>L1161 = "PASS"</f>
        <v>1</v>
      </c>
      <c r="P1161" s="4" t="b">
        <f>L1161 = "FAIL"</f>
        <v>0</v>
      </c>
      <c r="Q1161" s="4" t="b">
        <f>AND(((P1161)=TRUE), ((K1161)=TRUE))</f>
        <v>0</v>
      </c>
      <c r="R1161" s="4" t="str">
        <f>IF(((O1161)=TRUE),  I1161,  "")</f>
        <v>suite-integrity</v>
      </c>
      <c r="S1161" s="4" t="str">
        <f>IF(((Q1161)=TRUE),  I1161,  "")</f>
      </c>
      <c r="T1161" s="3" t="s">
        <v>6001</v>
      </c>
    </row>
    <row r="1162">
      <c r="A1162" s="3" t="s">
        <v>7411</v>
      </c>
      <c r="B1162" s="4" t="str">
        <f>C1162 &amp; ": " &amp; D1162</f>
        <v>fk-resolves: LearningActivities.FacilitatorAgent -&gt; Agents</v>
      </c>
      <c r="C1162" s="3" t="s">
        <v>7193</v>
      </c>
      <c r="D1162" s="3" t="s">
        <v>7412</v>
      </c>
      <c r="E1162" s="3" t="s">
        <v>4017</v>
      </c>
      <c r="F1162" s="3" t="s">
        <v>1083</v>
      </c>
      <c r="G1162" s="3" t="s">
        <v>7201</v>
      </c>
      <c r="H1162" s="3"/>
      <c r="I1162" s="3" t="s">
        <v>5988</v>
      </c>
      <c r="J1162" s="3" t="s">
        <v>5999</v>
      </c>
      <c r="K1162" s="4" t="b">
        <f>J1162 = "blocking"</f>
        <v>1</v>
      </c>
      <c r="L1162" s="3" t="s">
        <v>1448</v>
      </c>
      <c r="M1162" s="3" t="s">
        <v>7196</v>
      </c>
      <c r="N1162" s="5">
        <v>46223.1297337963</v>
      </c>
      <c r="O1162" s="4" t="b">
        <f>L1162 = "PASS"</f>
        <v>1</v>
      </c>
      <c r="P1162" s="4" t="b">
        <f>L1162 = "FAIL"</f>
        <v>0</v>
      </c>
      <c r="Q1162" s="4" t="b">
        <f>AND(((P1162)=TRUE), ((K1162)=TRUE))</f>
        <v>0</v>
      </c>
      <c r="R1162" s="4" t="str">
        <f>IF(((O1162)=TRUE),  I1162,  "")</f>
        <v>suite-integrity</v>
      </c>
      <c r="S1162" s="4" t="str">
        <f>IF(((Q1162)=TRUE),  I1162,  "")</f>
      </c>
      <c r="T1162" s="3" t="s">
        <v>6001</v>
      </c>
    </row>
    <row r="1163">
      <c r="A1163" s="3" t="s">
        <v>7413</v>
      </c>
      <c r="B1163" s="4" t="str">
        <f>C1163 &amp; ": " &amp; D1163</f>
        <v>fk-resolves: LearningActivities.EvidenceResource -&gt; Resources</v>
      </c>
      <c r="C1163" s="3" t="s">
        <v>7193</v>
      </c>
      <c r="D1163" s="3" t="s">
        <v>7414</v>
      </c>
      <c r="E1163" s="3" t="s">
        <v>4017</v>
      </c>
      <c r="F1163" s="3" t="s">
        <v>1656</v>
      </c>
      <c r="G1163" s="3" t="s">
        <v>7307</v>
      </c>
      <c r="H1163" s="3"/>
      <c r="I1163" s="3" t="s">
        <v>5988</v>
      </c>
      <c r="J1163" s="3" t="s">
        <v>5999</v>
      </c>
      <c r="K1163" s="4" t="b">
        <f>J1163 = "blocking"</f>
        <v>1</v>
      </c>
      <c r="L1163" s="3" t="s">
        <v>1448</v>
      </c>
      <c r="M1163" s="3" t="s">
        <v>7196</v>
      </c>
      <c r="N1163" s="5">
        <v>46223.1297337963</v>
      </c>
      <c r="O1163" s="4" t="b">
        <f>L1163 = "PASS"</f>
        <v>1</v>
      </c>
      <c r="P1163" s="4" t="b">
        <f>L1163 = "FAIL"</f>
        <v>0</v>
      </c>
      <c r="Q1163" s="4" t="b">
        <f>AND(((P1163)=TRUE), ((K1163)=TRUE))</f>
        <v>0</v>
      </c>
      <c r="R1163" s="4" t="str">
        <f>IF(((O1163)=TRUE),  I1163,  "")</f>
        <v>suite-integrity</v>
      </c>
      <c r="S1163" s="4" t="str">
        <f>IF(((Q1163)=TRUE),  I1163,  "")</f>
      </c>
      <c r="T1163" s="3" t="s">
        <v>6001</v>
      </c>
    </row>
    <row r="1164">
      <c r="A1164" s="3" t="s">
        <v>7415</v>
      </c>
      <c r="B1164" s="4" t="str">
        <f>C1164 &amp; ": " &amp; D1164</f>
        <v>fk-resolves: OperationalBindings.ProcedureVersion -&gt; ProcedureVersions</v>
      </c>
      <c r="C1164" s="3" t="s">
        <v>7193</v>
      </c>
      <c r="D1164" s="3" t="s">
        <v>7416</v>
      </c>
      <c r="E1164" s="3" t="s">
        <v>1862</v>
      </c>
      <c r="F1164" s="3" t="s">
        <v>478</v>
      </c>
      <c r="G1164" s="3" t="s">
        <v>7247</v>
      </c>
      <c r="H1164" s="3"/>
      <c r="I1164" s="3" t="s">
        <v>5988</v>
      </c>
      <c r="J1164" s="3" t="s">
        <v>5999</v>
      </c>
      <c r="K1164" s="4" t="b">
        <f>J1164 = "blocking"</f>
        <v>1</v>
      </c>
      <c r="L1164" s="3" t="s">
        <v>1448</v>
      </c>
      <c r="M1164" s="3" t="s">
        <v>7196</v>
      </c>
      <c r="N1164" s="5">
        <v>46223.1297337963</v>
      </c>
      <c r="O1164" s="4" t="b">
        <f>L1164 = "PASS"</f>
        <v>1</v>
      </c>
      <c r="P1164" s="4" t="b">
        <f>L1164 = "FAIL"</f>
        <v>0</v>
      </c>
      <c r="Q1164" s="4" t="b">
        <f>AND(((P1164)=TRUE), ((K1164)=TRUE))</f>
        <v>0</v>
      </c>
      <c r="R1164" s="4" t="str">
        <f>IF(((O1164)=TRUE),  I1164,  "")</f>
        <v>suite-integrity</v>
      </c>
      <c r="S1164" s="4" t="str">
        <f>IF(((Q1164)=TRUE),  I1164,  "")</f>
      </c>
      <c r="T1164" s="3" t="s">
        <v>6001</v>
      </c>
    </row>
    <row r="1165">
      <c r="A1165" s="3" t="s">
        <v>7417</v>
      </c>
      <c r="B1165" s="4" t="str">
        <f>C1165 &amp; ": " &amp; D1165</f>
        <v>fk-resolves: OperationalBindings.Step -&gt; Steps</v>
      </c>
      <c r="C1165" s="3" t="s">
        <v>7193</v>
      </c>
      <c r="D1165" s="3" t="s">
        <v>7418</v>
      </c>
      <c r="E1165" s="3" t="s">
        <v>1862</v>
      </c>
      <c r="F1165" s="3" t="s">
        <v>767</v>
      </c>
      <c r="G1165" s="3" t="s">
        <v>7262</v>
      </c>
      <c r="H1165" s="3"/>
      <c r="I1165" s="3" t="s">
        <v>5988</v>
      </c>
      <c r="J1165" s="3" t="s">
        <v>5999</v>
      </c>
      <c r="K1165" s="4" t="b">
        <f>J1165 = "blocking"</f>
        <v>1</v>
      </c>
      <c r="L1165" s="3" t="s">
        <v>1448</v>
      </c>
      <c r="M1165" s="3" t="s">
        <v>7196</v>
      </c>
      <c r="N1165" s="5">
        <v>46223.1297337963</v>
      </c>
      <c r="O1165" s="4" t="b">
        <f>L1165 = "PASS"</f>
        <v>1</v>
      </c>
      <c r="P1165" s="4" t="b">
        <f>L1165 = "FAIL"</f>
        <v>0</v>
      </c>
      <c r="Q1165" s="4" t="b">
        <f>AND(((P1165)=TRUE), ((K1165)=TRUE))</f>
        <v>0</v>
      </c>
      <c r="R1165" s="4" t="str">
        <f>IF(((O1165)=TRUE),  I1165,  "")</f>
        <v>suite-integrity</v>
      </c>
      <c r="S1165" s="4" t="str">
        <f>IF(((Q1165)=TRUE),  I1165,  "")</f>
      </c>
      <c r="T1165" s="3" t="s">
        <v>6001</v>
      </c>
    </row>
    <row r="1166">
      <c r="A1166" s="3" t="s">
        <v>7419</v>
      </c>
      <c r="B1166" s="4" t="str">
        <f>C1166 &amp; ": " &amp; D1166</f>
        <v>fk-resolves: OperationalBindings.Resource -&gt; Resources</v>
      </c>
      <c r="C1166" s="3" t="s">
        <v>7193</v>
      </c>
      <c r="D1166" s="3" t="s">
        <v>7420</v>
      </c>
      <c r="E1166" s="3" t="s">
        <v>1862</v>
      </c>
      <c r="F1166" s="3" t="s">
        <v>1066</v>
      </c>
      <c r="G1166" s="3" t="s">
        <v>7307</v>
      </c>
      <c r="H1166" s="3"/>
      <c r="I1166" s="3" t="s">
        <v>5988</v>
      </c>
      <c r="J1166" s="3" t="s">
        <v>5999</v>
      </c>
      <c r="K1166" s="4" t="b">
        <f>J1166 = "blocking"</f>
        <v>1</v>
      </c>
      <c r="L1166" s="3" t="s">
        <v>1448</v>
      </c>
      <c r="M1166" s="3" t="s">
        <v>7196</v>
      </c>
      <c r="N1166" s="5">
        <v>46223.1297337963</v>
      </c>
      <c r="O1166" s="4" t="b">
        <f>L1166 = "PASS"</f>
        <v>1</v>
      </c>
      <c r="P1166" s="4" t="b">
        <f>L1166 = "FAIL"</f>
        <v>0</v>
      </c>
      <c r="Q1166" s="4" t="b">
        <f>AND(((P1166)=TRUE), ((K1166)=TRUE))</f>
        <v>0</v>
      </c>
      <c r="R1166" s="4" t="str">
        <f>IF(((O1166)=TRUE),  I1166,  "")</f>
        <v>suite-integrity</v>
      </c>
      <c r="S1166" s="4" t="str">
        <f>IF(((Q1166)=TRUE),  I1166,  "")</f>
      </c>
      <c r="T1166" s="3" t="s">
        <v>6001</v>
      </c>
    </row>
    <row r="1167">
      <c r="A1167" s="3" t="s">
        <v>7421</v>
      </c>
      <c r="B1167" s="4" t="str">
        <f>C1167 &amp; ": " &amp; D1167</f>
        <v>fk-resolves: OperationalBindings.EvaluationContext -&gt; EvaluationContexts</v>
      </c>
      <c r="C1167" s="3" t="s">
        <v>7193</v>
      </c>
      <c r="D1167" s="3" t="s">
        <v>7422</v>
      </c>
      <c r="E1167" s="3" t="s">
        <v>1862</v>
      </c>
      <c r="F1167" s="3" t="s">
        <v>258</v>
      </c>
      <c r="G1167" s="3" t="s">
        <v>7209</v>
      </c>
      <c r="H1167" s="3"/>
      <c r="I1167" s="3" t="s">
        <v>5988</v>
      </c>
      <c r="J1167" s="3" t="s">
        <v>5999</v>
      </c>
      <c r="K1167" s="4" t="b">
        <f>J1167 = "blocking"</f>
        <v>1</v>
      </c>
      <c r="L1167" s="3" t="s">
        <v>1448</v>
      </c>
      <c r="M1167" s="3" t="s">
        <v>7196</v>
      </c>
      <c r="N1167" s="5">
        <v>46223.1297337963</v>
      </c>
      <c r="O1167" s="4" t="b">
        <f>L1167 = "PASS"</f>
        <v>1</v>
      </c>
      <c r="P1167" s="4" t="b">
        <f>L1167 = "FAIL"</f>
        <v>0</v>
      </c>
      <c r="Q1167" s="4" t="b">
        <f>AND(((P1167)=TRUE), ((K1167)=TRUE))</f>
        <v>0</v>
      </c>
      <c r="R1167" s="4" t="str">
        <f>IF(((O1167)=TRUE),  I1167,  "")</f>
        <v>suite-integrity</v>
      </c>
      <c r="S1167" s="4" t="str">
        <f>IF(((Q1167)=TRUE),  I1167,  "")</f>
      </c>
      <c r="T1167" s="3" t="s">
        <v>6001</v>
      </c>
    </row>
    <row r="1168">
      <c r="A1168" s="3" t="s">
        <v>7423</v>
      </c>
      <c r="B1168" s="4" t="str">
        <f>C1168 &amp; ": " &amp; D1168</f>
        <v>fk-resolves: CommunicationPolicies.ProcedureVersion -&gt; ProcedureVersions</v>
      </c>
      <c r="C1168" s="3" t="s">
        <v>7193</v>
      </c>
      <c r="D1168" s="3" t="s">
        <v>7424</v>
      </c>
      <c r="E1168" s="3" t="s">
        <v>1865</v>
      </c>
      <c r="F1168" s="3" t="s">
        <v>478</v>
      </c>
      <c r="G1168" s="3" t="s">
        <v>7247</v>
      </c>
      <c r="H1168" s="3"/>
      <c r="I1168" s="3" t="s">
        <v>5988</v>
      </c>
      <c r="J1168" s="3" t="s">
        <v>5999</v>
      </c>
      <c r="K1168" s="4" t="b">
        <f>J1168 = "blocking"</f>
        <v>1</v>
      </c>
      <c r="L1168" s="3" t="s">
        <v>1448</v>
      </c>
      <c r="M1168" s="3" t="s">
        <v>7196</v>
      </c>
      <c r="N1168" s="5">
        <v>46223.1297337963</v>
      </c>
      <c r="O1168" s="4" t="b">
        <f>L1168 = "PASS"</f>
        <v>1</v>
      </c>
      <c r="P1168" s="4" t="b">
        <f>L1168 = "FAIL"</f>
        <v>0</v>
      </c>
      <c r="Q1168" s="4" t="b">
        <f>AND(((P1168)=TRUE), ((K1168)=TRUE))</f>
        <v>0</v>
      </c>
      <c r="R1168" s="4" t="str">
        <f>IF(((O1168)=TRUE),  I1168,  "")</f>
        <v>suite-integrity</v>
      </c>
      <c r="S1168" s="4" t="str">
        <f>IF(((Q1168)=TRUE),  I1168,  "")</f>
      </c>
      <c r="T1168" s="3" t="s">
        <v>6001</v>
      </c>
    </row>
    <row r="1169">
      <c r="A1169" s="3" t="s">
        <v>7425</v>
      </c>
      <c r="B1169" s="4" t="str">
        <f>C1169 &amp; ": " &amp; D1169</f>
        <v>fk-resolves: CommunicationPolicies.ApprovalRole -&gt; Roles</v>
      </c>
      <c r="C1169" s="3" t="s">
        <v>7193</v>
      </c>
      <c r="D1169" s="3" t="s">
        <v>7426</v>
      </c>
      <c r="E1169" s="3" t="s">
        <v>1865</v>
      </c>
      <c r="F1169" s="3" t="s">
        <v>1003</v>
      </c>
      <c r="G1169" s="3" t="s">
        <v>7204</v>
      </c>
      <c r="H1169" s="3"/>
      <c r="I1169" s="3" t="s">
        <v>5988</v>
      </c>
      <c r="J1169" s="3" t="s">
        <v>5999</v>
      </c>
      <c r="K1169" s="4" t="b">
        <f>J1169 = "blocking"</f>
        <v>1</v>
      </c>
      <c r="L1169" s="3" t="s">
        <v>1448</v>
      </c>
      <c r="M1169" s="3" t="s">
        <v>7196</v>
      </c>
      <c r="N1169" s="5">
        <v>46223.1297337963</v>
      </c>
      <c r="O1169" s="4" t="b">
        <f>L1169 = "PASS"</f>
        <v>1</v>
      </c>
      <c r="P1169" s="4" t="b">
        <f>L1169 = "FAIL"</f>
        <v>0</v>
      </c>
      <c r="Q1169" s="4" t="b">
        <f>AND(((P1169)=TRUE), ((K1169)=TRUE))</f>
        <v>0</v>
      </c>
      <c r="R1169" s="4" t="str">
        <f>IF(((O1169)=TRUE),  I1169,  "")</f>
        <v>suite-integrity</v>
      </c>
      <c r="S1169" s="4" t="str">
        <f>IF(((Q1169)=TRUE),  I1169,  "")</f>
      </c>
      <c r="T1169" s="3" t="s">
        <v>6001</v>
      </c>
    </row>
    <row r="1170">
      <c r="A1170" s="3" t="s">
        <v>7427</v>
      </c>
      <c r="B1170" s="4" t="str">
        <f>C1170 &amp; ": " &amp; D1170</f>
        <v>fk-resolves: MessageTemplates.CommunicationPolicy -&gt; CommunicationPolicies</v>
      </c>
      <c r="C1170" s="3" t="s">
        <v>7193</v>
      </c>
      <c r="D1170" s="3" t="s">
        <v>7428</v>
      </c>
      <c r="E1170" s="3" t="s">
        <v>4087</v>
      </c>
      <c r="F1170" s="3" t="s">
        <v>1723</v>
      </c>
      <c r="G1170" s="3" t="s">
        <v>7429</v>
      </c>
      <c r="H1170" s="3"/>
      <c r="I1170" s="3" t="s">
        <v>5988</v>
      </c>
      <c r="J1170" s="3" t="s">
        <v>5999</v>
      </c>
      <c r="K1170" s="4" t="b">
        <f>J1170 = "blocking"</f>
        <v>1</v>
      </c>
      <c r="L1170" s="3" t="s">
        <v>1448</v>
      </c>
      <c r="M1170" s="3" t="s">
        <v>7196</v>
      </c>
      <c r="N1170" s="5">
        <v>46223.1297337963</v>
      </c>
      <c r="O1170" s="4" t="b">
        <f>L1170 = "PASS"</f>
        <v>1</v>
      </c>
      <c r="P1170" s="4" t="b">
        <f>L1170 = "FAIL"</f>
        <v>0</v>
      </c>
      <c r="Q1170" s="4" t="b">
        <f>AND(((P1170)=TRUE), ((K1170)=TRUE))</f>
        <v>0</v>
      </c>
      <c r="R1170" s="4" t="str">
        <f>IF(((O1170)=TRUE),  I1170,  "")</f>
        <v>suite-integrity</v>
      </c>
      <c r="S1170" s="4" t="str">
        <f>IF(((Q1170)=TRUE),  I1170,  "")</f>
      </c>
      <c r="T1170" s="3" t="s">
        <v>6001</v>
      </c>
    </row>
    <row r="1171">
      <c r="A1171" s="3" t="s">
        <v>7430</v>
      </c>
      <c r="B1171" s="4" t="str">
        <f>C1171 &amp; ": " &amp; D1171</f>
        <v>fk-resolves: MessageTemplates.Resource -&gt; Resources</v>
      </c>
      <c r="C1171" s="3" t="s">
        <v>7193</v>
      </c>
      <c r="D1171" s="3" t="s">
        <v>7431</v>
      </c>
      <c r="E1171" s="3" t="s">
        <v>4087</v>
      </c>
      <c r="F1171" s="3" t="s">
        <v>1066</v>
      </c>
      <c r="G1171" s="3" t="s">
        <v>7307</v>
      </c>
      <c r="H1171" s="3"/>
      <c r="I1171" s="3" t="s">
        <v>5988</v>
      </c>
      <c r="J1171" s="3" t="s">
        <v>5999</v>
      </c>
      <c r="K1171" s="4" t="b">
        <f>J1171 = "blocking"</f>
        <v>1</v>
      </c>
      <c r="L1171" s="3" t="s">
        <v>1448</v>
      </c>
      <c r="M1171" s="3" t="s">
        <v>7196</v>
      </c>
      <c r="N1171" s="5">
        <v>46223.1297337963</v>
      </c>
      <c r="O1171" s="4" t="b">
        <f>L1171 = "PASS"</f>
        <v>1</v>
      </c>
      <c r="P1171" s="4" t="b">
        <f>L1171 = "FAIL"</f>
        <v>0</v>
      </c>
      <c r="Q1171" s="4" t="b">
        <f>AND(((P1171)=TRUE), ((K1171)=TRUE))</f>
        <v>0</v>
      </c>
      <c r="R1171" s="4" t="str">
        <f>IF(((O1171)=TRUE),  I1171,  "")</f>
        <v>suite-integrity</v>
      </c>
      <c r="S1171" s="4" t="str">
        <f>IF(((Q1171)=TRUE),  I1171,  "")</f>
      </c>
      <c r="T1171" s="3" t="s">
        <v>6001</v>
      </c>
    </row>
    <row r="1172">
      <c r="A1172" s="3" t="s">
        <v>7432</v>
      </c>
      <c r="B1172" s="4" t="str">
        <f>C1172 &amp; ": " &amp; D1172</f>
        <v>fk-resolves: SemanticMappings.OntologyProfile -&gt; OntologyProfiles</v>
      </c>
      <c r="C1172" s="3" t="s">
        <v>7193</v>
      </c>
      <c r="D1172" s="3" t="s">
        <v>7433</v>
      </c>
      <c r="E1172" s="3" t="s">
        <v>4130</v>
      </c>
      <c r="F1172" s="3" t="s">
        <v>1759</v>
      </c>
      <c r="G1172" s="3" t="s">
        <v>7434</v>
      </c>
      <c r="H1172" s="3"/>
      <c r="I1172" s="3" t="s">
        <v>5988</v>
      </c>
      <c r="J1172" s="3" t="s">
        <v>5999</v>
      </c>
      <c r="K1172" s="4" t="b">
        <f>J1172 = "blocking"</f>
        <v>1</v>
      </c>
      <c r="L1172" s="3" t="s">
        <v>1448</v>
      </c>
      <c r="M1172" s="3" t="s">
        <v>7196</v>
      </c>
      <c r="N1172" s="5">
        <v>46223.1297337963</v>
      </c>
      <c r="O1172" s="4" t="b">
        <f>L1172 = "PASS"</f>
        <v>1</v>
      </c>
      <c r="P1172" s="4" t="b">
        <f>L1172 = "FAIL"</f>
        <v>0</v>
      </c>
      <c r="Q1172" s="4" t="b">
        <f>AND(((P1172)=TRUE), ((K1172)=TRUE))</f>
        <v>0</v>
      </c>
      <c r="R1172" s="4" t="str">
        <f>IF(((O1172)=TRUE),  I1172,  "")</f>
        <v>suite-integrity</v>
      </c>
      <c r="S1172" s="4" t="str">
        <f>IF(((Q1172)=TRUE),  I1172,  "")</f>
      </c>
      <c r="T1172" s="3" t="s">
        <v>6001</v>
      </c>
    </row>
    <row r="1173">
      <c r="A1173" s="3" t="s">
        <v>7435</v>
      </c>
      <c r="B1173" s="4" t="str">
        <f>C1173 &amp; ": " &amp; D1173</f>
        <v>fk-resolves: RoleQuestions.AskingRole -&gt; Roles</v>
      </c>
      <c r="C1173" s="3" t="s">
        <v>7193</v>
      </c>
      <c r="D1173" s="3" t="s">
        <v>7436</v>
      </c>
      <c r="E1173" s="3" t="s">
        <v>4157</v>
      </c>
      <c r="F1173" s="3" t="s">
        <v>1951</v>
      </c>
      <c r="G1173" s="3" t="s">
        <v>7204</v>
      </c>
      <c r="H1173" s="3"/>
      <c r="I1173" s="3" t="s">
        <v>5988</v>
      </c>
      <c r="J1173" s="3" t="s">
        <v>5999</v>
      </c>
      <c r="K1173" s="4" t="b">
        <f>J1173 = "blocking"</f>
        <v>1</v>
      </c>
      <c r="L1173" s="3" t="s">
        <v>1448</v>
      </c>
      <c r="M1173" s="3" t="s">
        <v>7196</v>
      </c>
      <c r="N1173" s="5">
        <v>46223.1297337963</v>
      </c>
      <c r="O1173" s="4" t="b">
        <f>L1173 = "PASS"</f>
        <v>1</v>
      </c>
      <c r="P1173" s="4" t="b">
        <f>L1173 = "FAIL"</f>
        <v>0</v>
      </c>
      <c r="Q1173" s="4" t="b">
        <f>AND(((P1173)=TRUE), ((K1173)=TRUE))</f>
        <v>0</v>
      </c>
      <c r="R1173" s="4" t="str">
        <f>IF(((O1173)=TRUE),  I1173,  "")</f>
        <v>suite-integrity</v>
      </c>
      <c r="S1173" s="4" t="str">
        <f>IF(((Q1173)=TRUE),  I1173,  "")</f>
      </c>
      <c r="T1173" s="3" t="s">
        <v>6001</v>
      </c>
    </row>
    <row r="1174">
      <c r="A1174" s="3" t="s">
        <v>7437</v>
      </c>
      <c r="B1174" s="4" t="str">
        <f>C1174 &amp; ": " &amp; D1174</f>
        <v>fk-resolves: RoleQuestions.WitnessLoop -&gt; WitnessLoops</v>
      </c>
      <c r="C1174" s="3" t="s">
        <v>7193</v>
      </c>
      <c r="D1174" s="3" t="s">
        <v>7438</v>
      </c>
      <c r="E1174" s="3" t="s">
        <v>4157</v>
      </c>
      <c r="F1174" s="3" t="s">
        <v>1952</v>
      </c>
      <c r="G1174" s="3" t="s">
        <v>7439</v>
      </c>
      <c r="H1174" s="3"/>
      <c r="I1174" s="3" t="s">
        <v>5988</v>
      </c>
      <c r="J1174" s="3" t="s">
        <v>5999</v>
      </c>
      <c r="K1174" s="4" t="b">
        <f>J1174 = "blocking"</f>
        <v>1</v>
      </c>
      <c r="L1174" s="3" t="s">
        <v>1448</v>
      </c>
      <c r="M1174" s="3" t="s">
        <v>7196</v>
      </c>
      <c r="N1174" s="5">
        <v>46223.1297337963</v>
      </c>
      <c r="O1174" s="4" t="b">
        <f>L1174 = "PASS"</f>
        <v>1</v>
      </c>
      <c r="P1174" s="4" t="b">
        <f>L1174 = "FAIL"</f>
        <v>0</v>
      </c>
      <c r="Q1174" s="4" t="b">
        <f>AND(((P1174)=TRUE), ((K1174)=TRUE))</f>
        <v>0</v>
      </c>
      <c r="R1174" s="4" t="str">
        <f>IF(((O1174)=TRUE),  I1174,  "")</f>
        <v>suite-integrity</v>
      </c>
      <c r="S1174" s="4" t="str">
        <f>IF(((Q1174)=TRUE),  I1174,  "")</f>
      </c>
      <c r="T1174" s="3" t="s">
        <v>6001</v>
      </c>
    </row>
    <row r="1175">
      <c r="A1175" s="3" t="s">
        <v>7440</v>
      </c>
      <c r="B1175" s="4" t="str">
        <f>C1175 &amp; ": " &amp; D1175</f>
        <v>fk-resolves: RulebookFields.InventedForQuestion -&gt; RoleQuestions</v>
      </c>
      <c r="C1175" s="3" t="s">
        <v>7193</v>
      </c>
      <c r="D1175" s="3" t="s">
        <v>7441</v>
      </c>
      <c r="E1175" s="3" t="s">
        <v>4172</v>
      </c>
      <c r="F1175" s="3" t="s">
        <v>2409</v>
      </c>
      <c r="G1175" s="3" t="s">
        <v>7442</v>
      </c>
      <c r="H1175" s="3"/>
      <c r="I1175" s="3" t="s">
        <v>5988</v>
      </c>
      <c r="J1175" s="3" t="s">
        <v>5999</v>
      </c>
      <c r="K1175" s="4" t="b">
        <f>J1175 = "blocking"</f>
        <v>1</v>
      </c>
      <c r="L1175" s="3" t="s">
        <v>1448</v>
      </c>
      <c r="M1175" s="3" t="s">
        <v>7196</v>
      </c>
      <c r="N1175" s="5">
        <v>46223.1297337963</v>
      </c>
      <c r="O1175" s="4" t="b">
        <f>L1175 = "PASS"</f>
        <v>1</v>
      </c>
      <c r="P1175" s="4" t="b">
        <f>L1175 = "FAIL"</f>
        <v>0</v>
      </c>
      <c r="Q1175" s="4" t="b">
        <f>AND(((P1175)=TRUE), ((K1175)=TRUE))</f>
        <v>0</v>
      </c>
      <c r="R1175" s="4" t="str">
        <f>IF(((O1175)=TRUE),  I1175,  "")</f>
        <v>suite-integrity</v>
      </c>
      <c r="S1175" s="4" t="str">
        <f>IF(((Q1175)=TRUE),  I1175,  "")</f>
      </c>
      <c r="T1175" s="3" t="s">
        <v>6001</v>
      </c>
    </row>
    <row r="1176">
      <c r="A1176" s="3" t="s">
        <v>7443</v>
      </c>
      <c r="B1176" s="4" t="str">
        <f>C1176 &amp; ": " &amp; D1176</f>
        <v>fk-resolves: TestCases.DefendsQuestion -&gt; RoleQuestions</v>
      </c>
      <c r="C1176" s="3" t="s">
        <v>7193</v>
      </c>
      <c r="D1176" s="3" t="s">
        <v>7444</v>
      </c>
      <c r="E1176" s="3" t="s">
        <v>4209</v>
      </c>
      <c r="F1176" s="3" t="s">
        <v>4223</v>
      </c>
      <c r="G1176" s="3" t="s">
        <v>7442</v>
      </c>
      <c r="H1176" s="3"/>
      <c r="I1176" s="3" t="s">
        <v>5988</v>
      </c>
      <c r="J1176" s="3" t="s">
        <v>5999</v>
      </c>
      <c r="K1176" s="4" t="b">
        <f>J1176 = "blocking"</f>
        <v>1</v>
      </c>
      <c r="L1176" s="3" t="s">
        <v>1448</v>
      </c>
      <c r="M1176" s="3" t="s">
        <v>7196</v>
      </c>
      <c r="N1176" s="5">
        <v>46223.1297337963</v>
      </c>
      <c r="O1176" s="4" t="b">
        <f>L1176 = "PASS"</f>
        <v>1</v>
      </c>
      <c r="P1176" s="4" t="b">
        <f>L1176 = "FAIL"</f>
        <v>0</v>
      </c>
      <c r="Q1176" s="4" t="b">
        <f>AND(((P1176)=TRUE), ((K1176)=TRUE))</f>
        <v>0</v>
      </c>
      <c r="R1176" s="4" t="str">
        <f>IF(((O1176)=TRUE),  I1176,  "")</f>
        <v>suite-integrity</v>
      </c>
      <c r="S1176" s="4" t="str">
        <f>IF(((Q1176)=TRUE),  I1176,  "")</f>
      </c>
      <c r="T1176" s="3" t="s">
        <v>6001</v>
      </c>
    </row>
    <row r="1177">
      <c r="A1177" s="3" t="s">
        <v>7445</v>
      </c>
      <c r="B1177" s="4" t="str">
        <f>C1177 &amp; ": " &amp; D1177</f>
        <v>fk-resolves: TestCases.Suite -&gt; TestSuites</v>
      </c>
      <c r="C1177" s="3" t="s">
        <v>7193</v>
      </c>
      <c r="D1177" s="3" t="s">
        <v>7446</v>
      </c>
      <c r="E1177" s="3" t="s">
        <v>4209</v>
      </c>
      <c r="F1177" s="3" t="s">
        <v>4225</v>
      </c>
      <c r="G1177" s="3" t="s">
        <v>7447</v>
      </c>
      <c r="H1177" s="3"/>
      <c r="I1177" s="3" t="s">
        <v>5988</v>
      </c>
      <c r="J1177" s="3" t="s">
        <v>5999</v>
      </c>
      <c r="K1177" s="4" t="b">
        <f>J1177 = "blocking"</f>
        <v>1</v>
      </c>
      <c r="L1177" s="3" t="s">
        <v>1448</v>
      </c>
      <c r="M1177" s="3" t="s">
        <v>7196</v>
      </c>
      <c r="N1177" s="5">
        <v>46223.1297337963</v>
      </c>
      <c r="O1177" s="4" t="b">
        <f>L1177 = "PASS"</f>
        <v>1</v>
      </c>
      <c r="P1177" s="4" t="b">
        <f>L1177 = "FAIL"</f>
        <v>0</v>
      </c>
      <c r="Q1177" s="4" t="b">
        <f>AND(((P1177)=TRUE), ((K1177)=TRUE))</f>
        <v>0</v>
      </c>
      <c r="R1177" s="4" t="str">
        <f>IF(((O1177)=TRUE),  I1177,  "")</f>
        <v>suite-integrity</v>
      </c>
      <c r="S1177" s="4" t="str">
        <f>IF(((Q1177)=TRUE),  I1177,  "")</f>
      </c>
      <c r="T1177" s="3" t="s">
        <v>6001</v>
      </c>
    </row>
    <row r="1178">
      <c r="A1178" s="3" t="s">
        <v>7448</v>
      </c>
      <c r="B1178" s="4" t="str">
        <f>C1178 &amp; ": " &amp; D1178</f>
        <v>fk-resolves: ExceptionInvocations.StepExecution -&gt; StepExecutions</v>
      </c>
      <c r="C1178" s="3" t="s">
        <v>7193</v>
      </c>
      <c r="D1178" s="3" t="s">
        <v>7449</v>
      </c>
      <c r="E1178" s="3" t="s">
        <v>4287</v>
      </c>
      <c r="F1178" s="3" t="s">
        <v>1467</v>
      </c>
      <c r="G1178" s="3" t="s">
        <v>7358</v>
      </c>
      <c r="H1178" s="3"/>
      <c r="I1178" s="3" t="s">
        <v>5988</v>
      </c>
      <c r="J1178" s="3" t="s">
        <v>5999</v>
      </c>
      <c r="K1178" s="4" t="b">
        <f>J1178 = "blocking"</f>
        <v>1</v>
      </c>
      <c r="L1178" s="3" t="s">
        <v>1448</v>
      </c>
      <c r="M1178" s="3" t="s">
        <v>7196</v>
      </c>
      <c r="N1178" s="5">
        <v>46223.1297337963</v>
      </c>
      <c r="O1178" s="4" t="b">
        <f>L1178 = "PASS"</f>
        <v>1</v>
      </c>
      <c r="P1178" s="4" t="b">
        <f>L1178 = "FAIL"</f>
        <v>0</v>
      </c>
      <c r="Q1178" s="4" t="b">
        <f>AND(((P1178)=TRUE), ((K1178)=TRUE))</f>
        <v>0</v>
      </c>
      <c r="R1178" s="4" t="str">
        <f>IF(((O1178)=TRUE),  I1178,  "")</f>
        <v>suite-integrity</v>
      </c>
      <c r="S1178" s="4" t="str">
        <f>IF(((Q1178)=TRUE),  I1178,  "")</f>
      </c>
      <c r="T1178" s="3" t="s">
        <v>6001</v>
      </c>
    </row>
    <row r="1179">
      <c r="A1179" s="3" t="s">
        <v>7450</v>
      </c>
      <c r="B1179" s="4" t="str">
        <f>C1179 &amp; ": " &amp; D1179</f>
        <v>fk-resolves: ExceptionInvocations.Exception -&gt; Exceptions</v>
      </c>
      <c r="C1179" s="3" t="s">
        <v>7193</v>
      </c>
      <c r="D1179" s="3" t="s">
        <v>7451</v>
      </c>
      <c r="E1179" s="3" t="s">
        <v>4287</v>
      </c>
      <c r="F1179" s="3" t="s">
        <v>4293</v>
      </c>
      <c r="G1179" s="3" t="s">
        <v>7452</v>
      </c>
      <c r="H1179" s="3"/>
      <c r="I1179" s="3" t="s">
        <v>5988</v>
      </c>
      <c r="J1179" s="3" t="s">
        <v>5999</v>
      </c>
      <c r="K1179" s="4" t="b">
        <f>J1179 = "blocking"</f>
        <v>1</v>
      </c>
      <c r="L1179" s="3" t="s">
        <v>1448</v>
      </c>
      <c r="M1179" s="3" t="s">
        <v>7196</v>
      </c>
      <c r="N1179" s="5">
        <v>46223.1297337963</v>
      </c>
      <c r="O1179" s="4" t="b">
        <f>L1179 = "PASS"</f>
        <v>1</v>
      </c>
      <c r="P1179" s="4" t="b">
        <f>L1179 = "FAIL"</f>
        <v>0</v>
      </c>
      <c r="Q1179" s="4" t="b">
        <f>AND(((P1179)=TRUE), ((K1179)=TRUE))</f>
        <v>0</v>
      </c>
      <c r="R1179" s="4" t="str">
        <f>IF(((O1179)=TRUE),  I1179,  "")</f>
        <v>suite-integrity</v>
      </c>
      <c r="S1179" s="4" t="str">
        <f>IF(((Q1179)=TRUE),  I1179,  "")</f>
      </c>
      <c r="T1179" s="3" t="s">
        <v>6001</v>
      </c>
    </row>
    <row r="1180">
      <c r="A1180" s="3" t="s">
        <v>7453</v>
      </c>
      <c r="B1180" s="4" t="str">
        <f>C1180 &amp; ": " &amp; D1180</f>
        <v>fk-resolves: ExceptionInvocations.InvokedByAgent -&gt; Agents</v>
      </c>
      <c r="C1180" s="3" t="s">
        <v>7193</v>
      </c>
      <c r="D1180" s="3" t="s">
        <v>7454</v>
      </c>
      <c r="E1180" s="3" t="s">
        <v>4287</v>
      </c>
      <c r="F1180" s="3" t="s">
        <v>4295</v>
      </c>
      <c r="G1180" s="3" t="s">
        <v>7201</v>
      </c>
      <c r="H1180" s="3"/>
      <c r="I1180" s="3" t="s">
        <v>5988</v>
      </c>
      <c r="J1180" s="3" t="s">
        <v>5999</v>
      </c>
      <c r="K1180" s="4" t="b">
        <f>J1180 = "blocking"</f>
        <v>1</v>
      </c>
      <c r="L1180" s="3" t="s">
        <v>1448</v>
      </c>
      <c r="M1180" s="3" t="s">
        <v>7196</v>
      </c>
      <c r="N1180" s="5">
        <v>46223.1297337963</v>
      </c>
      <c r="O1180" s="4" t="b">
        <f>L1180 = "PASS"</f>
        <v>1</v>
      </c>
      <c r="P1180" s="4" t="b">
        <f>L1180 = "FAIL"</f>
        <v>0</v>
      </c>
      <c r="Q1180" s="4" t="b">
        <f>AND(((P1180)=TRUE), ((K1180)=TRUE))</f>
        <v>0</v>
      </c>
      <c r="R1180" s="4" t="str">
        <f>IF(((O1180)=TRUE),  I1180,  "")</f>
        <v>suite-integrity</v>
      </c>
      <c r="S1180" s="4" t="str">
        <f>IF(((Q1180)=TRUE),  I1180,  "")</f>
      </c>
      <c r="T1180" s="3" t="s">
        <v>6001</v>
      </c>
    </row>
    <row r="1181">
      <c r="A1181" s="3" t="s">
        <v>7455</v>
      </c>
      <c r="B1181" s="4" t="str">
        <f>C1181 &amp; ": " &amp; D1181</f>
        <v>fk-resolves: ExceptionInvocations.ApprovedByAgent -&gt; Agents</v>
      </c>
      <c r="C1181" s="3" t="s">
        <v>7193</v>
      </c>
      <c r="D1181" s="3" t="s">
        <v>7456</v>
      </c>
      <c r="E1181" s="3" t="s">
        <v>4287</v>
      </c>
      <c r="F1181" s="3" t="s">
        <v>4297</v>
      </c>
      <c r="G1181" s="3" t="s">
        <v>7201</v>
      </c>
      <c r="H1181" s="3"/>
      <c r="I1181" s="3" t="s">
        <v>5988</v>
      </c>
      <c r="J1181" s="3" t="s">
        <v>5999</v>
      </c>
      <c r="K1181" s="4" t="b">
        <f>J1181 = "blocking"</f>
        <v>1</v>
      </c>
      <c r="L1181" s="3" t="s">
        <v>1448</v>
      </c>
      <c r="M1181" s="3" t="s">
        <v>7196</v>
      </c>
      <c r="N1181" s="5">
        <v>46223.1297337963</v>
      </c>
      <c r="O1181" s="4" t="b">
        <f>L1181 = "PASS"</f>
        <v>1</v>
      </c>
      <c r="P1181" s="4" t="b">
        <f>L1181 = "FAIL"</f>
        <v>0</v>
      </c>
      <c r="Q1181" s="4" t="b">
        <f>AND(((P1181)=TRUE), ((K1181)=TRUE))</f>
        <v>0</v>
      </c>
      <c r="R1181" s="4" t="str">
        <f>IF(((O1181)=TRUE),  I1181,  "")</f>
        <v>suite-integrity</v>
      </c>
      <c r="S1181" s="4" t="str">
        <f>IF(((Q1181)=TRUE),  I1181,  "")</f>
      </c>
      <c r="T1181" s="3" t="s">
        <v>6001</v>
      </c>
    </row>
    <row r="1182">
      <c r="A1182" s="3" t="s">
        <v>7457</v>
      </c>
      <c r="B1182" s="4" t="str">
        <f>C1182 &amp; ": " &amp; D1182</f>
        <v>fk-resolves: VerificationOutcomes.StepExecution -&gt; StepExecutions</v>
      </c>
      <c r="C1182" s="3" t="s">
        <v>7193</v>
      </c>
      <c r="D1182" s="3" t="s">
        <v>7458</v>
      </c>
      <c r="E1182" s="3" t="s">
        <v>4337</v>
      </c>
      <c r="F1182" s="3" t="s">
        <v>1467</v>
      </c>
      <c r="G1182" s="3" t="s">
        <v>7358</v>
      </c>
      <c r="H1182" s="3"/>
      <c r="I1182" s="3" t="s">
        <v>5988</v>
      </c>
      <c r="J1182" s="3" t="s">
        <v>5999</v>
      </c>
      <c r="K1182" s="4" t="b">
        <f>J1182 = "blocking"</f>
        <v>1</v>
      </c>
      <c r="L1182" s="3" t="s">
        <v>1448</v>
      </c>
      <c r="M1182" s="3" t="s">
        <v>7196</v>
      </c>
      <c r="N1182" s="5">
        <v>46223.1297337963</v>
      </c>
      <c r="O1182" s="4" t="b">
        <f>L1182 = "PASS"</f>
        <v>1</v>
      </c>
      <c r="P1182" s="4" t="b">
        <f>L1182 = "FAIL"</f>
        <v>0</v>
      </c>
      <c r="Q1182" s="4" t="b">
        <f>AND(((P1182)=TRUE), ((K1182)=TRUE))</f>
        <v>0</v>
      </c>
      <c r="R1182" s="4" t="str">
        <f>IF(((O1182)=TRUE),  I1182,  "")</f>
        <v>suite-integrity</v>
      </c>
      <c r="S1182" s="4" t="str">
        <f>IF(((Q1182)=TRUE),  I1182,  "")</f>
      </c>
      <c r="T1182" s="3" t="s">
        <v>6001</v>
      </c>
    </row>
    <row r="1183">
      <c r="A1183" s="3" t="s">
        <v>7459</v>
      </c>
      <c r="B1183" s="4" t="str">
        <f>C1183 &amp; ": " &amp; D1183</f>
        <v>fk-resolves: VerificationOutcomes.StepVerification -&gt; StepVerifications</v>
      </c>
      <c r="C1183" s="3" t="s">
        <v>7193</v>
      </c>
      <c r="D1183" s="3" t="s">
        <v>7460</v>
      </c>
      <c r="E1183" s="3" t="s">
        <v>4337</v>
      </c>
      <c r="F1183" s="3" t="s">
        <v>4343</v>
      </c>
      <c r="G1183" s="3" t="s">
        <v>7461</v>
      </c>
      <c r="H1183" s="3"/>
      <c r="I1183" s="3" t="s">
        <v>5988</v>
      </c>
      <c r="J1183" s="3" t="s">
        <v>5999</v>
      </c>
      <c r="K1183" s="4" t="b">
        <f>J1183 = "blocking"</f>
        <v>1</v>
      </c>
      <c r="L1183" s="3" t="s">
        <v>1448</v>
      </c>
      <c r="M1183" s="3" t="s">
        <v>7196</v>
      </c>
      <c r="N1183" s="5">
        <v>46223.1297337963</v>
      </c>
      <c r="O1183" s="4" t="b">
        <f>L1183 = "PASS"</f>
        <v>1</v>
      </c>
      <c r="P1183" s="4" t="b">
        <f>L1183 = "FAIL"</f>
        <v>0</v>
      </c>
      <c r="Q1183" s="4" t="b">
        <f>AND(((P1183)=TRUE), ((K1183)=TRUE))</f>
        <v>0</v>
      </c>
      <c r="R1183" s="4" t="str">
        <f>IF(((O1183)=TRUE),  I1183,  "")</f>
        <v>suite-integrity</v>
      </c>
      <c r="S1183" s="4" t="str">
        <f>IF(((Q1183)=TRUE),  I1183,  "")</f>
      </c>
      <c r="T1183" s="3" t="s">
        <v>6001</v>
      </c>
    </row>
    <row r="1184">
      <c r="A1184" s="3" t="s">
        <v>7462</v>
      </c>
      <c r="B1184" s="4" t="str">
        <f>C1184 &amp; ": " &amp; D1184</f>
        <v>fk-resolves: VerificationOutcomes.ObservedByAgent -&gt; Agents</v>
      </c>
      <c r="C1184" s="3" t="s">
        <v>7193</v>
      </c>
      <c r="D1184" s="3" t="s">
        <v>7463</v>
      </c>
      <c r="E1184" s="3" t="s">
        <v>4337</v>
      </c>
      <c r="F1184" s="3" t="s">
        <v>4347</v>
      </c>
      <c r="G1184" s="3" t="s">
        <v>7201</v>
      </c>
      <c r="H1184" s="3"/>
      <c r="I1184" s="3" t="s">
        <v>5988</v>
      </c>
      <c r="J1184" s="3" t="s">
        <v>5999</v>
      </c>
      <c r="K1184" s="4" t="b">
        <f>J1184 = "blocking"</f>
        <v>1</v>
      </c>
      <c r="L1184" s="3" t="s">
        <v>1448</v>
      </c>
      <c r="M1184" s="3" t="s">
        <v>7196</v>
      </c>
      <c r="N1184" s="5">
        <v>46223.1297337963</v>
      </c>
      <c r="O1184" s="4" t="b">
        <f>L1184 = "PASS"</f>
        <v>1</v>
      </c>
      <c r="P1184" s="4" t="b">
        <f>L1184 = "FAIL"</f>
        <v>0</v>
      </c>
      <c r="Q1184" s="4" t="b">
        <f>AND(((P1184)=TRUE), ((K1184)=TRUE))</f>
        <v>0</v>
      </c>
      <c r="R1184" s="4" t="str">
        <f>IF(((O1184)=TRUE),  I1184,  "")</f>
        <v>suite-integrity</v>
      </c>
      <c r="S1184" s="4" t="str">
        <f>IF(((Q1184)=TRUE),  I1184,  "")</f>
      </c>
      <c r="T1184" s="3" t="s">
        <v>6001</v>
      </c>
    </row>
    <row r="1185">
      <c r="A1185" s="3" t="s">
        <v>7464</v>
      </c>
      <c r="B1185" s="4" t="str">
        <f>C1185 &amp; ": " &amp; D1185</f>
        <v>fk-resolves: ObservedTransitions.ProcedureExecution -&gt; ProcedureExecutions</v>
      </c>
      <c r="C1185" s="3" t="s">
        <v>7193</v>
      </c>
      <c r="D1185" s="3" t="s">
        <v>7465</v>
      </c>
      <c r="E1185" s="3" t="s">
        <v>4398</v>
      </c>
      <c r="F1185" s="3" t="s">
        <v>1349</v>
      </c>
      <c r="G1185" s="3" t="s">
        <v>7351</v>
      </c>
      <c r="H1185" s="3"/>
      <c r="I1185" s="3" t="s">
        <v>5988</v>
      </c>
      <c r="J1185" s="3" t="s">
        <v>5999</v>
      </c>
      <c r="K1185" s="4" t="b">
        <f>J1185 = "blocking"</f>
        <v>1</v>
      </c>
      <c r="L1185" s="3" t="s">
        <v>1448</v>
      </c>
      <c r="M1185" s="3" t="s">
        <v>7196</v>
      </c>
      <c r="N1185" s="5">
        <v>46223.1297337963</v>
      </c>
      <c r="O1185" s="4" t="b">
        <f>L1185 = "PASS"</f>
        <v>1</v>
      </c>
      <c r="P1185" s="4" t="b">
        <f>L1185 = "FAIL"</f>
        <v>0</v>
      </c>
      <c r="Q1185" s="4" t="b">
        <f>AND(((P1185)=TRUE), ((K1185)=TRUE))</f>
        <v>0</v>
      </c>
      <c r="R1185" s="4" t="str">
        <f>IF(((O1185)=TRUE),  I1185,  "")</f>
        <v>suite-integrity</v>
      </c>
      <c r="S1185" s="4" t="str">
        <f>IF(((Q1185)=TRUE),  I1185,  "")</f>
      </c>
      <c r="T1185" s="3" t="s">
        <v>6001</v>
      </c>
    </row>
    <row r="1186">
      <c r="A1186" s="3" t="s">
        <v>7466</v>
      </c>
      <c r="B1186" s="4" t="str">
        <f>C1186 &amp; ": " &amp; D1186</f>
        <v>fk-resolves: ObservedTransitions.StepTransition -&gt; StepTransitions</v>
      </c>
      <c r="C1186" s="3" t="s">
        <v>7193</v>
      </c>
      <c r="D1186" s="3" t="s">
        <v>7467</v>
      </c>
      <c r="E1186" s="3" t="s">
        <v>4398</v>
      </c>
      <c r="F1186" s="3" t="s">
        <v>4404</v>
      </c>
      <c r="G1186" s="3" t="s">
        <v>7468</v>
      </c>
      <c r="H1186" s="3"/>
      <c r="I1186" s="3" t="s">
        <v>5988</v>
      </c>
      <c r="J1186" s="3" t="s">
        <v>5999</v>
      </c>
      <c r="K1186" s="4" t="b">
        <f>J1186 = "blocking"</f>
        <v>1</v>
      </c>
      <c r="L1186" s="3" t="s">
        <v>1448</v>
      </c>
      <c r="M1186" s="3" t="s">
        <v>7196</v>
      </c>
      <c r="N1186" s="5">
        <v>46223.1297337963</v>
      </c>
      <c r="O1186" s="4" t="b">
        <f>L1186 = "PASS"</f>
        <v>1</v>
      </c>
      <c r="P1186" s="4" t="b">
        <f>L1186 = "FAIL"</f>
        <v>0</v>
      </c>
      <c r="Q1186" s="4" t="b">
        <f>AND(((P1186)=TRUE), ((K1186)=TRUE))</f>
        <v>0</v>
      </c>
      <c r="R1186" s="4" t="str">
        <f>IF(((O1186)=TRUE),  I1186,  "")</f>
        <v>suite-integrity</v>
      </c>
      <c r="S1186" s="4" t="str">
        <f>IF(((Q1186)=TRUE),  I1186,  "")</f>
      </c>
      <c r="T1186" s="3" t="s">
        <v>6001</v>
      </c>
    </row>
    <row r="1187">
      <c r="A1187" s="3" t="s">
        <v>7469</v>
      </c>
      <c r="B1187" s="4" t="str">
        <f>C1187 &amp; ": " &amp; D1187</f>
        <v>fk-resolves: ObservedTransitions.ArrivingStepExecution -&gt; StepExecutions</v>
      </c>
      <c r="C1187" s="3" t="s">
        <v>7193</v>
      </c>
      <c r="D1187" s="3" t="s">
        <v>7470</v>
      </c>
      <c r="E1187" s="3" t="s">
        <v>4398</v>
      </c>
      <c r="F1187" s="3" t="s">
        <v>4406</v>
      </c>
      <c r="G1187" s="3" t="s">
        <v>7358</v>
      </c>
      <c r="H1187" s="3"/>
      <c r="I1187" s="3" t="s">
        <v>5988</v>
      </c>
      <c r="J1187" s="3" t="s">
        <v>5999</v>
      </c>
      <c r="K1187" s="4" t="b">
        <f>J1187 = "blocking"</f>
        <v>1</v>
      </c>
      <c r="L1187" s="3" t="s">
        <v>1448</v>
      </c>
      <c r="M1187" s="3" t="s">
        <v>7196</v>
      </c>
      <c r="N1187" s="5">
        <v>46223.1297337963</v>
      </c>
      <c r="O1187" s="4" t="b">
        <f>L1187 = "PASS"</f>
        <v>1</v>
      </c>
      <c r="P1187" s="4" t="b">
        <f>L1187 = "FAIL"</f>
        <v>0</v>
      </c>
      <c r="Q1187" s="4" t="b">
        <f>AND(((P1187)=TRUE), ((K1187)=TRUE))</f>
        <v>0</v>
      </c>
      <c r="R1187" s="4" t="str">
        <f>IF(((O1187)=TRUE),  I1187,  "")</f>
        <v>suite-integrity</v>
      </c>
      <c r="S1187" s="4" t="str">
        <f>IF(((Q1187)=TRUE),  I1187,  "")</f>
      </c>
      <c r="T1187" s="3" t="s">
        <v>6001</v>
      </c>
    </row>
    <row r="1188">
      <c r="A1188" s="3" t="s">
        <v>7471</v>
      </c>
      <c r="B1188" s="4" t="str">
        <f>C1188 &amp; ": " &amp; D1188</f>
        <v>fk-resolves: Recipients.Organization -&gt; Organizations</v>
      </c>
      <c r="C1188" s="3" t="s">
        <v>7193</v>
      </c>
      <c r="D1188" s="3" t="s">
        <v>7472</v>
      </c>
      <c r="E1188" s="3" t="s">
        <v>4412</v>
      </c>
      <c r="F1188" s="3" t="s">
        <v>121</v>
      </c>
      <c r="G1188" s="3" t="s">
        <v>7195</v>
      </c>
      <c r="H1188" s="3"/>
      <c r="I1188" s="3" t="s">
        <v>5988</v>
      </c>
      <c r="J1188" s="3" t="s">
        <v>5999</v>
      </c>
      <c r="K1188" s="4" t="b">
        <f>J1188 = "blocking"</f>
        <v>1</v>
      </c>
      <c r="L1188" s="3" t="s">
        <v>1448</v>
      </c>
      <c r="M1188" s="3" t="s">
        <v>7196</v>
      </c>
      <c r="N1188" s="5">
        <v>46223.1297337963</v>
      </c>
      <c r="O1188" s="4" t="b">
        <f>L1188 = "PASS"</f>
        <v>1</v>
      </c>
      <c r="P1188" s="4" t="b">
        <f>L1188 = "FAIL"</f>
        <v>0</v>
      </c>
      <c r="Q1188" s="4" t="b">
        <f>AND(((P1188)=TRUE), ((K1188)=TRUE))</f>
        <v>0</v>
      </c>
      <c r="R1188" s="4" t="str">
        <f>IF(((O1188)=TRUE),  I1188,  "")</f>
        <v>suite-integrity</v>
      </c>
      <c r="S1188" s="4" t="str">
        <f>IF(((Q1188)=TRUE),  I1188,  "")</f>
      </c>
      <c r="T1188" s="3" t="s">
        <v>6001</v>
      </c>
    </row>
    <row r="1189">
      <c r="A1189" s="3" t="s">
        <v>7473</v>
      </c>
      <c r="B1189" s="4" t="str">
        <f>C1189 &amp; ": " &amp; D1189</f>
        <v>fk-resolves: Recipients.ConsentBinding -&gt; OperationalBindings</v>
      </c>
      <c r="C1189" s="3" t="s">
        <v>7193</v>
      </c>
      <c r="D1189" s="3" t="s">
        <v>7474</v>
      </c>
      <c r="E1189" s="3" t="s">
        <v>4412</v>
      </c>
      <c r="F1189" s="3" t="s">
        <v>4426</v>
      </c>
      <c r="G1189" s="3" t="s">
        <v>7475</v>
      </c>
      <c r="H1189" s="3"/>
      <c r="I1189" s="3" t="s">
        <v>5988</v>
      </c>
      <c r="J1189" s="3" t="s">
        <v>5999</v>
      </c>
      <c r="K1189" s="4" t="b">
        <f>J1189 = "blocking"</f>
        <v>1</v>
      </c>
      <c r="L1189" s="3" t="s">
        <v>1448</v>
      </c>
      <c r="M1189" s="3" t="s">
        <v>7196</v>
      </c>
      <c r="N1189" s="5">
        <v>46223.1297337963</v>
      </c>
      <c r="O1189" s="4" t="b">
        <f>L1189 = "PASS"</f>
        <v>1</v>
      </c>
      <c r="P1189" s="4" t="b">
        <f>L1189 = "FAIL"</f>
        <v>0</v>
      </c>
      <c r="Q1189" s="4" t="b">
        <f>AND(((P1189)=TRUE), ((K1189)=TRUE))</f>
        <v>0</v>
      </c>
      <c r="R1189" s="4" t="str">
        <f>IF(((O1189)=TRUE),  I1189,  "")</f>
        <v>suite-integrity</v>
      </c>
      <c r="S1189" s="4" t="str">
        <f>IF(((Q1189)=TRUE),  I1189,  "")</f>
      </c>
      <c r="T1189" s="3" t="s">
        <v>6001</v>
      </c>
    </row>
    <row r="1190">
      <c r="A1190" s="3" t="s">
        <v>7476</v>
      </c>
      <c r="B1190" s="4" t="str">
        <f>C1190 &amp; ": " &amp; D1190</f>
        <v>fk-resolves: MessageDeliveries.ProcedureExecution -&gt; ProcedureExecutions</v>
      </c>
      <c r="C1190" s="3" t="s">
        <v>7193</v>
      </c>
      <c r="D1190" s="3" t="s">
        <v>7477</v>
      </c>
      <c r="E1190" s="3" t="s">
        <v>4444</v>
      </c>
      <c r="F1190" s="3" t="s">
        <v>1349</v>
      </c>
      <c r="G1190" s="3" t="s">
        <v>7351</v>
      </c>
      <c r="H1190" s="3"/>
      <c r="I1190" s="3" t="s">
        <v>5988</v>
      </c>
      <c r="J1190" s="3" t="s">
        <v>5999</v>
      </c>
      <c r="K1190" s="4" t="b">
        <f>J1190 = "blocking"</f>
        <v>1</v>
      </c>
      <c r="L1190" s="3" t="s">
        <v>1448</v>
      </c>
      <c r="M1190" s="3" t="s">
        <v>7196</v>
      </c>
      <c r="N1190" s="5">
        <v>46223.1297337963</v>
      </c>
      <c r="O1190" s="4" t="b">
        <f>L1190 = "PASS"</f>
        <v>1</v>
      </c>
      <c r="P1190" s="4" t="b">
        <f>L1190 = "FAIL"</f>
        <v>0</v>
      </c>
      <c r="Q1190" s="4" t="b">
        <f>AND(((P1190)=TRUE), ((K1190)=TRUE))</f>
        <v>0</v>
      </c>
      <c r="R1190" s="4" t="str">
        <f>IF(((O1190)=TRUE),  I1190,  "")</f>
        <v>suite-integrity</v>
      </c>
      <c r="S1190" s="4" t="str">
        <f>IF(((Q1190)=TRUE),  I1190,  "")</f>
      </c>
      <c r="T1190" s="3" t="s">
        <v>6001</v>
      </c>
    </row>
    <row r="1191">
      <c r="A1191" s="3" t="s">
        <v>7478</v>
      </c>
      <c r="B1191" s="4" t="str">
        <f>C1191 &amp; ": " &amp; D1191</f>
        <v>fk-resolves: MessageDeliveries.StepExecution -&gt; StepExecutions</v>
      </c>
      <c r="C1191" s="3" t="s">
        <v>7193</v>
      </c>
      <c r="D1191" s="3" t="s">
        <v>7479</v>
      </c>
      <c r="E1191" s="3" t="s">
        <v>4444</v>
      </c>
      <c r="F1191" s="3" t="s">
        <v>1467</v>
      </c>
      <c r="G1191" s="3" t="s">
        <v>7358</v>
      </c>
      <c r="H1191" s="3"/>
      <c r="I1191" s="3" t="s">
        <v>5988</v>
      </c>
      <c r="J1191" s="3" t="s">
        <v>5999</v>
      </c>
      <c r="K1191" s="4" t="b">
        <f>J1191 = "blocking"</f>
        <v>1</v>
      </c>
      <c r="L1191" s="3" t="s">
        <v>1448</v>
      </c>
      <c r="M1191" s="3" t="s">
        <v>7196</v>
      </c>
      <c r="N1191" s="5">
        <v>46223.1297337963</v>
      </c>
      <c r="O1191" s="4" t="b">
        <f>L1191 = "PASS"</f>
        <v>1</v>
      </c>
      <c r="P1191" s="4" t="b">
        <f>L1191 = "FAIL"</f>
        <v>0</v>
      </c>
      <c r="Q1191" s="4" t="b">
        <f>AND(((P1191)=TRUE), ((K1191)=TRUE))</f>
        <v>0</v>
      </c>
      <c r="R1191" s="4" t="str">
        <f>IF(((O1191)=TRUE),  I1191,  "")</f>
        <v>suite-integrity</v>
      </c>
      <c r="S1191" s="4" t="str">
        <f>IF(((Q1191)=TRUE),  I1191,  "")</f>
      </c>
      <c r="T1191" s="3" t="s">
        <v>6001</v>
      </c>
    </row>
    <row r="1192">
      <c r="A1192" s="3" t="s">
        <v>7480</v>
      </c>
      <c r="B1192" s="4" t="str">
        <f>C1192 &amp; ": " &amp; D1192</f>
        <v>fk-resolves: MessageDeliveries.Recipient -&gt; Recipients</v>
      </c>
      <c r="C1192" s="3" t="s">
        <v>7193</v>
      </c>
      <c r="D1192" s="3" t="s">
        <v>7481</v>
      </c>
      <c r="E1192" s="3" t="s">
        <v>4444</v>
      </c>
      <c r="F1192" s="3" t="s">
        <v>4451</v>
      </c>
      <c r="G1192" s="3" t="s">
        <v>7482</v>
      </c>
      <c r="H1192" s="3"/>
      <c r="I1192" s="3" t="s">
        <v>5988</v>
      </c>
      <c r="J1192" s="3" t="s">
        <v>5999</v>
      </c>
      <c r="K1192" s="4" t="b">
        <f>J1192 = "blocking"</f>
        <v>1</v>
      </c>
      <c r="L1192" s="3" t="s">
        <v>1448</v>
      </c>
      <c r="M1192" s="3" t="s">
        <v>7196</v>
      </c>
      <c r="N1192" s="5">
        <v>46223.1297337963</v>
      </c>
      <c r="O1192" s="4" t="b">
        <f>L1192 = "PASS"</f>
        <v>1</v>
      </c>
      <c r="P1192" s="4" t="b">
        <f>L1192 = "FAIL"</f>
        <v>0</v>
      </c>
      <c r="Q1192" s="4" t="b">
        <f>AND(((P1192)=TRUE), ((K1192)=TRUE))</f>
        <v>0</v>
      </c>
      <c r="R1192" s="4" t="str">
        <f>IF(((O1192)=TRUE),  I1192,  "")</f>
        <v>suite-integrity</v>
      </c>
      <c r="S1192" s="4" t="str">
        <f>IF(((Q1192)=TRUE),  I1192,  "")</f>
      </c>
      <c r="T1192" s="3" t="s">
        <v>6001</v>
      </c>
    </row>
    <row r="1193">
      <c r="A1193" s="3" t="s">
        <v>7483</v>
      </c>
      <c r="B1193" s="4" t="str">
        <f>C1193 &amp; ": " &amp; D1193</f>
        <v>fk-resolves: MessageDeliveries.MessageTemplate -&gt; MessageTemplates</v>
      </c>
      <c r="C1193" s="3" t="s">
        <v>7193</v>
      </c>
      <c r="D1193" s="3" t="s">
        <v>7484</v>
      </c>
      <c r="E1193" s="3" t="s">
        <v>4444</v>
      </c>
      <c r="F1193" s="3" t="s">
        <v>4453</v>
      </c>
      <c r="G1193" s="3" t="s">
        <v>7485</v>
      </c>
      <c r="H1193" s="3"/>
      <c r="I1193" s="3" t="s">
        <v>5988</v>
      </c>
      <c r="J1193" s="3" t="s">
        <v>5999</v>
      </c>
      <c r="K1193" s="4" t="b">
        <f>J1193 = "blocking"</f>
        <v>1</v>
      </c>
      <c r="L1193" s="3" t="s">
        <v>1448</v>
      </c>
      <c r="M1193" s="3" t="s">
        <v>7196</v>
      </c>
      <c r="N1193" s="5">
        <v>46223.1297337963</v>
      </c>
      <c r="O1193" s="4" t="b">
        <f>L1193 = "PASS"</f>
        <v>1</v>
      </c>
      <c r="P1193" s="4" t="b">
        <f>L1193 = "FAIL"</f>
        <v>0</v>
      </c>
      <c r="Q1193" s="4" t="b">
        <f>AND(((P1193)=TRUE), ((K1193)=TRUE))</f>
        <v>0</v>
      </c>
      <c r="R1193" s="4" t="str">
        <f>IF(((O1193)=TRUE),  I1193,  "")</f>
        <v>suite-integrity</v>
      </c>
      <c r="S1193" s="4" t="str">
        <f>IF(((Q1193)=TRUE),  I1193,  "")</f>
      </c>
      <c r="T1193" s="3" t="s">
        <v>6001</v>
      </c>
    </row>
    <row r="1194">
      <c r="A1194" s="3" t="s">
        <v>7486</v>
      </c>
      <c r="B1194" s="4" t="str">
        <f>C1194 &amp; ": " &amp; D1194</f>
        <v>fk-resolves: MessageDeliveries.SentByAgent -&gt; Agents</v>
      </c>
      <c r="C1194" s="3" t="s">
        <v>7193</v>
      </c>
      <c r="D1194" s="3" t="s">
        <v>7487</v>
      </c>
      <c r="E1194" s="3" t="s">
        <v>4444</v>
      </c>
      <c r="F1194" s="3" t="s">
        <v>4455</v>
      </c>
      <c r="G1194" s="3" t="s">
        <v>7201</v>
      </c>
      <c r="H1194" s="3"/>
      <c r="I1194" s="3" t="s">
        <v>5988</v>
      </c>
      <c r="J1194" s="3" t="s">
        <v>5999</v>
      </c>
      <c r="K1194" s="4" t="b">
        <f>J1194 = "blocking"</f>
        <v>1</v>
      </c>
      <c r="L1194" s="3" t="s">
        <v>1448</v>
      </c>
      <c r="M1194" s="3" t="s">
        <v>7196</v>
      </c>
      <c r="N1194" s="5">
        <v>46223.1297337963</v>
      </c>
      <c r="O1194" s="4" t="b">
        <f>L1194 = "PASS"</f>
        <v>1</v>
      </c>
      <c r="P1194" s="4" t="b">
        <f>L1194 = "FAIL"</f>
        <v>0</v>
      </c>
      <c r="Q1194" s="4" t="b">
        <f>AND(((P1194)=TRUE), ((K1194)=TRUE))</f>
        <v>0</v>
      </c>
      <c r="R1194" s="4" t="str">
        <f>IF(((O1194)=TRUE),  I1194,  "")</f>
        <v>suite-integrity</v>
      </c>
      <c r="S1194" s="4" t="str">
        <f>IF(((Q1194)=TRUE),  I1194,  "")</f>
      </c>
      <c r="T1194" s="3" t="s">
        <v>6001</v>
      </c>
    </row>
    <row r="1195">
      <c r="A1195" s="3" t="s">
        <v>7488</v>
      </c>
      <c r="B1195" s="4" t="str">
        <f>C1195 &amp; ": " &amp; D1195</f>
        <v>fk-resolves: MessageDeliveries.InvokedException -&gt; Exceptions</v>
      </c>
      <c r="C1195" s="3" t="s">
        <v>7193</v>
      </c>
      <c r="D1195" s="3" t="s">
        <v>7489</v>
      </c>
      <c r="E1195" s="3" t="s">
        <v>4444</v>
      </c>
      <c r="F1195" s="3" t="s">
        <v>4467</v>
      </c>
      <c r="G1195" s="3" t="s">
        <v>7452</v>
      </c>
      <c r="H1195" s="3"/>
      <c r="I1195" s="3" t="s">
        <v>5988</v>
      </c>
      <c r="J1195" s="3" t="s">
        <v>5999</v>
      </c>
      <c r="K1195" s="4" t="b">
        <f>J1195 = "blocking"</f>
        <v>1</v>
      </c>
      <c r="L1195" s="3" t="s">
        <v>1448</v>
      </c>
      <c r="M1195" s="3" t="s">
        <v>7196</v>
      </c>
      <c r="N1195" s="5">
        <v>46223.1297337963</v>
      </c>
      <c r="O1195" s="4" t="b">
        <f>L1195 = "PASS"</f>
        <v>1</v>
      </c>
      <c r="P1195" s="4" t="b">
        <f>L1195 = "FAIL"</f>
        <v>0</v>
      </c>
      <c r="Q1195" s="4" t="b">
        <f>AND(((P1195)=TRUE), ((K1195)=TRUE))</f>
        <v>0</v>
      </c>
      <c r="R1195" s="4" t="str">
        <f>IF(((O1195)=TRUE),  I1195,  "")</f>
        <v>suite-integrity</v>
      </c>
      <c r="S1195" s="4" t="str">
        <f>IF(((Q1195)=TRUE),  I1195,  "")</f>
      </c>
      <c r="T1195" s="3" t="s">
        <v>6001</v>
      </c>
    </row>
    <row r="1196">
      <c r="A1196" s="3" t="s">
        <v>7490</v>
      </c>
      <c r="B1196" s="4" t="str">
        <f>C1196 &amp; ": " &amp; D1196</f>
        <v>fk-resolves: MessageDeliveries.EvaluationContext -&gt; EvaluationContexts</v>
      </c>
      <c r="C1196" s="3" t="s">
        <v>7193</v>
      </c>
      <c r="D1196" s="3" t="s">
        <v>7491</v>
      </c>
      <c r="E1196" s="3" t="s">
        <v>4444</v>
      </c>
      <c r="F1196" s="3" t="s">
        <v>258</v>
      </c>
      <c r="G1196" s="3" t="s">
        <v>7209</v>
      </c>
      <c r="H1196" s="3"/>
      <c r="I1196" s="3" t="s">
        <v>5988</v>
      </c>
      <c r="J1196" s="3" t="s">
        <v>5999</v>
      </c>
      <c r="K1196" s="4" t="b">
        <f>J1196 = "blocking"</f>
        <v>1</v>
      </c>
      <c r="L1196" s="3" t="s">
        <v>1448</v>
      </c>
      <c r="M1196" s="3" t="s">
        <v>7196</v>
      </c>
      <c r="N1196" s="5">
        <v>46223.1297337963</v>
      </c>
      <c r="O1196" s="4" t="b">
        <f>L1196 = "PASS"</f>
        <v>1</v>
      </c>
      <c r="P1196" s="4" t="b">
        <f>L1196 = "FAIL"</f>
        <v>0</v>
      </c>
      <c r="Q1196" s="4" t="b">
        <f>AND(((P1196)=TRUE), ((K1196)=TRUE))</f>
        <v>0</v>
      </c>
      <c r="R1196" s="4" t="str">
        <f>IF(((O1196)=TRUE),  I1196,  "")</f>
        <v>suite-integrity</v>
      </c>
      <c r="S1196" s="4" t="str">
        <f>IF(((Q1196)=TRUE),  I1196,  "")</f>
      </c>
      <c r="T1196" s="3" t="s">
        <v>6001</v>
      </c>
    </row>
    <row r="1197">
      <c r="A1197" s="3" t="s">
        <v>7492</v>
      </c>
      <c r="B1197" s="4" t="str">
        <f>C1197 &amp; ": " &amp; D1197</f>
        <v>fk-resolves: TemplateApprovals.MessageTemplate -&gt; MessageTemplates</v>
      </c>
      <c r="C1197" s="3" t="s">
        <v>7193</v>
      </c>
      <c r="D1197" s="3" t="s">
        <v>7493</v>
      </c>
      <c r="E1197" s="3" t="s">
        <v>4698</v>
      </c>
      <c r="F1197" s="3" t="s">
        <v>4453</v>
      </c>
      <c r="G1197" s="3" t="s">
        <v>7485</v>
      </c>
      <c r="H1197" s="3"/>
      <c r="I1197" s="3" t="s">
        <v>5988</v>
      </c>
      <c r="J1197" s="3" t="s">
        <v>5999</v>
      </c>
      <c r="K1197" s="4" t="b">
        <f>J1197 = "blocking"</f>
        <v>1</v>
      </c>
      <c r="L1197" s="3" t="s">
        <v>1448</v>
      </c>
      <c r="M1197" s="3" t="s">
        <v>7196</v>
      </c>
      <c r="N1197" s="5">
        <v>46223.1297337963</v>
      </c>
      <c r="O1197" s="4" t="b">
        <f>L1197 = "PASS"</f>
        <v>1</v>
      </c>
      <c r="P1197" s="4" t="b">
        <f>L1197 = "FAIL"</f>
        <v>0</v>
      </c>
      <c r="Q1197" s="4" t="b">
        <f>AND(((P1197)=TRUE), ((K1197)=TRUE))</f>
        <v>0</v>
      </c>
      <c r="R1197" s="4" t="str">
        <f>IF(((O1197)=TRUE),  I1197,  "")</f>
        <v>suite-integrity</v>
      </c>
      <c r="S1197" s="4" t="str">
        <f>IF(((Q1197)=TRUE),  I1197,  "")</f>
      </c>
      <c r="T1197" s="3" t="s">
        <v>6001</v>
      </c>
    </row>
    <row r="1198">
      <c r="A1198" s="3" t="s">
        <v>7494</v>
      </c>
      <c r="B1198" s="4" t="str">
        <f>C1198 &amp; ": " &amp; D1198</f>
        <v>fk-resolves: TemplateApprovals.DecidedByAgent -&gt; Agents</v>
      </c>
      <c r="C1198" s="3" t="s">
        <v>7193</v>
      </c>
      <c r="D1198" s="3" t="s">
        <v>7495</v>
      </c>
      <c r="E1198" s="3" t="s">
        <v>4698</v>
      </c>
      <c r="F1198" s="3" t="s">
        <v>4704</v>
      </c>
      <c r="G1198" s="3" t="s">
        <v>7201</v>
      </c>
      <c r="H1198" s="3"/>
      <c r="I1198" s="3" t="s">
        <v>5988</v>
      </c>
      <c r="J1198" s="3" t="s">
        <v>5999</v>
      </c>
      <c r="K1198" s="4" t="b">
        <f>J1198 = "blocking"</f>
        <v>1</v>
      </c>
      <c r="L1198" s="3" t="s">
        <v>1448</v>
      </c>
      <c r="M1198" s="3" t="s">
        <v>7196</v>
      </c>
      <c r="N1198" s="5">
        <v>46223.1297337963</v>
      </c>
      <c r="O1198" s="4" t="b">
        <f>L1198 = "PASS"</f>
        <v>1</v>
      </c>
      <c r="P1198" s="4" t="b">
        <f>L1198 = "FAIL"</f>
        <v>0</v>
      </c>
      <c r="Q1198" s="4" t="b">
        <f>AND(((P1198)=TRUE), ((K1198)=TRUE))</f>
        <v>0</v>
      </c>
      <c r="R1198" s="4" t="str">
        <f>IF(((O1198)=TRUE),  I1198,  "")</f>
        <v>suite-integrity</v>
      </c>
      <c r="S1198" s="4" t="str">
        <f>IF(((Q1198)=TRUE),  I1198,  "")</f>
      </c>
      <c r="T1198" s="3" t="s">
        <v>6001</v>
      </c>
    </row>
    <row r="1199">
      <c r="A1199" s="3" t="s">
        <v>7496</v>
      </c>
      <c r="B1199" s="4" t="str">
        <f>C1199 &amp; ": " &amp; D1199</f>
        <v>fk-resolves: TemplateApprovals.DecidedInRole -&gt; Roles</v>
      </c>
      <c r="C1199" s="3" t="s">
        <v>7193</v>
      </c>
      <c r="D1199" s="3" t="s">
        <v>7497</v>
      </c>
      <c r="E1199" s="3" t="s">
        <v>4698</v>
      </c>
      <c r="F1199" s="3" t="s">
        <v>4706</v>
      </c>
      <c r="G1199" s="3" t="s">
        <v>7204</v>
      </c>
      <c r="H1199" s="3"/>
      <c r="I1199" s="3" t="s">
        <v>5988</v>
      </c>
      <c r="J1199" s="3" t="s">
        <v>5999</v>
      </c>
      <c r="K1199" s="4" t="b">
        <f>J1199 = "blocking"</f>
        <v>1</v>
      </c>
      <c r="L1199" s="3" t="s">
        <v>1448</v>
      </c>
      <c r="M1199" s="3" t="s">
        <v>7196</v>
      </c>
      <c r="N1199" s="5">
        <v>46223.1297337963</v>
      </c>
      <c r="O1199" s="4" t="b">
        <f>L1199 = "PASS"</f>
        <v>1</v>
      </c>
      <c r="P1199" s="4" t="b">
        <f>L1199 = "FAIL"</f>
        <v>0</v>
      </c>
      <c r="Q1199" s="4" t="b">
        <f>AND(((P1199)=TRUE), ((K1199)=TRUE))</f>
        <v>0</v>
      </c>
      <c r="R1199" s="4" t="str">
        <f>IF(((O1199)=TRUE),  I1199,  "")</f>
        <v>suite-integrity</v>
      </c>
      <c r="S1199" s="4" t="str">
        <f>IF(((Q1199)=TRUE),  I1199,  "")</f>
      </c>
      <c r="T1199" s="3" t="s">
        <v>6001</v>
      </c>
    </row>
    <row r="1200">
      <c r="A1200" s="3" t="s">
        <v>7498</v>
      </c>
      <c r="B1200" s="4" t="str">
        <f>C1200 &amp; ": " &amp; D1200</f>
        <v>fk-resolves: SendIntents.ProcedureExecution -&gt; ProcedureExecutions</v>
      </c>
      <c r="C1200" s="3" t="s">
        <v>7193</v>
      </c>
      <c r="D1200" s="3" t="s">
        <v>7499</v>
      </c>
      <c r="E1200" s="3" t="s">
        <v>4728</v>
      </c>
      <c r="F1200" s="3" t="s">
        <v>1349</v>
      </c>
      <c r="G1200" s="3" t="s">
        <v>7351</v>
      </c>
      <c r="H1200" s="3"/>
      <c r="I1200" s="3" t="s">
        <v>5988</v>
      </c>
      <c r="J1200" s="3" t="s">
        <v>5999</v>
      </c>
      <c r="K1200" s="4" t="b">
        <f>J1200 = "blocking"</f>
        <v>1</v>
      </c>
      <c r="L1200" s="3" t="s">
        <v>1448</v>
      </c>
      <c r="M1200" s="3" t="s">
        <v>7196</v>
      </c>
      <c r="N1200" s="5">
        <v>46223.1297337963</v>
      </c>
      <c r="O1200" s="4" t="b">
        <f>L1200 = "PASS"</f>
        <v>1</v>
      </c>
      <c r="P1200" s="4" t="b">
        <f>L1200 = "FAIL"</f>
        <v>0</v>
      </c>
      <c r="Q1200" s="4" t="b">
        <f>AND(((P1200)=TRUE), ((K1200)=TRUE))</f>
        <v>0</v>
      </c>
      <c r="R1200" s="4" t="str">
        <f>IF(((O1200)=TRUE),  I1200,  "")</f>
        <v>suite-integrity</v>
      </c>
      <c r="S1200" s="4" t="str">
        <f>IF(((Q1200)=TRUE),  I1200,  "")</f>
      </c>
      <c r="T1200" s="3" t="s">
        <v>6001</v>
      </c>
    </row>
    <row r="1201">
      <c r="A1201" s="3" t="s">
        <v>7500</v>
      </c>
      <c r="B1201" s="4" t="str">
        <f>C1201 &amp; ": " &amp; D1201</f>
        <v>fk-resolves: SendIntents.StepExecution -&gt; StepExecutions</v>
      </c>
      <c r="C1201" s="3" t="s">
        <v>7193</v>
      </c>
      <c r="D1201" s="3" t="s">
        <v>7501</v>
      </c>
      <c r="E1201" s="3" t="s">
        <v>4728</v>
      </c>
      <c r="F1201" s="3" t="s">
        <v>1467</v>
      </c>
      <c r="G1201" s="3" t="s">
        <v>7358</v>
      </c>
      <c r="H1201" s="3"/>
      <c r="I1201" s="3" t="s">
        <v>5988</v>
      </c>
      <c r="J1201" s="3" t="s">
        <v>5999</v>
      </c>
      <c r="K1201" s="4" t="b">
        <f>J1201 = "blocking"</f>
        <v>1</v>
      </c>
      <c r="L1201" s="3" t="s">
        <v>1448</v>
      </c>
      <c r="M1201" s="3" t="s">
        <v>7196</v>
      </c>
      <c r="N1201" s="5">
        <v>46223.1297337963</v>
      </c>
      <c r="O1201" s="4" t="b">
        <f>L1201 = "PASS"</f>
        <v>1</v>
      </c>
      <c r="P1201" s="4" t="b">
        <f>L1201 = "FAIL"</f>
        <v>0</v>
      </c>
      <c r="Q1201" s="4" t="b">
        <f>AND(((P1201)=TRUE), ((K1201)=TRUE))</f>
        <v>0</v>
      </c>
      <c r="R1201" s="4" t="str">
        <f>IF(((O1201)=TRUE),  I1201,  "")</f>
        <v>suite-integrity</v>
      </c>
      <c r="S1201" s="4" t="str">
        <f>IF(((Q1201)=TRUE),  I1201,  "")</f>
      </c>
      <c r="T1201" s="3" t="s">
        <v>6001</v>
      </c>
    </row>
    <row r="1202">
      <c r="A1202" s="3" t="s">
        <v>7502</v>
      </c>
      <c r="B1202" s="4" t="str">
        <f>C1202 &amp; ": " &amp; D1202</f>
        <v>fk-resolves: SendIntents.Recipient -&gt; Recipients</v>
      </c>
      <c r="C1202" s="3" t="s">
        <v>7193</v>
      </c>
      <c r="D1202" s="3" t="s">
        <v>7503</v>
      </c>
      <c r="E1202" s="3" t="s">
        <v>4728</v>
      </c>
      <c r="F1202" s="3" t="s">
        <v>4451</v>
      </c>
      <c r="G1202" s="3" t="s">
        <v>7482</v>
      </c>
      <c r="H1202" s="3"/>
      <c r="I1202" s="3" t="s">
        <v>5988</v>
      </c>
      <c r="J1202" s="3" t="s">
        <v>5999</v>
      </c>
      <c r="K1202" s="4" t="b">
        <f>J1202 = "blocking"</f>
        <v>1</v>
      </c>
      <c r="L1202" s="3" t="s">
        <v>1448</v>
      </c>
      <c r="M1202" s="3" t="s">
        <v>7196</v>
      </c>
      <c r="N1202" s="5">
        <v>46223.1297337963</v>
      </c>
      <c r="O1202" s="4" t="b">
        <f>L1202 = "PASS"</f>
        <v>1</v>
      </c>
      <c r="P1202" s="4" t="b">
        <f>L1202 = "FAIL"</f>
        <v>0</v>
      </c>
      <c r="Q1202" s="4" t="b">
        <f>AND(((P1202)=TRUE), ((K1202)=TRUE))</f>
        <v>0</v>
      </c>
      <c r="R1202" s="4" t="str">
        <f>IF(((O1202)=TRUE),  I1202,  "")</f>
        <v>suite-integrity</v>
      </c>
      <c r="S1202" s="4" t="str">
        <f>IF(((Q1202)=TRUE),  I1202,  "")</f>
      </c>
      <c r="T1202" s="3" t="s">
        <v>6001</v>
      </c>
    </row>
    <row r="1203">
      <c r="A1203" s="3" t="s">
        <v>7504</v>
      </c>
      <c r="B1203" s="4" t="str">
        <f>C1203 &amp; ": " &amp; D1203</f>
        <v>fk-resolves: SendIntents.MessageTemplate -&gt; MessageTemplates</v>
      </c>
      <c r="C1203" s="3" t="s">
        <v>7193</v>
      </c>
      <c r="D1203" s="3" t="s">
        <v>7505</v>
      </c>
      <c r="E1203" s="3" t="s">
        <v>4728</v>
      </c>
      <c r="F1203" s="3" t="s">
        <v>4453</v>
      </c>
      <c r="G1203" s="3" t="s">
        <v>7485</v>
      </c>
      <c r="H1203" s="3"/>
      <c r="I1203" s="3" t="s">
        <v>5988</v>
      </c>
      <c r="J1203" s="3" t="s">
        <v>5999</v>
      </c>
      <c r="K1203" s="4" t="b">
        <f>J1203 = "blocking"</f>
        <v>1</v>
      </c>
      <c r="L1203" s="3" t="s">
        <v>1448</v>
      </c>
      <c r="M1203" s="3" t="s">
        <v>7196</v>
      </c>
      <c r="N1203" s="5">
        <v>46223.1297337963</v>
      </c>
      <c r="O1203" s="4" t="b">
        <f>L1203 = "PASS"</f>
        <v>1</v>
      </c>
      <c r="P1203" s="4" t="b">
        <f>L1203 = "FAIL"</f>
        <v>0</v>
      </c>
      <c r="Q1203" s="4" t="b">
        <f>AND(((P1203)=TRUE), ((K1203)=TRUE))</f>
        <v>0</v>
      </c>
      <c r="R1203" s="4" t="str">
        <f>IF(((O1203)=TRUE),  I1203,  "")</f>
        <v>suite-integrity</v>
      </c>
      <c r="S1203" s="4" t="str">
        <f>IF(((Q1203)=TRUE),  I1203,  "")</f>
      </c>
      <c r="T1203" s="3" t="s">
        <v>6001</v>
      </c>
    </row>
    <row r="1204">
      <c r="A1204" s="3" t="s">
        <v>7506</v>
      </c>
      <c r="B1204" s="4" t="str">
        <f>C1204 &amp; ": " &amp; D1204</f>
        <v>fk-resolves: SendIntents.ResultingDelivery -&gt; MessageDeliveries</v>
      </c>
      <c r="C1204" s="3" t="s">
        <v>7193</v>
      </c>
      <c r="D1204" s="3" t="s">
        <v>7507</v>
      </c>
      <c r="E1204" s="3" t="s">
        <v>4728</v>
      </c>
      <c r="F1204" s="3" t="s">
        <v>4742</v>
      </c>
      <c r="G1204" s="3" t="s">
        <v>7508</v>
      </c>
      <c r="H1204" s="3"/>
      <c r="I1204" s="3" t="s">
        <v>5988</v>
      </c>
      <c r="J1204" s="3" t="s">
        <v>5999</v>
      </c>
      <c r="K1204" s="4" t="b">
        <f>J1204 = "blocking"</f>
        <v>1</v>
      </c>
      <c r="L1204" s="3" t="s">
        <v>1448</v>
      </c>
      <c r="M1204" s="3" t="s">
        <v>7196</v>
      </c>
      <c r="N1204" s="5">
        <v>46223.1297337963</v>
      </c>
      <c r="O1204" s="4" t="b">
        <f>L1204 = "PASS"</f>
        <v>1</v>
      </c>
      <c r="P1204" s="4" t="b">
        <f>L1204 = "FAIL"</f>
        <v>0</v>
      </c>
      <c r="Q1204" s="4" t="b">
        <f>AND(((P1204)=TRUE), ((K1204)=TRUE))</f>
        <v>0</v>
      </c>
      <c r="R1204" s="4" t="str">
        <f>IF(((O1204)=TRUE),  I1204,  "")</f>
        <v>suite-integrity</v>
      </c>
      <c r="S1204" s="4" t="str">
        <f>IF(((Q1204)=TRUE),  I1204,  "")</f>
      </c>
      <c r="T1204" s="3" t="s">
        <v>6001</v>
      </c>
    </row>
    <row r="1205">
      <c r="A1205" s="3" t="s">
        <v>7509</v>
      </c>
      <c r="B1205" s="4" t="str">
        <f>C1205 &amp; ": " &amp; D1205</f>
        <v>fk-resolves: SendIntents.RefusalNotifiedRole -&gt; Roles</v>
      </c>
      <c r="C1205" s="3" t="s">
        <v>7193</v>
      </c>
      <c r="D1205" s="3" t="s">
        <v>7510</v>
      </c>
      <c r="E1205" s="3" t="s">
        <v>4728</v>
      </c>
      <c r="F1205" s="3" t="s">
        <v>4917</v>
      </c>
      <c r="G1205" s="3" t="s">
        <v>7204</v>
      </c>
      <c r="H1205" s="3"/>
      <c r="I1205" s="3" t="s">
        <v>5988</v>
      </c>
      <c r="J1205" s="3" t="s">
        <v>5999</v>
      </c>
      <c r="K1205" s="4" t="b">
        <f>J1205 = "blocking"</f>
        <v>1</v>
      </c>
      <c r="L1205" s="3" t="s">
        <v>1448</v>
      </c>
      <c r="M1205" s="3" t="s">
        <v>7196</v>
      </c>
      <c r="N1205" s="5">
        <v>46223.1297337963</v>
      </c>
      <c r="O1205" s="4" t="b">
        <f>L1205 = "PASS"</f>
        <v>1</v>
      </c>
      <c r="P1205" s="4" t="b">
        <f>L1205 = "FAIL"</f>
        <v>0</v>
      </c>
      <c r="Q1205" s="4" t="b">
        <f>AND(((P1205)=TRUE), ((K1205)=TRUE))</f>
        <v>0</v>
      </c>
      <c r="R1205" s="4" t="str">
        <f>IF(((O1205)=TRUE),  I1205,  "")</f>
        <v>suite-integrity</v>
      </c>
      <c r="S1205" s="4" t="str">
        <f>IF(((Q1205)=TRUE),  I1205,  "")</f>
      </c>
      <c r="T1205" s="3" t="s">
        <v>6001</v>
      </c>
    </row>
    <row r="1206">
      <c r="A1206" s="3" t="s">
        <v>7511</v>
      </c>
      <c r="B1206" s="4" t="str">
        <f>C1206 &amp; ": " &amp; D1206</f>
        <v>fk-resolves: SendIntents.EvaluationContext -&gt; EvaluationContexts</v>
      </c>
      <c r="C1206" s="3" t="s">
        <v>7193</v>
      </c>
      <c r="D1206" s="3" t="s">
        <v>7512</v>
      </c>
      <c r="E1206" s="3" t="s">
        <v>4728</v>
      </c>
      <c r="F1206" s="3" t="s">
        <v>258</v>
      </c>
      <c r="G1206" s="3" t="s">
        <v>7209</v>
      </c>
      <c r="H1206" s="3"/>
      <c r="I1206" s="3" t="s">
        <v>5988</v>
      </c>
      <c r="J1206" s="3" t="s">
        <v>5999</v>
      </c>
      <c r="K1206" s="4" t="b">
        <f>J1206 = "blocking"</f>
        <v>1</v>
      </c>
      <c r="L1206" s="3" t="s">
        <v>1448</v>
      </c>
      <c r="M1206" s="3" t="s">
        <v>7196</v>
      </c>
      <c r="N1206" s="5">
        <v>46223.1297337963</v>
      </c>
      <c r="O1206" s="4" t="b">
        <f>L1206 = "PASS"</f>
        <v>1</v>
      </c>
      <c r="P1206" s="4" t="b">
        <f>L1206 = "FAIL"</f>
        <v>0</v>
      </c>
      <c r="Q1206" s="4" t="b">
        <f>AND(((P1206)=TRUE), ((K1206)=TRUE))</f>
        <v>0</v>
      </c>
      <c r="R1206" s="4" t="str">
        <f>IF(((O1206)=TRUE),  I1206,  "")</f>
        <v>suite-integrity</v>
      </c>
      <c r="S1206" s="4" t="str">
        <f>IF(((Q1206)=TRUE),  I1206,  "")</f>
      </c>
      <c r="T1206" s="3" t="s">
        <v>6001</v>
      </c>
    </row>
    <row r="1207">
      <c r="A1207" s="3" t="s">
        <v>7513</v>
      </c>
      <c r="B1207" s="4" t="str">
        <f>C1207 &amp; ": " &amp; D1207</f>
        <v>fk-resolves: AgentDecisionRecords.StepExecution -&gt; StepExecutions</v>
      </c>
      <c r="C1207" s="3" t="s">
        <v>7193</v>
      </c>
      <c r="D1207" s="3" t="s">
        <v>7514</v>
      </c>
      <c r="E1207" s="3" t="s">
        <v>4994</v>
      </c>
      <c r="F1207" s="3" t="s">
        <v>1467</v>
      </c>
      <c r="G1207" s="3" t="s">
        <v>7358</v>
      </c>
      <c r="H1207" s="3"/>
      <c r="I1207" s="3" t="s">
        <v>5988</v>
      </c>
      <c r="J1207" s="3" t="s">
        <v>5999</v>
      </c>
      <c r="K1207" s="4" t="b">
        <f>J1207 = "blocking"</f>
        <v>1</v>
      </c>
      <c r="L1207" s="3" t="s">
        <v>1448</v>
      </c>
      <c r="M1207" s="3" t="s">
        <v>7196</v>
      </c>
      <c r="N1207" s="5">
        <v>46223.1297337963</v>
      </c>
      <c r="O1207" s="4" t="b">
        <f>L1207 = "PASS"</f>
        <v>1</v>
      </c>
      <c r="P1207" s="4" t="b">
        <f>L1207 = "FAIL"</f>
        <v>0</v>
      </c>
      <c r="Q1207" s="4" t="b">
        <f>AND(((P1207)=TRUE), ((K1207)=TRUE))</f>
        <v>0</v>
      </c>
      <c r="R1207" s="4" t="str">
        <f>IF(((O1207)=TRUE),  I1207,  "")</f>
        <v>suite-integrity</v>
      </c>
      <c r="S1207" s="4" t="str">
        <f>IF(((Q1207)=TRUE),  I1207,  "")</f>
      </c>
      <c r="T1207" s="3" t="s">
        <v>6001</v>
      </c>
    </row>
    <row r="1208">
      <c r="A1208" s="3" t="s">
        <v>7515</v>
      </c>
      <c r="B1208" s="4" t="str">
        <f>C1208 &amp; ": " &amp; D1208</f>
        <v>fk-resolves: AgentDecisionRecords.DecidingAgent -&gt; Agents</v>
      </c>
      <c r="C1208" s="3" t="s">
        <v>7193</v>
      </c>
      <c r="D1208" s="3" t="s">
        <v>7516</v>
      </c>
      <c r="E1208" s="3" t="s">
        <v>4994</v>
      </c>
      <c r="F1208" s="3" t="s">
        <v>5000</v>
      </c>
      <c r="G1208" s="3" t="s">
        <v>7201</v>
      </c>
      <c r="H1208" s="3"/>
      <c r="I1208" s="3" t="s">
        <v>5988</v>
      </c>
      <c r="J1208" s="3" t="s">
        <v>5999</v>
      </c>
      <c r="K1208" s="4" t="b">
        <f>J1208 = "blocking"</f>
        <v>1</v>
      </c>
      <c r="L1208" s="3" t="s">
        <v>1448</v>
      </c>
      <c r="M1208" s="3" t="s">
        <v>7196</v>
      </c>
      <c r="N1208" s="5">
        <v>46223.1297337963</v>
      </c>
      <c r="O1208" s="4" t="b">
        <f>L1208 = "PASS"</f>
        <v>1</v>
      </c>
      <c r="P1208" s="4" t="b">
        <f>L1208 = "FAIL"</f>
        <v>0</v>
      </c>
      <c r="Q1208" s="4" t="b">
        <f>AND(((P1208)=TRUE), ((K1208)=TRUE))</f>
        <v>0</v>
      </c>
      <c r="R1208" s="4" t="str">
        <f>IF(((O1208)=TRUE),  I1208,  "")</f>
        <v>suite-integrity</v>
      </c>
      <c r="S1208" s="4" t="str">
        <f>IF(((Q1208)=TRUE),  I1208,  "")</f>
      </c>
      <c r="T1208" s="3" t="s">
        <v>6001</v>
      </c>
    </row>
    <row r="1209">
      <c r="A1209" s="3" t="s">
        <v>7517</v>
      </c>
      <c r="B1209" s="4" t="str">
        <f>C1209 &amp; ": " &amp; D1209</f>
        <v>fk-resolves: AgentDecisionRecords.ReviewedByAgent -&gt; Agents</v>
      </c>
      <c r="C1209" s="3" t="s">
        <v>7193</v>
      </c>
      <c r="D1209" s="3" t="s">
        <v>7518</v>
      </c>
      <c r="E1209" s="3" t="s">
        <v>4994</v>
      </c>
      <c r="F1209" s="3" t="s">
        <v>1634</v>
      </c>
      <c r="G1209" s="3" t="s">
        <v>7201</v>
      </c>
      <c r="H1209" s="3"/>
      <c r="I1209" s="3" t="s">
        <v>5988</v>
      </c>
      <c r="J1209" s="3" t="s">
        <v>5999</v>
      </c>
      <c r="K1209" s="4" t="b">
        <f>J1209 = "blocking"</f>
        <v>1</v>
      </c>
      <c r="L1209" s="3" t="s">
        <v>1448</v>
      </c>
      <c r="M1209" s="3" t="s">
        <v>7196</v>
      </c>
      <c r="N1209" s="5">
        <v>46223.1297337963</v>
      </c>
      <c r="O1209" s="4" t="b">
        <f>L1209 = "PASS"</f>
        <v>1</v>
      </c>
      <c r="P1209" s="4" t="b">
        <f>L1209 = "FAIL"</f>
        <v>0</v>
      </c>
      <c r="Q1209" s="4" t="b">
        <f>AND(((P1209)=TRUE), ((K1209)=TRUE))</f>
        <v>0</v>
      </c>
      <c r="R1209" s="4" t="str">
        <f>IF(((O1209)=TRUE),  I1209,  "")</f>
        <v>suite-integrity</v>
      </c>
      <c r="S1209" s="4" t="str">
        <f>IF(((Q1209)=TRUE),  I1209,  "")</f>
      </c>
      <c r="T1209" s="3" t="s">
        <v>6001</v>
      </c>
    </row>
    <row r="1210">
      <c r="A1210" s="3" t="s">
        <v>7519</v>
      </c>
      <c r="B1210" s="4" t="str">
        <f>C1210 &amp; ": " &amp; D1210</f>
        <v>fk-resolves: AgentDecisionRecords.UnderRoleAssignment -&gt; RoleAssignments</v>
      </c>
      <c r="C1210" s="3" t="s">
        <v>7193</v>
      </c>
      <c r="D1210" s="3" t="s">
        <v>7520</v>
      </c>
      <c r="E1210" s="3" t="s">
        <v>4994</v>
      </c>
      <c r="F1210" s="3" t="s">
        <v>5025</v>
      </c>
      <c r="G1210" s="3" t="s">
        <v>7212</v>
      </c>
      <c r="H1210" s="3"/>
      <c r="I1210" s="3" t="s">
        <v>5988</v>
      </c>
      <c r="J1210" s="3" t="s">
        <v>5999</v>
      </c>
      <c r="K1210" s="4" t="b">
        <f>J1210 = "blocking"</f>
        <v>1</v>
      </c>
      <c r="L1210" s="3" t="s">
        <v>1448</v>
      </c>
      <c r="M1210" s="3" t="s">
        <v>7196</v>
      </c>
      <c r="N1210" s="5">
        <v>46223.1297337963</v>
      </c>
      <c r="O1210" s="4" t="b">
        <f>L1210 = "PASS"</f>
        <v>1</v>
      </c>
      <c r="P1210" s="4" t="b">
        <f>L1210 = "FAIL"</f>
        <v>0</v>
      </c>
      <c r="Q1210" s="4" t="b">
        <f>AND(((P1210)=TRUE), ((K1210)=TRUE))</f>
        <v>0</v>
      </c>
      <c r="R1210" s="4" t="str">
        <f>IF(((O1210)=TRUE),  I1210,  "")</f>
        <v>suite-integrity</v>
      </c>
      <c r="S1210" s="4" t="str">
        <f>IF(((Q1210)=TRUE),  I1210,  "")</f>
      </c>
      <c r="T1210" s="3" t="s">
        <v>6001</v>
      </c>
    </row>
    <row r="1211">
      <c r="A1211" s="3" t="s">
        <v>7521</v>
      </c>
      <c r="B1211" s="4" t="str">
        <f>C1211 &amp; ": " &amp; D1211</f>
        <v>fk-resolves: DeliveredCommunications.ProcedureExecution -&gt; ProcedureExecutions</v>
      </c>
      <c r="C1211" s="3" t="s">
        <v>7193</v>
      </c>
      <c r="D1211" s="3" t="s">
        <v>7522</v>
      </c>
      <c r="E1211" s="3" t="s">
        <v>5095</v>
      </c>
      <c r="F1211" s="3" t="s">
        <v>1349</v>
      </c>
      <c r="G1211" s="3" t="s">
        <v>7351</v>
      </c>
      <c r="H1211" s="3"/>
      <c r="I1211" s="3" t="s">
        <v>5988</v>
      </c>
      <c r="J1211" s="3" t="s">
        <v>5999</v>
      </c>
      <c r="K1211" s="4" t="b">
        <f>J1211 = "blocking"</f>
        <v>1</v>
      </c>
      <c r="L1211" s="3" t="s">
        <v>1448</v>
      </c>
      <c r="M1211" s="3" t="s">
        <v>7196</v>
      </c>
      <c r="N1211" s="5">
        <v>46223.1297337963</v>
      </c>
      <c r="O1211" s="4" t="b">
        <f>L1211 = "PASS"</f>
        <v>1</v>
      </c>
      <c r="P1211" s="4" t="b">
        <f>L1211 = "FAIL"</f>
        <v>0</v>
      </c>
      <c r="Q1211" s="4" t="b">
        <f>AND(((P1211)=TRUE), ((K1211)=TRUE))</f>
        <v>0</v>
      </c>
      <c r="R1211" s="4" t="str">
        <f>IF(((O1211)=TRUE),  I1211,  "")</f>
        <v>suite-integrity</v>
      </c>
      <c r="S1211" s="4" t="str">
        <f>IF(((Q1211)=TRUE),  I1211,  "")</f>
      </c>
      <c r="T1211" s="3" t="s">
        <v>6001</v>
      </c>
    </row>
    <row r="1212">
      <c r="A1212" s="3" t="s">
        <v>7523</v>
      </c>
      <c r="B1212" s="4" t="str">
        <f>C1212 &amp; ": " &amp; D1212</f>
        <v>fk-resolves: DeliveredCommunications.SendingStepExecution -&gt; StepExecutions</v>
      </c>
      <c r="C1212" s="3" t="s">
        <v>7193</v>
      </c>
      <c r="D1212" s="3" t="s">
        <v>7524</v>
      </c>
      <c r="E1212" s="3" t="s">
        <v>5095</v>
      </c>
      <c r="F1212" s="3" t="s">
        <v>5101</v>
      </c>
      <c r="G1212" s="3" t="s">
        <v>7358</v>
      </c>
      <c r="H1212" s="3"/>
      <c r="I1212" s="3" t="s">
        <v>5988</v>
      </c>
      <c r="J1212" s="3" t="s">
        <v>5999</v>
      </c>
      <c r="K1212" s="4" t="b">
        <f>J1212 = "blocking"</f>
        <v>1</v>
      </c>
      <c r="L1212" s="3" t="s">
        <v>1448</v>
      </c>
      <c r="M1212" s="3" t="s">
        <v>7196</v>
      </c>
      <c r="N1212" s="5">
        <v>46223.1297337963</v>
      </c>
      <c r="O1212" s="4" t="b">
        <f>L1212 = "PASS"</f>
        <v>1</v>
      </c>
      <c r="P1212" s="4" t="b">
        <f>L1212 = "FAIL"</f>
        <v>0</v>
      </c>
      <c r="Q1212" s="4" t="b">
        <f>AND(((P1212)=TRUE), ((K1212)=TRUE))</f>
        <v>0</v>
      </c>
      <c r="R1212" s="4" t="str">
        <f>IF(((O1212)=TRUE),  I1212,  "")</f>
        <v>suite-integrity</v>
      </c>
      <c r="S1212" s="4" t="str">
        <f>IF(((Q1212)=TRUE),  I1212,  "")</f>
      </c>
      <c r="T1212" s="3" t="s">
        <v>6001</v>
      </c>
    </row>
    <row r="1213">
      <c r="A1213" s="3" t="s">
        <v>7525</v>
      </c>
      <c r="B1213" s="4" t="str">
        <f>C1213 &amp; ": " &amp; D1213</f>
        <v>fk-resolves: DeliveredCommunications.AuthorizingStepExecution -&gt; StepExecutions</v>
      </c>
      <c r="C1213" s="3" t="s">
        <v>7193</v>
      </c>
      <c r="D1213" s="3" t="s">
        <v>7526</v>
      </c>
      <c r="E1213" s="3" t="s">
        <v>5095</v>
      </c>
      <c r="F1213" s="3" t="s">
        <v>5103</v>
      </c>
      <c r="G1213" s="3" t="s">
        <v>7358</v>
      </c>
      <c r="H1213" s="3"/>
      <c r="I1213" s="3" t="s">
        <v>5988</v>
      </c>
      <c r="J1213" s="3" t="s">
        <v>5999</v>
      </c>
      <c r="K1213" s="4" t="b">
        <f>J1213 = "blocking"</f>
        <v>1</v>
      </c>
      <c r="L1213" s="3" t="s">
        <v>1448</v>
      </c>
      <c r="M1213" s="3" t="s">
        <v>7196</v>
      </c>
      <c r="N1213" s="5">
        <v>46223.1297337963</v>
      </c>
      <c r="O1213" s="4" t="b">
        <f>L1213 = "PASS"</f>
        <v>1</v>
      </c>
      <c r="P1213" s="4" t="b">
        <f>L1213 = "FAIL"</f>
        <v>0</v>
      </c>
      <c r="Q1213" s="4" t="b">
        <f>AND(((P1213)=TRUE), ((K1213)=TRUE))</f>
        <v>0</v>
      </c>
      <c r="R1213" s="4" t="str">
        <f>IF(((O1213)=TRUE),  I1213,  "")</f>
        <v>suite-integrity</v>
      </c>
      <c r="S1213" s="4" t="str">
        <f>IF(((Q1213)=TRUE),  I1213,  "")</f>
      </c>
      <c r="T1213" s="3" t="s">
        <v>6001</v>
      </c>
    </row>
    <row r="1214">
      <c r="A1214" s="3" t="s">
        <v>7527</v>
      </c>
      <c r="B1214" s="4" t="str">
        <f>C1214 &amp; ": " &amp; D1214</f>
        <v>fk-resolves: DeliveredCommunications.MessageTemplate -&gt; MessageTemplates</v>
      </c>
      <c r="C1214" s="3" t="s">
        <v>7193</v>
      </c>
      <c r="D1214" s="3" t="s">
        <v>7528</v>
      </c>
      <c r="E1214" s="3" t="s">
        <v>5095</v>
      </c>
      <c r="F1214" s="3" t="s">
        <v>4453</v>
      </c>
      <c r="G1214" s="3" t="s">
        <v>7485</v>
      </c>
      <c r="H1214" s="3"/>
      <c r="I1214" s="3" t="s">
        <v>5988</v>
      </c>
      <c r="J1214" s="3" t="s">
        <v>5999</v>
      </c>
      <c r="K1214" s="4" t="b">
        <f>J1214 = "blocking"</f>
        <v>1</v>
      </c>
      <c r="L1214" s="3" t="s">
        <v>1448</v>
      </c>
      <c r="M1214" s="3" t="s">
        <v>7196</v>
      </c>
      <c r="N1214" s="5">
        <v>46223.1297337963</v>
      </c>
      <c r="O1214" s="4" t="b">
        <f>L1214 = "PASS"</f>
        <v>1</v>
      </c>
      <c r="P1214" s="4" t="b">
        <f>L1214 = "FAIL"</f>
        <v>0</v>
      </c>
      <c r="Q1214" s="4" t="b">
        <f>AND(((P1214)=TRUE), ((K1214)=TRUE))</f>
        <v>0</v>
      </c>
      <c r="R1214" s="4" t="str">
        <f>IF(((O1214)=TRUE),  I1214,  "")</f>
        <v>suite-integrity</v>
      </c>
      <c r="S1214" s="4" t="str">
        <f>IF(((Q1214)=TRUE),  I1214,  "")</f>
      </c>
      <c r="T1214" s="3" t="s">
        <v>6001</v>
      </c>
    </row>
    <row r="1215">
      <c r="A1215" s="3" t="s">
        <v>7529</v>
      </c>
      <c r="B1215" s="4" t="str">
        <f>C1215 &amp; ": " &amp; D1215</f>
        <v>fk-resolves: AuthorityBoundaries.Step -&gt; Steps</v>
      </c>
      <c r="C1215" s="3" t="s">
        <v>7193</v>
      </c>
      <c r="D1215" s="3" t="s">
        <v>7530</v>
      </c>
      <c r="E1215" s="3" t="s">
        <v>5131</v>
      </c>
      <c r="F1215" s="3" t="s">
        <v>767</v>
      </c>
      <c r="G1215" s="3" t="s">
        <v>7262</v>
      </c>
      <c r="H1215" s="3"/>
      <c r="I1215" s="3" t="s">
        <v>5988</v>
      </c>
      <c r="J1215" s="3" t="s">
        <v>5999</v>
      </c>
      <c r="K1215" s="4" t="b">
        <f>J1215 = "blocking"</f>
        <v>1</v>
      </c>
      <c r="L1215" s="3" t="s">
        <v>1448</v>
      </c>
      <c r="M1215" s="3" t="s">
        <v>7196</v>
      </c>
      <c r="N1215" s="5">
        <v>46223.1297337963</v>
      </c>
      <c r="O1215" s="4" t="b">
        <f>L1215 = "PASS"</f>
        <v>1</v>
      </c>
      <c r="P1215" s="4" t="b">
        <f>L1215 = "FAIL"</f>
        <v>0</v>
      </c>
      <c r="Q1215" s="4" t="b">
        <f>AND(((P1215)=TRUE), ((K1215)=TRUE))</f>
        <v>0</v>
      </c>
      <c r="R1215" s="4" t="str">
        <f>IF(((O1215)=TRUE),  I1215,  "")</f>
        <v>suite-integrity</v>
      </c>
      <c r="S1215" s="4" t="str">
        <f>IF(((Q1215)=TRUE),  I1215,  "")</f>
      </c>
      <c r="T1215" s="3" t="s">
        <v>6001</v>
      </c>
    </row>
    <row r="1216">
      <c r="A1216" s="3" t="s">
        <v>7531</v>
      </c>
      <c r="B1216" s="4" t="str">
        <f>C1216 &amp; ": " &amp; D1216</f>
        <v>fk-resolves: AuthorityBoundaries.RatifiedByKnowledgeFragment -&gt; KnowledgeFragments</v>
      </c>
      <c r="C1216" s="3" t="s">
        <v>7193</v>
      </c>
      <c r="D1216" s="3" t="s">
        <v>7532</v>
      </c>
      <c r="E1216" s="3" t="s">
        <v>5131</v>
      </c>
      <c r="F1216" s="3" t="s">
        <v>5141</v>
      </c>
      <c r="G1216" s="3" t="s">
        <v>7533</v>
      </c>
      <c r="H1216" s="3"/>
      <c r="I1216" s="3" t="s">
        <v>5988</v>
      </c>
      <c r="J1216" s="3" t="s">
        <v>5999</v>
      </c>
      <c r="K1216" s="4" t="b">
        <f>J1216 = "blocking"</f>
        <v>1</v>
      </c>
      <c r="L1216" s="3" t="s">
        <v>1448</v>
      </c>
      <c r="M1216" s="3" t="s">
        <v>7196</v>
      </c>
      <c r="N1216" s="5">
        <v>46223.1297337963</v>
      </c>
      <c r="O1216" s="4" t="b">
        <f>L1216 = "PASS"</f>
        <v>1</v>
      </c>
      <c r="P1216" s="4" t="b">
        <f>L1216 = "FAIL"</f>
        <v>0</v>
      </c>
      <c r="Q1216" s="4" t="b">
        <f>AND(((P1216)=TRUE), ((K1216)=TRUE))</f>
        <v>0</v>
      </c>
      <c r="R1216" s="4" t="str">
        <f>IF(((O1216)=TRUE),  I1216,  "")</f>
        <v>suite-integrity</v>
      </c>
      <c r="S1216" s="4" t="str">
        <f>IF(((Q1216)=TRUE),  I1216,  "")</f>
      </c>
      <c r="T1216" s="3" t="s">
        <v>6001</v>
      </c>
    </row>
    <row r="1217">
      <c r="A1217" s="3" t="s">
        <v>7534</v>
      </c>
      <c r="B1217" s="4" t="str">
        <f>C1217 &amp; ": " &amp; D1217</f>
        <v>fk-resolves: AuthorityBoundaries.EnforcingRequirement -&gt; Requirements</v>
      </c>
      <c r="C1217" s="3" t="s">
        <v>7193</v>
      </c>
      <c r="D1217" s="3" t="s">
        <v>7535</v>
      </c>
      <c r="E1217" s="3" t="s">
        <v>5131</v>
      </c>
      <c r="F1217" s="3" t="s">
        <v>5143</v>
      </c>
      <c r="G1217" s="3" t="s">
        <v>7286</v>
      </c>
      <c r="H1217" s="3"/>
      <c r="I1217" s="3" t="s">
        <v>5988</v>
      </c>
      <c r="J1217" s="3" t="s">
        <v>5999</v>
      </c>
      <c r="K1217" s="4" t="b">
        <f>J1217 = "blocking"</f>
        <v>1</v>
      </c>
      <c r="L1217" s="3" t="s">
        <v>1448</v>
      </c>
      <c r="M1217" s="3" t="s">
        <v>7196</v>
      </c>
      <c r="N1217" s="5">
        <v>46223.1297337963</v>
      </c>
      <c r="O1217" s="4" t="b">
        <f>L1217 = "PASS"</f>
        <v>1</v>
      </c>
      <c r="P1217" s="4" t="b">
        <f>L1217 = "FAIL"</f>
        <v>0</v>
      </c>
      <c r="Q1217" s="4" t="b">
        <f>AND(((P1217)=TRUE), ((K1217)=TRUE))</f>
        <v>0</v>
      </c>
      <c r="R1217" s="4" t="str">
        <f>IF(((O1217)=TRUE),  I1217,  "")</f>
        <v>suite-integrity</v>
      </c>
      <c r="S1217" s="4" t="str">
        <f>IF(((Q1217)=TRUE),  I1217,  "")</f>
      </c>
      <c r="T1217" s="3" t="s">
        <v>6001</v>
      </c>
    </row>
    <row r="1218">
      <c r="A1218" s="3" t="s">
        <v>7536</v>
      </c>
      <c r="B1218" s="4" t="str">
        <f>C1218 &amp; ": " &amp; D1218</f>
        <v>fk-resolves: AuthorityBoundaries.AuthorityRole -&gt; Roles</v>
      </c>
      <c r="C1218" s="3" t="s">
        <v>7193</v>
      </c>
      <c r="D1218" s="3" t="s">
        <v>7537</v>
      </c>
      <c r="E1218" s="3" t="s">
        <v>5131</v>
      </c>
      <c r="F1218" s="3" t="s">
        <v>986</v>
      </c>
      <c r="G1218" s="3" t="s">
        <v>7204</v>
      </c>
      <c r="H1218" s="3"/>
      <c r="I1218" s="3" t="s">
        <v>5988</v>
      </c>
      <c r="J1218" s="3" t="s">
        <v>5999</v>
      </c>
      <c r="K1218" s="4" t="b">
        <f>J1218 = "blocking"</f>
        <v>1</v>
      </c>
      <c r="L1218" s="3" t="s">
        <v>1448</v>
      </c>
      <c r="M1218" s="3" t="s">
        <v>7196</v>
      </c>
      <c r="N1218" s="5">
        <v>46223.1297337963</v>
      </c>
      <c r="O1218" s="4" t="b">
        <f>L1218 = "PASS"</f>
        <v>1</v>
      </c>
      <c r="P1218" s="4" t="b">
        <f>L1218 = "FAIL"</f>
        <v>0</v>
      </c>
      <c r="Q1218" s="4" t="b">
        <f>AND(((P1218)=TRUE), ((K1218)=TRUE))</f>
        <v>0</v>
      </c>
      <c r="R1218" s="4" t="str">
        <f>IF(((O1218)=TRUE),  I1218,  "")</f>
        <v>suite-integrity</v>
      </c>
      <c r="S1218" s="4" t="str">
        <f>IF(((Q1218)=TRUE),  I1218,  "")</f>
      </c>
      <c r="T1218" s="3" t="s">
        <v>6001</v>
      </c>
    </row>
    <row r="1219">
      <c r="A1219" s="3" t="s">
        <v>7538</v>
      </c>
      <c r="B1219" s="4" t="str">
        <f>C1219 &amp; ": " &amp; D1219</f>
        <v>fk-resolves: AuthorityBoundaries.EvaluationContext -&gt; EvaluationContexts</v>
      </c>
      <c r="C1219" s="3" t="s">
        <v>7193</v>
      </c>
      <c r="D1219" s="3" t="s">
        <v>7539</v>
      </c>
      <c r="E1219" s="3" t="s">
        <v>5131</v>
      </c>
      <c r="F1219" s="3" t="s">
        <v>258</v>
      </c>
      <c r="G1219" s="3" t="s">
        <v>7209</v>
      </c>
      <c r="H1219" s="3"/>
      <c r="I1219" s="3" t="s">
        <v>5988</v>
      </c>
      <c r="J1219" s="3" t="s">
        <v>5999</v>
      </c>
      <c r="K1219" s="4" t="b">
        <f>J1219 = "blocking"</f>
        <v>1</v>
      </c>
      <c r="L1219" s="3" t="s">
        <v>1448</v>
      </c>
      <c r="M1219" s="3" t="s">
        <v>7196</v>
      </c>
      <c r="N1219" s="5">
        <v>46223.1297337963</v>
      </c>
      <c r="O1219" s="4" t="b">
        <f>L1219 = "PASS"</f>
        <v>1</v>
      </c>
      <c r="P1219" s="4" t="b">
        <f>L1219 = "FAIL"</f>
        <v>0</v>
      </c>
      <c r="Q1219" s="4" t="b">
        <f>AND(((P1219)=TRUE), ((K1219)=TRUE))</f>
        <v>0</v>
      </c>
      <c r="R1219" s="4" t="str">
        <f>IF(((O1219)=TRUE),  I1219,  "")</f>
        <v>suite-integrity</v>
      </c>
      <c r="S1219" s="4" t="str">
        <f>IF(((Q1219)=TRUE),  I1219,  "")</f>
      </c>
      <c r="T1219" s="3" t="s">
        <v>6001</v>
      </c>
    </row>
    <row r="1220">
      <c r="A1220" s="3" t="s">
        <v>7540</v>
      </c>
      <c r="B1220" s="4" t="str">
        <f>C1220 &amp; ": " &amp; D1220</f>
        <v>fk-resolves: BindingObservations.StepExecution -&gt; StepExecutions</v>
      </c>
      <c r="C1220" s="3" t="s">
        <v>7193</v>
      </c>
      <c r="D1220" s="3" t="s">
        <v>7541</v>
      </c>
      <c r="E1220" s="3" t="s">
        <v>5208</v>
      </c>
      <c r="F1220" s="3" t="s">
        <v>1467</v>
      </c>
      <c r="G1220" s="3" t="s">
        <v>7358</v>
      </c>
      <c r="H1220" s="3"/>
      <c r="I1220" s="3" t="s">
        <v>5988</v>
      </c>
      <c r="J1220" s="3" t="s">
        <v>5999</v>
      </c>
      <c r="K1220" s="4" t="b">
        <f>J1220 = "blocking"</f>
        <v>1</v>
      </c>
      <c r="L1220" s="3" t="s">
        <v>1448</v>
      </c>
      <c r="M1220" s="3" t="s">
        <v>7196</v>
      </c>
      <c r="N1220" s="5">
        <v>46223.1297337963</v>
      </c>
      <c r="O1220" s="4" t="b">
        <f>L1220 = "PASS"</f>
        <v>1</v>
      </c>
      <c r="P1220" s="4" t="b">
        <f>L1220 = "FAIL"</f>
        <v>0</v>
      </c>
      <c r="Q1220" s="4" t="b">
        <f>AND(((P1220)=TRUE), ((K1220)=TRUE))</f>
        <v>0</v>
      </c>
      <c r="R1220" s="4" t="str">
        <f>IF(((O1220)=TRUE),  I1220,  "")</f>
        <v>suite-integrity</v>
      </c>
      <c r="S1220" s="4" t="str">
        <f>IF(((Q1220)=TRUE),  I1220,  "")</f>
      </c>
      <c r="T1220" s="3" t="s">
        <v>6001</v>
      </c>
    </row>
    <row r="1221">
      <c r="A1221" s="3" t="s">
        <v>7542</v>
      </c>
      <c r="B1221" s="4" t="str">
        <f>C1221 &amp; ": " &amp; D1221</f>
        <v>fk-resolves: BindingObservations.OperationalBinding -&gt; OperationalBindings</v>
      </c>
      <c r="C1221" s="3" t="s">
        <v>7193</v>
      </c>
      <c r="D1221" s="3" t="s">
        <v>7543</v>
      </c>
      <c r="E1221" s="3" t="s">
        <v>5208</v>
      </c>
      <c r="F1221" s="3" t="s">
        <v>5214</v>
      </c>
      <c r="G1221" s="3" t="s">
        <v>7475</v>
      </c>
      <c r="H1221" s="3"/>
      <c r="I1221" s="3" t="s">
        <v>5988</v>
      </c>
      <c r="J1221" s="3" t="s">
        <v>5999</v>
      </c>
      <c r="K1221" s="4" t="b">
        <f>J1221 = "blocking"</f>
        <v>1</v>
      </c>
      <c r="L1221" s="3" t="s">
        <v>1448</v>
      </c>
      <c r="M1221" s="3" t="s">
        <v>7196</v>
      </c>
      <c r="N1221" s="5">
        <v>46223.1297337963</v>
      </c>
      <c r="O1221" s="4" t="b">
        <f>L1221 = "PASS"</f>
        <v>1</v>
      </c>
      <c r="P1221" s="4" t="b">
        <f>L1221 = "FAIL"</f>
        <v>0</v>
      </c>
      <c r="Q1221" s="4" t="b">
        <f>AND(((P1221)=TRUE), ((K1221)=TRUE))</f>
        <v>0</v>
      </c>
      <c r="R1221" s="4" t="str">
        <f>IF(((O1221)=TRUE),  I1221,  "")</f>
        <v>suite-integrity</v>
      </c>
      <c r="S1221" s="4" t="str">
        <f>IF(((Q1221)=TRUE),  I1221,  "")</f>
      </c>
      <c r="T1221" s="3" t="s">
        <v>6001</v>
      </c>
    </row>
    <row r="1222">
      <c r="A1222" s="3" t="s">
        <v>7544</v>
      </c>
      <c r="B1222" s="4" t="str">
        <f>C1222 &amp; ": " &amp; D1222</f>
        <v>fk-resolves: Attestations.ProcedureExecution -&gt; ProcedureExecutions</v>
      </c>
      <c r="C1222" s="3" t="s">
        <v>7193</v>
      </c>
      <c r="D1222" s="3" t="s">
        <v>7545</v>
      </c>
      <c r="E1222" s="3" t="s">
        <v>5235</v>
      </c>
      <c r="F1222" s="3" t="s">
        <v>1349</v>
      </c>
      <c r="G1222" s="3" t="s">
        <v>7351</v>
      </c>
      <c r="H1222" s="3"/>
      <c r="I1222" s="3" t="s">
        <v>5988</v>
      </c>
      <c r="J1222" s="3" t="s">
        <v>5999</v>
      </c>
      <c r="K1222" s="4" t="b">
        <f>J1222 = "blocking"</f>
        <v>1</v>
      </c>
      <c r="L1222" s="3" t="s">
        <v>1448</v>
      </c>
      <c r="M1222" s="3" t="s">
        <v>7196</v>
      </c>
      <c r="N1222" s="5">
        <v>46223.1297337963</v>
      </c>
      <c r="O1222" s="4" t="b">
        <f>L1222 = "PASS"</f>
        <v>1</v>
      </c>
      <c r="P1222" s="4" t="b">
        <f>L1222 = "FAIL"</f>
        <v>0</v>
      </c>
      <c r="Q1222" s="4" t="b">
        <f>AND(((P1222)=TRUE), ((K1222)=TRUE))</f>
        <v>0</v>
      </c>
      <c r="R1222" s="4" t="str">
        <f>IF(((O1222)=TRUE),  I1222,  "")</f>
        <v>suite-integrity</v>
      </c>
      <c r="S1222" s="4" t="str">
        <f>IF(((Q1222)=TRUE),  I1222,  "")</f>
      </c>
      <c r="T1222" s="3" t="s">
        <v>6001</v>
      </c>
    </row>
    <row r="1223">
      <c r="A1223" s="3" t="s">
        <v>7546</v>
      </c>
      <c r="B1223" s="4" t="str">
        <f>C1223 &amp; ": " &amp; D1223</f>
        <v>fk-resolves: Attestations.SignedByAgent -&gt; Agents</v>
      </c>
      <c r="C1223" s="3" t="s">
        <v>7193</v>
      </c>
      <c r="D1223" s="3" t="s">
        <v>7547</v>
      </c>
      <c r="E1223" s="3" t="s">
        <v>5235</v>
      </c>
      <c r="F1223" s="3" t="s">
        <v>5241</v>
      </c>
      <c r="G1223" s="3" t="s">
        <v>7201</v>
      </c>
      <c r="H1223" s="3"/>
      <c r="I1223" s="3" t="s">
        <v>5988</v>
      </c>
      <c r="J1223" s="3" t="s">
        <v>5999</v>
      </c>
      <c r="K1223" s="4" t="b">
        <f>J1223 = "blocking"</f>
        <v>1</v>
      </c>
      <c r="L1223" s="3" t="s">
        <v>1448</v>
      </c>
      <c r="M1223" s="3" t="s">
        <v>7196</v>
      </c>
      <c r="N1223" s="5">
        <v>46223.1297337963</v>
      </c>
      <c r="O1223" s="4" t="b">
        <f>L1223 = "PASS"</f>
        <v>1</v>
      </c>
      <c r="P1223" s="4" t="b">
        <f>L1223 = "FAIL"</f>
        <v>0</v>
      </c>
      <c r="Q1223" s="4" t="b">
        <f>AND(((P1223)=TRUE), ((K1223)=TRUE))</f>
        <v>0</v>
      </c>
      <c r="R1223" s="4" t="str">
        <f>IF(((O1223)=TRUE),  I1223,  "")</f>
        <v>suite-integrity</v>
      </c>
      <c r="S1223" s="4" t="str">
        <f>IF(((Q1223)=TRUE),  I1223,  "")</f>
      </c>
      <c r="T1223" s="3" t="s">
        <v>6001</v>
      </c>
    </row>
    <row r="1224">
      <c r="A1224" s="3" t="s">
        <v>7548</v>
      </c>
      <c r="B1224" s="4" t="str">
        <f>C1224 &amp; ": " &amp; D1224</f>
        <v>witness-discriminates: Agents.IsStillEngaged</v>
      </c>
      <c r="C1224" s="3" t="s">
        <v>7549</v>
      </c>
      <c r="D1224" s="3" t="s">
        <v>2472</v>
      </c>
      <c r="E1224" s="3" t="s">
        <v>1814</v>
      </c>
      <c r="F1224" s="3" t="s">
        <v>125</v>
      </c>
      <c r="G1224" s="3" t="s">
        <v>7550</v>
      </c>
      <c r="H1224" s="3" t="s">
        <v>2039</v>
      </c>
      <c r="I1224" s="3" t="s">
        <v>5990</v>
      </c>
      <c r="J1224" s="3" t="s">
        <v>7551</v>
      </c>
      <c r="K1224" s="4" t="b">
        <f>J1224 = "blocking"</f>
        <v>0</v>
      </c>
      <c r="L1224" s="3" t="s">
        <v>1451</v>
      </c>
      <c r="M1224" s="3" t="s">
        <v>7552</v>
      </c>
      <c r="N1224" s="5">
        <v>46223.1297337963</v>
      </c>
      <c r="O1224" s="4" t="b">
        <f>L1224 = "PASS"</f>
        <v>0</v>
      </c>
      <c r="P1224" s="4" t="b">
        <f>L1224 = "FAIL"</f>
        <v>0</v>
      </c>
      <c r="Q1224" s="4" t="b">
        <f>AND(((P1224)=TRUE), ((K1224)=TRUE))</f>
        <v>0</v>
      </c>
      <c r="R1224" s="4" t="str">
        <f>IF(((O1224)=TRUE),  I1224,  "")</f>
      </c>
      <c r="S1224" s="4" t="str">
        <f>IF(((Q1224)=TRUE),  I1224,  "")</f>
      </c>
      <c r="T1224" s="3" t="s">
        <v>6001</v>
      </c>
    </row>
    <row r="1225">
      <c r="A1225" s="3" t="s">
        <v>7553</v>
      </c>
      <c r="B1225" s="4" t="str">
        <f>C1225 &amp; ": " &amp; D1225</f>
        <v>witness-discriminates: Agents.IsNonHuman</v>
      </c>
      <c r="C1225" s="3" t="s">
        <v>7549</v>
      </c>
      <c r="D1225" s="3" t="s">
        <v>2481</v>
      </c>
      <c r="E1225" s="3" t="s">
        <v>1814</v>
      </c>
      <c r="F1225" s="3" t="s">
        <v>129</v>
      </c>
      <c r="G1225" s="3" t="s">
        <v>7550</v>
      </c>
      <c r="H1225" s="3" t="s">
        <v>2135</v>
      </c>
      <c r="I1225" s="3" t="s">
        <v>5990</v>
      </c>
      <c r="J1225" s="3" t="s">
        <v>7551</v>
      </c>
      <c r="K1225" s="4" t="b">
        <f>J1225 = "blocking"</f>
        <v>0</v>
      </c>
      <c r="L1225" s="3" t="s">
        <v>1448</v>
      </c>
      <c r="M1225" s="3" t="s">
        <v>7554</v>
      </c>
      <c r="N1225" s="5">
        <v>46223.1297337963</v>
      </c>
      <c r="O1225" s="4" t="b">
        <f>L1225 = "PASS"</f>
        <v>1</v>
      </c>
      <c r="P1225" s="4" t="b">
        <f>L1225 = "FAIL"</f>
        <v>0</v>
      </c>
      <c r="Q1225" s="4" t="b">
        <f>AND(((P1225)=TRUE), ((K1225)=TRUE))</f>
        <v>0</v>
      </c>
      <c r="R1225" s="4" t="str">
        <f>IF(((O1225)=TRUE),  I1225,  "")</f>
        <v>suite-witness</v>
      </c>
      <c r="S1225" s="4" t="str">
        <f>IF(((Q1225)=TRUE),  I1225,  "")</f>
      </c>
      <c r="T1225" s="3" t="s">
        <v>6001</v>
      </c>
    </row>
    <row r="1226">
      <c r="A1226" s="3" t="s">
        <v>7555</v>
      </c>
      <c r="B1226" s="4" t="str">
        <f>C1226 &amp; ": " &amp; D1226</f>
        <v>witness-discriminates: Agents.IsOperatingOutsideBoundary</v>
      </c>
      <c r="C1226" s="3" t="s">
        <v>7549</v>
      </c>
      <c r="D1226" s="3" t="s">
        <v>2485</v>
      </c>
      <c r="E1226" s="3" t="s">
        <v>1814</v>
      </c>
      <c r="F1226" s="3" t="s">
        <v>131</v>
      </c>
      <c r="G1226" s="3" t="s">
        <v>7550</v>
      </c>
      <c r="H1226" s="3" t="s">
        <v>2187</v>
      </c>
      <c r="I1226" s="3" t="s">
        <v>5990</v>
      </c>
      <c r="J1226" s="3" t="s">
        <v>7551</v>
      </c>
      <c r="K1226" s="4" t="b">
        <f>J1226 = "blocking"</f>
        <v>0</v>
      </c>
      <c r="L1226" s="3" t="s">
        <v>1451</v>
      </c>
      <c r="M1226" s="3" t="s">
        <v>7556</v>
      </c>
      <c r="N1226" s="5">
        <v>46223.1297337963</v>
      </c>
      <c r="O1226" s="4" t="b">
        <f>L1226 = "PASS"</f>
        <v>0</v>
      </c>
      <c r="P1226" s="4" t="b">
        <f>L1226 = "FAIL"</f>
        <v>0</v>
      </c>
      <c r="Q1226" s="4" t="b">
        <f>AND(((P1226)=TRUE), ((K1226)=TRUE))</f>
        <v>0</v>
      </c>
      <c r="R1226" s="4" t="str">
        <f>IF(((O1226)=TRUE),  I1226,  "")</f>
      </c>
      <c r="S1226" s="4" t="str">
        <f>IF(((Q1226)=TRUE),  I1226,  "")</f>
      </c>
      <c r="T1226" s="3" t="s">
        <v>6001</v>
      </c>
    </row>
    <row r="1227">
      <c r="A1227" s="3" t="s">
        <v>7557</v>
      </c>
      <c r="B1227" s="4" t="str">
        <f>C1227 &amp; ": " &amp; D1227</f>
        <v>witness-discriminates: Roles.HasNoCurrentHolder</v>
      </c>
      <c r="C1227" s="3" t="s">
        <v>7549</v>
      </c>
      <c r="D1227" s="3" t="s">
        <v>2516</v>
      </c>
      <c r="E1227" s="3" t="s">
        <v>1818</v>
      </c>
      <c r="F1227" s="3" t="s">
        <v>189</v>
      </c>
      <c r="G1227" s="3" t="s">
        <v>7550</v>
      </c>
      <c r="H1227" s="3" t="s">
        <v>2119</v>
      </c>
      <c r="I1227" s="3" t="s">
        <v>5990</v>
      </c>
      <c r="J1227" s="3" t="s">
        <v>7551</v>
      </c>
      <c r="K1227" s="4" t="b">
        <f>J1227 = "blocking"</f>
        <v>0</v>
      </c>
      <c r="L1227" s="3" t="s">
        <v>1451</v>
      </c>
      <c r="M1227" s="3" t="s">
        <v>7558</v>
      </c>
      <c r="N1227" s="5">
        <v>46223.1297337963</v>
      </c>
      <c r="O1227" s="4" t="b">
        <f>L1227 = "PASS"</f>
        <v>0</v>
      </c>
      <c r="P1227" s="4" t="b">
        <f>L1227 = "FAIL"</f>
        <v>0</v>
      </c>
      <c r="Q1227" s="4" t="b">
        <f>AND(((P1227)=TRUE), ((K1227)=TRUE))</f>
        <v>0</v>
      </c>
      <c r="R1227" s="4" t="str">
        <f>IF(((O1227)=TRUE),  I1227,  "")</f>
      </c>
      <c r="S1227" s="4" t="str">
        <f>IF(((Q1227)=TRUE),  I1227,  "")</f>
      </c>
      <c r="T1227" s="3" t="s">
        <v>6001</v>
      </c>
    </row>
    <row r="1228">
      <c r="A1228" s="3" t="s">
        <v>7559</v>
      </c>
      <c r="B1228" s="4" t="str">
        <f>C1228 &amp; ": " &amp; D1228</f>
        <v>witness-discriminates: Roles.IsNonHumanHeld</v>
      </c>
      <c r="C1228" s="3" t="s">
        <v>7549</v>
      </c>
      <c r="D1228" s="3" t="s">
        <v>2523</v>
      </c>
      <c r="E1228" s="3" t="s">
        <v>1818</v>
      </c>
      <c r="F1228" s="3" t="s">
        <v>193</v>
      </c>
      <c r="G1228" s="3" t="s">
        <v>7550</v>
      </c>
      <c r="H1228" s="3" t="s">
        <v>2179</v>
      </c>
      <c r="I1228" s="3" t="s">
        <v>5990</v>
      </c>
      <c r="J1228" s="3" t="s">
        <v>7551</v>
      </c>
      <c r="K1228" s="4" t="b">
        <f>J1228 = "blocking"</f>
        <v>0</v>
      </c>
      <c r="L1228" s="3" t="s">
        <v>1448</v>
      </c>
      <c r="M1228" s="3" t="s">
        <v>7560</v>
      </c>
      <c r="N1228" s="5">
        <v>46223.1297337963</v>
      </c>
      <c r="O1228" s="4" t="b">
        <f>L1228 = "PASS"</f>
        <v>1</v>
      </c>
      <c r="P1228" s="4" t="b">
        <f>L1228 = "FAIL"</f>
        <v>0</v>
      </c>
      <c r="Q1228" s="4" t="b">
        <f>AND(((P1228)=TRUE), ((K1228)=TRUE))</f>
        <v>0</v>
      </c>
      <c r="R1228" s="4" t="str">
        <f>IF(((O1228)=TRUE),  I1228,  "")</f>
        <v>suite-witness</v>
      </c>
      <c r="S1228" s="4" t="str">
        <f>IF(((Q1228)=TRUE),  I1228,  "")</f>
      </c>
      <c r="T1228" s="3" t="s">
        <v>6001</v>
      </c>
    </row>
    <row r="1229">
      <c r="A1229" s="3" t="s">
        <v>7561</v>
      </c>
      <c r="B1229" s="4" t="str">
        <f>C1229 &amp; ": " &amp; D1229</f>
        <v>witness-discriminates: Roles.IsUngovernedNonHumanRole</v>
      </c>
      <c r="C1229" s="3" t="s">
        <v>7549</v>
      </c>
      <c r="D1229" s="3" t="s">
        <v>2525</v>
      </c>
      <c r="E1229" s="3" t="s">
        <v>1818</v>
      </c>
      <c r="F1229" s="3" t="s">
        <v>194</v>
      </c>
      <c r="G1229" s="3" t="s">
        <v>7550</v>
      </c>
      <c r="H1229" s="3" t="s">
        <v>2179</v>
      </c>
      <c r="I1229" s="3" t="s">
        <v>5990</v>
      </c>
      <c r="J1229" s="3" t="s">
        <v>7551</v>
      </c>
      <c r="K1229" s="4" t="b">
        <f>J1229 = "blocking"</f>
        <v>0</v>
      </c>
      <c r="L1229" s="3" t="s">
        <v>1451</v>
      </c>
      <c r="M1229" s="3" t="s">
        <v>7558</v>
      </c>
      <c r="N1229" s="5">
        <v>46223.1297337963</v>
      </c>
      <c r="O1229" s="4" t="b">
        <f>L1229 = "PASS"</f>
        <v>0</v>
      </c>
      <c r="P1229" s="4" t="b">
        <f>L1229 = "FAIL"</f>
        <v>0</v>
      </c>
      <c r="Q1229" s="4" t="b">
        <f>AND(((P1229)=TRUE), ((K1229)=TRUE))</f>
        <v>0</v>
      </c>
      <c r="R1229" s="4" t="str">
        <f>IF(((O1229)=TRUE),  I1229,  "")</f>
      </c>
      <c r="S1229" s="4" t="str">
        <f>IF(((Q1229)=TRUE),  I1229,  "")</f>
      </c>
      <c r="T1229" s="3" t="s">
        <v>6001</v>
      </c>
    </row>
    <row r="1230">
      <c r="A1230" s="3" t="s">
        <v>7562</v>
      </c>
      <c r="B1230" s="4" t="str">
        <f>C1230 &amp; ": " &amp; D1230</f>
        <v>witness-discriminates: Roles.HasLostAHolder</v>
      </c>
      <c r="C1230" s="3" t="s">
        <v>7549</v>
      </c>
      <c r="D1230" s="3" t="s">
        <v>2529</v>
      </c>
      <c r="E1230" s="3" t="s">
        <v>1818</v>
      </c>
      <c r="F1230" s="3" t="s">
        <v>196</v>
      </c>
      <c r="G1230" s="3" t="s">
        <v>7550</v>
      </c>
      <c r="H1230" s="3" t="s">
        <v>2235</v>
      </c>
      <c r="I1230" s="3" t="s">
        <v>5990</v>
      </c>
      <c r="J1230" s="3" t="s">
        <v>7551</v>
      </c>
      <c r="K1230" s="4" t="b">
        <f>J1230 = "blocking"</f>
        <v>0</v>
      </c>
      <c r="L1230" s="3" t="s">
        <v>1448</v>
      </c>
      <c r="M1230" s="3" t="s">
        <v>7563</v>
      </c>
      <c r="N1230" s="5">
        <v>46223.1297337963</v>
      </c>
      <c r="O1230" s="4" t="b">
        <f>L1230 = "PASS"</f>
        <v>1</v>
      </c>
      <c r="P1230" s="4" t="b">
        <f>L1230 = "FAIL"</f>
        <v>0</v>
      </c>
      <c r="Q1230" s="4" t="b">
        <f>AND(((P1230)=TRUE), ((K1230)=TRUE))</f>
        <v>0</v>
      </c>
      <c r="R1230" s="4" t="str">
        <f>IF(((O1230)=TRUE),  I1230,  "")</f>
        <v>suite-witness</v>
      </c>
      <c r="S1230" s="4" t="str">
        <f>IF(((Q1230)=TRUE),  I1230,  "")</f>
      </c>
      <c r="T1230" s="3" t="s">
        <v>6001</v>
      </c>
    </row>
    <row r="1231">
      <c r="A1231" s="3" t="s">
        <v>7564</v>
      </c>
      <c r="B1231" s="4" t="str">
        <f>C1231 &amp; ": " &amp; D1231</f>
        <v>witness-discriminates: Roles.IsVacatedRole</v>
      </c>
      <c r="C1231" s="3" t="s">
        <v>7549</v>
      </c>
      <c r="D1231" s="3" t="s">
        <v>2531</v>
      </c>
      <c r="E1231" s="3" t="s">
        <v>1818</v>
      </c>
      <c r="F1231" s="3" t="s">
        <v>197</v>
      </c>
      <c r="G1231" s="3" t="s">
        <v>7550</v>
      </c>
      <c r="H1231" s="3" t="s">
        <v>2235</v>
      </c>
      <c r="I1231" s="3" t="s">
        <v>5990</v>
      </c>
      <c r="J1231" s="3" t="s">
        <v>7551</v>
      </c>
      <c r="K1231" s="4" t="b">
        <f>J1231 = "blocking"</f>
        <v>0</v>
      </c>
      <c r="L1231" s="3" t="s">
        <v>1451</v>
      </c>
      <c r="M1231" s="3" t="s">
        <v>7558</v>
      </c>
      <c r="N1231" s="5">
        <v>46223.1297337963</v>
      </c>
      <c r="O1231" s="4" t="b">
        <f>L1231 = "PASS"</f>
        <v>0</v>
      </c>
      <c r="P1231" s="4" t="b">
        <f>L1231 = "FAIL"</f>
        <v>0</v>
      </c>
      <c r="Q1231" s="4" t="b">
        <f>AND(((P1231)=TRUE), ((K1231)=TRUE))</f>
        <v>0</v>
      </c>
      <c r="R1231" s="4" t="str">
        <f>IF(((O1231)=TRUE),  I1231,  "")</f>
      </c>
      <c r="S1231" s="4" t="str">
        <f>IF(((Q1231)=TRUE),  I1231,  "")</f>
      </c>
      <c r="T1231" s="3" t="s">
        <v>6001</v>
      </c>
    </row>
    <row r="1232">
      <c r="A1232" s="3" t="s">
        <v>7565</v>
      </c>
      <c r="B1232" s="4" t="str">
        <f>C1232 &amp; ": " &amp; D1232</f>
        <v>witness-discriminates: Roles.IsGovernedByLapsedAuthority</v>
      </c>
      <c r="C1232" s="3" t="s">
        <v>7549</v>
      </c>
      <c r="D1232" s="3" t="s">
        <v>2535</v>
      </c>
      <c r="E1232" s="3" t="s">
        <v>1818</v>
      </c>
      <c r="F1232" s="3" t="s">
        <v>199</v>
      </c>
      <c r="G1232" s="3" t="s">
        <v>7550</v>
      </c>
      <c r="H1232" s="3" t="s">
        <v>2343</v>
      </c>
      <c r="I1232" s="3" t="s">
        <v>5990</v>
      </c>
      <c r="J1232" s="3" t="s">
        <v>7551</v>
      </c>
      <c r="K1232" s="4" t="b">
        <f>J1232 = "blocking"</f>
        <v>0</v>
      </c>
      <c r="L1232" s="3" t="s">
        <v>1451</v>
      </c>
      <c r="M1232" s="3" t="s">
        <v>7558</v>
      </c>
      <c r="N1232" s="5">
        <v>46223.1297337963</v>
      </c>
      <c r="O1232" s="4" t="b">
        <f>L1232 = "PASS"</f>
        <v>0</v>
      </c>
      <c r="P1232" s="4" t="b">
        <f>L1232 = "FAIL"</f>
        <v>0</v>
      </c>
      <c r="Q1232" s="4" t="b">
        <f>AND(((P1232)=TRUE), ((K1232)=TRUE))</f>
        <v>0</v>
      </c>
      <c r="R1232" s="4" t="str">
        <f>IF(((O1232)=TRUE),  I1232,  "")</f>
      </c>
      <c r="S1232" s="4" t="str">
        <f>IF(((Q1232)=TRUE),  I1232,  "")</f>
      </c>
      <c r="T1232" s="3" t="s">
        <v>6001</v>
      </c>
    </row>
    <row r="1233">
      <c r="A1233" s="3" t="s">
        <v>7566</v>
      </c>
      <c r="B1233" s="4" t="str">
        <f>C1233 &amp; ": " &amp; D1233</f>
        <v>witness-discriminates: Roles.IsUngovernedEnforcementRole</v>
      </c>
      <c r="C1233" s="3" t="s">
        <v>7549</v>
      </c>
      <c r="D1233" s="3" t="s">
        <v>2541</v>
      </c>
      <c r="E1233" s="3" t="s">
        <v>1818</v>
      </c>
      <c r="F1233" s="3" t="s">
        <v>202</v>
      </c>
      <c r="G1233" s="3" t="s">
        <v>7550</v>
      </c>
      <c r="H1233" s="3" t="s">
        <v>2367</v>
      </c>
      <c r="I1233" s="3" t="s">
        <v>5990</v>
      </c>
      <c r="J1233" s="3" t="s">
        <v>7551</v>
      </c>
      <c r="K1233" s="4" t="b">
        <f>J1233 = "blocking"</f>
        <v>0</v>
      </c>
      <c r="L1233" s="3" t="s">
        <v>1448</v>
      </c>
      <c r="M1233" s="3" t="s">
        <v>7567</v>
      </c>
      <c r="N1233" s="5">
        <v>46223.1297337963</v>
      </c>
      <c r="O1233" s="4" t="b">
        <f>L1233 = "PASS"</f>
        <v>1</v>
      </c>
      <c r="P1233" s="4" t="b">
        <f>L1233 = "FAIL"</f>
        <v>0</v>
      </c>
      <c r="Q1233" s="4" t="b">
        <f>AND(((P1233)=TRUE), ((K1233)=TRUE))</f>
        <v>0</v>
      </c>
      <c r="R1233" s="4" t="str">
        <f>IF(((O1233)=TRUE),  I1233,  "")</f>
        <v>suite-witness</v>
      </c>
      <c r="S1233" s="4" t="str">
        <f>IF(((Q1233)=TRUE),  I1233,  "")</f>
      </c>
      <c r="T1233" s="3" t="s">
        <v>6001</v>
      </c>
    </row>
    <row r="1234">
      <c r="A1234" s="3" t="s">
        <v>7568</v>
      </c>
      <c r="B1234" s="4" t="str">
        <f>C1234 &amp; ": " &amp; D1234</f>
        <v>witness-discriminates: RoleAssignments.IsCurrent</v>
      </c>
      <c r="C1234" s="3" t="s">
        <v>7549</v>
      </c>
      <c r="D1234" s="3" t="s">
        <v>2556</v>
      </c>
      <c r="E1234" s="3" t="s">
        <v>1821</v>
      </c>
      <c r="F1234" s="3" t="s">
        <v>10</v>
      </c>
      <c r="G1234" s="3" t="s">
        <v>7550</v>
      </c>
      <c r="H1234" s="3"/>
      <c r="I1234" s="3" t="s">
        <v>5990</v>
      </c>
      <c r="J1234" s="3" t="s">
        <v>7551</v>
      </c>
      <c r="K1234" s="4" t="b">
        <f>J1234 = "blocking"</f>
        <v>0</v>
      </c>
      <c r="L1234" s="3" t="s">
        <v>1448</v>
      </c>
      <c r="M1234" s="3" t="s">
        <v>7569</v>
      </c>
      <c r="N1234" s="5">
        <v>46223.1297337963</v>
      </c>
      <c r="O1234" s="4" t="b">
        <f>L1234 = "PASS"</f>
        <v>1</v>
      </c>
      <c r="P1234" s="4" t="b">
        <f>L1234 = "FAIL"</f>
        <v>0</v>
      </c>
      <c r="Q1234" s="4" t="b">
        <f>AND(((P1234)=TRUE), ((K1234)=TRUE))</f>
        <v>0</v>
      </c>
      <c r="R1234" s="4" t="str">
        <f>IF(((O1234)=TRUE),  I1234,  "")</f>
        <v>suite-witness</v>
      </c>
      <c r="S1234" s="4" t="str">
        <f>IF(((Q1234)=TRUE),  I1234,  "")</f>
      </c>
      <c r="T1234" s="3" t="s">
        <v>6001</v>
      </c>
    </row>
    <row r="1235">
      <c r="A1235" s="3" t="s">
        <v>7570</v>
      </c>
      <c r="B1235" s="4" t="str">
        <f>C1235 &amp; ": " &amp; D1235</f>
        <v>witness-discriminates: RoleAssignments.IsCurrentlyValid</v>
      </c>
      <c r="C1235" s="3" t="s">
        <v>7549</v>
      </c>
      <c r="D1235" s="3" t="s">
        <v>2560</v>
      </c>
      <c r="E1235" s="3" t="s">
        <v>1821</v>
      </c>
      <c r="F1235" s="3" t="s">
        <v>260</v>
      </c>
      <c r="G1235" s="3" t="s">
        <v>7550</v>
      </c>
      <c r="H1235" s="3" t="s">
        <v>1983</v>
      </c>
      <c r="I1235" s="3" t="s">
        <v>5990</v>
      </c>
      <c r="J1235" s="3" t="s">
        <v>7551</v>
      </c>
      <c r="K1235" s="4" t="b">
        <f>J1235 = "blocking"</f>
        <v>0</v>
      </c>
      <c r="L1235" s="3" t="s">
        <v>1448</v>
      </c>
      <c r="M1235" s="3" t="s">
        <v>7569</v>
      </c>
      <c r="N1235" s="5">
        <v>46223.1297337963</v>
      </c>
      <c r="O1235" s="4" t="b">
        <f>L1235 = "PASS"</f>
        <v>1</v>
      </c>
      <c r="P1235" s="4" t="b">
        <f>L1235 = "FAIL"</f>
        <v>0</v>
      </c>
      <c r="Q1235" s="4" t="b">
        <f>AND(((P1235)=TRUE), ((K1235)=TRUE))</f>
        <v>0</v>
      </c>
      <c r="R1235" s="4" t="str">
        <f>IF(((O1235)=TRUE),  I1235,  "")</f>
        <v>suite-witness</v>
      </c>
      <c r="S1235" s="4" t="str">
        <f>IF(((Q1235)=TRUE),  I1235,  "")</f>
      </c>
      <c r="T1235" s="3" t="s">
        <v>6001</v>
      </c>
    </row>
    <row r="1236">
      <c r="A1236" s="3" t="s">
        <v>7571</v>
      </c>
      <c r="B1236" s="4" t="str">
        <f>C1236 &amp; ": " &amp; D1236</f>
        <v>witness-discriminates: RoleAssignments.HasDeparted</v>
      </c>
      <c r="C1236" s="3" t="s">
        <v>7549</v>
      </c>
      <c r="D1236" s="3" t="s">
        <v>2564</v>
      </c>
      <c r="E1236" s="3" t="s">
        <v>1821</v>
      </c>
      <c r="F1236" s="3" t="s">
        <v>262</v>
      </c>
      <c r="G1236" s="3" t="s">
        <v>7550</v>
      </c>
      <c r="H1236" s="3" t="s">
        <v>2039</v>
      </c>
      <c r="I1236" s="3" t="s">
        <v>5990</v>
      </c>
      <c r="J1236" s="3" t="s">
        <v>7551</v>
      </c>
      <c r="K1236" s="4" t="b">
        <f>J1236 = "blocking"</f>
        <v>0</v>
      </c>
      <c r="L1236" s="3" t="s">
        <v>1448</v>
      </c>
      <c r="M1236" s="3" t="s">
        <v>7572</v>
      </c>
      <c r="N1236" s="5">
        <v>46223.1297337963</v>
      </c>
      <c r="O1236" s="4" t="b">
        <f>L1236 = "PASS"</f>
        <v>1</v>
      </c>
      <c r="P1236" s="4" t="b">
        <f>L1236 = "FAIL"</f>
        <v>0</v>
      </c>
      <c r="Q1236" s="4" t="b">
        <f>AND(((P1236)=TRUE), ((K1236)=TRUE))</f>
        <v>0</v>
      </c>
      <c r="R1236" s="4" t="str">
        <f>IF(((O1236)=TRUE),  I1236,  "")</f>
        <v>suite-witness</v>
      </c>
      <c r="S1236" s="4" t="str">
        <f>IF(((Q1236)=TRUE),  I1236,  "")</f>
      </c>
      <c r="T1236" s="3" t="s">
        <v>6001</v>
      </c>
    </row>
    <row r="1237">
      <c r="A1237" s="3" t="s">
        <v>7573</v>
      </c>
      <c r="B1237" s="4" t="str">
        <f>C1237 &amp; ": " &amp; D1237</f>
        <v>witness-discriminates: RoleAssignments.CoversNow</v>
      </c>
      <c r="C1237" s="3" t="s">
        <v>7549</v>
      </c>
      <c r="D1237" s="3" t="s">
        <v>2566</v>
      </c>
      <c r="E1237" s="3" t="s">
        <v>1821</v>
      </c>
      <c r="F1237" s="3" t="s">
        <v>263</v>
      </c>
      <c r="G1237" s="3" t="s">
        <v>7550</v>
      </c>
      <c r="H1237" s="3" t="s">
        <v>2119</v>
      </c>
      <c r="I1237" s="3" t="s">
        <v>5990</v>
      </c>
      <c r="J1237" s="3" t="s">
        <v>7551</v>
      </c>
      <c r="K1237" s="4" t="b">
        <f>J1237 = "blocking"</f>
        <v>0</v>
      </c>
      <c r="L1237" s="3" t="s">
        <v>1448</v>
      </c>
      <c r="M1237" s="3" t="s">
        <v>7569</v>
      </c>
      <c r="N1237" s="5">
        <v>46223.1297337963</v>
      </c>
      <c r="O1237" s="4" t="b">
        <f>L1237 = "PASS"</f>
        <v>1</v>
      </c>
      <c r="P1237" s="4" t="b">
        <f>L1237 = "FAIL"</f>
        <v>0</v>
      </c>
      <c r="Q1237" s="4" t="b">
        <f>AND(((P1237)=TRUE), ((K1237)=TRUE))</f>
        <v>0</v>
      </c>
      <c r="R1237" s="4" t="str">
        <f>IF(((O1237)=TRUE),  I1237,  "")</f>
        <v>suite-witness</v>
      </c>
      <c r="S1237" s="4" t="str">
        <f>IF(((Q1237)=TRUE),  I1237,  "")</f>
      </c>
      <c r="T1237" s="3" t="s">
        <v>6001</v>
      </c>
    </row>
    <row r="1238">
      <c r="A1238" s="3" t="s">
        <v>7574</v>
      </c>
      <c r="B1238" s="4" t="str">
        <f>C1238 &amp; ": " &amp; D1238</f>
        <v>witness-discriminates: RoleAssignments.IsNonHumanAssignment</v>
      </c>
      <c r="C1238" s="3" t="s">
        <v>7549</v>
      </c>
      <c r="D1238" s="3" t="s">
        <v>2572</v>
      </c>
      <c r="E1238" s="3" t="s">
        <v>1821</v>
      </c>
      <c r="F1238" s="3" t="s">
        <v>265</v>
      </c>
      <c r="G1238" s="3" t="s">
        <v>7550</v>
      </c>
      <c r="H1238" s="3" t="s">
        <v>2159</v>
      </c>
      <c r="I1238" s="3" t="s">
        <v>5990</v>
      </c>
      <c r="J1238" s="3" t="s">
        <v>7551</v>
      </c>
      <c r="K1238" s="4" t="b">
        <f>J1238 = "blocking"</f>
        <v>0</v>
      </c>
      <c r="L1238" s="3" t="s">
        <v>1448</v>
      </c>
      <c r="M1238" s="3" t="s">
        <v>7575</v>
      </c>
      <c r="N1238" s="5">
        <v>46223.1297337963</v>
      </c>
      <c r="O1238" s="4" t="b">
        <f>L1238 = "PASS"</f>
        <v>1</v>
      </c>
      <c r="P1238" s="4" t="b">
        <f>L1238 = "FAIL"</f>
        <v>0</v>
      </c>
      <c r="Q1238" s="4" t="b">
        <f>AND(((P1238)=TRUE), ((K1238)=TRUE))</f>
        <v>0</v>
      </c>
      <c r="R1238" s="4" t="str">
        <f>IF(((O1238)=TRUE),  I1238,  "")</f>
        <v>suite-witness</v>
      </c>
      <c r="S1238" s="4" t="str">
        <f>IF(((Q1238)=TRUE),  I1238,  "")</f>
      </c>
      <c r="T1238" s="3" t="s">
        <v>6001</v>
      </c>
    </row>
    <row r="1239">
      <c r="A1239" s="3" t="s">
        <v>7576</v>
      </c>
      <c r="B1239" s="4" t="str">
        <f>C1239 &amp; ": " &amp; D1239</f>
        <v>witness-discriminates: RoleAssignments.IsHumanToNonHumanHandover</v>
      </c>
      <c r="C1239" s="3" t="s">
        <v>7549</v>
      </c>
      <c r="D1239" s="3" t="s">
        <v>2576</v>
      </c>
      <c r="E1239" s="3" t="s">
        <v>1821</v>
      </c>
      <c r="F1239" s="3" t="s">
        <v>268</v>
      </c>
      <c r="G1239" s="3" t="s">
        <v>7550</v>
      </c>
      <c r="H1239" s="3" t="s">
        <v>2159</v>
      </c>
      <c r="I1239" s="3" t="s">
        <v>5990</v>
      </c>
      <c r="J1239" s="3" t="s">
        <v>7551</v>
      </c>
      <c r="K1239" s="4" t="b">
        <f>J1239 = "blocking"</f>
        <v>0</v>
      </c>
      <c r="L1239" s="3" t="s">
        <v>1448</v>
      </c>
      <c r="M1239" s="3" t="s">
        <v>7577</v>
      </c>
      <c r="N1239" s="5">
        <v>46223.1297337963</v>
      </c>
      <c r="O1239" s="4" t="b">
        <f>L1239 = "PASS"</f>
        <v>1</v>
      </c>
      <c r="P1239" s="4" t="b">
        <f>L1239 = "FAIL"</f>
        <v>0</v>
      </c>
      <c r="Q1239" s="4" t="b">
        <f>AND(((P1239)=TRUE), ((K1239)=TRUE))</f>
        <v>0</v>
      </c>
      <c r="R1239" s="4" t="str">
        <f>IF(((O1239)=TRUE),  I1239,  "")</f>
        <v>suite-witness</v>
      </c>
      <c r="S1239" s="4" t="str">
        <f>IF(((Q1239)=TRUE),  I1239,  "")</f>
      </c>
      <c r="T1239" s="3" t="s">
        <v>6001</v>
      </c>
    </row>
    <row r="1240">
      <c r="A1240" s="3" t="s">
        <v>7578</v>
      </c>
      <c r="B1240" s="4" t="str">
        <f>C1240 &amp; ": " &amp; D1240</f>
        <v>witness-discriminates: RoleAssignments.IsUnauthorizedNonHumanAssignment</v>
      </c>
      <c r="C1240" s="3" t="s">
        <v>7549</v>
      </c>
      <c r="D1240" s="3" t="s">
        <v>2580</v>
      </c>
      <c r="E1240" s="3" t="s">
        <v>1821</v>
      </c>
      <c r="F1240" s="3" t="s">
        <v>271</v>
      </c>
      <c r="G1240" s="3" t="s">
        <v>7550</v>
      </c>
      <c r="H1240" s="3" t="s">
        <v>2159</v>
      </c>
      <c r="I1240" s="3" t="s">
        <v>5990</v>
      </c>
      <c r="J1240" s="3" t="s">
        <v>7551</v>
      </c>
      <c r="K1240" s="4" t="b">
        <f>J1240 = "blocking"</f>
        <v>0</v>
      </c>
      <c r="L1240" s="3" t="s">
        <v>1448</v>
      </c>
      <c r="M1240" s="3" t="s">
        <v>7579</v>
      </c>
      <c r="N1240" s="5">
        <v>46223.1297337963</v>
      </c>
      <c r="O1240" s="4" t="b">
        <f>L1240 = "PASS"</f>
        <v>1</v>
      </c>
      <c r="P1240" s="4" t="b">
        <f>L1240 = "FAIL"</f>
        <v>0</v>
      </c>
      <c r="Q1240" s="4" t="b">
        <f>AND(((P1240)=TRUE), ((K1240)=TRUE))</f>
        <v>0</v>
      </c>
      <c r="R1240" s="4" t="str">
        <f>IF(((O1240)=TRUE),  I1240,  "")</f>
        <v>suite-witness</v>
      </c>
      <c r="S1240" s="4" t="str">
        <f>IF(((Q1240)=TRUE),  I1240,  "")</f>
      </c>
      <c r="T1240" s="3" t="s">
        <v>6001</v>
      </c>
    </row>
    <row r="1241">
      <c r="A1241" s="3" t="s">
        <v>7580</v>
      </c>
      <c r="B1241" s="4" t="str">
        <f>C1241 &amp; ": " &amp; D1241</f>
        <v>witness-discriminates: RoleAssignments.WasAuthorizedByChangeRequest</v>
      </c>
      <c r="C1241" s="3" t="s">
        <v>7549</v>
      </c>
      <c r="D1241" s="3" t="s">
        <v>2582</v>
      </c>
      <c r="E1241" s="3" t="s">
        <v>1821</v>
      </c>
      <c r="F1241" s="3" t="s">
        <v>272</v>
      </c>
      <c r="G1241" s="3" t="s">
        <v>7550</v>
      </c>
      <c r="H1241" s="3"/>
      <c r="I1241" s="3" t="s">
        <v>5990</v>
      </c>
      <c r="J1241" s="3" t="s">
        <v>7551</v>
      </c>
      <c r="K1241" s="4" t="b">
        <f>J1241 = "blocking"</f>
        <v>0</v>
      </c>
      <c r="L1241" s="3" t="s">
        <v>1451</v>
      </c>
      <c r="M1241" s="3" t="s">
        <v>7581</v>
      </c>
      <c r="N1241" s="5">
        <v>46223.1297337963</v>
      </c>
      <c r="O1241" s="4" t="b">
        <f>L1241 = "PASS"</f>
        <v>0</v>
      </c>
      <c r="P1241" s="4" t="b">
        <f>L1241 = "FAIL"</f>
        <v>0</v>
      </c>
      <c r="Q1241" s="4" t="b">
        <f>AND(((P1241)=TRUE), ((K1241)=TRUE))</f>
        <v>0</v>
      </c>
      <c r="R1241" s="4" t="str">
        <f>IF(((O1241)=TRUE),  I1241,  "")</f>
      </c>
      <c r="S1241" s="4" t="str">
        <f>IF(((Q1241)=TRUE),  I1241,  "")</f>
      </c>
      <c r="T1241" s="3" t="s">
        <v>6001</v>
      </c>
    </row>
    <row r="1242">
      <c r="A1242" s="3" t="s">
        <v>7582</v>
      </c>
      <c r="B1242" s="4" t="str">
        <f>C1242 &amp; ": " &amp; D1242</f>
        <v>witness-discriminates: RoleAssignments.QualityRegressedVsPredecessor</v>
      </c>
      <c r="C1242" s="3" t="s">
        <v>7549</v>
      </c>
      <c r="D1242" s="3" t="s">
        <v>2591</v>
      </c>
      <c r="E1242" s="3" t="s">
        <v>1821</v>
      </c>
      <c r="F1242" s="3" t="s">
        <v>274</v>
      </c>
      <c r="G1242" s="3" t="s">
        <v>7550</v>
      </c>
      <c r="H1242" s="3" t="s">
        <v>2163</v>
      </c>
      <c r="I1242" s="3" t="s">
        <v>5990</v>
      </c>
      <c r="J1242" s="3" t="s">
        <v>7551</v>
      </c>
      <c r="K1242" s="4" t="b">
        <f>J1242 = "blocking"</f>
        <v>0</v>
      </c>
      <c r="L1242" s="3" t="s">
        <v>1451</v>
      </c>
      <c r="M1242" s="3" t="s">
        <v>7581</v>
      </c>
      <c r="N1242" s="5">
        <v>46223.1297337963</v>
      </c>
      <c r="O1242" s="4" t="b">
        <f>L1242 = "PASS"</f>
        <v>0</v>
      </c>
      <c r="P1242" s="4" t="b">
        <f>L1242 = "FAIL"</f>
        <v>0</v>
      </c>
      <c r="Q1242" s="4" t="b">
        <f>AND(((P1242)=TRUE), ((K1242)=TRUE))</f>
        <v>0</v>
      </c>
      <c r="R1242" s="4" t="str">
        <f>IF(((O1242)=TRUE),  I1242,  "")</f>
      </c>
      <c r="S1242" s="4" t="str">
        <f>IF(((Q1242)=TRUE),  I1242,  "")</f>
      </c>
      <c r="T1242" s="3" t="s">
        <v>6001</v>
      </c>
    </row>
    <row r="1243">
      <c r="A1243" s="3" t="s">
        <v>7583</v>
      </c>
      <c r="B1243" s="4" t="str">
        <f>C1243 &amp; ": " &amp; D1243</f>
        <v>witness-discriminates: RoleAssignments.HasSufficientSample</v>
      </c>
      <c r="C1243" s="3" t="s">
        <v>7549</v>
      </c>
      <c r="D1243" s="3" t="s">
        <v>2598</v>
      </c>
      <c r="E1243" s="3" t="s">
        <v>1821</v>
      </c>
      <c r="F1243" s="3" t="s">
        <v>278</v>
      </c>
      <c r="G1243" s="3" t="s">
        <v>7550</v>
      </c>
      <c r="H1243" s="3" t="s">
        <v>2339</v>
      </c>
      <c r="I1243" s="3" t="s">
        <v>5990</v>
      </c>
      <c r="J1243" s="3" t="s">
        <v>7551</v>
      </c>
      <c r="K1243" s="4" t="b">
        <f>J1243 = "blocking"</f>
        <v>0</v>
      </c>
      <c r="L1243" s="3" t="s">
        <v>1451</v>
      </c>
      <c r="M1243" s="3" t="s">
        <v>7584</v>
      </c>
      <c r="N1243" s="5">
        <v>46223.1297337963</v>
      </c>
      <c r="O1243" s="4" t="b">
        <f>L1243 = "PASS"</f>
        <v>0</v>
      </c>
      <c r="P1243" s="4" t="b">
        <f>L1243 = "FAIL"</f>
        <v>0</v>
      </c>
      <c r="Q1243" s="4" t="b">
        <f>AND(((P1243)=TRUE), ((K1243)=TRUE))</f>
        <v>0</v>
      </c>
      <c r="R1243" s="4" t="str">
        <f>IF(((O1243)=TRUE),  I1243,  "")</f>
      </c>
      <c r="S1243" s="4" t="str">
        <f>IF(((Q1243)=TRUE),  I1243,  "")</f>
      </c>
      <c r="T1243" s="3" t="s">
        <v>6001</v>
      </c>
    </row>
    <row r="1244">
      <c r="A1244" s="3" t="s">
        <v>7585</v>
      </c>
      <c r="B1244" s="4" t="str">
        <f>C1244 &amp; ": " &amp; D1244</f>
        <v>witness-discriminates: RoleAssignments.PredecessorHasSufficientSample</v>
      </c>
      <c r="C1244" s="3" t="s">
        <v>7549</v>
      </c>
      <c r="D1244" s="3" t="s">
        <v>2600</v>
      </c>
      <c r="E1244" s="3" t="s">
        <v>1821</v>
      </c>
      <c r="F1244" s="3" t="s">
        <v>279</v>
      </c>
      <c r="G1244" s="3" t="s">
        <v>7550</v>
      </c>
      <c r="H1244" s="3" t="s">
        <v>2339</v>
      </c>
      <c r="I1244" s="3" t="s">
        <v>5990</v>
      </c>
      <c r="J1244" s="3" t="s">
        <v>7551</v>
      </c>
      <c r="K1244" s="4" t="b">
        <f>J1244 = "blocking"</f>
        <v>0</v>
      </c>
      <c r="L1244" s="3" t="s">
        <v>1451</v>
      </c>
      <c r="M1244" s="3" t="s">
        <v>7584</v>
      </c>
      <c r="N1244" s="5">
        <v>46223.1297337963</v>
      </c>
      <c r="O1244" s="4" t="b">
        <f>L1244 = "PASS"</f>
        <v>0</v>
      </c>
      <c r="P1244" s="4" t="b">
        <f>L1244 = "FAIL"</f>
        <v>0</v>
      </c>
      <c r="Q1244" s="4" t="b">
        <f>AND(((P1244)=TRUE), ((K1244)=TRUE))</f>
        <v>0</v>
      </c>
      <c r="R1244" s="4" t="str">
        <f>IF(((O1244)=TRUE),  I1244,  "")</f>
      </c>
      <c r="S1244" s="4" t="str">
        <f>IF(((Q1244)=TRUE),  I1244,  "")</f>
      </c>
      <c r="T1244" s="3" t="s">
        <v>6001</v>
      </c>
    </row>
    <row r="1245">
      <c r="A1245" s="3" t="s">
        <v>7586</v>
      </c>
      <c r="B1245" s="4" t="str">
        <f>C1245 &amp; ": " &amp; D1245</f>
        <v>witness-discriminates: RoleAssignments.ComparisonIsEvidentiallySound</v>
      </c>
      <c r="C1245" s="3" t="s">
        <v>7549</v>
      </c>
      <c r="D1245" s="3" t="s">
        <v>2602</v>
      </c>
      <c r="E1245" s="3" t="s">
        <v>1821</v>
      </c>
      <c r="F1245" s="3" t="s">
        <v>280</v>
      </c>
      <c r="G1245" s="3" t="s">
        <v>7550</v>
      </c>
      <c r="H1245" s="3" t="s">
        <v>2339</v>
      </c>
      <c r="I1245" s="3" t="s">
        <v>5990</v>
      </c>
      <c r="J1245" s="3" t="s">
        <v>7551</v>
      </c>
      <c r="K1245" s="4" t="b">
        <f>J1245 = "blocking"</f>
        <v>0</v>
      </c>
      <c r="L1245" s="3" t="s">
        <v>1451</v>
      </c>
      <c r="M1245" s="3" t="s">
        <v>7584</v>
      </c>
      <c r="N1245" s="5">
        <v>46223.1297337963</v>
      </c>
      <c r="O1245" s="4" t="b">
        <f>L1245 = "PASS"</f>
        <v>0</v>
      </c>
      <c r="P1245" s="4" t="b">
        <f>L1245 = "FAIL"</f>
        <v>0</v>
      </c>
      <c r="Q1245" s="4" t="b">
        <f>AND(((P1245)=TRUE), ((K1245)=TRUE))</f>
        <v>0</v>
      </c>
      <c r="R1245" s="4" t="str">
        <f>IF(((O1245)=TRUE),  I1245,  "")</f>
      </c>
      <c r="S1245" s="4" t="str">
        <f>IF(((Q1245)=TRUE),  I1245,  "")</f>
      </c>
      <c r="T1245" s="3" t="s">
        <v>6001</v>
      </c>
    </row>
    <row r="1246">
      <c r="A1246" s="3" t="s">
        <v>7587</v>
      </c>
      <c r="B1246" s="4" t="str">
        <f>C1246 &amp; ": " &amp; D1246</f>
        <v>witness-discriminates: RoleAssignments.QualityVerdictIsUnsupported</v>
      </c>
      <c r="C1246" s="3" t="s">
        <v>7549</v>
      </c>
      <c r="D1246" s="3" t="s">
        <v>2606</v>
      </c>
      <c r="E1246" s="3" t="s">
        <v>1821</v>
      </c>
      <c r="F1246" s="3" t="s">
        <v>282</v>
      </c>
      <c r="G1246" s="3" t="s">
        <v>7550</v>
      </c>
      <c r="H1246" s="3" t="s">
        <v>2339</v>
      </c>
      <c r="I1246" s="3" t="s">
        <v>5990</v>
      </c>
      <c r="J1246" s="3" t="s">
        <v>7551</v>
      </c>
      <c r="K1246" s="4" t="b">
        <f>J1246 = "blocking"</f>
        <v>0</v>
      </c>
      <c r="L1246" s="3" t="s">
        <v>1451</v>
      </c>
      <c r="M1246" s="3" t="s">
        <v>7584</v>
      </c>
      <c r="N1246" s="5">
        <v>46223.1297337963</v>
      </c>
      <c r="O1246" s="4" t="b">
        <f>L1246 = "PASS"</f>
        <v>0</v>
      </c>
      <c r="P1246" s="4" t="b">
        <f>L1246 = "FAIL"</f>
        <v>0</v>
      </c>
      <c r="Q1246" s="4" t="b">
        <f>AND(((P1246)=TRUE), ((K1246)=TRUE))</f>
        <v>0</v>
      </c>
      <c r="R1246" s="4" t="str">
        <f>IF(((O1246)=TRUE),  I1246,  "")</f>
      </c>
      <c r="S1246" s="4" t="str">
        <f>IF(((Q1246)=TRUE),  I1246,  "")</f>
      </c>
      <c r="T1246" s="3" t="s">
        <v>6001</v>
      </c>
    </row>
    <row r="1247">
      <c r="A1247" s="3" t="s">
        <v>7588</v>
      </c>
      <c r="B1247" s="4" t="str">
        <f>C1247 &amp; ": " &amp; D1247</f>
        <v>witness-discriminates: RoleAssignments.IsUnmeasuredAutomationHandover</v>
      </c>
      <c r="C1247" s="3" t="s">
        <v>7549</v>
      </c>
      <c r="D1247" s="3" t="s">
        <v>2608</v>
      </c>
      <c r="E1247" s="3" t="s">
        <v>1821</v>
      </c>
      <c r="F1247" s="3" t="s">
        <v>283</v>
      </c>
      <c r="G1247" s="3" t="s">
        <v>7550</v>
      </c>
      <c r="H1247" s="3" t="s">
        <v>2339</v>
      </c>
      <c r="I1247" s="3" t="s">
        <v>5990</v>
      </c>
      <c r="J1247" s="3" t="s">
        <v>7551</v>
      </c>
      <c r="K1247" s="4" t="b">
        <f>J1247 = "blocking"</f>
        <v>0</v>
      </c>
      <c r="L1247" s="3" t="s">
        <v>1451</v>
      </c>
      <c r="M1247" s="3" t="s">
        <v>7589</v>
      </c>
      <c r="N1247" s="5">
        <v>46223.1297337963</v>
      </c>
      <c r="O1247" s="4" t="b">
        <f>L1247 = "PASS"</f>
        <v>0</v>
      </c>
      <c r="P1247" s="4" t="b">
        <f>L1247 = "FAIL"</f>
        <v>0</v>
      </c>
      <c r="Q1247" s="4" t="b">
        <f>AND(((P1247)=TRUE), ((K1247)=TRUE))</f>
        <v>0</v>
      </c>
      <c r="R1247" s="4" t="str">
        <f>IF(((O1247)=TRUE),  I1247,  "")</f>
      </c>
      <c r="S1247" s="4" t="str">
        <f>IF(((Q1247)=TRUE),  I1247,  "")</f>
      </c>
      <c r="T1247" s="3" t="s">
        <v>6001</v>
      </c>
    </row>
    <row r="1248">
      <c r="A1248" s="3" t="s">
        <v>7590</v>
      </c>
      <c r="B1248" s="4" t="str">
        <f>C1248 &amp; ": " &amp; D1248</f>
        <v>witness-discriminates: RoleAssignments.HasDatedAuthorization</v>
      </c>
      <c r="C1248" s="3" t="s">
        <v>7549</v>
      </c>
      <c r="D1248" s="3" t="s">
        <v>2617</v>
      </c>
      <c r="E1248" s="3" t="s">
        <v>1821</v>
      </c>
      <c r="F1248" s="3" t="s">
        <v>289</v>
      </c>
      <c r="G1248" s="3" t="s">
        <v>7550</v>
      </c>
      <c r="H1248" s="3" t="s">
        <v>2351</v>
      </c>
      <c r="I1248" s="3" t="s">
        <v>5990</v>
      </c>
      <c r="J1248" s="3" t="s">
        <v>7551</v>
      </c>
      <c r="K1248" s="4" t="b">
        <f>J1248 = "blocking"</f>
        <v>0</v>
      </c>
      <c r="L1248" s="3" t="s">
        <v>1451</v>
      </c>
      <c r="M1248" s="3" t="s">
        <v>7581</v>
      </c>
      <c r="N1248" s="5">
        <v>46223.1297337963</v>
      </c>
      <c r="O1248" s="4" t="b">
        <f>L1248 = "PASS"</f>
        <v>0</v>
      </c>
      <c r="P1248" s="4" t="b">
        <f>L1248 = "FAIL"</f>
        <v>0</v>
      </c>
      <c r="Q1248" s="4" t="b">
        <f>AND(((P1248)=TRUE), ((K1248)=TRUE))</f>
        <v>0</v>
      </c>
      <c r="R1248" s="4" t="str">
        <f>IF(((O1248)=TRUE),  I1248,  "")</f>
      </c>
      <c r="S1248" s="4" t="str">
        <f>IF(((Q1248)=TRUE),  I1248,  "")</f>
      </c>
      <c r="T1248" s="3" t="s">
        <v>6001</v>
      </c>
    </row>
    <row r="1249">
      <c r="A1249" s="3" t="s">
        <v>7591</v>
      </c>
      <c r="B1249" s="4" t="str">
        <f>C1249 &amp; ": " &amp; D1249</f>
        <v>witness-discriminates: RoleAssignments.AuthorizationIsOverdueForReview</v>
      </c>
      <c r="C1249" s="3" t="s">
        <v>7549</v>
      </c>
      <c r="D1249" s="3" t="s">
        <v>2621</v>
      </c>
      <c r="E1249" s="3" t="s">
        <v>1821</v>
      </c>
      <c r="F1249" s="3" t="s">
        <v>291</v>
      </c>
      <c r="G1249" s="3" t="s">
        <v>7550</v>
      </c>
      <c r="H1249" s="3" t="s">
        <v>2351</v>
      </c>
      <c r="I1249" s="3" t="s">
        <v>5990</v>
      </c>
      <c r="J1249" s="3" t="s">
        <v>7551</v>
      </c>
      <c r="K1249" s="4" t="b">
        <f>J1249 = "blocking"</f>
        <v>0</v>
      </c>
      <c r="L1249" s="3" t="s">
        <v>1451</v>
      </c>
      <c r="M1249" s="3" t="s">
        <v>7584</v>
      </c>
      <c r="N1249" s="5">
        <v>46223.1297337963</v>
      </c>
      <c r="O1249" s="4" t="b">
        <f>L1249 = "PASS"</f>
        <v>0</v>
      </c>
      <c r="P1249" s="4" t="b">
        <f>L1249 = "FAIL"</f>
        <v>0</v>
      </c>
      <c r="Q1249" s="4" t="b">
        <f>AND(((P1249)=TRUE), ((K1249)=TRUE))</f>
        <v>0</v>
      </c>
      <c r="R1249" s="4" t="str">
        <f>IF(((O1249)=TRUE),  I1249,  "")</f>
      </c>
      <c r="S1249" s="4" t="str">
        <f>IF(((Q1249)=TRUE),  I1249,  "")</f>
      </c>
      <c r="T1249" s="3" t="s">
        <v>6001</v>
      </c>
    </row>
    <row r="1250">
      <c r="A1250" s="3" t="s">
        <v>7592</v>
      </c>
      <c r="B1250" s="4" t="str">
        <f>C1250 &amp; ": " &amp; D1250</f>
        <v>witness-discriminates: RoleAssignments.IsStandingUnreviewedAutomation</v>
      </c>
      <c r="C1250" s="3" t="s">
        <v>7549</v>
      </c>
      <c r="D1250" s="3" t="s">
        <v>2623</v>
      </c>
      <c r="E1250" s="3" t="s">
        <v>1821</v>
      </c>
      <c r="F1250" s="3" t="s">
        <v>292</v>
      </c>
      <c r="G1250" s="3" t="s">
        <v>7550</v>
      </c>
      <c r="H1250" s="3" t="s">
        <v>2351</v>
      </c>
      <c r="I1250" s="3" t="s">
        <v>5990</v>
      </c>
      <c r="J1250" s="3" t="s">
        <v>7551</v>
      </c>
      <c r="K1250" s="4" t="b">
        <f>J1250 = "blocking"</f>
        <v>0</v>
      </c>
      <c r="L1250" s="3" t="s">
        <v>1451</v>
      </c>
      <c r="M1250" s="3" t="s">
        <v>7589</v>
      </c>
      <c r="N1250" s="5">
        <v>46223.1297337963</v>
      </c>
      <c r="O1250" s="4" t="b">
        <f>L1250 = "PASS"</f>
        <v>0</v>
      </c>
      <c r="P1250" s="4" t="b">
        <f>L1250 = "FAIL"</f>
        <v>0</v>
      </c>
      <c r="Q1250" s="4" t="b">
        <f>AND(((P1250)=TRUE), ((K1250)=TRUE))</f>
        <v>0</v>
      </c>
      <c r="R1250" s="4" t="str">
        <f>IF(((O1250)=TRUE),  I1250,  "")</f>
      </c>
      <c r="S1250" s="4" t="str">
        <f>IF(((Q1250)=TRUE),  I1250,  "")</f>
      </c>
      <c r="T1250" s="3" t="s">
        <v>6001</v>
      </c>
    </row>
    <row r="1251">
      <c r="A1251" s="3" t="s">
        <v>7593</v>
      </c>
      <c r="B1251" s="4" t="str">
        <f>C1251 &amp; ": " &amp; D1251</f>
        <v>witness-discriminates: RoleAssignments.IsUnconditionedAutomationHandover</v>
      </c>
      <c r="C1251" s="3" t="s">
        <v>7549</v>
      </c>
      <c r="D1251" s="3" t="s">
        <v>2625</v>
      </c>
      <c r="E1251" s="3" t="s">
        <v>1821</v>
      </c>
      <c r="F1251" s="3" t="s">
        <v>293</v>
      </c>
      <c r="G1251" s="3" t="s">
        <v>7550</v>
      </c>
      <c r="H1251" s="3" t="s">
        <v>2351</v>
      </c>
      <c r="I1251" s="3" t="s">
        <v>5990</v>
      </c>
      <c r="J1251" s="3" t="s">
        <v>7551</v>
      </c>
      <c r="K1251" s="4" t="b">
        <f>J1251 = "blocking"</f>
        <v>0</v>
      </c>
      <c r="L1251" s="3" t="s">
        <v>1451</v>
      </c>
      <c r="M1251" s="3" t="s">
        <v>7589</v>
      </c>
      <c r="N1251" s="5">
        <v>46223.1297337963</v>
      </c>
      <c r="O1251" s="4" t="b">
        <f>L1251 = "PASS"</f>
        <v>0</v>
      </c>
      <c r="P1251" s="4" t="b">
        <f>L1251 = "FAIL"</f>
        <v>0</v>
      </c>
      <c r="Q1251" s="4" t="b">
        <f>AND(((P1251)=TRUE), ((K1251)=TRUE))</f>
        <v>0</v>
      </c>
      <c r="R1251" s="4" t="str">
        <f>IF(((O1251)=TRUE),  I1251,  "")</f>
      </c>
      <c r="S1251" s="4" t="str">
        <f>IF(((Q1251)=TRUE),  I1251,  "")</f>
      </c>
      <c r="T1251" s="3" t="s">
        <v>6001</v>
      </c>
    </row>
    <row r="1252">
      <c r="A1252" s="3" t="s">
        <v>7594</v>
      </c>
      <c r="B1252" s="4" t="str">
        <f>C1252 &amp; ": " &amp; D1252</f>
        <v>witness-discriminates: RoleAssignments.ExceedsTolerableErrorRate</v>
      </c>
      <c r="C1252" s="3" t="s">
        <v>7549</v>
      </c>
      <c r="D1252" s="3" t="s">
        <v>2628</v>
      </c>
      <c r="E1252" s="3" t="s">
        <v>1821</v>
      </c>
      <c r="F1252" s="3" t="s">
        <v>295</v>
      </c>
      <c r="G1252" s="3" t="s">
        <v>7550</v>
      </c>
      <c r="H1252" s="3" t="s">
        <v>2355</v>
      </c>
      <c r="I1252" s="3" t="s">
        <v>5990</v>
      </c>
      <c r="J1252" s="3" t="s">
        <v>7551</v>
      </c>
      <c r="K1252" s="4" t="b">
        <f>J1252 = "blocking"</f>
        <v>0</v>
      </c>
      <c r="L1252" s="3" t="s">
        <v>1451</v>
      </c>
      <c r="M1252" s="3" t="s">
        <v>7584</v>
      </c>
      <c r="N1252" s="5">
        <v>46223.1297337963</v>
      </c>
      <c r="O1252" s="4" t="b">
        <f>L1252 = "PASS"</f>
        <v>0</v>
      </c>
      <c r="P1252" s="4" t="b">
        <f>L1252 = "FAIL"</f>
        <v>0</v>
      </c>
      <c r="Q1252" s="4" t="b">
        <f>AND(((P1252)=TRUE), ((K1252)=TRUE))</f>
        <v>0</v>
      </c>
      <c r="R1252" s="4" t="str">
        <f>IF(((O1252)=TRUE),  I1252,  "")</f>
      </c>
      <c r="S1252" s="4" t="str">
        <f>IF(((Q1252)=TRUE),  I1252,  "")</f>
      </c>
      <c r="T1252" s="3" t="s">
        <v>6001</v>
      </c>
    </row>
    <row r="1253">
      <c r="A1253" s="3" t="s">
        <v>7595</v>
      </c>
      <c r="B1253" s="4" t="str">
        <f>C1253 &amp; ": " &amp; D1253</f>
        <v>witness-discriminates: RoleAssignments.HasAnyBoundaryViolation</v>
      </c>
      <c r="C1253" s="3" t="s">
        <v>7549</v>
      </c>
      <c r="D1253" s="3" t="s">
        <v>2632</v>
      </c>
      <c r="E1253" s="3" t="s">
        <v>1821</v>
      </c>
      <c r="F1253" s="3" t="s">
        <v>297</v>
      </c>
      <c r="G1253" s="3" t="s">
        <v>7550</v>
      </c>
      <c r="H1253" s="3" t="s">
        <v>2355</v>
      </c>
      <c r="I1253" s="3" t="s">
        <v>5990</v>
      </c>
      <c r="J1253" s="3" t="s">
        <v>7551</v>
      </c>
      <c r="K1253" s="4" t="b">
        <f>J1253 = "blocking"</f>
        <v>0</v>
      </c>
      <c r="L1253" s="3" t="s">
        <v>1451</v>
      </c>
      <c r="M1253" s="3" t="s">
        <v>7581</v>
      </c>
      <c r="N1253" s="5">
        <v>46223.1297337963</v>
      </c>
      <c r="O1253" s="4" t="b">
        <f>L1253 = "PASS"</f>
        <v>0</v>
      </c>
      <c r="P1253" s="4" t="b">
        <f>L1253 = "FAIL"</f>
        <v>0</v>
      </c>
      <c r="Q1253" s="4" t="b">
        <f>AND(((P1253)=TRUE), ((K1253)=TRUE))</f>
        <v>0</v>
      </c>
      <c r="R1253" s="4" t="str">
        <f>IF(((O1253)=TRUE),  I1253,  "")</f>
      </c>
      <c r="S1253" s="4" t="str">
        <f>IF(((Q1253)=TRUE),  I1253,  "")</f>
      </c>
      <c r="T1253" s="3" t="s">
        <v>6001</v>
      </c>
    </row>
    <row r="1254">
      <c r="A1254" s="3" t="s">
        <v>7596</v>
      </c>
      <c r="B1254" s="4" t="str">
        <f>C1254 &amp; ": " &amp; D1254</f>
        <v>witness-discriminates: RoleAssignments.HasUngroundedGoverningBoundary</v>
      </c>
      <c r="C1254" s="3" t="s">
        <v>7549</v>
      </c>
      <c r="D1254" s="3" t="s">
        <v>2634</v>
      </c>
      <c r="E1254" s="3" t="s">
        <v>1821</v>
      </c>
      <c r="F1254" s="3" t="s">
        <v>298</v>
      </c>
      <c r="G1254" s="3" t="s">
        <v>7550</v>
      </c>
      <c r="H1254" s="3" t="s">
        <v>2355</v>
      </c>
      <c r="I1254" s="3" t="s">
        <v>5990</v>
      </c>
      <c r="J1254" s="3" t="s">
        <v>7551</v>
      </c>
      <c r="K1254" s="4" t="b">
        <f>J1254 = "blocking"</f>
        <v>0</v>
      </c>
      <c r="L1254" s="3" t="s">
        <v>1451</v>
      </c>
      <c r="M1254" s="3" t="s">
        <v>7581</v>
      </c>
      <c r="N1254" s="5">
        <v>46223.1297337963</v>
      </c>
      <c r="O1254" s="4" t="b">
        <f>L1254 = "PASS"</f>
        <v>0</v>
      </c>
      <c r="P1254" s="4" t="b">
        <f>L1254 = "FAIL"</f>
        <v>0</v>
      </c>
      <c r="Q1254" s="4" t="b">
        <f>AND(((P1254)=TRUE), ((K1254)=TRUE))</f>
        <v>0</v>
      </c>
      <c r="R1254" s="4" t="str">
        <f>IF(((O1254)=TRUE),  I1254,  "")</f>
      </c>
      <c r="S1254" s="4" t="str">
        <f>IF(((Q1254)=TRUE),  I1254,  "")</f>
      </c>
      <c r="T1254" s="3" t="s">
        <v>6001</v>
      </c>
    </row>
    <row r="1255">
      <c r="A1255" s="3" t="s">
        <v>7597</v>
      </c>
      <c r="B1255" s="4" t="str">
        <f>C1255 &amp; ": " &amp; D1255</f>
        <v>witness-discriminates: RoleAssignments.SuspensionConditionMet</v>
      </c>
      <c r="C1255" s="3" t="s">
        <v>7549</v>
      </c>
      <c r="D1255" s="3" t="s">
        <v>2636</v>
      </c>
      <c r="E1255" s="3" t="s">
        <v>1821</v>
      </c>
      <c r="F1255" s="3" t="s">
        <v>299</v>
      </c>
      <c r="G1255" s="3" t="s">
        <v>7550</v>
      </c>
      <c r="H1255" s="3" t="s">
        <v>2355</v>
      </c>
      <c r="I1255" s="3" t="s">
        <v>5990</v>
      </c>
      <c r="J1255" s="3" t="s">
        <v>7551</v>
      </c>
      <c r="K1255" s="4" t="b">
        <f>J1255 = "blocking"</f>
        <v>0</v>
      </c>
      <c r="L1255" s="3" t="s">
        <v>1451</v>
      </c>
      <c r="M1255" s="3" t="s">
        <v>7584</v>
      </c>
      <c r="N1255" s="5">
        <v>46223.1297337963</v>
      </c>
      <c r="O1255" s="4" t="b">
        <f>L1255 = "PASS"</f>
        <v>0</v>
      </c>
      <c r="P1255" s="4" t="b">
        <f>L1255 = "FAIL"</f>
        <v>0</v>
      </c>
      <c r="Q1255" s="4" t="b">
        <f>AND(((P1255)=TRUE), ((K1255)=TRUE))</f>
        <v>0</v>
      </c>
      <c r="R1255" s="4" t="str">
        <f>IF(((O1255)=TRUE),  I1255,  "")</f>
      </c>
      <c r="S1255" s="4" t="str">
        <f>IF(((Q1255)=TRUE),  I1255,  "")</f>
      </c>
      <c r="T1255" s="3" t="s">
        <v>6001</v>
      </c>
    </row>
    <row r="1256">
      <c r="A1256" s="3" t="s">
        <v>7598</v>
      </c>
      <c r="B1256" s="4" t="str">
        <f>C1256 &amp; ": " &amp; D1256</f>
        <v>witness-discriminates: RoleAssignments.IsOperatingUnderMetSuspensionCondition</v>
      </c>
      <c r="C1256" s="3" t="s">
        <v>7549</v>
      </c>
      <c r="D1256" s="3" t="s">
        <v>2638</v>
      </c>
      <c r="E1256" s="3" t="s">
        <v>1821</v>
      </c>
      <c r="F1256" s="3" t="s">
        <v>300</v>
      </c>
      <c r="G1256" s="3" t="s">
        <v>7550</v>
      </c>
      <c r="H1256" s="3" t="s">
        <v>2355</v>
      </c>
      <c r="I1256" s="3" t="s">
        <v>5990</v>
      </c>
      <c r="J1256" s="3" t="s">
        <v>7551</v>
      </c>
      <c r="K1256" s="4" t="b">
        <f>J1256 = "blocking"</f>
        <v>0</v>
      </c>
      <c r="L1256" s="3" t="s">
        <v>1451</v>
      </c>
      <c r="M1256" s="3" t="s">
        <v>7589</v>
      </c>
      <c r="N1256" s="5">
        <v>46223.1297337963</v>
      </c>
      <c r="O1256" s="4" t="b">
        <f>L1256 = "PASS"</f>
        <v>0</v>
      </c>
      <c r="P1256" s="4" t="b">
        <f>L1256 = "FAIL"</f>
        <v>0</v>
      </c>
      <c r="Q1256" s="4" t="b">
        <f>AND(((P1256)=TRUE), ((K1256)=TRUE))</f>
        <v>0</v>
      </c>
      <c r="R1256" s="4" t="str">
        <f>IF(((O1256)=TRUE),  I1256,  "")</f>
      </c>
      <c r="S1256" s="4" t="str">
        <f>IF(((Q1256)=TRUE),  I1256,  "")</f>
      </c>
      <c r="T1256" s="3" t="s">
        <v>6001</v>
      </c>
    </row>
    <row r="1257">
      <c r="A1257" s="3" t="s">
        <v>7599</v>
      </c>
      <c r="B1257" s="4" t="str">
        <f>C1257 &amp; ": " &amp; D1257</f>
        <v>witness-discriminates: RoleAssignments.HasDeclaredSuspensionCondition</v>
      </c>
      <c r="C1257" s="3" t="s">
        <v>7549</v>
      </c>
      <c r="D1257" s="3" t="s">
        <v>2640</v>
      </c>
      <c r="E1257" s="3" t="s">
        <v>1821</v>
      </c>
      <c r="F1257" s="3" t="s">
        <v>301</v>
      </c>
      <c r="G1257" s="3" t="s">
        <v>7550</v>
      </c>
      <c r="H1257" s="3" t="s">
        <v>2355</v>
      </c>
      <c r="I1257" s="3" t="s">
        <v>5990</v>
      </c>
      <c r="J1257" s="3" t="s">
        <v>7551</v>
      </c>
      <c r="K1257" s="4" t="b">
        <f>J1257 = "blocking"</f>
        <v>0</v>
      </c>
      <c r="L1257" s="3" t="s">
        <v>1451</v>
      </c>
      <c r="M1257" s="3" t="s">
        <v>7584</v>
      </c>
      <c r="N1257" s="5">
        <v>46223.1297337963</v>
      </c>
      <c r="O1257" s="4" t="b">
        <f>L1257 = "PASS"</f>
        <v>0</v>
      </c>
      <c r="P1257" s="4" t="b">
        <f>L1257 = "FAIL"</f>
        <v>0</v>
      </c>
      <c r="Q1257" s="4" t="b">
        <f>AND(((P1257)=TRUE), ((K1257)=TRUE))</f>
        <v>0</v>
      </c>
      <c r="R1257" s="4" t="str">
        <f>IF(((O1257)=TRUE),  I1257,  "")</f>
      </c>
      <c r="S1257" s="4" t="str">
        <f>IF(((Q1257)=TRUE),  I1257,  "")</f>
      </c>
      <c r="T1257" s="3" t="s">
        <v>6001</v>
      </c>
    </row>
    <row r="1258">
      <c r="A1258" s="3" t="s">
        <v>7600</v>
      </c>
      <c r="B1258" s="4" t="str">
        <f>C1258 &amp; ": " &amp; D1258</f>
        <v>witness-discriminates: RoleAssignments.HasApprovingAuthority</v>
      </c>
      <c r="C1258" s="3" t="s">
        <v>7549</v>
      </c>
      <c r="D1258" s="3" t="s">
        <v>2642</v>
      </c>
      <c r="E1258" s="3" t="s">
        <v>1821</v>
      </c>
      <c r="F1258" s="3" t="s">
        <v>302</v>
      </c>
      <c r="G1258" s="3" t="s">
        <v>7550</v>
      </c>
      <c r="H1258" s="3" t="s">
        <v>2367</v>
      </c>
      <c r="I1258" s="3" t="s">
        <v>5990</v>
      </c>
      <c r="J1258" s="3" t="s">
        <v>7551</v>
      </c>
      <c r="K1258" s="4" t="b">
        <f>J1258 = "blocking"</f>
        <v>0</v>
      </c>
      <c r="L1258" s="3" t="s">
        <v>1448</v>
      </c>
      <c r="M1258" s="3" t="s">
        <v>7572</v>
      </c>
      <c r="N1258" s="5">
        <v>46223.1297337963</v>
      </c>
      <c r="O1258" s="4" t="b">
        <f>L1258 = "PASS"</f>
        <v>1</v>
      </c>
      <c r="P1258" s="4" t="b">
        <f>L1258 = "FAIL"</f>
        <v>0</v>
      </c>
      <c r="Q1258" s="4" t="b">
        <f>AND(((P1258)=TRUE), ((K1258)=TRUE))</f>
        <v>0</v>
      </c>
      <c r="R1258" s="4" t="str">
        <f>IF(((O1258)=TRUE),  I1258,  "")</f>
        <v>suite-witness</v>
      </c>
      <c r="S1258" s="4" t="str">
        <f>IF(((Q1258)=TRUE),  I1258,  "")</f>
      </c>
      <c r="T1258" s="3" t="s">
        <v>6001</v>
      </c>
    </row>
    <row r="1259">
      <c r="A1259" s="3" t="s">
        <v>7601</v>
      </c>
      <c r="B1259" s="4" t="str">
        <f>C1259 &amp; ": " &amp; D1259</f>
        <v>witness-discriminates: RoleAssignments.HasAuthorizingChangeRequest</v>
      </c>
      <c r="C1259" s="3" t="s">
        <v>7549</v>
      </c>
      <c r="D1259" s="3" t="s">
        <v>2644</v>
      </c>
      <c r="E1259" s="3" t="s">
        <v>1821</v>
      </c>
      <c r="F1259" s="3" t="s">
        <v>303</v>
      </c>
      <c r="G1259" s="3" t="s">
        <v>7550</v>
      </c>
      <c r="H1259" s="3" t="s">
        <v>2367</v>
      </c>
      <c r="I1259" s="3" t="s">
        <v>5990</v>
      </c>
      <c r="J1259" s="3" t="s">
        <v>7551</v>
      </c>
      <c r="K1259" s="4" t="b">
        <f>J1259 = "blocking"</f>
        <v>0</v>
      </c>
      <c r="L1259" s="3" t="s">
        <v>1451</v>
      </c>
      <c r="M1259" s="3" t="s">
        <v>7581</v>
      </c>
      <c r="N1259" s="5">
        <v>46223.1297337963</v>
      </c>
      <c r="O1259" s="4" t="b">
        <f>L1259 = "PASS"</f>
        <v>0</v>
      </c>
      <c r="P1259" s="4" t="b">
        <f>L1259 = "FAIL"</f>
        <v>0</v>
      </c>
      <c r="Q1259" s="4" t="b">
        <f>AND(((P1259)=TRUE), ((K1259)=TRUE))</f>
        <v>0</v>
      </c>
      <c r="R1259" s="4" t="str">
        <f>IF(((O1259)=TRUE),  I1259,  "")</f>
      </c>
      <c r="S1259" s="4" t="str">
        <f>IF(((Q1259)=TRUE),  I1259,  "")</f>
      </c>
      <c r="T1259" s="3" t="s">
        <v>6001</v>
      </c>
    </row>
    <row r="1260">
      <c r="A1260" s="3" t="s">
        <v>7602</v>
      </c>
      <c r="B1260" s="4" t="str">
        <f>C1260 &amp; ": " &amp; D1260</f>
        <v>witness-discriminates: RoleAssignments.IsUnauthorizedEnforcementAgent</v>
      </c>
      <c r="C1260" s="3" t="s">
        <v>7549</v>
      </c>
      <c r="D1260" s="3" t="s">
        <v>2647</v>
      </c>
      <c r="E1260" s="3" t="s">
        <v>1821</v>
      </c>
      <c r="F1260" s="3" t="s">
        <v>305</v>
      </c>
      <c r="G1260" s="3" t="s">
        <v>7550</v>
      </c>
      <c r="H1260" s="3" t="s">
        <v>2367</v>
      </c>
      <c r="I1260" s="3" t="s">
        <v>5990</v>
      </c>
      <c r="J1260" s="3" t="s">
        <v>7551</v>
      </c>
      <c r="K1260" s="4" t="b">
        <f>J1260 = "blocking"</f>
        <v>0</v>
      </c>
      <c r="L1260" s="3" t="s">
        <v>1451</v>
      </c>
      <c r="M1260" s="3" t="s">
        <v>7581</v>
      </c>
      <c r="N1260" s="5">
        <v>46223.1297337963</v>
      </c>
      <c r="O1260" s="4" t="b">
        <f>L1260 = "PASS"</f>
        <v>0</v>
      </c>
      <c r="P1260" s="4" t="b">
        <f>L1260 = "FAIL"</f>
        <v>0</v>
      </c>
      <c r="Q1260" s="4" t="b">
        <f>AND(((P1260)=TRUE), ((K1260)=TRUE))</f>
        <v>0</v>
      </c>
      <c r="R1260" s="4" t="str">
        <f>IF(((O1260)=TRUE),  I1260,  "")</f>
      </c>
      <c r="S1260" s="4" t="str">
        <f>IF(((Q1260)=TRUE),  I1260,  "")</f>
      </c>
      <c r="T1260" s="3" t="s">
        <v>6001</v>
      </c>
    </row>
    <row r="1261">
      <c r="A1261" s="3" t="s">
        <v>7603</v>
      </c>
      <c r="B1261" s="4" t="str">
        <f>C1261 &amp; ": " &amp; D1261</f>
        <v>witness-discriminates: ProcedureVersions.IsReadyForExecution</v>
      </c>
      <c r="C1261" s="3" t="s">
        <v>7549</v>
      </c>
      <c r="D1261" s="3" t="s">
        <v>2709</v>
      </c>
      <c r="E1261" s="3" t="s">
        <v>1767</v>
      </c>
      <c r="F1261" s="3" t="s">
        <v>386</v>
      </c>
      <c r="G1261" s="3" t="s">
        <v>7550</v>
      </c>
      <c r="H1261" s="3"/>
      <c r="I1261" s="3" t="s">
        <v>5990</v>
      </c>
      <c r="J1261" s="3" t="s">
        <v>7551</v>
      </c>
      <c r="K1261" s="4" t="b">
        <f>J1261 = "blocking"</f>
        <v>0</v>
      </c>
      <c r="L1261" s="3" t="s">
        <v>1448</v>
      </c>
      <c r="M1261" s="3" t="s">
        <v>7604</v>
      </c>
      <c r="N1261" s="5">
        <v>46223.1297337963</v>
      </c>
      <c r="O1261" s="4" t="b">
        <f>L1261 = "PASS"</f>
        <v>1</v>
      </c>
      <c r="P1261" s="4" t="b">
        <f>L1261 = "FAIL"</f>
        <v>0</v>
      </c>
      <c r="Q1261" s="4" t="b">
        <f>AND(((P1261)=TRUE), ((K1261)=TRUE))</f>
        <v>0</v>
      </c>
      <c r="R1261" s="4" t="str">
        <f>IF(((O1261)=TRUE),  I1261,  "")</f>
        <v>suite-witness</v>
      </c>
      <c r="S1261" s="4" t="str">
        <f>IF(((Q1261)=TRUE),  I1261,  "")</f>
      </c>
      <c r="T1261" s="3" t="s">
        <v>6001</v>
      </c>
    </row>
    <row r="1262">
      <c r="A1262" s="3" t="s">
        <v>7605</v>
      </c>
      <c r="B1262" s="4" t="str">
        <f>C1262 &amp; ": " &amp; D1262</f>
        <v>witness-discriminates: ProcedureVersions.IsFitToExecute</v>
      </c>
      <c r="C1262" s="3" t="s">
        <v>7549</v>
      </c>
      <c r="D1262" s="3" t="s">
        <v>2719</v>
      </c>
      <c r="E1262" s="3" t="s">
        <v>1767</v>
      </c>
      <c r="F1262" s="3" t="s">
        <v>391</v>
      </c>
      <c r="G1262" s="3" t="s">
        <v>7550</v>
      </c>
      <c r="H1262" s="3" t="s">
        <v>2003</v>
      </c>
      <c r="I1262" s="3" t="s">
        <v>5990</v>
      </c>
      <c r="J1262" s="3" t="s">
        <v>7551</v>
      </c>
      <c r="K1262" s="4" t="b">
        <f>J1262 = "blocking"</f>
        <v>0</v>
      </c>
      <c r="L1262" s="3" t="s">
        <v>1451</v>
      </c>
      <c r="M1262" s="3" t="s">
        <v>7606</v>
      </c>
      <c r="N1262" s="5">
        <v>46223.1297337963</v>
      </c>
      <c r="O1262" s="4" t="b">
        <f>L1262 = "PASS"</f>
        <v>0</v>
      </c>
      <c r="P1262" s="4" t="b">
        <f>L1262 = "FAIL"</f>
        <v>0</v>
      </c>
      <c r="Q1262" s="4" t="b">
        <f>AND(((P1262)=TRUE), ((K1262)=TRUE))</f>
        <v>0</v>
      </c>
      <c r="R1262" s="4" t="str">
        <f>IF(((O1262)=TRUE),  I1262,  "")</f>
      </c>
      <c r="S1262" s="4" t="str">
        <f>IF(((Q1262)=TRUE),  I1262,  "")</f>
      </c>
      <c r="T1262" s="3" t="s">
        <v>6001</v>
      </c>
    </row>
    <row r="1263">
      <c r="A1263" s="3" t="s">
        <v>7607</v>
      </c>
      <c r="B1263" s="4" t="str">
        <f>C1263 &amp; ": " &amp; D1263</f>
        <v>witness-discriminates: ProcedureVersions.HasAnySteward</v>
      </c>
      <c r="C1263" s="3" t="s">
        <v>7549</v>
      </c>
      <c r="D1263" s="3" t="s">
        <v>2725</v>
      </c>
      <c r="E1263" s="3" t="s">
        <v>1767</v>
      </c>
      <c r="F1263" s="3" t="s">
        <v>394</v>
      </c>
      <c r="G1263" s="3" t="s">
        <v>7550</v>
      </c>
      <c r="H1263" s="3" t="s">
        <v>2023</v>
      </c>
      <c r="I1263" s="3" t="s">
        <v>5990</v>
      </c>
      <c r="J1263" s="3" t="s">
        <v>7551</v>
      </c>
      <c r="K1263" s="4" t="b">
        <f>J1263 = "blocking"</f>
        <v>0</v>
      </c>
      <c r="L1263" s="3" t="s">
        <v>1448</v>
      </c>
      <c r="M1263" s="3" t="s">
        <v>7608</v>
      </c>
      <c r="N1263" s="5">
        <v>46223.1297337963</v>
      </c>
      <c r="O1263" s="4" t="b">
        <f>L1263 = "PASS"</f>
        <v>1</v>
      </c>
      <c r="P1263" s="4" t="b">
        <f>L1263 = "FAIL"</f>
        <v>0</v>
      </c>
      <c r="Q1263" s="4" t="b">
        <f>AND(((P1263)=TRUE), ((K1263)=TRUE))</f>
        <v>0</v>
      </c>
      <c r="R1263" s="4" t="str">
        <f>IF(((O1263)=TRUE),  I1263,  "")</f>
        <v>suite-witness</v>
      </c>
      <c r="S1263" s="4" t="str">
        <f>IF(((Q1263)=TRUE),  I1263,  "")</f>
      </c>
      <c r="T1263" s="3" t="s">
        <v>6001</v>
      </c>
    </row>
    <row r="1264">
      <c r="A1264" s="3" t="s">
        <v>7609</v>
      </c>
      <c r="B1264" s="4" t="str">
        <f>C1264 &amp; ": " &amp; D1264</f>
        <v>witness-discriminates: ProcedureVersions.IsLive</v>
      </c>
      <c r="C1264" s="3" t="s">
        <v>7549</v>
      </c>
      <c r="D1264" s="3" t="s">
        <v>2727</v>
      </c>
      <c r="E1264" s="3" t="s">
        <v>1767</v>
      </c>
      <c r="F1264" s="3" t="s">
        <v>395</v>
      </c>
      <c r="G1264" s="3" t="s">
        <v>7550</v>
      </c>
      <c r="H1264" s="3" t="s">
        <v>2023</v>
      </c>
      <c r="I1264" s="3" t="s">
        <v>5990</v>
      </c>
      <c r="J1264" s="3" t="s">
        <v>7551</v>
      </c>
      <c r="K1264" s="4" t="b">
        <f>J1264 = "blocking"</f>
        <v>0</v>
      </c>
      <c r="L1264" s="3" t="s">
        <v>1448</v>
      </c>
      <c r="M1264" s="3" t="s">
        <v>7608</v>
      </c>
      <c r="N1264" s="5">
        <v>46223.1297337963</v>
      </c>
      <c r="O1264" s="4" t="b">
        <f>L1264 = "PASS"</f>
        <v>1</v>
      </c>
      <c r="P1264" s="4" t="b">
        <f>L1264 = "FAIL"</f>
        <v>0</v>
      </c>
      <c r="Q1264" s="4" t="b">
        <f>AND(((P1264)=TRUE), ((K1264)=TRUE))</f>
        <v>0</v>
      </c>
      <c r="R1264" s="4" t="str">
        <f>IF(((O1264)=TRUE),  I1264,  "")</f>
        <v>suite-witness</v>
      </c>
      <c r="S1264" s="4" t="str">
        <f>IF(((Q1264)=TRUE),  I1264,  "")</f>
      </c>
      <c r="T1264" s="3" t="s">
        <v>6001</v>
      </c>
    </row>
    <row r="1265">
      <c r="A1265" s="3" t="s">
        <v>7610</v>
      </c>
      <c r="B1265" s="4" t="str">
        <f>C1265 &amp; ": " &amp; D1265</f>
        <v>witness-discriminates: ProcedureVersions.IsUnstewarded</v>
      </c>
      <c r="C1265" s="3" t="s">
        <v>7549</v>
      </c>
      <c r="D1265" s="3" t="s">
        <v>2729</v>
      </c>
      <c r="E1265" s="3" t="s">
        <v>1767</v>
      </c>
      <c r="F1265" s="3" t="s">
        <v>396</v>
      </c>
      <c r="G1265" s="3" t="s">
        <v>7550</v>
      </c>
      <c r="H1265" s="3" t="s">
        <v>2023</v>
      </c>
      <c r="I1265" s="3" t="s">
        <v>5990</v>
      </c>
      <c r="J1265" s="3" t="s">
        <v>7551</v>
      </c>
      <c r="K1265" s="4" t="b">
        <f>J1265 = "blocking"</f>
        <v>0</v>
      </c>
      <c r="L1265" s="3" t="s">
        <v>1448</v>
      </c>
      <c r="M1265" s="3" t="s">
        <v>7604</v>
      </c>
      <c r="N1265" s="5">
        <v>46223.1297337963</v>
      </c>
      <c r="O1265" s="4" t="b">
        <f>L1265 = "PASS"</f>
        <v>1</v>
      </c>
      <c r="P1265" s="4" t="b">
        <f>L1265 = "FAIL"</f>
        <v>0</v>
      </c>
      <c r="Q1265" s="4" t="b">
        <f>AND(((P1265)=TRUE), ((K1265)=TRUE))</f>
        <v>0</v>
      </c>
      <c r="R1265" s="4" t="str">
        <f>IF(((O1265)=TRUE),  I1265,  "")</f>
        <v>suite-witness</v>
      </c>
      <c r="S1265" s="4" t="str">
        <f>IF(((Q1265)=TRUE),  I1265,  "")</f>
      </c>
      <c r="T1265" s="3" t="s">
        <v>6001</v>
      </c>
    </row>
    <row r="1266">
      <c r="A1266" s="3" t="s">
        <v>7611</v>
      </c>
      <c r="B1266" s="4" t="str">
        <f>C1266 &amp; ": " &amp; D1266</f>
        <v>witness-discriminates: ProcedureVersions.IsLiveAndUnstewarded</v>
      </c>
      <c r="C1266" s="3" t="s">
        <v>7549</v>
      </c>
      <c r="D1266" s="3" t="s">
        <v>2731</v>
      </c>
      <c r="E1266" s="3" t="s">
        <v>1767</v>
      </c>
      <c r="F1266" s="3" t="s">
        <v>397</v>
      </c>
      <c r="G1266" s="3" t="s">
        <v>7550</v>
      </c>
      <c r="H1266" s="3" t="s">
        <v>2023</v>
      </c>
      <c r="I1266" s="3" t="s">
        <v>5990</v>
      </c>
      <c r="J1266" s="3" t="s">
        <v>7551</v>
      </c>
      <c r="K1266" s="4" t="b">
        <f>J1266 = "blocking"</f>
        <v>0</v>
      </c>
      <c r="L1266" s="3" t="s">
        <v>1451</v>
      </c>
      <c r="M1266" s="3" t="s">
        <v>7606</v>
      </c>
      <c r="N1266" s="5">
        <v>46223.1297337963</v>
      </c>
      <c r="O1266" s="4" t="b">
        <f>L1266 = "PASS"</f>
        <v>0</v>
      </c>
      <c r="P1266" s="4" t="b">
        <f>L1266 = "FAIL"</f>
        <v>0</v>
      </c>
      <c r="Q1266" s="4" t="b">
        <f>AND(((P1266)=TRUE), ((K1266)=TRUE))</f>
        <v>0</v>
      </c>
      <c r="R1266" s="4" t="str">
        <f>IF(((O1266)=TRUE),  I1266,  "")</f>
      </c>
      <c r="S1266" s="4" t="str">
        <f>IF(((Q1266)=TRUE),  I1266,  "")</f>
      </c>
      <c r="T1266" s="3" t="s">
        <v>6001</v>
      </c>
    </row>
    <row r="1267">
      <c r="A1267" s="3" t="s">
        <v>7612</v>
      </c>
      <c r="B1267" s="4" t="str">
        <f>C1267 &amp; ": " &amp; D1267</f>
        <v>witness-discriminates: ProcedureVersions.HasOpenBlockingGap</v>
      </c>
      <c r="C1267" s="3" t="s">
        <v>7549</v>
      </c>
      <c r="D1267" s="3" t="s">
        <v>2735</v>
      </c>
      <c r="E1267" s="3" t="s">
        <v>1767</v>
      </c>
      <c r="F1267" s="3" t="s">
        <v>399</v>
      </c>
      <c r="G1267" s="3" t="s">
        <v>7550</v>
      </c>
      <c r="H1267" s="3" t="s">
        <v>2031</v>
      </c>
      <c r="I1267" s="3" t="s">
        <v>5990</v>
      </c>
      <c r="J1267" s="3" t="s">
        <v>7551</v>
      </c>
      <c r="K1267" s="4" t="b">
        <f>J1267 = "blocking"</f>
        <v>0</v>
      </c>
      <c r="L1267" s="3" t="s">
        <v>1451</v>
      </c>
      <c r="M1267" s="3" t="s">
        <v>7606</v>
      </c>
      <c r="N1267" s="5">
        <v>46223.1297337963</v>
      </c>
      <c r="O1267" s="4" t="b">
        <f>L1267 = "PASS"</f>
        <v>0</v>
      </c>
      <c r="P1267" s="4" t="b">
        <f>L1267 = "FAIL"</f>
        <v>0</v>
      </c>
      <c r="Q1267" s="4" t="b">
        <f>AND(((P1267)=TRUE), ((K1267)=TRUE))</f>
        <v>0</v>
      </c>
      <c r="R1267" s="4" t="str">
        <f>IF(((O1267)=TRUE),  I1267,  "")</f>
      </c>
      <c r="S1267" s="4" t="str">
        <f>IF(((Q1267)=TRUE),  I1267,  "")</f>
      </c>
      <c r="T1267" s="3" t="s">
        <v>6001</v>
      </c>
    </row>
    <row r="1268">
      <c r="A1268" s="3" t="s">
        <v>7613</v>
      </c>
      <c r="B1268" s="4" t="str">
        <f>C1268 &amp; ": " &amp; D1268</f>
        <v>witness-discriminates: ProcedureVersions.IsLiveWithBlockingGap</v>
      </c>
      <c r="C1268" s="3" t="s">
        <v>7549</v>
      </c>
      <c r="D1268" s="3" t="s">
        <v>2737</v>
      </c>
      <c r="E1268" s="3" t="s">
        <v>1767</v>
      </c>
      <c r="F1268" s="3" t="s">
        <v>400</v>
      </c>
      <c r="G1268" s="3" t="s">
        <v>7550</v>
      </c>
      <c r="H1268" s="3" t="s">
        <v>2031</v>
      </c>
      <c r="I1268" s="3" t="s">
        <v>5990</v>
      </c>
      <c r="J1268" s="3" t="s">
        <v>7551</v>
      </c>
      <c r="K1268" s="4" t="b">
        <f>J1268 = "blocking"</f>
        <v>0</v>
      </c>
      <c r="L1268" s="3" t="s">
        <v>1451</v>
      </c>
      <c r="M1268" s="3" t="s">
        <v>7606</v>
      </c>
      <c r="N1268" s="5">
        <v>46223.1297337963</v>
      </c>
      <c r="O1268" s="4" t="b">
        <f>L1268 = "PASS"</f>
        <v>0</v>
      </c>
      <c r="P1268" s="4" t="b">
        <f>L1268 = "FAIL"</f>
        <v>0</v>
      </c>
      <c r="Q1268" s="4" t="b">
        <f>AND(((P1268)=TRUE), ((K1268)=TRUE))</f>
        <v>0</v>
      </c>
      <c r="R1268" s="4" t="str">
        <f>IF(((O1268)=TRUE),  I1268,  "")</f>
      </c>
      <c r="S1268" s="4" t="str">
        <f>IF(((Q1268)=TRUE),  I1268,  "")</f>
      </c>
      <c r="T1268" s="3" t="s">
        <v>6001</v>
      </c>
    </row>
    <row r="1269">
      <c r="A1269" s="3" t="s">
        <v>7614</v>
      </c>
      <c r="B1269" s="4" t="str">
        <f>C1269 &amp; ": " &amp; D1269</f>
        <v>witness-discriminates: ProcedureVersions.ShouldNotBeExecutable</v>
      </c>
      <c r="C1269" s="3" t="s">
        <v>7549</v>
      </c>
      <c r="D1269" s="3" t="s">
        <v>2739</v>
      </c>
      <c r="E1269" s="3" t="s">
        <v>1767</v>
      </c>
      <c r="F1269" s="3" t="s">
        <v>401</v>
      </c>
      <c r="G1269" s="3" t="s">
        <v>7550</v>
      </c>
      <c r="H1269" s="3" t="s">
        <v>2031</v>
      </c>
      <c r="I1269" s="3" t="s">
        <v>5990</v>
      </c>
      <c r="J1269" s="3" t="s">
        <v>7551</v>
      </c>
      <c r="K1269" s="4" t="b">
        <f>J1269 = "blocking"</f>
        <v>0</v>
      </c>
      <c r="L1269" s="3" t="s">
        <v>1451</v>
      </c>
      <c r="M1269" s="3" t="s">
        <v>7606</v>
      </c>
      <c r="N1269" s="5">
        <v>46223.1297337963</v>
      </c>
      <c r="O1269" s="4" t="b">
        <f>L1269 = "PASS"</f>
        <v>0</v>
      </c>
      <c r="P1269" s="4" t="b">
        <f>L1269 = "FAIL"</f>
        <v>0</v>
      </c>
      <c r="Q1269" s="4" t="b">
        <f>AND(((P1269)=TRUE), ((K1269)=TRUE))</f>
        <v>0</v>
      </c>
      <c r="R1269" s="4" t="str">
        <f>IF(((O1269)=TRUE),  I1269,  "")</f>
      </c>
      <c r="S1269" s="4" t="str">
        <f>IF(((Q1269)=TRUE),  I1269,  "")</f>
      </c>
      <c r="T1269" s="3" t="s">
        <v>6001</v>
      </c>
    </row>
    <row r="1270">
      <c r="A1270" s="3" t="s">
        <v>7615</v>
      </c>
      <c r="B1270" s="4" t="str">
        <f>C1270 &amp; ": " &amp; D1270</f>
        <v>witness-discriminates: ProcedureVersions.RunsOnUnapprovedKnowledge</v>
      </c>
      <c r="C1270" s="3" t="s">
        <v>7549</v>
      </c>
      <c r="D1270" s="3" t="s">
        <v>2743</v>
      </c>
      <c r="E1270" s="3" t="s">
        <v>1767</v>
      </c>
      <c r="F1270" s="3" t="s">
        <v>403</v>
      </c>
      <c r="G1270" s="3" t="s">
        <v>7550</v>
      </c>
      <c r="H1270" s="3" t="s">
        <v>2043</v>
      </c>
      <c r="I1270" s="3" t="s">
        <v>5990</v>
      </c>
      <c r="J1270" s="3" t="s">
        <v>7551</v>
      </c>
      <c r="K1270" s="4" t="b">
        <f>J1270 = "blocking"</f>
        <v>0</v>
      </c>
      <c r="L1270" s="3" t="s">
        <v>1451</v>
      </c>
      <c r="M1270" s="3" t="s">
        <v>7616</v>
      </c>
      <c r="N1270" s="5">
        <v>46223.1297337963</v>
      </c>
      <c r="O1270" s="4" t="b">
        <f>L1270 = "PASS"</f>
        <v>0</v>
      </c>
      <c r="P1270" s="4" t="b">
        <f>L1270 = "FAIL"</f>
        <v>0</v>
      </c>
      <c r="Q1270" s="4" t="b">
        <f>AND(((P1270)=TRUE), ((K1270)=TRUE))</f>
        <v>0</v>
      </c>
      <c r="R1270" s="4" t="str">
        <f>IF(((O1270)=TRUE),  I1270,  "")</f>
      </c>
      <c r="S1270" s="4" t="str">
        <f>IF(((Q1270)=TRUE),  I1270,  "")</f>
      </c>
      <c r="T1270" s="3" t="s">
        <v>6001</v>
      </c>
    </row>
    <row r="1271">
      <c r="A1271" s="3" t="s">
        <v>7617</v>
      </c>
      <c r="B1271" s="4" t="str">
        <f>C1271 &amp; ": " &amp; D1271</f>
        <v>witness-discriminates: ProcedureVersions.HasGovernanceRecord</v>
      </c>
      <c r="C1271" s="3" t="s">
        <v>7549</v>
      </c>
      <c r="D1271" s="3" t="s">
        <v>2751</v>
      </c>
      <c r="E1271" s="3" t="s">
        <v>1767</v>
      </c>
      <c r="F1271" s="3" t="s">
        <v>407</v>
      </c>
      <c r="G1271" s="3" t="s">
        <v>7550</v>
      </c>
      <c r="H1271" s="3" t="s">
        <v>2055</v>
      </c>
      <c r="I1271" s="3" t="s">
        <v>5990</v>
      </c>
      <c r="J1271" s="3" t="s">
        <v>7551</v>
      </c>
      <c r="K1271" s="4" t="b">
        <f>J1271 = "blocking"</f>
        <v>0</v>
      </c>
      <c r="L1271" s="3" t="s">
        <v>1448</v>
      </c>
      <c r="M1271" s="3" t="s">
        <v>7608</v>
      </c>
      <c r="N1271" s="5">
        <v>46223.1297337963</v>
      </c>
      <c r="O1271" s="4" t="b">
        <f>L1271 = "PASS"</f>
        <v>1</v>
      </c>
      <c r="P1271" s="4" t="b">
        <f>L1271 = "FAIL"</f>
        <v>0</v>
      </c>
      <c r="Q1271" s="4" t="b">
        <f>AND(((P1271)=TRUE), ((K1271)=TRUE))</f>
        <v>0</v>
      </c>
      <c r="R1271" s="4" t="str">
        <f>IF(((O1271)=TRUE),  I1271,  "")</f>
        <v>suite-witness</v>
      </c>
      <c r="S1271" s="4" t="str">
        <f>IF(((Q1271)=TRUE),  I1271,  "")</f>
      </c>
      <c r="T1271" s="3" t="s">
        <v>6001</v>
      </c>
    </row>
    <row r="1272">
      <c r="A1272" s="3" t="s">
        <v>7618</v>
      </c>
      <c r="B1272" s="4" t="str">
        <f>C1272 &amp; ": " &amp; D1272</f>
        <v>witness-discriminates: ProcedureVersions.WasModifiedSinceLastReview</v>
      </c>
      <c r="C1272" s="3" t="s">
        <v>7549</v>
      </c>
      <c r="D1272" s="3" t="s">
        <v>2759</v>
      </c>
      <c r="E1272" s="3" t="s">
        <v>1767</v>
      </c>
      <c r="F1272" s="3" t="s">
        <v>410</v>
      </c>
      <c r="G1272" s="3" t="s">
        <v>7550</v>
      </c>
      <c r="H1272" s="3" t="s">
        <v>2055</v>
      </c>
      <c r="I1272" s="3" t="s">
        <v>5990</v>
      </c>
      <c r="J1272" s="3" t="s">
        <v>7551</v>
      </c>
      <c r="K1272" s="4" t="b">
        <f>J1272 = "blocking"</f>
        <v>0</v>
      </c>
      <c r="L1272" s="3" t="s">
        <v>1451</v>
      </c>
      <c r="M1272" s="3" t="s">
        <v>7619</v>
      </c>
      <c r="N1272" s="5">
        <v>46223.1297337963</v>
      </c>
      <c r="O1272" s="4" t="b">
        <f>L1272 = "PASS"</f>
        <v>0</v>
      </c>
      <c r="P1272" s="4" t="b">
        <f>L1272 = "FAIL"</f>
        <v>0</v>
      </c>
      <c r="Q1272" s="4" t="b">
        <f>AND(((P1272)=TRUE), ((K1272)=TRUE))</f>
        <v>0</v>
      </c>
      <c r="R1272" s="4" t="str">
        <f>IF(((O1272)=TRUE),  I1272,  "")</f>
      </c>
      <c r="S1272" s="4" t="str">
        <f>IF(((Q1272)=TRUE),  I1272,  "")</f>
      </c>
      <c r="T1272" s="3" t="s">
        <v>6001</v>
      </c>
    </row>
    <row r="1273">
      <c r="A1273" s="3" t="s">
        <v>7620</v>
      </c>
      <c r="B1273" s="4" t="str">
        <f>C1273 &amp; ": " &amp; D1273</f>
        <v>witness-discriminates: ProcedureVersions.HasUnwitnessedChange</v>
      </c>
      <c r="C1273" s="3" t="s">
        <v>7549</v>
      </c>
      <c r="D1273" s="3" t="s">
        <v>2763</v>
      </c>
      <c r="E1273" s="3" t="s">
        <v>1767</v>
      </c>
      <c r="F1273" s="3" t="s">
        <v>412</v>
      </c>
      <c r="G1273" s="3" t="s">
        <v>7550</v>
      </c>
      <c r="H1273" s="3" t="s">
        <v>2055</v>
      </c>
      <c r="I1273" s="3" t="s">
        <v>5990</v>
      </c>
      <c r="J1273" s="3" t="s">
        <v>7551</v>
      </c>
      <c r="K1273" s="4" t="b">
        <f>J1273 = "blocking"</f>
        <v>0</v>
      </c>
      <c r="L1273" s="3" t="s">
        <v>1451</v>
      </c>
      <c r="M1273" s="3" t="s">
        <v>7606</v>
      </c>
      <c r="N1273" s="5">
        <v>46223.1297337963</v>
      </c>
      <c r="O1273" s="4" t="b">
        <f>L1273 = "PASS"</f>
        <v>0</v>
      </c>
      <c r="P1273" s="4" t="b">
        <f>L1273 = "FAIL"</f>
        <v>0</v>
      </c>
      <c r="Q1273" s="4" t="b">
        <f>AND(((P1273)=TRUE), ((K1273)=TRUE))</f>
        <v>0</v>
      </c>
      <c r="R1273" s="4" t="str">
        <f>IF(((O1273)=TRUE),  I1273,  "")</f>
      </c>
      <c r="S1273" s="4" t="str">
        <f>IF(((Q1273)=TRUE),  I1273,  "")</f>
      </c>
      <c r="T1273" s="3" t="s">
        <v>6001</v>
      </c>
    </row>
    <row r="1274">
      <c r="A1274" s="3" t="s">
        <v>7621</v>
      </c>
      <c r="B1274" s="4" t="str">
        <f>C1274 &amp; ": " &amp; D1274</f>
        <v>witness-discriminates: ProcedureVersions.KnowledgeIsStalerThanCadence</v>
      </c>
      <c r="C1274" s="3" t="s">
        <v>7549</v>
      </c>
      <c r="D1274" s="3" t="s">
        <v>2767</v>
      </c>
      <c r="E1274" s="3" t="s">
        <v>1767</v>
      </c>
      <c r="F1274" s="3" t="s">
        <v>414</v>
      </c>
      <c r="G1274" s="3" t="s">
        <v>7550</v>
      </c>
      <c r="H1274" s="3" t="s">
        <v>2155</v>
      </c>
      <c r="I1274" s="3" t="s">
        <v>5990</v>
      </c>
      <c r="J1274" s="3" t="s">
        <v>7551</v>
      </c>
      <c r="K1274" s="4" t="b">
        <f>J1274 = "blocking"</f>
        <v>0</v>
      </c>
      <c r="L1274" s="3" t="s">
        <v>1451</v>
      </c>
      <c r="M1274" s="3" t="s">
        <v>7616</v>
      </c>
      <c r="N1274" s="5">
        <v>46223.1297337963</v>
      </c>
      <c r="O1274" s="4" t="b">
        <f>L1274 = "PASS"</f>
        <v>0</v>
      </c>
      <c r="P1274" s="4" t="b">
        <f>L1274 = "FAIL"</f>
        <v>0</v>
      </c>
      <c r="Q1274" s="4" t="b">
        <f>AND(((P1274)=TRUE), ((K1274)=TRUE))</f>
        <v>0</v>
      </c>
      <c r="R1274" s="4" t="str">
        <f>IF(((O1274)=TRUE),  I1274,  "")</f>
      </c>
      <c r="S1274" s="4" t="str">
        <f>IF(((Q1274)=TRUE),  I1274,  "")</f>
      </c>
      <c r="T1274" s="3" t="s">
        <v>6001</v>
      </c>
    </row>
    <row r="1275">
      <c r="A1275" s="3" t="s">
        <v>7622</v>
      </c>
      <c r="B1275" s="4" t="str">
        <f>C1275 &amp; ": " &amp; D1275</f>
        <v>witness-discriminates: ProcedureVersions.RestsOnCompoundFragileKnowledge</v>
      </c>
      <c r="C1275" s="3" t="s">
        <v>7549</v>
      </c>
      <c r="D1275" s="3" t="s">
        <v>2771</v>
      </c>
      <c r="E1275" s="3" t="s">
        <v>1767</v>
      </c>
      <c r="F1275" s="3" t="s">
        <v>416</v>
      </c>
      <c r="G1275" s="3" t="s">
        <v>7550</v>
      </c>
      <c r="H1275" s="3" t="s">
        <v>2199</v>
      </c>
      <c r="I1275" s="3" t="s">
        <v>5990</v>
      </c>
      <c r="J1275" s="3" t="s">
        <v>7551</v>
      </c>
      <c r="K1275" s="4" t="b">
        <f>J1275 = "blocking"</f>
        <v>0</v>
      </c>
      <c r="L1275" s="3" t="s">
        <v>1448</v>
      </c>
      <c r="M1275" s="3" t="s">
        <v>7604</v>
      </c>
      <c r="N1275" s="5">
        <v>46223.1297337963</v>
      </c>
      <c r="O1275" s="4" t="b">
        <f>L1275 = "PASS"</f>
        <v>1</v>
      </c>
      <c r="P1275" s="4" t="b">
        <f>L1275 = "FAIL"</f>
        <v>0</v>
      </c>
      <c r="Q1275" s="4" t="b">
        <f>AND(((P1275)=TRUE), ((K1275)=TRUE))</f>
        <v>0</v>
      </c>
      <c r="R1275" s="4" t="str">
        <f>IF(((O1275)=TRUE),  I1275,  "")</f>
        <v>suite-witness</v>
      </c>
      <c r="S1275" s="4" t="str">
        <f>IF(((Q1275)=TRUE),  I1275,  "")</f>
      </c>
      <c r="T1275" s="3" t="s">
        <v>6001</v>
      </c>
    </row>
    <row r="1276">
      <c r="A1276" s="3" t="s">
        <v>7623</v>
      </c>
      <c r="B1276" s="4" t="str">
        <f>C1276 &amp; ": " &amp; D1276</f>
        <v>witness-discriminates: ProcedureVersions.KnowledgeBaseIsConcentrated</v>
      </c>
      <c r="C1276" s="3" t="s">
        <v>7549</v>
      </c>
      <c r="D1276" s="3" t="s">
        <v>2775</v>
      </c>
      <c r="E1276" s="3" t="s">
        <v>1767</v>
      </c>
      <c r="F1276" s="3" t="s">
        <v>418</v>
      </c>
      <c r="G1276" s="3" t="s">
        <v>7550</v>
      </c>
      <c r="H1276" s="3" t="s">
        <v>2207</v>
      </c>
      <c r="I1276" s="3" t="s">
        <v>5990</v>
      </c>
      <c r="J1276" s="3" t="s">
        <v>7551</v>
      </c>
      <c r="K1276" s="4" t="b">
        <f>J1276 = "blocking"</f>
        <v>0</v>
      </c>
      <c r="L1276" s="3" t="s">
        <v>1448</v>
      </c>
      <c r="M1276" s="3" t="s">
        <v>7604</v>
      </c>
      <c r="N1276" s="5">
        <v>46223.1297337963</v>
      </c>
      <c r="O1276" s="4" t="b">
        <f>L1276 = "PASS"</f>
        <v>1</v>
      </c>
      <c r="P1276" s="4" t="b">
        <f>L1276 = "FAIL"</f>
        <v>0</v>
      </c>
      <c r="Q1276" s="4" t="b">
        <f>AND(((P1276)=TRUE), ((K1276)=TRUE))</f>
        <v>0</v>
      </c>
      <c r="R1276" s="4" t="str">
        <f>IF(((O1276)=TRUE),  I1276,  "")</f>
        <v>suite-witness</v>
      </c>
      <c r="S1276" s="4" t="str">
        <f>IF(((Q1276)=TRUE),  I1276,  "")</f>
      </c>
      <c r="T1276" s="3" t="s">
        <v>6001</v>
      </c>
    </row>
    <row r="1277">
      <c r="A1277" s="3" t="s">
        <v>7624</v>
      </c>
      <c r="B1277" s="4" t="str">
        <f>C1277 &amp; ": " &amp; D1277</f>
        <v>witness-discriminates: ProcedureVersions.FeedsUnapprovedKnowledgeToMachines</v>
      </c>
      <c r="C1277" s="3" t="s">
        <v>7549</v>
      </c>
      <c r="D1277" s="3" t="s">
        <v>2779</v>
      </c>
      <c r="E1277" s="3" t="s">
        <v>1767</v>
      </c>
      <c r="F1277" s="3" t="s">
        <v>420</v>
      </c>
      <c r="G1277" s="3" t="s">
        <v>7550</v>
      </c>
      <c r="H1277" s="3" t="s">
        <v>2211</v>
      </c>
      <c r="I1277" s="3" t="s">
        <v>5990</v>
      </c>
      <c r="J1277" s="3" t="s">
        <v>7551</v>
      </c>
      <c r="K1277" s="4" t="b">
        <f>J1277 = "blocking"</f>
        <v>0</v>
      </c>
      <c r="L1277" s="3" t="s">
        <v>1448</v>
      </c>
      <c r="M1277" s="3" t="s">
        <v>7604</v>
      </c>
      <c r="N1277" s="5">
        <v>46223.1297337963</v>
      </c>
      <c r="O1277" s="4" t="b">
        <f>L1277 = "PASS"</f>
        <v>1</v>
      </c>
      <c r="P1277" s="4" t="b">
        <f>L1277 = "FAIL"</f>
        <v>0</v>
      </c>
      <c r="Q1277" s="4" t="b">
        <f>AND(((P1277)=TRUE), ((K1277)=TRUE))</f>
        <v>0</v>
      </c>
      <c r="R1277" s="4" t="str">
        <f>IF(((O1277)=TRUE),  I1277,  "")</f>
        <v>suite-witness</v>
      </c>
      <c r="S1277" s="4" t="str">
        <f>IF(((Q1277)=TRUE),  I1277,  "")</f>
      </c>
      <c r="T1277" s="3" t="s">
        <v>6001</v>
      </c>
    </row>
    <row r="1278">
      <c r="A1278" s="3" t="s">
        <v>7625</v>
      </c>
      <c r="B1278" s="4" t="str">
        <f>C1278 &amp; ": " &amp; D1278</f>
        <v>witness-discriminates: ProcedureVersions.IsBlockedOnPendingDecision</v>
      </c>
      <c r="C1278" s="3" t="s">
        <v>7549</v>
      </c>
      <c r="D1278" s="3" t="s">
        <v>2787</v>
      </c>
      <c r="E1278" s="3" t="s">
        <v>1767</v>
      </c>
      <c r="F1278" s="3" t="s">
        <v>424</v>
      </c>
      <c r="G1278" s="3" t="s">
        <v>7550</v>
      </c>
      <c r="H1278" s="3" t="s">
        <v>2219</v>
      </c>
      <c r="I1278" s="3" t="s">
        <v>5990</v>
      </c>
      <c r="J1278" s="3" t="s">
        <v>7551</v>
      </c>
      <c r="K1278" s="4" t="b">
        <f>J1278 = "blocking"</f>
        <v>0</v>
      </c>
      <c r="L1278" s="3" t="s">
        <v>1451</v>
      </c>
      <c r="M1278" s="3" t="s">
        <v>7606</v>
      </c>
      <c r="N1278" s="5">
        <v>46223.1297337963</v>
      </c>
      <c r="O1278" s="4" t="b">
        <f>L1278 = "PASS"</f>
        <v>0</v>
      </c>
      <c r="P1278" s="4" t="b">
        <f>L1278 = "FAIL"</f>
        <v>0</v>
      </c>
      <c r="Q1278" s="4" t="b">
        <f>AND(((P1278)=TRUE), ((K1278)=TRUE))</f>
        <v>0</v>
      </c>
      <c r="R1278" s="4" t="str">
        <f>IF(((O1278)=TRUE),  I1278,  "")</f>
      </c>
      <c r="S1278" s="4" t="str">
        <f>IF(((Q1278)=TRUE),  I1278,  "")</f>
      </c>
      <c r="T1278" s="3" t="s">
        <v>6001</v>
      </c>
    </row>
    <row r="1279">
      <c r="A1279" s="3" t="s">
        <v>7626</v>
      </c>
      <c r="B1279" s="4" t="str">
        <f>C1279 &amp; ": " &amp; D1279</f>
        <v>witness-discriminates: ProcedureVersions.AiBoundaryIsUnevidenced</v>
      </c>
      <c r="C1279" s="3" t="s">
        <v>7549</v>
      </c>
      <c r="D1279" s="3" t="s">
        <v>2791</v>
      </c>
      <c r="E1279" s="3" t="s">
        <v>1767</v>
      </c>
      <c r="F1279" s="3" t="s">
        <v>426</v>
      </c>
      <c r="G1279" s="3" t="s">
        <v>7550</v>
      </c>
      <c r="H1279" s="3" t="s">
        <v>2223</v>
      </c>
      <c r="I1279" s="3" t="s">
        <v>5990</v>
      </c>
      <c r="J1279" s="3" t="s">
        <v>7551</v>
      </c>
      <c r="K1279" s="4" t="b">
        <f>J1279 = "blocking"</f>
        <v>0</v>
      </c>
      <c r="L1279" s="3" t="s">
        <v>1448</v>
      </c>
      <c r="M1279" s="3" t="s">
        <v>7608</v>
      </c>
      <c r="N1279" s="5">
        <v>46223.1297337963</v>
      </c>
      <c r="O1279" s="4" t="b">
        <f>L1279 = "PASS"</f>
        <v>1</v>
      </c>
      <c r="P1279" s="4" t="b">
        <f>L1279 = "FAIL"</f>
        <v>0</v>
      </c>
      <c r="Q1279" s="4" t="b">
        <f>AND(((P1279)=TRUE), ((K1279)=TRUE))</f>
        <v>0</v>
      </c>
      <c r="R1279" s="4" t="str">
        <f>IF(((O1279)=TRUE),  I1279,  "")</f>
        <v>suite-witness</v>
      </c>
      <c r="S1279" s="4" t="str">
        <f>IF(((Q1279)=TRUE),  I1279,  "")</f>
      </c>
      <c r="T1279" s="3" t="s">
        <v>6001</v>
      </c>
    </row>
    <row r="1280">
      <c r="A1280" s="3" t="s">
        <v>7627</v>
      </c>
      <c r="B1280" s="4" t="str">
        <f>C1280 &amp; ": " &amp; D1280</f>
        <v>witness-discriminates: ProcedureVersions.HasUnrehearsedControlEntry</v>
      </c>
      <c r="C1280" s="3" t="s">
        <v>7549</v>
      </c>
      <c r="D1280" s="3" t="s">
        <v>2799</v>
      </c>
      <c r="E1280" s="3" t="s">
        <v>1767</v>
      </c>
      <c r="F1280" s="3" t="s">
        <v>430</v>
      </c>
      <c r="G1280" s="3" t="s">
        <v>7550</v>
      </c>
      <c r="H1280" s="3" t="s">
        <v>2239</v>
      </c>
      <c r="I1280" s="3" t="s">
        <v>5990</v>
      </c>
      <c r="J1280" s="3" t="s">
        <v>7551</v>
      </c>
      <c r="K1280" s="4" t="b">
        <f>J1280 = "blocking"</f>
        <v>0</v>
      </c>
      <c r="L1280" s="3" t="s">
        <v>1448</v>
      </c>
      <c r="M1280" s="3" t="s">
        <v>7608</v>
      </c>
      <c r="N1280" s="5">
        <v>46223.1297337963</v>
      </c>
      <c r="O1280" s="4" t="b">
        <f>L1280 = "PASS"</f>
        <v>1</v>
      </c>
      <c r="P1280" s="4" t="b">
        <f>L1280 = "FAIL"</f>
        <v>0</v>
      </c>
      <c r="Q1280" s="4" t="b">
        <f>AND(((P1280)=TRUE), ((K1280)=TRUE))</f>
        <v>0</v>
      </c>
      <c r="R1280" s="4" t="str">
        <f>IF(((O1280)=TRUE),  I1280,  "")</f>
        <v>suite-witness</v>
      </c>
      <c r="S1280" s="4" t="str">
        <f>IF(((Q1280)=TRUE),  I1280,  "")</f>
      </c>
      <c r="T1280" s="3" t="s">
        <v>6001</v>
      </c>
    </row>
    <row r="1281">
      <c r="A1281" s="3" t="s">
        <v>7628</v>
      </c>
      <c r="B1281" s="4" t="str">
        <f>C1281 &amp; ": " &amp; D1281</f>
        <v>witness-discriminates: ProcedureVersions.IsLiveWithUnrehearsedControl</v>
      </c>
      <c r="C1281" s="3" t="s">
        <v>7549</v>
      </c>
      <c r="D1281" s="3" t="s">
        <v>2801</v>
      </c>
      <c r="E1281" s="3" t="s">
        <v>1767</v>
      </c>
      <c r="F1281" s="3" t="s">
        <v>431</v>
      </c>
      <c r="G1281" s="3" t="s">
        <v>7550</v>
      </c>
      <c r="H1281" s="3" t="s">
        <v>2239</v>
      </c>
      <c r="I1281" s="3" t="s">
        <v>5990</v>
      </c>
      <c r="J1281" s="3" t="s">
        <v>7551</v>
      </c>
      <c r="K1281" s="4" t="b">
        <f>J1281 = "blocking"</f>
        <v>0</v>
      </c>
      <c r="L1281" s="3" t="s">
        <v>1448</v>
      </c>
      <c r="M1281" s="3" t="s">
        <v>7608</v>
      </c>
      <c r="N1281" s="5">
        <v>46223.1297337963</v>
      </c>
      <c r="O1281" s="4" t="b">
        <f>L1281 = "PASS"</f>
        <v>1</v>
      </c>
      <c r="P1281" s="4" t="b">
        <f>L1281 = "FAIL"</f>
        <v>0</v>
      </c>
      <c r="Q1281" s="4" t="b">
        <f>AND(((P1281)=TRUE), ((K1281)=TRUE))</f>
        <v>0</v>
      </c>
      <c r="R1281" s="4" t="str">
        <f>IF(((O1281)=TRUE),  I1281,  "")</f>
        <v>suite-witness</v>
      </c>
      <c r="S1281" s="4" t="str">
        <f>IF(((Q1281)=TRUE),  I1281,  "")</f>
      </c>
      <c r="T1281" s="3" t="s">
        <v>6001</v>
      </c>
    </row>
    <row r="1282">
      <c r="A1282" s="3" t="s">
        <v>7629</v>
      </c>
      <c r="B1282" s="4" t="str">
        <f>C1282 &amp; ": " &amp; D1282</f>
        <v>witness-discriminates: ProcedureVersions.IsInCadenceBreach</v>
      </c>
      <c r="C1282" s="3" t="s">
        <v>7549</v>
      </c>
      <c r="D1282" s="3" t="s">
        <v>2805</v>
      </c>
      <c r="E1282" s="3" t="s">
        <v>1767</v>
      </c>
      <c r="F1282" s="3" t="s">
        <v>433</v>
      </c>
      <c r="G1282" s="3" t="s">
        <v>7550</v>
      </c>
      <c r="H1282" s="3" t="s">
        <v>2243</v>
      </c>
      <c r="I1282" s="3" t="s">
        <v>5990</v>
      </c>
      <c r="J1282" s="3" t="s">
        <v>7551</v>
      </c>
      <c r="K1282" s="4" t="b">
        <f>J1282 = "blocking"</f>
        <v>0</v>
      </c>
      <c r="L1282" s="3" t="s">
        <v>1448</v>
      </c>
      <c r="M1282" s="3" t="s">
        <v>7604</v>
      </c>
      <c r="N1282" s="5">
        <v>46223.1297337963</v>
      </c>
      <c r="O1282" s="4" t="b">
        <f>L1282 = "PASS"</f>
        <v>1</v>
      </c>
      <c r="P1282" s="4" t="b">
        <f>L1282 = "FAIL"</f>
        <v>0</v>
      </c>
      <c r="Q1282" s="4" t="b">
        <f>AND(((P1282)=TRUE), ((K1282)=TRUE))</f>
        <v>0</v>
      </c>
      <c r="R1282" s="4" t="str">
        <f>IF(((O1282)=TRUE),  I1282,  "")</f>
        <v>suite-witness</v>
      </c>
      <c r="S1282" s="4" t="str">
        <f>IF(((Q1282)=TRUE),  I1282,  "")</f>
      </c>
      <c r="T1282" s="3" t="s">
        <v>6001</v>
      </c>
    </row>
    <row r="1283">
      <c r="A1283" s="3" t="s">
        <v>7630</v>
      </c>
      <c r="B1283" s="4" t="str">
        <f>C1283 &amp; ": " &amp; D1283</f>
        <v>witness-discriminates: ProcedureVersions.HasDecisionInFlight</v>
      </c>
      <c r="C1283" s="3" t="s">
        <v>7549</v>
      </c>
      <c r="D1283" s="3" t="s">
        <v>2807</v>
      </c>
      <c r="E1283" s="3" t="s">
        <v>1767</v>
      </c>
      <c r="F1283" s="3" t="s">
        <v>434</v>
      </c>
      <c r="G1283" s="3" t="s">
        <v>7550</v>
      </c>
      <c r="H1283" s="3" t="s">
        <v>2243</v>
      </c>
      <c r="I1283" s="3" t="s">
        <v>5990</v>
      </c>
      <c r="J1283" s="3" t="s">
        <v>7551</v>
      </c>
      <c r="K1283" s="4" t="b">
        <f>J1283 = "blocking"</f>
        <v>0</v>
      </c>
      <c r="L1283" s="3" t="s">
        <v>1448</v>
      </c>
      <c r="M1283" s="3" t="s">
        <v>7604</v>
      </c>
      <c r="N1283" s="5">
        <v>46223.1297337963</v>
      </c>
      <c r="O1283" s="4" t="b">
        <f>L1283 = "PASS"</f>
        <v>1</v>
      </c>
      <c r="P1283" s="4" t="b">
        <f>L1283 = "FAIL"</f>
        <v>0</v>
      </c>
      <c r="Q1283" s="4" t="b">
        <f>AND(((P1283)=TRUE), ((K1283)=TRUE))</f>
        <v>0</v>
      </c>
      <c r="R1283" s="4" t="str">
        <f>IF(((O1283)=TRUE),  I1283,  "")</f>
        <v>suite-witness</v>
      </c>
      <c r="S1283" s="4" t="str">
        <f>IF(((Q1283)=TRUE),  I1283,  "")</f>
      </c>
      <c r="T1283" s="3" t="s">
        <v>6001</v>
      </c>
    </row>
    <row r="1284">
      <c r="A1284" s="3" t="s">
        <v>7631</v>
      </c>
      <c r="B1284" s="4" t="str">
        <f>C1284 &amp; ": " &amp; D1284</f>
        <v>witness-discriminates: ProcedureVersions.IsUnremediatedCadenceBreach</v>
      </c>
      <c r="C1284" s="3" t="s">
        <v>7549</v>
      </c>
      <c r="D1284" s="3" t="s">
        <v>2809</v>
      </c>
      <c r="E1284" s="3" t="s">
        <v>1767</v>
      </c>
      <c r="F1284" s="3" t="s">
        <v>435</v>
      </c>
      <c r="G1284" s="3" t="s">
        <v>7550</v>
      </c>
      <c r="H1284" s="3" t="s">
        <v>2243</v>
      </c>
      <c r="I1284" s="3" t="s">
        <v>5990</v>
      </c>
      <c r="J1284" s="3" t="s">
        <v>7551</v>
      </c>
      <c r="K1284" s="4" t="b">
        <f>J1284 = "blocking"</f>
        <v>0</v>
      </c>
      <c r="L1284" s="3" t="s">
        <v>1448</v>
      </c>
      <c r="M1284" s="3" t="s">
        <v>7604</v>
      </c>
      <c r="N1284" s="5">
        <v>46223.1297337963</v>
      </c>
      <c r="O1284" s="4" t="b">
        <f>L1284 = "PASS"</f>
        <v>1</v>
      </c>
      <c r="P1284" s="4" t="b">
        <f>L1284 = "FAIL"</f>
        <v>0</v>
      </c>
      <c r="Q1284" s="4" t="b">
        <f>AND(((P1284)=TRUE), ((K1284)=TRUE))</f>
        <v>0</v>
      </c>
      <c r="R1284" s="4" t="str">
        <f>IF(((O1284)=TRUE),  I1284,  "")</f>
        <v>suite-witness</v>
      </c>
      <c r="S1284" s="4" t="str">
        <f>IF(((Q1284)=TRUE),  I1284,  "")</f>
      </c>
      <c r="T1284" s="3" t="s">
        <v>6001</v>
      </c>
    </row>
    <row r="1285">
      <c r="A1285" s="3" t="s">
        <v>7632</v>
      </c>
      <c r="B1285" s="4" t="str">
        <f>C1285 &amp; ": " &amp; D1285</f>
        <v>witness-discriminates: ProcedureVersions.IsManagedCadenceBreach</v>
      </c>
      <c r="C1285" s="3" t="s">
        <v>7549</v>
      </c>
      <c r="D1285" s="3" t="s">
        <v>2811</v>
      </c>
      <c r="E1285" s="3" t="s">
        <v>1767</v>
      </c>
      <c r="F1285" s="3" t="s">
        <v>436</v>
      </c>
      <c r="G1285" s="3" t="s">
        <v>7550</v>
      </c>
      <c r="H1285" s="3" t="s">
        <v>2243</v>
      </c>
      <c r="I1285" s="3" t="s">
        <v>5990</v>
      </c>
      <c r="J1285" s="3" t="s">
        <v>7551</v>
      </c>
      <c r="K1285" s="4" t="b">
        <f>J1285 = "blocking"</f>
        <v>0</v>
      </c>
      <c r="L1285" s="3" t="s">
        <v>1451</v>
      </c>
      <c r="M1285" s="3" t="s">
        <v>7606</v>
      </c>
      <c r="N1285" s="5">
        <v>46223.1297337963</v>
      </c>
      <c r="O1285" s="4" t="b">
        <f>L1285 = "PASS"</f>
        <v>0</v>
      </c>
      <c r="P1285" s="4" t="b">
        <f>L1285 = "FAIL"</f>
        <v>0</v>
      </c>
      <c r="Q1285" s="4" t="b">
        <f>AND(((P1285)=TRUE), ((K1285)=TRUE))</f>
        <v>0</v>
      </c>
      <c r="R1285" s="4" t="str">
        <f>IF(((O1285)=TRUE),  I1285,  "")</f>
      </c>
      <c r="S1285" s="4" t="str">
        <f>IF(((Q1285)=TRUE),  I1285,  "")</f>
      </c>
      <c r="T1285" s="3" t="s">
        <v>6001</v>
      </c>
    </row>
    <row r="1286">
      <c r="A1286" s="3" t="s">
        <v>7633</v>
      </c>
      <c r="B1286" s="4" t="str">
        <f>C1286 &amp; ": " &amp; D1286</f>
        <v>witness-discriminates: ProcedureVersions.GovernanceIsSilent</v>
      </c>
      <c r="C1286" s="3" t="s">
        <v>7549</v>
      </c>
      <c r="D1286" s="3" t="s">
        <v>2813</v>
      </c>
      <c r="E1286" s="3" t="s">
        <v>1767</v>
      </c>
      <c r="F1286" s="3" t="s">
        <v>437</v>
      </c>
      <c r="G1286" s="3" t="s">
        <v>7550</v>
      </c>
      <c r="H1286" s="3" t="s">
        <v>2243</v>
      </c>
      <c r="I1286" s="3" t="s">
        <v>5990</v>
      </c>
      <c r="J1286" s="3" t="s">
        <v>7551</v>
      </c>
      <c r="K1286" s="4" t="b">
        <f>J1286 = "blocking"</f>
        <v>0</v>
      </c>
      <c r="L1286" s="3" t="s">
        <v>1451</v>
      </c>
      <c r="M1286" s="3" t="s">
        <v>7606</v>
      </c>
      <c r="N1286" s="5">
        <v>46223.1297337963</v>
      </c>
      <c r="O1286" s="4" t="b">
        <f>L1286 = "PASS"</f>
        <v>0</v>
      </c>
      <c r="P1286" s="4" t="b">
        <f>L1286 = "FAIL"</f>
        <v>0</v>
      </c>
      <c r="Q1286" s="4" t="b">
        <f>AND(((P1286)=TRUE), ((K1286)=TRUE))</f>
        <v>0</v>
      </c>
      <c r="R1286" s="4" t="str">
        <f>IF(((O1286)=TRUE),  I1286,  "")</f>
      </c>
      <c r="S1286" s="4" t="str">
        <f>IF(((Q1286)=TRUE),  I1286,  "")</f>
      </c>
      <c r="T1286" s="3" t="s">
        <v>6001</v>
      </c>
    </row>
    <row r="1287">
      <c r="A1287" s="3" t="s">
        <v>7634</v>
      </c>
      <c r="B1287" s="4" t="str">
        <f>C1287 &amp; ": " &amp; D1287</f>
        <v>witness-discriminates: ProcedureVersions.StillOwnsValidKnowledge</v>
      </c>
      <c r="C1287" s="3" t="s">
        <v>7549</v>
      </c>
      <c r="D1287" s="3" t="s">
        <v>2817</v>
      </c>
      <c r="E1287" s="3" t="s">
        <v>1767</v>
      </c>
      <c r="F1287" s="3" t="s">
        <v>439</v>
      </c>
      <c r="G1287" s="3" t="s">
        <v>7550</v>
      </c>
      <c r="H1287" s="3" t="s">
        <v>2247</v>
      </c>
      <c r="I1287" s="3" t="s">
        <v>5990</v>
      </c>
      <c r="J1287" s="3" t="s">
        <v>7551</v>
      </c>
      <c r="K1287" s="4" t="b">
        <f>J1287 = "blocking"</f>
        <v>0</v>
      </c>
      <c r="L1287" s="3" t="s">
        <v>1448</v>
      </c>
      <c r="M1287" s="3" t="s">
        <v>7608</v>
      </c>
      <c r="N1287" s="5">
        <v>46223.1297337963</v>
      </c>
      <c r="O1287" s="4" t="b">
        <f>L1287 = "PASS"</f>
        <v>1</v>
      </c>
      <c r="P1287" s="4" t="b">
        <f>L1287 = "FAIL"</f>
        <v>0</v>
      </c>
      <c r="Q1287" s="4" t="b">
        <f>AND(((P1287)=TRUE), ((K1287)=TRUE))</f>
        <v>0</v>
      </c>
      <c r="R1287" s="4" t="str">
        <f>IF(((O1287)=TRUE),  I1287,  "")</f>
        <v>suite-witness</v>
      </c>
      <c r="S1287" s="4" t="str">
        <f>IF(((Q1287)=TRUE),  I1287,  "")</f>
      </c>
      <c r="T1287" s="3" t="s">
        <v>6001</v>
      </c>
    </row>
    <row r="1288">
      <c r="A1288" s="3" t="s">
        <v>7635</v>
      </c>
      <c r="B1288" s="4" t="str">
        <f>C1288 &amp; ": " &amp; D1288</f>
        <v>witness-discriminates: ProcedureVersions.IsStillReferenced</v>
      </c>
      <c r="C1288" s="3" t="s">
        <v>7549</v>
      </c>
      <c r="D1288" s="3" t="s">
        <v>2821</v>
      </c>
      <c r="E1288" s="3" t="s">
        <v>1767</v>
      </c>
      <c r="F1288" s="3" t="s">
        <v>441</v>
      </c>
      <c r="G1288" s="3" t="s">
        <v>7550</v>
      </c>
      <c r="H1288" s="3" t="s">
        <v>2247</v>
      </c>
      <c r="I1288" s="3" t="s">
        <v>5990</v>
      </c>
      <c r="J1288" s="3" t="s">
        <v>7551</v>
      </c>
      <c r="K1288" s="4" t="b">
        <f>J1288 = "blocking"</f>
        <v>0</v>
      </c>
      <c r="L1288" s="3" t="s">
        <v>1448</v>
      </c>
      <c r="M1288" s="3" t="s">
        <v>7604</v>
      </c>
      <c r="N1288" s="5">
        <v>46223.1297337963</v>
      </c>
      <c r="O1288" s="4" t="b">
        <f>L1288 = "PASS"</f>
        <v>1</v>
      </c>
      <c r="P1288" s="4" t="b">
        <f>L1288 = "FAIL"</f>
        <v>0</v>
      </c>
      <c r="Q1288" s="4" t="b">
        <f>AND(((P1288)=TRUE), ((K1288)=TRUE))</f>
        <v>0</v>
      </c>
      <c r="R1288" s="4" t="str">
        <f>IF(((O1288)=TRUE),  I1288,  "")</f>
        <v>suite-witness</v>
      </c>
      <c r="S1288" s="4" t="str">
        <f>IF(((Q1288)=TRUE),  I1288,  "")</f>
      </c>
      <c r="T1288" s="3" t="s">
        <v>6001</v>
      </c>
    </row>
    <row r="1289">
      <c r="A1289" s="3" t="s">
        <v>7636</v>
      </c>
      <c r="B1289" s="4" t="str">
        <f>C1289 &amp; ": " &amp; D1289</f>
        <v>witness-discriminates: ProcedureVersions.IsLoadBearingOrphan</v>
      </c>
      <c r="C1289" s="3" t="s">
        <v>7549</v>
      </c>
      <c r="D1289" s="3" t="s">
        <v>2823</v>
      </c>
      <c r="E1289" s="3" t="s">
        <v>1767</v>
      </c>
      <c r="F1289" s="3" t="s">
        <v>442</v>
      </c>
      <c r="G1289" s="3" t="s">
        <v>7550</v>
      </c>
      <c r="H1289" s="3" t="s">
        <v>2247</v>
      </c>
      <c r="I1289" s="3" t="s">
        <v>5990</v>
      </c>
      <c r="J1289" s="3" t="s">
        <v>7551</v>
      </c>
      <c r="K1289" s="4" t="b">
        <f>J1289 = "blocking"</f>
        <v>0</v>
      </c>
      <c r="L1289" s="3" t="s">
        <v>1448</v>
      </c>
      <c r="M1289" s="3" t="s">
        <v>7604</v>
      </c>
      <c r="N1289" s="5">
        <v>46223.1297337963</v>
      </c>
      <c r="O1289" s="4" t="b">
        <f>L1289 = "PASS"</f>
        <v>1</v>
      </c>
      <c r="P1289" s="4" t="b">
        <f>L1289 = "FAIL"</f>
        <v>0</v>
      </c>
      <c r="Q1289" s="4" t="b">
        <f>AND(((P1289)=TRUE), ((K1289)=TRUE))</f>
        <v>0</v>
      </c>
      <c r="R1289" s="4" t="str">
        <f>IF(((O1289)=TRUE),  I1289,  "")</f>
        <v>suite-witness</v>
      </c>
      <c r="S1289" s="4" t="str">
        <f>IF(((Q1289)=TRUE),  I1289,  "")</f>
      </c>
      <c r="T1289" s="3" t="s">
        <v>6001</v>
      </c>
    </row>
    <row r="1290">
      <c r="A1290" s="3" t="s">
        <v>7637</v>
      </c>
      <c r="B1290" s="4" t="str">
        <f>C1290 &amp; ": " &amp; D1290</f>
        <v>witness-discriminates: ProcedureVersions.IsCleanlyRetired</v>
      </c>
      <c r="C1290" s="3" t="s">
        <v>7549</v>
      </c>
      <c r="D1290" s="3" t="s">
        <v>2825</v>
      </c>
      <c r="E1290" s="3" t="s">
        <v>1767</v>
      </c>
      <c r="F1290" s="3" t="s">
        <v>443</v>
      </c>
      <c r="G1290" s="3" t="s">
        <v>7550</v>
      </c>
      <c r="H1290" s="3" t="s">
        <v>2247</v>
      </c>
      <c r="I1290" s="3" t="s">
        <v>5990</v>
      </c>
      <c r="J1290" s="3" t="s">
        <v>7551</v>
      </c>
      <c r="K1290" s="4" t="b">
        <f>J1290 = "blocking"</f>
        <v>0</v>
      </c>
      <c r="L1290" s="3" t="s">
        <v>1451</v>
      </c>
      <c r="M1290" s="3" t="s">
        <v>7606</v>
      </c>
      <c r="N1290" s="5">
        <v>46223.1297337963</v>
      </c>
      <c r="O1290" s="4" t="b">
        <f>L1290 = "PASS"</f>
        <v>0</v>
      </c>
      <c r="P1290" s="4" t="b">
        <f>L1290 = "FAIL"</f>
        <v>0</v>
      </c>
      <c r="Q1290" s="4" t="b">
        <f>AND(((P1290)=TRUE), ((K1290)=TRUE))</f>
        <v>0</v>
      </c>
      <c r="R1290" s="4" t="str">
        <f>IF(((O1290)=TRUE),  I1290,  "")</f>
      </c>
      <c r="S1290" s="4" t="str">
        <f>IF(((Q1290)=TRUE),  I1290,  "")</f>
      </c>
      <c r="T1290" s="3" t="s">
        <v>6001</v>
      </c>
    </row>
    <row r="1291">
      <c r="A1291" s="3" t="s">
        <v>7638</v>
      </c>
      <c r="B1291" s="4" t="str">
        <f>C1291 &amp; ": " &amp; D1291</f>
        <v>witness-discriminates: ProcedureVersions.IsHeldUnfitByLandedDecisions</v>
      </c>
      <c r="C1291" s="3" t="s">
        <v>7549</v>
      </c>
      <c r="D1291" s="3" t="s">
        <v>2829</v>
      </c>
      <c r="E1291" s="3" t="s">
        <v>1767</v>
      </c>
      <c r="F1291" s="3" t="s">
        <v>445</v>
      </c>
      <c r="G1291" s="3" t="s">
        <v>7550</v>
      </c>
      <c r="H1291" s="3" t="s">
        <v>2251</v>
      </c>
      <c r="I1291" s="3" t="s">
        <v>5990</v>
      </c>
      <c r="J1291" s="3" t="s">
        <v>7551</v>
      </c>
      <c r="K1291" s="4" t="b">
        <f>J1291 = "blocking"</f>
        <v>0</v>
      </c>
      <c r="L1291" s="3" t="s">
        <v>1451</v>
      </c>
      <c r="M1291" s="3" t="s">
        <v>7606</v>
      </c>
      <c r="N1291" s="5">
        <v>46223.1297337963</v>
      </c>
      <c r="O1291" s="4" t="b">
        <f>L1291 = "PASS"</f>
        <v>0</v>
      </c>
      <c r="P1291" s="4" t="b">
        <f>L1291 = "FAIL"</f>
        <v>0</v>
      </c>
      <c r="Q1291" s="4" t="b">
        <f>AND(((P1291)=TRUE), ((K1291)=TRUE))</f>
        <v>0</v>
      </c>
      <c r="R1291" s="4" t="str">
        <f>IF(((O1291)=TRUE),  I1291,  "")</f>
      </c>
      <c r="S1291" s="4" t="str">
        <f>IF(((Q1291)=TRUE),  I1291,  "")</f>
      </c>
      <c r="T1291" s="3" t="s">
        <v>6001</v>
      </c>
    </row>
    <row r="1292">
      <c r="A1292" s="3" t="s">
        <v>7639</v>
      </c>
      <c r="B1292" s="4" t="str">
        <f>C1292 &amp; ": " &amp; D1292</f>
        <v>witness-discriminates: ProcedureVersions.ControlTaxonomyIsIncomplete</v>
      </c>
      <c r="C1292" s="3" t="s">
        <v>7549</v>
      </c>
      <c r="D1292" s="3" t="s">
        <v>2833</v>
      </c>
      <c r="E1292" s="3" t="s">
        <v>1767</v>
      </c>
      <c r="F1292" s="3" t="s">
        <v>447</v>
      </c>
      <c r="G1292" s="3" t="s">
        <v>7550</v>
      </c>
      <c r="H1292" s="3" t="s">
        <v>2255</v>
      </c>
      <c r="I1292" s="3" t="s">
        <v>5990</v>
      </c>
      <c r="J1292" s="3" t="s">
        <v>7551</v>
      </c>
      <c r="K1292" s="4" t="b">
        <f>J1292 = "blocking"</f>
        <v>0</v>
      </c>
      <c r="L1292" s="3" t="s">
        <v>1451</v>
      </c>
      <c r="M1292" s="3" t="s">
        <v>7606</v>
      </c>
      <c r="N1292" s="5">
        <v>46223.1297337963</v>
      </c>
      <c r="O1292" s="4" t="b">
        <f>L1292 = "PASS"</f>
        <v>0</v>
      </c>
      <c r="P1292" s="4" t="b">
        <f>L1292 = "FAIL"</f>
        <v>0</v>
      </c>
      <c r="Q1292" s="4" t="b">
        <f>AND(((P1292)=TRUE), ((K1292)=TRUE))</f>
        <v>0</v>
      </c>
      <c r="R1292" s="4" t="str">
        <f>IF(((O1292)=TRUE),  I1292,  "")</f>
      </c>
      <c r="S1292" s="4" t="str">
        <f>IF(((Q1292)=TRUE),  I1292,  "")</f>
      </c>
      <c r="T1292" s="3" t="s">
        <v>6001</v>
      </c>
    </row>
    <row r="1293">
      <c r="A1293" s="3" t="s">
        <v>7640</v>
      </c>
      <c r="B1293" s="4" t="str">
        <f>C1293 &amp; ": " &amp; D1293</f>
        <v>witness-discriminates: ProcedureVersions.HasApprovedChangeRequest</v>
      </c>
      <c r="C1293" s="3" t="s">
        <v>7549</v>
      </c>
      <c r="D1293" s="3" t="s">
        <v>2835</v>
      </c>
      <c r="E1293" s="3" t="s">
        <v>1767</v>
      </c>
      <c r="F1293" s="3" t="s">
        <v>448</v>
      </c>
      <c r="G1293" s="3" t="s">
        <v>7550</v>
      </c>
      <c r="H1293" s="3" t="s">
        <v>2295</v>
      </c>
      <c r="I1293" s="3" t="s">
        <v>5990</v>
      </c>
      <c r="J1293" s="3" t="s">
        <v>7551</v>
      </c>
      <c r="K1293" s="4" t="b">
        <f>J1293 = "blocking"</f>
        <v>0</v>
      </c>
      <c r="L1293" s="3" t="s">
        <v>1448</v>
      </c>
      <c r="M1293" s="3" t="s">
        <v>7604</v>
      </c>
      <c r="N1293" s="5">
        <v>46223.1297337963</v>
      </c>
      <c r="O1293" s="4" t="b">
        <f>L1293 = "PASS"</f>
        <v>1</v>
      </c>
      <c r="P1293" s="4" t="b">
        <f>L1293 = "FAIL"</f>
        <v>0</v>
      </c>
      <c r="Q1293" s="4" t="b">
        <f>AND(((P1293)=TRUE), ((K1293)=TRUE))</f>
        <v>0</v>
      </c>
      <c r="R1293" s="4" t="str">
        <f>IF(((O1293)=TRUE),  I1293,  "")</f>
        <v>suite-witness</v>
      </c>
      <c r="S1293" s="4" t="str">
        <f>IF(((Q1293)=TRUE),  I1293,  "")</f>
      </c>
      <c r="T1293" s="3" t="s">
        <v>6001</v>
      </c>
    </row>
    <row r="1294">
      <c r="A1294" s="3" t="s">
        <v>7641</v>
      </c>
      <c r="B1294" s="4" t="str">
        <f>C1294 &amp; ": " &amp; D1294</f>
        <v>witness-discriminates: Steps.IsPreparationStep</v>
      </c>
      <c r="C1294" s="3" t="s">
        <v>7549</v>
      </c>
      <c r="D1294" s="3" t="s">
        <v>2896</v>
      </c>
      <c r="E1294" s="3" t="s">
        <v>1778</v>
      </c>
      <c r="F1294" s="3" t="s">
        <v>513</v>
      </c>
      <c r="G1294" s="3" t="s">
        <v>7550</v>
      </c>
      <c r="H1294" s="3" t="s">
        <v>1979</v>
      </c>
      <c r="I1294" s="3" t="s">
        <v>5990</v>
      </c>
      <c r="J1294" s="3" t="s">
        <v>7551</v>
      </c>
      <c r="K1294" s="4" t="b">
        <f>J1294 = "blocking"</f>
        <v>0</v>
      </c>
      <c r="L1294" s="3" t="s">
        <v>1448</v>
      </c>
      <c r="M1294" s="3" t="s">
        <v>7642</v>
      </c>
      <c r="N1294" s="5">
        <v>46223.1297337963</v>
      </c>
      <c r="O1294" s="4" t="b">
        <f>L1294 = "PASS"</f>
        <v>1</v>
      </c>
      <c r="P1294" s="4" t="b">
        <f>L1294 = "FAIL"</f>
        <v>0</v>
      </c>
      <c r="Q1294" s="4" t="b">
        <f>AND(((P1294)=TRUE), ((K1294)=TRUE))</f>
        <v>0</v>
      </c>
      <c r="R1294" s="4" t="str">
        <f>IF(((O1294)=TRUE),  I1294,  "")</f>
        <v>suite-witness</v>
      </c>
      <c r="S1294" s="4" t="str">
        <f>IF(((Q1294)=TRUE),  I1294,  "")</f>
      </c>
      <c r="T1294" s="3" t="s">
        <v>6001</v>
      </c>
    </row>
    <row r="1295">
      <c r="A1295" s="3" t="s">
        <v>7643</v>
      </c>
      <c r="B1295" s="4" t="str">
        <f>C1295 &amp; ": " &amp; D1295</f>
        <v>witness-discriminates: Steps.IsApprovalStep</v>
      </c>
      <c r="C1295" s="3" t="s">
        <v>7549</v>
      </c>
      <c r="D1295" s="3" t="s">
        <v>2898</v>
      </c>
      <c r="E1295" s="3" t="s">
        <v>1778</v>
      </c>
      <c r="F1295" s="3" t="s">
        <v>514</v>
      </c>
      <c r="G1295" s="3" t="s">
        <v>7550</v>
      </c>
      <c r="H1295" s="3" t="s">
        <v>1979</v>
      </c>
      <c r="I1295" s="3" t="s">
        <v>5990</v>
      </c>
      <c r="J1295" s="3" t="s">
        <v>7551</v>
      </c>
      <c r="K1295" s="4" t="b">
        <f>J1295 = "blocking"</f>
        <v>0</v>
      </c>
      <c r="L1295" s="3" t="s">
        <v>1448</v>
      </c>
      <c r="M1295" s="3" t="s">
        <v>7642</v>
      </c>
      <c r="N1295" s="5">
        <v>46223.1297337963</v>
      </c>
      <c r="O1295" s="4" t="b">
        <f>L1295 = "PASS"</f>
        <v>1</v>
      </c>
      <c r="P1295" s="4" t="b">
        <f>L1295 = "FAIL"</f>
        <v>0</v>
      </c>
      <c r="Q1295" s="4" t="b">
        <f>AND(((P1295)=TRUE), ((K1295)=TRUE))</f>
        <v>0</v>
      </c>
      <c r="R1295" s="4" t="str">
        <f>IF(((O1295)=TRUE),  I1295,  "")</f>
        <v>suite-witness</v>
      </c>
      <c r="S1295" s="4" t="str">
        <f>IF(((Q1295)=TRUE),  I1295,  "")</f>
      </c>
      <c r="T1295" s="3" t="s">
        <v>6001</v>
      </c>
    </row>
    <row r="1296">
      <c r="A1296" s="3" t="s">
        <v>7644</v>
      </c>
      <c r="B1296" s="4" t="str">
        <f>C1296 &amp; ": " &amp; D1296</f>
        <v>witness-discriminates: Steps.InputsAreFresh</v>
      </c>
      <c r="C1296" s="3" t="s">
        <v>7549</v>
      </c>
      <c r="D1296" s="3" t="s">
        <v>2902</v>
      </c>
      <c r="E1296" s="3" t="s">
        <v>1778</v>
      </c>
      <c r="F1296" s="3" t="s">
        <v>516</v>
      </c>
      <c r="G1296" s="3" t="s">
        <v>7550</v>
      </c>
      <c r="H1296" s="3" t="s">
        <v>2123</v>
      </c>
      <c r="I1296" s="3" t="s">
        <v>5990</v>
      </c>
      <c r="J1296" s="3" t="s">
        <v>7551</v>
      </c>
      <c r="K1296" s="4" t="b">
        <f>J1296 = "blocking"</f>
        <v>0</v>
      </c>
      <c r="L1296" s="3" t="s">
        <v>1448</v>
      </c>
      <c r="M1296" s="3" t="s">
        <v>7645</v>
      </c>
      <c r="N1296" s="5">
        <v>46223.1297337963</v>
      </c>
      <c r="O1296" s="4" t="b">
        <f>L1296 = "PASS"</f>
        <v>1</v>
      </c>
      <c r="P1296" s="4" t="b">
        <f>L1296 = "FAIL"</f>
        <v>0</v>
      </c>
      <c r="Q1296" s="4" t="b">
        <f>AND(((P1296)=TRUE), ((K1296)=TRUE))</f>
        <v>0</v>
      </c>
      <c r="R1296" s="4" t="str">
        <f>IF(((O1296)=TRUE),  I1296,  "")</f>
        <v>suite-witness</v>
      </c>
      <c r="S1296" s="4" t="str">
        <f>IF(((Q1296)=TRUE),  I1296,  "")</f>
      </c>
      <c r="T1296" s="3" t="s">
        <v>6001</v>
      </c>
    </row>
    <row r="1297">
      <c r="A1297" s="3" t="s">
        <v>7646</v>
      </c>
      <c r="B1297" s="4" t="str">
        <f>C1297 &amp; ": " &amp; D1297</f>
        <v>witness-discriminates: Steps.IsSoftwareAssigned</v>
      </c>
      <c r="C1297" s="3" t="s">
        <v>7549</v>
      </c>
      <c r="D1297" s="3" t="s">
        <v>2904</v>
      </c>
      <c r="E1297" s="3" t="s">
        <v>1778</v>
      </c>
      <c r="F1297" s="3" t="s">
        <v>517</v>
      </c>
      <c r="G1297" s="3" t="s">
        <v>7550</v>
      </c>
      <c r="H1297" s="3" t="s">
        <v>2143</v>
      </c>
      <c r="I1297" s="3" t="s">
        <v>5990</v>
      </c>
      <c r="J1297" s="3" t="s">
        <v>7551</v>
      </c>
      <c r="K1297" s="4" t="b">
        <f>J1297 = "blocking"</f>
        <v>0</v>
      </c>
      <c r="L1297" s="3" t="s">
        <v>1448</v>
      </c>
      <c r="M1297" s="3" t="s">
        <v>7647</v>
      </c>
      <c r="N1297" s="5">
        <v>46223.1297337963</v>
      </c>
      <c r="O1297" s="4" t="b">
        <f>L1297 = "PASS"</f>
        <v>1</v>
      </c>
      <c r="P1297" s="4" t="b">
        <f>L1297 = "FAIL"</f>
        <v>0</v>
      </c>
      <c r="Q1297" s="4" t="b">
        <f>AND(((P1297)=TRUE), ((K1297)=TRUE))</f>
        <v>0</v>
      </c>
      <c r="R1297" s="4" t="str">
        <f>IF(((O1297)=TRUE),  I1297,  "")</f>
        <v>suite-witness</v>
      </c>
      <c r="S1297" s="4" t="str">
        <f>IF(((Q1297)=TRUE),  I1297,  "")</f>
      </c>
      <c r="T1297" s="3" t="s">
        <v>6001</v>
      </c>
    </row>
    <row r="1298">
      <c r="A1298" s="3" t="s">
        <v>7648</v>
      </c>
      <c r="B1298" s="4" t="str">
        <f>C1298 &amp; ": " &amp; D1298</f>
        <v>witness-discriminates: Steps.IsHumanApprovalGate</v>
      </c>
      <c r="C1298" s="3" t="s">
        <v>7549</v>
      </c>
      <c r="D1298" s="3" t="s">
        <v>2906</v>
      </c>
      <c r="E1298" s="3" t="s">
        <v>1778</v>
      </c>
      <c r="F1298" s="3" t="s">
        <v>518</v>
      </c>
      <c r="G1298" s="3" t="s">
        <v>7550</v>
      </c>
      <c r="H1298" s="3" t="s">
        <v>2143</v>
      </c>
      <c r="I1298" s="3" t="s">
        <v>5990</v>
      </c>
      <c r="J1298" s="3" t="s">
        <v>7551</v>
      </c>
      <c r="K1298" s="4" t="b">
        <f>J1298 = "blocking"</f>
        <v>0</v>
      </c>
      <c r="L1298" s="3" t="s">
        <v>1448</v>
      </c>
      <c r="M1298" s="3" t="s">
        <v>7642</v>
      </c>
      <c r="N1298" s="5">
        <v>46223.1297337963</v>
      </c>
      <c r="O1298" s="4" t="b">
        <f>L1298 = "PASS"</f>
        <v>1</v>
      </c>
      <c r="P1298" s="4" t="b">
        <f>L1298 = "FAIL"</f>
        <v>0</v>
      </c>
      <c r="Q1298" s="4" t="b">
        <f>AND(((P1298)=TRUE), ((K1298)=TRUE))</f>
        <v>0</v>
      </c>
      <c r="R1298" s="4" t="str">
        <f>IF(((O1298)=TRUE),  I1298,  "")</f>
        <v>suite-witness</v>
      </c>
      <c r="S1298" s="4" t="str">
        <f>IF(((Q1298)=TRUE),  I1298,  "")</f>
      </c>
      <c r="T1298" s="3" t="s">
        <v>6001</v>
      </c>
    </row>
    <row r="1299">
      <c r="A1299" s="3" t="s">
        <v>7649</v>
      </c>
      <c r="B1299" s="4" t="str">
        <f>C1299 &amp; ": " &amp; D1299</f>
        <v>witness-discriminates: Steps.GateHeldByHuman</v>
      </c>
      <c r="C1299" s="3" t="s">
        <v>7549</v>
      </c>
      <c r="D1299" s="3" t="s">
        <v>2908</v>
      </c>
      <c r="E1299" s="3" t="s">
        <v>1778</v>
      </c>
      <c r="F1299" s="3" t="s">
        <v>519</v>
      </c>
      <c r="G1299" s="3" t="s">
        <v>7550</v>
      </c>
      <c r="H1299" s="3" t="s">
        <v>2143</v>
      </c>
      <c r="I1299" s="3" t="s">
        <v>5990</v>
      </c>
      <c r="J1299" s="3" t="s">
        <v>7551</v>
      </c>
      <c r="K1299" s="4" t="b">
        <f>J1299 = "blocking"</f>
        <v>0</v>
      </c>
      <c r="L1299" s="3" t="s">
        <v>1448</v>
      </c>
      <c r="M1299" s="3" t="s">
        <v>7642</v>
      </c>
      <c r="N1299" s="5">
        <v>46223.1297337963</v>
      </c>
      <c r="O1299" s="4" t="b">
        <f>L1299 = "PASS"</f>
        <v>1</v>
      </c>
      <c r="P1299" s="4" t="b">
        <f>L1299 = "FAIL"</f>
        <v>0</v>
      </c>
      <c r="Q1299" s="4" t="b">
        <f>AND(((P1299)=TRUE), ((K1299)=TRUE))</f>
        <v>0</v>
      </c>
      <c r="R1299" s="4" t="str">
        <f>IF(((O1299)=TRUE),  I1299,  "")</f>
        <v>suite-witness</v>
      </c>
      <c r="S1299" s="4" t="str">
        <f>IF(((Q1299)=TRUE),  I1299,  "")</f>
      </c>
      <c r="T1299" s="3" t="s">
        <v>6001</v>
      </c>
    </row>
    <row r="1300">
      <c r="A1300" s="3" t="s">
        <v>7650</v>
      </c>
      <c r="B1300" s="4" t="str">
        <f>C1300 &amp; ": " &amp; D1300</f>
        <v>witness-discriminates: Steps.AssignedRoleIsUngoverned</v>
      </c>
      <c r="C1300" s="3" t="s">
        <v>7549</v>
      </c>
      <c r="D1300" s="3" t="s">
        <v>2912</v>
      </c>
      <c r="E1300" s="3" t="s">
        <v>1778</v>
      </c>
      <c r="F1300" s="3" t="s">
        <v>521</v>
      </c>
      <c r="G1300" s="3" t="s">
        <v>7550</v>
      </c>
      <c r="H1300" s="3" t="s">
        <v>2179</v>
      </c>
      <c r="I1300" s="3" t="s">
        <v>5990</v>
      </c>
      <c r="J1300" s="3" t="s">
        <v>7551</v>
      </c>
      <c r="K1300" s="4" t="b">
        <f>J1300 = "blocking"</f>
        <v>0</v>
      </c>
      <c r="L1300" s="3" t="s">
        <v>1451</v>
      </c>
      <c r="M1300" s="3" t="s">
        <v>7651</v>
      </c>
      <c r="N1300" s="5">
        <v>46223.1297337963</v>
      </c>
      <c r="O1300" s="4" t="b">
        <f>L1300 = "PASS"</f>
        <v>0</v>
      </c>
      <c r="P1300" s="4" t="b">
        <f>L1300 = "FAIL"</f>
        <v>0</v>
      </c>
      <c r="Q1300" s="4" t="b">
        <f>AND(((P1300)=TRUE), ((K1300)=TRUE))</f>
        <v>0</v>
      </c>
      <c r="R1300" s="4" t="str">
        <f>IF(((O1300)=TRUE),  I1300,  "")</f>
      </c>
      <c r="S1300" s="4" t="str">
        <f>IF(((Q1300)=TRUE),  I1300,  "")</f>
      </c>
      <c r="T1300" s="3" t="s">
        <v>6001</v>
      </c>
    </row>
    <row r="1301">
      <c r="A1301" s="3" t="s">
        <v>7652</v>
      </c>
      <c r="B1301" s="4" t="str">
        <f>C1301 &amp; ": " &amp; D1301</f>
        <v>witness-discriminates: Steps.AllSourcesUsable</v>
      </c>
      <c r="C1301" s="3" t="s">
        <v>7549</v>
      </c>
      <c r="D1301" s="3" t="s">
        <v>2916</v>
      </c>
      <c r="E1301" s="3" t="s">
        <v>1778</v>
      </c>
      <c r="F1301" s="3" t="s">
        <v>523</v>
      </c>
      <c r="G1301" s="3" t="s">
        <v>7550</v>
      </c>
      <c r="H1301" s="3" t="s">
        <v>2183</v>
      </c>
      <c r="I1301" s="3" t="s">
        <v>5990</v>
      </c>
      <c r="J1301" s="3" t="s">
        <v>7551</v>
      </c>
      <c r="K1301" s="4" t="b">
        <f>J1301 = "blocking"</f>
        <v>0</v>
      </c>
      <c r="L1301" s="3" t="s">
        <v>1448</v>
      </c>
      <c r="M1301" s="3" t="s">
        <v>7645</v>
      </c>
      <c r="N1301" s="5">
        <v>46223.1297337963</v>
      </c>
      <c r="O1301" s="4" t="b">
        <f>L1301 = "PASS"</f>
        <v>1</v>
      </c>
      <c r="P1301" s="4" t="b">
        <f>L1301 = "FAIL"</f>
        <v>0</v>
      </c>
      <c r="Q1301" s="4" t="b">
        <f>AND(((P1301)=TRUE), ((K1301)=TRUE))</f>
        <v>0</v>
      </c>
      <c r="R1301" s="4" t="str">
        <f>IF(((O1301)=TRUE),  I1301,  "")</f>
        <v>suite-witness</v>
      </c>
      <c r="S1301" s="4" t="str">
        <f>IF(((Q1301)=TRUE),  I1301,  "")</f>
      </c>
      <c r="T1301" s="3" t="s">
        <v>6001</v>
      </c>
    </row>
    <row r="1302">
      <c r="A1302" s="3" t="s">
        <v>7653</v>
      </c>
      <c r="B1302" s="4" t="str">
        <f>C1302 &amp; ": " &amp; D1302</f>
        <v>witness-discriminates: Steps.IsGovernedByUnwarrantedBoundary</v>
      </c>
      <c r="C1302" s="3" t="s">
        <v>7549</v>
      </c>
      <c r="D1302" s="3" t="s">
        <v>2921</v>
      </c>
      <c r="E1302" s="3" t="s">
        <v>1778</v>
      </c>
      <c r="F1302" s="3" t="s">
        <v>526</v>
      </c>
      <c r="G1302" s="3" t="s">
        <v>7550</v>
      </c>
      <c r="H1302" s="3" t="s">
        <v>2203</v>
      </c>
      <c r="I1302" s="3" t="s">
        <v>5990</v>
      </c>
      <c r="J1302" s="3" t="s">
        <v>7551</v>
      </c>
      <c r="K1302" s="4" t="b">
        <f>J1302 = "blocking"</f>
        <v>0</v>
      </c>
      <c r="L1302" s="3" t="s">
        <v>1448</v>
      </c>
      <c r="M1302" s="3" t="s">
        <v>7654</v>
      </c>
      <c r="N1302" s="5">
        <v>46223.1297337963</v>
      </c>
      <c r="O1302" s="4" t="b">
        <f>L1302 = "PASS"</f>
        <v>1</v>
      </c>
      <c r="P1302" s="4" t="b">
        <f>L1302 = "FAIL"</f>
        <v>0</v>
      </c>
      <c r="Q1302" s="4" t="b">
        <f>AND(((P1302)=TRUE), ((K1302)=TRUE))</f>
        <v>0</v>
      </c>
      <c r="R1302" s="4" t="str">
        <f>IF(((O1302)=TRUE),  I1302,  "")</f>
        <v>suite-witness</v>
      </c>
      <c r="S1302" s="4" t="str">
        <f>IF(((Q1302)=TRUE),  I1302,  "")</f>
      </c>
      <c r="T1302" s="3" t="s">
        <v>6001</v>
      </c>
    </row>
    <row r="1303">
      <c r="A1303" s="3" t="s">
        <v>7655</v>
      </c>
      <c r="B1303" s="4" t="str">
        <f>C1303 &amp; ": " &amp; D1303</f>
        <v>witness-discriminates: Steps.HasBeenApproachedBySoftware</v>
      </c>
      <c r="C1303" s="3" t="s">
        <v>7549</v>
      </c>
      <c r="D1303" s="3" t="s">
        <v>2925</v>
      </c>
      <c r="E1303" s="3" t="s">
        <v>1778</v>
      </c>
      <c r="F1303" s="3" t="s">
        <v>528</v>
      </c>
      <c r="G1303" s="3" t="s">
        <v>7550</v>
      </c>
      <c r="H1303" s="3" t="s">
        <v>2223</v>
      </c>
      <c r="I1303" s="3" t="s">
        <v>5990</v>
      </c>
      <c r="J1303" s="3" t="s">
        <v>7551</v>
      </c>
      <c r="K1303" s="4" t="b">
        <f>J1303 = "blocking"</f>
        <v>0</v>
      </c>
      <c r="L1303" s="3" t="s">
        <v>1448</v>
      </c>
      <c r="M1303" s="3" t="s">
        <v>7656</v>
      </c>
      <c r="N1303" s="5">
        <v>46223.1297337963</v>
      </c>
      <c r="O1303" s="4" t="b">
        <f>L1303 = "PASS"</f>
        <v>1</v>
      </c>
      <c r="P1303" s="4" t="b">
        <f>L1303 = "FAIL"</f>
        <v>0</v>
      </c>
      <c r="Q1303" s="4" t="b">
        <f>AND(((P1303)=TRUE), ((K1303)=TRUE))</f>
        <v>0</v>
      </c>
      <c r="R1303" s="4" t="str">
        <f>IF(((O1303)=TRUE),  I1303,  "")</f>
        <v>suite-witness</v>
      </c>
      <c r="S1303" s="4" t="str">
        <f>IF(((Q1303)=TRUE),  I1303,  "")</f>
      </c>
      <c r="T1303" s="3" t="s">
        <v>6001</v>
      </c>
    </row>
    <row r="1304">
      <c r="A1304" s="3" t="s">
        <v>7657</v>
      </c>
      <c r="B1304" s="4" t="str">
        <f>C1304 &amp; ": " &amp; D1304</f>
        <v>witness-discriminates: Steps.IsUnexercisedHumanGate</v>
      </c>
      <c r="C1304" s="3" t="s">
        <v>7549</v>
      </c>
      <c r="D1304" s="3" t="s">
        <v>2927</v>
      </c>
      <c r="E1304" s="3" t="s">
        <v>1778</v>
      </c>
      <c r="F1304" s="3" t="s">
        <v>529</v>
      </c>
      <c r="G1304" s="3" t="s">
        <v>7550</v>
      </c>
      <c r="H1304" s="3" t="s">
        <v>2223</v>
      </c>
      <c r="I1304" s="3" t="s">
        <v>5990</v>
      </c>
      <c r="J1304" s="3" t="s">
        <v>7551</v>
      </c>
      <c r="K1304" s="4" t="b">
        <f>J1304 = "blocking"</f>
        <v>0</v>
      </c>
      <c r="L1304" s="3" t="s">
        <v>1448</v>
      </c>
      <c r="M1304" s="3" t="s">
        <v>7642</v>
      </c>
      <c r="N1304" s="5">
        <v>46223.1297337963</v>
      </c>
      <c r="O1304" s="4" t="b">
        <f>L1304 = "PASS"</f>
        <v>1</v>
      </c>
      <c r="P1304" s="4" t="b">
        <f>L1304 = "FAIL"</f>
        <v>0</v>
      </c>
      <c r="Q1304" s="4" t="b">
        <f>AND(((P1304)=TRUE), ((K1304)=TRUE))</f>
        <v>0</v>
      </c>
      <c r="R1304" s="4" t="str">
        <f>IF(((O1304)=TRUE),  I1304,  "")</f>
        <v>suite-witness</v>
      </c>
      <c r="S1304" s="4" t="str">
        <f>IF(((Q1304)=TRUE),  I1304,  "")</f>
      </c>
      <c r="T1304" s="3" t="s">
        <v>6001</v>
      </c>
    </row>
    <row r="1305">
      <c r="A1305" s="3" t="s">
        <v>7658</v>
      </c>
      <c r="B1305" s="4" t="str">
        <f>C1305 &amp; ": " &amp; D1305</f>
        <v>witness-discriminates: Steps.IsDemonstratedHumanGate</v>
      </c>
      <c r="C1305" s="3" t="s">
        <v>7549</v>
      </c>
      <c r="D1305" s="3" t="s">
        <v>2929</v>
      </c>
      <c r="E1305" s="3" t="s">
        <v>1778</v>
      </c>
      <c r="F1305" s="3" t="s">
        <v>530</v>
      </c>
      <c r="G1305" s="3" t="s">
        <v>7550</v>
      </c>
      <c r="H1305" s="3" t="s">
        <v>2223</v>
      </c>
      <c r="I1305" s="3" t="s">
        <v>5990</v>
      </c>
      <c r="J1305" s="3" t="s">
        <v>7551</v>
      </c>
      <c r="K1305" s="4" t="b">
        <f>J1305 = "blocking"</f>
        <v>0</v>
      </c>
      <c r="L1305" s="3" t="s">
        <v>1451</v>
      </c>
      <c r="M1305" s="3" t="s">
        <v>7651</v>
      </c>
      <c r="N1305" s="5">
        <v>46223.1297337963</v>
      </c>
      <c r="O1305" s="4" t="b">
        <f>L1305 = "PASS"</f>
        <v>0</v>
      </c>
      <c r="P1305" s="4" t="b">
        <f>L1305 = "FAIL"</f>
        <v>0</v>
      </c>
      <c r="Q1305" s="4" t="b">
        <f>AND(((P1305)=TRUE), ((K1305)=TRUE))</f>
        <v>0</v>
      </c>
      <c r="R1305" s="4" t="str">
        <f>IF(((O1305)=TRUE),  I1305,  "")</f>
      </c>
      <c r="S1305" s="4" t="str">
        <f>IF(((Q1305)=TRUE),  I1305,  "")</f>
      </c>
      <c r="T1305" s="3" t="s">
        <v>6001</v>
      </c>
    </row>
    <row r="1306">
      <c r="A1306" s="3" t="s">
        <v>7659</v>
      </c>
      <c r="B1306" s="4" t="str">
        <f>C1306 &amp; ": " &amp; D1306</f>
        <v>witness-discriminates: Steps.HasDeclaredControlKind</v>
      </c>
      <c r="C1306" s="3" t="s">
        <v>7549</v>
      </c>
      <c r="D1306" s="3" t="s">
        <v>2933</v>
      </c>
      <c r="E1306" s="3" t="s">
        <v>1778</v>
      </c>
      <c r="F1306" s="3" t="s">
        <v>532</v>
      </c>
      <c r="G1306" s="3" t="s">
        <v>7550</v>
      </c>
      <c r="H1306" s="3" t="s">
        <v>2255</v>
      </c>
      <c r="I1306" s="3" t="s">
        <v>5990</v>
      </c>
      <c r="J1306" s="3" t="s">
        <v>7551</v>
      </c>
      <c r="K1306" s="4" t="b">
        <f>J1306 = "blocking"</f>
        <v>0</v>
      </c>
      <c r="L1306" s="3" t="s">
        <v>1451</v>
      </c>
      <c r="M1306" s="3" t="s">
        <v>7660</v>
      </c>
      <c r="N1306" s="5">
        <v>46223.1297337963</v>
      </c>
      <c r="O1306" s="4" t="b">
        <f>L1306 = "PASS"</f>
        <v>0</v>
      </c>
      <c r="P1306" s="4" t="b">
        <f>L1306 = "FAIL"</f>
        <v>0</v>
      </c>
      <c r="Q1306" s="4" t="b">
        <f>AND(((P1306)=TRUE), ((K1306)=TRUE))</f>
        <v>0</v>
      </c>
      <c r="R1306" s="4" t="str">
        <f>IF(((O1306)=TRUE),  I1306,  "")</f>
      </c>
      <c r="S1306" s="4" t="str">
        <f>IF(((Q1306)=TRUE),  I1306,  "")</f>
      </c>
      <c r="T1306" s="3" t="s">
        <v>6001</v>
      </c>
    </row>
    <row r="1307">
      <c r="A1307" s="3" t="s">
        <v>7661</v>
      </c>
      <c r="B1307" s="4" t="str">
        <f>C1307 &amp; ": " &amp; D1307</f>
        <v>witness-discriminates: Steps.ApprovalStepIsSoftwareAssigned</v>
      </c>
      <c r="C1307" s="3" t="s">
        <v>7549</v>
      </c>
      <c r="D1307" s="3" t="s">
        <v>2937</v>
      </c>
      <c r="E1307" s="3" t="s">
        <v>1778</v>
      </c>
      <c r="F1307" s="3" t="s">
        <v>534</v>
      </c>
      <c r="G1307" s="3" t="s">
        <v>7550</v>
      </c>
      <c r="H1307" s="3" t="s">
        <v>2255</v>
      </c>
      <c r="I1307" s="3" t="s">
        <v>5990</v>
      </c>
      <c r="J1307" s="3" t="s">
        <v>7551</v>
      </c>
      <c r="K1307" s="4" t="b">
        <f>J1307 = "blocking"</f>
        <v>0</v>
      </c>
      <c r="L1307" s="3" t="s">
        <v>1451</v>
      </c>
      <c r="M1307" s="3" t="s">
        <v>7651</v>
      </c>
      <c r="N1307" s="5">
        <v>46223.1297337963</v>
      </c>
      <c r="O1307" s="4" t="b">
        <f>L1307 = "PASS"</f>
        <v>0</v>
      </c>
      <c r="P1307" s="4" t="b">
        <f>L1307 = "FAIL"</f>
        <v>0</v>
      </c>
      <c r="Q1307" s="4" t="b">
        <f>AND(((P1307)=TRUE), ((K1307)=TRUE))</f>
        <v>0</v>
      </c>
      <c r="R1307" s="4" t="str">
        <f>IF(((O1307)=TRUE),  I1307,  "")</f>
      </c>
      <c r="S1307" s="4" t="str">
        <f>IF(((Q1307)=TRUE),  I1307,  "")</f>
      </c>
      <c r="T1307" s="3" t="s">
        <v>6001</v>
      </c>
    </row>
    <row r="1308">
      <c r="A1308" s="3" t="s">
        <v>7662</v>
      </c>
      <c r="B1308" s="4" t="str">
        <f>C1308 &amp; ": " &amp; D1308</f>
        <v>witness-discriminates: StepTransitions.IsRecoveryPath</v>
      </c>
      <c r="C1308" s="3" t="s">
        <v>7549</v>
      </c>
      <c r="D1308" s="3" t="s">
        <v>2973</v>
      </c>
      <c r="E1308" s="3" t="s">
        <v>1784</v>
      </c>
      <c r="F1308" s="3" t="s">
        <v>627</v>
      </c>
      <c r="G1308" s="3" t="s">
        <v>7550</v>
      </c>
      <c r="H1308" s="3" t="s">
        <v>2027</v>
      </c>
      <c r="I1308" s="3" t="s">
        <v>5990</v>
      </c>
      <c r="J1308" s="3" t="s">
        <v>7551</v>
      </c>
      <c r="K1308" s="4" t="b">
        <f>J1308 = "blocking"</f>
        <v>0</v>
      </c>
      <c r="L1308" s="3" t="s">
        <v>1448</v>
      </c>
      <c r="M1308" s="3" t="s">
        <v>7663</v>
      </c>
      <c r="N1308" s="5">
        <v>46223.1297337963</v>
      </c>
      <c r="O1308" s="4" t="b">
        <f>L1308 = "PASS"</f>
        <v>1</v>
      </c>
      <c r="P1308" s="4" t="b">
        <f>L1308 = "FAIL"</f>
        <v>0</v>
      </c>
      <c r="Q1308" s="4" t="b">
        <f>AND(((P1308)=TRUE), ((K1308)=TRUE))</f>
        <v>0</v>
      </c>
      <c r="R1308" s="4" t="str">
        <f>IF(((O1308)=TRUE),  I1308,  "")</f>
        <v>suite-witness</v>
      </c>
      <c r="S1308" s="4" t="str">
        <f>IF(((Q1308)=TRUE),  I1308,  "")</f>
      </c>
      <c r="T1308" s="3" t="s">
        <v>6001</v>
      </c>
    </row>
    <row r="1309">
      <c r="A1309" s="3" t="s">
        <v>7664</v>
      </c>
      <c r="B1309" s="4" t="str">
        <f>C1309 &amp; ": " &amp; D1309</f>
        <v>witness-discriminates: StepTransitions.HasReachableOrigin</v>
      </c>
      <c r="C1309" s="3" t="s">
        <v>7549</v>
      </c>
      <c r="D1309" s="3" t="s">
        <v>2979</v>
      </c>
      <c r="E1309" s="3" t="s">
        <v>1784</v>
      </c>
      <c r="F1309" s="3" t="s">
        <v>630</v>
      </c>
      <c r="G1309" s="3" t="s">
        <v>7550</v>
      </c>
      <c r="H1309" s="3" t="s">
        <v>2027</v>
      </c>
      <c r="I1309" s="3" t="s">
        <v>5990</v>
      </c>
      <c r="J1309" s="3" t="s">
        <v>7551</v>
      </c>
      <c r="K1309" s="4" t="b">
        <f>J1309 = "blocking"</f>
        <v>0</v>
      </c>
      <c r="L1309" s="3" t="s">
        <v>1448</v>
      </c>
      <c r="M1309" s="3" t="s">
        <v>7665</v>
      </c>
      <c r="N1309" s="5">
        <v>46223.1297337963</v>
      </c>
      <c r="O1309" s="4" t="b">
        <f>L1309 = "PASS"</f>
        <v>1</v>
      </c>
      <c r="P1309" s="4" t="b">
        <f>L1309 = "FAIL"</f>
        <v>0</v>
      </c>
      <c r="Q1309" s="4" t="b">
        <f>AND(((P1309)=TRUE), ((K1309)=TRUE))</f>
        <v>0</v>
      </c>
      <c r="R1309" s="4" t="str">
        <f>IF(((O1309)=TRUE),  I1309,  "")</f>
        <v>suite-witness</v>
      </c>
      <c r="S1309" s="4" t="str">
        <f>IF(((Q1309)=TRUE),  I1309,  "")</f>
      </c>
      <c r="T1309" s="3" t="s">
        <v>6001</v>
      </c>
    </row>
    <row r="1310">
      <c r="A1310" s="3" t="s">
        <v>7666</v>
      </c>
      <c r="B1310" s="4" t="str">
        <f>C1310 &amp; ": " &amp; D1310</f>
        <v>witness-discriminates: StepTransitions.HasReachableTarget</v>
      </c>
      <c r="C1310" s="3" t="s">
        <v>7549</v>
      </c>
      <c r="D1310" s="3" t="s">
        <v>2981</v>
      </c>
      <c r="E1310" s="3" t="s">
        <v>1784</v>
      </c>
      <c r="F1310" s="3" t="s">
        <v>631</v>
      </c>
      <c r="G1310" s="3" t="s">
        <v>7550</v>
      </c>
      <c r="H1310" s="3" t="s">
        <v>2027</v>
      </c>
      <c r="I1310" s="3" t="s">
        <v>5990</v>
      </c>
      <c r="J1310" s="3" t="s">
        <v>7551</v>
      </c>
      <c r="K1310" s="4" t="b">
        <f>J1310 = "blocking"</f>
        <v>0</v>
      </c>
      <c r="L1310" s="3" t="s">
        <v>1448</v>
      </c>
      <c r="M1310" s="3" t="s">
        <v>7667</v>
      </c>
      <c r="N1310" s="5">
        <v>46223.1297337963</v>
      </c>
      <c r="O1310" s="4" t="b">
        <f>L1310 = "PASS"</f>
        <v>1</v>
      </c>
      <c r="P1310" s="4" t="b">
        <f>L1310 = "FAIL"</f>
        <v>0</v>
      </c>
      <c r="Q1310" s="4" t="b">
        <f>AND(((P1310)=TRUE), ((K1310)=TRUE))</f>
        <v>0</v>
      </c>
      <c r="R1310" s="4" t="str">
        <f>IF(((O1310)=TRUE),  I1310,  "")</f>
        <v>suite-witness</v>
      </c>
      <c r="S1310" s="4" t="str">
        <f>IF(((Q1310)=TRUE),  I1310,  "")</f>
      </c>
      <c r="T1310" s="3" t="s">
        <v>6001</v>
      </c>
    </row>
    <row r="1311">
      <c r="A1311" s="3" t="s">
        <v>7668</v>
      </c>
      <c r="B1311" s="4" t="str">
        <f>C1311 &amp; ": " &amp; D1311</f>
        <v>witness-discriminates: StepTransitions.IsNeverExercised</v>
      </c>
      <c r="C1311" s="3" t="s">
        <v>7549</v>
      </c>
      <c r="D1311" s="3" t="s">
        <v>2983</v>
      </c>
      <c r="E1311" s="3" t="s">
        <v>1784</v>
      </c>
      <c r="F1311" s="3" t="s">
        <v>632</v>
      </c>
      <c r="G1311" s="3" t="s">
        <v>7550</v>
      </c>
      <c r="H1311" s="3" t="s">
        <v>2027</v>
      </c>
      <c r="I1311" s="3" t="s">
        <v>5990</v>
      </c>
      <c r="J1311" s="3" t="s">
        <v>7551</v>
      </c>
      <c r="K1311" s="4" t="b">
        <f>J1311 = "blocking"</f>
        <v>0</v>
      </c>
      <c r="L1311" s="3" t="s">
        <v>1448</v>
      </c>
      <c r="M1311" s="3" t="s">
        <v>7669</v>
      </c>
      <c r="N1311" s="5">
        <v>46223.1297337963</v>
      </c>
      <c r="O1311" s="4" t="b">
        <f>L1311 = "PASS"</f>
        <v>1</v>
      </c>
      <c r="P1311" s="4" t="b">
        <f>L1311 = "FAIL"</f>
        <v>0</v>
      </c>
      <c r="Q1311" s="4" t="b">
        <f>AND(((P1311)=TRUE), ((K1311)=TRUE))</f>
        <v>0</v>
      </c>
      <c r="R1311" s="4" t="str">
        <f>IF(((O1311)=TRUE),  I1311,  "")</f>
        <v>suite-witness</v>
      </c>
      <c r="S1311" s="4" t="str">
        <f>IF(((Q1311)=TRUE),  I1311,  "")</f>
      </c>
      <c r="T1311" s="3" t="s">
        <v>6001</v>
      </c>
    </row>
    <row r="1312">
      <c r="A1312" s="3" t="s">
        <v>7670</v>
      </c>
      <c r="B1312" s="4" t="str">
        <f>C1312 &amp; ": " &amp; D1312</f>
        <v>witness-discriminates: StepTransitions.IsUntestedRecoveryPath</v>
      </c>
      <c r="C1312" s="3" t="s">
        <v>7549</v>
      </c>
      <c r="D1312" s="3" t="s">
        <v>2985</v>
      </c>
      <c r="E1312" s="3" t="s">
        <v>1784</v>
      </c>
      <c r="F1312" s="3" t="s">
        <v>633</v>
      </c>
      <c r="G1312" s="3" t="s">
        <v>7550</v>
      </c>
      <c r="H1312" s="3" t="s">
        <v>2027</v>
      </c>
      <c r="I1312" s="3" t="s">
        <v>5990</v>
      </c>
      <c r="J1312" s="3" t="s">
        <v>7551</v>
      </c>
      <c r="K1312" s="4" t="b">
        <f>J1312 = "blocking"</f>
        <v>0</v>
      </c>
      <c r="L1312" s="3" t="s">
        <v>1448</v>
      </c>
      <c r="M1312" s="3" t="s">
        <v>7671</v>
      </c>
      <c r="N1312" s="5">
        <v>46223.1297337963</v>
      </c>
      <c r="O1312" s="4" t="b">
        <f>L1312 = "PASS"</f>
        <v>1</v>
      </c>
      <c r="P1312" s="4" t="b">
        <f>L1312 = "FAIL"</f>
        <v>0</v>
      </c>
      <c r="Q1312" s="4" t="b">
        <f>AND(((P1312)=TRUE), ((K1312)=TRUE))</f>
        <v>0</v>
      </c>
      <c r="R1312" s="4" t="str">
        <f>IF(((O1312)=TRUE),  I1312,  "")</f>
        <v>suite-witness</v>
      </c>
      <c r="S1312" s="4" t="str">
        <f>IF(((Q1312)=TRUE),  I1312,  "")</f>
      </c>
      <c r="T1312" s="3" t="s">
        <v>6001</v>
      </c>
    </row>
    <row r="1313">
      <c r="A1313" s="3" t="s">
        <v>7672</v>
      </c>
      <c r="B1313" s="4" t="str">
        <f>C1313 &amp; ": " &amp; D1313</f>
        <v>witness-discriminates: StepTransitions.HasBeenTraversed</v>
      </c>
      <c r="C1313" s="3" t="s">
        <v>7549</v>
      </c>
      <c r="D1313" s="3" t="s">
        <v>2989</v>
      </c>
      <c r="E1313" s="3" t="s">
        <v>1784</v>
      </c>
      <c r="F1313" s="3" t="s">
        <v>635</v>
      </c>
      <c r="G1313" s="3" t="s">
        <v>7550</v>
      </c>
      <c r="H1313" s="3" t="s">
        <v>2027</v>
      </c>
      <c r="I1313" s="3" t="s">
        <v>5990</v>
      </c>
      <c r="J1313" s="3" t="s">
        <v>7551</v>
      </c>
      <c r="K1313" s="4" t="b">
        <f>J1313 = "blocking"</f>
        <v>0</v>
      </c>
      <c r="L1313" s="3" t="s">
        <v>1448</v>
      </c>
      <c r="M1313" s="3" t="s">
        <v>7673</v>
      </c>
      <c r="N1313" s="5">
        <v>46223.1297337963</v>
      </c>
      <c r="O1313" s="4" t="b">
        <f>L1313 = "PASS"</f>
        <v>1</v>
      </c>
      <c r="P1313" s="4" t="b">
        <f>L1313 = "FAIL"</f>
        <v>0</v>
      </c>
      <c r="Q1313" s="4" t="b">
        <f>AND(((P1313)=TRUE), ((K1313)=TRUE))</f>
        <v>0</v>
      </c>
      <c r="R1313" s="4" t="str">
        <f>IF(((O1313)=TRUE),  I1313,  "")</f>
        <v>suite-witness</v>
      </c>
      <c r="S1313" s="4" t="str">
        <f>IF(((Q1313)=TRUE),  I1313,  "")</f>
      </c>
      <c r="T1313" s="3" t="s">
        <v>6001</v>
      </c>
    </row>
    <row r="1314">
      <c r="A1314" s="3" t="s">
        <v>7674</v>
      </c>
      <c r="B1314" s="4" t="str">
        <f>C1314 &amp; ": " &amp; D1314</f>
        <v>witness-discriminates: StepTransitions.IsUnwalkedRecoveryPath</v>
      </c>
      <c r="C1314" s="3" t="s">
        <v>7549</v>
      </c>
      <c r="D1314" s="3" t="s">
        <v>2991</v>
      </c>
      <c r="E1314" s="3" t="s">
        <v>1784</v>
      </c>
      <c r="F1314" s="3" t="s">
        <v>636</v>
      </c>
      <c r="G1314" s="3" t="s">
        <v>7550</v>
      </c>
      <c r="H1314" s="3" t="s">
        <v>2027</v>
      </c>
      <c r="I1314" s="3" t="s">
        <v>5990</v>
      </c>
      <c r="J1314" s="3" t="s">
        <v>7551</v>
      </c>
      <c r="K1314" s="4" t="b">
        <f>J1314 = "blocking"</f>
        <v>0</v>
      </c>
      <c r="L1314" s="3" t="s">
        <v>1448</v>
      </c>
      <c r="M1314" s="3" t="s">
        <v>7663</v>
      </c>
      <c r="N1314" s="5">
        <v>46223.1297337963</v>
      </c>
      <c r="O1314" s="4" t="b">
        <f>L1314 = "PASS"</f>
        <v>1</v>
      </c>
      <c r="P1314" s="4" t="b">
        <f>L1314 = "FAIL"</f>
        <v>0</v>
      </c>
      <c r="Q1314" s="4" t="b">
        <f>AND(((P1314)=TRUE), ((K1314)=TRUE))</f>
        <v>0</v>
      </c>
      <c r="R1314" s="4" t="str">
        <f>IF(((O1314)=TRUE),  I1314,  "")</f>
        <v>suite-witness</v>
      </c>
      <c r="S1314" s="4" t="str">
        <f>IF(((Q1314)=TRUE),  I1314,  "")</f>
      </c>
      <c r="T1314" s="3" t="s">
        <v>6001</v>
      </c>
    </row>
    <row r="1315">
      <c r="A1315" s="3" t="s">
        <v>7675</v>
      </c>
      <c r="B1315" s="4" t="str">
        <f>C1315 &amp; ": " &amp; D1315</f>
        <v>witness-discriminates: StepTransitions.TargetCarriesBlockingControl</v>
      </c>
      <c r="C1315" s="3" t="s">
        <v>7549</v>
      </c>
      <c r="D1315" s="3" t="s">
        <v>2995</v>
      </c>
      <c r="E1315" s="3" t="s">
        <v>1784</v>
      </c>
      <c r="F1315" s="3" t="s">
        <v>638</v>
      </c>
      <c r="G1315" s="3" t="s">
        <v>7550</v>
      </c>
      <c r="H1315" s="3" t="s">
        <v>2239</v>
      </c>
      <c r="I1315" s="3" t="s">
        <v>5990</v>
      </c>
      <c r="J1315" s="3" t="s">
        <v>7551</v>
      </c>
      <c r="K1315" s="4" t="b">
        <f>J1315 = "blocking"</f>
        <v>0</v>
      </c>
      <c r="L1315" s="3" t="s">
        <v>1448</v>
      </c>
      <c r="M1315" s="3" t="s">
        <v>7667</v>
      </c>
      <c r="N1315" s="5">
        <v>46223.1297337963</v>
      </c>
      <c r="O1315" s="4" t="b">
        <f>L1315 = "PASS"</f>
        <v>1</v>
      </c>
      <c r="P1315" s="4" t="b">
        <f>L1315 = "FAIL"</f>
        <v>0</v>
      </c>
      <c r="Q1315" s="4" t="b">
        <f>AND(((P1315)=TRUE), ((K1315)=TRUE))</f>
        <v>0</v>
      </c>
      <c r="R1315" s="4" t="str">
        <f>IF(((O1315)=TRUE),  I1315,  "")</f>
        <v>suite-witness</v>
      </c>
      <c r="S1315" s="4" t="str">
        <f>IF(((Q1315)=TRUE),  I1315,  "")</f>
      </c>
      <c r="T1315" s="3" t="s">
        <v>6001</v>
      </c>
    </row>
    <row r="1316">
      <c r="A1316" s="3" t="s">
        <v>7676</v>
      </c>
      <c r="B1316" s="4" t="str">
        <f>C1316 &amp; ": " &amp; D1316</f>
        <v>witness-discriminates: StepTransitions.IsUnrehearsedControlEntry</v>
      </c>
      <c r="C1316" s="3" t="s">
        <v>7549</v>
      </c>
      <c r="D1316" s="3" t="s">
        <v>2997</v>
      </c>
      <c r="E1316" s="3" t="s">
        <v>1784</v>
      </c>
      <c r="F1316" s="3" t="s">
        <v>639</v>
      </c>
      <c r="G1316" s="3" t="s">
        <v>7550</v>
      </c>
      <c r="H1316" s="3" t="s">
        <v>2239</v>
      </c>
      <c r="I1316" s="3" t="s">
        <v>5990</v>
      </c>
      <c r="J1316" s="3" t="s">
        <v>7551</v>
      </c>
      <c r="K1316" s="4" t="b">
        <f>J1316 = "blocking"</f>
        <v>0</v>
      </c>
      <c r="L1316" s="3" t="s">
        <v>1448</v>
      </c>
      <c r="M1316" s="3" t="s">
        <v>7677</v>
      </c>
      <c r="N1316" s="5">
        <v>46223.1297337963</v>
      </c>
      <c r="O1316" s="4" t="b">
        <f>L1316 = "PASS"</f>
        <v>1</v>
      </c>
      <c r="P1316" s="4" t="b">
        <f>L1316 = "FAIL"</f>
        <v>0</v>
      </c>
      <c r="Q1316" s="4" t="b">
        <f>AND(((P1316)=TRUE), ((K1316)=TRUE))</f>
        <v>0</v>
      </c>
      <c r="R1316" s="4" t="str">
        <f>IF(((O1316)=TRUE),  I1316,  "")</f>
        <v>suite-witness</v>
      </c>
      <c r="S1316" s="4" t="str">
        <f>IF(((Q1316)=TRUE),  I1316,  "")</f>
      </c>
      <c r="T1316" s="3" t="s">
        <v>6001</v>
      </c>
    </row>
    <row r="1317">
      <c r="A1317" s="3" t="s">
        <v>7678</v>
      </c>
      <c r="B1317" s="4" t="str">
        <f>C1317 &amp; ": " &amp; D1317</f>
        <v>witness-discriminates: Requirements.IsBoundToAnyStep</v>
      </c>
      <c r="C1317" s="3" t="s">
        <v>7549</v>
      </c>
      <c r="D1317" s="3" t="s">
        <v>3056</v>
      </c>
      <c r="E1317" s="3" t="s">
        <v>1805</v>
      </c>
      <c r="F1317" s="3" t="s">
        <v>806</v>
      </c>
      <c r="G1317" s="3" t="s">
        <v>7550</v>
      </c>
      <c r="H1317" s="3" t="s">
        <v>1987</v>
      </c>
      <c r="I1317" s="3" t="s">
        <v>5990</v>
      </c>
      <c r="J1317" s="3" t="s">
        <v>7551</v>
      </c>
      <c r="K1317" s="4" t="b">
        <f>J1317 = "blocking"</f>
        <v>0</v>
      </c>
      <c r="L1317" s="3" t="s">
        <v>1451</v>
      </c>
      <c r="M1317" s="3" t="s">
        <v>7679</v>
      </c>
      <c r="N1317" s="5">
        <v>46223.1297337963</v>
      </c>
      <c r="O1317" s="4" t="b">
        <f>L1317 = "PASS"</f>
        <v>0</v>
      </c>
      <c r="P1317" s="4" t="b">
        <f>L1317 = "FAIL"</f>
        <v>0</v>
      </c>
      <c r="Q1317" s="4" t="b">
        <f>AND(((P1317)=TRUE), ((K1317)=TRUE))</f>
        <v>0</v>
      </c>
      <c r="R1317" s="4" t="str">
        <f>IF(((O1317)=TRUE),  I1317,  "")</f>
      </c>
      <c r="S1317" s="4" t="str">
        <f>IF(((Q1317)=TRUE),  I1317,  "")</f>
      </c>
      <c r="T1317" s="3" t="s">
        <v>6001</v>
      </c>
    </row>
    <row r="1318">
      <c r="A1318" s="3" t="s">
        <v>7680</v>
      </c>
      <c r="B1318" s="4" t="str">
        <f>C1318 &amp; ": " &amp; D1318</f>
        <v>witness-discriminates: Requirements.HasEverBeenEvaluated</v>
      </c>
      <c r="C1318" s="3" t="s">
        <v>7549</v>
      </c>
      <c r="D1318" s="3" t="s">
        <v>3058</v>
      </c>
      <c r="E1318" s="3" t="s">
        <v>1805</v>
      </c>
      <c r="F1318" s="3" t="s">
        <v>807</v>
      </c>
      <c r="G1318" s="3" t="s">
        <v>7550</v>
      </c>
      <c r="H1318" s="3" t="s">
        <v>1987</v>
      </c>
      <c r="I1318" s="3" t="s">
        <v>5990</v>
      </c>
      <c r="J1318" s="3" t="s">
        <v>7551</v>
      </c>
      <c r="K1318" s="4" t="b">
        <f>J1318 = "blocking"</f>
        <v>0</v>
      </c>
      <c r="L1318" s="3" t="s">
        <v>1448</v>
      </c>
      <c r="M1318" s="3" t="s">
        <v>7681</v>
      </c>
      <c r="N1318" s="5">
        <v>46223.1297337963</v>
      </c>
      <c r="O1318" s="4" t="b">
        <f>L1318 = "PASS"</f>
        <v>1</v>
      </c>
      <c r="P1318" s="4" t="b">
        <f>L1318 = "FAIL"</f>
        <v>0</v>
      </c>
      <c r="Q1318" s="4" t="b">
        <f>AND(((P1318)=TRUE), ((K1318)=TRUE))</f>
        <v>0</v>
      </c>
      <c r="R1318" s="4" t="str">
        <f>IF(((O1318)=TRUE),  I1318,  "")</f>
        <v>suite-witness</v>
      </c>
      <c r="S1318" s="4" t="str">
        <f>IF(((Q1318)=TRUE),  I1318,  "")</f>
      </c>
      <c r="T1318" s="3" t="s">
        <v>6001</v>
      </c>
    </row>
    <row r="1319">
      <c r="A1319" s="3" t="s">
        <v>7682</v>
      </c>
      <c r="B1319" s="4" t="str">
        <f>C1319 &amp; ": " &amp; D1319</f>
        <v>witness-discriminates: Requirements.IsInoperativeControl</v>
      </c>
      <c r="C1319" s="3" t="s">
        <v>7549</v>
      </c>
      <c r="D1319" s="3" t="s">
        <v>3062</v>
      </c>
      <c r="E1319" s="3" t="s">
        <v>1805</v>
      </c>
      <c r="F1319" s="3" t="s">
        <v>809</v>
      </c>
      <c r="G1319" s="3" t="s">
        <v>7550</v>
      </c>
      <c r="H1319" s="3" t="s">
        <v>1987</v>
      </c>
      <c r="I1319" s="3" t="s">
        <v>5990</v>
      </c>
      <c r="J1319" s="3" t="s">
        <v>7551</v>
      </c>
      <c r="K1319" s="4" t="b">
        <f>J1319 = "blocking"</f>
        <v>0</v>
      </c>
      <c r="L1319" s="3" t="s">
        <v>1448</v>
      </c>
      <c r="M1319" s="3" t="s">
        <v>7683</v>
      </c>
      <c r="N1319" s="5">
        <v>46223.1297337963</v>
      </c>
      <c r="O1319" s="4" t="b">
        <f>L1319 = "PASS"</f>
        <v>1</v>
      </c>
      <c r="P1319" s="4" t="b">
        <f>L1319 = "FAIL"</f>
        <v>0</v>
      </c>
      <c r="Q1319" s="4" t="b">
        <f>AND(((P1319)=TRUE), ((K1319)=TRUE))</f>
        <v>0</v>
      </c>
      <c r="R1319" s="4" t="str">
        <f>IF(((O1319)=TRUE),  I1319,  "")</f>
        <v>suite-witness</v>
      </c>
      <c r="S1319" s="4" t="str">
        <f>IF(((Q1319)=TRUE),  I1319,  "")</f>
      </c>
      <c r="T1319" s="3" t="s">
        <v>6001</v>
      </c>
    </row>
    <row r="1320">
      <c r="A1320" s="3" t="s">
        <v>7684</v>
      </c>
      <c r="B1320" s="4" t="str">
        <f>C1320 &amp; ": " &amp; D1320</f>
        <v>witness-discriminates: Requirements.IsDecorativeControl</v>
      </c>
      <c r="C1320" s="3" t="s">
        <v>7549</v>
      </c>
      <c r="D1320" s="3" t="s">
        <v>3064</v>
      </c>
      <c r="E1320" s="3" t="s">
        <v>1805</v>
      </c>
      <c r="F1320" s="3" t="s">
        <v>810</v>
      </c>
      <c r="G1320" s="3" t="s">
        <v>7550</v>
      </c>
      <c r="H1320" s="3" t="s">
        <v>1987</v>
      </c>
      <c r="I1320" s="3" t="s">
        <v>5990</v>
      </c>
      <c r="J1320" s="3" t="s">
        <v>7551</v>
      </c>
      <c r="K1320" s="4" t="b">
        <f>J1320 = "blocking"</f>
        <v>0</v>
      </c>
      <c r="L1320" s="3" t="s">
        <v>1451</v>
      </c>
      <c r="M1320" s="3" t="s">
        <v>7581</v>
      </c>
      <c r="N1320" s="5">
        <v>46223.1297337963</v>
      </c>
      <c r="O1320" s="4" t="b">
        <f>L1320 = "PASS"</f>
        <v>0</v>
      </c>
      <c r="P1320" s="4" t="b">
        <f>L1320 = "FAIL"</f>
        <v>0</v>
      </c>
      <c r="Q1320" s="4" t="b">
        <f>AND(((P1320)=TRUE), ((K1320)=TRUE))</f>
        <v>0</v>
      </c>
      <c r="R1320" s="4" t="str">
        <f>IF(((O1320)=TRUE),  I1320,  "")</f>
      </c>
      <c r="S1320" s="4" t="str">
        <f>IF(((Q1320)=TRUE),  I1320,  "")</f>
      </c>
      <c r="T1320" s="3" t="s">
        <v>6001</v>
      </c>
    </row>
    <row r="1321">
      <c r="A1321" s="3" t="s">
        <v>7685</v>
      </c>
      <c r="B1321" s="4" t="str">
        <f>C1321 &amp; ": " &amp; D1321</f>
        <v>witness-discriminates: Requirements.HasEverProducedNegative</v>
      </c>
      <c r="C1321" s="3" t="s">
        <v>7549</v>
      </c>
      <c r="D1321" s="3" t="s">
        <v>3068</v>
      </c>
      <c r="E1321" s="3" t="s">
        <v>1805</v>
      </c>
      <c r="F1321" s="3" t="s">
        <v>813</v>
      </c>
      <c r="G1321" s="3" t="s">
        <v>7550</v>
      </c>
      <c r="H1321" s="3" t="s">
        <v>2259</v>
      </c>
      <c r="I1321" s="3" t="s">
        <v>5990</v>
      </c>
      <c r="J1321" s="3" t="s">
        <v>7551</v>
      </c>
      <c r="K1321" s="4" t="b">
        <f>J1321 = "blocking"</f>
        <v>0</v>
      </c>
      <c r="L1321" s="3" t="s">
        <v>1448</v>
      </c>
      <c r="M1321" s="3" t="s">
        <v>7572</v>
      </c>
      <c r="N1321" s="5">
        <v>46223.1297337963</v>
      </c>
      <c r="O1321" s="4" t="b">
        <f>L1321 = "PASS"</f>
        <v>1</v>
      </c>
      <c r="P1321" s="4" t="b">
        <f>L1321 = "FAIL"</f>
        <v>0</v>
      </c>
      <c r="Q1321" s="4" t="b">
        <f>AND(((P1321)=TRUE), ((K1321)=TRUE))</f>
        <v>0</v>
      </c>
      <c r="R1321" s="4" t="str">
        <f>IF(((O1321)=TRUE),  I1321,  "")</f>
        <v>suite-witness</v>
      </c>
      <c r="S1321" s="4" t="str">
        <f>IF(((Q1321)=TRUE),  I1321,  "")</f>
      </c>
      <c r="T1321" s="3" t="s">
        <v>6001</v>
      </c>
    </row>
    <row r="1322">
      <c r="A1322" s="3" t="s">
        <v>7686</v>
      </c>
      <c r="B1322" s="4" t="str">
        <f>C1322 &amp; ": " &amp; D1322</f>
        <v>witness-discriminates: Requirements.IsUnfalsifiedControl</v>
      </c>
      <c r="C1322" s="3" t="s">
        <v>7549</v>
      </c>
      <c r="D1322" s="3" t="s">
        <v>3070</v>
      </c>
      <c r="E1322" s="3" t="s">
        <v>1805</v>
      </c>
      <c r="F1322" s="3" t="s">
        <v>814</v>
      </c>
      <c r="G1322" s="3" t="s">
        <v>7550</v>
      </c>
      <c r="H1322" s="3" t="s">
        <v>2259</v>
      </c>
      <c r="I1322" s="3" t="s">
        <v>5990</v>
      </c>
      <c r="J1322" s="3" t="s">
        <v>7551</v>
      </c>
      <c r="K1322" s="4" t="b">
        <f>J1322 = "blocking"</f>
        <v>0</v>
      </c>
      <c r="L1322" s="3" t="s">
        <v>1448</v>
      </c>
      <c r="M1322" s="3" t="s">
        <v>7683</v>
      </c>
      <c r="N1322" s="5">
        <v>46223.1297337963</v>
      </c>
      <c r="O1322" s="4" t="b">
        <f>L1322 = "PASS"</f>
        <v>1</v>
      </c>
      <c r="P1322" s="4" t="b">
        <f>L1322 = "FAIL"</f>
        <v>0</v>
      </c>
      <c r="Q1322" s="4" t="b">
        <f>AND(((P1322)=TRUE), ((K1322)=TRUE))</f>
        <v>0</v>
      </c>
      <c r="R1322" s="4" t="str">
        <f>IF(((O1322)=TRUE),  I1322,  "")</f>
        <v>suite-witness</v>
      </c>
      <c r="S1322" s="4" t="str">
        <f>IF(((Q1322)=TRUE),  I1322,  "")</f>
      </c>
      <c r="T1322" s="3" t="s">
        <v>6001</v>
      </c>
    </row>
    <row r="1323">
      <c r="A1323" s="3" t="s">
        <v>7687</v>
      </c>
      <c r="B1323" s="4" t="str">
        <f>C1323 &amp; ": " &amp; D1323</f>
        <v>witness-discriminates: Requirements.ClaimsAWitnessField</v>
      </c>
      <c r="C1323" s="3" t="s">
        <v>7549</v>
      </c>
      <c r="D1323" s="3" t="s">
        <v>3072</v>
      </c>
      <c r="E1323" s="3" t="s">
        <v>1805</v>
      </c>
      <c r="F1323" s="3" t="s">
        <v>815</v>
      </c>
      <c r="G1323" s="3" t="s">
        <v>7550</v>
      </c>
      <c r="H1323" s="3" t="s">
        <v>2267</v>
      </c>
      <c r="I1323" s="3" t="s">
        <v>5990</v>
      </c>
      <c r="J1323" s="3" t="s">
        <v>7551</v>
      </c>
      <c r="K1323" s="4" t="b">
        <f>J1323 = "blocking"</f>
        <v>0</v>
      </c>
      <c r="L1323" s="3" t="s">
        <v>1448</v>
      </c>
      <c r="M1323" s="3" t="s">
        <v>7575</v>
      </c>
      <c r="N1323" s="5">
        <v>46223.1297337963</v>
      </c>
      <c r="O1323" s="4" t="b">
        <f>L1323 = "PASS"</f>
        <v>1</v>
      </c>
      <c r="P1323" s="4" t="b">
        <f>L1323 = "FAIL"</f>
        <v>0</v>
      </c>
      <c r="Q1323" s="4" t="b">
        <f>AND(((P1323)=TRUE), ((K1323)=TRUE))</f>
        <v>0</v>
      </c>
      <c r="R1323" s="4" t="str">
        <f>IF(((O1323)=TRUE),  I1323,  "")</f>
        <v>suite-witness</v>
      </c>
      <c r="S1323" s="4" t="str">
        <f>IF(((Q1323)=TRUE),  I1323,  "")</f>
      </c>
      <c r="T1323" s="3" t="s">
        <v>6001</v>
      </c>
    </row>
    <row r="1324">
      <c r="A1324" s="3" t="s">
        <v>7688</v>
      </c>
      <c r="B1324" s="4" t="str">
        <f>C1324 &amp; ": " &amp; D1324</f>
        <v>witness-discriminates: Requirements.NamedWitnessFieldExists</v>
      </c>
      <c r="C1324" s="3" t="s">
        <v>7549</v>
      </c>
      <c r="D1324" s="3" t="s">
        <v>3074</v>
      </c>
      <c r="E1324" s="3" t="s">
        <v>1805</v>
      </c>
      <c r="F1324" s="3" t="s">
        <v>816</v>
      </c>
      <c r="G1324" s="3" t="s">
        <v>7550</v>
      </c>
      <c r="H1324" s="3" t="s">
        <v>2267</v>
      </c>
      <c r="I1324" s="3" t="s">
        <v>5990</v>
      </c>
      <c r="J1324" s="3" t="s">
        <v>7551</v>
      </c>
      <c r="K1324" s="4" t="b">
        <f>J1324 = "blocking"</f>
        <v>0</v>
      </c>
      <c r="L1324" s="3" t="s">
        <v>1451</v>
      </c>
      <c r="M1324" s="3" t="s">
        <v>7689</v>
      </c>
      <c r="N1324" s="5">
        <v>46223.1297337963</v>
      </c>
      <c r="O1324" s="4" t="b">
        <f>L1324 = "PASS"</f>
        <v>0</v>
      </c>
      <c r="P1324" s="4" t="b">
        <f>L1324 = "FAIL"</f>
        <v>0</v>
      </c>
      <c r="Q1324" s="4" t="b">
        <f>AND(((P1324)=TRUE), ((K1324)=TRUE))</f>
        <v>0</v>
      </c>
      <c r="R1324" s="4" t="str">
        <f>IF(((O1324)=TRUE),  I1324,  "")</f>
      </c>
      <c r="S1324" s="4" t="str">
        <f>IF(((Q1324)=TRUE),  I1324,  "")</f>
      </c>
      <c r="T1324" s="3" t="s">
        <v>6001</v>
      </c>
    </row>
    <row r="1325">
      <c r="A1325" s="3" t="s">
        <v>7690</v>
      </c>
      <c r="B1325" s="4" t="str">
        <f>C1325 &amp; ": " &amp; D1325</f>
        <v>witness-discriminates: Requirements.DerivedHasComputedWitness</v>
      </c>
      <c r="C1325" s="3" t="s">
        <v>7549</v>
      </c>
      <c r="D1325" s="3" t="s">
        <v>3076</v>
      </c>
      <c r="E1325" s="3" t="s">
        <v>1805</v>
      </c>
      <c r="F1325" s="3" t="s">
        <v>817</v>
      </c>
      <c r="G1325" s="3" t="s">
        <v>7550</v>
      </c>
      <c r="H1325" s="3" t="s">
        <v>2267</v>
      </c>
      <c r="I1325" s="3" t="s">
        <v>5990</v>
      </c>
      <c r="J1325" s="3" t="s">
        <v>7551</v>
      </c>
      <c r="K1325" s="4" t="b">
        <f>J1325 = "blocking"</f>
        <v>0</v>
      </c>
      <c r="L1325" s="3" t="s">
        <v>1448</v>
      </c>
      <c r="M1325" s="3" t="s">
        <v>7575</v>
      </c>
      <c r="N1325" s="5">
        <v>46223.1297337963</v>
      </c>
      <c r="O1325" s="4" t="b">
        <f>L1325 = "PASS"</f>
        <v>1</v>
      </c>
      <c r="P1325" s="4" t="b">
        <f>L1325 = "FAIL"</f>
        <v>0</v>
      </c>
      <c r="Q1325" s="4" t="b">
        <f>AND(((P1325)=TRUE), ((K1325)=TRUE))</f>
        <v>0</v>
      </c>
      <c r="R1325" s="4" t="str">
        <f>IF(((O1325)=TRUE),  I1325,  "")</f>
        <v>suite-witness</v>
      </c>
      <c r="S1325" s="4" t="str">
        <f>IF(((Q1325)=TRUE),  I1325,  "")</f>
      </c>
      <c r="T1325" s="3" t="s">
        <v>6001</v>
      </c>
    </row>
    <row r="1326">
      <c r="A1326" s="3" t="s">
        <v>7691</v>
      </c>
      <c r="B1326" s="4" t="str">
        <f>C1326 &amp; ": " &amp; D1326</f>
        <v>witness-discriminates: Requirements.WitnessClaimIsUnverified</v>
      </c>
      <c r="C1326" s="3" t="s">
        <v>7549</v>
      </c>
      <c r="D1326" s="3" t="s">
        <v>3078</v>
      </c>
      <c r="E1326" s="3" t="s">
        <v>1805</v>
      </c>
      <c r="F1326" s="3" t="s">
        <v>818</v>
      </c>
      <c r="G1326" s="3" t="s">
        <v>7550</v>
      </c>
      <c r="H1326" s="3" t="s">
        <v>2267</v>
      </c>
      <c r="I1326" s="3" t="s">
        <v>5990</v>
      </c>
      <c r="J1326" s="3" t="s">
        <v>7551</v>
      </c>
      <c r="K1326" s="4" t="b">
        <f>J1326 = "blocking"</f>
        <v>0</v>
      </c>
      <c r="L1326" s="3" t="s">
        <v>1451</v>
      </c>
      <c r="M1326" s="3" t="s">
        <v>7581</v>
      </c>
      <c r="N1326" s="5">
        <v>46223.1297337963</v>
      </c>
      <c r="O1326" s="4" t="b">
        <f>L1326 = "PASS"</f>
        <v>0</v>
      </c>
      <c r="P1326" s="4" t="b">
        <f>L1326 = "FAIL"</f>
        <v>0</v>
      </c>
      <c r="Q1326" s="4" t="b">
        <f>AND(((P1326)=TRUE), ((K1326)=TRUE))</f>
        <v>0</v>
      </c>
      <c r="R1326" s="4" t="str">
        <f>IF(((O1326)=TRUE),  I1326,  "")</f>
      </c>
      <c r="S1326" s="4" t="str">
        <f>IF(((Q1326)=TRUE),  I1326,  "")</f>
      </c>
      <c r="T1326" s="3" t="s">
        <v>6001</v>
      </c>
    </row>
    <row r="1327">
      <c r="A1327" s="3" t="s">
        <v>7692</v>
      </c>
      <c r="B1327" s="4" t="str">
        <f>C1327 &amp; ": " &amp; D1327</f>
        <v>witness-discriminates: Requirements.IsUnwitnessedBlockingControl</v>
      </c>
      <c r="C1327" s="3" t="s">
        <v>7549</v>
      </c>
      <c r="D1327" s="3" t="s">
        <v>3080</v>
      </c>
      <c r="E1327" s="3" t="s">
        <v>1805</v>
      </c>
      <c r="F1327" s="3" t="s">
        <v>819</v>
      </c>
      <c r="G1327" s="3" t="s">
        <v>7550</v>
      </c>
      <c r="H1327" s="3" t="s">
        <v>2267</v>
      </c>
      <c r="I1327" s="3" t="s">
        <v>5990</v>
      </c>
      <c r="J1327" s="3" t="s">
        <v>7551</v>
      </c>
      <c r="K1327" s="4" t="b">
        <f>J1327 = "blocking"</f>
        <v>0</v>
      </c>
      <c r="L1327" s="3" t="s">
        <v>1448</v>
      </c>
      <c r="M1327" s="3" t="s">
        <v>7693</v>
      </c>
      <c r="N1327" s="5">
        <v>46223.1297337963</v>
      </c>
      <c r="O1327" s="4" t="b">
        <f>L1327 = "PASS"</f>
        <v>1</v>
      </c>
      <c r="P1327" s="4" t="b">
        <f>L1327 = "FAIL"</f>
        <v>0</v>
      </c>
      <c r="Q1327" s="4" t="b">
        <f>AND(((P1327)=TRUE), ((K1327)=TRUE))</f>
        <v>0</v>
      </c>
      <c r="R1327" s="4" t="str">
        <f>IF(((O1327)=TRUE),  I1327,  "")</f>
        <v>suite-witness</v>
      </c>
      <c r="S1327" s="4" t="str">
        <f>IF(((Q1327)=TRUE),  I1327,  "")</f>
      </c>
      <c r="T1327" s="3" t="s">
        <v>6001</v>
      </c>
    </row>
    <row r="1328">
      <c r="A1328" s="3" t="s">
        <v>7694</v>
      </c>
      <c r="B1328" s="4" t="str">
        <f>C1328 &amp; ": " &amp; D1328</f>
        <v>witness-discriminates: Requirements.WitnessHasNeverFired</v>
      </c>
      <c r="C1328" s="3" t="s">
        <v>7549</v>
      </c>
      <c r="D1328" s="3" t="s">
        <v>3084</v>
      </c>
      <c r="E1328" s="3" t="s">
        <v>1805</v>
      </c>
      <c r="F1328" s="3" t="s">
        <v>821</v>
      </c>
      <c r="G1328" s="3" t="s">
        <v>7550</v>
      </c>
      <c r="H1328" s="3" t="s">
        <v>2279</v>
      </c>
      <c r="I1328" s="3" t="s">
        <v>5990</v>
      </c>
      <c r="J1328" s="3" t="s">
        <v>7551</v>
      </c>
      <c r="K1328" s="4" t="b">
        <f>J1328 = "blocking"</f>
        <v>0</v>
      </c>
      <c r="L1328" s="3" t="s">
        <v>1448</v>
      </c>
      <c r="M1328" s="3" t="s">
        <v>7579</v>
      </c>
      <c r="N1328" s="5">
        <v>46223.1297337963</v>
      </c>
      <c r="O1328" s="4" t="b">
        <f>L1328 = "PASS"</f>
        <v>1</v>
      </c>
      <c r="P1328" s="4" t="b">
        <f>L1328 = "FAIL"</f>
        <v>0</v>
      </c>
      <c r="Q1328" s="4" t="b">
        <f>AND(((P1328)=TRUE), ((K1328)=TRUE))</f>
        <v>0</v>
      </c>
      <c r="R1328" s="4" t="str">
        <f>IF(((O1328)=TRUE),  I1328,  "")</f>
        <v>suite-witness</v>
      </c>
      <c r="S1328" s="4" t="str">
        <f>IF(((Q1328)=TRUE),  I1328,  "")</f>
      </c>
      <c r="T1328" s="3" t="s">
        <v>6001</v>
      </c>
    </row>
    <row r="1329">
      <c r="A1329" s="3" t="s">
        <v>7695</v>
      </c>
      <c r="B1329" s="4" t="str">
        <f>C1329 &amp; ": " &amp; D1329</f>
        <v>witness-discriminates: Requirements.HasMeaningfulSample</v>
      </c>
      <c r="C1329" s="3" t="s">
        <v>7549</v>
      </c>
      <c r="D1329" s="3" t="s">
        <v>3088</v>
      </c>
      <c r="E1329" s="3" t="s">
        <v>1805</v>
      </c>
      <c r="F1329" s="3" t="s">
        <v>823</v>
      </c>
      <c r="G1329" s="3" t="s">
        <v>7550</v>
      </c>
      <c r="H1329" s="3" t="s">
        <v>2279</v>
      </c>
      <c r="I1329" s="3" t="s">
        <v>5990</v>
      </c>
      <c r="J1329" s="3" t="s">
        <v>7551</v>
      </c>
      <c r="K1329" s="4" t="b">
        <f>J1329 = "blocking"</f>
        <v>0</v>
      </c>
      <c r="L1329" s="3" t="s">
        <v>1451</v>
      </c>
      <c r="M1329" s="3" t="s">
        <v>7584</v>
      </c>
      <c r="N1329" s="5">
        <v>46223.1297337963</v>
      </c>
      <c r="O1329" s="4" t="b">
        <f>L1329 = "PASS"</f>
        <v>0</v>
      </c>
      <c r="P1329" s="4" t="b">
        <f>L1329 = "FAIL"</f>
        <v>0</v>
      </c>
      <c r="Q1329" s="4" t="b">
        <f>AND(((P1329)=TRUE), ((K1329)=TRUE))</f>
        <v>0</v>
      </c>
      <c r="R1329" s="4" t="str">
        <f>IF(((O1329)=TRUE),  I1329,  "")</f>
      </c>
      <c r="S1329" s="4" t="str">
        <f>IF(((Q1329)=TRUE),  I1329,  "")</f>
      </c>
      <c r="T1329" s="3" t="s">
        <v>6001</v>
      </c>
    </row>
    <row r="1330">
      <c r="A1330" s="3" t="s">
        <v>7696</v>
      </c>
      <c r="B1330" s="4" t="str">
        <f>C1330 &amp; ": " &amp; D1330</f>
        <v>witness-discriminates: Requirements.IsUntestedWitness</v>
      </c>
      <c r="C1330" s="3" t="s">
        <v>7549</v>
      </c>
      <c r="D1330" s="3" t="s">
        <v>3091</v>
      </c>
      <c r="E1330" s="3" t="s">
        <v>1805</v>
      </c>
      <c r="F1330" s="3" t="s">
        <v>825</v>
      </c>
      <c r="G1330" s="3" t="s">
        <v>7550</v>
      </c>
      <c r="H1330" s="3" t="s">
        <v>2279</v>
      </c>
      <c r="I1330" s="3" t="s">
        <v>5990</v>
      </c>
      <c r="J1330" s="3" t="s">
        <v>7551</v>
      </c>
      <c r="K1330" s="4" t="b">
        <f>J1330 = "blocking"</f>
        <v>0</v>
      </c>
      <c r="L1330" s="3" t="s">
        <v>1451</v>
      </c>
      <c r="M1330" s="3" t="s">
        <v>7697</v>
      </c>
      <c r="N1330" s="5">
        <v>46223.1297337963</v>
      </c>
      <c r="O1330" s="4" t="b">
        <f>L1330 = "PASS"</f>
        <v>0</v>
      </c>
      <c r="P1330" s="4" t="b">
        <f>L1330 = "FAIL"</f>
        <v>0</v>
      </c>
      <c r="Q1330" s="4" t="b">
        <f>AND(((P1330)=TRUE), ((K1330)=TRUE))</f>
        <v>0</v>
      </c>
      <c r="R1330" s="4" t="str">
        <f>IF(((O1330)=TRUE),  I1330,  "")</f>
      </c>
      <c r="S1330" s="4" t="str">
        <f>IF(((Q1330)=TRUE),  I1330,  "")</f>
      </c>
      <c r="T1330" s="3" t="s">
        <v>6001</v>
      </c>
    </row>
    <row r="1331">
      <c r="A1331" s="3" t="s">
        <v>7698</v>
      </c>
      <c r="B1331" s="4" t="str">
        <f>C1331 &amp; ": " &amp; D1331</f>
        <v>witness-discriminates: Requirements.IsEvidencedHoldingControl</v>
      </c>
      <c r="C1331" s="3" t="s">
        <v>7549</v>
      </c>
      <c r="D1331" s="3" t="s">
        <v>3093</v>
      </c>
      <c r="E1331" s="3" t="s">
        <v>1805</v>
      </c>
      <c r="F1331" s="3" t="s">
        <v>826</v>
      </c>
      <c r="G1331" s="3" t="s">
        <v>7550</v>
      </c>
      <c r="H1331" s="3" t="s">
        <v>2279</v>
      </c>
      <c r="I1331" s="3" t="s">
        <v>5990</v>
      </c>
      <c r="J1331" s="3" t="s">
        <v>7551</v>
      </c>
      <c r="K1331" s="4" t="b">
        <f>J1331 = "blocking"</f>
        <v>0</v>
      </c>
      <c r="L1331" s="3" t="s">
        <v>1451</v>
      </c>
      <c r="M1331" s="3" t="s">
        <v>7697</v>
      </c>
      <c r="N1331" s="5">
        <v>46223.1297337963</v>
      </c>
      <c r="O1331" s="4" t="b">
        <f>L1331 = "PASS"</f>
        <v>0</v>
      </c>
      <c r="P1331" s="4" t="b">
        <f>L1331 = "FAIL"</f>
        <v>0</v>
      </c>
      <c r="Q1331" s="4" t="b">
        <f>AND(((P1331)=TRUE), ((K1331)=TRUE))</f>
        <v>0</v>
      </c>
      <c r="R1331" s="4" t="str">
        <f>IF(((O1331)=TRUE),  I1331,  "")</f>
      </c>
      <c r="S1331" s="4" t="str">
        <f>IF(((Q1331)=TRUE),  I1331,  "")</f>
      </c>
      <c r="T1331" s="3" t="s">
        <v>6001</v>
      </c>
    </row>
    <row r="1332">
      <c r="A1332" s="3" t="s">
        <v>7699</v>
      </c>
      <c r="B1332" s="4" t="str">
        <f>C1332 &amp; ": " &amp; D1332</f>
        <v>witness-discriminates: Requirements.WitnessIsPartiallyScoped</v>
      </c>
      <c r="C1332" s="3" t="s">
        <v>7549</v>
      </c>
      <c r="D1332" s="3" t="s">
        <v>3099</v>
      </c>
      <c r="E1332" s="3" t="s">
        <v>1805</v>
      </c>
      <c r="F1332" s="3" t="s">
        <v>829</v>
      </c>
      <c r="G1332" s="3" t="s">
        <v>7550</v>
      </c>
      <c r="H1332" s="3" t="s">
        <v>2283</v>
      </c>
      <c r="I1332" s="3" t="s">
        <v>5990</v>
      </c>
      <c r="J1332" s="3" t="s">
        <v>7551</v>
      </c>
      <c r="K1332" s="4" t="b">
        <f>J1332 = "blocking"</f>
        <v>0</v>
      </c>
      <c r="L1332" s="3" t="s">
        <v>1448</v>
      </c>
      <c r="M1332" s="3" t="s">
        <v>7575</v>
      </c>
      <c r="N1332" s="5">
        <v>46223.1297337963</v>
      </c>
      <c r="O1332" s="4" t="b">
        <f>L1332 = "PASS"</f>
        <v>1</v>
      </c>
      <c r="P1332" s="4" t="b">
        <f>L1332 = "FAIL"</f>
        <v>0</v>
      </c>
      <c r="Q1332" s="4" t="b">
        <f>AND(((P1332)=TRUE), ((K1332)=TRUE))</f>
        <v>0</v>
      </c>
      <c r="R1332" s="4" t="str">
        <f>IF(((O1332)=TRUE),  I1332,  "")</f>
        <v>suite-witness</v>
      </c>
      <c r="S1332" s="4" t="str">
        <f>IF(((Q1332)=TRUE),  I1332,  "")</f>
      </c>
      <c r="T1332" s="3" t="s">
        <v>6001</v>
      </c>
    </row>
    <row r="1333">
      <c r="A1333" s="3" t="s">
        <v>7700</v>
      </c>
      <c r="B1333" s="4" t="str">
        <f>C1333 &amp; ": " &amp; D1333</f>
        <v>witness-discriminates: Requirements.HasNamedOwner</v>
      </c>
      <c r="C1333" s="3" t="s">
        <v>7549</v>
      </c>
      <c r="D1333" s="3" t="s">
        <v>3104</v>
      </c>
      <c r="E1333" s="3" t="s">
        <v>1805</v>
      </c>
      <c r="F1333" s="3" t="s">
        <v>832</v>
      </c>
      <c r="G1333" s="3" t="s">
        <v>7550</v>
      </c>
      <c r="H1333" s="3" t="s">
        <v>2311</v>
      </c>
      <c r="I1333" s="3" t="s">
        <v>5990</v>
      </c>
      <c r="J1333" s="3" t="s">
        <v>7551</v>
      </c>
      <c r="K1333" s="4" t="b">
        <f>J1333 = "blocking"</f>
        <v>0</v>
      </c>
      <c r="L1333" s="3" t="s">
        <v>1451</v>
      </c>
      <c r="M1333" s="3" t="s">
        <v>7581</v>
      </c>
      <c r="N1333" s="5">
        <v>46223.1297337963</v>
      </c>
      <c r="O1333" s="4" t="b">
        <f>L1333 = "PASS"</f>
        <v>0</v>
      </c>
      <c r="P1333" s="4" t="b">
        <f>L1333 = "FAIL"</f>
        <v>0</v>
      </c>
      <c r="Q1333" s="4" t="b">
        <f>AND(((P1333)=TRUE), ((K1333)=TRUE))</f>
        <v>0</v>
      </c>
      <c r="R1333" s="4" t="str">
        <f>IF(((O1333)=TRUE),  I1333,  "")</f>
      </c>
      <c r="S1333" s="4" t="str">
        <f>IF(((Q1333)=TRUE),  I1333,  "")</f>
      </c>
      <c r="T1333" s="3" t="s">
        <v>6001</v>
      </c>
    </row>
    <row r="1334">
      <c r="A1334" s="3" t="s">
        <v>7701</v>
      </c>
      <c r="B1334" s="4" t="str">
        <f>C1334 &amp; ": " &amp; D1334</f>
        <v>witness-discriminates: Requirements.IsOrphanedBlockingControl</v>
      </c>
      <c r="C1334" s="3" t="s">
        <v>7549</v>
      </c>
      <c r="D1334" s="3" t="s">
        <v>3106</v>
      </c>
      <c r="E1334" s="3" t="s">
        <v>1805</v>
      </c>
      <c r="F1334" s="3" t="s">
        <v>833</v>
      </c>
      <c r="G1334" s="3" t="s">
        <v>7550</v>
      </c>
      <c r="H1334" s="3" t="s">
        <v>2311</v>
      </c>
      <c r="I1334" s="3" t="s">
        <v>5990</v>
      </c>
      <c r="J1334" s="3" t="s">
        <v>7551</v>
      </c>
      <c r="K1334" s="4" t="b">
        <f>J1334 = "blocking"</f>
        <v>0</v>
      </c>
      <c r="L1334" s="3" t="s">
        <v>1451</v>
      </c>
      <c r="M1334" s="3" t="s">
        <v>7679</v>
      </c>
      <c r="N1334" s="5">
        <v>46223.1297337963</v>
      </c>
      <c r="O1334" s="4" t="b">
        <f>L1334 = "PASS"</f>
        <v>0</v>
      </c>
      <c r="P1334" s="4" t="b">
        <f>L1334 = "FAIL"</f>
        <v>0</v>
      </c>
      <c r="Q1334" s="4" t="b">
        <f>AND(((P1334)=TRUE), ((K1334)=TRUE))</f>
        <v>0</v>
      </c>
      <c r="R1334" s="4" t="str">
        <f>IF(((O1334)=TRUE),  I1334,  "")</f>
      </c>
      <c r="S1334" s="4" t="str">
        <f>IF(((Q1334)=TRUE),  I1334,  "")</f>
      </c>
      <c r="T1334" s="3" t="s">
        <v>6001</v>
      </c>
    </row>
    <row r="1335">
      <c r="A1335" s="3" t="s">
        <v>7702</v>
      </c>
      <c r="B1335" s="4" t="str">
        <f>C1335 &amp; ": " &amp; D1335</f>
        <v>witness-discriminates: Requirements.IsUnwatchedAndUnowned</v>
      </c>
      <c r="C1335" s="3" t="s">
        <v>7549</v>
      </c>
      <c r="D1335" s="3" t="s">
        <v>3108</v>
      </c>
      <c r="E1335" s="3" t="s">
        <v>1805</v>
      </c>
      <c r="F1335" s="3" t="s">
        <v>834</v>
      </c>
      <c r="G1335" s="3" t="s">
        <v>7550</v>
      </c>
      <c r="H1335" s="3" t="s">
        <v>2311</v>
      </c>
      <c r="I1335" s="3" t="s">
        <v>5990</v>
      </c>
      <c r="J1335" s="3" t="s">
        <v>7551</v>
      </c>
      <c r="K1335" s="4" t="b">
        <f>J1335 = "blocking"</f>
        <v>0</v>
      </c>
      <c r="L1335" s="3" t="s">
        <v>1448</v>
      </c>
      <c r="M1335" s="3" t="s">
        <v>7693</v>
      </c>
      <c r="N1335" s="5">
        <v>46223.1297337963</v>
      </c>
      <c r="O1335" s="4" t="b">
        <f>L1335 = "PASS"</f>
        <v>1</v>
      </c>
      <c r="P1335" s="4" t="b">
        <f>L1335 = "FAIL"</f>
        <v>0</v>
      </c>
      <c r="Q1335" s="4" t="b">
        <f>AND(((P1335)=TRUE), ((K1335)=TRUE))</f>
        <v>0</v>
      </c>
      <c r="R1335" s="4" t="str">
        <f>IF(((O1335)=TRUE),  I1335,  "")</f>
        <v>suite-witness</v>
      </c>
      <c r="S1335" s="4" t="str">
        <f>IF(((Q1335)=TRUE),  I1335,  "")</f>
      </c>
      <c r="T1335" s="3" t="s">
        <v>6001</v>
      </c>
    </row>
    <row r="1336">
      <c r="A1336" s="3" t="s">
        <v>7703</v>
      </c>
      <c r="B1336" s="4" t="str">
        <f>C1336 &amp; ": " &amp; D1336</f>
        <v>witness-discriminates: StepRequirements.RequirementIsBlocking</v>
      </c>
      <c r="C1336" s="3" t="s">
        <v>7549</v>
      </c>
      <c r="D1336" s="3" t="s">
        <v>3124</v>
      </c>
      <c r="E1336" s="3" t="s">
        <v>3119</v>
      </c>
      <c r="F1336" s="3" t="s">
        <v>915</v>
      </c>
      <c r="G1336" s="3" t="s">
        <v>7550</v>
      </c>
      <c r="H1336" s="3" t="s">
        <v>1963</v>
      </c>
      <c r="I1336" s="3" t="s">
        <v>5990</v>
      </c>
      <c r="J1336" s="3" t="s">
        <v>7551</v>
      </c>
      <c r="K1336" s="4" t="b">
        <f>J1336 = "blocking"</f>
        <v>0</v>
      </c>
      <c r="L1336" s="3" t="s">
        <v>1451</v>
      </c>
      <c r="M1336" s="3" t="s">
        <v>7704</v>
      </c>
      <c r="N1336" s="5">
        <v>46223.1297337963</v>
      </c>
      <c r="O1336" s="4" t="b">
        <f>L1336 = "PASS"</f>
        <v>0</v>
      </c>
      <c r="P1336" s="4" t="b">
        <f>L1336 = "FAIL"</f>
        <v>0</v>
      </c>
      <c r="Q1336" s="4" t="b">
        <f>AND(((P1336)=TRUE), ((K1336)=TRUE))</f>
        <v>0</v>
      </c>
      <c r="R1336" s="4" t="str">
        <f>IF(((O1336)=TRUE),  I1336,  "")</f>
      </c>
      <c r="S1336" s="4" t="str">
        <f>IF(((Q1336)=TRUE),  I1336,  "")</f>
      </c>
      <c r="T1336" s="3" t="s">
        <v>6001</v>
      </c>
    </row>
    <row r="1337">
      <c r="A1337" s="3" t="s">
        <v>7705</v>
      </c>
      <c r="B1337" s="4" t="str">
        <f>C1337 &amp; ": " &amp; D1337</f>
        <v>witness-discriminates: StepRequirements.RequirementLacksWitness</v>
      </c>
      <c r="C1337" s="3" t="s">
        <v>7549</v>
      </c>
      <c r="D1337" s="3" t="s">
        <v>3129</v>
      </c>
      <c r="E1337" s="3" t="s">
        <v>3119</v>
      </c>
      <c r="F1337" s="3" t="s">
        <v>918</v>
      </c>
      <c r="G1337" s="3" t="s">
        <v>7550</v>
      </c>
      <c r="H1337" s="3" t="s">
        <v>2267</v>
      </c>
      <c r="I1337" s="3" t="s">
        <v>5990</v>
      </c>
      <c r="J1337" s="3" t="s">
        <v>7551</v>
      </c>
      <c r="K1337" s="4" t="b">
        <f>J1337 = "blocking"</f>
        <v>0</v>
      </c>
      <c r="L1337" s="3" t="s">
        <v>1448</v>
      </c>
      <c r="M1337" s="3" t="s">
        <v>7706</v>
      </c>
      <c r="N1337" s="5">
        <v>46223.1297337963</v>
      </c>
      <c r="O1337" s="4" t="b">
        <f>L1337 = "PASS"</f>
        <v>1</v>
      </c>
      <c r="P1337" s="4" t="b">
        <f>L1337 = "FAIL"</f>
        <v>0</v>
      </c>
      <c r="Q1337" s="4" t="b">
        <f>AND(((P1337)=TRUE), ((K1337)=TRUE))</f>
        <v>0</v>
      </c>
      <c r="R1337" s="4" t="str">
        <f>IF(((O1337)=TRUE),  I1337,  "")</f>
        <v>suite-witness</v>
      </c>
      <c r="S1337" s="4" t="str">
        <f>IF(((Q1337)=TRUE),  I1337,  "")</f>
      </c>
      <c r="T1337" s="3" t="s">
        <v>6001</v>
      </c>
    </row>
    <row r="1338">
      <c r="A1338" s="3" t="s">
        <v>7707</v>
      </c>
      <c r="B1338" s="4" t="str">
        <f>C1338 &amp; ": " &amp; D1338</f>
        <v>witness-discriminates: StepRequirements.BindingWasEverExercised</v>
      </c>
      <c r="C1338" s="3" t="s">
        <v>7549</v>
      </c>
      <c r="D1338" s="3" t="s">
        <v>3135</v>
      </c>
      <c r="E1338" s="3" t="s">
        <v>3119</v>
      </c>
      <c r="F1338" s="3" t="s">
        <v>921</v>
      </c>
      <c r="G1338" s="3" t="s">
        <v>7550</v>
      </c>
      <c r="H1338" s="3" t="s">
        <v>2283</v>
      </c>
      <c r="I1338" s="3" t="s">
        <v>5990</v>
      </c>
      <c r="J1338" s="3" t="s">
        <v>7551</v>
      </c>
      <c r="K1338" s="4" t="b">
        <f>J1338 = "blocking"</f>
        <v>0</v>
      </c>
      <c r="L1338" s="3" t="s">
        <v>1451</v>
      </c>
      <c r="M1338" s="3" t="s">
        <v>7708</v>
      </c>
      <c r="N1338" s="5">
        <v>46223.1297337963</v>
      </c>
      <c r="O1338" s="4" t="b">
        <f>L1338 = "PASS"</f>
        <v>0</v>
      </c>
      <c r="P1338" s="4" t="b">
        <f>L1338 = "FAIL"</f>
        <v>0</v>
      </c>
      <c r="Q1338" s="4" t="b">
        <f>AND(((P1338)=TRUE), ((K1338)=TRUE))</f>
        <v>0</v>
      </c>
      <c r="R1338" s="4" t="str">
        <f>IF(((O1338)=TRUE),  I1338,  "")</f>
      </c>
      <c r="S1338" s="4" t="str">
        <f>IF(((Q1338)=TRUE),  I1338,  "")</f>
      </c>
      <c r="T1338" s="3" t="s">
        <v>6001</v>
      </c>
    </row>
    <row r="1339">
      <c r="A1339" s="3" t="s">
        <v>7709</v>
      </c>
      <c r="B1339" s="4" t="str">
        <f>C1339 &amp; ": " &amp; D1339</f>
        <v>witness-discriminates: StepRequirements.IsUnexercisedBlockingBinding</v>
      </c>
      <c r="C1339" s="3" t="s">
        <v>7549</v>
      </c>
      <c r="D1339" s="3" t="s">
        <v>3137</v>
      </c>
      <c r="E1339" s="3" t="s">
        <v>3119</v>
      </c>
      <c r="F1339" s="3" t="s">
        <v>922</v>
      </c>
      <c r="G1339" s="3" t="s">
        <v>7550</v>
      </c>
      <c r="H1339" s="3" t="s">
        <v>2283</v>
      </c>
      <c r="I1339" s="3" t="s">
        <v>5990</v>
      </c>
      <c r="J1339" s="3" t="s">
        <v>7551</v>
      </c>
      <c r="K1339" s="4" t="b">
        <f>J1339 = "blocking"</f>
        <v>0</v>
      </c>
      <c r="L1339" s="3" t="s">
        <v>1451</v>
      </c>
      <c r="M1339" s="3" t="s">
        <v>7704</v>
      </c>
      <c r="N1339" s="5">
        <v>46223.1297337963</v>
      </c>
      <c r="O1339" s="4" t="b">
        <f>L1339 = "PASS"</f>
        <v>0</v>
      </c>
      <c r="P1339" s="4" t="b">
        <f>L1339 = "FAIL"</f>
        <v>0</v>
      </c>
      <c r="Q1339" s="4" t="b">
        <f>AND(((P1339)=TRUE), ((K1339)=TRUE))</f>
        <v>0</v>
      </c>
      <c r="R1339" s="4" t="str">
        <f>IF(((O1339)=TRUE),  I1339,  "")</f>
      </c>
      <c r="S1339" s="4" t="str">
        <f>IF(((Q1339)=TRUE),  I1339,  "")</f>
      </c>
      <c r="T1339" s="3" t="s">
        <v>6001</v>
      </c>
    </row>
    <row r="1340">
      <c r="A1340" s="3" t="s">
        <v>7710</v>
      </c>
      <c r="B1340" s="4" t="str">
        <f>C1340 &amp; ": " &amp; D1340</f>
        <v>witness-discriminates: Resources.IsApprovedSource</v>
      </c>
      <c r="C1340" s="3" t="s">
        <v>7549</v>
      </c>
      <c r="D1340" s="3" t="s">
        <v>3183</v>
      </c>
      <c r="E1340" s="3" t="s">
        <v>1811</v>
      </c>
      <c r="F1340" s="3" t="s">
        <v>1025</v>
      </c>
      <c r="G1340" s="3" t="s">
        <v>7550</v>
      </c>
      <c r="H1340" s="3" t="s">
        <v>2183</v>
      </c>
      <c r="I1340" s="3" t="s">
        <v>5990</v>
      </c>
      <c r="J1340" s="3" t="s">
        <v>7551</v>
      </c>
      <c r="K1340" s="4" t="b">
        <f>J1340 = "blocking"</f>
        <v>0</v>
      </c>
      <c r="L1340" s="3" t="s">
        <v>1451</v>
      </c>
      <c r="M1340" s="3" t="s">
        <v>7711</v>
      </c>
      <c r="N1340" s="5">
        <v>46223.1297337963</v>
      </c>
      <c r="O1340" s="4" t="b">
        <f>L1340 = "PASS"</f>
        <v>0</v>
      </c>
      <c r="P1340" s="4" t="b">
        <f>L1340 = "FAIL"</f>
        <v>0</v>
      </c>
      <c r="Q1340" s="4" t="b">
        <f>AND(((P1340)=TRUE), ((K1340)=TRUE))</f>
        <v>0</v>
      </c>
      <c r="R1340" s="4" t="str">
        <f>IF(((O1340)=TRUE),  I1340,  "")</f>
      </c>
      <c r="S1340" s="4" t="str">
        <f>IF(((Q1340)=TRUE),  I1340,  "")</f>
      </c>
      <c r="T1340" s="3" t="s">
        <v>6001</v>
      </c>
    </row>
    <row r="1341">
      <c r="A1341" s="3" t="s">
        <v>7712</v>
      </c>
      <c r="B1341" s="4" t="str">
        <f>C1341 &amp; ": " &amp; D1341</f>
        <v>witness-discriminates: ElicitationSessions.IsSingleWitnessMethod</v>
      </c>
      <c r="C1341" s="3" t="s">
        <v>7549</v>
      </c>
      <c r="D1341" s="3" t="s">
        <v>3210</v>
      </c>
      <c r="E1341" s="3" t="s">
        <v>1855</v>
      </c>
      <c r="F1341" s="3" t="s">
        <v>1086</v>
      </c>
      <c r="G1341" s="3" t="s">
        <v>7550</v>
      </c>
      <c r="H1341" s="3" t="s">
        <v>2047</v>
      </c>
      <c r="I1341" s="3" t="s">
        <v>5990</v>
      </c>
      <c r="J1341" s="3" t="s">
        <v>7551</v>
      </c>
      <c r="K1341" s="4" t="b">
        <f>J1341 = "blocking"</f>
        <v>0</v>
      </c>
      <c r="L1341" s="3" t="s">
        <v>1448</v>
      </c>
      <c r="M1341" s="3" t="s">
        <v>7608</v>
      </c>
      <c r="N1341" s="5">
        <v>46223.1297337963</v>
      </c>
      <c r="O1341" s="4" t="b">
        <f>L1341 = "PASS"</f>
        <v>1</v>
      </c>
      <c r="P1341" s="4" t="b">
        <f>L1341 = "FAIL"</f>
        <v>0</v>
      </c>
      <c r="Q1341" s="4" t="b">
        <f>AND(((P1341)=TRUE), ((K1341)=TRUE))</f>
        <v>0</v>
      </c>
      <c r="R1341" s="4" t="str">
        <f>IF(((O1341)=TRUE),  I1341,  "")</f>
        <v>suite-witness</v>
      </c>
      <c r="S1341" s="4" t="str">
        <f>IF(((Q1341)=TRUE),  I1341,  "")</f>
      </c>
      <c r="T1341" s="3" t="s">
        <v>6001</v>
      </c>
    </row>
    <row r="1342">
      <c r="A1342" s="3" t="s">
        <v>7713</v>
      </c>
      <c r="B1342" s="4" t="str">
        <f>C1342 &amp; ": " &amp; D1342</f>
        <v>witness-discriminates: ElicitationSessions.PractitionerIsStillEngaged</v>
      </c>
      <c r="C1342" s="3" t="s">
        <v>7549</v>
      </c>
      <c r="D1342" s="3" t="s">
        <v>3212</v>
      </c>
      <c r="E1342" s="3" t="s">
        <v>1855</v>
      </c>
      <c r="F1342" s="3" t="s">
        <v>1087</v>
      </c>
      <c r="G1342" s="3" t="s">
        <v>7550</v>
      </c>
      <c r="H1342" s="3" t="s">
        <v>2047</v>
      </c>
      <c r="I1342" s="3" t="s">
        <v>5990</v>
      </c>
      <c r="J1342" s="3" t="s">
        <v>7551</v>
      </c>
      <c r="K1342" s="4" t="b">
        <f>J1342 = "blocking"</f>
        <v>0</v>
      </c>
      <c r="L1342" s="3" t="s">
        <v>1451</v>
      </c>
      <c r="M1342" s="3" t="s">
        <v>7616</v>
      </c>
      <c r="N1342" s="5">
        <v>46223.1297337963</v>
      </c>
      <c r="O1342" s="4" t="b">
        <f>L1342 = "PASS"</f>
        <v>0</v>
      </c>
      <c r="P1342" s="4" t="b">
        <f>L1342 = "FAIL"</f>
        <v>0</v>
      </c>
      <c r="Q1342" s="4" t="b">
        <f>AND(((P1342)=TRUE), ((K1342)=TRUE))</f>
        <v>0</v>
      </c>
      <c r="R1342" s="4" t="str">
        <f>IF(((O1342)=TRUE),  I1342,  "")</f>
      </c>
      <c r="S1342" s="4" t="str">
        <f>IF(((Q1342)=TRUE),  I1342,  "")</f>
      </c>
      <c r="T1342" s="3" t="s">
        <v>6001</v>
      </c>
    </row>
    <row r="1343">
      <c r="A1343" s="3" t="s">
        <v>7714</v>
      </c>
      <c r="B1343" s="4" t="str">
        <f>C1343 &amp; ": " &amp; D1343</f>
        <v>witness-discriminates: ElicitationSessions.IsHighYieldSession</v>
      </c>
      <c r="C1343" s="3" t="s">
        <v>7549</v>
      </c>
      <c r="D1343" s="3" t="s">
        <v>3216</v>
      </c>
      <c r="E1343" s="3" t="s">
        <v>1855</v>
      </c>
      <c r="F1343" s="3" t="s">
        <v>1089</v>
      </c>
      <c r="G1343" s="3" t="s">
        <v>7550</v>
      </c>
      <c r="H1343" s="3" t="s">
        <v>2207</v>
      </c>
      <c r="I1343" s="3" t="s">
        <v>5990</v>
      </c>
      <c r="J1343" s="3" t="s">
        <v>7551</v>
      </c>
      <c r="K1343" s="4" t="b">
        <f>J1343 = "blocking"</f>
        <v>0</v>
      </c>
      <c r="L1343" s="3" t="s">
        <v>1448</v>
      </c>
      <c r="M1343" s="3" t="s">
        <v>7604</v>
      </c>
      <c r="N1343" s="5">
        <v>46223.1297337963</v>
      </c>
      <c r="O1343" s="4" t="b">
        <f>L1343 = "PASS"</f>
        <v>1</v>
      </c>
      <c r="P1343" s="4" t="b">
        <f>L1343 = "FAIL"</f>
        <v>0</v>
      </c>
      <c r="Q1343" s="4" t="b">
        <f>AND(((P1343)=TRUE), ((K1343)=TRUE))</f>
        <v>0</v>
      </c>
      <c r="R1343" s="4" t="str">
        <f>IF(((O1343)=TRUE),  I1343,  "")</f>
        <v>suite-witness</v>
      </c>
      <c r="S1343" s="4" t="str">
        <f>IF(((Q1343)=TRUE),  I1343,  "")</f>
      </c>
      <c r="T1343" s="3" t="s">
        <v>6001</v>
      </c>
    </row>
    <row r="1344">
      <c r="A1344" s="3" t="s">
        <v>7715</v>
      </c>
      <c r="B1344" s="4" t="str">
        <f>C1344 &amp; ": " &amp; D1344</f>
        <v>witness-discriminates: ElicitationSessions.IsConcentratedSingleWitness</v>
      </c>
      <c r="C1344" s="3" t="s">
        <v>7549</v>
      </c>
      <c r="D1344" s="3" t="s">
        <v>3218</v>
      </c>
      <c r="E1344" s="3" t="s">
        <v>1855</v>
      </c>
      <c r="F1344" s="3" t="s">
        <v>1090</v>
      </c>
      <c r="G1344" s="3" t="s">
        <v>7550</v>
      </c>
      <c r="H1344" s="3" t="s">
        <v>2207</v>
      </c>
      <c r="I1344" s="3" t="s">
        <v>5990</v>
      </c>
      <c r="J1344" s="3" t="s">
        <v>7551</v>
      </c>
      <c r="K1344" s="4" t="b">
        <f>J1344 = "blocking"</f>
        <v>0</v>
      </c>
      <c r="L1344" s="3" t="s">
        <v>1448</v>
      </c>
      <c r="M1344" s="3" t="s">
        <v>7604</v>
      </c>
      <c r="N1344" s="5">
        <v>46223.1297337963</v>
      </c>
      <c r="O1344" s="4" t="b">
        <f>L1344 = "PASS"</f>
        <v>1</v>
      </c>
      <c r="P1344" s="4" t="b">
        <f>L1344 = "FAIL"</f>
        <v>0</v>
      </c>
      <c r="Q1344" s="4" t="b">
        <f>AND(((P1344)=TRUE), ((K1344)=TRUE))</f>
        <v>0</v>
      </c>
      <c r="R1344" s="4" t="str">
        <f>IF(((O1344)=TRUE),  I1344,  "")</f>
        <v>suite-witness</v>
      </c>
      <c r="S1344" s="4" t="str">
        <f>IF(((Q1344)=TRUE),  I1344,  "")</f>
      </c>
      <c r="T1344" s="3" t="s">
        <v>6001</v>
      </c>
    </row>
    <row r="1345">
      <c r="A1345" s="3" t="s">
        <v>7716</v>
      </c>
      <c r="B1345" s="4" t="str">
        <f>C1345 &amp; ": " &amp; D1345</f>
        <v>witness-discriminates: ElicitationSessions.IsStaleConcentratedWitness</v>
      </c>
      <c r="C1345" s="3" t="s">
        <v>7549</v>
      </c>
      <c r="D1345" s="3" t="s">
        <v>3220</v>
      </c>
      <c r="E1345" s="3" t="s">
        <v>1855</v>
      </c>
      <c r="F1345" s="3" t="s">
        <v>1091</v>
      </c>
      <c r="G1345" s="3" t="s">
        <v>7550</v>
      </c>
      <c r="H1345" s="3" t="s">
        <v>2207</v>
      </c>
      <c r="I1345" s="3" t="s">
        <v>5990</v>
      </c>
      <c r="J1345" s="3" t="s">
        <v>7551</v>
      </c>
      <c r="K1345" s="4" t="b">
        <f>J1345 = "blocking"</f>
        <v>0</v>
      </c>
      <c r="L1345" s="3" t="s">
        <v>1451</v>
      </c>
      <c r="M1345" s="3" t="s">
        <v>7606</v>
      </c>
      <c r="N1345" s="5">
        <v>46223.1297337963</v>
      </c>
      <c r="O1345" s="4" t="b">
        <f>L1345 = "PASS"</f>
        <v>0</v>
      </c>
      <c r="P1345" s="4" t="b">
        <f>L1345 = "FAIL"</f>
        <v>0</v>
      </c>
      <c r="Q1345" s="4" t="b">
        <f>AND(((P1345)=TRUE), ((K1345)=TRUE))</f>
        <v>0</v>
      </c>
      <c r="R1345" s="4" t="str">
        <f>IF(((O1345)=TRUE),  I1345,  "")</f>
      </c>
      <c r="S1345" s="4" t="str">
        <f>IF(((Q1345)=TRUE),  I1345,  "")</f>
      </c>
      <c r="T1345" s="3" t="s">
        <v>6001</v>
      </c>
    </row>
    <row r="1346">
      <c r="A1346" s="3" t="s">
        <v>7717</v>
      </c>
      <c r="B1346" s="4" t="str">
        <f>C1346 &amp; ": " &amp; D1346</f>
        <v>witness-discriminates: KnowledgeFragments.IsCurrentlyValid</v>
      </c>
      <c r="C1346" s="3" t="s">
        <v>7549</v>
      </c>
      <c r="D1346" s="3" t="s">
        <v>3241</v>
      </c>
      <c r="E1346" s="3" t="s">
        <v>1851</v>
      </c>
      <c r="F1346" s="3" t="s">
        <v>260</v>
      </c>
      <c r="G1346" s="3" t="s">
        <v>7550</v>
      </c>
      <c r="H1346" s="3"/>
      <c r="I1346" s="3" t="s">
        <v>5990</v>
      </c>
      <c r="J1346" s="3" t="s">
        <v>7551</v>
      </c>
      <c r="K1346" s="4" t="b">
        <f>J1346 = "blocking"</f>
        <v>0</v>
      </c>
      <c r="L1346" s="3" t="s">
        <v>1448</v>
      </c>
      <c r="M1346" s="3" t="s">
        <v>7718</v>
      </c>
      <c r="N1346" s="5">
        <v>46223.1297337963</v>
      </c>
      <c r="O1346" s="4" t="b">
        <f>L1346 = "PASS"</f>
        <v>1</v>
      </c>
      <c r="P1346" s="4" t="b">
        <f>L1346 = "FAIL"</f>
        <v>0</v>
      </c>
      <c r="Q1346" s="4" t="b">
        <f>AND(((P1346)=TRUE), ((K1346)=TRUE))</f>
        <v>0</v>
      </c>
      <c r="R1346" s="4" t="str">
        <f>IF(((O1346)=TRUE),  I1346,  "")</f>
        <v>suite-witness</v>
      </c>
      <c r="S1346" s="4" t="str">
        <f>IF(((Q1346)=TRUE),  I1346,  "")</f>
      </c>
      <c r="T1346" s="3" t="s">
        <v>6001</v>
      </c>
    </row>
    <row r="1347">
      <c r="A1347" s="3" t="s">
        <v>7719</v>
      </c>
      <c r="B1347" s="4" t="str">
        <f>C1347 &amp; ": " &amp; D1347</f>
        <v>witness-discriminates: KnowledgeFragments.SourceAgentIsStillEngaged</v>
      </c>
      <c r="C1347" s="3" t="s">
        <v>7549</v>
      </c>
      <c r="D1347" s="3" t="s">
        <v>3243</v>
      </c>
      <c r="E1347" s="3" t="s">
        <v>1851</v>
      </c>
      <c r="F1347" s="3" t="s">
        <v>1109</v>
      </c>
      <c r="G1347" s="3" t="s">
        <v>7550</v>
      </c>
      <c r="H1347" s="3" t="s">
        <v>2039</v>
      </c>
      <c r="I1347" s="3" t="s">
        <v>5990</v>
      </c>
      <c r="J1347" s="3" t="s">
        <v>7551</v>
      </c>
      <c r="K1347" s="4" t="b">
        <f>J1347 = "blocking"</f>
        <v>0</v>
      </c>
      <c r="L1347" s="3" t="s">
        <v>1451</v>
      </c>
      <c r="M1347" s="3" t="s">
        <v>7720</v>
      </c>
      <c r="N1347" s="5">
        <v>46223.1297337963</v>
      </c>
      <c r="O1347" s="4" t="b">
        <f>L1347 = "PASS"</f>
        <v>0</v>
      </c>
      <c r="P1347" s="4" t="b">
        <f>L1347 = "FAIL"</f>
        <v>0</v>
      </c>
      <c r="Q1347" s="4" t="b">
        <f>AND(((P1347)=TRUE), ((K1347)=TRUE))</f>
        <v>0</v>
      </c>
      <c r="R1347" s="4" t="str">
        <f>IF(((O1347)=TRUE),  I1347,  "")</f>
      </c>
      <c r="S1347" s="4" t="str">
        <f>IF(((Q1347)=TRUE),  I1347,  "")</f>
      </c>
      <c r="T1347" s="3" t="s">
        <v>6001</v>
      </c>
    </row>
    <row r="1348">
      <c r="A1348" s="3" t="s">
        <v>7721</v>
      </c>
      <c r="B1348" s="4" t="str">
        <f>C1348 &amp; ": " &amp; D1348</f>
        <v>witness-discriminates: KnowledgeFragments.HasHumanSource</v>
      </c>
      <c r="C1348" s="3" t="s">
        <v>7549</v>
      </c>
      <c r="D1348" s="3" t="s">
        <v>3247</v>
      </c>
      <c r="E1348" s="3" t="s">
        <v>1851</v>
      </c>
      <c r="F1348" s="3" t="s">
        <v>1111</v>
      </c>
      <c r="G1348" s="3" t="s">
        <v>7550</v>
      </c>
      <c r="H1348" s="3" t="s">
        <v>2039</v>
      </c>
      <c r="I1348" s="3" t="s">
        <v>5990</v>
      </c>
      <c r="J1348" s="3" t="s">
        <v>7551</v>
      </c>
      <c r="K1348" s="4" t="b">
        <f>J1348 = "blocking"</f>
        <v>0</v>
      </c>
      <c r="L1348" s="3" t="s">
        <v>1451</v>
      </c>
      <c r="M1348" s="3" t="s">
        <v>7720</v>
      </c>
      <c r="N1348" s="5">
        <v>46223.1297337963</v>
      </c>
      <c r="O1348" s="4" t="b">
        <f>L1348 = "PASS"</f>
        <v>0</v>
      </c>
      <c r="P1348" s="4" t="b">
        <f>L1348 = "FAIL"</f>
        <v>0</v>
      </c>
      <c r="Q1348" s="4" t="b">
        <f>AND(((P1348)=TRUE), ((K1348)=TRUE))</f>
        <v>0</v>
      </c>
      <c r="R1348" s="4" t="str">
        <f>IF(((O1348)=TRUE),  I1348,  "")</f>
      </c>
      <c r="S1348" s="4" t="str">
        <f>IF(((Q1348)=TRUE),  I1348,  "")</f>
      </c>
      <c r="T1348" s="3" t="s">
        <v>6001</v>
      </c>
    </row>
    <row r="1349">
      <c r="A1349" s="3" t="s">
        <v>7722</v>
      </c>
      <c r="B1349" s="4" t="str">
        <f>C1349 &amp; ": " &amp; D1349</f>
        <v>witness-discriminates: KnowledgeFragments.HasOrphanedProvenance</v>
      </c>
      <c r="C1349" s="3" t="s">
        <v>7549</v>
      </c>
      <c r="D1349" s="3" t="s">
        <v>3249</v>
      </c>
      <c r="E1349" s="3" t="s">
        <v>1851</v>
      </c>
      <c r="F1349" s="3" t="s">
        <v>1112</v>
      </c>
      <c r="G1349" s="3" t="s">
        <v>7550</v>
      </c>
      <c r="H1349" s="3" t="s">
        <v>2039</v>
      </c>
      <c r="I1349" s="3" t="s">
        <v>5990</v>
      </c>
      <c r="J1349" s="3" t="s">
        <v>7551</v>
      </c>
      <c r="K1349" s="4" t="b">
        <f>J1349 = "blocking"</f>
        <v>0</v>
      </c>
      <c r="L1349" s="3" t="s">
        <v>1451</v>
      </c>
      <c r="M1349" s="3" t="s">
        <v>7723</v>
      </c>
      <c r="N1349" s="5">
        <v>46223.1297337963</v>
      </c>
      <c r="O1349" s="4" t="b">
        <f>L1349 = "PASS"</f>
        <v>0</v>
      </c>
      <c r="P1349" s="4" t="b">
        <f>L1349 = "FAIL"</f>
        <v>0</v>
      </c>
      <c r="Q1349" s="4" t="b">
        <f>AND(((P1349)=TRUE), ((K1349)=TRUE))</f>
        <v>0</v>
      </c>
      <c r="R1349" s="4" t="str">
        <f>IF(((O1349)=TRUE),  I1349,  "")</f>
      </c>
      <c r="S1349" s="4" t="str">
        <f>IF(((Q1349)=TRUE),  I1349,  "")</f>
      </c>
      <c r="T1349" s="3" t="s">
        <v>6001</v>
      </c>
    </row>
    <row r="1350">
      <c r="A1350" s="3" t="s">
        <v>7724</v>
      </c>
      <c r="B1350" s="4" t="str">
        <f>C1350 &amp; ": " &amp; D1350</f>
        <v>witness-discriminates: KnowledgeFragments.IsUndefendableTacitClaim</v>
      </c>
      <c r="C1350" s="3" t="s">
        <v>7549</v>
      </c>
      <c r="D1350" s="3" t="s">
        <v>3251</v>
      </c>
      <c r="E1350" s="3" t="s">
        <v>1851</v>
      </c>
      <c r="F1350" s="3" t="s">
        <v>1113</v>
      </c>
      <c r="G1350" s="3" t="s">
        <v>7550</v>
      </c>
      <c r="H1350" s="3" t="s">
        <v>2039</v>
      </c>
      <c r="I1350" s="3" t="s">
        <v>5990</v>
      </c>
      <c r="J1350" s="3" t="s">
        <v>7551</v>
      </c>
      <c r="K1350" s="4" t="b">
        <f>J1350 = "blocking"</f>
        <v>0</v>
      </c>
      <c r="L1350" s="3" t="s">
        <v>1451</v>
      </c>
      <c r="M1350" s="3" t="s">
        <v>7723</v>
      </c>
      <c r="N1350" s="5">
        <v>46223.1297337963</v>
      </c>
      <c r="O1350" s="4" t="b">
        <f>L1350 = "PASS"</f>
        <v>0</v>
      </c>
      <c r="P1350" s="4" t="b">
        <f>L1350 = "FAIL"</f>
        <v>0</v>
      </c>
      <c r="Q1350" s="4" t="b">
        <f>AND(((P1350)=TRUE), ((K1350)=TRUE))</f>
        <v>0</v>
      </c>
      <c r="R1350" s="4" t="str">
        <f>IF(((O1350)=TRUE),  I1350,  "")</f>
      </c>
      <c r="S1350" s="4" t="str">
        <f>IF(((Q1350)=TRUE),  I1350,  "")</f>
      </c>
      <c r="T1350" s="3" t="s">
        <v>6001</v>
      </c>
    </row>
    <row r="1351">
      <c r="A1351" s="3" t="s">
        <v>7725</v>
      </c>
      <c r="B1351" s="4" t="str">
        <f>C1351 &amp; ": " &amp; D1351</f>
        <v>witness-discriminates: KnowledgeFragments.IsApproved</v>
      </c>
      <c r="C1351" s="3" t="s">
        <v>7549</v>
      </c>
      <c r="D1351" s="3" t="s">
        <v>3253</v>
      </c>
      <c r="E1351" s="3" t="s">
        <v>1851</v>
      </c>
      <c r="F1351" s="3" t="s">
        <v>1114</v>
      </c>
      <c r="G1351" s="3" t="s">
        <v>7550</v>
      </c>
      <c r="H1351" s="3" t="s">
        <v>2043</v>
      </c>
      <c r="I1351" s="3" t="s">
        <v>5990</v>
      </c>
      <c r="J1351" s="3" t="s">
        <v>7551</v>
      </c>
      <c r="K1351" s="4" t="b">
        <f>J1351 = "blocking"</f>
        <v>0</v>
      </c>
      <c r="L1351" s="3" t="s">
        <v>1448</v>
      </c>
      <c r="M1351" s="3" t="s">
        <v>7718</v>
      </c>
      <c r="N1351" s="5">
        <v>46223.1297337963</v>
      </c>
      <c r="O1351" s="4" t="b">
        <f>L1351 = "PASS"</f>
        <v>1</v>
      </c>
      <c r="P1351" s="4" t="b">
        <f>L1351 = "FAIL"</f>
        <v>0</v>
      </c>
      <c r="Q1351" s="4" t="b">
        <f>AND(((P1351)=TRUE), ((K1351)=TRUE))</f>
        <v>0</v>
      </c>
      <c r="R1351" s="4" t="str">
        <f>IF(((O1351)=TRUE),  I1351,  "")</f>
        <v>suite-witness</v>
      </c>
      <c r="S1351" s="4" t="str">
        <f>IF(((Q1351)=TRUE),  I1351,  "")</f>
      </c>
      <c r="T1351" s="3" t="s">
        <v>6001</v>
      </c>
    </row>
    <row r="1352">
      <c r="A1352" s="3" t="s">
        <v>7726</v>
      </c>
      <c r="B1352" s="4" t="str">
        <f>C1352 &amp; ": " &amp; D1352</f>
        <v>witness-discriminates: KnowledgeFragments.IsWithinValidityWindow</v>
      </c>
      <c r="C1352" s="3" t="s">
        <v>7549</v>
      </c>
      <c r="D1352" s="3" t="s">
        <v>3255</v>
      </c>
      <c r="E1352" s="3" t="s">
        <v>1851</v>
      </c>
      <c r="F1352" s="3" t="s">
        <v>1115</v>
      </c>
      <c r="G1352" s="3" t="s">
        <v>7550</v>
      </c>
      <c r="H1352" s="3" t="s">
        <v>2043</v>
      </c>
      <c r="I1352" s="3" t="s">
        <v>5990</v>
      </c>
      <c r="J1352" s="3" t="s">
        <v>7551</v>
      </c>
      <c r="K1352" s="4" t="b">
        <f>J1352 = "blocking"</f>
        <v>0</v>
      </c>
      <c r="L1352" s="3" t="s">
        <v>1451</v>
      </c>
      <c r="M1352" s="3" t="s">
        <v>7720</v>
      </c>
      <c r="N1352" s="5">
        <v>46223.1297337963</v>
      </c>
      <c r="O1352" s="4" t="b">
        <f>L1352 = "PASS"</f>
        <v>0</v>
      </c>
      <c r="P1352" s="4" t="b">
        <f>L1352 = "FAIL"</f>
        <v>0</v>
      </c>
      <c r="Q1352" s="4" t="b">
        <f>AND(((P1352)=TRUE), ((K1352)=TRUE))</f>
        <v>0</v>
      </c>
      <c r="R1352" s="4" t="str">
        <f>IF(((O1352)=TRUE),  I1352,  "")</f>
      </c>
      <c r="S1352" s="4" t="str">
        <f>IF(((Q1352)=TRUE),  I1352,  "")</f>
      </c>
      <c r="T1352" s="3" t="s">
        <v>6001</v>
      </c>
    </row>
    <row r="1353">
      <c r="A1353" s="3" t="s">
        <v>7727</v>
      </c>
      <c r="B1353" s="4" t="str">
        <f>C1353 &amp; ": " &amp; D1353</f>
        <v>witness-discriminates: KnowledgeFragments.IsReliedUpon</v>
      </c>
      <c r="C1353" s="3" t="s">
        <v>7549</v>
      </c>
      <c r="D1353" s="3" t="s">
        <v>3256</v>
      </c>
      <c r="E1353" s="3" t="s">
        <v>1851</v>
      </c>
      <c r="F1353" s="3" t="s">
        <v>1116</v>
      </c>
      <c r="G1353" s="3" t="s">
        <v>7550</v>
      </c>
      <c r="H1353" s="3" t="s">
        <v>2043</v>
      </c>
      <c r="I1353" s="3" t="s">
        <v>5990</v>
      </c>
      <c r="J1353" s="3" t="s">
        <v>7551</v>
      </c>
      <c r="K1353" s="4" t="b">
        <f>J1353 = "blocking"</f>
        <v>0</v>
      </c>
      <c r="L1353" s="3" t="s">
        <v>1451</v>
      </c>
      <c r="M1353" s="3" t="s">
        <v>7720</v>
      </c>
      <c r="N1353" s="5">
        <v>46223.1297337963</v>
      </c>
      <c r="O1353" s="4" t="b">
        <f>L1353 = "PASS"</f>
        <v>0</v>
      </c>
      <c r="P1353" s="4" t="b">
        <f>L1353 = "FAIL"</f>
        <v>0</v>
      </c>
      <c r="Q1353" s="4" t="b">
        <f>AND(((P1353)=TRUE), ((K1353)=TRUE))</f>
        <v>0</v>
      </c>
      <c r="R1353" s="4" t="str">
        <f>IF(((O1353)=TRUE),  I1353,  "")</f>
      </c>
      <c r="S1353" s="4" t="str">
        <f>IF(((Q1353)=TRUE),  I1353,  "")</f>
      </c>
      <c r="T1353" s="3" t="s">
        <v>6001</v>
      </c>
    </row>
    <row r="1354">
      <c r="A1354" s="3" t="s">
        <v>7728</v>
      </c>
      <c r="B1354" s="4" t="str">
        <f>C1354 &amp; ": " &amp; D1354</f>
        <v>witness-discriminates: KnowledgeFragments.IsAttachedToLiveVersion</v>
      </c>
      <c r="C1354" s="3" t="s">
        <v>7549</v>
      </c>
      <c r="D1354" s="3" t="s">
        <v>3260</v>
      </c>
      <c r="E1354" s="3" t="s">
        <v>1851</v>
      </c>
      <c r="F1354" s="3" t="s">
        <v>1118</v>
      </c>
      <c r="G1354" s="3" t="s">
        <v>7550</v>
      </c>
      <c r="H1354" s="3" t="s">
        <v>2043</v>
      </c>
      <c r="I1354" s="3" t="s">
        <v>5990</v>
      </c>
      <c r="J1354" s="3" t="s">
        <v>7551</v>
      </c>
      <c r="K1354" s="4" t="b">
        <f>J1354 = "blocking"</f>
        <v>0</v>
      </c>
      <c r="L1354" s="3" t="s">
        <v>1451</v>
      </c>
      <c r="M1354" s="3" t="s">
        <v>7720</v>
      </c>
      <c r="N1354" s="5">
        <v>46223.1297337963</v>
      </c>
      <c r="O1354" s="4" t="b">
        <f>L1354 = "PASS"</f>
        <v>0</v>
      </c>
      <c r="P1354" s="4" t="b">
        <f>L1354 = "FAIL"</f>
        <v>0</v>
      </c>
      <c r="Q1354" s="4" t="b">
        <f>AND(((P1354)=TRUE), ((K1354)=TRUE))</f>
        <v>0</v>
      </c>
      <c r="R1354" s="4" t="str">
        <f>IF(((O1354)=TRUE),  I1354,  "")</f>
      </c>
      <c r="S1354" s="4" t="str">
        <f>IF(((Q1354)=TRUE),  I1354,  "")</f>
      </c>
      <c r="T1354" s="3" t="s">
        <v>6001</v>
      </c>
    </row>
    <row r="1355">
      <c r="A1355" s="3" t="s">
        <v>7729</v>
      </c>
      <c r="B1355" s="4" t="str">
        <f>C1355 &amp; ": " &amp; D1355</f>
        <v>witness-discriminates: KnowledgeFragments.IsUnapprovedButReliedOn</v>
      </c>
      <c r="C1355" s="3" t="s">
        <v>7549</v>
      </c>
      <c r="D1355" s="3" t="s">
        <v>3262</v>
      </c>
      <c r="E1355" s="3" t="s">
        <v>1851</v>
      </c>
      <c r="F1355" s="3" t="s">
        <v>1119</v>
      </c>
      <c r="G1355" s="3" t="s">
        <v>7550</v>
      </c>
      <c r="H1355" s="3" t="s">
        <v>2043</v>
      </c>
      <c r="I1355" s="3" t="s">
        <v>5990</v>
      </c>
      <c r="J1355" s="3" t="s">
        <v>7551</v>
      </c>
      <c r="K1355" s="4" t="b">
        <f>J1355 = "blocking"</f>
        <v>0</v>
      </c>
      <c r="L1355" s="3" t="s">
        <v>1448</v>
      </c>
      <c r="M1355" s="3" t="s">
        <v>7730</v>
      </c>
      <c r="N1355" s="5">
        <v>46223.1297337963</v>
      </c>
      <c r="O1355" s="4" t="b">
        <f>L1355 = "PASS"</f>
        <v>1</v>
      </c>
      <c r="P1355" s="4" t="b">
        <f>L1355 = "FAIL"</f>
        <v>0</v>
      </c>
      <c r="Q1355" s="4" t="b">
        <f>AND(((P1355)=TRUE), ((K1355)=TRUE))</f>
        <v>0</v>
      </c>
      <c r="R1355" s="4" t="str">
        <f>IF(((O1355)=TRUE),  I1355,  "")</f>
        <v>suite-witness</v>
      </c>
      <c r="S1355" s="4" t="str">
        <f>IF(((Q1355)=TRUE),  I1355,  "")</f>
      </c>
      <c r="T1355" s="3" t="s">
        <v>6001</v>
      </c>
    </row>
    <row r="1356">
      <c r="A1356" s="3" t="s">
        <v>7731</v>
      </c>
      <c r="B1356" s="4" t="str">
        <f>C1356 &amp; ": " &amp; D1356</f>
        <v>witness-discriminates: KnowledgeFragments.HasRecordedElicitation</v>
      </c>
      <c r="C1356" s="3" t="s">
        <v>7549</v>
      </c>
      <c r="D1356" s="3" t="s">
        <v>3266</v>
      </c>
      <c r="E1356" s="3" t="s">
        <v>1851</v>
      </c>
      <c r="F1356" s="3" t="s">
        <v>1121</v>
      </c>
      <c r="G1356" s="3" t="s">
        <v>7550</v>
      </c>
      <c r="H1356" s="3" t="s">
        <v>2047</v>
      </c>
      <c r="I1356" s="3" t="s">
        <v>5990</v>
      </c>
      <c r="J1356" s="3" t="s">
        <v>7551</v>
      </c>
      <c r="K1356" s="4" t="b">
        <f>J1356 = "blocking"</f>
        <v>0</v>
      </c>
      <c r="L1356" s="3" t="s">
        <v>1448</v>
      </c>
      <c r="M1356" s="3" t="s">
        <v>7718</v>
      </c>
      <c r="N1356" s="5">
        <v>46223.1297337963</v>
      </c>
      <c r="O1356" s="4" t="b">
        <f>L1356 = "PASS"</f>
        <v>1</v>
      </c>
      <c r="P1356" s="4" t="b">
        <f>L1356 = "FAIL"</f>
        <v>0</v>
      </c>
      <c r="Q1356" s="4" t="b">
        <f>AND(((P1356)=TRUE), ((K1356)=TRUE))</f>
        <v>0</v>
      </c>
      <c r="R1356" s="4" t="str">
        <f>IF(((O1356)=TRUE),  I1356,  "")</f>
        <v>suite-witness</v>
      </c>
      <c r="S1356" s="4" t="str">
        <f>IF(((Q1356)=TRUE),  I1356,  "")</f>
      </c>
      <c r="T1356" s="3" t="s">
        <v>6001</v>
      </c>
    </row>
    <row r="1357">
      <c r="A1357" s="3" t="s">
        <v>7732</v>
      </c>
      <c r="B1357" s="4" t="str">
        <f>C1357 &amp; ": " &amp; D1357</f>
        <v>witness-discriminates: KnowledgeFragments.IsFromSingleWitness</v>
      </c>
      <c r="C1357" s="3" t="s">
        <v>7549</v>
      </c>
      <c r="D1357" s="3" t="s">
        <v>3268</v>
      </c>
      <c r="E1357" s="3" t="s">
        <v>1851</v>
      </c>
      <c r="F1357" s="3" t="s">
        <v>1122</v>
      </c>
      <c r="G1357" s="3" t="s">
        <v>7550</v>
      </c>
      <c r="H1357" s="3" t="s">
        <v>2047</v>
      </c>
      <c r="I1357" s="3" t="s">
        <v>5990</v>
      </c>
      <c r="J1357" s="3" t="s">
        <v>7551</v>
      </c>
      <c r="K1357" s="4" t="b">
        <f>J1357 = "blocking"</f>
        <v>0</v>
      </c>
      <c r="L1357" s="3" t="s">
        <v>1448</v>
      </c>
      <c r="M1357" s="3" t="s">
        <v>7733</v>
      </c>
      <c r="N1357" s="5">
        <v>46223.1297337963</v>
      </c>
      <c r="O1357" s="4" t="b">
        <f>L1357 = "PASS"</f>
        <v>1</v>
      </c>
      <c r="P1357" s="4" t="b">
        <f>L1357 = "FAIL"</f>
        <v>0</v>
      </c>
      <c r="Q1357" s="4" t="b">
        <f>AND(((P1357)=TRUE), ((K1357)=TRUE))</f>
        <v>0</v>
      </c>
      <c r="R1357" s="4" t="str">
        <f>IF(((O1357)=TRUE),  I1357,  "")</f>
        <v>suite-witness</v>
      </c>
      <c r="S1357" s="4" t="str">
        <f>IF(((Q1357)=TRUE),  I1357,  "")</f>
      </c>
      <c r="T1357" s="3" t="s">
        <v>6001</v>
      </c>
    </row>
    <row r="1358">
      <c r="A1358" s="3" t="s">
        <v>7734</v>
      </c>
      <c r="B1358" s="4" t="str">
        <f>C1358 &amp; ": " &amp; D1358</f>
        <v>witness-discriminates: KnowledgeFragments.EvidenceHasExpired</v>
      </c>
      <c r="C1358" s="3" t="s">
        <v>7549</v>
      </c>
      <c r="D1358" s="3" t="s">
        <v>3272</v>
      </c>
      <c r="E1358" s="3" t="s">
        <v>1851</v>
      </c>
      <c r="F1358" s="3" t="s">
        <v>1124</v>
      </c>
      <c r="G1358" s="3" t="s">
        <v>7550</v>
      </c>
      <c r="H1358" s="3" t="s">
        <v>2047</v>
      </c>
      <c r="I1358" s="3" t="s">
        <v>5990</v>
      </c>
      <c r="J1358" s="3" t="s">
        <v>7551</v>
      </c>
      <c r="K1358" s="4" t="b">
        <f>J1358 = "blocking"</f>
        <v>0</v>
      </c>
      <c r="L1358" s="3" t="s">
        <v>1451</v>
      </c>
      <c r="M1358" s="3" t="s">
        <v>7723</v>
      </c>
      <c r="N1358" s="5">
        <v>46223.1297337963</v>
      </c>
      <c r="O1358" s="4" t="b">
        <f>L1358 = "PASS"</f>
        <v>0</v>
      </c>
      <c r="P1358" s="4" t="b">
        <f>L1358 = "FAIL"</f>
        <v>0</v>
      </c>
      <c r="Q1358" s="4" t="b">
        <f>AND(((P1358)=TRUE), ((K1358)=TRUE))</f>
        <v>0</v>
      </c>
      <c r="R1358" s="4" t="str">
        <f>IF(((O1358)=TRUE),  I1358,  "")</f>
      </c>
      <c r="S1358" s="4" t="str">
        <f>IF(((Q1358)=TRUE),  I1358,  "")</f>
      </c>
      <c r="T1358" s="3" t="s">
        <v>6001</v>
      </c>
    </row>
    <row r="1359">
      <c r="A1359" s="3" t="s">
        <v>7735</v>
      </c>
      <c r="B1359" s="4" t="str">
        <f>C1359 &amp; ": " &amp; D1359</f>
        <v>witness-discriminates: KnowledgeFragments.IsAwaitingApproval</v>
      </c>
      <c r="C1359" s="3" t="s">
        <v>7549</v>
      </c>
      <c r="D1359" s="3" t="s">
        <v>3276</v>
      </c>
      <c r="E1359" s="3" t="s">
        <v>1851</v>
      </c>
      <c r="F1359" s="3" t="s">
        <v>1126</v>
      </c>
      <c r="G1359" s="3" t="s">
        <v>7550</v>
      </c>
      <c r="H1359" s="3" t="s">
        <v>2147</v>
      </c>
      <c r="I1359" s="3" t="s">
        <v>5990</v>
      </c>
      <c r="J1359" s="3" t="s">
        <v>7551</v>
      </c>
      <c r="K1359" s="4" t="b">
        <f>J1359 = "blocking"</f>
        <v>0</v>
      </c>
      <c r="L1359" s="3" t="s">
        <v>1448</v>
      </c>
      <c r="M1359" s="3" t="s">
        <v>7730</v>
      </c>
      <c r="N1359" s="5">
        <v>46223.1297337963</v>
      </c>
      <c r="O1359" s="4" t="b">
        <f>L1359 = "PASS"</f>
        <v>1</v>
      </c>
      <c r="P1359" s="4" t="b">
        <f>L1359 = "FAIL"</f>
        <v>0</v>
      </c>
      <c r="Q1359" s="4" t="b">
        <f>AND(((P1359)=TRUE), ((K1359)=TRUE))</f>
        <v>0</v>
      </c>
      <c r="R1359" s="4" t="str">
        <f>IF(((O1359)=TRUE),  I1359,  "")</f>
        <v>suite-witness</v>
      </c>
      <c r="S1359" s="4" t="str">
        <f>IF(((Q1359)=TRUE),  I1359,  "")</f>
      </c>
      <c r="T1359" s="3" t="s">
        <v>6001</v>
      </c>
    </row>
    <row r="1360">
      <c r="A1360" s="3" t="s">
        <v>7736</v>
      </c>
      <c r="B1360" s="4" t="str">
        <f>C1360 &amp; ": " &amp; D1360</f>
        <v>witness-discriminates: KnowledgeFragments.OwnerIsMe</v>
      </c>
      <c r="C1360" s="3" t="s">
        <v>7549</v>
      </c>
      <c r="D1360" s="3" t="s">
        <v>3278</v>
      </c>
      <c r="E1360" s="3" t="s">
        <v>1851</v>
      </c>
      <c r="F1360" s="3" t="s">
        <v>1127</v>
      </c>
      <c r="G1360" s="3" t="s">
        <v>7550</v>
      </c>
      <c r="H1360" s="3" t="s">
        <v>2147</v>
      </c>
      <c r="I1360" s="3" t="s">
        <v>5990</v>
      </c>
      <c r="J1360" s="3" t="s">
        <v>7551</v>
      </c>
      <c r="K1360" s="4" t="b">
        <f>J1360 = "blocking"</f>
        <v>0</v>
      </c>
      <c r="L1360" s="3" t="s">
        <v>1448</v>
      </c>
      <c r="M1360" s="3" t="s">
        <v>7730</v>
      </c>
      <c r="N1360" s="5">
        <v>46223.1297337963</v>
      </c>
      <c r="O1360" s="4" t="b">
        <f>L1360 = "PASS"</f>
        <v>1</v>
      </c>
      <c r="P1360" s="4" t="b">
        <f>L1360 = "FAIL"</f>
        <v>0</v>
      </c>
      <c r="Q1360" s="4" t="b">
        <f>AND(((P1360)=TRUE), ((K1360)=TRUE))</f>
        <v>0</v>
      </c>
      <c r="R1360" s="4" t="str">
        <f>IF(((O1360)=TRUE),  I1360,  "")</f>
        <v>suite-witness</v>
      </c>
      <c r="S1360" s="4" t="str">
        <f>IF(((Q1360)=TRUE),  I1360,  "")</f>
      </c>
      <c r="T1360" s="3" t="s">
        <v>6001</v>
      </c>
    </row>
    <row r="1361">
      <c r="A1361" s="3" t="s">
        <v>7737</v>
      </c>
      <c r="B1361" s="4" t="str">
        <f>C1361 &amp; ": " &amp; D1361</f>
        <v>witness-discriminates: KnowledgeFragments.IsMyUnfinishedApproval</v>
      </c>
      <c r="C1361" s="3" t="s">
        <v>7549</v>
      </c>
      <c r="D1361" s="3" t="s">
        <v>3280</v>
      </c>
      <c r="E1361" s="3" t="s">
        <v>1851</v>
      </c>
      <c r="F1361" s="3" t="s">
        <v>1128</v>
      </c>
      <c r="G1361" s="3" t="s">
        <v>7550</v>
      </c>
      <c r="H1361" s="3" t="s">
        <v>2147</v>
      </c>
      <c r="I1361" s="3" t="s">
        <v>5990</v>
      </c>
      <c r="J1361" s="3" t="s">
        <v>7551</v>
      </c>
      <c r="K1361" s="4" t="b">
        <f>J1361 = "blocking"</f>
        <v>0</v>
      </c>
      <c r="L1361" s="3" t="s">
        <v>1448</v>
      </c>
      <c r="M1361" s="3" t="s">
        <v>7730</v>
      </c>
      <c r="N1361" s="5">
        <v>46223.1297337963</v>
      </c>
      <c r="O1361" s="4" t="b">
        <f>L1361 = "PASS"</f>
        <v>1</v>
      </c>
      <c r="P1361" s="4" t="b">
        <f>L1361 = "FAIL"</f>
        <v>0</v>
      </c>
      <c r="Q1361" s="4" t="b">
        <f>AND(((P1361)=TRUE), ((K1361)=TRUE))</f>
        <v>0</v>
      </c>
      <c r="R1361" s="4" t="str">
        <f>IF(((O1361)=TRUE),  I1361,  "")</f>
        <v>suite-witness</v>
      </c>
      <c r="S1361" s="4" t="str">
        <f>IF(((Q1361)=TRUE),  I1361,  "")</f>
      </c>
      <c r="T1361" s="3" t="s">
        <v>6001</v>
      </c>
    </row>
    <row r="1362">
      <c r="A1362" s="3" t="s">
        <v>7738</v>
      </c>
      <c r="B1362" s="4" t="str">
        <f>C1362 &amp; ": " &amp; D1362</f>
        <v>witness-discriminates: KnowledgeFragments.HasOperationalReliance</v>
      </c>
      <c r="C1362" s="3" t="s">
        <v>7549</v>
      </c>
      <c r="D1362" s="3" t="s">
        <v>3284</v>
      </c>
      <c r="E1362" s="3" t="s">
        <v>1851</v>
      </c>
      <c r="F1362" s="3" t="s">
        <v>1130</v>
      </c>
      <c r="G1362" s="3" t="s">
        <v>7550</v>
      </c>
      <c r="H1362" s="3" t="s">
        <v>2147</v>
      </c>
      <c r="I1362" s="3" t="s">
        <v>5990</v>
      </c>
      <c r="J1362" s="3" t="s">
        <v>7551</v>
      </c>
      <c r="K1362" s="4" t="b">
        <f>J1362 = "blocking"</f>
        <v>0</v>
      </c>
      <c r="L1362" s="3" t="s">
        <v>1448</v>
      </c>
      <c r="M1362" s="3" t="s">
        <v>7739</v>
      </c>
      <c r="N1362" s="5">
        <v>46223.1297337963</v>
      </c>
      <c r="O1362" s="4" t="b">
        <f>L1362 = "PASS"</f>
        <v>1</v>
      </c>
      <c r="P1362" s="4" t="b">
        <f>L1362 = "FAIL"</f>
        <v>0</v>
      </c>
      <c r="Q1362" s="4" t="b">
        <f>AND(((P1362)=TRUE), ((K1362)=TRUE))</f>
        <v>0</v>
      </c>
      <c r="R1362" s="4" t="str">
        <f>IF(((O1362)=TRUE),  I1362,  "")</f>
        <v>suite-witness</v>
      </c>
      <c r="S1362" s="4" t="str">
        <f>IF(((Q1362)=TRUE),  I1362,  "")</f>
      </c>
      <c r="T1362" s="3" t="s">
        <v>6001</v>
      </c>
    </row>
    <row r="1363">
      <c r="A1363" s="3" t="s">
        <v>7740</v>
      </c>
      <c r="B1363" s="4" t="str">
        <f>C1363 &amp; ": " &amp; D1363</f>
        <v>witness-discriminates: KnowledgeFragments.IsUnapprovedAndOperationallyLive</v>
      </c>
      <c r="C1363" s="3" t="s">
        <v>7549</v>
      </c>
      <c r="D1363" s="3" t="s">
        <v>3286</v>
      </c>
      <c r="E1363" s="3" t="s">
        <v>1851</v>
      </c>
      <c r="F1363" s="3" t="s">
        <v>1131</v>
      </c>
      <c r="G1363" s="3" t="s">
        <v>7550</v>
      </c>
      <c r="H1363" s="3" t="s">
        <v>2147</v>
      </c>
      <c r="I1363" s="3" t="s">
        <v>5990</v>
      </c>
      <c r="J1363" s="3" t="s">
        <v>7551</v>
      </c>
      <c r="K1363" s="4" t="b">
        <f>J1363 = "blocking"</f>
        <v>0</v>
      </c>
      <c r="L1363" s="3" t="s">
        <v>1448</v>
      </c>
      <c r="M1363" s="3" t="s">
        <v>7730</v>
      </c>
      <c r="N1363" s="5">
        <v>46223.1297337963</v>
      </c>
      <c r="O1363" s="4" t="b">
        <f>L1363 = "PASS"</f>
        <v>1</v>
      </c>
      <c r="P1363" s="4" t="b">
        <f>L1363 = "FAIL"</f>
        <v>0</v>
      </c>
      <c r="Q1363" s="4" t="b">
        <f>AND(((P1363)=TRUE), ((K1363)=TRUE))</f>
        <v>0</v>
      </c>
      <c r="R1363" s="4" t="str">
        <f>IF(((O1363)=TRUE),  I1363,  "")</f>
        <v>suite-witness</v>
      </c>
      <c r="S1363" s="4" t="str">
        <f>IF(((Q1363)=TRUE),  I1363,  "")</f>
      </c>
      <c r="T1363" s="3" t="s">
        <v>6001</v>
      </c>
    </row>
    <row r="1364">
      <c r="A1364" s="3" t="s">
        <v>7741</v>
      </c>
      <c r="B1364" s="4" t="str">
        <f>C1364 &amp; ": " &amp; D1364</f>
        <v>witness-discriminates: KnowledgeFragments.IsLowConfidence</v>
      </c>
      <c r="C1364" s="3" t="s">
        <v>7549</v>
      </c>
      <c r="D1364" s="3" t="s">
        <v>3290</v>
      </c>
      <c r="E1364" s="3" t="s">
        <v>1851</v>
      </c>
      <c r="F1364" s="3" t="s">
        <v>1133</v>
      </c>
      <c r="G1364" s="3" t="s">
        <v>7550</v>
      </c>
      <c r="H1364" s="3" t="s">
        <v>2155</v>
      </c>
      <c r="I1364" s="3" t="s">
        <v>5990</v>
      </c>
      <c r="J1364" s="3" t="s">
        <v>7551</v>
      </c>
      <c r="K1364" s="4" t="b">
        <f>J1364 = "blocking"</f>
        <v>0</v>
      </c>
      <c r="L1364" s="3" t="s">
        <v>1448</v>
      </c>
      <c r="M1364" s="3" t="s">
        <v>7739</v>
      </c>
      <c r="N1364" s="5">
        <v>46223.1297337963</v>
      </c>
      <c r="O1364" s="4" t="b">
        <f>L1364 = "PASS"</f>
        <v>1</v>
      </c>
      <c r="P1364" s="4" t="b">
        <f>L1364 = "FAIL"</f>
        <v>0</v>
      </c>
      <c r="Q1364" s="4" t="b">
        <f>AND(((P1364)=TRUE), ((K1364)=TRUE))</f>
        <v>0</v>
      </c>
      <c r="R1364" s="4" t="str">
        <f>IF(((O1364)=TRUE),  I1364,  "")</f>
        <v>suite-witness</v>
      </c>
      <c r="S1364" s="4" t="str">
        <f>IF(((Q1364)=TRUE),  I1364,  "")</f>
      </c>
      <c r="T1364" s="3" t="s">
        <v>6001</v>
      </c>
    </row>
    <row r="1365">
      <c r="A1365" s="3" t="s">
        <v>7742</v>
      </c>
      <c r="B1365" s="4" t="str">
        <f>C1365 &amp; ": " &amp; D1365</f>
        <v>witness-discriminates: KnowledgeFragments.ExceedsOwningCadence</v>
      </c>
      <c r="C1365" s="3" t="s">
        <v>7549</v>
      </c>
      <c r="D1365" s="3" t="s">
        <v>3294</v>
      </c>
      <c r="E1365" s="3" t="s">
        <v>1851</v>
      </c>
      <c r="F1365" s="3" t="s">
        <v>1135</v>
      </c>
      <c r="G1365" s="3" t="s">
        <v>7550</v>
      </c>
      <c r="H1365" s="3" t="s">
        <v>2155</v>
      </c>
      <c r="I1365" s="3" t="s">
        <v>5990</v>
      </c>
      <c r="J1365" s="3" t="s">
        <v>7551</v>
      </c>
      <c r="K1365" s="4" t="b">
        <f>J1365 = "blocking"</f>
        <v>0</v>
      </c>
      <c r="L1365" s="3" t="s">
        <v>1451</v>
      </c>
      <c r="M1365" s="3" t="s">
        <v>7720</v>
      </c>
      <c r="N1365" s="5">
        <v>46223.1297337963</v>
      </c>
      <c r="O1365" s="4" t="b">
        <f>L1365 = "PASS"</f>
        <v>0</v>
      </c>
      <c r="P1365" s="4" t="b">
        <f>L1365 = "FAIL"</f>
        <v>0</v>
      </c>
      <c r="Q1365" s="4" t="b">
        <f>AND(((P1365)=TRUE), ((K1365)=TRUE))</f>
        <v>0</v>
      </c>
      <c r="R1365" s="4" t="str">
        <f>IF(((O1365)=TRUE),  I1365,  "")</f>
      </c>
      <c r="S1365" s="4" t="str">
        <f>IF(((Q1365)=TRUE),  I1365,  "")</f>
      </c>
      <c r="T1365" s="3" t="s">
        <v>6001</v>
      </c>
    </row>
    <row r="1366">
      <c r="A1366" s="3" t="s">
        <v>7743</v>
      </c>
      <c r="B1366" s="4" t="str">
        <f>C1366 &amp; ": " &amp; D1366</f>
        <v>witness-discriminates: KnowledgeFragments.IsAgingLowConfidenceClaim</v>
      </c>
      <c r="C1366" s="3" t="s">
        <v>7549</v>
      </c>
      <c r="D1366" s="3" t="s">
        <v>3296</v>
      </c>
      <c r="E1366" s="3" t="s">
        <v>1851</v>
      </c>
      <c r="F1366" s="3" t="s">
        <v>1136</v>
      </c>
      <c r="G1366" s="3" t="s">
        <v>7550</v>
      </c>
      <c r="H1366" s="3" t="s">
        <v>2155</v>
      </c>
      <c r="I1366" s="3" t="s">
        <v>5990</v>
      </c>
      <c r="J1366" s="3" t="s">
        <v>7551</v>
      </c>
      <c r="K1366" s="4" t="b">
        <f>J1366 = "blocking"</f>
        <v>0</v>
      </c>
      <c r="L1366" s="3" t="s">
        <v>1448</v>
      </c>
      <c r="M1366" s="3" t="s">
        <v>7739</v>
      </c>
      <c r="N1366" s="5">
        <v>46223.1297337963</v>
      </c>
      <c r="O1366" s="4" t="b">
        <f>L1366 = "PASS"</f>
        <v>1</v>
      </c>
      <c r="P1366" s="4" t="b">
        <f>L1366 = "FAIL"</f>
        <v>0</v>
      </c>
      <c r="Q1366" s="4" t="b">
        <f>AND(((P1366)=TRUE), ((K1366)=TRUE))</f>
        <v>0</v>
      </c>
      <c r="R1366" s="4" t="str">
        <f>IF(((O1366)=TRUE),  I1366,  "")</f>
        <v>suite-witness</v>
      </c>
      <c r="S1366" s="4" t="str">
        <f>IF(((Q1366)=TRUE),  I1366,  "")</f>
      </c>
      <c r="T1366" s="3" t="s">
        <v>6001</v>
      </c>
    </row>
    <row r="1367">
      <c r="A1367" s="3" t="s">
        <v>7744</v>
      </c>
      <c r="B1367" s="4" t="str">
        <f>C1367 &amp; ": " &amp; D1367</f>
        <v>witness-discriminates: KnowledgeFragments.IsHumanOwned</v>
      </c>
      <c r="C1367" s="3" t="s">
        <v>7549</v>
      </c>
      <c r="D1367" s="3" t="s">
        <v>3300</v>
      </c>
      <c r="E1367" s="3" t="s">
        <v>1851</v>
      </c>
      <c r="F1367" s="3" t="s">
        <v>1138</v>
      </c>
      <c r="G1367" s="3" t="s">
        <v>7550</v>
      </c>
      <c r="H1367" s="3" t="s">
        <v>2175</v>
      </c>
      <c r="I1367" s="3" t="s">
        <v>5990</v>
      </c>
      <c r="J1367" s="3" t="s">
        <v>7551</v>
      </c>
      <c r="K1367" s="4" t="b">
        <f>J1367 = "blocking"</f>
        <v>0</v>
      </c>
      <c r="L1367" s="3" t="s">
        <v>1451</v>
      </c>
      <c r="M1367" s="3" t="s">
        <v>7720</v>
      </c>
      <c r="N1367" s="5">
        <v>46223.1297337963</v>
      </c>
      <c r="O1367" s="4" t="b">
        <f>L1367 = "PASS"</f>
        <v>0</v>
      </c>
      <c r="P1367" s="4" t="b">
        <f>L1367 = "FAIL"</f>
        <v>0</v>
      </c>
      <c r="Q1367" s="4" t="b">
        <f>AND(((P1367)=TRUE), ((K1367)=TRUE))</f>
        <v>0</v>
      </c>
      <c r="R1367" s="4" t="str">
        <f>IF(((O1367)=TRUE),  I1367,  "")</f>
      </c>
      <c r="S1367" s="4" t="str">
        <f>IF(((Q1367)=TRUE),  I1367,  "")</f>
      </c>
      <c r="T1367" s="3" t="s">
        <v>6001</v>
      </c>
    </row>
    <row r="1368">
      <c r="A1368" s="3" t="s">
        <v>7745</v>
      </c>
      <c r="B1368" s="4" t="str">
        <f>C1368 &amp; ": " &amp; D1368</f>
        <v>witness-discriminates: KnowledgeFragments.IsAiValidatedByAi</v>
      </c>
      <c r="C1368" s="3" t="s">
        <v>7549</v>
      </c>
      <c r="D1368" s="3" t="s">
        <v>3302</v>
      </c>
      <c r="E1368" s="3" t="s">
        <v>1851</v>
      </c>
      <c r="F1368" s="3" t="s">
        <v>1139</v>
      </c>
      <c r="G1368" s="3" t="s">
        <v>7550</v>
      </c>
      <c r="H1368" s="3" t="s">
        <v>2175</v>
      </c>
      <c r="I1368" s="3" t="s">
        <v>5990</v>
      </c>
      <c r="J1368" s="3" t="s">
        <v>7551</v>
      </c>
      <c r="K1368" s="4" t="b">
        <f>J1368 = "blocking"</f>
        <v>0</v>
      </c>
      <c r="L1368" s="3" t="s">
        <v>1451</v>
      </c>
      <c r="M1368" s="3" t="s">
        <v>7723</v>
      </c>
      <c r="N1368" s="5">
        <v>46223.1297337963</v>
      </c>
      <c r="O1368" s="4" t="b">
        <f>L1368 = "PASS"</f>
        <v>0</v>
      </c>
      <c r="P1368" s="4" t="b">
        <f>L1368 = "FAIL"</f>
        <v>0</v>
      </c>
      <c r="Q1368" s="4" t="b">
        <f>AND(((P1368)=TRUE), ((K1368)=TRUE))</f>
        <v>0</v>
      </c>
      <c r="R1368" s="4" t="str">
        <f>IF(((O1368)=TRUE),  I1368,  "")</f>
      </c>
      <c r="S1368" s="4" t="str">
        <f>IF(((Q1368)=TRUE),  I1368,  "")</f>
      </c>
      <c r="T1368" s="3" t="s">
        <v>6001</v>
      </c>
    </row>
    <row r="1369">
      <c r="A1369" s="3" t="s">
        <v>7746</v>
      </c>
      <c r="B1369" s="4" t="str">
        <f>C1369 &amp; ": " &amp; D1369</f>
        <v>witness-discriminates: KnowledgeFragments.IsOverdueForReview</v>
      </c>
      <c r="C1369" s="3" t="s">
        <v>7549</v>
      </c>
      <c r="D1369" s="3" t="s">
        <v>3305</v>
      </c>
      <c r="E1369" s="3" t="s">
        <v>1851</v>
      </c>
      <c r="F1369" s="3" t="s">
        <v>1141</v>
      </c>
      <c r="G1369" s="3" t="s">
        <v>7550</v>
      </c>
      <c r="H1369" s="3" t="s">
        <v>2175</v>
      </c>
      <c r="I1369" s="3" t="s">
        <v>5990</v>
      </c>
      <c r="J1369" s="3" t="s">
        <v>7551</v>
      </c>
      <c r="K1369" s="4" t="b">
        <f>J1369 = "blocking"</f>
        <v>0</v>
      </c>
      <c r="L1369" s="3" t="s">
        <v>1448</v>
      </c>
      <c r="M1369" s="3" t="s">
        <v>7718</v>
      </c>
      <c r="N1369" s="5">
        <v>46223.1297337963</v>
      </c>
      <c r="O1369" s="4" t="b">
        <f>L1369 = "PASS"</f>
        <v>1</v>
      </c>
      <c r="P1369" s="4" t="b">
        <f>L1369 = "FAIL"</f>
        <v>0</v>
      </c>
      <c r="Q1369" s="4" t="b">
        <f>AND(((P1369)=TRUE), ((K1369)=TRUE))</f>
        <v>0</v>
      </c>
      <c r="R1369" s="4" t="str">
        <f>IF(((O1369)=TRUE),  I1369,  "")</f>
        <v>suite-witness</v>
      </c>
      <c r="S1369" s="4" t="str">
        <f>IF(((Q1369)=TRUE),  I1369,  "")</f>
      </c>
      <c r="T1369" s="3" t="s">
        <v>6001</v>
      </c>
    </row>
    <row r="1370">
      <c r="A1370" s="3" t="s">
        <v>7747</v>
      </c>
      <c r="B1370" s="4" t="str">
        <f>C1370 &amp; ": " &amp; D1370</f>
        <v>witness-discriminates: KnowledgeFragments.PredatesCurrentRoleHolder</v>
      </c>
      <c r="C1370" s="3" t="s">
        <v>7549</v>
      </c>
      <c r="D1370" s="3" t="s">
        <v>3307</v>
      </c>
      <c r="E1370" s="3" t="s">
        <v>1851</v>
      </c>
      <c r="F1370" s="3" t="s">
        <v>1142</v>
      </c>
      <c r="G1370" s="3" t="s">
        <v>7550</v>
      </c>
      <c r="H1370" s="3" t="s">
        <v>2175</v>
      </c>
      <c r="I1370" s="3" t="s">
        <v>5990</v>
      </c>
      <c r="J1370" s="3" t="s">
        <v>7551</v>
      </c>
      <c r="K1370" s="4" t="b">
        <f>J1370 = "blocking"</f>
        <v>0</v>
      </c>
      <c r="L1370" s="3" t="s">
        <v>1451</v>
      </c>
      <c r="M1370" s="3" t="s">
        <v>7723</v>
      </c>
      <c r="N1370" s="5">
        <v>46223.1297337963</v>
      </c>
      <c r="O1370" s="4" t="b">
        <f>L1370 = "PASS"</f>
        <v>0</v>
      </c>
      <c r="P1370" s="4" t="b">
        <f>L1370 = "FAIL"</f>
        <v>0</v>
      </c>
      <c r="Q1370" s="4" t="b">
        <f>AND(((P1370)=TRUE), ((K1370)=TRUE))</f>
        <v>0</v>
      </c>
      <c r="R1370" s="4" t="str">
        <f>IF(((O1370)=TRUE),  I1370,  "")</f>
      </c>
      <c r="S1370" s="4" t="str">
        <f>IF(((Q1370)=TRUE),  I1370,  "")</f>
      </c>
      <c r="T1370" s="3" t="s">
        <v>6001</v>
      </c>
    </row>
    <row r="1371">
      <c r="A1371" s="3" t="s">
        <v>7748</v>
      </c>
      <c r="B1371" s="4" t="str">
        <f>C1371 &amp; ": " &amp; D1371</f>
        <v>witness-discriminates: KnowledgeFragments.IsCompoundFragile</v>
      </c>
      <c r="C1371" s="3" t="s">
        <v>7549</v>
      </c>
      <c r="D1371" s="3" t="s">
        <v>3314</v>
      </c>
      <c r="E1371" s="3" t="s">
        <v>1851</v>
      </c>
      <c r="F1371" s="3" t="s">
        <v>1146</v>
      </c>
      <c r="G1371" s="3" t="s">
        <v>7550</v>
      </c>
      <c r="H1371" s="3" t="s">
        <v>2199</v>
      </c>
      <c r="I1371" s="3" t="s">
        <v>5990</v>
      </c>
      <c r="J1371" s="3" t="s">
        <v>7551</v>
      </c>
      <c r="K1371" s="4" t="b">
        <f>J1371 = "blocking"</f>
        <v>0</v>
      </c>
      <c r="L1371" s="3" t="s">
        <v>1448</v>
      </c>
      <c r="M1371" s="3" t="s">
        <v>7730</v>
      </c>
      <c r="N1371" s="5">
        <v>46223.1297337963</v>
      </c>
      <c r="O1371" s="4" t="b">
        <f>L1371 = "PASS"</f>
        <v>1</v>
      </c>
      <c r="P1371" s="4" t="b">
        <f>L1371 = "FAIL"</f>
        <v>0</v>
      </c>
      <c r="Q1371" s="4" t="b">
        <f>AND(((P1371)=TRUE), ((K1371)=TRUE))</f>
        <v>0</v>
      </c>
      <c r="R1371" s="4" t="str">
        <f>IF(((O1371)=TRUE),  I1371,  "")</f>
        <v>suite-witness</v>
      </c>
      <c r="S1371" s="4" t="str">
        <f>IF(((Q1371)=TRUE),  I1371,  "")</f>
      </c>
      <c r="T1371" s="3" t="s">
        <v>6001</v>
      </c>
    </row>
    <row r="1372">
      <c r="A1372" s="3" t="s">
        <v>7749</v>
      </c>
      <c r="B1372" s="4" t="str">
        <f>C1372 &amp; ": " &amp; D1372</f>
        <v>witness-discriminates: KnowledgeFragments.IsSinglePointOfFailure</v>
      </c>
      <c r="C1372" s="3" t="s">
        <v>7549</v>
      </c>
      <c r="D1372" s="3" t="s">
        <v>3316</v>
      </c>
      <c r="E1372" s="3" t="s">
        <v>1851</v>
      </c>
      <c r="F1372" s="3" t="s">
        <v>1147</v>
      </c>
      <c r="G1372" s="3" t="s">
        <v>7550</v>
      </c>
      <c r="H1372" s="3" t="s">
        <v>2199</v>
      </c>
      <c r="I1372" s="3" t="s">
        <v>5990</v>
      </c>
      <c r="J1372" s="3" t="s">
        <v>7551</v>
      </c>
      <c r="K1372" s="4" t="b">
        <f>J1372 = "blocking"</f>
        <v>0</v>
      </c>
      <c r="L1372" s="3" t="s">
        <v>1451</v>
      </c>
      <c r="M1372" s="3" t="s">
        <v>7723</v>
      </c>
      <c r="N1372" s="5">
        <v>46223.1297337963</v>
      </c>
      <c r="O1372" s="4" t="b">
        <f>L1372 = "PASS"</f>
        <v>0</v>
      </c>
      <c r="P1372" s="4" t="b">
        <f>L1372 = "FAIL"</f>
        <v>0</v>
      </c>
      <c r="Q1372" s="4" t="b">
        <f>AND(((P1372)=TRUE), ((K1372)=TRUE))</f>
        <v>0</v>
      </c>
      <c r="R1372" s="4" t="str">
        <f>IF(((O1372)=TRUE),  I1372,  "")</f>
      </c>
      <c r="S1372" s="4" t="str">
        <f>IF(((Q1372)=TRUE),  I1372,  "")</f>
      </c>
      <c r="T1372" s="3" t="s">
        <v>6001</v>
      </c>
    </row>
    <row r="1373">
      <c r="A1373" s="3" t="s">
        <v>7750</v>
      </c>
      <c r="B1373" s="4" t="str">
        <f>C1373 &amp; ": " &amp; D1373</f>
        <v>witness-discriminates: KnowledgeFragments.IsExpiringSinglePointOfFailure</v>
      </c>
      <c r="C1373" s="3" t="s">
        <v>7549</v>
      </c>
      <c r="D1373" s="3" t="s">
        <v>3318</v>
      </c>
      <c r="E1373" s="3" t="s">
        <v>1851</v>
      </c>
      <c r="F1373" s="3" t="s">
        <v>1148</v>
      </c>
      <c r="G1373" s="3" t="s">
        <v>7550</v>
      </c>
      <c r="H1373" s="3" t="s">
        <v>2199</v>
      </c>
      <c r="I1373" s="3" t="s">
        <v>5990</v>
      </c>
      <c r="J1373" s="3" t="s">
        <v>7551</v>
      </c>
      <c r="K1373" s="4" t="b">
        <f>J1373 = "blocking"</f>
        <v>0</v>
      </c>
      <c r="L1373" s="3" t="s">
        <v>1451</v>
      </c>
      <c r="M1373" s="3" t="s">
        <v>7723</v>
      </c>
      <c r="N1373" s="5">
        <v>46223.1297337963</v>
      </c>
      <c r="O1373" s="4" t="b">
        <f>L1373 = "PASS"</f>
        <v>0</v>
      </c>
      <c r="P1373" s="4" t="b">
        <f>L1373 = "FAIL"</f>
        <v>0</v>
      </c>
      <c r="Q1373" s="4" t="b">
        <f>AND(((P1373)=TRUE), ((K1373)=TRUE))</f>
        <v>0</v>
      </c>
      <c r="R1373" s="4" t="str">
        <f>IF(((O1373)=TRUE),  I1373,  "")</f>
      </c>
      <c r="S1373" s="4" t="str">
        <f>IF(((Q1373)=TRUE),  I1373,  "")</f>
      </c>
      <c r="T1373" s="3" t="s">
        <v>6001</v>
      </c>
    </row>
    <row r="1374">
      <c r="A1374" s="3" t="s">
        <v>7751</v>
      </c>
      <c r="B1374" s="4" t="str">
        <f>C1374 &amp; ": " &amp; D1374</f>
        <v>witness-discriminates: KnowledgeFragments.ConsumingStepIsSoftwareAssigned</v>
      </c>
      <c r="C1374" s="3" t="s">
        <v>7549</v>
      </c>
      <c r="D1374" s="3" t="s">
        <v>3324</v>
      </c>
      <c r="E1374" s="3" t="s">
        <v>1851</v>
      </c>
      <c r="F1374" s="3" t="s">
        <v>1151</v>
      </c>
      <c r="G1374" s="3" t="s">
        <v>7550</v>
      </c>
      <c r="H1374" s="3" t="s">
        <v>2211</v>
      </c>
      <c r="I1374" s="3" t="s">
        <v>5990</v>
      </c>
      <c r="J1374" s="3" t="s">
        <v>7551</v>
      </c>
      <c r="K1374" s="4" t="b">
        <f>J1374 = "blocking"</f>
        <v>0</v>
      </c>
      <c r="L1374" s="3" t="s">
        <v>1448</v>
      </c>
      <c r="M1374" s="3" t="s">
        <v>7718</v>
      </c>
      <c r="N1374" s="5">
        <v>46223.1297337963</v>
      </c>
      <c r="O1374" s="4" t="b">
        <f>L1374 = "PASS"</f>
        <v>1</v>
      </c>
      <c r="P1374" s="4" t="b">
        <f>L1374 = "FAIL"</f>
        <v>0</v>
      </c>
      <c r="Q1374" s="4" t="b">
        <f>AND(((P1374)=TRUE), ((K1374)=TRUE))</f>
        <v>0</v>
      </c>
      <c r="R1374" s="4" t="str">
        <f>IF(((O1374)=TRUE),  I1374,  "")</f>
        <v>suite-witness</v>
      </c>
      <c r="S1374" s="4" t="str">
        <f>IF(((Q1374)=TRUE),  I1374,  "")</f>
      </c>
      <c r="T1374" s="3" t="s">
        <v>6001</v>
      </c>
    </row>
    <row r="1375">
      <c r="A1375" s="3" t="s">
        <v>7752</v>
      </c>
      <c r="B1375" s="4" t="str">
        <f>C1375 &amp; ": " &amp; D1375</f>
        <v>witness-discriminates: KnowledgeFragments.IsUnapprovedAndMachineConsumed</v>
      </c>
      <c r="C1375" s="3" t="s">
        <v>7549</v>
      </c>
      <c r="D1375" s="3" t="s">
        <v>3328</v>
      </c>
      <c r="E1375" s="3" t="s">
        <v>1851</v>
      </c>
      <c r="F1375" s="3" t="s">
        <v>1153</v>
      </c>
      <c r="G1375" s="3" t="s">
        <v>7550</v>
      </c>
      <c r="H1375" s="3" t="s">
        <v>2211</v>
      </c>
      <c r="I1375" s="3" t="s">
        <v>5990</v>
      </c>
      <c r="J1375" s="3" t="s">
        <v>7551</v>
      </c>
      <c r="K1375" s="4" t="b">
        <f>J1375 = "blocking"</f>
        <v>0</v>
      </c>
      <c r="L1375" s="3" t="s">
        <v>1448</v>
      </c>
      <c r="M1375" s="3" t="s">
        <v>7730</v>
      </c>
      <c r="N1375" s="5">
        <v>46223.1297337963</v>
      </c>
      <c r="O1375" s="4" t="b">
        <f>L1375 = "PASS"</f>
        <v>1</v>
      </c>
      <c r="P1375" s="4" t="b">
        <f>L1375 = "FAIL"</f>
        <v>0</v>
      </c>
      <c r="Q1375" s="4" t="b">
        <f>AND(((P1375)=TRUE), ((K1375)=TRUE))</f>
        <v>0</v>
      </c>
      <c r="R1375" s="4" t="str">
        <f>IF(((O1375)=TRUE),  I1375,  "")</f>
        <v>suite-witness</v>
      </c>
      <c r="S1375" s="4" t="str">
        <f>IF(((Q1375)=TRUE),  I1375,  "")</f>
      </c>
      <c r="T1375" s="3" t="s">
        <v>6001</v>
      </c>
    </row>
    <row r="1376">
      <c r="A1376" s="3" t="s">
        <v>7753</v>
      </c>
      <c r="B1376" s="4" t="str">
        <f>C1376 &amp; ": " &amp; D1376</f>
        <v>witness-discriminates: KnowledgeFragments.IsUnapprovedAndHumanConsumed</v>
      </c>
      <c r="C1376" s="3" t="s">
        <v>7549</v>
      </c>
      <c r="D1376" s="3" t="s">
        <v>3330</v>
      </c>
      <c r="E1376" s="3" t="s">
        <v>1851</v>
      </c>
      <c r="F1376" s="3" t="s">
        <v>1154</v>
      </c>
      <c r="G1376" s="3" t="s">
        <v>7550</v>
      </c>
      <c r="H1376" s="3" t="s">
        <v>2211</v>
      </c>
      <c r="I1376" s="3" t="s">
        <v>5990</v>
      </c>
      <c r="J1376" s="3" t="s">
        <v>7551</v>
      </c>
      <c r="K1376" s="4" t="b">
        <f>J1376 = "blocking"</f>
        <v>0</v>
      </c>
      <c r="L1376" s="3" t="s">
        <v>1451</v>
      </c>
      <c r="M1376" s="3" t="s">
        <v>7723</v>
      </c>
      <c r="N1376" s="5">
        <v>46223.1297337963</v>
      </c>
      <c r="O1376" s="4" t="b">
        <f>L1376 = "PASS"</f>
        <v>0</v>
      </c>
      <c r="P1376" s="4" t="b">
        <f>L1376 = "FAIL"</f>
        <v>0</v>
      </c>
      <c r="Q1376" s="4" t="b">
        <f>AND(((P1376)=TRUE), ((K1376)=TRUE))</f>
        <v>0</v>
      </c>
      <c r="R1376" s="4" t="str">
        <f>IF(((O1376)=TRUE),  I1376,  "")</f>
      </c>
      <c r="S1376" s="4" t="str">
        <f>IF(((Q1376)=TRUE),  I1376,  "")</f>
      </c>
      <c r="T1376" s="3" t="s">
        <v>6001</v>
      </c>
    </row>
    <row r="1377">
      <c r="A1377" s="3" t="s">
        <v>7754</v>
      </c>
      <c r="B1377" s="4" t="str">
        <f>C1377 &amp; ": " &amp; D1377</f>
        <v>witness-discriminates: KnowledgeFragments.HasReviewRecord</v>
      </c>
      <c r="C1377" s="3" t="s">
        <v>7549</v>
      </c>
      <c r="D1377" s="3" t="s">
        <v>3334</v>
      </c>
      <c r="E1377" s="3" t="s">
        <v>1851</v>
      </c>
      <c r="F1377" s="3" t="s">
        <v>1156</v>
      </c>
      <c r="G1377" s="3" t="s">
        <v>7550</v>
      </c>
      <c r="H1377" s="3" t="s">
        <v>2215</v>
      </c>
      <c r="I1377" s="3" t="s">
        <v>5990</v>
      </c>
      <c r="J1377" s="3" t="s">
        <v>7551</v>
      </c>
      <c r="K1377" s="4" t="b">
        <f>J1377 = "blocking"</f>
        <v>0</v>
      </c>
      <c r="L1377" s="3" t="s">
        <v>1448</v>
      </c>
      <c r="M1377" s="3" t="s">
        <v>7755</v>
      </c>
      <c r="N1377" s="5">
        <v>46223.1297337963</v>
      </c>
      <c r="O1377" s="4" t="b">
        <f>L1377 = "PASS"</f>
        <v>1</v>
      </c>
      <c r="P1377" s="4" t="b">
        <f>L1377 = "FAIL"</f>
        <v>0</v>
      </c>
      <c r="Q1377" s="4" t="b">
        <f>AND(((P1377)=TRUE), ((K1377)=TRUE))</f>
        <v>0</v>
      </c>
      <c r="R1377" s="4" t="str">
        <f>IF(((O1377)=TRUE),  I1377,  "")</f>
        <v>suite-witness</v>
      </c>
      <c r="S1377" s="4" t="str">
        <f>IF(((Q1377)=TRUE),  I1377,  "")</f>
      </c>
      <c r="T1377" s="3" t="s">
        <v>6001</v>
      </c>
    </row>
    <row r="1378">
      <c r="A1378" s="3" t="s">
        <v>7756</v>
      </c>
      <c r="B1378" s="4" t="str">
        <f>C1378 &amp; ": " &amp; D1378</f>
        <v>witness-discriminates: KnowledgeFragments.IsUnreviewedSinceAuthoring</v>
      </c>
      <c r="C1378" s="3" t="s">
        <v>7549</v>
      </c>
      <c r="D1378" s="3" t="s">
        <v>3338</v>
      </c>
      <c r="E1378" s="3" t="s">
        <v>1851</v>
      </c>
      <c r="F1378" s="3" t="s">
        <v>1158</v>
      </c>
      <c r="G1378" s="3" t="s">
        <v>7550</v>
      </c>
      <c r="H1378" s="3" t="s">
        <v>2215</v>
      </c>
      <c r="I1378" s="3" t="s">
        <v>5990</v>
      </c>
      <c r="J1378" s="3" t="s">
        <v>7551</v>
      </c>
      <c r="K1378" s="4" t="b">
        <f>J1378 = "blocking"</f>
        <v>0</v>
      </c>
      <c r="L1378" s="3" t="s">
        <v>1448</v>
      </c>
      <c r="M1378" s="3" t="s">
        <v>7755</v>
      </c>
      <c r="N1378" s="5">
        <v>46223.1297337963</v>
      </c>
      <c r="O1378" s="4" t="b">
        <f>L1378 = "PASS"</f>
        <v>1</v>
      </c>
      <c r="P1378" s="4" t="b">
        <f>L1378 = "FAIL"</f>
        <v>0</v>
      </c>
      <c r="Q1378" s="4" t="b">
        <f>AND(((P1378)=TRUE), ((K1378)=TRUE))</f>
        <v>0</v>
      </c>
      <c r="R1378" s="4" t="str">
        <f>IF(((O1378)=TRUE),  I1378,  "")</f>
        <v>suite-witness</v>
      </c>
      <c r="S1378" s="4" t="str">
        <f>IF(((Q1378)=TRUE),  I1378,  "")</f>
      </c>
      <c r="T1378" s="3" t="s">
        <v>6001</v>
      </c>
    </row>
    <row r="1379">
      <c r="A1379" s="3" t="s">
        <v>7757</v>
      </c>
      <c r="B1379" s="4" t="str">
        <f>C1379 &amp; ": " &amp; D1379</f>
        <v>witness-discriminates: KnowledgeFragments.IsGenuinelyOverdue</v>
      </c>
      <c r="C1379" s="3" t="s">
        <v>7549</v>
      </c>
      <c r="D1379" s="3" t="s">
        <v>3340</v>
      </c>
      <c r="E1379" s="3" t="s">
        <v>1851</v>
      </c>
      <c r="F1379" s="3" t="s">
        <v>1159</v>
      </c>
      <c r="G1379" s="3" t="s">
        <v>7550</v>
      </c>
      <c r="H1379" s="3" t="s">
        <v>2215</v>
      </c>
      <c r="I1379" s="3" t="s">
        <v>5990</v>
      </c>
      <c r="J1379" s="3" t="s">
        <v>7551</v>
      </c>
      <c r="K1379" s="4" t="b">
        <f>J1379 = "blocking"</f>
        <v>0</v>
      </c>
      <c r="L1379" s="3" t="s">
        <v>1451</v>
      </c>
      <c r="M1379" s="3" t="s">
        <v>7723</v>
      </c>
      <c r="N1379" s="5">
        <v>46223.1297337963</v>
      </c>
      <c r="O1379" s="4" t="b">
        <f>L1379 = "PASS"</f>
        <v>0</v>
      </c>
      <c r="P1379" s="4" t="b">
        <f>L1379 = "FAIL"</f>
        <v>0</v>
      </c>
      <c r="Q1379" s="4" t="b">
        <f>AND(((P1379)=TRUE), ((K1379)=TRUE))</f>
        <v>0</v>
      </c>
      <c r="R1379" s="4" t="str">
        <f>IF(((O1379)=TRUE),  I1379,  "")</f>
      </c>
      <c r="S1379" s="4" t="str">
        <f>IF(((Q1379)=TRUE),  I1379,  "")</f>
      </c>
      <c r="T1379" s="3" t="s">
        <v>6001</v>
      </c>
    </row>
    <row r="1380">
      <c r="A1380" s="3" t="s">
        <v>7758</v>
      </c>
      <c r="B1380" s="4" t="str">
        <f>C1380 &amp; ": " &amp; D1380</f>
        <v>witness-discriminates: KnowledgeFragments.ReviewRecencyIsInferred</v>
      </c>
      <c r="C1380" s="3" t="s">
        <v>7549</v>
      </c>
      <c r="D1380" s="3" t="s">
        <v>3342</v>
      </c>
      <c r="E1380" s="3" t="s">
        <v>1851</v>
      </c>
      <c r="F1380" s="3" t="s">
        <v>1160</v>
      </c>
      <c r="G1380" s="3" t="s">
        <v>7550</v>
      </c>
      <c r="H1380" s="3" t="s">
        <v>2215</v>
      </c>
      <c r="I1380" s="3" t="s">
        <v>5990</v>
      </c>
      <c r="J1380" s="3" t="s">
        <v>7551</v>
      </c>
      <c r="K1380" s="4" t="b">
        <f>J1380 = "blocking"</f>
        <v>0</v>
      </c>
      <c r="L1380" s="3" t="s">
        <v>1448</v>
      </c>
      <c r="M1380" s="3" t="s">
        <v>7755</v>
      </c>
      <c r="N1380" s="5">
        <v>46223.1297337963</v>
      </c>
      <c r="O1380" s="4" t="b">
        <f>L1380 = "PASS"</f>
        <v>1</v>
      </c>
      <c r="P1380" s="4" t="b">
        <f>L1380 = "FAIL"</f>
        <v>0</v>
      </c>
      <c r="Q1380" s="4" t="b">
        <f>AND(((P1380)=TRUE), ((K1380)=TRUE))</f>
        <v>0</v>
      </c>
      <c r="R1380" s="4" t="str">
        <f>IF(((O1380)=TRUE),  I1380,  "")</f>
        <v>suite-witness</v>
      </c>
      <c r="S1380" s="4" t="str">
        <f>IF(((Q1380)=TRUE),  I1380,  "")</f>
      </c>
      <c r="T1380" s="3" t="s">
        <v>6001</v>
      </c>
    </row>
    <row r="1381">
      <c r="A1381" s="3" t="s">
        <v>7759</v>
      </c>
      <c r="B1381" s="4" t="str">
        <f>C1381 &amp; ": " &amp; D1381</f>
        <v>witness-discriminates: KnowledgeFragments.InferenceDisagreesWithRecord</v>
      </c>
      <c r="C1381" s="3" t="s">
        <v>7549</v>
      </c>
      <c r="D1381" s="3" t="s">
        <v>3344</v>
      </c>
      <c r="E1381" s="3" t="s">
        <v>1851</v>
      </c>
      <c r="F1381" s="3" t="s">
        <v>1161</v>
      </c>
      <c r="G1381" s="3" t="s">
        <v>7550</v>
      </c>
      <c r="H1381" s="3" t="s">
        <v>2215</v>
      </c>
      <c r="I1381" s="3" t="s">
        <v>5990</v>
      </c>
      <c r="J1381" s="3" t="s">
        <v>7551</v>
      </c>
      <c r="K1381" s="4" t="b">
        <f>J1381 = "blocking"</f>
        <v>0</v>
      </c>
      <c r="L1381" s="3" t="s">
        <v>1448</v>
      </c>
      <c r="M1381" s="3" t="s">
        <v>7755</v>
      </c>
      <c r="N1381" s="5">
        <v>46223.1297337963</v>
      </c>
      <c r="O1381" s="4" t="b">
        <f>L1381 = "PASS"</f>
        <v>1</v>
      </c>
      <c r="P1381" s="4" t="b">
        <f>L1381 = "FAIL"</f>
        <v>0</v>
      </c>
      <c r="Q1381" s="4" t="b">
        <f>AND(((P1381)=TRUE), ((K1381)=TRUE))</f>
        <v>0</v>
      </c>
      <c r="R1381" s="4" t="str">
        <f>IF(((O1381)=TRUE),  I1381,  "")</f>
        <v>suite-witness</v>
      </c>
      <c r="S1381" s="4" t="str">
        <f>IF(((Q1381)=TRUE),  I1381,  "")</f>
      </c>
      <c r="T1381" s="3" t="s">
        <v>6001</v>
      </c>
    </row>
    <row r="1382">
      <c r="A1382" s="3" t="s">
        <v>7760</v>
      </c>
      <c r="B1382" s="4" t="str">
        <f>C1382 &amp; ": " &amp; D1382</f>
        <v>witness-discriminates: KnowledgeFragments.IsHighBlastRadiusUnapproved</v>
      </c>
      <c r="C1382" s="3" t="s">
        <v>7549</v>
      </c>
      <c r="D1382" s="3" t="s">
        <v>3354</v>
      </c>
      <c r="E1382" s="3" t="s">
        <v>1851</v>
      </c>
      <c r="F1382" s="3" t="s">
        <v>1166</v>
      </c>
      <c r="G1382" s="3" t="s">
        <v>7550</v>
      </c>
      <c r="H1382" s="3" t="s">
        <v>2227</v>
      </c>
      <c r="I1382" s="3" t="s">
        <v>5990</v>
      </c>
      <c r="J1382" s="3" t="s">
        <v>7551</v>
      </c>
      <c r="K1382" s="4" t="b">
        <f>J1382 = "blocking"</f>
        <v>0</v>
      </c>
      <c r="L1382" s="3" t="s">
        <v>1451</v>
      </c>
      <c r="M1382" s="3" t="s">
        <v>7723</v>
      </c>
      <c r="N1382" s="5">
        <v>46223.1297337963</v>
      </c>
      <c r="O1382" s="4" t="b">
        <f>L1382 = "PASS"</f>
        <v>0</v>
      </c>
      <c r="P1382" s="4" t="b">
        <f>L1382 = "FAIL"</f>
        <v>0</v>
      </c>
      <c r="Q1382" s="4" t="b">
        <f>AND(((P1382)=TRUE), ((K1382)=TRUE))</f>
        <v>0</v>
      </c>
      <c r="R1382" s="4" t="str">
        <f>IF(((O1382)=TRUE),  I1382,  "")</f>
      </c>
      <c r="S1382" s="4" t="str">
        <f>IF(((Q1382)=TRUE),  I1382,  "")</f>
      </c>
      <c r="T1382" s="3" t="s">
        <v>6001</v>
      </c>
    </row>
    <row r="1383">
      <c r="A1383" s="3" t="s">
        <v>7761</v>
      </c>
      <c r="B1383" s="4" t="str">
        <f>C1383 &amp; ": " &amp; D1383</f>
        <v>witness-discriminates: KnowledgeFragments.IsLongUnapproved</v>
      </c>
      <c r="C1383" s="3" t="s">
        <v>7549</v>
      </c>
      <c r="D1383" s="3" t="s">
        <v>3356</v>
      </c>
      <c r="E1383" s="3" t="s">
        <v>1851</v>
      </c>
      <c r="F1383" s="3" t="s">
        <v>1167</v>
      </c>
      <c r="G1383" s="3" t="s">
        <v>7550</v>
      </c>
      <c r="H1383" s="3" t="s">
        <v>2227</v>
      </c>
      <c r="I1383" s="3" t="s">
        <v>5990</v>
      </c>
      <c r="J1383" s="3" t="s">
        <v>7551</v>
      </c>
      <c r="K1383" s="4" t="b">
        <f>J1383 = "blocking"</f>
        <v>0</v>
      </c>
      <c r="L1383" s="3" t="s">
        <v>1448</v>
      </c>
      <c r="M1383" s="3" t="s">
        <v>7730</v>
      </c>
      <c r="N1383" s="5">
        <v>46223.1297337963</v>
      </c>
      <c r="O1383" s="4" t="b">
        <f>L1383 = "PASS"</f>
        <v>1</v>
      </c>
      <c r="P1383" s="4" t="b">
        <f>L1383 = "FAIL"</f>
        <v>0</v>
      </c>
      <c r="Q1383" s="4" t="b">
        <f>AND(((P1383)=TRUE), ((K1383)=TRUE))</f>
        <v>0</v>
      </c>
      <c r="R1383" s="4" t="str">
        <f>IF(((O1383)=TRUE),  I1383,  "")</f>
        <v>suite-witness</v>
      </c>
      <c r="S1383" s="4" t="str">
        <f>IF(((Q1383)=TRUE),  I1383,  "")</f>
      </c>
      <c r="T1383" s="3" t="s">
        <v>6001</v>
      </c>
    </row>
    <row r="1384">
      <c r="A1384" s="3" t="s">
        <v>7762</v>
      </c>
      <c r="B1384" s="4" t="str">
        <f>C1384 &amp; ": " &amp; D1384</f>
        <v>witness-discriminates: KnowledgeFragments.OwnerRoleIsVacated</v>
      </c>
      <c r="C1384" s="3" t="s">
        <v>7549</v>
      </c>
      <c r="D1384" s="3" t="s">
        <v>3360</v>
      </c>
      <c r="E1384" s="3" t="s">
        <v>1851</v>
      </c>
      <c r="F1384" s="3" t="s">
        <v>1169</v>
      </c>
      <c r="G1384" s="3" t="s">
        <v>7550</v>
      </c>
      <c r="H1384" s="3" t="s">
        <v>2235</v>
      </c>
      <c r="I1384" s="3" t="s">
        <v>5990</v>
      </c>
      <c r="J1384" s="3" t="s">
        <v>7551</v>
      </c>
      <c r="K1384" s="4" t="b">
        <f>J1384 = "blocking"</f>
        <v>0</v>
      </c>
      <c r="L1384" s="3" t="s">
        <v>1451</v>
      </c>
      <c r="M1384" s="3" t="s">
        <v>7723</v>
      </c>
      <c r="N1384" s="5">
        <v>46223.1297337963</v>
      </c>
      <c r="O1384" s="4" t="b">
        <f>L1384 = "PASS"</f>
        <v>0</v>
      </c>
      <c r="P1384" s="4" t="b">
        <f>L1384 = "FAIL"</f>
        <v>0</v>
      </c>
      <c r="Q1384" s="4" t="b">
        <f>AND(((P1384)=TRUE), ((K1384)=TRUE))</f>
        <v>0</v>
      </c>
      <c r="R1384" s="4" t="str">
        <f>IF(((O1384)=TRUE),  I1384,  "")</f>
      </c>
      <c r="S1384" s="4" t="str">
        <f>IF(((Q1384)=TRUE),  I1384,  "")</f>
      </c>
      <c r="T1384" s="3" t="s">
        <v>6001</v>
      </c>
    </row>
    <row r="1385">
      <c r="A1385" s="3" t="s">
        <v>7763</v>
      </c>
      <c r="B1385" s="4" t="str">
        <f>C1385 &amp; ": " &amp; D1385</f>
        <v>witness-discriminates: KnowledgeFragments.IsOrphanedByRole</v>
      </c>
      <c r="C1385" s="3" t="s">
        <v>7549</v>
      </c>
      <c r="D1385" s="3" t="s">
        <v>3362</v>
      </c>
      <c r="E1385" s="3" t="s">
        <v>1851</v>
      </c>
      <c r="F1385" s="3" t="s">
        <v>1170</v>
      </c>
      <c r="G1385" s="3" t="s">
        <v>7550</v>
      </c>
      <c r="H1385" s="3" t="s">
        <v>2235</v>
      </c>
      <c r="I1385" s="3" t="s">
        <v>5990</v>
      </c>
      <c r="J1385" s="3" t="s">
        <v>7551</v>
      </c>
      <c r="K1385" s="4" t="b">
        <f>J1385 = "blocking"</f>
        <v>0</v>
      </c>
      <c r="L1385" s="3" t="s">
        <v>1451</v>
      </c>
      <c r="M1385" s="3" t="s">
        <v>7723</v>
      </c>
      <c r="N1385" s="5">
        <v>46223.1297337963</v>
      </c>
      <c r="O1385" s="4" t="b">
        <f>L1385 = "PASS"</f>
        <v>0</v>
      </c>
      <c r="P1385" s="4" t="b">
        <f>L1385 = "FAIL"</f>
        <v>0</v>
      </c>
      <c r="Q1385" s="4" t="b">
        <f>AND(((P1385)=TRUE), ((K1385)=TRUE))</f>
        <v>0</v>
      </c>
      <c r="R1385" s="4" t="str">
        <f>IF(((O1385)=TRUE),  I1385,  "")</f>
      </c>
      <c r="S1385" s="4" t="str">
        <f>IF(((Q1385)=TRUE),  I1385,  "")</f>
      </c>
      <c r="T1385" s="3" t="s">
        <v>6001</v>
      </c>
    </row>
    <row r="1386">
      <c r="A1386" s="3" t="s">
        <v>7764</v>
      </c>
      <c r="B1386" s="4" t="str">
        <f>C1386 &amp; ": " &amp; D1386</f>
        <v>witness-discriminates: KnowledgeGaps.IsOpen</v>
      </c>
      <c r="C1386" s="3" t="s">
        <v>7549</v>
      </c>
      <c r="D1386" s="3" t="s">
        <v>3380</v>
      </c>
      <c r="E1386" s="3" t="s">
        <v>3368</v>
      </c>
      <c r="F1386" s="3" t="s">
        <v>1199</v>
      </c>
      <c r="G1386" s="3" t="s">
        <v>7550</v>
      </c>
      <c r="H1386" s="3"/>
      <c r="I1386" s="3" t="s">
        <v>5990</v>
      </c>
      <c r="J1386" s="3" t="s">
        <v>7551</v>
      </c>
      <c r="K1386" s="4" t="b">
        <f>J1386 = "blocking"</f>
        <v>0</v>
      </c>
      <c r="L1386" s="3" t="s">
        <v>1448</v>
      </c>
      <c r="M1386" s="3" t="s">
        <v>7765</v>
      </c>
      <c r="N1386" s="5">
        <v>46223.1297337963</v>
      </c>
      <c r="O1386" s="4" t="b">
        <f>L1386 = "PASS"</f>
        <v>1</v>
      </c>
      <c r="P1386" s="4" t="b">
        <f>L1386 = "FAIL"</f>
        <v>0</v>
      </c>
      <c r="Q1386" s="4" t="b">
        <f>AND(((P1386)=TRUE), ((K1386)=TRUE))</f>
        <v>0</v>
      </c>
      <c r="R1386" s="4" t="str">
        <f>IF(((O1386)=TRUE),  I1386,  "")</f>
        <v>suite-witness</v>
      </c>
      <c r="S1386" s="4" t="str">
        <f>IF(((Q1386)=TRUE),  I1386,  "")</f>
      </c>
      <c r="T1386" s="3" t="s">
        <v>6001</v>
      </c>
    </row>
    <row r="1387">
      <c r="A1387" s="3" t="s">
        <v>7766</v>
      </c>
      <c r="B1387" s="4" t="str">
        <f>C1387 &amp; ": " &amp; D1387</f>
        <v>witness-discriminates: KnowledgeGaps.IsBlocking</v>
      </c>
      <c r="C1387" s="3" t="s">
        <v>7549</v>
      </c>
      <c r="D1387" s="3" t="s">
        <v>3384</v>
      </c>
      <c r="E1387" s="3" t="s">
        <v>3368</v>
      </c>
      <c r="F1387" s="3" t="s">
        <v>803</v>
      </c>
      <c r="G1387" s="3" t="s">
        <v>7550</v>
      </c>
      <c r="H1387" s="3" t="s">
        <v>2031</v>
      </c>
      <c r="I1387" s="3" t="s">
        <v>5990</v>
      </c>
      <c r="J1387" s="3" t="s">
        <v>7551</v>
      </c>
      <c r="K1387" s="4" t="b">
        <f>J1387 = "blocking"</f>
        <v>0</v>
      </c>
      <c r="L1387" s="3" t="s">
        <v>1448</v>
      </c>
      <c r="M1387" s="3" t="s">
        <v>7767</v>
      </c>
      <c r="N1387" s="5">
        <v>46223.1297337963</v>
      </c>
      <c r="O1387" s="4" t="b">
        <f>L1387 = "PASS"</f>
        <v>1</v>
      </c>
      <c r="P1387" s="4" t="b">
        <f>L1387 = "FAIL"</f>
        <v>0</v>
      </c>
      <c r="Q1387" s="4" t="b">
        <f>AND(((P1387)=TRUE), ((K1387)=TRUE))</f>
        <v>0</v>
      </c>
      <c r="R1387" s="4" t="str">
        <f>IF(((O1387)=TRUE),  I1387,  "")</f>
        <v>suite-witness</v>
      </c>
      <c r="S1387" s="4" t="str">
        <f>IF(((Q1387)=TRUE),  I1387,  "")</f>
      </c>
      <c r="T1387" s="3" t="s">
        <v>6001</v>
      </c>
    </row>
    <row r="1388">
      <c r="A1388" s="3" t="s">
        <v>7768</v>
      </c>
      <c r="B1388" s="4" t="str">
        <f>C1388 &amp; ": " &amp; D1388</f>
        <v>witness-discriminates: KnowledgeGaps.IsOpenAndBlocking</v>
      </c>
      <c r="C1388" s="3" t="s">
        <v>7549</v>
      </c>
      <c r="D1388" s="3" t="s">
        <v>3386</v>
      </c>
      <c r="E1388" s="3" t="s">
        <v>3368</v>
      </c>
      <c r="F1388" s="3" t="s">
        <v>1201</v>
      </c>
      <c r="G1388" s="3" t="s">
        <v>7550</v>
      </c>
      <c r="H1388" s="3" t="s">
        <v>2031</v>
      </c>
      <c r="I1388" s="3" t="s">
        <v>5990</v>
      </c>
      <c r="J1388" s="3" t="s">
        <v>7551</v>
      </c>
      <c r="K1388" s="4" t="b">
        <f>J1388 = "blocking"</f>
        <v>0</v>
      </c>
      <c r="L1388" s="3" t="s">
        <v>1451</v>
      </c>
      <c r="M1388" s="3" t="s">
        <v>7769</v>
      </c>
      <c r="N1388" s="5">
        <v>46223.1297337963</v>
      </c>
      <c r="O1388" s="4" t="b">
        <f>L1388 = "PASS"</f>
        <v>0</v>
      </c>
      <c r="P1388" s="4" t="b">
        <f>L1388 = "FAIL"</f>
        <v>0</v>
      </c>
      <c r="Q1388" s="4" t="b">
        <f>AND(((P1388)=TRUE), ((K1388)=TRUE))</f>
        <v>0</v>
      </c>
      <c r="R1388" s="4" t="str">
        <f>IF(((O1388)=TRUE),  I1388,  "")</f>
      </c>
      <c r="S1388" s="4" t="str">
        <f>IF(((Q1388)=TRUE),  I1388,  "")</f>
      </c>
      <c r="T1388" s="3" t="s">
        <v>6001</v>
      </c>
    </row>
    <row r="1389">
      <c r="A1389" s="3" t="s">
        <v>7770</v>
      </c>
      <c r="B1389" s="4" t="str">
        <f>C1389 &amp; ": " &amp; D1389</f>
        <v>witness-discriminates: KnowledgeGaps.IsOverdueGap</v>
      </c>
      <c r="C1389" s="3" t="s">
        <v>7549</v>
      </c>
      <c r="D1389" s="3" t="s">
        <v>3394</v>
      </c>
      <c r="E1389" s="3" t="s">
        <v>3368</v>
      </c>
      <c r="F1389" s="3" t="s">
        <v>1204</v>
      </c>
      <c r="G1389" s="3" t="s">
        <v>7550</v>
      </c>
      <c r="H1389" s="3" t="s">
        <v>2051</v>
      </c>
      <c r="I1389" s="3" t="s">
        <v>5990</v>
      </c>
      <c r="J1389" s="3" t="s">
        <v>7551</v>
      </c>
      <c r="K1389" s="4" t="b">
        <f>J1389 = "blocking"</f>
        <v>0</v>
      </c>
      <c r="L1389" s="3" t="s">
        <v>1451</v>
      </c>
      <c r="M1389" s="3" t="s">
        <v>7769</v>
      </c>
      <c r="N1389" s="5">
        <v>46223.1297337963</v>
      </c>
      <c r="O1389" s="4" t="b">
        <f>L1389 = "PASS"</f>
        <v>0</v>
      </c>
      <c r="P1389" s="4" t="b">
        <f>L1389 = "FAIL"</f>
        <v>0</v>
      </c>
      <c r="Q1389" s="4" t="b">
        <f>AND(((P1389)=TRUE), ((K1389)=TRUE))</f>
        <v>0</v>
      </c>
      <c r="R1389" s="4" t="str">
        <f>IF(((O1389)=TRUE),  I1389,  "")</f>
      </c>
      <c r="S1389" s="4" t="str">
        <f>IF(((Q1389)=TRUE),  I1389,  "")</f>
      </c>
      <c r="T1389" s="3" t="s">
        <v>6001</v>
      </c>
    </row>
    <row r="1390">
      <c r="A1390" s="3" t="s">
        <v>7771</v>
      </c>
      <c r="B1390" s="4" t="str">
        <f>C1390 &amp; ": " &amp; D1390</f>
        <v>witness-discriminates: KnowledgeGaps.OwnerIsStillEngaged</v>
      </c>
      <c r="C1390" s="3" t="s">
        <v>7549</v>
      </c>
      <c r="D1390" s="3" t="s">
        <v>3397</v>
      </c>
      <c r="E1390" s="3" t="s">
        <v>3368</v>
      </c>
      <c r="F1390" s="3" t="s">
        <v>1205</v>
      </c>
      <c r="G1390" s="3" t="s">
        <v>7550</v>
      </c>
      <c r="H1390" s="3" t="s">
        <v>2051</v>
      </c>
      <c r="I1390" s="3" t="s">
        <v>5990</v>
      </c>
      <c r="J1390" s="3" t="s">
        <v>7551</v>
      </c>
      <c r="K1390" s="4" t="b">
        <f>J1390 = "blocking"</f>
        <v>0</v>
      </c>
      <c r="L1390" s="3" t="s">
        <v>1451</v>
      </c>
      <c r="M1390" s="3" t="s">
        <v>7772</v>
      </c>
      <c r="N1390" s="5">
        <v>46223.1297337963</v>
      </c>
      <c r="O1390" s="4" t="b">
        <f>L1390 = "PASS"</f>
        <v>0</v>
      </c>
      <c r="P1390" s="4" t="b">
        <f>L1390 = "FAIL"</f>
        <v>0</v>
      </c>
      <c r="Q1390" s="4" t="b">
        <f>AND(((P1390)=TRUE), ((K1390)=TRUE))</f>
        <v>0</v>
      </c>
      <c r="R1390" s="4" t="str">
        <f>IF(((O1390)=TRUE),  I1390,  "")</f>
      </c>
      <c r="S1390" s="4" t="str">
        <f>IF(((Q1390)=TRUE),  I1390,  "")</f>
      </c>
      <c r="T1390" s="3" t="s">
        <v>6001</v>
      </c>
    </row>
    <row r="1391">
      <c r="A1391" s="3" t="s">
        <v>7773</v>
      </c>
      <c r="B1391" s="4" t="str">
        <f>C1391 &amp; ": " &amp; D1391</f>
        <v>witness-discriminates: KnowledgeGaps.HasResolutionPlan</v>
      </c>
      <c r="C1391" s="3" t="s">
        <v>7549</v>
      </c>
      <c r="D1391" s="3" t="s">
        <v>3399</v>
      </c>
      <c r="E1391" s="3" t="s">
        <v>3368</v>
      </c>
      <c r="F1391" s="3" t="s">
        <v>1206</v>
      </c>
      <c r="G1391" s="3" t="s">
        <v>7550</v>
      </c>
      <c r="H1391" s="3" t="s">
        <v>2051</v>
      </c>
      <c r="I1391" s="3" t="s">
        <v>5990</v>
      </c>
      <c r="J1391" s="3" t="s">
        <v>7551</v>
      </c>
      <c r="K1391" s="4" t="b">
        <f>J1391 = "blocking"</f>
        <v>0</v>
      </c>
      <c r="L1391" s="3" t="s">
        <v>1451</v>
      </c>
      <c r="M1391" s="3" t="s">
        <v>7772</v>
      </c>
      <c r="N1391" s="5">
        <v>46223.1297337963</v>
      </c>
      <c r="O1391" s="4" t="b">
        <f>L1391 = "PASS"</f>
        <v>0</v>
      </c>
      <c r="P1391" s="4" t="b">
        <f>L1391 = "FAIL"</f>
        <v>0</v>
      </c>
      <c r="Q1391" s="4" t="b">
        <f>AND(((P1391)=TRUE), ((K1391)=TRUE))</f>
        <v>0</v>
      </c>
      <c r="R1391" s="4" t="str">
        <f>IF(((O1391)=TRUE),  I1391,  "")</f>
      </c>
      <c r="S1391" s="4" t="str">
        <f>IF(((Q1391)=TRUE),  I1391,  "")</f>
      </c>
      <c r="T1391" s="3" t="s">
        <v>6001</v>
      </c>
    </row>
    <row r="1392">
      <c r="A1392" s="3" t="s">
        <v>7774</v>
      </c>
      <c r="B1392" s="4" t="str">
        <f>C1392 &amp; ": " &amp; D1392</f>
        <v>witness-discriminates: KnowledgeGaps.IsAbandonedUnknown</v>
      </c>
      <c r="C1392" s="3" t="s">
        <v>7549</v>
      </c>
      <c r="D1392" s="3" t="s">
        <v>3401</v>
      </c>
      <c r="E1392" s="3" t="s">
        <v>3368</v>
      </c>
      <c r="F1392" s="3" t="s">
        <v>1207</v>
      </c>
      <c r="G1392" s="3" t="s">
        <v>7550</v>
      </c>
      <c r="H1392" s="3" t="s">
        <v>2051</v>
      </c>
      <c r="I1392" s="3" t="s">
        <v>5990</v>
      </c>
      <c r="J1392" s="3" t="s">
        <v>7551</v>
      </c>
      <c r="K1392" s="4" t="b">
        <f>J1392 = "blocking"</f>
        <v>0</v>
      </c>
      <c r="L1392" s="3" t="s">
        <v>1451</v>
      </c>
      <c r="M1392" s="3" t="s">
        <v>7769</v>
      </c>
      <c r="N1392" s="5">
        <v>46223.1297337963</v>
      </c>
      <c r="O1392" s="4" t="b">
        <f>L1392 = "PASS"</f>
        <v>0</v>
      </c>
      <c r="P1392" s="4" t="b">
        <f>L1392 = "FAIL"</f>
        <v>0</v>
      </c>
      <c r="Q1392" s="4" t="b">
        <f>AND(((P1392)=TRUE), ((K1392)=TRUE))</f>
        <v>0</v>
      </c>
      <c r="R1392" s="4" t="str">
        <f>IF(((O1392)=TRUE),  I1392,  "")</f>
      </c>
      <c r="S1392" s="4" t="str">
        <f>IF(((Q1392)=TRUE),  I1392,  "")</f>
      </c>
      <c r="T1392" s="3" t="s">
        <v>6001</v>
      </c>
    </row>
    <row r="1393">
      <c r="A1393" s="3" t="s">
        <v>7775</v>
      </c>
      <c r="B1393" s="4" t="str">
        <f>C1393 &amp; ": " &amp; D1393</f>
        <v>witness-discriminates: KnowledgeGaps.OwnerRoleIsVacated</v>
      </c>
      <c r="C1393" s="3" t="s">
        <v>7549</v>
      </c>
      <c r="D1393" s="3" t="s">
        <v>3405</v>
      </c>
      <c r="E1393" s="3" t="s">
        <v>3368</v>
      </c>
      <c r="F1393" s="3" t="s">
        <v>1169</v>
      </c>
      <c r="G1393" s="3" t="s">
        <v>7550</v>
      </c>
      <c r="H1393" s="3" t="s">
        <v>2235</v>
      </c>
      <c r="I1393" s="3" t="s">
        <v>5990</v>
      </c>
      <c r="J1393" s="3" t="s">
        <v>7551</v>
      </c>
      <c r="K1393" s="4" t="b">
        <f>J1393 = "blocking"</f>
        <v>0</v>
      </c>
      <c r="L1393" s="3" t="s">
        <v>1451</v>
      </c>
      <c r="M1393" s="3" t="s">
        <v>7769</v>
      </c>
      <c r="N1393" s="5">
        <v>46223.1297337963</v>
      </c>
      <c r="O1393" s="4" t="b">
        <f>L1393 = "PASS"</f>
        <v>0</v>
      </c>
      <c r="P1393" s="4" t="b">
        <f>L1393 = "FAIL"</f>
        <v>0</v>
      </c>
      <c r="Q1393" s="4" t="b">
        <f>AND(((P1393)=TRUE), ((K1393)=TRUE))</f>
        <v>0</v>
      </c>
      <c r="R1393" s="4" t="str">
        <f>IF(((O1393)=TRUE),  I1393,  "")</f>
      </c>
      <c r="S1393" s="4" t="str">
        <f>IF(((Q1393)=TRUE),  I1393,  "")</f>
      </c>
      <c r="T1393" s="3" t="s">
        <v>6001</v>
      </c>
    </row>
    <row r="1394">
      <c r="A1394" s="3" t="s">
        <v>7776</v>
      </c>
      <c r="B1394" s="4" t="str">
        <f>C1394 &amp; ": " &amp; D1394</f>
        <v>witness-discriminates: KnowledgeGaps.IsOwnerlessOpenGap</v>
      </c>
      <c r="C1394" s="3" t="s">
        <v>7549</v>
      </c>
      <c r="D1394" s="3" t="s">
        <v>3406</v>
      </c>
      <c r="E1394" s="3" t="s">
        <v>3368</v>
      </c>
      <c r="F1394" s="3" t="s">
        <v>1209</v>
      </c>
      <c r="G1394" s="3" t="s">
        <v>7550</v>
      </c>
      <c r="H1394" s="3" t="s">
        <v>2235</v>
      </c>
      <c r="I1394" s="3" t="s">
        <v>5990</v>
      </c>
      <c r="J1394" s="3" t="s">
        <v>7551</v>
      </c>
      <c r="K1394" s="4" t="b">
        <f>J1394 = "blocking"</f>
        <v>0</v>
      </c>
      <c r="L1394" s="3" t="s">
        <v>1451</v>
      </c>
      <c r="M1394" s="3" t="s">
        <v>7769</v>
      </c>
      <c r="N1394" s="5">
        <v>46223.1297337963</v>
      </c>
      <c r="O1394" s="4" t="b">
        <f>L1394 = "PASS"</f>
        <v>0</v>
      </c>
      <c r="P1394" s="4" t="b">
        <f>L1394 = "FAIL"</f>
        <v>0</v>
      </c>
      <c r="Q1394" s="4" t="b">
        <f>AND(((P1394)=TRUE), ((K1394)=TRUE))</f>
        <v>0</v>
      </c>
      <c r="R1394" s="4" t="str">
        <f>IF(((O1394)=TRUE),  I1394,  "")</f>
      </c>
      <c r="S1394" s="4" t="str">
        <f>IF(((Q1394)=TRUE),  I1394,  "")</f>
      </c>
      <c r="T1394" s="3" t="s">
        <v>6001</v>
      </c>
    </row>
    <row r="1395">
      <c r="A1395" s="3" t="s">
        <v>7777</v>
      </c>
      <c r="B1395" s="4" t="str">
        <f>C1395 &amp; ": " &amp; D1395</f>
        <v>witness-discriminates: ProcedureExecutions.IsStructurallyComplete</v>
      </c>
      <c r="C1395" s="3" t="s">
        <v>7549</v>
      </c>
      <c r="D1395" s="3" t="s">
        <v>3444</v>
      </c>
      <c r="E1395" s="3" t="s">
        <v>1824</v>
      </c>
      <c r="F1395" s="3" t="s">
        <v>1275</v>
      </c>
      <c r="G1395" s="3" t="s">
        <v>7550</v>
      </c>
      <c r="H1395" s="3" t="s">
        <v>1991</v>
      </c>
      <c r="I1395" s="3" t="s">
        <v>5990</v>
      </c>
      <c r="J1395" s="3" t="s">
        <v>7551</v>
      </c>
      <c r="K1395" s="4" t="b">
        <f>J1395 = "blocking"</f>
        <v>0</v>
      </c>
      <c r="L1395" s="3" t="s">
        <v>1448</v>
      </c>
      <c r="M1395" s="3" t="s">
        <v>7778</v>
      </c>
      <c r="N1395" s="5">
        <v>46223.1297337963</v>
      </c>
      <c r="O1395" s="4" t="b">
        <f>L1395 = "PASS"</f>
        <v>1</v>
      </c>
      <c r="P1395" s="4" t="b">
        <f>L1395 = "FAIL"</f>
        <v>0</v>
      </c>
      <c r="Q1395" s="4" t="b">
        <f>AND(((P1395)=TRUE), ((K1395)=TRUE))</f>
        <v>0</v>
      </c>
      <c r="R1395" s="4" t="str">
        <f>IF(((O1395)=TRUE),  I1395,  "")</f>
        <v>suite-witness</v>
      </c>
      <c r="S1395" s="4" t="str">
        <f>IF(((Q1395)=TRUE),  I1395,  "")</f>
      </c>
      <c r="T1395" s="3" t="s">
        <v>6001</v>
      </c>
    </row>
    <row r="1396">
      <c r="A1396" s="3" t="s">
        <v>7779</v>
      </c>
      <c r="B1396" s="4" t="str">
        <f>C1396 &amp; ": " &amp; D1396</f>
        <v>witness-discriminates: ProcedureExecutions.DivergedFromSpecification</v>
      </c>
      <c r="C1396" s="3" t="s">
        <v>7549</v>
      </c>
      <c r="D1396" s="3" t="s">
        <v>3446</v>
      </c>
      <c r="E1396" s="3" t="s">
        <v>1824</v>
      </c>
      <c r="F1396" s="3" t="s">
        <v>1276</v>
      </c>
      <c r="G1396" s="3" t="s">
        <v>7550</v>
      </c>
      <c r="H1396" s="3" t="s">
        <v>1991</v>
      </c>
      <c r="I1396" s="3" t="s">
        <v>5990</v>
      </c>
      <c r="J1396" s="3" t="s">
        <v>7551</v>
      </c>
      <c r="K1396" s="4" t="b">
        <f>J1396 = "blocking"</f>
        <v>0</v>
      </c>
      <c r="L1396" s="3" t="s">
        <v>1451</v>
      </c>
      <c r="M1396" s="3" t="s">
        <v>7780</v>
      </c>
      <c r="N1396" s="5">
        <v>46223.1297337963</v>
      </c>
      <c r="O1396" s="4" t="b">
        <f>L1396 = "PASS"</f>
        <v>0</v>
      </c>
      <c r="P1396" s="4" t="b">
        <f>L1396 = "FAIL"</f>
        <v>0</v>
      </c>
      <c r="Q1396" s="4" t="b">
        <f>AND(((P1396)=TRUE), ((K1396)=TRUE))</f>
        <v>0</v>
      </c>
      <c r="R1396" s="4" t="str">
        <f>IF(((O1396)=TRUE),  I1396,  "")</f>
      </c>
      <c r="S1396" s="4" t="str">
        <f>IF(((Q1396)=TRUE),  I1396,  "")</f>
      </c>
      <c r="T1396" s="3" t="s">
        <v>6001</v>
      </c>
    </row>
    <row r="1397">
      <c r="A1397" s="3" t="s">
        <v>7781</v>
      </c>
      <c r="B1397" s="4" t="str">
        <f>C1397 &amp; ": " &amp; D1397</f>
        <v>witness-discriminates: ProcedureExecutions.AllBlockingControlsEvaluated</v>
      </c>
      <c r="C1397" s="3" t="s">
        <v>7549</v>
      </c>
      <c r="D1397" s="3" t="s">
        <v>3448</v>
      </c>
      <c r="E1397" s="3" t="s">
        <v>1824</v>
      </c>
      <c r="F1397" s="3" t="s">
        <v>1277</v>
      </c>
      <c r="G1397" s="3" t="s">
        <v>7550</v>
      </c>
      <c r="H1397" s="3" t="s">
        <v>1999</v>
      </c>
      <c r="I1397" s="3" t="s">
        <v>5990</v>
      </c>
      <c r="J1397" s="3" t="s">
        <v>7551</v>
      </c>
      <c r="K1397" s="4" t="b">
        <f>J1397 = "blocking"</f>
        <v>0</v>
      </c>
      <c r="L1397" s="3" t="s">
        <v>1451</v>
      </c>
      <c r="M1397" s="3" t="s">
        <v>7780</v>
      </c>
      <c r="N1397" s="5">
        <v>46223.1297337963</v>
      </c>
      <c r="O1397" s="4" t="b">
        <f>L1397 = "PASS"</f>
        <v>0</v>
      </c>
      <c r="P1397" s="4" t="b">
        <f>L1397 = "FAIL"</f>
        <v>0</v>
      </c>
      <c r="Q1397" s="4" t="b">
        <f>AND(((P1397)=TRUE), ((K1397)=TRUE))</f>
        <v>0</v>
      </c>
      <c r="R1397" s="4" t="str">
        <f>IF(((O1397)=TRUE),  I1397,  "")</f>
      </c>
      <c r="S1397" s="4" t="str">
        <f>IF(((Q1397)=TRUE),  I1397,  "")</f>
      </c>
      <c r="T1397" s="3" t="s">
        <v>6001</v>
      </c>
    </row>
    <row r="1398">
      <c r="A1398" s="3" t="s">
        <v>7782</v>
      </c>
      <c r="B1398" s="4" t="str">
        <f>C1398 &amp; ": " &amp; D1398</f>
        <v>witness-discriminates: ProcedureExecutions.SeparationOfDutiesHeld</v>
      </c>
      <c r="C1398" s="3" t="s">
        <v>7549</v>
      </c>
      <c r="D1398" s="3" t="s">
        <v>3452</v>
      </c>
      <c r="E1398" s="3" t="s">
        <v>1824</v>
      </c>
      <c r="F1398" s="3" t="s">
        <v>1279</v>
      </c>
      <c r="G1398" s="3" t="s">
        <v>7550</v>
      </c>
      <c r="H1398" s="3" t="s">
        <v>1999</v>
      </c>
      <c r="I1398" s="3" t="s">
        <v>5990</v>
      </c>
      <c r="J1398" s="3" t="s">
        <v>7551</v>
      </c>
      <c r="K1398" s="4" t="b">
        <f>J1398 = "blocking"</f>
        <v>0</v>
      </c>
      <c r="L1398" s="3" t="s">
        <v>1451</v>
      </c>
      <c r="M1398" s="3" t="s">
        <v>7780</v>
      </c>
      <c r="N1398" s="5">
        <v>46223.1297337963</v>
      </c>
      <c r="O1398" s="4" t="b">
        <f>L1398 = "PASS"</f>
        <v>0</v>
      </c>
      <c r="P1398" s="4" t="b">
        <f>L1398 = "FAIL"</f>
        <v>0</v>
      </c>
      <c r="Q1398" s="4" t="b">
        <f>AND(((P1398)=TRUE), ((K1398)=TRUE))</f>
        <v>0</v>
      </c>
      <c r="R1398" s="4" t="str">
        <f>IF(((O1398)=TRUE),  I1398,  "")</f>
      </c>
      <c r="S1398" s="4" t="str">
        <f>IF(((Q1398)=TRUE),  I1398,  "")</f>
      </c>
      <c r="T1398" s="3" t="s">
        <v>6001</v>
      </c>
    </row>
    <row r="1399">
      <c r="A1399" s="3" t="s">
        <v>7783</v>
      </c>
      <c r="B1399" s="4" t="str">
        <f>C1399 &amp; ": " &amp; D1399</f>
        <v>witness-discriminates: ProcedureExecutions.IsAttestationReady</v>
      </c>
      <c r="C1399" s="3" t="s">
        <v>7549</v>
      </c>
      <c r="D1399" s="3" t="s">
        <v>3456</v>
      </c>
      <c r="E1399" s="3" t="s">
        <v>1824</v>
      </c>
      <c r="F1399" s="3" t="s">
        <v>1281</v>
      </c>
      <c r="G1399" s="3" t="s">
        <v>7550</v>
      </c>
      <c r="H1399" s="3" t="s">
        <v>1999</v>
      </c>
      <c r="I1399" s="3" t="s">
        <v>5990</v>
      </c>
      <c r="J1399" s="3" t="s">
        <v>7551</v>
      </c>
      <c r="K1399" s="4" t="b">
        <f>J1399 = "blocking"</f>
        <v>0</v>
      </c>
      <c r="L1399" s="3" t="s">
        <v>1451</v>
      </c>
      <c r="M1399" s="3" t="s">
        <v>7784</v>
      </c>
      <c r="N1399" s="5">
        <v>46223.1297337963</v>
      </c>
      <c r="O1399" s="4" t="b">
        <f>L1399 = "PASS"</f>
        <v>0</v>
      </c>
      <c r="P1399" s="4" t="b">
        <f>L1399 = "FAIL"</f>
        <v>0</v>
      </c>
      <c r="Q1399" s="4" t="b">
        <f>AND(((P1399)=TRUE), ((K1399)=TRUE))</f>
        <v>0</v>
      </c>
      <c r="R1399" s="4" t="str">
        <f>IF(((O1399)=TRUE),  I1399,  "")</f>
      </c>
      <c r="S1399" s="4" t="str">
        <f>IF(((Q1399)=TRUE),  I1399,  "")</f>
      </c>
      <c r="T1399" s="3" t="s">
        <v>6001</v>
      </c>
    </row>
    <row r="1400">
      <c r="A1400" s="3" t="s">
        <v>7785</v>
      </c>
      <c r="B1400" s="4" t="str">
        <f>C1400 &amp; ": " &amp; D1400</f>
        <v>witness-discriminates: ProcedureExecutions.ExecutedVersionIsFit</v>
      </c>
      <c r="C1400" s="3" t="s">
        <v>7549</v>
      </c>
      <c r="D1400" s="3" t="s">
        <v>3460</v>
      </c>
      <c r="E1400" s="3" t="s">
        <v>1824</v>
      </c>
      <c r="F1400" s="3" t="s">
        <v>1283</v>
      </c>
      <c r="G1400" s="3" t="s">
        <v>7550</v>
      </c>
      <c r="H1400" s="3" t="s">
        <v>2003</v>
      </c>
      <c r="I1400" s="3" t="s">
        <v>5990</v>
      </c>
      <c r="J1400" s="3" t="s">
        <v>7551</v>
      </c>
      <c r="K1400" s="4" t="b">
        <f>J1400 = "blocking"</f>
        <v>0</v>
      </c>
      <c r="L1400" s="3" t="s">
        <v>1451</v>
      </c>
      <c r="M1400" s="3" t="s">
        <v>7784</v>
      </c>
      <c r="N1400" s="5">
        <v>46223.1297337963</v>
      </c>
      <c r="O1400" s="4" t="b">
        <f>L1400 = "PASS"</f>
        <v>0</v>
      </c>
      <c r="P1400" s="4" t="b">
        <f>L1400 = "FAIL"</f>
        <v>0</v>
      </c>
      <c r="Q1400" s="4" t="b">
        <f>AND(((P1400)=TRUE), ((K1400)=TRUE))</f>
        <v>0</v>
      </c>
      <c r="R1400" s="4" t="str">
        <f>IF(((O1400)=TRUE),  I1400,  "")</f>
      </c>
      <c r="S1400" s="4" t="str">
        <f>IF(((Q1400)=TRUE),  I1400,  "")</f>
      </c>
      <c r="T1400" s="3" t="s">
        <v>6001</v>
      </c>
    </row>
    <row r="1401">
      <c r="A1401" s="3" t="s">
        <v>7786</v>
      </c>
      <c r="B1401" s="4" t="str">
        <f>C1401 &amp; ": " &amp; D1401</f>
        <v>witness-discriminates: ProcedureExecutions.SignedAgainstUnfitVersion</v>
      </c>
      <c r="C1401" s="3" t="s">
        <v>7549</v>
      </c>
      <c r="D1401" s="3" t="s">
        <v>3462</v>
      </c>
      <c r="E1401" s="3" t="s">
        <v>1824</v>
      </c>
      <c r="F1401" s="3" t="s">
        <v>1284</v>
      </c>
      <c r="G1401" s="3" t="s">
        <v>7550</v>
      </c>
      <c r="H1401" s="3" t="s">
        <v>2003</v>
      </c>
      <c r="I1401" s="3" t="s">
        <v>5990</v>
      </c>
      <c r="J1401" s="3" t="s">
        <v>7551</v>
      </c>
      <c r="K1401" s="4" t="b">
        <f>J1401 = "blocking"</f>
        <v>0</v>
      </c>
      <c r="L1401" s="3" t="s">
        <v>1448</v>
      </c>
      <c r="M1401" s="3" t="s">
        <v>7778</v>
      </c>
      <c r="N1401" s="5">
        <v>46223.1297337963</v>
      </c>
      <c r="O1401" s="4" t="b">
        <f>L1401 = "PASS"</f>
        <v>1</v>
      </c>
      <c r="P1401" s="4" t="b">
        <f>L1401 = "FAIL"</f>
        <v>0</v>
      </c>
      <c r="Q1401" s="4" t="b">
        <f>AND(((P1401)=TRUE), ((K1401)=TRUE))</f>
        <v>0</v>
      </c>
      <c r="R1401" s="4" t="str">
        <f>IF(((O1401)=TRUE),  I1401,  "")</f>
        <v>suite-witness</v>
      </c>
      <c r="S1401" s="4" t="str">
        <f>IF(((Q1401)=TRUE),  I1401,  "")</f>
      </c>
      <c r="T1401" s="3" t="s">
        <v>6001</v>
      </c>
    </row>
    <row r="1402">
      <c r="A1402" s="3" t="s">
        <v>7787</v>
      </c>
      <c r="B1402" s="4" t="str">
        <f>C1402 &amp; ": " &amp; D1402</f>
        <v>witness-discriminates: ProcedureExecutions.AssuranceIsMostlyAsserted</v>
      </c>
      <c r="C1402" s="3" t="s">
        <v>7549</v>
      </c>
      <c r="D1402" s="3" t="s">
        <v>3466</v>
      </c>
      <c r="E1402" s="3" t="s">
        <v>1824</v>
      </c>
      <c r="F1402" s="3" t="s">
        <v>1286</v>
      </c>
      <c r="G1402" s="3" t="s">
        <v>7550</v>
      </c>
      <c r="H1402" s="3" t="s">
        <v>2015</v>
      </c>
      <c r="I1402" s="3" t="s">
        <v>5990</v>
      </c>
      <c r="J1402" s="3" t="s">
        <v>7551</v>
      </c>
      <c r="K1402" s="4" t="b">
        <f>J1402 = "blocking"</f>
        <v>0</v>
      </c>
      <c r="L1402" s="3" t="s">
        <v>1451</v>
      </c>
      <c r="M1402" s="3" t="s">
        <v>7780</v>
      </c>
      <c r="N1402" s="5">
        <v>46223.1297337963</v>
      </c>
      <c r="O1402" s="4" t="b">
        <f>L1402 = "PASS"</f>
        <v>0</v>
      </c>
      <c r="P1402" s="4" t="b">
        <f>L1402 = "FAIL"</f>
        <v>0</v>
      </c>
      <c r="Q1402" s="4" t="b">
        <f>AND(((P1402)=TRUE), ((K1402)=TRUE))</f>
        <v>0</v>
      </c>
      <c r="R1402" s="4" t="str">
        <f>IF(((O1402)=TRUE),  I1402,  "")</f>
      </c>
      <c r="S1402" s="4" t="str">
        <f>IF(((Q1402)=TRUE),  I1402,  "")</f>
      </c>
      <c r="T1402" s="3" t="s">
        <v>6001</v>
      </c>
    </row>
    <row r="1403">
      <c r="A1403" s="3" t="s">
        <v>7788</v>
      </c>
      <c r="B1403" s="4" t="str">
        <f>C1403 &amp; ": " &amp; D1403</f>
        <v>witness-discriminates: ProcedureExecutions.HasClearedLegalReview</v>
      </c>
      <c r="C1403" s="3" t="s">
        <v>7549</v>
      </c>
      <c r="D1403" s="3" t="s">
        <v>3474</v>
      </c>
      <c r="E1403" s="3" t="s">
        <v>1824</v>
      </c>
      <c r="F1403" s="3" t="s">
        <v>1290</v>
      </c>
      <c r="G1403" s="3" t="s">
        <v>7550</v>
      </c>
      <c r="H1403" s="3" t="s">
        <v>2075</v>
      </c>
      <c r="I1403" s="3" t="s">
        <v>5990</v>
      </c>
      <c r="J1403" s="3" t="s">
        <v>7551</v>
      </c>
      <c r="K1403" s="4" t="b">
        <f>J1403 = "blocking"</f>
        <v>0</v>
      </c>
      <c r="L1403" s="3" t="s">
        <v>1448</v>
      </c>
      <c r="M1403" s="3" t="s">
        <v>7778</v>
      </c>
      <c r="N1403" s="5">
        <v>46223.1297337963</v>
      </c>
      <c r="O1403" s="4" t="b">
        <f>L1403 = "PASS"</f>
        <v>1</v>
      </c>
      <c r="P1403" s="4" t="b">
        <f>L1403 = "FAIL"</f>
        <v>0</v>
      </c>
      <c r="Q1403" s="4" t="b">
        <f>AND(((P1403)=TRUE), ((K1403)=TRUE))</f>
        <v>0</v>
      </c>
      <c r="R1403" s="4" t="str">
        <f>IF(((O1403)=TRUE),  I1403,  "")</f>
        <v>suite-witness</v>
      </c>
      <c r="S1403" s="4" t="str">
        <f>IF(((Q1403)=TRUE),  I1403,  "")</f>
      </c>
      <c r="T1403" s="3" t="s">
        <v>6001</v>
      </c>
    </row>
    <row r="1404">
      <c r="A1404" s="3" t="s">
        <v>7789</v>
      </c>
      <c r="B1404" s="4" t="str">
        <f>C1404 &amp; ": " &amp; D1404</f>
        <v>witness-discriminates: ProcedureExecutions.HasAbandonedFailures</v>
      </c>
      <c r="C1404" s="3" t="s">
        <v>7549</v>
      </c>
      <c r="D1404" s="3" t="s">
        <v>3482</v>
      </c>
      <c r="E1404" s="3" t="s">
        <v>1824</v>
      </c>
      <c r="F1404" s="3" t="s">
        <v>1294</v>
      </c>
      <c r="G1404" s="3" t="s">
        <v>7550</v>
      </c>
      <c r="H1404" s="3" t="s">
        <v>2091</v>
      </c>
      <c r="I1404" s="3" t="s">
        <v>5990</v>
      </c>
      <c r="J1404" s="3" t="s">
        <v>7551</v>
      </c>
      <c r="K1404" s="4" t="b">
        <f>J1404 = "blocking"</f>
        <v>0</v>
      </c>
      <c r="L1404" s="3" t="s">
        <v>1451</v>
      </c>
      <c r="M1404" s="3" t="s">
        <v>7784</v>
      </c>
      <c r="N1404" s="5">
        <v>46223.1297337963</v>
      </c>
      <c r="O1404" s="4" t="b">
        <f>L1404 = "PASS"</f>
        <v>0</v>
      </c>
      <c r="P1404" s="4" t="b">
        <f>L1404 = "FAIL"</f>
        <v>0</v>
      </c>
      <c r="Q1404" s="4" t="b">
        <f>AND(((P1404)=TRUE), ((K1404)=TRUE))</f>
        <v>0</v>
      </c>
      <c r="R1404" s="4" t="str">
        <f>IF(((O1404)=TRUE),  I1404,  "")</f>
      </c>
      <c r="S1404" s="4" t="str">
        <f>IF(((Q1404)=TRUE),  I1404,  "")</f>
      </c>
      <c r="T1404" s="3" t="s">
        <v>6001</v>
      </c>
    </row>
    <row r="1405">
      <c r="A1405" s="3" t="s">
        <v>7790</v>
      </c>
      <c r="B1405" s="4" t="str">
        <f>C1405 &amp; ": " &amp; D1405</f>
        <v>witness-discriminates: ProcedureExecutions.RanClean</v>
      </c>
      <c r="C1405" s="3" t="s">
        <v>7549</v>
      </c>
      <c r="D1405" s="3" t="s">
        <v>3488</v>
      </c>
      <c r="E1405" s="3" t="s">
        <v>1824</v>
      </c>
      <c r="F1405" s="3" t="s">
        <v>1297</v>
      </c>
      <c r="G1405" s="3" t="s">
        <v>7550</v>
      </c>
      <c r="H1405" s="3" t="s">
        <v>2127</v>
      </c>
      <c r="I1405" s="3" t="s">
        <v>5990</v>
      </c>
      <c r="J1405" s="3" t="s">
        <v>7551</v>
      </c>
      <c r="K1405" s="4" t="b">
        <f>J1405 = "blocking"</f>
        <v>0</v>
      </c>
      <c r="L1405" s="3" t="s">
        <v>1451</v>
      </c>
      <c r="M1405" s="3" t="s">
        <v>7784</v>
      </c>
      <c r="N1405" s="5">
        <v>46223.1297337963</v>
      </c>
      <c r="O1405" s="4" t="b">
        <f>L1405 = "PASS"</f>
        <v>0</v>
      </c>
      <c r="P1405" s="4" t="b">
        <f>L1405 = "FAIL"</f>
        <v>0</v>
      </c>
      <c r="Q1405" s="4" t="b">
        <f>AND(((P1405)=TRUE), ((K1405)=TRUE))</f>
        <v>0</v>
      </c>
      <c r="R1405" s="4" t="str">
        <f>IF(((O1405)=TRUE),  I1405,  "")</f>
      </c>
      <c r="S1405" s="4" t="str">
        <f>IF(((Q1405)=TRUE),  I1405,  "")</f>
      </c>
      <c r="T1405" s="3" t="s">
        <v>6001</v>
      </c>
    </row>
    <row r="1406">
      <c r="A1406" s="3" t="s">
        <v>7791</v>
      </c>
      <c r="B1406" s="4" t="str">
        <f>C1406 &amp; ": " &amp; D1406</f>
        <v>witness-discriminates: ProcedureExecutions.HasHumanApproval</v>
      </c>
      <c r="C1406" s="3" t="s">
        <v>7549</v>
      </c>
      <c r="D1406" s="3" t="s">
        <v>3492</v>
      </c>
      <c r="E1406" s="3" t="s">
        <v>1824</v>
      </c>
      <c r="F1406" s="3" t="s">
        <v>1299</v>
      </c>
      <c r="G1406" s="3" t="s">
        <v>7550</v>
      </c>
      <c r="H1406" s="3" t="s">
        <v>2151</v>
      </c>
      <c r="I1406" s="3" t="s">
        <v>5990</v>
      </c>
      <c r="J1406" s="3" t="s">
        <v>7551</v>
      </c>
      <c r="K1406" s="4" t="b">
        <f>J1406 = "blocking"</f>
        <v>0</v>
      </c>
      <c r="L1406" s="3" t="s">
        <v>1451</v>
      </c>
      <c r="M1406" s="3" t="s">
        <v>7780</v>
      </c>
      <c r="N1406" s="5">
        <v>46223.1297337963</v>
      </c>
      <c r="O1406" s="4" t="b">
        <f>L1406 = "PASS"</f>
        <v>0</v>
      </c>
      <c r="P1406" s="4" t="b">
        <f>L1406 = "FAIL"</f>
        <v>0</v>
      </c>
      <c r="Q1406" s="4" t="b">
        <f>AND(((P1406)=TRUE), ((K1406)=TRUE))</f>
        <v>0</v>
      </c>
      <c r="R1406" s="4" t="str">
        <f>IF(((O1406)=TRUE),  I1406,  "")</f>
      </c>
      <c r="S1406" s="4" t="str">
        <f>IF(((Q1406)=TRUE),  I1406,  "")</f>
      </c>
      <c r="T1406" s="3" t="s">
        <v>6001</v>
      </c>
    </row>
    <row r="1407">
      <c r="A1407" s="3" t="s">
        <v>7792</v>
      </c>
      <c r="B1407" s="4" t="str">
        <f>C1407 &amp; ": " &amp; D1407</f>
        <v>witness-discriminates: ProcedureExecutions.HasDelivered</v>
      </c>
      <c r="C1407" s="3" t="s">
        <v>7549</v>
      </c>
      <c r="D1407" s="3" t="s">
        <v>3496</v>
      </c>
      <c r="E1407" s="3" t="s">
        <v>1824</v>
      </c>
      <c r="F1407" s="3" t="s">
        <v>1301</v>
      </c>
      <c r="G1407" s="3" t="s">
        <v>7550</v>
      </c>
      <c r="H1407" s="3" t="s">
        <v>2151</v>
      </c>
      <c r="I1407" s="3" t="s">
        <v>5990</v>
      </c>
      <c r="J1407" s="3" t="s">
        <v>7551</v>
      </c>
      <c r="K1407" s="4" t="b">
        <f>J1407 = "blocking"</f>
        <v>0</v>
      </c>
      <c r="L1407" s="3" t="s">
        <v>1451</v>
      </c>
      <c r="M1407" s="3" t="s">
        <v>7784</v>
      </c>
      <c r="N1407" s="5">
        <v>46223.1297337963</v>
      </c>
      <c r="O1407" s="4" t="b">
        <f>L1407 = "PASS"</f>
        <v>0</v>
      </c>
      <c r="P1407" s="4" t="b">
        <f>L1407 = "FAIL"</f>
        <v>0</v>
      </c>
      <c r="Q1407" s="4" t="b">
        <f>AND(((P1407)=TRUE), ((K1407)=TRUE))</f>
        <v>0</v>
      </c>
      <c r="R1407" s="4" t="str">
        <f>IF(((O1407)=TRUE),  I1407,  "")</f>
      </c>
      <c r="S1407" s="4" t="str">
        <f>IF(((Q1407)=TRUE),  I1407,  "")</f>
      </c>
      <c r="T1407" s="3" t="s">
        <v>6001</v>
      </c>
    </row>
    <row r="1408">
      <c r="A1408" s="3" t="s">
        <v>7793</v>
      </c>
      <c r="B1408" s="4" t="str">
        <f>C1408 &amp; ": " &amp; D1408</f>
        <v>witness-discriminates: ProcedureExecutions.DeliveredWithoutApproval</v>
      </c>
      <c r="C1408" s="3" t="s">
        <v>7549</v>
      </c>
      <c r="D1408" s="3" t="s">
        <v>3498</v>
      </c>
      <c r="E1408" s="3" t="s">
        <v>1824</v>
      </c>
      <c r="F1408" s="3" t="s">
        <v>1302</v>
      </c>
      <c r="G1408" s="3" t="s">
        <v>7550</v>
      </c>
      <c r="H1408" s="3" t="s">
        <v>2151</v>
      </c>
      <c r="I1408" s="3" t="s">
        <v>5990</v>
      </c>
      <c r="J1408" s="3" t="s">
        <v>7551</v>
      </c>
      <c r="K1408" s="4" t="b">
        <f>J1408 = "blocking"</f>
        <v>0</v>
      </c>
      <c r="L1408" s="3" t="s">
        <v>1451</v>
      </c>
      <c r="M1408" s="3" t="s">
        <v>7784</v>
      </c>
      <c r="N1408" s="5">
        <v>46223.1297337963</v>
      </c>
      <c r="O1408" s="4" t="b">
        <f>L1408 = "PASS"</f>
        <v>0</v>
      </c>
      <c r="P1408" s="4" t="b">
        <f>L1408 = "FAIL"</f>
        <v>0</v>
      </c>
      <c r="Q1408" s="4" t="b">
        <f>AND(((P1408)=TRUE), ((K1408)=TRUE))</f>
        <v>0</v>
      </c>
      <c r="R1408" s="4" t="str">
        <f>IF(((O1408)=TRUE),  I1408,  "")</f>
      </c>
      <c r="S1408" s="4" t="str">
        <f>IF(((Q1408)=TRUE),  I1408,  "")</f>
      </c>
      <c r="T1408" s="3" t="s">
        <v>6001</v>
      </c>
    </row>
    <row r="1409">
      <c r="A1409" s="3" t="s">
        <v>7794</v>
      </c>
      <c r="B1409" s="4" t="str">
        <f>C1409 &amp; ": " &amp; D1409</f>
        <v>witness-discriminates: ProcedureExecutions.ApprovalChainIsComplete</v>
      </c>
      <c r="C1409" s="3" t="s">
        <v>7549</v>
      </c>
      <c r="D1409" s="3" t="s">
        <v>3502</v>
      </c>
      <c r="E1409" s="3" t="s">
        <v>1824</v>
      </c>
      <c r="F1409" s="3" t="s">
        <v>1304</v>
      </c>
      <c r="G1409" s="3" t="s">
        <v>7550</v>
      </c>
      <c r="H1409" s="3" t="s">
        <v>2195</v>
      </c>
      <c r="I1409" s="3" t="s">
        <v>5990</v>
      </c>
      <c r="J1409" s="3" t="s">
        <v>7551</v>
      </c>
      <c r="K1409" s="4" t="b">
        <f>J1409 = "blocking"</f>
        <v>0</v>
      </c>
      <c r="L1409" s="3" t="s">
        <v>1451</v>
      </c>
      <c r="M1409" s="3" t="s">
        <v>7780</v>
      </c>
      <c r="N1409" s="5">
        <v>46223.1297337963</v>
      </c>
      <c r="O1409" s="4" t="b">
        <f>L1409 = "PASS"</f>
        <v>0</v>
      </c>
      <c r="P1409" s="4" t="b">
        <f>L1409 = "FAIL"</f>
        <v>0</v>
      </c>
      <c r="Q1409" s="4" t="b">
        <f>AND(((P1409)=TRUE), ((K1409)=TRUE))</f>
        <v>0</v>
      </c>
      <c r="R1409" s="4" t="str">
        <f>IF(((O1409)=TRUE),  I1409,  "")</f>
      </c>
      <c r="S1409" s="4" t="str">
        <f>IF(((Q1409)=TRUE),  I1409,  "")</f>
      </c>
      <c r="T1409" s="3" t="s">
        <v>6001</v>
      </c>
    </row>
    <row r="1410">
      <c r="A1410" s="3" t="s">
        <v>7795</v>
      </c>
      <c r="B1410" s="4" t="str">
        <f>C1410 &amp; ": " &amp; D1410</f>
        <v>witness-discriminates: ProcedureExecutions.SeparationWasTestable</v>
      </c>
      <c r="C1410" s="3" t="s">
        <v>7549</v>
      </c>
      <c r="D1410" s="3" t="s">
        <v>3510</v>
      </c>
      <c r="E1410" s="3" t="s">
        <v>1824</v>
      </c>
      <c r="F1410" s="3" t="s">
        <v>1308</v>
      </c>
      <c r="G1410" s="3" t="s">
        <v>7550</v>
      </c>
      <c r="H1410" s="3" t="s">
        <v>2287</v>
      </c>
      <c r="I1410" s="3" t="s">
        <v>5990</v>
      </c>
      <c r="J1410" s="3" t="s">
        <v>7551</v>
      </c>
      <c r="K1410" s="4" t="b">
        <f>J1410 = "blocking"</f>
        <v>0</v>
      </c>
      <c r="L1410" s="3" t="s">
        <v>1448</v>
      </c>
      <c r="M1410" s="3" t="s">
        <v>7778</v>
      </c>
      <c r="N1410" s="5">
        <v>46223.1297337963</v>
      </c>
      <c r="O1410" s="4" t="b">
        <f>L1410 = "PASS"</f>
        <v>1</v>
      </c>
      <c r="P1410" s="4" t="b">
        <f>L1410 = "FAIL"</f>
        <v>0</v>
      </c>
      <c r="Q1410" s="4" t="b">
        <f>AND(((P1410)=TRUE), ((K1410)=TRUE))</f>
        <v>0</v>
      </c>
      <c r="R1410" s="4" t="str">
        <f>IF(((O1410)=TRUE),  I1410,  "")</f>
        <v>suite-witness</v>
      </c>
      <c r="S1410" s="4" t="str">
        <f>IF(((Q1410)=TRUE),  I1410,  "")</f>
      </c>
      <c r="T1410" s="3" t="s">
        <v>6001</v>
      </c>
    </row>
    <row r="1411">
      <c r="A1411" s="3" t="s">
        <v>7796</v>
      </c>
      <c r="B1411" s="4" t="str">
        <f>C1411 &amp; ": " &amp; D1411</f>
        <v>witness-discriminates: ProcedureExecutions.SeparationHeldUnderTest</v>
      </c>
      <c r="C1411" s="3" t="s">
        <v>7549</v>
      </c>
      <c r="D1411" s="3" t="s">
        <v>3512</v>
      </c>
      <c r="E1411" s="3" t="s">
        <v>1824</v>
      </c>
      <c r="F1411" s="3" t="s">
        <v>1309</v>
      </c>
      <c r="G1411" s="3" t="s">
        <v>7550</v>
      </c>
      <c r="H1411" s="3" t="s">
        <v>2287</v>
      </c>
      <c r="I1411" s="3" t="s">
        <v>5990</v>
      </c>
      <c r="J1411" s="3" t="s">
        <v>7551</v>
      </c>
      <c r="K1411" s="4" t="b">
        <f>J1411 = "blocking"</f>
        <v>0</v>
      </c>
      <c r="L1411" s="3" t="s">
        <v>1448</v>
      </c>
      <c r="M1411" s="3" t="s">
        <v>7778</v>
      </c>
      <c r="N1411" s="5">
        <v>46223.1297337963</v>
      </c>
      <c r="O1411" s="4" t="b">
        <f>L1411 = "PASS"</f>
        <v>1</v>
      </c>
      <c r="P1411" s="4" t="b">
        <f>L1411 = "FAIL"</f>
        <v>0</v>
      </c>
      <c r="Q1411" s="4" t="b">
        <f>AND(((P1411)=TRUE), ((K1411)=TRUE))</f>
        <v>0</v>
      </c>
      <c r="R1411" s="4" t="str">
        <f>IF(((O1411)=TRUE),  I1411,  "")</f>
        <v>suite-witness</v>
      </c>
      <c r="S1411" s="4" t="str">
        <f>IF(((Q1411)=TRUE),  I1411,  "")</f>
      </c>
      <c r="T1411" s="3" t="s">
        <v>6001</v>
      </c>
    </row>
    <row r="1412">
      <c r="A1412" s="3" t="s">
        <v>7797</v>
      </c>
      <c r="B1412" s="4" t="str">
        <f>C1412 &amp; ": " &amp; D1412</f>
        <v>witness-discriminates: ProcedureExecutions.SeparationIsVacuouslyGreen</v>
      </c>
      <c r="C1412" s="3" t="s">
        <v>7549</v>
      </c>
      <c r="D1412" s="3" t="s">
        <v>3514</v>
      </c>
      <c r="E1412" s="3" t="s">
        <v>1824</v>
      </c>
      <c r="F1412" s="3" t="s">
        <v>1310</v>
      </c>
      <c r="G1412" s="3" t="s">
        <v>7550</v>
      </c>
      <c r="H1412" s="3" t="s">
        <v>2287</v>
      </c>
      <c r="I1412" s="3" t="s">
        <v>5990</v>
      </c>
      <c r="J1412" s="3" t="s">
        <v>7551</v>
      </c>
      <c r="K1412" s="4" t="b">
        <f>J1412 = "blocking"</f>
        <v>0</v>
      </c>
      <c r="L1412" s="3" t="s">
        <v>1448</v>
      </c>
      <c r="M1412" s="3" t="s">
        <v>7778</v>
      </c>
      <c r="N1412" s="5">
        <v>46223.1297337963</v>
      </c>
      <c r="O1412" s="4" t="b">
        <f>L1412 = "PASS"</f>
        <v>1</v>
      </c>
      <c r="P1412" s="4" t="b">
        <f>L1412 = "FAIL"</f>
        <v>0</v>
      </c>
      <c r="Q1412" s="4" t="b">
        <f>AND(((P1412)=TRUE), ((K1412)=TRUE))</f>
        <v>0</v>
      </c>
      <c r="R1412" s="4" t="str">
        <f>IF(((O1412)=TRUE),  I1412,  "")</f>
        <v>suite-witness</v>
      </c>
      <c r="S1412" s="4" t="str">
        <f>IF(((Q1412)=TRUE),  I1412,  "")</f>
      </c>
      <c r="T1412" s="3" t="s">
        <v>6001</v>
      </c>
    </row>
    <row r="1413">
      <c r="A1413" s="3" t="s">
        <v>7798</v>
      </c>
      <c r="B1413" s="4" t="str">
        <f>C1413 &amp; ": " &amp; D1413</f>
        <v>witness-discriminates: ProcedureExecutions.DivergenceWasFullyGoverned</v>
      </c>
      <c r="C1413" s="3" t="s">
        <v>7549</v>
      </c>
      <c r="D1413" s="3" t="s">
        <v>3520</v>
      </c>
      <c r="E1413" s="3" t="s">
        <v>1824</v>
      </c>
      <c r="F1413" s="3" t="s">
        <v>1313</v>
      </c>
      <c r="G1413" s="3" t="s">
        <v>7550</v>
      </c>
      <c r="H1413" s="3" t="s">
        <v>2295</v>
      </c>
      <c r="I1413" s="3" t="s">
        <v>5990</v>
      </c>
      <c r="J1413" s="3" t="s">
        <v>7551</v>
      </c>
      <c r="K1413" s="4" t="b">
        <f>J1413 = "blocking"</f>
        <v>0</v>
      </c>
      <c r="L1413" s="3" t="s">
        <v>1448</v>
      </c>
      <c r="M1413" s="3" t="s">
        <v>7778</v>
      </c>
      <c r="N1413" s="5">
        <v>46223.1297337963</v>
      </c>
      <c r="O1413" s="4" t="b">
        <f>L1413 = "PASS"</f>
        <v>1</v>
      </c>
      <c r="P1413" s="4" t="b">
        <f>L1413 = "FAIL"</f>
        <v>0</v>
      </c>
      <c r="Q1413" s="4" t="b">
        <f>AND(((P1413)=TRUE), ((K1413)=TRUE))</f>
        <v>0</v>
      </c>
      <c r="R1413" s="4" t="str">
        <f>IF(((O1413)=TRUE),  I1413,  "")</f>
        <v>suite-witness</v>
      </c>
      <c r="S1413" s="4" t="str">
        <f>IF(((Q1413)=TRUE),  I1413,  "")</f>
      </c>
      <c r="T1413" s="3" t="s">
        <v>6001</v>
      </c>
    </row>
    <row r="1414">
      <c r="A1414" s="3" t="s">
        <v>7799</v>
      </c>
      <c r="B1414" s="4" t="str">
        <f>C1414 &amp; ": " &amp; D1414</f>
        <v>witness-discriminates: ProcedureExecutions.AttestationWouldBeWeaklyBased</v>
      </c>
      <c r="C1414" s="3" t="s">
        <v>7549</v>
      </c>
      <c r="D1414" s="3" t="s">
        <v>3532</v>
      </c>
      <c r="E1414" s="3" t="s">
        <v>1824</v>
      </c>
      <c r="F1414" s="3" t="s">
        <v>1319</v>
      </c>
      <c r="G1414" s="3" t="s">
        <v>7550</v>
      </c>
      <c r="H1414" s="3" t="s">
        <v>2299</v>
      </c>
      <c r="I1414" s="3" t="s">
        <v>5990</v>
      </c>
      <c r="J1414" s="3" t="s">
        <v>7551</v>
      </c>
      <c r="K1414" s="4" t="b">
        <f>J1414 = "blocking"</f>
        <v>0</v>
      </c>
      <c r="L1414" s="3" t="s">
        <v>1451</v>
      </c>
      <c r="M1414" s="3" t="s">
        <v>7784</v>
      </c>
      <c r="N1414" s="5">
        <v>46223.1297337963</v>
      </c>
      <c r="O1414" s="4" t="b">
        <f>L1414 = "PASS"</f>
        <v>0</v>
      </c>
      <c r="P1414" s="4" t="b">
        <f>L1414 = "FAIL"</f>
        <v>0</v>
      </c>
      <c r="Q1414" s="4" t="b">
        <f>AND(((P1414)=TRUE), ((K1414)=TRUE))</f>
        <v>0</v>
      </c>
      <c r="R1414" s="4" t="str">
        <f>IF(((O1414)=TRUE),  I1414,  "")</f>
      </c>
      <c r="S1414" s="4" t="str">
        <f>IF(((Q1414)=TRUE),  I1414,  "")</f>
      </c>
      <c r="T1414" s="3" t="s">
        <v>6001</v>
      </c>
    </row>
    <row r="1415">
      <c r="A1415" s="3" t="s">
        <v>7800</v>
      </c>
      <c r="B1415" s="4" t="str">
        <f>C1415 &amp; ": " &amp; D1415</f>
        <v>witness-discriminates: ProcedureExecutions.HasAnyIndependentObservation</v>
      </c>
      <c r="C1415" s="3" t="s">
        <v>7549</v>
      </c>
      <c r="D1415" s="3" t="s">
        <v>3536</v>
      </c>
      <c r="E1415" s="3" t="s">
        <v>1824</v>
      </c>
      <c r="F1415" s="3" t="s">
        <v>1321</v>
      </c>
      <c r="G1415" s="3" t="s">
        <v>7550</v>
      </c>
      <c r="H1415" s="3" t="s">
        <v>2307</v>
      </c>
      <c r="I1415" s="3" t="s">
        <v>5990</v>
      </c>
      <c r="J1415" s="3" t="s">
        <v>7551</v>
      </c>
      <c r="K1415" s="4" t="b">
        <f>J1415 = "blocking"</f>
        <v>0</v>
      </c>
      <c r="L1415" s="3" t="s">
        <v>1448</v>
      </c>
      <c r="M1415" s="3" t="s">
        <v>7778</v>
      </c>
      <c r="N1415" s="5">
        <v>46223.1297337963</v>
      </c>
      <c r="O1415" s="4" t="b">
        <f>L1415 = "PASS"</f>
        <v>1</v>
      </c>
      <c r="P1415" s="4" t="b">
        <f>L1415 = "FAIL"</f>
        <v>0</v>
      </c>
      <c r="Q1415" s="4" t="b">
        <f>AND(((P1415)=TRUE), ((K1415)=TRUE))</f>
        <v>0</v>
      </c>
      <c r="R1415" s="4" t="str">
        <f>IF(((O1415)=TRUE),  I1415,  "")</f>
        <v>suite-witness</v>
      </c>
      <c r="S1415" s="4" t="str">
        <f>IF(((Q1415)=TRUE),  I1415,  "")</f>
      </c>
      <c r="T1415" s="3" t="s">
        <v>6001</v>
      </c>
    </row>
    <row r="1416">
      <c r="A1416" s="3" t="s">
        <v>7801</v>
      </c>
      <c r="B1416" s="4" t="str">
        <f>C1416 &amp; ": " &amp; D1416</f>
        <v>witness-discriminates: ProcedureExecutions.AssuranceChainIsCircular</v>
      </c>
      <c r="C1416" s="3" t="s">
        <v>7549</v>
      </c>
      <c r="D1416" s="3" t="s">
        <v>3540</v>
      </c>
      <c r="E1416" s="3" t="s">
        <v>1824</v>
      </c>
      <c r="F1416" s="3" t="s">
        <v>1323</v>
      </c>
      <c r="G1416" s="3" t="s">
        <v>7550</v>
      </c>
      <c r="H1416" s="3" t="s">
        <v>2307</v>
      </c>
      <c r="I1416" s="3" t="s">
        <v>5990</v>
      </c>
      <c r="J1416" s="3" t="s">
        <v>7551</v>
      </c>
      <c r="K1416" s="4" t="b">
        <f>J1416 = "blocking"</f>
        <v>0</v>
      </c>
      <c r="L1416" s="3" t="s">
        <v>1451</v>
      </c>
      <c r="M1416" s="3" t="s">
        <v>7784</v>
      </c>
      <c r="N1416" s="5">
        <v>46223.1297337963</v>
      </c>
      <c r="O1416" s="4" t="b">
        <f>L1416 = "PASS"</f>
        <v>0</v>
      </c>
      <c r="P1416" s="4" t="b">
        <f>L1416 = "FAIL"</f>
        <v>0</v>
      </c>
      <c r="Q1416" s="4" t="b">
        <f>AND(((P1416)=TRUE), ((K1416)=TRUE))</f>
        <v>0</v>
      </c>
      <c r="R1416" s="4" t="str">
        <f>IF(((O1416)=TRUE),  I1416,  "")</f>
      </c>
      <c r="S1416" s="4" t="str">
        <f>IF(((Q1416)=TRUE),  I1416,  "")</f>
      </c>
      <c r="T1416" s="3" t="s">
        <v>6001</v>
      </c>
    </row>
    <row r="1417">
      <c r="A1417" s="3" t="s">
        <v>7802</v>
      </c>
      <c r="B1417" s="4" t="str">
        <f>C1417 &amp; ": " &amp; D1417</f>
        <v>witness-discriminates: ProcedureExecutions.HasBeenAttested</v>
      </c>
      <c r="C1417" s="3" t="s">
        <v>7549</v>
      </c>
      <c r="D1417" s="3" t="s">
        <v>3544</v>
      </c>
      <c r="E1417" s="3" t="s">
        <v>1824</v>
      </c>
      <c r="F1417" s="3" t="s">
        <v>1325</v>
      </c>
      <c r="G1417" s="3" t="s">
        <v>7550</v>
      </c>
      <c r="H1417" s="3" t="s">
        <v>2315</v>
      </c>
      <c r="I1417" s="3" t="s">
        <v>5990</v>
      </c>
      <c r="J1417" s="3" t="s">
        <v>7551</v>
      </c>
      <c r="K1417" s="4" t="b">
        <f>J1417 = "blocking"</f>
        <v>0</v>
      </c>
      <c r="L1417" s="3" t="s">
        <v>1451</v>
      </c>
      <c r="M1417" s="3" t="s">
        <v>7784</v>
      </c>
      <c r="N1417" s="5">
        <v>46223.1297337963</v>
      </c>
      <c r="O1417" s="4" t="b">
        <f>L1417 = "PASS"</f>
        <v>0</v>
      </c>
      <c r="P1417" s="4" t="b">
        <f>L1417 = "FAIL"</f>
        <v>0</v>
      </c>
      <c r="Q1417" s="4" t="b">
        <f>AND(((P1417)=TRUE), ((K1417)=TRUE))</f>
        <v>0</v>
      </c>
      <c r="R1417" s="4" t="str">
        <f>IF(((O1417)=TRUE),  I1417,  "")</f>
      </c>
      <c r="S1417" s="4" t="str">
        <f>IF(((Q1417)=TRUE),  I1417,  "")</f>
      </c>
      <c r="T1417" s="3" t="s">
        <v>6001</v>
      </c>
    </row>
    <row r="1418">
      <c r="A1418" s="3" t="s">
        <v>7803</v>
      </c>
      <c r="B1418" s="4" t="str">
        <f>C1418 &amp; ": " &amp; D1418</f>
        <v>witness-discriminates: ProcedureExecutions.BasisChangedAfterSignature</v>
      </c>
      <c r="C1418" s="3" t="s">
        <v>7549</v>
      </c>
      <c r="D1418" s="3" t="s">
        <v>3550</v>
      </c>
      <c r="E1418" s="3" t="s">
        <v>1824</v>
      </c>
      <c r="F1418" s="3" t="s">
        <v>1328</v>
      </c>
      <c r="G1418" s="3" t="s">
        <v>7550</v>
      </c>
      <c r="H1418" s="3" t="s">
        <v>2315</v>
      </c>
      <c r="I1418" s="3" t="s">
        <v>5990</v>
      </c>
      <c r="J1418" s="3" t="s">
        <v>7551</v>
      </c>
      <c r="K1418" s="4" t="b">
        <f>J1418 = "blocking"</f>
        <v>0</v>
      </c>
      <c r="L1418" s="3" t="s">
        <v>1451</v>
      </c>
      <c r="M1418" s="3" t="s">
        <v>7784</v>
      </c>
      <c r="N1418" s="5">
        <v>46223.1297337963</v>
      </c>
      <c r="O1418" s="4" t="b">
        <f>L1418 = "PASS"</f>
        <v>0</v>
      </c>
      <c r="P1418" s="4" t="b">
        <f>L1418 = "FAIL"</f>
        <v>0</v>
      </c>
      <c r="Q1418" s="4" t="b">
        <f>AND(((P1418)=TRUE), ((K1418)=TRUE))</f>
        <v>0</v>
      </c>
      <c r="R1418" s="4" t="str">
        <f>IF(((O1418)=TRUE),  I1418,  "")</f>
      </c>
      <c r="S1418" s="4" t="str">
        <f>IF(((Q1418)=TRUE),  I1418,  "")</f>
      </c>
      <c r="T1418" s="3" t="s">
        <v>6001</v>
      </c>
    </row>
    <row r="1419">
      <c r="A1419" s="3" t="s">
        <v>7804</v>
      </c>
      <c r="B1419" s="4" t="str">
        <f>C1419 &amp; ": " &amp; D1419</f>
        <v>witness-discriminates: ProcedureExecutions.RequiresReAttestation</v>
      </c>
      <c r="C1419" s="3" t="s">
        <v>7549</v>
      </c>
      <c r="D1419" s="3" t="s">
        <v>3552</v>
      </c>
      <c r="E1419" s="3" t="s">
        <v>1824</v>
      </c>
      <c r="F1419" s="3" t="s">
        <v>1329</v>
      </c>
      <c r="G1419" s="3" t="s">
        <v>7550</v>
      </c>
      <c r="H1419" s="3" t="s">
        <v>2315</v>
      </c>
      <c r="I1419" s="3" t="s">
        <v>5990</v>
      </c>
      <c r="J1419" s="3" t="s">
        <v>7551</v>
      </c>
      <c r="K1419" s="4" t="b">
        <f>J1419 = "blocking"</f>
        <v>0</v>
      </c>
      <c r="L1419" s="3" t="s">
        <v>1451</v>
      </c>
      <c r="M1419" s="3" t="s">
        <v>7784</v>
      </c>
      <c r="N1419" s="5">
        <v>46223.1297337963</v>
      </c>
      <c r="O1419" s="4" t="b">
        <f>L1419 = "PASS"</f>
        <v>0</v>
      </c>
      <c r="P1419" s="4" t="b">
        <f>L1419 = "FAIL"</f>
        <v>0</v>
      </c>
      <c r="Q1419" s="4" t="b">
        <f>AND(((P1419)=TRUE), ((K1419)=TRUE))</f>
        <v>0</v>
      </c>
      <c r="R1419" s="4" t="str">
        <f>IF(((O1419)=TRUE),  I1419,  "")</f>
      </c>
      <c r="S1419" s="4" t="str">
        <f>IF(((Q1419)=TRUE),  I1419,  "")</f>
      </c>
      <c r="T1419" s="3" t="s">
        <v>6001</v>
      </c>
    </row>
    <row r="1420">
      <c r="A1420" s="3" t="s">
        <v>7805</v>
      </c>
      <c r="B1420" s="4" t="str">
        <f>C1420 &amp; ": " &amp; D1420</f>
        <v>witness-discriminates: ProcedureExecutions.CampaignSilentlyLostAudience</v>
      </c>
      <c r="C1420" s="3" t="s">
        <v>7549</v>
      </c>
      <c r="D1420" s="3" t="s">
        <v>3562</v>
      </c>
      <c r="E1420" s="3" t="s">
        <v>1824</v>
      </c>
      <c r="F1420" s="3" t="s">
        <v>1334</v>
      </c>
      <c r="G1420" s="3" t="s">
        <v>7550</v>
      </c>
      <c r="H1420" s="3" t="s">
        <v>2319</v>
      </c>
      <c r="I1420" s="3" t="s">
        <v>5990</v>
      </c>
      <c r="J1420" s="3" t="s">
        <v>7551</v>
      </c>
      <c r="K1420" s="4" t="b">
        <f>J1420 = "blocking"</f>
        <v>0</v>
      </c>
      <c r="L1420" s="3" t="s">
        <v>1448</v>
      </c>
      <c r="M1420" s="3" t="s">
        <v>7778</v>
      </c>
      <c r="N1420" s="5">
        <v>46223.1297337963</v>
      </c>
      <c r="O1420" s="4" t="b">
        <f>L1420 = "PASS"</f>
        <v>1</v>
      </c>
      <c r="P1420" s="4" t="b">
        <f>L1420 = "FAIL"</f>
        <v>0</v>
      </c>
      <c r="Q1420" s="4" t="b">
        <f>AND(((P1420)=TRUE), ((K1420)=TRUE))</f>
        <v>0</v>
      </c>
      <c r="R1420" s="4" t="str">
        <f>IF(((O1420)=TRUE),  I1420,  "")</f>
        <v>suite-witness</v>
      </c>
      <c r="S1420" s="4" t="str">
        <f>IF(((Q1420)=TRUE),  I1420,  "")</f>
      </c>
      <c r="T1420" s="3" t="s">
        <v>6001</v>
      </c>
    </row>
    <row r="1421">
      <c r="A1421" s="3" t="s">
        <v>7806</v>
      </c>
      <c r="B1421" s="4" t="str">
        <f>C1421 &amp; ": " &amp; D1421</f>
        <v>witness-discriminates: ProcedureExecutions.HasUnrecordedRefusals</v>
      </c>
      <c r="C1421" s="3" t="s">
        <v>7549</v>
      </c>
      <c r="D1421" s="3" t="s">
        <v>3566</v>
      </c>
      <c r="E1421" s="3" t="s">
        <v>1824</v>
      </c>
      <c r="F1421" s="3" t="s">
        <v>1336</v>
      </c>
      <c r="G1421" s="3" t="s">
        <v>7550</v>
      </c>
      <c r="H1421" s="3" t="s">
        <v>2359</v>
      </c>
      <c r="I1421" s="3" t="s">
        <v>5990</v>
      </c>
      <c r="J1421" s="3" t="s">
        <v>7551</v>
      </c>
      <c r="K1421" s="4" t="b">
        <f>J1421 = "blocking"</f>
        <v>0</v>
      </c>
      <c r="L1421" s="3" t="s">
        <v>1448</v>
      </c>
      <c r="M1421" s="3" t="s">
        <v>7778</v>
      </c>
      <c r="N1421" s="5">
        <v>46223.1297337963</v>
      </c>
      <c r="O1421" s="4" t="b">
        <f>L1421 = "PASS"</f>
        <v>1</v>
      </c>
      <c r="P1421" s="4" t="b">
        <f>L1421 = "FAIL"</f>
        <v>0</v>
      </c>
      <c r="Q1421" s="4" t="b">
        <f>AND(((P1421)=TRUE), ((K1421)=TRUE))</f>
        <v>0</v>
      </c>
      <c r="R1421" s="4" t="str">
        <f>IF(((O1421)=TRUE),  I1421,  "")</f>
        <v>suite-witness</v>
      </c>
      <c r="S1421" s="4" t="str">
        <f>IF(((Q1421)=TRUE),  I1421,  "")</f>
      </c>
      <c r="T1421" s="3" t="s">
        <v>6001</v>
      </c>
    </row>
    <row r="1422">
      <c r="A1422" s="3" t="s">
        <v>7807</v>
      </c>
      <c r="B1422" s="4" t="str">
        <f>C1422 &amp; ": " &amp; D1422</f>
        <v>witness-discriminates: ProcedureExecutions.SendDecisionsAreEntirelySelfWitnessed</v>
      </c>
      <c r="C1422" s="3" t="s">
        <v>7549</v>
      </c>
      <c r="D1422" s="3" t="s">
        <v>3570</v>
      </c>
      <c r="E1422" s="3" t="s">
        <v>1824</v>
      </c>
      <c r="F1422" s="3" t="s">
        <v>1338</v>
      </c>
      <c r="G1422" s="3" t="s">
        <v>7550</v>
      </c>
      <c r="H1422" s="3" t="s">
        <v>2371</v>
      </c>
      <c r="I1422" s="3" t="s">
        <v>5990</v>
      </c>
      <c r="J1422" s="3" t="s">
        <v>7551</v>
      </c>
      <c r="K1422" s="4" t="b">
        <f>J1422 = "blocking"</f>
        <v>0</v>
      </c>
      <c r="L1422" s="3" t="s">
        <v>1451</v>
      </c>
      <c r="M1422" s="3" t="s">
        <v>7784</v>
      </c>
      <c r="N1422" s="5">
        <v>46223.1297337963</v>
      </c>
      <c r="O1422" s="4" t="b">
        <f>L1422 = "PASS"</f>
        <v>0</v>
      </c>
      <c r="P1422" s="4" t="b">
        <f>L1422 = "FAIL"</f>
        <v>0</v>
      </c>
      <c r="Q1422" s="4" t="b">
        <f>AND(((P1422)=TRUE), ((K1422)=TRUE))</f>
        <v>0</v>
      </c>
      <c r="R1422" s="4" t="str">
        <f>IF(((O1422)=TRUE),  I1422,  "")</f>
      </c>
      <c r="S1422" s="4" t="str">
        <f>IF(((Q1422)=TRUE),  I1422,  "")</f>
      </c>
      <c r="T1422" s="3" t="s">
        <v>6001</v>
      </c>
    </row>
    <row r="1423">
      <c r="A1423" s="3" t="s">
        <v>7808</v>
      </c>
      <c r="B1423" s="4" t="str">
        <f>C1423 &amp; ": " &amp; D1423</f>
        <v>witness-discriminates: StepExecutions.IsLate</v>
      </c>
      <c r="C1423" s="3" t="s">
        <v>7549</v>
      </c>
      <c r="D1423" s="3" t="s">
        <v>3588</v>
      </c>
      <c r="E1423" s="3" t="s">
        <v>1827</v>
      </c>
      <c r="F1423" s="3" t="s">
        <v>1353</v>
      </c>
      <c r="G1423" s="3" t="s">
        <v>7550</v>
      </c>
      <c r="H1423" s="3"/>
      <c r="I1423" s="3" t="s">
        <v>5990</v>
      </c>
      <c r="J1423" s="3" t="s">
        <v>7551</v>
      </c>
      <c r="K1423" s="4" t="b">
        <f>J1423 = "blocking"</f>
        <v>0</v>
      </c>
      <c r="L1423" s="3" t="s">
        <v>1448</v>
      </c>
      <c r="M1423" s="3" t="s">
        <v>7809</v>
      </c>
      <c r="N1423" s="5">
        <v>46223.1297337963</v>
      </c>
      <c r="O1423" s="4" t="b">
        <f>L1423 = "PASS"</f>
        <v>1</v>
      </c>
      <c r="P1423" s="4" t="b">
        <f>L1423 = "FAIL"</f>
        <v>0</v>
      </c>
      <c r="Q1423" s="4" t="b">
        <f>AND(((P1423)=TRUE), ((K1423)=TRUE))</f>
        <v>0</v>
      </c>
      <c r="R1423" s="4" t="str">
        <f>IF(((O1423)=TRUE),  I1423,  "")</f>
        <v>suite-witness</v>
      </c>
      <c r="S1423" s="4" t="str">
        <f>IF(((Q1423)=TRUE),  I1423,  "")</f>
      </c>
      <c r="T1423" s="3" t="s">
        <v>6001</v>
      </c>
    </row>
    <row r="1424">
      <c r="A1424" s="3" t="s">
        <v>7810</v>
      </c>
      <c r="B1424" s="4" t="str">
        <f>C1424 &amp; ": " &amp; D1424</f>
        <v>witness-discriminates: StepExecutions.ProceededPastBlockingControl</v>
      </c>
      <c r="C1424" s="3" t="s">
        <v>7549</v>
      </c>
      <c r="D1424" s="3" t="s">
        <v>3594</v>
      </c>
      <c r="E1424" s="3" t="s">
        <v>1827</v>
      </c>
      <c r="F1424" s="3" t="s">
        <v>1356</v>
      </c>
      <c r="G1424" s="3" t="s">
        <v>7550</v>
      </c>
      <c r="H1424" s="3" t="s">
        <v>1958</v>
      </c>
      <c r="I1424" s="3" t="s">
        <v>5990</v>
      </c>
      <c r="J1424" s="3" t="s">
        <v>7551</v>
      </c>
      <c r="K1424" s="4" t="b">
        <f>J1424 = "blocking"</f>
        <v>0</v>
      </c>
      <c r="L1424" s="3" t="s">
        <v>1448</v>
      </c>
      <c r="M1424" s="3" t="s">
        <v>7563</v>
      </c>
      <c r="N1424" s="5">
        <v>46223.1297337963</v>
      </c>
      <c r="O1424" s="4" t="b">
        <f>L1424 = "PASS"</f>
        <v>1</v>
      </c>
      <c r="P1424" s="4" t="b">
        <f>L1424 = "FAIL"</f>
        <v>0</v>
      </c>
      <c r="Q1424" s="4" t="b">
        <f>AND(((P1424)=TRUE), ((K1424)=TRUE))</f>
        <v>0</v>
      </c>
      <c r="R1424" s="4" t="str">
        <f>IF(((O1424)=TRUE),  I1424,  "")</f>
        <v>suite-witness</v>
      </c>
      <c r="S1424" s="4" t="str">
        <f>IF(((Q1424)=TRUE),  I1424,  "")</f>
      </c>
      <c r="T1424" s="3" t="s">
        <v>6001</v>
      </c>
    </row>
    <row r="1425">
      <c r="A1425" s="3" t="s">
        <v>7811</v>
      </c>
      <c r="B1425" s="4" t="str">
        <f>C1425 &amp; ": " &amp; D1425</f>
        <v>witness-discriminates: StepExecutions.HasUnevaluatedBlockingControl</v>
      </c>
      <c r="C1425" s="3" t="s">
        <v>7549</v>
      </c>
      <c r="D1425" s="3" t="s">
        <v>3602</v>
      </c>
      <c r="E1425" s="3" t="s">
        <v>1827</v>
      </c>
      <c r="F1425" s="3" t="s">
        <v>1360</v>
      </c>
      <c r="G1425" s="3" t="s">
        <v>7550</v>
      </c>
      <c r="H1425" s="3" t="s">
        <v>1963</v>
      </c>
      <c r="I1425" s="3" t="s">
        <v>5990</v>
      </c>
      <c r="J1425" s="3" t="s">
        <v>7551</v>
      </c>
      <c r="K1425" s="4" t="b">
        <f>J1425 = "blocking"</f>
        <v>0</v>
      </c>
      <c r="L1425" s="3" t="s">
        <v>1451</v>
      </c>
      <c r="M1425" s="3" t="s">
        <v>7558</v>
      </c>
      <c r="N1425" s="5">
        <v>46223.1297337963</v>
      </c>
      <c r="O1425" s="4" t="b">
        <f>L1425 = "PASS"</f>
        <v>0</v>
      </c>
      <c r="P1425" s="4" t="b">
        <f>L1425 = "FAIL"</f>
        <v>0</v>
      </c>
      <c r="Q1425" s="4" t="b">
        <f>AND(((P1425)=TRUE), ((K1425)=TRUE))</f>
        <v>0</v>
      </c>
      <c r="R1425" s="4" t="str">
        <f>IF(((O1425)=TRUE),  I1425,  "")</f>
      </c>
      <c r="S1425" s="4" t="str">
        <f>IF(((Q1425)=TRUE),  I1425,  "")</f>
      </c>
      <c r="T1425" s="3" t="s">
        <v>6001</v>
      </c>
    </row>
    <row r="1426">
      <c r="A1426" s="3" t="s">
        <v>7812</v>
      </c>
      <c r="B1426" s="4" t="str">
        <f>C1426 &amp; ": " &amp; D1426</f>
        <v>witness-discriminates: StepExecutions.RanOnStaleAuthoritativeSource</v>
      </c>
      <c r="C1426" s="3" t="s">
        <v>7549</v>
      </c>
      <c r="D1426" s="3" t="s">
        <v>3606</v>
      </c>
      <c r="E1426" s="3" t="s">
        <v>1827</v>
      </c>
      <c r="F1426" s="3" t="s">
        <v>1362</v>
      </c>
      <c r="G1426" s="3" t="s">
        <v>7550</v>
      </c>
      <c r="H1426" s="3" t="s">
        <v>1967</v>
      </c>
      <c r="I1426" s="3" t="s">
        <v>5990</v>
      </c>
      <c r="J1426" s="3" t="s">
        <v>7551</v>
      </c>
      <c r="K1426" s="4" t="b">
        <f>J1426 = "blocking"</f>
        <v>0</v>
      </c>
      <c r="L1426" s="3" t="s">
        <v>1448</v>
      </c>
      <c r="M1426" s="3" t="s">
        <v>7813</v>
      </c>
      <c r="N1426" s="5">
        <v>46223.1297337963</v>
      </c>
      <c r="O1426" s="4" t="b">
        <f>L1426 = "PASS"</f>
        <v>1</v>
      </c>
      <c r="P1426" s="4" t="b">
        <f>L1426 = "FAIL"</f>
        <v>0</v>
      </c>
      <c r="Q1426" s="4" t="b">
        <f>AND(((P1426)=TRUE), ((K1426)=TRUE))</f>
        <v>0</v>
      </c>
      <c r="R1426" s="4" t="str">
        <f>IF(((O1426)=TRUE),  I1426,  "")</f>
        <v>suite-witness</v>
      </c>
      <c r="S1426" s="4" t="str">
        <f>IF(((Q1426)=TRUE),  I1426,  "")</f>
      </c>
      <c r="T1426" s="3" t="s">
        <v>6001</v>
      </c>
    </row>
    <row r="1427">
      <c r="A1427" s="3" t="s">
        <v>7814</v>
      </c>
      <c r="B1427" s="4" t="str">
        <f>C1427 &amp; ": " &amp; D1427</f>
        <v>witness-discriminates: StepExecutions.HasDeviationNote</v>
      </c>
      <c r="C1427" s="3" t="s">
        <v>7549</v>
      </c>
      <c r="D1427" s="3" t="s">
        <v>3608</v>
      </c>
      <c r="E1427" s="3" t="s">
        <v>1827</v>
      </c>
      <c r="F1427" s="3" t="s">
        <v>1363</v>
      </c>
      <c r="G1427" s="3" t="s">
        <v>7550</v>
      </c>
      <c r="H1427" s="3" t="s">
        <v>1971</v>
      </c>
      <c r="I1427" s="3" t="s">
        <v>5990</v>
      </c>
      <c r="J1427" s="3" t="s">
        <v>7551</v>
      </c>
      <c r="K1427" s="4" t="b">
        <f>J1427 = "blocking"</f>
        <v>0</v>
      </c>
      <c r="L1427" s="3" t="s">
        <v>1448</v>
      </c>
      <c r="M1427" s="3" t="s">
        <v>7560</v>
      </c>
      <c r="N1427" s="5">
        <v>46223.1297337963</v>
      </c>
      <c r="O1427" s="4" t="b">
        <f>L1427 = "PASS"</f>
        <v>1</v>
      </c>
      <c r="P1427" s="4" t="b">
        <f>L1427 = "FAIL"</f>
        <v>0</v>
      </c>
      <c r="Q1427" s="4" t="b">
        <f>AND(((P1427)=TRUE), ((K1427)=TRUE))</f>
        <v>0</v>
      </c>
      <c r="R1427" s="4" t="str">
        <f>IF(((O1427)=TRUE),  I1427,  "")</f>
        <v>suite-witness</v>
      </c>
      <c r="S1427" s="4" t="str">
        <f>IF(((Q1427)=TRUE),  I1427,  "")</f>
      </c>
      <c r="T1427" s="3" t="s">
        <v>6001</v>
      </c>
    </row>
    <row r="1428">
      <c r="A1428" s="3" t="s">
        <v>7815</v>
      </c>
      <c r="B1428" s="4" t="str">
        <f>C1428 &amp; ": " &amp; D1428</f>
        <v>witness-discriminates: StepExecutions.IsLateAndUnexplained</v>
      </c>
      <c r="C1428" s="3" t="s">
        <v>7549</v>
      </c>
      <c r="D1428" s="3" t="s">
        <v>3610</v>
      </c>
      <c r="E1428" s="3" t="s">
        <v>1827</v>
      </c>
      <c r="F1428" s="3" t="s">
        <v>1364</v>
      </c>
      <c r="G1428" s="3" t="s">
        <v>7550</v>
      </c>
      <c r="H1428" s="3" t="s">
        <v>1971</v>
      </c>
      <c r="I1428" s="3" t="s">
        <v>5990</v>
      </c>
      <c r="J1428" s="3" t="s">
        <v>7551</v>
      </c>
      <c r="K1428" s="4" t="b">
        <f>J1428 = "blocking"</f>
        <v>0</v>
      </c>
      <c r="L1428" s="3" t="s">
        <v>1448</v>
      </c>
      <c r="M1428" s="3" t="s">
        <v>7567</v>
      </c>
      <c r="N1428" s="5">
        <v>46223.1297337963</v>
      </c>
      <c r="O1428" s="4" t="b">
        <f>L1428 = "PASS"</f>
        <v>1</v>
      </c>
      <c r="P1428" s="4" t="b">
        <f>L1428 = "FAIL"</f>
        <v>0</v>
      </c>
      <c r="Q1428" s="4" t="b">
        <f>AND(((P1428)=TRUE), ((K1428)=TRUE))</f>
        <v>0</v>
      </c>
      <c r="R1428" s="4" t="str">
        <f>IF(((O1428)=TRUE),  I1428,  "")</f>
        <v>suite-witness</v>
      </c>
      <c r="S1428" s="4" t="str">
        <f>IF(((Q1428)=TRUE),  I1428,  "")</f>
      </c>
      <c r="T1428" s="3" t="s">
        <v>6001</v>
      </c>
    </row>
    <row r="1429">
      <c r="A1429" s="3" t="s">
        <v>7816</v>
      </c>
      <c r="B1429" s="4" t="str">
        <f>C1429 &amp; ": " &amp; D1429</f>
        <v>witness-discriminates: StepExecutions.HadUninvokedExceptionAvailable</v>
      </c>
      <c r="C1429" s="3" t="s">
        <v>7549</v>
      </c>
      <c r="D1429" s="3" t="s">
        <v>3614</v>
      </c>
      <c r="E1429" s="3" t="s">
        <v>1827</v>
      </c>
      <c r="F1429" s="3" t="s">
        <v>1366</v>
      </c>
      <c r="G1429" s="3" t="s">
        <v>7550</v>
      </c>
      <c r="H1429" s="3" t="s">
        <v>1971</v>
      </c>
      <c r="I1429" s="3" t="s">
        <v>5990</v>
      </c>
      <c r="J1429" s="3" t="s">
        <v>7551</v>
      </c>
      <c r="K1429" s="4" t="b">
        <f>J1429 = "blocking"</f>
        <v>0</v>
      </c>
      <c r="L1429" s="3" t="s">
        <v>1451</v>
      </c>
      <c r="M1429" s="3" t="s">
        <v>7558</v>
      </c>
      <c r="N1429" s="5">
        <v>46223.1297337963</v>
      </c>
      <c r="O1429" s="4" t="b">
        <f>L1429 = "PASS"</f>
        <v>0</v>
      </c>
      <c r="P1429" s="4" t="b">
        <f>L1429 = "FAIL"</f>
        <v>0</v>
      </c>
      <c r="Q1429" s="4" t="b">
        <f>AND(((P1429)=TRUE), ((K1429)=TRUE))</f>
        <v>0</v>
      </c>
      <c r="R1429" s="4" t="str">
        <f>IF(((O1429)=TRUE),  I1429,  "")</f>
      </c>
      <c r="S1429" s="4" t="str">
        <f>IF(((Q1429)=TRUE),  I1429,  "")</f>
      </c>
      <c r="T1429" s="3" t="s">
        <v>6001</v>
      </c>
    </row>
    <row r="1430">
      <c r="A1430" s="3" t="s">
        <v>7817</v>
      </c>
      <c r="B1430" s="4" t="str">
        <f>C1430 &amp; ": " &amp; D1430</f>
        <v>witness-discriminates: StepExecutions.HasSkippedVerification</v>
      </c>
      <c r="C1430" s="3" t="s">
        <v>7549</v>
      </c>
      <c r="D1430" s="3" t="s">
        <v>3622</v>
      </c>
      <c r="E1430" s="3" t="s">
        <v>1827</v>
      </c>
      <c r="F1430" s="3" t="s">
        <v>1370</v>
      </c>
      <c r="G1430" s="3" t="s">
        <v>7550</v>
      </c>
      <c r="H1430" s="3" t="s">
        <v>1975</v>
      </c>
      <c r="I1430" s="3" t="s">
        <v>5990</v>
      </c>
      <c r="J1430" s="3" t="s">
        <v>7551</v>
      </c>
      <c r="K1430" s="4" t="b">
        <f>J1430 = "blocking"</f>
        <v>0</v>
      </c>
      <c r="L1430" s="3" t="s">
        <v>1448</v>
      </c>
      <c r="M1430" s="3" t="s">
        <v>7567</v>
      </c>
      <c r="N1430" s="5">
        <v>46223.1297337963</v>
      </c>
      <c r="O1430" s="4" t="b">
        <f>L1430 = "PASS"</f>
        <v>1</v>
      </c>
      <c r="P1430" s="4" t="b">
        <f>L1430 = "FAIL"</f>
        <v>0</v>
      </c>
      <c r="Q1430" s="4" t="b">
        <f>AND(((P1430)=TRUE), ((K1430)=TRUE))</f>
        <v>0</v>
      </c>
      <c r="R1430" s="4" t="str">
        <f>IF(((O1430)=TRUE),  I1430,  "")</f>
        <v>suite-witness</v>
      </c>
      <c r="S1430" s="4" t="str">
        <f>IF(((Q1430)=TRUE),  I1430,  "")</f>
      </c>
      <c r="T1430" s="3" t="s">
        <v>6001</v>
      </c>
    </row>
    <row r="1431">
      <c r="A1431" s="3" t="s">
        <v>7818</v>
      </c>
      <c r="B1431" s="4" t="str">
        <f>C1431 &amp; ": " &amp; D1431</f>
        <v>witness-discriminates: StepExecutions.ClaimsPassWithoutEvidence</v>
      </c>
      <c r="C1431" s="3" t="s">
        <v>7549</v>
      </c>
      <c r="D1431" s="3" t="s">
        <v>3624</v>
      </c>
      <c r="E1431" s="3" t="s">
        <v>1827</v>
      </c>
      <c r="F1431" s="3" t="s">
        <v>1371</v>
      </c>
      <c r="G1431" s="3" t="s">
        <v>7550</v>
      </c>
      <c r="H1431" s="3" t="s">
        <v>1975</v>
      </c>
      <c r="I1431" s="3" t="s">
        <v>5990</v>
      </c>
      <c r="J1431" s="3" t="s">
        <v>7551</v>
      </c>
      <c r="K1431" s="4" t="b">
        <f>J1431 = "blocking"</f>
        <v>0</v>
      </c>
      <c r="L1431" s="3" t="s">
        <v>1448</v>
      </c>
      <c r="M1431" s="3" t="s">
        <v>7567</v>
      </c>
      <c r="N1431" s="5">
        <v>46223.1297337963</v>
      </c>
      <c r="O1431" s="4" t="b">
        <f>L1431 = "PASS"</f>
        <v>1</v>
      </c>
      <c r="P1431" s="4" t="b">
        <f>L1431 = "FAIL"</f>
        <v>0</v>
      </c>
      <c r="Q1431" s="4" t="b">
        <f>AND(((P1431)=TRUE), ((K1431)=TRUE))</f>
        <v>0</v>
      </c>
      <c r="R1431" s="4" t="str">
        <f>IF(((O1431)=TRUE),  I1431,  "")</f>
        <v>suite-witness</v>
      </c>
      <c r="S1431" s="4" t="str">
        <f>IF(((Q1431)=TRUE),  I1431,  "")</f>
      </c>
      <c r="T1431" s="3" t="s">
        <v>6001</v>
      </c>
    </row>
    <row r="1432">
      <c r="A1432" s="3" t="s">
        <v>7819</v>
      </c>
      <c r="B1432" s="4" t="str">
        <f>C1432 &amp; ": " &amp; D1432</f>
        <v>witness-discriminates: StepExecutions.StepIsPreparation</v>
      </c>
      <c r="C1432" s="3" t="s">
        <v>7549</v>
      </c>
      <c r="D1432" s="3" t="s">
        <v>3626</v>
      </c>
      <c r="E1432" s="3" t="s">
        <v>1827</v>
      </c>
      <c r="F1432" s="3" t="s">
        <v>1372</v>
      </c>
      <c r="G1432" s="3" t="s">
        <v>7550</v>
      </c>
      <c r="H1432" s="3" t="s">
        <v>1979</v>
      </c>
      <c r="I1432" s="3" t="s">
        <v>5990</v>
      </c>
      <c r="J1432" s="3" t="s">
        <v>7551</v>
      </c>
      <c r="K1432" s="4" t="b">
        <f>J1432 = "blocking"</f>
        <v>0</v>
      </c>
      <c r="L1432" s="3" t="s">
        <v>1448</v>
      </c>
      <c r="M1432" s="3" t="s">
        <v>7813</v>
      </c>
      <c r="N1432" s="5">
        <v>46223.1297337963</v>
      </c>
      <c r="O1432" s="4" t="b">
        <f>L1432 = "PASS"</f>
        <v>1</v>
      </c>
      <c r="P1432" s="4" t="b">
        <f>L1432 = "FAIL"</f>
        <v>0</v>
      </c>
      <c r="Q1432" s="4" t="b">
        <f>AND(((P1432)=TRUE), ((K1432)=TRUE))</f>
        <v>0</v>
      </c>
      <c r="R1432" s="4" t="str">
        <f>IF(((O1432)=TRUE),  I1432,  "")</f>
        <v>suite-witness</v>
      </c>
      <c r="S1432" s="4" t="str">
        <f>IF(((Q1432)=TRUE),  I1432,  "")</f>
      </c>
      <c r="T1432" s="3" t="s">
        <v>6001</v>
      </c>
    </row>
    <row r="1433">
      <c r="A1433" s="3" t="s">
        <v>7820</v>
      </c>
      <c r="B1433" s="4" t="str">
        <f>C1433 &amp; ": " &amp; D1433</f>
        <v>witness-discriminates: StepExecutions.StepIsApproval</v>
      </c>
      <c r="C1433" s="3" t="s">
        <v>7549</v>
      </c>
      <c r="D1433" s="3" t="s">
        <v>3628</v>
      </c>
      <c r="E1433" s="3" t="s">
        <v>1827</v>
      </c>
      <c r="F1433" s="3" t="s">
        <v>1373</v>
      </c>
      <c r="G1433" s="3" t="s">
        <v>7550</v>
      </c>
      <c r="H1433" s="3" t="s">
        <v>1979</v>
      </c>
      <c r="I1433" s="3" t="s">
        <v>5990</v>
      </c>
      <c r="J1433" s="3" t="s">
        <v>7551</v>
      </c>
      <c r="K1433" s="4" t="b">
        <f>J1433 = "blocking"</f>
        <v>0</v>
      </c>
      <c r="L1433" s="3" t="s">
        <v>1448</v>
      </c>
      <c r="M1433" s="3" t="s">
        <v>7813</v>
      </c>
      <c r="N1433" s="5">
        <v>46223.1297337963</v>
      </c>
      <c r="O1433" s="4" t="b">
        <f>L1433 = "PASS"</f>
        <v>1</v>
      </c>
      <c r="P1433" s="4" t="b">
        <f>L1433 = "FAIL"</f>
        <v>0</v>
      </c>
      <c r="Q1433" s="4" t="b">
        <f>AND(((P1433)=TRUE), ((K1433)=TRUE))</f>
        <v>0</v>
      </c>
      <c r="R1433" s="4" t="str">
        <f>IF(((O1433)=TRUE),  I1433,  "")</f>
        <v>suite-witness</v>
      </c>
      <c r="S1433" s="4" t="str">
        <f>IF(((Q1433)=TRUE),  I1433,  "")</f>
      </c>
      <c r="T1433" s="3" t="s">
        <v>6001</v>
      </c>
    </row>
    <row r="1434">
      <c r="A1434" s="3" t="s">
        <v>7821</v>
      </c>
      <c r="B1434" s="4" t="str">
        <f>C1434 &amp; ": " &amp; D1434</f>
        <v>witness-discriminates: StepExecutions.ViolatesSeparationOfDuties</v>
      </c>
      <c r="C1434" s="3" t="s">
        <v>7549</v>
      </c>
      <c r="D1434" s="3" t="s">
        <v>858</v>
      </c>
      <c r="E1434" s="3" t="s">
        <v>1827</v>
      </c>
      <c r="F1434" s="3" t="s">
        <v>1377</v>
      </c>
      <c r="G1434" s="3" t="s">
        <v>7550</v>
      </c>
      <c r="H1434" s="3" t="s">
        <v>1979</v>
      </c>
      <c r="I1434" s="3" t="s">
        <v>5990</v>
      </c>
      <c r="J1434" s="3" t="s">
        <v>7551</v>
      </c>
      <c r="K1434" s="4" t="b">
        <f>J1434 = "blocking"</f>
        <v>0</v>
      </c>
      <c r="L1434" s="3" t="s">
        <v>1451</v>
      </c>
      <c r="M1434" s="3" t="s">
        <v>7558</v>
      </c>
      <c r="N1434" s="5">
        <v>46223.1297337963</v>
      </c>
      <c r="O1434" s="4" t="b">
        <f>L1434 = "PASS"</f>
        <v>0</v>
      </c>
      <c r="P1434" s="4" t="b">
        <f>L1434 = "FAIL"</f>
        <v>0</v>
      </c>
      <c r="Q1434" s="4" t="b">
        <f>AND(((P1434)=TRUE), ((K1434)=TRUE))</f>
        <v>0</v>
      </c>
      <c r="R1434" s="4" t="str">
        <f>IF(((O1434)=TRUE),  I1434,  "")</f>
      </c>
      <c r="S1434" s="4" t="str">
        <f>IF(((Q1434)=TRUE),  I1434,  "")</f>
      </c>
      <c r="T1434" s="3" t="s">
        <v>6001</v>
      </c>
    </row>
    <row r="1435">
      <c r="A1435" s="3" t="s">
        <v>7822</v>
      </c>
      <c r="B1435" s="4" t="str">
        <f>C1435 &amp; ": " &amp; D1435</f>
        <v>witness-discriminates: StepExecutions.ExecutorHeldRequiredRole</v>
      </c>
      <c r="C1435" s="3" t="s">
        <v>7549</v>
      </c>
      <c r="D1435" s="3" t="s">
        <v>3643</v>
      </c>
      <c r="E1435" s="3" t="s">
        <v>1827</v>
      </c>
      <c r="F1435" s="3" t="s">
        <v>1381</v>
      </c>
      <c r="G1435" s="3" t="s">
        <v>7550</v>
      </c>
      <c r="H1435" s="3" t="s">
        <v>1983</v>
      </c>
      <c r="I1435" s="3" t="s">
        <v>5990</v>
      </c>
      <c r="J1435" s="3" t="s">
        <v>7551</v>
      </c>
      <c r="K1435" s="4" t="b">
        <f>J1435 = "blocking"</f>
        <v>0</v>
      </c>
      <c r="L1435" s="3" t="s">
        <v>1451</v>
      </c>
      <c r="M1435" s="3" t="s">
        <v>7823</v>
      </c>
      <c r="N1435" s="5">
        <v>46223.1297337963</v>
      </c>
      <c r="O1435" s="4" t="b">
        <f>L1435 = "PASS"</f>
        <v>0</v>
      </c>
      <c r="P1435" s="4" t="b">
        <f>L1435 = "FAIL"</f>
        <v>0</v>
      </c>
      <c r="Q1435" s="4" t="b">
        <f>AND(((P1435)=TRUE), ((K1435)=TRUE))</f>
        <v>0</v>
      </c>
      <c r="R1435" s="4" t="str">
        <f>IF(((O1435)=TRUE),  I1435,  "")</f>
      </c>
      <c r="S1435" s="4" t="str">
        <f>IF(((Q1435)=TRUE),  I1435,  "")</f>
      </c>
      <c r="T1435" s="3" t="s">
        <v>6001</v>
      </c>
    </row>
    <row r="1436">
      <c r="A1436" s="3" t="s">
        <v>7824</v>
      </c>
      <c r="B1436" s="4" t="str">
        <f>C1436 &amp; ": " &amp; D1436</f>
        <v>witness-discriminates: StepExecutions.IsUnauthorizedApproval</v>
      </c>
      <c r="C1436" s="3" t="s">
        <v>7549</v>
      </c>
      <c r="D1436" s="3" t="s">
        <v>3645</v>
      </c>
      <c r="E1436" s="3" t="s">
        <v>1827</v>
      </c>
      <c r="F1436" s="3" t="s">
        <v>1382</v>
      </c>
      <c r="G1436" s="3" t="s">
        <v>7550</v>
      </c>
      <c r="H1436" s="3" t="s">
        <v>1983</v>
      </c>
      <c r="I1436" s="3" t="s">
        <v>5990</v>
      </c>
      <c r="J1436" s="3" t="s">
        <v>7551</v>
      </c>
      <c r="K1436" s="4" t="b">
        <f>J1436 = "blocking"</f>
        <v>0</v>
      </c>
      <c r="L1436" s="3" t="s">
        <v>1451</v>
      </c>
      <c r="M1436" s="3" t="s">
        <v>7558</v>
      </c>
      <c r="N1436" s="5">
        <v>46223.1297337963</v>
      </c>
      <c r="O1436" s="4" t="b">
        <f>L1436 = "PASS"</f>
        <v>0</v>
      </c>
      <c r="P1436" s="4" t="b">
        <f>L1436 = "FAIL"</f>
        <v>0</v>
      </c>
      <c r="Q1436" s="4" t="b">
        <f>AND(((P1436)=TRUE), ((K1436)=TRUE))</f>
        <v>0</v>
      </c>
      <c r="R1436" s="4" t="str">
        <f>IF(((O1436)=TRUE),  I1436,  "")</f>
      </c>
      <c r="S1436" s="4" t="str">
        <f>IF(((Q1436)=TRUE),  I1436,  "")</f>
      </c>
      <c r="T1436" s="3" t="s">
        <v>6001</v>
      </c>
    </row>
    <row r="1437">
      <c r="A1437" s="3" t="s">
        <v>7825</v>
      </c>
      <c r="B1437" s="4" t="str">
        <f>C1437 &amp; ": " &amp; D1437</f>
        <v>witness-discriminates: StepExecutions.ExecutorIsHuman</v>
      </c>
      <c r="C1437" s="3" t="s">
        <v>7549</v>
      </c>
      <c r="D1437" s="3" t="s">
        <v>3655</v>
      </c>
      <c r="E1437" s="3" t="s">
        <v>1827</v>
      </c>
      <c r="F1437" s="3" t="s">
        <v>1387</v>
      </c>
      <c r="G1437" s="3" t="s">
        <v>7550</v>
      </c>
      <c r="H1437" s="3" t="s">
        <v>1995</v>
      </c>
      <c r="I1437" s="3" t="s">
        <v>5990</v>
      </c>
      <c r="J1437" s="3" t="s">
        <v>7551</v>
      </c>
      <c r="K1437" s="4" t="b">
        <f>J1437 = "blocking"</f>
        <v>0</v>
      </c>
      <c r="L1437" s="3" t="s">
        <v>1448</v>
      </c>
      <c r="M1437" s="3" t="s">
        <v>7809</v>
      </c>
      <c r="N1437" s="5">
        <v>46223.1297337963</v>
      </c>
      <c r="O1437" s="4" t="b">
        <f>L1437 = "PASS"</f>
        <v>1</v>
      </c>
      <c r="P1437" s="4" t="b">
        <f>L1437 = "FAIL"</f>
        <v>0</v>
      </c>
      <c r="Q1437" s="4" t="b">
        <f>AND(((P1437)=TRUE), ((K1437)=TRUE))</f>
        <v>0</v>
      </c>
      <c r="R1437" s="4" t="str">
        <f>IF(((O1437)=TRUE),  I1437,  "")</f>
        <v>suite-witness</v>
      </c>
      <c r="S1437" s="4" t="str">
        <f>IF(((Q1437)=TRUE),  I1437,  "")</f>
      </c>
      <c r="T1437" s="3" t="s">
        <v>6001</v>
      </c>
    </row>
    <row r="1438">
      <c r="A1438" s="3" t="s">
        <v>7826</v>
      </c>
      <c r="B1438" s="4" t="str">
        <f>C1438 &amp; ": " &amp; D1438</f>
        <v>witness-discriminates: StepExecutions.StepRequiresHumanConfirmation</v>
      </c>
      <c r="C1438" s="3" t="s">
        <v>7549</v>
      </c>
      <c r="D1438" s="3" t="s">
        <v>3657</v>
      </c>
      <c r="E1438" s="3" t="s">
        <v>1827</v>
      </c>
      <c r="F1438" s="3" t="s">
        <v>1388</v>
      </c>
      <c r="G1438" s="3" t="s">
        <v>7550</v>
      </c>
      <c r="H1438" s="3" t="s">
        <v>1995</v>
      </c>
      <c r="I1438" s="3" t="s">
        <v>5990</v>
      </c>
      <c r="J1438" s="3" t="s">
        <v>7551</v>
      </c>
      <c r="K1438" s="4" t="b">
        <f>J1438 = "blocking"</f>
        <v>0</v>
      </c>
      <c r="L1438" s="3" t="s">
        <v>1448</v>
      </c>
      <c r="M1438" s="3" t="s">
        <v>7567</v>
      </c>
      <c r="N1438" s="5">
        <v>46223.1297337963</v>
      </c>
      <c r="O1438" s="4" t="b">
        <f>L1438 = "PASS"</f>
        <v>1</v>
      </c>
      <c r="P1438" s="4" t="b">
        <f>L1438 = "FAIL"</f>
        <v>0</v>
      </c>
      <c r="Q1438" s="4" t="b">
        <f>AND(((P1438)=TRUE), ((K1438)=TRUE))</f>
        <v>0</v>
      </c>
      <c r="R1438" s="4" t="str">
        <f>IF(((O1438)=TRUE),  I1438,  "")</f>
        <v>suite-witness</v>
      </c>
      <c r="S1438" s="4" t="str">
        <f>IF(((Q1438)=TRUE),  I1438,  "")</f>
      </c>
      <c r="T1438" s="3" t="s">
        <v>6001</v>
      </c>
    </row>
    <row r="1439">
      <c r="A1439" s="3" t="s">
        <v>7827</v>
      </c>
      <c r="B1439" s="4" t="str">
        <f>C1439 &amp; ": " &amp; D1439</f>
        <v>witness-discriminates: StepExecutions.NonHumanRanHumanStep</v>
      </c>
      <c r="C1439" s="3" t="s">
        <v>7549</v>
      </c>
      <c r="D1439" s="3" t="s">
        <v>3659</v>
      </c>
      <c r="E1439" s="3" t="s">
        <v>1827</v>
      </c>
      <c r="F1439" s="3" t="s">
        <v>1389</v>
      </c>
      <c r="G1439" s="3" t="s">
        <v>7550</v>
      </c>
      <c r="H1439" s="3" t="s">
        <v>1995</v>
      </c>
      <c r="I1439" s="3" t="s">
        <v>5990</v>
      </c>
      <c r="J1439" s="3" t="s">
        <v>7551</v>
      </c>
      <c r="K1439" s="4" t="b">
        <f>J1439 = "blocking"</f>
        <v>0</v>
      </c>
      <c r="L1439" s="3" t="s">
        <v>1451</v>
      </c>
      <c r="M1439" s="3" t="s">
        <v>7558</v>
      </c>
      <c r="N1439" s="5">
        <v>46223.1297337963</v>
      </c>
      <c r="O1439" s="4" t="b">
        <f>L1439 = "PASS"</f>
        <v>0</v>
      </c>
      <c r="P1439" s="4" t="b">
        <f>L1439 = "FAIL"</f>
        <v>0</v>
      </c>
      <c r="Q1439" s="4" t="b">
        <f>AND(((P1439)=TRUE), ((K1439)=TRUE))</f>
        <v>0</v>
      </c>
      <c r="R1439" s="4" t="str">
        <f>IF(((O1439)=TRUE),  I1439,  "")</f>
      </c>
      <c r="S1439" s="4" t="str">
        <f>IF(((Q1439)=TRUE),  I1439,  "")</f>
      </c>
      <c r="T1439" s="3" t="s">
        <v>6001</v>
      </c>
    </row>
    <row r="1440">
      <c r="A1440" s="3" t="s">
        <v>7828</v>
      </c>
      <c r="B1440" s="4" t="str">
        <f>C1440 &amp; ": " &amp; D1440</f>
        <v>witness-discriminates: StepExecutions.NonHumanApproval</v>
      </c>
      <c r="C1440" s="3" t="s">
        <v>7549</v>
      </c>
      <c r="D1440" s="3" t="s">
        <v>3661</v>
      </c>
      <c r="E1440" s="3" t="s">
        <v>1827</v>
      </c>
      <c r="F1440" s="3" t="s">
        <v>1390</v>
      </c>
      <c r="G1440" s="3" t="s">
        <v>7550</v>
      </c>
      <c r="H1440" s="3" t="s">
        <v>1995</v>
      </c>
      <c r="I1440" s="3" t="s">
        <v>5990</v>
      </c>
      <c r="J1440" s="3" t="s">
        <v>7551</v>
      </c>
      <c r="K1440" s="4" t="b">
        <f>J1440 = "blocking"</f>
        <v>0</v>
      </c>
      <c r="L1440" s="3" t="s">
        <v>1451</v>
      </c>
      <c r="M1440" s="3" t="s">
        <v>7558</v>
      </c>
      <c r="N1440" s="5">
        <v>46223.1297337963</v>
      </c>
      <c r="O1440" s="4" t="b">
        <f>L1440 = "PASS"</f>
        <v>0</v>
      </c>
      <c r="P1440" s="4" t="b">
        <f>L1440 = "FAIL"</f>
        <v>0</v>
      </c>
      <c r="Q1440" s="4" t="b">
        <f>AND(((P1440)=TRUE), ((K1440)=TRUE))</f>
        <v>0</v>
      </c>
      <c r="R1440" s="4" t="str">
        <f>IF(((O1440)=TRUE),  I1440,  "")</f>
      </c>
      <c r="S1440" s="4" t="str">
        <f>IF(((Q1440)=TRUE),  I1440,  "")</f>
      </c>
      <c r="T1440" s="3" t="s">
        <v>6001</v>
      </c>
    </row>
    <row r="1441">
      <c r="A1441" s="3" t="s">
        <v>7829</v>
      </c>
      <c r="B1441" s="4" t="str">
        <f>C1441 &amp; ": " &amp; D1441</f>
        <v>witness-discriminates: StepExecutions.ApprovalRestsOnSelfAttestation</v>
      </c>
      <c r="C1441" s="3" t="s">
        <v>7549</v>
      </c>
      <c r="D1441" s="3" t="s">
        <v>3671</v>
      </c>
      <c r="E1441" s="3" t="s">
        <v>1827</v>
      </c>
      <c r="F1441" s="3" t="s">
        <v>1395</v>
      </c>
      <c r="G1441" s="3" t="s">
        <v>7550</v>
      </c>
      <c r="H1441" s="3" t="s">
        <v>2007</v>
      </c>
      <c r="I1441" s="3" t="s">
        <v>5990</v>
      </c>
      <c r="J1441" s="3" t="s">
        <v>7551</v>
      </c>
      <c r="K1441" s="4" t="b">
        <f>J1441 = "blocking"</f>
        <v>0</v>
      </c>
      <c r="L1441" s="3" t="s">
        <v>1448</v>
      </c>
      <c r="M1441" s="3" t="s">
        <v>7813</v>
      </c>
      <c r="N1441" s="5">
        <v>46223.1297337963</v>
      </c>
      <c r="O1441" s="4" t="b">
        <f>L1441 = "PASS"</f>
        <v>1</v>
      </c>
      <c r="P1441" s="4" t="b">
        <f>L1441 = "FAIL"</f>
        <v>0</v>
      </c>
      <c r="Q1441" s="4" t="b">
        <f>AND(((P1441)=TRUE), ((K1441)=TRUE))</f>
        <v>0</v>
      </c>
      <c r="R1441" s="4" t="str">
        <f>IF(((O1441)=TRUE),  I1441,  "")</f>
        <v>suite-witness</v>
      </c>
      <c r="S1441" s="4" t="str">
        <f>IF(((Q1441)=TRUE),  I1441,  "")</f>
      </c>
      <c r="T1441" s="3" t="s">
        <v>6001</v>
      </c>
    </row>
    <row r="1442">
      <c r="A1442" s="3" t="s">
        <v>7830</v>
      </c>
      <c r="B1442" s="4" t="str">
        <f>C1442 &amp; ": " &amp; D1442</f>
        <v>witness-discriminates: StepExecutions.RanUnderException</v>
      </c>
      <c r="C1442" s="3" t="s">
        <v>7549</v>
      </c>
      <c r="D1442" s="3" t="s">
        <v>3675</v>
      </c>
      <c r="E1442" s="3" t="s">
        <v>1827</v>
      </c>
      <c r="F1442" s="3" t="s">
        <v>1397</v>
      </c>
      <c r="G1442" s="3" t="s">
        <v>7550</v>
      </c>
      <c r="H1442" s="3" t="s">
        <v>2011</v>
      </c>
      <c r="I1442" s="3" t="s">
        <v>5990</v>
      </c>
      <c r="J1442" s="3" t="s">
        <v>7551</v>
      </c>
      <c r="K1442" s="4" t="b">
        <f>J1442 = "blocking"</f>
        <v>0</v>
      </c>
      <c r="L1442" s="3" t="s">
        <v>1448</v>
      </c>
      <c r="M1442" s="3" t="s">
        <v>7563</v>
      </c>
      <c r="N1442" s="5">
        <v>46223.1297337963</v>
      </c>
      <c r="O1442" s="4" t="b">
        <f>L1442 = "PASS"</f>
        <v>1</v>
      </c>
      <c r="P1442" s="4" t="b">
        <f>L1442 = "FAIL"</f>
        <v>0</v>
      </c>
      <c r="Q1442" s="4" t="b">
        <f>AND(((P1442)=TRUE), ((K1442)=TRUE))</f>
        <v>0</v>
      </c>
      <c r="R1442" s="4" t="str">
        <f>IF(((O1442)=TRUE),  I1442,  "")</f>
        <v>suite-witness</v>
      </c>
      <c r="S1442" s="4" t="str">
        <f>IF(((Q1442)=TRUE),  I1442,  "")</f>
      </c>
      <c r="T1442" s="3" t="s">
        <v>6001</v>
      </c>
    </row>
    <row r="1443">
      <c r="A1443" s="3" t="s">
        <v>7831</v>
      </c>
      <c r="B1443" s="4" t="str">
        <f>C1443 &amp; ": " &amp; D1443</f>
        <v>witness-discriminates: StepExecutions.IsCompleted</v>
      </c>
      <c r="C1443" s="3" t="s">
        <v>7549</v>
      </c>
      <c r="D1443" s="3" t="s">
        <v>3677</v>
      </c>
      <c r="E1443" s="3" t="s">
        <v>1827</v>
      </c>
      <c r="F1443" s="3" t="s">
        <v>1398</v>
      </c>
      <c r="G1443" s="3" t="s">
        <v>7550</v>
      </c>
      <c r="H1443" s="3" t="s">
        <v>2027</v>
      </c>
      <c r="I1443" s="3" t="s">
        <v>5990</v>
      </c>
      <c r="J1443" s="3" t="s">
        <v>7551</v>
      </c>
      <c r="K1443" s="4" t="b">
        <f>J1443 = "blocking"</f>
        <v>0</v>
      </c>
      <c r="L1443" s="3" t="s">
        <v>1451</v>
      </c>
      <c r="M1443" s="3" t="s">
        <v>7823</v>
      </c>
      <c r="N1443" s="5">
        <v>46223.1297337963</v>
      </c>
      <c r="O1443" s="4" t="b">
        <f>L1443 = "PASS"</f>
        <v>0</v>
      </c>
      <c r="P1443" s="4" t="b">
        <f>L1443 = "FAIL"</f>
        <v>0</v>
      </c>
      <c r="Q1443" s="4" t="b">
        <f>AND(((P1443)=TRUE), ((K1443)=TRUE))</f>
        <v>0</v>
      </c>
      <c r="R1443" s="4" t="str">
        <f>IF(((O1443)=TRUE),  I1443,  "")</f>
      </c>
      <c r="S1443" s="4" t="str">
        <f>IF(((Q1443)=TRUE),  I1443,  "")</f>
      </c>
      <c r="T1443" s="3" t="s">
        <v>6001</v>
      </c>
    </row>
    <row r="1444">
      <c r="A1444" s="3" t="s">
        <v>7832</v>
      </c>
      <c r="B1444" s="4" t="str">
        <f>C1444 &amp; ": " &amp; D1444</f>
        <v>witness-discriminates: StepExecutions.IsVerificationPassed</v>
      </c>
      <c r="C1444" s="3" t="s">
        <v>7549</v>
      </c>
      <c r="D1444" s="3" t="s">
        <v>3679</v>
      </c>
      <c r="E1444" s="3" t="s">
        <v>1827</v>
      </c>
      <c r="F1444" s="3" t="s">
        <v>1399</v>
      </c>
      <c r="G1444" s="3" t="s">
        <v>7550</v>
      </c>
      <c r="H1444" s="3" t="s">
        <v>2075</v>
      </c>
      <c r="I1444" s="3" t="s">
        <v>5990</v>
      </c>
      <c r="J1444" s="3" t="s">
        <v>7551</v>
      </c>
      <c r="K1444" s="4" t="b">
        <f>J1444 = "blocking"</f>
        <v>0</v>
      </c>
      <c r="L1444" s="3" t="s">
        <v>1448</v>
      </c>
      <c r="M1444" s="3" t="s">
        <v>7833</v>
      </c>
      <c r="N1444" s="5">
        <v>46223.1297337963</v>
      </c>
      <c r="O1444" s="4" t="b">
        <f>L1444 = "PASS"</f>
        <v>1</v>
      </c>
      <c r="P1444" s="4" t="b">
        <f>L1444 = "FAIL"</f>
        <v>0</v>
      </c>
      <c r="Q1444" s="4" t="b">
        <f>AND(((P1444)=TRUE), ((K1444)=TRUE))</f>
        <v>0</v>
      </c>
      <c r="R1444" s="4" t="str">
        <f>IF(((O1444)=TRUE),  I1444,  "")</f>
        <v>suite-witness</v>
      </c>
      <c r="S1444" s="4" t="str">
        <f>IF(((Q1444)=TRUE),  I1444,  "")</f>
      </c>
      <c r="T1444" s="3" t="s">
        <v>6001</v>
      </c>
    </row>
    <row r="1445">
      <c r="A1445" s="3" t="s">
        <v>7834</v>
      </c>
      <c r="B1445" s="4" t="str">
        <f>C1445 &amp; ": " &amp; D1445</f>
        <v>witness-discriminates: StepExecutions.IsLegalReviewStep</v>
      </c>
      <c r="C1445" s="3" t="s">
        <v>7549</v>
      </c>
      <c r="D1445" s="3" t="s">
        <v>3681</v>
      </c>
      <c r="E1445" s="3" t="s">
        <v>1827</v>
      </c>
      <c r="F1445" s="3" t="s">
        <v>1400</v>
      </c>
      <c r="G1445" s="3" t="s">
        <v>7550</v>
      </c>
      <c r="H1445" s="3" t="s">
        <v>2075</v>
      </c>
      <c r="I1445" s="3" t="s">
        <v>5990</v>
      </c>
      <c r="J1445" s="3" t="s">
        <v>7551</v>
      </c>
      <c r="K1445" s="4" t="b">
        <f>J1445 = "blocking"</f>
        <v>0</v>
      </c>
      <c r="L1445" s="3" t="s">
        <v>1448</v>
      </c>
      <c r="M1445" s="3" t="s">
        <v>7563</v>
      </c>
      <c r="N1445" s="5">
        <v>46223.1297337963</v>
      </c>
      <c r="O1445" s="4" t="b">
        <f>L1445 = "PASS"</f>
        <v>1</v>
      </c>
      <c r="P1445" s="4" t="b">
        <f>L1445 = "FAIL"</f>
        <v>0</v>
      </c>
      <c r="Q1445" s="4" t="b">
        <f>AND(((P1445)=TRUE), ((K1445)=TRUE))</f>
        <v>0</v>
      </c>
      <c r="R1445" s="4" t="str">
        <f>IF(((O1445)=TRUE),  I1445,  "")</f>
        <v>suite-witness</v>
      </c>
      <c r="S1445" s="4" t="str">
        <f>IF(((Q1445)=TRUE),  I1445,  "")</f>
      </c>
      <c r="T1445" s="3" t="s">
        <v>6001</v>
      </c>
    </row>
    <row r="1446">
      <c r="A1446" s="3" t="s">
        <v>7835</v>
      </c>
      <c r="B1446" s="4" t="str">
        <f>C1446 &amp; ": " &amp; D1446</f>
        <v>witness-discriminates: StepExecutions.ExecutorIsDesignatedAgent</v>
      </c>
      <c r="C1446" s="3" t="s">
        <v>7549</v>
      </c>
      <c r="D1446" s="3" t="s">
        <v>3688</v>
      </c>
      <c r="E1446" s="3" t="s">
        <v>1827</v>
      </c>
      <c r="F1446" s="3" t="s">
        <v>1403</v>
      </c>
      <c r="G1446" s="3" t="s">
        <v>7550</v>
      </c>
      <c r="H1446" s="3" t="s">
        <v>2119</v>
      </c>
      <c r="I1446" s="3" t="s">
        <v>5990</v>
      </c>
      <c r="J1446" s="3" t="s">
        <v>7551</v>
      </c>
      <c r="K1446" s="4" t="b">
        <f>J1446 = "blocking"</f>
        <v>0</v>
      </c>
      <c r="L1446" s="3" t="s">
        <v>1451</v>
      </c>
      <c r="M1446" s="3" t="s">
        <v>7823</v>
      </c>
      <c r="N1446" s="5">
        <v>46223.1297337963</v>
      </c>
      <c r="O1446" s="4" t="b">
        <f>L1446 = "PASS"</f>
        <v>0</v>
      </c>
      <c r="P1446" s="4" t="b">
        <f>L1446 = "FAIL"</f>
        <v>0</v>
      </c>
      <c r="Q1446" s="4" t="b">
        <f>AND(((P1446)=TRUE), ((K1446)=TRUE))</f>
        <v>0</v>
      </c>
      <c r="R1446" s="4" t="str">
        <f>IF(((O1446)=TRUE),  I1446,  "")</f>
      </c>
      <c r="S1446" s="4" t="str">
        <f>IF(((Q1446)=TRUE),  I1446,  "")</f>
      </c>
      <c r="T1446" s="3" t="s">
        <v>6001</v>
      </c>
    </row>
    <row r="1447">
      <c r="A1447" s="3" t="s">
        <v>7836</v>
      </c>
      <c r="B1447" s="4" t="str">
        <f>C1447 &amp; ": " &amp; D1447</f>
        <v>witness-discriminates: StepExecutions.InputsWereFreshAtRun</v>
      </c>
      <c r="C1447" s="3" t="s">
        <v>7549</v>
      </c>
      <c r="D1447" s="3" t="s">
        <v>3690</v>
      </c>
      <c r="E1447" s="3" t="s">
        <v>1827</v>
      </c>
      <c r="F1447" s="3" t="s">
        <v>1404</v>
      </c>
      <c r="G1447" s="3" t="s">
        <v>7550</v>
      </c>
      <c r="H1447" s="3" t="s">
        <v>2123</v>
      </c>
      <c r="I1447" s="3" t="s">
        <v>5990</v>
      </c>
      <c r="J1447" s="3" t="s">
        <v>7551</v>
      </c>
      <c r="K1447" s="4" t="b">
        <f>J1447 = "blocking"</f>
        <v>0</v>
      </c>
      <c r="L1447" s="3" t="s">
        <v>1448</v>
      </c>
      <c r="M1447" s="3" t="s">
        <v>7837</v>
      </c>
      <c r="N1447" s="5">
        <v>46223.1297337963</v>
      </c>
      <c r="O1447" s="4" t="b">
        <f>L1447 = "PASS"</f>
        <v>1</v>
      </c>
      <c r="P1447" s="4" t="b">
        <f>L1447 = "FAIL"</f>
        <v>0</v>
      </c>
      <c r="Q1447" s="4" t="b">
        <f>AND(((P1447)=TRUE), ((K1447)=TRUE))</f>
        <v>0</v>
      </c>
      <c r="R1447" s="4" t="str">
        <f>IF(((O1447)=TRUE),  I1447,  "")</f>
        <v>suite-witness</v>
      </c>
      <c r="S1447" s="4" t="str">
        <f>IF(((Q1447)=TRUE),  I1447,  "")</f>
      </c>
      <c r="T1447" s="3" t="s">
        <v>6001</v>
      </c>
    </row>
    <row r="1448">
      <c r="A1448" s="3" t="s">
        <v>7838</v>
      </c>
      <c r="B1448" s="4" t="str">
        <f>C1448 &amp; ": " &amp; D1448</f>
        <v>witness-discriminates: StepExecutions.RanOnStaleInputs</v>
      </c>
      <c r="C1448" s="3" t="s">
        <v>7549</v>
      </c>
      <c r="D1448" s="3" t="s">
        <v>3692</v>
      </c>
      <c r="E1448" s="3" t="s">
        <v>1827</v>
      </c>
      <c r="F1448" s="3" t="s">
        <v>1405</v>
      </c>
      <c r="G1448" s="3" t="s">
        <v>7550</v>
      </c>
      <c r="H1448" s="3" t="s">
        <v>2123</v>
      </c>
      <c r="I1448" s="3" t="s">
        <v>5990</v>
      </c>
      <c r="J1448" s="3" t="s">
        <v>7551</v>
      </c>
      <c r="K1448" s="4" t="b">
        <f>J1448 = "blocking"</f>
        <v>0</v>
      </c>
      <c r="L1448" s="3" t="s">
        <v>1448</v>
      </c>
      <c r="M1448" s="3" t="s">
        <v>7813</v>
      </c>
      <c r="N1448" s="5">
        <v>46223.1297337963</v>
      </c>
      <c r="O1448" s="4" t="b">
        <f>L1448 = "PASS"</f>
        <v>1</v>
      </c>
      <c r="P1448" s="4" t="b">
        <f>L1448 = "FAIL"</f>
        <v>0</v>
      </c>
      <c r="Q1448" s="4" t="b">
        <f>AND(((P1448)=TRUE), ((K1448)=TRUE))</f>
        <v>0</v>
      </c>
      <c r="R1448" s="4" t="str">
        <f>IF(((O1448)=TRUE),  I1448,  "")</f>
        <v>suite-witness</v>
      </c>
      <c r="S1448" s="4" t="str">
        <f>IF(((Q1448)=TRUE),  I1448,  "")</f>
      </c>
      <c r="T1448" s="3" t="s">
        <v>6001</v>
      </c>
    </row>
    <row r="1449">
      <c r="A1449" s="3" t="s">
        <v>7839</v>
      </c>
      <c r="B1449" s="4" t="str">
        <f>C1449 &amp; ": " &amp; D1449</f>
        <v>witness-discriminates: StepExecutions.HasDeviation</v>
      </c>
      <c r="C1449" s="3" t="s">
        <v>7549</v>
      </c>
      <c r="D1449" s="3" t="s">
        <v>3696</v>
      </c>
      <c r="E1449" s="3" t="s">
        <v>1827</v>
      </c>
      <c r="F1449" s="3" t="s">
        <v>1407</v>
      </c>
      <c r="G1449" s="3" t="s">
        <v>7550</v>
      </c>
      <c r="H1449" s="3" t="s">
        <v>2127</v>
      </c>
      <c r="I1449" s="3" t="s">
        <v>5990</v>
      </c>
      <c r="J1449" s="3" t="s">
        <v>7551</v>
      </c>
      <c r="K1449" s="4" t="b">
        <f>J1449 = "blocking"</f>
        <v>0</v>
      </c>
      <c r="L1449" s="3" t="s">
        <v>1448</v>
      </c>
      <c r="M1449" s="3" t="s">
        <v>7560</v>
      </c>
      <c r="N1449" s="5">
        <v>46223.1297337963</v>
      </c>
      <c r="O1449" s="4" t="b">
        <f>L1449 = "PASS"</f>
        <v>1</v>
      </c>
      <c r="P1449" s="4" t="b">
        <f>L1449 = "FAIL"</f>
        <v>0</v>
      </c>
      <c r="Q1449" s="4" t="b">
        <f>AND(((P1449)=TRUE), ((K1449)=TRUE))</f>
        <v>0</v>
      </c>
      <c r="R1449" s="4" t="str">
        <f>IF(((O1449)=TRUE),  I1449,  "")</f>
        <v>suite-witness</v>
      </c>
      <c r="S1449" s="4" t="str">
        <f>IF(((Q1449)=TRUE),  I1449,  "")</f>
      </c>
      <c r="T1449" s="3" t="s">
        <v>6001</v>
      </c>
    </row>
    <row r="1450">
      <c r="A1450" s="3" t="s">
        <v>7840</v>
      </c>
      <c r="B1450" s="4" t="str">
        <f>C1450 &amp; ": " &amp; D1450</f>
        <v>witness-discriminates: StepExecutions.IsClean</v>
      </c>
      <c r="C1450" s="3" t="s">
        <v>7549</v>
      </c>
      <c r="D1450" s="3" t="s">
        <v>3697</v>
      </c>
      <c r="E1450" s="3" t="s">
        <v>1827</v>
      </c>
      <c r="F1450" s="3" t="s">
        <v>1408</v>
      </c>
      <c r="G1450" s="3" t="s">
        <v>7550</v>
      </c>
      <c r="H1450" s="3" t="s">
        <v>2127</v>
      </c>
      <c r="I1450" s="3" t="s">
        <v>5990</v>
      </c>
      <c r="J1450" s="3" t="s">
        <v>7551</v>
      </c>
      <c r="K1450" s="4" t="b">
        <f>J1450 = "blocking"</f>
        <v>0</v>
      </c>
      <c r="L1450" s="3" t="s">
        <v>1448</v>
      </c>
      <c r="M1450" s="3" t="s">
        <v>7841</v>
      </c>
      <c r="N1450" s="5">
        <v>46223.1297337963</v>
      </c>
      <c r="O1450" s="4" t="b">
        <f>L1450 = "PASS"</f>
        <v>1</v>
      </c>
      <c r="P1450" s="4" t="b">
        <f>L1450 = "FAIL"</f>
        <v>0</v>
      </c>
      <c r="Q1450" s="4" t="b">
        <f>AND(((P1450)=TRUE), ((K1450)=TRUE))</f>
        <v>0</v>
      </c>
      <c r="R1450" s="4" t="str">
        <f>IF(((O1450)=TRUE),  I1450,  "")</f>
        <v>suite-witness</v>
      </c>
      <c r="S1450" s="4" t="str">
        <f>IF(((Q1450)=TRUE),  I1450,  "")</f>
      </c>
      <c r="T1450" s="3" t="s">
        <v>6001</v>
      </c>
    </row>
    <row r="1451">
      <c r="A1451" s="3" t="s">
        <v>7842</v>
      </c>
      <c r="B1451" s="4" t="str">
        <f>C1451 &amp; ": " &amp; D1451</f>
        <v>witness-discriminates: StepExecutions.HasUnevaluatedBlockingRequirement</v>
      </c>
      <c r="C1451" s="3" t="s">
        <v>7549</v>
      </c>
      <c r="D1451" s="3" t="s">
        <v>3704</v>
      </c>
      <c r="E1451" s="3" t="s">
        <v>1827</v>
      </c>
      <c r="F1451" s="3" t="s">
        <v>1412</v>
      </c>
      <c r="G1451" s="3" t="s">
        <v>7550</v>
      </c>
      <c r="H1451" s="3" t="s">
        <v>2131</v>
      </c>
      <c r="I1451" s="3" t="s">
        <v>5990</v>
      </c>
      <c r="J1451" s="3" t="s">
        <v>7551</v>
      </c>
      <c r="K1451" s="4" t="b">
        <f>J1451 = "blocking"</f>
        <v>0</v>
      </c>
      <c r="L1451" s="3" t="s">
        <v>1451</v>
      </c>
      <c r="M1451" s="3" t="s">
        <v>7558</v>
      </c>
      <c r="N1451" s="5">
        <v>46223.1297337963</v>
      </c>
      <c r="O1451" s="4" t="b">
        <f>L1451 = "PASS"</f>
        <v>0</v>
      </c>
      <c r="P1451" s="4" t="b">
        <f>L1451 = "FAIL"</f>
        <v>0</v>
      </c>
      <c r="Q1451" s="4" t="b">
        <f>AND(((P1451)=TRUE), ((K1451)=TRUE))</f>
        <v>0</v>
      </c>
      <c r="R1451" s="4" t="str">
        <f>IF(((O1451)=TRUE),  I1451,  "")</f>
      </c>
      <c r="S1451" s="4" t="str">
        <f>IF(((Q1451)=TRUE),  I1451,  "")</f>
      </c>
      <c r="T1451" s="3" t="s">
        <v>6001</v>
      </c>
    </row>
    <row r="1452">
      <c r="A1452" s="3" t="s">
        <v>7843</v>
      </c>
      <c r="B1452" s="4" t="str">
        <f>C1452 &amp; ": " &amp; D1452</f>
        <v>witness-discriminates: StepExecutions.WasExecutedBySoftware</v>
      </c>
      <c r="C1452" s="3" t="s">
        <v>7549</v>
      </c>
      <c r="D1452" s="3" t="s">
        <v>3707</v>
      </c>
      <c r="E1452" s="3" t="s">
        <v>1827</v>
      </c>
      <c r="F1452" s="3" t="s">
        <v>1414</v>
      </c>
      <c r="G1452" s="3" t="s">
        <v>7550</v>
      </c>
      <c r="H1452" s="3" t="s">
        <v>2143</v>
      </c>
      <c r="I1452" s="3" t="s">
        <v>5990</v>
      </c>
      <c r="J1452" s="3" t="s">
        <v>7551</v>
      </c>
      <c r="K1452" s="4" t="b">
        <f>J1452 = "blocking"</f>
        <v>0</v>
      </c>
      <c r="L1452" s="3" t="s">
        <v>1448</v>
      </c>
      <c r="M1452" s="3" t="s">
        <v>7841</v>
      </c>
      <c r="N1452" s="5">
        <v>46223.1297337963</v>
      </c>
      <c r="O1452" s="4" t="b">
        <f>L1452 = "PASS"</f>
        <v>1</v>
      </c>
      <c r="P1452" s="4" t="b">
        <f>L1452 = "FAIL"</f>
        <v>0</v>
      </c>
      <c r="Q1452" s="4" t="b">
        <f>AND(((P1452)=TRUE), ((K1452)=TRUE))</f>
        <v>0</v>
      </c>
      <c r="R1452" s="4" t="str">
        <f>IF(((O1452)=TRUE),  I1452,  "")</f>
        <v>suite-witness</v>
      </c>
      <c r="S1452" s="4" t="str">
        <f>IF(((Q1452)=TRUE),  I1452,  "")</f>
      </c>
      <c r="T1452" s="3" t="s">
        <v>6001</v>
      </c>
    </row>
    <row r="1453">
      <c r="A1453" s="3" t="s">
        <v>7844</v>
      </c>
      <c r="B1453" s="4" t="str">
        <f>C1453 &amp; ": " &amp; D1453</f>
        <v>witness-discriminates: StepExecutions.StepIsSoftwareAssigned</v>
      </c>
      <c r="C1453" s="3" t="s">
        <v>7549</v>
      </c>
      <c r="D1453" s="3" t="s">
        <v>3709</v>
      </c>
      <c r="E1453" s="3" t="s">
        <v>1827</v>
      </c>
      <c r="F1453" s="3" t="s">
        <v>1415</v>
      </c>
      <c r="G1453" s="3" t="s">
        <v>7550</v>
      </c>
      <c r="H1453" s="3" t="s">
        <v>2143</v>
      </c>
      <c r="I1453" s="3" t="s">
        <v>5990</v>
      </c>
      <c r="J1453" s="3" t="s">
        <v>7551</v>
      </c>
      <c r="K1453" s="4" t="b">
        <f>J1453 = "blocking"</f>
        <v>0</v>
      </c>
      <c r="L1453" s="3" t="s">
        <v>1448</v>
      </c>
      <c r="M1453" s="3" t="s">
        <v>7841</v>
      </c>
      <c r="N1453" s="5">
        <v>46223.1297337963</v>
      </c>
      <c r="O1453" s="4" t="b">
        <f>L1453 = "PASS"</f>
        <v>1</v>
      </c>
      <c r="P1453" s="4" t="b">
        <f>L1453 = "FAIL"</f>
        <v>0</v>
      </c>
      <c r="Q1453" s="4" t="b">
        <f>AND(((P1453)=TRUE), ((K1453)=TRUE))</f>
        <v>0</v>
      </c>
      <c r="R1453" s="4" t="str">
        <f>IF(((O1453)=TRUE),  I1453,  "")</f>
        <v>suite-witness</v>
      </c>
      <c r="S1453" s="4" t="str">
        <f>IF(((Q1453)=TRUE),  I1453,  "")</f>
      </c>
      <c r="T1453" s="3" t="s">
        <v>6001</v>
      </c>
    </row>
    <row r="1454">
      <c r="A1454" s="3" t="s">
        <v>7845</v>
      </c>
      <c r="B1454" s="4" t="str">
        <f>C1454 &amp; ": " &amp; D1454</f>
        <v>witness-discriminates: StepExecutions.SoftwareDidHumanWork</v>
      </c>
      <c r="C1454" s="3" t="s">
        <v>7549</v>
      </c>
      <c r="D1454" s="3" t="s">
        <v>3710</v>
      </c>
      <c r="E1454" s="3" t="s">
        <v>1827</v>
      </c>
      <c r="F1454" s="3" t="s">
        <v>1416</v>
      </c>
      <c r="G1454" s="3" t="s">
        <v>7550</v>
      </c>
      <c r="H1454" s="3" t="s">
        <v>2143</v>
      </c>
      <c r="I1454" s="3" t="s">
        <v>5990</v>
      </c>
      <c r="J1454" s="3" t="s">
        <v>7551</v>
      </c>
      <c r="K1454" s="4" t="b">
        <f>J1454 = "blocking"</f>
        <v>0</v>
      </c>
      <c r="L1454" s="3" t="s">
        <v>1451</v>
      </c>
      <c r="M1454" s="3" t="s">
        <v>7558</v>
      </c>
      <c r="N1454" s="5">
        <v>46223.1297337963</v>
      </c>
      <c r="O1454" s="4" t="b">
        <f>L1454 = "PASS"</f>
        <v>0</v>
      </c>
      <c r="P1454" s="4" t="b">
        <f>L1454 = "FAIL"</f>
        <v>0</v>
      </c>
      <c r="Q1454" s="4" t="b">
        <f>AND(((P1454)=TRUE), ((K1454)=TRUE))</f>
        <v>0</v>
      </c>
      <c r="R1454" s="4" t="str">
        <f>IF(((O1454)=TRUE),  I1454,  "")</f>
      </c>
      <c r="S1454" s="4" t="str">
        <f>IF(((Q1454)=TRUE),  I1454,  "")</f>
      </c>
      <c r="T1454" s="3" t="s">
        <v>6001</v>
      </c>
    </row>
    <row r="1455">
      <c r="A1455" s="3" t="s">
        <v>7846</v>
      </c>
      <c r="B1455" s="4" t="str">
        <f>C1455 &amp; ": " &amp; D1455</f>
        <v>witness-discriminates: StepExecutions.IsApprovalExecution</v>
      </c>
      <c r="C1455" s="3" t="s">
        <v>7549</v>
      </c>
      <c r="D1455" s="3" t="s">
        <v>3712</v>
      </c>
      <c r="E1455" s="3" t="s">
        <v>1827</v>
      </c>
      <c r="F1455" s="3" t="s">
        <v>1417</v>
      </c>
      <c r="G1455" s="3" t="s">
        <v>7550</v>
      </c>
      <c r="H1455" s="3" t="s">
        <v>2151</v>
      </c>
      <c r="I1455" s="3" t="s">
        <v>5990</v>
      </c>
      <c r="J1455" s="3" t="s">
        <v>7551</v>
      </c>
      <c r="K1455" s="4" t="b">
        <f>J1455 = "blocking"</f>
        <v>0</v>
      </c>
      <c r="L1455" s="3" t="s">
        <v>1448</v>
      </c>
      <c r="M1455" s="3" t="s">
        <v>7563</v>
      </c>
      <c r="N1455" s="5">
        <v>46223.1297337963</v>
      </c>
      <c r="O1455" s="4" t="b">
        <f>L1455 = "PASS"</f>
        <v>1</v>
      </c>
      <c r="P1455" s="4" t="b">
        <f>L1455 = "FAIL"</f>
        <v>0</v>
      </c>
      <c r="Q1455" s="4" t="b">
        <f>AND(((P1455)=TRUE), ((K1455)=TRUE))</f>
        <v>0</v>
      </c>
      <c r="R1455" s="4" t="str">
        <f>IF(((O1455)=TRUE),  I1455,  "")</f>
        <v>suite-witness</v>
      </c>
      <c r="S1455" s="4" t="str">
        <f>IF(((Q1455)=TRUE),  I1455,  "")</f>
      </c>
      <c r="T1455" s="3" t="s">
        <v>6001</v>
      </c>
    </row>
    <row r="1456">
      <c r="A1456" s="3" t="s">
        <v>7847</v>
      </c>
      <c r="B1456" s="4" t="str">
        <f>C1456 &amp; ": " &amp; D1456</f>
        <v>witness-discriminates: StepExecutions.IsVerified</v>
      </c>
      <c r="C1456" s="3" t="s">
        <v>7549</v>
      </c>
      <c r="D1456" s="3" t="s">
        <v>3714</v>
      </c>
      <c r="E1456" s="3" t="s">
        <v>1827</v>
      </c>
      <c r="F1456" s="3" t="s">
        <v>1418</v>
      </c>
      <c r="G1456" s="3" t="s">
        <v>7550</v>
      </c>
      <c r="H1456" s="3" t="s">
        <v>2151</v>
      </c>
      <c r="I1456" s="3" t="s">
        <v>5990</v>
      </c>
      <c r="J1456" s="3" t="s">
        <v>7551</v>
      </c>
      <c r="K1456" s="4" t="b">
        <f>J1456 = "blocking"</f>
        <v>0</v>
      </c>
      <c r="L1456" s="3" t="s">
        <v>1451</v>
      </c>
      <c r="M1456" s="3" t="s">
        <v>7823</v>
      </c>
      <c r="N1456" s="5">
        <v>46223.1297337963</v>
      </c>
      <c r="O1456" s="4" t="b">
        <f>L1456 = "PASS"</f>
        <v>0</v>
      </c>
      <c r="P1456" s="4" t="b">
        <f>L1456 = "FAIL"</f>
        <v>0</v>
      </c>
      <c r="Q1456" s="4" t="b">
        <f>AND(((P1456)=TRUE), ((K1456)=TRUE))</f>
        <v>0</v>
      </c>
      <c r="R1456" s="4" t="str">
        <f>IF(((O1456)=TRUE),  I1456,  "")</f>
      </c>
      <c r="S1456" s="4" t="str">
        <f>IF(((Q1456)=TRUE),  I1456,  "")</f>
      </c>
      <c r="T1456" s="3" t="s">
        <v>6001</v>
      </c>
    </row>
    <row r="1457">
      <c r="A1457" s="3" t="s">
        <v>7848</v>
      </c>
      <c r="B1457" s="4" t="str">
        <f>C1457 &amp; ": " &amp; D1457</f>
        <v>witness-discriminates: StepExecutions.RequiresHumanConfirmation</v>
      </c>
      <c r="C1457" s="3" t="s">
        <v>7549</v>
      </c>
      <c r="D1457" s="3" t="s">
        <v>3718</v>
      </c>
      <c r="E1457" s="3" t="s">
        <v>1827</v>
      </c>
      <c r="F1457" s="3" t="s">
        <v>507</v>
      </c>
      <c r="G1457" s="3" t="s">
        <v>7550</v>
      </c>
      <c r="H1457" s="3" t="s">
        <v>2171</v>
      </c>
      <c r="I1457" s="3" t="s">
        <v>5990</v>
      </c>
      <c r="J1457" s="3" t="s">
        <v>7551</v>
      </c>
      <c r="K1457" s="4" t="b">
        <f>J1457 = "blocking"</f>
        <v>0</v>
      </c>
      <c r="L1457" s="3" t="s">
        <v>1448</v>
      </c>
      <c r="M1457" s="3" t="s">
        <v>7567</v>
      </c>
      <c r="N1457" s="5">
        <v>46223.1297337963</v>
      </c>
      <c r="O1457" s="4" t="b">
        <f>L1457 = "PASS"</f>
        <v>1</v>
      </c>
      <c r="P1457" s="4" t="b">
        <f>L1457 = "FAIL"</f>
        <v>0</v>
      </c>
      <c r="Q1457" s="4" t="b">
        <f>AND(((P1457)=TRUE), ((K1457)=TRUE))</f>
        <v>0</v>
      </c>
      <c r="R1457" s="4" t="str">
        <f>IF(((O1457)=TRUE),  I1457,  "")</f>
        <v>suite-witness</v>
      </c>
      <c r="S1457" s="4" t="str">
        <f>IF(((Q1457)=TRUE),  I1457,  "")</f>
      </c>
      <c r="T1457" s="3" t="s">
        <v>6001</v>
      </c>
    </row>
    <row r="1458">
      <c r="A1458" s="3" t="s">
        <v>7849</v>
      </c>
      <c r="B1458" s="4" t="str">
        <f>C1458 &amp; ": " &amp; D1458</f>
        <v>witness-discriminates: StepExecutions.HumanConfirmationMissing</v>
      </c>
      <c r="C1458" s="3" t="s">
        <v>7549</v>
      </c>
      <c r="D1458" s="3" t="s">
        <v>3719</v>
      </c>
      <c r="E1458" s="3" t="s">
        <v>1827</v>
      </c>
      <c r="F1458" s="3" t="s">
        <v>1420</v>
      </c>
      <c r="G1458" s="3" t="s">
        <v>7550</v>
      </c>
      <c r="H1458" s="3" t="s">
        <v>2171</v>
      </c>
      <c r="I1458" s="3" t="s">
        <v>5990</v>
      </c>
      <c r="J1458" s="3" t="s">
        <v>7551</v>
      </c>
      <c r="K1458" s="4" t="b">
        <f>J1458 = "blocking"</f>
        <v>0</v>
      </c>
      <c r="L1458" s="3" t="s">
        <v>1451</v>
      </c>
      <c r="M1458" s="3" t="s">
        <v>7558</v>
      </c>
      <c r="N1458" s="5">
        <v>46223.1297337963</v>
      </c>
      <c r="O1458" s="4" t="b">
        <f>L1458 = "PASS"</f>
        <v>0</v>
      </c>
      <c r="P1458" s="4" t="b">
        <f>L1458 = "FAIL"</f>
        <v>0</v>
      </c>
      <c r="Q1458" s="4" t="b">
        <f>AND(((P1458)=TRUE), ((K1458)=TRUE))</f>
        <v>0</v>
      </c>
      <c r="R1458" s="4" t="str">
        <f>IF(((O1458)=TRUE),  I1458,  "")</f>
      </c>
      <c r="S1458" s="4" t="str">
        <f>IF(((Q1458)=TRUE),  I1458,  "")</f>
      </c>
      <c r="T1458" s="3" t="s">
        <v>6001</v>
      </c>
    </row>
    <row r="1459">
      <c r="A1459" s="3" t="s">
        <v>7850</v>
      </c>
      <c r="B1459" s="4" t="str">
        <f>C1459 &amp; ": " &amp; D1459</f>
        <v>witness-discriminates: StepExecutions.DraftedFromUnusableSource</v>
      </c>
      <c r="C1459" s="3" t="s">
        <v>7549</v>
      </c>
      <c r="D1459" s="3" t="s">
        <v>3721</v>
      </c>
      <c r="E1459" s="3" t="s">
        <v>1827</v>
      </c>
      <c r="F1459" s="3" t="s">
        <v>1421</v>
      </c>
      <c r="G1459" s="3" t="s">
        <v>7550</v>
      </c>
      <c r="H1459" s="3" t="s">
        <v>2183</v>
      </c>
      <c r="I1459" s="3" t="s">
        <v>5990</v>
      </c>
      <c r="J1459" s="3" t="s">
        <v>7551</v>
      </c>
      <c r="K1459" s="4" t="b">
        <f>J1459 = "blocking"</f>
        <v>0</v>
      </c>
      <c r="L1459" s="3" t="s">
        <v>1448</v>
      </c>
      <c r="M1459" s="3" t="s">
        <v>7813</v>
      </c>
      <c r="N1459" s="5">
        <v>46223.1297337963</v>
      </c>
      <c r="O1459" s="4" t="b">
        <f>L1459 = "PASS"</f>
        <v>1</v>
      </c>
      <c r="P1459" s="4" t="b">
        <f>L1459 = "FAIL"</f>
        <v>0</v>
      </c>
      <c r="Q1459" s="4" t="b">
        <f>AND(((P1459)=TRUE), ((K1459)=TRUE))</f>
        <v>0</v>
      </c>
      <c r="R1459" s="4" t="str">
        <f>IF(((O1459)=TRUE),  I1459,  "")</f>
        <v>suite-witness</v>
      </c>
      <c r="S1459" s="4" t="str">
        <f>IF(((Q1459)=TRUE),  I1459,  "")</f>
      </c>
      <c r="T1459" s="3" t="s">
        <v>6001</v>
      </c>
    </row>
    <row r="1460">
      <c r="A1460" s="3" t="s">
        <v>7851</v>
      </c>
      <c r="B1460" s="4" t="str">
        <f>C1460 &amp; ": " &amp; D1460</f>
        <v>witness-discriminates: StepExecutions.InputsWereUsable</v>
      </c>
      <c r="C1460" s="3" t="s">
        <v>7549</v>
      </c>
      <c r="D1460" s="3" t="s">
        <v>3723</v>
      </c>
      <c r="E1460" s="3" t="s">
        <v>1827</v>
      </c>
      <c r="F1460" s="3" t="s">
        <v>1422</v>
      </c>
      <c r="G1460" s="3" t="s">
        <v>7550</v>
      </c>
      <c r="H1460" s="3" t="s">
        <v>2183</v>
      </c>
      <c r="I1460" s="3" t="s">
        <v>5990</v>
      </c>
      <c r="J1460" s="3" t="s">
        <v>7551</v>
      </c>
      <c r="K1460" s="4" t="b">
        <f>J1460 = "blocking"</f>
        <v>0</v>
      </c>
      <c r="L1460" s="3" t="s">
        <v>1448</v>
      </c>
      <c r="M1460" s="3" t="s">
        <v>7837</v>
      </c>
      <c r="N1460" s="5">
        <v>46223.1297337963</v>
      </c>
      <c r="O1460" s="4" t="b">
        <f>L1460 = "PASS"</f>
        <v>1</v>
      </c>
      <c r="P1460" s="4" t="b">
        <f>L1460 = "FAIL"</f>
        <v>0</v>
      </c>
      <c r="Q1460" s="4" t="b">
        <f>AND(((P1460)=TRUE), ((K1460)=TRUE))</f>
        <v>0</v>
      </c>
      <c r="R1460" s="4" t="str">
        <f>IF(((O1460)=TRUE),  I1460,  "")</f>
        <v>suite-witness</v>
      </c>
      <c r="S1460" s="4" t="str">
        <f>IF(((Q1460)=TRUE),  I1460,  "")</f>
      </c>
      <c r="T1460" s="3" t="s">
        <v>6001</v>
      </c>
    </row>
    <row r="1461">
      <c r="A1461" s="3" t="s">
        <v>7852</v>
      </c>
      <c r="B1461" s="4" t="str">
        <f>C1461 &amp; ": " &amp; D1461</f>
        <v>witness-discriminates: StepExecutions.AllClearancesAreUnfalsified</v>
      </c>
      <c r="C1461" s="3" t="s">
        <v>7549</v>
      </c>
      <c r="D1461" s="3" t="s">
        <v>3731</v>
      </c>
      <c r="E1461" s="3" t="s">
        <v>1827</v>
      </c>
      <c r="F1461" s="3" t="s">
        <v>1426</v>
      </c>
      <c r="G1461" s="3" t="s">
        <v>7550</v>
      </c>
      <c r="H1461" s="3" t="s">
        <v>2259</v>
      </c>
      <c r="I1461" s="3" t="s">
        <v>5990</v>
      </c>
      <c r="J1461" s="3" t="s">
        <v>7551</v>
      </c>
      <c r="K1461" s="4" t="b">
        <f>J1461 = "blocking"</f>
        <v>0</v>
      </c>
      <c r="L1461" s="3" t="s">
        <v>1448</v>
      </c>
      <c r="M1461" s="3" t="s">
        <v>7841</v>
      </c>
      <c r="N1461" s="5">
        <v>46223.1297337963</v>
      </c>
      <c r="O1461" s="4" t="b">
        <f>L1461 = "PASS"</f>
        <v>1</v>
      </c>
      <c r="P1461" s="4" t="b">
        <f>L1461 = "FAIL"</f>
        <v>0</v>
      </c>
      <c r="Q1461" s="4" t="b">
        <f>AND(((P1461)=TRUE), ((K1461)=TRUE))</f>
        <v>0</v>
      </c>
      <c r="R1461" s="4" t="str">
        <f>IF(((O1461)=TRUE),  I1461,  "")</f>
        <v>suite-witness</v>
      </c>
      <c r="S1461" s="4" t="str">
        <f>IF(((Q1461)=TRUE),  I1461,  "")</f>
      </c>
      <c r="T1461" s="3" t="s">
        <v>6001</v>
      </c>
    </row>
    <row r="1462">
      <c r="A1462" s="3" t="s">
        <v>7853</v>
      </c>
      <c r="B1462" s="4" t="str">
        <f>C1462 &amp; ": " &amp; D1462</f>
        <v>witness-discriminates: StepExecutions.WasStaleWhenIRanIt</v>
      </c>
      <c r="C1462" s="3" t="s">
        <v>7549</v>
      </c>
      <c r="D1462" s="3" t="s">
        <v>3735</v>
      </c>
      <c r="E1462" s="3" t="s">
        <v>1827</v>
      </c>
      <c r="F1462" s="3" t="s">
        <v>1428</v>
      </c>
      <c r="G1462" s="3" t="s">
        <v>7550</v>
      </c>
      <c r="H1462" s="3" t="s">
        <v>2263</v>
      </c>
      <c r="I1462" s="3" t="s">
        <v>5990</v>
      </c>
      <c r="J1462" s="3" t="s">
        <v>7551</v>
      </c>
      <c r="K1462" s="4" t="b">
        <f>J1462 = "blocking"</f>
        <v>0</v>
      </c>
      <c r="L1462" s="3" t="s">
        <v>1451</v>
      </c>
      <c r="M1462" s="3" t="s">
        <v>7558</v>
      </c>
      <c r="N1462" s="5">
        <v>46223.1297337963</v>
      </c>
      <c r="O1462" s="4" t="b">
        <f>L1462 = "PASS"</f>
        <v>0</v>
      </c>
      <c r="P1462" s="4" t="b">
        <f>L1462 = "FAIL"</f>
        <v>0</v>
      </c>
      <c r="Q1462" s="4" t="b">
        <f>AND(((P1462)=TRUE), ((K1462)=TRUE))</f>
        <v>0</v>
      </c>
      <c r="R1462" s="4" t="str">
        <f>IF(((O1462)=TRUE),  I1462,  "")</f>
      </c>
      <c r="S1462" s="4" t="str">
        <f>IF(((Q1462)=TRUE),  I1462,  "")</f>
      </c>
      <c r="T1462" s="3" t="s">
        <v>6001</v>
      </c>
    </row>
    <row r="1463">
      <c r="A1463" s="3" t="s">
        <v>7854</v>
      </c>
      <c r="B1463" s="4" t="str">
        <f>C1463 &amp; ": " &amp; D1463</f>
        <v>witness-discriminates: StepExecutions.StalenessAnswerIsTenseDependent</v>
      </c>
      <c r="C1463" s="3" t="s">
        <v>7549</v>
      </c>
      <c r="D1463" s="3" t="s">
        <v>3737</v>
      </c>
      <c r="E1463" s="3" t="s">
        <v>1827</v>
      </c>
      <c r="F1463" s="3" t="s">
        <v>1429</v>
      </c>
      <c r="G1463" s="3" t="s">
        <v>7550</v>
      </c>
      <c r="H1463" s="3" t="s">
        <v>2263</v>
      </c>
      <c r="I1463" s="3" t="s">
        <v>5990</v>
      </c>
      <c r="J1463" s="3" t="s">
        <v>7551</v>
      </c>
      <c r="K1463" s="4" t="b">
        <f>J1463 = "blocking"</f>
        <v>0</v>
      </c>
      <c r="L1463" s="3" t="s">
        <v>1448</v>
      </c>
      <c r="M1463" s="3" t="s">
        <v>7813</v>
      </c>
      <c r="N1463" s="5">
        <v>46223.1297337963</v>
      </c>
      <c r="O1463" s="4" t="b">
        <f>L1463 = "PASS"</f>
        <v>1</v>
      </c>
      <c r="P1463" s="4" t="b">
        <f>L1463 = "FAIL"</f>
        <v>0</v>
      </c>
      <c r="Q1463" s="4" t="b">
        <f>AND(((P1463)=TRUE), ((K1463)=TRUE))</f>
        <v>0</v>
      </c>
      <c r="R1463" s="4" t="str">
        <f>IF(((O1463)=TRUE),  I1463,  "")</f>
        <v>suite-witness</v>
      </c>
      <c r="S1463" s="4" t="str">
        <f>IF(((Q1463)=TRUE),  I1463,  "")</f>
      </c>
      <c r="T1463" s="3" t="s">
        <v>6001</v>
      </c>
    </row>
    <row r="1464">
      <c r="A1464" s="3" t="s">
        <v>7855</v>
      </c>
      <c r="B1464" s="4" t="str">
        <f>C1464 &amp; ": " &amp; D1464</f>
        <v>witness-discriminates: StepExecutions.HasAnyDeclaredCheck</v>
      </c>
      <c r="C1464" s="3" t="s">
        <v>7549</v>
      </c>
      <c r="D1464" s="3" t="s">
        <v>3739</v>
      </c>
      <c r="E1464" s="3" t="s">
        <v>1827</v>
      </c>
      <c r="F1464" s="3" t="s">
        <v>1430</v>
      </c>
      <c r="G1464" s="3" t="s">
        <v>7550</v>
      </c>
      <c r="H1464" s="3" t="s">
        <v>2271</v>
      </c>
      <c r="I1464" s="3" t="s">
        <v>5990</v>
      </c>
      <c r="J1464" s="3" t="s">
        <v>7551</v>
      </c>
      <c r="K1464" s="4" t="b">
        <f>J1464 = "blocking"</f>
        <v>0</v>
      </c>
      <c r="L1464" s="3" t="s">
        <v>1448</v>
      </c>
      <c r="M1464" s="3" t="s">
        <v>7856</v>
      </c>
      <c r="N1464" s="5">
        <v>46223.1297337963</v>
      </c>
      <c r="O1464" s="4" t="b">
        <f>L1464 = "PASS"</f>
        <v>1</v>
      </c>
      <c r="P1464" s="4" t="b">
        <f>L1464 = "FAIL"</f>
        <v>0</v>
      </c>
      <c r="Q1464" s="4" t="b">
        <f>AND(((P1464)=TRUE), ((K1464)=TRUE))</f>
        <v>0</v>
      </c>
      <c r="R1464" s="4" t="str">
        <f>IF(((O1464)=TRUE),  I1464,  "")</f>
        <v>suite-witness</v>
      </c>
      <c r="S1464" s="4" t="str">
        <f>IF(((Q1464)=TRUE),  I1464,  "")</f>
      </c>
      <c r="T1464" s="3" t="s">
        <v>6001</v>
      </c>
    </row>
    <row r="1465">
      <c r="A1465" s="3" t="s">
        <v>7857</v>
      </c>
      <c r="B1465" s="4" t="str">
        <f>C1465 &amp; ": " &amp; D1465</f>
        <v>witness-discriminates: StepExecutions.IsUncheckedByDesign</v>
      </c>
      <c r="C1465" s="3" t="s">
        <v>7549</v>
      </c>
      <c r="D1465" s="3" t="s">
        <v>3745</v>
      </c>
      <c r="E1465" s="3" t="s">
        <v>1827</v>
      </c>
      <c r="F1465" s="3" t="s">
        <v>1433</v>
      </c>
      <c r="G1465" s="3" t="s">
        <v>7550</v>
      </c>
      <c r="H1465" s="3" t="s">
        <v>2271</v>
      </c>
      <c r="I1465" s="3" t="s">
        <v>5990</v>
      </c>
      <c r="J1465" s="3" t="s">
        <v>7551</v>
      </c>
      <c r="K1465" s="4" t="b">
        <f>J1465 = "blocking"</f>
        <v>0</v>
      </c>
      <c r="L1465" s="3" t="s">
        <v>1448</v>
      </c>
      <c r="M1465" s="3" t="s">
        <v>7560</v>
      </c>
      <c r="N1465" s="5">
        <v>46223.1297337963</v>
      </c>
      <c r="O1465" s="4" t="b">
        <f>L1465 = "PASS"</f>
        <v>1</v>
      </c>
      <c r="P1465" s="4" t="b">
        <f>L1465 = "FAIL"</f>
        <v>0</v>
      </c>
      <c r="Q1465" s="4" t="b">
        <f>AND(((P1465)=TRUE), ((K1465)=TRUE))</f>
        <v>0</v>
      </c>
      <c r="R1465" s="4" t="str">
        <f>IF(((O1465)=TRUE),  I1465,  "")</f>
        <v>suite-witness</v>
      </c>
      <c r="S1465" s="4" t="str">
        <f>IF(((Q1465)=TRUE),  I1465,  "")</f>
      </c>
      <c r="T1465" s="3" t="s">
        <v>6001</v>
      </c>
    </row>
    <row r="1466">
      <c r="A1466" s="3" t="s">
        <v>7858</v>
      </c>
      <c r="B1466" s="4" t="str">
        <f>C1466 &amp; ": " &amp; D1466</f>
        <v>witness-discriminates: StepExecutions.IsVacuouslyClean</v>
      </c>
      <c r="C1466" s="3" t="s">
        <v>7549</v>
      </c>
      <c r="D1466" s="3" t="s">
        <v>3747</v>
      </c>
      <c r="E1466" s="3" t="s">
        <v>1827</v>
      </c>
      <c r="F1466" s="3" t="s">
        <v>1434</v>
      </c>
      <c r="G1466" s="3" t="s">
        <v>7550</v>
      </c>
      <c r="H1466" s="3" t="s">
        <v>2271</v>
      </c>
      <c r="I1466" s="3" t="s">
        <v>5990</v>
      </c>
      <c r="J1466" s="3" t="s">
        <v>7551</v>
      </c>
      <c r="K1466" s="4" t="b">
        <f>J1466 = "blocking"</f>
        <v>0</v>
      </c>
      <c r="L1466" s="3" t="s">
        <v>1448</v>
      </c>
      <c r="M1466" s="3" t="s">
        <v>7813</v>
      </c>
      <c r="N1466" s="5">
        <v>46223.1297337963</v>
      </c>
      <c r="O1466" s="4" t="b">
        <f>L1466 = "PASS"</f>
        <v>1</v>
      </c>
      <c r="P1466" s="4" t="b">
        <f>L1466 = "FAIL"</f>
        <v>0</v>
      </c>
      <c r="Q1466" s="4" t="b">
        <f>AND(((P1466)=TRUE), ((K1466)=TRUE))</f>
        <v>0</v>
      </c>
      <c r="R1466" s="4" t="str">
        <f>IF(((O1466)=TRUE),  I1466,  "")</f>
        <v>suite-witness</v>
      </c>
      <c r="S1466" s="4" t="str">
        <f>IF(((Q1466)=TRUE),  I1466,  "")</f>
      </c>
      <c r="T1466" s="3" t="s">
        <v>6001</v>
      </c>
    </row>
    <row r="1467">
      <c r="A1467" s="3" t="s">
        <v>7859</v>
      </c>
      <c r="B1467" s="4" t="str">
        <f>C1467 &amp; ": " &amp; D1467</f>
        <v>witness-discriminates: StepExecutions.IsSubstantivelyClean</v>
      </c>
      <c r="C1467" s="3" t="s">
        <v>7549</v>
      </c>
      <c r="D1467" s="3" t="s">
        <v>3749</v>
      </c>
      <c r="E1467" s="3" t="s">
        <v>1827</v>
      </c>
      <c r="F1467" s="3" t="s">
        <v>1435</v>
      </c>
      <c r="G1467" s="3" t="s">
        <v>7550</v>
      </c>
      <c r="H1467" s="3" t="s">
        <v>2271</v>
      </c>
      <c r="I1467" s="3" t="s">
        <v>5990</v>
      </c>
      <c r="J1467" s="3" t="s">
        <v>7551</v>
      </c>
      <c r="K1467" s="4" t="b">
        <f>J1467 = "blocking"</f>
        <v>0</v>
      </c>
      <c r="L1467" s="3" t="s">
        <v>1448</v>
      </c>
      <c r="M1467" s="3" t="s">
        <v>7563</v>
      </c>
      <c r="N1467" s="5">
        <v>46223.1297337963</v>
      </c>
      <c r="O1467" s="4" t="b">
        <f>L1467 = "PASS"</f>
        <v>1</v>
      </c>
      <c r="P1467" s="4" t="b">
        <f>L1467 = "FAIL"</f>
        <v>0</v>
      </c>
      <c r="Q1467" s="4" t="b">
        <f>AND(((P1467)=TRUE), ((K1467)=TRUE))</f>
        <v>0</v>
      </c>
      <c r="R1467" s="4" t="str">
        <f>IF(((O1467)=TRUE),  I1467,  "")</f>
        <v>suite-witness</v>
      </c>
      <c r="S1467" s="4" t="str">
        <f>IF(((Q1467)=TRUE),  I1467,  "")</f>
      </c>
      <c r="T1467" s="3" t="s">
        <v>6001</v>
      </c>
    </row>
    <row r="1468">
      <c r="A1468" s="3" t="s">
        <v>7860</v>
      </c>
      <c r="B1468" s="4" t="str">
        <f>C1468 &amp; ": " &amp; D1468</f>
        <v>witness-discriminates: StepExecutions.EvidencePositionIsWeak</v>
      </c>
      <c r="C1468" s="3" t="s">
        <v>7549</v>
      </c>
      <c r="D1468" s="3" t="s">
        <v>3755</v>
      </c>
      <c r="E1468" s="3" t="s">
        <v>1827</v>
      </c>
      <c r="F1468" s="3" t="s">
        <v>1438</v>
      </c>
      <c r="G1468" s="3" t="s">
        <v>7550</v>
      </c>
      <c r="H1468" s="3" t="s">
        <v>2275</v>
      </c>
      <c r="I1468" s="3" t="s">
        <v>5990</v>
      </c>
      <c r="J1468" s="3" t="s">
        <v>7551</v>
      </c>
      <c r="K1468" s="4" t="b">
        <f>J1468 = "blocking"</f>
        <v>0</v>
      </c>
      <c r="L1468" s="3" t="s">
        <v>1448</v>
      </c>
      <c r="M1468" s="3" t="s">
        <v>7563</v>
      </c>
      <c r="N1468" s="5">
        <v>46223.1297337963</v>
      </c>
      <c r="O1468" s="4" t="b">
        <f>L1468 = "PASS"</f>
        <v>1</v>
      </c>
      <c r="P1468" s="4" t="b">
        <f>L1468 = "FAIL"</f>
        <v>0</v>
      </c>
      <c r="Q1468" s="4" t="b">
        <f>AND(((P1468)=TRUE), ((K1468)=TRUE))</f>
        <v>0</v>
      </c>
      <c r="R1468" s="4" t="str">
        <f>IF(((O1468)=TRUE),  I1468,  "")</f>
        <v>suite-witness</v>
      </c>
      <c r="S1468" s="4" t="str">
        <f>IF(((Q1468)=TRUE),  I1468,  "")</f>
      </c>
      <c r="T1468" s="3" t="s">
        <v>6001</v>
      </c>
    </row>
    <row r="1469">
      <c r="A1469" s="3" t="s">
        <v>7861</v>
      </c>
      <c r="B1469" s="4" t="str">
        <f>C1469 &amp; ": " &amp; D1469</f>
        <v>witness-discriminates: StepExecutions.HasGoverningInstrument</v>
      </c>
      <c r="C1469" s="3" t="s">
        <v>7549</v>
      </c>
      <c r="D1469" s="3" t="s">
        <v>3761</v>
      </c>
      <c r="E1469" s="3" t="s">
        <v>1827</v>
      </c>
      <c r="F1469" s="3" t="s">
        <v>1441</v>
      </c>
      <c r="G1469" s="3" t="s">
        <v>7550</v>
      </c>
      <c r="H1469" s="3" t="s">
        <v>2295</v>
      </c>
      <c r="I1469" s="3" t="s">
        <v>5990</v>
      </c>
      <c r="J1469" s="3" t="s">
        <v>7551</v>
      </c>
      <c r="K1469" s="4" t="b">
        <f>J1469 = "blocking"</f>
        <v>0</v>
      </c>
      <c r="L1469" s="3" t="s">
        <v>1448</v>
      </c>
      <c r="M1469" s="3" t="s">
        <v>7856</v>
      </c>
      <c r="N1469" s="5">
        <v>46223.1297337963</v>
      </c>
      <c r="O1469" s="4" t="b">
        <f>L1469 = "PASS"</f>
        <v>1</v>
      </c>
      <c r="P1469" s="4" t="b">
        <f>L1469 = "FAIL"</f>
        <v>0</v>
      </c>
      <c r="Q1469" s="4" t="b">
        <f>AND(((P1469)=TRUE), ((K1469)=TRUE))</f>
        <v>0</v>
      </c>
      <c r="R1469" s="4" t="str">
        <f>IF(((O1469)=TRUE),  I1469,  "")</f>
        <v>suite-witness</v>
      </c>
      <c r="S1469" s="4" t="str">
        <f>IF(((Q1469)=TRUE),  I1469,  "")</f>
      </c>
      <c r="T1469" s="3" t="s">
        <v>6001</v>
      </c>
    </row>
    <row r="1470">
      <c r="A1470" s="3" t="s">
        <v>7862</v>
      </c>
      <c r="B1470" s="4" t="str">
        <f>C1470 &amp; ": " &amp; D1470</f>
        <v>witness-discriminates: StepExecutions.HasApprovedChangeCoverage</v>
      </c>
      <c r="C1470" s="3" t="s">
        <v>7549</v>
      </c>
      <c r="D1470" s="3" t="s">
        <v>3763</v>
      </c>
      <c r="E1470" s="3" t="s">
        <v>1827</v>
      </c>
      <c r="F1470" s="3" t="s">
        <v>1442</v>
      </c>
      <c r="G1470" s="3" t="s">
        <v>7550</v>
      </c>
      <c r="H1470" s="3" t="s">
        <v>2295</v>
      </c>
      <c r="I1470" s="3" t="s">
        <v>5990</v>
      </c>
      <c r="J1470" s="3" t="s">
        <v>7551</v>
      </c>
      <c r="K1470" s="4" t="b">
        <f>J1470 = "blocking"</f>
        <v>0</v>
      </c>
      <c r="L1470" s="3" t="s">
        <v>1448</v>
      </c>
      <c r="M1470" s="3" t="s">
        <v>7856</v>
      </c>
      <c r="N1470" s="5">
        <v>46223.1297337963</v>
      </c>
      <c r="O1470" s="4" t="b">
        <f>L1470 = "PASS"</f>
        <v>1</v>
      </c>
      <c r="P1470" s="4" t="b">
        <f>L1470 = "FAIL"</f>
        <v>0</v>
      </c>
      <c r="Q1470" s="4" t="b">
        <f>AND(((P1470)=TRUE), ((K1470)=TRUE))</f>
        <v>0</v>
      </c>
      <c r="R1470" s="4" t="str">
        <f>IF(((O1470)=TRUE),  I1470,  "")</f>
        <v>suite-witness</v>
      </c>
      <c r="S1470" s="4" t="str">
        <f>IF(((Q1470)=TRUE),  I1470,  "")</f>
      </c>
      <c r="T1470" s="3" t="s">
        <v>6001</v>
      </c>
    </row>
    <row r="1471">
      <c r="A1471" s="3" t="s">
        <v>7863</v>
      </c>
      <c r="B1471" s="4" t="str">
        <f>C1471 &amp; ": " &amp; D1471</f>
        <v>witness-discriminates: StepExecutions.IsUngovernedDivergence</v>
      </c>
      <c r="C1471" s="3" t="s">
        <v>7549</v>
      </c>
      <c r="D1471" s="3" t="s">
        <v>3766</v>
      </c>
      <c r="E1471" s="3" t="s">
        <v>1827</v>
      </c>
      <c r="F1471" s="3" t="s">
        <v>1444</v>
      </c>
      <c r="G1471" s="3" t="s">
        <v>7550</v>
      </c>
      <c r="H1471" s="3" t="s">
        <v>2295</v>
      </c>
      <c r="I1471" s="3" t="s">
        <v>5990</v>
      </c>
      <c r="J1471" s="3" t="s">
        <v>7551</v>
      </c>
      <c r="K1471" s="4" t="b">
        <f>J1471 = "blocking"</f>
        <v>0</v>
      </c>
      <c r="L1471" s="3" t="s">
        <v>1448</v>
      </c>
      <c r="M1471" s="3" t="s">
        <v>7813</v>
      </c>
      <c r="N1471" s="5">
        <v>46223.1297337963</v>
      </c>
      <c r="O1471" s="4" t="b">
        <f>L1471 = "PASS"</f>
        <v>1</v>
      </c>
      <c r="P1471" s="4" t="b">
        <f>L1471 = "FAIL"</f>
        <v>0</v>
      </c>
      <c r="Q1471" s="4" t="b">
        <f>AND(((P1471)=TRUE), ((K1471)=TRUE))</f>
        <v>0</v>
      </c>
      <c r="R1471" s="4" t="str">
        <f>IF(((O1471)=TRUE),  I1471,  "")</f>
        <v>suite-witness</v>
      </c>
      <c r="S1471" s="4" t="str">
        <f>IF(((Q1471)=TRUE),  I1471,  "")</f>
      </c>
      <c r="T1471" s="3" t="s">
        <v>6001</v>
      </c>
    </row>
    <row r="1472">
      <c r="A1472" s="3" t="s">
        <v>7864</v>
      </c>
      <c r="B1472" s="4" t="str">
        <f>C1472 &amp; ": " &amp; D1472</f>
        <v>witness-discriminates: RequirementSatisfactions.RequirementIsBlocking</v>
      </c>
      <c r="C1472" s="3" t="s">
        <v>7549</v>
      </c>
      <c r="D1472" s="3" t="s">
        <v>3782</v>
      </c>
      <c r="E1472" s="3" t="s">
        <v>1830</v>
      </c>
      <c r="F1472" s="3" t="s">
        <v>915</v>
      </c>
      <c r="G1472" s="3" t="s">
        <v>7550</v>
      </c>
      <c r="H1472" s="3" t="s">
        <v>1958</v>
      </c>
      <c r="I1472" s="3" t="s">
        <v>5990</v>
      </c>
      <c r="J1472" s="3" t="s">
        <v>7551</v>
      </c>
      <c r="K1472" s="4" t="b">
        <f>J1472 = "blocking"</f>
        <v>0</v>
      </c>
      <c r="L1472" s="3" t="s">
        <v>1451</v>
      </c>
      <c r="M1472" s="3" t="s">
        <v>7772</v>
      </c>
      <c r="N1472" s="5">
        <v>46223.1297337963</v>
      </c>
      <c r="O1472" s="4" t="b">
        <f>L1472 = "PASS"</f>
        <v>0</v>
      </c>
      <c r="P1472" s="4" t="b">
        <f>L1472 = "FAIL"</f>
        <v>0</v>
      </c>
      <c r="Q1472" s="4" t="b">
        <f>AND(((P1472)=TRUE), ((K1472)=TRUE))</f>
        <v>0</v>
      </c>
      <c r="R1472" s="4" t="str">
        <f>IF(((O1472)=TRUE),  I1472,  "")</f>
      </c>
      <c r="S1472" s="4" t="str">
        <f>IF(((Q1472)=TRUE),  I1472,  "")</f>
      </c>
      <c r="T1472" s="3" t="s">
        <v>6001</v>
      </c>
    </row>
    <row r="1473">
      <c r="A1473" s="3" t="s">
        <v>7865</v>
      </c>
      <c r="B1473" s="4" t="str">
        <f>C1473 &amp; ": " &amp; D1473</f>
        <v>witness-discriminates: RequirementSatisfactions.IsFullySatisfied</v>
      </c>
      <c r="C1473" s="3" t="s">
        <v>7549</v>
      </c>
      <c r="D1473" s="3" t="s">
        <v>3783</v>
      </c>
      <c r="E1473" s="3" t="s">
        <v>1830</v>
      </c>
      <c r="F1473" s="3" t="s">
        <v>1472</v>
      </c>
      <c r="G1473" s="3" t="s">
        <v>7550</v>
      </c>
      <c r="H1473" s="3" t="s">
        <v>1958</v>
      </c>
      <c r="I1473" s="3" t="s">
        <v>5990</v>
      </c>
      <c r="J1473" s="3" t="s">
        <v>7551</v>
      </c>
      <c r="K1473" s="4" t="b">
        <f>J1473 = "blocking"</f>
        <v>0</v>
      </c>
      <c r="L1473" s="3" t="s">
        <v>1448</v>
      </c>
      <c r="M1473" s="3" t="s">
        <v>7866</v>
      </c>
      <c r="N1473" s="5">
        <v>46223.1297337963</v>
      </c>
      <c r="O1473" s="4" t="b">
        <f>L1473 = "PASS"</f>
        <v>1</v>
      </c>
      <c r="P1473" s="4" t="b">
        <f>L1473 = "FAIL"</f>
        <v>0</v>
      </c>
      <c r="Q1473" s="4" t="b">
        <f>AND(((P1473)=TRUE), ((K1473)=TRUE))</f>
        <v>0</v>
      </c>
      <c r="R1473" s="4" t="str">
        <f>IF(((O1473)=TRUE),  I1473,  "")</f>
        <v>suite-witness</v>
      </c>
      <c r="S1473" s="4" t="str">
        <f>IF(((Q1473)=TRUE),  I1473,  "")</f>
      </c>
      <c r="T1473" s="3" t="s">
        <v>6001</v>
      </c>
    </row>
    <row r="1474">
      <c r="A1474" s="3" t="s">
        <v>7867</v>
      </c>
      <c r="B1474" s="4" t="str">
        <f>C1474 &amp; ": " &amp; D1474</f>
        <v>witness-discriminates: RequirementSatisfactions.IsBlockingAndUnmet</v>
      </c>
      <c r="C1474" s="3" t="s">
        <v>7549</v>
      </c>
      <c r="D1474" s="3" t="s">
        <v>865</v>
      </c>
      <c r="E1474" s="3" t="s">
        <v>1830</v>
      </c>
      <c r="F1474" s="3" t="s">
        <v>1473</v>
      </c>
      <c r="G1474" s="3" t="s">
        <v>7550</v>
      </c>
      <c r="H1474" s="3" t="s">
        <v>1958</v>
      </c>
      <c r="I1474" s="3" t="s">
        <v>5990</v>
      </c>
      <c r="J1474" s="3" t="s">
        <v>7551</v>
      </c>
      <c r="K1474" s="4" t="b">
        <f>J1474 = "blocking"</f>
        <v>0</v>
      </c>
      <c r="L1474" s="3" t="s">
        <v>1448</v>
      </c>
      <c r="M1474" s="3" t="s">
        <v>7765</v>
      </c>
      <c r="N1474" s="5">
        <v>46223.1297337963</v>
      </c>
      <c r="O1474" s="4" t="b">
        <f>L1474 = "PASS"</f>
        <v>1</v>
      </c>
      <c r="P1474" s="4" t="b">
        <f>L1474 = "FAIL"</f>
        <v>0</v>
      </c>
      <c r="Q1474" s="4" t="b">
        <f>AND(((P1474)=TRUE), ((K1474)=TRUE))</f>
        <v>0</v>
      </c>
      <c r="R1474" s="4" t="str">
        <f>IF(((O1474)=TRUE),  I1474,  "")</f>
        <v>suite-witness</v>
      </c>
      <c r="S1474" s="4" t="str">
        <f>IF(((Q1474)=TRUE),  I1474,  "")</f>
      </c>
      <c r="T1474" s="3" t="s">
        <v>6001</v>
      </c>
    </row>
    <row r="1475">
      <c r="A1475" s="3" t="s">
        <v>7868</v>
      </c>
      <c r="B1475" s="4" t="str">
        <f>C1475 &amp; ": " &amp; D1475</f>
        <v>witness-discriminates: RequirementSatisfactions.NonHumanEvaluatedHumanControl</v>
      </c>
      <c r="C1475" s="3" t="s">
        <v>7549</v>
      </c>
      <c r="D1475" s="3" t="s">
        <v>3794</v>
      </c>
      <c r="E1475" s="3" t="s">
        <v>1830</v>
      </c>
      <c r="F1475" s="3" t="s">
        <v>1478</v>
      </c>
      <c r="G1475" s="3" t="s">
        <v>7550</v>
      </c>
      <c r="H1475" s="3" t="s">
        <v>1995</v>
      </c>
      <c r="I1475" s="3" t="s">
        <v>5990</v>
      </c>
      <c r="J1475" s="3" t="s">
        <v>7551</v>
      </c>
      <c r="K1475" s="4" t="b">
        <f>J1475 = "blocking"</f>
        <v>0</v>
      </c>
      <c r="L1475" s="3" t="s">
        <v>1451</v>
      </c>
      <c r="M1475" s="3" t="s">
        <v>7769</v>
      </c>
      <c r="N1475" s="5">
        <v>46223.1297337963</v>
      </c>
      <c r="O1475" s="4" t="b">
        <f>L1475 = "PASS"</f>
        <v>0</v>
      </c>
      <c r="P1475" s="4" t="b">
        <f>L1475 = "FAIL"</f>
        <v>0</v>
      </c>
      <c r="Q1475" s="4" t="b">
        <f>AND(((P1475)=TRUE), ((K1475)=TRUE))</f>
        <v>0</v>
      </c>
      <c r="R1475" s="4" t="str">
        <f>IF(((O1475)=TRUE),  I1475,  "")</f>
      </c>
      <c r="S1475" s="4" t="str">
        <f>IF(((Q1475)=TRUE),  I1475,  "")</f>
      </c>
      <c r="T1475" s="3" t="s">
        <v>6001</v>
      </c>
    </row>
    <row r="1476">
      <c r="A1476" s="3" t="s">
        <v>7869</v>
      </c>
      <c r="B1476" s="4" t="str">
        <f>C1476 &amp; ": " &amp; D1476</f>
        <v>witness-discriminates: RequirementSatisfactions.RequirementHasComputedWitness</v>
      </c>
      <c r="C1476" s="3" t="s">
        <v>7549</v>
      </c>
      <c r="D1476" s="3" t="s">
        <v>3796</v>
      </c>
      <c r="E1476" s="3" t="s">
        <v>1830</v>
      </c>
      <c r="F1476" s="3" t="s">
        <v>1479</v>
      </c>
      <c r="G1476" s="3" t="s">
        <v>7550</v>
      </c>
      <c r="H1476" s="3" t="s">
        <v>2015</v>
      </c>
      <c r="I1476" s="3" t="s">
        <v>5990</v>
      </c>
      <c r="J1476" s="3" t="s">
        <v>7551</v>
      </c>
      <c r="K1476" s="4" t="b">
        <f>J1476 = "blocking"</f>
        <v>0</v>
      </c>
      <c r="L1476" s="3" t="s">
        <v>1448</v>
      </c>
      <c r="M1476" s="3" t="s">
        <v>7767</v>
      </c>
      <c r="N1476" s="5">
        <v>46223.1297337963</v>
      </c>
      <c r="O1476" s="4" t="b">
        <f>L1476 = "PASS"</f>
        <v>1</v>
      </c>
      <c r="P1476" s="4" t="b">
        <f>L1476 = "FAIL"</f>
        <v>0</v>
      </c>
      <c r="Q1476" s="4" t="b">
        <f>AND(((P1476)=TRUE), ((K1476)=TRUE))</f>
        <v>0</v>
      </c>
      <c r="R1476" s="4" t="str">
        <f>IF(((O1476)=TRUE),  I1476,  "")</f>
        <v>suite-witness</v>
      </c>
      <c r="S1476" s="4" t="str">
        <f>IF(((Q1476)=TRUE),  I1476,  "")</f>
      </c>
      <c r="T1476" s="3" t="s">
        <v>6001</v>
      </c>
    </row>
    <row r="1477">
      <c r="A1477" s="3" t="s">
        <v>7870</v>
      </c>
      <c r="B1477" s="4" t="str">
        <f>C1477 &amp; ": " &amp; D1477</f>
        <v>witness-discriminates: RequirementSatisfactions.IsAssertedOnly</v>
      </c>
      <c r="C1477" s="3" t="s">
        <v>7549</v>
      </c>
      <c r="D1477" s="3" t="s">
        <v>3798</v>
      </c>
      <c r="E1477" s="3" t="s">
        <v>1830</v>
      </c>
      <c r="F1477" s="3" t="s">
        <v>1480</v>
      </c>
      <c r="G1477" s="3" t="s">
        <v>7550</v>
      </c>
      <c r="H1477" s="3" t="s">
        <v>2015</v>
      </c>
      <c r="I1477" s="3" t="s">
        <v>5990</v>
      </c>
      <c r="J1477" s="3" t="s">
        <v>7551</v>
      </c>
      <c r="K1477" s="4" t="b">
        <f>J1477 = "blocking"</f>
        <v>0</v>
      </c>
      <c r="L1477" s="3" t="s">
        <v>1448</v>
      </c>
      <c r="M1477" s="3" t="s">
        <v>7871</v>
      </c>
      <c r="N1477" s="5">
        <v>46223.1297337963</v>
      </c>
      <c r="O1477" s="4" t="b">
        <f>L1477 = "PASS"</f>
        <v>1</v>
      </c>
      <c r="P1477" s="4" t="b">
        <f>L1477 = "FAIL"</f>
        <v>0</v>
      </c>
      <c r="Q1477" s="4" t="b">
        <f>AND(((P1477)=TRUE), ((K1477)=TRUE))</f>
        <v>0</v>
      </c>
      <c r="R1477" s="4" t="str">
        <f>IF(((O1477)=TRUE),  I1477,  "")</f>
        <v>suite-witness</v>
      </c>
      <c r="S1477" s="4" t="str">
        <f>IF(((Q1477)=TRUE),  I1477,  "")</f>
      </c>
      <c r="T1477" s="3" t="s">
        <v>6001</v>
      </c>
    </row>
    <row r="1478">
      <c r="A1478" s="3" t="s">
        <v>7872</v>
      </c>
      <c r="B1478" s="4" t="str">
        <f>C1478 &amp; ": " &amp; D1478</f>
        <v>witness-discriminates: RequirementSatisfactions.IsHumanEvaluated</v>
      </c>
      <c r="C1478" s="3" t="s">
        <v>7549</v>
      </c>
      <c r="D1478" s="3" t="s">
        <v>3806</v>
      </c>
      <c r="E1478" s="3" t="s">
        <v>1830</v>
      </c>
      <c r="F1478" s="3" t="s">
        <v>1484</v>
      </c>
      <c r="G1478" s="3" t="s">
        <v>7550</v>
      </c>
      <c r="H1478" s="3" t="s">
        <v>2195</v>
      </c>
      <c r="I1478" s="3" t="s">
        <v>5990</v>
      </c>
      <c r="J1478" s="3" t="s">
        <v>7551</v>
      </c>
      <c r="K1478" s="4" t="b">
        <f>J1478 = "blocking"</f>
        <v>0</v>
      </c>
      <c r="L1478" s="3" t="s">
        <v>1451</v>
      </c>
      <c r="M1478" s="3" t="s">
        <v>7772</v>
      </c>
      <c r="N1478" s="5">
        <v>46223.1297337963</v>
      </c>
      <c r="O1478" s="4" t="b">
        <f>L1478 = "PASS"</f>
        <v>0</v>
      </c>
      <c r="P1478" s="4" t="b">
        <f>L1478 = "FAIL"</f>
        <v>0</v>
      </c>
      <c r="Q1478" s="4" t="b">
        <f>AND(((P1478)=TRUE), ((K1478)=TRUE))</f>
        <v>0</v>
      </c>
      <c r="R1478" s="4" t="str">
        <f>IF(((O1478)=TRUE),  I1478,  "")</f>
      </c>
      <c r="S1478" s="4" t="str">
        <f>IF(((Q1478)=TRUE),  I1478,  "")</f>
      </c>
      <c r="T1478" s="3" t="s">
        <v>6001</v>
      </c>
    </row>
    <row r="1479">
      <c r="A1479" s="3" t="s">
        <v>7873</v>
      </c>
      <c r="B1479" s="4" t="str">
        <f>C1479 &amp; ": " &amp; D1479</f>
        <v>witness-discriminates: RequirementSatisfactions.IsInvalidApproval</v>
      </c>
      <c r="C1479" s="3" t="s">
        <v>7549</v>
      </c>
      <c r="D1479" s="3" t="s">
        <v>3810</v>
      </c>
      <c r="E1479" s="3" t="s">
        <v>1830</v>
      </c>
      <c r="F1479" s="3" t="s">
        <v>1486</v>
      </c>
      <c r="G1479" s="3" t="s">
        <v>7550</v>
      </c>
      <c r="H1479" s="3" t="s">
        <v>2195</v>
      </c>
      <c r="I1479" s="3" t="s">
        <v>5990</v>
      </c>
      <c r="J1479" s="3" t="s">
        <v>7551</v>
      </c>
      <c r="K1479" s="4" t="b">
        <f>J1479 = "blocking"</f>
        <v>0</v>
      </c>
      <c r="L1479" s="3" t="s">
        <v>1451</v>
      </c>
      <c r="M1479" s="3" t="s">
        <v>7769</v>
      </c>
      <c r="N1479" s="5">
        <v>46223.1297337963</v>
      </c>
      <c r="O1479" s="4" t="b">
        <f>L1479 = "PASS"</f>
        <v>0</v>
      </c>
      <c r="P1479" s="4" t="b">
        <f>L1479 = "FAIL"</f>
        <v>0</v>
      </c>
      <c r="Q1479" s="4" t="b">
        <f>AND(((P1479)=TRUE), ((K1479)=TRUE))</f>
        <v>0</v>
      </c>
      <c r="R1479" s="4" t="str">
        <f>IF(((O1479)=TRUE),  I1479,  "")</f>
      </c>
      <c r="S1479" s="4" t="str">
        <f>IF(((Q1479)=TRUE),  I1479,  "")</f>
      </c>
      <c r="T1479" s="3" t="s">
        <v>6001</v>
      </c>
    </row>
    <row r="1480">
      <c r="A1480" s="3" t="s">
        <v>7874</v>
      </c>
      <c r="B1480" s="4" t="str">
        <f>C1480 &amp; ": " &amp; D1480</f>
        <v>witness-discriminates: RequirementSatisfactions.RequirementIsUnfalsified</v>
      </c>
      <c r="C1480" s="3" t="s">
        <v>7549</v>
      </c>
      <c r="D1480" s="3" t="s">
        <v>3815</v>
      </c>
      <c r="E1480" s="3" t="s">
        <v>1830</v>
      </c>
      <c r="F1480" s="3" t="s">
        <v>1489</v>
      </c>
      <c r="G1480" s="3" t="s">
        <v>7550</v>
      </c>
      <c r="H1480" s="3" t="s">
        <v>2259</v>
      </c>
      <c r="I1480" s="3" t="s">
        <v>5990</v>
      </c>
      <c r="J1480" s="3" t="s">
        <v>7551</v>
      </c>
      <c r="K1480" s="4" t="b">
        <f>J1480 = "blocking"</f>
        <v>0</v>
      </c>
      <c r="L1480" s="3" t="s">
        <v>1448</v>
      </c>
      <c r="M1480" s="3" t="s">
        <v>7875</v>
      </c>
      <c r="N1480" s="5">
        <v>46223.1297337963</v>
      </c>
      <c r="O1480" s="4" t="b">
        <f>L1480 = "PASS"</f>
        <v>1</v>
      </c>
      <c r="P1480" s="4" t="b">
        <f>L1480 = "FAIL"</f>
        <v>0</v>
      </c>
      <c r="Q1480" s="4" t="b">
        <f>AND(((P1480)=TRUE), ((K1480)=TRUE))</f>
        <v>0</v>
      </c>
      <c r="R1480" s="4" t="str">
        <f>IF(((O1480)=TRUE),  I1480,  "")</f>
        <v>suite-witness</v>
      </c>
      <c r="S1480" s="4" t="str">
        <f>IF(((Q1480)=TRUE),  I1480,  "")</f>
      </c>
      <c r="T1480" s="3" t="s">
        <v>6001</v>
      </c>
    </row>
    <row r="1481">
      <c r="A1481" s="3" t="s">
        <v>7876</v>
      </c>
      <c r="B1481" s="4" t="str">
        <f>C1481 &amp; ": " &amp; D1481</f>
        <v>witness-discriminates: RequirementSatisfactions.IsClearanceByUnfalsifiedControl</v>
      </c>
      <c r="C1481" s="3" t="s">
        <v>7549</v>
      </c>
      <c r="D1481" s="3" t="s">
        <v>3817</v>
      </c>
      <c r="E1481" s="3" t="s">
        <v>1830</v>
      </c>
      <c r="F1481" s="3" t="s">
        <v>1490</v>
      </c>
      <c r="G1481" s="3" t="s">
        <v>7550</v>
      </c>
      <c r="H1481" s="3" t="s">
        <v>2259</v>
      </c>
      <c r="I1481" s="3" t="s">
        <v>5990</v>
      </c>
      <c r="J1481" s="3" t="s">
        <v>7551</v>
      </c>
      <c r="K1481" s="4" t="b">
        <f>J1481 = "blocking"</f>
        <v>0</v>
      </c>
      <c r="L1481" s="3" t="s">
        <v>1448</v>
      </c>
      <c r="M1481" s="3" t="s">
        <v>7875</v>
      </c>
      <c r="N1481" s="5">
        <v>46223.1297337963</v>
      </c>
      <c r="O1481" s="4" t="b">
        <f>L1481 = "PASS"</f>
        <v>1</v>
      </c>
      <c r="P1481" s="4" t="b">
        <f>L1481 = "FAIL"</f>
        <v>0</v>
      </c>
      <c r="Q1481" s="4" t="b">
        <f>AND(((P1481)=TRUE), ((K1481)=TRUE))</f>
        <v>0</v>
      </c>
      <c r="R1481" s="4" t="str">
        <f>IF(((O1481)=TRUE),  I1481,  "")</f>
        <v>suite-witness</v>
      </c>
      <c r="S1481" s="4" t="str">
        <f>IF(((Q1481)=TRUE),  I1481,  "")</f>
      </c>
      <c r="T1481" s="3" t="s">
        <v>6001</v>
      </c>
    </row>
    <row r="1482">
      <c r="A1482" s="3" t="s">
        <v>7877</v>
      </c>
      <c r="B1482" s="4" t="str">
        <f>C1482 &amp; ": " &amp; D1482</f>
        <v>witness-discriminates: RequirementSatisfactions.EvaluatorIsStepExecutor</v>
      </c>
      <c r="C1482" s="3" t="s">
        <v>7549</v>
      </c>
      <c r="D1482" s="3" t="s">
        <v>3827</v>
      </c>
      <c r="E1482" s="3" t="s">
        <v>1830</v>
      </c>
      <c r="F1482" s="3" t="s">
        <v>1495</v>
      </c>
      <c r="G1482" s="3" t="s">
        <v>7550</v>
      </c>
      <c r="H1482" s="3" t="s">
        <v>2291</v>
      </c>
      <c r="I1482" s="3" t="s">
        <v>5990</v>
      </c>
      <c r="J1482" s="3" t="s">
        <v>7551</v>
      </c>
      <c r="K1482" s="4" t="b">
        <f>J1482 = "blocking"</f>
        <v>0</v>
      </c>
      <c r="L1482" s="3" t="s">
        <v>1448</v>
      </c>
      <c r="M1482" s="3" t="s">
        <v>7878</v>
      </c>
      <c r="N1482" s="5">
        <v>46223.1297337963</v>
      </c>
      <c r="O1482" s="4" t="b">
        <f>L1482 = "PASS"</f>
        <v>1</v>
      </c>
      <c r="P1482" s="4" t="b">
        <f>L1482 = "FAIL"</f>
        <v>0</v>
      </c>
      <c r="Q1482" s="4" t="b">
        <f>AND(((P1482)=TRUE), ((K1482)=TRUE))</f>
        <v>0</v>
      </c>
      <c r="R1482" s="4" t="str">
        <f>IF(((O1482)=TRUE),  I1482,  "")</f>
        <v>suite-witness</v>
      </c>
      <c r="S1482" s="4" t="str">
        <f>IF(((Q1482)=TRUE),  I1482,  "")</f>
      </c>
      <c r="T1482" s="3" t="s">
        <v>6001</v>
      </c>
    </row>
    <row r="1483">
      <c r="A1483" s="3" t="s">
        <v>7879</v>
      </c>
      <c r="B1483" s="4" t="str">
        <f>C1483 &amp; ": " &amp; D1483</f>
        <v>witness-discriminates: RequirementSatisfactions.EvaluatorOwnsTheRun</v>
      </c>
      <c r="C1483" s="3" t="s">
        <v>7549</v>
      </c>
      <c r="D1483" s="3" t="s">
        <v>3831</v>
      </c>
      <c r="E1483" s="3" t="s">
        <v>1830</v>
      </c>
      <c r="F1483" s="3" t="s">
        <v>1497</v>
      </c>
      <c r="G1483" s="3" t="s">
        <v>7550</v>
      </c>
      <c r="H1483" s="3" t="s">
        <v>2291</v>
      </c>
      <c r="I1483" s="3" t="s">
        <v>5990</v>
      </c>
      <c r="J1483" s="3" t="s">
        <v>7551</v>
      </c>
      <c r="K1483" s="4" t="b">
        <f>J1483 = "blocking"</f>
        <v>0</v>
      </c>
      <c r="L1483" s="3" t="s">
        <v>1448</v>
      </c>
      <c r="M1483" s="3" t="s">
        <v>7767</v>
      </c>
      <c r="N1483" s="5">
        <v>46223.1297337963</v>
      </c>
      <c r="O1483" s="4" t="b">
        <f>L1483 = "PASS"</f>
        <v>1</v>
      </c>
      <c r="P1483" s="4" t="b">
        <f>L1483 = "FAIL"</f>
        <v>0</v>
      </c>
      <c r="Q1483" s="4" t="b">
        <f>AND(((P1483)=TRUE), ((K1483)=TRUE))</f>
        <v>0</v>
      </c>
      <c r="R1483" s="4" t="str">
        <f>IF(((O1483)=TRUE),  I1483,  "")</f>
        <v>suite-witness</v>
      </c>
      <c r="S1483" s="4" t="str">
        <f>IF(((Q1483)=TRUE),  I1483,  "")</f>
      </c>
      <c r="T1483" s="3" t="s">
        <v>6001</v>
      </c>
    </row>
    <row r="1484">
      <c r="A1484" s="3" t="s">
        <v>7880</v>
      </c>
      <c r="B1484" s="4" t="str">
        <f>C1484 &amp; ": " &amp; D1484</f>
        <v>witness-discriminates: RequirementSatisfactions.IsInterestedPartyAssertion</v>
      </c>
      <c r="C1484" s="3" t="s">
        <v>7549</v>
      </c>
      <c r="D1484" s="3" t="s">
        <v>3833</v>
      </c>
      <c r="E1484" s="3" t="s">
        <v>1830</v>
      </c>
      <c r="F1484" s="3" t="s">
        <v>1498</v>
      </c>
      <c r="G1484" s="3" t="s">
        <v>7550</v>
      </c>
      <c r="H1484" s="3" t="s">
        <v>2291</v>
      </c>
      <c r="I1484" s="3" t="s">
        <v>5990</v>
      </c>
      <c r="J1484" s="3" t="s">
        <v>7551</v>
      </c>
      <c r="K1484" s="4" t="b">
        <f>J1484 = "blocking"</f>
        <v>0</v>
      </c>
      <c r="L1484" s="3" t="s">
        <v>1448</v>
      </c>
      <c r="M1484" s="3" t="s">
        <v>7871</v>
      </c>
      <c r="N1484" s="5">
        <v>46223.1297337963</v>
      </c>
      <c r="O1484" s="4" t="b">
        <f>L1484 = "PASS"</f>
        <v>1</v>
      </c>
      <c r="P1484" s="4" t="b">
        <f>L1484 = "FAIL"</f>
        <v>0</v>
      </c>
      <c r="Q1484" s="4" t="b">
        <f>AND(((P1484)=TRUE), ((K1484)=TRUE))</f>
        <v>0</v>
      </c>
      <c r="R1484" s="4" t="str">
        <f>IF(((O1484)=TRUE),  I1484,  "")</f>
        <v>suite-witness</v>
      </c>
      <c r="S1484" s="4" t="str">
        <f>IF(((Q1484)=TRUE),  I1484,  "")</f>
      </c>
      <c r="T1484" s="3" t="s">
        <v>6001</v>
      </c>
    </row>
    <row r="1485">
      <c r="A1485" s="3" t="s">
        <v>7881</v>
      </c>
      <c r="B1485" s="4" t="str">
        <f>C1485 &amp; ": " &amp; D1485</f>
        <v>witness-discriminates: RequirementSatisfactions.HasWrittenEvidence</v>
      </c>
      <c r="C1485" s="3" t="s">
        <v>7549</v>
      </c>
      <c r="D1485" s="3" t="s">
        <v>3835</v>
      </c>
      <c r="E1485" s="3" t="s">
        <v>1830</v>
      </c>
      <c r="F1485" s="3" t="s">
        <v>1499</v>
      </c>
      <c r="G1485" s="3" t="s">
        <v>7550</v>
      </c>
      <c r="H1485" s="3" t="s">
        <v>2291</v>
      </c>
      <c r="I1485" s="3" t="s">
        <v>5990</v>
      </c>
      <c r="J1485" s="3" t="s">
        <v>7551</v>
      </c>
      <c r="K1485" s="4" t="b">
        <f>J1485 = "blocking"</f>
        <v>0</v>
      </c>
      <c r="L1485" s="3" t="s">
        <v>1451</v>
      </c>
      <c r="M1485" s="3" t="s">
        <v>7772</v>
      </c>
      <c r="N1485" s="5">
        <v>46223.1297337963</v>
      </c>
      <c r="O1485" s="4" t="b">
        <f>L1485 = "PASS"</f>
        <v>0</v>
      </c>
      <c r="P1485" s="4" t="b">
        <f>L1485 = "FAIL"</f>
        <v>0</v>
      </c>
      <c r="Q1485" s="4" t="b">
        <f>AND(((P1485)=TRUE), ((K1485)=TRUE))</f>
        <v>0</v>
      </c>
      <c r="R1485" s="4" t="str">
        <f>IF(((O1485)=TRUE),  I1485,  "")</f>
      </c>
      <c r="S1485" s="4" t="str">
        <f>IF(((Q1485)=TRUE),  I1485,  "")</f>
      </c>
      <c r="T1485" s="3" t="s">
        <v>6001</v>
      </c>
    </row>
    <row r="1486">
      <c r="A1486" s="3" t="s">
        <v>7882</v>
      </c>
      <c r="B1486" s="4" t="str">
        <f>C1486 &amp; ": " &amp; D1486</f>
        <v>witness-discriminates: RequirementSatisfactions.IsBareAssertion</v>
      </c>
      <c r="C1486" s="3" t="s">
        <v>7549</v>
      </c>
      <c r="D1486" s="3" t="s">
        <v>3837</v>
      </c>
      <c r="E1486" s="3" t="s">
        <v>1830</v>
      </c>
      <c r="F1486" s="3" t="s">
        <v>1500</v>
      </c>
      <c r="G1486" s="3" t="s">
        <v>7550</v>
      </c>
      <c r="H1486" s="3" t="s">
        <v>2291</v>
      </c>
      <c r="I1486" s="3" t="s">
        <v>5990</v>
      </c>
      <c r="J1486" s="3" t="s">
        <v>7551</v>
      </c>
      <c r="K1486" s="4" t="b">
        <f>J1486 = "blocking"</f>
        <v>0</v>
      </c>
      <c r="L1486" s="3" t="s">
        <v>1451</v>
      </c>
      <c r="M1486" s="3" t="s">
        <v>7769</v>
      </c>
      <c r="N1486" s="5">
        <v>46223.1297337963</v>
      </c>
      <c r="O1486" s="4" t="b">
        <f>L1486 = "PASS"</f>
        <v>0</v>
      </c>
      <c r="P1486" s="4" t="b">
        <f>L1486 = "FAIL"</f>
        <v>0</v>
      </c>
      <c r="Q1486" s="4" t="b">
        <f>AND(((P1486)=TRUE), ((K1486)=TRUE))</f>
        <v>0</v>
      </c>
      <c r="R1486" s="4" t="str">
        <f>IF(((O1486)=TRUE),  I1486,  "")</f>
      </c>
      <c r="S1486" s="4" t="str">
        <f>IF(((Q1486)=TRUE),  I1486,  "")</f>
      </c>
      <c r="T1486" s="3" t="s">
        <v>6001</v>
      </c>
    </row>
    <row r="1487">
      <c r="A1487" s="3" t="s">
        <v>7883</v>
      </c>
      <c r="B1487" s="4" t="str">
        <f>C1487 &amp; ": " &amp; D1487</f>
        <v>witness-discriminates: RequirementSatisfactions.IsComputedlyWitnessed</v>
      </c>
      <c r="C1487" s="3" t="s">
        <v>7549</v>
      </c>
      <c r="D1487" s="3" t="s">
        <v>3841</v>
      </c>
      <c r="E1487" s="3" t="s">
        <v>1830</v>
      </c>
      <c r="F1487" s="3" t="s">
        <v>1502</v>
      </c>
      <c r="G1487" s="3" t="s">
        <v>7550</v>
      </c>
      <c r="H1487" s="3" t="s">
        <v>2299</v>
      </c>
      <c r="I1487" s="3" t="s">
        <v>5990</v>
      </c>
      <c r="J1487" s="3" t="s">
        <v>7551</v>
      </c>
      <c r="K1487" s="4" t="b">
        <f>J1487 = "blocking"</f>
        <v>0</v>
      </c>
      <c r="L1487" s="3" t="s">
        <v>1448</v>
      </c>
      <c r="M1487" s="3" t="s">
        <v>7767</v>
      </c>
      <c r="N1487" s="5">
        <v>46223.1297337963</v>
      </c>
      <c r="O1487" s="4" t="b">
        <f>L1487 = "PASS"</f>
        <v>1</v>
      </c>
      <c r="P1487" s="4" t="b">
        <f>L1487 = "FAIL"</f>
        <v>0</v>
      </c>
      <c r="Q1487" s="4" t="b">
        <f>AND(((P1487)=TRUE), ((K1487)=TRUE))</f>
        <v>0</v>
      </c>
      <c r="R1487" s="4" t="str">
        <f>IF(((O1487)=TRUE),  I1487,  "")</f>
        <v>suite-witness</v>
      </c>
      <c r="S1487" s="4" t="str">
        <f>IF(((Q1487)=TRUE),  I1487,  "")</f>
      </c>
      <c r="T1487" s="3" t="s">
        <v>6001</v>
      </c>
    </row>
    <row r="1488">
      <c r="A1488" s="3" t="s">
        <v>7884</v>
      </c>
      <c r="B1488" s="4" t="str">
        <f>C1488 &amp; ": " &amp; D1488</f>
        <v>witness-discriminates: RequirementSatisfactions.WasScoredAfterAttestation</v>
      </c>
      <c r="C1488" s="3" t="s">
        <v>7549</v>
      </c>
      <c r="D1488" s="3" t="s">
        <v>3846</v>
      </c>
      <c r="E1488" s="3" t="s">
        <v>1830</v>
      </c>
      <c r="F1488" s="3" t="s">
        <v>1505</v>
      </c>
      <c r="G1488" s="3" t="s">
        <v>7550</v>
      </c>
      <c r="H1488" s="3" t="s">
        <v>2315</v>
      </c>
      <c r="I1488" s="3" t="s">
        <v>5990</v>
      </c>
      <c r="J1488" s="3" t="s">
        <v>7551</v>
      </c>
      <c r="K1488" s="4" t="b">
        <f>J1488 = "blocking"</f>
        <v>0</v>
      </c>
      <c r="L1488" s="3" t="s">
        <v>1451</v>
      </c>
      <c r="M1488" s="3" t="s">
        <v>7711</v>
      </c>
      <c r="N1488" s="5">
        <v>46223.1297337963</v>
      </c>
      <c r="O1488" s="4" t="b">
        <f>L1488 = "PASS"</f>
        <v>0</v>
      </c>
      <c r="P1488" s="4" t="b">
        <f>L1488 = "FAIL"</f>
        <v>0</v>
      </c>
      <c r="Q1488" s="4" t="b">
        <f>AND(((P1488)=TRUE), ((K1488)=TRUE))</f>
        <v>0</v>
      </c>
      <c r="R1488" s="4" t="str">
        <f>IF(((O1488)=TRUE),  I1488,  "")</f>
      </c>
      <c r="S1488" s="4" t="str">
        <f>IF(((Q1488)=TRUE),  I1488,  "")</f>
      </c>
      <c r="T1488" s="3" t="s">
        <v>6001</v>
      </c>
    </row>
    <row r="1489">
      <c r="A1489" s="3" t="s">
        <v>7885</v>
      </c>
      <c r="B1489" s="4" t="str">
        <f>C1489 &amp; ": " &amp; D1489</f>
        <v>witness-discriminates: IssueOccurrences.IsUnresolved</v>
      </c>
      <c r="C1489" s="3" t="s">
        <v>7549</v>
      </c>
      <c r="D1489" s="3" t="s">
        <v>3870</v>
      </c>
      <c r="E1489" s="3" t="s">
        <v>1836</v>
      </c>
      <c r="F1489" s="3" t="s">
        <v>1545</v>
      </c>
      <c r="G1489" s="3" t="s">
        <v>7550</v>
      </c>
      <c r="H1489" s="3" t="s">
        <v>2127</v>
      </c>
      <c r="I1489" s="3" t="s">
        <v>5990</v>
      </c>
      <c r="J1489" s="3" t="s">
        <v>7551</v>
      </c>
      <c r="K1489" s="4" t="b">
        <f>J1489 = "blocking"</f>
        <v>0</v>
      </c>
      <c r="L1489" s="3" t="s">
        <v>1448</v>
      </c>
      <c r="M1489" s="3" t="s">
        <v>7778</v>
      </c>
      <c r="N1489" s="5">
        <v>46223.1297337963</v>
      </c>
      <c r="O1489" s="4" t="b">
        <f>L1489 = "PASS"</f>
        <v>1</v>
      </c>
      <c r="P1489" s="4" t="b">
        <f>L1489 = "FAIL"</f>
        <v>0</v>
      </c>
      <c r="Q1489" s="4" t="b">
        <f>AND(((P1489)=TRUE), ((K1489)=TRUE))</f>
        <v>0</v>
      </c>
      <c r="R1489" s="4" t="str">
        <f>IF(((O1489)=TRUE),  I1489,  "")</f>
        <v>suite-witness</v>
      </c>
      <c r="S1489" s="4" t="str">
        <f>IF(((Q1489)=TRUE),  I1489,  "")</f>
      </c>
      <c r="T1489" s="3" t="s">
        <v>6001</v>
      </c>
    </row>
    <row r="1490">
      <c r="A1490" s="3" t="s">
        <v>7886</v>
      </c>
      <c r="B1490" s="4" t="str">
        <f>C1490 &amp; ": " &amp; D1490</f>
        <v>witness-discriminates: StewardshipAssignments.HasEverBeenReviewed</v>
      </c>
      <c r="C1490" s="3" t="s">
        <v>7549</v>
      </c>
      <c r="D1490" s="3" t="s">
        <v>3907</v>
      </c>
      <c r="E1490" s="3" t="s">
        <v>1859</v>
      </c>
      <c r="F1490" s="3" t="s">
        <v>1583</v>
      </c>
      <c r="G1490" s="3" t="s">
        <v>7550</v>
      </c>
      <c r="H1490" s="3" t="s">
        <v>2019</v>
      </c>
      <c r="I1490" s="3" t="s">
        <v>5990</v>
      </c>
      <c r="J1490" s="3" t="s">
        <v>7551</v>
      </c>
      <c r="K1490" s="4" t="b">
        <f>J1490 = "blocking"</f>
        <v>0</v>
      </c>
      <c r="L1490" s="3" t="s">
        <v>1451</v>
      </c>
      <c r="M1490" s="3" t="s">
        <v>7780</v>
      </c>
      <c r="N1490" s="5">
        <v>46223.1297337963</v>
      </c>
      <c r="O1490" s="4" t="b">
        <f>L1490 = "PASS"</f>
        <v>0</v>
      </c>
      <c r="P1490" s="4" t="b">
        <f>L1490 = "FAIL"</f>
        <v>0</v>
      </c>
      <c r="Q1490" s="4" t="b">
        <f>AND(((P1490)=TRUE), ((K1490)=TRUE))</f>
        <v>0</v>
      </c>
      <c r="R1490" s="4" t="str">
        <f>IF(((O1490)=TRUE),  I1490,  "")</f>
      </c>
      <c r="S1490" s="4" t="str">
        <f>IF(((Q1490)=TRUE),  I1490,  "")</f>
      </c>
      <c r="T1490" s="3" t="s">
        <v>6001</v>
      </c>
    </row>
    <row r="1491">
      <c r="A1491" s="3" t="s">
        <v>7887</v>
      </c>
      <c r="B1491" s="4" t="str">
        <f>C1491 &amp; ": " &amp; D1491</f>
        <v>witness-discriminates: StewardshipAssignments.IsCurrentAssignment</v>
      </c>
      <c r="C1491" s="3" t="s">
        <v>7549</v>
      </c>
      <c r="D1491" s="3" t="s">
        <v>3911</v>
      </c>
      <c r="E1491" s="3" t="s">
        <v>1859</v>
      </c>
      <c r="F1491" s="3" t="s">
        <v>1584</v>
      </c>
      <c r="G1491" s="3" t="s">
        <v>7550</v>
      </c>
      <c r="H1491" s="3" t="s">
        <v>2023</v>
      </c>
      <c r="I1491" s="3" t="s">
        <v>5990</v>
      </c>
      <c r="J1491" s="3" t="s">
        <v>7551</v>
      </c>
      <c r="K1491" s="4" t="b">
        <f>J1491 = "blocking"</f>
        <v>0</v>
      </c>
      <c r="L1491" s="3" t="s">
        <v>1451</v>
      </c>
      <c r="M1491" s="3" t="s">
        <v>7780</v>
      </c>
      <c r="N1491" s="5">
        <v>46223.1297337963</v>
      </c>
      <c r="O1491" s="4" t="b">
        <f>L1491 = "PASS"</f>
        <v>0</v>
      </c>
      <c r="P1491" s="4" t="b">
        <f>L1491 = "FAIL"</f>
        <v>0</v>
      </c>
      <c r="Q1491" s="4" t="b">
        <f>AND(((P1491)=TRUE), ((K1491)=TRUE))</f>
        <v>0</v>
      </c>
      <c r="R1491" s="4" t="str">
        <f>IF(((O1491)=TRUE),  I1491,  "")</f>
      </c>
      <c r="S1491" s="4" t="str">
        <f>IF(((Q1491)=TRUE),  I1491,  "")</f>
      </c>
      <c r="T1491" s="3" t="s">
        <v>6001</v>
      </c>
    </row>
    <row r="1492">
      <c r="A1492" s="3" t="s">
        <v>7888</v>
      </c>
      <c r="B1492" s="4" t="str">
        <f>C1492 &amp; ": " &amp; D1492</f>
        <v>witness-discriminates: ChangeRequests.IsOpen</v>
      </c>
      <c r="C1492" s="3" t="s">
        <v>7549</v>
      </c>
      <c r="D1492" s="3" t="s">
        <v>3925</v>
      </c>
      <c r="E1492" s="3" t="s">
        <v>3914</v>
      </c>
      <c r="F1492" s="3" t="s">
        <v>1199</v>
      </c>
      <c r="G1492" s="3" t="s">
        <v>7550</v>
      </c>
      <c r="H1492" s="3"/>
      <c r="I1492" s="3" t="s">
        <v>5990</v>
      </c>
      <c r="J1492" s="3" t="s">
        <v>7551</v>
      </c>
      <c r="K1492" s="4" t="b">
        <f>J1492 = "blocking"</f>
        <v>0</v>
      </c>
      <c r="L1492" s="3" t="s">
        <v>1448</v>
      </c>
      <c r="M1492" s="3" t="s">
        <v>7778</v>
      </c>
      <c r="N1492" s="5">
        <v>46223.1297337963</v>
      </c>
      <c r="O1492" s="4" t="b">
        <f>L1492 = "PASS"</f>
        <v>1</v>
      </c>
      <c r="P1492" s="4" t="b">
        <f>L1492 = "FAIL"</f>
        <v>0</v>
      </c>
      <c r="Q1492" s="4" t="b">
        <f>AND(((P1492)=TRUE), ((K1492)=TRUE))</f>
        <v>0</v>
      </c>
      <c r="R1492" s="4" t="str">
        <f>IF(((O1492)=TRUE),  I1492,  "")</f>
        <v>suite-witness</v>
      </c>
      <c r="S1492" s="4" t="str">
        <f>IF(((Q1492)=TRUE),  I1492,  "")</f>
      </c>
      <c r="T1492" s="3" t="s">
        <v>6001</v>
      </c>
    </row>
    <row r="1493">
      <c r="A1493" s="3" t="s">
        <v>7889</v>
      </c>
      <c r="B1493" s="4" t="str">
        <f>C1493 &amp; ": " &amp; D1493</f>
        <v>witness-discriminates: ChangeRequests.IsDecided</v>
      </c>
      <c r="C1493" s="3" t="s">
        <v>7549</v>
      </c>
      <c r="D1493" s="3" t="s">
        <v>3929</v>
      </c>
      <c r="E1493" s="3" t="s">
        <v>3914</v>
      </c>
      <c r="F1493" s="3" t="s">
        <v>1595</v>
      </c>
      <c r="G1493" s="3" t="s">
        <v>7550</v>
      </c>
      <c r="H1493" s="3" t="s">
        <v>2035</v>
      </c>
      <c r="I1493" s="3" t="s">
        <v>5990</v>
      </c>
      <c r="J1493" s="3" t="s">
        <v>7551</v>
      </c>
      <c r="K1493" s="4" t="b">
        <f>J1493 = "blocking"</f>
        <v>0</v>
      </c>
      <c r="L1493" s="3" t="s">
        <v>1448</v>
      </c>
      <c r="M1493" s="3" t="s">
        <v>7778</v>
      </c>
      <c r="N1493" s="5">
        <v>46223.1297337963</v>
      </c>
      <c r="O1493" s="4" t="b">
        <f>L1493 = "PASS"</f>
        <v>1</v>
      </c>
      <c r="P1493" s="4" t="b">
        <f>L1493 = "FAIL"</f>
        <v>0</v>
      </c>
      <c r="Q1493" s="4" t="b">
        <f>AND(((P1493)=TRUE), ((K1493)=TRUE))</f>
        <v>0</v>
      </c>
      <c r="R1493" s="4" t="str">
        <f>IF(((O1493)=TRUE),  I1493,  "")</f>
        <v>suite-witness</v>
      </c>
      <c r="S1493" s="4" t="str">
        <f>IF(((Q1493)=TRUE),  I1493,  "")</f>
      </c>
      <c r="T1493" s="3" t="s">
        <v>6001</v>
      </c>
    </row>
    <row r="1494">
      <c r="A1494" s="3" t="s">
        <v>7890</v>
      </c>
      <c r="B1494" s="4" t="str">
        <f>C1494 &amp; ": " &amp; D1494</f>
        <v>witness-discriminates: ChangeRequests.IsStillPending</v>
      </c>
      <c r="C1494" s="3" t="s">
        <v>7549</v>
      </c>
      <c r="D1494" s="3" t="s">
        <v>3935</v>
      </c>
      <c r="E1494" s="3" t="s">
        <v>3914</v>
      </c>
      <c r="F1494" s="3" t="s">
        <v>1597</v>
      </c>
      <c r="G1494" s="3" t="s">
        <v>7550</v>
      </c>
      <c r="H1494" s="3" t="s">
        <v>2035</v>
      </c>
      <c r="I1494" s="3" t="s">
        <v>5990</v>
      </c>
      <c r="J1494" s="3" t="s">
        <v>7551</v>
      </c>
      <c r="K1494" s="4" t="b">
        <f>J1494 = "blocking"</f>
        <v>0</v>
      </c>
      <c r="L1494" s="3" t="s">
        <v>1448</v>
      </c>
      <c r="M1494" s="3" t="s">
        <v>7778</v>
      </c>
      <c r="N1494" s="5">
        <v>46223.1297337963</v>
      </c>
      <c r="O1494" s="4" t="b">
        <f>L1494 = "PASS"</f>
        <v>1</v>
      </c>
      <c r="P1494" s="4" t="b">
        <f>L1494 = "FAIL"</f>
        <v>0</v>
      </c>
      <c r="Q1494" s="4" t="b">
        <f>AND(((P1494)=TRUE), ((K1494)=TRUE))</f>
        <v>0</v>
      </c>
      <c r="R1494" s="4" t="str">
        <f>IF(((O1494)=TRUE),  I1494,  "")</f>
        <v>suite-witness</v>
      </c>
      <c r="S1494" s="4" t="str">
        <f>IF(((Q1494)=TRUE),  I1494,  "")</f>
      </c>
      <c r="T1494" s="3" t="s">
        <v>6001</v>
      </c>
    </row>
    <row r="1495">
      <c r="A1495" s="3" t="s">
        <v>7891</v>
      </c>
      <c r="B1495" s="4" t="str">
        <f>C1495 &amp; ": " &amp; D1495</f>
        <v>witness-discriminates: ChangeRequests.IsStalled</v>
      </c>
      <c r="C1495" s="3" t="s">
        <v>7549</v>
      </c>
      <c r="D1495" s="3" t="s">
        <v>3937</v>
      </c>
      <c r="E1495" s="3" t="s">
        <v>3914</v>
      </c>
      <c r="F1495" s="3" t="s">
        <v>1598</v>
      </c>
      <c r="G1495" s="3" t="s">
        <v>7550</v>
      </c>
      <c r="H1495" s="3" t="s">
        <v>2035</v>
      </c>
      <c r="I1495" s="3" t="s">
        <v>5990</v>
      </c>
      <c r="J1495" s="3" t="s">
        <v>7551</v>
      </c>
      <c r="K1495" s="4" t="b">
        <f>J1495 = "blocking"</f>
        <v>0</v>
      </c>
      <c r="L1495" s="3" t="s">
        <v>1451</v>
      </c>
      <c r="M1495" s="3" t="s">
        <v>7784</v>
      </c>
      <c r="N1495" s="5">
        <v>46223.1297337963</v>
      </c>
      <c r="O1495" s="4" t="b">
        <f>L1495 = "PASS"</f>
        <v>0</v>
      </c>
      <c r="P1495" s="4" t="b">
        <f>L1495 = "FAIL"</f>
        <v>0</v>
      </c>
      <c r="Q1495" s="4" t="b">
        <f>AND(((P1495)=TRUE), ((K1495)=TRUE))</f>
        <v>0</v>
      </c>
      <c r="R1495" s="4" t="str">
        <f>IF(((O1495)=TRUE),  I1495,  "")</f>
      </c>
      <c r="S1495" s="4" t="str">
        <f>IF(((Q1495)=TRUE),  I1495,  "")</f>
      </c>
      <c r="T1495" s="3" t="s">
        <v>6001</v>
      </c>
    </row>
    <row r="1496">
      <c r="A1496" s="3" t="s">
        <v>7892</v>
      </c>
      <c r="B1496" s="4" t="str">
        <f>C1496 &amp; ": " &amp; D1496</f>
        <v>witness-discriminates: ChangeRequests.RequesterIsAuthority</v>
      </c>
      <c r="C1496" s="3" t="s">
        <v>7549</v>
      </c>
      <c r="D1496" s="3" t="s">
        <v>3941</v>
      </c>
      <c r="E1496" s="3" t="s">
        <v>3914</v>
      </c>
      <c r="F1496" s="3" t="s">
        <v>1600</v>
      </c>
      <c r="G1496" s="3" t="s">
        <v>7550</v>
      </c>
      <c r="H1496" s="3" t="s">
        <v>2035</v>
      </c>
      <c r="I1496" s="3" t="s">
        <v>5990</v>
      </c>
      <c r="J1496" s="3" t="s">
        <v>7551</v>
      </c>
      <c r="K1496" s="4" t="b">
        <f>J1496 = "blocking"</f>
        <v>0</v>
      </c>
      <c r="L1496" s="3" t="s">
        <v>1451</v>
      </c>
      <c r="M1496" s="3" t="s">
        <v>7784</v>
      </c>
      <c r="N1496" s="5">
        <v>46223.1297337963</v>
      </c>
      <c r="O1496" s="4" t="b">
        <f>L1496 = "PASS"</f>
        <v>0</v>
      </c>
      <c r="P1496" s="4" t="b">
        <f>L1496 = "FAIL"</f>
        <v>0</v>
      </c>
      <c r="Q1496" s="4" t="b">
        <f>AND(((P1496)=TRUE), ((K1496)=TRUE))</f>
        <v>0</v>
      </c>
      <c r="R1496" s="4" t="str">
        <f>IF(((O1496)=TRUE),  I1496,  "")</f>
      </c>
      <c r="S1496" s="4" t="str">
        <f>IF(((Q1496)=TRUE),  I1496,  "")</f>
      </c>
      <c r="T1496" s="3" t="s">
        <v>6001</v>
      </c>
    </row>
    <row r="1497">
      <c r="A1497" s="3" t="s">
        <v>7893</v>
      </c>
      <c r="B1497" s="4" t="str">
        <f>C1497 &amp; ": " &amp; D1497</f>
        <v>witness-discriminates: ChangeRequests.AwaitsAuthorityDecision</v>
      </c>
      <c r="C1497" s="3" t="s">
        <v>7549</v>
      </c>
      <c r="D1497" s="3" t="s">
        <v>3943</v>
      </c>
      <c r="E1497" s="3" t="s">
        <v>3914</v>
      </c>
      <c r="F1497" s="3" t="s">
        <v>1601</v>
      </c>
      <c r="G1497" s="3" t="s">
        <v>7550</v>
      </c>
      <c r="H1497" s="3" t="s">
        <v>2139</v>
      </c>
      <c r="I1497" s="3" t="s">
        <v>5990</v>
      </c>
      <c r="J1497" s="3" t="s">
        <v>7551</v>
      </c>
      <c r="K1497" s="4" t="b">
        <f>J1497 = "blocking"</f>
        <v>0</v>
      </c>
      <c r="L1497" s="3" t="s">
        <v>1448</v>
      </c>
      <c r="M1497" s="3" t="s">
        <v>7778</v>
      </c>
      <c r="N1497" s="5">
        <v>46223.1297337963</v>
      </c>
      <c r="O1497" s="4" t="b">
        <f>L1497 = "PASS"</f>
        <v>1</v>
      </c>
      <c r="P1497" s="4" t="b">
        <f>L1497 = "FAIL"</f>
        <v>0</v>
      </c>
      <c r="Q1497" s="4" t="b">
        <f>AND(((P1497)=TRUE), ((K1497)=TRUE))</f>
        <v>0</v>
      </c>
      <c r="R1497" s="4" t="str">
        <f>IF(((O1497)=TRUE),  I1497,  "")</f>
        <v>suite-witness</v>
      </c>
      <c r="S1497" s="4" t="str">
        <f>IF(((Q1497)=TRUE),  I1497,  "")</f>
      </c>
      <c r="T1497" s="3" t="s">
        <v>6001</v>
      </c>
    </row>
    <row r="1498">
      <c r="A1498" s="3" t="s">
        <v>7894</v>
      </c>
      <c r="B1498" s="4" t="str">
        <f>C1498 &amp; ": " &amp; D1498</f>
        <v>witness-discriminates: ChangeRequests.TouchesLiveVersion</v>
      </c>
      <c r="C1498" s="3" t="s">
        <v>7549</v>
      </c>
      <c r="D1498" s="3" t="s">
        <v>3947</v>
      </c>
      <c r="E1498" s="3" t="s">
        <v>3914</v>
      </c>
      <c r="F1498" s="3" t="s">
        <v>1603</v>
      </c>
      <c r="G1498" s="3" t="s">
        <v>7550</v>
      </c>
      <c r="H1498" s="3" t="s">
        <v>2139</v>
      </c>
      <c r="I1498" s="3" t="s">
        <v>5990</v>
      </c>
      <c r="J1498" s="3" t="s">
        <v>7551</v>
      </c>
      <c r="K1498" s="4" t="b">
        <f>J1498 = "blocking"</f>
        <v>0</v>
      </c>
      <c r="L1498" s="3" t="s">
        <v>1451</v>
      </c>
      <c r="M1498" s="3" t="s">
        <v>7780</v>
      </c>
      <c r="N1498" s="5">
        <v>46223.1297337963</v>
      </c>
      <c r="O1498" s="4" t="b">
        <f>L1498 = "PASS"</f>
        <v>0</v>
      </c>
      <c r="P1498" s="4" t="b">
        <f>L1498 = "FAIL"</f>
        <v>0</v>
      </c>
      <c r="Q1498" s="4" t="b">
        <f>AND(((P1498)=TRUE), ((K1498)=TRUE))</f>
        <v>0</v>
      </c>
      <c r="R1498" s="4" t="str">
        <f>IF(((O1498)=TRUE),  I1498,  "")</f>
      </c>
      <c r="S1498" s="4" t="str">
        <f>IF(((Q1498)=TRUE),  I1498,  "")</f>
      </c>
      <c r="T1498" s="3" t="s">
        <v>6001</v>
      </c>
    </row>
    <row r="1499">
      <c r="A1499" s="3" t="s">
        <v>7895</v>
      </c>
      <c r="B1499" s="4" t="str">
        <f>C1499 &amp; ": " &amp; D1499</f>
        <v>witness-discriminates: ChangeRequests.IsLiveDecisionBacklog</v>
      </c>
      <c r="C1499" s="3" t="s">
        <v>7549</v>
      </c>
      <c r="D1499" s="3" t="s">
        <v>3948</v>
      </c>
      <c r="E1499" s="3" t="s">
        <v>3914</v>
      </c>
      <c r="F1499" s="3" t="s">
        <v>1604</v>
      </c>
      <c r="G1499" s="3" t="s">
        <v>7550</v>
      </c>
      <c r="H1499" s="3" t="s">
        <v>2139</v>
      </c>
      <c r="I1499" s="3" t="s">
        <v>5990</v>
      </c>
      <c r="J1499" s="3" t="s">
        <v>7551</v>
      </c>
      <c r="K1499" s="4" t="b">
        <f>J1499 = "blocking"</f>
        <v>0</v>
      </c>
      <c r="L1499" s="3" t="s">
        <v>1448</v>
      </c>
      <c r="M1499" s="3" t="s">
        <v>7778</v>
      </c>
      <c r="N1499" s="5">
        <v>46223.1297337963</v>
      </c>
      <c r="O1499" s="4" t="b">
        <f>L1499 = "PASS"</f>
        <v>1</v>
      </c>
      <c r="P1499" s="4" t="b">
        <f>L1499 = "FAIL"</f>
        <v>0</v>
      </c>
      <c r="Q1499" s="4" t="b">
        <f>AND(((P1499)=TRUE), ((K1499)=TRUE))</f>
        <v>0</v>
      </c>
      <c r="R1499" s="4" t="str">
        <f>IF(((O1499)=TRUE),  I1499,  "")</f>
        <v>suite-witness</v>
      </c>
      <c r="S1499" s="4" t="str">
        <f>IF(((Q1499)=TRUE),  I1499,  "")</f>
      </c>
      <c r="T1499" s="3" t="s">
        <v>6001</v>
      </c>
    </row>
    <row r="1500">
      <c r="A1500" s="3" t="s">
        <v>7896</v>
      </c>
      <c r="B1500" s="4" t="str">
        <f>C1500 &amp; ": " &amp; D1500</f>
        <v>witness-discriminates: ChangeRequests.BlocksAnOpenGap</v>
      </c>
      <c r="C1500" s="3" t="s">
        <v>7549</v>
      </c>
      <c r="D1500" s="3" t="s">
        <v>3950</v>
      </c>
      <c r="E1500" s="3" t="s">
        <v>3914</v>
      </c>
      <c r="F1500" s="3" t="s">
        <v>1605</v>
      </c>
      <c r="G1500" s="3" t="s">
        <v>7550</v>
      </c>
      <c r="H1500" s="3" t="s">
        <v>2139</v>
      </c>
      <c r="I1500" s="3" t="s">
        <v>5990</v>
      </c>
      <c r="J1500" s="3" t="s">
        <v>7551</v>
      </c>
      <c r="K1500" s="4" t="b">
        <f>J1500 = "blocking"</f>
        <v>0</v>
      </c>
      <c r="L1500" s="3" t="s">
        <v>1448</v>
      </c>
      <c r="M1500" s="3" t="s">
        <v>7778</v>
      </c>
      <c r="N1500" s="5">
        <v>46223.1297337963</v>
      </c>
      <c r="O1500" s="4" t="b">
        <f>L1500 = "PASS"</f>
        <v>1</v>
      </c>
      <c r="P1500" s="4" t="b">
        <f>L1500 = "FAIL"</f>
        <v>0</v>
      </c>
      <c r="Q1500" s="4" t="b">
        <f>AND(((P1500)=TRUE), ((K1500)=TRUE))</f>
        <v>0</v>
      </c>
      <c r="R1500" s="4" t="str">
        <f>IF(((O1500)=TRUE),  I1500,  "")</f>
        <v>suite-witness</v>
      </c>
      <c r="S1500" s="4" t="str">
        <f>IF(((Q1500)=TRUE),  I1500,  "")</f>
      </c>
      <c r="T1500" s="3" t="s">
        <v>6001</v>
      </c>
    </row>
    <row r="1501">
      <c r="A1501" s="3" t="s">
        <v>7897</v>
      </c>
      <c r="B1501" s="4" t="str">
        <f>C1501 &amp; ": " &amp; D1501</f>
        <v>witness-discriminates: ChangeRequests.IsMyPendingDecision</v>
      </c>
      <c r="C1501" s="3" t="s">
        <v>7549</v>
      </c>
      <c r="D1501" s="3" t="s">
        <v>3955</v>
      </c>
      <c r="E1501" s="3" t="s">
        <v>3914</v>
      </c>
      <c r="F1501" s="3" t="s">
        <v>1608</v>
      </c>
      <c r="G1501" s="3" t="s">
        <v>7550</v>
      </c>
      <c r="H1501" s="3" t="s">
        <v>2219</v>
      </c>
      <c r="I1501" s="3" t="s">
        <v>5990</v>
      </c>
      <c r="J1501" s="3" t="s">
        <v>7551</v>
      </c>
      <c r="K1501" s="4" t="b">
        <f>J1501 = "blocking"</f>
        <v>0</v>
      </c>
      <c r="L1501" s="3" t="s">
        <v>1448</v>
      </c>
      <c r="M1501" s="3" t="s">
        <v>7778</v>
      </c>
      <c r="N1501" s="5">
        <v>46223.1297337963</v>
      </c>
      <c r="O1501" s="4" t="b">
        <f>L1501 = "PASS"</f>
        <v>1</v>
      </c>
      <c r="P1501" s="4" t="b">
        <f>L1501 = "FAIL"</f>
        <v>0</v>
      </c>
      <c r="Q1501" s="4" t="b">
        <f>AND(((P1501)=TRUE), ((K1501)=TRUE))</f>
        <v>0</v>
      </c>
      <c r="R1501" s="4" t="str">
        <f>IF(((O1501)=TRUE),  I1501,  "")</f>
        <v>suite-witness</v>
      </c>
      <c r="S1501" s="4" t="str">
        <f>IF(((Q1501)=TRUE),  I1501,  "")</f>
      </c>
      <c r="T1501" s="3" t="s">
        <v>6001</v>
      </c>
    </row>
    <row r="1502">
      <c r="A1502" s="3" t="s">
        <v>7898</v>
      </c>
      <c r="B1502" s="4" t="str">
        <f>C1502 &amp; ": " &amp; D1502</f>
        <v>witness-discriminates: ChangeRequests.IsMyBlockingBacklog</v>
      </c>
      <c r="C1502" s="3" t="s">
        <v>7549</v>
      </c>
      <c r="D1502" s="3" t="s">
        <v>3957</v>
      </c>
      <c r="E1502" s="3" t="s">
        <v>3914</v>
      </c>
      <c r="F1502" s="3" t="s">
        <v>1609</v>
      </c>
      <c r="G1502" s="3" t="s">
        <v>7550</v>
      </c>
      <c r="H1502" s="3" t="s">
        <v>2219</v>
      </c>
      <c r="I1502" s="3" t="s">
        <v>5990</v>
      </c>
      <c r="J1502" s="3" t="s">
        <v>7551</v>
      </c>
      <c r="K1502" s="4" t="b">
        <f>J1502 = "blocking"</f>
        <v>0</v>
      </c>
      <c r="L1502" s="3" t="s">
        <v>1448</v>
      </c>
      <c r="M1502" s="3" t="s">
        <v>7778</v>
      </c>
      <c r="N1502" s="5">
        <v>46223.1297337963</v>
      </c>
      <c r="O1502" s="4" t="b">
        <f>L1502 = "PASS"</f>
        <v>1</v>
      </c>
      <c r="P1502" s="4" t="b">
        <f>L1502 = "FAIL"</f>
        <v>0</v>
      </c>
      <c r="Q1502" s="4" t="b">
        <f>AND(((P1502)=TRUE), ((K1502)=TRUE))</f>
        <v>0</v>
      </c>
      <c r="R1502" s="4" t="str">
        <f>IF(((O1502)=TRUE),  I1502,  "")</f>
        <v>suite-witness</v>
      </c>
      <c r="S1502" s="4" t="str">
        <f>IF(((Q1502)=TRUE),  I1502,  "")</f>
      </c>
      <c r="T1502" s="3" t="s">
        <v>6001</v>
      </c>
    </row>
    <row r="1503">
      <c r="A1503" s="3" t="s">
        <v>7899</v>
      </c>
      <c r="B1503" s="4" t="str">
        <f>C1503 &amp; ": " &amp; D1503</f>
        <v>witness-discriminates: ChangeRequests.IsMyOverdueBacklog</v>
      </c>
      <c r="C1503" s="3" t="s">
        <v>7549</v>
      </c>
      <c r="D1503" s="3" t="s">
        <v>3959</v>
      </c>
      <c r="E1503" s="3" t="s">
        <v>3914</v>
      </c>
      <c r="F1503" s="3" t="s">
        <v>1610</v>
      </c>
      <c r="G1503" s="3" t="s">
        <v>7550</v>
      </c>
      <c r="H1503" s="3" t="s">
        <v>2219</v>
      </c>
      <c r="I1503" s="3" t="s">
        <v>5990</v>
      </c>
      <c r="J1503" s="3" t="s">
        <v>7551</v>
      </c>
      <c r="K1503" s="4" t="b">
        <f>J1503 = "blocking"</f>
        <v>0</v>
      </c>
      <c r="L1503" s="3" t="s">
        <v>1451</v>
      </c>
      <c r="M1503" s="3" t="s">
        <v>7784</v>
      </c>
      <c r="N1503" s="5">
        <v>46223.1297337963</v>
      </c>
      <c r="O1503" s="4" t="b">
        <f>L1503 = "PASS"</f>
        <v>0</v>
      </c>
      <c r="P1503" s="4" t="b">
        <f>L1503 = "FAIL"</f>
        <v>0</v>
      </c>
      <c r="Q1503" s="4" t="b">
        <f>AND(((P1503)=TRUE), ((K1503)=TRUE))</f>
        <v>0</v>
      </c>
      <c r="R1503" s="4" t="str">
        <f>IF(((O1503)=TRUE),  I1503,  "")</f>
      </c>
      <c r="S1503" s="4" t="str">
        <f>IF(((Q1503)=TRUE),  I1503,  "")</f>
      </c>
      <c r="T1503" s="3" t="s">
        <v>6001</v>
      </c>
    </row>
    <row r="1504">
      <c r="A1504" s="3" t="s">
        <v>7900</v>
      </c>
      <c r="B1504" s="4" t="str">
        <f>C1504 &amp; ": " &amp; D1504</f>
        <v>witness-discriminates: ChangeRequests.IsImplemented</v>
      </c>
      <c r="C1504" s="3" t="s">
        <v>7549</v>
      </c>
      <c r="D1504" s="3" t="s">
        <v>3961</v>
      </c>
      <c r="E1504" s="3" t="s">
        <v>3914</v>
      </c>
      <c r="F1504" s="3" t="s">
        <v>1611</v>
      </c>
      <c r="G1504" s="3" t="s">
        <v>7550</v>
      </c>
      <c r="H1504" s="3" t="s">
        <v>2231</v>
      </c>
      <c r="I1504" s="3" t="s">
        <v>5990</v>
      </c>
      <c r="J1504" s="3" t="s">
        <v>7551</v>
      </c>
      <c r="K1504" s="4" t="b">
        <f>J1504 = "blocking"</f>
        <v>0</v>
      </c>
      <c r="L1504" s="3" t="s">
        <v>1448</v>
      </c>
      <c r="M1504" s="3" t="s">
        <v>7778</v>
      </c>
      <c r="N1504" s="5">
        <v>46223.1297337963</v>
      </c>
      <c r="O1504" s="4" t="b">
        <f>L1504 = "PASS"</f>
        <v>1</v>
      </c>
      <c r="P1504" s="4" t="b">
        <f>L1504 = "FAIL"</f>
        <v>0</v>
      </c>
      <c r="Q1504" s="4" t="b">
        <f>AND(((P1504)=TRUE), ((K1504)=TRUE))</f>
        <v>0</v>
      </c>
      <c r="R1504" s="4" t="str">
        <f>IF(((O1504)=TRUE),  I1504,  "")</f>
        <v>suite-witness</v>
      </c>
      <c r="S1504" s="4" t="str">
        <f>IF(((Q1504)=TRUE),  I1504,  "")</f>
      </c>
      <c r="T1504" s="3" t="s">
        <v>6001</v>
      </c>
    </row>
    <row r="1505">
      <c r="A1505" s="3" t="s">
        <v>7901</v>
      </c>
      <c r="B1505" s="4" t="str">
        <f>C1505 &amp; ": " &amp; D1505</f>
        <v>witness-discriminates: ChangeRequests.IsMyDecidedRequest</v>
      </c>
      <c r="C1505" s="3" t="s">
        <v>7549</v>
      </c>
      <c r="D1505" s="3" t="s">
        <v>3963</v>
      </c>
      <c r="E1505" s="3" t="s">
        <v>3914</v>
      </c>
      <c r="F1505" s="3" t="s">
        <v>1612</v>
      </c>
      <c r="G1505" s="3" t="s">
        <v>7550</v>
      </c>
      <c r="H1505" s="3" t="s">
        <v>2231</v>
      </c>
      <c r="I1505" s="3" t="s">
        <v>5990</v>
      </c>
      <c r="J1505" s="3" t="s">
        <v>7551</v>
      </c>
      <c r="K1505" s="4" t="b">
        <f>J1505 = "blocking"</f>
        <v>0</v>
      </c>
      <c r="L1505" s="3" t="s">
        <v>1451</v>
      </c>
      <c r="M1505" s="3" t="s">
        <v>7784</v>
      </c>
      <c r="N1505" s="5">
        <v>46223.1297337963</v>
      </c>
      <c r="O1505" s="4" t="b">
        <f>L1505 = "PASS"</f>
        <v>0</v>
      </c>
      <c r="P1505" s="4" t="b">
        <f>L1505 = "FAIL"</f>
        <v>0</v>
      </c>
      <c r="Q1505" s="4" t="b">
        <f>AND(((P1505)=TRUE), ((K1505)=TRUE))</f>
        <v>0</v>
      </c>
      <c r="R1505" s="4" t="str">
        <f>IF(((O1505)=TRUE),  I1505,  "")</f>
      </c>
      <c r="S1505" s="4" t="str">
        <f>IF(((Q1505)=TRUE),  I1505,  "")</f>
      </c>
      <c r="T1505" s="3" t="s">
        <v>6001</v>
      </c>
    </row>
    <row r="1506">
      <c r="A1506" s="3" t="s">
        <v>7902</v>
      </c>
      <c r="B1506" s="4" t="str">
        <f>C1506 &amp; ": " &amp; D1506</f>
        <v>witness-discriminates: ChangeRequests.IsMyDecidedButUnlanded</v>
      </c>
      <c r="C1506" s="3" t="s">
        <v>7549</v>
      </c>
      <c r="D1506" s="3" t="s">
        <v>3965</v>
      </c>
      <c r="E1506" s="3" t="s">
        <v>3914</v>
      </c>
      <c r="F1506" s="3" t="s">
        <v>1613</v>
      </c>
      <c r="G1506" s="3" t="s">
        <v>7550</v>
      </c>
      <c r="H1506" s="3" t="s">
        <v>2231</v>
      </c>
      <c r="I1506" s="3" t="s">
        <v>5990</v>
      </c>
      <c r="J1506" s="3" t="s">
        <v>7551</v>
      </c>
      <c r="K1506" s="4" t="b">
        <f>J1506 = "blocking"</f>
        <v>0</v>
      </c>
      <c r="L1506" s="3" t="s">
        <v>1451</v>
      </c>
      <c r="M1506" s="3" t="s">
        <v>7784</v>
      </c>
      <c r="N1506" s="5">
        <v>46223.1297337963</v>
      </c>
      <c r="O1506" s="4" t="b">
        <f>L1506 = "PASS"</f>
        <v>0</v>
      </c>
      <c r="P1506" s="4" t="b">
        <f>L1506 = "FAIL"</f>
        <v>0</v>
      </c>
      <c r="Q1506" s="4" t="b">
        <f>AND(((P1506)=TRUE), ((K1506)=TRUE))</f>
        <v>0</v>
      </c>
      <c r="R1506" s="4" t="str">
        <f>IF(((O1506)=TRUE),  I1506,  "")</f>
      </c>
      <c r="S1506" s="4" t="str">
        <f>IF(((Q1506)=TRUE),  I1506,  "")</f>
      </c>
      <c r="T1506" s="3" t="s">
        <v>6001</v>
      </c>
    </row>
    <row r="1507">
      <c r="A1507" s="3" t="s">
        <v>7903</v>
      </c>
      <c r="B1507" s="4" t="str">
        <f>C1507 &amp; ": " &amp; D1507</f>
        <v>witness-discriminates: ChangeRequests.DelayIsDownstreamOfMe</v>
      </c>
      <c r="C1507" s="3" t="s">
        <v>7549</v>
      </c>
      <c r="D1507" s="3" t="s">
        <v>3971</v>
      </c>
      <c r="E1507" s="3" t="s">
        <v>3914</v>
      </c>
      <c r="F1507" s="3" t="s">
        <v>1616</v>
      </c>
      <c r="G1507" s="3" t="s">
        <v>7550</v>
      </c>
      <c r="H1507" s="3" t="s">
        <v>2231</v>
      </c>
      <c r="I1507" s="3" t="s">
        <v>5990</v>
      </c>
      <c r="J1507" s="3" t="s">
        <v>7551</v>
      </c>
      <c r="K1507" s="4" t="b">
        <f>J1507 = "blocking"</f>
        <v>0</v>
      </c>
      <c r="L1507" s="3" t="s">
        <v>1451</v>
      </c>
      <c r="M1507" s="3" t="s">
        <v>7784</v>
      </c>
      <c r="N1507" s="5">
        <v>46223.1297337963</v>
      </c>
      <c r="O1507" s="4" t="b">
        <f>L1507 = "PASS"</f>
        <v>0</v>
      </c>
      <c r="P1507" s="4" t="b">
        <f>L1507 = "FAIL"</f>
        <v>0</v>
      </c>
      <c r="Q1507" s="4" t="b">
        <f>AND(((P1507)=TRUE), ((K1507)=TRUE))</f>
        <v>0</v>
      </c>
      <c r="R1507" s="4" t="str">
        <f>IF(((O1507)=TRUE),  I1507,  "")</f>
      </c>
      <c r="S1507" s="4" t="str">
        <f>IF(((Q1507)=TRUE),  I1507,  "")</f>
      </c>
      <c r="T1507" s="3" t="s">
        <v>6001</v>
      </c>
    </row>
    <row r="1508">
      <c r="A1508" s="3" t="s">
        <v>7904</v>
      </c>
      <c r="B1508" s="4" t="str">
        <f>C1508 &amp; ": " &amp; D1508</f>
        <v>witness-discriminates: ChangeRequests.IsApprovedNotImplemented</v>
      </c>
      <c r="C1508" s="3" t="s">
        <v>7549</v>
      </c>
      <c r="D1508" s="3" t="s">
        <v>3975</v>
      </c>
      <c r="E1508" s="3" t="s">
        <v>3914</v>
      </c>
      <c r="F1508" s="3" t="s">
        <v>1618</v>
      </c>
      <c r="G1508" s="3" t="s">
        <v>7550</v>
      </c>
      <c r="H1508" s="3" t="s">
        <v>2251</v>
      </c>
      <c r="I1508" s="3" t="s">
        <v>5990</v>
      </c>
      <c r="J1508" s="3" t="s">
        <v>7551</v>
      </c>
      <c r="K1508" s="4" t="b">
        <f>J1508 = "blocking"</f>
        <v>0</v>
      </c>
      <c r="L1508" s="3" t="s">
        <v>1451</v>
      </c>
      <c r="M1508" s="3" t="s">
        <v>7784</v>
      </c>
      <c r="N1508" s="5">
        <v>46223.1297337963</v>
      </c>
      <c r="O1508" s="4" t="b">
        <f>L1508 = "PASS"</f>
        <v>0</v>
      </c>
      <c r="P1508" s="4" t="b">
        <f>L1508 = "FAIL"</f>
        <v>0</v>
      </c>
      <c r="Q1508" s="4" t="b">
        <f>AND(((P1508)=TRUE), ((K1508)=TRUE))</f>
        <v>0</v>
      </c>
      <c r="R1508" s="4" t="str">
        <f>IF(((O1508)=TRUE),  I1508,  "")</f>
      </c>
      <c r="S1508" s="4" t="str">
        <f>IF(((Q1508)=TRUE),  I1508,  "")</f>
      </c>
      <c r="T1508" s="3" t="s">
        <v>6001</v>
      </c>
    </row>
    <row r="1509">
      <c r="A1509" s="3" t="s">
        <v>7905</v>
      </c>
      <c r="B1509" s="4" t="str">
        <f>C1509 &amp; ": " &amp; D1509</f>
        <v>witness-discriminates: ChangeRequests.IsStalledImplementation</v>
      </c>
      <c r="C1509" s="3" t="s">
        <v>7549</v>
      </c>
      <c r="D1509" s="3" t="s">
        <v>3979</v>
      </c>
      <c r="E1509" s="3" t="s">
        <v>3914</v>
      </c>
      <c r="F1509" s="3" t="s">
        <v>1620</v>
      </c>
      <c r="G1509" s="3" t="s">
        <v>7550</v>
      </c>
      <c r="H1509" s="3" t="s">
        <v>2251</v>
      </c>
      <c r="I1509" s="3" t="s">
        <v>5990</v>
      </c>
      <c r="J1509" s="3" t="s">
        <v>7551</v>
      </c>
      <c r="K1509" s="4" t="b">
        <f>J1509 = "blocking"</f>
        <v>0</v>
      </c>
      <c r="L1509" s="3" t="s">
        <v>1451</v>
      </c>
      <c r="M1509" s="3" t="s">
        <v>7784</v>
      </c>
      <c r="N1509" s="5">
        <v>46223.1297337963</v>
      </c>
      <c r="O1509" s="4" t="b">
        <f>L1509 = "PASS"</f>
        <v>0</v>
      </c>
      <c r="P1509" s="4" t="b">
        <f>L1509 = "FAIL"</f>
        <v>0</v>
      </c>
      <c r="Q1509" s="4" t="b">
        <f>AND(((P1509)=TRUE), ((K1509)=TRUE))</f>
        <v>0</v>
      </c>
      <c r="R1509" s="4" t="str">
        <f>IF(((O1509)=TRUE),  I1509,  "")</f>
      </c>
      <c r="S1509" s="4" t="str">
        <f>IF(((Q1509)=TRUE),  I1509,  "")</f>
      </c>
      <c r="T1509" s="3" t="s">
        <v>6001</v>
      </c>
    </row>
    <row r="1510">
      <c r="A1510" s="3" t="s">
        <v>7906</v>
      </c>
      <c r="B1510" s="4" t="str">
        <f>C1510 &amp; ": " &amp; D1510</f>
        <v>witness-discriminates: ChangeRequests.IsApprovedDecision</v>
      </c>
      <c r="C1510" s="3" t="s">
        <v>7549</v>
      </c>
      <c r="D1510" s="3" t="s">
        <v>3985</v>
      </c>
      <c r="E1510" s="3" t="s">
        <v>3914</v>
      </c>
      <c r="F1510" s="3" t="s">
        <v>1623</v>
      </c>
      <c r="G1510" s="3" t="s">
        <v>7550</v>
      </c>
      <c r="H1510" s="3" t="s">
        <v>2295</v>
      </c>
      <c r="I1510" s="3" t="s">
        <v>5990</v>
      </c>
      <c r="J1510" s="3" t="s">
        <v>7551</v>
      </c>
      <c r="K1510" s="4" t="b">
        <f>J1510 = "blocking"</f>
        <v>0</v>
      </c>
      <c r="L1510" s="3" t="s">
        <v>1448</v>
      </c>
      <c r="M1510" s="3" t="s">
        <v>7778</v>
      </c>
      <c r="N1510" s="5">
        <v>46223.1297337963</v>
      </c>
      <c r="O1510" s="4" t="b">
        <f>L1510 = "PASS"</f>
        <v>1</v>
      </c>
      <c r="P1510" s="4" t="b">
        <f>L1510 = "FAIL"</f>
        <v>0</v>
      </c>
      <c r="Q1510" s="4" t="b">
        <f>AND(((P1510)=TRUE), ((K1510)=TRUE))</f>
        <v>0</v>
      </c>
      <c r="R1510" s="4" t="str">
        <f>IF(((O1510)=TRUE),  I1510,  "")</f>
        <v>suite-witness</v>
      </c>
      <c r="S1510" s="4" t="str">
        <f>IF(((Q1510)=TRUE),  I1510,  "")</f>
      </c>
      <c r="T1510" s="3" t="s">
        <v>6001</v>
      </c>
    </row>
    <row r="1511">
      <c r="A1511" s="3" t="s">
        <v>7907</v>
      </c>
      <c r="B1511" s="4" t="str">
        <f>C1511 &amp; ": " &amp; D1511</f>
        <v>witness-discriminates: ReviewEvents.IsOverdue</v>
      </c>
      <c r="C1511" s="3" t="s">
        <v>7549</v>
      </c>
      <c r="D1511" s="3" t="s">
        <v>4000</v>
      </c>
      <c r="E1511" s="3" t="s">
        <v>3988</v>
      </c>
      <c r="F1511" s="3" t="s">
        <v>1638</v>
      </c>
      <c r="G1511" s="3" t="s">
        <v>7550</v>
      </c>
      <c r="H1511" s="3"/>
      <c r="I1511" s="3" t="s">
        <v>5990</v>
      </c>
      <c r="J1511" s="3" t="s">
        <v>7551</v>
      </c>
      <c r="K1511" s="4" t="b">
        <f>J1511 = "blocking"</f>
        <v>0</v>
      </c>
      <c r="L1511" s="3" t="s">
        <v>1448</v>
      </c>
      <c r="M1511" s="3" t="s">
        <v>7604</v>
      </c>
      <c r="N1511" s="5">
        <v>46223.1297337963</v>
      </c>
      <c r="O1511" s="4" t="b">
        <f>L1511 = "PASS"</f>
        <v>1</v>
      </c>
      <c r="P1511" s="4" t="b">
        <f>L1511 = "FAIL"</f>
        <v>0</v>
      </c>
      <c r="Q1511" s="4" t="b">
        <f>AND(((P1511)=TRUE), ((K1511)=TRUE))</f>
        <v>0</v>
      </c>
      <c r="R1511" s="4" t="str">
        <f>IF(((O1511)=TRUE),  I1511,  "")</f>
        <v>suite-witness</v>
      </c>
      <c r="S1511" s="4" t="str">
        <f>IF(((Q1511)=TRUE),  I1511,  "")</f>
      </c>
      <c r="T1511" s="3" t="s">
        <v>6001</v>
      </c>
    </row>
    <row r="1512">
      <c r="A1512" s="3" t="s">
        <v>7908</v>
      </c>
      <c r="B1512" s="4" t="str">
        <f>C1512 &amp; ": " &amp; D1512</f>
        <v>witness-discriminates: ReviewEvents.ExceedsPromisedCadence</v>
      </c>
      <c r="C1512" s="3" t="s">
        <v>7549</v>
      </c>
      <c r="D1512" s="3" t="s">
        <v>4007</v>
      </c>
      <c r="E1512" s="3" t="s">
        <v>3988</v>
      </c>
      <c r="F1512" s="3" t="s">
        <v>1642</v>
      </c>
      <c r="G1512" s="3" t="s">
        <v>7550</v>
      </c>
      <c r="H1512" s="3" t="s">
        <v>2019</v>
      </c>
      <c r="I1512" s="3" t="s">
        <v>5990</v>
      </c>
      <c r="J1512" s="3" t="s">
        <v>7551</v>
      </c>
      <c r="K1512" s="4" t="b">
        <f>J1512 = "blocking"</f>
        <v>0</v>
      </c>
      <c r="L1512" s="3" t="s">
        <v>1448</v>
      </c>
      <c r="M1512" s="3" t="s">
        <v>7604</v>
      </c>
      <c r="N1512" s="5">
        <v>46223.1297337963</v>
      </c>
      <c r="O1512" s="4" t="b">
        <f>L1512 = "PASS"</f>
        <v>1</v>
      </c>
      <c r="P1512" s="4" t="b">
        <f>L1512 = "FAIL"</f>
        <v>0</v>
      </c>
      <c r="Q1512" s="4" t="b">
        <f>AND(((P1512)=TRUE), ((K1512)=TRUE))</f>
        <v>0</v>
      </c>
      <c r="R1512" s="4" t="str">
        <f>IF(((O1512)=TRUE),  I1512,  "")</f>
        <v>suite-witness</v>
      </c>
      <c r="S1512" s="4" t="str">
        <f>IF(((Q1512)=TRUE),  I1512,  "")</f>
      </c>
      <c r="T1512" s="3" t="s">
        <v>6001</v>
      </c>
    </row>
    <row r="1513">
      <c r="A1513" s="3" t="s">
        <v>7909</v>
      </c>
      <c r="B1513" s="4" t="str">
        <f>C1513 &amp; ": " &amp; D1513</f>
        <v>witness-discriminates: ReviewEvents.PromiseAndBehaviorDisagree</v>
      </c>
      <c r="C1513" s="3" t="s">
        <v>7549</v>
      </c>
      <c r="D1513" s="3" t="s">
        <v>4011</v>
      </c>
      <c r="E1513" s="3" t="s">
        <v>3988</v>
      </c>
      <c r="F1513" s="3" t="s">
        <v>1644</v>
      </c>
      <c r="G1513" s="3" t="s">
        <v>7550</v>
      </c>
      <c r="H1513" s="3" t="s">
        <v>2019</v>
      </c>
      <c r="I1513" s="3" t="s">
        <v>5990</v>
      </c>
      <c r="J1513" s="3" t="s">
        <v>7551</v>
      </c>
      <c r="K1513" s="4" t="b">
        <f>J1513 = "blocking"</f>
        <v>0</v>
      </c>
      <c r="L1513" s="3" t="s">
        <v>1451</v>
      </c>
      <c r="M1513" s="3" t="s">
        <v>7606</v>
      </c>
      <c r="N1513" s="5">
        <v>46223.1297337963</v>
      </c>
      <c r="O1513" s="4" t="b">
        <f>L1513 = "PASS"</f>
        <v>0</v>
      </c>
      <c r="P1513" s="4" t="b">
        <f>L1513 = "FAIL"</f>
        <v>0</v>
      </c>
      <c r="Q1513" s="4" t="b">
        <f>AND(((P1513)=TRUE), ((K1513)=TRUE))</f>
        <v>0</v>
      </c>
      <c r="R1513" s="4" t="str">
        <f>IF(((O1513)=TRUE),  I1513,  "")</f>
      </c>
      <c r="S1513" s="4" t="str">
        <f>IF(((Q1513)=TRUE),  I1513,  "")</f>
      </c>
      <c r="T1513" s="3" t="s">
        <v>6001</v>
      </c>
    </row>
    <row r="1514">
      <c r="A1514" s="3" t="s">
        <v>7910</v>
      </c>
      <c r="B1514" s="4" t="str">
        <f>C1514 &amp; ": " &amp; D1514</f>
        <v>witness-discriminates: OperationalBindings.IsFresh</v>
      </c>
      <c r="C1514" s="3" t="s">
        <v>7549</v>
      </c>
      <c r="D1514" s="3" t="s">
        <v>4043</v>
      </c>
      <c r="E1514" s="3" t="s">
        <v>1862</v>
      </c>
      <c r="F1514" s="3" t="s">
        <v>1669</v>
      </c>
      <c r="G1514" s="3" t="s">
        <v>7550</v>
      </c>
      <c r="H1514" s="3"/>
      <c r="I1514" s="3" t="s">
        <v>5990</v>
      </c>
      <c r="J1514" s="3" t="s">
        <v>7551</v>
      </c>
      <c r="K1514" s="4" t="b">
        <f>J1514 = "blocking"</f>
        <v>0</v>
      </c>
      <c r="L1514" s="3" t="s">
        <v>1448</v>
      </c>
      <c r="M1514" s="3" t="s">
        <v>7911</v>
      </c>
      <c r="N1514" s="5">
        <v>46223.1297337963</v>
      </c>
      <c r="O1514" s="4" t="b">
        <f>L1514 = "PASS"</f>
        <v>1</v>
      </c>
      <c r="P1514" s="4" t="b">
        <f>L1514 = "FAIL"</f>
        <v>0</v>
      </c>
      <c r="Q1514" s="4" t="b">
        <f>AND(((P1514)=TRUE), ((K1514)=TRUE))</f>
        <v>0</v>
      </c>
      <c r="R1514" s="4" t="str">
        <f>IF(((O1514)=TRUE),  I1514,  "")</f>
        <v>suite-witness</v>
      </c>
      <c r="S1514" s="4" t="str">
        <f>IF(((Q1514)=TRUE),  I1514,  "")</f>
      </c>
      <c r="T1514" s="3" t="s">
        <v>6001</v>
      </c>
    </row>
    <row r="1515">
      <c r="A1515" s="3" t="s">
        <v>7912</v>
      </c>
      <c r="B1515" s="4" t="str">
        <f>C1515 &amp; ": " &amp; D1515</f>
        <v>witness-discriminates: OperationalBindings.IsStaleAndAuthoritative</v>
      </c>
      <c r="C1515" s="3" t="s">
        <v>7549</v>
      </c>
      <c r="D1515" s="3" t="s">
        <v>4049</v>
      </c>
      <c r="E1515" s="3" t="s">
        <v>1862</v>
      </c>
      <c r="F1515" s="3" t="s">
        <v>1672</v>
      </c>
      <c r="G1515" s="3" t="s">
        <v>7550</v>
      </c>
      <c r="H1515" s="3" t="s">
        <v>2123</v>
      </c>
      <c r="I1515" s="3" t="s">
        <v>5990</v>
      </c>
      <c r="J1515" s="3" t="s">
        <v>7551</v>
      </c>
      <c r="K1515" s="4" t="b">
        <f>J1515 = "blocking"</f>
        <v>0</v>
      </c>
      <c r="L1515" s="3" t="s">
        <v>1448</v>
      </c>
      <c r="M1515" s="3" t="s">
        <v>7913</v>
      </c>
      <c r="N1515" s="5">
        <v>46223.1297337963</v>
      </c>
      <c r="O1515" s="4" t="b">
        <f>L1515 = "PASS"</f>
        <v>1</v>
      </c>
      <c r="P1515" s="4" t="b">
        <f>L1515 = "FAIL"</f>
        <v>0</v>
      </c>
      <c r="Q1515" s="4" t="b">
        <f>AND(((P1515)=TRUE), ((K1515)=TRUE))</f>
        <v>0</v>
      </c>
      <c r="R1515" s="4" t="str">
        <f>IF(((O1515)=TRUE),  I1515,  "")</f>
        <v>suite-witness</v>
      </c>
      <c r="S1515" s="4" t="str">
        <f>IF(((Q1515)=TRUE),  I1515,  "")</f>
      </c>
      <c r="T1515" s="3" t="s">
        <v>6001</v>
      </c>
    </row>
    <row r="1516">
      <c r="A1516" s="3" t="s">
        <v>7914</v>
      </c>
      <c r="B1516" s="4" t="str">
        <f>C1516 &amp; ": " &amp; D1516</f>
        <v>witness-discriminates: OperationalBindings.ResourceIsApproved</v>
      </c>
      <c r="C1516" s="3" t="s">
        <v>7549</v>
      </c>
      <c r="D1516" s="3" t="s">
        <v>4053</v>
      </c>
      <c r="E1516" s="3" t="s">
        <v>1862</v>
      </c>
      <c r="F1516" s="3" t="s">
        <v>1674</v>
      </c>
      <c r="G1516" s="3" t="s">
        <v>7550</v>
      </c>
      <c r="H1516" s="3" t="s">
        <v>2183</v>
      </c>
      <c r="I1516" s="3" t="s">
        <v>5990</v>
      </c>
      <c r="J1516" s="3" t="s">
        <v>7551</v>
      </c>
      <c r="K1516" s="4" t="b">
        <f>J1516 = "blocking"</f>
        <v>0</v>
      </c>
      <c r="L1516" s="3" t="s">
        <v>1451</v>
      </c>
      <c r="M1516" s="3" t="s">
        <v>7915</v>
      </c>
      <c r="N1516" s="5">
        <v>46223.1297337963</v>
      </c>
      <c r="O1516" s="4" t="b">
        <f>L1516 = "PASS"</f>
        <v>0</v>
      </c>
      <c r="P1516" s="4" t="b">
        <f>L1516 = "FAIL"</f>
        <v>0</v>
      </c>
      <c r="Q1516" s="4" t="b">
        <f>AND(((P1516)=TRUE), ((K1516)=TRUE))</f>
        <v>0</v>
      </c>
      <c r="R1516" s="4" t="str">
        <f>IF(((O1516)=TRUE),  I1516,  "")</f>
      </c>
      <c r="S1516" s="4" t="str">
        <f>IF(((Q1516)=TRUE),  I1516,  "")</f>
      </c>
      <c r="T1516" s="3" t="s">
        <v>6001</v>
      </c>
    </row>
    <row r="1517">
      <c r="A1517" s="3" t="s">
        <v>7916</v>
      </c>
      <c r="B1517" s="4" t="str">
        <f>C1517 &amp; ": " &amp; D1517</f>
        <v>witness-discriminates: OperationalBindings.IsUsableForDrafting</v>
      </c>
      <c r="C1517" s="3" t="s">
        <v>7549</v>
      </c>
      <c r="D1517" s="3" t="s">
        <v>4055</v>
      </c>
      <c r="E1517" s="3" t="s">
        <v>1862</v>
      </c>
      <c r="F1517" s="3" t="s">
        <v>1675</v>
      </c>
      <c r="G1517" s="3" t="s">
        <v>7550</v>
      </c>
      <c r="H1517" s="3" t="s">
        <v>2183</v>
      </c>
      <c r="I1517" s="3" t="s">
        <v>5990</v>
      </c>
      <c r="J1517" s="3" t="s">
        <v>7551</v>
      </c>
      <c r="K1517" s="4" t="b">
        <f>J1517 = "blocking"</f>
        <v>0</v>
      </c>
      <c r="L1517" s="3" t="s">
        <v>1451</v>
      </c>
      <c r="M1517" s="3" t="s">
        <v>7917</v>
      </c>
      <c r="N1517" s="5">
        <v>46223.1297337963</v>
      </c>
      <c r="O1517" s="4" t="b">
        <f>L1517 = "PASS"</f>
        <v>0</v>
      </c>
      <c r="P1517" s="4" t="b">
        <f>L1517 = "FAIL"</f>
        <v>0</v>
      </c>
      <c r="Q1517" s="4" t="b">
        <f>AND(((P1517)=TRUE), ((K1517)=TRUE))</f>
        <v>0</v>
      </c>
      <c r="R1517" s="4" t="str">
        <f>IF(((O1517)=TRUE),  I1517,  "")</f>
      </c>
      <c r="S1517" s="4" t="str">
        <f>IF(((Q1517)=TRUE),  I1517,  "")</f>
      </c>
      <c r="T1517" s="3" t="s">
        <v>6001</v>
      </c>
    </row>
    <row r="1518">
      <c r="A1518" s="3" t="s">
        <v>7918</v>
      </c>
      <c r="B1518" s="4" t="str">
        <f>C1518 &amp; ": " &amp; D1518</f>
        <v>witness-discriminates: CommunicationPolicies.IsActivePolicy</v>
      </c>
      <c r="C1518" s="3" t="s">
        <v>7549</v>
      </c>
      <c r="D1518" s="3" t="s">
        <v>4083</v>
      </c>
      <c r="E1518" s="3" t="s">
        <v>1865</v>
      </c>
      <c r="F1518" s="3" t="s">
        <v>1706</v>
      </c>
      <c r="G1518" s="3" t="s">
        <v>7550</v>
      </c>
      <c r="H1518" s="3" t="s">
        <v>2099</v>
      </c>
      <c r="I1518" s="3" t="s">
        <v>5990</v>
      </c>
      <c r="J1518" s="3" t="s">
        <v>7551</v>
      </c>
      <c r="K1518" s="4" t="b">
        <f>J1518 = "blocking"</f>
        <v>0</v>
      </c>
      <c r="L1518" s="3" t="s">
        <v>1451</v>
      </c>
      <c r="M1518" s="3" t="s">
        <v>7780</v>
      </c>
      <c r="N1518" s="5">
        <v>46223.1297337963</v>
      </c>
      <c r="O1518" s="4" t="b">
        <f>L1518 = "PASS"</f>
        <v>0</v>
      </c>
      <c r="P1518" s="4" t="b">
        <f>L1518 = "FAIL"</f>
        <v>0</v>
      </c>
      <c r="Q1518" s="4" t="b">
        <f>AND(((P1518)=TRUE), ((K1518)=TRUE))</f>
        <v>0</v>
      </c>
      <c r="R1518" s="4" t="str">
        <f>IF(((O1518)=TRUE),  I1518,  "")</f>
      </c>
      <c r="S1518" s="4" t="str">
        <f>IF(((Q1518)=TRUE),  I1518,  "")</f>
      </c>
      <c r="T1518" s="3" t="s">
        <v>6001</v>
      </c>
    </row>
    <row r="1519">
      <c r="A1519" s="3" t="s">
        <v>7919</v>
      </c>
      <c r="B1519" s="4" t="str">
        <f>C1519 &amp; ": " &amp; D1519</f>
        <v>witness-discriminates: MessageTemplates.IsTemplateOverLength</v>
      </c>
      <c r="C1519" s="3" t="s">
        <v>7549</v>
      </c>
      <c r="D1519" s="3" t="s">
        <v>4102</v>
      </c>
      <c r="E1519" s="3" t="s">
        <v>4087</v>
      </c>
      <c r="F1519" s="3" t="s">
        <v>1730</v>
      </c>
      <c r="G1519" s="3" t="s">
        <v>7550</v>
      </c>
      <c r="H1519" s="3" t="s">
        <v>2079</v>
      </c>
      <c r="I1519" s="3" t="s">
        <v>5990</v>
      </c>
      <c r="J1519" s="3" t="s">
        <v>7551</v>
      </c>
      <c r="K1519" s="4" t="b">
        <f>J1519 = "blocking"</f>
        <v>0</v>
      </c>
      <c r="L1519" s="3" t="s">
        <v>1451</v>
      </c>
      <c r="M1519" s="3" t="s">
        <v>7784</v>
      </c>
      <c r="N1519" s="5">
        <v>46223.1297337963</v>
      </c>
      <c r="O1519" s="4" t="b">
        <f>L1519 = "PASS"</f>
        <v>0</v>
      </c>
      <c r="P1519" s="4" t="b">
        <f>L1519 = "FAIL"</f>
        <v>0</v>
      </c>
      <c r="Q1519" s="4" t="b">
        <f>AND(((P1519)=TRUE), ((K1519)=TRUE))</f>
        <v>0</v>
      </c>
      <c r="R1519" s="4" t="str">
        <f>IF(((O1519)=TRUE),  I1519,  "")</f>
      </c>
      <c r="S1519" s="4" t="str">
        <f>IF(((Q1519)=TRUE),  I1519,  "")</f>
      </c>
      <c r="T1519" s="3" t="s">
        <v>6001</v>
      </c>
    </row>
    <row r="1520">
      <c r="A1520" s="3" t="s">
        <v>7920</v>
      </c>
      <c r="B1520" s="4" t="str">
        <f>C1520 &amp; ": " &amp; D1520</f>
        <v>witness-discriminates: MessageTemplates.HasValidApproval</v>
      </c>
      <c r="C1520" s="3" t="s">
        <v>7549</v>
      </c>
      <c r="D1520" s="3" t="s">
        <v>4106</v>
      </c>
      <c r="E1520" s="3" t="s">
        <v>4087</v>
      </c>
      <c r="F1520" s="3" t="s">
        <v>1732</v>
      </c>
      <c r="G1520" s="3" t="s">
        <v>7550</v>
      </c>
      <c r="H1520" s="3" t="s">
        <v>2083</v>
      </c>
      <c r="I1520" s="3" t="s">
        <v>5990</v>
      </c>
      <c r="J1520" s="3" t="s">
        <v>7551</v>
      </c>
      <c r="K1520" s="4" t="b">
        <f>J1520 = "blocking"</f>
        <v>0</v>
      </c>
      <c r="L1520" s="3" t="s">
        <v>1451</v>
      </c>
      <c r="M1520" s="3" t="s">
        <v>7780</v>
      </c>
      <c r="N1520" s="5">
        <v>46223.1297337963</v>
      </c>
      <c r="O1520" s="4" t="b">
        <f>L1520 = "PASS"</f>
        <v>0</v>
      </c>
      <c r="P1520" s="4" t="b">
        <f>L1520 = "FAIL"</f>
        <v>0</v>
      </c>
      <c r="Q1520" s="4" t="b">
        <f>AND(((P1520)=TRUE), ((K1520)=TRUE))</f>
        <v>0</v>
      </c>
      <c r="R1520" s="4" t="str">
        <f>IF(((O1520)=TRUE),  I1520,  "")</f>
      </c>
      <c r="S1520" s="4" t="str">
        <f>IF(((Q1520)=TRUE),  I1520,  "")</f>
      </c>
      <c r="T1520" s="3" t="s">
        <v>6001</v>
      </c>
    </row>
    <row r="1521">
      <c r="A1521" s="3" t="s">
        <v>7921</v>
      </c>
      <c r="B1521" s="4" t="str">
        <f>C1521 &amp; ": " &amp; D1521</f>
        <v>witness-discriminates: MessageTemplates.IsClaimingUnbackedApproval</v>
      </c>
      <c r="C1521" s="3" t="s">
        <v>7549</v>
      </c>
      <c r="D1521" s="3" t="s">
        <v>4108</v>
      </c>
      <c r="E1521" s="3" t="s">
        <v>4087</v>
      </c>
      <c r="F1521" s="3" t="s">
        <v>1733</v>
      </c>
      <c r="G1521" s="3" t="s">
        <v>7550</v>
      </c>
      <c r="H1521" s="3" t="s">
        <v>2083</v>
      </c>
      <c r="I1521" s="3" t="s">
        <v>5990</v>
      </c>
      <c r="J1521" s="3" t="s">
        <v>7551</v>
      </c>
      <c r="K1521" s="4" t="b">
        <f>J1521 = "blocking"</f>
        <v>0</v>
      </c>
      <c r="L1521" s="3" t="s">
        <v>1451</v>
      </c>
      <c r="M1521" s="3" t="s">
        <v>7784</v>
      </c>
      <c r="N1521" s="5">
        <v>46223.1297337963</v>
      </c>
      <c r="O1521" s="4" t="b">
        <f>L1521 = "PASS"</f>
        <v>0</v>
      </c>
      <c r="P1521" s="4" t="b">
        <f>L1521 = "FAIL"</f>
        <v>0</v>
      </c>
      <c r="Q1521" s="4" t="b">
        <f>AND(((P1521)=TRUE), ((K1521)=TRUE))</f>
        <v>0</v>
      </c>
      <c r="R1521" s="4" t="str">
        <f>IF(((O1521)=TRUE),  I1521,  "")</f>
      </c>
      <c r="S1521" s="4" t="str">
        <f>IF(((Q1521)=TRUE),  I1521,  "")</f>
      </c>
      <c r="T1521" s="3" t="s">
        <v>6001</v>
      </c>
    </row>
    <row r="1522">
      <c r="A1522" s="3" t="s">
        <v>7922</v>
      </c>
      <c r="B1522" s="4" t="str">
        <f>C1522 &amp; ": " &amp; D1522</f>
        <v>witness-discriminates: MessageTemplates.HasBodyDrifted</v>
      </c>
      <c r="C1522" s="3" t="s">
        <v>7549</v>
      </c>
      <c r="D1522" s="3" t="s">
        <v>4114</v>
      </c>
      <c r="E1522" s="3" t="s">
        <v>4087</v>
      </c>
      <c r="F1522" s="3" t="s">
        <v>1737</v>
      </c>
      <c r="G1522" s="3" t="s">
        <v>7550</v>
      </c>
      <c r="H1522" s="3" t="s">
        <v>2095</v>
      </c>
      <c r="I1522" s="3" t="s">
        <v>5990</v>
      </c>
      <c r="J1522" s="3" t="s">
        <v>7551</v>
      </c>
      <c r="K1522" s="4" t="b">
        <f>J1522 = "blocking"</f>
        <v>0</v>
      </c>
      <c r="L1522" s="3" t="s">
        <v>1451</v>
      </c>
      <c r="M1522" s="3" t="s">
        <v>7784</v>
      </c>
      <c r="N1522" s="5">
        <v>46223.1297337963</v>
      </c>
      <c r="O1522" s="4" t="b">
        <f>L1522 = "PASS"</f>
        <v>0</v>
      </c>
      <c r="P1522" s="4" t="b">
        <f>L1522 = "FAIL"</f>
        <v>0</v>
      </c>
      <c r="Q1522" s="4" t="b">
        <f>AND(((P1522)=TRUE), ((K1522)=TRUE))</f>
        <v>0</v>
      </c>
      <c r="R1522" s="4" t="str">
        <f>IF(((O1522)=TRUE),  I1522,  "")</f>
      </c>
      <c r="S1522" s="4" t="str">
        <f>IF(((Q1522)=TRUE),  I1522,  "")</f>
      </c>
      <c r="T1522" s="3" t="s">
        <v>6001</v>
      </c>
    </row>
    <row r="1523">
      <c r="A1523" s="3" t="s">
        <v>7923</v>
      </c>
      <c r="B1523" s="4" t="str">
        <f>C1523 &amp; ": " &amp; D1523</f>
        <v>witness-discriminates: MessageTemplates.IsSendableUnderApproval</v>
      </c>
      <c r="C1523" s="3" t="s">
        <v>7549</v>
      </c>
      <c r="D1523" s="3" t="s">
        <v>4116</v>
      </c>
      <c r="E1523" s="3" t="s">
        <v>4087</v>
      </c>
      <c r="F1523" s="3" t="s">
        <v>1738</v>
      </c>
      <c r="G1523" s="3" t="s">
        <v>7550</v>
      </c>
      <c r="H1523" s="3" t="s">
        <v>2095</v>
      </c>
      <c r="I1523" s="3" t="s">
        <v>5990</v>
      </c>
      <c r="J1523" s="3" t="s">
        <v>7551</v>
      </c>
      <c r="K1523" s="4" t="b">
        <f>J1523 = "blocking"</f>
        <v>0</v>
      </c>
      <c r="L1523" s="3" t="s">
        <v>1451</v>
      </c>
      <c r="M1523" s="3" t="s">
        <v>7780</v>
      </c>
      <c r="N1523" s="5">
        <v>46223.1297337963</v>
      </c>
      <c r="O1523" s="4" t="b">
        <f>L1523 = "PASS"</f>
        <v>0</v>
      </c>
      <c r="P1523" s="4" t="b">
        <f>L1523 = "FAIL"</f>
        <v>0</v>
      </c>
      <c r="Q1523" s="4" t="b">
        <f>AND(((P1523)=TRUE), ((K1523)=TRUE))</f>
        <v>0</v>
      </c>
      <c r="R1523" s="4" t="str">
        <f>IF(((O1523)=TRUE),  I1523,  "")</f>
      </c>
      <c r="S1523" s="4" t="str">
        <f>IF(((Q1523)=TRUE),  I1523,  "")</f>
      </c>
      <c r="T1523" s="3" t="s">
        <v>6001</v>
      </c>
    </row>
    <row r="1524">
      <c r="A1524" s="3" t="s">
        <v>7924</v>
      </c>
      <c r="B1524" s="4" t="str">
        <f>C1524 &amp; ": " &amp; D1524</f>
        <v>witness-discriminates: MessageTemplates.TemplateDrawsNoResponse</v>
      </c>
      <c r="C1524" s="3" t="s">
        <v>7549</v>
      </c>
      <c r="D1524" s="3" t="s">
        <v>4124</v>
      </c>
      <c r="E1524" s="3" t="s">
        <v>4087</v>
      </c>
      <c r="F1524" s="3" t="s">
        <v>1742</v>
      </c>
      <c r="G1524" s="3" t="s">
        <v>7550</v>
      </c>
      <c r="H1524" s="3" t="s">
        <v>2323</v>
      </c>
      <c r="I1524" s="3" t="s">
        <v>5990</v>
      </c>
      <c r="J1524" s="3" t="s">
        <v>7551</v>
      </c>
      <c r="K1524" s="4" t="b">
        <f>J1524 = "blocking"</f>
        <v>0</v>
      </c>
      <c r="L1524" s="3" t="s">
        <v>1448</v>
      </c>
      <c r="M1524" s="3" t="s">
        <v>7778</v>
      </c>
      <c r="N1524" s="5">
        <v>46223.1297337963</v>
      </c>
      <c r="O1524" s="4" t="b">
        <f>L1524 = "PASS"</f>
        <v>1</v>
      </c>
      <c r="P1524" s="4" t="b">
        <f>L1524 = "FAIL"</f>
        <v>0</v>
      </c>
      <c r="Q1524" s="4" t="b">
        <f>AND(((P1524)=TRUE), ((K1524)=TRUE))</f>
        <v>0</v>
      </c>
      <c r="R1524" s="4" t="str">
        <f>IF(((O1524)=TRUE),  I1524,  "")</f>
        <v>suite-witness</v>
      </c>
      <c r="S1524" s="4" t="str">
        <f>IF(((Q1524)=TRUE),  I1524,  "")</f>
      </c>
      <c r="T1524" s="3" t="s">
        <v>6001</v>
      </c>
    </row>
    <row r="1525">
      <c r="A1525" s="3" t="s">
        <v>7925</v>
      </c>
      <c r="B1525" s="4" t="str">
        <f>C1525 &amp; ": " &amp; D1525</f>
        <v>witness-discriminates: ExceptionInvocations.ApprovalRoleMatches</v>
      </c>
      <c r="C1525" s="3" t="s">
        <v>7549</v>
      </c>
      <c r="D1525" s="3" t="s">
        <v>4311</v>
      </c>
      <c r="E1525" s="3" t="s">
        <v>4287</v>
      </c>
      <c r="F1525" s="3" t="s">
        <v>4312</v>
      </c>
      <c r="G1525" s="3" t="s">
        <v>7550</v>
      </c>
      <c r="H1525" s="3"/>
      <c r="I1525" s="3" t="s">
        <v>5990</v>
      </c>
      <c r="J1525" s="3" t="s">
        <v>7551</v>
      </c>
      <c r="K1525" s="4" t="b">
        <f>J1525 = "blocking"</f>
        <v>0</v>
      </c>
      <c r="L1525" s="3" t="s">
        <v>1451</v>
      </c>
      <c r="M1525" s="3" t="s">
        <v>7926</v>
      </c>
      <c r="N1525" s="5">
        <v>46223.1297337963</v>
      </c>
      <c r="O1525" s="4" t="b">
        <f>L1525 = "PASS"</f>
        <v>0</v>
      </c>
      <c r="P1525" s="4" t="b">
        <f>L1525 = "FAIL"</f>
        <v>0</v>
      </c>
      <c r="Q1525" s="4" t="b">
        <f>AND(((P1525)=TRUE), ((K1525)=TRUE))</f>
        <v>0</v>
      </c>
      <c r="R1525" s="4" t="str">
        <f>IF(((O1525)=TRUE),  I1525,  "")</f>
      </c>
      <c r="S1525" s="4" t="str">
        <f>IF(((Q1525)=TRUE),  I1525,  "")</f>
      </c>
      <c r="T1525" s="3" t="s">
        <v>6001</v>
      </c>
    </row>
    <row r="1526">
      <c r="A1526" s="3" t="s">
        <v>7927</v>
      </c>
      <c r="B1526" s="4" t="str">
        <f>C1526 &amp; ": " &amp; D1526</f>
        <v>witness-discriminates: ExceptionInvocations.IsApproved</v>
      </c>
      <c r="C1526" s="3" t="s">
        <v>7549</v>
      </c>
      <c r="D1526" s="3" t="s">
        <v>4314</v>
      </c>
      <c r="E1526" s="3" t="s">
        <v>4287</v>
      </c>
      <c r="F1526" s="3" t="s">
        <v>1114</v>
      </c>
      <c r="G1526" s="3" t="s">
        <v>7550</v>
      </c>
      <c r="H1526" s="3"/>
      <c r="I1526" s="3" t="s">
        <v>5990</v>
      </c>
      <c r="J1526" s="3" t="s">
        <v>7551</v>
      </c>
      <c r="K1526" s="4" t="b">
        <f>J1526 = "blocking"</f>
        <v>0</v>
      </c>
      <c r="L1526" s="3" t="s">
        <v>1451</v>
      </c>
      <c r="M1526" s="3" t="s">
        <v>7926</v>
      </c>
      <c r="N1526" s="5">
        <v>46223.1297337963</v>
      </c>
      <c r="O1526" s="4" t="b">
        <f>L1526 = "PASS"</f>
        <v>0</v>
      </c>
      <c r="P1526" s="4" t="b">
        <f>L1526 = "FAIL"</f>
        <v>0</v>
      </c>
      <c r="Q1526" s="4" t="b">
        <f>AND(((P1526)=TRUE), ((K1526)=TRUE))</f>
        <v>0</v>
      </c>
      <c r="R1526" s="4" t="str">
        <f>IF(((O1526)=TRUE),  I1526,  "")</f>
      </c>
      <c r="S1526" s="4" t="str">
        <f>IF(((Q1526)=TRUE),  I1526,  "")</f>
      </c>
      <c r="T1526" s="3" t="s">
        <v>6001</v>
      </c>
    </row>
    <row r="1527">
      <c r="A1527" s="3" t="s">
        <v>7928</v>
      </c>
      <c r="B1527" s="4" t="str">
        <f>C1527 &amp; ": " &amp; D1527</f>
        <v>witness-discriminates: ExceptionInvocations.IsImproperlyApproved</v>
      </c>
      <c r="C1527" s="3" t="s">
        <v>7549</v>
      </c>
      <c r="D1527" s="3" t="s">
        <v>4316</v>
      </c>
      <c r="E1527" s="3" t="s">
        <v>4287</v>
      </c>
      <c r="F1527" s="3" t="s">
        <v>4317</v>
      </c>
      <c r="G1527" s="3" t="s">
        <v>7550</v>
      </c>
      <c r="H1527" s="3"/>
      <c r="I1527" s="3" t="s">
        <v>5990</v>
      </c>
      <c r="J1527" s="3" t="s">
        <v>7551</v>
      </c>
      <c r="K1527" s="4" t="b">
        <f>J1527 = "blocking"</f>
        <v>0</v>
      </c>
      <c r="L1527" s="3" t="s">
        <v>1451</v>
      </c>
      <c r="M1527" s="3" t="s">
        <v>7929</v>
      </c>
      <c r="N1527" s="5">
        <v>46223.1297337963</v>
      </c>
      <c r="O1527" s="4" t="b">
        <f>L1527 = "PASS"</f>
        <v>0</v>
      </c>
      <c r="P1527" s="4" t="b">
        <f>L1527 = "FAIL"</f>
        <v>0</v>
      </c>
      <c r="Q1527" s="4" t="b">
        <f>AND(((P1527)=TRUE), ((K1527)=TRUE))</f>
        <v>0</v>
      </c>
      <c r="R1527" s="4" t="str">
        <f>IF(((O1527)=TRUE),  I1527,  "")</f>
      </c>
      <c r="S1527" s="4" t="str">
        <f>IF(((Q1527)=TRUE),  I1527,  "")</f>
      </c>
      <c r="T1527" s="3" t="s">
        <v>6001</v>
      </c>
    </row>
    <row r="1528">
      <c r="A1528" s="3" t="s">
        <v>7930</v>
      </c>
      <c r="B1528" s="4" t="str">
        <f>C1528 &amp; ": " &amp; D1528</f>
        <v>witness-discriminates: ExceptionInvocations.DelegatedToPreparer</v>
      </c>
      <c r="C1528" s="3" t="s">
        <v>7549</v>
      </c>
      <c r="D1528" s="3" t="s">
        <v>4329</v>
      </c>
      <c r="E1528" s="3" t="s">
        <v>4287</v>
      </c>
      <c r="F1528" s="3" t="s">
        <v>4330</v>
      </c>
      <c r="G1528" s="3" t="s">
        <v>7550</v>
      </c>
      <c r="H1528" s="3" t="s">
        <v>2011</v>
      </c>
      <c r="I1528" s="3" t="s">
        <v>5990</v>
      </c>
      <c r="J1528" s="3" t="s">
        <v>7551</v>
      </c>
      <c r="K1528" s="4" t="b">
        <f>J1528 = "blocking"</f>
        <v>0</v>
      </c>
      <c r="L1528" s="3" t="s">
        <v>1451</v>
      </c>
      <c r="M1528" s="3" t="s">
        <v>7929</v>
      </c>
      <c r="N1528" s="5">
        <v>46223.1297337963</v>
      </c>
      <c r="O1528" s="4" t="b">
        <f>L1528 = "PASS"</f>
        <v>0</v>
      </c>
      <c r="P1528" s="4" t="b">
        <f>L1528 = "FAIL"</f>
        <v>0</v>
      </c>
      <c r="Q1528" s="4" t="b">
        <f>AND(((P1528)=TRUE), ((K1528)=TRUE))</f>
        <v>0</v>
      </c>
      <c r="R1528" s="4" t="str">
        <f>IF(((O1528)=TRUE),  I1528,  "")</f>
      </c>
      <c r="S1528" s="4" t="str">
        <f>IF(((Q1528)=TRUE),  I1528,  "")</f>
      </c>
      <c r="T1528" s="3" t="s">
        <v>6001</v>
      </c>
    </row>
    <row r="1529">
      <c r="A1529" s="3" t="s">
        <v>7931</v>
      </c>
      <c r="B1529" s="4" t="str">
        <f>C1529 &amp; ": " &amp; D1529</f>
        <v>witness-discriminates: ExceptionInvocations.IsUngovernedInvocation</v>
      </c>
      <c r="C1529" s="3" t="s">
        <v>7549</v>
      </c>
      <c r="D1529" s="3" t="s">
        <v>4332</v>
      </c>
      <c r="E1529" s="3" t="s">
        <v>4287</v>
      </c>
      <c r="F1529" s="3" t="s">
        <v>4333</v>
      </c>
      <c r="G1529" s="3" t="s">
        <v>7550</v>
      </c>
      <c r="H1529" s="3" t="s">
        <v>2011</v>
      </c>
      <c r="I1529" s="3" t="s">
        <v>5990</v>
      </c>
      <c r="J1529" s="3" t="s">
        <v>7551</v>
      </c>
      <c r="K1529" s="4" t="b">
        <f>J1529 = "blocking"</f>
        <v>0</v>
      </c>
      <c r="L1529" s="3" t="s">
        <v>1451</v>
      </c>
      <c r="M1529" s="3" t="s">
        <v>7929</v>
      </c>
      <c r="N1529" s="5">
        <v>46223.1297337963</v>
      </c>
      <c r="O1529" s="4" t="b">
        <f>L1529 = "PASS"</f>
        <v>0</v>
      </c>
      <c r="P1529" s="4" t="b">
        <f>L1529 = "FAIL"</f>
        <v>0</v>
      </c>
      <c r="Q1529" s="4" t="b">
        <f>AND(((P1529)=TRUE), ((K1529)=TRUE))</f>
        <v>0</v>
      </c>
      <c r="R1529" s="4" t="str">
        <f>IF(((O1529)=TRUE),  I1529,  "")</f>
      </c>
      <c r="S1529" s="4" t="str">
        <f>IF(((Q1529)=TRUE),  I1529,  "")</f>
      </c>
      <c r="T1529" s="3" t="s">
        <v>6001</v>
      </c>
    </row>
    <row r="1530">
      <c r="A1530" s="3" t="s">
        <v>7932</v>
      </c>
      <c r="B1530" s="4" t="str">
        <f>C1530 &amp; ": " &amp; D1530</f>
        <v>witness-discriminates: VerificationOutcomes.SignalMatchesExpected</v>
      </c>
      <c r="C1530" s="3" t="s">
        <v>7549</v>
      </c>
      <c r="D1530" s="3" t="s">
        <v>844</v>
      </c>
      <c r="E1530" s="3" t="s">
        <v>4337</v>
      </c>
      <c r="F1530" s="3" t="s">
        <v>4356</v>
      </c>
      <c r="G1530" s="3" t="s">
        <v>7550</v>
      </c>
      <c r="H1530" s="3"/>
      <c r="I1530" s="3" t="s">
        <v>5990</v>
      </c>
      <c r="J1530" s="3" t="s">
        <v>7551</v>
      </c>
      <c r="K1530" s="4" t="b">
        <f>J1530 = "blocking"</f>
        <v>0</v>
      </c>
      <c r="L1530" s="3" t="s">
        <v>1448</v>
      </c>
      <c r="M1530" s="3" t="s">
        <v>7933</v>
      </c>
      <c r="N1530" s="5">
        <v>46223.1297337963</v>
      </c>
      <c r="O1530" s="4" t="b">
        <f>L1530 = "PASS"</f>
        <v>1</v>
      </c>
      <c r="P1530" s="4" t="b">
        <f>L1530 = "FAIL"</f>
        <v>0</v>
      </c>
      <c r="Q1530" s="4" t="b">
        <f>AND(((P1530)=TRUE), ((K1530)=TRUE))</f>
        <v>0</v>
      </c>
      <c r="R1530" s="4" t="str">
        <f>IF(((O1530)=TRUE),  I1530,  "")</f>
        <v>suite-witness</v>
      </c>
      <c r="S1530" s="4" t="str">
        <f>IF(((Q1530)=TRUE),  I1530,  "")</f>
      </c>
      <c r="T1530" s="3" t="s">
        <v>6001</v>
      </c>
    </row>
    <row r="1531">
      <c r="A1531" s="3" t="s">
        <v>7934</v>
      </c>
      <c r="B1531" s="4" t="str">
        <f>C1531 &amp; ": " &amp; D1531</f>
        <v>witness-discriminates: VerificationOutcomes.HasEvidence</v>
      </c>
      <c r="C1531" s="3" t="s">
        <v>7549</v>
      </c>
      <c r="D1531" s="3" t="s">
        <v>4358</v>
      </c>
      <c r="E1531" s="3" t="s">
        <v>4337</v>
      </c>
      <c r="F1531" s="3" t="s">
        <v>4359</v>
      </c>
      <c r="G1531" s="3" t="s">
        <v>7550</v>
      </c>
      <c r="H1531" s="3"/>
      <c r="I1531" s="3" t="s">
        <v>5990</v>
      </c>
      <c r="J1531" s="3" t="s">
        <v>7551</v>
      </c>
      <c r="K1531" s="4" t="b">
        <f>J1531 = "blocking"</f>
        <v>0</v>
      </c>
      <c r="L1531" s="3" t="s">
        <v>1448</v>
      </c>
      <c r="M1531" s="3" t="s">
        <v>7933</v>
      </c>
      <c r="N1531" s="5">
        <v>46223.1297337963</v>
      </c>
      <c r="O1531" s="4" t="b">
        <f>L1531 = "PASS"</f>
        <v>1</v>
      </c>
      <c r="P1531" s="4" t="b">
        <f>L1531 = "FAIL"</f>
        <v>0</v>
      </c>
      <c r="Q1531" s="4" t="b">
        <f>AND(((P1531)=TRUE), ((K1531)=TRUE))</f>
        <v>0</v>
      </c>
      <c r="R1531" s="4" t="str">
        <f>IF(((O1531)=TRUE),  I1531,  "")</f>
        <v>suite-witness</v>
      </c>
      <c r="S1531" s="4" t="str">
        <f>IF(((Q1531)=TRUE),  I1531,  "")</f>
      </c>
      <c r="T1531" s="3" t="s">
        <v>6001</v>
      </c>
    </row>
    <row r="1532">
      <c r="A1532" s="3" t="s">
        <v>7935</v>
      </c>
      <c r="B1532" s="4" t="str">
        <f>C1532 &amp; ": " &amp; D1532</f>
        <v>witness-discriminates: VerificationOutcomes.IsUnbackedObservation</v>
      </c>
      <c r="C1532" s="3" t="s">
        <v>7549</v>
      </c>
      <c r="D1532" s="3" t="s">
        <v>851</v>
      </c>
      <c r="E1532" s="3" t="s">
        <v>4337</v>
      </c>
      <c r="F1532" s="3" t="s">
        <v>4361</v>
      </c>
      <c r="G1532" s="3" t="s">
        <v>7550</v>
      </c>
      <c r="H1532" s="3"/>
      <c r="I1532" s="3" t="s">
        <v>5990</v>
      </c>
      <c r="J1532" s="3" t="s">
        <v>7551</v>
      </c>
      <c r="K1532" s="4" t="b">
        <f>J1532 = "blocking"</f>
        <v>0</v>
      </c>
      <c r="L1532" s="3" t="s">
        <v>1448</v>
      </c>
      <c r="M1532" s="3" t="s">
        <v>7936</v>
      </c>
      <c r="N1532" s="5">
        <v>46223.1297337963</v>
      </c>
      <c r="O1532" s="4" t="b">
        <f>L1532 = "PASS"</f>
        <v>1</v>
      </c>
      <c r="P1532" s="4" t="b">
        <f>L1532 = "FAIL"</f>
        <v>0</v>
      </c>
      <c r="Q1532" s="4" t="b">
        <f>AND(((P1532)=TRUE), ((K1532)=TRUE))</f>
        <v>0</v>
      </c>
      <c r="R1532" s="4" t="str">
        <f>IF(((O1532)=TRUE),  I1532,  "")</f>
        <v>suite-witness</v>
      </c>
      <c r="S1532" s="4" t="str">
        <f>IF(((Q1532)=TRUE),  I1532,  "")</f>
      </c>
      <c r="T1532" s="3" t="s">
        <v>6001</v>
      </c>
    </row>
    <row r="1533">
      <c r="A1533" s="3" t="s">
        <v>7937</v>
      </c>
      <c r="B1533" s="4" t="str">
        <f>C1533 &amp; ": " &amp; D1533</f>
        <v>witness-discriminates: VerificationOutcomes.IsSelfWitnessed</v>
      </c>
      <c r="C1533" s="3" t="s">
        <v>7549</v>
      </c>
      <c r="D1533" s="3" t="s">
        <v>4363</v>
      </c>
      <c r="E1533" s="3" t="s">
        <v>4337</v>
      </c>
      <c r="F1533" s="3" t="s">
        <v>4364</v>
      </c>
      <c r="G1533" s="3" t="s">
        <v>7550</v>
      </c>
      <c r="H1533" s="3" t="s">
        <v>2007</v>
      </c>
      <c r="I1533" s="3" t="s">
        <v>5990</v>
      </c>
      <c r="J1533" s="3" t="s">
        <v>7551</v>
      </c>
      <c r="K1533" s="4" t="b">
        <f>J1533 = "blocking"</f>
        <v>0</v>
      </c>
      <c r="L1533" s="3" t="s">
        <v>1448</v>
      </c>
      <c r="M1533" s="3" t="s">
        <v>7933</v>
      </c>
      <c r="N1533" s="5">
        <v>46223.1297337963</v>
      </c>
      <c r="O1533" s="4" t="b">
        <f>L1533 = "PASS"</f>
        <v>1</v>
      </c>
      <c r="P1533" s="4" t="b">
        <f>L1533 = "FAIL"</f>
        <v>0</v>
      </c>
      <c r="Q1533" s="4" t="b">
        <f>AND(((P1533)=TRUE), ((K1533)=TRUE))</f>
        <v>0</v>
      </c>
      <c r="R1533" s="4" t="str">
        <f>IF(((O1533)=TRUE),  I1533,  "")</f>
        <v>suite-witness</v>
      </c>
      <c r="S1533" s="4" t="str">
        <f>IF(((Q1533)=TRUE),  I1533,  "")</f>
      </c>
      <c r="T1533" s="3" t="s">
        <v>6001</v>
      </c>
    </row>
    <row r="1534">
      <c r="A1534" s="3" t="s">
        <v>7938</v>
      </c>
      <c r="B1534" s="4" t="str">
        <f>C1534 &amp; ": " &amp; D1534</f>
        <v>witness-discriminates: VerificationOutcomes.IsSelfWitnessedAndUnbacked</v>
      </c>
      <c r="C1534" s="3" t="s">
        <v>7549</v>
      </c>
      <c r="D1534" s="3" t="s">
        <v>4373</v>
      </c>
      <c r="E1534" s="3" t="s">
        <v>4337</v>
      </c>
      <c r="F1534" s="3" t="s">
        <v>4374</v>
      </c>
      <c r="G1534" s="3" t="s">
        <v>7550</v>
      </c>
      <c r="H1534" s="3" t="s">
        <v>2275</v>
      </c>
      <c r="I1534" s="3" t="s">
        <v>5990</v>
      </c>
      <c r="J1534" s="3" t="s">
        <v>7551</v>
      </c>
      <c r="K1534" s="4" t="b">
        <f>J1534 = "blocking"</f>
        <v>0</v>
      </c>
      <c r="L1534" s="3" t="s">
        <v>1448</v>
      </c>
      <c r="M1534" s="3" t="s">
        <v>7936</v>
      </c>
      <c r="N1534" s="5">
        <v>46223.1297337963</v>
      </c>
      <c r="O1534" s="4" t="b">
        <f>L1534 = "PASS"</f>
        <v>1</v>
      </c>
      <c r="P1534" s="4" t="b">
        <f>L1534 = "FAIL"</f>
        <v>0</v>
      </c>
      <c r="Q1534" s="4" t="b">
        <f>AND(((P1534)=TRUE), ((K1534)=TRUE))</f>
        <v>0</v>
      </c>
      <c r="R1534" s="4" t="str">
        <f>IF(((O1534)=TRUE),  I1534,  "")</f>
        <v>suite-witness</v>
      </c>
      <c r="S1534" s="4" t="str">
        <f>IF(((Q1534)=TRUE),  I1534,  "")</f>
      </c>
      <c r="T1534" s="3" t="s">
        <v>6001</v>
      </c>
    </row>
    <row r="1535">
      <c r="A1535" s="3" t="s">
        <v>7939</v>
      </c>
      <c r="B1535" s="4" t="str">
        <f>C1535 &amp; ": " &amp; D1535</f>
        <v>witness-discriminates: VerificationOutcomes.IsUncorroboratedPass</v>
      </c>
      <c r="C1535" s="3" t="s">
        <v>7549</v>
      </c>
      <c r="D1535" s="3" t="s">
        <v>4376</v>
      </c>
      <c r="E1535" s="3" t="s">
        <v>4337</v>
      </c>
      <c r="F1535" s="3" t="s">
        <v>4377</v>
      </c>
      <c r="G1535" s="3" t="s">
        <v>7550</v>
      </c>
      <c r="H1535" s="3" t="s">
        <v>2275</v>
      </c>
      <c r="I1535" s="3" t="s">
        <v>5990</v>
      </c>
      <c r="J1535" s="3" t="s">
        <v>7551</v>
      </c>
      <c r="K1535" s="4" t="b">
        <f>J1535 = "blocking"</f>
        <v>0</v>
      </c>
      <c r="L1535" s="3" t="s">
        <v>1448</v>
      </c>
      <c r="M1535" s="3" t="s">
        <v>7936</v>
      </c>
      <c r="N1535" s="5">
        <v>46223.1297337963</v>
      </c>
      <c r="O1535" s="4" t="b">
        <f>L1535 = "PASS"</f>
        <v>1</v>
      </c>
      <c r="P1535" s="4" t="b">
        <f>L1535 = "FAIL"</f>
        <v>0</v>
      </c>
      <c r="Q1535" s="4" t="b">
        <f>AND(((P1535)=TRUE), ((K1535)=TRUE))</f>
        <v>0</v>
      </c>
      <c r="R1535" s="4" t="str">
        <f>IF(((O1535)=TRUE),  I1535,  "")</f>
        <v>suite-witness</v>
      </c>
      <c r="S1535" s="4" t="str">
        <f>IF(((Q1535)=TRUE),  I1535,  "")</f>
      </c>
      <c r="T1535" s="3" t="s">
        <v>6001</v>
      </c>
    </row>
    <row r="1536">
      <c r="A1536" s="3" t="s">
        <v>7940</v>
      </c>
      <c r="B1536" s="4" t="str">
        <f>C1536 &amp; ": " &amp; D1536</f>
        <v>witness-discriminates: VerificationOutcomes.ObserverIsNonHuman</v>
      </c>
      <c r="C1536" s="3" t="s">
        <v>7549</v>
      </c>
      <c r="D1536" s="3" t="s">
        <v>4382</v>
      </c>
      <c r="E1536" s="3" t="s">
        <v>4337</v>
      </c>
      <c r="F1536" s="3" t="s">
        <v>4383</v>
      </c>
      <c r="G1536" s="3" t="s">
        <v>7550</v>
      </c>
      <c r="H1536" s="3" t="s">
        <v>2275</v>
      </c>
      <c r="I1536" s="3" t="s">
        <v>5990</v>
      </c>
      <c r="J1536" s="3" t="s">
        <v>7551</v>
      </c>
      <c r="K1536" s="4" t="b">
        <f>J1536 = "blocking"</f>
        <v>0</v>
      </c>
      <c r="L1536" s="3" t="s">
        <v>1448</v>
      </c>
      <c r="M1536" s="3" t="s">
        <v>7936</v>
      </c>
      <c r="N1536" s="5">
        <v>46223.1297337963</v>
      </c>
      <c r="O1536" s="4" t="b">
        <f>L1536 = "PASS"</f>
        <v>1</v>
      </c>
      <c r="P1536" s="4" t="b">
        <f>L1536 = "FAIL"</f>
        <v>0</v>
      </c>
      <c r="Q1536" s="4" t="b">
        <f>AND(((P1536)=TRUE), ((K1536)=TRUE))</f>
        <v>0</v>
      </c>
      <c r="R1536" s="4" t="str">
        <f>IF(((O1536)=TRUE),  I1536,  "")</f>
        <v>suite-witness</v>
      </c>
      <c r="S1536" s="4" t="str">
        <f>IF(((Q1536)=TRUE),  I1536,  "")</f>
      </c>
      <c r="T1536" s="3" t="s">
        <v>6001</v>
      </c>
    </row>
    <row r="1537">
      <c r="A1537" s="3" t="s">
        <v>7941</v>
      </c>
      <c r="B1537" s="4" t="str">
        <f>C1537 &amp; ": " &amp; D1537</f>
        <v>witness-discriminates: VerificationOutcomes.ObserverIsIndependentOfExecutor</v>
      </c>
      <c r="C1537" s="3" t="s">
        <v>7549</v>
      </c>
      <c r="D1537" s="3" t="s">
        <v>4385</v>
      </c>
      <c r="E1537" s="3" t="s">
        <v>4337</v>
      </c>
      <c r="F1537" s="3" t="s">
        <v>4386</v>
      </c>
      <c r="G1537" s="3" t="s">
        <v>7550</v>
      </c>
      <c r="H1537" s="3" t="s">
        <v>2275</v>
      </c>
      <c r="I1537" s="3" t="s">
        <v>5990</v>
      </c>
      <c r="J1537" s="3" t="s">
        <v>7551</v>
      </c>
      <c r="K1537" s="4" t="b">
        <f>J1537 = "blocking"</f>
        <v>0</v>
      </c>
      <c r="L1537" s="3" t="s">
        <v>1448</v>
      </c>
      <c r="M1537" s="3" t="s">
        <v>7936</v>
      </c>
      <c r="N1537" s="5">
        <v>46223.1297337963</v>
      </c>
      <c r="O1537" s="4" t="b">
        <f>L1537 = "PASS"</f>
        <v>1</v>
      </c>
      <c r="P1537" s="4" t="b">
        <f>L1537 = "FAIL"</f>
        <v>0</v>
      </c>
      <c r="Q1537" s="4" t="b">
        <f>AND(((P1537)=TRUE), ((K1537)=TRUE))</f>
        <v>0</v>
      </c>
      <c r="R1537" s="4" t="str">
        <f>IF(((O1537)=TRUE),  I1537,  "")</f>
        <v>suite-witness</v>
      </c>
      <c r="S1537" s="4" t="str">
        <f>IF(((Q1537)=TRUE),  I1537,  "")</f>
      </c>
      <c r="T1537" s="3" t="s">
        <v>6001</v>
      </c>
    </row>
    <row r="1538">
      <c r="A1538" s="3" t="s">
        <v>7942</v>
      </c>
      <c r="B1538" s="4" t="str">
        <f>C1538 &amp; ": " &amp; D1538</f>
        <v>witness-discriminates: VerificationOutcomes.IsIndependentHumanObservation</v>
      </c>
      <c r="C1538" s="3" t="s">
        <v>7549</v>
      </c>
      <c r="D1538" s="3" t="s">
        <v>4388</v>
      </c>
      <c r="E1538" s="3" t="s">
        <v>4337</v>
      </c>
      <c r="F1538" s="3" t="s">
        <v>4389</v>
      </c>
      <c r="G1538" s="3" t="s">
        <v>7550</v>
      </c>
      <c r="H1538" s="3" t="s">
        <v>2307</v>
      </c>
      <c r="I1538" s="3" t="s">
        <v>5990</v>
      </c>
      <c r="J1538" s="3" t="s">
        <v>7551</v>
      </c>
      <c r="K1538" s="4" t="b">
        <f>J1538 = "blocking"</f>
        <v>0</v>
      </c>
      <c r="L1538" s="3" t="s">
        <v>1448</v>
      </c>
      <c r="M1538" s="3" t="s">
        <v>7936</v>
      </c>
      <c r="N1538" s="5">
        <v>46223.1297337963</v>
      </c>
      <c r="O1538" s="4" t="b">
        <f>L1538 = "PASS"</f>
        <v>1</v>
      </c>
      <c r="P1538" s="4" t="b">
        <f>L1538 = "FAIL"</f>
        <v>0</v>
      </c>
      <c r="Q1538" s="4" t="b">
        <f>AND(((P1538)=TRUE), ((K1538)=TRUE))</f>
        <v>0</v>
      </c>
      <c r="R1538" s="4" t="str">
        <f>IF(((O1538)=TRUE),  I1538,  "")</f>
        <v>suite-witness</v>
      </c>
      <c r="S1538" s="4" t="str">
        <f>IF(((Q1538)=TRUE),  I1538,  "")</f>
      </c>
      <c r="T1538" s="3" t="s">
        <v>6001</v>
      </c>
    </row>
    <row r="1539">
      <c r="A1539" s="3" t="s">
        <v>7943</v>
      </c>
      <c r="B1539" s="4" t="str">
        <f>C1539 &amp; ": " &amp; D1539</f>
        <v>witness-discriminates: Recipients.HasSmsConsent</v>
      </c>
      <c r="C1539" s="3" t="s">
        <v>7549</v>
      </c>
      <c r="D1539" s="3" t="s">
        <v>4427</v>
      </c>
      <c r="E1539" s="3" t="s">
        <v>4412</v>
      </c>
      <c r="F1539" s="3" t="s">
        <v>4428</v>
      </c>
      <c r="G1539" s="3" t="s">
        <v>7550</v>
      </c>
      <c r="H1539" s="3"/>
      <c r="I1539" s="3" t="s">
        <v>5990</v>
      </c>
      <c r="J1539" s="3" t="s">
        <v>7551</v>
      </c>
      <c r="K1539" s="4" t="b">
        <f>J1539 = "blocking"</f>
        <v>0</v>
      </c>
      <c r="L1539" s="3" t="s">
        <v>1448</v>
      </c>
      <c r="M1539" s="3" t="s">
        <v>7913</v>
      </c>
      <c r="N1539" s="5">
        <v>46223.1297337963</v>
      </c>
      <c r="O1539" s="4" t="b">
        <f>L1539 = "PASS"</f>
        <v>1</v>
      </c>
      <c r="P1539" s="4" t="b">
        <f>L1539 = "FAIL"</f>
        <v>0</v>
      </c>
      <c r="Q1539" s="4" t="b">
        <f>AND(((P1539)=TRUE), ((K1539)=TRUE))</f>
        <v>0</v>
      </c>
      <c r="R1539" s="4" t="str">
        <f>IF(((O1539)=TRUE),  I1539,  "")</f>
        <v>suite-witness</v>
      </c>
      <c r="S1539" s="4" t="str">
        <f>IF(((Q1539)=TRUE),  I1539,  "")</f>
      </c>
      <c r="T1539" s="3" t="s">
        <v>6001</v>
      </c>
    </row>
    <row r="1540">
      <c r="A1540" s="3" t="s">
        <v>7944</v>
      </c>
      <c r="B1540" s="4" t="str">
        <f>C1540 &amp; ": " &amp; D1540</f>
        <v>witness-discriminates: Recipients.IsEmailReachable</v>
      </c>
      <c r="C1540" s="3" t="s">
        <v>7549</v>
      </c>
      <c r="D1540" s="3" t="s">
        <v>4430</v>
      </c>
      <c r="E1540" s="3" t="s">
        <v>4412</v>
      </c>
      <c r="F1540" s="3" t="s">
        <v>4431</v>
      </c>
      <c r="G1540" s="3" t="s">
        <v>7550</v>
      </c>
      <c r="H1540" s="3"/>
      <c r="I1540" s="3" t="s">
        <v>5990</v>
      </c>
      <c r="J1540" s="3" t="s">
        <v>7551</v>
      </c>
      <c r="K1540" s="4" t="b">
        <f>J1540 = "blocking"</f>
        <v>0</v>
      </c>
      <c r="L1540" s="3" t="s">
        <v>1451</v>
      </c>
      <c r="M1540" s="3" t="s">
        <v>7945</v>
      </c>
      <c r="N1540" s="5">
        <v>46223.1297337963</v>
      </c>
      <c r="O1540" s="4" t="b">
        <f>L1540 = "PASS"</f>
        <v>0</v>
      </c>
      <c r="P1540" s="4" t="b">
        <f>L1540 = "FAIL"</f>
        <v>0</v>
      </c>
      <c r="Q1540" s="4" t="b">
        <f>AND(((P1540)=TRUE), ((K1540)=TRUE))</f>
        <v>0</v>
      </c>
      <c r="R1540" s="4" t="str">
        <f>IF(((O1540)=TRUE),  I1540,  "")</f>
      </c>
      <c r="S1540" s="4" t="str">
        <f>IF(((Q1540)=TRUE),  I1540,  "")</f>
      </c>
      <c r="T1540" s="3" t="s">
        <v>6001</v>
      </c>
    </row>
    <row r="1541">
      <c r="A1541" s="3" t="s">
        <v>7946</v>
      </c>
      <c r="B1541" s="4" t="str">
        <f>C1541 &amp; ": " &amp; D1541</f>
        <v>witness-discriminates: Recipients.IsSmsReachable</v>
      </c>
      <c r="C1541" s="3" t="s">
        <v>7549</v>
      </c>
      <c r="D1541" s="3" t="s">
        <v>4433</v>
      </c>
      <c r="E1541" s="3" t="s">
        <v>4412</v>
      </c>
      <c r="F1541" s="3" t="s">
        <v>4434</v>
      </c>
      <c r="G1541" s="3" t="s">
        <v>7550</v>
      </c>
      <c r="H1541" s="3"/>
      <c r="I1541" s="3" t="s">
        <v>5990</v>
      </c>
      <c r="J1541" s="3" t="s">
        <v>7551</v>
      </c>
      <c r="K1541" s="4" t="b">
        <f>J1541 = "blocking"</f>
        <v>0</v>
      </c>
      <c r="L1541" s="3" t="s">
        <v>1448</v>
      </c>
      <c r="M1541" s="3" t="s">
        <v>7947</v>
      </c>
      <c r="N1541" s="5">
        <v>46223.1297337963</v>
      </c>
      <c r="O1541" s="4" t="b">
        <f>L1541 = "PASS"</f>
        <v>1</v>
      </c>
      <c r="P1541" s="4" t="b">
        <f>L1541 = "FAIL"</f>
        <v>0</v>
      </c>
      <c r="Q1541" s="4" t="b">
        <f>AND(((P1541)=TRUE), ((K1541)=TRUE))</f>
        <v>0</v>
      </c>
      <c r="R1541" s="4" t="str">
        <f>IF(((O1541)=TRUE),  I1541,  "")</f>
        <v>suite-witness</v>
      </c>
      <c r="S1541" s="4" t="str">
        <f>IF(((Q1541)=TRUE),  I1541,  "")</f>
      </c>
      <c r="T1541" s="3" t="s">
        <v>6001</v>
      </c>
    </row>
    <row r="1542">
      <c r="A1542" s="3" t="s">
        <v>7948</v>
      </c>
      <c r="B1542" s="4" t="str">
        <f>C1542 &amp; ": " &amp; D1542</f>
        <v>witness-discriminates: Recipients.IsUnreachable</v>
      </c>
      <c r="C1542" s="3" t="s">
        <v>7549</v>
      </c>
      <c r="D1542" s="3" t="s">
        <v>4436</v>
      </c>
      <c r="E1542" s="3" t="s">
        <v>4412</v>
      </c>
      <c r="F1542" s="3" t="s">
        <v>4437</v>
      </c>
      <c r="G1542" s="3" t="s">
        <v>7550</v>
      </c>
      <c r="H1542" s="3"/>
      <c r="I1542" s="3" t="s">
        <v>5990</v>
      </c>
      <c r="J1542" s="3" t="s">
        <v>7551</v>
      </c>
      <c r="K1542" s="4" t="b">
        <f>J1542 = "blocking"</f>
        <v>0</v>
      </c>
      <c r="L1542" s="3" t="s">
        <v>1451</v>
      </c>
      <c r="M1542" s="3" t="s">
        <v>7949</v>
      </c>
      <c r="N1542" s="5">
        <v>46223.1297337963</v>
      </c>
      <c r="O1542" s="4" t="b">
        <f>L1542 = "PASS"</f>
        <v>0</v>
      </c>
      <c r="P1542" s="4" t="b">
        <f>L1542 = "FAIL"</f>
        <v>0</v>
      </c>
      <c r="Q1542" s="4" t="b">
        <f>AND(((P1542)=TRUE), ((K1542)=TRUE))</f>
        <v>0</v>
      </c>
      <c r="R1542" s="4" t="str">
        <f>IF(((O1542)=TRUE),  I1542,  "")</f>
      </c>
      <c r="S1542" s="4" t="str">
        <f>IF(((Q1542)=TRUE),  I1542,  "")</f>
      </c>
      <c r="T1542" s="3" t="s">
        <v>6001</v>
      </c>
    </row>
    <row r="1543">
      <c r="A1543" s="3" t="s">
        <v>7950</v>
      </c>
      <c r="B1543" s="4" t="str">
        <f>C1543 &amp; ": " &amp; D1543</f>
        <v>witness-discriminates: Recipients.IsCommunicationallyStranded</v>
      </c>
      <c r="C1543" s="3" t="s">
        <v>7549</v>
      </c>
      <c r="D1543" s="3" t="s">
        <v>4439</v>
      </c>
      <c r="E1543" s="3" t="s">
        <v>4412</v>
      </c>
      <c r="F1543" s="3" t="s">
        <v>4440</v>
      </c>
      <c r="G1543" s="3" t="s">
        <v>7550</v>
      </c>
      <c r="H1543" s="3" t="s">
        <v>2335</v>
      </c>
      <c r="I1543" s="3" t="s">
        <v>5990</v>
      </c>
      <c r="J1543" s="3" t="s">
        <v>7551</v>
      </c>
      <c r="K1543" s="4" t="b">
        <f>J1543 = "blocking"</f>
        <v>0</v>
      </c>
      <c r="L1543" s="3" t="s">
        <v>1451</v>
      </c>
      <c r="M1543" s="3" t="s">
        <v>7949</v>
      </c>
      <c r="N1543" s="5">
        <v>46223.1297337963</v>
      </c>
      <c r="O1543" s="4" t="b">
        <f>L1543 = "PASS"</f>
        <v>0</v>
      </c>
      <c r="P1543" s="4" t="b">
        <f>L1543 = "FAIL"</f>
        <v>0</v>
      </c>
      <c r="Q1543" s="4" t="b">
        <f>AND(((P1543)=TRUE), ((K1543)=TRUE))</f>
        <v>0</v>
      </c>
      <c r="R1543" s="4" t="str">
        <f>IF(((O1543)=TRUE),  I1543,  "")</f>
      </c>
      <c r="S1543" s="4" t="str">
        <f>IF(((Q1543)=TRUE),  I1543,  "")</f>
      </c>
      <c r="T1543" s="3" t="s">
        <v>6001</v>
      </c>
    </row>
    <row r="1544">
      <c r="A1544" s="3" t="s">
        <v>7951</v>
      </c>
      <c r="B1544" s="4" t="str">
        <f>C1544 &amp; ": " &amp; D1544</f>
        <v>witness-discriminates: MessageDeliveries.PolicyRequiresConsent</v>
      </c>
      <c r="C1544" s="3" t="s">
        <v>7549</v>
      </c>
      <c r="D1544" s="3" t="s">
        <v>4476</v>
      </c>
      <c r="E1544" s="3" t="s">
        <v>4444</v>
      </c>
      <c r="F1544" s="3" t="s">
        <v>4477</v>
      </c>
      <c r="G1544" s="3" t="s">
        <v>7550</v>
      </c>
      <c r="H1544" s="3" t="s">
        <v>2059</v>
      </c>
      <c r="I1544" s="3" t="s">
        <v>5990</v>
      </c>
      <c r="J1544" s="3" t="s">
        <v>7551</v>
      </c>
      <c r="K1544" s="4" t="b">
        <f>J1544 = "blocking"</f>
        <v>0</v>
      </c>
      <c r="L1544" s="3" t="s">
        <v>1448</v>
      </c>
      <c r="M1544" s="3" t="s">
        <v>7733</v>
      </c>
      <c r="N1544" s="5">
        <v>46223.1297337963</v>
      </c>
      <c r="O1544" s="4" t="b">
        <f>L1544 = "PASS"</f>
        <v>1</v>
      </c>
      <c r="P1544" s="4" t="b">
        <f>L1544 = "FAIL"</f>
        <v>0</v>
      </c>
      <c r="Q1544" s="4" t="b">
        <f>AND(((P1544)=TRUE), ((K1544)=TRUE))</f>
        <v>0</v>
      </c>
      <c r="R1544" s="4" t="str">
        <f>IF(((O1544)=TRUE),  I1544,  "")</f>
        <v>suite-witness</v>
      </c>
      <c r="S1544" s="4" t="str">
        <f>IF(((Q1544)=TRUE),  I1544,  "")</f>
      </c>
      <c r="T1544" s="3" t="s">
        <v>6001</v>
      </c>
    </row>
    <row r="1545">
      <c r="A1545" s="3" t="s">
        <v>7952</v>
      </c>
      <c r="B1545" s="4" t="str">
        <f>C1545 &amp; ": " &amp; D1545</f>
        <v>witness-discriminates: MessageDeliveries.RecipientHasSmsConsent</v>
      </c>
      <c r="C1545" s="3" t="s">
        <v>7549</v>
      </c>
      <c r="D1545" s="3" t="s">
        <v>4479</v>
      </c>
      <c r="E1545" s="3" t="s">
        <v>4444</v>
      </c>
      <c r="F1545" s="3" t="s">
        <v>4480</v>
      </c>
      <c r="G1545" s="3" t="s">
        <v>7550</v>
      </c>
      <c r="H1545" s="3" t="s">
        <v>2059</v>
      </c>
      <c r="I1545" s="3" t="s">
        <v>5990</v>
      </c>
      <c r="J1545" s="3" t="s">
        <v>7551</v>
      </c>
      <c r="K1545" s="4" t="b">
        <f>J1545 = "blocking"</f>
        <v>0</v>
      </c>
      <c r="L1545" s="3" t="s">
        <v>1448</v>
      </c>
      <c r="M1545" s="3" t="s">
        <v>7733</v>
      </c>
      <c r="N1545" s="5">
        <v>46223.1297337963</v>
      </c>
      <c r="O1545" s="4" t="b">
        <f>L1545 = "PASS"</f>
        <v>1</v>
      </c>
      <c r="P1545" s="4" t="b">
        <f>L1545 = "FAIL"</f>
        <v>0</v>
      </c>
      <c r="Q1545" s="4" t="b">
        <f>AND(((P1545)=TRUE), ((K1545)=TRUE))</f>
        <v>0</v>
      </c>
      <c r="R1545" s="4" t="str">
        <f>IF(((O1545)=TRUE),  I1545,  "")</f>
        <v>suite-witness</v>
      </c>
      <c r="S1545" s="4" t="str">
        <f>IF(((Q1545)=TRUE),  I1545,  "")</f>
      </c>
      <c r="T1545" s="3" t="s">
        <v>6001</v>
      </c>
    </row>
    <row r="1546">
      <c r="A1546" s="3" t="s">
        <v>7953</v>
      </c>
      <c r="B1546" s="4" t="str">
        <f>C1546 &amp; ": " &amp; D1546</f>
        <v>witness-discriminates: MessageDeliveries.WasActuallyTransmitted</v>
      </c>
      <c r="C1546" s="3" t="s">
        <v>7549</v>
      </c>
      <c r="D1546" s="3" t="s">
        <v>4482</v>
      </c>
      <c r="E1546" s="3" t="s">
        <v>4444</v>
      </c>
      <c r="F1546" s="3" t="s">
        <v>4483</v>
      </c>
      <c r="G1546" s="3" t="s">
        <v>7550</v>
      </c>
      <c r="H1546" s="3" t="s">
        <v>2059</v>
      </c>
      <c r="I1546" s="3" t="s">
        <v>5990</v>
      </c>
      <c r="J1546" s="3" t="s">
        <v>7551</v>
      </c>
      <c r="K1546" s="4" t="b">
        <f>J1546 = "blocking"</f>
        <v>0</v>
      </c>
      <c r="L1546" s="3" t="s">
        <v>1448</v>
      </c>
      <c r="M1546" s="3" t="s">
        <v>7733</v>
      </c>
      <c r="N1546" s="5">
        <v>46223.1297337963</v>
      </c>
      <c r="O1546" s="4" t="b">
        <f>L1546 = "PASS"</f>
        <v>1</v>
      </c>
      <c r="P1546" s="4" t="b">
        <f>L1546 = "FAIL"</f>
        <v>0</v>
      </c>
      <c r="Q1546" s="4" t="b">
        <f>AND(((P1546)=TRUE), ((K1546)=TRUE))</f>
        <v>0</v>
      </c>
      <c r="R1546" s="4" t="str">
        <f>IF(((O1546)=TRUE),  I1546,  "")</f>
        <v>suite-witness</v>
      </c>
      <c r="S1546" s="4" t="str">
        <f>IF(((Q1546)=TRUE),  I1546,  "")</f>
      </c>
      <c r="T1546" s="3" t="s">
        <v>6001</v>
      </c>
    </row>
    <row r="1547">
      <c r="A1547" s="3" t="s">
        <v>7954</v>
      </c>
      <c r="B1547" s="4" t="str">
        <f>C1547 &amp; ": " &amp; D1547</f>
        <v>witness-discriminates: MessageDeliveries.IsConsentViolation</v>
      </c>
      <c r="C1547" s="3" t="s">
        <v>7549</v>
      </c>
      <c r="D1547" s="3" t="s">
        <v>4485</v>
      </c>
      <c r="E1547" s="3" t="s">
        <v>4444</v>
      </c>
      <c r="F1547" s="3" t="s">
        <v>4486</v>
      </c>
      <c r="G1547" s="3" t="s">
        <v>7550</v>
      </c>
      <c r="H1547" s="3" t="s">
        <v>2059</v>
      </c>
      <c r="I1547" s="3" t="s">
        <v>5990</v>
      </c>
      <c r="J1547" s="3" t="s">
        <v>7551</v>
      </c>
      <c r="K1547" s="4" t="b">
        <f>J1547 = "blocking"</f>
        <v>0</v>
      </c>
      <c r="L1547" s="3" t="s">
        <v>1451</v>
      </c>
      <c r="M1547" s="3" t="s">
        <v>7955</v>
      </c>
      <c r="N1547" s="5">
        <v>46223.1297337963</v>
      </c>
      <c r="O1547" s="4" t="b">
        <f>L1547 = "PASS"</f>
        <v>0</v>
      </c>
      <c r="P1547" s="4" t="b">
        <f>L1547 = "FAIL"</f>
        <v>0</v>
      </c>
      <c r="Q1547" s="4" t="b">
        <f>AND(((P1547)=TRUE), ((K1547)=TRUE))</f>
        <v>0</v>
      </c>
      <c r="R1547" s="4" t="str">
        <f>IF(((O1547)=TRUE),  I1547,  "")</f>
      </c>
      <c r="S1547" s="4" t="str">
        <f>IF(((Q1547)=TRUE),  I1547,  "")</f>
      </c>
      <c r="T1547" s="3" t="s">
        <v>6001</v>
      </c>
    </row>
    <row r="1548">
      <c r="A1548" s="3" t="s">
        <v>7956</v>
      </c>
      <c r="B1548" s="4" t="str">
        <f>C1548 &amp; ": " &amp; D1548</f>
        <v>witness-discriminates: MessageDeliveries.PolicyHasQuietHours</v>
      </c>
      <c r="C1548" s="3" t="s">
        <v>7549</v>
      </c>
      <c r="D1548" s="3" t="s">
        <v>4497</v>
      </c>
      <c r="E1548" s="3" t="s">
        <v>4444</v>
      </c>
      <c r="F1548" s="3" t="s">
        <v>4498</v>
      </c>
      <c r="G1548" s="3" t="s">
        <v>7550</v>
      </c>
      <c r="H1548" s="3" t="s">
        <v>2063</v>
      </c>
      <c r="I1548" s="3" t="s">
        <v>5990</v>
      </c>
      <c r="J1548" s="3" t="s">
        <v>7551</v>
      </c>
      <c r="K1548" s="4" t="b">
        <f>J1548 = "blocking"</f>
        <v>0</v>
      </c>
      <c r="L1548" s="3" t="s">
        <v>1448</v>
      </c>
      <c r="M1548" s="3" t="s">
        <v>7733</v>
      </c>
      <c r="N1548" s="5">
        <v>46223.1297337963</v>
      </c>
      <c r="O1548" s="4" t="b">
        <f>L1548 = "PASS"</f>
        <v>1</v>
      </c>
      <c r="P1548" s="4" t="b">
        <f>L1548 = "FAIL"</f>
        <v>0</v>
      </c>
      <c r="Q1548" s="4" t="b">
        <f>AND(((P1548)=TRUE), ((K1548)=TRUE))</f>
        <v>0</v>
      </c>
      <c r="R1548" s="4" t="str">
        <f>IF(((O1548)=TRUE),  I1548,  "")</f>
        <v>suite-witness</v>
      </c>
      <c r="S1548" s="4" t="str">
        <f>IF(((Q1548)=TRUE),  I1548,  "")</f>
      </c>
      <c r="T1548" s="3" t="s">
        <v>6001</v>
      </c>
    </row>
    <row r="1549">
      <c r="A1549" s="3" t="s">
        <v>7957</v>
      </c>
      <c r="B1549" s="4" t="str">
        <f>C1549 &amp; ": " &amp; D1549</f>
        <v>witness-discriminates: MessageDeliveries.QuietWindowWrapsMidnight</v>
      </c>
      <c r="C1549" s="3" t="s">
        <v>7549</v>
      </c>
      <c r="D1549" s="3" t="s">
        <v>4500</v>
      </c>
      <c r="E1549" s="3" t="s">
        <v>4444</v>
      </c>
      <c r="F1549" s="3" t="s">
        <v>4501</v>
      </c>
      <c r="G1549" s="3" t="s">
        <v>7550</v>
      </c>
      <c r="H1549" s="3" t="s">
        <v>2063</v>
      </c>
      <c r="I1549" s="3" t="s">
        <v>5990</v>
      </c>
      <c r="J1549" s="3" t="s">
        <v>7551</v>
      </c>
      <c r="K1549" s="4" t="b">
        <f>J1549 = "blocking"</f>
        <v>0</v>
      </c>
      <c r="L1549" s="3" t="s">
        <v>1448</v>
      </c>
      <c r="M1549" s="3" t="s">
        <v>7733</v>
      </c>
      <c r="N1549" s="5">
        <v>46223.1297337963</v>
      </c>
      <c r="O1549" s="4" t="b">
        <f>L1549 = "PASS"</f>
        <v>1</v>
      </c>
      <c r="P1549" s="4" t="b">
        <f>L1549 = "FAIL"</f>
        <v>0</v>
      </c>
      <c r="Q1549" s="4" t="b">
        <f>AND(((P1549)=TRUE), ((K1549)=TRUE))</f>
        <v>0</v>
      </c>
      <c r="R1549" s="4" t="str">
        <f>IF(((O1549)=TRUE),  I1549,  "")</f>
        <v>suite-witness</v>
      </c>
      <c r="S1549" s="4" t="str">
        <f>IF(((Q1549)=TRUE),  I1549,  "")</f>
      </c>
      <c r="T1549" s="3" t="s">
        <v>6001</v>
      </c>
    </row>
    <row r="1550">
      <c r="A1550" s="3" t="s">
        <v>7958</v>
      </c>
      <c r="B1550" s="4" t="str">
        <f>C1550 &amp; ": " &amp; D1550</f>
        <v>witness-discriminates: MessageDeliveries.IsInsideQuietWindow</v>
      </c>
      <c r="C1550" s="3" t="s">
        <v>7549</v>
      </c>
      <c r="D1550" s="3" t="s">
        <v>4503</v>
      </c>
      <c r="E1550" s="3" t="s">
        <v>4444</v>
      </c>
      <c r="F1550" s="3" t="s">
        <v>4504</v>
      </c>
      <c r="G1550" s="3" t="s">
        <v>7550</v>
      </c>
      <c r="H1550" s="3" t="s">
        <v>2063</v>
      </c>
      <c r="I1550" s="3" t="s">
        <v>5990</v>
      </c>
      <c r="J1550" s="3" t="s">
        <v>7551</v>
      </c>
      <c r="K1550" s="4" t="b">
        <f>J1550 = "blocking"</f>
        <v>0</v>
      </c>
      <c r="L1550" s="3" t="s">
        <v>1448</v>
      </c>
      <c r="M1550" s="3" t="s">
        <v>7959</v>
      </c>
      <c r="N1550" s="5">
        <v>46223.1297337963</v>
      </c>
      <c r="O1550" s="4" t="b">
        <f>L1550 = "PASS"</f>
        <v>1</v>
      </c>
      <c r="P1550" s="4" t="b">
        <f>L1550 = "FAIL"</f>
        <v>0</v>
      </c>
      <c r="Q1550" s="4" t="b">
        <f>AND(((P1550)=TRUE), ((K1550)=TRUE))</f>
        <v>0</v>
      </c>
      <c r="R1550" s="4" t="str">
        <f>IF(((O1550)=TRUE),  I1550,  "")</f>
        <v>suite-witness</v>
      </c>
      <c r="S1550" s="4" t="str">
        <f>IF(((Q1550)=TRUE),  I1550,  "")</f>
      </c>
      <c r="T1550" s="3" t="s">
        <v>6001</v>
      </c>
    </row>
    <row r="1551">
      <c r="A1551" s="3" t="s">
        <v>7960</v>
      </c>
      <c r="B1551" s="4" t="str">
        <f>C1551 &amp; ": " &amp; D1551</f>
        <v>witness-discriminates: MessageDeliveries.IsQuietHoursViolation</v>
      </c>
      <c r="C1551" s="3" t="s">
        <v>7549</v>
      </c>
      <c r="D1551" s="3" t="s">
        <v>4506</v>
      </c>
      <c r="E1551" s="3" t="s">
        <v>4444</v>
      </c>
      <c r="F1551" s="3" t="s">
        <v>4507</v>
      </c>
      <c r="G1551" s="3" t="s">
        <v>7550</v>
      </c>
      <c r="H1551" s="3" t="s">
        <v>2063</v>
      </c>
      <c r="I1551" s="3" t="s">
        <v>5990</v>
      </c>
      <c r="J1551" s="3" t="s">
        <v>7551</v>
      </c>
      <c r="K1551" s="4" t="b">
        <f>J1551 = "blocking"</f>
        <v>0</v>
      </c>
      <c r="L1551" s="3" t="s">
        <v>1448</v>
      </c>
      <c r="M1551" s="3" t="s">
        <v>7959</v>
      </c>
      <c r="N1551" s="5">
        <v>46223.1297337963</v>
      </c>
      <c r="O1551" s="4" t="b">
        <f>L1551 = "PASS"</f>
        <v>1</v>
      </c>
      <c r="P1551" s="4" t="b">
        <f>L1551 = "FAIL"</f>
        <v>0</v>
      </c>
      <c r="Q1551" s="4" t="b">
        <f>AND(((P1551)=TRUE), ((K1551)=TRUE))</f>
        <v>0</v>
      </c>
      <c r="R1551" s="4" t="str">
        <f>IF(((O1551)=TRUE),  I1551,  "")</f>
        <v>suite-witness</v>
      </c>
      <c r="S1551" s="4" t="str">
        <f>IF(((Q1551)=TRUE),  I1551,  "")</f>
      </c>
      <c r="T1551" s="3" t="s">
        <v>6001</v>
      </c>
    </row>
    <row r="1552">
      <c r="A1552" s="3" t="s">
        <v>7961</v>
      </c>
      <c r="B1552" s="4" t="str">
        <f>C1552 &amp; ": " &amp; D1552</f>
        <v>witness-discriminates: MessageDeliveries.RecipientIsUnreachable</v>
      </c>
      <c r="C1552" s="3" t="s">
        <v>7549</v>
      </c>
      <c r="D1552" s="3" t="s">
        <v>4512</v>
      </c>
      <c r="E1552" s="3" t="s">
        <v>4444</v>
      </c>
      <c r="F1552" s="3" t="s">
        <v>4513</v>
      </c>
      <c r="G1552" s="3" t="s">
        <v>7550</v>
      </c>
      <c r="H1552" s="3" t="s">
        <v>2067</v>
      </c>
      <c r="I1552" s="3" t="s">
        <v>5990</v>
      </c>
      <c r="J1552" s="3" t="s">
        <v>7551</v>
      </c>
      <c r="K1552" s="4" t="b">
        <f>J1552 = "blocking"</f>
        <v>0</v>
      </c>
      <c r="L1552" s="3" t="s">
        <v>1451</v>
      </c>
      <c r="M1552" s="3" t="s">
        <v>7955</v>
      </c>
      <c r="N1552" s="5">
        <v>46223.1297337963</v>
      </c>
      <c r="O1552" s="4" t="b">
        <f>L1552 = "PASS"</f>
        <v>0</v>
      </c>
      <c r="P1552" s="4" t="b">
        <f>L1552 = "FAIL"</f>
        <v>0</v>
      </c>
      <c r="Q1552" s="4" t="b">
        <f>AND(((P1552)=TRUE), ((K1552)=TRUE))</f>
        <v>0</v>
      </c>
      <c r="R1552" s="4" t="str">
        <f>IF(((O1552)=TRUE),  I1552,  "")</f>
      </c>
      <c r="S1552" s="4" t="str">
        <f>IF(((Q1552)=TRUE),  I1552,  "")</f>
      </c>
      <c r="T1552" s="3" t="s">
        <v>6001</v>
      </c>
    </row>
    <row r="1553">
      <c r="A1553" s="3" t="s">
        <v>7962</v>
      </c>
      <c r="B1553" s="4" t="str">
        <f>C1553 &amp; ": " &amp; D1553</f>
        <v>witness-discriminates: MessageDeliveries.IsAcknowledged</v>
      </c>
      <c r="C1553" s="3" t="s">
        <v>7549</v>
      </c>
      <c r="D1553" s="3" t="s">
        <v>4515</v>
      </c>
      <c r="E1553" s="3" t="s">
        <v>4444</v>
      </c>
      <c r="F1553" s="3" t="s">
        <v>4516</v>
      </c>
      <c r="G1553" s="3" t="s">
        <v>7550</v>
      </c>
      <c r="H1553" s="3" t="s">
        <v>2067</v>
      </c>
      <c r="I1553" s="3" t="s">
        <v>5990</v>
      </c>
      <c r="J1553" s="3" t="s">
        <v>7551</v>
      </c>
      <c r="K1553" s="4" t="b">
        <f>J1553 = "blocking"</f>
        <v>0</v>
      </c>
      <c r="L1553" s="3" t="s">
        <v>1448</v>
      </c>
      <c r="M1553" s="3" t="s">
        <v>7959</v>
      </c>
      <c r="N1553" s="5">
        <v>46223.1297337963</v>
      </c>
      <c r="O1553" s="4" t="b">
        <f>L1553 = "PASS"</f>
        <v>1</v>
      </c>
      <c r="P1553" s="4" t="b">
        <f>L1553 = "FAIL"</f>
        <v>0</v>
      </c>
      <c r="Q1553" s="4" t="b">
        <f>AND(((P1553)=TRUE), ((K1553)=TRUE))</f>
        <v>0</v>
      </c>
      <c r="R1553" s="4" t="str">
        <f>IF(((O1553)=TRUE),  I1553,  "")</f>
        <v>suite-witness</v>
      </c>
      <c r="S1553" s="4" t="str">
        <f>IF(((Q1553)=TRUE),  I1553,  "")</f>
      </c>
      <c r="T1553" s="3" t="s">
        <v>6001</v>
      </c>
    </row>
    <row r="1554">
      <c r="A1554" s="3" t="s">
        <v>7963</v>
      </c>
      <c r="B1554" s="4" t="str">
        <f>C1554 &amp; ": " &amp; D1554</f>
        <v>witness-discriminates: MessageDeliveries.HasUnreachableExceptionInvoked</v>
      </c>
      <c r="C1554" s="3" t="s">
        <v>7549</v>
      </c>
      <c r="D1554" s="3" t="s">
        <v>4521</v>
      </c>
      <c r="E1554" s="3" t="s">
        <v>4444</v>
      </c>
      <c r="F1554" s="3" t="s">
        <v>4522</v>
      </c>
      <c r="G1554" s="3" t="s">
        <v>7550</v>
      </c>
      <c r="H1554" s="3" t="s">
        <v>2067</v>
      </c>
      <c r="I1554" s="3" t="s">
        <v>5990</v>
      </c>
      <c r="J1554" s="3" t="s">
        <v>7551</v>
      </c>
      <c r="K1554" s="4" t="b">
        <f>J1554 = "blocking"</f>
        <v>0</v>
      </c>
      <c r="L1554" s="3" t="s">
        <v>1448</v>
      </c>
      <c r="M1554" s="3" t="s">
        <v>7604</v>
      </c>
      <c r="N1554" s="5">
        <v>46223.1297337963</v>
      </c>
      <c r="O1554" s="4" t="b">
        <f>L1554 = "PASS"</f>
        <v>1</v>
      </c>
      <c r="P1554" s="4" t="b">
        <f>L1554 = "FAIL"</f>
        <v>0</v>
      </c>
      <c r="Q1554" s="4" t="b">
        <f>AND(((P1554)=TRUE), ((K1554)=TRUE))</f>
        <v>0</v>
      </c>
      <c r="R1554" s="4" t="str">
        <f>IF(((O1554)=TRUE),  I1554,  "")</f>
        <v>suite-witness</v>
      </c>
      <c r="S1554" s="4" t="str">
        <f>IF(((Q1554)=TRUE),  I1554,  "")</f>
      </c>
      <c r="T1554" s="3" t="s">
        <v>6001</v>
      </c>
    </row>
    <row r="1555">
      <c r="A1555" s="3" t="s">
        <v>7964</v>
      </c>
      <c r="B1555" s="4" t="str">
        <f>C1555 &amp; ": " &amp; D1555</f>
        <v>witness-discriminates: MessageDeliveries.IsFabricatedAcknowledgement</v>
      </c>
      <c r="C1555" s="3" t="s">
        <v>7549</v>
      </c>
      <c r="D1555" s="3" t="s">
        <v>4524</v>
      </c>
      <c r="E1555" s="3" t="s">
        <v>4444</v>
      </c>
      <c r="F1555" s="3" t="s">
        <v>4525</v>
      </c>
      <c r="G1555" s="3" t="s">
        <v>7550</v>
      </c>
      <c r="H1555" s="3" t="s">
        <v>2067</v>
      </c>
      <c r="I1555" s="3" t="s">
        <v>5990</v>
      </c>
      <c r="J1555" s="3" t="s">
        <v>7551</v>
      </c>
      <c r="K1555" s="4" t="b">
        <f>J1555 = "blocking"</f>
        <v>0</v>
      </c>
      <c r="L1555" s="3" t="s">
        <v>1451</v>
      </c>
      <c r="M1555" s="3" t="s">
        <v>7955</v>
      </c>
      <c r="N1555" s="5">
        <v>46223.1297337963</v>
      </c>
      <c r="O1555" s="4" t="b">
        <f>L1555 = "PASS"</f>
        <v>0</v>
      </c>
      <c r="P1555" s="4" t="b">
        <f>L1555 = "FAIL"</f>
        <v>0</v>
      </c>
      <c r="Q1555" s="4" t="b">
        <f>AND(((P1555)=TRUE), ((K1555)=TRUE))</f>
        <v>0</v>
      </c>
      <c r="R1555" s="4" t="str">
        <f>IF(((O1555)=TRUE),  I1555,  "")</f>
      </c>
      <c r="S1555" s="4" t="str">
        <f>IF(((Q1555)=TRUE),  I1555,  "")</f>
      </c>
      <c r="T1555" s="3" t="s">
        <v>6001</v>
      </c>
    </row>
    <row r="1556">
      <c r="A1556" s="3" t="s">
        <v>7965</v>
      </c>
      <c r="B1556" s="4" t="str">
        <f>C1556 &amp; ": " &amp; D1556</f>
        <v>witness-discriminates: MessageDeliveries.IsUnhandledUnreachable</v>
      </c>
      <c r="C1556" s="3" t="s">
        <v>7549</v>
      </c>
      <c r="D1556" s="3" t="s">
        <v>4527</v>
      </c>
      <c r="E1556" s="3" t="s">
        <v>4444</v>
      </c>
      <c r="F1556" s="3" t="s">
        <v>4528</v>
      </c>
      <c r="G1556" s="3" t="s">
        <v>7550</v>
      </c>
      <c r="H1556" s="3" t="s">
        <v>2067</v>
      </c>
      <c r="I1556" s="3" t="s">
        <v>5990</v>
      </c>
      <c r="J1556" s="3" t="s">
        <v>7551</v>
      </c>
      <c r="K1556" s="4" t="b">
        <f>J1556 = "blocking"</f>
        <v>0</v>
      </c>
      <c r="L1556" s="3" t="s">
        <v>1451</v>
      </c>
      <c r="M1556" s="3" t="s">
        <v>7955</v>
      </c>
      <c r="N1556" s="5">
        <v>46223.1297337963</v>
      </c>
      <c r="O1556" s="4" t="b">
        <f>L1556 = "PASS"</f>
        <v>0</v>
      </c>
      <c r="P1556" s="4" t="b">
        <f>L1556 = "FAIL"</f>
        <v>0</v>
      </c>
      <c r="Q1556" s="4" t="b">
        <f>AND(((P1556)=TRUE), ((K1556)=TRUE))</f>
        <v>0</v>
      </c>
      <c r="R1556" s="4" t="str">
        <f>IF(((O1556)=TRUE),  I1556,  "")</f>
      </c>
      <c r="S1556" s="4" t="str">
        <f>IF(((Q1556)=TRUE),  I1556,  "")</f>
      </c>
      <c r="T1556" s="3" t="s">
        <v>6001</v>
      </c>
    </row>
    <row r="1557">
      <c r="A1557" s="3" t="s">
        <v>7966</v>
      </c>
      <c r="B1557" s="4" t="str">
        <f>C1557 &amp; ": " &amp; D1557</f>
        <v>witness-discriminates: MessageDeliveries.IsWithinRetentionWindow</v>
      </c>
      <c r="C1557" s="3" t="s">
        <v>7549</v>
      </c>
      <c r="D1557" s="3" t="s">
        <v>4540</v>
      </c>
      <c r="E1557" s="3" t="s">
        <v>4444</v>
      </c>
      <c r="F1557" s="3" t="s">
        <v>4541</v>
      </c>
      <c r="G1557" s="3" t="s">
        <v>7550</v>
      </c>
      <c r="H1557" s="3" t="s">
        <v>2071</v>
      </c>
      <c r="I1557" s="3" t="s">
        <v>5990</v>
      </c>
      <c r="J1557" s="3" t="s">
        <v>7551</v>
      </c>
      <c r="K1557" s="4" t="b">
        <f>J1557 = "blocking"</f>
        <v>0</v>
      </c>
      <c r="L1557" s="3" t="s">
        <v>1451</v>
      </c>
      <c r="M1557" s="3" t="s">
        <v>7967</v>
      </c>
      <c r="N1557" s="5">
        <v>46223.1297337963</v>
      </c>
      <c r="O1557" s="4" t="b">
        <f>L1557 = "PASS"</f>
        <v>0</v>
      </c>
      <c r="P1557" s="4" t="b">
        <f>L1557 = "FAIL"</f>
        <v>0</v>
      </c>
      <c r="Q1557" s="4" t="b">
        <f>AND(((P1557)=TRUE), ((K1557)=TRUE))</f>
        <v>0</v>
      </c>
      <c r="R1557" s="4" t="str">
        <f>IF(((O1557)=TRUE),  I1557,  "")</f>
      </c>
      <c r="S1557" s="4" t="str">
        <f>IF(((Q1557)=TRUE),  I1557,  "")</f>
      </c>
      <c r="T1557" s="3" t="s">
        <v>6001</v>
      </c>
    </row>
    <row r="1558">
      <c r="A1558" s="3" t="s">
        <v>7968</v>
      </c>
      <c r="B1558" s="4" t="str">
        <f>C1558 &amp; ": " &amp; D1558</f>
        <v>witness-discriminates: MessageDeliveries.HasRenderedBody</v>
      </c>
      <c r="C1558" s="3" t="s">
        <v>7549</v>
      </c>
      <c r="D1558" s="3" t="s">
        <v>4543</v>
      </c>
      <c r="E1558" s="3" t="s">
        <v>4444</v>
      </c>
      <c r="F1558" s="3" t="s">
        <v>4544</v>
      </c>
      <c r="G1558" s="3" t="s">
        <v>7550</v>
      </c>
      <c r="H1558" s="3" t="s">
        <v>2071</v>
      </c>
      <c r="I1558" s="3" t="s">
        <v>5990</v>
      </c>
      <c r="J1558" s="3" t="s">
        <v>7551</v>
      </c>
      <c r="K1558" s="4" t="b">
        <f>J1558 = "blocking"</f>
        <v>0</v>
      </c>
      <c r="L1558" s="3" t="s">
        <v>1451</v>
      </c>
      <c r="M1558" s="3" t="s">
        <v>7967</v>
      </c>
      <c r="N1558" s="5">
        <v>46223.1297337963</v>
      </c>
      <c r="O1558" s="4" t="b">
        <f>L1558 = "PASS"</f>
        <v>0</v>
      </c>
      <c r="P1558" s="4" t="b">
        <f>L1558 = "FAIL"</f>
        <v>0</v>
      </c>
      <c r="Q1558" s="4" t="b">
        <f>AND(((P1558)=TRUE), ((K1558)=TRUE))</f>
        <v>0</v>
      </c>
      <c r="R1558" s="4" t="str">
        <f>IF(((O1558)=TRUE),  I1558,  "")</f>
      </c>
      <c r="S1558" s="4" t="str">
        <f>IF(((Q1558)=TRUE),  I1558,  "")</f>
      </c>
      <c r="T1558" s="3" t="s">
        <v>6001</v>
      </c>
    </row>
    <row r="1559">
      <c r="A1559" s="3" t="s">
        <v>7969</v>
      </c>
      <c r="B1559" s="4" t="str">
        <f>C1559 &amp; ": " &amp; D1559</f>
        <v>witness-discriminates: MessageDeliveries.IsEvidenceRequired</v>
      </c>
      <c r="C1559" s="3" t="s">
        <v>7549</v>
      </c>
      <c r="D1559" s="3" t="s">
        <v>4546</v>
      </c>
      <c r="E1559" s="3" t="s">
        <v>4444</v>
      </c>
      <c r="F1559" s="3" t="s">
        <v>4547</v>
      </c>
      <c r="G1559" s="3" t="s">
        <v>7550</v>
      </c>
      <c r="H1559" s="3" t="s">
        <v>2071</v>
      </c>
      <c r="I1559" s="3" t="s">
        <v>5990</v>
      </c>
      <c r="J1559" s="3" t="s">
        <v>7551</v>
      </c>
      <c r="K1559" s="4" t="b">
        <f>J1559 = "blocking"</f>
        <v>0</v>
      </c>
      <c r="L1559" s="3" t="s">
        <v>1448</v>
      </c>
      <c r="M1559" s="3" t="s">
        <v>7733</v>
      </c>
      <c r="N1559" s="5">
        <v>46223.1297337963</v>
      </c>
      <c r="O1559" s="4" t="b">
        <f>L1559 = "PASS"</f>
        <v>1</v>
      </c>
      <c r="P1559" s="4" t="b">
        <f>L1559 = "FAIL"</f>
        <v>0</v>
      </c>
      <c r="Q1559" s="4" t="b">
        <f>AND(((P1559)=TRUE), ((K1559)=TRUE))</f>
        <v>0</v>
      </c>
      <c r="R1559" s="4" t="str">
        <f>IF(((O1559)=TRUE),  I1559,  "")</f>
        <v>suite-witness</v>
      </c>
      <c r="S1559" s="4" t="str">
        <f>IF(((Q1559)=TRUE),  I1559,  "")</f>
      </c>
      <c r="T1559" s="3" t="s">
        <v>6001</v>
      </c>
    </row>
    <row r="1560">
      <c r="A1560" s="3" t="s">
        <v>7970</v>
      </c>
      <c r="B1560" s="4" t="str">
        <f>C1560 &amp; ": " &amp; D1560</f>
        <v>witness-discriminates: MessageDeliveries.IsRetentionBreach</v>
      </c>
      <c r="C1560" s="3" t="s">
        <v>7549</v>
      </c>
      <c r="D1560" s="3" t="s">
        <v>4549</v>
      </c>
      <c r="E1560" s="3" t="s">
        <v>4444</v>
      </c>
      <c r="F1560" s="3" t="s">
        <v>4550</v>
      </c>
      <c r="G1560" s="3" t="s">
        <v>7550</v>
      </c>
      <c r="H1560" s="3" t="s">
        <v>2071</v>
      </c>
      <c r="I1560" s="3" t="s">
        <v>5990</v>
      </c>
      <c r="J1560" s="3" t="s">
        <v>7551</v>
      </c>
      <c r="K1560" s="4" t="b">
        <f>J1560 = "blocking"</f>
        <v>0</v>
      </c>
      <c r="L1560" s="3" t="s">
        <v>1451</v>
      </c>
      <c r="M1560" s="3" t="s">
        <v>7955</v>
      </c>
      <c r="N1560" s="5">
        <v>46223.1297337963</v>
      </c>
      <c r="O1560" s="4" t="b">
        <f>L1560 = "PASS"</f>
        <v>0</v>
      </c>
      <c r="P1560" s="4" t="b">
        <f>L1560 = "FAIL"</f>
        <v>0</v>
      </c>
      <c r="Q1560" s="4" t="b">
        <f>AND(((P1560)=TRUE), ((K1560)=TRUE))</f>
        <v>0</v>
      </c>
      <c r="R1560" s="4" t="str">
        <f>IF(((O1560)=TRUE),  I1560,  "")</f>
      </c>
      <c r="S1560" s="4" t="str">
        <f>IF(((Q1560)=TRUE),  I1560,  "")</f>
      </c>
      <c r="T1560" s="3" t="s">
        <v>6001</v>
      </c>
    </row>
    <row r="1561">
      <c r="A1561" s="3" t="s">
        <v>7971</v>
      </c>
      <c r="B1561" s="4" t="str">
        <f>C1561 &amp; ": " &amp; D1561</f>
        <v>witness-discriminates: MessageDeliveries.ExecutionHasClearedLegalReview</v>
      </c>
      <c r="C1561" s="3" t="s">
        <v>7549</v>
      </c>
      <c r="D1561" s="3" t="s">
        <v>4557</v>
      </c>
      <c r="E1561" s="3" t="s">
        <v>4444</v>
      </c>
      <c r="F1561" s="3" t="s">
        <v>4558</v>
      </c>
      <c r="G1561" s="3" t="s">
        <v>7550</v>
      </c>
      <c r="H1561" s="3" t="s">
        <v>2075</v>
      </c>
      <c r="I1561" s="3" t="s">
        <v>5990</v>
      </c>
      <c r="J1561" s="3" t="s">
        <v>7551</v>
      </c>
      <c r="K1561" s="4" t="b">
        <f>J1561 = "blocking"</f>
        <v>0</v>
      </c>
      <c r="L1561" s="3" t="s">
        <v>1451</v>
      </c>
      <c r="M1561" s="3" t="s">
        <v>7967</v>
      </c>
      <c r="N1561" s="5">
        <v>46223.1297337963</v>
      </c>
      <c r="O1561" s="4" t="b">
        <f>L1561 = "PASS"</f>
        <v>0</v>
      </c>
      <c r="P1561" s="4" t="b">
        <f>L1561 = "FAIL"</f>
        <v>0</v>
      </c>
      <c r="Q1561" s="4" t="b">
        <f>AND(((P1561)=TRUE), ((K1561)=TRUE))</f>
        <v>0</v>
      </c>
      <c r="R1561" s="4" t="str">
        <f>IF(((O1561)=TRUE),  I1561,  "")</f>
      </c>
      <c r="S1561" s="4" t="str">
        <f>IF(((Q1561)=TRUE),  I1561,  "")</f>
      </c>
      <c r="T1561" s="3" t="s">
        <v>6001</v>
      </c>
    </row>
    <row r="1562">
      <c r="A1562" s="3" t="s">
        <v>7972</v>
      </c>
      <c r="B1562" s="4" t="str">
        <f>C1562 &amp; ": " &amp; D1562</f>
        <v>witness-discriminates: MessageDeliveries.IsUnreviewedSend</v>
      </c>
      <c r="C1562" s="3" t="s">
        <v>7549</v>
      </c>
      <c r="D1562" s="3" t="s">
        <v>4560</v>
      </c>
      <c r="E1562" s="3" t="s">
        <v>4444</v>
      </c>
      <c r="F1562" s="3" t="s">
        <v>4561</v>
      </c>
      <c r="G1562" s="3" t="s">
        <v>7550</v>
      </c>
      <c r="H1562" s="3" t="s">
        <v>2075</v>
      </c>
      <c r="I1562" s="3" t="s">
        <v>5990</v>
      </c>
      <c r="J1562" s="3" t="s">
        <v>7551</v>
      </c>
      <c r="K1562" s="4" t="b">
        <f>J1562 = "blocking"</f>
        <v>0</v>
      </c>
      <c r="L1562" s="3" t="s">
        <v>1451</v>
      </c>
      <c r="M1562" s="3" t="s">
        <v>7955</v>
      </c>
      <c r="N1562" s="5">
        <v>46223.1297337963</v>
      </c>
      <c r="O1562" s="4" t="b">
        <f>L1562 = "PASS"</f>
        <v>0</v>
      </c>
      <c r="P1562" s="4" t="b">
        <f>L1562 = "FAIL"</f>
        <v>0</v>
      </c>
      <c r="Q1562" s="4" t="b">
        <f>AND(((P1562)=TRUE), ((K1562)=TRUE))</f>
        <v>0</v>
      </c>
      <c r="R1562" s="4" t="str">
        <f>IF(((O1562)=TRUE),  I1562,  "")</f>
      </c>
      <c r="S1562" s="4" t="str">
        <f>IF(((Q1562)=TRUE),  I1562,  "")</f>
      </c>
      <c r="T1562" s="3" t="s">
        <v>6001</v>
      </c>
    </row>
    <row r="1563">
      <c r="A1563" s="3" t="s">
        <v>7973</v>
      </c>
      <c r="B1563" s="4" t="str">
        <f>C1563 &amp; ": " &amp; D1563</f>
        <v>witness-discriminates: MessageDeliveries.IsOverSegmentLimit</v>
      </c>
      <c r="C1563" s="3" t="s">
        <v>7549</v>
      </c>
      <c r="D1563" s="3" t="s">
        <v>4575</v>
      </c>
      <c r="E1563" s="3" t="s">
        <v>4444</v>
      </c>
      <c r="F1563" s="3" t="s">
        <v>4576</v>
      </c>
      <c r="G1563" s="3" t="s">
        <v>7550</v>
      </c>
      <c r="H1563" s="3" t="s">
        <v>2079</v>
      </c>
      <c r="I1563" s="3" t="s">
        <v>5990</v>
      </c>
      <c r="J1563" s="3" t="s">
        <v>7551</v>
      </c>
      <c r="K1563" s="4" t="b">
        <f>J1563 = "blocking"</f>
        <v>0</v>
      </c>
      <c r="L1563" s="3" t="s">
        <v>1451</v>
      </c>
      <c r="M1563" s="3" t="s">
        <v>7955</v>
      </c>
      <c r="N1563" s="5">
        <v>46223.1297337963</v>
      </c>
      <c r="O1563" s="4" t="b">
        <f>L1563 = "PASS"</f>
        <v>0</v>
      </c>
      <c r="P1563" s="4" t="b">
        <f>L1563 = "FAIL"</f>
        <v>0</v>
      </c>
      <c r="Q1563" s="4" t="b">
        <f>AND(((P1563)=TRUE), ((K1563)=TRUE))</f>
        <v>0</v>
      </c>
      <c r="R1563" s="4" t="str">
        <f>IF(((O1563)=TRUE),  I1563,  "")</f>
      </c>
      <c r="S1563" s="4" t="str">
        <f>IF(((Q1563)=TRUE),  I1563,  "")</f>
      </c>
      <c r="T1563" s="3" t="s">
        <v>6001</v>
      </c>
    </row>
    <row r="1564">
      <c r="A1564" s="3" t="s">
        <v>7974</v>
      </c>
      <c r="B1564" s="4" t="str">
        <f>C1564 &amp; ": " &amp; D1564</f>
        <v>witness-discriminates: MessageDeliveries.TemplateHasValidApproval</v>
      </c>
      <c r="C1564" s="3" t="s">
        <v>7549</v>
      </c>
      <c r="D1564" s="3" t="s">
        <v>4578</v>
      </c>
      <c r="E1564" s="3" t="s">
        <v>4444</v>
      </c>
      <c r="F1564" s="3" t="s">
        <v>4579</v>
      </c>
      <c r="G1564" s="3" t="s">
        <v>7550</v>
      </c>
      <c r="H1564" s="3" t="s">
        <v>2083</v>
      </c>
      <c r="I1564" s="3" t="s">
        <v>5990</v>
      </c>
      <c r="J1564" s="3" t="s">
        <v>7551</v>
      </c>
      <c r="K1564" s="4" t="b">
        <f>J1564 = "blocking"</f>
        <v>0</v>
      </c>
      <c r="L1564" s="3" t="s">
        <v>1451</v>
      </c>
      <c r="M1564" s="3" t="s">
        <v>7967</v>
      </c>
      <c r="N1564" s="5">
        <v>46223.1297337963</v>
      </c>
      <c r="O1564" s="4" t="b">
        <f>L1564 = "PASS"</f>
        <v>0</v>
      </c>
      <c r="P1564" s="4" t="b">
        <f>L1564 = "FAIL"</f>
        <v>0</v>
      </c>
      <c r="Q1564" s="4" t="b">
        <f>AND(((P1564)=TRUE), ((K1564)=TRUE))</f>
        <v>0</v>
      </c>
      <c r="R1564" s="4" t="str">
        <f>IF(((O1564)=TRUE),  I1564,  "")</f>
      </c>
      <c r="S1564" s="4" t="str">
        <f>IF(((Q1564)=TRUE),  I1564,  "")</f>
      </c>
      <c r="T1564" s="3" t="s">
        <v>6001</v>
      </c>
    </row>
    <row r="1565">
      <c r="A1565" s="3" t="s">
        <v>7975</v>
      </c>
      <c r="B1565" s="4" t="str">
        <f>C1565 &amp; ": " &amp; D1565</f>
        <v>witness-discriminates: MessageDeliveries.IsUnapprovedSend</v>
      </c>
      <c r="C1565" s="3" t="s">
        <v>7549</v>
      </c>
      <c r="D1565" s="3" t="s">
        <v>4581</v>
      </c>
      <c r="E1565" s="3" t="s">
        <v>4444</v>
      </c>
      <c r="F1565" s="3" t="s">
        <v>4582</v>
      </c>
      <c r="G1565" s="3" t="s">
        <v>7550</v>
      </c>
      <c r="H1565" s="3" t="s">
        <v>2083</v>
      </c>
      <c r="I1565" s="3" t="s">
        <v>5990</v>
      </c>
      <c r="J1565" s="3" t="s">
        <v>7551</v>
      </c>
      <c r="K1565" s="4" t="b">
        <f>J1565 = "blocking"</f>
        <v>0</v>
      </c>
      <c r="L1565" s="3" t="s">
        <v>1451</v>
      </c>
      <c r="M1565" s="3" t="s">
        <v>7955</v>
      </c>
      <c r="N1565" s="5">
        <v>46223.1297337963</v>
      </c>
      <c r="O1565" s="4" t="b">
        <f>L1565 = "PASS"</f>
        <v>0</v>
      </c>
      <c r="P1565" s="4" t="b">
        <f>L1565 = "FAIL"</f>
        <v>0</v>
      </c>
      <c r="Q1565" s="4" t="b">
        <f>AND(((P1565)=TRUE), ((K1565)=TRUE))</f>
        <v>0</v>
      </c>
      <c r="R1565" s="4" t="str">
        <f>IF(((O1565)=TRUE),  I1565,  "")</f>
      </c>
      <c r="S1565" s="4" t="str">
        <f>IF(((Q1565)=TRUE),  I1565,  "")</f>
      </c>
      <c r="T1565" s="3" t="s">
        <v>6001</v>
      </c>
    </row>
    <row r="1566">
      <c r="A1566" s="3" t="s">
        <v>7976</v>
      </c>
      <c r="B1566" s="4" t="str">
        <f>C1566 &amp; ": " &amp; D1566</f>
        <v>witness-discriminates: MessageDeliveries.PolicyRequiresOptOut</v>
      </c>
      <c r="C1566" s="3" t="s">
        <v>7549</v>
      </c>
      <c r="D1566" s="3" t="s">
        <v>4587</v>
      </c>
      <c r="E1566" s="3" t="s">
        <v>4444</v>
      </c>
      <c r="F1566" s="3" t="s">
        <v>4588</v>
      </c>
      <c r="G1566" s="3" t="s">
        <v>7550</v>
      </c>
      <c r="H1566" s="3" t="s">
        <v>2087</v>
      </c>
      <c r="I1566" s="3" t="s">
        <v>5990</v>
      </c>
      <c r="J1566" s="3" t="s">
        <v>7551</v>
      </c>
      <c r="K1566" s="4" t="b">
        <f>J1566 = "blocking"</f>
        <v>0</v>
      </c>
      <c r="L1566" s="3" t="s">
        <v>1448</v>
      </c>
      <c r="M1566" s="3" t="s">
        <v>7733</v>
      </c>
      <c r="N1566" s="5">
        <v>46223.1297337963</v>
      </c>
      <c r="O1566" s="4" t="b">
        <f>L1566 = "PASS"</f>
        <v>1</v>
      </c>
      <c r="P1566" s="4" t="b">
        <f>L1566 = "FAIL"</f>
        <v>0</v>
      </c>
      <c r="Q1566" s="4" t="b">
        <f>AND(((P1566)=TRUE), ((K1566)=TRUE))</f>
        <v>0</v>
      </c>
      <c r="R1566" s="4" t="str">
        <f>IF(((O1566)=TRUE),  I1566,  "")</f>
        <v>suite-witness</v>
      </c>
      <c r="S1566" s="4" t="str">
        <f>IF(((Q1566)=TRUE),  I1566,  "")</f>
      </c>
      <c r="T1566" s="3" t="s">
        <v>6001</v>
      </c>
    </row>
    <row r="1567">
      <c r="A1567" s="3" t="s">
        <v>7977</v>
      </c>
      <c r="B1567" s="4" t="str">
        <f>C1567 &amp; ": " &amp; D1567</f>
        <v>witness-discriminates: MessageDeliveries.HasOptOutPhrase</v>
      </c>
      <c r="C1567" s="3" t="s">
        <v>7549</v>
      </c>
      <c r="D1567" s="3" t="s">
        <v>4593</v>
      </c>
      <c r="E1567" s="3" t="s">
        <v>4444</v>
      </c>
      <c r="F1567" s="3" t="s">
        <v>4594</v>
      </c>
      <c r="G1567" s="3" t="s">
        <v>7550</v>
      </c>
      <c r="H1567" s="3" t="s">
        <v>2087</v>
      </c>
      <c r="I1567" s="3" t="s">
        <v>5990</v>
      </c>
      <c r="J1567" s="3" t="s">
        <v>7551</v>
      </c>
      <c r="K1567" s="4" t="b">
        <f>J1567 = "blocking"</f>
        <v>0</v>
      </c>
      <c r="L1567" s="3" t="s">
        <v>1448</v>
      </c>
      <c r="M1567" s="3" t="s">
        <v>7933</v>
      </c>
      <c r="N1567" s="5">
        <v>46223.1297337963</v>
      </c>
      <c r="O1567" s="4" t="b">
        <f>L1567 = "PASS"</f>
        <v>1</v>
      </c>
      <c r="P1567" s="4" t="b">
        <f>L1567 = "FAIL"</f>
        <v>0</v>
      </c>
      <c r="Q1567" s="4" t="b">
        <f>AND(((P1567)=TRUE), ((K1567)=TRUE))</f>
        <v>0</v>
      </c>
      <c r="R1567" s="4" t="str">
        <f>IF(((O1567)=TRUE),  I1567,  "")</f>
        <v>suite-witness</v>
      </c>
      <c r="S1567" s="4" t="str">
        <f>IF(((Q1567)=TRUE),  I1567,  "")</f>
      </c>
      <c r="T1567" s="3" t="s">
        <v>6001</v>
      </c>
    </row>
    <row r="1568">
      <c r="A1568" s="3" t="s">
        <v>7978</v>
      </c>
      <c r="B1568" s="4" t="str">
        <f>C1568 &amp; ": " &amp; D1568</f>
        <v>witness-discriminates: MessageDeliveries.IsOptOutInFirstSegment</v>
      </c>
      <c r="C1568" s="3" t="s">
        <v>7549</v>
      </c>
      <c r="D1568" s="3" t="s">
        <v>4596</v>
      </c>
      <c r="E1568" s="3" t="s">
        <v>4444</v>
      </c>
      <c r="F1568" s="3" t="s">
        <v>4597</v>
      </c>
      <c r="G1568" s="3" t="s">
        <v>7550</v>
      </c>
      <c r="H1568" s="3" t="s">
        <v>2087</v>
      </c>
      <c r="I1568" s="3" t="s">
        <v>5990</v>
      </c>
      <c r="J1568" s="3" t="s">
        <v>7551</v>
      </c>
      <c r="K1568" s="4" t="b">
        <f>J1568 = "blocking"</f>
        <v>0</v>
      </c>
      <c r="L1568" s="3" t="s">
        <v>1448</v>
      </c>
      <c r="M1568" s="3" t="s">
        <v>7933</v>
      </c>
      <c r="N1568" s="5">
        <v>46223.1297337963</v>
      </c>
      <c r="O1568" s="4" t="b">
        <f>L1568 = "PASS"</f>
        <v>1</v>
      </c>
      <c r="P1568" s="4" t="b">
        <f>L1568 = "FAIL"</f>
        <v>0</v>
      </c>
      <c r="Q1568" s="4" t="b">
        <f>AND(((P1568)=TRUE), ((K1568)=TRUE))</f>
        <v>0</v>
      </c>
      <c r="R1568" s="4" t="str">
        <f>IF(((O1568)=TRUE),  I1568,  "")</f>
        <v>suite-witness</v>
      </c>
      <c r="S1568" s="4" t="str">
        <f>IF(((Q1568)=TRUE),  I1568,  "")</f>
      </c>
      <c r="T1568" s="3" t="s">
        <v>6001</v>
      </c>
    </row>
    <row r="1569">
      <c r="A1569" s="3" t="s">
        <v>7979</v>
      </c>
      <c r="B1569" s="4" t="str">
        <f>C1569 &amp; ": " &amp; D1569</f>
        <v>witness-discriminates: MessageDeliveries.IsMissingRequiredOptOut</v>
      </c>
      <c r="C1569" s="3" t="s">
        <v>7549</v>
      </c>
      <c r="D1569" s="3" t="s">
        <v>4599</v>
      </c>
      <c r="E1569" s="3" t="s">
        <v>4444</v>
      </c>
      <c r="F1569" s="3" t="s">
        <v>4600</v>
      </c>
      <c r="G1569" s="3" t="s">
        <v>7550</v>
      </c>
      <c r="H1569" s="3" t="s">
        <v>2087</v>
      </c>
      <c r="I1569" s="3" t="s">
        <v>5990</v>
      </c>
      <c r="J1569" s="3" t="s">
        <v>7551</v>
      </c>
      <c r="K1569" s="4" t="b">
        <f>J1569 = "blocking"</f>
        <v>0</v>
      </c>
      <c r="L1569" s="3" t="s">
        <v>1448</v>
      </c>
      <c r="M1569" s="3" t="s">
        <v>7959</v>
      </c>
      <c r="N1569" s="5">
        <v>46223.1297337963</v>
      </c>
      <c r="O1569" s="4" t="b">
        <f>L1569 = "PASS"</f>
        <v>1</v>
      </c>
      <c r="P1569" s="4" t="b">
        <f>L1569 = "FAIL"</f>
        <v>0</v>
      </c>
      <c r="Q1569" s="4" t="b">
        <f>AND(((P1569)=TRUE), ((K1569)=TRUE))</f>
        <v>0</v>
      </c>
      <c r="R1569" s="4" t="str">
        <f>IF(((O1569)=TRUE),  I1569,  "")</f>
        <v>suite-witness</v>
      </c>
      <c r="S1569" s="4" t="str">
        <f>IF(((Q1569)=TRUE),  I1569,  "")</f>
      </c>
      <c r="T1569" s="3" t="s">
        <v>6001</v>
      </c>
    </row>
    <row r="1570">
      <c r="A1570" s="3" t="s">
        <v>7980</v>
      </c>
      <c r="B1570" s="4" t="str">
        <f>C1570 &amp; ": " &amp; D1570</f>
        <v>witness-discriminates: MessageDeliveries.IsOptOutAtRiskOfTruncation</v>
      </c>
      <c r="C1570" s="3" t="s">
        <v>7549</v>
      </c>
      <c r="D1570" s="3" t="s">
        <v>4602</v>
      </c>
      <c r="E1570" s="3" t="s">
        <v>4444</v>
      </c>
      <c r="F1570" s="3" t="s">
        <v>4603</v>
      </c>
      <c r="G1570" s="3" t="s">
        <v>7550</v>
      </c>
      <c r="H1570" s="3" t="s">
        <v>2087</v>
      </c>
      <c r="I1570" s="3" t="s">
        <v>5990</v>
      </c>
      <c r="J1570" s="3" t="s">
        <v>7551</v>
      </c>
      <c r="K1570" s="4" t="b">
        <f>J1570 = "blocking"</f>
        <v>0</v>
      </c>
      <c r="L1570" s="3" t="s">
        <v>1451</v>
      </c>
      <c r="M1570" s="3" t="s">
        <v>7955</v>
      </c>
      <c r="N1570" s="5">
        <v>46223.1297337963</v>
      </c>
      <c r="O1570" s="4" t="b">
        <f>L1570 = "PASS"</f>
        <v>0</v>
      </c>
      <c r="P1570" s="4" t="b">
        <f>L1570 = "FAIL"</f>
        <v>0</v>
      </c>
      <c r="Q1570" s="4" t="b">
        <f>AND(((P1570)=TRUE), ((K1570)=TRUE))</f>
        <v>0</v>
      </c>
      <c r="R1570" s="4" t="str">
        <f>IF(((O1570)=TRUE),  I1570,  "")</f>
      </c>
      <c r="S1570" s="4" t="str">
        <f>IF(((Q1570)=TRUE),  I1570,  "")</f>
      </c>
      <c r="T1570" s="3" t="s">
        <v>6001</v>
      </c>
    </row>
    <row r="1571">
      <c r="A1571" s="3" t="s">
        <v>7981</v>
      </c>
      <c r="B1571" s="4" t="str">
        <f>C1571 &amp; ": " &amp; D1571</f>
        <v>witness-discriminates: MessageDeliveries.IsFailedDelivery</v>
      </c>
      <c r="C1571" s="3" t="s">
        <v>7549</v>
      </c>
      <c r="D1571" s="3" t="s">
        <v>4605</v>
      </c>
      <c r="E1571" s="3" t="s">
        <v>4444</v>
      </c>
      <c r="F1571" s="3" t="s">
        <v>4606</v>
      </c>
      <c r="G1571" s="3" t="s">
        <v>7550</v>
      </c>
      <c r="H1571" s="3" t="s">
        <v>2091</v>
      </c>
      <c r="I1571" s="3" t="s">
        <v>5990</v>
      </c>
      <c r="J1571" s="3" t="s">
        <v>7551</v>
      </c>
      <c r="K1571" s="4" t="b">
        <f>J1571 = "blocking"</f>
        <v>0</v>
      </c>
      <c r="L1571" s="3" t="s">
        <v>1448</v>
      </c>
      <c r="M1571" s="3" t="s">
        <v>7959</v>
      </c>
      <c r="N1571" s="5">
        <v>46223.1297337963</v>
      </c>
      <c r="O1571" s="4" t="b">
        <f>L1571 = "PASS"</f>
        <v>1</v>
      </c>
      <c r="P1571" s="4" t="b">
        <f>L1571 = "FAIL"</f>
        <v>0</v>
      </c>
      <c r="Q1571" s="4" t="b">
        <f>AND(((P1571)=TRUE), ((K1571)=TRUE))</f>
        <v>0</v>
      </c>
      <c r="R1571" s="4" t="str">
        <f>IF(((O1571)=TRUE),  I1571,  "")</f>
        <v>suite-witness</v>
      </c>
      <c r="S1571" s="4" t="str">
        <f>IF(((Q1571)=TRUE),  I1571,  "")</f>
      </c>
      <c r="T1571" s="3" t="s">
        <v>6001</v>
      </c>
    </row>
    <row r="1572">
      <c r="A1572" s="3" t="s">
        <v>7982</v>
      </c>
      <c r="B1572" s="4" t="str">
        <f>C1572 &amp; ": " &amp; D1572</f>
        <v>witness-discriminates: MessageDeliveries.IsSuppressed</v>
      </c>
      <c r="C1572" s="3" t="s">
        <v>7549</v>
      </c>
      <c r="D1572" s="3" t="s">
        <v>4608</v>
      </c>
      <c r="E1572" s="3" t="s">
        <v>4444</v>
      </c>
      <c r="F1572" s="3" t="s">
        <v>4609</v>
      </c>
      <c r="G1572" s="3" t="s">
        <v>7550</v>
      </c>
      <c r="H1572" s="3" t="s">
        <v>2091</v>
      </c>
      <c r="I1572" s="3" t="s">
        <v>5990</v>
      </c>
      <c r="J1572" s="3" t="s">
        <v>7551</v>
      </c>
      <c r="K1572" s="4" t="b">
        <f>J1572 = "blocking"</f>
        <v>0</v>
      </c>
      <c r="L1572" s="3" t="s">
        <v>1448</v>
      </c>
      <c r="M1572" s="3" t="s">
        <v>7959</v>
      </c>
      <c r="N1572" s="5">
        <v>46223.1297337963</v>
      </c>
      <c r="O1572" s="4" t="b">
        <f>L1572 = "PASS"</f>
        <v>1</v>
      </c>
      <c r="P1572" s="4" t="b">
        <f>L1572 = "FAIL"</f>
        <v>0</v>
      </c>
      <c r="Q1572" s="4" t="b">
        <f>AND(((P1572)=TRUE), ((K1572)=TRUE))</f>
        <v>0</v>
      </c>
      <c r="R1572" s="4" t="str">
        <f>IF(((O1572)=TRUE),  I1572,  "")</f>
        <v>suite-witness</v>
      </c>
      <c r="S1572" s="4" t="str">
        <f>IF(((Q1572)=TRUE),  I1572,  "")</f>
      </c>
      <c r="T1572" s="3" t="s">
        <v>6001</v>
      </c>
    </row>
    <row r="1573">
      <c r="A1573" s="3" t="s">
        <v>7983</v>
      </c>
      <c r="B1573" s="4" t="str">
        <f>C1573 &amp; ": " &amp; D1573</f>
        <v>witness-discriminates: MessageDeliveries.IsTriaged</v>
      </c>
      <c r="C1573" s="3" t="s">
        <v>7549</v>
      </c>
      <c r="D1573" s="3" t="s">
        <v>4611</v>
      </c>
      <c r="E1573" s="3" t="s">
        <v>4444</v>
      </c>
      <c r="F1573" s="3" t="s">
        <v>4612</v>
      </c>
      <c r="G1573" s="3" t="s">
        <v>7550</v>
      </c>
      <c r="H1573" s="3" t="s">
        <v>2091</v>
      </c>
      <c r="I1573" s="3" t="s">
        <v>5990</v>
      </c>
      <c r="J1573" s="3" t="s">
        <v>7551</v>
      </c>
      <c r="K1573" s="4" t="b">
        <f>J1573 = "blocking"</f>
        <v>0</v>
      </c>
      <c r="L1573" s="3" t="s">
        <v>1448</v>
      </c>
      <c r="M1573" s="3" t="s">
        <v>7984</v>
      </c>
      <c r="N1573" s="5">
        <v>46223.1297337963</v>
      </c>
      <c r="O1573" s="4" t="b">
        <f>L1573 = "PASS"</f>
        <v>1</v>
      </c>
      <c r="P1573" s="4" t="b">
        <f>L1573 = "FAIL"</f>
        <v>0</v>
      </c>
      <c r="Q1573" s="4" t="b">
        <f>AND(((P1573)=TRUE), ((K1573)=TRUE))</f>
        <v>0</v>
      </c>
      <c r="R1573" s="4" t="str">
        <f>IF(((O1573)=TRUE),  I1573,  "")</f>
        <v>suite-witness</v>
      </c>
      <c r="S1573" s="4" t="str">
        <f>IF(((Q1573)=TRUE),  I1573,  "")</f>
      </c>
      <c r="T1573" s="3" t="s">
        <v>6001</v>
      </c>
    </row>
    <row r="1574">
      <c r="A1574" s="3" t="s">
        <v>7985</v>
      </c>
      <c r="B1574" s="4" t="str">
        <f>C1574 &amp; ": " &amp; D1574</f>
        <v>witness-discriminates: MessageDeliveries.IsAbandonedFailure</v>
      </c>
      <c r="C1574" s="3" t="s">
        <v>7549</v>
      </c>
      <c r="D1574" s="3" t="s">
        <v>4614</v>
      </c>
      <c r="E1574" s="3" t="s">
        <v>4444</v>
      </c>
      <c r="F1574" s="3" t="s">
        <v>4615</v>
      </c>
      <c r="G1574" s="3" t="s">
        <v>7550</v>
      </c>
      <c r="H1574" s="3" t="s">
        <v>2091</v>
      </c>
      <c r="I1574" s="3" t="s">
        <v>5990</v>
      </c>
      <c r="J1574" s="3" t="s">
        <v>7551</v>
      </c>
      <c r="K1574" s="4" t="b">
        <f>J1574 = "blocking"</f>
        <v>0</v>
      </c>
      <c r="L1574" s="3" t="s">
        <v>1451</v>
      </c>
      <c r="M1574" s="3" t="s">
        <v>7955</v>
      </c>
      <c r="N1574" s="5">
        <v>46223.1297337963</v>
      </c>
      <c r="O1574" s="4" t="b">
        <f>L1574 = "PASS"</f>
        <v>0</v>
      </c>
      <c r="P1574" s="4" t="b">
        <f>L1574 = "FAIL"</f>
        <v>0</v>
      </c>
      <c r="Q1574" s="4" t="b">
        <f>AND(((P1574)=TRUE), ((K1574)=TRUE))</f>
        <v>0</v>
      </c>
      <c r="R1574" s="4" t="str">
        <f>IF(((O1574)=TRUE),  I1574,  "")</f>
      </c>
      <c r="S1574" s="4" t="str">
        <f>IF(((Q1574)=TRUE),  I1574,  "")</f>
      </c>
      <c r="T1574" s="3" t="s">
        <v>6001</v>
      </c>
    </row>
    <row r="1575">
      <c r="A1575" s="3" t="s">
        <v>7986</v>
      </c>
      <c r="B1575" s="4" t="str">
        <f>C1575 &amp; ": " &amp; D1575</f>
        <v>witness-discriminates: MessageDeliveries.TemplateWasSendable</v>
      </c>
      <c r="C1575" s="3" t="s">
        <v>7549</v>
      </c>
      <c r="D1575" s="3" t="s">
        <v>4623</v>
      </c>
      <c r="E1575" s="3" t="s">
        <v>4444</v>
      </c>
      <c r="F1575" s="3" t="s">
        <v>4624</v>
      </c>
      <c r="G1575" s="3" t="s">
        <v>7550</v>
      </c>
      <c r="H1575" s="3" t="s">
        <v>2095</v>
      </c>
      <c r="I1575" s="3" t="s">
        <v>5990</v>
      </c>
      <c r="J1575" s="3" t="s">
        <v>7551</v>
      </c>
      <c r="K1575" s="4" t="b">
        <f>J1575 = "blocking"</f>
        <v>0</v>
      </c>
      <c r="L1575" s="3" t="s">
        <v>1451</v>
      </c>
      <c r="M1575" s="3" t="s">
        <v>7967</v>
      </c>
      <c r="N1575" s="5">
        <v>46223.1297337963</v>
      </c>
      <c r="O1575" s="4" t="b">
        <f>L1575 = "PASS"</f>
        <v>0</v>
      </c>
      <c r="P1575" s="4" t="b">
        <f>L1575 = "FAIL"</f>
        <v>0</v>
      </c>
      <c r="Q1575" s="4" t="b">
        <f>AND(((P1575)=TRUE), ((K1575)=TRUE))</f>
        <v>0</v>
      </c>
      <c r="R1575" s="4" t="str">
        <f>IF(((O1575)=TRUE),  I1575,  "")</f>
      </c>
      <c r="S1575" s="4" t="str">
        <f>IF(((Q1575)=TRUE),  I1575,  "")</f>
      </c>
      <c r="T1575" s="3" t="s">
        <v>6001</v>
      </c>
    </row>
    <row r="1576">
      <c r="A1576" s="3" t="s">
        <v>7987</v>
      </c>
      <c r="B1576" s="4" t="str">
        <f>C1576 &amp; ": " &amp; D1576</f>
        <v>witness-discriminates: MessageDeliveries.IsDriftedSend</v>
      </c>
      <c r="C1576" s="3" t="s">
        <v>7549</v>
      </c>
      <c r="D1576" s="3" t="s">
        <v>4626</v>
      </c>
      <c r="E1576" s="3" t="s">
        <v>4444</v>
      </c>
      <c r="F1576" s="3" t="s">
        <v>4627</v>
      </c>
      <c r="G1576" s="3" t="s">
        <v>7550</v>
      </c>
      <c r="H1576" s="3" t="s">
        <v>2095</v>
      </c>
      <c r="I1576" s="3" t="s">
        <v>5990</v>
      </c>
      <c r="J1576" s="3" t="s">
        <v>7551</v>
      </c>
      <c r="K1576" s="4" t="b">
        <f>J1576 = "blocking"</f>
        <v>0</v>
      </c>
      <c r="L1576" s="3" t="s">
        <v>1451</v>
      </c>
      <c r="M1576" s="3" t="s">
        <v>7955</v>
      </c>
      <c r="N1576" s="5">
        <v>46223.1297337963</v>
      </c>
      <c r="O1576" s="4" t="b">
        <f>L1576 = "PASS"</f>
        <v>0</v>
      </c>
      <c r="P1576" s="4" t="b">
        <f>L1576 = "FAIL"</f>
        <v>0</v>
      </c>
      <c r="Q1576" s="4" t="b">
        <f>AND(((P1576)=TRUE), ((K1576)=TRUE))</f>
        <v>0</v>
      </c>
      <c r="R1576" s="4" t="str">
        <f>IF(((O1576)=TRUE),  I1576,  "")</f>
      </c>
      <c r="S1576" s="4" t="str">
        <f>IF(((Q1576)=TRUE),  I1576,  "")</f>
      </c>
      <c r="T1576" s="3" t="s">
        <v>6001</v>
      </c>
    </row>
    <row r="1577">
      <c r="A1577" s="3" t="s">
        <v>7988</v>
      </c>
      <c r="B1577" s="4" t="str">
        <f>C1577 &amp; ": " &amp; D1577</f>
        <v>witness-discriminates: MessageDeliveries.WasSentOutsideBusinessHours</v>
      </c>
      <c r="C1577" s="3" t="s">
        <v>7549</v>
      </c>
      <c r="D1577" s="3" t="s">
        <v>4632</v>
      </c>
      <c r="E1577" s="3" t="s">
        <v>4444</v>
      </c>
      <c r="F1577" s="3" t="s">
        <v>4633</v>
      </c>
      <c r="G1577" s="3" t="s">
        <v>7550</v>
      </c>
      <c r="H1577" s="3" t="s">
        <v>2323</v>
      </c>
      <c r="I1577" s="3" t="s">
        <v>5990</v>
      </c>
      <c r="J1577" s="3" t="s">
        <v>7551</v>
      </c>
      <c r="K1577" s="4" t="b">
        <f>J1577 = "blocking"</f>
        <v>0</v>
      </c>
      <c r="L1577" s="3" t="s">
        <v>1448</v>
      </c>
      <c r="M1577" s="3" t="s">
        <v>7959</v>
      </c>
      <c r="N1577" s="5">
        <v>46223.1297337963</v>
      </c>
      <c r="O1577" s="4" t="b">
        <f>L1577 = "PASS"</f>
        <v>1</v>
      </c>
      <c r="P1577" s="4" t="b">
        <f>L1577 = "FAIL"</f>
        <v>0</v>
      </c>
      <c r="Q1577" s="4" t="b">
        <f>AND(((P1577)=TRUE), ((K1577)=TRUE))</f>
        <v>0</v>
      </c>
      <c r="R1577" s="4" t="str">
        <f>IF(((O1577)=TRUE),  I1577,  "")</f>
        <v>suite-witness</v>
      </c>
      <c r="S1577" s="4" t="str">
        <f>IF(((Q1577)=TRUE),  I1577,  "")</f>
      </c>
      <c r="T1577" s="3" t="s">
        <v>6001</v>
      </c>
    </row>
    <row r="1578">
      <c r="A1578" s="3" t="s">
        <v>7989</v>
      </c>
      <c r="B1578" s="4" t="str">
        <f>C1578 &amp; ": " &amp; D1578</f>
        <v>witness-discriminates: MessageDeliveries.WasDeliveredAndUnanswered</v>
      </c>
      <c r="C1578" s="3" t="s">
        <v>7549</v>
      </c>
      <c r="D1578" s="3" t="s">
        <v>4635</v>
      </c>
      <c r="E1578" s="3" t="s">
        <v>4444</v>
      </c>
      <c r="F1578" s="3" t="s">
        <v>4636</v>
      </c>
      <c r="G1578" s="3" t="s">
        <v>7550</v>
      </c>
      <c r="H1578" s="3" t="s">
        <v>2323</v>
      </c>
      <c r="I1578" s="3" t="s">
        <v>5990</v>
      </c>
      <c r="J1578" s="3" t="s">
        <v>7551</v>
      </c>
      <c r="K1578" s="4" t="b">
        <f>J1578 = "blocking"</f>
        <v>0</v>
      </c>
      <c r="L1578" s="3" t="s">
        <v>1448</v>
      </c>
      <c r="M1578" s="3" t="s">
        <v>7984</v>
      </c>
      <c r="N1578" s="5">
        <v>46223.1297337963</v>
      </c>
      <c r="O1578" s="4" t="b">
        <f>L1578 = "PASS"</f>
        <v>1</v>
      </c>
      <c r="P1578" s="4" t="b">
        <f>L1578 = "FAIL"</f>
        <v>0</v>
      </c>
      <c r="Q1578" s="4" t="b">
        <f>AND(((P1578)=TRUE), ((K1578)=TRUE))</f>
        <v>0</v>
      </c>
      <c r="R1578" s="4" t="str">
        <f>IF(((O1578)=TRUE),  I1578,  "")</f>
        <v>suite-witness</v>
      </c>
      <c r="S1578" s="4" t="str">
        <f>IF(((Q1578)=TRUE),  I1578,  "")</f>
      </c>
      <c r="T1578" s="3" t="s">
        <v>6001</v>
      </c>
    </row>
    <row r="1579">
      <c r="A1579" s="3" t="s">
        <v>7990</v>
      </c>
      <c r="B1579" s="4" t="str">
        <f>C1579 &amp; ": " &amp; D1579</f>
        <v>witness-discriminates: MessageDeliveries.IsPoorlyTimedUnanswered</v>
      </c>
      <c r="C1579" s="3" t="s">
        <v>7549</v>
      </c>
      <c r="D1579" s="3" t="s">
        <v>4638</v>
      </c>
      <c r="E1579" s="3" t="s">
        <v>4444</v>
      </c>
      <c r="F1579" s="3" t="s">
        <v>4639</v>
      </c>
      <c r="G1579" s="3" t="s">
        <v>7550</v>
      </c>
      <c r="H1579" s="3" t="s">
        <v>2323</v>
      </c>
      <c r="I1579" s="3" t="s">
        <v>5990</v>
      </c>
      <c r="J1579" s="3" t="s">
        <v>7551</v>
      </c>
      <c r="K1579" s="4" t="b">
        <f>J1579 = "blocking"</f>
        <v>0</v>
      </c>
      <c r="L1579" s="3" t="s">
        <v>1448</v>
      </c>
      <c r="M1579" s="3" t="s">
        <v>7959</v>
      </c>
      <c r="N1579" s="5">
        <v>46223.1297337963</v>
      </c>
      <c r="O1579" s="4" t="b">
        <f>L1579 = "PASS"</f>
        <v>1</v>
      </c>
      <c r="P1579" s="4" t="b">
        <f>L1579 = "FAIL"</f>
        <v>0</v>
      </c>
      <c r="Q1579" s="4" t="b">
        <f>AND(((P1579)=TRUE), ((K1579)=TRUE))</f>
        <v>0</v>
      </c>
      <c r="R1579" s="4" t="str">
        <f>IF(((O1579)=TRUE),  I1579,  "")</f>
        <v>suite-witness</v>
      </c>
      <c r="S1579" s="4" t="str">
        <f>IF(((Q1579)=TRUE),  I1579,  "")</f>
      </c>
      <c r="T1579" s="3" t="s">
        <v>6001</v>
      </c>
    </row>
    <row r="1580">
      <c r="A1580" s="3" t="s">
        <v>7991</v>
      </c>
      <c r="B1580" s="4" t="str">
        <f>C1580 &amp; ": " &amp; D1580</f>
        <v>witness-discriminates: MessageDeliveries.IsWellTimedUnanswered</v>
      </c>
      <c r="C1580" s="3" t="s">
        <v>7549</v>
      </c>
      <c r="D1580" s="3" t="s">
        <v>4641</v>
      </c>
      <c r="E1580" s="3" t="s">
        <v>4444</v>
      </c>
      <c r="F1580" s="3" t="s">
        <v>4642</v>
      </c>
      <c r="G1580" s="3" t="s">
        <v>7550</v>
      </c>
      <c r="H1580" s="3" t="s">
        <v>2323</v>
      </c>
      <c r="I1580" s="3" t="s">
        <v>5990</v>
      </c>
      <c r="J1580" s="3" t="s">
        <v>7551</v>
      </c>
      <c r="K1580" s="4" t="b">
        <f>J1580 = "blocking"</f>
        <v>0</v>
      </c>
      <c r="L1580" s="3" t="s">
        <v>1448</v>
      </c>
      <c r="M1580" s="3" t="s">
        <v>7992</v>
      </c>
      <c r="N1580" s="5">
        <v>46223.1297337963</v>
      </c>
      <c r="O1580" s="4" t="b">
        <f>L1580 = "PASS"</f>
        <v>1</v>
      </c>
      <c r="P1580" s="4" t="b">
        <f>L1580 = "FAIL"</f>
        <v>0</v>
      </c>
      <c r="Q1580" s="4" t="b">
        <f>AND(((P1580)=TRUE), ((K1580)=TRUE))</f>
        <v>0</v>
      </c>
      <c r="R1580" s="4" t="str">
        <f>IF(((O1580)=TRUE),  I1580,  "")</f>
        <v>suite-witness</v>
      </c>
      <c r="S1580" s="4" t="str">
        <f>IF(((Q1580)=TRUE),  I1580,  "")</f>
      </c>
      <c r="T1580" s="3" t="s">
        <v>6001</v>
      </c>
    </row>
    <row r="1581">
      <c r="A1581" s="3" t="s">
        <v>7993</v>
      </c>
      <c r="B1581" s="4" t="str">
        <f>C1581 &amp; ": " &amp; D1581</f>
        <v>witness-discriminates: MessageDeliveries.ApprovalPrecededSend</v>
      </c>
      <c r="C1581" s="3" t="s">
        <v>7549</v>
      </c>
      <c r="D1581" s="3" t="s">
        <v>4656</v>
      </c>
      <c r="E1581" s="3" t="s">
        <v>4444</v>
      </c>
      <c r="F1581" s="3" t="s">
        <v>4657</v>
      </c>
      <c r="G1581" s="3" t="s">
        <v>7550</v>
      </c>
      <c r="H1581" s="3" t="s">
        <v>2331</v>
      </c>
      <c r="I1581" s="3" t="s">
        <v>5990</v>
      </c>
      <c r="J1581" s="3" t="s">
        <v>7551</v>
      </c>
      <c r="K1581" s="4" t="b">
        <f>J1581 = "blocking"</f>
        <v>0</v>
      </c>
      <c r="L1581" s="3" t="s">
        <v>1451</v>
      </c>
      <c r="M1581" s="3" t="s">
        <v>7955</v>
      </c>
      <c r="N1581" s="5">
        <v>46223.1297337963</v>
      </c>
      <c r="O1581" s="4" t="b">
        <f>L1581 = "PASS"</f>
        <v>0</v>
      </c>
      <c r="P1581" s="4" t="b">
        <f>L1581 = "FAIL"</f>
        <v>0</v>
      </c>
      <c r="Q1581" s="4" t="b">
        <f>AND(((P1581)=TRUE), ((K1581)=TRUE))</f>
        <v>0</v>
      </c>
      <c r="R1581" s="4" t="str">
        <f>IF(((O1581)=TRUE),  I1581,  "")</f>
      </c>
      <c r="S1581" s="4" t="str">
        <f>IF(((Q1581)=TRUE),  I1581,  "")</f>
      </c>
      <c r="T1581" s="3" t="s">
        <v>6001</v>
      </c>
    </row>
    <row r="1582">
      <c r="A1582" s="3" t="s">
        <v>7994</v>
      </c>
      <c r="B1582" s="4" t="str">
        <f>C1582 &amp; ": " &amp; D1582</f>
        <v>witness-discriminates: MessageDeliveries.HasFrozenApprovalEvidence</v>
      </c>
      <c r="C1582" s="3" t="s">
        <v>7549</v>
      </c>
      <c r="D1582" s="3" t="s">
        <v>4659</v>
      </c>
      <c r="E1582" s="3" t="s">
        <v>4444</v>
      </c>
      <c r="F1582" s="3" t="s">
        <v>4660</v>
      </c>
      <c r="G1582" s="3" t="s">
        <v>7550</v>
      </c>
      <c r="H1582" s="3" t="s">
        <v>2331</v>
      </c>
      <c r="I1582" s="3" t="s">
        <v>5990</v>
      </c>
      <c r="J1582" s="3" t="s">
        <v>7551</v>
      </c>
      <c r="K1582" s="4" t="b">
        <f>J1582 = "blocking"</f>
        <v>0</v>
      </c>
      <c r="L1582" s="3" t="s">
        <v>1451</v>
      </c>
      <c r="M1582" s="3" t="s">
        <v>7955</v>
      </c>
      <c r="N1582" s="5">
        <v>46223.1297337963</v>
      </c>
      <c r="O1582" s="4" t="b">
        <f>L1582 = "PASS"</f>
        <v>0</v>
      </c>
      <c r="P1582" s="4" t="b">
        <f>L1582 = "FAIL"</f>
        <v>0</v>
      </c>
      <c r="Q1582" s="4" t="b">
        <f>AND(((P1582)=TRUE), ((K1582)=TRUE))</f>
        <v>0</v>
      </c>
      <c r="R1582" s="4" t="str">
        <f>IF(((O1582)=TRUE),  I1582,  "")</f>
      </c>
      <c r="S1582" s="4" t="str">
        <f>IF(((Q1582)=TRUE),  I1582,  "")</f>
      </c>
      <c r="T1582" s="3" t="s">
        <v>6001</v>
      </c>
    </row>
    <row r="1583">
      <c r="A1583" s="3" t="s">
        <v>7995</v>
      </c>
      <c r="B1583" s="4" t="str">
        <f>C1583 &amp; ": " &amp; D1583</f>
        <v>witness-discriminates: MessageDeliveries.ProvenanceIsLiveDerived</v>
      </c>
      <c r="C1583" s="3" t="s">
        <v>7549</v>
      </c>
      <c r="D1583" s="3" t="s">
        <v>4662</v>
      </c>
      <c r="E1583" s="3" t="s">
        <v>4444</v>
      </c>
      <c r="F1583" s="3" t="s">
        <v>4663</v>
      </c>
      <c r="G1583" s="3" t="s">
        <v>7550</v>
      </c>
      <c r="H1583" s="3" t="s">
        <v>2331</v>
      </c>
      <c r="I1583" s="3" t="s">
        <v>5990</v>
      </c>
      <c r="J1583" s="3" t="s">
        <v>7551</v>
      </c>
      <c r="K1583" s="4" t="b">
        <f>J1583 = "blocking"</f>
        <v>0</v>
      </c>
      <c r="L1583" s="3" t="s">
        <v>1451</v>
      </c>
      <c r="M1583" s="3" t="s">
        <v>7967</v>
      </c>
      <c r="N1583" s="5">
        <v>46223.1297337963</v>
      </c>
      <c r="O1583" s="4" t="b">
        <f>L1583 = "PASS"</f>
        <v>0</v>
      </c>
      <c r="P1583" s="4" t="b">
        <f>L1583 = "FAIL"</f>
        <v>0</v>
      </c>
      <c r="Q1583" s="4" t="b">
        <f>AND(((P1583)=TRUE), ((K1583)=TRUE))</f>
        <v>0</v>
      </c>
      <c r="R1583" s="4" t="str">
        <f>IF(((O1583)=TRUE),  I1583,  "")</f>
      </c>
      <c r="S1583" s="4" t="str">
        <f>IF(((Q1583)=TRUE),  I1583,  "")</f>
      </c>
      <c r="T1583" s="3" t="s">
        <v>6001</v>
      </c>
    </row>
    <row r="1584">
      <c r="A1584" s="3" t="s">
        <v>7996</v>
      </c>
      <c r="B1584" s="4" t="str">
        <f>C1584 &amp; ": " &amp; D1584</f>
        <v>witness-discriminates: MessageDeliveries.TemplateReapprovedSinceSend</v>
      </c>
      <c r="C1584" s="3" t="s">
        <v>7549</v>
      </c>
      <c r="D1584" s="3" t="s">
        <v>4668</v>
      </c>
      <c r="E1584" s="3" t="s">
        <v>4444</v>
      </c>
      <c r="F1584" s="3" t="s">
        <v>4669</v>
      </c>
      <c r="G1584" s="3" t="s">
        <v>7550</v>
      </c>
      <c r="H1584" s="3" t="s">
        <v>2331</v>
      </c>
      <c r="I1584" s="3" t="s">
        <v>5990</v>
      </c>
      <c r="J1584" s="3" t="s">
        <v>7551</v>
      </c>
      <c r="K1584" s="4" t="b">
        <f>J1584 = "blocking"</f>
        <v>0</v>
      </c>
      <c r="L1584" s="3" t="s">
        <v>1448</v>
      </c>
      <c r="M1584" s="3" t="s">
        <v>7733</v>
      </c>
      <c r="N1584" s="5">
        <v>46223.1297337963</v>
      </c>
      <c r="O1584" s="4" t="b">
        <f>L1584 = "PASS"</f>
        <v>1</v>
      </c>
      <c r="P1584" s="4" t="b">
        <f>L1584 = "FAIL"</f>
        <v>0</v>
      </c>
      <c r="Q1584" s="4" t="b">
        <f>AND(((P1584)=TRUE), ((K1584)=TRUE))</f>
        <v>0</v>
      </c>
      <c r="R1584" s="4" t="str">
        <f>IF(((O1584)=TRUE),  I1584,  "")</f>
        <v>suite-witness</v>
      </c>
      <c r="S1584" s="4" t="str">
        <f>IF(((Q1584)=TRUE),  I1584,  "")</f>
      </c>
      <c r="T1584" s="3" t="s">
        <v>6001</v>
      </c>
    </row>
    <row r="1585">
      <c r="A1585" s="3" t="s">
        <v>7997</v>
      </c>
      <c r="B1585" s="4" t="str">
        <f>C1585 &amp; ": " &amp; D1585</f>
        <v>witness-discriminates: MessageDeliveries.IsUnprovableApprovalClaim</v>
      </c>
      <c r="C1585" s="3" t="s">
        <v>7549</v>
      </c>
      <c r="D1585" s="3" t="s">
        <v>4671</v>
      </c>
      <c r="E1585" s="3" t="s">
        <v>4444</v>
      </c>
      <c r="F1585" s="3" t="s">
        <v>4672</v>
      </c>
      <c r="G1585" s="3" t="s">
        <v>7550</v>
      </c>
      <c r="H1585" s="3" t="s">
        <v>2331</v>
      </c>
      <c r="I1585" s="3" t="s">
        <v>5990</v>
      </c>
      <c r="J1585" s="3" t="s">
        <v>7551</v>
      </c>
      <c r="K1585" s="4" t="b">
        <f>J1585 = "blocking"</f>
        <v>0</v>
      </c>
      <c r="L1585" s="3" t="s">
        <v>1448</v>
      </c>
      <c r="M1585" s="3" t="s">
        <v>7733</v>
      </c>
      <c r="N1585" s="5">
        <v>46223.1297337963</v>
      </c>
      <c r="O1585" s="4" t="b">
        <f>L1585 = "PASS"</f>
        <v>1</v>
      </c>
      <c r="P1585" s="4" t="b">
        <f>L1585 = "FAIL"</f>
        <v>0</v>
      </c>
      <c r="Q1585" s="4" t="b">
        <f>AND(((P1585)=TRUE), ((K1585)=TRUE))</f>
        <v>0</v>
      </c>
      <c r="R1585" s="4" t="str">
        <f>IF(((O1585)=TRUE),  I1585,  "")</f>
        <v>suite-witness</v>
      </c>
      <c r="S1585" s="4" t="str">
        <f>IF(((Q1585)=TRUE),  I1585,  "")</f>
      </c>
      <c r="T1585" s="3" t="s">
        <v>6001</v>
      </c>
    </row>
    <row r="1586">
      <c r="A1586" s="3" t="s">
        <v>7998</v>
      </c>
      <c r="B1586" s="4" t="str">
        <f>C1586 &amp; ": " &amp; D1586</f>
        <v>witness-discriminates: MessageDeliveries.HasSentReminder</v>
      </c>
      <c r="C1586" s="3" t="s">
        <v>7549</v>
      </c>
      <c r="D1586" s="3" t="s">
        <v>4678</v>
      </c>
      <c r="E1586" s="3" t="s">
        <v>4444</v>
      </c>
      <c r="F1586" s="3" t="s">
        <v>4679</v>
      </c>
      <c r="G1586" s="3" t="s">
        <v>7550</v>
      </c>
      <c r="H1586" s="3" t="s">
        <v>2375</v>
      </c>
      <c r="I1586" s="3" t="s">
        <v>5990</v>
      </c>
      <c r="J1586" s="3" t="s">
        <v>7551</v>
      </c>
      <c r="K1586" s="4" t="b">
        <f>J1586 = "blocking"</f>
        <v>0</v>
      </c>
      <c r="L1586" s="3" t="s">
        <v>1451</v>
      </c>
      <c r="M1586" s="3" t="s">
        <v>7999</v>
      </c>
      <c r="N1586" s="5">
        <v>46223.1297337963</v>
      </c>
      <c r="O1586" s="4" t="b">
        <f>L1586 = "PASS"</f>
        <v>0</v>
      </c>
      <c r="P1586" s="4" t="b">
        <f>L1586 = "FAIL"</f>
        <v>0</v>
      </c>
      <c r="Q1586" s="4" t="b">
        <f>AND(((P1586)=TRUE), ((K1586)=TRUE))</f>
        <v>0</v>
      </c>
      <c r="R1586" s="4" t="str">
        <f>IF(((O1586)=TRUE),  I1586,  "")</f>
      </c>
      <c r="S1586" s="4" t="str">
        <f>IF(((Q1586)=TRUE),  I1586,  "")</f>
      </c>
      <c r="T1586" s="3" t="s">
        <v>6001</v>
      </c>
    </row>
    <row r="1587">
      <c r="A1587" s="3" t="s">
        <v>8000</v>
      </c>
      <c r="B1587" s="4" t="str">
        <f>C1587 &amp; ": " &amp; D1587</f>
        <v>witness-discriminates: MessageDeliveries.AcknowledgementIsOutstanding</v>
      </c>
      <c r="C1587" s="3" t="s">
        <v>7549</v>
      </c>
      <c r="D1587" s="3" t="s">
        <v>4681</v>
      </c>
      <c r="E1587" s="3" t="s">
        <v>4444</v>
      </c>
      <c r="F1587" s="3" t="s">
        <v>4682</v>
      </c>
      <c r="G1587" s="3" t="s">
        <v>7550</v>
      </c>
      <c r="H1587" s="3" t="s">
        <v>2375</v>
      </c>
      <c r="I1587" s="3" t="s">
        <v>5990</v>
      </c>
      <c r="J1587" s="3" t="s">
        <v>7551</v>
      </c>
      <c r="K1587" s="4" t="b">
        <f>J1587 = "blocking"</f>
        <v>0</v>
      </c>
      <c r="L1587" s="3" t="s">
        <v>1448</v>
      </c>
      <c r="M1587" s="3" t="s">
        <v>7984</v>
      </c>
      <c r="N1587" s="5">
        <v>46223.1297337963</v>
      </c>
      <c r="O1587" s="4" t="b">
        <f>L1587 = "PASS"</f>
        <v>1</v>
      </c>
      <c r="P1587" s="4" t="b">
        <f>L1587 = "FAIL"</f>
        <v>0</v>
      </c>
      <c r="Q1587" s="4" t="b">
        <f>AND(((P1587)=TRUE), ((K1587)=TRUE))</f>
        <v>0</v>
      </c>
      <c r="R1587" s="4" t="str">
        <f>IF(((O1587)=TRUE),  I1587,  "")</f>
        <v>suite-witness</v>
      </c>
      <c r="S1587" s="4" t="str">
        <f>IF(((Q1587)=TRUE),  I1587,  "")</f>
      </c>
      <c r="T1587" s="3" t="s">
        <v>6001</v>
      </c>
    </row>
    <row r="1588">
      <c r="A1588" s="3" t="s">
        <v>8001</v>
      </c>
      <c r="B1588" s="4" t="str">
        <f>C1588 &amp; ": " &amp; D1588</f>
        <v>witness-discriminates: MessageDeliveries.IsUnchasedAcknowledgement</v>
      </c>
      <c r="C1588" s="3" t="s">
        <v>7549</v>
      </c>
      <c r="D1588" s="3" t="s">
        <v>4687</v>
      </c>
      <c r="E1588" s="3" t="s">
        <v>4444</v>
      </c>
      <c r="F1588" s="3" t="s">
        <v>4688</v>
      </c>
      <c r="G1588" s="3" t="s">
        <v>7550</v>
      </c>
      <c r="H1588" s="3" t="s">
        <v>2375</v>
      </c>
      <c r="I1588" s="3" t="s">
        <v>5990</v>
      </c>
      <c r="J1588" s="3" t="s">
        <v>7551</v>
      </c>
      <c r="K1588" s="4" t="b">
        <f>J1588 = "blocking"</f>
        <v>0</v>
      </c>
      <c r="L1588" s="3" t="s">
        <v>1451</v>
      </c>
      <c r="M1588" s="3" t="s">
        <v>7955</v>
      </c>
      <c r="N1588" s="5">
        <v>46223.1297337963</v>
      </c>
      <c r="O1588" s="4" t="b">
        <f>L1588 = "PASS"</f>
        <v>0</v>
      </c>
      <c r="P1588" s="4" t="b">
        <f>L1588 = "FAIL"</f>
        <v>0</v>
      </c>
      <c r="Q1588" s="4" t="b">
        <f>AND(((P1588)=TRUE), ((K1588)=TRUE))</f>
        <v>0</v>
      </c>
      <c r="R1588" s="4" t="str">
        <f>IF(((O1588)=TRUE),  I1588,  "")</f>
      </c>
      <c r="S1588" s="4" t="str">
        <f>IF(((Q1588)=TRUE),  I1588,  "")</f>
      </c>
      <c r="T1588" s="3" t="s">
        <v>6001</v>
      </c>
    </row>
    <row r="1589">
      <c r="A1589" s="3" t="s">
        <v>8002</v>
      </c>
      <c r="B1589" s="4" t="str">
        <f>C1589 &amp; ": " &amp; D1589</f>
        <v>witness-discriminates: MessageDeliveries.IsExhaustedFollowUp</v>
      </c>
      <c r="C1589" s="3" t="s">
        <v>7549</v>
      </c>
      <c r="D1589" s="3" t="s">
        <v>4690</v>
      </c>
      <c r="E1589" s="3" t="s">
        <v>4444</v>
      </c>
      <c r="F1589" s="3" t="s">
        <v>4691</v>
      </c>
      <c r="G1589" s="3" t="s">
        <v>7550</v>
      </c>
      <c r="H1589" s="3" t="s">
        <v>2375</v>
      </c>
      <c r="I1589" s="3" t="s">
        <v>5990</v>
      </c>
      <c r="J1589" s="3" t="s">
        <v>7551</v>
      </c>
      <c r="K1589" s="4" t="b">
        <f>J1589 = "blocking"</f>
        <v>0</v>
      </c>
      <c r="L1589" s="3" t="s">
        <v>1451</v>
      </c>
      <c r="M1589" s="3" t="s">
        <v>8003</v>
      </c>
      <c r="N1589" s="5">
        <v>46223.1297337963</v>
      </c>
      <c r="O1589" s="4" t="b">
        <f>L1589 = "PASS"</f>
        <v>0</v>
      </c>
      <c r="P1589" s="4" t="b">
        <f>L1589 = "FAIL"</f>
        <v>0</v>
      </c>
      <c r="Q1589" s="4" t="b">
        <f>AND(((P1589)=TRUE), ((K1589)=TRUE))</f>
        <v>0</v>
      </c>
      <c r="R1589" s="4" t="str">
        <f>IF(((O1589)=TRUE),  I1589,  "")</f>
      </c>
      <c r="S1589" s="4" t="str">
        <f>IF(((Q1589)=TRUE),  I1589,  "")</f>
      </c>
      <c r="T1589" s="3" t="s">
        <v>6001</v>
      </c>
    </row>
    <row r="1590">
      <c r="A1590" s="3" t="s">
        <v>8004</v>
      </c>
      <c r="B1590" s="4" t="str">
        <f>C1590 &amp; ": " &amp; D1590</f>
        <v>witness-discriminates: MessageDeliveries.NeedsHumanEscalation</v>
      </c>
      <c r="C1590" s="3" t="s">
        <v>7549</v>
      </c>
      <c r="D1590" s="3" t="s">
        <v>4693</v>
      </c>
      <c r="E1590" s="3" t="s">
        <v>4444</v>
      </c>
      <c r="F1590" s="3" t="s">
        <v>4694</v>
      </c>
      <c r="G1590" s="3" t="s">
        <v>7550</v>
      </c>
      <c r="H1590" s="3" t="s">
        <v>2375</v>
      </c>
      <c r="I1590" s="3" t="s">
        <v>5990</v>
      </c>
      <c r="J1590" s="3" t="s">
        <v>7551</v>
      </c>
      <c r="K1590" s="4" t="b">
        <f>J1590 = "blocking"</f>
        <v>0</v>
      </c>
      <c r="L1590" s="3" t="s">
        <v>1451</v>
      </c>
      <c r="M1590" s="3" t="s">
        <v>8003</v>
      </c>
      <c r="N1590" s="5">
        <v>46223.1297337963</v>
      </c>
      <c r="O1590" s="4" t="b">
        <f>L1590 = "PASS"</f>
        <v>0</v>
      </c>
      <c r="P1590" s="4" t="b">
        <f>L1590 = "FAIL"</f>
        <v>0</v>
      </c>
      <c r="Q1590" s="4" t="b">
        <f>AND(((P1590)=TRUE), ((K1590)=TRUE))</f>
        <v>0</v>
      </c>
      <c r="R1590" s="4" t="str">
        <f>IF(((O1590)=TRUE),  I1590,  "")</f>
      </c>
      <c r="S1590" s="4" t="str">
        <f>IF(((Q1590)=TRUE),  I1590,  "")</f>
      </c>
      <c r="T1590" s="3" t="s">
        <v>6001</v>
      </c>
    </row>
    <row r="1591">
      <c r="A1591" s="3" t="s">
        <v>8005</v>
      </c>
      <c r="B1591" s="4" t="str">
        <f>C1591 &amp; ": " &amp; D1591</f>
        <v>witness-discriminates: TemplateApprovals.IsApprovalDecision</v>
      </c>
      <c r="C1591" s="3" t="s">
        <v>7549</v>
      </c>
      <c r="D1591" s="3" t="s">
        <v>4713</v>
      </c>
      <c r="E1591" s="3" t="s">
        <v>4698</v>
      </c>
      <c r="F1591" s="3" t="s">
        <v>4714</v>
      </c>
      <c r="G1591" s="3" t="s">
        <v>7550</v>
      </c>
      <c r="H1591" s="3" t="s">
        <v>2083</v>
      </c>
      <c r="I1591" s="3" t="s">
        <v>5990</v>
      </c>
      <c r="J1591" s="3" t="s">
        <v>7551</v>
      </c>
      <c r="K1591" s="4" t="b">
        <f>J1591 = "blocking"</f>
        <v>0</v>
      </c>
      <c r="L1591" s="3" t="s">
        <v>1451</v>
      </c>
      <c r="M1591" s="3" t="s">
        <v>7780</v>
      </c>
      <c r="N1591" s="5">
        <v>46223.1297337963</v>
      </c>
      <c r="O1591" s="4" t="b">
        <f>L1591 = "PASS"</f>
        <v>0</v>
      </c>
      <c r="P1591" s="4" t="b">
        <f>L1591 = "FAIL"</f>
        <v>0</v>
      </c>
      <c r="Q1591" s="4" t="b">
        <f>AND(((P1591)=TRUE), ((K1591)=TRUE))</f>
        <v>0</v>
      </c>
      <c r="R1591" s="4" t="str">
        <f>IF(((O1591)=TRUE),  I1591,  "")</f>
      </c>
      <c r="S1591" s="4" t="str">
        <f>IF(((Q1591)=TRUE),  I1591,  "")</f>
      </c>
      <c r="T1591" s="3" t="s">
        <v>6001</v>
      </c>
    </row>
    <row r="1592">
      <c r="A1592" s="3" t="s">
        <v>8006</v>
      </c>
      <c r="B1592" s="4" t="str">
        <f>C1592 &amp; ": " &amp; D1592</f>
        <v>witness-discriminates: TemplateApprovals.IsDecidedByRequiredRole</v>
      </c>
      <c r="C1592" s="3" t="s">
        <v>7549</v>
      </c>
      <c r="D1592" s="3" t="s">
        <v>4720</v>
      </c>
      <c r="E1592" s="3" t="s">
        <v>4698</v>
      </c>
      <c r="F1592" s="3" t="s">
        <v>4721</v>
      </c>
      <c r="G1592" s="3" t="s">
        <v>7550</v>
      </c>
      <c r="H1592" s="3" t="s">
        <v>2083</v>
      </c>
      <c r="I1592" s="3" t="s">
        <v>5990</v>
      </c>
      <c r="J1592" s="3" t="s">
        <v>7551</v>
      </c>
      <c r="K1592" s="4" t="b">
        <f>J1592 = "blocking"</f>
        <v>0</v>
      </c>
      <c r="L1592" s="3" t="s">
        <v>1451</v>
      </c>
      <c r="M1592" s="3" t="s">
        <v>7780</v>
      </c>
      <c r="N1592" s="5">
        <v>46223.1297337963</v>
      </c>
      <c r="O1592" s="4" t="b">
        <f>L1592 = "PASS"</f>
        <v>0</v>
      </c>
      <c r="P1592" s="4" t="b">
        <f>L1592 = "FAIL"</f>
        <v>0</v>
      </c>
      <c r="Q1592" s="4" t="b">
        <f>AND(((P1592)=TRUE), ((K1592)=TRUE))</f>
        <v>0</v>
      </c>
      <c r="R1592" s="4" t="str">
        <f>IF(((O1592)=TRUE),  I1592,  "")</f>
      </c>
      <c r="S1592" s="4" t="str">
        <f>IF(((Q1592)=TRUE),  I1592,  "")</f>
      </c>
      <c r="T1592" s="3" t="s">
        <v>6001</v>
      </c>
    </row>
    <row r="1593">
      <c r="A1593" s="3" t="s">
        <v>8007</v>
      </c>
      <c r="B1593" s="4" t="str">
        <f>C1593 &amp; ": " &amp; D1593</f>
        <v>witness-discriminates: SendIntents.PolicyIsActive</v>
      </c>
      <c r="C1593" s="3" t="s">
        <v>7549</v>
      </c>
      <c r="D1593" s="3" t="s">
        <v>4748</v>
      </c>
      <c r="E1593" s="3" t="s">
        <v>4728</v>
      </c>
      <c r="F1593" s="3" t="s">
        <v>4749</v>
      </c>
      <c r="G1593" s="3" t="s">
        <v>7550</v>
      </c>
      <c r="H1593" s="3" t="s">
        <v>2099</v>
      </c>
      <c r="I1593" s="3" t="s">
        <v>5990</v>
      </c>
      <c r="J1593" s="3" t="s">
        <v>7551</v>
      </c>
      <c r="K1593" s="4" t="b">
        <f>J1593 = "blocking"</f>
        <v>0</v>
      </c>
      <c r="L1593" s="3" t="s">
        <v>1451</v>
      </c>
      <c r="M1593" s="3" t="s">
        <v>7720</v>
      </c>
      <c r="N1593" s="5">
        <v>46223.1297337963</v>
      </c>
      <c r="O1593" s="4" t="b">
        <f>L1593 = "PASS"</f>
        <v>0</v>
      </c>
      <c r="P1593" s="4" t="b">
        <f>L1593 = "FAIL"</f>
        <v>0</v>
      </c>
      <c r="Q1593" s="4" t="b">
        <f>AND(((P1593)=TRUE), ((K1593)=TRUE))</f>
        <v>0</v>
      </c>
      <c r="R1593" s="4" t="str">
        <f>IF(((O1593)=TRUE),  I1593,  "")</f>
      </c>
      <c r="S1593" s="4" t="str">
        <f>IF(((Q1593)=TRUE),  I1593,  "")</f>
      </c>
      <c r="T1593" s="3" t="s">
        <v>6001</v>
      </c>
    </row>
    <row r="1594">
      <c r="A1594" s="3" t="s">
        <v>8008</v>
      </c>
      <c r="B1594" s="4" t="str">
        <f>C1594 &amp; ": " &amp; D1594</f>
        <v>witness-discriminates: SendIntents.IntentRequiresConsent</v>
      </c>
      <c r="C1594" s="3" t="s">
        <v>7549</v>
      </c>
      <c r="D1594" s="3" t="s">
        <v>4751</v>
      </c>
      <c r="E1594" s="3" t="s">
        <v>4728</v>
      </c>
      <c r="F1594" s="3" t="s">
        <v>4752</v>
      </c>
      <c r="G1594" s="3" t="s">
        <v>7550</v>
      </c>
      <c r="H1594" s="3" t="s">
        <v>2099</v>
      </c>
      <c r="I1594" s="3" t="s">
        <v>5990</v>
      </c>
      <c r="J1594" s="3" t="s">
        <v>7551</v>
      </c>
      <c r="K1594" s="4" t="b">
        <f>J1594 = "blocking"</f>
        <v>0</v>
      </c>
      <c r="L1594" s="3" t="s">
        <v>1448</v>
      </c>
      <c r="M1594" s="3" t="s">
        <v>7718</v>
      </c>
      <c r="N1594" s="5">
        <v>46223.1297337963</v>
      </c>
      <c r="O1594" s="4" t="b">
        <f>L1594 = "PASS"</f>
        <v>1</v>
      </c>
      <c r="P1594" s="4" t="b">
        <f>L1594 = "FAIL"</f>
        <v>0</v>
      </c>
      <c r="Q1594" s="4" t="b">
        <f>AND(((P1594)=TRUE), ((K1594)=TRUE))</f>
        <v>0</v>
      </c>
      <c r="R1594" s="4" t="str">
        <f>IF(((O1594)=TRUE),  I1594,  "")</f>
        <v>suite-witness</v>
      </c>
      <c r="S1594" s="4" t="str">
        <f>IF(((Q1594)=TRUE),  I1594,  "")</f>
      </c>
      <c r="T1594" s="3" t="s">
        <v>6001</v>
      </c>
    </row>
    <row r="1595">
      <c r="A1595" s="3" t="s">
        <v>8009</v>
      </c>
      <c r="B1595" s="4" t="str">
        <f>C1595 &amp; ": " &amp; D1595</f>
        <v>witness-discriminates: SendIntents.RecipientHasChannelConsent</v>
      </c>
      <c r="C1595" s="3" t="s">
        <v>7549</v>
      </c>
      <c r="D1595" s="3" t="s">
        <v>4754</v>
      </c>
      <c r="E1595" s="3" t="s">
        <v>4728</v>
      </c>
      <c r="F1595" s="3" t="s">
        <v>4755</v>
      </c>
      <c r="G1595" s="3" t="s">
        <v>7550</v>
      </c>
      <c r="H1595" s="3" t="s">
        <v>2099</v>
      </c>
      <c r="I1595" s="3" t="s">
        <v>5990</v>
      </c>
      <c r="J1595" s="3" t="s">
        <v>7551</v>
      </c>
      <c r="K1595" s="4" t="b">
        <f>J1595 = "blocking"</f>
        <v>0</v>
      </c>
      <c r="L1595" s="3" t="s">
        <v>1448</v>
      </c>
      <c r="M1595" s="3" t="s">
        <v>7718</v>
      </c>
      <c r="N1595" s="5">
        <v>46223.1297337963</v>
      </c>
      <c r="O1595" s="4" t="b">
        <f>L1595 = "PASS"</f>
        <v>1</v>
      </c>
      <c r="P1595" s="4" t="b">
        <f>L1595 = "FAIL"</f>
        <v>0</v>
      </c>
      <c r="Q1595" s="4" t="b">
        <f>AND(((P1595)=TRUE), ((K1595)=TRUE))</f>
        <v>0</v>
      </c>
      <c r="R1595" s="4" t="str">
        <f>IF(((O1595)=TRUE),  I1595,  "")</f>
        <v>suite-witness</v>
      </c>
      <c r="S1595" s="4" t="str">
        <f>IF(((Q1595)=TRUE),  I1595,  "")</f>
      </c>
      <c r="T1595" s="3" t="s">
        <v>6001</v>
      </c>
    </row>
    <row r="1596">
      <c r="A1596" s="3" t="s">
        <v>8010</v>
      </c>
      <c r="B1596" s="4" t="str">
        <f>C1596 &amp; ": " &amp; D1596</f>
        <v>witness-discriminates: SendIntents.ConsentGatePassed</v>
      </c>
      <c r="C1596" s="3" t="s">
        <v>7549</v>
      </c>
      <c r="D1596" s="3" t="s">
        <v>4756</v>
      </c>
      <c r="E1596" s="3" t="s">
        <v>4728</v>
      </c>
      <c r="F1596" s="3" t="s">
        <v>4757</v>
      </c>
      <c r="G1596" s="3" t="s">
        <v>7550</v>
      </c>
      <c r="H1596" s="3" t="s">
        <v>2099</v>
      </c>
      <c r="I1596" s="3" t="s">
        <v>5990</v>
      </c>
      <c r="J1596" s="3" t="s">
        <v>7551</v>
      </c>
      <c r="K1596" s="4" t="b">
        <f>J1596 = "blocking"</f>
        <v>0</v>
      </c>
      <c r="L1596" s="3" t="s">
        <v>1448</v>
      </c>
      <c r="M1596" s="3" t="s">
        <v>7718</v>
      </c>
      <c r="N1596" s="5">
        <v>46223.1297337963</v>
      </c>
      <c r="O1596" s="4" t="b">
        <f>L1596 = "PASS"</f>
        <v>1</v>
      </c>
      <c r="P1596" s="4" t="b">
        <f>L1596 = "FAIL"</f>
        <v>0</v>
      </c>
      <c r="Q1596" s="4" t="b">
        <f>AND(((P1596)=TRUE), ((K1596)=TRUE))</f>
        <v>0</v>
      </c>
      <c r="R1596" s="4" t="str">
        <f>IF(((O1596)=TRUE),  I1596,  "")</f>
        <v>suite-witness</v>
      </c>
      <c r="S1596" s="4" t="str">
        <f>IF(((Q1596)=TRUE),  I1596,  "")</f>
      </c>
      <c r="T1596" s="3" t="s">
        <v>6001</v>
      </c>
    </row>
    <row r="1597">
      <c r="A1597" s="3" t="s">
        <v>8011</v>
      </c>
      <c r="B1597" s="4" t="str">
        <f>C1597 &amp; ": " &amp; D1597</f>
        <v>witness-discriminates: SendIntents.RecipientIsSmsReachable</v>
      </c>
      <c r="C1597" s="3" t="s">
        <v>7549</v>
      </c>
      <c r="D1597" s="3" t="s">
        <v>4759</v>
      </c>
      <c r="E1597" s="3" t="s">
        <v>4728</v>
      </c>
      <c r="F1597" s="3" t="s">
        <v>4760</v>
      </c>
      <c r="G1597" s="3" t="s">
        <v>7550</v>
      </c>
      <c r="H1597" s="3" t="s">
        <v>2099</v>
      </c>
      <c r="I1597" s="3" t="s">
        <v>5990</v>
      </c>
      <c r="J1597" s="3" t="s">
        <v>7551</v>
      </c>
      <c r="K1597" s="4" t="b">
        <f>J1597 = "blocking"</f>
        <v>0</v>
      </c>
      <c r="L1597" s="3" t="s">
        <v>1448</v>
      </c>
      <c r="M1597" s="3" t="s">
        <v>7718</v>
      </c>
      <c r="N1597" s="5">
        <v>46223.1297337963</v>
      </c>
      <c r="O1597" s="4" t="b">
        <f>L1597 = "PASS"</f>
        <v>1</v>
      </c>
      <c r="P1597" s="4" t="b">
        <f>L1597 = "FAIL"</f>
        <v>0</v>
      </c>
      <c r="Q1597" s="4" t="b">
        <f>AND(((P1597)=TRUE), ((K1597)=TRUE))</f>
        <v>0</v>
      </c>
      <c r="R1597" s="4" t="str">
        <f>IF(((O1597)=TRUE),  I1597,  "")</f>
        <v>suite-witness</v>
      </c>
      <c r="S1597" s="4" t="str">
        <f>IF(((Q1597)=TRUE),  I1597,  "")</f>
      </c>
      <c r="T1597" s="3" t="s">
        <v>6001</v>
      </c>
    </row>
    <row r="1598">
      <c r="A1598" s="3" t="s">
        <v>8012</v>
      </c>
      <c r="B1598" s="4" t="str">
        <f>C1598 &amp; ": " &amp; D1598</f>
        <v>witness-discriminates: SendIntents.RecipientIsEmailReachable</v>
      </c>
      <c r="C1598" s="3" t="s">
        <v>7549</v>
      </c>
      <c r="D1598" s="3" t="s">
        <v>4762</v>
      </c>
      <c r="E1598" s="3" t="s">
        <v>4728</v>
      </c>
      <c r="F1598" s="3" t="s">
        <v>4763</v>
      </c>
      <c r="G1598" s="3" t="s">
        <v>7550</v>
      </c>
      <c r="H1598" s="3" t="s">
        <v>2099</v>
      </c>
      <c r="I1598" s="3" t="s">
        <v>5990</v>
      </c>
      <c r="J1598" s="3" t="s">
        <v>7551</v>
      </c>
      <c r="K1598" s="4" t="b">
        <f>J1598 = "blocking"</f>
        <v>0</v>
      </c>
      <c r="L1598" s="3" t="s">
        <v>1451</v>
      </c>
      <c r="M1598" s="3" t="s">
        <v>7720</v>
      </c>
      <c r="N1598" s="5">
        <v>46223.1297337963</v>
      </c>
      <c r="O1598" s="4" t="b">
        <f>L1598 = "PASS"</f>
        <v>0</v>
      </c>
      <c r="P1598" s="4" t="b">
        <f>L1598 = "FAIL"</f>
        <v>0</v>
      </c>
      <c r="Q1598" s="4" t="b">
        <f>AND(((P1598)=TRUE), ((K1598)=TRUE))</f>
        <v>0</v>
      </c>
      <c r="R1598" s="4" t="str">
        <f>IF(((O1598)=TRUE),  I1598,  "")</f>
      </c>
      <c r="S1598" s="4" t="str">
        <f>IF(((Q1598)=TRUE),  I1598,  "")</f>
      </c>
      <c r="T1598" s="3" t="s">
        <v>6001</v>
      </c>
    </row>
    <row r="1599">
      <c r="A1599" s="3" t="s">
        <v>8013</v>
      </c>
      <c r="B1599" s="4" t="str">
        <f>C1599 &amp; ": " &amp; D1599</f>
        <v>witness-discriminates: SendIntents.ReachabilityGatePassed</v>
      </c>
      <c r="C1599" s="3" t="s">
        <v>7549</v>
      </c>
      <c r="D1599" s="3" t="s">
        <v>4765</v>
      </c>
      <c r="E1599" s="3" t="s">
        <v>4728</v>
      </c>
      <c r="F1599" s="3" t="s">
        <v>4766</v>
      </c>
      <c r="G1599" s="3" t="s">
        <v>7550</v>
      </c>
      <c r="H1599" s="3" t="s">
        <v>2099</v>
      </c>
      <c r="I1599" s="3" t="s">
        <v>5990</v>
      </c>
      <c r="J1599" s="3" t="s">
        <v>7551</v>
      </c>
      <c r="K1599" s="4" t="b">
        <f>J1599 = "blocking"</f>
        <v>0</v>
      </c>
      <c r="L1599" s="3" t="s">
        <v>1448</v>
      </c>
      <c r="M1599" s="3" t="s">
        <v>7718</v>
      </c>
      <c r="N1599" s="5">
        <v>46223.1297337963</v>
      </c>
      <c r="O1599" s="4" t="b">
        <f>L1599 = "PASS"</f>
        <v>1</v>
      </c>
      <c r="P1599" s="4" t="b">
        <f>L1599 = "FAIL"</f>
        <v>0</v>
      </c>
      <c r="Q1599" s="4" t="b">
        <f>AND(((P1599)=TRUE), ((K1599)=TRUE))</f>
        <v>0</v>
      </c>
      <c r="R1599" s="4" t="str">
        <f>IF(((O1599)=TRUE),  I1599,  "")</f>
        <v>suite-witness</v>
      </c>
      <c r="S1599" s="4" t="str">
        <f>IF(((Q1599)=TRUE),  I1599,  "")</f>
      </c>
      <c r="T1599" s="3" t="s">
        <v>6001</v>
      </c>
    </row>
    <row r="1600">
      <c r="A1600" s="3" t="s">
        <v>8014</v>
      </c>
      <c r="B1600" s="4" t="str">
        <f>C1600 &amp; ": " &amp; D1600</f>
        <v>witness-discriminates: SendIntents.PermissionGatePassed</v>
      </c>
      <c r="C1600" s="3" t="s">
        <v>7549</v>
      </c>
      <c r="D1600" s="3" t="s">
        <v>4768</v>
      </c>
      <c r="E1600" s="3" t="s">
        <v>4728</v>
      </c>
      <c r="F1600" s="3" t="s">
        <v>4769</v>
      </c>
      <c r="G1600" s="3" t="s">
        <v>7550</v>
      </c>
      <c r="H1600" s="3" t="s">
        <v>2099</v>
      </c>
      <c r="I1600" s="3" t="s">
        <v>5990</v>
      </c>
      <c r="J1600" s="3" t="s">
        <v>7551</v>
      </c>
      <c r="K1600" s="4" t="b">
        <f>J1600 = "blocking"</f>
        <v>0</v>
      </c>
      <c r="L1600" s="3" t="s">
        <v>1448</v>
      </c>
      <c r="M1600" s="3" t="s">
        <v>7718</v>
      </c>
      <c r="N1600" s="5">
        <v>46223.1297337963</v>
      </c>
      <c r="O1600" s="4" t="b">
        <f>L1600 = "PASS"</f>
        <v>1</v>
      </c>
      <c r="P1600" s="4" t="b">
        <f>L1600 = "FAIL"</f>
        <v>0</v>
      </c>
      <c r="Q1600" s="4" t="b">
        <f>AND(((P1600)=TRUE), ((K1600)=TRUE))</f>
        <v>0</v>
      </c>
      <c r="R1600" s="4" t="str">
        <f>IF(((O1600)=TRUE),  I1600,  "")</f>
        <v>suite-witness</v>
      </c>
      <c r="S1600" s="4" t="str">
        <f>IF(((Q1600)=TRUE),  I1600,  "")</f>
      </c>
      <c r="T1600" s="3" t="s">
        <v>6001</v>
      </c>
    </row>
    <row r="1601">
      <c r="A1601" s="3" t="s">
        <v>8015</v>
      </c>
      <c r="B1601" s="4" t="str">
        <f>C1601 &amp; ": " &amp; D1601</f>
        <v>witness-discriminates: SendIntents.IntentPolicyHasQuietHours</v>
      </c>
      <c r="C1601" s="3" t="s">
        <v>7549</v>
      </c>
      <c r="D1601" s="3" t="s">
        <v>4777</v>
      </c>
      <c r="E1601" s="3" t="s">
        <v>4728</v>
      </c>
      <c r="F1601" s="3" t="s">
        <v>4778</v>
      </c>
      <c r="G1601" s="3" t="s">
        <v>7550</v>
      </c>
      <c r="H1601" s="3" t="s">
        <v>2103</v>
      </c>
      <c r="I1601" s="3" t="s">
        <v>5990</v>
      </c>
      <c r="J1601" s="3" t="s">
        <v>7551</v>
      </c>
      <c r="K1601" s="4" t="b">
        <f>J1601 = "blocking"</f>
        <v>0</v>
      </c>
      <c r="L1601" s="3" t="s">
        <v>1448</v>
      </c>
      <c r="M1601" s="3" t="s">
        <v>7718</v>
      </c>
      <c r="N1601" s="5">
        <v>46223.1297337963</v>
      </c>
      <c r="O1601" s="4" t="b">
        <f>L1601 = "PASS"</f>
        <v>1</v>
      </c>
      <c r="P1601" s="4" t="b">
        <f>L1601 = "FAIL"</f>
        <v>0</v>
      </c>
      <c r="Q1601" s="4" t="b">
        <f>AND(((P1601)=TRUE), ((K1601)=TRUE))</f>
        <v>0</v>
      </c>
      <c r="R1601" s="4" t="str">
        <f>IF(((O1601)=TRUE),  I1601,  "")</f>
        <v>suite-witness</v>
      </c>
      <c r="S1601" s="4" t="str">
        <f>IF(((Q1601)=TRUE),  I1601,  "")</f>
      </c>
      <c r="T1601" s="3" t="s">
        <v>6001</v>
      </c>
    </row>
    <row r="1602">
      <c r="A1602" s="3" t="s">
        <v>8016</v>
      </c>
      <c r="B1602" s="4" t="str">
        <f>C1602 &amp; ": " &amp; D1602</f>
        <v>witness-discriminates: SendIntents.IntentQuietWindowWraps</v>
      </c>
      <c r="C1602" s="3" t="s">
        <v>7549</v>
      </c>
      <c r="D1602" s="3" t="s">
        <v>4780</v>
      </c>
      <c r="E1602" s="3" t="s">
        <v>4728</v>
      </c>
      <c r="F1602" s="3" t="s">
        <v>4781</v>
      </c>
      <c r="G1602" s="3" t="s">
        <v>7550</v>
      </c>
      <c r="H1602" s="3" t="s">
        <v>2103</v>
      </c>
      <c r="I1602" s="3" t="s">
        <v>5990</v>
      </c>
      <c r="J1602" s="3" t="s">
        <v>7551</v>
      </c>
      <c r="K1602" s="4" t="b">
        <f>J1602 = "blocking"</f>
        <v>0</v>
      </c>
      <c r="L1602" s="3" t="s">
        <v>1448</v>
      </c>
      <c r="M1602" s="3" t="s">
        <v>7718</v>
      </c>
      <c r="N1602" s="5">
        <v>46223.1297337963</v>
      </c>
      <c r="O1602" s="4" t="b">
        <f>L1602 = "PASS"</f>
        <v>1</v>
      </c>
      <c r="P1602" s="4" t="b">
        <f>L1602 = "FAIL"</f>
        <v>0</v>
      </c>
      <c r="Q1602" s="4" t="b">
        <f>AND(((P1602)=TRUE), ((K1602)=TRUE))</f>
        <v>0</v>
      </c>
      <c r="R1602" s="4" t="str">
        <f>IF(((O1602)=TRUE),  I1602,  "")</f>
        <v>suite-witness</v>
      </c>
      <c r="S1602" s="4" t="str">
        <f>IF(((Q1602)=TRUE),  I1602,  "")</f>
      </c>
      <c r="T1602" s="3" t="s">
        <v>6001</v>
      </c>
    </row>
    <row r="1603">
      <c r="A1603" s="3" t="s">
        <v>8017</v>
      </c>
      <c r="B1603" s="4" t="str">
        <f>C1603 &amp; ": " &amp; D1603</f>
        <v>witness-discriminates: SendIntents.IntentIsInsideQuietWindow</v>
      </c>
      <c r="C1603" s="3" t="s">
        <v>7549</v>
      </c>
      <c r="D1603" s="3" t="s">
        <v>4783</v>
      </c>
      <c r="E1603" s="3" t="s">
        <v>4728</v>
      </c>
      <c r="F1603" s="3" t="s">
        <v>4784</v>
      </c>
      <c r="G1603" s="3" t="s">
        <v>7550</v>
      </c>
      <c r="H1603" s="3" t="s">
        <v>2103</v>
      </c>
      <c r="I1603" s="3" t="s">
        <v>5990</v>
      </c>
      <c r="J1603" s="3" t="s">
        <v>7551</v>
      </c>
      <c r="K1603" s="4" t="b">
        <f>J1603 = "blocking"</f>
        <v>0</v>
      </c>
      <c r="L1603" s="3" t="s">
        <v>1448</v>
      </c>
      <c r="M1603" s="3" t="s">
        <v>7730</v>
      </c>
      <c r="N1603" s="5">
        <v>46223.1297337963</v>
      </c>
      <c r="O1603" s="4" t="b">
        <f>L1603 = "PASS"</f>
        <v>1</v>
      </c>
      <c r="P1603" s="4" t="b">
        <f>L1603 = "FAIL"</f>
        <v>0</v>
      </c>
      <c r="Q1603" s="4" t="b">
        <f>AND(((P1603)=TRUE), ((K1603)=TRUE))</f>
        <v>0</v>
      </c>
      <c r="R1603" s="4" t="str">
        <f>IF(((O1603)=TRUE),  I1603,  "")</f>
        <v>suite-witness</v>
      </c>
      <c r="S1603" s="4" t="str">
        <f>IF(((Q1603)=TRUE),  I1603,  "")</f>
      </c>
      <c r="T1603" s="3" t="s">
        <v>6001</v>
      </c>
    </row>
    <row r="1604">
      <c r="A1604" s="3" t="s">
        <v>8018</v>
      </c>
      <c r="B1604" s="4" t="str">
        <f>C1604 &amp; ": " &amp; D1604</f>
        <v>witness-discriminates: SendIntents.TimingGatePassed</v>
      </c>
      <c r="C1604" s="3" t="s">
        <v>7549</v>
      </c>
      <c r="D1604" s="3" t="s">
        <v>4786</v>
      </c>
      <c r="E1604" s="3" t="s">
        <v>4728</v>
      </c>
      <c r="F1604" s="3" t="s">
        <v>4787</v>
      </c>
      <c r="G1604" s="3" t="s">
        <v>7550</v>
      </c>
      <c r="H1604" s="3" t="s">
        <v>2103</v>
      </c>
      <c r="I1604" s="3" t="s">
        <v>5990</v>
      </c>
      <c r="J1604" s="3" t="s">
        <v>7551</v>
      </c>
      <c r="K1604" s="4" t="b">
        <f>J1604 = "blocking"</f>
        <v>0</v>
      </c>
      <c r="L1604" s="3" t="s">
        <v>1448</v>
      </c>
      <c r="M1604" s="3" t="s">
        <v>7718</v>
      </c>
      <c r="N1604" s="5">
        <v>46223.1297337963</v>
      </c>
      <c r="O1604" s="4" t="b">
        <f>L1604 = "PASS"</f>
        <v>1</v>
      </c>
      <c r="P1604" s="4" t="b">
        <f>L1604 = "FAIL"</f>
        <v>0</v>
      </c>
      <c r="Q1604" s="4" t="b">
        <f>AND(((P1604)=TRUE), ((K1604)=TRUE))</f>
        <v>0</v>
      </c>
      <c r="R1604" s="4" t="str">
        <f>IF(((O1604)=TRUE),  I1604,  "")</f>
        <v>suite-witness</v>
      </c>
      <c r="S1604" s="4" t="str">
        <f>IF(((Q1604)=TRUE),  I1604,  "")</f>
      </c>
      <c r="T1604" s="3" t="s">
        <v>6001</v>
      </c>
    </row>
    <row r="1605">
      <c r="A1605" s="3" t="s">
        <v>8019</v>
      </c>
      <c r="B1605" s="4" t="str">
        <f>C1605 &amp; ": " &amp; D1605</f>
        <v>witness-discriminates: SendIntents.LengthGatePassed</v>
      </c>
      <c r="C1605" s="3" t="s">
        <v>7549</v>
      </c>
      <c r="D1605" s="3" t="s">
        <v>4802</v>
      </c>
      <c r="E1605" s="3" t="s">
        <v>4728</v>
      </c>
      <c r="F1605" s="3" t="s">
        <v>4803</v>
      </c>
      <c r="G1605" s="3" t="s">
        <v>7550</v>
      </c>
      <c r="H1605" s="3" t="s">
        <v>2107</v>
      </c>
      <c r="I1605" s="3" t="s">
        <v>5990</v>
      </c>
      <c r="J1605" s="3" t="s">
        <v>7551</v>
      </c>
      <c r="K1605" s="4" t="b">
        <f>J1605 = "blocking"</f>
        <v>0</v>
      </c>
      <c r="L1605" s="3" t="s">
        <v>1451</v>
      </c>
      <c r="M1605" s="3" t="s">
        <v>7720</v>
      </c>
      <c r="N1605" s="5">
        <v>46223.1297337963</v>
      </c>
      <c r="O1605" s="4" t="b">
        <f>L1605 = "PASS"</f>
        <v>0</v>
      </c>
      <c r="P1605" s="4" t="b">
        <f>L1605 = "FAIL"</f>
        <v>0</v>
      </c>
      <c r="Q1605" s="4" t="b">
        <f>AND(((P1605)=TRUE), ((K1605)=TRUE))</f>
        <v>0</v>
      </c>
      <c r="R1605" s="4" t="str">
        <f>IF(((O1605)=TRUE),  I1605,  "")</f>
      </c>
      <c r="S1605" s="4" t="str">
        <f>IF(((Q1605)=TRUE),  I1605,  "")</f>
      </c>
      <c r="T1605" s="3" t="s">
        <v>6001</v>
      </c>
    </row>
    <row r="1606">
      <c r="A1606" s="3" t="s">
        <v>8020</v>
      </c>
      <c r="B1606" s="4" t="str">
        <f>C1606 &amp; ": " &amp; D1606</f>
        <v>witness-discriminates: SendIntents.OptOutGatePassed</v>
      </c>
      <c r="C1606" s="3" t="s">
        <v>7549</v>
      </c>
      <c r="D1606" s="3" t="s">
        <v>4810</v>
      </c>
      <c r="E1606" s="3" t="s">
        <v>4728</v>
      </c>
      <c r="F1606" s="3" t="s">
        <v>4811</v>
      </c>
      <c r="G1606" s="3" t="s">
        <v>7550</v>
      </c>
      <c r="H1606" s="3" t="s">
        <v>2107</v>
      </c>
      <c r="I1606" s="3" t="s">
        <v>5990</v>
      </c>
      <c r="J1606" s="3" t="s">
        <v>7551</v>
      </c>
      <c r="K1606" s="4" t="b">
        <f>J1606 = "blocking"</f>
        <v>0</v>
      </c>
      <c r="L1606" s="3" t="s">
        <v>1448</v>
      </c>
      <c r="M1606" s="3" t="s">
        <v>8021</v>
      </c>
      <c r="N1606" s="5">
        <v>46223.1297337963</v>
      </c>
      <c r="O1606" s="4" t="b">
        <f>L1606 = "PASS"</f>
        <v>1</v>
      </c>
      <c r="P1606" s="4" t="b">
        <f>L1606 = "FAIL"</f>
        <v>0</v>
      </c>
      <c r="Q1606" s="4" t="b">
        <f>AND(((P1606)=TRUE), ((K1606)=TRUE))</f>
        <v>0</v>
      </c>
      <c r="R1606" s="4" t="str">
        <f>IF(((O1606)=TRUE),  I1606,  "")</f>
        <v>suite-witness</v>
      </c>
      <c r="S1606" s="4" t="str">
        <f>IF(((Q1606)=TRUE),  I1606,  "")</f>
      </c>
      <c r="T1606" s="3" t="s">
        <v>6001</v>
      </c>
    </row>
    <row r="1607">
      <c r="A1607" s="3" t="s">
        <v>8022</v>
      </c>
      <c r="B1607" s="4" t="str">
        <f>C1607 &amp; ": " &amp; D1607</f>
        <v>witness-discriminates: SendIntents.ContentGatePassed</v>
      </c>
      <c r="C1607" s="3" t="s">
        <v>7549</v>
      </c>
      <c r="D1607" s="3" t="s">
        <v>4813</v>
      </c>
      <c r="E1607" s="3" t="s">
        <v>4728</v>
      </c>
      <c r="F1607" s="3" t="s">
        <v>4814</v>
      </c>
      <c r="G1607" s="3" t="s">
        <v>7550</v>
      </c>
      <c r="H1607" s="3" t="s">
        <v>2107</v>
      </c>
      <c r="I1607" s="3" t="s">
        <v>5990</v>
      </c>
      <c r="J1607" s="3" t="s">
        <v>7551</v>
      </c>
      <c r="K1607" s="4" t="b">
        <f>J1607 = "blocking"</f>
        <v>0</v>
      </c>
      <c r="L1607" s="3" t="s">
        <v>1448</v>
      </c>
      <c r="M1607" s="3" t="s">
        <v>8021</v>
      </c>
      <c r="N1607" s="5">
        <v>46223.1297337963</v>
      </c>
      <c r="O1607" s="4" t="b">
        <f>L1607 = "PASS"</f>
        <v>1</v>
      </c>
      <c r="P1607" s="4" t="b">
        <f>L1607 = "FAIL"</f>
        <v>0</v>
      </c>
      <c r="Q1607" s="4" t="b">
        <f>AND(((P1607)=TRUE), ((K1607)=TRUE))</f>
        <v>0</v>
      </c>
      <c r="R1607" s="4" t="str">
        <f>IF(((O1607)=TRUE),  I1607,  "")</f>
        <v>suite-witness</v>
      </c>
      <c r="S1607" s="4" t="str">
        <f>IF(((Q1607)=TRUE),  I1607,  "")</f>
      </c>
      <c r="T1607" s="3" t="s">
        <v>6001</v>
      </c>
    </row>
    <row r="1608">
      <c r="A1608" s="3" t="s">
        <v>8023</v>
      </c>
      <c r="B1608" s="4" t="str">
        <f>C1608 &amp; ": " &amp; D1608</f>
        <v>witness-discriminates: SendIntents.TemplateIsSendable</v>
      </c>
      <c r="C1608" s="3" t="s">
        <v>7549</v>
      </c>
      <c r="D1608" s="3" t="s">
        <v>4816</v>
      </c>
      <c r="E1608" s="3" t="s">
        <v>4728</v>
      </c>
      <c r="F1608" s="3" t="s">
        <v>4817</v>
      </c>
      <c r="G1608" s="3" t="s">
        <v>7550</v>
      </c>
      <c r="H1608" s="3" t="s">
        <v>2111</v>
      </c>
      <c r="I1608" s="3" t="s">
        <v>5990</v>
      </c>
      <c r="J1608" s="3" t="s">
        <v>7551</v>
      </c>
      <c r="K1608" s="4" t="b">
        <f>J1608 = "blocking"</f>
        <v>0</v>
      </c>
      <c r="L1608" s="3" t="s">
        <v>1451</v>
      </c>
      <c r="M1608" s="3" t="s">
        <v>7720</v>
      </c>
      <c r="N1608" s="5">
        <v>46223.1297337963</v>
      </c>
      <c r="O1608" s="4" t="b">
        <f>L1608 = "PASS"</f>
        <v>0</v>
      </c>
      <c r="P1608" s="4" t="b">
        <f>L1608 = "FAIL"</f>
        <v>0</v>
      </c>
      <c r="Q1608" s="4" t="b">
        <f>AND(((P1608)=TRUE), ((K1608)=TRUE))</f>
        <v>0</v>
      </c>
      <c r="R1608" s="4" t="str">
        <f>IF(((O1608)=TRUE),  I1608,  "")</f>
      </c>
      <c r="S1608" s="4" t="str">
        <f>IF(((Q1608)=TRUE),  I1608,  "")</f>
      </c>
      <c r="T1608" s="3" t="s">
        <v>6001</v>
      </c>
    </row>
    <row r="1609">
      <c r="A1609" s="3" t="s">
        <v>8024</v>
      </c>
      <c r="B1609" s="4" t="str">
        <f>C1609 &amp; ": " &amp; D1609</f>
        <v>witness-discriminates: SendIntents.ExecutionHasLegalClearance</v>
      </c>
      <c r="C1609" s="3" t="s">
        <v>7549</v>
      </c>
      <c r="D1609" s="3" t="s">
        <v>4818</v>
      </c>
      <c r="E1609" s="3" t="s">
        <v>4728</v>
      </c>
      <c r="F1609" s="3" t="s">
        <v>4819</v>
      </c>
      <c r="G1609" s="3" t="s">
        <v>7550</v>
      </c>
      <c r="H1609" s="3" t="s">
        <v>2111</v>
      </c>
      <c r="I1609" s="3" t="s">
        <v>5990</v>
      </c>
      <c r="J1609" s="3" t="s">
        <v>7551</v>
      </c>
      <c r="K1609" s="4" t="b">
        <f>J1609 = "blocking"</f>
        <v>0</v>
      </c>
      <c r="L1609" s="3" t="s">
        <v>1451</v>
      </c>
      <c r="M1609" s="3" t="s">
        <v>7720</v>
      </c>
      <c r="N1609" s="5">
        <v>46223.1297337963</v>
      </c>
      <c r="O1609" s="4" t="b">
        <f>L1609 = "PASS"</f>
        <v>0</v>
      </c>
      <c r="P1609" s="4" t="b">
        <f>L1609 = "FAIL"</f>
        <v>0</v>
      </c>
      <c r="Q1609" s="4" t="b">
        <f>AND(((P1609)=TRUE), ((K1609)=TRUE))</f>
        <v>0</v>
      </c>
      <c r="R1609" s="4" t="str">
        <f>IF(((O1609)=TRUE),  I1609,  "")</f>
      </c>
      <c r="S1609" s="4" t="str">
        <f>IF(((Q1609)=TRUE),  I1609,  "")</f>
      </c>
      <c r="T1609" s="3" t="s">
        <v>6001</v>
      </c>
    </row>
    <row r="1610">
      <c r="A1610" s="3" t="s">
        <v>8025</v>
      </c>
      <c r="B1610" s="4" t="str">
        <f>C1610 &amp; ": " &amp; D1610</f>
        <v>witness-discriminates: SendIntents.ApprovalIsHuman</v>
      </c>
      <c r="C1610" s="3" t="s">
        <v>7549</v>
      </c>
      <c r="D1610" s="3" t="s">
        <v>4826</v>
      </c>
      <c r="E1610" s="3" t="s">
        <v>4728</v>
      </c>
      <c r="F1610" s="3" t="s">
        <v>4827</v>
      </c>
      <c r="G1610" s="3" t="s">
        <v>7550</v>
      </c>
      <c r="H1610" s="3" t="s">
        <v>2111</v>
      </c>
      <c r="I1610" s="3" t="s">
        <v>5990</v>
      </c>
      <c r="J1610" s="3" t="s">
        <v>7551</v>
      </c>
      <c r="K1610" s="4" t="b">
        <f>J1610 = "blocking"</f>
        <v>0</v>
      </c>
      <c r="L1610" s="3" t="s">
        <v>1451</v>
      </c>
      <c r="M1610" s="3" t="s">
        <v>7720</v>
      </c>
      <c r="N1610" s="5">
        <v>46223.1297337963</v>
      </c>
      <c r="O1610" s="4" t="b">
        <f>L1610 = "PASS"</f>
        <v>0</v>
      </c>
      <c r="P1610" s="4" t="b">
        <f>L1610 = "FAIL"</f>
        <v>0</v>
      </c>
      <c r="Q1610" s="4" t="b">
        <f>AND(((P1610)=TRUE), ((K1610)=TRUE))</f>
        <v>0</v>
      </c>
      <c r="R1610" s="4" t="str">
        <f>IF(((O1610)=TRUE),  I1610,  "")</f>
      </c>
      <c r="S1610" s="4" t="str">
        <f>IF(((Q1610)=TRUE),  I1610,  "")</f>
      </c>
      <c r="T1610" s="3" t="s">
        <v>6001</v>
      </c>
    </row>
    <row r="1611">
      <c r="A1611" s="3" t="s">
        <v>8026</v>
      </c>
      <c r="B1611" s="4" t="str">
        <f>C1611 &amp; ": " &amp; D1611</f>
        <v>witness-discriminates: SendIntents.AuthorizationGatePassed</v>
      </c>
      <c r="C1611" s="3" t="s">
        <v>7549</v>
      </c>
      <c r="D1611" s="3" t="s">
        <v>4829</v>
      </c>
      <c r="E1611" s="3" t="s">
        <v>4728</v>
      </c>
      <c r="F1611" s="3" t="s">
        <v>4830</v>
      </c>
      <c r="G1611" s="3" t="s">
        <v>7550</v>
      </c>
      <c r="H1611" s="3" t="s">
        <v>2111</v>
      </c>
      <c r="I1611" s="3" t="s">
        <v>5990</v>
      </c>
      <c r="J1611" s="3" t="s">
        <v>7551</v>
      </c>
      <c r="K1611" s="4" t="b">
        <f>J1611 = "blocking"</f>
        <v>0</v>
      </c>
      <c r="L1611" s="3" t="s">
        <v>1451</v>
      </c>
      <c r="M1611" s="3" t="s">
        <v>7720</v>
      </c>
      <c r="N1611" s="5">
        <v>46223.1297337963</v>
      </c>
      <c r="O1611" s="4" t="b">
        <f>L1611 = "PASS"</f>
        <v>0</v>
      </c>
      <c r="P1611" s="4" t="b">
        <f>L1611 = "FAIL"</f>
        <v>0</v>
      </c>
      <c r="Q1611" s="4" t="b">
        <f>AND(((P1611)=TRUE), ((K1611)=TRUE))</f>
        <v>0</v>
      </c>
      <c r="R1611" s="4" t="str">
        <f>IF(((O1611)=TRUE),  I1611,  "")</f>
      </c>
      <c r="S1611" s="4" t="str">
        <f>IF(((Q1611)=TRUE),  I1611,  "")</f>
      </c>
      <c r="T1611" s="3" t="s">
        <v>6001</v>
      </c>
    </row>
    <row r="1612">
      <c r="A1612" s="3" t="s">
        <v>8027</v>
      </c>
      <c r="B1612" s="4" t="str">
        <f>C1612 &amp; ": " &amp; D1612</f>
        <v>witness-discriminates: SendIntents.IsClearedToSend</v>
      </c>
      <c r="C1612" s="3" t="s">
        <v>7549</v>
      </c>
      <c r="D1612" s="3" t="s">
        <v>4832</v>
      </c>
      <c r="E1612" s="3" t="s">
        <v>4728</v>
      </c>
      <c r="F1612" s="3" t="s">
        <v>4833</v>
      </c>
      <c r="G1612" s="3" t="s">
        <v>7550</v>
      </c>
      <c r="H1612" s="3" t="s">
        <v>2111</v>
      </c>
      <c r="I1612" s="3" t="s">
        <v>5990</v>
      </c>
      <c r="J1612" s="3" t="s">
        <v>7551</v>
      </c>
      <c r="K1612" s="4" t="b">
        <f>J1612 = "blocking"</f>
        <v>0</v>
      </c>
      <c r="L1612" s="3" t="s">
        <v>1448</v>
      </c>
      <c r="M1612" s="3" t="s">
        <v>7755</v>
      </c>
      <c r="N1612" s="5">
        <v>46223.1297337963</v>
      </c>
      <c r="O1612" s="4" t="b">
        <f>L1612 = "PASS"</f>
        <v>1</v>
      </c>
      <c r="P1612" s="4" t="b">
        <f>L1612 = "FAIL"</f>
        <v>0</v>
      </c>
      <c r="Q1612" s="4" t="b">
        <f>AND(((P1612)=TRUE), ((K1612)=TRUE))</f>
        <v>0</v>
      </c>
      <c r="R1612" s="4" t="str">
        <f>IF(((O1612)=TRUE),  I1612,  "")</f>
        <v>suite-witness</v>
      </c>
      <c r="S1612" s="4" t="str">
        <f>IF(((Q1612)=TRUE),  I1612,  "")</f>
      </c>
      <c r="T1612" s="3" t="s">
        <v>6001</v>
      </c>
    </row>
    <row r="1613">
      <c r="A1613" s="3" t="s">
        <v>8028</v>
      </c>
      <c r="B1613" s="4" t="str">
        <f>C1613 &amp; ": " &amp; D1613</f>
        <v>witness-discriminates: SendIntents.HasResultingDelivery</v>
      </c>
      <c r="C1613" s="3" t="s">
        <v>7549</v>
      </c>
      <c r="D1613" s="3" t="s">
        <v>4838</v>
      </c>
      <c r="E1613" s="3" t="s">
        <v>4728</v>
      </c>
      <c r="F1613" s="3" t="s">
        <v>4839</v>
      </c>
      <c r="G1613" s="3" t="s">
        <v>7550</v>
      </c>
      <c r="H1613" s="3" t="s">
        <v>2115</v>
      </c>
      <c r="I1613" s="3" t="s">
        <v>5990</v>
      </c>
      <c r="J1613" s="3" t="s">
        <v>7551</v>
      </c>
      <c r="K1613" s="4" t="b">
        <f>J1613 = "blocking"</f>
        <v>0</v>
      </c>
      <c r="L1613" s="3" t="s">
        <v>1448</v>
      </c>
      <c r="M1613" s="3" t="s">
        <v>7739</v>
      </c>
      <c r="N1613" s="5">
        <v>46223.1297337963</v>
      </c>
      <c r="O1613" s="4" t="b">
        <f>L1613 = "PASS"</f>
        <v>1</v>
      </c>
      <c r="P1613" s="4" t="b">
        <f>L1613 = "FAIL"</f>
        <v>0</v>
      </c>
      <c r="Q1613" s="4" t="b">
        <f>AND(((P1613)=TRUE), ((K1613)=TRUE))</f>
        <v>0</v>
      </c>
      <c r="R1613" s="4" t="str">
        <f>IF(((O1613)=TRUE),  I1613,  "")</f>
        <v>suite-witness</v>
      </c>
      <c r="S1613" s="4" t="str">
        <f>IF(((Q1613)=TRUE),  I1613,  "")</f>
      </c>
      <c r="T1613" s="3" t="s">
        <v>6001</v>
      </c>
    </row>
    <row r="1614">
      <c r="A1614" s="3" t="s">
        <v>8029</v>
      </c>
      <c r="B1614" s="4" t="str">
        <f>C1614 &amp; ": " &amp; D1614</f>
        <v>witness-discriminates: SendIntents.ResultingDeliveryWasTransmitted</v>
      </c>
      <c r="C1614" s="3" t="s">
        <v>7549</v>
      </c>
      <c r="D1614" s="3" t="s">
        <v>4841</v>
      </c>
      <c r="E1614" s="3" t="s">
        <v>4728</v>
      </c>
      <c r="F1614" s="3" t="s">
        <v>4842</v>
      </c>
      <c r="G1614" s="3" t="s">
        <v>7550</v>
      </c>
      <c r="H1614" s="3" t="s">
        <v>2115</v>
      </c>
      <c r="I1614" s="3" t="s">
        <v>5990</v>
      </c>
      <c r="J1614" s="3" t="s">
        <v>7551</v>
      </c>
      <c r="K1614" s="4" t="b">
        <f>J1614 = "blocking"</f>
        <v>0</v>
      </c>
      <c r="L1614" s="3" t="s">
        <v>1451</v>
      </c>
      <c r="M1614" s="3" t="s">
        <v>8030</v>
      </c>
      <c r="N1614" s="5">
        <v>46223.1297337963</v>
      </c>
      <c r="O1614" s="4" t="b">
        <f>L1614 = "PASS"</f>
        <v>0</v>
      </c>
      <c r="P1614" s="4" t="b">
        <f>L1614 = "FAIL"</f>
        <v>0</v>
      </c>
      <c r="Q1614" s="4" t="b">
        <f>AND(((P1614)=TRUE), ((K1614)=TRUE))</f>
        <v>0</v>
      </c>
      <c r="R1614" s="4" t="str">
        <f>IF(((O1614)=TRUE),  I1614,  "")</f>
      </c>
      <c r="S1614" s="4" t="str">
        <f>IF(((Q1614)=TRUE),  I1614,  "")</f>
      </c>
      <c r="T1614" s="3" t="s">
        <v>6001</v>
      </c>
    </row>
    <row r="1615">
      <c r="A1615" s="3" t="s">
        <v>8031</v>
      </c>
      <c r="B1615" s="4" t="str">
        <f>C1615 &amp; ": " &amp; D1615</f>
        <v>witness-discriminates: SendIntents.IsOverriddenRefusal</v>
      </c>
      <c r="C1615" s="3" t="s">
        <v>7549</v>
      </c>
      <c r="D1615" s="3" t="s">
        <v>4844</v>
      </c>
      <c r="E1615" s="3" t="s">
        <v>4728</v>
      </c>
      <c r="F1615" s="3" t="s">
        <v>4845</v>
      </c>
      <c r="G1615" s="3" t="s">
        <v>7550</v>
      </c>
      <c r="H1615" s="3" t="s">
        <v>2115</v>
      </c>
      <c r="I1615" s="3" t="s">
        <v>5990</v>
      </c>
      <c r="J1615" s="3" t="s">
        <v>7551</v>
      </c>
      <c r="K1615" s="4" t="b">
        <f>J1615 = "blocking"</f>
        <v>0</v>
      </c>
      <c r="L1615" s="3" t="s">
        <v>1451</v>
      </c>
      <c r="M1615" s="3" t="s">
        <v>7723</v>
      </c>
      <c r="N1615" s="5">
        <v>46223.1297337963</v>
      </c>
      <c r="O1615" s="4" t="b">
        <f>L1615 = "PASS"</f>
        <v>0</v>
      </c>
      <c r="P1615" s="4" t="b">
        <f>L1615 = "FAIL"</f>
        <v>0</v>
      </c>
      <c r="Q1615" s="4" t="b">
        <f>AND(((P1615)=TRUE), ((K1615)=TRUE))</f>
        <v>0</v>
      </c>
      <c r="R1615" s="4" t="str">
        <f>IF(((O1615)=TRUE),  I1615,  "")</f>
      </c>
      <c r="S1615" s="4" t="str">
        <f>IF(((Q1615)=TRUE),  I1615,  "")</f>
      </c>
      <c r="T1615" s="3" t="s">
        <v>6001</v>
      </c>
    </row>
    <row r="1616">
      <c r="A1616" s="3" t="s">
        <v>8032</v>
      </c>
      <c r="B1616" s="4" t="str">
        <f>C1616 &amp; ": " &amp; D1616</f>
        <v>witness-discriminates: SendIntents.IsSilentlyDropped</v>
      </c>
      <c r="C1616" s="3" t="s">
        <v>7549</v>
      </c>
      <c r="D1616" s="3" t="s">
        <v>4847</v>
      </c>
      <c r="E1616" s="3" t="s">
        <v>4728</v>
      </c>
      <c r="F1616" s="3" t="s">
        <v>4848</v>
      </c>
      <c r="G1616" s="3" t="s">
        <v>7550</v>
      </c>
      <c r="H1616" s="3" t="s">
        <v>2115</v>
      </c>
      <c r="I1616" s="3" t="s">
        <v>5990</v>
      </c>
      <c r="J1616" s="3" t="s">
        <v>7551</v>
      </c>
      <c r="K1616" s="4" t="b">
        <f>J1616 = "blocking"</f>
        <v>0</v>
      </c>
      <c r="L1616" s="3" t="s">
        <v>1448</v>
      </c>
      <c r="M1616" s="3" t="s">
        <v>8033</v>
      </c>
      <c r="N1616" s="5">
        <v>46223.1297337963</v>
      </c>
      <c r="O1616" s="4" t="b">
        <f>L1616 = "PASS"</f>
        <v>1</v>
      </c>
      <c r="P1616" s="4" t="b">
        <f>L1616 = "FAIL"</f>
        <v>0</v>
      </c>
      <c r="Q1616" s="4" t="b">
        <f>AND(((P1616)=TRUE), ((K1616)=TRUE))</f>
        <v>0</v>
      </c>
      <c r="R1616" s="4" t="str">
        <f>IF(((O1616)=TRUE),  I1616,  "")</f>
        <v>suite-witness</v>
      </c>
      <c r="S1616" s="4" t="str">
        <f>IF(((Q1616)=TRUE),  I1616,  "")</f>
      </c>
      <c r="T1616" s="3" t="s">
        <v>6001</v>
      </c>
    </row>
    <row r="1617">
      <c r="A1617" s="3" t="s">
        <v>8034</v>
      </c>
      <c r="B1617" s="4" t="str">
        <f>C1617 &amp; ": " &amp; D1617</f>
        <v>witness-discriminates: SendIntents.RefusalCitedAnException</v>
      </c>
      <c r="C1617" s="3" t="s">
        <v>7549</v>
      </c>
      <c r="D1617" s="3" t="s">
        <v>4853</v>
      </c>
      <c r="E1617" s="3" t="s">
        <v>4728</v>
      </c>
      <c r="F1617" s="3" t="s">
        <v>4854</v>
      </c>
      <c r="G1617" s="3" t="s">
        <v>7550</v>
      </c>
      <c r="H1617" s="3" t="s">
        <v>2115</v>
      </c>
      <c r="I1617" s="3" t="s">
        <v>5990</v>
      </c>
      <c r="J1617" s="3" t="s">
        <v>7551</v>
      </c>
      <c r="K1617" s="4" t="b">
        <f>J1617 = "blocking"</f>
        <v>0</v>
      </c>
      <c r="L1617" s="3" t="s">
        <v>1451</v>
      </c>
      <c r="M1617" s="3" t="s">
        <v>7723</v>
      </c>
      <c r="N1617" s="5">
        <v>46223.1297337963</v>
      </c>
      <c r="O1617" s="4" t="b">
        <f>L1617 = "PASS"</f>
        <v>0</v>
      </c>
      <c r="P1617" s="4" t="b">
        <f>L1617 = "FAIL"</f>
        <v>0</v>
      </c>
      <c r="Q1617" s="4" t="b">
        <f>AND(((P1617)=TRUE), ((K1617)=TRUE))</f>
        <v>0</v>
      </c>
      <c r="R1617" s="4" t="str">
        <f>IF(((O1617)=TRUE),  I1617,  "")</f>
      </c>
      <c r="S1617" s="4" t="str">
        <f>IF(((Q1617)=TRUE),  I1617,  "")</f>
      </c>
      <c r="T1617" s="3" t="s">
        <v>6001</v>
      </c>
    </row>
    <row r="1618">
      <c r="A1618" s="3" t="s">
        <v>8035</v>
      </c>
      <c r="B1618" s="4" t="str">
        <f>C1618 &amp; ": " &amp; D1618</f>
        <v>witness-discriminates: SendIntents.IsProperlyHandledRefusal</v>
      </c>
      <c r="C1618" s="3" t="s">
        <v>7549</v>
      </c>
      <c r="D1618" s="3" t="s">
        <v>4856</v>
      </c>
      <c r="E1618" s="3" t="s">
        <v>4728</v>
      </c>
      <c r="F1618" s="3" t="s">
        <v>4857</v>
      </c>
      <c r="G1618" s="3" t="s">
        <v>7550</v>
      </c>
      <c r="H1618" s="3" t="s">
        <v>2115</v>
      </c>
      <c r="I1618" s="3" t="s">
        <v>5990</v>
      </c>
      <c r="J1618" s="3" t="s">
        <v>7551</v>
      </c>
      <c r="K1618" s="4" t="b">
        <f>J1618 = "blocking"</f>
        <v>0</v>
      </c>
      <c r="L1618" s="3" t="s">
        <v>1451</v>
      </c>
      <c r="M1618" s="3" t="s">
        <v>7723</v>
      </c>
      <c r="N1618" s="5">
        <v>46223.1297337963</v>
      </c>
      <c r="O1618" s="4" t="b">
        <f>L1618 = "PASS"</f>
        <v>0</v>
      </c>
      <c r="P1618" s="4" t="b">
        <f>L1618 = "FAIL"</f>
        <v>0</v>
      </c>
      <c r="Q1618" s="4" t="b">
        <f>AND(((P1618)=TRUE), ((K1618)=TRUE))</f>
        <v>0</v>
      </c>
      <c r="R1618" s="4" t="str">
        <f>IF(((O1618)=TRUE),  I1618,  "")</f>
      </c>
      <c r="S1618" s="4" t="str">
        <f>IF(((Q1618)=TRUE),  I1618,  "")</f>
      </c>
      <c r="T1618" s="3" t="s">
        <v>6001</v>
      </c>
    </row>
    <row r="1619">
      <c r="A1619" s="3" t="s">
        <v>8036</v>
      </c>
      <c r="B1619" s="4" t="str">
        <f>C1619 &amp; ": " &amp; D1619</f>
        <v>witness-discriminates: SendIntents.MyApprovalWasInForce</v>
      </c>
      <c r="C1619" s="3" t="s">
        <v>7549</v>
      </c>
      <c r="D1619" s="3" t="s">
        <v>4871</v>
      </c>
      <c r="E1619" s="3" t="s">
        <v>4728</v>
      </c>
      <c r="F1619" s="3" t="s">
        <v>4872</v>
      </c>
      <c r="G1619" s="3" t="s">
        <v>7550</v>
      </c>
      <c r="H1619" s="3" t="s">
        <v>2327</v>
      </c>
      <c r="I1619" s="3" t="s">
        <v>5990</v>
      </c>
      <c r="J1619" s="3" t="s">
        <v>7551</v>
      </c>
      <c r="K1619" s="4" t="b">
        <f>J1619 = "blocking"</f>
        <v>0</v>
      </c>
      <c r="L1619" s="3" t="s">
        <v>1451</v>
      </c>
      <c r="M1619" s="3" t="s">
        <v>7720</v>
      </c>
      <c r="N1619" s="5">
        <v>46223.1297337963</v>
      </c>
      <c r="O1619" s="4" t="b">
        <f>L1619 = "PASS"</f>
        <v>0</v>
      </c>
      <c r="P1619" s="4" t="b">
        <f>L1619 = "FAIL"</f>
        <v>0</v>
      </c>
      <c r="Q1619" s="4" t="b">
        <f>AND(((P1619)=TRUE), ((K1619)=TRUE))</f>
        <v>0</v>
      </c>
      <c r="R1619" s="4" t="str">
        <f>IF(((O1619)=TRUE),  I1619,  "")</f>
      </c>
      <c r="S1619" s="4" t="str">
        <f>IF(((Q1619)=TRUE),  I1619,  "")</f>
      </c>
      <c r="T1619" s="3" t="s">
        <v>6001</v>
      </c>
    </row>
    <row r="1620">
      <c r="A1620" s="3" t="s">
        <v>8037</v>
      </c>
      <c r="B1620" s="4" t="str">
        <f>C1620 &amp; ": " &amp; D1620</f>
        <v>witness-discriminates: SendIntents.RefusedOnApprovedContent</v>
      </c>
      <c r="C1620" s="3" t="s">
        <v>7549</v>
      </c>
      <c r="D1620" s="3" t="s">
        <v>4874</v>
      </c>
      <c r="E1620" s="3" t="s">
        <v>4728</v>
      </c>
      <c r="F1620" s="3" t="s">
        <v>4875</v>
      </c>
      <c r="G1620" s="3" t="s">
        <v>7550</v>
      </c>
      <c r="H1620" s="3" t="s">
        <v>2327</v>
      </c>
      <c r="I1620" s="3" t="s">
        <v>5990</v>
      </c>
      <c r="J1620" s="3" t="s">
        <v>7551</v>
      </c>
      <c r="K1620" s="4" t="b">
        <f>J1620 = "blocking"</f>
        <v>0</v>
      </c>
      <c r="L1620" s="3" t="s">
        <v>1448</v>
      </c>
      <c r="M1620" s="3" t="s">
        <v>7739</v>
      </c>
      <c r="N1620" s="5">
        <v>46223.1297337963</v>
      </c>
      <c r="O1620" s="4" t="b">
        <f>L1620 = "PASS"</f>
        <v>1</v>
      </c>
      <c r="P1620" s="4" t="b">
        <f>L1620 = "FAIL"</f>
        <v>0</v>
      </c>
      <c r="Q1620" s="4" t="b">
        <f>AND(((P1620)=TRUE), ((K1620)=TRUE))</f>
        <v>0</v>
      </c>
      <c r="R1620" s="4" t="str">
        <f>IF(((O1620)=TRUE),  I1620,  "")</f>
        <v>suite-witness</v>
      </c>
      <c r="S1620" s="4" t="str">
        <f>IF(((Q1620)=TRUE),  I1620,  "")</f>
      </c>
      <c r="T1620" s="3" t="s">
        <v>6001</v>
      </c>
    </row>
    <row r="1621">
      <c r="A1621" s="3" t="s">
        <v>8038</v>
      </c>
      <c r="B1621" s="4" t="str">
        <f>C1621 &amp; ": " &amp; D1621</f>
        <v>witness-discriminates: SendIntents.RefusedOnOptOutOnly</v>
      </c>
      <c r="C1621" s="3" t="s">
        <v>7549</v>
      </c>
      <c r="D1621" s="3" t="s">
        <v>4877</v>
      </c>
      <c r="E1621" s="3" t="s">
        <v>4728</v>
      </c>
      <c r="F1621" s="3" t="s">
        <v>4878</v>
      </c>
      <c r="G1621" s="3" t="s">
        <v>7550</v>
      </c>
      <c r="H1621" s="3" t="s">
        <v>2327</v>
      </c>
      <c r="I1621" s="3" t="s">
        <v>5990</v>
      </c>
      <c r="J1621" s="3" t="s">
        <v>7551</v>
      </c>
      <c r="K1621" s="4" t="b">
        <f>J1621 = "blocking"</f>
        <v>0</v>
      </c>
      <c r="L1621" s="3" t="s">
        <v>1448</v>
      </c>
      <c r="M1621" s="3" t="s">
        <v>7739</v>
      </c>
      <c r="N1621" s="5">
        <v>46223.1297337963</v>
      </c>
      <c r="O1621" s="4" t="b">
        <f>L1621 = "PASS"</f>
        <v>1</v>
      </c>
      <c r="P1621" s="4" t="b">
        <f>L1621 = "FAIL"</f>
        <v>0</v>
      </c>
      <c r="Q1621" s="4" t="b">
        <f>AND(((P1621)=TRUE), ((K1621)=TRUE))</f>
        <v>0</v>
      </c>
      <c r="R1621" s="4" t="str">
        <f>IF(((O1621)=TRUE),  I1621,  "")</f>
        <v>suite-witness</v>
      </c>
      <c r="S1621" s="4" t="str">
        <f>IF(((Q1621)=TRUE),  I1621,  "")</f>
      </c>
      <c r="T1621" s="3" t="s">
        <v>6001</v>
      </c>
    </row>
    <row r="1622">
      <c r="A1622" s="3" t="s">
        <v>8039</v>
      </c>
      <c r="B1622" s="4" t="str">
        <f>C1622 &amp; ": " &amp; D1622</f>
        <v>witness-discriminates: SendIntents.RefusalWasOnMyRules</v>
      </c>
      <c r="C1622" s="3" t="s">
        <v>7549</v>
      </c>
      <c r="D1622" s="3" t="s">
        <v>4880</v>
      </c>
      <c r="E1622" s="3" t="s">
        <v>4728</v>
      </c>
      <c r="F1622" s="3" t="s">
        <v>4881</v>
      </c>
      <c r="G1622" s="3" t="s">
        <v>7550</v>
      </c>
      <c r="H1622" s="3" t="s">
        <v>2327</v>
      </c>
      <c r="I1622" s="3" t="s">
        <v>5990</v>
      </c>
      <c r="J1622" s="3" t="s">
        <v>7551</v>
      </c>
      <c r="K1622" s="4" t="b">
        <f>J1622 = "blocking"</f>
        <v>0</v>
      </c>
      <c r="L1622" s="3" t="s">
        <v>1448</v>
      </c>
      <c r="M1622" s="3" t="s">
        <v>7755</v>
      </c>
      <c r="N1622" s="5">
        <v>46223.1297337963</v>
      </c>
      <c r="O1622" s="4" t="b">
        <f>L1622 = "PASS"</f>
        <v>1</v>
      </c>
      <c r="P1622" s="4" t="b">
        <f>L1622 = "FAIL"</f>
        <v>0</v>
      </c>
      <c r="Q1622" s="4" t="b">
        <f>AND(((P1622)=TRUE), ((K1622)=TRUE))</f>
        <v>0</v>
      </c>
      <c r="R1622" s="4" t="str">
        <f>IF(((O1622)=TRUE),  I1622,  "")</f>
        <v>suite-witness</v>
      </c>
      <c r="S1622" s="4" t="str">
        <f>IF(((Q1622)=TRUE),  I1622,  "")</f>
      </c>
      <c r="T1622" s="3" t="s">
        <v>6001</v>
      </c>
    </row>
    <row r="1623">
      <c r="A1623" s="3" t="s">
        <v>8040</v>
      </c>
      <c r="B1623" s="4" t="str">
        <f>C1623 &amp; ": " &amp; D1623</f>
        <v>witness-discriminates: SendIntents.RefusalWasOutsideMyControl</v>
      </c>
      <c r="C1623" s="3" t="s">
        <v>7549</v>
      </c>
      <c r="D1623" s="3" t="s">
        <v>4883</v>
      </c>
      <c r="E1623" s="3" t="s">
        <v>4728</v>
      </c>
      <c r="F1623" s="3" t="s">
        <v>4884</v>
      </c>
      <c r="G1623" s="3" t="s">
        <v>7550</v>
      </c>
      <c r="H1623" s="3" t="s">
        <v>2327</v>
      </c>
      <c r="I1623" s="3" t="s">
        <v>5990</v>
      </c>
      <c r="J1623" s="3" t="s">
        <v>7551</v>
      </c>
      <c r="K1623" s="4" t="b">
        <f>J1623 = "blocking"</f>
        <v>0</v>
      </c>
      <c r="L1623" s="3" t="s">
        <v>1448</v>
      </c>
      <c r="M1623" s="3" t="s">
        <v>7730</v>
      </c>
      <c r="N1623" s="5">
        <v>46223.1297337963</v>
      </c>
      <c r="O1623" s="4" t="b">
        <f>L1623 = "PASS"</f>
        <v>1</v>
      </c>
      <c r="P1623" s="4" t="b">
        <f>L1623 = "FAIL"</f>
        <v>0</v>
      </c>
      <c r="Q1623" s="4" t="b">
        <f>AND(((P1623)=TRUE), ((K1623)=TRUE))</f>
        <v>0</v>
      </c>
      <c r="R1623" s="4" t="str">
        <f>IF(((O1623)=TRUE),  I1623,  "")</f>
        <v>suite-witness</v>
      </c>
      <c r="S1623" s="4" t="str">
        <f>IF(((Q1623)=TRUE),  I1623,  "")</f>
      </c>
      <c r="T1623" s="3" t="s">
        <v>6001</v>
      </c>
    </row>
    <row r="1624">
      <c r="A1624" s="3" t="s">
        <v>8041</v>
      </c>
      <c r="B1624" s="4" t="str">
        <f>C1624 &amp; ": " &amp; D1624</f>
        <v>witness-discriminates: SendIntents.IsUnreportedRefusalOnMyRules</v>
      </c>
      <c r="C1624" s="3" t="s">
        <v>7549</v>
      </c>
      <c r="D1624" s="3" t="s">
        <v>4888</v>
      </c>
      <c r="E1624" s="3" t="s">
        <v>4728</v>
      </c>
      <c r="F1624" s="3" t="s">
        <v>4889</v>
      </c>
      <c r="G1624" s="3" t="s">
        <v>7550</v>
      </c>
      <c r="H1624" s="3" t="s">
        <v>2327</v>
      </c>
      <c r="I1624" s="3" t="s">
        <v>5990</v>
      </c>
      <c r="J1624" s="3" t="s">
        <v>7551</v>
      </c>
      <c r="K1624" s="4" t="b">
        <f>J1624 = "blocking"</f>
        <v>0</v>
      </c>
      <c r="L1624" s="3" t="s">
        <v>1448</v>
      </c>
      <c r="M1624" s="3" t="s">
        <v>7755</v>
      </c>
      <c r="N1624" s="5">
        <v>46223.1297337963</v>
      </c>
      <c r="O1624" s="4" t="b">
        <f>L1624 = "PASS"</f>
        <v>1</v>
      </c>
      <c r="P1624" s="4" t="b">
        <f>L1624 = "FAIL"</f>
        <v>0</v>
      </c>
      <c r="Q1624" s="4" t="b">
        <f>AND(((P1624)=TRUE), ((K1624)=TRUE))</f>
        <v>0</v>
      </c>
      <c r="R1624" s="4" t="str">
        <f>IF(((O1624)=TRUE),  I1624,  "")</f>
        <v>suite-witness</v>
      </c>
      <c r="S1624" s="4" t="str">
        <f>IF(((Q1624)=TRUE),  I1624,  "")</f>
      </c>
      <c r="T1624" s="3" t="s">
        <v>6001</v>
      </c>
    </row>
    <row r="1625">
      <c r="A1625" s="3" t="s">
        <v>8042</v>
      </c>
      <c r="B1625" s="4" t="str">
        <f>C1625 &amp; ": " &amp; D1625</f>
        <v>witness-discriminates: SendIntents.IsApprovalOverriddenSilently</v>
      </c>
      <c r="C1625" s="3" t="s">
        <v>7549</v>
      </c>
      <c r="D1625" s="3" t="s">
        <v>4891</v>
      </c>
      <c r="E1625" s="3" t="s">
        <v>4728</v>
      </c>
      <c r="F1625" s="3" t="s">
        <v>4892</v>
      </c>
      <c r="G1625" s="3" t="s">
        <v>7550</v>
      </c>
      <c r="H1625" s="3" t="s">
        <v>2327</v>
      </c>
      <c r="I1625" s="3" t="s">
        <v>5990</v>
      </c>
      <c r="J1625" s="3" t="s">
        <v>7551</v>
      </c>
      <c r="K1625" s="4" t="b">
        <f>J1625 = "blocking"</f>
        <v>0</v>
      </c>
      <c r="L1625" s="3" t="s">
        <v>1448</v>
      </c>
      <c r="M1625" s="3" t="s">
        <v>7739</v>
      </c>
      <c r="N1625" s="5">
        <v>46223.1297337963</v>
      </c>
      <c r="O1625" s="4" t="b">
        <f>L1625 = "PASS"</f>
        <v>1</v>
      </c>
      <c r="P1625" s="4" t="b">
        <f>L1625 = "FAIL"</f>
        <v>0</v>
      </c>
      <c r="Q1625" s="4" t="b">
        <f>AND(((P1625)=TRUE), ((K1625)=TRUE))</f>
        <v>0</v>
      </c>
      <c r="R1625" s="4" t="str">
        <f>IF(((O1625)=TRUE),  I1625,  "")</f>
        <v>suite-witness</v>
      </c>
      <c r="S1625" s="4" t="str">
        <f>IF(((Q1625)=TRUE),  I1625,  "")</f>
      </c>
      <c r="T1625" s="3" t="s">
        <v>6001</v>
      </c>
    </row>
    <row r="1626">
      <c r="A1626" s="3" t="s">
        <v>8043</v>
      </c>
      <c r="B1626" s="4" t="str">
        <f>C1626 &amp; ": " &amp; D1626</f>
        <v>witness-discriminates: SendIntents.HasAlternateChannelAttempt</v>
      </c>
      <c r="C1626" s="3" t="s">
        <v>7549</v>
      </c>
      <c r="D1626" s="3" t="s">
        <v>4896</v>
      </c>
      <c r="E1626" s="3" t="s">
        <v>4728</v>
      </c>
      <c r="F1626" s="3" t="s">
        <v>4897</v>
      </c>
      <c r="G1626" s="3" t="s">
        <v>7550</v>
      </c>
      <c r="H1626" s="3" t="s">
        <v>2335</v>
      </c>
      <c r="I1626" s="3" t="s">
        <v>5990</v>
      </c>
      <c r="J1626" s="3" t="s">
        <v>7551</v>
      </c>
      <c r="K1626" s="4" t="b">
        <f>J1626 = "blocking"</f>
        <v>0</v>
      </c>
      <c r="L1626" s="3" t="s">
        <v>1451</v>
      </c>
      <c r="M1626" s="3" t="s">
        <v>7723</v>
      </c>
      <c r="N1626" s="5">
        <v>46223.1297337963</v>
      </c>
      <c r="O1626" s="4" t="b">
        <f>L1626 = "PASS"</f>
        <v>0</v>
      </c>
      <c r="P1626" s="4" t="b">
        <f>L1626 = "FAIL"</f>
        <v>0</v>
      </c>
      <c r="Q1626" s="4" t="b">
        <f>AND(((P1626)=TRUE), ((K1626)=TRUE))</f>
        <v>0</v>
      </c>
      <c r="R1626" s="4" t="str">
        <f>IF(((O1626)=TRUE),  I1626,  "")</f>
      </c>
      <c r="S1626" s="4" t="str">
        <f>IF(((Q1626)=TRUE),  I1626,  "")</f>
      </c>
      <c r="T1626" s="3" t="s">
        <v>6001</v>
      </c>
    </row>
    <row r="1627">
      <c r="A1627" s="3" t="s">
        <v>8044</v>
      </c>
      <c r="B1627" s="4" t="str">
        <f>C1627 &amp; ": " &amp; D1627</f>
        <v>witness-discriminates: SendIntents.AlternateAttemptWasCleared</v>
      </c>
      <c r="C1627" s="3" t="s">
        <v>7549</v>
      </c>
      <c r="D1627" s="3" t="s">
        <v>4899</v>
      </c>
      <c r="E1627" s="3" t="s">
        <v>4728</v>
      </c>
      <c r="F1627" s="3" t="s">
        <v>4900</v>
      </c>
      <c r="G1627" s="3" t="s">
        <v>7550</v>
      </c>
      <c r="H1627" s="3" t="s">
        <v>2335</v>
      </c>
      <c r="I1627" s="3" t="s">
        <v>5990</v>
      </c>
      <c r="J1627" s="3" t="s">
        <v>7551</v>
      </c>
      <c r="K1627" s="4" t="b">
        <f>J1627 = "blocking"</f>
        <v>0</v>
      </c>
      <c r="L1627" s="3" t="s">
        <v>1451</v>
      </c>
      <c r="M1627" s="3" t="s">
        <v>7723</v>
      </c>
      <c r="N1627" s="5">
        <v>46223.1297337963</v>
      </c>
      <c r="O1627" s="4" t="b">
        <f>L1627 = "PASS"</f>
        <v>0</v>
      </c>
      <c r="P1627" s="4" t="b">
        <f>L1627 = "FAIL"</f>
        <v>0</v>
      </c>
      <c r="Q1627" s="4" t="b">
        <f>AND(((P1627)=TRUE), ((K1627)=TRUE))</f>
        <v>0</v>
      </c>
      <c r="R1627" s="4" t="str">
        <f>IF(((O1627)=TRUE),  I1627,  "")</f>
      </c>
      <c r="S1627" s="4" t="str">
        <f>IF(((Q1627)=TRUE),  I1627,  "")</f>
      </c>
      <c r="T1627" s="3" t="s">
        <v>6001</v>
      </c>
    </row>
    <row r="1628">
      <c r="A1628" s="3" t="s">
        <v>8045</v>
      </c>
      <c r="B1628" s="4" t="str">
        <f>C1628 &amp; ": " &amp; D1628</f>
        <v>witness-discriminates: SendIntents.IsRefusedWithNoAlternative</v>
      </c>
      <c r="C1628" s="3" t="s">
        <v>7549</v>
      </c>
      <c r="D1628" s="3" t="s">
        <v>4902</v>
      </c>
      <c r="E1628" s="3" t="s">
        <v>4728</v>
      </c>
      <c r="F1628" s="3" t="s">
        <v>4903</v>
      </c>
      <c r="G1628" s="3" t="s">
        <v>7550</v>
      </c>
      <c r="H1628" s="3" t="s">
        <v>2335</v>
      </c>
      <c r="I1628" s="3" t="s">
        <v>5990</v>
      </c>
      <c r="J1628" s="3" t="s">
        <v>7551</v>
      </c>
      <c r="K1628" s="4" t="b">
        <f>J1628 = "blocking"</f>
        <v>0</v>
      </c>
      <c r="L1628" s="3" t="s">
        <v>1448</v>
      </c>
      <c r="M1628" s="3" t="s">
        <v>8033</v>
      </c>
      <c r="N1628" s="5">
        <v>46223.1297337963</v>
      </c>
      <c r="O1628" s="4" t="b">
        <f>L1628 = "PASS"</f>
        <v>1</v>
      </c>
      <c r="P1628" s="4" t="b">
        <f>L1628 = "FAIL"</f>
        <v>0</v>
      </c>
      <c r="Q1628" s="4" t="b">
        <f>AND(((P1628)=TRUE), ((K1628)=TRUE))</f>
        <v>0</v>
      </c>
      <c r="R1628" s="4" t="str">
        <f>IF(((O1628)=TRUE),  I1628,  "")</f>
        <v>suite-witness</v>
      </c>
      <c r="S1628" s="4" t="str">
        <f>IF(((Q1628)=TRUE),  I1628,  "")</f>
      </c>
      <c r="T1628" s="3" t="s">
        <v>6001</v>
      </c>
    </row>
    <row r="1629">
      <c r="A1629" s="3" t="s">
        <v>8046</v>
      </c>
      <c r="B1629" s="4" t="str">
        <f>C1629 &amp; ": " &amp; D1629</f>
        <v>witness-discriminates: SendIntents.ExceptionPrescribedAnAlternative</v>
      </c>
      <c r="C1629" s="3" t="s">
        <v>7549</v>
      </c>
      <c r="D1629" s="3" t="s">
        <v>4905</v>
      </c>
      <c r="E1629" s="3" t="s">
        <v>4728</v>
      </c>
      <c r="F1629" s="3" t="s">
        <v>4906</v>
      </c>
      <c r="G1629" s="3" t="s">
        <v>7550</v>
      </c>
      <c r="H1629" s="3" t="s">
        <v>2335</v>
      </c>
      <c r="I1629" s="3" t="s">
        <v>5990</v>
      </c>
      <c r="J1629" s="3" t="s">
        <v>7551</v>
      </c>
      <c r="K1629" s="4" t="b">
        <f>J1629 = "blocking"</f>
        <v>0</v>
      </c>
      <c r="L1629" s="3" t="s">
        <v>1451</v>
      </c>
      <c r="M1629" s="3" t="s">
        <v>7723</v>
      </c>
      <c r="N1629" s="5">
        <v>46223.1297337963</v>
      </c>
      <c r="O1629" s="4" t="b">
        <f>L1629 = "PASS"</f>
        <v>0</v>
      </c>
      <c r="P1629" s="4" t="b">
        <f>L1629 = "FAIL"</f>
        <v>0</v>
      </c>
      <c r="Q1629" s="4" t="b">
        <f>AND(((P1629)=TRUE), ((K1629)=TRUE))</f>
        <v>0</v>
      </c>
      <c r="R1629" s="4" t="str">
        <f>IF(((O1629)=TRUE),  I1629,  "")</f>
      </c>
      <c r="S1629" s="4" t="str">
        <f>IF(((Q1629)=TRUE),  I1629,  "")</f>
      </c>
      <c r="T1629" s="3" t="s">
        <v>6001</v>
      </c>
    </row>
    <row r="1630">
      <c r="A1630" s="3" t="s">
        <v>8047</v>
      </c>
      <c r="B1630" s="4" t="str">
        <f>C1630 &amp; ": " &amp; D1630</f>
        <v>witness-discriminates: SendIntents.PrescribedHandlingWasPerformed</v>
      </c>
      <c r="C1630" s="3" t="s">
        <v>7549</v>
      </c>
      <c r="D1630" s="3" t="s">
        <v>4908</v>
      </c>
      <c r="E1630" s="3" t="s">
        <v>4728</v>
      </c>
      <c r="F1630" s="3" t="s">
        <v>4909</v>
      </c>
      <c r="G1630" s="3" t="s">
        <v>7550</v>
      </c>
      <c r="H1630" s="3" t="s">
        <v>2335</v>
      </c>
      <c r="I1630" s="3" t="s">
        <v>5990</v>
      </c>
      <c r="J1630" s="3" t="s">
        <v>7551</v>
      </c>
      <c r="K1630" s="4" t="b">
        <f>J1630 = "blocking"</f>
        <v>0</v>
      </c>
      <c r="L1630" s="3" t="s">
        <v>1451</v>
      </c>
      <c r="M1630" s="3" t="s">
        <v>7723</v>
      </c>
      <c r="N1630" s="5">
        <v>46223.1297337963</v>
      </c>
      <c r="O1630" s="4" t="b">
        <f>L1630 = "PASS"</f>
        <v>0</v>
      </c>
      <c r="P1630" s="4" t="b">
        <f>L1630 = "FAIL"</f>
        <v>0</v>
      </c>
      <c r="Q1630" s="4" t="b">
        <f>AND(((P1630)=TRUE), ((K1630)=TRUE))</f>
        <v>0</v>
      </c>
      <c r="R1630" s="4" t="str">
        <f>IF(((O1630)=TRUE),  I1630,  "")</f>
      </c>
      <c r="S1630" s="4" t="str">
        <f>IF(((Q1630)=TRUE),  I1630,  "")</f>
      </c>
      <c r="T1630" s="3" t="s">
        <v>6001</v>
      </c>
    </row>
    <row r="1631">
      <c r="A1631" s="3" t="s">
        <v>8048</v>
      </c>
      <c r="B1631" s="4" t="str">
        <f>C1631 &amp; ": " &amp; D1631</f>
        <v>witness-discriminates: SendIntents.IsSuppressionWithoutRemedy</v>
      </c>
      <c r="C1631" s="3" t="s">
        <v>7549</v>
      </c>
      <c r="D1631" s="3" t="s">
        <v>4911</v>
      </c>
      <c r="E1631" s="3" t="s">
        <v>4728</v>
      </c>
      <c r="F1631" s="3" t="s">
        <v>4912</v>
      </c>
      <c r="G1631" s="3" t="s">
        <v>7550</v>
      </c>
      <c r="H1631" s="3" t="s">
        <v>2335</v>
      </c>
      <c r="I1631" s="3" t="s">
        <v>5990</v>
      </c>
      <c r="J1631" s="3" t="s">
        <v>7551</v>
      </c>
      <c r="K1631" s="4" t="b">
        <f>J1631 = "blocking"</f>
        <v>0</v>
      </c>
      <c r="L1631" s="3" t="s">
        <v>1451</v>
      </c>
      <c r="M1631" s="3" t="s">
        <v>7723</v>
      </c>
      <c r="N1631" s="5">
        <v>46223.1297337963</v>
      </c>
      <c r="O1631" s="4" t="b">
        <f>L1631 = "PASS"</f>
        <v>0</v>
      </c>
      <c r="P1631" s="4" t="b">
        <f>L1631 = "FAIL"</f>
        <v>0</v>
      </c>
      <c r="Q1631" s="4" t="b">
        <f>AND(((P1631)=TRUE), ((K1631)=TRUE))</f>
        <v>0</v>
      </c>
      <c r="R1631" s="4" t="str">
        <f>IF(((O1631)=TRUE),  I1631,  "")</f>
      </c>
      <c r="S1631" s="4" t="str">
        <f>IF(((Q1631)=TRUE),  I1631,  "")</f>
      </c>
      <c r="T1631" s="3" t="s">
        <v>6001</v>
      </c>
    </row>
    <row r="1632">
      <c r="A1632" s="3" t="s">
        <v>8049</v>
      </c>
      <c r="B1632" s="4" t="str">
        <f>C1632 &amp; ": " &amp; D1632</f>
        <v>witness-discriminates: SendIntents.HasDurableRefusalRecord</v>
      </c>
      <c r="C1632" s="3" t="s">
        <v>7549</v>
      </c>
      <c r="D1632" s="3" t="s">
        <v>4918</v>
      </c>
      <c r="E1632" s="3" t="s">
        <v>4728</v>
      </c>
      <c r="F1632" s="3" t="s">
        <v>4919</v>
      </c>
      <c r="G1632" s="3" t="s">
        <v>7550</v>
      </c>
      <c r="H1632" s="3" t="s">
        <v>2359</v>
      </c>
      <c r="I1632" s="3" t="s">
        <v>5990</v>
      </c>
      <c r="J1632" s="3" t="s">
        <v>7551</v>
      </c>
      <c r="K1632" s="4" t="b">
        <f>J1632 = "blocking"</f>
        <v>0</v>
      </c>
      <c r="L1632" s="3" t="s">
        <v>1451</v>
      </c>
      <c r="M1632" s="3" t="s">
        <v>7723</v>
      </c>
      <c r="N1632" s="5">
        <v>46223.1297337963</v>
      </c>
      <c r="O1632" s="4" t="b">
        <f>L1632 = "PASS"</f>
        <v>0</v>
      </c>
      <c r="P1632" s="4" t="b">
        <f>L1632 = "FAIL"</f>
        <v>0</v>
      </c>
      <c r="Q1632" s="4" t="b">
        <f>AND(((P1632)=TRUE), ((K1632)=TRUE))</f>
        <v>0</v>
      </c>
      <c r="R1632" s="4" t="str">
        <f>IF(((O1632)=TRUE),  I1632,  "")</f>
      </c>
      <c r="S1632" s="4" t="str">
        <f>IF(((Q1632)=TRUE),  I1632,  "")</f>
      </c>
      <c r="T1632" s="3" t="s">
        <v>6001</v>
      </c>
    </row>
    <row r="1633">
      <c r="A1633" s="3" t="s">
        <v>8050</v>
      </c>
      <c r="B1633" s="4" t="str">
        <f>C1633 &amp; ": " &amp; D1633</f>
        <v>witness-discriminates: SendIntents.RefusalWasEscalated</v>
      </c>
      <c r="C1633" s="3" t="s">
        <v>7549</v>
      </c>
      <c r="D1633" s="3" t="s">
        <v>4921</v>
      </c>
      <c r="E1633" s="3" t="s">
        <v>4728</v>
      </c>
      <c r="F1633" s="3" t="s">
        <v>4922</v>
      </c>
      <c r="G1633" s="3" t="s">
        <v>7550</v>
      </c>
      <c r="H1633" s="3" t="s">
        <v>2359</v>
      </c>
      <c r="I1633" s="3" t="s">
        <v>5990</v>
      </c>
      <c r="J1633" s="3" t="s">
        <v>7551</v>
      </c>
      <c r="K1633" s="4" t="b">
        <f>J1633 = "blocking"</f>
        <v>0</v>
      </c>
      <c r="L1633" s="3" t="s">
        <v>1451</v>
      </c>
      <c r="M1633" s="3" t="s">
        <v>7723</v>
      </c>
      <c r="N1633" s="5">
        <v>46223.1297337963</v>
      </c>
      <c r="O1633" s="4" t="b">
        <f>L1633 = "PASS"</f>
        <v>0</v>
      </c>
      <c r="P1633" s="4" t="b">
        <f>L1633 = "FAIL"</f>
        <v>0</v>
      </c>
      <c r="Q1633" s="4" t="b">
        <f>AND(((P1633)=TRUE), ((K1633)=TRUE))</f>
        <v>0</v>
      </c>
      <c r="R1633" s="4" t="str">
        <f>IF(((O1633)=TRUE),  I1633,  "")</f>
      </c>
      <c r="S1633" s="4" t="str">
        <f>IF(((Q1633)=TRUE),  I1633,  "")</f>
      </c>
      <c r="T1633" s="3" t="s">
        <v>6001</v>
      </c>
    </row>
    <row r="1634">
      <c r="A1634" s="3" t="s">
        <v>8051</v>
      </c>
      <c r="B1634" s="4" t="str">
        <f>C1634 &amp; ": " &amp; D1634</f>
        <v>witness-discriminates: SendIntents.IsUnrecordedRefusal</v>
      </c>
      <c r="C1634" s="3" t="s">
        <v>7549</v>
      </c>
      <c r="D1634" s="3" t="s">
        <v>4924</v>
      </c>
      <c r="E1634" s="3" t="s">
        <v>4728</v>
      </c>
      <c r="F1634" s="3" t="s">
        <v>4925</v>
      </c>
      <c r="G1634" s="3" t="s">
        <v>7550</v>
      </c>
      <c r="H1634" s="3" t="s">
        <v>2359</v>
      </c>
      <c r="I1634" s="3" t="s">
        <v>5990</v>
      </c>
      <c r="J1634" s="3" t="s">
        <v>7551</v>
      </c>
      <c r="K1634" s="4" t="b">
        <f>J1634 = "blocking"</f>
        <v>0</v>
      </c>
      <c r="L1634" s="3" t="s">
        <v>1448</v>
      </c>
      <c r="M1634" s="3" t="s">
        <v>8033</v>
      </c>
      <c r="N1634" s="5">
        <v>46223.1297337963</v>
      </c>
      <c r="O1634" s="4" t="b">
        <f>L1634 = "PASS"</f>
        <v>1</v>
      </c>
      <c r="P1634" s="4" t="b">
        <f>L1634 = "FAIL"</f>
        <v>0</v>
      </c>
      <c r="Q1634" s="4" t="b">
        <f>AND(((P1634)=TRUE), ((K1634)=TRUE))</f>
        <v>0</v>
      </c>
      <c r="R1634" s="4" t="str">
        <f>IF(((O1634)=TRUE),  I1634,  "")</f>
        <v>suite-witness</v>
      </c>
      <c r="S1634" s="4" t="str">
        <f>IF(((Q1634)=TRUE),  I1634,  "")</f>
      </c>
      <c r="T1634" s="3" t="s">
        <v>6001</v>
      </c>
    </row>
    <row r="1635">
      <c r="A1635" s="3" t="s">
        <v>8052</v>
      </c>
      <c r="B1635" s="4" t="str">
        <f>C1635 &amp; ": " &amp; D1635</f>
        <v>witness-discriminates: SendIntents.IsUnescalatedRefusal</v>
      </c>
      <c r="C1635" s="3" t="s">
        <v>7549</v>
      </c>
      <c r="D1635" s="3" t="s">
        <v>4927</v>
      </c>
      <c r="E1635" s="3" t="s">
        <v>4728</v>
      </c>
      <c r="F1635" s="3" t="s">
        <v>4928</v>
      </c>
      <c r="G1635" s="3" t="s">
        <v>7550</v>
      </c>
      <c r="H1635" s="3" t="s">
        <v>2359</v>
      </c>
      <c r="I1635" s="3" t="s">
        <v>5990</v>
      </c>
      <c r="J1635" s="3" t="s">
        <v>7551</v>
      </c>
      <c r="K1635" s="4" t="b">
        <f>J1635 = "blocking"</f>
        <v>0</v>
      </c>
      <c r="L1635" s="3" t="s">
        <v>1448</v>
      </c>
      <c r="M1635" s="3" t="s">
        <v>8033</v>
      </c>
      <c r="N1635" s="5">
        <v>46223.1297337963</v>
      </c>
      <c r="O1635" s="4" t="b">
        <f>L1635 = "PASS"</f>
        <v>1</v>
      </c>
      <c r="P1635" s="4" t="b">
        <f>L1635 = "FAIL"</f>
        <v>0</v>
      </c>
      <c r="Q1635" s="4" t="b">
        <f>AND(((P1635)=TRUE), ((K1635)=TRUE))</f>
        <v>0</v>
      </c>
      <c r="R1635" s="4" t="str">
        <f>IF(((O1635)=TRUE),  I1635,  "")</f>
        <v>suite-witness</v>
      </c>
      <c r="S1635" s="4" t="str">
        <f>IF(((Q1635)=TRUE),  I1635,  "")</f>
      </c>
      <c r="T1635" s="3" t="s">
        <v>6001</v>
      </c>
    </row>
    <row r="1636">
      <c r="A1636" s="3" t="s">
        <v>8053</v>
      </c>
      <c r="B1636" s="4" t="str">
        <f>C1636 &amp; ": " &amp; D1636</f>
        <v>witness-discriminates: SendIntents.WasDeferredOnTiming</v>
      </c>
      <c r="C1636" s="3" t="s">
        <v>7549</v>
      </c>
      <c r="D1636" s="3" t="s">
        <v>4938</v>
      </c>
      <c r="E1636" s="3" t="s">
        <v>4728</v>
      </c>
      <c r="F1636" s="3" t="s">
        <v>4939</v>
      </c>
      <c r="G1636" s="3" t="s">
        <v>7550</v>
      </c>
      <c r="H1636" s="3" t="s">
        <v>2363</v>
      </c>
      <c r="I1636" s="3" t="s">
        <v>5990</v>
      </c>
      <c r="J1636" s="3" t="s">
        <v>7551</v>
      </c>
      <c r="K1636" s="4" t="b">
        <f>J1636 = "blocking"</f>
        <v>0</v>
      </c>
      <c r="L1636" s="3" t="s">
        <v>1448</v>
      </c>
      <c r="M1636" s="3" t="s">
        <v>7730</v>
      </c>
      <c r="N1636" s="5">
        <v>46223.1297337963</v>
      </c>
      <c r="O1636" s="4" t="b">
        <f>L1636 = "PASS"</f>
        <v>1</v>
      </c>
      <c r="P1636" s="4" t="b">
        <f>L1636 = "FAIL"</f>
        <v>0</v>
      </c>
      <c r="Q1636" s="4" t="b">
        <f>AND(((P1636)=TRUE), ((K1636)=TRUE))</f>
        <v>0</v>
      </c>
      <c r="R1636" s="4" t="str">
        <f>IF(((O1636)=TRUE),  I1636,  "")</f>
        <v>suite-witness</v>
      </c>
      <c r="S1636" s="4" t="str">
        <f>IF(((Q1636)=TRUE),  I1636,  "")</f>
      </c>
      <c r="T1636" s="3" t="s">
        <v>6001</v>
      </c>
    </row>
    <row r="1637">
      <c r="A1637" s="3" t="s">
        <v>8054</v>
      </c>
      <c r="B1637" s="4" t="str">
        <f>C1637 &amp; ": " &amp; D1637</f>
        <v>witness-discriminates: SendIntents.WindowHasSinceReopened</v>
      </c>
      <c r="C1637" s="3" t="s">
        <v>7549</v>
      </c>
      <c r="D1637" s="3" t="s">
        <v>4943</v>
      </c>
      <c r="E1637" s="3" t="s">
        <v>4728</v>
      </c>
      <c r="F1637" s="3" t="s">
        <v>4944</v>
      </c>
      <c r="G1637" s="3" t="s">
        <v>7550</v>
      </c>
      <c r="H1637" s="3" t="s">
        <v>2363</v>
      </c>
      <c r="I1637" s="3" t="s">
        <v>5990</v>
      </c>
      <c r="J1637" s="3" t="s">
        <v>7551</v>
      </c>
      <c r="K1637" s="4" t="b">
        <f>J1637 = "blocking"</f>
        <v>0</v>
      </c>
      <c r="L1637" s="3" t="s">
        <v>1448</v>
      </c>
      <c r="M1637" s="3" t="s">
        <v>7730</v>
      </c>
      <c r="N1637" s="5">
        <v>46223.1297337963</v>
      </c>
      <c r="O1637" s="4" t="b">
        <f>L1637 = "PASS"</f>
        <v>1</v>
      </c>
      <c r="P1637" s="4" t="b">
        <f>L1637 = "FAIL"</f>
        <v>0</v>
      </c>
      <c r="Q1637" s="4" t="b">
        <f>AND(((P1637)=TRUE), ((K1637)=TRUE))</f>
        <v>0</v>
      </c>
      <c r="R1637" s="4" t="str">
        <f>IF(((O1637)=TRUE),  I1637,  "")</f>
        <v>suite-witness</v>
      </c>
      <c r="S1637" s="4" t="str">
        <f>IF(((Q1637)=TRUE),  I1637,  "")</f>
      </c>
      <c r="T1637" s="3" t="s">
        <v>6001</v>
      </c>
    </row>
    <row r="1638">
      <c r="A1638" s="3" t="s">
        <v>8055</v>
      </c>
      <c r="B1638" s="4" t="str">
        <f>C1638 &amp; ": " &amp; D1638</f>
        <v>witness-discriminates: SendIntents.HasRetryAttempt</v>
      </c>
      <c r="C1638" s="3" t="s">
        <v>7549</v>
      </c>
      <c r="D1638" s="3" t="s">
        <v>4946</v>
      </c>
      <c r="E1638" s="3" t="s">
        <v>4728</v>
      </c>
      <c r="F1638" s="3" t="s">
        <v>4947</v>
      </c>
      <c r="G1638" s="3" t="s">
        <v>7550</v>
      </c>
      <c r="H1638" s="3" t="s">
        <v>2363</v>
      </c>
      <c r="I1638" s="3" t="s">
        <v>5990</v>
      </c>
      <c r="J1638" s="3" t="s">
        <v>7551</v>
      </c>
      <c r="K1638" s="4" t="b">
        <f>J1638 = "blocking"</f>
        <v>0</v>
      </c>
      <c r="L1638" s="3" t="s">
        <v>1451</v>
      </c>
      <c r="M1638" s="3" t="s">
        <v>7723</v>
      </c>
      <c r="N1638" s="5">
        <v>46223.1297337963</v>
      </c>
      <c r="O1638" s="4" t="b">
        <f>L1638 = "PASS"</f>
        <v>0</v>
      </c>
      <c r="P1638" s="4" t="b">
        <f>L1638 = "FAIL"</f>
        <v>0</v>
      </c>
      <c r="Q1638" s="4" t="b">
        <f>AND(((P1638)=TRUE), ((K1638)=TRUE))</f>
        <v>0</v>
      </c>
      <c r="R1638" s="4" t="str">
        <f>IF(((O1638)=TRUE),  I1638,  "")</f>
      </c>
      <c r="S1638" s="4" t="str">
        <f>IF(((Q1638)=TRUE),  I1638,  "")</f>
      </c>
      <c r="T1638" s="3" t="s">
        <v>6001</v>
      </c>
    </row>
    <row r="1639">
      <c r="A1639" s="3" t="s">
        <v>8056</v>
      </c>
      <c r="B1639" s="4" t="str">
        <f>C1639 &amp; ": " &amp; D1639</f>
        <v>witness-discriminates: SendIntents.RetryWasCleared</v>
      </c>
      <c r="C1639" s="3" t="s">
        <v>7549</v>
      </c>
      <c r="D1639" s="3" t="s">
        <v>4949</v>
      </c>
      <c r="E1639" s="3" t="s">
        <v>4728</v>
      </c>
      <c r="F1639" s="3" t="s">
        <v>4950</v>
      </c>
      <c r="G1639" s="3" t="s">
        <v>7550</v>
      </c>
      <c r="H1639" s="3" t="s">
        <v>2363</v>
      </c>
      <c r="I1639" s="3" t="s">
        <v>5990</v>
      </c>
      <c r="J1639" s="3" t="s">
        <v>7551</v>
      </c>
      <c r="K1639" s="4" t="b">
        <f>J1639 = "blocking"</f>
        <v>0</v>
      </c>
      <c r="L1639" s="3" t="s">
        <v>1451</v>
      </c>
      <c r="M1639" s="3" t="s">
        <v>7723</v>
      </c>
      <c r="N1639" s="5">
        <v>46223.1297337963</v>
      </c>
      <c r="O1639" s="4" t="b">
        <f>L1639 = "PASS"</f>
        <v>0</v>
      </c>
      <c r="P1639" s="4" t="b">
        <f>L1639 = "FAIL"</f>
        <v>0</v>
      </c>
      <c r="Q1639" s="4" t="b">
        <f>AND(((P1639)=TRUE), ((K1639)=TRUE))</f>
        <v>0</v>
      </c>
      <c r="R1639" s="4" t="str">
        <f>IF(((O1639)=TRUE),  I1639,  "")</f>
      </c>
      <c r="S1639" s="4" t="str">
        <f>IF(((Q1639)=TRUE),  I1639,  "")</f>
      </c>
      <c r="T1639" s="3" t="s">
        <v>6001</v>
      </c>
    </row>
    <row r="1640">
      <c r="A1640" s="3" t="s">
        <v>8057</v>
      </c>
      <c r="B1640" s="4" t="str">
        <f>C1640 &amp; ": " &amp; D1640</f>
        <v>witness-discriminates: SendIntents.IsAbandonedDeferral</v>
      </c>
      <c r="C1640" s="3" t="s">
        <v>7549</v>
      </c>
      <c r="D1640" s="3" t="s">
        <v>4952</v>
      </c>
      <c r="E1640" s="3" t="s">
        <v>4728</v>
      </c>
      <c r="F1640" s="3" t="s">
        <v>4953</v>
      </c>
      <c r="G1640" s="3" t="s">
        <v>7550</v>
      </c>
      <c r="H1640" s="3" t="s">
        <v>2363</v>
      </c>
      <c r="I1640" s="3" t="s">
        <v>5990</v>
      </c>
      <c r="J1640" s="3" t="s">
        <v>7551</v>
      </c>
      <c r="K1640" s="4" t="b">
        <f>J1640 = "blocking"</f>
        <v>0</v>
      </c>
      <c r="L1640" s="3" t="s">
        <v>1448</v>
      </c>
      <c r="M1640" s="3" t="s">
        <v>7730</v>
      </c>
      <c r="N1640" s="5">
        <v>46223.1297337963</v>
      </c>
      <c r="O1640" s="4" t="b">
        <f>L1640 = "PASS"</f>
        <v>1</v>
      </c>
      <c r="P1640" s="4" t="b">
        <f>L1640 = "FAIL"</f>
        <v>0</v>
      </c>
      <c r="Q1640" s="4" t="b">
        <f>AND(((P1640)=TRUE), ((K1640)=TRUE))</f>
        <v>0</v>
      </c>
      <c r="R1640" s="4" t="str">
        <f>IF(((O1640)=TRUE),  I1640,  "")</f>
        <v>suite-witness</v>
      </c>
      <c r="S1640" s="4" t="str">
        <f>IF(((Q1640)=TRUE),  I1640,  "")</f>
      </c>
      <c r="T1640" s="3" t="s">
        <v>6001</v>
      </c>
    </row>
    <row r="1641">
      <c r="A1641" s="3" t="s">
        <v>8058</v>
      </c>
      <c r="B1641" s="4" t="str">
        <f>C1641 &amp; ": " &amp; D1641</f>
        <v>witness-discriminates: SendIntents.IsStaleDeferral</v>
      </c>
      <c r="C1641" s="3" t="s">
        <v>7549</v>
      </c>
      <c r="D1641" s="3" t="s">
        <v>4958</v>
      </c>
      <c r="E1641" s="3" t="s">
        <v>4728</v>
      </c>
      <c r="F1641" s="3" t="s">
        <v>4959</v>
      </c>
      <c r="G1641" s="3" t="s">
        <v>7550</v>
      </c>
      <c r="H1641" s="3" t="s">
        <v>2363</v>
      </c>
      <c r="I1641" s="3" t="s">
        <v>5990</v>
      </c>
      <c r="J1641" s="3" t="s">
        <v>7551</v>
      </c>
      <c r="K1641" s="4" t="b">
        <f>J1641 = "blocking"</f>
        <v>0</v>
      </c>
      <c r="L1641" s="3" t="s">
        <v>1451</v>
      </c>
      <c r="M1641" s="3" t="s">
        <v>7723</v>
      </c>
      <c r="N1641" s="5">
        <v>46223.1297337963</v>
      </c>
      <c r="O1641" s="4" t="b">
        <f>L1641 = "PASS"</f>
        <v>0</v>
      </c>
      <c r="P1641" s="4" t="b">
        <f>L1641 = "FAIL"</f>
        <v>0</v>
      </c>
      <c r="Q1641" s="4" t="b">
        <f>AND(((P1641)=TRUE), ((K1641)=TRUE))</f>
        <v>0</v>
      </c>
      <c r="R1641" s="4" t="str">
        <f>IF(((O1641)=TRUE),  I1641,  "")</f>
      </c>
      <c r="S1641" s="4" t="str">
        <f>IF(((Q1641)=TRUE),  I1641,  "")</f>
      </c>
      <c r="T1641" s="3" t="s">
        <v>6001</v>
      </c>
    </row>
    <row r="1642">
      <c r="A1642" s="3" t="s">
        <v>8059</v>
      </c>
      <c r="B1642" s="4" t="str">
        <f>C1642 &amp; ": " &amp; D1642</f>
        <v>witness-discriminates: SendIntents.EnforcedByUnauthorizedAgent</v>
      </c>
      <c r="C1642" s="3" t="s">
        <v>7549</v>
      </c>
      <c r="D1642" s="3" t="s">
        <v>4963</v>
      </c>
      <c r="E1642" s="3" t="s">
        <v>4728</v>
      </c>
      <c r="F1642" s="3" t="s">
        <v>4964</v>
      </c>
      <c r="G1642" s="3" t="s">
        <v>7550</v>
      </c>
      <c r="H1642" s="3" t="s">
        <v>2367</v>
      </c>
      <c r="I1642" s="3" t="s">
        <v>5990</v>
      </c>
      <c r="J1642" s="3" t="s">
        <v>7551</v>
      </c>
      <c r="K1642" s="4" t="b">
        <f>J1642 = "blocking"</f>
        <v>0</v>
      </c>
      <c r="L1642" s="3" t="s">
        <v>1451</v>
      </c>
      <c r="M1642" s="3" t="s">
        <v>7723</v>
      </c>
      <c r="N1642" s="5">
        <v>46223.1297337963</v>
      </c>
      <c r="O1642" s="4" t="b">
        <f>L1642 = "PASS"</f>
        <v>0</v>
      </c>
      <c r="P1642" s="4" t="b">
        <f>L1642 = "FAIL"</f>
        <v>0</v>
      </c>
      <c r="Q1642" s="4" t="b">
        <f>AND(((P1642)=TRUE), ((K1642)=TRUE))</f>
        <v>0</v>
      </c>
      <c r="R1642" s="4" t="str">
        <f>IF(((O1642)=TRUE),  I1642,  "")</f>
      </c>
      <c r="S1642" s="4" t="str">
        <f>IF(((Q1642)=TRUE),  I1642,  "")</f>
      </c>
      <c r="T1642" s="3" t="s">
        <v>6001</v>
      </c>
    </row>
    <row r="1643">
      <c r="A1643" s="3" t="s">
        <v>8060</v>
      </c>
      <c r="B1643" s="4" t="str">
        <f>C1643 &amp; ": " &amp; D1643</f>
        <v>witness-discriminates: SendIntents.ConsentInputWasResolvable</v>
      </c>
      <c r="C1643" s="3" t="s">
        <v>7549</v>
      </c>
      <c r="D1643" s="3" t="s">
        <v>4966</v>
      </c>
      <c r="E1643" s="3" t="s">
        <v>4728</v>
      </c>
      <c r="F1643" s="3" t="s">
        <v>4967</v>
      </c>
      <c r="G1643" s="3" t="s">
        <v>7550</v>
      </c>
      <c r="H1643" s="3" t="s">
        <v>2371</v>
      </c>
      <c r="I1643" s="3" t="s">
        <v>5990</v>
      </c>
      <c r="J1643" s="3" t="s">
        <v>7551</v>
      </c>
      <c r="K1643" s="4" t="b">
        <f>J1643 = "blocking"</f>
        <v>0</v>
      </c>
      <c r="L1643" s="3" t="s">
        <v>1451</v>
      </c>
      <c r="M1643" s="3" t="s">
        <v>7720</v>
      </c>
      <c r="N1643" s="5">
        <v>46223.1297337963</v>
      </c>
      <c r="O1643" s="4" t="b">
        <f>L1643 = "PASS"</f>
        <v>0</v>
      </c>
      <c r="P1643" s="4" t="b">
        <f>L1643 = "FAIL"</f>
        <v>0</v>
      </c>
      <c r="Q1643" s="4" t="b">
        <f>AND(((P1643)=TRUE), ((K1643)=TRUE))</f>
        <v>0</v>
      </c>
      <c r="R1643" s="4" t="str">
        <f>IF(((O1643)=TRUE),  I1643,  "")</f>
      </c>
      <c r="S1643" s="4" t="str">
        <f>IF(((Q1643)=TRUE),  I1643,  "")</f>
      </c>
      <c r="T1643" s="3" t="s">
        <v>6001</v>
      </c>
    </row>
    <row r="1644">
      <c r="A1644" s="3" t="s">
        <v>8061</v>
      </c>
      <c r="B1644" s="4" t="str">
        <f>C1644 &amp; ": " &amp; D1644</f>
        <v>witness-discriminates: SendIntents.PolicyInputWasResolvable</v>
      </c>
      <c r="C1644" s="3" t="s">
        <v>7549</v>
      </c>
      <c r="D1644" s="3" t="s">
        <v>4972</v>
      </c>
      <c r="E1644" s="3" t="s">
        <v>4728</v>
      </c>
      <c r="F1644" s="3" t="s">
        <v>4973</v>
      </c>
      <c r="G1644" s="3" t="s">
        <v>7550</v>
      </c>
      <c r="H1644" s="3" t="s">
        <v>2371</v>
      </c>
      <c r="I1644" s="3" t="s">
        <v>5990</v>
      </c>
      <c r="J1644" s="3" t="s">
        <v>7551</v>
      </c>
      <c r="K1644" s="4" t="b">
        <f>J1644 = "blocking"</f>
        <v>0</v>
      </c>
      <c r="L1644" s="3" t="s">
        <v>1451</v>
      </c>
      <c r="M1644" s="3" t="s">
        <v>7720</v>
      </c>
      <c r="N1644" s="5">
        <v>46223.1297337963</v>
      </c>
      <c r="O1644" s="4" t="b">
        <f>L1644 = "PASS"</f>
        <v>0</v>
      </c>
      <c r="P1644" s="4" t="b">
        <f>L1644 = "FAIL"</f>
        <v>0</v>
      </c>
      <c r="Q1644" s="4" t="b">
        <f>AND(((P1644)=TRUE), ((K1644)=TRUE))</f>
        <v>0</v>
      </c>
      <c r="R1644" s="4" t="str">
        <f>IF(((O1644)=TRUE),  I1644,  "")</f>
      </c>
      <c r="S1644" s="4" t="str">
        <f>IF(((Q1644)=TRUE),  I1644,  "")</f>
      </c>
      <c r="T1644" s="3" t="s">
        <v>6001</v>
      </c>
    </row>
    <row r="1645">
      <c r="A1645" s="3" t="s">
        <v>8062</v>
      </c>
      <c r="B1645" s="4" t="str">
        <f>C1645 &amp; ": " &amp; D1645</f>
        <v>witness-discriminates: SendIntents.AllGateInputsResolved</v>
      </c>
      <c r="C1645" s="3" t="s">
        <v>7549</v>
      </c>
      <c r="D1645" s="3" t="s">
        <v>4975</v>
      </c>
      <c r="E1645" s="3" t="s">
        <v>4728</v>
      </c>
      <c r="F1645" s="3" t="s">
        <v>4976</v>
      </c>
      <c r="G1645" s="3" t="s">
        <v>7550</v>
      </c>
      <c r="H1645" s="3" t="s">
        <v>2371</v>
      </c>
      <c r="I1645" s="3" t="s">
        <v>5990</v>
      </c>
      <c r="J1645" s="3" t="s">
        <v>7551</v>
      </c>
      <c r="K1645" s="4" t="b">
        <f>J1645 = "blocking"</f>
        <v>0</v>
      </c>
      <c r="L1645" s="3" t="s">
        <v>1451</v>
      </c>
      <c r="M1645" s="3" t="s">
        <v>7720</v>
      </c>
      <c r="N1645" s="5">
        <v>46223.1297337963</v>
      </c>
      <c r="O1645" s="4" t="b">
        <f>L1645 = "PASS"</f>
        <v>0</v>
      </c>
      <c r="P1645" s="4" t="b">
        <f>L1645 = "FAIL"</f>
        <v>0</v>
      </c>
      <c r="Q1645" s="4" t="b">
        <f>AND(((P1645)=TRUE), ((K1645)=TRUE))</f>
        <v>0</v>
      </c>
      <c r="R1645" s="4" t="str">
        <f>IF(((O1645)=TRUE),  I1645,  "")</f>
      </c>
      <c r="S1645" s="4" t="str">
        <f>IF(((Q1645)=TRUE),  I1645,  "")</f>
      </c>
      <c r="T1645" s="3" t="s">
        <v>6001</v>
      </c>
    </row>
    <row r="1646">
      <c r="A1646" s="3" t="s">
        <v>8063</v>
      </c>
      <c r="B1646" s="4" t="str">
        <f>C1646 &amp; ": " &amp; D1646</f>
        <v>witness-discriminates: SendIntents.IsUnevaluableRefusal</v>
      </c>
      <c r="C1646" s="3" t="s">
        <v>7549</v>
      </c>
      <c r="D1646" s="3" t="s">
        <v>4978</v>
      </c>
      <c r="E1646" s="3" t="s">
        <v>4728</v>
      </c>
      <c r="F1646" s="3" t="s">
        <v>4979</v>
      </c>
      <c r="G1646" s="3" t="s">
        <v>7550</v>
      </c>
      <c r="H1646" s="3" t="s">
        <v>2371</v>
      </c>
      <c r="I1646" s="3" t="s">
        <v>5990</v>
      </c>
      <c r="J1646" s="3" t="s">
        <v>7551</v>
      </c>
      <c r="K1646" s="4" t="b">
        <f>J1646 = "blocking"</f>
        <v>0</v>
      </c>
      <c r="L1646" s="3" t="s">
        <v>1451</v>
      </c>
      <c r="M1646" s="3" t="s">
        <v>7723</v>
      </c>
      <c r="N1646" s="5">
        <v>46223.1297337963</v>
      </c>
      <c r="O1646" s="4" t="b">
        <f>L1646 = "PASS"</f>
        <v>0</v>
      </c>
      <c r="P1646" s="4" t="b">
        <f>L1646 = "FAIL"</f>
        <v>0</v>
      </c>
      <c r="Q1646" s="4" t="b">
        <f>AND(((P1646)=TRUE), ((K1646)=TRUE))</f>
        <v>0</v>
      </c>
      <c r="R1646" s="4" t="str">
        <f>IF(((O1646)=TRUE),  I1646,  "")</f>
      </c>
      <c r="S1646" s="4" t="str">
        <f>IF(((Q1646)=TRUE),  I1646,  "")</f>
      </c>
      <c r="T1646" s="3" t="s">
        <v>6001</v>
      </c>
    </row>
    <row r="1647">
      <c r="A1647" s="3" t="s">
        <v>8064</v>
      </c>
      <c r="B1647" s="4" t="str">
        <f>C1647 &amp; ": " &amp; D1647</f>
        <v>witness-discriminates: SendIntents.IsSelfWitnessedDecision</v>
      </c>
      <c r="C1647" s="3" t="s">
        <v>7549</v>
      </c>
      <c r="D1647" s="3" t="s">
        <v>4983</v>
      </c>
      <c r="E1647" s="3" t="s">
        <v>4728</v>
      </c>
      <c r="F1647" s="3" t="s">
        <v>4984</v>
      </c>
      <c r="G1647" s="3" t="s">
        <v>7550</v>
      </c>
      <c r="H1647" s="3" t="s">
        <v>2371</v>
      </c>
      <c r="I1647" s="3" t="s">
        <v>5990</v>
      </c>
      <c r="J1647" s="3" t="s">
        <v>7551</v>
      </c>
      <c r="K1647" s="4" t="b">
        <f>J1647 = "blocking"</f>
        <v>0</v>
      </c>
      <c r="L1647" s="3" t="s">
        <v>1451</v>
      </c>
      <c r="M1647" s="3" t="s">
        <v>7720</v>
      </c>
      <c r="N1647" s="5">
        <v>46223.1297337963</v>
      </c>
      <c r="O1647" s="4" t="b">
        <f>L1647 = "PASS"</f>
        <v>0</v>
      </c>
      <c r="P1647" s="4" t="b">
        <f>L1647 = "FAIL"</f>
        <v>0</v>
      </c>
      <c r="Q1647" s="4" t="b">
        <f>AND(((P1647)=TRUE), ((K1647)=TRUE))</f>
        <v>0</v>
      </c>
      <c r="R1647" s="4" t="str">
        <f>IF(((O1647)=TRUE),  I1647,  "")</f>
      </c>
      <c r="S1647" s="4" t="str">
        <f>IF(((Q1647)=TRUE),  I1647,  "")</f>
      </c>
      <c r="T1647" s="3" t="s">
        <v>6001</v>
      </c>
    </row>
    <row r="1648">
      <c r="A1648" s="3" t="s">
        <v>8065</v>
      </c>
      <c r="B1648" s="4" t="str">
        <f>C1648 &amp; ": " &amp; D1648</f>
        <v>witness-discriminates: SendIntents.IsIndependentlyConfirmed</v>
      </c>
      <c r="C1648" s="3" t="s">
        <v>7549</v>
      </c>
      <c r="D1648" s="3" t="s">
        <v>4986</v>
      </c>
      <c r="E1648" s="3" t="s">
        <v>4728</v>
      </c>
      <c r="F1648" s="3" t="s">
        <v>4987</v>
      </c>
      <c r="G1648" s="3" t="s">
        <v>7550</v>
      </c>
      <c r="H1648" s="3" t="s">
        <v>2371</v>
      </c>
      <c r="I1648" s="3" t="s">
        <v>5990</v>
      </c>
      <c r="J1648" s="3" t="s">
        <v>7551</v>
      </c>
      <c r="K1648" s="4" t="b">
        <f>J1648 = "blocking"</f>
        <v>0</v>
      </c>
      <c r="L1648" s="3" t="s">
        <v>1448</v>
      </c>
      <c r="M1648" s="3" t="s">
        <v>7739</v>
      </c>
      <c r="N1648" s="5">
        <v>46223.1297337963</v>
      </c>
      <c r="O1648" s="4" t="b">
        <f>L1648 = "PASS"</f>
        <v>1</v>
      </c>
      <c r="P1648" s="4" t="b">
        <f>L1648 = "FAIL"</f>
        <v>0</v>
      </c>
      <c r="Q1648" s="4" t="b">
        <f>AND(((P1648)=TRUE), ((K1648)=TRUE))</f>
        <v>0</v>
      </c>
      <c r="R1648" s="4" t="str">
        <f>IF(((O1648)=TRUE),  I1648,  "")</f>
        <v>suite-witness</v>
      </c>
      <c r="S1648" s="4" t="str">
        <f>IF(((Q1648)=TRUE),  I1648,  "")</f>
      </c>
      <c r="T1648" s="3" t="s">
        <v>6001</v>
      </c>
    </row>
    <row r="1649">
      <c r="A1649" s="3" t="s">
        <v>8066</v>
      </c>
      <c r="B1649" s="4" t="str">
        <f>C1649 &amp; ": " &amp; D1649</f>
        <v>witness-discriminates: AgentDecisionRecords.WasOverridden</v>
      </c>
      <c r="C1649" s="3" t="s">
        <v>7549</v>
      </c>
      <c r="D1649" s="3" t="s">
        <v>5012</v>
      </c>
      <c r="E1649" s="3" t="s">
        <v>4994</v>
      </c>
      <c r="F1649" s="3" t="s">
        <v>5013</v>
      </c>
      <c r="G1649" s="3" t="s">
        <v>7550</v>
      </c>
      <c r="H1649" s="3" t="s">
        <v>2135</v>
      </c>
      <c r="I1649" s="3" t="s">
        <v>5990</v>
      </c>
      <c r="J1649" s="3" t="s">
        <v>7551</v>
      </c>
      <c r="K1649" s="4" t="b">
        <f>J1649 = "blocking"</f>
        <v>0</v>
      </c>
      <c r="L1649" s="3" t="s">
        <v>1448</v>
      </c>
      <c r="M1649" s="3" t="s">
        <v>7604</v>
      </c>
      <c r="N1649" s="5">
        <v>46223.1297337963</v>
      </c>
      <c r="O1649" s="4" t="b">
        <f>L1649 = "PASS"</f>
        <v>1</v>
      </c>
      <c r="P1649" s="4" t="b">
        <f>L1649 = "FAIL"</f>
        <v>0</v>
      </c>
      <c r="Q1649" s="4" t="b">
        <f>AND(((P1649)=TRUE), ((K1649)=TRUE))</f>
        <v>0</v>
      </c>
      <c r="R1649" s="4" t="str">
        <f>IF(((O1649)=TRUE),  I1649,  "")</f>
        <v>suite-witness</v>
      </c>
      <c r="S1649" s="4" t="str">
        <f>IF(((Q1649)=TRUE),  I1649,  "")</f>
      </c>
      <c r="T1649" s="3" t="s">
        <v>6001</v>
      </c>
    </row>
    <row r="1650">
      <c r="A1650" s="3" t="s">
        <v>8067</v>
      </c>
      <c r="B1650" s="4" t="str">
        <f>C1650 &amp; ": " &amp; D1650</f>
        <v>witness-discriminates: AgentDecisionRecords.WasReviewed</v>
      </c>
      <c r="C1650" s="3" t="s">
        <v>7549</v>
      </c>
      <c r="D1650" s="3" t="s">
        <v>5015</v>
      </c>
      <c r="E1650" s="3" t="s">
        <v>4994</v>
      </c>
      <c r="F1650" s="3" t="s">
        <v>5016</v>
      </c>
      <c r="G1650" s="3" t="s">
        <v>7550</v>
      </c>
      <c r="H1650" s="3" t="s">
        <v>2135</v>
      </c>
      <c r="I1650" s="3" t="s">
        <v>5990</v>
      </c>
      <c r="J1650" s="3" t="s">
        <v>7551</v>
      </c>
      <c r="K1650" s="4" t="b">
        <f>J1650 = "blocking"</f>
        <v>0</v>
      </c>
      <c r="L1650" s="3" t="s">
        <v>1451</v>
      </c>
      <c r="M1650" s="3" t="s">
        <v>7616</v>
      </c>
      <c r="N1650" s="5">
        <v>46223.1297337963</v>
      </c>
      <c r="O1650" s="4" t="b">
        <f>L1650 = "PASS"</f>
        <v>0</v>
      </c>
      <c r="P1650" s="4" t="b">
        <f>L1650 = "FAIL"</f>
        <v>0</v>
      </c>
      <c r="Q1650" s="4" t="b">
        <f>AND(((P1650)=TRUE), ((K1650)=TRUE))</f>
        <v>0</v>
      </c>
      <c r="R1650" s="4" t="str">
        <f>IF(((O1650)=TRUE),  I1650,  "")</f>
      </c>
      <c r="S1650" s="4" t="str">
        <f>IF(((Q1650)=TRUE),  I1650,  "")</f>
      </c>
      <c r="T1650" s="3" t="s">
        <v>6001</v>
      </c>
    </row>
    <row r="1651">
      <c r="A1651" s="3" t="s">
        <v>8068</v>
      </c>
      <c r="B1651" s="4" t="str">
        <f>C1651 &amp; ": " &amp; D1651</f>
        <v>witness-discriminates: AgentDecisionRecords.ViolatedAuthorityBoundary</v>
      </c>
      <c r="C1651" s="3" t="s">
        <v>7549</v>
      </c>
      <c r="D1651" s="3" t="s">
        <v>5040</v>
      </c>
      <c r="E1651" s="3" t="s">
        <v>4994</v>
      </c>
      <c r="F1651" s="3" t="s">
        <v>5041</v>
      </c>
      <c r="G1651" s="3" t="s">
        <v>7550</v>
      </c>
      <c r="H1651" s="3" t="s">
        <v>2167</v>
      </c>
      <c r="I1651" s="3" t="s">
        <v>5990</v>
      </c>
      <c r="J1651" s="3" t="s">
        <v>7551</v>
      </c>
      <c r="K1651" s="4" t="b">
        <f>J1651 = "blocking"</f>
        <v>0</v>
      </c>
      <c r="L1651" s="3" t="s">
        <v>1451</v>
      </c>
      <c r="M1651" s="3" t="s">
        <v>7606</v>
      </c>
      <c r="N1651" s="5">
        <v>46223.1297337963</v>
      </c>
      <c r="O1651" s="4" t="b">
        <f>L1651 = "PASS"</f>
        <v>0</v>
      </c>
      <c r="P1651" s="4" t="b">
        <f>L1651 = "FAIL"</f>
        <v>0</v>
      </c>
      <c r="Q1651" s="4" t="b">
        <f>AND(((P1651)=TRUE), ((K1651)=TRUE))</f>
        <v>0</v>
      </c>
      <c r="R1651" s="4" t="str">
        <f>IF(((O1651)=TRUE),  I1651,  "")</f>
      </c>
      <c r="S1651" s="4" t="str">
        <f>IF(((Q1651)=TRUE),  I1651,  "")</f>
      </c>
      <c r="T1651" s="3" t="s">
        <v>6001</v>
      </c>
    </row>
    <row r="1652">
      <c r="A1652" s="3" t="s">
        <v>8069</v>
      </c>
      <c r="B1652" s="4" t="str">
        <f>C1652 &amp; ": " &amp; D1652</f>
        <v>witness-discriminates: AgentDecisionRecords.HasHumanConfirmation</v>
      </c>
      <c r="C1652" s="3" t="s">
        <v>7549</v>
      </c>
      <c r="D1652" s="3" t="s">
        <v>5046</v>
      </c>
      <c r="E1652" s="3" t="s">
        <v>4994</v>
      </c>
      <c r="F1652" s="3" t="s">
        <v>5047</v>
      </c>
      <c r="G1652" s="3" t="s">
        <v>7550</v>
      </c>
      <c r="H1652" s="3" t="s">
        <v>2171</v>
      </c>
      <c r="I1652" s="3" t="s">
        <v>5990</v>
      </c>
      <c r="J1652" s="3" t="s">
        <v>7551</v>
      </c>
      <c r="K1652" s="4" t="b">
        <f>J1652 = "blocking"</f>
        <v>0</v>
      </c>
      <c r="L1652" s="3" t="s">
        <v>1451</v>
      </c>
      <c r="M1652" s="3" t="s">
        <v>7616</v>
      </c>
      <c r="N1652" s="5">
        <v>46223.1297337963</v>
      </c>
      <c r="O1652" s="4" t="b">
        <f>L1652 = "PASS"</f>
        <v>0</v>
      </c>
      <c r="P1652" s="4" t="b">
        <f>L1652 = "FAIL"</f>
        <v>0</v>
      </c>
      <c r="Q1652" s="4" t="b">
        <f>AND(((P1652)=TRUE), ((K1652)=TRUE))</f>
        <v>0</v>
      </c>
      <c r="R1652" s="4" t="str">
        <f>IF(((O1652)=TRUE),  I1652,  "")</f>
      </c>
      <c r="S1652" s="4" t="str">
        <f>IF(((Q1652)=TRUE),  I1652,  "")</f>
      </c>
      <c r="T1652" s="3" t="s">
        <v>6001</v>
      </c>
    </row>
    <row r="1653">
      <c r="A1653" s="3" t="s">
        <v>8070</v>
      </c>
      <c r="B1653" s="4" t="str">
        <f>C1653 &amp; ": " &amp; D1653</f>
        <v>witness-discriminates: AgentDecisionRecords.NeedsHumanConfirmation</v>
      </c>
      <c r="C1653" s="3" t="s">
        <v>7549</v>
      </c>
      <c r="D1653" s="3" t="s">
        <v>5049</v>
      </c>
      <c r="E1653" s="3" t="s">
        <v>4994</v>
      </c>
      <c r="F1653" s="3" t="s">
        <v>5050</v>
      </c>
      <c r="G1653" s="3" t="s">
        <v>7550</v>
      </c>
      <c r="H1653" s="3" t="s">
        <v>2171</v>
      </c>
      <c r="I1653" s="3" t="s">
        <v>5990</v>
      </c>
      <c r="J1653" s="3" t="s">
        <v>7551</v>
      </c>
      <c r="K1653" s="4" t="b">
        <f>J1653 = "blocking"</f>
        <v>0</v>
      </c>
      <c r="L1653" s="3" t="s">
        <v>1451</v>
      </c>
      <c r="M1653" s="3" t="s">
        <v>7616</v>
      </c>
      <c r="N1653" s="5">
        <v>46223.1297337963</v>
      </c>
      <c r="O1653" s="4" t="b">
        <f>L1653 = "PASS"</f>
        <v>0</v>
      </c>
      <c r="P1653" s="4" t="b">
        <f>L1653 = "FAIL"</f>
        <v>0</v>
      </c>
      <c r="Q1653" s="4" t="b">
        <f>AND(((P1653)=TRUE), ((K1653)=TRUE))</f>
        <v>0</v>
      </c>
      <c r="R1653" s="4" t="str">
        <f>IF(((O1653)=TRUE),  I1653,  "")</f>
      </c>
      <c r="S1653" s="4" t="str">
        <f>IF(((Q1653)=TRUE),  I1653,  "")</f>
      </c>
      <c r="T1653" s="3" t="s">
        <v>6001</v>
      </c>
    </row>
    <row r="1654">
      <c r="A1654" s="3" t="s">
        <v>8071</v>
      </c>
      <c r="B1654" s="4" t="str">
        <f>C1654 &amp; ": " &amp; D1654</f>
        <v>witness-discriminates: AgentDecisionRecords.IsUnconfirmedNonHumanDecision</v>
      </c>
      <c r="C1654" s="3" t="s">
        <v>7549</v>
      </c>
      <c r="D1654" s="3" t="s">
        <v>5052</v>
      </c>
      <c r="E1654" s="3" t="s">
        <v>4994</v>
      </c>
      <c r="F1654" s="3" t="s">
        <v>5053</v>
      </c>
      <c r="G1654" s="3" t="s">
        <v>7550</v>
      </c>
      <c r="H1654" s="3" t="s">
        <v>2171</v>
      </c>
      <c r="I1654" s="3" t="s">
        <v>5990</v>
      </c>
      <c r="J1654" s="3" t="s">
        <v>7551</v>
      </c>
      <c r="K1654" s="4" t="b">
        <f>J1654 = "blocking"</f>
        <v>0</v>
      </c>
      <c r="L1654" s="3" t="s">
        <v>1451</v>
      </c>
      <c r="M1654" s="3" t="s">
        <v>7606</v>
      </c>
      <c r="N1654" s="5">
        <v>46223.1297337963</v>
      </c>
      <c r="O1654" s="4" t="b">
        <f>L1654 = "PASS"</f>
        <v>0</v>
      </c>
      <c r="P1654" s="4" t="b">
        <f>L1654 = "FAIL"</f>
        <v>0</v>
      </c>
      <c r="Q1654" s="4" t="b">
        <f>AND(((P1654)=TRUE), ((K1654)=TRUE))</f>
        <v>0</v>
      </c>
      <c r="R1654" s="4" t="str">
        <f>IF(((O1654)=TRUE),  I1654,  "")</f>
      </c>
      <c r="S1654" s="4" t="str">
        <f>IF(((Q1654)=TRUE),  I1654,  "")</f>
      </c>
      <c r="T1654" s="3" t="s">
        <v>6001</v>
      </c>
    </row>
    <row r="1655">
      <c r="A1655" s="3" t="s">
        <v>8072</v>
      </c>
      <c r="B1655" s="4" t="str">
        <f>C1655 &amp; ": " &amp; D1655</f>
        <v>witness-discriminates: AgentDecisionRecords.IsDraftKind</v>
      </c>
      <c r="C1655" s="3" t="s">
        <v>7549</v>
      </c>
      <c r="D1655" s="3" t="s">
        <v>5064</v>
      </c>
      <c r="E1655" s="3" t="s">
        <v>4994</v>
      </c>
      <c r="F1655" s="3" t="s">
        <v>5065</v>
      </c>
      <c r="G1655" s="3" t="s">
        <v>7550</v>
      </c>
      <c r="H1655" s="3" t="s">
        <v>2191</v>
      </c>
      <c r="I1655" s="3" t="s">
        <v>5990</v>
      </c>
      <c r="J1655" s="3" t="s">
        <v>7551</v>
      </c>
      <c r="K1655" s="4" t="b">
        <f>J1655 = "blocking"</f>
        <v>0</v>
      </c>
      <c r="L1655" s="3" t="s">
        <v>1451</v>
      </c>
      <c r="M1655" s="3" t="s">
        <v>7606</v>
      </c>
      <c r="N1655" s="5">
        <v>46223.1297337963</v>
      </c>
      <c r="O1655" s="4" t="b">
        <f>L1655 = "PASS"</f>
        <v>0</v>
      </c>
      <c r="P1655" s="4" t="b">
        <f>L1655 = "FAIL"</f>
        <v>0</v>
      </c>
      <c r="Q1655" s="4" t="b">
        <f>AND(((P1655)=TRUE), ((K1655)=TRUE))</f>
        <v>0</v>
      </c>
      <c r="R1655" s="4" t="str">
        <f>IF(((O1655)=TRUE),  I1655,  "")</f>
      </c>
      <c r="S1655" s="4" t="str">
        <f>IF(((Q1655)=TRUE),  I1655,  "")</f>
      </c>
      <c r="T1655" s="3" t="s">
        <v>6001</v>
      </c>
    </row>
    <row r="1656">
      <c r="A1656" s="3" t="s">
        <v>8073</v>
      </c>
      <c r="B1656" s="4" t="str">
        <f>C1656 &amp; ": " &amp; D1656</f>
        <v>witness-discriminates: AgentDecisionRecords.IsErrorCorrection</v>
      </c>
      <c r="C1656" s="3" t="s">
        <v>7549</v>
      </c>
      <c r="D1656" s="3" t="s">
        <v>5075</v>
      </c>
      <c r="E1656" s="3" t="s">
        <v>4994</v>
      </c>
      <c r="F1656" s="3" t="s">
        <v>5076</v>
      </c>
      <c r="G1656" s="3" t="s">
        <v>7550</v>
      </c>
      <c r="H1656" s="3" t="s">
        <v>2347</v>
      </c>
      <c r="I1656" s="3" t="s">
        <v>5990</v>
      </c>
      <c r="J1656" s="3" t="s">
        <v>7551</v>
      </c>
      <c r="K1656" s="4" t="b">
        <f>J1656 = "blocking"</f>
        <v>0</v>
      </c>
      <c r="L1656" s="3" t="s">
        <v>1451</v>
      </c>
      <c r="M1656" s="3" t="s">
        <v>7619</v>
      </c>
      <c r="N1656" s="5">
        <v>46223.1297337963</v>
      </c>
      <c r="O1656" s="4" t="b">
        <f>L1656 = "PASS"</f>
        <v>0</v>
      </c>
      <c r="P1656" s="4" t="b">
        <f>L1656 = "FAIL"</f>
        <v>0</v>
      </c>
      <c r="Q1656" s="4" t="b">
        <f>AND(((P1656)=TRUE), ((K1656)=TRUE))</f>
        <v>0</v>
      </c>
      <c r="R1656" s="4" t="str">
        <f>IF(((O1656)=TRUE),  I1656,  "")</f>
      </c>
      <c r="S1656" s="4" t="str">
        <f>IF(((Q1656)=TRUE),  I1656,  "")</f>
      </c>
      <c r="T1656" s="3" t="s">
        <v>6001</v>
      </c>
    </row>
    <row r="1657">
      <c r="A1657" s="3" t="s">
        <v>8074</v>
      </c>
      <c r="B1657" s="4" t="str">
        <f>C1657 &amp; ": " &amp; D1657</f>
        <v>witness-discriminates: AgentDecisionRecords.IsReservedJudgmentOverride</v>
      </c>
      <c r="C1657" s="3" t="s">
        <v>7549</v>
      </c>
      <c r="D1657" s="3" t="s">
        <v>5078</v>
      </c>
      <c r="E1657" s="3" t="s">
        <v>4994</v>
      </c>
      <c r="F1657" s="3" t="s">
        <v>5079</v>
      </c>
      <c r="G1657" s="3" t="s">
        <v>7550</v>
      </c>
      <c r="H1657" s="3" t="s">
        <v>2347</v>
      </c>
      <c r="I1657" s="3" t="s">
        <v>5990</v>
      </c>
      <c r="J1657" s="3" t="s">
        <v>7551</v>
      </c>
      <c r="K1657" s="4" t="b">
        <f>J1657 = "blocking"</f>
        <v>0</v>
      </c>
      <c r="L1657" s="3" t="s">
        <v>1451</v>
      </c>
      <c r="M1657" s="3" t="s">
        <v>7619</v>
      </c>
      <c r="N1657" s="5">
        <v>46223.1297337963</v>
      </c>
      <c r="O1657" s="4" t="b">
        <f>L1657 = "PASS"</f>
        <v>0</v>
      </c>
      <c r="P1657" s="4" t="b">
        <f>L1657 = "FAIL"</f>
        <v>0</v>
      </c>
      <c r="Q1657" s="4" t="b">
        <f>AND(((P1657)=TRUE), ((K1657)=TRUE))</f>
        <v>0</v>
      </c>
      <c r="R1657" s="4" t="str">
        <f>IF(((O1657)=TRUE),  I1657,  "")</f>
      </c>
      <c r="S1657" s="4" t="str">
        <f>IF(((Q1657)=TRUE),  I1657,  "")</f>
      </c>
      <c r="T1657" s="3" t="s">
        <v>6001</v>
      </c>
    </row>
    <row r="1658">
      <c r="A1658" s="3" t="s">
        <v>8075</v>
      </c>
      <c r="B1658" s="4" t="str">
        <f>C1658 &amp; ": " &amp; D1658</f>
        <v>witness-discriminates: AgentDecisionRecords.OverrideReasonIsRecorded</v>
      </c>
      <c r="C1658" s="3" t="s">
        <v>7549</v>
      </c>
      <c r="D1658" s="3" t="s">
        <v>5081</v>
      </c>
      <c r="E1658" s="3" t="s">
        <v>4994</v>
      </c>
      <c r="F1658" s="3" t="s">
        <v>5082</v>
      </c>
      <c r="G1658" s="3" t="s">
        <v>7550</v>
      </c>
      <c r="H1658" s="3" t="s">
        <v>2347</v>
      </c>
      <c r="I1658" s="3" t="s">
        <v>5990</v>
      </c>
      <c r="J1658" s="3" t="s">
        <v>7551</v>
      </c>
      <c r="K1658" s="4" t="b">
        <f>J1658 = "blocking"</f>
        <v>0</v>
      </c>
      <c r="L1658" s="3" t="s">
        <v>1451</v>
      </c>
      <c r="M1658" s="3" t="s">
        <v>7606</v>
      </c>
      <c r="N1658" s="5">
        <v>46223.1297337963</v>
      </c>
      <c r="O1658" s="4" t="b">
        <f>L1658 = "PASS"</f>
        <v>0</v>
      </c>
      <c r="P1658" s="4" t="b">
        <f>L1658 = "FAIL"</f>
        <v>0</v>
      </c>
      <c r="Q1658" s="4" t="b">
        <f>AND(((P1658)=TRUE), ((K1658)=TRUE))</f>
        <v>0</v>
      </c>
      <c r="R1658" s="4" t="str">
        <f>IF(((O1658)=TRUE),  I1658,  "")</f>
      </c>
      <c r="S1658" s="4" t="str">
        <f>IF(((Q1658)=TRUE),  I1658,  "")</f>
      </c>
      <c r="T1658" s="3" t="s">
        <v>6001</v>
      </c>
    </row>
    <row r="1659">
      <c r="A1659" s="3" t="s">
        <v>8076</v>
      </c>
      <c r="B1659" s="4" t="str">
        <f>C1659 &amp; ": " &amp; D1659</f>
        <v>witness-discriminates: AgentDecisionRecords.IsUnexplainedOverride</v>
      </c>
      <c r="C1659" s="3" t="s">
        <v>7549</v>
      </c>
      <c r="D1659" s="3" t="s">
        <v>5084</v>
      </c>
      <c r="E1659" s="3" t="s">
        <v>4994</v>
      </c>
      <c r="F1659" s="3" t="s">
        <v>5085</v>
      </c>
      <c r="G1659" s="3" t="s">
        <v>7550</v>
      </c>
      <c r="H1659" s="3" t="s">
        <v>2347</v>
      </c>
      <c r="I1659" s="3" t="s">
        <v>5990</v>
      </c>
      <c r="J1659" s="3" t="s">
        <v>7551</v>
      </c>
      <c r="K1659" s="4" t="b">
        <f>J1659 = "blocking"</f>
        <v>0</v>
      </c>
      <c r="L1659" s="3" t="s">
        <v>1448</v>
      </c>
      <c r="M1659" s="3" t="s">
        <v>7604</v>
      </c>
      <c r="N1659" s="5">
        <v>46223.1297337963</v>
      </c>
      <c r="O1659" s="4" t="b">
        <f>L1659 = "PASS"</f>
        <v>1</v>
      </c>
      <c r="P1659" s="4" t="b">
        <f>L1659 = "FAIL"</f>
        <v>0</v>
      </c>
      <c r="Q1659" s="4" t="b">
        <f>AND(((P1659)=TRUE), ((K1659)=TRUE))</f>
        <v>0</v>
      </c>
      <c r="R1659" s="4" t="str">
        <f>IF(((O1659)=TRUE),  I1659,  "")</f>
        <v>suite-witness</v>
      </c>
      <c r="S1659" s="4" t="str">
        <f>IF(((Q1659)=TRUE),  I1659,  "")</f>
      </c>
      <c r="T1659" s="3" t="s">
        <v>6001</v>
      </c>
    </row>
    <row r="1660">
      <c r="A1660" s="3" t="s">
        <v>8077</v>
      </c>
      <c r="B1660" s="4" t="str">
        <f>C1660 &amp; ": " &amp; D1660</f>
        <v>witness-discriminates: DeliveredCommunications.HasAuthorization</v>
      </c>
      <c r="C1660" s="3" t="s">
        <v>7549</v>
      </c>
      <c r="D1660" s="3" t="s">
        <v>5115</v>
      </c>
      <c r="E1660" s="3" t="s">
        <v>5095</v>
      </c>
      <c r="F1660" s="3" t="s">
        <v>5116</v>
      </c>
      <c r="G1660" s="3" t="s">
        <v>7550</v>
      </c>
      <c r="H1660" s="3"/>
      <c r="I1660" s="3" t="s">
        <v>5990</v>
      </c>
      <c r="J1660" s="3" t="s">
        <v>7551</v>
      </c>
      <c r="K1660" s="4" t="b">
        <f>J1660 = "blocking"</f>
        <v>0</v>
      </c>
      <c r="L1660" s="3" t="s">
        <v>1451</v>
      </c>
      <c r="M1660" s="3" t="s">
        <v>7929</v>
      </c>
      <c r="N1660" s="5">
        <v>46223.1297337963</v>
      </c>
      <c r="O1660" s="4" t="b">
        <f>L1660 = "PASS"</f>
        <v>0</v>
      </c>
      <c r="P1660" s="4" t="b">
        <f>L1660 = "FAIL"</f>
        <v>0</v>
      </c>
      <c r="Q1660" s="4" t="b">
        <f>AND(((P1660)=TRUE), ((K1660)=TRUE))</f>
        <v>0</v>
      </c>
      <c r="R1660" s="4" t="str">
        <f>IF(((O1660)=TRUE),  I1660,  "")</f>
      </c>
      <c r="S1660" s="4" t="str">
        <f>IF(((Q1660)=TRUE),  I1660,  "")</f>
      </c>
      <c r="T1660" s="3" t="s">
        <v>6001</v>
      </c>
    </row>
    <row r="1661">
      <c r="A1661" s="3" t="s">
        <v>8078</v>
      </c>
      <c r="B1661" s="4" t="str">
        <f>C1661 &amp; ": " &amp; D1661</f>
        <v>witness-discriminates: DeliveredCommunications.ContentMatchesApproval</v>
      </c>
      <c r="C1661" s="3" t="s">
        <v>7549</v>
      </c>
      <c r="D1661" s="3" t="s">
        <v>5118</v>
      </c>
      <c r="E1661" s="3" t="s">
        <v>5095</v>
      </c>
      <c r="F1661" s="3" t="s">
        <v>5119</v>
      </c>
      <c r="G1661" s="3" t="s">
        <v>7550</v>
      </c>
      <c r="H1661" s="3"/>
      <c r="I1661" s="3" t="s">
        <v>5990</v>
      </c>
      <c r="J1661" s="3" t="s">
        <v>7551</v>
      </c>
      <c r="K1661" s="4" t="b">
        <f>J1661 = "blocking"</f>
        <v>0</v>
      </c>
      <c r="L1661" s="3" t="s">
        <v>1451</v>
      </c>
      <c r="M1661" s="3" t="s">
        <v>8079</v>
      </c>
      <c r="N1661" s="5">
        <v>46223.1297337963</v>
      </c>
      <c r="O1661" s="4" t="b">
        <f>L1661 = "PASS"</f>
        <v>0</v>
      </c>
      <c r="P1661" s="4" t="b">
        <f>L1661 = "FAIL"</f>
        <v>0</v>
      </c>
      <c r="Q1661" s="4" t="b">
        <f>AND(((P1661)=TRUE), ((K1661)=TRUE))</f>
        <v>0</v>
      </c>
      <c r="R1661" s="4" t="str">
        <f>IF(((O1661)=TRUE),  I1661,  "")</f>
      </c>
      <c r="S1661" s="4" t="str">
        <f>IF(((Q1661)=TRUE),  I1661,  "")</f>
      </c>
      <c r="T1661" s="3" t="s">
        <v>6001</v>
      </c>
    </row>
    <row r="1662">
      <c r="A1662" s="3" t="s">
        <v>8080</v>
      </c>
      <c r="B1662" s="4" t="str">
        <f>C1662 &amp; ": " &amp; D1662</f>
        <v>witness-discriminates: DeliveredCommunications.WasApprovedBeforeSending</v>
      </c>
      <c r="C1662" s="3" t="s">
        <v>7549</v>
      </c>
      <c r="D1662" s="3" t="s">
        <v>5124</v>
      </c>
      <c r="E1662" s="3" t="s">
        <v>5095</v>
      </c>
      <c r="F1662" s="3" t="s">
        <v>5125</v>
      </c>
      <c r="G1662" s="3" t="s">
        <v>7550</v>
      </c>
      <c r="H1662" s="3"/>
      <c r="I1662" s="3" t="s">
        <v>5990</v>
      </c>
      <c r="J1662" s="3" t="s">
        <v>7551</v>
      </c>
      <c r="K1662" s="4" t="b">
        <f>J1662 = "blocking"</f>
        <v>0</v>
      </c>
      <c r="L1662" s="3" t="s">
        <v>1451</v>
      </c>
      <c r="M1662" s="3" t="s">
        <v>8079</v>
      </c>
      <c r="N1662" s="5">
        <v>46223.1297337963</v>
      </c>
      <c r="O1662" s="4" t="b">
        <f>L1662 = "PASS"</f>
        <v>0</v>
      </c>
      <c r="P1662" s="4" t="b">
        <f>L1662 = "FAIL"</f>
        <v>0</v>
      </c>
      <c r="Q1662" s="4" t="b">
        <f>AND(((P1662)=TRUE), ((K1662)=TRUE))</f>
        <v>0</v>
      </c>
      <c r="R1662" s="4" t="str">
        <f>IF(((O1662)=TRUE),  I1662,  "")</f>
      </c>
      <c r="S1662" s="4" t="str">
        <f>IF(((Q1662)=TRUE),  I1662,  "")</f>
      </c>
      <c r="T1662" s="3" t="s">
        <v>6001</v>
      </c>
    </row>
    <row r="1663">
      <c r="A1663" s="3" t="s">
        <v>8081</v>
      </c>
      <c r="B1663" s="4" t="str">
        <f>C1663 &amp; ": " &amp; D1663</f>
        <v>witness-discriminates: DeliveredCommunications.IsDefensible</v>
      </c>
      <c r="C1663" s="3" t="s">
        <v>7549</v>
      </c>
      <c r="D1663" s="3" t="s">
        <v>5127</v>
      </c>
      <c r="E1663" s="3" t="s">
        <v>5095</v>
      </c>
      <c r="F1663" s="3" t="s">
        <v>5128</v>
      </c>
      <c r="G1663" s="3" t="s">
        <v>7550</v>
      </c>
      <c r="H1663" s="3"/>
      <c r="I1663" s="3" t="s">
        <v>5990</v>
      </c>
      <c r="J1663" s="3" t="s">
        <v>7551</v>
      </c>
      <c r="K1663" s="4" t="b">
        <f>J1663 = "blocking"</f>
        <v>0</v>
      </c>
      <c r="L1663" s="3" t="s">
        <v>1451</v>
      </c>
      <c r="M1663" s="3" t="s">
        <v>7929</v>
      </c>
      <c r="N1663" s="5">
        <v>46223.1297337963</v>
      </c>
      <c r="O1663" s="4" t="b">
        <f>L1663 = "PASS"</f>
        <v>0</v>
      </c>
      <c r="P1663" s="4" t="b">
        <f>L1663 = "FAIL"</f>
        <v>0</v>
      </c>
      <c r="Q1663" s="4" t="b">
        <f>AND(((P1663)=TRUE), ((K1663)=TRUE))</f>
        <v>0</v>
      </c>
      <c r="R1663" s="4" t="str">
        <f>IF(((O1663)=TRUE),  I1663,  "")</f>
      </c>
      <c r="S1663" s="4" t="str">
        <f>IF(((Q1663)=TRUE),  I1663,  "")</f>
      </c>
      <c r="T1663" s="3" t="s">
        <v>6001</v>
      </c>
    </row>
    <row r="1664">
      <c r="A1664" s="3" t="s">
        <v>8082</v>
      </c>
      <c r="B1664" s="4" t="str">
        <f>C1664 &amp; ": " &amp; D1664</f>
        <v>witness-discriminates: AuthorityBoundaries.IsCurrentlyBinding</v>
      </c>
      <c r="C1664" s="3" t="s">
        <v>7549</v>
      </c>
      <c r="D1664" s="3" t="s">
        <v>5150</v>
      </c>
      <c r="E1664" s="3" t="s">
        <v>5131</v>
      </c>
      <c r="F1664" s="3" t="s">
        <v>5151</v>
      </c>
      <c r="G1664" s="3" t="s">
        <v>7550</v>
      </c>
      <c r="H1664" s="3" t="s">
        <v>2167</v>
      </c>
      <c r="I1664" s="3" t="s">
        <v>5990</v>
      </c>
      <c r="J1664" s="3" t="s">
        <v>7551</v>
      </c>
      <c r="K1664" s="4" t="b">
        <f>J1664 = "blocking"</f>
        <v>0</v>
      </c>
      <c r="L1664" s="3" t="s">
        <v>1451</v>
      </c>
      <c r="M1664" s="3" t="s">
        <v>7616</v>
      </c>
      <c r="N1664" s="5">
        <v>46223.1297337963</v>
      </c>
      <c r="O1664" s="4" t="b">
        <f>L1664 = "PASS"</f>
        <v>0</v>
      </c>
      <c r="P1664" s="4" t="b">
        <f>L1664 = "FAIL"</f>
        <v>0</v>
      </c>
      <c r="Q1664" s="4" t="b">
        <f>AND(((P1664)=TRUE), ((K1664)=TRUE))</f>
        <v>0</v>
      </c>
      <c r="R1664" s="4" t="str">
        <f>IF(((O1664)=TRUE),  I1664,  "")</f>
      </c>
      <c r="S1664" s="4" t="str">
        <f>IF(((Q1664)=TRUE),  I1664,  "")</f>
      </c>
      <c r="T1664" s="3" t="s">
        <v>6001</v>
      </c>
    </row>
    <row r="1665">
      <c r="A1665" s="3" t="s">
        <v>8083</v>
      </c>
      <c r="B1665" s="4" t="str">
        <f>C1665 &amp; ": " &amp; D1665</f>
        <v>witness-discriminates: AuthorityBoundaries.RatifyingFragmentIsValid</v>
      </c>
      <c r="C1665" s="3" t="s">
        <v>7549</v>
      </c>
      <c r="D1665" s="3" t="s">
        <v>5153</v>
      </c>
      <c r="E1665" s="3" t="s">
        <v>5131</v>
      </c>
      <c r="F1665" s="3" t="s">
        <v>5154</v>
      </c>
      <c r="G1665" s="3" t="s">
        <v>7550</v>
      </c>
      <c r="H1665" s="3" t="s">
        <v>2167</v>
      </c>
      <c r="I1665" s="3" t="s">
        <v>5990</v>
      </c>
      <c r="J1665" s="3" t="s">
        <v>7551</v>
      </c>
      <c r="K1665" s="4" t="b">
        <f>J1665 = "blocking"</f>
        <v>0</v>
      </c>
      <c r="L1665" s="3" t="s">
        <v>1451</v>
      </c>
      <c r="M1665" s="3" t="s">
        <v>8084</v>
      </c>
      <c r="N1665" s="5">
        <v>46223.1297337963</v>
      </c>
      <c r="O1665" s="4" t="b">
        <f>L1665 = "PASS"</f>
        <v>0</v>
      </c>
      <c r="P1665" s="4" t="b">
        <f>L1665 = "FAIL"</f>
        <v>0</v>
      </c>
      <c r="Q1665" s="4" t="b">
        <f>AND(((P1665)=TRUE), ((K1665)=TRUE))</f>
        <v>0</v>
      </c>
      <c r="R1665" s="4" t="str">
        <f>IF(((O1665)=TRUE),  I1665,  "")</f>
      </c>
      <c r="S1665" s="4" t="str">
        <f>IF(((Q1665)=TRUE),  I1665,  "")</f>
      </c>
      <c r="T1665" s="3" t="s">
        <v>6001</v>
      </c>
    </row>
    <row r="1666">
      <c r="A1666" s="3" t="s">
        <v>8085</v>
      </c>
      <c r="B1666" s="4" t="str">
        <f>C1666 &amp; ": " &amp; D1666</f>
        <v>witness-discriminates: AuthorityBoundaries.IsUntested</v>
      </c>
      <c r="C1666" s="3" t="s">
        <v>7549</v>
      </c>
      <c r="D1666" s="3" t="s">
        <v>5164</v>
      </c>
      <c r="E1666" s="3" t="s">
        <v>5131</v>
      </c>
      <c r="F1666" s="3" t="s">
        <v>5165</v>
      </c>
      <c r="G1666" s="3" t="s">
        <v>7550</v>
      </c>
      <c r="H1666" s="3" t="s">
        <v>2187</v>
      </c>
      <c r="I1666" s="3" t="s">
        <v>5990</v>
      </c>
      <c r="J1666" s="3" t="s">
        <v>7551</v>
      </c>
      <c r="K1666" s="4" t="b">
        <f>J1666 = "blocking"</f>
        <v>0</v>
      </c>
      <c r="L1666" s="3" t="s">
        <v>1451</v>
      </c>
      <c r="M1666" s="3" t="s">
        <v>7616</v>
      </c>
      <c r="N1666" s="5">
        <v>46223.1297337963</v>
      </c>
      <c r="O1666" s="4" t="b">
        <f>L1666 = "PASS"</f>
        <v>0</v>
      </c>
      <c r="P1666" s="4" t="b">
        <f>L1666 = "FAIL"</f>
        <v>0</v>
      </c>
      <c r="Q1666" s="4" t="b">
        <f>AND(((P1666)=TRUE), ((K1666)=TRUE))</f>
        <v>0</v>
      </c>
      <c r="R1666" s="4" t="str">
        <f>IF(((O1666)=TRUE),  I1666,  "")</f>
      </c>
      <c r="S1666" s="4" t="str">
        <f>IF(((Q1666)=TRUE),  I1666,  "")</f>
      </c>
      <c r="T1666" s="3" t="s">
        <v>6001</v>
      </c>
    </row>
    <row r="1667">
      <c r="A1667" s="3" t="s">
        <v>8086</v>
      </c>
      <c r="B1667" s="4" t="str">
        <f>C1667 &amp; ": " &amp; D1667</f>
        <v>witness-discriminates: AuthorityBoundaries.HasRatifyingFragment</v>
      </c>
      <c r="C1667" s="3" t="s">
        <v>7549</v>
      </c>
      <c r="D1667" s="3" t="s">
        <v>5167</v>
      </c>
      <c r="E1667" s="3" t="s">
        <v>5131</v>
      </c>
      <c r="F1667" s="3" t="s">
        <v>5168</v>
      </c>
      <c r="G1667" s="3" t="s">
        <v>7550</v>
      </c>
      <c r="H1667" s="3"/>
      <c r="I1667" s="3" t="s">
        <v>5990</v>
      </c>
      <c r="J1667" s="3" t="s">
        <v>7551</v>
      </c>
      <c r="K1667" s="4" t="b">
        <f>J1667 = "blocking"</f>
        <v>0</v>
      </c>
      <c r="L1667" s="3" t="s">
        <v>1448</v>
      </c>
      <c r="M1667" s="3" t="s">
        <v>7608</v>
      </c>
      <c r="N1667" s="5">
        <v>46223.1297337963</v>
      </c>
      <c r="O1667" s="4" t="b">
        <f>L1667 = "PASS"</f>
        <v>1</v>
      </c>
      <c r="P1667" s="4" t="b">
        <f>L1667 = "FAIL"</f>
        <v>0</v>
      </c>
      <c r="Q1667" s="4" t="b">
        <f>AND(((P1667)=TRUE), ((K1667)=TRUE))</f>
        <v>0</v>
      </c>
      <c r="R1667" s="4" t="str">
        <f>IF(((O1667)=TRUE),  I1667,  "")</f>
        <v>suite-witness</v>
      </c>
      <c r="S1667" s="4" t="str">
        <f>IF(((Q1667)=TRUE),  I1667,  "")</f>
      </c>
      <c r="T1667" s="3" t="s">
        <v>6001</v>
      </c>
    </row>
    <row r="1668">
      <c r="A1668" s="3" t="s">
        <v>8087</v>
      </c>
      <c r="B1668" s="4" t="str">
        <f>C1668 &amp; ": " &amp; D1668</f>
        <v>witness-discriminates: AuthorityBoundaries.IsUnwarranted</v>
      </c>
      <c r="C1668" s="3" t="s">
        <v>7549</v>
      </c>
      <c r="D1668" s="3" t="s">
        <v>5170</v>
      </c>
      <c r="E1668" s="3" t="s">
        <v>5131</v>
      </c>
      <c r="F1668" s="3" t="s">
        <v>5171</v>
      </c>
      <c r="G1668" s="3" t="s">
        <v>7550</v>
      </c>
      <c r="H1668" s="3" t="s">
        <v>2203</v>
      </c>
      <c r="I1668" s="3" t="s">
        <v>5990</v>
      </c>
      <c r="J1668" s="3" t="s">
        <v>7551</v>
      </c>
      <c r="K1668" s="4" t="b">
        <f>J1668 = "blocking"</f>
        <v>0</v>
      </c>
      <c r="L1668" s="3" t="s">
        <v>1448</v>
      </c>
      <c r="M1668" s="3" t="s">
        <v>7604</v>
      </c>
      <c r="N1668" s="5">
        <v>46223.1297337963</v>
      </c>
      <c r="O1668" s="4" t="b">
        <f>L1668 = "PASS"</f>
        <v>1</v>
      </c>
      <c r="P1668" s="4" t="b">
        <f>L1668 = "FAIL"</f>
        <v>0</v>
      </c>
      <c r="Q1668" s="4" t="b">
        <f>AND(((P1668)=TRUE), ((K1668)=TRUE))</f>
        <v>0</v>
      </c>
      <c r="R1668" s="4" t="str">
        <f>IF(((O1668)=TRUE),  I1668,  "")</f>
        <v>suite-witness</v>
      </c>
      <c r="S1668" s="4" t="str">
        <f>IF(((Q1668)=TRUE),  I1668,  "")</f>
      </c>
      <c r="T1668" s="3" t="s">
        <v>6001</v>
      </c>
    </row>
    <row r="1669">
      <c r="A1669" s="3" t="s">
        <v>8088</v>
      </c>
      <c r="B1669" s="4" t="str">
        <f>C1669 &amp; ": " &amp; D1669</f>
        <v>witness-discriminates: AuthorityBoundaries.RatifyingFragmentIsOverdue</v>
      </c>
      <c r="C1669" s="3" t="s">
        <v>7549</v>
      </c>
      <c r="D1669" s="3" t="s">
        <v>5173</v>
      </c>
      <c r="E1669" s="3" t="s">
        <v>5131</v>
      </c>
      <c r="F1669" s="3" t="s">
        <v>5174</v>
      </c>
      <c r="G1669" s="3" t="s">
        <v>7550</v>
      </c>
      <c r="H1669" s="3" t="s">
        <v>2203</v>
      </c>
      <c r="I1669" s="3" t="s">
        <v>5990</v>
      </c>
      <c r="J1669" s="3" t="s">
        <v>7551</v>
      </c>
      <c r="K1669" s="4" t="b">
        <f>J1669 = "blocking"</f>
        <v>0</v>
      </c>
      <c r="L1669" s="3" t="s">
        <v>1451</v>
      </c>
      <c r="M1669" s="3" t="s">
        <v>8084</v>
      </c>
      <c r="N1669" s="5">
        <v>46223.1297337963</v>
      </c>
      <c r="O1669" s="4" t="b">
        <f>L1669 = "PASS"</f>
        <v>0</v>
      </c>
      <c r="P1669" s="4" t="b">
        <f>L1669 = "FAIL"</f>
        <v>0</v>
      </c>
      <c r="Q1669" s="4" t="b">
        <f>AND(((P1669)=TRUE), ((K1669)=TRUE))</f>
        <v>0</v>
      </c>
      <c r="R1669" s="4" t="str">
        <f>IF(((O1669)=TRUE),  I1669,  "")</f>
      </c>
      <c r="S1669" s="4" t="str">
        <f>IF(((Q1669)=TRUE),  I1669,  "")</f>
      </c>
      <c r="T1669" s="3" t="s">
        <v>6001</v>
      </c>
    </row>
    <row r="1670">
      <c r="A1670" s="3" t="s">
        <v>8089</v>
      </c>
      <c r="B1670" s="4" t="str">
        <f>C1670 &amp; ": " &amp; D1670</f>
        <v>witness-discriminates: AuthorityBoundaries.RatifyingFragmentIsSingleWitness</v>
      </c>
      <c r="C1670" s="3" t="s">
        <v>7549</v>
      </c>
      <c r="D1670" s="3" t="s">
        <v>5176</v>
      </c>
      <c r="E1670" s="3" t="s">
        <v>5131</v>
      </c>
      <c r="F1670" s="3" t="s">
        <v>5177</v>
      </c>
      <c r="G1670" s="3" t="s">
        <v>7550</v>
      </c>
      <c r="H1670" s="3" t="s">
        <v>2203</v>
      </c>
      <c r="I1670" s="3" t="s">
        <v>5990</v>
      </c>
      <c r="J1670" s="3" t="s">
        <v>7551</v>
      </c>
      <c r="K1670" s="4" t="b">
        <f>J1670 = "blocking"</f>
        <v>0</v>
      </c>
      <c r="L1670" s="3" t="s">
        <v>1451</v>
      </c>
      <c r="M1670" s="3" t="s">
        <v>8084</v>
      </c>
      <c r="N1670" s="5">
        <v>46223.1297337963</v>
      </c>
      <c r="O1670" s="4" t="b">
        <f>L1670 = "PASS"</f>
        <v>0</v>
      </c>
      <c r="P1670" s="4" t="b">
        <f>L1670 = "FAIL"</f>
        <v>0</v>
      </c>
      <c r="Q1670" s="4" t="b">
        <f>AND(((P1670)=TRUE), ((K1670)=TRUE))</f>
        <v>0</v>
      </c>
      <c r="R1670" s="4" t="str">
        <f>IF(((O1670)=TRUE),  I1670,  "")</f>
      </c>
      <c r="S1670" s="4" t="str">
        <f>IF(((Q1670)=TRUE),  I1670,  "")</f>
      </c>
      <c r="T1670" s="3" t="s">
        <v>6001</v>
      </c>
    </row>
    <row r="1671">
      <c r="A1671" s="3" t="s">
        <v>8090</v>
      </c>
      <c r="B1671" s="4" t="str">
        <f>C1671 &amp; ": " &amp; D1671</f>
        <v>witness-discriminates: AuthorityBoundaries.WarrantIsThin</v>
      </c>
      <c r="C1671" s="3" t="s">
        <v>7549</v>
      </c>
      <c r="D1671" s="3" t="s">
        <v>5179</v>
      </c>
      <c r="E1671" s="3" t="s">
        <v>5131</v>
      </c>
      <c r="F1671" s="3" t="s">
        <v>5180</v>
      </c>
      <c r="G1671" s="3" t="s">
        <v>7550</v>
      </c>
      <c r="H1671" s="3" t="s">
        <v>2203</v>
      </c>
      <c r="I1671" s="3" t="s">
        <v>5990</v>
      </c>
      <c r="J1671" s="3" t="s">
        <v>7551</v>
      </c>
      <c r="K1671" s="4" t="b">
        <f>J1671 = "blocking"</f>
        <v>0</v>
      </c>
      <c r="L1671" s="3" t="s">
        <v>1451</v>
      </c>
      <c r="M1671" s="3" t="s">
        <v>8084</v>
      </c>
      <c r="N1671" s="5">
        <v>46223.1297337963</v>
      </c>
      <c r="O1671" s="4" t="b">
        <f>L1671 = "PASS"</f>
        <v>0</v>
      </c>
      <c r="P1671" s="4" t="b">
        <f>L1671 = "FAIL"</f>
        <v>0</v>
      </c>
      <c r="Q1671" s="4" t="b">
        <f>AND(((P1671)=TRUE), ((K1671)=TRUE))</f>
        <v>0</v>
      </c>
      <c r="R1671" s="4" t="str">
        <f>IF(((O1671)=TRUE),  I1671,  "")</f>
      </c>
      <c r="S1671" s="4" t="str">
        <f>IF(((Q1671)=TRUE),  I1671,  "")</f>
      </c>
      <c r="T1671" s="3" t="s">
        <v>6001</v>
      </c>
    </row>
    <row r="1672">
      <c r="A1672" s="3" t="s">
        <v>8091</v>
      </c>
      <c r="B1672" s="4" t="str">
        <f>C1672 &amp; ": " &amp; D1672</f>
        <v>witness-discriminates: AuthorityBoundaries.IsUnwarrantedAndUntested</v>
      </c>
      <c r="C1672" s="3" t="s">
        <v>7549</v>
      </c>
      <c r="D1672" s="3" t="s">
        <v>5182</v>
      </c>
      <c r="E1672" s="3" t="s">
        <v>5131</v>
      </c>
      <c r="F1672" s="3" t="s">
        <v>5183</v>
      </c>
      <c r="G1672" s="3" t="s">
        <v>7550</v>
      </c>
      <c r="H1672" s="3" t="s">
        <v>2203</v>
      </c>
      <c r="I1672" s="3" t="s">
        <v>5990</v>
      </c>
      <c r="J1672" s="3" t="s">
        <v>7551</v>
      </c>
      <c r="K1672" s="4" t="b">
        <f>J1672 = "blocking"</f>
        <v>0</v>
      </c>
      <c r="L1672" s="3" t="s">
        <v>1448</v>
      </c>
      <c r="M1672" s="3" t="s">
        <v>7604</v>
      </c>
      <c r="N1672" s="5">
        <v>46223.1297337963</v>
      </c>
      <c r="O1672" s="4" t="b">
        <f>L1672 = "PASS"</f>
        <v>1</v>
      </c>
      <c r="P1672" s="4" t="b">
        <f>L1672 = "FAIL"</f>
        <v>0</v>
      </c>
      <c r="Q1672" s="4" t="b">
        <f>AND(((P1672)=TRUE), ((K1672)=TRUE))</f>
        <v>0</v>
      </c>
      <c r="R1672" s="4" t="str">
        <f>IF(((O1672)=TRUE),  I1672,  "")</f>
        <v>suite-witness</v>
      </c>
      <c r="S1672" s="4" t="str">
        <f>IF(((Q1672)=TRUE),  I1672,  "")</f>
      </c>
      <c r="T1672" s="3" t="s">
        <v>6001</v>
      </c>
    </row>
    <row r="1673">
      <c r="A1673" s="3" t="s">
        <v>8092</v>
      </c>
      <c r="B1673" s="4" t="str">
        <f>C1673 &amp; ": " &amp; D1673</f>
        <v>witness-discriminates: AuthorityBoundaries.RatificationLapsed</v>
      </c>
      <c r="C1673" s="3" t="s">
        <v>7549</v>
      </c>
      <c r="D1673" s="3" t="s">
        <v>5194</v>
      </c>
      <c r="E1673" s="3" t="s">
        <v>5131</v>
      </c>
      <c r="F1673" s="3" t="s">
        <v>5195</v>
      </c>
      <c r="G1673" s="3" t="s">
        <v>7550</v>
      </c>
      <c r="H1673" s="3" t="s">
        <v>2343</v>
      </c>
      <c r="I1673" s="3" t="s">
        <v>5990</v>
      </c>
      <c r="J1673" s="3" t="s">
        <v>7551</v>
      </c>
      <c r="K1673" s="4" t="b">
        <f>J1673 = "blocking"</f>
        <v>0</v>
      </c>
      <c r="L1673" s="3" t="s">
        <v>1451</v>
      </c>
      <c r="M1673" s="3" t="s">
        <v>7606</v>
      </c>
      <c r="N1673" s="5">
        <v>46223.1297337963</v>
      </c>
      <c r="O1673" s="4" t="b">
        <f>L1673 = "PASS"</f>
        <v>0</v>
      </c>
      <c r="P1673" s="4" t="b">
        <f>L1673 = "FAIL"</f>
        <v>0</v>
      </c>
      <c r="Q1673" s="4" t="b">
        <f>AND(((P1673)=TRUE), ((K1673)=TRUE))</f>
        <v>0</v>
      </c>
      <c r="R1673" s="4" t="str">
        <f>IF(((O1673)=TRUE),  I1673,  "")</f>
      </c>
      <c r="S1673" s="4" t="str">
        <f>IF(((Q1673)=TRUE),  I1673,  "")</f>
      </c>
      <c r="T1673" s="3" t="s">
        <v>6001</v>
      </c>
    </row>
    <row r="1674">
      <c r="A1674" s="3" t="s">
        <v>8093</v>
      </c>
      <c r="B1674" s="4" t="str">
        <f>C1674 &amp; ": " &amp; D1674</f>
        <v>witness-discriminates: AuthorityBoundaries.BindsDespiteLapsedRatification</v>
      </c>
      <c r="C1674" s="3" t="s">
        <v>7549</v>
      </c>
      <c r="D1674" s="3" t="s">
        <v>5197</v>
      </c>
      <c r="E1674" s="3" t="s">
        <v>5131</v>
      </c>
      <c r="F1674" s="3" t="s">
        <v>5198</v>
      </c>
      <c r="G1674" s="3" t="s">
        <v>7550</v>
      </c>
      <c r="H1674" s="3" t="s">
        <v>2343</v>
      </c>
      <c r="I1674" s="3" t="s">
        <v>5990</v>
      </c>
      <c r="J1674" s="3" t="s">
        <v>7551</v>
      </c>
      <c r="K1674" s="4" t="b">
        <f>J1674 = "blocking"</f>
        <v>0</v>
      </c>
      <c r="L1674" s="3" t="s">
        <v>1451</v>
      </c>
      <c r="M1674" s="3" t="s">
        <v>7606</v>
      </c>
      <c r="N1674" s="5">
        <v>46223.1297337963</v>
      </c>
      <c r="O1674" s="4" t="b">
        <f>L1674 = "PASS"</f>
        <v>0</v>
      </c>
      <c r="P1674" s="4" t="b">
        <f>L1674 = "FAIL"</f>
        <v>0</v>
      </c>
      <c r="Q1674" s="4" t="b">
        <f>AND(((P1674)=TRUE), ((K1674)=TRUE))</f>
        <v>0</v>
      </c>
      <c r="R1674" s="4" t="str">
        <f>IF(((O1674)=TRUE),  I1674,  "")</f>
      </c>
      <c r="S1674" s="4" t="str">
        <f>IF(((Q1674)=TRUE),  I1674,  "")</f>
      </c>
      <c r="T1674" s="3" t="s">
        <v>6001</v>
      </c>
    </row>
    <row r="1675">
      <c r="A1675" s="3" t="s">
        <v>8094</v>
      </c>
      <c r="B1675" s="4" t="str">
        <f>C1675 &amp; ": " &amp; D1675</f>
        <v>witness-discriminates: AuthorityBoundaries.IsUngroundedAndUntested</v>
      </c>
      <c r="C1675" s="3" t="s">
        <v>7549</v>
      </c>
      <c r="D1675" s="3" t="s">
        <v>5200</v>
      </c>
      <c r="E1675" s="3" t="s">
        <v>5131</v>
      </c>
      <c r="F1675" s="3" t="s">
        <v>5201</v>
      </c>
      <c r="G1675" s="3" t="s">
        <v>7550</v>
      </c>
      <c r="H1675" s="3" t="s">
        <v>2343</v>
      </c>
      <c r="I1675" s="3" t="s">
        <v>5990</v>
      </c>
      <c r="J1675" s="3" t="s">
        <v>7551</v>
      </c>
      <c r="K1675" s="4" t="b">
        <f>J1675 = "blocking"</f>
        <v>0</v>
      </c>
      <c r="L1675" s="3" t="s">
        <v>1451</v>
      </c>
      <c r="M1675" s="3" t="s">
        <v>7606</v>
      </c>
      <c r="N1675" s="5">
        <v>46223.1297337963</v>
      </c>
      <c r="O1675" s="4" t="b">
        <f>L1675 = "PASS"</f>
        <v>0</v>
      </c>
      <c r="P1675" s="4" t="b">
        <f>L1675 = "FAIL"</f>
        <v>0</v>
      </c>
      <c r="Q1675" s="4" t="b">
        <f>AND(((P1675)=TRUE), ((K1675)=TRUE))</f>
        <v>0</v>
      </c>
      <c r="R1675" s="4" t="str">
        <f>IF(((O1675)=TRUE),  I1675,  "")</f>
      </c>
      <c r="S1675" s="4" t="str">
        <f>IF(((Q1675)=TRUE),  I1675,  "")</f>
      </c>
      <c r="T1675" s="3" t="s">
        <v>6001</v>
      </c>
    </row>
    <row r="1676">
      <c r="A1676" s="3" t="s">
        <v>8095</v>
      </c>
      <c r="B1676" s="4" t="str">
        <f>C1676 &amp; ": " &amp; D1676</f>
        <v>witness-discriminates: BindingObservations.WasStaleAtRun</v>
      </c>
      <c r="C1676" s="3" t="s">
        <v>7549</v>
      </c>
      <c r="D1676" s="3" t="s">
        <v>5225</v>
      </c>
      <c r="E1676" s="3" t="s">
        <v>5208</v>
      </c>
      <c r="F1676" s="3" t="s">
        <v>5226</v>
      </c>
      <c r="G1676" s="3" t="s">
        <v>7550</v>
      </c>
      <c r="H1676" s="3" t="s">
        <v>2263</v>
      </c>
      <c r="I1676" s="3" t="s">
        <v>5990</v>
      </c>
      <c r="J1676" s="3" t="s">
        <v>7551</v>
      </c>
      <c r="K1676" s="4" t="b">
        <f>J1676 = "blocking"</f>
        <v>0</v>
      </c>
      <c r="L1676" s="3" t="s">
        <v>1451</v>
      </c>
      <c r="M1676" s="3" t="s">
        <v>8096</v>
      </c>
      <c r="N1676" s="5">
        <v>46223.1297337963</v>
      </c>
      <c r="O1676" s="4" t="b">
        <f>L1676 = "PASS"</f>
        <v>0</v>
      </c>
      <c r="P1676" s="4" t="b">
        <f>L1676 = "FAIL"</f>
        <v>0</v>
      </c>
      <c r="Q1676" s="4" t="b">
        <f>AND(((P1676)=TRUE), ((K1676)=TRUE))</f>
        <v>0</v>
      </c>
      <c r="R1676" s="4" t="str">
        <f>IF(((O1676)=TRUE),  I1676,  "")</f>
      </c>
      <c r="S1676" s="4" t="str">
        <f>IF(((Q1676)=TRUE),  I1676,  "")</f>
      </c>
      <c r="T1676" s="3" t="s">
        <v>6001</v>
      </c>
    </row>
    <row r="1677">
      <c r="A1677" s="3" t="s">
        <v>8097</v>
      </c>
      <c r="B1677" s="4" t="str">
        <f>C1677 &amp; ": " &amp; D1677</f>
        <v>witness-discriminates: BindingObservations.IsAuthoritativeBinding</v>
      </c>
      <c r="C1677" s="3" t="s">
        <v>7549</v>
      </c>
      <c r="D1677" s="3" t="s">
        <v>5228</v>
      </c>
      <c r="E1677" s="3" t="s">
        <v>5208</v>
      </c>
      <c r="F1677" s="3" t="s">
        <v>5229</v>
      </c>
      <c r="G1677" s="3" t="s">
        <v>7550</v>
      </c>
      <c r="H1677" s="3" t="s">
        <v>2263</v>
      </c>
      <c r="I1677" s="3" t="s">
        <v>5990</v>
      </c>
      <c r="J1677" s="3" t="s">
        <v>7551</v>
      </c>
      <c r="K1677" s="4" t="b">
        <f>J1677 = "blocking"</f>
        <v>0</v>
      </c>
      <c r="L1677" s="3" t="s">
        <v>1451</v>
      </c>
      <c r="M1677" s="3" t="s">
        <v>8096</v>
      </c>
      <c r="N1677" s="5">
        <v>46223.1297337963</v>
      </c>
      <c r="O1677" s="4" t="b">
        <f>L1677 = "PASS"</f>
        <v>0</v>
      </c>
      <c r="P1677" s="4" t="b">
        <f>L1677 = "FAIL"</f>
        <v>0</v>
      </c>
      <c r="Q1677" s="4" t="b">
        <f>AND(((P1677)=TRUE), ((K1677)=TRUE))</f>
        <v>0</v>
      </c>
      <c r="R1677" s="4" t="str">
        <f>IF(((O1677)=TRUE),  I1677,  "")</f>
      </c>
      <c r="S1677" s="4" t="str">
        <f>IF(((Q1677)=TRUE),  I1677,  "")</f>
      </c>
      <c r="T1677" s="3" t="s">
        <v>6001</v>
      </c>
    </row>
    <row r="1678">
      <c r="A1678" s="3" t="s">
        <v>8098</v>
      </c>
      <c r="B1678" s="4" t="str">
        <f>C1678 &amp; ": " &amp; D1678</f>
        <v>witness-discriminates: Attestations.VersionIsFitNow</v>
      </c>
      <c r="C1678" s="3" t="s">
        <v>7549</v>
      </c>
      <c r="D1678" s="3" t="s">
        <v>5248</v>
      </c>
      <c r="E1678" s="3" t="s">
        <v>5235</v>
      </c>
      <c r="F1678" s="3" t="s">
        <v>5249</v>
      </c>
      <c r="G1678" s="3" t="s">
        <v>7550</v>
      </c>
      <c r="H1678" s="3" t="s">
        <v>2303</v>
      </c>
      <c r="I1678" s="3" t="s">
        <v>5990</v>
      </c>
      <c r="J1678" s="3" t="s">
        <v>7551</v>
      </c>
      <c r="K1678" s="4" t="b">
        <f>J1678 = "blocking"</f>
        <v>0</v>
      </c>
      <c r="L1678" s="3" t="s">
        <v>1451</v>
      </c>
      <c r="M1678" s="3" t="s">
        <v>8096</v>
      </c>
      <c r="N1678" s="5">
        <v>46223.1297337963</v>
      </c>
      <c r="O1678" s="4" t="b">
        <f>L1678 = "PASS"</f>
        <v>0</v>
      </c>
      <c r="P1678" s="4" t="b">
        <f>L1678 = "FAIL"</f>
        <v>0</v>
      </c>
      <c r="Q1678" s="4" t="b">
        <f>AND(((P1678)=TRUE), ((K1678)=TRUE))</f>
        <v>0</v>
      </c>
      <c r="R1678" s="4" t="str">
        <f>IF(((O1678)=TRUE),  I1678,  "")</f>
      </c>
      <c r="S1678" s="4" t="str">
        <f>IF(((Q1678)=TRUE),  I1678,  "")</f>
      </c>
      <c r="T1678" s="3" t="s">
        <v>6001</v>
      </c>
    </row>
    <row r="1679">
      <c r="A1679" s="3" t="s">
        <v>8099</v>
      </c>
      <c r="B1679" s="4" t="str">
        <f>C1679 &amp; ": " &amp; D1679</f>
        <v>witness-discriminates: Attestations.FitnessVerdictHasDrifted</v>
      </c>
      <c r="C1679" s="3" t="s">
        <v>7549</v>
      </c>
      <c r="D1679" s="3" t="s">
        <v>5251</v>
      </c>
      <c r="E1679" s="3" t="s">
        <v>5235</v>
      </c>
      <c r="F1679" s="3" t="s">
        <v>5252</v>
      </c>
      <c r="G1679" s="3" t="s">
        <v>7550</v>
      </c>
      <c r="H1679" s="3" t="s">
        <v>2303</v>
      </c>
      <c r="I1679" s="3" t="s">
        <v>5990</v>
      </c>
      <c r="J1679" s="3" t="s">
        <v>7551</v>
      </c>
      <c r="K1679" s="4" t="b">
        <f>J1679 = "blocking"</f>
        <v>0</v>
      </c>
      <c r="L1679" s="3" t="s">
        <v>1451</v>
      </c>
      <c r="M1679" s="3" t="s">
        <v>8096</v>
      </c>
      <c r="N1679" s="5">
        <v>46223.1297337963</v>
      </c>
      <c r="O1679" s="4" t="b">
        <f>L1679 = "PASS"</f>
        <v>0</v>
      </c>
      <c r="P1679" s="4" t="b">
        <f>L1679 = "FAIL"</f>
        <v>0</v>
      </c>
      <c r="Q1679" s="4" t="b">
        <f>AND(((P1679)=TRUE), ((K1679)=TRUE))</f>
        <v>0</v>
      </c>
      <c r="R1679" s="4" t="str">
        <f>IF(((O1679)=TRUE),  I1679,  "")</f>
      </c>
      <c r="S1679" s="4" t="str">
        <f>IF(((Q1679)=TRUE),  I1679,  "")</f>
      </c>
      <c r="T1679" s="3" t="s">
        <v>6001</v>
      </c>
    </row>
    <row r="1680">
      <c r="A1680" s="3" t="s">
        <v>8100</v>
      </c>
      <c r="B1680" s="4" t="str">
        <f>C1680 &amp; ": " &amp; D1680</f>
        <v>witness-discriminates: Attestations.AssuranceGradeHasDrifted</v>
      </c>
      <c r="C1680" s="3" t="s">
        <v>7549</v>
      </c>
      <c r="D1680" s="3" t="s">
        <v>5257</v>
      </c>
      <c r="E1680" s="3" t="s">
        <v>5235</v>
      </c>
      <c r="F1680" s="3" t="s">
        <v>5258</v>
      </c>
      <c r="G1680" s="3" t="s">
        <v>7550</v>
      </c>
      <c r="H1680" s="3" t="s">
        <v>2303</v>
      </c>
      <c r="I1680" s="3" t="s">
        <v>5990</v>
      </c>
      <c r="J1680" s="3" t="s">
        <v>7551</v>
      </c>
      <c r="K1680" s="4" t="b">
        <f>J1680 = "blocking"</f>
        <v>0</v>
      </c>
      <c r="L1680" s="3" t="s">
        <v>1451</v>
      </c>
      <c r="M1680" s="3" t="s">
        <v>8096</v>
      </c>
      <c r="N1680" s="5">
        <v>46223.1297337963</v>
      </c>
      <c r="O1680" s="4" t="b">
        <f>L1680 = "PASS"</f>
        <v>0</v>
      </c>
      <c r="P1680" s="4" t="b">
        <f>L1680 = "FAIL"</f>
        <v>0</v>
      </c>
      <c r="Q1680" s="4" t="b">
        <f>AND(((P1680)=TRUE), ((K1680)=TRUE))</f>
        <v>0</v>
      </c>
      <c r="R1680" s="4" t="str">
        <f>IF(((O1680)=TRUE),  I1680,  "")</f>
      </c>
      <c r="S1680" s="4" t="str">
        <f>IF(((Q1680)=TRUE),  I1680,  "")</f>
      </c>
      <c r="T1680" s="3" t="s">
        <v>6001</v>
      </c>
    </row>
    <row r="1681">
      <c r="A1681" s="3" t="s">
        <v>8101</v>
      </c>
      <c r="B1681" s="4" t="str">
        <f>C1681 &amp; ": " &amp; D1681</f>
        <v>witness-discriminates: Attestations.WouldNotSurviveRestatement</v>
      </c>
      <c r="C1681" s="3" t="s">
        <v>7549</v>
      </c>
      <c r="D1681" s="3" t="s">
        <v>5260</v>
      </c>
      <c r="E1681" s="3" t="s">
        <v>5235</v>
      </c>
      <c r="F1681" s="3" t="s">
        <v>5261</v>
      </c>
      <c r="G1681" s="3" t="s">
        <v>7550</v>
      </c>
      <c r="H1681" s="3" t="s">
        <v>2303</v>
      </c>
      <c r="I1681" s="3" t="s">
        <v>5990</v>
      </c>
      <c r="J1681" s="3" t="s">
        <v>7551</v>
      </c>
      <c r="K1681" s="4" t="b">
        <f>J1681 = "blocking"</f>
        <v>0</v>
      </c>
      <c r="L1681" s="3" t="s">
        <v>1451</v>
      </c>
      <c r="M1681" s="3" t="s">
        <v>8096</v>
      </c>
      <c r="N1681" s="5">
        <v>46223.1297337963</v>
      </c>
      <c r="O1681" s="4" t="b">
        <f>L1681 = "PASS"</f>
        <v>0</v>
      </c>
      <c r="P1681" s="4" t="b">
        <f>L1681 = "FAIL"</f>
        <v>0</v>
      </c>
      <c r="Q1681" s="4" t="b">
        <f>AND(((P1681)=TRUE), ((K1681)=TRUE))</f>
        <v>0</v>
      </c>
      <c r="R1681" s="4" t="str">
        <f>IF(((O1681)=TRUE),  I1681,  "")</f>
      </c>
      <c r="S1681" s="4" t="str">
        <f>IF(((Q1681)=TRUE),  I1681,  "")</f>
      </c>
      <c r="T1681" s="3" t="s">
        <v>6001</v>
      </c>
    </row>
    <row r="1682">
      <c r="A1682" s="3" t="s">
        <v>8102</v>
      </c>
      <c r="B1682" s="4" t="str">
        <f>C1682 &amp; ": " &amp; D1682</f>
        <v>question-answered: q-analyst-blocking-unmet-on-my-step</v>
      </c>
      <c r="C1682" s="3" t="s">
        <v>8103</v>
      </c>
      <c r="D1682" s="3" t="s">
        <v>1958</v>
      </c>
      <c r="E1682" s="3"/>
      <c r="F1682" s="3"/>
      <c r="G1682" s="3" t="s">
        <v>8104</v>
      </c>
      <c r="H1682" s="3" t="s">
        <v>1958</v>
      </c>
      <c r="I1682" s="3" t="s">
        <v>5992</v>
      </c>
      <c r="J1682" s="3" t="s">
        <v>5999</v>
      </c>
      <c r="K1682" s="4" t="b">
        <f>J1682 = "blocking"</f>
        <v>1</v>
      </c>
      <c r="L1682" s="3" t="s">
        <v>1448</v>
      </c>
      <c r="M1682" s="3" t="s">
        <v>8105</v>
      </c>
      <c r="N1682" s="5">
        <v>46223.1297337963</v>
      </c>
      <c r="O1682" s="4" t="b">
        <f>L1682 = "PASS"</f>
        <v>1</v>
      </c>
      <c r="P1682" s="4" t="b">
        <f>L1682 = "FAIL"</f>
        <v>0</v>
      </c>
      <c r="Q1682" s="4" t="b">
        <f>AND(((P1682)=TRUE), ((K1682)=TRUE))</f>
        <v>0</v>
      </c>
      <c r="R1682" s="4" t="str">
        <f>IF(((O1682)=TRUE),  I1682,  "")</f>
        <v>suite-provenance</v>
      </c>
      <c r="S1682" s="4" t="str">
        <f>IF(((Q1682)=TRUE),  I1682,  "")</f>
      </c>
      <c r="T1682" s="3" t="s">
        <v>6001</v>
      </c>
    </row>
    <row r="1683">
      <c r="A1683" s="3" t="s">
        <v>8106</v>
      </c>
      <c r="B1683" s="4" t="str">
        <f>C1683 &amp; ": " &amp; D1683</f>
        <v>question-answered: q-analyst-blocking-never-evaluated</v>
      </c>
      <c r="C1683" s="3" t="s">
        <v>8103</v>
      </c>
      <c r="D1683" s="3" t="s">
        <v>1963</v>
      </c>
      <c r="E1683" s="3"/>
      <c r="F1683" s="3"/>
      <c r="G1683" s="3" t="s">
        <v>8104</v>
      </c>
      <c r="H1683" s="3" t="s">
        <v>1963</v>
      </c>
      <c r="I1683" s="3" t="s">
        <v>5992</v>
      </c>
      <c r="J1683" s="3" t="s">
        <v>5999</v>
      </c>
      <c r="K1683" s="4" t="b">
        <f>J1683 = "blocking"</f>
        <v>1</v>
      </c>
      <c r="L1683" s="3" t="s">
        <v>1448</v>
      </c>
      <c r="M1683" s="3" t="s">
        <v>8107</v>
      </c>
      <c r="N1683" s="5">
        <v>46223.1297337963</v>
      </c>
      <c r="O1683" s="4" t="b">
        <f>L1683 = "PASS"</f>
        <v>1</v>
      </c>
      <c r="P1683" s="4" t="b">
        <f>L1683 = "FAIL"</f>
        <v>0</v>
      </c>
      <c r="Q1683" s="4" t="b">
        <f>AND(((P1683)=TRUE), ((K1683)=TRUE))</f>
        <v>0</v>
      </c>
      <c r="R1683" s="4" t="str">
        <f>IF(((O1683)=TRUE),  I1683,  "")</f>
        <v>suite-provenance</v>
      </c>
      <c r="S1683" s="4" t="str">
        <f>IF(((Q1683)=TRUE),  I1683,  "")</f>
      </c>
      <c r="T1683" s="3" t="s">
        <v>6001</v>
      </c>
    </row>
    <row r="1684">
      <c r="A1684" s="3" t="s">
        <v>8108</v>
      </c>
      <c r="B1684" s="4" t="str">
        <f>C1684 &amp; ": " &amp; D1684</f>
        <v>question-answered: q-analyst-evidence-binding-stale</v>
      </c>
      <c r="C1684" s="3" t="s">
        <v>8103</v>
      </c>
      <c r="D1684" s="3" t="s">
        <v>1967</v>
      </c>
      <c r="E1684" s="3"/>
      <c r="F1684" s="3"/>
      <c r="G1684" s="3" t="s">
        <v>8104</v>
      </c>
      <c r="H1684" s="3" t="s">
        <v>1967</v>
      </c>
      <c r="I1684" s="3" t="s">
        <v>5992</v>
      </c>
      <c r="J1684" s="3" t="s">
        <v>5999</v>
      </c>
      <c r="K1684" s="4" t="b">
        <f>J1684 = "blocking"</f>
        <v>1</v>
      </c>
      <c r="L1684" s="3" t="s">
        <v>1448</v>
      </c>
      <c r="M1684" s="3" t="s">
        <v>8109</v>
      </c>
      <c r="N1684" s="5">
        <v>46223.1297337963</v>
      </c>
      <c r="O1684" s="4" t="b">
        <f>L1684 = "PASS"</f>
        <v>1</v>
      </c>
      <c r="P1684" s="4" t="b">
        <f>L1684 = "FAIL"</f>
        <v>0</v>
      </c>
      <c r="Q1684" s="4" t="b">
        <f>AND(((P1684)=TRUE), ((K1684)=TRUE))</f>
        <v>0</v>
      </c>
      <c r="R1684" s="4" t="str">
        <f>IF(((O1684)=TRUE),  I1684,  "")</f>
        <v>suite-provenance</v>
      </c>
      <c r="S1684" s="4" t="str">
        <f>IF(((Q1684)=TRUE),  I1684,  "")</f>
      </c>
      <c r="T1684" s="3" t="s">
        <v>6001</v>
      </c>
    </row>
    <row r="1685">
      <c r="A1685" s="3" t="s">
        <v>8110</v>
      </c>
      <c r="B1685" s="4" t="str">
        <f>C1685 &amp; ": " &amp; D1685</f>
        <v>question-answered: q-analyst-my-late-steps-unexplained</v>
      </c>
      <c r="C1685" s="3" t="s">
        <v>8103</v>
      </c>
      <c r="D1685" s="3" t="s">
        <v>1971</v>
      </c>
      <c r="E1685" s="3"/>
      <c r="F1685" s="3"/>
      <c r="G1685" s="3" t="s">
        <v>8104</v>
      </c>
      <c r="H1685" s="3" t="s">
        <v>1971</v>
      </c>
      <c r="I1685" s="3" t="s">
        <v>5992</v>
      </c>
      <c r="J1685" s="3" t="s">
        <v>5999</v>
      </c>
      <c r="K1685" s="4" t="b">
        <f>J1685 = "blocking"</f>
        <v>1</v>
      </c>
      <c r="L1685" s="3" t="s">
        <v>1448</v>
      </c>
      <c r="M1685" s="3" t="s">
        <v>8109</v>
      </c>
      <c r="N1685" s="5">
        <v>46223.1297337963</v>
      </c>
      <c r="O1685" s="4" t="b">
        <f>L1685 = "PASS"</f>
        <v>1</v>
      </c>
      <c r="P1685" s="4" t="b">
        <f>L1685 = "FAIL"</f>
        <v>0</v>
      </c>
      <c r="Q1685" s="4" t="b">
        <f>AND(((P1685)=TRUE), ((K1685)=TRUE))</f>
        <v>0</v>
      </c>
      <c r="R1685" s="4" t="str">
        <f>IF(((O1685)=TRUE),  I1685,  "")</f>
        <v>suite-provenance</v>
      </c>
      <c r="S1685" s="4" t="str">
        <f>IF(((Q1685)=TRUE),  I1685,  "")</f>
      </c>
      <c r="T1685" s="3" t="s">
        <v>6001</v>
      </c>
    </row>
    <row r="1686">
      <c r="A1686" s="3" t="s">
        <v>8111</v>
      </c>
      <c r="B1686" s="4" t="str">
        <f>C1686 &amp; ": " &amp; D1686</f>
        <v>question-answered: q-analyst-verification-declared-never-performed</v>
      </c>
      <c r="C1686" s="3" t="s">
        <v>8103</v>
      </c>
      <c r="D1686" s="3" t="s">
        <v>1975</v>
      </c>
      <c r="E1686" s="3"/>
      <c r="F1686" s="3"/>
      <c r="G1686" s="3" t="s">
        <v>8104</v>
      </c>
      <c r="H1686" s="3" t="s">
        <v>1975</v>
      </c>
      <c r="I1686" s="3" t="s">
        <v>5992</v>
      </c>
      <c r="J1686" s="3" t="s">
        <v>5999</v>
      </c>
      <c r="K1686" s="4" t="b">
        <f>J1686 = "blocking"</f>
        <v>1</v>
      </c>
      <c r="L1686" s="3" t="s">
        <v>1448</v>
      </c>
      <c r="M1686" s="3" t="s">
        <v>8109</v>
      </c>
      <c r="N1686" s="5">
        <v>46223.1297337963</v>
      </c>
      <c r="O1686" s="4" t="b">
        <f>L1686 = "PASS"</f>
        <v>1</v>
      </c>
      <c r="P1686" s="4" t="b">
        <f>L1686 = "FAIL"</f>
        <v>0</v>
      </c>
      <c r="Q1686" s="4" t="b">
        <f>AND(((P1686)=TRUE), ((K1686)=TRUE))</f>
        <v>0</v>
      </c>
      <c r="R1686" s="4" t="str">
        <f>IF(((O1686)=TRUE),  I1686,  "")</f>
        <v>suite-provenance</v>
      </c>
      <c r="S1686" s="4" t="str">
        <f>IF(((Q1686)=TRUE),  I1686,  "")</f>
      </c>
      <c r="T1686" s="3" t="s">
        <v>6001</v>
      </c>
    </row>
    <row r="1687">
      <c r="A1687" s="3" t="s">
        <v>8112</v>
      </c>
      <c r="B1687" s="4" t="str">
        <f>C1687 &amp; ": " &amp; D1687</f>
        <v>question-answered: q-controller-separation-of-duties</v>
      </c>
      <c r="C1687" s="3" t="s">
        <v>8103</v>
      </c>
      <c r="D1687" s="3" t="s">
        <v>1979</v>
      </c>
      <c r="E1687" s="3"/>
      <c r="F1687" s="3"/>
      <c r="G1687" s="3" t="s">
        <v>8104</v>
      </c>
      <c r="H1687" s="3" t="s">
        <v>1979</v>
      </c>
      <c r="I1687" s="3" t="s">
        <v>5992</v>
      </c>
      <c r="J1687" s="3" t="s">
        <v>5999</v>
      </c>
      <c r="K1687" s="4" t="b">
        <f>J1687 = "blocking"</f>
        <v>1</v>
      </c>
      <c r="L1687" s="3" t="s">
        <v>1448</v>
      </c>
      <c r="M1687" s="3" t="s">
        <v>8107</v>
      </c>
      <c r="N1687" s="5">
        <v>46223.1297337963</v>
      </c>
      <c r="O1687" s="4" t="b">
        <f>L1687 = "PASS"</f>
        <v>1</v>
      </c>
      <c r="P1687" s="4" t="b">
        <f>L1687 = "FAIL"</f>
        <v>0</v>
      </c>
      <c r="Q1687" s="4" t="b">
        <f>AND(((P1687)=TRUE), ((K1687)=TRUE))</f>
        <v>0</v>
      </c>
      <c r="R1687" s="4" t="str">
        <f>IF(((O1687)=TRUE),  I1687,  "")</f>
        <v>suite-provenance</v>
      </c>
      <c r="S1687" s="4" t="str">
        <f>IF(((Q1687)=TRUE),  I1687,  "")</f>
      </c>
      <c r="T1687" s="3" t="s">
        <v>6001</v>
      </c>
    </row>
    <row r="1688">
      <c r="A1688" s="3" t="s">
        <v>8113</v>
      </c>
      <c r="B1688" s="4" t="str">
        <f>C1688 &amp; ": " &amp; D1688</f>
        <v>question-answered: q-controller-approval-authority-valid</v>
      </c>
      <c r="C1688" s="3" t="s">
        <v>8103</v>
      </c>
      <c r="D1688" s="3" t="s">
        <v>1983</v>
      </c>
      <c r="E1688" s="3"/>
      <c r="F1688" s="3"/>
      <c r="G1688" s="3" t="s">
        <v>8104</v>
      </c>
      <c r="H1688" s="3" t="s">
        <v>1983</v>
      </c>
      <c r="I1688" s="3" t="s">
        <v>5992</v>
      </c>
      <c r="J1688" s="3" t="s">
        <v>5999</v>
      </c>
      <c r="K1688" s="4" t="b">
        <f>J1688 = "blocking"</f>
        <v>1</v>
      </c>
      <c r="L1688" s="3" t="s">
        <v>1448</v>
      </c>
      <c r="M1688" s="3" t="s">
        <v>8105</v>
      </c>
      <c r="N1688" s="5">
        <v>46223.1297337963</v>
      </c>
      <c r="O1688" s="4" t="b">
        <f>L1688 = "PASS"</f>
        <v>1</v>
      </c>
      <c r="P1688" s="4" t="b">
        <f>L1688 = "FAIL"</f>
        <v>0</v>
      </c>
      <c r="Q1688" s="4" t="b">
        <f>AND(((P1688)=TRUE), ((K1688)=TRUE))</f>
        <v>0</v>
      </c>
      <c r="R1688" s="4" t="str">
        <f>IF(((O1688)=TRUE),  I1688,  "")</f>
        <v>suite-provenance</v>
      </c>
      <c r="S1688" s="4" t="str">
        <f>IF(((Q1688)=TRUE),  I1688,  "")</f>
      </c>
      <c r="T1688" s="3" t="s">
        <v>6001</v>
      </c>
    </row>
    <row r="1689">
      <c r="A1689" s="3" t="s">
        <v>8114</v>
      </c>
      <c r="B1689" s="4" t="str">
        <f>C1689 &amp; ": " &amp; D1689</f>
        <v>question-answered: q-controller-blocking-control-inoperative</v>
      </c>
      <c r="C1689" s="3" t="s">
        <v>8103</v>
      </c>
      <c r="D1689" s="3" t="s">
        <v>1987</v>
      </c>
      <c r="E1689" s="3"/>
      <c r="F1689" s="3"/>
      <c r="G1689" s="3" t="s">
        <v>8104</v>
      </c>
      <c r="H1689" s="3" t="s">
        <v>1987</v>
      </c>
      <c r="I1689" s="3" t="s">
        <v>5992</v>
      </c>
      <c r="J1689" s="3" t="s">
        <v>5999</v>
      </c>
      <c r="K1689" s="4" t="b">
        <f>J1689 = "blocking"</f>
        <v>1</v>
      </c>
      <c r="L1689" s="3" t="s">
        <v>1448</v>
      </c>
      <c r="M1689" s="3" t="s">
        <v>8107</v>
      </c>
      <c r="N1689" s="5">
        <v>46223.1297337963</v>
      </c>
      <c r="O1689" s="4" t="b">
        <f>L1689 = "PASS"</f>
        <v>1</v>
      </c>
      <c r="P1689" s="4" t="b">
        <f>L1689 = "FAIL"</f>
        <v>0</v>
      </c>
      <c r="Q1689" s="4" t="b">
        <f>AND(((P1689)=TRUE), ((K1689)=TRUE))</f>
        <v>0</v>
      </c>
      <c r="R1689" s="4" t="str">
        <f>IF(((O1689)=TRUE),  I1689,  "")</f>
        <v>suite-provenance</v>
      </c>
      <c r="S1689" s="4" t="str">
        <f>IF(((Q1689)=TRUE),  I1689,  "")</f>
      </c>
      <c r="T1689" s="3" t="s">
        <v>6001</v>
      </c>
    </row>
    <row r="1690">
      <c r="A1690" s="3" t="s">
        <v>8115</v>
      </c>
      <c r="B1690" s="4" t="str">
        <f>C1690 &amp; ": " &amp; D1690</f>
        <v>question-answered: q-controller-execution-diverged-from-spec</v>
      </c>
      <c r="C1690" s="3" t="s">
        <v>8103</v>
      </c>
      <c r="D1690" s="3" t="s">
        <v>1991</v>
      </c>
      <c r="E1690" s="3"/>
      <c r="F1690" s="3"/>
      <c r="G1690" s="3" t="s">
        <v>8104</v>
      </c>
      <c r="H1690" s="3" t="s">
        <v>1991</v>
      </c>
      <c r="I1690" s="3" t="s">
        <v>5992</v>
      </c>
      <c r="J1690" s="3" t="s">
        <v>5999</v>
      </c>
      <c r="K1690" s="4" t="b">
        <f>J1690 = "blocking"</f>
        <v>1</v>
      </c>
      <c r="L1690" s="3" t="s">
        <v>1448</v>
      </c>
      <c r="M1690" s="3" t="s">
        <v>8116</v>
      </c>
      <c r="N1690" s="5">
        <v>46223.1297337963</v>
      </c>
      <c r="O1690" s="4" t="b">
        <f>L1690 = "PASS"</f>
        <v>1</v>
      </c>
      <c r="P1690" s="4" t="b">
        <f>L1690 = "FAIL"</f>
        <v>0</v>
      </c>
      <c r="Q1690" s="4" t="b">
        <f>AND(((P1690)=TRUE), ((K1690)=TRUE))</f>
        <v>0</v>
      </c>
      <c r="R1690" s="4" t="str">
        <f>IF(((O1690)=TRUE),  I1690,  "")</f>
        <v>suite-provenance</v>
      </c>
      <c r="S1690" s="4" t="str">
        <f>IF(((Q1690)=TRUE),  I1690,  "")</f>
      </c>
      <c r="T1690" s="3" t="s">
        <v>6001</v>
      </c>
    </row>
    <row r="1691">
      <c r="A1691" s="3" t="s">
        <v>8117</v>
      </c>
      <c r="B1691" s="4" t="str">
        <f>C1691 &amp; ": " &amp; D1691</f>
        <v>question-answered: q-controller-ai-agent-approved-meaning</v>
      </c>
      <c r="C1691" s="3" t="s">
        <v>8103</v>
      </c>
      <c r="D1691" s="3" t="s">
        <v>1995</v>
      </c>
      <c r="E1691" s="3"/>
      <c r="F1691" s="3"/>
      <c r="G1691" s="3" t="s">
        <v>8104</v>
      </c>
      <c r="H1691" s="3" t="s">
        <v>1995</v>
      </c>
      <c r="I1691" s="3" t="s">
        <v>5992</v>
      </c>
      <c r="J1691" s="3" t="s">
        <v>5999</v>
      </c>
      <c r="K1691" s="4" t="b">
        <f>J1691 = "blocking"</f>
        <v>1</v>
      </c>
      <c r="L1691" s="3" t="s">
        <v>1448</v>
      </c>
      <c r="M1691" s="3" t="s">
        <v>8105</v>
      </c>
      <c r="N1691" s="5">
        <v>46223.1297337963</v>
      </c>
      <c r="O1691" s="4" t="b">
        <f>L1691 = "PASS"</f>
        <v>1</v>
      </c>
      <c r="P1691" s="4" t="b">
        <f>L1691 = "FAIL"</f>
        <v>0</v>
      </c>
      <c r="Q1691" s="4" t="b">
        <f>AND(((P1691)=TRUE), ((K1691)=TRUE))</f>
        <v>0</v>
      </c>
      <c r="R1691" s="4" t="str">
        <f>IF(((O1691)=TRUE),  I1691,  "")</f>
        <v>suite-provenance</v>
      </c>
      <c r="S1691" s="4" t="str">
        <f>IF(((Q1691)=TRUE),  I1691,  "")</f>
      </c>
      <c r="T1691" s="3" t="s">
        <v>6001</v>
      </c>
    </row>
    <row r="1692">
      <c r="A1692" s="3" t="s">
        <v>8118</v>
      </c>
      <c r="B1692" s="4" t="str">
        <f>C1692 &amp; ": " &amp; D1692</f>
        <v>question-answered: q-cfo-can-i-sign</v>
      </c>
      <c r="C1692" s="3" t="s">
        <v>8103</v>
      </c>
      <c r="D1692" s="3" t="s">
        <v>1999</v>
      </c>
      <c r="E1692" s="3"/>
      <c r="F1692" s="3"/>
      <c r="G1692" s="3" t="s">
        <v>8104</v>
      </c>
      <c r="H1692" s="3" t="s">
        <v>1999</v>
      </c>
      <c r="I1692" s="3" t="s">
        <v>5992</v>
      </c>
      <c r="J1692" s="3" t="s">
        <v>5999</v>
      </c>
      <c r="K1692" s="4" t="b">
        <f>J1692 = "blocking"</f>
        <v>1</v>
      </c>
      <c r="L1692" s="3" t="s">
        <v>1448</v>
      </c>
      <c r="M1692" s="3" t="s">
        <v>8107</v>
      </c>
      <c r="N1692" s="5">
        <v>46223.1297337963</v>
      </c>
      <c r="O1692" s="4" t="b">
        <f>L1692 = "PASS"</f>
        <v>1</v>
      </c>
      <c r="P1692" s="4" t="b">
        <f>L1692 = "FAIL"</f>
        <v>0</v>
      </c>
      <c r="Q1692" s="4" t="b">
        <f>AND(((P1692)=TRUE), ((K1692)=TRUE))</f>
        <v>0</v>
      </c>
      <c r="R1692" s="4" t="str">
        <f>IF(((O1692)=TRUE),  I1692,  "")</f>
        <v>suite-provenance</v>
      </c>
      <c r="S1692" s="4" t="str">
        <f>IF(((Q1692)=TRUE),  I1692,  "")</f>
      </c>
      <c r="T1692" s="3" t="s">
        <v>6001</v>
      </c>
    </row>
    <row r="1693">
      <c r="A1693" s="3" t="s">
        <v>8119</v>
      </c>
      <c r="B1693" s="4" t="str">
        <f>C1693 &amp; ": " &amp; D1693</f>
        <v>question-answered: q-cfo-approving-on-unfit-version</v>
      </c>
      <c r="C1693" s="3" t="s">
        <v>8103</v>
      </c>
      <c r="D1693" s="3" t="s">
        <v>2003</v>
      </c>
      <c r="E1693" s="3"/>
      <c r="F1693" s="3"/>
      <c r="G1693" s="3" t="s">
        <v>8104</v>
      </c>
      <c r="H1693" s="3" t="s">
        <v>2003</v>
      </c>
      <c r="I1693" s="3" t="s">
        <v>5992</v>
      </c>
      <c r="J1693" s="3" t="s">
        <v>5999</v>
      </c>
      <c r="K1693" s="4" t="b">
        <f>J1693 = "blocking"</f>
        <v>1</v>
      </c>
      <c r="L1693" s="3" t="s">
        <v>1448</v>
      </c>
      <c r="M1693" s="3" t="s">
        <v>8120</v>
      </c>
      <c r="N1693" s="5">
        <v>46223.1297337963</v>
      </c>
      <c r="O1693" s="4" t="b">
        <f>L1693 = "PASS"</f>
        <v>1</v>
      </c>
      <c r="P1693" s="4" t="b">
        <f>L1693 = "FAIL"</f>
        <v>0</v>
      </c>
      <c r="Q1693" s="4" t="b">
        <f>AND(((P1693)=TRUE), ((K1693)=TRUE))</f>
        <v>0</v>
      </c>
      <c r="R1693" s="4" t="str">
        <f>IF(((O1693)=TRUE),  I1693,  "")</f>
        <v>suite-provenance</v>
      </c>
      <c r="S1693" s="4" t="str">
        <f>IF(((Q1693)=TRUE),  I1693,  "")</f>
      </c>
      <c r="T1693" s="3" t="s">
        <v>6001</v>
      </c>
    </row>
    <row r="1694">
      <c r="A1694" s="3" t="s">
        <v>8121</v>
      </c>
      <c r="B1694" s="4" t="str">
        <f>C1694 &amp; ": " &amp; D1694</f>
        <v>question-answered: q-cfo-approval-was-actually-verified</v>
      </c>
      <c r="C1694" s="3" t="s">
        <v>8103</v>
      </c>
      <c r="D1694" s="3" t="s">
        <v>2007</v>
      </c>
      <c r="E1694" s="3"/>
      <c r="F1694" s="3"/>
      <c r="G1694" s="3" t="s">
        <v>8104</v>
      </c>
      <c r="H1694" s="3" t="s">
        <v>2007</v>
      </c>
      <c r="I1694" s="3" t="s">
        <v>5992</v>
      </c>
      <c r="J1694" s="3" t="s">
        <v>5999</v>
      </c>
      <c r="K1694" s="4" t="b">
        <f>J1694 = "blocking"</f>
        <v>1</v>
      </c>
      <c r="L1694" s="3" t="s">
        <v>1448</v>
      </c>
      <c r="M1694" s="3" t="s">
        <v>8105</v>
      </c>
      <c r="N1694" s="5">
        <v>46223.1297337963</v>
      </c>
      <c r="O1694" s="4" t="b">
        <f>L1694 = "PASS"</f>
        <v>1</v>
      </c>
      <c r="P1694" s="4" t="b">
        <f>L1694 = "FAIL"</f>
        <v>0</v>
      </c>
      <c r="Q1694" s="4" t="b">
        <f>AND(((P1694)=TRUE), ((K1694)=TRUE))</f>
        <v>0</v>
      </c>
      <c r="R1694" s="4" t="str">
        <f>IF(((O1694)=TRUE),  I1694,  "")</f>
        <v>suite-provenance</v>
      </c>
      <c r="S1694" s="4" t="str">
        <f>IF(((Q1694)=TRUE),  I1694,  "")</f>
      </c>
      <c r="T1694" s="3" t="s">
        <v>6001</v>
      </c>
    </row>
    <row r="1695">
      <c r="A1695" s="3" t="s">
        <v>8122</v>
      </c>
      <c r="B1695" s="4" t="str">
        <f>C1695 &amp; ": " &amp; D1695</f>
        <v>question-answered: q-cfo-who-actually-held-authority</v>
      </c>
      <c r="C1695" s="3" t="s">
        <v>8103</v>
      </c>
      <c r="D1695" s="3" t="s">
        <v>2011</v>
      </c>
      <c r="E1695" s="3"/>
      <c r="F1695" s="3"/>
      <c r="G1695" s="3" t="s">
        <v>8104</v>
      </c>
      <c r="H1695" s="3" t="s">
        <v>2011</v>
      </c>
      <c r="I1695" s="3" t="s">
        <v>5992</v>
      </c>
      <c r="J1695" s="3" t="s">
        <v>5999</v>
      </c>
      <c r="K1695" s="4" t="b">
        <f>J1695 = "blocking"</f>
        <v>1</v>
      </c>
      <c r="L1695" s="3" t="s">
        <v>1448</v>
      </c>
      <c r="M1695" s="3" t="s">
        <v>8107</v>
      </c>
      <c r="N1695" s="5">
        <v>46223.1297337963</v>
      </c>
      <c r="O1695" s="4" t="b">
        <f>L1695 = "PASS"</f>
        <v>1</v>
      </c>
      <c r="P1695" s="4" t="b">
        <f>L1695 = "FAIL"</f>
        <v>0</v>
      </c>
      <c r="Q1695" s="4" t="b">
        <f>AND(((P1695)=TRUE), ((K1695)=TRUE))</f>
        <v>0</v>
      </c>
      <c r="R1695" s="4" t="str">
        <f>IF(((O1695)=TRUE),  I1695,  "")</f>
        <v>suite-provenance</v>
      </c>
      <c r="S1695" s="4" t="str">
        <f>IF(((Q1695)=TRUE),  I1695,  "")</f>
      </c>
      <c r="T1695" s="3" t="s">
        <v>6001</v>
      </c>
    </row>
    <row r="1696">
      <c r="A1696" s="3" t="s">
        <v>8123</v>
      </c>
      <c r="B1696" s="4" t="str">
        <f>C1696 &amp; ": " &amp; D1696</f>
        <v>question-answered: q-cfo-am-i-being-told-everything</v>
      </c>
      <c r="C1696" s="3" t="s">
        <v>8103</v>
      </c>
      <c r="D1696" s="3" t="s">
        <v>2015</v>
      </c>
      <c r="E1696" s="3"/>
      <c r="F1696" s="3"/>
      <c r="G1696" s="3" t="s">
        <v>8104</v>
      </c>
      <c r="H1696" s="3" t="s">
        <v>2015</v>
      </c>
      <c r="I1696" s="3" t="s">
        <v>5992</v>
      </c>
      <c r="J1696" s="3" t="s">
        <v>5999</v>
      </c>
      <c r="K1696" s="4" t="b">
        <f>J1696 = "blocking"</f>
        <v>1</v>
      </c>
      <c r="L1696" s="3" t="s">
        <v>1448</v>
      </c>
      <c r="M1696" s="3" t="s">
        <v>8107</v>
      </c>
      <c r="N1696" s="5">
        <v>46223.1297337963</v>
      </c>
      <c r="O1696" s="4" t="b">
        <f>L1696 = "PASS"</f>
        <v>1</v>
      </c>
      <c r="P1696" s="4" t="b">
        <f>L1696 = "FAIL"</f>
        <v>0</v>
      </c>
      <c r="Q1696" s="4" t="b">
        <f>AND(((P1696)=TRUE), ((K1696)=TRUE))</f>
        <v>0</v>
      </c>
      <c r="R1696" s="4" t="str">
        <f>IF(((O1696)=TRUE),  I1696,  "")</f>
        <v>suite-provenance</v>
      </c>
      <c r="S1696" s="4" t="str">
        <f>IF(((Q1696)=TRUE),  I1696,  "")</f>
      </c>
      <c r="T1696" s="3" t="s">
        <v>6001</v>
      </c>
    </row>
    <row r="1697">
      <c r="A1697" s="3" t="s">
        <v>8124</v>
      </c>
      <c r="B1697" s="4" t="str">
        <f>C1697 &amp; ": " &amp; D1697</f>
        <v>question-answered: q-steward-cadence-breach</v>
      </c>
      <c r="C1697" s="3" t="s">
        <v>8103</v>
      </c>
      <c r="D1697" s="3" t="s">
        <v>2019</v>
      </c>
      <c r="E1697" s="3"/>
      <c r="F1697" s="3"/>
      <c r="G1697" s="3" t="s">
        <v>8104</v>
      </c>
      <c r="H1697" s="3" t="s">
        <v>2019</v>
      </c>
      <c r="I1697" s="3" t="s">
        <v>5992</v>
      </c>
      <c r="J1697" s="3" t="s">
        <v>5999</v>
      </c>
      <c r="K1697" s="4" t="b">
        <f>J1697 = "blocking"</f>
        <v>1</v>
      </c>
      <c r="L1697" s="3" t="s">
        <v>1448</v>
      </c>
      <c r="M1697" s="3" t="s">
        <v>8107</v>
      </c>
      <c r="N1697" s="5">
        <v>46223.1297337963</v>
      </c>
      <c r="O1697" s="4" t="b">
        <f>L1697 = "PASS"</f>
        <v>1</v>
      </c>
      <c r="P1697" s="4" t="b">
        <f>L1697 = "FAIL"</f>
        <v>0</v>
      </c>
      <c r="Q1697" s="4" t="b">
        <f>AND(((P1697)=TRUE), ((K1697)=TRUE))</f>
        <v>0</v>
      </c>
      <c r="R1697" s="4" t="str">
        <f>IF(((O1697)=TRUE),  I1697,  "")</f>
        <v>suite-provenance</v>
      </c>
      <c r="S1697" s="4" t="str">
        <f>IF(((Q1697)=TRUE),  I1697,  "")</f>
      </c>
      <c r="T1697" s="3" t="s">
        <v>6001</v>
      </c>
    </row>
    <row r="1698">
      <c r="A1698" s="3" t="s">
        <v>8125</v>
      </c>
      <c r="B1698" s="4" t="str">
        <f>C1698 &amp; ": " &amp; D1698</f>
        <v>question-answered: q-steward-orphan-versions</v>
      </c>
      <c r="C1698" s="3" t="s">
        <v>8103</v>
      </c>
      <c r="D1698" s="3" t="s">
        <v>2023</v>
      </c>
      <c r="E1698" s="3"/>
      <c r="F1698" s="3"/>
      <c r="G1698" s="3" t="s">
        <v>8104</v>
      </c>
      <c r="H1698" s="3" t="s">
        <v>2023</v>
      </c>
      <c r="I1698" s="3" t="s">
        <v>5992</v>
      </c>
      <c r="J1698" s="3" t="s">
        <v>5999</v>
      </c>
      <c r="K1698" s="4" t="b">
        <f>J1698 = "blocking"</f>
        <v>1</v>
      </c>
      <c r="L1698" s="3" t="s">
        <v>1448</v>
      </c>
      <c r="M1698" s="3" t="s">
        <v>8109</v>
      </c>
      <c r="N1698" s="5">
        <v>46223.1297337963</v>
      </c>
      <c r="O1698" s="4" t="b">
        <f>L1698 = "PASS"</f>
        <v>1</v>
      </c>
      <c r="P1698" s="4" t="b">
        <f>L1698 = "FAIL"</f>
        <v>0</v>
      </c>
      <c r="Q1698" s="4" t="b">
        <f>AND(((P1698)=TRUE), ((K1698)=TRUE))</f>
        <v>0</v>
      </c>
      <c r="R1698" s="4" t="str">
        <f>IF(((O1698)=TRUE),  I1698,  "")</f>
        <v>suite-provenance</v>
      </c>
      <c r="S1698" s="4" t="str">
        <f>IF(((Q1698)=TRUE),  I1698,  "")</f>
      </c>
      <c r="T1698" s="3" t="s">
        <v>6001</v>
      </c>
    </row>
    <row r="1699">
      <c r="A1699" s="3" t="s">
        <v>8126</v>
      </c>
      <c r="B1699" s="4" t="str">
        <f>C1699 &amp; ": " &amp; D1699</f>
        <v>question-answered: q-steward-untested-fallbacks</v>
      </c>
      <c r="C1699" s="3" t="s">
        <v>8103</v>
      </c>
      <c r="D1699" s="3" t="s">
        <v>2027</v>
      </c>
      <c r="E1699" s="3"/>
      <c r="F1699" s="3"/>
      <c r="G1699" s="3" t="s">
        <v>8104</v>
      </c>
      <c r="H1699" s="3" t="s">
        <v>2027</v>
      </c>
      <c r="I1699" s="3" t="s">
        <v>5992</v>
      </c>
      <c r="J1699" s="3" t="s">
        <v>5999</v>
      </c>
      <c r="K1699" s="4" t="b">
        <f>J1699 = "blocking"</f>
        <v>1</v>
      </c>
      <c r="L1699" s="3" t="s">
        <v>1448</v>
      </c>
      <c r="M1699" s="3" t="s">
        <v>8127</v>
      </c>
      <c r="N1699" s="5">
        <v>46223.1297337963</v>
      </c>
      <c r="O1699" s="4" t="b">
        <f>L1699 = "PASS"</f>
        <v>1</v>
      </c>
      <c r="P1699" s="4" t="b">
        <f>L1699 = "FAIL"</f>
        <v>0</v>
      </c>
      <c r="Q1699" s="4" t="b">
        <f>AND(((P1699)=TRUE), ((K1699)=TRUE))</f>
        <v>0</v>
      </c>
      <c r="R1699" s="4" t="str">
        <f>IF(((O1699)=TRUE),  I1699,  "")</f>
        <v>suite-provenance</v>
      </c>
      <c r="S1699" s="4" t="str">
        <f>IF(((Q1699)=TRUE),  I1699,  "")</f>
      </c>
      <c r="T1699" s="3" t="s">
        <v>6001</v>
      </c>
    </row>
    <row r="1700">
      <c r="A1700" s="3" t="s">
        <v>8128</v>
      </c>
      <c r="B1700" s="4" t="str">
        <f>C1700 &amp; ": " &amp; D1700</f>
        <v>question-answered: q-steward-published-with-blocking-gap</v>
      </c>
      <c r="C1700" s="3" t="s">
        <v>8103</v>
      </c>
      <c r="D1700" s="3" t="s">
        <v>2031</v>
      </c>
      <c r="E1700" s="3"/>
      <c r="F1700" s="3"/>
      <c r="G1700" s="3" t="s">
        <v>8104</v>
      </c>
      <c r="H1700" s="3" t="s">
        <v>2031</v>
      </c>
      <c r="I1700" s="3" t="s">
        <v>5992</v>
      </c>
      <c r="J1700" s="3" t="s">
        <v>5999</v>
      </c>
      <c r="K1700" s="4" t="b">
        <f>J1700 = "blocking"</f>
        <v>1</v>
      </c>
      <c r="L1700" s="3" t="s">
        <v>1448</v>
      </c>
      <c r="M1700" s="3" t="s">
        <v>8109</v>
      </c>
      <c r="N1700" s="5">
        <v>46223.1297337963</v>
      </c>
      <c r="O1700" s="4" t="b">
        <f>L1700 = "PASS"</f>
        <v>1</v>
      </c>
      <c r="P1700" s="4" t="b">
        <f>L1700 = "FAIL"</f>
        <v>0</v>
      </c>
      <c r="Q1700" s="4" t="b">
        <f>AND(((P1700)=TRUE), ((K1700)=TRUE))</f>
        <v>0</v>
      </c>
      <c r="R1700" s="4" t="str">
        <f>IF(((O1700)=TRUE),  I1700,  "")</f>
        <v>suite-provenance</v>
      </c>
      <c r="S1700" s="4" t="str">
        <f>IF(((Q1700)=TRUE),  I1700,  "")</f>
      </c>
      <c r="T1700" s="3" t="s">
        <v>6001</v>
      </c>
    </row>
    <row r="1701">
      <c r="A1701" s="3" t="s">
        <v>8129</v>
      </c>
      <c r="B1701" s="4" t="str">
        <f>C1701 &amp; ": " &amp; D1701</f>
        <v>question-answered: q-steward-stalled-change-requests</v>
      </c>
      <c r="C1701" s="3" t="s">
        <v>8103</v>
      </c>
      <c r="D1701" s="3" t="s">
        <v>2035</v>
      </c>
      <c r="E1701" s="3"/>
      <c r="F1701" s="3"/>
      <c r="G1701" s="3" t="s">
        <v>8104</v>
      </c>
      <c r="H1701" s="3" t="s">
        <v>2035</v>
      </c>
      <c r="I1701" s="3" t="s">
        <v>5992</v>
      </c>
      <c r="J1701" s="3" t="s">
        <v>5999</v>
      </c>
      <c r="K1701" s="4" t="b">
        <f>J1701 = "blocking"</f>
        <v>1</v>
      </c>
      <c r="L1701" s="3" t="s">
        <v>1448</v>
      </c>
      <c r="M1701" s="3" t="s">
        <v>8109</v>
      </c>
      <c r="N1701" s="5">
        <v>46223.1297337963</v>
      </c>
      <c r="O1701" s="4" t="b">
        <f>L1701 = "PASS"</f>
        <v>1</v>
      </c>
      <c r="P1701" s="4" t="b">
        <f>L1701 = "FAIL"</f>
        <v>0</v>
      </c>
      <c r="Q1701" s="4" t="b">
        <f>AND(((P1701)=TRUE), ((K1701)=TRUE))</f>
        <v>0</v>
      </c>
      <c r="R1701" s="4" t="str">
        <f>IF(((O1701)=TRUE),  I1701,  "")</f>
        <v>suite-provenance</v>
      </c>
      <c r="S1701" s="4" t="str">
        <f>IF(((Q1701)=TRUE),  I1701,  "")</f>
      </c>
      <c r="T1701" s="3" t="s">
        <v>6001</v>
      </c>
    </row>
    <row r="1702">
      <c r="A1702" s="3" t="s">
        <v>8130</v>
      </c>
      <c r="B1702" s="4" t="str">
        <f>C1702 &amp; ": " &amp; D1702</f>
        <v>question-answered: q-authority-orphaned-provenance</v>
      </c>
      <c r="C1702" s="3" t="s">
        <v>8103</v>
      </c>
      <c r="D1702" s="3" t="s">
        <v>2039</v>
      </c>
      <c r="E1702" s="3"/>
      <c r="F1702" s="3"/>
      <c r="G1702" s="3" t="s">
        <v>8104</v>
      </c>
      <c r="H1702" s="3" t="s">
        <v>2039</v>
      </c>
      <c r="I1702" s="3" t="s">
        <v>5992</v>
      </c>
      <c r="J1702" s="3" t="s">
        <v>5999</v>
      </c>
      <c r="K1702" s="4" t="b">
        <f>J1702 = "blocking"</f>
        <v>1</v>
      </c>
      <c r="L1702" s="3" t="s">
        <v>1448</v>
      </c>
      <c r="M1702" s="3" t="s">
        <v>8107</v>
      </c>
      <c r="N1702" s="5">
        <v>46223.1297337963</v>
      </c>
      <c r="O1702" s="4" t="b">
        <f>L1702 = "PASS"</f>
        <v>1</v>
      </c>
      <c r="P1702" s="4" t="b">
        <f>L1702 = "FAIL"</f>
        <v>0</v>
      </c>
      <c r="Q1702" s="4" t="b">
        <f>AND(((P1702)=TRUE), ((K1702)=TRUE))</f>
        <v>0</v>
      </c>
      <c r="R1702" s="4" t="str">
        <f>IF(((O1702)=TRUE),  I1702,  "")</f>
        <v>suite-provenance</v>
      </c>
      <c r="S1702" s="4" t="str">
        <f>IF(((Q1702)=TRUE),  I1702,  "")</f>
      </c>
      <c r="T1702" s="3" t="s">
        <v>6001</v>
      </c>
    </row>
    <row r="1703">
      <c r="A1703" s="3" t="s">
        <v>8131</v>
      </c>
      <c r="B1703" s="4" t="str">
        <f>C1703 &amp; ": " &amp; D1703</f>
        <v>question-answered: q-authority-non-approved-dependency</v>
      </c>
      <c r="C1703" s="3" t="s">
        <v>8103</v>
      </c>
      <c r="D1703" s="3" t="s">
        <v>2043</v>
      </c>
      <c r="E1703" s="3"/>
      <c r="F1703" s="3"/>
      <c r="G1703" s="3" t="s">
        <v>8104</v>
      </c>
      <c r="H1703" s="3" t="s">
        <v>2043</v>
      </c>
      <c r="I1703" s="3" t="s">
        <v>5992</v>
      </c>
      <c r="J1703" s="3" t="s">
        <v>5999</v>
      </c>
      <c r="K1703" s="4" t="b">
        <f>J1703 = "blocking"</f>
        <v>1</v>
      </c>
      <c r="L1703" s="3" t="s">
        <v>1448</v>
      </c>
      <c r="M1703" s="3" t="s">
        <v>8107</v>
      </c>
      <c r="N1703" s="5">
        <v>46223.1297337963</v>
      </c>
      <c r="O1703" s="4" t="b">
        <f>L1703 = "PASS"</f>
        <v>1</v>
      </c>
      <c r="P1703" s="4" t="b">
        <f>L1703 = "FAIL"</f>
        <v>0</v>
      </c>
      <c r="Q1703" s="4" t="b">
        <f>AND(((P1703)=TRUE), ((K1703)=TRUE))</f>
        <v>0</v>
      </c>
      <c r="R1703" s="4" t="str">
        <f>IF(((O1703)=TRUE),  I1703,  "")</f>
        <v>suite-provenance</v>
      </c>
      <c r="S1703" s="4" t="str">
        <f>IF(((Q1703)=TRUE),  I1703,  "")</f>
      </c>
      <c r="T1703" s="3" t="s">
        <v>6001</v>
      </c>
    </row>
    <row r="1704">
      <c r="A1704" s="3" t="s">
        <v>8132</v>
      </c>
      <c r="B1704" s="4" t="str">
        <f>C1704 &amp; ": " &amp; D1704</f>
        <v>question-answered: q-authority-stale-elicitation</v>
      </c>
      <c r="C1704" s="3" t="s">
        <v>8103</v>
      </c>
      <c r="D1704" s="3" t="s">
        <v>2047</v>
      </c>
      <c r="E1704" s="3"/>
      <c r="F1704" s="3"/>
      <c r="G1704" s="3" t="s">
        <v>8104</v>
      </c>
      <c r="H1704" s="3" t="s">
        <v>2047</v>
      </c>
      <c r="I1704" s="3" t="s">
        <v>5992</v>
      </c>
      <c r="J1704" s="3" t="s">
        <v>5999</v>
      </c>
      <c r="K1704" s="4" t="b">
        <f>J1704 = "blocking"</f>
        <v>1</v>
      </c>
      <c r="L1704" s="3" t="s">
        <v>1448</v>
      </c>
      <c r="M1704" s="3" t="s">
        <v>8107</v>
      </c>
      <c r="N1704" s="5">
        <v>46223.1297337963</v>
      </c>
      <c r="O1704" s="4" t="b">
        <f>L1704 = "PASS"</f>
        <v>1</v>
      </c>
      <c r="P1704" s="4" t="b">
        <f>L1704 = "FAIL"</f>
        <v>0</v>
      </c>
      <c r="Q1704" s="4" t="b">
        <f>AND(((P1704)=TRUE), ((K1704)=TRUE))</f>
        <v>0</v>
      </c>
      <c r="R1704" s="4" t="str">
        <f>IF(((O1704)=TRUE),  I1704,  "")</f>
        <v>suite-provenance</v>
      </c>
      <c r="S1704" s="4" t="str">
        <f>IF(((Q1704)=TRUE),  I1704,  "")</f>
      </c>
      <c r="T1704" s="3" t="s">
        <v>6001</v>
      </c>
    </row>
    <row r="1705">
      <c r="A1705" s="3" t="s">
        <v>8133</v>
      </c>
      <c r="B1705" s="4" t="str">
        <f>C1705 &amp; ": " &amp; D1705</f>
        <v>question-answered: q-authority-known-unknowns</v>
      </c>
      <c r="C1705" s="3" t="s">
        <v>8103</v>
      </c>
      <c r="D1705" s="3" t="s">
        <v>2051</v>
      </c>
      <c r="E1705" s="3"/>
      <c r="F1705" s="3"/>
      <c r="G1705" s="3" t="s">
        <v>8104</v>
      </c>
      <c r="H1705" s="3" t="s">
        <v>2051</v>
      </c>
      <c r="I1705" s="3" t="s">
        <v>5992</v>
      </c>
      <c r="J1705" s="3" t="s">
        <v>5999</v>
      </c>
      <c r="K1705" s="4" t="b">
        <f>J1705 = "blocking"</f>
        <v>1</v>
      </c>
      <c r="L1705" s="3" t="s">
        <v>1448</v>
      </c>
      <c r="M1705" s="3" t="s">
        <v>8107</v>
      </c>
      <c r="N1705" s="5">
        <v>46223.1297337963</v>
      </c>
      <c r="O1705" s="4" t="b">
        <f>L1705 = "PASS"</f>
        <v>1</v>
      </c>
      <c r="P1705" s="4" t="b">
        <f>L1705 = "FAIL"</f>
        <v>0</v>
      </c>
      <c r="Q1705" s="4" t="b">
        <f>AND(((P1705)=TRUE), ((K1705)=TRUE))</f>
        <v>0</v>
      </c>
      <c r="R1705" s="4" t="str">
        <f>IF(((O1705)=TRUE),  I1705,  "")</f>
        <v>suite-provenance</v>
      </c>
      <c r="S1705" s="4" t="str">
        <f>IF(((Q1705)=TRUE),  I1705,  "")</f>
      </c>
      <c r="T1705" s="3" t="s">
        <v>6001</v>
      </c>
    </row>
    <row r="1706">
      <c r="A1706" s="3" t="s">
        <v>8134</v>
      </c>
      <c r="B1706" s="4" t="str">
        <f>C1706 &amp; ": " &amp; D1706</f>
        <v>question-answered: q-authority-unwitnessed-change</v>
      </c>
      <c r="C1706" s="3" t="s">
        <v>8103</v>
      </c>
      <c r="D1706" s="3" t="s">
        <v>2055</v>
      </c>
      <c r="E1706" s="3"/>
      <c r="F1706" s="3"/>
      <c r="G1706" s="3" t="s">
        <v>8104</v>
      </c>
      <c r="H1706" s="3" t="s">
        <v>2055</v>
      </c>
      <c r="I1706" s="3" t="s">
        <v>5992</v>
      </c>
      <c r="J1706" s="3" t="s">
        <v>5999</v>
      </c>
      <c r="K1706" s="4" t="b">
        <f>J1706 = "blocking"</f>
        <v>1</v>
      </c>
      <c r="L1706" s="3" t="s">
        <v>1448</v>
      </c>
      <c r="M1706" s="3" t="s">
        <v>8107</v>
      </c>
      <c r="N1706" s="5">
        <v>46223.1297337963</v>
      </c>
      <c r="O1706" s="4" t="b">
        <f>L1706 = "PASS"</f>
        <v>1</v>
      </c>
      <c r="P1706" s="4" t="b">
        <f>L1706 = "FAIL"</f>
        <v>0</v>
      </c>
      <c r="Q1706" s="4" t="b">
        <f>AND(((P1706)=TRUE), ((K1706)=TRUE))</f>
        <v>0</v>
      </c>
      <c r="R1706" s="4" t="str">
        <f>IF(((O1706)=TRUE),  I1706,  "")</f>
        <v>suite-provenance</v>
      </c>
      <c r="S1706" s="4" t="str">
        <f>IF(((Q1706)=TRUE),  I1706,  "")</f>
      </c>
      <c r="T1706" s="3" t="s">
        <v>6001</v>
      </c>
    </row>
    <row r="1707">
      <c r="A1707" s="3" t="s">
        <v>8135</v>
      </c>
      <c r="B1707" s="4" t="str">
        <f>C1707 &amp; ": " &amp; D1707</f>
        <v>question-answered: q-counsel-sms-without-consent</v>
      </c>
      <c r="C1707" s="3" t="s">
        <v>8103</v>
      </c>
      <c r="D1707" s="3" t="s">
        <v>2059</v>
      </c>
      <c r="E1707" s="3"/>
      <c r="F1707" s="3"/>
      <c r="G1707" s="3" t="s">
        <v>8104</v>
      </c>
      <c r="H1707" s="3" t="s">
        <v>2059</v>
      </c>
      <c r="I1707" s="3" t="s">
        <v>5992</v>
      </c>
      <c r="J1707" s="3" t="s">
        <v>5999</v>
      </c>
      <c r="K1707" s="4" t="b">
        <f>J1707 = "blocking"</f>
        <v>1</v>
      </c>
      <c r="L1707" s="3" t="s">
        <v>1448</v>
      </c>
      <c r="M1707" s="3" t="s">
        <v>8107</v>
      </c>
      <c r="N1707" s="5">
        <v>46223.1297337963</v>
      </c>
      <c r="O1707" s="4" t="b">
        <f>L1707 = "PASS"</f>
        <v>1</v>
      </c>
      <c r="P1707" s="4" t="b">
        <f>L1707 = "FAIL"</f>
        <v>0</v>
      </c>
      <c r="Q1707" s="4" t="b">
        <f>AND(((P1707)=TRUE), ((K1707)=TRUE))</f>
        <v>0</v>
      </c>
      <c r="R1707" s="4" t="str">
        <f>IF(((O1707)=TRUE),  I1707,  "")</f>
        <v>suite-provenance</v>
      </c>
      <c r="S1707" s="4" t="str">
        <f>IF(((Q1707)=TRUE),  I1707,  "")</f>
      </c>
      <c r="T1707" s="3" t="s">
        <v>6001</v>
      </c>
    </row>
    <row r="1708">
      <c r="A1708" s="3" t="s">
        <v>8136</v>
      </c>
      <c r="B1708" s="4" t="str">
        <f>C1708 &amp; ": " &amp; D1708</f>
        <v>question-answered: q-counsel-quiet-hours-breach</v>
      </c>
      <c r="C1708" s="3" t="s">
        <v>8103</v>
      </c>
      <c r="D1708" s="3" t="s">
        <v>2063</v>
      </c>
      <c r="E1708" s="3"/>
      <c r="F1708" s="3"/>
      <c r="G1708" s="3" t="s">
        <v>8104</v>
      </c>
      <c r="H1708" s="3" t="s">
        <v>2063</v>
      </c>
      <c r="I1708" s="3" t="s">
        <v>5992</v>
      </c>
      <c r="J1708" s="3" t="s">
        <v>5999</v>
      </c>
      <c r="K1708" s="4" t="b">
        <f>J1708 = "blocking"</f>
        <v>1</v>
      </c>
      <c r="L1708" s="3" t="s">
        <v>1448</v>
      </c>
      <c r="M1708" s="3" t="s">
        <v>8116</v>
      </c>
      <c r="N1708" s="5">
        <v>46223.1297337963</v>
      </c>
      <c r="O1708" s="4" t="b">
        <f>L1708 = "PASS"</f>
        <v>1</v>
      </c>
      <c r="P1708" s="4" t="b">
        <f>L1708 = "FAIL"</f>
        <v>0</v>
      </c>
      <c r="Q1708" s="4" t="b">
        <f>AND(((P1708)=TRUE), ((K1708)=TRUE))</f>
        <v>0</v>
      </c>
      <c r="R1708" s="4" t="str">
        <f>IF(((O1708)=TRUE),  I1708,  "")</f>
        <v>suite-provenance</v>
      </c>
      <c r="S1708" s="4" t="str">
        <f>IF(((Q1708)=TRUE),  I1708,  "")</f>
      </c>
      <c r="T1708" s="3" t="s">
        <v>6001</v>
      </c>
    </row>
    <row r="1709">
      <c r="A1709" s="3" t="s">
        <v>8137</v>
      </c>
      <c r="B1709" s="4" t="str">
        <f>C1709 &amp; ": " &amp; D1709</f>
        <v>question-answered: q-counsel-unreachable-not-acknowledged</v>
      </c>
      <c r="C1709" s="3" t="s">
        <v>8103</v>
      </c>
      <c r="D1709" s="3" t="s">
        <v>2067</v>
      </c>
      <c r="E1709" s="3"/>
      <c r="F1709" s="3"/>
      <c r="G1709" s="3" t="s">
        <v>8104</v>
      </c>
      <c r="H1709" s="3" t="s">
        <v>2067</v>
      </c>
      <c r="I1709" s="3" t="s">
        <v>5992</v>
      </c>
      <c r="J1709" s="3" t="s">
        <v>5999</v>
      </c>
      <c r="K1709" s="4" t="b">
        <f>J1709 = "blocking"</f>
        <v>1</v>
      </c>
      <c r="L1709" s="3" t="s">
        <v>1448</v>
      </c>
      <c r="M1709" s="3" t="s">
        <v>8107</v>
      </c>
      <c r="N1709" s="5">
        <v>46223.1297337963</v>
      </c>
      <c r="O1709" s="4" t="b">
        <f>L1709 = "PASS"</f>
        <v>1</v>
      </c>
      <c r="P1709" s="4" t="b">
        <f>L1709 = "FAIL"</f>
        <v>0</v>
      </c>
      <c r="Q1709" s="4" t="b">
        <f>AND(((P1709)=TRUE), ((K1709)=TRUE))</f>
        <v>0</v>
      </c>
      <c r="R1709" s="4" t="str">
        <f>IF(((O1709)=TRUE),  I1709,  "")</f>
        <v>suite-provenance</v>
      </c>
      <c r="S1709" s="4" t="str">
        <f>IF(((Q1709)=TRUE),  I1709,  "")</f>
      </c>
      <c r="T1709" s="3" t="s">
        <v>6001</v>
      </c>
    </row>
    <row r="1710">
      <c r="A1710" s="3" t="s">
        <v>8138</v>
      </c>
      <c r="B1710" s="4" t="str">
        <f>C1710 &amp; ": " &amp; D1710</f>
        <v>question-answered: q-counsel-retention-evidence</v>
      </c>
      <c r="C1710" s="3" t="s">
        <v>8103</v>
      </c>
      <c r="D1710" s="3" t="s">
        <v>2071</v>
      </c>
      <c r="E1710" s="3"/>
      <c r="F1710" s="3"/>
      <c r="G1710" s="3" t="s">
        <v>8104</v>
      </c>
      <c r="H1710" s="3" t="s">
        <v>2071</v>
      </c>
      <c r="I1710" s="3" t="s">
        <v>5992</v>
      </c>
      <c r="J1710" s="3" t="s">
        <v>5999</v>
      </c>
      <c r="K1710" s="4" t="b">
        <f>J1710 = "blocking"</f>
        <v>1</v>
      </c>
      <c r="L1710" s="3" t="s">
        <v>1448</v>
      </c>
      <c r="M1710" s="3" t="s">
        <v>8107</v>
      </c>
      <c r="N1710" s="5">
        <v>46223.1297337963</v>
      </c>
      <c r="O1710" s="4" t="b">
        <f>L1710 = "PASS"</f>
        <v>1</v>
      </c>
      <c r="P1710" s="4" t="b">
        <f>L1710 = "FAIL"</f>
        <v>0</v>
      </c>
      <c r="Q1710" s="4" t="b">
        <f>AND(((P1710)=TRUE), ((K1710)=TRUE))</f>
        <v>0</v>
      </c>
      <c r="R1710" s="4" t="str">
        <f>IF(((O1710)=TRUE),  I1710,  "")</f>
        <v>suite-provenance</v>
      </c>
      <c r="S1710" s="4" t="str">
        <f>IF(((Q1710)=TRUE),  I1710,  "")</f>
      </c>
      <c r="T1710" s="3" t="s">
        <v>6001</v>
      </c>
    </row>
    <row r="1711">
      <c r="A1711" s="3" t="s">
        <v>8139</v>
      </c>
      <c r="B1711" s="4" t="str">
        <f>C1711 &amp; ": " &amp; D1711</f>
        <v>question-answered: q-counsel-legal-review-gated-send</v>
      </c>
      <c r="C1711" s="3" t="s">
        <v>8103</v>
      </c>
      <c r="D1711" s="3" t="s">
        <v>2075</v>
      </c>
      <c r="E1711" s="3"/>
      <c r="F1711" s="3"/>
      <c r="G1711" s="3" t="s">
        <v>8104</v>
      </c>
      <c r="H1711" s="3" t="s">
        <v>2075</v>
      </c>
      <c r="I1711" s="3" t="s">
        <v>5992</v>
      </c>
      <c r="J1711" s="3" t="s">
        <v>5999</v>
      </c>
      <c r="K1711" s="4" t="b">
        <f>J1711 = "blocking"</f>
        <v>1</v>
      </c>
      <c r="L1711" s="3" t="s">
        <v>1448</v>
      </c>
      <c r="M1711" s="3" t="s">
        <v>8107</v>
      </c>
      <c r="N1711" s="5">
        <v>46223.1297337963</v>
      </c>
      <c r="O1711" s="4" t="b">
        <f>L1711 = "PASS"</f>
        <v>1</v>
      </c>
      <c r="P1711" s="4" t="b">
        <f>L1711 = "FAIL"</f>
        <v>0</v>
      </c>
      <c r="Q1711" s="4" t="b">
        <f>AND(((P1711)=TRUE), ((K1711)=TRUE))</f>
        <v>0</v>
      </c>
      <c r="R1711" s="4" t="str">
        <f>IF(((O1711)=TRUE),  I1711,  "")</f>
        <v>suite-provenance</v>
      </c>
      <c r="S1711" s="4" t="str">
        <f>IF(((Q1711)=TRUE),  I1711,  "")</f>
      </c>
      <c r="T1711" s="3" t="s">
        <v>6001</v>
      </c>
    </row>
    <row r="1712">
      <c r="A1712" s="3" t="s">
        <v>8140</v>
      </c>
      <c r="B1712" s="4" t="str">
        <f>C1712 &amp; ": " &amp; D1712</f>
        <v>question-answered: q-comms-oversized-sms</v>
      </c>
      <c r="C1712" s="3" t="s">
        <v>8103</v>
      </c>
      <c r="D1712" s="3" t="s">
        <v>2079</v>
      </c>
      <c r="E1712" s="3"/>
      <c r="F1712" s="3"/>
      <c r="G1712" s="3" t="s">
        <v>8104</v>
      </c>
      <c r="H1712" s="3" t="s">
        <v>2079</v>
      </c>
      <c r="I1712" s="3" t="s">
        <v>5992</v>
      </c>
      <c r="J1712" s="3" t="s">
        <v>5999</v>
      </c>
      <c r="K1712" s="4" t="b">
        <f>J1712 = "blocking"</f>
        <v>1</v>
      </c>
      <c r="L1712" s="3" t="s">
        <v>1448</v>
      </c>
      <c r="M1712" s="3" t="s">
        <v>8120</v>
      </c>
      <c r="N1712" s="5">
        <v>46223.1297337963</v>
      </c>
      <c r="O1712" s="4" t="b">
        <f>L1712 = "PASS"</f>
        <v>1</v>
      </c>
      <c r="P1712" s="4" t="b">
        <f>L1712 = "FAIL"</f>
        <v>0</v>
      </c>
      <c r="Q1712" s="4" t="b">
        <f>AND(((P1712)=TRUE), ((K1712)=TRUE))</f>
        <v>0</v>
      </c>
      <c r="R1712" s="4" t="str">
        <f>IF(((O1712)=TRUE),  I1712,  "")</f>
        <v>suite-provenance</v>
      </c>
      <c r="S1712" s="4" t="str">
        <f>IF(((Q1712)=TRUE),  I1712,  "")</f>
      </c>
      <c r="T1712" s="3" t="s">
        <v>6001</v>
      </c>
    </row>
    <row r="1713">
      <c r="A1713" s="3" t="s">
        <v>8141</v>
      </c>
      <c r="B1713" s="4" t="str">
        <f>C1713 &amp; ": " &amp; D1713</f>
        <v>question-answered: q-comms-approval-authority</v>
      </c>
      <c r="C1713" s="3" t="s">
        <v>8103</v>
      </c>
      <c r="D1713" s="3" t="s">
        <v>2083</v>
      </c>
      <c r="E1713" s="3"/>
      <c r="F1713" s="3"/>
      <c r="G1713" s="3" t="s">
        <v>8104</v>
      </c>
      <c r="H1713" s="3" t="s">
        <v>2083</v>
      </c>
      <c r="I1713" s="3" t="s">
        <v>5992</v>
      </c>
      <c r="J1713" s="3" t="s">
        <v>5999</v>
      </c>
      <c r="K1713" s="4" t="b">
        <f>J1713 = "blocking"</f>
        <v>1</v>
      </c>
      <c r="L1713" s="3" t="s">
        <v>1448</v>
      </c>
      <c r="M1713" s="3" t="s">
        <v>8116</v>
      </c>
      <c r="N1713" s="5">
        <v>46223.1297337963</v>
      </c>
      <c r="O1713" s="4" t="b">
        <f>L1713 = "PASS"</f>
        <v>1</v>
      </c>
      <c r="P1713" s="4" t="b">
        <f>L1713 = "FAIL"</f>
        <v>0</v>
      </c>
      <c r="Q1713" s="4" t="b">
        <f>AND(((P1713)=TRUE), ((K1713)=TRUE))</f>
        <v>0</v>
      </c>
      <c r="R1713" s="4" t="str">
        <f>IF(((O1713)=TRUE),  I1713,  "")</f>
        <v>suite-provenance</v>
      </c>
      <c r="S1713" s="4" t="str">
        <f>IF(((Q1713)=TRUE),  I1713,  "")</f>
      </c>
      <c r="T1713" s="3" t="s">
        <v>6001</v>
      </c>
    </row>
    <row r="1714">
      <c r="A1714" s="3" t="s">
        <v>8142</v>
      </c>
      <c r="B1714" s="4" t="str">
        <f>C1714 &amp; ": " &amp; D1714</f>
        <v>question-answered: q-comms-optout-present</v>
      </c>
      <c r="C1714" s="3" t="s">
        <v>8103</v>
      </c>
      <c r="D1714" s="3" t="s">
        <v>2087</v>
      </c>
      <c r="E1714" s="3"/>
      <c r="F1714" s="3"/>
      <c r="G1714" s="3" t="s">
        <v>8104</v>
      </c>
      <c r="H1714" s="3" t="s">
        <v>2087</v>
      </c>
      <c r="I1714" s="3" t="s">
        <v>5992</v>
      </c>
      <c r="J1714" s="3" t="s">
        <v>5999</v>
      </c>
      <c r="K1714" s="4" t="b">
        <f>J1714 = "blocking"</f>
        <v>1</v>
      </c>
      <c r="L1714" s="3" t="s">
        <v>1448</v>
      </c>
      <c r="M1714" s="3" t="s">
        <v>8107</v>
      </c>
      <c r="N1714" s="5">
        <v>46223.1297337963</v>
      </c>
      <c r="O1714" s="4" t="b">
        <f>L1714 = "PASS"</f>
        <v>1</v>
      </c>
      <c r="P1714" s="4" t="b">
        <f>L1714 = "FAIL"</f>
        <v>0</v>
      </c>
      <c r="Q1714" s="4" t="b">
        <f>AND(((P1714)=TRUE), ((K1714)=TRUE))</f>
        <v>0</v>
      </c>
      <c r="R1714" s="4" t="str">
        <f>IF(((O1714)=TRUE),  I1714,  "")</f>
        <v>suite-provenance</v>
      </c>
      <c r="S1714" s="4" t="str">
        <f>IF(((Q1714)=TRUE),  I1714,  "")</f>
      </c>
      <c r="T1714" s="3" t="s">
        <v>6001</v>
      </c>
    </row>
    <row r="1715">
      <c r="A1715" s="3" t="s">
        <v>8143</v>
      </c>
      <c r="B1715" s="4" t="str">
        <f>C1715 &amp; ": " &amp; D1715</f>
        <v>question-answered: q-comms-deliverability</v>
      </c>
      <c r="C1715" s="3" t="s">
        <v>8103</v>
      </c>
      <c r="D1715" s="3" t="s">
        <v>2091</v>
      </c>
      <c r="E1715" s="3"/>
      <c r="F1715" s="3"/>
      <c r="G1715" s="3" t="s">
        <v>8104</v>
      </c>
      <c r="H1715" s="3" t="s">
        <v>2091</v>
      </c>
      <c r="I1715" s="3" t="s">
        <v>5992</v>
      </c>
      <c r="J1715" s="3" t="s">
        <v>5999</v>
      </c>
      <c r="K1715" s="4" t="b">
        <f>J1715 = "blocking"</f>
        <v>1</v>
      </c>
      <c r="L1715" s="3" t="s">
        <v>1448</v>
      </c>
      <c r="M1715" s="3" t="s">
        <v>8116</v>
      </c>
      <c r="N1715" s="5">
        <v>46223.1297337963</v>
      </c>
      <c r="O1715" s="4" t="b">
        <f>L1715 = "PASS"</f>
        <v>1</v>
      </c>
      <c r="P1715" s="4" t="b">
        <f>L1715 = "FAIL"</f>
        <v>0</v>
      </c>
      <c r="Q1715" s="4" t="b">
        <f>AND(((P1715)=TRUE), ((K1715)=TRUE))</f>
        <v>0</v>
      </c>
      <c r="R1715" s="4" t="str">
        <f>IF(((O1715)=TRUE),  I1715,  "")</f>
        <v>suite-provenance</v>
      </c>
      <c r="S1715" s="4" t="str">
        <f>IF(((Q1715)=TRUE),  I1715,  "")</f>
      </c>
      <c r="T1715" s="3" t="s">
        <v>6001</v>
      </c>
    </row>
    <row r="1716">
      <c r="A1716" s="3" t="s">
        <v>8144</v>
      </c>
      <c r="B1716" s="4" t="str">
        <f>C1716 &amp; ": " &amp; D1716</f>
        <v>question-answered: q-comms-template-drift</v>
      </c>
      <c r="C1716" s="3" t="s">
        <v>8103</v>
      </c>
      <c r="D1716" s="3" t="s">
        <v>2095</v>
      </c>
      <c r="E1716" s="3"/>
      <c r="F1716" s="3"/>
      <c r="G1716" s="3" t="s">
        <v>8104</v>
      </c>
      <c r="H1716" s="3" t="s">
        <v>2095</v>
      </c>
      <c r="I1716" s="3" t="s">
        <v>5992</v>
      </c>
      <c r="J1716" s="3" t="s">
        <v>5999</v>
      </c>
      <c r="K1716" s="4" t="b">
        <f>J1716 = "blocking"</f>
        <v>1</v>
      </c>
      <c r="L1716" s="3" t="s">
        <v>1448</v>
      </c>
      <c r="M1716" s="3" t="s">
        <v>8120</v>
      </c>
      <c r="N1716" s="5">
        <v>46223.1297337963</v>
      </c>
      <c r="O1716" s="4" t="b">
        <f>L1716 = "PASS"</f>
        <v>1</v>
      </c>
      <c r="P1716" s="4" t="b">
        <f>L1716 = "FAIL"</f>
        <v>0</v>
      </c>
      <c r="Q1716" s="4" t="b">
        <f>AND(((P1716)=TRUE), ((K1716)=TRUE))</f>
        <v>0</v>
      </c>
      <c r="R1716" s="4" t="str">
        <f>IF(((O1716)=TRUE),  I1716,  "")</f>
        <v>suite-provenance</v>
      </c>
      <c r="S1716" s="4" t="str">
        <f>IF(((Q1716)=TRUE),  I1716,  "")</f>
      </c>
      <c r="T1716" s="3" t="s">
        <v>6001</v>
      </c>
    </row>
    <row r="1717">
      <c r="A1717" s="3" t="s">
        <v>8145</v>
      </c>
      <c r="B1717" s="4" t="str">
        <f>C1717 &amp; ": " &amp; D1717</f>
        <v>question-answered: q-publisher-may-i-transmit</v>
      </c>
      <c r="C1717" s="3" t="s">
        <v>8103</v>
      </c>
      <c r="D1717" s="3" t="s">
        <v>2099</v>
      </c>
      <c r="E1717" s="3"/>
      <c r="F1717" s="3"/>
      <c r="G1717" s="3" t="s">
        <v>8104</v>
      </c>
      <c r="H1717" s="3" t="s">
        <v>2099</v>
      </c>
      <c r="I1717" s="3" t="s">
        <v>5992</v>
      </c>
      <c r="J1717" s="3" t="s">
        <v>5999</v>
      </c>
      <c r="K1717" s="4" t="b">
        <f>J1717 = "blocking"</f>
        <v>1</v>
      </c>
      <c r="L1717" s="3" t="s">
        <v>1448</v>
      </c>
      <c r="M1717" s="3" t="s">
        <v>8127</v>
      </c>
      <c r="N1717" s="5">
        <v>46223.1297337963</v>
      </c>
      <c r="O1717" s="4" t="b">
        <f>L1717 = "PASS"</f>
        <v>1</v>
      </c>
      <c r="P1717" s="4" t="b">
        <f>L1717 = "FAIL"</f>
        <v>0</v>
      </c>
      <c r="Q1717" s="4" t="b">
        <f>AND(((P1717)=TRUE), ((K1717)=TRUE))</f>
        <v>0</v>
      </c>
      <c r="R1717" s="4" t="str">
        <f>IF(((O1717)=TRUE),  I1717,  "")</f>
        <v>suite-provenance</v>
      </c>
      <c r="S1717" s="4" t="str">
        <f>IF(((Q1717)=TRUE),  I1717,  "")</f>
      </c>
      <c r="T1717" s="3" t="s">
        <v>6001</v>
      </c>
    </row>
    <row r="1718">
      <c r="A1718" s="3" t="s">
        <v>8146</v>
      </c>
      <c r="B1718" s="4" t="str">
        <f>C1718 &amp; ": " &amp; D1718</f>
        <v>question-answered: q-publisher-may-i-transmit-now</v>
      </c>
      <c r="C1718" s="3" t="s">
        <v>8103</v>
      </c>
      <c r="D1718" s="3" t="s">
        <v>2103</v>
      </c>
      <c r="E1718" s="3"/>
      <c r="F1718" s="3"/>
      <c r="G1718" s="3" t="s">
        <v>8104</v>
      </c>
      <c r="H1718" s="3" t="s">
        <v>2103</v>
      </c>
      <c r="I1718" s="3" t="s">
        <v>5992</v>
      </c>
      <c r="J1718" s="3" t="s">
        <v>5999</v>
      </c>
      <c r="K1718" s="4" t="b">
        <f>J1718 = "blocking"</f>
        <v>1</v>
      </c>
      <c r="L1718" s="3" t="s">
        <v>1448</v>
      </c>
      <c r="M1718" s="3" t="s">
        <v>8105</v>
      </c>
      <c r="N1718" s="5">
        <v>46223.1297337963</v>
      </c>
      <c r="O1718" s="4" t="b">
        <f>L1718 = "PASS"</f>
        <v>1</v>
      </c>
      <c r="P1718" s="4" t="b">
        <f>L1718 = "FAIL"</f>
        <v>0</v>
      </c>
      <c r="Q1718" s="4" t="b">
        <f>AND(((P1718)=TRUE), ((K1718)=TRUE))</f>
        <v>0</v>
      </c>
      <c r="R1718" s="4" t="str">
        <f>IF(((O1718)=TRUE),  I1718,  "")</f>
        <v>suite-provenance</v>
      </c>
      <c r="S1718" s="4" t="str">
        <f>IF(((Q1718)=TRUE),  I1718,  "")</f>
      </c>
      <c r="T1718" s="3" t="s">
        <v>6001</v>
      </c>
    </row>
    <row r="1719">
      <c r="A1719" s="3" t="s">
        <v>8147</v>
      </c>
      <c r="B1719" s="4" t="str">
        <f>C1719 &amp; ": " &amp; D1719</f>
        <v>question-answered: q-publisher-is-this-content-permitted</v>
      </c>
      <c r="C1719" s="3" t="s">
        <v>8103</v>
      </c>
      <c r="D1719" s="3" t="s">
        <v>2107</v>
      </c>
      <c r="E1719" s="3"/>
      <c r="F1719" s="3"/>
      <c r="G1719" s="3" t="s">
        <v>8104</v>
      </c>
      <c r="H1719" s="3" t="s">
        <v>2107</v>
      </c>
      <c r="I1719" s="3" t="s">
        <v>5992</v>
      </c>
      <c r="J1719" s="3" t="s">
        <v>5999</v>
      </c>
      <c r="K1719" s="4" t="b">
        <f>J1719 = "blocking"</f>
        <v>1</v>
      </c>
      <c r="L1719" s="3" t="s">
        <v>1448</v>
      </c>
      <c r="M1719" s="3" t="s">
        <v>8120</v>
      </c>
      <c r="N1719" s="5">
        <v>46223.1297337963</v>
      </c>
      <c r="O1719" s="4" t="b">
        <f>L1719 = "PASS"</f>
        <v>1</v>
      </c>
      <c r="P1719" s="4" t="b">
        <f>L1719 = "FAIL"</f>
        <v>0</v>
      </c>
      <c r="Q1719" s="4" t="b">
        <f>AND(((P1719)=TRUE), ((K1719)=TRUE))</f>
        <v>0</v>
      </c>
      <c r="R1719" s="4" t="str">
        <f>IF(((O1719)=TRUE),  I1719,  "")</f>
        <v>suite-provenance</v>
      </c>
      <c r="S1719" s="4" t="str">
        <f>IF(((Q1719)=TRUE),  I1719,  "")</f>
      </c>
      <c r="T1719" s="3" t="s">
        <v>6001</v>
      </c>
    </row>
    <row r="1720">
      <c r="A1720" s="3" t="s">
        <v>8148</v>
      </c>
      <c r="B1720" s="4" t="str">
        <f>C1720 &amp; ": " &amp; D1720</f>
        <v>question-answered: q-publisher-am-i-authorized-to-act</v>
      </c>
      <c r="C1720" s="3" t="s">
        <v>8103</v>
      </c>
      <c r="D1720" s="3" t="s">
        <v>2111</v>
      </c>
      <c r="E1720" s="3"/>
      <c r="F1720" s="3"/>
      <c r="G1720" s="3" t="s">
        <v>8104</v>
      </c>
      <c r="H1720" s="3" t="s">
        <v>2111</v>
      </c>
      <c r="I1720" s="3" t="s">
        <v>5992</v>
      </c>
      <c r="J1720" s="3" t="s">
        <v>5999</v>
      </c>
      <c r="K1720" s="4" t="b">
        <f>J1720 = "blocking"</f>
        <v>1</v>
      </c>
      <c r="L1720" s="3" t="s">
        <v>1448</v>
      </c>
      <c r="M1720" s="3" t="s">
        <v>8107</v>
      </c>
      <c r="N1720" s="5">
        <v>46223.1297337963</v>
      </c>
      <c r="O1720" s="4" t="b">
        <f>L1720 = "PASS"</f>
        <v>1</v>
      </c>
      <c r="P1720" s="4" t="b">
        <f>L1720 = "FAIL"</f>
        <v>0</v>
      </c>
      <c r="Q1720" s="4" t="b">
        <f>AND(((P1720)=TRUE), ((K1720)=TRUE))</f>
        <v>0</v>
      </c>
      <c r="R1720" s="4" t="str">
        <f>IF(((O1720)=TRUE),  I1720,  "")</f>
        <v>suite-provenance</v>
      </c>
      <c r="S1720" s="4" t="str">
        <f>IF(((Q1720)=TRUE),  I1720,  "")</f>
      </c>
      <c r="T1720" s="3" t="s">
        <v>6001</v>
      </c>
    </row>
    <row r="1721">
      <c r="A1721" s="3" t="s">
        <v>8149</v>
      </c>
      <c r="B1721" s="4" t="str">
        <f>C1721 &amp; ": " &amp; D1721</f>
        <v>question-answered: q-publisher-refusal-was-honored</v>
      </c>
      <c r="C1721" s="3" t="s">
        <v>8103</v>
      </c>
      <c r="D1721" s="3" t="s">
        <v>2115</v>
      </c>
      <c r="E1721" s="3"/>
      <c r="F1721" s="3"/>
      <c r="G1721" s="3" t="s">
        <v>8104</v>
      </c>
      <c r="H1721" s="3" t="s">
        <v>2115</v>
      </c>
      <c r="I1721" s="3" t="s">
        <v>5992</v>
      </c>
      <c r="J1721" s="3" t="s">
        <v>5999</v>
      </c>
      <c r="K1721" s="4" t="b">
        <f>J1721 = "blocking"</f>
        <v>1</v>
      </c>
      <c r="L1721" s="3" t="s">
        <v>1448</v>
      </c>
      <c r="M1721" s="3" t="s">
        <v>8120</v>
      </c>
      <c r="N1721" s="5">
        <v>46223.1297337963</v>
      </c>
      <c r="O1721" s="4" t="b">
        <f>L1721 = "PASS"</f>
        <v>1</v>
      </c>
      <c r="P1721" s="4" t="b">
        <f>L1721 = "FAIL"</f>
        <v>0</v>
      </c>
      <c r="Q1721" s="4" t="b">
        <f>AND(((P1721)=TRUE), ((K1721)=TRUE))</f>
        <v>0</v>
      </c>
      <c r="R1721" s="4" t="str">
        <f>IF(((O1721)=TRUE),  I1721,  "")</f>
        <v>suite-provenance</v>
      </c>
      <c r="S1721" s="4" t="str">
        <f>IF(((Q1721)=TRUE),  I1721,  "")</f>
      </c>
      <c r="T1721" s="3" t="s">
        <v>6001</v>
      </c>
    </row>
    <row r="1722">
      <c r="A1722" s="3" t="s">
        <v>8150</v>
      </c>
      <c r="B1722" s="4" t="str">
        <f>C1722 &amp; ": " &amp; D1722</f>
        <v>question-answered: q-close-auto-authority-current</v>
      </c>
      <c r="C1722" s="3" t="s">
        <v>8103</v>
      </c>
      <c r="D1722" s="3" t="s">
        <v>2119</v>
      </c>
      <c r="E1722" s="3"/>
      <c r="F1722" s="3"/>
      <c r="G1722" s="3" t="s">
        <v>8104</v>
      </c>
      <c r="H1722" s="3" t="s">
        <v>2119</v>
      </c>
      <c r="I1722" s="3" t="s">
        <v>5992</v>
      </c>
      <c r="J1722" s="3" t="s">
        <v>5999</v>
      </c>
      <c r="K1722" s="4" t="b">
        <f>J1722 = "blocking"</f>
        <v>1</v>
      </c>
      <c r="L1722" s="3" t="s">
        <v>1448</v>
      </c>
      <c r="M1722" s="3" t="s">
        <v>8107</v>
      </c>
      <c r="N1722" s="5">
        <v>46223.1297337963</v>
      </c>
      <c r="O1722" s="4" t="b">
        <f>L1722 = "PASS"</f>
        <v>1</v>
      </c>
      <c r="P1722" s="4" t="b">
        <f>L1722 = "FAIL"</f>
        <v>0</v>
      </c>
      <c r="Q1722" s="4" t="b">
        <f>AND(((P1722)=TRUE), ((K1722)=TRUE))</f>
        <v>0</v>
      </c>
      <c r="R1722" s="4" t="str">
        <f>IF(((O1722)=TRUE),  I1722,  "")</f>
        <v>suite-provenance</v>
      </c>
      <c r="S1722" s="4" t="str">
        <f>IF(((Q1722)=TRUE),  I1722,  "")</f>
      </c>
      <c r="T1722" s="3" t="s">
        <v>6001</v>
      </c>
    </row>
    <row r="1723">
      <c r="A1723" s="3" t="s">
        <v>8151</v>
      </c>
      <c r="B1723" s="4" t="str">
        <f>C1723 &amp; ": " &amp; D1723</f>
        <v>question-answered: q-close-auto-input-freshness</v>
      </c>
      <c r="C1723" s="3" t="s">
        <v>8103</v>
      </c>
      <c r="D1723" s="3" t="s">
        <v>2123</v>
      </c>
      <c r="E1723" s="3"/>
      <c r="F1723" s="3"/>
      <c r="G1723" s="3" t="s">
        <v>8104</v>
      </c>
      <c r="H1723" s="3" t="s">
        <v>2123</v>
      </c>
      <c r="I1723" s="3" t="s">
        <v>5992</v>
      </c>
      <c r="J1723" s="3" t="s">
        <v>5999</v>
      </c>
      <c r="K1723" s="4" t="b">
        <f>J1723 = "blocking"</f>
        <v>1</v>
      </c>
      <c r="L1723" s="3" t="s">
        <v>1448</v>
      </c>
      <c r="M1723" s="3" t="s">
        <v>8109</v>
      </c>
      <c r="N1723" s="5">
        <v>46223.1297337963</v>
      </c>
      <c r="O1723" s="4" t="b">
        <f>L1723 = "PASS"</f>
        <v>1</v>
      </c>
      <c r="P1723" s="4" t="b">
        <f>L1723 = "FAIL"</f>
        <v>0</v>
      </c>
      <c r="Q1723" s="4" t="b">
        <f>AND(((P1723)=TRUE), ((K1723)=TRUE))</f>
        <v>0</v>
      </c>
      <c r="R1723" s="4" t="str">
        <f>IF(((O1723)=TRUE),  I1723,  "")</f>
        <v>suite-provenance</v>
      </c>
      <c r="S1723" s="4" t="str">
        <f>IF(((Q1723)=TRUE),  I1723,  "")</f>
      </c>
      <c r="T1723" s="3" t="s">
        <v>6001</v>
      </c>
    </row>
    <row r="1724">
      <c r="A1724" s="3" t="s">
        <v>8152</v>
      </c>
      <c r="B1724" s="4" t="str">
        <f>C1724 &amp; ": " &amp; D1724</f>
        <v>question-answered: q-close-auto-last-run-clean</v>
      </c>
      <c r="C1724" s="3" t="s">
        <v>8103</v>
      </c>
      <c r="D1724" s="3" t="s">
        <v>2127</v>
      </c>
      <c r="E1724" s="3"/>
      <c r="F1724" s="3"/>
      <c r="G1724" s="3" t="s">
        <v>8104</v>
      </c>
      <c r="H1724" s="3" t="s">
        <v>2127</v>
      </c>
      <c r="I1724" s="3" t="s">
        <v>5992</v>
      </c>
      <c r="J1724" s="3" t="s">
        <v>5999</v>
      </c>
      <c r="K1724" s="4" t="b">
        <f>J1724 = "blocking"</f>
        <v>1</v>
      </c>
      <c r="L1724" s="3" t="s">
        <v>1448</v>
      </c>
      <c r="M1724" s="3" t="s">
        <v>8107</v>
      </c>
      <c r="N1724" s="5">
        <v>46223.1297337963</v>
      </c>
      <c r="O1724" s="4" t="b">
        <f>L1724 = "PASS"</f>
        <v>1</v>
      </c>
      <c r="P1724" s="4" t="b">
        <f>L1724 = "FAIL"</f>
        <v>0</v>
      </c>
      <c r="Q1724" s="4" t="b">
        <f>AND(((P1724)=TRUE), ((K1724)=TRUE))</f>
        <v>0</v>
      </c>
      <c r="R1724" s="4" t="str">
        <f>IF(((O1724)=TRUE),  I1724,  "")</f>
        <v>suite-provenance</v>
      </c>
      <c r="S1724" s="4" t="str">
        <f>IF(((Q1724)=TRUE),  I1724,  "")</f>
      </c>
      <c r="T1724" s="3" t="s">
        <v>6001</v>
      </c>
    </row>
    <row r="1725">
      <c r="A1725" s="3" t="s">
        <v>8153</v>
      </c>
      <c r="B1725" s="4" t="str">
        <f>C1725 &amp; ": " &amp; D1725</f>
        <v>question-answered: q-close-auto-blocking-requirements-evaluated</v>
      </c>
      <c r="C1725" s="3" t="s">
        <v>8103</v>
      </c>
      <c r="D1725" s="3" t="s">
        <v>2131</v>
      </c>
      <c r="E1725" s="3"/>
      <c r="F1725" s="3"/>
      <c r="G1725" s="3" t="s">
        <v>8104</v>
      </c>
      <c r="H1725" s="3" t="s">
        <v>2131</v>
      </c>
      <c r="I1725" s="3" t="s">
        <v>5992</v>
      </c>
      <c r="J1725" s="3" t="s">
        <v>5999</v>
      </c>
      <c r="K1725" s="4" t="b">
        <f>J1725 = "blocking"</f>
        <v>1</v>
      </c>
      <c r="L1725" s="3" t="s">
        <v>1448</v>
      </c>
      <c r="M1725" s="3" t="s">
        <v>8154</v>
      </c>
      <c r="N1725" s="5">
        <v>46223.1297337963</v>
      </c>
      <c r="O1725" s="4" t="b">
        <f>L1725 = "PASS"</f>
        <v>1</v>
      </c>
      <c r="P1725" s="4" t="b">
        <f>L1725 = "FAIL"</f>
        <v>0</v>
      </c>
      <c r="Q1725" s="4" t="b">
        <f>AND(((P1725)=TRUE), ((K1725)=TRUE))</f>
        <v>0</v>
      </c>
      <c r="R1725" s="4" t="str">
        <f>IF(((O1725)=TRUE),  I1725,  "")</f>
        <v>suite-provenance</v>
      </c>
      <c r="S1725" s="4" t="str">
        <f>IF(((Q1725)=TRUE),  I1725,  "")</f>
      </c>
      <c r="T1725" s="3" t="s">
        <v>6001</v>
      </c>
    </row>
    <row r="1726">
      <c r="A1726" s="3" t="s">
        <v>8155</v>
      </c>
      <c r="B1726" s="4" t="str">
        <f>C1726 &amp; ": " &amp; D1726</f>
        <v>question-answered: q-close-auto-human-override-drift</v>
      </c>
      <c r="C1726" s="3" t="s">
        <v>8103</v>
      </c>
      <c r="D1726" s="3" t="s">
        <v>2135</v>
      </c>
      <c r="E1726" s="3"/>
      <c r="F1726" s="3"/>
      <c r="G1726" s="3" t="s">
        <v>8104</v>
      </c>
      <c r="H1726" s="3" t="s">
        <v>2135</v>
      </c>
      <c r="I1726" s="3" t="s">
        <v>5992</v>
      </c>
      <c r="J1726" s="3" t="s">
        <v>5999</v>
      </c>
      <c r="K1726" s="4" t="b">
        <f>J1726 = "blocking"</f>
        <v>1</v>
      </c>
      <c r="L1726" s="3" t="s">
        <v>1448</v>
      </c>
      <c r="M1726" s="3" t="s">
        <v>8107</v>
      </c>
      <c r="N1726" s="5">
        <v>46223.1297337963</v>
      </c>
      <c r="O1726" s="4" t="b">
        <f>L1726 = "PASS"</f>
        <v>1</v>
      </c>
      <c r="P1726" s="4" t="b">
        <f>L1726 = "FAIL"</f>
        <v>0</v>
      </c>
      <c r="Q1726" s="4" t="b">
        <f>AND(((P1726)=TRUE), ((K1726)=TRUE))</f>
        <v>0</v>
      </c>
      <c r="R1726" s="4" t="str">
        <f>IF(((O1726)=TRUE),  I1726,  "")</f>
        <v>suite-provenance</v>
      </c>
      <c r="S1726" s="4" t="str">
        <f>IF(((Q1726)=TRUE),  I1726,  "")</f>
      </c>
      <c r="T1726" s="3" t="s">
        <v>6001</v>
      </c>
    </row>
    <row r="1727">
      <c r="A1727" s="3" t="s">
        <v>8156</v>
      </c>
      <c r="B1727" s="4" t="str">
        <f>C1727 &amp; ": " &amp; D1727</f>
        <v>question-answered: q-hr-authority-without-review</v>
      </c>
      <c r="C1727" s="3" t="s">
        <v>8103</v>
      </c>
      <c r="D1727" s="3" t="s">
        <v>2139</v>
      </c>
      <c r="E1727" s="3"/>
      <c r="F1727" s="3"/>
      <c r="G1727" s="3" t="s">
        <v>8104</v>
      </c>
      <c r="H1727" s="3" t="s">
        <v>2139</v>
      </c>
      <c r="I1727" s="3" t="s">
        <v>5992</v>
      </c>
      <c r="J1727" s="3" t="s">
        <v>5999</v>
      </c>
      <c r="K1727" s="4" t="b">
        <f>J1727 = "blocking"</f>
        <v>1</v>
      </c>
      <c r="L1727" s="3" t="s">
        <v>1448</v>
      </c>
      <c r="M1727" s="3" t="s">
        <v>8109</v>
      </c>
      <c r="N1727" s="5">
        <v>46223.1297337963</v>
      </c>
      <c r="O1727" s="4" t="b">
        <f>L1727 = "PASS"</f>
        <v>1</v>
      </c>
      <c r="P1727" s="4" t="b">
        <f>L1727 = "FAIL"</f>
        <v>0</v>
      </c>
      <c r="Q1727" s="4" t="b">
        <f>AND(((P1727)=TRUE), ((K1727)=TRUE))</f>
        <v>0</v>
      </c>
      <c r="R1727" s="4" t="str">
        <f>IF(((O1727)=TRUE),  I1727,  "")</f>
        <v>suite-provenance</v>
      </c>
      <c r="S1727" s="4" t="str">
        <f>IF(((Q1727)=TRUE),  I1727,  "")</f>
      </c>
      <c r="T1727" s="3" t="s">
        <v>6001</v>
      </c>
    </row>
    <row r="1728">
      <c r="A1728" s="3" t="s">
        <v>8157</v>
      </c>
      <c r="B1728" s="4" t="str">
        <f>C1728 &amp; ": " &amp; D1728</f>
        <v>question-answered: q-hr-ai-authored-commitments</v>
      </c>
      <c r="C1728" s="3" t="s">
        <v>8103</v>
      </c>
      <c r="D1728" s="3" t="s">
        <v>2143</v>
      </c>
      <c r="E1728" s="3"/>
      <c r="F1728" s="3"/>
      <c r="G1728" s="3" t="s">
        <v>8104</v>
      </c>
      <c r="H1728" s="3" t="s">
        <v>2143</v>
      </c>
      <c r="I1728" s="3" t="s">
        <v>5992</v>
      </c>
      <c r="J1728" s="3" t="s">
        <v>5999</v>
      </c>
      <c r="K1728" s="4" t="b">
        <f>J1728 = "blocking"</f>
        <v>1</v>
      </c>
      <c r="L1728" s="3" t="s">
        <v>1448</v>
      </c>
      <c r="M1728" s="3" t="s">
        <v>8105</v>
      </c>
      <c r="N1728" s="5">
        <v>46223.1297337963</v>
      </c>
      <c r="O1728" s="4" t="b">
        <f>L1728 = "PASS"</f>
        <v>1</v>
      </c>
      <c r="P1728" s="4" t="b">
        <f>L1728 = "FAIL"</f>
        <v>0</v>
      </c>
      <c r="Q1728" s="4" t="b">
        <f>AND(((P1728)=TRUE), ((K1728)=TRUE))</f>
        <v>0</v>
      </c>
      <c r="R1728" s="4" t="str">
        <f>IF(((O1728)=TRUE),  I1728,  "")</f>
        <v>suite-provenance</v>
      </c>
      <c r="S1728" s="4" t="str">
        <f>IF(((Q1728)=TRUE),  I1728,  "")</f>
      </c>
      <c r="T1728" s="3" t="s">
        <v>6001</v>
      </c>
    </row>
    <row r="1729">
      <c r="A1729" s="3" t="s">
        <v>8158</v>
      </c>
      <c r="B1729" s="4" t="str">
        <f>C1729 &amp; ": " &amp; D1729</f>
        <v>question-answered: q-hr-unapproved-knowledge-in-my-name</v>
      </c>
      <c r="C1729" s="3" t="s">
        <v>8103</v>
      </c>
      <c r="D1729" s="3" t="s">
        <v>2147</v>
      </c>
      <c r="E1729" s="3"/>
      <c r="F1729" s="3"/>
      <c r="G1729" s="3" t="s">
        <v>8104</v>
      </c>
      <c r="H1729" s="3" t="s">
        <v>2147</v>
      </c>
      <c r="I1729" s="3" t="s">
        <v>5992</v>
      </c>
      <c r="J1729" s="3" t="s">
        <v>5999</v>
      </c>
      <c r="K1729" s="4" t="b">
        <f>J1729 = "blocking"</f>
        <v>1</v>
      </c>
      <c r="L1729" s="3" t="s">
        <v>1448</v>
      </c>
      <c r="M1729" s="3" t="s">
        <v>8105</v>
      </c>
      <c r="N1729" s="5">
        <v>46223.1297337963</v>
      </c>
      <c r="O1729" s="4" t="b">
        <f>L1729 = "PASS"</f>
        <v>1</v>
      </c>
      <c r="P1729" s="4" t="b">
        <f>L1729 = "FAIL"</f>
        <v>0</v>
      </c>
      <c r="Q1729" s="4" t="b">
        <f>AND(((P1729)=TRUE), ((K1729)=TRUE))</f>
        <v>0</v>
      </c>
      <c r="R1729" s="4" t="str">
        <f>IF(((O1729)=TRUE),  I1729,  "")</f>
        <v>suite-provenance</v>
      </c>
      <c r="S1729" s="4" t="str">
        <f>IF(((Q1729)=TRUE),  I1729,  "")</f>
      </c>
      <c r="T1729" s="3" t="s">
        <v>6001</v>
      </c>
    </row>
    <row r="1730">
      <c r="A1730" s="3" t="s">
        <v>8159</v>
      </c>
      <c r="B1730" s="4" t="str">
        <f>C1730 &amp; ": " &amp; D1730</f>
        <v>question-answered: q-hr-what-was-actually-sent</v>
      </c>
      <c r="C1730" s="3" t="s">
        <v>8103</v>
      </c>
      <c r="D1730" s="3" t="s">
        <v>2151</v>
      </c>
      <c r="E1730" s="3"/>
      <c r="F1730" s="3"/>
      <c r="G1730" s="3" t="s">
        <v>8104</v>
      </c>
      <c r="H1730" s="3" t="s">
        <v>2151</v>
      </c>
      <c r="I1730" s="3" t="s">
        <v>5992</v>
      </c>
      <c r="J1730" s="3" t="s">
        <v>5999</v>
      </c>
      <c r="K1730" s="4" t="b">
        <f>J1730 = "blocking"</f>
        <v>1</v>
      </c>
      <c r="L1730" s="3" t="s">
        <v>1448</v>
      </c>
      <c r="M1730" s="3" t="s">
        <v>8105</v>
      </c>
      <c r="N1730" s="5">
        <v>46223.1297337963</v>
      </c>
      <c r="O1730" s="4" t="b">
        <f>L1730 = "PASS"</f>
        <v>1</v>
      </c>
      <c r="P1730" s="4" t="b">
        <f>L1730 = "FAIL"</f>
        <v>0</v>
      </c>
      <c r="Q1730" s="4" t="b">
        <f>AND(((P1730)=TRUE), ((K1730)=TRUE))</f>
        <v>0</v>
      </c>
      <c r="R1730" s="4" t="str">
        <f>IF(((O1730)=TRUE),  I1730,  "")</f>
        <v>suite-provenance</v>
      </c>
      <c r="S1730" s="4" t="str">
        <f>IF(((Q1730)=TRUE),  I1730,  "")</f>
      </c>
      <c r="T1730" s="3" t="s">
        <v>6001</v>
      </c>
    </row>
    <row r="1731">
      <c r="A1731" s="3" t="s">
        <v>8160</v>
      </c>
      <c r="B1731" s="4" t="str">
        <f>C1731 &amp; ": " &amp; D1731</f>
        <v>question-answered: q-hr-policy-knowledge-half-life</v>
      </c>
      <c r="C1731" s="3" t="s">
        <v>8103</v>
      </c>
      <c r="D1731" s="3" t="s">
        <v>2155</v>
      </c>
      <c r="E1731" s="3"/>
      <c r="F1731" s="3"/>
      <c r="G1731" s="3" t="s">
        <v>8104</v>
      </c>
      <c r="H1731" s="3" t="s">
        <v>2155</v>
      </c>
      <c r="I1731" s="3" t="s">
        <v>5992</v>
      </c>
      <c r="J1731" s="3" t="s">
        <v>5999</v>
      </c>
      <c r="K1731" s="4" t="b">
        <f>J1731 = "blocking"</f>
        <v>1</v>
      </c>
      <c r="L1731" s="3" t="s">
        <v>1448</v>
      </c>
      <c r="M1731" s="3" t="s">
        <v>8105</v>
      </c>
      <c r="N1731" s="5">
        <v>46223.1297337963</v>
      </c>
      <c r="O1731" s="4" t="b">
        <f>L1731 = "PASS"</f>
        <v>1</v>
      </c>
      <c r="P1731" s="4" t="b">
        <f>L1731 = "FAIL"</f>
        <v>0</v>
      </c>
      <c r="Q1731" s="4" t="b">
        <f>AND(((P1731)=TRUE), ((K1731)=TRUE))</f>
        <v>0</v>
      </c>
      <c r="R1731" s="4" t="str">
        <f>IF(((O1731)=TRUE),  I1731,  "")</f>
        <v>suite-provenance</v>
      </c>
      <c r="S1731" s="4" t="str">
        <f>IF(((Q1731)=TRUE),  I1731,  "")</f>
      </c>
      <c r="T1731" s="3" t="s">
        <v>6001</v>
      </c>
    </row>
    <row r="1732">
      <c r="A1732" s="3" t="s">
        <v>8161</v>
      </c>
      <c r="B1732" s="4" t="str">
        <f>C1732 &amp; ": " &amp; D1732</f>
        <v>question-answered: q-variance-ai-authority-provenance</v>
      </c>
      <c r="C1732" s="3" t="s">
        <v>8103</v>
      </c>
      <c r="D1732" s="3" t="s">
        <v>2159</v>
      </c>
      <c r="E1732" s="3"/>
      <c r="F1732" s="3"/>
      <c r="G1732" s="3" t="s">
        <v>8104</v>
      </c>
      <c r="H1732" s="3" t="s">
        <v>2159</v>
      </c>
      <c r="I1732" s="3" t="s">
        <v>5992</v>
      </c>
      <c r="J1732" s="3" t="s">
        <v>5999</v>
      </c>
      <c r="K1732" s="4" t="b">
        <f>J1732 = "blocking"</f>
        <v>1</v>
      </c>
      <c r="L1732" s="3" t="s">
        <v>1448</v>
      </c>
      <c r="M1732" s="3" t="s">
        <v>8107</v>
      </c>
      <c r="N1732" s="5">
        <v>46223.1297337963</v>
      </c>
      <c r="O1732" s="4" t="b">
        <f>L1732 = "PASS"</f>
        <v>1</v>
      </c>
      <c r="P1732" s="4" t="b">
        <f>L1732 = "FAIL"</f>
        <v>0</v>
      </c>
      <c r="Q1732" s="4" t="b">
        <f>AND(((P1732)=TRUE), ((K1732)=TRUE))</f>
        <v>0</v>
      </c>
      <c r="R1732" s="4" t="str">
        <f>IF(((O1732)=TRUE),  I1732,  "")</f>
        <v>suite-provenance</v>
      </c>
      <c r="S1732" s="4" t="str">
        <f>IF(((Q1732)=TRUE),  I1732,  "")</f>
      </c>
      <c r="T1732" s="3" t="s">
        <v>6001</v>
      </c>
    </row>
    <row r="1733">
      <c r="A1733" s="3" t="s">
        <v>8162</v>
      </c>
      <c r="B1733" s="4" t="str">
        <f>C1733 &amp; ": " &amp; D1733</f>
        <v>question-answered: q-variance-ai-quality-vs-human-baseline</v>
      </c>
      <c r="C1733" s="3" t="s">
        <v>8103</v>
      </c>
      <c r="D1733" s="3" t="s">
        <v>2163</v>
      </c>
      <c r="E1733" s="3"/>
      <c r="F1733" s="3"/>
      <c r="G1733" s="3" t="s">
        <v>8104</v>
      </c>
      <c r="H1733" s="3" t="s">
        <v>2163</v>
      </c>
      <c r="I1733" s="3" t="s">
        <v>5992</v>
      </c>
      <c r="J1733" s="3" t="s">
        <v>5999</v>
      </c>
      <c r="K1733" s="4" t="b">
        <f>J1733 = "blocking"</f>
        <v>1</v>
      </c>
      <c r="L1733" s="3" t="s">
        <v>1448</v>
      </c>
      <c r="M1733" s="3" t="s">
        <v>8105</v>
      </c>
      <c r="N1733" s="5">
        <v>46223.1297337963</v>
      </c>
      <c r="O1733" s="4" t="b">
        <f>L1733 = "PASS"</f>
        <v>1</v>
      </c>
      <c r="P1733" s="4" t="b">
        <f>L1733 = "FAIL"</f>
        <v>0</v>
      </c>
      <c r="Q1733" s="4" t="b">
        <f>AND(((P1733)=TRUE), ((K1733)=TRUE))</f>
        <v>0</v>
      </c>
      <c r="R1733" s="4" t="str">
        <f>IF(((O1733)=TRUE),  I1733,  "")</f>
        <v>suite-provenance</v>
      </c>
      <c r="S1733" s="4" t="str">
        <f>IF(((Q1733)=TRUE),  I1733,  "")</f>
      </c>
      <c r="T1733" s="3" t="s">
        <v>6001</v>
      </c>
    </row>
    <row r="1734">
      <c r="A1734" s="3" t="s">
        <v>8163</v>
      </c>
      <c r="B1734" s="4" t="str">
        <f>C1734 &amp; ": " &amp; D1734</f>
        <v>question-answered: q-variance-ai-boundary-compliance</v>
      </c>
      <c r="C1734" s="3" t="s">
        <v>8103</v>
      </c>
      <c r="D1734" s="3" t="s">
        <v>2167</v>
      </c>
      <c r="E1734" s="3"/>
      <c r="F1734" s="3"/>
      <c r="G1734" s="3" t="s">
        <v>8104</v>
      </c>
      <c r="H1734" s="3" t="s">
        <v>2167</v>
      </c>
      <c r="I1734" s="3" t="s">
        <v>5992</v>
      </c>
      <c r="J1734" s="3" t="s">
        <v>5999</v>
      </c>
      <c r="K1734" s="4" t="b">
        <f>J1734 = "blocking"</f>
        <v>1</v>
      </c>
      <c r="L1734" s="3" t="s">
        <v>1448</v>
      </c>
      <c r="M1734" s="3" t="s">
        <v>8120</v>
      </c>
      <c r="N1734" s="5">
        <v>46223.1297337963</v>
      </c>
      <c r="O1734" s="4" t="b">
        <f>L1734 = "PASS"</f>
        <v>1</v>
      </c>
      <c r="P1734" s="4" t="b">
        <f>L1734 = "FAIL"</f>
        <v>0</v>
      </c>
      <c r="Q1734" s="4" t="b">
        <f>AND(((P1734)=TRUE), ((K1734)=TRUE))</f>
        <v>0</v>
      </c>
      <c r="R1734" s="4" t="str">
        <f>IF(((O1734)=TRUE),  I1734,  "")</f>
        <v>suite-provenance</v>
      </c>
      <c r="S1734" s="4" t="str">
        <f>IF(((Q1734)=TRUE),  I1734,  "")</f>
      </c>
      <c r="T1734" s="3" t="s">
        <v>6001</v>
      </c>
    </row>
    <row r="1735">
      <c r="A1735" s="3" t="s">
        <v>8164</v>
      </c>
      <c r="B1735" s="4" t="str">
        <f>C1735 &amp; ": " &amp; D1735</f>
        <v>question-answered: q-variance-ai-human-confirmation-present</v>
      </c>
      <c r="C1735" s="3" t="s">
        <v>8103</v>
      </c>
      <c r="D1735" s="3" t="s">
        <v>2171</v>
      </c>
      <c r="E1735" s="3"/>
      <c r="F1735" s="3"/>
      <c r="G1735" s="3" t="s">
        <v>8104</v>
      </c>
      <c r="H1735" s="3" t="s">
        <v>2171</v>
      </c>
      <c r="I1735" s="3" t="s">
        <v>5992</v>
      </c>
      <c r="J1735" s="3" t="s">
        <v>5999</v>
      </c>
      <c r="K1735" s="4" t="b">
        <f>J1735 = "blocking"</f>
        <v>1</v>
      </c>
      <c r="L1735" s="3" t="s">
        <v>1448</v>
      </c>
      <c r="M1735" s="3" t="s">
        <v>8107</v>
      </c>
      <c r="N1735" s="5">
        <v>46223.1297337963</v>
      </c>
      <c r="O1735" s="4" t="b">
        <f>L1735 = "PASS"</f>
        <v>1</v>
      </c>
      <c r="P1735" s="4" t="b">
        <f>L1735 = "FAIL"</f>
        <v>0</v>
      </c>
      <c r="Q1735" s="4" t="b">
        <f>AND(((P1735)=TRUE), ((K1735)=TRUE))</f>
        <v>0</v>
      </c>
      <c r="R1735" s="4" t="str">
        <f>IF(((O1735)=TRUE),  I1735,  "")</f>
        <v>suite-provenance</v>
      </c>
      <c r="S1735" s="4" t="str">
        <f>IF(((Q1735)=TRUE),  I1735,  "")</f>
      </c>
      <c r="T1735" s="3" t="s">
        <v>6001</v>
      </c>
    </row>
    <row r="1736">
      <c r="A1736" s="3" t="s">
        <v>8165</v>
      </c>
      <c r="B1736" s="4" t="str">
        <f>C1736 &amp; ": " &amp; D1736</f>
        <v>question-answered: q-variance-ai-knowledge-currency</v>
      </c>
      <c r="C1736" s="3" t="s">
        <v>8103</v>
      </c>
      <c r="D1736" s="3" t="s">
        <v>2175</v>
      </c>
      <c r="E1736" s="3"/>
      <c r="F1736" s="3"/>
      <c r="G1736" s="3" t="s">
        <v>8104</v>
      </c>
      <c r="H1736" s="3" t="s">
        <v>2175</v>
      </c>
      <c r="I1736" s="3" t="s">
        <v>5992</v>
      </c>
      <c r="J1736" s="3" t="s">
        <v>5999</v>
      </c>
      <c r="K1736" s="4" t="b">
        <f>J1736 = "blocking"</f>
        <v>1</v>
      </c>
      <c r="L1736" s="3" t="s">
        <v>1448</v>
      </c>
      <c r="M1736" s="3" t="s">
        <v>8107</v>
      </c>
      <c r="N1736" s="5">
        <v>46223.1297337963</v>
      </c>
      <c r="O1736" s="4" t="b">
        <f>L1736 = "PASS"</f>
        <v>1</v>
      </c>
      <c r="P1736" s="4" t="b">
        <f>L1736 = "FAIL"</f>
        <v>0</v>
      </c>
      <c r="Q1736" s="4" t="b">
        <f>AND(((P1736)=TRUE), ((K1736)=TRUE))</f>
        <v>0</v>
      </c>
      <c r="R1736" s="4" t="str">
        <f>IF(((O1736)=TRUE),  I1736,  "")</f>
        <v>suite-provenance</v>
      </c>
      <c r="S1736" s="4" t="str">
        <f>IF(((Q1736)=TRUE),  I1736,  "")</f>
      </c>
      <c r="T1736" s="3" t="s">
        <v>6001</v>
      </c>
    </row>
    <row r="1737">
      <c r="A1737" s="3" t="s">
        <v>8166</v>
      </c>
      <c r="B1737" s="4" t="str">
        <f>C1737 &amp; ": " &amp; D1737</f>
        <v>question-answered: q-policy-ai-no-role-assignment</v>
      </c>
      <c r="C1737" s="3" t="s">
        <v>8103</v>
      </c>
      <c r="D1737" s="3" t="s">
        <v>2179</v>
      </c>
      <c r="E1737" s="3"/>
      <c r="F1737" s="3"/>
      <c r="G1737" s="3" t="s">
        <v>8104</v>
      </c>
      <c r="H1737" s="3" t="s">
        <v>2179</v>
      </c>
      <c r="I1737" s="3" t="s">
        <v>5992</v>
      </c>
      <c r="J1737" s="3" t="s">
        <v>5999</v>
      </c>
      <c r="K1737" s="4" t="b">
        <f>J1737 = "blocking"</f>
        <v>1</v>
      </c>
      <c r="L1737" s="3" t="s">
        <v>1448</v>
      </c>
      <c r="M1737" s="3" t="s">
        <v>8167</v>
      </c>
      <c r="N1737" s="5">
        <v>46223.1297337963</v>
      </c>
      <c r="O1737" s="4" t="b">
        <f>L1737 = "PASS"</f>
        <v>1</v>
      </c>
      <c r="P1737" s="4" t="b">
        <f>L1737 = "FAIL"</f>
        <v>0</v>
      </c>
      <c r="Q1737" s="4" t="b">
        <f>AND(((P1737)=TRUE), ((K1737)=TRUE))</f>
        <v>0</v>
      </c>
      <c r="R1737" s="4" t="str">
        <f>IF(((O1737)=TRUE),  I1737,  "")</f>
        <v>suite-provenance</v>
      </c>
      <c r="S1737" s="4" t="str">
        <f>IF(((Q1737)=TRUE),  I1737,  "")</f>
      </c>
      <c r="T1737" s="3" t="s">
        <v>6001</v>
      </c>
    </row>
    <row r="1738">
      <c r="A1738" s="3" t="s">
        <v>8168</v>
      </c>
      <c r="B1738" s="4" t="str">
        <f>C1738 &amp; ": " &amp; D1738</f>
        <v>question-answered: q-policy-ai-source-approval</v>
      </c>
      <c r="C1738" s="3" t="s">
        <v>8103</v>
      </c>
      <c r="D1738" s="3" t="s">
        <v>2183</v>
      </c>
      <c r="E1738" s="3"/>
      <c r="F1738" s="3"/>
      <c r="G1738" s="3" t="s">
        <v>8104</v>
      </c>
      <c r="H1738" s="3" t="s">
        <v>2183</v>
      </c>
      <c r="I1738" s="3" t="s">
        <v>5992</v>
      </c>
      <c r="J1738" s="3" t="s">
        <v>5999</v>
      </c>
      <c r="K1738" s="4" t="b">
        <f>J1738 = "blocking"</f>
        <v>1</v>
      </c>
      <c r="L1738" s="3" t="s">
        <v>1448</v>
      </c>
      <c r="M1738" s="3" t="s">
        <v>8120</v>
      </c>
      <c r="N1738" s="5">
        <v>46223.1297337963</v>
      </c>
      <c r="O1738" s="4" t="b">
        <f>L1738 = "PASS"</f>
        <v>1</v>
      </c>
      <c r="P1738" s="4" t="b">
        <f>L1738 = "FAIL"</f>
        <v>0</v>
      </c>
      <c r="Q1738" s="4" t="b">
        <f>AND(((P1738)=TRUE), ((K1738)=TRUE))</f>
        <v>0</v>
      </c>
      <c r="R1738" s="4" t="str">
        <f>IF(((O1738)=TRUE),  I1738,  "")</f>
        <v>suite-provenance</v>
      </c>
      <c r="S1738" s="4" t="str">
        <f>IF(((Q1738)=TRUE),  I1738,  "")</f>
      </c>
      <c r="T1738" s="3" t="s">
        <v>6001</v>
      </c>
    </row>
    <row r="1739">
      <c r="A1739" s="3" t="s">
        <v>8169</v>
      </c>
      <c r="B1739" s="4" t="str">
        <f>C1739 &amp; ": " &amp; D1739</f>
        <v>question-answered: q-policy-ai-commitment-boundary</v>
      </c>
      <c r="C1739" s="3" t="s">
        <v>8103</v>
      </c>
      <c r="D1739" s="3" t="s">
        <v>2187</v>
      </c>
      <c r="E1739" s="3"/>
      <c r="F1739" s="3"/>
      <c r="G1739" s="3" t="s">
        <v>8104</v>
      </c>
      <c r="H1739" s="3" t="s">
        <v>2187</v>
      </c>
      <c r="I1739" s="3" t="s">
        <v>5992</v>
      </c>
      <c r="J1739" s="3" t="s">
        <v>5999</v>
      </c>
      <c r="K1739" s="4" t="b">
        <f>J1739 = "blocking"</f>
        <v>1</v>
      </c>
      <c r="L1739" s="3" t="s">
        <v>1448</v>
      </c>
      <c r="M1739" s="3" t="s">
        <v>8154</v>
      </c>
      <c r="N1739" s="5">
        <v>46223.1297337963</v>
      </c>
      <c r="O1739" s="4" t="b">
        <f>L1739 = "PASS"</f>
        <v>1</v>
      </c>
      <c r="P1739" s="4" t="b">
        <f>L1739 = "FAIL"</f>
        <v>0</v>
      </c>
      <c r="Q1739" s="4" t="b">
        <f>AND(((P1739)=TRUE), ((K1739)=TRUE))</f>
        <v>0</v>
      </c>
      <c r="R1739" s="4" t="str">
        <f>IF(((O1739)=TRUE),  I1739,  "")</f>
        <v>suite-provenance</v>
      </c>
      <c r="S1739" s="4" t="str">
        <f>IF(((Q1739)=TRUE),  I1739,  "")</f>
      </c>
      <c r="T1739" s="3" t="s">
        <v>6001</v>
      </c>
    </row>
    <row r="1740">
      <c r="A1740" s="3" t="s">
        <v>8170</v>
      </c>
      <c r="B1740" s="4" t="str">
        <f>C1740 &amp; ": " &amp; D1740</f>
        <v>question-answered: q-policy-ai-downstream-rewrite</v>
      </c>
      <c r="C1740" s="3" t="s">
        <v>8103</v>
      </c>
      <c r="D1740" s="3" t="s">
        <v>2191</v>
      </c>
      <c r="E1740" s="3"/>
      <c r="F1740" s="3"/>
      <c r="G1740" s="3" t="s">
        <v>8104</v>
      </c>
      <c r="H1740" s="3" t="s">
        <v>2191</v>
      </c>
      <c r="I1740" s="3" t="s">
        <v>5992</v>
      </c>
      <c r="J1740" s="3" t="s">
        <v>5999</v>
      </c>
      <c r="K1740" s="4" t="b">
        <f>J1740 = "blocking"</f>
        <v>1</v>
      </c>
      <c r="L1740" s="3" t="s">
        <v>1448</v>
      </c>
      <c r="M1740" s="3" t="s">
        <v>8105</v>
      </c>
      <c r="N1740" s="5">
        <v>46223.1297337963</v>
      </c>
      <c r="O1740" s="4" t="b">
        <f>L1740 = "PASS"</f>
        <v>1</v>
      </c>
      <c r="P1740" s="4" t="b">
        <f>L1740 = "FAIL"</f>
        <v>0</v>
      </c>
      <c r="Q1740" s="4" t="b">
        <f>AND(((P1740)=TRUE), ((K1740)=TRUE))</f>
        <v>0</v>
      </c>
      <c r="R1740" s="4" t="str">
        <f>IF(((O1740)=TRUE),  I1740,  "")</f>
        <v>suite-provenance</v>
      </c>
      <c r="S1740" s="4" t="str">
        <f>IF(((Q1740)=TRUE),  I1740,  "")</f>
      </c>
      <c r="T1740" s="3" t="s">
        <v>6001</v>
      </c>
    </row>
    <row r="1741">
      <c r="A1741" s="3" t="s">
        <v>8171</v>
      </c>
      <c r="B1741" s="4" t="str">
        <f>C1741 &amp; ": " &amp; D1741</f>
        <v>question-answered: q-policy-ai-approval-chain-complete</v>
      </c>
      <c r="C1741" s="3" t="s">
        <v>8103</v>
      </c>
      <c r="D1741" s="3" t="s">
        <v>2195</v>
      </c>
      <c r="E1741" s="3"/>
      <c r="F1741" s="3"/>
      <c r="G1741" s="3" t="s">
        <v>8104</v>
      </c>
      <c r="H1741" s="3" t="s">
        <v>2195</v>
      </c>
      <c r="I1741" s="3" t="s">
        <v>5992</v>
      </c>
      <c r="J1741" s="3" t="s">
        <v>5999</v>
      </c>
      <c r="K1741" s="4" t="b">
        <f>J1741 = "blocking"</f>
        <v>1</v>
      </c>
      <c r="L1741" s="3" t="s">
        <v>1448</v>
      </c>
      <c r="M1741" s="3" t="s">
        <v>8105</v>
      </c>
      <c r="N1741" s="5">
        <v>46223.1297337963</v>
      </c>
      <c r="O1741" s="4" t="b">
        <f>L1741 = "PASS"</f>
        <v>1</v>
      </c>
      <c r="P1741" s="4" t="b">
        <f>L1741 = "FAIL"</f>
        <v>0</v>
      </c>
      <c r="Q1741" s="4" t="b">
        <f>AND(((P1741)=TRUE), ((K1741)=TRUE))</f>
        <v>0</v>
      </c>
      <c r="R1741" s="4" t="str">
        <f>IF(((O1741)=TRUE),  I1741,  "")</f>
        <v>suite-provenance</v>
      </c>
      <c r="S1741" s="4" t="str">
        <f>IF(((Q1741)=TRUE),  I1741,  "")</f>
      </c>
      <c r="T1741" s="3" t="s">
        <v>6001</v>
      </c>
    </row>
    <row r="1742">
      <c r="A1742" s="3" t="s">
        <v>8172</v>
      </c>
      <c r="B1742" s="4" t="str">
        <f>C1742 &amp; ": " &amp; D1742</f>
        <v>question-answered: q2-authority-compound-fragility</v>
      </c>
      <c r="C1742" s="3" t="s">
        <v>8103</v>
      </c>
      <c r="D1742" s="3" t="s">
        <v>2199</v>
      </c>
      <c r="E1742" s="3"/>
      <c r="F1742" s="3"/>
      <c r="G1742" s="3" t="s">
        <v>8104</v>
      </c>
      <c r="H1742" s="3" t="s">
        <v>2199</v>
      </c>
      <c r="I1742" s="3" t="s">
        <v>5992</v>
      </c>
      <c r="J1742" s="3" t="s">
        <v>5999</v>
      </c>
      <c r="K1742" s="4" t="b">
        <f>J1742 = "blocking"</f>
        <v>1</v>
      </c>
      <c r="L1742" s="3" t="s">
        <v>1448</v>
      </c>
      <c r="M1742" s="3" t="s">
        <v>8105</v>
      </c>
      <c r="N1742" s="5">
        <v>46223.1297337963</v>
      </c>
      <c r="O1742" s="4" t="b">
        <f>L1742 = "PASS"</f>
        <v>1</v>
      </c>
      <c r="P1742" s="4" t="b">
        <f>L1742 = "FAIL"</f>
        <v>0</v>
      </c>
      <c r="Q1742" s="4" t="b">
        <f>AND(((P1742)=TRUE), ((K1742)=TRUE))</f>
        <v>0</v>
      </c>
      <c r="R1742" s="4" t="str">
        <f>IF(((O1742)=TRUE),  I1742,  "")</f>
        <v>suite-provenance</v>
      </c>
      <c r="S1742" s="4" t="str">
        <f>IF(((Q1742)=TRUE),  I1742,  "")</f>
      </c>
      <c r="T1742" s="3" t="s">
        <v>6001</v>
      </c>
    </row>
    <row r="1743">
      <c r="A1743" s="3" t="s">
        <v>8173</v>
      </c>
      <c r="B1743" s="4" t="str">
        <f>C1743 &amp; ": " &amp; D1743</f>
        <v>question-answered: q2-authority-boundary-rests-on-expired-claim</v>
      </c>
      <c r="C1743" s="3" t="s">
        <v>8103</v>
      </c>
      <c r="D1743" s="3" t="s">
        <v>2203</v>
      </c>
      <c r="E1743" s="3"/>
      <c r="F1743" s="3"/>
      <c r="G1743" s="3" t="s">
        <v>8104</v>
      </c>
      <c r="H1743" s="3" t="s">
        <v>2203</v>
      </c>
      <c r="I1743" s="3" t="s">
        <v>5992</v>
      </c>
      <c r="J1743" s="3" t="s">
        <v>5999</v>
      </c>
      <c r="K1743" s="4" t="b">
        <f>J1743 = "blocking"</f>
        <v>1</v>
      </c>
      <c r="L1743" s="3" t="s">
        <v>1448</v>
      </c>
      <c r="M1743" s="3" t="s">
        <v>8107</v>
      </c>
      <c r="N1743" s="5">
        <v>46223.1297337963</v>
      </c>
      <c r="O1743" s="4" t="b">
        <f>L1743 = "PASS"</f>
        <v>1</v>
      </c>
      <c r="P1743" s="4" t="b">
        <f>L1743 = "FAIL"</f>
        <v>0</v>
      </c>
      <c r="Q1743" s="4" t="b">
        <f>AND(((P1743)=TRUE), ((K1743)=TRUE))</f>
        <v>0</v>
      </c>
      <c r="R1743" s="4" t="str">
        <f>IF(((O1743)=TRUE),  I1743,  "")</f>
        <v>suite-provenance</v>
      </c>
      <c r="S1743" s="4" t="str">
        <f>IF(((Q1743)=TRUE),  I1743,  "")</f>
      </c>
      <c r="T1743" s="3" t="s">
        <v>6001</v>
      </c>
    </row>
    <row r="1744">
      <c r="A1744" s="3" t="s">
        <v>8174</v>
      </c>
      <c r="B1744" s="4" t="str">
        <f>C1744 &amp; ": " &amp; D1744</f>
        <v>question-answered: q2-authority-elicitation-method-monoculture</v>
      </c>
      <c r="C1744" s="3" t="s">
        <v>8103</v>
      </c>
      <c r="D1744" s="3" t="s">
        <v>2207</v>
      </c>
      <c r="E1744" s="3"/>
      <c r="F1744" s="3"/>
      <c r="G1744" s="3" t="s">
        <v>8104</v>
      </c>
      <c r="H1744" s="3" t="s">
        <v>2207</v>
      </c>
      <c r="I1744" s="3" t="s">
        <v>5992</v>
      </c>
      <c r="J1744" s="3" t="s">
        <v>5999</v>
      </c>
      <c r="K1744" s="4" t="b">
        <f>J1744 = "blocking"</f>
        <v>1</v>
      </c>
      <c r="L1744" s="3" t="s">
        <v>1448</v>
      </c>
      <c r="M1744" s="3" t="s">
        <v>8107</v>
      </c>
      <c r="N1744" s="5">
        <v>46223.1297337963</v>
      </c>
      <c r="O1744" s="4" t="b">
        <f>L1744 = "PASS"</f>
        <v>1</v>
      </c>
      <c r="P1744" s="4" t="b">
        <f>L1744 = "FAIL"</f>
        <v>0</v>
      </c>
      <c r="Q1744" s="4" t="b">
        <f>AND(((P1744)=TRUE), ((K1744)=TRUE))</f>
        <v>0</v>
      </c>
      <c r="R1744" s="4" t="str">
        <f>IF(((O1744)=TRUE),  I1744,  "")</f>
        <v>suite-provenance</v>
      </c>
      <c r="S1744" s="4" t="str">
        <f>IF(((Q1744)=TRUE),  I1744,  "")</f>
      </c>
      <c r="T1744" s="3" t="s">
        <v>6001</v>
      </c>
    </row>
    <row r="1745">
      <c r="A1745" s="3" t="s">
        <v>8175</v>
      </c>
      <c r="B1745" s="4" t="str">
        <f>C1745 &amp; ": " &amp; D1745</f>
        <v>question-answered: q2-authority-unapproved-knowledge-reaching-machines</v>
      </c>
      <c r="C1745" s="3" t="s">
        <v>8103</v>
      </c>
      <c r="D1745" s="3" t="s">
        <v>2211</v>
      </c>
      <c r="E1745" s="3"/>
      <c r="F1745" s="3"/>
      <c r="G1745" s="3" t="s">
        <v>8104</v>
      </c>
      <c r="H1745" s="3" t="s">
        <v>2211</v>
      </c>
      <c r="I1745" s="3" t="s">
        <v>5992</v>
      </c>
      <c r="J1745" s="3" t="s">
        <v>5999</v>
      </c>
      <c r="K1745" s="4" t="b">
        <f>J1745 = "blocking"</f>
        <v>1</v>
      </c>
      <c r="L1745" s="3" t="s">
        <v>1448</v>
      </c>
      <c r="M1745" s="3" t="s">
        <v>8105</v>
      </c>
      <c r="N1745" s="5">
        <v>46223.1297337963</v>
      </c>
      <c r="O1745" s="4" t="b">
        <f>L1745 = "PASS"</f>
        <v>1</v>
      </c>
      <c r="P1745" s="4" t="b">
        <f>L1745 = "FAIL"</f>
        <v>0</v>
      </c>
      <c r="Q1745" s="4" t="b">
        <f>AND(((P1745)=TRUE), ((K1745)=TRUE))</f>
        <v>0</v>
      </c>
      <c r="R1745" s="4" t="str">
        <f>IF(((O1745)=TRUE),  I1745,  "")</f>
        <v>suite-provenance</v>
      </c>
      <c r="S1745" s="4" t="str">
        <f>IF(((Q1745)=TRUE),  I1745,  "")</f>
      </c>
      <c r="T1745" s="3" t="s">
        <v>6001</v>
      </c>
    </row>
    <row r="1746">
      <c r="A1746" s="3" t="s">
        <v>8176</v>
      </c>
      <c r="B1746" s="4" t="str">
        <f>C1746 &amp; ": " &amp; D1746</f>
        <v>question-answered: q2-authority-review-date-is-inferred-not-recorded</v>
      </c>
      <c r="C1746" s="3" t="s">
        <v>8103</v>
      </c>
      <c r="D1746" s="3" t="s">
        <v>2215</v>
      </c>
      <c r="E1746" s="3"/>
      <c r="F1746" s="3"/>
      <c r="G1746" s="3" t="s">
        <v>8104</v>
      </c>
      <c r="H1746" s="3" t="s">
        <v>2215</v>
      </c>
      <c r="I1746" s="3" t="s">
        <v>5992</v>
      </c>
      <c r="J1746" s="3" t="s">
        <v>5999</v>
      </c>
      <c r="K1746" s="4" t="b">
        <f>J1746 = "blocking"</f>
        <v>1</v>
      </c>
      <c r="L1746" s="3" t="s">
        <v>1448</v>
      </c>
      <c r="M1746" s="3" t="s">
        <v>8107</v>
      </c>
      <c r="N1746" s="5">
        <v>46223.1297337963</v>
      </c>
      <c r="O1746" s="4" t="b">
        <f>L1746 = "PASS"</f>
        <v>1</v>
      </c>
      <c r="P1746" s="4" t="b">
        <f>L1746 = "FAIL"</f>
        <v>0</v>
      </c>
      <c r="Q1746" s="4" t="b">
        <f>AND(((P1746)=TRUE), ((K1746)=TRUE))</f>
        <v>0</v>
      </c>
      <c r="R1746" s="4" t="str">
        <f>IF(((O1746)=TRUE),  I1746,  "")</f>
        <v>suite-provenance</v>
      </c>
      <c r="S1746" s="4" t="str">
        <f>IF(((Q1746)=TRUE),  I1746,  "")</f>
      </c>
      <c r="T1746" s="3" t="s">
        <v>6001</v>
      </c>
    </row>
    <row r="1747">
      <c r="A1747" s="3" t="s">
        <v>8177</v>
      </c>
      <c r="B1747" s="4" t="str">
        <f>C1747 &amp; ": " &amp; D1747</f>
        <v>question-answered: q2-hr-my-backlog-is-someone-elses-block</v>
      </c>
      <c r="C1747" s="3" t="s">
        <v>8103</v>
      </c>
      <c r="D1747" s="3" t="s">
        <v>2219</v>
      </c>
      <c r="E1747" s="3"/>
      <c r="F1747" s="3"/>
      <c r="G1747" s="3" t="s">
        <v>8104</v>
      </c>
      <c r="H1747" s="3" t="s">
        <v>2219</v>
      </c>
      <c r="I1747" s="3" t="s">
        <v>5992</v>
      </c>
      <c r="J1747" s="3" t="s">
        <v>5999</v>
      </c>
      <c r="K1747" s="4" t="b">
        <f>J1747 = "blocking"</f>
        <v>1</v>
      </c>
      <c r="L1747" s="3" t="s">
        <v>1448</v>
      </c>
      <c r="M1747" s="3" t="s">
        <v>8107</v>
      </c>
      <c r="N1747" s="5">
        <v>46223.1297337963</v>
      </c>
      <c r="O1747" s="4" t="b">
        <f>L1747 = "PASS"</f>
        <v>1</v>
      </c>
      <c r="P1747" s="4" t="b">
        <f>L1747 = "FAIL"</f>
        <v>0</v>
      </c>
      <c r="Q1747" s="4" t="b">
        <f>AND(((P1747)=TRUE), ((K1747)=TRUE))</f>
        <v>0</v>
      </c>
      <c r="R1747" s="4" t="str">
        <f>IF(((O1747)=TRUE),  I1747,  "")</f>
        <v>suite-provenance</v>
      </c>
      <c r="S1747" s="4" t="str">
        <f>IF(((Q1747)=TRUE),  I1747,  "")</f>
      </c>
      <c r="T1747" s="3" t="s">
        <v>6001</v>
      </c>
    </row>
    <row r="1748">
      <c r="A1748" s="3" t="s">
        <v>8178</v>
      </c>
      <c r="B1748" s="4" t="str">
        <f>C1748 &amp; ": " &amp; D1748</f>
        <v>question-answered: q2-hr-ai-boundary-holds-only-where-tested</v>
      </c>
      <c r="C1748" s="3" t="s">
        <v>8103</v>
      </c>
      <c r="D1748" s="3" t="s">
        <v>2223</v>
      </c>
      <c r="E1748" s="3"/>
      <c r="F1748" s="3"/>
      <c r="G1748" s="3" t="s">
        <v>8104</v>
      </c>
      <c r="H1748" s="3" t="s">
        <v>2223</v>
      </c>
      <c r="I1748" s="3" t="s">
        <v>5992</v>
      </c>
      <c r="J1748" s="3" t="s">
        <v>5999</v>
      </c>
      <c r="K1748" s="4" t="b">
        <f>J1748 = "blocking"</f>
        <v>1</v>
      </c>
      <c r="L1748" s="3" t="s">
        <v>1448</v>
      </c>
      <c r="M1748" s="3" t="s">
        <v>8107</v>
      </c>
      <c r="N1748" s="5">
        <v>46223.1297337963</v>
      </c>
      <c r="O1748" s="4" t="b">
        <f>L1748 = "PASS"</f>
        <v>1</v>
      </c>
      <c r="P1748" s="4" t="b">
        <f>L1748 = "FAIL"</f>
        <v>0</v>
      </c>
      <c r="Q1748" s="4" t="b">
        <f>AND(((P1748)=TRUE), ((K1748)=TRUE))</f>
        <v>0</v>
      </c>
      <c r="R1748" s="4" t="str">
        <f>IF(((O1748)=TRUE),  I1748,  "")</f>
        <v>suite-provenance</v>
      </c>
      <c r="S1748" s="4" t="str">
        <f>IF(((Q1748)=TRUE),  I1748,  "")</f>
      </c>
      <c r="T1748" s="3" t="s">
        <v>6001</v>
      </c>
    </row>
    <row r="1749">
      <c r="A1749" s="3" t="s">
        <v>8179</v>
      </c>
      <c r="B1749" s="4" t="str">
        <f>C1749 &amp; ": " &amp; D1749</f>
        <v>question-answered: q2-hr-my-unapproved-claim-is-load-bearing</v>
      </c>
      <c r="C1749" s="3" t="s">
        <v>8103</v>
      </c>
      <c r="D1749" s="3" t="s">
        <v>2227</v>
      </c>
      <c r="E1749" s="3"/>
      <c r="F1749" s="3"/>
      <c r="G1749" s="3" t="s">
        <v>8104</v>
      </c>
      <c r="H1749" s="3" t="s">
        <v>2227</v>
      </c>
      <c r="I1749" s="3" t="s">
        <v>5992</v>
      </c>
      <c r="J1749" s="3" t="s">
        <v>5999</v>
      </c>
      <c r="K1749" s="4" t="b">
        <f>J1749 = "blocking"</f>
        <v>1</v>
      </c>
      <c r="L1749" s="3" t="s">
        <v>1448</v>
      </c>
      <c r="M1749" s="3" t="s">
        <v>8107</v>
      </c>
      <c r="N1749" s="5">
        <v>46223.1297337963</v>
      </c>
      <c r="O1749" s="4" t="b">
        <f>L1749 = "PASS"</f>
        <v>1</v>
      </c>
      <c r="P1749" s="4" t="b">
        <f>L1749 = "FAIL"</f>
        <v>0</v>
      </c>
      <c r="Q1749" s="4" t="b">
        <f>AND(((P1749)=TRUE), ((K1749)=TRUE))</f>
        <v>0</v>
      </c>
      <c r="R1749" s="4" t="str">
        <f>IF(((O1749)=TRUE),  I1749,  "")</f>
        <v>suite-provenance</v>
      </c>
      <c r="S1749" s="4" t="str">
        <f>IF(((Q1749)=TRUE),  I1749,  "")</f>
      </c>
      <c r="T1749" s="3" t="s">
        <v>6001</v>
      </c>
    </row>
    <row r="1750">
      <c r="A1750" s="3" t="s">
        <v>8180</v>
      </c>
      <c r="B1750" s="4" t="str">
        <f>C1750 &amp; ": " &amp; D1750</f>
        <v>question-answered: q2-hr-my-approvals-never-read-as-done</v>
      </c>
      <c r="C1750" s="3" t="s">
        <v>8103</v>
      </c>
      <c r="D1750" s="3" t="s">
        <v>2231</v>
      </c>
      <c r="E1750" s="3"/>
      <c r="F1750" s="3"/>
      <c r="G1750" s="3" t="s">
        <v>8104</v>
      </c>
      <c r="H1750" s="3" t="s">
        <v>2231</v>
      </c>
      <c r="I1750" s="3" t="s">
        <v>5992</v>
      </c>
      <c r="J1750" s="3" t="s">
        <v>5999</v>
      </c>
      <c r="K1750" s="4" t="b">
        <f>J1750 = "blocking"</f>
        <v>1</v>
      </c>
      <c r="L1750" s="3" t="s">
        <v>1448</v>
      </c>
      <c r="M1750" s="3" t="s">
        <v>8107</v>
      </c>
      <c r="N1750" s="5">
        <v>46223.1297337963</v>
      </c>
      <c r="O1750" s="4" t="b">
        <f>L1750 = "PASS"</f>
        <v>1</v>
      </c>
      <c r="P1750" s="4" t="b">
        <f>L1750 = "FAIL"</f>
        <v>0</v>
      </c>
      <c r="Q1750" s="4" t="b">
        <f>AND(((P1750)=TRUE), ((K1750)=TRUE))</f>
        <v>0</v>
      </c>
      <c r="R1750" s="4" t="str">
        <f>IF(((O1750)=TRUE),  I1750,  "")</f>
        <v>suite-provenance</v>
      </c>
      <c r="S1750" s="4" t="str">
        <f>IF(((Q1750)=TRUE),  I1750,  "")</f>
      </c>
      <c r="T1750" s="3" t="s">
        <v>6001</v>
      </c>
    </row>
    <row r="1751">
      <c r="A1751" s="3" t="s">
        <v>8181</v>
      </c>
      <c r="B1751" s="4" t="str">
        <f>C1751 &amp; ": " &amp; D1751</f>
        <v>question-answered: q2-hr-departed-holder-left-claims-behind</v>
      </c>
      <c r="C1751" s="3" t="s">
        <v>8103</v>
      </c>
      <c r="D1751" s="3" t="s">
        <v>2235</v>
      </c>
      <c r="E1751" s="3"/>
      <c r="F1751" s="3"/>
      <c r="G1751" s="3" t="s">
        <v>8104</v>
      </c>
      <c r="H1751" s="3" t="s">
        <v>2235</v>
      </c>
      <c r="I1751" s="3" t="s">
        <v>5992</v>
      </c>
      <c r="J1751" s="3" t="s">
        <v>5999</v>
      </c>
      <c r="K1751" s="4" t="b">
        <f>J1751 = "blocking"</f>
        <v>1</v>
      </c>
      <c r="L1751" s="3" t="s">
        <v>1448</v>
      </c>
      <c r="M1751" s="3" t="s">
        <v>8107</v>
      </c>
      <c r="N1751" s="5">
        <v>46223.1297337963</v>
      </c>
      <c r="O1751" s="4" t="b">
        <f>L1751 = "PASS"</f>
        <v>1</v>
      </c>
      <c r="P1751" s="4" t="b">
        <f>L1751 = "FAIL"</f>
        <v>0</v>
      </c>
      <c r="Q1751" s="4" t="b">
        <f>AND(((P1751)=TRUE), ((K1751)=TRUE))</f>
        <v>0</v>
      </c>
      <c r="R1751" s="4" t="str">
        <f>IF(((O1751)=TRUE),  I1751,  "")</f>
        <v>suite-provenance</v>
      </c>
      <c r="S1751" s="4" t="str">
        <f>IF(((Q1751)=TRUE),  I1751,  "")</f>
      </c>
      <c r="T1751" s="3" t="s">
        <v>6001</v>
      </c>
    </row>
    <row r="1752">
      <c r="A1752" s="3" t="s">
        <v>8182</v>
      </c>
      <c r="B1752" s="4" t="str">
        <f>C1752 &amp; ": " &amp; D1752</f>
        <v>question-answered: q2-steward-recovery-path-is-load-bearing</v>
      </c>
      <c r="C1752" s="3" t="s">
        <v>8103</v>
      </c>
      <c r="D1752" s="3" t="s">
        <v>2239</v>
      </c>
      <c r="E1752" s="3"/>
      <c r="F1752" s="3"/>
      <c r="G1752" s="3" t="s">
        <v>8104</v>
      </c>
      <c r="H1752" s="3" t="s">
        <v>2239</v>
      </c>
      <c r="I1752" s="3" t="s">
        <v>5992</v>
      </c>
      <c r="J1752" s="3" t="s">
        <v>5999</v>
      </c>
      <c r="K1752" s="4" t="b">
        <f>J1752 = "blocking"</f>
        <v>1</v>
      </c>
      <c r="L1752" s="3" t="s">
        <v>1448</v>
      </c>
      <c r="M1752" s="3" t="s">
        <v>8105</v>
      </c>
      <c r="N1752" s="5">
        <v>46223.1297337963</v>
      </c>
      <c r="O1752" s="4" t="b">
        <f>L1752 = "PASS"</f>
        <v>1</v>
      </c>
      <c r="P1752" s="4" t="b">
        <f>L1752 = "FAIL"</f>
        <v>0</v>
      </c>
      <c r="Q1752" s="4" t="b">
        <f>AND(((P1752)=TRUE), ((K1752)=TRUE))</f>
        <v>0</v>
      </c>
      <c r="R1752" s="4" t="str">
        <f>IF(((O1752)=TRUE),  I1752,  "")</f>
        <v>suite-provenance</v>
      </c>
      <c r="S1752" s="4" t="str">
        <f>IF(((Q1752)=TRUE),  I1752,  "")</f>
      </c>
      <c r="T1752" s="3" t="s">
        <v>6001</v>
      </c>
    </row>
    <row r="1753">
      <c r="A1753" s="3" t="s">
        <v>8183</v>
      </c>
      <c r="B1753" s="4" t="str">
        <f>C1753 &amp; ": " &amp; D1753</f>
        <v>question-answered: q2-steward-cadence-breach-is-unremediated</v>
      </c>
      <c r="C1753" s="3" t="s">
        <v>8103</v>
      </c>
      <c r="D1753" s="3" t="s">
        <v>2243</v>
      </c>
      <c r="E1753" s="3"/>
      <c r="F1753" s="3"/>
      <c r="G1753" s="3" t="s">
        <v>8104</v>
      </c>
      <c r="H1753" s="3" t="s">
        <v>2243</v>
      </c>
      <c r="I1753" s="3" t="s">
        <v>5992</v>
      </c>
      <c r="J1753" s="3" t="s">
        <v>5999</v>
      </c>
      <c r="K1753" s="4" t="b">
        <f>J1753 = "blocking"</f>
        <v>1</v>
      </c>
      <c r="L1753" s="3" t="s">
        <v>1448</v>
      </c>
      <c r="M1753" s="3" t="s">
        <v>8105</v>
      </c>
      <c r="N1753" s="5">
        <v>46223.1297337963</v>
      </c>
      <c r="O1753" s="4" t="b">
        <f>L1753 = "PASS"</f>
        <v>1</v>
      </c>
      <c r="P1753" s="4" t="b">
        <f>L1753 = "FAIL"</f>
        <v>0</v>
      </c>
      <c r="Q1753" s="4" t="b">
        <f>AND(((P1753)=TRUE), ((K1753)=TRUE))</f>
        <v>0</v>
      </c>
      <c r="R1753" s="4" t="str">
        <f>IF(((O1753)=TRUE),  I1753,  "")</f>
        <v>suite-provenance</v>
      </c>
      <c r="S1753" s="4" t="str">
        <f>IF(((Q1753)=TRUE),  I1753,  "")</f>
      </c>
      <c r="T1753" s="3" t="s">
        <v>6001</v>
      </c>
    </row>
    <row r="1754">
      <c r="A1754" s="3" t="s">
        <v>8184</v>
      </c>
      <c r="B1754" s="4" t="str">
        <f>C1754 &amp; ": " &amp; D1754</f>
        <v>question-answered: q2-steward-unstewarded-version-still-referenced</v>
      </c>
      <c r="C1754" s="3" t="s">
        <v>8103</v>
      </c>
      <c r="D1754" s="3" t="s">
        <v>2247</v>
      </c>
      <c r="E1754" s="3"/>
      <c r="F1754" s="3"/>
      <c r="G1754" s="3" t="s">
        <v>8104</v>
      </c>
      <c r="H1754" s="3" t="s">
        <v>2247</v>
      </c>
      <c r="I1754" s="3" t="s">
        <v>5992</v>
      </c>
      <c r="J1754" s="3" t="s">
        <v>5999</v>
      </c>
      <c r="K1754" s="4" t="b">
        <f>J1754 = "blocking"</f>
        <v>1</v>
      </c>
      <c r="L1754" s="3" t="s">
        <v>1448</v>
      </c>
      <c r="M1754" s="3" t="s">
        <v>8107</v>
      </c>
      <c r="N1754" s="5">
        <v>46223.1297337963</v>
      </c>
      <c r="O1754" s="4" t="b">
        <f>L1754 = "PASS"</f>
        <v>1</v>
      </c>
      <c r="P1754" s="4" t="b">
        <f>L1754 = "FAIL"</f>
        <v>0</v>
      </c>
      <c r="Q1754" s="4" t="b">
        <f>AND(((P1754)=TRUE), ((K1754)=TRUE))</f>
        <v>0</v>
      </c>
      <c r="R1754" s="4" t="str">
        <f>IF(((O1754)=TRUE),  I1754,  "")</f>
        <v>suite-provenance</v>
      </c>
      <c r="S1754" s="4" t="str">
        <f>IF(((Q1754)=TRUE),  I1754,  "")</f>
      </c>
      <c r="T1754" s="3" t="s">
        <v>6001</v>
      </c>
    </row>
    <row r="1755">
      <c r="A1755" s="3" t="s">
        <v>8185</v>
      </c>
      <c r="B1755" s="4" t="str">
        <f>C1755 &amp; ": " &amp; D1755</f>
        <v>question-answered: q2-steward-approved-cr-never-lands</v>
      </c>
      <c r="C1755" s="3" t="s">
        <v>8103</v>
      </c>
      <c r="D1755" s="3" t="s">
        <v>2251</v>
      </c>
      <c r="E1755" s="3"/>
      <c r="F1755" s="3"/>
      <c r="G1755" s="3" t="s">
        <v>8104</v>
      </c>
      <c r="H1755" s="3" t="s">
        <v>2251</v>
      </c>
      <c r="I1755" s="3" t="s">
        <v>5992</v>
      </c>
      <c r="J1755" s="3" t="s">
        <v>5999</v>
      </c>
      <c r="K1755" s="4" t="b">
        <f>J1755 = "blocking"</f>
        <v>1</v>
      </c>
      <c r="L1755" s="3" t="s">
        <v>1448</v>
      </c>
      <c r="M1755" s="3" t="s">
        <v>8109</v>
      </c>
      <c r="N1755" s="5">
        <v>46223.1297337963</v>
      </c>
      <c r="O1755" s="4" t="b">
        <f>L1755 = "PASS"</f>
        <v>1</v>
      </c>
      <c r="P1755" s="4" t="b">
        <f>L1755 = "FAIL"</f>
        <v>0</v>
      </c>
      <c r="Q1755" s="4" t="b">
        <f>AND(((P1755)=TRUE), ((K1755)=TRUE))</f>
        <v>0</v>
      </c>
      <c r="R1755" s="4" t="str">
        <f>IF(((O1755)=TRUE),  I1755,  "")</f>
        <v>suite-provenance</v>
      </c>
      <c r="S1755" s="4" t="str">
        <f>IF(((Q1755)=TRUE),  I1755,  "")</f>
      </c>
      <c r="T1755" s="3" t="s">
        <v>6001</v>
      </c>
    </row>
    <row r="1756">
      <c r="A1756" s="3" t="s">
        <v>8186</v>
      </c>
      <c r="B1756" s="4" t="str">
        <f>C1756 &amp; ": " &amp; D1756</f>
        <v>question-answered: q2-steward-control-kind-instead-of-hardcoded-ids</v>
      </c>
      <c r="C1756" s="3" t="s">
        <v>8103</v>
      </c>
      <c r="D1756" s="3" t="s">
        <v>2255</v>
      </c>
      <c r="E1756" s="3"/>
      <c r="F1756" s="3"/>
      <c r="G1756" s="3" t="s">
        <v>8104</v>
      </c>
      <c r="H1756" s="3" t="s">
        <v>2255</v>
      </c>
      <c r="I1756" s="3" t="s">
        <v>5992</v>
      </c>
      <c r="J1756" s="3" t="s">
        <v>5999</v>
      </c>
      <c r="K1756" s="4" t="b">
        <f>J1756 = "blocking"</f>
        <v>1</v>
      </c>
      <c r="L1756" s="3" t="s">
        <v>1448</v>
      </c>
      <c r="M1756" s="3" t="s">
        <v>8109</v>
      </c>
      <c r="N1756" s="5">
        <v>46223.1297337963</v>
      </c>
      <c r="O1756" s="4" t="b">
        <f>L1756 = "PASS"</f>
        <v>1</v>
      </c>
      <c r="P1756" s="4" t="b">
        <f>L1756 = "FAIL"</f>
        <v>0</v>
      </c>
      <c r="Q1756" s="4" t="b">
        <f>AND(((P1756)=TRUE), ((K1756)=TRUE))</f>
        <v>0</v>
      </c>
      <c r="R1756" s="4" t="str">
        <f>IF(((O1756)=TRUE),  I1756,  "")</f>
        <v>suite-provenance</v>
      </c>
      <c r="S1756" s="4" t="str">
        <f>IF(((Q1756)=TRUE),  I1756,  "")</f>
      </c>
      <c r="T1756" s="3" t="s">
        <v>6001</v>
      </c>
    </row>
    <row r="1757">
      <c r="A1757" s="3" t="s">
        <v>8187</v>
      </c>
      <c r="B1757" s="4" t="str">
        <f>C1757 &amp; ": " &amp; D1757</f>
        <v>question-answered: q2-fa-cleared-by-mute-control</v>
      </c>
      <c r="C1757" s="3" t="s">
        <v>8103</v>
      </c>
      <c r="D1757" s="3" t="s">
        <v>2259</v>
      </c>
      <c r="E1757" s="3"/>
      <c r="F1757" s="3"/>
      <c r="G1757" s="3" t="s">
        <v>8104</v>
      </c>
      <c r="H1757" s="3" t="s">
        <v>2259</v>
      </c>
      <c r="I1757" s="3" t="s">
        <v>5992</v>
      </c>
      <c r="J1757" s="3" t="s">
        <v>5999</v>
      </c>
      <c r="K1757" s="4" t="b">
        <f>J1757 = "blocking"</f>
        <v>1</v>
      </c>
      <c r="L1757" s="3" t="s">
        <v>1448</v>
      </c>
      <c r="M1757" s="3" t="s">
        <v>8105</v>
      </c>
      <c r="N1757" s="5">
        <v>46223.1297337963</v>
      </c>
      <c r="O1757" s="4" t="b">
        <f>L1757 = "PASS"</f>
        <v>1</v>
      </c>
      <c r="P1757" s="4" t="b">
        <f>L1757 = "FAIL"</f>
        <v>0</v>
      </c>
      <c r="Q1757" s="4" t="b">
        <f>AND(((P1757)=TRUE), ((K1757)=TRUE))</f>
        <v>0</v>
      </c>
      <c r="R1757" s="4" t="str">
        <f>IF(((O1757)=TRUE),  I1757,  "")</f>
        <v>suite-provenance</v>
      </c>
      <c r="S1757" s="4" t="str">
        <f>IF(((Q1757)=TRUE),  I1757,  "")</f>
      </c>
      <c r="T1757" s="3" t="s">
        <v>6001</v>
      </c>
    </row>
    <row r="1758">
      <c r="A1758" s="3" t="s">
        <v>8188</v>
      </c>
      <c r="B1758" s="4" t="str">
        <f>C1758 &amp; ": " &amp; D1758</f>
        <v>question-answered: q2-fa-stale-then-vs-stale-now</v>
      </c>
      <c r="C1758" s="3" t="s">
        <v>8103</v>
      </c>
      <c r="D1758" s="3" t="s">
        <v>2263</v>
      </c>
      <c r="E1758" s="3"/>
      <c r="F1758" s="3"/>
      <c r="G1758" s="3" t="s">
        <v>8104</v>
      </c>
      <c r="H1758" s="3" t="s">
        <v>2263</v>
      </c>
      <c r="I1758" s="3" t="s">
        <v>5992</v>
      </c>
      <c r="J1758" s="3" t="s">
        <v>5999</v>
      </c>
      <c r="K1758" s="4" t="b">
        <f>J1758 = "blocking"</f>
        <v>1</v>
      </c>
      <c r="L1758" s="3" t="s">
        <v>1448</v>
      </c>
      <c r="M1758" s="3" t="s">
        <v>8189</v>
      </c>
      <c r="N1758" s="5">
        <v>46223.1297337963</v>
      </c>
      <c r="O1758" s="4" t="b">
        <f>L1758 = "PASS"</f>
        <v>1</v>
      </c>
      <c r="P1758" s="4" t="b">
        <f>L1758 = "FAIL"</f>
        <v>0</v>
      </c>
      <c r="Q1758" s="4" t="b">
        <f>AND(((P1758)=TRUE), ((K1758)=TRUE))</f>
        <v>0</v>
      </c>
      <c r="R1758" s="4" t="str">
        <f>IF(((O1758)=TRUE),  I1758,  "")</f>
        <v>suite-provenance</v>
      </c>
      <c r="S1758" s="4" t="str">
        <f>IF(((Q1758)=TRUE),  I1758,  "")</f>
      </c>
      <c r="T1758" s="3" t="s">
        <v>6001</v>
      </c>
    </row>
    <row r="1759">
      <c r="A1759" s="3" t="s">
        <v>8190</v>
      </c>
      <c r="B1759" s="4" t="str">
        <f>C1759 &amp; ": " &amp; D1759</f>
        <v>question-answered: q2-fa-witness-coverage-of-my-steps</v>
      </c>
      <c r="C1759" s="3" t="s">
        <v>8103</v>
      </c>
      <c r="D1759" s="3" t="s">
        <v>2267</v>
      </c>
      <c r="E1759" s="3"/>
      <c r="F1759" s="3"/>
      <c r="G1759" s="3" t="s">
        <v>8104</v>
      </c>
      <c r="H1759" s="3" t="s">
        <v>2267</v>
      </c>
      <c r="I1759" s="3" t="s">
        <v>5992</v>
      </c>
      <c r="J1759" s="3" t="s">
        <v>5999</v>
      </c>
      <c r="K1759" s="4" t="b">
        <f>J1759 = "blocking"</f>
        <v>1</v>
      </c>
      <c r="L1759" s="3" t="s">
        <v>1448</v>
      </c>
      <c r="M1759" s="3" t="s">
        <v>8107</v>
      </c>
      <c r="N1759" s="5">
        <v>46223.1297337963</v>
      </c>
      <c r="O1759" s="4" t="b">
        <f>L1759 = "PASS"</f>
        <v>1</v>
      </c>
      <c r="P1759" s="4" t="b">
        <f>L1759 = "FAIL"</f>
        <v>0</v>
      </c>
      <c r="Q1759" s="4" t="b">
        <f>AND(((P1759)=TRUE), ((K1759)=TRUE))</f>
        <v>0</v>
      </c>
      <c r="R1759" s="4" t="str">
        <f>IF(((O1759)=TRUE),  I1759,  "")</f>
        <v>suite-provenance</v>
      </c>
      <c r="S1759" s="4" t="str">
        <f>IF(((Q1759)=TRUE),  I1759,  "")</f>
      </c>
      <c r="T1759" s="3" t="s">
        <v>6001</v>
      </c>
    </row>
    <row r="1760">
      <c r="A1760" s="3" t="s">
        <v>8191</v>
      </c>
      <c r="B1760" s="4" t="str">
        <f>C1760 &amp; ": " &amp; D1760</f>
        <v>question-answered: q2-fa-clean-but-uncovered</v>
      </c>
      <c r="C1760" s="3" t="s">
        <v>8103</v>
      </c>
      <c r="D1760" s="3" t="s">
        <v>2271</v>
      </c>
      <c r="E1760" s="3"/>
      <c r="F1760" s="3"/>
      <c r="G1760" s="3" t="s">
        <v>8104</v>
      </c>
      <c r="H1760" s="3" t="s">
        <v>2271</v>
      </c>
      <c r="I1760" s="3" t="s">
        <v>5992</v>
      </c>
      <c r="J1760" s="3" t="s">
        <v>5999</v>
      </c>
      <c r="K1760" s="4" t="b">
        <f>J1760 = "blocking"</f>
        <v>1</v>
      </c>
      <c r="L1760" s="3" t="s">
        <v>1448</v>
      </c>
      <c r="M1760" s="3" t="s">
        <v>8107</v>
      </c>
      <c r="N1760" s="5">
        <v>46223.1297337963</v>
      </c>
      <c r="O1760" s="4" t="b">
        <f>L1760 = "PASS"</f>
        <v>1</v>
      </c>
      <c r="P1760" s="4" t="b">
        <f>L1760 = "FAIL"</f>
        <v>0</v>
      </c>
      <c r="Q1760" s="4" t="b">
        <f>AND(((P1760)=TRUE), ((K1760)=TRUE))</f>
        <v>0</v>
      </c>
      <c r="R1760" s="4" t="str">
        <f>IF(((O1760)=TRUE),  I1760,  "")</f>
        <v>suite-provenance</v>
      </c>
      <c r="S1760" s="4" t="str">
        <f>IF(((Q1760)=TRUE),  I1760,  "")</f>
      </c>
      <c r="T1760" s="3" t="s">
        <v>6001</v>
      </c>
    </row>
    <row r="1761">
      <c r="A1761" s="3" t="s">
        <v>8192</v>
      </c>
      <c r="B1761" s="4" t="str">
        <f>C1761 &amp; ": " &amp; D1761</f>
        <v>question-answered: q2-fa-my-own-evidence-quality</v>
      </c>
      <c r="C1761" s="3" t="s">
        <v>8103</v>
      </c>
      <c r="D1761" s="3" t="s">
        <v>2275</v>
      </c>
      <c r="E1761" s="3"/>
      <c r="F1761" s="3"/>
      <c r="G1761" s="3" t="s">
        <v>8104</v>
      </c>
      <c r="H1761" s="3" t="s">
        <v>2275</v>
      </c>
      <c r="I1761" s="3" t="s">
        <v>5992</v>
      </c>
      <c r="J1761" s="3" t="s">
        <v>5999</v>
      </c>
      <c r="K1761" s="4" t="b">
        <f>J1761 = "blocking"</f>
        <v>1</v>
      </c>
      <c r="L1761" s="3" t="s">
        <v>1448</v>
      </c>
      <c r="M1761" s="3" t="s">
        <v>8105</v>
      </c>
      <c r="N1761" s="5">
        <v>46223.1297337963</v>
      </c>
      <c r="O1761" s="4" t="b">
        <f>L1761 = "PASS"</f>
        <v>1</v>
      </c>
      <c r="P1761" s="4" t="b">
        <f>L1761 = "FAIL"</f>
        <v>0</v>
      </c>
      <c r="Q1761" s="4" t="b">
        <f>AND(((P1761)=TRUE), ((K1761)=TRUE))</f>
        <v>0</v>
      </c>
      <c r="R1761" s="4" t="str">
        <f>IF(((O1761)=TRUE),  I1761,  "")</f>
        <v>suite-provenance</v>
      </c>
      <c r="S1761" s="4" t="str">
        <f>IF(((Q1761)=TRUE),  I1761,  "")</f>
      </c>
      <c r="T1761" s="3" t="s">
        <v>6001</v>
      </c>
    </row>
    <row r="1762">
      <c r="A1762" s="3" t="s">
        <v>8193</v>
      </c>
      <c r="B1762" s="4" t="str">
        <f>C1762 &amp; ": " &amp; D1762</f>
        <v>question-answered: q2-ctl-witness-never-fired</v>
      </c>
      <c r="C1762" s="3" t="s">
        <v>8103</v>
      </c>
      <c r="D1762" s="3" t="s">
        <v>2279</v>
      </c>
      <c r="E1762" s="3"/>
      <c r="F1762" s="3"/>
      <c r="G1762" s="3" t="s">
        <v>8104</v>
      </c>
      <c r="H1762" s="3" t="s">
        <v>2279</v>
      </c>
      <c r="I1762" s="3" t="s">
        <v>5992</v>
      </c>
      <c r="J1762" s="3" t="s">
        <v>5999</v>
      </c>
      <c r="K1762" s="4" t="b">
        <f>J1762 = "blocking"</f>
        <v>1</v>
      </c>
      <c r="L1762" s="3" t="s">
        <v>1448</v>
      </c>
      <c r="M1762" s="3" t="s">
        <v>8107</v>
      </c>
      <c r="N1762" s="5">
        <v>46223.1297337963</v>
      </c>
      <c r="O1762" s="4" t="b">
        <f>L1762 = "PASS"</f>
        <v>1</v>
      </c>
      <c r="P1762" s="4" t="b">
        <f>L1762 = "FAIL"</f>
        <v>0</v>
      </c>
      <c r="Q1762" s="4" t="b">
        <f>AND(((P1762)=TRUE), ((K1762)=TRUE))</f>
        <v>0</v>
      </c>
      <c r="R1762" s="4" t="str">
        <f>IF(((O1762)=TRUE),  I1762,  "")</f>
        <v>suite-provenance</v>
      </c>
      <c r="S1762" s="4" t="str">
        <f>IF(((Q1762)=TRUE),  I1762,  "")</f>
      </c>
      <c r="T1762" s="3" t="s">
        <v>6001</v>
      </c>
    </row>
    <row r="1763">
      <c r="A1763" s="3" t="s">
        <v>8194</v>
      </c>
      <c r="B1763" s="4" t="str">
        <f>C1763 &amp; ": " &amp; D1763</f>
        <v>question-answered: q2-ctl-witness-scope-vs-binding</v>
      </c>
      <c r="C1763" s="3" t="s">
        <v>8103</v>
      </c>
      <c r="D1763" s="3" t="s">
        <v>2283</v>
      </c>
      <c r="E1763" s="3"/>
      <c r="F1763" s="3"/>
      <c r="G1763" s="3" t="s">
        <v>8104</v>
      </c>
      <c r="H1763" s="3" t="s">
        <v>2283</v>
      </c>
      <c r="I1763" s="3" t="s">
        <v>5992</v>
      </c>
      <c r="J1763" s="3" t="s">
        <v>5999</v>
      </c>
      <c r="K1763" s="4" t="b">
        <f>J1763 = "blocking"</f>
        <v>1</v>
      </c>
      <c r="L1763" s="3" t="s">
        <v>1448</v>
      </c>
      <c r="M1763" s="3" t="s">
        <v>8107</v>
      </c>
      <c r="N1763" s="5">
        <v>46223.1297337963</v>
      </c>
      <c r="O1763" s="4" t="b">
        <f>L1763 = "PASS"</f>
        <v>1</v>
      </c>
      <c r="P1763" s="4" t="b">
        <f>L1763 = "FAIL"</f>
        <v>0</v>
      </c>
      <c r="Q1763" s="4" t="b">
        <f>AND(((P1763)=TRUE), ((K1763)=TRUE))</f>
        <v>0</v>
      </c>
      <c r="R1763" s="4" t="str">
        <f>IF(((O1763)=TRUE),  I1763,  "")</f>
        <v>suite-provenance</v>
      </c>
      <c r="S1763" s="4" t="str">
        <f>IF(((Q1763)=TRUE),  I1763,  "")</f>
      </c>
      <c r="T1763" s="3" t="s">
        <v>6001</v>
      </c>
    </row>
    <row r="1764">
      <c r="A1764" s="3" t="s">
        <v>8195</v>
      </c>
      <c r="B1764" s="4" t="str">
        <f>C1764 &amp; ": " &amp; D1764</f>
        <v>question-answered: q2-ctl-separation-held-or-untested</v>
      </c>
      <c r="C1764" s="3" t="s">
        <v>8103</v>
      </c>
      <c r="D1764" s="3" t="s">
        <v>2287</v>
      </c>
      <c r="E1764" s="3"/>
      <c r="F1764" s="3"/>
      <c r="G1764" s="3" t="s">
        <v>8104</v>
      </c>
      <c r="H1764" s="3" t="s">
        <v>2287</v>
      </c>
      <c r="I1764" s="3" t="s">
        <v>5992</v>
      </c>
      <c r="J1764" s="3" t="s">
        <v>5999</v>
      </c>
      <c r="K1764" s="4" t="b">
        <f>J1764 = "blocking"</f>
        <v>1</v>
      </c>
      <c r="L1764" s="3" t="s">
        <v>1448</v>
      </c>
      <c r="M1764" s="3" t="s">
        <v>8107</v>
      </c>
      <c r="N1764" s="5">
        <v>46223.1297337963</v>
      </c>
      <c r="O1764" s="4" t="b">
        <f>L1764 = "PASS"</f>
        <v>1</v>
      </c>
      <c r="P1764" s="4" t="b">
        <f>L1764 = "FAIL"</f>
        <v>0</v>
      </c>
      <c r="Q1764" s="4" t="b">
        <f>AND(((P1764)=TRUE), ((K1764)=TRUE))</f>
        <v>0</v>
      </c>
      <c r="R1764" s="4" t="str">
        <f>IF(((O1764)=TRUE),  I1764,  "")</f>
        <v>suite-provenance</v>
      </c>
      <c r="S1764" s="4" t="str">
        <f>IF(((Q1764)=TRUE),  I1764,  "")</f>
      </c>
      <c r="T1764" s="3" t="s">
        <v>6001</v>
      </c>
    </row>
    <row r="1765">
      <c r="A1765" s="3" t="s">
        <v>8196</v>
      </c>
      <c r="B1765" s="4" t="str">
        <f>C1765 &amp; ": " &amp; D1765</f>
        <v>question-answered: q2-ctl-asserted-controls-by-who</v>
      </c>
      <c r="C1765" s="3" t="s">
        <v>8103</v>
      </c>
      <c r="D1765" s="3" t="s">
        <v>2291</v>
      </c>
      <c r="E1765" s="3"/>
      <c r="F1765" s="3"/>
      <c r="G1765" s="3" t="s">
        <v>8104</v>
      </c>
      <c r="H1765" s="3" t="s">
        <v>2291</v>
      </c>
      <c r="I1765" s="3" t="s">
        <v>5992</v>
      </c>
      <c r="J1765" s="3" t="s">
        <v>5999</v>
      </c>
      <c r="K1765" s="4" t="b">
        <f>J1765 = "blocking"</f>
        <v>1</v>
      </c>
      <c r="L1765" s="3" t="s">
        <v>1448</v>
      </c>
      <c r="M1765" s="3" t="s">
        <v>8107</v>
      </c>
      <c r="N1765" s="5">
        <v>46223.1297337963</v>
      </c>
      <c r="O1765" s="4" t="b">
        <f>L1765 = "PASS"</f>
        <v>1</v>
      </c>
      <c r="P1765" s="4" t="b">
        <f>L1765 = "FAIL"</f>
        <v>0</v>
      </c>
      <c r="Q1765" s="4" t="b">
        <f>AND(((P1765)=TRUE), ((K1765)=TRUE))</f>
        <v>0</v>
      </c>
      <c r="R1765" s="4" t="str">
        <f>IF(((O1765)=TRUE),  I1765,  "")</f>
        <v>suite-provenance</v>
      </c>
      <c r="S1765" s="4" t="str">
        <f>IF(((Q1765)=TRUE),  I1765,  "")</f>
      </c>
      <c r="T1765" s="3" t="s">
        <v>6001</v>
      </c>
    </row>
    <row r="1766">
      <c r="A1766" s="3" t="s">
        <v>8197</v>
      </c>
      <c r="B1766" s="4" t="str">
        <f>C1766 &amp; ": " &amp; D1766</f>
        <v>question-answered: q2-ctl-divergence-that-nobody-governed</v>
      </c>
      <c r="C1766" s="3" t="s">
        <v>8103</v>
      </c>
      <c r="D1766" s="3" t="s">
        <v>2295</v>
      </c>
      <c r="E1766" s="3"/>
      <c r="F1766" s="3"/>
      <c r="G1766" s="3" t="s">
        <v>8104</v>
      </c>
      <c r="H1766" s="3" t="s">
        <v>2295</v>
      </c>
      <c r="I1766" s="3" t="s">
        <v>5992</v>
      </c>
      <c r="J1766" s="3" t="s">
        <v>5999</v>
      </c>
      <c r="K1766" s="4" t="b">
        <f>J1766 = "blocking"</f>
        <v>1</v>
      </c>
      <c r="L1766" s="3" t="s">
        <v>1448</v>
      </c>
      <c r="M1766" s="3" t="s">
        <v>8127</v>
      </c>
      <c r="N1766" s="5">
        <v>46223.1297337963</v>
      </c>
      <c r="O1766" s="4" t="b">
        <f>L1766 = "PASS"</f>
        <v>1</v>
      </c>
      <c r="P1766" s="4" t="b">
        <f>L1766 = "FAIL"</f>
        <v>0</v>
      </c>
      <c r="Q1766" s="4" t="b">
        <f>AND(((P1766)=TRUE), ((K1766)=TRUE))</f>
        <v>0</v>
      </c>
      <c r="R1766" s="4" t="str">
        <f>IF(((O1766)=TRUE),  I1766,  "")</f>
        <v>suite-provenance</v>
      </c>
      <c r="S1766" s="4" t="str">
        <f>IF(((Q1766)=TRUE),  I1766,  "")</f>
      </c>
      <c r="T1766" s="3" t="s">
        <v>6001</v>
      </c>
    </row>
    <row r="1767">
      <c r="A1767" s="3" t="s">
        <v>8198</v>
      </c>
      <c r="B1767" s="4" t="str">
        <f>C1767 &amp; ": " &amp; D1767</f>
        <v>question-answered: q2-cfo-quality-of-a-green-attestation</v>
      </c>
      <c r="C1767" s="3" t="s">
        <v>8103</v>
      </c>
      <c r="D1767" s="3" t="s">
        <v>2299</v>
      </c>
      <c r="E1767" s="3"/>
      <c r="F1767" s="3"/>
      <c r="G1767" s="3" t="s">
        <v>8104</v>
      </c>
      <c r="H1767" s="3" t="s">
        <v>2299</v>
      </c>
      <c r="I1767" s="3" t="s">
        <v>5992</v>
      </c>
      <c r="J1767" s="3" t="s">
        <v>5999</v>
      </c>
      <c r="K1767" s="4" t="b">
        <f>J1767 = "blocking"</f>
        <v>1</v>
      </c>
      <c r="L1767" s="3" t="s">
        <v>1448</v>
      </c>
      <c r="M1767" s="3" t="s">
        <v>8120</v>
      </c>
      <c r="N1767" s="5">
        <v>46223.1297337963</v>
      </c>
      <c r="O1767" s="4" t="b">
        <f>L1767 = "PASS"</f>
        <v>1</v>
      </c>
      <c r="P1767" s="4" t="b">
        <f>L1767 = "FAIL"</f>
        <v>0</v>
      </c>
      <c r="Q1767" s="4" t="b">
        <f>AND(((P1767)=TRUE), ((K1767)=TRUE))</f>
        <v>0</v>
      </c>
      <c r="R1767" s="4" t="str">
        <f>IF(((O1767)=TRUE),  I1767,  "")</f>
        <v>suite-provenance</v>
      </c>
      <c r="S1767" s="4" t="str">
        <f>IF(((Q1767)=TRUE),  I1767,  "")</f>
      </c>
      <c r="T1767" s="3" t="s">
        <v>6001</v>
      </c>
    </row>
    <row r="1768">
      <c r="A1768" s="3" t="s">
        <v>8199</v>
      </c>
      <c r="B1768" s="4" t="str">
        <f>C1768 &amp; ": " &amp; D1768</f>
        <v>question-answered: q2-cfo-would-it-survive-restatement</v>
      </c>
      <c r="C1768" s="3" t="s">
        <v>8103</v>
      </c>
      <c r="D1768" s="3" t="s">
        <v>2303</v>
      </c>
      <c r="E1768" s="3"/>
      <c r="F1768" s="3"/>
      <c r="G1768" s="3" t="s">
        <v>8104</v>
      </c>
      <c r="H1768" s="3" t="s">
        <v>2303</v>
      </c>
      <c r="I1768" s="3" t="s">
        <v>5992</v>
      </c>
      <c r="J1768" s="3" t="s">
        <v>5999</v>
      </c>
      <c r="K1768" s="4" t="b">
        <f>J1768 = "blocking"</f>
        <v>1</v>
      </c>
      <c r="L1768" s="3" t="s">
        <v>1448</v>
      </c>
      <c r="M1768" s="3" t="s">
        <v>8127</v>
      </c>
      <c r="N1768" s="5">
        <v>46223.1297337963</v>
      </c>
      <c r="O1768" s="4" t="b">
        <f>L1768 = "PASS"</f>
        <v>1</v>
      </c>
      <c r="P1768" s="4" t="b">
        <f>L1768 = "FAIL"</f>
        <v>0</v>
      </c>
      <c r="Q1768" s="4" t="b">
        <f>AND(((P1768)=TRUE), ((K1768)=TRUE))</f>
        <v>0</v>
      </c>
      <c r="R1768" s="4" t="str">
        <f>IF(((O1768)=TRUE),  I1768,  "")</f>
        <v>suite-provenance</v>
      </c>
      <c r="S1768" s="4" t="str">
        <f>IF(((Q1768)=TRUE),  I1768,  "")</f>
      </c>
      <c r="T1768" s="3" t="s">
        <v>6001</v>
      </c>
    </row>
    <row r="1769">
      <c r="A1769" s="3" t="s">
        <v>8200</v>
      </c>
      <c r="B1769" s="4" t="str">
        <f>C1769 &amp; ": " &amp; D1769</f>
        <v>question-answered: q2-cfo-who-witnessed-the-witnesses</v>
      </c>
      <c r="C1769" s="3" t="s">
        <v>8103</v>
      </c>
      <c r="D1769" s="3" t="s">
        <v>2307</v>
      </c>
      <c r="E1769" s="3"/>
      <c r="F1769" s="3"/>
      <c r="G1769" s="3" t="s">
        <v>8104</v>
      </c>
      <c r="H1769" s="3" t="s">
        <v>2307</v>
      </c>
      <c r="I1769" s="3" t="s">
        <v>5992</v>
      </c>
      <c r="J1769" s="3" t="s">
        <v>5999</v>
      </c>
      <c r="K1769" s="4" t="b">
        <f>J1769 = "blocking"</f>
        <v>1</v>
      </c>
      <c r="L1769" s="3" t="s">
        <v>1448</v>
      </c>
      <c r="M1769" s="3" t="s">
        <v>8107</v>
      </c>
      <c r="N1769" s="5">
        <v>46223.1297337963</v>
      </c>
      <c r="O1769" s="4" t="b">
        <f>L1769 = "PASS"</f>
        <v>1</v>
      </c>
      <c r="P1769" s="4" t="b">
        <f>L1769 = "FAIL"</f>
        <v>0</v>
      </c>
      <c r="Q1769" s="4" t="b">
        <f>AND(((P1769)=TRUE), ((K1769)=TRUE))</f>
        <v>0</v>
      </c>
      <c r="R1769" s="4" t="str">
        <f>IF(((O1769)=TRUE),  I1769,  "")</f>
        <v>suite-provenance</v>
      </c>
      <c r="S1769" s="4" t="str">
        <f>IF(((Q1769)=TRUE),  I1769,  "")</f>
      </c>
      <c r="T1769" s="3" t="s">
        <v>6001</v>
      </c>
    </row>
    <row r="1770">
      <c r="A1770" s="3" t="s">
        <v>8201</v>
      </c>
      <c r="B1770" s="4" t="str">
        <f>C1770 &amp; ": " &amp; D1770</f>
        <v>question-answered: q2-cfo-controls-nobody-is-watching</v>
      </c>
      <c r="C1770" s="3" t="s">
        <v>8103</v>
      </c>
      <c r="D1770" s="3" t="s">
        <v>2311</v>
      </c>
      <c r="E1770" s="3"/>
      <c r="F1770" s="3"/>
      <c r="G1770" s="3" t="s">
        <v>8104</v>
      </c>
      <c r="H1770" s="3" t="s">
        <v>2311</v>
      </c>
      <c r="I1770" s="3" t="s">
        <v>5992</v>
      </c>
      <c r="J1770" s="3" t="s">
        <v>5999</v>
      </c>
      <c r="K1770" s="4" t="b">
        <f>J1770 = "blocking"</f>
        <v>1</v>
      </c>
      <c r="L1770" s="3" t="s">
        <v>1448</v>
      </c>
      <c r="M1770" s="3" t="s">
        <v>8107</v>
      </c>
      <c r="N1770" s="5">
        <v>46223.1297337963</v>
      </c>
      <c r="O1770" s="4" t="b">
        <f>L1770 = "PASS"</f>
        <v>1</v>
      </c>
      <c r="P1770" s="4" t="b">
        <f>L1770 = "FAIL"</f>
        <v>0</v>
      </c>
      <c r="Q1770" s="4" t="b">
        <f>AND(((P1770)=TRUE), ((K1770)=TRUE))</f>
        <v>0</v>
      </c>
      <c r="R1770" s="4" t="str">
        <f>IF(((O1770)=TRUE),  I1770,  "")</f>
        <v>suite-provenance</v>
      </c>
      <c r="S1770" s="4" t="str">
        <f>IF(((Q1770)=TRUE),  I1770,  "")</f>
      </c>
      <c r="T1770" s="3" t="s">
        <v>6001</v>
      </c>
    </row>
    <row r="1771">
      <c r="A1771" s="3" t="s">
        <v>8202</v>
      </c>
      <c r="B1771" s="4" t="str">
        <f>C1771 &amp; ": " &amp; D1771</f>
        <v>question-answered: q2-cfo-what-changed-since-i-signed</v>
      </c>
      <c r="C1771" s="3" t="s">
        <v>8103</v>
      </c>
      <c r="D1771" s="3" t="s">
        <v>2315</v>
      </c>
      <c r="E1771" s="3"/>
      <c r="F1771" s="3"/>
      <c r="G1771" s="3" t="s">
        <v>8104</v>
      </c>
      <c r="H1771" s="3" t="s">
        <v>2315</v>
      </c>
      <c r="I1771" s="3" t="s">
        <v>5992</v>
      </c>
      <c r="J1771" s="3" t="s">
        <v>5999</v>
      </c>
      <c r="K1771" s="4" t="b">
        <f>J1771 = "blocking"</f>
        <v>1</v>
      </c>
      <c r="L1771" s="3" t="s">
        <v>1448</v>
      </c>
      <c r="M1771" s="3" t="s">
        <v>8120</v>
      </c>
      <c r="N1771" s="5">
        <v>46223.1297337963</v>
      </c>
      <c r="O1771" s="4" t="b">
        <f>L1771 = "PASS"</f>
        <v>1</v>
      </c>
      <c r="P1771" s="4" t="b">
        <f>L1771 = "FAIL"</f>
        <v>0</v>
      </c>
      <c r="Q1771" s="4" t="b">
        <f>AND(((P1771)=TRUE), ((K1771)=TRUE))</f>
        <v>0</v>
      </c>
      <c r="R1771" s="4" t="str">
        <f>IF(((O1771)=TRUE),  I1771,  "")</f>
        <v>suite-provenance</v>
      </c>
      <c r="S1771" s="4" t="str">
        <f>IF(((Q1771)=TRUE),  I1771,  "")</f>
      </c>
      <c r="T1771" s="3" t="s">
        <v>6001</v>
      </c>
    </row>
    <row r="1772">
      <c r="A1772" s="3" t="s">
        <v>8203</v>
      </c>
      <c r="B1772" s="4" t="str">
        <f>C1772 &amp; ": " &amp; D1772</f>
        <v>question-answered: q2-comms-approval-to-delivery-yield</v>
      </c>
      <c r="C1772" s="3" t="s">
        <v>8103</v>
      </c>
      <c r="D1772" s="3" t="s">
        <v>2319</v>
      </c>
      <c r="E1772" s="3"/>
      <c r="F1772" s="3"/>
      <c r="G1772" s="3" t="s">
        <v>8104</v>
      </c>
      <c r="H1772" s="3" t="s">
        <v>2319</v>
      </c>
      <c r="I1772" s="3" t="s">
        <v>5992</v>
      </c>
      <c r="J1772" s="3" t="s">
        <v>5999</v>
      </c>
      <c r="K1772" s="4" t="b">
        <f>J1772 = "blocking"</f>
        <v>1</v>
      </c>
      <c r="L1772" s="3" t="s">
        <v>1448</v>
      </c>
      <c r="M1772" s="3" t="s">
        <v>8107</v>
      </c>
      <c r="N1772" s="5">
        <v>46223.1297337963</v>
      </c>
      <c r="O1772" s="4" t="b">
        <f>L1772 = "PASS"</f>
        <v>1</v>
      </c>
      <c r="P1772" s="4" t="b">
        <f>L1772 = "FAIL"</f>
        <v>0</v>
      </c>
      <c r="Q1772" s="4" t="b">
        <f>AND(((P1772)=TRUE), ((K1772)=TRUE))</f>
        <v>0</v>
      </c>
      <c r="R1772" s="4" t="str">
        <f>IF(((O1772)=TRUE),  I1772,  "")</f>
        <v>suite-provenance</v>
      </c>
      <c r="S1772" s="4" t="str">
        <f>IF(((Q1772)=TRUE),  I1772,  "")</f>
      </c>
      <c r="T1772" s="3" t="s">
        <v>6001</v>
      </c>
    </row>
    <row r="1773">
      <c r="A1773" s="3" t="s">
        <v>8204</v>
      </c>
      <c r="B1773" s="4" t="str">
        <f>C1773 &amp; ": " &amp; D1773</f>
        <v>question-answered: q2-comms-message-nobody-answered</v>
      </c>
      <c r="C1773" s="3" t="s">
        <v>8103</v>
      </c>
      <c r="D1773" s="3" t="s">
        <v>2323</v>
      </c>
      <c r="E1773" s="3"/>
      <c r="F1773" s="3"/>
      <c r="G1773" s="3" t="s">
        <v>8104</v>
      </c>
      <c r="H1773" s="3" t="s">
        <v>2323</v>
      </c>
      <c r="I1773" s="3" t="s">
        <v>5992</v>
      </c>
      <c r="J1773" s="3" t="s">
        <v>5999</v>
      </c>
      <c r="K1773" s="4" t="b">
        <f>J1773 = "blocking"</f>
        <v>1</v>
      </c>
      <c r="L1773" s="3" t="s">
        <v>1448</v>
      </c>
      <c r="M1773" s="3" t="s">
        <v>8120</v>
      </c>
      <c r="N1773" s="5">
        <v>46223.1297337963</v>
      </c>
      <c r="O1773" s="4" t="b">
        <f>L1773 = "PASS"</f>
        <v>1</v>
      </c>
      <c r="P1773" s="4" t="b">
        <f>L1773 = "FAIL"</f>
        <v>0</v>
      </c>
      <c r="Q1773" s="4" t="b">
        <f>AND(((P1773)=TRUE), ((K1773)=TRUE))</f>
        <v>0</v>
      </c>
      <c r="R1773" s="4" t="str">
        <f>IF(((O1773)=TRUE),  I1773,  "")</f>
        <v>suite-provenance</v>
      </c>
      <c r="S1773" s="4" t="str">
        <f>IF(((Q1773)=TRUE),  I1773,  "")</f>
      </c>
      <c r="T1773" s="3" t="s">
        <v>6001</v>
      </c>
    </row>
    <row r="1774">
      <c r="A1774" s="3" t="s">
        <v>8205</v>
      </c>
      <c r="B1774" s="4" t="str">
        <f>C1774 &amp; ": " &amp; D1774</f>
        <v>question-answered: q2-comms-my-approval-was-consumed-correctly</v>
      </c>
      <c r="C1774" s="3" t="s">
        <v>8103</v>
      </c>
      <c r="D1774" s="3" t="s">
        <v>2327</v>
      </c>
      <c r="E1774" s="3"/>
      <c r="F1774" s="3"/>
      <c r="G1774" s="3" t="s">
        <v>8104</v>
      </c>
      <c r="H1774" s="3" t="s">
        <v>2327</v>
      </c>
      <c r="I1774" s="3" t="s">
        <v>5992</v>
      </c>
      <c r="J1774" s="3" t="s">
        <v>5999</v>
      </c>
      <c r="K1774" s="4" t="b">
        <f>J1774 = "blocking"</f>
        <v>1</v>
      </c>
      <c r="L1774" s="3" t="s">
        <v>1448</v>
      </c>
      <c r="M1774" s="3" t="s">
        <v>8107</v>
      </c>
      <c r="N1774" s="5">
        <v>46223.1297337963</v>
      </c>
      <c r="O1774" s="4" t="b">
        <f>L1774 = "PASS"</f>
        <v>1</v>
      </c>
      <c r="P1774" s="4" t="b">
        <f>L1774 = "FAIL"</f>
        <v>0</v>
      </c>
      <c r="Q1774" s="4" t="b">
        <f>AND(((P1774)=TRUE), ((K1774)=TRUE))</f>
        <v>0</v>
      </c>
      <c r="R1774" s="4" t="str">
        <f>IF(((O1774)=TRUE),  I1774,  "")</f>
        <v>suite-provenance</v>
      </c>
      <c r="S1774" s="4" t="str">
        <f>IF(((Q1774)=TRUE),  I1774,  "")</f>
      </c>
      <c r="T1774" s="3" t="s">
        <v>6001</v>
      </c>
    </row>
    <row r="1775">
      <c r="A1775" s="3" t="s">
        <v>8206</v>
      </c>
      <c r="B1775" s="4" t="str">
        <f>C1775 &amp; ": " &amp; D1775</f>
        <v>question-answered: q2-comms-freeze-what-i-approved</v>
      </c>
      <c r="C1775" s="3" t="s">
        <v>8103</v>
      </c>
      <c r="D1775" s="3" t="s">
        <v>2331</v>
      </c>
      <c r="E1775" s="3"/>
      <c r="F1775" s="3"/>
      <c r="G1775" s="3" t="s">
        <v>8104</v>
      </c>
      <c r="H1775" s="3" t="s">
        <v>2331</v>
      </c>
      <c r="I1775" s="3" t="s">
        <v>5992</v>
      </c>
      <c r="J1775" s="3" t="s">
        <v>5999</v>
      </c>
      <c r="K1775" s="4" t="b">
        <f>J1775 = "blocking"</f>
        <v>1</v>
      </c>
      <c r="L1775" s="3" t="s">
        <v>1448</v>
      </c>
      <c r="M1775" s="3" t="s">
        <v>8116</v>
      </c>
      <c r="N1775" s="5">
        <v>46223.1297337963</v>
      </c>
      <c r="O1775" s="4" t="b">
        <f>L1775 = "PASS"</f>
        <v>1</v>
      </c>
      <c r="P1775" s="4" t="b">
        <f>L1775 = "FAIL"</f>
        <v>0</v>
      </c>
      <c r="Q1775" s="4" t="b">
        <f>AND(((P1775)=TRUE), ((K1775)=TRUE))</f>
        <v>0</v>
      </c>
      <c r="R1775" s="4" t="str">
        <f>IF(((O1775)=TRUE),  I1775,  "")</f>
        <v>suite-provenance</v>
      </c>
      <c r="S1775" s="4" t="str">
        <f>IF(((Q1775)=TRUE),  I1775,  "")</f>
      </c>
      <c r="T1775" s="3" t="s">
        <v>6001</v>
      </c>
    </row>
    <row r="1776">
      <c r="A1776" s="3" t="s">
        <v>8207</v>
      </c>
      <c r="B1776" s="4" t="str">
        <f>C1776 &amp; ": " &amp; D1776</f>
        <v>question-answered: q2-comms-suppression-is-a-communication</v>
      </c>
      <c r="C1776" s="3" t="s">
        <v>8103</v>
      </c>
      <c r="D1776" s="3" t="s">
        <v>2335</v>
      </c>
      <c r="E1776" s="3"/>
      <c r="F1776" s="3"/>
      <c r="G1776" s="3" t="s">
        <v>8104</v>
      </c>
      <c r="H1776" s="3" t="s">
        <v>2335</v>
      </c>
      <c r="I1776" s="3" t="s">
        <v>5992</v>
      </c>
      <c r="J1776" s="3" t="s">
        <v>5999</v>
      </c>
      <c r="K1776" s="4" t="b">
        <f>J1776 = "blocking"</f>
        <v>1</v>
      </c>
      <c r="L1776" s="3" t="s">
        <v>1448</v>
      </c>
      <c r="M1776" s="3" t="s">
        <v>8107</v>
      </c>
      <c r="N1776" s="5">
        <v>46223.1297337963</v>
      </c>
      <c r="O1776" s="4" t="b">
        <f>L1776 = "PASS"</f>
        <v>1</v>
      </c>
      <c r="P1776" s="4" t="b">
        <f>L1776 = "FAIL"</f>
        <v>0</v>
      </c>
      <c r="Q1776" s="4" t="b">
        <f>AND(((P1776)=TRUE), ((K1776)=TRUE))</f>
        <v>0</v>
      </c>
      <c r="R1776" s="4" t="str">
        <f>IF(((O1776)=TRUE),  I1776,  "")</f>
        <v>suite-provenance</v>
      </c>
      <c r="S1776" s="4" t="str">
        <f>IF(((Q1776)=TRUE),  I1776,  "")</f>
      </c>
      <c r="T1776" s="3" t="s">
        <v>6001</v>
      </c>
    </row>
    <row r="1777">
      <c r="A1777" s="3" t="s">
        <v>8208</v>
      </c>
      <c r="B1777" s="4" t="str">
        <f>C1777 &amp; ": " &amp; D1777</f>
        <v>question-answered: q2-variance-comparison-is-statistically-empty</v>
      </c>
      <c r="C1777" s="3" t="s">
        <v>8103</v>
      </c>
      <c r="D1777" s="3" t="s">
        <v>2339</v>
      </c>
      <c r="E1777" s="3"/>
      <c r="F1777" s="3"/>
      <c r="G1777" s="3" t="s">
        <v>8104</v>
      </c>
      <c r="H1777" s="3" t="s">
        <v>2339</v>
      </c>
      <c r="I1777" s="3" t="s">
        <v>5992</v>
      </c>
      <c r="J1777" s="3" t="s">
        <v>5999</v>
      </c>
      <c r="K1777" s="4" t="b">
        <f>J1777 = "blocking"</f>
        <v>1</v>
      </c>
      <c r="L1777" s="3" t="s">
        <v>1448</v>
      </c>
      <c r="M1777" s="3" t="s">
        <v>8107</v>
      </c>
      <c r="N1777" s="5">
        <v>46223.1297337963</v>
      </c>
      <c r="O1777" s="4" t="b">
        <f>L1777 = "PASS"</f>
        <v>1</v>
      </c>
      <c r="P1777" s="4" t="b">
        <f>L1777 = "FAIL"</f>
        <v>0</v>
      </c>
      <c r="Q1777" s="4" t="b">
        <f>AND(((P1777)=TRUE), ((K1777)=TRUE))</f>
        <v>0</v>
      </c>
      <c r="R1777" s="4" t="str">
        <f>IF(((O1777)=TRUE),  I1777,  "")</f>
        <v>suite-provenance</v>
      </c>
      <c r="S1777" s="4" t="str">
        <f>IF(((Q1777)=TRUE),  I1777,  "")</f>
      </c>
      <c r="T1777" s="3" t="s">
        <v>6001</v>
      </c>
    </row>
    <row r="1778">
      <c r="A1778" s="3" t="s">
        <v>8209</v>
      </c>
      <c r="B1778" s="4" t="str">
        <f>C1778 &amp; ": " &amp; D1778</f>
        <v>question-answered: q2-variance-boundary-rests-on-expired-knowledge</v>
      </c>
      <c r="C1778" s="3" t="s">
        <v>8103</v>
      </c>
      <c r="D1778" s="3" t="s">
        <v>2343</v>
      </c>
      <c r="E1778" s="3"/>
      <c r="F1778" s="3"/>
      <c r="G1778" s="3" t="s">
        <v>8104</v>
      </c>
      <c r="H1778" s="3" t="s">
        <v>2343</v>
      </c>
      <c r="I1778" s="3" t="s">
        <v>5992</v>
      </c>
      <c r="J1778" s="3" t="s">
        <v>5999</v>
      </c>
      <c r="K1778" s="4" t="b">
        <f>J1778 = "blocking"</f>
        <v>1</v>
      </c>
      <c r="L1778" s="3" t="s">
        <v>1448</v>
      </c>
      <c r="M1778" s="3" t="s">
        <v>8105</v>
      </c>
      <c r="N1778" s="5">
        <v>46223.1297337963</v>
      </c>
      <c r="O1778" s="4" t="b">
        <f>L1778 = "PASS"</f>
        <v>1</v>
      </c>
      <c r="P1778" s="4" t="b">
        <f>L1778 = "FAIL"</f>
        <v>0</v>
      </c>
      <c r="Q1778" s="4" t="b">
        <f>AND(((P1778)=TRUE), ((K1778)=TRUE))</f>
        <v>0</v>
      </c>
      <c r="R1778" s="4" t="str">
        <f>IF(((O1778)=TRUE),  I1778,  "")</f>
        <v>suite-provenance</v>
      </c>
      <c r="S1778" s="4" t="str">
        <f>IF(((Q1778)=TRUE),  I1778,  "")</f>
      </c>
      <c r="T1778" s="3" t="s">
        <v>6001</v>
      </c>
    </row>
    <row r="1779">
      <c r="A1779" s="3" t="s">
        <v>8210</v>
      </c>
      <c r="B1779" s="4" t="str">
        <f>C1779 &amp; ": " &amp; D1779</f>
        <v>question-answered: q2-variance-override-signal-vs-noise</v>
      </c>
      <c r="C1779" s="3" t="s">
        <v>8103</v>
      </c>
      <c r="D1779" s="3" t="s">
        <v>2347</v>
      </c>
      <c r="E1779" s="3"/>
      <c r="F1779" s="3"/>
      <c r="G1779" s="3" t="s">
        <v>8104</v>
      </c>
      <c r="H1779" s="3" t="s">
        <v>2347</v>
      </c>
      <c r="I1779" s="3" t="s">
        <v>5992</v>
      </c>
      <c r="J1779" s="3" t="s">
        <v>5999</v>
      </c>
      <c r="K1779" s="4" t="b">
        <f>J1779 = "blocking"</f>
        <v>1</v>
      </c>
      <c r="L1779" s="3" t="s">
        <v>1448</v>
      </c>
      <c r="M1779" s="3" t="s">
        <v>8107</v>
      </c>
      <c r="N1779" s="5">
        <v>46223.1297337963</v>
      </c>
      <c r="O1779" s="4" t="b">
        <f>L1779 = "PASS"</f>
        <v>1</v>
      </c>
      <c r="P1779" s="4" t="b">
        <f>L1779 = "FAIL"</f>
        <v>0</v>
      </c>
      <c r="Q1779" s="4" t="b">
        <f>AND(((P1779)=TRUE), ((K1779)=TRUE))</f>
        <v>0</v>
      </c>
      <c r="R1779" s="4" t="str">
        <f>IF(((O1779)=TRUE),  I1779,  "")</f>
        <v>suite-provenance</v>
      </c>
      <c r="S1779" s="4" t="str">
        <f>IF(((Q1779)=TRUE),  I1779,  "")</f>
      </c>
      <c r="T1779" s="3" t="s">
        <v>6001</v>
      </c>
    </row>
    <row r="1780">
      <c r="A1780" s="3" t="s">
        <v>8211</v>
      </c>
      <c r="B1780" s="4" t="str">
        <f>C1780 &amp; ": " &amp; D1780</f>
        <v>question-answered: q2-variance-handover-was-a-decision-somebody-made</v>
      </c>
      <c r="C1780" s="3" t="s">
        <v>8103</v>
      </c>
      <c r="D1780" s="3" t="s">
        <v>2351</v>
      </c>
      <c r="E1780" s="3"/>
      <c r="F1780" s="3"/>
      <c r="G1780" s="3" t="s">
        <v>8104</v>
      </c>
      <c r="H1780" s="3" t="s">
        <v>2351</v>
      </c>
      <c r="I1780" s="3" t="s">
        <v>5992</v>
      </c>
      <c r="J1780" s="3" t="s">
        <v>5999</v>
      </c>
      <c r="K1780" s="4" t="b">
        <f>J1780 = "blocking"</f>
        <v>1</v>
      </c>
      <c r="L1780" s="3" t="s">
        <v>1448</v>
      </c>
      <c r="M1780" s="3" t="s">
        <v>8107</v>
      </c>
      <c r="N1780" s="5">
        <v>46223.1297337963</v>
      </c>
      <c r="O1780" s="4" t="b">
        <f>L1780 = "PASS"</f>
        <v>1</v>
      </c>
      <c r="P1780" s="4" t="b">
        <f>L1780 = "FAIL"</f>
        <v>0</v>
      </c>
      <c r="Q1780" s="4" t="b">
        <f>AND(((P1780)=TRUE), ((K1780)=TRUE))</f>
        <v>0</v>
      </c>
      <c r="R1780" s="4" t="str">
        <f>IF(((O1780)=TRUE),  I1780,  "")</f>
        <v>suite-provenance</v>
      </c>
      <c r="S1780" s="4" t="str">
        <f>IF(((Q1780)=TRUE),  I1780,  "")</f>
      </c>
      <c r="T1780" s="3" t="s">
        <v>6001</v>
      </c>
    </row>
    <row r="1781">
      <c r="A1781" s="3" t="s">
        <v>8212</v>
      </c>
      <c r="B1781" s="4" t="str">
        <f>C1781 &amp; ": " &amp; D1781</f>
        <v>question-answered: q2-variance-what-would-make-me-stop</v>
      </c>
      <c r="C1781" s="3" t="s">
        <v>8103</v>
      </c>
      <c r="D1781" s="3" t="s">
        <v>2355</v>
      </c>
      <c r="E1781" s="3"/>
      <c r="F1781" s="3"/>
      <c r="G1781" s="3" t="s">
        <v>8104</v>
      </c>
      <c r="H1781" s="3" t="s">
        <v>2355</v>
      </c>
      <c r="I1781" s="3" t="s">
        <v>5992</v>
      </c>
      <c r="J1781" s="3" t="s">
        <v>5999</v>
      </c>
      <c r="K1781" s="4" t="b">
        <f>J1781 = "blocking"</f>
        <v>1</v>
      </c>
      <c r="L1781" s="3" t="s">
        <v>1448</v>
      </c>
      <c r="M1781" s="3" t="s">
        <v>8120</v>
      </c>
      <c r="N1781" s="5">
        <v>46223.1297337963</v>
      </c>
      <c r="O1781" s="4" t="b">
        <f>L1781 = "PASS"</f>
        <v>1</v>
      </c>
      <c r="P1781" s="4" t="b">
        <f>L1781 = "FAIL"</f>
        <v>0</v>
      </c>
      <c r="Q1781" s="4" t="b">
        <f>AND(((P1781)=TRUE), ((K1781)=TRUE))</f>
        <v>0</v>
      </c>
      <c r="R1781" s="4" t="str">
        <f>IF(((O1781)=TRUE),  I1781,  "")</f>
        <v>suite-provenance</v>
      </c>
      <c r="S1781" s="4" t="str">
        <f>IF(((Q1781)=TRUE),  I1781,  "")</f>
      </c>
      <c r="T1781" s="3" t="s">
        <v>6001</v>
      </c>
    </row>
    <row r="1782">
      <c r="A1782" s="3" t="s">
        <v>8213</v>
      </c>
      <c r="B1782" s="4" t="str">
        <f>C1782 &amp; ": " &amp; D1782</f>
        <v>question-answered: q2-publisher-every-refusal-leaves-a-record</v>
      </c>
      <c r="C1782" s="3" t="s">
        <v>8103</v>
      </c>
      <c r="D1782" s="3" t="s">
        <v>2359</v>
      </c>
      <c r="E1782" s="3"/>
      <c r="F1782" s="3"/>
      <c r="G1782" s="3" t="s">
        <v>8104</v>
      </c>
      <c r="H1782" s="3" t="s">
        <v>2359</v>
      </c>
      <c r="I1782" s="3" t="s">
        <v>5992</v>
      </c>
      <c r="J1782" s="3" t="s">
        <v>5999</v>
      </c>
      <c r="K1782" s="4" t="b">
        <f>J1782 = "blocking"</f>
        <v>1</v>
      </c>
      <c r="L1782" s="3" t="s">
        <v>1448</v>
      </c>
      <c r="M1782" s="3" t="s">
        <v>8127</v>
      </c>
      <c r="N1782" s="5">
        <v>46223.1297337963</v>
      </c>
      <c r="O1782" s="4" t="b">
        <f>L1782 = "PASS"</f>
        <v>1</v>
      </c>
      <c r="P1782" s="4" t="b">
        <f>L1782 = "FAIL"</f>
        <v>0</v>
      </c>
      <c r="Q1782" s="4" t="b">
        <f>AND(((P1782)=TRUE), ((K1782)=TRUE))</f>
        <v>0</v>
      </c>
      <c r="R1782" s="4" t="str">
        <f>IF(((O1782)=TRUE),  I1782,  "")</f>
        <v>suite-provenance</v>
      </c>
      <c r="S1782" s="4" t="str">
        <f>IF(((Q1782)=TRUE),  I1782,  "")</f>
      </c>
      <c r="T1782" s="3" t="s">
        <v>6001</v>
      </c>
    </row>
    <row r="1783">
      <c r="A1783" s="3" t="s">
        <v>8214</v>
      </c>
      <c r="B1783" s="4" t="str">
        <f>C1783 &amp; ": " &amp; D1783</f>
        <v>question-answered: q2-publisher-deferred-not-cancelled</v>
      </c>
      <c r="C1783" s="3" t="s">
        <v>8103</v>
      </c>
      <c r="D1783" s="3" t="s">
        <v>2363</v>
      </c>
      <c r="E1783" s="3"/>
      <c r="F1783" s="3"/>
      <c r="G1783" s="3" t="s">
        <v>8104</v>
      </c>
      <c r="H1783" s="3" t="s">
        <v>2363</v>
      </c>
      <c r="I1783" s="3" t="s">
        <v>5992</v>
      </c>
      <c r="J1783" s="3" t="s">
        <v>5999</v>
      </c>
      <c r="K1783" s="4" t="b">
        <f>J1783 = "blocking"</f>
        <v>1</v>
      </c>
      <c r="L1783" s="3" t="s">
        <v>1448</v>
      </c>
      <c r="M1783" s="3" t="s">
        <v>8107</v>
      </c>
      <c r="N1783" s="5">
        <v>46223.1297337963</v>
      </c>
      <c r="O1783" s="4" t="b">
        <f>L1783 = "PASS"</f>
        <v>1</v>
      </c>
      <c r="P1783" s="4" t="b">
        <f>L1783 = "FAIL"</f>
        <v>0</v>
      </c>
      <c r="Q1783" s="4" t="b">
        <f>AND(((P1783)=TRUE), ((K1783)=TRUE))</f>
        <v>0</v>
      </c>
      <c r="R1783" s="4" t="str">
        <f>IF(((O1783)=TRUE),  I1783,  "")</f>
        <v>suite-provenance</v>
      </c>
      <c r="S1783" s="4" t="str">
        <f>IF(((Q1783)=TRUE),  I1783,  "")</f>
      </c>
      <c r="T1783" s="3" t="s">
        <v>6001</v>
      </c>
    </row>
    <row r="1784">
      <c r="A1784" s="3" t="s">
        <v>8215</v>
      </c>
      <c r="B1784" s="4" t="str">
        <f>C1784 &amp; ": " &amp; D1784</f>
        <v>question-answered: q2-publisher-my-own-authorization</v>
      </c>
      <c r="C1784" s="3" t="s">
        <v>8103</v>
      </c>
      <c r="D1784" s="3" t="s">
        <v>2367</v>
      </c>
      <c r="E1784" s="3"/>
      <c r="F1784" s="3"/>
      <c r="G1784" s="3" t="s">
        <v>8104</v>
      </c>
      <c r="H1784" s="3" t="s">
        <v>2367</v>
      </c>
      <c r="I1784" s="3" t="s">
        <v>5992</v>
      </c>
      <c r="J1784" s="3" t="s">
        <v>5999</v>
      </c>
      <c r="K1784" s="4" t="b">
        <f>J1784 = "blocking"</f>
        <v>1</v>
      </c>
      <c r="L1784" s="3" t="s">
        <v>1448</v>
      </c>
      <c r="M1784" s="3" t="s">
        <v>8116</v>
      </c>
      <c r="N1784" s="5">
        <v>46223.1297337963</v>
      </c>
      <c r="O1784" s="4" t="b">
        <f>L1784 = "PASS"</f>
        <v>1</v>
      </c>
      <c r="P1784" s="4" t="b">
        <f>L1784 = "FAIL"</f>
        <v>0</v>
      </c>
      <c r="Q1784" s="4" t="b">
        <f>AND(((P1784)=TRUE), ((K1784)=TRUE))</f>
        <v>0</v>
      </c>
      <c r="R1784" s="4" t="str">
        <f>IF(((O1784)=TRUE),  I1784,  "")</f>
        <v>suite-provenance</v>
      </c>
      <c r="S1784" s="4" t="str">
        <f>IF(((Q1784)=TRUE),  I1784,  "")</f>
      </c>
      <c r="T1784" s="3" t="s">
        <v>6001</v>
      </c>
    </row>
    <row r="1785">
      <c r="A1785" s="3" t="s">
        <v>8216</v>
      </c>
      <c r="B1785" s="4" t="str">
        <f>C1785 &amp; ": " &amp; D1785</f>
        <v>question-answered: q2-publisher-am-i-the-only-witness</v>
      </c>
      <c r="C1785" s="3" t="s">
        <v>8103</v>
      </c>
      <c r="D1785" s="3" t="s">
        <v>2371</v>
      </c>
      <c r="E1785" s="3"/>
      <c r="F1785" s="3"/>
      <c r="G1785" s="3" t="s">
        <v>8104</v>
      </c>
      <c r="H1785" s="3" t="s">
        <v>2371</v>
      </c>
      <c r="I1785" s="3" t="s">
        <v>5992</v>
      </c>
      <c r="J1785" s="3" t="s">
        <v>5999</v>
      </c>
      <c r="K1785" s="4" t="b">
        <f>J1785 = "blocking"</f>
        <v>1</v>
      </c>
      <c r="L1785" s="3" t="s">
        <v>1448</v>
      </c>
      <c r="M1785" s="3" t="s">
        <v>8127</v>
      </c>
      <c r="N1785" s="5">
        <v>46223.1297337963</v>
      </c>
      <c r="O1785" s="4" t="b">
        <f>L1785 = "PASS"</f>
        <v>1</v>
      </c>
      <c r="P1785" s="4" t="b">
        <f>L1785 = "FAIL"</f>
        <v>0</v>
      </c>
      <c r="Q1785" s="4" t="b">
        <f>AND(((P1785)=TRUE), ((K1785)=TRUE))</f>
        <v>0</v>
      </c>
      <c r="R1785" s="4" t="str">
        <f>IF(((O1785)=TRUE),  I1785,  "")</f>
        <v>suite-provenance</v>
      </c>
      <c r="S1785" s="4" t="str">
        <f>IF(((Q1785)=TRUE),  I1785,  "")</f>
      </c>
      <c r="T1785" s="3" t="s">
        <v>6001</v>
      </c>
    </row>
    <row r="1786">
      <c r="A1786" s="3" t="s">
        <v>8217</v>
      </c>
      <c r="B1786" s="4" t="str">
        <f>C1786 &amp; ": " &amp; D1786</f>
        <v>question-answered: q2-publisher-obligation-after-send</v>
      </c>
      <c r="C1786" s="3" t="s">
        <v>8103</v>
      </c>
      <c r="D1786" s="3" t="s">
        <v>2375</v>
      </c>
      <c r="E1786" s="3"/>
      <c r="F1786" s="3"/>
      <c r="G1786" s="3" t="s">
        <v>8104</v>
      </c>
      <c r="H1786" s="3" t="s">
        <v>2375</v>
      </c>
      <c r="I1786" s="3" t="s">
        <v>5992</v>
      </c>
      <c r="J1786" s="3" t="s">
        <v>5999</v>
      </c>
      <c r="K1786" s="4" t="b">
        <f>J1786 = "blocking"</f>
        <v>1</v>
      </c>
      <c r="L1786" s="3" t="s">
        <v>1448</v>
      </c>
      <c r="M1786" s="3" t="s">
        <v>8107</v>
      </c>
      <c r="N1786" s="5">
        <v>46223.1297337963</v>
      </c>
      <c r="O1786" s="4" t="b">
        <f>L1786 = "PASS"</f>
        <v>1</v>
      </c>
      <c r="P1786" s="4" t="b">
        <f>L1786 = "FAIL"</f>
        <v>0</v>
      </c>
      <c r="Q1786" s="4" t="b">
        <f>AND(((P1786)=TRUE), ((K1786)=TRUE))</f>
        <v>0</v>
      </c>
      <c r="R1786" s="4" t="str">
        <f>IF(((O1786)=TRUE),  I1786,  "")</f>
        <v>suite-provenance</v>
      </c>
      <c r="S1786" s="4" t="str">
        <f>IF(((Q1786)=TRUE),  I1786,  "")</f>
      </c>
      <c r="T1786" s="3" t="s">
        <v>6001</v>
      </c>
    </row>
    <row r="1787">
      <c r="A1787" s="3" t="s">
        <v>8218</v>
      </c>
      <c r="B1787" s="4" t="str">
        <f>C1787 &amp; ": " &amp; D1787</f>
        <v>provenance: RulebookFields.InventedForQuestion</v>
      </c>
      <c r="C1787" s="3" t="s">
        <v>8219</v>
      </c>
      <c r="D1787" s="3" t="s">
        <v>4180</v>
      </c>
      <c r="E1787" s="3"/>
      <c r="F1787" s="3"/>
      <c r="G1787" s="3" t="s">
        <v>8220</v>
      </c>
      <c r="H1787" s="3"/>
      <c r="I1787" s="3" t="s">
        <v>5992</v>
      </c>
      <c r="J1787" s="3" t="s">
        <v>5999</v>
      </c>
      <c r="K1787" s="4" t="b">
        <f>J1787 = "blocking"</f>
        <v>1</v>
      </c>
      <c r="L1787" s="3" t="s">
        <v>1448</v>
      </c>
      <c r="M1787" s="3" t="s">
        <v>8221</v>
      </c>
      <c r="N1787" s="5">
        <v>46223.1297337963</v>
      </c>
      <c r="O1787" s="4" t="b">
        <f>L1787 = "PASS"</f>
        <v>1</v>
      </c>
      <c r="P1787" s="4" t="b">
        <f>L1787 = "FAIL"</f>
        <v>0</v>
      </c>
      <c r="Q1787" s="4" t="b">
        <f>AND(((P1787)=TRUE), ((K1787)=TRUE))</f>
        <v>0</v>
      </c>
      <c r="R1787" s="4" t="str">
        <f>IF(((O1787)=TRUE),  I1787,  "")</f>
        <v>suite-provenance</v>
      </c>
      <c r="S1787" s="4" t="str">
        <f>IF(((Q1787)=TRUE),  I1787,  "")</f>
      </c>
      <c r="T1787" s="3" t="s">
        <v>6001</v>
      </c>
    </row>
    <row r="1788">
      <c r="A1788" s="3" t="s">
        <v>8222</v>
      </c>
      <c r="B1788" s="4" t="str">
        <f>C1788 &amp; ": " &amp; D1788</f>
        <v>catalog-sync: RulebookFields</v>
      </c>
      <c r="C1788" s="3" t="s">
        <v>8223</v>
      </c>
      <c r="D1788" s="3" t="s">
        <v>4172</v>
      </c>
      <c r="E1788" s="3"/>
      <c r="F1788" s="3"/>
      <c r="G1788" s="3" t="s">
        <v>8224</v>
      </c>
      <c r="H1788" s="3"/>
      <c r="I1788" s="3" t="s">
        <v>5992</v>
      </c>
      <c r="J1788" s="3" t="s">
        <v>5999</v>
      </c>
      <c r="K1788" s="4" t="b">
        <f>J1788 = "blocking"</f>
        <v>1</v>
      </c>
      <c r="L1788" s="3" t="s">
        <v>1448</v>
      </c>
      <c r="M1788" s="3" t="s">
        <v>8225</v>
      </c>
      <c r="N1788" s="5">
        <v>46223.1297337963</v>
      </c>
      <c r="O1788" s="4" t="b">
        <f>L1788 = "PASS"</f>
        <v>1</v>
      </c>
      <c r="P1788" s="4" t="b">
        <f>L1788 = "FAIL"</f>
        <v>0</v>
      </c>
      <c r="Q1788" s="4" t="b">
        <f>AND(((P1788)=TRUE), ((K1788)=TRUE))</f>
        <v>0</v>
      </c>
      <c r="R1788" s="4" t="str">
        <f>IF(((O1788)=TRUE),  I1788,  "")</f>
        <v>suite-provenance</v>
      </c>
      <c r="S1788" s="4" t="str">
        <f>IF(((Q1788)=TRUE),  I1788,  "")</f>
      </c>
      <c r="T1788" s="3" t="s">
        <v>6001</v>
      </c>
    </row>
    <row r="1789">
      <c r="A1789" s="3" t="s">
        <v>8226</v>
      </c>
      <c r="B1789" s="4" t="str">
        <f>C1789 &amp; ": " &amp; D1789</f>
        <v>invariant: composite keys</v>
      </c>
      <c r="C1789" s="3" t="s">
        <v>8227</v>
      </c>
      <c r="D1789" s="3" t="s">
        <v>8228</v>
      </c>
      <c r="E1789" s="3"/>
      <c r="F1789" s="3"/>
      <c r="G1789" s="3" t="s">
        <v>8229</v>
      </c>
      <c r="H1789" s="3"/>
      <c r="I1789" s="3" t="s">
        <v>5994</v>
      </c>
      <c r="J1789" s="3" t="s">
        <v>5999</v>
      </c>
      <c r="K1789" s="4" t="b">
        <f>J1789 = "blocking"</f>
        <v>1</v>
      </c>
      <c r="L1789" s="3" t="s">
        <v>1448</v>
      </c>
      <c r="M1789" s="3" t="s">
        <v>8230</v>
      </c>
      <c r="N1789" s="5">
        <v>46223.1297337963</v>
      </c>
      <c r="O1789" s="4" t="b">
        <f>L1789 = "PASS"</f>
        <v>1</v>
      </c>
      <c r="P1789" s="4" t="b">
        <f>L1789 = "FAIL"</f>
        <v>0</v>
      </c>
      <c r="Q1789" s="4" t="b">
        <f>AND(((P1789)=TRUE), ((K1789)=TRUE))</f>
        <v>0</v>
      </c>
      <c r="R1789" s="4" t="str">
        <f>IF(((O1789)=TRUE),  I1789,  "")</f>
        <v>suite-invariant</v>
      </c>
      <c r="S1789" s="4" t="str">
        <f>IF(((Q1789)=TRUE),  I1789,  "")</f>
      </c>
      <c r="T1789" s="3" t="s">
        <v>6001</v>
      </c>
    </row>
    <row r="1790">
      <c r="A1790" s="3" t="s">
        <v>8231</v>
      </c>
      <c r="B1790" s="4" t="str">
        <f>C1790 &amp; ": " &amp; D1790</f>
        <v>invariant: Procedures vs ProcedureExecutions</v>
      </c>
      <c r="C1790" s="3" t="s">
        <v>8227</v>
      </c>
      <c r="D1790" s="3" t="s">
        <v>8232</v>
      </c>
      <c r="E1790" s="3" t="s">
        <v>1824</v>
      </c>
      <c r="F1790" s="3"/>
      <c r="G1790" s="3" t="s">
        <v>8233</v>
      </c>
      <c r="H1790" s="3"/>
      <c r="I1790" s="3" t="s">
        <v>5994</v>
      </c>
      <c r="J1790" s="3" t="s">
        <v>5999</v>
      </c>
      <c r="K1790" s="4" t="b">
        <f>J1790 = "blocking"</f>
        <v>1</v>
      </c>
      <c r="L1790" s="3" t="s">
        <v>1448</v>
      </c>
      <c r="M1790" s="3" t="s">
        <v>8234</v>
      </c>
      <c r="N1790" s="5">
        <v>46223.1297337963</v>
      </c>
      <c r="O1790" s="4" t="b">
        <f>L1790 = "PASS"</f>
        <v>1</v>
      </c>
      <c r="P1790" s="4" t="b">
        <f>L1790 = "FAIL"</f>
        <v>0</v>
      </c>
      <c r="Q1790" s="4" t="b">
        <f>AND(((P1790)=TRUE), ((K1790)=TRUE))</f>
        <v>0</v>
      </c>
      <c r="R1790" s="4" t="str">
        <f>IF(((O1790)=TRUE),  I1790,  "")</f>
        <v>suite-invariant</v>
      </c>
      <c r="S1790" s="4" t="str">
        <f>IF(((Q1790)=TRUE),  I1790,  "")</f>
      </c>
      <c r="T1790" s="3" t="s">
        <v>6001</v>
      </c>
    </row>
    <row r="1791">
      <c r="A1791" s="3" t="s">
        <v>8235</v>
      </c>
      <c r="B1791" s="4" t="str">
        <f>C1791 &amp; ": " &amp; D1791</f>
        <v>invariant: RequirementSatisfactions.IsBlockingAndUnmet</v>
      </c>
      <c r="C1791" s="3" t="s">
        <v>8227</v>
      </c>
      <c r="D1791" s="3" t="s">
        <v>865</v>
      </c>
      <c r="E1791" s="3" t="s">
        <v>1830</v>
      </c>
      <c r="F1791" s="3" t="s">
        <v>1473</v>
      </c>
      <c r="G1791" s="3" t="s">
        <v>8236</v>
      </c>
      <c r="H1791" s="3"/>
      <c r="I1791" s="3" t="s">
        <v>5994</v>
      </c>
      <c r="J1791" s="3" t="s">
        <v>5999</v>
      </c>
      <c r="K1791" s="4" t="b">
        <f>J1791 = "blocking"</f>
        <v>1</v>
      </c>
      <c r="L1791" s="3" t="s">
        <v>1448</v>
      </c>
      <c r="M1791" s="3" t="s">
        <v>8237</v>
      </c>
      <c r="N1791" s="5">
        <v>46223.1297337963</v>
      </c>
      <c r="O1791" s="4" t="b">
        <f>L1791 = "PASS"</f>
        <v>1</v>
      </c>
      <c r="P1791" s="4" t="b">
        <f>L1791 = "FAIL"</f>
        <v>0</v>
      </c>
      <c r="Q1791" s="4" t="b">
        <f>AND(((P1791)=TRUE), ((K1791)=TRUE))</f>
        <v>0</v>
      </c>
      <c r="R1791" s="4" t="str">
        <f>IF(((O1791)=TRUE),  I1791,  "")</f>
        <v>suite-invariant</v>
      </c>
      <c r="S1791" s="4" t="str">
        <f>IF(((Q1791)=TRUE),  I1791,  "")</f>
      </c>
      <c r="T1791" s="3" t="s">
        <v>6001</v>
      </c>
    </row>
    <row r="1792">
      <c r="A1792" s="3" t="s">
        <v>8238</v>
      </c>
      <c r="B1792" s="4" t="str">
        <f>C1792 &amp; ": " &amp; D1792</f>
        <v>invariant: StepExecutions.ViolatesSeparationOfDuties</v>
      </c>
      <c r="C1792" s="3" t="s">
        <v>8227</v>
      </c>
      <c r="D1792" s="3" t="s">
        <v>858</v>
      </c>
      <c r="E1792" s="3" t="s">
        <v>1827</v>
      </c>
      <c r="F1792" s="3" t="s">
        <v>1377</v>
      </c>
      <c r="G1792" s="3" t="s">
        <v>8239</v>
      </c>
      <c r="H1792" s="3"/>
      <c r="I1792" s="3" t="s">
        <v>5994</v>
      </c>
      <c r="J1792" s="3" t="s">
        <v>5999</v>
      </c>
      <c r="K1792" s="4" t="b">
        <f>J1792 = "blocking"</f>
        <v>1</v>
      </c>
      <c r="L1792" s="3" t="s">
        <v>1448</v>
      </c>
      <c r="M1792" s="3" t="s">
        <v>8240</v>
      </c>
      <c r="N1792" s="5">
        <v>46223.1297337963</v>
      </c>
      <c r="O1792" s="4" t="b">
        <f>L1792 = "PASS"</f>
        <v>1</v>
      </c>
      <c r="P1792" s="4" t="b">
        <f>L1792 = "FAIL"</f>
        <v>0</v>
      </c>
      <c r="Q1792" s="4" t="b">
        <f>AND(((P1792)=TRUE), ((K1792)=TRUE))</f>
        <v>0</v>
      </c>
      <c r="R1792" s="4" t="str">
        <f>IF(((O1792)=TRUE),  I1792,  "")</f>
        <v>suite-invariant</v>
      </c>
      <c r="S1792" s="4" t="str">
        <f>IF(((Q1792)=TRUE),  I1792,  "")</f>
      </c>
      <c r="T1792" s="3" t="s">
        <v>6001</v>
      </c>
    </row>
    <row r="1793">
      <c r="A1793" s="3" t="s">
        <v>8241</v>
      </c>
      <c r="B1793" s="4" t="str">
        <f>C1793 &amp; ": " &amp; D1793</f>
        <v>invariant: MessageDeliveries.IsConsentViolation</v>
      </c>
      <c r="C1793" s="3" t="s">
        <v>8227</v>
      </c>
      <c r="D1793" s="3" t="s">
        <v>4485</v>
      </c>
      <c r="E1793" s="3" t="s">
        <v>4444</v>
      </c>
      <c r="F1793" s="3" t="s">
        <v>4486</v>
      </c>
      <c r="G1793" s="3" t="s">
        <v>8242</v>
      </c>
      <c r="H1793" s="3"/>
      <c r="I1793" s="3" t="s">
        <v>5994</v>
      </c>
      <c r="J1793" s="3" t="s">
        <v>5999</v>
      </c>
      <c r="K1793" s="4" t="b">
        <f>J1793 = "blocking"</f>
        <v>1</v>
      </c>
      <c r="L1793" s="3" t="s">
        <v>1448</v>
      </c>
      <c r="M1793" s="3" t="s">
        <v>8243</v>
      </c>
      <c r="N1793" s="5">
        <v>46223.1297337963</v>
      </c>
      <c r="O1793" s="4" t="b">
        <f>L1793 = "PASS"</f>
        <v>1</v>
      </c>
      <c r="P1793" s="4" t="b">
        <f>L1793 = "FAIL"</f>
        <v>0</v>
      </c>
      <c r="Q1793" s="4" t="b">
        <f>AND(((P1793)=TRUE), ((K1793)=TRUE))</f>
        <v>0</v>
      </c>
      <c r="R1793" s="4" t="str">
        <f>IF(((O1793)=TRUE),  I1793,  "")</f>
        <v>suite-invariant</v>
      </c>
      <c r="S1793" s="4" t="str">
        <f>IF(((Q1793)=TRUE),  I1793,  "")</f>
      </c>
      <c r="T1793" s="3" t="s">
        <v>6001</v>
      </c>
    </row>
    <row r="1794">
      <c r="A1794" s="3" t="s">
        <v>8244</v>
      </c>
      <c r="B1794" s="4" t="str">
        <f>C1794 &amp; ": " &amp; D1794</f>
        <v>invariant: time-dependent witnesses</v>
      </c>
      <c r="C1794" s="3" t="s">
        <v>8227</v>
      </c>
      <c r="D1794" s="3" t="s">
        <v>8245</v>
      </c>
      <c r="E1794" s="3"/>
      <c r="F1794" s="3"/>
      <c r="G1794" s="3" t="s">
        <v>8246</v>
      </c>
      <c r="H1794" s="3"/>
      <c r="I1794" s="3" t="s">
        <v>5994</v>
      </c>
      <c r="J1794" s="3" t="s">
        <v>5999</v>
      </c>
      <c r="K1794" s="4" t="b">
        <f>J1794 = "blocking"</f>
        <v>1</v>
      </c>
      <c r="L1794" s="3" t="s">
        <v>1448</v>
      </c>
      <c r="M1794" s="3" t="s">
        <v>8247</v>
      </c>
      <c r="N1794" s="5">
        <v>46223.1297337963</v>
      </c>
      <c r="O1794" s="4" t="b">
        <f>L1794 = "PASS"</f>
        <v>1</v>
      </c>
      <c r="P1794" s="4" t="b">
        <f>L1794 = "FAIL"</f>
        <v>0</v>
      </c>
      <c r="Q1794" s="4" t="b">
        <f>AND(((P1794)=TRUE), ((K1794)=TRUE))</f>
        <v>0</v>
      </c>
      <c r="R1794" s="4" t="str">
        <f>IF(((O1794)=TRUE),  I1794,  "")</f>
        <v>suite-invariant</v>
      </c>
      <c r="S1794" s="4" t="str">
        <f>IF(((Q1794)=TRUE),  I1794,  "")</f>
      </c>
      <c r="T1794" s="3" t="s">
        <v>6001</v>
      </c>
    </row>
    <row r="1795">
      <c r="A1795" s="3" t="s">
        <v>8248</v>
      </c>
      <c r="B1795" s="4" t="str">
        <f>C1795 &amp; ": " &amp; D1795</f>
        <v>invariant: KnowledgeGaps</v>
      </c>
      <c r="C1795" s="3" t="s">
        <v>8227</v>
      </c>
      <c r="D1795" s="3" t="s">
        <v>3368</v>
      </c>
      <c r="E1795" s="3" t="s">
        <v>3368</v>
      </c>
      <c r="F1795" s="3"/>
      <c r="G1795" s="3" t="s">
        <v>8249</v>
      </c>
      <c r="H1795" s="3"/>
      <c r="I1795" s="3" t="s">
        <v>5994</v>
      </c>
      <c r="J1795" s="3" t="s">
        <v>5999</v>
      </c>
      <c r="K1795" s="4" t="b">
        <f>J1795 = "blocking"</f>
        <v>1</v>
      </c>
      <c r="L1795" s="3" t="s">
        <v>1448</v>
      </c>
      <c r="M1795" s="3" t="s">
        <v>8250</v>
      </c>
      <c r="N1795" s="5">
        <v>46223.1297337963</v>
      </c>
      <c r="O1795" s="4" t="b">
        <f>L1795 = "PASS"</f>
        <v>1</v>
      </c>
      <c r="P1795" s="4" t="b">
        <f>L1795 = "FAIL"</f>
        <v>0</v>
      </c>
      <c r="Q1795" s="4" t="b">
        <f>AND(((P1795)=TRUE), ((K1795)=TRUE))</f>
        <v>0</v>
      </c>
      <c r="R1795" s="4" t="str">
        <f>IF(((O1795)=TRUE),  I1795,  "")</f>
        <v>suite-invariant</v>
      </c>
      <c r="S1795" s="4" t="str">
        <f>IF(((Q1795)=TRUE),  I1795,  "")</f>
      </c>
      <c r="T1795" s="3" t="s">
        <v>6001</v>
      </c>
    </row>
  </sheetData>
  <autoFilter ref="A1:T1"/>
  <headerFooter/>
  <legacyDrawing r:id="rId1"/>
</worksheet>
</file>

<file path=xl/worksheets/sheet5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2"/>
  <sheetViews>
    <sheetView workbookViewId="0">
      <pane ySplit="1" topLeftCell="A2" state="frozen" activePane="bottomLeft"/>
      <selection pane="bottomLeft" activeCell="A1" sqref="A1"/>
    </sheetView>
  </sheetViews>
  <sheetFormatPr defaultRowHeight="15"/>
  <cols>
    <col min="1" max="1" width="17.443378448486328" customWidth="1"/>
    <col min="2" max="2" width="32.07949447631836" customWidth="1"/>
    <col min="3" max="3" width="17.443378448486328" customWidth="1"/>
    <col min="4" max="4" width="32.54254913330078" customWidth="1"/>
    <col min="5" max="5" width="52.643733978271484" customWidth="1"/>
    <col min="6" max="6" width="23.35041618347168" customWidth="1"/>
    <col min="7" max="7" width="17.443378448486328" customWidth="1"/>
  </cols>
  <sheetData>
    <row r="1">
      <c r="A1" s="2" t="s">
        <v>4253</v>
      </c>
      <c r="B1" s="2" t="s">
        <v>4255</v>
      </c>
      <c r="C1" s="2" t="s">
        <v>1</v>
      </c>
      <c r="D1" s="2" t="s">
        <v>4258</v>
      </c>
      <c r="E1" s="2" t="s">
        <v>1760</v>
      </c>
      <c r="F1" s="2" t="s">
        <v>4261</v>
      </c>
      <c r="G1" s="2" t="s">
        <v>4263</v>
      </c>
    </row>
    <row r="2">
      <c r="A2" s="3" t="s">
        <v>11</v>
      </c>
      <c r="B2" s="3" t="s">
        <v>8251</v>
      </c>
      <c r="C2" s="3" t="s">
        <v>12</v>
      </c>
      <c r="D2" s="3" t="s">
        <v>8252</v>
      </c>
      <c r="E2" s="3" t="s">
        <v>8253</v>
      </c>
      <c r="F2" s="5">
        <v>46222.708333333336</v>
      </c>
      <c r="G2" s="3" t="b">
        <v>0</v>
      </c>
    </row>
  </sheetData>
  <autoFilter ref="A1:G1"/>
  <headerFooter/>
  <legacyDrawing r:id="rId1"/>
</worksheet>
</file>

<file path=xl/worksheets/sheet5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
  <sheetViews>
    <sheetView workbookViewId="0">
      <pane ySplit="1" topLeftCell="A2" state="frozen" activePane="bottomLeft"/>
      <selection pane="bottomLeft" activeCell="A1" sqref="A1"/>
    </sheetView>
  </sheetViews>
  <sheetFormatPr defaultRowHeight="15"/>
  <cols>
    <col min="1" max="1" width="20.546388626098633" customWidth="1"/>
    <col min="2" max="2" width="17.443378448486328" customWidth="1"/>
    <col min="3" max="3" width="17.443378448486328" customWidth="1"/>
    <col min="4" max="4" width="17.443378448486328" customWidth="1"/>
    <col min="5" max="5" width="17.443378448486328" customWidth="1"/>
    <col min="6" max="6" width="19.331968307495117" customWidth="1"/>
  </cols>
  <sheetData>
    <row r="1">
      <c r="A1" s="2" t="s">
        <v>4266</v>
      </c>
      <c r="B1" s="2" t="s">
        <v>1</v>
      </c>
      <c r="C1" s="2" t="s">
        <v>358</v>
      </c>
      <c r="D1" s="2" t="s">
        <v>4270</v>
      </c>
      <c r="E1" s="2" t="s">
        <v>4272</v>
      </c>
      <c r="F1" s="2" t="s">
        <v>4274</v>
      </c>
    </row>
  </sheetData>
  <autoFilter ref="A1:F1"/>
  <headerFooter/>
  <legacyDrawing r:id="rId1"/>
</worksheet>
</file>

<file path=xl/worksheets/sheet5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2"/>
  <sheetViews>
    <sheetView workbookViewId="0">
      <pane ySplit="1" topLeftCell="A2" state="frozen" activePane="bottomLeft"/>
      <selection pane="bottomLeft" activeCell="A1" sqref="A1"/>
    </sheetView>
  </sheetViews>
  <sheetFormatPr defaultRowHeight="15"/>
  <cols>
    <col min="1" max="1" width="22.717899322509766" customWidth="1"/>
    <col min="2" max="2" width="29.88327407836914" customWidth="1"/>
    <col min="3" max="3" width="17.443378448486328" customWidth="1"/>
    <col min="4" max="4" width="18.468276977539062" customWidth="1"/>
    <col min="5" max="5" width="17.443378448486328" customWidth="1"/>
    <col min="6" max="6" width="18.450883865356445" customWidth="1"/>
    <col min="7" max="7" width="23.35041618347168" customWidth="1"/>
    <col min="8" max="8" width="124.60913848876953" customWidth="1"/>
    <col min="9" max="9" width="110.68605041503906" customWidth="1"/>
    <col min="10" max="10" width="22.41802406311035" customWidth="1"/>
    <col min="11" max="11" width="28.29196548461914" customWidth="1"/>
    <col min="12" max="12" width="21.61259651184082" customWidth="1"/>
    <col min="13" max="13" width="17.443378448486328" customWidth="1"/>
    <col min="14" max="14" width="22.9201602935791" customWidth="1"/>
    <col min="15" max="15" width="18.9503231048584" customWidth="1"/>
    <col min="16" max="16" width="32.54715347290039" customWidth="1"/>
    <col min="17" max="17" width="26.299177169799805" customWidth="1"/>
    <col min="18" max="18" width="24.33504867553711" customWidth="1"/>
    <col min="19" max="19" width="21.608692169189453" customWidth="1"/>
    <col min="20" max="20" width="24.749574661254883" customWidth="1"/>
    <col min="21" max="21" width="47.654518127441406" customWidth="1"/>
  </cols>
  <sheetData>
    <row r="1">
      <c r="A1" s="2" t="s">
        <v>4288</v>
      </c>
      <c r="B1" s="2" t="s">
        <v>1</v>
      </c>
      <c r="C1" s="2" t="s">
        <v>1467</v>
      </c>
      <c r="D1" s="2" t="s">
        <v>4293</v>
      </c>
      <c r="E1" s="2" t="s">
        <v>4295</v>
      </c>
      <c r="F1" s="2" t="s">
        <v>4297</v>
      </c>
      <c r="G1" s="2" t="s">
        <v>4299</v>
      </c>
      <c r="H1" s="2" t="s">
        <v>4301</v>
      </c>
      <c r="I1" s="2" t="s">
        <v>4303</v>
      </c>
      <c r="J1" s="2" t="s">
        <v>4306</v>
      </c>
      <c r="K1" s="2" t="s">
        <v>4309</v>
      </c>
      <c r="L1" s="2" t="s">
        <v>4312</v>
      </c>
      <c r="M1" s="2" t="s">
        <v>1114</v>
      </c>
      <c r="N1" s="2" t="s">
        <v>4317</v>
      </c>
      <c r="O1" s="2" t="s">
        <v>4320</v>
      </c>
      <c r="P1" s="2" t="s">
        <v>4323</v>
      </c>
      <c r="Q1" s="2" t="s">
        <v>1482</v>
      </c>
      <c r="R1" s="2" t="s">
        <v>4327</v>
      </c>
      <c r="S1" s="2" t="s">
        <v>4330</v>
      </c>
      <c r="T1" s="2" t="s">
        <v>4333</v>
      </c>
      <c r="U1" s="2" t="s">
        <v>94</v>
      </c>
    </row>
    <row r="2">
      <c r="A2" s="3" t="s">
        <v>8254</v>
      </c>
      <c r="B2" s="4" t="str">
        <f>C2 &amp; " / " &amp; D2</f>
        <v>se-close02 / exc-ledger-outage</v>
      </c>
      <c r="C2" s="3" t="s">
        <v>1450</v>
      </c>
      <c r="D2" s="3" t="s">
        <v>1010</v>
      </c>
      <c r="E2" s="3" t="s">
        <v>165</v>
      </c>
      <c r="F2" s="3" t="s">
        <v>145</v>
      </c>
      <c r="G2" s="5">
        <v>46222.6</v>
      </c>
      <c r="H2" s="3" t="s">
        <v>8255</v>
      </c>
      <c r="I2" s="4" t="str">
        <f>_xlfn.IFNA(IF(((INDEX(Exceptions!F2:F5, MATCH(D2,Exceptions!A2:A5, 0))="")=TRUE),  "",  INDEX(Exceptions!F2:F5, MATCH(D2,Exceptions!A2:A5, 0))), "")</f>
        <v>Use a digitally signed, timestamped snapshot and open a blocking incident; do not silently substitute a spreadsheet.</v>
      </c>
      <c r="J2" s="4" t="str">
        <f>_xlfn.IFNA(IF(((INDEX(Exceptions!G2:G5, MATCH(D2,Exceptions!A2:A5, 0))="")=TRUE),  "",  INDEX(Exceptions!G2:G5, MATCH(D2,Exceptions!A2:A5, 0))), "")</f>
        <v>controller</v>
      </c>
      <c r="K2" s="4" t="str">
        <f>_xlfn.IFNA(IF(((INDEX(Roles!E2:E13, MATCH(J2,Roles!A2:A13, 0))="")=TRUE),  "",  INDEX(Roles!E2:E13, MATCH(J2,Roles!A2:A13, 0))), "")</f>
        <v>devon-okafor</v>
      </c>
      <c r="L2" s="4" t="b">
        <f>F2 = K2</f>
        <v>1</v>
      </c>
      <c r="M2" s="4" t="b">
        <f>F2 &lt;&gt; ""</f>
        <v>1</v>
      </c>
      <c r="N2" s="4" t="b">
        <f>OR(((NOT(((M2)=TRUE)))=TRUE), ((NOT(((L2)=TRUE)))=TRUE))</f>
        <v>0</v>
      </c>
      <c r="O2" s="4" t="str">
        <f>_xlfn.IFNA(IF(((INDEX(Agents!D2:D12, MATCH(E2,Agents!A2:A12, 0))="")=TRUE),  "",  INDEX(Agents!D2:D12, MATCH(E2,Agents!A2:A12, 0))), "")</f>
        <v>AutomatedPipeline</v>
      </c>
      <c r="P2" s="4" t="str">
        <f>Q2 &amp; "|" &amp; F2</f>
        <v>exec-close-2026-q2|devon-okafor</v>
      </c>
      <c r="Q2" s="4" t="str">
        <f>_xlfn.IFNA(IF(((INDEX(StepExecutions!C2:C13, MATCH(C2,StepExecutions!A2:A13, 0))="")=TRUE),  "",  INDEX(StepExecutions!C2:C13, MATCH(C2,StepExecutions!A2:A13, 0))), "")</f>
        <v>exec-close-2026-q2</v>
      </c>
      <c r="R2" s="4">
        <f>COUNTIFS(StepExecutions!AH2:AH13, P2)</f>
        <v>0</v>
      </c>
      <c r="S2" s="4" t="b">
        <f>R2 &gt; 0</f>
        <v>0</v>
      </c>
      <c r="T2" s="4" t="b">
        <f>OR(((N2)=TRUE), ((S2)=TRUE))</f>
        <v>0</v>
      </c>
      <c r="U2" s="3" t="s">
        <v>8256</v>
      </c>
    </row>
  </sheetData>
  <autoFilter ref="A1:U1"/>
  <headerFooter/>
  <legacyDrawing r:id="rId1"/>
</worksheet>
</file>

<file path=xl/worksheets/sheet5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5"/>
  <sheetViews>
    <sheetView workbookViewId="0">
      <pane ySplit="1" topLeftCell="A2" state="frozen" activePane="bottomLeft"/>
      <selection pane="bottomLeft" activeCell="A1" sqref="A1"/>
    </sheetView>
  </sheetViews>
  <sheetFormatPr defaultRowHeight="15"/>
  <cols>
    <col min="1" max="1" width="22.33943748474121" customWidth="1"/>
    <col min="2" max="2" width="31.34035873413086" customWidth="1"/>
    <col min="3" max="3" width="17.443378448486328" customWidth="1"/>
    <col min="4" max="4" width="19.900236129760742" customWidth="1"/>
    <col min="5" max="5" width="21.22705078125" customWidth="1"/>
    <col min="6" max="6" width="18.316831588745117" customWidth="1"/>
    <col min="7" max="7" width="23.35041618347168" customWidth="1"/>
    <col min="8" max="8" width="51.451351165771484" customWidth="1"/>
    <col min="9" max="9" width="20.845239639282227" customWidth="1"/>
    <col min="10" max="10" width="29.353212356567383" customWidth="1"/>
    <col min="11" max="11" width="23.342037200927734" customWidth="1"/>
    <col min="12" max="12" width="17.443378448486328" customWidth="1"/>
    <col min="13" max="13" width="23.83761978149414" customWidth="1"/>
    <col min="14" max="14" width="17.443378448486328" customWidth="1"/>
    <col min="15" max="15" width="19.592836380004883" customWidth="1"/>
    <col min="16" max="16" width="22.16651725769043" customWidth="1"/>
    <col min="17" max="17" width="18.44856071472168" customWidth="1"/>
    <col min="18" max="18" width="28.76402473449707" customWidth="1"/>
    <col min="19" max="19" width="22.546188354492188" customWidth="1"/>
    <col min="20" max="20" width="28.014623641967773" customWidth="1"/>
    <col min="21" max="21" width="22.573060989379883" customWidth="1"/>
    <col min="22" max="22" width="34.054203033447266" customWidth="1"/>
    <col min="23" max="23" width="33.013858795166016" customWidth="1"/>
    <col min="24" max="24" width="37.1593017578125" customWidth="1"/>
    <col min="25" max="25" width="36.70803451538086" customWidth="1"/>
    <col min="26" max="26" width="47.90238571166992" customWidth="1"/>
  </cols>
  <sheetData>
    <row r="1">
      <c r="A1" s="2" t="s">
        <v>4338</v>
      </c>
      <c r="B1" s="2" t="s">
        <v>1</v>
      </c>
      <c r="C1" s="2" t="s">
        <v>1467</v>
      </c>
      <c r="D1" s="2" t="s">
        <v>4343</v>
      </c>
      <c r="E1" s="2" t="s">
        <v>4345</v>
      </c>
      <c r="F1" s="2" t="s">
        <v>4347</v>
      </c>
      <c r="G1" s="2" t="s">
        <v>4349</v>
      </c>
      <c r="H1" s="2" t="s">
        <v>4351</v>
      </c>
      <c r="I1" s="2" t="s">
        <v>942</v>
      </c>
      <c r="J1" s="2" t="s">
        <v>941</v>
      </c>
      <c r="K1" s="2" t="s">
        <v>4356</v>
      </c>
      <c r="L1" s="2" t="s">
        <v>4359</v>
      </c>
      <c r="M1" s="2" t="s">
        <v>4361</v>
      </c>
      <c r="N1" s="2" t="s">
        <v>4364</v>
      </c>
      <c r="O1" s="2" t="s">
        <v>1504</v>
      </c>
      <c r="P1" s="2" t="s">
        <v>4368</v>
      </c>
      <c r="Q1" s="2" t="s">
        <v>4371</v>
      </c>
      <c r="R1" s="2" t="s">
        <v>4374</v>
      </c>
      <c r="S1" s="2" t="s">
        <v>4377</v>
      </c>
      <c r="T1" s="2" t="s">
        <v>4380</v>
      </c>
      <c r="U1" s="2" t="s">
        <v>4383</v>
      </c>
      <c r="V1" s="2" t="s">
        <v>4386</v>
      </c>
      <c r="W1" s="2" t="s">
        <v>4389</v>
      </c>
      <c r="X1" s="2" t="s">
        <v>4392</v>
      </c>
      <c r="Y1" s="2" t="s">
        <v>4395</v>
      </c>
      <c r="Z1" s="2" t="s">
        <v>94</v>
      </c>
    </row>
    <row r="2">
      <c r="A2" s="3" t="s">
        <v>8257</v>
      </c>
      <c r="B2" s="4" t="str">
        <f>C2 &amp; " / " &amp; D2</f>
        <v>se-close01 / verify-close-cutoff</v>
      </c>
      <c r="C2" s="3" t="s">
        <v>1447</v>
      </c>
      <c r="D2" s="3" t="s">
        <v>943</v>
      </c>
      <c r="E2" s="3" t="s">
        <v>946</v>
      </c>
      <c r="F2" s="3" t="s">
        <v>145</v>
      </c>
      <c r="G2" s="5">
        <v>46222.586805555555</v>
      </c>
      <c r="H2" s="3" t="s">
        <v>8258</v>
      </c>
      <c r="I2" s="4" t="str">
        <f>_xlfn.IFNA(IF(((INDEX(StepVerifications!F2:F12, MATCH(D2,StepVerifications!A2:A12, 0))="")=TRUE),  "",  INDEX(StepVerifications!F2:F12, MATCH(D2,StepVerifications!A2:A12, 0))), "")</f>
        <v>LOCKED</v>
      </c>
      <c r="J2" s="4" t="str">
        <f>_xlfn.IFNA(IF(((INDEX(StepVerifications!E2:E12, MATCH(D2,StepVerifications!A2:A12, 0))="")=TRUE),  "",  INDEX(StepVerifications!E2:E12, MATCH(D2,StepVerifications!A2:A12, 0))), "")</f>
        <v>ledger-lock-state</v>
      </c>
      <c r="K2" s="4" t="b">
        <f>E2 = I2</f>
        <v>1</v>
      </c>
      <c r="L2" s="4" t="b">
        <f>H2 &lt;&gt; ""</f>
        <v>1</v>
      </c>
      <c r="M2" s="4" t="b">
        <f>AND(((K2)=TRUE), ((NOT(((L2)=TRUE)))=TRUE))</f>
        <v>0</v>
      </c>
      <c r="N2" s="4" t="b">
        <f>F2 = O2</f>
        <v>0</v>
      </c>
      <c r="O2" s="4" t="str">
        <f>_xlfn.IFNA(IF(((INDEX(StepExecutions!E2:E13, MATCH(C2,StepExecutions!A2:A13, 0))="")=TRUE),  "",  INDEX(StepExecutions!E2:E13, MATCH(C2,StepExecutions!A2:A13, 0))), "")</f>
        <v>close-pipeline</v>
      </c>
      <c r="P2" s="4" t="str">
        <f>IF(((N2)=TRUE),  C2,  "")</f>
      </c>
      <c r="Q2" s="4" t="str">
        <f>IF(((M2)=TRUE),  C2,  "")</f>
      </c>
      <c r="R2" s="4" t="b">
        <f>AND(((N2)=TRUE), ((NOT(((L2)=TRUE)))=TRUE))</f>
        <v>0</v>
      </c>
      <c r="S2" s="4" t="b">
        <f>AND(((K2)=TRUE), ((R2)=TRUE))</f>
        <v>0</v>
      </c>
      <c r="T2" s="4" t="str">
        <f>IF(((S2)=TRUE),  C2,  "")</f>
      </c>
      <c r="U2" s="4" t="b">
        <f>_xlfn.IFNA(IF(((INDEX(Agents!M2:M12, MATCH(F2,Agents!A2:A12, 0))="")=TRUE),  "",  INDEX(Agents!M2:M12, MATCH(F2,Agents!A2:A12, 0))), "")</f>
        <v>0</v>
      </c>
      <c r="V2" s="4" t="b">
        <f>NOT(((N2)=TRUE))</f>
        <v>1</v>
      </c>
      <c r="W2" s="4" t="b">
        <f>AND(((NOT(((U2)=TRUE)))=TRUE), ((NOT(((N2)=TRUE)))=TRUE), ((L2)=TRUE))</f>
        <v>1</v>
      </c>
      <c r="X2" s="4" t="str">
        <f>IF(((W2)=TRUE),  Y2,  "")</f>
        <v>exec-close-2026-q2</v>
      </c>
      <c r="Y2" s="4" t="str">
        <f>_xlfn.IFNA(IF(((INDEX(StepExecutions!C2:C13, MATCH(C2,StepExecutions!A2:A13, 0))="")=TRUE),  "",  INDEX(StepExecutions!C2:C13, MATCH(C2,StepExecutions!A2:A13, 0))), "")</f>
        <v>exec-close-2026-q2</v>
      </c>
      <c r="Z2" s="3" t="s">
        <v>8259</v>
      </c>
    </row>
    <row r="3">
      <c r="A3" s="3" t="s">
        <v>8260</v>
      </c>
      <c r="B3" s="4" t="str">
        <f>C3 &amp; " / " &amp; D3</f>
        <v>se-close02 / verify-feed-time</v>
      </c>
      <c r="C3" s="3" t="s">
        <v>1450</v>
      </c>
      <c r="D3" s="3" t="s">
        <v>949</v>
      </c>
      <c r="E3" s="3" t="s">
        <v>8261</v>
      </c>
      <c r="F3" s="3" t="s">
        <v>165</v>
      </c>
      <c r="G3" s="5">
        <v>46222.59861111111</v>
      </c>
      <c r="H3" s="3" t="s">
        <v>8262</v>
      </c>
      <c r="I3" s="4" t="str">
        <f>_xlfn.IFNA(IF(((INDEX(StepVerifications!F2:F12, MATCH(D3,StepVerifications!A2:A12, 0))="")=TRUE),  "",  INDEX(StepVerifications!F2:F12, MATCH(D3,StepVerifications!A2:A12, 0))), "")</f>
        <v>15</v>
      </c>
      <c r="J3" s="4" t="str">
        <f>_xlfn.IFNA(IF(((INDEX(StepVerifications!E2:E12, MATCH(D3,StepVerifications!A2:A12, 0))="")=TRUE),  "",  INDEX(StepVerifications!E2:E12, MATCH(D3,StepVerifications!A2:A12, 0))), "")</f>
        <v>max-feed-age-minutes</v>
      </c>
      <c r="K3" s="4" t="b">
        <f>E3 = I3</f>
        <v>0</v>
      </c>
      <c r="L3" s="4" t="b">
        <f>H3 &lt;&gt; ""</f>
        <v>1</v>
      </c>
      <c r="M3" s="4" t="b">
        <f>AND(((K3)=TRUE), ((NOT(((L3)=TRUE)))=TRUE))</f>
        <v>0</v>
      </c>
      <c r="N3" s="4" t="b">
        <f>F3 = O3</f>
        <v>1</v>
      </c>
      <c r="O3" s="4" t="str">
        <f>_xlfn.IFNA(IF(((INDEX(StepExecutions!E2:E13, MATCH(C3,StepExecutions!A2:A13, 0))="")=TRUE),  "",  INDEX(StepExecutions!E2:E13, MATCH(C3,StepExecutions!A2:A13, 0))), "")</f>
        <v>close-pipeline</v>
      </c>
      <c r="P3" s="4" t="str">
        <f>IF(((N3)=TRUE),  C3,  "")</f>
        <v>se-close02</v>
      </c>
      <c r="Q3" s="4" t="str">
        <f>IF(((M3)=TRUE),  C3,  "")</f>
      </c>
      <c r="R3" s="4" t="b">
        <f>AND(((N3)=TRUE), ((NOT(((L3)=TRUE)))=TRUE))</f>
        <v>0</v>
      </c>
      <c r="S3" s="4" t="b">
        <f>AND(((K3)=TRUE), ((R3)=TRUE))</f>
        <v>0</v>
      </c>
      <c r="T3" s="4" t="str">
        <f>IF(((S3)=TRUE),  C3,  "")</f>
      </c>
      <c r="U3" s="4" t="b">
        <f>_xlfn.IFNA(IF(((INDEX(Agents!M2:M12, MATCH(F3,Agents!A2:A12, 0))="")=TRUE),  "",  INDEX(Agents!M2:M12, MATCH(F3,Agents!A2:A12, 0))), "")</f>
        <v>1</v>
      </c>
      <c r="V3" s="4" t="b">
        <f>NOT(((N3)=TRUE))</f>
        <v>0</v>
      </c>
      <c r="W3" s="4" t="b">
        <f>AND(((NOT(((U3)=TRUE)))=TRUE), ((NOT(((N3)=TRUE)))=TRUE), ((L3)=TRUE))</f>
        <v>0</v>
      </c>
      <c r="X3" s="4" t="str">
        <f>IF(((W3)=TRUE),  Y3,  "")</f>
      </c>
      <c r="Y3" s="4" t="str">
        <f>_xlfn.IFNA(IF(((INDEX(StepExecutions!C2:C13, MATCH(C3,StepExecutions!A2:A13, 0))="")=TRUE),  "",  INDEX(StepExecutions!C2:C13, MATCH(C3,StepExecutions!A2:A13, 0))), "")</f>
        <v>exec-close-2026-q2</v>
      </c>
      <c r="Z3" s="3" t="s">
        <v>8259</v>
      </c>
    </row>
    <row r="4">
      <c r="A4" s="3" t="s">
        <v>8263</v>
      </c>
      <c r="B4" s="4" t="str">
        <f>C4 &amp; " / " &amp; D4</f>
        <v>se-close03 / verify-reconciliation</v>
      </c>
      <c r="C4" s="3" t="s">
        <v>1453</v>
      </c>
      <c r="D4" s="3" t="s">
        <v>953</v>
      </c>
      <c r="E4" s="3" t="s">
        <v>955</v>
      </c>
      <c r="F4" s="3" t="s">
        <v>139</v>
      </c>
      <c r="G4" s="5">
        <v>46222.694444444445</v>
      </c>
      <c r="H4" s="3" t="s">
        <v>168</v>
      </c>
      <c r="I4" s="4" t="str">
        <f>_xlfn.IFNA(IF(((INDEX(StepVerifications!F2:F12, MATCH(D4,StepVerifications!A2:A12, 0))="")=TRUE),  "",  INDEX(StepVerifications!F2:F12, MATCH(D4,StepVerifications!A2:A12, 0))), "")</f>
        <v>0</v>
      </c>
      <c r="J4" s="4" t="str">
        <f>_xlfn.IFNA(IF(((INDEX(StepVerifications!E2:E12, MATCH(D4,StepVerifications!A2:A12, 0))="")=TRUE),  "",  INDEX(StepVerifications!E2:E12, MATCH(D4,StepVerifications!A2:A12, 0))), "")</f>
        <v>unexplained-material-variance</v>
      </c>
      <c r="K4" s="4" t="b">
        <f>E4 = I4</f>
        <v>1</v>
      </c>
      <c r="L4" s="4" t="b">
        <f>H4 &lt;&gt; ""</f>
        <v>0</v>
      </c>
      <c r="M4" s="4" t="b">
        <f>AND(((K4)=TRUE), ((NOT(((L4)=TRUE)))=TRUE))</f>
        <v>1</v>
      </c>
      <c r="N4" s="4" t="b">
        <f>F4 = O4</f>
        <v>1</v>
      </c>
      <c r="O4" s="4" t="str">
        <f>_xlfn.IFNA(IF(((INDEX(StepExecutions!E2:E13, MATCH(C4,StepExecutions!A2:A13, 0))="")=TRUE),  "",  INDEX(StepExecutions!E2:E13, MATCH(C4,StepExecutions!A2:A13, 0))), "")</f>
        <v>maria-chen</v>
      </c>
      <c r="P4" s="4" t="str">
        <f>IF(((N4)=TRUE),  C4,  "")</f>
        <v>se-close03</v>
      </c>
      <c r="Q4" s="4" t="str">
        <f>IF(((M4)=TRUE),  C4,  "")</f>
        <v>se-close03</v>
      </c>
      <c r="R4" s="4" t="b">
        <f>AND(((N4)=TRUE), ((NOT(((L4)=TRUE)))=TRUE))</f>
        <v>1</v>
      </c>
      <c r="S4" s="4" t="b">
        <f>AND(((K4)=TRUE), ((R4)=TRUE))</f>
        <v>1</v>
      </c>
      <c r="T4" s="4" t="str">
        <f>IF(((S4)=TRUE),  C4,  "")</f>
        <v>se-close03</v>
      </c>
      <c r="U4" s="4" t="b">
        <f>_xlfn.IFNA(IF(((INDEX(Agents!M2:M12, MATCH(F4,Agents!A2:A12, 0))="")=TRUE),  "",  INDEX(Agents!M2:M12, MATCH(F4,Agents!A2:A12, 0))), "")</f>
        <v>0</v>
      </c>
      <c r="V4" s="4" t="b">
        <f>NOT(((N4)=TRUE))</f>
        <v>0</v>
      </c>
      <c r="W4" s="4" t="b">
        <f>AND(((NOT(((U4)=TRUE)))=TRUE), ((NOT(((N4)=TRUE)))=TRUE), ((L4)=TRUE))</f>
        <v>0</v>
      </c>
      <c r="X4" s="4" t="str">
        <f>IF(((W4)=TRUE),  Y4,  "")</f>
      </c>
      <c r="Y4" s="4" t="str">
        <f>_xlfn.IFNA(IF(((INDEX(StepExecutions!C2:C13, MATCH(C4,StepExecutions!A2:A13, 0))="")=TRUE),  "",  INDEX(StepExecutions!C2:C13, MATCH(C4,StepExecutions!A2:A13, 0))), "")</f>
        <v>exec-close-2026-q2</v>
      </c>
      <c r="Z4" s="3" t="s">
        <v>8259</v>
      </c>
    </row>
    <row r="5">
      <c r="A5" s="3" t="s">
        <v>8264</v>
      </c>
      <c r="B5" s="4" t="str">
        <f>C5 &amp; " / " &amp; D5</f>
        <v>se-close05 / verify-controller</v>
      </c>
      <c r="C5" s="3" t="s">
        <v>1456</v>
      </c>
      <c r="D5" s="3" t="s">
        <v>957</v>
      </c>
      <c r="E5" s="3" t="s">
        <v>960</v>
      </c>
      <c r="F5" s="3" t="s">
        <v>145</v>
      </c>
      <c r="G5" s="5">
        <v>46222.72222222222</v>
      </c>
      <c r="H5" s="3" t="s">
        <v>8265</v>
      </c>
      <c r="I5" s="4" t="str">
        <f>_xlfn.IFNA(IF(((INDEX(StepVerifications!F2:F12, MATCH(D5,StepVerifications!A2:A12, 0))="")=TRUE),  "",  INDEX(StepVerifications!F2:F12, MATCH(D5,StepVerifications!A2:A12, 0))), "")</f>
        <v>APPROVED</v>
      </c>
      <c r="J5" s="4" t="str">
        <f>_xlfn.IFNA(IF(((INDEX(StepVerifications!E2:E12, MATCH(D5,StepVerifications!A2:A12, 0))="")=TRUE),  "",  INDEX(StepVerifications!E2:E12, MATCH(D5,StepVerifications!A2:A12, 0))), "")</f>
        <v>controller-approval</v>
      </c>
      <c r="K5" s="4" t="b">
        <f>E5 = I5</f>
        <v>1</v>
      </c>
      <c r="L5" s="4" t="b">
        <f>H5 &lt;&gt; ""</f>
        <v>1</v>
      </c>
      <c r="M5" s="4" t="b">
        <f>AND(((K5)=TRUE), ((NOT(((L5)=TRUE)))=TRUE))</f>
        <v>0</v>
      </c>
      <c r="N5" s="4" t="b">
        <f>F5 = O5</f>
        <v>1</v>
      </c>
      <c r="O5" s="4" t="str">
        <f>_xlfn.IFNA(IF(((INDEX(StepExecutions!E2:E13, MATCH(C5,StepExecutions!A2:A13, 0))="")=TRUE),  "",  INDEX(StepExecutions!E2:E13, MATCH(C5,StepExecutions!A2:A13, 0))), "")</f>
        <v>devon-okafor</v>
      </c>
      <c r="P5" s="4" t="str">
        <f>IF(((N5)=TRUE),  C5,  "")</f>
        <v>se-close05</v>
      </c>
      <c r="Q5" s="4" t="str">
        <f>IF(((M5)=TRUE),  C5,  "")</f>
      </c>
      <c r="R5" s="4" t="b">
        <f>AND(((N5)=TRUE), ((NOT(((L5)=TRUE)))=TRUE))</f>
        <v>0</v>
      </c>
      <c r="S5" s="4" t="b">
        <f>AND(((K5)=TRUE), ((R5)=TRUE))</f>
        <v>0</v>
      </c>
      <c r="T5" s="4" t="str">
        <f>IF(((S5)=TRUE),  C5,  "")</f>
      </c>
      <c r="U5" s="4" t="b">
        <f>_xlfn.IFNA(IF(((INDEX(Agents!M2:M12, MATCH(F5,Agents!A2:A12, 0))="")=TRUE),  "",  INDEX(Agents!M2:M12, MATCH(F5,Agents!A2:A12, 0))), "")</f>
        <v>0</v>
      </c>
      <c r="V5" s="4" t="b">
        <f>NOT(((N5)=TRUE))</f>
        <v>0</v>
      </c>
      <c r="W5" s="4" t="b">
        <f>AND(((NOT(((U5)=TRUE)))=TRUE), ((NOT(((N5)=TRUE)))=TRUE), ((L5)=TRUE))</f>
        <v>0</v>
      </c>
      <c r="X5" s="4" t="str">
        <f>IF(((W5)=TRUE),  Y5,  "")</f>
      </c>
      <c r="Y5" s="4" t="str">
        <f>_xlfn.IFNA(IF(((INDEX(StepExecutions!C2:C13, MATCH(C5,StepExecutions!A2:A13, 0))="")=TRUE),  "",  INDEX(StepExecutions!C2:C13, MATCH(C5,StepExecutions!A2:A13, 0))), "")</f>
        <v>exec-close-2026-q2</v>
      </c>
      <c r="Z5" s="3" t="s">
        <v>8259</v>
      </c>
    </row>
  </sheetData>
  <autoFilter ref="A1:Z1"/>
  <headerFooter/>
  <legacyDrawing r:id="rId1"/>
</worksheet>
</file>

<file path=xl/worksheets/sheet5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1"/>
  <sheetViews>
    <sheetView workbookViewId="0">
      <pane ySplit="1" topLeftCell="A2" state="frozen" activePane="bottomLeft"/>
      <selection pane="bottomLeft" activeCell="A1" sqref="A1"/>
    </sheetView>
  </sheetViews>
  <sheetFormatPr defaultRowHeight="15"/>
  <cols>
    <col min="1" max="1" width="24.764890670776367" customWidth="1"/>
    <col min="2" max="2" width="54.27521514892578" customWidth="1"/>
    <col min="3" max="3" width="20.414697647094727" customWidth="1"/>
    <col min="4" max="4" width="22.074857711791992" customWidth="1"/>
    <col min="5" max="5" width="22.21406364440918" customWidth="1"/>
    <col min="6" max="6" width="24.515466690063477" customWidth="1"/>
    <col min="7" max="7" width="17.681325912475586" customWidth="1"/>
    <col min="8" max="8" width="46.85745620727539" customWidth="1"/>
  </cols>
  <sheetData>
    <row r="1">
      <c r="A1" s="2" t="s">
        <v>4399</v>
      </c>
      <c r="B1" s="2" t="s">
        <v>1</v>
      </c>
      <c r="C1" s="2" t="s">
        <v>1349</v>
      </c>
      <c r="D1" s="2" t="s">
        <v>4404</v>
      </c>
      <c r="E1" s="2" t="s">
        <v>4406</v>
      </c>
      <c r="F1" s="2" t="s">
        <v>4349</v>
      </c>
      <c r="G1" s="2" t="s">
        <v>4409</v>
      </c>
      <c r="H1" s="2" t="s">
        <v>94</v>
      </c>
    </row>
    <row r="2">
      <c r="A2" s="3" t="s">
        <v>8266</v>
      </c>
      <c r="B2" s="4" t="str">
        <f>D2 &amp; " @ " &amp; IF(((F2="")=TRUE),  "",  TEXT(F2, "yyyy-mm-dd\Thh:mm:ss")&amp;"+00:00")</f>
        <v>close-01-to-close-02 @ 2026-06-30T22:04:00+00:00</v>
      </c>
      <c r="C2" s="3" t="s">
        <v>1339</v>
      </c>
      <c r="D2" s="3" t="s">
        <v>646</v>
      </c>
      <c r="E2" s="3" t="s">
        <v>1450</v>
      </c>
      <c r="F2" s="5">
        <v>46203.919444444444</v>
      </c>
      <c r="G2" s="3" t="s">
        <v>648</v>
      </c>
      <c r="H2" s="3" t="s">
        <v>8267</v>
      </c>
    </row>
    <row r="3">
      <c r="A3" s="3" t="s">
        <v>8268</v>
      </c>
      <c r="B3" s="4" t="str">
        <f>D3 &amp; " @ " &amp; IF(((F3="")=TRUE),  "",  TEXT(F3, "yyyy-mm-dd\Thh:mm:ss")&amp;"+00:00")</f>
        <v>close-02-to-close-03 @ 2026-06-30T22:18:00+00:00</v>
      </c>
      <c r="C3" s="3" t="s">
        <v>1339</v>
      </c>
      <c r="D3" s="3" t="s">
        <v>650</v>
      </c>
      <c r="E3" s="3" t="s">
        <v>1453</v>
      </c>
      <c r="F3" s="5">
        <v>46203.92916666667</v>
      </c>
      <c r="G3" s="3" t="s">
        <v>648</v>
      </c>
      <c r="H3" s="3" t="s">
        <v>8267</v>
      </c>
    </row>
    <row r="4">
      <c r="A4" s="3" t="s">
        <v>8269</v>
      </c>
      <c r="B4" s="4" t="str">
        <f>D4 &amp; " @ " &amp; IF(((F4="")=TRUE),  "",  TEXT(F4, "yyyy-mm-dd\Thh:mm:ss")&amp;"+00:00")</f>
        <v>close-03-to-close-04 @ 2026-07-01T17:15:00+00:00</v>
      </c>
      <c r="C4" s="3" t="s">
        <v>1339</v>
      </c>
      <c r="D4" s="3" t="s">
        <v>651</v>
      </c>
      <c r="E4" s="3" t="s">
        <v>1454</v>
      </c>
      <c r="F4" s="5">
        <v>46204.71875</v>
      </c>
      <c r="G4" s="3" t="s">
        <v>648</v>
      </c>
      <c r="H4" s="3" t="s">
        <v>8267</v>
      </c>
    </row>
    <row r="5">
      <c r="A5" s="3" t="s">
        <v>8270</v>
      </c>
      <c r="B5" s="4" t="str">
        <f>D5 &amp; " @ " &amp; IF(((F5="")=TRUE),  "",  TEXT(F5, "yyyy-mm-dd\Thh:mm:ss")&amp;"+00:00")</f>
        <v>close-04-to-close-05 @ 2026-07-01T20:05:00+00:00</v>
      </c>
      <c r="C5" s="3" t="s">
        <v>1339</v>
      </c>
      <c r="D5" s="3" t="s">
        <v>652</v>
      </c>
      <c r="E5" s="3" t="s">
        <v>1456</v>
      </c>
      <c r="F5" s="5">
        <v>46204.836805555555</v>
      </c>
      <c r="G5" s="3" t="s">
        <v>648</v>
      </c>
      <c r="H5" s="3" t="s">
        <v>8267</v>
      </c>
    </row>
    <row r="6">
      <c r="A6" s="3" t="s">
        <v>8271</v>
      </c>
      <c r="B6" s="4" t="str">
        <f>D6 &amp; " @ " &amp; IF(((F6="")=TRUE),  "",  TEXT(F6, "yyyy-mm-dd\Thh:mm:ss")&amp;"+00:00")</f>
        <v>close-05-to-close-06 @ 2026-07-02T14:00:00+00:00</v>
      </c>
      <c r="C6" s="3" t="s">
        <v>1339</v>
      </c>
      <c r="D6" s="3" t="s">
        <v>653</v>
      </c>
      <c r="E6" s="3" t="s">
        <v>1457</v>
      </c>
      <c r="F6" s="5">
        <v>46205.583333333336</v>
      </c>
      <c r="G6" s="3" t="s">
        <v>648</v>
      </c>
      <c r="H6" s="3" t="s">
        <v>8267</v>
      </c>
    </row>
    <row r="7">
      <c r="A7" s="3" t="s">
        <v>8272</v>
      </c>
      <c r="B7" s="4" t="str">
        <f>D7 &amp; " @ " &amp; IF(((F7="")=TRUE),  "",  TEXT(F7, "yyyy-mm-dd\Thh:mm:ss")&amp;"+00:00")</f>
        <v>close-06-to-close-07 @ 2026-07-02T14:22:00+00:00</v>
      </c>
      <c r="C7" s="3" t="s">
        <v>1339</v>
      </c>
      <c r="D7" s="3" t="s">
        <v>654</v>
      </c>
      <c r="E7" s="3" t="s">
        <v>1458</v>
      </c>
      <c r="F7" s="5">
        <v>46205.59861111111</v>
      </c>
      <c r="G7" s="3" t="s">
        <v>648</v>
      </c>
      <c r="H7" s="3" t="s">
        <v>8267</v>
      </c>
    </row>
    <row r="8">
      <c r="A8" s="3" t="s">
        <v>8273</v>
      </c>
      <c r="B8" s="4" t="str">
        <f>D8 &amp; " @ " &amp; IF(((F8="")=TRUE),  "",  TEXT(F8, "yyyy-mm-dd\Thh:mm:ss")&amp;"+00:00")</f>
        <v>close-07-to-close-08 @ 2026-07-02T19:00:00+00:00</v>
      </c>
      <c r="C8" s="3" t="s">
        <v>1339</v>
      </c>
      <c r="D8" s="3" t="s">
        <v>655</v>
      </c>
      <c r="E8" s="3" t="s">
        <v>1459</v>
      </c>
      <c r="F8" s="5">
        <v>46205.791666666664</v>
      </c>
      <c r="G8" s="3" t="s">
        <v>648</v>
      </c>
      <c r="H8" s="3" t="s">
        <v>8267</v>
      </c>
    </row>
    <row r="9">
      <c r="A9" s="3" t="s">
        <v>8274</v>
      </c>
      <c r="B9" s="4" t="str">
        <f>D9 &amp; " @ " &amp; IF(((F9="")=TRUE),  "",  TEXT(F9, "yyyy-mm-dd\Thh:mm:ss")&amp;"+00:00")</f>
        <v>policy-01-to-policy-02 @ 2026-07-18T14:30:00+00:00</v>
      </c>
      <c r="C9" s="3" t="s">
        <v>1344</v>
      </c>
      <c r="D9" s="3" t="s">
        <v>656</v>
      </c>
      <c r="E9" s="3" t="s">
        <v>1462</v>
      </c>
      <c r="F9" s="5">
        <v>46221.604166666664</v>
      </c>
      <c r="G9" s="3" t="s">
        <v>648</v>
      </c>
      <c r="H9" s="3" t="s">
        <v>8267</v>
      </c>
    </row>
    <row r="10">
      <c r="A10" s="3" t="s">
        <v>8275</v>
      </c>
      <c r="B10" s="4" t="str">
        <f>D10 &amp; " @ " &amp; IF(((F10="")=TRUE),  "",  TEXT(F10, "yyyy-mm-dd\Thh:mm:ss")&amp;"+00:00")</f>
        <v>policy-02-to-policy-03 @ 2026-07-18T18:00:00+00:00</v>
      </c>
      <c r="C10" s="3" t="s">
        <v>1344</v>
      </c>
      <c r="D10" s="3" t="s">
        <v>657</v>
      </c>
      <c r="E10" s="3" t="s">
        <v>1463</v>
      </c>
      <c r="F10" s="5">
        <v>46221.75</v>
      </c>
      <c r="G10" s="3" t="s">
        <v>648</v>
      </c>
      <c r="H10" s="3" t="s">
        <v>8267</v>
      </c>
    </row>
    <row r="11">
      <c r="A11" s="3" t="s">
        <v>8276</v>
      </c>
      <c r="B11" s="4" t="str">
        <f>D11 &amp; " @ " &amp; IF(((F11="")=TRUE),  "",  TEXT(F11, "yyyy-mm-dd\Thh:mm:ss")&amp;"+00:00")</f>
        <v>policy-03-to-policy-04 @ 2026-07-19T14:00:00+00:00</v>
      </c>
      <c r="C11" s="3" t="s">
        <v>1344</v>
      </c>
      <c r="D11" s="3" t="s">
        <v>658</v>
      </c>
      <c r="E11" s="3" t="s">
        <v>1464</v>
      </c>
      <c r="F11" s="5">
        <v>46222.583333333336</v>
      </c>
      <c r="G11" s="3" t="s">
        <v>648</v>
      </c>
      <c r="H11" s="3" t="s">
        <v>8267</v>
      </c>
    </row>
  </sheetData>
  <autoFilter ref="A1:H1"/>
  <headerFooter/>
  <legacyDrawing r:id="rId1"/>
</worksheet>
</file>

<file path=xl/worksheets/sheet6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27.305038452148438" customWidth="1"/>
    <col min="6" max="6" width="17.443378448486328" customWidth="1"/>
    <col min="7" max="7" width="19.024988174438477" customWidth="1"/>
    <col min="8" max="8" width="23.35041618347168" customWidth="1"/>
    <col min="9" max="9" width="19.544706344604492" customWidth="1"/>
    <col min="10" max="10" width="17.443378448486328" customWidth="1"/>
    <col min="11" max="11" width="17.837133407592773" customWidth="1"/>
    <col min="12" max="12" width="17.443378448486328" customWidth="1"/>
    <col min="13" max="13" width="17.443378448486328" customWidth="1"/>
    <col min="14" max="14" width="28.922182083129883" customWidth="1"/>
    <col min="15" max="15" width="37.31026840209961" customWidth="1"/>
  </cols>
  <sheetData>
    <row r="1">
      <c r="A1" s="2" t="s">
        <v>4413</v>
      </c>
      <c r="B1" s="2" t="s">
        <v>1</v>
      </c>
      <c r="C1" s="2" t="s">
        <v>100</v>
      </c>
      <c r="D1" s="2" t="s">
        <v>121</v>
      </c>
      <c r="E1" s="2" t="s">
        <v>4418</v>
      </c>
      <c r="F1" s="2" t="s">
        <v>4420</v>
      </c>
      <c r="G1" s="2" t="s">
        <v>4422</v>
      </c>
      <c r="H1" s="2" t="s">
        <v>4424</v>
      </c>
      <c r="I1" s="2" t="s">
        <v>4426</v>
      </c>
      <c r="J1" s="2" t="s">
        <v>4428</v>
      </c>
      <c r="K1" s="2" t="s">
        <v>4431</v>
      </c>
      <c r="L1" s="2" t="s">
        <v>4434</v>
      </c>
      <c r="M1" s="2" t="s">
        <v>4437</v>
      </c>
      <c r="N1" s="2" t="s">
        <v>4440</v>
      </c>
      <c r="O1" s="2" t="s">
        <v>94</v>
      </c>
    </row>
    <row r="2">
      <c r="A2" s="3" t="s">
        <v>8277</v>
      </c>
      <c r="B2" s="4" t="str">
        <f>C2</f>
        <v>Jordan Ellis</v>
      </c>
      <c r="C2" s="3" t="s">
        <v>8278</v>
      </c>
      <c r="D2" s="3" t="s">
        <v>103</v>
      </c>
      <c r="E2" s="3" t="s">
        <v>8279</v>
      </c>
      <c r="F2" s="3" t="s">
        <v>8280</v>
      </c>
      <c r="G2" s="3" t="s">
        <v>8281</v>
      </c>
      <c r="H2" s="5">
        <v>46144.625</v>
      </c>
      <c r="I2" s="3" t="s">
        <v>1684</v>
      </c>
      <c r="J2" s="4" t="b">
        <f>G2 = "Granted"</f>
        <v>1</v>
      </c>
      <c r="K2" s="4" t="b">
        <f>E2 &lt;&gt; ""</f>
        <v>1</v>
      </c>
      <c r="L2" s="4" t="b">
        <f>F2 &lt;&gt; ""</f>
        <v>1</v>
      </c>
      <c r="M2" s="4" t="b">
        <f>AND(((NOT(((K2)=TRUE)))=TRUE), ((NOT(((L2)=TRUE)))=TRUE))</f>
        <v>0</v>
      </c>
      <c r="N2" s="4" t="b">
        <f>AND(((NOT(((L2)=TRUE)))=TRUE), ((NOT(((K2)=TRUE)))=TRUE))</f>
        <v>0</v>
      </c>
      <c r="O2" s="3" t="s">
        <v>8282</v>
      </c>
    </row>
    <row r="3">
      <c r="A3" s="3" t="s">
        <v>8283</v>
      </c>
      <c r="B3" s="4" t="str">
        <f>C3</f>
        <v>Sam Rivera</v>
      </c>
      <c r="C3" s="3" t="s">
        <v>8284</v>
      </c>
      <c r="D3" s="3" t="s">
        <v>103</v>
      </c>
      <c r="E3" s="3" t="s">
        <v>8285</v>
      </c>
      <c r="F3" s="3" t="s">
        <v>8286</v>
      </c>
      <c r="G3" s="3" t="s">
        <v>8281</v>
      </c>
      <c r="H3" s="5">
        <v>46146.8125</v>
      </c>
      <c r="I3" s="3" t="s">
        <v>1684</v>
      </c>
      <c r="J3" s="4" t="b">
        <f>G3 = "Granted"</f>
        <v>1</v>
      </c>
      <c r="K3" s="4" t="b">
        <f>E3 &lt;&gt; ""</f>
        <v>1</v>
      </c>
      <c r="L3" s="4" t="b">
        <f>F3 &lt;&gt; ""</f>
        <v>1</v>
      </c>
      <c r="M3" s="4" t="b">
        <f>AND(((NOT(((K3)=TRUE)))=TRUE), ((NOT(((L3)=TRUE)))=TRUE))</f>
        <v>0</v>
      </c>
      <c r="N3" s="4" t="b">
        <f>AND(((NOT(((L3)=TRUE)))=TRUE), ((NOT(((K3)=TRUE)))=TRUE))</f>
        <v>0</v>
      </c>
      <c r="O3" s="3" t="s">
        <v>8282</v>
      </c>
    </row>
    <row r="4">
      <c r="A4" s="3" t="s">
        <v>8287</v>
      </c>
      <c r="B4" s="4" t="str">
        <f>C4</f>
        <v>Alex Kim</v>
      </c>
      <c r="C4" s="3" t="s">
        <v>8288</v>
      </c>
      <c r="D4" s="3" t="s">
        <v>103</v>
      </c>
      <c r="E4" s="3" t="s">
        <v>8289</v>
      </c>
      <c r="F4" s="3" t="s">
        <v>8290</v>
      </c>
      <c r="G4" s="3" t="s">
        <v>8281</v>
      </c>
      <c r="H4" s="5">
        <v>46222.59375</v>
      </c>
      <c r="I4" s="3" t="s">
        <v>1684</v>
      </c>
      <c r="J4" s="4" t="b">
        <f>G4 = "Granted"</f>
        <v>1</v>
      </c>
      <c r="K4" s="4" t="b">
        <f>E4 &lt;&gt; ""</f>
        <v>1</v>
      </c>
      <c r="L4" s="4" t="b">
        <f>F4 &lt;&gt; ""</f>
        <v>1</v>
      </c>
      <c r="M4" s="4" t="b">
        <f>AND(((NOT(((K4)=TRUE)))=TRUE), ((NOT(((L4)=TRUE)))=TRUE))</f>
        <v>0</v>
      </c>
      <c r="N4" s="4" t="b">
        <f>AND(((NOT(((L4)=TRUE)))=TRUE), ((NOT(((K4)=TRUE)))=TRUE))</f>
        <v>0</v>
      </c>
      <c r="O4" s="3" t="s">
        <v>8282</v>
      </c>
    </row>
    <row r="5">
      <c r="A5" s="3" t="s">
        <v>8291</v>
      </c>
      <c r="B5" s="4" t="str">
        <f>C5</f>
        <v>Riley Chen</v>
      </c>
      <c r="C5" s="3" t="s">
        <v>8292</v>
      </c>
      <c r="D5" s="3" t="s">
        <v>103</v>
      </c>
      <c r="E5" s="3" t="s">
        <v>8293</v>
      </c>
      <c r="F5" s="3" t="s">
        <v>8294</v>
      </c>
      <c r="G5" s="3" t="s">
        <v>8295</v>
      </c>
      <c r="H5" s="5">
        <v>46188.583333333336</v>
      </c>
      <c r="I5" s="3" t="s">
        <v>1684</v>
      </c>
      <c r="J5" s="4" t="b">
        <f>G5 = "Granted"</f>
        <v>0</v>
      </c>
      <c r="K5" s="4" t="b">
        <f>E5 &lt;&gt; ""</f>
        <v>1</v>
      </c>
      <c r="L5" s="4" t="b">
        <f>F5 &lt;&gt; ""</f>
        <v>1</v>
      </c>
      <c r="M5" s="4" t="b">
        <f>AND(((NOT(((K5)=TRUE)))=TRUE), ((NOT(((L5)=TRUE)))=TRUE))</f>
        <v>0</v>
      </c>
      <c r="N5" s="4" t="b">
        <f>AND(((NOT(((L5)=TRUE)))=TRUE), ((NOT(((K5)=TRUE)))=TRUE))</f>
        <v>0</v>
      </c>
      <c r="O5" s="3" t="s">
        <v>8282</v>
      </c>
    </row>
    <row r="6">
      <c r="A6" s="3" t="s">
        <v>8296</v>
      </c>
      <c r="B6" s="4" t="str">
        <f>C6</f>
        <v>Morgan Diaz</v>
      </c>
      <c r="C6" s="3" t="s">
        <v>8297</v>
      </c>
      <c r="D6" s="3" t="s">
        <v>103</v>
      </c>
      <c r="E6" s="3" t="s">
        <v>8298</v>
      </c>
      <c r="F6" s="3"/>
      <c r="G6" s="3" t="s">
        <v>8299</v>
      </c>
      <c r="H6" s="5"/>
      <c r="I6" s="3" t="s">
        <v>1684</v>
      </c>
      <c r="J6" s="4" t="b">
        <f>G6 = "Granted"</f>
        <v>0</v>
      </c>
      <c r="K6" s="4" t="b">
        <f>E6 &lt;&gt; ""</f>
        <v>1</v>
      </c>
      <c r="L6" s="4" t="b">
        <f>F6 &lt;&gt; ""</f>
        <v>0</v>
      </c>
      <c r="M6" s="4" t="b">
        <f>AND(((NOT(((K6)=TRUE)))=TRUE), ((NOT(((L6)=TRUE)))=TRUE))</f>
        <v>0</v>
      </c>
      <c r="N6" s="4" t="b">
        <f>AND(((NOT(((L6)=TRUE)))=TRUE), ((NOT(((K6)=TRUE)))=TRUE))</f>
        <v>0</v>
      </c>
      <c r="O6" s="3" t="s">
        <v>8282</v>
      </c>
    </row>
  </sheetData>
  <autoFilter ref="A1:O1"/>
  <headerFooter/>
  <legacyDrawing r:id="rId1"/>
</worksheet>
</file>

<file path=xl/worksheets/sheet6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P7"/>
  <sheetViews>
    <sheetView workbookViewId="0">
      <pane ySplit="1" topLeftCell="A2" state="frozen" activePane="bottomLeft"/>
      <selection pane="bottomLeft" activeCell="A1" sqref="A1"/>
    </sheetView>
  </sheetViews>
  <sheetFormatPr defaultRowHeight="15"/>
  <cols>
    <col min="1" max="1" width="19.195829391479492" customWidth="1"/>
    <col min="2" max="2" width="58.431182861328125" customWidth="1"/>
    <col min="3" max="3" width="20.414697647094727" customWidth="1"/>
    <col min="4" max="4" width="17.443378448486328" customWidth="1"/>
    <col min="5" max="5" width="17.443378448486328" customWidth="1"/>
    <col min="6" max="6" width="18.18422508239746" customWidth="1"/>
    <col min="7" max="7" width="19.900266647338867" customWidth="1"/>
    <col min="8" max="8" width="109.90068817138672" customWidth="1"/>
    <col min="9" max="9" width="23.46630859375" customWidth="1"/>
    <col min="10" max="10" width="17.443378448486328" customWidth="1"/>
    <col min="11" max="11" width="17.443378448486328" customWidth="1"/>
    <col min="12" max="12" width="248.6797332763672" customWidth="1"/>
    <col min="13" max="13" width="20.079631805419922" customWidth="1"/>
    <col min="14" max="14" width="23.35041618347168" customWidth="1"/>
    <col min="15" max="15" width="19.548357009887695" customWidth="1"/>
    <col min="16" max="16" width="17.443378448486328" customWidth="1"/>
    <col min="17" max="17" width="22.71735191345215" customWidth="1"/>
    <col min="18" max="18" width="24.99418067932129" customWidth="1"/>
    <col min="19" max="19" width="23.761823654174805" customWidth="1"/>
    <col min="20" max="20" width="18.99102783203125" customWidth="1"/>
    <col min="21" max="21" width="25.739797592163086" customWidth="1"/>
    <col min="22" max="22" width="26.584619522094727" customWidth="1"/>
    <col min="23" max="23" width="25.77103042602539" customWidth="1"/>
    <col min="24" max="24" width="21.100688934326172" customWidth="1"/>
    <col min="25" max="25" width="27.739336013793945" customWidth="1"/>
    <col min="26" max="26" width="21.615137100219727" customWidth="1"/>
    <col min="27" max="27" width="21.96076774597168" customWidth="1"/>
    <col min="28" max="28" width="28.49679946899414" customWidth="1"/>
    <col min="29" max="29" width="23.386978149414062" customWidth="1"/>
    <col min="30" max="30" width="17.443378448486328" customWidth="1"/>
    <col min="31" max="31" width="27.40771484375" customWidth="1"/>
    <col min="32" max="32" width="33.0616569519043" customWidth="1"/>
    <col min="33" max="33" width="29.618274688720703" customWidth="1"/>
    <col min="34" max="34" width="24.87077522277832" customWidth="1"/>
    <col min="35" max="35" width="22.711149215698242" customWidth="1"/>
    <col min="36" max="36" width="20.589054107666016" customWidth="1"/>
    <col min="37" max="37" width="18.547500610351562" customWidth="1"/>
    <col min="38" max="38" width="23.35041618347168" customWidth="1"/>
    <col min="39" max="39" width="17.443378448486328" customWidth="1"/>
    <col min="40" max="40" width="25.65582847595215" customWidth="1"/>
    <col min="41" max="41" width="18.971817016601562" customWidth="1"/>
    <col min="42" max="42" width="20.155118942260742" customWidth="1"/>
    <col min="43" max="43" width="18.80986213684082" customWidth="1"/>
    <col min="44" max="44" width="29.038869857788086" customWidth="1"/>
    <col min="45" max="45" width="26.542146682739258" customWidth="1"/>
    <col min="46" max="46" width="32.253074645996094" customWidth="1"/>
    <col min="47" max="47" width="19.151811599731445" customWidth="1"/>
    <col min="48" max="48" width="21.945531845092773" customWidth="1"/>
    <col min="49" max="49" width="31.353513717651367" customWidth="1"/>
    <col min="50" max="50" width="17.443378448486328" customWidth="1"/>
    <col min="51" max="51" width="26.374765396118164" customWidth="1"/>
    <col min="52" max="52" width="20.53904914855957" customWidth="1"/>
    <col min="53" max="53" width="26.17460823059082" customWidth="1"/>
    <col min="54" max="54" width="19.67306900024414" customWidth="1"/>
    <col min="55" max="55" width="28.17497444152832" customWidth="1"/>
    <col min="56" max="56" width="21.91326332092285" customWidth="1"/>
    <col min="57" max="57" width="22.168079376220703" customWidth="1"/>
    <col min="58" max="58" width="18.317182540893555" customWidth="1"/>
    <col min="59" max="59" width="24.380605697631836" customWidth="1"/>
    <col min="60" max="60" width="25.286161422729492" customWidth="1"/>
    <col min="61" max="61" width="27.824125289916992" customWidth="1"/>
    <col min="62" max="62" width="17.443378448486328" customWidth="1"/>
    <col min="63" max="63" width="17.443378448486328" customWidth="1"/>
    <col min="64" max="64" width="17.443378448486328" customWidth="1"/>
    <col min="65" max="65" width="20.28415870666504" customWidth="1"/>
    <col min="66" max="66" width="30.411285400390625" customWidth="1"/>
    <col min="67" max="67" width="22.117298126220703" customWidth="1"/>
    <col min="68" max="68" width="22.620990753173828" customWidth="1"/>
    <col min="69" max="69" width="17.443378448486328" customWidth="1"/>
    <col min="70" max="70" width="24.623455047607422" customWidth="1"/>
    <col min="71" max="71" width="29.96799087524414" customWidth="1"/>
    <col min="72" max="72" width="29.067623138427734" customWidth="1"/>
    <col min="73" max="73" width="26.494976043701172" customWidth="1"/>
    <col min="74" max="74" width="24.457307815551758" customWidth="1"/>
    <col min="75" max="75" width="25.06831169128418" customWidth="1"/>
    <col min="76" max="76" width="24.6232852935791" customWidth="1"/>
    <col min="77" max="77" width="23.299575805664062" customWidth="1"/>
    <col min="78" max="78" width="21.995513916015625" customWidth="1"/>
    <col min="79" max="79" width="23.962970733642578" customWidth="1"/>
    <col min="80" max="80" width="23.294736862182617" customWidth="1"/>
    <col min="81" max="81" width="27.77345085144043" customWidth="1"/>
    <col min="82" max="82" width="25.154726028442383" customWidth="1"/>
    <col min="83" max="83" width="23.35041618347168" customWidth="1"/>
    <col min="84" max="84" width="30.629526138305664" customWidth="1"/>
    <col min="85" max="85" width="27.06161880493164" customWidth="1"/>
    <col min="86" max="86" width="17.443378448486328" customWidth="1"/>
    <col min="87" max="87" width="17.443378448486328" customWidth="1"/>
    <col min="88" max="88" width="18.31678581237793" customWidth="1"/>
    <col min="89" max="89" width="31.35598373413086" customWidth="1"/>
    <col min="90" max="90" width="21.182462692260742" customWidth="1"/>
    <col min="91" max="91" width="29.069690704345703" customWidth="1"/>
    <col min="92" max="92" width="21.74081802368164" customWidth="1"/>
    <col min="93" max="93" width="23.41748046875" customWidth="1"/>
    <col min="94" max="94" width="44.4542350769043" customWidth="1"/>
  </cols>
  <sheetData>
    <row r="1">
      <c r="A1" s="2" t="s">
        <v>4445</v>
      </c>
      <c r="B1" s="2" t="s">
        <v>1</v>
      </c>
      <c r="C1" s="2" t="s">
        <v>1349</v>
      </c>
      <c r="D1" s="2" t="s">
        <v>1467</v>
      </c>
      <c r="E1" s="2" t="s">
        <v>4451</v>
      </c>
      <c r="F1" s="2" t="s">
        <v>4453</v>
      </c>
      <c r="G1" s="2" t="s">
        <v>4455</v>
      </c>
      <c r="H1" s="2" t="s">
        <v>4457</v>
      </c>
      <c r="I1" s="2" t="s">
        <v>4459</v>
      </c>
      <c r="J1" s="2" t="s">
        <v>4461</v>
      </c>
      <c r="K1" s="2" t="s">
        <v>4463</v>
      </c>
      <c r="L1" s="2" t="s">
        <v>4465</v>
      </c>
      <c r="M1" s="2" t="s">
        <v>4467</v>
      </c>
      <c r="N1" s="2" t="s">
        <v>4469</v>
      </c>
      <c r="O1" s="2" t="s">
        <v>4471</v>
      </c>
      <c r="P1" s="2" t="s">
        <v>4474</v>
      </c>
      <c r="Q1" s="2" t="s">
        <v>4477</v>
      </c>
      <c r="R1" s="2" t="s">
        <v>4480</v>
      </c>
      <c r="S1" s="2" t="s">
        <v>4483</v>
      </c>
      <c r="T1" s="2" t="s">
        <v>4486</v>
      </c>
      <c r="U1" s="2" t="s">
        <v>4489</v>
      </c>
      <c r="V1" s="2" t="s">
        <v>4492</v>
      </c>
      <c r="W1" s="2" t="s">
        <v>4495</v>
      </c>
      <c r="X1" s="2" t="s">
        <v>4498</v>
      </c>
      <c r="Y1" s="2" t="s">
        <v>4501</v>
      </c>
      <c r="Z1" s="2" t="s">
        <v>4504</v>
      </c>
      <c r="AA1" s="2" t="s">
        <v>4507</v>
      </c>
      <c r="AB1" s="2" t="s">
        <v>4510</v>
      </c>
      <c r="AC1" s="2" t="s">
        <v>4513</v>
      </c>
      <c r="AD1" s="2" t="s">
        <v>4516</v>
      </c>
      <c r="AE1" s="2" t="s">
        <v>4519</v>
      </c>
      <c r="AF1" s="2" t="s">
        <v>4522</v>
      </c>
      <c r="AG1" s="2" t="s">
        <v>4525</v>
      </c>
      <c r="AH1" s="2" t="s">
        <v>4528</v>
      </c>
      <c r="AI1" s="2" t="s">
        <v>4531</v>
      </c>
      <c r="AJ1" s="2" t="s">
        <v>4534</v>
      </c>
      <c r="AK1" s="2" t="s">
        <v>258</v>
      </c>
      <c r="AL1" s="2" t="s">
        <v>92</v>
      </c>
      <c r="AM1" s="2" t="s">
        <v>1132</v>
      </c>
      <c r="AN1" s="2" t="s">
        <v>4541</v>
      </c>
      <c r="AO1" s="2" t="s">
        <v>4544</v>
      </c>
      <c r="AP1" s="2" t="s">
        <v>4547</v>
      </c>
      <c r="AQ1" s="2" t="s">
        <v>4550</v>
      </c>
      <c r="AR1" s="2" t="s">
        <v>4553</v>
      </c>
      <c r="AS1" s="2" t="s">
        <v>4556</v>
      </c>
      <c r="AT1" s="2" t="s">
        <v>4558</v>
      </c>
      <c r="AU1" s="2" t="s">
        <v>4561</v>
      </c>
      <c r="AV1" s="2" t="s">
        <v>4564</v>
      </c>
      <c r="AW1" s="2" t="s">
        <v>4567</v>
      </c>
      <c r="AX1" s="2" t="s">
        <v>4570</v>
      </c>
      <c r="AY1" s="2" t="s">
        <v>4573</v>
      </c>
      <c r="AZ1" s="2" t="s">
        <v>4576</v>
      </c>
      <c r="BA1" s="2" t="s">
        <v>4579</v>
      </c>
      <c r="BB1" s="2" t="s">
        <v>4582</v>
      </c>
      <c r="BC1" s="2" t="s">
        <v>4585</v>
      </c>
      <c r="BD1" s="2" t="s">
        <v>4588</v>
      </c>
      <c r="BE1" s="2" t="s">
        <v>4591</v>
      </c>
      <c r="BF1" s="2" t="s">
        <v>4594</v>
      </c>
      <c r="BG1" s="2" t="s">
        <v>4597</v>
      </c>
      <c r="BH1" s="2" t="s">
        <v>4600</v>
      </c>
      <c r="BI1" s="2" t="s">
        <v>4603</v>
      </c>
      <c r="BJ1" s="2" t="s">
        <v>4606</v>
      </c>
      <c r="BK1" s="2" t="s">
        <v>4609</v>
      </c>
      <c r="BL1" s="2" t="s">
        <v>4612</v>
      </c>
      <c r="BM1" s="2" t="s">
        <v>4615</v>
      </c>
      <c r="BN1" s="2" t="s">
        <v>4618</v>
      </c>
      <c r="BO1" s="2" t="s">
        <v>4621</v>
      </c>
      <c r="BP1" s="2" t="s">
        <v>4624</v>
      </c>
      <c r="BQ1" s="2" t="s">
        <v>4627</v>
      </c>
      <c r="BR1" s="2" t="s">
        <v>4630</v>
      </c>
      <c r="BS1" s="2" t="s">
        <v>4633</v>
      </c>
      <c r="BT1" s="2" t="s">
        <v>4636</v>
      </c>
      <c r="BU1" s="2" t="s">
        <v>4639</v>
      </c>
      <c r="BV1" s="2" t="s">
        <v>4642</v>
      </c>
      <c r="BW1" s="2" t="s">
        <v>4645</v>
      </c>
      <c r="BX1" s="2" t="s">
        <v>4648</v>
      </c>
      <c r="BY1" s="2" t="s">
        <v>4651</v>
      </c>
      <c r="BZ1" s="2" t="s">
        <v>4653</v>
      </c>
      <c r="CA1" s="2" t="s">
        <v>4655</v>
      </c>
      <c r="CB1" s="2" t="s">
        <v>4657</v>
      </c>
      <c r="CC1" s="2" t="s">
        <v>4660</v>
      </c>
      <c r="CD1" s="2" t="s">
        <v>4663</v>
      </c>
      <c r="CE1" s="2" t="s">
        <v>4666</v>
      </c>
      <c r="CF1" s="2" t="s">
        <v>4669</v>
      </c>
      <c r="CG1" s="2" t="s">
        <v>4672</v>
      </c>
      <c r="CH1" s="2" t="s">
        <v>4675</v>
      </c>
      <c r="CI1" s="2" t="s">
        <v>4677</v>
      </c>
      <c r="CJ1" s="2" t="s">
        <v>4679</v>
      </c>
      <c r="CK1" s="2" t="s">
        <v>4682</v>
      </c>
      <c r="CL1" s="2" t="s">
        <v>4685</v>
      </c>
      <c r="CM1" s="2" t="s">
        <v>4688</v>
      </c>
      <c r="CN1" s="2" t="s">
        <v>4691</v>
      </c>
      <c r="CO1" s="2" t="s">
        <v>4694</v>
      </c>
      <c r="CP1" s="2" t="s">
        <v>94</v>
      </c>
    </row>
    <row r="2">
      <c r="A2" s="3" t="s">
        <v>8300</v>
      </c>
      <c r="B2" s="4" t="str">
        <f>E2 &amp; " / " &amp; F2 &amp; " / " &amp; IF(((I2="")=TRUE),  "",  TEXT(I2, "yyyy-mm-dd\Thh:mm:ss")&amp;"+00:00")</f>
        <v>rec-001 / tmpl-policy-email / 2026-07-18T19:05:00+00:00</v>
      </c>
      <c r="C2" s="3" t="s">
        <v>1344</v>
      </c>
      <c r="D2" s="3" t="s">
        <v>1464</v>
      </c>
      <c r="E2" s="3" t="s">
        <v>8277</v>
      </c>
      <c r="F2" s="3" t="s">
        <v>1744</v>
      </c>
      <c r="G2" s="3" t="s">
        <v>178</v>
      </c>
      <c r="H2" s="3" t="s">
        <v>8301</v>
      </c>
      <c r="I2" s="5">
        <v>46221.79513888889</v>
      </c>
      <c r="J2" s="8">
        <v>14</v>
      </c>
      <c r="K2" s="3" t="s">
        <v>8302</v>
      </c>
      <c r="L2" s="3"/>
      <c r="M2" s="3"/>
      <c r="N2" s="5">
        <v>46221.84722222222</v>
      </c>
      <c r="O2" s="4" t="str">
        <f>_xlfn.IFNA(IF(((INDEX(MessageTemplates!C2:C3, MATCH(F2,MessageTemplates!A2:A3, 0))="")=TRUE),  "",  INDEX(MessageTemplates!C2:C3, MATCH(F2,MessageTemplates!A2:A3, 0))), "")</f>
        <v>comm-email-policy</v>
      </c>
      <c r="P2" s="4" t="str">
        <f>_xlfn.IFNA(IF(((INDEX(CommunicationPolicies!D2:D3, MATCH(O2,CommunicationPolicies!A2:A3, 0))="")=TRUE),  "",  INDEX(CommunicationPolicies!D2:D3, MATCH(O2,CommunicationPolicies!A2:A3, 0))), "")</f>
        <v>Email</v>
      </c>
      <c r="Q2" s="4" t="b">
        <f>_xlfn.IFNA(IF(((INDEX(CommunicationPolicies!F2:F3, MATCH(O2,CommunicationPolicies!A2:A3, 0))="")=TRUE),  "",  INDEX(CommunicationPolicies!F2:F3, MATCH(O2,CommunicationPolicies!A2:A3, 0))), "")</f>
        <v>0</v>
      </c>
      <c r="R2" s="4" t="b">
        <f>_xlfn.IFNA(IF(((INDEX(Recipients!J2:J6, MATCH(E2,Recipients!A2:A6, 0))="")=TRUE),  "",  INDEX(Recipients!J2:J6, MATCH(E2,Recipients!A2:A6, 0))), "")</f>
        <v>1</v>
      </c>
      <c r="S2" s="4" t="b">
        <f>OR(((K2 = "Sent")=TRUE), ((OR(((K2 = "Delivered")=TRUE), ((K2 = "Bounced")=TRUE)))=TRUE))</f>
        <v>1</v>
      </c>
      <c r="T2" s="4" t="b">
        <f>AND(((S2)=TRUE), ((AND(((Q2)=TRUE), ((NOT(((R2)=TRUE)))=TRUE)))=TRUE))</f>
        <v>0</v>
      </c>
      <c r="U2" s="4" t="str">
        <f>IF(((T2)=TRUE),  O2,  "")</f>
      </c>
      <c r="V2" s="6">
        <f>IF((_xlfn.IFNA(IF(((INDEX(CommunicationPolicies!Q2:Q3, MATCH(O2,CommunicationPolicies!A2:A3, 0))="")=TRUE),  "",  INDEX(CommunicationPolicies!Q2:Q3, MATCH(O2,CommunicationPolicies!A2:A3, 0))), ""))="", "", ROUND((_xlfn.IFNA(IF(((INDEX(CommunicationPolicies!Q2:Q3, MATCH(O2,CommunicationPolicies!A2:A3, 0))="")=TRUE),  "",  INDEX(CommunicationPolicies!Q2:Q3, MATCH(O2,CommunicationPolicies!A2:A3, 0))), "")), 0))</f>
        <v>0</v>
      </c>
      <c r="W2" s="6">
        <f>IF((_xlfn.IFNA(IF(((INDEX(CommunicationPolicies!R2:R3, MATCH(O2,CommunicationPolicies!A2:A3, 0))="")=TRUE),  "",  INDEX(CommunicationPolicies!R2:R3, MATCH(O2,CommunicationPolicies!A2:A3, 0))), ""))="", "", ROUND((_xlfn.IFNA(IF(((INDEX(CommunicationPolicies!R2:R3, MATCH(O2,CommunicationPolicies!A2:A3, 0))="")=TRUE),  "",  INDEX(CommunicationPolicies!R2:R3, MATCH(O2,CommunicationPolicies!A2:A3, 0))), "")), 0))</f>
        <v>0</v>
      </c>
      <c r="X2" s="4" t="b">
        <f>V2 &lt;&gt; W2</f>
        <v>0</v>
      </c>
      <c r="Y2" s="4" t="b">
        <f>V2 &gt; W2</f>
        <v>0</v>
      </c>
      <c r="Z2" s="4" t="b">
        <f>IF(((Y2)=TRUE),  OR(((J2 &gt;= V2)=TRUE), ((J2 &lt; W2)=TRUE)),  AND(((J2 &gt;= V2)=TRUE), ((J2 &lt; W2)=TRUE)))</f>
        <v>0</v>
      </c>
      <c r="AA2" s="4" t="b">
        <f>AND(((S2)=TRUE), ((AND(((X2)=TRUE), ((Z2)=TRUE)))=TRUE))</f>
        <v>0</v>
      </c>
      <c r="AB2" s="4" t="str">
        <f>IF(((AA2)=TRUE),  O2,  "")</f>
      </c>
      <c r="AC2" s="4" t="b">
        <f>_xlfn.IFNA(IF(((INDEX(Recipients!M2:M6, MATCH(E2,Recipients!A2:A6, 0))="")=TRUE),  "",  INDEX(Recipients!M2:M6, MATCH(E2,Recipients!A2:A6, 0))), "")</f>
        <v>0</v>
      </c>
      <c r="AD2" s="4" t="b">
        <f>N2 &lt;&gt; ""</f>
        <v>1</v>
      </c>
      <c r="AE2" s="4" t="str">
        <f>_xlfn.IFNA(IF(((INDEX(Exceptions!E2:E5, MATCH(M2,Exceptions!A2:A5, 0))="")=TRUE),  "",  INDEX(Exceptions!E2:E5, MATCH(M2,Exceptions!A2:A5, 0))), "")</f>
      </c>
      <c r="AF2" s="4" t="b">
        <f>M2 = "exc-unreachable"</f>
        <v>0</v>
      </c>
      <c r="AG2" s="4" t="b">
        <f>AND(((AC2)=TRUE), ((AD2)=TRUE))</f>
        <v>0</v>
      </c>
      <c r="AH2" s="4" t="b">
        <f>AND(((AC2)=TRUE), ((NOT(((AF2)=TRUE)))=TRUE))</f>
        <v>0</v>
      </c>
      <c r="AI2" s="4" t="str">
        <f>IF(((OR(((AG2)=TRUE), ((AH2)=TRUE)))=TRUE),  C2,  "")</f>
      </c>
      <c r="AJ2" s="6">
        <f>IF((_xlfn.IFNA(IF(((INDEX(CommunicationPolicies!K2:K3, MATCH(O2,CommunicationPolicies!A2:A3, 0))="")=TRUE),  "",  INDEX(CommunicationPolicies!K2:K3, MATCH(O2,CommunicationPolicies!A2:A3, 0))), ""))="", "", ROUND((_xlfn.IFNA(IF(((INDEX(CommunicationPolicies!K2:K3, MATCH(O2,CommunicationPolicies!A2:A3, 0))="")=TRUE),  "",  INDEX(CommunicationPolicies!K2:K3, MATCH(O2,CommunicationPolicies!A2:A3, 0))), "")), 0))</f>
        <v>2555</v>
      </c>
      <c r="AK2" s="3" t="s">
        <v>95</v>
      </c>
      <c r="AL2" s="7">
        <f>_xlfn.IFNA(IF(((INDEX(EvaluationContexts!D2:D2, MATCH(AK2,EvaluationContexts!A2:A2, 0))="")=TRUE),  "",  INDEX(EvaluationContexts!D2:D2, MATCH(AK2,EvaluationContexts!A2:A2, 0))), "")</f>
        <v>46222.75</v>
      </c>
      <c r="AM2" s="6">
        <f>IF((IF(((OR((((AL2)="")=TRUE), (((I2)="")=TRUE)))=TRUE),  0,  (INT(AL2) - INT(I2))))="", "", ROUND((IF(((OR((((AL2)="")=TRUE), (((I2)="")=TRUE)))=TRUE),  0,  (INT(AL2) - INT(I2)))), 0))</f>
        <v>1</v>
      </c>
      <c r="AN2" s="4" t="b">
        <f>AM2 &lt;= AJ2</f>
        <v>1</v>
      </c>
      <c r="AO2" s="4" t="b">
        <f>H2 &lt;&gt; ""</f>
        <v>1</v>
      </c>
      <c r="AP2" s="4" t="b">
        <f>AND(((S2)=TRUE), ((AN2)=TRUE))</f>
        <v>1</v>
      </c>
      <c r="AQ2" s="4" t="b">
        <f>AND(((AP2)=TRUE), ((NOT(((AO2)=TRUE)))=TRUE))</f>
        <v>0</v>
      </c>
      <c r="AR2" s="4" t="str">
        <f>IF(((AQ2)=TRUE),  C2,  "")</f>
      </c>
      <c r="AS2" s="4" t="str">
        <f>_xlfn.IFNA(IF(((INDEX(StepExecutions!D2:D13, MATCH(D2,StepExecutions!A2:A13, 0))="")=TRUE),  "",  INDEX(StepExecutions!D2:D13, MATCH(D2,StepExecutions!A2:A13, 0))), "")</f>
        <v>policy-04</v>
      </c>
      <c r="AT2" s="4" t="b">
        <f>_xlfn.IFNA(IF(((INDEX(ProcedureExecutions!AC2:AC3, MATCH(C2,ProcedureExecutions!A2:A3, 0))="")=TRUE),  "",  INDEX(ProcedureExecutions!AC2:AC3, MATCH(C2,ProcedureExecutions!A2:A3, 0))), "")</f>
        <v>1</v>
      </c>
      <c r="AU2" s="4" t="b">
        <f>AND(((S2)=TRUE), ((NOT(((AT2)=TRUE)))=TRUE))</f>
        <v>0</v>
      </c>
      <c r="AV2" s="6">
        <f>IF((LEN(H2))="", "", ROUND((LEN(H2)), 0))</f>
        <v>107</v>
      </c>
      <c r="AW2" s="6">
        <f>IF((_xlfn.IFNA(IF(((INDEX(CommunicationPolicies!I2:I3, MATCH(O2,CommunicationPolicies!A2:A3, 0))="")=TRUE),  "",  INDEX(CommunicationPolicies!I2:I3, MATCH(O2,CommunicationPolicies!A2:A3, 0))), ""))="", "", ROUND((_xlfn.IFNA(IF(((INDEX(CommunicationPolicies!I2:I3, MATCH(O2,CommunicationPolicies!A2:A3, 0))="")=TRUE),  "",  INDEX(CommunicationPolicies!I2:I3, MATCH(O2,CommunicationPolicies!A2:A3, 0))), "")), 0))</f>
        <v>100000</v>
      </c>
      <c r="AX2" s="6">
        <f>IF((IF(((AV2 = 0)=TRUE),  0,  IF(((AV2 &lt;= AW2)=TRUE),  1,  ROUNDUP(AV2 / AW2, 0))))="", "", ROUND((IF(((AV2 = 0)=TRUE),  0,  IF(((AV2 &lt;= AW2)=TRUE),  1,  ROUNDUP(AV2 / AW2, 0)))), 0))</f>
        <v>1</v>
      </c>
      <c r="AY2" s="6">
        <f>IF((_xlfn.IFNA(IF(((INDEX(CommunicationPolicies!J2:J3, MATCH(O2,CommunicationPolicies!A2:A3, 0))="")=TRUE),  "",  INDEX(CommunicationPolicies!J2:J3, MATCH(O2,CommunicationPolicies!A2:A3, 0))), ""))="", "", ROUND((_xlfn.IFNA(IF(((INDEX(CommunicationPolicies!J2:J3, MATCH(O2,CommunicationPolicies!A2:A3, 0))="")=TRUE),  "",  INDEX(CommunicationPolicies!J2:J3, MATCH(O2,CommunicationPolicies!A2:A3, 0))), "")), 0))</f>
        <v>1</v>
      </c>
      <c r="AZ2" s="4" t="b">
        <f>AND(((S2)=TRUE), ((AX2 &gt; AY2)=TRUE))</f>
        <v>0</v>
      </c>
      <c r="BA2" s="4" t="b">
        <f>_xlfn.IFNA(IF(((INDEX(MessageTemplates!N2:N3, MATCH(F2,MessageTemplates!A2:A3, 0))="")=TRUE),  "",  INDEX(MessageTemplates!N2:N3, MATCH(F2,MessageTemplates!A2:A3, 0))), "")</f>
        <v>1</v>
      </c>
      <c r="BB2" s="4" t="b">
        <f>AND(((S2)=TRUE), ((NOT(((BA2)=TRUE)))=TRUE))</f>
        <v>0</v>
      </c>
      <c r="BC2" s="4" t="str">
        <f>_xlfn.IFNA(IF(((INDEX(CommunicationPolicies!T2:T3, MATCH(O2,CommunicationPolicies!A2:A3, 0))="")=TRUE),  "",  INDEX(CommunicationPolicies!T2:T3, MATCH(O2,CommunicationPolicies!A2:A3, 0))), "")</f>
      </c>
      <c r="BD2" s="4" t="b">
        <f>BC2 &lt;&gt; ""</f>
        <v>0</v>
      </c>
      <c r="BE2" s="6">
        <f>IF((FIND(BC2, H2))="", "", ROUND((FIND(BC2, H2)), 0))</f>
        <v>1</v>
      </c>
      <c r="BF2" s="4" t="b">
        <f>BE2 &gt; 0</f>
        <v>1</v>
      </c>
      <c r="BG2" s="4" t="b">
        <f>AND(((BF2)=TRUE), ((BE2 &lt;= AW2)=TRUE))</f>
        <v>1</v>
      </c>
      <c r="BH2" s="4" t="b">
        <f>AND(((S2)=TRUE), ((AND(((BD2)=TRUE), ((NOT(((BF2)=TRUE)))=TRUE)))=TRUE))</f>
        <v>0</v>
      </c>
      <c r="BI2" s="4" t="b">
        <f>AND(((S2)=TRUE), ((AND(((BD2)=TRUE), ((AND(((BF2)=TRUE), ((NOT(((BG2)=TRUE)))=TRUE)))=TRUE)))=TRUE))</f>
        <v>0</v>
      </c>
      <c r="BJ2" s="4" t="b">
        <f>OR(((K2 = "Failed")=TRUE), ((K2 = "Bounced")=TRUE))</f>
        <v>0</v>
      </c>
      <c r="BK2" s="4" t="b">
        <f>K2 = "Suppressed"</f>
        <v>0</v>
      </c>
      <c r="BL2" s="4" t="b">
        <f>M2 &lt;&gt; ""</f>
        <v>0</v>
      </c>
      <c r="BM2" s="4" t="b">
        <f>AND(((BJ2)=TRUE), ((NOT(((BL2)=TRUE)))=TRUE))</f>
        <v>0</v>
      </c>
      <c r="BN2" s="4" t="str">
        <f>IF(((BM2)=TRUE),  C2,  "")</f>
      </c>
      <c r="BO2" s="4" t="str">
        <f>IF(((K2 = "Delivered")=TRUE),  C2,  "")</f>
        <v>exec-policy-hr4821</v>
      </c>
      <c r="BP2" s="4" t="b">
        <f>_xlfn.IFNA(IF(((INDEX(MessageTemplates!T2:T3, MATCH(F2,MessageTemplates!A2:A3, 0))="")=TRUE),  "",  INDEX(MessageTemplates!T2:T3, MATCH(F2,MessageTemplates!A2:A3, 0))), "")</f>
        <v>1</v>
      </c>
      <c r="BQ2" s="4" t="b">
        <f>AND(((S2)=TRUE), ((NOT(((BP2)=TRUE)))=TRUE))</f>
        <v>0</v>
      </c>
      <c r="BR2" s="4" t="str">
        <f>IF(((BQ2)=TRUE),  F2,  "")</f>
      </c>
      <c r="BS2" s="4" t="b">
        <f>OR(((J2 &lt; 8)=TRUE), ((J2 &gt; 18)=TRUE))</f>
        <v>0</v>
      </c>
      <c r="BT2" s="4" t="b">
        <f>AND(((S2)=TRUE), ((NOT(((AD2)=TRUE)))=TRUE))</f>
        <v>0</v>
      </c>
      <c r="BU2" s="4" t="b">
        <f>AND(((BT2)=TRUE), ((BS2)=TRUE))</f>
        <v>0</v>
      </c>
      <c r="BV2" s="4" t="b">
        <f>AND(((BT2)=TRUE), ((NOT(((BS2)=TRUE)))=TRUE))</f>
        <v>0</v>
      </c>
      <c r="BW2" s="4" t="str">
        <f>IF(((BT2)=TRUE),  F2,  "")</f>
      </c>
      <c r="BX2" s="4" t="str">
        <f>IF(((S2)=TRUE),  F2,  "")</f>
        <v>tmpl-policy-email</v>
      </c>
      <c r="BY2" s="3"/>
      <c r="BZ2" s="3"/>
      <c r="CA2" s="5"/>
      <c r="CB2" s="4" t="b">
        <f>AND(((CA2 &lt;&gt; "")=TRUE), ((I2 &gt; CA2)=TRUE))</f>
        <v>0</v>
      </c>
      <c r="CC2" s="4" t="b">
        <f>AND(((BY2 &lt;&gt; "")=TRUE), ((CA2 &lt;&gt; "")=TRUE))</f>
        <v>0</v>
      </c>
      <c r="CD2" s="4" t="b">
        <f>NOT(((CC2)=TRUE))</f>
        <v>1</v>
      </c>
      <c r="CE2" s="7">
        <f>_xlfn.IFNA(IF(((INDEX(MessageTemplates!Y2:Y3, MATCH(F2,MessageTemplates!A2:A3, 0))="")=TRUE),  "",  INDEX(MessageTemplates!Y2:Y3, MATCH(F2,MessageTemplates!A2:A3, 0))), "")</f>
        <v>46220.666666666664</v>
      </c>
      <c r="CF2" s="4" t="b">
        <f>AND(((CE2 &lt;&gt; "")=TRUE), ((CE2 &gt; I2)=TRUE))</f>
        <v>0</v>
      </c>
      <c r="CG2" s="4" t="b">
        <f>AND(((CD2)=TRUE), ((AND(((CF2)=TRUE), ((BA2)=TRUE)))=TRUE))</f>
        <v>0</v>
      </c>
      <c r="CH2" s="5"/>
      <c r="CI2" s="8"/>
      <c r="CJ2" s="4" t="b">
        <f>CI2 &gt; 0</f>
        <v>0</v>
      </c>
      <c r="CK2" s="4" t="b">
        <f>AND(((S2)=TRUE), ((AND(((AP2)=TRUE), ((NOT(((AD2)=TRUE)))=TRUE)))=TRUE))</f>
        <v>0</v>
      </c>
      <c r="CL2" s="6">
        <f>IF((IF(((CK2)=TRUE),  IF(((OR((((AL2)="")=TRUE), (((I2)="")=TRUE)))=TRUE),  0,  (INT(AL2) - INT(I2))),  0))="", "", ROUND((IF(((CK2)=TRUE),  IF(((OR((((AL2)="")=TRUE), (((I2)="")=TRUE)))=TRUE),  0,  (INT(AL2) - INT(I2))),  0)), 0))</f>
        <v>0</v>
      </c>
      <c r="CM2" s="4" t="b">
        <f>AND(((CK2)=TRUE), ((AND(((CL2 &gt; 7)=TRUE), ((NOT(((CJ2)=TRUE)))=TRUE)))=TRUE))</f>
        <v>0</v>
      </c>
      <c r="CN2" s="4" t="b">
        <f>AND(((CK2)=TRUE), ((CI2 &gt;= 3)=TRUE))</f>
        <v>0</v>
      </c>
      <c r="CO2" s="4" t="b">
        <f>AND(((CN2)=TRUE), ((NOT(((AF2)=TRUE)))=TRUE))</f>
        <v>0</v>
      </c>
      <c r="CP2" s="3" t="s">
        <v>8303</v>
      </c>
    </row>
    <row r="3">
      <c r="A3" s="3" t="s">
        <v>8304</v>
      </c>
      <c r="B3" s="4" t="str">
        <f>E3 &amp; " / " &amp; F3 &amp; " / " &amp; IF(((I3="")=TRUE),  "",  TEXT(I3, "yyyy-mm-dd\Thh:mm:ss")&amp;"+00:00")</f>
        <v>rec-002 / tmpl-policy-email / 2026-07-18T19:05:00+00:00</v>
      </c>
      <c r="C3" s="3" t="s">
        <v>1344</v>
      </c>
      <c r="D3" s="3" t="s">
        <v>1464</v>
      </c>
      <c r="E3" s="3" t="s">
        <v>8283</v>
      </c>
      <c r="F3" s="3" t="s">
        <v>1744</v>
      </c>
      <c r="G3" s="3" t="s">
        <v>178</v>
      </c>
      <c r="H3" s="3" t="s">
        <v>8301</v>
      </c>
      <c r="I3" s="5">
        <v>46221.79513888889</v>
      </c>
      <c r="J3" s="8">
        <v>14</v>
      </c>
      <c r="K3" s="3" t="s">
        <v>8302</v>
      </c>
      <c r="L3" s="3"/>
      <c r="M3" s="3"/>
      <c r="N3" s="5"/>
      <c r="O3" s="4" t="str">
        <f>_xlfn.IFNA(IF(((INDEX(MessageTemplates!C2:C3, MATCH(F3,MessageTemplates!A2:A3, 0))="")=TRUE),  "",  INDEX(MessageTemplates!C2:C3, MATCH(F3,MessageTemplates!A2:A3, 0))), "")</f>
        <v>comm-email-policy</v>
      </c>
      <c r="P3" s="4" t="str">
        <f>_xlfn.IFNA(IF(((INDEX(CommunicationPolicies!D2:D3, MATCH(O3,CommunicationPolicies!A2:A3, 0))="")=TRUE),  "",  INDEX(CommunicationPolicies!D2:D3, MATCH(O3,CommunicationPolicies!A2:A3, 0))), "")</f>
        <v>Email</v>
      </c>
      <c r="Q3" s="4" t="b">
        <f>_xlfn.IFNA(IF(((INDEX(CommunicationPolicies!F2:F3, MATCH(O3,CommunicationPolicies!A2:A3, 0))="")=TRUE),  "",  INDEX(CommunicationPolicies!F2:F3, MATCH(O3,CommunicationPolicies!A2:A3, 0))), "")</f>
        <v>0</v>
      </c>
      <c r="R3" s="4" t="b">
        <f>_xlfn.IFNA(IF(((INDEX(Recipients!J2:J6, MATCH(E3,Recipients!A2:A6, 0))="")=TRUE),  "",  INDEX(Recipients!J2:J6, MATCH(E3,Recipients!A2:A6, 0))), "")</f>
        <v>1</v>
      </c>
      <c r="S3" s="4" t="b">
        <f>OR(((K3 = "Sent")=TRUE), ((OR(((K3 = "Delivered")=TRUE), ((K3 = "Bounced")=TRUE)))=TRUE))</f>
        <v>1</v>
      </c>
      <c r="T3" s="4" t="b">
        <f>AND(((S3)=TRUE), ((AND(((Q3)=TRUE), ((NOT(((R3)=TRUE)))=TRUE)))=TRUE))</f>
        <v>0</v>
      </c>
      <c r="U3" s="4" t="str">
        <f>IF(((T3)=TRUE),  O3,  "")</f>
      </c>
      <c r="V3" s="6">
        <f>IF((_xlfn.IFNA(IF(((INDEX(CommunicationPolicies!Q2:Q3, MATCH(O3,CommunicationPolicies!A2:A3, 0))="")=TRUE),  "",  INDEX(CommunicationPolicies!Q2:Q3, MATCH(O3,CommunicationPolicies!A2:A3, 0))), ""))="", "", ROUND((_xlfn.IFNA(IF(((INDEX(CommunicationPolicies!Q2:Q3, MATCH(O3,CommunicationPolicies!A2:A3, 0))="")=TRUE),  "",  INDEX(CommunicationPolicies!Q2:Q3, MATCH(O3,CommunicationPolicies!A2:A3, 0))), "")), 0))</f>
        <v>0</v>
      </c>
      <c r="W3" s="6">
        <f>IF((_xlfn.IFNA(IF(((INDEX(CommunicationPolicies!R2:R3, MATCH(O3,CommunicationPolicies!A2:A3, 0))="")=TRUE),  "",  INDEX(CommunicationPolicies!R2:R3, MATCH(O3,CommunicationPolicies!A2:A3, 0))), ""))="", "", ROUND((_xlfn.IFNA(IF(((INDEX(CommunicationPolicies!R2:R3, MATCH(O3,CommunicationPolicies!A2:A3, 0))="")=TRUE),  "",  INDEX(CommunicationPolicies!R2:R3, MATCH(O3,CommunicationPolicies!A2:A3, 0))), "")), 0))</f>
        <v>0</v>
      </c>
      <c r="X3" s="4" t="b">
        <f>V3 &lt;&gt; W3</f>
        <v>0</v>
      </c>
      <c r="Y3" s="4" t="b">
        <f>V3 &gt; W3</f>
        <v>0</v>
      </c>
      <c r="Z3" s="4" t="b">
        <f>IF(((Y3)=TRUE),  OR(((J3 &gt;= V3)=TRUE), ((J3 &lt; W3)=TRUE)),  AND(((J3 &gt;= V3)=TRUE), ((J3 &lt; W3)=TRUE)))</f>
        <v>0</v>
      </c>
      <c r="AA3" s="4" t="b">
        <f>AND(((S3)=TRUE), ((AND(((X3)=TRUE), ((Z3)=TRUE)))=TRUE))</f>
        <v>0</v>
      </c>
      <c r="AB3" s="4" t="str">
        <f>IF(((AA3)=TRUE),  O3,  "")</f>
      </c>
      <c r="AC3" s="4" t="b">
        <f>_xlfn.IFNA(IF(((INDEX(Recipients!M2:M6, MATCH(E3,Recipients!A2:A6, 0))="")=TRUE),  "",  INDEX(Recipients!M2:M6, MATCH(E3,Recipients!A2:A6, 0))), "")</f>
        <v>0</v>
      </c>
      <c r="AD3" s="4" t="b">
        <f>N3 &lt;&gt; ""</f>
        <v>0</v>
      </c>
      <c r="AE3" s="4" t="str">
        <f>_xlfn.IFNA(IF(((INDEX(Exceptions!E2:E5, MATCH(M3,Exceptions!A2:A5, 0))="")=TRUE),  "",  INDEX(Exceptions!E2:E5, MATCH(M3,Exceptions!A2:A5, 0))), "")</f>
      </c>
      <c r="AF3" s="4" t="b">
        <f>M3 = "exc-unreachable"</f>
        <v>0</v>
      </c>
      <c r="AG3" s="4" t="b">
        <f>AND(((AC3)=TRUE), ((AD3)=TRUE))</f>
        <v>0</v>
      </c>
      <c r="AH3" s="4" t="b">
        <f>AND(((AC3)=TRUE), ((NOT(((AF3)=TRUE)))=TRUE))</f>
        <v>0</v>
      </c>
      <c r="AI3" s="4" t="str">
        <f>IF(((OR(((AG3)=TRUE), ((AH3)=TRUE)))=TRUE),  C3,  "")</f>
      </c>
      <c r="AJ3" s="6">
        <f>IF((_xlfn.IFNA(IF(((INDEX(CommunicationPolicies!K2:K3, MATCH(O3,CommunicationPolicies!A2:A3, 0))="")=TRUE),  "",  INDEX(CommunicationPolicies!K2:K3, MATCH(O3,CommunicationPolicies!A2:A3, 0))), ""))="", "", ROUND((_xlfn.IFNA(IF(((INDEX(CommunicationPolicies!K2:K3, MATCH(O3,CommunicationPolicies!A2:A3, 0))="")=TRUE),  "",  INDEX(CommunicationPolicies!K2:K3, MATCH(O3,CommunicationPolicies!A2:A3, 0))), "")), 0))</f>
        <v>2555</v>
      </c>
      <c r="AK3" s="3" t="s">
        <v>95</v>
      </c>
      <c r="AL3" s="7">
        <f>_xlfn.IFNA(IF(((INDEX(EvaluationContexts!D2:D2, MATCH(AK3,EvaluationContexts!A2:A2, 0))="")=TRUE),  "",  INDEX(EvaluationContexts!D2:D2, MATCH(AK3,EvaluationContexts!A2:A2, 0))), "")</f>
        <v>46222.75</v>
      </c>
      <c r="AM3" s="6">
        <f>IF((IF(((OR((((AL3)="")=TRUE), (((I3)="")=TRUE)))=TRUE),  0,  (INT(AL3) - INT(I3))))="", "", ROUND((IF(((OR((((AL3)="")=TRUE), (((I3)="")=TRUE)))=TRUE),  0,  (INT(AL3) - INT(I3)))), 0))</f>
        <v>1</v>
      </c>
      <c r="AN3" s="4" t="b">
        <f>AM3 &lt;= AJ3</f>
        <v>1</v>
      </c>
      <c r="AO3" s="4" t="b">
        <f>H3 &lt;&gt; ""</f>
        <v>1</v>
      </c>
      <c r="AP3" s="4" t="b">
        <f>AND(((S3)=TRUE), ((AN3)=TRUE))</f>
        <v>1</v>
      </c>
      <c r="AQ3" s="4" t="b">
        <f>AND(((AP3)=TRUE), ((NOT(((AO3)=TRUE)))=TRUE))</f>
        <v>0</v>
      </c>
      <c r="AR3" s="4" t="str">
        <f>IF(((AQ3)=TRUE),  C3,  "")</f>
      </c>
      <c r="AS3" s="4" t="str">
        <f>_xlfn.IFNA(IF(((INDEX(StepExecutions!D2:D13, MATCH(D3,StepExecutions!A2:A13, 0))="")=TRUE),  "",  INDEX(StepExecutions!D2:D13, MATCH(D3,StepExecutions!A2:A13, 0))), "")</f>
        <v>policy-04</v>
      </c>
      <c r="AT3" s="4" t="b">
        <f>_xlfn.IFNA(IF(((INDEX(ProcedureExecutions!AC2:AC3, MATCH(C3,ProcedureExecutions!A2:A3, 0))="")=TRUE),  "",  INDEX(ProcedureExecutions!AC2:AC3, MATCH(C3,ProcedureExecutions!A2:A3, 0))), "")</f>
        <v>1</v>
      </c>
      <c r="AU3" s="4" t="b">
        <f>AND(((S3)=TRUE), ((NOT(((AT3)=TRUE)))=TRUE))</f>
        <v>0</v>
      </c>
      <c r="AV3" s="6">
        <f>IF((LEN(H3))="", "", ROUND((LEN(H3)), 0))</f>
        <v>107</v>
      </c>
      <c r="AW3" s="6">
        <f>IF((_xlfn.IFNA(IF(((INDEX(CommunicationPolicies!I2:I3, MATCH(O3,CommunicationPolicies!A2:A3, 0))="")=TRUE),  "",  INDEX(CommunicationPolicies!I2:I3, MATCH(O3,CommunicationPolicies!A2:A3, 0))), ""))="", "", ROUND((_xlfn.IFNA(IF(((INDEX(CommunicationPolicies!I2:I3, MATCH(O3,CommunicationPolicies!A2:A3, 0))="")=TRUE),  "",  INDEX(CommunicationPolicies!I2:I3, MATCH(O3,CommunicationPolicies!A2:A3, 0))), "")), 0))</f>
        <v>100000</v>
      </c>
      <c r="AX3" s="6">
        <f>IF((IF(((AV3 = 0)=TRUE),  0,  IF(((AV3 &lt;= AW3)=TRUE),  1,  ROUNDUP(AV3 / AW3, 0))))="", "", ROUND((IF(((AV3 = 0)=TRUE),  0,  IF(((AV3 &lt;= AW3)=TRUE),  1,  ROUNDUP(AV3 / AW3, 0)))), 0))</f>
        <v>1</v>
      </c>
      <c r="AY3" s="6">
        <f>IF((_xlfn.IFNA(IF(((INDEX(CommunicationPolicies!J2:J3, MATCH(O3,CommunicationPolicies!A2:A3, 0))="")=TRUE),  "",  INDEX(CommunicationPolicies!J2:J3, MATCH(O3,CommunicationPolicies!A2:A3, 0))), ""))="", "", ROUND((_xlfn.IFNA(IF(((INDEX(CommunicationPolicies!J2:J3, MATCH(O3,CommunicationPolicies!A2:A3, 0))="")=TRUE),  "",  INDEX(CommunicationPolicies!J2:J3, MATCH(O3,CommunicationPolicies!A2:A3, 0))), "")), 0))</f>
        <v>1</v>
      </c>
      <c r="AZ3" s="4" t="b">
        <f>AND(((S3)=TRUE), ((AX3 &gt; AY3)=TRUE))</f>
        <v>0</v>
      </c>
      <c r="BA3" s="4" t="b">
        <f>_xlfn.IFNA(IF(((INDEX(MessageTemplates!N2:N3, MATCH(F3,MessageTemplates!A2:A3, 0))="")=TRUE),  "",  INDEX(MessageTemplates!N2:N3, MATCH(F3,MessageTemplates!A2:A3, 0))), "")</f>
        <v>1</v>
      </c>
      <c r="BB3" s="4" t="b">
        <f>AND(((S3)=TRUE), ((NOT(((BA3)=TRUE)))=TRUE))</f>
        <v>0</v>
      </c>
      <c r="BC3" s="4" t="str">
        <f>_xlfn.IFNA(IF(((INDEX(CommunicationPolicies!T2:T3, MATCH(O3,CommunicationPolicies!A2:A3, 0))="")=TRUE),  "",  INDEX(CommunicationPolicies!T2:T3, MATCH(O3,CommunicationPolicies!A2:A3, 0))), "")</f>
      </c>
      <c r="BD3" s="4" t="b">
        <f>BC3 &lt;&gt; ""</f>
        <v>0</v>
      </c>
      <c r="BE3" s="6">
        <f>IF((FIND(BC3, H3))="", "", ROUND((FIND(BC3, H3)), 0))</f>
        <v>1</v>
      </c>
      <c r="BF3" s="4" t="b">
        <f>BE3 &gt; 0</f>
        <v>1</v>
      </c>
      <c r="BG3" s="4" t="b">
        <f>AND(((BF3)=TRUE), ((BE3 &lt;= AW3)=TRUE))</f>
        <v>1</v>
      </c>
      <c r="BH3" s="4" t="b">
        <f>AND(((S3)=TRUE), ((AND(((BD3)=TRUE), ((NOT(((BF3)=TRUE)))=TRUE)))=TRUE))</f>
        <v>0</v>
      </c>
      <c r="BI3" s="4" t="b">
        <f>AND(((S3)=TRUE), ((AND(((BD3)=TRUE), ((AND(((BF3)=TRUE), ((NOT(((BG3)=TRUE)))=TRUE)))=TRUE)))=TRUE))</f>
        <v>0</v>
      </c>
      <c r="BJ3" s="4" t="b">
        <f>OR(((K3 = "Failed")=TRUE), ((K3 = "Bounced")=TRUE))</f>
        <v>0</v>
      </c>
      <c r="BK3" s="4" t="b">
        <f>K3 = "Suppressed"</f>
        <v>0</v>
      </c>
      <c r="BL3" s="4" t="b">
        <f>M3 &lt;&gt; ""</f>
        <v>0</v>
      </c>
      <c r="BM3" s="4" t="b">
        <f>AND(((BJ3)=TRUE), ((NOT(((BL3)=TRUE)))=TRUE))</f>
        <v>0</v>
      </c>
      <c r="BN3" s="4" t="str">
        <f>IF(((BM3)=TRUE),  C3,  "")</f>
      </c>
      <c r="BO3" s="4" t="str">
        <f>IF(((K3 = "Delivered")=TRUE),  C3,  "")</f>
        <v>exec-policy-hr4821</v>
      </c>
      <c r="BP3" s="4" t="b">
        <f>_xlfn.IFNA(IF(((INDEX(MessageTemplates!T2:T3, MATCH(F3,MessageTemplates!A2:A3, 0))="")=TRUE),  "",  INDEX(MessageTemplates!T2:T3, MATCH(F3,MessageTemplates!A2:A3, 0))), "")</f>
        <v>1</v>
      </c>
      <c r="BQ3" s="4" t="b">
        <f>AND(((S3)=TRUE), ((NOT(((BP3)=TRUE)))=TRUE))</f>
        <v>0</v>
      </c>
      <c r="BR3" s="4" t="str">
        <f>IF(((BQ3)=TRUE),  F3,  "")</f>
      </c>
      <c r="BS3" s="4" t="b">
        <f>OR(((J3 &lt; 8)=TRUE), ((J3 &gt; 18)=TRUE))</f>
        <v>0</v>
      </c>
      <c r="BT3" s="4" t="b">
        <f>AND(((S3)=TRUE), ((NOT(((AD3)=TRUE)))=TRUE))</f>
        <v>1</v>
      </c>
      <c r="BU3" s="4" t="b">
        <f>AND(((BT3)=TRUE), ((BS3)=TRUE))</f>
        <v>0</v>
      </c>
      <c r="BV3" s="4" t="b">
        <f>AND(((BT3)=TRUE), ((NOT(((BS3)=TRUE)))=TRUE))</f>
        <v>1</v>
      </c>
      <c r="BW3" s="4" t="str">
        <f>IF(((BT3)=TRUE),  F3,  "")</f>
        <v>tmpl-policy-email</v>
      </c>
      <c r="BX3" s="4" t="str">
        <f>IF(((S3)=TRUE),  F3,  "")</f>
        <v>tmpl-policy-email</v>
      </c>
      <c r="BY3" s="3"/>
      <c r="BZ3" s="3"/>
      <c r="CA3" s="5"/>
      <c r="CB3" s="4" t="b">
        <f>AND(((CA3 &lt;&gt; "")=TRUE), ((I3 &gt; CA3)=TRUE))</f>
        <v>0</v>
      </c>
      <c r="CC3" s="4" t="b">
        <f>AND(((BY3 &lt;&gt; "")=TRUE), ((CA3 &lt;&gt; "")=TRUE))</f>
        <v>0</v>
      </c>
      <c r="CD3" s="4" t="b">
        <f>NOT(((CC3)=TRUE))</f>
        <v>1</v>
      </c>
      <c r="CE3" s="7">
        <f>_xlfn.IFNA(IF(((INDEX(MessageTemplates!Y2:Y3, MATCH(F3,MessageTemplates!A2:A3, 0))="")=TRUE),  "",  INDEX(MessageTemplates!Y2:Y3, MATCH(F3,MessageTemplates!A2:A3, 0))), "")</f>
        <v>46220.666666666664</v>
      </c>
      <c r="CF3" s="4" t="b">
        <f>AND(((CE3 &lt;&gt; "")=TRUE), ((CE3 &gt; I3)=TRUE))</f>
        <v>0</v>
      </c>
      <c r="CG3" s="4" t="b">
        <f>AND(((CD3)=TRUE), ((AND(((CF3)=TRUE), ((BA3)=TRUE)))=TRUE))</f>
        <v>0</v>
      </c>
      <c r="CH3" s="5"/>
      <c r="CI3" s="8"/>
      <c r="CJ3" s="4" t="b">
        <f>CI3 &gt; 0</f>
        <v>0</v>
      </c>
      <c r="CK3" s="4" t="b">
        <f>AND(((S3)=TRUE), ((AND(((AP3)=TRUE), ((NOT(((AD3)=TRUE)))=TRUE)))=TRUE))</f>
        <v>1</v>
      </c>
      <c r="CL3" s="6">
        <f>IF((IF(((CK3)=TRUE),  IF(((OR((((AL3)="")=TRUE), (((I3)="")=TRUE)))=TRUE),  0,  (INT(AL3) - INT(I3))),  0))="", "", ROUND((IF(((CK3)=TRUE),  IF(((OR((((AL3)="")=TRUE), (((I3)="")=TRUE)))=TRUE),  0,  (INT(AL3) - INT(I3))),  0)), 0))</f>
        <v>1</v>
      </c>
      <c r="CM3" s="4" t="b">
        <f>AND(((CK3)=TRUE), ((AND(((CL3 &gt; 7)=TRUE), ((NOT(((CJ3)=TRUE)))=TRUE)))=TRUE))</f>
        <v>0</v>
      </c>
      <c r="CN3" s="4" t="b">
        <f>AND(((CK3)=TRUE), ((CI3 &gt;= 3)=TRUE))</f>
        <v>0</v>
      </c>
      <c r="CO3" s="4" t="b">
        <f>AND(((CN3)=TRUE), ((NOT(((AF3)=TRUE)))=TRUE))</f>
        <v>0</v>
      </c>
      <c r="CP3" s="3" t="s">
        <v>8303</v>
      </c>
    </row>
    <row r="4">
      <c r="A4" s="3" t="s">
        <v>8305</v>
      </c>
      <c r="B4" s="4" t="str">
        <f>E4 &amp; " / " &amp; F4 &amp; " / " &amp; IF(((I4="")=TRUE),  "",  TEXT(I4, "yyyy-mm-dd\Thh:mm:ss")&amp;"+00:00")</f>
        <v>rec-003 / tmpl-policy-sms / 2026-07-18T19:06:00+00:00</v>
      </c>
      <c r="C4" s="3" t="s">
        <v>1344</v>
      </c>
      <c r="D4" s="3" t="s">
        <v>1464</v>
      </c>
      <c r="E4" s="3" t="s">
        <v>8287</v>
      </c>
      <c r="F4" s="3" t="s">
        <v>1750</v>
      </c>
      <c r="G4" s="3" t="s">
        <v>178</v>
      </c>
      <c r="H4" s="3" t="s">
        <v>8301</v>
      </c>
      <c r="I4" s="5">
        <v>46221.79583333333</v>
      </c>
      <c r="J4" s="8">
        <v>14</v>
      </c>
      <c r="K4" s="3" t="s">
        <v>8302</v>
      </c>
      <c r="L4" s="3" t="s">
        <v>8306</v>
      </c>
      <c r="M4" s="3" t="s">
        <v>1013</v>
      </c>
      <c r="N4" s="5"/>
      <c r="O4" s="4" t="str">
        <f>_xlfn.IFNA(IF(((INDEX(MessageTemplates!C2:C3, MATCH(F4,MessageTemplates!A2:A3, 0))="")=TRUE),  "",  INDEX(MessageTemplates!C2:C3, MATCH(F4,MessageTemplates!A2:A3, 0))), "")</f>
        <v>comm-sms-policy</v>
      </c>
      <c r="P4" s="4" t="str">
        <f>_xlfn.IFNA(IF(((INDEX(CommunicationPolicies!D2:D3, MATCH(O4,CommunicationPolicies!A2:A3, 0))="")=TRUE),  "",  INDEX(CommunicationPolicies!D2:D3, MATCH(O4,CommunicationPolicies!A2:A3, 0))), "")</f>
        <v>SMS</v>
      </c>
      <c r="Q4" s="4" t="b">
        <f>_xlfn.IFNA(IF(((INDEX(CommunicationPolicies!F2:F3, MATCH(O4,CommunicationPolicies!A2:A3, 0))="")=TRUE),  "",  INDEX(CommunicationPolicies!F2:F3, MATCH(O4,CommunicationPolicies!A2:A3, 0))), "")</f>
        <v>1</v>
      </c>
      <c r="R4" s="4" t="b">
        <f>_xlfn.IFNA(IF(((INDEX(Recipients!J2:J6, MATCH(E4,Recipients!A2:A6, 0))="")=TRUE),  "",  INDEX(Recipients!J2:J6, MATCH(E4,Recipients!A2:A6, 0))), "")</f>
        <v>1</v>
      </c>
      <c r="S4" s="4" t="b">
        <f>OR(((K4 = "Sent")=TRUE), ((OR(((K4 = "Delivered")=TRUE), ((K4 = "Bounced")=TRUE)))=TRUE))</f>
        <v>1</v>
      </c>
      <c r="T4" s="4" t="b">
        <f>AND(((S4)=TRUE), ((AND(((Q4)=TRUE), ((NOT(((R4)=TRUE)))=TRUE)))=TRUE))</f>
        <v>0</v>
      </c>
      <c r="U4" s="4" t="str">
        <f>IF(((T4)=TRUE),  O4,  "")</f>
      </c>
      <c r="V4" s="6">
        <f>IF((_xlfn.IFNA(IF(((INDEX(CommunicationPolicies!Q2:Q3, MATCH(O4,CommunicationPolicies!A2:A3, 0))="")=TRUE),  "",  INDEX(CommunicationPolicies!Q2:Q3, MATCH(O4,CommunicationPolicies!A2:A3, 0))), ""))="", "", ROUND((_xlfn.IFNA(IF(((INDEX(CommunicationPolicies!Q2:Q3, MATCH(O4,CommunicationPolicies!A2:A3, 0))="")=TRUE),  "",  INDEX(CommunicationPolicies!Q2:Q3, MATCH(O4,CommunicationPolicies!A2:A3, 0))), "")), 0))</f>
        <v>20</v>
      </c>
      <c r="W4" s="6">
        <f>IF((_xlfn.IFNA(IF(((INDEX(CommunicationPolicies!R2:R3, MATCH(O4,CommunicationPolicies!A2:A3, 0))="")=TRUE),  "",  INDEX(CommunicationPolicies!R2:R3, MATCH(O4,CommunicationPolicies!A2:A3, 0))), ""))="", "", ROUND((_xlfn.IFNA(IF(((INDEX(CommunicationPolicies!R2:R3, MATCH(O4,CommunicationPolicies!A2:A3, 0))="")=TRUE),  "",  INDEX(CommunicationPolicies!R2:R3, MATCH(O4,CommunicationPolicies!A2:A3, 0))), "")), 0))</f>
        <v>8</v>
      </c>
      <c r="X4" s="4" t="b">
        <f>V4 &lt;&gt; W4</f>
        <v>1</v>
      </c>
      <c r="Y4" s="4" t="b">
        <f>V4 &gt; W4</f>
        <v>1</v>
      </c>
      <c r="Z4" s="4" t="b">
        <f>IF(((Y4)=TRUE),  OR(((J4 &gt;= V4)=TRUE), ((J4 &lt; W4)=TRUE)),  AND(((J4 &gt;= V4)=TRUE), ((J4 &lt; W4)=TRUE)))</f>
        <v>0</v>
      </c>
      <c r="AA4" s="4" t="b">
        <f>AND(((S4)=TRUE), ((AND(((X4)=TRUE), ((Z4)=TRUE)))=TRUE))</f>
        <v>0</v>
      </c>
      <c r="AB4" s="4" t="str">
        <f>IF(((AA4)=TRUE),  O4,  "")</f>
      </c>
      <c r="AC4" s="4" t="b">
        <f>_xlfn.IFNA(IF(((INDEX(Recipients!M2:M6, MATCH(E4,Recipients!A2:A6, 0))="")=TRUE),  "",  INDEX(Recipients!M2:M6, MATCH(E4,Recipients!A2:A6, 0))), "")</f>
        <v>0</v>
      </c>
      <c r="AD4" s="4" t="b">
        <f>N4 &lt;&gt; ""</f>
        <v>0</v>
      </c>
      <c r="AE4" s="4" t="str">
        <f>_xlfn.IFNA(IF(((INDEX(Exceptions!E2:E5, MATCH(M4,Exceptions!A2:A5, 0))="")=TRUE),  "",  INDEX(Exceptions!E2:E5, MATCH(M4,Exceptions!A2:A5, 0))), "")</f>
        <v>Recipient lacks SMS consent</v>
      </c>
      <c r="AF4" s="4" t="b">
        <f>M4 = "exc-unreachable"</f>
        <v>0</v>
      </c>
      <c r="AG4" s="4" t="b">
        <f>AND(((AC4)=TRUE), ((AD4)=TRUE))</f>
        <v>0</v>
      </c>
      <c r="AH4" s="4" t="b">
        <f>AND(((AC4)=TRUE), ((NOT(((AF4)=TRUE)))=TRUE))</f>
        <v>0</v>
      </c>
      <c r="AI4" s="4" t="str">
        <f>IF(((OR(((AG4)=TRUE), ((AH4)=TRUE)))=TRUE),  C4,  "")</f>
      </c>
      <c r="AJ4" s="6">
        <f>IF((_xlfn.IFNA(IF(((INDEX(CommunicationPolicies!K2:K3, MATCH(O4,CommunicationPolicies!A2:A3, 0))="")=TRUE),  "",  INDEX(CommunicationPolicies!K2:K3, MATCH(O4,CommunicationPolicies!A2:A3, 0))), ""))="", "", ROUND((_xlfn.IFNA(IF(((INDEX(CommunicationPolicies!K2:K3, MATCH(O4,CommunicationPolicies!A2:A3, 0))="")=TRUE),  "",  INDEX(CommunicationPolicies!K2:K3, MATCH(O4,CommunicationPolicies!A2:A3, 0))), "")), 0))</f>
        <v>2555</v>
      </c>
      <c r="AK4" s="3" t="s">
        <v>95</v>
      </c>
      <c r="AL4" s="7">
        <f>_xlfn.IFNA(IF(((INDEX(EvaluationContexts!D2:D2, MATCH(AK4,EvaluationContexts!A2:A2, 0))="")=TRUE),  "",  INDEX(EvaluationContexts!D2:D2, MATCH(AK4,EvaluationContexts!A2:A2, 0))), "")</f>
        <v>46222.75</v>
      </c>
      <c r="AM4" s="6">
        <f>IF((IF(((OR((((AL4)="")=TRUE), (((I4)="")=TRUE)))=TRUE),  0,  (INT(AL4) - INT(I4))))="", "", ROUND((IF(((OR((((AL4)="")=TRUE), (((I4)="")=TRUE)))=TRUE),  0,  (INT(AL4) - INT(I4)))), 0))</f>
        <v>1</v>
      </c>
      <c r="AN4" s="4" t="b">
        <f>AM4 &lt;= AJ4</f>
        <v>1</v>
      </c>
      <c r="AO4" s="4" t="b">
        <f>H4 &lt;&gt; ""</f>
        <v>1</v>
      </c>
      <c r="AP4" s="4" t="b">
        <f>AND(((S4)=TRUE), ((AN4)=TRUE))</f>
        <v>1</v>
      </c>
      <c r="AQ4" s="4" t="b">
        <f>AND(((AP4)=TRUE), ((NOT(((AO4)=TRUE)))=TRUE))</f>
        <v>0</v>
      </c>
      <c r="AR4" s="4" t="str">
        <f>IF(((AQ4)=TRUE),  C4,  "")</f>
      </c>
      <c r="AS4" s="4" t="str">
        <f>_xlfn.IFNA(IF(((INDEX(StepExecutions!D2:D13, MATCH(D4,StepExecutions!A2:A13, 0))="")=TRUE),  "",  INDEX(StepExecutions!D2:D13, MATCH(D4,StepExecutions!A2:A13, 0))), "")</f>
        <v>policy-04</v>
      </c>
      <c r="AT4" s="4" t="b">
        <f>_xlfn.IFNA(IF(((INDEX(ProcedureExecutions!AC2:AC3, MATCH(C4,ProcedureExecutions!A2:A3, 0))="")=TRUE),  "",  INDEX(ProcedureExecutions!AC2:AC3, MATCH(C4,ProcedureExecutions!A2:A3, 0))), "")</f>
        <v>1</v>
      </c>
      <c r="AU4" s="4" t="b">
        <f>AND(((S4)=TRUE), ((NOT(((AT4)=TRUE)))=TRUE))</f>
        <v>0</v>
      </c>
      <c r="AV4" s="6">
        <f>IF((LEN(H4))="", "", ROUND((LEN(H4)), 0))</f>
        <v>107</v>
      </c>
      <c r="AW4" s="6">
        <f>IF((_xlfn.IFNA(IF(((INDEX(CommunicationPolicies!I2:I3, MATCH(O4,CommunicationPolicies!A2:A3, 0))="")=TRUE),  "",  INDEX(CommunicationPolicies!I2:I3, MATCH(O4,CommunicationPolicies!A2:A3, 0))), ""))="", "", ROUND((_xlfn.IFNA(IF(((INDEX(CommunicationPolicies!I2:I3, MATCH(O4,CommunicationPolicies!A2:A3, 0))="")=TRUE),  "",  INDEX(CommunicationPolicies!I2:I3, MATCH(O4,CommunicationPolicies!A2:A3, 0))), "")), 0))</f>
        <v>160</v>
      </c>
      <c r="AX4" s="6">
        <f>IF((IF(((AV4 = 0)=TRUE),  0,  IF(((AV4 &lt;= AW4)=TRUE),  1,  ROUNDUP(AV4 / AW4, 0))))="", "", ROUND((IF(((AV4 = 0)=TRUE),  0,  IF(((AV4 &lt;= AW4)=TRUE),  1,  ROUNDUP(AV4 / AW4, 0)))), 0))</f>
        <v>1</v>
      </c>
      <c r="AY4" s="6">
        <f>IF((_xlfn.IFNA(IF(((INDEX(CommunicationPolicies!J2:J3, MATCH(O4,CommunicationPolicies!A2:A3, 0))="")=TRUE),  "",  INDEX(CommunicationPolicies!J2:J3, MATCH(O4,CommunicationPolicies!A2:A3, 0))), ""))="", "", ROUND((_xlfn.IFNA(IF(((INDEX(CommunicationPolicies!J2:J3, MATCH(O4,CommunicationPolicies!A2:A3, 0))="")=TRUE),  "",  INDEX(CommunicationPolicies!J2:J3, MATCH(O4,CommunicationPolicies!A2:A3, 0))), "")), 0))</f>
        <v>3</v>
      </c>
      <c r="AZ4" s="4" t="b">
        <f>AND(((S4)=TRUE), ((AX4 &gt; AY4)=TRUE))</f>
        <v>0</v>
      </c>
      <c r="BA4" s="4" t="b">
        <f>_xlfn.IFNA(IF(((INDEX(MessageTemplates!N2:N3, MATCH(F4,MessageTemplates!A2:A3, 0))="")=TRUE),  "",  INDEX(MessageTemplates!N2:N3, MATCH(F4,MessageTemplates!A2:A3, 0))), "")</f>
        <v>1</v>
      </c>
      <c r="BB4" s="4" t="b">
        <f>AND(((S4)=TRUE), ((NOT(((BA4)=TRUE)))=TRUE))</f>
        <v>0</v>
      </c>
      <c r="BC4" s="4" t="str">
        <f>_xlfn.IFNA(IF(((INDEX(CommunicationPolicies!T2:T3, MATCH(O4,CommunicationPolicies!A2:A3, 0))="")=TRUE),  "",  INDEX(CommunicationPolicies!T2:T3, MATCH(O4,CommunicationPolicies!A2:A3, 0))), "")</f>
        <v>Reply STOP to opt out</v>
      </c>
      <c r="BD4" s="4" t="b">
        <f>BC4 &lt;&gt; ""</f>
        <v>1</v>
      </c>
      <c r="BE4" s="6">
        <f>IF((FIND(BC4, H4))="", "", ROUND((FIND(BC4, H4)), 0))</f>
        <v>86</v>
      </c>
      <c r="BF4" s="4" t="b">
        <f>BE4 &gt; 0</f>
        <v>1</v>
      </c>
      <c r="BG4" s="4" t="b">
        <f>AND(((BF4)=TRUE), ((BE4 &lt;= AW4)=TRUE))</f>
        <v>1</v>
      </c>
      <c r="BH4" s="4" t="b">
        <f>AND(((S4)=TRUE), ((AND(((BD4)=TRUE), ((NOT(((BF4)=TRUE)))=TRUE)))=TRUE))</f>
        <v>0</v>
      </c>
      <c r="BI4" s="4" t="b">
        <f>AND(((S4)=TRUE), ((AND(((BD4)=TRUE), ((AND(((BF4)=TRUE), ((NOT(((BG4)=TRUE)))=TRUE)))=TRUE)))=TRUE))</f>
        <v>0</v>
      </c>
      <c r="BJ4" s="4" t="b">
        <f>OR(((K4 = "Failed")=TRUE), ((K4 = "Bounced")=TRUE))</f>
        <v>0</v>
      </c>
      <c r="BK4" s="4" t="b">
        <f>K4 = "Suppressed"</f>
        <v>0</v>
      </c>
      <c r="BL4" s="4" t="b">
        <f>M4 &lt;&gt; ""</f>
        <v>1</v>
      </c>
      <c r="BM4" s="4" t="b">
        <f>AND(((BJ4)=TRUE), ((NOT(((BL4)=TRUE)))=TRUE))</f>
        <v>0</v>
      </c>
      <c r="BN4" s="4" t="str">
        <f>IF(((BM4)=TRUE),  C4,  "")</f>
      </c>
      <c r="BO4" s="4" t="str">
        <f>IF(((K4 = "Delivered")=TRUE),  C4,  "")</f>
        <v>exec-policy-hr4821</v>
      </c>
      <c r="BP4" s="4" t="b">
        <f>_xlfn.IFNA(IF(((INDEX(MessageTemplates!T2:T3, MATCH(F4,MessageTemplates!A2:A3, 0))="")=TRUE),  "",  INDEX(MessageTemplates!T2:T3, MATCH(F4,MessageTemplates!A2:A3, 0))), "")</f>
        <v>1</v>
      </c>
      <c r="BQ4" s="4" t="b">
        <f>AND(((S4)=TRUE), ((NOT(((BP4)=TRUE)))=TRUE))</f>
        <v>0</v>
      </c>
      <c r="BR4" s="4" t="str">
        <f>IF(((BQ4)=TRUE),  F4,  "")</f>
      </c>
      <c r="BS4" s="4" t="b">
        <f>OR(((J4 &lt; 8)=TRUE), ((J4 &gt; 18)=TRUE))</f>
        <v>0</v>
      </c>
      <c r="BT4" s="4" t="b">
        <f>AND(((S4)=TRUE), ((NOT(((AD4)=TRUE)))=TRUE))</f>
        <v>1</v>
      </c>
      <c r="BU4" s="4" t="b">
        <f>AND(((BT4)=TRUE), ((BS4)=TRUE))</f>
        <v>0</v>
      </c>
      <c r="BV4" s="4" t="b">
        <f>AND(((BT4)=TRUE), ((NOT(((BS4)=TRUE)))=TRUE))</f>
        <v>1</v>
      </c>
      <c r="BW4" s="4" t="str">
        <f>IF(((BT4)=TRUE),  F4,  "")</f>
        <v>tmpl-policy-sms</v>
      </c>
      <c r="BX4" s="4" t="str">
        <f>IF(((S4)=TRUE),  F4,  "")</f>
        <v>tmpl-policy-sms</v>
      </c>
      <c r="BY4" s="3"/>
      <c r="BZ4" s="3"/>
      <c r="CA4" s="5"/>
      <c r="CB4" s="4" t="b">
        <f>AND(((CA4 &lt;&gt; "")=TRUE), ((I4 &gt; CA4)=TRUE))</f>
        <v>0</v>
      </c>
      <c r="CC4" s="4" t="b">
        <f>AND(((BY4 &lt;&gt; "")=TRUE), ((CA4 &lt;&gt; "")=TRUE))</f>
        <v>0</v>
      </c>
      <c r="CD4" s="4" t="b">
        <f>NOT(((CC4)=TRUE))</f>
        <v>1</v>
      </c>
      <c r="CE4" s="7">
        <f>_xlfn.IFNA(IF(((INDEX(MessageTemplates!Y2:Y3, MATCH(F4,MessageTemplates!A2:A3, 0))="")=TRUE),  "",  INDEX(MessageTemplates!Y2:Y3, MATCH(F4,MessageTemplates!A2:A3, 0))), "")</f>
        <v>46222.625</v>
      </c>
      <c r="CF4" s="4" t="b">
        <f>AND(((CE4 &lt;&gt; "")=TRUE), ((CE4 &gt; I4)=TRUE))</f>
        <v>1</v>
      </c>
      <c r="CG4" s="4" t="b">
        <f>AND(((CD4)=TRUE), ((AND(((CF4)=TRUE), ((BA4)=TRUE)))=TRUE))</f>
        <v>1</v>
      </c>
      <c r="CH4" s="5"/>
      <c r="CI4" s="8"/>
      <c r="CJ4" s="4" t="b">
        <f>CI4 &gt; 0</f>
        <v>0</v>
      </c>
      <c r="CK4" s="4" t="b">
        <f>AND(((S4)=TRUE), ((AND(((AP4)=TRUE), ((NOT(((AD4)=TRUE)))=TRUE)))=TRUE))</f>
        <v>1</v>
      </c>
      <c r="CL4" s="6">
        <f>IF((IF(((CK4)=TRUE),  IF(((OR((((AL4)="")=TRUE), (((I4)="")=TRUE)))=TRUE),  0,  (INT(AL4) - INT(I4))),  0))="", "", ROUND((IF(((CK4)=TRUE),  IF(((OR((((AL4)="")=TRUE), (((I4)="")=TRUE)))=TRUE),  0,  (INT(AL4) - INT(I4))),  0)), 0))</f>
        <v>1</v>
      </c>
      <c r="CM4" s="4" t="b">
        <f>AND(((CK4)=TRUE), ((AND(((CL4 &gt; 7)=TRUE), ((NOT(((CJ4)=TRUE)))=TRUE)))=TRUE))</f>
        <v>0</v>
      </c>
      <c r="CN4" s="4" t="b">
        <f>AND(((CK4)=TRUE), ((CI4 &gt;= 3)=TRUE))</f>
        <v>0</v>
      </c>
      <c r="CO4" s="4" t="b">
        <f>AND(((CN4)=TRUE), ((NOT(((AF4)=TRUE)))=TRUE))</f>
        <v>0</v>
      </c>
      <c r="CP4" s="3" t="s">
        <v>8303</v>
      </c>
    </row>
    <row r="5">
      <c r="A5" s="3" t="s">
        <v>8307</v>
      </c>
      <c r="B5" s="4" t="str">
        <f>E5 &amp; " / " &amp; F5 &amp; " / " &amp; IF(((I5="")=TRUE),  "",  TEXT(I5, "yyyy-mm-dd\Thh:mm:ss")&amp;"+00:00")</f>
        <v>rec-004 / tmpl-policy-sms / 2026-07-18T19:06:00+00:00</v>
      </c>
      <c r="C5" s="3" t="s">
        <v>1344</v>
      </c>
      <c r="D5" s="3" t="s">
        <v>1464</v>
      </c>
      <c r="E5" s="3" t="s">
        <v>8291</v>
      </c>
      <c r="F5" s="3" t="s">
        <v>1750</v>
      </c>
      <c r="G5" s="3" t="s">
        <v>178</v>
      </c>
      <c r="H5" s="3" t="s">
        <v>8301</v>
      </c>
      <c r="I5" s="5">
        <v>46221.79583333333</v>
      </c>
      <c r="J5" s="8">
        <v>14</v>
      </c>
      <c r="K5" s="3" t="s">
        <v>8308</v>
      </c>
      <c r="L5" s="3" t="s">
        <v>8309</v>
      </c>
      <c r="M5" s="3" t="s">
        <v>1013</v>
      </c>
      <c r="N5" s="5"/>
      <c r="O5" s="4" t="str">
        <f>_xlfn.IFNA(IF(((INDEX(MessageTemplates!C2:C3, MATCH(F5,MessageTemplates!A2:A3, 0))="")=TRUE),  "",  INDEX(MessageTemplates!C2:C3, MATCH(F5,MessageTemplates!A2:A3, 0))), "")</f>
        <v>comm-sms-policy</v>
      </c>
      <c r="P5" s="4" t="str">
        <f>_xlfn.IFNA(IF(((INDEX(CommunicationPolicies!D2:D3, MATCH(O5,CommunicationPolicies!A2:A3, 0))="")=TRUE),  "",  INDEX(CommunicationPolicies!D2:D3, MATCH(O5,CommunicationPolicies!A2:A3, 0))), "")</f>
        <v>SMS</v>
      </c>
      <c r="Q5" s="4" t="b">
        <f>_xlfn.IFNA(IF(((INDEX(CommunicationPolicies!F2:F3, MATCH(O5,CommunicationPolicies!A2:A3, 0))="")=TRUE),  "",  INDEX(CommunicationPolicies!F2:F3, MATCH(O5,CommunicationPolicies!A2:A3, 0))), "")</f>
        <v>1</v>
      </c>
      <c r="R5" s="4" t="b">
        <f>_xlfn.IFNA(IF(((INDEX(Recipients!J2:J6, MATCH(E5,Recipients!A2:A6, 0))="")=TRUE),  "",  INDEX(Recipients!J2:J6, MATCH(E5,Recipients!A2:A6, 0))), "")</f>
        <v>0</v>
      </c>
      <c r="S5" s="4" t="b">
        <f>OR(((K5 = "Sent")=TRUE), ((OR(((K5 = "Delivered")=TRUE), ((K5 = "Bounced")=TRUE)))=TRUE))</f>
        <v>0</v>
      </c>
      <c r="T5" s="4" t="b">
        <f>AND(((S5)=TRUE), ((AND(((Q5)=TRUE), ((NOT(((R5)=TRUE)))=TRUE)))=TRUE))</f>
        <v>0</v>
      </c>
      <c r="U5" s="4" t="str">
        <f>IF(((T5)=TRUE),  O5,  "")</f>
      </c>
      <c r="V5" s="6">
        <f>IF((_xlfn.IFNA(IF(((INDEX(CommunicationPolicies!Q2:Q3, MATCH(O5,CommunicationPolicies!A2:A3, 0))="")=TRUE),  "",  INDEX(CommunicationPolicies!Q2:Q3, MATCH(O5,CommunicationPolicies!A2:A3, 0))), ""))="", "", ROUND((_xlfn.IFNA(IF(((INDEX(CommunicationPolicies!Q2:Q3, MATCH(O5,CommunicationPolicies!A2:A3, 0))="")=TRUE),  "",  INDEX(CommunicationPolicies!Q2:Q3, MATCH(O5,CommunicationPolicies!A2:A3, 0))), "")), 0))</f>
        <v>20</v>
      </c>
      <c r="W5" s="6">
        <f>IF((_xlfn.IFNA(IF(((INDEX(CommunicationPolicies!R2:R3, MATCH(O5,CommunicationPolicies!A2:A3, 0))="")=TRUE),  "",  INDEX(CommunicationPolicies!R2:R3, MATCH(O5,CommunicationPolicies!A2:A3, 0))), ""))="", "", ROUND((_xlfn.IFNA(IF(((INDEX(CommunicationPolicies!R2:R3, MATCH(O5,CommunicationPolicies!A2:A3, 0))="")=TRUE),  "",  INDEX(CommunicationPolicies!R2:R3, MATCH(O5,CommunicationPolicies!A2:A3, 0))), "")), 0))</f>
        <v>8</v>
      </c>
      <c r="X5" s="4" t="b">
        <f>V5 &lt;&gt; W5</f>
        <v>1</v>
      </c>
      <c r="Y5" s="4" t="b">
        <f>V5 &gt; W5</f>
        <v>1</v>
      </c>
      <c r="Z5" s="4" t="b">
        <f>IF(((Y5)=TRUE),  OR(((J5 &gt;= V5)=TRUE), ((J5 &lt; W5)=TRUE)),  AND(((J5 &gt;= V5)=TRUE), ((J5 &lt; W5)=TRUE)))</f>
        <v>0</v>
      </c>
      <c r="AA5" s="4" t="b">
        <f>AND(((S5)=TRUE), ((AND(((X5)=TRUE), ((Z5)=TRUE)))=TRUE))</f>
        <v>0</v>
      </c>
      <c r="AB5" s="4" t="str">
        <f>IF(((AA5)=TRUE),  O5,  "")</f>
      </c>
      <c r="AC5" s="4" t="b">
        <f>_xlfn.IFNA(IF(((INDEX(Recipients!M2:M6, MATCH(E5,Recipients!A2:A6, 0))="")=TRUE),  "",  INDEX(Recipients!M2:M6, MATCH(E5,Recipients!A2:A6, 0))), "")</f>
        <v>0</v>
      </c>
      <c r="AD5" s="4" t="b">
        <f>N5 &lt;&gt; ""</f>
        <v>0</v>
      </c>
      <c r="AE5" s="4" t="str">
        <f>_xlfn.IFNA(IF(((INDEX(Exceptions!E2:E5, MATCH(M5,Exceptions!A2:A5, 0))="")=TRUE),  "",  INDEX(Exceptions!E2:E5, MATCH(M5,Exceptions!A2:A5, 0))), "")</f>
        <v>Recipient lacks SMS consent</v>
      </c>
      <c r="AF5" s="4" t="b">
        <f>M5 = "exc-unreachable"</f>
        <v>0</v>
      </c>
      <c r="AG5" s="4" t="b">
        <f>AND(((AC5)=TRUE), ((AD5)=TRUE))</f>
        <v>0</v>
      </c>
      <c r="AH5" s="4" t="b">
        <f>AND(((AC5)=TRUE), ((NOT(((AF5)=TRUE)))=TRUE))</f>
        <v>0</v>
      </c>
      <c r="AI5" s="4" t="str">
        <f>IF(((OR(((AG5)=TRUE), ((AH5)=TRUE)))=TRUE),  C5,  "")</f>
      </c>
      <c r="AJ5" s="6">
        <f>IF((_xlfn.IFNA(IF(((INDEX(CommunicationPolicies!K2:K3, MATCH(O5,CommunicationPolicies!A2:A3, 0))="")=TRUE),  "",  INDEX(CommunicationPolicies!K2:K3, MATCH(O5,CommunicationPolicies!A2:A3, 0))), ""))="", "", ROUND((_xlfn.IFNA(IF(((INDEX(CommunicationPolicies!K2:K3, MATCH(O5,CommunicationPolicies!A2:A3, 0))="")=TRUE),  "",  INDEX(CommunicationPolicies!K2:K3, MATCH(O5,CommunicationPolicies!A2:A3, 0))), "")), 0))</f>
        <v>2555</v>
      </c>
      <c r="AK5" s="3" t="s">
        <v>95</v>
      </c>
      <c r="AL5" s="7">
        <f>_xlfn.IFNA(IF(((INDEX(EvaluationContexts!D2:D2, MATCH(AK5,EvaluationContexts!A2:A2, 0))="")=TRUE),  "",  INDEX(EvaluationContexts!D2:D2, MATCH(AK5,EvaluationContexts!A2:A2, 0))), "")</f>
        <v>46222.75</v>
      </c>
      <c r="AM5" s="6">
        <f>IF((IF(((OR((((AL5)="")=TRUE), (((I5)="")=TRUE)))=TRUE),  0,  (INT(AL5) - INT(I5))))="", "", ROUND((IF(((OR((((AL5)="")=TRUE), (((I5)="")=TRUE)))=TRUE),  0,  (INT(AL5) - INT(I5)))), 0))</f>
        <v>1</v>
      </c>
      <c r="AN5" s="4" t="b">
        <f>AM5 &lt;= AJ5</f>
        <v>1</v>
      </c>
      <c r="AO5" s="4" t="b">
        <f>H5 &lt;&gt; ""</f>
        <v>1</v>
      </c>
      <c r="AP5" s="4" t="b">
        <f>AND(((S5)=TRUE), ((AN5)=TRUE))</f>
        <v>0</v>
      </c>
      <c r="AQ5" s="4" t="b">
        <f>AND(((AP5)=TRUE), ((NOT(((AO5)=TRUE)))=TRUE))</f>
        <v>0</v>
      </c>
      <c r="AR5" s="4" t="str">
        <f>IF(((AQ5)=TRUE),  C5,  "")</f>
      </c>
      <c r="AS5" s="4" t="str">
        <f>_xlfn.IFNA(IF(((INDEX(StepExecutions!D2:D13, MATCH(D5,StepExecutions!A2:A13, 0))="")=TRUE),  "",  INDEX(StepExecutions!D2:D13, MATCH(D5,StepExecutions!A2:A13, 0))), "")</f>
        <v>policy-04</v>
      </c>
      <c r="AT5" s="4" t="b">
        <f>_xlfn.IFNA(IF(((INDEX(ProcedureExecutions!AC2:AC3, MATCH(C5,ProcedureExecutions!A2:A3, 0))="")=TRUE),  "",  INDEX(ProcedureExecutions!AC2:AC3, MATCH(C5,ProcedureExecutions!A2:A3, 0))), "")</f>
        <v>1</v>
      </c>
      <c r="AU5" s="4" t="b">
        <f>AND(((S5)=TRUE), ((NOT(((AT5)=TRUE)))=TRUE))</f>
        <v>0</v>
      </c>
      <c r="AV5" s="6">
        <f>IF((LEN(H5))="", "", ROUND((LEN(H5)), 0))</f>
        <v>107</v>
      </c>
      <c r="AW5" s="6">
        <f>IF((_xlfn.IFNA(IF(((INDEX(CommunicationPolicies!I2:I3, MATCH(O5,CommunicationPolicies!A2:A3, 0))="")=TRUE),  "",  INDEX(CommunicationPolicies!I2:I3, MATCH(O5,CommunicationPolicies!A2:A3, 0))), ""))="", "", ROUND((_xlfn.IFNA(IF(((INDEX(CommunicationPolicies!I2:I3, MATCH(O5,CommunicationPolicies!A2:A3, 0))="")=TRUE),  "",  INDEX(CommunicationPolicies!I2:I3, MATCH(O5,CommunicationPolicies!A2:A3, 0))), "")), 0))</f>
        <v>160</v>
      </c>
      <c r="AX5" s="6">
        <f>IF((IF(((AV5 = 0)=TRUE),  0,  IF(((AV5 &lt;= AW5)=TRUE),  1,  ROUNDUP(AV5 / AW5, 0))))="", "", ROUND((IF(((AV5 = 0)=TRUE),  0,  IF(((AV5 &lt;= AW5)=TRUE),  1,  ROUNDUP(AV5 / AW5, 0)))), 0))</f>
        <v>1</v>
      </c>
      <c r="AY5" s="6">
        <f>IF((_xlfn.IFNA(IF(((INDEX(CommunicationPolicies!J2:J3, MATCH(O5,CommunicationPolicies!A2:A3, 0))="")=TRUE),  "",  INDEX(CommunicationPolicies!J2:J3, MATCH(O5,CommunicationPolicies!A2:A3, 0))), ""))="", "", ROUND((_xlfn.IFNA(IF(((INDEX(CommunicationPolicies!J2:J3, MATCH(O5,CommunicationPolicies!A2:A3, 0))="")=TRUE),  "",  INDEX(CommunicationPolicies!J2:J3, MATCH(O5,CommunicationPolicies!A2:A3, 0))), "")), 0))</f>
        <v>3</v>
      </c>
      <c r="AZ5" s="4" t="b">
        <f>AND(((S5)=TRUE), ((AX5 &gt; AY5)=TRUE))</f>
        <v>0</v>
      </c>
      <c r="BA5" s="4" t="b">
        <f>_xlfn.IFNA(IF(((INDEX(MessageTemplates!N2:N3, MATCH(F5,MessageTemplates!A2:A3, 0))="")=TRUE),  "",  INDEX(MessageTemplates!N2:N3, MATCH(F5,MessageTemplates!A2:A3, 0))), "")</f>
        <v>1</v>
      </c>
      <c r="BB5" s="4" t="b">
        <f>AND(((S5)=TRUE), ((NOT(((BA5)=TRUE)))=TRUE))</f>
        <v>0</v>
      </c>
      <c r="BC5" s="4" t="str">
        <f>_xlfn.IFNA(IF(((INDEX(CommunicationPolicies!T2:T3, MATCH(O5,CommunicationPolicies!A2:A3, 0))="")=TRUE),  "",  INDEX(CommunicationPolicies!T2:T3, MATCH(O5,CommunicationPolicies!A2:A3, 0))), "")</f>
        <v>Reply STOP to opt out</v>
      </c>
      <c r="BD5" s="4" t="b">
        <f>BC5 &lt;&gt; ""</f>
        <v>1</v>
      </c>
      <c r="BE5" s="6">
        <f>IF((FIND(BC5, H5))="", "", ROUND((FIND(BC5, H5)), 0))</f>
        <v>86</v>
      </c>
      <c r="BF5" s="4" t="b">
        <f>BE5 &gt; 0</f>
        <v>1</v>
      </c>
      <c r="BG5" s="4" t="b">
        <f>AND(((BF5)=TRUE), ((BE5 &lt;= AW5)=TRUE))</f>
        <v>1</v>
      </c>
      <c r="BH5" s="4" t="b">
        <f>AND(((S5)=TRUE), ((AND(((BD5)=TRUE), ((NOT(((BF5)=TRUE)))=TRUE)))=TRUE))</f>
        <v>0</v>
      </c>
      <c r="BI5" s="4" t="b">
        <f>AND(((S5)=TRUE), ((AND(((BD5)=TRUE), ((AND(((BF5)=TRUE), ((NOT(((BG5)=TRUE)))=TRUE)))=TRUE)))=TRUE))</f>
        <v>0</v>
      </c>
      <c r="BJ5" s="4" t="b">
        <f>OR(((K5 = "Failed")=TRUE), ((K5 = "Bounced")=TRUE))</f>
        <v>0</v>
      </c>
      <c r="BK5" s="4" t="b">
        <f>K5 = "Suppressed"</f>
        <v>1</v>
      </c>
      <c r="BL5" s="4" t="b">
        <f>M5 &lt;&gt; ""</f>
        <v>1</v>
      </c>
      <c r="BM5" s="4" t="b">
        <f>AND(((BJ5)=TRUE), ((NOT(((BL5)=TRUE)))=TRUE))</f>
        <v>0</v>
      </c>
      <c r="BN5" s="4" t="str">
        <f>IF(((BM5)=TRUE),  C5,  "")</f>
      </c>
      <c r="BO5" s="4" t="str">
        <f>IF(((K5 = "Delivered")=TRUE),  C5,  "")</f>
      </c>
      <c r="BP5" s="4" t="b">
        <f>_xlfn.IFNA(IF(((INDEX(MessageTemplates!T2:T3, MATCH(F5,MessageTemplates!A2:A3, 0))="")=TRUE),  "",  INDEX(MessageTemplates!T2:T3, MATCH(F5,MessageTemplates!A2:A3, 0))), "")</f>
        <v>1</v>
      </c>
      <c r="BQ5" s="4" t="b">
        <f>AND(((S5)=TRUE), ((NOT(((BP5)=TRUE)))=TRUE))</f>
        <v>0</v>
      </c>
      <c r="BR5" s="4" t="str">
        <f>IF(((BQ5)=TRUE),  F5,  "")</f>
      </c>
      <c r="BS5" s="4" t="b">
        <f>OR(((J5 &lt; 8)=TRUE), ((J5 &gt; 18)=TRUE))</f>
        <v>0</v>
      </c>
      <c r="BT5" s="4" t="b">
        <f>AND(((S5)=TRUE), ((NOT(((AD5)=TRUE)))=TRUE))</f>
        <v>0</v>
      </c>
      <c r="BU5" s="4" t="b">
        <f>AND(((BT5)=TRUE), ((BS5)=TRUE))</f>
        <v>0</v>
      </c>
      <c r="BV5" s="4" t="b">
        <f>AND(((BT5)=TRUE), ((NOT(((BS5)=TRUE)))=TRUE))</f>
        <v>0</v>
      </c>
      <c r="BW5" s="4" t="str">
        <f>IF(((BT5)=TRUE),  F5,  "")</f>
      </c>
      <c r="BX5" s="4" t="str">
        <f>IF(((S5)=TRUE),  F5,  "")</f>
      </c>
      <c r="BY5" s="3"/>
      <c r="BZ5" s="3"/>
      <c r="CA5" s="5"/>
      <c r="CB5" s="4" t="b">
        <f>AND(((CA5 &lt;&gt; "")=TRUE), ((I5 &gt; CA5)=TRUE))</f>
        <v>0</v>
      </c>
      <c r="CC5" s="4" t="b">
        <f>AND(((BY5 &lt;&gt; "")=TRUE), ((CA5 &lt;&gt; "")=TRUE))</f>
        <v>0</v>
      </c>
      <c r="CD5" s="4" t="b">
        <f>NOT(((CC5)=TRUE))</f>
        <v>1</v>
      </c>
      <c r="CE5" s="7">
        <f>_xlfn.IFNA(IF(((INDEX(MessageTemplates!Y2:Y3, MATCH(F5,MessageTemplates!A2:A3, 0))="")=TRUE),  "",  INDEX(MessageTemplates!Y2:Y3, MATCH(F5,MessageTemplates!A2:A3, 0))), "")</f>
        <v>46222.625</v>
      </c>
      <c r="CF5" s="4" t="b">
        <f>AND(((CE5 &lt;&gt; "")=TRUE), ((CE5 &gt; I5)=TRUE))</f>
        <v>1</v>
      </c>
      <c r="CG5" s="4" t="b">
        <f>AND(((CD5)=TRUE), ((AND(((CF5)=TRUE), ((BA5)=TRUE)))=TRUE))</f>
        <v>1</v>
      </c>
      <c r="CH5" s="5"/>
      <c r="CI5" s="8"/>
      <c r="CJ5" s="4" t="b">
        <f>CI5 &gt; 0</f>
        <v>0</v>
      </c>
      <c r="CK5" s="4" t="b">
        <f>AND(((S5)=TRUE), ((AND(((AP5)=TRUE), ((NOT(((AD5)=TRUE)))=TRUE)))=TRUE))</f>
        <v>0</v>
      </c>
      <c r="CL5" s="6">
        <f>IF((IF(((CK5)=TRUE),  IF(((OR((((AL5)="")=TRUE), (((I5)="")=TRUE)))=TRUE),  0,  (INT(AL5) - INT(I5))),  0))="", "", ROUND((IF(((CK5)=TRUE),  IF(((OR((((AL5)="")=TRUE), (((I5)="")=TRUE)))=TRUE),  0,  (INT(AL5) - INT(I5))),  0)), 0))</f>
        <v>0</v>
      </c>
      <c r="CM5" s="4" t="b">
        <f>AND(((CK5)=TRUE), ((AND(((CL5 &gt; 7)=TRUE), ((NOT(((CJ5)=TRUE)))=TRUE)))=TRUE))</f>
        <v>0</v>
      </c>
      <c r="CN5" s="4" t="b">
        <f>AND(((CK5)=TRUE), ((CI5 &gt;= 3)=TRUE))</f>
        <v>0</v>
      </c>
      <c r="CO5" s="4" t="b">
        <f>AND(((CN5)=TRUE), ((NOT(((AF5)=TRUE)))=TRUE))</f>
        <v>0</v>
      </c>
      <c r="CP5" s="3" t="s">
        <v>8303</v>
      </c>
    </row>
    <row r="6">
      <c r="A6" s="3" t="s">
        <v>8310</v>
      </c>
      <c r="B6" s="4" t="str">
        <f>E6 &amp; " / " &amp; F6 &amp; " / " &amp; IF(((I6="")=TRUE),  "",  TEXT(I6, "yyyy-mm-dd\Thh:mm:ss")&amp;"+00:00")</f>
        <v>rec-001 / tmpl-policy-sms / 2026-07-19T02:00:00+00:00</v>
      </c>
      <c r="C6" s="3" t="s">
        <v>1344</v>
      </c>
      <c r="D6" s="3" t="s">
        <v>1464</v>
      </c>
      <c r="E6" s="3" t="s">
        <v>8277</v>
      </c>
      <c r="F6" s="3" t="s">
        <v>1750</v>
      </c>
      <c r="G6" s="3" t="s">
        <v>178</v>
      </c>
      <c r="H6" s="3" t="s">
        <v>8311</v>
      </c>
      <c r="I6" s="5">
        <v>46222.083333333336</v>
      </c>
      <c r="J6" s="8">
        <v>21</v>
      </c>
      <c r="K6" s="3" t="s">
        <v>8302</v>
      </c>
      <c r="L6" s="3" t="s">
        <v>8312</v>
      </c>
      <c r="M6" s="3"/>
      <c r="N6" s="5"/>
      <c r="O6" s="4" t="str">
        <f>_xlfn.IFNA(IF(((INDEX(MessageTemplates!C2:C3, MATCH(F6,MessageTemplates!A2:A3, 0))="")=TRUE),  "",  INDEX(MessageTemplates!C2:C3, MATCH(F6,MessageTemplates!A2:A3, 0))), "")</f>
        <v>comm-sms-policy</v>
      </c>
      <c r="P6" s="4" t="str">
        <f>_xlfn.IFNA(IF(((INDEX(CommunicationPolicies!D2:D3, MATCH(O6,CommunicationPolicies!A2:A3, 0))="")=TRUE),  "",  INDEX(CommunicationPolicies!D2:D3, MATCH(O6,CommunicationPolicies!A2:A3, 0))), "")</f>
        <v>SMS</v>
      </c>
      <c r="Q6" s="4" t="b">
        <f>_xlfn.IFNA(IF(((INDEX(CommunicationPolicies!F2:F3, MATCH(O6,CommunicationPolicies!A2:A3, 0))="")=TRUE),  "",  INDEX(CommunicationPolicies!F2:F3, MATCH(O6,CommunicationPolicies!A2:A3, 0))), "")</f>
        <v>1</v>
      </c>
      <c r="R6" s="4" t="b">
        <f>_xlfn.IFNA(IF(((INDEX(Recipients!J2:J6, MATCH(E6,Recipients!A2:A6, 0))="")=TRUE),  "",  INDEX(Recipients!J2:J6, MATCH(E6,Recipients!A2:A6, 0))), "")</f>
        <v>1</v>
      </c>
      <c r="S6" s="4" t="b">
        <f>OR(((K6 = "Sent")=TRUE), ((OR(((K6 = "Delivered")=TRUE), ((K6 = "Bounced")=TRUE)))=TRUE))</f>
        <v>1</v>
      </c>
      <c r="T6" s="4" t="b">
        <f>AND(((S6)=TRUE), ((AND(((Q6)=TRUE), ((NOT(((R6)=TRUE)))=TRUE)))=TRUE))</f>
        <v>0</v>
      </c>
      <c r="U6" s="4" t="str">
        <f>IF(((T6)=TRUE),  O6,  "")</f>
      </c>
      <c r="V6" s="6">
        <f>IF((_xlfn.IFNA(IF(((INDEX(CommunicationPolicies!Q2:Q3, MATCH(O6,CommunicationPolicies!A2:A3, 0))="")=TRUE),  "",  INDEX(CommunicationPolicies!Q2:Q3, MATCH(O6,CommunicationPolicies!A2:A3, 0))), ""))="", "", ROUND((_xlfn.IFNA(IF(((INDEX(CommunicationPolicies!Q2:Q3, MATCH(O6,CommunicationPolicies!A2:A3, 0))="")=TRUE),  "",  INDEX(CommunicationPolicies!Q2:Q3, MATCH(O6,CommunicationPolicies!A2:A3, 0))), "")), 0))</f>
        <v>20</v>
      </c>
      <c r="W6" s="6">
        <f>IF((_xlfn.IFNA(IF(((INDEX(CommunicationPolicies!R2:R3, MATCH(O6,CommunicationPolicies!A2:A3, 0))="")=TRUE),  "",  INDEX(CommunicationPolicies!R2:R3, MATCH(O6,CommunicationPolicies!A2:A3, 0))), ""))="", "", ROUND((_xlfn.IFNA(IF(((INDEX(CommunicationPolicies!R2:R3, MATCH(O6,CommunicationPolicies!A2:A3, 0))="")=TRUE),  "",  INDEX(CommunicationPolicies!R2:R3, MATCH(O6,CommunicationPolicies!A2:A3, 0))), "")), 0))</f>
        <v>8</v>
      </c>
      <c r="X6" s="4" t="b">
        <f>V6 &lt;&gt; W6</f>
        <v>1</v>
      </c>
      <c r="Y6" s="4" t="b">
        <f>V6 &gt; W6</f>
        <v>1</v>
      </c>
      <c r="Z6" s="4" t="b">
        <f>IF(((Y6)=TRUE),  OR(((J6 &gt;= V6)=TRUE), ((J6 &lt; W6)=TRUE)),  AND(((J6 &gt;= V6)=TRUE), ((J6 &lt; W6)=TRUE)))</f>
        <v>1</v>
      </c>
      <c r="AA6" s="4" t="b">
        <f>AND(((S6)=TRUE), ((AND(((X6)=TRUE), ((Z6)=TRUE)))=TRUE))</f>
        <v>1</v>
      </c>
      <c r="AB6" s="4" t="str">
        <f>IF(((AA6)=TRUE),  O6,  "")</f>
        <v>comm-sms-policy</v>
      </c>
      <c r="AC6" s="4" t="b">
        <f>_xlfn.IFNA(IF(((INDEX(Recipients!M2:M6, MATCH(E6,Recipients!A2:A6, 0))="")=TRUE),  "",  INDEX(Recipients!M2:M6, MATCH(E6,Recipients!A2:A6, 0))), "")</f>
        <v>0</v>
      </c>
      <c r="AD6" s="4" t="b">
        <f>N6 &lt;&gt; ""</f>
        <v>0</v>
      </c>
      <c r="AE6" s="4" t="str">
        <f>_xlfn.IFNA(IF(((INDEX(Exceptions!E2:E5, MATCH(M6,Exceptions!A2:A5, 0))="")=TRUE),  "",  INDEX(Exceptions!E2:E5, MATCH(M6,Exceptions!A2:A5, 0))), "")</f>
      </c>
      <c r="AF6" s="4" t="b">
        <f>M6 = "exc-unreachable"</f>
        <v>0</v>
      </c>
      <c r="AG6" s="4" t="b">
        <f>AND(((AC6)=TRUE), ((AD6)=TRUE))</f>
        <v>0</v>
      </c>
      <c r="AH6" s="4" t="b">
        <f>AND(((AC6)=TRUE), ((NOT(((AF6)=TRUE)))=TRUE))</f>
        <v>0</v>
      </c>
      <c r="AI6" s="4" t="str">
        <f>IF(((OR(((AG6)=TRUE), ((AH6)=TRUE)))=TRUE),  C6,  "")</f>
      </c>
      <c r="AJ6" s="6">
        <f>IF((_xlfn.IFNA(IF(((INDEX(CommunicationPolicies!K2:K3, MATCH(O6,CommunicationPolicies!A2:A3, 0))="")=TRUE),  "",  INDEX(CommunicationPolicies!K2:K3, MATCH(O6,CommunicationPolicies!A2:A3, 0))), ""))="", "", ROUND((_xlfn.IFNA(IF(((INDEX(CommunicationPolicies!K2:K3, MATCH(O6,CommunicationPolicies!A2:A3, 0))="")=TRUE),  "",  INDEX(CommunicationPolicies!K2:K3, MATCH(O6,CommunicationPolicies!A2:A3, 0))), "")), 0))</f>
        <v>2555</v>
      </c>
      <c r="AK6" s="3" t="s">
        <v>95</v>
      </c>
      <c r="AL6" s="7">
        <f>_xlfn.IFNA(IF(((INDEX(EvaluationContexts!D2:D2, MATCH(AK6,EvaluationContexts!A2:A2, 0))="")=TRUE),  "",  INDEX(EvaluationContexts!D2:D2, MATCH(AK6,EvaluationContexts!A2:A2, 0))), "")</f>
        <v>46222.75</v>
      </c>
      <c r="AM6" s="6">
        <f>IF((IF(((OR((((AL6)="")=TRUE), (((I6)="")=TRUE)))=TRUE),  0,  (INT(AL6) - INT(I6))))="", "", ROUND((IF(((OR((((AL6)="")=TRUE), (((I6)="")=TRUE)))=TRUE),  0,  (INT(AL6) - INT(I6)))), 0))</f>
        <v>0</v>
      </c>
      <c r="AN6" s="4" t="b">
        <f>AM6 &lt;= AJ6</f>
        <v>1</v>
      </c>
      <c r="AO6" s="4" t="b">
        <f>H6 &lt;&gt; ""</f>
        <v>1</v>
      </c>
      <c r="AP6" s="4" t="b">
        <f>AND(((S6)=TRUE), ((AN6)=TRUE))</f>
        <v>1</v>
      </c>
      <c r="AQ6" s="4" t="b">
        <f>AND(((AP6)=TRUE), ((NOT(((AO6)=TRUE)))=TRUE))</f>
        <v>0</v>
      </c>
      <c r="AR6" s="4" t="str">
        <f>IF(((AQ6)=TRUE),  C6,  "")</f>
      </c>
      <c r="AS6" s="4" t="str">
        <f>_xlfn.IFNA(IF(((INDEX(StepExecutions!D2:D13, MATCH(D6,StepExecutions!A2:A13, 0))="")=TRUE),  "",  INDEX(StepExecutions!D2:D13, MATCH(D6,StepExecutions!A2:A13, 0))), "")</f>
        <v>policy-04</v>
      </c>
      <c r="AT6" s="4" t="b">
        <f>_xlfn.IFNA(IF(((INDEX(ProcedureExecutions!AC2:AC3, MATCH(C6,ProcedureExecutions!A2:A3, 0))="")=TRUE),  "",  INDEX(ProcedureExecutions!AC2:AC3, MATCH(C6,ProcedureExecutions!A2:A3, 0))), "")</f>
        <v>1</v>
      </c>
      <c r="AU6" s="4" t="b">
        <f>AND(((S6)=TRUE), ((NOT(((AT6)=TRUE)))=TRUE))</f>
        <v>0</v>
      </c>
      <c r="AV6" s="6">
        <f>IF((LEN(H6))="", "", ROUND((LEN(H6)), 0))</f>
        <v>84</v>
      </c>
      <c r="AW6" s="6">
        <f>IF((_xlfn.IFNA(IF(((INDEX(CommunicationPolicies!I2:I3, MATCH(O6,CommunicationPolicies!A2:A3, 0))="")=TRUE),  "",  INDEX(CommunicationPolicies!I2:I3, MATCH(O6,CommunicationPolicies!A2:A3, 0))), ""))="", "", ROUND((_xlfn.IFNA(IF(((INDEX(CommunicationPolicies!I2:I3, MATCH(O6,CommunicationPolicies!A2:A3, 0))="")=TRUE),  "",  INDEX(CommunicationPolicies!I2:I3, MATCH(O6,CommunicationPolicies!A2:A3, 0))), "")), 0))</f>
        <v>160</v>
      </c>
      <c r="AX6" s="6">
        <f>IF((IF(((AV6 = 0)=TRUE),  0,  IF(((AV6 &lt;= AW6)=TRUE),  1,  ROUNDUP(AV6 / AW6, 0))))="", "", ROUND((IF(((AV6 = 0)=TRUE),  0,  IF(((AV6 &lt;= AW6)=TRUE),  1,  ROUNDUP(AV6 / AW6, 0)))), 0))</f>
        <v>1</v>
      </c>
      <c r="AY6" s="6">
        <f>IF((_xlfn.IFNA(IF(((INDEX(CommunicationPolicies!J2:J3, MATCH(O6,CommunicationPolicies!A2:A3, 0))="")=TRUE),  "",  INDEX(CommunicationPolicies!J2:J3, MATCH(O6,CommunicationPolicies!A2:A3, 0))), ""))="", "", ROUND((_xlfn.IFNA(IF(((INDEX(CommunicationPolicies!J2:J3, MATCH(O6,CommunicationPolicies!A2:A3, 0))="")=TRUE),  "",  INDEX(CommunicationPolicies!J2:J3, MATCH(O6,CommunicationPolicies!A2:A3, 0))), "")), 0))</f>
        <v>3</v>
      </c>
      <c r="AZ6" s="4" t="b">
        <f>AND(((S6)=TRUE), ((AX6 &gt; AY6)=TRUE))</f>
        <v>0</v>
      </c>
      <c r="BA6" s="4" t="b">
        <f>_xlfn.IFNA(IF(((INDEX(MessageTemplates!N2:N3, MATCH(F6,MessageTemplates!A2:A3, 0))="")=TRUE),  "",  INDEX(MessageTemplates!N2:N3, MATCH(F6,MessageTemplates!A2:A3, 0))), "")</f>
        <v>1</v>
      </c>
      <c r="BB6" s="4" t="b">
        <f>AND(((S6)=TRUE), ((NOT(((BA6)=TRUE)))=TRUE))</f>
        <v>0</v>
      </c>
      <c r="BC6" s="4" t="str">
        <f>_xlfn.IFNA(IF(((INDEX(CommunicationPolicies!T2:T3, MATCH(O6,CommunicationPolicies!A2:A3, 0))="")=TRUE),  "",  INDEX(CommunicationPolicies!T2:T3, MATCH(O6,CommunicationPolicies!A2:A3, 0))), "")</f>
        <v>Reply STOP to opt out</v>
      </c>
      <c r="BD6" s="4" t="b">
        <f>BC6 &lt;&gt; ""</f>
        <v>1</v>
      </c>
      <c r="BE6" s="6" t="e">
        <f>IF((FIND(BC6, H6))="", "", ROUND((FIND(BC6, H6)), 0))</f>
        <v>#VALUE!</v>
      </c>
      <c r="BF6" s="4" t="e">
        <f>BE6 &gt; 0</f>
        <v>#VALUE!</v>
      </c>
      <c r="BG6" s="4" t="e">
        <f>AND(((BF6)=TRUE), ((BE6 &lt;= AW6)=TRUE))</f>
        <v>#VALUE!</v>
      </c>
      <c r="BH6" s="4" t="e">
        <f>AND(((S6)=TRUE), ((AND(((BD6)=TRUE), ((NOT(((BF6)=TRUE)))=TRUE)))=TRUE))</f>
        <v>#VALUE!</v>
      </c>
      <c r="BI6" s="4" t="e">
        <f>AND(((S6)=TRUE), ((AND(((BD6)=TRUE), ((AND(((BF6)=TRUE), ((NOT(((BG6)=TRUE)))=TRUE)))=TRUE)))=TRUE))</f>
        <v>#VALUE!</v>
      </c>
      <c r="BJ6" s="4" t="b">
        <f>OR(((K6 = "Failed")=TRUE), ((K6 = "Bounced")=TRUE))</f>
        <v>0</v>
      </c>
      <c r="BK6" s="4" t="b">
        <f>K6 = "Suppressed"</f>
        <v>0</v>
      </c>
      <c r="BL6" s="4" t="b">
        <f>M6 &lt;&gt; ""</f>
        <v>0</v>
      </c>
      <c r="BM6" s="4" t="b">
        <f>AND(((BJ6)=TRUE), ((NOT(((BL6)=TRUE)))=TRUE))</f>
        <v>0</v>
      </c>
      <c r="BN6" s="4" t="str">
        <f>IF(((BM6)=TRUE),  C6,  "")</f>
      </c>
      <c r="BO6" s="4" t="str">
        <f>IF(((K6 = "Delivered")=TRUE),  C6,  "")</f>
        <v>exec-policy-hr4821</v>
      </c>
      <c r="BP6" s="4" t="b">
        <f>_xlfn.IFNA(IF(((INDEX(MessageTemplates!T2:T3, MATCH(F6,MessageTemplates!A2:A3, 0))="")=TRUE),  "",  INDEX(MessageTemplates!T2:T3, MATCH(F6,MessageTemplates!A2:A3, 0))), "")</f>
        <v>1</v>
      </c>
      <c r="BQ6" s="4" t="b">
        <f>AND(((S6)=TRUE), ((NOT(((BP6)=TRUE)))=TRUE))</f>
        <v>0</v>
      </c>
      <c r="BR6" s="4" t="str">
        <f>IF(((BQ6)=TRUE),  F6,  "")</f>
      </c>
      <c r="BS6" s="4" t="b">
        <f>OR(((J6 &lt; 8)=TRUE), ((J6 &gt; 18)=TRUE))</f>
        <v>1</v>
      </c>
      <c r="BT6" s="4" t="b">
        <f>AND(((S6)=TRUE), ((NOT(((AD6)=TRUE)))=TRUE))</f>
        <v>1</v>
      </c>
      <c r="BU6" s="4" t="b">
        <f>AND(((BT6)=TRUE), ((BS6)=TRUE))</f>
        <v>1</v>
      </c>
      <c r="BV6" s="4" t="b">
        <f>AND(((BT6)=TRUE), ((NOT(((BS6)=TRUE)))=TRUE))</f>
        <v>0</v>
      </c>
      <c r="BW6" s="4" t="str">
        <f>IF(((BT6)=TRUE),  F6,  "")</f>
        <v>tmpl-policy-sms</v>
      </c>
      <c r="BX6" s="4" t="str">
        <f>IF(((S6)=TRUE),  F6,  "")</f>
        <v>tmpl-policy-sms</v>
      </c>
      <c r="BY6" s="3"/>
      <c r="BZ6" s="3"/>
      <c r="CA6" s="5"/>
      <c r="CB6" s="4" t="b">
        <f>AND(((CA6 &lt;&gt; "")=TRUE), ((I6 &gt; CA6)=TRUE))</f>
        <v>0</v>
      </c>
      <c r="CC6" s="4" t="b">
        <f>AND(((BY6 &lt;&gt; "")=TRUE), ((CA6 &lt;&gt; "")=TRUE))</f>
        <v>0</v>
      </c>
      <c r="CD6" s="4" t="b">
        <f>NOT(((CC6)=TRUE))</f>
        <v>1</v>
      </c>
      <c r="CE6" s="7">
        <f>_xlfn.IFNA(IF(((INDEX(MessageTemplates!Y2:Y3, MATCH(F6,MessageTemplates!A2:A3, 0))="")=TRUE),  "",  INDEX(MessageTemplates!Y2:Y3, MATCH(F6,MessageTemplates!A2:A3, 0))), "")</f>
        <v>46222.625</v>
      </c>
      <c r="CF6" s="4" t="b">
        <f>AND(((CE6 &lt;&gt; "")=TRUE), ((CE6 &gt; I6)=TRUE))</f>
        <v>1</v>
      </c>
      <c r="CG6" s="4" t="b">
        <f>AND(((CD6)=TRUE), ((AND(((CF6)=TRUE), ((BA6)=TRUE)))=TRUE))</f>
        <v>1</v>
      </c>
      <c r="CH6" s="5"/>
      <c r="CI6" s="8"/>
      <c r="CJ6" s="4" t="b">
        <f>CI6 &gt; 0</f>
        <v>0</v>
      </c>
      <c r="CK6" s="4" t="b">
        <f>AND(((S6)=TRUE), ((AND(((AP6)=TRUE), ((NOT(((AD6)=TRUE)))=TRUE)))=TRUE))</f>
        <v>1</v>
      </c>
      <c r="CL6" s="6">
        <f>IF((IF(((CK6)=TRUE),  IF(((OR((((AL6)="")=TRUE), (((I6)="")=TRUE)))=TRUE),  0,  (INT(AL6) - INT(I6))),  0))="", "", ROUND((IF(((CK6)=TRUE),  IF(((OR((((AL6)="")=TRUE), (((I6)="")=TRUE)))=TRUE),  0,  (INT(AL6) - INT(I6))),  0)), 0))</f>
        <v>0</v>
      </c>
      <c r="CM6" s="4" t="b">
        <f>AND(((CK6)=TRUE), ((AND(((CL6 &gt; 7)=TRUE), ((NOT(((CJ6)=TRUE)))=TRUE)))=TRUE))</f>
        <v>0</v>
      </c>
      <c r="CN6" s="4" t="b">
        <f>AND(((CK6)=TRUE), ((CI6 &gt;= 3)=TRUE))</f>
        <v>0</v>
      </c>
      <c r="CO6" s="4" t="b">
        <f>AND(((CN6)=TRUE), ((NOT(((AF6)=TRUE)))=TRUE))</f>
        <v>0</v>
      </c>
      <c r="CP6" s="3" t="s">
        <v>8303</v>
      </c>
    </row>
    <row r="7">
      <c r="A7" s="3" t="s">
        <v>8313</v>
      </c>
      <c r="B7" s="4" t="str">
        <f>E7 &amp; " / " &amp; F7 &amp; " / " &amp; IF(((I7="")=TRUE),  "",  TEXT(I7, "yyyy-mm-dd\Thh:mm:ss")&amp;"+00:00")</f>
        <v>rec-005 / tmpl-policy-sms / 2026-07-18T19:06:00+00:00</v>
      </c>
      <c r="C7" s="3" t="s">
        <v>1344</v>
      </c>
      <c r="D7" s="3" t="s">
        <v>1464</v>
      </c>
      <c r="E7" s="3" t="s">
        <v>8296</v>
      </c>
      <c r="F7" s="3" t="s">
        <v>1750</v>
      </c>
      <c r="G7" s="3" t="s">
        <v>178</v>
      </c>
      <c r="H7" s="3" t="s">
        <v>8301</v>
      </c>
      <c r="I7" s="5">
        <v>46221.79583333333</v>
      </c>
      <c r="J7" s="8">
        <v>14</v>
      </c>
      <c r="K7" s="3" t="s">
        <v>8314</v>
      </c>
      <c r="L7" s="3" t="s">
        <v>8315</v>
      </c>
      <c r="M7" s="3" t="s">
        <v>1016</v>
      </c>
      <c r="N7" s="5"/>
      <c r="O7" s="4" t="str">
        <f>_xlfn.IFNA(IF(((INDEX(MessageTemplates!C2:C3, MATCH(F7,MessageTemplates!A2:A3, 0))="")=TRUE),  "",  INDEX(MessageTemplates!C2:C3, MATCH(F7,MessageTemplates!A2:A3, 0))), "")</f>
        <v>comm-sms-policy</v>
      </c>
      <c r="P7" s="4" t="str">
        <f>_xlfn.IFNA(IF(((INDEX(CommunicationPolicies!D2:D3, MATCH(O7,CommunicationPolicies!A2:A3, 0))="")=TRUE),  "",  INDEX(CommunicationPolicies!D2:D3, MATCH(O7,CommunicationPolicies!A2:A3, 0))), "")</f>
        <v>SMS</v>
      </c>
      <c r="Q7" s="4" t="b">
        <f>_xlfn.IFNA(IF(((INDEX(CommunicationPolicies!F2:F3, MATCH(O7,CommunicationPolicies!A2:A3, 0))="")=TRUE),  "",  INDEX(CommunicationPolicies!F2:F3, MATCH(O7,CommunicationPolicies!A2:A3, 0))), "")</f>
        <v>1</v>
      </c>
      <c r="R7" s="4" t="b">
        <f>_xlfn.IFNA(IF(((INDEX(Recipients!J2:J6, MATCH(E7,Recipients!A2:A6, 0))="")=TRUE),  "",  INDEX(Recipients!J2:J6, MATCH(E7,Recipients!A2:A6, 0))), "")</f>
        <v>0</v>
      </c>
      <c r="S7" s="4" t="b">
        <f>OR(((K7 = "Sent")=TRUE), ((OR(((K7 = "Delivered")=TRUE), ((K7 = "Bounced")=TRUE)))=TRUE))</f>
        <v>0</v>
      </c>
      <c r="T7" s="4" t="b">
        <f>AND(((S7)=TRUE), ((AND(((Q7)=TRUE), ((NOT(((R7)=TRUE)))=TRUE)))=TRUE))</f>
        <v>0</v>
      </c>
      <c r="U7" s="4" t="str">
        <f>IF(((T7)=TRUE),  O7,  "")</f>
      </c>
      <c r="V7" s="6">
        <f>IF((_xlfn.IFNA(IF(((INDEX(CommunicationPolicies!Q2:Q3, MATCH(O7,CommunicationPolicies!A2:A3, 0))="")=TRUE),  "",  INDEX(CommunicationPolicies!Q2:Q3, MATCH(O7,CommunicationPolicies!A2:A3, 0))), ""))="", "", ROUND((_xlfn.IFNA(IF(((INDEX(CommunicationPolicies!Q2:Q3, MATCH(O7,CommunicationPolicies!A2:A3, 0))="")=TRUE),  "",  INDEX(CommunicationPolicies!Q2:Q3, MATCH(O7,CommunicationPolicies!A2:A3, 0))), "")), 0))</f>
        <v>20</v>
      </c>
      <c r="W7" s="6">
        <f>IF((_xlfn.IFNA(IF(((INDEX(CommunicationPolicies!R2:R3, MATCH(O7,CommunicationPolicies!A2:A3, 0))="")=TRUE),  "",  INDEX(CommunicationPolicies!R2:R3, MATCH(O7,CommunicationPolicies!A2:A3, 0))), ""))="", "", ROUND((_xlfn.IFNA(IF(((INDEX(CommunicationPolicies!R2:R3, MATCH(O7,CommunicationPolicies!A2:A3, 0))="")=TRUE),  "",  INDEX(CommunicationPolicies!R2:R3, MATCH(O7,CommunicationPolicies!A2:A3, 0))), "")), 0))</f>
        <v>8</v>
      </c>
      <c r="X7" s="4" t="b">
        <f>V7 &lt;&gt; W7</f>
        <v>1</v>
      </c>
      <c r="Y7" s="4" t="b">
        <f>V7 &gt; W7</f>
        <v>1</v>
      </c>
      <c r="Z7" s="4" t="b">
        <f>IF(((Y7)=TRUE),  OR(((J7 &gt;= V7)=TRUE), ((J7 &lt; W7)=TRUE)),  AND(((J7 &gt;= V7)=TRUE), ((J7 &lt; W7)=TRUE)))</f>
        <v>0</v>
      </c>
      <c r="AA7" s="4" t="b">
        <f>AND(((S7)=TRUE), ((AND(((X7)=TRUE), ((Z7)=TRUE)))=TRUE))</f>
        <v>0</v>
      </c>
      <c r="AB7" s="4" t="str">
        <f>IF(((AA7)=TRUE),  O7,  "")</f>
      </c>
      <c r="AC7" s="4" t="b">
        <f>_xlfn.IFNA(IF(((INDEX(Recipients!M2:M6, MATCH(E7,Recipients!A2:A6, 0))="")=TRUE),  "",  INDEX(Recipients!M2:M6, MATCH(E7,Recipients!A2:A6, 0))), "")</f>
        <v>0</v>
      </c>
      <c r="AD7" s="4" t="b">
        <f>N7 &lt;&gt; ""</f>
        <v>0</v>
      </c>
      <c r="AE7" s="4" t="str">
        <f>_xlfn.IFNA(IF(((INDEX(Exceptions!E2:E5, MATCH(M7,Exceptions!A2:A5, 0))="")=TRUE),  "",  INDEX(Exceptions!E2:E5, MATCH(M7,Exceptions!A2:A5, 0))), "")</f>
        <v>Recipient unreachable</v>
      </c>
      <c r="AF7" s="4" t="b">
        <f>M7 = "exc-unreachable"</f>
        <v>1</v>
      </c>
      <c r="AG7" s="4" t="b">
        <f>AND(((AC7)=TRUE), ((AD7)=TRUE))</f>
        <v>0</v>
      </c>
      <c r="AH7" s="4" t="b">
        <f>AND(((AC7)=TRUE), ((NOT(((AF7)=TRUE)))=TRUE))</f>
        <v>0</v>
      </c>
      <c r="AI7" s="4" t="str">
        <f>IF(((OR(((AG7)=TRUE), ((AH7)=TRUE)))=TRUE),  C7,  "")</f>
      </c>
      <c r="AJ7" s="6">
        <f>IF((_xlfn.IFNA(IF(((INDEX(CommunicationPolicies!K2:K3, MATCH(O7,CommunicationPolicies!A2:A3, 0))="")=TRUE),  "",  INDEX(CommunicationPolicies!K2:K3, MATCH(O7,CommunicationPolicies!A2:A3, 0))), ""))="", "", ROUND((_xlfn.IFNA(IF(((INDEX(CommunicationPolicies!K2:K3, MATCH(O7,CommunicationPolicies!A2:A3, 0))="")=TRUE),  "",  INDEX(CommunicationPolicies!K2:K3, MATCH(O7,CommunicationPolicies!A2:A3, 0))), "")), 0))</f>
        <v>2555</v>
      </c>
      <c r="AK7" s="3" t="s">
        <v>95</v>
      </c>
      <c r="AL7" s="7">
        <f>_xlfn.IFNA(IF(((INDEX(EvaluationContexts!D2:D2, MATCH(AK7,EvaluationContexts!A2:A2, 0))="")=TRUE),  "",  INDEX(EvaluationContexts!D2:D2, MATCH(AK7,EvaluationContexts!A2:A2, 0))), "")</f>
        <v>46222.75</v>
      </c>
      <c r="AM7" s="6">
        <f>IF((IF(((OR((((AL7)="")=TRUE), (((I7)="")=TRUE)))=TRUE),  0,  (INT(AL7) - INT(I7))))="", "", ROUND((IF(((OR((((AL7)="")=TRUE), (((I7)="")=TRUE)))=TRUE),  0,  (INT(AL7) - INT(I7)))), 0))</f>
        <v>1</v>
      </c>
      <c r="AN7" s="4" t="b">
        <f>AM7 &lt;= AJ7</f>
        <v>1</v>
      </c>
      <c r="AO7" s="4" t="b">
        <f>H7 &lt;&gt; ""</f>
        <v>1</v>
      </c>
      <c r="AP7" s="4" t="b">
        <f>AND(((S7)=TRUE), ((AN7)=TRUE))</f>
        <v>0</v>
      </c>
      <c r="AQ7" s="4" t="b">
        <f>AND(((AP7)=TRUE), ((NOT(((AO7)=TRUE)))=TRUE))</f>
        <v>0</v>
      </c>
      <c r="AR7" s="4" t="str">
        <f>IF(((AQ7)=TRUE),  C7,  "")</f>
      </c>
      <c r="AS7" s="4" t="str">
        <f>_xlfn.IFNA(IF(((INDEX(StepExecutions!D2:D13, MATCH(D7,StepExecutions!A2:A13, 0))="")=TRUE),  "",  INDEX(StepExecutions!D2:D13, MATCH(D7,StepExecutions!A2:A13, 0))), "")</f>
        <v>policy-04</v>
      </c>
      <c r="AT7" s="4" t="b">
        <f>_xlfn.IFNA(IF(((INDEX(ProcedureExecutions!AC2:AC3, MATCH(C7,ProcedureExecutions!A2:A3, 0))="")=TRUE),  "",  INDEX(ProcedureExecutions!AC2:AC3, MATCH(C7,ProcedureExecutions!A2:A3, 0))), "")</f>
        <v>1</v>
      </c>
      <c r="AU7" s="4" t="b">
        <f>AND(((S7)=TRUE), ((NOT(((AT7)=TRUE)))=TRUE))</f>
        <v>0</v>
      </c>
      <c r="AV7" s="6">
        <f>IF((LEN(H7))="", "", ROUND((LEN(H7)), 0))</f>
        <v>107</v>
      </c>
      <c r="AW7" s="6">
        <f>IF((_xlfn.IFNA(IF(((INDEX(CommunicationPolicies!I2:I3, MATCH(O7,CommunicationPolicies!A2:A3, 0))="")=TRUE),  "",  INDEX(CommunicationPolicies!I2:I3, MATCH(O7,CommunicationPolicies!A2:A3, 0))), ""))="", "", ROUND((_xlfn.IFNA(IF(((INDEX(CommunicationPolicies!I2:I3, MATCH(O7,CommunicationPolicies!A2:A3, 0))="")=TRUE),  "",  INDEX(CommunicationPolicies!I2:I3, MATCH(O7,CommunicationPolicies!A2:A3, 0))), "")), 0))</f>
        <v>160</v>
      </c>
      <c r="AX7" s="6">
        <f>IF((IF(((AV7 = 0)=TRUE),  0,  IF(((AV7 &lt;= AW7)=TRUE),  1,  ROUNDUP(AV7 / AW7, 0))))="", "", ROUND((IF(((AV7 = 0)=TRUE),  0,  IF(((AV7 &lt;= AW7)=TRUE),  1,  ROUNDUP(AV7 / AW7, 0)))), 0))</f>
        <v>1</v>
      </c>
      <c r="AY7" s="6">
        <f>IF((_xlfn.IFNA(IF(((INDEX(CommunicationPolicies!J2:J3, MATCH(O7,CommunicationPolicies!A2:A3, 0))="")=TRUE),  "",  INDEX(CommunicationPolicies!J2:J3, MATCH(O7,CommunicationPolicies!A2:A3, 0))), ""))="", "", ROUND((_xlfn.IFNA(IF(((INDEX(CommunicationPolicies!J2:J3, MATCH(O7,CommunicationPolicies!A2:A3, 0))="")=TRUE),  "",  INDEX(CommunicationPolicies!J2:J3, MATCH(O7,CommunicationPolicies!A2:A3, 0))), "")), 0))</f>
        <v>3</v>
      </c>
      <c r="AZ7" s="4" t="b">
        <f>AND(((S7)=TRUE), ((AX7 &gt; AY7)=TRUE))</f>
        <v>0</v>
      </c>
      <c r="BA7" s="4" t="b">
        <f>_xlfn.IFNA(IF(((INDEX(MessageTemplates!N2:N3, MATCH(F7,MessageTemplates!A2:A3, 0))="")=TRUE),  "",  INDEX(MessageTemplates!N2:N3, MATCH(F7,MessageTemplates!A2:A3, 0))), "")</f>
        <v>1</v>
      </c>
      <c r="BB7" s="4" t="b">
        <f>AND(((S7)=TRUE), ((NOT(((BA7)=TRUE)))=TRUE))</f>
        <v>0</v>
      </c>
      <c r="BC7" s="4" t="str">
        <f>_xlfn.IFNA(IF(((INDEX(CommunicationPolicies!T2:T3, MATCH(O7,CommunicationPolicies!A2:A3, 0))="")=TRUE),  "",  INDEX(CommunicationPolicies!T2:T3, MATCH(O7,CommunicationPolicies!A2:A3, 0))), "")</f>
        <v>Reply STOP to opt out</v>
      </c>
      <c r="BD7" s="4" t="b">
        <f>BC7 &lt;&gt; ""</f>
        <v>1</v>
      </c>
      <c r="BE7" s="6">
        <f>IF((FIND(BC7, H7))="", "", ROUND((FIND(BC7, H7)), 0))</f>
        <v>86</v>
      </c>
      <c r="BF7" s="4" t="b">
        <f>BE7 &gt; 0</f>
        <v>1</v>
      </c>
      <c r="BG7" s="4" t="b">
        <f>AND(((BF7)=TRUE), ((BE7 &lt;= AW7)=TRUE))</f>
        <v>1</v>
      </c>
      <c r="BH7" s="4" t="b">
        <f>AND(((S7)=TRUE), ((AND(((BD7)=TRUE), ((NOT(((BF7)=TRUE)))=TRUE)))=TRUE))</f>
        <v>0</v>
      </c>
      <c r="BI7" s="4" t="b">
        <f>AND(((S7)=TRUE), ((AND(((BD7)=TRUE), ((AND(((BF7)=TRUE), ((NOT(((BG7)=TRUE)))=TRUE)))=TRUE)))=TRUE))</f>
        <v>0</v>
      </c>
      <c r="BJ7" s="4" t="b">
        <f>OR(((K7 = "Failed")=TRUE), ((K7 = "Bounced")=TRUE))</f>
        <v>1</v>
      </c>
      <c r="BK7" s="4" t="b">
        <f>K7 = "Suppressed"</f>
        <v>0</v>
      </c>
      <c r="BL7" s="4" t="b">
        <f>M7 &lt;&gt; ""</f>
        <v>1</v>
      </c>
      <c r="BM7" s="4" t="b">
        <f>AND(((BJ7)=TRUE), ((NOT(((BL7)=TRUE)))=TRUE))</f>
        <v>0</v>
      </c>
      <c r="BN7" s="4" t="str">
        <f>IF(((BM7)=TRUE),  C7,  "")</f>
      </c>
      <c r="BO7" s="4" t="str">
        <f>IF(((K7 = "Delivered")=TRUE),  C7,  "")</f>
      </c>
      <c r="BP7" s="4" t="b">
        <f>_xlfn.IFNA(IF(((INDEX(MessageTemplates!T2:T3, MATCH(F7,MessageTemplates!A2:A3, 0))="")=TRUE),  "",  INDEX(MessageTemplates!T2:T3, MATCH(F7,MessageTemplates!A2:A3, 0))), "")</f>
        <v>1</v>
      </c>
      <c r="BQ7" s="4" t="b">
        <f>AND(((S7)=TRUE), ((NOT(((BP7)=TRUE)))=TRUE))</f>
        <v>0</v>
      </c>
      <c r="BR7" s="4" t="str">
        <f>IF(((BQ7)=TRUE),  F7,  "")</f>
      </c>
      <c r="BS7" s="4" t="b">
        <f>OR(((J7 &lt; 8)=TRUE), ((J7 &gt; 18)=TRUE))</f>
        <v>0</v>
      </c>
      <c r="BT7" s="4" t="b">
        <f>AND(((S7)=TRUE), ((NOT(((AD7)=TRUE)))=TRUE))</f>
        <v>0</v>
      </c>
      <c r="BU7" s="4" t="b">
        <f>AND(((BT7)=TRUE), ((BS7)=TRUE))</f>
        <v>0</v>
      </c>
      <c r="BV7" s="4" t="b">
        <f>AND(((BT7)=TRUE), ((NOT(((BS7)=TRUE)))=TRUE))</f>
        <v>0</v>
      </c>
      <c r="BW7" s="4" t="str">
        <f>IF(((BT7)=TRUE),  F7,  "")</f>
      </c>
      <c r="BX7" s="4" t="str">
        <f>IF(((S7)=TRUE),  F7,  "")</f>
      </c>
      <c r="BY7" s="3"/>
      <c r="BZ7" s="3"/>
      <c r="CA7" s="5"/>
      <c r="CB7" s="4" t="b">
        <f>AND(((CA7 &lt;&gt; "")=TRUE), ((I7 &gt; CA7)=TRUE))</f>
        <v>0</v>
      </c>
      <c r="CC7" s="4" t="b">
        <f>AND(((BY7 &lt;&gt; "")=TRUE), ((CA7 &lt;&gt; "")=TRUE))</f>
        <v>0</v>
      </c>
      <c r="CD7" s="4" t="b">
        <f>NOT(((CC7)=TRUE))</f>
        <v>1</v>
      </c>
      <c r="CE7" s="7">
        <f>_xlfn.IFNA(IF(((INDEX(MessageTemplates!Y2:Y3, MATCH(F7,MessageTemplates!A2:A3, 0))="")=TRUE),  "",  INDEX(MessageTemplates!Y2:Y3, MATCH(F7,MessageTemplates!A2:A3, 0))), "")</f>
        <v>46222.625</v>
      </c>
      <c r="CF7" s="4" t="b">
        <f>AND(((CE7 &lt;&gt; "")=TRUE), ((CE7 &gt; I7)=TRUE))</f>
        <v>1</v>
      </c>
      <c r="CG7" s="4" t="b">
        <f>AND(((CD7)=TRUE), ((AND(((CF7)=TRUE), ((BA7)=TRUE)))=TRUE))</f>
        <v>1</v>
      </c>
      <c r="CH7" s="5"/>
      <c r="CI7" s="8"/>
      <c r="CJ7" s="4" t="b">
        <f>CI7 &gt; 0</f>
        <v>0</v>
      </c>
      <c r="CK7" s="4" t="b">
        <f>AND(((S7)=TRUE), ((AND(((AP7)=TRUE), ((NOT(((AD7)=TRUE)))=TRUE)))=TRUE))</f>
        <v>0</v>
      </c>
      <c r="CL7" s="6">
        <f>IF((IF(((CK7)=TRUE),  IF(((OR((((AL7)="")=TRUE), (((I7)="")=TRUE)))=TRUE),  0,  (INT(AL7) - INT(I7))),  0))="", "", ROUND((IF(((CK7)=TRUE),  IF(((OR((((AL7)="")=TRUE), (((I7)="")=TRUE)))=TRUE),  0,  (INT(AL7) - INT(I7))),  0)), 0))</f>
        <v>0</v>
      </c>
      <c r="CM7" s="4" t="b">
        <f>AND(((CK7)=TRUE), ((AND(((CL7 &gt; 7)=TRUE), ((NOT(((CJ7)=TRUE)))=TRUE)))=TRUE))</f>
        <v>0</v>
      </c>
      <c r="CN7" s="4" t="b">
        <f>AND(((CK7)=TRUE), ((CI7 &gt;= 3)=TRUE))</f>
        <v>0</v>
      </c>
      <c r="CO7" s="4" t="b">
        <f>AND(((CN7)=TRUE), ((NOT(((AF7)=TRUE)))=TRUE))</f>
        <v>0</v>
      </c>
      <c r="CP7" s="3" t="s">
        <v>8303</v>
      </c>
    </row>
  </sheetData>
  <autoFilter ref="A1:CP1"/>
  <headerFooter/>
  <legacyDrawing r:id="rId1"/>
</worksheet>
</file>

<file path=xl/worksheets/sheet6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
  <sheetViews>
    <sheetView workbookViewId="0">
      <pane ySplit="1" topLeftCell="A2" state="frozen" activePane="bottomLeft"/>
      <selection pane="bottomLeft" activeCell="A1" sqref="A1"/>
    </sheetView>
  </sheetViews>
  <sheetFormatPr defaultRowHeight="15"/>
  <cols>
    <col min="1" max="1" width="20.541112899780273" customWidth="1"/>
    <col min="2" max="2" width="59.81437301635742" customWidth="1"/>
    <col min="3" max="3" width="18.18422508239746" customWidth="1"/>
    <col min="4" max="4" width="17.443378448486328" customWidth="1"/>
    <col min="5" max="5" width="25.59624671936035" customWidth="1"/>
    <col min="6" max="6" width="17.443378448486328" customWidth="1"/>
    <col min="7" max="7" width="23.35041618347168" customWidth="1"/>
    <col min="8" max="8" width="20.189409255981445" customWidth="1"/>
    <col min="9" max="9" width="115.70389556884766" customWidth="1"/>
    <col min="10" max="10" width="19.508312225341797" customWidth="1"/>
    <col min="11" max="11" width="19.548357009887695" customWidth="1"/>
    <col min="12" max="12" width="25.59624671936035" customWidth="1"/>
    <col min="13" max="13" width="25.525442123413086" customWidth="1"/>
    <col min="14" max="14" width="26.05389976501465" customWidth="1"/>
    <col min="15" max="15" width="45.874053955078125" customWidth="1"/>
  </cols>
  <sheetData>
    <row r="1">
      <c r="A1" s="2" t="s">
        <v>4699</v>
      </c>
      <c r="B1" s="2" t="s">
        <v>1</v>
      </c>
      <c r="C1" s="2" t="s">
        <v>4453</v>
      </c>
      <c r="D1" s="2" t="s">
        <v>4704</v>
      </c>
      <c r="E1" s="2" t="s">
        <v>4706</v>
      </c>
      <c r="F1" s="2" t="s">
        <v>4708</v>
      </c>
      <c r="G1" s="2" t="s">
        <v>1592</v>
      </c>
      <c r="H1" s="2" t="s">
        <v>4711</v>
      </c>
      <c r="I1" s="2" t="s">
        <v>1760</v>
      </c>
      <c r="J1" s="2" t="s">
        <v>4714</v>
      </c>
      <c r="K1" s="2" t="s">
        <v>4717</v>
      </c>
      <c r="L1" s="2" t="s">
        <v>4306</v>
      </c>
      <c r="M1" s="2" t="s">
        <v>4721</v>
      </c>
      <c r="N1" s="2" t="s">
        <v>4724</v>
      </c>
      <c r="O1" s="2" t="s">
        <v>94</v>
      </c>
    </row>
    <row r="2">
      <c r="A2" s="3" t="s">
        <v>1749</v>
      </c>
      <c r="B2" s="4" t="str">
        <f>C2 &amp; " / " &amp; F2 &amp; " / " &amp; IF(((G2="")=TRUE),  "",  TEXT(G2, "yyyy-mm-dd\Thh:mm:ss")&amp;"+00:00")</f>
        <v>tmpl-policy-email / Approved / 2026-07-17T16:00:00+00:00</v>
      </c>
      <c r="C2" s="3" t="s">
        <v>1744</v>
      </c>
      <c r="D2" s="3" t="s">
        <v>161</v>
      </c>
      <c r="E2" s="3" t="s">
        <v>224</v>
      </c>
      <c r="F2" s="3" t="s">
        <v>462</v>
      </c>
      <c r="G2" s="5">
        <v>46220.666666666664</v>
      </c>
      <c r="H2" s="3" t="s">
        <v>1748</v>
      </c>
      <c r="I2" s="3" t="s">
        <v>8316</v>
      </c>
      <c r="J2" s="4" t="b">
        <f>F2 = "Approved"</f>
        <v>1</v>
      </c>
      <c r="K2" s="4" t="str">
        <f>_xlfn.IFNA(IF(((INDEX(MessageTemplates!C2:C3, MATCH(C2,MessageTemplates!A2:A3, 0))="")=TRUE),  "",  INDEX(MessageTemplates!C2:C3, MATCH(C2,MessageTemplates!A2:A3, 0))), "")</f>
        <v>comm-email-policy</v>
      </c>
      <c r="L2" s="4" t="str">
        <f>_xlfn.IFNA(IF(((INDEX(CommunicationPolicies!L2:L3, MATCH(K2,CommunicationPolicies!A2:A3, 0))="")=TRUE),  "",  INDEX(CommunicationPolicies!L2:L3, MATCH(K2,CommunicationPolicies!A2:A3, 0))), "")</f>
        <v>communications-manager</v>
      </c>
      <c r="M2" s="4" t="b">
        <f>E2 = L2</f>
        <v>1</v>
      </c>
      <c r="N2" s="4" t="str">
        <f>IF(((AND(((J2)=TRUE), ((M2)=TRUE)))=TRUE),  C2,  "")</f>
        <v>tmpl-policy-email</v>
      </c>
      <c r="O2" s="3" t="s">
        <v>8317</v>
      </c>
    </row>
    <row r="3">
      <c r="A3" s="3" t="s">
        <v>1753</v>
      </c>
      <c r="B3" s="4" t="str">
        <f>C3 &amp; " / " &amp; F3 &amp; " / " &amp; IF(((G3="")=TRUE),  "",  TEXT(G3, "yyyy-mm-dd\Thh:mm:ss")&amp;"+00:00")</f>
        <v>tmpl-policy-sms / Approved / 2026-07-19T15:00:00+00:00</v>
      </c>
      <c r="C3" s="3" t="s">
        <v>1750</v>
      </c>
      <c r="D3" s="3" t="s">
        <v>161</v>
      </c>
      <c r="E3" s="3" t="s">
        <v>224</v>
      </c>
      <c r="F3" s="3" t="s">
        <v>462</v>
      </c>
      <c r="G3" s="5">
        <v>46222.625</v>
      </c>
      <c r="H3" s="3" t="s">
        <v>1752</v>
      </c>
      <c r="I3" s="3" t="s">
        <v>8318</v>
      </c>
      <c r="J3" s="4" t="b">
        <f>F3 = "Approved"</f>
        <v>1</v>
      </c>
      <c r="K3" s="4" t="str">
        <f>_xlfn.IFNA(IF(((INDEX(MessageTemplates!C2:C3, MATCH(C3,MessageTemplates!A2:A3, 0))="")=TRUE),  "",  INDEX(MessageTemplates!C2:C3, MATCH(C3,MessageTemplates!A2:A3, 0))), "")</f>
        <v>comm-sms-policy</v>
      </c>
      <c r="L3" s="4" t="str">
        <f>_xlfn.IFNA(IF(((INDEX(CommunicationPolicies!L2:L3, MATCH(K3,CommunicationPolicies!A2:A3, 0))="")=TRUE),  "",  INDEX(CommunicationPolicies!L2:L3, MATCH(K3,CommunicationPolicies!A2:A3, 0))), "")</f>
        <v>communications-manager</v>
      </c>
      <c r="M3" s="4" t="b">
        <f>E3 = L3</f>
        <v>1</v>
      </c>
      <c r="N3" s="4" t="str">
        <f>IF(((AND(((J3)=TRUE), ((M3)=TRUE)))=TRUE),  C3,  "")</f>
        <v>tmpl-policy-sms</v>
      </c>
      <c r="O3" s="3" t="s">
        <v>8317</v>
      </c>
    </row>
  </sheetData>
  <autoFilter ref="A1:O1"/>
  <headerFooter/>
  <legacyDrawing r:id="rId1"/>
</worksheet>
</file>

<file path=xl/worksheets/sheet6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CV8"/>
  <sheetViews>
    <sheetView workbookViewId="0">
      <pane ySplit="1" topLeftCell="A2" state="frozen" activePane="bottomLeft"/>
      <selection pane="bottomLeft" activeCell="A1" sqref="A1"/>
    </sheetView>
  </sheetViews>
  <sheetFormatPr defaultRowHeight="15"/>
  <cols>
    <col min="1" max="1" width="17.443378448486328" customWidth="1"/>
    <col min="2" max="2" width="34.14341354370117" customWidth="1"/>
    <col min="3" max="3" width="20.414697647094727" customWidth="1"/>
    <col min="4" max="4" width="17.443378448486328" customWidth="1"/>
    <col min="5" max="5" width="17.443378448486328" customWidth="1"/>
    <col min="6" max="6" width="18.18422508239746" customWidth="1"/>
    <col min="7" max="7" width="239.8994903564453" customWidth="1"/>
    <col min="8" max="8" width="26.49642562866211" customWidth="1"/>
    <col min="9" max="9" width="23.35041618347168" customWidth="1"/>
    <col min="10" max="10" width="17.75429916381836" customWidth="1"/>
    <col min="11" max="11" width="19.548357009887695" customWidth="1"/>
    <col min="12" max="12" width="17.443378448486328" customWidth="1"/>
    <col min="13" max="13" width="17.443378448486328" customWidth="1"/>
    <col min="14" max="14" width="23.094770431518555" customWidth="1"/>
    <col min="15" max="15" width="28.29295539855957" customWidth="1"/>
    <col min="16" max="16" width="20.107656478881836" customWidth="1"/>
    <col min="17" max="17" width="25.159866333007812" customWidth="1"/>
    <col min="18" max="18" width="26.099285125732422" customWidth="1"/>
    <col min="19" max="19" width="23.508804321289062" customWidth="1"/>
    <col min="20" max="20" width="22.54152488708496" customWidth="1"/>
    <col min="21" max="21" width="21.534099578857422" customWidth="1"/>
    <col min="22" max="22" width="20.67319107055664" customWidth="1"/>
    <col min="23" max="23" width="26.583498001098633" customWidth="1"/>
    <col min="24" max="24" width="25.60870361328125" customWidth="1"/>
    <col min="25" max="25" width="27.067241668701172" customWidth="1"/>
    <col min="26" max="26" width="18.758590698242188" customWidth="1"/>
    <col min="27" max="27" width="24.83026123046875" customWidth="1"/>
    <col min="28" max="28" width="25.481948852539062" customWidth="1"/>
    <col min="29" max="29" width="20.366670608520508" customWidth="1"/>
    <col min="30" max="30" width="21.820850372314453" customWidth="1"/>
    <col min="31" max="31" width="24.29144859313965" customWidth="1"/>
    <col min="32" max="32" width="19.019756317138672" customWidth="1"/>
    <col min="33" max="33" width="28.529170989990234" customWidth="1"/>
    <col min="34" max="34" width="24.63001823425293" customWidth="1"/>
    <col min="35" max="35" width="19.281099319458008" customWidth="1"/>
    <col min="36" max="36" width="19.8497257232666" customWidth="1"/>
    <col min="37" max="37" width="20.5399112701416" customWidth="1"/>
    <col min="38" max="38" width="27.81546974182129" customWidth="1"/>
    <col min="39" max="39" width="25.59624671936035" customWidth="1"/>
    <col min="40" max="40" width="23.468456268310547" customWidth="1"/>
    <col min="41" max="41" width="18.448596954345703" customWidth="1"/>
    <col min="42" max="42" width="24.794635772705078" customWidth="1"/>
    <col min="43" max="43" width="17.526287078857422" customWidth="1"/>
    <col min="44" max="44" width="19.148334503173828" customWidth="1"/>
    <col min="45" max="45" width="21.273286819458008" customWidth="1"/>
    <col min="46" max="46" width="32.30729675292969" customWidth="1"/>
    <col min="47" max="47" width="20.716604232788086" customWidth="1"/>
    <col min="48" max="48" width="18.284212112426758" customWidth="1"/>
    <col min="49" max="49" width="26.626392364501953" customWidth="1"/>
    <col min="50" max="50" width="24.550256729125977" customWidth="1"/>
    <col min="51" max="51" width="25.692142486572266" customWidth="1"/>
    <col min="52" max="52" width="26.86537742614746" customWidth="1"/>
    <col min="53" max="53" width="19.898571014404297" customWidth="1"/>
    <col min="54" max="54" width="28.215717315673828" customWidth="1"/>
    <col min="55" max="55" width="27.777576446533203" customWidth="1"/>
    <col min="56" max="56" width="23.669092178344727" customWidth="1"/>
    <col min="57" max="57" width="27.97209358215332" customWidth="1"/>
    <col min="58" max="58" width="22.873992919921875" customWidth="1"/>
    <col min="59" max="59" width="22.749292373657227" customWidth="1"/>
    <col min="60" max="60" width="28.53042221069336" customWidth="1"/>
    <col min="61" max="61" width="21.486026763916016" customWidth="1"/>
    <col min="62" max="62" width="30.817834854125977" customWidth="1"/>
    <col min="63" max="63" width="28.377548217773438" customWidth="1"/>
    <col min="64" max="64" width="23.1391658782959" customWidth="1"/>
    <col min="65" max="65" width="27.93839454650879" customWidth="1"/>
    <col min="66" max="66" width="27.820497512817383" customWidth="1"/>
    <col min="67" max="67" width="27.466001510620117" customWidth="1"/>
    <col min="68" max="68" width="32.358646392822266" customWidth="1"/>
    <col min="69" max="69" width="33.06542205810547" customWidth="1"/>
    <col min="70" max="70" width="29.348163604736328" customWidth="1"/>
    <col min="71" max="71" width="19.33222770690918" customWidth="1"/>
    <col min="72" max="72" width="19.81682777404785" customWidth="1"/>
    <col min="73" max="73" width="25.767868041992188" customWidth="1"/>
    <col min="74" max="74" width="21.10213851928711" customWidth="1"/>
    <col min="75" max="75" width="21.231054306030273" customWidth="1"/>
    <col min="76" max="76" width="21.403799057006836" customWidth="1"/>
    <col min="77" max="77" width="26.821521759033203" customWidth="1"/>
    <col min="78" max="78" width="31.40351676940918" customWidth="1"/>
    <col min="79" max="79" width="17.443378448486328" customWidth="1"/>
    <col min="80" max="80" width="22.747488021850586" customWidth="1"/>
    <col min="81" max="81" width="18.547500610351562" customWidth="1"/>
    <col min="82" max="82" width="23.35041618347168" customWidth="1"/>
    <col min="83" max="83" width="26.81201171875" customWidth="1"/>
    <col min="84" max="84" width="17.526426315307617" customWidth="1"/>
    <col min="85" max="85" width="17.525135040283203" customWidth="1"/>
    <col min="86" max="86" width="21.61090087890625" customWidth="1"/>
    <col min="87" max="87" width="18.364858627319336" customWidth="1"/>
    <col min="88" max="88" width="17.443378448486328" customWidth="1"/>
    <col min="89" max="89" width="25.93669319152832" customWidth="1"/>
    <col min="90" max="90" width="29.738840103149414" customWidth="1"/>
    <col min="91" max="91" width="27.896997451782227" customWidth="1"/>
    <col min="92" max="92" width="27.305408477783203" customWidth="1"/>
    <col min="93" max="93" width="25.815277099609375" customWidth="1"/>
    <col min="94" max="94" width="22.589975357055664" customWidth="1"/>
    <col min="95" max="95" width="21.52958869934082" customWidth="1"/>
    <col min="96" max="96" width="38.554229736328125" customWidth="1"/>
    <col min="97" max="97" width="24.055721282958984" customWidth="1"/>
    <col min="98" max="98" width="26.41970443725586" customWidth="1"/>
    <col min="99" max="99" width="37.026145935058594" customWidth="1"/>
    <col min="100" max="100" width="38.72611618041992" customWidth="1"/>
  </cols>
  <sheetData>
    <row r="1">
      <c r="A1" s="2" t="s">
        <v>4729</v>
      </c>
      <c r="B1" s="2" t="s">
        <v>1</v>
      </c>
      <c r="C1" s="2" t="s">
        <v>1349</v>
      </c>
      <c r="D1" s="2" t="s">
        <v>1467</v>
      </c>
      <c r="E1" s="2" t="s">
        <v>4451</v>
      </c>
      <c r="F1" s="2" t="s">
        <v>4453</v>
      </c>
      <c r="G1" s="2" t="s">
        <v>4737</v>
      </c>
      <c r="H1" s="2" t="s">
        <v>4739</v>
      </c>
      <c r="I1" s="2" t="s">
        <v>1471</v>
      </c>
      <c r="J1" s="2" t="s">
        <v>4742</v>
      </c>
      <c r="K1" s="2" t="s">
        <v>4744</v>
      </c>
      <c r="L1" s="2" t="s">
        <v>4746</v>
      </c>
      <c r="M1" s="2" t="s">
        <v>4749</v>
      </c>
      <c r="N1" s="2" t="s">
        <v>4752</v>
      </c>
      <c r="O1" s="2" t="s">
        <v>4755</v>
      </c>
      <c r="P1" s="2" t="s">
        <v>4757</v>
      </c>
      <c r="Q1" s="2" t="s">
        <v>4760</v>
      </c>
      <c r="R1" s="2" t="s">
        <v>4763</v>
      </c>
      <c r="S1" s="2" t="s">
        <v>4766</v>
      </c>
      <c r="T1" s="2" t="s">
        <v>4769</v>
      </c>
      <c r="U1" s="2" t="s">
        <v>4772</v>
      </c>
      <c r="V1" s="2" t="s">
        <v>4775</v>
      </c>
      <c r="W1" s="2" t="s">
        <v>4778</v>
      </c>
      <c r="X1" s="2" t="s">
        <v>4781</v>
      </c>
      <c r="Y1" s="2" t="s">
        <v>4784</v>
      </c>
      <c r="Z1" s="2" t="s">
        <v>4787</v>
      </c>
      <c r="AA1" s="2" t="s">
        <v>4790</v>
      </c>
      <c r="AB1" s="2" t="s">
        <v>4793</v>
      </c>
      <c r="AC1" s="2" t="s">
        <v>4796</v>
      </c>
      <c r="AD1" s="2" t="s">
        <v>4799</v>
      </c>
      <c r="AE1" s="2" t="s">
        <v>4801</v>
      </c>
      <c r="AF1" s="2" t="s">
        <v>4803</v>
      </c>
      <c r="AG1" s="2" t="s">
        <v>4806</v>
      </c>
      <c r="AH1" s="2" t="s">
        <v>4809</v>
      </c>
      <c r="AI1" s="2" t="s">
        <v>4811</v>
      </c>
      <c r="AJ1" s="2" t="s">
        <v>4814</v>
      </c>
      <c r="AK1" s="2" t="s">
        <v>4817</v>
      </c>
      <c r="AL1" s="2" t="s">
        <v>4819</v>
      </c>
      <c r="AM1" s="2" t="s">
        <v>4821</v>
      </c>
      <c r="AN1" s="2" t="s">
        <v>4824</v>
      </c>
      <c r="AO1" s="2" t="s">
        <v>4827</v>
      </c>
      <c r="AP1" s="2" t="s">
        <v>4830</v>
      </c>
      <c r="AQ1" s="2" t="s">
        <v>4833</v>
      </c>
      <c r="AR1" s="2" t="s">
        <v>4836</v>
      </c>
      <c r="AS1" s="2" t="s">
        <v>4839</v>
      </c>
      <c r="AT1" s="2" t="s">
        <v>4842</v>
      </c>
      <c r="AU1" s="2" t="s">
        <v>4845</v>
      </c>
      <c r="AV1" s="2" t="s">
        <v>4848</v>
      </c>
      <c r="AW1" s="2" t="s">
        <v>4851</v>
      </c>
      <c r="AX1" s="2" t="s">
        <v>4854</v>
      </c>
      <c r="AY1" s="2" t="s">
        <v>4857</v>
      </c>
      <c r="AZ1" s="2" t="s">
        <v>4860</v>
      </c>
      <c r="BA1" s="2" t="s">
        <v>4863</v>
      </c>
      <c r="BB1" s="2" t="s">
        <v>4866</v>
      </c>
      <c r="BC1" s="2" t="s">
        <v>4869</v>
      </c>
      <c r="BD1" s="2" t="s">
        <v>4872</v>
      </c>
      <c r="BE1" s="2" t="s">
        <v>4875</v>
      </c>
      <c r="BF1" s="2" t="s">
        <v>4878</v>
      </c>
      <c r="BG1" s="2" t="s">
        <v>4881</v>
      </c>
      <c r="BH1" s="2" t="s">
        <v>4884</v>
      </c>
      <c r="BI1" s="2" t="s">
        <v>4887</v>
      </c>
      <c r="BJ1" s="2" t="s">
        <v>4889</v>
      </c>
      <c r="BK1" s="2" t="s">
        <v>4892</v>
      </c>
      <c r="BL1" s="2" t="s">
        <v>4895</v>
      </c>
      <c r="BM1" s="2" t="s">
        <v>4897</v>
      </c>
      <c r="BN1" s="2" t="s">
        <v>4900</v>
      </c>
      <c r="BO1" s="2" t="s">
        <v>4903</v>
      </c>
      <c r="BP1" s="2" t="s">
        <v>4906</v>
      </c>
      <c r="BQ1" s="2" t="s">
        <v>4909</v>
      </c>
      <c r="BR1" s="2" t="s">
        <v>4912</v>
      </c>
      <c r="BS1" s="2" t="s">
        <v>4915</v>
      </c>
      <c r="BT1" s="2" t="s">
        <v>4917</v>
      </c>
      <c r="BU1" s="2" t="s">
        <v>4919</v>
      </c>
      <c r="BV1" s="2" t="s">
        <v>4922</v>
      </c>
      <c r="BW1" s="2" t="s">
        <v>4925</v>
      </c>
      <c r="BX1" s="2" t="s">
        <v>4928</v>
      </c>
      <c r="BY1" s="2" t="s">
        <v>4931</v>
      </c>
      <c r="BZ1" s="2" t="s">
        <v>4934</v>
      </c>
      <c r="CA1" s="2" t="s">
        <v>4937</v>
      </c>
      <c r="CB1" s="2" t="s">
        <v>4939</v>
      </c>
      <c r="CC1" s="2" t="s">
        <v>258</v>
      </c>
      <c r="CD1" s="2" t="s">
        <v>92</v>
      </c>
      <c r="CE1" s="2" t="s">
        <v>4944</v>
      </c>
      <c r="CF1" s="2" t="s">
        <v>4947</v>
      </c>
      <c r="CG1" s="2" t="s">
        <v>4950</v>
      </c>
      <c r="CH1" s="2" t="s">
        <v>4953</v>
      </c>
      <c r="CI1" s="2" t="s">
        <v>4956</v>
      </c>
      <c r="CJ1" s="2" t="s">
        <v>4959</v>
      </c>
      <c r="CK1" s="2" t="s">
        <v>4962</v>
      </c>
      <c r="CL1" s="2" t="s">
        <v>4964</v>
      </c>
      <c r="CM1" s="2" t="s">
        <v>4967</v>
      </c>
      <c r="CN1" s="2" t="s">
        <v>4970</v>
      </c>
      <c r="CO1" s="2" t="s">
        <v>4973</v>
      </c>
      <c r="CP1" s="2" t="s">
        <v>4976</v>
      </c>
      <c r="CQ1" s="2" t="s">
        <v>4979</v>
      </c>
      <c r="CR1" s="2" t="s">
        <v>4982</v>
      </c>
      <c r="CS1" s="2" t="s">
        <v>4984</v>
      </c>
      <c r="CT1" s="2" t="s">
        <v>4987</v>
      </c>
      <c r="CU1" s="2" t="s">
        <v>4990</v>
      </c>
      <c r="CV1" s="2" t="s">
        <v>94</v>
      </c>
    </row>
    <row r="2">
      <c r="A2" s="3" t="s">
        <v>8319</v>
      </c>
      <c r="B2" s="4" t="str">
        <f>E2 &amp; " / " &amp; F2 &amp; " / intent"</f>
        <v>rec-001 / tmpl-policy-sms / intent</v>
      </c>
      <c r="C2" s="3" t="s">
        <v>1344</v>
      </c>
      <c r="D2" s="3" t="s">
        <v>1464</v>
      </c>
      <c r="E2" s="3" t="s">
        <v>8277</v>
      </c>
      <c r="F2" s="3" t="s">
        <v>1750</v>
      </c>
      <c r="G2" s="3" t="s">
        <v>8320</v>
      </c>
      <c r="H2" s="8">
        <v>14</v>
      </c>
      <c r="I2" s="5">
        <v>46221.794444444444</v>
      </c>
      <c r="J2" s="3" t="s">
        <v>8300</v>
      </c>
      <c r="K2" s="4" t="str">
        <f>_xlfn.IFNA(IF(((INDEX(MessageTemplates!C2:C3, MATCH(F2,MessageTemplates!A2:A3, 0))="")=TRUE),  "",  INDEX(MessageTemplates!C2:C3, MATCH(F2,MessageTemplates!A2:A3, 0))), "")</f>
        <v>comm-sms-policy</v>
      </c>
      <c r="L2" s="4" t="str">
        <f>_xlfn.IFNA(IF(((INDEX(CommunicationPolicies!D2:D3, MATCH(K2,CommunicationPolicies!A2:A3, 0))="")=TRUE),  "",  INDEX(CommunicationPolicies!D2:D3, MATCH(K2,CommunicationPolicies!A2:A3, 0))), "")</f>
        <v>SMS</v>
      </c>
      <c r="M2" s="4" t="b">
        <f>_xlfn.IFNA(IF(((INDEX(CommunicationPolicies!U2:U3, MATCH(K2,CommunicationPolicies!A2:A3, 0))="")=TRUE),  "",  INDEX(CommunicationPolicies!U2:U3, MATCH(K2,CommunicationPolicies!A2:A3, 0))), "")</f>
        <v>1</v>
      </c>
      <c r="N2" s="4" t="b">
        <f>_xlfn.IFNA(IF(((INDEX(CommunicationPolicies!F2:F3, MATCH(K2,CommunicationPolicies!A2:A3, 0))="")=TRUE),  "",  INDEX(CommunicationPolicies!F2:F3, MATCH(K2,CommunicationPolicies!A2:A3, 0))), "")</f>
        <v>1</v>
      </c>
      <c r="O2" s="4" t="b">
        <f>_xlfn.IFNA(IF(((INDEX(Recipients!J2:J6, MATCH(E2,Recipients!A2:A6, 0))="")=TRUE),  "",  INDEX(Recipients!J2:J6, MATCH(E2,Recipients!A2:A6, 0))), "")</f>
        <v>1</v>
      </c>
      <c r="P2" s="4" t="b">
        <f>OR(((NOT(((N2)=TRUE)))=TRUE), ((O2)=TRUE))</f>
        <v>1</v>
      </c>
      <c r="Q2" s="4" t="b">
        <f>_xlfn.IFNA(IF(((INDEX(Recipients!L2:L6, MATCH(E2,Recipients!A2:A6, 0))="")=TRUE),  "",  INDEX(Recipients!L2:L6, MATCH(E2,Recipients!A2:A6, 0))), "")</f>
        <v>1</v>
      </c>
      <c r="R2" s="4" t="b">
        <f>_xlfn.IFNA(IF(((INDEX(Recipients!K2:K6, MATCH(E2,Recipients!A2:A6, 0))="")=TRUE),  "",  INDEX(Recipients!K2:K6, MATCH(E2,Recipients!A2:A6, 0))), "")</f>
        <v>1</v>
      </c>
      <c r="S2" s="4" t="b">
        <f>IF(((L2 = "SMS")=TRUE),  Q2,  R2)</f>
        <v>1</v>
      </c>
      <c r="T2" s="4" t="b">
        <f>AND(((M2)=TRUE), ((AND(((P2)=TRUE), ((S2)=TRUE)))=TRUE))</f>
        <v>1</v>
      </c>
      <c r="U2" s="6">
        <f>IF((_xlfn.IFNA(IF(((INDEX(CommunicationPolicies!Q2:Q3, MATCH(K2,CommunicationPolicies!A2:A3, 0))="")=TRUE),  "",  INDEX(CommunicationPolicies!Q2:Q3, MATCH(K2,CommunicationPolicies!A2:A3, 0))), ""))="", "", ROUND((_xlfn.IFNA(IF(((INDEX(CommunicationPolicies!Q2:Q3, MATCH(K2,CommunicationPolicies!A2:A3, 0))="")=TRUE),  "",  INDEX(CommunicationPolicies!Q2:Q3, MATCH(K2,CommunicationPolicies!A2:A3, 0))), "")), 0))</f>
        <v>20</v>
      </c>
      <c r="V2" s="6">
        <f>IF((_xlfn.IFNA(IF(((INDEX(CommunicationPolicies!R2:R3, MATCH(K2,CommunicationPolicies!A2:A3, 0))="")=TRUE),  "",  INDEX(CommunicationPolicies!R2:R3, MATCH(K2,CommunicationPolicies!A2:A3, 0))), ""))="", "", ROUND((_xlfn.IFNA(IF(((INDEX(CommunicationPolicies!R2:R3, MATCH(K2,CommunicationPolicies!A2:A3, 0))="")=TRUE),  "",  INDEX(CommunicationPolicies!R2:R3, MATCH(K2,CommunicationPolicies!A2:A3, 0))), "")), 0))</f>
        <v>8</v>
      </c>
      <c r="W2" s="4" t="b">
        <f>U2 &lt;&gt; V2</f>
        <v>1</v>
      </c>
      <c r="X2" s="4" t="b">
        <f>U2 &gt; V2</f>
        <v>1</v>
      </c>
      <c r="Y2" s="4" t="b">
        <f>IF(((X2)=TRUE),  OR(((H2 &gt;= U2)=TRUE), ((H2 &lt; V2)=TRUE)),  AND(((H2 &gt;= U2)=TRUE), ((H2 &lt; V2)=TRUE)))</f>
        <v>0</v>
      </c>
      <c r="Z2" s="4" t="b">
        <f>OR(((NOT(((W2)=TRUE)))=TRUE), ((NOT(((Y2)=TRUE)))=TRUE))</f>
        <v>1</v>
      </c>
      <c r="AA2" s="6">
        <f>IF((IF(((Z2)=TRUE),  0,  IF(((H2 &lt; V2)=TRUE),  V2 - H2,  24 - H2 + V2)))="", "", ROUND((IF(((Z2)=TRUE),  0,  IF(((H2 &lt; V2)=TRUE),  V2 - H2,  24 - H2 + V2))), 0))</f>
        <v>0</v>
      </c>
      <c r="AB2" s="6">
        <f>IF((_xlfn.IFNA(IF(((INDEX(CommunicationPolicies!I2:I3, MATCH(K2,CommunicationPolicies!A2:A3, 0))="")=TRUE),  "",  INDEX(CommunicationPolicies!I2:I3, MATCH(K2,CommunicationPolicies!A2:A3, 0))), ""))="", "", ROUND((_xlfn.IFNA(IF(((INDEX(CommunicationPolicies!I2:I3, MATCH(K2,CommunicationPolicies!A2:A3, 0))="")=TRUE),  "",  INDEX(CommunicationPolicies!I2:I3, MATCH(K2,CommunicationPolicies!A2:A3, 0))), "")), 0))</f>
        <v>160</v>
      </c>
      <c r="AC2" s="6">
        <f>IF((_xlfn.IFNA(IF(((INDEX(CommunicationPolicies!J2:J3, MATCH(K2,CommunicationPolicies!A2:A3, 0))="")=TRUE),  "",  INDEX(CommunicationPolicies!J2:J3, MATCH(K2,CommunicationPolicies!A2:A3, 0))), ""))="", "", ROUND((_xlfn.IFNA(IF(((INDEX(CommunicationPolicies!J2:J3, MATCH(K2,CommunicationPolicies!A2:A3, 0))="")=TRUE),  "",  INDEX(CommunicationPolicies!J2:J3, MATCH(K2,CommunicationPolicies!A2:A3, 0))), "")), 0))</f>
        <v>3</v>
      </c>
      <c r="AD2" s="8">
        <v>95</v>
      </c>
      <c r="AE2" s="8">
        <v>1</v>
      </c>
      <c r="AF2" s="4" t="b">
        <f>AND(((AD2 &gt; 0)=TRUE), ((AE2 &lt;= AC2)=TRUE))</f>
        <v>1</v>
      </c>
      <c r="AG2" s="4" t="str">
        <f>_xlfn.IFNA(IF(((INDEX(CommunicationPolicies!T2:T3, MATCH(K2,CommunicationPolicies!A2:A3, 0))="")=TRUE),  "",  INDEX(CommunicationPolicies!T2:T3, MATCH(K2,CommunicationPolicies!A2:A3, 0))), "")</f>
        <v>Reply STOP to opt out</v>
      </c>
      <c r="AH2" s="8">
        <v>75</v>
      </c>
      <c r="AI2" s="4" t="b">
        <f>OR(((AG2 = "")=TRUE), ((AND(((AH2 &gt; 0)=TRUE), ((AH2 &lt;= AB2)=TRUE)))=TRUE))</f>
        <v>1</v>
      </c>
      <c r="AJ2" s="4" t="b">
        <f>AND(((AF2)=TRUE), ((AI2)=TRUE))</f>
        <v>1</v>
      </c>
      <c r="AK2" s="4" t="b">
        <f>_xlfn.IFNA(IF(((INDEX(MessageTemplates!T2:T3, MATCH(F2,MessageTemplates!A2:A3, 0))="")=TRUE),  "",  INDEX(MessageTemplates!T2:T3, MATCH(F2,MessageTemplates!A2:A3, 0))), "")</f>
        <v>1</v>
      </c>
      <c r="AL2" s="4" t="b">
        <f>_xlfn.IFNA(IF(((INDEX(ProcedureExecutions!AC2:AC3, MATCH(C2,ProcedureExecutions!A2:A3, 0))="")=TRUE),  "",  INDEX(ProcedureExecutions!AC2:AC3, MATCH(C2,ProcedureExecutions!A2:A3, 0))), "")</f>
        <v>1</v>
      </c>
      <c r="AM2" s="4" t="str">
        <f>_xlfn.IFNA(IF(((INDEX(CommunicationPolicies!L2:L3, MATCH(K2,CommunicationPolicies!A2:A3, 0))="")=TRUE),  "",  INDEX(CommunicationPolicies!L2:L3, MATCH(K2,CommunicationPolicies!A2:A3, 0))), "")</f>
        <v>communications-manager</v>
      </c>
      <c r="AN2" s="4" t="str">
        <f>_xlfn.IFNA(IF(((INDEX(Roles!F2:F13, MATCH(AM2,Roles!A2:A13, 0))="")=TRUE),  "",  INDEX(Roles!F2:F13, MATCH(AM2,Roles!A2:A13, 0))), "")</f>
        <v>Human</v>
      </c>
      <c r="AO2" s="4" t="b">
        <f>AN2 = "Human"</f>
        <v>1</v>
      </c>
      <c r="AP2" s="4" t="b">
        <f>AND(((AK2)=TRUE), ((AND(((AL2)=TRUE), ((AO2)=TRUE)))=TRUE))</f>
        <v>1</v>
      </c>
      <c r="AQ2" s="4" t="b">
        <f>AND(((T2)=TRUE), ((AND(((Z2)=TRUE), ((AND(((AJ2)=TRUE), ((AP2)=TRUE)))=TRUE)))=TRUE))</f>
        <v>1</v>
      </c>
      <c r="AR2" s="4" t="str">
        <f>IF(((AQ2)=TRUE),  "",  IF(((NOT(((T2)=TRUE)))=TRUE),  "Permission",  IF(((NOT(((Z2)=TRUE)))=TRUE),  "Timing",  IF(((NOT(((AJ2)=TRUE)))=TRUE),  "Content",  "Authorization"))))</f>
      </c>
      <c r="AS2" s="4" t="b">
        <f>J2 &lt;&gt; ""</f>
        <v>1</v>
      </c>
      <c r="AT2" s="4" t="b">
        <f>_xlfn.IFNA(IF(((INDEX(MessageDeliveries!S2:S7, MATCH(J2,MessageDeliveries!A2:A7, 0))="")=TRUE),  "",  INDEX(MessageDeliveries!S2:S7, MATCH(J2,MessageDeliveries!A2:A7, 0))), "")</f>
        <v>1</v>
      </c>
      <c r="AU2" s="4" t="b">
        <f>AND(((NOT(((AQ2)=TRUE)))=TRUE), ((AND(((AS2)=TRUE), ((AT2)=TRUE)))=TRUE))</f>
        <v>0</v>
      </c>
      <c r="AV2" s="4" t="b">
        <f>AND(((NOT(((AQ2)=TRUE)))=TRUE), ((NOT(((AS2)=TRUE)))=TRUE))</f>
        <v>0</v>
      </c>
      <c r="AW2" s="4" t="str">
        <f>_xlfn.IFNA(IF(((INDEX(MessageDeliveries!M2:M7, MATCH(J2,MessageDeliveries!A2:A7, 0))="")=TRUE),  "",  INDEX(MessageDeliveries!M2:M7, MATCH(J2,MessageDeliveries!A2:A7, 0))), "")</f>
      </c>
      <c r="AX2" s="4" t="b">
        <f>AW2 &lt;&gt; ""</f>
        <v>0</v>
      </c>
      <c r="AY2" s="4" t="b">
        <f>AND(((NOT(((AQ2)=TRUE)))=TRUE), ((AND(((AS2)=TRUE), ((AND(((NOT(((AT2)=TRUE)))=TRUE), ((AX2)=TRUE)))=TRUE)))=TRUE))</f>
        <v>0</v>
      </c>
      <c r="AZ2" s="4" t="str">
        <f>IF(((OR(((AU2)=TRUE), ((AV2)=TRUE)))=TRUE),  C2,  "")</f>
      </c>
      <c r="BA2" s="4" t="str">
        <f>C2</f>
        <v>exec-policy-hr4821</v>
      </c>
      <c r="BB2" s="4" t="str">
        <f>IF(((AND(((AS2)=TRUE), ((AT2)=TRUE)))=TRUE),  C2,  "")</f>
        <v>exec-policy-hr4821</v>
      </c>
      <c r="BC2" s="4" t="str">
        <f>IF(((AV2)=TRUE),  C2,  "")</f>
      </c>
      <c r="BD2" s="4" t="b">
        <f>AK2</f>
        <v>1</v>
      </c>
      <c r="BE2" s="4" t="b">
        <f>AND(((BD2)=TRUE), ((NOT(((AJ2)=TRUE)))=TRUE))</f>
        <v>0</v>
      </c>
      <c r="BF2" s="4" t="b">
        <f>AND(((NOT(((AI2)=TRUE)))=TRUE), ((AF2)=TRUE))</f>
        <v>0</v>
      </c>
      <c r="BG2" s="4" t="b">
        <f>AND(((NOT(((AQ2)=TRUE)))=TRUE), ((OR(((NOT(((AJ2)=TRUE)))=TRUE), ((NOT(((Z2)=TRUE)))=TRUE)))=TRUE))</f>
        <v>0</v>
      </c>
      <c r="BH2" s="4" t="b">
        <f>AND(((NOT(((AQ2)=TRUE)))=TRUE), ((OR(((NOT(((T2)=TRUE)))=TRUE), ((NOT(((AP2)=TRUE)))=TRUE)))=TRUE))</f>
        <v>0</v>
      </c>
      <c r="BI2" s="3"/>
      <c r="BJ2" s="4" t="b">
        <f>AND(((BG2)=TRUE), ((NOT(((BI2)=TRUE)))=TRUE))</f>
        <v>0</v>
      </c>
      <c r="BK2" s="4" t="b">
        <f>AND(((BE2)=TRUE), ((NOT(((BI2)=TRUE)))=TRUE))</f>
        <v>0</v>
      </c>
      <c r="BL2" s="3"/>
      <c r="BM2" s="4" t="b">
        <f>BL2 &lt;&gt; ""</f>
        <v>0</v>
      </c>
      <c r="BN2" s="4" t="str">
        <f>_xlfn.IFNA(IF(((INDEX(AQ2, MATCH(BL2,A2, 0))="")=TRUE),  "",  INDEX(AQ2, MATCH(BL2,A2, 0))), "")</f>
      </c>
      <c r="BO2" s="4" t="b">
        <f>AND(((NOT(((AQ2)=TRUE)))=TRUE), ((NOT(((BM2)=TRUE)))=TRUE))</f>
        <v>0</v>
      </c>
      <c r="BP2" s="4" t="b">
        <f>AND(((AX2)=TRUE), ((AW2 &lt;&gt; "")=TRUE))</f>
        <v>0</v>
      </c>
      <c r="BQ2" s="4" t="b">
        <f>AND(((BP2)=TRUE), ((AND(((BM2)=TRUE), ((BN2)=TRUE)))=TRUE))</f>
        <v>0</v>
      </c>
      <c r="BR2" s="4" t="b">
        <f>AND(((BP2)=TRUE), ((NOT(((BQ2)=TRUE)))=TRUE))</f>
        <v>0</v>
      </c>
      <c r="BS2" s="5"/>
      <c r="BT2" s="3"/>
      <c r="BU2" s="4" t="b">
        <f>BS2 &lt;&gt; ""</f>
        <v>0</v>
      </c>
      <c r="BV2" s="4" t="b">
        <f>BT2 &lt;&gt; ""</f>
        <v>0</v>
      </c>
      <c r="BW2" s="4" t="b">
        <f>AND(((AV2)=TRUE), ((AND(((NOT(((BU2)=TRUE)))=TRUE), ((NOT(((AX2)=TRUE)))=TRUE)))=TRUE))</f>
        <v>0</v>
      </c>
      <c r="BX2" s="4" t="b">
        <f>AND(((NOT(((AQ2)=TRUE)))=TRUE), ((NOT(((BV2)=TRUE)))=TRUE))</f>
        <v>0</v>
      </c>
      <c r="BY2" s="4" t="str">
        <f>IF(((BW2)=TRUE),  BT2,  "")</f>
      </c>
      <c r="BZ2" s="4" t="str">
        <f>IF(((BW2)=TRUE),  C2,  "")</f>
      </c>
      <c r="CA2" s="3"/>
      <c r="CB2" s="4" t="b">
        <f>AND(((NOT(((Z2)=TRUE)))=TRUE), ((AND(((T2)=TRUE), ((AJ2)=TRUE)))=TRUE))</f>
        <v>0</v>
      </c>
      <c r="CC2" s="3" t="s">
        <v>95</v>
      </c>
      <c r="CD2" s="7">
        <f>_xlfn.IFNA(IF(((INDEX(EvaluationContexts!D2:D2, MATCH(CC2,EvaluationContexts!A2:A2, 0))="")=TRUE),  "",  INDEX(EvaluationContexts!D2:D2, MATCH(CC2,EvaluationContexts!A2:A2, 0))), "")</f>
        <v>46222.75</v>
      </c>
      <c r="CE2" s="4" t="b">
        <f>AND(((AA2 &gt; 0)=TRUE), ((IF(((OR((((CD2)="")=TRUE), (((I2)="")=TRUE)))=TRUE),  0,  ((CD2 - I2) * 24)) &gt; AA2)=TRUE))</f>
        <v>0</v>
      </c>
      <c r="CF2" s="4" t="b">
        <f>CA2 &lt;&gt; ""</f>
        <v>0</v>
      </c>
      <c r="CG2" s="4" t="str">
        <f>_xlfn.IFNA(IF(((INDEX(AQ2, MATCH(CA2,A2, 0))="")=TRUE),  "",  INDEX(AQ2, MATCH(CA2,A2, 0))), "")</f>
      </c>
      <c r="CH2" s="4" t="b">
        <f>AND(((CB2)=TRUE), ((AND(((CE2)=TRUE), ((NOT(((CF2)=TRUE)))=TRUE)))=TRUE))</f>
        <v>0</v>
      </c>
      <c r="CI2" s="6">
        <f>IF((IF(((OR((((CD2)="")=TRUE), (((I2)="")=TRUE)))=TRUE),  0,  ((CD2 - I2) * 24)))="", "", ROUND((IF(((OR((((CD2)="")=TRUE), (((I2)="")=TRUE)))=TRUE),  0,  ((CD2 - I2) * 24))), 0))</f>
        <v>23</v>
      </c>
      <c r="CJ2" s="4" t="b">
        <f>AND(((CB2)=TRUE), ((CI2 &gt; 24)=TRUE))</f>
        <v>0</v>
      </c>
      <c r="CK2" s="3"/>
      <c r="CL2" s="4" t="str">
        <f>_xlfn.IFNA(IF(((INDEX(RoleAssignments!BJ2:BJ14, MATCH(CK2,RoleAssignments!A2:A14, 0))="")=TRUE),  "",  INDEX(RoleAssignments!BJ2:BJ14, MATCH(CK2,RoleAssignments!A2:A14, 0))), "")</f>
      </c>
      <c r="CM2" s="4" t="b">
        <f>CN2 &lt;&gt; ""</f>
        <v>1</v>
      </c>
      <c r="CN2" s="4" t="str">
        <f>_xlfn.IFNA(IF(((INDEX(Recipients!G2:G6, MATCH(E2,Recipients!A2:A6, 0))="")=TRUE),  "",  INDEX(Recipients!G2:G6, MATCH(E2,Recipients!A2:A6, 0))), "")</f>
        <v>Granted</v>
      </c>
      <c r="CO2" s="4" t="b">
        <f>K2 &lt;&gt; ""</f>
        <v>1</v>
      </c>
      <c r="CP2" s="4" t="b">
        <f>AND(((CM2)=TRUE), ((CO2)=TRUE))</f>
        <v>1</v>
      </c>
      <c r="CQ2" s="4" t="b">
        <f>AND(((NOT(((AQ2)=TRUE)))=TRUE), ((NOT(((CP2)=TRUE)))=TRUE))</f>
        <v>0</v>
      </c>
      <c r="CR2" s="3"/>
      <c r="CS2" s="4" t="b">
        <f>NOT(((CR2)=TRUE))</f>
        <v>1</v>
      </c>
      <c r="CT2" s="4" t="b">
        <f>AND(((AS2)=TRUE), ((AT2)=TRUE))</f>
        <v>1</v>
      </c>
      <c r="CU2" s="4" t="str">
        <f>IF(((CT2)=TRUE),  C2,  "")</f>
        <v>exec-policy-hr4821</v>
      </c>
      <c r="CV2" s="3" t="s">
        <v>8321</v>
      </c>
    </row>
    <row r="3">
      <c r="A3" s="3" t="s">
        <v>8322</v>
      </c>
      <c r="B3" s="4" t="str">
        <f>E3 &amp; " / " &amp; F3 &amp; " / intent"</f>
        <v>rec-003 / tmpl-policy-sms / intent</v>
      </c>
      <c r="C3" s="3" t="s">
        <v>1344</v>
      </c>
      <c r="D3" s="3" t="s">
        <v>1464</v>
      </c>
      <c r="E3" s="3" t="s">
        <v>8287</v>
      </c>
      <c r="F3" s="3" t="s">
        <v>1750</v>
      </c>
      <c r="G3" s="3" t="s">
        <v>8320</v>
      </c>
      <c r="H3" s="8">
        <v>14</v>
      </c>
      <c r="I3" s="5">
        <v>46221.794444444444</v>
      </c>
      <c r="J3" s="3"/>
      <c r="K3" s="4" t="str">
        <f>_xlfn.IFNA(IF(((INDEX(MessageTemplates!C2:C3, MATCH(F3,MessageTemplates!A2:A3, 0))="")=TRUE),  "",  INDEX(MessageTemplates!C2:C3, MATCH(F3,MessageTemplates!A2:A3, 0))), "")</f>
        <v>comm-sms-policy</v>
      </c>
      <c r="L3" s="4" t="str">
        <f>_xlfn.IFNA(IF(((INDEX(CommunicationPolicies!D2:D3, MATCH(K3,CommunicationPolicies!A2:A3, 0))="")=TRUE),  "",  INDEX(CommunicationPolicies!D2:D3, MATCH(K3,CommunicationPolicies!A2:A3, 0))), "")</f>
        <v>SMS</v>
      </c>
      <c r="M3" s="4" t="b">
        <f>_xlfn.IFNA(IF(((INDEX(CommunicationPolicies!U2:U3, MATCH(K3,CommunicationPolicies!A2:A3, 0))="")=TRUE),  "",  INDEX(CommunicationPolicies!U2:U3, MATCH(K3,CommunicationPolicies!A2:A3, 0))), "")</f>
        <v>1</v>
      </c>
      <c r="N3" s="4" t="b">
        <f>_xlfn.IFNA(IF(((INDEX(CommunicationPolicies!F2:F3, MATCH(K3,CommunicationPolicies!A2:A3, 0))="")=TRUE),  "",  INDEX(CommunicationPolicies!F2:F3, MATCH(K3,CommunicationPolicies!A2:A3, 0))), "")</f>
        <v>1</v>
      </c>
      <c r="O3" s="4" t="b">
        <f>_xlfn.IFNA(IF(((INDEX(Recipients!J2:J6, MATCH(E3,Recipients!A2:A6, 0))="")=TRUE),  "",  INDEX(Recipients!J2:J6, MATCH(E3,Recipients!A2:A6, 0))), "")</f>
        <v>1</v>
      </c>
      <c r="P3" s="4" t="b">
        <f>OR(((NOT(((N3)=TRUE)))=TRUE), ((O3)=TRUE))</f>
        <v>1</v>
      </c>
      <c r="Q3" s="4" t="b">
        <f>_xlfn.IFNA(IF(((INDEX(Recipients!L2:L6, MATCH(E3,Recipients!A2:A6, 0))="")=TRUE),  "",  INDEX(Recipients!L2:L6, MATCH(E3,Recipients!A2:A6, 0))), "")</f>
        <v>1</v>
      </c>
      <c r="R3" s="4" t="b">
        <f>_xlfn.IFNA(IF(((INDEX(Recipients!K2:K6, MATCH(E3,Recipients!A2:A6, 0))="")=TRUE),  "",  INDEX(Recipients!K2:K6, MATCH(E3,Recipients!A2:A6, 0))), "")</f>
        <v>1</v>
      </c>
      <c r="S3" s="4" t="b">
        <f>IF(((L3 = "SMS")=TRUE),  Q3,  R3)</f>
        <v>1</v>
      </c>
      <c r="T3" s="4" t="b">
        <f>AND(((M3)=TRUE), ((AND(((P3)=TRUE), ((S3)=TRUE)))=TRUE))</f>
        <v>1</v>
      </c>
      <c r="U3" s="6">
        <f>IF((_xlfn.IFNA(IF(((INDEX(CommunicationPolicies!Q2:Q3, MATCH(K3,CommunicationPolicies!A2:A3, 0))="")=TRUE),  "",  INDEX(CommunicationPolicies!Q2:Q3, MATCH(K3,CommunicationPolicies!A2:A3, 0))), ""))="", "", ROUND((_xlfn.IFNA(IF(((INDEX(CommunicationPolicies!Q2:Q3, MATCH(K3,CommunicationPolicies!A2:A3, 0))="")=TRUE),  "",  INDEX(CommunicationPolicies!Q2:Q3, MATCH(K3,CommunicationPolicies!A2:A3, 0))), "")), 0))</f>
        <v>20</v>
      </c>
      <c r="V3" s="6">
        <f>IF((_xlfn.IFNA(IF(((INDEX(CommunicationPolicies!R2:R3, MATCH(K3,CommunicationPolicies!A2:A3, 0))="")=TRUE),  "",  INDEX(CommunicationPolicies!R2:R3, MATCH(K3,CommunicationPolicies!A2:A3, 0))), ""))="", "", ROUND((_xlfn.IFNA(IF(((INDEX(CommunicationPolicies!R2:R3, MATCH(K3,CommunicationPolicies!A2:A3, 0))="")=TRUE),  "",  INDEX(CommunicationPolicies!R2:R3, MATCH(K3,CommunicationPolicies!A2:A3, 0))), "")), 0))</f>
        <v>8</v>
      </c>
      <c r="W3" s="4" t="b">
        <f>U3 &lt;&gt; V3</f>
        <v>1</v>
      </c>
      <c r="X3" s="4" t="b">
        <f>U3 &gt; V3</f>
        <v>1</v>
      </c>
      <c r="Y3" s="4" t="b">
        <f>IF(((X3)=TRUE),  OR(((H3 &gt;= U3)=TRUE), ((H3 &lt; V3)=TRUE)),  AND(((H3 &gt;= U3)=TRUE), ((H3 &lt; V3)=TRUE)))</f>
        <v>0</v>
      </c>
      <c r="Z3" s="4" t="b">
        <f>OR(((NOT(((W3)=TRUE)))=TRUE), ((NOT(((Y3)=TRUE)))=TRUE))</f>
        <v>1</v>
      </c>
      <c r="AA3" s="6">
        <f>IF((IF(((Z3)=TRUE),  0,  IF(((H3 &lt; V3)=TRUE),  V3 - H3,  24 - H3 + V3)))="", "", ROUND((IF(((Z3)=TRUE),  0,  IF(((H3 &lt; V3)=TRUE),  V3 - H3,  24 - H3 + V3))), 0))</f>
        <v>0</v>
      </c>
      <c r="AB3" s="6">
        <f>IF((_xlfn.IFNA(IF(((INDEX(CommunicationPolicies!I2:I3, MATCH(K3,CommunicationPolicies!A2:A3, 0))="")=TRUE),  "",  INDEX(CommunicationPolicies!I2:I3, MATCH(K3,CommunicationPolicies!A2:A3, 0))), ""))="", "", ROUND((_xlfn.IFNA(IF(((INDEX(CommunicationPolicies!I2:I3, MATCH(K3,CommunicationPolicies!A2:A3, 0))="")=TRUE),  "",  INDEX(CommunicationPolicies!I2:I3, MATCH(K3,CommunicationPolicies!A2:A3, 0))), "")), 0))</f>
        <v>160</v>
      </c>
      <c r="AC3" s="6">
        <f>IF((_xlfn.IFNA(IF(((INDEX(CommunicationPolicies!J2:J3, MATCH(K3,CommunicationPolicies!A2:A3, 0))="")=TRUE),  "",  INDEX(CommunicationPolicies!J2:J3, MATCH(K3,CommunicationPolicies!A2:A3, 0))), ""))="", "", ROUND((_xlfn.IFNA(IF(((INDEX(CommunicationPolicies!J2:J3, MATCH(K3,CommunicationPolicies!A2:A3, 0))="")=TRUE),  "",  INDEX(CommunicationPolicies!J2:J3, MATCH(K3,CommunicationPolicies!A2:A3, 0))), "")), 0))</f>
        <v>3</v>
      </c>
      <c r="AD3" s="8">
        <v>95</v>
      </c>
      <c r="AE3" s="8">
        <v>1</v>
      </c>
      <c r="AF3" s="4" t="b">
        <f>AND(((AD3 &gt; 0)=TRUE), ((AE3 &lt;= AC3)=TRUE))</f>
        <v>1</v>
      </c>
      <c r="AG3" s="4" t="str">
        <f>_xlfn.IFNA(IF(((INDEX(CommunicationPolicies!T2:T3, MATCH(K3,CommunicationPolicies!A2:A3, 0))="")=TRUE),  "",  INDEX(CommunicationPolicies!T2:T3, MATCH(K3,CommunicationPolicies!A2:A3, 0))), "")</f>
        <v>Reply STOP to opt out</v>
      </c>
      <c r="AH3" s="8">
        <v>75</v>
      </c>
      <c r="AI3" s="4" t="b">
        <f>OR(((AG3 = "")=TRUE), ((AND(((AH3 &gt; 0)=TRUE), ((AH3 &lt;= AB3)=TRUE)))=TRUE))</f>
        <v>1</v>
      </c>
      <c r="AJ3" s="4" t="b">
        <f>AND(((AF3)=TRUE), ((AI3)=TRUE))</f>
        <v>1</v>
      </c>
      <c r="AK3" s="4" t="b">
        <f>_xlfn.IFNA(IF(((INDEX(MessageTemplates!T2:T3, MATCH(F3,MessageTemplates!A2:A3, 0))="")=TRUE),  "",  INDEX(MessageTemplates!T2:T3, MATCH(F3,MessageTemplates!A2:A3, 0))), "")</f>
        <v>1</v>
      </c>
      <c r="AL3" s="4" t="b">
        <f>_xlfn.IFNA(IF(((INDEX(ProcedureExecutions!AC2:AC3, MATCH(C3,ProcedureExecutions!A2:A3, 0))="")=TRUE),  "",  INDEX(ProcedureExecutions!AC2:AC3, MATCH(C3,ProcedureExecutions!A2:A3, 0))), "")</f>
        <v>1</v>
      </c>
      <c r="AM3" s="4" t="str">
        <f>_xlfn.IFNA(IF(((INDEX(CommunicationPolicies!L2:L3, MATCH(K3,CommunicationPolicies!A2:A3, 0))="")=TRUE),  "",  INDEX(CommunicationPolicies!L2:L3, MATCH(K3,CommunicationPolicies!A2:A3, 0))), "")</f>
        <v>communications-manager</v>
      </c>
      <c r="AN3" s="4" t="str">
        <f>_xlfn.IFNA(IF(((INDEX(Roles!F2:F13, MATCH(AM3,Roles!A2:A13, 0))="")=TRUE),  "",  INDEX(Roles!F2:F13, MATCH(AM3,Roles!A2:A13, 0))), "")</f>
        <v>Human</v>
      </c>
      <c r="AO3" s="4" t="b">
        <f>AN3 = "Human"</f>
        <v>1</v>
      </c>
      <c r="AP3" s="4" t="b">
        <f>AND(((AK3)=TRUE), ((AND(((AL3)=TRUE), ((AO3)=TRUE)))=TRUE))</f>
        <v>1</v>
      </c>
      <c r="AQ3" s="4" t="b">
        <f>AND(((T3)=TRUE), ((AND(((Z3)=TRUE), ((AND(((AJ3)=TRUE), ((AP3)=TRUE)))=TRUE)))=TRUE))</f>
        <v>1</v>
      </c>
      <c r="AR3" s="4" t="str">
        <f>IF(((AQ3)=TRUE),  "",  IF(((NOT(((T3)=TRUE)))=TRUE),  "Permission",  IF(((NOT(((Z3)=TRUE)))=TRUE),  "Timing",  IF(((NOT(((AJ3)=TRUE)))=TRUE),  "Content",  "Authorization"))))</f>
      </c>
      <c r="AS3" s="4" t="b">
        <f>J3 &lt;&gt; ""</f>
        <v>0</v>
      </c>
      <c r="AT3" s="4" t="str">
        <f>_xlfn.IFNA(IF(((INDEX(MessageDeliveries!S2:S7, MATCH(J3,MessageDeliveries!A2:A7, 0))="")=TRUE),  "",  INDEX(MessageDeliveries!S2:S7, MATCH(J3,MessageDeliveries!A2:A7, 0))), "")</f>
      </c>
      <c r="AU3" s="4" t="b">
        <f>AND(((NOT(((AQ3)=TRUE)))=TRUE), ((AND(((AS3)=TRUE), ((AT3)=TRUE)))=TRUE))</f>
        <v>0</v>
      </c>
      <c r="AV3" s="4" t="b">
        <f>AND(((NOT(((AQ3)=TRUE)))=TRUE), ((NOT(((AS3)=TRUE)))=TRUE))</f>
        <v>0</v>
      </c>
      <c r="AW3" s="4" t="str">
        <f>_xlfn.IFNA(IF(((INDEX(MessageDeliveries!M2:M7, MATCH(J3,MessageDeliveries!A2:A7, 0))="")=TRUE),  "",  INDEX(MessageDeliveries!M2:M7, MATCH(J3,MessageDeliveries!A2:A7, 0))), "")</f>
      </c>
      <c r="AX3" s="4" t="b">
        <f>AW3 &lt;&gt; ""</f>
        <v>0</v>
      </c>
      <c r="AY3" s="4" t="b">
        <f>AND(((NOT(((AQ3)=TRUE)))=TRUE), ((AND(((AS3)=TRUE), ((AND(((NOT(((AT3)=TRUE)))=TRUE), ((AX3)=TRUE)))=TRUE)))=TRUE))</f>
        <v>0</v>
      </c>
      <c r="AZ3" s="4" t="str">
        <f>IF(((OR(((AU3)=TRUE), ((AV3)=TRUE)))=TRUE),  C3,  "")</f>
      </c>
      <c r="BA3" s="4" t="str">
        <f>C3</f>
        <v>exec-policy-hr4821</v>
      </c>
      <c r="BB3" s="4" t="str">
        <f>IF(((AND(((AS3)=TRUE), ((AT3)=TRUE)))=TRUE),  C3,  "")</f>
      </c>
      <c r="BC3" s="4" t="str">
        <f>IF(((AV3)=TRUE),  C3,  "")</f>
      </c>
      <c r="BD3" s="4" t="b">
        <f>AK3</f>
        <v>1</v>
      </c>
      <c r="BE3" s="4" t="b">
        <f>AND(((BD3)=TRUE), ((NOT(((AJ3)=TRUE)))=TRUE))</f>
        <v>0</v>
      </c>
      <c r="BF3" s="4" t="b">
        <f>AND(((NOT(((AI3)=TRUE)))=TRUE), ((AF3)=TRUE))</f>
        <v>0</v>
      </c>
      <c r="BG3" s="4" t="b">
        <f>AND(((NOT(((AQ3)=TRUE)))=TRUE), ((OR(((NOT(((AJ3)=TRUE)))=TRUE), ((NOT(((Z3)=TRUE)))=TRUE)))=TRUE))</f>
        <v>0</v>
      </c>
      <c r="BH3" s="4" t="b">
        <f>AND(((NOT(((AQ3)=TRUE)))=TRUE), ((OR(((NOT(((T3)=TRUE)))=TRUE), ((NOT(((AP3)=TRUE)))=TRUE)))=TRUE))</f>
        <v>0</v>
      </c>
      <c r="BI3" s="3"/>
      <c r="BJ3" s="4" t="b">
        <f>AND(((BG3)=TRUE), ((NOT(((BI3)=TRUE)))=TRUE))</f>
        <v>0</v>
      </c>
      <c r="BK3" s="4" t="b">
        <f>AND(((BE3)=TRUE), ((NOT(((BI3)=TRUE)))=TRUE))</f>
        <v>0</v>
      </c>
      <c r="BL3" s="3"/>
      <c r="BM3" s="4" t="b">
        <f>BL3 &lt;&gt; ""</f>
        <v>0</v>
      </c>
      <c r="BN3" s="4" t="str">
        <f>_xlfn.IFNA(IF(((INDEX(AQ3, MATCH(BL3,A3, 0))="")=TRUE),  "",  INDEX(AQ3, MATCH(BL3,A3, 0))), "")</f>
      </c>
      <c r="BO3" s="4" t="b">
        <f>AND(((NOT(((AQ3)=TRUE)))=TRUE), ((NOT(((BM3)=TRUE)))=TRUE))</f>
        <v>0</v>
      </c>
      <c r="BP3" s="4" t="b">
        <f>AND(((AX3)=TRUE), ((AW3 &lt;&gt; "")=TRUE))</f>
        <v>0</v>
      </c>
      <c r="BQ3" s="4" t="b">
        <f>AND(((BP3)=TRUE), ((AND(((BM3)=TRUE), ((BN3)=TRUE)))=TRUE))</f>
        <v>0</v>
      </c>
      <c r="BR3" s="4" t="b">
        <f>AND(((BP3)=TRUE), ((NOT(((BQ3)=TRUE)))=TRUE))</f>
        <v>0</v>
      </c>
      <c r="BS3" s="5"/>
      <c r="BT3" s="3"/>
      <c r="BU3" s="4" t="b">
        <f>BS3 &lt;&gt; ""</f>
        <v>0</v>
      </c>
      <c r="BV3" s="4" t="b">
        <f>BT3 &lt;&gt; ""</f>
        <v>0</v>
      </c>
      <c r="BW3" s="4" t="b">
        <f>AND(((AV3)=TRUE), ((AND(((NOT(((BU3)=TRUE)))=TRUE), ((NOT(((AX3)=TRUE)))=TRUE)))=TRUE))</f>
        <v>0</v>
      </c>
      <c r="BX3" s="4" t="b">
        <f>AND(((NOT(((AQ3)=TRUE)))=TRUE), ((NOT(((BV3)=TRUE)))=TRUE))</f>
        <v>0</v>
      </c>
      <c r="BY3" s="4" t="str">
        <f>IF(((BW3)=TRUE),  BT3,  "")</f>
      </c>
      <c r="BZ3" s="4" t="str">
        <f>IF(((BW3)=TRUE),  C3,  "")</f>
      </c>
      <c r="CA3" s="3"/>
      <c r="CB3" s="4" t="b">
        <f>AND(((NOT(((Z3)=TRUE)))=TRUE), ((AND(((T3)=TRUE), ((AJ3)=TRUE)))=TRUE))</f>
        <v>0</v>
      </c>
      <c r="CC3" s="3" t="s">
        <v>95</v>
      </c>
      <c r="CD3" s="7">
        <f>_xlfn.IFNA(IF(((INDEX(EvaluationContexts!D2:D2, MATCH(CC3,EvaluationContexts!A2:A2, 0))="")=TRUE),  "",  INDEX(EvaluationContexts!D2:D2, MATCH(CC3,EvaluationContexts!A2:A2, 0))), "")</f>
        <v>46222.75</v>
      </c>
      <c r="CE3" s="4" t="b">
        <f>AND(((AA3 &gt; 0)=TRUE), ((IF(((OR((((CD3)="")=TRUE), (((I3)="")=TRUE)))=TRUE),  0,  ((CD3 - I3) * 24)) &gt; AA3)=TRUE))</f>
        <v>0</v>
      </c>
      <c r="CF3" s="4" t="b">
        <f>CA3 &lt;&gt; ""</f>
        <v>0</v>
      </c>
      <c r="CG3" s="4" t="str">
        <f>_xlfn.IFNA(IF(((INDEX(AQ3, MATCH(CA3,A3, 0))="")=TRUE),  "",  INDEX(AQ3, MATCH(CA3,A3, 0))), "")</f>
      </c>
      <c r="CH3" s="4" t="b">
        <f>AND(((CB3)=TRUE), ((AND(((CE3)=TRUE), ((NOT(((CF3)=TRUE)))=TRUE)))=TRUE))</f>
        <v>0</v>
      </c>
      <c r="CI3" s="6">
        <f>IF((IF(((OR((((CD3)="")=TRUE), (((I3)="")=TRUE)))=TRUE),  0,  ((CD3 - I3) * 24)))="", "", ROUND((IF(((OR((((CD3)="")=TRUE), (((I3)="")=TRUE)))=TRUE),  0,  ((CD3 - I3) * 24))), 0))</f>
        <v>23</v>
      </c>
      <c r="CJ3" s="4" t="b">
        <f>AND(((CB3)=TRUE), ((CI3 &gt; 24)=TRUE))</f>
        <v>0</v>
      </c>
      <c r="CK3" s="3"/>
      <c r="CL3" s="4" t="str">
        <f>_xlfn.IFNA(IF(((INDEX(RoleAssignments!BJ2:BJ14, MATCH(CK3,RoleAssignments!A2:A14, 0))="")=TRUE),  "",  INDEX(RoleAssignments!BJ2:BJ14, MATCH(CK3,RoleAssignments!A2:A14, 0))), "")</f>
      </c>
      <c r="CM3" s="4" t="b">
        <f>CN3 &lt;&gt; ""</f>
        <v>1</v>
      </c>
      <c r="CN3" s="4" t="str">
        <f>_xlfn.IFNA(IF(((INDEX(Recipients!G2:G6, MATCH(E3,Recipients!A2:A6, 0))="")=TRUE),  "",  INDEX(Recipients!G2:G6, MATCH(E3,Recipients!A2:A6, 0))), "")</f>
        <v>Granted</v>
      </c>
      <c r="CO3" s="4" t="b">
        <f>K3 &lt;&gt; ""</f>
        <v>1</v>
      </c>
      <c r="CP3" s="4" t="b">
        <f>AND(((CM3)=TRUE), ((CO3)=TRUE))</f>
        <v>1</v>
      </c>
      <c r="CQ3" s="4" t="b">
        <f>AND(((NOT(((AQ3)=TRUE)))=TRUE), ((NOT(((CP3)=TRUE)))=TRUE))</f>
        <v>0</v>
      </c>
      <c r="CR3" s="3"/>
      <c r="CS3" s="4" t="b">
        <f>NOT(((CR3)=TRUE))</f>
        <v>1</v>
      </c>
      <c r="CT3" s="4" t="b">
        <f>AND(((AS3)=TRUE), ((AT3)=TRUE))</f>
        <v>0</v>
      </c>
      <c r="CU3" s="4" t="str">
        <f>IF(((CT3)=TRUE),  C3,  "")</f>
      </c>
      <c r="CV3" s="3" t="s">
        <v>8321</v>
      </c>
    </row>
    <row r="4">
      <c r="A4" s="3" t="s">
        <v>8323</v>
      </c>
      <c r="B4" s="4" t="str">
        <f>E4 &amp; " / " &amp; F4 &amp; " / intent"</f>
        <v>rec-001 / tmpl-policy-sms / intent</v>
      </c>
      <c r="C4" s="3" t="s">
        <v>1344</v>
      </c>
      <c r="D4" s="3" t="s">
        <v>1464</v>
      </c>
      <c r="E4" s="3" t="s">
        <v>8277</v>
      </c>
      <c r="F4" s="3" t="s">
        <v>1750</v>
      </c>
      <c r="G4" s="3" t="s">
        <v>8320</v>
      </c>
      <c r="H4" s="8">
        <v>21</v>
      </c>
      <c r="I4" s="5">
        <v>46221.794444444444</v>
      </c>
      <c r="J4" s="3"/>
      <c r="K4" s="4" t="str">
        <f>_xlfn.IFNA(IF(((INDEX(MessageTemplates!C2:C3, MATCH(F4,MessageTemplates!A2:A3, 0))="")=TRUE),  "",  INDEX(MessageTemplates!C2:C3, MATCH(F4,MessageTemplates!A2:A3, 0))), "")</f>
        <v>comm-sms-policy</v>
      </c>
      <c r="L4" s="4" t="str">
        <f>_xlfn.IFNA(IF(((INDEX(CommunicationPolicies!D2:D3, MATCH(K4,CommunicationPolicies!A2:A3, 0))="")=TRUE),  "",  INDEX(CommunicationPolicies!D2:D3, MATCH(K4,CommunicationPolicies!A2:A3, 0))), "")</f>
        <v>SMS</v>
      </c>
      <c r="M4" s="4" t="b">
        <f>_xlfn.IFNA(IF(((INDEX(CommunicationPolicies!U2:U3, MATCH(K4,CommunicationPolicies!A2:A3, 0))="")=TRUE),  "",  INDEX(CommunicationPolicies!U2:U3, MATCH(K4,CommunicationPolicies!A2:A3, 0))), "")</f>
        <v>1</v>
      </c>
      <c r="N4" s="4" t="b">
        <f>_xlfn.IFNA(IF(((INDEX(CommunicationPolicies!F2:F3, MATCH(K4,CommunicationPolicies!A2:A3, 0))="")=TRUE),  "",  INDEX(CommunicationPolicies!F2:F3, MATCH(K4,CommunicationPolicies!A2:A3, 0))), "")</f>
        <v>1</v>
      </c>
      <c r="O4" s="4" t="b">
        <f>_xlfn.IFNA(IF(((INDEX(Recipients!J2:J6, MATCH(E4,Recipients!A2:A6, 0))="")=TRUE),  "",  INDEX(Recipients!J2:J6, MATCH(E4,Recipients!A2:A6, 0))), "")</f>
        <v>1</v>
      </c>
      <c r="P4" s="4" t="b">
        <f>OR(((NOT(((N4)=TRUE)))=TRUE), ((O4)=TRUE))</f>
        <v>1</v>
      </c>
      <c r="Q4" s="4" t="b">
        <f>_xlfn.IFNA(IF(((INDEX(Recipients!L2:L6, MATCH(E4,Recipients!A2:A6, 0))="")=TRUE),  "",  INDEX(Recipients!L2:L6, MATCH(E4,Recipients!A2:A6, 0))), "")</f>
        <v>1</v>
      </c>
      <c r="R4" s="4" t="b">
        <f>_xlfn.IFNA(IF(((INDEX(Recipients!K2:K6, MATCH(E4,Recipients!A2:A6, 0))="")=TRUE),  "",  INDEX(Recipients!K2:K6, MATCH(E4,Recipients!A2:A6, 0))), "")</f>
        <v>1</v>
      </c>
      <c r="S4" s="4" t="b">
        <f>IF(((L4 = "SMS")=TRUE),  Q4,  R4)</f>
        <v>1</v>
      </c>
      <c r="T4" s="4" t="b">
        <f>AND(((M4)=TRUE), ((AND(((P4)=TRUE), ((S4)=TRUE)))=TRUE))</f>
        <v>1</v>
      </c>
      <c r="U4" s="6">
        <f>IF((_xlfn.IFNA(IF(((INDEX(CommunicationPolicies!Q2:Q3, MATCH(K4,CommunicationPolicies!A2:A3, 0))="")=TRUE),  "",  INDEX(CommunicationPolicies!Q2:Q3, MATCH(K4,CommunicationPolicies!A2:A3, 0))), ""))="", "", ROUND((_xlfn.IFNA(IF(((INDEX(CommunicationPolicies!Q2:Q3, MATCH(K4,CommunicationPolicies!A2:A3, 0))="")=TRUE),  "",  INDEX(CommunicationPolicies!Q2:Q3, MATCH(K4,CommunicationPolicies!A2:A3, 0))), "")), 0))</f>
        <v>20</v>
      </c>
      <c r="V4" s="6">
        <f>IF((_xlfn.IFNA(IF(((INDEX(CommunicationPolicies!R2:R3, MATCH(K4,CommunicationPolicies!A2:A3, 0))="")=TRUE),  "",  INDEX(CommunicationPolicies!R2:R3, MATCH(K4,CommunicationPolicies!A2:A3, 0))), ""))="", "", ROUND((_xlfn.IFNA(IF(((INDEX(CommunicationPolicies!R2:R3, MATCH(K4,CommunicationPolicies!A2:A3, 0))="")=TRUE),  "",  INDEX(CommunicationPolicies!R2:R3, MATCH(K4,CommunicationPolicies!A2:A3, 0))), "")), 0))</f>
        <v>8</v>
      </c>
      <c r="W4" s="4" t="b">
        <f>U4 &lt;&gt; V4</f>
        <v>1</v>
      </c>
      <c r="X4" s="4" t="b">
        <f>U4 &gt; V4</f>
        <v>1</v>
      </c>
      <c r="Y4" s="4" t="b">
        <f>IF(((X4)=TRUE),  OR(((H4 &gt;= U4)=TRUE), ((H4 &lt; V4)=TRUE)),  AND(((H4 &gt;= U4)=TRUE), ((H4 &lt; V4)=TRUE)))</f>
        <v>1</v>
      </c>
      <c r="Z4" s="4" t="b">
        <f>OR(((NOT(((W4)=TRUE)))=TRUE), ((NOT(((Y4)=TRUE)))=TRUE))</f>
        <v>0</v>
      </c>
      <c r="AA4" s="6">
        <f>IF((IF(((Z4)=TRUE),  0,  IF(((H4 &lt; V4)=TRUE),  V4 - H4,  24 - H4 + V4)))="", "", ROUND((IF(((Z4)=TRUE),  0,  IF(((H4 &lt; V4)=TRUE),  V4 - H4,  24 - H4 + V4))), 0))</f>
        <v>11</v>
      </c>
      <c r="AB4" s="6">
        <f>IF((_xlfn.IFNA(IF(((INDEX(CommunicationPolicies!I2:I3, MATCH(K4,CommunicationPolicies!A2:A3, 0))="")=TRUE),  "",  INDEX(CommunicationPolicies!I2:I3, MATCH(K4,CommunicationPolicies!A2:A3, 0))), ""))="", "", ROUND((_xlfn.IFNA(IF(((INDEX(CommunicationPolicies!I2:I3, MATCH(K4,CommunicationPolicies!A2:A3, 0))="")=TRUE),  "",  INDEX(CommunicationPolicies!I2:I3, MATCH(K4,CommunicationPolicies!A2:A3, 0))), "")), 0))</f>
        <v>160</v>
      </c>
      <c r="AC4" s="6">
        <f>IF((_xlfn.IFNA(IF(((INDEX(CommunicationPolicies!J2:J3, MATCH(K4,CommunicationPolicies!A2:A3, 0))="")=TRUE),  "",  INDEX(CommunicationPolicies!J2:J3, MATCH(K4,CommunicationPolicies!A2:A3, 0))), ""))="", "", ROUND((_xlfn.IFNA(IF(((INDEX(CommunicationPolicies!J2:J3, MATCH(K4,CommunicationPolicies!A2:A3, 0))="")=TRUE),  "",  INDEX(CommunicationPolicies!J2:J3, MATCH(K4,CommunicationPolicies!A2:A3, 0))), "")), 0))</f>
        <v>3</v>
      </c>
      <c r="AD4" s="8">
        <v>95</v>
      </c>
      <c r="AE4" s="8">
        <v>1</v>
      </c>
      <c r="AF4" s="4" t="b">
        <f>AND(((AD4 &gt; 0)=TRUE), ((AE4 &lt;= AC4)=TRUE))</f>
        <v>1</v>
      </c>
      <c r="AG4" s="4" t="str">
        <f>_xlfn.IFNA(IF(((INDEX(CommunicationPolicies!T2:T3, MATCH(K4,CommunicationPolicies!A2:A3, 0))="")=TRUE),  "",  INDEX(CommunicationPolicies!T2:T3, MATCH(K4,CommunicationPolicies!A2:A3, 0))), "")</f>
        <v>Reply STOP to opt out</v>
      </c>
      <c r="AH4" s="8">
        <v>75</v>
      </c>
      <c r="AI4" s="4" t="b">
        <f>OR(((AG4 = "")=TRUE), ((AND(((AH4 &gt; 0)=TRUE), ((AH4 &lt;= AB4)=TRUE)))=TRUE))</f>
        <v>1</v>
      </c>
      <c r="AJ4" s="4" t="b">
        <f>AND(((AF4)=TRUE), ((AI4)=TRUE))</f>
        <v>1</v>
      </c>
      <c r="AK4" s="4" t="b">
        <f>_xlfn.IFNA(IF(((INDEX(MessageTemplates!T2:T3, MATCH(F4,MessageTemplates!A2:A3, 0))="")=TRUE),  "",  INDEX(MessageTemplates!T2:T3, MATCH(F4,MessageTemplates!A2:A3, 0))), "")</f>
        <v>1</v>
      </c>
      <c r="AL4" s="4" t="b">
        <f>_xlfn.IFNA(IF(((INDEX(ProcedureExecutions!AC2:AC3, MATCH(C4,ProcedureExecutions!A2:A3, 0))="")=TRUE),  "",  INDEX(ProcedureExecutions!AC2:AC3, MATCH(C4,ProcedureExecutions!A2:A3, 0))), "")</f>
        <v>1</v>
      </c>
      <c r="AM4" s="4" t="str">
        <f>_xlfn.IFNA(IF(((INDEX(CommunicationPolicies!L2:L3, MATCH(K4,CommunicationPolicies!A2:A3, 0))="")=TRUE),  "",  INDEX(CommunicationPolicies!L2:L3, MATCH(K4,CommunicationPolicies!A2:A3, 0))), "")</f>
        <v>communications-manager</v>
      </c>
      <c r="AN4" s="4" t="str">
        <f>_xlfn.IFNA(IF(((INDEX(Roles!F2:F13, MATCH(AM4,Roles!A2:A13, 0))="")=TRUE),  "",  INDEX(Roles!F2:F13, MATCH(AM4,Roles!A2:A13, 0))), "")</f>
        <v>Human</v>
      </c>
      <c r="AO4" s="4" t="b">
        <f>AN4 = "Human"</f>
        <v>1</v>
      </c>
      <c r="AP4" s="4" t="b">
        <f>AND(((AK4)=TRUE), ((AND(((AL4)=TRUE), ((AO4)=TRUE)))=TRUE))</f>
        <v>1</v>
      </c>
      <c r="AQ4" s="4" t="b">
        <f>AND(((T4)=TRUE), ((AND(((Z4)=TRUE), ((AND(((AJ4)=TRUE), ((AP4)=TRUE)))=TRUE)))=TRUE))</f>
        <v>0</v>
      </c>
      <c r="AR4" s="4" t="str">
        <f>IF(((AQ4)=TRUE),  "",  IF(((NOT(((T4)=TRUE)))=TRUE),  "Permission",  IF(((NOT(((Z4)=TRUE)))=TRUE),  "Timing",  IF(((NOT(((AJ4)=TRUE)))=TRUE),  "Content",  "Authorization"))))</f>
        <v>Timing</v>
      </c>
      <c r="AS4" s="4" t="b">
        <f>J4 &lt;&gt; ""</f>
        <v>0</v>
      </c>
      <c r="AT4" s="4" t="str">
        <f>_xlfn.IFNA(IF(((INDEX(MessageDeliveries!S2:S7, MATCH(J4,MessageDeliveries!A2:A7, 0))="")=TRUE),  "",  INDEX(MessageDeliveries!S2:S7, MATCH(J4,MessageDeliveries!A2:A7, 0))), "")</f>
      </c>
      <c r="AU4" s="4" t="b">
        <f>AND(((NOT(((AQ4)=TRUE)))=TRUE), ((AND(((AS4)=TRUE), ((AT4)=TRUE)))=TRUE))</f>
        <v>0</v>
      </c>
      <c r="AV4" s="4" t="b">
        <f>AND(((NOT(((AQ4)=TRUE)))=TRUE), ((NOT(((AS4)=TRUE)))=TRUE))</f>
        <v>1</v>
      </c>
      <c r="AW4" s="4" t="str">
        <f>_xlfn.IFNA(IF(((INDEX(MessageDeliveries!M2:M7, MATCH(J4,MessageDeliveries!A2:A7, 0))="")=TRUE),  "",  INDEX(MessageDeliveries!M2:M7, MATCH(J4,MessageDeliveries!A2:A7, 0))), "")</f>
      </c>
      <c r="AX4" s="4" t="b">
        <f>AW4 &lt;&gt; ""</f>
        <v>0</v>
      </c>
      <c r="AY4" s="4" t="b">
        <f>AND(((NOT(((AQ4)=TRUE)))=TRUE), ((AND(((AS4)=TRUE), ((AND(((NOT(((AT4)=TRUE)))=TRUE), ((AX4)=TRUE)))=TRUE)))=TRUE))</f>
        <v>0</v>
      </c>
      <c r="AZ4" s="4" t="str">
        <f>IF(((OR(((AU4)=TRUE), ((AV4)=TRUE)))=TRUE),  C4,  "")</f>
        <v>exec-policy-hr4821</v>
      </c>
      <c r="BA4" s="4" t="str">
        <f>C4</f>
        <v>exec-policy-hr4821</v>
      </c>
      <c r="BB4" s="4" t="str">
        <f>IF(((AND(((AS4)=TRUE), ((AT4)=TRUE)))=TRUE),  C4,  "")</f>
      </c>
      <c r="BC4" s="4" t="str">
        <f>IF(((AV4)=TRUE),  C4,  "")</f>
        <v>exec-policy-hr4821</v>
      </c>
      <c r="BD4" s="4" t="b">
        <f>AK4</f>
        <v>1</v>
      </c>
      <c r="BE4" s="4" t="b">
        <f>AND(((BD4)=TRUE), ((NOT(((AJ4)=TRUE)))=TRUE))</f>
        <v>0</v>
      </c>
      <c r="BF4" s="4" t="b">
        <f>AND(((NOT(((AI4)=TRUE)))=TRUE), ((AF4)=TRUE))</f>
        <v>0</v>
      </c>
      <c r="BG4" s="4" t="b">
        <f>AND(((NOT(((AQ4)=TRUE)))=TRUE), ((OR(((NOT(((AJ4)=TRUE)))=TRUE), ((NOT(((Z4)=TRUE)))=TRUE)))=TRUE))</f>
        <v>1</v>
      </c>
      <c r="BH4" s="4" t="b">
        <f>AND(((NOT(((AQ4)=TRUE)))=TRUE), ((OR(((NOT(((T4)=TRUE)))=TRUE), ((NOT(((AP4)=TRUE)))=TRUE)))=TRUE))</f>
        <v>0</v>
      </c>
      <c r="BI4" s="3"/>
      <c r="BJ4" s="4" t="b">
        <f>AND(((BG4)=TRUE), ((NOT(((BI4)=TRUE)))=TRUE))</f>
        <v>1</v>
      </c>
      <c r="BK4" s="4" t="b">
        <f>AND(((BE4)=TRUE), ((NOT(((BI4)=TRUE)))=TRUE))</f>
        <v>0</v>
      </c>
      <c r="BL4" s="3"/>
      <c r="BM4" s="4" t="b">
        <f>BL4 &lt;&gt; ""</f>
        <v>0</v>
      </c>
      <c r="BN4" s="4" t="str">
        <f>_xlfn.IFNA(IF(((INDEX(AQ4, MATCH(BL4,A4, 0))="")=TRUE),  "",  INDEX(AQ4, MATCH(BL4,A4, 0))), "")</f>
      </c>
      <c r="BO4" s="4" t="b">
        <f>AND(((NOT(((AQ4)=TRUE)))=TRUE), ((NOT(((BM4)=TRUE)))=TRUE))</f>
        <v>1</v>
      </c>
      <c r="BP4" s="4" t="b">
        <f>AND(((AX4)=TRUE), ((AW4 &lt;&gt; "")=TRUE))</f>
        <v>0</v>
      </c>
      <c r="BQ4" s="4" t="b">
        <f>AND(((BP4)=TRUE), ((AND(((BM4)=TRUE), ((BN4)=TRUE)))=TRUE))</f>
        <v>0</v>
      </c>
      <c r="BR4" s="4" t="b">
        <f>AND(((BP4)=TRUE), ((NOT(((BQ4)=TRUE)))=TRUE))</f>
        <v>0</v>
      </c>
      <c r="BS4" s="5"/>
      <c r="BT4" s="3"/>
      <c r="BU4" s="4" t="b">
        <f>BS4 &lt;&gt; ""</f>
        <v>0</v>
      </c>
      <c r="BV4" s="4" t="b">
        <f>BT4 &lt;&gt; ""</f>
        <v>0</v>
      </c>
      <c r="BW4" s="4" t="b">
        <f>AND(((AV4)=TRUE), ((AND(((NOT(((BU4)=TRUE)))=TRUE), ((NOT(((AX4)=TRUE)))=TRUE)))=TRUE))</f>
        <v>1</v>
      </c>
      <c r="BX4" s="4" t="b">
        <f>AND(((NOT(((AQ4)=TRUE)))=TRUE), ((NOT(((BV4)=TRUE)))=TRUE))</f>
        <v>1</v>
      </c>
      <c r="BY4" s="4">
        <f>IF(((BW4)=TRUE),  BT4,  "")</f>
        <v>0</v>
      </c>
      <c r="BZ4" s="4" t="str">
        <f>IF(((BW4)=TRUE),  C4,  "")</f>
        <v>exec-policy-hr4821</v>
      </c>
      <c r="CA4" s="3"/>
      <c r="CB4" s="4" t="b">
        <f>AND(((NOT(((Z4)=TRUE)))=TRUE), ((AND(((T4)=TRUE), ((AJ4)=TRUE)))=TRUE))</f>
        <v>1</v>
      </c>
      <c r="CC4" s="3" t="s">
        <v>95</v>
      </c>
      <c r="CD4" s="7">
        <f>_xlfn.IFNA(IF(((INDEX(EvaluationContexts!D2:D2, MATCH(CC4,EvaluationContexts!A2:A2, 0))="")=TRUE),  "",  INDEX(EvaluationContexts!D2:D2, MATCH(CC4,EvaluationContexts!A2:A2, 0))), "")</f>
        <v>46222.75</v>
      </c>
      <c r="CE4" s="4" t="b">
        <f>AND(((AA4 &gt; 0)=TRUE), ((IF(((OR((((CD4)="")=TRUE), (((I4)="")=TRUE)))=TRUE),  0,  ((CD4 - I4) * 24)) &gt; AA4)=TRUE))</f>
        <v>1</v>
      </c>
      <c r="CF4" s="4" t="b">
        <f>CA4 &lt;&gt; ""</f>
        <v>0</v>
      </c>
      <c r="CG4" s="4" t="str">
        <f>_xlfn.IFNA(IF(((INDEX(AQ4, MATCH(CA4,A4, 0))="")=TRUE),  "",  INDEX(AQ4, MATCH(CA4,A4, 0))), "")</f>
      </c>
      <c r="CH4" s="4" t="b">
        <f>AND(((CB4)=TRUE), ((AND(((CE4)=TRUE), ((NOT(((CF4)=TRUE)))=TRUE)))=TRUE))</f>
        <v>1</v>
      </c>
      <c r="CI4" s="6">
        <f>IF((IF(((OR((((CD4)="")=TRUE), (((I4)="")=TRUE)))=TRUE),  0,  ((CD4 - I4) * 24)))="", "", ROUND((IF(((OR((((CD4)="")=TRUE), (((I4)="")=TRUE)))=TRUE),  0,  ((CD4 - I4) * 24))), 0))</f>
        <v>23</v>
      </c>
      <c r="CJ4" s="4" t="b">
        <f>AND(((CB4)=TRUE), ((CI4 &gt; 24)=TRUE))</f>
        <v>0</v>
      </c>
      <c r="CK4" s="3"/>
      <c r="CL4" s="4" t="str">
        <f>_xlfn.IFNA(IF(((INDEX(RoleAssignments!BJ2:BJ14, MATCH(CK4,RoleAssignments!A2:A14, 0))="")=TRUE),  "",  INDEX(RoleAssignments!BJ2:BJ14, MATCH(CK4,RoleAssignments!A2:A14, 0))), "")</f>
      </c>
      <c r="CM4" s="4" t="b">
        <f>CN4 &lt;&gt; ""</f>
        <v>1</v>
      </c>
      <c r="CN4" s="4" t="str">
        <f>_xlfn.IFNA(IF(((INDEX(Recipients!G2:G6, MATCH(E4,Recipients!A2:A6, 0))="")=TRUE),  "",  INDEX(Recipients!G2:G6, MATCH(E4,Recipients!A2:A6, 0))), "")</f>
        <v>Granted</v>
      </c>
      <c r="CO4" s="4" t="b">
        <f>K4 &lt;&gt; ""</f>
        <v>1</v>
      </c>
      <c r="CP4" s="4" t="b">
        <f>AND(((CM4)=TRUE), ((CO4)=TRUE))</f>
        <v>1</v>
      </c>
      <c r="CQ4" s="4" t="b">
        <f>AND(((NOT(((AQ4)=TRUE)))=TRUE), ((NOT(((CP4)=TRUE)))=TRUE))</f>
        <v>0</v>
      </c>
      <c r="CR4" s="3"/>
      <c r="CS4" s="4" t="b">
        <f>NOT(((CR4)=TRUE))</f>
        <v>1</v>
      </c>
      <c r="CT4" s="4" t="b">
        <f>AND(((AS4)=TRUE), ((AT4)=TRUE))</f>
        <v>0</v>
      </c>
      <c r="CU4" s="4" t="str">
        <f>IF(((CT4)=TRUE),  C4,  "")</f>
      </c>
      <c r="CV4" s="3" t="s">
        <v>8321</v>
      </c>
    </row>
    <row r="5">
      <c r="A5" s="3" t="s">
        <v>8324</v>
      </c>
      <c r="B5" s="4" t="str">
        <f>E5 &amp; " / " &amp; F5 &amp; " / intent"</f>
        <v>rec-002 / tmpl-policy-sms / intent</v>
      </c>
      <c r="C5" s="3" t="s">
        <v>1344</v>
      </c>
      <c r="D5" s="3" t="s">
        <v>1464</v>
      </c>
      <c r="E5" s="3" t="s">
        <v>8283</v>
      </c>
      <c r="F5" s="3" t="s">
        <v>1750</v>
      </c>
      <c r="G5" s="3" t="s">
        <v>8325</v>
      </c>
      <c r="H5" s="8">
        <v>14</v>
      </c>
      <c r="I5" s="5">
        <v>46221.794444444444</v>
      </c>
      <c r="J5" s="3"/>
      <c r="K5" s="4" t="str">
        <f>_xlfn.IFNA(IF(((INDEX(MessageTemplates!C2:C3, MATCH(F5,MessageTemplates!A2:A3, 0))="")=TRUE),  "",  INDEX(MessageTemplates!C2:C3, MATCH(F5,MessageTemplates!A2:A3, 0))), "")</f>
        <v>comm-sms-policy</v>
      </c>
      <c r="L5" s="4" t="str">
        <f>_xlfn.IFNA(IF(((INDEX(CommunicationPolicies!D2:D3, MATCH(K5,CommunicationPolicies!A2:A3, 0))="")=TRUE),  "",  INDEX(CommunicationPolicies!D2:D3, MATCH(K5,CommunicationPolicies!A2:A3, 0))), "")</f>
        <v>SMS</v>
      </c>
      <c r="M5" s="4" t="b">
        <f>_xlfn.IFNA(IF(((INDEX(CommunicationPolicies!U2:U3, MATCH(K5,CommunicationPolicies!A2:A3, 0))="")=TRUE),  "",  INDEX(CommunicationPolicies!U2:U3, MATCH(K5,CommunicationPolicies!A2:A3, 0))), "")</f>
        <v>1</v>
      </c>
      <c r="N5" s="4" t="b">
        <f>_xlfn.IFNA(IF(((INDEX(CommunicationPolicies!F2:F3, MATCH(K5,CommunicationPolicies!A2:A3, 0))="")=TRUE),  "",  INDEX(CommunicationPolicies!F2:F3, MATCH(K5,CommunicationPolicies!A2:A3, 0))), "")</f>
        <v>1</v>
      </c>
      <c r="O5" s="4" t="b">
        <f>_xlfn.IFNA(IF(((INDEX(Recipients!J2:J6, MATCH(E5,Recipients!A2:A6, 0))="")=TRUE),  "",  INDEX(Recipients!J2:J6, MATCH(E5,Recipients!A2:A6, 0))), "")</f>
        <v>1</v>
      </c>
      <c r="P5" s="4" t="b">
        <f>OR(((NOT(((N5)=TRUE)))=TRUE), ((O5)=TRUE))</f>
        <v>1</v>
      </c>
      <c r="Q5" s="4" t="b">
        <f>_xlfn.IFNA(IF(((INDEX(Recipients!L2:L6, MATCH(E5,Recipients!A2:A6, 0))="")=TRUE),  "",  INDEX(Recipients!L2:L6, MATCH(E5,Recipients!A2:A6, 0))), "")</f>
        <v>1</v>
      </c>
      <c r="R5" s="4" t="b">
        <f>_xlfn.IFNA(IF(((INDEX(Recipients!K2:K6, MATCH(E5,Recipients!A2:A6, 0))="")=TRUE),  "",  INDEX(Recipients!K2:K6, MATCH(E5,Recipients!A2:A6, 0))), "")</f>
        <v>1</v>
      </c>
      <c r="S5" s="4" t="b">
        <f>IF(((L5 = "SMS")=TRUE),  Q5,  R5)</f>
        <v>1</v>
      </c>
      <c r="T5" s="4" t="b">
        <f>AND(((M5)=TRUE), ((AND(((P5)=TRUE), ((S5)=TRUE)))=TRUE))</f>
        <v>1</v>
      </c>
      <c r="U5" s="6">
        <f>IF((_xlfn.IFNA(IF(((INDEX(CommunicationPolicies!Q2:Q3, MATCH(K5,CommunicationPolicies!A2:A3, 0))="")=TRUE),  "",  INDEX(CommunicationPolicies!Q2:Q3, MATCH(K5,CommunicationPolicies!A2:A3, 0))), ""))="", "", ROUND((_xlfn.IFNA(IF(((INDEX(CommunicationPolicies!Q2:Q3, MATCH(K5,CommunicationPolicies!A2:A3, 0))="")=TRUE),  "",  INDEX(CommunicationPolicies!Q2:Q3, MATCH(K5,CommunicationPolicies!A2:A3, 0))), "")), 0))</f>
        <v>20</v>
      </c>
      <c r="V5" s="6">
        <f>IF((_xlfn.IFNA(IF(((INDEX(CommunicationPolicies!R2:R3, MATCH(K5,CommunicationPolicies!A2:A3, 0))="")=TRUE),  "",  INDEX(CommunicationPolicies!R2:R3, MATCH(K5,CommunicationPolicies!A2:A3, 0))), ""))="", "", ROUND((_xlfn.IFNA(IF(((INDEX(CommunicationPolicies!R2:R3, MATCH(K5,CommunicationPolicies!A2:A3, 0))="")=TRUE),  "",  INDEX(CommunicationPolicies!R2:R3, MATCH(K5,CommunicationPolicies!A2:A3, 0))), "")), 0))</f>
        <v>8</v>
      </c>
      <c r="W5" s="4" t="b">
        <f>U5 &lt;&gt; V5</f>
        <v>1</v>
      </c>
      <c r="X5" s="4" t="b">
        <f>U5 &gt; V5</f>
        <v>1</v>
      </c>
      <c r="Y5" s="4" t="b">
        <f>IF(((X5)=TRUE),  OR(((H5 &gt;= U5)=TRUE), ((H5 &lt; V5)=TRUE)),  AND(((H5 &gt;= U5)=TRUE), ((H5 &lt; V5)=TRUE)))</f>
        <v>0</v>
      </c>
      <c r="Z5" s="4" t="b">
        <f>OR(((NOT(((W5)=TRUE)))=TRUE), ((NOT(((Y5)=TRUE)))=TRUE))</f>
        <v>1</v>
      </c>
      <c r="AA5" s="6">
        <f>IF((IF(((Z5)=TRUE),  0,  IF(((H5 &lt; V5)=TRUE),  V5 - H5,  24 - H5 + V5)))="", "", ROUND((IF(((Z5)=TRUE),  0,  IF(((H5 &lt; V5)=TRUE),  V5 - H5,  24 - H5 + V5))), 0))</f>
        <v>0</v>
      </c>
      <c r="AB5" s="6">
        <f>IF((_xlfn.IFNA(IF(((INDEX(CommunicationPolicies!I2:I3, MATCH(K5,CommunicationPolicies!A2:A3, 0))="")=TRUE),  "",  INDEX(CommunicationPolicies!I2:I3, MATCH(K5,CommunicationPolicies!A2:A3, 0))), ""))="", "", ROUND((_xlfn.IFNA(IF(((INDEX(CommunicationPolicies!I2:I3, MATCH(K5,CommunicationPolicies!A2:A3, 0))="")=TRUE),  "",  INDEX(CommunicationPolicies!I2:I3, MATCH(K5,CommunicationPolicies!A2:A3, 0))), "")), 0))</f>
        <v>160</v>
      </c>
      <c r="AC5" s="6">
        <f>IF((_xlfn.IFNA(IF(((INDEX(CommunicationPolicies!J2:J3, MATCH(K5,CommunicationPolicies!A2:A3, 0))="")=TRUE),  "",  INDEX(CommunicationPolicies!J2:J3, MATCH(K5,CommunicationPolicies!A2:A3, 0))), ""))="", "", ROUND((_xlfn.IFNA(IF(((INDEX(CommunicationPolicies!J2:J3, MATCH(K5,CommunicationPolicies!A2:A3, 0))="")=TRUE),  "",  INDEX(CommunicationPolicies!J2:J3, MATCH(K5,CommunicationPolicies!A2:A3, 0))), "")), 0))</f>
        <v>3</v>
      </c>
      <c r="AD5" s="8">
        <v>243</v>
      </c>
      <c r="AE5" s="8">
        <v>2</v>
      </c>
      <c r="AF5" s="4" t="b">
        <f>AND(((AD5 &gt; 0)=TRUE), ((AE5 &lt;= AC5)=TRUE))</f>
        <v>1</v>
      </c>
      <c r="AG5" s="4" t="str">
        <f>_xlfn.IFNA(IF(((INDEX(CommunicationPolicies!T2:T3, MATCH(K5,CommunicationPolicies!A2:A3, 0))="")=TRUE),  "",  INDEX(CommunicationPolicies!T2:T3, MATCH(K5,CommunicationPolicies!A2:A3, 0))), "")</f>
        <v>Reply STOP to opt out</v>
      </c>
      <c r="AH5" s="8">
        <v>223</v>
      </c>
      <c r="AI5" s="4" t="b">
        <f>OR(((AG5 = "")=TRUE), ((AND(((AH5 &gt; 0)=TRUE), ((AH5 &lt;= AB5)=TRUE)))=TRUE))</f>
        <v>0</v>
      </c>
      <c r="AJ5" s="4" t="b">
        <f>AND(((AF5)=TRUE), ((AI5)=TRUE))</f>
        <v>0</v>
      </c>
      <c r="AK5" s="4" t="b">
        <f>_xlfn.IFNA(IF(((INDEX(MessageTemplates!T2:T3, MATCH(F5,MessageTemplates!A2:A3, 0))="")=TRUE),  "",  INDEX(MessageTemplates!T2:T3, MATCH(F5,MessageTemplates!A2:A3, 0))), "")</f>
        <v>1</v>
      </c>
      <c r="AL5" s="4" t="b">
        <f>_xlfn.IFNA(IF(((INDEX(ProcedureExecutions!AC2:AC3, MATCH(C5,ProcedureExecutions!A2:A3, 0))="")=TRUE),  "",  INDEX(ProcedureExecutions!AC2:AC3, MATCH(C5,ProcedureExecutions!A2:A3, 0))), "")</f>
        <v>1</v>
      </c>
      <c r="AM5" s="4" t="str">
        <f>_xlfn.IFNA(IF(((INDEX(CommunicationPolicies!L2:L3, MATCH(K5,CommunicationPolicies!A2:A3, 0))="")=TRUE),  "",  INDEX(CommunicationPolicies!L2:L3, MATCH(K5,CommunicationPolicies!A2:A3, 0))), "")</f>
        <v>communications-manager</v>
      </c>
      <c r="AN5" s="4" t="str">
        <f>_xlfn.IFNA(IF(((INDEX(Roles!F2:F13, MATCH(AM5,Roles!A2:A13, 0))="")=TRUE),  "",  INDEX(Roles!F2:F13, MATCH(AM5,Roles!A2:A13, 0))), "")</f>
        <v>Human</v>
      </c>
      <c r="AO5" s="4" t="b">
        <f>AN5 = "Human"</f>
        <v>1</v>
      </c>
      <c r="AP5" s="4" t="b">
        <f>AND(((AK5)=TRUE), ((AND(((AL5)=TRUE), ((AO5)=TRUE)))=TRUE))</f>
        <v>1</v>
      </c>
      <c r="AQ5" s="4" t="b">
        <f>AND(((T5)=TRUE), ((AND(((Z5)=TRUE), ((AND(((AJ5)=TRUE), ((AP5)=TRUE)))=TRUE)))=TRUE))</f>
        <v>0</v>
      </c>
      <c r="AR5" s="4" t="str">
        <f>IF(((AQ5)=TRUE),  "",  IF(((NOT(((T5)=TRUE)))=TRUE),  "Permission",  IF(((NOT(((Z5)=TRUE)))=TRUE),  "Timing",  IF(((NOT(((AJ5)=TRUE)))=TRUE),  "Content",  "Authorization"))))</f>
        <v>Content</v>
      </c>
      <c r="AS5" s="4" t="b">
        <f>J5 &lt;&gt; ""</f>
        <v>0</v>
      </c>
      <c r="AT5" s="4" t="str">
        <f>_xlfn.IFNA(IF(((INDEX(MessageDeliveries!S2:S7, MATCH(J5,MessageDeliveries!A2:A7, 0))="")=TRUE),  "",  INDEX(MessageDeliveries!S2:S7, MATCH(J5,MessageDeliveries!A2:A7, 0))), "")</f>
      </c>
      <c r="AU5" s="4" t="b">
        <f>AND(((NOT(((AQ5)=TRUE)))=TRUE), ((AND(((AS5)=TRUE), ((AT5)=TRUE)))=TRUE))</f>
        <v>0</v>
      </c>
      <c r="AV5" s="4" t="b">
        <f>AND(((NOT(((AQ5)=TRUE)))=TRUE), ((NOT(((AS5)=TRUE)))=TRUE))</f>
        <v>1</v>
      </c>
      <c r="AW5" s="4" t="str">
        <f>_xlfn.IFNA(IF(((INDEX(MessageDeliveries!M2:M7, MATCH(J5,MessageDeliveries!A2:A7, 0))="")=TRUE),  "",  INDEX(MessageDeliveries!M2:M7, MATCH(J5,MessageDeliveries!A2:A7, 0))), "")</f>
      </c>
      <c r="AX5" s="4" t="b">
        <f>AW5 &lt;&gt; ""</f>
        <v>0</v>
      </c>
      <c r="AY5" s="4" t="b">
        <f>AND(((NOT(((AQ5)=TRUE)))=TRUE), ((AND(((AS5)=TRUE), ((AND(((NOT(((AT5)=TRUE)))=TRUE), ((AX5)=TRUE)))=TRUE)))=TRUE))</f>
        <v>0</v>
      </c>
      <c r="AZ5" s="4" t="str">
        <f>IF(((OR(((AU5)=TRUE), ((AV5)=TRUE)))=TRUE),  C5,  "")</f>
        <v>exec-policy-hr4821</v>
      </c>
      <c r="BA5" s="4" t="str">
        <f>C5</f>
        <v>exec-policy-hr4821</v>
      </c>
      <c r="BB5" s="4" t="str">
        <f>IF(((AND(((AS5)=TRUE), ((AT5)=TRUE)))=TRUE),  C5,  "")</f>
      </c>
      <c r="BC5" s="4" t="str">
        <f>IF(((AV5)=TRUE),  C5,  "")</f>
        <v>exec-policy-hr4821</v>
      </c>
      <c r="BD5" s="4" t="b">
        <f>AK5</f>
        <v>1</v>
      </c>
      <c r="BE5" s="4" t="b">
        <f>AND(((BD5)=TRUE), ((NOT(((AJ5)=TRUE)))=TRUE))</f>
        <v>1</v>
      </c>
      <c r="BF5" s="4" t="b">
        <f>AND(((NOT(((AI5)=TRUE)))=TRUE), ((AF5)=TRUE))</f>
        <v>1</v>
      </c>
      <c r="BG5" s="4" t="b">
        <f>AND(((NOT(((AQ5)=TRUE)))=TRUE), ((OR(((NOT(((AJ5)=TRUE)))=TRUE), ((NOT(((Z5)=TRUE)))=TRUE)))=TRUE))</f>
        <v>1</v>
      </c>
      <c r="BH5" s="4" t="b">
        <f>AND(((NOT(((AQ5)=TRUE)))=TRUE), ((OR(((NOT(((T5)=TRUE)))=TRUE), ((NOT(((AP5)=TRUE)))=TRUE)))=TRUE))</f>
        <v>0</v>
      </c>
      <c r="BI5" s="3"/>
      <c r="BJ5" s="4" t="b">
        <f>AND(((BG5)=TRUE), ((NOT(((BI5)=TRUE)))=TRUE))</f>
        <v>1</v>
      </c>
      <c r="BK5" s="4" t="b">
        <f>AND(((BE5)=TRUE), ((NOT(((BI5)=TRUE)))=TRUE))</f>
        <v>1</v>
      </c>
      <c r="BL5" s="3"/>
      <c r="BM5" s="4" t="b">
        <f>BL5 &lt;&gt; ""</f>
        <v>0</v>
      </c>
      <c r="BN5" s="4" t="str">
        <f>_xlfn.IFNA(IF(((INDEX(AQ5, MATCH(BL5,A5, 0))="")=TRUE),  "",  INDEX(AQ5, MATCH(BL5,A5, 0))), "")</f>
      </c>
      <c r="BO5" s="4" t="b">
        <f>AND(((NOT(((AQ5)=TRUE)))=TRUE), ((NOT(((BM5)=TRUE)))=TRUE))</f>
        <v>1</v>
      </c>
      <c r="BP5" s="4" t="b">
        <f>AND(((AX5)=TRUE), ((AW5 &lt;&gt; "")=TRUE))</f>
        <v>0</v>
      </c>
      <c r="BQ5" s="4" t="b">
        <f>AND(((BP5)=TRUE), ((AND(((BM5)=TRUE), ((BN5)=TRUE)))=TRUE))</f>
        <v>0</v>
      </c>
      <c r="BR5" s="4" t="b">
        <f>AND(((BP5)=TRUE), ((NOT(((BQ5)=TRUE)))=TRUE))</f>
        <v>0</v>
      </c>
      <c r="BS5" s="5"/>
      <c r="BT5" s="3"/>
      <c r="BU5" s="4" t="b">
        <f>BS5 &lt;&gt; ""</f>
        <v>0</v>
      </c>
      <c r="BV5" s="4" t="b">
        <f>BT5 &lt;&gt; ""</f>
        <v>0</v>
      </c>
      <c r="BW5" s="4" t="b">
        <f>AND(((AV5)=TRUE), ((AND(((NOT(((BU5)=TRUE)))=TRUE), ((NOT(((AX5)=TRUE)))=TRUE)))=TRUE))</f>
        <v>1</v>
      </c>
      <c r="BX5" s="4" t="b">
        <f>AND(((NOT(((AQ5)=TRUE)))=TRUE), ((NOT(((BV5)=TRUE)))=TRUE))</f>
        <v>1</v>
      </c>
      <c r="BY5" s="4">
        <f>IF(((BW5)=TRUE),  BT5,  "")</f>
        <v>0</v>
      </c>
      <c r="BZ5" s="4" t="str">
        <f>IF(((BW5)=TRUE),  C5,  "")</f>
        <v>exec-policy-hr4821</v>
      </c>
      <c r="CA5" s="3"/>
      <c r="CB5" s="4" t="b">
        <f>AND(((NOT(((Z5)=TRUE)))=TRUE), ((AND(((T5)=TRUE), ((AJ5)=TRUE)))=TRUE))</f>
        <v>0</v>
      </c>
      <c r="CC5" s="3" t="s">
        <v>95</v>
      </c>
      <c r="CD5" s="7">
        <f>_xlfn.IFNA(IF(((INDEX(EvaluationContexts!D2:D2, MATCH(CC5,EvaluationContexts!A2:A2, 0))="")=TRUE),  "",  INDEX(EvaluationContexts!D2:D2, MATCH(CC5,EvaluationContexts!A2:A2, 0))), "")</f>
        <v>46222.75</v>
      </c>
      <c r="CE5" s="4" t="b">
        <f>AND(((AA5 &gt; 0)=TRUE), ((IF(((OR((((CD5)="")=TRUE), (((I5)="")=TRUE)))=TRUE),  0,  ((CD5 - I5) * 24)) &gt; AA5)=TRUE))</f>
        <v>0</v>
      </c>
      <c r="CF5" s="4" t="b">
        <f>CA5 &lt;&gt; ""</f>
        <v>0</v>
      </c>
      <c r="CG5" s="4" t="str">
        <f>_xlfn.IFNA(IF(((INDEX(AQ5, MATCH(CA5,A5, 0))="")=TRUE),  "",  INDEX(AQ5, MATCH(CA5,A5, 0))), "")</f>
      </c>
      <c r="CH5" s="4" t="b">
        <f>AND(((CB5)=TRUE), ((AND(((CE5)=TRUE), ((NOT(((CF5)=TRUE)))=TRUE)))=TRUE))</f>
        <v>0</v>
      </c>
      <c r="CI5" s="6">
        <f>IF((IF(((OR((((CD5)="")=TRUE), (((I5)="")=TRUE)))=TRUE),  0,  ((CD5 - I5) * 24)))="", "", ROUND((IF(((OR((((CD5)="")=TRUE), (((I5)="")=TRUE)))=TRUE),  0,  ((CD5 - I5) * 24))), 0))</f>
        <v>23</v>
      </c>
      <c r="CJ5" s="4" t="b">
        <f>AND(((CB5)=TRUE), ((CI5 &gt; 24)=TRUE))</f>
        <v>0</v>
      </c>
      <c r="CK5" s="3"/>
      <c r="CL5" s="4" t="str">
        <f>_xlfn.IFNA(IF(((INDEX(RoleAssignments!BJ2:BJ14, MATCH(CK5,RoleAssignments!A2:A14, 0))="")=TRUE),  "",  INDEX(RoleAssignments!BJ2:BJ14, MATCH(CK5,RoleAssignments!A2:A14, 0))), "")</f>
      </c>
      <c r="CM5" s="4" t="b">
        <f>CN5 &lt;&gt; ""</f>
        <v>1</v>
      </c>
      <c r="CN5" s="4" t="str">
        <f>_xlfn.IFNA(IF(((INDEX(Recipients!G2:G6, MATCH(E5,Recipients!A2:A6, 0))="")=TRUE),  "",  INDEX(Recipients!G2:G6, MATCH(E5,Recipients!A2:A6, 0))), "")</f>
        <v>Granted</v>
      </c>
      <c r="CO5" s="4" t="b">
        <f>K5 &lt;&gt; ""</f>
        <v>1</v>
      </c>
      <c r="CP5" s="4" t="b">
        <f>AND(((CM5)=TRUE), ((CO5)=TRUE))</f>
        <v>1</v>
      </c>
      <c r="CQ5" s="4" t="b">
        <f>AND(((NOT(((AQ5)=TRUE)))=TRUE), ((NOT(((CP5)=TRUE)))=TRUE))</f>
        <v>0</v>
      </c>
      <c r="CR5" s="3"/>
      <c r="CS5" s="4" t="b">
        <f>NOT(((CR5)=TRUE))</f>
        <v>1</v>
      </c>
      <c r="CT5" s="4" t="b">
        <f>AND(((AS5)=TRUE), ((AT5)=TRUE))</f>
        <v>0</v>
      </c>
      <c r="CU5" s="4" t="str">
        <f>IF(((CT5)=TRUE),  C5,  "")</f>
      </c>
      <c r="CV5" s="3" t="s">
        <v>8321</v>
      </c>
    </row>
    <row r="6">
      <c r="A6" s="3" t="s">
        <v>8326</v>
      </c>
      <c r="B6" s="4" t="str">
        <f>E6 &amp; " / " &amp; F6 &amp; " / intent"</f>
        <v>rec-002 / tmpl-policy-sms / intent</v>
      </c>
      <c r="C6" s="3" t="s">
        <v>1344</v>
      </c>
      <c r="D6" s="3" t="s">
        <v>1464</v>
      </c>
      <c r="E6" s="3" t="s">
        <v>8283</v>
      </c>
      <c r="F6" s="3" t="s">
        <v>1750</v>
      </c>
      <c r="G6" s="3" t="s">
        <v>8327</v>
      </c>
      <c r="H6" s="8">
        <v>14</v>
      </c>
      <c r="I6" s="5">
        <v>46221.794444444444</v>
      </c>
      <c r="J6" s="3"/>
      <c r="K6" s="4" t="str">
        <f>_xlfn.IFNA(IF(((INDEX(MessageTemplates!C2:C3, MATCH(F6,MessageTemplates!A2:A3, 0))="")=TRUE),  "",  INDEX(MessageTemplates!C2:C3, MATCH(F6,MessageTemplates!A2:A3, 0))), "")</f>
        <v>comm-sms-policy</v>
      </c>
      <c r="L6" s="4" t="str">
        <f>_xlfn.IFNA(IF(((INDEX(CommunicationPolicies!D2:D3, MATCH(K6,CommunicationPolicies!A2:A3, 0))="")=TRUE),  "",  INDEX(CommunicationPolicies!D2:D3, MATCH(K6,CommunicationPolicies!A2:A3, 0))), "")</f>
        <v>SMS</v>
      </c>
      <c r="M6" s="4" t="b">
        <f>_xlfn.IFNA(IF(((INDEX(CommunicationPolicies!U2:U3, MATCH(K6,CommunicationPolicies!A2:A3, 0))="")=TRUE),  "",  INDEX(CommunicationPolicies!U2:U3, MATCH(K6,CommunicationPolicies!A2:A3, 0))), "")</f>
        <v>1</v>
      </c>
      <c r="N6" s="4" t="b">
        <f>_xlfn.IFNA(IF(((INDEX(CommunicationPolicies!F2:F3, MATCH(K6,CommunicationPolicies!A2:A3, 0))="")=TRUE),  "",  INDEX(CommunicationPolicies!F2:F3, MATCH(K6,CommunicationPolicies!A2:A3, 0))), "")</f>
        <v>1</v>
      </c>
      <c r="O6" s="4" t="b">
        <f>_xlfn.IFNA(IF(((INDEX(Recipients!J2:J6, MATCH(E6,Recipients!A2:A6, 0))="")=TRUE),  "",  INDEX(Recipients!J2:J6, MATCH(E6,Recipients!A2:A6, 0))), "")</f>
        <v>1</v>
      </c>
      <c r="P6" s="4" t="b">
        <f>OR(((NOT(((N6)=TRUE)))=TRUE), ((O6)=TRUE))</f>
        <v>1</v>
      </c>
      <c r="Q6" s="4" t="b">
        <f>_xlfn.IFNA(IF(((INDEX(Recipients!L2:L6, MATCH(E6,Recipients!A2:A6, 0))="")=TRUE),  "",  INDEX(Recipients!L2:L6, MATCH(E6,Recipients!A2:A6, 0))), "")</f>
        <v>1</v>
      </c>
      <c r="R6" s="4" t="b">
        <f>_xlfn.IFNA(IF(((INDEX(Recipients!K2:K6, MATCH(E6,Recipients!A2:A6, 0))="")=TRUE),  "",  INDEX(Recipients!K2:K6, MATCH(E6,Recipients!A2:A6, 0))), "")</f>
        <v>1</v>
      </c>
      <c r="S6" s="4" t="b">
        <f>IF(((L6 = "SMS")=TRUE),  Q6,  R6)</f>
        <v>1</v>
      </c>
      <c r="T6" s="4" t="b">
        <f>AND(((M6)=TRUE), ((AND(((P6)=TRUE), ((S6)=TRUE)))=TRUE))</f>
        <v>1</v>
      </c>
      <c r="U6" s="6">
        <f>IF((_xlfn.IFNA(IF(((INDEX(CommunicationPolicies!Q2:Q3, MATCH(K6,CommunicationPolicies!A2:A3, 0))="")=TRUE),  "",  INDEX(CommunicationPolicies!Q2:Q3, MATCH(K6,CommunicationPolicies!A2:A3, 0))), ""))="", "", ROUND((_xlfn.IFNA(IF(((INDEX(CommunicationPolicies!Q2:Q3, MATCH(K6,CommunicationPolicies!A2:A3, 0))="")=TRUE),  "",  INDEX(CommunicationPolicies!Q2:Q3, MATCH(K6,CommunicationPolicies!A2:A3, 0))), "")), 0))</f>
        <v>20</v>
      </c>
      <c r="V6" s="6">
        <f>IF((_xlfn.IFNA(IF(((INDEX(CommunicationPolicies!R2:R3, MATCH(K6,CommunicationPolicies!A2:A3, 0))="")=TRUE),  "",  INDEX(CommunicationPolicies!R2:R3, MATCH(K6,CommunicationPolicies!A2:A3, 0))), ""))="", "", ROUND((_xlfn.IFNA(IF(((INDEX(CommunicationPolicies!R2:R3, MATCH(K6,CommunicationPolicies!A2:A3, 0))="")=TRUE),  "",  INDEX(CommunicationPolicies!R2:R3, MATCH(K6,CommunicationPolicies!A2:A3, 0))), "")), 0))</f>
        <v>8</v>
      </c>
      <c r="W6" s="4" t="b">
        <f>U6 &lt;&gt; V6</f>
        <v>1</v>
      </c>
      <c r="X6" s="4" t="b">
        <f>U6 &gt; V6</f>
        <v>1</v>
      </c>
      <c r="Y6" s="4" t="b">
        <f>IF(((X6)=TRUE),  OR(((H6 &gt;= U6)=TRUE), ((H6 &lt; V6)=TRUE)),  AND(((H6 &gt;= U6)=TRUE), ((H6 &lt; V6)=TRUE)))</f>
        <v>0</v>
      </c>
      <c r="Z6" s="4" t="b">
        <f>OR(((NOT(((W6)=TRUE)))=TRUE), ((NOT(((Y6)=TRUE)))=TRUE))</f>
        <v>1</v>
      </c>
      <c r="AA6" s="6">
        <f>IF((IF(((Z6)=TRUE),  0,  IF(((H6 &lt; V6)=TRUE),  V6 - H6,  24 - H6 + V6)))="", "", ROUND((IF(((Z6)=TRUE),  0,  IF(((H6 &lt; V6)=TRUE),  V6 - H6,  24 - H6 + V6))), 0))</f>
        <v>0</v>
      </c>
      <c r="AB6" s="6">
        <f>IF((_xlfn.IFNA(IF(((INDEX(CommunicationPolicies!I2:I3, MATCH(K6,CommunicationPolicies!A2:A3, 0))="")=TRUE),  "",  INDEX(CommunicationPolicies!I2:I3, MATCH(K6,CommunicationPolicies!A2:A3, 0))), ""))="", "", ROUND((_xlfn.IFNA(IF(((INDEX(CommunicationPolicies!I2:I3, MATCH(K6,CommunicationPolicies!A2:A3, 0))="")=TRUE),  "",  INDEX(CommunicationPolicies!I2:I3, MATCH(K6,CommunicationPolicies!A2:A3, 0))), "")), 0))</f>
        <v>160</v>
      </c>
      <c r="AC6" s="6">
        <f>IF((_xlfn.IFNA(IF(((INDEX(CommunicationPolicies!J2:J3, MATCH(K6,CommunicationPolicies!A2:A3, 0))="")=TRUE),  "",  INDEX(CommunicationPolicies!J2:J3, MATCH(K6,CommunicationPolicies!A2:A3, 0))), ""))="", "", ROUND((_xlfn.IFNA(IF(((INDEX(CommunicationPolicies!J2:J3, MATCH(K6,CommunicationPolicies!A2:A3, 0))="")=TRUE),  "",  INDEX(CommunicationPolicies!J2:J3, MATCH(K6,CommunicationPolicies!A2:A3, 0))), "")), 0))</f>
        <v>3</v>
      </c>
      <c r="AD6" s="8">
        <v>73</v>
      </c>
      <c r="AE6" s="8">
        <v>1</v>
      </c>
      <c r="AF6" s="4" t="b">
        <f>AND(((AD6 &gt; 0)=TRUE), ((AE6 &lt;= AC6)=TRUE))</f>
        <v>1</v>
      </c>
      <c r="AG6" s="4" t="str">
        <f>_xlfn.IFNA(IF(((INDEX(CommunicationPolicies!T2:T3, MATCH(K6,CommunicationPolicies!A2:A3, 0))="")=TRUE),  "",  INDEX(CommunicationPolicies!T2:T3, MATCH(K6,CommunicationPolicies!A2:A3, 0))), "")</f>
        <v>Reply STOP to opt out</v>
      </c>
      <c r="AH6" s="8">
        <v>0</v>
      </c>
      <c r="AI6" s="4" t="b">
        <f>OR(((AG6 = "")=TRUE), ((AND(((AH6 &gt; 0)=TRUE), ((AH6 &lt;= AB6)=TRUE)))=TRUE))</f>
        <v>0</v>
      </c>
      <c r="AJ6" s="4" t="b">
        <f>AND(((AF6)=TRUE), ((AI6)=TRUE))</f>
        <v>0</v>
      </c>
      <c r="AK6" s="4" t="b">
        <f>_xlfn.IFNA(IF(((INDEX(MessageTemplates!T2:T3, MATCH(F6,MessageTemplates!A2:A3, 0))="")=TRUE),  "",  INDEX(MessageTemplates!T2:T3, MATCH(F6,MessageTemplates!A2:A3, 0))), "")</f>
        <v>1</v>
      </c>
      <c r="AL6" s="4" t="b">
        <f>_xlfn.IFNA(IF(((INDEX(ProcedureExecutions!AC2:AC3, MATCH(C6,ProcedureExecutions!A2:A3, 0))="")=TRUE),  "",  INDEX(ProcedureExecutions!AC2:AC3, MATCH(C6,ProcedureExecutions!A2:A3, 0))), "")</f>
        <v>1</v>
      </c>
      <c r="AM6" s="4" t="str">
        <f>_xlfn.IFNA(IF(((INDEX(CommunicationPolicies!L2:L3, MATCH(K6,CommunicationPolicies!A2:A3, 0))="")=TRUE),  "",  INDEX(CommunicationPolicies!L2:L3, MATCH(K6,CommunicationPolicies!A2:A3, 0))), "")</f>
        <v>communications-manager</v>
      </c>
      <c r="AN6" s="4" t="str">
        <f>_xlfn.IFNA(IF(((INDEX(Roles!F2:F13, MATCH(AM6,Roles!A2:A13, 0))="")=TRUE),  "",  INDEX(Roles!F2:F13, MATCH(AM6,Roles!A2:A13, 0))), "")</f>
        <v>Human</v>
      </c>
      <c r="AO6" s="4" t="b">
        <f>AN6 = "Human"</f>
        <v>1</v>
      </c>
      <c r="AP6" s="4" t="b">
        <f>AND(((AK6)=TRUE), ((AND(((AL6)=TRUE), ((AO6)=TRUE)))=TRUE))</f>
        <v>1</v>
      </c>
      <c r="AQ6" s="4" t="b">
        <f>AND(((T6)=TRUE), ((AND(((Z6)=TRUE), ((AND(((AJ6)=TRUE), ((AP6)=TRUE)))=TRUE)))=TRUE))</f>
        <v>0</v>
      </c>
      <c r="AR6" s="4" t="str">
        <f>IF(((AQ6)=TRUE),  "",  IF(((NOT(((T6)=TRUE)))=TRUE),  "Permission",  IF(((NOT(((Z6)=TRUE)))=TRUE),  "Timing",  IF(((NOT(((AJ6)=TRUE)))=TRUE),  "Content",  "Authorization"))))</f>
        <v>Content</v>
      </c>
      <c r="AS6" s="4" t="b">
        <f>J6 &lt;&gt; ""</f>
        <v>0</v>
      </c>
      <c r="AT6" s="4" t="str">
        <f>_xlfn.IFNA(IF(((INDEX(MessageDeliveries!S2:S7, MATCH(J6,MessageDeliveries!A2:A7, 0))="")=TRUE),  "",  INDEX(MessageDeliveries!S2:S7, MATCH(J6,MessageDeliveries!A2:A7, 0))), "")</f>
      </c>
      <c r="AU6" s="4" t="b">
        <f>AND(((NOT(((AQ6)=TRUE)))=TRUE), ((AND(((AS6)=TRUE), ((AT6)=TRUE)))=TRUE))</f>
        <v>0</v>
      </c>
      <c r="AV6" s="4" t="b">
        <f>AND(((NOT(((AQ6)=TRUE)))=TRUE), ((NOT(((AS6)=TRUE)))=TRUE))</f>
        <v>1</v>
      </c>
      <c r="AW6" s="4" t="str">
        <f>_xlfn.IFNA(IF(((INDEX(MessageDeliveries!M2:M7, MATCH(J6,MessageDeliveries!A2:A7, 0))="")=TRUE),  "",  INDEX(MessageDeliveries!M2:M7, MATCH(J6,MessageDeliveries!A2:A7, 0))), "")</f>
      </c>
      <c r="AX6" s="4" t="b">
        <f>AW6 &lt;&gt; ""</f>
        <v>0</v>
      </c>
      <c r="AY6" s="4" t="b">
        <f>AND(((NOT(((AQ6)=TRUE)))=TRUE), ((AND(((AS6)=TRUE), ((AND(((NOT(((AT6)=TRUE)))=TRUE), ((AX6)=TRUE)))=TRUE)))=TRUE))</f>
        <v>0</v>
      </c>
      <c r="AZ6" s="4" t="str">
        <f>IF(((OR(((AU6)=TRUE), ((AV6)=TRUE)))=TRUE),  C6,  "")</f>
        <v>exec-policy-hr4821</v>
      </c>
      <c r="BA6" s="4" t="str">
        <f>C6</f>
        <v>exec-policy-hr4821</v>
      </c>
      <c r="BB6" s="4" t="str">
        <f>IF(((AND(((AS6)=TRUE), ((AT6)=TRUE)))=TRUE),  C6,  "")</f>
      </c>
      <c r="BC6" s="4" t="str">
        <f>IF(((AV6)=TRUE),  C6,  "")</f>
        <v>exec-policy-hr4821</v>
      </c>
      <c r="BD6" s="4" t="b">
        <f>AK6</f>
        <v>1</v>
      </c>
      <c r="BE6" s="4" t="b">
        <f>AND(((BD6)=TRUE), ((NOT(((AJ6)=TRUE)))=TRUE))</f>
        <v>1</v>
      </c>
      <c r="BF6" s="4" t="b">
        <f>AND(((NOT(((AI6)=TRUE)))=TRUE), ((AF6)=TRUE))</f>
        <v>1</v>
      </c>
      <c r="BG6" s="4" t="b">
        <f>AND(((NOT(((AQ6)=TRUE)))=TRUE), ((OR(((NOT(((AJ6)=TRUE)))=TRUE), ((NOT(((Z6)=TRUE)))=TRUE)))=TRUE))</f>
        <v>1</v>
      </c>
      <c r="BH6" s="4" t="b">
        <f>AND(((NOT(((AQ6)=TRUE)))=TRUE), ((OR(((NOT(((T6)=TRUE)))=TRUE), ((NOT(((AP6)=TRUE)))=TRUE)))=TRUE))</f>
        <v>0</v>
      </c>
      <c r="BI6" s="3"/>
      <c r="BJ6" s="4" t="b">
        <f>AND(((BG6)=TRUE), ((NOT(((BI6)=TRUE)))=TRUE))</f>
        <v>1</v>
      </c>
      <c r="BK6" s="4" t="b">
        <f>AND(((BE6)=TRUE), ((NOT(((BI6)=TRUE)))=TRUE))</f>
        <v>1</v>
      </c>
      <c r="BL6" s="3"/>
      <c r="BM6" s="4" t="b">
        <f>BL6 &lt;&gt; ""</f>
        <v>0</v>
      </c>
      <c r="BN6" s="4" t="str">
        <f>_xlfn.IFNA(IF(((INDEX(AQ6, MATCH(BL6,A6, 0))="")=TRUE),  "",  INDEX(AQ6, MATCH(BL6,A6, 0))), "")</f>
      </c>
      <c r="BO6" s="4" t="b">
        <f>AND(((NOT(((AQ6)=TRUE)))=TRUE), ((NOT(((BM6)=TRUE)))=TRUE))</f>
        <v>1</v>
      </c>
      <c r="BP6" s="4" t="b">
        <f>AND(((AX6)=TRUE), ((AW6 &lt;&gt; "")=TRUE))</f>
        <v>0</v>
      </c>
      <c r="BQ6" s="4" t="b">
        <f>AND(((BP6)=TRUE), ((AND(((BM6)=TRUE), ((BN6)=TRUE)))=TRUE))</f>
        <v>0</v>
      </c>
      <c r="BR6" s="4" t="b">
        <f>AND(((BP6)=TRUE), ((NOT(((BQ6)=TRUE)))=TRUE))</f>
        <v>0</v>
      </c>
      <c r="BS6" s="5"/>
      <c r="BT6" s="3"/>
      <c r="BU6" s="4" t="b">
        <f>BS6 &lt;&gt; ""</f>
        <v>0</v>
      </c>
      <c r="BV6" s="4" t="b">
        <f>BT6 &lt;&gt; ""</f>
        <v>0</v>
      </c>
      <c r="BW6" s="4" t="b">
        <f>AND(((AV6)=TRUE), ((AND(((NOT(((BU6)=TRUE)))=TRUE), ((NOT(((AX6)=TRUE)))=TRUE)))=TRUE))</f>
        <v>1</v>
      </c>
      <c r="BX6" s="4" t="b">
        <f>AND(((NOT(((AQ6)=TRUE)))=TRUE), ((NOT(((BV6)=TRUE)))=TRUE))</f>
        <v>1</v>
      </c>
      <c r="BY6" s="4">
        <f>IF(((BW6)=TRUE),  BT6,  "")</f>
        <v>0</v>
      </c>
      <c r="BZ6" s="4" t="str">
        <f>IF(((BW6)=TRUE),  C6,  "")</f>
        <v>exec-policy-hr4821</v>
      </c>
      <c r="CA6" s="3"/>
      <c r="CB6" s="4" t="b">
        <f>AND(((NOT(((Z6)=TRUE)))=TRUE), ((AND(((T6)=TRUE), ((AJ6)=TRUE)))=TRUE))</f>
        <v>0</v>
      </c>
      <c r="CC6" s="3" t="s">
        <v>95</v>
      </c>
      <c r="CD6" s="7">
        <f>_xlfn.IFNA(IF(((INDEX(EvaluationContexts!D2:D2, MATCH(CC6,EvaluationContexts!A2:A2, 0))="")=TRUE),  "",  INDEX(EvaluationContexts!D2:D2, MATCH(CC6,EvaluationContexts!A2:A2, 0))), "")</f>
        <v>46222.75</v>
      </c>
      <c r="CE6" s="4" t="b">
        <f>AND(((AA6 &gt; 0)=TRUE), ((IF(((OR((((CD6)="")=TRUE), (((I6)="")=TRUE)))=TRUE),  0,  ((CD6 - I6) * 24)) &gt; AA6)=TRUE))</f>
        <v>0</v>
      </c>
      <c r="CF6" s="4" t="b">
        <f>CA6 &lt;&gt; ""</f>
        <v>0</v>
      </c>
      <c r="CG6" s="4" t="str">
        <f>_xlfn.IFNA(IF(((INDEX(AQ6, MATCH(CA6,A6, 0))="")=TRUE),  "",  INDEX(AQ6, MATCH(CA6,A6, 0))), "")</f>
      </c>
      <c r="CH6" s="4" t="b">
        <f>AND(((CB6)=TRUE), ((AND(((CE6)=TRUE), ((NOT(((CF6)=TRUE)))=TRUE)))=TRUE))</f>
        <v>0</v>
      </c>
      <c r="CI6" s="6">
        <f>IF((IF(((OR((((CD6)="")=TRUE), (((I6)="")=TRUE)))=TRUE),  0,  ((CD6 - I6) * 24)))="", "", ROUND((IF(((OR((((CD6)="")=TRUE), (((I6)="")=TRUE)))=TRUE),  0,  ((CD6 - I6) * 24))), 0))</f>
        <v>23</v>
      </c>
      <c r="CJ6" s="4" t="b">
        <f>AND(((CB6)=TRUE), ((CI6 &gt; 24)=TRUE))</f>
        <v>0</v>
      </c>
      <c r="CK6" s="3"/>
      <c r="CL6" s="4" t="str">
        <f>_xlfn.IFNA(IF(((INDEX(RoleAssignments!BJ2:BJ14, MATCH(CK6,RoleAssignments!A2:A14, 0))="")=TRUE),  "",  INDEX(RoleAssignments!BJ2:BJ14, MATCH(CK6,RoleAssignments!A2:A14, 0))), "")</f>
      </c>
      <c r="CM6" s="4" t="b">
        <f>CN6 &lt;&gt; ""</f>
        <v>1</v>
      </c>
      <c r="CN6" s="4" t="str">
        <f>_xlfn.IFNA(IF(((INDEX(Recipients!G2:G6, MATCH(E6,Recipients!A2:A6, 0))="")=TRUE),  "",  INDEX(Recipients!G2:G6, MATCH(E6,Recipients!A2:A6, 0))), "")</f>
        <v>Granted</v>
      </c>
      <c r="CO6" s="4" t="b">
        <f>K6 &lt;&gt; ""</f>
        <v>1</v>
      </c>
      <c r="CP6" s="4" t="b">
        <f>AND(((CM6)=TRUE), ((CO6)=TRUE))</f>
        <v>1</v>
      </c>
      <c r="CQ6" s="4" t="b">
        <f>AND(((NOT(((AQ6)=TRUE)))=TRUE), ((NOT(((CP6)=TRUE)))=TRUE))</f>
        <v>0</v>
      </c>
      <c r="CR6" s="3"/>
      <c r="CS6" s="4" t="b">
        <f>NOT(((CR6)=TRUE))</f>
        <v>1</v>
      </c>
      <c r="CT6" s="4" t="b">
        <f>AND(((AS6)=TRUE), ((AT6)=TRUE))</f>
        <v>0</v>
      </c>
      <c r="CU6" s="4" t="str">
        <f>IF(((CT6)=TRUE),  C6,  "")</f>
      </c>
      <c r="CV6" s="3" t="s">
        <v>8321</v>
      </c>
    </row>
    <row r="7">
      <c r="A7" s="3" t="s">
        <v>8328</v>
      </c>
      <c r="B7" s="4" t="str">
        <f>E7 &amp; " / " &amp; F7 &amp; " / intent"</f>
        <v>rec-005 / tmpl-policy-sms / intent</v>
      </c>
      <c r="C7" s="3" t="s">
        <v>1344</v>
      </c>
      <c r="D7" s="3" t="s">
        <v>1464</v>
      </c>
      <c r="E7" s="3" t="s">
        <v>8296</v>
      </c>
      <c r="F7" s="3" t="s">
        <v>1750</v>
      </c>
      <c r="G7" s="3" t="s">
        <v>8320</v>
      </c>
      <c r="H7" s="8">
        <v>14</v>
      </c>
      <c r="I7" s="5">
        <v>46221.794444444444</v>
      </c>
      <c r="J7" s="3"/>
      <c r="K7" s="4" t="str">
        <f>_xlfn.IFNA(IF(((INDEX(MessageTemplates!C2:C3, MATCH(F7,MessageTemplates!A2:A3, 0))="")=TRUE),  "",  INDEX(MessageTemplates!C2:C3, MATCH(F7,MessageTemplates!A2:A3, 0))), "")</f>
        <v>comm-sms-policy</v>
      </c>
      <c r="L7" s="4" t="str">
        <f>_xlfn.IFNA(IF(((INDEX(CommunicationPolicies!D2:D3, MATCH(K7,CommunicationPolicies!A2:A3, 0))="")=TRUE),  "",  INDEX(CommunicationPolicies!D2:D3, MATCH(K7,CommunicationPolicies!A2:A3, 0))), "")</f>
        <v>SMS</v>
      </c>
      <c r="M7" s="4" t="b">
        <f>_xlfn.IFNA(IF(((INDEX(CommunicationPolicies!U2:U3, MATCH(K7,CommunicationPolicies!A2:A3, 0))="")=TRUE),  "",  INDEX(CommunicationPolicies!U2:U3, MATCH(K7,CommunicationPolicies!A2:A3, 0))), "")</f>
        <v>1</v>
      </c>
      <c r="N7" s="4" t="b">
        <f>_xlfn.IFNA(IF(((INDEX(CommunicationPolicies!F2:F3, MATCH(K7,CommunicationPolicies!A2:A3, 0))="")=TRUE),  "",  INDEX(CommunicationPolicies!F2:F3, MATCH(K7,CommunicationPolicies!A2:A3, 0))), "")</f>
        <v>1</v>
      </c>
      <c r="O7" s="4" t="b">
        <f>_xlfn.IFNA(IF(((INDEX(Recipients!J2:J6, MATCH(E7,Recipients!A2:A6, 0))="")=TRUE),  "",  INDEX(Recipients!J2:J6, MATCH(E7,Recipients!A2:A6, 0))), "")</f>
        <v>0</v>
      </c>
      <c r="P7" s="4" t="b">
        <f>OR(((NOT(((N7)=TRUE)))=TRUE), ((O7)=TRUE))</f>
        <v>0</v>
      </c>
      <c r="Q7" s="4" t="b">
        <f>_xlfn.IFNA(IF(((INDEX(Recipients!L2:L6, MATCH(E7,Recipients!A2:A6, 0))="")=TRUE),  "",  INDEX(Recipients!L2:L6, MATCH(E7,Recipients!A2:A6, 0))), "")</f>
        <v>0</v>
      </c>
      <c r="R7" s="4" t="b">
        <f>_xlfn.IFNA(IF(((INDEX(Recipients!K2:K6, MATCH(E7,Recipients!A2:A6, 0))="")=TRUE),  "",  INDEX(Recipients!K2:K6, MATCH(E7,Recipients!A2:A6, 0))), "")</f>
        <v>1</v>
      </c>
      <c r="S7" s="4" t="b">
        <f>IF(((L7 = "SMS")=TRUE),  Q7,  R7)</f>
        <v>0</v>
      </c>
      <c r="T7" s="4" t="b">
        <f>AND(((M7)=TRUE), ((AND(((P7)=TRUE), ((S7)=TRUE)))=TRUE))</f>
        <v>0</v>
      </c>
      <c r="U7" s="6">
        <f>IF((_xlfn.IFNA(IF(((INDEX(CommunicationPolicies!Q2:Q3, MATCH(K7,CommunicationPolicies!A2:A3, 0))="")=TRUE),  "",  INDEX(CommunicationPolicies!Q2:Q3, MATCH(K7,CommunicationPolicies!A2:A3, 0))), ""))="", "", ROUND((_xlfn.IFNA(IF(((INDEX(CommunicationPolicies!Q2:Q3, MATCH(K7,CommunicationPolicies!A2:A3, 0))="")=TRUE),  "",  INDEX(CommunicationPolicies!Q2:Q3, MATCH(K7,CommunicationPolicies!A2:A3, 0))), "")), 0))</f>
        <v>20</v>
      </c>
      <c r="V7" s="6">
        <f>IF((_xlfn.IFNA(IF(((INDEX(CommunicationPolicies!R2:R3, MATCH(K7,CommunicationPolicies!A2:A3, 0))="")=TRUE),  "",  INDEX(CommunicationPolicies!R2:R3, MATCH(K7,CommunicationPolicies!A2:A3, 0))), ""))="", "", ROUND((_xlfn.IFNA(IF(((INDEX(CommunicationPolicies!R2:R3, MATCH(K7,CommunicationPolicies!A2:A3, 0))="")=TRUE),  "",  INDEX(CommunicationPolicies!R2:R3, MATCH(K7,CommunicationPolicies!A2:A3, 0))), "")), 0))</f>
        <v>8</v>
      </c>
      <c r="W7" s="4" t="b">
        <f>U7 &lt;&gt; V7</f>
        <v>1</v>
      </c>
      <c r="X7" s="4" t="b">
        <f>U7 &gt; V7</f>
        <v>1</v>
      </c>
      <c r="Y7" s="4" t="b">
        <f>IF(((X7)=TRUE),  OR(((H7 &gt;= U7)=TRUE), ((H7 &lt; V7)=TRUE)),  AND(((H7 &gt;= U7)=TRUE), ((H7 &lt; V7)=TRUE)))</f>
        <v>0</v>
      </c>
      <c r="Z7" s="4" t="b">
        <f>OR(((NOT(((W7)=TRUE)))=TRUE), ((NOT(((Y7)=TRUE)))=TRUE))</f>
        <v>1</v>
      </c>
      <c r="AA7" s="6">
        <f>IF((IF(((Z7)=TRUE),  0,  IF(((H7 &lt; V7)=TRUE),  V7 - H7,  24 - H7 + V7)))="", "", ROUND((IF(((Z7)=TRUE),  0,  IF(((H7 &lt; V7)=TRUE),  V7 - H7,  24 - H7 + V7))), 0))</f>
        <v>0</v>
      </c>
      <c r="AB7" s="6">
        <f>IF((_xlfn.IFNA(IF(((INDEX(CommunicationPolicies!I2:I3, MATCH(K7,CommunicationPolicies!A2:A3, 0))="")=TRUE),  "",  INDEX(CommunicationPolicies!I2:I3, MATCH(K7,CommunicationPolicies!A2:A3, 0))), ""))="", "", ROUND((_xlfn.IFNA(IF(((INDEX(CommunicationPolicies!I2:I3, MATCH(K7,CommunicationPolicies!A2:A3, 0))="")=TRUE),  "",  INDEX(CommunicationPolicies!I2:I3, MATCH(K7,CommunicationPolicies!A2:A3, 0))), "")), 0))</f>
        <v>160</v>
      </c>
      <c r="AC7" s="6">
        <f>IF((_xlfn.IFNA(IF(((INDEX(CommunicationPolicies!J2:J3, MATCH(K7,CommunicationPolicies!A2:A3, 0))="")=TRUE),  "",  INDEX(CommunicationPolicies!J2:J3, MATCH(K7,CommunicationPolicies!A2:A3, 0))), ""))="", "", ROUND((_xlfn.IFNA(IF(((INDEX(CommunicationPolicies!J2:J3, MATCH(K7,CommunicationPolicies!A2:A3, 0))="")=TRUE),  "",  INDEX(CommunicationPolicies!J2:J3, MATCH(K7,CommunicationPolicies!A2:A3, 0))), "")), 0))</f>
        <v>3</v>
      </c>
      <c r="AD7" s="8">
        <v>95</v>
      </c>
      <c r="AE7" s="8">
        <v>1</v>
      </c>
      <c r="AF7" s="4" t="b">
        <f>AND(((AD7 &gt; 0)=TRUE), ((AE7 &lt;= AC7)=TRUE))</f>
        <v>1</v>
      </c>
      <c r="AG7" s="4" t="str">
        <f>_xlfn.IFNA(IF(((INDEX(CommunicationPolicies!T2:T3, MATCH(K7,CommunicationPolicies!A2:A3, 0))="")=TRUE),  "",  INDEX(CommunicationPolicies!T2:T3, MATCH(K7,CommunicationPolicies!A2:A3, 0))), "")</f>
        <v>Reply STOP to opt out</v>
      </c>
      <c r="AH7" s="8">
        <v>75</v>
      </c>
      <c r="AI7" s="4" t="b">
        <f>OR(((AG7 = "")=TRUE), ((AND(((AH7 &gt; 0)=TRUE), ((AH7 &lt;= AB7)=TRUE)))=TRUE))</f>
        <v>1</v>
      </c>
      <c r="AJ7" s="4" t="b">
        <f>AND(((AF7)=TRUE), ((AI7)=TRUE))</f>
        <v>1</v>
      </c>
      <c r="AK7" s="4" t="b">
        <f>_xlfn.IFNA(IF(((INDEX(MessageTemplates!T2:T3, MATCH(F7,MessageTemplates!A2:A3, 0))="")=TRUE),  "",  INDEX(MessageTemplates!T2:T3, MATCH(F7,MessageTemplates!A2:A3, 0))), "")</f>
        <v>1</v>
      </c>
      <c r="AL7" s="4" t="b">
        <f>_xlfn.IFNA(IF(((INDEX(ProcedureExecutions!AC2:AC3, MATCH(C7,ProcedureExecutions!A2:A3, 0))="")=TRUE),  "",  INDEX(ProcedureExecutions!AC2:AC3, MATCH(C7,ProcedureExecutions!A2:A3, 0))), "")</f>
        <v>1</v>
      </c>
      <c r="AM7" s="4" t="str">
        <f>_xlfn.IFNA(IF(((INDEX(CommunicationPolicies!L2:L3, MATCH(K7,CommunicationPolicies!A2:A3, 0))="")=TRUE),  "",  INDEX(CommunicationPolicies!L2:L3, MATCH(K7,CommunicationPolicies!A2:A3, 0))), "")</f>
        <v>communications-manager</v>
      </c>
      <c r="AN7" s="4" t="str">
        <f>_xlfn.IFNA(IF(((INDEX(Roles!F2:F13, MATCH(AM7,Roles!A2:A13, 0))="")=TRUE),  "",  INDEX(Roles!F2:F13, MATCH(AM7,Roles!A2:A13, 0))), "")</f>
        <v>Human</v>
      </c>
      <c r="AO7" s="4" t="b">
        <f>AN7 = "Human"</f>
        <v>1</v>
      </c>
      <c r="AP7" s="4" t="b">
        <f>AND(((AK7)=TRUE), ((AND(((AL7)=TRUE), ((AO7)=TRUE)))=TRUE))</f>
        <v>1</v>
      </c>
      <c r="AQ7" s="4" t="b">
        <f>AND(((T7)=TRUE), ((AND(((Z7)=TRUE), ((AND(((AJ7)=TRUE), ((AP7)=TRUE)))=TRUE)))=TRUE))</f>
        <v>0</v>
      </c>
      <c r="AR7" s="4" t="str">
        <f>IF(((AQ7)=TRUE),  "",  IF(((NOT(((T7)=TRUE)))=TRUE),  "Permission",  IF(((NOT(((Z7)=TRUE)))=TRUE),  "Timing",  IF(((NOT(((AJ7)=TRUE)))=TRUE),  "Content",  "Authorization"))))</f>
        <v>Permission</v>
      </c>
      <c r="AS7" s="4" t="b">
        <f>J7 &lt;&gt; ""</f>
        <v>0</v>
      </c>
      <c r="AT7" s="4" t="str">
        <f>_xlfn.IFNA(IF(((INDEX(MessageDeliveries!S2:S7, MATCH(J7,MessageDeliveries!A2:A7, 0))="")=TRUE),  "",  INDEX(MessageDeliveries!S2:S7, MATCH(J7,MessageDeliveries!A2:A7, 0))), "")</f>
      </c>
      <c r="AU7" s="4" t="b">
        <f>AND(((NOT(((AQ7)=TRUE)))=TRUE), ((AND(((AS7)=TRUE), ((AT7)=TRUE)))=TRUE))</f>
        <v>0</v>
      </c>
      <c r="AV7" s="4" t="b">
        <f>AND(((NOT(((AQ7)=TRUE)))=TRUE), ((NOT(((AS7)=TRUE)))=TRUE))</f>
        <v>1</v>
      </c>
      <c r="AW7" s="4" t="str">
        <f>_xlfn.IFNA(IF(((INDEX(MessageDeliveries!M2:M7, MATCH(J7,MessageDeliveries!A2:A7, 0))="")=TRUE),  "",  INDEX(MessageDeliveries!M2:M7, MATCH(J7,MessageDeliveries!A2:A7, 0))), "")</f>
      </c>
      <c r="AX7" s="4" t="b">
        <f>AW7 &lt;&gt; ""</f>
        <v>0</v>
      </c>
      <c r="AY7" s="4" t="b">
        <f>AND(((NOT(((AQ7)=TRUE)))=TRUE), ((AND(((AS7)=TRUE), ((AND(((NOT(((AT7)=TRUE)))=TRUE), ((AX7)=TRUE)))=TRUE)))=TRUE))</f>
        <v>0</v>
      </c>
      <c r="AZ7" s="4" t="str">
        <f>IF(((OR(((AU7)=TRUE), ((AV7)=TRUE)))=TRUE),  C7,  "")</f>
        <v>exec-policy-hr4821</v>
      </c>
      <c r="BA7" s="4" t="str">
        <f>C7</f>
        <v>exec-policy-hr4821</v>
      </c>
      <c r="BB7" s="4" t="str">
        <f>IF(((AND(((AS7)=TRUE), ((AT7)=TRUE)))=TRUE),  C7,  "")</f>
      </c>
      <c r="BC7" s="4" t="str">
        <f>IF(((AV7)=TRUE),  C7,  "")</f>
        <v>exec-policy-hr4821</v>
      </c>
      <c r="BD7" s="4" t="b">
        <f>AK7</f>
        <v>1</v>
      </c>
      <c r="BE7" s="4" t="b">
        <f>AND(((BD7)=TRUE), ((NOT(((AJ7)=TRUE)))=TRUE))</f>
        <v>0</v>
      </c>
      <c r="BF7" s="4" t="b">
        <f>AND(((NOT(((AI7)=TRUE)))=TRUE), ((AF7)=TRUE))</f>
        <v>0</v>
      </c>
      <c r="BG7" s="4" t="b">
        <f>AND(((NOT(((AQ7)=TRUE)))=TRUE), ((OR(((NOT(((AJ7)=TRUE)))=TRUE), ((NOT(((Z7)=TRUE)))=TRUE)))=TRUE))</f>
        <v>0</v>
      </c>
      <c r="BH7" s="4" t="b">
        <f>AND(((NOT(((AQ7)=TRUE)))=TRUE), ((OR(((NOT(((T7)=TRUE)))=TRUE), ((NOT(((AP7)=TRUE)))=TRUE)))=TRUE))</f>
        <v>1</v>
      </c>
      <c r="BI7" s="3"/>
      <c r="BJ7" s="4" t="b">
        <f>AND(((BG7)=TRUE), ((NOT(((BI7)=TRUE)))=TRUE))</f>
        <v>0</v>
      </c>
      <c r="BK7" s="4" t="b">
        <f>AND(((BE7)=TRUE), ((NOT(((BI7)=TRUE)))=TRUE))</f>
        <v>0</v>
      </c>
      <c r="BL7" s="3"/>
      <c r="BM7" s="4" t="b">
        <f>BL7 &lt;&gt; ""</f>
        <v>0</v>
      </c>
      <c r="BN7" s="4" t="str">
        <f>_xlfn.IFNA(IF(((INDEX(AQ7, MATCH(BL7,A7, 0))="")=TRUE),  "",  INDEX(AQ7, MATCH(BL7,A7, 0))), "")</f>
      </c>
      <c r="BO7" s="4" t="b">
        <f>AND(((NOT(((AQ7)=TRUE)))=TRUE), ((NOT(((BM7)=TRUE)))=TRUE))</f>
        <v>1</v>
      </c>
      <c r="BP7" s="4" t="b">
        <f>AND(((AX7)=TRUE), ((AW7 &lt;&gt; "")=TRUE))</f>
        <v>0</v>
      </c>
      <c r="BQ7" s="4" t="b">
        <f>AND(((BP7)=TRUE), ((AND(((BM7)=TRUE), ((BN7)=TRUE)))=TRUE))</f>
        <v>0</v>
      </c>
      <c r="BR7" s="4" t="b">
        <f>AND(((BP7)=TRUE), ((NOT(((BQ7)=TRUE)))=TRUE))</f>
        <v>0</v>
      </c>
      <c r="BS7" s="5"/>
      <c r="BT7" s="3"/>
      <c r="BU7" s="4" t="b">
        <f>BS7 &lt;&gt; ""</f>
        <v>0</v>
      </c>
      <c r="BV7" s="4" t="b">
        <f>BT7 &lt;&gt; ""</f>
        <v>0</v>
      </c>
      <c r="BW7" s="4" t="b">
        <f>AND(((AV7)=TRUE), ((AND(((NOT(((BU7)=TRUE)))=TRUE), ((NOT(((AX7)=TRUE)))=TRUE)))=TRUE))</f>
        <v>1</v>
      </c>
      <c r="BX7" s="4" t="b">
        <f>AND(((NOT(((AQ7)=TRUE)))=TRUE), ((NOT(((BV7)=TRUE)))=TRUE))</f>
        <v>1</v>
      </c>
      <c r="BY7" s="4">
        <f>IF(((BW7)=TRUE),  BT7,  "")</f>
        <v>0</v>
      </c>
      <c r="BZ7" s="4" t="str">
        <f>IF(((BW7)=TRUE),  C7,  "")</f>
        <v>exec-policy-hr4821</v>
      </c>
      <c r="CA7" s="3"/>
      <c r="CB7" s="4" t="b">
        <f>AND(((NOT(((Z7)=TRUE)))=TRUE), ((AND(((T7)=TRUE), ((AJ7)=TRUE)))=TRUE))</f>
        <v>0</v>
      </c>
      <c r="CC7" s="3" t="s">
        <v>95</v>
      </c>
      <c r="CD7" s="7">
        <f>_xlfn.IFNA(IF(((INDEX(EvaluationContexts!D2:D2, MATCH(CC7,EvaluationContexts!A2:A2, 0))="")=TRUE),  "",  INDEX(EvaluationContexts!D2:D2, MATCH(CC7,EvaluationContexts!A2:A2, 0))), "")</f>
        <v>46222.75</v>
      </c>
      <c r="CE7" s="4" t="b">
        <f>AND(((AA7 &gt; 0)=TRUE), ((IF(((OR((((CD7)="")=TRUE), (((I7)="")=TRUE)))=TRUE),  0,  ((CD7 - I7) * 24)) &gt; AA7)=TRUE))</f>
        <v>0</v>
      </c>
      <c r="CF7" s="4" t="b">
        <f>CA7 &lt;&gt; ""</f>
        <v>0</v>
      </c>
      <c r="CG7" s="4" t="str">
        <f>_xlfn.IFNA(IF(((INDEX(AQ7, MATCH(CA7,A7, 0))="")=TRUE),  "",  INDEX(AQ7, MATCH(CA7,A7, 0))), "")</f>
      </c>
      <c r="CH7" s="4" t="b">
        <f>AND(((CB7)=TRUE), ((AND(((CE7)=TRUE), ((NOT(((CF7)=TRUE)))=TRUE)))=TRUE))</f>
        <v>0</v>
      </c>
      <c r="CI7" s="6">
        <f>IF((IF(((OR((((CD7)="")=TRUE), (((I7)="")=TRUE)))=TRUE),  0,  ((CD7 - I7) * 24)))="", "", ROUND((IF(((OR((((CD7)="")=TRUE), (((I7)="")=TRUE)))=TRUE),  0,  ((CD7 - I7) * 24))), 0))</f>
        <v>23</v>
      </c>
      <c r="CJ7" s="4" t="b">
        <f>AND(((CB7)=TRUE), ((CI7 &gt; 24)=TRUE))</f>
        <v>0</v>
      </c>
      <c r="CK7" s="3"/>
      <c r="CL7" s="4" t="str">
        <f>_xlfn.IFNA(IF(((INDEX(RoleAssignments!BJ2:BJ14, MATCH(CK7,RoleAssignments!A2:A14, 0))="")=TRUE),  "",  INDEX(RoleAssignments!BJ2:BJ14, MATCH(CK7,RoleAssignments!A2:A14, 0))), "")</f>
      </c>
      <c r="CM7" s="4" t="b">
        <f>CN7 &lt;&gt; ""</f>
        <v>1</v>
      </c>
      <c r="CN7" s="4" t="str">
        <f>_xlfn.IFNA(IF(((INDEX(Recipients!G2:G6, MATCH(E7,Recipients!A2:A6, 0))="")=TRUE),  "",  INDEX(Recipients!G2:G6, MATCH(E7,Recipients!A2:A6, 0))), "")</f>
        <v>NeverGranted</v>
      </c>
      <c r="CO7" s="4" t="b">
        <f>K7 &lt;&gt; ""</f>
        <v>1</v>
      </c>
      <c r="CP7" s="4" t="b">
        <f>AND(((CM7)=TRUE), ((CO7)=TRUE))</f>
        <v>1</v>
      </c>
      <c r="CQ7" s="4" t="b">
        <f>AND(((NOT(((AQ7)=TRUE)))=TRUE), ((NOT(((CP7)=TRUE)))=TRUE))</f>
        <v>0</v>
      </c>
      <c r="CR7" s="3"/>
      <c r="CS7" s="4" t="b">
        <f>NOT(((CR7)=TRUE))</f>
        <v>1</v>
      </c>
      <c r="CT7" s="4" t="b">
        <f>AND(((AS7)=TRUE), ((AT7)=TRUE))</f>
        <v>0</v>
      </c>
      <c r="CU7" s="4" t="str">
        <f>IF(((CT7)=TRUE),  C7,  "")</f>
      </c>
      <c r="CV7" s="3" t="s">
        <v>8321</v>
      </c>
    </row>
    <row r="8">
      <c r="A8" s="3" t="s">
        <v>8329</v>
      </c>
      <c r="B8" s="4" t="str">
        <f>E8 &amp; " / " &amp; F8 &amp; " / intent"</f>
        <v>rec-001 / tmpl-policy-email / intent</v>
      </c>
      <c r="C8" s="3" t="s">
        <v>1344</v>
      </c>
      <c r="D8" s="3" t="s">
        <v>1464</v>
      </c>
      <c r="E8" s="3" t="s">
        <v>8277</v>
      </c>
      <c r="F8" s="3" t="s">
        <v>1744</v>
      </c>
      <c r="G8" s="3" t="s">
        <v>8320</v>
      </c>
      <c r="H8" s="8">
        <v>14</v>
      </c>
      <c r="I8" s="5">
        <v>46221.794444444444</v>
      </c>
      <c r="J8" s="3" t="s">
        <v>8300</v>
      </c>
      <c r="K8" s="4" t="str">
        <f>_xlfn.IFNA(IF(((INDEX(MessageTemplates!C2:C3, MATCH(F8,MessageTemplates!A2:A3, 0))="")=TRUE),  "",  INDEX(MessageTemplates!C2:C3, MATCH(F8,MessageTemplates!A2:A3, 0))), "")</f>
        <v>comm-email-policy</v>
      </c>
      <c r="L8" s="4" t="str">
        <f>_xlfn.IFNA(IF(((INDEX(CommunicationPolicies!D2:D3, MATCH(K8,CommunicationPolicies!A2:A3, 0))="")=TRUE),  "",  INDEX(CommunicationPolicies!D2:D3, MATCH(K8,CommunicationPolicies!A2:A3, 0))), "")</f>
        <v>Email</v>
      </c>
      <c r="M8" s="4" t="b">
        <f>_xlfn.IFNA(IF(((INDEX(CommunicationPolicies!U2:U3, MATCH(K8,CommunicationPolicies!A2:A3, 0))="")=TRUE),  "",  INDEX(CommunicationPolicies!U2:U3, MATCH(K8,CommunicationPolicies!A2:A3, 0))), "")</f>
        <v>1</v>
      </c>
      <c r="N8" s="4" t="b">
        <f>_xlfn.IFNA(IF(((INDEX(CommunicationPolicies!F2:F3, MATCH(K8,CommunicationPolicies!A2:A3, 0))="")=TRUE),  "",  INDEX(CommunicationPolicies!F2:F3, MATCH(K8,CommunicationPolicies!A2:A3, 0))), "")</f>
        <v>0</v>
      </c>
      <c r="O8" s="4" t="b">
        <f>_xlfn.IFNA(IF(((INDEX(Recipients!J2:J6, MATCH(E8,Recipients!A2:A6, 0))="")=TRUE),  "",  INDEX(Recipients!J2:J6, MATCH(E8,Recipients!A2:A6, 0))), "")</f>
        <v>1</v>
      </c>
      <c r="P8" s="4" t="b">
        <f>OR(((NOT(((N8)=TRUE)))=TRUE), ((O8)=TRUE))</f>
        <v>1</v>
      </c>
      <c r="Q8" s="4" t="b">
        <f>_xlfn.IFNA(IF(((INDEX(Recipients!L2:L6, MATCH(E8,Recipients!A2:A6, 0))="")=TRUE),  "",  INDEX(Recipients!L2:L6, MATCH(E8,Recipients!A2:A6, 0))), "")</f>
        <v>1</v>
      </c>
      <c r="R8" s="4" t="b">
        <f>_xlfn.IFNA(IF(((INDEX(Recipients!K2:K6, MATCH(E8,Recipients!A2:A6, 0))="")=TRUE),  "",  INDEX(Recipients!K2:K6, MATCH(E8,Recipients!A2:A6, 0))), "")</f>
        <v>1</v>
      </c>
      <c r="S8" s="4" t="b">
        <f>IF(((L8 = "SMS")=TRUE),  Q8,  R8)</f>
        <v>1</v>
      </c>
      <c r="T8" s="4" t="b">
        <f>AND(((M8)=TRUE), ((AND(((P8)=TRUE), ((S8)=TRUE)))=TRUE))</f>
        <v>1</v>
      </c>
      <c r="U8" s="6">
        <f>IF((_xlfn.IFNA(IF(((INDEX(CommunicationPolicies!Q2:Q3, MATCH(K8,CommunicationPolicies!A2:A3, 0))="")=TRUE),  "",  INDEX(CommunicationPolicies!Q2:Q3, MATCH(K8,CommunicationPolicies!A2:A3, 0))), ""))="", "", ROUND((_xlfn.IFNA(IF(((INDEX(CommunicationPolicies!Q2:Q3, MATCH(K8,CommunicationPolicies!A2:A3, 0))="")=TRUE),  "",  INDEX(CommunicationPolicies!Q2:Q3, MATCH(K8,CommunicationPolicies!A2:A3, 0))), "")), 0))</f>
        <v>0</v>
      </c>
      <c r="V8" s="6">
        <f>IF((_xlfn.IFNA(IF(((INDEX(CommunicationPolicies!R2:R3, MATCH(K8,CommunicationPolicies!A2:A3, 0))="")=TRUE),  "",  INDEX(CommunicationPolicies!R2:R3, MATCH(K8,CommunicationPolicies!A2:A3, 0))), ""))="", "", ROUND((_xlfn.IFNA(IF(((INDEX(CommunicationPolicies!R2:R3, MATCH(K8,CommunicationPolicies!A2:A3, 0))="")=TRUE),  "",  INDEX(CommunicationPolicies!R2:R3, MATCH(K8,CommunicationPolicies!A2:A3, 0))), "")), 0))</f>
        <v>0</v>
      </c>
      <c r="W8" s="4" t="b">
        <f>U8 &lt;&gt; V8</f>
        <v>0</v>
      </c>
      <c r="X8" s="4" t="b">
        <f>U8 &gt; V8</f>
        <v>0</v>
      </c>
      <c r="Y8" s="4" t="b">
        <f>IF(((X8)=TRUE),  OR(((H8 &gt;= U8)=TRUE), ((H8 &lt; V8)=TRUE)),  AND(((H8 &gt;= U8)=TRUE), ((H8 &lt; V8)=TRUE)))</f>
        <v>0</v>
      </c>
      <c r="Z8" s="4" t="b">
        <f>OR(((NOT(((W8)=TRUE)))=TRUE), ((NOT(((Y8)=TRUE)))=TRUE))</f>
        <v>1</v>
      </c>
      <c r="AA8" s="6">
        <f>IF((IF(((Z8)=TRUE),  0,  IF(((H8 &lt; V8)=TRUE),  V8 - H8,  24 - H8 + V8)))="", "", ROUND((IF(((Z8)=TRUE),  0,  IF(((H8 &lt; V8)=TRUE),  V8 - H8,  24 - H8 + V8))), 0))</f>
        <v>0</v>
      </c>
      <c r="AB8" s="6">
        <f>IF((_xlfn.IFNA(IF(((INDEX(CommunicationPolicies!I2:I3, MATCH(K8,CommunicationPolicies!A2:A3, 0))="")=TRUE),  "",  INDEX(CommunicationPolicies!I2:I3, MATCH(K8,CommunicationPolicies!A2:A3, 0))), ""))="", "", ROUND((_xlfn.IFNA(IF(((INDEX(CommunicationPolicies!I2:I3, MATCH(K8,CommunicationPolicies!A2:A3, 0))="")=TRUE),  "",  INDEX(CommunicationPolicies!I2:I3, MATCH(K8,CommunicationPolicies!A2:A3, 0))), "")), 0))</f>
        <v>100000</v>
      </c>
      <c r="AC8" s="6">
        <f>IF((_xlfn.IFNA(IF(((INDEX(CommunicationPolicies!J2:J3, MATCH(K8,CommunicationPolicies!A2:A3, 0))="")=TRUE),  "",  INDEX(CommunicationPolicies!J2:J3, MATCH(K8,CommunicationPolicies!A2:A3, 0))), ""))="", "", ROUND((_xlfn.IFNA(IF(((INDEX(CommunicationPolicies!J2:J3, MATCH(K8,CommunicationPolicies!A2:A3, 0))="")=TRUE),  "",  INDEX(CommunicationPolicies!J2:J3, MATCH(K8,CommunicationPolicies!A2:A3, 0))), "")), 0))</f>
        <v>1</v>
      </c>
      <c r="AD8" s="8">
        <v>95</v>
      </c>
      <c r="AE8" s="8">
        <v>1</v>
      </c>
      <c r="AF8" s="4" t="b">
        <f>AND(((AD8 &gt; 0)=TRUE), ((AE8 &lt;= AC8)=TRUE))</f>
        <v>1</v>
      </c>
      <c r="AG8" s="4" t="str">
        <f>_xlfn.IFNA(IF(((INDEX(CommunicationPolicies!T2:T3, MATCH(K8,CommunicationPolicies!A2:A3, 0))="")=TRUE),  "",  INDEX(CommunicationPolicies!T2:T3, MATCH(K8,CommunicationPolicies!A2:A3, 0))), "")</f>
      </c>
      <c r="AH8" s="8">
        <v>0</v>
      </c>
      <c r="AI8" s="4" t="b">
        <f>OR(((AG8 = "")=TRUE), ((AND(((AH8 &gt; 0)=TRUE), ((AH8 &lt;= AB8)=TRUE)))=TRUE))</f>
        <v>1</v>
      </c>
      <c r="AJ8" s="4" t="b">
        <f>AND(((AF8)=TRUE), ((AI8)=TRUE))</f>
        <v>1</v>
      </c>
      <c r="AK8" s="4" t="b">
        <f>_xlfn.IFNA(IF(((INDEX(MessageTemplates!T2:T3, MATCH(F8,MessageTemplates!A2:A3, 0))="")=TRUE),  "",  INDEX(MessageTemplates!T2:T3, MATCH(F8,MessageTemplates!A2:A3, 0))), "")</f>
        <v>1</v>
      </c>
      <c r="AL8" s="4" t="b">
        <f>_xlfn.IFNA(IF(((INDEX(ProcedureExecutions!AC2:AC3, MATCH(C8,ProcedureExecutions!A2:A3, 0))="")=TRUE),  "",  INDEX(ProcedureExecutions!AC2:AC3, MATCH(C8,ProcedureExecutions!A2:A3, 0))), "")</f>
        <v>1</v>
      </c>
      <c r="AM8" s="4" t="str">
        <f>_xlfn.IFNA(IF(((INDEX(CommunicationPolicies!L2:L3, MATCH(K8,CommunicationPolicies!A2:A3, 0))="")=TRUE),  "",  INDEX(CommunicationPolicies!L2:L3, MATCH(K8,CommunicationPolicies!A2:A3, 0))), "")</f>
        <v>communications-manager</v>
      </c>
      <c r="AN8" s="4" t="str">
        <f>_xlfn.IFNA(IF(((INDEX(Roles!F2:F13, MATCH(AM8,Roles!A2:A13, 0))="")=TRUE),  "",  INDEX(Roles!F2:F13, MATCH(AM8,Roles!A2:A13, 0))), "")</f>
        <v>Human</v>
      </c>
      <c r="AO8" s="4" t="b">
        <f>AN8 = "Human"</f>
        <v>1</v>
      </c>
      <c r="AP8" s="4" t="b">
        <f>AND(((AK8)=TRUE), ((AND(((AL8)=TRUE), ((AO8)=TRUE)))=TRUE))</f>
        <v>1</v>
      </c>
      <c r="AQ8" s="4" t="b">
        <f>AND(((T8)=TRUE), ((AND(((Z8)=TRUE), ((AND(((AJ8)=TRUE), ((AP8)=TRUE)))=TRUE)))=TRUE))</f>
        <v>1</v>
      </c>
      <c r="AR8" s="4" t="str">
        <f>IF(((AQ8)=TRUE),  "",  IF(((NOT(((T8)=TRUE)))=TRUE),  "Permission",  IF(((NOT(((Z8)=TRUE)))=TRUE),  "Timing",  IF(((NOT(((AJ8)=TRUE)))=TRUE),  "Content",  "Authorization"))))</f>
      </c>
      <c r="AS8" s="4" t="b">
        <f>J8 &lt;&gt; ""</f>
        <v>1</v>
      </c>
      <c r="AT8" s="4" t="b">
        <f>_xlfn.IFNA(IF(((INDEX(MessageDeliveries!S2:S7, MATCH(J8,MessageDeliveries!A2:A7, 0))="")=TRUE),  "",  INDEX(MessageDeliveries!S2:S7, MATCH(J8,MessageDeliveries!A2:A7, 0))), "")</f>
        <v>1</v>
      </c>
      <c r="AU8" s="4" t="b">
        <f>AND(((NOT(((AQ8)=TRUE)))=TRUE), ((AND(((AS8)=TRUE), ((AT8)=TRUE)))=TRUE))</f>
        <v>0</v>
      </c>
      <c r="AV8" s="4" t="b">
        <f>AND(((NOT(((AQ8)=TRUE)))=TRUE), ((NOT(((AS8)=TRUE)))=TRUE))</f>
        <v>0</v>
      </c>
      <c r="AW8" s="4" t="str">
        <f>_xlfn.IFNA(IF(((INDEX(MessageDeliveries!M2:M7, MATCH(J8,MessageDeliveries!A2:A7, 0))="")=TRUE),  "",  INDEX(MessageDeliveries!M2:M7, MATCH(J8,MessageDeliveries!A2:A7, 0))), "")</f>
      </c>
      <c r="AX8" s="4" t="b">
        <f>AW8 &lt;&gt; ""</f>
        <v>0</v>
      </c>
      <c r="AY8" s="4" t="b">
        <f>AND(((NOT(((AQ8)=TRUE)))=TRUE), ((AND(((AS8)=TRUE), ((AND(((NOT(((AT8)=TRUE)))=TRUE), ((AX8)=TRUE)))=TRUE)))=TRUE))</f>
        <v>0</v>
      </c>
      <c r="AZ8" s="4" t="str">
        <f>IF(((OR(((AU8)=TRUE), ((AV8)=TRUE)))=TRUE),  C8,  "")</f>
      </c>
      <c r="BA8" s="4" t="str">
        <f>C8</f>
        <v>exec-policy-hr4821</v>
      </c>
      <c r="BB8" s="4" t="str">
        <f>IF(((AND(((AS8)=TRUE), ((AT8)=TRUE)))=TRUE),  C8,  "")</f>
        <v>exec-policy-hr4821</v>
      </c>
      <c r="BC8" s="4" t="str">
        <f>IF(((AV8)=TRUE),  C8,  "")</f>
      </c>
      <c r="BD8" s="4" t="b">
        <f>AK8</f>
        <v>1</v>
      </c>
      <c r="BE8" s="4" t="b">
        <f>AND(((BD8)=TRUE), ((NOT(((AJ8)=TRUE)))=TRUE))</f>
        <v>0</v>
      </c>
      <c r="BF8" s="4" t="b">
        <f>AND(((NOT(((AI8)=TRUE)))=TRUE), ((AF8)=TRUE))</f>
        <v>0</v>
      </c>
      <c r="BG8" s="4" t="b">
        <f>AND(((NOT(((AQ8)=TRUE)))=TRUE), ((OR(((NOT(((AJ8)=TRUE)))=TRUE), ((NOT(((Z8)=TRUE)))=TRUE)))=TRUE))</f>
        <v>0</v>
      </c>
      <c r="BH8" s="4" t="b">
        <f>AND(((NOT(((AQ8)=TRUE)))=TRUE), ((OR(((NOT(((T8)=TRUE)))=TRUE), ((NOT(((AP8)=TRUE)))=TRUE)))=TRUE))</f>
        <v>0</v>
      </c>
      <c r="BI8" s="3"/>
      <c r="BJ8" s="4" t="b">
        <f>AND(((BG8)=TRUE), ((NOT(((BI8)=TRUE)))=TRUE))</f>
        <v>0</v>
      </c>
      <c r="BK8" s="4" t="b">
        <f>AND(((BE8)=TRUE), ((NOT(((BI8)=TRUE)))=TRUE))</f>
        <v>0</v>
      </c>
      <c r="BL8" s="3"/>
      <c r="BM8" s="4" t="b">
        <f>BL8 &lt;&gt; ""</f>
        <v>0</v>
      </c>
      <c r="BN8" s="4" t="str">
        <f>_xlfn.IFNA(IF(((INDEX(AQ8, MATCH(BL8,A8, 0))="")=TRUE),  "",  INDEX(AQ8, MATCH(BL8,A8, 0))), "")</f>
      </c>
      <c r="BO8" s="4" t="b">
        <f>AND(((NOT(((AQ8)=TRUE)))=TRUE), ((NOT(((BM8)=TRUE)))=TRUE))</f>
        <v>0</v>
      </c>
      <c r="BP8" s="4" t="b">
        <f>AND(((AX8)=TRUE), ((AW8 &lt;&gt; "")=TRUE))</f>
        <v>0</v>
      </c>
      <c r="BQ8" s="4" t="b">
        <f>AND(((BP8)=TRUE), ((AND(((BM8)=TRUE), ((BN8)=TRUE)))=TRUE))</f>
        <v>0</v>
      </c>
      <c r="BR8" s="4" t="b">
        <f>AND(((BP8)=TRUE), ((NOT(((BQ8)=TRUE)))=TRUE))</f>
        <v>0</v>
      </c>
      <c r="BS8" s="5"/>
      <c r="BT8" s="3"/>
      <c r="BU8" s="4" t="b">
        <f>BS8 &lt;&gt; ""</f>
        <v>0</v>
      </c>
      <c r="BV8" s="4" t="b">
        <f>BT8 &lt;&gt; ""</f>
        <v>0</v>
      </c>
      <c r="BW8" s="4" t="b">
        <f>AND(((AV8)=TRUE), ((AND(((NOT(((BU8)=TRUE)))=TRUE), ((NOT(((AX8)=TRUE)))=TRUE)))=TRUE))</f>
        <v>0</v>
      </c>
      <c r="BX8" s="4" t="b">
        <f>AND(((NOT(((AQ8)=TRUE)))=TRUE), ((NOT(((BV8)=TRUE)))=TRUE))</f>
        <v>0</v>
      </c>
      <c r="BY8" s="4" t="str">
        <f>IF(((BW8)=TRUE),  BT8,  "")</f>
      </c>
      <c r="BZ8" s="4" t="str">
        <f>IF(((BW8)=TRUE),  C8,  "")</f>
      </c>
      <c r="CA8" s="3"/>
      <c r="CB8" s="4" t="b">
        <f>AND(((NOT(((Z8)=TRUE)))=TRUE), ((AND(((T8)=TRUE), ((AJ8)=TRUE)))=TRUE))</f>
        <v>0</v>
      </c>
      <c r="CC8" s="3" t="s">
        <v>95</v>
      </c>
      <c r="CD8" s="7">
        <f>_xlfn.IFNA(IF(((INDEX(EvaluationContexts!D2:D2, MATCH(CC8,EvaluationContexts!A2:A2, 0))="")=TRUE),  "",  INDEX(EvaluationContexts!D2:D2, MATCH(CC8,EvaluationContexts!A2:A2, 0))), "")</f>
        <v>46222.75</v>
      </c>
      <c r="CE8" s="4" t="b">
        <f>AND(((AA8 &gt; 0)=TRUE), ((IF(((OR((((CD8)="")=TRUE), (((I8)="")=TRUE)))=TRUE),  0,  ((CD8 - I8) * 24)) &gt; AA8)=TRUE))</f>
        <v>0</v>
      </c>
      <c r="CF8" s="4" t="b">
        <f>CA8 &lt;&gt; ""</f>
        <v>0</v>
      </c>
      <c r="CG8" s="4" t="str">
        <f>_xlfn.IFNA(IF(((INDEX(AQ8, MATCH(CA8,A8, 0))="")=TRUE),  "",  INDEX(AQ8, MATCH(CA8,A8, 0))), "")</f>
      </c>
      <c r="CH8" s="4" t="b">
        <f>AND(((CB8)=TRUE), ((AND(((CE8)=TRUE), ((NOT(((CF8)=TRUE)))=TRUE)))=TRUE))</f>
        <v>0</v>
      </c>
      <c r="CI8" s="6">
        <f>IF((IF(((OR((((CD8)="")=TRUE), (((I8)="")=TRUE)))=TRUE),  0,  ((CD8 - I8) * 24)))="", "", ROUND((IF(((OR((((CD8)="")=TRUE), (((I8)="")=TRUE)))=TRUE),  0,  ((CD8 - I8) * 24))), 0))</f>
        <v>23</v>
      </c>
      <c r="CJ8" s="4" t="b">
        <f>AND(((CB8)=TRUE), ((CI8 &gt; 24)=TRUE))</f>
        <v>0</v>
      </c>
      <c r="CK8" s="3"/>
      <c r="CL8" s="4" t="str">
        <f>_xlfn.IFNA(IF(((INDEX(RoleAssignments!BJ2:BJ14, MATCH(CK8,RoleAssignments!A2:A14, 0))="")=TRUE),  "",  INDEX(RoleAssignments!BJ2:BJ14, MATCH(CK8,RoleAssignments!A2:A14, 0))), "")</f>
      </c>
      <c r="CM8" s="4" t="b">
        <f>CN8 &lt;&gt; ""</f>
        <v>1</v>
      </c>
      <c r="CN8" s="4" t="str">
        <f>_xlfn.IFNA(IF(((INDEX(Recipients!G2:G6, MATCH(E8,Recipients!A2:A6, 0))="")=TRUE),  "",  INDEX(Recipients!G2:G6, MATCH(E8,Recipients!A2:A6, 0))), "")</f>
        <v>Granted</v>
      </c>
      <c r="CO8" s="4" t="b">
        <f>K8 &lt;&gt; ""</f>
        <v>1</v>
      </c>
      <c r="CP8" s="4" t="b">
        <f>AND(((CM8)=TRUE), ((CO8)=TRUE))</f>
        <v>1</v>
      </c>
      <c r="CQ8" s="4" t="b">
        <f>AND(((NOT(((AQ8)=TRUE)))=TRUE), ((NOT(((CP8)=TRUE)))=TRUE))</f>
        <v>0</v>
      </c>
      <c r="CR8" s="3"/>
      <c r="CS8" s="4" t="b">
        <f>NOT(((CR8)=TRUE))</f>
        <v>1</v>
      </c>
      <c r="CT8" s="4" t="b">
        <f>AND(((AS8)=TRUE), ((AT8)=TRUE))</f>
        <v>1</v>
      </c>
      <c r="CU8" s="4" t="str">
        <f>IF(((CT8)=TRUE),  C8,  "")</f>
        <v>exec-policy-hr4821</v>
      </c>
      <c r="CV8" s="3" t="s">
        <v>8321</v>
      </c>
    </row>
  </sheetData>
  <autoFilter ref="A1:CV1"/>
  <headerFooter/>
  <legacyDrawing r:id="rId1"/>
</worksheet>
</file>

<file path=xl/worksheets/sheet6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N4"/>
  <sheetViews>
    <sheetView workbookViewId="0">
      <pane ySplit="1" topLeftCell="A2" state="frozen" activePane="bottomLeft"/>
      <selection pane="bottomLeft" activeCell="A1" sqref="A1"/>
    </sheetView>
  </sheetViews>
  <sheetFormatPr defaultRowHeight="15"/>
  <cols>
    <col min="1" max="1" width="23.46795654296875" customWidth="1"/>
    <col min="2" max="2" width="73.69428253173828" customWidth="1"/>
    <col min="3" max="3" width="17.443378448486328" customWidth="1"/>
    <col min="4" max="4" width="17.443378448486328" customWidth="1"/>
    <col min="5" max="5" width="17.443378448486328" customWidth="1"/>
    <col min="6" max="6" width="68.39627838134766" customWidth="1"/>
    <col min="7" max="7" width="24.515466690063477" customWidth="1"/>
    <col min="8" max="8" width="17.443378448486328" customWidth="1"/>
    <col min="9" max="9" width="18.629850387573242" customWidth="1"/>
    <col min="10" max="10" width="18.317533493041992" customWidth="1"/>
    <col min="11" max="11" width="24.515466690063477" customWidth="1"/>
    <col min="12" max="12" width="17.443378448486328" customWidth="1"/>
    <col min="13" max="13" width="17.443378448486328" customWidth="1"/>
    <col min="14" max="14" width="19.20240592956543" customWidth="1"/>
    <col min="15" max="15" width="30.36338996887207" customWidth="1"/>
    <col min="16" max="16" width="22.12063217163086" customWidth="1"/>
    <col min="17" max="17" width="27.97220230102539" customWidth="1"/>
    <col min="18" max="18" width="31.757104873657227" customWidth="1"/>
    <col min="19" max="19" width="17.443378448486328" customWidth="1"/>
    <col min="20" max="20" width="34.54710006713867" customWidth="1"/>
    <col min="21" max="21" width="24.584793090820312" customWidth="1"/>
    <col min="22" max="22" width="26.4659423828125" customWidth="1"/>
    <col min="23" max="23" width="19.72066307067871" customWidth="1"/>
    <col min="24" max="24" width="23.792490005493164" customWidth="1"/>
    <col min="25" max="25" width="25.966279983520508" customWidth="1"/>
    <col min="26" max="26" width="33.28424072265625" customWidth="1"/>
    <col min="27" max="27" width="31.761056900024414" customWidth="1"/>
    <col min="28" max="28" width="28.486743927001953" customWidth="1"/>
    <col min="29" max="29" width="22.668012619018555" customWidth="1"/>
    <col min="30" max="30" width="17.443378448486328" customWidth="1"/>
    <col min="31" max="31" width="27.37687110900879" customWidth="1"/>
    <col min="32" max="32" width="17.443378448486328" customWidth="1"/>
    <col min="33" max="33" width="20.669025421142578" customWidth="1"/>
    <col min="34" max="34" width="18.023935317993164" customWidth="1"/>
    <col min="35" max="35" width="28.875396728515625" customWidth="1"/>
    <col min="36" max="36" width="27.016462326049805" customWidth="1"/>
    <col min="37" max="37" width="22.837690353393555" customWidth="1"/>
    <col min="38" max="38" width="33.973514556884766" customWidth="1"/>
    <col min="39" max="39" width="36.4902458190918" customWidth="1"/>
    <col min="40" max="40" width="48.76530075073242" customWidth="1"/>
  </cols>
  <sheetData>
    <row r="1">
      <c r="A1" s="2" t="s">
        <v>4995</v>
      </c>
      <c r="B1" s="2" t="s">
        <v>1</v>
      </c>
      <c r="C1" s="2" t="s">
        <v>1467</v>
      </c>
      <c r="D1" s="2" t="s">
        <v>5000</v>
      </c>
      <c r="E1" s="2" t="s">
        <v>5002</v>
      </c>
      <c r="F1" s="2" t="s">
        <v>5004</v>
      </c>
      <c r="G1" s="2" t="s">
        <v>1592</v>
      </c>
      <c r="H1" s="2" t="s">
        <v>5007</v>
      </c>
      <c r="I1" s="2" t="s">
        <v>5009</v>
      </c>
      <c r="J1" s="2" t="s">
        <v>1634</v>
      </c>
      <c r="K1" s="2" t="s">
        <v>1633</v>
      </c>
      <c r="L1" s="2" t="s">
        <v>5013</v>
      </c>
      <c r="M1" s="2" t="s">
        <v>5016</v>
      </c>
      <c r="N1" s="2" t="s">
        <v>5019</v>
      </c>
      <c r="O1" s="2" t="s">
        <v>5022</v>
      </c>
      <c r="P1" s="2" t="s">
        <v>5025</v>
      </c>
      <c r="Q1" s="2" t="s">
        <v>5027</v>
      </c>
      <c r="R1" s="2" t="s">
        <v>5030</v>
      </c>
      <c r="S1" s="2" t="s">
        <v>5033</v>
      </c>
      <c r="T1" s="2" t="s">
        <v>5035</v>
      </c>
      <c r="U1" s="2" t="s">
        <v>5038</v>
      </c>
      <c r="V1" s="2" t="s">
        <v>5041</v>
      </c>
      <c r="W1" s="2" t="s">
        <v>5044</v>
      </c>
      <c r="X1" s="2" t="s">
        <v>5047</v>
      </c>
      <c r="Y1" s="2" t="s">
        <v>5050</v>
      </c>
      <c r="Z1" s="2" t="s">
        <v>5053</v>
      </c>
      <c r="AA1" s="2" t="s">
        <v>5056</v>
      </c>
      <c r="AB1" s="2" t="s">
        <v>5059</v>
      </c>
      <c r="AC1" s="2" t="s">
        <v>5062</v>
      </c>
      <c r="AD1" s="2" t="s">
        <v>5065</v>
      </c>
      <c r="AE1" s="2" t="s">
        <v>5068</v>
      </c>
      <c r="AF1" s="2" t="s">
        <v>5071</v>
      </c>
      <c r="AG1" s="2" t="s">
        <v>5074</v>
      </c>
      <c r="AH1" s="2" t="s">
        <v>5076</v>
      </c>
      <c r="AI1" s="2" t="s">
        <v>5079</v>
      </c>
      <c r="AJ1" s="2" t="s">
        <v>5082</v>
      </c>
      <c r="AK1" s="2" t="s">
        <v>5085</v>
      </c>
      <c r="AL1" s="2" t="s">
        <v>5088</v>
      </c>
      <c r="AM1" s="2" t="s">
        <v>5091</v>
      </c>
      <c r="AN1" s="2" t="s">
        <v>94</v>
      </c>
    </row>
    <row r="2">
      <c r="A2" s="3" t="s">
        <v>8330</v>
      </c>
      <c r="B2" s="4" t="str">
        <f>D2 &amp; ": " &amp; LEFT(F2, 60)</f>
        <v>close-pipeline: Posted approved close entries and published the package.</v>
      </c>
      <c r="C2" s="3" t="s">
        <v>1458</v>
      </c>
      <c r="D2" s="3" t="s">
        <v>165</v>
      </c>
      <c r="E2" s="3" t="s">
        <v>8331</v>
      </c>
      <c r="F2" s="3" t="s">
        <v>8332</v>
      </c>
      <c r="G2" s="5">
        <v>46205.604166666664</v>
      </c>
      <c r="H2" s="3" t="s">
        <v>8333</v>
      </c>
      <c r="I2" s="3" t="s">
        <v>1575</v>
      </c>
      <c r="J2" s="3" t="s">
        <v>145</v>
      </c>
      <c r="K2" s="5">
        <v>46205.625</v>
      </c>
      <c r="L2" s="4" t="b">
        <f>OR(((I2 = "Corrected")=TRUE), ((I2 = "Reversed")=TRUE))</f>
        <v>0</v>
      </c>
      <c r="M2" s="4" t="b">
        <f>AND(((I2 &lt;&gt; "")=TRUE), ((I2 &lt;&gt; "NotReviewed")=TRUE))</f>
        <v>1</v>
      </c>
      <c r="N2" s="4" t="str">
        <f>_xlfn.IFNA(IF(((INDEX(Agents!D2:D12, MATCH(D2,Agents!A2:A12, 0))="")=TRUE),  "",  INDEX(Agents!D2:D12, MATCH(D2,Agents!A2:A12, 0))), "")</f>
        <v>AutomatedPipeline</v>
      </c>
      <c r="O2" s="4" t="str">
        <f>IF(((L2)=TRUE),  D2,  "")</f>
      </c>
      <c r="P2" s="3"/>
      <c r="Q2" s="4" t="str">
        <f>IF(((P2 &lt;&gt; "")=TRUE),  P2,  "")</f>
      </c>
      <c r="R2" s="4" t="str">
        <f>IF(((L2)=TRUE),  P2,  "")</f>
      </c>
      <c r="S2" s="4" t="str">
        <f>_xlfn.IFNA(IF(((INDEX(StepExecutions!D2:D13, MATCH(C2,StepExecutions!A2:A13, 0))="")=TRUE),  "",  INDEX(StepExecutions!D2:D13, MATCH(C2,StepExecutions!A2:A13, 0))), "")</f>
        <v>close-07</v>
      </c>
      <c r="T2" s="4" t="str">
        <f>S2 &amp; "|" &amp; N2 &amp; "|" &amp; E2</f>
        <v>close-07|AutomatedPipeline|Posting</v>
      </c>
      <c r="U2" s="4">
        <f>COUNTIFS(AuthorityBoundaries!Q2:Q4, T2)</f>
        <v>0</v>
      </c>
      <c r="V2" s="4" t="b">
        <f>U2 &gt; 0</f>
        <v>0</v>
      </c>
      <c r="W2" s="4" t="str">
        <f>_xlfn.IFNA(IF(((INDEX(Agents!D2:D12, MATCH(J2,Agents!A2:A12, 0))="")=TRUE),  "",  INDEX(Agents!D2:D12, MATCH(J2,Agents!A2:A12, 0))), "")</f>
        <v>Human</v>
      </c>
      <c r="X2" s="4" t="b">
        <f>AND(((W2 = "Human")=TRUE), ((I2 &lt;&gt; "")=TRUE), ((I2 &lt;&gt; "NotReviewed")=TRUE))</f>
        <v>1</v>
      </c>
      <c r="Y2" s="4" t="b">
        <f>AND(((NOT(((N2 = "Human")=TRUE)))=TRUE), ((OR(((H2 = "Material")=TRUE), ((H2 = "Escalated")=TRUE)))=TRUE))</f>
        <v>1</v>
      </c>
      <c r="Z2" s="4" t="b">
        <f>AND(((Y2)=TRUE), ((NOT(((X2)=TRUE)))=TRUE))</f>
        <v>0</v>
      </c>
      <c r="AA2" s="4" t="str">
        <f>IF(((Z2)=TRUE),  C2,  "")</f>
      </c>
      <c r="AB2" s="4" t="str">
        <f>IF(((V2)=TRUE),  D2,  "")</f>
      </c>
      <c r="AC2" s="4">
        <f>IF(((K2 = "")=TRUE),  0,  IF(((OR((((K2)="")=TRUE), (((G2)="")=TRUE)))=TRUE),  0,  ((K2 - G2) * 1440)))</f>
        <v>30.00000000349246</v>
      </c>
      <c r="AD2" s="4" t="b">
        <f>OR(((E2 = "Draft")=TRUE), ((E2 = "Commitment")=TRUE))</f>
        <v>0</v>
      </c>
      <c r="AE2" s="4" t="str">
        <f>IF(((AND(((AD2)=TRUE), ((L2)=TRUE)))=TRUE),  D2,  "")</f>
      </c>
      <c r="AF2" s="4" t="str">
        <f>IF(((AD2)=TRUE),  D2,  "")</f>
      </c>
      <c r="AG2" s="3"/>
      <c r="AH2" s="4" t="b">
        <f>AND(((L2)=TRUE), ((AG2 = "ErrorCorrection")=TRUE))</f>
        <v>0</v>
      </c>
      <c r="AI2" s="4" t="b">
        <f>AND(((L2)=TRUE), ((AG2 = "JudgmentReserved")=TRUE))</f>
        <v>0</v>
      </c>
      <c r="AJ2" s="4" t="b">
        <f>AND(((L2)=TRUE), ((AG2 &lt;&gt; "")=TRUE))</f>
        <v>0</v>
      </c>
      <c r="AK2" s="4" t="b">
        <f>AND(((L2)=TRUE), ((NOT(((AJ2)=TRUE)))=TRUE))</f>
        <v>0</v>
      </c>
      <c r="AL2" s="4" t="str">
        <f>IF(((AH2)=TRUE),  P2,  "")</f>
      </c>
      <c r="AM2" s="4" t="str">
        <f>IF(((V2)=TRUE),  P2,  "")</f>
      </c>
      <c r="AN2" s="3" t="s">
        <v>8334</v>
      </c>
    </row>
    <row r="3">
      <c r="A3" s="3" t="s">
        <v>8335</v>
      </c>
      <c r="B3" s="4" t="str">
        <f>D3 &amp; ": " &amp; LEFT(F3, 60)</f>
        <v>close-pipeline: Accepted a trial-balance extract in which one feed was 17 mi</v>
      </c>
      <c r="C3" s="3" t="s">
        <v>1450</v>
      </c>
      <c r="D3" s="3" t="s">
        <v>165</v>
      </c>
      <c r="E3" s="3" t="s">
        <v>8331</v>
      </c>
      <c r="F3" s="3" t="s">
        <v>8336</v>
      </c>
      <c r="G3" s="5">
        <v>46203.925</v>
      </c>
      <c r="H3" s="3" t="s">
        <v>8333</v>
      </c>
      <c r="I3" s="3" t="s">
        <v>8337</v>
      </c>
      <c r="J3" s="3" t="s">
        <v>145</v>
      </c>
      <c r="K3" s="5">
        <v>46203.927777777775</v>
      </c>
      <c r="L3" s="4" t="b">
        <f>OR(((I3 = "Corrected")=TRUE), ((I3 = "Reversed")=TRUE))</f>
        <v>1</v>
      </c>
      <c r="M3" s="4" t="b">
        <f>AND(((I3 &lt;&gt; "")=TRUE), ((I3 &lt;&gt; "NotReviewed")=TRUE))</f>
        <v>1</v>
      </c>
      <c r="N3" s="4" t="str">
        <f>_xlfn.IFNA(IF(((INDEX(Agents!D2:D12, MATCH(D3,Agents!A2:A12, 0))="")=TRUE),  "",  INDEX(Agents!D2:D12, MATCH(D3,Agents!A2:A12, 0))), "")</f>
        <v>AutomatedPipeline</v>
      </c>
      <c r="O3" s="4" t="str">
        <f>IF(((L3)=TRUE),  D3,  "")</f>
        <v>close-pipeline</v>
      </c>
      <c r="P3" s="3"/>
      <c r="Q3" s="4" t="str">
        <f>IF(((P3 &lt;&gt; "")=TRUE),  P3,  "")</f>
      </c>
      <c r="R3" s="4">
        <f>IF(((L3)=TRUE),  P3,  "")</f>
        <v>0</v>
      </c>
      <c r="S3" s="4" t="str">
        <f>_xlfn.IFNA(IF(((INDEX(StepExecutions!D2:D13, MATCH(C3,StepExecutions!A2:A13, 0))="")=TRUE),  "",  INDEX(StepExecutions!D2:D13, MATCH(C3,StepExecutions!A2:A13, 0))), "")</f>
        <v>close-02</v>
      </c>
      <c r="T3" s="4" t="str">
        <f>S3 &amp; "|" &amp; N3 &amp; "|" &amp; E3</f>
        <v>close-02|AutomatedPipeline|Posting</v>
      </c>
      <c r="U3" s="4">
        <f>COUNTIFS(AuthorityBoundaries!Q2:Q4, T3)</f>
        <v>0</v>
      </c>
      <c r="V3" s="4" t="b">
        <f>U3 &gt; 0</f>
        <v>0</v>
      </c>
      <c r="W3" s="4" t="str">
        <f>_xlfn.IFNA(IF(((INDEX(Agents!D2:D12, MATCH(J3,Agents!A2:A12, 0))="")=TRUE),  "",  INDEX(Agents!D2:D12, MATCH(J3,Agents!A2:A12, 0))), "")</f>
        <v>Human</v>
      </c>
      <c r="X3" s="4" t="b">
        <f>AND(((W3 = "Human")=TRUE), ((I3 &lt;&gt; "")=TRUE), ((I3 &lt;&gt; "NotReviewed")=TRUE))</f>
        <v>1</v>
      </c>
      <c r="Y3" s="4" t="b">
        <f>AND(((NOT(((N3 = "Human")=TRUE)))=TRUE), ((OR(((H3 = "Material")=TRUE), ((H3 = "Escalated")=TRUE)))=TRUE))</f>
        <v>1</v>
      </c>
      <c r="Z3" s="4" t="b">
        <f>AND(((Y3)=TRUE), ((NOT(((X3)=TRUE)))=TRUE))</f>
        <v>0</v>
      </c>
      <c r="AA3" s="4" t="str">
        <f>IF(((Z3)=TRUE),  C3,  "")</f>
      </c>
      <c r="AB3" s="4" t="str">
        <f>IF(((V3)=TRUE),  D3,  "")</f>
      </c>
      <c r="AC3" s="4">
        <f>IF(((K3 = "")=TRUE),  0,  IF(((OR((((K3)="")=TRUE), (((G3)="")=TRUE)))=TRUE),  0,  ((K3 - G3) * 1440)))</f>
        <v>3.999999992083758</v>
      </c>
      <c r="AD3" s="4" t="b">
        <f>OR(((E3 = "Draft")=TRUE), ((E3 = "Commitment")=TRUE))</f>
        <v>0</v>
      </c>
      <c r="AE3" s="4" t="str">
        <f>IF(((AND(((AD3)=TRUE), ((L3)=TRUE)))=TRUE),  D3,  "")</f>
      </c>
      <c r="AF3" s="4" t="str">
        <f>IF(((AD3)=TRUE),  D3,  "")</f>
      </c>
      <c r="AG3" s="3"/>
      <c r="AH3" s="4" t="b">
        <f>AND(((L3)=TRUE), ((AG3 = "ErrorCorrection")=TRUE))</f>
        <v>0</v>
      </c>
      <c r="AI3" s="4" t="b">
        <f>AND(((L3)=TRUE), ((AG3 = "JudgmentReserved")=TRUE))</f>
        <v>0</v>
      </c>
      <c r="AJ3" s="4" t="b">
        <f>AND(((L3)=TRUE), ((AG3 &lt;&gt; "")=TRUE))</f>
        <v>0</v>
      </c>
      <c r="AK3" s="4" t="b">
        <f>AND(((L3)=TRUE), ((NOT(((AJ3)=TRUE)))=TRUE))</f>
        <v>1</v>
      </c>
      <c r="AL3" s="4" t="str">
        <f>IF(((AH3)=TRUE),  P3,  "")</f>
      </c>
      <c r="AM3" s="4" t="str">
        <f>IF(((V3)=TRUE),  P3,  "")</f>
      </c>
      <c r="AN3" s="3" t="s">
        <v>8334</v>
      </c>
    </row>
    <row r="4">
      <c r="A4" s="3" t="s">
        <v>8338</v>
      </c>
      <c r="B4" s="4" t="str">
        <f>D4 &amp; ": " &amp; LEFT(F4, 60)</f>
        <v>close-pipeline: Locked subledgers at cutoff.</v>
      </c>
      <c r="C4" s="3" t="s">
        <v>1447</v>
      </c>
      <c r="D4" s="3" t="s">
        <v>165</v>
      </c>
      <c r="E4" s="3" t="s">
        <v>8331</v>
      </c>
      <c r="F4" s="3" t="s">
        <v>8339</v>
      </c>
      <c r="G4" s="5">
        <v>46203.91805555556</v>
      </c>
      <c r="H4" s="3" t="s">
        <v>8333</v>
      </c>
      <c r="I4" s="3" t="s">
        <v>1575</v>
      </c>
      <c r="J4" s="3" t="s">
        <v>145</v>
      </c>
      <c r="K4" s="5">
        <v>46203.930555555555</v>
      </c>
      <c r="L4" s="4" t="b">
        <f>OR(((I4 = "Corrected")=TRUE), ((I4 = "Reversed")=TRUE))</f>
        <v>0</v>
      </c>
      <c r="M4" s="4" t="b">
        <f>AND(((I4 &lt;&gt; "")=TRUE), ((I4 &lt;&gt; "NotReviewed")=TRUE))</f>
        <v>1</v>
      </c>
      <c r="N4" s="4" t="str">
        <f>_xlfn.IFNA(IF(((INDEX(Agents!D2:D12, MATCH(D4,Agents!A2:A12, 0))="")=TRUE),  "",  INDEX(Agents!D2:D12, MATCH(D4,Agents!A2:A12, 0))), "")</f>
        <v>AutomatedPipeline</v>
      </c>
      <c r="O4" s="4" t="str">
        <f>IF(((L4)=TRUE),  D4,  "")</f>
      </c>
      <c r="P4" s="3"/>
      <c r="Q4" s="4" t="str">
        <f>IF(((P4 &lt;&gt; "")=TRUE),  P4,  "")</f>
      </c>
      <c r="R4" s="4" t="str">
        <f>IF(((L4)=TRUE),  P4,  "")</f>
      </c>
      <c r="S4" s="4" t="str">
        <f>_xlfn.IFNA(IF(((INDEX(StepExecutions!D2:D13, MATCH(C4,StepExecutions!A2:A13, 0))="")=TRUE),  "",  INDEX(StepExecutions!D2:D13, MATCH(C4,StepExecutions!A2:A13, 0))), "")</f>
        <v>close-01</v>
      </c>
      <c r="T4" s="4" t="str">
        <f>S4 &amp; "|" &amp; N4 &amp; "|" &amp; E4</f>
        <v>close-01|AutomatedPipeline|Posting</v>
      </c>
      <c r="U4" s="4">
        <f>COUNTIFS(AuthorityBoundaries!Q2:Q4, T4)</f>
        <v>0</v>
      </c>
      <c r="V4" s="4" t="b">
        <f>U4 &gt; 0</f>
        <v>0</v>
      </c>
      <c r="W4" s="4" t="str">
        <f>_xlfn.IFNA(IF(((INDEX(Agents!D2:D12, MATCH(J4,Agents!A2:A12, 0))="")=TRUE),  "",  INDEX(Agents!D2:D12, MATCH(J4,Agents!A2:A12, 0))), "")</f>
        <v>Human</v>
      </c>
      <c r="X4" s="4" t="b">
        <f>AND(((W4 = "Human")=TRUE), ((I4 &lt;&gt; "")=TRUE), ((I4 &lt;&gt; "NotReviewed")=TRUE))</f>
        <v>1</v>
      </c>
      <c r="Y4" s="4" t="b">
        <f>AND(((NOT(((N4 = "Human")=TRUE)))=TRUE), ((OR(((H4 = "Material")=TRUE), ((H4 = "Escalated")=TRUE)))=TRUE))</f>
        <v>1</v>
      </c>
      <c r="Z4" s="4" t="b">
        <f>AND(((Y4)=TRUE), ((NOT(((X4)=TRUE)))=TRUE))</f>
        <v>0</v>
      </c>
      <c r="AA4" s="4" t="str">
        <f>IF(((Z4)=TRUE),  C4,  "")</f>
      </c>
      <c r="AB4" s="4" t="str">
        <f>IF(((V4)=TRUE),  D4,  "")</f>
      </c>
      <c r="AC4" s="4">
        <f>IF(((K4 = "")=TRUE),  0,  IF(((OR((((K4)="")=TRUE), (((G4)="")=TRUE)))=TRUE),  0,  ((K4 - G4) * 1440)))</f>
        <v>17.99999999580905</v>
      </c>
      <c r="AD4" s="4" t="b">
        <f>OR(((E4 = "Draft")=TRUE), ((E4 = "Commitment")=TRUE))</f>
        <v>0</v>
      </c>
      <c r="AE4" s="4" t="str">
        <f>IF(((AND(((AD4)=TRUE), ((L4)=TRUE)))=TRUE),  D4,  "")</f>
      </c>
      <c r="AF4" s="4" t="str">
        <f>IF(((AD4)=TRUE),  D4,  "")</f>
      </c>
      <c r="AG4" s="3"/>
      <c r="AH4" s="4" t="b">
        <f>AND(((L4)=TRUE), ((AG4 = "ErrorCorrection")=TRUE))</f>
        <v>0</v>
      </c>
      <c r="AI4" s="4" t="b">
        <f>AND(((L4)=TRUE), ((AG4 = "JudgmentReserved")=TRUE))</f>
        <v>0</v>
      </c>
      <c r="AJ4" s="4" t="b">
        <f>AND(((L4)=TRUE), ((AG4 &lt;&gt; "")=TRUE))</f>
        <v>0</v>
      </c>
      <c r="AK4" s="4" t="b">
        <f>AND(((L4)=TRUE), ((NOT(((AJ4)=TRUE)))=TRUE))</f>
        <v>0</v>
      </c>
      <c r="AL4" s="4" t="str">
        <f>IF(((AH4)=TRUE),  P4,  "")</f>
      </c>
      <c r="AM4" s="4" t="str">
        <f>IF(((V4)=TRUE),  P4,  "")</f>
      </c>
      <c r="AN4" s="3" t="s">
        <v>8334</v>
      </c>
    </row>
  </sheetData>
  <autoFilter ref="A1:AN1"/>
  <headerFooter/>
  <legacyDrawing r:id="rId1"/>
</worksheet>
</file>

<file path=xl/worksheets/sheet6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2"/>
  <sheetViews>
    <sheetView workbookViewId="0">
      <pane ySplit="1" topLeftCell="A2" state="frozen" activePane="bottomLeft"/>
      <selection pane="bottomLeft" activeCell="A1" sqref="A1"/>
    </sheetView>
  </sheetViews>
  <sheetFormatPr defaultRowHeight="15"/>
  <cols>
    <col min="1" max="1" width="26.537160873413086" customWidth="1"/>
    <col min="2" max="2" width="28.502058029174805" customWidth="1"/>
    <col min="3" max="3" width="20.414697647094727" customWidth="1"/>
    <col min="4" max="4" width="22.54623794555664" customWidth="1"/>
    <col min="5" max="5" width="25.454593658447266" customWidth="1"/>
    <col min="6" max="6" width="18.18422508239746" customWidth="1"/>
    <col min="7" max="7" width="17.443378448486328" customWidth="1"/>
    <col min="8" max="8" width="17.443378448486328" customWidth="1"/>
    <col min="9" max="9" width="17.443378448486328" customWidth="1"/>
    <col min="10" max="10" width="22.749176025390625" customWidth="1"/>
    <col min="11" max="11" width="22.75022315979004" customWidth="1"/>
    <col min="12" max="12" width="17.443378448486328" customWidth="1"/>
    <col min="13" max="13" width="52.523475646972656" customWidth="1"/>
    <col min="14" max="14" width="17.577348709106445" customWidth="1"/>
    <col min="15" max="15" width="24.75113868713379" customWidth="1"/>
    <col min="16" max="16" width="17.443378448486328" customWidth="1"/>
    <col min="17" max="17" width="27.971298217773438" customWidth="1"/>
    <col min="18" max="18" width="17.443378448486328" customWidth="1"/>
  </cols>
  <sheetData>
    <row r="1">
      <c r="A1" s="2" t="s">
        <v>5096</v>
      </c>
      <c r="B1" s="2" t="s">
        <v>1</v>
      </c>
      <c r="C1" s="2" t="s">
        <v>1349</v>
      </c>
      <c r="D1" s="2" t="s">
        <v>5101</v>
      </c>
      <c r="E1" s="2" t="s">
        <v>5103</v>
      </c>
      <c r="F1" s="2" t="s">
        <v>4453</v>
      </c>
      <c r="G1" s="2" t="s">
        <v>1691</v>
      </c>
      <c r="H1" s="2" t="s">
        <v>5107</v>
      </c>
      <c r="I1" s="2" t="s">
        <v>4459</v>
      </c>
      <c r="J1" s="2" t="s">
        <v>5110</v>
      </c>
      <c r="K1" s="2" t="s">
        <v>5112</v>
      </c>
      <c r="L1" s="2" t="s">
        <v>4463</v>
      </c>
      <c r="M1" s="2" t="s">
        <v>94</v>
      </c>
      <c r="N1" s="2" t="s">
        <v>5116</v>
      </c>
      <c r="O1" s="2" t="s">
        <v>5119</v>
      </c>
      <c r="P1" s="2" t="s">
        <v>5122</v>
      </c>
      <c r="Q1" s="2" t="s">
        <v>5125</v>
      </c>
      <c r="R1" s="2" t="s">
        <v>5128</v>
      </c>
    </row>
    <row r="2">
      <c r="A2" s="3" t="s">
        <v>8340</v>
      </c>
      <c r="B2" s="4" t="str">
        <f>G2 &amp; " -&gt; " &amp; H2 &amp; " @ " &amp; IF(((I2="")=TRUE),  "",  TEXT(I2, "yyyy-mm-dd\Thh:mm:ss")&amp;"+00:00")</f>
        <v>Email -&gt; emp-anon-0001 @ </v>
      </c>
      <c r="C2" s="3" t="s">
        <v>1344</v>
      </c>
      <c r="D2" s="3"/>
      <c r="E2" s="3"/>
      <c r="F2" s="3"/>
      <c r="G2" s="3" t="s">
        <v>1708</v>
      </c>
      <c r="H2" s="3" t="s">
        <v>8341</v>
      </c>
      <c r="I2" s="5"/>
      <c r="J2" s="3"/>
      <c r="K2" s="3"/>
      <c r="L2" s="3" t="s">
        <v>8342</v>
      </c>
      <c r="M2" s="3" t="s">
        <v>8343</v>
      </c>
      <c r="N2" s="4" t="b">
        <f>E2 &lt;&gt; ""</f>
        <v>0</v>
      </c>
      <c r="O2" s="4" t="b">
        <f>J2 = K2</f>
        <v>1</v>
      </c>
      <c r="P2" s="7" t="str">
        <f>_xlfn.IFNA(IF(((INDEX(StepExecutions!H2:H13, MATCH(E2,StepExecutions!A2:A13, 0))="")=TRUE),  "",  INDEX(StepExecutions!H2:H13, MATCH(E2,StepExecutions!A2:A13, 0))), "")</f>
      </c>
      <c r="Q2" s="4" t="b">
        <f>P2 &lt;= I2</f>
        <v>1</v>
      </c>
      <c r="R2" s="4" t="b">
        <f>AND(((N2)=TRUE), ((O2)=TRUE), ((Q2)=TRUE))</f>
        <v>0</v>
      </c>
    </row>
  </sheetData>
  <autoFilter ref="A1:R1"/>
  <headerFooter/>
  <legacyDrawing r:id="rId1"/>
</worksheet>
</file>

<file path=xl/worksheets/sheet6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G4"/>
  <sheetViews>
    <sheetView workbookViewId="0">
      <pane ySplit="1" topLeftCell="A2" state="frozen" activePane="bottomLeft"/>
      <selection pane="bottomLeft" activeCell="A1" sqref="A1"/>
    </sheetView>
  </sheetViews>
  <sheetFormatPr defaultRowHeight="15"/>
  <cols>
    <col min="1" max="1" width="35.7780647277832" customWidth="1"/>
    <col min="2" max="2" width="29.30144691467285" customWidth="1"/>
    <col min="3" max="3" width="17.443378448486328" customWidth="1"/>
    <col min="4" max="4" width="20.673364639282227" customWidth="1"/>
    <col min="5" max="5" width="22.96761131286621" customWidth="1"/>
    <col min="6" max="6" width="29.619325637817383" customWidth="1"/>
    <col min="7" max="7" width="26.427637100219727" customWidth="1"/>
    <col min="8" max="8" width="20.90545654296875" customWidth="1"/>
    <col min="9" max="9" width="23.35041618347168" customWidth="1"/>
    <col min="10" max="10" width="17.443378448486328" customWidth="1"/>
    <col min="11" max="11" width="17.443378448486328" customWidth="1"/>
    <col min="12" max="12" width="18.547500610351562" customWidth="1"/>
    <col min="13" max="13" width="23.35041618347168" customWidth="1"/>
    <col min="14" max="14" width="18.990327835083008" customWidth="1"/>
    <col min="15" max="15" width="24.83876609802246" customWidth="1"/>
    <col min="16" max="16" width="18.190820693969727" customWidth="1"/>
    <col min="17" max="17" width="30.48799705505371" customWidth="1"/>
    <col min="18" max="18" width="17.443378448486328" customWidth="1"/>
    <col min="19" max="19" width="17.443378448486328" customWidth="1"/>
    <col min="20" max="20" width="22.289936065673828" customWidth="1"/>
    <col min="21" max="21" width="17.443378448486328" customWidth="1"/>
    <col min="22" max="22" width="28.17230224609375" customWidth="1"/>
    <col min="23" max="23" width="32.89763641357422" customWidth="1"/>
    <col min="24" max="24" width="17.443378448486328" customWidth="1"/>
    <col min="25" max="25" width="27.26090431213379" customWidth="1"/>
    <col min="26" max="26" width="29.924070358276367" customWidth="1"/>
    <col min="27" max="27" width="22.163818359375" customWidth="1"/>
    <col min="28" max="28" width="24.549102783203125" customWidth="1"/>
    <col min="29" max="29" width="18.595548629760742" customWidth="1"/>
    <col min="30" max="30" width="29.978755950927734" customWidth="1"/>
    <col min="31" max="31" width="26.859760284423828" customWidth="1"/>
    <col min="32" max="32" width="30.41411018371582" customWidth="1"/>
    <col min="33" max="33" width="45.93343734741211" customWidth="1"/>
  </cols>
  <sheetData>
    <row r="1">
      <c r="A1" s="2" t="s">
        <v>5132</v>
      </c>
      <c r="B1" s="2" t="s">
        <v>1</v>
      </c>
      <c r="C1" s="2" t="s">
        <v>767</v>
      </c>
      <c r="D1" s="2" t="s">
        <v>5137</v>
      </c>
      <c r="E1" s="2" t="s">
        <v>5139</v>
      </c>
      <c r="F1" s="2" t="s">
        <v>5141</v>
      </c>
      <c r="G1" s="2" t="s">
        <v>5143</v>
      </c>
      <c r="H1" s="2" t="s">
        <v>986</v>
      </c>
      <c r="I1" s="2" t="s">
        <v>255</v>
      </c>
      <c r="J1" s="2" t="s">
        <v>256</v>
      </c>
      <c r="K1" s="2" t="s">
        <v>8</v>
      </c>
      <c r="L1" s="2" t="s">
        <v>258</v>
      </c>
      <c r="M1" s="2" t="s">
        <v>92</v>
      </c>
      <c r="N1" s="2" t="s">
        <v>5151</v>
      </c>
      <c r="O1" s="2" t="s">
        <v>5154</v>
      </c>
      <c r="P1" s="2" t="s">
        <v>5157</v>
      </c>
      <c r="Q1" s="2" t="s">
        <v>5035</v>
      </c>
      <c r="R1" s="2" t="s">
        <v>5162</v>
      </c>
      <c r="S1" s="2" t="s">
        <v>5165</v>
      </c>
      <c r="T1" s="2" t="s">
        <v>5168</v>
      </c>
      <c r="U1" s="2" t="s">
        <v>5171</v>
      </c>
      <c r="V1" s="2" t="s">
        <v>5174</v>
      </c>
      <c r="W1" s="2" t="s">
        <v>5177</v>
      </c>
      <c r="X1" s="2" t="s">
        <v>5180</v>
      </c>
      <c r="Y1" s="2" t="s">
        <v>5183</v>
      </c>
      <c r="Z1" s="2" t="s">
        <v>5186</v>
      </c>
      <c r="AA1" s="2" t="s">
        <v>5189</v>
      </c>
      <c r="AB1" s="2" t="s">
        <v>5192</v>
      </c>
      <c r="AC1" s="2" t="s">
        <v>5195</v>
      </c>
      <c r="AD1" s="2" t="s">
        <v>5198</v>
      </c>
      <c r="AE1" s="2" t="s">
        <v>5201</v>
      </c>
      <c r="AF1" s="2" t="s">
        <v>5204</v>
      </c>
      <c r="AG1" s="2" t="s">
        <v>94</v>
      </c>
    </row>
    <row r="2">
      <c r="A2" s="3" t="s">
        <v>8344</v>
      </c>
      <c r="B2" s="4" t="str">
        <f>D2 &amp; " may not " &amp; E2</f>
        <v>AIAgent may not Suppression</v>
      </c>
      <c r="C2" s="3" t="s">
        <v>567</v>
      </c>
      <c r="D2" s="3" t="s">
        <v>173</v>
      </c>
      <c r="E2" s="3" t="s">
        <v>8345</v>
      </c>
      <c r="F2" s="3" t="s">
        <v>1184</v>
      </c>
      <c r="G2" s="3" t="s">
        <v>847</v>
      </c>
      <c r="H2" s="3" t="s">
        <v>208</v>
      </c>
      <c r="I2" s="5">
        <v>46113.208333333336</v>
      </c>
      <c r="J2" s="5"/>
      <c r="K2" s="3" t="s">
        <v>462</v>
      </c>
      <c r="L2" s="3" t="s">
        <v>95</v>
      </c>
      <c r="M2" s="7">
        <f>_xlfn.IFNA(IF(((INDEX(EvaluationContexts!D2:D2, MATCH(L2,EvaluationContexts!A2:A2, 0))="")=TRUE),  "",  INDEX(EvaluationContexts!D2:D2, MATCH(L2,EvaluationContexts!A2:A2, 0))), "")</f>
        <v>46222.75</v>
      </c>
      <c r="N2" s="4" t="b">
        <f>AND(((K2 = "Approved")=TRUE), ((I2 &lt;= M2)=TRUE), ((OR(((J2 = "")=TRUE), ((J2 &gt; M2)=TRUE)))=TRUE))</f>
        <v>1</v>
      </c>
      <c r="O2" s="4" t="b">
        <f>_xlfn.IFNA(IF(((INDEX(KnowledgeFragments!P2:P8, MATCH(F2,KnowledgeFragments!A2:A8, 0))="")=TRUE),  "",  INDEX(KnowledgeFragments!P2:P8, MATCH(F2,KnowledgeFragments!A2:A8, 0))), "")</f>
        <v>1</v>
      </c>
      <c r="P2" s="4" t="str">
        <f>IF(((N2)=TRUE),  C2,  "")</f>
        <v>close-04</v>
      </c>
      <c r="Q2" s="4" t="str">
        <f>C2 &amp; "|" &amp; D2 &amp; "|" &amp; E2</f>
        <v>close-04|AIAgent|Suppression</v>
      </c>
      <c r="R2" s="4">
        <f>COUNTIFS(AgentDecisionRecords!T2:T4, Q2)</f>
        <v>0</v>
      </c>
      <c r="S2" s="4" t="b">
        <f>AND(((N2)=TRUE), ((R2 = 0)=TRUE))</f>
        <v>1</v>
      </c>
      <c r="T2" s="4" t="b">
        <f>F2 &lt;&gt; ""</f>
        <v>1</v>
      </c>
      <c r="U2" s="4" t="b">
        <f>AND(((N2)=TRUE), ((OR(((NOT(((T2)=TRUE)))=TRUE), ((NOT(((O2)=TRUE)))=TRUE)))=TRUE))</f>
        <v>0</v>
      </c>
      <c r="V2" s="4" t="b">
        <f>_xlfn.IFNA(IF(((INDEX(KnowledgeFragments!AW2:AW8, MATCH(F2,KnowledgeFragments!A2:A8, 0))="")=TRUE),  "",  INDEX(KnowledgeFragments!AW2:AW8, MATCH(F2,KnowledgeFragments!A2:A8, 0))), "")</f>
        <v>1</v>
      </c>
      <c r="W2" s="4" t="b">
        <f>_xlfn.IFNA(IF(((INDEX(KnowledgeFragments!AD2:AD8, MATCH(F2,KnowledgeFragments!A2:A8, 0))="")=TRUE),  "",  INDEX(KnowledgeFragments!AD2:AD8, MATCH(F2,KnowledgeFragments!A2:A8, 0))), "")</f>
        <v>1</v>
      </c>
      <c r="X2" s="4" t="b">
        <f>AND(((N2)=TRUE), ((OR(((V2)=TRUE), ((W2)=TRUE)))=TRUE))</f>
        <v>1</v>
      </c>
      <c r="Y2" s="4" t="b">
        <f>AND(((U2)=TRUE), ((S2)=TRUE))</f>
        <v>0</v>
      </c>
      <c r="Z2" s="4" t="str">
        <f>IF(((U2)=TRUE),  C2,  "")</f>
      </c>
      <c r="AA2" s="4" t="str">
        <f>IF(((N2)=TRUE),  F2,  "")</f>
        <v>kf-close-judgment</v>
      </c>
      <c r="AB2" s="4" t="str">
        <f>_xlfn.IFNA(IF(((INDEX(KnowledgeFragments!L2:L8, MATCH(F2,KnowledgeFragments!A2:A8, 0))="")=TRUE),  "",  INDEX(KnowledgeFragments!L2:L8, MATCH(F2,KnowledgeFragments!A2:A8, 0))), "")</f>
        <v>Approved</v>
      </c>
      <c r="AC2" s="4" t="b">
        <f>AND(((T2)=TRUE), ((NOT(((O2)=TRUE)))=TRUE))</f>
        <v>0</v>
      </c>
      <c r="AD2" s="4" t="b">
        <f>AND(((N2)=TRUE), ((AC2)=TRUE))</f>
        <v>0</v>
      </c>
      <c r="AE2" s="4" t="b">
        <f>AND(((AD2)=TRUE), ((S2)=TRUE))</f>
        <v>0</v>
      </c>
      <c r="AF2" s="4" t="str">
        <f>IF(((AD2)=TRUE),  H2,  "")</f>
      </c>
      <c r="AG2" s="3" t="s">
        <v>8346</v>
      </c>
    </row>
    <row r="3">
      <c r="A3" s="3" t="s">
        <v>8347</v>
      </c>
      <c r="B3" s="4" t="str">
        <f>D3 &amp; " may not " &amp; E3</f>
        <v>AIAgent may not Approval</v>
      </c>
      <c r="C3" s="3" t="s">
        <v>576</v>
      </c>
      <c r="D3" s="3" t="s">
        <v>173</v>
      </c>
      <c r="E3" s="3" t="s">
        <v>490</v>
      </c>
      <c r="F3" s="3"/>
      <c r="G3" s="3" t="s">
        <v>867</v>
      </c>
      <c r="H3" s="3" t="s">
        <v>212</v>
      </c>
      <c r="I3" s="5">
        <v>46127.583333333336</v>
      </c>
      <c r="J3" s="5"/>
      <c r="K3" s="3" t="s">
        <v>462</v>
      </c>
      <c r="L3" s="3" t="s">
        <v>95</v>
      </c>
      <c r="M3" s="7">
        <f>_xlfn.IFNA(IF(((INDEX(EvaluationContexts!D2:D2, MATCH(L3,EvaluationContexts!A2:A2, 0))="")=TRUE),  "",  INDEX(EvaluationContexts!D2:D2, MATCH(L3,EvaluationContexts!A2:A2, 0))), "")</f>
        <v>46222.75</v>
      </c>
      <c r="N3" s="4" t="b">
        <f>AND(((K3 = "Approved")=TRUE), ((I3 &lt;= M3)=TRUE), ((OR(((J3 = "")=TRUE), ((J3 &gt; M3)=TRUE)))=TRUE))</f>
        <v>1</v>
      </c>
      <c r="O3" s="4" t="str">
        <f>_xlfn.IFNA(IF(((INDEX(KnowledgeFragments!P2:P8, MATCH(F3,KnowledgeFragments!A2:A8, 0))="")=TRUE),  "",  INDEX(KnowledgeFragments!P2:P8, MATCH(F3,KnowledgeFragments!A2:A8, 0))), "")</f>
      </c>
      <c r="P3" s="4" t="str">
        <f>IF(((N3)=TRUE),  C3,  "")</f>
        <v>close-06</v>
      </c>
      <c r="Q3" s="4" t="str">
        <f>C3 &amp; "|" &amp; D3 &amp; "|" &amp; E3</f>
        <v>close-06|AIAgent|Approval</v>
      </c>
      <c r="R3" s="4">
        <f>COUNTIFS(AgentDecisionRecords!T2:T4, Q3)</f>
        <v>0</v>
      </c>
      <c r="S3" s="4" t="b">
        <f>AND(((N3)=TRUE), ((R3 = 0)=TRUE))</f>
        <v>1</v>
      </c>
      <c r="T3" s="4" t="b">
        <f>F3 &lt;&gt; ""</f>
        <v>0</v>
      </c>
      <c r="U3" s="4" t="b">
        <f>AND(((N3)=TRUE), ((OR(((NOT(((T3)=TRUE)))=TRUE), ((NOT(((O3)=TRUE)))=TRUE)))=TRUE))</f>
        <v>1</v>
      </c>
      <c r="V3" s="4" t="str">
        <f>_xlfn.IFNA(IF(((INDEX(KnowledgeFragments!AW2:AW8, MATCH(F3,KnowledgeFragments!A2:A8, 0))="")=TRUE),  "",  INDEX(KnowledgeFragments!AW2:AW8, MATCH(F3,KnowledgeFragments!A2:A8, 0))), "")</f>
      </c>
      <c r="W3" s="4" t="str">
        <f>_xlfn.IFNA(IF(((INDEX(KnowledgeFragments!AD2:AD8, MATCH(F3,KnowledgeFragments!A2:A8, 0))="")=TRUE),  "",  INDEX(KnowledgeFragments!AD2:AD8, MATCH(F3,KnowledgeFragments!A2:A8, 0))), "")</f>
      </c>
      <c r="X3" s="4" t="b">
        <f>AND(((N3)=TRUE), ((OR(((V3)=TRUE), ((W3)=TRUE)))=TRUE))</f>
        <v>0</v>
      </c>
      <c r="Y3" s="4" t="b">
        <f>AND(((U3)=TRUE), ((S3)=TRUE))</f>
        <v>1</v>
      </c>
      <c r="Z3" s="4" t="str">
        <f>IF(((U3)=TRUE),  C3,  "")</f>
        <v>close-06</v>
      </c>
      <c r="AA3" s="4">
        <f>IF(((N3)=TRUE),  F3,  "")</f>
        <v>0</v>
      </c>
      <c r="AB3" s="4" t="str">
        <f>_xlfn.IFNA(IF(((INDEX(KnowledgeFragments!L2:L8, MATCH(F3,KnowledgeFragments!A2:A8, 0))="")=TRUE),  "",  INDEX(KnowledgeFragments!L2:L8, MATCH(F3,KnowledgeFragments!A2:A8, 0))), "")</f>
      </c>
      <c r="AC3" s="4" t="b">
        <f>AND(((T3)=TRUE), ((NOT(((O3)=TRUE)))=TRUE))</f>
        <v>0</v>
      </c>
      <c r="AD3" s="4" t="b">
        <f>AND(((N3)=TRUE), ((AC3)=TRUE))</f>
        <v>0</v>
      </c>
      <c r="AE3" s="4" t="b">
        <f>AND(((AD3)=TRUE), ((S3)=TRUE))</f>
        <v>0</v>
      </c>
      <c r="AF3" s="4" t="str">
        <f>IF(((AD3)=TRUE),  H3,  "")</f>
      </c>
      <c r="AG3" s="3" t="s">
        <v>8346</v>
      </c>
    </row>
    <row r="4">
      <c r="A4" s="3" t="s">
        <v>8348</v>
      </c>
      <c r="B4" s="4" t="str">
        <f>D4 &amp; " may not " &amp; E4</f>
        <v>AIAgent may not Commitment</v>
      </c>
      <c r="C4" s="3" t="s">
        <v>597</v>
      </c>
      <c r="D4" s="3" t="s">
        <v>173</v>
      </c>
      <c r="E4" s="3" t="s">
        <v>8349</v>
      </c>
      <c r="F4" s="3" t="s">
        <v>1187</v>
      </c>
      <c r="G4" s="3" t="s">
        <v>882</v>
      </c>
      <c r="H4" s="3" t="s">
        <v>220</v>
      </c>
      <c r="I4" s="5">
        <v>46154.8125</v>
      </c>
      <c r="J4" s="5"/>
      <c r="K4" s="3" t="s">
        <v>462</v>
      </c>
      <c r="L4" s="3" t="s">
        <v>95</v>
      </c>
      <c r="M4" s="7">
        <f>_xlfn.IFNA(IF(((INDEX(EvaluationContexts!D2:D2, MATCH(L4,EvaluationContexts!A2:A2, 0))="")=TRUE),  "",  INDEX(EvaluationContexts!D2:D2, MATCH(L4,EvaluationContexts!A2:A2, 0))), "")</f>
        <v>46222.75</v>
      </c>
      <c r="N4" s="4" t="b">
        <f>AND(((K4 = "Approved")=TRUE), ((I4 &lt;= M4)=TRUE), ((OR(((J4 = "")=TRUE), ((J4 &gt; M4)=TRUE)))=TRUE))</f>
        <v>1</v>
      </c>
      <c r="O4" s="4" t="b">
        <f>_xlfn.IFNA(IF(((INDEX(KnowledgeFragments!P2:P8, MATCH(F4,KnowledgeFragments!A2:A8, 0))="")=TRUE),  "",  INDEX(KnowledgeFragments!P2:P8, MATCH(F4,KnowledgeFragments!A2:A8, 0))), "")</f>
        <v>1</v>
      </c>
      <c r="P4" s="4" t="str">
        <f>IF(((N4)=TRUE),  C4,  "")</f>
        <v>policy-03</v>
      </c>
      <c r="Q4" s="4" t="str">
        <f>C4 &amp; "|" &amp; D4 &amp; "|" &amp; E4</f>
        <v>policy-03|AIAgent|Commitment</v>
      </c>
      <c r="R4" s="4">
        <f>COUNTIFS(AgentDecisionRecords!T2:T4, Q4)</f>
        <v>0</v>
      </c>
      <c r="S4" s="4" t="b">
        <f>AND(((N4)=TRUE), ((R4 = 0)=TRUE))</f>
        <v>1</v>
      </c>
      <c r="T4" s="4" t="b">
        <f>F4 &lt;&gt; ""</f>
        <v>1</v>
      </c>
      <c r="U4" s="4" t="b">
        <f>AND(((N4)=TRUE), ((OR(((NOT(((T4)=TRUE)))=TRUE), ((NOT(((O4)=TRUE)))=TRUE)))=TRUE))</f>
        <v>0</v>
      </c>
      <c r="V4" s="4" t="b">
        <f>_xlfn.IFNA(IF(((INDEX(KnowledgeFragments!AW2:AW8, MATCH(F4,KnowledgeFragments!A2:A8, 0))="")=TRUE),  "",  INDEX(KnowledgeFragments!AW2:AW8, MATCH(F4,KnowledgeFragments!A2:A8, 0))), "")</f>
        <v>1</v>
      </c>
      <c r="W4" s="4" t="b">
        <f>_xlfn.IFNA(IF(((INDEX(KnowledgeFragments!AD2:AD8, MATCH(F4,KnowledgeFragments!A2:A8, 0))="")=TRUE),  "",  INDEX(KnowledgeFragments!AD2:AD8, MATCH(F4,KnowledgeFragments!A2:A8, 0))), "")</f>
        <v>1</v>
      </c>
      <c r="X4" s="4" t="b">
        <f>AND(((N4)=TRUE), ((OR(((V4)=TRUE), ((W4)=TRUE)))=TRUE))</f>
        <v>1</v>
      </c>
      <c r="Y4" s="4" t="b">
        <f>AND(((U4)=TRUE), ((S4)=TRUE))</f>
        <v>0</v>
      </c>
      <c r="Z4" s="4" t="str">
        <f>IF(((U4)=TRUE),  C4,  "")</f>
      </c>
      <c r="AA4" s="4" t="str">
        <f>IF(((N4)=TRUE),  F4,  "")</f>
        <v>kf-policy-ai-boundary</v>
      </c>
      <c r="AB4" s="4" t="str">
        <f>_xlfn.IFNA(IF(((INDEX(KnowledgeFragments!L2:L8, MATCH(F4,KnowledgeFragments!A2:A8, 0))="")=TRUE),  "",  INDEX(KnowledgeFragments!L2:L8, MATCH(F4,KnowledgeFragments!A2:A8, 0))), "")</f>
        <v>Approved</v>
      </c>
      <c r="AC4" s="4" t="b">
        <f>AND(((T4)=TRUE), ((NOT(((O4)=TRUE)))=TRUE))</f>
        <v>0</v>
      </c>
      <c r="AD4" s="4" t="b">
        <f>AND(((N4)=TRUE), ((AC4)=TRUE))</f>
        <v>0</v>
      </c>
      <c r="AE4" s="4" t="b">
        <f>AND(((AD4)=TRUE), ((S4)=TRUE))</f>
        <v>0</v>
      </c>
      <c r="AF4" s="4" t="str">
        <f>IF(((AD4)=TRUE),  H4,  "")</f>
      </c>
      <c r="AG4" s="3" t="s">
        <v>8346</v>
      </c>
    </row>
  </sheetData>
  <autoFilter ref="A1:AG1"/>
  <headerFooter/>
  <legacyDrawing r:id="rId1"/>
</worksheet>
</file>

<file path=xl/worksheets/sheet6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
  <sheetViews>
    <sheetView workbookViewId="0">
      <pane ySplit="1" topLeftCell="A2" state="frozen" activePane="bottomLeft"/>
      <selection pane="bottomLeft" activeCell="A1" sqref="A1"/>
    </sheetView>
  </sheetViews>
  <sheetFormatPr defaultRowHeight="15"/>
  <cols>
    <col min="1" max="1" width="21.913814544677734" customWidth="1"/>
    <col min="2" max="2" width="17.443378448486328" customWidth="1"/>
    <col min="3" max="3" width="17.443378448486328" customWidth="1"/>
    <col min="4" max="4" width="19.379335403442383" customWidth="1"/>
    <col min="5" max="5" width="26.971731185913086" customWidth="1"/>
    <col min="6" max="6" width="17.443378448486328" customWidth="1"/>
    <col min="7" max="7" width="17.443378448486328" customWidth="1"/>
    <col min="8" max="8" width="18.059463500976562" customWidth="1"/>
    <col min="9" max="9" width="17.443378448486328" customWidth="1"/>
    <col min="10" max="10" width="22.262216567993164" customWidth="1"/>
    <col min="11" max="11" width="19.462017059326172" customWidth="1"/>
  </cols>
  <sheetData>
    <row r="1">
      <c r="A1" s="2" t="s">
        <v>5209</v>
      </c>
      <c r="B1" s="2" t="s">
        <v>1</v>
      </c>
      <c r="C1" s="2" t="s">
        <v>1467</v>
      </c>
      <c r="D1" s="2" t="s">
        <v>5214</v>
      </c>
      <c r="E1" s="2" t="s">
        <v>5216</v>
      </c>
      <c r="F1" s="2" t="s">
        <v>5218</v>
      </c>
      <c r="G1" s="2" t="s">
        <v>5220</v>
      </c>
      <c r="H1" s="2" t="s">
        <v>5223</v>
      </c>
      <c r="I1" s="2" t="s">
        <v>5226</v>
      </c>
      <c r="J1" s="2" t="s">
        <v>5229</v>
      </c>
      <c r="K1" s="2" t="s">
        <v>5232</v>
      </c>
    </row>
  </sheetData>
  <autoFilter ref="A1:K1"/>
  <headerFooter/>
  <legacyDrawing r:id="rId1"/>
</worksheet>
</file>

<file path=xl/worksheets/sheet6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414697647094727" customWidth="1"/>
    <col min="4" max="4" width="17.443378448486328" customWidth="1"/>
    <col min="5" max="5" width="17.443378448486328" customWidth="1"/>
    <col min="6" max="6" width="25.5279598236084" customWidth="1"/>
    <col min="7" max="7" width="23.516117095947266" customWidth="1"/>
    <col min="8" max="8" width="17.443378448486328" customWidth="1"/>
    <col min="9" max="9" width="24.346725463867188" customWidth="1"/>
    <col min="10" max="10" width="21.134294509887695" customWidth="1"/>
    <col min="11" max="11" width="26.53635597229004" customWidth="1"/>
    <col min="12" max="12" width="29.11251449584961" customWidth="1"/>
  </cols>
  <sheetData>
    <row r="1">
      <c r="A1" s="2" t="s">
        <v>5236</v>
      </c>
      <c r="B1" s="2" t="s">
        <v>1</v>
      </c>
      <c r="C1" s="2" t="s">
        <v>1349</v>
      </c>
      <c r="D1" s="2" t="s">
        <v>5241</v>
      </c>
      <c r="E1" s="2" t="s">
        <v>5243</v>
      </c>
      <c r="F1" s="2" t="s">
        <v>5245</v>
      </c>
      <c r="G1" s="2" t="s">
        <v>5247</v>
      </c>
      <c r="H1" s="2" t="s">
        <v>5249</v>
      </c>
      <c r="I1" s="2" t="s">
        <v>5252</v>
      </c>
      <c r="J1" s="2" t="s">
        <v>5255</v>
      </c>
      <c r="K1" s="2" t="s">
        <v>5258</v>
      </c>
      <c r="L1" s="2" t="s">
        <v>5261</v>
      </c>
    </row>
  </sheetData>
  <autoFilter ref="A1:L1"/>
  <headerFooter/>
  <legacyDrawing r:id="rId1"/>
</worksheet>
</file>

<file path=xl/worksheets/sheet6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3"/>
  <sheetViews>
    <sheetView workbookViewId="0">
      <pane ySplit="1" topLeftCell="A2" state="frozen" activePane="bottomLeft"/>
      <selection pane="bottomLeft" activeCell="A1" sqref="A1"/>
    </sheetView>
  </sheetViews>
  <sheetFormatPr defaultRowHeight="15"/>
  <cols>
    <col min="1" max="1" width="31.89752197265625" customWidth="1"/>
    <col min="2" max="2" width="43.90654754638672" customWidth="1"/>
    <col min="3" max="3" width="25.59624671936035" customWidth="1"/>
    <col min="4" max="4" width="35.03915786743164" customWidth="1"/>
    <col min="5" max="5" width="17.443378448486328" customWidth="1"/>
    <col min="6" max="6" width="17.443378448486328" customWidth="1"/>
    <col min="7" max="7" width="17.443378448486328" customWidth="1"/>
    <col min="8" max="8" width="256" customWidth="1"/>
    <col min="9" max="9" width="80.45428466796875" customWidth="1"/>
    <col min="10" max="10" width="17.443378448486328" customWidth="1"/>
    <col min="11" max="11" width="17.443378448486328" customWidth="1"/>
    <col min="12" max="12" width="42.42377471923828" customWidth="1"/>
  </cols>
  <sheetData>
    <row r="1">
      <c r="A1" s="2" t="s">
        <v>5264</v>
      </c>
      <c r="B1" s="2" t="s">
        <v>1</v>
      </c>
      <c r="C1" s="2" t="s">
        <v>253</v>
      </c>
      <c r="D1" s="2" t="s">
        <v>5269</v>
      </c>
      <c r="E1" s="2" t="s">
        <v>5271</v>
      </c>
      <c r="F1" s="2" t="s">
        <v>5273</v>
      </c>
      <c r="G1" s="2" t="s">
        <v>5275</v>
      </c>
      <c r="H1" s="2" t="s">
        <v>5277</v>
      </c>
      <c r="I1" s="2" t="s">
        <v>5279</v>
      </c>
      <c r="J1" s="2" t="s">
        <v>5281</v>
      </c>
      <c r="K1" s="2" t="s">
        <v>5283</v>
      </c>
      <c r="L1" s="2" t="s">
        <v>94</v>
      </c>
    </row>
    <row r="2">
      <c r="A2" s="3" t="s">
        <v>8350</v>
      </c>
      <c r="B2" s="4" t="str">
        <f>D2 &amp; " (" &amp; E2 &amp; ")"</f>
        <v>Chief Financial Officer (human)</v>
      </c>
      <c r="C2" s="3" t="s">
        <v>212</v>
      </c>
      <c r="D2" s="3" t="s">
        <v>213</v>
      </c>
      <c r="E2" s="3" t="s">
        <v>8351</v>
      </c>
      <c r="F2" s="3" t="s">
        <v>8352</v>
      </c>
      <c r="G2" s="3" t="s">
        <v>8353</v>
      </c>
      <c r="H2" s="3" t="s">
        <v>8354</v>
      </c>
      <c r="I2" s="3" t="s">
        <v>8355</v>
      </c>
      <c r="J2" s="3">
        <v>1</v>
      </c>
      <c r="K2" s="4">
        <f>COUNTIFS(AppRoutes!F2:F150, C2)</f>
        <v>12</v>
      </c>
      <c r="L2" s="3" t="s">
        <v>1870</v>
      </c>
    </row>
    <row r="3">
      <c r="A3" s="3" t="s">
        <v>8356</v>
      </c>
      <c r="B3" s="4" t="str">
        <f>D3 &amp; " (" &amp; E3 &amp; ")"</f>
        <v>Corporate Controller (human)</v>
      </c>
      <c r="C3" s="3" t="s">
        <v>208</v>
      </c>
      <c r="D3" s="3" t="s">
        <v>209</v>
      </c>
      <c r="E3" s="3" t="s">
        <v>8351</v>
      </c>
      <c r="F3" s="3" t="s">
        <v>8357</v>
      </c>
      <c r="G3" s="3" t="s">
        <v>8358</v>
      </c>
      <c r="H3" s="3" t="s">
        <v>8359</v>
      </c>
      <c r="I3" s="3" t="s">
        <v>8360</v>
      </c>
      <c r="J3" s="3">
        <v>2</v>
      </c>
      <c r="K3" s="4">
        <f>COUNTIFS(AppRoutes!F2:F150, C3)</f>
        <v>10</v>
      </c>
      <c r="L3" s="3" t="s">
        <v>1870</v>
      </c>
    </row>
    <row r="4">
      <c r="A4" s="3" t="s">
        <v>8361</v>
      </c>
      <c r="B4" s="4" t="str">
        <f>D4 &amp; " (" &amp; E4 &amp; ")"</f>
        <v>Finance Analyst (human)</v>
      </c>
      <c r="C4" s="3" t="s">
        <v>203</v>
      </c>
      <c r="D4" s="3" t="s">
        <v>204</v>
      </c>
      <c r="E4" s="3" t="s">
        <v>8351</v>
      </c>
      <c r="F4" s="3" t="s">
        <v>8362</v>
      </c>
      <c r="G4" s="3" t="s">
        <v>8363</v>
      </c>
      <c r="H4" s="3" t="s">
        <v>8364</v>
      </c>
      <c r="I4" s="3" t="s">
        <v>8365</v>
      </c>
      <c r="J4" s="3">
        <v>3</v>
      </c>
      <c r="K4" s="4">
        <f>COUNTIFS(AppRoutes!F2:F150, C4)</f>
        <v>11</v>
      </c>
      <c r="L4" s="3" t="s">
        <v>1870</v>
      </c>
    </row>
    <row r="5">
      <c r="A5" s="3" t="s">
        <v>8366</v>
      </c>
      <c r="B5" s="4" t="str">
        <f>D5 &amp; " (" &amp; E5 &amp; ")"</f>
        <v>People Policy Owner (human)</v>
      </c>
      <c r="C5" s="3" t="s">
        <v>216</v>
      </c>
      <c r="D5" s="3" t="s">
        <v>217</v>
      </c>
      <c r="E5" s="3" t="s">
        <v>8351</v>
      </c>
      <c r="F5" s="3" t="s">
        <v>8367</v>
      </c>
      <c r="G5" s="3" t="s">
        <v>8368</v>
      </c>
      <c r="H5" s="3" t="s">
        <v>8369</v>
      </c>
      <c r="I5" s="3" t="s">
        <v>8370</v>
      </c>
      <c r="J5" s="3">
        <v>4</v>
      </c>
      <c r="K5" s="4">
        <f>COUNTIFS(AppRoutes!F2:F150, C5)</f>
        <v>10</v>
      </c>
      <c r="L5" s="3" t="s">
        <v>1870</v>
      </c>
    </row>
    <row r="6">
      <c r="A6" s="3" t="s">
        <v>8371</v>
      </c>
      <c r="B6" s="4" t="str">
        <f>D6 &amp; " (" &amp; E6 &amp; ")"</f>
        <v>Employment Counsel (human)</v>
      </c>
      <c r="C6" s="3" t="s">
        <v>220</v>
      </c>
      <c r="D6" s="3" t="s">
        <v>221</v>
      </c>
      <c r="E6" s="3" t="s">
        <v>8351</v>
      </c>
      <c r="F6" s="3" t="s">
        <v>8372</v>
      </c>
      <c r="G6" s="3" t="s">
        <v>8373</v>
      </c>
      <c r="H6" s="3" t="s">
        <v>8374</v>
      </c>
      <c r="I6" s="3" t="s">
        <v>8375</v>
      </c>
      <c r="J6" s="3">
        <v>5</v>
      </c>
      <c r="K6" s="4">
        <f>COUNTIFS(AppRoutes!F2:F150, C6)</f>
        <v>6</v>
      </c>
      <c r="L6" s="3" t="s">
        <v>1870</v>
      </c>
    </row>
    <row r="7">
      <c r="A7" s="3" t="s">
        <v>8376</v>
      </c>
      <c r="B7" s="4" t="str">
        <f>D7 &amp; " (" &amp; E7 &amp; ")"</f>
        <v>Employee Communications Manager (human)</v>
      </c>
      <c r="C7" s="3" t="s">
        <v>224</v>
      </c>
      <c r="D7" s="3" t="s">
        <v>225</v>
      </c>
      <c r="E7" s="3" t="s">
        <v>8351</v>
      </c>
      <c r="F7" s="3" t="s">
        <v>8377</v>
      </c>
      <c r="G7" s="3" t="s">
        <v>8378</v>
      </c>
      <c r="H7" s="3" t="s">
        <v>8379</v>
      </c>
      <c r="I7" s="3" t="s">
        <v>8380</v>
      </c>
      <c r="J7" s="3">
        <v>6</v>
      </c>
      <c r="K7" s="4">
        <f>COUNTIFS(AppRoutes!F2:F150, C7)</f>
        <v>11</v>
      </c>
      <c r="L7" s="3" t="s">
        <v>1870</v>
      </c>
    </row>
    <row r="8">
      <c r="A8" s="3" t="s">
        <v>8381</v>
      </c>
      <c r="B8" s="4" t="str">
        <f>D8 &amp; " (" &amp; E8 &amp; ")"</f>
        <v>Procedural Knowledge Steward (human)</v>
      </c>
      <c r="C8" s="3" t="s">
        <v>244</v>
      </c>
      <c r="D8" s="3" t="s">
        <v>245</v>
      </c>
      <c r="E8" s="3" t="s">
        <v>8351</v>
      </c>
      <c r="F8" s="3" t="s">
        <v>8382</v>
      </c>
      <c r="G8" s="3" t="s">
        <v>8383</v>
      </c>
      <c r="H8" s="3" t="s">
        <v>8384</v>
      </c>
      <c r="I8" s="3" t="s">
        <v>8385</v>
      </c>
      <c r="J8" s="3">
        <v>7</v>
      </c>
      <c r="K8" s="4">
        <f>COUNTIFS(AppRoutes!F2:F150, C8)</f>
        <v>11</v>
      </c>
      <c r="L8" s="3" t="s">
        <v>1870</v>
      </c>
    </row>
    <row r="9">
      <c r="A9" s="3" t="s">
        <v>8386</v>
      </c>
      <c r="B9" s="4" t="str">
        <f>D9 &amp; " (" &amp; E9 &amp; ")"</f>
        <v>Procedural Knowledge Authority (human)</v>
      </c>
      <c r="C9" s="3" t="s">
        <v>248</v>
      </c>
      <c r="D9" s="3" t="s">
        <v>249</v>
      </c>
      <c r="E9" s="3" t="s">
        <v>8351</v>
      </c>
      <c r="F9" s="3" t="s">
        <v>8387</v>
      </c>
      <c r="G9" s="3" t="s">
        <v>8388</v>
      </c>
      <c r="H9" s="3" t="s">
        <v>8389</v>
      </c>
      <c r="I9" s="3" t="s">
        <v>8390</v>
      </c>
      <c r="J9" s="3">
        <v>8</v>
      </c>
      <c r="K9" s="4">
        <f>COUNTIFS(AppRoutes!F2:F150, C9)</f>
        <v>11</v>
      </c>
      <c r="L9" s="3" t="s">
        <v>1870</v>
      </c>
    </row>
    <row r="10">
      <c r="A10" s="3" t="s">
        <v>8391</v>
      </c>
      <c r="B10" s="4" t="str">
        <f>D10 &amp; " (" &amp; E10 &amp; ")"</f>
        <v>Close Automation Operator (software)</v>
      </c>
      <c r="C10" s="3" t="s">
        <v>228</v>
      </c>
      <c r="D10" s="3" t="s">
        <v>229</v>
      </c>
      <c r="E10" s="3" t="s">
        <v>8392</v>
      </c>
      <c r="F10" s="3" t="s">
        <v>8393</v>
      </c>
      <c r="G10" s="3" t="s">
        <v>8394</v>
      </c>
      <c r="H10" s="3" t="s">
        <v>8395</v>
      </c>
      <c r="I10" s="3" t="s">
        <v>8396</v>
      </c>
      <c r="J10" s="3">
        <v>9</v>
      </c>
      <c r="K10" s="4">
        <f>COUNTIFS(AppRoutes!F2:F150, C10)</f>
        <v>6</v>
      </c>
      <c r="L10" s="3" t="s">
        <v>1870</v>
      </c>
    </row>
    <row r="11">
      <c r="A11" s="3" t="s">
        <v>8397</v>
      </c>
      <c r="B11" s="4" t="str">
        <f>D11 &amp; " (" &amp; E11 &amp; ")"</f>
        <v>Variance Review Agent (software)</v>
      </c>
      <c r="C11" s="3" t="s">
        <v>232</v>
      </c>
      <c r="D11" s="3" t="s">
        <v>233</v>
      </c>
      <c r="E11" s="3" t="s">
        <v>8392</v>
      </c>
      <c r="F11" s="3" t="s">
        <v>8398</v>
      </c>
      <c r="G11" s="3" t="s">
        <v>8399</v>
      </c>
      <c r="H11" s="3" t="s">
        <v>8400</v>
      </c>
      <c r="I11" s="3" t="s">
        <v>8401</v>
      </c>
      <c r="J11" s="3">
        <v>10</v>
      </c>
      <c r="K11" s="4">
        <f>COUNTIFS(AppRoutes!F2:F150, C11)</f>
        <v>11</v>
      </c>
      <c r="L11" s="3" t="s">
        <v>1870</v>
      </c>
    </row>
    <row r="12">
      <c r="A12" s="3" t="s">
        <v>8402</v>
      </c>
      <c r="B12" s="4" t="str">
        <f>D12 &amp; " (" &amp; E12 &amp; ")"</f>
        <v>Policy Drafting Agent (software)</v>
      </c>
      <c r="C12" s="3" t="s">
        <v>236</v>
      </c>
      <c r="D12" s="3" t="s">
        <v>237</v>
      </c>
      <c r="E12" s="3" t="s">
        <v>8392</v>
      </c>
      <c r="F12" s="3" t="s">
        <v>8403</v>
      </c>
      <c r="G12" s="3" t="s">
        <v>8404</v>
      </c>
      <c r="H12" s="3" t="s">
        <v>8405</v>
      </c>
      <c r="I12" s="3" t="s">
        <v>8406</v>
      </c>
      <c r="J12" s="3">
        <v>11</v>
      </c>
      <c r="K12" s="4">
        <f>COUNTIFS(AppRoutes!F2:F150, C12)</f>
        <v>6</v>
      </c>
      <c r="L12" s="3" t="s">
        <v>1870</v>
      </c>
    </row>
    <row r="13">
      <c r="A13" s="3" t="s">
        <v>8407</v>
      </c>
      <c r="B13" s="4" t="str">
        <f>D13 &amp; " (" &amp; E13 &amp; ")"</f>
        <v>Notification Publisher (software)</v>
      </c>
      <c r="C13" s="3" t="s">
        <v>240</v>
      </c>
      <c r="D13" s="3" t="s">
        <v>241</v>
      </c>
      <c r="E13" s="3" t="s">
        <v>8392</v>
      </c>
      <c r="F13" s="3" t="s">
        <v>8408</v>
      </c>
      <c r="G13" s="3" t="s">
        <v>8409</v>
      </c>
      <c r="H13" s="3" t="s">
        <v>8410</v>
      </c>
      <c r="I13" s="3" t="s">
        <v>8411</v>
      </c>
      <c r="J13" s="3">
        <v>12</v>
      </c>
      <c r="K13" s="4">
        <f>COUNTIFS(AppRoutes!F2:F150, C13)</f>
        <v>11</v>
      </c>
      <c r="L13" s="3" t="s">
        <v>1870</v>
      </c>
    </row>
  </sheetData>
  <autoFilter ref="A1:L1"/>
  <headerFooter/>
  <legacyDrawing r:id="rId1"/>
</worksheet>
</file>

<file path=xl/worksheets/sheet7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24"/>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41.37693405151367" customWidth="1"/>
  </cols>
  <sheetData>
    <row r="1">
      <c r="A1" s="2" t="s">
        <v>5287</v>
      </c>
      <c r="B1" s="2" t="s">
        <v>1</v>
      </c>
      <c r="C1" s="2" t="s">
        <v>5291</v>
      </c>
      <c r="D1" s="2" t="s">
        <v>5283</v>
      </c>
      <c r="E1" s="2" t="s">
        <v>94</v>
      </c>
    </row>
    <row r="2">
      <c r="A2" s="3" t="s">
        <v>8412</v>
      </c>
      <c r="B2" s="4" t="str">
        <f>C2</f>
        <v>Attestation</v>
      </c>
      <c r="C2" s="3" t="s">
        <v>8413</v>
      </c>
      <c r="D2" s="4">
        <f>COUNTIFS(AppRoutes!G2:G150, A2)</f>
        <v>4</v>
      </c>
      <c r="E2" s="3" t="s">
        <v>1874</v>
      </c>
    </row>
    <row r="3">
      <c r="A3" s="3" t="s">
        <v>8414</v>
      </c>
      <c r="B3" s="4" t="str">
        <f>C3</f>
        <v>Assurance</v>
      </c>
      <c r="C3" s="3" t="s">
        <v>8415</v>
      </c>
      <c r="D3" s="4">
        <f>COUNTIFS(AppRoutes!G2:G150, A3)</f>
        <v>5</v>
      </c>
      <c r="E3" s="3" t="s">
        <v>1874</v>
      </c>
    </row>
    <row r="4">
      <c r="A4" s="3" t="s">
        <v>8416</v>
      </c>
      <c r="B4" s="4" t="str">
        <f>C4</f>
        <v>Authority</v>
      </c>
      <c r="C4" s="3" t="s">
        <v>1251</v>
      </c>
      <c r="D4" s="4">
        <f>COUNTIFS(AppRoutes!G2:G150, A4)</f>
        <v>4</v>
      </c>
      <c r="E4" s="3" t="s">
        <v>1874</v>
      </c>
    </row>
    <row r="5">
      <c r="A5" s="3" t="s">
        <v>8417</v>
      </c>
      <c r="B5" s="4" t="str">
        <f>C5</f>
        <v>Controls</v>
      </c>
      <c r="C5" s="3" t="s">
        <v>8418</v>
      </c>
      <c r="D5" s="4">
        <f>COUNTIFS(AppRoutes!G2:G150, A5)</f>
        <v>4</v>
      </c>
      <c r="E5" s="3" t="s">
        <v>1874</v>
      </c>
    </row>
    <row r="6">
      <c r="A6" s="3" t="s">
        <v>8419</v>
      </c>
      <c r="B6" s="4" t="str">
        <f>C6</f>
        <v>Evidence</v>
      </c>
      <c r="C6" s="3" t="s">
        <v>1469</v>
      </c>
      <c r="D6" s="4">
        <f>COUNTIFS(AppRoutes!G2:G150, A6)</f>
        <v>5</v>
      </c>
      <c r="E6" s="3" t="s">
        <v>1874</v>
      </c>
    </row>
    <row r="7">
      <c r="A7" s="3" t="s">
        <v>8420</v>
      </c>
      <c r="B7" s="4" t="str">
        <f>C7</f>
        <v>Execution</v>
      </c>
      <c r="C7" s="3" t="s">
        <v>8421</v>
      </c>
      <c r="D7" s="4">
        <f>COUNTIFS(AppRoutes!G2:G150, A7)</f>
        <v>6</v>
      </c>
      <c r="E7" s="3" t="s">
        <v>1874</v>
      </c>
    </row>
    <row r="8">
      <c r="A8" s="3" t="s">
        <v>8422</v>
      </c>
      <c r="B8" s="4" t="str">
        <f>C8</f>
        <v>Knowledge</v>
      </c>
      <c r="C8" s="3" t="s">
        <v>8423</v>
      </c>
      <c r="D8" s="4">
        <f>COUNTIFS(AppRoutes!G2:G150, A8)</f>
        <v>11</v>
      </c>
      <c r="E8" s="3" t="s">
        <v>1874</v>
      </c>
    </row>
    <row r="9">
      <c r="A9" s="3" t="s">
        <v>8424</v>
      </c>
      <c r="B9" s="4" t="str">
        <f>C9</f>
        <v>Governance</v>
      </c>
      <c r="C9" s="3" t="s">
        <v>855</v>
      </c>
      <c r="D9" s="4">
        <f>COUNTIFS(AppRoutes!G2:G150, A9)</f>
        <v>20</v>
      </c>
      <c r="E9" s="3" t="s">
        <v>1874</v>
      </c>
    </row>
    <row r="10">
      <c r="A10" s="3" t="s">
        <v>8425</v>
      </c>
      <c r="B10" s="4" t="str">
        <f>C10</f>
        <v>Delivery</v>
      </c>
      <c r="C10" s="3" t="s">
        <v>8426</v>
      </c>
      <c r="D10" s="4">
        <f>COUNTIFS(AppRoutes!G2:G150, A10)</f>
        <v>5</v>
      </c>
      <c r="E10" s="3" t="s">
        <v>1874</v>
      </c>
    </row>
    <row r="11">
      <c r="A11" s="3" t="s">
        <v>8427</v>
      </c>
      <c r="B11" s="4" t="str">
        <f>C11</f>
        <v>Audience</v>
      </c>
      <c r="C11" s="3" t="s">
        <v>8428</v>
      </c>
      <c r="D11" s="4">
        <f>COUNTIFS(AppRoutes!G2:G150, A11)</f>
        <v>2</v>
      </c>
      <c r="E11" s="3" t="s">
        <v>1874</v>
      </c>
    </row>
    <row r="12">
      <c r="A12" s="3" t="s">
        <v>8429</v>
      </c>
      <c r="B12" s="4" t="str">
        <f>C12</f>
        <v>Compliance</v>
      </c>
      <c r="C12" s="3" t="s">
        <v>8430</v>
      </c>
      <c r="D12" s="4">
        <f>COUNTIFS(AppRoutes!G2:G150, A12)</f>
        <v>8</v>
      </c>
      <c r="E12" s="3" t="s">
        <v>1874</v>
      </c>
    </row>
    <row r="13">
      <c r="A13" s="3" t="s">
        <v>8431</v>
      </c>
      <c r="B13" s="4" t="str">
        <f>C13</f>
        <v>Readiness</v>
      </c>
      <c r="C13" s="3" t="s">
        <v>8432</v>
      </c>
      <c r="D13" s="4">
        <f>COUNTIFS(AppRoutes!G2:G150, A13)</f>
        <v>13</v>
      </c>
      <c r="E13" s="3" t="s">
        <v>1874</v>
      </c>
    </row>
    <row r="14">
      <c r="A14" s="3" t="s">
        <v>8433</v>
      </c>
      <c r="B14" s="4" t="str">
        <f>C14</f>
        <v>Self-check</v>
      </c>
      <c r="C14" s="3" t="s">
        <v>8434</v>
      </c>
      <c r="D14" s="4">
        <f>COUNTIFS(AppRoutes!G2:G150, A14)</f>
        <v>7</v>
      </c>
      <c r="E14" s="3" t="s">
        <v>1874</v>
      </c>
    </row>
    <row r="15">
      <c r="A15" s="3" t="s">
        <v>8435</v>
      </c>
      <c r="B15" s="4" t="str">
        <f>C15</f>
        <v>Quality</v>
      </c>
      <c r="C15" s="3" t="s">
        <v>909</v>
      </c>
      <c r="D15" s="4">
        <f>COUNTIFS(AppRoutes!G2:G150, A15)</f>
        <v>7</v>
      </c>
      <c r="E15" s="3" t="s">
        <v>1874</v>
      </c>
    </row>
    <row r="16">
      <c r="A16" s="3" t="s">
        <v>8436</v>
      </c>
      <c r="B16" s="4" t="str">
        <f>C16</f>
        <v>My Backlog</v>
      </c>
      <c r="C16" s="3" t="s">
        <v>8437</v>
      </c>
      <c r="D16" s="4">
        <f>COUNTIFS(AppRoutes!G2:G150, A16)</f>
        <v>3</v>
      </c>
      <c r="E16" s="3" t="s">
        <v>1874</v>
      </c>
    </row>
    <row r="17">
      <c r="A17" s="3" t="s">
        <v>8438</v>
      </c>
      <c r="B17" s="4" t="str">
        <f>C17</f>
        <v>Ownership</v>
      </c>
      <c r="C17" s="3" t="s">
        <v>8439</v>
      </c>
      <c r="D17" s="4">
        <f>COUNTIFS(AppRoutes!G2:G150, A17)</f>
        <v>5</v>
      </c>
      <c r="E17" s="3" t="s">
        <v>1874</v>
      </c>
    </row>
    <row r="18">
      <c r="A18" s="3" t="s">
        <v>8440</v>
      </c>
      <c r="B18" s="4" t="str">
        <f>C18</f>
        <v>Cadence</v>
      </c>
      <c r="C18" s="3" t="s">
        <v>328</v>
      </c>
      <c r="D18" s="4">
        <f>COUNTIFS(AppRoutes!G2:G150, A18)</f>
        <v>3</v>
      </c>
      <c r="E18" s="3" t="s">
        <v>1874</v>
      </c>
    </row>
    <row r="19">
      <c r="A19" s="3" t="s">
        <v>8441</v>
      </c>
      <c r="B19" s="4" t="str">
        <f>C19</f>
        <v>The Model</v>
      </c>
      <c r="C19" s="3" t="s">
        <v>8442</v>
      </c>
      <c r="D19" s="4">
        <f>COUNTIFS(AppRoutes!G2:G150, A19)</f>
        <v>4</v>
      </c>
      <c r="E19" s="3" t="s">
        <v>1874</v>
      </c>
    </row>
    <row r="20">
      <c r="A20" s="3" t="s">
        <v>8443</v>
      </c>
      <c r="B20" s="4" t="str">
        <f>C20</f>
        <v>Conformance</v>
      </c>
      <c r="C20" s="3" t="s">
        <v>8444</v>
      </c>
      <c r="D20" s="4">
        <f>COUNTIFS(AppRoutes!G2:G150, A20)</f>
        <v>2</v>
      </c>
      <c r="E20" s="3" t="s">
        <v>1874</v>
      </c>
    </row>
    <row r="21">
      <c r="A21" s="3" t="s">
        <v>8445</v>
      </c>
      <c r="B21" s="4" t="str">
        <f>C21</f>
        <v>Witnesses</v>
      </c>
      <c r="C21" s="3" t="s">
        <v>8446</v>
      </c>
      <c r="D21" s="4">
        <f>COUNTIFS(AppRoutes!G2:G150, A21)</f>
        <v>2</v>
      </c>
      <c r="E21" s="3" t="s">
        <v>1874</v>
      </c>
    </row>
    <row r="22">
      <c r="A22" s="3" t="s">
        <v>8447</v>
      </c>
      <c r="B22" s="4" t="str">
        <f>C22</f>
        <v>Loops</v>
      </c>
      <c r="C22" s="3" t="s">
        <v>8448</v>
      </c>
      <c r="D22" s="4">
        <f>COUNTIFS(AppRoutes!G2:G150, A22)</f>
        <v>2</v>
      </c>
      <c r="E22" s="3" t="s">
        <v>1874</v>
      </c>
    </row>
    <row r="23">
      <c r="A23" s="3" t="s">
        <v>8219</v>
      </c>
      <c r="B23" s="4" t="str">
        <f>C23</f>
        <v>Provenance</v>
      </c>
      <c r="C23" s="3" t="s">
        <v>874</v>
      </c>
      <c r="D23" s="4">
        <f>COUNTIFS(AppRoutes!G2:G150, A23)</f>
        <v>1</v>
      </c>
      <c r="E23" s="3" t="s">
        <v>1874</v>
      </c>
    </row>
    <row r="24">
      <c r="A24" s="3" t="s">
        <v>8449</v>
      </c>
      <c r="B24" s="4" t="str">
        <f>C24</f>
        <v>Inferences</v>
      </c>
      <c r="C24" s="3" t="s">
        <v>8450</v>
      </c>
      <c r="D24" s="4">
        <f>COUNTIFS(AppRoutes!G2:G150, A24)</f>
        <v>4</v>
      </c>
      <c r="E24" s="3" t="s">
        <v>1874</v>
      </c>
    </row>
  </sheetData>
  <autoFilter ref="A1:E1"/>
  <headerFooter/>
  <legacyDrawing r:id="rId1"/>
</worksheet>
</file>

<file path=xl/worksheets/sheet7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0"/>
  <sheetViews>
    <sheetView workbookViewId="0">
      <pane ySplit="1" topLeftCell="A2" state="frozen" activePane="bottomLeft"/>
      <selection pane="bottomLeft" activeCell="A1" sqref="A1"/>
    </sheetView>
  </sheetViews>
  <sheetFormatPr defaultRowHeight="15"/>
  <cols>
    <col min="1" max="1" width="34.358314514160156" customWidth="1"/>
    <col min="2" max="2" width="95.49812316894531" customWidth="1"/>
    <col min="3" max="3" width="64.53288269042969" customWidth="1"/>
    <col min="4" max="4" width="41.745540618896484" customWidth="1"/>
    <col min="5" max="5" width="17.443378448486328" customWidth="1"/>
    <col min="6" max="6" width="25.59624671936035" customWidth="1"/>
    <col min="7" max="7" width="17.443378448486328" customWidth="1"/>
    <col min="8" max="8" width="17.443378448486328" customWidth="1"/>
    <col min="9" max="9" width="17.443378448486328" customWidth="1"/>
    <col min="10" max="10" width="222.0500030517578" customWidth="1"/>
    <col min="11" max="11" width="254.74110412597656" customWidth="1"/>
    <col min="12" max="12" width="17.443378448486328" customWidth="1"/>
    <col min="13" max="13" width="17.443378448486328" customWidth="1"/>
    <col min="14" max="14" width="17.443378448486328" customWidth="1"/>
    <col min="15" max="15" width="17.443378448486328" customWidth="1"/>
    <col min="16" max="16" width="17.443378448486328" customWidth="1"/>
    <col min="17" max="17" width="20.496232986450195" customWidth="1"/>
    <col min="18" max="18" width="37.620140075683594" customWidth="1"/>
  </cols>
  <sheetData>
    <row r="1">
      <c r="A1" s="2" t="s">
        <v>5296</v>
      </c>
      <c r="B1" s="2" t="s">
        <v>1</v>
      </c>
      <c r="C1" s="2" t="s">
        <v>5300</v>
      </c>
      <c r="D1" s="2" t="s">
        <v>5302</v>
      </c>
      <c r="E1" s="2" t="s">
        <v>5304</v>
      </c>
      <c r="F1" s="2" t="s">
        <v>5306</v>
      </c>
      <c r="G1" s="2" t="s">
        <v>5308</v>
      </c>
      <c r="H1" s="2" t="s">
        <v>5310</v>
      </c>
      <c r="I1" s="2" t="s">
        <v>5312</v>
      </c>
      <c r="J1" s="2" t="s">
        <v>327</v>
      </c>
      <c r="K1" s="2" t="s">
        <v>5315</v>
      </c>
      <c r="L1" s="2" t="s">
        <v>5317</v>
      </c>
      <c r="M1" s="2" t="s">
        <v>5320</v>
      </c>
      <c r="N1" s="2" t="s">
        <v>5323</v>
      </c>
      <c r="O1" s="2" t="s">
        <v>1932</v>
      </c>
      <c r="P1" s="2" t="s">
        <v>5328</v>
      </c>
      <c r="Q1" s="2" t="s">
        <v>5331</v>
      </c>
      <c r="R1" s="2" t="s">
        <v>94</v>
      </c>
    </row>
    <row r="2">
      <c r="A2" s="3" t="s">
        <v>8451</v>
      </c>
      <c r="B2" s="4" t="str">
        <f>D2 &amp; " — " &amp; C2</f>
        <v>Can I Sign? — /cfo/attestation</v>
      </c>
      <c r="C2" s="3" t="s">
        <v>8452</v>
      </c>
      <c r="D2" s="3" t="s">
        <v>8453</v>
      </c>
      <c r="E2" s="3" t="s">
        <v>8454</v>
      </c>
      <c r="F2" s="3" t="s">
        <v>212</v>
      </c>
      <c r="G2" s="3" t="s">
        <v>8412</v>
      </c>
      <c r="H2" s="3">
        <v>1</v>
      </c>
      <c r="I2" s="3" t="s">
        <v>8455</v>
      </c>
      <c r="J2" s="3" t="s">
        <v>8456</v>
      </c>
      <c r="K2" s="3" t="s">
        <v>8457</v>
      </c>
      <c r="L2" s="4" t="b">
        <f>G2 &lt;&gt; ""</f>
        <v>1</v>
      </c>
      <c r="M2" s="4" t="b">
        <f>AND(((F2 = "")=TRUE), ((E2 = "domain")=TRUE))</f>
        <v>0</v>
      </c>
      <c r="N2" s="4" t="b">
        <f>E2 = "maintainer"</f>
        <v>0</v>
      </c>
      <c r="O2" s="4">
        <f>COUNTIFS(AppRouteQuestions!C2:C152, A2)</f>
        <v>2</v>
      </c>
      <c r="P2" s="4">
        <f>COUNTIFS(AppRouteReferences!C2:C316, A2)</f>
        <v>3</v>
      </c>
      <c r="Q2" s="4" t="b">
        <f>AND(((O2 = 0)=TRUE), ((M2 = FALSE)=TRUE), ((N2 = FALSE)=TRUE), ((I2 &lt;&gt; "index")=TRUE))</f>
        <v>0</v>
      </c>
      <c r="R2" s="3" t="s">
        <v>1878</v>
      </c>
    </row>
    <row r="3">
      <c r="A3" s="3" t="s">
        <v>8458</v>
      </c>
      <c r="B3" s="4" t="str">
        <f>D3 &amp; " — " &amp; C3</f>
        <v>Blockers — /cfo/attestation/blockers</v>
      </c>
      <c r="C3" s="3" t="s">
        <v>8459</v>
      </c>
      <c r="D3" s="3" t="s">
        <v>8460</v>
      </c>
      <c r="E3" s="3" t="s">
        <v>8454</v>
      </c>
      <c r="F3" s="3" t="s">
        <v>212</v>
      </c>
      <c r="G3" s="3" t="s">
        <v>8412</v>
      </c>
      <c r="H3" s="3">
        <v>2</v>
      </c>
      <c r="I3" s="3" t="s">
        <v>8461</v>
      </c>
      <c r="J3" s="3" t="s">
        <v>8462</v>
      </c>
      <c r="K3" s="3" t="s">
        <v>8463</v>
      </c>
      <c r="L3" s="4" t="b">
        <f>G3 &lt;&gt; ""</f>
        <v>1</v>
      </c>
      <c r="M3" s="4" t="b">
        <f>AND(((F3 = "")=TRUE), ((E3 = "domain")=TRUE))</f>
        <v>0</v>
      </c>
      <c r="N3" s="4" t="b">
        <f>E3 = "maintainer"</f>
        <v>0</v>
      </c>
      <c r="O3" s="4">
        <f>COUNTIFS(AppRouteQuestions!C2:C152, A3)</f>
        <v>2</v>
      </c>
      <c r="P3" s="4">
        <f>COUNTIFS(AppRouteReferences!C2:C316, A3)</f>
        <v>2</v>
      </c>
      <c r="Q3" s="4" t="b">
        <f>AND(((O3 = 0)=TRUE), ((M3 = FALSE)=TRUE), ((N3 = FALSE)=TRUE), ((I3 &lt;&gt; "index")=TRUE))</f>
        <v>0</v>
      </c>
      <c r="R3" s="3" t="s">
        <v>1878</v>
      </c>
    </row>
    <row r="4">
      <c r="A4" s="3" t="s">
        <v>8464</v>
      </c>
      <c r="B4" s="4" t="str">
        <f>D4 &amp; " — " &amp; C4</f>
        <v>Assurance Grade — /cfo/assurance/grade</v>
      </c>
      <c r="C4" s="3" t="s">
        <v>8465</v>
      </c>
      <c r="D4" s="3" t="s">
        <v>8466</v>
      </c>
      <c r="E4" s="3" t="s">
        <v>8454</v>
      </c>
      <c r="F4" s="3" t="s">
        <v>212</v>
      </c>
      <c r="G4" s="3" t="s">
        <v>8414</v>
      </c>
      <c r="H4" s="3">
        <v>1</v>
      </c>
      <c r="I4" s="3" t="s">
        <v>8461</v>
      </c>
      <c r="J4" s="3" t="s">
        <v>8467</v>
      </c>
      <c r="K4" s="3" t="s">
        <v>8468</v>
      </c>
      <c r="L4" s="4" t="b">
        <f>G4 &lt;&gt; ""</f>
        <v>1</v>
      </c>
      <c r="M4" s="4" t="b">
        <f>AND(((F4 = "")=TRUE), ((E4 = "domain")=TRUE))</f>
        <v>0</v>
      </c>
      <c r="N4" s="4" t="b">
        <f>E4 = "maintainer"</f>
        <v>0</v>
      </c>
      <c r="O4" s="4">
        <f>COUNTIFS(AppRouteQuestions!C2:C152, A4)</f>
        <v>2</v>
      </c>
      <c r="P4" s="4">
        <f>COUNTIFS(AppRouteReferences!C2:C316, A4)</f>
        <v>2</v>
      </c>
      <c r="Q4" s="4" t="b">
        <f>AND(((O4 = 0)=TRUE), ((M4 = FALSE)=TRUE), ((N4 = FALSE)=TRUE), ((I4 &lt;&gt; "index")=TRUE))</f>
        <v>0</v>
      </c>
      <c r="R4" s="3" t="s">
        <v>1878</v>
      </c>
    </row>
    <row r="5">
      <c r="A5" s="3" t="s">
        <v>8469</v>
      </c>
      <c r="B5" s="4" t="str">
        <f>D5 &amp; " — " &amp; C5</f>
        <v>Controls Nobody Watches — /cfo/assurance/unwitnessed</v>
      </c>
      <c r="C5" s="3" t="s">
        <v>8470</v>
      </c>
      <c r="D5" s="3" t="s">
        <v>8471</v>
      </c>
      <c r="E5" s="3" t="s">
        <v>8454</v>
      </c>
      <c r="F5" s="3" t="s">
        <v>212</v>
      </c>
      <c r="G5" s="3" t="s">
        <v>8414</v>
      </c>
      <c r="H5" s="3">
        <v>2</v>
      </c>
      <c r="I5" s="3" t="s">
        <v>8461</v>
      </c>
      <c r="J5" s="3" t="s">
        <v>8472</v>
      </c>
      <c r="K5" s="3" t="s">
        <v>8473</v>
      </c>
      <c r="L5" s="4" t="b">
        <f>G5 &lt;&gt; ""</f>
        <v>1</v>
      </c>
      <c r="M5" s="4" t="b">
        <f>AND(((F5 = "")=TRUE), ((E5 = "domain")=TRUE))</f>
        <v>0</v>
      </c>
      <c r="N5" s="4" t="b">
        <f>E5 = "maintainer"</f>
        <v>0</v>
      </c>
      <c r="O5" s="4">
        <f>COUNTIFS(AppRouteQuestions!C2:C152, A5)</f>
        <v>2</v>
      </c>
      <c r="P5" s="4">
        <f>COUNTIFS(AppRouteReferences!C2:C316, A5)</f>
        <v>2</v>
      </c>
      <c r="Q5" s="4" t="b">
        <f>AND(((O5 = 0)=TRUE), ((M5 = FALSE)=TRUE), ((N5 = FALSE)=TRUE), ((I5 &lt;&gt; "index")=TRUE))</f>
        <v>0</v>
      </c>
      <c r="R5" s="3" t="s">
        <v>1878</v>
      </c>
    </row>
    <row r="6">
      <c r="A6" s="3" t="s">
        <v>8474</v>
      </c>
      <c r="B6" s="4" t="str">
        <f>D6 &amp; " — " &amp; C6</f>
        <v>Typed, Not Computed — /cfo/assurance/typed-conclusions</v>
      </c>
      <c r="C6" s="3" t="s">
        <v>8475</v>
      </c>
      <c r="D6" s="3" t="s">
        <v>8476</v>
      </c>
      <c r="E6" s="3" t="s">
        <v>8454</v>
      </c>
      <c r="F6" s="3" t="s">
        <v>212</v>
      </c>
      <c r="G6" s="3" t="s">
        <v>8414</v>
      </c>
      <c r="H6" s="3">
        <v>3</v>
      </c>
      <c r="I6" s="3" t="s">
        <v>8461</v>
      </c>
      <c r="J6" s="3" t="s">
        <v>8477</v>
      </c>
      <c r="K6" s="3" t="s">
        <v>8478</v>
      </c>
      <c r="L6" s="4" t="b">
        <f>G6 &lt;&gt; ""</f>
        <v>1</v>
      </c>
      <c r="M6" s="4" t="b">
        <f>AND(((F6 = "")=TRUE), ((E6 = "domain")=TRUE))</f>
        <v>0</v>
      </c>
      <c r="N6" s="4" t="b">
        <f>E6 = "maintainer"</f>
        <v>0</v>
      </c>
      <c r="O6" s="4">
        <f>COUNTIFS(AppRouteQuestions!C2:C152, A6)</f>
        <v>1</v>
      </c>
      <c r="P6" s="4">
        <f>COUNTIFS(AppRouteReferences!C2:C316, A6)</f>
        <v>2</v>
      </c>
      <c r="Q6" s="4" t="b">
        <f>AND(((O6 = 0)=TRUE), ((M6 = FALSE)=TRUE), ((N6 = FALSE)=TRUE), ((I6 &lt;&gt; "index")=TRUE))</f>
        <v>0</v>
      </c>
      <c r="R6" s="3" t="s">
        <v>1878</v>
      </c>
    </row>
    <row r="7">
      <c r="A7" s="3" t="s">
        <v>8479</v>
      </c>
      <c r="B7" s="4" t="str">
        <f>D7 &amp; " — " &amp; C7</f>
        <v>Who Witnessed the Witnesses — /cfo/assurance/independence</v>
      </c>
      <c r="C7" s="3" t="s">
        <v>8480</v>
      </c>
      <c r="D7" s="3" t="s">
        <v>8481</v>
      </c>
      <c r="E7" s="3" t="s">
        <v>8454</v>
      </c>
      <c r="F7" s="3" t="s">
        <v>212</v>
      </c>
      <c r="G7" s="3" t="s">
        <v>8414</v>
      </c>
      <c r="H7" s="3">
        <v>4</v>
      </c>
      <c r="I7" s="3" t="s">
        <v>8461</v>
      </c>
      <c r="J7" s="3" t="s">
        <v>8482</v>
      </c>
      <c r="K7" s="3" t="s">
        <v>8483</v>
      </c>
      <c r="L7" s="4" t="b">
        <f>G7 &lt;&gt; ""</f>
        <v>1</v>
      </c>
      <c r="M7" s="4" t="b">
        <f>AND(((F7 = "")=TRUE), ((E7 = "domain")=TRUE))</f>
        <v>0</v>
      </c>
      <c r="N7" s="4" t="b">
        <f>E7 = "maintainer"</f>
        <v>0</v>
      </c>
      <c r="O7" s="4">
        <f>COUNTIFS(AppRouteQuestions!C2:C152, A7)</f>
        <v>2</v>
      </c>
      <c r="P7" s="4">
        <f>COUNTIFS(AppRouteReferences!C2:C316, A7)</f>
        <v>2</v>
      </c>
      <c r="Q7" s="4" t="b">
        <f>AND(((O7 = 0)=TRUE), ((M7 = FALSE)=TRUE), ((N7 = FALSE)=TRUE), ((I7 &lt;&gt; "index")=TRUE))</f>
        <v>0</v>
      </c>
      <c r="R7" s="3" t="s">
        <v>1878</v>
      </c>
    </row>
    <row r="8">
      <c r="A8" s="3" t="s">
        <v>8484</v>
      </c>
      <c r="B8" s="4" t="str">
        <f>D8 &amp; " — " &amp; C8</f>
        <v>Who Held Authority — /cfo/authority/accountability</v>
      </c>
      <c r="C8" s="3" t="s">
        <v>8485</v>
      </c>
      <c r="D8" s="3" t="s">
        <v>8486</v>
      </c>
      <c r="E8" s="3" t="s">
        <v>8454</v>
      </c>
      <c r="F8" s="3" t="s">
        <v>212</v>
      </c>
      <c r="G8" s="3" t="s">
        <v>8416</v>
      </c>
      <c r="H8" s="3">
        <v>1</v>
      </c>
      <c r="I8" s="3" t="s">
        <v>8461</v>
      </c>
      <c r="J8" s="3" t="s">
        <v>8487</v>
      </c>
      <c r="K8" s="3" t="s">
        <v>8488</v>
      </c>
      <c r="L8" s="4" t="b">
        <f>G8 &lt;&gt; ""</f>
        <v>1</v>
      </c>
      <c r="M8" s="4" t="b">
        <f>AND(((F8 = "")=TRUE), ((E8 = "domain")=TRUE))</f>
        <v>0</v>
      </c>
      <c r="N8" s="4" t="b">
        <f>E8 = "maintainer"</f>
        <v>0</v>
      </c>
      <c r="O8" s="4">
        <f>COUNTIFS(AppRouteQuestions!C2:C152, A8)</f>
        <v>1</v>
      </c>
      <c r="P8" s="4">
        <f>COUNTIFS(AppRouteReferences!C2:C316, A8)</f>
        <v>2</v>
      </c>
      <c r="Q8" s="4" t="b">
        <f>AND(((O8 = 0)=TRUE), ((M8 = FALSE)=TRUE), ((N8 = FALSE)=TRUE), ((I8 &lt;&gt; "index")=TRUE))</f>
        <v>0</v>
      </c>
      <c r="R8" s="3" t="s">
        <v>1878</v>
      </c>
    </row>
    <row r="9">
      <c r="A9" s="3" t="s">
        <v>8489</v>
      </c>
      <c r="B9" s="4" t="str">
        <f>D9 &amp; " — " &amp; C9</f>
        <v>My Own Approvals — /cfo/authority/my-approvals</v>
      </c>
      <c r="C9" s="3" t="s">
        <v>8490</v>
      </c>
      <c r="D9" s="3" t="s">
        <v>8491</v>
      </c>
      <c r="E9" s="3" t="s">
        <v>8454</v>
      </c>
      <c r="F9" s="3" t="s">
        <v>212</v>
      </c>
      <c r="G9" s="3" t="s">
        <v>8416</v>
      </c>
      <c r="H9" s="3">
        <v>2</v>
      </c>
      <c r="I9" s="3" t="s">
        <v>8461</v>
      </c>
      <c r="J9" s="3" t="s">
        <v>8492</v>
      </c>
      <c r="K9" s="3" t="s">
        <v>8493</v>
      </c>
      <c r="L9" s="4" t="b">
        <f>G9 &lt;&gt; ""</f>
        <v>1</v>
      </c>
      <c r="M9" s="4" t="b">
        <f>AND(((F9 = "")=TRUE), ((E9 = "domain")=TRUE))</f>
        <v>0</v>
      </c>
      <c r="N9" s="4" t="b">
        <f>E9 = "maintainer"</f>
        <v>0</v>
      </c>
      <c r="O9" s="4">
        <f>COUNTIFS(AppRouteQuestions!C2:C152, A9)</f>
        <v>2</v>
      </c>
      <c r="P9" s="4">
        <f>COUNTIFS(AppRouteReferences!C2:C316, A9)</f>
        <v>2</v>
      </c>
      <c r="Q9" s="4" t="b">
        <f>AND(((O9 = 0)=TRUE), ((M9 = FALSE)=TRUE), ((N9 = FALSE)=TRUE), ((I9 &lt;&gt; "index")=TRUE))</f>
        <v>0</v>
      </c>
      <c r="R9" s="3" t="s">
        <v>1878</v>
      </c>
    </row>
    <row r="10">
      <c r="A10" s="3" t="s">
        <v>8494</v>
      </c>
      <c r="B10" s="4" t="str">
        <f>D10 &amp; " — " &amp; C10</f>
        <v>What My Signature Rests On — /cfo/attestation/dependencies</v>
      </c>
      <c r="C10" s="3" t="s">
        <v>8495</v>
      </c>
      <c r="D10" s="3" t="s">
        <v>8496</v>
      </c>
      <c r="E10" s="3" t="s">
        <v>8454</v>
      </c>
      <c r="F10" s="3" t="s">
        <v>212</v>
      </c>
      <c r="G10" s="3" t="s">
        <v>8412</v>
      </c>
      <c r="H10" s="3">
        <v>3</v>
      </c>
      <c r="I10" s="3" t="s">
        <v>8461</v>
      </c>
      <c r="J10" s="3" t="s">
        <v>8497</v>
      </c>
      <c r="K10" s="3" t="s">
        <v>8498</v>
      </c>
      <c r="L10" s="4" t="b">
        <f>G10 &lt;&gt; ""</f>
        <v>1</v>
      </c>
      <c r="M10" s="4" t="b">
        <f>AND(((F10 = "")=TRUE), ((E10 = "domain")=TRUE))</f>
        <v>0</v>
      </c>
      <c r="N10" s="4" t="b">
        <f>E10 = "maintainer"</f>
        <v>0</v>
      </c>
      <c r="O10" s="4">
        <f>COUNTIFS(AppRouteQuestions!C2:C152, A10)</f>
        <v>1</v>
      </c>
      <c r="P10" s="4">
        <f>COUNTIFS(AppRouteReferences!C2:C316, A10)</f>
        <v>2</v>
      </c>
      <c r="Q10" s="4" t="b">
        <f>AND(((O10 = 0)=TRUE), ((M10 = FALSE)=TRUE), ((N10 = FALSE)=TRUE), ((I10 &lt;&gt; "index")=TRUE))</f>
        <v>0</v>
      </c>
      <c r="R10" s="3" t="s">
        <v>1878</v>
      </c>
    </row>
    <row r="11">
      <c r="A11" s="3" t="s">
        <v>8499</v>
      </c>
      <c r="B11" s="4" t="str">
        <f>D11 &amp; " — " &amp; C11</f>
        <v>Changed Since I Signed — /cfo/attestation/changed-since</v>
      </c>
      <c r="C11" s="3" t="s">
        <v>8500</v>
      </c>
      <c r="D11" s="3" t="s">
        <v>8501</v>
      </c>
      <c r="E11" s="3" t="s">
        <v>8454</v>
      </c>
      <c r="F11" s="3" t="s">
        <v>212</v>
      </c>
      <c r="G11" s="3" t="s">
        <v>8412</v>
      </c>
      <c r="H11" s="3">
        <v>4</v>
      </c>
      <c r="I11" s="3" t="s">
        <v>8461</v>
      </c>
      <c r="J11" s="3" t="s">
        <v>8502</v>
      </c>
      <c r="K11" s="3" t="s">
        <v>8503</v>
      </c>
      <c r="L11" s="4" t="b">
        <f>G11 &lt;&gt; ""</f>
        <v>1</v>
      </c>
      <c r="M11" s="4" t="b">
        <f>AND(((F11 = "")=TRUE), ((E11 = "domain")=TRUE))</f>
        <v>0</v>
      </c>
      <c r="N11" s="4" t="b">
        <f>E11 = "maintainer"</f>
        <v>0</v>
      </c>
      <c r="O11" s="4">
        <f>COUNTIFS(AppRouteQuestions!C2:C152, A11)</f>
        <v>1</v>
      </c>
      <c r="P11" s="4">
        <f>COUNTIFS(AppRouteReferences!C2:C316, A11)</f>
        <v>2</v>
      </c>
      <c r="Q11" s="4" t="b">
        <f>AND(((O11 = 0)=TRUE), ((M11 = FALSE)=TRUE), ((N11 = FALSE)=TRUE), ((I11 &lt;&gt; "index")=TRUE))</f>
        <v>0</v>
      </c>
      <c r="R11" s="3" t="s">
        <v>1878</v>
      </c>
    </row>
    <row r="12">
      <c r="A12" s="3" t="s">
        <v>8504</v>
      </c>
      <c r="B12" s="4" t="str">
        <f>D12 &amp; " — " &amp; C12</f>
        <v>Would It Survive Restatement — /cfo/assurance/restatement</v>
      </c>
      <c r="C12" s="3" t="s">
        <v>8505</v>
      </c>
      <c r="D12" s="3" t="s">
        <v>8506</v>
      </c>
      <c r="E12" s="3" t="s">
        <v>8454</v>
      </c>
      <c r="F12" s="3" t="s">
        <v>212</v>
      </c>
      <c r="G12" s="3" t="s">
        <v>8414</v>
      </c>
      <c r="H12" s="3">
        <v>5</v>
      </c>
      <c r="I12" s="3" t="s">
        <v>8461</v>
      </c>
      <c r="J12" s="3" t="s">
        <v>8507</v>
      </c>
      <c r="K12" s="3" t="s">
        <v>8508</v>
      </c>
      <c r="L12" s="4" t="b">
        <f>G12 &lt;&gt; ""</f>
        <v>1</v>
      </c>
      <c r="M12" s="4" t="b">
        <f>AND(((F12 = "")=TRUE), ((E12 = "domain")=TRUE))</f>
        <v>0</v>
      </c>
      <c r="N12" s="4" t="b">
        <f>E12 = "maintainer"</f>
        <v>0</v>
      </c>
      <c r="O12" s="4">
        <f>COUNTIFS(AppRouteQuestions!C2:C152, A12)</f>
        <v>1</v>
      </c>
      <c r="P12" s="4">
        <f>COUNTIFS(AppRouteReferences!C2:C316, A12)</f>
        <v>2</v>
      </c>
      <c r="Q12" s="4" t="b">
        <f>AND(((O12 = 0)=TRUE), ((M12 = FALSE)=TRUE), ((N12 = FALSE)=TRUE), ((I12 &lt;&gt; "index")=TRUE))</f>
        <v>0</v>
      </c>
      <c r="R12" s="3" t="s">
        <v>1878</v>
      </c>
    </row>
    <row r="13">
      <c r="A13" s="3" t="s">
        <v>8509</v>
      </c>
      <c r="B13" s="4" t="str">
        <f>D13 &amp; " — " &amp; C13</f>
        <v>Attestation Detail — /cfo/attestation/execution/:executionId</v>
      </c>
      <c r="C13" s="3" t="s">
        <v>8510</v>
      </c>
      <c r="D13" s="3" t="s">
        <v>8511</v>
      </c>
      <c r="E13" s="3" t="s">
        <v>8454</v>
      </c>
      <c r="F13" s="3" t="s">
        <v>212</v>
      </c>
      <c r="G13" s="3" t="s">
        <v>168</v>
      </c>
      <c r="H13" s="3">
        <v>0</v>
      </c>
      <c r="I13" s="3" t="s">
        <v>8512</v>
      </c>
      <c r="J13" s="3" t="s">
        <v>8513</v>
      </c>
      <c r="K13" s="3" t="s">
        <v>8514</v>
      </c>
      <c r="L13" s="4" t="b">
        <f>G13 &lt;&gt; ""</f>
        <v>0</v>
      </c>
      <c r="M13" s="4" t="b">
        <f>AND(((F13 = "")=TRUE), ((E13 = "domain")=TRUE))</f>
        <v>0</v>
      </c>
      <c r="N13" s="4" t="b">
        <f>E13 = "maintainer"</f>
        <v>0</v>
      </c>
      <c r="O13" s="4">
        <f>COUNTIFS(AppRouteQuestions!C2:C152, A13)</f>
        <v>1</v>
      </c>
      <c r="P13" s="4">
        <f>COUNTIFS(AppRouteReferences!C2:C316, A13)</f>
        <v>2</v>
      </c>
      <c r="Q13" s="4" t="b">
        <f>AND(((O13 = 0)=TRUE), ((M13 = FALSE)=TRUE), ((N13 = FALSE)=TRUE), ((I13 &lt;&gt; "index")=TRUE))</f>
        <v>0</v>
      </c>
      <c r="R13" s="3" t="s">
        <v>1878</v>
      </c>
    </row>
    <row r="14">
      <c r="A14" s="3" t="s">
        <v>8515</v>
      </c>
      <c r="B14" s="4" t="str">
        <f>D14 &amp; " — " &amp; C14</f>
        <v>Control Board — /controller/controls</v>
      </c>
      <c r="C14" s="3" t="s">
        <v>8516</v>
      </c>
      <c r="D14" s="3" t="s">
        <v>8517</v>
      </c>
      <c r="E14" s="3" t="s">
        <v>8454</v>
      </c>
      <c r="F14" s="3" t="s">
        <v>208</v>
      </c>
      <c r="G14" s="3" t="s">
        <v>8417</v>
      </c>
      <c r="H14" s="3">
        <v>1</v>
      </c>
      <c r="I14" s="3" t="s">
        <v>8455</v>
      </c>
      <c r="J14" s="3" t="s">
        <v>8518</v>
      </c>
      <c r="K14" s="3" t="s">
        <v>8519</v>
      </c>
      <c r="L14" s="4" t="b">
        <f>G14 &lt;&gt; ""</f>
        <v>1</v>
      </c>
      <c r="M14" s="4" t="b">
        <f>AND(((F14 = "")=TRUE), ((E14 = "domain")=TRUE))</f>
        <v>0</v>
      </c>
      <c r="N14" s="4" t="b">
        <f>E14 = "maintainer"</f>
        <v>0</v>
      </c>
      <c r="O14" s="4">
        <f>COUNTIFS(AppRouteQuestions!C2:C152, A14)</f>
        <v>2</v>
      </c>
      <c r="P14" s="4">
        <f>COUNTIFS(AppRouteReferences!C2:C316, A14)</f>
        <v>3</v>
      </c>
      <c r="Q14" s="4" t="b">
        <f>AND(((O14 = 0)=TRUE), ((M14 = FALSE)=TRUE), ((N14 = FALSE)=TRUE), ((I14 &lt;&gt; "index")=TRUE))</f>
        <v>0</v>
      </c>
      <c r="R14" s="3" t="s">
        <v>1878</v>
      </c>
    </row>
    <row r="15">
      <c r="A15" s="3" t="s">
        <v>8520</v>
      </c>
      <c r="B15" s="4" t="str">
        <f>D15 &amp; " — " &amp; C15</f>
        <v>Inoperative Controls — /controller/controls/inoperative</v>
      </c>
      <c r="C15" s="3" t="s">
        <v>8521</v>
      </c>
      <c r="D15" s="3" t="s">
        <v>8522</v>
      </c>
      <c r="E15" s="3" t="s">
        <v>8454</v>
      </c>
      <c r="F15" s="3" t="s">
        <v>208</v>
      </c>
      <c r="G15" s="3" t="s">
        <v>8417</v>
      </c>
      <c r="H15" s="3">
        <v>2</v>
      </c>
      <c r="I15" s="3" t="s">
        <v>8461</v>
      </c>
      <c r="J15" s="3" t="s">
        <v>8523</v>
      </c>
      <c r="K15" s="3" t="s">
        <v>8524</v>
      </c>
      <c r="L15" s="4" t="b">
        <f>G15 &lt;&gt; ""</f>
        <v>1</v>
      </c>
      <c r="M15" s="4" t="b">
        <f>AND(((F15 = "")=TRUE), ((E15 = "domain")=TRUE))</f>
        <v>0</v>
      </c>
      <c r="N15" s="4" t="b">
        <f>E15 = "maintainer"</f>
        <v>0</v>
      </c>
      <c r="O15" s="4">
        <f>COUNTIFS(AppRouteQuestions!C2:C152, A15)</f>
        <v>2</v>
      </c>
      <c r="P15" s="4">
        <f>COUNTIFS(AppRouteReferences!C2:C316, A15)</f>
        <v>3</v>
      </c>
      <c r="Q15" s="4" t="b">
        <f>AND(((O15 = 0)=TRUE), ((M15 = FALSE)=TRUE), ((N15 = FALSE)=TRUE), ((I15 &lt;&gt; "index")=TRUE))</f>
        <v>0</v>
      </c>
      <c r="R15" s="3" t="s">
        <v>1878</v>
      </c>
    </row>
    <row r="16">
      <c r="A16" s="3" t="s">
        <v>8525</v>
      </c>
      <c r="B16" s="4" t="str">
        <f>D16 &amp; " — " &amp; C16</f>
        <v>Witness Scope vs Binding — /controller/controls/witness-scope</v>
      </c>
      <c r="C16" s="3" t="s">
        <v>8526</v>
      </c>
      <c r="D16" s="3" t="s">
        <v>8527</v>
      </c>
      <c r="E16" s="3" t="s">
        <v>8454</v>
      </c>
      <c r="F16" s="3" t="s">
        <v>208</v>
      </c>
      <c r="G16" s="3" t="s">
        <v>8417</v>
      </c>
      <c r="H16" s="3">
        <v>3</v>
      </c>
      <c r="I16" s="3" t="s">
        <v>8461</v>
      </c>
      <c r="J16" s="3" t="s">
        <v>8528</v>
      </c>
      <c r="K16" s="3" t="s">
        <v>8529</v>
      </c>
      <c r="L16" s="4" t="b">
        <f>G16 &lt;&gt; ""</f>
        <v>1</v>
      </c>
      <c r="M16" s="4" t="b">
        <f>AND(((F16 = "")=TRUE), ((E16 = "domain")=TRUE))</f>
        <v>0</v>
      </c>
      <c r="N16" s="4" t="b">
        <f>E16 = "maintainer"</f>
        <v>0</v>
      </c>
      <c r="O16" s="4">
        <f>COUNTIFS(AppRouteQuestions!C2:C152, A16)</f>
        <v>1</v>
      </c>
      <c r="P16" s="4">
        <f>COUNTIFS(AppRouteReferences!C2:C316, A16)</f>
        <v>2</v>
      </c>
      <c r="Q16" s="4" t="b">
        <f>AND(((O16 = 0)=TRUE), ((M16 = FALSE)=TRUE), ((N16 = FALSE)=TRUE), ((I16 &lt;&gt; "index")=TRUE))</f>
        <v>0</v>
      </c>
      <c r="R16" s="3" t="s">
        <v>1878</v>
      </c>
    </row>
    <row r="17">
      <c r="A17" s="3" t="s">
        <v>8530</v>
      </c>
      <c r="B17" s="4" t="str">
        <f>D17 &amp; " — " &amp; C17</f>
        <v>Separation of Duties — /controller/controls/separation-of-duties</v>
      </c>
      <c r="C17" s="3" t="s">
        <v>8531</v>
      </c>
      <c r="D17" s="3" t="s">
        <v>8532</v>
      </c>
      <c r="E17" s="3" t="s">
        <v>8454</v>
      </c>
      <c r="F17" s="3" t="s">
        <v>208</v>
      </c>
      <c r="G17" s="3" t="s">
        <v>8417</v>
      </c>
      <c r="H17" s="3">
        <v>4</v>
      </c>
      <c r="I17" s="3" t="s">
        <v>8461</v>
      </c>
      <c r="J17" s="3" t="s">
        <v>8533</v>
      </c>
      <c r="K17" s="3" t="s">
        <v>8534</v>
      </c>
      <c r="L17" s="4" t="b">
        <f>G17 &lt;&gt; ""</f>
        <v>1</v>
      </c>
      <c r="M17" s="4" t="b">
        <f>AND(((F17 = "")=TRUE), ((E17 = "domain")=TRUE))</f>
        <v>0</v>
      </c>
      <c r="N17" s="4" t="b">
        <f>E17 = "maintainer"</f>
        <v>0</v>
      </c>
      <c r="O17" s="4">
        <f>COUNTIFS(AppRouteQuestions!C2:C152, A17)</f>
        <v>2</v>
      </c>
      <c r="P17" s="4">
        <f>COUNTIFS(AppRouteReferences!C2:C316, A17)</f>
        <v>2</v>
      </c>
      <c r="Q17" s="4" t="b">
        <f>AND(((O17 = 0)=TRUE), ((M17 = FALSE)=TRUE), ((N17 = FALSE)=TRUE), ((I17 &lt;&gt; "index")=TRUE))</f>
        <v>0</v>
      </c>
      <c r="R17" s="3" t="s">
        <v>1878</v>
      </c>
    </row>
    <row r="18">
      <c r="A18" s="3" t="s">
        <v>8535</v>
      </c>
      <c r="B18" s="4" t="str">
        <f>D18 &amp; " — " &amp; C18</f>
        <v>Spec vs Execution — /controller/execution/conformance</v>
      </c>
      <c r="C18" s="3" t="s">
        <v>8536</v>
      </c>
      <c r="D18" s="3" t="s">
        <v>8537</v>
      </c>
      <c r="E18" s="3" t="s">
        <v>8454</v>
      </c>
      <c r="F18" s="3" t="s">
        <v>208</v>
      </c>
      <c r="G18" s="3" t="s">
        <v>8420</v>
      </c>
      <c r="H18" s="3">
        <v>1</v>
      </c>
      <c r="I18" s="3" t="s">
        <v>8461</v>
      </c>
      <c r="J18" s="3" t="s">
        <v>8538</v>
      </c>
      <c r="K18" s="3" t="s">
        <v>8539</v>
      </c>
      <c r="L18" s="4" t="b">
        <f>G18 &lt;&gt; ""</f>
        <v>1</v>
      </c>
      <c r="M18" s="4" t="b">
        <f>AND(((F18 = "")=TRUE), ((E18 = "domain")=TRUE))</f>
        <v>0</v>
      </c>
      <c r="N18" s="4" t="b">
        <f>E18 = "maintainer"</f>
        <v>0</v>
      </c>
      <c r="O18" s="4">
        <f>COUNTIFS(AppRouteQuestions!C2:C152, A18)</f>
        <v>1</v>
      </c>
      <c r="P18" s="4">
        <f>COUNTIFS(AppRouteReferences!C2:C316, A18)</f>
        <v>2</v>
      </c>
      <c r="Q18" s="4" t="b">
        <f>AND(((O18 = 0)=TRUE), ((M18 = FALSE)=TRUE), ((N18 = FALSE)=TRUE), ((I18 &lt;&gt; "index")=TRUE))</f>
        <v>0</v>
      </c>
      <c r="R18" s="3" t="s">
        <v>1878</v>
      </c>
    </row>
    <row r="19">
      <c r="A19" s="3" t="s">
        <v>8540</v>
      </c>
      <c r="B19" s="4" t="str">
        <f>D19 &amp; " — " &amp; C19</f>
        <v>Divergence Nobody Governed — /controller/execution/ungoverned-divergence</v>
      </c>
      <c r="C19" s="3" t="s">
        <v>8541</v>
      </c>
      <c r="D19" s="3" t="s">
        <v>8542</v>
      </c>
      <c r="E19" s="3" t="s">
        <v>8454</v>
      </c>
      <c r="F19" s="3" t="s">
        <v>208</v>
      </c>
      <c r="G19" s="3" t="s">
        <v>8420</v>
      </c>
      <c r="H19" s="3">
        <v>2</v>
      </c>
      <c r="I19" s="3" t="s">
        <v>8461</v>
      </c>
      <c r="J19" s="3" t="s">
        <v>8543</v>
      </c>
      <c r="K19" s="3" t="s">
        <v>8544</v>
      </c>
      <c r="L19" s="4" t="b">
        <f>G19 &lt;&gt; ""</f>
        <v>1</v>
      </c>
      <c r="M19" s="4" t="b">
        <f>AND(((F19 = "")=TRUE), ((E19 = "domain")=TRUE))</f>
        <v>0</v>
      </c>
      <c r="N19" s="4" t="b">
        <f>E19 = "maintainer"</f>
        <v>0</v>
      </c>
      <c r="O19" s="4">
        <f>COUNTIFS(AppRouteQuestions!C2:C152, A19)</f>
        <v>1</v>
      </c>
      <c r="P19" s="4">
        <f>COUNTIFS(AppRouteReferences!C2:C316, A19)</f>
        <v>3</v>
      </c>
      <c r="Q19" s="4" t="b">
        <f>AND(((O19 = 0)=TRUE), ((M19 = FALSE)=TRUE), ((N19 = FALSE)=TRUE), ((I19 &lt;&gt; "index")=TRUE))</f>
        <v>0</v>
      </c>
      <c r="R19" s="3" t="s">
        <v>1878</v>
      </c>
    </row>
    <row r="20">
      <c r="A20" s="3" t="s">
        <v>8545</v>
      </c>
      <c r="B20" s="4" t="str">
        <f>D20 &amp; " — " &amp; C20</f>
        <v>Authority at Time of Approval — /controller/authority/validity</v>
      </c>
      <c r="C20" s="3" t="s">
        <v>8546</v>
      </c>
      <c r="D20" s="3" t="s">
        <v>8547</v>
      </c>
      <c r="E20" s="3" t="s">
        <v>8454</v>
      </c>
      <c r="F20" s="3" t="s">
        <v>208</v>
      </c>
      <c r="G20" s="3" t="s">
        <v>8416</v>
      </c>
      <c r="H20" s="3">
        <v>1</v>
      </c>
      <c r="I20" s="3" t="s">
        <v>8461</v>
      </c>
      <c r="J20" s="3" t="s">
        <v>1984</v>
      </c>
      <c r="K20" s="3" t="s">
        <v>8548</v>
      </c>
      <c r="L20" s="4" t="b">
        <f>G20 &lt;&gt; ""</f>
        <v>1</v>
      </c>
      <c r="M20" s="4" t="b">
        <f>AND(((F20 = "")=TRUE), ((E20 = "domain")=TRUE))</f>
        <v>0</v>
      </c>
      <c r="N20" s="4" t="b">
        <f>E20 = "maintainer"</f>
        <v>0</v>
      </c>
      <c r="O20" s="4">
        <f>COUNTIFS(AppRouteQuestions!C2:C152, A20)</f>
        <v>1</v>
      </c>
      <c r="P20" s="4">
        <f>COUNTIFS(AppRouteReferences!C2:C316, A20)</f>
        <v>2</v>
      </c>
      <c r="Q20" s="4" t="b">
        <f>AND(((O20 = 0)=TRUE), ((M20 = FALSE)=TRUE), ((N20 = FALSE)=TRUE), ((I20 &lt;&gt; "index")=TRUE))</f>
        <v>0</v>
      </c>
      <c r="R20" s="3" t="s">
        <v>1878</v>
      </c>
    </row>
    <row r="21">
      <c r="A21" s="3" t="s">
        <v>8549</v>
      </c>
      <c r="B21" s="4" t="str">
        <f>D21 &amp; " — " &amp; C21</f>
        <v>Machine Did Human Work — /controller/authority/ai-boundary</v>
      </c>
      <c r="C21" s="3" t="s">
        <v>8550</v>
      </c>
      <c r="D21" s="3" t="s">
        <v>8551</v>
      </c>
      <c r="E21" s="3" t="s">
        <v>8454</v>
      </c>
      <c r="F21" s="3" t="s">
        <v>208</v>
      </c>
      <c r="G21" s="3" t="s">
        <v>8416</v>
      </c>
      <c r="H21" s="3">
        <v>2</v>
      </c>
      <c r="I21" s="3" t="s">
        <v>8461</v>
      </c>
      <c r="J21" s="3" t="s">
        <v>1996</v>
      </c>
      <c r="K21" s="3" t="s">
        <v>8552</v>
      </c>
      <c r="L21" s="4" t="b">
        <f>G21 &lt;&gt; ""</f>
        <v>1</v>
      </c>
      <c r="M21" s="4" t="b">
        <f>AND(((F21 = "")=TRUE), ((E21 = "domain")=TRUE))</f>
        <v>0</v>
      </c>
      <c r="N21" s="4" t="b">
        <f>E21 = "maintainer"</f>
        <v>0</v>
      </c>
      <c r="O21" s="4">
        <f>COUNTIFS(AppRouteQuestions!C2:C152, A21)</f>
        <v>1</v>
      </c>
      <c r="P21" s="4">
        <f>COUNTIFS(AppRouteReferences!C2:C316, A21)</f>
        <v>2</v>
      </c>
      <c r="Q21" s="4" t="b">
        <f>AND(((O21 = 0)=TRUE), ((M21 = FALSE)=TRUE), ((N21 = FALSE)=TRUE), ((I21 &lt;&gt; "index")=TRUE))</f>
        <v>0</v>
      </c>
      <c r="R21" s="3" t="s">
        <v>1878</v>
      </c>
    </row>
    <row r="22">
      <c r="A22" s="3" t="s">
        <v>8553</v>
      </c>
      <c r="B22" s="4" t="str">
        <f>D22 &amp; " — " &amp; C22</f>
        <v>Asserted, Not Demonstrated — /controller/evidence/asserted</v>
      </c>
      <c r="C22" s="3" t="s">
        <v>8554</v>
      </c>
      <c r="D22" s="3" t="s">
        <v>8555</v>
      </c>
      <c r="E22" s="3" t="s">
        <v>8454</v>
      </c>
      <c r="F22" s="3" t="s">
        <v>208</v>
      </c>
      <c r="G22" s="3" t="s">
        <v>8419</v>
      </c>
      <c r="H22" s="3">
        <v>1</v>
      </c>
      <c r="I22" s="3" t="s">
        <v>8461</v>
      </c>
      <c r="J22" s="3" t="s">
        <v>8556</v>
      </c>
      <c r="K22" s="3" t="s">
        <v>8557</v>
      </c>
      <c r="L22" s="4" t="b">
        <f>G22 &lt;&gt; ""</f>
        <v>1</v>
      </c>
      <c r="M22" s="4" t="b">
        <f>AND(((F22 = "")=TRUE), ((E22 = "domain")=TRUE))</f>
        <v>0</v>
      </c>
      <c r="N22" s="4" t="b">
        <f>E22 = "maintainer"</f>
        <v>0</v>
      </c>
      <c r="O22" s="4">
        <f>COUNTIFS(AppRouteQuestions!C2:C152, A22)</f>
        <v>1</v>
      </c>
      <c r="P22" s="4">
        <f>COUNTIFS(AppRouteReferences!C2:C316, A22)</f>
        <v>2</v>
      </c>
      <c r="Q22" s="4" t="b">
        <f>AND(((O22 = 0)=TRUE), ((M22 = FALSE)=TRUE), ((N22 = FALSE)=TRUE), ((I22 &lt;&gt; "index")=TRUE))</f>
        <v>0</v>
      </c>
      <c r="R22" s="3" t="s">
        <v>1878</v>
      </c>
    </row>
    <row r="23">
      <c r="A23" s="3" t="s">
        <v>8558</v>
      </c>
      <c r="B23" s="4" t="str">
        <f>D23 &amp; " — " &amp; C23</f>
        <v>Control Detail — /controller/controls/requirement/:requirementId</v>
      </c>
      <c r="C23" s="3" t="s">
        <v>8559</v>
      </c>
      <c r="D23" s="3" t="s">
        <v>8560</v>
      </c>
      <c r="E23" s="3" t="s">
        <v>8454</v>
      </c>
      <c r="F23" s="3" t="s">
        <v>208</v>
      </c>
      <c r="G23" s="3" t="s">
        <v>168</v>
      </c>
      <c r="H23" s="3">
        <v>0</v>
      </c>
      <c r="I23" s="3" t="s">
        <v>8512</v>
      </c>
      <c r="J23" s="3" t="s">
        <v>8561</v>
      </c>
      <c r="K23" s="3" t="s">
        <v>8562</v>
      </c>
      <c r="L23" s="4" t="b">
        <f>G23 &lt;&gt; ""</f>
        <v>0</v>
      </c>
      <c r="M23" s="4" t="b">
        <f>AND(((F23 = "")=TRUE), ((E23 = "domain")=TRUE))</f>
        <v>0</v>
      </c>
      <c r="N23" s="4" t="b">
        <f>E23 = "maintainer"</f>
        <v>0</v>
      </c>
      <c r="O23" s="4">
        <f>COUNTIFS(AppRouteQuestions!C2:C152, A23)</f>
        <v>1</v>
      </c>
      <c r="P23" s="4">
        <f>COUNTIFS(AppRouteReferences!C2:C316, A23)</f>
        <v>2</v>
      </c>
      <c r="Q23" s="4" t="b">
        <f>AND(((O23 = 0)=TRUE), ((M23 = FALSE)=TRUE), ((N23 = FALSE)=TRUE), ((I23 &lt;&gt; "index")=TRUE))</f>
        <v>0</v>
      </c>
      <c r="R23" s="3" t="s">
        <v>1878</v>
      </c>
    </row>
    <row r="24">
      <c r="A24" s="3" t="s">
        <v>8563</v>
      </c>
      <c r="B24" s="4" t="str">
        <f>D24 &amp; " — " &amp; C24</f>
        <v>My Steps — /finance-analyst/my-work</v>
      </c>
      <c r="C24" s="3" t="s">
        <v>8564</v>
      </c>
      <c r="D24" s="3" t="s">
        <v>8565</v>
      </c>
      <c r="E24" s="3" t="s">
        <v>8454</v>
      </c>
      <c r="F24" s="3" t="s">
        <v>203</v>
      </c>
      <c r="G24" s="3" t="s">
        <v>8420</v>
      </c>
      <c r="H24" s="3">
        <v>1</v>
      </c>
      <c r="I24" s="3" t="s">
        <v>8455</v>
      </c>
      <c r="J24" s="3" t="s">
        <v>8566</v>
      </c>
      <c r="K24" s="3" t="s">
        <v>8567</v>
      </c>
      <c r="L24" s="4" t="b">
        <f>G24 &lt;&gt; ""</f>
        <v>1</v>
      </c>
      <c r="M24" s="4" t="b">
        <f>AND(((F24 = "")=TRUE), ((E24 = "domain")=TRUE))</f>
        <v>0</v>
      </c>
      <c r="N24" s="4" t="b">
        <f>E24 = "maintainer"</f>
        <v>0</v>
      </c>
      <c r="O24" s="4">
        <f>COUNTIFS(AppRouteQuestions!C2:C152, A24)</f>
        <v>2</v>
      </c>
      <c r="P24" s="4">
        <f>COUNTIFS(AppRouteReferences!C2:C316, A24)</f>
        <v>3</v>
      </c>
      <c r="Q24" s="4" t="b">
        <f>AND(((O24 = 0)=TRUE), ((M24 = FALSE)=TRUE), ((N24 = FALSE)=TRUE), ((I24 &lt;&gt; "index")=TRUE))</f>
        <v>0</v>
      </c>
      <c r="R24" s="3" t="s">
        <v>1878</v>
      </c>
    </row>
    <row r="25">
      <c r="A25" s="3" t="s">
        <v>8568</v>
      </c>
      <c r="B25" s="4" t="str">
        <f>D25 &amp; " — " &amp; C25</f>
        <v>Closed Past a Control — /finance-analyst/my-work/blocking-unmet</v>
      </c>
      <c r="C25" s="3" t="s">
        <v>8569</v>
      </c>
      <c r="D25" s="3" t="s">
        <v>8570</v>
      </c>
      <c r="E25" s="3" t="s">
        <v>8454</v>
      </c>
      <c r="F25" s="3" t="s">
        <v>203</v>
      </c>
      <c r="G25" s="3" t="s">
        <v>8420</v>
      </c>
      <c r="H25" s="3">
        <v>2</v>
      </c>
      <c r="I25" s="3" t="s">
        <v>8461</v>
      </c>
      <c r="J25" s="3" t="s">
        <v>8571</v>
      </c>
      <c r="K25" s="3" t="s">
        <v>8572</v>
      </c>
      <c r="L25" s="4" t="b">
        <f>G25 &lt;&gt; ""</f>
        <v>1</v>
      </c>
      <c r="M25" s="4" t="b">
        <f>AND(((F25 = "")=TRUE), ((E25 = "domain")=TRUE))</f>
        <v>0</v>
      </c>
      <c r="N25" s="4" t="b">
        <f>E25 = "maintainer"</f>
        <v>0</v>
      </c>
      <c r="O25" s="4">
        <f>COUNTIFS(AppRouteQuestions!C2:C152, A25)</f>
        <v>1</v>
      </c>
      <c r="P25" s="4">
        <f>COUNTIFS(AppRouteReferences!C2:C316, A25)</f>
        <v>2</v>
      </c>
      <c r="Q25" s="4" t="b">
        <f>AND(((O25 = 0)=TRUE), ((M25 = FALSE)=TRUE), ((N25 = FALSE)=TRUE), ((I25 &lt;&gt; "index")=TRUE))</f>
        <v>0</v>
      </c>
      <c r="R25" s="3" t="s">
        <v>1878</v>
      </c>
    </row>
    <row r="26">
      <c r="A26" s="3" t="s">
        <v>8573</v>
      </c>
      <c r="B26" s="4" t="str">
        <f>D26 &amp; " — " &amp; C26</f>
        <v>Never Assessed — /finance-analyst/my-work/never-evaluated</v>
      </c>
      <c r="C26" s="3" t="s">
        <v>8574</v>
      </c>
      <c r="D26" s="3" t="s">
        <v>8575</v>
      </c>
      <c r="E26" s="3" t="s">
        <v>8454</v>
      </c>
      <c r="F26" s="3" t="s">
        <v>203</v>
      </c>
      <c r="G26" s="3" t="s">
        <v>8420</v>
      </c>
      <c r="H26" s="3">
        <v>3</v>
      </c>
      <c r="I26" s="3" t="s">
        <v>8461</v>
      </c>
      <c r="J26" s="3" t="s">
        <v>8576</v>
      </c>
      <c r="K26" s="3" t="s">
        <v>8577</v>
      </c>
      <c r="L26" s="4" t="b">
        <f>G26 &lt;&gt; ""</f>
        <v>1</v>
      </c>
      <c r="M26" s="4" t="b">
        <f>AND(((F26 = "")=TRUE), ((E26 = "domain")=TRUE))</f>
        <v>0</v>
      </c>
      <c r="N26" s="4" t="b">
        <f>E26 = "maintainer"</f>
        <v>0</v>
      </c>
      <c r="O26" s="4">
        <f>COUNTIFS(AppRouteQuestions!C2:C152, A26)</f>
        <v>1</v>
      </c>
      <c r="P26" s="4">
        <f>COUNTIFS(AppRouteReferences!C2:C316, A26)</f>
        <v>2</v>
      </c>
      <c r="Q26" s="4" t="b">
        <f>AND(((O26 = 0)=TRUE), ((M26 = FALSE)=TRUE), ((N26 = FALSE)=TRUE), ((I26 &lt;&gt; "index")=TRUE))</f>
        <v>0</v>
      </c>
      <c r="R26" s="3" t="s">
        <v>1878</v>
      </c>
    </row>
    <row r="27">
      <c r="A27" s="3" t="s">
        <v>8578</v>
      </c>
      <c r="B27" s="4" t="str">
        <f>D27 &amp; " — " &amp; C27</f>
        <v>Late and Unexplained — /finance-analyst/my-work/late-unexplained</v>
      </c>
      <c r="C27" s="3" t="s">
        <v>8579</v>
      </c>
      <c r="D27" s="3" t="s">
        <v>8580</v>
      </c>
      <c r="E27" s="3" t="s">
        <v>8454</v>
      </c>
      <c r="F27" s="3" t="s">
        <v>203</v>
      </c>
      <c r="G27" s="3" t="s">
        <v>8420</v>
      </c>
      <c r="H27" s="3">
        <v>4</v>
      </c>
      <c r="I27" s="3" t="s">
        <v>8461</v>
      </c>
      <c r="J27" s="3" t="s">
        <v>8581</v>
      </c>
      <c r="K27" s="3" t="s">
        <v>8582</v>
      </c>
      <c r="L27" s="4" t="b">
        <f>G27 &lt;&gt; ""</f>
        <v>1</v>
      </c>
      <c r="M27" s="4" t="b">
        <f>AND(((F27 = "")=TRUE), ((E27 = "domain")=TRUE))</f>
        <v>0</v>
      </c>
      <c r="N27" s="4" t="b">
        <f>E27 = "maintainer"</f>
        <v>0</v>
      </c>
      <c r="O27" s="4">
        <f>COUNTIFS(AppRouteQuestions!C2:C152, A27)</f>
        <v>1</v>
      </c>
      <c r="P27" s="4">
        <f>COUNTIFS(AppRouteReferences!C2:C316, A27)</f>
        <v>2</v>
      </c>
      <c r="Q27" s="4" t="b">
        <f>AND(((O27 = 0)=TRUE), ((M27 = FALSE)=TRUE), ((N27 = FALSE)=TRUE), ((I27 &lt;&gt; "index")=TRUE))</f>
        <v>0</v>
      </c>
      <c r="R27" s="3" t="s">
        <v>1878</v>
      </c>
    </row>
    <row r="28">
      <c r="A28" s="3" t="s">
        <v>8583</v>
      </c>
      <c r="B28" s="4" t="str">
        <f>D28 &amp; " — " &amp; C28</f>
        <v>Declared vs Performed — /finance-analyst/evidence/verification-performed</v>
      </c>
      <c r="C28" s="3" t="s">
        <v>8584</v>
      </c>
      <c r="D28" s="3" t="s">
        <v>8585</v>
      </c>
      <c r="E28" s="3" t="s">
        <v>8454</v>
      </c>
      <c r="F28" s="3" t="s">
        <v>203</v>
      </c>
      <c r="G28" s="3" t="s">
        <v>8419</v>
      </c>
      <c r="H28" s="3">
        <v>1</v>
      </c>
      <c r="I28" s="3" t="s">
        <v>8461</v>
      </c>
      <c r="J28" s="3" t="s">
        <v>1976</v>
      </c>
      <c r="K28" s="3" t="s">
        <v>8586</v>
      </c>
      <c r="L28" s="4" t="b">
        <f>G28 &lt;&gt; ""</f>
        <v>1</v>
      </c>
      <c r="M28" s="4" t="b">
        <f>AND(((F28 = "")=TRUE), ((E28 = "domain")=TRUE))</f>
        <v>0</v>
      </c>
      <c r="N28" s="4" t="b">
        <f>E28 = "maintainer"</f>
        <v>0</v>
      </c>
      <c r="O28" s="4">
        <f>COUNTIFS(AppRouteQuestions!C2:C152, A28)</f>
        <v>1</v>
      </c>
      <c r="P28" s="4">
        <f>COUNTIFS(AppRouteReferences!C2:C316, A28)</f>
        <v>2</v>
      </c>
      <c r="Q28" s="4" t="b">
        <f>AND(((O28 = 0)=TRUE), ((M28 = FALSE)=TRUE), ((N28 = FALSE)=TRUE), ((I28 &lt;&gt; "index")=TRUE))</f>
        <v>0</v>
      </c>
      <c r="R28" s="3" t="s">
        <v>1878</v>
      </c>
    </row>
    <row r="29">
      <c r="A29" s="3" t="s">
        <v>8587</v>
      </c>
      <c r="B29" s="4" t="str">
        <f>D29 &amp; " — " &amp; C29</f>
        <v>My Own Evidence Quality — /finance-analyst/evidence/my-evidence</v>
      </c>
      <c r="C29" s="3" t="s">
        <v>8588</v>
      </c>
      <c r="D29" s="3" t="s">
        <v>8589</v>
      </c>
      <c r="E29" s="3" t="s">
        <v>8454</v>
      </c>
      <c r="F29" s="3" t="s">
        <v>203</v>
      </c>
      <c r="G29" s="3" t="s">
        <v>8419</v>
      </c>
      <c r="H29" s="3">
        <v>2</v>
      </c>
      <c r="I29" s="3" t="s">
        <v>8461</v>
      </c>
      <c r="J29" s="3" t="s">
        <v>8590</v>
      </c>
      <c r="K29" s="3" t="s">
        <v>8591</v>
      </c>
      <c r="L29" s="4" t="b">
        <f>G29 &lt;&gt; ""</f>
        <v>1</v>
      </c>
      <c r="M29" s="4" t="b">
        <f>AND(((F29 = "")=TRUE), ((E29 = "domain")=TRUE))</f>
        <v>0</v>
      </c>
      <c r="N29" s="4" t="b">
        <f>E29 = "maintainer"</f>
        <v>0</v>
      </c>
      <c r="O29" s="4">
        <f>COUNTIFS(AppRouteQuestions!C2:C152, A29)</f>
        <v>1</v>
      </c>
      <c r="P29" s="4">
        <f>COUNTIFS(AppRouteReferences!C2:C316, A29)</f>
        <v>2</v>
      </c>
      <c r="Q29" s="4" t="b">
        <f>AND(((O29 = 0)=TRUE), ((M29 = FALSE)=TRUE), ((N29 = FALSE)=TRUE), ((I29 &lt;&gt; "index")=TRUE))</f>
        <v>0</v>
      </c>
      <c r="R29" s="3" t="s">
        <v>1878</v>
      </c>
    </row>
    <row r="30">
      <c r="A30" s="3" t="s">
        <v>8592</v>
      </c>
      <c r="B30" s="4" t="str">
        <f>D30 &amp; " — " &amp; C30</f>
        <v>Was My Source Fresh — /finance-analyst/evidence/source-freshness</v>
      </c>
      <c r="C30" s="3" t="s">
        <v>8593</v>
      </c>
      <c r="D30" s="3" t="s">
        <v>8594</v>
      </c>
      <c r="E30" s="3" t="s">
        <v>8454</v>
      </c>
      <c r="F30" s="3" t="s">
        <v>203</v>
      </c>
      <c r="G30" s="3" t="s">
        <v>8419</v>
      </c>
      <c r="H30" s="3">
        <v>3</v>
      </c>
      <c r="I30" s="3" t="s">
        <v>8461</v>
      </c>
      <c r="J30" s="3" t="s">
        <v>1968</v>
      </c>
      <c r="K30" s="3" t="s">
        <v>8595</v>
      </c>
      <c r="L30" s="4" t="b">
        <f>G30 &lt;&gt; ""</f>
        <v>1</v>
      </c>
      <c r="M30" s="4" t="b">
        <f>AND(((F30 = "")=TRUE), ((E30 = "domain")=TRUE))</f>
        <v>0</v>
      </c>
      <c r="N30" s="4" t="b">
        <f>E30 = "maintainer"</f>
        <v>0</v>
      </c>
      <c r="O30" s="4">
        <f>COUNTIFS(AppRouteQuestions!C2:C152, A30)</f>
        <v>1</v>
      </c>
      <c r="P30" s="4">
        <f>COUNTIFS(AppRouteReferences!C2:C316, A30)</f>
        <v>2</v>
      </c>
      <c r="Q30" s="4" t="b">
        <f>AND(((O30 = 0)=TRUE), ((M30 = FALSE)=TRUE), ((N30 = FALSE)=TRUE), ((I30 &lt;&gt; "index")=TRUE))</f>
        <v>0</v>
      </c>
      <c r="R30" s="3" t="s">
        <v>1878</v>
      </c>
    </row>
    <row r="31">
      <c r="A31" s="3" t="s">
        <v>8596</v>
      </c>
      <c r="B31" s="4" t="str">
        <f>D31 &amp; " — " &amp; C31</f>
        <v>Stale Then vs Stale Now — /finance-analyst/evidence/stale-then-vs-now</v>
      </c>
      <c r="C31" s="3" t="s">
        <v>8597</v>
      </c>
      <c r="D31" s="3" t="s">
        <v>8598</v>
      </c>
      <c r="E31" s="3" t="s">
        <v>8454</v>
      </c>
      <c r="F31" s="3" t="s">
        <v>203</v>
      </c>
      <c r="G31" s="3" t="s">
        <v>8419</v>
      </c>
      <c r="H31" s="3">
        <v>4</v>
      </c>
      <c r="I31" s="3" t="s">
        <v>8461</v>
      </c>
      <c r="J31" s="3" t="s">
        <v>8599</v>
      </c>
      <c r="K31" s="3" t="s">
        <v>8600</v>
      </c>
      <c r="L31" s="4" t="b">
        <f>G31 &lt;&gt; ""</f>
        <v>1</v>
      </c>
      <c r="M31" s="4" t="b">
        <f>AND(((F31 = "")=TRUE), ((E31 = "domain")=TRUE))</f>
        <v>0</v>
      </c>
      <c r="N31" s="4" t="b">
        <f>E31 = "maintainer"</f>
        <v>0</v>
      </c>
      <c r="O31" s="4">
        <f>COUNTIFS(AppRouteQuestions!C2:C152, A31)</f>
        <v>1</v>
      </c>
      <c r="P31" s="4">
        <f>COUNTIFS(AppRouteReferences!C2:C316, A31)</f>
        <v>2</v>
      </c>
      <c r="Q31" s="4" t="b">
        <f>AND(((O31 = 0)=TRUE), ((M31 = FALSE)=TRUE), ((N31 = FALSE)=TRUE), ((I31 &lt;&gt; "index")=TRUE))</f>
        <v>0</v>
      </c>
      <c r="R31" s="3" t="s">
        <v>1878</v>
      </c>
    </row>
    <row r="32">
      <c r="A32" s="3" t="s">
        <v>8601</v>
      </c>
      <c r="B32" s="4" t="str">
        <f>D32 &amp; " — " &amp; C32</f>
        <v>Clean, or Just Unchecked — /finance-analyst/quality/clean-but-uncovered</v>
      </c>
      <c r="C32" s="3" t="s">
        <v>8602</v>
      </c>
      <c r="D32" s="3" t="s">
        <v>8603</v>
      </c>
      <c r="E32" s="3" t="s">
        <v>8454</v>
      </c>
      <c r="F32" s="3" t="s">
        <v>203</v>
      </c>
      <c r="G32" s="3" t="s">
        <v>8435</v>
      </c>
      <c r="H32" s="3">
        <v>1</v>
      </c>
      <c r="I32" s="3" t="s">
        <v>8461</v>
      </c>
      <c r="J32" s="3" t="s">
        <v>8604</v>
      </c>
      <c r="K32" s="3" t="s">
        <v>8605</v>
      </c>
      <c r="L32" s="4" t="b">
        <f>G32 &lt;&gt; ""</f>
        <v>1</v>
      </c>
      <c r="M32" s="4" t="b">
        <f>AND(((F32 = "")=TRUE), ((E32 = "domain")=TRUE))</f>
        <v>0</v>
      </c>
      <c r="N32" s="4" t="b">
        <f>E32 = "maintainer"</f>
        <v>0</v>
      </c>
      <c r="O32" s="4">
        <f>COUNTIFS(AppRouteQuestions!C2:C152, A32)</f>
        <v>1</v>
      </c>
      <c r="P32" s="4">
        <f>COUNTIFS(AppRouteReferences!C2:C316, A32)</f>
        <v>2</v>
      </c>
      <c r="Q32" s="4" t="b">
        <f>AND(((O32 = 0)=TRUE), ((M32 = FALSE)=TRUE), ((N32 = FALSE)=TRUE), ((I32 &lt;&gt; "index")=TRUE))</f>
        <v>0</v>
      </c>
      <c r="R32" s="3" t="s">
        <v>1878</v>
      </c>
    </row>
    <row r="33">
      <c r="A33" s="3" t="s">
        <v>8606</v>
      </c>
      <c r="B33" s="4" t="str">
        <f>D33 &amp; " — " &amp; C33</f>
        <v>Cleared by a Mute Control — /finance-analyst/quality/cleared-by-mute-control</v>
      </c>
      <c r="C33" s="3" t="s">
        <v>8607</v>
      </c>
      <c r="D33" s="3" t="s">
        <v>8608</v>
      </c>
      <c r="E33" s="3" t="s">
        <v>8454</v>
      </c>
      <c r="F33" s="3" t="s">
        <v>203</v>
      </c>
      <c r="G33" s="3" t="s">
        <v>8435</v>
      </c>
      <c r="H33" s="3">
        <v>2</v>
      </c>
      <c r="I33" s="3" t="s">
        <v>8461</v>
      </c>
      <c r="J33" s="3" t="s">
        <v>8609</v>
      </c>
      <c r="K33" s="3" t="s">
        <v>8610</v>
      </c>
      <c r="L33" s="4" t="b">
        <f>G33 &lt;&gt; ""</f>
        <v>1</v>
      </c>
      <c r="M33" s="4" t="b">
        <f>AND(((F33 = "")=TRUE), ((E33 = "domain")=TRUE))</f>
        <v>0</v>
      </c>
      <c r="N33" s="4" t="b">
        <f>E33 = "maintainer"</f>
        <v>0</v>
      </c>
      <c r="O33" s="4">
        <f>COUNTIFS(AppRouteQuestions!C2:C152, A33)</f>
        <v>1</v>
      </c>
      <c r="P33" s="4">
        <f>COUNTIFS(AppRouteReferences!C2:C316, A33)</f>
        <v>2</v>
      </c>
      <c r="Q33" s="4" t="b">
        <f>AND(((O33 = 0)=TRUE), ((M33 = FALSE)=TRUE), ((N33 = FALSE)=TRUE), ((I33 &lt;&gt; "index")=TRUE))</f>
        <v>0</v>
      </c>
      <c r="R33" s="3" t="s">
        <v>1878</v>
      </c>
    </row>
    <row r="34">
      <c r="A34" s="3" t="s">
        <v>8611</v>
      </c>
      <c r="B34" s="4" t="str">
        <f>D34 &amp; " — " &amp; C34</f>
        <v>Coverage of My Controls — /finance-analyst/quality/witness-coverage</v>
      </c>
      <c r="C34" s="3" t="s">
        <v>8612</v>
      </c>
      <c r="D34" s="3" t="s">
        <v>8613</v>
      </c>
      <c r="E34" s="3" t="s">
        <v>8454</v>
      </c>
      <c r="F34" s="3" t="s">
        <v>203</v>
      </c>
      <c r="G34" s="3" t="s">
        <v>8435</v>
      </c>
      <c r="H34" s="3">
        <v>3</v>
      </c>
      <c r="I34" s="3" t="s">
        <v>8461</v>
      </c>
      <c r="J34" s="3" t="s">
        <v>8614</v>
      </c>
      <c r="K34" s="3" t="s">
        <v>8615</v>
      </c>
      <c r="L34" s="4" t="b">
        <f>G34 &lt;&gt; ""</f>
        <v>1</v>
      </c>
      <c r="M34" s="4" t="b">
        <f>AND(((F34 = "")=TRUE), ((E34 = "domain")=TRUE))</f>
        <v>0</v>
      </c>
      <c r="N34" s="4" t="b">
        <f>E34 = "maintainer"</f>
        <v>0</v>
      </c>
      <c r="O34" s="4">
        <f>COUNTIFS(AppRouteQuestions!C2:C152, A34)</f>
        <v>1</v>
      </c>
      <c r="P34" s="4">
        <f>COUNTIFS(AppRouteReferences!C2:C316, A34)</f>
        <v>2</v>
      </c>
      <c r="Q34" s="4" t="b">
        <f>AND(((O34 = 0)=TRUE), ((M34 = FALSE)=TRUE), ((N34 = FALSE)=TRUE), ((I34 &lt;&gt; "index")=TRUE))</f>
        <v>0</v>
      </c>
      <c r="R34" s="3" t="s">
        <v>1878</v>
      </c>
    </row>
    <row r="35">
      <c r="A35" s="3" t="s">
        <v>8616</v>
      </c>
      <c r="B35" s="4" t="str">
        <f>D35 &amp; " — " &amp; C35</f>
        <v>What I Own — /hr-policy-owner/ownership</v>
      </c>
      <c r="C35" s="3" t="s">
        <v>8617</v>
      </c>
      <c r="D35" s="3" t="s">
        <v>8618</v>
      </c>
      <c r="E35" s="3" t="s">
        <v>8454</v>
      </c>
      <c r="F35" s="3" t="s">
        <v>216</v>
      </c>
      <c r="G35" s="3" t="s">
        <v>8438</v>
      </c>
      <c r="H35" s="3">
        <v>1</v>
      </c>
      <c r="I35" s="3" t="s">
        <v>8455</v>
      </c>
      <c r="J35" s="3" t="s">
        <v>8619</v>
      </c>
      <c r="K35" s="3" t="s">
        <v>8620</v>
      </c>
      <c r="L35" s="4" t="b">
        <f>G35 &lt;&gt; ""</f>
        <v>1</v>
      </c>
      <c r="M35" s="4" t="b">
        <f>AND(((F35 = "")=TRUE), ((E35 = "domain")=TRUE))</f>
        <v>0</v>
      </c>
      <c r="N35" s="4" t="b">
        <f>E35 = "maintainer"</f>
        <v>0</v>
      </c>
      <c r="O35" s="4">
        <f>COUNTIFS(AppRouteQuestions!C2:C152, A35)</f>
        <v>2</v>
      </c>
      <c r="P35" s="4">
        <f>COUNTIFS(AppRouteReferences!C2:C316, A35)</f>
        <v>3</v>
      </c>
      <c r="Q35" s="4" t="b">
        <f>AND(((O35 = 0)=TRUE), ((M35 = FALSE)=TRUE), ((N35 = FALSE)=TRUE), ((I35 &lt;&gt; "index")=TRUE))</f>
        <v>0</v>
      </c>
      <c r="R35" s="3" t="s">
        <v>1878</v>
      </c>
    </row>
    <row r="36">
      <c r="A36" s="3" t="s">
        <v>8621</v>
      </c>
      <c r="B36" s="4" t="str">
        <f>D36 &amp; " — " &amp; C36</f>
        <v>Unapproved in My Name — /hr-policy-owner/ownership/unapproved</v>
      </c>
      <c r="C36" s="3" t="s">
        <v>8622</v>
      </c>
      <c r="D36" s="3" t="s">
        <v>8623</v>
      </c>
      <c r="E36" s="3" t="s">
        <v>8454</v>
      </c>
      <c r="F36" s="3" t="s">
        <v>216</v>
      </c>
      <c r="G36" s="3" t="s">
        <v>8438</v>
      </c>
      <c r="H36" s="3">
        <v>2</v>
      </c>
      <c r="I36" s="3" t="s">
        <v>8461</v>
      </c>
      <c r="J36" s="3" t="s">
        <v>8624</v>
      </c>
      <c r="K36" s="3" t="s">
        <v>8625</v>
      </c>
      <c r="L36" s="4" t="b">
        <f>G36 &lt;&gt; ""</f>
        <v>1</v>
      </c>
      <c r="M36" s="4" t="b">
        <f>AND(((F36 = "")=TRUE), ((E36 = "domain")=TRUE))</f>
        <v>0</v>
      </c>
      <c r="N36" s="4" t="b">
        <f>E36 = "maintainer"</f>
        <v>0</v>
      </c>
      <c r="O36" s="4">
        <f>COUNTIFS(AppRouteQuestions!C2:C152, A36)</f>
        <v>1</v>
      </c>
      <c r="P36" s="4">
        <f>COUNTIFS(AppRouteReferences!C2:C316, A36)</f>
        <v>2</v>
      </c>
      <c r="Q36" s="4" t="b">
        <f>AND(((O36 = 0)=TRUE), ((M36 = FALSE)=TRUE), ((N36 = FALSE)=TRUE), ((I36 &lt;&gt; "index")=TRUE))</f>
        <v>0</v>
      </c>
      <c r="R36" s="3" t="s">
        <v>1878</v>
      </c>
    </row>
    <row r="37">
      <c r="A37" s="3" t="s">
        <v>8626</v>
      </c>
      <c r="B37" s="4" t="str">
        <f>D37 &amp; " — " &amp; C37</f>
        <v>Blast Radius of a Claim — /hr-policy-owner/ownership/blast-radius/:fragmentId</v>
      </c>
      <c r="C37" s="3" t="s">
        <v>8627</v>
      </c>
      <c r="D37" s="3" t="s">
        <v>8628</v>
      </c>
      <c r="E37" s="3" t="s">
        <v>8454</v>
      </c>
      <c r="F37" s="3" t="s">
        <v>216</v>
      </c>
      <c r="G37" s="3" t="s">
        <v>8438</v>
      </c>
      <c r="H37" s="3">
        <v>3</v>
      </c>
      <c r="I37" s="3" t="s">
        <v>8512</v>
      </c>
      <c r="J37" s="3" t="s">
        <v>8629</v>
      </c>
      <c r="K37" s="3" t="s">
        <v>8630</v>
      </c>
      <c r="L37" s="4" t="b">
        <f>G37 &lt;&gt; ""</f>
        <v>1</v>
      </c>
      <c r="M37" s="4" t="b">
        <f>AND(((F37 = "")=TRUE), ((E37 = "domain")=TRUE))</f>
        <v>0</v>
      </c>
      <c r="N37" s="4" t="b">
        <f>E37 = "maintainer"</f>
        <v>0</v>
      </c>
      <c r="O37" s="4">
        <f>COUNTIFS(AppRouteQuestions!C2:C152, A37)</f>
        <v>1</v>
      </c>
      <c r="P37" s="4">
        <f>COUNTIFS(AppRouteReferences!C2:C316, A37)</f>
        <v>2</v>
      </c>
      <c r="Q37" s="4" t="b">
        <f>AND(((O37 = 0)=TRUE), ((M37 = FALSE)=TRUE), ((N37 = FALSE)=TRUE), ((I37 &lt;&gt; "index")=TRUE))</f>
        <v>0</v>
      </c>
      <c r="R37" s="3" t="s">
        <v>1878</v>
      </c>
    </row>
    <row r="38">
      <c r="A38" s="3" t="s">
        <v>8631</v>
      </c>
      <c r="B38" s="4" t="str">
        <f>D38 &amp; " — " &amp; C38</f>
        <v>Waiting On Me — /hr-policy-owner/backlog</v>
      </c>
      <c r="C38" s="3" t="s">
        <v>8632</v>
      </c>
      <c r="D38" s="3" t="s">
        <v>8633</v>
      </c>
      <c r="E38" s="3" t="s">
        <v>8454</v>
      </c>
      <c r="F38" s="3" t="s">
        <v>216</v>
      </c>
      <c r="G38" s="3" t="s">
        <v>8436</v>
      </c>
      <c r="H38" s="3">
        <v>1</v>
      </c>
      <c r="I38" s="3" t="s">
        <v>8461</v>
      </c>
      <c r="J38" s="3" t="s">
        <v>8634</v>
      </c>
      <c r="K38" s="3" t="s">
        <v>8635</v>
      </c>
      <c r="L38" s="4" t="b">
        <f>G38 &lt;&gt; ""</f>
        <v>1</v>
      </c>
      <c r="M38" s="4" t="b">
        <f>AND(((F38 = "")=TRUE), ((E38 = "domain")=TRUE))</f>
        <v>0</v>
      </c>
      <c r="N38" s="4" t="b">
        <f>E38 = "maintainer"</f>
        <v>0</v>
      </c>
      <c r="O38" s="4">
        <f>COUNTIFS(AppRouteQuestions!C2:C152, A38)</f>
        <v>1</v>
      </c>
      <c r="P38" s="4">
        <f>COUNTIFS(AppRouteReferences!C2:C316, A38)</f>
        <v>2</v>
      </c>
      <c r="Q38" s="4" t="b">
        <f>AND(((O38 = 0)=TRUE), ((M38 = FALSE)=TRUE), ((N38 = FALSE)=TRUE), ((I38 &lt;&gt; "index")=TRUE))</f>
        <v>0</v>
      </c>
      <c r="R38" s="3" t="s">
        <v>1878</v>
      </c>
    </row>
    <row r="39">
      <c r="A39" s="3" t="s">
        <v>8636</v>
      </c>
      <c r="B39" s="4" t="str">
        <f>D39 &amp; " — " &amp; C39</f>
        <v>What My Delay Blocks — /hr-policy-owner/backlog/downstream</v>
      </c>
      <c r="C39" s="3" t="s">
        <v>8637</v>
      </c>
      <c r="D39" s="3" t="s">
        <v>8638</v>
      </c>
      <c r="E39" s="3" t="s">
        <v>8454</v>
      </c>
      <c r="F39" s="3" t="s">
        <v>216</v>
      </c>
      <c r="G39" s="3" t="s">
        <v>8436</v>
      </c>
      <c r="H39" s="3">
        <v>2</v>
      </c>
      <c r="I39" s="3" t="s">
        <v>8461</v>
      </c>
      <c r="J39" s="3" t="s">
        <v>8639</v>
      </c>
      <c r="K39" s="3" t="s">
        <v>8640</v>
      </c>
      <c r="L39" s="4" t="b">
        <f>G39 &lt;&gt; ""</f>
        <v>1</v>
      </c>
      <c r="M39" s="4" t="b">
        <f>AND(((F39 = "")=TRUE), ((E39 = "domain")=TRUE))</f>
        <v>0</v>
      </c>
      <c r="N39" s="4" t="b">
        <f>E39 = "maintainer"</f>
        <v>0</v>
      </c>
      <c r="O39" s="4">
        <f>COUNTIFS(AppRouteQuestions!C2:C152, A39)</f>
        <v>1</v>
      </c>
      <c r="P39" s="4">
        <f>COUNTIFS(AppRouteReferences!C2:C316, A39)</f>
        <v>2</v>
      </c>
      <c r="Q39" s="4" t="b">
        <f>AND(((O39 = 0)=TRUE), ((M39 = FALSE)=TRUE), ((N39 = FALSE)=TRUE), ((I39 &lt;&gt; "index")=TRUE))</f>
        <v>0</v>
      </c>
      <c r="R39" s="3" t="s">
        <v>1878</v>
      </c>
    </row>
    <row r="40">
      <c r="A40" s="3" t="s">
        <v>8641</v>
      </c>
      <c r="B40" s="4" t="str">
        <f>D40 &amp; " — " &amp; C40</f>
        <v>What I Have Cleared — /hr-policy-owner/backlog/my-decisions</v>
      </c>
      <c r="C40" s="3" t="s">
        <v>8642</v>
      </c>
      <c r="D40" s="3" t="s">
        <v>8643</v>
      </c>
      <c r="E40" s="3" t="s">
        <v>8454</v>
      </c>
      <c r="F40" s="3" t="s">
        <v>216</v>
      </c>
      <c r="G40" s="3" t="s">
        <v>8436</v>
      </c>
      <c r="H40" s="3">
        <v>3</v>
      </c>
      <c r="I40" s="3" t="s">
        <v>8461</v>
      </c>
      <c r="J40" s="3" t="s">
        <v>8644</v>
      </c>
      <c r="K40" s="3" t="s">
        <v>8645</v>
      </c>
      <c r="L40" s="4" t="b">
        <f>G40 &lt;&gt; ""</f>
        <v>1</v>
      </c>
      <c r="M40" s="4" t="b">
        <f>AND(((F40 = "")=TRUE), ((E40 = "domain")=TRUE))</f>
        <v>0</v>
      </c>
      <c r="N40" s="4" t="b">
        <f>E40 = "maintainer"</f>
        <v>0</v>
      </c>
      <c r="O40" s="4">
        <f>COUNTIFS(AppRouteQuestions!C2:C152, A40)</f>
        <v>1</v>
      </c>
      <c r="P40" s="4">
        <f>COUNTIFS(AppRouteReferences!C2:C316, A40)</f>
        <v>2</v>
      </c>
      <c r="Q40" s="4" t="b">
        <f>AND(((O40 = 0)=TRUE), ((M40 = FALSE)=TRUE), ((N40 = FALSE)=TRUE), ((I40 &lt;&gt; "index")=TRUE))</f>
        <v>0</v>
      </c>
      <c r="R40" s="3" t="s">
        <v>1878</v>
      </c>
    </row>
    <row r="41">
      <c r="A41" s="3" t="s">
        <v>8646</v>
      </c>
      <c r="B41" s="4" t="str">
        <f>D41 &amp; " — " &amp; C41</f>
        <v>Is the AI Boundary Held — /hr-policy-owner/governance/ai-boundary</v>
      </c>
      <c r="C41" s="3" t="s">
        <v>8647</v>
      </c>
      <c r="D41" s="3" t="s">
        <v>8648</v>
      </c>
      <c r="E41" s="3" t="s">
        <v>8454</v>
      </c>
      <c r="F41" s="3" t="s">
        <v>216</v>
      </c>
      <c r="G41" s="3" t="s">
        <v>8424</v>
      </c>
      <c r="H41" s="3">
        <v>1</v>
      </c>
      <c r="I41" s="3" t="s">
        <v>8461</v>
      </c>
      <c r="J41" s="3" t="s">
        <v>8649</v>
      </c>
      <c r="K41" s="3" t="s">
        <v>8650</v>
      </c>
      <c r="L41" s="4" t="b">
        <f>G41 &lt;&gt; ""</f>
        <v>1</v>
      </c>
      <c r="M41" s="4" t="b">
        <f>AND(((F41 = "")=TRUE), ((E41 = "domain")=TRUE))</f>
        <v>0</v>
      </c>
      <c r="N41" s="4" t="b">
        <f>E41 = "maintainer"</f>
        <v>0</v>
      </c>
      <c r="O41" s="4">
        <f>COUNTIFS(AppRouteQuestions!C2:C152, A41)</f>
        <v>2</v>
      </c>
      <c r="P41" s="4">
        <f>COUNTIFS(AppRouteReferences!C2:C316, A41)</f>
        <v>2</v>
      </c>
      <c r="Q41" s="4" t="b">
        <f>AND(((O41 = 0)=TRUE), ((M41 = FALSE)=TRUE), ((N41 = FALSE)=TRUE), ((I41 &lt;&gt; "index")=TRUE))</f>
        <v>0</v>
      </c>
      <c r="R41" s="3" t="s">
        <v>1878</v>
      </c>
    </row>
    <row r="42">
      <c r="A42" s="3" t="s">
        <v>8651</v>
      </c>
      <c r="B42" s="4" t="str">
        <f>D42 &amp; " — " &amp; C42</f>
        <v>Knowledge Half-Life — /hr-policy-owner/governance/knowledge-half-life</v>
      </c>
      <c r="C42" s="3" t="s">
        <v>8652</v>
      </c>
      <c r="D42" s="3" t="s">
        <v>8653</v>
      </c>
      <c r="E42" s="3" t="s">
        <v>8454</v>
      </c>
      <c r="F42" s="3" t="s">
        <v>216</v>
      </c>
      <c r="G42" s="3" t="s">
        <v>8424</v>
      </c>
      <c r="H42" s="3">
        <v>2</v>
      </c>
      <c r="I42" s="3" t="s">
        <v>8461</v>
      </c>
      <c r="J42" s="3" t="s">
        <v>8654</v>
      </c>
      <c r="K42" s="3" t="s">
        <v>8655</v>
      </c>
      <c r="L42" s="4" t="b">
        <f>G42 &lt;&gt; ""</f>
        <v>1</v>
      </c>
      <c r="M42" s="4" t="b">
        <f>AND(((F42 = "")=TRUE), ((E42 = "domain")=TRUE))</f>
        <v>0</v>
      </c>
      <c r="N42" s="4" t="b">
        <f>E42 = "maintainer"</f>
        <v>0</v>
      </c>
      <c r="O42" s="4">
        <f>COUNTIFS(AppRouteQuestions!C2:C152, A42)</f>
        <v>1</v>
      </c>
      <c r="P42" s="4">
        <f>COUNTIFS(AppRouteReferences!C2:C316, A42)</f>
        <v>2</v>
      </c>
      <c r="Q42" s="4" t="b">
        <f>AND(((O42 = 0)=TRUE), ((M42 = FALSE)=TRUE), ((N42 = FALSE)=TRUE), ((I42 &lt;&gt; "index")=TRUE))</f>
        <v>0</v>
      </c>
      <c r="R42" s="3" t="s">
        <v>1878</v>
      </c>
    </row>
    <row r="43">
      <c r="A43" s="3" t="s">
        <v>8656</v>
      </c>
      <c r="B43" s="4" t="str">
        <f>D43 &amp; " — " &amp; C43</f>
        <v>What Departed With Them — /hr-policy-owner/governance/departed-holders</v>
      </c>
      <c r="C43" s="3" t="s">
        <v>8657</v>
      </c>
      <c r="D43" s="3" t="s">
        <v>8658</v>
      </c>
      <c r="E43" s="3" t="s">
        <v>8454</v>
      </c>
      <c r="F43" s="3" t="s">
        <v>216</v>
      </c>
      <c r="G43" s="3" t="s">
        <v>8424</v>
      </c>
      <c r="H43" s="3">
        <v>3</v>
      </c>
      <c r="I43" s="3" t="s">
        <v>8461</v>
      </c>
      <c r="J43" s="3" t="s">
        <v>8659</v>
      </c>
      <c r="K43" s="3" t="s">
        <v>8660</v>
      </c>
      <c r="L43" s="4" t="b">
        <f>G43 &lt;&gt; ""</f>
        <v>1</v>
      </c>
      <c r="M43" s="4" t="b">
        <f>AND(((F43 = "")=TRUE), ((E43 = "domain")=TRUE))</f>
        <v>0</v>
      </c>
      <c r="N43" s="4" t="b">
        <f>E43 = "maintainer"</f>
        <v>0</v>
      </c>
      <c r="O43" s="4">
        <f>COUNTIFS(AppRouteQuestions!C2:C152, A43)</f>
        <v>1</v>
      </c>
      <c r="P43" s="4">
        <f>COUNTIFS(AppRouteReferences!C2:C316, A43)</f>
        <v>2</v>
      </c>
      <c r="Q43" s="4" t="b">
        <f>AND(((O43 = 0)=TRUE), ((M43 = FALSE)=TRUE), ((N43 = FALSE)=TRUE), ((I43 &lt;&gt; "index")=TRUE))</f>
        <v>0</v>
      </c>
      <c r="R43" s="3" t="s">
        <v>1878</v>
      </c>
    </row>
    <row r="44">
      <c r="A44" s="3" t="s">
        <v>8661</v>
      </c>
      <c r="B44" s="4" t="str">
        <f>D44 &amp; " — " &amp; C44</f>
        <v>What Was Actually Sent — /hr-policy-owner/delivery/what-was-sent</v>
      </c>
      <c r="C44" s="3" t="s">
        <v>8662</v>
      </c>
      <c r="D44" s="3" t="s">
        <v>8663</v>
      </c>
      <c r="E44" s="3" t="s">
        <v>8454</v>
      </c>
      <c r="F44" s="3" t="s">
        <v>216</v>
      </c>
      <c r="G44" s="3" t="s">
        <v>8425</v>
      </c>
      <c r="H44" s="3">
        <v>1</v>
      </c>
      <c r="I44" s="3" t="s">
        <v>8461</v>
      </c>
      <c r="J44" s="3" t="s">
        <v>8664</v>
      </c>
      <c r="K44" s="3" t="s">
        <v>8665</v>
      </c>
      <c r="L44" s="4" t="b">
        <f>G44 &lt;&gt; ""</f>
        <v>1</v>
      </c>
      <c r="M44" s="4" t="b">
        <f>AND(((F44 = "")=TRUE), ((E44 = "domain")=TRUE))</f>
        <v>0</v>
      </c>
      <c r="N44" s="4" t="b">
        <f>E44 = "maintainer"</f>
        <v>0</v>
      </c>
      <c r="O44" s="4">
        <f>COUNTIFS(AppRouteQuestions!C2:C152, A44)</f>
        <v>1</v>
      </c>
      <c r="P44" s="4">
        <f>COUNTIFS(AppRouteReferences!C2:C316, A44)</f>
        <v>2</v>
      </c>
      <c r="Q44" s="4" t="b">
        <f>AND(((O44 = 0)=TRUE), ((M44 = FALSE)=TRUE), ((N44 = FALSE)=TRUE), ((I44 &lt;&gt; "index")=TRUE))</f>
        <v>0</v>
      </c>
      <c r="R44" s="3" t="s">
        <v>1878</v>
      </c>
    </row>
    <row r="45">
      <c r="A45" s="3" t="s">
        <v>8666</v>
      </c>
      <c r="B45" s="4" t="str">
        <f>D45 &amp; " — " &amp; C45</f>
        <v>Compliance Gates — /employment-counsel/compliance</v>
      </c>
      <c r="C45" s="3" t="s">
        <v>8667</v>
      </c>
      <c r="D45" s="3" t="s">
        <v>8668</v>
      </c>
      <c r="E45" s="3" t="s">
        <v>8454</v>
      </c>
      <c r="F45" s="3" t="s">
        <v>220</v>
      </c>
      <c r="G45" s="3" t="s">
        <v>8429</v>
      </c>
      <c r="H45" s="3">
        <v>1</v>
      </c>
      <c r="I45" s="3" t="s">
        <v>8455</v>
      </c>
      <c r="J45" s="3" t="s">
        <v>8669</v>
      </c>
      <c r="K45" s="3" t="s">
        <v>8670</v>
      </c>
      <c r="L45" s="4" t="b">
        <f>G45 &lt;&gt; ""</f>
        <v>1</v>
      </c>
      <c r="M45" s="4" t="b">
        <f>AND(((F45 = "")=TRUE), ((E45 = "domain")=TRUE))</f>
        <v>0</v>
      </c>
      <c r="N45" s="4" t="b">
        <f>E45 = "maintainer"</f>
        <v>0</v>
      </c>
      <c r="O45" s="4">
        <f>COUNTIFS(AppRouteQuestions!C2:C152, A45)</f>
        <v>4</v>
      </c>
      <c r="P45" s="4">
        <f>COUNTIFS(AppRouteReferences!C2:C316, A45)</f>
        <v>4</v>
      </c>
      <c r="Q45" s="4" t="b">
        <f>AND(((O45 = 0)=TRUE), ((M45 = FALSE)=TRUE), ((N45 = FALSE)=TRUE), ((I45 &lt;&gt; "index")=TRUE))</f>
        <v>0</v>
      </c>
      <c r="R45" s="3" t="s">
        <v>1878</v>
      </c>
    </row>
    <row r="46">
      <c r="A46" s="3" t="s">
        <v>8671</v>
      </c>
      <c r="B46" s="4" t="str">
        <f>D46 &amp; " — " &amp; C46</f>
        <v>SMS Without Consent — /employment-counsel/compliance/consent</v>
      </c>
      <c r="C46" s="3" t="s">
        <v>8672</v>
      </c>
      <c r="D46" s="3" t="s">
        <v>8673</v>
      </c>
      <c r="E46" s="3" t="s">
        <v>8454</v>
      </c>
      <c r="F46" s="3" t="s">
        <v>220</v>
      </c>
      <c r="G46" s="3" t="s">
        <v>8429</v>
      </c>
      <c r="H46" s="3">
        <v>2</v>
      </c>
      <c r="I46" s="3" t="s">
        <v>8461</v>
      </c>
      <c r="J46" s="3" t="s">
        <v>2060</v>
      </c>
      <c r="K46" s="3" t="s">
        <v>8674</v>
      </c>
      <c r="L46" s="4" t="b">
        <f>G46 &lt;&gt; ""</f>
        <v>1</v>
      </c>
      <c r="M46" s="4" t="b">
        <f>AND(((F46 = "")=TRUE), ((E46 = "domain")=TRUE))</f>
        <v>0</v>
      </c>
      <c r="N46" s="4" t="b">
        <f>E46 = "maintainer"</f>
        <v>0</v>
      </c>
      <c r="O46" s="4">
        <f>COUNTIFS(AppRouteQuestions!C2:C152, A46)</f>
        <v>1</v>
      </c>
      <c r="P46" s="4">
        <f>COUNTIFS(AppRouteReferences!C2:C316, A46)</f>
        <v>2</v>
      </c>
      <c r="Q46" s="4" t="b">
        <f>AND(((O46 = 0)=TRUE), ((M46 = FALSE)=TRUE), ((N46 = FALSE)=TRUE), ((I46 &lt;&gt; "index")=TRUE))</f>
        <v>0</v>
      </c>
      <c r="R46" s="3" t="s">
        <v>1878</v>
      </c>
    </row>
    <row r="47">
      <c r="A47" s="3" t="s">
        <v>8675</v>
      </c>
      <c r="B47" s="4" t="str">
        <f>D47 &amp; " — " &amp; C47</f>
        <v>Quiet Hours — /employment-counsel/compliance/quiet-hours</v>
      </c>
      <c r="C47" s="3" t="s">
        <v>8676</v>
      </c>
      <c r="D47" s="3" t="s">
        <v>8677</v>
      </c>
      <c r="E47" s="3" t="s">
        <v>8454</v>
      </c>
      <c r="F47" s="3" t="s">
        <v>220</v>
      </c>
      <c r="G47" s="3" t="s">
        <v>8429</v>
      </c>
      <c r="H47" s="3">
        <v>3</v>
      </c>
      <c r="I47" s="3" t="s">
        <v>8461</v>
      </c>
      <c r="J47" s="3" t="s">
        <v>2064</v>
      </c>
      <c r="K47" s="3" t="s">
        <v>8678</v>
      </c>
      <c r="L47" s="4" t="b">
        <f>G47 &lt;&gt; ""</f>
        <v>1</v>
      </c>
      <c r="M47" s="4" t="b">
        <f>AND(((F47 = "")=TRUE), ((E47 = "domain")=TRUE))</f>
        <v>0</v>
      </c>
      <c r="N47" s="4" t="b">
        <f>E47 = "maintainer"</f>
        <v>0</v>
      </c>
      <c r="O47" s="4">
        <f>COUNTIFS(AppRouteQuestions!C2:C152, A47)</f>
        <v>1</v>
      </c>
      <c r="P47" s="4">
        <f>COUNTIFS(AppRouteReferences!C2:C316, A47)</f>
        <v>2</v>
      </c>
      <c r="Q47" s="4" t="b">
        <f>AND(((O47 = 0)=TRUE), ((M47 = FALSE)=TRUE), ((N47 = FALSE)=TRUE), ((I47 &lt;&gt; "index")=TRUE))</f>
        <v>0</v>
      </c>
      <c r="R47" s="3" t="s">
        <v>1878</v>
      </c>
    </row>
    <row r="48">
      <c r="A48" s="3" t="s">
        <v>8679</v>
      </c>
      <c r="B48" s="4" t="str">
        <f>D48 &amp; " — " &amp; C48</f>
        <v>Sent Before My Review — /employment-counsel/compliance/legal-review</v>
      </c>
      <c r="C48" s="3" t="s">
        <v>8680</v>
      </c>
      <c r="D48" s="3" t="s">
        <v>8681</v>
      </c>
      <c r="E48" s="3" t="s">
        <v>8454</v>
      </c>
      <c r="F48" s="3" t="s">
        <v>220</v>
      </c>
      <c r="G48" s="3" t="s">
        <v>8429</v>
      </c>
      <c r="H48" s="3">
        <v>4</v>
      </c>
      <c r="I48" s="3" t="s">
        <v>8461</v>
      </c>
      <c r="J48" s="3" t="s">
        <v>2076</v>
      </c>
      <c r="K48" s="3" t="s">
        <v>8682</v>
      </c>
      <c r="L48" s="4" t="b">
        <f>G48 &lt;&gt; ""</f>
        <v>1</v>
      </c>
      <c r="M48" s="4" t="b">
        <f>AND(((F48 = "")=TRUE), ((E48 = "domain")=TRUE))</f>
        <v>0</v>
      </c>
      <c r="N48" s="4" t="b">
        <f>E48 = "maintainer"</f>
        <v>0</v>
      </c>
      <c r="O48" s="4">
        <f>COUNTIFS(AppRouteQuestions!C2:C152, A48)</f>
        <v>1</v>
      </c>
      <c r="P48" s="4">
        <f>COUNTIFS(AppRouteReferences!C2:C316, A48)</f>
        <v>2</v>
      </c>
      <c r="Q48" s="4" t="b">
        <f>AND(((O48 = 0)=TRUE), ((M48 = FALSE)=TRUE), ((N48 = FALSE)=TRUE), ((I48 &lt;&gt; "index")=TRUE))</f>
        <v>0</v>
      </c>
      <c r="R48" s="3" t="s">
        <v>1878</v>
      </c>
    </row>
    <row r="49">
      <c r="A49" s="3" t="s">
        <v>8683</v>
      </c>
      <c r="B49" s="4" t="str">
        <f>D49 &amp; " — " &amp; C49</f>
        <v>Retention Evidence — /employment-counsel/compliance/retention</v>
      </c>
      <c r="C49" s="3" t="s">
        <v>8684</v>
      </c>
      <c r="D49" s="3" t="s">
        <v>8685</v>
      </c>
      <c r="E49" s="3" t="s">
        <v>8454</v>
      </c>
      <c r="F49" s="3" t="s">
        <v>220</v>
      </c>
      <c r="G49" s="3" t="s">
        <v>8429</v>
      </c>
      <c r="H49" s="3">
        <v>5</v>
      </c>
      <c r="I49" s="3" t="s">
        <v>8461</v>
      </c>
      <c r="J49" s="3" t="s">
        <v>2072</v>
      </c>
      <c r="K49" s="3" t="s">
        <v>8686</v>
      </c>
      <c r="L49" s="4" t="b">
        <f>G49 &lt;&gt; ""</f>
        <v>1</v>
      </c>
      <c r="M49" s="4" t="b">
        <f>AND(((F49 = "")=TRUE), ((E49 = "domain")=TRUE))</f>
        <v>0</v>
      </c>
      <c r="N49" s="4" t="b">
        <f>E49 = "maintainer"</f>
        <v>0</v>
      </c>
      <c r="O49" s="4">
        <f>COUNTIFS(AppRouteQuestions!C2:C152, A49)</f>
        <v>1</v>
      </c>
      <c r="P49" s="4">
        <f>COUNTIFS(AppRouteReferences!C2:C316, A49)</f>
        <v>2</v>
      </c>
      <c r="Q49" s="4" t="b">
        <f>AND(((O49 = 0)=TRUE), ((M49 = FALSE)=TRUE), ((N49 = FALSE)=TRUE), ((I49 &lt;&gt; "index")=TRUE))</f>
        <v>0</v>
      </c>
      <c r="R49" s="3" t="s">
        <v>1878</v>
      </c>
    </row>
    <row r="50">
      <c r="A50" s="3" t="s">
        <v>8687</v>
      </c>
      <c r="B50" s="4" t="str">
        <f>D50 &amp; " — " &amp; C50</f>
        <v>Unreachable, Not Acknowledged — /employment-counsel/compliance/unreachable</v>
      </c>
      <c r="C50" s="3" t="s">
        <v>8688</v>
      </c>
      <c r="D50" s="3" t="s">
        <v>8689</v>
      </c>
      <c r="E50" s="3" t="s">
        <v>8454</v>
      </c>
      <c r="F50" s="3" t="s">
        <v>220</v>
      </c>
      <c r="G50" s="3" t="s">
        <v>8429</v>
      </c>
      <c r="H50" s="3">
        <v>6</v>
      </c>
      <c r="I50" s="3" t="s">
        <v>8461</v>
      </c>
      <c r="J50" s="3" t="s">
        <v>2068</v>
      </c>
      <c r="K50" s="3" t="s">
        <v>8690</v>
      </c>
      <c r="L50" s="4" t="b">
        <f>G50 &lt;&gt; ""</f>
        <v>1</v>
      </c>
      <c r="M50" s="4" t="b">
        <f>AND(((F50 = "")=TRUE), ((E50 = "domain")=TRUE))</f>
        <v>0</v>
      </c>
      <c r="N50" s="4" t="b">
        <f>E50 = "maintainer"</f>
        <v>0</v>
      </c>
      <c r="O50" s="4">
        <f>COUNTIFS(AppRouteQuestions!C2:C152, A50)</f>
        <v>1</v>
      </c>
      <c r="P50" s="4">
        <f>COUNTIFS(AppRouteReferences!C2:C316, A50)</f>
        <v>2</v>
      </c>
      <c r="Q50" s="4" t="b">
        <f>AND(((O50 = 0)=TRUE), ((M50 = FALSE)=TRUE), ((N50 = FALSE)=TRUE), ((I50 &lt;&gt; "index")=TRUE))</f>
        <v>0</v>
      </c>
      <c r="R50" s="3" t="s">
        <v>1878</v>
      </c>
    </row>
    <row r="51">
      <c r="A51" s="3" t="s">
        <v>8691</v>
      </c>
      <c r="B51" s="4" t="str">
        <f>D51 &amp; " — " &amp; C51</f>
        <v>Campaign Board — /communications-manager/delivery</v>
      </c>
      <c r="C51" s="3" t="s">
        <v>8692</v>
      </c>
      <c r="D51" s="3" t="s">
        <v>8693</v>
      </c>
      <c r="E51" s="3" t="s">
        <v>8454</v>
      </c>
      <c r="F51" s="3" t="s">
        <v>224</v>
      </c>
      <c r="G51" s="3" t="s">
        <v>8425</v>
      </c>
      <c r="H51" s="3">
        <v>1</v>
      </c>
      <c r="I51" s="3" t="s">
        <v>8455</v>
      </c>
      <c r="J51" s="3" t="s">
        <v>8694</v>
      </c>
      <c r="K51" s="3" t="s">
        <v>8695</v>
      </c>
      <c r="L51" s="4" t="b">
        <f>G51 &lt;&gt; ""</f>
        <v>1</v>
      </c>
      <c r="M51" s="4" t="b">
        <f>AND(((F51 = "")=TRUE), ((E51 = "domain")=TRUE))</f>
        <v>0</v>
      </c>
      <c r="N51" s="4" t="b">
        <f>E51 = "maintainer"</f>
        <v>0</v>
      </c>
      <c r="O51" s="4">
        <f>COUNTIFS(AppRouteQuestions!C2:C152, A51)</f>
        <v>2</v>
      </c>
      <c r="P51" s="4">
        <f>COUNTIFS(AppRouteReferences!C2:C316, A51)</f>
        <v>3</v>
      </c>
      <c r="Q51" s="4" t="b">
        <f>AND(((O51 = 0)=TRUE), ((M51 = FALSE)=TRUE), ((N51 = FALSE)=TRUE), ((I51 &lt;&gt; "index")=TRUE))</f>
        <v>0</v>
      </c>
      <c r="R51" s="3" t="s">
        <v>1878</v>
      </c>
    </row>
    <row r="52">
      <c r="A52" s="3" t="s">
        <v>8696</v>
      </c>
      <c r="B52" s="4" t="str">
        <f>D52 &amp; " — " &amp; C52</f>
        <v>Approval-to-Delivery Yield — /communications-manager/delivery/yield</v>
      </c>
      <c r="C52" s="3" t="s">
        <v>8697</v>
      </c>
      <c r="D52" s="3" t="s">
        <v>8698</v>
      </c>
      <c r="E52" s="3" t="s">
        <v>8454</v>
      </c>
      <c r="F52" s="3" t="s">
        <v>224</v>
      </c>
      <c r="G52" s="3" t="s">
        <v>8425</v>
      </c>
      <c r="H52" s="3">
        <v>2</v>
      </c>
      <c r="I52" s="3" t="s">
        <v>8461</v>
      </c>
      <c r="J52" s="3" t="s">
        <v>8699</v>
      </c>
      <c r="K52" s="3" t="s">
        <v>8700</v>
      </c>
      <c r="L52" s="4" t="b">
        <f>G52 &lt;&gt; ""</f>
        <v>1</v>
      </c>
      <c r="M52" s="4" t="b">
        <f>AND(((F52 = "")=TRUE), ((E52 = "domain")=TRUE))</f>
        <v>0</v>
      </c>
      <c r="N52" s="4" t="b">
        <f>E52 = "maintainer"</f>
        <v>0</v>
      </c>
      <c r="O52" s="4">
        <f>COUNTIFS(AppRouteQuestions!C2:C152, A52)</f>
        <v>2</v>
      </c>
      <c r="P52" s="4">
        <f>COUNTIFS(AppRouteReferences!C2:C316, A52)</f>
        <v>3</v>
      </c>
      <c r="Q52" s="4" t="b">
        <f>AND(((O52 = 0)=TRUE), ((M52 = FALSE)=TRUE), ((N52 = FALSE)=TRUE), ((I52 &lt;&gt; "index")=TRUE))</f>
        <v>0</v>
      </c>
      <c r="R52" s="3" t="s">
        <v>1878</v>
      </c>
    </row>
    <row r="53">
      <c r="A53" s="3" t="s">
        <v>8701</v>
      </c>
      <c r="B53" s="4" t="str">
        <f>D53 &amp; " — " &amp; C53</f>
        <v>Bounced and Unworked — /communications-manager/delivery/failed</v>
      </c>
      <c r="C53" s="3" t="s">
        <v>8702</v>
      </c>
      <c r="D53" s="3" t="s">
        <v>8703</v>
      </c>
      <c r="E53" s="3" t="s">
        <v>8454</v>
      </c>
      <c r="F53" s="3" t="s">
        <v>224</v>
      </c>
      <c r="G53" s="3" t="s">
        <v>8425</v>
      </c>
      <c r="H53" s="3">
        <v>3</v>
      </c>
      <c r="I53" s="3" t="s">
        <v>8461</v>
      </c>
      <c r="J53" s="3" t="s">
        <v>8704</v>
      </c>
      <c r="K53" s="3" t="s">
        <v>8705</v>
      </c>
      <c r="L53" s="4" t="b">
        <f>G53 &lt;&gt; ""</f>
        <v>1</v>
      </c>
      <c r="M53" s="4" t="b">
        <f>AND(((F53 = "")=TRUE), ((E53 = "domain")=TRUE))</f>
        <v>0</v>
      </c>
      <c r="N53" s="4" t="b">
        <f>E53 = "maintainer"</f>
        <v>0</v>
      </c>
      <c r="O53" s="4">
        <f>COUNTIFS(AppRouteQuestions!C2:C152, A53)</f>
        <v>1</v>
      </c>
      <c r="P53" s="4">
        <f>COUNTIFS(AppRouteReferences!C2:C316, A53)</f>
        <v>2</v>
      </c>
      <c r="Q53" s="4" t="b">
        <f>AND(((O53 = 0)=TRUE), ((M53 = FALSE)=TRUE), ((N53 = FALSE)=TRUE), ((I53 &lt;&gt; "index")=TRUE))</f>
        <v>0</v>
      </c>
      <c r="R53" s="3" t="s">
        <v>1878</v>
      </c>
    </row>
    <row r="54">
      <c r="A54" s="3" t="s">
        <v>8706</v>
      </c>
      <c r="B54" s="4" t="str">
        <f>D54 &amp; " — " &amp; C54</f>
        <v>Approved Before Sending — /communications-manager/governance/approval-authority</v>
      </c>
      <c r="C54" s="3" t="s">
        <v>8707</v>
      </c>
      <c r="D54" s="3" t="s">
        <v>8708</v>
      </c>
      <c r="E54" s="3" t="s">
        <v>8454</v>
      </c>
      <c r="F54" s="3" t="s">
        <v>224</v>
      </c>
      <c r="G54" s="3" t="s">
        <v>8424</v>
      </c>
      <c r="H54" s="3">
        <v>1</v>
      </c>
      <c r="I54" s="3" t="s">
        <v>8461</v>
      </c>
      <c r="J54" s="3" t="s">
        <v>8709</v>
      </c>
      <c r="K54" s="3" t="s">
        <v>8710</v>
      </c>
      <c r="L54" s="4" t="b">
        <f>G54 &lt;&gt; ""</f>
        <v>1</v>
      </c>
      <c r="M54" s="4" t="b">
        <f>AND(((F54 = "")=TRUE), ((E54 = "domain")=TRUE))</f>
        <v>0</v>
      </c>
      <c r="N54" s="4" t="b">
        <f>E54 = "maintainer"</f>
        <v>0</v>
      </c>
      <c r="O54" s="4">
        <f>COUNTIFS(AppRouteQuestions!C2:C152, A54)</f>
        <v>1</v>
      </c>
      <c r="P54" s="4">
        <f>COUNTIFS(AppRouteReferences!C2:C316, A54)</f>
        <v>2</v>
      </c>
      <c r="Q54" s="4" t="b">
        <f>AND(((O54 = 0)=TRUE), ((M54 = FALSE)=TRUE), ((N54 = FALSE)=TRUE), ((I54 &lt;&gt; "index")=TRUE))</f>
        <v>0</v>
      </c>
      <c r="R54" s="3" t="s">
        <v>1878</v>
      </c>
    </row>
    <row r="55">
      <c r="A55" s="3" t="s">
        <v>8711</v>
      </c>
      <c r="B55" s="4" t="str">
        <f>D55 &amp; " — " &amp; C55</f>
        <v>Edited After I Approved — /communications-manager/governance/template-drift</v>
      </c>
      <c r="C55" s="3" t="s">
        <v>8712</v>
      </c>
      <c r="D55" s="3" t="s">
        <v>8713</v>
      </c>
      <c r="E55" s="3" t="s">
        <v>8454</v>
      </c>
      <c r="F55" s="3" t="s">
        <v>224</v>
      </c>
      <c r="G55" s="3" t="s">
        <v>8424</v>
      </c>
      <c r="H55" s="3">
        <v>2</v>
      </c>
      <c r="I55" s="3" t="s">
        <v>8461</v>
      </c>
      <c r="J55" s="3" t="s">
        <v>2096</v>
      </c>
      <c r="K55" s="3" t="s">
        <v>8714</v>
      </c>
      <c r="L55" s="4" t="b">
        <f>G55 &lt;&gt; ""</f>
        <v>1</v>
      </c>
      <c r="M55" s="4" t="b">
        <f>AND(((F55 = "")=TRUE), ((E55 = "domain")=TRUE))</f>
        <v>0</v>
      </c>
      <c r="N55" s="4" t="b">
        <f>E55 = "maintainer"</f>
        <v>0</v>
      </c>
      <c r="O55" s="4">
        <f>COUNTIFS(AppRouteQuestions!C2:C152, A55)</f>
        <v>1</v>
      </c>
      <c r="P55" s="4">
        <f>COUNTIFS(AppRouteReferences!C2:C316, A55)</f>
        <v>2</v>
      </c>
      <c r="Q55" s="4" t="b">
        <f>AND(((O55 = 0)=TRUE), ((M55 = FALSE)=TRUE), ((N55 = FALSE)=TRUE), ((I55 &lt;&gt; "index")=TRUE))</f>
        <v>0</v>
      </c>
      <c r="R55" s="3" t="s">
        <v>1878</v>
      </c>
    </row>
    <row r="56">
      <c r="A56" s="3" t="s">
        <v>8715</v>
      </c>
      <c r="B56" s="4" t="str">
        <f>D56 &amp; " — " &amp; C56</f>
        <v>Freeze What I Approved — /communications-manager/governance/frozen-approval/:deliveryId</v>
      </c>
      <c r="C56" s="3" t="s">
        <v>8716</v>
      </c>
      <c r="D56" s="3" t="s">
        <v>8717</v>
      </c>
      <c r="E56" s="3" t="s">
        <v>8454</v>
      </c>
      <c r="F56" s="3" t="s">
        <v>224</v>
      </c>
      <c r="G56" s="3" t="s">
        <v>8424</v>
      </c>
      <c r="H56" s="3">
        <v>3</v>
      </c>
      <c r="I56" s="3" t="s">
        <v>8512</v>
      </c>
      <c r="J56" s="3" t="s">
        <v>8718</v>
      </c>
      <c r="K56" s="3" t="s">
        <v>8719</v>
      </c>
      <c r="L56" s="4" t="b">
        <f>G56 &lt;&gt; ""</f>
        <v>1</v>
      </c>
      <c r="M56" s="4" t="b">
        <f>AND(((F56 = "")=TRUE), ((E56 = "domain")=TRUE))</f>
        <v>0</v>
      </c>
      <c r="N56" s="4" t="b">
        <f>E56 = "maintainer"</f>
        <v>0</v>
      </c>
      <c r="O56" s="4">
        <f>COUNTIFS(AppRouteQuestions!C2:C152, A56)</f>
        <v>1</v>
      </c>
      <c r="P56" s="4">
        <f>COUNTIFS(AppRouteReferences!C2:C316, A56)</f>
        <v>3</v>
      </c>
      <c r="Q56" s="4" t="b">
        <f>AND(((O56 = 0)=TRUE), ((M56 = FALSE)=TRUE), ((N56 = FALSE)=TRUE), ((I56 &lt;&gt; "index")=TRUE))</f>
        <v>0</v>
      </c>
      <c r="R56" s="3" t="s">
        <v>1878</v>
      </c>
    </row>
    <row r="57">
      <c r="A57" s="3" t="s">
        <v>8720</v>
      </c>
      <c r="B57" s="4" t="str">
        <f>D57 &amp; " — " &amp; C57</f>
        <v>Opt-Out Text — /communications-manager/compliance/optout</v>
      </c>
      <c r="C57" s="3" t="s">
        <v>8721</v>
      </c>
      <c r="D57" s="3" t="s">
        <v>8722</v>
      </c>
      <c r="E57" s="3" t="s">
        <v>8454</v>
      </c>
      <c r="F57" s="3" t="s">
        <v>224</v>
      </c>
      <c r="G57" s="3" t="s">
        <v>8429</v>
      </c>
      <c r="H57" s="3">
        <v>1</v>
      </c>
      <c r="I57" s="3" t="s">
        <v>8461</v>
      </c>
      <c r="J57" s="3" t="s">
        <v>2088</v>
      </c>
      <c r="K57" s="3" t="s">
        <v>8723</v>
      </c>
      <c r="L57" s="4" t="b">
        <f>G57 &lt;&gt; ""</f>
        <v>1</v>
      </c>
      <c r="M57" s="4" t="b">
        <f>AND(((F57 = "")=TRUE), ((E57 = "domain")=TRUE))</f>
        <v>0</v>
      </c>
      <c r="N57" s="4" t="b">
        <f>E57 = "maintainer"</f>
        <v>0</v>
      </c>
      <c r="O57" s="4">
        <f>COUNTIFS(AppRouteQuestions!C2:C152, A57)</f>
        <v>1</v>
      </c>
      <c r="P57" s="4">
        <f>COUNTIFS(AppRouteReferences!C2:C316, A57)</f>
        <v>2</v>
      </c>
      <c r="Q57" s="4" t="b">
        <f>AND(((O57 = 0)=TRUE), ((M57 = FALSE)=TRUE), ((N57 = FALSE)=TRUE), ((I57 &lt;&gt; "index")=TRUE))</f>
        <v>0</v>
      </c>
      <c r="R57" s="3" t="s">
        <v>1878</v>
      </c>
    </row>
    <row r="58">
      <c r="A58" s="3" t="s">
        <v>8724</v>
      </c>
      <c r="B58" s="4" t="str">
        <f>D58 &amp; " — " &amp; C58</f>
        <v>Oversized SMS — /communications-manager/compliance/sms-limits</v>
      </c>
      <c r="C58" s="3" t="s">
        <v>8725</v>
      </c>
      <c r="D58" s="3" t="s">
        <v>8726</v>
      </c>
      <c r="E58" s="3" t="s">
        <v>8454</v>
      </c>
      <c r="F58" s="3" t="s">
        <v>224</v>
      </c>
      <c r="G58" s="3" t="s">
        <v>8429</v>
      </c>
      <c r="H58" s="3">
        <v>2</v>
      </c>
      <c r="I58" s="3" t="s">
        <v>8461</v>
      </c>
      <c r="J58" s="3" t="s">
        <v>2080</v>
      </c>
      <c r="K58" s="3" t="s">
        <v>8727</v>
      </c>
      <c r="L58" s="4" t="b">
        <f>G58 &lt;&gt; ""</f>
        <v>1</v>
      </c>
      <c r="M58" s="4" t="b">
        <f>AND(((F58 = "")=TRUE), ((E58 = "domain")=TRUE))</f>
        <v>0</v>
      </c>
      <c r="N58" s="4" t="b">
        <f>E58 = "maintainer"</f>
        <v>0</v>
      </c>
      <c r="O58" s="4">
        <f>COUNTIFS(AppRouteQuestions!C2:C152, A58)</f>
        <v>1</v>
      </c>
      <c r="P58" s="4">
        <f>COUNTIFS(AppRouteReferences!C2:C316, A58)</f>
        <v>2</v>
      </c>
      <c r="Q58" s="4" t="b">
        <f>AND(((O58 = 0)=TRUE), ((M58 = FALSE)=TRUE), ((N58 = FALSE)=TRUE), ((I58 &lt;&gt; "index")=TRUE))</f>
        <v>0</v>
      </c>
      <c r="R58" s="3" t="s">
        <v>1878</v>
      </c>
    </row>
    <row r="59">
      <c r="A59" s="3" t="s">
        <v>8728</v>
      </c>
      <c r="B59" s="4" t="str">
        <f>D59 &amp; " — " &amp; C59</f>
        <v>Why Nobody Answered — /communications-manager/audience/engagement</v>
      </c>
      <c r="C59" s="3" t="s">
        <v>8729</v>
      </c>
      <c r="D59" s="3" t="s">
        <v>8730</v>
      </c>
      <c r="E59" s="3" t="s">
        <v>8454</v>
      </c>
      <c r="F59" s="3" t="s">
        <v>224</v>
      </c>
      <c r="G59" s="3" t="s">
        <v>8427</v>
      </c>
      <c r="H59" s="3">
        <v>1</v>
      </c>
      <c r="I59" s="3" t="s">
        <v>8461</v>
      </c>
      <c r="J59" s="3" t="s">
        <v>8731</v>
      </c>
      <c r="K59" s="3" t="s">
        <v>8732</v>
      </c>
      <c r="L59" s="4" t="b">
        <f>G59 &lt;&gt; ""</f>
        <v>1</v>
      </c>
      <c r="M59" s="4" t="b">
        <f>AND(((F59 = "")=TRUE), ((E59 = "domain")=TRUE))</f>
        <v>0</v>
      </c>
      <c r="N59" s="4" t="b">
        <f>E59 = "maintainer"</f>
        <v>0</v>
      </c>
      <c r="O59" s="4">
        <f>COUNTIFS(AppRouteQuestions!C2:C152, A59)</f>
        <v>1</v>
      </c>
      <c r="P59" s="4">
        <f>COUNTIFS(AppRouteReferences!C2:C316, A59)</f>
        <v>2</v>
      </c>
      <c r="Q59" s="4" t="b">
        <f>AND(((O59 = 0)=TRUE), ((M59 = FALSE)=TRUE), ((N59 = FALSE)=TRUE), ((I59 &lt;&gt; "index")=TRUE))</f>
        <v>0</v>
      </c>
      <c r="R59" s="3" t="s">
        <v>1878</v>
      </c>
    </row>
    <row r="60">
      <c r="A60" s="3" t="s">
        <v>8733</v>
      </c>
      <c r="B60" s="4" t="str">
        <f>D60 &amp; " — " &amp; C60</f>
        <v>Correctly Refused, Then Forgotten — /communications-manager/audience/suppression</v>
      </c>
      <c r="C60" s="3" t="s">
        <v>8734</v>
      </c>
      <c r="D60" s="3" t="s">
        <v>8735</v>
      </c>
      <c r="E60" s="3" t="s">
        <v>8454</v>
      </c>
      <c r="F60" s="3" t="s">
        <v>224</v>
      </c>
      <c r="G60" s="3" t="s">
        <v>8427</v>
      </c>
      <c r="H60" s="3">
        <v>2</v>
      </c>
      <c r="I60" s="3" t="s">
        <v>8461</v>
      </c>
      <c r="J60" s="3" t="s">
        <v>8736</v>
      </c>
      <c r="K60" s="3" t="s">
        <v>8737</v>
      </c>
      <c r="L60" s="4" t="b">
        <f>G60 &lt;&gt; ""</f>
        <v>1</v>
      </c>
      <c r="M60" s="4" t="b">
        <f>AND(((F60 = "")=TRUE), ((E60 = "domain")=TRUE))</f>
        <v>0</v>
      </c>
      <c r="N60" s="4" t="b">
        <f>E60 = "maintainer"</f>
        <v>0</v>
      </c>
      <c r="O60" s="4">
        <f>COUNTIFS(AppRouteQuestions!C2:C152, A60)</f>
        <v>1</v>
      </c>
      <c r="P60" s="4">
        <f>COUNTIFS(AppRouteReferences!C2:C316, A60)</f>
        <v>2</v>
      </c>
      <c r="Q60" s="4" t="b">
        <f>AND(((O60 = 0)=TRUE), ((M60 = FALSE)=TRUE), ((N60 = FALSE)=TRUE), ((I60 &lt;&gt; "index")=TRUE))</f>
        <v>0</v>
      </c>
      <c r="R60" s="3" t="s">
        <v>1878</v>
      </c>
    </row>
    <row r="61">
      <c r="A61" s="3" t="s">
        <v>8738</v>
      </c>
      <c r="B61" s="4" t="str">
        <f>D61 &amp; " — " &amp; C61</f>
        <v>Refused, or Overridden — /communications-manager/governance/authorization-override</v>
      </c>
      <c r="C61" s="3" t="s">
        <v>8739</v>
      </c>
      <c r="D61" s="3" t="s">
        <v>8740</v>
      </c>
      <c r="E61" s="3" t="s">
        <v>8454</v>
      </c>
      <c r="F61" s="3" t="s">
        <v>224</v>
      </c>
      <c r="G61" s="3" t="s">
        <v>8424</v>
      </c>
      <c r="H61" s="3">
        <v>4</v>
      </c>
      <c r="I61" s="3" t="s">
        <v>8461</v>
      </c>
      <c r="J61" s="3" t="s">
        <v>8741</v>
      </c>
      <c r="K61" s="3" t="s">
        <v>8742</v>
      </c>
      <c r="L61" s="4" t="b">
        <f>G61 &lt;&gt; ""</f>
        <v>1</v>
      </c>
      <c r="M61" s="4" t="b">
        <f>AND(((F61 = "")=TRUE), ((E61 = "domain")=TRUE))</f>
        <v>0</v>
      </c>
      <c r="N61" s="4" t="b">
        <f>E61 = "maintainer"</f>
        <v>0</v>
      </c>
      <c r="O61" s="4">
        <f>COUNTIFS(AppRouteQuestions!C2:C152, A61)</f>
        <v>1</v>
      </c>
      <c r="P61" s="4">
        <f>COUNTIFS(AppRouteReferences!C2:C316, A61)</f>
        <v>2</v>
      </c>
      <c r="Q61" s="4" t="b">
        <f>AND(((O61 = 0)=TRUE), ((M61 = FALSE)=TRUE), ((N61 = FALSE)=TRUE), ((I61 &lt;&gt; "index")=TRUE))</f>
        <v>0</v>
      </c>
      <c r="R61" s="3" t="s">
        <v>1878</v>
      </c>
    </row>
    <row r="62">
      <c r="A62" s="3" t="s">
        <v>8743</v>
      </c>
      <c r="B62" s="4" t="str">
        <f>D62 &amp; " — " &amp; C62</f>
        <v>Pre-Flight — /close-automation/readiness</v>
      </c>
      <c r="C62" s="3" t="s">
        <v>8744</v>
      </c>
      <c r="D62" s="3" t="s">
        <v>8745</v>
      </c>
      <c r="E62" s="3" t="s">
        <v>8454</v>
      </c>
      <c r="F62" s="3" t="s">
        <v>228</v>
      </c>
      <c r="G62" s="3" t="s">
        <v>8431</v>
      </c>
      <c r="H62" s="3">
        <v>1</v>
      </c>
      <c r="I62" s="3" t="s">
        <v>8455</v>
      </c>
      <c r="J62" s="3" t="s">
        <v>8746</v>
      </c>
      <c r="K62" s="3" t="s">
        <v>8747</v>
      </c>
      <c r="L62" s="4" t="b">
        <f>G62 &lt;&gt; ""</f>
        <v>1</v>
      </c>
      <c r="M62" s="4" t="b">
        <f>AND(((F62 = "")=TRUE), ((E62 = "domain")=TRUE))</f>
        <v>0</v>
      </c>
      <c r="N62" s="4" t="b">
        <f>E62 = "maintainer"</f>
        <v>0</v>
      </c>
      <c r="O62" s="4">
        <f>COUNTIFS(AppRouteQuestions!C2:C152, A62)</f>
        <v>4</v>
      </c>
      <c r="P62" s="4">
        <f>COUNTIFS(AppRouteReferences!C2:C316, A62)</f>
        <v>3</v>
      </c>
      <c r="Q62" s="4" t="b">
        <f>AND(((O62 = 0)=TRUE), ((M62 = FALSE)=TRUE), ((N62 = FALSE)=TRUE), ((I62 &lt;&gt; "index")=TRUE))</f>
        <v>0</v>
      </c>
      <c r="R62" s="3" t="s">
        <v>1878</v>
      </c>
    </row>
    <row r="63">
      <c r="A63" s="3" t="s">
        <v>8748</v>
      </c>
      <c r="B63" s="4" t="str">
        <f>D63 &amp; " — " &amp; C63</f>
        <v>Am I Authorized — /close-automation/readiness/authority</v>
      </c>
      <c r="C63" s="3" t="s">
        <v>8749</v>
      </c>
      <c r="D63" s="3" t="s">
        <v>8750</v>
      </c>
      <c r="E63" s="3" t="s">
        <v>8454</v>
      </c>
      <c r="F63" s="3" t="s">
        <v>228</v>
      </c>
      <c r="G63" s="3" t="s">
        <v>8431</v>
      </c>
      <c r="H63" s="3">
        <v>2</v>
      </c>
      <c r="I63" s="3" t="s">
        <v>8461</v>
      </c>
      <c r="J63" s="3" t="s">
        <v>8751</v>
      </c>
      <c r="K63" s="3" t="s">
        <v>8752</v>
      </c>
      <c r="L63" s="4" t="b">
        <f>G63 &lt;&gt; ""</f>
        <v>1</v>
      </c>
      <c r="M63" s="4" t="b">
        <f>AND(((F63 = "")=TRUE), ((E63 = "domain")=TRUE))</f>
        <v>0</v>
      </c>
      <c r="N63" s="4" t="b">
        <f>E63 = "maintainer"</f>
        <v>0</v>
      </c>
      <c r="O63" s="4">
        <f>COUNTIFS(AppRouteQuestions!C2:C152, A63)</f>
        <v>1</v>
      </c>
      <c r="P63" s="4">
        <f>COUNTIFS(AppRouteReferences!C2:C316, A63)</f>
        <v>2</v>
      </c>
      <c r="Q63" s="4" t="b">
        <f>AND(((O63 = 0)=TRUE), ((M63 = FALSE)=TRUE), ((N63 = FALSE)=TRUE), ((I63 &lt;&gt; "index")=TRUE))</f>
        <v>0</v>
      </c>
      <c r="R63" s="3" t="s">
        <v>1878</v>
      </c>
    </row>
    <row r="64">
      <c r="A64" s="3" t="s">
        <v>8753</v>
      </c>
      <c r="B64" s="4" t="str">
        <f>D64 &amp; " — " &amp; C64</f>
        <v>Are My Inputs Fresh — /close-automation/readiness/input-freshness</v>
      </c>
      <c r="C64" s="3" t="s">
        <v>8754</v>
      </c>
      <c r="D64" s="3" t="s">
        <v>8755</v>
      </c>
      <c r="E64" s="3" t="s">
        <v>8454</v>
      </c>
      <c r="F64" s="3" t="s">
        <v>228</v>
      </c>
      <c r="G64" s="3" t="s">
        <v>8431</v>
      </c>
      <c r="H64" s="3">
        <v>3</v>
      </c>
      <c r="I64" s="3" t="s">
        <v>8461</v>
      </c>
      <c r="J64" s="3" t="s">
        <v>8756</v>
      </c>
      <c r="K64" s="3" t="s">
        <v>8757</v>
      </c>
      <c r="L64" s="4" t="b">
        <f>G64 &lt;&gt; ""</f>
        <v>1</v>
      </c>
      <c r="M64" s="4" t="b">
        <f>AND(((F64 = "")=TRUE), ((E64 = "domain")=TRUE))</f>
        <v>0</v>
      </c>
      <c r="N64" s="4" t="b">
        <f>E64 = "maintainer"</f>
        <v>0</v>
      </c>
      <c r="O64" s="4">
        <f>COUNTIFS(AppRouteQuestions!C2:C152, A64)</f>
        <v>1</v>
      </c>
      <c r="P64" s="4">
        <f>COUNTIFS(AppRouteReferences!C2:C316, A64)</f>
        <v>2</v>
      </c>
      <c r="Q64" s="4" t="b">
        <f>AND(((O64 = 0)=TRUE), ((M64 = FALSE)=TRUE), ((N64 = FALSE)=TRUE), ((I64 &lt;&gt; "index")=TRUE))</f>
        <v>0</v>
      </c>
      <c r="R64" s="3" t="s">
        <v>1878</v>
      </c>
    </row>
    <row r="65">
      <c r="A65" s="3" t="s">
        <v>8758</v>
      </c>
      <c r="B65" s="4" t="str">
        <f>D65 &amp; " — " &amp; C65</f>
        <v>Controls Scored — /close-automation/readiness/blocking-controls</v>
      </c>
      <c r="C65" s="3" t="s">
        <v>8759</v>
      </c>
      <c r="D65" s="3" t="s">
        <v>8760</v>
      </c>
      <c r="E65" s="3" t="s">
        <v>8454</v>
      </c>
      <c r="F65" s="3" t="s">
        <v>228</v>
      </c>
      <c r="G65" s="3" t="s">
        <v>8431</v>
      </c>
      <c r="H65" s="3">
        <v>4</v>
      </c>
      <c r="I65" s="3" t="s">
        <v>8461</v>
      </c>
      <c r="J65" s="3" t="s">
        <v>8761</v>
      </c>
      <c r="K65" s="3" t="s">
        <v>8762</v>
      </c>
      <c r="L65" s="4" t="b">
        <f>G65 &lt;&gt; ""</f>
        <v>1</v>
      </c>
      <c r="M65" s="4" t="b">
        <f>AND(((F65 = "")=TRUE), ((E65 = "domain")=TRUE))</f>
        <v>0</v>
      </c>
      <c r="N65" s="4" t="b">
        <f>E65 = "maintainer"</f>
        <v>0</v>
      </c>
      <c r="O65" s="4">
        <f>COUNTIFS(AppRouteQuestions!C2:C152, A65)</f>
        <v>1</v>
      </c>
      <c r="P65" s="4">
        <f>COUNTIFS(AppRouteReferences!C2:C316, A65)</f>
        <v>2</v>
      </c>
      <c r="Q65" s="4" t="b">
        <f>AND(((O65 = 0)=TRUE), ((M65 = FALSE)=TRUE), ((N65 = FALSE)=TRUE), ((I65 &lt;&gt; "index")=TRUE))</f>
        <v>0</v>
      </c>
      <c r="R65" s="3" t="s">
        <v>1878</v>
      </c>
    </row>
    <row r="66">
      <c r="A66" s="3" t="s">
        <v>8763</v>
      </c>
      <c r="B66" s="4" t="str">
        <f>D66 &amp; " — " &amp; C66</f>
        <v>Last Run Clean — /close-automation/readiness/last-run</v>
      </c>
      <c r="C66" s="3" t="s">
        <v>8764</v>
      </c>
      <c r="D66" s="3" t="s">
        <v>8765</v>
      </c>
      <c r="E66" s="3" t="s">
        <v>8454</v>
      </c>
      <c r="F66" s="3" t="s">
        <v>228</v>
      </c>
      <c r="G66" s="3" t="s">
        <v>8431</v>
      </c>
      <c r="H66" s="3">
        <v>5</v>
      </c>
      <c r="I66" s="3" t="s">
        <v>8461</v>
      </c>
      <c r="J66" s="3" t="s">
        <v>2128</v>
      </c>
      <c r="K66" s="3" t="s">
        <v>8766</v>
      </c>
      <c r="L66" s="4" t="b">
        <f>G66 &lt;&gt; ""</f>
        <v>1</v>
      </c>
      <c r="M66" s="4" t="b">
        <f>AND(((F66 = "")=TRUE), ((E66 = "domain")=TRUE))</f>
        <v>0</v>
      </c>
      <c r="N66" s="4" t="b">
        <f>E66 = "maintainer"</f>
        <v>0</v>
      </c>
      <c r="O66" s="4">
        <f>COUNTIFS(AppRouteQuestions!C2:C152, A66)</f>
        <v>1</v>
      </c>
      <c r="P66" s="4">
        <f>COUNTIFS(AppRouteReferences!C2:C316, A66)</f>
        <v>2</v>
      </c>
      <c r="Q66" s="4" t="b">
        <f>AND(((O66 = 0)=TRUE), ((M66 = FALSE)=TRUE), ((N66 = FALSE)=TRUE), ((I66 &lt;&gt; "index")=TRUE))</f>
        <v>0</v>
      </c>
      <c r="R66" s="3" t="s">
        <v>1878</v>
      </c>
    </row>
    <row r="67">
      <c r="A67" s="3" t="s">
        <v>8767</v>
      </c>
      <c r="B67" s="4" t="str">
        <f>D67 &amp; " — " &amp; C67</f>
        <v>Am I Drifting — /close-automation/self-check/override-drift</v>
      </c>
      <c r="C67" s="3" t="s">
        <v>8768</v>
      </c>
      <c r="D67" s="3" t="s">
        <v>8769</v>
      </c>
      <c r="E67" s="3" t="s">
        <v>8454</v>
      </c>
      <c r="F67" s="3" t="s">
        <v>228</v>
      </c>
      <c r="G67" s="3" t="s">
        <v>8433</v>
      </c>
      <c r="H67" s="3">
        <v>1</v>
      </c>
      <c r="I67" s="3" t="s">
        <v>8461</v>
      </c>
      <c r="J67" s="3" t="s">
        <v>8770</v>
      </c>
      <c r="K67" s="3" t="s">
        <v>8771</v>
      </c>
      <c r="L67" s="4" t="b">
        <f>G67 &lt;&gt; ""</f>
        <v>1</v>
      </c>
      <c r="M67" s="4" t="b">
        <f>AND(((F67 = "")=TRUE), ((E67 = "domain")=TRUE))</f>
        <v>0</v>
      </c>
      <c r="N67" s="4" t="b">
        <f>E67 = "maintainer"</f>
        <v>0</v>
      </c>
      <c r="O67" s="4">
        <f>COUNTIFS(AppRouteQuestions!C2:C152, A67)</f>
        <v>1</v>
      </c>
      <c r="P67" s="4">
        <f>COUNTIFS(AppRouteReferences!C2:C316, A67)</f>
        <v>2</v>
      </c>
      <c r="Q67" s="4" t="b">
        <f>AND(((O67 = 0)=TRUE), ((M67 = FALSE)=TRUE), ((N67 = FALSE)=TRUE), ((I67 &lt;&gt; "index")=TRUE))</f>
        <v>0</v>
      </c>
      <c r="R67" s="3" t="s">
        <v>1878</v>
      </c>
    </row>
    <row r="68">
      <c r="A68" s="3" t="s">
        <v>8772</v>
      </c>
      <c r="B68" s="4" t="str">
        <f>D68 &amp; " — " &amp; C68</f>
        <v>Am I Fit to Decide — /variance-review-agent/self-check</v>
      </c>
      <c r="C68" s="3" t="s">
        <v>8773</v>
      </c>
      <c r="D68" s="3" t="s">
        <v>8774</v>
      </c>
      <c r="E68" s="3" t="s">
        <v>8454</v>
      </c>
      <c r="F68" s="3" t="s">
        <v>232</v>
      </c>
      <c r="G68" s="3" t="s">
        <v>8433</v>
      </c>
      <c r="H68" s="3">
        <v>1</v>
      </c>
      <c r="I68" s="3" t="s">
        <v>8455</v>
      </c>
      <c r="J68" s="3" t="s">
        <v>8775</v>
      </c>
      <c r="K68" s="3" t="s">
        <v>8776</v>
      </c>
      <c r="L68" s="4" t="b">
        <f>G68 &lt;&gt; ""</f>
        <v>1</v>
      </c>
      <c r="M68" s="4" t="b">
        <f>AND(((F68 = "")=TRUE), ((E68 = "domain")=TRUE))</f>
        <v>0</v>
      </c>
      <c r="N68" s="4" t="b">
        <f>E68 = "maintainer"</f>
        <v>0</v>
      </c>
      <c r="O68" s="4">
        <f>COUNTIFS(AppRouteQuestions!C2:C152, A68)</f>
        <v>3</v>
      </c>
      <c r="P68" s="4">
        <f>COUNTIFS(AppRouteReferences!C2:C316, A68)</f>
        <v>3</v>
      </c>
      <c r="Q68" s="4" t="b">
        <f>AND(((O68 = 0)=TRUE), ((M68 = FALSE)=TRUE), ((N68 = FALSE)=TRUE), ((I68 &lt;&gt; "index")=TRUE))</f>
        <v>0</v>
      </c>
      <c r="R68" s="3" t="s">
        <v>1878</v>
      </c>
    </row>
    <row r="69">
      <c r="A69" s="3" t="s">
        <v>8777</v>
      </c>
      <c r="B69" s="4" t="str">
        <f>D69 &amp; " — " &amp; C69</f>
        <v>By What Authority — /variance-review-agent/self-check/authority</v>
      </c>
      <c r="C69" s="3" t="s">
        <v>8778</v>
      </c>
      <c r="D69" s="3" t="s">
        <v>8779</v>
      </c>
      <c r="E69" s="3" t="s">
        <v>8454</v>
      </c>
      <c r="F69" s="3" t="s">
        <v>232</v>
      </c>
      <c r="G69" s="3" t="s">
        <v>8433</v>
      </c>
      <c r="H69" s="3">
        <v>2</v>
      </c>
      <c r="I69" s="3" t="s">
        <v>8461</v>
      </c>
      <c r="J69" s="3" t="s">
        <v>2160</v>
      </c>
      <c r="K69" s="3" t="s">
        <v>8780</v>
      </c>
      <c r="L69" s="4" t="b">
        <f>G69 &lt;&gt; ""</f>
        <v>1</v>
      </c>
      <c r="M69" s="4" t="b">
        <f>AND(((F69 = "")=TRUE), ((E69 = "domain")=TRUE))</f>
        <v>0</v>
      </c>
      <c r="N69" s="4" t="b">
        <f>E69 = "maintainer"</f>
        <v>0</v>
      </c>
      <c r="O69" s="4">
        <f>COUNTIFS(AppRouteQuestions!C2:C152, A69)</f>
        <v>2</v>
      </c>
      <c r="P69" s="4">
        <f>COUNTIFS(AppRouteReferences!C2:C316, A69)</f>
        <v>2</v>
      </c>
      <c r="Q69" s="4" t="b">
        <f>AND(((O69 = 0)=TRUE), ((M69 = FALSE)=TRUE), ((N69 = FALSE)=TRUE), ((I69 &lt;&gt; "index")=TRUE))</f>
        <v>0</v>
      </c>
      <c r="R69" s="3" t="s">
        <v>1878</v>
      </c>
    </row>
    <row r="70">
      <c r="A70" s="3" t="s">
        <v>8781</v>
      </c>
      <c r="B70" s="4" t="str">
        <f>D70 &amp; " — " &amp; C70</f>
        <v>Who Decided a Machine Should Hold This — /variance-review-agent/self-check/handover</v>
      </c>
      <c r="C70" s="3" t="s">
        <v>8782</v>
      </c>
      <c r="D70" s="3" t="s">
        <v>8783</v>
      </c>
      <c r="E70" s="3" t="s">
        <v>8454</v>
      </c>
      <c r="F70" s="3" t="s">
        <v>232</v>
      </c>
      <c r="G70" s="3" t="s">
        <v>8433</v>
      </c>
      <c r="H70" s="3">
        <v>3</v>
      </c>
      <c r="I70" s="3" t="s">
        <v>8461</v>
      </c>
      <c r="J70" s="3" t="s">
        <v>8784</v>
      </c>
      <c r="K70" s="3" t="s">
        <v>8785</v>
      </c>
      <c r="L70" s="4" t="b">
        <f>G70 &lt;&gt; ""</f>
        <v>1</v>
      </c>
      <c r="M70" s="4" t="b">
        <f>AND(((F70 = "")=TRUE), ((E70 = "domain")=TRUE))</f>
        <v>0</v>
      </c>
      <c r="N70" s="4" t="b">
        <f>E70 = "maintainer"</f>
        <v>0</v>
      </c>
      <c r="O70" s="4">
        <f>COUNTIFS(AppRouteQuestions!C2:C152, A70)</f>
        <v>1</v>
      </c>
      <c r="P70" s="4">
        <f>COUNTIFS(AppRouteReferences!C2:C316, A70)</f>
        <v>2</v>
      </c>
      <c r="Q70" s="4" t="b">
        <f>AND(((O70 = 0)=TRUE), ((M70 = FALSE)=TRUE), ((N70 = FALSE)=TRUE), ((I70 &lt;&gt; "index")=TRUE))</f>
        <v>0</v>
      </c>
      <c r="R70" s="3" t="s">
        <v>1878</v>
      </c>
    </row>
    <row r="71">
      <c r="A71" s="3" t="s">
        <v>8786</v>
      </c>
      <c r="B71" s="4" t="str">
        <f>D71 &amp; " — " &amp; C71</f>
        <v>Inside My Boundary — /variance-review-agent/governance/boundary</v>
      </c>
      <c r="C71" s="3" t="s">
        <v>8787</v>
      </c>
      <c r="D71" s="3" t="s">
        <v>8788</v>
      </c>
      <c r="E71" s="3" t="s">
        <v>8454</v>
      </c>
      <c r="F71" s="3" t="s">
        <v>232</v>
      </c>
      <c r="G71" s="3" t="s">
        <v>8424</v>
      </c>
      <c r="H71" s="3">
        <v>1</v>
      </c>
      <c r="I71" s="3" t="s">
        <v>8461</v>
      </c>
      <c r="J71" s="3" t="s">
        <v>8789</v>
      </c>
      <c r="K71" s="3" t="s">
        <v>8790</v>
      </c>
      <c r="L71" s="4" t="b">
        <f>G71 &lt;&gt; ""</f>
        <v>1</v>
      </c>
      <c r="M71" s="4" t="b">
        <f>AND(((F71 = "")=TRUE), ((E71 = "domain")=TRUE))</f>
        <v>0</v>
      </c>
      <c r="N71" s="4" t="b">
        <f>E71 = "maintainer"</f>
        <v>0</v>
      </c>
      <c r="O71" s="4">
        <f>COUNTIFS(AppRouteQuestions!C2:C152, A71)</f>
        <v>1</v>
      </c>
      <c r="P71" s="4">
        <f>COUNTIFS(AppRouteReferences!C2:C316, A71)</f>
        <v>2</v>
      </c>
      <c r="Q71" s="4" t="b">
        <f>AND(((O71 = 0)=TRUE), ((M71 = FALSE)=TRUE), ((N71 = FALSE)=TRUE), ((I71 &lt;&gt; "index")=TRUE))</f>
        <v>0</v>
      </c>
      <c r="R71" s="3" t="s">
        <v>1878</v>
      </c>
    </row>
    <row r="72">
      <c r="A72" s="3" t="s">
        <v>8791</v>
      </c>
      <c r="B72" s="4" t="str">
        <f>D72 &amp; " — " &amp; C72</f>
        <v>My Boundary's Own Validity — /variance-review-agent/governance/boundary-ratification</v>
      </c>
      <c r="C72" s="3" t="s">
        <v>8792</v>
      </c>
      <c r="D72" s="3" t="s">
        <v>8793</v>
      </c>
      <c r="E72" s="3" t="s">
        <v>8454</v>
      </c>
      <c r="F72" s="3" t="s">
        <v>232</v>
      </c>
      <c r="G72" s="3" t="s">
        <v>8424</v>
      </c>
      <c r="H72" s="3">
        <v>2</v>
      </c>
      <c r="I72" s="3" t="s">
        <v>8461</v>
      </c>
      <c r="J72" s="3" t="s">
        <v>8794</v>
      </c>
      <c r="K72" s="3" t="s">
        <v>8795</v>
      </c>
      <c r="L72" s="4" t="b">
        <f>G72 &lt;&gt; ""</f>
        <v>1</v>
      </c>
      <c r="M72" s="4" t="b">
        <f>AND(((F72 = "")=TRUE), ((E72 = "domain")=TRUE))</f>
        <v>0</v>
      </c>
      <c r="N72" s="4" t="b">
        <f>E72 = "maintainer"</f>
        <v>0</v>
      </c>
      <c r="O72" s="4">
        <f>COUNTIFS(AppRouteQuestions!C2:C152, A72)</f>
        <v>1</v>
      </c>
      <c r="P72" s="4">
        <f>COUNTIFS(AppRouteReferences!C2:C316, A72)</f>
        <v>2</v>
      </c>
      <c r="Q72" s="4" t="b">
        <f>AND(((O72 = 0)=TRUE), ((M72 = FALSE)=TRUE), ((N72 = FALSE)=TRUE), ((I72 &lt;&gt; "index")=TRUE))</f>
        <v>0</v>
      </c>
      <c r="R72" s="3" t="s">
        <v>1878</v>
      </c>
    </row>
    <row r="73">
      <c r="A73" s="3" t="s">
        <v>8796</v>
      </c>
      <c r="B73" s="4" t="str">
        <f>D73 &amp; " — " &amp; C73</f>
        <v>Did a Human Confirm — /variance-review-agent/governance/human-confirmation</v>
      </c>
      <c r="C73" s="3" t="s">
        <v>8797</v>
      </c>
      <c r="D73" s="3" t="s">
        <v>8798</v>
      </c>
      <c r="E73" s="3" t="s">
        <v>8454</v>
      </c>
      <c r="F73" s="3" t="s">
        <v>232</v>
      </c>
      <c r="G73" s="3" t="s">
        <v>8424</v>
      </c>
      <c r="H73" s="3">
        <v>3</v>
      </c>
      <c r="I73" s="3" t="s">
        <v>8461</v>
      </c>
      <c r="J73" s="3" t="s">
        <v>8799</v>
      </c>
      <c r="K73" s="3" t="s">
        <v>8800</v>
      </c>
      <c r="L73" s="4" t="b">
        <f>G73 &lt;&gt; ""</f>
        <v>1</v>
      </c>
      <c r="M73" s="4" t="b">
        <f>AND(((F73 = "")=TRUE), ((E73 = "domain")=TRUE))</f>
        <v>0</v>
      </c>
      <c r="N73" s="4" t="b">
        <f>E73 = "maintainer"</f>
        <v>0</v>
      </c>
      <c r="O73" s="4">
        <f>COUNTIFS(AppRouteQuestions!C2:C152, A73)</f>
        <v>1</v>
      </c>
      <c r="P73" s="4">
        <f>COUNTIFS(AppRouteReferences!C2:C316, A73)</f>
        <v>2</v>
      </c>
      <c r="Q73" s="4" t="b">
        <f>AND(((O73 = 0)=TRUE), ((M73 = FALSE)=TRUE), ((N73 = FALSE)=TRUE), ((I73 &lt;&gt; "index")=TRUE))</f>
        <v>0</v>
      </c>
      <c r="R73" s="3" t="s">
        <v>1878</v>
      </c>
    </row>
    <row r="74">
      <c r="A74" s="3" t="s">
        <v>8801</v>
      </c>
      <c r="B74" s="4" t="str">
        <f>D74 &amp; " — " &amp; C74</f>
        <v>Is My Knowledge Current — /variance-review-agent/knowledge/currency</v>
      </c>
      <c r="C74" s="3" t="s">
        <v>8802</v>
      </c>
      <c r="D74" s="3" t="s">
        <v>8803</v>
      </c>
      <c r="E74" s="3" t="s">
        <v>8454</v>
      </c>
      <c r="F74" s="3" t="s">
        <v>232</v>
      </c>
      <c r="G74" s="3" t="s">
        <v>8422</v>
      </c>
      <c r="H74" s="3">
        <v>1</v>
      </c>
      <c r="I74" s="3" t="s">
        <v>8461</v>
      </c>
      <c r="J74" s="3" t="s">
        <v>8804</v>
      </c>
      <c r="K74" s="3" t="s">
        <v>8805</v>
      </c>
      <c r="L74" s="4" t="b">
        <f>G74 &lt;&gt; ""</f>
        <v>1</v>
      </c>
      <c r="M74" s="4" t="b">
        <f>AND(((F74 = "")=TRUE), ((E74 = "domain")=TRUE))</f>
        <v>0</v>
      </c>
      <c r="N74" s="4" t="b">
        <f>E74 = "maintainer"</f>
        <v>0</v>
      </c>
      <c r="O74" s="4">
        <f>COUNTIFS(AppRouteQuestions!C2:C152, A74)</f>
        <v>1</v>
      </c>
      <c r="P74" s="4">
        <f>COUNTIFS(AppRouteReferences!C2:C316, A74)</f>
        <v>2</v>
      </c>
      <c r="Q74" s="4" t="b">
        <f>AND(((O74 = 0)=TRUE), ((M74 = FALSE)=TRUE), ((N74 = FALSE)=TRUE), ((I74 &lt;&gt; "index")=TRUE))</f>
        <v>0</v>
      </c>
      <c r="R74" s="3" t="s">
        <v>1878</v>
      </c>
    </row>
    <row r="75">
      <c r="A75" s="3" t="s">
        <v>8806</v>
      </c>
      <c r="B75" s="4" t="str">
        <f>D75 &amp; " — " &amp; C75</f>
        <v>Better or Worse Than the Human — /variance-review-agent/quality/vs-human-baseline</v>
      </c>
      <c r="C75" s="3" t="s">
        <v>8807</v>
      </c>
      <c r="D75" s="3" t="s">
        <v>8808</v>
      </c>
      <c r="E75" s="3" t="s">
        <v>8454</v>
      </c>
      <c r="F75" s="3" t="s">
        <v>232</v>
      </c>
      <c r="G75" s="3" t="s">
        <v>8435</v>
      </c>
      <c r="H75" s="3">
        <v>1</v>
      </c>
      <c r="I75" s="3" t="s">
        <v>8461</v>
      </c>
      <c r="J75" s="3" t="s">
        <v>8809</v>
      </c>
      <c r="K75" s="3" t="s">
        <v>8810</v>
      </c>
      <c r="L75" s="4" t="b">
        <f>G75 &lt;&gt; ""</f>
        <v>1</v>
      </c>
      <c r="M75" s="4" t="b">
        <f>AND(((F75 = "")=TRUE), ((E75 = "domain")=TRUE))</f>
        <v>0</v>
      </c>
      <c r="N75" s="4" t="b">
        <f>E75 = "maintainer"</f>
        <v>0</v>
      </c>
      <c r="O75" s="4">
        <f>COUNTIFS(AppRouteQuestions!C2:C152, A75)</f>
        <v>2</v>
      </c>
      <c r="P75" s="4">
        <f>COUNTIFS(AppRouteReferences!C2:C316, A75)</f>
        <v>2</v>
      </c>
      <c r="Q75" s="4" t="b">
        <f>AND(((O75 = 0)=TRUE), ((M75 = FALSE)=TRUE), ((N75 = FALSE)=TRUE), ((I75 &lt;&gt; "index")=TRUE))</f>
        <v>0</v>
      </c>
      <c r="R75" s="3" t="s">
        <v>1878</v>
      </c>
    </row>
    <row r="76">
      <c r="A76" s="3" t="s">
        <v>8811</v>
      </c>
      <c r="B76" s="4" t="str">
        <f>D76 &amp; " — " &amp; C76</f>
        <v>Is My Comparison Empty — /variance-review-agent/quality/sample-size</v>
      </c>
      <c r="C76" s="3" t="s">
        <v>8812</v>
      </c>
      <c r="D76" s="3" t="s">
        <v>8813</v>
      </c>
      <c r="E76" s="3" t="s">
        <v>8454</v>
      </c>
      <c r="F76" s="3" t="s">
        <v>232</v>
      </c>
      <c r="G76" s="3" t="s">
        <v>8435</v>
      </c>
      <c r="H76" s="3">
        <v>2</v>
      </c>
      <c r="I76" s="3" t="s">
        <v>8461</v>
      </c>
      <c r="J76" s="3" t="s">
        <v>8814</v>
      </c>
      <c r="K76" s="3" t="s">
        <v>8815</v>
      </c>
      <c r="L76" s="4" t="b">
        <f>G76 &lt;&gt; ""</f>
        <v>1</v>
      </c>
      <c r="M76" s="4" t="b">
        <f>AND(((F76 = "")=TRUE), ((E76 = "domain")=TRUE))</f>
        <v>0</v>
      </c>
      <c r="N76" s="4" t="b">
        <f>E76 = "maintainer"</f>
        <v>0</v>
      </c>
      <c r="O76" s="4">
        <f>COUNTIFS(AppRouteQuestions!C2:C152, A76)</f>
        <v>1</v>
      </c>
      <c r="P76" s="4">
        <f>COUNTIFS(AppRouteReferences!C2:C316, A76)</f>
        <v>1</v>
      </c>
      <c r="Q76" s="4" t="b">
        <f>AND(((O76 = 0)=TRUE), ((M76 = FALSE)=TRUE), ((N76 = FALSE)=TRUE), ((I76 &lt;&gt; "index")=TRUE))</f>
        <v>0</v>
      </c>
      <c r="R76" s="3" t="s">
        <v>1878</v>
      </c>
    </row>
    <row r="77">
      <c r="A77" s="3" t="s">
        <v>8816</v>
      </c>
      <c r="B77" s="4" t="str">
        <f>D77 &amp; " — " &amp; C77</f>
        <v>Correction or Judgment — /variance-review-agent/quality/override-signal</v>
      </c>
      <c r="C77" s="3" t="s">
        <v>8817</v>
      </c>
      <c r="D77" s="3" t="s">
        <v>8818</v>
      </c>
      <c r="E77" s="3" t="s">
        <v>8454</v>
      </c>
      <c r="F77" s="3" t="s">
        <v>232</v>
      </c>
      <c r="G77" s="3" t="s">
        <v>8435</v>
      </c>
      <c r="H77" s="3">
        <v>3</v>
      </c>
      <c r="I77" s="3" t="s">
        <v>8461</v>
      </c>
      <c r="J77" s="3" t="s">
        <v>8819</v>
      </c>
      <c r="K77" s="3" t="s">
        <v>8820</v>
      </c>
      <c r="L77" s="4" t="b">
        <f>G77 &lt;&gt; ""</f>
        <v>1</v>
      </c>
      <c r="M77" s="4" t="b">
        <f>AND(((F77 = "")=TRUE), ((E77 = "domain")=TRUE))</f>
        <v>0</v>
      </c>
      <c r="N77" s="4" t="b">
        <f>E77 = "maintainer"</f>
        <v>0</v>
      </c>
      <c r="O77" s="4">
        <f>COUNTIFS(AppRouteQuestions!C2:C152, A77)</f>
        <v>1</v>
      </c>
      <c r="P77" s="4">
        <f>COUNTIFS(AppRouteReferences!C2:C316, A77)</f>
        <v>2</v>
      </c>
      <c r="Q77" s="4" t="b">
        <f>AND(((O77 = 0)=TRUE), ((M77 = FALSE)=TRUE), ((N77 = FALSE)=TRUE), ((I77 &lt;&gt; "index")=TRUE))</f>
        <v>0</v>
      </c>
      <c r="R77" s="3" t="s">
        <v>1878</v>
      </c>
    </row>
    <row r="78">
      <c r="A78" s="3" t="s">
        <v>8821</v>
      </c>
      <c r="B78" s="4" t="str">
        <f>D78 &amp; " — " &amp; C78</f>
        <v>What Would Make Me Stop — /variance-review-agent/self-check/stop-condition</v>
      </c>
      <c r="C78" s="3" t="s">
        <v>8822</v>
      </c>
      <c r="D78" s="3" t="s">
        <v>8823</v>
      </c>
      <c r="E78" s="3" t="s">
        <v>8454</v>
      </c>
      <c r="F78" s="3" t="s">
        <v>232</v>
      </c>
      <c r="G78" s="3" t="s">
        <v>8433</v>
      </c>
      <c r="H78" s="3">
        <v>4</v>
      </c>
      <c r="I78" s="3" t="s">
        <v>8461</v>
      </c>
      <c r="J78" s="3" t="s">
        <v>8824</v>
      </c>
      <c r="K78" s="3" t="s">
        <v>8825</v>
      </c>
      <c r="L78" s="4" t="b">
        <f>G78 &lt;&gt; ""</f>
        <v>1</v>
      </c>
      <c r="M78" s="4" t="b">
        <f>AND(((F78 = "")=TRUE), ((E78 = "domain")=TRUE))</f>
        <v>0</v>
      </c>
      <c r="N78" s="4" t="b">
        <f>E78 = "maintainer"</f>
        <v>0</v>
      </c>
      <c r="O78" s="4">
        <f>COUNTIFS(AppRouteQuestions!C2:C152, A78)</f>
        <v>1</v>
      </c>
      <c r="P78" s="4">
        <f>COUNTIFS(AppRouteReferences!C2:C316, A78)</f>
        <v>2</v>
      </c>
      <c r="Q78" s="4" t="b">
        <f>AND(((O78 = 0)=TRUE), ((M78 = FALSE)=TRUE), ((N78 = FALSE)=TRUE), ((I78 &lt;&gt; "index")=TRUE))</f>
        <v>0</v>
      </c>
      <c r="R78" s="3" t="s">
        <v>1878</v>
      </c>
    </row>
    <row r="79">
      <c r="A79" s="3" t="s">
        <v>8826</v>
      </c>
      <c r="B79" s="4" t="str">
        <f>D79 &amp; " — " &amp; C79</f>
        <v>May I Draft — /policy-drafting-agent/readiness</v>
      </c>
      <c r="C79" s="3" t="s">
        <v>8827</v>
      </c>
      <c r="D79" s="3" t="s">
        <v>8828</v>
      </c>
      <c r="E79" s="3" t="s">
        <v>8454</v>
      </c>
      <c r="F79" s="3" t="s">
        <v>236</v>
      </c>
      <c r="G79" s="3" t="s">
        <v>8431</v>
      </c>
      <c r="H79" s="3">
        <v>1</v>
      </c>
      <c r="I79" s="3" t="s">
        <v>8455</v>
      </c>
      <c r="J79" s="3" t="s">
        <v>8829</v>
      </c>
      <c r="K79" s="3" t="s">
        <v>8830</v>
      </c>
      <c r="L79" s="4" t="b">
        <f>G79 &lt;&gt; ""</f>
        <v>1</v>
      </c>
      <c r="M79" s="4" t="b">
        <f>AND(((F79 = "")=TRUE), ((E79 = "domain")=TRUE))</f>
        <v>0</v>
      </c>
      <c r="N79" s="4" t="b">
        <f>E79 = "maintainer"</f>
        <v>0</v>
      </c>
      <c r="O79" s="4">
        <f>COUNTIFS(AppRouteQuestions!C2:C152, A79)</f>
        <v>2</v>
      </c>
      <c r="P79" s="4">
        <f>COUNTIFS(AppRouteReferences!C2:C316, A79)</f>
        <v>2</v>
      </c>
      <c r="Q79" s="4" t="b">
        <f>AND(((O79 = 0)=TRUE), ((M79 = FALSE)=TRUE), ((N79 = FALSE)=TRUE), ((I79 &lt;&gt; "index")=TRUE))</f>
        <v>0</v>
      </c>
      <c r="R79" s="3" t="s">
        <v>1878</v>
      </c>
    </row>
    <row r="80">
      <c r="A80" s="3" t="s">
        <v>8831</v>
      </c>
      <c r="B80" s="4" t="str">
        <f>D80 &amp; " — " &amp; C80</f>
        <v>Approved Sources — /policy-drafting-agent/readiness/sources</v>
      </c>
      <c r="C80" s="3" t="s">
        <v>8832</v>
      </c>
      <c r="D80" s="3" t="s">
        <v>8833</v>
      </c>
      <c r="E80" s="3" t="s">
        <v>8454</v>
      </c>
      <c r="F80" s="3" t="s">
        <v>236</v>
      </c>
      <c r="G80" s="3" t="s">
        <v>8431</v>
      </c>
      <c r="H80" s="3">
        <v>2</v>
      </c>
      <c r="I80" s="3" t="s">
        <v>8461</v>
      </c>
      <c r="J80" s="3" t="s">
        <v>8834</v>
      </c>
      <c r="K80" s="3" t="s">
        <v>8835</v>
      </c>
      <c r="L80" s="4" t="b">
        <f>G80 &lt;&gt; ""</f>
        <v>1</v>
      </c>
      <c r="M80" s="4" t="b">
        <f>AND(((F80 = "")=TRUE), ((E80 = "domain")=TRUE))</f>
        <v>0</v>
      </c>
      <c r="N80" s="4" t="b">
        <f>E80 = "maintainer"</f>
        <v>0</v>
      </c>
      <c r="O80" s="4">
        <f>COUNTIFS(AppRouteQuestions!C2:C152, A80)</f>
        <v>1</v>
      </c>
      <c r="P80" s="4">
        <f>COUNTIFS(AppRouteReferences!C2:C316, A80)</f>
        <v>2</v>
      </c>
      <c r="Q80" s="4" t="b">
        <f>AND(((O80 = 0)=TRUE), ((M80 = FALSE)=TRUE), ((N80 = FALSE)=TRUE), ((I80 &lt;&gt; "index")=TRUE))</f>
        <v>0</v>
      </c>
      <c r="R80" s="3" t="s">
        <v>1878</v>
      </c>
    </row>
    <row r="81">
      <c r="A81" s="3" t="s">
        <v>8836</v>
      </c>
      <c r="B81" s="4" t="str">
        <f>D81 &amp; " — " &amp; C81</f>
        <v>Do I Have an Assignment — /policy-drafting-agent/readiness/my-assignment</v>
      </c>
      <c r="C81" s="3" t="s">
        <v>8837</v>
      </c>
      <c r="D81" s="3" t="s">
        <v>8838</v>
      </c>
      <c r="E81" s="3" t="s">
        <v>8454</v>
      </c>
      <c r="F81" s="3" t="s">
        <v>236</v>
      </c>
      <c r="G81" s="3" t="s">
        <v>8431</v>
      </c>
      <c r="H81" s="3">
        <v>3</v>
      </c>
      <c r="I81" s="3" t="s">
        <v>8461</v>
      </c>
      <c r="J81" s="3" t="s">
        <v>8839</v>
      </c>
      <c r="K81" s="3" t="s">
        <v>8840</v>
      </c>
      <c r="L81" s="4" t="b">
        <f>G81 &lt;&gt; ""</f>
        <v>1</v>
      </c>
      <c r="M81" s="4" t="b">
        <f>AND(((F81 = "")=TRUE), ((E81 = "domain")=TRUE))</f>
        <v>0</v>
      </c>
      <c r="N81" s="4" t="b">
        <f>E81 = "maintainer"</f>
        <v>0</v>
      </c>
      <c r="O81" s="4">
        <f>COUNTIFS(AppRouteQuestions!C2:C152, A81)</f>
        <v>1</v>
      </c>
      <c r="P81" s="4">
        <f>COUNTIFS(AppRouteReferences!C2:C316, A81)</f>
        <v>2</v>
      </c>
      <c r="Q81" s="4" t="b">
        <f>AND(((O81 = 0)=TRUE), ((M81 = FALSE)=TRUE), ((N81 = FALSE)=TRUE), ((I81 &lt;&gt; "index")=TRUE))</f>
        <v>0</v>
      </c>
      <c r="R81" s="3" t="s">
        <v>1878</v>
      </c>
    </row>
    <row r="82">
      <c r="A82" s="3" t="s">
        <v>8841</v>
      </c>
      <c r="B82" s="4" t="str">
        <f>D82 &amp; " — " &amp; C82</f>
        <v>Did I Create a Commitment — /policy-drafting-agent/governance/commitment-boundary</v>
      </c>
      <c r="C82" s="3" t="s">
        <v>8842</v>
      </c>
      <c r="D82" s="3" t="s">
        <v>8843</v>
      </c>
      <c r="E82" s="3" t="s">
        <v>8454</v>
      </c>
      <c r="F82" s="3" t="s">
        <v>236</v>
      </c>
      <c r="G82" s="3" t="s">
        <v>8424</v>
      </c>
      <c r="H82" s="3">
        <v>1</v>
      </c>
      <c r="I82" s="3" t="s">
        <v>8461</v>
      </c>
      <c r="J82" s="3" t="s">
        <v>8844</v>
      </c>
      <c r="K82" s="3" t="s">
        <v>8845</v>
      </c>
      <c r="L82" s="4" t="b">
        <f>G82 &lt;&gt; ""</f>
        <v>1</v>
      </c>
      <c r="M82" s="4" t="b">
        <f>AND(((F82 = "")=TRUE), ((E82 = "domain")=TRUE))</f>
        <v>0</v>
      </c>
      <c r="N82" s="4" t="b">
        <f>E82 = "maintainer"</f>
        <v>0</v>
      </c>
      <c r="O82" s="4">
        <f>COUNTIFS(AppRouteQuestions!C2:C152, A82)</f>
        <v>1</v>
      </c>
      <c r="P82" s="4">
        <f>COUNTIFS(AppRouteReferences!C2:C316, A82)</f>
        <v>2</v>
      </c>
      <c r="Q82" s="4" t="b">
        <f>AND(((O82 = 0)=TRUE), ((M82 = FALSE)=TRUE), ((N82 = FALSE)=TRUE), ((I82 &lt;&gt; "index")=TRUE))</f>
        <v>0</v>
      </c>
      <c r="R82" s="3" t="s">
        <v>1878</v>
      </c>
    </row>
    <row r="83">
      <c r="A83" s="3" t="s">
        <v>8846</v>
      </c>
      <c r="B83" s="4" t="str">
        <f>D83 &amp; " — " &amp; C83</f>
        <v>Is the Chain Complete — /policy-drafting-agent/governance/approval-chain</v>
      </c>
      <c r="C83" s="3" t="s">
        <v>8847</v>
      </c>
      <c r="D83" s="3" t="s">
        <v>8848</v>
      </c>
      <c r="E83" s="3" t="s">
        <v>8454</v>
      </c>
      <c r="F83" s="3" t="s">
        <v>236</v>
      </c>
      <c r="G83" s="3" t="s">
        <v>8424</v>
      </c>
      <c r="H83" s="3">
        <v>2</v>
      </c>
      <c r="I83" s="3" t="s">
        <v>8461</v>
      </c>
      <c r="J83" s="3" t="s">
        <v>8849</v>
      </c>
      <c r="K83" s="3" t="s">
        <v>8850</v>
      </c>
      <c r="L83" s="4" t="b">
        <f>G83 &lt;&gt; ""</f>
        <v>1</v>
      </c>
      <c r="M83" s="4" t="b">
        <f>AND(((F83 = "")=TRUE), ((E83 = "domain")=TRUE))</f>
        <v>0</v>
      </c>
      <c r="N83" s="4" t="b">
        <f>E83 = "maintainer"</f>
        <v>0</v>
      </c>
      <c r="O83" s="4">
        <f>COUNTIFS(AppRouteQuestions!C2:C152, A83)</f>
        <v>1</v>
      </c>
      <c r="P83" s="4">
        <f>COUNTIFS(AppRouteReferences!C2:C316, A83)</f>
        <v>2</v>
      </c>
      <c r="Q83" s="4" t="b">
        <f>AND(((O83 = 0)=TRUE), ((M83 = FALSE)=TRUE), ((N83 = FALSE)=TRUE), ((I83 &lt;&gt; "index")=TRUE))</f>
        <v>0</v>
      </c>
      <c r="R83" s="3" t="s">
        <v>1878</v>
      </c>
    </row>
    <row r="84">
      <c r="A84" s="3" t="s">
        <v>8851</v>
      </c>
      <c r="B84" s="4" t="str">
        <f>D84 &amp; " — " &amp; C84</f>
        <v>Is My Draft Surviving Review — /policy-drafting-agent/quality/downstream-rewrite</v>
      </c>
      <c r="C84" s="3" t="s">
        <v>8852</v>
      </c>
      <c r="D84" s="3" t="s">
        <v>8853</v>
      </c>
      <c r="E84" s="3" t="s">
        <v>8454</v>
      </c>
      <c r="F84" s="3" t="s">
        <v>236</v>
      </c>
      <c r="G84" s="3" t="s">
        <v>8435</v>
      </c>
      <c r="H84" s="3">
        <v>1</v>
      </c>
      <c r="I84" s="3" t="s">
        <v>8461</v>
      </c>
      <c r="J84" s="3" t="s">
        <v>8854</v>
      </c>
      <c r="K84" s="3" t="s">
        <v>8855</v>
      </c>
      <c r="L84" s="4" t="b">
        <f>G84 &lt;&gt; ""</f>
        <v>1</v>
      </c>
      <c r="M84" s="4" t="b">
        <f>AND(((F84 = "")=TRUE), ((E84 = "domain")=TRUE))</f>
        <v>0</v>
      </c>
      <c r="N84" s="4" t="b">
        <f>E84 = "maintainer"</f>
        <v>0</v>
      </c>
      <c r="O84" s="4">
        <f>COUNTIFS(AppRouteQuestions!C2:C152, A84)</f>
        <v>1</v>
      </c>
      <c r="P84" s="4">
        <f>COUNTIFS(AppRouteReferences!C2:C316, A84)</f>
        <v>2</v>
      </c>
      <c r="Q84" s="4" t="b">
        <f>AND(((O84 = 0)=TRUE), ((M84 = FALSE)=TRUE), ((N84 = FALSE)=TRUE), ((I84 &lt;&gt; "index")=TRUE))</f>
        <v>0</v>
      </c>
      <c r="R84" s="3" t="s">
        <v>1878</v>
      </c>
    </row>
    <row r="85">
      <c r="A85" s="3" t="s">
        <v>8856</v>
      </c>
      <c r="B85" s="4" t="str">
        <f>D85 &amp; " — " &amp; C85</f>
        <v>May I Transmit — /notification-publisher/gates</v>
      </c>
      <c r="C85" s="3" t="s">
        <v>8857</v>
      </c>
      <c r="D85" s="3" t="s">
        <v>8858</v>
      </c>
      <c r="E85" s="3" t="s">
        <v>8454</v>
      </c>
      <c r="F85" s="3" t="s">
        <v>240</v>
      </c>
      <c r="G85" s="3" t="s">
        <v>8431</v>
      </c>
      <c r="H85" s="3">
        <v>1</v>
      </c>
      <c r="I85" s="3" t="s">
        <v>8455</v>
      </c>
      <c r="J85" s="3" t="s">
        <v>8859</v>
      </c>
      <c r="K85" s="3" t="s">
        <v>8860</v>
      </c>
      <c r="L85" s="4" t="b">
        <f>G85 &lt;&gt; ""</f>
        <v>1</v>
      </c>
      <c r="M85" s="4" t="b">
        <f>AND(((F85 = "")=TRUE), ((E85 = "domain")=TRUE))</f>
        <v>0</v>
      </c>
      <c r="N85" s="4" t="b">
        <f>E85 = "maintainer"</f>
        <v>0</v>
      </c>
      <c r="O85" s="4">
        <f>COUNTIFS(AppRouteQuestions!C2:C152, A85)</f>
        <v>4</v>
      </c>
      <c r="P85" s="4">
        <f>COUNTIFS(AppRouteReferences!C2:C316, A85)</f>
        <v>4</v>
      </c>
      <c r="Q85" s="4" t="b">
        <f>AND(((O85 = 0)=TRUE), ((M85 = FALSE)=TRUE), ((N85 = FALSE)=TRUE), ((I85 &lt;&gt; "index")=TRUE))</f>
        <v>0</v>
      </c>
      <c r="R85" s="3" t="s">
        <v>1878</v>
      </c>
    </row>
    <row r="86">
      <c r="A86" s="3" t="s">
        <v>8861</v>
      </c>
      <c r="B86" s="4" t="str">
        <f>D86 &amp; " — " &amp; C86</f>
        <v>Channel Permission — /notification-publisher/gates/channel-permission</v>
      </c>
      <c r="C86" s="3" t="s">
        <v>8862</v>
      </c>
      <c r="D86" s="3" t="s">
        <v>8863</v>
      </c>
      <c r="E86" s="3" t="s">
        <v>8454</v>
      </c>
      <c r="F86" s="3" t="s">
        <v>240</v>
      </c>
      <c r="G86" s="3" t="s">
        <v>8431</v>
      </c>
      <c r="H86" s="3">
        <v>2</v>
      </c>
      <c r="I86" s="3" t="s">
        <v>8461</v>
      </c>
      <c r="J86" s="3" t="s">
        <v>8864</v>
      </c>
      <c r="K86" s="3" t="s">
        <v>8865</v>
      </c>
      <c r="L86" s="4" t="b">
        <f>G86 &lt;&gt; ""</f>
        <v>1</v>
      </c>
      <c r="M86" s="4" t="b">
        <f>AND(((F86 = "")=TRUE), ((E86 = "domain")=TRUE))</f>
        <v>0</v>
      </c>
      <c r="N86" s="4" t="b">
        <f>E86 = "maintainer"</f>
        <v>0</v>
      </c>
      <c r="O86" s="4">
        <f>COUNTIFS(AppRouteQuestions!C2:C152, A86)</f>
        <v>1</v>
      </c>
      <c r="P86" s="4">
        <f>COUNTIFS(AppRouteReferences!C2:C316, A86)</f>
        <v>2</v>
      </c>
      <c r="Q86" s="4" t="b">
        <f>AND(((O86 = 0)=TRUE), ((M86 = FALSE)=TRUE), ((N86 = FALSE)=TRUE), ((I86 &lt;&gt; "index")=TRUE))</f>
        <v>0</v>
      </c>
      <c r="R86" s="3" t="s">
        <v>1878</v>
      </c>
    </row>
    <row r="87">
      <c r="A87" s="3" t="s">
        <v>8866</v>
      </c>
      <c r="B87" s="4" t="str">
        <f>D87 &amp; " — " &amp; C87</f>
        <v>Timing Window — /notification-publisher/gates/timing</v>
      </c>
      <c r="C87" s="3" t="s">
        <v>8867</v>
      </c>
      <c r="D87" s="3" t="s">
        <v>8868</v>
      </c>
      <c r="E87" s="3" t="s">
        <v>8454</v>
      </c>
      <c r="F87" s="3" t="s">
        <v>240</v>
      </c>
      <c r="G87" s="3" t="s">
        <v>8431</v>
      </c>
      <c r="H87" s="3">
        <v>3</v>
      </c>
      <c r="I87" s="3" t="s">
        <v>8461</v>
      </c>
      <c r="J87" s="3" t="s">
        <v>8869</v>
      </c>
      <c r="K87" s="3" t="s">
        <v>8870</v>
      </c>
      <c r="L87" s="4" t="b">
        <f>G87 &lt;&gt; ""</f>
        <v>1</v>
      </c>
      <c r="M87" s="4" t="b">
        <f>AND(((F87 = "")=TRUE), ((E87 = "domain")=TRUE))</f>
        <v>0</v>
      </c>
      <c r="N87" s="4" t="b">
        <f>E87 = "maintainer"</f>
        <v>0</v>
      </c>
      <c r="O87" s="4">
        <f>COUNTIFS(AppRouteQuestions!C2:C152, A87)</f>
        <v>1</v>
      </c>
      <c r="P87" s="4">
        <f>COUNTIFS(AppRouteReferences!C2:C316, A87)</f>
        <v>2</v>
      </c>
      <c r="Q87" s="4" t="b">
        <f>AND(((O87 = 0)=TRUE), ((M87 = FALSE)=TRUE), ((N87 = FALSE)=TRUE), ((I87 &lt;&gt; "index")=TRUE))</f>
        <v>0</v>
      </c>
      <c r="R87" s="3" t="s">
        <v>1878</v>
      </c>
    </row>
    <row r="88">
      <c r="A88" s="3" t="s">
        <v>8871</v>
      </c>
      <c r="B88" s="4" t="str">
        <f>D88 &amp; " — " &amp; C88</f>
        <v>Content Rules — /notification-publisher/gates/content</v>
      </c>
      <c r="C88" s="3" t="s">
        <v>8872</v>
      </c>
      <c r="D88" s="3" t="s">
        <v>8873</v>
      </c>
      <c r="E88" s="3" t="s">
        <v>8454</v>
      </c>
      <c r="F88" s="3" t="s">
        <v>240</v>
      </c>
      <c r="G88" s="3" t="s">
        <v>8431</v>
      </c>
      <c r="H88" s="3">
        <v>4</v>
      </c>
      <c r="I88" s="3" t="s">
        <v>8461</v>
      </c>
      <c r="J88" s="3" t="s">
        <v>8874</v>
      </c>
      <c r="K88" s="3" t="s">
        <v>8875</v>
      </c>
      <c r="L88" s="4" t="b">
        <f>G88 &lt;&gt; ""</f>
        <v>1</v>
      </c>
      <c r="M88" s="4" t="b">
        <f>AND(((F88 = "")=TRUE), ((E88 = "domain")=TRUE))</f>
        <v>0</v>
      </c>
      <c r="N88" s="4" t="b">
        <f>E88 = "maintainer"</f>
        <v>0</v>
      </c>
      <c r="O88" s="4">
        <f>COUNTIFS(AppRouteQuestions!C2:C152, A88)</f>
        <v>1</v>
      </c>
      <c r="P88" s="4">
        <f>COUNTIFS(AppRouteReferences!C2:C316, A88)</f>
        <v>2</v>
      </c>
      <c r="Q88" s="4" t="b">
        <f>AND(((O88 = 0)=TRUE), ((M88 = FALSE)=TRUE), ((N88 = FALSE)=TRUE), ((I88 &lt;&gt; "index")=TRUE))</f>
        <v>0</v>
      </c>
      <c r="R88" s="3" t="s">
        <v>1878</v>
      </c>
    </row>
    <row r="89">
      <c r="A89" s="3" t="s">
        <v>8876</v>
      </c>
      <c r="B89" s="4" t="str">
        <f>D89 &amp; " — " &amp; C89</f>
        <v>Human Authorization — /notification-publisher/gates/authorization</v>
      </c>
      <c r="C89" s="3" t="s">
        <v>8877</v>
      </c>
      <c r="D89" s="3" t="s">
        <v>8878</v>
      </c>
      <c r="E89" s="3" t="s">
        <v>8454</v>
      </c>
      <c r="F89" s="3" t="s">
        <v>240</v>
      </c>
      <c r="G89" s="3" t="s">
        <v>8431</v>
      </c>
      <c r="H89" s="3">
        <v>5</v>
      </c>
      <c r="I89" s="3" t="s">
        <v>8461</v>
      </c>
      <c r="J89" s="3" t="s">
        <v>8879</v>
      </c>
      <c r="K89" s="3" t="s">
        <v>8880</v>
      </c>
      <c r="L89" s="4" t="b">
        <f>G89 &lt;&gt; ""</f>
        <v>1</v>
      </c>
      <c r="M89" s="4" t="b">
        <f>AND(((F89 = "")=TRUE), ((E89 = "domain")=TRUE))</f>
        <v>0</v>
      </c>
      <c r="N89" s="4" t="b">
        <f>E89 = "maintainer"</f>
        <v>0</v>
      </c>
      <c r="O89" s="4">
        <f>COUNTIFS(AppRouteQuestions!C2:C152, A89)</f>
        <v>1</v>
      </c>
      <c r="P89" s="4">
        <f>COUNTIFS(AppRouteReferences!C2:C316, A89)</f>
        <v>2</v>
      </c>
      <c r="Q89" s="4" t="b">
        <f>AND(((O89 = 0)=TRUE), ((M89 = FALSE)=TRUE), ((N89 = FALSE)=TRUE), ((I89 &lt;&gt; "index")=TRUE))</f>
        <v>0</v>
      </c>
      <c r="R89" s="3" t="s">
        <v>1878</v>
      </c>
    </row>
    <row r="90">
      <c r="A90" s="3" t="s">
        <v>8881</v>
      </c>
      <c r="B90" s="4" t="str">
        <f>D90 &amp; " — " &amp; C90</f>
        <v>Every Refusal — /notification-publisher/refusals</v>
      </c>
      <c r="C90" s="3" t="s">
        <v>8882</v>
      </c>
      <c r="D90" s="3" t="s">
        <v>8883</v>
      </c>
      <c r="E90" s="3" t="s">
        <v>8454</v>
      </c>
      <c r="F90" s="3" t="s">
        <v>240</v>
      </c>
      <c r="G90" s="3" t="s">
        <v>8424</v>
      </c>
      <c r="H90" s="3">
        <v>1</v>
      </c>
      <c r="I90" s="3" t="s">
        <v>8461</v>
      </c>
      <c r="J90" s="3" t="s">
        <v>8884</v>
      </c>
      <c r="K90" s="3" t="s">
        <v>8885</v>
      </c>
      <c r="L90" s="4" t="b">
        <f>G90 &lt;&gt; ""</f>
        <v>1</v>
      </c>
      <c r="M90" s="4" t="b">
        <f>AND(((F90 = "")=TRUE), ((E90 = "domain")=TRUE))</f>
        <v>0</v>
      </c>
      <c r="N90" s="4" t="b">
        <f>E90 = "maintainer"</f>
        <v>0</v>
      </c>
      <c r="O90" s="4">
        <f>COUNTIFS(AppRouteQuestions!C2:C152, A90)</f>
        <v>1</v>
      </c>
      <c r="P90" s="4">
        <f>COUNTIFS(AppRouteReferences!C2:C316, A90)</f>
        <v>3</v>
      </c>
      <c r="Q90" s="4" t="b">
        <f>AND(((O90 = 0)=TRUE), ((M90 = FALSE)=TRUE), ((N90 = FALSE)=TRUE), ((I90 &lt;&gt; "index")=TRUE))</f>
        <v>0</v>
      </c>
      <c r="R90" s="3" t="s">
        <v>1878</v>
      </c>
    </row>
    <row r="91">
      <c r="A91" s="3" t="s">
        <v>8886</v>
      </c>
      <c r="B91" s="4" t="str">
        <f>D91 &amp; " — " &amp; C91</f>
        <v>Every Refusal Leaves a Record — /notification-publisher/refusals/artifacts</v>
      </c>
      <c r="C91" s="3" t="s">
        <v>8887</v>
      </c>
      <c r="D91" s="3" t="s">
        <v>8888</v>
      </c>
      <c r="E91" s="3" t="s">
        <v>8454</v>
      </c>
      <c r="F91" s="3" t="s">
        <v>240</v>
      </c>
      <c r="G91" s="3" t="s">
        <v>8424</v>
      </c>
      <c r="H91" s="3">
        <v>2</v>
      </c>
      <c r="I91" s="3" t="s">
        <v>8461</v>
      </c>
      <c r="J91" s="3" t="s">
        <v>8889</v>
      </c>
      <c r="K91" s="3" t="s">
        <v>8890</v>
      </c>
      <c r="L91" s="4" t="b">
        <f>G91 &lt;&gt; ""</f>
        <v>1</v>
      </c>
      <c r="M91" s="4" t="b">
        <f>AND(((F91 = "")=TRUE), ((E91 = "domain")=TRUE))</f>
        <v>0</v>
      </c>
      <c r="N91" s="4" t="b">
        <f>E91 = "maintainer"</f>
        <v>0</v>
      </c>
      <c r="O91" s="4">
        <f>COUNTIFS(AppRouteQuestions!C2:C152, A91)</f>
        <v>1</v>
      </c>
      <c r="P91" s="4">
        <f>COUNTIFS(AppRouteReferences!C2:C316, A91)</f>
        <v>2</v>
      </c>
      <c r="Q91" s="4" t="b">
        <f>AND(((O91 = 0)=TRUE), ((M91 = FALSE)=TRUE), ((N91 = FALSE)=TRUE), ((I91 &lt;&gt; "index")=TRUE))</f>
        <v>0</v>
      </c>
      <c r="R91" s="3" t="s">
        <v>1878</v>
      </c>
    </row>
    <row r="92">
      <c r="A92" s="3" t="s">
        <v>8891</v>
      </c>
      <c r="B92" s="4" t="str">
        <f>D92 &amp; " — " &amp; C92</f>
        <v>Deferred, Not Cancelled — /notification-publisher/refusals/deferred</v>
      </c>
      <c r="C92" s="3" t="s">
        <v>8892</v>
      </c>
      <c r="D92" s="3" t="s">
        <v>8893</v>
      </c>
      <c r="E92" s="3" t="s">
        <v>8454</v>
      </c>
      <c r="F92" s="3" t="s">
        <v>240</v>
      </c>
      <c r="G92" s="3" t="s">
        <v>8424</v>
      </c>
      <c r="H92" s="3">
        <v>3</v>
      </c>
      <c r="I92" s="3" t="s">
        <v>8461</v>
      </c>
      <c r="J92" s="3" t="s">
        <v>8894</v>
      </c>
      <c r="K92" s="3" t="s">
        <v>8895</v>
      </c>
      <c r="L92" s="4" t="b">
        <f>G92 &lt;&gt; ""</f>
        <v>1</v>
      </c>
      <c r="M92" s="4" t="b">
        <f>AND(((F92 = "")=TRUE), ((E92 = "domain")=TRUE))</f>
        <v>0</v>
      </c>
      <c r="N92" s="4" t="b">
        <f>E92 = "maintainer"</f>
        <v>0</v>
      </c>
      <c r="O92" s="4">
        <f>COUNTIFS(AppRouteQuestions!C2:C152, A92)</f>
        <v>1</v>
      </c>
      <c r="P92" s="4">
        <f>COUNTIFS(AppRouteReferences!C2:C316, A92)</f>
        <v>2</v>
      </c>
      <c r="Q92" s="4" t="b">
        <f>AND(((O92 = 0)=TRUE), ((M92 = FALSE)=TRUE), ((N92 = FALSE)=TRUE), ((I92 &lt;&gt; "index")=TRUE))</f>
        <v>0</v>
      </c>
      <c r="R92" s="3" t="s">
        <v>1878</v>
      </c>
    </row>
    <row r="93">
      <c r="A93" s="3" t="s">
        <v>8896</v>
      </c>
      <c r="B93" s="4" t="str">
        <f>D93 &amp; " — " &amp; C93</f>
        <v>After the Send — /notification-publisher/obligations</v>
      </c>
      <c r="C93" s="3" t="s">
        <v>8897</v>
      </c>
      <c r="D93" s="3" t="s">
        <v>8898</v>
      </c>
      <c r="E93" s="3" t="s">
        <v>8454</v>
      </c>
      <c r="F93" s="3" t="s">
        <v>240</v>
      </c>
      <c r="G93" s="3" t="s">
        <v>8425</v>
      </c>
      <c r="H93" s="3">
        <v>1</v>
      </c>
      <c r="I93" s="3" t="s">
        <v>8461</v>
      </c>
      <c r="J93" s="3" t="s">
        <v>8899</v>
      </c>
      <c r="K93" s="3" t="s">
        <v>8900</v>
      </c>
      <c r="L93" s="4" t="b">
        <f>G93 &lt;&gt; ""</f>
        <v>1</v>
      </c>
      <c r="M93" s="4" t="b">
        <f>AND(((F93 = "")=TRUE), ((E93 = "domain")=TRUE))</f>
        <v>0</v>
      </c>
      <c r="N93" s="4" t="b">
        <f>E93 = "maintainer"</f>
        <v>0</v>
      </c>
      <c r="O93" s="4">
        <f>COUNTIFS(AppRouteQuestions!C2:C152, A93)</f>
        <v>1</v>
      </c>
      <c r="P93" s="4">
        <f>COUNTIFS(AppRouteReferences!C2:C316, A93)</f>
        <v>2</v>
      </c>
      <c r="Q93" s="4" t="b">
        <f>AND(((O93 = 0)=TRUE), ((M93 = FALSE)=TRUE), ((N93 = FALSE)=TRUE), ((I93 &lt;&gt; "index")=TRUE))</f>
        <v>0</v>
      </c>
      <c r="R93" s="3" t="s">
        <v>1878</v>
      </c>
    </row>
    <row r="94">
      <c r="A94" s="3" t="s">
        <v>8901</v>
      </c>
      <c r="B94" s="4" t="str">
        <f>D94 &amp; " — " &amp; C94</f>
        <v>By What Authority Do I Hold This — /notification-publisher/self-check/my-authority</v>
      </c>
      <c r="C94" s="3" t="s">
        <v>8902</v>
      </c>
      <c r="D94" s="3" t="s">
        <v>8903</v>
      </c>
      <c r="E94" s="3" t="s">
        <v>8454</v>
      </c>
      <c r="F94" s="3" t="s">
        <v>240</v>
      </c>
      <c r="G94" s="3" t="s">
        <v>8433</v>
      </c>
      <c r="H94" s="3">
        <v>1</v>
      </c>
      <c r="I94" s="3" t="s">
        <v>8461</v>
      </c>
      <c r="J94" s="3" t="s">
        <v>8904</v>
      </c>
      <c r="K94" s="3" t="s">
        <v>8905</v>
      </c>
      <c r="L94" s="4" t="b">
        <f>G94 &lt;&gt; ""</f>
        <v>1</v>
      </c>
      <c r="M94" s="4" t="b">
        <f>AND(((F94 = "")=TRUE), ((E94 = "domain")=TRUE))</f>
        <v>0</v>
      </c>
      <c r="N94" s="4" t="b">
        <f>E94 = "maintainer"</f>
        <v>0</v>
      </c>
      <c r="O94" s="4">
        <f>COUNTIFS(AppRouteQuestions!C2:C152, A94)</f>
        <v>1</v>
      </c>
      <c r="P94" s="4">
        <f>COUNTIFS(AppRouteReferences!C2:C316, A94)</f>
        <v>2</v>
      </c>
      <c r="Q94" s="4" t="b">
        <f>AND(((O94 = 0)=TRUE), ((M94 = FALSE)=TRUE), ((N94 = FALSE)=TRUE), ((I94 &lt;&gt; "index")=TRUE))</f>
        <v>0</v>
      </c>
      <c r="R94" s="3" t="s">
        <v>1878</v>
      </c>
    </row>
    <row r="95">
      <c r="A95" s="3" t="s">
        <v>8906</v>
      </c>
      <c r="B95" s="4" t="str">
        <f>D95 &amp; " — " &amp; C95</f>
        <v>Am I the Only Witness — /notification-publisher/self-check/sole-witness</v>
      </c>
      <c r="C95" s="3" t="s">
        <v>8907</v>
      </c>
      <c r="D95" s="3" t="s">
        <v>8908</v>
      </c>
      <c r="E95" s="3" t="s">
        <v>8454</v>
      </c>
      <c r="F95" s="3" t="s">
        <v>240</v>
      </c>
      <c r="G95" s="3" t="s">
        <v>8433</v>
      </c>
      <c r="H95" s="3">
        <v>2</v>
      </c>
      <c r="I95" s="3" t="s">
        <v>8461</v>
      </c>
      <c r="J95" s="3" t="s">
        <v>8909</v>
      </c>
      <c r="K95" s="3" t="s">
        <v>8910</v>
      </c>
      <c r="L95" s="4" t="b">
        <f>G95 &lt;&gt; ""</f>
        <v>1</v>
      </c>
      <c r="M95" s="4" t="b">
        <f>AND(((F95 = "")=TRUE), ((E95 = "domain")=TRUE))</f>
        <v>0</v>
      </c>
      <c r="N95" s="4" t="b">
        <f>E95 = "maintainer"</f>
        <v>0</v>
      </c>
      <c r="O95" s="4">
        <f>COUNTIFS(AppRouteQuestions!C2:C152, A95)</f>
        <v>1</v>
      </c>
      <c r="P95" s="4">
        <f>COUNTIFS(AppRouteReferences!C2:C316, A95)</f>
        <v>2</v>
      </c>
      <c r="Q95" s="4" t="b">
        <f>AND(((O95 = 0)=TRUE), ((M95 = FALSE)=TRUE), ((N95 = FALSE)=TRUE), ((I95 &lt;&gt; "index")=TRUE))</f>
        <v>0</v>
      </c>
      <c r="R95" s="3" t="s">
        <v>1878</v>
      </c>
    </row>
    <row r="96">
      <c r="A96" s="3" t="s">
        <v>8911</v>
      </c>
      <c r="B96" s="4" t="str">
        <f>D96 &amp; " — " &amp; C96</f>
        <v>Knowledge Health — /process-steward/health</v>
      </c>
      <c r="C96" s="3" t="s">
        <v>8912</v>
      </c>
      <c r="D96" s="3" t="s">
        <v>8913</v>
      </c>
      <c r="E96" s="3" t="s">
        <v>8454</v>
      </c>
      <c r="F96" s="3" t="s">
        <v>244</v>
      </c>
      <c r="G96" s="3" t="s">
        <v>8440</v>
      </c>
      <c r="H96" s="3">
        <v>1</v>
      </c>
      <c r="I96" s="3" t="s">
        <v>8455</v>
      </c>
      <c r="J96" s="3" t="s">
        <v>8914</v>
      </c>
      <c r="K96" s="3" t="s">
        <v>8915</v>
      </c>
      <c r="L96" s="4" t="b">
        <f>G96 &lt;&gt; ""</f>
        <v>1</v>
      </c>
      <c r="M96" s="4" t="b">
        <f>AND(((F96 = "")=TRUE), ((E96 = "domain")=TRUE))</f>
        <v>0</v>
      </c>
      <c r="N96" s="4" t="b">
        <f>E96 = "maintainer"</f>
        <v>0</v>
      </c>
      <c r="O96" s="4">
        <f>COUNTIFS(AppRouteQuestions!C2:C152, A96)</f>
        <v>4</v>
      </c>
      <c r="P96" s="4">
        <f>COUNTIFS(AppRouteReferences!C2:C316, A96)</f>
        <v>4</v>
      </c>
      <c r="Q96" s="4" t="b">
        <f>AND(((O96 = 0)=TRUE), ((M96 = FALSE)=TRUE), ((N96 = FALSE)=TRUE), ((I96 &lt;&gt; "index")=TRUE))</f>
        <v>0</v>
      </c>
      <c r="R96" s="3" t="s">
        <v>1878</v>
      </c>
    </row>
    <row r="97">
      <c r="A97" s="3" t="s">
        <v>8916</v>
      </c>
      <c r="B97" s="4" t="str">
        <f>D97 &amp; " — " &amp; C97</f>
        <v>Cadence Breach — /process-steward/cadence/breach</v>
      </c>
      <c r="C97" s="3" t="s">
        <v>8917</v>
      </c>
      <c r="D97" s="3" t="s">
        <v>8918</v>
      </c>
      <c r="E97" s="3" t="s">
        <v>8454</v>
      </c>
      <c r="F97" s="3" t="s">
        <v>244</v>
      </c>
      <c r="G97" s="3" t="s">
        <v>8440</v>
      </c>
      <c r="H97" s="3">
        <v>2</v>
      </c>
      <c r="I97" s="3" t="s">
        <v>8461</v>
      </c>
      <c r="J97" s="3" t="s">
        <v>8919</v>
      </c>
      <c r="K97" s="3" t="s">
        <v>8920</v>
      </c>
      <c r="L97" s="4" t="b">
        <f>G97 &lt;&gt; ""</f>
        <v>1</v>
      </c>
      <c r="M97" s="4" t="b">
        <f>AND(((F97 = "")=TRUE), ((E97 = "domain")=TRUE))</f>
        <v>0</v>
      </c>
      <c r="N97" s="4" t="b">
        <f>E97 = "maintainer"</f>
        <v>0</v>
      </c>
      <c r="O97" s="4">
        <f>COUNTIFS(AppRouteQuestions!C2:C152, A97)</f>
        <v>1</v>
      </c>
      <c r="P97" s="4">
        <f>COUNTIFS(AppRouteReferences!C2:C316, A97)</f>
        <v>2</v>
      </c>
      <c r="Q97" s="4" t="b">
        <f>AND(((O97 = 0)=TRUE), ((M97 = FALSE)=TRUE), ((N97 = FALSE)=TRUE), ((I97 &lt;&gt; "index")=TRUE))</f>
        <v>0</v>
      </c>
      <c r="R97" s="3" t="s">
        <v>1878</v>
      </c>
    </row>
    <row r="98">
      <c r="A98" s="3" t="s">
        <v>8921</v>
      </c>
      <c r="B98" s="4" t="str">
        <f>D98 &amp; " — " &amp; C98</f>
        <v>Was the Breach Remediated — /process-steward/cadence/remediation</v>
      </c>
      <c r="C98" s="3" t="s">
        <v>8922</v>
      </c>
      <c r="D98" s="3" t="s">
        <v>8923</v>
      </c>
      <c r="E98" s="3" t="s">
        <v>8454</v>
      </c>
      <c r="F98" s="3" t="s">
        <v>244</v>
      </c>
      <c r="G98" s="3" t="s">
        <v>8440</v>
      </c>
      <c r="H98" s="3">
        <v>3</v>
      </c>
      <c r="I98" s="3" t="s">
        <v>8461</v>
      </c>
      <c r="J98" s="3" t="s">
        <v>8924</v>
      </c>
      <c r="K98" s="3" t="s">
        <v>8925</v>
      </c>
      <c r="L98" s="4" t="b">
        <f>G98 &lt;&gt; ""</f>
        <v>1</v>
      </c>
      <c r="M98" s="4" t="b">
        <f>AND(((F98 = "")=TRUE), ((E98 = "domain")=TRUE))</f>
        <v>0</v>
      </c>
      <c r="N98" s="4" t="b">
        <f>E98 = "maintainer"</f>
        <v>0</v>
      </c>
      <c r="O98" s="4">
        <f>COUNTIFS(AppRouteQuestions!C2:C152, A98)</f>
        <v>1</v>
      </c>
      <c r="P98" s="4">
        <f>COUNTIFS(AppRouteReferences!C2:C316, A98)</f>
        <v>2</v>
      </c>
      <c r="Q98" s="4" t="b">
        <f>AND(((O98 = 0)=TRUE), ((M98 = FALSE)=TRUE), ((N98 = FALSE)=TRUE), ((I98 &lt;&gt; "index")=TRUE))</f>
        <v>0</v>
      </c>
      <c r="R98" s="3" t="s">
        <v>1878</v>
      </c>
    </row>
    <row r="99">
      <c r="A99" s="3" t="s">
        <v>8926</v>
      </c>
      <c r="B99" s="4" t="str">
        <f>D99 &amp; " — " &amp; C99</f>
        <v>Live With a Blocking Gap — /process-steward/knowledge/open-gaps</v>
      </c>
      <c r="C99" s="3" t="s">
        <v>8927</v>
      </c>
      <c r="D99" s="3" t="s">
        <v>8928</v>
      </c>
      <c r="E99" s="3" t="s">
        <v>8454</v>
      </c>
      <c r="F99" s="3" t="s">
        <v>244</v>
      </c>
      <c r="G99" s="3" t="s">
        <v>8422</v>
      </c>
      <c r="H99" s="3">
        <v>1</v>
      </c>
      <c r="I99" s="3" t="s">
        <v>8461</v>
      </c>
      <c r="J99" s="3" t="s">
        <v>2032</v>
      </c>
      <c r="K99" s="3" t="s">
        <v>8929</v>
      </c>
      <c r="L99" s="4" t="b">
        <f>G99 &lt;&gt; ""</f>
        <v>1</v>
      </c>
      <c r="M99" s="4" t="b">
        <f>AND(((F99 = "")=TRUE), ((E99 = "domain")=TRUE))</f>
        <v>0</v>
      </c>
      <c r="N99" s="4" t="b">
        <f>E99 = "maintainer"</f>
        <v>0</v>
      </c>
      <c r="O99" s="4">
        <f>COUNTIFS(AppRouteQuestions!C2:C152, A99)</f>
        <v>1</v>
      </c>
      <c r="P99" s="4">
        <f>COUNTIFS(AppRouteReferences!C2:C316, A99)</f>
        <v>2</v>
      </c>
      <c r="Q99" s="4" t="b">
        <f>AND(((O99 = 0)=TRUE), ((M99 = FALSE)=TRUE), ((N99 = FALSE)=TRUE), ((I99 &lt;&gt; "index")=TRUE))</f>
        <v>0</v>
      </c>
      <c r="R99" s="3" t="s">
        <v>1878</v>
      </c>
    </row>
    <row r="100">
      <c r="A100" s="3" t="s">
        <v>8930</v>
      </c>
      <c r="B100" s="4" t="str">
        <f>D100 &amp; " — " &amp; C100</f>
        <v>Stalled Change Requests — /process-steward/governance/stalled-changes</v>
      </c>
      <c r="C100" s="3" t="s">
        <v>8931</v>
      </c>
      <c r="D100" s="3" t="s">
        <v>8932</v>
      </c>
      <c r="E100" s="3" t="s">
        <v>8454</v>
      </c>
      <c r="F100" s="3" t="s">
        <v>244</v>
      </c>
      <c r="G100" s="3" t="s">
        <v>8424</v>
      </c>
      <c r="H100" s="3">
        <v>1</v>
      </c>
      <c r="I100" s="3" t="s">
        <v>8461</v>
      </c>
      <c r="J100" s="3" t="s">
        <v>8933</v>
      </c>
      <c r="K100" s="3" t="s">
        <v>8934</v>
      </c>
      <c r="L100" s="4" t="b">
        <f>G100 &lt;&gt; ""</f>
        <v>1</v>
      </c>
      <c r="M100" s="4" t="b">
        <f>AND(((F100 = "")=TRUE), ((E100 = "domain")=TRUE))</f>
        <v>0</v>
      </c>
      <c r="N100" s="4" t="b">
        <f>E100 = "maintainer"</f>
        <v>0</v>
      </c>
      <c r="O100" s="4">
        <f>COUNTIFS(AppRouteQuestions!C2:C152, A100)</f>
        <v>1</v>
      </c>
      <c r="P100" s="4">
        <f>COUNTIFS(AppRouteReferences!C2:C316, A100)</f>
        <v>2</v>
      </c>
      <c r="Q100" s="4" t="b">
        <f>AND(((O100 = 0)=TRUE), ((M100 = FALSE)=TRUE), ((N100 = FALSE)=TRUE), ((I100 &lt;&gt; "index")=TRUE))</f>
        <v>0</v>
      </c>
      <c r="R100" s="3" t="s">
        <v>1878</v>
      </c>
    </row>
    <row r="101">
      <c r="A101" s="3" t="s">
        <v>8935</v>
      </c>
      <c r="B101" s="4" t="str">
        <f>D101 &amp; " — " &amp; C101</f>
        <v>Approved but Still Open — /process-steward/governance/approved-never-lands</v>
      </c>
      <c r="C101" s="3" t="s">
        <v>8936</v>
      </c>
      <c r="D101" s="3" t="s">
        <v>8937</v>
      </c>
      <c r="E101" s="3" t="s">
        <v>8454</v>
      </c>
      <c r="F101" s="3" t="s">
        <v>244</v>
      </c>
      <c r="G101" s="3" t="s">
        <v>8424</v>
      </c>
      <c r="H101" s="3">
        <v>2</v>
      </c>
      <c r="I101" s="3" t="s">
        <v>8461</v>
      </c>
      <c r="J101" s="3" t="s">
        <v>8938</v>
      </c>
      <c r="K101" s="3" t="s">
        <v>8939</v>
      </c>
      <c r="L101" s="4" t="b">
        <f>G101 &lt;&gt; ""</f>
        <v>1</v>
      </c>
      <c r="M101" s="4" t="b">
        <f>AND(((F101 = "")=TRUE), ((E101 = "domain")=TRUE))</f>
        <v>0</v>
      </c>
      <c r="N101" s="4" t="b">
        <f>E101 = "maintainer"</f>
        <v>0</v>
      </c>
      <c r="O101" s="4">
        <f>COUNTIFS(AppRouteQuestions!C2:C152, A101)</f>
        <v>1</v>
      </c>
      <c r="P101" s="4">
        <f>COUNTIFS(AppRouteReferences!C2:C316, A101)</f>
        <v>2</v>
      </c>
      <c r="Q101" s="4" t="b">
        <f>AND(((O101 = 0)=TRUE), ((M101 = FALSE)=TRUE), ((N101 = FALSE)=TRUE), ((I101 &lt;&gt; "index")=TRUE))</f>
        <v>0</v>
      </c>
      <c r="R101" s="3" t="s">
        <v>1878</v>
      </c>
    </row>
    <row r="102">
      <c r="A102" s="3" t="s">
        <v>8940</v>
      </c>
      <c r="B102" s="4" t="str">
        <f>D102 &amp; " — " &amp; C102</f>
        <v>Versions With No Steward — /process-steward/ownership/orphan-versions</v>
      </c>
      <c r="C102" s="3" t="s">
        <v>8941</v>
      </c>
      <c r="D102" s="3" t="s">
        <v>8942</v>
      </c>
      <c r="E102" s="3" t="s">
        <v>8454</v>
      </c>
      <c r="F102" s="3" t="s">
        <v>244</v>
      </c>
      <c r="G102" s="3" t="s">
        <v>8438</v>
      </c>
      <c r="H102" s="3">
        <v>1</v>
      </c>
      <c r="I102" s="3" t="s">
        <v>8461</v>
      </c>
      <c r="J102" s="3" t="s">
        <v>8943</v>
      </c>
      <c r="K102" s="3" t="s">
        <v>8944</v>
      </c>
      <c r="L102" s="4" t="b">
        <f>G102 &lt;&gt; ""</f>
        <v>1</v>
      </c>
      <c r="M102" s="4" t="b">
        <f>AND(((F102 = "")=TRUE), ((E102 = "domain")=TRUE))</f>
        <v>0</v>
      </c>
      <c r="N102" s="4" t="b">
        <f>E102 = "maintainer"</f>
        <v>0</v>
      </c>
      <c r="O102" s="4">
        <f>COUNTIFS(AppRouteQuestions!C2:C152, A102)</f>
        <v>1</v>
      </c>
      <c r="P102" s="4">
        <f>COUNTIFS(AppRouteReferences!C2:C316, A102)</f>
        <v>2</v>
      </c>
      <c r="Q102" s="4" t="b">
        <f>AND(((O102 = 0)=TRUE), ((M102 = FALSE)=TRUE), ((N102 = FALSE)=TRUE), ((I102 &lt;&gt; "index")=TRUE))</f>
        <v>0</v>
      </c>
      <c r="R102" s="3" t="s">
        <v>1878</v>
      </c>
    </row>
    <row r="103">
      <c r="A103" s="3" t="s">
        <v>8945</v>
      </c>
      <c r="B103" s="4" t="str">
        <f>D103 &amp; " — " &amp; C103</f>
        <v>Archived, Still Load-Bearing — /process-steward/ownership/archived-referenced</v>
      </c>
      <c r="C103" s="3" t="s">
        <v>8946</v>
      </c>
      <c r="D103" s="3" t="s">
        <v>8947</v>
      </c>
      <c r="E103" s="3" t="s">
        <v>8454</v>
      </c>
      <c r="F103" s="3" t="s">
        <v>244</v>
      </c>
      <c r="G103" s="3" t="s">
        <v>8438</v>
      </c>
      <c r="H103" s="3">
        <v>2</v>
      </c>
      <c r="I103" s="3" t="s">
        <v>8461</v>
      </c>
      <c r="J103" s="3" t="s">
        <v>8948</v>
      </c>
      <c r="K103" s="3" t="s">
        <v>8949</v>
      </c>
      <c r="L103" s="4" t="b">
        <f>G103 &lt;&gt; ""</f>
        <v>1</v>
      </c>
      <c r="M103" s="4" t="b">
        <f>AND(((F103 = "")=TRUE), ((E103 = "domain")=TRUE))</f>
        <v>0</v>
      </c>
      <c r="N103" s="4" t="b">
        <f>E103 = "maintainer"</f>
        <v>0</v>
      </c>
      <c r="O103" s="4">
        <f>COUNTIFS(AppRouteQuestions!C2:C152, A103)</f>
        <v>1</v>
      </c>
      <c r="P103" s="4">
        <f>COUNTIFS(AppRouteReferences!C2:C316, A103)</f>
        <v>2</v>
      </c>
      <c r="Q103" s="4" t="b">
        <f>AND(((O103 = 0)=TRUE), ((M103 = FALSE)=TRUE), ((N103 = FALSE)=TRUE), ((I103 &lt;&gt; "index")=TRUE))</f>
        <v>0</v>
      </c>
      <c r="R103" s="3" t="s">
        <v>1878</v>
      </c>
    </row>
    <row r="104">
      <c r="A104" s="3" t="s">
        <v>8950</v>
      </c>
      <c r="B104" s="4" t="str">
        <f>D104 &amp; " — " &amp; C104</f>
        <v>Untested Recovery Paths — /process-steward/knowledge/untested-fallbacks</v>
      </c>
      <c r="C104" s="3" t="s">
        <v>8951</v>
      </c>
      <c r="D104" s="3" t="s">
        <v>8952</v>
      </c>
      <c r="E104" s="3" t="s">
        <v>8454</v>
      </c>
      <c r="F104" s="3" t="s">
        <v>244</v>
      </c>
      <c r="G104" s="3" t="s">
        <v>8422</v>
      </c>
      <c r="H104" s="3">
        <v>2</v>
      </c>
      <c r="I104" s="3" t="s">
        <v>8461</v>
      </c>
      <c r="J104" s="3" t="s">
        <v>8953</v>
      </c>
      <c r="K104" s="3" t="s">
        <v>8954</v>
      </c>
      <c r="L104" s="4" t="b">
        <f>G104 &lt;&gt; ""</f>
        <v>1</v>
      </c>
      <c r="M104" s="4" t="b">
        <f>AND(((F104 = "")=TRUE), ((E104 = "domain")=TRUE))</f>
        <v>0</v>
      </c>
      <c r="N104" s="4" t="b">
        <f>E104 = "maintainer"</f>
        <v>0</v>
      </c>
      <c r="O104" s="4">
        <f>COUNTIFS(AppRouteQuestions!C2:C152, A104)</f>
        <v>1</v>
      </c>
      <c r="P104" s="4">
        <f>COUNTIFS(AppRouteReferences!C2:C316, A104)</f>
        <v>2</v>
      </c>
      <c r="Q104" s="4" t="b">
        <f>AND(((O104 = 0)=TRUE), ((M104 = FALSE)=TRUE), ((N104 = FALSE)=TRUE), ((I104 &lt;&gt; "index")=TRUE))</f>
        <v>0</v>
      </c>
      <c r="R104" s="3" t="s">
        <v>1878</v>
      </c>
    </row>
    <row r="105">
      <c r="A105" s="3" t="s">
        <v>8955</v>
      </c>
      <c r="B105" s="4" t="str">
        <f>D105 &amp; " — " &amp; C105</f>
        <v>Which Untested Path Matters — /process-steward/knowledge/fallback-criticality</v>
      </c>
      <c r="C105" s="3" t="s">
        <v>8956</v>
      </c>
      <c r="D105" s="3" t="s">
        <v>8957</v>
      </c>
      <c r="E105" s="3" t="s">
        <v>8454</v>
      </c>
      <c r="F105" s="3" t="s">
        <v>244</v>
      </c>
      <c r="G105" s="3" t="s">
        <v>8422</v>
      </c>
      <c r="H105" s="3">
        <v>3</v>
      </c>
      <c r="I105" s="3" t="s">
        <v>8461</v>
      </c>
      <c r="J105" s="3" t="s">
        <v>8958</v>
      </c>
      <c r="K105" s="3" t="s">
        <v>8959</v>
      </c>
      <c r="L105" s="4" t="b">
        <f>G105 &lt;&gt; ""</f>
        <v>1</v>
      </c>
      <c r="M105" s="4" t="b">
        <f>AND(((F105 = "")=TRUE), ((E105 = "domain")=TRUE))</f>
        <v>0</v>
      </c>
      <c r="N105" s="4" t="b">
        <f>E105 = "maintainer"</f>
        <v>0</v>
      </c>
      <c r="O105" s="4">
        <f>COUNTIFS(AppRouteQuestions!C2:C152, A105)</f>
        <v>1</v>
      </c>
      <c r="P105" s="4">
        <f>COUNTIFS(AppRouteReferences!C2:C316, A105)</f>
        <v>2</v>
      </c>
      <c r="Q105" s="4" t="b">
        <f>AND(((O105 = 0)=TRUE), ((M105 = FALSE)=TRUE), ((N105 = FALSE)=TRUE), ((I105 &lt;&gt; "index")=TRUE))</f>
        <v>0</v>
      </c>
      <c r="R105" s="3" t="s">
        <v>1878</v>
      </c>
    </row>
    <row r="106">
      <c r="A106" s="3" t="s">
        <v>8960</v>
      </c>
      <c r="B106" s="4" t="str">
        <f>D106 &amp; " — " &amp; C106</f>
        <v>Predicates Naming Step Ids — /process-steward/model/hardcoded-predicates</v>
      </c>
      <c r="C106" s="3" t="s">
        <v>8961</v>
      </c>
      <c r="D106" s="3" t="s">
        <v>8962</v>
      </c>
      <c r="E106" s="3" t="s">
        <v>8454</v>
      </c>
      <c r="F106" s="3" t="s">
        <v>244</v>
      </c>
      <c r="G106" s="3" t="s">
        <v>8441</v>
      </c>
      <c r="H106" s="3">
        <v>1</v>
      </c>
      <c r="I106" s="3" t="s">
        <v>8461</v>
      </c>
      <c r="J106" s="3" t="s">
        <v>8963</v>
      </c>
      <c r="K106" s="3" t="s">
        <v>8964</v>
      </c>
      <c r="L106" s="4" t="b">
        <f>G106 &lt;&gt; ""</f>
        <v>1</v>
      </c>
      <c r="M106" s="4" t="b">
        <f>AND(((F106 = "")=TRUE), ((E106 = "domain")=TRUE))</f>
        <v>0</v>
      </c>
      <c r="N106" s="4" t="b">
        <f>E106 = "maintainer"</f>
        <v>0</v>
      </c>
      <c r="O106" s="4">
        <f>COUNTIFS(AppRouteQuestions!C2:C152, A106)</f>
        <v>1</v>
      </c>
      <c r="P106" s="4">
        <f>COUNTIFS(AppRouteReferences!C2:C316, A106)</f>
        <v>2</v>
      </c>
      <c r="Q106" s="4" t="b">
        <f>AND(((O106 = 0)=TRUE), ((M106 = FALSE)=TRUE), ((N106 = FALSE)=TRUE), ((I106 &lt;&gt; "index")=TRUE))</f>
        <v>0</v>
      </c>
      <c r="R106" s="3" t="s">
        <v>1878</v>
      </c>
    </row>
    <row r="107">
      <c r="A107" s="3" t="s">
        <v>8965</v>
      </c>
      <c r="B107" s="4" t="str">
        <f>D107 &amp; " — " &amp; C107</f>
        <v>Knowledge Register — /knowledge-authority/knowledge</v>
      </c>
      <c r="C107" s="3" t="s">
        <v>8966</v>
      </c>
      <c r="D107" s="3" t="s">
        <v>8967</v>
      </c>
      <c r="E107" s="3" t="s">
        <v>8454</v>
      </c>
      <c r="F107" s="3" t="s">
        <v>248</v>
      </c>
      <c r="G107" s="3" t="s">
        <v>8422</v>
      </c>
      <c r="H107" s="3">
        <v>1</v>
      </c>
      <c r="I107" s="3" t="s">
        <v>8455</v>
      </c>
      <c r="J107" s="3" t="s">
        <v>8968</v>
      </c>
      <c r="K107" s="3" t="s">
        <v>8969</v>
      </c>
      <c r="L107" s="4" t="b">
        <f>G107 &lt;&gt; ""</f>
        <v>1</v>
      </c>
      <c r="M107" s="4" t="b">
        <f>AND(((F107 = "")=TRUE), ((E107 = "domain")=TRUE))</f>
        <v>0</v>
      </c>
      <c r="N107" s="4" t="b">
        <f>E107 = "maintainer"</f>
        <v>0</v>
      </c>
      <c r="O107" s="4">
        <f>COUNTIFS(AppRouteQuestions!C2:C152, A107)</f>
        <v>2</v>
      </c>
      <c r="P107" s="4">
        <f>COUNTIFS(AppRouteReferences!C2:C316, A107)</f>
        <v>3</v>
      </c>
      <c r="Q107" s="4" t="b">
        <f>AND(((O107 = 0)=TRUE), ((M107 = FALSE)=TRUE), ((N107 = FALSE)=TRUE), ((I107 &lt;&gt; "index")=TRUE))</f>
        <v>0</v>
      </c>
      <c r="R107" s="3" t="s">
        <v>1878</v>
      </c>
    </row>
    <row r="108">
      <c r="A108" s="3" t="s">
        <v>8970</v>
      </c>
      <c r="B108" s="4" t="str">
        <f>D108 &amp; " — " &amp; C108</f>
        <v>Compound Fragility — /knowledge-authority/knowledge/compound-fragility</v>
      </c>
      <c r="C108" s="3" t="s">
        <v>8971</v>
      </c>
      <c r="D108" s="3" t="s">
        <v>8972</v>
      </c>
      <c r="E108" s="3" t="s">
        <v>8454</v>
      </c>
      <c r="F108" s="3" t="s">
        <v>248</v>
      </c>
      <c r="G108" s="3" t="s">
        <v>8422</v>
      </c>
      <c r="H108" s="3">
        <v>2</v>
      </c>
      <c r="I108" s="3" t="s">
        <v>8461</v>
      </c>
      <c r="J108" s="3" t="s">
        <v>8973</v>
      </c>
      <c r="K108" s="3" t="s">
        <v>8974</v>
      </c>
      <c r="L108" s="4" t="b">
        <f>G108 &lt;&gt; ""</f>
        <v>1</v>
      </c>
      <c r="M108" s="4" t="b">
        <f>AND(((F108 = "")=TRUE), ((E108 = "domain")=TRUE))</f>
        <v>0</v>
      </c>
      <c r="N108" s="4" t="b">
        <f>E108 = "maintainer"</f>
        <v>0</v>
      </c>
      <c r="O108" s="4">
        <f>COUNTIFS(AppRouteQuestions!C2:C152, A108)</f>
        <v>1</v>
      </c>
      <c r="P108" s="4">
        <f>COUNTIFS(AppRouteReferences!C2:C316, A108)</f>
        <v>2</v>
      </c>
      <c r="Q108" s="4" t="b">
        <f>AND(((O108 = 0)=TRUE), ((M108 = FALSE)=TRUE), ((N108 = FALSE)=TRUE), ((I108 &lt;&gt; "index")=TRUE))</f>
        <v>0</v>
      </c>
      <c r="R108" s="3" t="s">
        <v>1878</v>
      </c>
    </row>
    <row r="109">
      <c r="A109" s="3" t="s">
        <v>8975</v>
      </c>
      <c r="B109" s="4" t="str">
        <f>D109 &amp; " — " &amp; C109</f>
        <v>Unapproved but Live — /knowledge-authority/knowledge/unapproved-live</v>
      </c>
      <c r="C109" s="3" t="s">
        <v>8976</v>
      </c>
      <c r="D109" s="3" t="s">
        <v>8977</v>
      </c>
      <c r="E109" s="3" t="s">
        <v>8454</v>
      </c>
      <c r="F109" s="3" t="s">
        <v>248</v>
      </c>
      <c r="G109" s="3" t="s">
        <v>8422</v>
      </c>
      <c r="H109" s="3">
        <v>3</v>
      </c>
      <c r="I109" s="3" t="s">
        <v>8461</v>
      </c>
      <c r="J109" s="3" t="s">
        <v>8978</v>
      </c>
      <c r="K109" s="3" t="s">
        <v>8979</v>
      </c>
      <c r="L109" s="4" t="b">
        <f>G109 &lt;&gt; ""</f>
        <v>1</v>
      </c>
      <c r="M109" s="4" t="b">
        <f>AND(((F109 = "")=TRUE), ((E109 = "domain")=TRUE))</f>
        <v>0</v>
      </c>
      <c r="N109" s="4" t="b">
        <f>E109 = "maintainer"</f>
        <v>0</v>
      </c>
      <c r="O109" s="4">
        <f>COUNTIFS(AppRouteQuestions!C2:C152, A109)</f>
        <v>2</v>
      </c>
      <c r="P109" s="4">
        <f>COUNTIFS(AppRouteReferences!C2:C316, A109)</f>
        <v>2</v>
      </c>
      <c r="Q109" s="4" t="b">
        <f>AND(((O109 = 0)=TRUE), ((M109 = FALSE)=TRUE), ((N109 = FALSE)=TRUE), ((I109 &lt;&gt; "index")=TRUE))</f>
        <v>0</v>
      </c>
      <c r="R109" s="3" t="s">
        <v>1878</v>
      </c>
    </row>
    <row r="110">
      <c r="A110" s="3" t="s">
        <v>8980</v>
      </c>
      <c r="B110" s="4" t="str">
        <f>D110 &amp; " — " &amp; C110</f>
        <v>Unapproved Knowledge Reaching Machines — /knowledge-authority/knowledge/reaching-machines</v>
      </c>
      <c r="C110" s="3" t="s">
        <v>8981</v>
      </c>
      <c r="D110" s="3" t="s">
        <v>8982</v>
      </c>
      <c r="E110" s="3" t="s">
        <v>8454</v>
      </c>
      <c r="F110" s="3" t="s">
        <v>248</v>
      </c>
      <c r="G110" s="3" t="s">
        <v>8422</v>
      </c>
      <c r="H110" s="3">
        <v>4</v>
      </c>
      <c r="I110" s="3" t="s">
        <v>8461</v>
      </c>
      <c r="J110" s="3" t="s">
        <v>8983</v>
      </c>
      <c r="K110" s="3" t="s">
        <v>8984</v>
      </c>
      <c r="L110" s="4" t="b">
        <f>G110 &lt;&gt; ""</f>
        <v>1</v>
      </c>
      <c r="M110" s="4" t="b">
        <f>AND(((F110 = "")=TRUE), ((E110 = "domain")=TRUE))</f>
        <v>0</v>
      </c>
      <c r="N110" s="4" t="b">
        <f>E110 = "maintainer"</f>
        <v>0</v>
      </c>
      <c r="O110" s="4">
        <f>COUNTIFS(AppRouteQuestions!C2:C152, A110)</f>
        <v>1</v>
      </c>
      <c r="P110" s="4">
        <f>COUNTIFS(AppRouteReferences!C2:C316, A110)</f>
        <v>2</v>
      </c>
      <c r="Q110" s="4" t="b">
        <f>AND(((O110 = 0)=TRUE), ((M110 = FALSE)=TRUE), ((N110 = FALSE)=TRUE), ((I110 &lt;&gt; "index")=TRUE))</f>
        <v>0</v>
      </c>
      <c r="R110" s="3" t="s">
        <v>1878</v>
      </c>
    </row>
    <row r="111">
      <c r="A111" s="3" t="s">
        <v>8985</v>
      </c>
      <c r="B111" s="4" t="str">
        <f>D111 &amp; " — " &amp; C111</f>
        <v>Boundaries on Expired Claims — /knowledge-authority/governance/expired-ratifier</v>
      </c>
      <c r="C111" s="3" t="s">
        <v>8986</v>
      </c>
      <c r="D111" s="3" t="s">
        <v>8987</v>
      </c>
      <c r="E111" s="3" t="s">
        <v>8454</v>
      </c>
      <c r="F111" s="3" t="s">
        <v>248</v>
      </c>
      <c r="G111" s="3" t="s">
        <v>8424</v>
      </c>
      <c r="H111" s="3">
        <v>1</v>
      </c>
      <c r="I111" s="3" t="s">
        <v>8461</v>
      </c>
      <c r="J111" s="3" t="s">
        <v>8988</v>
      </c>
      <c r="K111" s="3" t="s">
        <v>8989</v>
      </c>
      <c r="L111" s="4" t="b">
        <f>G111 &lt;&gt; ""</f>
        <v>1</v>
      </c>
      <c r="M111" s="4" t="b">
        <f>AND(((F111 = "")=TRUE), ((E111 = "domain")=TRUE))</f>
        <v>0</v>
      </c>
      <c r="N111" s="4" t="b">
        <f>E111 = "maintainer"</f>
        <v>0</v>
      </c>
      <c r="O111" s="4">
        <f>COUNTIFS(AppRouteQuestions!C2:C152, A111)</f>
        <v>1</v>
      </c>
      <c r="P111" s="4">
        <f>COUNTIFS(AppRouteReferences!C2:C316, A111)</f>
        <v>2</v>
      </c>
      <c r="Q111" s="4" t="b">
        <f>AND(((O111 = 0)=TRUE), ((M111 = FALSE)=TRUE), ((N111 = FALSE)=TRUE), ((I111 &lt;&gt; "index")=TRUE))</f>
        <v>0</v>
      </c>
      <c r="R111" s="3" t="s">
        <v>1878</v>
      </c>
    </row>
    <row r="112">
      <c r="A112" s="3" t="s">
        <v>8990</v>
      </c>
      <c r="B112" s="4" t="str">
        <f>D112 &amp; " — " &amp; C112</f>
        <v>Orphaned Provenance — /knowledge-authority/governance/orphaned-provenance</v>
      </c>
      <c r="C112" s="3" t="s">
        <v>8991</v>
      </c>
      <c r="D112" s="3" t="s">
        <v>8992</v>
      </c>
      <c r="E112" s="3" t="s">
        <v>8454</v>
      </c>
      <c r="F112" s="3" t="s">
        <v>248</v>
      </c>
      <c r="G112" s="3" t="s">
        <v>8424</v>
      </c>
      <c r="H112" s="3">
        <v>2</v>
      </c>
      <c r="I112" s="3" t="s">
        <v>8461</v>
      </c>
      <c r="J112" s="3" t="s">
        <v>8993</v>
      </c>
      <c r="K112" s="3" t="s">
        <v>8994</v>
      </c>
      <c r="L112" s="4" t="b">
        <f>G112 &lt;&gt; ""</f>
        <v>1</v>
      </c>
      <c r="M112" s="4" t="b">
        <f>AND(((F112 = "")=TRUE), ((E112 = "domain")=TRUE))</f>
        <v>0</v>
      </c>
      <c r="N112" s="4" t="b">
        <f>E112 = "maintainer"</f>
        <v>0</v>
      </c>
      <c r="O112" s="4">
        <f>COUNTIFS(AppRouteQuestions!C2:C152, A112)</f>
        <v>1</v>
      </c>
      <c r="P112" s="4">
        <f>COUNTIFS(AppRouteReferences!C2:C316, A112)</f>
        <v>2</v>
      </c>
      <c r="Q112" s="4" t="b">
        <f>AND(((O112 = 0)=TRUE), ((M112 = FALSE)=TRUE), ((N112 = FALSE)=TRUE), ((I112 &lt;&gt; "index")=TRUE))</f>
        <v>0</v>
      </c>
      <c r="R112" s="3" t="s">
        <v>1878</v>
      </c>
    </row>
    <row r="113">
      <c r="A113" s="3" t="s">
        <v>8995</v>
      </c>
      <c r="B113" s="4" t="str">
        <f>D113 &amp; " — " &amp; C113</f>
        <v>Semantic Change Without a Witness — /knowledge-authority/governance/unwitnessed-change</v>
      </c>
      <c r="C113" s="3" t="s">
        <v>8996</v>
      </c>
      <c r="D113" s="3" t="s">
        <v>8997</v>
      </c>
      <c r="E113" s="3" t="s">
        <v>8454</v>
      </c>
      <c r="F113" s="3" t="s">
        <v>248</v>
      </c>
      <c r="G113" s="3" t="s">
        <v>8424</v>
      </c>
      <c r="H113" s="3">
        <v>3</v>
      </c>
      <c r="I113" s="3" t="s">
        <v>8461</v>
      </c>
      <c r="J113" s="3" t="s">
        <v>8998</v>
      </c>
      <c r="K113" s="3" t="s">
        <v>8999</v>
      </c>
      <c r="L113" s="4" t="b">
        <f>G113 &lt;&gt; ""</f>
        <v>1</v>
      </c>
      <c r="M113" s="4" t="b">
        <f>AND(((F113 = "")=TRUE), ((E113 = "domain")=TRUE))</f>
        <v>0</v>
      </c>
      <c r="N113" s="4" t="b">
        <f>E113 = "maintainer"</f>
        <v>0</v>
      </c>
      <c r="O113" s="4">
        <f>COUNTIFS(AppRouteQuestions!C2:C152, A113)</f>
        <v>1</v>
      </c>
      <c r="P113" s="4">
        <f>COUNTIFS(AppRouteReferences!C2:C316, A113)</f>
        <v>2</v>
      </c>
      <c r="Q113" s="4" t="b">
        <f>AND(((O113 = 0)=TRUE), ((M113 = FALSE)=TRUE), ((N113 = FALSE)=TRUE), ((I113 &lt;&gt; "index")=TRUE))</f>
        <v>0</v>
      </c>
      <c r="R113" s="3" t="s">
        <v>1878</v>
      </c>
    </row>
    <row r="114">
      <c r="A114" s="3" t="s">
        <v>9000</v>
      </c>
      <c r="B114" s="4" t="str">
        <f>D114 &amp; " — " &amp; C114</f>
        <v>How Old Is the Evidence — /knowledge-authority/knowledge/elicitation-age</v>
      </c>
      <c r="C114" s="3" t="s">
        <v>9001</v>
      </c>
      <c r="D114" s="3" t="s">
        <v>9002</v>
      </c>
      <c r="E114" s="3" t="s">
        <v>8454</v>
      </c>
      <c r="F114" s="3" t="s">
        <v>248</v>
      </c>
      <c r="G114" s="3" t="s">
        <v>8422</v>
      </c>
      <c r="H114" s="3">
        <v>5</v>
      </c>
      <c r="I114" s="3" t="s">
        <v>8461</v>
      </c>
      <c r="J114" s="3" t="s">
        <v>9003</v>
      </c>
      <c r="K114" s="3" t="s">
        <v>9004</v>
      </c>
      <c r="L114" s="4" t="b">
        <f>G114 &lt;&gt; ""</f>
        <v>1</v>
      </c>
      <c r="M114" s="4" t="b">
        <f>AND(((F114 = "")=TRUE), ((E114 = "domain")=TRUE))</f>
        <v>0</v>
      </c>
      <c r="N114" s="4" t="b">
        <f>E114 = "maintainer"</f>
        <v>0</v>
      </c>
      <c r="O114" s="4">
        <f>COUNTIFS(AppRouteQuestions!C2:C152, A114)</f>
        <v>1</v>
      </c>
      <c r="P114" s="4">
        <f>COUNTIFS(AppRouteReferences!C2:C316, A114)</f>
        <v>2</v>
      </c>
      <c r="Q114" s="4" t="b">
        <f>AND(((O114 = 0)=TRUE), ((M114 = FALSE)=TRUE), ((N114 = FALSE)=TRUE), ((I114 &lt;&gt; "index")=TRUE))</f>
        <v>0</v>
      </c>
      <c r="R114" s="3" t="s">
        <v>1878</v>
      </c>
    </row>
    <row r="115">
      <c r="A115" s="3" t="s">
        <v>9005</v>
      </c>
      <c r="B115" s="4" t="str">
        <f>D115 &amp; " — " &amp; C115</f>
        <v>Single-Witness Monoculture — /knowledge-authority/knowledge/method-monoculture</v>
      </c>
      <c r="C115" s="3" t="s">
        <v>9006</v>
      </c>
      <c r="D115" s="3" t="s">
        <v>9007</v>
      </c>
      <c r="E115" s="3" t="s">
        <v>8454</v>
      </c>
      <c r="F115" s="3" t="s">
        <v>248</v>
      </c>
      <c r="G115" s="3" t="s">
        <v>8422</v>
      </c>
      <c r="H115" s="3">
        <v>6</v>
      </c>
      <c r="I115" s="3" t="s">
        <v>8461</v>
      </c>
      <c r="J115" s="3" t="s">
        <v>9008</v>
      </c>
      <c r="K115" s="3" t="s">
        <v>9009</v>
      </c>
      <c r="L115" s="4" t="b">
        <f>G115 &lt;&gt; ""</f>
        <v>1</v>
      </c>
      <c r="M115" s="4" t="b">
        <f>AND(((F115 = "")=TRUE), ((E115 = "domain")=TRUE))</f>
        <v>0</v>
      </c>
      <c r="N115" s="4" t="b">
        <f>E115 = "maintainer"</f>
        <v>0</v>
      </c>
      <c r="O115" s="4">
        <f>COUNTIFS(AppRouteQuestions!C2:C152, A115)</f>
        <v>1</v>
      </c>
      <c r="P115" s="4">
        <f>COUNTIFS(AppRouteReferences!C2:C316, A115)</f>
        <v>2</v>
      </c>
      <c r="Q115" s="4" t="b">
        <f>AND(((O115 = 0)=TRUE), ((M115 = FALSE)=TRUE), ((N115 = FALSE)=TRUE), ((I115 &lt;&gt; "index")=TRUE))</f>
        <v>0</v>
      </c>
      <c r="R115" s="3" t="s">
        <v>1878</v>
      </c>
    </row>
    <row r="116">
      <c r="A116" s="3" t="s">
        <v>9010</v>
      </c>
      <c r="B116" s="4" t="str">
        <f>D116 &amp; " — " &amp; C116</f>
        <v>Known Unknowns — /knowledge-authority/knowledge/known-unknowns</v>
      </c>
      <c r="C116" s="3" t="s">
        <v>9011</v>
      </c>
      <c r="D116" s="3" t="s">
        <v>9012</v>
      </c>
      <c r="E116" s="3" t="s">
        <v>8454</v>
      </c>
      <c r="F116" s="3" t="s">
        <v>248</v>
      </c>
      <c r="G116" s="3" t="s">
        <v>8422</v>
      </c>
      <c r="H116" s="3">
        <v>7</v>
      </c>
      <c r="I116" s="3" t="s">
        <v>8461</v>
      </c>
      <c r="J116" s="3" t="s">
        <v>9013</v>
      </c>
      <c r="K116" s="3" t="s">
        <v>9014</v>
      </c>
      <c r="L116" s="4" t="b">
        <f>G116 &lt;&gt; ""</f>
        <v>1</v>
      </c>
      <c r="M116" s="4" t="b">
        <f>AND(((F116 = "")=TRUE), ((E116 = "domain")=TRUE))</f>
        <v>0</v>
      </c>
      <c r="N116" s="4" t="b">
        <f>E116 = "maintainer"</f>
        <v>0</v>
      </c>
      <c r="O116" s="4">
        <f>COUNTIFS(AppRouteQuestions!C2:C152, A116)</f>
        <v>1</v>
      </c>
      <c r="P116" s="4">
        <f>COUNTIFS(AppRouteReferences!C2:C316, A116)</f>
        <v>2</v>
      </c>
      <c r="Q116" s="4" t="b">
        <f>AND(((O116 = 0)=TRUE), ((M116 = FALSE)=TRUE), ((N116 = FALSE)=TRUE), ((I116 &lt;&gt; "index")=TRUE))</f>
        <v>0</v>
      </c>
      <c r="R116" s="3" t="s">
        <v>1878</v>
      </c>
    </row>
    <row r="117">
      <c r="A117" s="3" t="s">
        <v>9015</v>
      </c>
      <c r="B117" s="4" t="str">
        <f>D117 &amp; " — " &amp; C117</f>
        <v>Inferred, Not Recorded — /knowledge-authority/model/inferred-review-dates</v>
      </c>
      <c r="C117" s="3" t="s">
        <v>9016</v>
      </c>
      <c r="D117" s="3" t="s">
        <v>9017</v>
      </c>
      <c r="E117" s="3" t="s">
        <v>8454</v>
      </c>
      <c r="F117" s="3" t="s">
        <v>248</v>
      </c>
      <c r="G117" s="3" t="s">
        <v>8441</v>
      </c>
      <c r="H117" s="3">
        <v>1</v>
      </c>
      <c r="I117" s="3" t="s">
        <v>8461</v>
      </c>
      <c r="J117" s="3" t="s">
        <v>9018</v>
      </c>
      <c r="K117" s="3" t="s">
        <v>9019</v>
      </c>
      <c r="L117" s="4" t="b">
        <f>G117 &lt;&gt; ""</f>
        <v>1</v>
      </c>
      <c r="M117" s="4" t="b">
        <f>AND(((F117 = "")=TRUE), ((E117 = "domain")=TRUE))</f>
        <v>0</v>
      </c>
      <c r="N117" s="4" t="b">
        <f>E117 = "maintainer"</f>
        <v>0</v>
      </c>
      <c r="O117" s="4">
        <f>COUNTIFS(AppRouteQuestions!C2:C152, A117)</f>
        <v>1</v>
      </c>
      <c r="P117" s="4">
        <f>COUNTIFS(AppRouteReferences!C2:C316, A117)</f>
        <v>2</v>
      </c>
      <c r="Q117" s="4" t="b">
        <f>AND(((O117 = 0)=TRUE), ((M117 = FALSE)=TRUE), ((N117 = FALSE)=TRUE), ((I117 &lt;&gt; "index")=TRUE))</f>
        <v>0</v>
      </c>
      <c r="R117" s="3" t="s">
        <v>1878</v>
      </c>
    </row>
    <row r="118">
      <c r="A118" s="3" t="s">
        <v>9020</v>
      </c>
      <c r="B118" s="4" t="str">
        <f>D118 &amp; " — " &amp; C118</f>
        <v>Step Execution — /shared/step-execution/:stepExecutionId</v>
      </c>
      <c r="C118" s="3" t="s">
        <v>9021</v>
      </c>
      <c r="D118" s="3" t="s">
        <v>9022</v>
      </c>
      <c r="E118" s="3" t="s">
        <v>8454</v>
      </c>
      <c r="F118" s="3" t="s">
        <v>168</v>
      </c>
      <c r="G118" s="3" t="s">
        <v>168</v>
      </c>
      <c r="H118" s="3">
        <v>0</v>
      </c>
      <c r="I118" s="3" t="s">
        <v>8512</v>
      </c>
      <c r="J118" s="3" t="s">
        <v>9023</v>
      </c>
      <c r="K118" s="3" t="s">
        <v>9024</v>
      </c>
      <c r="L118" s="4" t="b">
        <f>G118 &lt;&gt; ""</f>
        <v>0</v>
      </c>
      <c r="M118" s="4" t="b">
        <f>AND(((F118 = "")=TRUE), ((E118 = "domain")=TRUE))</f>
        <v>1</v>
      </c>
      <c r="N118" s="4" t="b">
        <f>E118 = "maintainer"</f>
        <v>0</v>
      </c>
      <c r="O118" s="4">
        <f>COUNTIFS(AppRouteQuestions!C2:C152, A118)</f>
        <v>0</v>
      </c>
      <c r="P118" s="4">
        <f>COUNTIFS(AppRouteReferences!C2:C316, A118)</f>
        <v>2</v>
      </c>
      <c r="Q118" s="4" t="b">
        <f>AND(((O118 = 0)=TRUE), ((M118 = FALSE)=TRUE), ((N118 = FALSE)=TRUE), ((I118 &lt;&gt; "index")=TRUE))</f>
        <v>0</v>
      </c>
      <c r="R118" s="3" t="s">
        <v>1878</v>
      </c>
    </row>
    <row r="119">
      <c r="A119" s="3" t="s">
        <v>9025</v>
      </c>
      <c r="B119" s="4" t="str">
        <f>D119 &amp; " — " &amp; C119</f>
        <v>Requirement — /shared/requirement/:requirementId</v>
      </c>
      <c r="C119" s="3" t="s">
        <v>9026</v>
      </c>
      <c r="D119" s="3" t="s">
        <v>914</v>
      </c>
      <c r="E119" s="3" t="s">
        <v>8454</v>
      </c>
      <c r="F119" s="3" t="s">
        <v>168</v>
      </c>
      <c r="G119" s="3" t="s">
        <v>168</v>
      </c>
      <c r="H119" s="3">
        <v>0</v>
      </c>
      <c r="I119" s="3" t="s">
        <v>8512</v>
      </c>
      <c r="J119" s="3" t="s">
        <v>9027</v>
      </c>
      <c r="K119" s="3" t="s">
        <v>9028</v>
      </c>
      <c r="L119" s="4" t="b">
        <f>G119 &lt;&gt; ""</f>
        <v>0</v>
      </c>
      <c r="M119" s="4" t="b">
        <f>AND(((F119 = "")=TRUE), ((E119 = "domain")=TRUE))</f>
        <v>1</v>
      </c>
      <c r="N119" s="4" t="b">
        <f>E119 = "maintainer"</f>
        <v>0</v>
      </c>
      <c r="O119" s="4">
        <f>COUNTIFS(AppRouteQuestions!C2:C152, A119)</f>
        <v>0</v>
      </c>
      <c r="P119" s="4">
        <f>COUNTIFS(AppRouteReferences!C2:C316, A119)</f>
        <v>2</v>
      </c>
      <c r="Q119" s="4" t="b">
        <f>AND(((O119 = 0)=TRUE), ((M119 = FALSE)=TRUE), ((N119 = FALSE)=TRUE), ((I119 &lt;&gt; "index")=TRUE))</f>
        <v>0</v>
      </c>
      <c r="R119" s="3" t="s">
        <v>1878</v>
      </c>
    </row>
    <row r="120">
      <c r="A120" s="3" t="s">
        <v>9029</v>
      </c>
      <c r="B120" s="4" t="str">
        <f>D120 &amp; " — " &amp; C120</f>
        <v>Knowledge Fragment — /shared/knowledge-fragment/:fragmentId</v>
      </c>
      <c r="C120" s="3" t="s">
        <v>9030</v>
      </c>
      <c r="D120" s="3" t="s">
        <v>9031</v>
      </c>
      <c r="E120" s="3" t="s">
        <v>8454</v>
      </c>
      <c r="F120" s="3" t="s">
        <v>168</v>
      </c>
      <c r="G120" s="3" t="s">
        <v>168</v>
      </c>
      <c r="H120" s="3">
        <v>0</v>
      </c>
      <c r="I120" s="3" t="s">
        <v>8512</v>
      </c>
      <c r="J120" s="3" t="s">
        <v>9032</v>
      </c>
      <c r="K120" s="3" t="s">
        <v>9033</v>
      </c>
      <c r="L120" s="4" t="b">
        <f>G120 &lt;&gt; ""</f>
        <v>0</v>
      </c>
      <c r="M120" s="4" t="b">
        <f>AND(((F120 = "")=TRUE), ((E120 = "domain")=TRUE))</f>
        <v>1</v>
      </c>
      <c r="N120" s="4" t="b">
        <f>E120 = "maintainer"</f>
        <v>0</v>
      </c>
      <c r="O120" s="4">
        <f>COUNTIFS(AppRouteQuestions!C2:C152, A120)</f>
        <v>0</v>
      </c>
      <c r="P120" s="4">
        <f>COUNTIFS(AppRouteReferences!C2:C316, A120)</f>
        <v>2</v>
      </c>
      <c r="Q120" s="4" t="b">
        <f>AND(((O120 = 0)=TRUE), ((M120 = FALSE)=TRUE), ((N120 = FALSE)=TRUE), ((I120 &lt;&gt; "index")=TRUE))</f>
        <v>0</v>
      </c>
      <c r="R120" s="3" t="s">
        <v>1878</v>
      </c>
    </row>
    <row r="121">
      <c r="A121" s="3" t="s">
        <v>9034</v>
      </c>
      <c r="B121" s="4" t="str">
        <f>D121 &amp; " — " &amp; C121</f>
        <v>Change Request — /shared/change-request/:changeRequestId</v>
      </c>
      <c r="C121" s="3" t="s">
        <v>9035</v>
      </c>
      <c r="D121" s="3" t="s">
        <v>9036</v>
      </c>
      <c r="E121" s="3" t="s">
        <v>8454</v>
      </c>
      <c r="F121" s="3" t="s">
        <v>168</v>
      </c>
      <c r="G121" s="3" t="s">
        <v>168</v>
      </c>
      <c r="H121" s="3">
        <v>0</v>
      </c>
      <c r="I121" s="3" t="s">
        <v>8512</v>
      </c>
      <c r="J121" s="3" t="s">
        <v>9037</v>
      </c>
      <c r="K121" s="3" t="s">
        <v>9038</v>
      </c>
      <c r="L121" s="4" t="b">
        <f>G121 &lt;&gt; ""</f>
        <v>0</v>
      </c>
      <c r="M121" s="4" t="b">
        <f>AND(((F121 = "")=TRUE), ((E121 = "domain")=TRUE))</f>
        <v>1</v>
      </c>
      <c r="N121" s="4" t="b">
        <f>E121 = "maintainer"</f>
        <v>0</v>
      </c>
      <c r="O121" s="4">
        <f>COUNTIFS(AppRouteQuestions!C2:C152, A121)</f>
        <v>0</v>
      </c>
      <c r="P121" s="4">
        <f>COUNTIFS(AppRouteReferences!C2:C316, A121)</f>
        <v>2</v>
      </c>
      <c r="Q121" s="4" t="b">
        <f>AND(((O121 = 0)=TRUE), ((M121 = FALSE)=TRUE), ((N121 = FALSE)=TRUE), ((I121 &lt;&gt; "index")=TRUE))</f>
        <v>0</v>
      </c>
      <c r="R121" s="3" t="s">
        <v>1878</v>
      </c>
    </row>
    <row r="122">
      <c r="A122" s="3" t="s">
        <v>9039</v>
      </c>
      <c r="B122" s="4" t="str">
        <f>D122 &amp; " — " &amp; C122</f>
        <v>Exception — /shared/exception/:exceptionId</v>
      </c>
      <c r="C122" s="3" t="s">
        <v>9040</v>
      </c>
      <c r="D122" s="3" t="s">
        <v>4293</v>
      </c>
      <c r="E122" s="3" t="s">
        <v>8454</v>
      </c>
      <c r="F122" s="3" t="s">
        <v>168</v>
      </c>
      <c r="G122" s="3" t="s">
        <v>168</v>
      </c>
      <c r="H122" s="3">
        <v>0</v>
      </c>
      <c r="I122" s="3" t="s">
        <v>8512</v>
      </c>
      <c r="J122" s="3" t="s">
        <v>9041</v>
      </c>
      <c r="K122" s="3" t="s">
        <v>9042</v>
      </c>
      <c r="L122" s="4" t="b">
        <f>G122 &lt;&gt; ""</f>
        <v>0</v>
      </c>
      <c r="M122" s="4" t="b">
        <f>AND(((F122 = "")=TRUE), ((E122 = "domain")=TRUE))</f>
        <v>1</v>
      </c>
      <c r="N122" s="4" t="b">
        <f>E122 = "maintainer"</f>
        <v>0</v>
      </c>
      <c r="O122" s="4">
        <f>COUNTIFS(AppRouteQuestions!C2:C152, A122)</f>
        <v>0</v>
      </c>
      <c r="P122" s="4">
        <f>COUNTIFS(AppRouteReferences!C2:C316, A122)</f>
        <v>2</v>
      </c>
      <c r="Q122" s="4" t="b">
        <f>AND(((O122 = 0)=TRUE), ((M122 = FALSE)=TRUE), ((N122 = FALSE)=TRUE), ((I122 &lt;&gt; "index")=TRUE))</f>
        <v>0</v>
      </c>
      <c r="R122" s="3" t="s">
        <v>1878</v>
      </c>
    </row>
    <row r="123">
      <c r="A123" s="3" t="s">
        <v>9043</v>
      </c>
      <c r="B123" s="4" t="str">
        <f>D123 &amp; " — " &amp; C123</f>
        <v>Role Assignment — /shared/role-assignment/:assignmentId</v>
      </c>
      <c r="C123" s="3" t="s">
        <v>9044</v>
      </c>
      <c r="D123" s="3" t="s">
        <v>9045</v>
      </c>
      <c r="E123" s="3" t="s">
        <v>8454</v>
      </c>
      <c r="F123" s="3" t="s">
        <v>168</v>
      </c>
      <c r="G123" s="3" t="s">
        <v>168</v>
      </c>
      <c r="H123" s="3">
        <v>0</v>
      </c>
      <c r="I123" s="3" t="s">
        <v>8512</v>
      </c>
      <c r="J123" s="3" t="s">
        <v>9046</v>
      </c>
      <c r="K123" s="3" t="s">
        <v>9047</v>
      </c>
      <c r="L123" s="4" t="b">
        <f>G123 &lt;&gt; ""</f>
        <v>0</v>
      </c>
      <c r="M123" s="4" t="b">
        <f>AND(((F123 = "")=TRUE), ((E123 = "domain")=TRUE))</f>
        <v>1</v>
      </c>
      <c r="N123" s="4" t="b">
        <f>E123 = "maintainer"</f>
        <v>0</v>
      </c>
      <c r="O123" s="4">
        <f>COUNTIFS(AppRouteQuestions!C2:C152, A123)</f>
        <v>0</v>
      </c>
      <c r="P123" s="4">
        <f>COUNTIFS(AppRouteReferences!C2:C316, A123)</f>
        <v>2</v>
      </c>
      <c r="Q123" s="4" t="b">
        <f>AND(((O123 = 0)=TRUE), ((M123 = FALSE)=TRUE), ((N123 = FALSE)=TRUE), ((I123 &lt;&gt; "index")=TRUE))</f>
        <v>0</v>
      </c>
      <c r="R123" s="3" t="s">
        <v>1878</v>
      </c>
    </row>
    <row r="124">
      <c r="A124" s="3" t="s">
        <v>9048</v>
      </c>
      <c r="B124" s="4" t="str">
        <f>D124 &amp; " — " &amp; C124</f>
        <v>Operational Binding — /shared/operational-binding/:bindingId</v>
      </c>
      <c r="C124" s="3" t="s">
        <v>9049</v>
      </c>
      <c r="D124" s="3" t="s">
        <v>9050</v>
      </c>
      <c r="E124" s="3" t="s">
        <v>8454</v>
      </c>
      <c r="F124" s="3" t="s">
        <v>168</v>
      </c>
      <c r="G124" s="3" t="s">
        <v>168</v>
      </c>
      <c r="H124" s="3">
        <v>0</v>
      </c>
      <c r="I124" s="3" t="s">
        <v>8512</v>
      </c>
      <c r="J124" s="3" t="s">
        <v>9051</v>
      </c>
      <c r="K124" s="3" t="s">
        <v>9052</v>
      </c>
      <c r="L124" s="4" t="b">
        <f>G124 &lt;&gt; ""</f>
        <v>0</v>
      </c>
      <c r="M124" s="4" t="b">
        <f>AND(((F124 = "")=TRUE), ((E124 = "domain")=TRUE))</f>
        <v>1</v>
      </c>
      <c r="N124" s="4" t="b">
        <f>E124 = "maintainer"</f>
        <v>0</v>
      </c>
      <c r="O124" s="4">
        <f>COUNTIFS(AppRouteQuestions!C2:C152, A124)</f>
        <v>0</v>
      </c>
      <c r="P124" s="4">
        <f>COUNTIFS(AppRouteReferences!C2:C316, A124)</f>
        <v>2</v>
      </c>
      <c r="Q124" s="4" t="b">
        <f>AND(((O124 = 0)=TRUE), ((M124 = FALSE)=TRUE), ((N124 = FALSE)=TRUE), ((I124 &lt;&gt; "index")=TRUE))</f>
        <v>0</v>
      </c>
      <c r="R124" s="3" t="s">
        <v>1878</v>
      </c>
    </row>
    <row r="125">
      <c r="A125" s="3" t="s">
        <v>9053</v>
      </c>
      <c r="B125" s="4" t="str">
        <f>D125 &amp; " — " &amp; C125</f>
        <v>Delivery — /shared/delivery/:deliveryId</v>
      </c>
      <c r="C125" s="3" t="s">
        <v>9054</v>
      </c>
      <c r="D125" s="3" t="s">
        <v>8426</v>
      </c>
      <c r="E125" s="3" t="s">
        <v>8454</v>
      </c>
      <c r="F125" s="3" t="s">
        <v>168</v>
      </c>
      <c r="G125" s="3" t="s">
        <v>168</v>
      </c>
      <c r="H125" s="3">
        <v>0</v>
      </c>
      <c r="I125" s="3" t="s">
        <v>8512</v>
      </c>
      <c r="J125" s="3" t="s">
        <v>9055</v>
      </c>
      <c r="K125" s="3" t="s">
        <v>9056</v>
      </c>
      <c r="L125" s="4" t="b">
        <f>G125 &lt;&gt; ""</f>
        <v>0</v>
      </c>
      <c r="M125" s="4" t="b">
        <f>AND(((F125 = "")=TRUE), ((E125 = "domain")=TRUE))</f>
        <v>1</v>
      </c>
      <c r="N125" s="4" t="b">
        <f>E125 = "maintainer"</f>
        <v>0</v>
      </c>
      <c r="O125" s="4">
        <f>COUNTIFS(AppRouteQuestions!C2:C152, A125)</f>
        <v>0</v>
      </c>
      <c r="P125" s="4">
        <f>COUNTIFS(AppRouteReferences!C2:C316, A125)</f>
        <v>2</v>
      </c>
      <c r="Q125" s="4" t="b">
        <f>AND(((O125 = 0)=TRUE), ((M125 = FALSE)=TRUE), ((N125 = FALSE)=TRUE), ((I125 &lt;&gt; "index")=TRUE))</f>
        <v>0</v>
      </c>
      <c r="R125" s="3" t="s">
        <v>1878</v>
      </c>
    </row>
    <row r="126">
      <c r="A126" s="3" t="s">
        <v>9057</v>
      </c>
      <c r="B126" s="4" t="str">
        <f>D126 &amp; " — " &amp; C126</f>
        <v>Recipient — /shared/recipient/:recipientId</v>
      </c>
      <c r="C126" s="3" t="s">
        <v>9058</v>
      </c>
      <c r="D126" s="3" t="s">
        <v>4451</v>
      </c>
      <c r="E126" s="3" t="s">
        <v>8454</v>
      </c>
      <c r="F126" s="3" t="s">
        <v>168</v>
      </c>
      <c r="G126" s="3" t="s">
        <v>168</v>
      </c>
      <c r="H126" s="3">
        <v>0</v>
      </c>
      <c r="I126" s="3" t="s">
        <v>8512</v>
      </c>
      <c r="J126" s="3" t="s">
        <v>9059</v>
      </c>
      <c r="K126" s="3" t="s">
        <v>9060</v>
      </c>
      <c r="L126" s="4" t="b">
        <f>G126 &lt;&gt; ""</f>
        <v>0</v>
      </c>
      <c r="M126" s="4" t="b">
        <f>AND(((F126 = "")=TRUE), ((E126 = "domain")=TRUE))</f>
        <v>1</v>
      </c>
      <c r="N126" s="4" t="b">
        <f>E126 = "maintainer"</f>
        <v>0</v>
      </c>
      <c r="O126" s="4">
        <f>COUNTIFS(AppRouteQuestions!C2:C152, A126)</f>
        <v>0</v>
      </c>
      <c r="P126" s="4">
        <f>COUNTIFS(AppRouteReferences!C2:C316, A126)</f>
        <v>2</v>
      </c>
      <c r="Q126" s="4" t="b">
        <f>AND(((O126 = 0)=TRUE), ((M126 = FALSE)=TRUE), ((N126 = FALSE)=TRUE), ((I126 &lt;&gt; "index")=TRUE))</f>
        <v>0</v>
      </c>
      <c r="R126" s="3" t="s">
        <v>1878</v>
      </c>
    </row>
    <row r="127">
      <c r="A127" s="3" t="s">
        <v>9061</v>
      </c>
      <c r="B127" s="4" t="str">
        <f>D127 &amp; " — " &amp; C127</f>
        <v>Message Template — /shared/template/:templateId</v>
      </c>
      <c r="C127" s="3" t="s">
        <v>9062</v>
      </c>
      <c r="D127" s="3" t="s">
        <v>9063</v>
      </c>
      <c r="E127" s="3" t="s">
        <v>8454</v>
      </c>
      <c r="F127" s="3" t="s">
        <v>168</v>
      </c>
      <c r="G127" s="3" t="s">
        <v>168</v>
      </c>
      <c r="H127" s="3">
        <v>0</v>
      </c>
      <c r="I127" s="3" t="s">
        <v>8512</v>
      </c>
      <c r="J127" s="3" t="s">
        <v>9064</v>
      </c>
      <c r="K127" s="3" t="s">
        <v>9065</v>
      </c>
      <c r="L127" s="4" t="b">
        <f>G127 &lt;&gt; ""</f>
        <v>0</v>
      </c>
      <c r="M127" s="4" t="b">
        <f>AND(((F127 = "")=TRUE), ((E127 = "domain")=TRUE))</f>
        <v>1</v>
      </c>
      <c r="N127" s="4" t="b">
        <f>E127 = "maintainer"</f>
        <v>0</v>
      </c>
      <c r="O127" s="4">
        <f>COUNTIFS(AppRouteQuestions!C2:C152, A127)</f>
        <v>0</v>
      </c>
      <c r="P127" s="4">
        <f>COUNTIFS(AppRouteReferences!C2:C316, A127)</f>
        <v>2</v>
      </c>
      <c r="Q127" s="4" t="b">
        <f>AND(((O127 = 0)=TRUE), ((M127 = FALSE)=TRUE), ((N127 = FALSE)=TRUE), ((I127 &lt;&gt; "index")=TRUE))</f>
        <v>0</v>
      </c>
      <c r="R127" s="3" t="s">
        <v>1878</v>
      </c>
    </row>
    <row r="128">
      <c r="A128" s="3" t="s">
        <v>9066</v>
      </c>
      <c r="B128" s="4" t="str">
        <f>D128 &amp; " — " &amp; C128</f>
        <v>Procedure Version — /shared/procedure-version/:versionId</v>
      </c>
      <c r="C128" s="3" t="s">
        <v>9067</v>
      </c>
      <c r="D128" s="3" t="s">
        <v>9068</v>
      </c>
      <c r="E128" s="3" t="s">
        <v>8454</v>
      </c>
      <c r="F128" s="3" t="s">
        <v>168</v>
      </c>
      <c r="G128" s="3" t="s">
        <v>168</v>
      </c>
      <c r="H128" s="3">
        <v>0</v>
      </c>
      <c r="I128" s="3" t="s">
        <v>8512</v>
      </c>
      <c r="J128" s="3" t="s">
        <v>9069</v>
      </c>
      <c r="K128" s="3" t="s">
        <v>9070</v>
      </c>
      <c r="L128" s="4" t="b">
        <f>G128 &lt;&gt; ""</f>
        <v>0</v>
      </c>
      <c r="M128" s="4" t="b">
        <f>AND(((F128 = "")=TRUE), ((E128 = "domain")=TRUE))</f>
        <v>1</v>
      </c>
      <c r="N128" s="4" t="b">
        <f>E128 = "maintainer"</f>
        <v>0</v>
      </c>
      <c r="O128" s="4">
        <f>COUNTIFS(AppRouteQuestions!C2:C152, A128)</f>
        <v>0</v>
      </c>
      <c r="P128" s="4">
        <f>COUNTIFS(AppRouteReferences!C2:C316, A128)</f>
        <v>2</v>
      </c>
      <c r="Q128" s="4" t="b">
        <f>AND(((O128 = 0)=TRUE), ((M128 = FALSE)=TRUE), ((N128 = FALSE)=TRUE), ((I128 &lt;&gt; "index")=TRUE))</f>
        <v>0</v>
      </c>
      <c r="R128" s="3" t="s">
        <v>1878</v>
      </c>
    </row>
    <row r="129">
      <c r="A129" s="3" t="s">
        <v>9071</v>
      </c>
      <c r="B129" s="4" t="str">
        <f>D129 &amp; " — " &amp; C129</f>
        <v>Knowledge Gap — /shared/knowledge-gap/:gapId</v>
      </c>
      <c r="C129" s="3" t="s">
        <v>9072</v>
      </c>
      <c r="D129" s="3" t="s">
        <v>9073</v>
      </c>
      <c r="E129" s="3" t="s">
        <v>8454</v>
      </c>
      <c r="F129" s="3" t="s">
        <v>168</v>
      </c>
      <c r="G129" s="3" t="s">
        <v>168</v>
      </c>
      <c r="H129" s="3">
        <v>0</v>
      </c>
      <c r="I129" s="3" t="s">
        <v>8512</v>
      </c>
      <c r="J129" s="3" t="s">
        <v>9074</v>
      </c>
      <c r="K129" s="3" t="s">
        <v>9075</v>
      </c>
      <c r="L129" s="4" t="b">
        <f>G129 &lt;&gt; ""</f>
        <v>0</v>
      </c>
      <c r="M129" s="4" t="b">
        <f>AND(((F129 = "")=TRUE), ((E129 = "domain")=TRUE))</f>
        <v>1</v>
      </c>
      <c r="N129" s="4" t="b">
        <f>E129 = "maintainer"</f>
        <v>0</v>
      </c>
      <c r="O129" s="4">
        <f>COUNTIFS(AppRouteQuestions!C2:C152, A129)</f>
        <v>0</v>
      </c>
      <c r="P129" s="4">
        <f>COUNTIFS(AppRouteReferences!C2:C316, A129)</f>
        <v>2</v>
      </c>
      <c r="Q129" s="4" t="b">
        <f>AND(((O129 = 0)=TRUE), ((M129 = FALSE)=TRUE), ((N129 = FALSE)=TRUE), ((I129 &lt;&gt; "index")=TRUE))</f>
        <v>0</v>
      </c>
      <c r="R129" s="3" t="s">
        <v>1878</v>
      </c>
    </row>
    <row r="130">
      <c r="A130" s="3" t="s">
        <v>9076</v>
      </c>
      <c r="B130" s="4" t="str">
        <f>D130 &amp; " — " &amp; C130</f>
        <v>Verification Outcome — /shared/verification-outcome/:outcomeId</v>
      </c>
      <c r="C130" s="3" t="s">
        <v>9077</v>
      </c>
      <c r="D130" s="3" t="s">
        <v>9078</v>
      </c>
      <c r="E130" s="3" t="s">
        <v>8454</v>
      </c>
      <c r="F130" s="3" t="s">
        <v>168</v>
      </c>
      <c r="G130" s="3" t="s">
        <v>168</v>
      </c>
      <c r="H130" s="3">
        <v>0</v>
      </c>
      <c r="I130" s="3" t="s">
        <v>8512</v>
      </c>
      <c r="J130" s="3" t="s">
        <v>9079</v>
      </c>
      <c r="K130" s="3" t="s">
        <v>9080</v>
      </c>
      <c r="L130" s="4" t="b">
        <f>G130 &lt;&gt; ""</f>
        <v>0</v>
      </c>
      <c r="M130" s="4" t="b">
        <f>AND(((F130 = "")=TRUE), ((E130 = "domain")=TRUE))</f>
        <v>1</v>
      </c>
      <c r="N130" s="4" t="b">
        <f>E130 = "maintainer"</f>
        <v>0</v>
      </c>
      <c r="O130" s="4">
        <f>COUNTIFS(AppRouteQuestions!C2:C152, A130)</f>
        <v>0</v>
      </c>
      <c r="P130" s="4">
        <f>COUNTIFS(AppRouteReferences!C2:C316, A130)</f>
        <v>2</v>
      </c>
      <c r="Q130" s="4" t="b">
        <f>AND(((O130 = 0)=TRUE), ((M130 = FALSE)=TRUE), ((N130 = FALSE)=TRUE), ((I130 &lt;&gt; "index")=TRUE))</f>
        <v>0</v>
      </c>
      <c r="R130" s="3" t="s">
        <v>1878</v>
      </c>
    </row>
    <row r="131">
      <c r="A131" s="3" t="s">
        <v>9081</v>
      </c>
      <c r="B131" s="4" t="str">
        <f>D131 &amp; " — " &amp; C131</f>
        <v>Review Event — /shared/review-event/:reviewId</v>
      </c>
      <c r="C131" s="3" t="s">
        <v>9082</v>
      </c>
      <c r="D131" s="3" t="s">
        <v>9083</v>
      </c>
      <c r="E131" s="3" t="s">
        <v>8454</v>
      </c>
      <c r="F131" s="3" t="s">
        <v>168</v>
      </c>
      <c r="G131" s="3" t="s">
        <v>168</v>
      </c>
      <c r="H131" s="3">
        <v>0</v>
      </c>
      <c r="I131" s="3" t="s">
        <v>8512</v>
      </c>
      <c r="J131" s="3" t="s">
        <v>9084</v>
      </c>
      <c r="K131" s="3" t="s">
        <v>9085</v>
      </c>
      <c r="L131" s="4" t="b">
        <f>G131 &lt;&gt; ""</f>
        <v>0</v>
      </c>
      <c r="M131" s="4" t="b">
        <f>AND(((F131 = "")=TRUE), ((E131 = "domain")=TRUE))</f>
        <v>1</v>
      </c>
      <c r="N131" s="4" t="b">
        <f>E131 = "maintainer"</f>
        <v>0</v>
      </c>
      <c r="O131" s="4">
        <f>COUNTIFS(AppRouteQuestions!C2:C152, A131)</f>
        <v>0</v>
      </c>
      <c r="P131" s="4">
        <f>COUNTIFS(AppRouteReferences!C2:C316, A131)</f>
        <v>2</v>
      </c>
      <c r="Q131" s="4" t="b">
        <f>AND(((O131 = 0)=TRUE), ((M131 = FALSE)=TRUE), ((N131 = FALSE)=TRUE), ((I131 &lt;&gt; "index")=TRUE))</f>
        <v>0</v>
      </c>
      <c r="R131" s="3" t="s">
        <v>1878</v>
      </c>
    </row>
    <row r="132">
      <c r="A132" s="3" t="s">
        <v>9086</v>
      </c>
      <c r="B132" s="4" t="str">
        <f>D132 &amp; " — " &amp; C132</f>
        <v>Elicitation Session — /shared/elicitation-session/:sessionId</v>
      </c>
      <c r="C132" s="3" t="s">
        <v>9087</v>
      </c>
      <c r="D132" s="3" t="s">
        <v>9088</v>
      </c>
      <c r="E132" s="3" t="s">
        <v>8454</v>
      </c>
      <c r="F132" s="3" t="s">
        <v>168</v>
      </c>
      <c r="G132" s="3" t="s">
        <v>168</v>
      </c>
      <c r="H132" s="3">
        <v>0</v>
      </c>
      <c r="I132" s="3" t="s">
        <v>8512</v>
      </c>
      <c r="J132" s="3" t="s">
        <v>9089</v>
      </c>
      <c r="K132" s="3" t="s">
        <v>9090</v>
      </c>
      <c r="L132" s="4" t="b">
        <f>G132 &lt;&gt; ""</f>
        <v>0</v>
      </c>
      <c r="M132" s="4" t="b">
        <f>AND(((F132 = "")=TRUE), ((E132 = "domain")=TRUE))</f>
        <v>1</v>
      </c>
      <c r="N132" s="4" t="b">
        <f>E132 = "maintainer"</f>
        <v>0</v>
      </c>
      <c r="O132" s="4">
        <f>COUNTIFS(AppRouteQuestions!C2:C152, A132)</f>
        <v>0</v>
      </c>
      <c r="P132" s="4">
        <f>COUNTIFS(AppRouteReferences!C2:C316, A132)</f>
        <v>2</v>
      </c>
      <c r="Q132" s="4" t="b">
        <f>AND(((O132 = 0)=TRUE), ((M132 = FALSE)=TRUE), ((N132 = FALSE)=TRUE), ((I132 &lt;&gt; "index")=TRUE))</f>
        <v>0</v>
      </c>
      <c r="R132" s="3" t="s">
        <v>1878</v>
      </c>
    </row>
    <row r="133">
      <c r="A133" s="3" t="s">
        <v>9091</v>
      </c>
      <c r="B133" s="4" t="str">
        <f>D133 &amp; " — " &amp; C133</f>
        <v>Step Transition — /shared/transition/:transitionId</v>
      </c>
      <c r="C133" s="3" t="s">
        <v>9092</v>
      </c>
      <c r="D133" s="3" t="s">
        <v>9093</v>
      </c>
      <c r="E133" s="3" t="s">
        <v>8454</v>
      </c>
      <c r="F133" s="3" t="s">
        <v>168</v>
      </c>
      <c r="G133" s="3" t="s">
        <v>168</v>
      </c>
      <c r="H133" s="3">
        <v>0</v>
      </c>
      <c r="I133" s="3" t="s">
        <v>8512</v>
      </c>
      <c r="J133" s="3" t="s">
        <v>9094</v>
      </c>
      <c r="K133" s="3" t="s">
        <v>9095</v>
      </c>
      <c r="L133" s="4" t="b">
        <f>G133 &lt;&gt; ""</f>
        <v>0</v>
      </c>
      <c r="M133" s="4" t="b">
        <f>AND(((F133 = "")=TRUE), ((E133 = "domain")=TRUE))</f>
        <v>1</v>
      </c>
      <c r="N133" s="4" t="b">
        <f>E133 = "maintainer"</f>
        <v>0</v>
      </c>
      <c r="O133" s="4">
        <f>COUNTIFS(AppRouteQuestions!C2:C152, A133)</f>
        <v>0</v>
      </c>
      <c r="P133" s="4">
        <f>COUNTIFS(AppRouteReferences!C2:C316, A133)</f>
        <v>2</v>
      </c>
      <c r="Q133" s="4" t="b">
        <f>AND(((O133 = 0)=TRUE), ((M133 = FALSE)=TRUE), ((N133 = FALSE)=TRUE), ((I133 &lt;&gt; "index")=TRUE))</f>
        <v>0</v>
      </c>
      <c r="R133" s="3" t="s">
        <v>1878</v>
      </c>
    </row>
    <row r="134">
      <c r="A134" s="3" t="s">
        <v>9096</v>
      </c>
      <c r="B134" s="4" t="str">
        <f>D134 &amp; " — " &amp; C134</f>
        <v>Authority Boundary — /shared/authority-boundary/:boundaryId</v>
      </c>
      <c r="C134" s="3" t="s">
        <v>9097</v>
      </c>
      <c r="D134" s="3" t="s">
        <v>9098</v>
      </c>
      <c r="E134" s="3" t="s">
        <v>8454</v>
      </c>
      <c r="F134" s="3" t="s">
        <v>168</v>
      </c>
      <c r="G134" s="3" t="s">
        <v>168</v>
      </c>
      <c r="H134" s="3">
        <v>0</v>
      </c>
      <c r="I134" s="3" t="s">
        <v>8512</v>
      </c>
      <c r="J134" s="3" t="s">
        <v>9099</v>
      </c>
      <c r="K134" s="3" t="s">
        <v>9100</v>
      </c>
      <c r="L134" s="4" t="b">
        <f>G134 &lt;&gt; ""</f>
        <v>0</v>
      </c>
      <c r="M134" s="4" t="b">
        <f>AND(((F134 = "")=TRUE), ((E134 = "domain")=TRUE))</f>
        <v>1</v>
      </c>
      <c r="N134" s="4" t="b">
        <f>E134 = "maintainer"</f>
        <v>0</v>
      </c>
      <c r="O134" s="4">
        <f>COUNTIFS(AppRouteQuestions!C2:C152, A134)</f>
        <v>0</v>
      </c>
      <c r="P134" s="4">
        <f>COUNTIFS(AppRouteReferences!C2:C316, A134)</f>
        <v>2</v>
      </c>
      <c r="Q134" s="4" t="b">
        <f>AND(((O134 = 0)=TRUE), ((M134 = FALSE)=TRUE), ((N134 = FALSE)=TRUE), ((I134 &lt;&gt; "index")=TRUE))</f>
        <v>0</v>
      </c>
      <c r="R134" s="3" t="s">
        <v>1878</v>
      </c>
    </row>
    <row r="135">
      <c r="A135" s="3" t="s">
        <v>9101</v>
      </c>
      <c r="B135" s="4" t="str">
        <f>D135 &amp; " — " &amp; C135</f>
        <v>Evaluation Context — /shared/evaluation-context</v>
      </c>
      <c r="C135" s="3" t="s">
        <v>9102</v>
      </c>
      <c r="D135" s="3" t="s">
        <v>9103</v>
      </c>
      <c r="E135" s="3" t="s">
        <v>8454</v>
      </c>
      <c r="F135" s="3" t="s">
        <v>168</v>
      </c>
      <c r="G135" s="3" t="s">
        <v>168</v>
      </c>
      <c r="H135" s="3">
        <v>0</v>
      </c>
      <c r="I135" s="3" t="s">
        <v>8512</v>
      </c>
      <c r="J135" s="3" t="s">
        <v>9104</v>
      </c>
      <c r="K135" s="3" t="s">
        <v>9105</v>
      </c>
      <c r="L135" s="4" t="b">
        <f>G135 &lt;&gt; ""</f>
        <v>0</v>
      </c>
      <c r="M135" s="4" t="b">
        <f>AND(((F135 = "")=TRUE), ((E135 = "domain")=TRUE))</f>
        <v>1</v>
      </c>
      <c r="N135" s="4" t="b">
        <f>E135 = "maintainer"</f>
        <v>0</v>
      </c>
      <c r="O135" s="4">
        <f>COUNTIFS(AppRouteQuestions!C2:C152, A135)</f>
        <v>2</v>
      </c>
      <c r="P135" s="4">
        <f>COUNTIFS(AppRouteReferences!C2:C316, A135)</f>
        <v>2</v>
      </c>
      <c r="Q135" s="4" t="b">
        <f>AND(((O135 = 0)=TRUE), ((M135 = FALSE)=TRUE), ((N135 = FALSE)=TRUE), ((I135 &lt;&gt; "index")=TRUE))</f>
        <v>0</v>
      </c>
      <c r="R135" s="3" t="s">
        <v>1878</v>
      </c>
    </row>
    <row r="136">
      <c r="A136" s="3" t="s">
        <v>9106</v>
      </c>
      <c r="B136" s="4" t="str">
        <f>D136 &amp; " — " &amp; C136</f>
        <v>Field Provenance — /shared/field/:table/:field</v>
      </c>
      <c r="C136" s="3" t="s">
        <v>9107</v>
      </c>
      <c r="D136" s="3" t="s">
        <v>9108</v>
      </c>
      <c r="E136" s="3" t="s">
        <v>8454</v>
      </c>
      <c r="F136" s="3" t="s">
        <v>168</v>
      </c>
      <c r="G136" s="3" t="s">
        <v>168</v>
      </c>
      <c r="H136" s="3">
        <v>0</v>
      </c>
      <c r="I136" s="3" t="s">
        <v>8512</v>
      </c>
      <c r="J136" s="3" t="s">
        <v>9109</v>
      </c>
      <c r="K136" s="3" t="s">
        <v>9110</v>
      </c>
      <c r="L136" s="4" t="b">
        <f>G136 &lt;&gt; ""</f>
        <v>0</v>
      </c>
      <c r="M136" s="4" t="b">
        <f>AND(((F136 = "")=TRUE), ((E136 = "domain")=TRUE))</f>
        <v>1</v>
      </c>
      <c r="N136" s="4" t="b">
        <f>E136 = "maintainer"</f>
        <v>0</v>
      </c>
      <c r="O136" s="4">
        <f>COUNTIFS(AppRouteQuestions!C2:C152, A136)</f>
        <v>0</v>
      </c>
      <c r="P136" s="4">
        <f>COUNTIFS(AppRouteReferences!C2:C316, A136)</f>
        <v>2</v>
      </c>
      <c r="Q136" s="4" t="b">
        <f>AND(((O136 = 0)=TRUE), ((M136 = FALSE)=TRUE), ((N136 = FALSE)=TRUE), ((I136 &lt;&gt; "index")=TRUE))</f>
        <v>0</v>
      </c>
      <c r="R136" s="3" t="s">
        <v>1878</v>
      </c>
    </row>
    <row r="137">
      <c r="A137" s="3" t="s">
        <v>9111</v>
      </c>
      <c r="B137" s="4" t="str">
        <f>D137 &amp; " — " &amp; C137</f>
        <v>Choose a Role — /</v>
      </c>
      <c r="C137" s="3" t="s">
        <v>9112</v>
      </c>
      <c r="D137" s="3" t="s">
        <v>9113</v>
      </c>
      <c r="E137" s="3" t="s">
        <v>8454</v>
      </c>
      <c r="F137" s="3" t="s">
        <v>168</v>
      </c>
      <c r="G137" s="3" t="s">
        <v>168</v>
      </c>
      <c r="H137" s="3">
        <v>0</v>
      </c>
      <c r="I137" s="3" t="s">
        <v>9114</v>
      </c>
      <c r="J137" s="3" t="s">
        <v>9115</v>
      </c>
      <c r="K137" s="3" t="s">
        <v>9116</v>
      </c>
      <c r="L137" s="4" t="b">
        <f>G137 &lt;&gt; ""</f>
        <v>0</v>
      </c>
      <c r="M137" s="4" t="b">
        <f>AND(((F137 = "")=TRUE), ((E137 = "domain")=TRUE))</f>
        <v>1</v>
      </c>
      <c r="N137" s="4" t="b">
        <f>E137 = "maintainer"</f>
        <v>0</v>
      </c>
      <c r="O137" s="4">
        <f>COUNTIFS(AppRouteQuestions!C2:C152, A137)</f>
        <v>0</v>
      </c>
      <c r="P137" s="4">
        <f>COUNTIFS(AppRouteReferences!C2:C316, A137)</f>
        <v>0</v>
      </c>
      <c r="Q137" s="4" t="b">
        <f>AND(((O137 = 0)=TRUE), ((M137 = FALSE)=TRUE), ((N137 = FALSE)=TRUE), ((I137 &lt;&gt; "index")=TRUE))</f>
        <v>0</v>
      </c>
      <c r="R137" s="3" t="s">
        <v>1878</v>
      </c>
    </row>
    <row r="138">
      <c r="A138" s="3" t="s">
        <v>9117</v>
      </c>
      <c r="B138" s="4" t="str">
        <f>D138 &amp; " — " &amp; C138</f>
        <v>Test Board — /admin/conformance</v>
      </c>
      <c r="C138" s="3" t="s">
        <v>9118</v>
      </c>
      <c r="D138" s="3" t="s">
        <v>9119</v>
      </c>
      <c r="E138" s="3" t="s">
        <v>9120</v>
      </c>
      <c r="F138" s="3" t="s">
        <v>168</v>
      </c>
      <c r="G138" s="3" t="s">
        <v>8443</v>
      </c>
      <c r="H138" s="3">
        <v>1</v>
      </c>
      <c r="I138" s="3" t="s">
        <v>8455</v>
      </c>
      <c r="J138" s="3" t="s">
        <v>9121</v>
      </c>
      <c r="K138" s="3" t="s">
        <v>9122</v>
      </c>
      <c r="L138" s="4" t="b">
        <f>G138 &lt;&gt; ""</f>
        <v>1</v>
      </c>
      <c r="M138" s="4" t="b">
        <f>AND(((F138 = "")=TRUE), ((E138 = "domain")=TRUE))</f>
        <v>0</v>
      </c>
      <c r="N138" s="4" t="b">
        <f>E138 = "maintainer"</f>
        <v>1</v>
      </c>
      <c r="O138" s="4">
        <f>COUNTIFS(AppRouteQuestions!C2:C152, A138)</f>
        <v>0</v>
      </c>
      <c r="P138" s="4">
        <f>COUNTIFS(AppRouteReferences!C2:C316, A138)</f>
        <v>2</v>
      </c>
      <c r="Q138" s="4" t="b">
        <f>AND(((O138 = 0)=TRUE), ((M138 = FALSE)=TRUE), ((N138 = FALSE)=TRUE), ((I138 &lt;&gt; "index")=TRUE))</f>
        <v>0</v>
      </c>
      <c r="R138" s="3" t="s">
        <v>1878</v>
      </c>
    </row>
    <row r="139">
      <c r="A139" s="3" t="s">
        <v>9123</v>
      </c>
      <c r="B139" s="4" t="str">
        <f>D139 &amp; " — " &amp; C139</f>
        <v>Checks — /admin/conformance/checks</v>
      </c>
      <c r="C139" s="3" t="s">
        <v>9124</v>
      </c>
      <c r="D139" s="3" t="s">
        <v>9125</v>
      </c>
      <c r="E139" s="3" t="s">
        <v>9120</v>
      </c>
      <c r="F139" s="3" t="s">
        <v>168</v>
      </c>
      <c r="G139" s="3" t="s">
        <v>8443</v>
      </c>
      <c r="H139" s="3">
        <v>2</v>
      </c>
      <c r="I139" s="3" t="s">
        <v>8461</v>
      </c>
      <c r="J139" s="3" t="s">
        <v>9126</v>
      </c>
      <c r="K139" s="3" t="s">
        <v>9127</v>
      </c>
      <c r="L139" s="4" t="b">
        <f>G139 &lt;&gt; ""</f>
        <v>1</v>
      </c>
      <c r="M139" s="4" t="b">
        <f>AND(((F139 = "")=TRUE), ((E139 = "domain")=TRUE))</f>
        <v>0</v>
      </c>
      <c r="N139" s="4" t="b">
        <f>E139 = "maintainer"</f>
        <v>1</v>
      </c>
      <c r="O139" s="4">
        <f>COUNTIFS(AppRouteQuestions!C2:C152, A139)</f>
        <v>0</v>
      </c>
      <c r="P139" s="4">
        <f>COUNTIFS(AppRouteReferences!C2:C316, A139)</f>
        <v>2</v>
      </c>
      <c r="Q139" s="4" t="b">
        <f>AND(((O139 = 0)=TRUE), ((M139 = FALSE)=TRUE), ((N139 = FALSE)=TRUE), ((I139 &lt;&gt; "index")=TRUE))</f>
        <v>0</v>
      </c>
      <c r="R139" s="3" t="s">
        <v>1878</v>
      </c>
    </row>
    <row r="140">
      <c r="A140" s="3" t="s">
        <v>9128</v>
      </c>
      <c r="B140" s="4" t="str">
        <f>D140 &amp; " — " &amp; C140</f>
        <v>Witness Board — /admin/witnesses</v>
      </c>
      <c r="C140" s="3" t="s">
        <v>9129</v>
      </c>
      <c r="D140" s="3" t="s">
        <v>9130</v>
      </c>
      <c r="E140" s="3" t="s">
        <v>9120</v>
      </c>
      <c r="F140" s="3" t="s">
        <v>168</v>
      </c>
      <c r="G140" s="3" t="s">
        <v>8445</v>
      </c>
      <c r="H140" s="3">
        <v>1</v>
      </c>
      <c r="I140" s="3" t="s">
        <v>8455</v>
      </c>
      <c r="J140" s="3" t="s">
        <v>9131</v>
      </c>
      <c r="K140" s="3" t="s">
        <v>9132</v>
      </c>
      <c r="L140" s="4" t="b">
        <f>G140 &lt;&gt; ""</f>
        <v>1</v>
      </c>
      <c r="M140" s="4" t="b">
        <f>AND(((F140 = "")=TRUE), ((E140 = "domain")=TRUE))</f>
        <v>0</v>
      </c>
      <c r="N140" s="4" t="b">
        <f>E140 = "maintainer"</f>
        <v>1</v>
      </c>
      <c r="O140" s="4">
        <f>COUNTIFS(AppRouteQuestions!C2:C152, A140)</f>
        <v>0</v>
      </c>
      <c r="P140" s="4">
        <f>COUNTIFS(AppRouteReferences!C2:C316, A140)</f>
        <v>2</v>
      </c>
      <c r="Q140" s="4" t="b">
        <f>AND(((O140 = 0)=TRUE), ((M140 = FALSE)=TRUE), ((N140 = FALSE)=TRUE), ((I140 &lt;&gt; "index")=TRUE))</f>
        <v>0</v>
      </c>
      <c r="R140" s="3" t="s">
        <v>1878</v>
      </c>
    </row>
    <row r="141">
      <c r="A141" s="3" t="s">
        <v>9133</v>
      </c>
      <c r="B141" s="4" t="str">
        <f>D141 &amp; " — " &amp; C141</f>
        <v>Cannot Discriminate — /admin/witnesses/vacuous</v>
      </c>
      <c r="C141" s="3" t="s">
        <v>9134</v>
      </c>
      <c r="D141" s="3" t="s">
        <v>9135</v>
      </c>
      <c r="E141" s="3" t="s">
        <v>9120</v>
      </c>
      <c r="F141" s="3" t="s">
        <v>168</v>
      </c>
      <c r="G141" s="3" t="s">
        <v>8445</v>
      </c>
      <c r="H141" s="3">
        <v>2</v>
      </c>
      <c r="I141" s="3" t="s">
        <v>8461</v>
      </c>
      <c r="J141" s="3" t="s">
        <v>9136</v>
      </c>
      <c r="K141" s="3" t="s">
        <v>9137</v>
      </c>
      <c r="L141" s="4" t="b">
        <f>G141 &lt;&gt; ""</f>
        <v>1</v>
      </c>
      <c r="M141" s="4" t="b">
        <f>AND(((F141 = "")=TRUE), ((E141 = "domain")=TRUE))</f>
        <v>0</v>
      </c>
      <c r="N141" s="4" t="b">
        <f>E141 = "maintainer"</f>
        <v>1</v>
      </c>
      <c r="O141" s="4">
        <f>COUNTIFS(AppRouteQuestions!C2:C152, A141)</f>
        <v>0</v>
      </c>
      <c r="P141" s="4">
        <f>COUNTIFS(AppRouteReferences!C2:C316, A141)</f>
        <v>2</v>
      </c>
      <c r="Q141" s="4" t="b">
        <f>AND(((O141 = 0)=TRUE), ((M141 = FALSE)=TRUE), ((N141 = FALSE)=TRUE), ((I141 &lt;&gt; "index")=TRUE))</f>
        <v>0</v>
      </c>
      <c r="R141" s="3" t="s">
        <v>1878</v>
      </c>
    </row>
    <row r="142">
      <c r="A142" s="3" t="s">
        <v>9138</v>
      </c>
      <c r="B142" s="4" t="str">
        <f>D142 &amp; " — " &amp; C142</f>
        <v>Loops &amp; Questions — /admin/loops</v>
      </c>
      <c r="C142" s="3" t="s">
        <v>9139</v>
      </c>
      <c r="D142" s="3" t="s">
        <v>9140</v>
      </c>
      <c r="E142" s="3" t="s">
        <v>9120</v>
      </c>
      <c r="F142" s="3" t="s">
        <v>168</v>
      </c>
      <c r="G142" s="3" t="s">
        <v>8447</v>
      </c>
      <c r="H142" s="3">
        <v>1</v>
      </c>
      <c r="I142" s="3" t="s">
        <v>8455</v>
      </c>
      <c r="J142" s="3" t="s">
        <v>9141</v>
      </c>
      <c r="K142" s="3" t="s">
        <v>9142</v>
      </c>
      <c r="L142" s="4" t="b">
        <f>G142 &lt;&gt; ""</f>
        <v>1</v>
      </c>
      <c r="M142" s="4" t="b">
        <f>AND(((F142 = "")=TRUE), ((E142 = "domain")=TRUE))</f>
        <v>0</v>
      </c>
      <c r="N142" s="4" t="b">
        <f>E142 = "maintainer"</f>
        <v>1</v>
      </c>
      <c r="O142" s="4">
        <f>COUNTIFS(AppRouteQuestions!C2:C152, A142)</f>
        <v>0</v>
      </c>
      <c r="P142" s="4">
        <f>COUNTIFS(AppRouteReferences!C2:C316, A142)</f>
        <v>2</v>
      </c>
      <c r="Q142" s="4" t="b">
        <f>AND(((O142 = 0)=TRUE), ((M142 = FALSE)=TRUE), ((N142 = FALSE)=TRUE), ((I142 &lt;&gt; "index")=TRUE))</f>
        <v>0</v>
      </c>
      <c r="R142" s="3" t="s">
        <v>1878</v>
      </c>
    </row>
    <row r="143">
      <c r="A143" s="3" t="s">
        <v>9143</v>
      </c>
      <c r="B143" s="4" t="str">
        <f>D143 &amp; " — " &amp; C143</f>
        <v>Question Defence — /admin/loops/question/:questionId</v>
      </c>
      <c r="C143" s="3" t="s">
        <v>9144</v>
      </c>
      <c r="D143" s="3" t="s">
        <v>9145</v>
      </c>
      <c r="E143" s="3" t="s">
        <v>9120</v>
      </c>
      <c r="F143" s="3" t="s">
        <v>168</v>
      </c>
      <c r="G143" s="3" t="s">
        <v>8447</v>
      </c>
      <c r="H143" s="3">
        <v>2</v>
      </c>
      <c r="I143" s="3" t="s">
        <v>8512</v>
      </c>
      <c r="J143" s="3" t="s">
        <v>9146</v>
      </c>
      <c r="K143" s="3" t="s">
        <v>9147</v>
      </c>
      <c r="L143" s="4" t="b">
        <f>G143 &lt;&gt; ""</f>
        <v>1</v>
      </c>
      <c r="M143" s="4" t="b">
        <f>AND(((F143 = "")=TRUE), ((E143 = "domain")=TRUE))</f>
        <v>0</v>
      </c>
      <c r="N143" s="4" t="b">
        <f>E143 = "maintainer"</f>
        <v>1</v>
      </c>
      <c r="O143" s="4">
        <f>COUNTIFS(AppRouteQuestions!C2:C152, A143)</f>
        <v>0</v>
      </c>
      <c r="P143" s="4">
        <f>COUNTIFS(AppRouteReferences!C2:C316, A143)</f>
        <v>3</v>
      </c>
      <c r="Q143" s="4" t="b">
        <f>AND(((O143 = 0)=TRUE), ((M143 = FALSE)=TRUE), ((N143 = FALSE)=TRUE), ((I143 &lt;&gt; "index")=TRUE))</f>
        <v>0</v>
      </c>
      <c r="R143" s="3" t="s">
        <v>1878</v>
      </c>
    </row>
    <row r="144">
      <c r="A144" s="3" t="s">
        <v>9148</v>
      </c>
      <c r="B144" s="4" t="str">
        <f>D144 &amp; " — " &amp; C144</f>
        <v>Provenance Tracer — /admin/provenance</v>
      </c>
      <c r="C144" s="3" t="s">
        <v>9149</v>
      </c>
      <c r="D144" s="3" t="s">
        <v>9150</v>
      </c>
      <c r="E144" s="3" t="s">
        <v>9120</v>
      </c>
      <c r="F144" s="3" t="s">
        <v>168</v>
      </c>
      <c r="G144" s="3" t="s">
        <v>8219</v>
      </c>
      <c r="H144" s="3">
        <v>1</v>
      </c>
      <c r="I144" s="3" t="s">
        <v>8461</v>
      </c>
      <c r="J144" s="3" t="s">
        <v>9151</v>
      </c>
      <c r="K144" s="3" t="s">
        <v>9152</v>
      </c>
      <c r="L144" s="4" t="b">
        <f>G144 &lt;&gt; ""</f>
        <v>1</v>
      </c>
      <c r="M144" s="4" t="b">
        <f>AND(((F144 = "")=TRUE), ((E144 = "domain")=TRUE))</f>
        <v>0</v>
      </c>
      <c r="N144" s="4" t="b">
        <f>E144 = "maintainer"</f>
        <v>1</v>
      </c>
      <c r="O144" s="4">
        <f>COUNTIFS(AppRouteQuestions!C2:C152, A144)</f>
        <v>0</v>
      </c>
      <c r="P144" s="4">
        <f>COUNTIFS(AppRouteReferences!C2:C316, A144)</f>
        <v>2</v>
      </c>
      <c r="Q144" s="4" t="b">
        <f>AND(((O144 = 0)=TRUE), ((M144 = FALSE)=TRUE), ((N144 = FALSE)=TRUE), ((I144 &lt;&gt; "index")=TRUE))</f>
        <v>0</v>
      </c>
      <c r="R144" s="3" t="s">
        <v>1878</v>
      </c>
    </row>
    <row r="145">
      <c r="A145" s="3" t="s">
        <v>9153</v>
      </c>
      <c r="B145" s="4" t="str">
        <f>D145 &amp; " — " &amp; C145</f>
        <v>Route Map — /admin/route-map</v>
      </c>
      <c r="C145" s="3" t="s">
        <v>9154</v>
      </c>
      <c r="D145" s="3" t="s">
        <v>9155</v>
      </c>
      <c r="E145" s="3" t="s">
        <v>9120</v>
      </c>
      <c r="F145" s="3" t="s">
        <v>168</v>
      </c>
      <c r="G145" s="3" t="s">
        <v>8441</v>
      </c>
      <c r="H145" s="3">
        <v>1</v>
      </c>
      <c r="I145" s="3" t="s">
        <v>8461</v>
      </c>
      <c r="J145" s="3" t="s">
        <v>9156</v>
      </c>
      <c r="K145" s="3" t="s">
        <v>9157</v>
      </c>
      <c r="L145" s="4" t="b">
        <f>G145 &lt;&gt; ""</f>
        <v>1</v>
      </c>
      <c r="M145" s="4" t="b">
        <f>AND(((F145 = "")=TRUE), ((E145 = "domain")=TRUE))</f>
        <v>0</v>
      </c>
      <c r="N145" s="4" t="b">
        <f>E145 = "maintainer"</f>
        <v>1</v>
      </c>
      <c r="O145" s="4">
        <f>COUNTIFS(AppRouteQuestions!C2:C152, A145)</f>
        <v>0</v>
      </c>
      <c r="P145" s="4">
        <f>COUNTIFS(AppRouteReferences!C2:C316, A145)</f>
        <v>2</v>
      </c>
      <c r="Q145" s="4" t="b">
        <f>AND(((O145 = 0)=TRUE), ((M145 = FALSE)=TRUE), ((N145 = FALSE)=TRUE), ((I145 &lt;&gt; "index")=TRUE))</f>
        <v>0</v>
      </c>
      <c r="R145" s="3" t="s">
        <v>1878</v>
      </c>
    </row>
    <row r="146">
      <c r="A146" s="3" t="s">
        <v>9158</v>
      </c>
      <c r="B146" s="4" t="str">
        <f>D146 &amp; " — " &amp; C146</f>
        <v>Catalog Drift — /admin/model/catalog-drift</v>
      </c>
      <c r="C146" s="3" t="s">
        <v>9159</v>
      </c>
      <c r="D146" s="3" t="s">
        <v>9160</v>
      </c>
      <c r="E146" s="3" t="s">
        <v>9120</v>
      </c>
      <c r="F146" s="3" t="s">
        <v>168</v>
      </c>
      <c r="G146" s="3" t="s">
        <v>8441</v>
      </c>
      <c r="H146" s="3">
        <v>2</v>
      </c>
      <c r="I146" s="3" t="s">
        <v>8461</v>
      </c>
      <c r="J146" s="3" t="s">
        <v>9161</v>
      </c>
      <c r="K146" s="3" t="s">
        <v>9162</v>
      </c>
      <c r="L146" s="4" t="b">
        <f>G146 &lt;&gt; ""</f>
        <v>1</v>
      </c>
      <c r="M146" s="4" t="b">
        <f>AND(((F146 = "")=TRUE), ((E146 = "domain")=TRUE))</f>
        <v>0</v>
      </c>
      <c r="N146" s="4" t="b">
        <f>E146 = "maintainer"</f>
        <v>1</v>
      </c>
      <c r="O146" s="4">
        <f>COUNTIFS(AppRouteQuestions!C2:C152, A146)</f>
        <v>0</v>
      </c>
      <c r="P146" s="4">
        <f>COUNTIFS(AppRouteReferences!C2:C316, A146)</f>
        <v>2</v>
      </c>
      <c r="Q146" s="4" t="b">
        <f>AND(((O146 = 0)=TRUE), ((M146 = FALSE)=TRUE), ((N146 = FALSE)=TRUE), ((I146 &lt;&gt; "index")=TRUE))</f>
        <v>0</v>
      </c>
      <c r="R146" s="3" t="s">
        <v>1878</v>
      </c>
    </row>
    <row r="147">
      <c r="A147" s="3" t="s">
        <v>9163</v>
      </c>
      <c r="B147" s="4" t="str">
        <f>D147 &amp; " — " &amp; C147</f>
        <v>Every Inference — /explorer/inferences</v>
      </c>
      <c r="C147" s="3" t="s">
        <v>9164</v>
      </c>
      <c r="D147" s="3" t="s">
        <v>9165</v>
      </c>
      <c r="E147" s="3" t="s">
        <v>9120</v>
      </c>
      <c r="F147" s="3" t="s">
        <v>168</v>
      </c>
      <c r="G147" s="3" t="s">
        <v>8449</v>
      </c>
      <c r="H147" s="3">
        <v>1</v>
      </c>
      <c r="I147" s="3" t="s">
        <v>8455</v>
      </c>
      <c r="J147" s="3" t="s">
        <v>9166</v>
      </c>
      <c r="K147" s="3" t="s">
        <v>9167</v>
      </c>
      <c r="L147" s="4" t="b">
        <f>G147 &lt;&gt; ""</f>
        <v>1</v>
      </c>
      <c r="M147" s="4" t="b">
        <f>AND(((F147 = "")=TRUE), ((E147 = "domain")=TRUE))</f>
        <v>0</v>
      </c>
      <c r="N147" s="4" t="b">
        <f>E147 = "maintainer"</f>
        <v>1</v>
      </c>
      <c r="O147" s="4">
        <f>COUNTIFS(AppRouteQuestions!C2:C152, A147)</f>
        <v>0</v>
      </c>
      <c r="P147" s="4">
        <f>COUNTIFS(AppRouteReferences!C2:C316, A147)</f>
        <v>2</v>
      </c>
      <c r="Q147" s="4" t="b">
        <f>AND(((O147 = 0)=TRUE), ((M147 = FALSE)=TRUE), ((N147 = FALSE)=TRUE), ((I147 &lt;&gt; "index")=TRUE))</f>
        <v>0</v>
      </c>
      <c r="R147" s="3" t="s">
        <v>1878</v>
      </c>
    </row>
    <row r="148">
      <c r="A148" s="3" t="s">
        <v>9168</v>
      </c>
      <c r="B148" s="4" t="str">
        <f>D148 &amp; " — " &amp; C148</f>
        <v>All Tables — /explorer/tables</v>
      </c>
      <c r="C148" s="3" t="s">
        <v>9169</v>
      </c>
      <c r="D148" s="3" t="s">
        <v>9170</v>
      </c>
      <c r="E148" s="3" t="s">
        <v>9120</v>
      </c>
      <c r="F148" s="3" t="s">
        <v>168</v>
      </c>
      <c r="G148" s="3" t="s">
        <v>8449</v>
      </c>
      <c r="H148" s="3">
        <v>2</v>
      </c>
      <c r="I148" s="3" t="s">
        <v>8461</v>
      </c>
      <c r="J148" s="3" t="s">
        <v>9171</v>
      </c>
      <c r="K148" s="3" t="s">
        <v>9172</v>
      </c>
      <c r="L148" s="4" t="b">
        <f>G148 &lt;&gt; ""</f>
        <v>1</v>
      </c>
      <c r="M148" s="4" t="b">
        <f>AND(((F148 = "")=TRUE), ((E148 = "domain")=TRUE))</f>
        <v>0</v>
      </c>
      <c r="N148" s="4" t="b">
        <f>E148 = "maintainer"</f>
        <v>1</v>
      </c>
      <c r="O148" s="4">
        <f>COUNTIFS(AppRouteQuestions!C2:C152, A148)</f>
        <v>0</v>
      </c>
      <c r="P148" s="4">
        <f>COUNTIFS(AppRouteReferences!C2:C316, A148)</f>
        <v>2</v>
      </c>
      <c r="Q148" s="4" t="b">
        <f>AND(((O148 = 0)=TRUE), ((M148 = FALSE)=TRUE), ((N148 = FALSE)=TRUE), ((I148 &lt;&gt; "index")=TRUE))</f>
        <v>0</v>
      </c>
      <c r="R148" s="3" t="s">
        <v>1878</v>
      </c>
    </row>
    <row r="149">
      <c r="A149" s="3" t="s">
        <v>9173</v>
      </c>
      <c r="B149" s="4" t="str">
        <f>D149 &amp; " — " &amp; C149</f>
        <v>Table Detail — /explorer/tables/:table</v>
      </c>
      <c r="C149" s="3" t="s">
        <v>9174</v>
      </c>
      <c r="D149" s="3" t="s">
        <v>9175</v>
      </c>
      <c r="E149" s="3" t="s">
        <v>9120</v>
      </c>
      <c r="F149" s="3" t="s">
        <v>168</v>
      </c>
      <c r="G149" s="3" t="s">
        <v>8449</v>
      </c>
      <c r="H149" s="3">
        <v>3</v>
      </c>
      <c r="I149" s="3" t="s">
        <v>8512</v>
      </c>
      <c r="J149" s="3" t="s">
        <v>9176</v>
      </c>
      <c r="K149" s="3" t="s">
        <v>9177</v>
      </c>
      <c r="L149" s="4" t="b">
        <f>G149 &lt;&gt; ""</f>
        <v>1</v>
      </c>
      <c r="M149" s="4" t="b">
        <f>AND(((F149 = "")=TRUE), ((E149 = "domain")=TRUE))</f>
        <v>0</v>
      </c>
      <c r="N149" s="4" t="b">
        <f>E149 = "maintainer"</f>
        <v>1</v>
      </c>
      <c r="O149" s="4">
        <f>COUNTIFS(AppRouteQuestions!C2:C152, A149)</f>
        <v>0</v>
      </c>
      <c r="P149" s="4">
        <f>COUNTIFS(AppRouteReferences!C2:C316, A149)</f>
        <v>2</v>
      </c>
      <c r="Q149" s="4" t="b">
        <f>AND(((O149 = 0)=TRUE), ((M149 = FALSE)=TRUE), ((N149 = FALSE)=TRUE), ((I149 &lt;&gt; "index")=TRUE))</f>
        <v>0</v>
      </c>
      <c r="R149" s="3" t="s">
        <v>1878</v>
      </c>
    </row>
    <row r="150">
      <c r="A150" s="3" t="s">
        <v>9178</v>
      </c>
      <c r="B150" s="4" t="str">
        <f>D150 &amp; " — " &amp; C150</f>
        <v>Record Inspector — /explorer/record/:table/:id</v>
      </c>
      <c r="C150" s="3" t="s">
        <v>9179</v>
      </c>
      <c r="D150" s="3" t="s">
        <v>9180</v>
      </c>
      <c r="E150" s="3" t="s">
        <v>9120</v>
      </c>
      <c r="F150" s="3" t="s">
        <v>168</v>
      </c>
      <c r="G150" s="3" t="s">
        <v>8449</v>
      </c>
      <c r="H150" s="3">
        <v>4</v>
      </c>
      <c r="I150" s="3" t="s">
        <v>8512</v>
      </c>
      <c r="J150" s="3" t="s">
        <v>9181</v>
      </c>
      <c r="K150" s="3" t="s">
        <v>9182</v>
      </c>
      <c r="L150" s="4" t="b">
        <f>G150 &lt;&gt; ""</f>
        <v>1</v>
      </c>
      <c r="M150" s="4" t="b">
        <f>AND(((F150 = "")=TRUE), ((E150 = "domain")=TRUE))</f>
        <v>0</v>
      </c>
      <c r="N150" s="4" t="b">
        <f>E150 = "maintainer"</f>
        <v>1</v>
      </c>
      <c r="O150" s="4">
        <f>COUNTIFS(AppRouteQuestions!C2:C152, A150)</f>
        <v>0</v>
      </c>
      <c r="P150" s="4">
        <f>COUNTIFS(AppRouteReferences!C2:C316, A150)</f>
        <v>2</v>
      </c>
      <c r="Q150" s="4" t="b">
        <f>AND(((O150 = 0)=TRUE), ((M150 = FALSE)=TRUE), ((N150 = FALSE)=TRUE), ((I150 &lt;&gt; "index")=TRUE))</f>
        <v>0</v>
      </c>
      <c r="R150" s="3" t="s">
        <v>1878</v>
      </c>
    </row>
  </sheetData>
  <autoFilter ref="A1:R1"/>
  <headerFooter/>
  <legacyDrawing r:id="rId1"/>
</worksheet>
</file>

<file path=xl/worksheets/sheet7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52"/>
  <sheetViews>
    <sheetView workbookViewId="0">
      <pane ySplit="1" topLeftCell="A2" state="frozen" activePane="bottomLeft"/>
      <selection pane="bottomLeft" activeCell="A1" sqref="A1"/>
    </sheetView>
  </sheetViews>
  <sheetFormatPr defaultRowHeight="15"/>
  <cols>
    <col min="1" max="1" width="86.60734558105469" customWidth="1"/>
    <col min="2" max="2" width="91.4072036743164" customWidth="1"/>
    <col min="3" max="3" width="34.358314514160156" customWidth="1"/>
    <col min="4" max="4" width="53.72490310668945" customWidth="1"/>
    <col min="5" max="5" width="45.993995666503906" customWidth="1"/>
  </cols>
  <sheetData>
    <row r="1">
      <c r="A1" s="2" t="s">
        <v>5335</v>
      </c>
      <c r="B1" s="2" t="s">
        <v>1</v>
      </c>
      <c r="C1" s="2" t="s">
        <v>5339</v>
      </c>
      <c r="D1" s="2" t="s">
        <v>1243</v>
      </c>
      <c r="E1" s="2" t="s">
        <v>94</v>
      </c>
    </row>
    <row r="2">
      <c r="A2" s="3" t="s">
        <v>9183</v>
      </c>
      <c r="B2" s="4" t="str">
        <f>C2 &amp; " answers " &amp; D2</f>
        <v>cfo-home answers q-cfo-can-i-sign</v>
      </c>
      <c r="C2" s="3" t="s">
        <v>8451</v>
      </c>
      <c r="D2" s="3" t="s">
        <v>1999</v>
      </c>
      <c r="E2" s="3" t="s">
        <v>1882</v>
      </c>
    </row>
    <row r="3">
      <c r="A3" s="3" t="s">
        <v>9184</v>
      </c>
      <c r="B3" s="4" t="str">
        <f>C3 &amp; " answers " &amp; D3</f>
        <v>cfo-home answers q-cfo-approving-on-unfit-version</v>
      </c>
      <c r="C3" s="3" t="s">
        <v>8451</v>
      </c>
      <c r="D3" s="3" t="s">
        <v>2003</v>
      </c>
      <c r="E3" s="3" t="s">
        <v>1882</v>
      </c>
    </row>
    <row r="4">
      <c r="A4" s="3" t="s">
        <v>9185</v>
      </c>
      <c r="B4" s="4" t="str">
        <f>C4 &amp; " answers " &amp; D4</f>
        <v>cfo-blockers answers q-cfo-can-i-sign</v>
      </c>
      <c r="C4" s="3" t="s">
        <v>8458</v>
      </c>
      <c r="D4" s="3" t="s">
        <v>1999</v>
      </c>
      <c r="E4" s="3" t="s">
        <v>1882</v>
      </c>
    </row>
    <row r="5">
      <c r="A5" s="3" t="s">
        <v>9186</v>
      </c>
      <c r="B5" s="4" t="str">
        <f>C5 &amp; " answers " &amp; D5</f>
        <v>cfo-blockers answers q-cfo-approving-on-unfit-version</v>
      </c>
      <c r="C5" s="3" t="s">
        <v>8458</v>
      </c>
      <c r="D5" s="3" t="s">
        <v>2003</v>
      </c>
      <c r="E5" s="3" t="s">
        <v>1882</v>
      </c>
    </row>
    <row r="6">
      <c r="A6" s="3" t="s">
        <v>9187</v>
      </c>
      <c r="B6" s="4" t="str">
        <f>C6 &amp; " answers " &amp; D6</f>
        <v>cfo-assurance-grade answers q2-cfo-quality-of-a-green-attestation</v>
      </c>
      <c r="C6" s="3" t="s">
        <v>8464</v>
      </c>
      <c r="D6" s="3" t="s">
        <v>2299</v>
      </c>
      <c r="E6" s="3" t="s">
        <v>1882</v>
      </c>
    </row>
    <row r="7">
      <c r="A7" s="3" t="s">
        <v>9188</v>
      </c>
      <c r="B7" s="4" t="str">
        <f>C7 &amp; " answers " &amp; D7</f>
        <v>cfo-assurance-grade answers q2-cfo-controls-nobody-is-watching</v>
      </c>
      <c r="C7" s="3" t="s">
        <v>8464</v>
      </c>
      <c r="D7" s="3" t="s">
        <v>2311</v>
      </c>
      <c r="E7" s="3" t="s">
        <v>1882</v>
      </c>
    </row>
    <row r="8">
      <c r="A8" s="3" t="s">
        <v>9189</v>
      </c>
      <c r="B8" s="4" t="str">
        <f>C8 &amp; " answers " &amp; D8</f>
        <v>cfo-unwitnessed-controls answers q2-cfo-controls-nobody-is-watching</v>
      </c>
      <c r="C8" s="3" t="s">
        <v>8469</v>
      </c>
      <c r="D8" s="3" t="s">
        <v>2311</v>
      </c>
      <c r="E8" s="3" t="s">
        <v>1882</v>
      </c>
    </row>
    <row r="9">
      <c r="A9" s="3" t="s">
        <v>9190</v>
      </c>
      <c r="B9" s="4" t="str">
        <f>C9 &amp; " answers " &amp; D9</f>
        <v>cfo-unwitnessed-controls answers q-cfo-am-i-being-told-everything</v>
      </c>
      <c r="C9" s="3" t="s">
        <v>8469</v>
      </c>
      <c r="D9" s="3" t="s">
        <v>2015</v>
      </c>
      <c r="E9" s="3" t="s">
        <v>1882</v>
      </c>
    </row>
    <row r="10">
      <c r="A10" s="3" t="s">
        <v>9191</v>
      </c>
      <c r="B10" s="4" t="str">
        <f>C10 &amp; " answers " &amp; D10</f>
        <v>cfo-typed-conclusions answers q-cfo-am-i-being-told-everything</v>
      </c>
      <c r="C10" s="3" t="s">
        <v>8474</v>
      </c>
      <c r="D10" s="3" t="s">
        <v>2015</v>
      </c>
      <c r="E10" s="3" t="s">
        <v>1882</v>
      </c>
    </row>
    <row r="11">
      <c r="A11" s="3" t="s">
        <v>9192</v>
      </c>
      <c r="B11" s="4" t="str">
        <f>C11 &amp; " answers " &amp; D11</f>
        <v>cfo-witness-chain answers q2-cfo-who-witnessed-the-witnesses</v>
      </c>
      <c r="C11" s="3" t="s">
        <v>8479</v>
      </c>
      <c r="D11" s="3" t="s">
        <v>2307</v>
      </c>
      <c r="E11" s="3" t="s">
        <v>1882</v>
      </c>
    </row>
    <row r="12">
      <c r="A12" s="3" t="s">
        <v>9193</v>
      </c>
      <c r="B12" s="4" t="str">
        <f>C12 &amp; " answers " &amp; D12</f>
        <v>cfo-witness-chain answers q-cfo-approval-was-actually-verified</v>
      </c>
      <c r="C12" s="3" t="s">
        <v>8479</v>
      </c>
      <c r="D12" s="3" t="s">
        <v>2007</v>
      </c>
      <c r="E12" s="3" t="s">
        <v>1882</v>
      </c>
    </row>
    <row r="13">
      <c r="A13" s="3" t="s">
        <v>9194</v>
      </c>
      <c r="B13" s="4" t="str">
        <f>C13 &amp; " answers " &amp; D13</f>
        <v>cfo-authority-map answers q-cfo-who-actually-held-authority</v>
      </c>
      <c r="C13" s="3" t="s">
        <v>8484</v>
      </c>
      <c r="D13" s="3" t="s">
        <v>2011</v>
      </c>
      <c r="E13" s="3" t="s">
        <v>1882</v>
      </c>
    </row>
    <row r="14">
      <c r="A14" s="3" t="s">
        <v>9195</v>
      </c>
      <c r="B14" s="4" t="str">
        <f>C14 &amp; " answers " &amp; D14</f>
        <v>cfo-my-approvals answers q-cfo-approval-was-actually-verified</v>
      </c>
      <c r="C14" s="3" t="s">
        <v>8489</v>
      </c>
      <c r="D14" s="3" t="s">
        <v>2007</v>
      </c>
      <c r="E14" s="3" t="s">
        <v>1882</v>
      </c>
    </row>
    <row r="15">
      <c r="A15" s="3" t="s">
        <v>9196</v>
      </c>
      <c r="B15" s="4" t="str">
        <f>C15 &amp; " answers " &amp; D15</f>
        <v>cfo-my-approvals answers q2-cfo-who-witnessed-the-witnesses</v>
      </c>
      <c r="C15" s="3" t="s">
        <v>8489</v>
      </c>
      <c r="D15" s="3" t="s">
        <v>2307</v>
      </c>
      <c r="E15" s="3" t="s">
        <v>1882</v>
      </c>
    </row>
    <row r="16">
      <c r="A16" s="3" t="s">
        <v>9197</v>
      </c>
      <c r="B16" s="4" t="str">
        <f>C16 &amp; " answers " &amp; D16</f>
        <v>cfo-signature-dependencies answers q2-cfo-what-changed-since-i-signed</v>
      </c>
      <c r="C16" s="3" t="s">
        <v>8494</v>
      </c>
      <c r="D16" s="3" t="s">
        <v>2315</v>
      </c>
      <c r="E16" s="3" t="s">
        <v>1882</v>
      </c>
    </row>
    <row r="17">
      <c r="A17" s="3" t="s">
        <v>9198</v>
      </c>
      <c r="B17" s="4" t="str">
        <f>C17 &amp; " answers " &amp; D17</f>
        <v>cfo-changed-since-signing answers q2-cfo-what-changed-since-i-signed</v>
      </c>
      <c r="C17" s="3" t="s">
        <v>8499</v>
      </c>
      <c r="D17" s="3" t="s">
        <v>2315</v>
      </c>
      <c r="E17" s="3" t="s">
        <v>1882</v>
      </c>
    </row>
    <row r="18">
      <c r="A18" s="3" t="s">
        <v>9199</v>
      </c>
      <c r="B18" s="4" t="str">
        <f>C18 &amp; " answers " &amp; D18</f>
        <v>cfo-restatement answers q2-cfo-would-it-survive-restatement</v>
      </c>
      <c r="C18" s="3" t="s">
        <v>8504</v>
      </c>
      <c r="D18" s="3" t="s">
        <v>2303</v>
      </c>
      <c r="E18" s="3" t="s">
        <v>1882</v>
      </c>
    </row>
    <row r="19">
      <c r="A19" s="3" t="s">
        <v>9200</v>
      </c>
      <c r="B19" s="4" t="str">
        <f>C19 &amp; " answers " &amp; D19</f>
        <v>cfo-attestation-detail answers q-cfo-can-i-sign</v>
      </c>
      <c r="C19" s="3" t="s">
        <v>8509</v>
      </c>
      <c r="D19" s="3" t="s">
        <v>1999</v>
      </c>
      <c r="E19" s="3" t="s">
        <v>1882</v>
      </c>
    </row>
    <row r="20">
      <c r="A20" s="3" t="s">
        <v>9201</v>
      </c>
      <c r="B20" s="4" t="str">
        <f>C20 &amp; " answers " &amp; D20</f>
        <v>controller-home answers q-controller-blocking-control-inoperative</v>
      </c>
      <c r="C20" s="3" t="s">
        <v>8515</v>
      </c>
      <c r="D20" s="3" t="s">
        <v>1987</v>
      </c>
      <c r="E20" s="3" t="s">
        <v>1882</v>
      </c>
    </row>
    <row r="21">
      <c r="A21" s="3" t="s">
        <v>9202</v>
      </c>
      <c r="B21" s="4" t="str">
        <f>C21 &amp; " answers " &amp; D21</f>
        <v>controller-home answers q2-ctl-witness-never-fired</v>
      </c>
      <c r="C21" s="3" t="s">
        <v>8515</v>
      </c>
      <c r="D21" s="3" t="s">
        <v>2279</v>
      </c>
      <c r="E21" s="3" t="s">
        <v>1882</v>
      </c>
    </row>
    <row r="22">
      <c r="A22" s="3" t="s">
        <v>9203</v>
      </c>
      <c r="B22" s="4" t="str">
        <f>C22 &amp; " answers " &amp; D22</f>
        <v>controller-mute-controls answers q-controller-blocking-control-inoperative</v>
      </c>
      <c r="C22" s="3" t="s">
        <v>8520</v>
      </c>
      <c r="D22" s="3" t="s">
        <v>1987</v>
      </c>
      <c r="E22" s="3" t="s">
        <v>1882</v>
      </c>
    </row>
    <row r="23">
      <c r="A23" s="3" t="s">
        <v>9204</v>
      </c>
      <c r="B23" s="4" t="str">
        <f>C23 &amp; " answers " &amp; D23</f>
        <v>controller-mute-controls answers q2-ctl-witness-never-fired</v>
      </c>
      <c r="C23" s="3" t="s">
        <v>8520</v>
      </c>
      <c r="D23" s="3" t="s">
        <v>2279</v>
      </c>
      <c r="E23" s="3" t="s">
        <v>1882</v>
      </c>
    </row>
    <row r="24">
      <c r="A24" s="3" t="s">
        <v>9205</v>
      </c>
      <c r="B24" s="4" t="str">
        <f>C24 &amp; " answers " &amp; D24</f>
        <v>controller-witness-scope answers q2-ctl-witness-scope-vs-binding</v>
      </c>
      <c r="C24" s="3" t="s">
        <v>8525</v>
      </c>
      <c r="D24" s="3" t="s">
        <v>2283</v>
      </c>
      <c r="E24" s="3" t="s">
        <v>1882</v>
      </c>
    </row>
    <row r="25">
      <c r="A25" s="3" t="s">
        <v>9206</v>
      </c>
      <c r="B25" s="4" t="str">
        <f>C25 &amp; " answers " &amp; D25</f>
        <v>controller-separation answers q-controller-separation-of-duties</v>
      </c>
      <c r="C25" s="3" t="s">
        <v>8530</v>
      </c>
      <c r="D25" s="3" t="s">
        <v>1979</v>
      </c>
      <c r="E25" s="3" t="s">
        <v>1882</v>
      </c>
    </row>
    <row r="26">
      <c r="A26" s="3" t="s">
        <v>9207</v>
      </c>
      <c r="B26" s="4" t="str">
        <f>C26 &amp; " answers " &amp; D26</f>
        <v>controller-separation answers q2-ctl-separation-held-or-untested</v>
      </c>
      <c r="C26" s="3" t="s">
        <v>8530</v>
      </c>
      <c r="D26" s="3" t="s">
        <v>2287</v>
      </c>
      <c r="E26" s="3" t="s">
        <v>1882</v>
      </c>
    </row>
    <row r="27">
      <c r="A27" s="3" t="s">
        <v>9208</v>
      </c>
      <c r="B27" s="4" t="str">
        <f>C27 &amp; " answers " &amp; D27</f>
        <v>controller-conformance answers q-controller-execution-diverged-from-spec</v>
      </c>
      <c r="C27" s="3" t="s">
        <v>8535</v>
      </c>
      <c r="D27" s="3" t="s">
        <v>1991</v>
      </c>
      <c r="E27" s="3" t="s">
        <v>1882</v>
      </c>
    </row>
    <row r="28">
      <c r="A28" s="3" t="s">
        <v>9209</v>
      </c>
      <c r="B28" s="4" t="str">
        <f>C28 &amp; " answers " &amp; D28</f>
        <v>controller-ungoverned-divergence answers q2-ctl-divergence-that-nobody-governed</v>
      </c>
      <c r="C28" s="3" t="s">
        <v>8540</v>
      </c>
      <c r="D28" s="3" t="s">
        <v>2295</v>
      </c>
      <c r="E28" s="3" t="s">
        <v>1882</v>
      </c>
    </row>
    <row r="29">
      <c r="A29" s="3" t="s">
        <v>9210</v>
      </c>
      <c r="B29" s="4" t="str">
        <f>C29 &amp; " answers " &amp; D29</f>
        <v>controller-authority-validity answers q-controller-approval-authority-valid</v>
      </c>
      <c r="C29" s="3" t="s">
        <v>8545</v>
      </c>
      <c r="D29" s="3" t="s">
        <v>1983</v>
      </c>
      <c r="E29" s="3" t="s">
        <v>1882</v>
      </c>
    </row>
    <row r="30">
      <c r="A30" s="3" t="s">
        <v>9211</v>
      </c>
      <c r="B30" s="4" t="str">
        <f>C30 &amp; " answers " &amp; D30</f>
        <v>controller-ai-boundary answers q-controller-ai-agent-approved-meaning</v>
      </c>
      <c r="C30" s="3" t="s">
        <v>8549</v>
      </c>
      <c r="D30" s="3" t="s">
        <v>1995</v>
      </c>
      <c r="E30" s="3" t="s">
        <v>1882</v>
      </c>
    </row>
    <row r="31">
      <c r="A31" s="3" t="s">
        <v>9212</v>
      </c>
      <c r="B31" s="4" t="str">
        <f>C31 &amp; " answers " &amp; D31</f>
        <v>controller-asserted-controls answers q2-ctl-asserted-controls-by-who</v>
      </c>
      <c r="C31" s="3" t="s">
        <v>8553</v>
      </c>
      <c r="D31" s="3" t="s">
        <v>2291</v>
      </c>
      <c r="E31" s="3" t="s">
        <v>1882</v>
      </c>
    </row>
    <row r="32">
      <c r="A32" s="3" t="s">
        <v>9213</v>
      </c>
      <c r="B32" s="4" t="str">
        <f>C32 &amp; " answers " &amp; D32</f>
        <v>controller-control-detail answers q-controller-blocking-control-inoperative</v>
      </c>
      <c r="C32" s="3" t="s">
        <v>8558</v>
      </c>
      <c r="D32" s="3" t="s">
        <v>1987</v>
      </c>
      <c r="E32" s="3" t="s">
        <v>1882</v>
      </c>
    </row>
    <row r="33">
      <c r="A33" s="3" t="s">
        <v>9214</v>
      </c>
      <c r="B33" s="4" t="str">
        <f>C33 &amp; " answers " &amp; D33</f>
        <v>analyst-home answers q-analyst-blocking-unmet-on-my-step</v>
      </c>
      <c r="C33" s="3" t="s">
        <v>8563</v>
      </c>
      <c r="D33" s="3" t="s">
        <v>1958</v>
      </c>
      <c r="E33" s="3" t="s">
        <v>1882</v>
      </c>
    </row>
    <row r="34">
      <c r="A34" s="3" t="s">
        <v>9215</v>
      </c>
      <c r="B34" s="4" t="str">
        <f>C34 &amp; " answers " &amp; D34</f>
        <v>analyst-home answers q2-fa-clean-but-uncovered</v>
      </c>
      <c r="C34" s="3" t="s">
        <v>8563</v>
      </c>
      <c r="D34" s="3" t="s">
        <v>2271</v>
      </c>
      <c r="E34" s="3" t="s">
        <v>1882</v>
      </c>
    </row>
    <row r="35">
      <c r="A35" s="3" t="s">
        <v>9216</v>
      </c>
      <c r="B35" s="4" t="str">
        <f>C35 &amp; " answers " &amp; D35</f>
        <v>analyst-blocking-unmet answers q-analyst-blocking-unmet-on-my-step</v>
      </c>
      <c r="C35" s="3" t="s">
        <v>8568</v>
      </c>
      <c r="D35" s="3" t="s">
        <v>1958</v>
      </c>
      <c r="E35" s="3" t="s">
        <v>1882</v>
      </c>
    </row>
    <row r="36">
      <c r="A36" s="3" t="s">
        <v>9217</v>
      </c>
      <c r="B36" s="4" t="str">
        <f>C36 &amp; " answers " &amp; D36</f>
        <v>analyst-never-evaluated answers q-analyst-blocking-never-evaluated</v>
      </c>
      <c r="C36" s="3" t="s">
        <v>8573</v>
      </c>
      <c r="D36" s="3" t="s">
        <v>1963</v>
      </c>
      <c r="E36" s="3" t="s">
        <v>1882</v>
      </c>
    </row>
    <row r="37">
      <c r="A37" s="3" t="s">
        <v>9218</v>
      </c>
      <c r="B37" s="4" t="str">
        <f>C37 &amp; " answers " &amp; D37</f>
        <v>analyst-late-steps answers q-analyst-my-late-steps-unexplained</v>
      </c>
      <c r="C37" s="3" t="s">
        <v>8578</v>
      </c>
      <c r="D37" s="3" t="s">
        <v>1971</v>
      </c>
      <c r="E37" s="3" t="s">
        <v>1882</v>
      </c>
    </row>
    <row r="38">
      <c r="A38" s="3" t="s">
        <v>9219</v>
      </c>
      <c r="B38" s="4" t="str">
        <f>C38 &amp; " answers " &amp; D38</f>
        <v>analyst-verification-performed answers q-analyst-verification-declared-never-performed</v>
      </c>
      <c r="C38" s="3" t="s">
        <v>8583</v>
      </c>
      <c r="D38" s="3" t="s">
        <v>1975</v>
      </c>
      <c r="E38" s="3" t="s">
        <v>1882</v>
      </c>
    </row>
    <row r="39">
      <c r="A39" s="3" t="s">
        <v>9220</v>
      </c>
      <c r="B39" s="4" t="str">
        <f>C39 &amp; " answers " &amp; D39</f>
        <v>analyst-evidence-quality answers q2-fa-my-own-evidence-quality</v>
      </c>
      <c r="C39" s="3" t="s">
        <v>8587</v>
      </c>
      <c r="D39" s="3" t="s">
        <v>2275</v>
      </c>
      <c r="E39" s="3" t="s">
        <v>1882</v>
      </c>
    </row>
    <row r="40">
      <c r="A40" s="3" t="s">
        <v>9221</v>
      </c>
      <c r="B40" s="4" t="str">
        <f>C40 &amp; " answers " &amp; D40</f>
        <v>analyst-source-freshness answers q-analyst-evidence-binding-stale</v>
      </c>
      <c r="C40" s="3" t="s">
        <v>8592</v>
      </c>
      <c r="D40" s="3" t="s">
        <v>1967</v>
      </c>
      <c r="E40" s="3" t="s">
        <v>1882</v>
      </c>
    </row>
    <row r="41">
      <c r="A41" s="3" t="s">
        <v>9222</v>
      </c>
      <c r="B41" s="4" t="str">
        <f>C41 &amp; " answers " &amp; D41</f>
        <v>analyst-stale-then-vs-now answers q2-fa-stale-then-vs-stale-now</v>
      </c>
      <c r="C41" s="3" t="s">
        <v>8596</v>
      </c>
      <c r="D41" s="3" t="s">
        <v>2263</v>
      </c>
      <c r="E41" s="3" t="s">
        <v>1882</v>
      </c>
    </row>
    <row r="42">
      <c r="A42" s="3" t="s">
        <v>9223</v>
      </c>
      <c r="B42" s="4" t="str">
        <f>C42 &amp; " answers " &amp; D42</f>
        <v>analyst-clean-but-uncovered answers q2-fa-clean-but-uncovered</v>
      </c>
      <c r="C42" s="3" t="s">
        <v>8601</v>
      </c>
      <c r="D42" s="3" t="s">
        <v>2271</v>
      </c>
      <c r="E42" s="3" t="s">
        <v>1882</v>
      </c>
    </row>
    <row r="43">
      <c r="A43" s="3" t="s">
        <v>9224</v>
      </c>
      <c r="B43" s="4" t="str">
        <f>C43 &amp; " answers " &amp; D43</f>
        <v>analyst-mute-clearance answers q2-fa-cleared-by-mute-control</v>
      </c>
      <c r="C43" s="3" t="s">
        <v>8606</v>
      </c>
      <c r="D43" s="3" t="s">
        <v>2259</v>
      </c>
      <c r="E43" s="3" t="s">
        <v>1882</v>
      </c>
    </row>
    <row r="44">
      <c r="A44" s="3" t="s">
        <v>9225</v>
      </c>
      <c r="B44" s="4" t="str">
        <f>C44 &amp; " answers " &amp; D44</f>
        <v>analyst-witness-coverage answers q2-fa-witness-coverage-of-my-steps</v>
      </c>
      <c r="C44" s="3" t="s">
        <v>8611</v>
      </c>
      <c r="D44" s="3" t="s">
        <v>2267</v>
      </c>
      <c r="E44" s="3" t="s">
        <v>1882</v>
      </c>
    </row>
    <row r="45">
      <c r="A45" s="3" t="s">
        <v>9226</v>
      </c>
      <c r="B45" s="4" t="str">
        <f>C45 &amp; " answers " &amp; D45</f>
        <v>hr-home answers q-hr-unapproved-knowledge-in-my-name</v>
      </c>
      <c r="C45" s="3" t="s">
        <v>8616</v>
      </c>
      <c r="D45" s="3" t="s">
        <v>2147</v>
      </c>
      <c r="E45" s="3" t="s">
        <v>1882</v>
      </c>
    </row>
    <row r="46">
      <c r="A46" s="3" t="s">
        <v>9227</v>
      </c>
      <c r="B46" s="4" t="str">
        <f>C46 &amp; " answers " &amp; D46</f>
        <v>hr-home answers q-hr-authority-without-review</v>
      </c>
      <c r="C46" s="3" t="s">
        <v>8616</v>
      </c>
      <c r="D46" s="3" t="s">
        <v>2139</v>
      </c>
      <c r="E46" s="3" t="s">
        <v>1882</v>
      </c>
    </row>
    <row r="47">
      <c r="A47" s="3" t="s">
        <v>9228</v>
      </c>
      <c r="B47" s="4" t="str">
        <f>C47 &amp; " answers " &amp; D47</f>
        <v>hr-unapproved-claims answers q-hr-unapproved-knowledge-in-my-name</v>
      </c>
      <c r="C47" s="3" t="s">
        <v>8621</v>
      </c>
      <c r="D47" s="3" t="s">
        <v>2147</v>
      </c>
      <c r="E47" s="3" t="s">
        <v>1882</v>
      </c>
    </row>
    <row r="48">
      <c r="A48" s="3" t="s">
        <v>9229</v>
      </c>
      <c r="B48" s="4" t="str">
        <f>C48 &amp; " answers " &amp; D48</f>
        <v>hr-load-bearing-claim answers q2-hr-my-unapproved-claim-is-load-bearing</v>
      </c>
      <c r="C48" s="3" t="s">
        <v>8626</v>
      </c>
      <c r="D48" s="3" t="s">
        <v>2227</v>
      </c>
      <c r="E48" s="3" t="s">
        <v>1882</v>
      </c>
    </row>
    <row r="49">
      <c r="A49" s="3" t="s">
        <v>9230</v>
      </c>
      <c r="B49" s="4" t="str">
        <f>C49 &amp; " answers " &amp; D49</f>
        <v>hr-backlog answers q-hr-authority-without-review</v>
      </c>
      <c r="C49" s="3" t="s">
        <v>8631</v>
      </c>
      <c r="D49" s="3" t="s">
        <v>2139</v>
      </c>
      <c r="E49" s="3" t="s">
        <v>1882</v>
      </c>
    </row>
    <row r="50">
      <c r="A50" s="3" t="s">
        <v>9231</v>
      </c>
      <c r="B50" s="4" t="str">
        <f>C50 &amp; " answers " &amp; D50</f>
        <v>hr-backlog-downstream answers q2-hr-my-backlog-is-someone-elses-block</v>
      </c>
      <c r="C50" s="3" t="s">
        <v>8636</v>
      </c>
      <c r="D50" s="3" t="s">
        <v>2219</v>
      </c>
      <c r="E50" s="3" t="s">
        <v>1882</v>
      </c>
    </row>
    <row r="51">
      <c r="A51" s="3" t="s">
        <v>9232</v>
      </c>
      <c r="B51" s="4" t="str">
        <f>C51 &amp; " answers " &amp; D51</f>
        <v>hr-my-decisions answers q2-hr-my-approvals-never-read-as-done</v>
      </c>
      <c r="C51" s="3" t="s">
        <v>8641</v>
      </c>
      <c r="D51" s="3" t="s">
        <v>2231</v>
      </c>
      <c r="E51" s="3" t="s">
        <v>1882</v>
      </c>
    </row>
    <row r="52">
      <c r="A52" s="3" t="s">
        <v>9233</v>
      </c>
      <c r="B52" s="4" t="str">
        <f>C52 &amp; " answers " &amp; D52</f>
        <v>hr-ai-boundary answers q-hr-ai-authored-commitments</v>
      </c>
      <c r="C52" s="3" t="s">
        <v>8646</v>
      </c>
      <c r="D52" s="3" t="s">
        <v>2143</v>
      </c>
      <c r="E52" s="3" t="s">
        <v>1882</v>
      </c>
    </row>
    <row r="53">
      <c r="A53" s="3" t="s">
        <v>9234</v>
      </c>
      <c r="B53" s="4" t="str">
        <f>C53 &amp; " answers " &amp; D53</f>
        <v>hr-ai-boundary answers q2-hr-ai-boundary-holds-only-where-tested</v>
      </c>
      <c r="C53" s="3" t="s">
        <v>8646</v>
      </c>
      <c r="D53" s="3" t="s">
        <v>2223</v>
      </c>
      <c r="E53" s="3" t="s">
        <v>1882</v>
      </c>
    </row>
    <row r="54">
      <c r="A54" s="3" t="s">
        <v>9235</v>
      </c>
      <c r="B54" s="4" t="str">
        <f>C54 &amp; " answers " &amp; D54</f>
        <v>hr-knowledge-half-life answers q-hr-policy-knowledge-half-life</v>
      </c>
      <c r="C54" s="3" t="s">
        <v>8651</v>
      </c>
      <c r="D54" s="3" t="s">
        <v>2155</v>
      </c>
      <c r="E54" s="3" t="s">
        <v>1882</v>
      </c>
    </row>
    <row r="55">
      <c r="A55" s="3" t="s">
        <v>9236</v>
      </c>
      <c r="B55" s="4" t="str">
        <f>C55 &amp; " answers " &amp; D55</f>
        <v>hr-departed-holders answers q2-hr-departed-holder-left-claims-behind</v>
      </c>
      <c r="C55" s="3" t="s">
        <v>8656</v>
      </c>
      <c r="D55" s="3" t="s">
        <v>2235</v>
      </c>
      <c r="E55" s="3" t="s">
        <v>1882</v>
      </c>
    </row>
    <row r="56">
      <c r="A56" s="3" t="s">
        <v>9237</v>
      </c>
      <c r="B56" s="4" t="str">
        <f>C56 &amp; " answers " &amp; D56</f>
        <v>hr-what-was-sent answers q-hr-what-was-actually-sent</v>
      </c>
      <c r="C56" s="3" t="s">
        <v>8661</v>
      </c>
      <c r="D56" s="3" t="s">
        <v>2151</v>
      </c>
      <c r="E56" s="3" t="s">
        <v>1882</v>
      </c>
    </row>
    <row r="57">
      <c r="A57" s="3" t="s">
        <v>9238</v>
      </c>
      <c r="B57" s="4" t="str">
        <f>C57 &amp; " answers " &amp; D57</f>
        <v>counsel-home answers q-counsel-sms-without-consent</v>
      </c>
      <c r="C57" s="3" t="s">
        <v>8666</v>
      </c>
      <c r="D57" s="3" t="s">
        <v>2059</v>
      </c>
      <c r="E57" s="3" t="s">
        <v>1882</v>
      </c>
    </row>
    <row r="58">
      <c r="A58" s="3" t="s">
        <v>9239</v>
      </c>
      <c r="B58" s="4" t="str">
        <f>C58 &amp; " answers " &amp; D58</f>
        <v>counsel-home answers q-counsel-quiet-hours-breach</v>
      </c>
      <c r="C58" s="3" t="s">
        <v>8666</v>
      </c>
      <c r="D58" s="3" t="s">
        <v>2063</v>
      </c>
      <c r="E58" s="3" t="s">
        <v>1882</v>
      </c>
    </row>
    <row r="59">
      <c r="A59" s="3" t="s">
        <v>9240</v>
      </c>
      <c r="B59" s="4" t="str">
        <f>C59 &amp; " answers " &amp; D59</f>
        <v>counsel-home answers q-counsel-legal-review-gated-send</v>
      </c>
      <c r="C59" s="3" t="s">
        <v>8666</v>
      </c>
      <c r="D59" s="3" t="s">
        <v>2075</v>
      </c>
      <c r="E59" s="3" t="s">
        <v>1882</v>
      </c>
    </row>
    <row r="60">
      <c r="A60" s="3" t="s">
        <v>9241</v>
      </c>
      <c r="B60" s="4" t="str">
        <f>C60 &amp; " answers " &amp; D60</f>
        <v>counsel-home answers q-counsel-retention-evidence</v>
      </c>
      <c r="C60" s="3" t="s">
        <v>8666</v>
      </c>
      <c r="D60" s="3" t="s">
        <v>2071</v>
      </c>
      <c r="E60" s="3" t="s">
        <v>1882</v>
      </c>
    </row>
    <row r="61">
      <c r="A61" s="3" t="s">
        <v>9242</v>
      </c>
      <c r="B61" s="4" t="str">
        <f>C61 &amp; " answers " &amp; D61</f>
        <v>counsel-consent answers q-counsel-sms-without-consent</v>
      </c>
      <c r="C61" s="3" t="s">
        <v>8671</v>
      </c>
      <c r="D61" s="3" t="s">
        <v>2059</v>
      </c>
      <c r="E61" s="3" t="s">
        <v>1882</v>
      </c>
    </row>
    <row r="62">
      <c r="A62" s="3" t="s">
        <v>9243</v>
      </c>
      <c r="B62" s="4" t="str">
        <f>C62 &amp; " answers " &amp; D62</f>
        <v>counsel-quiet-hours answers q-counsel-quiet-hours-breach</v>
      </c>
      <c r="C62" s="3" t="s">
        <v>8675</v>
      </c>
      <c r="D62" s="3" t="s">
        <v>2063</v>
      </c>
      <c r="E62" s="3" t="s">
        <v>1882</v>
      </c>
    </row>
    <row r="63">
      <c r="A63" s="3" t="s">
        <v>9244</v>
      </c>
      <c r="B63" s="4" t="str">
        <f>C63 &amp; " answers " &amp; D63</f>
        <v>counsel-legal-review answers q-counsel-legal-review-gated-send</v>
      </c>
      <c r="C63" s="3" t="s">
        <v>8679</v>
      </c>
      <c r="D63" s="3" t="s">
        <v>2075</v>
      </c>
      <c r="E63" s="3" t="s">
        <v>1882</v>
      </c>
    </row>
    <row r="64">
      <c r="A64" s="3" t="s">
        <v>9245</v>
      </c>
      <c r="B64" s="4" t="str">
        <f>C64 &amp; " answers " &amp; D64</f>
        <v>counsel-retention answers q-counsel-retention-evidence</v>
      </c>
      <c r="C64" s="3" t="s">
        <v>8683</v>
      </c>
      <c r="D64" s="3" t="s">
        <v>2071</v>
      </c>
      <c r="E64" s="3" t="s">
        <v>1882</v>
      </c>
    </row>
    <row r="65">
      <c r="A65" s="3" t="s">
        <v>9246</v>
      </c>
      <c r="B65" s="4" t="str">
        <f>C65 &amp; " answers " &amp; D65</f>
        <v>counsel-unreachable answers q-counsel-unreachable-not-acknowledged</v>
      </c>
      <c r="C65" s="3" t="s">
        <v>8687</v>
      </c>
      <c r="D65" s="3" t="s">
        <v>2067</v>
      </c>
      <c r="E65" s="3" t="s">
        <v>1882</v>
      </c>
    </row>
    <row r="66">
      <c r="A66" s="3" t="s">
        <v>9247</v>
      </c>
      <c r="B66" s="4" t="str">
        <f>C66 &amp; " answers " &amp; D66</f>
        <v>comms-home answers q-comms-deliverability</v>
      </c>
      <c r="C66" s="3" t="s">
        <v>8691</v>
      </c>
      <c r="D66" s="3" t="s">
        <v>2091</v>
      </c>
      <c r="E66" s="3" t="s">
        <v>1882</v>
      </c>
    </row>
    <row r="67">
      <c r="A67" s="3" t="s">
        <v>9248</v>
      </c>
      <c r="B67" s="4" t="str">
        <f>C67 &amp; " answers " &amp; D67</f>
        <v>comms-home answers q2-comms-approval-to-delivery-yield</v>
      </c>
      <c r="C67" s="3" t="s">
        <v>8691</v>
      </c>
      <c r="D67" s="3" t="s">
        <v>2319</v>
      </c>
      <c r="E67" s="3" t="s">
        <v>1882</v>
      </c>
    </row>
    <row r="68">
      <c r="A68" s="3" t="s">
        <v>9249</v>
      </c>
      <c r="B68" s="4" t="str">
        <f>C68 &amp; " answers " &amp; D68</f>
        <v>comms-yield answers q2-comms-approval-to-delivery-yield</v>
      </c>
      <c r="C68" s="3" t="s">
        <v>8696</v>
      </c>
      <c r="D68" s="3" t="s">
        <v>2319</v>
      </c>
      <c r="E68" s="3" t="s">
        <v>1882</v>
      </c>
    </row>
    <row r="69">
      <c r="A69" s="3" t="s">
        <v>9250</v>
      </c>
      <c r="B69" s="4" t="str">
        <f>C69 &amp; " answers " &amp; D69</f>
        <v>comms-yield answers q-comms-deliverability</v>
      </c>
      <c r="C69" s="3" t="s">
        <v>8696</v>
      </c>
      <c r="D69" s="3" t="s">
        <v>2091</v>
      </c>
      <c r="E69" s="3" t="s">
        <v>1882</v>
      </c>
    </row>
    <row r="70">
      <c r="A70" s="3" t="s">
        <v>9251</v>
      </c>
      <c r="B70" s="4" t="str">
        <f>C70 &amp; " answers " &amp; D70</f>
        <v>comms-failed-deliveries answers q-comms-deliverability</v>
      </c>
      <c r="C70" s="3" t="s">
        <v>8701</v>
      </c>
      <c r="D70" s="3" t="s">
        <v>2091</v>
      </c>
      <c r="E70" s="3" t="s">
        <v>1882</v>
      </c>
    </row>
    <row r="71">
      <c r="A71" s="3" t="s">
        <v>9252</v>
      </c>
      <c r="B71" s="4" t="str">
        <f>C71 &amp; " answers " &amp; D71</f>
        <v>comms-approval-authority answers q-comms-approval-authority</v>
      </c>
      <c r="C71" s="3" t="s">
        <v>8706</v>
      </c>
      <c r="D71" s="3" t="s">
        <v>2083</v>
      </c>
      <c r="E71" s="3" t="s">
        <v>1882</v>
      </c>
    </row>
    <row r="72">
      <c r="A72" s="3" t="s">
        <v>9253</v>
      </c>
      <c r="B72" s="4" t="str">
        <f>C72 &amp; " answers " &amp; D72</f>
        <v>comms-template-drift answers q-comms-template-drift</v>
      </c>
      <c r="C72" s="3" t="s">
        <v>8711</v>
      </c>
      <c r="D72" s="3" t="s">
        <v>2095</v>
      </c>
      <c r="E72" s="3" t="s">
        <v>1882</v>
      </c>
    </row>
    <row r="73">
      <c r="A73" s="3" t="s">
        <v>9254</v>
      </c>
      <c r="B73" s="4" t="str">
        <f>C73 &amp; " answers " &amp; D73</f>
        <v>comms-frozen-approval answers q2-comms-freeze-what-i-approved</v>
      </c>
      <c r="C73" s="3" t="s">
        <v>8715</v>
      </c>
      <c r="D73" s="3" t="s">
        <v>2331</v>
      </c>
      <c r="E73" s="3" t="s">
        <v>1882</v>
      </c>
    </row>
    <row r="74">
      <c r="A74" s="3" t="s">
        <v>9255</v>
      </c>
      <c r="B74" s="4" t="str">
        <f>C74 &amp; " answers " &amp; D74</f>
        <v>comms-optout answers q-comms-optout-present</v>
      </c>
      <c r="C74" s="3" t="s">
        <v>8720</v>
      </c>
      <c r="D74" s="3" t="s">
        <v>2087</v>
      </c>
      <c r="E74" s="3" t="s">
        <v>1882</v>
      </c>
    </row>
    <row r="75">
      <c r="A75" s="3" t="s">
        <v>9256</v>
      </c>
      <c r="B75" s="4" t="str">
        <f>C75 &amp; " answers " &amp; D75</f>
        <v>comms-sms-limits answers q-comms-oversized-sms</v>
      </c>
      <c r="C75" s="3" t="s">
        <v>8724</v>
      </c>
      <c r="D75" s="3" t="s">
        <v>2079</v>
      </c>
      <c r="E75" s="3" t="s">
        <v>1882</v>
      </c>
    </row>
    <row r="76">
      <c r="A76" s="3" t="s">
        <v>9257</v>
      </c>
      <c r="B76" s="4" t="str">
        <f>C76 &amp; " answers " &amp; D76</f>
        <v>comms-engagement answers q2-comms-message-nobody-answered</v>
      </c>
      <c r="C76" s="3" t="s">
        <v>8728</v>
      </c>
      <c r="D76" s="3" t="s">
        <v>2323</v>
      </c>
      <c r="E76" s="3" t="s">
        <v>1882</v>
      </c>
    </row>
    <row r="77">
      <c r="A77" s="3" t="s">
        <v>9258</v>
      </c>
      <c r="B77" s="4" t="str">
        <f>C77 &amp; " answers " &amp; D77</f>
        <v>comms-suppression answers q2-comms-suppression-is-a-communication</v>
      </c>
      <c r="C77" s="3" t="s">
        <v>8733</v>
      </c>
      <c r="D77" s="3" t="s">
        <v>2335</v>
      </c>
      <c r="E77" s="3" t="s">
        <v>1882</v>
      </c>
    </row>
    <row r="78">
      <c r="A78" s="3" t="s">
        <v>9259</v>
      </c>
      <c r="B78" s="4" t="str">
        <f>C78 &amp; " answers " &amp; D78</f>
        <v>comms-authorization-override answers q2-comms-my-approval-was-consumed-correctly</v>
      </c>
      <c r="C78" s="3" t="s">
        <v>8738</v>
      </c>
      <c r="D78" s="3" t="s">
        <v>2327</v>
      </c>
      <c r="E78" s="3" t="s">
        <v>1882</v>
      </c>
    </row>
    <row r="79">
      <c r="A79" s="3" t="s">
        <v>9260</v>
      </c>
      <c r="B79" s="4" t="str">
        <f>C79 &amp; " answers " &amp; D79</f>
        <v>close-auto-home answers q-close-auto-authority-current</v>
      </c>
      <c r="C79" s="3" t="s">
        <v>8743</v>
      </c>
      <c r="D79" s="3" t="s">
        <v>2119</v>
      </c>
      <c r="E79" s="3" t="s">
        <v>1882</v>
      </c>
    </row>
    <row r="80">
      <c r="A80" s="3" t="s">
        <v>9261</v>
      </c>
      <c r="B80" s="4" t="str">
        <f>C80 &amp; " answers " &amp; D80</f>
        <v>close-auto-home answers q-close-auto-input-freshness</v>
      </c>
      <c r="C80" s="3" t="s">
        <v>8743</v>
      </c>
      <c r="D80" s="3" t="s">
        <v>2123</v>
      </c>
      <c r="E80" s="3" t="s">
        <v>1882</v>
      </c>
    </row>
    <row r="81">
      <c r="A81" s="3" t="s">
        <v>9262</v>
      </c>
      <c r="B81" s="4" t="str">
        <f>C81 &amp; " answers " &amp; D81</f>
        <v>close-auto-home answers q-close-auto-last-run-clean</v>
      </c>
      <c r="C81" s="3" t="s">
        <v>8743</v>
      </c>
      <c r="D81" s="3" t="s">
        <v>2127</v>
      </c>
      <c r="E81" s="3" t="s">
        <v>1882</v>
      </c>
    </row>
    <row r="82">
      <c r="A82" s="3" t="s">
        <v>9263</v>
      </c>
      <c r="B82" s="4" t="str">
        <f>C82 &amp; " answers " &amp; D82</f>
        <v>close-auto-home answers q-close-auto-blocking-requirements-evaluated</v>
      </c>
      <c r="C82" s="3" t="s">
        <v>8743</v>
      </c>
      <c r="D82" s="3" t="s">
        <v>2131</v>
      </c>
      <c r="E82" s="3" t="s">
        <v>1882</v>
      </c>
    </row>
    <row r="83">
      <c r="A83" s="3" t="s">
        <v>9264</v>
      </c>
      <c r="B83" s="4" t="str">
        <f>C83 &amp; " answers " &amp; D83</f>
        <v>close-auto-authority answers q-close-auto-authority-current</v>
      </c>
      <c r="C83" s="3" t="s">
        <v>8748</v>
      </c>
      <c r="D83" s="3" t="s">
        <v>2119</v>
      </c>
      <c r="E83" s="3" t="s">
        <v>1882</v>
      </c>
    </row>
    <row r="84">
      <c r="A84" s="3" t="s">
        <v>9265</v>
      </c>
      <c r="B84" s="4" t="str">
        <f>C84 &amp; " answers " &amp; D84</f>
        <v>close-auto-inputs answers q-close-auto-input-freshness</v>
      </c>
      <c r="C84" s="3" t="s">
        <v>8753</v>
      </c>
      <c r="D84" s="3" t="s">
        <v>2123</v>
      </c>
      <c r="E84" s="3" t="s">
        <v>1882</v>
      </c>
    </row>
    <row r="85">
      <c r="A85" s="3" t="s">
        <v>9266</v>
      </c>
      <c r="B85" s="4" t="str">
        <f>C85 &amp; " answers " &amp; D85</f>
        <v>close-auto-controls answers q-close-auto-blocking-requirements-evaluated</v>
      </c>
      <c r="C85" s="3" t="s">
        <v>8758</v>
      </c>
      <c r="D85" s="3" t="s">
        <v>2131</v>
      </c>
      <c r="E85" s="3" t="s">
        <v>1882</v>
      </c>
    </row>
    <row r="86">
      <c r="A86" s="3" t="s">
        <v>9267</v>
      </c>
      <c r="B86" s="4" t="str">
        <f>C86 &amp; " answers " &amp; D86</f>
        <v>close-auto-last-run answers q-close-auto-last-run-clean</v>
      </c>
      <c r="C86" s="3" t="s">
        <v>8763</v>
      </c>
      <c r="D86" s="3" t="s">
        <v>2127</v>
      </c>
      <c r="E86" s="3" t="s">
        <v>1882</v>
      </c>
    </row>
    <row r="87">
      <c r="A87" s="3" t="s">
        <v>9268</v>
      </c>
      <c r="B87" s="4" t="str">
        <f>C87 &amp; " answers " &amp; D87</f>
        <v>close-auto-drift answers q-close-auto-human-override-drift</v>
      </c>
      <c r="C87" s="3" t="s">
        <v>8767</v>
      </c>
      <c r="D87" s="3" t="s">
        <v>2135</v>
      </c>
      <c r="E87" s="3" t="s">
        <v>1882</v>
      </c>
    </row>
    <row r="88">
      <c r="A88" s="3" t="s">
        <v>9269</v>
      </c>
      <c r="B88" s="4" t="str">
        <f>C88 &amp; " answers " &amp; D88</f>
        <v>variance-home answers q-variance-ai-authority-provenance</v>
      </c>
      <c r="C88" s="3" t="s">
        <v>8772</v>
      </c>
      <c r="D88" s="3" t="s">
        <v>2159</v>
      </c>
      <c r="E88" s="3" t="s">
        <v>1882</v>
      </c>
    </row>
    <row r="89">
      <c r="A89" s="3" t="s">
        <v>9270</v>
      </c>
      <c r="B89" s="4" t="str">
        <f>C89 &amp; " answers " &amp; D89</f>
        <v>variance-home answers q-variance-ai-boundary-compliance</v>
      </c>
      <c r="C89" s="3" t="s">
        <v>8772</v>
      </c>
      <c r="D89" s="3" t="s">
        <v>2167</v>
      </c>
      <c r="E89" s="3" t="s">
        <v>1882</v>
      </c>
    </row>
    <row r="90">
      <c r="A90" s="3" t="s">
        <v>9271</v>
      </c>
      <c r="B90" s="4" t="str">
        <f>C90 &amp; " answers " &amp; D90</f>
        <v>variance-home answers q-variance-ai-knowledge-currency</v>
      </c>
      <c r="C90" s="3" t="s">
        <v>8772</v>
      </c>
      <c r="D90" s="3" t="s">
        <v>2175</v>
      </c>
      <c r="E90" s="3" t="s">
        <v>1882</v>
      </c>
    </row>
    <row r="91">
      <c r="A91" s="3" t="s">
        <v>9272</v>
      </c>
      <c r="B91" s="4" t="str">
        <f>C91 &amp; " answers " &amp; D91</f>
        <v>variance-authority answers q-variance-ai-authority-provenance</v>
      </c>
      <c r="C91" s="3" t="s">
        <v>8777</v>
      </c>
      <c r="D91" s="3" t="s">
        <v>2159</v>
      </c>
      <c r="E91" s="3" t="s">
        <v>1882</v>
      </c>
    </row>
    <row r="92">
      <c r="A92" s="3" t="s">
        <v>9273</v>
      </c>
      <c r="B92" s="4" t="str">
        <f>C92 &amp; " answers " &amp; D92</f>
        <v>variance-authority answers q2-variance-handover-was-a-decision-somebody-made</v>
      </c>
      <c r="C92" s="3" t="s">
        <v>8777</v>
      </c>
      <c r="D92" s="3" t="s">
        <v>2351</v>
      </c>
      <c r="E92" s="3" t="s">
        <v>1882</v>
      </c>
    </row>
    <row r="93">
      <c r="A93" s="3" t="s">
        <v>9274</v>
      </c>
      <c r="B93" s="4" t="str">
        <f>C93 &amp; " answers " &amp; D93</f>
        <v>variance-handover answers q2-variance-handover-was-a-decision-somebody-made</v>
      </c>
      <c r="C93" s="3" t="s">
        <v>8781</v>
      </c>
      <c r="D93" s="3" t="s">
        <v>2351</v>
      </c>
      <c r="E93" s="3" t="s">
        <v>1882</v>
      </c>
    </row>
    <row r="94">
      <c r="A94" s="3" t="s">
        <v>9275</v>
      </c>
      <c r="B94" s="4" t="str">
        <f>C94 &amp; " answers " &amp; D94</f>
        <v>variance-boundary answers q-variance-ai-boundary-compliance</v>
      </c>
      <c r="C94" s="3" t="s">
        <v>8786</v>
      </c>
      <c r="D94" s="3" t="s">
        <v>2167</v>
      </c>
      <c r="E94" s="3" t="s">
        <v>1882</v>
      </c>
    </row>
    <row r="95">
      <c r="A95" s="3" t="s">
        <v>9276</v>
      </c>
      <c r="B95" s="4" t="str">
        <f>C95 &amp; " answers " &amp; D95</f>
        <v>variance-boundary-ratification answers q2-variance-boundary-rests-on-expired-knowledge</v>
      </c>
      <c r="C95" s="3" t="s">
        <v>8791</v>
      </c>
      <c r="D95" s="3" t="s">
        <v>2343</v>
      </c>
      <c r="E95" s="3" t="s">
        <v>1882</v>
      </c>
    </row>
    <row r="96">
      <c r="A96" s="3" t="s">
        <v>9277</v>
      </c>
      <c r="B96" s="4" t="str">
        <f>C96 &amp; " answers " &amp; D96</f>
        <v>variance-human-confirmation answers q-variance-ai-human-confirmation-present</v>
      </c>
      <c r="C96" s="3" t="s">
        <v>8796</v>
      </c>
      <c r="D96" s="3" t="s">
        <v>2171</v>
      </c>
      <c r="E96" s="3" t="s">
        <v>1882</v>
      </c>
    </row>
    <row r="97">
      <c r="A97" s="3" t="s">
        <v>9278</v>
      </c>
      <c r="B97" s="4" t="str">
        <f>C97 &amp; " answers " &amp; D97</f>
        <v>variance-knowledge-currency answers q-variance-ai-knowledge-currency</v>
      </c>
      <c r="C97" s="3" t="s">
        <v>8801</v>
      </c>
      <c r="D97" s="3" t="s">
        <v>2175</v>
      </c>
      <c r="E97" s="3" t="s">
        <v>1882</v>
      </c>
    </row>
    <row r="98">
      <c r="A98" s="3" t="s">
        <v>9279</v>
      </c>
      <c r="B98" s="4" t="str">
        <f>C98 &amp; " answers " &amp; D98</f>
        <v>variance-quality-baseline answers q-variance-ai-quality-vs-human-baseline</v>
      </c>
      <c r="C98" s="3" t="s">
        <v>8806</v>
      </c>
      <c r="D98" s="3" t="s">
        <v>2163</v>
      </c>
      <c r="E98" s="3" t="s">
        <v>1882</v>
      </c>
    </row>
    <row r="99">
      <c r="A99" s="3" t="s">
        <v>9280</v>
      </c>
      <c r="B99" s="4" t="str">
        <f>C99 &amp; " answers " &amp; D99</f>
        <v>variance-quality-baseline answers q2-variance-comparison-is-statistically-empty</v>
      </c>
      <c r="C99" s="3" t="s">
        <v>8806</v>
      </c>
      <c r="D99" s="3" t="s">
        <v>2339</v>
      </c>
      <c r="E99" s="3" t="s">
        <v>1882</v>
      </c>
    </row>
    <row r="100">
      <c r="A100" s="3" t="s">
        <v>9281</v>
      </c>
      <c r="B100" s="4" t="str">
        <f>C100 &amp; " answers " &amp; D100</f>
        <v>variance-sample-size answers q2-variance-comparison-is-statistically-empty</v>
      </c>
      <c r="C100" s="3" t="s">
        <v>8811</v>
      </c>
      <c r="D100" s="3" t="s">
        <v>2339</v>
      </c>
      <c r="E100" s="3" t="s">
        <v>1882</v>
      </c>
    </row>
    <row r="101">
      <c r="A101" s="3" t="s">
        <v>9282</v>
      </c>
      <c r="B101" s="4" t="str">
        <f>C101 &amp; " answers " &amp; D101</f>
        <v>variance-override-signal answers q2-variance-override-signal-vs-noise</v>
      </c>
      <c r="C101" s="3" t="s">
        <v>8816</v>
      </c>
      <c r="D101" s="3" t="s">
        <v>2347</v>
      </c>
      <c r="E101" s="3" t="s">
        <v>1882</v>
      </c>
    </row>
    <row r="102">
      <c r="A102" s="3" t="s">
        <v>9283</v>
      </c>
      <c r="B102" s="4" t="str">
        <f>C102 &amp; " answers " &amp; D102</f>
        <v>variance-stop-condition answers q2-variance-what-would-make-me-stop</v>
      </c>
      <c r="C102" s="3" t="s">
        <v>8821</v>
      </c>
      <c r="D102" s="3" t="s">
        <v>2355</v>
      </c>
      <c r="E102" s="3" t="s">
        <v>1882</v>
      </c>
    </row>
    <row r="103">
      <c r="A103" s="3" t="s">
        <v>9284</v>
      </c>
      <c r="B103" s="4" t="str">
        <f>C103 &amp; " answers " &amp; D103</f>
        <v>policy-agent-home answers q-policy-ai-source-approval</v>
      </c>
      <c r="C103" s="3" t="s">
        <v>8826</v>
      </c>
      <c r="D103" s="3" t="s">
        <v>2183</v>
      </c>
      <c r="E103" s="3" t="s">
        <v>1882</v>
      </c>
    </row>
    <row r="104">
      <c r="A104" s="3" t="s">
        <v>9285</v>
      </c>
      <c r="B104" s="4" t="str">
        <f>C104 &amp; " answers " &amp; D104</f>
        <v>policy-agent-home answers q-policy-ai-no-role-assignment</v>
      </c>
      <c r="C104" s="3" t="s">
        <v>8826</v>
      </c>
      <c r="D104" s="3" t="s">
        <v>2179</v>
      </c>
      <c r="E104" s="3" t="s">
        <v>1882</v>
      </c>
    </row>
    <row r="105">
      <c r="A105" s="3" t="s">
        <v>9286</v>
      </c>
      <c r="B105" s="4" t="str">
        <f>C105 &amp; " answers " &amp; D105</f>
        <v>policy-agent-sources answers q-policy-ai-source-approval</v>
      </c>
      <c r="C105" s="3" t="s">
        <v>8831</v>
      </c>
      <c r="D105" s="3" t="s">
        <v>2183</v>
      </c>
      <c r="E105" s="3" t="s">
        <v>1882</v>
      </c>
    </row>
    <row r="106">
      <c r="A106" s="3" t="s">
        <v>9287</v>
      </c>
      <c r="B106" s="4" t="str">
        <f>C106 &amp; " answers " &amp; D106</f>
        <v>policy-agent-assignment answers q-policy-ai-no-role-assignment</v>
      </c>
      <c r="C106" s="3" t="s">
        <v>8836</v>
      </c>
      <c r="D106" s="3" t="s">
        <v>2179</v>
      </c>
      <c r="E106" s="3" t="s">
        <v>1882</v>
      </c>
    </row>
    <row r="107">
      <c r="A107" s="3" t="s">
        <v>9288</v>
      </c>
      <c r="B107" s="4" t="str">
        <f>C107 &amp; " answers " &amp; D107</f>
        <v>policy-agent-commitment-boundary answers q-policy-ai-commitment-boundary</v>
      </c>
      <c r="C107" s="3" t="s">
        <v>8841</v>
      </c>
      <c r="D107" s="3" t="s">
        <v>2187</v>
      </c>
      <c r="E107" s="3" t="s">
        <v>1882</v>
      </c>
    </row>
    <row r="108">
      <c r="A108" s="3" t="s">
        <v>9289</v>
      </c>
      <c r="B108" s="4" t="str">
        <f>C108 &amp; " answers " &amp; D108</f>
        <v>policy-agent-approval-chain answers q-policy-ai-approval-chain-complete</v>
      </c>
      <c r="C108" s="3" t="s">
        <v>8846</v>
      </c>
      <c r="D108" s="3" t="s">
        <v>2195</v>
      </c>
      <c r="E108" s="3" t="s">
        <v>1882</v>
      </c>
    </row>
    <row r="109">
      <c r="A109" s="3" t="s">
        <v>9290</v>
      </c>
      <c r="B109" s="4" t="str">
        <f>C109 &amp; " answers " &amp; D109</f>
        <v>policy-agent-rewrite answers q-policy-ai-downstream-rewrite</v>
      </c>
      <c r="C109" s="3" t="s">
        <v>8851</v>
      </c>
      <c r="D109" s="3" t="s">
        <v>2191</v>
      </c>
      <c r="E109" s="3" t="s">
        <v>1882</v>
      </c>
    </row>
    <row r="110">
      <c r="A110" s="3" t="s">
        <v>9291</v>
      </c>
      <c r="B110" s="4" t="str">
        <f>C110 &amp; " answers " &amp; D110</f>
        <v>publisher-home answers q-publisher-may-i-transmit</v>
      </c>
      <c r="C110" s="3" t="s">
        <v>8856</v>
      </c>
      <c r="D110" s="3" t="s">
        <v>2099</v>
      </c>
      <c r="E110" s="3" t="s">
        <v>1882</v>
      </c>
    </row>
    <row r="111">
      <c r="A111" s="3" t="s">
        <v>9292</v>
      </c>
      <c r="B111" s="4" t="str">
        <f>C111 &amp; " answers " &amp; D111</f>
        <v>publisher-home answers q-publisher-may-i-transmit-now</v>
      </c>
      <c r="C111" s="3" t="s">
        <v>8856</v>
      </c>
      <c r="D111" s="3" t="s">
        <v>2103</v>
      </c>
      <c r="E111" s="3" t="s">
        <v>1882</v>
      </c>
    </row>
    <row r="112">
      <c r="A112" s="3" t="s">
        <v>9293</v>
      </c>
      <c r="B112" s="4" t="str">
        <f>C112 &amp; " answers " &amp; D112</f>
        <v>publisher-home answers q-publisher-is-this-content-permitted</v>
      </c>
      <c r="C112" s="3" t="s">
        <v>8856</v>
      </c>
      <c r="D112" s="3" t="s">
        <v>2107</v>
      </c>
      <c r="E112" s="3" t="s">
        <v>1882</v>
      </c>
    </row>
    <row r="113">
      <c r="A113" s="3" t="s">
        <v>9294</v>
      </c>
      <c r="B113" s="4" t="str">
        <f>C113 &amp; " answers " &amp; D113</f>
        <v>publisher-home answers q-publisher-am-i-authorized-to-act</v>
      </c>
      <c r="C113" s="3" t="s">
        <v>8856</v>
      </c>
      <c r="D113" s="3" t="s">
        <v>2111</v>
      </c>
      <c r="E113" s="3" t="s">
        <v>1882</v>
      </c>
    </row>
    <row r="114">
      <c r="A114" s="3" t="s">
        <v>9295</v>
      </c>
      <c r="B114" s="4" t="str">
        <f>C114 &amp; " answers " &amp; D114</f>
        <v>publisher-permission-gate answers q-publisher-may-i-transmit</v>
      </c>
      <c r="C114" s="3" t="s">
        <v>8861</v>
      </c>
      <c r="D114" s="3" t="s">
        <v>2099</v>
      </c>
      <c r="E114" s="3" t="s">
        <v>1882</v>
      </c>
    </row>
    <row r="115">
      <c r="A115" s="3" t="s">
        <v>9296</v>
      </c>
      <c r="B115" s="4" t="str">
        <f>C115 &amp; " answers " &amp; D115</f>
        <v>publisher-timing-gate answers q-publisher-may-i-transmit-now</v>
      </c>
      <c r="C115" s="3" t="s">
        <v>8866</v>
      </c>
      <c r="D115" s="3" t="s">
        <v>2103</v>
      </c>
      <c r="E115" s="3" t="s">
        <v>1882</v>
      </c>
    </row>
    <row r="116">
      <c r="A116" s="3" t="s">
        <v>9297</v>
      </c>
      <c r="B116" s="4" t="str">
        <f>C116 &amp; " answers " &amp; D116</f>
        <v>publisher-content-gate answers q-publisher-is-this-content-permitted</v>
      </c>
      <c r="C116" s="3" t="s">
        <v>8871</v>
      </c>
      <c r="D116" s="3" t="s">
        <v>2107</v>
      </c>
      <c r="E116" s="3" t="s">
        <v>1882</v>
      </c>
    </row>
    <row r="117">
      <c r="A117" s="3" t="s">
        <v>9298</v>
      </c>
      <c r="B117" s="4" t="str">
        <f>C117 &amp; " answers " &amp; D117</f>
        <v>publisher-authorization-gate answers q-publisher-am-i-authorized-to-act</v>
      </c>
      <c r="C117" s="3" t="s">
        <v>8876</v>
      </c>
      <c r="D117" s="3" t="s">
        <v>2111</v>
      </c>
      <c r="E117" s="3" t="s">
        <v>1882</v>
      </c>
    </row>
    <row r="118">
      <c r="A118" s="3" t="s">
        <v>9299</v>
      </c>
      <c r="B118" s="4" t="str">
        <f>C118 &amp; " answers " &amp; D118</f>
        <v>publisher-refusals answers q-publisher-refusal-was-honored</v>
      </c>
      <c r="C118" s="3" t="s">
        <v>8881</v>
      </c>
      <c r="D118" s="3" t="s">
        <v>2115</v>
      </c>
      <c r="E118" s="3" t="s">
        <v>1882</v>
      </c>
    </row>
    <row r="119">
      <c r="A119" s="3" t="s">
        <v>9300</v>
      </c>
      <c r="B119" s="4" t="str">
        <f>C119 &amp; " answers " &amp; D119</f>
        <v>publisher-refusal-artifacts answers q2-publisher-every-refusal-leaves-a-record</v>
      </c>
      <c r="C119" s="3" t="s">
        <v>8886</v>
      </c>
      <c r="D119" s="3" t="s">
        <v>2359</v>
      </c>
      <c r="E119" s="3" t="s">
        <v>1882</v>
      </c>
    </row>
    <row r="120">
      <c r="A120" s="3" t="s">
        <v>9301</v>
      </c>
      <c r="B120" s="4" t="str">
        <f>C120 &amp; " answers " &amp; D120</f>
        <v>publisher-deferred answers q2-publisher-deferred-not-cancelled</v>
      </c>
      <c r="C120" s="3" t="s">
        <v>8891</v>
      </c>
      <c r="D120" s="3" t="s">
        <v>2363</v>
      </c>
      <c r="E120" s="3" t="s">
        <v>1882</v>
      </c>
    </row>
    <row r="121">
      <c r="A121" s="3" t="s">
        <v>9302</v>
      </c>
      <c r="B121" s="4" t="str">
        <f>C121 &amp; " answers " &amp; D121</f>
        <v>publisher-obligations answers q2-publisher-obligation-after-send</v>
      </c>
      <c r="C121" s="3" t="s">
        <v>8896</v>
      </c>
      <c r="D121" s="3" t="s">
        <v>2375</v>
      </c>
      <c r="E121" s="3" t="s">
        <v>1882</v>
      </c>
    </row>
    <row r="122">
      <c r="A122" s="3" t="s">
        <v>9303</v>
      </c>
      <c r="B122" s="4" t="str">
        <f>C122 &amp; " answers " &amp; D122</f>
        <v>publisher-my-authorization answers q2-publisher-my-own-authorization</v>
      </c>
      <c r="C122" s="3" t="s">
        <v>8901</v>
      </c>
      <c r="D122" s="3" t="s">
        <v>2367</v>
      </c>
      <c r="E122" s="3" t="s">
        <v>1882</v>
      </c>
    </row>
    <row r="123">
      <c r="A123" s="3" t="s">
        <v>9304</v>
      </c>
      <c r="B123" s="4" t="str">
        <f>C123 &amp; " answers " &amp; D123</f>
        <v>publisher-sole-witness answers q2-publisher-am-i-the-only-witness</v>
      </c>
      <c r="C123" s="3" t="s">
        <v>8906</v>
      </c>
      <c r="D123" s="3" t="s">
        <v>2371</v>
      </c>
      <c r="E123" s="3" t="s">
        <v>1882</v>
      </c>
    </row>
    <row r="124">
      <c r="A124" s="3" t="s">
        <v>9305</v>
      </c>
      <c r="B124" s="4" t="str">
        <f>C124 &amp; " answers " &amp; D124</f>
        <v>steward-home answers q-steward-cadence-breach</v>
      </c>
      <c r="C124" s="3" t="s">
        <v>8911</v>
      </c>
      <c r="D124" s="3" t="s">
        <v>2019</v>
      </c>
      <c r="E124" s="3" t="s">
        <v>1882</v>
      </c>
    </row>
    <row r="125">
      <c r="A125" s="3" t="s">
        <v>9306</v>
      </c>
      <c r="B125" s="4" t="str">
        <f>C125 &amp; " answers " &amp; D125</f>
        <v>steward-home answers q-steward-published-with-blocking-gap</v>
      </c>
      <c r="C125" s="3" t="s">
        <v>8911</v>
      </c>
      <c r="D125" s="3" t="s">
        <v>2031</v>
      </c>
      <c r="E125" s="3" t="s">
        <v>1882</v>
      </c>
    </row>
    <row r="126">
      <c r="A126" s="3" t="s">
        <v>9307</v>
      </c>
      <c r="B126" s="4" t="str">
        <f>C126 &amp; " answers " &amp; D126</f>
        <v>steward-home answers q-steward-orphan-versions</v>
      </c>
      <c r="C126" s="3" t="s">
        <v>8911</v>
      </c>
      <c r="D126" s="3" t="s">
        <v>2023</v>
      </c>
      <c r="E126" s="3" t="s">
        <v>1882</v>
      </c>
    </row>
    <row r="127">
      <c r="A127" s="3" t="s">
        <v>9308</v>
      </c>
      <c r="B127" s="4" t="str">
        <f>C127 &amp; " answers " &amp; D127</f>
        <v>steward-home answers q-steward-untested-fallbacks</v>
      </c>
      <c r="C127" s="3" t="s">
        <v>8911</v>
      </c>
      <c r="D127" s="3" t="s">
        <v>2027</v>
      </c>
      <c r="E127" s="3" t="s">
        <v>1882</v>
      </c>
    </row>
    <row r="128">
      <c r="A128" s="3" t="s">
        <v>9309</v>
      </c>
      <c r="B128" s="4" t="str">
        <f>C128 &amp; " answers " &amp; D128</f>
        <v>steward-cadence answers q-steward-cadence-breach</v>
      </c>
      <c r="C128" s="3" t="s">
        <v>8916</v>
      </c>
      <c r="D128" s="3" t="s">
        <v>2019</v>
      </c>
      <c r="E128" s="3" t="s">
        <v>1882</v>
      </c>
    </row>
    <row r="129">
      <c r="A129" s="3" t="s">
        <v>9310</v>
      </c>
      <c r="B129" s="4" t="str">
        <f>C129 &amp; " answers " &amp; D129</f>
        <v>steward-cadence-remediation answers q2-steward-cadence-breach-is-unremediated</v>
      </c>
      <c r="C129" s="3" t="s">
        <v>8921</v>
      </c>
      <c r="D129" s="3" t="s">
        <v>2243</v>
      </c>
      <c r="E129" s="3" t="s">
        <v>1882</v>
      </c>
    </row>
    <row r="130">
      <c r="A130" s="3" t="s">
        <v>9311</v>
      </c>
      <c r="B130" s="4" t="str">
        <f>C130 &amp; " answers " &amp; D130</f>
        <v>steward-open-gaps answers q-steward-published-with-blocking-gap</v>
      </c>
      <c r="C130" s="3" t="s">
        <v>8926</v>
      </c>
      <c r="D130" s="3" t="s">
        <v>2031</v>
      </c>
      <c r="E130" s="3" t="s">
        <v>1882</v>
      </c>
    </row>
    <row r="131">
      <c r="A131" s="3" t="s">
        <v>9312</v>
      </c>
      <c r="B131" s="4" t="str">
        <f>C131 &amp; " answers " &amp; D131</f>
        <v>steward-stalled-changes answers q-steward-stalled-change-requests</v>
      </c>
      <c r="C131" s="3" t="s">
        <v>8930</v>
      </c>
      <c r="D131" s="3" t="s">
        <v>2035</v>
      </c>
      <c r="E131" s="3" t="s">
        <v>1882</v>
      </c>
    </row>
    <row r="132">
      <c r="A132" s="3" t="s">
        <v>9313</v>
      </c>
      <c r="B132" s="4" t="str">
        <f>C132 &amp; " answers " &amp; D132</f>
        <v>steward-approved-never-lands answers q2-steward-approved-cr-never-lands</v>
      </c>
      <c r="C132" s="3" t="s">
        <v>8935</v>
      </c>
      <c r="D132" s="3" t="s">
        <v>2251</v>
      </c>
      <c r="E132" s="3" t="s">
        <v>1882</v>
      </c>
    </row>
    <row r="133">
      <c r="A133" s="3" t="s">
        <v>9314</v>
      </c>
      <c r="B133" s="4" t="str">
        <f>C133 &amp; " answers " &amp; D133</f>
        <v>steward-orphans answers q-steward-orphan-versions</v>
      </c>
      <c r="C133" s="3" t="s">
        <v>8940</v>
      </c>
      <c r="D133" s="3" t="s">
        <v>2023</v>
      </c>
      <c r="E133" s="3" t="s">
        <v>1882</v>
      </c>
    </row>
    <row r="134">
      <c r="A134" s="3" t="s">
        <v>9315</v>
      </c>
      <c r="B134" s="4" t="str">
        <f>C134 &amp; " answers " &amp; D134</f>
        <v>steward-archived-still-referenced answers q2-steward-unstewarded-version-still-referenced</v>
      </c>
      <c r="C134" s="3" t="s">
        <v>8945</v>
      </c>
      <c r="D134" s="3" t="s">
        <v>2247</v>
      </c>
      <c r="E134" s="3" t="s">
        <v>1882</v>
      </c>
    </row>
    <row r="135">
      <c r="A135" s="3" t="s">
        <v>9316</v>
      </c>
      <c r="B135" s="4" t="str">
        <f>C135 &amp; " answers " &amp; D135</f>
        <v>steward-fallbacks answers q-steward-untested-fallbacks</v>
      </c>
      <c r="C135" s="3" t="s">
        <v>8950</v>
      </c>
      <c r="D135" s="3" t="s">
        <v>2027</v>
      </c>
      <c r="E135" s="3" t="s">
        <v>1882</v>
      </c>
    </row>
    <row r="136">
      <c r="A136" s="3" t="s">
        <v>9317</v>
      </c>
      <c r="B136" s="4" t="str">
        <f>C136 &amp; " answers " &amp; D136</f>
        <v>steward-fallback-criticality answers q2-steward-recovery-path-is-load-bearing</v>
      </c>
      <c r="C136" s="3" t="s">
        <v>8955</v>
      </c>
      <c r="D136" s="3" t="s">
        <v>2239</v>
      </c>
      <c r="E136" s="3" t="s">
        <v>1882</v>
      </c>
    </row>
    <row r="137">
      <c r="A137" s="3" t="s">
        <v>9318</v>
      </c>
      <c r="B137" s="4" t="str">
        <f>C137 &amp; " answers " &amp; D137</f>
        <v>steward-hardcoded-predicates answers q2-steward-control-kind-instead-of-hardcoded-ids</v>
      </c>
      <c r="C137" s="3" t="s">
        <v>8960</v>
      </c>
      <c r="D137" s="3" t="s">
        <v>2255</v>
      </c>
      <c r="E137" s="3" t="s">
        <v>1882</v>
      </c>
    </row>
    <row r="138">
      <c r="A138" s="3" t="s">
        <v>9319</v>
      </c>
      <c r="B138" s="4" t="str">
        <f>C138 &amp; " answers " &amp; D138</f>
        <v>authority-home answers q-authority-non-approved-dependency</v>
      </c>
      <c r="C138" s="3" t="s">
        <v>8965</v>
      </c>
      <c r="D138" s="3" t="s">
        <v>2043</v>
      </c>
      <c r="E138" s="3" t="s">
        <v>1882</v>
      </c>
    </row>
    <row r="139">
      <c r="A139" s="3" t="s">
        <v>9320</v>
      </c>
      <c r="B139" s="4" t="str">
        <f>C139 &amp; " answers " &amp; D139</f>
        <v>authority-home answers q-authority-stale-elicitation</v>
      </c>
      <c r="C139" s="3" t="s">
        <v>8965</v>
      </c>
      <c r="D139" s="3" t="s">
        <v>2047</v>
      </c>
      <c r="E139" s="3" t="s">
        <v>1882</v>
      </c>
    </row>
    <row r="140">
      <c r="A140" s="3" t="s">
        <v>9321</v>
      </c>
      <c r="B140" s="4" t="str">
        <f>C140 &amp; " answers " &amp; D140</f>
        <v>authority-fragment-decay answers q2-authority-compound-fragility</v>
      </c>
      <c r="C140" s="3" t="s">
        <v>8970</v>
      </c>
      <c r="D140" s="3" t="s">
        <v>2199</v>
      </c>
      <c r="E140" s="3" t="s">
        <v>1882</v>
      </c>
    </row>
    <row r="141">
      <c r="A141" s="3" t="s">
        <v>9322</v>
      </c>
      <c r="B141" s="4" t="str">
        <f>C141 &amp; " answers " &amp; D141</f>
        <v>authority-unapproved-live answers q-authority-non-approved-dependency</v>
      </c>
      <c r="C141" s="3" t="s">
        <v>8975</v>
      </c>
      <c r="D141" s="3" t="s">
        <v>2043</v>
      </c>
      <c r="E141" s="3" t="s">
        <v>1882</v>
      </c>
    </row>
    <row r="142">
      <c r="A142" s="3" t="s">
        <v>9323</v>
      </c>
      <c r="B142" s="4" t="str">
        <f>C142 &amp; " answers " &amp; D142</f>
        <v>authority-unapproved-live answers q2-authority-unapproved-knowledge-reaching-machines</v>
      </c>
      <c r="C142" s="3" t="s">
        <v>8975</v>
      </c>
      <c r="D142" s="3" t="s">
        <v>2211</v>
      </c>
      <c r="E142" s="3" t="s">
        <v>1882</v>
      </c>
    </row>
    <row r="143">
      <c r="A143" s="3" t="s">
        <v>9324</v>
      </c>
      <c r="B143" s="4" t="str">
        <f>C143 &amp; " answers " &amp; D143</f>
        <v>authority-machine-consumers answers q2-authority-unapproved-knowledge-reaching-machines</v>
      </c>
      <c r="C143" s="3" t="s">
        <v>8980</v>
      </c>
      <c r="D143" s="3" t="s">
        <v>2211</v>
      </c>
      <c r="E143" s="3" t="s">
        <v>1882</v>
      </c>
    </row>
    <row r="144">
      <c r="A144" s="3" t="s">
        <v>9325</v>
      </c>
      <c r="B144" s="4" t="str">
        <f>C144 &amp; " answers " &amp; D144</f>
        <v>authority-expired-ratifier answers q2-authority-boundary-rests-on-expired-claim</v>
      </c>
      <c r="C144" s="3" t="s">
        <v>8985</v>
      </c>
      <c r="D144" s="3" t="s">
        <v>2203</v>
      </c>
      <c r="E144" s="3" t="s">
        <v>1882</v>
      </c>
    </row>
    <row r="145">
      <c r="A145" s="3" t="s">
        <v>9326</v>
      </c>
      <c r="B145" s="4" t="str">
        <f>C145 &amp; " answers " &amp; D145</f>
        <v>authority-orphaned-provenance answers q-authority-orphaned-provenance</v>
      </c>
      <c r="C145" s="3" t="s">
        <v>8990</v>
      </c>
      <c r="D145" s="3" t="s">
        <v>2039</v>
      </c>
      <c r="E145" s="3" t="s">
        <v>1882</v>
      </c>
    </row>
    <row r="146">
      <c r="A146" s="3" t="s">
        <v>9327</v>
      </c>
      <c r="B146" s="4" t="str">
        <f>C146 &amp; " answers " &amp; D146</f>
        <v>authority-unwitnessed-change answers q-authority-unwitnessed-change</v>
      </c>
      <c r="C146" s="3" t="s">
        <v>8995</v>
      </c>
      <c r="D146" s="3" t="s">
        <v>2055</v>
      </c>
      <c r="E146" s="3" t="s">
        <v>1882</v>
      </c>
    </row>
    <row r="147">
      <c r="A147" s="3" t="s">
        <v>9328</v>
      </c>
      <c r="B147" s="4" t="str">
        <f>C147 &amp; " answers " &amp; D147</f>
        <v>authority-stale-elicitation answers q-authority-stale-elicitation</v>
      </c>
      <c r="C147" s="3" t="s">
        <v>9000</v>
      </c>
      <c r="D147" s="3" t="s">
        <v>2047</v>
      </c>
      <c r="E147" s="3" t="s">
        <v>1882</v>
      </c>
    </row>
    <row r="148">
      <c r="A148" s="3" t="s">
        <v>9329</v>
      </c>
      <c r="B148" s="4" t="str">
        <f>C148 &amp; " answers " &amp; D148</f>
        <v>authority-elicitation-monoculture answers q2-authority-elicitation-method-monoculture</v>
      </c>
      <c r="C148" s="3" t="s">
        <v>9005</v>
      </c>
      <c r="D148" s="3" t="s">
        <v>2207</v>
      </c>
      <c r="E148" s="3" t="s">
        <v>1882</v>
      </c>
    </row>
    <row r="149">
      <c r="A149" s="3" t="s">
        <v>9330</v>
      </c>
      <c r="B149" s="4" t="str">
        <f>C149 &amp; " answers " &amp; D149</f>
        <v>authority-known-unknowns answers q-authority-known-unknowns</v>
      </c>
      <c r="C149" s="3" t="s">
        <v>9010</v>
      </c>
      <c r="D149" s="3" t="s">
        <v>2051</v>
      </c>
      <c r="E149" s="3" t="s">
        <v>1882</v>
      </c>
    </row>
    <row r="150">
      <c r="A150" s="3" t="s">
        <v>9331</v>
      </c>
      <c r="B150" s="4" t="str">
        <f>C150 &amp; " answers " &amp; D150</f>
        <v>authority-review-date-inferred answers q2-authority-review-date-is-inferred-not-recorded</v>
      </c>
      <c r="C150" s="3" t="s">
        <v>9015</v>
      </c>
      <c r="D150" s="3" t="s">
        <v>2215</v>
      </c>
      <c r="E150" s="3" t="s">
        <v>1882</v>
      </c>
    </row>
    <row r="151">
      <c r="A151" s="3" t="s">
        <v>9332</v>
      </c>
      <c r="B151" s="4" t="str">
        <f>C151 &amp; " answers " &amp; D151</f>
        <v>shared-evaluation-context answers q2-cfo-would-it-survive-restatement</v>
      </c>
      <c r="C151" s="3" t="s">
        <v>9101</v>
      </c>
      <c r="D151" s="3" t="s">
        <v>2303</v>
      </c>
      <c r="E151" s="3" t="s">
        <v>1882</v>
      </c>
    </row>
    <row r="152">
      <c r="A152" s="3" t="s">
        <v>9333</v>
      </c>
      <c r="B152" s="4" t="str">
        <f>C152 &amp; " answers " &amp; D152</f>
        <v>shared-evaluation-context answers q2-fa-stale-then-vs-stale-now</v>
      </c>
      <c r="C152" s="3" t="s">
        <v>9101</v>
      </c>
      <c r="D152" s="3" t="s">
        <v>2263</v>
      </c>
      <c r="E152" s="3" t="s">
        <v>1882</v>
      </c>
    </row>
  </sheetData>
  <autoFilter ref="A1:E1"/>
  <headerFooter/>
  <legacyDrawing r:id="rId1"/>
</worksheet>
</file>

<file path=xl/worksheets/sheet7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316"/>
  <sheetViews>
    <sheetView workbookViewId="0">
      <pane ySplit="1" topLeftCell="A2" state="frozen" activePane="bottomLeft"/>
      <selection pane="bottomLeft" activeCell="A1" sqref="A1"/>
    </sheetView>
  </sheetViews>
  <sheetFormatPr defaultRowHeight="15"/>
  <cols>
    <col min="1" max="1" width="66.31731414794922" customWidth="1"/>
    <col min="2" max="2" width="66.12916564941406" customWidth="1"/>
    <col min="3" max="3" width="34.358314514160156" customWidth="1"/>
    <col min="4" max="4" width="34.358314514160156" customWidth="1"/>
    <col min="5" max="5" width="47.40932846069336" customWidth="1"/>
  </cols>
  <sheetData>
    <row r="1">
      <c r="A1" s="2" t="s">
        <v>5343</v>
      </c>
      <c r="B1" s="2" t="s">
        <v>1</v>
      </c>
      <c r="C1" s="2" t="s">
        <v>5347</v>
      </c>
      <c r="D1" s="2" t="s">
        <v>5349</v>
      </c>
      <c r="E1" s="2" t="s">
        <v>94</v>
      </c>
    </row>
    <row r="2">
      <c r="A2" s="3" t="s">
        <v>9334</v>
      </c>
      <c r="B2" s="4" t="str">
        <f>C2 &amp; " -&gt; " &amp; D2</f>
        <v>cfo-home -&gt; cfo-blockers</v>
      </c>
      <c r="C2" s="3" t="s">
        <v>8451</v>
      </c>
      <c r="D2" s="3" t="s">
        <v>8458</v>
      </c>
      <c r="E2" s="3" t="s">
        <v>1886</v>
      </c>
    </row>
    <row r="3">
      <c r="A3" s="3" t="s">
        <v>9335</v>
      </c>
      <c r="B3" s="4" t="str">
        <f>C3 &amp; " -&gt; " &amp; D3</f>
        <v>cfo-home -&gt; cfo-assurance-grade</v>
      </c>
      <c r="C3" s="3" t="s">
        <v>8451</v>
      </c>
      <c r="D3" s="3" t="s">
        <v>8464</v>
      </c>
      <c r="E3" s="3" t="s">
        <v>1886</v>
      </c>
    </row>
    <row r="4">
      <c r="A4" s="3" t="s">
        <v>9336</v>
      </c>
      <c r="B4" s="4" t="str">
        <f>C4 &amp; " -&gt; " &amp; D4</f>
        <v>cfo-home -&gt; cfo-signature-dependencies</v>
      </c>
      <c r="C4" s="3" t="s">
        <v>8451</v>
      </c>
      <c r="D4" s="3" t="s">
        <v>8494</v>
      </c>
      <c r="E4" s="3" t="s">
        <v>1886</v>
      </c>
    </row>
    <row r="5">
      <c r="A5" s="3" t="s">
        <v>9337</v>
      </c>
      <c r="B5" s="4" t="str">
        <f>C5 &amp; " -&gt; " &amp; D5</f>
        <v>cfo-blockers -&gt; cfo-home</v>
      </c>
      <c r="C5" s="3" t="s">
        <v>8458</v>
      </c>
      <c r="D5" s="3" t="s">
        <v>8451</v>
      </c>
      <c r="E5" s="3" t="s">
        <v>1886</v>
      </c>
    </row>
    <row r="6">
      <c r="A6" s="3" t="s">
        <v>9338</v>
      </c>
      <c r="B6" s="4" t="str">
        <f>C6 &amp; " -&gt; " &amp; D6</f>
        <v>cfo-blockers -&gt; controller-conformance</v>
      </c>
      <c r="C6" s="3" t="s">
        <v>8458</v>
      </c>
      <c r="D6" s="3" t="s">
        <v>8535</v>
      </c>
      <c r="E6" s="3" t="s">
        <v>1886</v>
      </c>
    </row>
    <row r="7">
      <c r="A7" s="3" t="s">
        <v>9339</v>
      </c>
      <c r="B7" s="4" t="str">
        <f>C7 &amp; " -&gt; " &amp; D7</f>
        <v>cfo-assurance-grade -&gt; cfo-unwitnessed-controls</v>
      </c>
      <c r="C7" s="3" t="s">
        <v>8464</v>
      </c>
      <c r="D7" s="3" t="s">
        <v>8469</v>
      </c>
      <c r="E7" s="3" t="s">
        <v>1886</v>
      </c>
    </row>
    <row r="8">
      <c r="A8" s="3" t="s">
        <v>9340</v>
      </c>
      <c r="B8" s="4" t="str">
        <f>C8 &amp; " -&gt; " &amp; D8</f>
        <v>cfo-assurance-grade -&gt; controller-mute-controls</v>
      </c>
      <c r="C8" s="3" t="s">
        <v>8464</v>
      </c>
      <c r="D8" s="3" t="s">
        <v>8520</v>
      </c>
      <c r="E8" s="3" t="s">
        <v>1886</v>
      </c>
    </row>
    <row r="9">
      <c r="A9" s="3" t="s">
        <v>9341</v>
      </c>
      <c r="B9" s="4" t="str">
        <f>C9 &amp; " -&gt; " &amp; D9</f>
        <v>cfo-unwitnessed-controls -&gt; cfo-assurance-grade</v>
      </c>
      <c r="C9" s="3" t="s">
        <v>8469</v>
      </c>
      <c r="D9" s="3" t="s">
        <v>8464</v>
      </c>
      <c r="E9" s="3" t="s">
        <v>1886</v>
      </c>
    </row>
    <row r="10">
      <c r="A10" s="3" t="s">
        <v>9342</v>
      </c>
      <c r="B10" s="4" t="str">
        <f>C10 &amp; " -&gt; " &amp; D10</f>
        <v>cfo-unwitnessed-controls -&gt; shared-requirement-detail</v>
      </c>
      <c r="C10" s="3" t="s">
        <v>8469</v>
      </c>
      <c r="D10" s="3" t="s">
        <v>9025</v>
      </c>
      <c r="E10" s="3" t="s">
        <v>1886</v>
      </c>
    </row>
    <row r="11">
      <c r="A11" s="3" t="s">
        <v>9343</v>
      </c>
      <c r="B11" s="4" t="str">
        <f>C11 &amp; " -&gt; " &amp; D11</f>
        <v>cfo-typed-conclusions -&gt; cfo-unwitnessed-controls</v>
      </c>
      <c r="C11" s="3" t="s">
        <v>8474</v>
      </c>
      <c r="D11" s="3" t="s">
        <v>8469</v>
      </c>
      <c r="E11" s="3" t="s">
        <v>1886</v>
      </c>
    </row>
    <row r="12">
      <c r="A12" s="3" t="s">
        <v>9344</v>
      </c>
      <c r="B12" s="4" t="str">
        <f>C12 &amp; " -&gt; " &amp; D12</f>
        <v>cfo-typed-conclusions -&gt; controller-asserted-controls</v>
      </c>
      <c r="C12" s="3" t="s">
        <v>8474</v>
      </c>
      <c r="D12" s="3" t="s">
        <v>8553</v>
      </c>
      <c r="E12" s="3" t="s">
        <v>1886</v>
      </c>
    </row>
    <row r="13">
      <c r="A13" s="3" t="s">
        <v>9345</v>
      </c>
      <c r="B13" s="4" t="str">
        <f>C13 &amp; " -&gt; " &amp; D13</f>
        <v>cfo-witness-chain -&gt; cfo-my-approvals</v>
      </c>
      <c r="C13" s="3" t="s">
        <v>8479</v>
      </c>
      <c r="D13" s="3" t="s">
        <v>8489</v>
      </c>
      <c r="E13" s="3" t="s">
        <v>1886</v>
      </c>
    </row>
    <row r="14">
      <c r="A14" s="3" t="s">
        <v>9346</v>
      </c>
      <c r="B14" s="4" t="str">
        <f>C14 &amp; " -&gt; " &amp; D14</f>
        <v>cfo-witness-chain -&gt; shared-verification-outcomes</v>
      </c>
      <c r="C14" s="3" t="s">
        <v>8479</v>
      </c>
      <c r="D14" s="3" t="s">
        <v>9076</v>
      </c>
      <c r="E14" s="3" t="s">
        <v>1886</v>
      </c>
    </row>
    <row r="15">
      <c r="A15" s="3" t="s">
        <v>9347</v>
      </c>
      <c r="B15" s="4" t="str">
        <f>C15 &amp; " -&gt; " &amp; D15</f>
        <v>cfo-authority-map -&gt; shared-exception-detail</v>
      </c>
      <c r="C15" s="3" t="s">
        <v>8484</v>
      </c>
      <c r="D15" s="3" t="s">
        <v>9039</v>
      </c>
      <c r="E15" s="3" t="s">
        <v>1886</v>
      </c>
    </row>
    <row r="16">
      <c r="A16" s="3" t="s">
        <v>9348</v>
      </c>
      <c r="B16" s="4" t="str">
        <f>C16 &amp; " -&gt; " &amp; D16</f>
        <v>cfo-authority-map -&gt; controller-authority-validity</v>
      </c>
      <c r="C16" s="3" t="s">
        <v>8484</v>
      </c>
      <c r="D16" s="3" t="s">
        <v>8545</v>
      </c>
      <c r="E16" s="3" t="s">
        <v>1886</v>
      </c>
    </row>
    <row r="17">
      <c r="A17" s="3" t="s">
        <v>9349</v>
      </c>
      <c r="B17" s="4" t="str">
        <f>C17 &amp; " -&gt; " &amp; D17</f>
        <v>cfo-my-approvals -&gt; cfo-witness-chain</v>
      </c>
      <c r="C17" s="3" t="s">
        <v>8489</v>
      </c>
      <c r="D17" s="3" t="s">
        <v>8479</v>
      </c>
      <c r="E17" s="3" t="s">
        <v>1886</v>
      </c>
    </row>
    <row r="18">
      <c r="A18" s="3" t="s">
        <v>9350</v>
      </c>
      <c r="B18" s="4" t="str">
        <f>C18 &amp; " -&gt; " &amp; D18</f>
        <v>cfo-my-approvals -&gt; shared-step-execution-detail</v>
      </c>
      <c r="C18" s="3" t="s">
        <v>8489</v>
      </c>
      <c r="D18" s="3" t="s">
        <v>9020</v>
      </c>
      <c r="E18" s="3" t="s">
        <v>1886</v>
      </c>
    </row>
    <row r="19">
      <c r="A19" s="3" t="s">
        <v>9351</v>
      </c>
      <c r="B19" s="4" t="str">
        <f>C19 &amp; " -&gt; " &amp; D19</f>
        <v>cfo-signature-dependencies -&gt; cfo-changed-since-signing</v>
      </c>
      <c r="C19" s="3" t="s">
        <v>8494</v>
      </c>
      <c r="D19" s="3" t="s">
        <v>8499</v>
      </c>
      <c r="E19" s="3" t="s">
        <v>1886</v>
      </c>
    </row>
    <row r="20">
      <c r="A20" s="3" t="s">
        <v>9352</v>
      </c>
      <c r="B20" s="4" t="str">
        <f>C20 &amp; " -&gt; " &amp; D20</f>
        <v>cfo-signature-dependencies -&gt; cfo-home</v>
      </c>
      <c r="C20" s="3" t="s">
        <v>8494</v>
      </c>
      <c r="D20" s="3" t="s">
        <v>8451</v>
      </c>
      <c r="E20" s="3" t="s">
        <v>1886</v>
      </c>
    </row>
    <row r="21">
      <c r="A21" s="3" t="s">
        <v>9353</v>
      </c>
      <c r="B21" s="4" t="str">
        <f>C21 &amp; " -&gt; " &amp; D21</f>
        <v>cfo-changed-since-signing -&gt; cfo-signature-dependencies</v>
      </c>
      <c r="C21" s="3" t="s">
        <v>8499</v>
      </c>
      <c r="D21" s="3" t="s">
        <v>8494</v>
      </c>
      <c r="E21" s="3" t="s">
        <v>1886</v>
      </c>
    </row>
    <row r="22">
      <c r="A22" s="3" t="s">
        <v>9354</v>
      </c>
      <c r="B22" s="4" t="str">
        <f>C22 &amp; " -&gt; " &amp; D22</f>
        <v>cfo-changed-since-signing -&gt; shared-change-request-detail</v>
      </c>
      <c r="C22" s="3" t="s">
        <v>8499</v>
      </c>
      <c r="D22" s="3" t="s">
        <v>9034</v>
      </c>
      <c r="E22" s="3" t="s">
        <v>1886</v>
      </c>
    </row>
    <row r="23">
      <c r="A23" s="3" t="s">
        <v>9355</v>
      </c>
      <c r="B23" s="4" t="str">
        <f>C23 &amp; " -&gt; " &amp; D23</f>
        <v>cfo-restatement -&gt; shared-evaluation-context</v>
      </c>
      <c r="C23" s="3" t="s">
        <v>8504</v>
      </c>
      <c r="D23" s="3" t="s">
        <v>9101</v>
      </c>
      <c r="E23" s="3" t="s">
        <v>1886</v>
      </c>
    </row>
    <row r="24">
      <c r="A24" s="3" t="s">
        <v>9356</v>
      </c>
      <c r="B24" s="4" t="str">
        <f>C24 &amp; " -&gt; " &amp; D24</f>
        <v>cfo-restatement -&gt; cfo-assurance-grade</v>
      </c>
      <c r="C24" s="3" t="s">
        <v>8504</v>
      </c>
      <c r="D24" s="3" t="s">
        <v>8464</v>
      </c>
      <c r="E24" s="3" t="s">
        <v>1886</v>
      </c>
    </row>
    <row r="25">
      <c r="A25" s="3" t="s">
        <v>9357</v>
      </c>
      <c r="B25" s="4" t="str">
        <f>C25 &amp; " -&gt; " &amp; D25</f>
        <v>cfo-attestation-detail -&gt; cfo-home</v>
      </c>
      <c r="C25" s="3" t="s">
        <v>8509</v>
      </c>
      <c r="D25" s="3" t="s">
        <v>8451</v>
      </c>
      <c r="E25" s="3" t="s">
        <v>1886</v>
      </c>
    </row>
    <row r="26">
      <c r="A26" s="3" t="s">
        <v>9358</v>
      </c>
      <c r="B26" s="4" t="str">
        <f>C26 &amp; " -&gt; " &amp; D26</f>
        <v>cfo-attestation-detail -&gt; shared-step-execution-detail</v>
      </c>
      <c r="C26" s="3" t="s">
        <v>8509</v>
      </c>
      <c r="D26" s="3" t="s">
        <v>9020</v>
      </c>
      <c r="E26" s="3" t="s">
        <v>1886</v>
      </c>
    </row>
    <row r="27">
      <c r="A27" s="3" t="s">
        <v>9359</v>
      </c>
      <c r="B27" s="4" t="str">
        <f>C27 &amp; " -&gt; " &amp; D27</f>
        <v>controller-home -&gt; controller-mute-controls</v>
      </c>
      <c r="C27" s="3" t="s">
        <v>8515</v>
      </c>
      <c r="D27" s="3" t="s">
        <v>8520</v>
      </c>
      <c r="E27" s="3" t="s">
        <v>1886</v>
      </c>
    </row>
    <row r="28">
      <c r="A28" s="3" t="s">
        <v>9360</v>
      </c>
      <c r="B28" s="4" t="str">
        <f>C28 &amp; " -&gt; " &amp; D28</f>
        <v>controller-home -&gt; controller-witness-scope</v>
      </c>
      <c r="C28" s="3" t="s">
        <v>8515</v>
      </c>
      <c r="D28" s="3" t="s">
        <v>8525</v>
      </c>
      <c r="E28" s="3" t="s">
        <v>1886</v>
      </c>
    </row>
    <row r="29">
      <c r="A29" s="3" t="s">
        <v>9361</v>
      </c>
      <c r="B29" s="4" t="str">
        <f>C29 &amp; " -&gt; " &amp; D29</f>
        <v>controller-home -&gt; shared-requirement-detail</v>
      </c>
      <c r="C29" s="3" t="s">
        <v>8515</v>
      </c>
      <c r="D29" s="3" t="s">
        <v>9025</v>
      </c>
      <c r="E29" s="3" t="s">
        <v>1886</v>
      </c>
    </row>
    <row r="30">
      <c r="A30" s="3" t="s">
        <v>9362</v>
      </c>
      <c r="B30" s="4" t="str">
        <f>C30 &amp; " -&gt; " &amp; D30</f>
        <v>controller-mute-controls -&gt; controller-home</v>
      </c>
      <c r="C30" s="3" t="s">
        <v>8520</v>
      </c>
      <c r="D30" s="3" t="s">
        <v>8515</v>
      </c>
      <c r="E30" s="3" t="s">
        <v>1886</v>
      </c>
    </row>
    <row r="31">
      <c r="A31" s="3" t="s">
        <v>9363</v>
      </c>
      <c r="B31" s="4" t="str">
        <f>C31 &amp; " -&gt; " &amp; D31</f>
        <v>controller-mute-controls -&gt; cfo-assurance-grade</v>
      </c>
      <c r="C31" s="3" t="s">
        <v>8520</v>
      </c>
      <c r="D31" s="3" t="s">
        <v>8464</v>
      </c>
      <c r="E31" s="3" t="s">
        <v>1886</v>
      </c>
    </row>
    <row r="32">
      <c r="A32" s="3" t="s">
        <v>9364</v>
      </c>
      <c r="B32" s="4" t="str">
        <f>C32 &amp; " -&gt; " &amp; D32</f>
        <v>controller-mute-controls -&gt; analyst-mute-clearance</v>
      </c>
      <c r="C32" s="3" t="s">
        <v>8520</v>
      </c>
      <c r="D32" s="3" t="s">
        <v>8606</v>
      </c>
      <c r="E32" s="3" t="s">
        <v>1886</v>
      </c>
    </row>
    <row r="33">
      <c r="A33" s="3" t="s">
        <v>9365</v>
      </c>
      <c r="B33" s="4" t="str">
        <f>C33 &amp; " -&gt; " &amp; D33</f>
        <v>controller-witness-scope -&gt; controller-mute-controls</v>
      </c>
      <c r="C33" s="3" t="s">
        <v>8525</v>
      </c>
      <c r="D33" s="3" t="s">
        <v>8520</v>
      </c>
      <c r="E33" s="3" t="s">
        <v>1886</v>
      </c>
    </row>
    <row r="34">
      <c r="A34" s="3" t="s">
        <v>9366</v>
      </c>
      <c r="B34" s="4" t="str">
        <f>C34 &amp; " -&gt; " &amp; D34</f>
        <v>controller-witness-scope -&gt; shared-requirement-detail</v>
      </c>
      <c r="C34" s="3" t="s">
        <v>8525</v>
      </c>
      <c r="D34" s="3" t="s">
        <v>9025</v>
      </c>
      <c r="E34" s="3" t="s">
        <v>1886</v>
      </c>
    </row>
    <row r="35">
      <c r="A35" s="3" t="s">
        <v>9367</v>
      </c>
      <c r="B35" s="4" t="str">
        <f>C35 &amp; " -&gt; " &amp; D35</f>
        <v>controller-separation -&gt; controller-authority-validity</v>
      </c>
      <c r="C35" s="3" t="s">
        <v>8530</v>
      </c>
      <c r="D35" s="3" t="s">
        <v>8545</v>
      </c>
      <c r="E35" s="3" t="s">
        <v>1886</v>
      </c>
    </row>
    <row r="36">
      <c r="A36" s="3" t="s">
        <v>9368</v>
      </c>
      <c r="B36" s="4" t="str">
        <f>C36 &amp; " -&gt; " &amp; D36</f>
        <v>controller-separation -&gt; shared-step-execution-detail</v>
      </c>
      <c r="C36" s="3" t="s">
        <v>8530</v>
      </c>
      <c r="D36" s="3" t="s">
        <v>9020</v>
      </c>
      <c r="E36" s="3" t="s">
        <v>1886</v>
      </c>
    </row>
    <row r="37">
      <c r="A37" s="3" t="s">
        <v>9369</v>
      </c>
      <c r="B37" s="4" t="str">
        <f>C37 &amp; " -&gt; " &amp; D37</f>
        <v>controller-conformance -&gt; controller-ungoverned-divergence</v>
      </c>
      <c r="C37" s="3" t="s">
        <v>8535</v>
      </c>
      <c r="D37" s="3" t="s">
        <v>8540</v>
      </c>
      <c r="E37" s="3" t="s">
        <v>1886</v>
      </c>
    </row>
    <row r="38">
      <c r="A38" s="3" t="s">
        <v>9370</v>
      </c>
      <c r="B38" s="4" t="str">
        <f>C38 &amp; " -&gt; " &amp; D38</f>
        <v>controller-conformance -&gt; shared-step-execution-detail</v>
      </c>
      <c r="C38" s="3" t="s">
        <v>8535</v>
      </c>
      <c r="D38" s="3" t="s">
        <v>9020</v>
      </c>
      <c r="E38" s="3" t="s">
        <v>1886</v>
      </c>
    </row>
    <row r="39">
      <c r="A39" s="3" t="s">
        <v>9371</v>
      </c>
      <c r="B39" s="4" t="str">
        <f>C39 &amp; " -&gt; " &amp; D39</f>
        <v>controller-ungoverned-divergence -&gt; controller-conformance</v>
      </c>
      <c r="C39" s="3" t="s">
        <v>8540</v>
      </c>
      <c r="D39" s="3" t="s">
        <v>8535</v>
      </c>
      <c r="E39" s="3" t="s">
        <v>1886</v>
      </c>
    </row>
    <row r="40">
      <c r="A40" s="3" t="s">
        <v>9372</v>
      </c>
      <c r="B40" s="4" t="str">
        <f>C40 &amp; " -&gt; " &amp; D40</f>
        <v>controller-ungoverned-divergence -&gt; shared-exception-detail</v>
      </c>
      <c r="C40" s="3" t="s">
        <v>8540</v>
      </c>
      <c r="D40" s="3" t="s">
        <v>9039</v>
      </c>
      <c r="E40" s="3" t="s">
        <v>1886</v>
      </c>
    </row>
    <row r="41">
      <c r="A41" s="3" t="s">
        <v>9373</v>
      </c>
      <c r="B41" s="4" t="str">
        <f>C41 &amp; " -&gt; " &amp; D41</f>
        <v>controller-ungoverned-divergence -&gt; shared-change-request-detail</v>
      </c>
      <c r="C41" s="3" t="s">
        <v>8540</v>
      </c>
      <c r="D41" s="3" t="s">
        <v>9034</v>
      </c>
      <c r="E41" s="3" t="s">
        <v>1886</v>
      </c>
    </row>
    <row r="42">
      <c r="A42" s="3" t="s">
        <v>9374</v>
      </c>
      <c r="B42" s="4" t="str">
        <f>C42 &amp; " -&gt; " &amp; D42</f>
        <v>controller-authority-validity -&gt; cfo-authority-map</v>
      </c>
      <c r="C42" s="3" t="s">
        <v>8545</v>
      </c>
      <c r="D42" s="3" t="s">
        <v>8484</v>
      </c>
      <c r="E42" s="3" t="s">
        <v>1886</v>
      </c>
    </row>
    <row r="43">
      <c r="A43" s="3" t="s">
        <v>9375</v>
      </c>
      <c r="B43" s="4" t="str">
        <f>C43 &amp; " -&gt; " &amp; D43</f>
        <v>controller-authority-validity -&gt; shared-role-assignment-detail</v>
      </c>
      <c r="C43" s="3" t="s">
        <v>8545</v>
      </c>
      <c r="D43" s="3" t="s">
        <v>9043</v>
      </c>
      <c r="E43" s="3" t="s">
        <v>1886</v>
      </c>
    </row>
    <row r="44">
      <c r="A44" s="3" t="s">
        <v>9376</v>
      </c>
      <c r="B44" s="4" t="str">
        <f>C44 &amp; " -&gt; " &amp; D44</f>
        <v>controller-ai-boundary -&gt; hr-ai-boundary</v>
      </c>
      <c r="C44" s="3" t="s">
        <v>8549</v>
      </c>
      <c r="D44" s="3" t="s">
        <v>8646</v>
      </c>
      <c r="E44" s="3" t="s">
        <v>1886</v>
      </c>
    </row>
    <row r="45">
      <c r="A45" s="3" t="s">
        <v>9377</v>
      </c>
      <c r="B45" s="4" t="str">
        <f>C45 &amp; " -&gt; " &amp; D45</f>
        <v>controller-ai-boundary -&gt; variance-boundary</v>
      </c>
      <c r="C45" s="3" t="s">
        <v>8549</v>
      </c>
      <c r="D45" s="3" t="s">
        <v>8786</v>
      </c>
      <c r="E45" s="3" t="s">
        <v>1886</v>
      </c>
    </row>
    <row r="46">
      <c r="A46" s="3" t="s">
        <v>9378</v>
      </c>
      <c r="B46" s="4" t="str">
        <f>C46 &amp; " -&gt; " &amp; D46</f>
        <v>controller-asserted-controls -&gt; cfo-typed-conclusions</v>
      </c>
      <c r="C46" s="3" t="s">
        <v>8553</v>
      </c>
      <c r="D46" s="3" t="s">
        <v>8474</v>
      </c>
      <c r="E46" s="3" t="s">
        <v>1886</v>
      </c>
    </row>
    <row r="47">
      <c r="A47" s="3" t="s">
        <v>9379</v>
      </c>
      <c r="B47" s="4" t="str">
        <f>C47 &amp; " -&gt; " &amp; D47</f>
        <v>controller-asserted-controls -&gt; analyst-evidence-quality</v>
      </c>
      <c r="C47" s="3" t="s">
        <v>8553</v>
      </c>
      <c r="D47" s="3" t="s">
        <v>8587</v>
      </c>
      <c r="E47" s="3" t="s">
        <v>1886</v>
      </c>
    </row>
    <row r="48">
      <c r="A48" s="3" t="s">
        <v>9380</v>
      </c>
      <c r="B48" s="4" t="str">
        <f>C48 &amp; " -&gt; " &amp; D48</f>
        <v>controller-control-detail -&gt; controller-home</v>
      </c>
      <c r="C48" s="3" t="s">
        <v>8558</v>
      </c>
      <c r="D48" s="3" t="s">
        <v>8515</v>
      </c>
      <c r="E48" s="3" t="s">
        <v>1886</v>
      </c>
    </row>
    <row r="49">
      <c r="A49" s="3" t="s">
        <v>9381</v>
      </c>
      <c r="B49" s="4" t="str">
        <f>C49 &amp; " -&gt; " &amp; D49</f>
        <v>controller-control-detail -&gt; shared-requirement-detail</v>
      </c>
      <c r="C49" s="3" t="s">
        <v>8558</v>
      </c>
      <c r="D49" s="3" t="s">
        <v>9025</v>
      </c>
      <c r="E49" s="3" t="s">
        <v>1886</v>
      </c>
    </row>
    <row r="50">
      <c r="A50" s="3" t="s">
        <v>9382</v>
      </c>
      <c r="B50" s="4" t="str">
        <f>C50 &amp; " -&gt; " &amp; D50</f>
        <v>analyst-home -&gt; analyst-blocking-unmet</v>
      </c>
      <c r="C50" s="3" t="s">
        <v>8563</v>
      </c>
      <c r="D50" s="3" t="s">
        <v>8568</v>
      </c>
      <c r="E50" s="3" t="s">
        <v>1886</v>
      </c>
    </row>
    <row r="51">
      <c r="A51" s="3" t="s">
        <v>9383</v>
      </c>
      <c r="B51" s="4" t="str">
        <f>C51 &amp; " -&gt; " &amp; D51</f>
        <v>analyst-home -&gt; analyst-late-steps</v>
      </c>
      <c r="C51" s="3" t="s">
        <v>8563</v>
      </c>
      <c r="D51" s="3" t="s">
        <v>8578</v>
      </c>
      <c r="E51" s="3" t="s">
        <v>1886</v>
      </c>
    </row>
    <row r="52">
      <c r="A52" s="3" t="s">
        <v>9384</v>
      </c>
      <c r="B52" s="4" t="str">
        <f>C52 &amp; " -&gt; " &amp; D52</f>
        <v>analyst-home -&gt; shared-step-execution-detail</v>
      </c>
      <c r="C52" s="3" t="s">
        <v>8563</v>
      </c>
      <c r="D52" s="3" t="s">
        <v>9020</v>
      </c>
      <c r="E52" s="3" t="s">
        <v>1886</v>
      </c>
    </row>
    <row r="53">
      <c r="A53" s="3" t="s">
        <v>9385</v>
      </c>
      <c r="B53" s="4" t="str">
        <f>C53 &amp; " -&gt; " &amp; D53</f>
        <v>analyst-blocking-unmet -&gt; analyst-never-evaluated</v>
      </c>
      <c r="C53" s="3" t="s">
        <v>8568</v>
      </c>
      <c r="D53" s="3" t="s">
        <v>8573</v>
      </c>
      <c r="E53" s="3" t="s">
        <v>1886</v>
      </c>
    </row>
    <row r="54">
      <c r="A54" s="3" t="s">
        <v>9386</v>
      </c>
      <c r="B54" s="4" t="str">
        <f>C54 &amp; " -&gt; " &amp; D54</f>
        <v>analyst-blocking-unmet -&gt; shared-requirement-detail</v>
      </c>
      <c r="C54" s="3" t="s">
        <v>8568</v>
      </c>
      <c r="D54" s="3" t="s">
        <v>9025</v>
      </c>
      <c r="E54" s="3" t="s">
        <v>1886</v>
      </c>
    </row>
    <row r="55">
      <c r="A55" s="3" t="s">
        <v>9387</v>
      </c>
      <c r="B55" s="4" t="str">
        <f>C55 &amp; " -&gt; " &amp; D55</f>
        <v>analyst-never-evaluated -&gt; analyst-blocking-unmet</v>
      </c>
      <c r="C55" s="3" t="s">
        <v>8573</v>
      </c>
      <c r="D55" s="3" t="s">
        <v>8568</v>
      </c>
      <c r="E55" s="3" t="s">
        <v>1886</v>
      </c>
    </row>
    <row r="56">
      <c r="A56" s="3" t="s">
        <v>9388</v>
      </c>
      <c r="B56" s="4" t="str">
        <f>C56 &amp; " -&gt; " &amp; D56</f>
        <v>analyst-never-evaluated -&gt; controller-mute-controls</v>
      </c>
      <c r="C56" s="3" t="s">
        <v>8573</v>
      </c>
      <c r="D56" s="3" t="s">
        <v>8520</v>
      </c>
      <c r="E56" s="3" t="s">
        <v>1886</v>
      </c>
    </row>
    <row r="57">
      <c r="A57" s="3" t="s">
        <v>9389</v>
      </c>
      <c r="B57" s="4" t="str">
        <f>C57 &amp; " -&gt; " &amp; D57</f>
        <v>analyst-late-steps -&gt; shared-exception-detail</v>
      </c>
      <c r="C57" s="3" t="s">
        <v>8578</v>
      </c>
      <c r="D57" s="3" t="s">
        <v>9039</v>
      </c>
      <c r="E57" s="3" t="s">
        <v>1886</v>
      </c>
    </row>
    <row r="58">
      <c r="A58" s="3" t="s">
        <v>9390</v>
      </c>
      <c r="B58" s="4" t="str">
        <f>C58 &amp; " -&gt; " &amp; D58</f>
        <v>analyst-late-steps -&gt; shared-step-execution-detail</v>
      </c>
      <c r="C58" s="3" t="s">
        <v>8578</v>
      </c>
      <c r="D58" s="3" t="s">
        <v>9020</v>
      </c>
      <c r="E58" s="3" t="s">
        <v>1886</v>
      </c>
    </row>
    <row r="59">
      <c r="A59" s="3" t="s">
        <v>9391</v>
      </c>
      <c r="B59" s="4" t="str">
        <f>C59 &amp; " -&gt; " &amp; D59</f>
        <v>analyst-verification-performed -&gt; analyst-evidence-quality</v>
      </c>
      <c r="C59" s="3" t="s">
        <v>8583</v>
      </c>
      <c r="D59" s="3" t="s">
        <v>8587</v>
      </c>
      <c r="E59" s="3" t="s">
        <v>1886</v>
      </c>
    </row>
    <row r="60">
      <c r="A60" s="3" t="s">
        <v>9392</v>
      </c>
      <c r="B60" s="4" t="str">
        <f>C60 &amp; " -&gt; " &amp; D60</f>
        <v>analyst-verification-performed -&gt; shared-verification-outcomes</v>
      </c>
      <c r="C60" s="3" t="s">
        <v>8583</v>
      </c>
      <c r="D60" s="3" t="s">
        <v>9076</v>
      </c>
      <c r="E60" s="3" t="s">
        <v>1886</v>
      </c>
    </row>
    <row r="61">
      <c r="A61" s="3" t="s">
        <v>9393</v>
      </c>
      <c r="B61" s="4" t="str">
        <f>C61 &amp; " -&gt; " &amp; D61</f>
        <v>analyst-evidence-quality -&gt; controller-asserted-controls</v>
      </c>
      <c r="C61" s="3" t="s">
        <v>8587</v>
      </c>
      <c r="D61" s="3" t="s">
        <v>8553</v>
      </c>
      <c r="E61" s="3" t="s">
        <v>1886</v>
      </c>
    </row>
    <row r="62">
      <c r="A62" s="3" t="s">
        <v>9394</v>
      </c>
      <c r="B62" s="4" t="str">
        <f>C62 &amp; " -&gt; " &amp; D62</f>
        <v>analyst-evidence-quality -&gt; cfo-witness-chain</v>
      </c>
      <c r="C62" s="3" t="s">
        <v>8587</v>
      </c>
      <c r="D62" s="3" t="s">
        <v>8479</v>
      </c>
      <c r="E62" s="3" t="s">
        <v>1886</v>
      </c>
    </row>
    <row r="63">
      <c r="A63" s="3" t="s">
        <v>9395</v>
      </c>
      <c r="B63" s="4" t="str">
        <f>C63 &amp; " -&gt; " &amp; D63</f>
        <v>analyst-source-freshness -&gt; analyst-stale-then-vs-now</v>
      </c>
      <c r="C63" s="3" t="s">
        <v>8592</v>
      </c>
      <c r="D63" s="3" t="s">
        <v>8596</v>
      </c>
      <c r="E63" s="3" t="s">
        <v>1886</v>
      </c>
    </row>
    <row r="64">
      <c r="A64" s="3" t="s">
        <v>9396</v>
      </c>
      <c r="B64" s="4" t="str">
        <f>C64 &amp; " -&gt; " &amp; D64</f>
        <v>analyst-source-freshness -&gt; shared-operational-binding-detail</v>
      </c>
      <c r="C64" s="3" t="s">
        <v>8592</v>
      </c>
      <c r="D64" s="3" t="s">
        <v>9048</v>
      </c>
      <c r="E64" s="3" t="s">
        <v>1886</v>
      </c>
    </row>
    <row r="65">
      <c r="A65" s="3" t="s">
        <v>9397</v>
      </c>
      <c r="B65" s="4" t="str">
        <f>C65 &amp; " -&gt; " &amp; D65</f>
        <v>analyst-stale-then-vs-now -&gt; analyst-source-freshness</v>
      </c>
      <c r="C65" s="3" t="s">
        <v>8596</v>
      </c>
      <c r="D65" s="3" t="s">
        <v>8592</v>
      </c>
      <c r="E65" s="3" t="s">
        <v>1886</v>
      </c>
    </row>
    <row r="66">
      <c r="A66" s="3" t="s">
        <v>9398</v>
      </c>
      <c r="B66" s="4" t="str">
        <f>C66 &amp; " -&gt; " &amp; D66</f>
        <v>analyst-stale-then-vs-now -&gt; shared-evaluation-context</v>
      </c>
      <c r="C66" s="3" t="s">
        <v>8596</v>
      </c>
      <c r="D66" s="3" t="s">
        <v>9101</v>
      </c>
      <c r="E66" s="3" t="s">
        <v>1886</v>
      </c>
    </row>
    <row r="67">
      <c r="A67" s="3" t="s">
        <v>9399</v>
      </c>
      <c r="B67" s="4" t="str">
        <f>C67 &amp; " -&gt; " &amp; D67</f>
        <v>analyst-clean-but-uncovered -&gt; analyst-mute-clearance</v>
      </c>
      <c r="C67" s="3" t="s">
        <v>8601</v>
      </c>
      <c r="D67" s="3" t="s">
        <v>8606</v>
      </c>
      <c r="E67" s="3" t="s">
        <v>1886</v>
      </c>
    </row>
    <row r="68">
      <c r="A68" s="3" t="s">
        <v>9400</v>
      </c>
      <c r="B68" s="4" t="str">
        <f>C68 &amp; " -&gt; " &amp; D68</f>
        <v>analyst-clean-but-uncovered -&gt; controller-mute-controls</v>
      </c>
      <c r="C68" s="3" t="s">
        <v>8601</v>
      </c>
      <c r="D68" s="3" t="s">
        <v>8520</v>
      </c>
      <c r="E68" s="3" t="s">
        <v>1886</v>
      </c>
    </row>
    <row r="69">
      <c r="A69" s="3" t="s">
        <v>9401</v>
      </c>
      <c r="B69" s="4" t="str">
        <f>C69 &amp; " -&gt; " &amp; D69</f>
        <v>analyst-mute-clearance -&gt; controller-mute-controls</v>
      </c>
      <c r="C69" s="3" t="s">
        <v>8606</v>
      </c>
      <c r="D69" s="3" t="s">
        <v>8520</v>
      </c>
      <c r="E69" s="3" t="s">
        <v>1886</v>
      </c>
    </row>
    <row r="70">
      <c r="A70" s="3" t="s">
        <v>9402</v>
      </c>
      <c r="B70" s="4" t="str">
        <f>C70 &amp; " -&gt; " &amp; D70</f>
        <v>analyst-mute-clearance -&gt; analyst-clean-but-uncovered</v>
      </c>
      <c r="C70" s="3" t="s">
        <v>8606</v>
      </c>
      <c r="D70" s="3" t="s">
        <v>8601</v>
      </c>
      <c r="E70" s="3" t="s">
        <v>1886</v>
      </c>
    </row>
    <row r="71">
      <c r="A71" s="3" t="s">
        <v>9403</v>
      </c>
      <c r="B71" s="4" t="str">
        <f>C71 &amp; " -&gt; " &amp; D71</f>
        <v>analyst-witness-coverage -&gt; cfo-unwitnessed-controls</v>
      </c>
      <c r="C71" s="3" t="s">
        <v>8611</v>
      </c>
      <c r="D71" s="3" t="s">
        <v>8469</v>
      </c>
      <c r="E71" s="3" t="s">
        <v>1886</v>
      </c>
    </row>
    <row r="72">
      <c r="A72" s="3" t="s">
        <v>9404</v>
      </c>
      <c r="B72" s="4" t="str">
        <f>C72 &amp; " -&gt; " &amp; D72</f>
        <v>analyst-witness-coverage -&gt; cfo-typed-conclusions</v>
      </c>
      <c r="C72" s="3" t="s">
        <v>8611</v>
      </c>
      <c r="D72" s="3" t="s">
        <v>8474</v>
      </c>
      <c r="E72" s="3" t="s">
        <v>1886</v>
      </c>
    </row>
    <row r="73">
      <c r="A73" s="3" t="s">
        <v>9405</v>
      </c>
      <c r="B73" s="4" t="str">
        <f>C73 &amp; " -&gt; " &amp; D73</f>
        <v>hr-home -&gt; hr-unapproved-claims</v>
      </c>
      <c r="C73" s="3" t="s">
        <v>8616</v>
      </c>
      <c r="D73" s="3" t="s">
        <v>8621</v>
      </c>
      <c r="E73" s="3" t="s">
        <v>1886</v>
      </c>
    </row>
    <row r="74">
      <c r="A74" s="3" t="s">
        <v>9406</v>
      </c>
      <c r="B74" s="4" t="str">
        <f>C74 &amp; " -&gt; " &amp; D74</f>
        <v>hr-home -&gt; hr-backlog</v>
      </c>
      <c r="C74" s="3" t="s">
        <v>8616</v>
      </c>
      <c r="D74" s="3" t="s">
        <v>8631</v>
      </c>
      <c r="E74" s="3" t="s">
        <v>1886</v>
      </c>
    </row>
    <row r="75">
      <c r="A75" s="3" t="s">
        <v>9407</v>
      </c>
      <c r="B75" s="4" t="str">
        <f>C75 &amp; " -&gt; " &amp; D75</f>
        <v>hr-home -&gt; hr-load-bearing-claim</v>
      </c>
      <c r="C75" s="3" t="s">
        <v>8616</v>
      </c>
      <c r="D75" s="3" t="s">
        <v>8626</v>
      </c>
      <c r="E75" s="3" t="s">
        <v>1886</v>
      </c>
    </row>
    <row r="76">
      <c r="A76" s="3" t="s">
        <v>9408</v>
      </c>
      <c r="B76" s="4" t="str">
        <f>C76 &amp; " -&gt; " &amp; D76</f>
        <v>hr-unapproved-claims -&gt; hr-load-bearing-claim</v>
      </c>
      <c r="C76" s="3" t="s">
        <v>8621</v>
      </c>
      <c r="D76" s="3" t="s">
        <v>8626</v>
      </c>
      <c r="E76" s="3" t="s">
        <v>1886</v>
      </c>
    </row>
    <row r="77">
      <c r="A77" s="3" t="s">
        <v>9409</v>
      </c>
      <c r="B77" s="4" t="str">
        <f>C77 &amp; " -&gt; " &amp; D77</f>
        <v>hr-unapproved-claims -&gt; shared-knowledge-fragment-detail</v>
      </c>
      <c r="C77" s="3" t="s">
        <v>8621</v>
      </c>
      <c r="D77" s="3" t="s">
        <v>9029</v>
      </c>
      <c r="E77" s="3" t="s">
        <v>1886</v>
      </c>
    </row>
    <row r="78">
      <c r="A78" s="3" t="s">
        <v>9410</v>
      </c>
      <c r="B78" s="4" t="str">
        <f>C78 &amp; " -&gt; " &amp; D78</f>
        <v>hr-load-bearing-claim -&gt; hr-unapproved-claims</v>
      </c>
      <c r="C78" s="3" t="s">
        <v>8626</v>
      </c>
      <c r="D78" s="3" t="s">
        <v>8621</v>
      </c>
      <c r="E78" s="3" t="s">
        <v>1886</v>
      </c>
    </row>
    <row r="79">
      <c r="A79" s="3" t="s">
        <v>9411</v>
      </c>
      <c r="B79" s="4" t="str">
        <f>C79 &amp; " -&gt; " &amp; D79</f>
        <v>hr-load-bearing-claim -&gt; shared-exception-detail</v>
      </c>
      <c r="C79" s="3" t="s">
        <v>8626</v>
      </c>
      <c r="D79" s="3" t="s">
        <v>9039</v>
      </c>
      <c r="E79" s="3" t="s">
        <v>1886</v>
      </c>
    </row>
    <row r="80">
      <c r="A80" s="3" t="s">
        <v>9412</v>
      </c>
      <c r="B80" s="4" t="str">
        <f>C80 &amp; " -&gt; " &amp; D80</f>
        <v>hr-backlog -&gt; hr-backlog-downstream</v>
      </c>
      <c r="C80" s="3" t="s">
        <v>8631</v>
      </c>
      <c r="D80" s="3" t="s">
        <v>8636</v>
      </c>
      <c r="E80" s="3" t="s">
        <v>1886</v>
      </c>
    </row>
    <row r="81">
      <c r="A81" s="3" t="s">
        <v>9413</v>
      </c>
      <c r="B81" s="4" t="str">
        <f>C81 &amp; " -&gt; " &amp; D81</f>
        <v>hr-backlog -&gt; shared-change-request-detail</v>
      </c>
      <c r="C81" s="3" t="s">
        <v>8631</v>
      </c>
      <c r="D81" s="3" t="s">
        <v>9034</v>
      </c>
      <c r="E81" s="3" t="s">
        <v>1886</v>
      </c>
    </row>
    <row r="82">
      <c r="A82" s="3" t="s">
        <v>9414</v>
      </c>
      <c r="B82" s="4" t="str">
        <f>C82 &amp; " -&gt; " &amp; D82</f>
        <v>hr-backlog-downstream -&gt; hr-backlog</v>
      </c>
      <c r="C82" s="3" t="s">
        <v>8636</v>
      </c>
      <c r="D82" s="3" t="s">
        <v>8631</v>
      </c>
      <c r="E82" s="3" t="s">
        <v>1886</v>
      </c>
    </row>
    <row r="83">
      <c r="A83" s="3" t="s">
        <v>9415</v>
      </c>
      <c r="B83" s="4" t="str">
        <f>C83 &amp; " -&gt; " &amp; D83</f>
        <v>hr-backlog-downstream -&gt; steward-open-gaps</v>
      </c>
      <c r="C83" s="3" t="s">
        <v>8636</v>
      </c>
      <c r="D83" s="3" t="s">
        <v>8926</v>
      </c>
      <c r="E83" s="3" t="s">
        <v>1886</v>
      </c>
    </row>
    <row r="84">
      <c r="A84" s="3" t="s">
        <v>9416</v>
      </c>
      <c r="B84" s="4" t="str">
        <f>C84 &amp; " -&gt; " &amp; D84</f>
        <v>hr-my-decisions -&gt; steward-approved-never-lands</v>
      </c>
      <c r="C84" s="3" t="s">
        <v>8641</v>
      </c>
      <c r="D84" s="3" t="s">
        <v>8935</v>
      </c>
      <c r="E84" s="3" t="s">
        <v>1886</v>
      </c>
    </row>
    <row r="85">
      <c r="A85" s="3" t="s">
        <v>9417</v>
      </c>
      <c r="B85" s="4" t="str">
        <f>C85 &amp; " -&gt; " &amp; D85</f>
        <v>hr-my-decisions -&gt; shared-change-request-detail</v>
      </c>
      <c r="C85" s="3" t="s">
        <v>8641</v>
      </c>
      <c r="D85" s="3" t="s">
        <v>9034</v>
      </c>
      <c r="E85" s="3" t="s">
        <v>1886</v>
      </c>
    </row>
    <row r="86">
      <c r="A86" s="3" t="s">
        <v>9418</v>
      </c>
      <c r="B86" s="4" t="str">
        <f>C86 &amp; " -&gt; " &amp; D86</f>
        <v>hr-ai-boundary -&gt; controller-ai-boundary</v>
      </c>
      <c r="C86" s="3" t="s">
        <v>8646</v>
      </c>
      <c r="D86" s="3" t="s">
        <v>8549</v>
      </c>
      <c r="E86" s="3" t="s">
        <v>1886</v>
      </c>
    </row>
    <row r="87">
      <c r="A87" s="3" t="s">
        <v>9419</v>
      </c>
      <c r="B87" s="4" t="str">
        <f>C87 &amp; " -&gt; " &amp; D87</f>
        <v>hr-ai-boundary -&gt; policy-agent-commitment-boundary</v>
      </c>
      <c r="C87" s="3" t="s">
        <v>8646</v>
      </c>
      <c r="D87" s="3" t="s">
        <v>8841</v>
      </c>
      <c r="E87" s="3" t="s">
        <v>1886</v>
      </c>
    </row>
    <row r="88">
      <c r="A88" s="3" t="s">
        <v>9420</v>
      </c>
      <c r="B88" s="4" t="str">
        <f>C88 &amp; " -&gt; " &amp; D88</f>
        <v>hr-knowledge-half-life -&gt; authority-stale-elicitation</v>
      </c>
      <c r="C88" s="3" t="s">
        <v>8651</v>
      </c>
      <c r="D88" s="3" t="s">
        <v>9000</v>
      </c>
      <c r="E88" s="3" t="s">
        <v>1886</v>
      </c>
    </row>
    <row r="89">
      <c r="A89" s="3" t="s">
        <v>9421</v>
      </c>
      <c r="B89" s="4" t="str">
        <f>C89 &amp; " -&gt; " &amp; D89</f>
        <v>hr-knowledge-half-life -&gt; steward-cadence</v>
      </c>
      <c r="C89" s="3" t="s">
        <v>8651</v>
      </c>
      <c r="D89" s="3" t="s">
        <v>8916</v>
      </c>
      <c r="E89" s="3" t="s">
        <v>1886</v>
      </c>
    </row>
    <row r="90">
      <c r="A90" s="3" t="s">
        <v>9422</v>
      </c>
      <c r="B90" s="4" t="str">
        <f>C90 &amp; " -&gt; " &amp; D90</f>
        <v>hr-departed-holders -&gt; authority-orphaned-provenance</v>
      </c>
      <c r="C90" s="3" t="s">
        <v>8656</v>
      </c>
      <c r="D90" s="3" t="s">
        <v>8990</v>
      </c>
      <c r="E90" s="3" t="s">
        <v>1886</v>
      </c>
    </row>
    <row r="91">
      <c r="A91" s="3" t="s">
        <v>9423</v>
      </c>
      <c r="B91" s="4" t="str">
        <f>C91 &amp; " -&gt; " &amp; D91</f>
        <v>hr-departed-holders -&gt; shared-role-assignment-detail</v>
      </c>
      <c r="C91" s="3" t="s">
        <v>8656</v>
      </c>
      <c r="D91" s="3" t="s">
        <v>9043</v>
      </c>
      <c r="E91" s="3" t="s">
        <v>1886</v>
      </c>
    </row>
    <row r="92">
      <c r="A92" s="3" t="s">
        <v>9424</v>
      </c>
      <c r="B92" s="4" t="str">
        <f>C92 &amp; " -&gt; " &amp; D92</f>
        <v>hr-what-was-sent -&gt; comms-frozen-approval</v>
      </c>
      <c r="C92" s="3" t="s">
        <v>8661</v>
      </c>
      <c r="D92" s="3" t="s">
        <v>8715</v>
      </c>
      <c r="E92" s="3" t="s">
        <v>1886</v>
      </c>
    </row>
    <row r="93">
      <c r="A93" s="3" t="s">
        <v>9425</v>
      </c>
      <c r="B93" s="4" t="str">
        <f>C93 &amp; " -&gt; " &amp; D93</f>
        <v>hr-what-was-sent -&gt; shared-delivery-detail</v>
      </c>
      <c r="C93" s="3" t="s">
        <v>8661</v>
      </c>
      <c r="D93" s="3" t="s">
        <v>9053</v>
      </c>
      <c r="E93" s="3" t="s">
        <v>1886</v>
      </c>
    </row>
    <row r="94">
      <c r="A94" s="3" t="s">
        <v>9426</v>
      </c>
      <c r="B94" s="4" t="str">
        <f>C94 &amp; " -&gt; " &amp; D94</f>
        <v>counsel-home -&gt; counsel-consent</v>
      </c>
      <c r="C94" s="3" t="s">
        <v>8666</v>
      </c>
      <c r="D94" s="3" t="s">
        <v>8671</v>
      </c>
      <c r="E94" s="3" t="s">
        <v>1886</v>
      </c>
    </row>
    <row r="95">
      <c r="A95" s="3" t="s">
        <v>9427</v>
      </c>
      <c r="B95" s="4" t="str">
        <f>C95 &amp; " -&gt; " &amp; D95</f>
        <v>counsel-home -&gt; counsel-quiet-hours</v>
      </c>
      <c r="C95" s="3" t="s">
        <v>8666</v>
      </c>
      <c r="D95" s="3" t="s">
        <v>8675</v>
      </c>
      <c r="E95" s="3" t="s">
        <v>1886</v>
      </c>
    </row>
    <row r="96">
      <c r="A96" s="3" t="s">
        <v>9428</v>
      </c>
      <c r="B96" s="4" t="str">
        <f>C96 &amp; " -&gt; " &amp; D96</f>
        <v>counsel-home -&gt; counsel-legal-review</v>
      </c>
      <c r="C96" s="3" t="s">
        <v>8666</v>
      </c>
      <c r="D96" s="3" t="s">
        <v>8679</v>
      </c>
      <c r="E96" s="3" t="s">
        <v>1886</v>
      </c>
    </row>
    <row r="97">
      <c r="A97" s="3" t="s">
        <v>9429</v>
      </c>
      <c r="B97" s="4" t="str">
        <f>C97 &amp; " -&gt; " &amp; D97</f>
        <v>counsel-home -&gt; counsel-retention</v>
      </c>
      <c r="C97" s="3" t="s">
        <v>8666</v>
      </c>
      <c r="D97" s="3" t="s">
        <v>8683</v>
      </c>
      <c r="E97" s="3" t="s">
        <v>1886</v>
      </c>
    </row>
    <row r="98">
      <c r="A98" s="3" t="s">
        <v>9430</v>
      </c>
      <c r="B98" s="4" t="str">
        <f>C98 &amp; " -&gt; " &amp; D98</f>
        <v>counsel-consent -&gt; shared-delivery-detail</v>
      </c>
      <c r="C98" s="3" t="s">
        <v>8671</v>
      </c>
      <c r="D98" s="3" t="s">
        <v>9053</v>
      </c>
      <c r="E98" s="3" t="s">
        <v>1886</v>
      </c>
    </row>
    <row r="99">
      <c r="A99" s="3" t="s">
        <v>9431</v>
      </c>
      <c r="B99" s="4" t="str">
        <f>C99 &amp; " -&gt; " &amp; D99</f>
        <v>counsel-consent -&gt; publisher-permission-gate</v>
      </c>
      <c r="C99" s="3" t="s">
        <v>8671</v>
      </c>
      <c r="D99" s="3" t="s">
        <v>8861</v>
      </c>
      <c r="E99" s="3" t="s">
        <v>1886</v>
      </c>
    </row>
    <row r="100">
      <c r="A100" s="3" t="s">
        <v>9432</v>
      </c>
      <c r="B100" s="4" t="str">
        <f>C100 &amp; " -&gt; " &amp; D100</f>
        <v>counsel-quiet-hours -&gt; publisher-timing-gate</v>
      </c>
      <c r="C100" s="3" t="s">
        <v>8675</v>
      </c>
      <c r="D100" s="3" t="s">
        <v>8866</v>
      </c>
      <c r="E100" s="3" t="s">
        <v>1886</v>
      </c>
    </row>
    <row r="101">
      <c r="A101" s="3" t="s">
        <v>9433</v>
      </c>
      <c r="B101" s="4" t="str">
        <f>C101 &amp; " -&gt; " &amp; D101</f>
        <v>counsel-quiet-hours -&gt; shared-delivery-detail</v>
      </c>
      <c r="C101" s="3" t="s">
        <v>8675</v>
      </c>
      <c r="D101" s="3" t="s">
        <v>9053</v>
      </c>
      <c r="E101" s="3" t="s">
        <v>1886</v>
      </c>
    </row>
    <row r="102">
      <c r="A102" s="3" t="s">
        <v>9434</v>
      </c>
      <c r="B102" s="4" t="str">
        <f>C102 &amp; " -&gt; " &amp; D102</f>
        <v>counsel-legal-review -&gt; shared-review-event-detail</v>
      </c>
      <c r="C102" s="3" t="s">
        <v>8679</v>
      </c>
      <c r="D102" s="3" t="s">
        <v>9081</v>
      </c>
      <c r="E102" s="3" t="s">
        <v>1886</v>
      </c>
    </row>
    <row r="103">
      <c r="A103" s="3" t="s">
        <v>9435</v>
      </c>
      <c r="B103" s="4" t="str">
        <f>C103 &amp; " -&gt; " &amp; D103</f>
        <v>counsel-legal-review -&gt; comms-approval-authority</v>
      </c>
      <c r="C103" s="3" t="s">
        <v>8679</v>
      </c>
      <c r="D103" s="3" t="s">
        <v>8706</v>
      </c>
      <c r="E103" s="3" t="s">
        <v>1886</v>
      </c>
    </row>
    <row r="104">
      <c r="A104" s="3" t="s">
        <v>9436</v>
      </c>
      <c r="B104" s="4" t="str">
        <f>C104 &amp; " -&gt; " &amp; D104</f>
        <v>counsel-retention -&gt; comms-frozen-approval</v>
      </c>
      <c r="C104" s="3" t="s">
        <v>8683</v>
      </c>
      <c r="D104" s="3" t="s">
        <v>8715</v>
      </c>
      <c r="E104" s="3" t="s">
        <v>1886</v>
      </c>
    </row>
    <row r="105">
      <c r="A105" s="3" t="s">
        <v>9437</v>
      </c>
      <c r="B105" s="4" t="str">
        <f>C105 &amp; " -&gt; " &amp; D105</f>
        <v>counsel-retention -&gt; shared-delivery-detail</v>
      </c>
      <c r="C105" s="3" t="s">
        <v>8683</v>
      </c>
      <c r="D105" s="3" t="s">
        <v>9053</v>
      </c>
      <c r="E105" s="3" t="s">
        <v>1886</v>
      </c>
    </row>
    <row r="106">
      <c r="A106" s="3" t="s">
        <v>9438</v>
      </c>
      <c r="B106" s="4" t="str">
        <f>C106 &amp; " -&gt; " &amp; D106</f>
        <v>counsel-unreachable -&gt; comms-suppression</v>
      </c>
      <c r="C106" s="3" t="s">
        <v>8687</v>
      </c>
      <c r="D106" s="3" t="s">
        <v>8733</v>
      </c>
      <c r="E106" s="3" t="s">
        <v>1886</v>
      </c>
    </row>
    <row r="107">
      <c r="A107" s="3" t="s">
        <v>9439</v>
      </c>
      <c r="B107" s="4" t="str">
        <f>C107 &amp; " -&gt; " &amp; D107</f>
        <v>counsel-unreachable -&gt; shared-recipient-detail</v>
      </c>
      <c r="C107" s="3" t="s">
        <v>8687</v>
      </c>
      <c r="D107" s="3" t="s">
        <v>9057</v>
      </c>
      <c r="E107" s="3" t="s">
        <v>1886</v>
      </c>
    </row>
    <row r="108">
      <c r="A108" s="3" t="s">
        <v>9440</v>
      </c>
      <c r="B108" s="4" t="str">
        <f>C108 &amp; " -&gt; " &amp; D108</f>
        <v>comms-home -&gt; comms-yield</v>
      </c>
      <c r="C108" s="3" t="s">
        <v>8691</v>
      </c>
      <c r="D108" s="3" t="s">
        <v>8696</v>
      </c>
      <c r="E108" s="3" t="s">
        <v>1886</v>
      </c>
    </row>
    <row r="109">
      <c r="A109" s="3" t="s">
        <v>9441</v>
      </c>
      <c r="B109" s="4" t="str">
        <f>C109 &amp; " -&gt; " &amp; D109</f>
        <v>comms-home -&gt; comms-failed-deliveries</v>
      </c>
      <c r="C109" s="3" t="s">
        <v>8691</v>
      </c>
      <c r="D109" s="3" t="s">
        <v>8701</v>
      </c>
      <c r="E109" s="3" t="s">
        <v>1886</v>
      </c>
    </row>
    <row r="110">
      <c r="A110" s="3" t="s">
        <v>9442</v>
      </c>
      <c r="B110" s="4" t="str">
        <f>C110 &amp; " -&gt; " &amp; D110</f>
        <v>comms-home -&gt; shared-delivery-detail</v>
      </c>
      <c r="C110" s="3" t="s">
        <v>8691</v>
      </c>
      <c r="D110" s="3" t="s">
        <v>9053</v>
      </c>
      <c r="E110" s="3" t="s">
        <v>1886</v>
      </c>
    </row>
    <row r="111">
      <c r="A111" s="3" t="s">
        <v>9443</v>
      </c>
      <c r="B111" s="4" t="str">
        <f>C111 &amp; " -&gt; " &amp; D111</f>
        <v>comms-yield -&gt; comms-failed-deliveries</v>
      </c>
      <c r="C111" s="3" t="s">
        <v>8696</v>
      </c>
      <c r="D111" s="3" t="s">
        <v>8701</v>
      </c>
      <c r="E111" s="3" t="s">
        <v>1886</v>
      </c>
    </row>
    <row r="112">
      <c r="A112" s="3" t="s">
        <v>9444</v>
      </c>
      <c r="B112" s="4" t="str">
        <f>C112 &amp; " -&gt; " &amp; D112</f>
        <v>comms-yield -&gt; comms-suppression</v>
      </c>
      <c r="C112" s="3" t="s">
        <v>8696</v>
      </c>
      <c r="D112" s="3" t="s">
        <v>8733</v>
      </c>
      <c r="E112" s="3" t="s">
        <v>1886</v>
      </c>
    </row>
    <row r="113">
      <c r="A113" s="3" t="s">
        <v>9445</v>
      </c>
      <c r="B113" s="4" t="str">
        <f>C113 &amp; " -&gt; " &amp; D113</f>
        <v>comms-yield -&gt; publisher-refusals</v>
      </c>
      <c r="C113" s="3" t="s">
        <v>8696</v>
      </c>
      <c r="D113" s="3" t="s">
        <v>8881</v>
      </c>
      <c r="E113" s="3" t="s">
        <v>1886</v>
      </c>
    </row>
    <row r="114">
      <c r="A114" s="3" t="s">
        <v>9446</v>
      </c>
      <c r="B114" s="4" t="str">
        <f>C114 &amp; " -&gt; " &amp; D114</f>
        <v>comms-failed-deliveries -&gt; comms-yield</v>
      </c>
      <c r="C114" s="3" t="s">
        <v>8701</v>
      </c>
      <c r="D114" s="3" t="s">
        <v>8696</v>
      </c>
      <c r="E114" s="3" t="s">
        <v>1886</v>
      </c>
    </row>
    <row r="115">
      <c r="A115" s="3" t="s">
        <v>9447</v>
      </c>
      <c r="B115" s="4" t="str">
        <f>C115 &amp; " -&gt; " &amp; D115</f>
        <v>comms-failed-deliveries -&gt; shared-recipient-detail</v>
      </c>
      <c r="C115" s="3" t="s">
        <v>8701</v>
      </c>
      <c r="D115" s="3" t="s">
        <v>9057</v>
      </c>
      <c r="E115" s="3" t="s">
        <v>1886</v>
      </c>
    </row>
    <row r="116">
      <c r="A116" s="3" t="s">
        <v>9448</v>
      </c>
      <c r="B116" s="4" t="str">
        <f>C116 &amp; " -&gt; " &amp; D116</f>
        <v>comms-approval-authority -&gt; comms-template-drift</v>
      </c>
      <c r="C116" s="3" t="s">
        <v>8706</v>
      </c>
      <c r="D116" s="3" t="s">
        <v>8711</v>
      </c>
      <c r="E116" s="3" t="s">
        <v>1886</v>
      </c>
    </row>
    <row r="117">
      <c r="A117" s="3" t="s">
        <v>9449</v>
      </c>
      <c r="B117" s="4" t="str">
        <f>C117 &amp; " -&gt; " &amp; D117</f>
        <v>comms-approval-authority -&gt; counsel-legal-review</v>
      </c>
      <c r="C117" s="3" t="s">
        <v>8706</v>
      </c>
      <c r="D117" s="3" t="s">
        <v>8679</v>
      </c>
      <c r="E117" s="3" t="s">
        <v>1886</v>
      </c>
    </row>
    <row r="118">
      <c r="A118" s="3" t="s">
        <v>9450</v>
      </c>
      <c r="B118" s="4" t="str">
        <f>C118 &amp; " -&gt; " &amp; D118</f>
        <v>comms-template-drift -&gt; comms-frozen-approval</v>
      </c>
      <c r="C118" s="3" t="s">
        <v>8711</v>
      </c>
      <c r="D118" s="3" t="s">
        <v>8715</v>
      </c>
      <c r="E118" s="3" t="s">
        <v>1886</v>
      </c>
    </row>
    <row r="119">
      <c r="A119" s="3" t="s">
        <v>9451</v>
      </c>
      <c r="B119" s="4" t="str">
        <f>C119 &amp; " -&gt; " &amp; D119</f>
        <v>comms-template-drift -&gt; shared-template-detail</v>
      </c>
      <c r="C119" s="3" t="s">
        <v>8711</v>
      </c>
      <c r="D119" s="3" t="s">
        <v>9061</v>
      </c>
      <c r="E119" s="3" t="s">
        <v>1886</v>
      </c>
    </row>
    <row r="120">
      <c r="A120" s="3" t="s">
        <v>9452</v>
      </c>
      <c r="B120" s="4" t="str">
        <f>C120 &amp; " -&gt; " &amp; D120</f>
        <v>comms-frozen-approval -&gt; comms-template-drift</v>
      </c>
      <c r="C120" s="3" t="s">
        <v>8715</v>
      </c>
      <c r="D120" s="3" t="s">
        <v>8711</v>
      </c>
      <c r="E120" s="3" t="s">
        <v>1886</v>
      </c>
    </row>
    <row r="121">
      <c r="A121" s="3" t="s">
        <v>9453</v>
      </c>
      <c r="B121" s="4" t="str">
        <f>C121 &amp; " -&gt; " &amp; D121</f>
        <v>comms-frozen-approval -&gt; hr-what-was-sent</v>
      </c>
      <c r="C121" s="3" t="s">
        <v>8715</v>
      </c>
      <c r="D121" s="3" t="s">
        <v>8661</v>
      </c>
      <c r="E121" s="3" t="s">
        <v>1886</v>
      </c>
    </row>
    <row r="122">
      <c r="A122" s="3" t="s">
        <v>9454</v>
      </c>
      <c r="B122" s="4" t="str">
        <f>C122 &amp; " -&gt; " &amp; D122</f>
        <v>comms-frozen-approval -&gt; counsel-retention</v>
      </c>
      <c r="C122" s="3" t="s">
        <v>8715</v>
      </c>
      <c r="D122" s="3" t="s">
        <v>8683</v>
      </c>
      <c r="E122" s="3" t="s">
        <v>1886</v>
      </c>
    </row>
    <row r="123">
      <c r="A123" s="3" t="s">
        <v>9455</v>
      </c>
      <c r="B123" s="4" t="str">
        <f>C123 &amp; " -&gt; " &amp; D123</f>
        <v>comms-optout -&gt; comms-sms-limits</v>
      </c>
      <c r="C123" s="3" t="s">
        <v>8720</v>
      </c>
      <c r="D123" s="3" t="s">
        <v>8724</v>
      </c>
      <c r="E123" s="3" t="s">
        <v>1886</v>
      </c>
    </row>
    <row r="124">
      <c r="A124" s="3" t="s">
        <v>9456</v>
      </c>
      <c r="B124" s="4" t="str">
        <f>C124 &amp; " -&gt; " &amp; D124</f>
        <v>comms-optout -&gt; counsel-consent</v>
      </c>
      <c r="C124" s="3" t="s">
        <v>8720</v>
      </c>
      <c r="D124" s="3" t="s">
        <v>8671</v>
      </c>
      <c r="E124" s="3" t="s">
        <v>1886</v>
      </c>
    </row>
    <row r="125">
      <c r="A125" s="3" t="s">
        <v>9457</v>
      </c>
      <c r="B125" s="4" t="str">
        <f>C125 &amp; " -&gt; " &amp; D125</f>
        <v>comms-sms-limits -&gt; comms-optout</v>
      </c>
      <c r="C125" s="3" t="s">
        <v>8724</v>
      </c>
      <c r="D125" s="3" t="s">
        <v>8720</v>
      </c>
      <c r="E125" s="3" t="s">
        <v>1886</v>
      </c>
    </row>
    <row r="126">
      <c r="A126" s="3" t="s">
        <v>9458</v>
      </c>
      <c r="B126" s="4" t="str">
        <f>C126 &amp; " -&gt; " &amp; D126</f>
        <v>comms-sms-limits -&gt; publisher-content-gate</v>
      </c>
      <c r="C126" s="3" t="s">
        <v>8724</v>
      </c>
      <c r="D126" s="3" t="s">
        <v>8871</v>
      </c>
      <c r="E126" s="3" t="s">
        <v>1886</v>
      </c>
    </row>
    <row r="127">
      <c r="A127" s="3" t="s">
        <v>9459</v>
      </c>
      <c r="B127" s="4" t="str">
        <f>C127 &amp; " -&gt; " &amp; D127</f>
        <v>comms-engagement -&gt; comms-yield</v>
      </c>
      <c r="C127" s="3" t="s">
        <v>8728</v>
      </c>
      <c r="D127" s="3" t="s">
        <v>8696</v>
      </c>
      <c r="E127" s="3" t="s">
        <v>1886</v>
      </c>
    </row>
    <row r="128">
      <c r="A128" s="3" t="s">
        <v>9460</v>
      </c>
      <c r="B128" s="4" t="str">
        <f>C128 &amp; " -&gt; " &amp; D128</f>
        <v>comms-engagement -&gt; shared-delivery-detail</v>
      </c>
      <c r="C128" s="3" t="s">
        <v>8728</v>
      </c>
      <c r="D128" s="3" t="s">
        <v>9053</v>
      </c>
      <c r="E128" s="3" t="s">
        <v>1886</v>
      </c>
    </row>
    <row r="129">
      <c r="A129" s="3" t="s">
        <v>9461</v>
      </c>
      <c r="B129" s="4" t="str">
        <f>C129 &amp; " -&gt; " &amp; D129</f>
        <v>comms-suppression -&gt; publisher-refusals</v>
      </c>
      <c r="C129" s="3" t="s">
        <v>8733</v>
      </c>
      <c r="D129" s="3" t="s">
        <v>8881</v>
      </c>
      <c r="E129" s="3" t="s">
        <v>1886</v>
      </c>
    </row>
    <row r="130">
      <c r="A130" s="3" t="s">
        <v>9462</v>
      </c>
      <c r="B130" s="4" t="str">
        <f>C130 &amp; " -&gt; " &amp; D130</f>
        <v>comms-suppression -&gt; counsel-unreachable</v>
      </c>
      <c r="C130" s="3" t="s">
        <v>8733</v>
      </c>
      <c r="D130" s="3" t="s">
        <v>8687</v>
      </c>
      <c r="E130" s="3" t="s">
        <v>1886</v>
      </c>
    </row>
    <row r="131">
      <c r="A131" s="3" t="s">
        <v>9463</v>
      </c>
      <c r="B131" s="4" t="str">
        <f>C131 &amp; " -&gt; " &amp; D131</f>
        <v>comms-authorization-override -&gt; publisher-refusals</v>
      </c>
      <c r="C131" s="3" t="s">
        <v>8738</v>
      </c>
      <c r="D131" s="3" t="s">
        <v>8881</v>
      </c>
      <c r="E131" s="3" t="s">
        <v>1886</v>
      </c>
    </row>
    <row r="132">
      <c r="A132" s="3" t="s">
        <v>9464</v>
      </c>
      <c r="B132" s="4" t="str">
        <f>C132 &amp; " -&gt; " &amp; D132</f>
        <v>comms-authorization-override -&gt; comms-approval-authority</v>
      </c>
      <c r="C132" s="3" t="s">
        <v>8738</v>
      </c>
      <c r="D132" s="3" t="s">
        <v>8706</v>
      </c>
      <c r="E132" s="3" t="s">
        <v>1886</v>
      </c>
    </row>
    <row r="133">
      <c r="A133" s="3" t="s">
        <v>9465</v>
      </c>
      <c r="B133" s="4" t="str">
        <f>C133 &amp; " -&gt; " &amp; D133</f>
        <v>close-auto-home -&gt; close-auto-authority</v>
      </c>
      <c r="C133" s="3" t="s">
        <v>8743</v>
      </c>
      <c r="D133" s="3" t="s">
        <v>8748</v>
      </c>
      <c r="E133" s="3" t="s">
        <v>1886</v>
      </c>
    </row>
    <row r="134">
      <c r="A134" s="3" t="s">
        <v>9466</v>
      </c>
      <c r="B134" s="4" t="str">
        <f>C134 &amp; " -&gt; " &amp; D134</f>
        <v>close-auto-home -&gt; close-auto-inputs</v>
      </c>
      <c r="C134" s="3" t="s">
        <v>8743</v>
      </c>
      <c r="D134" s="3" t="s">
        <v>8753</v>
      </c>
      <c r="E134" s="3" t="s">
        <v>1886</v>
      </c>
    </row>
    <row r="135">
      <c r="A135" s="3" t="s">
        <v>9467</v>
      </c>
      <c r="B135" s="4" t="str">
        <f>C135 &amp; " -&gt; " &amp; D135</f>
        <v>close-auto-home -&gt; close-auto-last-run</v>
      </c>
      <c r="C135" s="3" t="s">
        <v>8743</v>
      </c>
      <c r="D135" s="3" t="s">
        <v>8763</v>
      </c>
      <c r="E135" s="3" t="s">
        <v>1886</v>
      </c>
    </row>
    <row r="136">
      <c r="A136" s="3" t="s">
        <v>9468</v>
      </c>
      <c r="B136" s="4" t="str">
        <f>C136 &amp; " -&gt; " &amp; D136</f>
        <v>close-auto-authority -&gt; shared-role-assignment-detail</v>
      </c>
      <c r="C136" s="3" t="s">
        <v>8748</v>
      </c>
      <c r="D136" s="3" t="s">
        <v>9043</v>
      </c>
      <c r="E136" s="3" t="s">
        <v>1886</v>
      </c>
    </row>
    <row r="137">
      <c r="A137" s="3" t="s">
        <v>9469</v>
      </c>
      <c r="B137" s="4" t="str">
        <f>C137 &amp; " -&gt; " &amp; D137</f>
        <v>close-auto-authority -&gt; publisher-my-authorization</v>
      </c>
      <c r="C137" s="3" t="s">
        <v>8748</v>
      </c>
      <c r="D137" s="3" t="s">
        <v>8901</v>
      </c>
      <c r="E137" s="3" t="s">
        <v>1886</v>
      </c>
    </row>
    <row r="138">
      <c r="A138" s="3" t="s">
        <v>9470</v>
      </c>
      <c r="B138" s="4" t="str">
        <f>C138 &amp; " -&gt; " &amp; D138</f>
        <v>close-auto-inputs -&gt; shared-operational-binding-detail</v>
      </c>
      <c r="C138" s="3" t="s">
        <v>8753</v>
      </c>
      <c r="D138" s="3" t="s">
        <v>9048</v>
      </c>
      <c r="E138" s="3" t="s">
        <v>1886</v>
      </c>
    </row>
    <row r="139">
      <c r="A139" s="3" t="s">
        <v>9471</v>
      </c>
      <c r="B139" s="4" t="str">
        <f>C139 &amp; " -&gt; " &amp; D139</f>
        <v>close-auto-inputs -&gt; analyst-source-freshness</v>
      </c>
      <c r="C139" s="3" t="s">
        <v>8753</v>
      </c>
      <c r="D139" s="3" t="s">
        <v>8592</v>
      </c>
      <c r="E139" s="3" t="s">
        <v>1886</v>
      </c>
    </row>
    <row r="140">
      <c r="A140" s="3" t="s">
        <v>9472</v>
      </c>
      <c r="B140" s="4" t="str">
        <f>C140 &amp; " -&gt; " &amp; D140</f>
        <v>close-auto-controls -&gt; analyst-never-evaluated</v>
      </c>
      <c r="C140" s="3" t="s">
        <v>8758</v>
      </c>
      <c r="D140" s="3" t="s">
        <v>8573</v>
      </c>
      <c r="E140" s="3" t="s">
        <v>1886</v>
      </c>
    </row>
    <row r="141">
      <c r="A141" s="3" t="s">
        <v>9473</v>
      </c>
      <c r="B141" s="4" t="str">
        <f>C141 &amp; " -&gt; " &amp; D141</f>
        <v>close-auto-controls -&gt; controller-home</v>
      </c>
      <c r="C141" s="3" t="s">
        <v>8758</v>
      </c>
      <c r="D141" s="3" t="s">
        <v>8515</v>
      </c>
      <c r="E141" s="3" t="s">
        <v>1886</v>
      </c>
    </row>
    <row r="142">
      <c r="A142" s="3" t="s">
        <v>9474</v>
      </c>
      <c r="B142" s="4" t="str">
        <f>C142 &amp; " -&gt; " &amp; D142</f>
        <v>close-auto-last-run -&gt; shared-step-execution-detail</v>
      </c>
      <c r="C142" s="3" t="s">
        <v>8763</v>
      </c>
      <c r="D142" s="3" t="s">
        <v>9020</v>
      </c>
      <c r="E142" s="3" t="s">
        <v>1886</v>
      </c>
    </row>
    <row r="143">
      <c r="A143" s="3" t="s">
        <v>9475</v>
      </c>
      <c r="B143" s="4" t="str">
        <f>C143 &amp; " -&gt; " &amp; D143</f>
        <v>close-auto-last-run -&gt; close-auto-home</v>
      </c>
      <c r="C143" s="3" t="s">
        <v>8763</v>
      </c>
      <c r="D143" s="3" t="s">
        <v>8743</v>
      </c>
      <c r="E143" s="3" t="s">
        <v>1886</v>
      </c>
    </row>
    <row r="144">
      <c r="A144" s="3" t="s">
        <v>9476</v>
      </c>
      <c r="B144" s="4" t="str">
        <f>C144 &amp; " -&gt; " &amp; D144</f>
        <v>close-auto-drift -&gt; variance-override-signal</v>
      </c>
      <c r="C144" s="3" t="s">
        <v>8767</v>
      </c>
      <c r="D144" s="3" t="s">
        <v>8816</v>
      </c>
      <c r="E144" s="3" t="s">
        <v>1886</v>
      </c>
    </row>
    <row r="145">
      <c r="A145" s="3" t="s">
        <v>9477</v>
      </c>
      <c r="B145" s="4" t="str">
        <f>C145 &amp; " -&gt; " &amp; D145</f>
        <v>close-auto-drift -&gt; variance-quality-baseline</v>
      </c>
      <c r="C145" s="3" t="s">
        <v>8767</v>
      </c>
      <c r="D145" s="3" t="s">
        <v>8806</v>
      </c>
      <c r="E145" s="3" t="s">
        <v>1886</v>
      </c>
    </row>
    <row r="146">
      <c r="A146" s="3" t="s">
        <v>9478</v>
      </c>
      <c r="B146" s="4" t="str">
        <f>C146 &amp; " -&gt; " &amp; D146</f>
        <v>variance-home -&gt; variance-authority</v>
      </c>
      <c r="C146" s="3" t="s">
        <v>8772</v>
      </c>
      <c r="D146" s="3" t="s">
        <v>8777</v>
      </c>
      <c r="E146" s="3" t="s">
        <v>1886</v>
      </c>
    </row>
    <row r="147">
      <c r="A147" s="3" t="s">
        <v>9479</v>
      </c>
      <c r="B147" s="4" t="str">
        <f>C147 &amp; " -&gt; " &amp; D147</f>
        <v>variance-home -&gt; variance-boundary</v>
      </c>
      <c r="C147" s="3" t="s">
        <v>8772</v>
      </c>
      <c r="D147" s="3" t="s">
        <v>8786</v>
      </c>
      <c r="E147" s="3" t="s">
        <v>1886</v>
      </c>
    </row>
    <row r="148">
      <c r="A148" s="3" t="s">
        <v>9480</v>
      </c>
      <c r="B148" s="4" t="str">
        <f>C148 &amp; " -&gt; " &amp; D148</f>
        <v>variance-home -&gt; variance-knowledge-currency</v>
      </c>
      <c r="C148" s="3" t="s">
        <v>8772</v>
      </c>
      <c r="D148" s="3" t="s">
        <v>8801</v>
      </c>
      <c r="E148" s="3" t="s">
        <v>1886</v>
      </c>
    </row>
    <row r="149">
      <c r="A149" s="3" t="s">
        <v>9481</v>
      </c>
      <c r="B149" s="4" t="str">
        <f>C149 &amp; " -&gt; " &amp; D149</f>
        <v>variance-authority -&gt; shared-role-assignment-detail</v>
      </c>
      <c r="C149" s="3" t="s">
        <v>8777</v>
      </c>
      <c r="D149" s="3" t="s">
        <v>9043</v>
      </c>
      <c r="E149" s="3" t="s">
        <v>1886</v>
      </c>
    </row>
    <row r="150">
      <c r="A150" s="3" t="s">
        <v>9482</v>
      </c>
      <c r="B150" s="4" t="str">
        <f>C150 &amp; " -&gt; " &amp; D150</f>
        <v>variance-authority -&gt; variance-handover</v>
      </c>
      <c r="C150" s="3" t="s">
        <v>8777</v>
      </c>
      <c r="D150" s="3" t="s">
        <v>8781</v>
      </c>
      <c r="E150" s="3" t="s">
        <v>1886</v>
      </c>
    </row>
    <row r="151">
      <c r="A151" s="3" t="s">
        <v>9483</v>
      </c>
      <c r="B151" s="4" t="str">
        <f>C151 &amp; " -&gt; " &amp; D151</f>
        <v>variance-handover -&gt; variance-authority</v>
      </c>
      <c r="C151" s="3" t="s">
        <v>8781</v>
      </c>
      <c r="D151" s="3" t="s">
        <v>8777</v>
      </c>
      <c r="E151" s="3" t="s">
        <v>1886</v>
      </c>
    </row>
    <row r="152">
      <c r="A152" s="3" t="s">
        <v>9484</v>
      </c>
      <c r="B152" s="4" t="str">
        <f>C152 &amp; " -&gt; " &amp; D152</f>
        <v>variance-handover -&gt; controller-ai-boundary</v>
      </c>
      <c r="C152" s="3" t="s">
        <v>8781</v>
      </c>
      <c r="D152" s="3" t="s">
        <v>8549</v>
      </c>
      <c r="E152" s="3" t="s">
        <v>1886</v>
      </c>
    </row>
    <row r="153">
      <c r="A153" s="3" t="s">
        <v>9485</v>
      </c>
      <c r="B153" s="4" t="str">
        <f>C153 &amp; " -&gt; " &amp; D153</f>
        <v>variance-boundary -&gt; variance-boundary-ratification</v>
      </c>
      <c r="C153" s="3" t="s">
        <v>8786</v>
      </c>
      <c r="D153" s="3" t="s">
        <v>8791</v>
      </c>
      <c r="E153" s="3" t="s">
        <v>1886</v>
      </c>
    </row>
    <row r="154">
      <c r="A154" s="3" t="s">
        <v>9486</v>
      </c>
      <c r="B154" s="4" t="str">
        <f>C154 &amp; " -&gt; " &amp; D154</f>
        <v>variance-boundary -&gt; hr-ai-boundary</v>
      </c>
      <c r="C154" s="3" t="s">
        <v>8786</v>
      </c>
      <c r="D154" s="3" t="s">
        <v>8646</v>
      </c>
      <c r="E154" s="3" t="s">
        <v>1886</v>
      </c>
    </row>
    <row r="155">
      <c r="A155" s="3" t="s">
        <v>9487</v>
      </c>
      <c r="B155" s="4" t="str">
        <f>C155 &amp; " -&gt; " &amp; D155</f>
        <v>variance-boundary-ratification -&gt; authority-expired-ratifier</v>
      </c>
      <c r="C155" s="3" t="s">
        <v>8791</v>
      </c>
      <c r="D155" s="3" t="s">
        <v>8985</v>
      </c>
      <c r="E155" s="3" t="s">
        <v>1886</v>
      </c>
    </row>
    <row r="156">
      <c r="A156" s="3" t="s">
        <v>9488</v>
      </c>
      <c r="B156" s="4" t="str">
        <f>C156 &amp; " -&gt; " &amp; D156</f>
        <v>variance-boundary-ratification -&gt; variance-boundary</v>
      </c>
      <c r="C156" s="3" t="s">
        <v>8791</v>
      </c>
      <c r="D156" s="3" t="s">
        <v>8786</v>
      </c>
      <c r="E156" s="3" t="s">
        <v>1886</v>
      </c>
    </row>
    <row r="157">
      <c r="A157" s="3" t="s">
        <v>9489</v>
      </c>
      <c r="B157" s="4" t="str">
        <f>C157 &amp; " -&gt; " &amp; D157</f>
        <v>variance-human-confirmation -&gt; controller-ai-boundary</v>
      </c>
      <c r="C157" s="3" t="s">
        <v>8796</v>
      </c>
      <c r="D157" s="3" t="s">
        <v>8549</v>
      </c>
      <c r="E157" s="3" t="s">
        <v>1886</v>
      </c>
    </row>
    <row r="158">
      <c r="A158" s="3" t="s">
        <v>9490</v>
      </c>
      <c r="B158" s="4" t="str">
        <f>C158 &amp; " -&gt; " &amp; D158</f>
        <v>variance-human-confirmation -&gt; shared-step-execution-detail</v>
      </c>
      <c r="C158" s="3" t="s">
        <v>8796</v>
      </c>
      <c r="D158" s="3" t="s">
        <v>9020</v>
      </c>
      <c r="E158" s="3" t="s">
        <v>1886</v>
      </c>
    </row>
    <row r="159">
      <c r="A159" s="3" t="s">
        <v>9491</v>
      </c>
      <c r="B159" s="4" t="str">
        <f>C159 &amp; " -&gt; " &amp; D159</f>
        <v>variance-knowledge-currency -&gt; authority-fragment-decay</v>
      </c>
      <c r="C159" s="3" t="s">
        <v>8801</v>
      </c>
      <c r="D159" s="3" t="s">
        <v>8970</v>
      </c>
      <c r="E159" s="3" t="s">
        <v>1886</v>
      </c>
    </row>
    <row r="160">
      <c r="A160" s="3" t="s">
        <v>9492</v>
      </c>
      <c r="B160" s="4" t="str">
        <f>C160 &amp; " -&gt; " &amp; D160</f>
        <v>variance-knowledge-currency -&gt; shared-knowledge-fragment-detail</v>
      </c>
      <c r="C160" s="3" t="s">
        <v>8801</v>
      </c>
      <c r="D160" s="3" t="s">
        <v>9029</v>
      </c>
      <c r="E160" s="3" t="s">
        <v>1886</v>
      </c>
    </row>
    <row r="161">
      <c r="A161" s="3" t="s">
        <v>9493</v>
      </c>
      <c r="B161" s="4" t="str">
        <f>C161 &amp; " -&gt; " &amp; D161</f>
        <v>variance-quality-baseline -&gt; variance-sample-size</v>
      </c>
      <c r="C161" s="3" t="s">
        <v>8806</v>
      </c>
      <c r="D161" s="3" t="s">
        <v>8811</v>
      </c>
      <c r="E161" s="3" t="s">
        <v>1886</v>
      </c>
    </row>
    <row r="162">
      <c r="A162" s="3" t="s">
        <v>9494</v>
      </c>
      <c r="B162" s="4" t="str">
        <f>C162 &amp; " -&gt; " &amp; D162</f>
        <v>variance-quality-baseline -&gt; close-auto-drift</v>
      </c>
      <c r="C162" s="3" t="s">
        <v>8806</v>
      </c>
      <c r="D162" s="3" t="s">
        <v>8767</v>
      </c>
      <c r="E162" s="3" t="s">
        <v>1886</v>
      </c>
    </row>
    <row r="163">
      <c r="A163" s="3" t="s">
        <v>9495</v>
      </c>
      <c r="B163" s="4" t="str">
        <f>C163 &amp; " -&gt; " &amp; D163</f>
        <v>variance-sample-size -&gt; variance-quality-baseline</v>
      </c>
      <c r="C163" s="3" t="s">
        <v>8811</v>
      </c>
      <c r="D163" s="3" t="s">
        <v>8806</v>
      </c>
      <c r="E163" s="3" t="s">
        <v>1886</v>
      </c>
    </row>
    <row r="164">
      <c r="A164" s="3" t="s">
        <v>9496</v>
      </c>
      <c r="B164" s="4" t="str">
        <f>C164 &amp; " -&gt; " &amp; D164</f>
        <v>variance-override-signal -&gt; close-auto-drift</v>
      </c>
      <c r="C164" s="3" t="s">
        <v>8816</v>
      </c>
      <c r="D164" s="3" t="s">
        <v>8767</v>
      </c>
      <c r="E164" s="3" t="s">
        <v>1886</v>
      </c>
    </row>
    <row r="165">
      <c r="A165" s="3" t="s">
        <v>9497</v>
      </c>
      <c r="B165" s="4" t="str">
        <f>C165 &amp; " -&gt; " &amp; D165</f>
        <v>variance-override-signal -&gt; variance-human-confirmation</v>
      </c>
      <c r="C165" s="3" t="s">
        <v>8816</v>
      </c>
      <c r="D165" s="3" t="s">
        <v>8796</v>
      </c>
      <c r="E165" s="3" t="s">
        <v>1886</v>
      </c>
    </row>
    <row r="166">
      <c r="A166" s="3" t="s">
        <v>9498</v>
      </c>
      <c r="B166" s="4" t="str">
        <f>C166 &amp; " -&gt; " &amp; D166</f>
        <v>variance-stop-condition -&gt; close-auto-home</v>
      </c>
      <c r="C166" s="3" t="s">
        <v>8821</v>
      </c>
      <c r="D166" s="3" t="s">
        <v>8743</v>
      </c>
      <c r="E166" s="3" t="s">
        <v>1886</v>
      </c>
    </row>
    <row r="167">
      <c r="A167" s="3" t="s">
        <v>9499</v>
      </c>
      <c r="B167" s="4" t="str">
        <f>C167 &amp; " -&gt; " &amp; D167</f>
        <v>variance-stop-condition -&gt; publisher-permission-gate</v>
      </c>
      <c r="C167" s="3" t="s">
        <v>8821</v>
      </c>
      <c r="D167" s="3" t="s">
        <v>8861</v>
      </c>
      <c r="E167" s="3" t="s">
        <v>1886</v>
      </c>
    </row>
    <row r="168">
      <c r="A168" s="3" t="s">
        <v>9500</v>
      </c>
      <c r="B168" s="4" t="str">
        <f>C168 &amp; " -&gt; " &amp; D168</f>
        <v>policy-agent-home -&gt; policy-agent-sources</v>
      </c>
      <c r="C168" s="3" t="s">
        <v>8826</v>
      </c>
      <c r="D168" s="3" t="s">
        <v>8831</v>
      </c>
      <c r="E168" s="3" t="s">
        <v>1886</v>
      </c>
    </row>
    <row r="169">
      <c r="A169" s="3" t="s">
        <v>9501</v>
      </c>
      <c r="B169" s="4" t="str">
        <f>C169 &amp; " -&gt; " &amp; D169</f>
        <v>policy-agent-home -&gt; policy-agent-assignment</v>
      </c>
      <c r="C169" s="3" t="s">
        <v>8826</v>
      </c>
      <c r="D169" s="3" t="s">
        <v>8836</v>
      </c>
      <c r="E169" s="3" t="s">
        <v>1886</v>
      </c>
    </row>
    <row r="170">
      <c r="A170" s="3" t="s">
        <v>9502</v>
      </c>
      <c r="B170" s="4" t="str">
        <f>C170 &amp; " -&gt; " &amp; D170</f>
        <v>policy-agent-sources -&gt; shared-operational-binding-detail</v>
      </c>
      <c r="C170" s="3" t="s">
        <v>8831</v>
      </c>
      <c r="D170" s="3" t="s">
        <v>9048</v>
      </c>
      <c r="E170" s="3" t="s">
        <v>1886</v>
      </c>
    </row>
    <row r="171">
      <c r="A171" s="3" t="s">
        <v>9503</v>
      </c>
      <c r="B171" s="4" t="str">
        <f>C171 &amp; " -&gt; " &amp; D171</f>
        <v>policy-agent-sources -&gt; close-auto-inputs</v>
      </c>
      <c r="C171" s="3" t="s">
        <v>8831</v>
      </c>
      <c r="D171" s="3" t="s">
        <v>8753</v>
      </c>
      <c r="E171" s="3" t="s">
        <v>1886</v>
      </c>
    </row>
    <row r="172">
      <c r="A172" s="3" t="s">
        <v>9504</v>
      </c>
      <c r="B172" s="4" t="str">
        <f>C172 &amp; " -&gt; " &amp; D172</f>
        <v>policy-agent-assignment -&gt; shared-role-assignment-detail</v>
      </c>
      <c r="C172" s="3" t="s">
        <v>8836</v>
      </c>
      <c r="D172" s="3" t="s">
        <v>9043</v>
      </c>
      <c r="E172" s="3" t="s">
        <v>1886</v>
      </c>
    </row>
    <row r="173">
      <c r="A173" s="3" t="s">
        <v>9505</v>
      </c>
      <c r="B173" s="4" t="str">
        <f>C173 &amp; " -&gt; " &amp; D173</f>
        <v>policy-agent-assignment -&gt; variance-authority</v>
      </c>
      <c r="C173" s="3" t="s">
        <v>8836</v>
      </c>
      <c r="D173" s="3" t="s">
        <v>8777</v>
      </c>
      <c r="E173" s="3" t="s">
        <v>1886</v>
      </c>
    </row>
    <row r="174">
      <c r="A174" s="3" t="s">
        <v>9506</v>
      </c>
      <c r="B174" s="4" t="str">
        <f>C174 &amp; " -&gt; " &amp; D174</f>
        <v>policy-agent-commitment-boundary -&gt; hr-ai-boundary</v>
      </c>
      <c r="C174" s="3" t="s">
        <v>8841</v>
      </c>
      <c r="D174" s="3" t="s">
        <v>8646</v>
      </c>
      <c r="E174" s="3" t="s">
        <v>1886</v>
      </c>
    </row>
    <row r="175">
      <c r="A175" s="3" t="s">
        <v>9507</v>
      </c>
      <c r="B175" s="4" t="str">
        <f>C175 &amp; " -&gt; " &amp; D175</f>
        <v>policy-agent-commitment-boundary -&gt; variance-boundary</v>
      </c>
      <c r="C175" s="3" t="s">
        <v>8841</v>
      </c>
      <c r="D175" s="3" t="s">
        <v>8786</v>
      </c>
      <c r="E175" s="3" t="s">
        <v>1886</v>
      </c>
    </row>
    <row r="176">
      <c r="A176" s="3" t="s">
        <v>9508</v>
      </c>
      <c r="B176" s="4" t="str">
        <f>C176 &amp; " -&gt; " &amp; D176</f>
        <v>policy-agent-approval-chain -&gt; comms-approval-authority</v>
      </c>
      <c r="C176" s="3" t="s">
        <v>8846</v>
      </c>
      <c r="D176" s="3" t="s">
        <v>8706</v>
      </c>
      <c r="E176" s="3" t="s">
        <v>1886</v>
      </c>
    </row>
    <row r="177">
      <c r="A177" s="3" t="s">
        <v>9509</v>
      </c>
      <c r="B177" s="4" t="str">
        <f>C177 &amp; " -&gt; " &amp; D177</f>
        <v>policy-agent-approval-chain -&gt; counsel-legal-review</v>
      </c>
      <c r="C177" s="3" t="s">
        <v>8846</v>
      </c>
      <c r="D177" s="3" t="s">
        <v>8679</v>
      </c>
      <c r="E177" s="3" t="s">
        <v>1886</v>
      </c>
    </row>
    <row r="178">
      <c r="A178" s="3" t="s">
        <v>9510</v>
      </c>
      <c r="B178" s="4" t="str">
        <f>C178 &amp; " -&gt; " &amp; D178</f>
        <v>policy-agent-rewrite -&gt; variance-override-signal</v>
      </c>
      <c r="C178" s="3" t="s">
        <v>8851</v>
      </c>
      <c r="D178" s="3" t="s">
        <v>8816</v>
      </c>
      <c r="E178" s="3" t="s">
        <v>1886</v>
      </c>
    </row>
    <row r="179">
      <c r="A179" s="3" t="s">
        <v>9511</v>
      </c>
      <c r="B179" s="4" t="str">
        <f>C179 &amp; " -&gt; " &amp; D179</f>
        <v>policy-agent-rewrite -&gt; shared-step-execution-detail</v>
      </c>
      <c r="C179" s="3" t="s">
        <v>8851</v>
      </c>
      <c r="D179" s="3" t="s">
        <v>9020</v>
      </c>
      <c r="E179" s="3" t="s">
        <v>1886</v>
      </c>
    </row>
    <row r="180">
      <c r="A180" s="3" t="s">
        <v>9512</v>
      </c>
      <c r="B180" s="4" t="str">
        <f>C180 &amp; " -&gt; " &amp; D180</f>
        <v>publisher-home -&gt; publisher-permission-gate</v>
      </c>
      <c r="C180" s="3" t="s">
        <v>8856</v>
      </c>
      <c r="D180" s="3" t="s">
        <v>8861</v>
      </c>
      <c r="E180" s="3" t="s">
        <v>1886</v>
      </c>
    </row>
    <row r="181">
      <c r="A181" s="3" t="s">
        <v>9513</v>
      </c>
      <c r="B181" s="4" t="str">
        <f>C181 &amp; " -&gt; " &amp; D181</f>
        <v>publisher-home -&gt; publisher-timing-gate</v>
      </c>
      <c r="C181" s="3" t="s">
        <v>8856</v>
      </c>
      <c r="D181" s="3" t="s">
        <v>8866</v>
      </c>
      <c r="E181" s="3" t="s">
        <v>1886</v>
      </c>
    </row>
    <row r="182">
      <c r="A182" s="3" t="s">
        <v>9514</v>
      </c>
      <c r="B182" s="4" t="str">
        <f>C182 &amp; " -&gt; " &amp; D182</f>
        <v>publisher-home -&gt; publisher-content-gate</v>
      </c>
      <c r="C182" s="3" t="s">
        <v>8856</v>
      </c>
      <c r="D182" s="3" t="s">
        <v>8871</v>
      </c>
      <c r="E182" s="3" t="s">
        <v>1886</v>
      </c>
    </row>
    <row r="183">
      <c r="A183" s="3" t="s">
        <v>9515</v>
      </c>
      <c r="B183" s="4" t="str">
        <f>C183 &amp; " -&gt; " &amp; D183</f>
        <v>publisher-home -&gt; publisher-authorization-gate</v>
      </c>
      <c r="C183" s="3" t="s">
        <v>8856</v>
      </c>
      <c r="D183" s="3" t="s">
        <v>8876</v>
      </c>
      <c r="E183" s="3" t="s">
        <v>1886</v>
      </c>
    </row>
    <row r="184">
      <c r="A184" s="3" t="s">
        <v>9516</v>
      </c>
      <c r="B184" s="4" t="str">
        <f>C184 &amp; " -&gt; " &amp; D184</f>
        <v>publisher-permission-gate -&gt; counsel-consent</v>
      </c>
      <c r="C184" s="3" t="s">
        <v>8861</v>
      </c>
      <c r="D184" s="3" t="s">
        <v>8671</v>
      </c>
      <c r="E184" s="3" t="s">
        <v>1886</v>
      </c>
    </row>
    <row r="185">
      <c r="A185" s="3" t="s">
        <v>9517</v>
      </c>
      <c r="B185" s="4" t="str">
        <f>C185 &amp; " -&gt; " &amp; D185</f>
        <v>publisher-permission-gate -&gt; shared-recipient-detail</v>
      </c>
      <c r="C185" s="3" t="s">
        <v>8861</v>
      </c>
      <c r="D185" s="3" t="s">
        <v>9057</v>
      </c>
      <c r="E185" s="3" t="s">
        <v>1886</v>
      </c>
    </row>
    <row r="186">
      <c r="A186" s="3" t="s">
        <v>9518</v>
      </c>
      <c r="B186" s="4" t="str">
        <f>C186 &amp; " -&gt; " &amp; D186</f>
        <v>publisher-timing-gate -&gt; counsel-quiet-hours</v>
      </c>
      <c r="C186" s="3" t="s">
        <v>8866</v>
      </c>
      <c r="D186" s="3" t="s">
        <v>8675</v>
      </c>
      <c r="E186" s="3" t="s">
        <v>1886</v>
      </c>
    </row>
    <row r="187">
      <c r="A187" s="3" t="s">
        <v>9519</v>
      </c>
      <c r="B187" s="4" t="str">
        <f>C187 &amp; " -&gt; " &amp; D187</f>
        <v>publisher-timing-gate -&gt; publisher-deferred</v>
      </c>
      <c r="C187" s="3" t="s">
        <v>8866</v>
      </c>
      <c r="D187" s="3" t="s">
        <v>8891</v>
      </c>
      <c r="E187" s="3" t="s">
        <v>1886</v>
      </c>
    </row>
    <row r="188">
      <c r="A188" s="3" t="s">
        <v>9520</v>
      </c>
      <c r="B188" s="4" t="str">
        <f>C188 &amp; " -&gt; " &amp; D188</f>
        <v>publisher-content-gate -&gt; comms-sms-limits</v>
      </c>
      <c r="C188" s="3" t="s">
        <v>8871</v>
      </c>
      <c r="D188" s="3" t="s">
        <v>8724</v>
      </c>
      <c r="E188" s="3" t="s">
        <v>1886</v>
      </c>
    </row>
    <row r="189">
      <c r="A189" s="3" t="s">
        <v>9521</v>
      </c>
      <c r="B189" s="4" t="str">
        <f>C189 &amp; " -&gt; " &amp; D189</f>
        <v>publisher-content-gate -&gt; comms-optout</v>
      </c>
      <c r="C189" s="3" t="s">
        <v>8871</v>
      </c>
      <c r="D189" s="3" t="s">
        <v>8720</v>
      </c>
      <c r="E189" s="3" t="s">
        <v>1886</v>
      </c>
    </row>
    <row r="190">
      <c r="A190" s="3" t="s">
        <v>9522</v>
      </c>
      <c r="B190" s="4" t="str">
        <f>C190 &amp; " -&gt; " &amp; D190</f>
        <v>publisher-authorization-gate -&gt; comms-approval-authority</v>
      </c>
      <c r="C190" s="3" t="s">
        <v>8876</v>
      </c>
      <c r="D190" s="3" t="s">
        <v>8706</v>
      </c>
      <c r="E190" s="3" t="s">
        <v>1886</v>
      </c>
    </row>
    <row r="191">
      <c r="A191" s="3" t="s">
        <v>9523</v>
      </c>
      <c r="B191" s="4" t="str">
        <f>C191 &amp; " -&gt; " &amp; D191</f>
        <v>publisher-authorization-gate -&gt; policy-agent-approval-chain</v>
      </c>
      <c r="C191" s="3" t="s">
        <v>8876</v>
      </c>
      <c r="D191" s="3" t="s">
        <v>8846</v>
      </c>
      <c r="E191" s="3" t="s">
        <v>1886</v>
      </c>
    </row>
    <row r="192">
      <c r="A192" s="3" t="s">
        <v>9524</v>
      </c>
      <c r="B192" s="4" t="str">
        <f>C192 &amp; " -&gt; " &amp; D192</f>
        <v>publisher-refusals -&gt; publisher-refusal-artifacts</v>
      </c>
      <c r="C192" s="3" t="s">
        <v>8881</v>
      </c>
      <c r="D192" s="3" t="s">
        <v>8886</v>
      </c>
      <c r="E192" s="3" t="s">
        <v>1886</v>
      </c>
    </row>
    <row r="193">
      <c r="A193" s="3" t="s">
        <v>9525</v>
      </c>
      <c r="B193" s="4" t="str">
        <f>C193 &amp; " -&gt; " &amp; D193</f>
        <v>publisher-refusals -&gt; comms-suppression</v>
      </c>
      <c r="C193" s="3" t="s">
        <v>8881</v>
      </c>
      <c r="D193" s="3" t="s">
        <v>8733</v>
      </c>
      <c r="E193" s="3" t="s">
        <v>1886</v>
      </c>
    </row>
    <row r="194">
      <c r="A194" s="3" t="s">
        <v>9526</v>
      </c>
      <c r="B194" s="4" t="str">
        <f>C194 &amp; " -&gt; " &amp; D194</f>
        <v>publisher-refusals -&gt; shared-exception-detail</v>
      </c>
      <c r="C194" s="3" t="s">
        <v>8881</v>
      </c>
      <c r="D194" s="3" t="s">
        <v>9039</v>
      </c>
      <c r="E194" s="3" t="s">
        <v>1886</v>
      </c>
    </row>
    <row r="195">
      <c r="A195" s="3" t="s">
        <v>9527</v>
      </c>
      <c r="B195" s="4" t="str">
        <f>C195 &amp; " -&gt; " &amp; D195</f>
        <v>publisher-refusal-artifacts -&gt; publisher-refusals</v>
      </c>
      <c r="C195" s="3" t="s">
        <v>8886</v>
      </c>
      <c r="D195" s="3" t="s">
        <v>8881</v>
      </c>
      <c r="E195" s="3" t="s">
        <v>1886</v>
      </c>
    </row>
    <row r="196">
      <c r="A196" s="3" t="s">
        <v>9528</v>
      </c>
      <c r="B196" s="4" t="str">
        <f>C196 &amp; " -&gt; " &amp; D196</f>
        <v>publisher-refusal-artifacts -&gt; comms-suppression</v>
      </c>
      <c r="C196" s="3" t="s">
        <v>8886</v>
      </c>
      <c r="D196" s="3" t="s">
        <v>8733</v>
      </c>
      <c r="E196" s="3" t="s">
        <v>1886</v>
      </c>
    </row>
    <row r="197">
      <c r="A197" s="3" t="s">
        <v>9529</v>
      </c>
      <c r="B197" s="4" t="str">
        <f>C197 &amp; " -&gt; " &amp; D197</f>
        <v>publisher-deferred -&gt; publisher-timing-gate</v>
      </c>
      <c r="C197" s="3" t="s">
        <v>8891</v>
      </c>
      <c r="D197" s="3" t="s">
        <v>8866</v>
      </c>
      <c r="E197" s="3" t="s">
        <v>1886</v>
      </c>
    </row>
    <row r="198">
      <c r="A198" s="3" t="s">
        <v>9530</v>
      </c>
      <c r="B198" s="4" t="str">
        <f>C198 &amp; " -&gt; " &amp; D198</f>
        <v>publisher-deferred -&gt; comms-suppression</v>
      </c>
      <c r="C198" s="3" t="s">
        <v>8891</v>
      </c>
      <c r="D198" s="3" t="s">
        <v>8733</v>
      </c>
      <c r="E198" s="3" t="s">
        <v>1886</v>
      </c>
    </row>
    <row r="199">
      <c r="A199" s="3" t="s">
        <v>9531</v>
      </c>
      <c r="B199" s="4" t="str">
        <f>C199 &amp; " -&gt; " &amp; D199</f>
        <v>publisher-obligations -&gt; comms-engagement</v>
      </c>
      <c r="C199" s="3" t="s">
        <v>8896</v>
      </c>
      <c r="D199" s="3" t="s">
        <v>8728</v>
      </c>
      <c r="E199" s="3" t="s">
        <v>1886</v>
      </c>
    </row>
    <row r="200">
      <c r="A200" s="3" t="s">
        <v>9532</v>
      </c>
      <c r="B200" s="4" t="str">
        <f>C200 &amp; " -&gt; " &amp; D200</f>
        <v>publisher-obligations -&gt; shared-delivery-detail</v>
      </c>
      <c r="C200" s="3" t="s">
        <v>8896</v>
      </c>
      <c r="D200" s="3" t="s">
        <v>9053</v>
      </c>
      <c r="E200" s="3" t="s">
        <v>1886</v>
      </c>
    </row>
    <row r="201">
      <c r="A201" s="3" t="s">
        <v>9533</v>
      </c>
      <c r="B201" s="4" t="str">
        <f>C201 &amp; " -&gt; " &amp; D201</f>
        <v>publisher-my-authorization -&gt; shared-role-assignment-detail</v>
      </c>
      <c r="C201" s="3" t="s">
        <v>8901</v>
      </c>
      <c r="D201" s="3" t="s">
        <v>9043</v>
      </c>
      <c r="E201" s="3" t="s">
        <v>1886</v>
      </c>
    </row>
    <row r="202">
      <c r="A202" s="3" t="s">
        <v>9534</v>
      </c>
      <c r="B202" s="4" t="str">
        <f>C202 &amp; " -&gt; " &amp; D202</f>
        <v>publisher-my-authorization -&gt; variance-authority</v>
      </c>
      <c r="C202" s="3" t="s">
        <v>8901</v>
      </c>
      <c r="D202" s="3" t="s">
        <v>8777</v>
      </c>
      <c r="E202" s="3" t="s">
        <v>1886</v>
      </c>
    </row>
    <row r="203">
      <c r="A203" s="3" t="s">
        <v>9535</v>
      </c>
      <c r="B203" s="4" t="str">
        <f>C203 &amp; " -&gt; " &amp; D203</f>
        <v>publisher-sole-witness -&gt; cfo-witness-chain</v>
      </c>
      <c r="C203" s="3" t="s">
        <v>8906</v>
      </c>
      <c r="D203" s="3" t="s">
        <v>8479</v>
      </c>
      <c r="E203" s="3" t="s">
        <v>1886</v>
      </c>
    </row>
    <row r="204">
      <c r="A204" s="3" t="s">
        <v>9536</v>
      </c>
      <c r="B204" s="4" t="str">
        <f>C204 &amp; " -&gt; " &amp; D204</f>
        <v>publisher-sole-witness -&gt; controller-asserted-controls</v>
      </c>
      <c r="C204" s="3" t="s">
        <v>8906</v>
      </c>
      <c r="D204" s="3" t="s">
        <v>8553</v>
      </c>
      <c r="E204" s="3" t="s">
        <v>1886</v>
      </c>
    </row>
    <row r="205">
      <c r="A205" s="3" t="s">
        <v>9537</v>
      </c>
      <c r="B205" s="4" t="str">
        <f>C205 &amp; " -&gt; " &amp; D205</f>
        <v>steward-home -&gt; steward-cadence</v>
      </c>
      <c r="C205" s="3" t="s">
        <v>8911</v>
      </c>
      <c r="D205" s="3" t="s">
        <v>8916</v>
      </c>
      <c r="E205" s="3" t="s">
        <v>1886</v>
      </c>
    </row>
    <row r="206">
      <c r="A206" s="3" t="s">
        <v>9538</v>
      </c>
      <c r="B206" s="4" t="str">
        <f>C206 &amp; " -&gt; " &amp; D206</f>
        <v>steward-home -&gt; steward-open-gaps</v>
      </c>
      <c r="C206" s="3" t="s">
        <v>8911</v>
      </c>
      <c r="D206" s="3" t="s">
        <v>8926</v>
      </c>
      <c r="E206" s="3" t="s">
        <v>1886</v>
      </c>
    </row>
    <row r="207">
      <c r="A207" s="3" t="s">
        <v>9539</v>
      </c>
      <c r="B207" s="4" t="str">
        <f>C207 &amp; " -&gt; " &amp; D207</f>
        <v>steward-home -&gt; steward-orphans</v>
      </c>
      <c r="C207" s="3" t="s">
        <v>8911</v>
      </c>
      <c r="D207" s="3" t="s">
        <v>8940</v>
      </c>
      <c r="E207" s="3" t="s">
        <v>1886</v>
      </c>
    </row>
    <row r="208">
      <c r="A208" s="3" t="s">
        <v>9540</v>
      </c>
      <c r="B208" s="4" t="str">
        <f>C208 &amp; " -&gt; " &amp; D208</f>
        <v>steward-home -&gt; steward-fallbacks</v>
      </c>
      <c r="C208" s="3" t="s">
        <v>8911</v>
      </c>
      <c r="D208" s="3" t="s">
        <v>8950</v>
      </c>
      <c r="E208" s="3" t="s">
        <v>1886</v>
      </c>
    </row>
    <row r="209">
      <c r="A209" s="3" t="s">
        <v>9541</v>
      </c>
      <c r="B209" s="4" t="str">
        <f>C209 &amp; " -&gt; " &amp; D209</f>
        <v>steward-cadence -&gt; steward-cadence-remediation</v>
      </c>
      <c r="C209" s="3" t="s">
        <v>8916</v>
      </c>
      <c r="D209" s="3" t="s">
        <v>8921</v>
      </c>
      <c r="E209" s="3" t="s">
        <v>1886</v>
      </c>
    </row>
    <row r="210">
      <c r="A210" s="3" t="s">
        <v>9542</v>
      </c>
      <c r="B210" s="4" t="str">
        <f>C210 &amp; " -&gt; " &amp; D210</f>
        <v>steward-cadence -&gt; shared-review-event-detail</v>
      </c>
      <c r="C210" s="3" t="s">
        <v>8916</v>
      </c>
      <c r="D210" s="3" t="s">
        <v>9081</v>
      </c>
      <c r="E210" s="3" t="s">
        <v>1886</v>
      </c>
    </row>
    <row r="211">
      <c r="A211" s="3" t="s">
        <v>9543</v>
      </c>
      <c r="B211" s="4" t="str">
        <f>C211 &amp; " -&gt; " &amp; D211</f>
        <v>steward-cadence-remediation -&gt; steward-cadence</v>
      </c>
      <c r="C211" s="3" t="s">
        <v>8921</v>
      </c>
      <c r="D211" s="3" t="s">
        <v>8916</v>
      </c>
      <c r="E211" s="3" t="s">
        <v>1886</v>
      </c>
    </row>
    <row r="212">
      <c r="A212" s="3" t="s">
        <v>9544</v>
      </c>
      <c r="B212" s="4" t="str">
        <f>C212 &amp; " -&gt; " &amp; D212</f>
        <v>steward-cadence-remediation -&gt; shared-change-request-detail</v>
      </c>
      <c r="C212" s="3" t="s">
        <v>8921</v>
      </c>
      <c r="D212" s="3" t="s">
        <v>9034</v>
      </c>
      <c r="E212" s="3" t="s">
        <v>1886</v>
      </c>
    </row>
    <row r="213">
      <c r="A213" s="3" t="s">
        <v>9545</v>
      </c>
      <c r="B213" s="4" t="str">
        <f>C213 &amp; " -&gt; " &amp; D213</f>
        <v>steward-open-gaps -&gt; hr-backlog-downstream</v>
      </c>
      <c r="C213" s="3" t="s">
        <v>8926</v>
      </c>
      <c r="D213" s="3" t="s">
        <v>8636</v>
      </c>
      <c r="E213" s="3" t="s">
        <v>1886</v>
      </c>
    </row>
    <row r="214">
      <c r="A214" s="3" t="s">
        <v>9546</v>
      </c>
      <c r="B214" s="4" t="str">
        <f>C214 &amp; " -&gt; " &amp; D214</f>
        <v>steward-open-gaps -&gt; shared-knowledge-gap-detail</v>
      </c>
      <c r="C214" s="3" t="s">
        <v>8926</v>
      </c>
      <c r="D214" s="3" t="s">
        <v>9071</v>
      </c>
      <c r="E214" s="3" t="s">
        <v>1886</v>
      </c>
    </row>
    <row r="215">
      <c r="A215" s="3" t="s">
        <v>9547</v>
      </c>
      <c r="B215" s="4" t="str">
        <f>C215 &amp; " -&gt; " &amp; D215</f>
        <v>steward-stalled-changes -&gt; hr-backlog</v>
      </c>
      <c r="C215" s="3" t="s">
        <v>8930</v>
      </c>
      <c r="D215" s="3" t="s">
        <v>8631</v>
      </c>
      <c r="E215" s="3" t="s">
        <v>1886</v>
      </c>
    </row>
    <row r="216">
      <c r="A216" s="3" t="s">
        <v>9548</v>
      </c>
      <c r="B216" s="4" t="str">
        <f>C216 &amp; " -&gt; " &amp; D216</f>
        <v>steward-stalled-changes -&gt; shared-change-request-detail</v>
      </c>
      <c r="C216" s="3" t="s">
        <v>8930</v>
      </c>
      <c r="D216" s="3" t="s">
        <v>9034</v>
      </c>
      <c r="E216" s="3" t="s">
        <v>1886</v>
      </c>
    </row>
    <row r="217">
      <c r="A217" s="3" t="s">
        <v>9549</v>
      </c>
      <c r="B217" s="4" t="str">
        <f>C217 &amp; " -&gt; " &amp; D217</f>
        <v>steward-approved-never-lands -&gt; hr-my-decisions</v>
      </c>
      <c r="C217" s="3" t="s">
        <v>8935</v>
      </c>
      <c r="D217" s="3" t="s">
        <v>8641</v>
      </c>
      <c r="E217" s="3" t="s">
        <v>1886</v>
      </c>
    </row>
    <row r="218">
      <c r="A218" s="3" t="s">
        <v>9550</v>
      </c>
      <c r="B218" s="4" t="str">
        <f>C218 &amp; " -&gt; " &amp; D218</f>
        <v>steward-approved-never-lands -&gt; cfo-blockers</v>
      </c>
      <c r="C218" s="3" t="s">
        <v>8935</v>
      </c>
      <c r="D218" s="3" t="s">
        <v>8458</v>
      </c>
      <c r="E218" s="3" t="s">
        <v>1886</v>
      </c>
    </row>
    <row r="219">
      <c r="A219" s="3" t="s">
        <v>9551</v>
      </c>
      <c r="B219" s="4" t="str">
        <f>C219 &amp; " -&gt; " &amp; D219</f>
        <v>steward-orphans -&gt; steward-archived-still-referenced</v>
      </c>
      <c r="C219" s="3" t="s">
        <v>8940</v>
      </c>
      <c r="D219" s="3" t="s">
        <v>8945</v>
      </c>
      <c r="E219" s="3" t="s">
        <v>1886</v>
      </c>
    </row>
    <row r="220">
      <c r="A220" s="3" t="s">
        <v>9552</v>
      </c>
      <c r="B220" s="4" t="str">
        <f>C220 &amp; " -&gt; " &amp; D220</f>
        <v>steward-orphans -&gt; shared-procedure-version-detail</v>
      </c>
      <c r="C220" s="3" t="s">
        <v>8940</v>
      </c>
      <c r="D220" s="3" t="s">
        <v>9066</v>
      </c>
      <c r="E220" s="3" t="s">
        <v>1886</v>
      </c>
    </row>
    <row r="221">
      <c r="A221" s="3" t="s">
        <v>9553</v>
      </c>
      <c r="B221" s="4" t="str">
        <f>C221 &amp; " -&gt; " &amp; D221</f>
        <v>steward-archived-still-referenced -&gt; steward-orphans</v>
      </c>
      <c r="C221" s="3" t="s">
        <v>8945</v>
      </c>
      <c r="D221" s="3" t="s">
        <v>8940</v>
      </c>
      <c r="E221" s="3" t="s">
        <v>1886</v>
      </c>
    </row>
    <row r="222">
      <c r="A222" s="3" t="s">
        <v>9554</v>
      </c>
      <c r="B222" s="4" t="str">
        <f>C222 &amp; " -&gt; " &amp; D222</f>
        <v>steward-archived-still-referenced -&gt; shared-procedure-version-detail</v>
      </c>
      <c r="C222" s="3" t="s">
        <v>8945</v>
      </c>
      <c r="D222" s="3" t="s">
        <v>9066</v>
      </c>
      <c r="E222" s="3" t="s">
        <v>1886</v>
      </c>
    </row>
    <row r="223">
      <c r="A223" s="3" t="s">
        <v>9555</v>
      </c>
      <c r="B223" s="4" t="str">
        <f>C223 &amp; " -&gt; " &amp; D223</f>
        <v>steward-fallbacks -&gt; steward-fallback-criticality</v>
      </c>
      <c r="C223" s="3" t="s">
        <v>8950</v>
      </c>
      <c r="D223" s="3" t="s">
        <v>8955</v>
      </c>
      <c r="E223" s="3" t="s">
        <v>1886</v>
      </c>
    </row>
    <row r="224">
      <c r="A224" s="3" t="s">
        <v>9556</v>
      </c>
      <c r="B224" s="4" t="str">
        <f>C224 &amp; " -&gt; " &amp; D224</f>
        <v>steward-fallbacks -&gt; shared-transition-detail</v>
      </c>
      <c r="C224" s="3" t="s">
        <v>8950</v>
      </c>
      <c r="D224" s="3" t="s">
        <v>9091</v>
      </c>
      <c r="E224" s="3" t="s">
        <v>1886</v>
      </c>
    </row>
    <row r="225">
      <c r="A225" s="3" t="s">
        <v>9557</v>
      </c>
      <c r="B225" s="4" t="str">
        <f>C225 &amp; " -&gt; " &amp; D225</f>
        <v>steward-fallback-criticality -&gt; steward-fallbacks</v>
      </c>
      <c r="C225" s="3" t="s">
        <v>8955</v>
      </c>
      <c r="D225" s="3" t="s">
        <v>8950</v>
      </c>
      <c r="E225" s="3" t="s">
        <v>1886</v>
      </c>
    </row>
    <row r="226">
      <c r="A226" s="3" t="s">
        <v>9558</v>
      </c>
      <c r="B226" s="4" t="str">
        <f>C226 &amp; " -&gt; " &amp; D226</f>
        <v>steward-fallback-criticality -&gt; controller-home</v>
      </c>
      <c r="C226" s="3" t="s">
        <v>8955</v>
      </c>
      <c r="D226" s="3" t="s">
        <v>8515</v>
      </c>
      <c r="E226" s="3" t="s">
        <v>1886</v>
      </c>
    </row>
    <row r="227">
      <c r="A227" s="3" t="s">
        <v>9559</v>
      </c>
      <c r="B227" s="4" t="str">
        <f>C227 &amp; " -&gt; " &amp; D227</f>
        <v>steward-hardcoded-predicates -&gt; shared-field-provenance</v>
      </c>
      <c r="C227" s="3" t="s">
        <v>8960</v>
      </c>
      <c r="D227" s="3" t="s">
        <v>9106</v>
      </c>
      <c r="E227" s="3" t="s">
        <v>1886</v>
      </c>
    </row>
    <row r="228">
      <c r="A228" s="3" t="s">
        <v>9560</v>
      </c>
      <c r="B228" s="4" t="str">
        <f>C228 &amp; " -&gt; " &amp; D228</f>
        <v>steward-hardcoded-predicates -&gt; steward-home</v>
      </c>
      <c r="C228" s="3" t="s">
        <v>8960</v>
      </c>
      <c r="D228" s="3" t="s">
        <v>8911</v>
      </c>
      <c r="E228" s="3" t="s">
        <v>1886</v>
      </c>
    </row>
    <row r="229">
      <c r="A229" s="3" t="s">
        <v>9561</v>
      </c>
      <c r="B229" s="4" t="str">
        <f>C229 &amp; " -&gt; " &amp; D229</f>
        <v>authority-home -&gt; authority-fragment-decay</v>
      </c>
      <c r="C229" s="3" t="s">
        <v>8965</v>
      </c>
      <c r="D229" s="3" t="s">
        <v>8970</v>
      </c>
      <c r="E229" s="3" t="s">
        <v>1886</v>
      </c>
    </row>
    <row r="230">
      <c r="A230" s="3" t="s">
        <v>9562</v>
      </c>
      <c r="B230" s="4" t="str">
        <f>C230 &amp; " -&gt; " &amp; D230</f>
        <v>authority-home -&gt; authority-unapproved-live</v>
      </c>
      <c r="C230" s="3" t="s">
        <v>8965</v>
      </c>
      <c r="D230" s="3" t="s">
        <v>8975</v>
      </c>
      <c r="E230" s="3" t="s">
        <v>1886</v>
      </c>
    </row>
    <row r="231">
      <c r="A231" s="3" t="s">
        <v>9563</v>
      </c>
      <c r="B231" s="4" t="str">
        <f>C231 &amp; " -&gt; " &amp; D231</f>
        <v>authority-home -&gt; shared-knowledge-fragment-detail</v>
      </c>
      <c r="C231" s="3" t="s">
        <v>8965</v>
      </c>
      <c r="D231" s="3" t="s">
        <v>9029</v>
      </c>
      <c r="E231" s="3" t="s">
        <v>1886</v>
      </c>
    </row>
    <row r="232">
      <c r="A232" s="3" t="s">
        <v>9564</v>
      </c>
      <c r="B232" s="4" t="str">
        <f>C232 &amp; " -&gt; " &amp; D232</f>
        <v>authority-fragment-decay -&gt; authority-home</v>
      </c>
      <c r="C232" s="3" t="s">
        <v>8970</v>
      </c>
      <c r="D232" s="3" t="s">
        <v>8965</v>
      </c>
      <c r="E232" s="3" t="s">
        <v>1886</v>
      </c>
    </row>
    <row r="233">
      <c r="A233" s="3" t="s">
        <v>9565</v>
      </c>
      <c r="B233" s="4" t="str">
        <f>C233 &amp; " -&gt; " &amp; D233</f>
        <v>authority-fragment-decay -&gt; variance-knowledge-currency</v>
      </c>
      <c r="C233" s="3" t="s">
        <v>8970</v>
      </c>
      <c r="D233" s="3" t="s">
        <v>8801</v>
      </c>
      <c r="E233" s="3" t="s">
        <v>1886</v>
      </c>
    </row>
    <row r="234">
      <c r="A234" s="3" t="s">
        <v>9566</v>
      </c>
      <c r="B234" s="4" t="str">
        <f>C234 &amp; " -&gt; " &amp; D234</f>
        <v>authority-unapproved-live -&gt; hr-load-bearing-claim</v>
      </c>
      <c r="C234" s="3" t="s">
        <v>8975</v>
      </c>
      <c r="D234" s="3" t="s">
        <v>8626</v>
      </c>
      <c r="E234" s="3" t="s">
        <v>1886</v>
      </c>
    </row>
    <row r="235">
      <c r="A235" s="3" t="s">
        <v>9567</v>
      </c>
      <c r="B235" s="4" t="str">
        <f>C235 &amp; " -&gt; " &amp; D235</f>
        <v>authority-unapproved-live -&gt; authority-machine-consumers</v>
      </c>
      <c r="C235" s="3" t="s">
        <v>8975</v>
      </c>
      <c r="D235" s="3" t="s">
        <v>8980</v>
      </c>
      <c r="E235" s="3" t="s">
        <v>1886</v>
      </c>
    </row>
    <row r="236">
      <c r="A236" s="3" t="s">
        <v>9568</v>
      </c>
      <c r="B236" s="4" t="str">
        <f>C236 &amp; " -&gt; " &amp; D236</f>
        <v>authority-machine-consumers -&gt; authority-unapproved-live</v>
      </c>
      <c r="C236" s="3" t="s">
        <v>8980</v>
      </c>
      <c r="D236" s="3" t="s">
        <v>8975</v>
      </c>
      <c r="E236" s="3" t="s">
        <v>1886</v>
      </c>
    </row>
    <row r="237">
      <c r="A237" s="3" t="s">
        <v>9569</v>
      </c>
      <c r="B237" s="4" t="str">
        <f>C237 &amp; " -&gt; " &amp; D237</f>
        <v>authority-machine-consumers -&gt; hr-ai-boundary</v>
      </c>
      <c r="C237" s="3" t="s">
        <v>8980</v>
      </c>
      <c r="D237" s="3" t="s">
        <v>8646</v>
      </c>
      <c r="E237" s="3" t="s">
        <v>1886</v>
      </c>
    </row>
    <row r="238">
      <c r="A238" s="3" t="s">
        <v>9570</v>
      </c>
      <c r="B238" s="4" t="str">
        <f>C238 &amp; " -&gt; " &amp; D238</f>
        <v>authority-expired-ratifier -&gt; variance-boundary-ratification</v>
      </c>
      <c r="C238" s="3" t="s">
        <v>8985</v>
      </c>
      <c r="D238" s="3" t="s">
        <v>8791</v>
      </c>
      <c r="E238" s="3" t="s">
        <v>1886</v>
      </c>
    </row>
    <row r="239">
      <c r="A239" s="3" t="s">
        <v>9571</v>
      </c>
      <c r="B239" s="4" t="str">
        <f>C239 &amp; " -&gt; " &amp; D239</f>
        <v>authority-expired-ratifier -&gt; shared-authority-boundary-detail</v>
      </c>
      <c r="C239" s="3" t="s">
        <v>8985</v>
      </c>
      <c r="D239" s="3" t="s">
        <v>9096</v>
      </c>
      <c r="E239" s="3" t="s">
        <v>1886</v>
      </c>
    </row>
    <row r="240">
      <c r="A240" s="3" t="s">
        <v>9572</v>
      </c>
      <c r="B240" s="4" t="str">
        <f>C240 &amp; " -&gt; " &amp; D240</f>
        <v>authority-orphaned-provenance -&gt; hr-departed-holders</v>
      </c>
      <c r="C240" s="3" t="s">
        <v>8990</v>
      </c>
      <c r="D240" s="3" t="s">
        <v>8656</v>
      </c>
      <c r="E240" s="3" t="s">
        <v>1886</v>
      </c>
    </row>
    <row r="241">
      <c r="A241" s="3" t="s">
        <v>9573</v>
      </c>
      <c r="B241" s="4" t="str">
        <f>C241 &amp; " -&gt; " &amp; D241</f>
        <v>authority-orphaned-provenance -&gt; authority-elicitation-monoculture</v>
      </c>
      <c r="C241" s="3" t="s">
        <v>8990</v>
      </c>
      <c r="D241" s="3" t="s">
        <v>9005</v>
      </c>
      <c r="E241" s="3" t="s">
        <v>1886</v>
      </c>
    </row>
    <row r="242">
      <c r="A242" s="3" t="s">
        <v>9574</v>
      </c>
      <c r="B242" s="4" t="str">
        <f>C242 &amp; " -&gt; " &amp; D242</f>
        <v>authority-unwitnessed-change -&gt; controller-home</v>
      </c>
      <c r="C242" s="3" t="s">
        <v>8995</v>
      </c>
      <c r="D242" s="3" t="s">
        <v>8515</v>
      </c>
      <c r="E242" s="3" t="s">
        <v>1886</v>
      </c>
    </row>
    <row r="243">
      <c r="A243" s="3" t="s">
        <v>9575</v>
      </c>
      <c r="B243" s="4" t="str">
        <f>C243 &amp; " -&gt; " &amp; D243</f>
        <v>authority-unwitnessed-change -&gt; shared-change-request-detail</v>
      </c>
      <c r="C243" s="3" t="s">
        <v>8995</v>
      </c>
      <c r="D243" s="3" t="s">
        <v>9034</v>
      </c>
      <c r="E243" s="3" t="s">
        <v>1886</v>
      </c>
    </row>
    <row r="244">
      <c r="A244" s="3" t="s">
        <v>9576</v>
      </c>
      <c r="B244" s="4" t="str">
        <f>C244 &amp; " -&gt; " &amp; D244</f>
        <v>authority-stale-elicitation -&gt; hr-knowledge-half-life</v>
      </c>
      <c r="C244" s="3" t="s">
        <v>9000</v>
      </c>
      <c r="D244" s="3" t="s">
        <v>8651</v>
      </c>
      <c r="E244" s="3" t="s">
        <v>1886</v>
      </c>
    </row>
    <row r="245">
      <c r="A245" s="3" t="s">
        <v>9577</v>
      </c>
      <c r="B245" s="4" t="str">
        <f>C245 &amp; " -&gt; " &amp; D245</f>
        <v>authority-stale-elicitation -&gt; shared-elicitation-detail</v>
      </c>
      <c r="C245" s="3" t="s">
        <v>9000</v>
      </c>
      <c r="D245" s="3" t="s">
        <v>9086</v>
      </c>
      <c r="E245" s="3" t="s">
        <v>1886</v>
      </c>
    </row>
    <row r="246">
      <c r="A246" s="3" t="s">
        <v>9578</v>
      </c>
      <c r="B246" s="4" t="str">
        <f>C246 &amp; " -&gt; " &amp; D246</f>
        <v>authority-elicitation-monoculture -&gt; authority-orphaned-provenance</v>
      </c>
      <c r="C246" s="3" t="s">
        <v>9005</v>
      </c>
      <c r="D246" s="3" t="s">
        <v>8990</v>
      </c>
      <c r="E246" s="3" t="s">
        <v>1886</v>
      </c>
    </row>
    <row r="247">
      <c r="A247" s="3" t="s">
        <v>9579</v>
      </c>
      <c r="B247" s="4" t="str">
        <f>C247 &amp; " -&gt; " &amp; D247</f>
        <v>authority-elicitation-monoculture -&gt; shared-elicitation-detail</v>
      </c>
      <c r="C247" s="3" t="s">
        <v>9005</v>
      </c>
      <c r="D247" s="3" t="s">
        <v>9086</v>
      </c>
      <c r="E247" s="3" t="s">
        <v>1886</v>
      </c>
    </row>
    <row r="248">
      <c r="A248" s="3" t="s">
        <v>9580</v>
      </c>
      <c r="B248" s="4" t="str">
        <f>C248 &amp; " -&gt; " &amp; D248</f>
        <v>authority-known-unknowns -&gt; steward-open-gaps</v>
      </c>
      <c r="C248" s="3" t="s">
        <v>9010</v>
      </c>
      <c r="D248" s="3" t="s">
        <v>8926</v>
      </c>
      <c r="E248" s="3" t="s">
        <v>1886</v>
      </c>
    </row>
    <row r="249">
      <c r="A249" s="3" t="s">
        <v>9581</v>
      </c>
      <c r="B249" s="4" t="str">
        <f>C249 &amp; " -&gt; " &amp; D249</f>
        <v>authority-known-unknowns -&gt; shared-knowledge-gap-detail</v>
      </c>
      <c r="C249" s="3" t="s">
        <v>9010</v>
      </c>
      <c r="D249" s="3" t="s">
        <v>9071</v>
      </c>
      <c r="E249" s="3" t="s">
        <v>1886</v>
      </c>
    </row>
    <row r="250">
      <c r="A250" s="3" t="s">
        <v>9582</v>
      </c>
      <c r="B250" s="4" t="str">
        <f>C250 &amp; " -&gt; " &amp; D250</f>
        <v>authority-review-date-inferred -&gt; shared-field-provenance</v>
      </c>
      <c r="C250" s="3" t="s">
        <v>9015</v>
      </c>
      <c r="D250" s="3" t="s">
        <v>9106</v>
      </c>
      <c r="E250" s="3" t="s">
        <v>1886</v>
      </c>
    </row>
    <row r="251">
      <c r="A251" s="3" t="s">
        <v>9583</v>
      </c>
      <c r="B251" s="4" t="str">
        <f>C251 &amp; " -&gt; " &amp; D251</f>
        <v>authority-review-date-inferred -&gt; authority-fragment-decay</v>
      </c>
      <c r="C251" s="3" t="s">
        <v>9015</v>
      </c>
      <c r="D251" s="3" t="s">
        <v>8970</v>
      </c>
      <c r="E251" s="3" t="s">
        <v>1886</v>
      </c>
    </row>
    <row r="252">
      <c r="A252" s="3" t="s">
        <v>9584</v>
      </c>
      <c r="B252" s="4" t="str">
        <f>C252 &amp; " -&gt; " &amp; D252</f>
        <v>shared-step-execution-detail -&gt; shared-requirement-detail</v>
      </c>
      <c r="C252" s="3" t="s">
        <v>9020</v>
      </c>
      <c r="D252" s="3" t="s">
        <v>9025</v>
      </c>
      <c r="E252" s="3" t="s">
        <v>1886</v>
      </c>
    </row>
    <row r="253">
      <c r="A253" s="3" t="s">
        <v>9585</v>
      </c>
      <c r="B253" s="4" t="str">
        <f>C253 &amp; " -&gt; " &amp; D253</f>
        <v>shared-step-execution-detail -&gt; shared-verification-outcomes</v>
      </c>
      <c r="C253" s="3" t="s">
        <v>9020</v>
      </c>
      <c r="D253" s="3" t="s">
        <v>9076</v>
      </c>
      <c r="E253" s="3" t="s">
        <v>1886</v>
      </c>
    </row>
    <row r="254">
      <c r="A254" s="3" t="s">
        <v>9586</v>
      </c>
      <c r="B254" s="4" t="str">
        <f>C254 &amp; " -&gt; " &amp; D254</f>
        <v>shared-requirement-detail -&gt; controller-witness-scope</v>
      </c>
      <c r="C254" s="3" t="s">
        <v>9025</v>
      </c>
      <c r="D254" s="3" t="s">
        <v>8525</v>
      </c>
      <c r="E254" s="3" t="s">
        <v>1886</v>
      </c>
    </row>
    <row r="255">
      <c r="A255" s="3" t="s">
        <v>9587</v>
      </c>
      <c r="B255" s="4" t="str">
        <f>C255 &amp; " -&gt; " &amp; D255</f>
        <v>shared-requirement-detail -&gt; shared-step-execution-detail</v>
      </c>
      <c r="C255" s="3" t="s">
        <v>9025</v>
      </c>
      <c r="D255" s="3" t="s">
        <v>9020</v>
      </c>
      <c r="E255" s="3" t="s">
        <v>1886</v>
      </c>
    </row>
    <row r="256">
      <c r="A256" s="3" t="s">
        <v>9588</v>
      </c>
      <c r="B256" s="4" t="str">
        <f>C256 &amp; " -&gt; " &amp; D256</f>
        <v>shared-knowledge-fragment-detail -&gt; authority-fragment-decay</v>
      </c>
      <c r="C256" s="3" t="s">
        <v>9029</v>
      </c>
      <c r="D256" s="3" t="s">
        <v>8970</v>
      </c>
      <c r="E256" s="3" t="s">
        <v>1886</v>
      </c>
    </row>
    <row r="257">
      <c r="A257" s="3" t="s">
        <v>9589</v>
      </c>
      <c r="B257" s="4" t="str">
        <f>C257 &amp; " -&gt; " &amp; D257</f>
        <v>shared-knowledge-fragment-detail -&gt; hr-load-bearing-claim</v>
      </c>
      <c r="C257" s="3" t="s">
        <v>9029</v>
      </c>
      <c r="D257" s="3" t="s">
        <v>8626</v>
      </c>
      <c r="E257" s="3" t="s">
        <v>1886</v>
      </c>
    </row>
    <row r="258">
      <c r="A258" s="3" t="s">
        <v>9590</v>
      </c>
      <c r="B258" s="4" t="str">
        <f>C258 &amp; " -&gt; " &amp; D258</f>
        <v>shared-change-request-detail -&gt; steward-stalled-changes</v>
      </c>
      <c r="C258" s="3" t="s">
        <v>9034</v>
      </c>
      <c r="D258" s="3" t="s">
        <v>8930</v>
      </c>
      <c r="E258" s="3" t="s">
        <v>1886</v>
      </c>
    </row>
    <row r="259">
      <c r="A259" s="3" t="s">
        <v>9591</v>
      </c>
      <c r="B259" s="4" t="str">
        <f>C259 &amp; " -&gt; " &amp; D259</f>
        <v>shared-change-request-detail -&gt; hr-backlog</v>
      </c>
      <c r="C259" s="3" t="s">
        <v>9034</v>
      </c>
      <c r="D259" s="3" t="s">
        <v>8631</v>
      </c>
      <c r="E259" s="3" t="s">
        <v>1886</v>
      </c>
    </row>
    <row r="260">
      <c r="A260" s="3" t="s">
        <v>9592</v>
      </c>
      <c r="B260" s="4" t="str">
        <f>C260 &amp; " -&gt; " &amp; D260</f>
        <v>shared-exception-detail -&gt; publisher-refusals</v>
      </c>
      <c r="C260" s="3" t="s">
        <v>9039</v>
      </c>
      <c r="D260" s="3" t="s">
        <v>8881</v>
      </c>
      <c r="E260" s="3" t="s">
        <v>1886</v>
      </c>
    </row>
    <row r="261">
      <c r="A261" s="3" t="s">
        <v>9593</v>
      </c>
      <c r="B261" s="4" t="str">
        <f>C261 &amp; " -&gt; " &amp; D261</f>
        <v>shared-exception-detail -&gt; analyst-late-steps</v>
      </c>
      <c r="C261" s="3" t="s">
        <v>9039</v>
      </c>
      <c r="D261" s="3" t="s">
        <v>8578</v>
      </c>
      <c r="E261" s="3" t="s">
        <v>1886</v>
      </c>
    </row>
    <row r="262">
      <c r="A262" s="3" t="s">
        <v>9594</v>
      </c>
      <c r="B262" s="4" t="str">
        <f>C262 &amp; " -&gt; " &amp; D262</f>
        <v>shared-role-assignment-detail -&gt; controller-authority-validity</v>
      </c>
      <c r="C262" s="3" t="s">
        <v>9043</v>
      </c>
      <c r="D262" s="3" t="s">
        <v>8545</v>
      </c>
      <c r="E262" s="3" t="s">
        <v>1886</v>
      </c>
    </row>
    <row r="263">
      <c r="A263" s="3" t="s">
        <v>9595</v>
      </c>
      <c r="B263" s="4" t="str">
        <f>C263 &amp; " -&gt; " &amp; D263</f>
        <v>shared-role-assignment-detail -&gt; variance-authority</v>
      </c>
      <c r="C263" s="3" t="s">
        <v>9043</v>
      </c>
      <c r="D263" s="3" t="s">
        <v>8777</v>
      </c>
      <c r="E263" s="3" t="s">
        <v>1886</v>
      </c>
    </row>
    <row r="264">
      <c r="A264" s="3" t="s">
        <v>9596</v>
      </c>
      <c r="B264" s="4" t="str">
        <f>C264 &amp; " -&gt; " &amp; D264</f>
        <v>shared-operational-binding-detail -&gt; analyst-source-freshness</v>
      </c>
      <c r="C264" s="3" t="s">
        <v>9048</v>
      </c>
      <c r="D264" s="3" t="s">
        <v>8592</v>
      </c>
      <c r="E264" s="3" t="s">
        <v>1886</v>
      </c>
    </row>
    <row r="265">
      <c r="A265" s="3" t="s">
        <v>9597</v>
      </c>
      <c r="B265" s="4" t="str">
        <f>C265 &amp; " -&gt; " &amp; D265</f>
        <v>shared-operational-binding-detail -&gt; close-auto-inputs</v>
      </c>
      <c r="C265" s="3" t="s">
        <v>9048</v>
      </c>
      <c r="D265" s="3" t="s">
        <v>8753</v>
      </c>
      <c r="E265" s="3" t="s">
        <v>1886</v>
      </c>
    </row>
    <row r="266">
      <c r="A266" s="3" t="s">
        <v>9598</v>
      </c>
      <c r="B266" s="4" t="str">
        <f>C266 &amp; " -&gt; " &amp; D266</f>
        <v>shared-delivery-detail -&gt; comms-yield</v>
      </c>
      <c r="C266" s="3" t="s">
        <v>9053</v>
      </c>
      <c r="D266" s="3" t="s">
        <v>8696</v>
      </c>
      <c r="E266" s="3" t="s">
        <v>1886</v>
      </c>
    </row>
    <row r="267">
      <c r="A267" s="3" t="s">
        <v>9599</v>
      </c>
      <c r="B267" s="4" t="str">
        <f>C267 &amp; " -&gt; " &amp; D267</f>
        <v>shared-delivery-detail -&gt; comms-frozen-approval</v>
      </c>
      <c r="C267" s="3" t="s">
        <v>9053</v>
      </c>
      <c r="D267" s="3" t="s">
        <v>8715</v>
      </c>
      <c r="E267" s="3" t="s">
        <v>1886</v>
      </c>
    </row>
    <row r="268">
      <c r="A268" s="3" t="s">
        <v>9600</v>
      </c>
      <c r="B268" s="4" t="str">
        <f>C268 &amp; " -&gt; " &amp; D268</f>
        <v>shared-recipient-detail -&gt; comms-suppression</v>
      </c>
      <c r="C268" s="3" t="s">
        <v>9057</v>
      </c>
      <c r="D268" s="3" t="s">
        <v>8733</v>
      </c>
      <c r="E268" s="3" t="s">
        <v>1886</v>
      </c>
    </row>
    <row r="269">
      <c r="A269" s="3" t="s">
        <v>9601</v>
      </c>
      <c r="B269" s="4" t="str">
        <f>C269 &amp; " -&gt; " &amp; D269</f>
        <v>shared-recipient-detail -&gt; counsel-consent</v>
      </c>
      <c r="C269" s="3" t="s">
        <v>9057</v>
      </c>
      <c r="D269" s="3" t="s">
        <v>8671</v>
      </c>
      <c r="E269" s="3" t="s">
        <v>1886</v>
      </c>
    </row>
    <row r="270">
      <c r="A270" s="3" t="s">
        <v>9602</v>
      </c>
      <c r="B270" s="4" t="str">
        <f>C270 &amp; " -&gt; " &amp; D270</f>
        <v>shared-template-detail -&gt; comms-template-drift</v>
      </c>
      <c r="C270" s="3" t="s">
        <v>9061</v>
      </c>
      <c r="D270" s="3" t="s">
        <v>8711</v>
      </c>
      <c r="E270" s="3" t="s">
        <v>1886</v>
      </c>
    </row>
    <row r="271">
      <c r="A271" s="3" t="s">
        <v>9603</v>
      </c>
      <c r="B271" s="4" t="str">
        <f>C271 &amp; " -&gt; " &amp; D271</f>
        <v>shared-template-detail -&gt; comms-approval-authority</v>
      </c>
      <c r="C271" s="3" t="s">
        <v>9061</v>
      </c>
      <c r="D271" s="3" t="s">
        <v>8706</v>
      </c>
      <c r="E271" s="3" t="s">
        <v>1886</v>
      </c>
    </row>
    <row r="272">
      <c r="A272" s="3" t="s">
        <v>9604</v>
      </c>
      <c r="B272" s="4" t="str">
        <f>C272 &amp; " -&gt; " &amp; D272</f>
        <v>shared-procedure-version-detail -&gt; steward-orphans</v>
      </c>
      <c r="C272" s="3" t="s">
        <v>9066</v>
      </c>
      <c r="D272" s="3" t="s">
        <v>8940</v>
      </c>
      <c r="E272" s="3" t="s">
        <v>1886</v>
      </c>
    </row>
    <row r="273">
      <c r="A273" s="3" t="s">
        <v>9605</v>
      </c>
      <c r="B273" s="4" t="str">
        <f>C273 &amp; " -&gt; " &amp; D273</f>
        <v>shared-procedure-version-detail -&gt; controller-conformance</v>
      </c>
      <c r="C273" s="3" t="s">
        <v>9066</v>
      </c>
      <c r="D273" s="3" t="s">
        <v>8535</v>
      </c>
      <c r="E273" s="3" t="s">
        <v>1886</v>
      </c>
    </row>
    <row r="274">
      <c r="A274" s="3" t="s">
        <v>9606</v>
      </c>
      <c r="B274" s="4" t="str">
        <f>C274 &amp; " -&gt; " &amp; D274</f>
        <v>shared-knowledge-gap-detail -&gt; steward-open-gaps</v>
      </c>
      <c r="C274" s="3" t="s">
        <v>9071</v>
      </c>
      <c r="D274" s="3" t="s">
        <v>8926</v>
      </c>
      <c r="E274" s="3" t="s">
        <v>1886</v>
      </c>
    </row>
    <row r="275">
      <c r="A275" s="3" t="s">
        <v>9607</v>
      </c>
      <c r="B275" s="4" t="str">
        <f>C275 &amp; " -&gt; " &amp; D275</f>
        <v>shared-knowledge-gap-detail -&gt; authority-known-unknowns</v>
      </c>
      <c r="C275" s="3" t="s">
        <v>9071</v>
      </c>
      <c r="D275" s="3" t="s">
        <v>9010</v>
      </c>
      <c r="E275" s="3" t="s">
        <v>1886</v>
      </c>
    </row>
    <row r="276">
      <c r="A276" s="3" t="s">
        <v>9608</v>
      </c>
      <c r="B276" s="4" t="str">
        <f>C276 &amp; " -&gt; " &amp; D276</f>
        <v>shared-verification-outcomes -&gt; cfo-witness-chain</v>
      </c>
      <c r="C276" s="3" t="s">
        <v>9076</v>
      </c>
      <c r="D276" s="3" t="s">
        <v>8479</v>
      </c>
      <c r="E276" s="3" t="s">
        <v>1886</v>
      </c>
    </row>
    <row r="277">
      <c r="A277" s="3" t="s">
        <v>9609</v>
      </c>
      <c r="B277" s="4" t="str">
        <f>C277 &amp; " -&gt; " &amp; D277</f>
        <v>shared-verification-outcomes -&gt; analyst-verification-performed</v>
      </c>
      <c r="C277" s="3" t="s">
        <v>9076</v>
      </c>
      <c r="D277" s="3" t="s">
        <v>8583</v>
      </c>
      <c r="E277" s="3" t="s">
        <v>1886</v>
      </c>
    </row>
    <row r="278">
      <c r="A278" s="3" t="s">
        <v>9610</v>
      </c>
      <c r="B278" s="4" t="str">
        <f>C278 &amp; " -&gt; " &amp; D278</f>
        <v>shared-review-event-detail -&gt; steward-cadence</v>
      </c>
      <c r="C278" s="3" t="s">
        <v>9081</v>
      </c>
      <c r="D278" s="3" t="s">
        <v>8916</v>
      </c>
      <c r="E278" s="3" t="s">
        <v>1886</v>
      </c>
    </row>
    <row r="279">
      <c r="A279" s="3" t="s">
        <v>9611</v>
      </c>
      <c r="B279" s="4" t="str">
        <f>C279 &amp; " -&gt; " &amp; D279</f>
        <v>shared-review-event-detail -&gt; counsel-legal-review</v>
      </c>
      <c r="C279" s="3" t="s">
        <v>9081</v>
      </c>
      <c r="D279" s="3" t="s">
        <v>8679</v>
      </c>
      <c r="E279" s="3" t="s">
        <v>1886</v>
      </c>
    </row>
    <row r="280">
      <c r="A280" s="3" t="s">
        <v>9612</v>
      </c>
      <c r="B280" s="4" t="str">
        <f>C280 &amp; " -&gt; " &amp; D280</f>
        <v>shared-elicitation-detail -&gt; authority-elicitation-monoculture</v>
      </c>
      <c r="C280" s="3" t="s">
        <v>9086</v>
      </c>
      <c r="D280" s="3" t="s">
        <v>9005</v>
      </c>
      <c r="E280" s="3" t="s">
        <v>1886</v>
      </c>
    </row>
    <row r="281">
      <c r="A281" s="3" t="s">
        <v>9613</v>
      </c>
      <c r="B281" s="4" t="str">
        <f>C281 &amp; " -&gt; " &amp; D281</f>
        <v>shared-elicitation-detail -&gt; authority-stale-elicitation</v>
      </c>
      <c r="C281" s="3" t="s">
        <v>9086</v>
      </c>
      <c r="D281" s="3" t="s">
        <v>9000</v>
      </c>
      <c r="E281" s="3" t="s">
        <v>1886</v>
      </c>
    </row>
    <row r="282">
      <c r="A282" s="3" t="s">
        <v>9614</v>
      </c>
      <c r="B282" s="4" t="str">
        <f>C282 &amp; " -&gt; " &amp; D282</f>
        <v>shared-transition-detail -&gt; steward-fallbacks</v>
      </c>
      <c r="C282" s="3" t="s">
        <v>9091</v>
      </c>
      <c r="D282" s="3" t="s">
        <v>8950</v>
      </c>
      <c r="E282" s="3" t="s">
        <v>1886</v>
      </c>
    </row>
    <row r="283">
      <c r="A283" s="3" t="s">
        <v>9615</v>
      </c>
      <c r="B283" s="4" t="str">
        <f>C283 &amp; " -&gt; " &amp; D283</f>
        <v>shared-transition-detail -&gt; shared-step-execution-detail</v>
      </c>
      <c r="C283" s="3" t="s">
        <v>9091</v>
      </c>
      <c r="D283" s="3" t="s">
        <v>9020</v>
      </c>
      <c r="E283" s="3" t="s">
        <v>1886</v>
      </c>
    </row>
    <row r="284">
      <c r="A284" s="3" t="s">
        <v>9616</v>
      </c>
      <c r="B284" s="4" t="str">
        <f>C284 &amp; " -&gt; " &amp; D284</f>
        <v>shared-authority-boundary-detail -&gt; authority-expired-ratifier</v>
      </c>
      <c r="C284" s="3" t="s">
        <v>9096</v>
      </c>
      <c r="D284" s="3" t="s">
        <v>8985</v>
      </c>
      <c r="E284" s="3" t="s">
        <v>1886</v>
      </c>
    </row>
    <row r="285">
      <c r="A285" s="3" t="s">
        <v>9617</v>
      </c>
      <c r="B285" s="4" t="str">
        <f>C285 &amp; " -&gt; " &amp; D285</f>
        <v>shared-authority-boundary-detail -&gt; variance-boundary</v>
      </c>
      <c r="C285" s="3" t="s">
        <v>9096</v>
      </c>
      <c r="D285" s="3" t="s">
        <v>8786</v>
      </c>
      <c r="E285" s="3" t="s">
        <v>1886</v>
      </c>
    </row>
    <row r="286">
      <c r="A286" s="3" t="s">
        <v>9618</v>
      </c>
      <c r="B286" s="4" t="str">
        <f>C286 &amp; " -&gt; " &amp; D286</f>
        <v>shared-evaluation-context -&gt; cfo-restatement</v>
      </c>
      <c r="C286" s="3" t="s">
        <v>9101</v>
      </c>
      <c r="D286" s="3" t="s">
        <v>8504</v>
      </c>
      <c r="E286" s="3" t="s">
        <v>1886</v>
      </c>
    </row>
    <row r="287">
      <c r="A287" s="3" t="s">
        <v>9619</v>
      </c>
      <c r="B287" s="4" t="str">
        <f>C287 &amp; " -&gt; " &amp; D287</f>
        <v>shared-evaluation-context -&gt; analyst-stale-then-vs-now</v>
      </c>
      <c r="C287" s="3" t="s">
        <v>9101</v>
      </c>
      <c r="D287" s="3" t="s">
        <v>8596</v>
      </c>
      <c r="E287" s="3" t="s">
        <v>1886</v>
      </c>
    </row>
    <row r="288">
      <c r="A288" s="3" t="s">
        <v>9620</v>
      </c>
      <c r="B288" s="4" t="str">
        <f>C288 &amp; " -&gt; " &amp; D288</f>
        <v>shared-field-provenance -&gt; steward-hardcoded-predicates</v>
      </c>
      <c r="C288" s="3" t="s">
        <v>9106</v>
      </c>
      <c r="D288" s="3" t="s">
        <v>8960</v>
      </c>
      <c r="E288" s="3" t="s">
        <v>1886</v>
      </c>
    </row>
    <row r="289">
      <c r="A289" s="3" t="s">
        <v>9621</v>
      </c>
      <c r="B289" s="4" t="str">
        <f>C289 &amp; " -&gt; " &amp; D289</f>
        <v>shared-field-provenance -&gt; authority-review-date-inferred</v>
      </c>
      <c r="C289" s="3" t="s">
        <v>9106</v>
      </c>
      <c r="D289" s="3" t="s">
        <v>9015</v>
      </c>
      <c r="E289" s="3" t="s">
        <v>1886</v>
      </c>
    </row>
    <row r="290">
      <c r="A290" s="3" t="s">
        <v>9622</v>
      </c>
      <c r="B290" s="4" t="str">
        <f>C290 &amp; " -&gt; " &amp; D290</f>
        <v>admin-board -&gt; admin-checks</v>
      </c>
      <c r="C290" s="3" t="s">
        <v>9117</v>
      </c>
      <c r="D290" s="3" t="s">
        <v>9123</v>
      </c>
      <c r="E290" s="3" t="s">
        <v>1886</v>
      </c>
    </row>
    <row r="291">
      <c r="A291" s="3" t="s">
        <v>9623</v>
      </c>
      <c r="B291" s="4" t="str">
        <f>C291 &amp; " -&gt; " &amp; D291</f>
        <v>admin-board -&gt; admin-witnesses</v>
      </c>
      <c r="C291" s="3" t="s">
        <v>9117</v>
      </c>
      <c r="D291" s="3" t="s">
        <v>9128</v>
      </c>
      <c r="E291" s="3" t="s">
        <v>1886</v>
      </c>
    </row>
    <row r="292">
      <c r="A292" s="3" t="s">
        <v>9624</v>
      </c>
      <c r="B292" s="4" t="str">
        <f>C292 &amp; " -&gt; " &amp; D292</f>
        <v>admin-checks -&gt; admin-board</v>
      </c>
      <c r="C292" s="3" t="s">
        <v>9123</v>
      </c>
      <c r="D292" s="3" t="s">
        <v>9117</v>
      </c>
      <c r="E292" s="3" t="s">
        <v>1886</v>
      </c>
    </row>
    <row r="293">
      <c r="A293" s="3" t="s">
        <v>9625</v>
      </c>
      <c r="B293" s="4" t="str">
        <f>C293 &amp; " -&gt; " &amp; D293</f>
        <v>admin-checks -&gt; admin-question-defence</v>
      </c>
      <c r="C293" s="3" t="s">
        <v>9123</v>
      </c>
      <c r="D293" s="3" t="s">
        <v>9143</v>
      </c>
      <c r="E293" s="3" t="s">
        <v>1886</v>
      </c>
    </row>
    <row r="294">
      <c r="A294" s="3" t="s">
        <v>9626</v>
      </c>
      <c r="B294" s="4" t="str">
        <f>C294 &amp; " -&gt; " &amp; D294</f>
        <v>admin-witnesses -&gt; admin-vacuous</v>
      </c>
      <c r="C294" s="3" t="s">
        <v>9128</v>
      </c>
      <c r="D294" s="3" t="s">
        <v>9133</v>
      </c>
      <c r="E294" s="3" t="s">
        <v>1886</v>
      </c>
    </row>
    <row r="295">
      <c r="A295" s="3" t="s">
        <v>9627</v>
      </c>
      <c r="B295" s="4" t="str">
        <f>C295 &amp; " -&gt; " &amp; D295</f>
        <v>admin-witnesses -&gt; shared-field-provenance</v>
      </c>
      <c r="C295" s="3" t="s">
        <v>9128</v>
      </c>
      <c r="D295" s="3" t="s">
        <v>9106</v>
      </c>
      <c r="E295" s="3" t="s">
        <v>1886</v>
      </c>
    </row>
    <row r="296">
      <c r="A296" s="3" t="s">
        <v>9628</v>
      </c>
      <c r="B296" s="4" t="str">
        <f>C296 &amp; " -&gt; " &amp; D296</f>
        <v>admin-vacuous -&gt; admin-witnesses</v>
      </c>
      <c r="C296" s="3" t="s">
        <v>9133</v>
      </c>
      <c r="D296" s="3" t="s">
        <v>9128</v>
      </c>
      <c r="E296" s="3" t="s">
        <v>1886</v>
      </c>
    </row>
    <row r="297">
      <c r="A297" s="3" t="s">
        <v>9629</v>
      </c>
      <c r="B297" s="4" t="str">
        <f>C297 &amp; " -&gt; " &amp; D297</f>
        <v>admin-vacuous -&gt; admin-loops</v>
      </c>
      <c r="C297" s="3" t="s">
        <v>9133</v>
      </c>
      <c r="D297" s="3" t="s">
        <v>9138</v>
      </c>
      <c r="E297" s="3" t="s">
        <v>1886</v>
      </c>
    </row>
    <row r="298">
      <c r="A298" s="3" t="s">
        <v>9630</v>
      </c>
      <c r="B298" s="4" t="str">
        <f>C298 &amp; " -&gt; " &amp; D298</f>
        <v>admin-loops -&gt; admin-question-defence</v>
      </c>
      <c r="C298" s="3" t="s">
        <v>9138</v>
      </c>
      <c r="D298" s="3" t="s">
        <v>9143</v>
      </c>
      <c r="E298" s="3" t="s">
        <v>1886</v>
      </c>
    </row>
    <row r="299">
      <c r="A299" s="3" t="s">
        <v>9631</v>
      </c>
      <c r="B299" s="4" t="str">
        <f>C299 &amp; " -&gt; " &amp; D299</f>
        <v>admin-loops -&gt; shared-field-provenance</v>
      </c>
      <c r="C299" s="3" t="s">
        <v>9138</v>
      </c>
      <c r="D299" s="3" t="s">
        <v>9106</v>
      </c>
      <c r="E299" s="3" t="s">
        <v>1886</v>
      </c>
    </row>
    <row r="300">
      <c r="A300" s="3" t="s">
        <v>9632</v>
      </c>
      <c r="B300" s="4" t="str">
        <f>C300 &amp; " -&gt; " &amp; D300</f>
        <v>admin-question-defence -&gt; admin-loops</v>
      </c>
      <c r="C300" s="3" t="s">
        <v>9143</v>
      </c>
      <c r="D300" s="3" t="s">
        <v>9138</v>
      </c>
      <c r="E300" s="3" t="s">
        <v>1886</v>
      </c>
    </row>
    <row r="301">
      <c r="A301" s="3" t="s">
        <v>9633</v>
      </c>
      <c r="B301" s="4" t="str">
        <f>C301 &amp; " -&gt; " &amp; D301</f>
        <v>admin-question-defence -&gt; admin-checks</v>
      </c>
      <c r="C301" s="3" t="s">
        <v>9143</v>
      </c>
      <c r="D301" s="3" t="s">
        <v>9123</v>
      </c>
      <c r="E301" s="3" t="s">
        <v>1886</v>
      </c>
    </row>
    <row r="302">
      <c r="A302" s="3" t="s">
        <v>9634</v>
      </c>
      <c r="B302" s="4" t="str">
        <f>C302 &amp; " -&gt; " &amp; D302</f>
        <v>admin-question-defence -&gt; admin-route-map</v>
      </c>
      <c r="C302" s="3" t="s">
        <v>9143</v>
      </c>
      <c r="D302" s="3" t="s">
        <v>9153</v>
      </c>
      <c r="E302" s="3" t="s">
        <v>1886</v>
      </c>
    </row>
    <row r="303">
      <c r="A303" s="3" t="s">
        <v>9635</v>
      </c>
      <c r="B303" s="4" t="str">
        <f>C303 &amp; " -&gt; " &amp; D303</f>
        <v>admin-provenance -&gt; shared-field-provenance</v>
      </c>
      <c r="C303" s="3" t="s">
        <v>9148</v>
      </c>
      <c r="D303" s="3" t="s">
        <v>9106</v>
      </c>
      <c r="E303" s="3" t="s">
        <v>1886</v>
      </c>
    </row>
    <row r="304">
      <c r="A304" s="3" t="s">
        <v>9636</v>
      </c>
      <c r="B304" s="4" t="str">
        <f>C304 &amp; " -&gt; " &amp; D304</f>
        <v>admin-provenance -&gt; admin-loops</v>
      </c>
      <c r="C304" s="3" t="s">
        <v>9148</v>
      </c>
      <c r="D304" s="3" t="s">
        <v>9138</v>
      </c>
      <c r="E304" s="3" t="s">
        <v>1886</v>
      </c>
    </row>
    <row r="305">
      <c r="A305" s="3" t="s">
        <v>9637</v>
      </c>
      <c r="B305" s="4" t="str">
        <f>C305 &amp; " -&gt; " &amp; D305</f>
        <v>admin-route-map -&gt; admin-question-defence</v>
      </c>
      <c r="C305" s="3" t="s">
        <v>9153</v>
      </c>
      <c r="D305" s="3" t="s">
        <v>9143</v>
      </c>
      <c r="E305" s="3" t="s">
        <v>1886</v>
      </c>
    </row>
    <row r="306">
      <c r="A306" s="3" t="s">
        <v>9638</v>
      </c>
      <c r="B306" s="4" t="str">
        <f>C306 &amp; " -&gt; " &amp; D306</f>
        <v>admin-route-map -&gt; explorer-tables</v>
      </c>
      <c r="C306" s="3" t="s">
        <v>9153</v>
      </c>
      <c r="D306" s="3" t="s">
        <v>9168</v>
      </c>
      <c r="E306" s="3" t="s">
        <v>1886</v>
      </c>
    </row>
    <row r="307">
      <c r="A307" s="3" t="s">
        <v>9639</v>
      </c>
      <c r="B307" s="4" t="str">
        <f>C307 &amp; " -&gt; " &amp; D307</f>
        <v>admin-catalog-drift -&gt; explorer-inferences</v>
      </c>
      <c r="C307" s="3" t="s">
        <v>9158</v>
      </c>
      <c r="D307" s="3" t="s">
        <v>9163</v>
      </c>
      <c r="E307" s="3" t="s">
        <v>1886</v>
      </c>
    </row>
    <row r="308">
      <c r="A308" s="3" t="s">
        <v>9640</v>
      </c>
      <c r="B308" s="4" t="str">
        <f>C308 &amp; " -&gt; " &amp; D308</f>
        <v>admin-catalog-drift -&gt; admin-board</v>
      </c>
      <c r="C308" s="3" t="s">
        <v>9158</v>
      </c>
      <c r="D308" s="3" t="s">
        <v>9117</v>
      </c>
      <c r="E308" s="3" t="s">
        <v>1886</v>
      </c>
    </row>
    <row r="309">
      <c r="A309" s="3" t="s">
        <v>9641</v>
      </c>
      <c r="B309" s="4" t="str">
        <f>C309 &amp; " -&gt; " &amp; D309</f>
        <v>explorer-inferences -&gt; explorer-tables</v>
      </c>
      <c r="C309" s="3" t="s">
        <v>9163</v>
      </c>
      <c r="D309" s="3" t="s">
        <v>9168</v>
      </c>
      <c r="E309" s="3" t="s">
        <v>1886</v>
      </c>
    </row>
    <row r="310">
      <c r="A310" s="3" t="s">
        <v>9642</v>
      </c>
      <c r="B310" s="4" t="str">
        <f>C310 &amp; " -&gt; " &amp; D310</f>
        <v>explorer-inferences -&gt; shared-field-provenance</v>
      </c>
      <c r="C310" s="3" t="s">
        <v>9163</v>
      </c>
      <c r="D310" s="3" t="s">
        <v>9106</v>
      </c>
      <c r="E310" s="3" t="s">
        <v>1886</v>
      </c>
    </row>
    <row r="311">
      <c r="A311" s="3" t="s">
        <v>9643</v>
      </c>
      <c r="B311" s="4" t="str">
        <f>C311 &amp; " -&gt; " &amp; D311</f>
        <v>explorer-tables -&gt; explorer-table-detail</v>
      </c>
      <c r="C311" s="3" t="s">
        <v>9168</v>
      </c>
      <c r="D311" s="3" t="s">
        <v>9173</v>
      </c>
      <c r="E311" s="3" t="s">
        <v>1886</v>
      </c>
    </row>
    <row r="312">
      <c r="A312" s="3" t="s">
        <v>9644</v>
      </c>
      <c r="B312" s="4" t="str">
        <f>C312 &amp; " -&gt; " &amp; D312</f>
        <v>explorer-tables -&gt; explorer-inferences</v>
      </c>
      <c r="C312" s="3" t="s">
        <v>9168</v>
      </c>
      <c r="D312" s="3" t="s">
        <v>9163</v>
      </c>
      <c r="E312" s="3" t="s">
        <v>1886</v>
      </c>
    </row>
    <row r="313">
      <c r="A313" s="3" t="s">
        <v>9645</v>
      </c>
      <c r="B313" s="4" t="str">
        <f>C313 &amp; " -&gt; " &amp; D313</f>
        <v>explorer-table-detail -&gt; explorer-record</v>
      </c>
      <c r="C313" s="3" t="s">
        <v>9173</v>
      </c>
      <c r="D313" s="3" t="s">
        <v>9178</v>
      </c>
      <c r="E313" s="3" t="s">
        <v>1886</v>
      </c>
    </row>
    <row r="314">
      <c r="A314" s="3" t="s">
        <v>9646</v>
      </c>
      <c r="B314" s="4" t="str">
        <f>C314 &amp; " -&gt; " &amp; D314</f>
        <v>explorer-table-detail -&gt; shared-field-provenance</v>
      </c>
      <c r="C314" s="3" t="s">
        <v>9173</v>
      </c>
      <c r="D314" s="3" t="s">
        <v>9106</v>
      </c>
      <c r="E314" s="3" t="s">
        <v>1886</v>
      </c>
    </row>
    <row r="315">
      <c r="A315" s="3" t="s">
        <v>9647</v>
      </c>
      <c r="B315" s="4" t="str">
        <f>C315 &amp; " -&gt; " &amp; D315</f>
        <v>explorer-record -&gt; explorer-table-detail</v>
      </c>
      <c r="C315" s="3" t="s">
        <v>9178</v>
      </c>
      <c r="D315" s="3" t="s">
        <v>9173</v>
      </c>
      <c r="E315" s="3" t="s">
        <v>1886</v>
      </c>
    </row>
    <row r="316">
      <c r="A316" s="3" t="s">
        <v>9648</v>
      </c>
      <c r="B316" s="4" t="str">
        <f>C316 &amp; " -&gt; " &amp; D316</f>
        <v>explorer-record -&gt; shared-field-provenance</v>
      </c>
      <c r="C316" s="3" t="s">
        <v>9178</v>
      </c>
      <c r="D316" s="3" t="s">
        <v>9106</v>
      </c>
      <c r="E316" s="3" t="s">
        <v>1886</v>
      </c>
    </row>
  </sheetData>
  <autoFilter ref="A1:E1"/>
  <headerFooter/>
  <legacyDrawing r:id="rId1"/>
</worksheet>
</file>

<file path=xl/worksheets/sheet7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93"/>
  <sheetViews>
    <sheetView workbookViewId="0">
      <pane ySplit="1" topLeftCell="A2" state="frozen" activePane="bottomLeft"/>
      <selection pane="bottomLeft" activeCell="A1" sqref="A1"/>
    </sheetView>
  </sheetViews>
  <sheetFormatPr defaultRowHeight="15"/>
  <cols>
    <col min="1" max="1" width="25.653127670288086" customWidth="1"/>
    <col min="2" max="2" width="25.653127670288086" customWidth="1"/>
    <col min="3" max="3" width="25.653127670288086" customWidth="1"/>
    <col min="4" max="4" width="26.150236129760742" customWidth="1"/>
    <col min="5" max="5" width="29.5650634765625" customWidth="1"/>
    <col min="6" max="6" width="17.443378448486328" customWidth="1"/>
    <col min="7" max="7" width="17.443378448486328" customWidth="1"/>
    <col min="8" max="8" width="17.443378448486328" customWidth="1"/>
    <col min="9" max="9" width="17.443378448486328" customWidth="1"/>
    <col min="10" max="10" width="17.443378448486328" customWidth="1"/>
    <col min="11" max="11" width="26.94477653503418" customWidth="1"/>
    <col min="12" max="12" width="42.608455657958984" customWidth="1"/>
  </cols>
  <sheetData>
    <row r="1">
      <c r="A1" s="2" t="s">
        <v>5353</v>
      </c>
      <c r="B1" s="2" t="s">
        <v>5355</v>
      </c>
      <c r="C1" s="2" t="s">
        <v>1</v>
      </c>
      <c r="D1" s="2" t="s">
        <v>5359</v>
      </c>
      <c r="E1" s="2" t="s">
        <v>5361</v>
      </c>
      <c r="F1" s="2" t="s">
        <v>5363</v>
      </c>
      <c r="G1" s="2" t="s">
        <v>5365</v>
      </c>
      <c r="H1" s="2" t="s">
        <v>5367</v>
      </c>
      <c r="I1" s="2" t="s">
        <v>5370</v>
      </c>
      <c r="J1" s="2" t="s">
        <v>5373</v>
      </c>
      <c r="K1" s="2" t="s">
        <v>2412</v>
      </c>
      <c r="L1" s="2" t="s">
        <v>94</v>
      </c>
    </row>
    <row r="2">
      <c r="A2" s="3" t="s">
        <v>5548</v>
      </c>
      <c r="B2" s="3" t="s">
        <v>5548</v>
      </c>
      <c r="C2" s="4" t="str">
        <f>B2</f>
        <v>AccessDenialTests</v>
      </c>
      <c r="D2" s="3"/>
      <c r="E2" s="3"/>
      <c r="F2" s="3" t="s">
        <v>9649</v>
      </c>
      <c r="G2" s="3" t="b">
        <v>1</v>
      </c>
      <c r="H2" s="4">
        <f>COUNTIFS(RulebookFields!C2:C1898, A2)</f>
        <v>18</v>
      </c>
      <c r="I2" s="4">
        <f>COUNTIFS(AccessPolicies!D2:D203, A2)</f>
        <v>0</v>
      </c>
      <c r="J2" s="4" t="b">
        <f>I2 = 0</f>
        <v>1</v>
      </c>
      <c r="K2" s="4">
        <f>COUNTIFS(TableConformance!O2:O624, A2)</f>
        <v>1</v>
      </c>
      <c r="L2" s="3" t="s">
        <v>9650</v>
      </c>
    </row>
    <row r="3">
      <c r="A3" s="3" t="s">
        <v>5412</v>
      </c>
      <c r="B3" s="3" t="s">
        <v>5412</v>
      </c>
      <c r="C3" s="4" t="str">
        <f>B3</f>
        <v>AccessPolicies</v>
      </c>
      <c r="D3" s="3"/>
      <c r="E3" s="3"/>
      <c r="F3" s="3" t="s">
        <v>9649</v>
      </c>
      <c r="G3" s="3" t="b">
        <v>1</v>
      </c>
      <c r="H3" s="4">
        <f>COUNTIFS(RulebookFields!C2:C1898, A3)</f>
        <v>16</v>
      </c>
      <c r="I3" s="4">
        <f>COUNTIFS(AccessPolicies!D2:D203, A3)</f>
        <v>0</v>
      </c>
      <c r="J3" s="4" t="b">
        <f>I3 = 0</f>
        <v>1</v>
      </c>
      <c r="K3" s="4">
        <f>COUNTIFS(TableConformance!O2:O624, A3)</f>
        <v>0</v>
      </c>
      <c r="L3" s="3" t="s">
        <v>9650</v>
      </c>
    </row>
    <row r="4">
      <c r="A4" s="3" t="s">
        <v>5379</v>
      </c>
      <c r="B4" s="3" t="s">
        <v>5379</v>
      </c>
      <c r="C4" s="4" t="str">
        <f>B4</f>
        <v>AccessPrincipals</v>
      </c>
      <c r="D4" s="3"/>
      <c r="E4" s="3"/>
      <c r="F4" s="3" t="s">
        <v>9649</v>
      </c>
      <c r="G4" s="3" t="b">
        <v>1</v>
      </c>
      <c r="H4" s="4">
        <f>COUNTIFS(RulebookFields!C2:C1898, A4)</f>
        <v>15</v>
      </c>
      <c r="I4" s="4">
        <f>COUNTIFS(AccessPolicies!D2:D203, A4)</f>
        <v>0</v>
      </c>
      <c r="J4" s="4" t="b">
        <f>I4 = 0</f>
        <v>1</v>
      </c>
      <c r="K4" s="4">
        <f>COUNTIFS(TableConformance!O2:O624, A4)</f>
        <v>0</v>
      </c>
      <c r="L4" s="3" t="s">
        <v>9650</v>
      </c>
    </row>
    <row r="5">
      <c r="A5" s="3" t="s">
        <v>1796</v>
      </c>
      <c r="B5" s="3" t="s">
        <v>1796</v>
      </c>
      <c r="C5" s="4" t="str">
        <f>B5</f>
        <v>Actions</v>
      </c>
      <c r="D5" s="3" t="s">
        <v>9651</v>
      </c>
      <c r="E5" s="3" t="s">
        <v>7077</v>
      </c>
      <c r="F5" s="3" t="s">
        <v>9652</v>
      </c>
      <c r="G5" s="3" t="b">
        <v>0</v>
      </c>
      <c r="H5" s="4">
        <f>COUNTIFS(RulebookFields!C2:C1898, A5)</f>
        <v>5</v>
      </c>
      <c r="I5" s="4">
        <f>COUNTIFS(AccessPolicies!D2:D203, A5)</f>
        <v>2</v>
      </c>
      <c r="J5" s="4" t="b">
        <f>I5 = 0</f>
        <v>0</v>
      </c>
      <c r="K5" s="4">
        <f>COUNTIFS(TableConformance!O2:O624, A5)</f>
        <v>0</v>
      </c>
      <c r="L5" s="3" t="s">
        <v>9650</v>
      </c>
    </row>
    <row r="6">
      <c r="A6" s="3" t="s">
        <v>4994</v>
      </c>
      <c r="B6" s="3" t="s">
        <v>4994</v>
      </c>
      <c r="C6" s="4" t="str">
        <f>B6</f>
        <v>AgentDecisionRecords</v>
      </c>
      <c r="D6" s="3" t="s">
        <v>9653</v>
      </c>
      <c r="E6" s="3" t="s">
        <v>7182</v>
      </c>
      <c r="F6" s="3" t="s">
        <v>9654</v>
      </c>
      <c r="G6" s="3" t="b">
        <v>0</v>
      </c>
      <c r="H6" s="4">
        <f>COUNTIFS(RulebookFields!C2:C1898, A6)</f>
        <v>40</v>
      </c>
      <c r="I6" s="4">
        <f>COUNTIFS(AccessPolicies!D2:D203, A6)</f>
        <v>2</v>
      </c>
      <c r="J6" s="4" t="b">
        <f>I6 = 0</f>
        <v>0</v>
      </c>
      <c r="K6" s="4">
        <f>COUNTIFS(TableConformance!O2:O624, A6)</f>
        <v>1</v>
      </c>
      <c r="L6" s="3" t="s">
        <v>9650</v>
      </c>
    </row>
    <row r="7">
      <c r="A7" s="3" t="s">
        <v>1814</v>
      </c>
      <c r="B7" s="3" t="s">
        <v>1814</v>
      </c>
      <c r="C7" s="4" t="str">
        <f>B7</f>
        <v>Agents</v>
      </c>
      <c r="D7" s="3" t="s">
        <v>9655</v>
      </c>
      <c r="E7" s="3" t="s">
        <v>7045</v>
      </c>
      <c r="F7" s="3" t="s">
        <v>9654</v>
      </c>
      <c r="G7" s="3" t="b">
        <v>0</v>
      </c>
      <c r="H7" s="4">
        <f>COUNTIFS(RulebookFields!C2:C1898, A7)</f>
        <v>23</v>
      </c>
      <c r="I7" s="4">
        <f>COUNTIFS(AccessPolicies!D2:D203, A7)</f>
        <v>2</v>
      </c>
      <c r="J7" s="4" t="b">
        <f>I7 = 0</f>
        <v>0</v>
      </c>
      <c r="K7" s="4">
        <f>COUNTIFS(TableConformance!O2:O624, A7)</f>
        <v>0</v>
      </c>
      <c r="L7" s="3" t="s">
        <v>9650</v>
      </c>
    </row>
    <row r="8">
      <c r="A8" s="3" t="s">
        <v>1873</v>
      </c>
      <c r="B8" s="3" t="s">
        <v>1873</v>
      </c>
      <c r="C8" s="4" t="str">
        <f>B8</f>
        <v>AppNavGroups</v>
      </c>
      <c r="D8" s="3" t="s">
        <v>9656</v>
      </c>
      <c r="E8" s="3" t="s">
        <v>9657</v>
      </c>
      <c r="F8" s="3" t="s">
        <v>9658</v>
      </c>
      <c r="G8" s="3" t="b">
        <v>1</v>
      </c>
      <c r="H8" s="4">
        <f>COUNTIFS(RulebookFields!C2:C1898, A8)</f>
        <v>5</v>
      </c>
      <c r="I8" s="4">
        <f>COUNTIFS(AccessPolicies!D2:D203, A8)</f>
        <v>2</v>
      </c>
      <c r="J8" s="4" t="b">
        <f>I8 = 0</f>
        <v>0</v>
      </c>
      <c r="K8" s="4">
        <f>COUNTIFS(TableConformance!O2:O624, A8)</f>
        <v>0</v>
      </c>
      <c r="L8" s="3" t="s">
        <v>9650</v>
      </c>
    </row>
    <row r="9">
      <c r="A9" s="3" t="s">
        <v>1869</v>
      </c>
      <c r="B9" s="3" t="s">
        <v>1869</v>
      </c>
      <c r="C9" s="4" t="str">
        <f>B9</f>
        <v>AppRoleProfiles</v>
      </c>
      <c r="D9" s="3" t="s">
        <v>9659</v>
      </c>
      <c r="E9" s="3" t="s">
        <v>9660</v>
      </c>
      <c r="F9" s="3" t="s">
        <v>9654</v>
      </c>
      <c r="G9" s="3" t="b">
        <v>1</v>
      </c>
      <c r="H9" s="4">
        <f>COUNTIFS(RulebookFields!C2:C1898, A9)</f>
        <v>12</v>
      </c>
      <c r="I9" s="4">
        <f>COUNTIFS(AccessPolicies!D2:D203, A9)</f>
        <v>2</v>
      </c>
      <c r="J9" s="4" t="b">
        <f>I9 = 0</f>
        <v>0</v>
      </c>
      <c r="K9" s="4">
        <f>COUNTIFS(TableConformance!O2:O624, A9)</f>
        <v>1</v>
      </c>
      <c r="L9" s="3" t="s">
        <v>9650</v>
      </c>
    </row>
    <row r="10">
      <c r="A10" s="3" t="s">
        <v>1881</v>
      </c>
      <c r="B10" s="3" t="s">
        <v>1881</v>
      </c>
      <c r="C10" s="4" t="str">
        <f>B10</f>
        <v>AppRouteQuestions</v>
      </c>
      <c r="D10" s="3" t="s">
        <v>9661</v>
      </c>
      <c r="E10" s="3" t="s">
        <v>9662</v>
      </c>
      <c r="F10" s="3" t="s">
        <v>9658</v>
      </c>
      <c r="G10" s="3" t="b">
        <v>1</v>
      </c>
      <c r="H10" s="4">
        <f>COUNTIFS(RulebookFields!C2:C1898, A10)</f>
        <v>5</v>
      </c>
      <c r="I10" s="4">
        <f>COUNTIFS(AccessPolicies!D2:D203, A10)</f>
        <v>2</v>
      </c>
      <c r="J10" s="4" t="b">
        <f>I10 = 0</f>
        <v>0</v>
      </c>
      <c r="K10" s="4">
        <f>COUNTIFS(TableConformance!O2:O624, A10)</f>
        <v>0</v>
      </c>
      <c r="L10" s="3" t="s">
        <v>9650</v>
      </c>
    </row>
    <row r="11">
      <c r="A11" s="3" t="s">
        <v>1885</v>
      </c>
      <c r="B11" s="3" t="s">
        <v>1885</v>
      </c>
      <c r="C11" s="4" t="str">
        <f>B11</f>
        <v>AppRouteReferences</v>
      </c>
      <c r="D11" s="3" t="s">
        <v>9663</v>
      </c>
      <c r="E11" s="3" t="s">
        <v>9664</v>
      </c>
      <c r="F11" s="3" t="s">
        <v>9658</v>
      </c>
      <c r="G11" s="3" t="b">
        <v>1</v>
      </c>
      <c r="H11" s="4">
        <f>COUNTIFS(RulebookFields!C2:C1898, A11)</f>
        <v>5</v>
      </c>
      <c r="I11" s="4">
        <f>COUNTIFS(AccessPolicies!D2:D203, A11)</f>
        <v>2</v>
      </c>
      <c r="J11" s="4" t="b">
        <f>I11 = 0</f>
        <v>0</v>
      </c>
      <c r="K11" s="4">
        <f>COUNTIFS(TableConformance!O2:O624, A11)</f>
        <v>0</v>
      </c>
      <c r="L11" s="3" t="s">
        <v>9650</v>
      </c>
    </row>
    <row r="12">
      <c r="A12" s="3" t="s">
        <v>1877</v>
      </c>
      <c r="B12" s="3" t="s">
        <v>1877</v>
      </c>
      <c r="C12" s="4" t="str">
        <f>B12</f>
        <v>AppRoutes</v>
      </c>
      <c r="D12" s="3" t="s">
        <v>9665</v>
      </c>
      <c r="E12" s="3" t="s">
        <v>9666</v>
      </c>
      <c r="F12" s="3" t="s">
        <v>9658</v>
      </c>
      <c r="G12" s="3" t="b">
        <v>1</v>
      </c>
      <c r="H12" s="4">
        <f>COUNTIFS(RulebookFields!C2:C1898, A12)</f>
        <v>18</v>
      </c>
      <c r="I12" s="4">
        <f>COUNTIFS(AccessPolicies!D2:D203, A12)</f>
        <v>2</v>
      </c>
      <c r="J12" s="4" t="b">
        <f>I12 = 0</f>
        <v>0</v>
      </c>
      <c r="K12" s="4">
        <f>COUNTIFS(TableConformance!O2:O624, A12)</f>
        <v>0</v>
      </c>
      <c r="L12" s="3" t="s">
        <v>9650</v>
      </c>
    </row>
    <row r="13">
      <c r="A13" s="3" t="s">
        <v>5235</v>
      </c>
      <c r="B13" s="3" t="s">
        <v>5235</v>
      </c>
      <c r="C13" s="4" t="str">
        <f>B13</f>
        <v>Attestations</v>
      </c>
      <c r="D13" s="3" t="s">
        <v>9667</v>
      </c>
      <c r="E13" s="3" t="s">
        <v>7191</v>
      </c>
      <c r="F13" s="3" t="s">
        <v>8454</v>
      </c>
      <c r="G13" s="3" t="b">
        <v>0</v>
      </c>
      <c r="H13" s="4">
        <f>COUNTIFS(RulebookFields!C2:C1898, A13)</f>
        <v>12</v>
      </c>
      <c r="I13" s="4">
        <f>COUNTIFS(AccessPolicies!D2:D203, A13)</f>
        <v>2</v>
      </c>
      <c r="J13" s="4" t="b">
        <f>I13 = 0</f>
        <v>0</v>
      </c>
      <c r="K13" s="4">
        <f>COUNTIFS(TableConformance!O2:O624, A13)</f>
        <v>0</v>
      </c>
      <c r="L13" s="3" t="s">
        <v>9650</v>
      </c>
    </row>
    <row r="14">
      <c r="A14" s="3" t="s">
        <v>5131</v>
      </c>
      <c r="B14" s="3" t="s">
        <v>5131</v>
      </c>
      <c r="C14" s="4" t="str">
        <f>B14</f>
        <v>AuthorityBoundaries</v>
      </c>
      <c r="D14" s="3" t="s">
        <v>9668</v>
      </c>
      <c r="E14" s="3" t="s">
        <v>7186</v>
      </c>
      <c r="F14" s="3" t="s">
        <v>8424</v>
      </c>
      <c r="G14" s="3" t="b">
        <v>0</v>
      </c>
      <c r="H14" s="4">
        <f>COUNTIFS(RulebookFields!C2:C1898, A14)</f>
        <v>33</v>
      </c>
      <c r="I14" s="4">
        <f>COUNTIFS(AccessPolicies!D2:D203, A14)</f>
        <v>4</v>
      </c>
      <c r="J14" s="4" t="b">
        <f>I14 = 0</f>
        <v>0</v>
      </c>
      <c r="K14" s="4">
        <f>COUNTIFS(TableConformance!O2:O624, A14)</f>
        <v>0</v>
      </c>
      <c r="L14" s="3" t="s">
        <v>9650</v>
      </c>
    </row>
    <row r="15">
      <c r="A15" s="3" t="s">
        <v>5208</v>
      </c>
      <c r="B15" s="3" t="s">
        <v>5208</v>
      </c>
      <c r="C15" s="4" t="str">
        <f>B15</f>
        <v>BindingObservations</v>
      </c>
      <c r="D15" s="3" t="s">
        <v>9669</v>
      </c>
      <c r="E15" s="3" t="s">
        <v>7188</v>
      </c>
      <c r="F15" s="3" t="s">
        <v>8454</v>
      </c>
      <c r="G15" s="3" t="b">
        <v>0</v>
      </c>
      <c r="H15" s="4">
        <f>COUNTIFS(RulebookFields!C2:C1898, A15)</f>
        <v>11</v>
      </c>
      <c r="I15" s="4">
        <f>COUNTIFS(AccessPolicies!D2:D203, A15)</f>
        <v>2</v>
      </c>
      <c r="J15" s="4" t="b">
        <f>I15 = 0</f>
        <v>0</v>
      </c>
      <c r="K15" s="4">
        <f>COUNTIFS(TableConformance!O2:O624, A15)</f>
        <v>0</v>
      </c>
      <c r="L15" s="3" t="s">
        <v>9650</v>
      </c>
    </row>
    <row r="16">
      <c r="A16" s="3" t="s">
        <v>3914</v>
      </c>
      <c r="B16" s="3" t="s">
        <v>3914</v>
      </c>
      <c r="C16" s="4" t="str">
        <f>B16</f>
        <v>ChangeRequests</v>
      </c>
      <c r="D16" s="3" t="s">
        <v>9670</v>
      </c>
      <c r="E16" s="3" t="s">
        <v>7133</v>
      </c>
      <c r="F16" s="3" t="s">
        <v>8454</v>
      </c>
      <c r="G16" s="3" t="b">
        <v>0</v>
      </c>
      <c r="H16" s="4">
        <f>COUNTIFS(RulebookFields!C2:C1898, A16)</f>
        <v>45</v>
      </c>
      <c r="I16" s="4">
        <f>COUNTIFS(AccessPolicies!D2:D203, A16)</f>
        <v>6</v>
      </c>
      <c r="J16" s="4" t="b">
        <f>I16 = 0</f>
        <v>0</v>
      </c>
      <c r="K16" s="4">
        <f>COUNTIFS(TableConformance!O2:O624, A16)</f>
        <v>0</v>
      </c>
      <c r="L16" s="3" t="s">
        <v>9650</v>
      </c>
    </row>
    <row r="17">
      <c r="A17" s="3" t="s">
        <v>1865</v>
      </c>
      <c r="B17" s="3" t="s">
        <v>1865</v>
      </c>
      <c r="C17" s="4" t="str">
        <f>B17</f>
        <v>CommunicationPolicies</v>
      </c>
      <c r="D17" s="3" t="s">
        <v>9671</v>
      </c>
      <c r="E17" s="3" t="s">
        <v>7141</v>
      </c>
      <c r="F17" s="3" t="s">
        <v>9672</v>
      </c>
      <c r="G17" s="3" t="b">
        <v>0</v>
      </c>
      <c r="H17" s="4">
        <f>COUNTIFS(RulebookFields!C2:C1898, A17)</f>
        <v>22</v>
      </c>
      <c r="I17" s="4">
        <f>COUNTIFS(AccessPolicies!D2:D203, A17)</f>
        <v>6</v>
      </c>
      <c r="J17" s="4" t="b">
        <f>I17 = 0</f>
        <v>0</v>
      </c>
      <c r="K17" s="4">
        <f>COUNTIFS(TableConformance!O2:O624, A17)</f>
        <v>0</v>
      </c>
      <c r="L17" s="3" t="s">
        <v>9650</v>
      </c>
    </row>
    <row r="18">
      <c r="A18" s="3" t="s">
        <v>2655</v>
      </c>
      <c r="B18" s="3" t="s">
        <v>2655</v>
      </c>
      <c r="C18" s="4" t="str">
        <f>B18</f>
        <v>CommunitiesOfPractice</v>
      </c>
      <c r="D18" s="3" t="s">
        <v>9673</v>
      </c>
      <c r="E18" s="3" t="s">
        <v>7054</v>
      </c>
      <c r="F18" s="3" t="s">
        <v>9654</v>
      </c>
      <c r="G18" s="3" t="b">
        <v>0</v>
      </c>
      <c r="H18" s="4">
        <f>COUNTIFS(RulebookFields!C2:C1898, A18)</f>
        <v>8</v>
      </c>
      <c r="I18" s="4">
        <f>COUNTIFS(AccessPolicies!D2:D203, A18)</f>
        <v>2</v>
      </c>
      <c r="J18" s="4" t="b">
        <f>I18 = 0</f>
        <v>0</v>
      </c>
      <c r="K18" s="4">
        <f>COUNTIFS(TableConformance!O2:O624, A18)</f>
        <v>0</v>
      </c>
      <c r="L18" s="3" t="s">
        <v>9650</v>
      </c>
    </row>
    <row r="19">
      <c r="A19" s="3" t="s">
        <v>5095</v>
      </c>
      <c r="B19" s="3" t="s">
        <v>5095</v>
      </c>
      <c r="C19" s="4" t="str">
        <f>B19</f>
        <v>DeliveredCommunications</v>
      </c>
      <c r="D19" s="3" t="s">
        <v>9674</v>
      </c>
      <c r="E19" s="3" t="s">
        <v>7184</v>
      </c>
      <c r="F19" s="3" t="s">
        <v>9672</v>
      </c>
      <c r="G19" s="3" t="b">
        <v>0</v>
      </c>
      <c r="H19" s="4">
        <f>COUNTIFS(RulebookFields!C2:C1898, A19)</f>
        <v>18</v>
      </c>
      <c r="I19" s="4">
        <f>COUNTIFS(AccessPolicies!D2:D203, A19)</f>
        <v>2</v>
      </c>
      <c r="J19" s="4" t="b">
        <f>I19 = 0</f>
        <v>0</v>
      </c>
      <c r="K19" s="4">
        <f>COUNTIFS(TableConformance!O2:O624, A19)</f>
        <v>1</v>
      </c>
      <c r="L19" s="3" t="s">
        <v>9650</v>
      </c>
    </row>
    <row r="20">
      <c r="A20" s="3" t="s">
        <v>4265</v>
      </c>
      <c r="B20" s="3" t="s">
        <v>4265</v>
      </c>
      <c r="C20" s="4" t="str">
        <f>B20</f>
        <v>ERBCustomizations</v>
      </c>
      <c r="D20" s="3"/>
      <c r="E20" s="3"/>
      <c r="F20" s="3" t="s">
        <v>9675</v>
      </c>
      <c r="G20" s="3" t="b">
        <v>1</v>
      </c>
      <c r="H20" s="4">
        <f>COUNTIFS(RulebookFields!C2:C1898, A20)</f>
        <v>6</v>
      </c>
      <c r="I20" s="4">
        <f>COUNTIFS(AccessPolicies!D2:D203, A20)</f>
        <v>0</v>
      </c>
      <c r="J20" s="4" t="b">
        <f>I20 = 0</f>
        <v>1</v>
      </c>
      <c r="K20" s="4">
        <f>COUNTIFS(TableConformance!O2:O624, A20)</f>
        <v>0</v>
      </c>
      <c r="L20" s="3" t="s">
        <v>9650</v>
      </c>
    </row>
    <row r="21">
      <c r="A21" s="3" t="s">
        <v>4252</v>
      </c>
      <c r="B21" s="3" t="s">
        <v>4252</v>
      </c>
      <c r="C21" s="4" t="str">
        <f>B21</f>
        <v>ERBVersions</v>
      </c>
      <c r="D21" s="3"/>
      <c r="E21" s="3"/>
      <c r="F21" s="3" t="s">
        <v>9675</v>
      </c>
      <c r="G21" s="3" t="b">
        <v>1</v>
      </c>
      <c r="H21" s="4">
        <f>COUNTIFS(RulebookFields!C2:C1898, A21)</f>
        <v>7</v>
      </c>
      <c r="I21" s="4">
        <f>COUNTIFS(AccessPolicies!D2:D203, A21)</f>
        <v>0</v>
      </c>
      <c r="J21" s="4" t="b">
        <f>I21 = 0</f>
        <v>1</v>
      </c>
      <c r="K21" s="4">
        <f>COUNTIFS(TableConformance!O2:O624, A21)</f>
        <v>0</v>
      </c>
      <c r="L21" s="3" t="s">
        <v>9650</v>
      </c>
    </row>
    <row r="22">
      <c r="A22" s="3" t="s">
        <v>1855</v>
      </c>
      <c r="B22" s="3" t="s">
        <v>1855</v>
      </c>
      <c r="C22" s="4" t="str">
        <f>B22</f>
        <v>ElicitationSessions</v>
      </c>
      <c r="D22" s="3" t="s">
        <v>9676</v>
      </c>
      <c r="E22" s="3" t="s">
        <v>7106</v>
      </c>
      <c r="F22" s="3" t="s">
        <v>8422</v>
      </c>
      <c r="G22" s="3" t="b">
        <v>1</v>
      </c>
      <c r="H22" s="4">
        <f>COUNTIFS(RulebookFields!C2:C1898, A22)</f>
        <v>21</v>
      </c>
      <c r="I22" s="4">
        <f>COUNTIFS(AccessPolicies!D2:D203, A22)</f>
        <v>2</v>
      </c>
      <c r="J22" s="4" t="b">
        <f>I22 = 0</f>
        <v>0</v>
      </c>
      <c r="K22" s="4">
        <f>COUNTIFS(TableConformance!O2:O624, A22)</f>
        <v>0</v>
      </c>
      <c r="L22" s="3" t="s">
        <v>9650</v>
      </c>
    </row>
    <row r="23">
      <c r="A23" s="3" t="s">
        <v>1833</v>
      </c>
      <c r="B23" s="3" t="s">
        <v>1833</v>
      </c>
      <c r="C23" s="4" t="str">
        <f>B23</f>
        <v>Errors</v>
      </c>
      <c r="D23" s="3" t="s">
        <v>9677</v>
      </c>
      <c r="E23" s="3" t="s">
        <v>7123</v>
      </c>
      <c r="F23" s="3" t="s">
        <v>8420</v>
      </c>
      <c r="G23" s="3" t="b">
        <v>0</v>
      </c>
      <c r="H23" s="4">
        <f>COUNTIFS(RulebookFields!C2:C1898, A23)</f>
        <v>6</v>
      </c>
      <c r="I23" s="4">
        <f>COUNTIFS(AccessPolicies!D2:D203, A23)</f>
        <v>4</v>
      </c>
      <c r="J23" s="4" t="b">
        <f>I23 = 0</f>
        <v>0</v>
      </c>
      <c r="K23" s="4">
        <f>COUNTIFS(TableConformance!O2:O624, A23)</f>
        <v>0</v>
      </c>
      <c r="L23" s="3" t="s">
        <v>9650</v>
      </c>
    </row>
    <row r="24">
      <c r="A24" s="3" t="s">
        <v>2444</v>
      </c>
      <c r="B24" s="3" t="s">
        <v>2444</v>
      </c>
      <c r="C24" s="4" t="str">
        <f>B24</f>
        <v>EvaluationContexts</v>
      </c>
      <c r="D24" s="3" t="s">
        <v>9678</v>
      </c>
      <c r="E24" s="3" t="s">
        <v>7040</v>
      </c>
      <c r="F24" s="3" t="s">
        <v>9675</v>
      </c>
      <c r="G24" s="3" t="b">
        <v>1</v>
      </c>
      <c r="H24" s="4">
        <f>COUNTIFS(RulebookFields!C2:C1898, A24)</f>
        <v>7</v>
      </c>
      <c r="I24" s="4">
        <f>COUNTIFS(AccessPolicies!D2:D203, A24)</f>
        <v>2</v>
      </c>
      <c r="J24" s="4" t="b">
        <f>I24 = 0</f>
        <v>0</v>
      </c>
      <c r="K24" s="4">
        <f>COUNTIFS(TableConformance!O2:O624, A24)</f>
        <v>0</v>
      </c>
      <c r="L24" s="3" t="s">
        <v>9650</v>
      </c>
    </row>
    <row r="25">
      <c r="A25" s="3" t="s">
        <v>4287</v>
      </c>
      <c r="B25" s="3" t="s">
        <v>4287</v>
      </c>
      <c r="C25" s="4" t="str">
        <f>B25</f>
        <v>ExceptionInvocations</v>
      </c>
      <c r="D25" s="3" t="s">
        <v>9679</v>
      </c>
      <c r="E25" s="3" t="s">
        <v>7168</v>
      </c>
      <c r="F25" s="3" t="s">
        <v>8424</v>
      </c>
      <c r="G25" s="3" t="b">
        <v>0</v>
      </c>
      <c r="H25" s="4">
        <f>COUNTIFS(RulebookFields!C2:C1898, A25)</f>
        <v>21</v>
      </c>
      <c r="I25" s="4">
        <f>COUNTIFS(AccessPolicies!D2:D203, A25)</f>
        <v>2</v>
      </c>
      <c r="J25" s="4" t="b">
        <f>I25 = 0</f>
        <v>0</v>
      </c>
      <c r="K25" s="4">
        <f>COUNTIFS(TableConformance!O2:O624, A25)</f>
        <v>0</v>
      </c>
      <c r="L25" s="3" t="s">
        <v>9650</v>
      </c>
    </row>
    <row r="26">
      <c r="A26" s="3" t="s">
        <v>3161</v>
      </c>
      <c r="B26" s="3" t="s">
        <v>3161</v>
      </c>
      <c r="C26" s="4" t="str">
        <f>B26</f>
        <v>Exceptions</v>
      </c>
      <c r="D26" s="3" t="s">
        <v>9680</v>
      </c>
      <c r="E26" s="3" t="s">
        <v>7100</v>
      </c>
      <c r="F26" s="3" t="s">
        <v>8424</v>
      </c>
      <c r="G26" s="3" t="b">
        <v>0</v>
      </c>
      <c r="H26" s="4">
        <f>COUNTIFS(RulebookFields!C2:C1898, A26)</f>
        <v>11</v>
      </c>
      <c r="I26" s="4">
        <f>COUNTIFS(AccessPolicies!D2:D203, A26)</f>
        <v>5</v>
      </c>
      <c r="J26" s="4" t="b">
        <f>I26 = 0</f>
        <v>0</v>
      </c>
      <c r="K26" s="4">
        <f>COUNTIFS(TableConformance!O2:O624, A26)</f>
        <v>0</v>
      </c>
      <c r="L26" s="3" t="s">
        <v>9650</v>
      </c>
    </row>
    <row r="27">
      <c r="A27" s="3" t="s">
        <v>1848</v>
      </c>
      <c r="B27" s="3" t="s">
        <v>1848</v>
      </c>
      <c r="C27" s="4" t="str">
        <f>B27</f>
        <v>Explanations</v>
      </c>
      <c r="D27" s="3" t="s">
        <v>9681</v>
      </c>
      <c r="E27" s="3" t="s">
        <v>7115</v>
      </c>
      <c r="F27" s="3" t="s">
        <v>8422</v>
      </c>
      <c r="G27" s="3" t="b">
        <v>0</v>
      </c>
      <c r="H27" s="4">
        <f>COUNTIFS(RulebookFields!C2:C1898, A27)</f>
        <v>7</v>
      </c>
      <c r="I27" s="4">
        <f>COUNTIFS(AccessPolicies!D2:D203, A27)</f>
        <v>2</v>
      </c>
      <c r="J27" s="4" t="b">
        <f>I27 = 0</f>
        <v>0</v>
      </c>
      <c r="K27" s="4">
        <f>COUNTIFS(TableConformance!O2:O624, A27)</f>
        <v>0</v>
      </c>
      <c r="L27" s="3" t="s">
        <v>9650</v>
      </c>
    </row>
    <row r="28">
      <c r="A28" s="3" t="s">
        <v>1845</v>
      </c>
      <c r="B28" s="3" t="s">
        <v>1845</v>
      </c>
      <c r="C28" s="4" t="str">
        <f>B28</f>
        <v>FAQs</v>
      </c>
      <c r="D28" s="3"/>
      <c r="E28" s="3"/>
      <c r="F28" s="3" t="s">
        <v>8422</v>
      </c>
      <c r="G28" s="3" t="b">
        <v>0</v>
      </c>
      <c r="H28" s="4">
        <f>COUNTIFS(RulebookFields!C2:C1898, A28)</f>
        <v>9</v>
      </c>
      <c r="I28" s="4">
        <f>COUNTIFS(AccessPolicies!D2:D203, A28)</f>
        <v>0</v>
      </c>
      <c r="J28" s="4" t="b">
        <f>I28 = 0</f>
        <v>1</v>
      </c>
      <c r="K28" s="4">
        <f>COUNTIFS(TableConformance!O2:O624, A28)</f>
        <v>1</v>
      </c>
      <c r="L28" s="3" t="s">
        <v>9650</v>
      </c>
    </row>
    <row r="29">
      <c r="A29" s="3" t="s">
        <v>5448</v>
      </c>
      <c r="B29" s="3" t="s">
        <v>5448</v>
      </c>
      <c r="C29" s="4" t="str">
        <f>B29</f>
        <v>FieldGrants</v>
      </c>
      <c r="D29" s="3"/>
      <c r="E29" s="3"/>
      <c r="F29" s="3" t="s">
        <v>9649</v>
      </c>
      <c r="G29" s="3" t="b">
        <v>1</v>
      </c>
      <c r="H29" s="4">
        <f>COUNTIFS(RulebookFields!C2:C1898, A29)</f>
        <v>14</v>
      </c>
      <c r="I29" s="4">
        <f>COUNTIFS(AccessPolicies!D2:D203, A29)</f>
        <v>0</v>
      </c>
      <c r="J29" s="4" t="b">
        <f>I29 = 0</f>
        <v>1</v>
      </c>
      <c r="K29" s="4">
        <f>COUNTIFS(TableConformance!O2:O624, A29)</f>
        <v>0</v>
      </c>
      <c r="L29" s="3" t="s">
        <v>9650</v>
      </c>
    </row>
    <row r="30">
      <c r="A30" s="3" t="s">
        <v>1799</v>
      </c>
      <c r="B30" s="3" t="s">
        <v>1799</v>
      </c>
      <c r="C30" s="4" t="str">
        <f>B30</f>
        <v>Functions</v>
      </c>
      <c r="D30" s="3" t="s">
        <v>9682</v>
      </c>
      <c r="E30" s="3" t="s">
        <v>7080</v>
      </c>
      <c r="F30" s="3" t="s">
        <v>9652</v>
      </c>
      <c r="G30" s="3" t="b">
        <v>0</v>
      </c>
      <c r="H30" s="4">
        <f>COUNTIFS(RulebookFields!C2:C1898, A30)</f>
        <v>6</v>
      </c>
      <c r="I30" s="4">
        <f>COUNTIFS(AccessPolicies!D2:D203, A30)</f>
        <v>2</v>
      </c>
      <c r="J30" s="4" t="b">
        <f>I30 = 0</f>
        <v>0</v>
      </c>
      <c r="K30" s="4">
        <f>COUNTIFS(TableConformance!O2:O624, A30)</f>
        <v>0</v>
      </c>
      <c r="L30" s="3" t="s">
        <v>9650</v>
      </c>
    </row>
    <row r="31">
      <c r="A31" s="3" t="s">
        <v>1836</v>
      </c>
      <c r="B31" s="3" t="s">
        <v>1836</v>
      </c>
      <c r="C31" s="4" t="str">
        <f>B31</f>
        <v>IssueOccurrences</v>
      </c>
      <c r="D31" s="3" t="s">
        <v>9683</v>
      </c>
      <c r="E31" s="3" t="s">
        <v>7125</v>
      </c>
      <c r="F31" s="3" t="s">
        <v>8420</v>
      </c>
      <c r="G31" s="3" t="b">
        <v>0</v>
      </c>
      <c r="H31" s="4">
        <f>COUNTIFS(RulebookFields!C2:C1898, A31)</f>
        <v>12</v>
      </c>
      <c r="I31" s="4">
        <f>COUNTIFS(AccessPolicies!D2:D203, A31)</f>
        <v>2</v>
      </c>
      <c r="J31" s="4" t="b">
        <f>I31 = 0</f>
        <v>0</v>
      </c>
      <c r="K31" s="4">
        <f>COUNTIFS(TableConformance!O2:O624, A31)</f>
        <v>0</v>
      </c>
      <c r="L31" s="3" t="s">
        <v>9650</v>
      </c>
    </row>
    <row r="32">
      <c r="A32" s="3" t="s">
        <v>5529</v>
      </c>
      <c r="B32" s="3" t="s">
        <v>5529</v>
      </c>
      <c r="C32" s="4" t="str">
        <f>B32</f>
        <v>JwtClaimMappings</v>
      </c>
      <c r="D32" s="3"/>
      <c r="E32" s="3"/>
      <c r="F32" s="3" t="s">
        <v>9649</v>
      </c>
      <c r="G32" s="3" t="b">
        <v>1</v>
      </c>
      <c r="H32" s="4">
        <f>COUNTIFS(RulebookFields!C2:C1898, A32)</f>
        <v>9</v>
      </c>
      <c r="I32" s="4">
        <f>COUNTIFS(AccessPolicies!D2:D203, A32)</f>
        <v>0</v>
      </c>
      <c r="J32" s="4" t="b">
        <f>I32 = 0</f>
        <v>1</v>
      </c>
      <c r="K32" s="4">
        <f>COUNTIFS(TableConformance!O2:O624, A32)</f>
        <v>0</v>
      </c>
      <c r="L32" s="3" t="s">
        <v>9650</v>
      </c>
    </row>
    <row r="33">
      <c r="A33" s="3" t="s">
        <v>1851</v>
      </c>
      <c r="B33" s="3" t="s">
        <v>1851</v>
      </c>
      <c r="C33" s="4" t="str">
        <f>B33</f>
        <v>KnowledgeFragments</v>
      </c>
      <c r="D33" s="3" t="s">
        <v>9684</v>
      </c>
      <c r="E33" s="3" t="s">
        <v>7108</v>
      </c>
      <c r="F33" s="3" t="s">
        <v>8422</v>
      </c>
      <c r="G33" s="3" t="b">
        <v>1</v>
      </c>
      <c r="H33" s="4">
        <f>COUNTIFS(RulebookFields!C2:C1898, A33)</f>
        <v>80</v>
      </c>
      <c r="I33" s="4">
        <f>COUNTIFS(AccessPolicies!D2:D203, A33)</f>
        <v>6</v>
      </c>
      <c r="J33" s="4" t="b">
        <f>I33 = 0</f>
        <v>0</v>
      </c>
      <c r="K33" s="4">
        <f>COUNTIFS(TableConformance!O2:O624, A33)</f>
        <v>1</v>
      </c>
      <c r="L33" s="3" t="s">
        <v>9650</v>
      </c>
    </row>
    <row r="34">
      <c r="A34" s="3" t="s">
        <v>3368</v>
      </c>
      <c r="B34" s="3" t="s">
        <v>3368</v>
      </c>
      <c r="C34" s="4" t="str">
        <f>B34</f>
        <v>KnowledgeGaps</v>
      </c>
      <c r="D34" s="3" t="s">
        <v>9685</v>
      </c>
      <c r="E34" s="3" t="s">
        <v>7111</v>
      </c>
      <c r="F34" s="3" t="s">
        <v>8422</v>
      </c>
      <c r="G34" s="3" t="b">
        <v>1</v>
      </c>
      <c r="H34" s="4">
        <f>COUNTIFS(RulebookFields!C2:C1898, A34)</f>
        <v>28</v>
      </c>
      <c r="I34" s="4">
        <f>COUNTIFS(AccessPolicies!D2:D203, A34)</f>
        <v>4</v>
      </c>
      <c r="J34" s="4" t="b">
        <f>I34 = 0</f>
        <v>0</v>
      </c>
      <c r="K34" s="4">
        <f>COUNTIFS(TableConformance!O2:O624, A34)</f>
        <v>0</v>
      </c>
      <c r="L34" s="3" t="s">
        <v>9650</v>
      </c>
    </row>
    <row r="35">
      <c r="A35" s="3" t="s">
        <v>4017</v>
      </c>
      <c r="B35" s="3" t="s">
        <v>4017</v>
      </c>
      <c r="C35" s="4" t="str">
        <f>B35</f>
        <v>LearningActivities</v>
      </c>
      <c r="D35" s="3" t="s">
        <v>9686</v>
      </c>
      <c r="E35" s="3" t="s">
        <v>7137</v>
      </c>
      <c r="F35" s="3" t="s">
        <v>8454</v>
      </c>
      <c r="G35" s="3" t="b">
        <v>0</v>
      </c>
      <c r="H35" s="4">
        <f>COUNTIFS(RulebookFields!C2:C1898, A35)</f>
        <v>10</v>
      </c>
      <c r="I35" s="4">
        <f>COUNTIFS(AccessPolicies!D2:D203, A35)</f>
        <v>2</v>
      </c>
      <c r="J35" s="4" t="b">
        <f>I35 = 0</f>
        <v>0</v>
      </c>
      <c r="K35" s="4">
        <f>COUNTIFS(TableConformance!O2:O624, A35)</f>
        <v>0</v>
      </c>
      <c r="L35" s="3" t="s">
        <v>9650</v>
      </c>
    </row>
    <row r="36">
      <c r="A36" s="3" t="s">
        <v>2664</v>
      </c>
      <c r="B36" s="3" t="s">
        <v>2664</v>
      </c>
      <c r="C36" s="4" t="str">
        <f>B36</f>
        <v>Mentorships</v>
      </c>
      <c r="D36" s="3" t="s">
        <v>9687</v>
      </c>
      <c r="E36" s="3" t="s">
        <v>7057</v>
      </c>
      <c r="F36" s="3" t="s">
        <v>9654</v>
      </c>
      <c r="G36" s="3" t="b">
        <v>0</v>
      </c>
      <c r="H36" s="4">
        <f>COUNTIFS(RulebookFields!C2:C1898, A36)</f>
        <v>10</v>
      </c>
      <c r="I36" s="4">
        <f>COUNTIFS(AccessPolicies!D2:D203, A36)</f>
        <v>2</v>
      </c>
      <c r="J36" s="4" t="b">
        <f>I36 = 0</f>
        <v>0</v>
      </c>
      <c r="K36" s="4">
        <f>COUNTIFS(TableConformance!O2:O624, A36)</f>
        <v>0</v>
      </c>
      <c r="L36" s="3" t="s">
        <v>9650</v>
      </c>
    </row>
    <row r="37">
      <c r="A37" s="3" t="s">
        <v>4444</v>
      </c>
      <c r="B37" s="3" t="s">
        <v>4444</v>
      </c>
      <c r="C37" s="4" t="str">
        <f>B37</f>
        <v>MessageDeliveries</v>
      </c>
      <c r="D37" s="3" t="s">
        <v>9688</v>
      </c>
      <c r="E37" s="3" t="s">
        <v>7176</v>
      </c>
      <c r="F37" s="3" t="s">
        <v>9672</v>
      </c>
      <c r="G37" s="3" t="b">
        <v>0</v>
      </c>
      <c r="H37" s="4">
        <f>COUNTIFS(RulebookFields!C2:C1898, A37)</f>
        <v>94</v>
      </c>
      <c r="I37" s="4">
        <f>COUNTIFS(AccessPolicies!D2:D203, A37)</f>
        <v>4</v>
      </c>
      <c r="J37" s="4" t="b">
        <f>I37 = 0</f>
        <v>0</v>
      </c>
      <c r="K37" s="4">
        <f>COUNTIFS(TableConformance!O2:O624, A37)</f>
        <v>1</v>
      </c>
      <c r="L37" s="3" t="s">
        <v>9650</v>
      </c>
    </row>
    <row r="38">
      <c r="A38" s="3" t="s">
        <v>4087</v>
      </c>
      <c r="B38" s="3" t="s">
        <v>4087</v>
      </c>
      <c r="C38" s="4" t="str">
        <f>B38</f>
        <v>MessageTemplates</v>
      </c>
      <c r="D38" s="3" t="s">
        <v>9689</v>
      </c>
      <c r="E38" s="3" t="s">
        <v>7143</v>
      </c>
      <c r="F38" s="3" t="s">
        <v>9672</v>
      </c>
      <c r="G38" s="3" t="b">
        <v>0</v>
      </c>
      <c r="H38" s="4">
        <f>COUNTIFS(RulebookFields!C2:C1898, A38)</f>
        <v>26</v>
      </c>
      <c r="I38" s="4">
        <f>COUNTIFS(AccessPolicies!D2:D203, A38)</f>
        <v>5</v>
      </c>
      <c r="J38" s="4" t="b">
        <f>I38 = 0</f>
        <v>0</v>
      </c>
      <c r="K38" s="4">
        <f>COUNTIFS(TableConformance!O2:O624, A38)</f>
        <v>0</v>
      </c>
      <c r="L38" s="3" t="s">
        <v>9650</v>
      </c>
    </row>
    <row r="39">
      <c r="A39" s="3" t="s">
        <v>4398</v>
      </c>
      <c r="B39" s="3" t="s">
        <v>4398</v>
      </c>
      <c r="C39" s="4" t="str">
        <f>B39</f>
        <v>ObservedTransitions</v>
      </c>
      <c r="D39" s="3" t="s">
        <v>9690</v>
      </c>
      <c r="E39" s="3" t="s">
        <v>7172</v>
      </c>
      <c r="F39" s="3" t="s">
        <v>9652</v>
      </c>
      <c r="G39" s="3" t="b">
        <v>0</v>
      </c>
      <c r="H39" s="4">
        <f>COUNTIFS(RulebookFields!C2:C1898, A39)</f>
        <v>8</v>
      </c>
      <c r="I39" s="4">
        <f>COUNTIFS(AccessPolicies!D2:D203, A39)</f>
        <v>2</v>
      </c>
      <c r="J39" s="4" t="b">
        <f>I39 = 0</f>
        <v>0</v>
      </c>
      <c r="K39" s="4">
        <f>COUNTIFS(TableConformance!O2:O624, A39)</f>
        <v>0</v>
      </c>
      <c r="L39" s="3" t="s">
        <v>9650</v>
      </c>
    </row>
    <row r="40">
      <c r="A40" s="3" t="s">
        <v>2434</v>
      </c>
      <c r="B40" s="3" t="s">
        <v>2434</v>
      </c>
      <c r="C40" s="4" t="str">
        <f>B40</f>
        <v>OntologyProfiles</v>
      </c>
      <c r="D40" s="3" t="s">
        <v>9691</v>
      </c>
      <c r="E40" s="3" t="s">
        <v>7037</v>
      </c>
      <c r="F40" s="3" t="s">
        <v>8454</v>
      </c>
      <c r="G40" s="3" t="b">
        <v>0</v>
      </c>
      <c r="H40" s="4">
        <f>COUNTIFS(RulebookFields!C2:C1898, A40)</f>
        <v>8</v>
      </c>
      <c r="I40" s="4">
        <f>COUNTIFS(AccessPolicies!D2:D203, A40)</f>
        <v>2</v>
      </c>
      <c r="J40" s="4" t="b">
        <f>I40 = 0</f>
        <v>0</v>
      </c>
      <c r="K40" s="4">
        <f>COUNTIFS(TableConformance!O2:O624, A40)</f>
        <v>0</v>
      </c>
      <c r="L40" s="3" t="s">
        <v>9650</v>
      </c>
    </row>
    <row r="41">
      <c r="A41" s="3" t="s">
        <v>1862</v>
      </c>
      <c r="B41" s="3" t="s">
        <v>1862</v>
      </c>
      <c r="C41" s="4" t="str">
        <f>B41</f>
        <v>OperationalBindings</v>
      </c>
      <c r="D41" s="3" t="s">
        <v>9692</v>
      </c>
      <c r="E41" s="3" t="s">
        <v>7139</v>
      </c>
      <c r="F41" s="3" t="s">
        <v>8454</v>
      </c>
      <c r="G41" s="3" t="b">
        <v>1</v>
      </c>
      <c r="H41" s="4">
        <f>COUNTIFS(RulebookFields!C2:C1898, A41)</f>
        <v>22</v>
      </c>
      <c r="I41" s="4">
        <f>COUNTIFS(AccessPolicies!D2:D203, A41)</f>
        <v>2</v>
      </c>
      <c r="J41" s="4" t="b">
        <f>I41 = 0</f>
        <v>0</v>
      </c>
      <c r="K41" s="4">
        <f>COUNTIFS(TableConformance!O2:O624, A41)</f>
        <v>0</v>
      </c>
      <c r="L41" s="3" t="s">
        <v>9650</v>
      </c>
    </row>
    <row r="42">
      <c r="A42" s="3" t="s">
        <v>2453</v>
      </c>
      <c r="B42" s="3" t="s">
        <v>2453</v>
      </c>
      <c r="C42" s="4" t="str">
        <f>B42</f>
        <v>Organizations</v>
      </c>
      <c r="D42" s="3" t="s">
        <v>9693</v>
      </c>
      <c r="E42" s="3" t="s">
        <v>7042</v>
      </c>
      <c r="F42" s="3" t="s">
        <v>9654</v>
      </c>
      <c r="G42" s="3" t="b">
        <v>0</v>
      </c>
      <c r="H42" s="4">
        <f>COUNTIFS(RulebookFields!C2:C1898, A42)</f>
        <v>6</v>
      </c>
      <c r="I42" s="4">
        <f>COUNTIFS(AccessPolicies!D2:D203, A42)</f>
        <v>2</v>
      </c>
      <c r="J42" s="4" t="b">
        <f>I42 = 0</f>
        <v>0</v>
      </c>
      <c r="K42" s="4">
        <f>COUNTIFS(TableConformance!O2:O624, A42)</f>
        <v>0</v>
      </c>
      <c r="L42" s="3" t="s">
        <v>9650</v>
      </c>
    </row>
    <row r="43">
      <c r="A43" s="3" t="s">
        <v>1824</v>
      </c>
      <c r="B43" s="3" t="s">
        <v>1824</v>
      </c>
      <c r="C43" s="4" t="str">
        <f>B43</f>
        <v>ProcedureExecutions</v>
      </c>
      <c r="D43" s="3" t="s">
        <v>9694</v>
      </c>
      <c r="E43" s="3" t="s">
        <v>7117</v>
      </c>
      <c r="F43" s="3" t="s">
        <v>9652</v>
      </c>
      <c r="G43" s="3" t="b">
        <v>0</v>
      </c>
      <c r="H43" s="4">
        <f>COUNTIFS(RulebookFields!C2:C1898, A43)</f>
        <v>78</v>
      </c>
      <c r="I43" s="4">
        <f>COUNTIFS(AccessPolicies!D2:D203, A43)</f>
        <v>5</v>
      </c>
      <c r="J43" s="4" t="b">
        <f>I43 = 0</f>
        <v>0</v>
      </c>
      <c r="K43" s="4">
        <f>COUNTIFS(TableConformance!O2:O624, A43)</f>
        <v>1</v>
      </c>
      <c r="L43" s="3" t="s">
        <v>9650</v>
      </c>
    </row>
    <row r="44">
      <c r="A44" s="3" t="s">
        <v>3187</v>
      </c>
      <c r="B44" s="3" t="s">
        <v>3187</v>
      </c>
      <c r="C44" s="4" t="str">
        <f>B44</f>
        <v>ProcedureResources</v>
      </c>
      <c r="D44" s="3" t="s">
        <v>9695</v>
      </c>
      <c r="E44" s="3" t="s">
        <v>7104</v>
      </c>
      <c r="F44" s="3" t="s">
        <v>9652</v>
      </c>
      <c r="G44" s="3" t="b">
        <v>0</v>
      </c>
      <c r="H44" s="4">
        <f>COUNTIFS(RulebookFields!C2:C1898, A44)</f>
        <v>6</v>
      </c>
      <c r="I44" s="4">
        <f>COUNTIFS(AccessPolicies!D2:D203, A44)</f>
        <v>2</v>
      </c>
      <c r="J44" s="4" t="b">
        <f>I44 = 0</f>
        <v>0</v>
      </c>
      <c r="K44" s="4">
        <f>COUNTIFS(TableConformance!O2:O624, A44)</f>
        <v>0</v>
      </c>
      <c r="L44" s="3" t="s">
        <v>9650</v>
      </c>
    </row>
    <row r="45">
      <c r="A45" s="3" t="s">
        <v>1775</v>
      </c>
      <c r="B45" s="3" t="s">
        <v>1775</v>
      </c>
      <c r="C45" s="4" t="str">
        <f>B45</f>
        <v>ProcedureStatusChanges</v>
      </c>
      <c r="D45" s="3" t="s">
        <v>9696</v>
      </c>
      <c r="E45" s="3" t="s">
        <v>7068</v>
      </c>
      <c r="F45" s="3" t="s">
        <v>9652</v>
      </c>
      <c r="G45" s="3" t="b">
        <v>0</v>
      </c>
      <c r="H45" s="4">
        <f>COUNTIFS(RulebookFields!C2:C1898, A45)</f>
        <v>9</v>
      </c>
      <c r="I45" s="4">
        <f>COUNTIFS(AccessPolicies!D2:D203, A45)</f>
        <v>2</v>
      </c>
      <c r="J45" s="4" t="b">
        <f>I45 = 0</f>
        <v>0</v>
      </c>
      <c r="K45" s="4">
        <f>COUNTIFS(TableConformance!O2:O624, A45)</f>
        <v>0</v>
      </c>
      <c r="L45" s="3" t="s">
        <v>9650</v>
      </c>
    </row>
    <row r="46">
      <c r="A46" s="3" t="s">
        <v>2676</v>
      </c>
      <c r="B46" s="3" t="s">
        <v>2676</v>
      </c>
      <c r="C46" s="4" t="str">
        <f>B46</f>
        <v>ProcedureTypes</v>
      </c>
      <c r="D46" s="3" t="s">
        <v>9697</v>
      </c>
      <c r="E46" s="3" t="s">
        <v>7059</v>
      </c>
      <c r="F46" s="3" t="s">
        <v>9652</v>
      </c>
      <c r="G46" s="3" t="b">
        <v>0</v>
      </c>
      <c r="H46" s="4">
        <f>COUNTIFS(RulebookFields!C2:C1898, A46)</f>
        <v>5</v>
      </c>
      <c r="I46" s="4">
        <f>COUNTIFS(AccessPolicies!D2:D203, A46)</f>
        <v>2</v>
      </c>
      <c r="J46" s="4" t="b">
        <f>I46 = 0</f>
        <v>0</v>
      </c>
      <c r="K46" s="4">
        <f>COUNTIFS(TableConformance!O2:O624, A46)</f>
        <v>0</v>
      </c>
      <c r="L46" s="3" t="s">
        <v>9650</v>
      </c>
    </row>
    <row r="47">
      <c r="A47" s="3" t="s">
        <v>2851</v>
      </c>
      <c r="B47" s="3" t="s">
        <v>2851</v>
      </c>
      <c r="C47" s="4" t="str">
        <f>B47</f>
        <v>ProcedureVersionLinks</v>
      </c>
      <c r="D47" s="3" t="s">
        <v>9698</v>
      </c>
      <c r="E47" s="3" t="s">
        <v>7066</v>
      </c>
      <c r="F47" s="3" t="s">
        <v>9652</v>
      </c>
      <c r="G47" s="3" t="b">
        <v>0</v>
      </c>
      <c r="H47" s="4">
        <f>COUNTIFS(RulebookFields!C2:C1898, A47)</f>
        <v>7</v>
      </c>
      <c r="I47" s="4">
        <f>COUNTIFS(AccessPolicies!D2:D203, A47)</f>
        <v>2</v>
      </c>
      <c r="J47" s="4" t="b">
        <f>I47 = 0</f>
        <v>0</v>
      </c>
      <c r="K47" s="4">
        <f>COUNTIFS(TableConformance!O2:O624, A47)</f>
        <v>1</v>
      </c>
      <c r="L47" s="3" t="s">
        <v>9650</v>
      </c>
    </row>
    <row r="48">
      <c r="A48" s="3" t="s">
        <v>1767</v>
      </c>
      <c r="B48" s="3" t="s">
        <v>1767</v>
      </c>
      <c r="C48" s="4" t="str">
        <f>B48</f>
        <v>ProcedureVersions</v>
      </c>
      <c r="D48" s="3" t="s">
        <v>9699</v>
      </c>
      <c r="E48" s="3" t="s">
        <v>7063</v>
      </c>
      <c r="F48" s="3" t="s">
        <v>9652</v>
      </c>
      <c r="G48" s="3" t="b">
        <v>0</v>
      </c>
      <c r="H48" s="4">
        <f>COUNTIFS(RulebookFields!C2:C1898, A48)</f>
        <v>87</v>
      </c>
      <c r="I48" s="4">
        <f>COUNTIFS(AccessPolicies!D2:D203, A48)</f>
        <v>4</v>
      </c>
      <c r="J48" s="4" t="b">
        <f>I48 = 0</f>
        <v>0</v>
      </c>
      <c r="K48" s="4">
        <f>COUNTIFS(TableConformance!O2:O624, A48)</f>
        <v>2</v>
      </c>
      <c r="L48" s="3" t="s">
        <v>9650</v>
      </c>
    </row>
    <row r="49">
      <c r="A49" s="3" t="s">
        <v>1762</v>
      </c>
      <c r="B49" s="3" t="s">
        <v>1762</v>
      </c>
      <c r="C49" s="4" t="str">
        <f>B49</f>
        <v>Procedures</v>
      </c>
      <c r="D49" s="3" t="s">
        <v>9700</v>
      </c>
      <c r="E49" s="3" t="s">
        <v>7061</v>
      </c>
      <c r="F49" s="3" t="s">
        <v>9652</v>
      </c>
      <c r="G49" s="3" t="b">
        <v>0</v>
      </c>
      <c r="H49" s="4">
        <f>COUNTIFS(RulebookFields!C2:C1898, A49)</f>
        <v>11</v>
      </c>
      <c r="I49" s="4">
        <f>COUNTIFS(AccessPolicies!D2:D203, A49)</f>
        <v>4</v>
      </c>
      <c r="J49" s="4" t="b">
        <f>I49 = 0</f>
        <v>0</v>
      </c>
      <c r="K49" s="4">
        <f>COUNTIFS(TableConformance!O2:O624, A49)</f>
        <v>0</v>
      </c>
      <c r="L49" s="3" t="s">
        <v>9650</v>
      </c>
    </row>
    <row r="50">
      <c r="A50" s="3" t="s">
        <v>3151</v>
      </c>
      <c r="B50" s="3" t="s">
        <v>3151</v>
      </c>
      <c r="C50" s="4" t="str">
        <f>B50</f>
        <v>Rationales</v>
      </c>
      <c r="D50" s="3" t="s">
        <v>9701</v>
      </c>
      <c r="E50" s="3" t="s">
        <v>7098</v>
      </c>
      <c r="F50" s="3" t="s">
        <v>8424</v>
      </c>
      <c r="G50" s="3" t="b">
        <v>0</v>
      </c>
      <c r="H50" s="4">
        <f>COUNTIFS(RulebookFields!C2:C1898, A50)</f>
        <v>9</v>
      </c>
      <c r="I50" s="4">
        <f>COUNTIFS(AccessPolicies!D2:D203, A50)</f>
        <v>2</v>
      </c>
      <c r="J50" s="4" t="b">
        <f>I50 = 0</f>
        <v>0</v>
      </c>
      <c r="K50" s="4">
        <f>COUNTIFS(TableConformance!O2:O624, A50)</f>
        <v>0</v>
      </c>
      <c r="L50" s="3" t="s">
        <v>9650</v>
      </c>
    </row>
    <row r="51">
      <c r="A51" s="3" t="s">
        <v>4412</v>
      </c>
      <c r="B51" s="3" t="s">
        <v>4412</v>
      </c>
      <c r="C51" s="4" t="str">
        <f>B51</f>
        <v>Recipients</v>
      </c>
      <c r="D51" s="3" t="s">
        <v>9702</v>
      </c>
      <c r="E51" s="3" t="s">
        <v>7174</v>
      </c>
      <c r="F51" s="3" t="s">
        <v>9672</v>
      </c>
      <c r="G51" s="3" t="b">
        <v>0</v>
      </c>
      <c r="H51" s="4">
        <f>COUNTIFS(RulebookFields!C2:C1898, A51)</f>
        <v>15</v>
      </c>
      <c r="I51" s="4">
        <f>COUNTIFS(AccessPolicies!D2:D203, A51)</f>
        <v>4</v>
      </c>
      <c r="J51" s="4" t="b">
        <f>I51 = 0</f>
        <v>0</v>
      </c>
      <c r="K51" s="4">
        <f>COUNTIFS(TableConformance!O2:O624, A51)</f>
        <v>0</v>
      </c>
      <c r="L51" s="3" t="s">
        <v>9650</v>
      </c>
    </row>
    <row r="52">
      <c r="A52" s="3" t="s">
        <v>1830</v>
      </c>
      <c r="B52" s="3" t="s">
        <v>1830</v>
      </c>
      <c r="C52" s="4" t="str">
        <f>B52</f>
        <v>RequirementSatisfactions</v>
      </c>
      <c r="D52" s="3" t="s">
        <v>9703</v>
      </c>
      <c r="E52" s="3" t="s">
        <v>7121</v>
      </c>
      <c r="F52" s="3" t="s">
        <v>8420</v>
      </c>
      <c r="G52" s="3" t="b">
        <v>0</v>
      </c>
      <c r="H52" s="4">
        <f>COUNTIFS(RulebookFields!C2:C1898, A52)</f>
        <v>46</v>
      </c>
      <c r="I52" s="4">
        <f>COUNTIFS(AccessPolicies!D2:D203, A52)</f>
        <v>4</v>
      </c>
      <c r="J52" s="4" t="b">
        <f>I52 = 0</f>
        <v>0</v>
      </c>
      <c r="K52" s="4">
        <f>COUNTIFS(TableConformance!O2:O624, A52)</f>
        <v>1</v>
      </c>
      <c r="L52" s="3" t="s">
        <v>9650</v>
      </c>
    </row>
    <row r="53">
      <c r="A53" s="3" t="s">
        <v>1805</v>
      </c>
      <c r="B53" s="3" t="s">
        <v>1805</v>
      </c>
      <c r="C53" s="4" t="str">
        <f>B53</f>
        <v>Requirements</v>
      </c>
      <c r="D53" s="3" t="s">
        <v>9704</v>
      </c>
      <c r="E53" s="3" t="s">
        <v>7091</v>
      </c>
      <c r="F53" s="3" t="s">
        <v>8424</v>
      </c>
      <c r="G53" s="3" t="b">
        <v>0</v>
      </c>
      <c r="H53" s="4">
        <f>COUNTIFS(RulebookFields!C2:C1898, A53)</f>
        <v>43</v>
      </c>
      <c r="I53" s="4">
        <f>COUNTIFS(AccessPolicies!D2:D203, A53)</f>
        <v>5</v>
      </c>
      <c r="J53" s="4" t="b">
        <f>I53 = 0</f>
        <v>0</v>
      </c>
      <c r="K53" s="4">
        <f>COUNTIFS(TableConformance!O2:O624, A53)</f>
        <v>0</v>
      </c>
      <c r="L53" s="3" t="s">
        <v>9650</v>
      </c>
    </row>
    <row r="54">
      <c r="A54" s="3" t="s">
        <v>1811</v>
      </c>
      <c r="B54" s="3" t="s">
        <v>1811</v>
      </c>
      <c r="C54" s="4" t="str">
        <f>B54</f>
        <v>Resources</v>
      </c>
      <c r="D54" s="3" t="s">
        <v>9705</v>
      </c>
      <c r="E54" s="3" t="s">
        <v>7102</v>
      </c>
      <c r="F54" s="3" t="s">
        <v>8454</v>
      </c>
      <c r="G54" s="3" t="b">
        <v>0</v>
      </c>
      <c r="H54" s="4">
        <f>COUNTIFS(RulebookFields!C2:C1898, A54)</f>
        <v>11</v>
      </c>
      <c r="I54" s="4">
        <f>COUNTIFS(AccessPolicies!D2:D203, A54)</f>
        <v>2</v>
      </c>
      <c r="J54" s="4" t="b">
        <f>I54 = 0</f>
        <v>0</v>
      </c>
      <c r="K54" s="4">
        <f>COUNTIFS(TableConformance!O2:O624, A54)</f>
        <v>0</v>
      </c>
      <c r="L54" s="3" t="s">
        <v>9650</v>
      </c>
    </row>
    <row r="55">
      <c r="A55" s="3" t="s">
        <v>3988</v>
      </c>
      <c r="B55" s="3" t="s">
        <v>3988</v>
      </c>
      <c r="C55" s="4" t="str">
        <f>B55</f>
        <v>ReviewEvents</v>
      </c>
      <c r="D55" s="3" t="s">
        <v>9706</v>
      </c>
      <c r="E55" s="3" t="s">
        <v>7135</v>
      </c>
      <c r="F55" s="3" t="s">
        <v>8454</v>
      </c>
      <c r="G55" s="3" t="b">
        <v>0</v>
      </c>
      <c r="H55" s="4">
        <f>COUNTIFS(RulebookFields!C2:C1898, A55)</f>
        <v>20</v>
      </c>
      <c r="I55" s="4">
        <f>COUNTIFS(AccessPolicies!D2:D203, A55)</f>
        <v>2</v>
      </c>
      <c r="J55" s="4" t="b">
        <f>I55 = 0</f>
        <v>0</v>
      </c>
      <c r="K55" s="4">
        <f>COUNTIFS(TableConformance!O2:O624, A55)</f>
        <v>0</v>
      </c>
      <c r="L55" s="3" t="s">
        <v>9650</v>
      </c>
    </row>
    <row r="56">
      <c r="A56" s="3" t="s">
        <v>1821</v>
      </c>
      <c r="B56" s="3" t="s">
        <v>1821</v>
      </c>
      <c r="C56" s="4" t="str">
        <f>B56</f>
        <v>RoleAssignments</v>
      </c>
      <c r="D56" s="3" t="s">
        <v>9707</v>
      </c>
      <c r="E56" s="3" t="s">
        <v>7051</v>
      </c>
      <c r="F56" s="3" t="s">
        <v>9654</v>
      </c>
      <c r="G56" s="3" t="b">
        <v>0</v>
      </c>
      <c r="H56" s="4">
        <f>COUNTIFS(RulebookFields!C2:C1898, A56)</f>
        <v>65</v>
      </c>
      <c r="I56" s="4">
        <f>COUNTIFS(AccessPolicies!D2:D203, A56)</f>
        <v>2</v>
      </c>
      <c r="J56" s="4" t="b">
        <f>I56 = 0</f>
        <v>0</v>
      </c>
      <c r="K56" s="4">
        <f>COUNTIFS(TableConformance!O2:O624, A56)</f>
        <v>1</v>
      </c>
      <c r="L56" s="3" t="s">
        <v>9650</v>
      </c>
    </row>
    <row r="57">
      <c r="A57" s="3" t="s">
        <v>4157</v>
      </c>
      <c r="B57" s="3" t="s">
        <v>4157</v>
      </c>
      <c r="C57" s="4" t="str">
        <f>B57</f>
        <v>RoleQuestions</v>
      </c>
      <c r="D57" s="3" t="s">
        <v>9708</v>
      </c>
      <c r="E57" s="3" t="s">
        <v>7150</v>
      </c>
      <c r="F57" s="3" t="s">
        <v>9654</v>
      </c>
      <c r="G57" s="3" t="b">
        <v>1</v>
      </c>
      <c r="H57" s="4">
        <f>COUNTIFS(RulebookFields!C2:C1898, A57)</f>
        <v>11</v>
      </c>
      <c r="I57" s="4">
        <f>COUNTIFS(AccessPolicies!D2:D203, A57)</f>
        <v>2</v>
      </c>
      <c r="J57" s="4" t="b">
        <f>I57 = 0</f>
        <v>0</v>
      </c>
      <c r="K57" s="4">
        <f>COUNTIFS(TableConformance!O2:O624, A57)</f>
        <v>0</v>
      </c>
      <c r="L57" s="3" t="s">
        <v>9650</v>
      </c>
    </row>
    <row r="58">
      <c r="A58" s="3" t="s">
        <v>5497</v>
      </c>
      <c r="B58" s="3" t="s">
        <v>5497</v>
      </c>
      <c r="C58" s="4" t="str">
        <f>B58</f>
        <v>RoleSchemaViews</v>
      </c>
      <c r="D58" s="3"/>
      <c r="E58" s="3"/>
      <c r="F58" s="3" t="s">
        <v>9654</v>
      </c>
      <c r="G58" s="3" t="b">
        <v>1</v>
      </c>
      <c r="H58" s="4">
        <f>COUNTIFS(RulebookFields!C2:C1898, A58)</f>
        <v>14</v>
      </c>
      <c r="I58" s="4">
        <f>COUNTIFS(AccessPolicies!D2:D203, A58)</f>
        <v>0</v>
      </c>
      <c r="J58" s="4" t="b">
        <f>I58 = 0</f>
        <v>1</v>
      </c>
      <c r="K58" s="4">
        <f>COUNTIFS(TableConformance!O2:O624, A58)</f>
        <v>0</v>
      </c>
      <c r="L58" s="3" t="s">
        <v>9650</v>
      </c>
    </row>
    <row r="59">
      <c r="A59" s="3" t="s">
        <v>5479</v>
      </c>
      <c r="B59" s="3" t="s">
        <v>5479</v>
      </c>
      <c r="C59" s="4" t="str">
        <f>B59</f>
        <v>RoleSchemas</v>
      </c>
      <c r="D59" s="3"/>
      <c r="E59" s="3"/>
      <c r="F59" s="3" t="s">
        <v>9654</v>
      </c>
      <c r="G59" s="3" t="b">
        <v>1</v>
      </c>
      <c r="H59" s="4">
        <f>COUNTIFS(RulebookFields!C2:C1898, A59)</f>
        <v>9</v>
      </c>
      <c r="I59" s="4">
        <f>COUNTIFS(AccessPolicies!D2:D203, A59)</f>
        <v>0</v>
      </c>
      <c r="J59" s="4" t="b">
        <f>I59 = 0</f>
        <v>1</v>
      </c>
      <c r="K59" s="4">
        <f>COUNTIFS(TableConformance!O2:O624, A59)</f>
        <v>0</v>
      </c>
      <c r="L59" s="3" t="s">
        <v>9650</v>
      </c>
    </row>
    <row r="60">
      <c r="A60" s="3" t="s">
        <v>1818</v>
      </c>
      <c r="B60" s="3" t="s">
        <v>1818</v>
      </c>
      <c r="C60" s="4" t="str">
        <f>B60</f>
        <v>Roles</v>
      </c>
      <c r="D60" s="3" t="s">
        <v>9709</v>
      </c>
      <c r="E60" s="3" t="s">
        <v>7048</v>
      </c>
      <c r="F60" s="3" t="s">
        <v>9654</v>
      </c>
      <c r="G60" s="3" t="b">
        <v>0</v>
      </c>
      <c r="H60" s="4">
        <f>COUNTIFS(RulebookFields!C2:C1898, A60)</f>
        <v>24</v>
      </c>
      <c r="I60" s="4">
        <f>COUNTIFS(AccessPolicies!D2:D203, A60)</f>
        <v>2</v>
      </c>
      <c r="J60" s="4" t="b">
        <f>I60 = 0</f>
        <v>0</v>
      </c>
      <c r="K60" s="4">
        <f>COUNTIFS(TableConformance!O2:O624, A60)</f>
        <v>0</v>
      </c>
      <c r="L60" s="3" t="s">
        <v>9650</v>
      </c>
    </row>
    <row r="61">
      <c r="A61" s="3" t="s">
        <v>4172</v>
      </c>
      <c r="B61" s="3" t="s">
        <v>4172</v>
      </c>
      <c r="C61" s="4" t="str">
        <f>B61</f>
        <v>RulebookFields</v>
      </c>
      <c r="D61" s="3" t="s">
        <v>9710</v>
      </c>
      <c r="E61" s="3" t="s">
        <v>7153</v>
      </c>
      <c r="F61" s="3" t="s">
        <v>9649</v>
      </c>
      <c r="G61" s="3" t="b">
        <v>1</v>
      </c>
      <c r="H61" s="4">
        <f>COUNTIFS(RulebookFields!C2:C1898, A61)</f>
        <v>13</v>
      </c>
      <c r="I61" s="4">
        <f>COUNTIFS(AccessPolicies!D2:D203, A61)</f>
        <v>2</v>
      </c>
      <c r="J61" s="4" t="b">
        <f>I61 = 0</f>
        <v>0</v>
      </c>
      <c r="K61" s="4">
        <f>COUNTIFS(TableConformance!O2:O624, A61)</f>
        <v>0</v>
      </c>
      <c r="L61" s="3" t="s">
        <v>9650</v>
      </c>
    </row>
    <row r="62">
      <c r="A62" s="3" t="s">
        <v>2415</v>
      </c>
      <c r="B62" s="3" t="s">
        <v>2415</v>
      </c>
      <c r="C62" s="4" t="str">
        <f>B62</f>
        <v>RulebookReleases</v>
      </c>
      <c r="D62" s="3" t="s">
        <v>9711</v>
      </c>
      <c r="E62" s="3" t="s">
        <v>7033</v>
      </c>
      <c r="F62" s="3" t="s">
        <v>9675</v>
      </c>
      <c r="G62" s="3" t="b">
        <v>1</v>
      </c>
      <c r="H62" s="4">
        <f>COUNTIFS(RulebookFields!C2:C1898, A62)</f>
        <v>11</v>
      </c>
      <c r="I62" s="4">
        <f>COUNTIFS(AccessPolicies!D2:D203, A62)</f>
        <v>2</v>
      </c>
      <c r="J62" s="4" t="b">
        <f>I62 = 0</f>
        <v>0</v>
      </c>
      <c r="K62" s="4">
        <f>COUNTIFS(TableConformance!O2:O624, A62)</f>
        <v>1</v>
      </c>
      <c r="L62" s="3" t="s">
        <v>9650</v>
      </c>
    </row>
    <row r="63">
      <c r="A63" s="3" t="s">
        <v>5352</v>
      </c>
      <c r="B63" s="3" t="s">
        <v>5352</v>
      </c>
      <c r="C63" s="4" t="str">
        <f>B63</f>
        <v>RulebookTables</v>
      </c>
      <c r="D63" s="3"/>
      <c r="E63" s="3"/>
      <c r="F63" s="3" t="s">
        <v>9675</v>
      </c>
      <c r="G63" s="3" t="b">
        <v>1</v>
      </c>
      <c r="H63" s="4">
        <f>COUNTIFS(RulebookFields!C2:C1898, A63)</f>
        <v>12</v>
      </c>
      <c r="I63" s="4">
        <f>COUNTIFS(AccessPolicies!D2:D203, A63)</f>
        <v>0</v>
      </c>
      <c r="J63" s="4" t="b">
        <f>I63 = 0</f>
        <v>1</v>
      </c>
      <c r="K63" s="4">
        <f>COUNTIFS(TableConformance!O2:O624, A63)</f>
        <v>0</v>
      </c>
      <c r="L63" s="3" t="s">
        <v>9650</v>
      </c>
    </row>
    <row r="64">
      <c r="A64" s="3" t="s">
        <v>4130</v>
      </c>
      <c r="B64" s="3" t="s">
        <v>4130</v>
      </c>
      <c r="C64" s="4" t="str">
        <f>B64</f>
        <v>SemanticMappings</v>
      </c>
      <c r="D64" s="3" t="s">
        <v>9712</v>
      </c>
      <c r="E64" s="3" t="s">
        <v>7145</v>
      </c>
      <c r="F64" s="3" t="s">
        <v>9675</v>
      </c>
      <c r="G64" s="3" t="b">
        <v>1</v>
      </c>
      <c r="H64" s="4">
        <f>COUNTIFS(RulebookFields!C2:C1898, A64)</f>
        <v>8</v>
      </c>
      <c r="I64" s="4">
        <f>COUNTIFS(AccessPolicies!D2:D203, A64)</f>
        <v>2</v>
      </c>
      <c r="J64" s="4" t="b">
        <f>I64 = 0</f>
        <v>0</v>
      </c>
      <c r="K64" s="4">
        <f>COUNTIFS(TableConformance!O2:O624, A64)</f>
        <v>0</v>
      </c>
      <c r="L64" s="3" t="s">
        <v>9650</v>
      </c>
    </row>
    <row r="65">
      <c r="A65" s="3" t="s">
        <v>4728</v>
      </c>
      <c r="B65" s="3" t="s">
        <v>4728</v>
      </c>
      <c r="C65" s="4" t="str">
        <f>B65</f>
        <v>SendIntents</v>
      </c>
      <c r="D65" s="3" t="s">
        <v>9713</v>
      </c>
      <c r="E65" s="3" t="s">
        <v>7180</v>
      </c>
      <c r="F65" s="3" t="s">
        <v>9672</v>
      </c>
      <c r="G65" s="3" t="b">
        <v>0</v>
      </c>
      <c r="H65" s="4">
        <f>COUNTIFS(RulebookFields!C2:C1898, A65)</f>
        <v>100</v>
      </c>
      <c r="I65" s="4">
        <f>COUNTIFS(AccessPolicies!D2:D203, A65)</f>
        <v>4</v>
      </c>
      <c r="J65" s="4" t="b">
        <f>I65 = 0</f>
        <v>0</v>
      </c>
      <c r="K65" s="4">
        <f>COUNTIFS(TableConformance!O2:O624, A65)</f>
        <v>0</v>
      </c>
      <c r="L65" s="3" t="s">
        <v>9650</v>
      </c>
    </row>
    <row r="66">
      <c r="A66" s="3" t="s">
        <v>3028</v>
      </c>
      <c r="B66" s="3" t="s">
        <v>3028</v>
      </c>
      <c r="C66" s="4" t="str">
        <f>B66</f>
        <v>StepActions</v>
      </c>
      <c r="D66" s="3" t="s">
        <v>9714</v>
      </c>
      <c r="E66" s="3" t="s">
        <v>7085</v>
      </c>
      <c r="F66" s="3" t="s">
        <v>9652</v>
      </c>
      <c r="G66" s="3" t="b">
        <v>0</v>
      </c>
      <c r="H66" s="4">
        <f>COUNTIFS(RulebookFields!C2:C1898, A66)</f>
        <v>4</v>
      </c>
      <c r="I66" s="4">
        <f>COUNTIFS(AccessPolicies!D2:D203, A66)</f>
        <v>2</v>
      </c>
      <c r="J66" s="4" t="b">
        <f>I66 = 0</f>
        <v>0</v>
      </c>
      <c r="K66" s="4">
        <f>COUNTIFS(TableConformance!O2:O624, A66)</f>
        <v>0</v>
      </c>
      <c r="L66" s="3" t="s">
        <v>9650</v>
      </c>
    </row>
    <row r="67">
      <c r="A67" s="3" t="s">
        <v>1827</v>
      </c>
      <c r="B67" s="3" t="s">
        <v>1827</v>
      </c>
      <c r="C67" s="4" t="str">
        <f>B67</f>
        <v>StepExecutions</v>
      </c>
      <c r="D67" s="3" t="s">
        <v>9715</v>
      </c>
      <c r="E67" s="3" t="s">
        <v>7119</v>
      </c>
      <c r="F67" s="3" t="s">
        <v>9652</v>
      </c>
      <c r="G67" s="3" t="b">
        <v>0</v>
      </c>
      <c r="H67" s="4">
        <f>COUNTIFS(RulebookFields!C2:C1898, A67)</f>
        <v>109</v>
      </c>
      <c r="I67" s="4">
        <f>COUNTIFS(AccessPolicies!D2:D203, A67)</f>
        <v>6</v>
      </c>
      <c r="J67" s="4" t="b">
        <f>I67 = 0</f>
        <v>0</v>
      </c>
      <c r="K67" s="4">
        <f>COUNTIFS(TableConformance!O2:O624, A67)</f>
        <v>0</v>
      </c>
      <c r="L67" s="3" t="s">
        <v>9650</v>
      </c>
    </row>
    <row r="68">
      <c r="A68" s="3" t="s">
        <v>3034</v>
      </c>
      <c r="B68" s="3" t="s">
        <v>3034</v>
      </c>
      <c r="C68" s="4" t="str">
        <f>B68</f>
        <v>StepFunctions</v>
      </c>
      <c r="D68" s="3" t="s">
        <v>9716</v>
      </c>
      <c r="E68" s="3" t="s">
        <v>7087</v>
      </c>
      <c r="F68" s="3" t="s">
        <v>9652</v>
      </c>
      <c r="G68" s="3" t="b">
        <v>0</v>
      </c>
      <c r="H68" s="4">
        <f>COUNTIFS(RulebookFields!C2:C1898, A68)</f>
        <v>4</v>
      </c>
      <c r="I68" s="4">
        <f>COUNTIFS(AccessPolicies!D2:D203, A68)</f>
        <v>2</v>
      </c>
      <c r="J68" s="4" t="b">
        <f>I68 = 0</f>
        <v>0</v>
      </c>
      <c r="K68" s="4">
        <f>COUNTIFS(TableConformance!O2:O624, A68)</f>
        <v>0</v>
      </c>
      <c r="L68" s="3" t="s">
        <v>9650</v>
      </c>
    </row>
    <row r="69">
      <c r="A69" s="3" t="s">
        <v>3119</v>
      </c>
      <c r="B69" s="3" t="s">
        <v>3119</v>
      </c>
      <c r="C69" s="4" t="str">
        <f>B69</f>
        <v>StepRequirements</v>
      </c>
      <c r="D69" s="3" t="s">
        <v>9717</v>
      </c>
      <c r="E69" s="3" t="s">
        <v>7093</v>
      </c>
      <c r="F69" s="3" t="s">
        <v>9652</v>
      </c>
      <c r="G69" s="3" t="b">
        <v>0</v>
      </c>
      <c r="H69" s="4">
        <f>COUNTIFS(RulebookFields!C2:C1898, A69)</f>
        <v>13</v>
      </c>
      <c r="I69" s="4">
        <f>COUNTIFS(AccessPolicies!D2:D203, A69)</f>
        <v>2</v>
      </c>
      <c r="J69" s="4" t="b">
        <f>I69 = 0</f>
        <v>0</v>
      </c>
      <c r="K69" s="4">
        <f>COUNTIFS(TableConformance!O2:O624, A69)</f>
        <v>0</v>
      </c>
      <c r="L69" s="3" t="s">
        <v>9650</v>
      </c>
    </row>
    <row r="70">
      <c r="A70" s="3" t="s">
        <v>3040</v>
      </c>
      <c r="B70" s="3" t="s">
        <v>3040</v>
      </c>
      <c r="C70" s="4" t="str">
        <f>B70</f>
        <v>StepTools</v>
      </c>
      <c r="D70" s="3" t="s">
        <v>9718</v>
      </c>
      <c r="E70" s="3" t="s">
        <v>7089</v>
      </c>
      <c r="F70" s="3" t="s">
        <v>9652</v>
      </c>
      <c r="G70" s="3" t="b">
        <v>0</v>
      </c>
      <c r="H70" s="4">
        <f>COUNTIFS(RulebookFields!C2:C1898, A70)</f>
        <v>4</v>
      </c>
      <c r="I70" s="4">
        <f>COUNTIFS(AccessPolicies!D2:D203, A70)</f>
        <v>2</v>
      </c>
      <c r="J70" s="4" t="b">
        <f>I70 = 0</f>
        <v>0</v>
      </c>
      <c r="K70" s="4">
        <f>COUNTIFS(TableConformance!O2:O624, A70)</f>
        <v>0</v>
      </c>
      <c r="L70" s="3" t="s">
        <v>9650</v>
      </c>
    </row>
    <row r="71">
      <c r="A71" s="3" t="s">
        <v>1784</v>
      </c>
      <c r="B71" s="3" t="s">
        <v>1784</v>
      </c>
      <c r="C71" s="4" t="str">
        <f>B71</f>
        <v>StepTransitions</v>
      </c>
      <c r="D71" s="3" t="s">
        <v>9719</v>
      </c>
      <c r="E71" s="3" t="s">
        <v>7074</v>
      </c>
      <c r="F71" s="3" t="s">
        <v>9652</v>
      </c>
      <c r="G71" s="3" t="b">
        <v>0</v>
      </c>
      <c r="H71" s="4">
        <f>COUNTIFS(RulebookFields!C2:C1898, A71)</f>
        <v>28</v>
      </c>
      <c r="I71" s="4">
        <f>COUNTIFS(AccessPolicies!D2:D203, A71)</f>
        <v>2</v>
      </c>
      <c r="J71" s="4" t="b">
        <f>I71 = 0</f>
        <v>0</v>
      </c>
      <c r="K71" s="4">
        <f>COUNTIFS(TableConformance!O2:O624, A71)</f>
        <v>1</v>
      </c>
      <c r="L71" s="3" t="s">
        <v>9650</v>
      </c>
    </row>
    <row r="72">
      <c r="A72" s="3" t="s">
        <v>1808</v>
      </c>
      <c r="B72" s="3" t="s">
        <v>1808</v>
      </c>
      <c r="C72" s="4" t="str">
        <f>B72</f>
        <v>StepVerifications</v>
      </c>
      <c r="D72" s="3" t="s">
        <v>9720</v>
      </c>
      <c r="E72" s="3" t="s">
        <v>7096</v>
      </c>
      <c r="F72" s="3" t="s">
        <v>9652</v>
      </c>
      <c r="G72" s="3" t="b">
        <v>0</v>
      </c>
      <c r="H72" s="4">
        <f>COUNTIFS(RulebookFields!C2:C1898, A72)</f>
        <v>8</v>
      </c>
      <c r="I72" s="4">
        <f>COUNTIFS(AccessPolicies!D2:D203, A72)</f>
        <v>2</v>
      </c>
      <c r="J72" s="4" t="b">
        <f>I72 = 0</f>
        <v>0</v>
      </c>
      <c r="K72" s="4">
        <f>COUNTIFS(TableConformance!O2:O624, A72)</f>
        <v>0</v>
      </c>
      <c r="L72" s="3" t="s">
        <v>9650</v>
      </c>
    </row>
    <row r="73">
      <c r="A73" s="3" t="s">
        <v>1778</v>
      </c>
      <c r="B73" s="3" t="s">
        <v>1778</v>
      </c>
      <c r="C73" s="4" t="str">
        <f>B73</f>
        <v>Steps</v>
      </c>
      <c r="D73" s="3" t="s">
        <v>9721</v>
      </c>
      <c r="E73" s="3" t="s">
        <v>7071</v>
      </c>
      <c r="F73" s="3" t="s">
        <v>9652</v>
      </c>
      <c r="G73" s="3" t="b">
        <v>0</v>
      </c>
      <c r="H73" s="4">
        <f>COUNTIFS(RulebookFields!C2:C1898, A73)</f>
        <v>54</v>
      </c>
      <c r="I73" s="4">
        <f>COUNTIFS(AccessPolicies!D2:D203, A73)</f>
        <v>10</v>
      </c>
      <c r="J73" s="4" t="b">
        <f>I73 = 0</f>
        <v>0</v>
      </c>
      <c r="K73" s="4">
        <f>COUNTIFS(TableConformance!O2:O624, A73)</f>
        <v>1</v>
      </c>
      <c r="L73" s="3" t="s">
        <v>9650</v>
      </c>
    </row>
    <row r="74">
      <c r="A74" s="3" t="s">
        <v>1859</v>
      </c>
      <c r="B74" s="3" t="s">
        <v>1859</v>
      </c>
      <c r="C74" s="4" t="str">
        <f>B74</f>
        <v>StewardshipAssignments</v>
      </c>
      <c r="D74" s="3" t="s">
        <v>9722</v>
      </c>
      <c r="E74" s="3" t="s">
        <v>7131</v>
      </c>
      <c r="F74" s="3" t="s">
        <v>9654</v>
      </c>
      <c r="G74" s="3" t="b">
        <v>1</v>
      </c>
      <c r="H74" s="4">
        <f>COUNTIFS(RulebookFields!C2:C1898, A74)</f>
        <v>14</v>
      </c>
      <c r="I74" s="4">
        <f>COUNTIFS(AccessPolicies!D2:D203, A74)</f>
        <v>2</v>
      </c>
      <c r="J74" s="4" t="b">
        <f>I74 = 0</f>
        <v>0</v>
      </c>
      <c r="K74" s="4">
        <f>COUNTIFS(TableConformance!O2:O624, A74)</f>
        <v>0</v>
      </c>
      <c r="L74" s="3" t="s">
        <v>9650</v>
      </c>
    </row>
    <row r="75">
      <c r="A75" s="3" t="s">
        <v>4698</v>
      </c>
      <c r="B75" s="3" t="s">
        <v>4698</v>
      </c>
      <c r="C75" s="4" t="str">
        <f>B75</f>
        <v>TemplateApprovals</v>
      </c>
      <c r="D75" s="3" t="s">
        <v>9723</v>
      </c>
      <c r="E75" s="3" t="s">
        <v>7178</v>
      </c>
      <c r="F75" s="3" t="s">
        <v>9672</v>
      </c>
      <c r="G75" s="3" t="b">
        <v>0</v>
      </c>
      <c r="H75" s="4">
        <f>COUNTIFS(RulebookFields!C2:C1898, A75)</f>
        <v>15</v>
      </c>
      <c r="I75" s="4">
        <f>COUNTIFS(AccessPolicies!D2:D203, A75)</f>
        <v>2</v>
      </c>
      <c r="J75" s="4" t="b">
        <f>I75 = 0</f>
        <v>0</v>
      </c>
      <c r="K75" s="4">
        <f>COUNTIFS(TableConformance!O2:O624, A75)</f>
        <v>0</v>
      </c>
      <c r="L75" s="3" t="s">
        <v>9650</v>
      </c>
    </row>
    <row r="76">
      <c r="A76" s="3" t="s">
        <v>4209</v>
      </c>
      <c r="B76" s="3" t="s">
        <v>4209</v>
      </c>
      <c r="C76" s="4" t="str">
        <f>B76</f>
        <v>TestCases</v>
      </c>
      <c r="D76" s="3" t="s">
        <v>9724</v>
      </c>
      <c r="E76" s="3" t="s">
        <v>7159</v>
      </c>
      <c r="F76" s="3" t="s">
        <v>9675</v>
      </c>
      <c r="G76" s="3" t="b">
        <v>1</v>
      </c>
      <c r="H76" s="4">
        <f>COUNTIFS(RulebookFields!C2:C1898, A76)</f>
        <v>20</v>
      </c>
      <c r="I76" s="4">
        <f>COUNTIFS(AccessPolicies!D2:D203, A76)</f>
        <v>2</v>
      </c>
      <c r="J76" s="4" t="b">
        <f>I76 = 0</f>
        <v>0</v>
      </c>
      <c r="K76" s="4">
        <f>COUNTIFS(TableConformance!O2:O624, A76)</f>
        <v>0</v>
      </c>
      <c r="L76" s="3" t="s">
        <v>9650</v>
      </c>
    </row>
    <row r="77">
      <c r="A77" s="3" t="s">
        <v>4191</v>
      </c>
      <c r="B77" s="3" t="s">
        <v>4191</v>
      </c>
      <c r="C77" s="4" t="str">
        <f>B77</f>
        <v>TestSuites</v>
      </c>
      <c r="D77" s="3" t="s">
        <v>9725</v>
      </c>
      <c r="E77" s="3" t="s">
        <v>7156</v>
      </c>
      <c r="F77" s="3" t="s">
        <v>9675</v>
      </c>
      <c r="G77" s="3" t="b">
        <v>1</v>
      </c>
      <c r="H77" s="4">
        <f>COUNTIFS(RulebookFields!C2:C1898, A77)</f>
        <v>8</v>
      </c>
      <c r="I77" s="4">
        <f>COUNTIFS(AccessPolicies!D2:D203, A77)</f>
        <v>2</v>
      </c>
      <c r="J77" s="4" t="b">
        <f>I77 = 0</f>
        <v>0</v>
      </c>
      <c r="K77" s="4">
        <f>COUNTIFS(TableConformance!O2:O624, A77)</f>
        <v>0</v>
      </c>
      <c r="L77" s="3" t="s">
        <v>9650</v>
      </c>
    </row>
    <row r="78">
      <c r="A78" s="3" t="s">
        <v>1802</v>
      </c>
      <c r="B78" s="3" t="s">
        <v>1802</v>
      </c>
      <c r="C78" s="4" t="str">
        <f>B78</f>
        <v>Tools</v>
      </c>
      <c r="D78" s="3" t="s">
        <v>9726</v>
      </c>
      <c r="E78" s="3" t="s">
        <v>7083</v>
      </c>
      <c r="F78" s="3" t="s">
        <v>9652</v>
      </c>
      <c r="G78" s="3" t="b">
        <v>0</v>
      </c>
      <c r="H78" s="4">
        <f>COUNTIFS(RulebookFields!C2:C1898, A78)</f>
        <v>5</v>
      </c>
      <c r="I78" s="4">
        <f>COUNTIFS(AccessPolicies!D2:D203, A78)</f>
        <v>2</v>
      </c>
      <c r="J78" s="4" t="b">
        <f>I78 = 0</f>
        <v>0</v>
      </c>
      <c r="K78" s="4">
        <f>COUNTIFS(TableConformance!O2:O624, A78)</f>
        <v>0</v>
      </c>
      <c r="L78" s="3" t="s">
        <v>9650</v>
      </c>
    </row>
    <row r="79">
      <c r="A79" s="3" t="s">
        <v>1842</v>
      </c>
      <c r="B79" s="3" t="s">
        <v>1842</v>
      </c>
      <c r="C79" s="4" t="str">
        <f>B79</f>
        <v>UserFeedback</v>
      </c>
      <c r="D79" s="3" t="s">
        <v>9727</v>
      </c>
      <c r="E79" s="3" t="s">
        <v>7129</v>
      </c>
      <c r="F79" s="3" t="s">
        <v>8454</v>
      </c>
      <c r="G79" s="3" t="b">
        <v>0</v>
      </c>
      <c r="H79" s="4">
        <f>COUNTIFS(RulebookFields!C2:C1898, A79)</f>
        <v>9</v>
      </c>
      <c r="I79" s="4">
        <f>COUNTIFS(AccessPolicies!D2:D203, A79)</f>
        <v>2</v>
      </c>
      <c r="J79" s="4" t="b">
        <f>I79 = 0</f>
        <v>0</v>
      </c>
      <c r="K79" s="4">
        <f>COUNTIFS(TableConformance!O2:O624, A79)</f>
        <v>0</v>
      </c>
      <c r="L79" s="3" t="s">
        <v>9650</v>
      </c>
    </row>
    <row r="80">
      <c r="A80" s="3" t="s">
        <v>1839</v>
      </c>
      <c r="B80" s="3" t="s">
        <v>1839</v>
      </c>
      <c r="C80" s="4" t="str">
        <f>B80</f>
        <v>UserQuestions</v>
      </c>
      <c r="D80" s="3" t="s">
        <v>9728</v>
      </c>
      <c r="E80" s="3" t="s">
        <v>7127</v>
      </c>
      <c r="F80" s="3" t="s">
        <v>8454</v>
      </c>
      <c r="G80" s="3" t="b">
        <v>0</v>
      </c>
      <c r="H80" s="4">
        <f>COUNTIFS(RulebookFields!C2:C1898, A80)</f>
        <v>10</v>
      </c>
      <c r="I80" s="4">
        <f>COUNTIFS(AccessPolicies!D2:D203, A80)</f>
        <v>2</v>
      </c>
      <c r="J80" s="4" t="b">
        <f>I80 = 0</f>
        <v>0</v>
      </c>
      <c r="K80" s="4">
        <f>COUNTIFS(TableConformance!O2:O624, A80)</f>
        <v>0</v>
      </c>
      <c r="L80" s="3" t="s">
        <v>9650</v>
      </c>
    </row>
    <row r="81">
      <c r="A81" s="3" t="s">
        <v>4337</v>
      </c>
      <c r="B81" s="3" t="s">
        <v>4337</v>
      </c>
      <c r="C81" s="4" t="str">
        <f>B81</f>
        <v>VerificationOutcomes</v>
      </c>
      <c r="D81" s="3" t="s">
        <v>9729</v>
      </c>
      <c r="E81" s="3" t="s">
        <v>7170</v>
      </c>
      <c r="F81" s="3" t="s">
        <v>8420</v>
      </c>
      <c r="G81" s="3" t="b">
        <v>0</v>
      </c>
      <c r="H81" s="4">
        <f>COUNTIFS(RulebookFields!C2:C1898, A81)</f>
        <v>26</v>
      </c>
      <c r="I81" s="4">
        <f>COUNTIFS(AccessPolicies!D2:D203, A81)</f>
        <v>2</v>
      </c>
      <c r="J81" s="4" t="b">
        <f>I81 = 0</f>
        <v>0</v>
      </c>
      <c r="K81" s="4">
        <f>COUNTIFS(TableConformance!O2:O624, A81)</f>
        <v>0</v>
      </c>
      <c r="L81" s="3" t="s">
        <v>9650</v>
      </c>
    </row>
    <row r="82">
      <c r="A82" s="3" t="s">
        <v>4140</v>
      </c>
      <c r="B82" s="3" t="s">
        <v>4140</v>
      </c>
      <c r="C82" s="4" t="str">
        <f>B82</f>
        <v>WitnessLoops</v>
      </c>
      <c r="D82" s="3" t="s">
        <v>9730</v>
      </c>
      <c r="E82" s="3" t="s">
        <v>7148</v>
      </c>
      <c r="F82" s="3" t="s">
        <v>9675</v>
      </c>
      <c r="G82" s="3" t="b">
        <v>1</v>
      </c>
      <c r="H82" s="4">
        <f>COUNTIFS(RulebookFields!C2:C1898, A82)</f>
        <v>13</v>
      </c>
      <c r="I82" s="4">
        <f>COUNTIFS(AccessPolicies!D2:D203, A82)</f>
        <v>2</v>
      </c>
      <c r="J82" s="4" t="b">
        <f>I82 = 0</f>
        <v>0</v>
      </c>
      <c r="K82" s="4">
        <f>COUNTIFS(TableConformance!O2:O624, A82)</f>
        <v>0</v>
      </c>
      <c r="L82" s="3" t="s">
        <v>9650</v>
      </c>
    </row>
    <row r="83">
      <c r="A83" s="3" t="s">
        <v>4276</v>
      </c>
      <c r="B83" s="3" t="s">
        <v>4276</v>
      </c>
      <c r="C83" s="4" t="str">
        <f>B83</f>
        <v>__meta__</v>
      </c>
      <c r="D83" s="3"/>
      <c r="E83" s="3"/>
      <c r="F83" s="3" t="s">
        <v>9675</v>
      </c>
      <c r="G83" s="3" t="b">
        <v>1</v>
      </c>
      <c r="H83" s="4">
        <f>COUNTIFS(RulebookFields!C2:C1898, A83)</f>
        <v>5</v>
      </c>
      <c r="I83" s="4">
        <f>COUNTIFS(AccessPolicies!D2:D203, A83)</f>
        <v>0</v>
      </c>
      <c r="J83" s="4" t="b">
        <f>I83 = 0</f>
        <v>1</v>
      </c>
      <c r="K83" s="4">
        <f>COUNTIFS(TableConformance!O2:O624, A83)</f>
        <v>0</v>
      </c>
      <c r="L83" s="3" t="s">
        <v>9650</v>
      </c>
    </row>
    <row r="84">
      <c r="A84" s="3" t="s">
        <v>1889</v>
      </c>
      <c r="B84" s="3" t="s">
        <v>1889</v>
      </c>
      <c r="C84" s="4" t="str">
        <f>B84</f>
        <v>ProcessMiningRuns</v>
      </c>
      <c r="D84" s="3" t="s">
        <v>9731</v>
      </c>
      <c r="E84" s="3" t="s">
        <v>9732</v>
      </c>
      <c r="F84" s="3" t="s">
        <v>8422</v>
      </c>
      <c r="G84" s="3" t="b">
        <v>1</v>
      </c>
      <c r="H84" s="4">
        <f>COUNTIFS(RulebookFields!C2:C1898, A84)</f>
        <v>19</v>
      </c>
      <c r="I84" s="4">
        <f>COUNTIFS(AccessPolicies!D2:D203, A84)</f>
        <v>2</v>
      </c>
      <c r="J84" s="4" t="b">
        <f>I84 = 0</f>
        <v>0</v>
      </c>
      <c r="K84" s="4">
        <f>COUNTIFS(TableConformance!O2:O624, A84)</f>
        <v>0</v>
      </c>
      <c r="L84" s="3" t="s">
        <v>9650</v>
      </c>
    </row>
    <row r="85">
      <c r="A85" s="3" t="s">
        <v>1893</v>
      </c>
      <c r="B85" s="3" t="s">
        <v>1893</v>
      </c>
      <c r="C85" s="4" t="str">
        <f>B85</f>
        <v>Vocabularies</v>
      </c>
      <c r="D85" s="3" t="s">
        <v>9733</v>
      </c>
      <c r="E85" s="3" t="s">
        <v>9734</v>
      </c>
      <c r="F85" s="3" t="s">
        <v>8422</v>
      </c>
      <c r="G85" s="3" t="b">
        <v>1</v>
      </c>
      <c r="H85" s="4">
        <f>COUNTIFS(RulebookFields!C2:C1898, A85)</f>
        <v>9</v>
      </c>
      <c r="I85" s="4">
        <f>COUNTIFS(AccessPolicies!D2:D203, A85)</f>
        <v>2</v>
      </c>
      <c r="J85" s="4" t="b">
        <f>I85 = 0</f>
        <v>0</v>
      </c>
      <c r="K85" s="4">
        <f>COUNTIFS(TableConformance!O2:O624, A85)</f>
        <v>0</v>
      </c>
      <c r="L85" s="3" t="s">
        <v>9650</v>
      </c>
    </row>
    <row r="86">
      <c r="A86" s="3" t="s">
        <v>1897</v>
      </c>
      <c r="B86" s="3" t="s">
        <v>1897</v>
      </c>
      <c r="C86" s="4" t="str">
        <f>B86</f>
        <v>VocabularyTerms</v>
      </c>
      <c r="D86" s="3" t="s">
        <v>9735</v>
      </c>
      <c r="E86" s="3" t="s">
        <v>9736</v>
      </c>
      <c r="F86" s="3" t="s">
        <v>8422</v>
      </c>
      <c r="G86" s="3" t="b">
        <v>1</v>
      </c>
      <c r="H86" s="4">
        <f>COUNTIFS(RulebookFields!C2:C1898, A86)</f>
        <v>11</v>
      </c>
      <c r="I86" s="4">
        <f>COUNTIFS(AccessPolicies!D2:D203, A86)</f>
        <v>2</v>
      </c>
      <c r="J86" s="4" t="b">
        <f>I86 = 0</f>
        <v>0</v>
      </c>
      <c r="K86" s="4">
        <f>COUNTIFS(TableConformance!O2:O624, A86)</f>
        <v>0</v>
      </c>
      <c r="L86" s="3" t="s">
        <v>9650</v>
      </c>
    </row>
    <row r="87">
      <c r="A87" s="3" t="s">
        <v>1901</v>
      </c>
      <c r="B87" s="3" t="s">
        <v>1901</v>
      </c>
      <c r="C87" s="4" t="str">
        <f>B87</f>
        <v>KnowledgeBrokerLinks</v>
      </c>
      <c r="D87" s="3" t="s">
        <v>9737</v>
      </c>
      <c r="E87" s="3" t="s">
        <v>9738</v>
      </c>
      <c r="F87" s="3" t="s">
        <v>8422</v>
      </c>
      <c r="G87" s="3" t="b">
        <v>1</v>
      </c>
      <c r="H87" s="4">
        <f>COUNTIFS(RulebookFields!C2:C1898, A87)</f>
        <v>16</v>
      </c>
      <c r="I87" s="4">
        <f>COUNTIFS(AccessPolicies!D2:D203, A87)</f>
        <v>2</v>
      </c>
      <c r="J87" s="4" t="b">
        <f>I87 = 0</f>
        <v>0</v>
      </c>
      <c r="K87" s="4">
        <f>COUNTIFS(TableConformance!O2:O624, A87)</f>
        <v>0</v>
      </c>
      <c r="L87" s="3" t="s">
        <v>9650</v>
      </c>
    </row>
    <row r="88">
      <c r="A88" s="3" t="s">
        <v>1905</v>
      </c>
      <c r="B88" s="3" t="s">
        <v>1905</v>
      </c>
      <c r="C88" s="4" t="str">
        <f>B88</f>
        <v>ConformanceSubstrates</v>
      </c>
      <c r="D88" s="3" t="s">
        <v>9739</v>
      </c>
      <c r="E88" s="3" t="s">
        <v>9740</v>
      </c>
      <c r="F88" s="3" t="s">
        <v>9675</v>
      </c>
      <c r="G88" s="3" t="b">
        <v>1</v>
      </c>
      <c r="H88" s="4">
        <f>COUNTIFS(RulebookFields!C2:C1898, A88)</f>
        <v>20</v>
      </c>
      <c r="I88" s="4">
        <f>COUNTIFS(AccessPolicies!D2:D203, A88)</f>
        <v>0</v>
      </c>
      <c r="J88" s="4" t="b">
        <f>I88 = 0</f>
        <v>1</v>
      </c>
      <c r="K88" s="4">
        <f>COUNTIFS(TableConformance!O2:O624, A88)</f>
        <v>0</v>
      </c>
      <c r="L88" s="3" t="s">
        <v>9650</v>
      </c>
    </row>
    <row r="89">
      <c r="A89" s="3" t="s">
        <v>1909</v>
      </c>
      <c r="B89" s="3" t="s">
        <v>1909</v>
      </c>
      <c r="C89" s="4" t="str">
        <f>B89</f>
        <v>ConformanceRuns</v>
      </c>
      <c r="D89" s="3" t="s">
        <v>9741</v>
      </c>
      <c r="E89" s="3" t="s">
        <v>9742</v>
      </c>
      <c r="F89" s="3" t="s">
        <v>9675</v>
      </c>
      <c r="G89" s="3" t="b">
        <v>1</v>
      </c>
      <c r="H89" s="4">
        <f>COUNTIFS(RulebookFields!C2:C1898, A89)</f>
        <v>16</v>
      </c>
      <c r="I89" s="4">
        <f>COUNTIFS(AccessPolicies!D2:D203, A89)</f>
        <v>0</v>
      </c>
      <c r="J89" s="4" t="b">
        <f>I89 = 0</f>
        <v>1</v>
      </c>
      <c r="K89" s="4">
        <f>COUNTIFS(TableConformance!O2:O624, A89)</f>
        <v>0</v>
      </c>
      <c r="L89" s="3" t="s">
        <v>9650</v>
      </c>
    </row>
    <row r="90">
      <c r="A90" s="3" t="s">
        <v>1913</v>
      </c>
      <c r="B90" s="3" t="s">
        <v>1913</v>
      </c>
      <c r="C90" s="4" t="str">
        <f>B90</f>
        <v>SubstrateRunScores</v>
      </c>
      <c r="D90" s="3" t="s">
        <v>9743</v>
      </c>
      <c r="E90" s="3" t="s">
        <v>9744</v>
      </c>
      <c r="F90" s="3" t="s">
        <v>9675</v>
      </c>
      <c r="G90" s="3" t="b">
        <v>1</v>
      </c>
      <c r="H90" s="4">
        <f>COUNTIFS(RulebookFields!C2:C1898, A90)</f>
        <v>27</v>
      </c>
      <c r="I90" s="4">
        <f>COUNTIFS(AccessPolicies!D2:D203, A90)</f>
        <v>0</v>
      </c>
      <c r="J90" s="4" t="b">
        <f>I90 = 0</f>
        <v>1</v>
      </c>
      <c r="K90" s="4">
        <f>COUNTIFS(TableConformance!O2:O624, A90)</f>
        <v>0</v>
      </c>
      <c r="L90" s="3" t="s">
        <v>9650</v>
      </c>
    </row>
    <row r="91">
      <c r="A91" s="3" t="s">
        <v>1917</v>
      </c>
      <c r="B91" s="3" t="s">
        <v>1917</v>
      </c>
      <c r="C91" s="4" t="str">
        <f>B91</f>
        <v>TableConformance</v>
      </c>
      <c r="D91" s="3" t="s">
        <v>9745</v>
      </c>
      <c r="E91" s="3" t="s">
        <v>9746</v>
      </c>
      <c r="F91" s="3" t="s">
        <v>9675</v>
      </c>
      <c r="G91" s="3" t="b">
        <v>1</v>
      </c>
      <c r="H91" s="4">
        <f>COUNTIFS(RulebookFields!C2:C1898, A91)</f>
        <v>19</v>
      </c>
      <c r="I91" s="4">
        <f>COUNTIFS(AccessPolicies!D2:D203, A91)</f>
        <v>0</v>
      </c>
      <c r="J91" s="4" t="b">
        <f>I91 = 0</f>
        <v>1</v>
      </c>
      <c r="K91" s="4">
        <f>COUNTIFS(TableConformance!O2:O624, A91)</f>
        <v>0</v>
      </c>
      <c r="L91" s="3" t="s">
        <v>9650</v>
      </c>
    </row>
    <row r="92">
      <c r="A92" s="3" t="s">
        <v>1921</v>
      </c>
      <c r="B92" s="3" t="s">
        <v>1921</v>
      </c>
      <c r="C92" s="4" t="str">
        <f>B92</f>
        <v>FieldDisagreements</v>
      </c>
      <c r="D92" s="3" t="s">
        <v>9747</v>
      </c>
      <c r="E92" s="3" t="s">
        <v>9748</v>
      </c>
      <c r="F92" s="3" t="s">
        <v>9675</v>
      </c>
      <c r="G92" s="3" t="b">
        <v>1</v>
      </c>
      <c r="H92" s="4">
        <f>COUNTIFS(RulebookFields!C2:C1898, A92)</f>
        <v>13</v>
      </c>
      <c r="I92" s="4">
        <f>COUNTIFS(AccessPolicies!D2:D203, A92)</f>
        <v>0</v>
      </c>
      <c r="J92" s="4" t="b">
        <f>I92 = 0</f>
        <v>1</v>
      </c>
      <c r="K92" s="4">
        <f>COUNTIFS(TableConformance!O2:O624, A92)</f>
        <v>0</v>
      </c>
      <c r="L92" s="3" t="s">
        <v>9650</v>
      </c>
    </row>
    <row r="93">
      <c r="A93" s="3" t="s">
        <v>1925</v>
      </c>
      <c r="B93" s="3" t="s">
        <v>1925</v>
      </c>
      <c r="C93" s="4" t="str">
        <f>B93</f>
        <v>CellDisagreements</v>
      </c>
      <c r="D93" s="3" t="s">
        <v>9749</v>
      </c>
      <c r="E93" s="3" t="s">
        <v>9750</v>
      </c>
      <c r="F93" s="3" t="s">
        <v>9675</v>
      </c>
      <c r="G93" s="3" t="b">
        <v>1</v>
      </c>
      <c r="H93" s="4">
        <f>COUNTIFS(RulebookFields!C2:C1898, A93)</f>
        <v>10</v>
      </c>
      <c r="I93" s="4">
        <f>COUNTIFS(AccessPolicies!D2:D203, A93)</f>
        <v>0</v>
      </c>
      <c r="J93" s="4" t="b">
        <f>I93 = 0</f>
        <v>1</v>
      </c>
      <c r="K93" s="4">
        <f>COUNTIFS(TableConformance!O2:O624, A93)</f>
        <v>1</v>
      </c>
      <c r="L93" s="3" t="s">
        <v>9650</v>
      </c>
    </row>
  </sheetData>
  <autoFilter ref="A1:L1"/>
  <headerFooter/>
  <legacyDrawing r:id="rId1"/>
</worksheet>
</file>

<file path=xl/worksheets/sheet7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33.99167251586914" customWidth="1"/>
    <col min="2" max="2" width="35.03915786743164" customWidth="1"/>
    <col min="3" max="3" width="35.03915786743164" customWidth="1"/>
    <col min="4" max="4" width="25.59624671936035" customWidth="1"/>
    <col min="5" max="5" width="29.93674087524414" customWidth="1"/>
    <col min="6" max="6" width="29.93674087524414" customWidth="1"/>
    <col min="7" max="7" width="17.443378448486328" customWidth="1"/>
    <col min="8" max="8" width="19.201013565063477" customWidth="1"/>
    <col min="9" max="9" width="35.03915786743164" customWidth="1"/>
    <col min="10" max="10" width="17.443378448486328" customWidth="1"/>
    <col min="11" max="11" width="17.443378448486328" customWidth="1"/>
    <col min="12" max="12" width="18.02218246459961" customWidth="1"/>
    <col min="13" max="13" width="17.443378448486328" customWidth="1"/>
    <col min="14" max="14" width="17.443378448486328" customWidth="1"/>
    <col min="15" max="15" width="42.9775505065918" customWidth="1"/>
  </cols>
  <sheetData>
    <row r="1">
      <c r="A1" s="2" t="s">
        <v>5380</v>
      </c>
      <c r="B1" s="2" t="s">
        <v>1</v>
      </c>
      <c r="C1" s="2" t="s">
        <v>19</v>
      </c>
      <c r="D1" s="2" t="s">
        <v>5384</v>
      </c>
      <c r="E1" s="2" t="s">
        <v>5386</v>
      </c>
      <c r="F1" s="2" t="s">
        <v>5388</v>
      </c>
      <c r="G1" s="2" t="s">
        <v>5390</v>
      </c>
      <c r="H1" s="2" t="s">
        <v>5392</v>
      </c>
      <c r="I1" s="2" t="s">
        <v>5395</v>
      </c>
      <c r="J1" s="2" t="s">
        <v>5370</v>
      </c>
      <c r="K1" s="2" t="s">
        <v>5400</v>
      </c>
      <c r="L1" s="2" t="s">
        <v>5403</v>
      </c>
      <c r="M1" s="2" t="s">
        <v>5406</v>
      </c>
      <c r="N1" s="2" t="s">
        <v>5408</v>
      </c>
      <c r="O1" s="2" t="s">
        <v>94</v>
      </c>
    </row>
    <row r="2">
      <c r="A2" s="3" t="s">
        <v>9751</v>
      </c>
      <c r="B2" s="4" t="str">
        <f>C2</f>
        <v>Finance Analyst</v>
      </c>
      <c r="C2" s="3" t="s">
        <v>204</v>
      </c>
      <c r="D2" s="3" t="s">
        <v>203</v>
      </c>
      <c r="E2" s="3" t="s">
        <v>9752</v>
      </c>
      <c r="F2" s="3" t="s">
        <v>9752</v>
      </c>
      <c r="G2" s="3" t="b">
        <v>0</v>
      </c>
      <c r="H2" s="4" t="str">
        <f>_xlfn.IFNA(IF(((INDEX(Roles!D2:D13, MATCH(D2,Roles!A2:A13, 0))="")=TRUE),  "",  INDEX(Roles!D2:D13, MATCH(D2,Roles!A2:A13, 0))), "")</f>
        <v>acme-finance</v>
      </c>
      <c r="I2" s="4" t="str">
        <f>_xlfn.IFNA(IF(((INDEX(Roles!C2:C13, MATCH(D2,Roles!A2:A13, 0))="")=TRUE),  "",  INDEX(Roles!C2:C13, MATCH(D2,Roles!A2:A13, 0))), "")</f>
        <v>Finance Analyst</v>
      </c>
      <c r="J2" s="4">
        <f>COUNTIFS(AccessPolicies!C2:C203, A2)</f>
        <v>7</v>
      </c>
      <c r="K2" s="4">
        <f>COUNTIFS(FieldGrants!C2:C3640, A2)</f>
        <v>51</v>
      </c>
      <c r="L2" s="4">
        <f>COUNTIFS(RoleSchemaViews!D2:D203, A2)</f>
        <v>7</v>
      </c>
      <c r="M2" s="4" t="b">
        <f>J2 = 0</f>
        <v>0</v>
      </c>
      <c r="N2" s="4" t="b">
        <f>AND(((NOT(((G2)=TRUE)))=TRUE), ((L2 &gt;= 74)=TRUE))</f>
        <v>0</v>
      </c>
      <c r="O2" s="3" t="s">
        <v>9753</v>
      </c>
    </row>
    <row r="3">
      <c r="A3" s="3" t="s">
        <v>9754</v>
      </c>
      <c r="B3" s="4" t="str">
        <f>C3</f>
        <v>Corporate Controller</v>
      </c>
      <c r="C3" s="3" t="s">
        <v>209</v>
      </c>
      <c r="D3" s="3" t="s">
        <v>208</v>
      </c>
      <c r="E3" s="3" t="s">
        <v>9755</v>
      </c>
      <c r="F3" s="3" t="s">
        <v>9755</v>
      </c>
      <c r="G3" s="3" t="b">
        <v>0</v>
      </c>
      <c r="H3" s="4" t="str">
        <f>_xlfn.IFNA(IF(((INDEX(Roles!D2:D13, MATCH(D3,Roles!A2:A13, 0))="")=TRUE),  "",  INDEX(Roles!D2:D13, MATCH(D3,Roles!A2:A13, 0))), "")</f>
        <v>acme-finance</v>
      </c>
      <c r="I3" s="4" t="str">
        <f>_xlfn.IFNA(IF(((INDEX(Roles!C2:C13, MATCH(D3,Roles!A2:A13, 0))="")=TRUE),  "",  INDEX(Roles!C2:C13, MATCH(D3,Roles!A2:A13, 0))), "")</f>
        <v>Corporate Controller</v>
      </c>
      <c r="J3" s="4">
        <f>COUNTIFS(AccessPolicies!C2:C203, A3)</f>
        <v>8</v>
      </c>
      <c r="K3" s="4">
        <f>COUNTIFS(FieldGrants!C2:C3640, A3)</f>
        <v>69</v>
      </c>
      <c r="L3" s="4">
        <f>COUNTIFS(RoleSchemaViews!D2:D203, A3)</f>
        <v>8</v>
      </c>
      <c r="M3" s="4" t="b">
        <f>J3 = 0</f>
        <v>0</v>
      </c>
      <c r="N3" s="4" t="b">
        <f>AND(((NOT(((G3)=TRUE)))=TRUE), ((L3 &gt;= 74)=TRUE))</f>
        <v>0</v>
      </c>
      <c r="O3" s="3" t="s">
        <v>9753</v>
      </c>
    </row>
    <row r="4">
      <c r="A4" s="3" t="s">
        <v>9756</v>
      </c>
      <c r="B4" s="4" t="str">
        <f>C4</f>
        <v>Chief Financial Officer</v>
      </c>
      <c r="C4" s="3" t="s">
        <v>213</v>
      </c>
      <c r="D4" s="3" t="s">
        <v>212</v>
      </c>
      <c r="E4" s="3" t="s">
        <v>9757</v>
      </c>
      <c r="F4" s="3" t="s">
        <v>9757</v>
      </c>
      <c r="G4" s="3" t="b">
        <v>0</v>
      </c>
      <c r="H4" s="4" t="str">
        <f>_xlfn.IFNA(IF(((INDEX(Roles!D2:D13, MATCH(D4,Roles!A2:A13, 0))="")=TRUE),  "",  INDEX(Roles!D2:D13, MATCH(D4,Roles!A2:A13, 0))), "")</f>
        <v>acme-finance</v>
      </c>
      <c r="I4" s="4" t="str">
        <f>_xlfn.IFNA(IF(((INDEX(Roles!C2:C13, MATCH(D4,Roles!A2:A13, 0))="")=TRUE),  "",  INDEX(Roles!C2:C13, MATCH(D4,Roles!A2:A13, 0))), "")</f>
        <v>Chief Financial Officer</v>
      </c>
      <c r="J4" s="4">
        <f>COUNTIFS(AccessPolicies!C2:C203, A4)</f>
        <v>5</v>
      </c>
      <c r="K4" s="4">
        <f>COUNTIFS(FieldGrants!C2:C3640, A4)</f>
        <v>37</v>
      </c>
      <c r="L4" s="4">
        <f>COUNTIFS(RoleSchemaViews!D2:D203, A4)</f>
        <v>5</v>
      </c>
      <c r="M4" s="4" t="b">
        <f>J4 = 0</f>
        <v>0</v>
      </c>
      <c r="N4" s="4" t="b">
        <f>AND(((NOT(((G4)=TRUE)))=TRUE), ((L4 &gt;= 74)=TRUE))</f>
        <v>0</v>
      </c>
      <c r="O4" s="3" t="s">
        <v>9753</v>
      </c>
    </row>
    <row r="5">
      <c r="A5" s="3" t="s">
        <v>9758</v>
      </c>
      <c r="B5" s="4" t="str">
        <f>C5</f>
        <v>People Policy Owner</v>
      </c>
      <c r="C5" s="3" t="s">
        <v>217</v>
      </c>
      <c r="D5" s="3" t="s">
        <v>216</v>
      </c>
      <c r="E5" s="3" t="s">
        <v>9759</v>
      </c>
      <c r="F5" s="3" t="s">
        <v>9759</v>
      </c>
      <c r="G5" s="3" t="b">
        <v>0</v>
      </c>
      <c r="H5" s="4" t="str">
        <f>_xlfn.IFNA(IF(((INDEX(Roles!D2:D13, MATCH(D5,Roles!A2:A13, 0))="")=TRUE),  "",  INDEX(Roles!D2:D13, MATCH(D5,Roles!A2:A13, 0))), "")</f>
        <v>acme-people</v>
      </c>
      <c r="I5" s="4" t="str">
        <f>_xlfn.IFNA(IF(((INDEX(Roles!C2:C13, MATCH(D5,Roles!A2:A13, 0))="")=TRUE),  "",  INDEX(Roles!C2:C13, MATCH(D5,Roles!A2:A13, 0))), "")</f>
        <v>People Policy Owner</v>
      </c>
      <c r="J5" s="4">
        <f>COUNTIFS(AccessPolicies!C2:C203, A5)</f>
        <v>6</v>
      </c>
      <c r="K5" s="4">
        <f>COUNTIFS(FieldGrants!C2:C3640, A5)</f>
        <v>56</v>
      </c>
      <c r="L5" s="4">
        <f>COUNTIFS(RoleSchemaViews!D2:D203, A5)</f>
        <v>6</v>
      </c>
      <c r="M5" s="4" t="b">
        <f>J5 = 0</f>
        <v>0</v>
      </c>
      <c r="N5" s="4" t="b">
        <f>AND(((NOT(((G5)=TRUE)))=TRUE), ((L5 &gt;= 74)=TRUE))</f>
        <v>0</v>
      </c>
      <c r="O5" s="3" t="s">
        <v>9753</v>
      </c>
    </row>
    <row r="6">
      <c r="A6" s="3" t="s">
        <v>9760</v>
      </c>
      <c r="B6" s="4" t="str">
        <f>C6</f>
        <v>Employment Counsel</v>
      </c>
      <c r="C6" s="3" t="s">
        <v>221</v>
      </c>
      <c r="D6" s="3" t="s">
        <v>220</v>
      </c>
      <c r="E6" s="3" t="s">
        <v>9761</v>
      </c>
      <c r="F6" s="3" t="s">
        <v>9761</v>
      </c>
      <c r="G6" s="3" t="b">
        <v>0</v>
      </c>
      <c r="H6" s="4" t="str">
        <f>_xlfn.IFNA(IF(((INDEX(Roles!D2:D13, MATCH(D6,Roles!A2:A13, 0))="")=TRUE),  "",  INDEX(Roles!D2:D13, MATCH(D6,Roles!A2:A13, 0))), "")</f>
        <v>acme-legal</v>
      </c>
      <c r="I6" s="4" t="str">
        <f>_xlfn.IFNA(IF(((INDEX(Roles!C2:C13, MATCH(D6,Roles!A2:A13, 0))="")=TRUE),  "",  INDEX(Roles!C2:C13, MATCH(D6,Roles!A2:A13, 0))), "")</f>
        <v>Employment Counsel</v>
      </c>
      <c r="J6" s="4">
        <f>COUNTIFS(AccessPolicies!C2:C203, A6)</f>
        <v>5</v>
      </c>
      <c r="K6" s="4">
        <f>COUNTIFS(FieldGrants!C2:C3640, A6)</f>
        <v>40</v>
      </c>
      <c r="L6" s="4">
        <f>COUNTIFS(RoleSchemaViews!D2:D203, A6)</f>
        <v>5</v>
      </c>
      <c r="M6" s="4" t="b">
        <f>J6 = 0</f>
        <v>0</v>
      </c>
      <c r="N6" s="4" t="b">
        <f>AND(((NOT(((G6)=TRUE)))=TRUE), ((L6 &gt;= 74)=TRUE))</f>
        <v>0</v>
      </c>
      <c r="O6" s="3" t="s">
        <v>9753</v>
      </c>
    </row>
    <row r="7">
      <c r="A7" s="3" t="s">
        <v>9762</v>
      </c>
      <c r="B7" s="4" t="str">
        <f>C7</f>
        <v>Employee Communications Manager</v>
      </c>
      <c r="C7" s="3" t="s">
        <v>225</v>
      </c>
      <c r="D7" s="3" t="s">
        <v>224</v>
      </c>
      <c r="E7" s="3" t="s">
        <v>9763</v>
      </c>
      <c r="F7" s="3" t="s">
        <v>9763</v>
      </c>
      <c r="G7" s="3" t="b">
        <v>0</v>
      </c>
      <c r="H7" s="4" t="str">
        <f>_xlfn.IFNA(IF(((INDEX(Roles!D2:D13, MATCH(D7,Roles!A2:A13, 0))="")=TRUE),  "",  INDEX(Roles!D2:D13, MATCH(D7,Roles!A2:A13, 0))), "")</f>
        <v>acme-people</v>
      </c>
      <c r="I7" s="4" t="str">
        <f>_xlfn.IFNA(IF(((INDEX(Roles!C2:C13, MATCH(D7,Roles!A2:A13, 0))="")=TRUE),  "",  INDEX(Roles!C2:C13, MATCH(D7,Roles!A2:A13, 0))), "")</f>
        <v>Employee Communications Manager</v>
      </c>
      <c r="J7" s="4">
        <f>COUNTIFS(AccessPolicies!C2:C203, A7)</f>
        <v>6</v>
      </c>
      <c r="K7" s="4">
        <f>COUNTIFS(FieldGrants!C2:C3640, A7)</f>
        <v>57</v>
      </c>
      <c r="L7" s="4">
        <f>COUNTIFS(RoleSchemaViews!D2:D203, A7)</f>
        <v>6</v>
      </c>
      <c r="M7" s="4" t="b">
        <f>J7 = 0</f>
        <v>0</v>
      </c>
      <c r="N7" s="4" t="b">
        <f>AND(((NOT(((G7)=TRUE)))=TRUE), ((L7 &gt;= 74)=TRUE))</f>
        <v>0</v>
      </c>
      <c r="O7" s="3" t="s">
        <v>9753</v>
      </c>
    </row>
    <row r="8">
      <c r="A8" s="3" t="s">
        <v>9764</v>
      </c>
      <c r="B8" s="4" t="str">
        <f>C8</f>
        <v>Close Automation Operator</v>
      </c>
      <c r="C8" s="3" t="s">
        <v>229</v>
      </c>
      <c r="D8" s="3" t="s">
        <v>228</v>
      </c>
      <c r="E8" s="3" t="s">
        <v>9765</v>
      </c>
      <c r="F8" s="3" t="s">
        <v>9765</v>
      </c>
      <c r="G8" s="3" t="b">
        <v>0</v>
      </c>
      <c r="H8" s="4" t="str">
        <f>_xlfn.IFNA(IF(((INDEX(Roles!D2:D13, MATCH(D8,Roles!A2:A13, 0))="")=TRUE),  "",  INDEX(Roles!D2:D13, MATCH(D8,Roles!A2:A13, 0))), "")</f>
        <v>acme-finance</v>
      </c>
      <c r="I8" s="4" t="str">
        <f>_xlfn.IFNA(IF(((INDEX(Roles!C2:C13, MATCH(D8,Roles!A2:A13, 0))="")=TRUE),  "",  INDEX(Roles!C2:C13, MATCH(D8,Roles!A2:A13, 0))), "")</f>
        <v>Close Automation Operator</v>
      </c>
      <c r="J8" s="4">
        <f>COUNTIFS(AccessPolicies!C2:C203, A8)</f>
        <v>3</v>
      </c>
      <c r="K8" s="4">
        <f>COUNTIFS(FieldGrants!C2:C3640, A8)</f>
        <v>23</v>
      </c>
      <c r="L8" s="4">
        <f>COUNTIFS(RoleSchemaViews!D2:D203, A8)</f>
        <v>3</v>
      </c>
      <c r="M8" s="4" t="b">
        <f>J8 = 0</f>
        <v>0</v>
      </c>
      <c r="N8" s="4" t="b">
        <f>AND(((NOT(((G8)=TRUE)))=TRUE), ((L8 &gt;= 74)=TRUE))</f>
        <v>0</v>
      </c>
      <c r="O8" s="3" t="s">
        <v>9753</v>
      </c>
    </row>
    <row r="9">
      <c r="A9" s="3" t="s">
        <v>9766</v>
      </c>
      <c r="B9" s="4" t="str">
        <f>C9</f>
        <v>Variance Review Agent</v>
      </c>
      <c r="C9" s="3" t="s">
        <v>233</v>
      </c>
      <c r="D9" s="3" t="s">
        <v>232</v>
      </c>
      <c r="E9" s="3" t="s">
        <v>9767</v>
      </c>
      <c r="F9" s="3" t="s">
        <v>9767</v>
      </c>
      <c r="G9" s="3" t="b">
        <v>0</v>
      </c>
      <c r="H9" s="4" t="str">
        <f>_xlfn.IFNA(IF(((INDEX(Roles!D2:D13, MATCH(D9,Roles!A2:A13, 0))="")=TRUE),  "",  INDEX(Roles!D2:D13, MATCH(D9,Roles!A2:A13, 0))), "")</f>
        <v>acme-finance</v>
      </c>
      <c r="I9" s="4" t="str">
        <f>_xlfn.IFNA(IF(((INDEX(Roles!C2:C13, MATCH(D9,Roles!A2:A13, 0))="")=TRUE),  "",  INDEX(Roles!C2:C13, MATCH(D9,Roles!A2:A13, 0))), "")</f>
        <v>Variance Review Agent</v>
      </c>
      <c r="J9" s="4">
        <f>COUNTIFS(AccessPolicies!C2:C203, A9)</f>
        <v>5</v>
      </c>
      <c r="K9" s="4">
        <f>COUNTIFS(FieldGrants!C2:C3640, A9)</f>
        <v>35</v>
      </c>
      <c r="L9" s="4">
        <f>COUNTIFS(RoleSchemaViews!D2:D203, A9)</f>
        <v>5</v>
      </c>
      <c r="M9" s="4" t="b">
        <f>J9 = 0</f>
        <v>0</v>
      </c>
      <c r="N9" s="4" t="b">
        <f>AND(((NOT(((G9)=TRUE)))=TRUE), ((L9 &gt;= 74)=TRUE))</f>
        <v>0</v>
      </c>
      <c r="O9" s="3" t="s">
        <v>9753</v>
      </c>
    </row>
    <row r="10">
      <c r="A10" s="3" t="s">
        <v>9768</v>
      </c>
      <c r="B10" s="4" t="str">
        <f>C10</f>
        <v>Policy Drafting Agent</v>
      </c>
      <c r="C10" s="3" t="s">
        <v>237</v>
      </c>
      <c r="D10" s="3" t="s">
        <v>236</v>
      </c>
      <c r="E10" s="3" t="s">
        <v>9769</v>
      </c>
      <c r="F10" s="3" t="s">
        <v>9769</v>
      </c>
      <c r="G10" s="3" t="b">
        <v>0</v>
      </c>
      <c r="H10" s="4" t="str">
        <f>_xlfn.IFNA(IF(((INDEX(Roles!D2:D13, MATCH(D10,Roles!A2:A13, 0))="")=TRUE),  "",  INDEX(Roles!D2:D13, MATCH(D10,Roles!A2:A13, 0))), "")</f>
        <v>acme-people</v>
      </c>
      <c r="I10" s="4" t="str">
        <f>_xlfn.IFNA(IF(((INDEX(Roles!C2:C13, MATCH(D10,Roles!A2:A13, 0))="")=TRUE),  "",  INDEX(Roles!C2:C13, MATCH(D10,Roles!A2:A13, 0))), "")</f>
        <v>Policy Drafting Agent</v>
      </c>
      <c r="J10" s="4">
        <f>COUNTIFS(AccessPolicies!C2:C203, A10)</f>
        <v>4</v>
      </c>
      <c r="K10" s="4">
        <f>COUNTIFS(FieldGrants!C2:C3640, A10)</f>
        <v>29</v>
      </c>
      <c r="L10" s="4">
        <f>COUNTIFS(RoleSchemaViews!D2:D203, A10)</f>
        <v>4</v>
      </c>
      <c r="M10" s="4" t="b">
        <f>J10 = 0</f>
        <v>0</v>
      </c>
      <c r="N10" s="4" t="b">
        <f>AND(((NOT(((G10)=TRUE)))=TRUE), ((L10 &gt;= 74)=TRUE))</f>
        <v>0</v>
      </c>
      <c r="O10" s="3" t="s">
        <v>9753</v>
      </c>
    </row>
    <row r="11">
      <c r="A11" s="3" t="s">
        <v>9770</v>
      </c>
      <c r="B11" s="4" t="str">
        <f>C11</f>
        <v>Notification Publisher</v>
      </c>
      <c r="C11" s="3" t="s">
        <v>241</v>
      </c>
      <c r="D11" s="3" t="s">
        <v>240</v>
      </c>
      <c r="E11" s="3" t="s">
        <v>9771</v>
      </c>
      <c r="F11" s="3" t="s">
        <v>9771</v>
      </c>
      <c r="G11" s="3" t="b">
        <v>0</v>
      </c>
      <c r="H11" s="4" t="str">
        <f>_xlfn.IFNA(IF(((INDEX(Roles!D2:D13, MATCH(D11,Roles!A2:A13, 0))="")=TRUE),  "",  INDEX(Roles!D2:D13, MATCH(D11,Roles!A2:A13, 0))), "")</f>
        <v>acme-people</v>
      </c>
      <c r="I11" s="4" t="str">
        <f>_xlfn.IFNA(IF(((INDEX(Roles!C2:C13, MATCH(D11,Roles!A2:A13, 0))="")=TRUE),  "",  INDEX(Roles!C2:C13, MATCH(D11,Roles!A2:A13, 0))), "")</f>
        <v>Notification Publisher</v>
      </c>
      <c r="J11" s="4">
        <f>COUNTIFS(AccessPolicies!C2:C203, A11)</f>
        <v>5</v>
      </c>
      <c r="K11" s="4">
        <f>COUNTIFS(FieldGrants!C2:C3640, A11)</f>
        <v>36</v>
      </c>
      <c r="L11" s="4">
        <f>COUNTIFS(RoleSchemaViews!D2:D203, A11)</f>
        <v>5</v>
      </c>
      <c r="M11" s="4" t="b">
        <f>J11 = 0</f>
        <v>0</v>
      </c>
      <c r="N11" s="4" t="b">
        <f>AND(((NOT(((G11)=TRUE)))=TRUE), ((L11 &gt;= 74)=TRUE))</f>
        <v>0</v>
      </c>
      <c r="O11" s="3" t="s">
        <v>9753</v>
      </c>
    </row>
    <row r="12">
      <c r="A12" s="3" t="s">
        <v>9772</v>
      </c>
      <c r="B12" s="4" t="str">
        <f>C12</f>
        <v>Procedural Knowledge Steward</v>
      </c>
      <c r="C12" s="3" t="s">
        <v>245</v>
      </c>
      <c r="D12" s="3" t="s">
        <v>244</v>
      </c>
      <c r="E12" s="3" t="s">
        <v>9773</v>
      </c>
      <c r="F12" s="3" t="s">
        <v>9773</v>
      </c>
      <c r="G12" s="3" t="b">
        <v>1</v>
      </c>
      <c r="H12" s="4" t="str">
        <f>_xlfn.IFNA(IF(((INDEX(Roles!D2:D13, MATCH(D12,Roles!A2:A13, 0))="")=TRUE),  "",  INDEX(Roles!D2:D13, MATCH(D12,Roles!A2:A13, 0))), "")</f>
        <v>acme-people</v>
      </c>
      <c r="I12" s="4" t="str">
        <f>_xlfn.IFNA(IF(((INDEX(Roles!C2:C13, MATCH(D12,Roles!A2:A13, 0))="")=TRUE),  "",  INDEX(Roles!C2:C13, MATCH(D12,Roles!A2:A13, 0))), "")</f>
        <v>Procedural Knowledge Steward</v>
      </c>
      <c r="J12" s="4">
        <f>COUNTIFS(AccessPolicies!C2:C203, A12)</f>
        <v>74</v>
      </c>
      <c r="K12" s="4">
        <f>COUNTIFS(FieldGrants!C2:C3640, A12)</f>
        <v>1603</v>
      </c>
      <c r="L12" s="4">
        <f>COUNTIFS(RoleSchemaViews!D2:D203, A12)</f>
        <v>74</v>
      </c>
      <c r="M12" s="4" t="b">
        <f>J12 = 0</f>
        <v>0</v>
      </c>
      <c r="N12" s="4" t="b">
        <f>AND(((NOT(((G12)=TRUE)))=TRUE), ((L12 &gt;= 74)=TRUE))</f>
        <v>0</v>
      </c>
      <c r="O12" s="3" t="s">
        <v>9753</v>
      </c>
    </row>
    <row r="13">
      <c r="A13" s="3" t="s">
        <v>9774</v>
      </c>
      <c r="B13" s="4" t="str">
        <f>C13</f>
        <v>Procedural Knowledge Authority</v>
      </c>
      <c r="C13" s="3" t="s">
        <v>249</v>
      </c>
      <c r="D13" s="3" t="s">
        <v>248</v>
      </c>
      <c r="E13" s="3" t="s">
        <v>9775</v>
      </c>
      <c r="F13" s="3" t="s">
        <v>9775</v>
      </c>
      <c r="G13" s="3" t="b">
        <v>1</v>
      </c>
      <c r="H13" s="4" t="str">
        <f>_xlfn.IFNA(IF(((INDEX(Roles!D2:D13, MATCH(D13,Roles!A2:A13, 0))="")=TRUE),  "",  INDEX(Roles!D2:D13, MATCH(D13,Roles!A2:A13, 0))), "")</f>
        <v>acme-finance</v>
      </c>
      <c r="I13" s="4" t="str">
        <f>_xlfn.IFNA(IF(((INDEX(Roles!C2:C13, MATCH(D13,Roles!A2:A13, 0))="")=TRUE),  "",  INDEX(Roles!C2:C13, MATCH(D13,Roles!A2:A13, 0))), "")</f>
        <v>Procedural Knowledge Authority</v>
      </c>
      <c r="J13" s="4">
        <f>COUNTIFS(AccessPolicies!C2:C203, A13)</f>
        <v>74</v>
      </c>
      <c r="K13" s="4">
        <f>COUNTIFS(FieldGrants!C2:C3640, A13)</f>
        <v>1603</v>
      </c>
      <c r="L13" s="4">
        <f>COUNTIFS(RoleSchemaViews!D2:D203, A13)</f>
        <v>74</v>
      </c>
      <c r="M13" s="4" t="b">
        <f>J13 = 0</f>
        <v>0</v>
      </c>
      <c r="N13" s="4" t="b">
        <f>AND(((NOT(((G13)=TRUE)))=TRUE), ((L13 &gt;= 74)=TRUE))</f>
        <v>0</v>
      </c>
      <c r="O13" s="3" t="s">
        <v>9753</v>
      </c>
    </row>
  </sheetData>
  <autoFilter ref="A1:O1"/>
  <headerFooter/>
  <legacyDrawing r:id="rId1"/>
</worksheet>
</file>

<file path=xl/worksheets/sheet7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203"/>
  <sheetViews>
    <sheetView workbookViewId="0">
      <pane ySplit="1" topLeftCell="A2" state="frozen" activePane="bottomLeft"/>
      <selection pane="bottomLeft" activeCell="A1" sqref="A1"/>
    </sheetView>
  </sheetViews>
  <sheetFormatPr defaultRowHeight="15"/>
  <cols>
    <col min="1" max="1" width="58.06645965576172" customWidth="1"/>
    <col min="2" max="2" width="64.84781646728516" customWidth="1"/>
    <col min="3" max="3" width="33.99167251586914" customWidth="1"/>
    <col min="4" max="4" width="25.653127670288086" customWidth="1"/>
    <col min="5" max="5" width="17.443378448486328" customWidth="1"/>
    <col min="6" max="6" width="55.537315368652344" customWidth="1"/>
    <col min="7" max="7" width="17.443378448486328" customWidth="1"/>
    <col min="8" max="8" width="208.50082397460938" customWidth="1"/>
    <col min="9" max="9" width="20.972410202026367" customWidth="1"/>
    <col min="10" max="10" width="17.743370056152344" customWidth="1"/>
    <col min="11" max="11" width="17.443378448486328" customWidth="1"/>
    <col min="12" max="12" width="17.443378448486328" customWidth="1"/>
    <col min="13" max="13" width="29.273351669311523" customWidth="1"/>
    <col min="14" max="14" width="20.159423828125" customWidth="1"/>
    <col min="15" max="15" width="17.443378448486328" customWidth="1"/>
    <col min="16" max="16" width="40.328826904296875" customWidth="1"/>
  </cols>
  <sheetData>
    <row r="1">
      <c r="A1" s="2" t="s">
        <v>5413</v>
      </c>
      <c r="B1" s="2" t="s">
        <v>1</v>
      </c>
      <c r="C1" s="2" t="s">
        <v>5417</v>
      </c>
      <c r="D1" s="2" t="s">
        <v>2404</v>
      </c>
      <c r="E1" s="2" t="s">
        <v>5420</v>
      </c>
      <c r="F1" s="2" t="s">
        <v>5422</v>
      </c>
      <c r="G1" s="2" t="s">
        <v>5424</v>
      </c>
      <c r="H1" s="2" t="s">
        <v>93</v>
      </c>
      <c r="I1" s="2" t="s">
        <v>5427</v>
      </c>
      <c r="J1" s="2" t="s">
        <v>5429</v>
      </c>
      <c r="K1" s="2" t="s">
        <v>5432</v>
      </c>
      <c r="L1" s="2" t="s">
        <v>5435</v>
      </c>
      <c r="M1" s="2" t="s">
        <v>5438</v>
      </c>
      <c r="N1" s="2" t="s">
        <v>5441</v>
      </c>
      <c r="O1" s="2" t="s">
        <v>5444</v>
      </c>
      <c r="P1" s="2" t="s">
        <v>94</v>
      </c>
    </row>
    <row r="2">
      <c r="A2" s="3" t="s">
        <v>9776</v>
      </c>
      <c r="B2" s="4" t="str">
        <f>C2 &amp; " " &amp; E2 &amp; " " &amp; D2</f>
        <v>principal-finance-analyst SELECT Steps</v>
      </c>
      <c r="C2" s="3" t="s">
        <v>9751</v>
      </c>
      <c r="D2" s="3" t="s">
        <v>1778</v>
      </c>
      <c r="E2" s="3" t="s">
        <v>9777</v>
      </c>
      <c r="F2" s="3" t="s">
        <v>168</v>
      </c>
      <c r="G2" s="3" t="s">
        <v>168</v>
      </c>
      <c r="H2" s="3" t="s">
        <v>9778</v>
      </c>
      <c r="I2" s="3" t="b">
        <v>0</v>
      </c>
      <c r="J2" s="4" t="b">
        <f>OR(((E2 = "INSERT")=TRUE), ((E2 = "UPDATE")=TRUE), ((E2 = "DELETE")=TRUE), ((E2 = "ALL")=TRUE))</f>
        <v>0</v>
      </c>
      <c r="K2" s="4" t="b">
        <f>F2 = ""</f>
        <v>1</v>
      </c>
      <c r="L2" s="4" t="b">
        <f>_xlfn.IFNA(IF(((INDEX(AccessPrincipals!G2:G13, MATCH(C2,AccessPrincipals!A2:A13, 0))="")=TRUE),  "",  INDEX(AccessPrincipals!G2:G13, MATCH(C2,AccessPrincipals!A2:A13, 0))), "")</f>
        <v>0</v>
      </c>
      <c r="M2" s="4" t="b">
        <f>AND(((K2)=TRUE), ((NOT(((L2)=TRUE)))=TRUE))</f>
        <v>1</v>
      </c>
      <c r="N2" s="4" t="b">
        <f>AND(((J2)=TRUE), ((O2 = 0)=TRUE))</f>
        <v>0</v>
      </c>
      <c r="O2" s="4">
        <f>COUNTIFS(AccessDenialTests!C2:C18, A2)</f>
        <v>0</v>
      </c>
      <c r="P2" s="3" t="s">
        <v>9779</v>
      </c>
    </row>
    <row r="3">
      <c r="A3" s="3" t="s">
        <v>9780</v>
      </c>
      <c r="B3" s="4" t="str">
        <f>C3 &amp; " " &amp; E3 &amp; " " &amp; D3</f>
        <v>principal-finance-analyst SELECT StepExecutions</v>
      </c>
      <c r="C3" s="3" t="s">
        <v>9751</v>
      </c>
      <c r="D3" s="3" t="s">
        <v>1827</v>
      </c>
      <c r="E3" s="3" t="s">
        <v>9777</v>
      </c>
      <c r="F3" s="3" t="s">
        <v>168</v>
      </c>
      <c r="G3" s="3" t="s">
        <v>168</v>
      </c>
      <c r="H3" s="3" t="s">
        <v>9778</v>
      </c>
      <c r="I3" s="3" t="b">
        <v>0</v>
      </c>
      <c r="J3" s="4" t="b">
        <f>OR(((E3 = "INSERT")=TRUE), ((E3 = "UPDATE")=TRUE), ((E3 = "DELETE")=TRUE), ((E3 = "ALL")=TRUE))</f>
        <v>0</v>
      </c>
      <c r="K3" s="4" t="b">
        <f>F3 = ""</f>
        <v>1</v>
      </c>
      <c r="L3" s="4" t="b">
        <f>_xlfn.IFNA(IF(((INDEX(AccessPrincipals!G2:G13, MATCH(C3,AccessPrincipals!A2:A13, 0))="")=TRUE),  "",  INDEX(AccessPrincipals!G2:G13, MATCH(C3,AccessPrincipals!A2:A13, 0))), "")</f>
        <v>0</v>
      </c>
      <c r="M3" s="4" t="b">
        <f>AND(((K3)=TRUE), ((NOT(((L3)=TRUE)))=TRUE))</f>
        <v>1</v>
      </c>
      <c r="N3" s="4" t="b">
        <f>AND(((J3)=TRUE), ((O3 = 0)=TRUE))</f>
        <v>0</v>
      </c>
      <c r="O3" s="4">
        <f>COUNTIFS(AccessDenialTests!C2:C18, A3)</f>
        <v>0</v>
      </c>
      <c r="P3" s="3" t="s">
        <v>9779</v>
      </c>
    </row>
    <row r="4">
      <c r="A4" s="3" t="s">
        <v>9781</v>
      </c>
      <c r="B4" s="4" t="str">
        <f>C4 &amp; " " &amp; E4 &amp; " " &amp; D4</f>
        <v>principal-finance-analyst SELECT ProcedureExecutions</v>
      </c>
      <c r="C4" s="3" t="s">
        <v>9751</v>
      </c>
      <c r="D4" s="3" t="s">
        <v>1824</v>
      </c>
      <c r="E4" s="3" t="s">
        <v>9777</v>
      </c>
      <c r="F4" s="3" t="s">
        <v>168</v>
      </c>
      <c r="G4" s="3" t="s">
        <v>168</v>
      </c>
      <c r="H4" s="3" t="s">
        <v>9778</v>
      </c>
      <c r="I4" s="3" t="b">
        <v>0</v>
      </c>
      <c r="J4" s="4" t="b">
        <f>OR(((E4 = "INSERT")=TRUE), ((E4 = "UPDATE")=TRUE), ((E4 = "DELETE")=TRUE), ((E4 = "ALL")=TRUE))</f>
        <v>0</v>
      </c>
      <c r="K4" s="4" t="b">
        <f>F4 = ""</f>
        <v>1</v>
      </c>
      <c r="L4" s="4" t="b">
        <f>_xlfn.IFNA(IF(((INDEX(AccessPrincipals!G2:G13, MATCH(C4,AccessPrincipals!A2:A13, 0))="")=TRUE),  "",  INDEX(AccessPrincipals!G2:G13, MATCH(C4,AccessPrincipals!A2:A13, 0))), "")</f>
        <v>0</v>
      </c>
      <c r="M4" s="4" t="b">
        <f>AND(((K4)=TRUE), ((NOT(((L4)=TRUE)))=TRUE))</f>
        <v>1</v>
      </c>
      <c r="N4" s="4" t="b">
        <f>AND(((J4)=TRUE), ((O4 = 0)=TRUE))</f>
        <v>0</v>
      </c>
      <c r="O4" s="4">
        <f>COUNTIFS(AccessDenialTests!C2:C18, A4)</f>
        <v>0</v>
      </c>
      <c r="P4" s="3" t="s">
        <v>9779</v>
      </c>
    </row>
    <row r="5">
      <c r="A5" s="3" t="s">
        <v>9782</v>
      </c>
      <c r="B5" s="4" t="str">
        <f>C5 &amp; " " &amp; E5 &amp; " " &amp; D5</f>
        <v>principal-finance-analyst SELECT Requirements</v>
      </c>
      <c r="C5" s="3" t="s">
        <v>9751</v>
      </c>
      <c r="D5" s="3" t="s">
        <v>1805</v>
      </c>
      <c r="E5" s="3" t="s">
        <v>9777</v>
      </c>
      <c r="F5" s="3" t="s">
        <v>168</v>
      </c>
      <c r="G5" s="3" t="s">
        <v>168</v>
      </c>
      <c r="H5" s="3" t="s">
        <v>9778</v>
      </c>
      <c r="I5" s="3" t="b">
        <v>0</v>
      </c>
      <c r="J5" s="4" t="b">
        <f>OR(((E5 = "INSERT")=TRUE), ((E5 = "UPDATE")=TRUE), ((E5 = "DELETE")=TRUE), ((E5 = "ALL")=TRUE))</f>
        <v>0</v>
      </c>
      <c r="K5" s="4" t="b">
        <f>F5 = ""</f>
        <v>1</v>
      </c>
      <c r="L5" s="4" t="b">
        <f>_xlfn.IFNA(IF(((INDEX(AccessPrincipals!G2:G13, MATCH(C5,AccessPrincipals!A2:A13, 0))="")=TRUE),  "",  INDEX(AccessPrincipals!G2:G13, MATCH(C5,AccessPrincipals!A2:A13, 0))), "")</f>
        <v>0</v>
      </c>
      <c r="M5" s="4" t="b">
        <f>AND(((K5)=TRUE), ((NOT(((L5)=TRUE)))=TRUE))</f>
        <v>1</v>
      </c>
      <c r="N5" s="4" t="b">
        <f>AND(((J5)=TRUE), ((O5 = 0)=TRUE))</f>
        <v>0</v>
      </c>
      <c r="O5" s="4">
        <f>COUNTIFS(AccessDenialTests!C2:C18, A5)</f>
        <v>0</v>
      </c>
      <c r="P5" s="3" t="s">
        <v>9779</v>
      </c>
    </row>
    <row r="6">
      <c r="A6" s="3" t="s">
        <v>9783</v>
      </c>
      <c r="B6" s="4" t="str">
        <f>C6 &amp; " " &amp; E6 &amp; " " &amp; D6</f>
        <v>principal-finance-analyst SELECT RequirementSatisfactions</v>
      </c>
      <c r="C6" s="3" t="s">
        <v>9751</v>
      </c>
      <c r="D6" s="3" t="s">
        <v>1830</v>
      </c>
      <c r="E6" s="3" t="s">
        <v>9777</v>
      </c>
      <c r="F6" s="3" t="s">
        <v>168</v>
      </c>
      <c r="G6" s="3" t="s">
        <v>168</v>
      </c>
      <c r="H6" s="3" t="s">
        <v>9778</v>
      </c>
      <c r="I6" s="3" t="b">
        <v>0</v>
      </c>
      <c r="J6" s="4" t="b">
        <f>OR(((E6 = "INSERT")=TRUE), ((E6 = "UPDATE")=TRUE), ((E6 = "DELETE")=TRUE), ((E6 = "ALL")=TRUE))</f>
        <v>0</v>
      </c>
      <c r="K6" s="4" t="b">
        <f>F6 = ""</f>
        <v>1</v>
      </c>
      <c r="L6" s="4" t="b">
        <f>_xlfn.IFNA(IF(((INDEX(AccessPrincipals!G2:G13, MATCH(C6,AccessPrincipals!A2:A13, 0))="")=TRUE),  "",  INDEX(AccessPrincipals!G2:G13, MATCH(C6,AccessPrincipals!A2:A13, 0))), "")</f>
        <v>0</v>
      </c>
      <c r="M6" s="4" t="b">
        <f>AND(((K6)=TRUE), ((NOT(((L6)=TRUE)))=TRUE))</f>
        <v>1</v>
      </c>
      <c r="N6" s="4" t="b">
        <f>AND(((J6)=TRUE), ((O6 = 0)=TRUE))</f>
        <v>0</v>
      </c>
      <c r="O6" s="4">
        <f>COUNTIFS(AccessDenialTests!C2:C18, A6)</f>
        <v>0</v>
      </c>
      <c r="P6" s="3" t="s">
        <v>9779</v>
      </c>
    </row>
    <row r="7">
      <c r="A7" s="3" t="s">
        <v>9784</v>
      </c>
      <c r="B7" s="4" t="str">
        <f>C7 &amp; " " &amp; E7 &amp; " " &amp; D7</f>
        <v>principal-finance-analyst SELECT Procedures</v>
      </c>
      <c r="C7" s="3" t="s">
        <v>9751</v>
      </c>
      <c r="D7" s="3" t="s">
        <v>1762</v>
      </c>
      <c r="E7" s="3" t="s">
        <v>9777</v>
      </c>
      <c r="F7" s="3" t="s">
        <v>168</v>
      </c>
      <c r="G7" s="3" t="s">
        <v>168</v>
      </c>
      <c r="H7" s="3" t="s">
        <v>9778</v>
      </c>
      <c r="I7" s="3" t="b">
        <v>0</v>
      </c>
      <c r="J7" s="4" t="b">
        <f>OR(((E7 = "INSERT")=TRUE), ((E7 = "UPDATE")=TRUE), ((E7 = "DELETE")=TRUE), ((E7 = "ALL")=TRUE))</f>
        <v>0</v>
      </c>
      <c r="K7" s="4" t="b">
        <f>F7 = ""</f>
        <v>1</v>
      </c>
      <c r="L7" s="4" t="b">
        <f>_xlfn.IFNA(IF(((INDEX(AccessPrincipals!G2:G13, MATCH(C7,AccessPrincipals!A2:A13, 0))="")=TRUE),  "",  INDEX(AccessPrincipals!G2:G13, MATCH(C7,AccessPrincipals!A2:A13, 0))), "")</f>
        <v>0</v>
      </c>
      <c r="M7" s="4" t="b">
        <f>AND(((K7)=TRUE), ((NOT(((L7)=TRUE)))=TRUE))</f>
        <v>1</v>
      </c>
      <c r="N7" s="4" t="b">
        <f>AND(((J7)=TRUE), ((O7 = 0)=TRUE))</f>
        <v>0</v>
      </c>
      <c r="O7" s="4">
        <f>COUNTIFS(AccessDenialTests!C2:C18, A7)</f>
        <v>0</v>
      </c>
      <c r="P7" s="3" t="s">
        <v>9779</v>
      </c>
    </row>
    <row r="8">
      <c r="A8" s="3" t="s">
        <v>9785</v>
      </c>
      <c r="B8" s="4" t="str">
        <f>C8 &amp; " " &amp; E8 &amp; " " &amp; D8</f>
        <v>principal-finance-analyst SELECT ProcedureVersions</v>
      </c>
      <c r="C8" s="3" t="s">
        <v>9751</v>
      </c>
      <c r="D8" s="3" t="s">
        <v>1767</v>
      </c>
      <c r="E8" s="3" t="s">
        <v>9777</v>
      </c>
      <c r="F8" s="3" t="s">
        <v>9786</v>
      </c>
      <c r="G8" s="3" t="s">
        <v>168</v>
      </c>
      <c r="H8" s="3" t="s">
        <v>9787</v>
      </c>
      <c r="I8" s="3" t="b">
        <v>0</v>
      </c>
      <c r="J8" s="4" t="b">
        <f>OR(((E8 = "INSERT")=TRUE), ((E8 = "UPDATE")=TRUE), ((E8 = "DELETE")=TRUE), ((E8 = "ALL")=TRUE))</f>
        <v>0</v>
      </c>
      <c r="K8" s="4" t="b">
        <f>F8 = ""</f>
        <v>0</v>
      </c>
      <c r="L8" s="4" t="b">
        <f>_xlfn.IFNA(IF(((INDEX(AccessPrincipals!G2:G13, MATCH(C8,AccessPrincipals!A2:A13, 0))="")=TRUE),  "",  INDEX(AccessPrincipals!G2:G13, MATCH(C8,AccessPrincipals!A2:A13, 0))), "")</f>
        <v>0</v>
      </c>
      <c r="M8" s="4" t="b">
        <f>AND(((K8)=TRUE), ((NOT(((L8)=TRUE)))=TRUE))</f>
        <v>0</v>
      </c>
      <c r="N8" s="4" t="b">
        <f>AND(((J8)=TRUE), ((O8 = 0)=TRUE))</f>
        <v>0</v>
      </c>
      <c r="O8" s="4">
        <f>COUNTIFS(AccessDenialTests!C2:C18, A8)</f>
        <v>2</v>
      </c>
      <c r="P8" s="3" t="s">
        <v>9779</v>
      </c>
    </row>
    <row r="9">
      <c r="A9" s="3" t="s">
        <v>9788</v>
      </c>
      <c r="B9" s="4" t="str">
        <f>C9 &amp; " " &amp; E9 &amp; " " &amp; D9</f>
        <v>principal-controller SELECT Steps</v>
      </c>
      <c r="C9" s="3" t="s">
        <v>9754</v>
      </c>
      <c r="D9" s="3" t="s">
        <v>1778</v>
      </c>
      <c r="E9" s="3" t="s">
        <v>9777</v>
      </c>
      <c r="F9" s="3" t="s">
        <v>168</v>
      </c>
      <c r="G9" s="3" t="s">
        <v>168</v>
      </c>
      <c r="H9" s="3" t="s">
        <v>9789</v>
      </c>
      <c r="I9" s="3" t="b">
        <v>0</v>
      </c>
      <c r="J9" s="4" t="b">
        <f>OR(((E9 = "INSERT")=TRUE), ((E9 = "UPDATE")=TRUE), ((E9 = "DELETE")=TRUE), ((E9 = "ALL")=TRUE))</f>
        <v>0</v>
      </c>
      <c r="K9" s="4" t="b">
        <f>F9 = ""</f>
        <v>1</v>
      </c>
      <c r="L9" s="4" t="b">
        <f>_xlfn.IFNA(IF(((INDEX(AccessPrincipals!G2:G13, MATCH(C9,AccessPrincipals!A2:A13, 0))="")=TRUE),  "",  INDEX(AccessPrincipals!G2:G13, MATCH(C9,AccessPrincipals!A2:A13, 0))), "")</f>
        <v>0</v>
      </c>
      <c r="M9" s="4" t="b">
        <f>AND(((K9)=TRUE), ((NOT(((L9)=TRUE)))=TRUE))</f>
        <v>1</v>
      </c>
      <c r="N9" s="4" t="b">
        <f>AND(((J9)=TRUE), ((O9 = 0)=TRUE))</f>
        <v>0</v>
      </c>
      <c r="O9" s="4">
        <f>COUNTIFS(AccessDenialTests!C2:C18, A9)</f>
        <v>0</v>
      </c>
      <c r="P9" s="3" t="s">
        <v>9779</v>
      </c>
    </row>
    <row r="10">
      <c r="A10" s="3" t="s">
        <v>9790</v>
      </c>
      <c r="B10" s="4" t="str">
        <f>C10 &amp; " " &amp; E10 &amp; " " &amp; D10</f>
        <v>principal-controller SELECT StepExecutions</v>
      </c>
      <c r="C10" s="3" t="s">
        <v>9754</v>
      </c>
      <c r="D10" s="3" t="s">
        <v>1827</v>
      </c>
      <c r="E10" s="3" t="s">
        <v>9777</v>
      </c>
      <c r="F10" s="3" t="s">
        <v>168</v>
      </c>
      <c r="G10" s="3" t="s">
        <v>168</v>
      </c>
      <c r="H10" s="3" t="s">
        <v>9789</v>
      </c>
      <c r="I10" s="3" t="b">
        <v>0</v>
      </c>
      <c r="J10" s="4" t="b">
        <f>OR(((E10 = "INSERT")=TRUE), ((E10 = "UPDATE")=TRUE), ((E10 = "DELETE")=TRUE), ((E10 = "ALL")=TRUE))</f>
        <v>0</v>
      </c>
      <c r="K10" s="4" t="b">
        <f>F10 = ""</f>
        <v>1</v>
      </c>
      <c r="L10" s="4" t="b">
        <f>_xlfn.IFNA(IF(((INDEX(AccessPrincipals!G2:G13, MATCH(C10,AccessPrincipals!A2:A13, 0))="")=TRUE),  "",  INDEX(AccessPrincipals!G2:G13, MATCH(C10,AccessPrincipals!A2:A13, 0))), "")</f>
        <v>0</v>
      </c>
      <c r="M10" s="4" t="b">
        <f>AND(((K10)=TRUE), ((NOT(((L10)=TRUE)))=TRUE))</f>
        <v>1</v>
      </c>
      <c r="N10" s="4" t="b">
        <f>AND(((J10)=TRUE), ((O10 = 0)=TRUE))</f>
        <v>0</v>
      </c>
      <c r="O10" s="4">
        <f>COUNTIFS(AccessDenialTests!C2:C18, A10)</f>
        <v>0</v>
      </c>
      <c r="P10" s="3" t="s">
        <v>9779</v>
      </c>
    </row>
    <row r="11">
      <c r="A11" s="3" t="s">
        <v>9791</v>
      </c>
      <c r="B11" s="4" t="str">
        <f>C11 &amp; " " &amp; E11 &amp; " " &amp; D11</f>
        <v>principal-controller SELECT ProcedureExecutions</v>
      </c>
      <c r="C11" s="3" t="s">
        <v>9754</v>
      </c>
      <c r="D11" s="3" t="s">
        <v>1824</v>
      </c>
      <c r="E11" s="3" t="s">
        <v>9777</v>
      </c>
      <c r="F11" s="3" t="s">
        <v>168</v>
      </c>
      <c r="G11" s="3" t="s">
        <v>168</v>
      </c>
      <c r="H11" s="3" t="s">
        <v>9789</v>
      </c>
      <c r="I11" s="3" t="b">
        <v>0</v>
      </c>
      <c r="J11" s="4" t="b">
        <f>OR(((E11 = "INSERT")=TRUE), ((E11 = "UPDATE")=TRUE), ((E11 = "DELETE")=TRUE), ((E11 = "ALL")=TRUE))</f>
        <v>0</v>
      </c>
      <c r="K11" s="4" t="b">
        <f>F11 = ""</f>
        <v>1</v>
      </c>
      <c r="L11" s="4" t="b">
        <f>_xlfn.IFNA(IF(((INDEX(AccessPrincipals!G2:G13, MATCH(C11,AccessPrincipals!A2:A13, 0))="")=TRUE),  "",  INDEX(AccessPrincipals!G2:G13, MATCH(C11,AccessPrincipals!A2:A13, 0))), "")</f>
        <v>0</v>
      </c>
      <c r="M11" s="4" t="b">
        <f>AND(((K11)=TRUE), ((NOT(((L11)=TRUE)))=TRUE))</f>
        <v>1</v>
      </c>
      <c r="N11" s="4" t="b">
        <f>AND(((J11)=TRUE), ((O11 = 0)=TRUE))</f>
        <v>0</v>
      </c>
      <c r="O11" s="4">
        <f>COUNTIFS(AccessDenialTests!C2:C18, A11)</f>
        <v>0</v>
      </c>
      <c r="P11" s="3" t="s">
        <v>9779</v>
      </c>
    </row>
    <row r="12">
      <c r="A12" s="3" t="s">
        <v>9792</v>
      </c>
      <c r="B12" s="4" t="str">
        <f>C12 &amp; " " &amp; E12 &amp; " " &amp; D12</f>
        <v>principal-controller SELECT Exceptions</v>
      </c>
      <c r="C12" s="3" t="s">
        <v>9754</v>
      </c>
      <c r="D12" s="3" t="s">
        <v>3161</v>
      </c>
      <c r="E12" s="3" t="s">
        <v>9777</v>
      </c>
      <c r="F12" s="3" t="s">
        <v>168</v>
      </c>
      <c r="G12" s="3" t="s">
        <v>168</v>
      </c>
      <c r="H12" s="3" t="s">
        <v>9789</v>
      </c>
      <c r="I12" s="3" t="b">
        <v>0</v>
      </c>
      <c r="J12" s="4" t="b">
        <f>OR(((E12 = "INSERT")=TRUE), ((E12 = "UPDATE")=TRUE), ((E12 = "DELETE")=TRUE), ((E12 = "ALL")=TRUE))</f>
        <v>0</v>
      </c>
      <c r="K12" s="4" t="b">
        <f>F12 = ""</f>
        <v>1</v>
      </c>
      <c r="L12" s="4" t="b">
        <f>_xlfn.IFNA(IF(((INDEX(AccessPrincipals!G2:G13, MATCH(C12,AccessPrincipals!A2:A13, 0))="")=TRUE),  "",  INDEX(AccessPrincipals!G2:G13, MATCH(C12,AccessPrincipals!A2:A13, 0))), "")</f>
        <v>0</v>
      </c>
      <c r="M12" s="4" t="b">
        <f>AND(((K12)=TRUE), ((NOT(((L12)=TRUE)))=TRUE))</f>
        <v>1</v>
      </c>
      <c r="N12" s="4" t="b">
        <f>AND(((J12)=TRUE), ((O12 = 0)=TRUE))</f>
        <v>0</v>
      </c>
      <c r="O12" s="4">
        <f>COUNTIFS(AccessDenialTests!C2:C18, A12)</f>
        <v>0</v>
      </c>
      <c r="P12" s="3" t="s">
        <v>9779</v>
      </c>
    </row>
    <row r="13">
      <c r="A13" s="3" t="s">
        <v>9793</v>
      </c>
      <c r="B13" s="4" t="str">
        <f>C13 &amp; " " &amp; E13 &amp; " " &amp; D13</f>
        <v>principal-controller SELECT ChangeRequests</v>
      </c>
      <c r="C13" s="3" t="s">
        <v>9754</v>
      </c>
      <c r="D13" s="3" t="s">
        <v>3914</v>
      </c>
      <c r="E13" s="3" t="s">
        <v>9777</v>
      </c>
      <c r="F13" s="3" t="s">
        <v>9794</v>
      </c>
      <c r="G13" s="3" t="s">
        <v>168</v>
      </c>
      <c r="H13" s="3" t="s">
        <v>9795</v>
      </c>
      <c r="I13" s="3" t="b">
        <v>1</v>
      </c>
      <c r="J13" s="4" t="b">
        <f>OR(((E13 = "INSERT")=TRUE), ((E13 = "UPDATE")=TRUE), ((E13 = "DELETE")=TRUE), ((E13 = "ALL")=TRUE))</f>
        <v>0</v>
      </c>
      <c r="K13" s="4" t="b">
        <f>F13 = ""</f>
        <v>0</v>
      </c>
      <c r="L13" s="4" t="b">
        <f>_xlfn.IFNA(IF(((INDEX(AccessPrincipals!G2:G13, MATCH(C13,AccessPrincipals!A2:A13, 0))="")=TRUE),  "",  INDEX(AccessPrincipals!G2:G13, MATCH(C13,AccessPrincipals!A2:A13, 0))), "")</f>
        <v>0</v>
      </c>
      <c r="M13" s="4" t="b">
        <f>AND(((K13)=TRUE), ((NOT(((L13)=TRUE)))=TRUE))</f>
        <v>0</v>
      </c>
      <c r="N13" s="4" t="b">
        <f>AND(((J13)=TRUE), ((O13 = 0)=TRUE))</f>
        <v>0</v>
      </c>
      <c r="O13" s="4">
        <f>COUNTIFS(AccessDenialTests!C2:C18, A13)</f>
        <v>2</v>
      </c>
      <c r="P13" s="3" t="s">
        <v>9779</v>
      </c>
    </row>
    <row r="14">
      <c r="A14" s="3" t="s">
        <v>9796</v>
      </c>
      <c r="B14" s="4" t="str">
        <f>C14 &amp; " " &amp; E14 &amp; " " &amp; D14</f>
        <v>principal-controller SELECT KnowledgeFragments</v>
      </c>
      <c r="C14" s="3" t="s">
        <v>9754</v>
      </c>
      <c r="D14" s="3" t="s">
        <v>1851</v>
      </c>
      <c r="E14" s="3" t="s">
        <v>9777</v>
      </c>
      <c r="F14" s="3" t="s">
        <v>9797</v>
      </c>
      <c r="G14" s="3" t="s">
        <v>168</v>
      </c>
      <c r="H14" s="3" t="s">
        <v>9798</v>
      </c>
      <c r="I14" s="3" t="b">
        <v>0</v>
      </c>
      <c r="J14" s="4" t="b">
        <f>OR(((E14 = "INSERT")=TRUE), ((E14 = "UPDATE")=TRUE), ((E14 = "DELETE")=TRUE), ((E14 = "ALL")=TRUE))</f>
        <v>0</v>
      </c>
      <c r="K14" s="4" t="b">
        <f>F14 = ""</f>
        <v>0</v>
      </c>
      <c r="L14" s="4" t="b">
        <f>_xlfn.IFNA(IF(((INDEX(AccessPrincipals!G2:G13, MATCH(C14,AccessPrincipals!A2:A13, 0))="")=TRUE),  "",  INDEX(AccessPrincipals!G2:G13, MATCH(C14,AccessPrincipals!A2:A13, 0))), "")</f>
        <v>0</v>
      </c>
      <c r="M14" s="4" t="b">
        <f>AND(((K14)=TRUE), ((NOT(((L14)=TRUE)))=TRUE))</f>
        <v>0</v>
      </c>
      <c r="N14" s="4" t="b">
        <f>AND(((J14)=TRUE), ((O14 = 0)=TRUE))</f>
        <v>0</v>
      </c>
      <c r="O14" s="4">
        <f>COUNTIFS(AccessDenialTests!C2:C18, A14)</f>
        <v>1</v>
      </c>
      <c r="P14" s="3" t="s">
        <v>9779</v>
      </c>
    </row>
    <row r="15">
      <c r="A15" s="3" t="s">
        <v>9799</v>
      </c>
      <c r="B15" s="4" t="str">
        <f>C15 &amp; " " &amp; E15 &amp; " " &amp; D15</f>
        <v>principal-controller SELECT Requirements</v>
      </c>
      <c r="C15" s="3" t="s">
        <v>9754</v>
      </c>
      <c r="D15" s="3" t="s">
        <v>1805</v>
      </c>
      <c r="E15" s="3" t="s">
        <v>9777</v>
      </c>
      <c r="F15" s="3" t="s">
        <v>168</v>
      </c>
      <c r="G15" s="3" t="s">
        <v>168</v>
      </c>
      <c r="H15" s="3" t="s">
        <v>9789</v>
      </c>
      <c r="I15" s="3" t="b">
        <v>0</v>
      </c>
      <c r="J15" s="4" t="b">
        <f>OR(((E15 = "INSERT")=TRUE), ((E15 = "UPDATE")=TRUE), ((E15 = "DELETE")=TRUE), ((E15 = "ALL")=TRUE))</f>
        <v>0</v>
      </c>
      <c r="K15" s="4" t="b">
        <f>F15 = ""</f>
        <v>1</v>
      </c>
      <c r="L15" s="4" t="b">
        <f>_xlfn.IFNA(IF(((INDEX(AccessPrincipals!G2:G13, MATCH(C15,AccessPrincipals!A2:A13, 0))="")=TRUE),  "",  INDEX(AccessPrincipals!G2:G13, MATCH(C15,AccessPrincipals!A2:A13, 0))), "")</f>
        <v>0</v>
      </c>
      <c r="M15" s="4" t="b">
        <f>AND(((K15)=TRUE), ((NOT(((L15)=TRUE)))=TRUE))</f>
        <v>1</v>
      </c>
      <c r="N15" s="4" t="b">
        <f>AND(((J15)=TRUE), ((O15 = 0)=TRUE))</f>
        <v>0</v>
      </c>
      <c r="O15" s="4">
        <f>COUNTIFS(AccessDenialTests!C2:C18, A15)</f>
        <v>0</v>
      </c>
      <c r="P15" s="3" t="s">
        <v>9779</v>
      </c>
    </row>
    <row r="16">
      <c r="A16" s="3" t="s">
        <v>9800</v>
      </c>
      <c r="B16" s="4" t="str">
        <f>C16 &amp; " " &amp; E16 &amp; " " &amp; D16</f>
        <v>principal-controller SELECT ProcedureVersions</v>
      </c>
      <c r="C16" s="3" t="s">
        <v>9754</v>
      </c>
      <c r="D16" s="3" t="s">
        <v>1767</v>
      </c>
      <c r="E16" s="3" t="s">
        <v>9777</v>
      </c>
      <c r="F16" s="3" t="s">
        <v>9786</v>
      </c>
      <c r="G16" s="3" t="s">
        <v>168</v>
      </c>
      <c r="H16" s="3" t="s">
        <v>9787</v>
      </c>
      <c r="I16" s="3" t="b">
        <v>0</v>
      </c>
      <c r="J16" s="4" t="b">
        <f>OR(((E16 = "INSERT")=TRUE), ((E16 = "UPDATE")=TRUE), ((E16 = "DELETE")=TRUE), ((E16 = "ALL")=TRUE))</f>
        <v>0</v>
      </c>
      <c r="K16" s="4" t="b">
        <f>F16 = ""</f>
        <v>0</v>
      </c>
      <c r="L16" s="4" t="b">
        <f>_xlfn.IFNA(IF(((INDEX(AccessPrincipals!G2:G13, MATCH(C16,AccessPrincipals!A2:A13, 0))="")=TRUE),  "",  INDEX(AccessPrincipals!G2:G13, MATCH(C16,AccessPrincipals!A2:A13, 0))), "")</f>
        <v>0</v>
      </c>
      <c r="M16" s="4" t="b">
        <f>AND(((K16)=TRUE), ((NOT(((L16)=TRUE)))=TRUE))</f>
        <v>0</v>
      </c>
      <c r="N16" s="4" t="b">
        <f>AND(((J16)=TRUE), ((O16 = 0)=TRUE))</f>
        <v>0</v>
      </c>
      <c r="O16" s="4">
        <f>COUNTIFS(AccessDenialTests!C2:C18, A16)</f>
        <v>0</v>
      </c>
      <c r="P16" s="3" t="s">
        <v>9779</v>
      </c>
    </row>
    <row r="17">
      <c r="A17" s="3" t="s">
        <v>9801</v>
      </c>
      <c r="B17" s="4" t="str">
        <f>C17 &amp; " " &amp; E17 &amp; " " &amp; D17</f>
        <v>principal-cfo SELECT ProcedureExecutions</v>
      </c>
      <c r="C17" s="3" t="s">
        <v>9756</v>
      </c>
      <c r="D17" s="3" t="s">
        <v>1824</v>
      </c>
      <c r="E17" s="3" t="s">
        <v>9777</v>
      </c>
      <c r="F17" s="3" t="s">
        <v>168</v>
      </c>
      <c r="G17" s="3" t="s">
        <v>168</v>
      </c>
      <c r="H17" s="3" t="s">
        <v>9802</v>
      </c>
      <c r="I17" s="3" t="b">
        <v>0</v>
      </c>
      <c r="J17" s="4" t="b">
        <f>OR(((E17 = "INSERT")=TRUE), ((E17 = "UPDATE")=TRUE), ((E17 = "DELETE")=TRUE), ((E17 = "ALL")=TRUE))</f>
        <v>0</v>
      </c>
      <c r="K17" s="4" t="b">
        <f>F17 = ""</f>
        <v>1</v>
      </c>
      <c r="L17" s="4" t="b">
        <f>_xlfn.IFNA(IF(((INDEX(AccessPrincipals!G2:G13, MATCH(C17,AccessPrincipals!A2:A13, 0))="")=TRUE),  "",  INDEX(AccessPrincipals!G2:G13, MATCH(C17,AccessPrincipals!A2:A13, 0))), "")</f>
        <v>0</v>
      </c>
      <c r="M17" s="4" t="b">
        <f>AND(((K17)=TRUE), ((NOT(((L17)=TRUE)))=TRUE))</f>
        <v>1</v>
      </c>
      <c r="N17" s="4" t="b">
        <f>AND(((J17)=TRUE), ((O17 = 0)=TRUE))</f>
        <v>0</v>
      </c>
      <c r="O17" s="4">
        <f>COUNTIFS(AccessDenialTests!C2:C18, A17)</f>
        <v>0</v>
      </c>
      <c r="P17" s="3" t="s">
        <v>9779</v>
      </c>
    </row>
    <row r="18">
      <c r="A18" s="3" t="s">
        <v>9803</v>
      </c>
      <c r="B18" s="4" t="str">
        <f>C18 &amp; " " &amp; E18 &amp; " " &amp; D18</f>
        <v>principal-cfo SELECT Exceptions</v>
      </c>
      <c r="C18" s="3" t="s">
        <v>9756</v>
      </c>
      <c r="D18" s="3" t="s">
        <v>3161</v>
      </c>
      <c r="E18" s="3" t="s">
        <v>9777</v>
      </c>
      <c r="F18" s="3" t="s">
        <v>168</v>
      </c>
      <c r="G18" s="3" t="s">
        <v>168</v>
      </c>
      <c r="H18" s="3" t="s">
        <v>9802</v>
      </c>
      <c r="I18" s="3" t="b">
        <v>0</v>
      </c>
      <c r="J18" s="4" t="b">
        <f>OR(((E18 = "INSERT")=TRUE), ((E18 = "UPDATE")=TRUE), ((E18 = "DELETE")=TRUE), ((E18 = "ALL")=TRUE))</f>
        <v>0</v>
      </c>
      <c r="K18" s="4" t="b">
        <f>F18 = ""</f>
        <v>1</v>
      </c>
      <c r="L18" s="4" t="b">
        <f>_xlfn.IFNA(IF(((INDEX(AccessPrincipals!G2:G13, MATCH(C18,AccessPrincipals!A2:A13, 0))="")=TRUE),  "",  INDEX(AccessPrincipals!G2:G13, MATCH(C18,AccessPrincipals!A2:A13, 0))), "")</f>
        <v>0</v>
      </c>
      <c r="M18" s="4" t="b">
        <f>AND(((K18)=TRUE), ((NOT(((L18)=TRUE)))=TRUE))</f>
        <v>1</v>
      </c>
      <c r="N18" s="4" t="b">
        <f>AND(((J18)=TRUE), ((O18 = 0)=TRUE))</f>
        <v>0</v>
      </c>
      <c r="O18" s="4">
        <f>COUNTIFS(AccessDenialTests!C2:C18, A18)</f>
        <v>0</v>
      </c>
      <c r="P18" s="3" t="s">
        <v>9779</v>
      </c>
    </row>
    <row r="19">
      <c r="A19" s="3" t="s">
        <v>9804</v>
      </c>
      <c r="B19" s="4" t="str">
        <f>C19 &amp; " " &amp; E19 &amp; " " &amp; D19</f>
        <v>principal-cfo SELECT ChangeRequests</v>
      </c>
      <c r="C19" s="3" t="s">
        <v>9756</v>
      </c>
      <c r="D19" s="3" t="s">
        <v>3914</v>
      </c>
      <c r="E19" s="3" t="s">
        <v>9777</v>
      </c>
      <c r="F19" s="3" t="s">
        <v>9794</v>
      </c>
      <c r="G19" s="3" t="s">
        <v>168</v>
      </c>
      <c r="H19" s="3" t="s">
        <v>9795</v>
      </c>
      <c r="I19" s="3" t="b">
        <v>1</v>
      </c>
      <c r="J19" s="4" t="b">
        <f>OR(((E19 = "INSERT")=TRUE), ((E19 = "UPDATE")=TRUE), ((E19 = "DELETE")=TRUE), ((E19 = "ALL")=TRUE))</f>
        <v>0</v>
      </c>
      <c r="K19" s="4" t="b">
        <f>F19 = ""</f>
        <v>0</v>
      </c>
      <c r="L19" s="4" t="b">
        <f>_xlfn.IFNA(IF(((INDEX(AccessPrincipals!G2:G13, MATCH(C19,AccessPrincipals!A2:A13, 0))="")=TRUE),  "",  INDEX(AccessPrincipals!G2:G13, MATCH(C19,AccessPrincipals!A2:A13, 0))), "")</f>
        <v>0</v>
      </c>
      <c r="M19" s="4" t="b">
        <f>AND(((K19)=TRUE), ((NOT(((L19)=TRUE)))=TRUE))</f>
        <v>0</v>
      </c>
      <c r="N19" s="4" t="b">
        <f>AND(((J19)=TRUE), ((O19 = 0)=TRUE))</f>
        <v>0</v>
      </c>
      <c r="O19" s="4">
        <f>COUNTIFS(AccessDenialTests!C2:C18, A19)</f>
        <v>0</v>
      </c>
      <c r="P19" s="3" t="s">
        <v>9779</v>
      </c>
    </row>
    <row r="20">
      <c r="A20" s="3" t="s">
        <v>9805</v>
      </c>
      <c r="B20" s="4" t="str">
        <f>C20 &amp; " " &amp; E20 &amp; " " &amp; D20</f>
        <v>principal-cfo SELECT AuthorityBoundaries</v>
      </c>
      <c r="C20" s="3" t="s">
        <v>9756</v>
      </c>
      <c r="D20" s="3" t="s">
        <v>5131</v>
      </c>
      <c r="E20" s="3" t="s">
        <v>9777</v>
      </c>
      <c r="F20" s="3" t="s">
        <v>168</v>
      </c>
      <c r="G20" s="3" t="s">
        <v>168</v>
      </c>
      <c r="H20" s="3" t="s">
        <v>9802</v>
      </c>
      <c r="I20" s="3" t="b">
        <v>0</v>
      </c>
      <c r="J20" s="4" t="b">
        <f>OR(((E20 = "INSERT")=TRUE), ((E20 = "UPDATE")=TRUE), ((E20 = "DELETE")=TRUE), ((E20 = "ALL")=TRUE))</f>
        <v>0</v>
      </c>
      <c r="K20" s="4" t="b">
        <f>F20 = ""</f>
        <v>1</v>
      </c>
      <c r="L20" s="4" t="b">
        <f>_xlfn.IFNA(IF(((INDEX(AccessPrincipals!G2:G13, MATCH(C20,AccessPrincipals!A2:A13, 0))="")=TRUE),  "",  INDEX(AccessPrincipals!G2:G13, MATCH(C20,AccessPrincipals!A2:A13, 0))), "")</f>
        <v>0</v>
      </c>
      <c r="M20" s="4" t="b">
        <f>AND(((K20)=TRUE), ((NOT(((L20)=TRUE)))=TRUE))</f>
        <v>1</v>
      </c>
      <c r="N20" s="4" t="b">
        <f>AND(((J20)=TRUE), ((O20 = 0)=TRUE))</f>
        <v>0</v>
      </c>
      <c r="O20" s="4">
        <f>COUNTIFS(AccessDenialTests!C2:C18, A20)</f>
        <v>0</v>
      </c>
      <c r="P20" s="3" t="s">
        <v>9779</v>
      </c>
    </row>
    <row r="21">
      <c r="A21" s="3" t="s">
        <v>9806</v>
      </c>
      <c r="B21" s="4" t="str">
        <f>C21 &amp; " " &amp; E21 &amp; " " &amp; D21</f>
        <v>principal-cfo SELECT Procedures</v>
      </c>
      <c r="C21" s="3" t="s">
        <v>9756</v>
      </c>
      <c r="D21" s="3" t="s">
        <v>1762</v>
      </c>
      <c r="E21" s="3" t="s">
        <v>9777</v>
      </c>
      <c r="F21" s="3" t="s">
        <v>168</v>
      </c>
      <c r="G21" s="3" t="s">
        <v>168</v>
      </c>
      <c r="H21" s="3" t="s">
        <v>9802</v>
      </c>
      <c r="I21" s="3" t="b">
        <v>0</v>
      </c>
      <c r="J21" s="4" t="b">
        <f>OR(((E21 = "INSERT")=TRUE), ((E21 = "UPDATE")=TRUE), ((E21 = "DELETE")=TRUE), ((E21 = "ALL")=TRUE))</f>
        <v>0</v>
      </c>
      <c r="K21" s="4" t="b">
        <f>F21 = ""</f>
        <v>1</v>
      </c>
      <c r="L21" s="4" t="b">
        <f>_xlfn.IFNA(IF(((INDEX(AccessPrincipals!G2:G13, MATCH(C21,AccessPrincipals!A2:A13, 0))="")=TRUE),  "",  INDEX(AccessPrincipals!G2:G13, MATCH(C21,AccessPrincipals!A2:A13, 0))), "")</f>
        <v>0</v>
      </c>
      <c r="M21" s="4" t="b">
        <f>AND(((K21)=TRUE), ((NOT(((L21)=TRUE)))=TRUE))</f>
        <v>1</v>
      </c>
      <c r="N21" s="4" t="b">
        <f>AND(((J21)=TRUE), ((O21 = 0)=TRUE))</f>
        <v>0</v>
      </c>
      <c r="O21" s="4">
        <f>COUNTIFS(AccessDenialTests!C2:C18, A21)</f>
        <v>0</v>
      </c>
      <c r="P21" s="3" t="s">
        <v>9779</v>
      </c>
    </row>
    <row r="22">
      <c r="A22" s="3" t="s">
        <v>9807</v>
      </c>
      <c r="B22" s="4" t="str">
        <f>C22 &amp; " " &amp; E22 &amp; " " &amp; D22</f>
        <v>principal-hr-policy-owner SELECT Steps</v>
      </c>
      <c r="C22" s="3" t="s">
        <v>9758</v>
      </c>
      <c r="D22" s="3" t="s">
        <v>1778</v>
      </c>
      <c r="E22" s="3" t="s">
        <v>9777</v>
      </c>
      <c r="F22" s="3" t="s">
        <v>168</v>
      </c>
      <c r="G22" s="3" t="s">
        <v>168</v>
      </c>
      <c r="H22" s="3" t="s">
        <v>9808</v>
      </c>
      <c r="I22" s="3" t="b">
        <v>0</v>
      </c>
      <c r="J22" s="4" t="b">
        <f>OR(((E22 = "INSERT")=TRUE), ((E22 = "UPDATE")=TRUE), ((E22 = "DELETE")=TRUE), ((E22 = "ALL")=TRUE))</f>
        <v>0</v>
      </c>
      <c r="K22" s="4" t="b">
        <f>F22 = ""</f>
        <v>1</v>
      </c>
      <c r="L22" s="4" t="b">
        <f>_xlfn.IFNA(IF(((INDEX(AccessPrincipals!G2:G13, MATCH(C22,AccessPrincipals!A2:A13, 0))="")=TRUE),  "",  INDEX(AccessPrincipals!G2:G13, MATCH(C22,AccessPrincipals!A2:A13, 0))), "")</f>
        <v>0</v>
      </c>
      <c r="M22" s="4" t="b">
        <f>AND(((K22)=TRUE), ((NOT(((L22)=TRUE)))=TRUE))</f>
        <v>1</v>
      </c>
      <c r="N22" s="4" t="b">
        <f>AND(((J22)=TRUE), ((O22 = 0)=TRUE))</f>
        <v>0</v>
      </c>
      <c r="O22" s="4">
        <f>COUNTIFS(AccessDenialTests!C2:C18, A22)</f>
        <v>0</v>
      </c>
      <c r="P22" s="3" t="s">
        <v>9779</v>
      </c>
    </row>
    <row r="23">
      <c r="A23" s="3" t="s">
        <v>9809</v>
      </c>
      <c r="B23" s="4" t="str">
        <f>C23 &amp; " " &amp; E23 &amp; " " &amp; D23</f>
        <v>principal-hr-policy-owner SELECT KnowledgeFragments</v>
      </c>
      <c r="C23" s="3" t="s">
        <v>9758</v>
      </c>
      <c r="D23" s="3" t="s">
        <v>1851</v>
      </c>
      <c r="E23" s="3" t="s">
        <v>9777</v>
      </c>
      <c r="F23" s="3" t="s">
        <v>9797</v>
      </c>
      <c r="G23" s="3" t="s">
        <v>168</v>
      </c>
      <c r="H23" s="3" t="s">
        <v>9798</v>
      </c>
      <c r="I23" s="3" t="b">
        <v>0</v>
      </c>
      <c r="J23" s="4" t="b">
        <f>OR(((E23 = "INSERT")=TRUE), ((E23 = "UPDATE")=TRUE), ((E23 = "DELETE")=TRUE), ((E23 = "ALL")=TRUE))</f>
        <v>0</v>
      </c>
      <c r="K23" s="4" t="b">
        <f>F23 = ""</f>
        <v>0</v>
      </c>
      <c r="L23" s="4" t="b">
        <f>_xlfn.IFNA(IF(((INDEX(AccessPrincipals!G2:G13, MATCH(C23,AccessPrincipals!A2:A13, 0))="")=TRUE),  "",  INDEX(AccessPrincipals!G2:G13, MATCH(C23,AccessPrincipals!A2:A13, 0))), "")</f>
        <v>0</v>
      </c>
      <c r="M23" s="4" t="b">
        <f>AND(((K23)=TRUE), ((NOT(((L23)=TRUE)))=TRUE))</f>
        <v>0</v>
      </c>
      <c r="N23" s="4" t="b">
        <f>AND(((J23)=TRUE), ((O23 = 0)=TRUE))</f>
        <v>0</v>
      </c>
      <c r="O23" s="4">
        <f>COUNTIFS(AccessDenialTests!C2:C18, A23)</f>
        <v>0</v>
      </c>
      <c r="P23" s="3" t="s">
        <v>9779</v>
      </c>
    </row>
    <row r="24">
      <c r="A24" s="3" t="s">
        <v>9810</v>
      </c>
      <c r="B24" s="4" t="str">
        <f>C24 &amp; " " &amp; E24 &amp; " " &amp; D24</f>
        <v>principal-hr-policy-owner SELECT KnowledgeGaps</v>
      </c>
      <c r="C24" s="3" t="s">
        <v>9758</v>
      </c>
      <c r="D24" s="3" t="s">
        <v>3368</v>
      </c>
      <c r="E24" s="3" t="s">
        <v>9777</v>
      </c>
      <c r="F24" s="3" t="s">
        <v>9811</v>
      </c>
      <c r="G24" s="3" t="s">
        <v>168</v>
      </c>
      <c r="H24" s="3" t="s">
        <v>9812</v>
      </c>
      <c r="I24" s="3" t="b">
        <v>1</v>
      </c>
      <c r="J24" s="4" t="b">
        <f>OR(((E24 = "INSERT")=TRUE), ((E24 = "UPDATE")=TRUE), ((E24 = "DELETE")=TRUE), ((E24 = "ALL")=TRUE))</f>
        <v>0</v>
      </c>
      <c r="K24" s="4" t="b">
        <f>F24 = ""</f>
        <v>0</v>
      </c>
      <c r="L24" s="4" t="b">
        <f>_xlfn.IFNA(IF(((INDEX(AccessPrincipals!G2:G13, MATCH(C24,AccessPrincipals!A2:A13, 0))="")=TRUE),  "",  INDEX(AccessPrincipals!G2:G13, MATCH(C24,AccessPrincipals!A2:A13, 0))), "")</f>
        <v>0</v>
      </c>
      <c r="M24" s="4" t="b">
        <f>AND(((K24)=TRUE), ((NOT(((L24)=TRUE)))=TRUE))</f>
        <v>0</v>
      </c>
      <c r="N24" s="4" t="b">
        <f>AND(((J24)=TRUE), ((O24 = 0)=TRUE))</f>
        <v>0</v>
      </c>
      <c r="O24" s="4">
        <f>COUNTIFS(AccessDenialTests!C2:C18, A24)</f>
        <v>2</v>
      </c>
      <c r="P24" s="3" t="s">
        <v>9779</v>
      </c>
    </row>
    <row r="25">
      <c r="A25" s="3" t="s">
        <v>9813</v>
      </c>
      <c r="B25" s="4" t="str">
        <f>C25 &amp; " " &amp; E25 &amp; " " &amp; D25</f>
        <v>principal-hr-policy-owner SELECT ChangeRequests</v>
      </c>
      <c r="C25" s="3" t="s">
        <v>9758</v>
      </c>
      <c r="D25" s="3" t="s">
        <v>3914</v>
      </c>
      <c r="E25" s="3" t="s">
        <v>9777</v>
      </c>
      <c r="F25" s="3" t="s">
        <v>9794</v>
      </c>
      <c r="G25" s="3" t="s">
        <v>168</v>
      </c>
      <c r="H25" s="3" t="s">
        <v>9795</v>
      </c>
      <c r="I25" s="3" t="b">
        <v>1</v>
      </c>
      <c r="J25" s="4" t="b">
        <f>OR(((E25 = "INSERT")=TRUE), ((E25 = "UPDATE")=TRUE), ((E25 = "DELETE")=TRUE), ((E25 = "ALL")=TRUE))</f>
        <v>0</v>
      </c>
      <c r="K25" s="4" t="b">
        <f>F25 = ""</f>
        <v>0</v>
      </c>
      <c r="L25" s="4" t="b">
        <f>_xlfn.IFNA(IF(((INDEX(AccessPrincipals!G2:G13, MATCH(C25,AccessPrincipals!A2:A13, 0))="")=TRUE),  "",  INDEX(AccessPrincipals!G2:G13, MATCH(C25,AccessPrincipals!A2:A13, 0))), "")</f>
        <v>0</v>
      </c>
      <c r="M25" s="4" t="b">
        <f>AND(((K25)=TRUE), ((NOT(((L25)=TRUE)))=TRUE))</f>
        <v>0</v>
      </c>
      <c r="N25" s="4" t="b">
        <f>AND(((J25)=TRUE), ((O25 = 0)=TRUE))</f>
        <v>0</v>
      </c>
      <c r="O25" s="4">
        <f>COUNTIFS(AccessDenialTests!C2:C18, A25)</f>
        <v>0</v>
      </c>
      <c r="P25" s="3" t="s">
        <v>9779</v>
      </c>
    </row>
    <row r="26">
      <c r="A26" s="3" t="s">
        <v>9814</v>
      </c>
      <c r="B26" s="4" t="str">
        <f>C26 &amp; " " &amp; E26 &amp; " " &amp; D26</f>
        <v>principal-hr-policy-owner SELECT Exceptions</v>
      </c>
      <c r="C26" s="3" t="s">
        <v>9758</v>
      </c>
      <c r="D26" s="3" t="s">
        <v>3161</v>
      </c>
      <c r="E26" s="3" t="s">
        <v>9777</v>
      </c>
      <c r="F26" s="3" t="s">
        <v>168</v>
      </c>
      <c r="G26" s="3" t="s">
        <v>168</v>
      </c>
      <c r="H26" s="3" t="s">
        <v>9808</v>
      </c>
      <c r="I26" s="3" t="b">
        <v>0</v>
      </c>
      <c r="J26" s="4" t="b">
        <f>OR(((E26 = "INSERT")=TRUE), ((E26 = "UPDATE")=TRUE), ((E26 = "DELETE")=TRUE), ((E26 = "ALL")=TRUE))</f>
        <v>0</v>
      </c>
      <c r="K26" s="4" t="b">
        <f>F26 = ""</f>
        <v>1</v>
      </c>
      <c r="L26" s="4" t="b">
        <f>_xlfn.IFNA(IF(((INDEX(AccessPrincipals!G2:G13, MATCH(C26,AccessPrincipals!A2:A13, 0))="")=TRUE),  "",  INDEX(AccessPrincipals!G2:G13, MATCH(C26,AccessPrincipals!A2:A13, 0))), "")</f>
        <v>0</v>
      </c>
      <c r="M26" s="4" t="b">
        <f>AND(((K26)=TRUE), ((NOT(((L26)=TRUE)))=TRUE))</f>
        <v>1</v>
      </c>
      <c r="N26" s="4" t="b">
        <f>AND(((J26)=TRUE), ((O26 = 0)=TRUE))</f>
        <v>0</v>
      </c>
      <c r="O26" s="4">
        <f>COUNTIFS(AccessDenialTests!C2:C18, A26)</f>
        <v>0</v>
      </c>
      <c r="P26" s="3" t="s">
        <v>9779</v>
      </c>
    </row>
    <row r="27">
      <c r="A27" s="3" t="s">
        <v>9815</v>
      </c>
      <c r="B27" s="4" t="str">
        <f>C27 &amp; " " &amp; E27 &amp; " " &amp; D27</f>
        <v>principal-hr-policy-owner SELECT MessageTemplates</v>
      </c>
      <c r="C27" s="3" t="s">
        <v>9758</v>
      </c>
      <c r="D27" s="3" t="s">
        <v>4087</v>
      </c>
      <c r="E27" s="3" t="s">
        <v>9777</v>
      </c>
      <c r="F27" s="3" t="s">
        <v>168</v>
      </c>
      <c r="G27" s="3" t="s">
        <v>168</v>
      </c>
      <c r="H27" s="3" t="s">
        <v>9808</v>
      </c>
      <c r="I27" s="3" t="b">
        <v>0</v>
      </c>
      <c r="J27" s="4" t="b">
        <f>OR(((E27 = "INSERT")=TRUE), ((E27 = "UPDATE")=TRUE), ((E27 = "DELETE")=TRUE), ((E27 = "ALL")=TRUE))</f>
        <v>0</v>
      </c>
      <c r="K27" s="4" t="b">
        <f>F27 = ""</f>
        <v>1</v>
      </c>
      <c r="L27" s="4" t="b">
        <f>_xlfn.IFNA(IF(((INDEX(AccessPrincipals!G2:G13, MATCH(C27,AccessPrincipals!A2:A13, 0))="")=TRUE),  "",  INDEX(AccessPrincipals!G2:G13, MATCH(C27,AccessPrincipals!A2:A13, 0))), "")</f>
        <v>0</v>
      </c>
      <c r="M27" s="4" t="b">
        <f>AND(((K27)=TRUE), ((NOT(((L27)=TRUE)))=TRUE))</f>
        <v>1</v>
      </c>
      <c r="N27" s="4" t="b">
        <f>AND(((J27)=TRUE), ((O27 = 0)=TRUE))</f>
        <v>0</v>
      </c>
      <c r="O27" s="4">
        <f>COUNTIFS(AccessDenialTests!C2:C18, A27)</f>
        <v>0</v>
      </c>
      <c r="P27" s="3" t="s">
        <v>9779</v>
      </c>
    </row>
    <row r="28">
      <c r="A28" s="3" t="s">
        <v>9816</v>
      </c>
      <c r="B28" s="4" t="str">
        <f>C28 &amp; " " &amp; E28 &amp; " " &amp; D28</f>
        <v>principal-employment-counsel SELECT ChangeRequests</v>
      </c>
      <c r="C28" s="3" t="s">
        <v>9760</v>
      </c>
      <c r="D28" s="3" t="s">
        <v>3914</v>
      </c>
      <c r="E28" s="3" t="s">
        <v>9777</v>
      </c>
      <c r="F28" s="3" t="s">
        <v>9794</v>
      </c>
      <c r="G28" s="3" t="s">
        <v>168</v>
      </c>
      <c r="H28" s="3" t="s">
        <v>9795</v>
      </c>
      <c r="I28" s="3" t="b">
        <v>1</v>
      </c>
      <c r="J28" s="4" t="b">
        <f>OR(((E28 = "INSERT")=TRUE), ((E28 = "UPDATE")=TRUE), ((E28 = "DELETE")=TRUE), ((E28 = "ALL")=TRUE))</f>
        <v>0</v>
      </c>
      <c r="K28" s="4" t="b">
        <f>F28 = ""</f>
        <v>0</v>
      </c>
      <c r="L28" s="4" t="b">
        <f>_xlfn.IFNA(IF(((INDEX(AccessPrincipals!G2:G13, MATCH(C28,AccessPrincipals!A2:A13, 0))="")=TRUE),  "",  INDEX(AccessPrincipals!G2:G13, MATCH(C28,AccessPrincipals!A2:A13, 0))), "")</f>
        <v>0</v>
      </c>
      <c r="M28" s="4" t="b">
        <f>AND(((K28)=TRUE), ((NOT(((L28)=TRUE)))=TRUE))</f>
        <v>0</v>
      </c>
      <c r="N28" s="4" t="b">
        <f>AND(((J28)=TRUE), ((O28 = 0)=TRUE))</f>
        <v>0</v>
      </c>
      <c r="O28" s="4">
        <f>COUNTIFS(AccessDenialTests!C2:C18, A28)</f>
        <v>0</v>
      </c>
      <c r="P28" s="3" t="s">
        <v>9779</v>
      </c>
    </row>
    <row r="29">
      <c r="A29" s="3" t="s">
        <v>9817</v>
      </c>
      <c r="B29" s="4" t="str">
        <f>C29 &amp; " " &amp; E29 &amp; " " &amp; D29</f>
        <v>principal-employment-counsel SELECT KnowledgeFragments</v>
      </c>
      <c r="C29" s="3" t="s">
        <v>9760</v>
      </c>
      <c r="D29" s="3" t="s">
        <v>1851</v>
      </c>
      <c r="E29" s="3" t="s">
        <v>9777</v>
      </c>
      <c r="F29" s="3" t="s">
        <v>9797</v>
      </c>
      <c r="G29" s="3" t="s">
        <v>168</v>
      </c>
      <c r="H29" s="3" t="s">
        <v>9798</v>
      </c>
      <c r="I29" s="3" t="b">
        <v>0</v>
      </c>
      <c r="J29" s="4" t="b">
        <f>OR(((E29 = "INSERT")=TRUE), ((E29 = "UPDATE")=TRUE), ((E29 = "DELETE")=TRUE), ((E29 = "ALL")=TRUE))</f>
        <v>0</v>
      </c>
      <c r="K29" s="4" t="b">
        <f>F29 = ""</f>
        <v>0</v>
      </c>
      <c r="L29" s="4" t="b">
        <f>_xlfn.IFNA(IF(((INDEX(AccessPrincipals!G2:G13, MATCH(C29,AccessPrincipals!A2:A13, 0))="")=TRUE),  "",  INDEX(AccessPrincipals!G2:G13, MATCH(C29,AccessPrincipals!A2:A13, 0))), "")</f>
        <v>0</v>
      </c>
      <c r="M29" s="4" t="b">
        <f>AND(((K29)=TRUE), ((NOT(((L29)=TRUE)))=TRUE))</f>
        <v>0</v>
      </c>
      <c r="N29" s="4" t="b">
        <f>AND(((J29)=TRUE), ((O29 = 0)=TRUE))</f>
        <v>0</v>
      </c>
      <c r="O29" s="4">
        <f>COUNTIFS(AccessDenialTests!C2:C18, A29)</f>
        <v>2</v>
      </c>
      <c r="P29" s="3" t="s">
        <v>9779</v>
      </c>
    </row>
    <row r="30">
      <c r="A30" s="3" t="s">
        <v>9818</v>
      </c>
      <c r="B30" s="4" t="str">
        <f>C30 &amp; " " &amp; E30 &amp; " " &amp; D30</f>
        <v>principal-employment-counsel SELECT AuthorityBoundaries</v>
      </c>
      <c r="C30" s="3" t="s">
        <v>9760</v>
      </c>
      <c r="D30" s="3" t="s">
        <v>5131</v>
      </c>
      <c r="E30" s="3" t="s">
        <v>9777</v>
      </c>
      <c r="F30" s="3" t="s">
        <v>168</v>
      </c>
      <c r="G30" s="3" t="s">
        <v>168</v>
      </c>
      <c r="H30" s="3" t="s">
        <v>9819</v>
      </c>
      <c r="I30" s="3" t="b">
        <v>0</v>
      </c>
      <c r="J30" s="4" t="b">
        <f>OR(((E30 = "INSERT")=TRUE), ((E30 = "UPDATE")=TRUE), ((E30 = "DELETE")=TRUE), ((E30 = "ALL")=TRUE))</f>
        <v>0</v>
      </c>
      <c r="K30" s="4" t="b">
        <f>F30 = ""</f>
        <v>1</v>
      </c>
      <c r="L30" s="4" t="b">
        <f>_xlfn.IFNA(IF(((INDEX(AccessPrincipals!G2:G13, MATCH(C30,AccessPrincipals!A2:A13, 0))="")=TRUE),  "",  INDEX(AccessPrincipals!G2:G13, MATCH(C30,AccessPrincipals!A2:A13, 0))), "")</f>
        <v>0</v>
      </c>
      <c r="M30" s="4" t="b">
        <f>AND(((K30)=TRUE), ((NOT(((L30)=TRUE)))=TRUE))</f>
        <v>1</v>
      </c>
      <c r="N30" s="4" t="b">
        <f>AND(((J30)=TRUE), ((O30 = 0)=TRUE))</f>
        <v>0</v>
      </c>
      <c r="O30" s="4">
        <f>COUNTIFS(AccessDenialTests!C2:C18, A30)</f>
        <v>0</v>
      </c>
      <c r="P30" s="3" t="s">
        <v>9779</v>
      </c>
    </row>
    <row r="31">
      <c r="A31" s="3" t="s">
        <v>9820</v>
      </c>
      <c r="B31" s="4" t="str">
        <f>C31 &amp; " " &amp; E31 &amp; " " &amp; D31</f>
        <v>principal-employment-counsel SELECT CommunicationPolicies</v>
      </c>
      <c r="C31" s="3" t="s">
        <v>9760</v>
      </c>
      <c r="D31" s="3" t="s">
        <v>1865</v>
      </c>
      <c r="E31" s="3" t="s">
        <v>9777</v>
      </c>
      <c r="F31" s="3" t="s">
        <v>168</v>
      </c>
      <c r="G31" s="3" t="s">
        <v>168</v>
      </c>
      <c r="H31" s="3" t="s">
        <v>9819</v>
      </c>
      <c r="I31" s="3" t="b">
        <v>0</v>
      </c>
      <c r="J31" s="4" t="b">
        <f>OR(((E31 = "INSERT")=TRUE), ((E31 = "UPDATE")=TRUE), ((E31 = "DELETE")=TRUE), ((E31 = "ALL")=TRUE))</f>
        <v>0</v>
      </c>
      <c r="K31" s="4" t="b">
        <f>F31 = ""</f>
        <v>1</v>
      </c>
      <c r="L31" s="4" t="b">
        <f>_xlfn.IFNA(IF(((INDEX(AccessPrincipals!G2:G13, MATCH(C31,AccessPrincipals!A2:A13, 0))="")=TRUE),  "",  INDEX(AccessPrincipals!G2:G13, MATCH(C31,AccessPrincipals!A2:A13, 0))), "")</f>
        <v>0</v>
      </c>
      <c r="M31" s="4" t="b">
        <f>AND(((K31)=TRUE), ((NOT(((L31)=TRUE)))=TRUE))</f>
        <v>1</v>
      </c>
      <c r="N31" s="4" t="b">
        <f>AND(((J31)=TRUE), ((O31 = 0)=TRUE))</f>
        <v>0</v>
      </c>
      <c r="O31" s="4">
        <f>COUNTIFS(AccessDenialTests!C2:C18, A31)</f>
        <v>0</v>
      </c>
      <c r="P31" s="3" t="s">
        <v>9779</v>
      </c>
    </row>
    <row r="32">
      <c r="A32" s="3" t="s">
        <v>9821</v>
      </c>
      <c r="B32" s="4" t="str">
        <f>C32 &amp; " " &amp; E32 &amp; " " &amp; D32</f>
        <v>principal-employment-counsel SELECT Steps</v>
      </c>
      <c r="C32" s="3" t="s">
        <v>9760</v>
      </c>
      <c r="D32" s="3" t="s">
        <v>1778</v>
      </c>
      <c r="E32" s="3" t="s">
        <v>9777</v>
      </c>
      <c r="F32" s="3" t="s">
        <v>168</v>
      </c>
      <c r="G32" s="3" t="s">
        <v>168</v>
      </c>
      <c r="H32" s="3" t="s">
        <v>9819</v>
      </c>
      <c r="I32" s="3" t="b">
        <v>0</v>
      </c>
      <c r="J32" s="4" t="b">
        <f>OR(((E32 = "INSERT")=TRUE), ((E32 = "UPDATE")=TRUE), ((E32 = "DELETE")=TRUE), ((E32 = "ALL")=TRUE))</f>
        <v>0</v>
      </c>
      <c r="K32" s="4" t="b">
        <f>F32 = ""</f>
        <v>1</v>
      </c>
      <c r="L32" s="4" t="b">
        <f>_xlfn.IFNA(IF(((INDEX(AccessPrincipals!G2:G13, MATCH(C32,AccessPrincipals!A2:A13, 0))="")=TRUE),  "",  INDEX(AccessPrincipals!G2:G13, MATCH(C32,AccessPrincipals!A2:A13, 0))), "")</f>
        <v>0</v>
      </c>
      <c r="M32" s="4" t="b">
        <f>AND(((K32)=TRUE), ((NOT(((L32)=TRUE)))=TRUE))</f>
        <v>1</v>
      </c>
      <c r="N32" s="4" t="b">
        <f>AND(((J32)=TRUE), ((O32 = 0)=TRUE))</f>
        <v>0</v>
      </c>
      <c r="O32" s="4">
        <f>COUNTIFS(AccessDenialTests!C2:C18, A32)</f>
        <v>0</v>
      </c>
      <c r="P32" s="3" t="s">
        <v>9779</v>
      </c>
    </row>
    <row r="33">
      <c r="A33" s="3" t="s">
        <v>9822</v>
      </c>
      <c r="B33" s="4" t="str">
        <f>C33 &amp; " " &amp; E33 &amp; " " &amp; D33</f>
        <v>principal-communications-manager SELECT CommunicationPolicies</v>
      </c>
      <c r="C33" s="3" t="s">
        <v>9762</v>
      </c>
      <c r="D33" s="3" t="s">
        <v>1865</v>
      </c>
      <c r="E33" s="3" t="s">
        <v>9777</v>
      </c>
      <c r="F33" s="3" t="s">
        <v>168</v>
      </c>
      <c r="G33" s="3" t="s">
        <v>168</v>
      </c>
      <c r="H33" s="3" t="s">
        <v>9823</v>
      </c>
      <c r="I33" s="3" t="b">
        <v>0</v>
      </c>
      <c r="J33" s="4" t="b">
        <f>OR(((E33 = "INSERT")=TRUE), ((E33 = "UPDATE")=TRUE), ((E33 = "DELETE")=TRUE), ((E33 = "ALL")=TRUE))</f>
        <v>0</v>
      </c>
      <c r="K33" s="4" t="b">
        <f>F33 = ""</f>
        <v>1</v>
      </c>
      <c r="L33" s="4" t="b">
        <f>_xlfn.IFNA(IF(((INDEX(AccessPrincipals!G2:G13, MATCH(C33,AccessPrincipals!A2:A13, 0))="")=TRUE),  "",  INDEX(AccessPrincipals!G2:G13, MATCH(C33,AccessPrincipals!A2:A13, 0))), "")</f>
        <v>0</v>
      </c>
      <c r="M33" s="4" t="b">
        <f>AND(((K33)=TRUE), ((NOT(((L33)=TRUE)))=TRUE))</f>
        <v>1</v>
      </c>
      <c r="N33" s="4" t="b">
        <f>AND(((J33)=TRUE), ((O33 = 0)=TRUE))</f>
        <v>0</v>
      </c>
      <c r="O33" s="4">
        <f>COUNTIFS(AccessDenialTests!C2:C18, A33)</f>
        <v>0</v>
      </c>
      <c r="P33" s="3" t="s">
        <v>9779</v>
      </c>
    </row>
    <row r="34">
      <c r="A34" s="3" t="s">
        <v>9824</v>
      </c>
      <c r="B34" s="4" t="str">
        <f>C34 &amp; " " &amp; E34 &amp; " " &amp; D34</f>
        <v>principal-communications-manager SELECT MessageTemplates</v>
      </c>
      <c r="C34" s="3" t="s">
        <v>9762</v>
      </c>
      <c r="D34" s="3" t="s">
        <v>4087</v>
      </c>
      <c r="E34" s="3" t="s">
        <v>9777</v>
      </c>
      <c r="F34" s="3" t="s">
        <v>168</v>
      </c>
      <c r="G34" s="3" t="s">
        <v>168</v>
      </c>
      <c r="H34" s="3" t="s">
        <v>9823</v>
      </c>
      <c r="I34" s="3" t="b">
        <v>0</v>
      </c>
      <c r="J34" s="4" t="b">
        <f>OR(((E34 = "INSERT")=TRUE), ((E34 = "UPDATE")=TRUE), ((E34 = "DELETE")=TRUE), ((E34 = "ALL")=TRUE))</f>
        <v>0</v>
      </c>
      <c r="K34" s="4" t="b">
        <f>F34 = ""</f>
        <v>1</v>
      </c>
      <c r="L34" s="4" t="b">
        <f>_xlfn.IFNA(IF(((INDEX(AccessPrincipals!G2:G13, MATCH(C34,AccessPrincipals!A2:A13, 0))="")=TRUE),  "",  INDEX(AccessPrincipals!G2:G13, MATCH(C34,AccessPrincipals!A2:A13, 0))), "")</f>
        <v>0</v>
      </c>
      <c r="M34" s="4" t="b">
        <f>AND(((K34)=TRUE), ((NOT(((L34)=TRUE)))=TRUE))</f>
        <v>1</v>
      </c>
      <c r="N34" s="4" t="b">
        <f>AND(((J34)=TRUE), ((O34 = 0)=TRUE))</f>
        <v>0</v>
      </c>
      <c r="O34" s="4">
        <f>COUNTIFS(AccessDenialTests!C2:C18, A34)</f>
        <v>0</v>
      </c>
      <c r="P34" s="3" t="s">
        <v>9779</v>
      </c>
    </row>
    <row r="35">
      <c r="A35" s="3" t="s">
        <v>9825</v>
      </c>
      <c r="B35" s="4" t="str">
        <f>C35 &amp; " " &amp; E35 &amp; " " &amp; D35</f>
        <v>principal-communications-manager SELECT SendIntents</v>
      </c>
      <c r="C35" s="3" t="s">
        <v>9762</v>
      </c>
      <c r="D35" s="3" t="s">
        <v>4728</v>
      </c>
      <c r="E35" s="3" t="s">
        <v>9777</v>
      </c>
      <c r="F35" s="3" t="s">
        <v>168</v>
      </c>
      <c r="G35" s="3" t="s">
        <v>168</v>
      </c>
      <c r="H35" s="3" t="s">
        <v>9823</v>
      </c>
      <c r="I35" s="3" t="b">
        <v>0</v>
      </c>
      <c r="J35" s="4" t="b">
        <f>OR(((E35 = "INSERT")=TRUE), ((E35 = "UPDATE")=TRUE), ((E35 = "DELETE")=TRUE), ((E35 = "ALL")=TRUE))</f>
        <v>0</v>
      </c>
      <c r="K35" s="4" t="b">
        <f>F35 = ""</f>
        <v>1</v>
      </c>
      <c r="L35" s="4" t="b">
        <f>_xlfn.IFNA(IF(((INDEX(AccessPrincipals!G2:G13, MATCH(C35,AccessPrincipals!A2:A13, 0))="")=TRUE),  "",  INDEX(AccessPrincipals!G2:G13, MATCH(C35,AccessPrincipals!A2:A13, 0))), "")</f>
        <v>0</v>
      </c>
      <c r="M35" s="4" t="b">
        <f>AND(((K35)=TRUE), ((NOT(((L35)=TRUE)))=TRUE))</f>
        <v>1</v>
      </c>
      <c r="N35" s="4" t="b">
        <f>AND(((J35)=TRUE), ((O35 = 0)=TRUE))</f>
        <v>0</v>
      </c>
      <c r="O35" s="4">
        <f>COUNTIFS(AccessDenialTests!C2:C18, A35)</f>
        <v>0</v>
      </c>
      <c r="P35" s="3" t="s">
        <v>9779</v>
      </c>
    </row>
    <row r="36">
      <c r="A36" s="3" t="s">
        <v>9826</v>
      </c>
      <c r="B36" s="4" t="str">
        <f>C36 &amp; " " &amp; E36 &amp; " " &amp; D36</f>
        <v>principal-communications-manager SELECT MessageDeliveries</v>
      </c>
      <c r="C36" s="3" t="s">
        <v>9762</v>
      </c>
      <c r="D36" s="3" t="s">
        <v>4444</v>
      </c>
      <c r="E36" s="3" t="s">
        <v>9777</v>
      </c>
      <c r="F36" s="3" t="s">
        <v>168</v>
      </c>
      <c r="G36" s="3" t="s">
        <v>168</v>
      </c>
      <c r="H36" s="3" t="s">
        <v>9823</v>
      </c>
      <c r="I36" s="3" t="b">
        <v>0</v>
      </c>
      <c r="J36" s="4" t="b">
        <f>OR(((E36 = "INSERT")=TRUE), ((E36 = "UPDATE")=TRUE), ((E36 = "DELETE")=TRUE), ((E36 = "ALL")=TRUE))</f>
        <v>0</v>
      </c>
      <c r="K36" s="4" t="b">
        <f>F36 = ""</f>
        <v>1</v>
      </c>
      <c r="L36" s="4" t="b">
        <f>_xlfn.IFNA(IF(((INDEX(AccessPrincipals!G2:G13, MATCH(C36,AccessPrincipals!A2:A13, 0))="")=TRUE),  "",  INDEX(AccessPrincipals!G2:G13, MATCH(C36,AccessPrincipals!A2:A13, 0))), "")</f>
        <v>0</v>
      </c>
      <c r="M36" s="4" t="b">
        <f>AND(((K36)=TRUE), ((NOT(((L36)=TRUE)))=TRUE))</f>
        <v>1</v>
      </c>
      <c r="N36" s="4" t="b">
        <f>AND(((J36)=TRUE), ((O36 = 0)=TRUE))</f>
        <v>0</v>
      </c>
      <c r="O36" s="4">
        <f>COUNTIFS(AccessDenialTests!C2:C18, A36)</f>
        <v>0</v>
      </c>
      <c r="P36" s="3" t="s">
        <v>9779</v>
      </c>
    </row>
    <row r="37">
      <c r="A37" s="3" t="s">
        <v>9827</v>
      </c>
      <c r="B37" s="4" t="str">
        <f>C37 &amp; " " &amp; E37 &amp; " " &amp; D37</f>
        <v>principal-communications-manager SELECT Recipients</v>
      </c>
      <c r="C37" s="3" t="s">
        <v>9762</v>
      </c>
      <c r="D37" s="3" t="s">
        <v>4412</v>
      </c>
      <c r="E37" s="3" t="s">
        <v>9777</v>
      </c>
      <c r="F37" s="3" t="s">
        <v>9828</v>
      </c>
      <c r="G37" s="3" t="s">
        <v>168</v>
      </c>
      <c r="H37" s="3" t="s">
        <v>9829</v>
      </c>
      <c r="I37" s="3" t="b">
        <v>0</v>
      </c>
      <c r="J37" s="4" t="b">
        <f>OR(((E37 = "INSERT")=TRUE), ((E37 = "UPDATE")=TRUE), ((E37 = "DELETE")=TRUE), ((E37 = "ALL")=TRUE))</f>
        <v>0</v>
      </c>
      <c r="K37" s="4" t="b">
        <f>F37 = ""</f>
        <v>0</v>
      </c>
      <c r="L37" s="4" t="b">
        <f>_xlfn.IFNA(IF(((INDEX(AccessPrincipals!G2:G13, MATCH(C37,AccessPrincipals!A2:A13, 0))="")=TRUE),  "",  INDEX(AccessPrincipals!G2:G13, MATCH(C37,AccessPrincipals!A2:A13, 0))), "")</f>
        <v>0</v>
      </c>
      <c r="M37" s="4" t="b">
        <f>AND(((K37)=TRUE), ((NOT(((L37)=TRUE)))=TRUE))</f>
        <v>0</v>
      </c>
      <c r="N37" s="4" t="b">
        <f>AND(((J37)=TRUE), ((O37 = 0)=TRUE))</f>
        <v>0</v>
      </c>
      <c r="O37" s="4">
        <f>COUNTIFS(AccessDenialTests!C2:C18, A37)</f>
        <v>0</v>
      </c>
      <c r="P37" s="3" t="s">
        <v>9779</v>
      </c>
    </row>
    <row r="38">
      <c r="A38" s="3" t="s">
        <v>9830</v>
      </c>
      <c r="B38" s="4" t="str">
        <f>C38 &amp; " " &amp; E38 &amp; " " &amp; D38</f>
        <v>principal-communications-manager SELECT KnowledgeGaps</v>
      </c>
      <c r="C38" s="3" t="s">
        <v>9762</v>
      </c>
      <c r="D38" s="3" t="s">
        <v>3368</v>
      </c>
      <c r="E38" s="3" t="s">
        <v>9777</v>
      </c>
      <c r="F38" s="3" t="s">
        <v>9811</v>
      </c>
      <c r="G38" s="3" t="s">
        <v>168</v>
      </c>
      <c r="H38" s="3" t="s">
        <v>9812</v>
      </c>
      <c r="I38" s="3" t="b">
        <v>1</v>
      </c>
      <c r="J38" s="4" t="b">
        <f>OR(((E38 = "INSERT")=TRUE), ((E38 = "UPDATE")=TRUE), ((E38 = "DELETE")=TRUE), ((E38 = "ALL")=TRUE))</f>
        <v>0</v>
      </c>
      <c r="K38" s="4" t="b">
        <f>F38 = ""</f>
        <v>0</v>
      </c>
      <c r="L38" s="4" t="b">
        <f>_xlfn.IFNA(IF(((INDEX(AccessPrincipals!G2:G13, MATCH(C38,AccessPrincipals!A2:A13, 0))="")=TRUE),  "",  INDEX(AccessPrincipals!G2:G13, MATCH(C38,AccessPrincipals!A2:A13, 0))), "")</f>
        <v>0</v>
      </c>
      <c r="M38" s="4" t="b">
        <f>AND(((K38)=TRUE), ((NOT(((L38)=TRUE)))=TRUE))</f>
        <v>0</v>
      </c>
      <c r="N38" s="4" t="b">
        <f>AND(((J38)=TRUE), ((O38 = 0)=TRUE))</f>
        <v>0</v>
      </c>
      <c r="O38" s="4">
        <f>COUNTIFS(AccessDenialTests!C2:C18, A38)</f>
        <v>0</v>
      </c>
      <c r="P38" s="3" t="s">
        <v>9779</v>
      </c>
    </row>
    <row r="39">
      <c r="A39" s="3" t="s">
        <v>9831</v>
      </c>
      <c r="B39" s="4" t="str">
        <f>C39 &amp; " " &amp; E39 &amp; " " &amp; D39</f>
        <v>principal-close-automation SELECT Steps</v>
      </c>
      <c r="C39" s="3" t="s">
        <v>9764</v>
      </c>
      <c r="D39" s="3" t="s">
        <v>1778</v>
      </c>
      <c r="E39" s="3" t="s">
        <v>9777</v>
      </c>
      <c r="F39" s="3" t="s">
        <v>168</v>
      </c>
      <c r="G39" s="3" t="s">
        <v>168</v>
      </c>
      <c r="H39" s="3" t="s">
        <v>9832</v>
      </c>
      <c r="I39" s="3" t="b">
        <v>0</v>
      </c>
      <c r="J39" s="4" t="b">
        <f>OR(((E39 = "INSERT")=TRUE), ((E39 = "UPDATE")=TRUE), ((E39 = "DELETE")=TRUE), ((E39 = "ALL")=TRUE))</f>
        <v>0</v>
      </c>
      <c r="K39" s="4" t="b">
        <f>F39 = ""</f>
        <v>1</v>
      </c>
      <c r="L39" s="4" t="b">
        <f>_xlfn.IFNA(IF(((INDEX(AccessPrincipals!G2:G13, MATCH(C39,AccessPrincipals!A2:A13, 0))="")=TRUE),  "",  INDEX(AccessPrincipals!G2:G13, MATCH(C39,AccessPrincipals!A2:A13, 0))), "")</f>
        <v>0</v>
      </c>
      <c r="M39" s="4" t="b">
        <f>AND(((K39)=TRUE), ((NOT(((L39)=TRUE)))=TRUE))</f>
        <v>1</v>
      </c>
      <c r="N39" s="4" t="b">
        <f>AND(((J39)=TRUE), ((O39 = 0)=TRUE))</f>
        <v>0</v>
      </c>
      <c r="O39" s="4">
        <f>COUNTIFS(AccessDenialTests!C2:C18, A39)</f>
        <v>0</v>
      </c>
      <c r="P39" s="3" t="s">
        <v>9779</v>
      </c>
    </row>
    <row r="40">
      <c r="A40" s="3" t="s">
        <v>9833</v>
      </c>
      <c r="B40" s="4" t="str">
        <f>C40 &amp; " " &amp; E40 &amp; " " &amp; D40</f>
        <v>principal-close-automation SELECT StepExecutions</v>
      </c>
      <c r="C40" s="3" t="s">
        <v>9764</v>
      </c>
      <c r="D40" s="3" t="s">
        <v>1827</v>
      </c>
      <c r="E40" s="3" t="s">
        <v>9777</v>
      </c>
      <c r="F40" s="3" t="s">
        <v>168</v>
      </c>
      <c r="G40" s="3" t="s">
        <v>168</v>
      </c>
      <c r="H40" s="3" t="s">
        <v>9832</v>
      </c>
      <c r="I40" s="3" t="b">
        <v>0</v>
      </c>
      <c r="J40" s="4" t="b">
        <f>OR(((E40 = "INSERT")=TRUE), ((E40 = "UPDATE")=TRUE), ((E40 = "DELETE")=TRUE), ((E40 = "ALL")=TRUE))</f>
        <v>0</v>
      </c>
      <c r="K40" s="4" t="b">
        <f>F40 = ""</f>
        <v>1</v>
      </c>
      <c r="L40" s="4" t="b">
        <f>_xlfn.IFNA(IF(((INDEX(AccessPrincipals!G2:G13, MATCH(C40,AccessPrincipals!A2:A13, 0))="")=TRUE),  "",  INDEX(AccessPrincipals!G2:G13, MATCH(C40,AccessPrincipals!A2:A13, 0))), "")</f>
        <v>0</v>
      </c>
      <c r="M40" s="4" t="b">
        <f>AND(((K40)=TRUE), ((NOT(((L40)=TRUE)))=TRUE))</f>
        <v>1</v>
      </c>
      <c r="N40" s="4" t="b">
        <f>AND(((J40)=TRUE), ((O40 = 0)=TRUE))</f>
        <v>0</v>
      </c>
      <c r="O40" s="4">
        <f>COUNTIFS(AccessDenialTests!C2:C18, A40)</f>
        <v>0</v>
      </c>
      <c r="P40" s="3" t="s">
        <v>9779</v>
      </c>
    </row>
    <row r="41">
      <c r="A41" s="3" t="s">
        <v>9834</v>
      </c>
      <c r="B41" s="4" t="str">
        <f>C41 &amp; " " &amp; E41 &amp; " " &amp; D41</f>
        <v>principal-close-automation SELECT Errors</v>
      </c>
      <c r="C41" s="3" t="s">
        <v>9764</v>
      </c>
      <c r="D41" s="3" t="s">
        <v>1833</v>
      </c>
      <c r="E41" s="3" t="s">
        <v>9777</v>
      </c>
      <c r="F41" s="3" t="s">
        <v>168</v>
      </c>
      <c r="G41" s="3" t="s">
        <v>168</v>
      </c>
      <c r="H41" s="3" t="s">
        <v>9832</v>
      </c>
      <c r="I41" s="3" t="b">
        <v>0</v>
      </c>
      <c r="J41" s="4" t="b">
        <f>OR(((E41 = "INSERT")=TRUE), ((E41 = "UPDATE")=TRUE), ((E41 = "DELETE")=TRUE), ((E41 = "ALL")=TRUE))</f>
        <v>0</v>
      </c>
      <c r="K41" s="4" t="b">
        <f>F41 = ""</f>
        <v>1</v>
      </c>
      <c r="L41" s="4" t="b">
        <f>_xlfn.IFNA(IF(((INDEX(AccessPrincipals!G2:G13, MATCH(C41,AccessPrincipals!A2:A13, 0))="")=TRUE),  "",  INDEX(AccessPrincipals!G2:G13, MATCH(C41,AccessPrincipals!A2:A13, 0))), "")</f>
        <v>0</v>
      </c>
      <c r="M41" s="4" t="b">
        <f>AND(((K41)=TRUE), ((NOT(((L41)=TRUE)))=TRUE))</f>
        <v>1</v>
      </c>
      <c r="N41" s="4" t="b">
        <f>AND(((J41)=TRUE), ((O41 = 0)=TRUE))</f>
        <v>0</v>
      </c>
      <c r="O41" s="4">
        <f>COUNTIFS(AccessDenialTests!C2:C18, A41)</f>
        <v>0</v>
      </c>
      <c r="P41" s="3" t="s">
        <v>9779</v>
      </c>
    </row>
    <row r="42">
      <c r="A42" s="3" t="s">
        <v>9835</v>
      </c>
      <c r="B42" s="4" t="str">
        <f>C42 &amp; " " &amp; E42 &amp; " " &amp; D42</f>
        <v>principal-variance-review-agent SELECT Steps</v>
      </c>
      <c r="C42" s="3" t="s">
        <v>9766</v>
      </c>
      <c r="D42" s="3" t="s">
        <v>1778</v>
      </c>
      <c r="E42" s="3" t="s">
        <v>9777</v>
      </c>
      <c r="F42" s="3" t="s">
        <v>168</v>
      </c>
      <c r="G42" s="3" t="s">
        <v>168</v>
      </c>
      <c r="H42" s="3" t="s">
        <v>9836</v>
      </c>
      <c r="I42" s="3" t="b">
        <v>0</v>
      </c>
      <c r="J42" s="4" t="b">
        <f>OR(((E42 = "INSERT")=TRUE), ((E42 = "UPDATE")=TRUE), ((E42 = "DELETE")=TRUE), ((E42 = "ALL")=TRUE))</f>
        <v>0</v>
      </c>
      <c r="K42" s="4" t="b">
        <f>F42 = ""</f>
        <v>1</v>
      </c>
      <c r="L42" s="4" t="b">
        <f>_xlfn.IFNA(IF(((INDEX(AccessPrincipals!G2:G13, MATCH(C42,AccessPrincipals!A2:A13, 0))="")=TRUE),  "",  INDEX(AccessPrincipals!G2:G13, MATCH(C42,AccessPrincipals!A2:A13, 0))), "")</f>
        <v>0</v>
      </c>
      <c r="M42" s="4" t="b">
        <f>AND(((K42)=TRUE), ((NOT(((L42)=TRUE)))=TRUE))</f>
        <v>1</v>
      </c>
      <c r="N42" s="4" t="b">
        <f>AND(((J42)=TRUE), ((O42 = 0)=TRUE))</f>
        <v>0</v>
      </c>
      <c r="O42" s="4">
        <f>COUNTIFS(AccessDenialTests!C2:C18, A42)</f>
        <v>0</v>
      </c>
      <c r="P42" s="3" t="s">
        <v>9779</v>
      </c>
    </row>
    <row r="43">
      <c r="A43" s="3" t="s">
        <v>9837</v>
      </c>
      <c r="B43" s="4" t="str">
        <f>C43 &amp; " " &amp; E43 &amp; " " &amp; D43</f>
        <v>principal-variance-review-agent SELECT StepExecutions</v>
      </c>
      <c r="C43" s="3" t="s">
        <v>9766</v>
      </c>
      <c r="D43" s="3" t="s">
        <v>1827</v>
      </c>
      <c r="E43" s="3" t="s">
        <v>9777</v>
      </c>
      <c r="F43" s="3" t="s">
        <v>168</v>
      </c>
      <c r="G43" s="3" t="s">
        <v>168</v>
      </c>
      <c r="H43" s="3" t="s">
        <v>9836</v>
      </c>
      <c r="I43" s="3" t="b">
        <v>0</v>
      </c>
      <c r="J43" s="4" t="b">
        <f>OR(((E43 = "INSERT")=TRUE), ((E43 = "UPDATE")=TRUE), ((E43 = "DELETE")=TRUE), ((E43 = "ALL")=TRUE))</f>
        <v>0</v>
      </c>
      <c r="K43" s="4" t="b">
        <f>F43 = ""</f>
        <v>1</v>
      </c>
      <c r="L43" s="4" t="b">
        <f>_xlfn.IFNA(IF(((INDEX(AccessPrincipals!G2:G13, MATCH(C43,AccessPrincipals!A2:A13, 0))="")=TRUE),  "",  INDEX(AccessPrincipals!G2:G13, MATCH(C43,AccessPrincipals!A2:A13, 0))), "")</f>
        <v>0</v>
      </c>
      <c r="M43" s="4" t="b">
        <f>AND(((K43)=TRUE), ((NOT(((L43)=TRUE)))=TRUE))</f>
        <v>1</v>
      </c>
      <c r="N43" s="4" t="b">
        <f>AND(((J43)=TRUE), ((O43 = 0)=TRUE))</f>
        <v>0</v>
      </c>
      <c r="O43" s="4">
        <f>COUNTIFS(AccessDenialTests!C2:C18, A43)</f>
        <v>0</v>
      </c>
      <c r="P43" s="3" t="s">
        <v>9779</v>
      </c>
    </row>
    <row r="44">
      <c r="A44" s="3" t="s">
        <v>9838</v>
      </c>
      <c r="B44" s="4" t="str">
        <f>C44 &amp; " " &amp; E44 &amp; " " &amp; D44</f>
        <v>principal-variance-review-agent SELECT Requirements</v>
      </c>
      <c r="C44" s="3" t="s">
        <v>9766</v>
      </c>
      <c r="D44" s="3" t="s">
        <v>1805</v>
      </c>
      <c r="E44" s="3" t="s">
        <v>9777</v>
      </c>
      <c r="F44" s="3" t="s">
        <v>168</v>
      </c>
      <c r="G44" s="3" t="s">
        <v>168</v>
      </c>
      <c r="H44" s="3" t="s">
        <v>9836</v>
      </c>
      <c r="I44" s="3" t="b">
        <v>0</v>
      </c>
      <c r="J44" s="4" t="b">
        <f>OR(((E44 = "INSERT")=TRUE), ((E44 = "UPDATE")=TRUE), ((E44 = "DELETE")=TRUE), ((E44 = "ALL")=TRUE))</f>
        <v>0</v>
      </c>
      <c r="K44" s="4" t="b">
        <f>F44 = ""</f>
        <v>1</v>
      </c>
      <c r="L44" s="4" t="b">
        <f>_xlfn.IFNA(IF(((INDEX(AccessPrincipals!G2:G13, MATCH(C44,AccessPrincipals!A2:A13, 0))="")=TRUE),  "",  INDEX(AccessPrincipals!G2:G13, MATCH(C44,AccessPrincipals!A2:A13, 0))), "")</f>
        <v>0</v>
      </c>
      <c r="M44" s="4" t="b">
        <f>AND(((K44)=TRUE), ((NOT(((L44)=TRUE)))=TRUE))</f>
        <v>1</v>
      </c>
      <c r="N44" s="4" t="b">
        <f>AND(((J44)=TRUE), ((O44 = 0)=TRUE))</f>
        <v>0</v>
      </c>
      <c r="O44" s="4">
        <f>COUNTIFS(AccessDenialTests!C2:C18, A44)</f>
        <v>0</v>
      </c>
      <c r="P44" s="3" t="s">
        <v>9779</v>
      </c>
    </row>
    <row r="45">
      <c r="A45" s="3" t="s">
        <v>9839</v>
      </c>
      <c r="B45" s="4" t="str">
        <f>C45 &amp; " " &amp; E45 &amp; " " &amp; D45</f>
        <v>principal-variance-review-agent SELECT RequirementSatisfactions</v>
      </c>
      <c r="C45" s="3" t="s">
        <v>9766</v>
      </c>
      <c r="D45" s="3" t="s">
        <v>1830</v>
      </c>
      <c r="E45" s="3" t="s">
        <v>9777</v>
      </c>
      <c r="F45" s="3" t="s">
        <v>168</v>
      </c>
      <c r="G45" s="3" t="s">
        <v>168</v>
      </c>
      <c r="H45" s="3" t="s">
        <v>9836</v>
      </c>
      <c r="I45" s="3" t="b">
        <v>0</v>
      </c>
      <c r="J45" s="4" t="b">
        <f>OR(((E45 = "INSERT")=TRUE), ((E45 = "UPDATE")=TRUE), ((E45 = "DELETE")=TRUE), ((E45 = "ALL")=TRUE))</f>
        <v>0</v>
      </c>
      <c r="K45" s="4" t="b">
        <f>F45 = ""</f>
        <v>1</v>
      </c>
      <c r="L45" s="4" t="b">
        <f>_xlfn.IFNA(IF(((INDEX(AccessPrincipals!G2:G13, MATCH(C45,AccessPrincipals!A2:A13, 0))="")=TRUE),  "",  INDEX(AccessPrincipals!G2:G13, MATCH(C45,AccessPrincipals!A2:A13, 0))), "")</f>
        <v>0</v>
      </c>
      <c r="M45" s="4" t="b">
        <f>AND(((K45)=TRUE), ((NOT(((L45)=TRUE)))=TRUE))</f>
        <v>1</v>
      </c>
      <c r="N45" s="4" t="b">
        <f>AND(((J45)=TRUE), ((O45 = 0)=TRUE))</f>
        <v>0</v>
      </c>
      <c r="O45" s="4">
        <f>COUNTIFS(AccessDenialTests!C2:C18, A45)</f>
        <v>0</v>
      </c>
      <c r="P45" s="3" t="s">
        <v>9779</v>
      </c>
    </row>
    <row r="46">
      <c r="A46" s="3" t="s">
        <v>9840</v>
      </c>
      <c r="B46" s="4" t="str">
        <f>C46 &amp; " " &amp; E46 &amp; " " &amp; D46</f>
        <v>principal-variance-review-agent SELECT Errors</v>
      </c>
      <c r="C46" s="3" t="s">
        <v>9766</v>
      </c>
      <c r="D46" s="3" t="s">
        <v>1833</v>
      </c>
      <c r="E46" s="3" t="s">
        <v>9777</v>
      </c>
      <c r="F46" s="3" t="s">
        <v>168</v>
      </c>
      <c r="G46" s="3" t="s">
        <v>168</v>
      </c>
      <c r="H46" s="3" t="s">
        <v>9836</v>
      </c>
      <c r="I46" s="3" t="b">
        <v>0</v>
      </c>
      <c r="J46" s="4" t="b">
        <f>OR(((E46 = "INSERT")=TRUE), ((E46 = "UPDATE")=TRUE), ((E46 = "DELETE")=TRUE), ((E46 = "ALL")=TRUE))</f>
        <v>0</v>
      </c>
      <c r="K46" s="4" t="b">
        <f>F46 = ""</f>
        <v>1</v>
      </c>
      <c r="L46" s="4" t="b">
        <f>_xlfn.IFNA(IF(((INDEX(AccessPrincipals!G2:G13, MATCH(C46,AccessPrincipals!A2:A13, 0))="")=TRUE),  "",  INDEX(AccessPrincipals!G2:G13, MATCH(C46,AccessPrincipals!A2:A13, 0))), "")</f>
        <v>0</v>
      </c>
      <c r="M46" s="4" t="b">
        <f>AND(((K46)=TRUE), ((NOT(((L46)=TRUE)))=TRUE))</f>
        <v>1</v>
      </c>
      <c r="N46" s="4" t="b">
        <f>AND(((J46)=TRUE), ((O46 = 0)=TRUE))</f>
        <v>0</v>
      </c>
      <c r="O46" s="4">
        <f>COUNTIFS(AccessDenialTests!C2:C18, A46)</f>
        <v>0</v>
      </c>
      <c r="P46" s="3" t="s">
        <v>9779</v>
      </c>
    </row>
    <row r="47">
      <c r="A47" s="3" t="s">
        <v>9841</v>
      </c>
      <c r="B47" s="4" t="str">
        <f>C47 &amp; " " &amp; E47 &amp; " " &amp; D47</f>
        <v>principal-policy-drafting-agent SELECT MessageTemplates</v>
      </c>
      <c r="C47" s="3" t="s">
        <v>9768</v>
      </c>
      <c r="D47" s="3" t="s">
        <v>4087</v>
      </c>
      <c r="E47" s="3" t="s">
        <v>9777</v>
      </c>
      <c r="F47" s="3" t="s">
        <v>168</v>
      </c>
      <c r="G47" s="3" t="s">
        <v>168</v>
      </c>
      <c r="H47" s="3" t="s">
        <v>9842</v>
      </c>
      <c r="I47" s="3" t="b">
        <v>0</v>
      </c>
      <c r="J47" s="4" t="b">
        <f>OR(((E47 = "INSERT")=TRUE), ((E47 = "UPDATE")=TRUE), ((E47 = "DELETE")=TRUE), ((E47 = "ALL")=TRUE))</f>
        <v>0</v>
      </c>
      <c r="K47" s="4" t="b">
        <f>F47 = ""</f>
        <v>1</v>
      </c>
      <c r="L47" s="4" t="b">
        <f>_xlfn.IFNA(IF(((INDEX(AccessPrincipals!G2:G13, MATCH(C47,AccessPrincipals!A2:A13, 0))="")=TRUE),  "",  INDEX(AccessPrincipals!G2:G13, MATCH(C47,AccessPrincipals!A2:A13, 0))), "")</f>
        <v>0</v>
      </c>
      <c r="M47" s="4" t="b">
        <f>AND(((K47)=TRUE), ((NOT(((L47)=TRUE)))=TRUE))</f>
        <v>1</v>
      </c>
      <c r="N47" s="4" t="b">
        <f>AND(((J47)=TRUE), ((O47 = 0)=TRUE))</f>
        <v>0</v>
      </c>
      <c r="O47" s="4">
        <f>COUNTIFS(AccessDenialTests!C2:C18, A47)</f>
        <v>0</v>
      </c>
      <c r="P47" s="3" t="s">
        <v>9779</v>
      </c>
    </row>
    <row r="48">
      <c r="A48" s="3" t="s">
        <v>9843</v>
      </c>
      <c r="B48" s="4" t="str">
        <f>C48 &amp; " " &amp; E48 &amp; " " &amp; D48</f>
        <v>principal-policy-drafting-agent SELECT CommunicationPolicies</v>
      </c>
      <c r="C48" s="3" t="s">
        <v>9768</v>
      </c>
      <c r="D48" s="3" t="s">
        <v>1865</v>
      </c>
      <c r="E48" s="3" t="s">
        <v>9777</v>
      </c>
      <c r="F48" s="3" t="s">
        <v>168</v>
      </c>
      <c r="G48" s="3" t="s">
        <v>168</v>
      </c>
      <c r="H48" s="3" t="s">
        <v>9842</v>
      </c>
      <c r="I48" s="3" t="b">
        <v>0</v>
      </c>
      <c r="J48" s="4" t="b">
        <f>OR(((E48 = "INSERT")=TRUE), ((E48 = "UPDATE")=TRUE), ((E48 = "DELETE")=TRUE), ((E48 = "ALL")=TRUE))</f>
        <v>0</v>
      </c>
      <c r="K48" s="4" t="b">
        <f>F48 = ""</f>
        <v>1</v>
      </c>
      <c r="L48" s="4" t="b">
        <f>_xlfn.IFNA(IF(((INDEX(AccessPrincipals!G2:G13, MATCH(C48,AccessPrincipals!A2:A13, 0))="")=TRUE),  "",  INDEX(AccessPrincipals!G2:G13, MATCH(C48,AccessPrincipals!A2:A13, 0))), "")</f>
        <v>0</v>
      </c>
      <c r="M48" s="4" t="b">
        <f>AND(((K48)=TRUE), ((NOT(((L48)=TRUE)))=TRUE))</f>
        <v>1</v>
      </c>
      <c r="N48" s="4" t="b">
        <f>AND(((J48)=TRUE), ((O48 = 0)=TRUE))</f>
        <v>0</v>
      </c>
      <c r="O48" s="4">
        <f>COUNTIFS(AccessDenialTests!C2:C18, A48)</f>
        <v>0</v>
      </c>
      <c r="P48" s="3" t="s">
        <v>9779</v>
      </c>
    </row>
    <row r="49">
      <c r="A49" s="3" t="s">
        <v>9844</v>
      </c>
      <c r="B49" s="4" t="str">
        <f>C49 &amp; " " &amp; E49 &amp; " " &amp; D49</f>
        <v>principal-policy-drafting-agent SELECT KnowledgeFragments</v>
      </c>
      <c r="C49" s="3" t="s">
        <v>9768</v>
      </c>
      <c r="D49" s="3" t="s">
        <v>1851</v>
      </c>
      <c r="E49" s="3" t="s">
        <v>9777</v>
      </c>
      <c r="F49" s="3" t="s">
        <v>9797</v>
      </c>
      <c r="G49" s="3" t="s">
        <v>168</v>
      </c>
      <c r="H49" s="3" t="s">
        <v>9798</v>
      </c>
      <c r="I49" s="3" t="b">
        <v>0</v>
      </c>
      <c r="J49" s="4" t="b">
        <f>OR(((E49 = "INSERT")=TRUE), ((E49 = "UPDATE")=TRUE), ((E49 = "DELETE")=TRUE), ((E49 = "ALL")=TRUE))</f>
        <v>0</v>
      </c>
      <c r="K49" s="4" t="b">
        <f>F49 = ""</f>
        <v>0</v>
      </c>
      <c r="L49" s="4" t="b">
        <f>_xlfn.IFNA(IF(((INDEX(AccessPrincipals!G2:G13, MATCH(C49,AccessPrincipals!A2:A13, 0))="")=TRUE),  "",  INDEX(AccessPrincipals!G2:G13, MATCH(C49,AccessPrincipals!A2:A13, 0))), "")</f>
        <v>0</v>
      </c>
      <c r="M49" s="4" t="b">
        <f>AND(((K49)=TRUE), ((NOT(((L49)=TRUE)))=TRUE))</f>
        <v>0</v>
      </c>
      <c r="N49" s="4" t="b">
        <f>AND(((J49)=TRUE), ((O49 = 0)=TRUE))</f>
        <v>0</v>
      </c>
      <c r="O49" s="4">
        <f>COUNTIFS(AccessDenialTests!C2:C18, A49)</f>
        <v>0</v>
      </c>
      <c r="P49" s="3" t="s">
        <v>9779</v>
      </c>
    </row>
    <row r="50">
      <c r="A50" s="3" t="s">
        <v>9845</v>
      </c>
      <c r="B50" s="4" t="str">
        <f>C50 &amp; " " &amp; E50 &amp; " " &amp; D50</f>
        <v>principal-policy-drafting-agent SELECT Steps</v>
      </c>
      <c r="C50" s="3" t="s">
        <v>9768</v>
      </c>
      <c r="D50" s="3" t="s">
        <v>1778</v>
      </c>
      <c r="E50" s="3" t="s">
        <v>9777</v>
      </c>
      <c r="F50" s="3" t="s">
        <v>168</v>
      </c>
      <c r="G50" s="3" t="s">
        <v>168</v>
      </c>
      <c r="H50" s="3" t="s">
        <v>9842</v>
      </c>
      <c r="I50" s="3" t="b">
        <v>0</v>
      </c>
      <c r="J50" s="4" t="b">
        <f>OR(((E50 = "INSERT")=TRUE), ((E50 = "UPDATE")=TRUE), ((E50 = "DELETE")=TRUE), ((E50 = "ALL")=TRUE))</f>
        <v>0</v>
      </c>
      <c r="K50" s="4" t="b">
        <f>F50 = ""</f>
        <v>1</v>
      </c>
      <c r="L50" s="4" t="b">
        <f>_xlfn.IFNA(IF(((INDEX(AccessPrincipals!G2:G13, MATCH(C50,AccessPrincipals!A2:A13, 0))="")=TRUE),  "",  INDEX(AccessPrincipals!G2:G13, MATCH(C50,AccessPrincipals!A2:A13, 0))), "")</f>
        <v>0</v>
      </c>
      <c r="M50" s="4" t="b">
        <f>AND(((K50)=TRUE), ((NOT(((L50)=TRUE)))=TRUE))</f>
        <v>1</v>
      </c>
      <c r="N50" s="4" t="b">
        <f>AND(((J50)=TRUE), ((O50 = 0)=TRUE))</f>
        <v>0</v>
      </c>
      <c r="O50" s="4">
        <f>COUNTIFS(AccessDenialTests!C2:C18, A50)</f>
        <v>0</v>
      </c>
      <c r="P50" s="3" t="s">
        <v>9779</v>
      </c>
    </row>
    <row r="51">
      <c r="A51" s="3" t="s">
        <v>9846</v>
      </c>
      <c r="B51" s="4" t="str">
        <f>C51 &amp; " " &amp; E51 &amp; " " &amp; D51</f>
        <v>principal-notification-publisher SELECT CommunicationPolicies</v>
      </c>
      <c r="C51" s="3" t="s">
        <v>9770</v>
      </c>
      <c r="D51" s="3" t="s">
        <v>1865</v>
      </c>
      <c r="E51" s="3" t="s">
        <v>9777</v>
      </c>
      <c r="F51" s="3" t="s">
        <v>168</v>
      </c>
      <c r="G51" s="3" t="s">
        <v>168</v>
      </c>
      <c r="H51" s="3" t="s">
        <v>9847</v>
      </c>
      <c r="I51" s="3" t="b">
        <v>0</v>
      </c>
      <c r="J51" s="4" t="b">
        <f>OR(((E51 = "INSERT")=TRUE), ((E51 = "UPDATE")=TRUE), ((E51 = "DELETE")=TRUE), ((E51 = "ALL")=TRUE))</f>
        <v>0</v>
      </c>
      <c r="K51" s="4" t="b">
        <f>F51 = ""</f>
        <v>1</v>
      </c>
      <c r="L51" s="4" t="b">
        <f>_xlfn.IFNA(IF(((INDEX(AccessPrincipals!G2:G13, MATCH(C51,AccessPrincipals!A2:A13, 0))="")=TRUE),  "",  INDEX(AccessPrincipals!G2:G13, MATCH(C51,AccessPrincipals!A2:A13, 0))), "")</f>
        <v>0</v>
      </c>
      <c r="M51" s="4" t="b">
        <f>AND(((K51)=TRUE), ((NOT(((L51)=TRUE)))=TRUE))</f>
        <v>1</v>
      </c>
      <c r="N51" s="4" t="b">
        <f>AND(((J51)=TRUE), ((O51 = 0)=TRUE))</f>
        <v>0</v>
      </c>
      <c r="O51" s="4">
        <f>COUNTIFS(AccessDenialTests!C2:C18, A51)</f>
        <v>0</v>
      </c>
      <c r="P51" s="3" t="s">
        <v>9779</v>
      </c>
    </row>
    <row r="52">
      <c r="A52" s="3" t="s">
        <v>9848</v>
      </c>
      <c r="B52" s="4" t="str">
        <f>C52 &amp; " " &amp; E52 &amp; " " &amp; D52</f>
        <v>principal-notification-publisher SELECT SendIntents</v>
      </c>
      <c r="C52" s="3" t="s">
        <v>9770</v>
      </c>
      <c r="D52" s="3" t="s">
        <v>4728</v>
      </c>
      <c r="E52" s="3" t="s">
        <v>9777</v>
      </c>
      <c r="F52" s="3" t="s">
        <v>168</v>
      </c>
      <c r="G52" s="3" t="s">
        <v>168</v>
      </c>
      <c r="H52" s="3" t="s">
        <v>9847</v>
      </c>
      <c r="I52" s="3" t="b">
        <v>0</v>
      </c>
      <c r="J52" s="4" t="b">
        <f>OR(((E52 = "INSERT")=TRUE), ((E52 = "UPDATE")=TRUE), ((E52 = "DELETE")=TRUE), ((E52 = "ALL")=TRUE))</f>
        <v>0</v>
      </c>
      <c r="K52" s="4" t="b">
        <f>F52 = ""</f>
        <v>1</v>
      </c>
      <c r="L52" s="4" t="b">
        <f>_xlfn.IFNA(IF(((INDEX(AccessPrincipals!G2:G13, MATCH(C52,AccessPrincipals!A2:A13, 0))="")=TRUE),  "",  INDEX(AccessPrincipals!G2:G13, MATCH(C52,AccessPrincipals!A2:A13, 0))), "")</f>
        <v>0</v>
      </c>
      <c r="M52" s="4" t="b">
        <f>AND(((K52)=TRUE), ((NOT(((L52)=TRUE)))=TRUE))</f>
        <v>1</v>
      </c>
      <c r="N52" s="4" t="b">
        <f>AND(((J52)=TRUE), ((O52 = 0)=TRUE))</f>
        <v>0</v>
      </c>
      <c r="O52" s="4">
        <f>COUNTIFS(AccessDenialTests!C2:C18, A52)</f>
        <v>0</v>
      </c>
      <c r="P52" s="3" t="s">
        <v>9779</v>
      </c>
    </row>
    <row r="53">
      <c r="A53" s="3" t="s">
        <v>9849</v>
      </c>
      <c r="B53" s="4" t="str">
        <f>C53 &amp; " " &amp; E53 &amp; " " &amp; D53</f>
        <v>principal-notification-publisher SELECT MessageDeliveries</v>
      </c>
      <c r="C53" s="3" t="s">
        <v>9770</v>
      </c>
      <c r="D53" s="3" t="s">
        <v>4444</v>
      </c>
      <c r="E53" s="3" t="s">
        <v>9777</v>
      </c>
      <c r="F53" s="3" t="s">
        <v>168</v>
      </c>
      <c r="G53" s="3" t="s">
        <v>168</v>
      </c>
      <c r="H53" s="3" t="s">
        <v>9847</v>
      </c>
      <c r="I53" s="3" t="b">
        <v>0</v>
      </c>
      <c r="J53" s="4" t="b">
        <f>OR(((E53 = "INSERT")=TRUE), ((E53 = "UPDATE")=TRUE), ((E53 = "DELETE")=TRUE), ((E53 = "ALL")=TRUE))</f>
        <v>0</v>
      </c>
      <c r="K53" s="4" t="b">
        <f>F53 = ""</f>
        <v>1</v>
      </c>
      <c r="L53" s="4" t="b">
        <f>_xlfn.IFNA(IF(((INDEX(AccessPrincipals!G2:G13, MATCH(C53,AccessPrincipals!A2:A13, 0))="")=TRUE),  "",  INDEX(AccessPrincipals!G2:G13, MATCH(C53,AccessPrincipals!A2:A13, 0))), "")</f>
        <v>0</v>
      </c>
      <c r="M53" s="4" t="b">
        <f>AND(((K53)=TRUE), ((NOT(((L53)=TRUE)))=TRUE))</f>
        <v>1</v>
      </c>
      <c r="N53" s="4" t="b">
        <f>AND(((J53)=TRUE), ((O53 = 0)=TRUE))</f>
        <v>0</v>
      </c>
      <c r="O53" s="4">
        <f>COUNTIFS(AccessDenialTests!C2:C18, A53)</f>
        <v>0</v>
      </c>
      <c r="P53" s="3" t="s">
        <v>9779</v>
      </c>
    </row>
    <row r="54">
      <c r="A54" s="3" t="s">
        <v>9850</v>
      </c>
      <c r="B54" s="4" t="str">
        <f>C54 &amp; " " &amp; E54 &amp; " " &amp; D54</f>
        <v>principal-notification-publisher SELECT Recipients</v>
      </c>
      <c r="C54" s="3" t="s">
        <v>9770</v>
      </c>
      <c r="D54" s="3" t="s">
        <v>4412</v>
      </c>
      <c r="E54" s="3" t="s">
        <v>9777</v>
      </c>
      <c r="F54" s="3" t="s">
        <v>9828</v>
      </c>
      <c r="G54" s="3" t="s">
        <v>168</v>
      </c>
      <c r="H54" s="3" t="s">
        <v>9829</v>
      </c>
      <c r="I54" s="3" t="b">
        <v>0</v>
      </c>
      <c r="J54" s="4" t="b">
        <f>OR(((E54 = "INSERT")=TRUE), ((E54 = "UPDATE")=TRUE), ((E54 = "DELETE")=TRUE), ((E54 = "ALL")=TRUE))</f>
        <v>0</v>
      </c>
      <c r="K54" s="4" t="b">
        <f>F54 = ""</f>
        <v>0</v>
      </c>
      <c r="L54" s="4" t="b">
        <f>_xlfn.IFNA(IF(((INDEX(AccessPrincipals!G2:G13, MATCH(C54,AccessPrincipals!A2:A13, 0))="")=TRUE),  "",  INDEX(AccessPrincipals!G2:G13, MATCH(C54,AccessPrincipals!A2:A13, 0))), "")</f>
        <v>0</v>
      </c>
      <c r="M54" s="4" t="b">
        <f>AND(((K54)=TRUE), ((NOT(((L54)=TRUE)))=TRUE))</f>
        <v>0</v>
      </c>
      <c r="N54" s="4" t="b">
        <f>AND(((J54)=TRUE), ((O54 = 0)=TRUE))</f>
        <v>0</v>
      </c>
      <c r="O54" s="4">
        <f>COUNTIFS(AccessDenialTests!C2:C18, A54)</f>
        <v>0</v>
      </c>
      <c r="P54" s="3" t="s">
        <v>9779</v>
      </c>
    </row>
    <row r="55">
      <c r="A55" s="3" t="s">
        <v>9851</v>
      </c>
      <c r="B55" s="4" t="str">
        <f>C55 &amp; " " &amp; E55 &amp; " " &amp; D55</f>
        <v>principal-notification-publisher SELECT Steps</v>
      </c>
      <c r="C55" s="3" t="s">
        <v>9770</v>
      </c>
      <c r="D55" s="3" t="s">
        <v>1778</v>
      </c>
      <c r="E55" s="3" t="s">
        <v>9777</v>
      </c>
      <c r="F55" s="3" t="s">
        <v>168</v>
      </c>
      <c r="G55" s="3" t="s">
        <v>168</v>
      </c>
      <c r="H55" s="3" t="s">
        <v>9847</v>
      </c>
      <c r="I55" s="3" t="b">
        <v>0</v>
      </c>
      <c r="J55" s="4" t="b">
        <f>OR(((E55 = "INSERT")=TRUE), ((E55 = "UPDATE")=TRUE), ((E55 = "DELETE")=TRUE), ((E55 = "ALL")=TRUE))</f>
        <v>0</v>
      </c>
      <c r="K55" s="4" t="b">
        <f>F55 = ""</f>
        <v>1</v>
      </c>
      <c r="L55" s="4" t="b">
        <f>_xlfn.IFNA(IF(((INDEX(AccessPrincipals!G2:G13, MATCH(C55,AccessPrincipals!A2:A13, 0))="")=TRUE),  "",  INDEX(AccessPrincipals!G2:G13, MATCH(C55,AccessPrincipals!A2:A13, 0))), "")</f>
        <v>0</v>
      </c>
      <c r="M55" s="4" t="b">
        <f>AND(((K55)=TRUE), ((NOT(((L55)=TRUE)))=TRUE))</f>
        <v>1</v>
      </c>
      <c r="N55" s="4" t="b">
        <f>AND(((J55)=TRUE), ((O55 = 0)=TRUE))</f>
        <v>0</v>
      </c>
      <c r="O55" s="4">
        <f>COUNTIFS(AccessDenialTests!C2:C18, A55)</f>
        <v>0</v>
      </c>
      <c r="P55" s="3" t="s">
        <v>9779</v>
      </c>
    </row>
    <row r="56">
      <c r="A56" s="3" t="s">
        <v>9852</v>
      </c>
      <c r="B56" s="4" t="str">
        <f>C56 &amp; " " &amp; E56 &amp; " " &amp; D56</f>
        <v>principal-process-steward SELECT Actions</v>
      </c>
      <c r="C56" s="3" t="s">
        <v>9772</v>
      </c>
      <c r="D56" s="3" t="s">
        <v>1796</v>
      </c>
      <c r="E56" s="3" t="s">
        <v>9777</v>
      </c>
      <c r="F56" s="3" t="s">
        <v>168</v>
      </c>
      <c r="G56" s="3" t="s">
        <v>168</v>
      </c>
      <c r="H56" s="3" t="s">
        <v>9853</v>
      </c>
      <c r="I56" s="3" t="b">
        <v>0</v>
      </c>
      <c r="J56" s="4" t="b">
        <f>OR(((E56 = "INSERT")=TRUE), ((E56 = "UPDATE")=TRUE), ((E56 = "DELETE")=TRUE), ((E56 = "ALL")=TRUE))</f>
        <v>0</v>
      </c>
      <c r="K56" s="4" t="b">
        <f>F56 = ""</f>
        <v>1</v>
      </c>
      <c r="L56" s="4" t="b">
        <f>_xlfn.IFNA(IF(((INDEX(AccessPrincipals!G2:G13, MATCH(C56,AccessPrincipals!A2:A13, 0))="")=TRUE),  "",  INDEX(AccessPrincipals!G2:G13, MATCH(C56,AccessPrincipals!A2:A13, 0))), "")</f>
        <v>1</v>
      </c>
      <c r="M56" s="4" t="b">
        <f>AND(((K56)=TRUE), ((NOT(((L56)=TRUE)))=TRUE))</f>
        <v>0</v>
      </c>
      <c r="N56" s="4" t="b">
        <f>AND(((J56)=TRUE), ((O56 = 0)=TRUE))</f>
        <v>0</v>
      </c>
      <c r="O56" s="4">
        <f>COUNTIFS(AccessDenialTests!C2:C18, A56)</f>
        <v>0</v>
      </c>
      <c r="P56" s="3" t="s">
        <v>9779</v>
      </c>
    </row>
    <row r="57">
      <c r="A57" s="3" t="s">
        <v>9854</v>
      </c>
      <c r="B57" s="4" t="str">
        <f>C57 &amp; " " &amp; E57 &amp; " " &amp; D57</f>
        <v>principal-process-steward SELECT AgentDecisionRecords</v>
      </c>
      <c r="C57" s="3" t="s">
        <v>9772</v>
      </c>
      <c r="D57" s="3" t="s">
        <v>4994</v>
      </c>
      <c r="E57" s="3" t="s">
        <v>9777</v>
      </c>
      <c r="F57" s="3" t="s">
        <v>168</v>
      </c>
      <c r="G57" s="3" t="s">
        <v>168</v>
      </c>
      <c r="H57" s="3" t="s">
        <v>9853</v>
      </c>
      <c r="I57" s="3" t="b">
        <v>0</v>
      </c>
      <c r="J57" s="4" t="b">
        <f>OR(((E57 = "INSERT")=TRUE), ((E57 = "UPDATE")=TRUE), ((E57 = "DELETE")=TRUE), ((E57 = "ALL")=TRUE))</f>
        <v>0</v>
      </c>
      <c r="K57" s="4" t="b">
        <f>F57 = ""</f>
        <v>1</v>
      </c>
      <c r="L57" s="4" t="b">
        <f>_xlfn.IFNA(IF(((INDEX(AccessPrincipals!G2:G13, MATCH(C57,AccessPrincipals!A2:A13, 0))="")=TRUE),  "",  INDEX(AccessPrincipals!G2:G13, MATCH(C57,AccessPrincipals!A2:A13, 0))), "")</f>
        <v>1</v>
      </c>
      <c r="M57" s="4" t="b">
        <f>AND(((K57)=TRUE), ((NOT(((L57)=TRUE)))=TRUE))</f>
        <v>0</v>
      </c>
      <c r="N57" s="4" t="b">
        <f>AND(((J57)=TRUE), ((O57 = 0)=TRUE))</f>
        <v>0</v>
      </c>
      <c r="O57" s="4">
        <f>COUNTIFS(AccessDenialTests!C2:C18, A57)</f>
        <v>0</v>
      </c>
      <c r="P57" s="3" t="s">
        <v>9779</v>
      </c>
    </row>
    <row r="58">
      <c r="A58" s="3" t="s">
        <v>9855</v>
      </c>
      <c r="B58" s="4" t="str">
        <f>C58 &amp; " " &amp; E58 &amp; " " &amp; D58</f>
        <v>principal-process-steward SELECT Agents</v>
      </c>
      <c r="C58" s="3" t="s">
        <v>9772</v>
      </c>
      <c r="D58" s="3" t="s">
        <v>1814</v>
      </c>
      <c r="E58" s="3" t="s">
        <v>9777</v>
      </c>
      <c r="F58" s="3" t="s">
        <v>168</v>
      </c>
      <c r="G58" s="3" t="s">
        <v>168</v>
      </c>
      <c r="H58" s="3" t="s">
        <v>9853</v>
      </c>
      <c r="I58" s="3" t="b">
        <v>0</v>
      </c>
      <c r="J58" s="4" t="b">
        <f>OR(((E58 = "INSERT")=TRUE), ((E58 = "UPDATE")=TRUE), ((E58 = "DELETE")=TRUE), ((E58 = "ALL")=TRUE))</f>
        <v>0</v>
      </c>
      <c r="K58" s="4" t="b">
        <f>F58 = ""</f>
        <v>1</v>
      </c>
      <c r="L58" s="4" t="b">
        <f>_xlfn.IFNA(IF(((INDEX(AccessPrincipals!G2:G13, MATCH(C58,AccessPrincipals!A2:A13, 0))="")=TRUE),  "",  INDEX(AccessPrincipals!G2:G13, MATCH(C58,AccessPrincipals!A2:A13, 0))), "")</f>
        <v>1</v>
      </c>
      <c r="M58" s="4" t="b">
        <f>AND(((K58)=TRUE), ((NOT(((L58)=TRUE)))=TRUE))</f>
        <v>0</v>
      </c>
      <c r="N58" s="4" t="b">
        <f>AND(((J58)=TRUE), ((O58 = 0)=TRUE))</f>
        <v>0</v>
      </c>
      <c r="O58" s="4">
        <f>COUNTIFS(AccessDenialTests!C2:C18, A58)</f>
        <v>0</v>
      </c>
      <c r="P58" s="3" t="s">
        <v>9779</v>
      </c>
    </row>
    <row r="59">
      <c r="A59" s="3" t="s">
        <v>9856</v>
      </c>
      <c r="B59" s="4" t="str">
        <f>C59 &amp; " " &amp; E59 &amp; " " &amp; D59</f>
        <v>principal-process-steward SELECT AppNavGroups</v>
      </c>
      <c r="C59" s="3" t="s">
        <v>9772</v>
      </c>
      <c r="D59" s="3" t="s">
        <v>1873</v>
      </c>
      <c r="E59" s="3" t="s">
        <v>9777</v>
      </c>
      <c r="F59" s="3" t="s">
        <v>168</v>
      </c>
      <c r="G59" s="3" t="s">
        <v>168</v>
      </c>
      <c r="H59" s="3" t="s">
        <v>9853</v>
      </c>
      <c r="I59" s="3" t="b">
        <v>0</v>
      </c>
      <c r="J59" s="4" t="b">
        <f>OR(((E59 = "INSERT")=TRUE), ((E59 = "UPDATE")=TRUE), ((E59 = "DELETE")=TRUE), ((E59 = "ALL")=TRUE))</f>
        <v>0</v>
      </c>
      <c r="K59" s="4" t="b">
        <f>F59 = ""</f>
        <v>1</v>
      </c>
      <c r="L59" s="4" t="b">
        <f>_xlfn.IFNA(IF(((INDEX(AccessPrincipals!G2:G13, MATCH(C59,AccessPrincipals!A2:A13, 0))="")=TRUE),  "",  INDEX(AccessPrincipals!G2:G13, MATCH(C59,AccessPrincipals!A2:A13, 0))), "")</f>
        <v>1</v>
      </c>
      <c r="M59" s="4" t="b">
        <f>AND(((K59)=TRUE), ((NOT(((L59)=TRUE)))=TRUE))</f>
        <v>0</v>
      </c>
      <c r="N59" s="4" t="b">
        <f>AND(((J59)=TRUE), ((O59 = 0)=TRUE))</f>
        <v>0</v>
      </c>
      <c r="O59" s="4">
        <f>COUNTIFS(AccessDenialTests!C2:C18, A59)</f>
        <v>0</v>
      </c>
      <c r="P59" s="3" t="s">
        <v>9779</v>
      </c>
    </row>
    <row r="60">
      <c r="A60" s="3" t="s">
        <v>9857</v>
      </c>
      <c r="B60" s="4" t="str">
        <f>C60 &amp; " " &amp; E60 &amp; " " &amp; D60</f>
        <v>principal-process-steward SELECT AppRoleProfiles</v>
      </c>
      <c r="C60" s="3" t="s">
        <v>9772</v>
      </c>
      <c r="D60" s="3" t="s">
        <v>1869</v>
      </c>
      <c r="E60" s="3" t="s">
        <v>9777</v>
      </c>
      <c r="F60" s="3" t="s">
        <v>168</v>
      </c>
      <c r="G60" s="3" t="s">
        <v>168</v>
      </c>
      <c r="H60" s="3" t="s">
        <v>9853</v>
      </c>
      <c r="I60" s="3" t="b">
        <v>0</v>
      </c>
      <c r="J60" s="4" t="b">
        <f>OR(((E60 = "INSERT")=TRUE), ((E60 = "UPDATE")=TRUE), ((E60 = "DELETE")=TRUE), ((E60 = "ALL")=TRUE))</f>
        <v>0</v>
      </c>
      <c r="K60" s="4" t="b">
        <f>F60 = ""</f>
        <v>1</v>
      </c>
      <c r="L60" s="4" t="b">
        <f>_xlfn.IFNA(IF(((INDEX(AccessPrincipals!G2:G13, MATCH(C60,AccessPrincipals!A2:A13, 0))="")=TRUE),  "",  INDEX(AccessPrincipals!G2:G13, MATCH(C60,AccessPrincipals!A2:A13, 0))), "")</f>
        <v>1</v>
      </c>
      <c r="M60" s="4" t="b">
        <f>AND(((K60)=TRUE), ((NOT(((L60)=TRUE)))=TRUE))</f>
        <v>0</v>
      </c>
      <c r="N60" s="4" t="b">
        <f>AND(((J60)=TRUE), ((O60 = 0)=TRUE))</f>
        <v>0</v>
      </c>
      <c r="O60" s="4">
        <f>COUNTIFS(AccessDenialTests!C2:C18, A60)</f>
        <v>0</v>
      </c>
      <c r="P60" s="3" t="s">
        <v>9779</v>
      </c>
    </row>
    <row r="61">
      <c r="A61" s="3" t="s">
        <v>9858</v>
      </c>
      <c r="B61" s="4" t="str">
        <f>C61 &amp; " " &amp; E61 &amp; " " &amp; D61</f>
        <v>principal-process-steward SELECT AppRouteQuestions</v>
      </c>
      <c r="C61" s="3" t="s">
        <v>9772</v>
      </c>
      <c r="D61" s="3" t="s">
        <v>1881</v>
      </c>
      <c r="E61" s="3" t="s">
        <v>9777</v>
      </c>
      <c r="F61" s="3" t="s">
        <v>168</v>
      </c>
      <c r="G61" s="3" t="s">
        <v>168</v>
      </c>
      <c r="H61" s="3" t="s">
        <v>9853</v>
      </c>
      <c r="I61" s="3" t="b">
        <v>0</v>
      </c>
      <c r="J61" s="4" t="b">
        <f>OR(((E61 = "INSERT")=TRUE), ((E61 = "UPDATE")=TRUE), ((E61 = "DELETE")=TRUE), ((E61 = "ALL")=TRUE))</f>
        <v>0</v>
      </c>
      <c r="K61" s="4" t="b">
        <f>F61 = ""</f>
        <v>1</v>
      </c>
      <c r="L61" s="4" t="b">
        <f>_xlfn.IFNA(IF(((INDEX(AccessPrincipals!G2:G13, MATCH(C61,AccessPrincipals!A2:A13, 0))="")=TRUE),  "",  INDEX(AccessPrincipals!G2:G13, MATCH(C61,AccessPrincipals!A2:A13, 0))), "")</f>
        <v>1</v>
      </c>
      <c r="M61" s="4" t="b">
        <f>AND(((K61)=TRUE), ((NOT(((L61)=TRUE)))=TRUE))</f>
        <v>0</v>
      </c>
      <c r="N61" s="4" t="b">
        <f>AND(((J61)=TRUE), ((O61 = 0)=TRUE))</f>
        <v>0</v>
      </c>
      <c r="O61" s="4">
        <f>COUNTIFS(AccessDenialTests!C2:C18, A61)</f>
        <v>0</v>
      </c>
      <c r="P61" s="3" t="s">
        <v>9779</v>
      </c>
    </row>
    <row r="62">
      <c r="A62" s="3" t="s">
        <v>9859</v>
      </c>
      <c r="B62" s="4" t="str">
        <f>C62 &amp; " " &amp; E62 &amp; " " &amp; D62</f>
        <v>principal-process-steward SELECT AppRouteReferences</v>
      </c>
      <c r="C62" s="3" t="s">
        <v>9772</v>
      </c>
      <c r="D62" s="3" t="s">
        <v>1885</v>
      </c>
      <c r="E62" s="3" t="s">
        <v>9777</v>
      </c>
      <c r="F62" s="3" t="s">
        <v>168</v>
      </c>
      <c r="G62" s="3" t="s">
        <v>168</v>
      </c>
      <c r="H62" s="3" t="s">
        <v>9853</v>
      </c>
      <c r="I62" s="3" t="b">
        <v>0</v>
      </c>
      <c r="J62" s="4" t="b">
        <f>OR(((E62 = "INSERT")=TRUE), ((E62 = "UPDATE")=TRUE), ((E62 = "DELETE")=TRUE), ((E62 = "ALL")=TRUE))</f>
        <v>0</v>
      </c>
      <c r="K62" s="4" t="b">
        <f>F62 = ""</f>
        <v>1</v>
      </c>
      <c r="L62" s="4" t="b">
        <f>_xlfn.IFNA(IF(((INDEX(AccessPrincipals!G2:G13, MATCH(C62,AccessPrincipals!A2:A13, 0))="")=TRUE),  "",  INDEX(AccessPrincipals!G2:G13, MATCH(C62,AccessPrincipals!A2:A13, 0))), "")</f>
        <v>1</v>
      </c>
      <c r="M62" s="4" t="b">
        <f>AND(((K62)=TRUE), ((NOT(((L62)=TRUE)))=TRUE))</f>
        <v>0</v>
      </c>
      <c r="N62" s="4" t="b">
        <f>AND(((J62)=TRUE), ((O62 = 0)=TRUE))</f>
        <v>0</v>
      </c>
      <c r="O62" s="4">
        <f>COUNTIFS(AccessDenialTests!C2:C18, A62)</f>
        <v>0</v>
      </c>
      <c r="P62" s="3" t="s">
        <v>9779</v>
      </c>
    </row>
    <row r="63">
      <c r="A63" s="3" t="s">
        <v>9860</v>
      </c>
      <c r="B63" s="4" t="str">
        <f>C63 &amp; " " &amp; E63 &amp; " " &amp; D63</f>
        <v>principal-process-steward SELECT AppRoutes</v>
      </c>
      <c r="C63" s="3" t="s">
        <v>9772</v>
      </c>
      <c r="D63" s="3" t="s">
        <v>1877</v>
      </c>
      <c r="E63" s="3" t="s">
        <v>9777</v>
      </c>
      <c r="F63" s="3" t="s">
        <v>168</v>
      </c>
      <c r="G63" s="3" t="s">
        <v>168</v>
      </c>
      <c r="H63" s="3" t="s">
        <v>9853</v>
      </c>
      <c r="I63" s="3" t="b">
        <v>0</v>
      </c>
      <c r="J63" s="4" t="b">
        <f>OR(((E63 = "INSERT")=TRUE), ((E63 = "UPDATE")=TRUE), ((E63 = "DELETE")=TRUE), ((E63 = "ALL")=TRUE))</f>
        <v>0</v>
      </c>
      <c r="K63" s="4" t="b">
        <f>F63 = ""</f>
        <v>1</v>
      </c>
      <c r="L63" s="4" t="b">
        <f>_xlfn.IFNA(IF(((INDEX(AccessPrincipals!G2:G13, MATCH(C63,AccessPrincipals!A2:A13, 0))="")=TRUE),  "",  INDEX(AccessPrincipals!G2:G13, MATCH(C63,AccessPrincipals!A2:A13, 0))), "")</f>
        <v>1</v>
      </c>
      <c r="M63" s="4" t="b">
        <f>AND(((K63)=TRUE), ((NOT(((L63)=TRUE)))=TRUE))</f>
        <v>0</v>
      </c>
      <c r="N63" s="4" t="b">
        <f>AND(((J63)=TRUE), ((O63 = 0)=TRUE))</f>
        <v>0</v>
      </c>
      <c r="O63" s="4">
        <f>COUNTIFS(AccessDenialTests!C2:C18, A63)</f>
        <v>0</v>
      </c>
      <c r="P63" s="3" t="s">
        <v>9779</v>
      </c>
    </row>
    <row r="64">
      <c r="A64" s="3" t="s">
        <v>9861</v>
      </c>
      <c r="B64" s="4" t="str">
        <f>C64 &amp; " " &amp; E64 &amp; " " &amp; D64</f>
        <v>principal-process-steward SELECT Attestations</v>
      </c>
      <c r="C64" s="3" t="s">
        <v>9772</v>
      </c>
      <c r="D64" s="3" t="s">
        <v>5235</v>
      </c>
      <c r="E64" s="3" t="s">
        <v>9777</v>
      </c>
      <c r="F64" s="3" t="s">
        <v>168</v>
      </c>
      <c r="G64" s="3" t="s">
        <v>168</v>
      </c>
      <c r="H64" s="3" t="s">
        <v>9853</v>
      </c>
      <c r="I64" s="3" t="b">
        <v>0</v>
      </c>
      <c r="J64" s="4" t="b">
        <f>OR(((E64 = "INSERT")=TRUE), ((E64 = "UPDATE")=TRUE), ((E64 = "DELETE")=TRUE), ((E64 = "ALL")=TRUE))</f>
        <v>0</v>
      </c>
      <c r="K64" s="4" t="b">
        <f>F64 = ""</f>
        <v>1</v>
      </c>
      <c r="L64" s="4" t="b">
        <f>_xlfn.IFNA(IF(((INDEX(AccessPrincipals!G2:G13, MATCH(C64,AccessPrincipals!A2:A13, 0))="")=TRUE),  "",  INDEX(AccessPrincipals!G2:G13, MATCH(C64,AccessPrincipals!A2:A13, 0))), "")</f>
        <v>1</v>
      </c>
      <c r="M64" s="4" t="b">
        <f>AND(((K64)=TRUE), ((NOT(((L64)=TRUE)))=TRUE))</f>
        <v>0</v>
      </c>
      <c r="N64" s="4" t="b">
        <f>AND(((J64)=TRUE), ((O64 = 0)=TRUE))</f>
        <v>0</v>
      </c>
      <c r="O64" s="4">
        <f>COUNTIFS(AccessDenialTests!C2:C18, A64)</f>
        <v>0</v>
      </c>
      <c r="P64" s="3" t="s">
        <v>9779</v>
      </c>
    </row>
    <row r="65">
      <c r="A65" s="3" t="s">
        <v>9862</v>
      </c>
      <c r="B65" s="4" t="str">
        <f>C65 &amp; " " &amp; E65 &amp; " " &amp; D65</f>
        <v>principal-process-steward SELECT AuthorityBoundaries</v>
      </c>
      <c r="C65" s="3" t="s">
        <v>9772</v>
      </c>
      <c r="D65" s="3" t="s">
        <v>5131</v>
      </c>
      <c r="E65" s="3" t="s">
        <v>9777</v>
      </c>
      <c r="F65" s="3" t="s">
        <v>168</v>
      </c>
      <c r="G65" s="3" t="s">
        <v>168</v>
      </c>
      <c r="H65" s="3" t="s">
        <v>9853</v>
      </c>
      <c r="I65" s="3" t="b">
        <v>0</v>
      </c>
      <c r="J65" s="4" t="b">
        <f>OR(((E65 = "INSERT")=TRUE), ((E65 = "UPDATE")=TRUE), ((E65 = "DELETE")=TRUE), ((E65 = "ALL")=TRUE))</f>
        <v>0</v>
      </c>
      <c r="K65" s="4" t="b">
        <f>F65 = ""</f>
        <v>1</v>
      </c>
      <c r="L65" s="4" t="b">
        <f>_xlfn.IFNA(IF(((INDEX(AccessPrincipals!G2:G13, MATCH(C65,AccessPrincipals!A2:A13, 0))="")=TRUE),  "",  INDEX(AccessPrincipals!G2:G13, MATCH(C65,AccessPrincipals!A2:A13, 0))), "")</f>
        <v>1</v>
      </c>
      <c r="M65" s="4" t="b">
        <f>AND(((K65)=TRUE), ((NOT(((L65)=TRUE)))=TRUE))</f>
        <v>0</v>
      </c>
      <c r="N65" s="4" t="b">
        <f>AND(((J65)=TRUE), ((O65 = 0)=TRUE))</f>
        <v>0</v>
      </c>
      <c r="O65" s="4">
        <f>COUNTIFS(AccessDenialTests!C2:C18, A65)</f>
        <v>0</v>
      </c>
      <c r="P65" s="3" t="s">
        <v>9779</v>
      </c>
    </row>
    <row r="66">
      <c r="A66" s="3" t="s">
        <v>9863</v>
      </c>
      <c r="B66" s="4" t="str">
        <f>C66 &amp; " " &amp; E66 &amp; " " &amp; D66</f>
        <v>principal-process-steward SELECT BindingObservations</v>
      </c>
      <c r="C66" s="3" t="s">
        <v>9772</v>
      </c>
      <c r="D66" s="3" t="s">
        <v>5208</v>
      </c>
      <c r="E66" s="3" t="s">
        <v>9777</v>
      </c>
      <c r="F66" s="3" t="s">
        <v>168</v>
      </c>
      <c r="G66" s="3" t="s">
        <v>168</v>
      </c>
      <c r="H66" s="3" t="s">
        <v>9853</v>
      </c>
      <c r="I66" s="3" t="b">
        <v>0</v>
      </c>
      <c r="J66" s="4" t="b">
        <f>OR(((E66 = "INSERT")=TRUE), ((E66 = "UPDATE")=TRUE), ((E66 = "DELETE")=TRUE), ((E66 = "ALL")=TRUE))</f>
        <v>0</v>
      </c>
      <c r="K66" s="4" t="b">
        <f>F66 = ""</f>
        <v>1</v>
      </c>
      <c r="L66" s="4" t="b">
        <f>_xlfn.IFNA(IF(((INDEX(AccessPrincipals!G2:G13, MATCH(C66,AccessPrincipals!A2:A13, 0))="")=TRUE),  "",  INDEX(AccessPrincipals!G2:G13, MATCH(C66,AccessPrincipals!A2:A13, 0))), "")</f>
        <v>1</v>
      </c>
      <c r="M66" s="4" t="b">
        <f>AND(((K66)=TRUE), ((NOT(((L66)=TRUE)))=TRUE))</f>
        <v>0</v>
      </c>
      <c r="N66" s="4" t="b">
        <f>AND(((J66)=TRUE), ((O66 = 0)=TRUE))</f>
        <v>0</v>
      </c>
      <c r="O66" s="4">
        <f>COUNTIFS(AccessDenialTests!C2:C18, A66)</f>
        <v>0</v>
      </c>
      <c r="P66" s="3" t="s">
        <v>9779</v>
      </c>
    </row>
    <row r="67">
      <c r="A67" s="3" t="s">
        <v>9864</v>
      </c>
      <c r="B67" s="4" t="str">
        <f>C67 &amp; " " &amp; E67 &amp; " " &amp; D67</f>
        <v>principal-process-steward SELECT ChangeRequests</v>
      </c>
      <c r="C67" s="3" t="s">
        <v>9772</v>
      </c>
      <c r="D67" s="3" t="s">
        <v>3914</v>
      </c>
      <c r="E67" s="3" t="s">
        <v>9777</v>
      </c>
      <c r="F67" s="3" t="s">
        <v>168</v>
      </c>
      <c r="G67" s="3" t="s">
        <v>168</v>
      </c>
      <c r="H67" s="3" t="s">
        <v>9853</v>
      </c>
      <c r="I67" s="3" t="b">
        <v>0</v>
      </c>
      <c r="J67" s="4" t="b">
        <f>OR(((E67 = "INSERT")=TRUE), ((E67 = "UPDATE")=TRUE), ((E67 = "DELETE")=TRUE), ((E67 = "ALL")=TRUE))</f>
        <v>0</v>
      </c>
      <c r="K67" s="4" t="b">
        <f>F67 = ""</f>
        <v>1</v>
      </c>
      <c r="L67" s="4" t="b">
        <f>_xlfn.IFNA(IF(((INDEX(AccessPrincipals!G2:G13, MATCH(C67,AccessPrincipals!A2:A13, 0))="")=TRUE),  "",  INDEX(AccessPrincipals!G2:G13, MATCH(C67,AccessPrincipals!A2:A13, 0))), "")</f>
        <v>1</v>
      </c>
      <c r="M67" s="4" t="b">
        <f>AND(((K67)=TRUE), ((NOT(((L67)=TRUE)))=TRUE))</f>
        <v>0</v>
      </c>
      <c r="N67" s="4" t="b">
        <f>AND(((J67)=TRUE), ((O67 = 0)=TRUE))</f>
        <v>0</v>
      </c>
      <c r="O67" s="4">
        <f>COUNTIFS(AccessDenialTests!C2:C18, A67)</f>
        <v>0</v>
      </c>
      <c r="P67" s="3" t="s">
        <v>9779</v>
      </c>
    </row>
    <row r="68">
      <c r="A68" s="3" t="s">
        <v>9865</v>
      </c>
      <c r="B68" s="4" t="str">
        <f>C68 &amp; " " &amp; E68 &amp; " " &amp; D68</f>
        <v>principal-process-steward SELECT CommunicationPolicies</v>
      </c>
      <c r="C68" s="3" t="s">
        <v>9772</v>
      </c>
      <c r="D68" s="3" t="s">
        <v>1865</v>
      </c>
      <c r="E68" s="3" t="s">
        <v>9777</v>
      </c>
      <c r="F68" s="3" t="s">
        <v>168</v>
      </c>
      <c r="G68" s="3" t="s">
        <v>168</v>
      </c>
      <c r="H68" s="3" t="s">
        <v>9853</v>
      </c>
      <c r="I68" s="3" t="b">
        <v>0</v>
      </c>
      <c r="J68" s="4" t="b">
        <f>OR(((E68 = "INSERT")=TRUE), ((E68 = "UPDATE")=TRUE), ((E68 = "DELETE")=TRUE), ((E68 = "ALL")=TRUE))</f>
        <v>0</v>
      </c>
      <c r="K68" s="4" t="b">
        <f>F68 = ""</f>
        <v>1</v>
      </c>
      <c r="L68" s="4" t="b">
        <f>_xlfn.IFNA(IF(((INDEX(AccessPrincipals!G2:G13, MATCH(C68,AccessPrincipals!A2:A13, 0))="")=TRUE),  "",  INDEX(AccessPrincipals!G2:G13, MATCH(C68,AccessPrincipals!A2:A13, 0))), "")</f>
        <v>1</v>
      </c>
      <c r="M68" s="4" t="b">
        <f>AND(((K68)=TRUE), ((NOT(((L68)=TRUE)))=TRUE))</f>
        <v>0</v>
      </c>
      <c r="N68" s="4" t="b">
        <f>AND(((J68)=TRUE), ((O68 = 0)=TRUE))</f>
        <v>0</v>
      </c>
      <c r="O68" s="4">
        <f>COUNTIFS(AccessDenialTests!C2:C18, A68)</f>
        <v>0</v>
      </c>
      <c r="P68" s="3" t="s">
        <v>9779</v>
      </c>
    </row>
    <row r="69">
      <c r="A69" s="3" t="s">
        <v>9866</v>
      </c>
      <c r="B69" s="4" t="str">
        <f>C69 &amp; " " &amp; E69 &amp; " " &amp; D69</f>
        <v>principal-process-steward SELECT CommunitiesOfPractice</v>
      </c>
      <c r="C69" s="3" t="s">
        <v>9772</v>
      </c>
      <c r="D69" s="3" t="s">
        <v>2655</v>
      </c>
      <c r="E69" s="3" t="s">
        <v>9777</v>
      </c>
      <c r="F69" s="3" t="s">
        <v>168</v>
      </c>
      <c r="G69" s="3" t="s">
        <v>168</v>
      </c>
      <c r="H69" s="3" t="s">
        <v>9853</v>
      </c>
      <c r="I69" s="3" t="b">
        <v>0</v>
      </c>
      <c r="J69" s="4" t="b">
        <f>OR(((E69 = "INSERT")=TRUE), ((E69 = "UPDATE")=TRUE), ((E69 = "DELETE")=TRUE), ((E69 = "ALL")=TRUE))</f>
        <v>0</v>
      </c>
      <c r="K69" s="4" t="b">
        <f>F69 = ""</f>
        <v>1</v>
      </c>
      <c r="L69" s="4" t="b">
        <f>_xlfn.IFNA(IF(((INDEX(AccessPrincipals!G2:G13, MATCH(C69,AccessPrincipals!A2:A13, 0))="")=TRUE),  "",  INDEX(AccessPrincipals!G2:G13, MATCH(C69,AccessPrincipals!A2:A13, 0))), "")</f>
        <v>1</v>
      </c>
      <c r="M69" s="4" t="b">
        <f>AND(((K69)=TRUE), ((NOT(((L69)=TRUE)))=TRUE))</f>
        <v>0</v>
      </c>
      <c r="N69" s="4" t="b">
        <f>AND(((J69)=TRUE), ((O69 = 0)=TRUE))</f>
        <v>0</v>
      </c>
      <c r="O69" s="4">
        <f>COUNTIFS(AccessDenialTests!C2:C18, A69)</f>
        <v>0</v>
      </c>
      <c r="P69" s="3" t="s">
        <v>9779</v>
      </c>
    </row>
    <row r="70">
      <c r="A70" s="3" t="s">
        <v>9867</v>
      </c>
      <c r="B70" s="4" t="str">
        <f>C70 &amp; " " &amp; E70 &amp; " " &amp; D70</f>
        <v>principal-process-steward SELECT DeliveredCommunications</v>
      </c>
      <c r="C70" s="3" t="s">
        <v>9772</v>
      </c>
      <c r="D70" s="3" t="s">
        <v>5095</v>
      </c>
      <c r="E70" s="3" t="s">
        <v>9777</v>
      </c>
      <c r="F70" s="3" t="s">
        <v>168</v>
      </c>
      <c r="G70" s="3" t="s">
        <v>168</v>
      </c>
      <c r="H70" s="3" t="s">
        <v>9853</v>
      </c>
      <c r="I70" s="3" t="b">
        <v>0</v>
      </c>
      <c r="J70" s="4" t="b">
        <f>OR(((E70 = "INSERT")=TRUE), ((E70 = "UPDATE")=TRUE), ((E70 = "DELETE")=TRUE), ((E70 = "ALL")=TRUE))</f>
        <v>0</v>
      </c>
      <c r="K70" s="4" t="b">
        <f>F70 = ""</f>
        <v>1</v>
      </c>
      <c r="L70" s="4" t="b">
        <f>_xlfn.IFNA(IF(((INDEX(AccessPrincipals!G2:G13, MATCH(C70,AccessPrincipals!A2:A13, 0))="")=TRUE),  "",  INDEX(AccessPrincipals!G2:G13, MATCH(C70,AccessPrincipals!A2:A13, 0))), "")</f>
        <v>1</v>
      </c>
      <c r="M70" s="4" t="b">
        <f>AND(((K70)=TRUE), ((NOT(((L70)=TRUE)))=TRUE))</f>
        <v>0</v>
      </c>
      <c r="N70" s="4" t="b">
        <f>AND(((J70)=TRUE), ((O70 = 0)=TRUE))</f>
        <v>0</v>
      </c>
      <c r="O70" s="4">
        <f>COUNTIFS(AccessDenialTests!C2:C18, A70)</f>
        <v>0</v>
      </c>
      <c r="P70" s="3" t="s">
        <v>9779</v>
      </c>
    </row>
    <row r="71">
      <c r="A71" s="3" t="s">
        <v>9868</v>
      </c>
      <c r="B71" s="4" t="str">
        <f>C71 &amp; " " &amp; E71 &amp; " " &amp; D71</f>
        <v>principal-process-steward SELECT ElicitationSessions</v>
      </c>
      <c r="C71" s="3" t="s">
        <v>9772</v>
      </c>
      <c r="D71" s="3" t="s">
        <v>1855</v>
      </c>
      <c r="E71" s="3" t="s">
        <v>9777</v>
      </c>
      <c r="F71" s="3" t="s">
        <v>168</v>
      </c>
      <c r="G71" s="3" t="s">
        <v>168</v>
      </c>
      <c r="H71" s="3" t="s">
        <v>9853</v>
      </c>
      <c r="I71" s="3" t="b">
        <v>0</v>
      </c>
      <c r="J71" s="4" t="b">
        <f>OR(((E71 = "INSERT")=TRUE), ((E71 = "UPDATE")=TRUE), ((E71 = "DELETE")=TRUE), ((E71 = "ALL")=TRUE))</f>
        <v>0</v>
      </c>
      <c r="K71" s="4" t="b">
        <f>F71 = ""</f>
        <v>1</v>
      </c>
      <c r="L71" s="4" t="b">
        <f>_xlfn.IFNA(IF(((INDEX(AccessPrincipals!G2:G13, MATCH(C71,AccessPrincipals!A2:A13, 0))="")=TRUE),  "",  INDEX(AccessPrincipals!G2:G13, MATCH(C71,AccessPrincipals!A2:A13, 0))), "")</f>
        <v>1</v>
      </c>
      <c r="M71" s="4" t="b">
        <f>AND(((K71)=TRUE), ((NOT(((L71)=TRUE)))=TRUE))</f>
        <v>0</v>
      </c>
      <c r="N71" s="4" t="b">
        <f>AND(((J71)=TRUE), ((O71 = 0)=TRUE))</f>
        <v>0</v>
      </c>
      <c r="O71" s="4">
        <f>COUNTIFS(AccessDenialTests!C2:C18, A71)</f>
        <v>0</v>
      </c>
      <c r="P71" s="3" t="s">
        <v>9779</v>
      </c>
    </row>
    <row r="72">
      <c r="A72" s="3" t="s">
        <v>9869</v>
      </c>
      <c r="B72" s="4" t="str">
        <f>C72 &amp; " " &amp; E72 &amp; " " &amp; D72</f>
        <v>principal-process-steward SELECT Errors</v>
      </c>
      <c r="C72" s="3" t="s">
        <v>9772</v>
      </c>
      <c r="D72" s="3" t="s">
        <v>1833</v>
      </c>
      <c r="E72" s="3" t="s">
        <v>9777</v>
      </c>
      <c r="F72" s="3" t="s">
        <v>168</v>
      </c>
      <c r="G72" s="3" t="s">
        <v>168</v>
      </c>
      <c r="H72" s="3" t="s">
        <v>9853</v>
      </c>
      <c r="I72" s="3" t="b">
        <v>0</v>
      </c>
      <c r="J72" s="4" t="b">
        <f>OR(((E72 = "INSERT")=TRUE), ((E72 = "UPDATE")=TRUE), ((E72 = "DELETE")=TRUE), ((E72 = "ALL")=TRUE))</f>
        <v>0</v>
      </c>
      <c r="K72" s="4" t="b">
        <f>F72 = ""</f>
        <v>1</v>
      </c>
      <c r="L72" s="4" t="b">
        <f>_xlfn.IFNA(IF(((INDEX(AccessPrincipals!G2:G13, MATCH(C72,AccessPrincipals!A2:A13, 0))="")=TRUE),  "",  INDEX(AccessPrincipals!G2:G13, MATCH(C72,AccessPrincipals!A2:A13, 0))), "")</f>
        <v>1</v>
      </c>
      <c r="M72" s="4" t="b">
        <f>AND(((K72)=TRUE), ((NOT(((L72)=TRUE)))=TRUE))</f>
        <v>0</v>
      </c>
      <c r="N72" s="4" t="b">
        <f>AND(((J72)=TRUE), ((O72 = 0)=TRUE))</f>
        <v>0</v>
      </c>
      <c r="O72" s="4">
        <f>COUNTIFS(AccessDenialTests!C2:C18, A72)</f>
        <v>0</v>
      </c>
      <c r="P72" s="3" t="s">
        <v>9779</v>
      </c>
    </row>
    <row r="73">
      <c r="A73" s="3" t="s">
        <v>9870</v>
      </c>
      <c r="B73" s="4" t="str">
        <f>C73 &amp; " " &amp; E73 &amp; " " &amp; D73</f>
        <v>principal-process-steward SELECT EvaluationContexts</v>
      </c>
      <c r="C73" s="3" t="s">
        <v>9772</v>
      </c>
      <c r="D73" s="3" t="s">
        <v>2444</v>
      </c>
      <c r="E73" s="3" t="s">
        <v>9777</v>
      </c>
      <c r="F73" s="3" t="s">
        <v>168</v>
      </c>
      <c r="G73" s="3" t="s">
        <v>168</v>
      </c>
      <c r="H73" s="3" t="s">
        <v>9853</v>
      </c>
      <c r="I73" s="3" t="b">
        <v>0</v>
      </c>
      <c r="J73" s="4" t="b">
        <f>OR(((E73 = "INSERT")=TRUE), ((E73 = "UPDATE")=TRUE), ((E73 = "DELETE")=TRUE), ((E73 = "ALL")=TRUE))</f>
        <v>0</v>
      </c>
      <c r="K73" s="4" t="b">
        <f>F73 = ""</f>
        <v>1</v>
      </c>
      <c r="L73" s="4" t="b">
        <f>_xlfn.IFNA(IF(((INDEX(AccessPrincipals!G2:G13, MATCH(C73,AccessPrincipals!A2:A13, 0))="")=TRUE),  "",  INDEX(AccessPrincipals!G2:G13, MATCH(C73,AccessPrincipals!A2:A13, 0))), "")</f>
        <v>1</v>
      </c>
      <c r="M73" s="4" t="b">
        <f>AND(((K73)=TRUE), ((NOT(((L73)=TRUE)))=TRUE))</f>
        <v>0</v>
      </c>
      <c r="N73" s="4" t="b">
        <f>AND(((J73)=TRUE), ((O73 = 0)=TRUE))</f>
        <v>0</v>
      </c>
      <c r="O73" s="4">
        <f>COUNTIFS(AccessDenialTests!C2:C18, A73)</f>
        <v>0</v>
      </c>
      <c r="P73" s="3" t="s">
        <v>9779</v>
      </c>
    </row>
    <row r="74">
      <c r="A74" s="3" t="s">
        <v>9871</v>
      </c>
      <c r="B74" s="4" t="str">
        <f>C74 &amp; " " &amp; E74 &amp; " " &amp; D74</f>
        <v>principal-process-steward SELECT ExceptionInvocations</v>
      </c>
      <c r="C74" s="3" t="s">
        <v>9772</v>
      </c>
      <c r="D74" s="3" t="s">
        <v>4287</v>
      </c>
      <c r="E74" s="3" t="s">
        <v>9777</v>
      </c>
      <c r="F74" s="3" t="s">
        <v>168</v>
      </c>
      <c r="G74" s="3" t="s">
        <v>168</v>
      </c>
      <c r="H74" s="3" t="s">
        <v>9853</v>
      </c>
      <c r="I74" s="3" t="b">
        <v>0</v>
      </c>
      <c r="J74" s="4" t="b">
        <f>OR(((E74 = "INSERT")=TRUE), ((E74 = "UPDATE")=TRUE), ((E74 = "DELETE")=TRUE), ((E74 = "ALL")=TRUE))</f>
        <v>0</v>
      </c>
      <c r="K74" s="4" t="b">
        <f>F74 = ""</f>
        <v>1</v>
      </c>
      <c r="L74" s="4" t="b">
        <f>_xlfn.IFNA(IF(((INDEX(AccessPrincipals!G2:G13, MATCH(C74,AccessPrincipals!A2:A13, 0))="")=TRUE),  "",  INDEX(AccessPrincipals!G2:G13, MATCH(C74,AccessPrincipals!A2:A13, 0))), "")</f>
        <v>1</v>
      </c>
      <c r="M74" s="4" t="b">
        <f>AND(((K74)=TRUE), ((NOT(((L74)=TRUE)))=TRUE))</f>
        <v>0</v>
      </c>
      <c r="N74" s="4" t="b">
        <f>AND(((J74)=TRUE), ((O74 = 0)=TRUE))</f>
        <v>0</v>
      </c>
      <c r="O74" s="4">
        <f>COUNTIFS(AccessDenialTests!C2:C18, A74)</f>
        <v>0</v>
      </c>
      <c r="P74" s="3" t="s">
        <v>9779</v>
      </c>
    </row>
    <row r="75">
      <c r="A75" s="3" t="s">
        <v>9872</v>
      </c>
      <c r="B75" s="4" t="str">
        <f>C75 &amp; " " &amp; E75 &amp; " " &amp; D75</f>
        <v>principal-process-steward SELECT Exceptions</v>
      </c>
      <c r="C75" s="3" t="s">
        <v>9772</v>
      </c>
      <c r="D75" s="3" t="s">
        <v>3161</v>
      </c>
      <c r="E75" s="3" t="s">
        <v>9777</v>
      </c>
      <c r="F75" s="3" t="s">
        <v>168</v>
      </c>
      <c r="G75" s="3" t="s">
        <v>168</v>
      </c>
      <c r="H75" s="3" t="s">
        <v>9853</v>
      </c>
      <c r="I75" s="3" t="b">
        <v>0</v>
      </c>
      <c r="J75" s="4" t="b">
        <f>OR(((E75 = "INSERT")=TRUE), ((E75 = "UPDATE")=TRUE), ((E75 = "DELETE")=TRUE), ((E75 = "ALL")=TRUE))</f>
        <v>0</v>
      </c>
      <c r="K75" s="4" t="b">
        <f>F75 = ""</f>
        <v>1</v>
      </c>
      <c r="L75" s="4" t="b">
        <f>_xlfn.IFNA(IF(((INDEX(AccessPrincipals!G2:G13, MATCH(C75,AccessPrincipals!A2:A13, 0))="")=TRUE),  "",  INDEX(AccessPrincipals!G2:G13, MATCH(C75,AccessPrincipals!A2:A13, 0))), "")</f>
        <v>1</v>
      </c>
      <c r="M75" s="4" t="b">
        <f>AND(((K75)=TRUE), ((NOT(((L75)=TRUE)))=TRUE))</f>
        <v>0</v>
      </c>
      <c r="N75" s="4" t="b">
        <f>AND(((J75)=TRUE), ((O75 = 0)=TRUE))</f>
        <v>0</v>
      </c>
      <c r="O75" s="4">
        <f>COUNTIFS(AccessDenialTests!C2:C18, A75)</f>
        <v>0</v>
      </c>
      <c r="P75" s="3" t="s">
        <v>9779</v>
      </c>
    </row>
    <row r="76">
      <c r="A76" s="3" t="s">
        <v>9873</v>
      </c>
      <c r="B76" s="4" t="str">
        <f>C76 &amp; " " &amp; E76 &amp; " " &amp; D76</f>
        <v>principal-process-steward SELECT Explanations</v>
      </c>
      <c r="C76" s="3" t="s">
        <v>9772</v>
      </c>
      <c r="D76" s="3" t="s">
        <v>1848</v>
      </c>
      <c r="E76" s="3" t="s">
        <v>9777</v>
      </c>
      <c r="F76" s="3" t="s">
        <v>168</v>
      </c>
      <c r="G76" s="3" t="s">
        <v>168</v>
      </c>
      <c r="H76" s="3" t="s">
        <v>9853</v>
      </c>
      <c r="I76" s="3" t="b">
        <v>0</v>
      </c>
      <c r="J76" s="4" t="b">
        <f>OR(((E76 = "INSERT")=TRUE), ((E76 = "UPDATE")=TRUE), ((E76 = "DELETE")=TRUE), ((E76 = "ALL")=TRUE))</f>
        <v>0</v>
      </c>
      <c r="K76" s="4" t="b">
        <f>F76 = ""</f>
        <v>1</v>
      </c>
      <c r="L76" s="4" t="b">
        <f>_xlfn.IFNA(IF(((INDEX(AccessPrincipals!G2:G13, MATCH(C76,AccessPrincipals!A2:A13, 0))="")=TRUE),  "",  INDEX(AccessPrincipals!G2:G13, MATCH(C76,AccessPrincipals!A2:A13, 0))), "")</f>
        <v>1</v>
      </c>
      <c r="M76" s="4" t="b">
        <f>AND(((K76)=TRUE), ((NOT(((L76)=TRUE)))=TRUE))</f>
        <v>0</v>
      </c>
      <c r="N76" s="4" t="b">
        <f>AND(((J76)=TRUE), ((O76 = 0)=TRUE))</f>
        <v>0</v>
      </c>
      <c r="O76" s="4">
        <f>COUNTIFS(AccessDenialTests!C2:C18, A76)</f>
        <v>0</v>
      </c>
      <c r="P76" s="3" t="s">
        <v>9779</v>
      </c>
    </row>
    <row r="77">
      <c r="A77" s="3" t="s">
        <v>9874</v>
      </c>
      <c r="B77" s="4" t="str">
        <f>C77 &amp; " " &amp; E77 &amp; " " &amp; D77</f>
        <v>principal-process-steward SELECT Functions</v>
      </c>
      <c r="C77" s="3" t="s">
        <v>9772</v>
      </c>
      <c r="D77" s="3" t="s">
        <v>1799</v>
      </c>
      <c r="E77" s="3" t="s">
        <v>9777</v>
      </c>
      <c r="F77" s="3" t="s">
        <v>168</v>
      </c>
      <c r="G77" s="3" t="s">
        <v>168</v>
      </c>
      <c r="H77" s="3" t="s">
        <v>9853</v>
      </c>
      <c r="I77" s="3" t="b">
        <v>0</v>
      </c>
      <c r="J77" s="4" t="b">
        <f>OR(((E77 = "INSERT")=TRUE), ((E77 = "UPDATE")=TRUE), ((E77 = "DELETE")=TRUE), ((E77 = "ALL")=TRUE))</f>
        <v>0</v>
      </c>
      <c r="K77" s="4" t="b">
        <f>F77 = ""</f>
        <v>1</v>
      </c>
      <c r="L77" s="4" t="b">
        <f>_xlfn.IFNA(IF(((INDEX(AccessPrincipals!G2:G13, MATCH(C77,AccessPrincipals!A2:A13, 0))="")=TRUE),  "",  INDEX(AccessPrincipals!G2:G13, MATCH(C77,AccessPrincipals!A2:A13, 0))), "")</f>
        <v>1</v>
      </c>
      <c r="M77" s="4" t="b">
        <f>AND(((K77)=TRUE), ((NOT(((L77)=TRUE)))=TRUE))</f>
        <v>0</v>
      </c>
      <c r="N77" s="4" t="b">
        <f>AND(((J77)=TRUE), ((O77 = 0)=TRUE))</f>
        <v>0</v>
      </c>
      <c r="O77" s="4">
        <f>COUNTIFS(AccessDenialTests!C2:C18, A77)</f>
        <v>0</v>
      </c>
      <c r="P77" s="3" t="s">
        <v>9779</v>
      </c>
    </row>
    <row r="78">
      <c r="A78" s="3" t="s">
        <v>9875</v>
      </c>
      <c r="B78" s="4" t="str">
        <f>C78 &amp; " " &amp; E78 &amp; " " &amp; D78</f>
        <v>principal-process-steward SELECT IssueOccurrences</v>
      </c>
      <c r="C78" s="3" t="s">
        <v>9772</v>
      </c>
      <c r="D78" s="3" t="s">
        <v>1836</v>
      </c>
      <c r="E78" s="3" t="s">
        <v>9777</v>
      </c>
      <c r="F78" s="3" t="s">
        <v>168</v>
      </c>
      <c r="G78" s="3" t="s">
        <v>168</v>
      </c>
      <c r="H78" s="3" t="s">
        <v>9853</v>
      </c>
      <c r="I78" s="3" t="b">
        <v>0</v>
      </c>
      <c r="J78" s="4" t="b">
        <f>OR(((E78 = "INSERT")=TRUE), ((E78 = "UPDATE")=TRUE), ((E78 = "DELETE")=TRUE), ((E78 = "ALL")=TRUE))</f>
        <v>0</v>
      </c>
      <c r="K78" s="4" t="b">
        <f>F78 = ""</f>
        <v>1</v>
      </c>
      <c r="L78" s="4" t="b">
        <f>_xlfn.IFNA(IF(((INDEX(AccessPrincipals!G2:G13, MATCH(C78,AccessPrincipals!A2:A13, 0))="")=TRUE),  "",  INDEX(AccessPrincipals!G2:G13, MATCH(C78,AccessPrincipals!A2:A13, 0))), "")</f>
        <v>1</v>
      </c>
      <c r="M78" s="4" t="b">
        <f>AND(((K78)=TRUE), ((NOT(((L78)=TRUE)))=TRUE))</f>
        <v>0</v>
      </c>
      <c r="N78" s="4" t="b">
        <f>AND(((J78)=TRUE), ((O78 = 0)=TRUE))</f>
        <v>0</v>
      </c>
      <c r="O78" s="4">
        <f>COUNTIFS(AccessDenialTests!C2:C18, A78)</f>
        <v>0</v>
      </c>
      <c r="P78" s="3" t="s">
        <v>9779</v>
      </c>
    </row>
    <row r="79">
      <c r="A79" s="3" t="s">
        <v>9876</v>
      </c>
      <c r="B79" s="4" t="str">
        <f>C79 &amp; " " &amp; E79 &amp; " " &amp; D79</f>
        <v>principal-process-steward SELECT KnowledgeFragments</v>
      </c>
      <c r="C79" s="3" t="s">
        <v>9772</v>
      </c>
      <c r="D79" s="3" t="s">
        <v>1851</v>
      </c>
      <c r="E79" s="3" t="s">
        <v>9777</v>
      </c>
      <c r="F79" s="3" t="s">
        <v>168</v>
      </c>
      <c r="G79" s="3" t="s">
        <v>168</v>
      </c>
      <c r="H79" s="3" t="s">
        <v>9853</v>
      </c>
      <c r="I79" s="3" t="b">
        <v>0</v>
      </c>
      <c r="J79" s="4" t="b">
        <f>OR(((E79 = "INSERT")=TRUE), ((E79 = "UPDATE")=TRUE), ((E79 = "DELETE")=TRUE), ((E79 = "ALL")=TRUE))</f>
        <v>0</v>
      </c>
      <c r="K79" s="4" t="b">
        <f>F79 = ""</f>
        <v>1</v>
      </c>
      <c r="L79" s="4" t="b">
        <f>_xlfn.IFNA(IF(((INDEX(AccessPrincipals!G2:G13, MATCH(C79,AccessPrincipals!A2:A13, 0))="")=TRUE),  "",  INDEX(AccessPrincipals!G2:G13, MATCH(C79,AccessPrincipals!A2:A13, 0))), "")</f>
        <v>1</v>
      </c>
      <c r="M79" s="4" t="b">
        <f>AND(((K79)=TRUE), ((NOT(((L79)=TRUE)))=TRUE))</f>
        <v>0</v>
      </c>
      <c r="N79" s="4" t="b">
        <f>AND(((J79)=TRUE), ((O79 = 0)=TRUE))</f>
        <v>0</v>
      </c>
      <c r="O79" s="4">
        <f>COUNTIFS(AccessDenialTests!C2:C18, A79)</f>
        <v>0</v>
      </c>
      <c r="P79" s="3" t="s">
        <v>9779</v>
      </c>
    </row>
    <row r="80">
      <c r="A80" s="3" t="s">
        <v>9877</v>
      </c>
      <c r="B80" s="4" t="str">
        <f>C80 &amp; " " &amp; E80 &amp; " " &amp; D80</f>
        <v>principal-process-steward SELECT KnowledgeGaps</v>
      </c>
      <c r="C80" s="3" t="s">
        <v>9772</v>
      </c>
      <c r="D80" s="3" t="s">
        <v>3368</v>
      </c>
      <c r="E80" s="3" t="s">
        <v>9777</v>
      </c>
      <c r="F80" s="3" t="s">
        <v>168</v>
      </c>
      <c r="G80" s="3" t="s">
        <v>168</v>
      </c>
      <c r="H80" s="3" t="s">
        <v>9853</v>
      </c>
      <c r="I80" s="3" t="b">
        <v>0</v>
      </c>
      <c r="J80" s="4" t="b">
        <f>OR(((E80 = "INSERT")=TRUE), ((E80 = "UPDATE")=TRUE), ((E80 = "DELETE")=TRUE), ((E80 = "ALL")=TRUE))</f>
        <v>0</v>
      </c>
      <c r="K80" s="4" t="b">
        <f>F80 = ""</f>
        <v>1</v>
      </c>
      <c r="L80" s="4" t="b">
        <f>_xlfn.IFNA(IF(((INDEX(AccessPrincipals!G2:G13, MATCH(C80,AccessPrincipals!A2:A13, 0))="")=TRUE),  "",  INDEX(AccessPrincipals!G2:G13, MATCH(C80,AccessPrincipals!A2:A13, 0))), "")</f>
        <v>1</v>
      </c>
      <c r="M80" s="4" t="b">
        <f>AND(((K80)=TRUE), ((NOT(((L80)=TRUE)))=TRUE))</f>
        <v>0</v>
      </c>
      <c r="N80" s="4" t="b">
        <f>AND(((J80)=TRUE), ((O80 = 0)=TRUE))</f>
        <v>0</v>
      </c>
      <c r="O80" s="4">
        <f>COUNTIFS(AccessDenialTests!C2:C18, A80)</f>
        <v>0</v>
      </c>
      <c r="P80" s="3" t="s">
        <v>9779</v>
      </c>
    </row>
    <row r="81">
      <c r="A81" s="3" t="s">
        <v>9878</v>
      </c>
      <c r="B81" s="4" t="str">
        <f>C81 &amp; " " &amp; E81 &amp; " " &amp; D81</f>
        <v>principal-process-steward SELECT LearningActivities</v>
      </c>
      <c r="C81" s="3" t="s">
        <v>9772</v>
      </c>
      <c r="D81" s="3" t="s">
        <v>4017</v>
      </c>
      <c r="E81" s="3" t="s">
        <v>9777</v>
      </c>
      <c r="F81" s="3" t="s">
        <v>168</v>
      </c>
      <c r="G81" s="3" t="s">
        <v>168</v>
      </c>
      <c r="H81" s="3" t="s">
        <v>9853</v>
      </c>
      <c r="I81" s="3" t="b">
        <v>0</v>
      </c>
      <c r="J81" s="4" t="b">
        <f>OR(((E81 = "INSERT")=TRUE), ((E81 = "UPDATE")=TRUE), ((E81 = "DELETE")=TRUE), ((E81 = "ALL")=TRUE))</f>
        <v>0</v>
      </c>
      <c r="K81" s="4" t="b">
        <f>F81 = ""</f>
        <v>1</v>
      </c>
      <c r="L81" s="4" t="b">
        <f>_xlfn.IFNA(IF(((INDEX(AccessPrincipals!G2:G13, MATCH(C81,AccessPrincipals!A2:A13, 0))="")=TRUE),  "",  INDEX(AccessPrincipals!G2:G13, MATCH(C81,AccessPrincipals!A2:A13, 0))), "")</f>
        <v>1</v>
      </c>
      <c r="M81" s="4" t="b">
        <f>AND(((K81)=TRUE), ((NOT(((L81)=TRUE)))=TRUE))</f>
        <v>0</v>
      </c>
      <c r="N81" s="4" t="b">
        <f>AND(((J81)=TRUE), ((O81 = 0)=TRUE))</f>
        <v>0</v>
      </c>
      <c r="O81" s="4">
        <f>COUNTIFS(AccessDenialTests!C2:C18, A81)</f>
        <v>0</v>
      </c>
      <c r="P81" s="3" t="s">
        <v>9779</v>
      </c>
    </row>
    <row r="82">
      <c r="A82" s="3" t="s">
        <v>9879</v>
      </c>
      <c r="B82" s="4" t="str">
        <f>C82 &amp; " " &amp; E82 &amp; " " &amp; D82</f>
        <v>principal-process-steward SELECT Mentorships</v>
      </c>
      <c r="C82" s="3" t="s">
        <v>9772</v>
      </c>
      <c r="D82" s="3" t="s">
        <v>2664</v>
      </c>
      <c r="E82" s="3" t="s">
        <v>9777</v>
      </c>
      <c r="F82" s="3" t="s">
        <v>168</v>
      </c>
      <c r="G82" s="3" t="s">
        <v>168</v>
      </c>
      <c r="H82" s="3" t="s">
        <v>9853</v>
      </c>
      <c r="I82" s="3" t="b">
        <v>0</v>
      </c>
      <c r="J82" s="4" t="b">
        <f>OR(((E82 = "INSERT")=TRUE), ((E82 = "UPDATE")=TRUE), ((E82 = "DELETE")=TRUE), ((E82 = "ALL")=TRUE))</f>
        <v>0</v>
      </c>
      <c r="K82" s="4" t="b">
        <f>F82 = ""</f>
        <v>1</v>
      </c>
      <c r="L82" s="4" t="b">
        <f>_xlfn.IFNA(IF(((INDEX(AccessPrincipals!G2:G13, MATCH(C82,AccessPrincipals!A2:A13, 0))="")=TRUE),  "",  INDEX(AccessPrincipals!G2:G13, MATCH(C82,AccessPrincipals!A2:A13, 0))), "")</f>
        <v>1</v>
      </c>
      <c r="M82" s="4" t="b">
        <f>AND(((K82)=TRUE), ((NOT(((L82)=TRUE)))=TRUE))</f>
        <v>0</v>
      </c>
      <c r="N82" s="4" t="b">
        <f>AND(((J82)=TRUE), ((O82 = 0)=TRUE))</f>
        <v>0</v>
      </c>
      <c r="O82" s="4">
        <f>COUNTIFS(AccessDenialTests!C2:C18, A82)</f>
        <v>0</v>
      </c>
      <c r="P82" s="3" t="s">
        <v>9779</v>
      </c>
    </row>
    <row r="83">
      <c r="A83" s="3" t="s">
        <v>9880</v>
      </c>
      <c r="B83" s="4" t="str">
        <f>C83 &amp; " " &amp; E83 &amp; " " &amp; D83</f>
        <v>principal-process-steward SELECT MessageDeliveries</v>
      </c>
      <c r="C83" s="3" t="s">
        <v>9772</v>
      </c>
      <c r="D83" s="3" t="s">
        <v>4444</v>
      </c>
      <c r="E83" s="3" t="s">
        <v>9777</v>
      </c>
      <c r="F83" s="3" t="s">
        <v>168</v>
      </c>
      <c r="G83" s="3" t="s">
        <v>168</v>
      </c>
      <c r="H83" s="3" t="s">
        <v>9853</v>
      </c>
      <c r="I83" s="3" t="b">
        <v>0</v>
      </c>
      <c r="J83" s="4" t="b">
        <f>OR(((E83 = "INSERT")=TRUE), ((E83 = "UPDATE")=TRUE), ((E83 = "DELETE")=TRUE), ((E83 = "ALL")=TRUE))</f>
        <v>0</v>
      </c>
      <c r="K83" s="4" t="b">
        <f>F83 = ""</f>
        <v>1</v>
      </c>
      <c r="L83" s="4" t="b">
        <f>_xlfn.IFNA(IF(((INDEX(AccessPrincipals!G2:G13, MATCH(C83,AccessPrincipals!A2:A13, 0))="")=TRUE),  "",  INDEX(AccessPrincipals!G2:G13, MATCH(C83,AccessPrincipals!A2:A13, 0))), "")</f>
        <v>1</v>
      </c>
      <c r="M83" s="4" t="b">
        <f>AND(((K83)=TRUE), ((NOT(((L83)=TRUE)))=TRUE))</f>
        <v>0</v>
      </c>
      <c r="N83" s="4" t="b">
        <f>AND(((J83)=TRUE), ((O83 = 0)=TRUE))</f>
        <v>0</v>
      </c>
      <c r="O83" s="4">
        <f>COUNTIFS(AccessDenialTests!C2:C18, A83)</f>
        <v>0</v>
      </c>
      <c r="P83" s="3" t="s">
        <v>9779</v>
      </c>
    </row>
    <row r="84">
      <c r="A84" s="3" t="s">
        <v>9881</v>
      </c>
      <c r="B84" s="4" t="str">
        <f>C84 &amp; " " &amp; E84 &amp; " " &amp; D84</f>
        <v>principal-process-steward SELECT MessageTemplates</v>
      </c>
      <c r="C84" s="3" t="s">
        <v>9772</v>
      </c>
      <c r="D84" s="3" t="s">
        <v>4087</v>
      </c>
      <c r="E84" s="3" t="s">
        <v>9777</v>
      </c>
      <c r="F84" s="3" t="s">
        <v>168</v>
      </c>
      <c r="G84" s="3" t="s">
        <v>168</v>
      </c>
      <c r="H84" s="3" t="s">
        <v>9853</v>
      </c>
      <c r="I84" s="3" t="b">
        <v>0</v>
      </c>
      <c r="J84" s="4" t="b">
        <f>OR(((E84 = "INSERT")=TRUE), ((E84 = "UPDATE")=TRUE), ((E84 = "DELETE")=TRUE), ((E84 = "ALL")=TRUE))</f>
        <v>0</v>
      </c>
      <c r="K84" s="4" t="b">
        <f>F84 = ""</f>
        <v>1</v>
      </c>
      <c r="L84" s="4" t="b">
        <f>_xlfn.IFNA(IF(((INDEX(AccessPrincipals!G2:G13, MATCH(C84,AccessPrincipals!A2:A13, 0))="")=TRUE),  "",  INDEX(AccessPrincipals!G2:G13, MATCH(C84,AccessPrincipals!A2:A13, 0))), "")</f>
        <v>1</v>
      </c>
      <c r="M84" s="4" t="b">
        <f>AND(((K84)=TRUE), ((NOT(((L84)=TRUE)))=TRUE))</f>
        <v>0</v>
      </c>
      <c r="N84" s="4" t="b">
        <f>AND(((J84)=TRUE), ((O84 = 0)=TRUE))</f>
        <v>0</v>
      </c>
      <c r="O84" s="4">
        <f>COUNTIFS(AccessDenialTests!C2:C18, A84)</f>
        <v>0</v>
      </c>
      <c r="P84" s="3" t="s">
        <v>9779</v>
      </c>
    </row>
    <row r="85">
      <c r="A85" s="3" t="s">
        <v>9882</v>
      </c>
      <c r="B85" s="4" t="str">
        <f>C85 &amp; " " &amp; E85 &amp; " " &amp; D85</f>
        <v>principal-process-steward SELECT ObservedTransitions</v>
      </c>
      <c r="C85" s="3" t="s">
        <v>9772</v>
      </c>
      <c r="D85" s="3" t="s">
        <v>4398</v>
      </c>
      <c r="E85" s="3" t="s">
        <v>9777</v>
      </c>
      <c r="F85" s="3" t="s">
        <v>168</v>
      </c>
      <c r="G85" s="3" t="s">
        <v>168</v>
      </c>
      <c r="H85" s="3" t="s">
        <v>9853</v>
      </c>
      <c r="I85" s="3" t="b">
        <v>0</v>
      </c>
      <c r="J85" s="4" t="b">
        <f>OR(((E85 = "INSERT")=TRUE), ((E85 = "UPDATE")=TRUE), ((E85 = "DELETE")=TRUE), ((E85 = "ALL")=TRUE))</f>
        <v>0</v>
      </c>
      <c r="K85" s="4" t="b">
        <f>F85 = ""</f>
        <v>1</v>
      </c>
      <c r="L85" s="4" t="b">
        <f>_xlfn.IFNA(IF(((INDEX(AccessPrincipals!G2:G13, MATCH(C85,AccessPrincipals!A2:A13, 0))="")=TRUE),  "",  INDEX(AccessPrincipals!G2:G13, MATCH(C85,AccessPrincipals!A2:A13, 0))), "")</f>
        <v>1</v>
      </c>
      <c r="M85" s="4" t="b">
        <f>AND(((K85)=TRUE), ((NOT(((L85)=TRUE)))=TRUE))</f>
        <v>0</v>
      </c>
      <c r="N85" s="4" t="b">
        <f>AND(((J85)=TRUE), ((O85 = 0)=TRUE))</f>
        <v>0</v>
      </c>
      <c r="O85" s="4">
        <f>COUNTIFS(AccessDenialTests!C2:C18, A85)</f>
        <v>0</v>
      </c>
      <c r="P85" s="3" t="s">
        <v>9779</v>
      </c>
    </row>
    <row r="86">
      <c r="A86" s="3" t="s">
        <v>9883</v>
      </c>
      <c r="B86" s="4" t="str">
        <f>C86 &amp; " " &amp; E86 &amp; " " &amp; D86</f>
        <v>principal-process-steward SELECT OntologyProfiles</v>
      </c>
      <c r="C86" s="3" t="s">
        <v>9772</v>
      </c>
      <c r="D86" s="3" t="s">
        <v>2434</v>
      </c>
      <c r="E86" s="3" t="s">
        <v>9777</v>
      </c>
      <c r="F86" s="3" t="s">
        <v>168</v>
      </c>
      <c r="G86" s="3" t="s">
        <v>168</v>
      </c>
      <c r="H86" s="3" t="s">
        <v>9853</v>
      </c>
      <c r="I86" s="3" t="b">
        <v>0</v>
      </c>
      <c r="J86" s="4" t="b">
        <f>OR(((E86 = "INSERT")=TRUE), ((E86 = "UPDATE")=TRUE), ((E86 = "DELETE")=TRUE), ((E86 = "ALL")=TRUE))</f>
        <v>0</v>
      </c>
      <c r="K86" s="4" t="b">
        <f>F86 = ""</f>
        <v>1</v>
      </c>
      <c r="L86" s="4" t="b">
        <f>_xlfn.IFNA(IF(((INDEX(AccessPrincipals!G2:G13, MATCH(C86,AccessPrincipals!A2:A13, 0))="")=TRUE),  "",  INDEX(AccessPrincipals!G2:G13, MATCH(C86,AccessPrincipals!A2:A13, 0))), "")</f>
        <v>1</v>
      </c>
      <c r="M86" s="4" t="b">
        <f>AND(((K86)=TRUE), ((NOT(((L86)=TRUE)))=TRUE))</f>
        <v>0</v>
      </c>
      <c r="N86" s="4" t="b">
        <f>AND(((J86)=TRUE), ((O86 = 0)=TRUE))</f>
        <v>0</v>
      </c>
      <c r="O86" s="4">
        <f>COUNTIFS(AccessDenialTests!C2:C18, A86)</f>
        <v>0</v>
      </c>
      <c r="P86" s="3" t="s">
        <v>9779</v>
      </c>
    </row>
    <row r="87">
      <c r="A87" s="3" t="s">
        <v>9884</v>
      </c>
      <c r="B87" s="4" t="str">
        <f>C87 &amp; " " &amp; E87 &amp; " " &amp; D87</f>
        <v>principal-process-steward SELECT OperationalBindings</v>
      </c>
      <c r="C87" s="3" t="s">
        <v>9772</v>
      </c>
      <c r="D87" s="3" t="s">
        <v>1862</v>
      </c>
      <c r="E87" s="3" t="s">
        <v>9777</v>
      </c>
      <c r="F87" s="3" t="s">
        <v>168</v>
      </c>
      <c r="G87" s="3" t="s">
        <v>168</v>
      </c>
      <c r="H87" s="3" t="s">
        <v>9853</v>
      </c>
      <c r="I87" s="3" t="b">
        <v>0</v>
      </c>
      <c r="J87" s="4" t="b">
        <f>OR(((E87 = "INSERT")=TRUE), ((E87 = "UPDATE")=TRUE), ((E87 = "DELETE")=TRUE), ((E87 = "ALL")=TRUE))</f>
        <v>0</v>
      </c>
      <c r="K87" s="4" t="b">
        <f>F87 = ""</f>
        <v>1</v>
      </c>
      <c r="L87" s="4" t="b">
        <f>_xlfn.IFNA(IF(((INDEX(AccessPrincipals!G2:G13, MATCH(C87,AccessPrincipals!A2:A13, 0))="")=TRUE),  "",  INDEX(AccessPrincipals!G2:G13, MATCH(C87,AccessPrincipals!A2:A13, 0))), "")</f>
        <v>1</v>
      </c>
      <c r="M87" s="4" t="b">
        <f>AND(((K87)=TRUE), ((NOT(((L87)=TRUE)))=TRUE))</f>
        <v>0</v>
      </c>
      <c r="N87" s="4" t="b">
        <f>AND(((J87)=TRUE), ((O87 = 0)=TRUE))</f>
        <v>0</v>
      </c>
      <c r="O87" s="4">
        <f>COUNTIFS(AccessDenialTests!C2:C18, A87)</f>
        <v>0</v>
      </c>
      <c r="P87" s="3" t="s">
        <v>9779</v>
      </c>
    </row>
    <row r="88">
      <c r="A88" s="3" t="s">
        <v>9885</v>
      </c>
      <c r="B88" s="4" t="str">
        <f>C88 &amp; " " &amp; E88 &amp; " " &amp; D88</f>
        <v>principal-process-steward SELECT Organizations</v>
      </c>
      <c r="C88" s="3" t="s">
        <v>9772</v>
      </c>
      <c r="D88" s="3" t="s">
        <v>2453</v>
      </c>
      <c r="E88" s="3" t="s">
        <v>9777</v>
      </c>
      <c r="F88" s="3" t="s">
        <v>168</v>
      </c>
      <c r="G88" s="3" t="s">
        <v>168</v>
      </c>
      <c r="H88" s="3" t="s">
        <v>9853</v>
      </c>
      <c r="I88" s="3" t="b">
        <v>0</v>
      </c>
      <c r="J88" s="4" t="b">
        <f>OR(((E88 = "INSERT")=TRUE), ((E88 = "UPDATE")=TRUE), ((E88 = "DELETE")=TRUE), ((E88 = "ALL")=TRUE))</f>
        <v>0</v>
      </c>
      <c r="K88" s="4" t="b">
        <f>F88 = ""</f>
        <v>1</v>
      </c>
      <c r="L88" s="4" t="b">
        <f>_xlfn.IFNA(IF(((INDEX(AccessPrincipals!G2:G13, MATCH(C88,AccessPrincipals!A2:A13, 0))="")=TRUE),  "",  INDEX(AccessPrincipals!G2:G13, MATCH(C88,AccessPrincipals!A2:A13, 0))), "")</f>
        <v>1</v>
      </c>
      <c r="M88" s="4" t="b">
        <f>AND(((K88)=TRUE), ((NOT(((L88)=TRUE)))=TRUE))</f>
        <v>0</v>
      </c>
      <c r="N88" s="4" t="b">
        <f>AND(((J88)=TRUE), ((O88 = 0)=TRUE))</f>
        <v>0</v>
      </c>
      <c r="O88" s="4">
        <f>COUNTIFS(AccessDenialTests!C2:C18, A88)</f>
        <v>0</v>
      </c>
      <c r="P88" s="3" t="s">
        <v>9779</v>
      </c>
    </row>
    <row r="89">
      <c r="A89" s="3" t="s">
        <v>9886</v>
      </c>
      <c r="B89" s="4" t="str">
        <f>C89 &amp; " " &amp; E89 &amp; " " &amp; D89</f>
        <v>principal-process-steward SELECT ProcedureExecutions</v>
      </c>
      <c r="C89" s="3" t="s">
        <v>9772</v>
      </c>
      <c r="D89" s="3" t="s">
        <v>1824</v>
      </c>
      <c r="E89" s="3" t="s">
        <v>9777</v>
      </c>
      <c r="F89" s="3" t="s">
        <v>168</v>
      </c>
      <c r="G89" s="3" t="s">
        <v>168</v>
      </c>
      <c r="H89" s="3" t="s">
        <v>9853</v>
      </c>
      <c r="I89" s="3" t="b">
        <v>0</v>
      </c>
      <c r="J89" s="4" t="b">
        <f>OR(((E89 = "INSERT")=TRUE), ((E89 = "UPDATE")=TRUE), ((E89 = "DELETE")=TRUE), ((E89 = "ALL")=TRUE))</f>
        <v>0</v>
      </c>
      <c r="K89" s="4" t="b">
        <f>F89 = ""</f>
        <v>1</v>
      </c>
      <c r="L89" s="4" t="b">
        <f>_xlfn.IFNA(IF(((INDEX(AccessPrincipals!G2:G13, MATCH(C89,AccessPrincipals!A2:A13, 0))="")=TRUE),  "",  INDEX(AccessPrincipals!G2:G13, MATCH(C89,AccessPrincipals!A2:A13, 0))), "")</f>
        <v>1</v>
      </c>
      <c r="M89" s="4" t="b">
        <f>AND(((K89)=TRUE), ((NOT(((L89)=TRUE)))=TRUE))</f>
        <v>0</v>
      </c>
      <c r="N89" s="4" t="b">
        <f>AND(((J89)=TRUE), ((O89 = 0)=TRUE))</f>
        <v>0</v>
      </c>
      <c r="O89" s="4">
        <f>COUNTIFS(AccessDenialTests!C2:C18, A89)</f>
        <v>0</v>
      </c>
      <c r="P89" s="3" t="s">
        <v>9779</v>
      </c>
    </row>
    <row r="90">
      <c r="A90" s="3" t="s">
        <v>9887</v>
      </c>
      <c r="B90" s="4" t="str">
        <f>C90 &amp; " " &amp; E90 &amp; " " &amp; D90</f>
        <v>principal-process-steward SELECT ProcedureResources</v>
      </c>
      <c r="C90" s="3" t="s">
        <v>9772</v>
      </c>
      <c r="D90" s="3" t="s">
        <v>3187</v>
      </c>
      <c r="E90" s="3" t="s">
        <v>9777</v>
      </c>
      <c r="F90" s="3" t="s">
        <v>168</v>
      </c>
      <c r="G90" s="3" t="s">
        <v>168</v>
      </c>
      <c r="H90" s="3" t="s">
        <v>9853</v>
      </c>
      <c r="I90" s="3" t="b">
        <v>0</v>
      </c>
      <c r="J90" s="4" t="b">
        <f>OR(((E90 = "INSERT")=TRUE), ((E90 = "UPDATE")=TRUE), ((E90 = "DELETE")=TRUE), ((E90 = "ALL")=TRUE))</f>
        <v>0</v>
      </c>
      <c r="K90" s="4" t="b">
        <f>F90 = ""</f>
        <v>1</v>
      </c>
      <c r="L90" s="4" t="b">
        <f>_xlfn.IFNA(IF(((INDEX(AccessPrincipals!G2:G13, MATCH(C90,AccessPrincipals!A2:A13, 0))="")=TRUE),  "",  INDEX(AccessPrincipals!G2:G13, MATCH(C90,AccessPrincipals!A2:A13, 0))), "")</f>
        <v>1</v>
      </c>
      <c r="M90" s="4" t="b">
        <f>AND(((K90)=TRUE), ((NOT(((L90)=TRUE)))=TRUE))</f>
        <v>0</v>
      </c>
      <c r="N90" s="4" t="b">
        <f>AND(((J90)=TRUE), ((O90 = 0)=TRUE))</f>
        <v>0</v>
      </c>
      <c r="O90" s="4">
        <f>COUNTIFS(AccessDenialTests!C2:C18, A90)</f>
        <v>0</v>
      </c>
      <c r="P90" s="3" t="s">
        <v>9779</v>
      </c>
    </row>
    <row r="91">
      <c r="A91" s="3" t="s">
        <v>9888</v>
      </c>
      <c r="B91" s="4" t="str">
        <f>C91 &amp; " " &amp; E91 &amp; " " &amp; D91</f>
        <v>principal-process-steward SELECT ProcedureStatusChanges</v>
      </c>
      <c r="C91" s="3" t="s">
        <v>9772</v>
      </c>
      <c r="D91" s="3" t="s">
        <v>1775</v>
      </c>
      <c r="E91" s="3" t="s">
        <v>9777</v>
      </c>
      <c r="F91" s="3" t="s">
        <v>168</v>
      </c>
      <c r="G91" s="3" t="s">
        <v>168</v>
      </c>
      <c r="H91" s="3" t="s">
        <v>9853</v>
      </c>
      <c r="I91" s="3" t="b">
        <v>0</v>
      </c>
      <c r="J91" s="4" t="b">
        <f>OR(((E91 = "INSERT")=TRUE), ((E91 = "UPDATE")=TRUE), ((E91 = "DELETE")=TRUE), ((E91 = "ALL")=TRUE))</f>
        <v>0</v>
      </c>
      <c r="K91" s="4" t="b">
        <f>F91 = ""</f>
        <v>1</v>
      </c>
      <c r="L91" s="4" t="b">
        <f>_xlfn.IFNA(IF(((INDEX(AccessPrincipals!G2:G13, MATCH(C91,AccessPrincipals!A2:A13, 0))="")=TRUE),  "",  INDEX(AccessPrincipals!G2:G13, MATCH(C91,AccessPrincipals!A2:A13, 0))), "")</f>
        <v>1</v>
      </c>
      <c r="M91" s="4" t="b">
        <f>AND(((K91)=TRUE), ((NOT(((L91)=TRUE)))=TRUE))</f>
        <v>0</v>
      </c>
      <c r="N91" s="4" t="b">
        <f>AND(((J91)=TRUE), ((O91 = 0)=TRUE))</f>
        <v>0</v>
      </c>
      <c r="O91" s="4">
        <f>COUNTIFS(AccessDenialTests!C2:C18, A91)</f>
        <v>0</v>
      </c>
      <c r="P91" s="3" t="s">
        <v>9779</v>
      </c>
    </row>
    <row r="92">
      <c r="A92" s="3" t="s">
        <v>9889</v>
      </c>
      <c r="B92" s="4" t="str">
        <f>C92 &amp; " " &amp; E92 &amp; " " &amp; D92</f>
        <v>principal-process-steward SELECT ProcedureTypes</v>
      </c>
      <c r="C92" s="3" t="s">
        <v>9772</v>
      </c>
      <c r="D92" s="3" t="s">
        <v>2676</v>
      </c>
      <c r="E92" s="3" t="s">
        <v>9777</v>
      </c>
      <c r="F92" s="3" t="s">
        <v>168</v>
      </c>
      <c r="G92" s="3" t="s">
        <v>168</v>
      </c>
      <c r="H92" s="3" t="s">
        <v>9853</v>
      </c>
      <c r="I92" s="3" t="b">
        <v>0</v>
      </c>
      <c r="J92" s="4" t="b">
        <f>OR(((E92 = "INSERT")=TRUE), ((E92 = "UPDATE")=TRUE), ((E92 = "DELETE")=TRUE), ((E92 = "ALL")=TRUE))</f>
        <v>0</v>
      </c>
      <c r="K92" s="4" t="b">
        <f>F92 = ""</f>
        <v>1</v>
      </c>
      <c r="L92" s="4" t="b">
        <f>_xlfn.IFNA(IF(((INDEX(AccessPrincipals!G2:G13, MATCH(C92,AccessPrincipals!A2:A13, 0))="")=TRUE),  "",  INDEX(AccessPrincipals!G2:G13, MATCH(C92,AccessPrincipals!A2:A13, 0))), "")</f>
        <v>1</v>
      </c>
      <c r="M92" s="4" t="b">
        <f>AND(((K92)=TRUE), ((NOT(((L92)=TRUE)))=TRUE))</f>
        <v>0</v>
      </c>
      <c r="N92" s="4" t="b">
        <f>AND(((J92)=TRUE), ((O92 = 0)=TRUE))</f>
        <v>0</v>
      </c>
      <c r="O92" s="4">
        <f>COUNTIFS(AccessDenialTests!C2:C18, A92)</f>
        <v>0</v>
      </c>
      <c r="P92" s="3" t="s">
        <v>9779</v>
      </c>
    </row>
    <row r="93">
      <c r="A93" s="3" t="s">
        <v>9890</v>
      </c>
      <c r="B93" s="4" t="str">
        <f>C93 &amp; " " &amp; E93 &amp; " " &amp; D93</f>
        <v>principal-process-steward SELECT ProcedureVersionLinks</v>
      </c>
      <c r="C93" s="3" t="s">
        <v>9772</v>
      </c>
      <c r="D93" s="3" t="s">
        <v>2851</v>
      </c>
      <c r="E93" s="3" t="s">
        <v>9777</v>
      </c>
      <c r="F93" s="3" t="s">
        <v>168</v>
      </c>
      <c r="G93" s="3" t="s">
        <v>168</v>
      </c>
      <c r="H93" s="3" t="s">
        <v>9853</v>
      </c>
      <c r="I93" s="3" t="b">
        <v>0</v>
      </c>
      <c r="J93" s="4" t="b">
        <f>OR(((E93 = "INSERT")=TRUE), ((E93 = "UPDATE")=TRUE), ((E93 = "DELETE")=TRUE), ((E93 = "ALL")=TRUE))</f>
        <v>0</v>
      </c>
      <c r="K93" s="4" t="b">
        <f>F93 = ""</f>
        <v>1</v>
      </c>
      <c r="L93" s="4" t="b">
        <f>_xlfn.IFNA(IF(((INDEX(AccessPrincipals!G2:G13, MATCH(C93,AccessPrincipals!A2:A13, 0))="")=TRUE),  "",  INDEX(AccessPrincipals!G2:G13, MATCH(C93,AccessPrincipals!A2:A13, 0))), "")</f>
        <v>1</v>
      </c>
      <c r="M93" s="4" t="b">
        <f>AND(((K93)=TRUE), ((NOT(((L93)=TRUE)))=TRUE))</f>
        <v>0</v>
      </c>
      <c r="N93" s="4" t="b">
        <f>AND(((J93)=TRUE), ((O93 = 0)=TRUE))</f>
        <v>0</v>
      </c>
      <c r="O93" s="4">
        <f>COUNTIFS(AccessDenialTests!C2:C18, A93)</f>
        <v>0</v>
      </c>
      <c r="P93" s="3" t="s">
        <v>9779</v>
      </c>
    </row>
    <row r="94">
      <c r="A94" s="3" t="s">
        <v>9891</v>
      </c>
      <c r="B94" s="4" t="str">
        <f>C94 &amp; " " &amp; E94 &amp; " " &amp; D94</f>
        <v>principal-process-steward SELECT ProcedureVersions</v>
      </c>
      <c r="C94" s="3" t="s">
        <v>9772</v>
      </c>
      <c r="D94" s="3" t="s">
        <v>1767</v>
      </c>
      <c r="E94" s="3" t="s">
        <v>9777</v>
      </c>
      <c r="F94" s="3" t="s">
        <v>168</v>
      </c>
      <c r="G94" s="3" t="s">
        <v>168</v>
      </c>
      <c r="H94" s="3" t="s">
        <v>9853</v>
      </c>
      <c r="I94" s="3" t="b">
        <v>0</v>
      </c>
      <c r="J94" s="4" t="b">
        <f>OR(((E94 = "INSERT")=TRUE), ((E94 = "UPDATE")=TRUE), ((E94 = "DELETE")=TRUE), ((E94 = "ALL")=TRUE))</f>
        <v>0</v>
      </c>
      <c r="K94" s="4" t="b">
        <f>F94 = ""</f>
        <v>1</v>
      </c>
      <c r="L94" s="4" t="b">
        <f>_xlfn.IFNA(IF(((INDEX(AccessPrincipals!G2:G13, MATCH(C94,AccessPrincipals!A2:A13, 0))="")=TRUE),  "",  INDEX(AccessPrincipals!G2:G13, MATCH(C94,AccessPrincipals!A2:A13, 0))), "")</f>
        <v>1</v>
      </c>
      <c r="M94" s="4" t="b">
        <f>AND(((K94)=TRUE), ((NOT(((L94)=TRUE)))=TRUE))</f>
        <v>0</v>
      </c>
      <c r="N94" s="4" t="b">
        <f>AND(((J94)=TRUE), ((O94 = 0)=TRUE))</f>
        <v>0</v>
      </c>
      <c r="O94" s="4">
        <f>COUNTIFS(AccessDenialTests!C2:C18, A94)</f>
        <v>0</v>
      </c>
      <c r="P94" s="3" t="s">
        <v>9779</v>
      </c>
    </row>
    <row r="95">
      <c r="A95" s="3" t="s">
        <v>9892</v>
      </c>
      <c r="B95" s="4" t="str">
        <f>C95 &amp; " " &amp; E95 &amp; " " &amp; D95</f>
        <v>principal-process-steward SELECT Procedures</v>
      </c>
      <c r="C95" s="3" t="s">
        <v>9772</v>
      </c>
      <c r="D95" s="3" t="s">
        <v>1762</v>
      </c>
      <c r="E95" s="3" t="s">
        <v>9777</v>
      </c>
      <c r="F95" s="3" t="s">
        <v>168</v>
      </c>
      <c r="G95" s="3" t="s">
        <v>168</v>
      </c>
      <c r="H95" s="3" t="s">
        <v>9853</v>
      </c>
      <c r="I95" s="3" t="b">
        <v>0</v>
      </c>
      <c r="J95" s="4" t="b">
        <f>OR(((E95 = "INSERT")=TRUE), ((E95 = "UPDATE")=TRUE), ((E95 = "DELETE")=TRUE), ((E95 = "ALL")=TRUE))</f>
        <v>0</v>
      </c>
      <c r="K95" s="4" t="b">
        <f>F95 = ""</f>
        <v>1</v>
      </c>
      <c r="L95" s="4" t="b">
        <f>_xlfn.IFNA(IF(((INDEX(AccessPrincipals!G2:G13, MATCH(C95,AccessPrincipals!A2:A13, 0))="")=TRUE),  "",  INDEX(AccessPrincipals!G2:G13, MATCH(C95,AccessPrincipals!A2:A13, 0))), "")</f>
        <v>1</v>
      </c>
      <c r="M95" s="4" t="b">
        <f>AND(((K95)=TRUE), ((NOT(((L95)=TRUE)))=TRUE))</f>
        <v>0</v>
      </c>
      <c r="N95" s="4" t="b">
        <f>AND(((J95)=TRUE), ((O95 = 0)=TRUE))</f>
        <v>0</v>
      </c>
      <c r="O95" s="4">
        <f>COUNTIFS(AccessDenialTests!C2:C18, A95)</f>
        <v>0</v>
      </c>
      <c r="P95" s="3" t="s">
        <v>9779</v>
      </c>
    </row>
    <row r="96">
      <c r="A96" s="3" t="s">
        <v>9893</v>
      </c>
      <c r="B96" s="4" t="str">
        <f>C96 &amp; " " &amp; E96 &amp; " " &amp; D96</f>
        <v>principal-process-steward SELECT Rationales</v>
      </c>
      <c r="C96" s="3" t="s">
        <v>9772</v>
      </c>
      <c r="D96" s="3" t="s">
        <v>3151</v>
      </c>
      <c r="E96" s="3" t="s">
        <v>9777</v>
      </c>
      <c r="F96" s="3" t="s">
        <v>168</v>
      </c>
      <c r="G96" s="3" t="s">
        <v>168</v>
      </c>
      <c r="H96" s="3" t="s">
        <v>9853</v>
      </c>
      <c r="I96" s="3" t="b">
        <v>0</v>
      </c>
      <c r="J96" s="4" t="b">
        <f>OR(((E96 = "INSERT")=TRUE), ((E96 = "UPDATE")=TRUE), ((E96 = "DELETE")=TRUE), ((E96 = "ALL")=TRUE))</f>
        <v>0</v>
      </c>
      <c r="K96" s="4" t="b">
        <f>F96 = ""</f>
        <v>1</v>
      </c>
      <c r="L96" s="4" t="b">
        <f>_xlfn.IFNA(IF(((INDEX(AccessPrincipals!G2:G13, MATCH(C96,AccessPrincipals!A2:A13, 0))="")=TRUE),  "",  INDEX(AccessPrincipals!G2:G13, MATCH(C96,AccessPrincipals!A2:A13, 0))), "")</f>
        <v>1</v>
      </c>
      <c r="M96" s="4" t="b">
        <f>AND(((K96)=TRUE), ((NOT(((L96)=TRUE)))=TRUE))</f>
        <v>0</v>
      </c>
      <c r="N96" s="4" t="b">
        <f>AND(((J96)=TRUE), ((O96 = 0)=TRUE))</f>
        <v>0</v>
      </c>
      <c r="O96" s="4">
        <f>COUNTIFS(AccessDenialTests!C2:C18, A96)</f>
        <v>0</v>
      </c>
      <c r="P96" s="3" t="s">
        <v>9779</v>
      </c>
    </row>
    <row r="97">
      <c r="A97" s="3" t="s">
        <v>9894</v>
      </c>
      <c r="B97" s="4" t="str">
        <f>C97 &amp; " " &amp; E97 &amp; " " &amp; D97</f>
        <v>principal-process-steward SELECT Recipients</v>
      </c>
      <c r="C97" s="3" t="s">
        <v>9772</v>
      </c>
      <c r="D97" s="3" t="s">
        <v>4412</v>
      </c>
      <c r="E97" s="3" t="s">
        <v>9777</v>
      </c>
      <c r="F97" s="3" t="s">
        <v>168</v>
      </c>
      <c r="G97" s="3" t="s">
        <v>168</v>
      </c>
      <c r="H97" s="3" t="s">
        <v>9853</v>
      </c>
      <c r="I97" s="3" t="b">
        <v>0</v>
      </c>
      <c r="J97" s="4" t="b">
        <f>OR(((E97 = "INSERT")=TRUE), ((E97 = "UPDATE")=TRUE), ((E97 = "DELETE")=TRUE), ((E97 = "ALL")=TRUE))</f>
        <v>0</v>
      </c>
      <c r="K97" s="4" t="b">
        <f>F97 = ""</f>
        <v>1</v>
      </c>
      <c r="L97" s="4" t="b">
        <f>_xlfn.IFNA(IF(((INDEX(AccessPrincipals!G2:G13, MATCH(C97,AccessPrincipals!A2:A13, 0))="")=TRUE),  "",  INDEX(AccessPrincipals!G2:G13, MATCH(C97,AccessPrincipals!A2:A13, 0))), "")</f>
        <v>1</v>
      </c>
      <c r="M97" s="4" t="b">
        <f>AND(((K97)=TRUE), ((NOT(((L97)=TRUE)))=TRUE))</f>
        <v>0</v>
      </c>
      <c r="N97" s="4" t="b">
        <f>AND(((J97)=TRUE), ((O97 = 0)=TRUE))</f>
        <v>0</v>
      </c>
      <c r="O97" s="4">
        <f>COUNTIFS(AccessDenialTests!C2:C18, A97)</f>
        <v>0</v>
      </c>
      <c r="P97" s="3" t="s">
        <v>9779</v>
      </c>
    </row>
    <row r="98">
      <c r="A98" s="3" t="s">
        <v>9895</v>
      </c>
      <c r="B98" s="4" t="str">
        <f>C98 &amp; " " &amp; E98 &amp; " " &amp; D98</f>
        <v>principal-process-steward SELECT RequirementSatisfactions</v>
      </c>
      <c r="C98" s="3" t="s">
        <v>9772</v>
      </c>
      <c r="D98" s="3" t="s">
        <v>1830</v>
      </c>
      <c r="E98" s="3" t="s">
        <v>9777</v>
      </c>
      <c r="F98" s="3" t="s">
        <v>168</v>
      </c>
      <c r="G98" s="3" t="s">
        <v>168</v>
      </c>
      <c r="H98" s="3" t="s">
        <v>9853</v>
      </c>
      <c r="I98" s="3" t="b">
        <v>0</v>
      </c>
      <c r="J98" s="4" t="b">
        <f>OR(((E98 = "INSERT")=TRUE), ((E98 = "UPDATE")=TRUE), ((E98 = "DELETE")=TRUE), ((E98 = "ALL")=TRUE))</f>
        <v>0</v>
      </c>
      <c r="K98" s="4" t="b">
        <f>F98 = ""</f>
        <v>1</v>
      </c>
      <c r="L98" s="4" t="b">
        <f>_xlfn.IFNA(IF(((INDEX(AccessPrincipals!G2:G13, MATCH(C98,AccessPrincipals!A2:A13, 0))="")=TRUE),  "",  INDEX(AccessPrincipals!G2:G13, MATCH(C98,AccessPrincipals!A2:A13, 0))), "")</f>
        <v>1</v>
      </c>
      <c r="M98" s="4" t="b">
        <f>AND(((K98)=TRUE), ((NOT(((L98)=TRUE)))=TRUE))</f>
        <v>0</v>
      </c>
      <c r="N98" s="4" t="b">
        <f>AND(((J98)=TRUE), ((O98 = 0)=TRUE))</f>
        <v>0</v>
      </c>
      <c r="O98" s="4">
        <f>COUNTIFS(AccessDenialTests!C2:C18, A98)</f>
        <v>0</v>
      </c>
      <c r="P98" s="3" t="s">
        <v>9779</v>
      </c>
    </row>
    <row r="99">
      <c r="A99" s="3" t="s">
        <v>9896</v>
      </c>
      <c r="B99" s="4" t="str">
        <f>C99 &amp; " " &amp; E99 &amp; " " &amp; D99</f>
        <v>principal-process-steward SELECT Requirements</v>
      </c>
      <c r="C99" s="3" t="s">
        <v>9772</v>
      </c>
      <c r="D99" s="3" t="s">
        <v>1805</v>
      </c>
      <c r="E99" s="3" t="s">
        <v>9777</v>
      </c>
      <c r="F99" s="3" t="s">
        <v>168</v>
      </c>
      <c r="G99" s="3" t="s">
        <v>168</v>
      </c>
      <c r="H99" s="3" t="s">
        <v>9853</v>
      </c>
      <c r="I99" s="3" t="b">
        <v>0</v>
      </c>
      <c r="J99" s="4" t="b">
        <f>OR(((E99 = "INSERT")=TRUE), ((E99 = "UPDATE")=TRUE), ((E99 = "DELETE")=TRUE), ((E99 = "ALL")=TRUE))</f>
        <v>0</v>
      </c>
      <c r="K99" s="4" t="b">
        <f>F99 = ""</f>
        <v>1</v>
      </c>
      <c r="L99" s="4" t="b">
        <f>_xlfn.IFNA(IF(((INDEX(AccessPrincipals!G2:G13, MATCH(C99,AccessPrincipals!A2:A13, 0))="")=TRUE),  "",  INDEX(AccessPrincipals!G2:G13, MATCH(C99,AccessPrincipals!A2:A13, 0))), "")</f>
        <v>1</v>
      </c>
      <c r="M99" s="4" t="b">
        <f>AND(((K99)=TRUE), ((NOT(((L99)=TRUE)))=TRUE))</f>
        <v>0</v>
      </c>
      <c r="N99" s="4" t="b">
        <f>AND(((J99)=TRUE), ((O99 = 0)=TRUE))</f>
        <v>0</v>
      </c>
      <c r="O99" s="4">
        <f>COUNTIFS(AccessDenialTests!C2:C18, A99)</f>
        <v>0</v>
      </c>
      <c r="P99" s="3" t="s">
        <v>9779</v>
      </c>
    </row>
    <row r="100">
      <c r="A100" s="3" t="s">
        <v>9897</v>
      </c>
      <c r="B100" s="4" t="str">
        <f>C100 &amp; " " &amp; E100 &amp; " " &amp; D100</f>
        <v>principal-process-steward SELECT Resources</v>
      </c>
      <c r="C100" s="3" t="s">
        <v>9772</v>
      </c>
      <c r="D100" s="3" t="s">
        <v>1811</v>
      </c>
      <c r="E100" s="3" t="s">
        <v>9777</v>
      </c>
      <c r="F100" s="3" t="s">
        <v>168</v>
      </c>
      <c r="G100" s="3" t="s">
        <v>168</v>
      </c>
      <c r="H100" s="3" t="s">
        <v>9853</v>
      </c>
      <c r="I100" s="3" t="b">
        <v>0</v>
      </c>
      <c r="J100" s="4" t="b">
        <f>OR(((E100 = "INSERT")=TRUE), ((E100 = "UPDATE")=TRUE), ((E100 = "DELETE")=TRUE), ((E100 = "ALL")=TRUE))</f>
        <v>0</v>
      </c>
      <c r="K100" s="4" t="b">
        <f>F100 = ""</f>
        <v>1</v>
      </c>
      <c r="L100" s="4" t="b">
        <f>_xlfn.IFNA(IF(((INDEX(AccessPrincipals!G2:G13, MATCH(C100,AccessPrincipals!A2:A13, 0))="")=TRUE),  "",  INDEX(AccessPrincipals!G2:G13, MATCH(C100,AccessPrincipals!A2:A13, 0))), "")</f>
        <v>1</v>
      </c>
      <c r="M100" s="4" t="b">
        <f>AND(((K100)=TRUE), ((NOT(((L100)=TRUE)))=TRUE))</f>
        <v>0</v>
      </c>
      <c r="N100" s="4" t="b">
        <f>AND(((J100)=TRUE), ((O100 = 0)=TRUE))</f>
        <v>0</v>
      </c>
      <c r="O100" s="4">
        <f>COUNTIFS(AccessDenialTests!C2:C18, A100)</f>
        <v>0</v>
      </c>
      <c r="P100" s="3" t="s">
        <v>9779</v>
      </c>
    </row>
    <row r="101">
      <c r="A101" s="3" t="s">
        <v>9898</v>
      </c>
      <c r="B101" s="4" t="str">
        <f>C101 &amp; " " &amp; E101 &amp; " " &amp; D101</f>
        <v>principal-process-steward SELECT ReviewEvents</v>
      </c>
      <c r="C101" s="3" t="s">
        <v>9772</v>
      </c>
      <c r="D101" s="3" t="s">
        <v>3988</v>
      </c>
      <c r="E101" s="3" t="s">
        <v>9777</v>
      </c>
      <c r="F101" s="3" t="s">
        <v>168</v>
      </c>
      <c r="G101" s="3" t="s">
        <v>168</v>
      </c>
      <c r="H101" s="3" t="s">
        <v>9853</v>
      </c>
      <c r="I101" s="3" t="b">
        <v>0</v>
      </c>
      <c r="J101" s="4" t="b">
        <f>OR(((E101 = "INSERT")=TRUE), ((E101 = "UPDATE")=TRUE), ((E101 = "DELETE")=TRUE), ((E101 = "ALL")=TRUE))</f>
        <v>0</v>
      </c>
      <c r="K101" s="4" t="b">
        <f>F101 = ""</f>
        <v>1</v>
      </c>
      <c r="L101" s="4" t="b">
        <f>_xlfn.IFNA(IF(((INDEX(AccessPrincipals!G2:G13, MATCH(C101,AccessPrincipals!A2:A13, 0))="")=TRUE),  "",  INDEX(AccessPrincipals!G2:G13, MATCH(C101,AccessPrincipals!A2:A13, 0))), "")</f>
        <v>1</v>
      </c>
      <c r="M101" s="4" t="b">
        <f>AND(((K101)=TRUE), ((NOT(((L101)=TRUE)))=TRUE))</f>
        <v>0</v>
      </c>
      <c r="N101" s="4" t="b">
        <f>AND(((J101)=TRUE), ((O101 = 0)=TRUE))</f>
        <v>0</v>
      </c>
      <c r="O101" s="4">
        <f>COUNTIFS(AccessDenialTests!C2:C18, A101)</f>
        <v>0</v>
      </c>
      <c r="P101" s="3" t="s">
        <v>9779</v>
      </c>
    </row>
    <row r="102">
      <c r="A102" s="3" t="s">
        <v>9899</v>
      </c>
      <c r="B102" s="4" t="str">
        <f>C102 &amp; " " &amp; E102 &amp; " " &amp; D102</f>
        <v>principal-process-steward SELECT RoleAssignments</v>
      </c>
      <c r="C102" s="3" t="s">
        <v>9772</v>
      </c>
      <c r="D102" s="3" t="s">
        <v>1821</v>
      </c>
      <c r="E102" s="3" t="s">
        <v>9777</v>
      </c>
      <c r="F102" s="3" t="s">
        <v>168</v>
      </c>
      <c r="G102" s="3" t="s">
        <v>168</v>
      </c>
      <c r="H102" s="3" t="s">
        <v>9853</v>
      </c>
      <c r="I102" s="3" t="b">
        <v>0</v>
      </c>
      <c r="J102" s="4" t="b">
        <f>OR(((E102 = "INSERT")=TRUE), ((E102 = "UPDATE")=TRUE), ((E102 = "DELETE")=TRUE), ((E102 = "ALL")=TRUE))</f>
        <v>0</v>
      </c>
      <c r="K102" s="4" t="b">
        <f>F102 = ""</f>
        <v>1</v>
      </c>
      <c r="L102" s="4" t="b">
        <f>_xlfn.IFNA(IF(((INDEX(AccessPrincipals!G2:G13, MATCH(C102,AccessPrincipals!A2:A13, 0))="")=TRUE),  "",  INDEX(AccessPrincipals!G2:G13, MATCH(C102,AccessPrincipals!A2:A13, 0))), "")</f>
        <v>1</v>
      </c>
      <c r="M102" s="4" t="b">
        <f>AND(((K102)=TRUE), ((NOT(((L102)=TRUE)))=TRUE))</f>
        <v>0</v>
      </c>
      <c r="N102" s="4" t="b">
        <f>AND(((J102)=TRUE), ((O102 = 0)=TRUE))</f>
        <v>0</v>
      </c>
      <c r="O102" s="4">
        <f>COUNTIFS(AccessDenialTests!C2:C18, A102)</f>
        <v>0</v>
      </c>
      <c r="P102" s="3" t="s">
        <v>9779</v>
      </c>
    </row>
    <row r="103">
      <c r="A103" s="3" t="s">
        <v>9900</v>
      </c>
      <c r="B103" s="4" t="str">
        <f>C103 &amp; " " &amp; E103 &amp; " " &amp; D103</f>
        <v>principal-process-steward SELECT RoleQuestions</v>
      </c>
      <c r="C103" s="3" t="s">
        <v>9772</v>
      </c>
      <c r="D103" s="3" t="s">
        <v>4157</v>
      </c>
      <c r="E103" s="3" t="s">
        <v>9777</v>
      </c>
      <c r="F103" s="3" t="s">
        <v>168</v>
      </c>
      <c r="G103" s="3" t="s">
        <v>168</v>
      </c>
      <c r="H103" s="3" t="s">
        <v>9853</v>
      </c>
      <c r="I103" s="3" t="b">
        <v>0</v>
      </c>
      <c r="J103" s="4" t="b">
        <f>OR(((E103 = "INSERT")=TRUE), ((E103 = "UPDATE")=TRUE), ((E103 = "DELETE")=TRUE), ((E103 = "ALL")=TRUE))</f>
        <v>0</v>
      </c>
      <c r="K103" s="4" t="b">
        <f>F103 = ""</f>
        <v>1</v>
      </c>
      <c r="L103" s="4" t="b">
        <f>_xlfn.IFNA(IF(((INDEX(AccessPrincipals!G2:G13, MATCH(C103,AccessPrincipals!A2:A13, 0))="")=TRUE),  "",  INDEX(AccessPrincipals!G2:G13, MATCH(C103,AccessPrincipals!A2:A13, 0))), "")</f>
        <v>1</v>
      </c>
      <c r="M103" s="4" t="b">
        <f>AND(((K103)=TRUE), ((NOT(((L103)=TRUE)))=TRUE))</f>
        <v>0</v>
      </c>
      <c r="N103" s="4" t="b">
        <f>AND(((J103)=TRUE), ((O103 = 0)=TRUE))</f>
        <v>0</v>
      </c>
      <c r="O103" s="4">
        <f>COUNTIFS(AccessDenialTests!C2:C18, A103)</f>
        <v>0</v>
      </c>
      <c r="P103" s="3" t="s">
        <v>9779</v>
      </c>
    </row>
    <row r="104">
      <c r="A104" s="3" t="s">
        <v>9901</v>
      </c>
      <c r="B104" s="4" t="str">
        <f>C104 &amp; " " &amp; E104 &amp; " " &amp; D104</f>
        <v>principal-process-steward SELECT Roles</v>
      </c>
      <c r="C104" s="3" t="s">
        <v>9772</v>
      </c>
      <c r="D104" s="3" t="s">
        <v>1818</v>
      </c>
      <c r="E104" s="3" t="s">
        <v>9777</v>
      </c>
      <c r="F104" s="3" t="s">
        <v>168</v>
      </c>
      <c r="G104" s="3" t="s">
        <v>168</v>
      </c>
      <c r="H104" s="3" t="s">
        <v>9853</v>
      </c>
      <c r="I104" s="3" t="b">
        <v>0</v>
      </c>
      <c r="J104" s="4" t="b">
        <f>OR(((E104 = "INSERT")=TRUE), ((E104 = "UPDATE")=TRUE), ((E104 = "DELETE")=TRUE), ((E104 = "ALL")=TRUE))</f>
        <v>0</v>
      </c>
      <c r="K104" s="4" t="b">
        <f>F104 = ""</f>
        <v>1</v>
      </c>
      <c r="L104" s="4" t="b">
        <f>_xlfn.IFNA(IF(((INDEX(AccessPrincipals!G2:G13, MATCH(C104,AccessPrincipals!A2:A13, 0))="")=TRUE),  "",  INDEX(AccessPrincipals!G2:G13, MATCH(C104,AccessPrincipals!A2:A13, 0))), "")</f>
        <v>1</v>
      </c>
      <c r="M104" s="4" t="b">
        <f>AND(((K104)=TRUE), ((NOT(((L104)=TRUE)))=TRUE))</f>
        <v>0</v>
      </c>
      <c r="N104" s="4" t="b">
        <f>AND(((J104)=TRUE), ((O104 = 0)=TRUE))</f>
        <v>0</v>
      </c>
      <c r="O104" s="4">
        <f>COUNTIFS(AccessDenialTests!C2:C18, A104)</f>
        <v>0</v>
      </c>
      <c r="P104" s="3" t="s">
        <v>9779</v>
      </c>
    </row>
    <row r="105">
      <c r="A105" s="3" t="s">
        <v>9902</v>
      </c>
      <c r="B105" s="4" t="str">
        <f>C105 &amp; " " &amp; E105 &amp; " " &amp; D105</f>
        <v>principal-process-steward SELECT RulebookFields</v>
      </c>
      <c r="C105" s="3" t="s">
        <v>9772</v>
      </c>
      <c r="D105" s="3" t="s">
        <v>4172</v>
      </c>
      <c r="E105" s="3" t="s">
        <v>9777</v>
      </c>
      <c r="F105" s="3" t="s">
        <v>168</v>
      </c>
      <c r="G105" s="3" t="s">
        <v>168</v>
      </c>
      <c r="H105" s="3" t="s">
        <v>9853</v>
      </c>
      <c r="I105" s="3" t="b">
        <v>0</v>
      </c>
      <c r="J105" s="4" t="b">
        <f>OR(((E105 = "INSERT")=TRUE), ((E105 = "UPDATE")=TRUE), ((E105 = "DELETE")=TRUE), ((E105 = "ALL")=TRUE))</f>
        <v>0</v>
      </c>
      <c r="K105" s="4" t="b">
        <f>F105 = ""</f>
        <v>1</v>
      </c>
      <c r="L105" s="4" t="b">
        <f>_xlfn.IFNA(IF(((INDEX(AccessPrincipals!G2:G13, MATCH(C105,AccessPrincipals!A2:A13, 0))="")=TRUE),  "",  INDEX(AccessPrincipals!G2:G13, MATCH(C105,AccessPrincipals!A2:A13, 0))), "")</f>
        <v>1</v>
      </c>
      <c r="M105" s="4" t="b">
        <f>AND(((K105)=TRUE), ((NOT(((L105)=TRUE)))=TRUE))</f>
        <v>0</v>
      </c>
      <c r="N105" s="4" t="b">
        <f>AND(((J105)=TRUE), ((O105 = 0)=TRUE))</f>
        <v>0</v>
      </c>
      <c r="O105" s="4">
        <f>COUNTIFS(AccessDenialTests!C2:C18, A105)</f>
        <v>0</v>
      </c>
      <c r="P105" s="3" t="s">
        <v>9779</v>
      </c>
    </row>
    <row r="106">
      <c r="A106" s="3" t="s">
        <v>9903</v>
      </c>
      <c r="B106" s="4" t="str">
        <f>C106 &amp; " " &amp; E106 &amp; " " &amp; D106</f>
        <v>principal-process-steward SELECT RulebookReleases</v>
      </c>
      <c r="C106" s="3" t="s">
        <v>9772</v>
      </c>
      <c r="D106" s="3" t="s">
        <v>2415</v>
      </c>
      <c r="E106" s="3" t="s">
        <v>9777</v>
      </c>
      <c r="F106" s="3" t="s">
        <v>168</v>
      </c>
      <c r="G106" s="3" t="s">
        <v>168</v>
      </c>
      <c r="H106" s="3" t="s">
        <v>9853</v>
      </c>
      <c r="I106" s="3" t="b">
        <v>0</v>
      </c>
      <c r="J106" s="4" t="b">
        <f>OR(((E106 = "INSERT")=TRUE), ((E106 = "UPDATE")=TRUE), ((E106 = "DELETE")=TRUE), ((E106 = "ALL")=TRUE))</f>
        <v>0</v>
      </c>
      <c r="K106" s="4" t="b">
        <f>F106 = ""</f>
        <v>1</v>
      </c>
      <c r="L106" s="4" t="b">
        <f>_xlfn.IFNA(IF(((INDEX(AccessPrincipals!G2:G13, MATCH(C106,AccessPrincipals!A2:A13, 0))="")=TRUE),  "",  INDEX(AccessPrincipals!G2:G13, MATCH(C106,AccessPrincipals!A2:A13, 0))), "")</f>
        <v>1</v>
      </c>
      <c r="M106" s="4" t="b">
        <f>AND(((K106)=TRUE), ((NOT(((L106)=TRUE)))=TRUE))</f>
        <v>0</v>
      </c>
      <c r="N106" s="4" t="b">
        <f>AND(((J106)=TRUE), ((O106 = 0)=TRUE))</f>
        <v>0</v>
      </c>
      <c r="O106" s="4">
        <f>COUNTIFS(AccessDenialTests!C2:C18, A106)</f>
        <v>0</v>
      </c>
      <c r="P106" s="3" t="s">
        <v>9779</v>
      </c>
    </row>
    <row r="107">
      <c r="A107" s="3" t="s">
        <v>9904</v>
      </c>
      <c r="B107" s="4" t="str">
        <f>C107 &amp; " " &amp; E107 &amp; " " &amp; D107</f>
        <v>principal-process-steward SELECT SemanticMappings</v>
      </c>
      <c r="C107" s="3" t="s">
        <v>9772</v>
      </c>
      <c r="D107" s="3" t="s">
        <v>4130</v>
      </c>
      <c r="E107" s="3" t="s">
        <v>9777</v>
      </c>
      <c r="F107" s="3" t="s">
        <v>168</v>
      </c>
      <c r="G107" s="3" t="s">
        <v>168</v>
      </c>
      <c r="H107" s="3" t="s">
        <v>9853</v>
      </c>
      <c r="I107" s="3" t="b">
        <v>0</v>
      </c>
      <c r="J107" s="4" t="b">
        <f>OR(((E107 = "INSERT")=TRUE), ((E107 = "UPDATE")=TRUE), ((E107 = "DELETE")=TRUE), ((E107 = "ALL")=TRUE))</f>
        <v>0</v>
      </c>
      <c r="K107" s="4" t="b">
        <f>F107 = ""</f>
        <v>1</v>
      </c>
      <c r="L107" s="4" t="b">
        <f>_xlfn.IFNA(IF(((INDEX(AccessPrincipals!G2:G13, MATCH(C107,AccessPrincipals!A2:A13, 0))="")=TRUE),  "",  INDEX(AccessPrincipals!G2:G13, MATCH(C107,AccessPrincipals!A2:A13, 0))), "")</f>
        <v>1</v>
      </c>
      <c r="M107" s="4" t="b">
        <f>AND(((K107)=TRUE), ((NOT(((L107)=TRUE)))=TRUE))</f>
        <v>0</v>
      </c>
      <c r="N107" s="4" t="b">
        <f>AND(((J107)=TRUE), ((O107 = 0)=TRUE))</f>
        <v>0</v>
      </c>
      <c r="O107" s="4">
        <f>COUNTIFS(AccessDenialTests!C2:C18, A107)</f>
        <v>0</v>
      </c>
      <c r="P107" s="3" t="s">
        <v>9779</v>
      </c>
    </row>
    <row r="108">
      <c r="A108" s="3" t="s">
        <v>9905</v>
      </c>
      <c r="B108" s="4" t="str">
        <f>C108 &amp; " " &amp; E108 &amp; " " &amp; D108</f>
        <v>principal-process-steward SELECT SendIntents</v>
      </c>
      <c r="C108" s="3" t="s">
        <v>9772</v>
      </c>
      <c r="D108" s="3" t="s">
        <v>4728</v>
      </c>
      <c r="E108" s="3" t="s">
        <v>9777</v>
      </c>
      <c r="F108" s="3" t="s">
        <v>168</v>
      </c>
      <c r="G108" s="3" t="s">
        <v>168</v>
      </c>
      <c r="H108" s="3" t="s">
        <v>9853</v>
      </c>
      <c r="I108" s="3" t="b">
        <v>0</v>
      </c>
      <c r="J108" s="4" t="b">
        <f>OR(((E108 = "INSERT")=TRUE), ((E108 = "UPDATE")=TRUE), ((E108 = "DELETE")=TRUE), ((E108 = "ALL")=TRUE))</f>
        <v>0</v>
      </c>
      <c r="K108" s="4" t="b">
        <f>F108 = ""</f>
        <v>1</v>
      </c>
      <c r="L108" s="4" t="b">
        <f>_xlfn.IFNA(IF(((INDEX(AccessPrincipals!G2:G13, MATCH(C108,AccessPrincipals!A2:A13, 0))="")=TRUE),  "",  INDEX(AccessPrincipals!G2:G13, MATCH(C108,AccessPrincipals!A2:A13, 0))), "")</f>
        <v>1</v>
      </c>
      <c r="M108" s="4" t="b">
        <f>AND(((K108)=TRUE), ((NOT(((L108)=TRUE)))=TRUE))</f>
        <v>0</v>
      </c>
      <c r="N108" s="4" t="b">
        <f>AND(((J108)=TRUE), ((O108 = 0)=TRUE))</f>
        <v>0</v>
      </c>
      <c r="O108" s="4">
        <f>COUNTIFS(AccessDenialTests!C2:C18, A108)</f>
        <v>0</v>
      </c>
      <c r="P108" s="3" t="s">
        <v>9779</v>
      </c>
    </row>
    <row r="109">
      <c r="A109" s="3" t="s">
        <v>9906</v>
      </c>
      <c r="B109" s="4" t="str">
        <f>C109 &amp; " " &amp; E109 &amp; " " &amp; D109</f>
        <v>principal-process-steward SELECT StepActions</v>
      </c>
      <c r="C109" s="3" t="s">
        <v>9772</v>
      </c>
      <c r="D109" s="3" t="s">
        <v>3028</v>
      </c>
      <c r="E109" s="3" t="s">
        <v>9777</v>
      </c>
      <c r="F109" s="3" t="s">
        <v>168</v>
      </c>
      <c r="G109" s="3" t="s">
        <v>168</v>
      </c>
      <c r="H109" s="3" t="s">
        <v>9853</v>
      </c>
      <c r="I109" s="3" t="b">
        <v>0</v>
      </c>
      <c r="J109" s="4" t="b">
        <f>OR(((E109 = "INSERT")=TRUE), ((E109 = "UPDATE")=TRUE), ((E109 = "DELETE")=TRUE), ((E109 = "ALL")=TRUE))</f>
        <v>0</v>
      </c>
      <c r="K109" s="4" t="b">
        <f>F109 = ""</f>
        <v>1</v>
      </c>
      <c r="L109" s="4" t="b">
        <f>_xlfn.IFNA(IF(((INDEX(AccessPrincipals!G2:G13, MATCH(C109,AccessPrincipals!A2:A13, 0))="")=TRUE),  "",  INDEX(AccessPrincipals!G2:G13, MATCH(C109,AccessPrincipals!A2:A13, 0))), "")</f>
        <v>1</v>
      </c>
      <c r="M109" s="4" t="b">
        <f>AND(((K109)=TRUE), ((NOT(((L109)=TRUE)))=TRUE))</f>
        <v>0</v>
      </c>
      <c r="N109" s="4" t="b">
        <f>AND(((J109)=TRUE), ((O109 = 0)=TRUE))</f>
        <v>0</v>
      </c>
      <c r="O109" s="4">
        <f>COUNTIFS(AccessDenialTests!C2:C18, A109)</f>
        <v>0</v>
      </c>
      <c r="P109" s="3" t="s">
        <v>9779</v>
      </c>
    </row>
    <row r="110">
      <c r="A110" s="3" t="s">
        <v>9907</v>
      </c>
      <c r="B110" s="4" t="str">
        <f>C110 &amp; " " &amp; E110 &amp; " " &amp; D110</f>
        <v>principal-process-steward SELECT StepExecutions</v>
      </c>
      <c r="C110" s="3" t="s">
        <v>9772</v>
      </c>
      <c r="D110" s="3" t="s">
        <v>1827</v>
      </c>
      <c r="E110" s="3" t="s">
        <v>9777</v>
      </c>
      <c r="F110" s="3" t="s">
        <v>168</v>
      </c>
      <c r="G110" s="3" t="s">
        <v>168</v>
      </c>
      <c r="H110" s="3" t="s">
        <v>9853</v>
      </c>
      <c r="I110" s="3" t="b">
        <v>0</v>
      </c>
      <c r="J110" s="4" t="b">
        <f>OR(((E110 = "INSERT")=TRUE), ((E110 = "UPDATE")=TRUE), ((E110 = "DELETE")=TRUE), ((E110 = "ALL")=TRUE))</f>
        <v>0</v>
      </c>
      <c r="K110" s="4" t="b">
        <f>F110 = ""</f>
        <v>1</v>
      </c>
      <c r="L110" s="4" t="b">
        <f>_xlfn.IFNA(IF(((INDEX(AccessPrincipals!G2:G13, MATCH(C110,AccessPrincipals!A2:A13, 0))="")=TRUE),  "",  INDEX(AccessPrincipals!G2:G13, MATCH(C110,AccessPrincipals!A2:A13, 0))), "")</f>
        <v>1</v>
      </c>
      <c r="M110" s="4" t="b">
        <f>AND(((K110)=TRUE), ((NOT(((L110)=TRUE)))=TRUE))</f>
        <v>0</v>
      </c>
      <c r="N110" s="4" t="b">
        <f>AND(((J110)=TRUE), ((O110 = 0)=TRUE))</f>
        <v>0</v>
      </c>
      <c r="O110" s="4">
        <f>COUNTIFS(AccessDenialTests!C2:C18, A110)</f>
        <v>0</v>
      </c>
      <c r="P110" s="3" t="s">
        <v>9779</v>
      </c>
    </row>
    <row r="111">
      <c r="A111" s="3" t="s">
        <v>9908</v>
      </c>
      <c r="B111" s="4" t="str">
        <f>C111 &amp; " " &amp; E111 &amp; " " &amp; D111</f>
        <v>principal-process-steward SELECT StepFunctions</v>
      </c>
      <c r="C111" s="3" t="s">
        <v>9772</v>
      </c>
      <c r="D111" s="3" t="s">
        <v>3034</v>
      </c>
      <c r="E111" s="3" t="s">
        <v>9777</v>
      </c>
      <c r="F111" s="3" t="s">
        <v>168</v>
      </c>
      <c r="G111" s="3" t="s">
        <v>168</v>
      </c>
      <c r="H111" s="3" t="s">
        <v>9853</v>
      </c>
      <c r="I111" s="3" t="b">
        <v>0</v>
      </c>
      <c r="J111" s="4" t="b">
        <f>OR(((E111 = "INSERT")=TRUE), ((E111 = "UPDATE")=TRUE), ((E111 = "DELETE")=TRUE), ((E111 = "ALL")=TRUE))</f>
        <v>0</v>
      </c>
      <c r="K111" s="4" t="b">
        <f>F111 = ""</f>
        <v>1</v>
      </c>
      <c r="L111" s="4" t="b">
        <f>_xlfn.IFNA(IF(((INDEX(AccessPrincipals!G2:G13, MATCH(C111,AccessPrincipals!A2:A13, 0))="")=TRUE),  "",  INDEX(AccessPrincipals!G2:G13, MATCH(C111,AccessPrincipals!A2:A13, 0))), "")</f>
        <v>1</v>
      </c>
      <c r="M111" s="4" t="b">
        <f>AND(((K111)=TRUE), ((NOT(((L111)=TRUE)))=TRUE))</f>
        <v>0</v>
      </c>
      <c r="N111" s="4" t="b">
        <f>AND(((J111)=TRUE), ((O111 = 0)=TRUE))</f>
        <v>0</v>
      </c>
      <c r="O111" s="4">
        <f>COUNTIFS(AccessDenialTests!C2:C18, A111)</f>
        <v>0</v>
      </c>
      <c r="P111" s="3" t="s">
        <v>9779</v>
      </c>
    </row>
    <row r="112">
      <c r="A112" s="3" t="s">
        <v>9909</v>
      </c>
      <c r="B112" s="4" t="str">
        <f>C112 &amp; " " &amp; E112 &amp; " " &amp; D112</f>
        <v>principal-process-steward SELECT StepRequirements</v>
      </c>
      <c r="C112" s="3" t="s">
        <v>9772</v>
      </c>
      <c r="D112" s="3" t="s">
        <v>3119</v>
      </c>
      <c r="E112" s="3" t="s">
        <v>9777</v>
      </c>
      <c r="F112" s="3" t="s">
        <v>168</v>
      </c>
      <c r="G112" s="3" t="s">
        <v>168</v>
      </c>
      <c r="H112" s="3" t="s">
        <v>9853</v>
      </c>
      <c r="I112" s="3" t="b">
        <v>0</v>
      </c>
      <c r="J112" s="4" t="b">
        <f>OR(((E112 = "INSERT")=TRUE), ((E112 = "UPDATE")=TRUE), ((E112 = "DELETE")=TRUE), ((E112 = "ALL")=TRUE))</f>
        <v>0</v>
      </c>
      <c r="K112" s="4" t="b">
        <f>F112 = ""</f>
        <v>1</v>
      </c>
      <c r="L112" s="4" t="b">
        <f>_xlfn.IFNA(IF(((INDEX(AccessPrincipals!G2:G13, MATCH(C112,AccessPrincipals!A2:A13, 0))="")=TRUE),  "",  INDEX(AccessPrincipals!G2:G13, MATCH(C112,AccessPrincipals!A2:A13, 0))), "")</f>
        <v>1</v>
      </c>
      <c r="M112" s="4" t="b">
        <f>AND(((K112)=TRUE), ((NOT(((L112)=TRUE)))=TRUE))</f>
        <v>0</v>
      </c>
      <c r="N112" s="4" t="b">
        <f>AND(((J112)=TRUE), ((O112 = 0)=TRUE))</f>
        <v>0</v>
      </c>
      <c r="O112" s="4">
        <f>COUNTIFS(AccessDenialTests!C2:C18, A112)</f>
        <v>0</v>
      </c>
      <c r="P112" s="3" t="s">
        <v>9779</v>
      </c>
    </row>
    <row r="113">
      <c r="A113" s="3" t="s">
        <v>9910</v>
      </c>
      <c r="B113" s="4" t="str">
        <f>C113 &amp; " " &amp; E113 &amp; " " &amp; D113</f>
        <v>principal-process-steward SELECT StepTools</v>
      </c>
      <c r="C113" s="3" t="s">
        <v>9772</v>
      </c>
      <c r="D113" s="3" t="s">
        <v>3040</v>
      </c>
      <c r="E113" s="3" t="s">
        <v>9777</v>
      </c>
      <c r="F113" s="3" t="s">
        <v>168</v>
      </c>
      <c r="G113" s="3" t="s">
        <v>168</v>
      </c>
      <c r="H113" s="3" t="s">
        <v>9853</v>
      </c>
      <c r="I113" s="3" t="b">
        <v>0</v>
      </c>
      <c r="J113" s="4" t="b">
        <f>OR(((E113 = "INSERT")=TRUE), ((E113 = "UPDATE")=TRUE), ((E113 = "DELETE")=TRUE), ((E113 = "ALL")=TRUE))</f>
        <v>0</v>
      </c>
      <c r="K113" s="4" t="b">
        <f>F113 = ""</f>
        <v>1</v>
      </c>
      <c r="L113" s="4" t="b">
        <f>_xlfn.IFNA(IF(((INDEX(AccessPrincipals!G2:G13, MATCH(C113,AccessPrincipals!A2:A13, 0))="")=TRUE),  "",  INDEX(AccessPrincipals!G2:G13, MATCH(C113,AccessPrincipals!A2:A13, 0))), "")</f>
        <v>1</v>
      </c>
      <c r="M113" s="4" t="b">
        <f>AND(((K113)=TRUE), ((NOT(((L113)=TRUE)))=TRUE))</f>
        <v>0</v>
      </c>
      <c r="N113" s="4" t="b">
        <f>AND(((J113)=TRUE), ((O113 = 0)=TRUE))</f>
        <v>0</v>
      </c>
      <c r="O113" s="4">
        <f>COUNTIFS(AccessDenialTests!C2:C18, A113)</f>
        <v>0</v>
      </c>
      <c r="P113" s="3" t="s">
        <v>9779</v>
      </c>
    </row>
    <row r="114">
      <c r="A114" s="3" t="s">
        <v>9911</v>
      </c>
      <c r="B114" s="4" t="str">
        <f>C114 &amp; " " &amp; E114 &amp; " " &amp; D114</f>
        <v>principal-process-steward SELECT StepTransitions</v>
      </c>
      <c r="C114" s="3" t="s">
        <v>9772</v>
      </c>
      <c r="D114" s="3" t="s">
        <v>1784</v>
      </c>
      <c r="E114" s="3" t="s">
        <v>9777</v>
      </c>
      <c r="F114" s="3" t="s">
        <v>168</v>
      </c>
      <c r="G114" s="3" t="s">
        <v>168</v>
      </c>
      <c r="H114" s="3" t="s">
        <v>9853</v>
      </c>
      <c r="I114" s="3" t="b">
        <v>0</v>
      </c>
      <c r="J114" s="4" t="b">
        <f>OR(((E114 = "INSERT")=TRUE), ((E114 = "UPDATE")=TRUE), ((E114 = "DELETE")=TRUE), ((E114 = "ALL")=TRUE))</f>
        <v>0</v>
      </c>
      <c r="K114" s="4" t="b">
        <f>F114 = ""</f>
        <v>1</v>
      </c>
      <c r="L114" s="4" t="b">
        <f>_xlfn.IFNA(IF(((INDEX(AccessPrincipals!G2:G13, MATCH(C114,AccessPrincipals!A2:A13, 0))="")=TRUE),  "",  INDEX(AccessPrincipals!G2:G13, MATCH(C114,AccessPrincipals!A2:A13, 0))), "")</f>
        <v>1</v>
      </c>
      <c r="M114" s="4" t="b">
        <f>AND(((K114)=TRUE), ((NOT(((L114)=TRUE)))=TRUE))</f>
        <v>0</v>
      </c>
      <c r="N114" s="4" t="b">
        <f>AND(((J114)=TRUE), ((O114 = 0)=TRUE))</f>
        <v>0</v>
      </c>
      <c r="O114" s="4">
        <f>COUNTIFS(AccessDenialTests!C2:C18, A114)</f>
        <v>0</v>
      </c>
      <c r="P114" s="3" t="s">
        <v>9779</v>
      </c>
    </row>
    <row r="115">
      <c r="A115" s="3" t="s">
        <v>9912</v>
      </c>
      <c r="B115" s="4" t="str">
        <f>C115 &amp; " " &amp; E115 &amp; " " &amp; D115</f>
        <v>principal-process-steward SELECT StepVerifications</v>
      </c>
      <c r="C115" s="3" t="s">
        <v>9772</v>
      </c>
      <c r="D115" s="3" t="s">
        <v>1808</v>
      </c>
      <c r="E115" s="3" t="s">
        <v>9777</v>
      </c>
      <c r="F115" s="3" t="s">
        <v>168</v>
      </c>
      <c r="G115" s="3" t="s">
        <v>168</v>
      </c>
      <c r="H115" s="3" t="s">
        <v>9853</v>
      </c>
      <c r="I115" s="3" t="b">
        <v>0</v>
      </c>
      <c r="J115" s="4" t="b">
        <f>OR(((E115 = "INSERT")=TRUE), ((E115 = "UPDATE")=TRUE), ((E115 = "DELETE")=TRUE), ((E115 = "ALL")=TRUE))</f>
        <v>0</v>
      </c>
      <c r="K115" s="4" t="b">
        <f>F115 = ""</f>
        <v>1</v>
      </c>
      <c r="L115" s="4" t="b">
        <f>_xlfn.IFNA(IF(((INDEX(AccessPrincipals!G2:G13, MATCH(C115,AccessPrincipals!A2:A13, 0))="")=TRUE),  "",  INDEX(AccessPrincipals!G2:G13, MATCH(C115,AccessPrincipals!A2:A13, 0))), "")</f>
        <v>1</v>
      </c>
      <c r="M115" s="4" t="b">
        <f>AND(((K115)=TRUE), ((NOT(((L115)=TRUE)))=TRUE))</f>
        <v>0</v>
      </c>
      <c r="N115" s="4" t="b">
        <f>AND(((J115)=TRUE), ((O115 = 0)=TRUE))</f>
        <v>0</v>
      </c>
      <c r="O115" s="4">
        <f>COUNTIFS(AccessDenialTests!C2:C18, A115)</f>
        <v>0</v>
      </c>
      <c r="P115" s="3" t="s">
        <v>9779</v>
      </c>
    </row>
    <row r="116">
      <c r="A116" s="3" t="s">
        <v>9913</v>
      </c>
      <c r="B116" s="4" t="str">
        <f>C116 &amp; " " &amp; E116 &amp; " " &amp; D116</f>
        <v>principal-process-steward SELECT Steps</v>
      </c>
      <c r="C116" s="3" t="s">
        <v>9772</v>
      </c>
      <c r="D116" s="3" t="s">
        <v>1778</v>
      </c>
      <c r="E116" s="3" t="s">
        <v>9777</v>
      </c>
      <c r="F116" s="3" t="s">
        <v>168</v>
      </c>
      <c r="G116" s="3" t="s">
        <v>168</v>
      </c>
      <c r="H116" s="3" t="s">
        <v>9853</v>
      </c>
      <c r="I116" s="3" t="b">
        <v>0</v>
      </c>
      <c r="J116" s="4" t="b">
        <f>OR(((E116 = "INSERT")=TRUE), ((E116 = "UPDATE")=TRUE), ((E116 = "DELETE")=TRUE), ((E116 = "ALL")=TRUE))</f>
        <v>0</v>
      </c>
      <c r="K116" s="4" t="b">
        <f>F116 = ""</f>
        <v>1</v>
      </c>
      <c r="L116" s="4" t="b">
        <f>_xlfn.IFNA(IF(((INDEX(AccessPrincipals!G2:G13, MATCH(C116,AccessPrincipals!A2:A13, 0))="")=TRUE),  "",  INDEX(AccessPrincipals!G2:G13, MATCH(C116,AccessPrincipals!A2:A13, 0))), "")</f>
        <v>1</v>
      </c>
      <c r="M116" s="4" t="b">
        <f>AND(((K116)=TRUE), ((NOT(((L116)=TRUE)))=TRUE))</f>
        <v>0</v>
      </c>
      <c r="N116" s="4" t="b">
        <f>AND(((J116)=TRUE), ((O116 = 0)=TRUE))</f>
        <v>0</v>
      </c>
      <c r="O116" s="4">
        <f>COUNTIFS(AccessDenialTests!C2:C18, A116)</f>
        <v>0</v>
      </c>
      <c r="P116" s="3" t="s">
        <v>9779</v>
      </c>
    </row>
    <row r="117">
      <c r="A117" s="3" t="s">
        <v>9914</v>
      </c>
      <c r="B117" s="4" t="str">
        <f>C117 &amp; " " &amp; E117 &amp; " " &amp; D117</f>
        <v>principal-process-steward SELECT StewardshipAssignments</v>
      </c>
      <c r="C117" s="3" t="s">
        <v>9772</v>
      </c>
      <c r="D117" s="3" t="s">
        <v>1859</v>
      </c>
      <c r="E117" s="3" t="s">
        <v>9777</v>
      </c>
      <c r="F117" s="3" t="s">
        <v>168</v>
      </c>
      <c r="G117" s="3" t="s">
        <v>168</v>
      </c>
      <c r="H117" s="3" t="s">
        <v>9853</v>
      </c>
      <c r="I117" s="3" t="b">
        <v>0</v>
      </c>
      <c r="J117" s="4" t="b">
        <f>OR(((E117 = "INSERT")=TRUE), ((E117 = "UPDATE")=TRUE), ((E117 = "DELETE")=TRUE), ((E117 = "ALL")=TRUE))</f>
        <v>0</v>
      </c>
      <c r="K117" s="4" t="b">
        <f>F117 = ""</f>
        <v>1</v>
      </c>
      <c r="L117" s="4" t="b">
        <f>_xlfn.IFNA(IF(((INDEX(AccessPrincipals!G2:G13, MATCH(C117,AccessPrincipals!A2:A13, 0))="")=TRUE),  "",  INDEX(AccessPrincipals!G2:G13, MATCH(C117,AccessPrincipals!A2:A13, 0))), "")</f>
        <v>1</v>
      </c>
      <c r="M117" s="4" t="b">
        <f>AND(((K117)=TRUE), ((NOT(((L117)=TRUE)))=TRUE))</f>
        <v>0</v>
      </c>
      <c r="N117" s="4" t="b">
        <f>AND(((J117)=TRUE), ((O117 = 0)=TRUE))</f>
        <v>0</v>
      </c>
      <c r="O117" s="4">
        <f>COUNTIFS(AccessDenialTests!C2:C18, A117)</f>
        <v>0</v>
      </c>
      <c r="P117" s="3" t="s">
        <v>9779</v>
      </c>
    </row>
    <row r="118">
      <c r="A118" s="3" t="s">
        <v>9915</v>
      </c>
      <c r="B118" s="4" t="str">
        <f>C118 &amp; " " &amp; E118 &amp; " " &amp; D118</f>
        <v>principal-process-steward SELECT TemplateApprovals</v>
      </c>
      <c r="C118" s="3" t="s">
        <v>9772</v>
      </c>
      <c r="D118" s="3" t="s">
        <v>4698</v>
      </c>
      <c r="E118" s="3" t="s">
        <v>9777</v>
      </c>
      <c r="F118" s="3" t="s">
        <v>168</v>
      </c>
      <c r="G118" s="3" t="s">
        <v>168</v>
      </c>
      <c r="H118" s="3" t="s">
        <v>9853</v>
      </c>
      <c r="I118" s="3" t="b">
        <v>0</v>
      </c>
      <c r="J118" s="4" t="b">
        <f>OR(((E118 = "INSERT")=TRUE), ((E118 = "UPDATE")=TRUE), ((E118 = "DELETE")=TRUE), ((E118 = "ALL")=TRUE))</f>
        <v>0</v>
      </c>
      <c r="K118" s="4" t="b">
        <f>F118 = ""</f>
        <v>1</v>
      </c>
      <c r="L118" s="4" t="b">
        <f>_xlfn.IFNA(IF(((INDEX(AccessPrincipals!G2:G13, MATCH(C118,AccessPrincipals!A2:A13, 0))="")=TRUE),  "",  INDEX(AccessPrincipals!G2:G13, MATCH(C118,AccessPrincipals!A2:A13, 0))), "")</f>
        <v>1</v>
      </c>
      <c r="M118" s="4" t="b">
        <f>AND(((K118)=TRUE), ((NOT(((L118)=TRUE)))=TRUE))</f>
        <v>0</v>
      </c>
      <c r="N118" s="4" t="b">
        <f>AND(((J118)=TRUE), ((O118 = 0)=TRUE))</f>
        <v>0</v>
      </c>
      <c r="O118" s="4">
        <f>COUNTIFS(AccessDenialTests!C2:C18, A118)</f>
        <v>0</v>
      </c>
      <c r="P118" s="3" t="s">
        <v>9779</v>
      </c>
    </row>
    <row r="119">
      <c r="A119" s="3" t="s">
        <v>9916</v>
      </c>
      <c r="B119" s="4" t="str">
        <f>C119 &amp; " " &amp; E119 &amp; " " &amp; D119</f>
        <v>principal-process-steward SELECT TestCases</v>
      </c>
      <c r="C119" s="3" t="s">
        <v>9772</v>
      </c>
      <c r="D119" s="3" t="s">
        <v>4209</v>
      </c>
      <c r="E119" s="3" t="s">
        <v>9777</v>
      </c>
      <c r="F119" s="3" t="s">
        <v>168</v>
      </c>
      <c r="G119" s="3" t="s">
        <v>168</v>
      </c>
      <c r="H119" s="3" t="s">
        <v>9853</v>
      </c>
      <c r="I119" s="3" t="b">
        <v>0</v>
      </c>
      <c r="J119" s="4" t="b">
        <f>OR(((E119 = "INSERT")=TRUE), ((E119 = "UPDATE")=TRUE), ((E119 = "DELETE")=TRUE), ((E119 = "ALL")=TRUE))</f>
        <v>0</v>
      </c>
      <c r="K119" s="4" t="b">
        <f>F119 = ""</f>
        <v>1</v>
      </c>
      <c r="L119" s="4" t="b">
        <f>_xlfn.IFNA(IF(((INDEX(AccessPrincipals!G2:G13, MATCH(C119,AccessPrincipals!A2:A13, 0))="")=TRUE),  "",  INDEX(AccessPrincipals!G2:G13, MATCH(C119,AccessPrincipals!A2:A13, 0))), "")</f>
        <v>1</v>
      </c>
      <c r="M119" s="4" t="b">
        <f>AND(((K119)=TRUE), ((NOT(((L119)=TRUE)))=TRUE))</f>
        <v>0</v>
      </c>
      <c r="N119" s="4" t="b">
        <f>AND(((J119)=TRUE), ((O119 = 0)=TRUE))</f>
        <v>0</v>
      </c>
      <c r="O119" s="4">
        <f>COUNTIFS(AccessDenialTests!C2:C18, A119)</f>
        <v>0</v>
      </c>
      <c r="P119" s="3" t="s">
        <v>9779</v>
      </c>
    </row>
    <row r="120">
      <c r="A120" s="3" t="s">
        <v>9917</v>
      </c>
      <c r="B120" s="4" t="str">
        <f>C120 &amp; " " &amp; E120 &amp; " " &amp; D120</f>
        <v>principal-process-steward SELECT TestSuites</v>
      </c>
      <c r="C120" s="3" t="s">
        <v>9772</v>
      </c>
      <c r="D120" s="3" t="s">
        <v>4191</v>
      </c>
      <c r="E120" s="3" t="s">
        <v>9777</v>
      </c>
      <c r="F120" s="3" t="s">
        <v>168</v>
      </c>
      <c r="G120" s="3" t="s">
        <v>168</v>
      </c>
      <c r="H120" s="3" t="s">
        <v>9853</v>
      </c>
      <c r="I120" s="3" t="b">
        <v>0</v>
      </c>
      <c r="J120" s="4" t="b">
        <f>OR(((E120 = "INSERT")=TRUE), ((E120 = "UPDATE")=TRUE), ((E120 = "DELETE")=TRUE), ((E120 = "ALL")=TRUE))</f>
        <v>0</v>
      </c>
      <c r="K120" s="4" t="b">
        <f>F120 = ""</f>
        <v>1</v>
      </c>
      <c r="L120" s="4" t="b">
        <f>_xlfn.IFNA(IF(((INDEX(AccessPrincipals!G2:G13, MATCH(C120,AccessPrincipals!A2:A13, 0))="")=TRUE),  "",  INDEX(AccessPrincipals!G2:G13, MATCH(C120,AccessPrincipals!A2:A13, 0))), "")</f>
        <v>1</v>
      </c>
      <c r="M120" s="4" t="b">
        <f>AND(((K120)=TRUE), ((NOT(((L120)=TRUE)))=TRUE))</f>
        <v>0</v>
      </c>
      <c r="N120" s="4" t="b">
        <f>AND(((J120)=TRUE), ((O120 = 0)=TRUE))</f>
        <v>0</v>
      </c>
      <c r="O120" s="4">
        <f>COUNTIFS(AccessDenialTests!C2:C18, A120)</f>
        <v>0</v>
      </c>
      <c r="P120" s="3" t="s">
        <v>9779</v>
      </c>
    </row>
    <row r="121">
      <c r="A121" s="3" t="s">
        <v>9918</v>
      </c>
      <c r="B121" s="4" t="str">
        <f>C121 &amp; " " &amp; E121 &amp; " " &amp; D121</f>
        <v>principal-process-steward SELECT Tools</v>
      </c>
      <c r="C121" s="3" t="s">
        <v>9772</v>
      </c>
      <c r="D121" s="3" t="s">
        <v>1802</v>
      </c>
      <c r="E121" s="3" t="s">
        <v>9777</v>
      </c>
      <c r="F121" s="3" t="s">
        <v>168</v>
      </c>
      <c r="G121" s="3" t="s">
        <v>168</v>
      </c>
      <c r="H121" s="3" t="s">
        <v>9853</v>
      </c>
      <c r="I121" s="3" t="b">
        <v>0</v>
      </c>
      <c r="J121" s="4" t="b">
        <f>OR(((E121 = "INSERT")=TRUE), ((E121 = "UPDATE")=TRUE), ((E121 = "DELETE")=TRUE), ((E121 = "ALL")=TRUE))</f>
        <v>0</v>
      </c>
      <c r="K121" s="4" t="b">
        <f>F121 = ""</f>
        <v>1</v>
      </c>
      <c r="L121" s="4" t="b">
        <f>_xlfn.IFNA(IF(((INDEX(AccessPrincipals!G2:G13, MATCH(C121,AccessPrincipals!A2:A13, 0))="")=TRUE),  "",  INDEX(AccessPrincipals!G2:G13, MATCH(C121,AccessPrincipals!A2:A13, 0))), "")</f>
        <v>1</v>
      </c>
      <c r="M121" s="4" t="b">
        <f>AND(((K121)=TRUE), ((NOT(((L121)=TRUE)))=TRUE))</f>
        <v>0</v>
      </c>
      <c r="N121" s="4" t="b">
        <f>AND(((J121)=TRUE), ((O121 = 0)=TRUE))</f>
        <v>0</v>
      </c>
      <c r="O121" s="4">
        <f>COUNTIFS(AccessDenialTests!C2:C18, A121)</f>
        <v>0</v>
      </c>
      <c r="P121" s="3" t="s">
        <v>9779</v>
      </c>
    </row>
    <row r="122">
      <c r="A122" s="3" t="s">
        <v>9919</v>
      </c>
      <c r="B122" s="4" t="str">
        <f>C122 &amp; " " &amp; E122 &amp; " " &amp; D122</f>
        <v>principal-process-steward SELECT UserFeedback</v>
      </c>
      <c r="C122" s="3" t="s">
        <v>9772</v>
      </c>
      <c r="D122" s="3" t="s">
        <v>1842</v>
      </c>
      <c r="E122" s="3" t="s">
        <v>9777</v>
      </c>
      <c r="F122" s="3" t="s">
        <v>168</v>
      </c>
      <c r="G122" s="3" t="s">
        <v>168</v>
      </c>
      <c r="H122" s="3" t="s">
        <v>9853</v>
      </c>
      <c r="I122" s="3" t="b">
        <v>0</v>
      </c>
      <c r="J122" s="4" t="b">
        <f>OR(((E122 = "INSERT")=TRUE), ((E122 = "UPDATE")=TRUE), ((E122 = "DELETE")=TRUE), ((E122 = "ALL")=TRUE))</f>
        <v>0</v>
      </c>
      <c r="K122" s="4" t="b">
        <f>F122 = ""</f>
        <v>1</v>
      </c>
      <c r="L122" s="4" t="b">
        <f>_xlfn.IFNA(IF(((INDEX(AccessPrincipals!G2:G13, MATCH(C122,AccessPrincipals!A2:A13, 0))="")=TRUE),  "",  INDEX(AccessPrincipals!G2:G13, MATCH(C122,AccessPrincipals!A2:A13, 0))), "")</f>
        <v>1</v>
      </c>
      <c r="M122" s="4" t="b">
        <f>AND(((K122)=TRUE), ((NOT(((L122)=TRUE)))=TRUE))</f>
        <v>0</v>
      </c>
      <c r="N122" s="4" t="b">
        <f>AND(((J122)=TRUE), ((O122 = 0)=TRUE))</f>
        <v>0</v>
      </c>
      <c r="O122" s="4">
        <f>COUNTIFS(AccessDenialTests!C2:C18, A122)</f>
        <v>0</v>
      </c>
      <c r="P122" s="3" t="s">
        <v>9779</v>
      </c>
    </row>
    <row r="123">
      <c r="A123" s="3" t="s">
        <v>9920</v>
      </c>
      <c r="B123" s="4" t="str">
        <f>C123 &amp; " " &amp; E123 &amp; " " &amp; D123</f>
        <v>principal-process-steward SELECT UserQuestions</v>
      </c>
      <c r="C123" s="3" t="s">
        <v>9772</v>
      </c>
      <c r="D123" s="3" t="s">
        <v>1839</v>
      </c>
      <c r="E123" s="3" t="s">
        <v>9777</v>
      </c>
      <c r="F123" s="3" t="s">
        <v>168</v>
      </c>
      <c r="G123" s="3" t="s">
        <v>168</v>
      </c>
      <c r="H123" s="3" t="s">
        <v>9853</v>
      </c>
      <c r="I123" s="3" t="b">
        <v>0</v>
      </c>
      <c r="J123" s="4" t="b">
        <f>OR(((E123 = "INSERT")=TRUE), ((E123 = "UPDATE")=TRUE), ((E123 = "DELETE")=TRUE), ((E123 = "ALL")=TRUE))</f>
        <v>0</v>
      </c>
      <c r="K123" s="4" t="b">
        <f>F123 = ""</f>
        <v>1</v>
      </c>
      <c r="L123" s="4" t="b">
        <f>_xlfn.IFNA(IF(((INDEX(AccessPrincipals!G2:G13, MATCH(C123,AccessPrincipals!A2:A13, 0))="")=TRUE),  "",  INDEX(AccessPrincipals!G2:G13, MATCH(C123,AccessPrincipals!A2:A13, 0))), "")</f>
        <v>1</v>
      </c>
      <c r="M123" s="4" t="b">
        <f>AND(((K123)=TRUE), ((NOT(((L123)=TRUE)))=TRUE))</f>
        <v>0</v>
      </c>
      <c r="N123" s="4" t="b">
        <f>AND(((J123)=TRUE), ((O123 = 0)=TRUE))</f>
        <v>0</v>
      </c>
      <c r="O123" s="4">
        <f>COUNTIFS(AccessDenialTests!C2:C18, A123)</f>
        <v>0</v>
      </c>
      <c r="P123" s="3" t="s">
        <v>9779</v>
      </c>
    </row>
    <row r="124">
      <c r="A124" s="3" t="s">
        <v>9921</v>
      </c>
      <c r="B124" s="4" t="str">
        <f>C124 &amp; " " &amp; E124 &amp; " " &amp; D124</f>
        <v>principal-process-steward SELECT VerificationOutcomes</v>
      </c>
      <c r="C124" s="3" t="s">
        <v>9772</v>
      </c>
      <c r="D124" s="3" t="s">
        <v>4337</v>
      </c>
      <c r="E124" s="3" t="s">
        <v>9777</v>
      </c>
      <c r="F124" s="3" t="s">
        <v>168</v>
      </c>
      <c r="G124" s="3" t="s">
        <v>168</v>
      </c>
      <c r="H124" s="3" t="s">
        <v>9853</v>
      </c>
      <c r="I124" s="3" t="b">
        <v>0</v>
      </c>
      <c r="J124" s="4" t="b">
        <f>OR(((E124 = "INSERT")=TRUE), ((E124 = "UPDATE")=TRUE), ((E124 = "DELETE")=TRUE), ((E124 = "ALL")=TRUE))</f>
        <v>0</v>
      </c>
      <c r="K124" s="4" t="b">
        <f>F124 = ""</f>
        <v>1</v>
      </c>
      <c r="L124" s="4" t="b">
        <f>_xlfn.IFNA(IF(((INDEX(AccessPrincipals!G2:G13, MATCH(C124,AccessPrincipals!A2:A13, 0))="")=TRUE),  "",  INDEX(AccessPrincipals!G2:G13, MATCH(C124,AccessPrincipals!A2:A13, 0))), "")</f>
        <v>1</v>
      </c>
      <c r="M124" s="4" t="b">
        <f>AND(((K124)=TRUE), ((NOT(((L124)=TRUE)))=TRUE))</f>
        <v>0</v>
      </c>
      <c r="N124" s="4" t="b">
        <f>AND(((J124)=TRUE), ((O124 = 0)=TRUE))</f>
        <v>0</v>
      </c>
      <c r="O124" s="4">
        <f>COUNTIFS(AccessDenialTests!C2:C18, A124)</f>
        <v>0</v>
      </c>
      <c r="P124" s="3" t="s">
        <v>9779</v>
      </c>
    </row>
    <row r="125">
      <c r="A125" s="3" t="s">
        <v>9922</v>
      </c>
      <c r="B125" s="4" t="str">
        <f>C125 &amp; " " &amp; E125 &amp; " " &amp; D125</f>
        <v>principal-process-steward SELECT WitnessLoops</v>
      </c>
      <c r="C125" s="3" t="s">
        <v>9772</v>
      </c>
      <c r="D125" s="3" t="s">
        <v>4140</v>
      </c>
      <c r="E125" s="3" t="s">
        <v>9777</v>
      </c>
      <c r="F125" s="3" t="s">
        <v>168</v>
      </c>
      <c r="G125" s="3" t="s">
        <v>168</v>
      </c>
      <c r="H125" s="3" t="s">
        <v>9853</v>
      </c>
      <c r="I125" s="3" t="b">
        <v>0</v>
      </c>
      <c r="J125" s="4" t="b">
        <f>OR(((E125 = "INSERT")=TRUE), ((E125 = "UPDATE")=TRUE), ((E125 = "DELETE")=TRUE), ((E125 = "ALL")=TRUE))</f>
        <v>0</v>
      </c>
      <c r="K125" s="4" t="b">
        <f>F125 = ""</f>
        <v>1</v>
      </c>
      <c r="L125" s="4" t="b">
        <f>_xlfn.IFNA(IF(((INDEX(AccessPrincipals!G2:G13, MATCH(C125,AccessPrincipals!A2:A13, 0))="")=TRUE),  "",  INDEX(AccessPrincipals!G2:G13, MATCH(C125,AccessPrincipals!A2:A13, 0))), "")</f>
        <v>1</v>
      </c>
      <c r="M125" s="4" t="b">
        <f>AND(((K125)=TRUE), ((NOT(((L125)=TRUE)))=TRUE))</f>
        <v>0</v>
      </c>
      <c r="N125" s="4" t="b">
        <f>AND(((J125)=TRUE), ((O125 = 0)=TRUE))</f>
        <v>0</v>
      </c>
      <c r="O125" s="4">
        <f>COUNTIFS(AccessDenialTests!C2:C18, A125)</f>
        <v>0</v>
      </c>
      <c r="P125" s="3" t="s">
        <v>9779</v>
      </c>
    </row>
    <row r="126">
      <c r="A126" s="3" t="s">
        <v>9923</v>
      </c>
      <c r="B126" s="4" t="str">
        <f>C126 &amp; " " &amp; E126 &amp; " " &amp; D126</f>
        <v>principal-knowledge-authority SELECT Actions</v>
      </c>
      <c r="C126" s="3" t="s">
        <v>9774</v>
      </c>
      <c r="D126" s="3" t="s">
        <v>1796</v>
      </c>
      <c r="E126" s="3" t="s">
        <v>9777</v>
      </c>
      <c r="F126" s="3" t="s">
        <v>168</v>
      </c>
      <c r="G126" s="3" t="s">
        <v>168</v>
      </c>
      <c r="H126" s="3" t="s">
        <v>9853</v>
      </c>
      <c r="I126" s="3" t="b">
        <v>0</v>
      </c>
      <c r="J126" s="4" t="b">
        <f>OR(((E126 = "INSERT")=TRUE), ((E126 = "UPDATE")=TRUE), ((E126 = "DELETE")=TRUE), ((E126 = "ALL")=TRUE))</f>
        <v>0</v>
      </c>
      <c r="K126" s="4" t="b">
        <f>F126 = ""</f>
        <v>1</v>
      </c>
      <c r="L126" s="4" t="b">
        <f>_xlfn.IFNA(IF(((INDEX(AccessPrincipals!G2:G13, MATCH(C126,AccessPrincipals!A2:A13, 0))="")=TRUE),  "",  INDEX(AccessPrincipals!G2:G13, MATCH(C126,AccessPrincipals!A2:A13, 0))), "")</f>
        <v>1</v>
      </c>
      <c r="M126" s="4" t="b">
        <f>AND(((K126)=TRUE), ((NOT(((L126)=TRUE)))=TRUE))</f>
        <v>0</v>
      </c>
      <c r="N126" s="4" t="b">
        <f>AND(((J126)=TRUE), ((O126 = 0)=TRUE))</f>
        <v>0</v>
      </c>
      <c r="O126" s="4">
        <f>COUNTIFS(AccessDenialTests!C2:C18, A126)</f>
        <v>0</v>
      </c>
      <c r="P126" s="3" t="s">
        <v>9779</v>
      </c>
    </row>
    <row r="127">
      <c r="A127" s="3" t="s">
        <v>9924</v>
      </c>
      <c r="B127" s="4" t="str">
        <f>C127 &amp; " " &amp; E127 &amp; " " &amp; D127</f>
        <v>principal-knowledge-authority SELECT AgentDecisionRecords</v>
      </c>
      <c r="C127" s="3" t="s">
        <v>9774</v>
      </c>
      <c r="D127" s="3" t="s">
        <v>4994</v>
      </c>
      <c r="E127" s="3" t="s">
        <v>9777</v>
      </c>
      <c r="F127" s="3" t="s">
        <v>168</v>
      </c>
      <c r="G127" s="3" t="s">
        <v>168</v>
      </c>
      <c r="H127" s="3" t="s">
        <v>9853</v>
      </c>
      <c r="I127" s="3" t="b">
        <v>0</v>
      </c>
      <c r="J127" s="4" t="b">
        <f>OR(((E127 = "INSERT")=TRUE), ((E127 = "UPDATE")=TRUE), ((E127 = "DELETE")=TRUE), ((E127 = "ALL")=TRUE))</f>
        <v>0</v>
      </c>
      <c r="K127" s="4" t="b">
        <f>F127 = ""</f>
        <v>1</v>
      </c>
      <c r="L127" s="4" t="b">
        <f>_xlfn.IFNA(IF(((INDEX(AccessPrincipals!G2:G13, MATCH(C127,AccessPrincipals!A2:A13, 0))="")=TRUE),  "",  INDEX(AccessPrincipals!G2:G13, MATCH(C127,AccessPrincipals!A2:A13, 0))), "")</f>
        <v>1</v>
      </c>
      <c r="M127" s="4" t="b">
        <f>AND(((K127)=TRUE), ((NOT(((L127)=TRUE)))=TRUE))</f>
        <v>0</v>
      </c>
      <c r="N127" s="4" t="b">
        <f>AND(((J127)=TRUE), ((O127 = 0)=TRUE))</f>
        <v>0</v>
      </c>
      <c r="O127" s="4">
        <f>COUNTIFS(AccessDenialTests!C2:C18, A127)</f>
        <v>0</v>
      </c>
      <c r="P127" s="3" t="s">
        <v>9779</v>
      </c>
    </row>
    <row r="128">
      <c r="A128" s="3" t="s">
        <v>9925</v>
      </c>
      <c r="B128" s="4" t="str">
        <f>C128 &amp; " " &amp; E128 &amp; " " &amp; D128</f>
        <v>principal-knowledge-authority SELECT Agents</v>
      </c>
      <c r="C128" s="3" t="s">
        <v>9774</v>
      </c>
      <c r="D128" s="3" t="s">
        <v>1814</v>
      </c>
      <c r="E128" s="3" t="s">
        <v>9777</v>
      </c>
      <c r="F128" s="3" t="s">
        <v>168</v>
      </c>
      <c r="G128" s="3" t="s">
        <v>168</v>
      </c>
      <c r="H128" s="3" t="s">
        <v>9853</v>
      </c>
      <c r="I128" s="3" t="b">
        <v>0</v>
      </c>
      <c r="J128" s="4" t="b">
        <f>OR(((E128 = "INSERT")=TRUE), ((E128 = "UPDATE")=TRUE), ((E128 = "DELETE")=TRUE), ((E128 = "ALL")=TRUE))</f>
        <v>0</v>
      </c>
      <c r="K128" s="4" t="b">
        <f>F128 = ""</f>
        <v>1</v>
      </c>
      <c r="L128" s="4" t="b">
        <f>_xlfn.IFNA(IF(((INDEX(AccessPrincipals!G2:G13, MATCH(C128,AccessPrincipals!A2:A13, 0))="")=TRUE),  "",  INDEX(AccessPrincipals!G2:G13, MATCH(C128,AccessPrincipals!A2:A13, 0))), "")</f>
        <v>1</v>
      </c>
      <c r="M128" s="4" t="b">
        <f>AND(((K128)=TRUE), ((NOT(((L128)=TRUE)))=TRUE))</f>
        <v>0</v>
      </c>
      <c r="N128" s="4" t="b">
        <f>AND(((J128)=TRUE), ((O128 = 0)=TRUE))</f>
        <v>0</v>
      </c>
      <c r="O128" s="4">
        <f>COUNTIFS(AccessDenialTests!C2:C18, A128)</f>
        <v>0</v>
      </c>
      <c r="P128" s="3" t="s">
        <v>9779</v>
      </c>
    </row>
    <row r="129">
      <c r="A129" s="3" t="s">
        <v>9926</v>
      </c>
      <c r="B129" s="4" t="str">
        <f>C129 &amp; " " &amp; E129 &amp; " " &amp; D129</f>
        <v>principal-knowledge-authority SELECT AppNavGroups</v>
      </c>
      <c r="C129" s="3" t="s">
        <v>9774</v>
      </c>
      <c r="D129" s="3" t="s">
        <v>1873</v>
      </c>
      <c r="E129" s="3" t="s">
        <v>9777</v>
      </c>
      <c r="F129" s="3" t="s">
        <v>168</v>
      </c>
      <c r="G129" s="3" t="s">
        <v>168</v>
      </c>
      <c r="H129" s="3" t="s">
        <v>9853</v>
      </c>
      <c r="I129" s="3" t="b">
        <v>0</v>
      </c>
      <c r="J129" s="4" t="b">
        <f>OR(((E129 = "INSERT")=TRUE), ((E129 = "UPDATE")=TRUE), ((E129 = "DELETE")=TRUE), ((E129 = "ALL")=TRUE))</f>
        <v>0</v>
      </c>
      <c r="K129" s="4" t="b">
        <f>F129 = ""</f>
        <v>1</v>
      </c>
      <c r="L129" s="4" t="b">
        <f>_xlfn.IFNA(IF(((INDEX(AccessPrincipals!G2:G13, MATCH(C129,AccessPrincipals!A2:A13, 0))="")=TRUE),  "",  INDEX(AccessPrincipals!G2:G13, MATCH(C129,AccessPrincipals!A2:A13, 0))), "")</f>
        <v>1</v>
      </c>
      <c r="M129" s="4" t="b">
        <f>AND(((K129)=TRUE), ((NOT(((L129)=TRUE)))=TRUE))</f>
        <v>0</v>
      </c>
      <c r="N129" s="4" t="b">
        <f>AND(((J129)=TRUE), ((O129 = 0)=TRUE))</f>
        <v>0</v>
      </c>
      <c r="O129" s="4">
        <f>COUNTIFS(AccessDenialTests!C2:C18, A129)</f>
        <v>0</v>
      </c>
      <c r="P129" s="3" t="s">
        <v>9779</v>
      </c>
    </row>
    <row r="130">
      <c r="A130" s="3" t="s">
        <v>9927</v>
      </c>
      <c r="B130" s="4" t="str">
        <f>C130 &amp; " " &amp; E130 &amp; " " &amp; D130</f>
        <v>principal-knowledge-authority SELECT AppRoleProfiles</v>
      </c>
      <c r="C130" s="3" t="s">
        <v>9774</v>
      </c>
      <c r="D130" s="3" t="s">
        <v>1869</v>
      </c>
      <c r="E130" s="3" t="s">
        <v>9777</v>
      </c>
      <c r="F130" s="3" t="s">
        <v>168</v>
      </c>
      <c r="G130" s="3" t="s">
        <v>168</v>
      </c>
      <c r="H130" s="3" t="s">
        <v>9853</v>
      </c>
      <c r="I130" s="3" t="b">
        <v>0</v>
      </c>
      <c r="J130" s="4" t="b">
        <f>OR(((E130 = "INSERT")=TRUE), ((E130 = "UPDATE")=TRUE), ((E130 = "DELETE")=TRUE), ((E130 = "ALL")=TRUE))</f>
        <v>0</v>
      </c>
      <c r="K130" s="4" t="b">
        <f>F130 = ""</f>
        <v>1</v>
      </c>
      <c r="L130" s="4" t="b">
        <f>_xlfn.IFNA(IF(((INDEX(AccessPrincipals!G2:G13, MATCH(C130,AccessPrincipals!A2:A13, 0))="")=TRUE),  "",  INDEX(AccessPrincipals!G2:G13, MATCH(C130,AccessPrincipals!A2:A13, 0))), "")</f>
        <v>1</v>
      </c>
      <c r="M130" s="4" t="b">
        <f>AND(((K130)=TRUE), ((NOT(((L130)=TRUE)))=TRUE))</f>
        <v>0</v>
      </c>
      <c r="N130" s="4" t="b">
        <f>AND(((J130)=TRUE), ((O130 = 0)=TRUE))</f>
        <v>0</v>
      </c>
      <c r="O130" s="4">
        <f>COUNTIFS(AccessDenialTests!C2:C18, A130)</f>
        <v>0</v>
      </c>
      <c r="P130" s="3" t="s">
        <v>9779</v>
      </c>
    </row>
    <row r="131">
      <c r="A131" s="3" t="s">
        <v>9928</v>
      </c>
      <c r="B131" s="4" t="str">
        <f>C131 &amp; " " &amp; E131 &amp; " " &amp; D131</f>
        <v>principal-knowledge-authority SELECT AppRouteQuestions</v>
      </c>
      <c r="C131" s="3" t="s">
        <v>9774</v>
      </c>
      <c r="D131" s="3" t="s">
        <v>1881</v>
      </c>
      <c r="E131" s="3" t="s">
        <v>9777</v>
      </c>
      <c r="F131" s="3" t="s">
        <v>168</v>
      </c>
      <c r="G131" s="3" t="s">
        <v>168</v>
      </c>
      <c r="H131" s="3" t="s">
        <v>9853</v>
      </c>
      <c r="I131" s="3" t="b">
        <v>0</v>
      </c>
      <c r="J131" s="4" t="b">
        <f>OR(((E131 = "INSERT")=TRUE), ((E131 = "UPDATE")=TRUE), ((E131 = "DELETE")=TRUE), ((E131 = "ALL")=TRUE))</f>
        <v>0</v>
      </c>
      <c r="K131" s="4" t="b">
        <f>F131 = ""</f>
        <v>1</v>
      </c>
      <c r="L131" s="4" t="b">
        <f>_xlfn.IFNA(IF(((INDEX(AccessPrincipals!G2:G13, MATCH(C131,AccessPrincipals!A2:A13, 0))="")=TRUE),  "",  INDEX(AccessPrincipals!G2:G13, MATCH(C131,AccessPrincipals!A2:A13, 0))), "")</f>
        <v>1</v>
      </c>
      <c r="M131" s="4" t="b">
        <f>AND(((K131)=TRUE), ((NOT(((L131)=TRUE)))=TRUE))</f>
        <v>0</v>
      </c>
      <c r="N131" s="4" t="b">
        <f>AND(((J131)=TRUE), ((O131 = 0)=TRUE))</f>
        <v>0</v>
      </c>
      <c r="O131" s="4">
        <f>COUNTIFS(AccessDenialTests!C2:C18, A131)</f>
        <v>0</v>
      </c>
      <c r="P131" s="3" t="s">
        <v>9779</v>
      </c>
    </row>
    <row r="132">
      <c r="A132" s="3" t="s">
        <v>9929</v>
      </c>
      <c r="B132" s="4" t="str">
        <f>C132 &amp; " " &amp; E132 &amp; " " &amp; D132</f>
        <v>principal-knowledge-authority SELECT AppRouteReferences</v>
      </c>
      <c r="C132" s="3" t="s">
        <v>9774</v>
      </c>
      <c r="D132" s="3" t="s">
        <v>1885</v>
      </c>
      <c r="E132" s="3" t="s">
        <v>9777</v>
      </c>
      <c r="F132" s="3" t="s">
        <v>168</v>
      </c>
      <c r="G132" s="3" t="s">
        <v>168</v>
      </c>
      <c r="H132" s="3" t="s">
        <v>9853</v>
      </c>
      <c r="I132" s="3" t="b">
        <v>0</v>
      </c>
      <c r="J132" s="4" t="b">
        <f>OR(((E132 = "INSERT")=TRUE), ((E132 = "UPDATE")=TRUE), ((E132 = "DELETE")=TRUE), ((E132 = "ALL")=TRUE))</f>
        <v>0</v>
      </c>
      <c r="K132" s="4" t="b">
        <f>F132 = ""</f>
        <v>1</v>
      </c>
      <c r="L132" s="4" t="b">
        <f>_xlfn.IFNA(IF(((INDEX(AccessPrincipals!G2:G13, MATCH(C132,AccessPrincipals!A2:A13, 0))="")=TRUE),  "",  INDEX(AccessPrincipals!G2:G13, MATCH(C132,AccessPrincipals!A2:A13, 0))), "")</f>
        <v>1</v>
      </c>
      <c r="M132" s="4" t="b">
        <f>AND(((K132)=TRUE), ((NOT(((L132)=TRUE)))=TRUE))</f>
        <v>0</v>
      </c>
      <c r="N132" s="4" t="b">
        <f>AND(((J132)=TRUE), ((O132 = 0)=TRUE))</f>
        <v>0</v>
      </c>
      <c r="O132" s="4">
        <f>COUNTIFS(AccessDenialTests!C2:C18, A132)</f>
        <v>0</v>
      </c>
      <c r="P132" s="3" t="s">
        <v>9779</v>
      </c>
    </row>
    <row r="133">
      <c r="A133" s="3" t="s">
        <v>9930</v>
      </c>
      <c r="B133" s="4" t="str">
        <f>C133 &amp; " " &amp; E133 &amp; " " &amp; D133</f>
        <v>principal-knowledge-authority SELECT AppRoutes</v>
      </c>
      <c r="C133" s="3" t="s">
        <v>9774</v>
      </c>
      <c r="D133" s="3" t="s">
        <v>1877</v>
      </c>
      <c r="E133" s="3" t="s">
        <v>9777</v>
      </c>
      <c r="F133" s="3" t="s">
        <v>168</v>
      </c>
      <c r="G133" s="3" t="s">
        <v>168</v>
      </c>
      <c r="H133" s="3" t="s">
        <v>9853</v>
      </c>
      <c r="I133" s="3" t="b">
        <v>0</v>
      </c>
      <c r="J133" s="4" t="b">
        <f>OR(((E133 = "INSERT")=TRUE), ((E133 = "UPDATE")=TRUE), ((E133 = "DELETE")=TRUE), ((E133 = "ALL")=TRUE))</f>
        <v>0</v>
      </c>
      <c r="K133" s="4" t="b">
        <f>F133 = ""</f>
        <v>1</v>
      </c>
      <c r="L133" s="4" t="b">
        <f>_xlfn.IFNA(IF(((INDEX(AccessPrincipals!G2:G13, MATCH(C133,AccessPrincipals!A2:A13, 0))="")=TRUE),  "",  INDEX(AccessPrincipals!G2:G13, MATCH(C133,AccessPrincipals!A2:A13, 0))), "")</f>
        <v>1</v>
      </c>
      <c r="M133" s="4" t="b">
        <f>AND(((K133)=TRUE), ((NOT(((L133)=TRUE)))=TRUE))</f>
        <v>0</v>
      </c>
      <c r="N133" s="4" t="b">
        <f>AND(((J133)=TRUE), ((O133 = 0)=TRUE))</f>
        <v>0</v>
      </c>
      <c r="O133" s="4">
        <f>COUNTIFS(AccessDenialTests!C2:C18, A133)</f>
        <v>0</v>
      </c>
      <c r="P133" s="3" t="s">
        <v>9779</v>
      </c>
    </row>
    <row r="134">
      <c r="A134" s="3" t="s">
        <v>9931</v>
      </c>
      <c r="B134" s="4" t="str">
        <f>C134 &amp; " " &amp; E134 &amp; " " &amp; D134</f>
        <v>principal-knowledge-authority SELECT Attestations</v>
      </c>
      <c r="C134" s="3" t="s">
        <v>9774</v>
      </c>
      <c r="D134" s="3" t="s">
        <v>5235</v>
      </c>
      <c r="E134" s="3" t="s">
        <v>9777</v>
      </c>
      <c r="F134" s="3" t="s">
        <v>168</v>
      </c>
      <c r="G134" s="3" t="s">
        <v>168</v>
      </c>
      <c r="H134" s="3" t="s">
        <v>9853</v>
      </c>
      <c r="I134" s="3" t="b">
        <v>0</v>
      </c>
      <c r="J134" s="4" t="b">
        <f>OR(((E134 = "INSERT")=TRUE), ((E134 = "UPDATE")=TRUE), ((E134 = "DELETE")=TRUE), ((E134 = "ALL")=TRUE))</f>
        <v>0</v>
      </c>
      <c r="K134" s="4" t="b">
        <f>F134 = ""</f>
        <v>1</v>
      </c>
      <c r="L134" s="4" t="b">
        <f>_xlfn.IFNA(IF(((INDEX(AccessPrincipals!G2:G13, MATCH(C134,AccessPrincipals!A2:A13, 0))="")=TRUE),  "",  INDEX(AccessPrincipals!G2:G13, MATCH(C134,AccessPrincipals!A2:A13, 0))), "")</f>
        <v>1</v>
      </c>
      <c r="M134" s="4" t="b">
        <f>AND(((K134)=TRUE), ((NOT(((L134)=TRUE)))=TRUE))</f>
        <v>0</v>
      </c>
      <c r="N134" s="4" t="b">
        <f>AND(((J134)=TRUE), ((O134 = 0)=TRUE))</f>
        <v>0</v>
      </c>
      <c r="O134" s="4">
        <f>COUNTIFS(AccessDenialTests!C2:C18, A134)</f>
        <v>0</v>
      </c>
      <c r="P134" s="3" t="s">
        <v>9779</v>
      </c>
    </row>
    <row r="135">
      <c r="A135" s="3" t="s">
        <v>9932</v>
      </c>
      <c r="B135" s="4" t="str">
        <f>C135 &amp; " " &amp; E135 &amp; " " &amp; D135</f>
        <v>principal-knowledge-authority SELECT AuthorityBoundaries</v>
      </c>
      <c r="C135" s="3" t="s">
        <v>9774</v>
      </c>
      <c r="D135" s="3" t="s">
        <v>5131</v>
      </c>
      <c r="E135" s="3" t="s">
        <v>9777</v>
      </c>
      <c r="F135" s="3" t="s">
        <v>168</v>
      </c>
      <c r="G135" s="3" t="s">
        <v>168</v>
      </c>
      <c r="H135" s="3" t="s">
        <v>9853</v>
      </c>
      <c r="I135" s="3" t="b">
        <v>0</v>
      </c>
      <c r="J135" s="4" t="b">
        <f>OR(((E135 = "INSERT")=TRUE), ((E135 = "UPDATE")=TRUE), ((E135 = "DELETE")=TRUE), ((E135 = "ALL")=TRUE))</f>
        <v>0</v>
      </c>
      <c r="K135" s="4" t="b">
        <f>F135 = ""</f>
        <v>1</v>
      </c>
      <c r="L135" s="4" t="b">
        <f>_xlfn.IFNA(IF(((INDEX(AccessPrincipals!G2:G13, MATCH(C135,AccessPrincipals!A2:A13, 0))="")=TRUE),  "",  INDEX(AccessPrincipals!G2:G13, MATCH(C135,AccessPrincipals!A2:A13, 0))), "")</f>
        <v>1</v>
      </c>
      <c r="M135" s="4" t="b">
        <f>AND(((K135)=TRUE), ((NOT(((L135)=TRUE)))=TRUE))</f>
        <v>0</v>
      </c>
      <c r="N135" s="4" t="b">
        <f>AND(((J135)=TRUE), ((O135 = 0)=TRUE))</f>
        <v>0</v>
      </c>
      <c r="O135" s="4">
        <f>COUNTIFS(AccessDenialTests!C2:C18, A135)</f>
        <v>0</v>
      </c>
      <c r="P135" s="3" t="s">
        <v>9779</v>
      </c>
    </row>
    <row r="136">
      <c r="A136" s="3" t="s">
        <v>9933</v>
      </c>
      <c r="B136" s="4" t="str">
        <f>C136 &amp; " " &amp; E136 &amp; " " &amp; D136</f>
        <v>principal-knowledge-authority SELECT BindingObservations</v>
      </c>
      <c r="C136" s="3" t="s">
        <v>9774</v>
      </c>
      <c r="D136" s="3" t="s">
        <v>5208</v>
      </c>
      <c r="E136" s="3" t="s">
        <v>9777</v>
      </c>
      <c r="F136" s="3" t="s">
        <v>168</v>
      </c>
      <c r="G136" s="3" t="s">
        <v>168</v>
      </c>
      <c r="H136" s="3" t="s">
        <v>9853</v>
      </c>
      <c r="I136" s="3" t="b">
        <v>0</v>
      </c>
      <c r="J136" s="4" t="b">
        <f>OR(((E136 = "INSERT")=TRUE), ((E136 = "UPDATE")=TRUE), ((E136 = "DELETE")=TRUE), ((E136 = "ALL")=TRUE))</f>
        <v>0</v>
      </c>
      <c r="K136" s="4" t="b">
        <f>F136 = ""</f>
        <v>1</v>
      </c>
      <c r="L136" s="4" t="b">
        <f>_xlfn.IFNA(IF(((INDEX(AccessPrincipals!G2:G13, MATCH(C136,AccessPrincipals!A2:A13, 0))="")=TRUE),  "",  INDEX(AccessPrincipals!G2:G13, MATCH(C136,AccessPrincipals!A2:A13, 0))), "")</f>
        <v>1</v>
      </c>
      <c r="M136" s="4" t="b">
        <f>AND(((K136)=TRUE), ((NOT(((L136)=TRUE)))=TRUE))</f>
        <v>0</v>
      </c>
      <c r="N136" s="4" t="b">
        <f>AND(((J136)=TRUE), ((O136 = 0)=TRUE))</f>
        <v>0</v>
      </c>
      <c r="O136" s="4">
        <f>COUNTIFS(AccessDenialTests!C2:C18, A136)</f>
        <v>0</v>
      </c>
      <c r="P136" s="3" t="s">
        <v>9779</v>
      </c>
    </row>
    <row r="137">
      <c r="A137" s="3" t="s">
        <v>9934</v>
      </c>
      <c r="B137" s="4" t="str">
        <f>C137 &amp; " " &amp; E137 &amp; " " &amp; D137</f>
        <v>principal-knowledge-authority SELECT ChangeRequests</v>
      </c>
      <c r="C137" s="3" t="s">
        <v>9774</v>
      </c>
      <c r="D137" s="3" t="s">
        <v>3914</v>
      </c>
      <c r="E137" s="3" t="s">
        <v>9777</v>
      </c>
      <c r="F137" s="3" t="s">
        <v>168</v>
      </c>
      <c r="G137" s="3" t="s">
        <v>168</v>
      </c>
      <c r="H137" s="3" t="s">
        <v>9853</v>
      </c>
      <c r="I137" s="3" t="b">
        <v>0</v>
      </c>
      <c r="J137" s="4" t="b">
        <f>OR(((E137 = "INSERT")=TRUE), ((E137 = "UPDATE")=TRUE), ((E137 = "DELETE")=TRUE), ((E137 = "ALL")=TRUE))</f>
        <v>0</v>
      </c>
      <c r="K137" s="4" t="b">
        <f>F137 = ""</f>
        <v>1</v>
      </c>
      <c r="L137" s="4" t="b">
        <f>_xlfn.IFNA(IF(((INDEX(AccessPrincipals!G2:G13, MATCH(C137,AccessPrincipals!A2:A13, 0))="")=TRUE),  "",  INDEX(AccessPrincipals!G2:G13, MATCH(C137,AccessPrincipals!A2:A13, 0))), "")</f>
        <v>1</v>
      </c>
      <c r="M137" s="4" t="b">
        <f>AND(((K137)=TRUE), ((NOT(((L137)=TRUE)))=TRUE))</f>
        <v>0</v>
      </c>
      <c r="N137" s="4" t="b">
        <f>AND(((J137)=TRUE), ((O137 = 0)=TRUE))</f>
        <v>0</v>
      </c>
      <c r="O137" s="4">
        <f>COUNTIFS(AccessDenialTests!C2:C18, A137)</f>
        <v>0</v>
      </c>
      <c r="P137" s="3" t="s">
        <v>9779</v>
      </c>
    </row>
    <row r="138">
      <c r="A138" s="3" t="s">
        <v>9935</v>
      </c>
      <c r="B138" s="4" t="str">
        <f>C138 &amp; " " &amp; E138 &amp; " " &amp; D138</f>
        <v>principal-knowledge-authority SELECT CommunicationPolicies</v>
      </c>
      <c r="C138" s="3" t="s">
        <v>9774</v>
      </c>
      <c r="D138" s="3" t="s">
        <v>1865</v>
      </c>
      <c r="E138" s="3" t="s">
        <v>9777</v>
      </c>
      <c r="F138" s="3" t="s">
        <v>168</v>
      </c>
      <c r="G138" s="3" t="s">
        <v>168</v>
      </c>
      <c r="H138" s="3" t="s">
        <v>9853</v>
      </c>
      <c r="I138" s="3" t="b">
        <v>0</v>
      </c>
      <c r="J138" s="4" t="b">
        <f>OR(((E138 = "INSERT")=TRUE), ((E138 = "UPDATE")=TRUE), ((E138 = "DELETE")=TRUE), ((E138 = "ALL")=TRUE))</f>
        <v>0</v>
      </c>
      <c r="K138" s="4" t="b">
        <f>F138 = ""</f>
        <v>1</v>
      </c>
      <c r="L138" s="4" t="b">
        <f>_xlfn.IFNA(IF(((INDEX(AccessPrincipals!G2:G13, MATCH(C138,AccessPrincipals!A2:A13, 0))="")=TRUE),  "",  INDEX(AccessPrincipals!G2:G13, MATCH(C138,AccessPrincipals!A2:A13, 0))), "")</f>
        <v>1</v>
      </c>
      <c r="M138" s="4" t="b">
        <f>AND(((K138)=TRUE), ((NOT(((L138)=TRUE)))=TRUE))</f>
        <v>0</v>
      </c>
      <c r="N138" s="4" t="b">
        <f>AND(((J138)=TRUE), ((O138 = 0)=TRUE))</f>
        <v>0</v>
      </c>
      <c r="O138" s="4">
        <f>COUNTIFS(AccessDenialTests!C2:C18, A138)</f>
        <v>0</v>
      </c>
      <c r="P138" s="3" t="s">
        <v>9779</v>
      </c>
    </row>
    <row r="139">
      <c r="A139" s="3" t="s">
        <v>9936</v>
      </c>
      <c r="B139" s="4" t="str">
        <f>C139 &amp; " " &amp; E139 &amp; " " &amp; D139</f>
        <v>principal-knowledge-authority SELECT CommunitiesOfPractice</v>
      </c>
      <c r="C139" s="3" t="s">
        <v>9774</v>
      </c>
      <c r="D139" s="3" t="s">
        <v>2655</v>
      </c>
      <c r="E139" s="3" t="s">
        <v>9777</v>
      </c>
      <c r="F139" s="3" t="s">
        <v>168</v>
      </c>
      <c r="G139" s="3" t="s">
        <v>168</v>
      </c>
      <c r="H139" s="3" t="s">
        <v>9853</v>
      </c>
      <c r="I139" s="3" t="b">
        <v>0</v>
      </c>
      <c r="J139" s="4" t="b">
        <f>OR(((E139 = "INSERT")=TRUE), ((E139 = "UPDATE")=TRUE), ((E139 = "DELETE")=TRUE), ((E139 = "ALL")=TRUE))</f>
        <v>0</v>
      </c>
      <c r="K139" s="4" t="b">
        <f>F139 = ""</f>
        <v>1</v>
      </c>
      <c r="L139" s="4" t="b">
        <f>_xlfn.IFNA(IF(((INDEX(AccessPrincipals!G2:G13, MATCH(C139,AccessPrincipals!A2:A13, 0))="")=TRUE),  "",  INDEX(AccessPrincipals!G2:G13, MATCH(C139,AccessPrincipals!A2:A13, 0))), "")</f>
        <v>1</v>
      </c>
      <c r="M139" s="4" t="b">
        <f>AND(((K139)=TRUE), ((NOT(((L139)=TRUE)))=TRUE))</f>
        <v>0</v>
      </c>
      <c r="N139" s="4" t="b">
        <f>AND(((J139)=TRUE), ((O139 = 0)=TRUE))</f>
        <v>0</v>
      </c>
      <c r="O139" s="4">
        <f>COUNTIFS(AccessDenialTests!C2:C18, A139)</f>
        <v>0</v>
      </c>
      <c r="P139" s="3" t="s">
        <v>9779</v>
      </c>
    </row>
    <row r="140">
      <c r="A140" s="3" t="s">
        <v>9937</v>
      </c>
      <c r="B140" s="4" t="str">
        <f>C140 &amp; " " &amp; E140 &amp; " " &amp; D140</f>
        <v>principal-knowledge-authority SELECT DeliveredCommunications</v>
      </c>
      <c r="C140" s="3" t="s">
        <v>9774</v>
      </c>
      <c r="D140" s="3" t="s">
        <v>5095</v>
      </c>
      <c r="E140" s="3" t="s">
        <v>9777</v>
      </c>
      <c r="F140" s="3" t="s">
        <v>168</v>
      </c>
      <c r="G140" s="3" t="s">
        <v>168</v>
      </c>
      <c r="H140" s="3" t="s">
        <v>9853</v>
      </c>
      <c r="I140" s="3" t="b">
        <v>0</v>
      </c>
      <c r="J140" s="4" t="b">
        <f>OR(((E140 = "INSERT")=TRUE), ((E140 = "UPDATE")=TRUE), ((E140 = "DELETE")=TRUE), ((E140 = "ALL")=TRUE))</f>
        <v>0</v>
      </c>
      <c r="K140" s="4" t="b">
        <f>F140 = ""</f>
        <v>1</v>
      </c>
      <c r="L140" s="4" t="b">
        <f>_xlfn.IFNA(IF(((INDEX(AccessPrincipals!G2:G13, MATCH(C140,AccessPrincipals!A2:A13, 0))="")=TRUE),  "",  INDEX(AccessPrincipals!G2:G13, MATCH(C140,AccessPrincipals!A2:A13, 0))), "")</f>
        <v>1</v>
      </c>
      <c r="M140" s="4" t="b">
        <f>AND(((K140)=TRUE), ((NOT(((L140)=TRUE)))=TRUE))</f>
        <v>0</v>
      </c>
      <c r="N140" s="4" t="b">
        <f>AND(((J140)=TRUE), ((O140 = 0)=TRUE))</f>
        <v>0</v>
      </c>
      <c r="O140" s="4">
        <f>COUNTIFS(AccessDenialTests!C2:C18, A140)</f>
        <v>0</v>
      </c>
      <c r="P140" s="3" t="s">
        <v>9779</v>
      </c>
    </row>
    <row r="141">
      <c r="A141" s="3" t="s">
        <v>9938</v>
      </c>
      <c r="B141" s="4" t="str">
        <f>C141 &amp; " " &amp; E141 &amp; " " &amp; D141</f>
        <v>principal-knowledge-authority SELECT ElicitationSessions</v>
      </c>
      <c r="C141" s="3" t="s">
        <v>9774</v>
      </c>
      <c r="D141" s="3" t="s">
        <v>1855</v>
      </c>
      <c r="E141" s="3" t="s">
        <v>9777</v>
      </c>
      <c r="F141" s="3" t="s">
        <v>168</v>
      </c>
      <c r="G141" s="3" t="s">
        <v>168</v>
      </c>
      <c r="H141" s="3" t="s">
        <v>9853</v>
      </c>
      <c r="I141" s="3" t="b">
        <v>0</v>
      </c>
      <c r="J141" s="4" t="b">
        <f>OR(((E141 = "INSERT")=TRUE), ((E141 = "UPDATE")=TRUE), ((E141 = "DELETE")=TRUE), ((E141 = "ALL")=TRUE))</f>
        <v>0</v>
      </c>
      <c r="K141" s="4" t="b">
        <f>F141 = ""</f>
        <v>1</v>
      </c>
      <c r="L141" s="4" t="b">
        <f>_xlfn.IFNA(IF(((INDEX(AccessPrincipals!G2:G13, MATCH(C141,AccessPrincipals!A2:A13, 0))="")=TRUE),  "",  INDEX(AccessPrincipals!G2:G13, MATCH(C141,AccessPrincipals!A2:A13, 0))), "")</f>
        <v>1</v>
      </c>
      <c r="M141" s="4" t="b">
        <f>AND(((K141)=TRUE), ((NOT(((L141)=TRUE)))=TRUE))</f>
        <v>0</v>
      </c>
      <c r="N141" s="4" t="b">
        <f>AND(((J141)=TRUE), ((O141 = 0)=TRUE))</f>
        <v>0</v>
      </c>
      <c r="O141" s="4">
        <f>COUNTIFS(AccessDenialTests!C2:C18, A141)</f>
        <v>0</v>
      </c>
      <c r="P141" s="3" t="s">
        <v>9779</v>
      </c>
    </row>
    <row r="142">
      <c r="A142" s="3" t="s">
        <v>9939</v>
      </c>
      <c r="B142" s="4" t="str">
        <f>C142 &amp; " " &amp; E142 &amp; " " &amp; D142</f>
        <v>principal-knowledge-authority SELECT Errors</v>
      </c>
      <c r="C142" s="3" t="s">
        <v>9774</v>
      </c>
      <c r="D142" s="3" t="s">
        <v>1833</v>
      </c>
      <c r="E142" s="3" t="s">
        <v>9777</v>
      </c>
      <c r="F142" s="3" t="s">
        <v>168</v>
      </c>
      <c r="G142" s="3" t="s">
        <v>168</v>
      </c>
      <c r="H142" s="3" t="s">
        <v>9853</v>
      </c>
      <c r="I142" s="3" t="b">
        <v>0</v>
      </c>
      <c r="J142" s="4" t="b">
        <f>OR(((E142 = "INSERT")=TRUE), ((E142 = "UPDATE")=TRUE), ((E142 = "DELETE")=TRUE), ((E142 = "ALL")=TRUE))</f>
        <v>0</v>
      </c>
      <c r="K142" s="4" t="b">
        <f>F142 = ""</f>
        <v>1</v>
      </c>
      <c r="L142" s="4" t="b">
        <f>_xlfn.IFNA(IF(((INDEX(AccessPrincipals!G2:G13, MATCH(C142,AccessPrincipals!A2:A13, 0))="")=TRUE),  "",  INDEX(AccessPrincipals!G2:G13, MATCH(C142,AccessPrincipals!A2:A13, 0))), "")</f>
        <v>1</v>
      </c>
      <c r="M142" s="4" t="b">
        <f>AND(((K142)=TRUE), ((NOT(((L142)=TRUE)))=TRUE))</f>
        <v>0</v>
      </c>
      <c r="N142" s="4" t="b">
        <f>AND(((J142)=TRUE), ((O142 = 0)=TRUE))</f>
        <v>0</v>
      </c>
      <c r="O142" s="4">
        <f>COUNTIFS(AccessDenialTests!C2:C18, A142)</f>
        <v>0</v>
      </c>
      <c r="P142" s="3" t="s">
        <v>9779</v>
      </c>
    </row>
    <row r="143">
      <c r="A143" s="3" t="s">
        <v>9940</v>
      </c>
      <c r="B143" s="4" t="str">
        <f>C143 &amp; " " &amp; E143 &amp; " " &amp; D143</f>
        <v>principal-knowledge-authority SELECT EvaluationContexts</v>
      </c>
      <c r="C143" s="3" t="s">
        <v>9774</v>
      </c>
      <c r="D143" s="3" t="s">
        <v>2444</v>
      </c>
      <c r="E143" s="3" t="s">
        <v>9777</v>
      </c>
      <c r="F143" s="3" t="s">
        <v>168</v>
      </c>
      <c r="G143" s="3" t="s">
        <v>168</v>
      </c>
      <c r="H143" s="3" t="s">
        <v>9853</v>
      </c>
      <c r="I143" s="3" t="b">
        <v>0</v>
      </c>
      <c r="J143" s="4" t="b">
        <f>OR(((E143 = "INSERT")=TRUE), ((E143 = "UPDATE")=TRUE), ((E143 = "DELETE")=TRUE), ((E143 = "ALL")=TRUE))</f>
        <v>0</v>
      </c>
      <c r="K143" s="4" t="b">
        <f>F143 = ""</f>
        <v>1</v>
      </c>
      <c r="L143" s="4" t="b">
        <f>_xlfn.IFNA(IF(((INDEX(AccessPrincipals!G2:G13, MATCH(C143,AccessPrincipals!A2:A13, 0))="")=TRUE),  "",  INDEX(AccessPrincipals!G2:G13, MATCH(C143,AccessPrincipals!A2:A13, 0))), "")</f>
        <v>1</v>
      </c>
      <c r="M143" s="4" t="b">
        <f>AND(((K143)=TRUE), ((NOT(((L143)=TRUE)))=TRUE))</f>
        <v>0</v>
      </c>
      <c r="N143" s="4" t="b">
        <f>AND(((J143)=TRUE), ((O143 = 0)=TRUE))</f>
        <v>0</v>
      </c>
      <c r="O143" s="4">
        <f>COUNTIFS(AccessDenialTests!C2:C18, A143)</f>
        <v>0</v>
      </c>
      <c r="P143" s="3" t="s">
        <v>9779</v>
      </c>
    </row>
    <row r="144">
      <c r="A144" s="3" t="s">
        <v>9941</v>
      </c>
      <c r="B144" s="4" t="str">
        <f>C144 &amp; " " &amp; E144 &amp; " " &amp; D144</f>
        <v>principal-knowledge-authority SELECT ExceptionInvocations</v>
      </c>
      <c r="C144" s="3" t="s">
        <v>9774</v>
      </c>
      <c r="D144" s="3" t="s">
        <v>4287</v>
      </c>
      <c r="E144" s="3" t="s">
        <v>9777</v>
      </c>
      <c r="F144" s="3" t="s">
        <v>168</v>
      </c>
      <c r="G144" s="3" t="s">
        <v>168</v>
      </c>
      <c r="H144" s="3" t="s">
        <v>9853</v>
      </c>
      <c r="I144" s="3" t="b">
        <v>0</v>
      </c>
      <c r="J144" s="4" t="b">
        <f>OR(((E144 = "INSERT")=TRUE), ((E144 = "UPDATE")=TRUE), ((E144 = "DELETE")=TRUE), ((E144 = "ALL")=TRUE))</f>
        <v>0</v>
      </c>
      <c r="K144" s="4" t="b">
        <f>F144 = ""</f>
        <v>1</v>
      </c>
      <c r="L144" s="4" t="b">
        <f>_xlfn.IFNA(IF(((INDEX(AccessPrincipals!G2:G13, MATCH(C144,AccessPrincipals!A2:A13, 0))="")=TRUE),  "",  INDEX(AccessPrincipals!G2:G13, MATCH(C144,AccessPrincipals!A2:A13, 0))), "")</f>
        <v>1</v>
      </c>
      <c r="M144" s="4" t="b">
        <f>AND(((K144)=TRUE), ((NOT(((L144)=TRUE)))=TRUE))</f>
        <v>0</v>
      </c>
      <c r="N144" s="4" t="b">
        <f>AND(((J144)=TRUE), ((O144 = 0)=TRUE))</f>
        <v>0</v>
      </c>
      <c r="O144" s="4">
        <f>COUNTIFS(AccessDenialTests!C2:C18, A144)</f>
        <v>0</v>
      </c>
      <c r="P144" s="3" t="s">
        <v>9779</v>
      </c>
    </row>
    <row r="145">
      <c r="A145" s="3" t="s">
        <v>9942</v>
      </c>
      <c r="B145" s="4" t="str">
        <f>C145 &amp; " " &amp; E145 &amp; " " &amp; D145</f>
        <v>principal-knowledge-authority SELECT Exceptions</v>
      </c>
      <c r="C145" s="3" t="s">
        <v>9774</v>
      </c>
      <c r="D145" s="3" t="s">
        <v>3161</v>
      </c>
      <c r="E145" s="3" t="s">
        <v>9777</v>
      </c>
      <c r="F145" s="3" t="s">
        <v>168</v>
      </c>
      <c r="G145" s="3" t="s">
        <v>168</v>
      </c>
      <c r="H145" s="3" t="s">
        <v>9853</v>
      </c>
      <c r="I145" s="3" t="b">
        <v>0</v>
      </c>
      <c r="J145" s="4" t="b">
        <f>OR(((E145 = "INSERT")=TRUE), ((E145 = "UPDATE")=TRUE), ((E145 = "DELETE")=TRUE), ((E145 = "ALL")=TRUE))</f>
        <v>0</v>
      </c>
      <c r="K145" s="4" t="b">
        <f>F145 = ""</f>
        <v>1</v>
      </c>
      <c r="L145" s="4" t="b">
        <f>_xlfn.IFNA(IF(((INDEX(AccessPrincipals!G2:G13, MATCH(C145,AccessPrincipals!A2:A13, 0))="")=TRUE),  "",  INDEX(AccessPrincipals!G2:G13, MATCH(C145,AccessPrincipals!A2:A13, 0))), "")</f>
        <v>1</v>
      </c>
      <c r="M145" s="4" t="b">
        <f>AND(((K145)=TRUE), ((NOT(((L145)=TRUE)))=TRUE))</f>
        <v>0</v>
      </c>
      <c r="N145" s="4" t="b">
        <f>AND(((J145)=TRUE), ((O145 = 0)=TRUE))</f>
        <v>0</v>
      </c>
      <c r="O145" s="4">
        <f>COUNTIFS(AccessDenialTests!C2:C18, A145)</f>
        <v>0</v>
      </c>
      <c r="P145" s="3" t="s">
        <v>9779</v>
      </c>
    </row>
    <row r="146">
      <c r="A146" s="3" t="s">
        <v>9943</v>
      </c>
      <c r="B146" s="4" t="str">
        <f>C146 &amp; " " &amp; E146 &amp; " " &amp; D146</f>
        <v>principal-knowledge-authority SELECT Explanations</v>
      </c>
      <c r="C146" s="3" t="s">
        <v>9774</v>
      </c>
      <c r="D146" s="3" t="s">
        <v>1848</v>
      </c>
      <c r="E146" s="3" t="s">
        <v>9777</v>
      </c>
      <c r="F146" s="3" t="s">
        <v>168</v>
      </c>
      <c r="G146" s="3" t="s">
        <v>168</v>
      </c>
      <c r="H146" s="3" t="s">
        <v>9853</v>
      </c>
      <c r="I146" s="3" t="b">
        <v>0</v>
      </c>
      <c r="J146" s="4" t="b">
        <f>OR(((E146 = "INSERT")=TRUE), ((E146 = "UPDATE")=TRUE), ((E146 = "DELETE")=TRUE), ((E146 = "ALL")=TRUE))</f>
        <v>0</v>
      </c>
      <c r="K146" s="4" t="b">
        <f>F146 = ""</f>
        <v>1</v>
      </c>
      <c r="L146" s="4" t="b">
        <f>_xlfn.IFNA(IF(((INDEX(AccessPrincipals!G2:G13, MATCH(C146,AccessPrincipals!A2:A13, 0))="")=TRUE),  "",  INDEX(AccessPrincipals!G2:G13, MATCH(C146,AccessPrincipals!A2:A13, 0))), "")</f>
        <v>1</v>
      </c>
      <c r="M146" s="4" t="b">
        <f>AND(((K146)=TRUE), ((NOT(((L146)=TRUE)))=TRUE))</f>
        <v>0</v>
      </c>
      <c r="N146" s="4" t="b">
        <f>AND(((J146)=TRUE), ((O146 = 0)=TRUE))</f>
        <v>0</v>
      </c>
      <c r="O146" s="4">
        <f>COUNTIFS(AccessDenialTests!C2:C18, A146)</f>
        <v>0</v>
      </c>
      <c r="P146" s="3" t="s">
        <v>9779</v>
      </c>
    </row>
    <row r="147">
      <c r="A147" s="3" t="s">
        <v>9944</v>
      </c>
      <c r="B147" s="4" t="str">
        <f>C147 &amp; " " &amp; E147 &amp; " " &amp; D147</f>
        <v>principal-knowledge-authority SELECT Functions</v>
      </c>
      <c r="C147" s="3" t="s">
        <v>9774</v>
      </c>
      <c r="D147" s="3" t="s">
        <v>1799</v>
      </c>
      <c r="E147" s="3" t="s">
        <v>9777</v>
      </c>
      <c r="F147" s="3" t="s">
        <v>168</v>
      </c>
      <c r="G147" s="3" t="s">
        <v>168</v>
      </c>
      <c r="H147" s="3" t="s">
        <v>9853</v>
      </c>
      <c r="I147" s="3" t="b">
        <v>0</v>
      </c>
      <c r="J147" s="4" t="b">
        <f>OR(((E147 = "INSERT")=TRUE), ((E147 = "UPDATE")=TRUE), ((E147 = "DELETE")=TRUE), ((E147 = "ALL")=TRUE))</f>
        <v>0</v>
      </c>
      <c r="K147" s="4" t="b">
        <f>F147 = ""</f>
        <v>1</v>
      </c>
      <c r="L147" s="4" t="b">
        <f>_xlfn.IFNA(IF(((INDEX(AccessPrincipals!G2:G13, MATCH(C147,AccessPrincipals!A2:A13, 0))="")=TRUE),  "",  INDEX(AccessPrincipals!G2:G13, MATCH(C147,AccessPrincipals!A2:A13, 0))), "")</f>
        <v>1</v>
      </c>
      <c r="M147" s="4" t="b">
        <f>AND(((K147)=TRUE), ((NOT(((L147)=TRUE)))=TRUE))</f>
        <v>0</v>
      </c>
      <c r="N147" s="4" t="b">
        <f>AND(((J147)=TRUE), ((O147 = 0)=TRUE))</f>
        <v>0</v>
      </c>
      <c r="O147" s="4">
        <f>COUNTIFS(AccessDenialTests!C2:C18, A147)</f>
        <v>0</v>
      </c>
      <c r="P147" s="3" t="s">
        <v>9779</v>
      </c>
    </row>
    <row r="148">
      <c r="A148" s="3" t="s">
        <v>9945</v>
      </c>
      <c r="B148" s="4" t="str">
        <f>C148 &amp; " " &amp; E148 &amp; " " &amp; D148</f>
        <v>principal-knowledge-authority SELECT IssueOccurrences</v>
      </c>
      <c r="C148" s="3" t="s">
        <v>9774</v>
      </c>
      <c r="D148" s="3" t="s">
        <v>1836</v>
      </c>
      <c r="E148" s="3" t="s">
        <v>9777</v>
      </c>
      <c r="F148" s="3" t="s">
        <v>168</v>
      </c>
      <c r="G148" s="3" t="s">
        <v>168</v>
      </c>
      <c r="H148" s="3" t="s">
        <v>9853</v>
      </c>
      <c r="I148" s="3" t="b">
        <v>0</v>
      </c>
      <c r="J148" s="4" t="b">
        <f>OR(((E148 = "INSERT")=TRUE), ((E148 = "UPDATE")=TRUE), ((E148 = "DELETE")=TRUE), ((E148 = "ALL")=TRUE))</f>
        <v>0</v>
      </c>
      <c r="K148" s="4" t="b">
        <f>F148 = ""</f>
        <v>1</v>
      </c>
      <c r="L148" s="4" t="b">
        <f>_xlfn.IFNA(IF(((INDEX(AccessPrincipals!G2:G13, MATCH(C148,AccessPrincipals!A2:A13, 0))="")=TRUE),  "",  INDEX(AccessPrincipals!G2:G13, MATCH(C148,AccessPrincipals!A2:A13, 0))), "")</f>
        <v>1</v>
      </c>
      <c r="M148" s="4" t="b">
        <f>AND(((K148)=TRUE), ((NOT(((L148)=TRUE)))=TRUE))</f>
        <v>0</v>
      </c>
      <c r="N148" s="4" t="b">
        <f>AND(((J148)=TRUE), ((O148 = 0)=TRUE))</f>
        <v>0</v>
      </c>
      <c r="O148" s="4">
        <f>COUNTIFS(AccessDenialTests!C2:C18, A148)</f>
        <v>0</v>
      </c>
      <c r="P148" s="3" t="s">
        <v>9779</v>
      </c>
    </row>
    <row r="149">
      <c r="A149" s="3" t="s">
        <v>9946</v>
      </c>
      <c r="B149" s="4" t="str">
        <f>C149 &amp; " " &amp; E149 &amp; " " &amp; D149</f>
        <v>principal-knowledge-authority SELECT KnowledgeFragments</v>
      </c>
      <c r="C149" s="3" t="s">
        <v>9774</v>
      </c>
      <c r="D149" s="3" t="s">
        <v>1851</v>
      </c>
      <c r="E149" s="3" t="s">
        <v>9777</v>
      </c>
      <c r="F149" s="3" t="s">
        <v>168</v>
      </c>
      <c r="G149" s="3" t="s">
        <v>168</v>
      </c>
      <c r="H149" s="3" t="s">
        <v>9853</v>
      </c>
      <c r="I149" s="3" t="b">
        <v>0</v>
      </c>
      <c r="J149" s="4" t="b">
        <f>OR(((E149 = "INSERT")=TRUE), ((E149 = "UPDATE")=TRUE), ((E149 = "DELETE")=TRUE), ((E149 = "ALL")=TRUE))</f>
        <v>0</v>
      </c>
      <c r="K149" s="4" t="b">
        <f>F149 = ""</f>
        <v>1</v>
      </c>
      <c r="L149" s="4" t="b">
        <f>_xlfn.IFNA(IF(((INDEX(AccessPrincipals!G2:G13, MATCH(C149,AccessPrincipals!A2:A13, 0))="")=TRUE),  "",  INDEX(AccessPrincipals!G2:G13, MATCH(C149,AccessPrincipals!A2:A13, 0))), "")</f>
        <v>1</v>
      </c>
      <c r="M149" s="4" t="b">
        <f>AND(((K149)=TRUE), ((NOT(((L149)=TRUE)))=TRUE))</f>
        <v>0</v>
      </c>
      <c r="N149" s="4" t="b">
        <f>AND(((J149)=TRUE), ((O149 = 0)=TRUE))</f>
        <v>0</v>
      </c>
      <c r="O149" s="4">
        <f>COUNTIFS(AccessDenialTests!C2:C18, A149)</f>
        <v>0</v>
      </c>
      <c r="P149" s="3" t="s">
        <v>9779</v>
      </c>
    </row>
    <row r="150">
      <c r="A150" s="3" t="s">
        <v>9947</v>
      </c>
      <c r="B150" s="4" t="str">
        <f>C150 &amp; " " &amp; E150 &amp; " " &amp; D150</f>
        <v>principal-knowledge-authority SELECT KnowledgeGaps</v>
      </c>
      <c r="C150" s="3" t="s">
        <v>9774</v>
      </c>
      <c r="D150" s="3" t="s">
        <v>3368</v>
      </c>
      <c r="E150" s="3" t="s">
        <v>9777</v>
      </c>
      <c r="F150" s="3" t="s">
        <v>168</v>
      </c>
      <c r="G150" s="3" t="s">
        <v>168</v>
      </c>
      <c r="H150" s="3" t="s">
        <v>9853</v>
      </c>
      <c r="I150" s="3" t="b">
        <v>0</v>
      </c>
      <c r="J150" s="4" t="b">
        <f>OR(((E150 = "INSERT")=TRUE), ((E150 = "UPDATE")=TRUE), ((E150 = "DELETE")=TRUE), ((E150 = "ALL")=TRUE))</f>
        <v>0</v>
      </c>
      <c r="K150" s="4" t="b">
        <f>F150 = ""</f>
        <v>1</v>
      </c>
      <c r="L150" s="4" t="b">
        <f>_xlfn.IFNA(IF(((INDEX(AccessPrincipals!G2:G13, MATCH(C150,AccessPrincipals!A2:A13, 0))="")=TRUE),  "",  INDEX(AccessPrincipals!G2:G13, MATCH(C150,AccessPrincipals!A2:A13, 0))), "")</f>
        <v>1</v>
      </c>
      <c r="M150" s="4" t="b">
        <f>AND(((K150)=TRUE), ((NOT(((L150)=TRUE)))=TRUE))</f>
        <v>0</v>
      </c>
      <c r="N150" s="4" t="b">
        <f>AND(((J150)=TRUE), ((O150 = 0)=TRUE))</f>
        <v>0</v>
      </c>
      <c r="O150" s="4">
        <f>COUNTIFS(AccessDenialTests!C2:C18, A150)</f>
        <v>0</v>
      </c>
      <c r="P150" s="3" t="s">
        <v>9779</v>
      </c>
    </row>
    <row r="151">
      <c r="A151" s="3" t="s">
        <v>9948</v>
      </c>
      <c r="B151" s="4" t="str">
        <f>C151 &amp; " " &amp; E151 &amp; " " &amp; D151</f>
        <v>principal-knowledge-authority SELECT LearningActivities</v>
      </c>
      <c r="C151" s="3" t="s">
        <v>9774</v>
      </c>
      <c r="D151" s="3" t="s">
        <v>4017</v>
      </c>
      <c r="E151" s="3" t="s">
        <v>9777</v>
      </c>
      <c r="F151" s="3" t="s">
        <v>168</v>
      </c>
      <c r="G151" s="3" t="s">
        <v>168</v>
      </c>
      <c r="H151" s="3" t="s">
        <v>9853</v>
      </c>
      <c r="I151" s="3" t="b">
        <v>0</v>
      </c>
      <c r="J151" s="4" t="b">
        <f>OR(((E151 = "INSERT")=TRUE), ((E151 = "UPDATE")=TRUE), ((E151 = "DELETE")=TRUE), ((E151 = "ALL")=TRUE))</f>
        <v>0</v>
      </c>
      <c r="K151" s="4" t="b">
        <f>F151 = ""</f>
        <v>1</v>
      </c>
      <c r="L151" s="4" t="b">
        <f>_xlfn.IFNA(IF(((INDEX(AccessPrincipals!G2:G13, MATCH(C151,AccessPrincipals!A2:A13, 0))="")=TRUE),  "",  INDEX(AccessPrincipals!G2:G13, MATCH(C151,AccessPrincipals!A2:A13, 0))), "")</f>
        <v>1</v>
      </c>
      <c r="M151" s="4" t="b">
        <f>AND(((K151)=TRUE), ((NOT(((L151)=TRUE)))=TRUE))</f>
        <v>0</v>
      </c>
      <c r="N151" s="4" t="b">
        <f>AND(((J151)=TRUE), ((O151 = 0)=TRUE))</f>
        <v>0</v>
      </c>
      <c r="O151" s="4">
        <f>COUNTIFS(AccessDenialTests!C2:C18, A151)</f>
        <v>0</v>
      </c>
      <c r="P151" s="3" t="s">
        <v>9779</v>
      </c>
    </row>
    <row r="152">
      <c r="A152" s="3" t="s">
        <v>9949</v>
      </c>
      <c r="B152" s="4" t="str">
        <f>C152 &amp; " " &amp; E152 &amp; " " &amp; D152</f>
        <v>principal-knowledge-authority SELECT Mentorships</v>
      </c>
      <c r="C152" s="3" t="s">
        <v>9774</v>
      </c>
      <c r="D152" s="3" t="s">
        <v>2664</v>
      </c>
      <c r="E152" s="3" t="s">
        <v>9777</v>
      </c>
      <c r="F152" s="3" t="s">
        <v>168</v>
      </c>
      <c r="G152" s="3" t="s">
        <v>168</v>
      </c>
      <c r="H152" s="3" t="s">
        <v>9853</v>
      </c>
      <c r="I152" s="3" t="b">
        <v>0</v>
      </c>
      <c r="J152" s="4" t="b">
        <f>OR(((E152 = "INSERT")=TRUE), ((E152 = "UPDATE")=TRUE), ((E152 = "DELETE")=TRUE), ((E152 = "ALL")=TRUE))</f>
        <v>0</v>
      </c>
      <c r="K152" s="4" t="b">
        <f>F152 = ""</f>
        <v>1</v>
      </c>
      <c r="L152" s="4" t="b">
        <f>_xlfn.IFNA(IF(((INDEX(AccessPrincipals!G2:G13, MATCH(C152,AccessPrincipals!A2:A13, 0))="")=TRUE),  "",  INDEX(AccessPrincipals!G2:G13, MATCH(C152,AccessPrincipals!A2:A13, 0))), "")</f>
        <v>1</v>
      </c>
      <c r="M152" s="4" t="b">
        <f>AND(((K152)=TRUE), ((NOT(((L152)=TRUE)))=TRUE))</f>
        <v>0</v>
      </c>
      <c r="N152" s="4" t="b">
        <f>AND(((J152)=TRUE), ((O152 = 0)=TRUE))</f>
        <v>0</v>
      </c>
      <c r="O152" s="4">
        <f>COUNTIFS(AccessDenialTests!C2:C18, A152)</f>
        <v>0</v>
      </c>
      <c r="P152" s="3" t="s">
        <v>9779</v>
      </c>
    </row>
    <row r="153">
      <c r="A153" s="3" t="s">
        <v>9950</v>
      </c>
      <c r="B153" s="4" t="str">
        <f>C153 &amp; " " &amp; E153 &amp; " " &amp; D153</f>
        <v>principal-knowledge-authority SELECT MessageDeliveries</v>
      </c>
      <c r="C153" s="3" t="s">
        <v>9774</v>
      </c>
      <c r="D153" s="3" t="s">
        <v>4444</v>
      </c>
      <c r="E153" s="3" t="s">
        <v>9777</v>
      </c>
      <c r="F153" s="3" t="s">
        <v>168</v>
      </c>
      <c r="G153" s="3" t="s">
        <v>168</v>
      </c>
      <c r="H153" s="3" t="s">
        <v>9853</v>
      </c>
      <c r="I153" s="3" t="b">
        <v>0</v>
      </c>
      <c r="J153" s="4" t="b">
        <f>OR(((E153 = "INSERT")=TRUE), ((E153 = "UPDATE")=TRUE), ((E153 = "DELETE")=TRUE), ((E153 = "ALL")=TRUE))</f>
        <v>0</v>
      </c>
      <c r="K153" s="4" t="b">
        <f>F153 = ""</f>
        <v>1</v>
      </c>
      <c r="L153" s="4" t="b">
        <f>_xlfn.IFNA(IF(((INDEX(AccessPrincipals!G2:G13, MATCH(C153,AccessPrincipals!A2:A13, 0))="")=TRUE),  "",  INDEX(AccessPrincipals!G2:G13, MATCH(C153,AccessPrincipals!A2:A13, 0))), "")</f>
        <v>1</v>
      </c>
      <c r="M153" s="4" t="b">
        <f>AND(((K153)=TRUE), ((NOT(((L153)=TRUE)))=TRUE))</f>
        <v>0</v>
      </c>
      <c r="N153" s="4" t="b">
        <f>AND(((J153)=TRUE), ((O153 = 0)=TRUE))</f>
        <v>0</v>
      </c>
      <c r="O153" s="4">
        <f>COUNTIFS(AccessDenialTests!C2:C18, A153)</f>
        <v>0</v>
      </c>
      <c r="P153" s="3" t="s">
        <v>9779</v>
      </c>
    </row>
    <row r="154">
      <c r="A154" s="3" t="s">
        <v>9951</v>
      </c>
      <c r="B154" s="4" t="str">
        <f>C154 &amp; " " &amp; E154 &amp; " " &amp; D154</f>
        <v>principal-knowledge-authority SELECT MessageTemplates</v>
      </c>
      <c r="C154" s="3" t="s">
        <v>9774</v>
      </c>
      <c r="D154" s="3" t="s">
        <v>4087</v>
      </c>
      <c r="E154" s="3" t="s">
        <v>9777</v>
      </c>
      <c r="F154" s="3" t="s">
        <v>168</v>
      </c>
      <c r="G154" s="3" t="s">
        <v>168</v>
      </c>
      <c r="H154" s="3" t="s">
        <v>9853</v>
      </c>
      <c r="I154" s="3" t="b">
        <v>0</v>
      </c>
      <c r="J154" s="4" t="b">
        <f>OR(((E154 = "INSERT")=TRUE), ((E154 = "UPDATE")=TRUE), ((E154 = "DELETE")=TRUE), ((E154 = "ALL")=TRUE))</f>
        <v>0</v>
      </c>
      <c r="K154" s="4" t="b">
        <f>F154 = ""</f>
        <v>1</v>
      </c>
      <c r="L154" s="4" t="b">
        <f>_xlfn.IFNA(IF(((INDEX(AccessPrincipals!G2:G13, MATCH(C154,AccessPrincipals!A2:A13, 0))="")=TRUE),  "",  INDEX(AccessPrincipals!G2:G13, MATCH(C154,AccessPrincipals!A2:A13, 0))), "")</f>
        <v>1</v>
      </c>
      <c r="M154" s="4" t="b">
        <f>AND(((K154)=TRUE), ((NOT(((L154)=TRUE)))=TRUE))</f>
        <v>0</v>
      </c>
      <c r="N154" s="4" t="b">
        <f>AND(((J154)=TRUE), ((O154 = 0)=TRUE))</f>
        <v>0</v>
      </c>
      <c r="O154" s="4">
        <f>COUNTIFS(AccessDenialTests!C2:C18, A154)</f>
        <v>0</v>
      </c>
      <c r="P154" s="3" t="s">
        <v>9779</v>
      </c>
    </row>
    <row r="155">
      <c r="A155" s="3" t="s">
        <v>9952</v>
      </c>
      <c r="B155" s="4" t="str">
        <f>C155 &amp; " " &amp; E155 &amp; " " &amp; D155</f>
        <v>principal-knowledge-authority SELECT ObservedTransitions</v>
      </c>
      <c r="C155" s="3" t="s">
        <v>9774</v>
      </c>
      <c r="D155" s="3" t="s">
        <v>4398</v>
      </c>
      <c r="E155" s="3" t="s">
        <v>9777</v>
      </c>
      <c r="F155" s="3" t="s">
        <v>168</v>
      </c>
      <c r="G155" s="3" t="s">
        <v>168</v>
      </c>
      <c r="H155" s="3" t="s">
        <v>9853</v>
      </c>
      <c r="I155" s="3" t="b">
        <v>0</v>
      </c>
      <c r="J155" s="4" t="b">
        <f>OR(((E155 = "INSERT")=TRUE), ((E155 = "UPDATE")=TRUE), ((E155 = "DELETE")=TRUE), ((E155 = "ALL")=TRUE))</f>
        <v>0</v>
      </c>
      <c r="K155" s="4" t="b">
        <f>F155 = ""</f>
        <v>1</v>
      </c>
      <c r="L155" s="4" t="b">
        <f>_xlfn.IFNA(IF(((INDEX(AccessPrincipals!G2:G13, MATCH(C155,AccessPrincipals!A2:A13, 0))="")=TRUE),  "",  INDEX(AccessPrincipals!G2:G13, MATCH(C155,AccessPrincipals!A2:A13, 0))), "")</f>
        <v>1</v>
      </c>
      <c r="M155" s="4" t="b">
        <f>AND(((K155)=TRUE), ((NOT(((L155)=TRUE)))=TRUE))</f>
        <v>0</v>
      </c>
      <c r="N155" s="4" t="b">
        <f>AND(((J155)=TRUE), ((O155 = 0)=TRUE))</f>
        <v>0</v>
      </c>
      <c r="O155" s="4">
        <f>COUNTIFS(AccessDenialTests!C2:C18, A155)</f>
        <v>0</v>
      </c>
      <c r="P155" s="3" t="s">
        <v>9779</v>
      </c>
    </row>
    <row r="156">
      <c r="A156" s="3" t="s">
        <v>9953</v>
      </c>
      <c r="B156" s="4" t="str">
        <f>C156 &amp; " " &amp; E156 &amp; " " &amp; D156</f>
        <v>principal-knowledge-authority SELECT OntologyProfiles</v>
      </c>
      <c r="C156" s="3" t="s">
        <v>9774</v>
      </c>
      <c r="D156" s="3" t="s">
        <v>2434</v>
      </c>
      <c r="E156" s="3" t="s">
        <v>9777</v>
      </c>
      <c r="F156" s="3" t="s">
        <v>168</v>
      </c>
      <c r="G156" s="3" t="s">
        <v>168</v>
      </c>
      <c r="H156" s="3" t="s">
        <v>9853</v>
      </c>
      <c r="I156" s="3" t="b">
        <v>0</v>
      </c>
      <c r="J156" s="4" t="b">
        <f>OR(((E156 = "INSERT")=TRUE), ((E156 = "UPDATE")=TRUE), ((E156 = "DELETE")=TRUE), ((E156 = "ALL")=TRUE))</f>
        <v>0</v>
      </c>
      <c r="K156" s="4" t="b">
        <f>F156 = ""</f>
        <v>1</v>
      </c>
      <c r="L156" s="4" t="b">
        <f>_xlfn.IFNA(IF(((INDEX(AccessPrincipals!G2:G13, MATCH(C156,AccessPrincipals!A2:A13, 0))="")=TRUE),  "",  INDEX(AccessPrincipals!G2:G13, MATCH(C156,AccessPrincipals!A2:A13, 0))), "")</f>
        <v>1</v>
      </c>
      <c r="M156" s="4" t="b">
        <f>AND(((K156)=TRUE), ((NOT(((L156)=TRUE)))=TRUE))</f>
        <v>0</v>
      </c>
      <c r="N156" s="4" t="b">
        <f>AND(((J156)=TRUE), ((O156 = 0)=TRUE))</f>
        <v>0</v>
      </c>
      <c r="O156" s="4">
        <f>COUNTIFS(AccessDenialTests!C2:C18, A156)</f>
        <v>0</v>
      </c>
      <c r="P156" s="3" t="s">
        <v>9779</v>
      </c>
    </row>
    <row r="157">
      <c r="A157" s="3" t="s">
        <v>9954</v>
      </c>
      <c r="B157" s="4" t="str">
        <f>C157 &amp; " " &amp; E157 &amp; " " &amp; D157</f>
        <v>principal-knowledge-authority SELECT OperationalBindings</v>
      </c>
      <c r="C157" s="3" t="s">
        <v>9774</v>
      </c>
      <c r="D157" s="3" t="s">
        <v>1862</v>
      </c>
      <c r="E157" s="3" t="s">
        <v>9777</v>
      </c>
      <c r="F157" s="3" t="s">
        <v>168</v>
      </c>
      <c r="G157" s="3" t="s">
        <v>168</v>
      </c>
      <c r="H157" s="3" t="s">
        <v>9853</v>
      </c>
      <c r="I157" s="3" t="b">
        <v>0</v>
      </c>
      <c r="J157" s="4" t="b">
        <f>OR(((E157 = "INSERT")=TRUE), ((E157 = "UPDATE")=TRUE), ((E157 = "DELETE")=TRUE), ((E157 = "ALL")=TRUE))</f>
        <v>0</v>
      </c>
      <c r="K157" s="4" t="b">
        <f>F157 = ""</f>
        <v>1</v>
      </c>
      <c r="L157" s="4" t="b">
        <f>_xlfn.IFNA(IF(((INDEX(AccessPrincipals!G2:G13, MATCH(C157,AccessPrincipals!A2:A13, 0))="")=TRUE),  "",  INDEX(AccessPrincipals!G2:G13, MATCH(C157,AccessPrincipals!A2:A13, 0))), "")</f>
        <v>1</v>
      </c>
      <c r="M157" s="4" t="b">
        <f>AND(((K157)=TRUE), ((NOT(((L157)=TRUE)))=TRUE))</f>
        <v>0</v>
      </c>
      <c r="N157" s="4" t="b">
        <f>AND(((J157)=TRUE), ((O157 = 0)=TRUE))</f>
        <v>0</v>
      </c>
      <c r="O157" s="4">
        <f>COUNTIFS(AccessDenialTests!C2:C18, A157)</f>
        <v>0</v>
      </c>
      <c r="P157" s="3" t="s">
        <v>9779</v>
      </c>
    </row>
    <row r="158">
      <c r="A158" s="3" t="s">
        <v>9955</v>
      </c>
      <c r="B158" s="4" t="str">
        <f>C158 &amp; " " &amp; E158 &amp; " " &amp; D158</f>
        <v>principal-knowledge-authority SELECT Organizations</v>
      </c>
      <c r="C158" s="3" t="s">
        <v>9774</v>
      </c>
      <c r="D158" s="3" t="s">
        <v>2453</v>
      </c>
      <c r="E158" s="3" t="s">
        <v>9777</v>
      </c>
      <c r="F158" s="3" t="s">
        <v>168</v>
      </c>
      <c r="G158" s="3" t="s">
        <v>168</v>
      </c>
      <c r="H158" s="3" t="s">
        <v>9853</v>
      </c>
      <c r="I158" s="3" t="b">
        <v>0</v>
      </c>
      <c r="J158" s="4" t="b">
        <f>OR(((E158 = "INSERT")=TRUE), ((E158 = "UPDATE")=TRUE), ((E158 = "DELETE")=TRUE), ((E158 = "ALL")=TRUE))</f>
        <v>0</v>
      </c>
      <c r="K158" s="4" t="b">
        <f>F158 = ""</f>
        <v>1</v>
      </c>
      <c r="L158" s="4" t="b">
        <f>_xlfn.IFNA(IF(((INDEX(AccessPrincipals!G2:G13, MATCH(C158,AccessPrincipals!A2:A13, 0))="")=TRUE),  "",  INDEX(AccessPrincipals!G2:G13, MATCH(C158,AccessPrincipals!A2:A13, 0))), "")</f>
        <v>1</v>
      </c>
      <c r="M158" s="4" t="b">
        <f>AND(((K158)=TRUE), ((NOT(((L158)=TRUE)))=TRUE))</f>
        <v>0</v>
      </c>
      <c r="N158" s="4" t="b">
        <f>AND(((J158)=TRUE), ((O158 = 0)=TRUE))</f>
        <v>0</v>
      </c>
      <c r="O158" s="4">
        <f>COUNTIFS(AccessDenialTests!C2:C18, A158)</f>
        <v>0</v>
      </c>
      <c r="P158" s="3" t="s">
        <v>9779</v>
      </c>
    </row>
    <row r="159">
      <c r="A159" s="3" t="s">
        <v>9956</v>
      </c>
      <c r="B159" s="4" t="str">
        <f>C159 &amp; " " &amp; E159 &amp; " " &amp; D159</f>
        <v>principal-knowledge-authority SELECT ProcedureExecutions</v>
      </c>
      <c r="C159" s="3" t="s">
        <v>9774</v>
      </c>
      <c r="D159" s="3" t="s">
        <v>1824</v>
      </c>
      <c r="E159" s="3" t="s">
        <v>9777</v>
      </c>
      <c r="F159" s="3" t="s">
        <v>168</v>
      </c>
      <c r="G159" s="3" t="s">
        <v>168</v>
      </c>
      <c r="H159" s="3" t="s">
        <v>9853</v>
      </c>
      <c r="I159" s="3" t="b">
        <v>0</v>
      </c>
      <c r="J159" s="4" t="b">
        <f>OR(((E159 = "INSERT")=TRUE), ((E159 = "UPDATE")=TRUE), ((E159 = "DELETE")=TRUE), ((E159 = "ALL")=TRUE))</f>
        <v>0</v>
      </c>
      <c r="K159" s="4" t="b">
        <f>F159 = ""</f>
        <v>1</v>
      </c>
      <c r="L159" s="4" t="b">
        <f>_xlfn.IFNA(IF(((INDEX(AccessPrincipals!G2:G13, MATCH(C159,AccessPrincipals!A2:A13, 0))="")=TRUE),  "",  INDEX(AccessPrincipals!G2:G13, MATCH(C159,AccessPrincipals!A2:A13, 0))), "")</f>
        <v>1</v>
      </c>
      <c r="M159" s="4" t="b">
        <f>AND(((K159)=TRUE), ((NOT(((L159)=TRUE)))=TRUE))</f>
        <v>0</v>
      </c>
      <c r="N159" s="4" t="b">
        <f>AND(((J159)=TRUE), ((O159 = 0)=TRUE))</f>
        <v>0</v>
      </c>
      <c r="O159" s="4">
        <f>COUNTIFS(AccessDenialTests!C2:C18, A159)</f>
        <v>0</v>
      </c>
      <c r="P159" s="3" t="s">
        <v>9779</v>
      </c>
    </row>
    <row r="160">
      <c r="A160" s="3" t="s">
        <v>9957</v>
      </c>
      <c r="B160" s="4" t="str">
        <f>C160 &amp; " " &amp; E160 &amp; " " &amp; D160</f>
        <v>principal-knowledge-authority SELECT ProcedureResources</v>
      </c>
      <c r="C160" s="3" t="s">
        <v>9774</v>
      </c>
      <c r="D160" s="3" t="s">
        <v>3187</v>
      </c>
      <c r="E160" s="3" t="s">
        <v>9777</v>
      </c>
      <c r="F160" s="3" t="s">
        <v>168</v>
      </c>
      <c r="G160" s="3" t="s">
        <v>168</v>
      </c>
      <c r="H160" s="3" t="s">
        <v>9853</v>
      </c>
      <c r="I160" s="3" t="b">
        <v>0</v>
      </c>
      <c r="J160" s="4" t="b">
        <f>OR(((E160 = "INSERT")=TRUE), ((E160 = "UPDATE")=TRUE), ((E160 = "DELETE")=TRUE), ((E160 = "ALL")=TRUE))</f>
        <v>0</v>
      </c>
      <c r="K160" s="4" t="b">
        <f>F160 = ""</f>
        <v>1</v>
      </c>
      <c r="L160" s="4" t="b">
        <f>_xlfn.IFNA(IF(((INDEX(AccessPrincipals!G2:G13, MATCH(C160,AccessPrincipals!A2:A13, 0))="")=TRUE),  "",  INDEX(AccessPrincipals!G2:G13, MATCH(C160,AccessPrincipals!A2:A13, 0))), "")</f>
        <v>1</v>
      </c>
      <c r="M160" s="4" t="b">
        <f>AND(((K160)=TRUE), ((NOT(((L160)=TRUE)))=TRUE))</f>
        <v>0</v>
      </c>
      <c r="N160" s="4" t="b">
        <f>AND(((J160)=TRUE), ((O160 = 0)=TRUE))</f>
        <v>0</v>
      </c>
      <c r="O160" s="4">
        <f>COUNTIFS(AccessDenialTests!C2:C18, A160)</f>
        <v>0</v>
      </c>
      <c r="P160" s="3" t="s">
        <v>9779</v>
      </c>
    </row>
    <row r="161">
      <c r="A161" s="3" t="s">
        <v>9958</v>
      </c>
      <c r="B161" s="4" t="str">
        <f>C161 &amp; " " &amp; E161 &amp; " " &amp; D161</f>
        <v>principal-knowledge-authority SELECT ProcedureStatusChanges</v>
      </c>
      <c r="C161" s="3" t="s">
        <v>9774</v>
      </c>
      <c r="D161" s="3" t="s">
        <v>1775</v>
      </c>
      <c r="E161" s="3" t="s">
        <v>9777</v>
      </c>
      <c r="F161" s="3" t="s">
        <v>168</v>
      </c>
      <c r="G161" s="3" t="s">
        <v>168</v>
      </c>
      <c r="H161" s="3" t="s">
        <v>9853</v>
      </c>
      <c r="I161" s="3" t="b">
        <v>0</v>
      </c>
      <c r="J161" s="4" t="b">
        <f>OR(((E161 = "INSERT")=TRUE), ((E161 = "UPDATE")=TRUE), ((E161 = "DELETE")=TRUE), ((E161 = "ALL")=TRUE))</f>
        <v>0</v>
      </c>
      <c r="K161" s="4" t="b">
        <f>F161 = ""</f>
        <v>1</v>
      </c>
      <c r="L161" s="4" t="b">
        <f>_xlfn.IFNA(IF(((INDEX(AccessPrincipals!G2:G13, MATCH(C161,AccessPrincipals!A2:A13, 0))="")=TRUE),  "",  INDEX(AccessPrincipals!G2:G13, MATCH(C161,AccessPrincipals!A2:A13, 0))), "")</f>
        <v>1</v>
      </c>
      <c r="M161" s="4" t="b">
        <f>AND(((K161)=TRUE), ((NOT(((L161)=TRUE)))=TRUE))</f>
        <v>0</v>
      </c>
      <c r="N161" s="4" t="b">
        <f>AND(((J161)=TRUE), ((O161 = 0)=TRUE))</f>
        <v>0</v>
      </c>
      <c r="O161" s="4">
        <f>COUNTIFS(AccessDenialTests!C2:C18, A161)</f>
        <v>0</v>
      </c>
      <c r="P161" s="3" t="s">
        <v>9779</v>
      </c>
    </row>
    <row r="162">
      <c r="A162" s="3" t="s">
        <v>9959</v>
      </c>
      <c r="B162" s="4" t="str">
        <f>C162 &amp; " " &amp; E162 &amp; " " &amp; D162</f>
        <v>principal-knowledge-authority SELECT ProcedureTypes</v>
      </c>
      <c r="C162" s="3" t="s">
        <v>9774</v>
      </c>
      <c r="D162" s="3" t="s">
        <v>2676</v>
      </c>
      <c r="E162" s="3" t="s">
        <v>9777</v>
      </c>
      <c r="F162" s="3" t="s">
        <v>168</v>
      </c>
      <c r="G162" s="3" t="s">
        <v>168</v>
      </c>
      <c r="H162" s="3" t="s">
        <v>9853</v>
      </c>
      <c r="I162" s="3" t="b">
        <v>0</v>
      </c>
      <c r="J162" s="4" t="b">
        <f>OR(((E162 = "INSERT")=TRUE), ((E162 = "UPDATE")=TRUE), ((E162 = "DELETE")=TRUE), ((E162 = "ALL")=TRUE))</f>
        <v>0</v>
      </c>
      <c r="K162" s="4" t="b">
        <f>F162 = ""</f>
        <v>1</v>
      </c>
      <c r="L162" s="4" t="b">
        <f>_xlfn.IFNA(IF(((INDEX(AccessPrincipals!G2:G13, MATCH(C162,AccessPrincipals!A2:A13, 0))="")=TRUE),  "",  INDEX(AccessPrincipals!G2:G13, MATCH(C162,AccessPrincipals!A2:A13, 0))), "")</f>
        <v>1</v>
      </c>
      <c r="M162" s="4" t="b">
        <f>AND(((K162)=TRUE), ((NOT(((L162)=TRUE)))=TRUE))</f>
        <v>0</v>
      </c>
      <c r="N162" s="4" t="b">
        <f>AND(((J162)=TRUE), ((O162 = 0)=TRUE))</f>
        <v>0</v>
      </c>
      <c r="O162" s="4">
        <f>COUNTIFS(AccessDenialTests!C2:C18, A162)</f>
        <v>0</v>
      </c>
      <c r="P162" s="3" t="s">
        <v>9779</v>
      </c>
    </row>
    <row r="163">
      <c r="A163" s="3" t="s">
        <v>9960</v>
      </c>
      <c r="B163" s="4" t="str">
        <f>C163 &amp; " " &amp; E163 &amp; " " &amp; D163</f>
        <v>principal-knowledge-authority SELECT ProcedureVersionLinks</v>
      </c>
      <c r="C163" s="3" t="s">
        <v>9774</v>
      </c>
      <c r="D163" s="3" t="s">
        <v>2851</v>
      </c>
      <c r="E163" s="3" t="s">
        <v>9777</v>
      </c>
      <c r="F163" s="3" t="s">
        <v>168</v>
      </c>
      <c r="G163" s="3" t="s">
        <v>168</v>
      </c>
      <c r="H163" s="3" t="s">
        <v>9853</v>
      </c>
      <c r="I163" s="3" t="b">
        <v>0</v>
      </c>
      <c r="J163" s="4" t="b">
        <f>OR(((E163 = "INSERT")=TRUE), ((E163 = "UPDATE")=TRUE), ((E163 = "DELETE")=TRUE), ((E163 = "ALL")=TRUE))</f>
        <v>0</v>
      </c>
      <c r="K163" s="4" t="b">
        <f>F163 = ""</f>
        <v>1</v>
      </c>
      <c r="L163" s="4" t="b">
        <f>_xlfn.IFNA(IF(((INDEX(AccessPrincipals!G2:G13, MATCH(C163,AccessPrincipals!A2:A13, 0))="")=TRUE),  "",  INDEX(AccessPrincipals!G2:G13, MATCH(C163,AccessPrincipals!A2:A13, 0))), "")</f>
        <v>1</v>
      </c>
      <c r="M163" s="4" t="b">
        <f>AND(((K163)=TRUE), ((NOT(((L163)=TRUE)))=TRUE))</f>
        <v>0</v>
      </c>
      <c r="N163" s="4" t="b">
        <f>AND(((J163)=TRUE), ((O163 = 0)=TRUE))</f>
        <v>0</v>
      </c>
      <c r="O163" s="4">
        <f>COUNTIFS(AccessDenialTests!C2:C18, A163)</f>
        <v>0</v>
      </c>
      <c r="P163" s="3" t="s">
        <v>9779</v>
      </c>
    </row>
    <row r="164">
      <c r="A164" s="3" t="s">
        <v>9961</v>
      </c>
      <c r="B164" s="4" t="str">
        <f>C164 &amp; " " &amp; E164 &amp; " " &amp; D164</f>
        <v>principal-knowledge-authority SELECT ProcedureVersions</v>
      </c>
      <c r="C164" s="3" t="s">
        <v>9774</v>
      </c>
      <c r="D164" s="3" t="s">
        <v>1767</v>
      </c>
      <c r="E164" s="3" t="s">
        <v>9777</v>
      </c>
      <c r="F164" s="3" t="s">
        <v>168</v>
      </c>
      <c r="G164" s="3" t="s">
        <v>168</v>
      </c>
      <c r="H164" s="3" t="s">
        <v>9853</v>
      </c>
      <c r="I164" s="3" t="b">
        <v>0</v>
      </c>
      <c r="J164" s="4" t="b">
        <f>OR(((E164 = "INSERT")=TRUE), ((E164 = "UPDATE")=TRUE), ((E164 = "DELETE")=TRUE), ((E164 = "ALL")=TRUE))</f>
        <v>0</v>
      </c>
      <c r="K164" s="4" t="b">
        <f>F164 = ""</f>
        <v>1</v>
      </c>
      <c r="L164" s="4" t="b">
        <f>_xlfn.IFNA(IF(((INDEX(AccessPrincipals!G2:G13, MATCH(C164,AccessPrincipals!A2:A13, 0))="")=TRUE),  "",  INDEX(AccessPrincipals!G2:G13, MATCH(C164,AccessPrincipals!A2:A13, 0))), "")</f>
        <v>1</v>
      </c>
      <c r="M164" s="4" t="b">
        <f>AND(((K164)=TRUE), ((NOT(((L164)=TRUE)))=TRUE))</f>
        <v>0</v>
      </c>
      <c r="N164" s="4" t="b">
        <f>AND(((J164)=TRUE), ((O164 = 0)=TRUE))</f>
        <v>0</v>
      </c>
      <c r="O164" s="4">
        <f>COUNTIFS(AccessDenialTests!C2:C18, A164)</f>
        <v>0</v>
      </c>
      <c r="P164" s="3" t="s">
        <v>9779</v>
      </c>
    </row>
    <row r="165">
      <c r="A165" s="3" t="s">
        <v>9962</v>
      </c>
      <c r="B165" s="4" t="str">
        <f>C165 &amp; " " &amp; E165 &amp; " " &amp; D165</f>
        <v>principal-knowledge-authority SELECT Procedures</v>
      </c>
      <c r="C165" s="3" t="s">
        <v>9774</v>
      </c>
      <c r="D165" s="3" t="s">
        <v>1762</v>
      </c>
      <c r="E165" s="3" t="s">
        <v>9777</v>
      </c>
      <c r="F165" s="3" t="s">
        <v>168</v>
      </c>
      <c r="G165" s="3" t="s">
        <v>168</v>
      </c>
      <c r="H165" s="3" t="s">
        <v>9853</v>
      </c>
      <c r="I165" s="3" t="b">
        <v>0</v>
      </c>
      <c r="J165" s="4" t="b">
        <f>OR(((E165 = "INSERT")=TRUE), ((E165 = "UPDATE")=TRUE), ((E165 = "DELETE")=TRUE), ((E165 = "ALL")=TRUE))</f>
        <v>0</v>
      </c>
      <c r="K165" s="4" t="b">
        <f>F165 = ""</f>
        <v>1</v>
      </c>
      <c r="L165" s="4" t="b">
        <f>_xlfn.IFNA(IF(((INDEX(AccessPrincipals!G2:G13, MATCH(C165,AccessPrincipals!A2:A13, 0))="")=TRUE),  "",  INDEX(AccessPrincipals!G2:G13, MATCH(C165,AccessPrincipals!A2:A13, 0))), "")</f>
        <v>1</v>
      </c>
      <c r="M165" s="4" t="b">
        <f>AND(((K165)=TRUE), ((NOT(((L165)=TRUE)))=TRUE))</f>
        <v>0</v>
      </c>
      <c r="N165" s="4" t="b">
        <f>AND(((J165)=TRUE), ((O165 = 0)=TRUE))</f>
        <v>0</v>
      </c>
      <c r="O165" s="4">
        <f>COUNTIFS(AccessDenialTests!C2:C18, A165)</f>
        <v>0</v>
      </c>
      <c r="P165" s="3" t="s">
        <v>9779</v>
      </c>
    </row>
    <row r="166">
      <c r="A166" s="3" t="s">
        <v>9963</v>
      </c>
      <c r="B166" s="4" t="str">
        <f>C166 &amp; " " &amp; E166 &amp; " " &amp; D166</f>
        <v>principal-knowledge-authority SELECT Rationales</v>
      </c>
      <c r="C166" s="3" t="s">
        <v>9774</v>
      </c>
      <c r="D166" s="3" t="s">
        <v>3151</v>
      </c>
      <c r="E166" s="3" t="s">
        <v>9777</v>
      </c>
      <c r="F166" s="3" t="s">
        <v>168</v>
      </c>
      <c r="G166" s="3" t="s">
        <v>168</v>
      </c>
      <c r="H166" s="3" t="s">
        <v>9853</v>
      </c>
      <c r="I166" s="3" t="b">
        <v>0</v>
      </c>
      <c r="J166" s="4" t="b">
        <f>OR(((E166 = "INSERT")=TRUE), ((E166 = "UPDATE")=TRUE), ((E166 = "DELETE")=TRUE), ((E166 = "ALL")=TRUE))</f>
        <v>0</v>
      </c>
      <c r="K166" s="4" t="b">
        <f>F166 = ""</f>
        <v>1</v>
      </c>
      <c r="L166" s="4" t="b">
        <f>_xlfn.IFNA(IF(((INDEX(AccessPrincipals!G2:G13, MATCH(C166,AccessPrincipals!A2:A13, 0))="")=TRUE),  "",  INDEX(AccessPrincipals!G2:G13, MATCH(C166,AccessPrincipals!A2:A13, 0))), "")</f>
        <v>1</v>
      </c>
      <c r="M166" s="4" t="b">
        <f>AND(((K166)=TRUE), ((NOT(((L166)=TRUE)))=TRUE))</f>
        <v>0</v>
      </c>
      <c r="N166" s="4" t="b">
        <f>AND(((J166)=TRUE), ((O166 = 0)=TRUE))</f>
        <v>0</v>
      </c>
      <c r="O166" s="4">
        <f>COUNTIFS(AccessDenialTests!C2:C18, A166)</f>
        <v>0</v>
      </c>
      <c r="P166" s="3" t="s">
        <v>9779</v>
      </c>
    </row>
    <row r="167">
      <c r="A167" s="3" t="s">
        <v>9964</v>
      </c>
      <c r="B167" s="4" t="str">
        <f>C167 &amp; " " &amp; E167 &amp; " " &amp; D167</f>
        <v>principal-knowledge-authority SELECT Recipients</v>
      </c>
      <c r="C167" s="3" t="s">
        <v>9774</v>
      </c>
      <c r="D167" s="3" t="s">
        <v>4412</v>
      </c>
      <c r="E167" s="3" t="s">
        <v>9777</v>
      </c>
      <c r="F167" s="3" t="s">
        <v>168</v>
      </c>
      <c r="G167" s="3" t="s">
        <v>168</v>
      </c>
      <c r="H167" s="3" t="s">
        <v>9853</v>
      </c>
      <c r="I167" s="3" t="b">
        <v>0</v>
      </c>
      <c r="J167" s="4" t="b">
        <f>OR(((E167 = "INSERT")=TRUE), ((E167 = "UPDATE")=TRUE), ((E167 = "DELETE")=TRUE), ((E167 = "ALL")=TRUE))</f>
        <v>0</v>
      </c>
      <c r="K167" s="4" t="b">
        <f>F167 = ""</f>
        <v>1</v>
      </c>
      <c r="L167" s="4" t="b">
        <f>_xlfn.IFNA(IF(((INDEX(AccessPrincipals!G2:G13, MATCH(C167,AccessPrincipals!A2:A13, 0))="")=TRUE),  "",  INDEX(AccessPrincipals!G2:G13, MATCH(C167,AccessPrincipals!A2:A13, 0))), "")</f>
        <v>1</v>
      </c>
      <c r="M167" s="4" t="b">
        <f>AND(((K167)=TRUE), ((NOT(((L167)=TRUE)))=TRUE))</f>
        <v>0</v>
      </c>
      <c r="N167" s="4" t="b">
        <f>AND(((J167)=TRUE), ((O167 = 0)=TRUE))</f>
        <v>0</v>
      </c>
      <c r="O167" s="4">
        <f>COUNTIFS(AccessDenialTests!C2:C18, A167)</f>
        <v>0</v>
      </c>
      <c r="P167" s="3" t="s">
        <v>9779</v>
      </c>
    </row>
    <row r="168">
      <c r="A168" s="3" t="s">
        <v>9965</v>
      </c>
      <c r="B168" s="4" t="str">
        <f>C168 &amp; " " &amp; E168 &amp; " " &amp; D168</f>
        <v>principal-knowledge-authority SELECT RequirementSatisfactions</v>
      </c>
      <c r="C168" s="3" t="s">
        <v>9774</v>
      </c>
      <c r="D168" s="3" t="s">
        <v>1830</v>
      </c>
      <c r="E168" s="3" t="s">
        <v>9777</v>
      </c>
      <c r="F168" s="3" t="s">
        <v>168</v>
      </c>
      <c r="G168" s="3" t="s">
        <v>168</v>
      </c>
      <c r="H168" s="3" t="s">
        <v>9853</v>
      </c>
      <c r="I168" s="3" t="b">
        <v>0</v>
      </c>
      <c r="J168" s="4" t="b">
        <f>OR(((E168 = "INSERT")=TRUE), ((E168 = "UPDATE")=TRUE), ((E168 = "DELETE")=TRUE), ((E168 = "ALL")=TRUE))</f>
        <v>0</v>
      </c>
      <c r="K168" s="4" t="b">
        <f>F168 = ""</f>
        <v>1</v>
      </c>
      <c r="L168" s="4" t="b">
        <f>_xlfn.IFNA(IF(((INDEX(AccessPrincipals!G2:G13, MATCH(C168,AccessPrincipals!A2:A13, 0))="")=TRUE),  "",  INDEX(AccessPrincipals!G2:G13, MATCH(C168,AccessPrincipals!A2:A13, 0))), "")</f>
        <v>1</v>
      </c>
      <c r="M168" s="4" t="b">
        <f>AND(((K168)=TRUE), ((NOT(((L168)=TRUE)))=TRUE))</f>
        <v>0</v>
      </c>
      <c r="N168" s="4" t="b">
        <f>AND(((J168)=TRUE), ((O168 = 0)=TRUE))</f>
        <v>0</v>
      </c>
      <c r="O168" s="4">
        <f>COUNTIFS(AccessDenialTests!C2:C18, A168)</f>
        <v>0</v>
      </c>
      <c r="P168" s="3" t="s">
        <v>9779</v>
      </c>
    </row>
    <row r="169">
      <c r="A169" s="3" t="s">
        <v>9966</v>
      </c>
      <c r="B169" s="4" t="str">
        <f>C169 &amp; " " &amp; E169 &amp; " " &amp; D169</f>
        <v>principal-knowledge-authority SELECT Requirements</v>
      </c>
      <c r="C169" s="3" t="s">
        <v>9774</v>
      </c>
      <c r="D169" s="3" t="s">
        <v>1805</v>
      </c>
      <c r="E169" s="3" t="s">
        <v>9777</v>
      </c>
      <c r="F169" s="3" t="s">
        <v>168</v>
      </c>
      <c r="G169" s="3" t="s">
        <v>168</v>
      </c>
      <c r="H169" s="3" t="s">
        <v>9853</v>
      </c>
      <c r="I169" s="3" t="b">
        <v>0</v>
      </c>
      <c r="J169" s="4" t="b">
        <f>OR(((E169 = "INSERT")=TRUE), ((E169 = "UPDATE")=TRUE), ((E169 = "DELETE")=TRUE), ((E169 = "ALL")=TRUE))</f>
        <v>0</v>
      </c>
      <c r="K169" s="4" t="b">
        <f>F169 = ""</f>
        <v>1</v>
      </c>
      <c r="L169" s="4" t="b">
        <f>_xlfn.IFNA(IF(((INDEX(AccessPrincipals!G2:G13, MATCH(C169,AccessPrincipals!A2:A13, 0))="")=TRUE),  "",  INDEX(AccessPrincipals!G2:G13, MATCH(C169,AccessPrincipals!A2:A13, 0))), "")</f>
        <v>1</v>
      </c>
      <c r="M169" s="4" t="b">
        <f>AND(((K169)=TRUE), ((NOT(((L169)=TRUE)))=TRUE))</f>
        <v>0</v>
      </c>
      <c r="N169" s="4" t="b">
        <f>AND(((J169)=TRUE), ((O169 = 0)=TRUE))</f>
        <v>0</v>
      </c>
      <c r="O169" s="4">
        <f>COUNTIFS(AccessDenialTests!C2:C18, A169)</f>
        <v>0</v>
      </c>
      <c r="P169" s="3" t="s">
        <v>9779</v>
      </c>
    </row>
    <row r="170">
      <c r="A170" s="3" t="s">
        <v>9967</v>
      </c>
      <c r="B170" s="4" t="str">
        <f>C170 &amp; " " &amp; E170 &amp; " " &amp; D170</f>
        <v>principal-knowledge-authority SELECT Resources</v>
      </c>
      <c r="C170" s="3" t="s">
        <v>9774</v>
      </c>
      <c r="D170" s="3" t="s">
        <v>1811</v>
      </c>
      <c r="E170" s="3" t="s">
        <v>9777</v>
      </c>
      <c r="F170" s="3" t="s">
        <v>168</v>
      </c>
      <c r="G170" s="3" t="s">
        <v>168</v>
      </c>
      <c r="H170" s="3" t="s">
        <v>9853</v>
      </c>
      <c r="I170" s="3" t="b">
        <v>0</v>
      </c>
      <c r="J170" s="4" t="b">
        <f>OR(((E170 = "INSERT")=TRUE), ((E170 = "UPDATE")=TRUE), ((E170 = "DELETE")=TRUE), ((E170 = "ALL")=TRUE))</f>
        <v>0</v>
      </c>
      <c r="K170" s="4" t="b">
        <f>F170 = ""</f>
        <v>1</v>
      </c>
      <c r="L170" s="4" t="b">
        <f>_xlfn.IFNA(IF(((INDEX(AccessPrincipals!G2:G13, MATCH(C170,AccessPrincipals!A2:A13, 0))="")=TRUE),  "",  INDEX(AccessPrincipals!G2:G13, MATCH(C170,AccessPrincipals!A2:A13, 0))), "")</f>
        <v>1</v>
      </c>
      <c r="M170" s="4" t="b">
        <f>AND(((K170)=TRUE), ((NOT(((L170)=TRUE)))=TRUE))</f>
        <v>0</v>
      </c>
      <c r="N170" s="4" t="b">
        <f>AND(((J170)=TRUE), ((O170 = 0)=TRUE))</f>
        <v>0</v>
      </c>
      <c r="O170" s="4">
        <f>COUNTIFS(AccessDenialTests!C2:C18, A170)</f>
        <v>0</v>
      </c>
      <c r="P170" s="3" t="s">
        <v>9779</v>
      </c>
    </row>
    <row r="171">
      <c r="A171" s="3" t="s">
        <v>9968</v>
      </c>
      <c r="B171" s="4" t="str">
        <f>C171 &amp; " " &amp; E171 &amp; " " &amp; D171</f>
        <v>principal-knowledge-authority SELECT ReviewEvents</v>
      </c>
      <c r="C171" s="3" t="s">
        <v>9774</v>
      </c>
      <c r="D171" s="3" t="s">
        <v>3988</v>
      </c>
      <c r="E171" s="3" t="s">
        <v>9777</v>
      </c>
      <c r="F171" s="3" t="s">
        <v>168</v>
      </c>
      <c r="G171" s="3" t="s">
        <v>168</v>
      </c>
      <c r="H171" s="3" t="s">
        <v>9853</v>
      </c>
      <c r="I171" s="3" t="b">
        <v>0</v>
      </c>
      <c r="J171" s="4" t="b">
        <f>OR(((E171 = "INSERT")=TRUE), ((E171 = "UPDATE")=TRUE), ((E171 = "DELETE")=TRUE), ((E171 = "ALL")=TRUE))</f>
        <v>0</v>
      </c>
      <c r="K171" s="4" t="b">
        <f>F171 = ""</f>
        <v>1</v>
      </c>
      <c r="L171" s="4" t="b">
        <f>_xlfn.IFNA(IF(((INDEX(AccessPrincipals!G2:G13, MATCH(C171,AccessPrincipals!A2:A13, 0))="")=TRUE),  "",  INDEX(AccessPrincipals!G2:G13, MATCH(C171,AccessPrincipals!A2:A13, 0))), "")</f>
        <v>1</v>
      </c>
      <c r="M171" s="4" t="b">
        <f>AND(((K171)=TRUE), ((NOT(((L171)=TRUE)))=TRUE))</f>
        <v>0</v>
      </c>
      <c r="N171" s="4" t="b">
        <f>AND(((J171)=TRUE), ((O171 = 0)=TRUE))</f>
        <v>0</v>
      </c>
      <c r="O171" s="4">
        <f>COUNTIFS(AccessDenialTests!C2:C18, A171)</f>
        <v>0</v>
      </c>
      <c r="P171" s="3" t="s">
        <v>9779</v>
      </c>
    </row>
    <row r="172">
      <c r="A172" s="3" t="s">
        <v>9969</v>
      </c>
      <c r="B172" s="4" t="str">
        <f>C172 &amp; " " &amp; E172 &amp; " " &amp; D172</f>
        <v>principal-knowledge-authority SELECT RoleAssignments</v>
      </c>
      <c r="C172" s="3" t="s">
        <v>9774</v>
      </c>
      <c r="D172" s="3" t="s">
        <v>1821</v>
      </c>
      <c r="E172" s="3" t="s">
        <v>9777</v>
      </c>
      <c r="F172" s="3" t="s">
        <v>168</v>
      </c>
      <c r="G172" s="3" t="s">
        <v>168</v>
      </c>
      <c r="H172" s="3" t="s">
        <v>9853</v>
      </c>
      <c r="I172" s="3" t="b">
        <v>0</v>
      </c>
      <c r="J172" s="4" t="b">
        <f>OR(((E172 = "INSERT")=TRUE), ((E172 = "UPDATE")=TRUE), ((E172 = "DELETE")=TRUE), ((E172 = "ALL")=TRUE))</f>
        <v>0</v>
      </c>
      <c r="K172" s="4" t="b">
        <f>F172 = ""</f>
        <v>1</v>
      </c>
      <c r="L172" s="4" t="b">
        <f>_xlfn.IFNA(IF(((INDEX(AccessPrincipals!G2:G13, MATCH(C172,AccessPrincipals!A2:A13, 0))="")=TRUE),  "",  INDEX(AccessPrincipals!G2:G13, MATCH(C172,AccessPrincipals!A2:A13, 0))), "")</f>
        <v>1</v>
      </c>
      <c r="M172" s="4" t="b">
        <f>AND(((K172)=TRUE), ((NOT(((L172)=TRUE)))=TRUE))</f>
        <v>0</v>
      </c>
      <c r="N172" s="4" t="b">
        <f>AND(((J172)=TRUE), ((O172 = 0)=TRUE))</f>
        <v>0</v>
      </c>
      <c r="O172" s="4">
        <f>COUNTIFS(AccessDenialTests!C2:C18, A172)</f>
        <v>0</v>
      </c>
      <c r="P172" s="3" t="s">
        <v>9779</v>
      </c>
    </row>
    <row r="173">
      <c r="A173" s="3" t="s">
        <v>9970</v>
      </c>
      <c r="B173" s="4" t="str">
        <f>C173 &amp; " " &amp; E173 &amp; " " &amp; D173</f>
        <v>principal-knowledge-authority SELECT RoleQuestions</v>
      </c>
      <c r="C173" s="3" t="s">
        <v>9774</v>
      </c>
      <c r="D173" s="3" t="s">
        <v>4157</v>
      </c>
      <c r="E173" s="3" t="s">
        <v>9777</v>
      </c>
      <c r="F173" s="3" t="s">
        <v>168</v>
      </c>
      <c r="G173" s="3" t="s">
        <v>168</v>
      </c>
      <c r="H173" s="3" t="s">
        <v>9853</v>
      </c>
      <c r="I173" s="3" t="b">
        <v>0</v>
      </c>
      <c r="J173" s="4" t="b">
        <f>OR(((E173 = "INSERT")=TRUE), ((E173 = "UPDATE")=TRUE), ((E173 = "DELETE")=TRUE), ((E173 = "ALL")=TRUE))</f>
        <v>0</v>
      </c>
      <c r="K173" s="4" t="b">
        <f>F173 = ""</f>
        <v>1</v>
      </c>
      <c r="L173" s="4" t="b">
        <f>_xlfn.IFNA(IF(((INDEX(AccessPrincipals!G2:G13, MATCH(C173,AccessPrincipals!A2:A13, 0))="")=TRUE),  "",  INDEX(AccessPrincipals!G2:G13, MATCH(C173,AccessPrincipals!A2:A13, 0))), "")</f>
        <v>1</v>
      </c>
      <c r="M173" s="4" t="b">
        <f>AND(((K173)=TRUE), ((NOT(((L173)=TRUE)))=TRUE))</f>
        <v>0</v>
      </c>
      <c r="N173" s="4" t="b">
        <f>AND(((J173)=TRUE), ((O173 = 0)=TRUE))</f>
        <v>0</v>
      </c>
      <c r="O173" s="4">
        <f>COUNTIFS(AccessDenialTests!C2:C18, A173)</f>
        <v>0</v>
      </c>
      <c r="P173" s="3" t="s">
        <v>9779</v>
      </c>
    </row>
    <row r="174">
      <c r="A174" s="3" t="s">
        <v>9971</v>
      </c>
      <c r="B174" s="4" t="str">
        <f>C174 &amp; " " &amp; E174 &amp; " " &amp; D174</f>
        <v>principal-knowledge-authority SELECT Roles</v>
      </c>
      <c r="C174" s="3" t="s">
        <v>9774</v>
      </c>
      <c r="D174" s="3" t="s">
        <v>1818</v>
      </c>
      <c r="E174" s="3" t="s">
        <v>9777</v>
      </c>
      <c r="F174" s="3" t="s">
        <v>168</v>
      </c>
      <c r="G174" s="3" t="s">
        <v>168</v>
      </c>
      <c r="H174" s="3" t="s">
        <v>9853</v>
      </c>
      <c r="I174" s="3" t="b">
        <v>0</v>
      </c>
      <c r="J174" s="4" t="b">
        <f>OR(((E174 = "INSERT")=TRUE), ((E174 = "UPDATE")=TRUE), ((E174 = "DELETE")=TRUE), ((E174 = "ALL")=TRUE))</f>
        <v>0</v>
      </c>
      <c r="K174" s="4" t="b">
        <f>F174 = ""</f>
        <v>1</v>
      </c>
      <c r="L174" s="4" t="b">
        <f>_xlfn.IFNA(IF(((INDEX(AccessPrincipals!G2:G13, MATCH(C174,AccessPrincipals!A2:A13, 0))="")=TRUE),  "",  INDEX(AccessPrincipals!G2:G13, MATCH(C174,AccessPrincipals!A2:A13, 0))), "")</f>
        <v>1</v>
      </c>
      <c r="M174" s="4" t="b">
        <f>AND(((K174)=TRUE), ((NOT(((L174)=TRUE)))=TRUE))</f>
        <v>0</v>
      </c>
      <c r="N174" s="4" t="b">
        <f>AND(((J174)=TRUE), ((O174 = 0)=TRUE))</f>
        <v>0</v>
      </c>
      <c r="O174" s="4">
        <f>COUNTIFS(AccessDenialTests!C2:C18, A174)</f>
        <v>0</v>
      </c>
      <c r="P174" s="3" t="s">
        <v>9779</v>
      </c>
    </row>
    <row r="175">
      <c r="A175" s="3" t="s">
        <v>9972</v>
      </c>
      <c r="B175" s="4" t="str">
        <f>C175 &amp; " " &amp; E175 &amp; " " &amp; D175</f>
        <v>principal-knowledge-authority SELECT RulebookFields</v>
      </c>
      <c r="C175" s="3" t="s">
        <v>9774</v>
      </c>
      <c r="D175" s="3" t="s">
        <v>4172</v>
      </c>
      <c r="E175" s="3" t="s">
        <v>9777</v>
      </c>
      <c r="F175" s="3" t="s">
        <v>168</v>
      </c>
      <c r="G175" s="3" t="s">
        <v>168</v>
      </c>
      <c r="H175" s="3" t="s">
        <v>9853</v>
      </c>
      <c r="I175" s="3" t="b">
        <v>0</v>
      </c>
      <c r="J175" s="4" t="b">
        <f>OR(((E175 = "INSERT")=TRUE), ((E175 = "UPDATE")=TRUE), ((E175 = "DELETE")=TRUE), ((E175 = "ALL")=TRUE))</f>
        <v>0</v>
      </c>
      <c r="K175" s="4" t="b">
        <f>F175 = ""</f>
        <v>1</v>
      </c>
      <c r="L175" s="4" t="b">
        <f>_xlfn.IFNA(IF(((INDEX(AccessPrincipals!G2:G13, MATCH(C175,AccessPrincipals!A2:A13, 0))="")=TRUE),  "",  INDEX(AccessPrincipals!G2:G13, MATCH(C175,AccessPrincipals!A2:A13, 0))), "")</f>
        <v>1</v>
      </c>
      <c r="M175" s="4" t="b">
        <f>AND(((K175)=TRUE), ((NOT(((L175)=TRUE)))=TRUE))</f>
        <v>0</v>
      </c>
      <c r="N175" s="4" t="b">
        <f>AND(((J175)=TRUE), ((O175 = 0)=TRUE))</f>
        <v>0</v>
      </c>
      <c r="O175" s="4">
        <f>COUNTIFS(AccessDenialTests!C2:C18, A175)</f>
        <v>0</v>
      </c>
      <c r="P175" s="3" t="s">
        <v>9779</v>
      </c>
    </row>
    <row r="176">
      <c r="A176" s="3" t="s">
        <v>9973</v>
      </c>
      <c r="B176" s="4" t="str">
        <f>C176 &amp; " " &amp; E176 &amp; " " &amp; D176</f>
        <v>principal-knowledge-authority SELECT RulebookReleases</v>
      </c>
      <c r="C176" s="3" t="s">
        <v>9774</v>
      </c>
      <c r="D176" s="3" t="s">
        <v>2415</v>
      </c>
      <c r="E176" s="3" t="s">
        <v>9777</v>
      </c>
      <c r="F176" s="3" t="s">
        <v>168</v>
      </c>
      <c r="G176" s="3" t="s">
        <v>168</v>
      </c>
      <c r="H176" s="3" t="s">
        <v>9853</v>
      </c>
      <c r="I176" s="3" t="b">
        <v>0</v>
      </c>
      <c r="J176" s="4" t="b">
        <f>OR(((E176 = "INSERT")=TRUE), ((E176 = "UPDATE")=TRUE), ((E176 = "DELETE")=TRUE), ((E176 = "ALL")=TRUE))</f>
        <v>0</v>
      </c>
      <c r="K176" s="4" t="b">
        <f>F176 = ""</f>
        <v>1</v>
      </c>
      <c r="L176" s="4" t="b">
        <f>_xlfn.IFNA(IF(((INDEX(AccessPrincipals!G2:G13, MATCH(C176,AccessPrincipals!A2:A13, 0))="")=TRUE),  "",  INDEX(AccessPrincipals!G2:G13, MATCH(C176,AccessPrincipals!A2:A13, 0))), "")</f>
        <v>1</v>
      </c>
      <c r="M176" s="4" t="b">
        <f>AND(((K176)=TRUE), ((NOT(((L176)=TRUE)))=TRUE))</f>
        <v>0</v>
      </c>
      <c r="N176" s="4" t="b">
        <f>AND(((J176)=TRUE), ((O176 = 0)=TRUE))</f>
        <v>0</v>
      </c>
      <c r="O176" s="4">
        <f>COUNTIFS(AccessDenialTests!C2:C18, A176)</f>
        <v>0</v>
      </c>
      <c r="P176" s="3" t="s">
        <v>9779</v>
      </c>
    </row>
    <row r="177">
      <c r="A177" s="3" t="s">
        <v>9974</v>
      </c>
      <c r="B177" s="4" t="str">
        <f>C177 &amp; " " &amp; E177 &amp; " " &amp; D177</f>
        <v>principal-knowledge-authority SELECT SemanticMappings</v>
      </c>
      <c r="C177" s="3" t="s">
        <v>9774</v>
      </c>
      <c r="D177" s="3" t="s">
        <v>4130</v>
      </c>
      <c r="E177" s="3" t="s">
        <v>9777</v>
      </c>
      <c r="F177" s="3" t="s">
        <v>168</v>
      </c>
      <c r="G177" s="3" t="s">
        <v>168</v>
      </c>
      <c r="H177" s="3" t="s">
        <v>9853</v>
      </c>
      <c r="I177" s="3" t="b">
        <v>0</v>
      </c>
      <c r="J177" s="4" t="b">
        <f>OR(((E177 = "INSERT")=TRUE), ((E177 = "UPDATE")=TRUE), ((E177 = "DELETE")=TRUE), ((E177 = "ALL")=TRUE))</f>
        <v>0</v>
      </c>
      <c r="K177" s="4" t="b">
        <f>F177 = ""</f>
        <v>1</v>
      </c>
      <c r="L177" s="4" t="b">
        <f>_xlfn.IFNA(IF(((INDEX(AccessPrincipals!G2:G13, MATCH(C177,AccessPrincipals!A2:A13, 0))="")=TRUE),  "",  INDEX(AccessPrincipals!G2:G13, MATCH(C177,AccessPrincipals!A2:A13, 0))), "")</f>
        <v>1</v>
      </c>
      <c r="M177" s="4" t="b">
        <f>AND(((K177)=TRUE), ((NOT(((L177)=TRUE)))=TRUE))</f>
        <v>0</v>
      </c>
      <c r="N177" s="4" t="b">
        <f>AND(((J177)=TRUE), ((O177 = 0)=TRUE))</f>
        <v>0</v>
      </c>
      <c r="O177" s="4">
        <f>COUNTIFS(AccessDenialTests!C2:C18, A177)</f>
        <v>0</v>
      </c>
      <c r="P177" s="3" t="s">
        <v>9779</v>
      </c>
    </row>
    <row r="178">
      <c r="A178" s="3" t="s">
        <v>9975</v>
      </c>
      <c r="B178" s="4" t="str">
        <f>C178 &amp; " " &amp; E178 &amp; " " &amp; D178</f>
        <v>principal-knowledge-authority SELECT SendIntents</v>
      </c>
      <c r="C178" s="3" t="s">
        <v>9774</v>
      </c>
      <c r="D178" s="3" t="s">
        <v>4728</v>
      </c>
      <c r="E178" s="3" t="s">
        <v>9777</v>
      </c>
      <c r="F178" s="3" t="s">
        <v>168</v>
      </c>
      <c r="G178" s="3" t="s">
        <v>168</v>
      </c>
      <c r="H178" s="3" t="s">
        <v>9853</v>
      </c>
      <c r="I178" s="3" t="b">
        <v>0</v>
      </c>
      <c r="J178" s="4" t="b">
        <f>OR(((E178 = "INSERT")=TRUE), ((E178 = "UPDATE")=TRUE), ((E178 = "DELETE")=TRUE), ((E178 = "ALL")=TRUE))</f>
        <v>0</v>
      </c>
      <c r="K178" s="4" t="b">
        <f>F178 = ""</f>
        <v>1</v>
      </c>
      <c r="L178" s="4" t="b">
        <f>_xlfn.IFNA(IF(((INDEX(AccessPrincipals!G2:G13, MATCH(C178,AccessPrincipals!A2:A13, 0))="")=TRUE),  "",  INDEX(AccessPrincipals!G2:G13, MATCH(C178,AccessPrincipals!A2:A13, 0))), "")</f>
        <v>1</v>
      </c>
      <c r="M178" s="4" t="b">
        <f>AND(((K178)=TRUE), ((NOT(((L178)=TRUE)))=TRUE))</f>
        <v>0</v>
      </c>
      <c r="N178" s="4" t="b">
        <f>AND(((J178)=TRUE), ((O178 = 0)=TRUE))</f>
        <v>0</v>
      </c>
      <c r="O178" s="4">
        <f>COUNTIFS(AccessDenialTests!C2:C18, A178)</f>
        <v>0</v>
      </c>
      <c r="P178" s="3" t="s">
        <v>9779</v>
      </c>
    </row>
    <row r="179">
      <c r="A179" s="3" t="s">
        <v>9976</v>
      </c>
      <c r="B179" s="4" t="str">
        <f>C179 &amp; " " &amp; E179 &amp; " " &amp; D179</f>
        <v>principal-knowledge-authority SELECT StepActions</v>
      </c>
      <c r="C179" s="3" t="s">
        <v>9774</v>
      </c>
      <c r="D179" s="3" t="s">
        <v>3028</v>
      </c>
      <c r="E179" s="3" t="s">
        <v>9777</v>
      </c>
      <c r="F179" s="3" t="s">
        <v>168</v>
      </c>
      <c r="G179" s="3" t="s">
        <v>168</v>
      </c>
      <c r="H179" s="3" t="s">
        <v>9853</v>
      </c>
      <c r="I179" s="3" t="b">
        <v>0</v>
      </c>
      <c r="J179" s="4" t="b">
        <f>OR(((E179 = "INSERT")=TRUE), ((E179 = "UPDATE")=TRUE), ((E179 = "DELETE")=TRUE), ((E179 = "ALL")=TRUE))</f>
        <v>0</v>
      </c>
      <c r="K179" s="4" t="b">
        <f>F179 = ""</f>
        <v>1</v>
      </c>
      <c r="L179" s="4" t="b">
        <f>_xlfn.IFNA(IF(((INDEX(AccessPrincipals!G2:G13, MATCH(C179,AccessPrincipals!A2:A13, 0))="")=TRUE),  "",  INDEX(AccessPrincipals!G2:G13, MATCH(C179,AccessPrincipals!A2:A13, 0))), "")</f>
        <v>1</v>
      </c>
      <c r="M179" s="4" t="b">
        <f>AND(((K179)=TRUE), ((NOT(((L179)=TRUE)))=TRUE))</f>
        <v>0</v>
      </c>
      <c r="N179" s="4" t="b">
        <f>AND(((J179)=TRUE), ((O179 = 0)=TRUE))</f>
        <v>0</v>
      </c>
      <c r="O179" s="4">
        <f>COUNTIFS(AccessDenialTests!C2:C18, A179)</f>
        <v>0</v>
      </c>
      <c r="P179" s="3" t="s">
        <v>9779</v>
      </c>
    </row>
    <row r="180">
      <c r="A180" s="3" t="s">
        <v>9977</v>
      </c>
      <c r="B180" s="4" t="str">
        <f>C180 &amp; " " &amp; E180 &amp; " " &amp; D180</f>
        <v>principal-knowledge-authority SELECT StepExecutions</v>
      </c>
      <c r="C180" s="3" t="s">
        <v>9774</v>
      </c>
      <c r="D180" s="3" t="s">
        <v>1827</v>
      </c>
      <c r="E180" s="3" t="s">
        <v>9777</v>
      </c>
      <c r="F180" s="3" t="s">
        <v>168</v>
      </c>
      <c r="G180" s="3" t="s">
        <v>168</v>
      </c>
      <c r="H180" s="3" t="s">
        <v>9853</v>
      </c>
      <c r="I180" s="3" t="b">
        <v>0</v>
      </c>
      <c r="J180" s="4" t="b">
        <f>OR(((E180 = "INSERT")=TRUE), ((E180 = "UPDATE")=TRUE), ((E180 = "DELETE")=TRUE), ((E180 = "ALL")=TRUE))</f>
        <v>0</v>
      </c>
      <c r="K180" s="4" t="b">
        <f>F180 = ""</f>
        <v>1</v>
      </c>
      <c r="L180" s="4" t="b">
        <f>_xlfn.IFNA(IF(((INDEX(AccessPrincipals!G2:G13, MATCH(C180,AccessPrincipals!A2:A13, 0))="")=TRUE),  "",  INDEX(AccessPrincipals!G2:G13, MATCH(C180,AccessPrincipals!A2:A13, 0))), "")</f>
        <v>1</v>
      </c>
      <c r="M180" s="4" t="b">
        <f>AND(((K180)=TRUE), ((NOT(((L180)=TRUE)))=TRUE))</f>
        <v>0</v>
      </c>
      <c r="N180" s="4" t="b">
        <f>AND(((J180)=TRUE), ((O180 = 0)=TRUE))</f>
        <v>0</v>
      </c>
      <c r="O180" s="4">
        <f>COUNTIFS(AccessDenialTests!C2:C18, A180)</f>
        <v>0</v>
      </c>
      <c r="P180" s="3" t="s">
        <v>9779</v>
      </c>
    </row>
    <row r="181">
      <c r="A181" s="3" t="s">
        <v>9978</v>
      </c>
      <c r="B181" s="4" t="str">
        <f>C181 &amp; " " &amp; E181 &amp; " " &amp; D181</f>
        <v>principal-knowledge-authority SELECT StepFunctions</v>
      </c>
      <c r="C181" s="3" t="s">
        <v>9774</v>
      </c>
      <c r="D181" s="3" t="s">
        <v>3034</v>
      </c>
      <c r="E181" s="3" t="s">
        <v>9777</v>
      </c>
      <c r="F181" s="3" t="s">
        <v>168</v>
      </c>
      <c r="G181" s="3" t="s">
        <v>168</v>
      </c>
      <c r="H181" s="3" t="s">
        <v>9853</v>
      </c>
      <c r="I181" s="3" t="b">
        <v>0</v>
      </c>
      <c r="J181" s="4" t="b">
        <f>OR(((E181 = "INSERT")=TRUE), ((E181 = "UPDATE")=TRUE), ((E181 = "DELETE")=TRUE), ((E181 = "ALL")=TRUE))</f>
        <v>0</v>
      </c>
      <c r="K181" s="4" t="b">
        <f>F181 = ""</f>
        <v>1</v>
      </c>
      <c r="L181" s="4" t="b">
        <f>_xlfn.IFNA(IF(((INDEX(AccessPrincipals!G2:G13, MATCH(C181,AccessPrincipals!A2:A13, 0))="")=TRUE),  "",  INDEX(AccessPrincipals!G2:G13, MATCH(C181,AccessPrincipals!A2:A13, 0))), "")</f>
        <v>1</v>
      </c>
      <c r="M181" s="4" t="b">
        <f>AND(((K181)=TRUE), ((NOT(((L181)=TRUE)))=TRUE))</f>
        <v>0</v>
      </c>
      <c r="N181" s="4" t="b">
        <f>AND(((J181)=TRUE), ((O181 = 0)=TRUE))</f>
        <v>0</v>
      </c>
      <c r="O181" s="4">
        <f>COUNTIFS(AccessDenialTests!C2:C18, A181)</f>
        <v>0</v>
      </c>
      <c r="P181" s="3" t="s">
        <v>9779</v>
      </c>
    </row>
    <row r="182">
      <c r="A182" s="3" t="s">
        <v>9979</v>
      </c>
      <c r="B182" s="4" t="str">
        <f>C182 &amp; " " &amp; E182 &amp; " " &amp; D182</f>
        <v>principal-knowledge-authority SELECT StepRequirements</v>
      </c>
      <c r="C182" s="3" t="s">
        <v>9774</v>
      </c>
      <c r="D182" s="3" t="s">
        <v>3119</v>
      </c>
      <c r="E182" s="3" t="s">
        <v>9777</v>
      </c>
      <c r="F182" s="3" t="s">
        <v>168</v>
      </c>
      <c r="G182" s="3" t="s">
        <v>168</v>
      </c>
      <c r="H182" s="3" t="s">
        <v>9853</v>
      </c>
      <c r="I182" s="3" t="b">
        <v>0</v>
      </c>
      <c r="J182" s="4" t="b">
        <f>OR(((E182 = "INSERT")=TRUE), ((E182 = "UPDATE")=TRUE), ((E182 = "DELETE")=TRUE), ((E182 = "ALL")=TRUE))</f>
        <v>0</v>
      </c>
      <c r="K182" s="4" t="b">
        <f>F182 = ""</f>
        <v>1</v>
      </c>
      <c r="L182" s="4" t="b">
        <f>_xlfn.IFNA(IF(((INDEX(AccessPrincipals!G2:G13, MATCH(C182,AccessPrincipals!A2:A13, 0))="")=TRUE),  "",  INDEX(AccessPrincipals!G2:G13, MATCH(C182,AccessPrincipals!A2:A13, 0))), "")</f>
        <v>1</v>
      </c>
      <c r="M182" s="4" t="b">
        <f>AND(((K182)=TRUE), ((NOT(((L182)=TRUE)))=TRUE))</f>
        <v>0</v>
      </c>
      <c r="N182" s="4" t="b">
        <f>AND(((J182)=TRUE), ((O182 = 0)=TRUE))</f>
        <v>0</v>
      </c>
      <c r="O182" s="4">
        <f>COUNTIFS(AccessDenialTests!C2:C18, A182)</f>
        <v>0</v>
      </c>
      <c r="P182" s="3" t="s">
        <v>9779</v>
      </c>
    </row>
    <row r="183">
      <c r="A183" s="3" t="s">
        <v>9980</v>
      </c>
      <c r="B183" s="4" t="str">
        <f>C183 &amp; " " &amp; E183 &amp; " " &amp; D183</f>
        <v>principal-knowledge-authority SELECT StepTools</v>
      </c>
      <c r="C183" s="3" t="s">
        <v>9774</v>
      </c>
      <c r="D183" s="3" t="s">
        <v>3040</v>
      </c>
      <c r="E183" s="3" t="s">
        <v>9777</v>
      </c>
      <c r="F183" s="3" t="s">
        <v>168</v>
      </c>
      <c r="G183" s="3" t="s">
        <v>168</v>
      </c>
      <c r="H183" s="3" t="s">
        <v>9853</v>
      </c>
      <c r="I183" s="3" t="b">
        <v>0</v>
      </c>
      <c r="J183" s="4" t="b">
        <f>OR(((E183 = "INSERT")=TRUE), ((E183 = "UPDATE")=TRUE), ((E183 = "DELETE")=TRUE), ((E183 = "ALL")=TRUE))</f>
        <v>0</v>
      </c>
      <c r="K183" s="4" t="b">
        <f>F183 = ""</f>
        <v>1</v>
      </c>
      <c r="L183" s="4" t="b">
        <f>_xlfn.IFNA(IF(((INDEX(AccessPrincipals!G2:G13, MATCH(C183,AccessPrincipals!A2:A13, 0))="")=TRUE),  "",  INDEX(AccessPrincipals!G2:G13, MATCH(C183,AccessPrincipals!A2:A13, 0))), "")</f>
        <v>1</v>
      </c>
      <c r="M183" s="4" t="b">
        <f>AND(((K183)=TRUE), ((NOT(((L183)=TRUE)))=TRUE))</f>
        <v>0</v>
      </c>
      <c r="N183" s="4" t="b">
        <f>AND(((J183)=TRUE), ((O183 = 0)=TRUE))</f>
        <v>0</v>
      </c>
      <c r="O183" s="4">
        <f>COUNTIFS(AccessDenialTests!C2:C18, A183)</f>
        <v>0</v>
      </c>
      <c r="P183" s="3" t="s">
        <v>9779</v>
      </c>
    </row>
    <row r="184">
      <c r="A184" s="3" t="s">
        <v>9981</v>
      </c>
      <c r="B184" s="4" t="str">
        <f>C184 &amp; " " &amp; E184 &amp; " " &amp; D184</f>
        <v>principal-knowledge-authority SELECT StepTransitions</v>
      </c>
      <c r="C184" s="3" t="s">
        <v>9774</v>
      </c>
      <c r="D184" s="3" t="s">
        <v>1784</v>
      </c>
      <c r="E184" s="3" t="s">
        <v>9777</v>
      </c>
      <c r="F184" s="3" t="s">
        <v>168</v>
      </c>
      <c r="G184" s="3" t="s">
        <v>168</v>
      </c>
      <c r="H184" s="3" t="s">
        <v>9853</v>
      </c>
      <c r="I184" s="3" t="b">
        <v>0</v>
      </c>
      <c r="J184" s="4" t="b">
        <f>OR(((E184 = "INSERT")=TRUE), ((E184 = "UPDATE")=TRUE), ((E184 = "DELETE")=TRUE), ((E184 = "ALL")=TRUE))</f>
        <v>0</v>
      </c>
      <c r="K184" s="4" t="b">
        <f>F184 = ""</f>
        <v>1</v>
      </c>
      <c r="L184" s="4" t="b">
        <f>_xlfn.IFNA(IF(((INDEX(AccessPrincipals!G2:G13, MATCH(C184,AccessPrincipals!A2:A13, 0))="")=TRUE),  "",  INDEX(AccessPrincipals!G2:G13, MATCH(C184,AccessPrincipals!A2:A13, 0))), "")</f>
        <v>1</v>
      </c>
      <c r="M184" s="4" t="b">
        <f>AND(((K184)=TRUE), ((NOT(((L184)=TRUE)))=TRUE))</f>
        <v>0</v>
      </c>
      <c r="N184" s="4" t="b">
        <f>AND(((J184)=TRUE), ((O184 = 0)=TRUE))</f>
        <v>0</v>
      </c>
      <c r="O184" s="4">
        <f>COUNTIFS(AccessDenialTests!C2:C18, A184)</f>
        <v>0</v>
      </c>
      <c r="P184" s="3" t="s">
        <v>9779</v>
      </c>
    </row>
    <row r="185">
      <c r="A185" s="3" t="s">
        <v>9982</v>
      </c>
      <c r="B185" s="4" t="str">
        <f>C185 &amp; " " &amp; E185 &amp; " " &amp; D185</f>
        <v>principal-knowledge-authority SELECT StepVerifications</v>
      </c>
      <c r="C185" s="3" t="s">
        <v>9774</v>
      </c>
      <c r="D185" s="3" t="s">
        <v>1808</v>
      </c>
      <c r="E185" s="3" t="s">
        <v>9777</v>
      </c>
      <c r="F185" s="3" t="s">
        <v>168</v>
      </c>
      <c r="G185" s="3" t="s">
        <v>168</v>
      </c>
      <c r="H185" s="3" t="s">
        <v>9853</v>
      </c>
      <c r="I185" s="3" t="b">
        <v>0</v>
      </c>
      <c r="J185" s="4" t="b">
        <f>OR(((E185 = "INSERT")=TRUE), ((E185 = "UPDATE")=TRUE), ((E185 = "DELETE")=TRUE), ((E185 = "ALL")=TRUE))</f>
        <v>0</v>
      </c>
      <c r="K185" s="4" t="b">
        <f>F185 = ""</f>
        <v>1</v>
      </c>
      <c r="L185" s="4" t="b">
        <f>_xlfn.IFNA(IF(((INDEX(AccessPrincipals!G2:G13, MATCH(C185,AccessPrincipals!A2:A13, 0))="")=TRUE),  "",  INDEX(AccessPrincipals!G2:G13, MATCH(C185,AccessPrincipals!A2:A13, 0))), "")</f>
        <v>1</v>
      </c>
      <c r="M185" s="4" t="b">
        <f>AND(((K185)=TRUE), ((NOT(((L185)=TRUE)))=TRUE))</f>
        <v>0</v>
      </c>
      <c r="N185" s="4" t="b">
        <f>AND(((J185)=TRUE), ((O185 = 0)=TRUE))</f>
        <v>0</v>
      </c>
      <c r="O185" s="4">
        <f>COUNTIFS(AccessDenialTests!C2:C18, A185)</f>
        <v>0</v>
      </c>
      <c r="P185" s="3" t="s">
        <v>9779</v>
      </c>
    </row>
    <row r="186">
      <c r="A186" s="3" t="s">
        <v>9983</v>
      </c>
      <c r="B186" s="4" t="str">
        <f>C186 &amp; " " &amp; E186 &amp; " " &amp; D186</f>
        <v>principal-knowledge-authority SELECT Steps</v>
      </c>
      <c r="C186" s="3" t="s">
        <v>9774</v>
      </c>
      <c r="D186" s="3" t="s">
        <v>1778</v>
      </c>
      <c r="E186" s="3" t="s">
        <v>9777</v>
      </c>
      <c r="F186" s="3" t="s">
        <v>168</v>
      </c>
      <c r="G186" s="3" t="s">
        <v>168</v>
      </c>
      <c r="H186" s="3" t="s">
        <v>9853</v>
      </c>
      <c r="I186" s="3" t="b">
        <v>0</v>
      </c>
      <c r="J186" s="4" t="b">
        <f>OR(((E186 = "INSERT")=TRUE), ((E186 = "UPDATE")=TRUE), ((E186 = "DELETE")=TRUE), ((E186 = "ALL")=TRUE))</f>
        <v>0</v>
      </c>
      <c r="K186" s="4" t="b">
        <f>F186 = ""</f>
        <v>1</v>
      </c>
      <c r="L186" s="4" t="b">
        <f>_xlfn.IFNA(IF(((INDEX(AccessPrincipals!G2:G13, MATCH(C186,AccessPrincipals!A2:A13, 0))="")=TRUE),  "",  INDEX(AccessPrincipals!G2:G13, MATCH(C186,AccessPrincipals!A2:A13, 0))), "")</f>
        <v>1</v>
      </c>
      <c r="M186" s="4" t="b">
        <f>AND(((K186)=TRUE), ((NOT(((L186)=TRUE)))=TRUE))</f>
        <v>0</v>
      </c>
      <c r="N186" s="4" t="b">
        <f>AND(((J186)=TRUE), ((O186 = 0)=TRUE))</f>
        <v>0</v>
      </c>
      <c r="O186" s="4">
        <f>COUNTIFS(AccessDenialTests!C2:C18, A186)</f>
        <v>0</v>
      </c>
      <c r="P186" s="3" t="s">
        <v>9779</v>
      </c>
    </row>
    <row r="187">
      <c r="A187" s="3" t="s">
        <v>9984</v>
      </c>
      <c r="B187" s="4" t="str">
        <f>C187 &amp; " " &amp; E187 &amp; " " &amp; D187</f>
        <v>principal-knowledge-authority SELECT StewardshipAssignments</v>
      </c>
      <c r="C187" s="3" t="s">
        <v>9774</v>
      </c>
      <c r="D187" s="3" t="s">
        <v>1859</v>
      </c>
      <c r="E187" s="3" t="s">
        <v>9777</v>
      </c>
      <c r="F187" s="3" t="s">
        <v>168</v>
      </c>
      <c r="G187" s="3" t="s">
        <v>168</v>
      </c>
      <c r="H187" s="3" t="s">
        <v>9853</v>
      </c>
      <c r="I187" s="3" t="b">
        <v>0</v>
      </c>
      <c r="J187" s="4" t="b">
        <f>OR(((E187 = "INSERT")=TRUE), ((E187 = "UPDATE")=TRUE), ((E187 = "DELETE")=TRUE), ((E187 = "ALL")=TRUE))</f>
        <v>0</v>
      </c>
      <c r="K187" s="4" t="b">
        <f>F187 = ""</f>
        <v>1</v>
      </c>
      <c r="L187" s="4" t="b">
        <f>_xlfn.IFNA(IF(((INDEX(AccessPrincipals!G2:G13, MATCH(C187,AccessPrincipals!A2:A13, 0))="")=TRUE),  "",  INDEX(AccessPrincipals!G2:G13, MATCH(C187,AccessPrincipals!A2:A13, 0))), "")</f>
        <v>1</v>
      </c>
      <c r="M187" s="4" t="b">
        <f>AND(((K187)=TRUE), ((NOT(((L187)=TRUE)))=TRUE))</f>
        <v>0</v>
      </c>
      <c r="N187" s="4" t="b">
        <f>AND(((J187)=TRUE), ((O187 = 0)=TRUE))</f>
        <v>0</v>
      </c>
      <c r="O187" s="4">
        <f>COUNTIFS(AccessDenialTests!C2:C18, A187)</f>
        <v>0</v>
      </c>
      <c r="P187" s="3" t="s">
        <v>9779</v>
      </c>
    </row>
    <row r="188">
      <c r="A188" s="3" t="s">
        <v>9985</v>
      </c>
      <c r="B188" s="4" t="str">
        <f>C188 &amp; " " &amp; E188 &amp; " " &amp; D188</f>
        <v>principal-knowledge-authority SELECT TemplateApprovals</v>
      </c>
      <c r="C188" s="3" t="s">
        <v>9774</v>
      </c>
      <c r="D188" s="3" t="s">
        <v>4698</v>
      </c>
      <c r="E188" s="3" t="s">
        <v>9777</v>
      </c>
      <c r="F188" s="3" t="s">
        <v>168</v>
      </c>
      <c r="G188" s="3" t="s">
        <v>168</v>
      </c>
      <c r="H188" s="3" t="s">
        <v>9853</v>
      </c>
      <c r="I188" s="3" t="b">
        <v>0</v>
      </c>
      <c r="J188" s="4" t="b">
        <f>OR(((E188 = "INSERT")=TRUE), ((E188 = "UPDATE")=TRUE), ((E188 = "DELETE")=TRUE), ((E188 = "ALL")=TRUE))</f>
        <v>0</v>
      </c>
      <c r="K188" s="4" t="b">
        <f>F188 = ""</f>
        <v>1</v>
      </c>
      <c r="L188" s="4" t="b">
        <f>_xlfn.IFNA(IF(((INDEX(AccessPrincipals!G2:G13, MATCH(C188,AccessPrincipals!A2:A13, 0))="")=TRUE),  "",  INDEX(AccessPrincipals!G2:G13, MATCH(C188,AccessPrincipals!A2:A13, 0))), "")</f>
        <v>1</v>
      </c>
      <c r="M188" s="4" t="b">
        <f>AND(((K188)=TRUE), ((NOT(((L188)=TRUE)))=TRUE))</f>
        <v>0</v>
      </c>
      <c r="N188" s="4" t="b">
        <f>AND(((J188)=TRUE), ((O188 = 0)=TRUE))</f>
        <v>0</v>
      </c>
      <c r="O188" s="4">
        <f>COUNTIFS(AccessDenialTests!C2:C18, A188)</f>
        <v>0</v>
      </c>
      <c r="P188" s="3" t="s">
        <v>9779</v>
      </c>
    </row>
    <row r="189">
      <c r="A189" s="3" t="s">
        <v>9986</v>
      </c>
      <c r="B189" s="4" t="str">
        <f>C189 &amp; " " &amp; E189 &amp; " " &amp; D189</f>
        <v>principal-knowledge-authority SELECT TestCases</v>
      </c>
      <c r="C189" s="3" t="s">
        <v>9774</v>
      </c>
      <c r="D189" s="3" t="s">
        <v>4209</v>
      </c>
      <c r="E189" s="3" t="s">
        <v>9777</v>
      </c>
      <c r="F189" s="3" t="s">
        <v>168</v>
      </c>
      <c r="G189" s="3" t="s">
        <v>168</v>
      </c>
      <c r="H189" s="3" t="s">
        <v>9853</v>
      </c>
      <c r="I189" s="3" t="b">
        <v>0</v>
      </c>
      <c r="J189" s="4" t="b">
        <f>OR(((E189 = "INSERT")=TRUE), ((E189 = "UPDATE")=TRUE), ((E189 = "DELETE")=TRUE), ((E189 = "ALL")=TRUE))</f>
        <v>0</v>
      </c>
      <c r="K189" s="4" t="b">
        <f>F189 = ""</f>
        <v>1</v>
      </c>
      <c r="L189" s="4" t="b">
        <f>_xlfn.IFNA(IF(((INDEX(AccessPrincipals!G2:G13, MATCH(C189,AccessPrincipals!A2:A13, 0))="")=TRUE),  "",  INDEX(AccessPrincipals!G2:G13, MATCH(C189,AccessPrincipals!A2:A13, 0))), "")</f>
        <v>1</v>
      </c>
      <c r="M189" s="4" t="b">
        <f>AND(((K189)=TRUE), ((NOT(((L189)=TRUE)))=TRUE))</f>
        <v>0</v>
      </c>
      <c r="N189" s="4" t="b">
        <f>AND(((J189)=TRUE), ((O189 = 0)=TRUE))</f>
        <v>0</v>
      </c>
      <c r="O189" s="4">
        <f>COUNTIFS(AccessDenialTests!C2:C18, A189)</f>
        <v>0</v>
      </c>
      <c r="P189" s="3" t="s">
        <v>9779</v>
      </c>
    </row>
    <row r="190">
      <c r="A190" s="3" t="s">
        <v>9987</v>
      </c>
      <c r="B190" s="4" t="str">
        <f>C190 &amp; " " &amp; E190 &amp; " " &amp; D190</f>
        <v>principal-knowledge-authority SELECT TestSuites</v>
      </c>
      <c r="C190" s="3" t="s">
        <v>9774</v>
      </c>
      <c r="D190" s="3" t="s">
        <v>4191</v>
      </c>
      <c r="E190" s="3" t="s">
        <v>9777</v>
      </c>
      <c r="F190" s="3" t="s">
        <v>168</v>
      </c>
      <c r="G190" s="3" t="s">
        <v>168</v>
      </c>
      <c r="H190" s="3" t="s">
        <v>9853</v>
      </c>
      <c r="I190" s="3" t="b">
        <v>0</v>
      </c>
      <c r="J190" s="4" t="b">
        <f>OR(((E190 = "INSERT")=TRUE), ((E190 = "UPDATE")=TRUE), ((E190 = "DELETE")=TRUE), ((E190 = "ALL")=TRUE))</f>
        <v>0</v>
      </c>
      <c r="K190" s="4" t="b">
        <f>F190 = ""</f>
        <v>1</v>
      </c>
      <c r="L190" s="4" t="b">
        <f>_xlfn.IFNA(IF(((INDEX(AccessPrincipals!G2:G13, MATCH(C190,AccessPrincipals!A2:A13, 0))="")=TRUE),  "",  INDEX(AccessPrincipals!G2:G13, MATCH(C190,AccessPrincipals!A2:A13, 0))), "")</f>
        <v>1</v>
      </c>
      <c r="M190" s="4" t="b">
        <f>AND(((K190)=TRUE), ((NOT(((L190)=TRUE)))=TRUE))</f>
        <v>0</v>
      </c>
      <c r="N190" s="4" t="b">
        <f>AND(((J190)=TRUE), ((O190 = 0)=TRUE))</f>
        <v>0</v>
      </c>
      <c r="O190" s="4">
        <f>COUNTIFS(AccessDenialTests!C2:C18, A190)</f>
        <v>0</v>
      </c>
      <c r="P190" s="3" t="s">
        <v>9779</v>
      </c>
    </row>
    <row r="191">
      <c r="A191" s="3" t="s">
        <v>9988</v>
      </c>
      <c r="B191" s="4" t="str">
        <f>C191 &amp; " " &amp; E191 &amp; " " &amp; D191</f>
        <v>principal-knowledge-authority SELECT Tools</v>
      </c>
      <c r="C191" s="3" t="s">
        <v>9774</v>
      </c>
      <c r="D191" s="3" t="s">
        <v>1802</v>
      </c>
      <c r="E191" s="3" t="s">
        <v>9777</v>
      </c>
      <c r="F191" s="3" t="s">
        <v>168</v>
      </c>
      <c r="G191" s="3" t="s">
        <v>168</v>
      </c>
      <c r="H191" s="3" t="s">
        <v>9853</v>
      </c>
      <c r="I191" s="3" t="b">
        <v>0</v>
      </c>
      <c r="J191" s="4" t="b">
        <f>OR(((E191 = "INSERT")=TRUE), ((E191 = "UPDATE")=TRUE), ((E191 = "DELETE")=TRUE), ((E191 = "ALL")=TRUE))</f>
        <v>0</v>
      </c>
      <c r="K191" s="4" t="b">
        <f>F191 = ""</f>
        <v>1</v>
      </c>
      <c r="L191" s="4" t="b">
        <f>_xlfn.IFNA(IF(((INDEX(AccessPrincipals!G2:G13, MATCH(C191,AccessPrincipals!A2:A13, 0))="")=TRUE),  "",  INDEX(AccessPrincipals!G2:G13, MATCH(C191,AccessPrincipals!A2:A13, 0))), "")</f>
        <v>1</v>
      </c>
      <c r="M191" s="4" t="b">
        <f>AND(((K191)=TRUE), ((NOT(((L191)=TRUE)))=TRUE))</f>
        <v>0</v>
      </c>
      <c r="N191" s="4" t="b">
        <f>AND(((J191)=TRUE), ((O191 = 0)=TRUE))</f>
        <v>0</v>
      </c>
      <c r="O191" s="4">
        <f>COUNTIFS(AccessDenialTests!C2:C18, A191)</f>
        <v>0</v>
      </c>
      <c r="P191" s="3" t="s">
        <v>9779</v>
      </c>
    </row>
    <row r="192">
      <c r="A192" s="3" t="s">
        <v>9989</v>
      </c>
      <c r="B192" s="4" t="str">
        <f>C192 &amp; " " &amp; E192 &amp; " " &amp; D192</f>
        <v>principal-knowledge-authority SELECT UserFeedback</v>
      </c>
      <c r="C192" s="3" t="s">
        <v>9774</v>
      </c>
      <c r="D192" s="3" t="s">
        <v>1842</v>
      </c>
      <c r="E192" s="3" t="s">
        <v>9777</v>
      </c>
      <c r="F192" s="3" t="s">
        <v>168</v>
      </c>
      <c r="G192" s="3" t="s">
        <v>168</v>
      </c>
      <c r="H192" s="3" t="s">
        <v>9853</v>
      </c>
      <c r="I192" s="3" t="b">
        <v>0</v>
      </c>
      <c r="J192" s="4" t="b">
        <f>OR(((E192 = "INSERT")=TRUE), ((E192 = "UPDATE")=TRUE), ((E192 = "DELETE")=TRUE), ((E192 = "ALL")=TRUE))</f>
        <v>0</v>
      </c>
      <c r="K192" s="4" t="b">
        <f>F192 = ""</f>
        <v>1</v>
      </c>
      <c r="L192" s="4" t="b">
        <f>_xlfn.IFNA(IF(((INDEX(AccessPrincipals!G2:G13, MATCH(C192,AccessPrincipals!A2:A13, 0))="")=TRUE),  "",  INDEX(AccessPrincipals!G2:G13, MATCH(C192,AccessPrincipals!A2:A13, 0))), "")</f>
        <v>1</v>
      </c>
      <c r="M192" s="4" t="b">
        <f>AND(((K192)=TRUE), ((NOT(((L192)=TRUE)))=TRUE))</f>
        <v>0</v>
      </c>
      <c r="N192" s="4" t="b">
        <f>AND(((J192)=TRUE), ((O192 = 0)=TRUE))</f>
        <v>0</v>
      </c>
      <c r="O192" s="4">
        <f>COUNTIFS(AccessDenialTests!C2:C18, A192)</f>
        <v>0</v>
      </c>
      <c r="P192" s="3" t="s">
        <v>9779</v>
      </c>
    </row>
    <row r="193">
      <c r="A193" s="3" t="s">
        <v>9990</v>
      </c>
      <c r="B193" s="4" t="str">
        <f>C193 &amp; " " &amp; E193 &amp; " " &amp; D193</f>
        <v>principal-knowledge-authority SELECT UserQuestions</v>
      </c>
      <c r="C193" s="3" t="s">
        <v>9774</v>
      </c>
      <c r="D193" s="3" t="s">
        <v>1839</v>
      </c>
      <c r="E193" s="3" t="s">
        <v>9777</v>
      </c>
      <c r="F193" s="3" t="s">
        <v>168</v>
      </c>
      <c r="G193" s="3" t="s">
        <v>168</v>
      </c>
      <c r="H193" s="3" t="s">
        <v>9853</v>
      </c>
      <c r="I193" s="3" t="b">
        <v>0</v>
      </c>
      <c r="J193" s="4" t="b">
        <f>OR(((E193 = "INSERT")=TRUE), ((E193 = "UPDATE")=TRUE), ((E193 = "DELETE")=TRUE), ((E193 = "ALL")=TRUE))</f>
        <v>0</v>
      </c>
      <c r="K193" s="4" t="b">
        <f>F193 = ""</f>
        <v>1</v>
      </c>
      <c r="L193" s="4" t="b">
        <f>_xlfn.IFNA(IF(((INDEX(AccessPrincipals!G2:G13, MATCH(C193,AccessPrincipals!A2:A13, 0))="")=TRUE),  "",  INDEX(AccessPrincipals!G2:G13, MATCH(C193,AccessPrincipals!A2:A13, 0))), "")</f>
        <v>1</v>
      </c>
      <c r="M193" s="4" t="b">
        <f>AND(((K193)=TRUE), ((NOT(((L193)=TRUE)))=TRUE))</f>
        <v>0</v>
      </c>
      <c r="N193" s="4" t="b">
        <f>AND(((J193)=TRUE), ((O193 = 0)=TRUE))</f>
        <v>0</v>
      </c>
      <c r="O193" s="4">
        <f>COUNTIFS(AccessDenialTests!C2:C18, A193)</f>
        <v>0</v>
      </c>
      <c r="P193" s="3" t="s">
        <v>9779</v>
      </c>
    </row>
    <row r="194">
      <c r="A194" s="3" t="s">
        <v>9991</v>
      </c>
      <c r="B194" s="4" t="str">
        <f>C194 &amp; " " &amp; E194 &amp; " " &amp; D194</f>
        <v>principal-knowledge-authority SELECT VerificationOutcomes</v>
      </c>
      <c r="C194" s="3" t="s">
        <v>9774</v>
      </c>
      <c r="D194" s="3" t="s">
        <v>4337</v>
      </c>
      <c r="E194" s="3" t="s">
        <v>9777</v>
      </c>
      <c r="F194" s="3" t="s">
        <v>168</v>
      </c>
      <c r="G194" s="3" t="s">
        <v>168</v>
      </c>
      <c r="H194" s="3" t="s">
        <v>9853</v>
      </c>
      <c r="I194" s="3" t="b">
        <v>0</v>
      </c>
      <c r="J194" s="4" t="b">
        <f>OR(((E194 = "INSERT")=TRUE), ((E194 = "UPDATE")=TRUE), ((E194 = "DELETE")=TRUE), ((E194 = "ALL")=TRUE))</f>
        <v>0</v>
      </c>
      <c r="K194" s="4" t="b">
        <f>F194 = ""</f>
        <v>1</v>
      </c>
      <c r="L194" s="4" t="b">
        <f>_xlfn.IFNA(IF(((INDEX(AccessPrincipals!G2:G13, MATCH(C194,AccessPrincipals!A2:A13, 0))="")=TRUE),  "",  INDEX(AccessPrincipals!G2:G13, MATCH(C194,AccessPrincipals!A2:A13, 0))), "")</f>
        <v>1</v>
      </c>
      <c r="M194" s="4" t="b">
        <f>AND(((K194)=TRUE), ((NOT(((L194)=TRUE)))=TRUE))</f>
        <v>0</v>
      </c>
      <c r="N194" s="4" t="b">
        <f>AND(((J194)=TRUE), ((O194 = 0)=TRUE))</f>
        <v>0</v>
      </c>
      <c r="O194" s="4">
        <f>COUNTIFS(AccessDenialTests!C2:C18, A194)</f>
        <v>0</v>
      </c>
      <c r="P194" s="3" t="s">
        <v>9779</v>
      </c>
    </row>
    <row r="195">
      <c r="A195" s="3" t="s">
        <v>9992</v>
      </c>
      <c r="B195" s="4" t="str">
        <f>C195 &amp; " " &amp; E195 &amp; " " &amp; D195</f>
        <v>principal-knowledge-authority SELECT WitnessLoops</v>
      </c>
      <c r="C195" s="3" t="s">
        <v>9774</v>
      </c>
      <c r="D195" s="3" t="s">
        <v>4140</v>
      </c>
      <c r="E195" s="3" t="s">
        <v>9777</v>
      </c>
      <c r="F195" s="3" t="s">
        <v>168</v>
      </c>
      <c r="G195" s="3" t="s">
        <v>168</v>
      </c>
      <c r="H195" s="3" t="s">
        <v>9853</v>
      </c>
      <c r="I195" s="3" t="b">
        <v>0</v>
      </c>
      <c r="J195" s="4" t="b">
        <f>OR(((E195 = "INSERT")=TRUE), ((E195 = "UPDATE")=TRUE), ((E195 = "DELETE")=TRUE), ((E195 = "ALL")=TRUE))</f>
        <v>0</v>
      </c>
      <c r="K195" s="4" t="b">
        <f>F195 = ""</f>
        <v>1</v>
      </c>
      <c r="L195" s="4" t="b">
        <f>_xlfn.IFNA(IF(((INDEX(AccessPrincipals!G2:G13, MATCH(C195,AccessPrincipals!A2:A13, 0))="")=TRUE),  "",  INDEX(AccessPrincipals!G2:G13, MATCH(C195,AccessPrincipals!A2:A13, 0))), "")</f>
        <v>1</v>
      </c>
      <c r="M195" s="4" t="b">
        <f>AND(((K195)=TRUE), ((NOT(((L195)=TRUE)))=TRUE))</f>
        <v>0</v>
      </c>
      <c r="N195" s="4" t="b">
        <f>AND(((J195)=TRUE), ((O195 = 0)=TRUE))</f>
        <v>0</v>
      </c>
      <c r="O195" s="4">
        <f>COUNTIFS(AccessDenialTests!C2:C18, A195)</f>
        <v>0</v>
      </c>
      <c r="P195" s="3" t="s">
        <v>9779</v>
      </c>
    </row>
    <row r="196">
      <c r="A196" s="3" t="s">
        <v>9993</v>
      </c>
      <c r="B196" s="4" t="str">
        <f>C196 &amp; " " &amp; E196 &amp; " " &amp; D196</f>
        <v>principal-process-steward SELECT ProcessMiningRuns</v>
      </c>
      <c r="C196" s="3" t="s">
        <v>9772</v>
      </c>
      <c r="D196" s="3" t="s">
        <v>1889</v>
      </c>
      <c r="E196" s="3" t="s">
        <v>9777</v>
      </c>
      <c r="F196" s="3" t="s">
        <v>168</v>
      </c>
      <c r="G196" s="3" t="s">
        <v>168</v>
      </c>
      <c r="H196" s="3" t="s">
        <v>9994</v>
      </c>
      <c r="I196" s="3"/>
      <c r="J196" s="4" t="b">
        <f>OR(((E196 = "INSERT")=TRUE), ((E196 = "UPDATE")=TRUE), ((E196 = "DELETE")=TRUE), ((E196 = "ALL")=TRUE))</f>
        <v>0</v>
      </c>
      <c r="K196" s="4" t="b">
        <f>F196 = ""</f>
        <v>1</v>
      </c>
      <c r="L196" s="4" t="b">
        <f>_xlfn.IFNA(IF(((INDEX(AccessPrincipals!G2:G13, MATCH(C196,AccessPrincipals!A2:A13, 0))="")=TRUE),  "",  INDEX(AccessPrincipals!G2:G13, MATCH(C196,AccessPrincipals!A2:A13, 0))), "")</f>
        <v>1</v>
      </c>
      <c r="M196" s="4" t="b">
        <f>AND(((K196)=TRUE), ((NOT(((L196)=TRUE)))=TRUE))</f>
        <v>0</v>
      </c>
      <c r="N196" s="4" t="b">
        <f>AND(((J196)=TRUE), ((O196 = 0)=TRUE))</f>
        <v>0</v>
      </c>
      <c r="O196" s="4">
        <f>COUNTIFS(AccessDenialTests!C2:C18, A196)</f>
        <v>0</v>
      </c>
      <c r="P196" s="3" t="s">
        <v>9779</v>
      </c>
    </row>
    <row r="197">
      <c r="A197" s="3" t="s">
        <v>9995</v>
      </c>
      <c r="B197" s="4" t="str">
        <f>C197 &amp; " " &amp; E197 &amp; " " &amp; D197</f>
        <v>principal-process-steward SELECT Vocabularies</v>
      </c>
      <c r="C197" s="3" t="s">
        <v>9772</v>
      </c>
      <c r="D197" s="3" t="s">
        <v>1893</v>
      </c>
      <c r="E197" s="3" t="s">
        <v>9777</v>
      </c>
      <c r="F197" s="3" t="s">
        <v>168</v>
      </c>
      <c r="G197" s="3" t="s">
        <v>168</v>
      </c>
      <c r="H197" s="3" t="s">
        <v>9994</v>
      </c>
      <c r="I197" s="3"/>
      <c r="J197" s="4" t="b">
        <f>OR(((E197 = "INSERT")=TRUE), ((E197 = "UPDATE")=TRUE), ((E197 = "DELETE")=TRUE), ((E197 = "ALL")=TRUE))</f>
        <v>0</v>
      </c>
      <c r="K197" s="4" t="b">
        <f>F197 = ""</f>
        <v>1</v>
      </c>
      <c r="L197" s="4" t="b">
        <f>_xlfn.IFNA(IF(((INDEX(AccessPrincipals!G2:G13, MATCH(C197,AccessPrincipals!A2:A13, 0))="")=TRUE),  "",  INDEX(AccessPrincipals!G2:G13, MATCH(C197,AccessPrincipals!A2:A13, 0))), "")</f>
        <v>1</v>
      </c>
      <c r="M197" s="4" t="b">
        <f>AND(((K197)=TRUE), ((NOT(((L197)=TRUE)))=TRUE))</f>
        <v>0</v>
      </c>
      <c r="N197" s="4" t="b">
        <f>AND(((J197)=TRUE), ((O197 = 0)=TRUE))</f>
        <v>0</v>
      </c>
      <c r="O197" s="4">
        <f>COUNTIFS(AccessDenialTests!C2:C18, A197)</f>
        <v>0</v>
      </c>
      <c r="P197" s="3" t="s">
        <v>9779</v>
      </c>
    </row>
    <row r="198">
      <c r="A198" s="3" t="s">
        <v>9996</v>
      </c>
      <c r="B198" s="4" t="str">
        <f>C198 &amp; " " &amp; E198 &amp; " " &amp; D198</f>
        <v>principal-process-steward SELECT VocabularyTerms</v>
      </c>
      <c r="C198" s="3" t="s">
        <v>9772</v>
      </c>
      <c r="D198" s="3" t="s">
        <v>1897</v>
      </c>
      <c r="E198" s="3" t="s">
        <v>9777</v>
      </c>
      <c r="F198" s="3" t="s">
        <v>168</v>
      </c>
      <c r="G198" s="3" t="s">
        <v>168</v>
      </c>
      <c r="H198" s="3" t="s">
        <v>9994</v>
      </c>
      <c r="I198" s="3"/>
      <c r="J198" s="4" t="b">
        <f>OR(((E198 = "INSERT")=TRUE), ((E198 = "UPDATE")=TRUE), ((E198 = "DELETE")=TRUE), ((E198 = "ALL")=TRUE))</f>
        <v>0</v>
      </c>
      <c r="K198" s="4" t="b">
        <f>F198 = ""</f>
        <v>1</v>
      </c>
      <c r="L198" s="4" t="b">
        <f>_xlfn.IFNA(IF(((INDEX(AccessPrincipals!G2:G13, MATCH(C198,AccessPrincipals!A2:A13, 0))="")=TRUE),  "",  INDEX(AccessPrincipals!G2:G13, MATCH(C198,AccessPrincipals!A2:A13, 0))), "")</f>
        <v>1</v>
      </c>
      <c r="M198" s="4" t="b">
        <f>AND(((K198)=TRUE), ((NOT(((L198)=TRUE)))=TRUE))</f>
        <v>0</v>
      </c>
      <c r="N198" s="4" t="b">
        <f>AND(((J198)=TRUE), ((O198 = 0)=TRUE))</f>
        <v>0</v>
      </c>
      <c r="O198" s="4">
        <f>COUNTIFS(AccessDenialTests!C2:C18, A198)</f>
        <v>0</v>
      </c>
      <c r="P198" s="3" t="s">
        <v>9779</v>
      </c>
    </row>
    <row r="199">
      <c r="A199" s="3" t="s">
        <v>9997</v>
      </c>
      <c r="B199" s="4" t="str">
        <f>C199 &amp; " " &amp; E199 &amp; " " &amp; D199</f>
        <v>principal-process-steward SELECT KnowledgeBrokerLinks</v>
      </c>
      <c r="C199" s="3" t="s">
        <v>9772</v>
      </c>
      <c r="D199" s="3" t="s">
        <v>1901</v>
      </c>
      <c r="E199" s="3" t="s">
        <v>9777</v>
      </c>
      <c r="F199" s="3" t="s">
        <v>168</v>
      </c>
      <c r="G199" s="3" t="s">
        <v>168</v>
      </c>
      <c r="H199" s="3" t="s">
        <v>9994</v>
      </c>
      <c r="I199" s="3"/>
      <c r="J199" s="4" t="b">
        <f>OR(((E199 = "INSERT")=TRUE), ((E199 = "UPDATE")=TRUE), ((E199 = "DELETE")=TRUE), ((E199 = "ALL")=TRUE))</f>
        <v>0</v>
      </c>
      <c r="K199" s="4" t="b">
        <f>F199 = ""</f>
        <v>1</v>
      </c>
      <c r="L199" s="4" t="b">
        <f>_xlfn.IFNA(IF(((INDEX(AccessPrincipals!G2:G13, MATCH(C199,AccessPrincipals!A2:A13, 0))="")=TRUE),  "",  INDEX(AccessPrincipals!G2:G13, MATCH(C199,AccessPrincipals!A2:A13, 0))), "")</f>
        <v>1</v>
      </c>
      <c r="M199" s="4" t="b">
        <f>AND(((K199)=TRUE), ((NOT(((L199)=TRUE)))=TRUE))</f>
        <v>0</v>
      </c>
      <c r="N199" s="4" t="b">
        <f>AND(((J199)=TRUE), ((O199 = 0)=TRUE))</f>
        <v>0</v>
      </c>
      <c r="O199" s="4">
        <f>COUNTIFS(AccessDenialTests!C2:C18, A199)</f>
        <v>0</v>
      </c>
      <c r="P199" s="3" t="s">
        <v>9779</v>
      </c>
    </row>
    <row r="200">
      <c r="A200" s="3" t="s">
        <v>9998</v>
      </c>
      <c r="B200" s="4" t="str">
        <f>C200 &amp; " " &amp; E200 &amp; " " &amp; D200</f>
        <v>principal-knowledge-authority SELECT ProcessMiningRuns</v>
      </c>
      <c r="C200" s="3" t="s">
        <v>9774</v>
      </c>
      <c r="D200" s="3" t="s">
        <v>1889</v>
      </c>
      <c r="E200" s="3" t="s">
        <v>9777</v>
      </c>
      <c r="F200" s="3" t="s">
        <v>168</v>
      </c>
      <c r="G200" s="3" t="s">
        <v>168</v>
      </c>
      <c r="H200" s="3" t="s">
        <v>9994</v>
      </c>
      <c r="I200" s="3"/>
      <c r="J200" s="4" t="b">
        <f>OR(((E200 = "INSERT")=TRUE), ((E200 = "UPDATE")=TRUE), ((E200 = "DELETE")=TRUE), ((E200 = "ALL")=TRUE))</f>
        <v>0</v>
      </c>
      <c r="K200" s="4" t="b">
        <f>F200 = ""</f>
        <v>1</v>
      </c>
      <c r="L200" s="4" t="b">
        <f>_xlfn.IFNA(IF(((INDEX(AccessPrincipals!G2:G13, MATCH(C200,AccessPrincipals!A2:A13, 0))="")=TRUE),  "",  INDEX(AccessPrincipals!G2:G13, MATCH(C200,AccessPrincipals!A2:A13, 0))), "")</f>
        <v>1</v>
      </c>
      <c r="M200" s="4" t="b">
        <f>AND(((K200)=TRUE), ((NOT(((L200)=TRUE)))=TRUE))</f>
        <v>0</v>
      </c>
      <c r="N200" s="4" t="b">
        <f>AND(((J200)=TRUE), ((O200 = 0)=TRUE))</f>
        <v>0</v>
      </c>
      <c r="O200" s="4">
        <f>COUNTIFS(AccessDenialTests!C2:C18, A200)</f>
        <v>0</v>
      </c>
      <c r="P200" s="3" t="s">
        <v>9779</v>
      </c>
    </row>
    <row r="201">
      <c r="A201" s="3" t="s">
        <v>9999</v>
      </c>
      <c r="B201" s="4" t="str">
        <f>C201 &amp; " " &amp; E201 &amp; " " &amp; D201</f>
        <v>principal-knowledge-authority SELECT Vocabularies</v>
      </c>
      <c r="C201" s="3" t="s">
        <v>9774</v>
      </c>
      <c r="D201" s="3" t="s">
        <v>1893</v>
      </c>
      <c r="E201" s="3" t="s">
        <v>9777</v>
      </c>
      <c r="F201" s="3" t="s">
        <v>168</v>
      </c>
      <c r="G201" s="3" t="s">
        <v>168</v>
      </c>
      <c r="H201" s="3" t="s">
        <v>9994</v>
      </c>
      <c r="I201" s="3"/>
      <c r="J201" s="4" t="b">
        <f>OR(((E201 = "INSERT")=TRUE), ((E201 = "UPDATE")=TRUE), ((E201 = "DELETE")=TRUE), ((E201 = "ALL")=TRUE))</f>
        <v>0</v>
      </c>
      <c r="K201" s="4" t="b">
        <f>F201 = ""</f>
        <v>1</v>
      </c>
      <c r="L201" s="4" t="b">
        <f>_xlfn.IFNA(IF(((INDEX(AccessPrincipals!G2:G13, MATCH(C201,AccessPrincipals!A2:A13, 0))="")=TRUE),  "",  INDEX(AccessPrincipals!G2:G13, MATCH(C201,AccessPrincipals!A2:A13, 0))), "")</f>
        <v>1</v>
      </c>
      <c r="M201" s="4" t="b">
        <f>AND(((K201)=TRUE), ((NOT(((L201)=TRUE)))=TRUE))</f>
        <v>0</v>
      </c>
      <c r="N201" s="4" t="b">
        <f>AND(((J201)=TRUE), ((O201 = 0)=TRUE))</f>
        <v>0</v>
      </c>
      <c r="O201" s="4">
        <f>COUNTIFS(AccessDenialTests!C2:C18, A201)</f>
        <v>0</v>
      </c>
      <c r="P201" s="3" t="s">
        <v>9779</v>
      </c>
    </row>
    <row r="202">
      <c r="A202" s="3" t="s">
        <v>10000</v>
      </c>
      <c r="B202" s="4" t="str">
        <f>C202 &amp; " " &amp; E202 &amp; " " &amp; D202</f>
        <v>principal-knowledge-authority SELECT VocabularyTerms</v>
      </c>
      <c r="C202" s="3" t="s">
        <v>9774</v>
      </c>
      <c r="D202" s="3" t="s">
        <v>1897</v>
      </c>
      <c r="E202" s="3" t="s">
        <v>9777</v>
      </c>
      <c r="F202" s="3" t="s">
        <v>168</v>
      </c>
      <c r="G202" s="3" t="s">
        <v>168</v>
      </c>
      <c r="H202" s="3" t="s">
        <v>9994</v>
      </c>
      <c r="I202" s="3"/>
      <c r="J202" s="4" t="b">
        <f>OR(((E202 = "INSERT")=TRUE), ((E202 = "UPDATE")=TRUE), ((E202 = "DELETE")=TRUE), ((E202 = "ALL")=TRUE))</f>
        <v>0</v>
      </c>
      <c r="K202" s="4" t="b">
        <f>F202 = ""</f>
        <v>1</v>
      </c>
      <c r="L202" s="4" t="b">
        <f>_xlfn.IFNA(IF(((INDEX(AccessPrincipals!G2:G13, MATCH(C202,AccessPrincipals!A2:A13, 0))="")=TRUE),  "",  INDEX(AccessPrincipals!G2:G13, MATCH(C202,AccessPrincipals!A2:A13, 0))), "")</f>
        <v>1</v>
      </c>
      <c r="M202" s="4" t="b">
        <f>AND(((K202)=TRUE), ((NOT(((L202)=TRUE)))=TRUE))</f>
        <v>0</v>
      </c>
      <c r="N202" s="4" t="b">
        <f>AND(((J202)=TRUE), ((O202 = 0)=TRUE))</f>
        <v>0</v>
      </c>
      <c r="O202" s="4">
        <f>COUNTIFS(AccessDenialTests!C2:C18, A202)</f>
        <v>0</v>
      </c>
      <c r="P202" s="3" t="s">
        <v>9779</v>
      </c>
    </row>
    <row r="203">
      <c r="A203" s="3" t="s">
        <v>10001</v>
      </c>
      <c r="B203" s="4" t="str">
        <f>C203 &amp; " " &amp; E203 &amp; " " &amp; D203</f>
        <v>principal-knowledge-authority SELECT KnowledgeBrokerLinks</v>
      </c>
      <c r="C203" s="3" t="s">
        <v>9774</v>
      </c>
      <c r="D203" s="3" t="s">
        <v>1901</v>
      </c>
      <c r="E203" s="3" t="s">
        <v>9777</v>
      </c>
      <c r="F203" s="3" t="s">
        <v>168</v>
      </c>
      <c r="G203" s="3" t="s">
        <v>168</v>
      </c>
      <c r="H203" s="3" t="s">
        <v>9994</v>
      </c>
      <c r="I203" s="3"/>
      <c r="J203" s="4" t="b">
        <f>OR(((E203 = "INSERT")=TRUE), ((E203 = "UPDATE")=TRUE), ((E203 = "DELETE")=TRUE), ((E203 = "ALL")=TRUE))</f>
        <v>0</v>
      </c>
      <c r="K203" s="4" t="b">
        <f>F203 = ""</f>
        <v>1</v>
      </c>
      <c r="L203" s="4" t="b">
        <f>_xlfn.IFNA(IF(((INDEX(AccessPrincipals!G2:G13, MATCH(C203,AccessPrincipals!A2:A13, 0))="")=TRUE),  "",  INDEX(AccessPrincipals!G2:G13, MATCH(C203,AccessPrincipals!A2:A13, 0))), "")</f>
        <v>1</v>
      </c>
      <c r="M203" s="4" t="b">
        <f>AND(((K203)=TRUE), ((NOT(((L203)=TRUE)))=TRUE))</f>
        <v>0</v>
      </c>
      <c r="N203" s="4" t="b">
        <f>AND(((J203)=TRUE), ((O203 = 0)=TRUE))</f>
        <v>0</v>
      </c>
      <c r="O203" s="4">
        <f>COUNTIFS(AccessDenialTests!C2:C18, A203)</f>
        <v>0</v>
      </c>
      <c r="P203" s="3" t="s">
        <v>9779</v>
      </c>
    </row>
  </sheetData>
  <autoFilter ref="A1:P1"/>
  <headerFooter/>
  <legacyDrawing r:id="rId1"/>
</worksheet>
</file>

<file path=xl/worksheets/sheet7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3640"/>
  <sheetViews>
    <sheetView workbookViewId="0">
      <pane ySplit="1" topLeftCell="A2" state="frozen" activePane="bottomLeft"/>
      <selection pane="bottomLeft" activeCell="A1" sqref="A1"/>
    </sheetView>
  </sheetViews>
  <sheetFormatPr defaultRowHeight="15"/>
  <cols>
    <col min="1" max="1" width="84.30036163330078" customWidth="1"/>
    <col min="2" max="2" width="93.65895080566406" customWidth="1"/>
    <col min="3" max="3" width="33.99167251586914" customWidth="1"/>
    <col min="4" max="4" width="61.33533477783203" customWidth="1"/>
    <col min="5" max="5" width="17.443378448486328" customWidth="1"/>
    <col min="6" max="6" width="17.443378448486328" customWidth="1"/>
    <col min="7" max="7" width="17.443378448486328" customWidth="1"/>
    <col min="8" max="8" width="25.653127670288086" customWidth="1"/>
    <col min="9" max="9" width="41.25803756713867" customWidth="1"/>
    <col min="10" max="10" width="17.443378448486328" customWidth="1"/>
    <col min="11" max="11" width="22.50774574279785" customWidth="1"/>
    <col min="12" max="12" width="17.443378448486328" customWidth="1"/>
    <col min="13" max="13" width="56.90026092529297" customWidth="1"/>
    <col min="14" max="14" width="38.2347412109375" customWidth="1"/>
  </cols>
  <sheetData>
    <row r="1">
      <c r="A1" s="2" t="s">
        <v>5449</v>
      </c>
      <c r="B1" s="2" t="s">
        <v>1</v>
      </c>
      <c r="C1" s="2" t="s">
        <v>5417</v>
      </c>
      <c r="D1" s="2" t="s">
        <v>4219</v>
      </c>
      <c r="E1" s="2" t="s">
        <v>5455</v>
      </c>
      <c r="F1" s="2" t="s">
        <v>5457</v>
      </c>
      <c r="G1" s="2" t="s">
        <v>5459</v>
      </c>
      <c r="H1" s="2" t="s">
        <v>5461</v>
      </c>
      <c r="I1" s="2" t="s">
        <v>2405</v>
      </c>
      <c r="J1" s="2" t="s">
        <v>5466</v>
      </c>
      <c r="K1" s="2" t="s">
        <v>5469</v>
      </c>
      <c r="L1" s="2" t="s">
        <v>5472</v>
      </c>
      <c r="M1" s="2" t="s">
        <v>5475</v>
      </c>
      <c r="N1" s="2" t="s">
        <v>94</v>
      </c>
    </row>
    <row r="2">
      <c r="A2" s="3" t="s">
        <v>10002</v>
      </c>
      <c r="B2" s="4" t="str">
        <f>C2 &amp; " -&gt; " &amp; D2</f>
        <v>principal-finance-analyst -&gt; Steps.StepId</v>
      </c>
      <c r="C2" s="3" t="s">
        <v>9751</v>
      </c>
      <c r="D2" s="3" t="s">
        <v>2870</v>
      </c>
      <c r="E2" s="3" t="b">
        <v>1</v>
      </c>
      <c r="F2" s="3" t="b">
        <v>0</v>
      </c>
      <c r="G2" s="3" t="s">
        <v>10003</v>
      </c>
      <c r="H2" s="4" t="str">
        <f>_xlfn.IFNA(IF(((INDEX(RulebookFields!C2:C1898, MATCH(D2,RulebookFields!A2:A1898, 0))="")=TRUE),  "",  INDEX(RulebookFields!C2:C1898, MATCH(D2,RulebookFields!A2:A1898, 0))), "")</f>
        <v>Steps</v>
      </c>
      <c r="I2" s="4" t="str">
        <f>_xlfn.IFNA(IF(((INDEX(RulebookFields!D2:D1898, MATCH(D2,RulebookFields!A2:A1898, 0))="")=TRUE),  "",  INDEX(RulebookFields!D2:D1898, MATCH(D2,RulebookFields!A2:A1898, 0))), "")</f>
        <v>StepId</v>
      </c>
      <c r="J2" s="4" t="b">
        <f>_xlfn.IFNA(IF(((INDEX(RulebookFields!I2:I1898, MATCH(D2,RulebookFields!A2:A1898, 0))="")=TRUE),  "",  INDEX(RulebookFields!I2:I1898, MATCH(D2,RulebookFields!A2:A1898, 0))), "")</f>
        <v>0</v>
      </c>
      <c r="K2" s="4" t="b">
        <f>AND(((F2)=TRUE), ((J2)=TRUE))</f>
        <v>0</v>
      </c>
      <c r="L2" s="4" t="b">
        <f>AND(((G2 &lt;&gt; "plain")=TRUE), ((G2 &lt;&gt; "")=TRUE))</f>
        <v>0</v>
      </c>
      <c r="M2" s="4" t="str">
        <f>IF(((E2)=TRUE),  C2 &amp; "|" &amp; H2,  "")</f>
        <v>principal-finance-analyst|Steps</v>
      </c>
      <c r="N2" s="3" t="s">
        <v>10004</v>
      </c>
    </row>
    <row r="3">
      <c r="A3" s="3" t="s">
        <v>10005</v>
      </c>
      <c r="B3" s="4" t="str">
        <f>C3 &amp; " -&gt; " &amp; D3</f>
        <v>principal-finance-analyst -&gt; Steps.StepNumber</v>
      </c>
      <c r="C3" s="3" t="s">
        <v>9751</v>
      </c>
      <c r="D3" s="3" t="s">
        <v>2874</v>
      </c>
      <c r="E3" s="3" t="b">
        <v>1</v>
      </c>
      <c r="F3" s="3" t="b">
        <v>0</v>
      </c>
      <c r="G3" s="3" t="s">
        <v>10003</v>
      </c>
      <c r="H3" s="4" t="str">
        <f>_xlfn.IFNA(IF(((INDEX(RulebookFields!C2:C1898, MATCH(D3,RulebookFields!A2:A1898, 0))="")=TRUE),  "",  INDEX(RulebookFields!C2:C1898, MATCH(D3,RulebookFields!A2:A1898, 0))), "")</f>
        <v>Steps</v>
      </c>
      <c r="I3" s="4" t="str">
        <f>_xlfn.IFNA(IF(((INDEX(RulebookFields!D2:D1898, MATCH(D3,RulebookFields!A2:A1898, 0))="")=TRUE),  "",  INDEX(RulebookFields!D2:D1898, MATCH(D3,RulebookFields!A2:A1898, 0))), "")</f>
        <v>StepNumber</v>
      </c>
      <c r="J3" s="4" t="b">
        <f>_xlfn.IFNA(IF(((INDEX(RulebookFields!I2:I1898, MATCH(D3,RulebookFields!A2:A1898, 0))="")=TRUE),  "",  INDEX(RulebookFields!I2:I1898, MATCH(D3,RulebookFields!A2:A1898, 0))), "")</f>
        <v>0</v>
      </c>
      <c r="K3" s="4" t="b">
        <f>AND(((F3)=TRUE), ((J3)=TRUE))</f>
        <v>0</v>
      </c>
      <c r="L3" s="4" t="b">
        <f>AND(((G3 &lt;&gt; "plain")=TRUE), ((G3 &lt;&gt; "")=TRUE))</f>
        <v>0</v>
      </c>
      <c r="M3" s="4" t="str">
        <f>IF(((E3)=TRUE),  C3 &amp; "|" &amp; H3,  "")</f>
        <v>principal-finance-analyst|Steps</v>
      </c>
      <c r="N3" s="3" t="s">
        <v>10004</v>
      </c>
    </row>
    <row r="4">
      <c r="A4" s="3" t="s">
        <v>10006</v>
      </c>
      <c r="B4" s="4" t="str">
        <f>C4 &amp; " -&gt; " &amp; D4</f>
        <v>principal-finance-analyst -&gt; Steps.Title</v>
      </c>
      <c r="C4" s="3" t="s">
        <v>9751</v>
      </c>
      <c r="D4" s="3" t="s">
        <v>2875</v>
      </c>
      <c r="E4" s="3" t="b">
        <v>1</v>
      </c>
      <c r="F4" s="3" t="b">
        <v>0</v>
      </c>
      <c r="G4" s="3" t="s">
        <v>10003</v>
      </c>
      <c r="H4" s="4" t="str">
        <f>_xlfn.IFNA(IF(((INDEX(RulebookFields!C2:C1898, MATCH(D4,RulebookFields!A2:A1898, 0))="")=TRUE),  "",  INDEX(RulebookFields!C2:C1898, MATCH(D4,RulebookFields!A2:A1898, 0))), "")</f>
        <v>Steps</v>
      </c>
      <c r="I4" s="4" t="str">
        <f>_xlfn.IFNA(IF(((INDEX(RulebookFields!D2:D1898, MATCH(D4,RulebookFields!A2:A1898, 0))="")=TRUE),  "",  INDEX(RulebookFields!D2:D1898, MATCH(D4,RulebookFields!A2:A1898, 0))), "")</f>
        <v>Title</v>
      </c>
      <c r="J4" s="4" t="b">
        <f>_xlfn.IFNA(IF(((INDEX(RulebookFields!I2:I1898, MATCH(D4,RulebookFields!A2:A1898, 0))="")=TRUE),  "",  INDEX(RulebookFields!I2:I1898, MATCH(D4,RulebookFields!A2:A1898, 0))), "")</f>
        <v>0</v>
      </c>
      <c r="K4" s="4" t="b">
        <f>AND(((F4)=TRUE), ((J4)=TRUE))</f>
        <v>0</v>
      </c>
      <c r="L4" s="4" t="b">
        <f>AND(((G4 &lt;&gt; "plain")=TRUE), ((G4 &lt;&gt; "")=TRUE))</f>
        <v>0</v>
      </c>
      <c r="M4" s="4" t="str">
        <f>IF(((E4)=TRUE),  C4 &amp; "|" &amp; H4,  "")</f>
        <v>principal-finance-analyst|Steps</v>
      </c>
      <c r="N4" s="3" t="s">
        <v>10004</v>
      </c>
    </row>
    <row r="5">
      <c r="A5" s="3" t="s">
        <v>10007</v>
      </c>
      <c r="B5" s="4" t="str">
        <f>C5 &amp; " -&gt; " &amp; D5</f>
        <v>principal-finance-analyst -&gt; Steps.StepKind</v>
      </c>
      <c r="C5" s="3" t="s">
        <v>9751</v>
      </c>
      <c r="D5" s="3" t="s">
        <v>2876</v>
      </c>
      <c r="E5" s="3" t="b">
        <v>1</v>
      </c>
      <c r="F5" s="3" t="b">
        <v>0</v>
      </c>
      <c r="G5" s="3" t="s">
        <v>10003</v>
      </c>
      <c r="H5" s="4" t="str">
        <f>_xlfn.IFNA(IF(((INDEX(RulebookFields!C2:C1898, MATCH(D5,RulebookFields!A2:A1898, 0))="")=TRUE),  "",  INDEX(RulebookFields!C2:C1898, MATCH(D5,RulebookFields!A2:A1898, 0))), "")</f>
        <v>Steps</v>
      </c>
      <c r="I5" s="4" t="str">
        <f>_xlfn.IFNA(IF(((INDEX(RulebookFields!D2:D1898, MATCH(D5,RulebookFields!A2:A1898, 0))="")=TRUE),  "",  INDEX(RulebookFields!D2:D1898, MATCH(D5,RulebookFields!A2:A1898, 0))), "")</f>
        <v>StepKind</v>
      </c>
      <c r="J5" s="4" t="b">
        <f>_xlfn.IFNA(IF(((INDEX(RulebookFields!I2:I1898, MATCH(D5,RulebookFields!A2:A1898, 0))="")=TRUE),  "",  INDEX(RulebookFields!I2:I1898, MATCH(D5,RulebookFields!A2:A1898, 0))), "")</f>
        <v>0</v>
      </c>
      <c r="K5" s="4" t="b">
        <f>AND(((F5)=TRUE), ((J5)=TRUE))</f>
        <v>0</v>
      </c>
      <c r="L5" s="4" t="b">
        <f>AND(((G5 &lt;&gt; "plain")=TRUE), ((G5 &lt;&gt; "")=TRUE))</f>
        <v>0</v>
      </c>
      <c r="M5" s="4" t="str">
        <f>IF(((E5)=TRUE),  C5 &amp; "|" &amp; H5,  "")</f>
        <v>principal-finance-analyst|Steps</v>
      </c>
      <c r="N5" s="3" t="s">
        <v>10004</v>
      </c>
    </row>
    <row r="6">
      <c r="A6" s="3" t="s">
        <v>10008</v>
      </c>
      <c r="B6" s="4" t="str">
        <f>C6 &amp; " -&gt; " &amp; D6</f>
        <v>principal-finance-analyst -&gt; Steps.Instruction</v>
      </c>
      <c r="C6" s="3" t="s">
        <v>9751</v>
      </c>
      <c r="D6" s="3" t="s">
        <v>2882</v>
      </c>
      <c r="E6" s="3" t="b">
        <v>1</v>
      </c>
      <c r="F6" s="3" t="b">
        <v>0</v>
      </c>
      <c r="G6" s="3" t="s">
        <v>10003</v>
      </c>
      <c r="H6" s="4" t="str">
        <f>_xlfn.IFNA(IF(((INDEX(RulebookFields!C2:C1898, MATCH(D6,RulebookFields!A2:A1898, 0))="")=TRUE),  "",  INDEX(RulebookFields!C2:C1898, MATCH(D6,RulebookFields!A2:A1898, 0))), "")</f>
        <v>Steps</v>
      </c>
      <c r="I6" s="4" t="str">
        <f>_xlfn.IFNA(IF(((INDEX(RulebookFields!D2:D1898, MATCH(D6,RulebookFields!A2:A1898, 0))="")=TRUE),  "",  INDEX(RulebookFields!D2:D1898, MATCH(D6,RulebookFields!A2:A1898, 0))), "")</f>
        <v>Instruction</v>
      </c>
      <c r="J6" s="4" t="b">
        <f>_xlfn.IFNA(IF(((INDEX(RulebookFields!I2:I1898, MATCH(D6,RulebookFields!A2:A1898, 0))="")=TRUE),  "",  INDEX(RulebookFields!I2:I1898, MATCH(D6,RulebookFields!A2:A1898, 0))), "")</f>
        <v>0</v>
      </c>
      <c r="K6" s="4" t="b">
        <f>AND(((F6)=TRUE), ((J6)=TRUE))</f>
        <v>0</v>
      </c>
      <c r="L6" s="4" t="b">
        <f>AND(((G6 &lt;&gt; "plain")=TRUE), ((G6 &lt;&gt; "")=TRUE))</f>
        <v>0</v>
      </c>
      <c r="M6" s="4" t="str">
        <f>IF(((E6)=TRUE),  C6 &amp; "|" &amp; H6,  "")</f>
        <v>principal-finance-analyst|Steps</v>
      </c>
      <c r="N6" s="3" t="s">
        <v>10004</v>
      </c>
    </row>
    <row r="7">
      <c r="A7" s="3" t="s">
        <v>10009</v>
      </c>
      <c r="B7" s="4" t="str">
        <f>C7 &amp; " -&gt; " &amp; D7</f>
        <v>principal-finance-analyst -&gt; Steps.AssignedRole</v>
      </c>
      <c r="C7" s="3" t="s">
        <v>9751</v>
      </c>
      <c r="D7" s="3" t="s">
        <v>2877</v>
      </c>
      <c r="E7" s="3" t="b">
        <v>1</v>
      </c>
      <c r="F7" s="3" t="b">
        <v>0</v>
      </c>
      <c r="G7" s="3" t="s">
        <v>10003</v>
      </c>
      <c r="H7" s="4" t="str">
        <f>_xlfn.IFNA(IF(((INDEX(RulebookFields!C2:C1898, MATCH(D7,RulebookFields!A2:A1898, 0))="")=TRUE),  "",  INDEX(RulebookFields!C2:C1898, MATCH(D7,RulebookFields!A2:A1898, 0))), "")</f>
        <v>Steps</v>
      </c>
      <c r="I7" s="4" t="str">
        <f>_xlfn.IFNA(IF(((INDEX(RulebookFields!D2:D1898, MATCH(D7,RulebookFields!A2:A1898, 0))="")=TRUE),  "",  INDEX(RulebookFields!D2:D1898, MATCH(D7,RulebookFields!A2:A1898, 0))), "")</f>
        <v>AssignedRole</v>
      </c>
      <c r="J7" s="4" t="b">
        <f>_xlfn.IFNA(IF(((INDEX(RulebookFields!I2:I1898, MATCH(D7,RulebookFields!A2:A1898, 0))="")=TRUE),  "",  INDEX(RulebookFields!I2:I1898, MATCH(D7,RulebookFields!A2:A1898, 0))), "")</f>
        <v>0</v>
      </c>
      <c r="K7" s="4" t="b">
        <f>AND(((F7)=TRUE), ((J7)=TRUE))</f>
        <v>0</v>
      </c>
      <c r="L7" s="4" t="b">
        <f>AND(((G7 &lt;&gt; "plain")=TRUE), ((G7 &lt;&gt; "")=TRUE))</f>
        <v>0</v>
      </c>
      <c r="M7" s="4" t="str">
        <f>IF(((E7)=TRUE),  C7 &amp; "|" &amp; H7,  "")</f>
        <v>principal-finance-analyst|Steps</v>
      </c>
      <c r="N7" s="3" t="s">
        <v>10004</v>
      </c>
    </row>
    <row r="8">
      <c r="A8" s="3" t="s">
        <v>10010</v>
      </c>
      <c r="B8" s="4" t="str">
        <f>C8 &amp; " -&gt; " &amp; D8</f>
        <v>principal-finance-analyst -&gt; Steps.AssignedRoleLabel</v>
      </c>
      <c r="C8" s="3" t="s">
        <v>9751</v>
      </c>
      <c r="D8" s="3" t="s">
        <v>2878</v>
      </c>
      <c r="E8" s="3" t="b">
        <v>1</v>
      </c>
      <c r="F8" s="3" t="b">
        <v>0</v>
      </c>
      <c r="G8" s="3" t="s">
        <v>10003</v>
      </c>
      <c r="H8" s="4" t="str">
        <f>_xlfn.IFNA(IF(((INDEX(RulebookFields!C2:C1898, MATCH(D8,RulebookFields!A2:A1898, 0))="")=TRUE),  "",  INDEX(RulebookFields!C2:C1898, MATCH(D8,RulebookFields!A2:A1898, 0))), "")</f>
        <v>Steps</v>
      </c>
      <c r="I8" s="4" t="str">
        <f>_xlfn.IFNA(IF(((INDEX(RulebookFields!D2:D1898, MATCH(D8,RulebookFields!A2:A1898, 0))="")=TRUE),  "",  INDEX(RulebookFields!D2:D1898, MATCH(D8,RulebookFields!A2:A1898, 0))), "")</f>
        <v>AssignedRoleLabel</v>
      </c>
      <c r="J8" s="4" t="b">
        <f>_xlfn.IFNA(IF(((INDEX(RulebookFields!I2:I1898, MATCH(D8,RulebookFields!A2:A1898, 0))="")=TRUE),  "",  INDEX(RulebookFields!I2:I1898, MATCH(D8,RulebookFields!A2:A1898, 0))), "")</f>
        <v>1</v>
      </c>
      <c r="K8" s="4" t="b">
        <f>AND(((F8)=TRUE), ((J8)=TRUE))</f>
        <v>0</v>
      </c>
      <c r="L8" s="4" t="b">
        <f>AND(((G8 &lt;&gt; "plain")=TRUE), ((G8 &lt;&gt; "")=TRUE))</f>
        <v>0</v>
      </c>
      <c r="M8" s="4" t="str">
        <f>IF(((E8)=TRUE),  C8 &amp; "|" &amp; H8,  "")</f>
        <v>principal-finance-analyst|Steps</v>
      </c>
      <c r="N8" s="3" t="s">
        <v>10004</v>
      </c>
    </row>
    <row r="9">
      <c r="A9" s="3" t="s">
        <v>10011</v>
      </c>
      <c r="B9" s="4" t="str">
        <f>C9 &amp; " -&gt; " &amp; D9</f>
        <v>principal-finance-analyst -&gt; Steps.ProcedureVersion</v>
      </c>
      <c r="C9" s="3" t="s">
        <v>9751</v>
      </c>
      <c r="D9" s="3" t="s">
        <v>2873</v>
      </c>
      <c r="E9" s="3" t="b">
        <v>1</v>
      </c>
      <c r="F9" s="3" t="b">
        <v>0</v>
      </c>
      <c r="G9" s="3" t="s">
        <v>10003</v>
      </c>
      <c r="H9" s="4" t="str">
        <f>_xlfn.IFNA(IF(((INDEX(RulebookFields!C2:C1898, MATCH(D9,RulebookFields!A2:A1898, 0))="")=TRUE),  "",  INDEX(RulebookFields!C2:C1898, MATCH(D9,RulebookFields!A2:A1898, 0))), "")</f>
        <v>Steps</v>
      </c>
      <c r="I9" s="4" t="str">
        <f>_xlfn.IFNA(IF(((INDEX(RulebookFields!D2:D1898, MATCH(D9,RulebookFields!A2:A1898, 0))="")=TRUE),  "",  INDEX(RulebookFields!D2:D1898, MATCH(D9,RulebookFields!A2:A1898, 0))), "")</f>
        <v>ProcedureVersion</v>
      </c>
      <c r="J9" s="4" t="b">
        <f>_xlfn.IFNA(IF(((INDEX(RulebookFields!I2:I1898, MATCH(D9,RulebookFields!A2:A1898, 0))="")=TRUE),  "",  INDEX(RulebookFields!I2:I1898, MATCH(D9,RulebookFields!A2:A1898, 0))), "")</f>
        <v>0</v>
      </c>
      <c r="K9" s="4" t="b">
        <f>AND(((F9)=TRUE), ((J9)=TRUE))</f>
        <v>0</v>
      </c>
      <c r="L9" s="4" t="b">
        <f>AND(((G9 &lt;&gt; "plain")=TRUE), ((G9 &lt;&gt; "")=TRUE))</f>
        <v>0</v>
      </c>
      <c r="M9" s="4" t="str">
        <f>IF(((E9)=TRUE),  C9 &amp; "|" &amp; H9,  "")</f>
        <v>principal-finance-analyst|Steps</v>
      </c>
      <c r="N9" s="3" t="s">
        <v>10004</v>
      </c>
    </row>
    <row r="10">
      <c r="A10" s="3" t="s">
        <v>10012</v>
      </c>
      <c r="B10" s="4" t="str">
        <f>C10 &amp; " -&gt; " &amp; D10</f>
        <v>principal-finance-analyst -&gt; Steps.Name</v>
      </c>
      <c r="C10" s="3" t="s">
        <v>9751</v>
      </c>
      <c r="D10" s="3" t="s">
        <v>2871</v>
      </c>
      <c r="E10" s="3" t="b">
        <v>1</v>
      </c>
      <c r="F10" s="3" t="b">
        <v>0</v>
      </c>
      <c r="G10" s="3" t="s">
        <v>10003</v>
      </c>
      <c r="H10" s="4" t="str">
        <f>_xlfn.IFNA(IF(((INDEX(RulebookFields!C2:C1898, MATCH(D10,RulebookFields!A2:A1898, 0))="")=TRUE),  "",  INDEX(RulebookFields!C2:C1898, MATCH(D10,RulebookFields!A2:A1898, 0))), "")</f>
        <v>Steps</v>
      </c>
      <c r="I10" s="4" t="str">
        <f>_xlfn.IFNA(IF(((INDEX(RulebookFields!D2:D1898, MATCH(D10,RulebookFields!A2:A1898, 0))="")=TRUE),  "",  INDEX(RulebookFields!D2:D1898, MATCH(D10,RulebookFields!A2:A1898, 0))), "")</f>
        <v>Name</v>
      </c>
      <c r="J10" s="4" t="b">
        <f>_xlfn.IFNA(IF(((INDEX(RulebookFields!I2:I1898, MATCH(D10,RulebookFields!A2:A1898, 0))="")=TRUE),  "",  INDEX(RulebookFields!I2:I1898, MATCH(D10,RulebookFields!A2:A1898, 0))), "")</f>
        <v>1</v>
      </c>
      <c r="K10" s="4" t="b">
        <f>AND(((F10)=TRUE), ((J10)=TRUE))</f>
        <v>0</v>
      </c>
      <c r="L10" s="4" t="b">
        <f>AND(((G10 &lt;&gt; "plain")=TRUE), ((G10 &lt;&gt; "")=TRUE))</f>
        <v>0</v>
      </c>
      <c r="M10" s="4" t="str">
        <f>IF(((E10)=TRUE),  C10 &amp; "|" &amp; H10,  "")</f>
        <v>principal-finance-analyst|Steps</v>
      </c>
      <c r="N10" s="3" t="s">
        <v>10004</v>
      </c>
    </row>
    <row r="11">
      <c r="A11" s="3" t="s">
        <v>10013</v>
      </c>
      <c r="B11" s="4" t="str">
        <f>C11 &amp; " -&gt; " &amp; D11</f>
        <v>principal-finance-analyst -&gt; Steps.IsApprovalStep</v>
      </c>
      <c r="C11" s="3" t="s">
        <v>9751</v>
      </c>
      <c r="D11" s="3" t="s">
        <v>2898</v>
      </c>
      <c r="E11" s="3" t="b">
        <v>1</v>
      </c>
      <c r="F11" s="3" t="b">
        <v>0</v>
      </c>
      <c r="G11" s="3" t="s">
        <v>10003</v>
      </c>
      <c r="H11" s="4" t="str">
        <f>_xlfn.IFNA(IF(((INDEX(RulebookFields!C2:C1898, MATCH(D11,RulebookFields!A2:A1898, 0))="")=TRUE),  "",  INDEX(RulebookFields!C2:C1898, MATCH(D11,RulebookFields!A2:A1898, 0))), "")</f>
        <v>Steps</v>
      </c>
      <c r="I11" s="4" t="str">
        <f>_xlfn.IFNA(IF(((INDEX(RulebookFields!D2:D1898, MATCH(D11,RulebookFields!A2:A1898, 0))="")=TRUE),  "",  INDEX(RulebookFields!D2:D1898, MATCH(D11,RulebookFields!A2:A1898, 0))), "")</f>
        <v>IsApprovalStep</v>
      </c>
      <c r="J11" s="4" t="b">
        <f>_xlfn.IFNA(IF(((INDEX(RulebookFields!I2:I1898, MATCH(D11,RulebookFields!A2:A1898, 0))="")=TRUE),  "",  INDEX(RulebookFields!I2:I1898, MATCH(D11,RulebookFields!A2:A1898, 0))), "")</f>
        <v>1</v>
      </c>
      <c r="K11" s="4" t="b">
        <f>AND(((F11)=TRUE), ((J11)=TRUE))</f>
        <v>0</v>
      </c>
      <c r="L11" s="4" t="b">
        <f>AND(((G11 &lt;&gt; "plain")=TRUE), ((G11 &lt;&gt; "")=TRUE))</f>
        <v>0</v>
      </c>
      <c r="M11" s="4" t="str">
        <f>IF(((E11)=TRUE),  C11 &amp; "|" &amp; H11,  "")</f>
        <v>principal-finance-analyst|Steps</v>
      </c>
      <c r="N11" s="3" t="s">
        <v>10004</v>
      </c>
    </row>
    <row r="12">
      <c r="A12" s="3" t="s">
        <v>10014</v>
      </c>
      <c r="B12" s="4" t="str">
        <f>C12 &amp; " -&gt; " &amp; D12</f>
        <v>principal-finance-analyst -&gt; Steps.RequiresHumanConfirmation</v>
      </c>
      <c r="C12" s="3" t="s">
        <v>9751</v>
      </c>
      <c r="D12" s="3" t="s">
        <v>2885</v>
      </c>
      <c r="E12" s="3" t="b">
        <v>1</v>
      </c>
      <c r="F12" s="3" t="b">
        <v>0</v>
      </c>
      <c r="G12" s="3" t="s">
        <v>10003</v>
      </c>
      <c r="H12" s="4" t="str">
        <f>_xlfn.IFNA(IF(((INDEX(RulebookFields!C2:C1898, MATCH(D12,RulebookFields!A2:A1898, 0))="")=TRUE),  "",  INDEX(RulebookFields!C2:C1898, MATCH(D12,RulebookFields!A2:A1898, 0))), "")</f>
        <v>Steps</v>
      </c>
      <c r="I12" s="4" t="str">
        <f>_xlfn.IFNA(IF(((INDEX(RulebookFields!D2:D1898, MATCH(D12,RulebookFields!A2:A1898, 0))="")=TRUE),  "",  INDEX(RulebookFields!D2:D1898, MATCH(D12,RulebookFields!A2:A1898, 0))), "")</f>
        <v>RequiresHumanConfirmation</v>
      </c>
      <c r="J12" s="4" t="b">
        <f>_xlfn.IFNA(IF(((INDEX(RulebookFields!I2:I1898, MATCH(D12,RulebookFields!A2:A1898, 0))="")=TRUE),  "",  INDEX(RulebookFields!I2:I1898, MATCH(D12,RulebookFields!A2:A1898, 0))), "")</f>
        <v>0</v>
      </c>
      <c r="K12" s="4" t="b">
        <f>AND(((F12)=TRUE), ((J12)=TRUE))</f>
        <v>0</v>
      </c>
      <c r="L12" s="4" t="b">
        <f>AND(((G12 &lt;&gt; "plain")=TRUE), ((G12 &lt;&gt; "")=TRUE))</f>
        <v>0</v>
      </c>
      <c r="M12" s="4" t="str">
        <f>IF(((E12)=TRUE),  C12 &amp; "|" &amp; H12,  "")</f>
        <v>principal-finance-analyst|Steps</v>
      </c>
      <c r="N12" s="3" t="s">
        <v>10004</v>
      </c>
    </row>
    <row r="13">
      <c r="A13" s="3" t="s">
        <v>10015</v>
      </c>
      <c r="B13" s="4" t="str">
        <f>C13 &amp; " -&gt; " &amp; D13</f>
        <v>principal-finance-analyst -&gt; Steps.ExpectedDurationMinutes</v>
      </c>
      <c r="C13" s="3" t="s">
        <v>9751</v>
      </c>
      <c r="D13" s="3" t="s">
        <v>2883</v>
      </c>
      <c r="E13" s="3" t="b">
        <v>1</v>
      </c>
      <c r="F13" s="3" t="b">
        <v>0</v>
      </c>
      <c r="G13" s="3" t="s">
        <v>10003</v>
      </c>
      <c r="H13" s="4" t="str">
        <f>_xlfn.IFNA(IF(((INDEX(RulebookFields!C2:C1898, MATCH(D13,RulebookFields!A2:A1898, 0))="")=TRUE),  "",  INDEX(RulebookFields!C2:C1898, MATCH(D13,RulebookFields!A2:A1898, 0))), "")</f>
        <v>Steps</v>
      </c>
      <c r="I13" s="4" t="str">
        <f>_xlfn.IFNA(IF(((INDEX(RulebookFields!D2:D1898, MATCH(D13,RulebookFields!A2:A1898, 0))="")=TRUE),  "",  INDEX(RulebookFields!D2:D1898, MATCH(D13,RulebookFields!A2:A1898, 0))), "")</f>
        <v>ExpectedDurationMinutes</v>
      </c>
      <c r="J13" s="4" t="b">
        <f>_xlfn.IFNA(IF(((INDEX(RulebookFields!I2:I1898, MATCH(D13,RulebookFields!A2:A1898, 0))="")=TRUE),  "",  INDEX(RulebookFields!I2:I1898, MATCH(D13,RulebookFields!A2:A1898, 0))), "")</f>
        <v>0</v>
      </c>
      <c r="K13" s="4" t="b">
        <f>AND(((F13)=TRUE), ((J13)=TRUE))</f>
        <v>0</v>
      </c>
      <c r="L13" s="4" t="b">
        <f>AND(((G13 &lt;&gt; "plain")=TRUE), ((G13 &lt;&gt; "")=TRUE))</f>
        <v>0</v>
      </c>
      <c r="M13" s="4" t="str">
        <f>IF(((E13)=TRUE),  C13 &amp; "|" &amp; H13,  "")</f>
        <v>principal-finance-analyst|Steps</v>
      </c>
      <c r="N13" s="3" t="s">
        <v>10004</v>
      </c>
    </row>
    <row r="14">
      <c r="A14" s="3" t="s">
        <v>10016</v>
      </c>
      <c r="B14" s="4" t="str">
        <f>C14 &amp; " -&gt; " &amp; D14</f>
        <v>principal-finance-analyst -&gt; StepExecutions.StepExecutionId</v>
      </c>
      <c r="C14" s="3" t="s">
        <v>9751</v>
      </c>
      <c r="D14" s="3" t="s">
        <v>3573</v>
      </c>
      <c r="E14" s="3" t="b">
        <v>1</v>
      </c>
      <c r="F14" s="3" t="b">
        <v>0</v>
      </c>
      <c r="G14" s="3" t="s">
        <v>10003</v>
      </c>
      <c r="H14" s="4" t="str">
        <f>_xlfn.IFNA(IF(((INDEX(RulebookFields!C2:C1898, MATCH(D14,RulebookFields!A2:A1898, 0))="")=TRUE),  "",  INDEX(RulebookFields!C2:C1898, MATCH(D14,RulebookFields!A2:A1898, 0))), "")</f>
        <v>StepExecutions</v>
      </c>
      <c r="I14" s="4" t="str">
        <f>_xlfn.IFNA(IF(((INDEX(RulebookFields!D2:D1898, MATCH(D14,RulebookFields!A2:A1898, 0))="")=TRUE),  "",  INDEX(RulebookFields!D2:D1898, MATCH(D14,RulebookFields!A2:A1898, 0))), "")</f>
        <v>StepExecutionId</v>
      </c>
      <c r="J14" s="4" t="b">
        <f>_xlfn.IFNA(IF(((INDEX(RulebookFields!I2:I1898, MATCH(D14,RulebookFields!A2:A1898, 0))="")=TRUE),  "",  INDEX(RulebookFields!I2:I1898, MATCH(D14,RulebookFields!A2:A1898, 0))), "")</f>
        <v>0</v>
      </c>
      <c r="K14" s="4" t="b">
        <f>AND(((F14)=TRUE), ((J14)=TRUE))</f>
        <v>0</v>
      </c>
      <c r="L14" s="4" t="b">
        <f>AND(((G14 &lt;&gt; "plain")=TRUE), ((G14 &lt;&gt; "")=TRUE))</f>
        <v>0</v>
      </c>
      <c r="M14" s="4" t="str">
        <f>IF(((E14)=TRUE),  C14 &amp; "|" &amp; H14,  "")</f>
        <v>principal-finance-analyst|StepExecutions</v>
      </c>
      <c r="N14" s="3" t="s">
        <v>10004</v>
      </c>
    </row>
    <row r="15">
      <c r="A15" s="3" t="s">
        <v>10017</v>
      </c>
      <c r="B15" s="4" t="str">
        <f>C15 &amp; " -&gt; " &amp; D15</f>
        <v>principal-finance-analyst -&gt; StepExecutions.Step</v>
      </c>
      <c r="C15" s="3" t="s">
        <v>9751</v>
      </c>
      <c r="D15" s="3" t="s">
        <v>3577</v>
      </c>
      <c r="E15" s="3" t="b">
        <v>1</v>
      </c>
      <c r="F15" s="3" t="b">
        <v>0</v>
      </c>
      <c r="G15" s="3" t="s">
        <v>10003</v>
      </c>
      <c r="H15" s="4" t="str">
        <f>_xlfn.IFNA(IF(((INDEX(RulebookFields!C2:C1898, MATCH(D15,RulebookFields!A2:A1898, 0))="")=TRUE),  "",  INDEX(RulebookFields!C2:C1898, MATCH(D15,RulebookFields!A2:A1898, 0))), "")</f>
        <v>StepExecutions</v>
      </c>
      <c r="I15" s="4" t="str">
        <f>_xlfn.IFNA(IF(((INDEX(RulebookFields!D2:D1898, MATCH(D15,RulebookFields!A2:A1898, 0))="")=TRUE),  "",  INDEX(RulebookFields!D2:D1898, MATCH(D15,RulebookFields!A2:A1898, 0))), "")</f>
        <v>Step</v>
      </c>
      <c r="J15" s="4" t="b">
        <f>_xlfn.IFNA(IF(((INDEX(RulebookFields!I2:I1898, MATCH(D15,RulebookFields!A2:A1898, 0))="")=TRUE),  "",  INDEX(RulebookFields!I2:I1898, MATCH(D15,RulebookFields!A2:A1898, 0))), "")</f>
        <v>0</v>
      </c>
      <c r="K15" s="4" t="b">
        <f>AND(((F15)=TRUE), ((J15)=TRUE))</f>
        <v>0</v>
      </c>
      <c r="L15" s="4" t="b">
        <f>AND(((G15 &lt;&gt; "plain")=TRUE), ((G15 &lt;&gt; "")=TRUE))</f>
        <v>0</v>
      </c>
      <c r="M15" s="4" t="str">
        <f>IF(((E15)=TRUE),  C15 &amp; "|" &amp; H15,  "")</f>
        <v>principal-finance-analyst|StepExecutions</v>
      </c>
      <c r="N15" s="3" t="s">
        <v>10004</v>
      </c>
    </row>
    <row r="16">
      <c r="A16" s="3" t="s">
        <v>10018</v>
      </c>
      <c r="B16" s="4" t="str">
        <f>C16 &amp; " -&gt; " &amp; D16</f>
        <v>principal-finance-analyst -&gt; StepExecutions.ExecutionStatus</v>
      </c>
      <c r="C16" s="3" t="s">
        <v>9751</v>
      </c>
      <c r="D16" s="3" t="s">
        <v>3579</v>
      </c>
      <c r="E16" s="3" t="b">
        <v>1</v>
      </c>
      <c r="F16" s="3" t="b">
        <v>0</v>
      </c>
      <c r="G16" s="3" t="s">
        <v>10003</v>
      </c>
      <c r="H16" s="4" t="str">
        <f>_xlfn.IFNA(IF(((INDEX(RulebookFields!C2:C1898, MATCH(D16,RulebookFields!A2:A1898, 0))="")=TRUE),  "",  INDEX(RulebookFields!C2:C1898, MATCH(D16,RulebookFields!A2:A1898, 0))), "")</f>
        <v>StepExecutions</v>
      </c>
      <c r="I16" s="4" t="str">
        <f>_xlfn.IFNA(IF(((INDEX(RulebookFields!D2:D1898, MATCH(D16,RulebookFields!A2:A1898, 0))="")=TRUE),  "",  INDEX(RulebookFields!D2:D1898, MATCH(D16,RulebookFields!A2:A1898, 0))), "")</f>
        <v>ExecutionStatus</v>
      </c>
      <c r="J16" s="4" t="b">
        <f>_xlfn.IFNA(IF(((INDEX(RulebookFields!I2:I1898, MATCH(D16,RulebookFields!A2:A1898, 0))="")=TRUE),  "",  INDEX(RulebookFields!I2:I1898, MATCH(D16,RulebookFields!A2:A1898, 0))), "")</f>
        <v>0</v>
      </c>
      <c r="K16" s="4" t="b">
        <f>AND(((F16)=TRUE), ((J16)=TRUE))</f>
        <v>0</v>
      </c>
      <c r="L16" s="4" t="b">
        <f>AND(((G16 &lt;&gt; "plain")=TRUE), ((G16 &lt;&gt; "")=TRUE))</f>
        <v>0</v>
      </c>
      <c r="M16" s="4" t="str">
        <f>IF(((E16)=TRUE),  C16 &amp; "|" &amp; H16,  "")</f>
        <v>principal-finance-analyst|StepExecutions</v>
      </c>
      <c r="N16" s="3" t="s">
        <v>10004</v>
      </c>
    </row>
    <row r="17">
      <c r="A17" s="3" t="s">
        <v>10019</v>
      </c>
      <c r="B17" s="4" t="str">
        <f>C17 &amp; " -&gt; " &amp; D17</f>
        <v>principal-finance-analyst -&gt; StepExecutions.StartedAt</v>
      </c>
      <c r="C17" s="3" t="s">
        <v>9751</v>
      </c>
      <c r="D17" s="3" t="s">
        <v>3580</v>
      </c>
      <c r="E17" s="3" t="b">
        <v>1</v>
      </c>
      <c r="F17" s="3" t="b">
        <v>0</v>
      </c>
      <c r="G17" s="3" t="s">
        <v>10003</v>
      </c>
      <c r="H17" s="4" t="str">
        <f>_xlfn.IFNA(IF(((INDEX(RulebookFields!C2:C1898, MATCH(D17,RulebookFields!A2:A1898, 0))="")=TRUE),  "",  INDEX(RulebookFields!C2:C1898, MATCH(D17,RulebookFields!A2:A1898, 0))), "")</f>
        <v>StepExecutions</v>
      </c>
      <c r="I17" s="4" t="str">
        <f>_xlfn.IFNA(IF(((INDEX(RulebookFields!D2:D1898, MATCH(D17,RulebookFields!A2:A1898, 0))="")=TRUE),  "",  INDEX(RulebookFields!D2:D1898, MATCH(D17,RulebookFields!A2:A1898, 0))), "")</f>
        <v>StartedAt</v>
      </c>
      <c r="J17" s="4" t="b">
        <f>_xlfn.IFNA(IF(((INDEX(RulebookFields!I2:I1898, MATCH(D17,RulebookFields!A2:A1898, 0))="")=TRUE),  "",  INDEX(RulebookFields!I2:I1898, MATCH(D17,RulebookFields!A2:A1898, 0))), "")</f>
        <v>0</v>
      </c>
      <c r="K17" s="4" t="b">
        <f>AND(((F17)=TRUE), ((J17)=TRUE))</f>
        <v>0</v>
      </c>
      <c r="L17" s="4" t="b">
        <f>AND(((G17 &lt;&gt; "plain")=TRUE), ((G17 &lt;&gt; "")=TRUE))</f>
        <v>0</v>
      </c>
      <c r="M17" s="4" t="str">
        <f>IF(((E17)=TRUE),  C17 &amp; "|" &amp; H17,  "")</f>
        <v>principal-finance-analyst|StepExecutions</v>
      </c>
      <c r="N17" s="3" t="s">
        <v>10004</v>
      </c>
    </row>
    <row r="18">
      <c r="A18" s="3" t="s">
        <v>10020</v>
      </c>
      <c r="B18" s="4" t="str">
        <f>C18 &amp; " -&gt; " &amp; D18</f>
        <v>principal-finance-analyst -&gt; StepExecutions.EndedAt</v>
      </c>
      <c r="C18" s="3" t="s">
        <v>9751</v>
      </c>
      <c r="D18" s="3" t="s">
        <v>3581</v>
      </c>
      <c r="E18" s="3" t="b">
        <v>1</v>
      </c>
      <c r="F18" s="3" t="b">
        <v>0</v>
      </c>
      <c r="G18" s="3" t="s">
        <v>10003</v>
      </c>
      <c r="H18" s="4" t="str">
        <f>_xlfn.IFNA(IF(((INDEX(RulebookFields!C2:C1898, MATCH(D18,RulebookFields!A2:A1898, 0))="")=TRUE),  "",  INDEX(RulebookFields!C2:C1898, MATCH(D18,RulebookFields!A2:A1898, 0))), "")</f>
        <v>StepExecutions</v>
      </c>
      <c r="I18" s="4" t="str">
        <f>_xlfn.IFNA(IF(((INDEX(RulebookFields!D2:D1898, MATCH(D18,RulebookFields!A2:A1898, 0))="")=TRUE),  "",  INDEX(RulebookFields!D2:D1898, MATCH(D18,RulebookFields!A2:A1898, 0))), "")</f>
        <v>EndedAt</v>
      </c>
      <c r="J18" s="4" t="b">
        <f>_xlfn.IFNA(IF(((INDEX(RulebookFields!I2:I1898, MATCH(D18,RulebookFields!A2:A1898, 0))="")=TRUE),  "",  INDEX(RulebookFields!I2:I1898, MATCH(D18,RulebookFields!A2:A1898, 0))), "")</f>
        <v>0</v>
      </c>
      <c r="K18" s="4" t="b">
        <f>AND(((F18)=TRUE), ((J18)=TRUE))</f>
        <v>0</v>
      </c>
      <c r="L18" s="4" t="b">
        <f>AND(((G18 &lt;&gt; "plain")=TRUE), ((G18 &lt;&gt; "")=TRUE))</f>
        <v>0</v>
      </c>
      <c r="M18" s="4" t="str">
        <f>IF(((E18)=TRUE),  C18 &amp; "|" &amp; H18,  "")</f>
        <v>principal-finance-analyst|StepExecutions</v>
      </c>
      <c r="N18" s="3" t="s">
        <v>10004</v>
      </c>
    </row>
    <row r="19">
      <c r="A19" s="3" t="s">
        <v>10021</v>
      </c>
      <c r="B19" s="4" t="str">
        <f>C19 &amp; " -&gt; " &amp; D19</f>
        <v>principal-finance-analyst -&gt; StepExecutions.VerificationResult</v>
      </c>
      <c r="C19" s="3" t="s">
        <v>9751</v>
      </c>
      <c r="D19" s="3" t="s">
        <v>3582</v>
      </c>
      <c r="E19" s="3" t="b">
        <v>1</v>
      </c>
      <c r="F19" s="3" t="b">
        <v>0</v>
      </c>
      <c r="G19" s="3" t="s">
        <v>10003</v>
      </c>
      <c r="H19" s="4" t="str">
        <f>_xlfn.IFNA(IF(((INDEX(RulebookFields!C2:C1898, MATCH(D19,RulebookFields!A2:A1898, 0))="")=TRUE),  "",  INDEX(RulebookFields!C2:C1898, MATCH(D19,RulebookFields!A2:A1898, 0))), "")</f>
        <v>StepExecutions</v>
      </c>
      <c r="I19" s="4" t="str">
        <f>_xlfn.IFNA(IF(((INDEX(RulebookFields!D2:D1898, MATCH(D19,RulebookFields!A2:A1898, 0))="")=TRUE),  "",  INDEX(RulebookFields!D2:D1898, MATCH(D19,RulebookFields!A2:A1898, 0))), "")</f>
        <v>VerificationResult</v>
      </c>
      <c r="J19" s="4" t="b">
        <f>_xlfn.IFNA(IF(((INDEX(RulebookFields!I2:I1898, MATCH(D19,RulebookFields!A2:A1898, 0))="")=TRUE),  "",  INDEX(RulebookFields!I2:I1898, MATCH(D19,RulebookFields!A2:A1898, 0))), "")</f>
        <v>0</v>
      </c>
      <c r="K19" s="4" t="b">
        <f>AND(((F19)=TRUE), ((J19)=TRUE))</f>
        <v>0</v>
      </c>
      <c r="L19" s="4" t="b">
        <f>AND(((G19 &lt;&gt; "plain")=TRUE), ((G19 &lt;&gt; "")=TRUE))</f>
        <v>0</v>
      </c>
      <c r="M19" s="4" t="str">
        <f>IF(((E19)=TRUE),  C19 &amp; "|" &amp; H19,  "")</f>
        <v>principal-finance-analyst|StepExecutions</v>
      </c>
      <c r="N19" s="3" t="s">
        <v>10004</v>
      </c>
    </row>
    <row r="20">
      <c r="A20" s="3" t="s">
        <v>10022</v>
      </c>
      <c r="B20" s="4" t="str">
        <f>C20 &amp; " -&gt; " &amp; D20</f>
        <v>principal-finance-analyst -&gt; StepExecutions.Name</v>
      </c>
      <c r="C20" s="3" t="s">
        <v>9751</v>
      </c>
      <c r="D20" s="3" t="s">
        <v>3574</v>
      </c>
      <c r="E20" s="3" t="b">
        <v>1</v>
      </c>
      <c r="F20" s="3" t="b">
        <v>0</v>
      </c>
      <c r="G20" s="3" t="s">
        <v>10003</v>
      </c>
      <c r="H20" s="4" t="str">
        <f>_xlfn.IFNA(IF(((INDEX(RulebookFields!C2:C1898, MATCH(D20,RulebookFields!A2:A1898, 0))="")=TRUE),  "",  INDEX(RulebookFields!C2:C1898, MATCH(D20,RulebookFields!A2:A1898, 0))), "")</f>
        <v>StepExecutions</v>
      </c>
      <c r="I20" s="4" t="str">
        <f>_xlfn.IFNA(IF(((INDEX(RulebookFields!D2:D1898, MATCH(D20,RulebookFields!A2:A1898, 0))="")=TRUE),  "",  INDEX(RulebookFields!D2:D1898, MATCH(D20,RulebookFields!A2:A1898, 0))), "")</f>
        <v>Name</v>
      </c>
      <c r="J20" s="4" t="b">
        <f>_xlfn.IFNA(IF(((INDEX(RulebookFields!I2:I1898, MATCH(D20,RulebookFields!A2:A1898, 0))="")=TRUE),  "",  INDEX(RulebookFields!I2:I1898, MATCH(D20,RulebookFields!A2:A1898, 0))), "")</f>
        <v>1</v>
      </c>
      <c r="K20" s="4" t="b">
        <f>AND(((F20)=TRUE), ((J20)=TRUE))</f>
        <v>0</v>
      </c>
      <c r="L20" s="4" t="b">
        <f>AND(((G20 &lt;&gt; "plain")=TRUE), ((G20 &lt;&gt; "")=TRUE))</f>
        <v>0</v>
      </c>
      <c r="M20" s="4" t="str">
        <f>IF(((E20)=TRUE),  C20 &amp; "|" &amp; H20,  "")</f>
        <v>principal-finance-analyst|StepExecutions</v>
      </c>
      <c r="N20" s="3" t="s">
        <v>10004</v>
      </c>
    </row>
    <row r="21">
      <c r="A21" s="3" t="s">
        <v>10023</v>
      </c>
      <c r="B21" s="4" t="str">
        <f>C21 &amp; " -&gt; " &amp; D21</f>
        <v>principal-finance-analyst -&gt; StepExecutions.Deviation</v>
      </c>
      <c r="C21" s="3" t="s">
        <v>9751</v>
      </c>
      <c r="D21" s="3" t="s">
        <v>3583</v>
      </c>
      <c r="E21" s="3" t="b">
        <v>1</v>
      </c>
      <c r="F21" s="3" t="b">
        <v>0</v>
      </c>
      <c r="G21" s="3" t="s">
        <v>10003</v>
      </c>
      <c r="H21" s="4" t="str">
        <f>_xlfn.IFNA(IF(((INDEX(RulebookFields!C2:C1898, MATCH(D21,RulebookFields!A2:A1898, 0))="")=TRUE),  "",  INDEX(RulebookFields!C2:C1898, MATCH(D21,RulebookFields!A2:A1898, 0))), "")</f>
        <v>StepExecutions</v>
      </c>
      <c r="I21" s="4" t="str">
        <f>_xlfn.IFNA(IF(((INDEX(RulebookFields!D2:D1898, MATCH(D21,RulebookFields!A2:A1898, 0))="")=TRUE),  "",  INDEX(RulebookFields!D2:D1898, MATCH(D21,RulebookFields!A2:A1898, 0))), "")</f>
        <v>Deviation</v>
      </c>
      <c r="J21" s="4" t="b">
        <f>_xlfn.IFNA(IF(((INDEX(RulebookFields!I2:I1898, MATCH(D21,RulebookFields!A2:A1898, 0))="")=TRUE),  "",  INDEX(RulebookFields!I2:I1898, MATCH(D21,RulebookFields!A2:A1898, 0))), "")</f>
        <v>0</v>
      </c>
      <c r="K21" s="4" t="b">
        <f>AND(((F21)=TRUE), ((J21)=TRUE))</f>
        <v>0</v>
      </c>
      <c r="L21" s="4" t="b">
        <f>AND(((G21 &lt;&gt; "plain")=TRUE), ((G21 &lt;&gt; "")=TRUE))</f>
        <v>0</v>
      </c>
      <c r="M21" s="4" t="str">
        <f>IF(((E21)=TRUE),  C21 &amp; "|" &amp; H21,  "")</f>
        <v>principal-finance-analyst|StepExecutions</v>
      </c>
      <c r="N21" s="3" t="s">
        <v>10004</v>
      </c>
    </row>
    <row r="22">
      <c r="A22" s="3" t="s">
        <v>10024</v>
      </c>
      <c r="B22" s="4" t="str">
        <f>C22 &amp; " -&gt; " &amp; D22</f>
        <v>principal-finance-analyst -&gt; StepExecutions.ActualDurationMinutes</v>
      </c>
      <c r="C22" s="3" t="s">
        <v>9751</v>
      </c>
      <c r="D22" s="3" t="s">
        <v>3584</v>
      </c>
      <c r="E22" s="3" t="b">
        <v>1</v>
      </c>
      <c r="F22" s="3" t="b">
        <v>0</v>
      </c>
      <c r="G22" s="3" t="s">
        <v>10003</v>
      </c>
      <c r="H22" s="4" t="str">
        <f>_xlfn.IFNA(IF(((INDEX(RulebookFields!C2:C1898, MATCH(D22,RulebookFields!A2:A1898, 0))="")=TRUE),  "",  INDEX(RulebookFields!C2:C1898, MATCH(D22,RulebookFields!A2:A1898, 0))), "")</f>
        <v>StepExecutions</v>
      </c>
      <c r="I22" s="4" t="str">
        <f>_xlfn.IFNA(IF(((INDEX(RulebookFields!D2:D1898, MATCH(D22,RulebookFields!A2:A1898, 0))="")=TRUE),  "",  INDEX(RulebookFields!D2:D1898, MATCH(D22,RulebookFields!A2:A1898, 0))), "")</f>
        <v>ActualDurationMinutes</v>
      </c>
      <c r="J22" s="4" t="b">
        <f>_xlfn.IFNA(IF(((INDEX(RulebookFields!I2:I1898, MATCH(D22,RulebookFields!A2:A1898, 0))="")=TRUE),  "",  INDEX(RulebookFields!I2:I1898, MATCH(D22,RulebookFields!A2:A1898, 0))), "")</f>
        <v>1</v>
      </c>
      <c r="K22" s="4" t="b">
        <f>AND(((F22)=TRUE), ((J22)=TRUE))</f>
        <v>0</v>
      </c>
      <c r="L22" s="4" t="b">
        <f>AND(((G22 &lt;&gt; "plain")=TRUE), ((G22 &lt;&gt; "")=TRUE))</f>
        <v>0</v>
      </c>
      <c r="M22" s="4" t="str">
        <f>IF(((E22)=TRUE),  C22 &amp; "|" &amp; H22,  "")</f>
        <v>principal-finance-analyst|StepExecutions</v>
      </c>
      <c r="N22" s="3" t="s">
        <v>10004</v>
      </c>
    </row>
    <row r="23">
      <c r="A23" s="3" t="s">
        <v>10025</v>
      </c>
      <c r="B23" s="4" t="str">
        <f>C23 &amp; " -&gt; " &amp; D23</f>
        <v>principal-finance-analyst -&gt; StepExecutions.IsLate</v>
      </c>
      <c r="C23" s="3" t="s">
        <v>9751</v>
      </c>
      <c r="D23" s="3" t="s">
        <v>3588</v>
      </c>
      <c r="E23" s="3" t="b">
        <v>1</v>
      </c>
      <c r="F23" s="3" t="b">
        <v>0</v>
      </c>
      <c r="G23" s="3" t="s">
        <v>10003</v>
      </c>
      <c r="H23" s="4" t="str">
        <f>_xlfn.IFNA(IF(((INDEX(RulebookFields!C2:C1898, MATCH(D23,RulebookFields!A2:A1898, 0))="")=TRUE),  "",  INDEX(RulebookFields!C2:C1898, MATCH(D23,RulebookFields!A2:A1898, 0))), "")</f>
        <v>StepExecutions</v>
      </c>
      <c r="I23" s="4" t="str">
        <f>_xlfn.IFNA(IF(((INDEX(RulebookFields!D2:D1898, MATCH(D23,RulebookFields!A2:A1898, 0))="")=TRUE),  "",  INDEX(RulebookFields!D2:D1898, MATCH(D23,RulebookFields!A2:A1898, 0))), "")</f>
        <v>IsLate</v>
      </c>
      <c r="J23" s="4" t="b">
        <f>_xlfn.IFNA(IF(((INDEX(RulebookFields!I2:I1898, MATCH(D23,RulebookFields!A2:A1898, 0))="")=TRUE),  "",  INDEX(RulebookFields!I2:I1898, MATCH(D23,RulebookFields!A2:A1898, 0))), "")</f>
        <v>1</v>
      </c>
      <c r="K23" s="4" t="b">
        <f>AND(((F23)=TRUE), ((J23)=TRUE))</f>
        <v>0</v>
      </c>
      <c r="L23" s="4" t="b">
        <f>AND(((G23 &lt;&gt; "plain")=TRUE), ((G23 &lt;&gt; "")=TRUE))</f>
        <v>0</v>
      </c>
      <c r="M23" s="4" t="str">
        <f>IF(((E23)=TRUE),  C23 &amp; "|" &amp; H23,  "")</f>
        <v>principal-finance-analyst|StepExecutions</v>
      </c>
      <c r="N23" s="3" t="s">
        <v>10004</v>
      </c>
    </row>
    <row r="24">
      <c r="A24" s="3" t="s">
        <v>10026</v>
      </c>
      <c r="B24" s="4" t="str">
        <f>C24 &amp; " -&gt; " &amp; D24</f>
        <v>principal-finance-analyst -&gt; ProcedureExecutions.ProcedureExecutionId</v>
      </c>
      <c r="C24" s="3" t="s">
        <v>9751</v>
      </c>
      <c r="D24" s="3" t="s">
        <v>3426</v>
      </c>
      <c r="E24" s="3" t="b">
        <v>1</v>
      </c>
      <c r="F24" s="3" t="b">
        <v>0</v>
      </c>
      <c r="G24" s="3" t="s">
        <v>10003</v>
      </c>
      <c r="H24" s="4" t="str">
        <f>_xlfn.IFNA(IF(((INDEX(RulebookFields!C2:C1898, MATCH(D24,RulebookFields!A2:A1898, 0))="")=TRUE),  "",  INDEX(RulebookFields!C2:C1898, MATCH(D24,RulebookFields!A2:A1898, 0))), "")</f>
        <v>ProcedureExecutions</v>
      </c>
      <c r="I24" s="4" t="str">
        <f>_xlfn.IFNA(IF(((INDEX(RulebookFields!D2:D1898, MATCH(D24,RulebookFields!A2:A1898, 0))="")=TRUE),  "",  INDEX(RulebookFields!D2:D1898, MATCH(D24,RulebookFields!A2:A1898, 0))), "")</f>
        <v>ProcedureExecutionId</v>
      </c>
      <c r="J24" s="4" t="b">
        <f>_xlfn.IFNA(IF(((INDEX(RulebookFields!I2:I1898, MATCH(D24,RulebookFields!A2:A1898, 0))="")=TRUE),  "",  INDEX(RulebookFields!I2:I1898, MATCH(D24,RulebookFields!A2:A1898, 0))), "")</f>
        <v>0</v>
      </c>
      <c r="K24" s="4" t="b">
        <f>AND(((F24)=TRUE), ((J24)=TRUE))</f>
        <v>0</v>
      </c>
      <c r="L24" s="4" t="b">
        <f>AND(((G24 &lt;&gt; "plain")=TRUE), ((G24 &lt;&gt; "")=TRUE))</f>
        <v>0</v>
      </c>
      <c r="M24" s="4" t="str">
        <f>IF(((E24)=TRUE),  C24 &amp; "|" &amp; H24,  "")</f>
        <v>principal-finance-analyst|ProcedureExecutions</v>
      </c>
      <c r="N24" s="3" t="s">
        <v>10004</v>
      </c>
    </row>
    <row r="25">
      <c r="A25" s="3" t="s">
        <v>10027</v>
      </c>
      <c r="B25" s="4" t="str">
        <f>C25 &amp; " -&gt; " &amp; D25</f>
        <v>principal-finance-analyst -&gt; ProcedureExecutions.ExecutionStatus</v>
      </c>
      <c r="C25" s="3" t="s">
        <v>9751</v>
      </c>
      <c r="D25" s="3" t="s">
        <v>3430</v>
      </c>
      <c r="E25" s="3" t="b">
        <v>1</v>
      </c>
      <c r="F25" s="3" t="b">
        <v>0</v>
      </c>
      <c r="G25" s="3" t="s">
        <v>10003</v>
      </c>
      <c r="H25" s="4" t="str">
        <f>_xlfn.IFNA(IF(((INDEX(RulebookFields!C2:C1898, MATCH(D25,RulebookFields!A2:A1898, 0))="")=TRUE),  "",  INDEX(RulebookFields!C2:C1898, MATCH(D25,RulebookFields!A2:A1898, 0))), "")</f>
        <v>ProcedureExecutions</v>
      </c>
      <c r="I25" s="4" t="str">
        <f>_xlfn.IFNA(IF(((INDEX(RulebookFields!D2:D1898, MATCH(D25,RulebookFields!A2:A1898, 0))="")=TRUE),  "",  INDEX(RulebookFields!D2:D1898, MATCH(D25,RulebookFields!A2:A1898, 0))), "")</f>
        <v>ExecutionStatus</v>
      </c>
      <c r="J25" s="4" t="b">
        <f>_xlfn.IFNA(IF(((INDEX(RulebookFields!I2:I1898, MATCH(D25,RulebookFields!A2:A1898, 0))="")=TRUE),  "",  INDEX(RulebookFields!I2:I1898, MATCH(D25,RulebookFields!A2:A1898, 0))), "")</f>
        <v>0</v>
      </c>
      <c r="K25" s="4" t="b">
        <f>AND(((F25)=TRUE), ((J25)=TRUE))</f>
        <v>0</v>
      </c>
      <c r="L25" s="4" t="b">
        <f>AND(((G25 &lt;&gt; "plain")=TRUE), ((G25 &lt;&gt; "")=TRUE))</f>
        <v>0</v>
      </c>
      <c r="M25" s="4" t="str">
        <f>IF(((E25)=TRUE),  C25 &amp; "|" &amp; H25,  "")</f>
        <v>principal-finance-analyst|ProcedureExecutions</v>
      </c>
      <c r="N25" s="3" t="s">
        <v>10004</v>
      </c>
    </row>
    <row r="26">
      <c r="A26" s="3" t="s">
        <v>10028</v>
      </c>
      <c r="B26" s="4" t="str">
        <f>C26 &amp; " -&gt; " &amp; D26</f>
        <v>principal-finance-analyst -&gt; ProcedureExecutions.StartedAt</v>
      </c>
      <c r="C26" s="3" t="s">
        <v>9751</v>
      </c>
      <c r="D26" s="3" t="s">
        <v>3431</v>
      </c>
      <c r="E26" s="3" t="b">
        <v>1</v>
      </c>
      <c r="F26" s="3" t="b">
        <v>0</v>
      </c>
      <c r="G26" s="3" t="s">
        <v>10003</v>
      </c>
      <c r="H26" s="4" t="str">
        <f>_xlfn.IFNA(IF(((INDEX(RulebookFields!C2:C1898, MATCH(D26,RulebookFields!A2:A1898, 0))="")=TRUE),  "",  INDEX(RulebookFields!C2:C1898, MATCH(D26,RulebookFields!A2:A1898, 0))), "")</f>
        <v>ProcedureExecutions</v>
      </c>
      <c r="I26" s="4" t="str">
        <f>_xlfn.IFNA(IF(((INDEX(RulebookFields!D2:D1898, MATCH(D26,RulebookFields!A2:A1898, 0))="")=TRUE),  "",  INDEX(RulebookFields!D2:D1898, MATCH(D26,RulebookFields!A2:A1898, 0))), "")</f>
        <v>StartedAt</v>
      </c>
      <c r="J26" s="4" t="b">
        <f>_xlfn.IFNA(IF(((INDEX(RulebookFields!I2:I1898, MATCH(D26,RulebookFields!A2:A1898, 0))="")=TRUE),  "",  INDEX(RulebookFields!I2:I1898, MATCH(D26,RulebookFields!A2:A1898, 0))), "")</f>
        <v>0</v>
      </c>
      <c r="K26" s="4" t="b">
        <f>AND(((F26)=TRUE), ((J26)=TRUE))</f>
        <v>0</v>
      </c>
      <c r="L26" s="4" t="b">
        <f>AND(((G26 &lt;&gt; "plain")=TRUE), ((G26 &lt;&gt; "")=TRUE))</f>
        <v>0</v>
      </c>
      <c r="M26" s="4" t="str">
        <f>IF(((E26)=TRUE),  C26 &amp; "|" &amp; H26,  "")</f>
        <v>principal-finance-analyst|ProcedureExecutions</v>
      </c>
      <c r="N26" s="3" t="s">
        <v>10004</v>
      </c>
    </row>
    <row r="27">
      <c r="A27" s="3" t="s">
        <v>10029</v>
      </c>
      <c r="B27" s="4" t="str">
        <f>C27 &amp; " -&gt; " &amp; D27</f>
        <v>principal-finance-analyst -&gt; ProcedureExecutions.EndedAt</v>
      </c>
      <c r="C27" s="3" t="s">
        <v>9751</v>
      </c>
      <c r="D27" s="3" t="s">
        <v>3432</v>
      </c>
      <c r="E27" s="3" t="b">
        <v>1</v>
      </c>
      <c r="F27" s="3" t="b">
        <v>0</v>
      </c>
      <c r="G27" s="3" t="s">
        <v>10003</v>
      </c>
      <c r="H27" s="4" t="str">
        <f>_xlfn.IFNA(IF(((INDEX(RulebookFields!C2:C1898, MATCH(D27,RulebookFields!A2:A1898, 0))="")=TRUE),  "",  INDEX(RulebookFields!C2:C1898, MATCH(D27,RulebookFields!A2:A1898, 0))), "")</f>
        <v>ProcedureExecutions</v>
      </c>
      <c r="I27" s="4" t="str">
        <f>_xlfn.IFNA(IF(((INDEX(RulebookFields!D2:D1898, MATCH(D27,RulebookFields!A2:A1898, 0))="")=TRUE),  "",  INDEX(RulebookFields!D2:D1898, MATCH(D27,RulebookFields!A2:A1898, 0))), "")</f>
        <v>EndedAt</v>
      </c>
      <c r="J27" s="4" t="b">
        <f>_xlfn.IFNA(IF(((INDEX(RulebookFields!I2:I1898, MATCH(D27,RulebookFields!A2:A1898, 0))="")=TRUE),  "",  INDEX(RulebookFields!I2:I1898, MATCH(D27,RulebookFields!A2:A1898, 0))), "")</f>
        <v>0</v>
      </c>
      <c r="K27" s="4" t="b">
        <f>AND(((F27)=TRUE), ((J27)=TRUE))</f>
        <v>0</v>
      </c>
      <c r="L27" s="4" t="b">
        <f>AND(((G27 &lt;&gt; "plain")=TRUE), ((G27 &lt;&gt; "")=TRUE))</f>
        <v>0</v>
      </c>
      <c r="M27" s="4" t="str">
        <f>IF(((E27)=TRUE),  C27 &amp; "|" &amp; H27,  "")</f>
        <v>principal-finance-analyst|ProcedureExecutions</v>
      </c>
      <c r="N27" s="3" t="s">
        <v>10004</v>
      </c>
    </row>
    <row r="28">
      <c r="A28" s="3" t="s">
        <v>10030</v>
      </c>
      <c r="B28" s="4" t="str">
        <f>C28 &amp; " -&gt; " &amp; D28</f>
        <v>principal-finance-analyst -&gt; ProcedureExecutions.ProcedureVersion</v>
      </c>
      <c r="C28" s="3" t="s">
        <v>9751</v>
      </c>
      <c r="D28" s="3" t="s">
        <v>3429</v>
      </c>
      <c r="E28" s="3" t="b">
        <v>1</v>
      </c>
      <c r="F28" s="3" t="b">
        <v>0</v>
      </c>
      <c r="G28" s="3" t="s">
        <v>10003</v>
      </c>
      <c r="H28" s="4" t="str">
        <f>_xlfn.IFNA(IF(((INDEX(RulebookFields!C2:C1898, MATCH(D28,RulebookFields!A2:A1898, 0))="")=TRUE),  "",  INDEX(RulebookFields!C2:C1898, MATCH(D28,RulebookFields!A2:A1898, 0))), "")</f>
        <v>ProcedureExecutions</v>
      </c>
      <c r="I28" s="4" t="str">
        <f>_xlfn.IFNA(IF(((INDEX(RulebookFields!D2:D1898, MATCH(D28,RulebookFields!A2:A1898, 0))="")=TRUE),  "",  INDEX(RulebookFields!D2:D1898, MATCH(D28,RulebookFields!A2:A1898, 0))), "")</f>
        <v>ProcedureVersion</v>
      </c>
      <c r="J28" s="4" t="b">
        <f>_xlfn.IFNA(IF(((INDEX(RulebookFields!I2:I1898, MATCH(D28,RulebookFields!A2:A1898, 0))="")=TRUE),  "",  INDEX(RulebookFields!I2:I1898, MATCH(D28,RulebookFields!A2:A1898, 0))), "")</f>
        <v>0</v>
      </c>
      <c r="K28" s="4" t="b">
        <f>AND(((F28)=TRUE), ((J28)=TRUE))</f>
        <v>0</v>
      </c>
      <c r="L28" s="4" t="b">
        <f>AND(((G28 &lt;&gt; "plain")=TRUE), ((G28 &lt;&gt; "")=TRUE))</f>
        <v>0</v>
      </c>
      <c r="M28" s="4" t="str">
        <f>IF(((E28)=TRUE),  C28 &amp; "|" &amp; H28,  "")</f>
        <v>principal-finance-analyst|ProcedureExecutions</v>
      </c>
      <c r="N28" s="3" t="s">
        <v>10004</v>
      </c>
    </row>
    <row r="29">
      <c r="A29" s="3" t="s">
        <v>10031</v>
      </c>
      <c r="B29" s="4" t="str">
        <f>C29 &amp; " -&gt; " &amp; D29</f>
        <v>principal-finance-analyst -&gt; ProcedureExecutions.Name</v>
      </c>
      <c r="C29" s="3" t="s">
        <v>9751</v>
      </c>
      <c r="D29" s="3" t="s">
        <v>3427</v>
      </c>
      <c r="E29" s="3" t="b">
        <v>1</v>
      </c>
      <c r="F29" s="3" t="b">
        <v>0</v>
      </c>
      <c r="G29" s="3" t="s">
        <v>10003</v>
      </c>
      <c r="H29" s="4" t="str">
        <f>_xlfn.IFNA(IF(((INDEX(RulebookFields!C2:C1898, MATCH(D29,RulebookFields!A2:A1898, 0))="")=TRUE),  "",  INDEX(RulebookFields!C2:C1898, MATCH(D29,RulebookFields!A2:A1898, 0))), "")</f>
        <v>ProcedureExecutions</v>
      </c>
      <c r="I29" s="4" t="str">
        <f>_xlfn.IFNA(IF(((INDEX(RulebookFields!D2:D1898, MATCH(D29,RulebookFields!A2:A1898, 0))="")=TRUE),  "",  INDEX(RulebookFields!D2:D1898, MATCH(D29,RulebookFields!A2:A1898, 0))), "")</f>
        <v>Name</v>
      </c>
      <c r="J29" s="4" t="b">
        <f>_xlfn.IFNA(IF(((INDEX(RulebookFields!I2:I1898, MATCH(D29,RulebookFields!A2:A1898, 0))="")=TRUE),  "",  INDEX(RulebookFields!I2:I1898, MATCH(D29,RulebookFields!A2:A1898, 0))), "")</f>
        <v>1</v>
      </c>
      <c r="K29" s="4" t="b">
        <f>AND(((F29)=TRUE), ((J29)=TRUE))</f>
        <v>0</v>
      </c>
      <c r="L29" s="4" t="b">
        <f>AND(((G29 &lt;&gt; "plain")=TRUE), ((G29 &lt;&gt; "")=TRUE))</f>
        <v>0</v>
      </c>
      <c r="M29" s="4" t="str">
        <f>IF(((E29)=TRUE),  C29 &amp; "|" &amp; H29,  "")</f>
        <v>principal-finance-analyst|ProcedureExecutions</v>
      </c>
      <c r="N29" s="3" t="s">
        <v>10004</v>
      </c>
    </row>
    <row r="30">
      <c r="A30" s="3" t="s">
        <v>10032</v>
      </c>
      <c r="B30" s="4" t="str">
        <f>C30 &amp; " -&gt; " &amp; D30</f>
        <v>principal-finance-analyst -&gt; Requirements.RequirementId</v>
      </c>
      <c r="C30" s="3" t="s">
        <v>9751</v>
      </c>
      <c r="D30" s="3" t="s">
        <v>3045</v>
      </c>
      <c r="E30" s="3" t="b">
        <v>1</v>
      </c>
      <c r="F30" s="3" t="b">
        <v>0</v>
      </c>
      <c r="G30" s="3" t="s">
        <v>10003</v>
      </c>
      <c r="H30" s="4" t="str">
        <f>_xlfn.IFNA(IF(((INDEX(RulebookFields!C2:C1898, MATCH(D30,RulebookFields!A2:A1898, 0))="")=TRUE),  "",  INDEX(RulebookFields!C2:C1898, MATCH(D30,RulebookFields!A2:A1898, 0))), "")</f>
        <v>Requirements</v>
      </c>
      <c r="I30" s="4" t="str">
        <f>_xlfn.IFNA(IF(((INDEX(RulebookFields!D2:D1898, MATCH(D30,RulebookFields!A2:A1898, 0))="")=TRUE),  "",  INDEX(RulebookFields!D2:D1898, MATCH(D30,RulebookFields!A2:A1898, 0))), "")</f>
        <v>RequirementId</v>
      </c>
      <c r="J30" s="4" t="b">
        <f>_xlfn.IFNA(IF(((INDEX(RulebookFields!I2:I1898, MATCH(D30,RulebookFields!A2:A1898, 0))="")=TRUE),  "",  INDEX(RulebookFields!I2:I1898, MATCH(D30,RulebookFields!A2:A1898, 0))), "")</f>
        <v>0</v>
      </c>
      <c r="K30" s="4" t="b">
        <f>AND(((F30)=TRUE), ((J30)=TRUE))</f>
        <v>0</v>
      </c>
      <c r="L30" s="4" t="b">
        <f>AND(((G30 &lt;&gt; "plain")=TRUE), ((G30 &lt;&gt; "")=TRUE))</f>
        <v>0</v>
      </c>
      <c r="M30" s="4" t="str">
        <f>IF(((E30)=TRUE),  C30 &amp; "|" &amp; H30,  "")</f>
        <v>principal-finance-analyst|Requirements</v>
      </c>
      <c r="N30" s="3" t="s">
        <v>10004</v>
      </c>
    </row>
    <row r="31">
      <c r="A31" s="3" t="s">
        <v>10033</v>
      </c>
      <c r="B31" s="4" t="str">
        <f>C31 &amp; " -&gt; " &amp; D31</f>
        <v>principal-finance-analyst -&gt; Requirements.Label</v>
      </c>
      <c r="C31" s="3" t="s">
        <v>9751</v>
      </c>
      <c r="D31" s="3" t="s">
        <v>3047</v>
      </c>
      <c r="E31" s="3" t="b">
        <v>1</v>
      </c>
      <c r="F31" s="3" t="b">
        <v>0</v>
      </c>
      <c r="G31" s="3" t="s">
        <v>10003</v>
      </c>
      <c r="H31" s="4" t="str">
        <f>_xlfn.IFNA(IF(((INDEX(RulebookFields!C2:C1898, MATCH(D31,RulebookFields!A2:A1898, 0))="")=TRUE),  "",  INDEX(RulebookFields!C2:C1898, MATCH(D31,RulebookFields!A2:A1898, 0))), "")</f>
        <v>Requirements</v>
      </c>
      <c r="I31" s="4" t="str">
        <f>_xlfn.IFNA(IF(((INDEX(RulebookFields!D2:D1898, MATCH(D31,RulebookFields!A2:A1898, 0))="")=TRUE),  "",  INDEX(RulebookFields!D2:D1898, MATCH(D31,RulebookFields!A2:A1898, 0))), "")</f>
        <v>Label</v>
      </c>
      <c r="J31" s="4" t="b">
        <f>_xlfn.IFNA(IF(((INDEX(RulebookFields!I2:I1898, MATCH(D31,RulebookFields!A2:A1898, 0))="")=TRUE),  "",  INDEX(RulebookFields!I2:I1898, MATCH(D31,RulebookFields!A2:A1898, 0))), "")</f>
        <v>0</v>
      </c>
      <c r="K31" s="4" t="b">
        <f>AND(((F31)=TRUE), ((J31)=TRUE))</f>
        <v>0</v>
      </c>
      <c r="L31" s="4" t="b">
        <f>AND(((G31 &lt;&gt; "plain")=TRUE), ((G31 &lt;&gt; "")=TRUE))</f>
        <v>0</v>
      </c>
      <c r="M31" s="4" t="str">
        <f>IF(((E31)=TRUE),  C31 &amp; "|" &amp; H31,  "")</f>
        <v>principal-finance-analyst|Requirements</v>
      </c>
      <c r="N31" s="3" t="s">
        <v>10004</v>
      </c>
    </row>
    <row r="32">
      <c r="A32" s="3" t="s">
        <v>10034</v>
      </c>
      <c r="B32" s="4" t="str">
        <f>C32 &amp; " -&gt; " &amp; D32</f>
        <v>principal-finance-analyst -&gt; Requirements.RequirementType</v>
      </c>
      <c r="C32" s="3" t="s">
        <v>9751</v>
      </c>
      <c r="D32" s="3" t="s">
        <v>3048</v>
      </c>
      <c r="E32" s="3" t="b">
        <v>1</v>
      </c>
      <c r="F32" s="3" t="b">
        <v>0</v>
      </c>
      <c r="G32" s="3" t="s">
        <v>10003</v>
      </c>
      <c r="H32" s="4" t="str">
        <f>_xlfn.IFNA(IF(((INDEX(RulebookFields!C2:C1898, MATCH(D32,RulebookFields!A2:A1898, 0))="")=TRUE),  "",  INDEX(RulebookFields!C2:C1898, MATCH(D32,RulebookFields!A2:A1898, 0))), "")</f>
        <v>Requirements</v>
      </c>
      <c r="I32" s="4" t="str">
        <f>_xlfn.IFNA(IF(((INDEX(RulebookFields!D2:D1898, MATCH(D32,RulebookFields!A2:A1898, 0))="")=TRUE),  "",  INDEX(RulebookFields!D2:D1898, MATCH(D32,RulebookFields!A2:A1898, 0))), "")</f>
        <v>RequirementType</v>
      </c>
      <c r="J32" s="4" t="b">
        <f>_xlfn.IFNA(IF(((INDEX(RulebookFields!I2:I1898, MATCH(D32,RulebookFields!A2:A1898, 0))="")=TRUE),  "",  INDEX(RulebookFields!I2:I1898, MATCH(D32,RulebookFields!A2:A1898, 0))), "")</f>
        <v>0</v>
      </c>
      <c r="K32" s="4" t="b">
        <f>AND(((F32)=TRUE), ((J32)=TRUE))</f>
        <v>0</v>
      </c>
      <c r="L32" s="4" t="b">
        <f>AND(((G32 &lt;&gt; "plain")=TRUE), ((G32 &lt;&gt; "")=TRUE))</f>
        <v>0</v>
      </c>
      <c r="M32" s="4" t="str">
        <f>IF(((E32)=TRUE),  C32 &amp; "|" &amp; H32,  "")</f>
        <v>principal-finance-analyst|Requirements</v>
      </c>
      <c r="N32" s="3" t="s">
        <v>10004</v>
      </c>
    </row>
    <row r="33">
      <c r="A33" s="3" t="s">
        <v>10035</v>
      </c>
      <c r="B33" s="4" t="str">
        <f>C33 &amp; " -&gt; " &amp; D33</f>
        <v>principal-finance-analyst -&gt; Requirements.Statement</v>
      </c>
      <c r="C33" s="3" t="s">
        <v>9751</v>
      </c>
      <c r="D33" s="3" t="s">
        <v>3049</v>
      </c>
      <c r="E33" s="3" t="b">
        <v>1</v>
      </c>
      <c r="F33" s="3" t="b">
        <v>0</v>
      </c>
      <c r="G33" s="3" t="s">
        <v>10003</v>
      </c>
      <c r="H33" s="4" t="str">
        <f>_xlfn.IFNA(IF(((INDEX(RulebookFields!C2:C1898, MATCH(D33,RulebookFields!A2:A1898, 0))="")=TRUE),  "",  INDEX(RulebookFields!C2:C1898, MATCH(D33,RulebookFields!A2:A1898, 0))), "")</f>
        <v>Requirements</v>
      </c>
      <c r="I33" s="4" t="str">
        <f>_xlfn.IFNA(IF(((INDEX(RulebookFields!D2:D1898, MATCH(D33,RulebookFields!A2:A1898, 0))="")=TRUE),  "",  INDEX(RulebookFields!D2:D1898, MATCH(D33,RulebookFields!A2:A1898, 0))), "")</f>
        <v>Statement</v>
      </c>
      <c r="J33" s="4" t="b">
        <f>_xlfn.IFNA(IF(((INDEX(RulebookFields!I2:I1898, MATCH(D33,RulebookFields!A2:A1898, 0))="")=TRUE),  "",  INDEX(RulebookFields!I2:I1898, MATCH(D33,RulebookFields!A2:A1898, 0))), "")</f>
        <v>0</v>
      </c>
      <c r="K33" s="4" t="b">
        <f>AND(((F33)=TRUE), ((J33)=TRUE))</f>
        <v>0</v>
      </c>
      <c r="L33" s="4" t="b">
        <f>AND(((G33 &lt;&gt; "plain")=TRUE), ((G33 &lt;&gt; "")=TRUE))</f>
        <v>0</v>
      </c>
      <c r="M33" s="4" t="str">
        <f>IF(((E33)=TRUE),  C33 &amp; "|" &amp; H33,  "")</f>
        <v>principal-finance-analyst|Requirements</v>
      </c>
      <c r="N33" s="3" t="s">
        <v>10004</v>
      </c>
    </row>
    <row r="34">
      <c r="A34" s="3" t="s">
        <v>10036</v>
      </c>
      <c r="B34" s="4" t="str">
        <f>C34 &amp; " -&gt; " &amp; D34</f>
        <v>principal-finance-analyst -&gt; Requirements.IsBlocking</v>
      </c>
      <c r="C34" s="3" t="s">
        <v>9751</v>
      </c>
      <c r="D34" s="3" t="s">
        <v>3051</v>
      </c>
      <c r="E34" s="3" t="b">
        <v>1</v>
      </c>
      <c r="F34" s="3" t="b">
        <v>0</v>
      </c>
      <c r="G34" s="3" t="s">
        <v>10003</v>
      </c>
      <c r="H34" s="4" t="str">
        <f>_xlfn.IFNA(IF(((INDEX(RulebookFields!C2:C1898, MATCH(D34,RulebookFields!A2:A1898, 0))="")=TRUE),  "",  INDEX(RulebookFields!C2:C1898, MATCH(D34,RulebookFields!A2:A1898, 0))), "")</f>
        <v>Requirements</v>
      </c>
      <c r="I34" s="4" t="str">
        <f>_xlfn.IFNA(IF(((INDEX(RulebookFields!D2:D1898, MATCH(D34,RulebookFields!A2:A1898, 0))="")=TRUE),  "",  INDEX(RulebookFields!D2:D1898, MATCH(D34,RulebookFields!A2:A1898, 0))), "")</f>
        <v>IsBlocking</v>
      </c>
      <c r="J34" s="4" t="b">
        <f>_xlfn.IFNA(IF(((INDEX(RulebookFields!I2:I1898, MATCH(D34,RulebookFields!A2:A1898, 0))="")=TRUE),  "",  INDEX(RulebookFields!I2:I1898, MATCH(D34,RulebookFields!A2:A1898, 0))), "")</f>
        <v>0</v>
      </c>
      <c r="K34" s="4" t="b">
        <f>AND(((F34)=TRUE), ((J34)=TRUE))</f>
        <v>0</v>
      </c>
      <c r="L34" s="4" t="b">
        <f>AND(((G34 &lt;&gt; "plain")=TRUE), ((G34 &lt;&gt; "")=TRUE))</f>
        <v>0</v>
      </c>
      <c r="M34" s="4" t="str">
        <f>IF(((E34)=TRUE),  C34 &amp; "|" &amp; H34,  "")</f>
        <v>principal-finance-analyst|Requirements</v>
      </c>
      <c r="N34" s="3" t="s">
        <v>10004</v>
      </c>
    </row>
    <row r="35">
      <c r="A35" s="3" t="s">
        <v>10037</v>
      </c>
      <c r="B35" s="4" t="str">
        <f>C35 &amp; " -&gt; " &amp; D35</f>
        <v>principal-finance-analyst -&gt; Requirements.Name</v>
      </c>
      <c r="C35" s="3" t="s">
        <v>9751</v>
      </c>
      <c r="D35" s="3" t="s">
        <v>3046</v>
      </c>
      <c r="E35" s="3" t="b">
        <v>1</v>
      </c>
      <c r="F35" s="3" t="b">
        <v>0</v>
      </c>
      <c r="G35" s="3" t="s">
        <v>10003</v>
      </c>
      <c r="H35" s="4" t="str">
        <f>_xlfn.IFNA(IF(((INDEX(RulebookFields!C2:C1898, MATCH(D35,RulebookFields!A2:A1898, 0))="")=TRUE),  "",  INDEX(RulebookFields!C2:C1898, MATCH(D35,RulebookFields!A2:A1898, 0))), "")</f>
        <v>Requirements</v>
      </c>
      <c r="I35" s="4" t="str">
        <f>_xlfn.IFNA(IF(((INDEX(RulebookFields!D2:D1898, MATCH(D35,RulebookFields!A2:A1898, 0))="")=TRUE),  "",  INDEX(RulebookFields!D2:D1898, MATCH(D35,RulebookFields!A2:A1898, 0))), "")</f>
        <v>Name</v>
      </c>
      <c r="J35" s="4" t="b">
        <f>_xlfn.IFNA(IF(((INDEX(RulebookFields!I2:I1898, MATCH(D35,RulebookFields!A2:A1898, 0))="")=TRUE),  "",  INDEX(RulebookFields!I2:I1898, MATCH(D35,RulebookFields!A2:A1898, 0))), "")</f>
        <v>1</v>
      </c>
      <c r="K35" s="4" t="b">
        <f>AND(((F35)=TRUE), ((J35)=TRUE))</f>
        <v>0</v>
      </c>
      <c r="L35" s="4" t="b">
        <f>AND(((G35 &lt;&gt; "plain")=TRUE), ((G35 &lt;&gt; "")=TRUE))</f>
        <v>0</v>
      </c>
      <c r="M35" s="4" t="str">
        <f>IF(((E35)=TRUE),  C35 &amp; "|" &amp; H35,  "")</f>
        <v>principal-finance-analyst|Requirements</v>
      </c>
      <c r="N35" s="3" t="s">
        <v>10004</v>
      </c>
    </row>
    <row r="36">
      <c r="A36" s="3" t="s">
        <v>10038</v>
      </c>
      <c r="B36" s="4" t="str">
        <f>C36 &amp; " -&gt; " &amp; D36</f>
        <v>principal-finance-analyst -&gt; RequirementSatisfactions.RequirementSatisfactionId</v>
      </c>
      <c r="C36" s="3" t="s">
        <v>9751</v>
      </c>
      <c r="D36" s="3" t="s">
        <v>3773</v>
      </c>
      <c r="E36" s="3" t="b">
        <v>1</v>
      </c>
      <c r="F36" s="3" t="b">
        <v>0</v>
      </c>
      <c r="G36" s="3" t="s">
        <v>10003</v>
      </c>
      <c r="H36" s="4" t="str">
        <f>_xlfn.IFNA(IF(((INDEX(RulebookFields!C2:C1898, MATCH(D36,RulebookFields!A2:A1898, 0))="")=TRUE),  "",  INDEX(RulebookFields!C2:C1898, MATCH(D36,RulebookFields!A2:A1898, 0))), "")</f>
        <v>RequirementSatisfactions</v>
      </c>
      <c r="I36" s="4" t="str">
        <f>_xlfn.IFNA(IF(((INDEX(RulebookFields!D2:D1898, MATCH(D36,RulebookFields!A2:A1898, 0))="")=TRUE),  "",  INDEX(RulebookFields!D2:D1898, MATCH(D36,RulebookFields!A2:A1898, 0))), "")</f>
        <v>RequirementSatisfactionId</v>
      </c>
      <c r="J36" s="4" t="b">
        <f>_xlfn.IFNA(IF(((INDEX(RulebookFields!I2:I1898, MATCH(D36,RulebookFields!A2:A1898, 0))="")=TRUE),  "",  INDEX(RulebookFields!I2:I1898, MATCH(D36,RulebookFields!A2:A1898, 0))), "")</f>
        <v>0</v>
      </c>
      <c r="K36" s="4" t="b">
        <f>AND(((F36)=TRUE), ((J36)=TRUE))</f>
        <v>0</v>
      </c>
      <c r="L36" s="4" t="b">
        <f>AND(((G36 &lt;&gt; "plain")=TRUE), ((G36 &lt;&gt; "")=TRUE))</f>
        <v>0</v>
      </c>
      <c r="M36" s="4" t="str">
        <f>IF(((E36)=TRUE),  C36 &amp; "|" &amp; H36,  "")</f>
        <v>principal-finance-analyst|RequirementSatisfactions</v>
      </c>
      <c r="N36" s="3" t="s">
        <v>10004</v>
      </c>
    </row>
    <row r="37">
      <c r="A37" s="3" t="s">
        <v>10039</v>
      </c>
      <c r="B37" s="4" t="str">
        <f>C37 &amp; " -&gt; " &amp; D37</f>
        <v>principal-finance-analyst -&gt; RequirementSatisfactions.Requirement</v>
      </c>
      <c r="C37" s="3" t="s">
        <v>9751</v>
      </c>
      <c r="D37" s="3" t="s">
        <v>3777</v>
      </c>
      <c r="E37" s="3" t="b">
        <v>1</v>
      </c>
      <c r="F37" s="3" t="b">
        <v>0</v>
      </c>
      <c r="G37" s="3" t="s">
        <v>10003</v>
      </c>
      <c r="H37" s="4" t="str">
        <f>_xlfn.IFNA(IF(((INDEX(RulebookFields!C2:C1898, MATCH(D37,RulebookFields!A2:A1898, 0))="")=TRUE),  "",  INDEX(RulebookFields!C2:C1898, MATCH(D37,RulebookFields!A2:A1898, 0))), "")</f>
        <v>RequirementSatisfactions</v>
      </c>
      <c r="I37" s="4" t="str">
        <f>_xlfn.IFNA(IF(((INDEX(RulebookFields!D2:D1898, MATCH(D37,RulebookFields!A2:A1898, 0))="")=TRUE),  "",  INDEX(RulebookFields!D2:D1898, MATCH(D37,RulebookFields!A2:A1898, 0))), "")</f>
        <v>Requirement</v>
      </c>
      <c r="J37" s="4" t="b">
        <f>_xlfn.IFNA(IF(((INDEX(RulebookFields!I2:I1898, MATCH(D37,RulebookFields!A2:A1898, 0))="")=TRUE),  "",  INDEX(RulebookFields!I2:I1898, MATCH(D37,RulebookFields!A2:A1898, 0))), "")</f>
        <v>0</v>
      </c>
      <c r="K37" s="4" t="b">
        <f>AND(((F37)=TRUE), ((J37)=TRUE))</f>
        <v>0</v>
      </c>
      <c r="L37" s="4" t="b">
        <f>AND(((G37 &lt;&gt; "plain")=TRUE), ((G37 &lt;&gt; "")=TRUE))</f>
        <v>0</v>
      </c>
      <c r="M37" s="4" t="str">
        <f>IF(((E37)=TRUE),  C37 &amp; "|" &amp; H37,  "")</f>
        <v>principal-finance-analyst|RequirementSatisfactions</v>
      </c>
      <c r="N37" s="3" t="s">
        <v>10004</v>
      </c>
    </row>
    <row r="38">
      <c r="A38" s="3" t="s">
        <v>10040</v>
      </c>
      <c r="B38" s="4" t="str">
        <f>C38 &amp; " -&gt; " &amp; D38</f>
        <v>principal-finance-analyst -&gt; RequirementSatisfactions.SatisfactionLevel</v>
      </c>
      <c r="C38" s="3" t="s">
        <v>9751</v>
      </c>
      <c r="D38" s="3" t="s">
        <v>3778</v>
      </c>
      <c r="E38" s="3" t="b">
        <v>1</v>
      </c>
      <c r="F38" s="3" t="b">
        <v>0</v>
      </c>
      <c r="G38" s="3" t="s">
        <v>10003</v>
      </c>
      <c r="H38" s="4" t="str">
        <f>_xlfn.IFNA(IF(((INDEX(RulebookFields!C2:C1898, MATCH(D38,RulebookFields!A2:A1898, 0))="")=TRUE),  "",  INDEX(RulebookFields!C2:C1898, MATCH(D38,RulebookFields!A2:A1898, 0))), "")</f>
        <v>RequirementSatisfactions</v>
      </c>
      <c r="I38" s="4" t="str">
        <f>_xlfn.IFNA(IF(((INDEX(RulebookFields!D2:D1898, MATCH(D38,RulebookFields!A2:A1898, 0))="")=TRUE),  "",  INDEX(RulebookFields!D2:D1898, MATCH(D38,RulebookFields!A2:A1898, 0))), "")</f>
        <v>SatisfactionLevel</v>
      </c>
      <c r="J38" s="4" t="b">
        <f>_xlfn.IFNA(IF(((INDEX(RulebookFields!I2:I1898, MATCH(D38,RulebookFields!A2:A1898, 0))="")=TRUE),  "",  INDEX(RulebookFields!I2:I1898, MATCH(D38,RulebookFields!A2:A1898, 0))), "")</f>
        <v>0</v>
      </c>
      <c r="K38" s="4" t="b">
        <f>AND(((F38)=TRUE), ((J38)=TRUE))</f>
        <v>0</v>
      </c>
      <c r="L38" s="4" t="b">
        <f>AND(((G38 &lt;&gt; "plain")=TRUE), ((G38 &lt;&gt; "")=TRUE))</f>
        <v>0</v>
      </c>
      <c r="M38" s="4" t="str">
        <f>IF(((E38)=TRUE),  C38 &amp; "|" &amp; H38,  "")</f>
        <v>principal-finance-analyst|RequirementSatisfactions</v>
      </c>
      <c r="N38" s="3" t="s">
        <v>10004</v>
      </c>
    </row>
    <row r="39">
      <c r="A39" s="3" t="s">
        <v>10041</v>
      </c>
      <c r="B39" s="4" t="str">
        <f>C39 &amp; " -&gt; " &amp; D39</f>
        <v>principal-finance-analyst -&gt; RequirementSatisfactions.Evidence</v>
      </c>
      <c r="C39" s="3" t="s">
        <v>9751</v>
      </c>
      <c r="D39" s="3" t="s">
        <v>3779</v>
      </c>
      <c r="E39" s="3" t="b">
        <v>1</v>
      </c>
      <c r="F39" s="3" t="b">
        <v>0</v>
      </c>
      <c r="G39" s="3" t="s">
        <v>10003</v>
      </c>
      <c r="H39" s="4" t="str">
        <f>_xlfn.IFNA(IF(((INDEX(RulebookFields!C2:C1898, MATCH(D39,RulebookFields!A2:A1898, 0))="")=TRUE),  "",  INDEX(RulebookFields!C2:C1898, MATCH(D39,RulebookFields!A2:A1898, 0))), "")</f>
        <v>RequirementSatisfactions</v>
      </c>
      <c r="I39" s="4" t="str">
        <f>_xlfn.IFNA(IF(((INDEX(RulebookFields!D2:D1898, MATCH(D39,RulebookFields!A2:A1898, 0))="")=TRUE),  "",  INDEX(RulebookFields!D2:D1898, MATCH(D39,RulebookFields!A2:A1898, 0))), "")</f>
        <v>Evidence</v>
      </c>
      <c r="J39" s="4" t="b">
        <f>_xlfn.IFNA(IF(((INDEX(RulebookFields!I2:I1898, MATCH(D39,RulebookFields!A2:A1898, 0))="")=TRUE),  "",  INDEX(RulebookFields!I2:I1898, MATCH(D39,RulebookFields!A2:A1898, 0))), "")</f>
        <v>0</v>
      </c>
      <c r="K39" s="4" t="b">
        <f>AND(((F39)=TRUE), ((J39)=TRUE))</f>
        <v>0</v>
      </c>
      <c r="L39" s="4" t="b">
        <f>AND(((G39 &lt;&gt; "plain")=TRUE), ((G39 &lt;&gt; "")=TRUE))</f>
        <v>0</v>
      </c>
      <c r="M39" s="4" t="str">
        <f>IF(((E39)=TRUE),  C39 &amp; "|" &amp; H39,  "")</f>
        <v>principal-finance-analyst|RequirementSatisfactions</v>
      </c>
      <c r="N39" s="3" t="s">
        <v>10004</v>
      </c>
    </row>
    <row r="40">
      <c r="A40" s="3" t="s">
        <v>10042</v>
      </c>
      <c r="B40" s="4" t="str">
        <f>C40 &amp; " -&gt; " &amp; D40</f>
        <v>principal-finance-analyst -&gt; RequirementSatisfactions.EvaluatedAt</v>
      </c>
      <c r="C40" s="3" t="s">
        <v>9751</v>
      </c>
      <c r="D40" s="3" t="s">
        <v>3781</v>
      </c>
      <c r="E40" s="3" t="b">
        <v>1</v>
      </c>
      <c r="F40" s="3" t="b">
        <v>0</v>
      </c>
      <c r="G40" s="3" t="s">
        <v>10003</v>
      </c>
      <c r="H40" s="4" t="str">
        <f>_xlfn.IFNA(IF(((INDEX(RulebookFields!C2:C1898, MATCH(D40,RulebookFields!A2:A1898, 0))="")=TRUE),  "",  INDEX(RulebookFields!C2:C1898, MATCH(D40,RulebookFields!A2:A1898, 0))), "")</f>
        <v>RequirementSatisfactions</v>
      </c>
      <c r="I40" s="4" t="str">
        <f>_xlfn.IFNA(IF(((INDEX(RulebookFields!D2:D1898, MATCH(D40,RulebookFields!A2:A1898, 0))="")=TRUE),  "",  INDEX(RulebookFields!D2:D1898, MATCH(D40,RulebookFields!A2:A1898, 0))), "")</f>
        <v>EvaluatedAt</v>
      </c>
      <c r="J40" s="4" t="b">
        <f>_xlfn.IFNA(IF(((INDEX(RulebookFields!I2:I1898, MATCH(D40,RulebookFields!A2:A1898, 0))="")=TRUE),  "",  INDEX(RulebookFields!I2:I1898, MATCH(D40,RulebookFields!A2:A1898, 0))), "")</f>
        <v>0</v>
      </c>
      <c r="K40" s="4" t="b">
        <f>AND(((F40)=TRUE), ((J40)=TRUE))</f>
        <v>0</v>
      </c>
      <c r="L40" s="4" t="b">
        <f>AND(((G40 &lt;&gt; "plain")=TRUE), ((G40 &lt;&gt; "")=TRUE))</f>
        <v>0</v>
      </c>
      <c r="M40" s="4" t="str">
        <f>IF(((E40)=TRUE),  C40 &amp; "|" &amp; H40,  "")</f>
        <v>principal-finance-analyst|RequirementSatisfactions</v>
      </c>
      <c r="N40" s="3" t="s">
        <v>10004</v>
      </c>
    </row>
    <row r="41">
      <c r="A41" s="3" t="s">
        <v>10043</v>
      </c>
      <c r="B41" s="4" t="str">
        <f>C41 &amp; " -&gt; " &amp; D41</f>
        <v>principal-finance-analyst -&gt; RequirementSatisfactions.Name</v>
      </c>
      <c r="C41" s="3" t="s">
        <v>9751</v>
      </c>
      <c r="D41" s="3" t="s">
        <v>3774</v>
      </c>
      <c r="E41" s="3" t="b">
        <v>1</v>
      </c>
      <c r="F41" s="3" t="b">
        <v>0</v>
      </c>
      <c r="G41" s="3" t="s">
        <v>10003</v>
      </c>
      <c r="H41" s="4" t="str">
        <f>_xlfn.IFNA(IF(((INDEX(RulebookFields!C2:C1898, MATCH(D41,RulebookFields!A2:A1898, 0))="")=TRUE),  "",  INDEX(RulebookFields!C2:C1898, MATCH(D41,RulebookFields!A2:A1898, 0))), "")</f>
        <v>RequirementSatisfactions</v>
      </c>
      <c r="I41" s="4" t="str">
        <f>_xlfn.IFNA(IF(((INDEX(RulebookFields!D2:D1898, MATCH(D41,RulebookFields!A2:A1898, 0))="")=TRUE),  "",  INDEX(RulebookFields!D2:D1898, MATCH(D41,RulebookFields!A2:A1898, 0))), "")</f>
        <v>Name</v>
      </c>
      <c r="J41" s="4" t="b">
        <f>_xlfn.IFNA(IF(((INDEX(RulebookFields!I2:I1898, MATCH(D41,RulebookFields!A2:A1898, 0))="")=TRUE),  "",  INDEX(RulebookFields!I2:I1898, MATCH(D41,RulebookFields!A2:A1898, 0))), "")</f>
        <v>1</v>
      </c>
      <c r="K41" s="4" t="b">
        <f>AND(((F41)=TRUE), ((J41)=TRUE))</f>
        <v>0</v>
      </c>
      <c r="L41" s="4" t="b">
        <f>AND(((G41 &lt;&gt; "plain")=TRUE), ((G41 &lt;&gt; "")=TRUE))</f>
        <v>0</v>
      </c>
      <c r="M41" s="4" t="str">
        <f>IF(((E41)=TRUE),  C41 &amp; "|" &amp; H41,  "")</f>
        <v>principal-finance-analyst|RequirementSatisfactions</v>
      </c>
      <c r="N41" s="3" t="s">
        <v>10004</v>
      </c>
    </row>
    <row r="42">
      <c r="A42" s="3" t="s">
        <v>10044</v>
      </c>
      <c r="B42" s="4" t="str">
        <f>C42 &amp; " -&gt; " &amp; D42</f>
        <v>principal-finance-analyst -&gt; Procedures.ProcedureId</v>
      </c>
      <c r="C42" s="3" t="s">
        <v>9751</v>
      </c>
      <c r="D42" s="3" t="s">
        <v>2681</v>
      </c>
      <c r="E42" s="3" t="b">
        <v>1</v>
      </c>
      <c r="F42" s="3" t="b">
        <v>0</v>
      </c>
      <c r="G42" s="3" t="s">
        <v>10003</v>
      </c>
      <c r="H42" s="4" t="str">
        <f>_xlfn.IFNA(IF(((INDEX(RulebookFields!C2:C1898, MATCH(D42,RulebookFields!A2:A1898, 0))="")=TRUE),  "",  INDEX(RulebookFields!C2:C1898, MATCH(D42,RulebookFields!A2:A1898, 0))), "")</f>
        <v>Procedures</v>
      </c>
      <c r="I42" s="4" t="str">
        <f>_xlfn.IFNA(IF(((INDEX(RulebookFields!D2:D1898, MATCH(D42,RulebookFields!A2:A1898, 0))="")=TRUE),  "",  INDEX(RulebookFields!D2:D1898, MATCH(D42,RulebookFields!A2:A1898, 0))), "")</f>
        <v>ProcedureId</v>
      </c>
      <c r="J42" s="4" t="b">
        <f>_xlfn.IFNA(IF(((INDEX(RulebookFields!I2:I1898, MATCH(D42,RulebookFields!A2:A1898, 0))="")=TRUE),  "",  INDEX(RulebookFields!I2:I1898, MATCH(D42,RulebookFields!A2:A1898, 0))), "")</f>
        <v>0</v>
      </c>
      <c r="K42" s="4" t="b">
        <f>AND(((F42)=TRUE), ((J42)=TRUE))</f>
        <v>0</v>
      </c>
      <c r="L42" s="4" t="b">
        <f>AND(((G42 &lt;&gt; "plain")=TRUE), ((G42 &lt;&gt; "")=TRUE))</f>
        <v>0</v>
      </c>
      <c r="M42" s="4" t="str">
        <f>IF(((E42)=TRUE),  C42 &amp; "|" &amp; H42,  "")</f>
        <v>principal-finance-analyst|Procedures</v>
      </c>
      <c r="N42" s="3" t="s">
        <v>10004</v>
      </c>
    </row>
    <row r="43">
      <c r="A43" s="3" t="s">
        <v>10045</v>
      </c>
      <c r="B43" s="4" t="str">
        <f>C43 &amp; " -&gt; " &amp; D43</f>
        <v>principal-finance-analyst -&gt; Procedures.Title</v>
      </c>
      <c r="C43" s="3" t="s">
        <v>9751</v>
      </c>
      <c r="D43" s="3" t="s">
        <v>2684</v>
      </c>
      <c r="E43" s="3" t="b">
        <v>1</v>
      </c>
      <c r="F43" s="3" t="b">
        <v>0</v>
      </c>
      <c r="G43" s="3" t="s">
        <v>10003</v>
      </c>
      <c r="H43" s="4" t="str">
        <f>_xlfn.IFNA(IF(((INDEX(RulebookFields!C2:C1898, MATCH(D43,RulebookFields!A2:A1898, 0))="")=TRUE),  "",  INDEX(RulebookFields!C2:C1898, MATCH(D43,RulebookFields!A2:A1898, 0))), "")</f>
        <v>Procedures</v>
      </c>
      <c r="I43" s="4" t="str">
        <f>_xlfn.IFNA(IF(((INDEX(RulebookFields!D2:D1898, MATCH(D43,RulebookFields!A2:A1898, 0))="")=TRUE),  "",  INDEX(RulebookFields!D2:D1898, MATCH(D43,RulebookFields!A2:A1898, 0))), "")</f>
        <v>Title</v>
      </c>
      <c r="J43" s="4" t="b">
        <f>_xlfn.IFNA(IF(((INDEX(RulebookFields!I2:I1898, MATCH(D43,RulebookFields!A2:A1898, 0))="")=TRUE),  "",  INDEX(RulebookFields!I2:I1898, MATCH(D43,RulebookFields!A2:A1898, 0))), "")</f>
        <v>0</v>
      </c>
      <c r="K43" s="4" t="b">
        <f>AND(((F43)=TRUE), ((J43)=TRUE))</f>
        <v>0</v>
      </c>
      <c r="L43" s="4" t="b">
        <f>AND(((G43 &lt;&gt; "plain")=TRUE), ((G43 &lt;&gt; "")=TRUE))</f>
        <v>0</v>
      </c>
      <c r="M43" s="4" t="str">
        <f>IF(((E43)=TRUE),  C43 &amp; "|" &amp; H43,  "")</f>
        <v>principal-finance-analyst|Procedures</v>
      </c>
      <c r="N43" s="3" t="s">
        <v>10004</v>
      </c>
    </row>
    <row r="44">
      <c r="A44" s="3" t="s">
        <v>10046</v>
      </c>
      <c r="B44" s="4" t="str">
        <f>C44 &amp; " -&gt; " &amp; D44</f>
        <v>principal-finance-analyst -&gt; Procedures.Purpose</v>
      </c>
      <c r="C44" s="3" t="s">
        <v>9751</v>
      </c>
      <c r="D44" s="3" t="s">
        <v>2688</v>
      </c>
      <c r="E44" s="3" t="b">
        <v>1</v>
      </c>
      <c r="F44" s="3" t="b">
        <v>0</v>
      </c>
      <c r="G44" s="3" t="s">
        <v>10003</v>
      </c>
      <c r="H44" s="4" t="str">
        <f>_xlfn.IFNA(IF(((INDEX(RulebookFields!C2:C1898, MATCH(D44,RulebookFields!A2:A1898, 0))="")=TRUE),  "",  INDEX(RulebookFields!C2:C1898, MATCH(D44,RulebookFields!A2:A1898, 0))), "")</f>
        <v>Procedures</v>
      </c>
      <c r="I44" s="4" t="str">
        <f>_xlfn.IFNA(IF(((INDEX(RulebookFields!D2:D1898, MATCH(D44,RulebookFields!A2:A1898, 0))="")=TRUE),  "",  INDEX(RulebookFields!D2:D1898, MATCH(D44,RulebookFields!A2:A1898, 0))), "")</f>
        <v>Purpose</v>
      </c>
      <c r="J44" s="4" t="b">
        <f>_xlfn.IFNA(IF(((INDEX(RulebookFields!I2:I1898, MATCH(D44,RulebookFields!A2:A1898, 0))="")=TRUE),  "",  INDEX(RulebookFields!I2:I1898, MATCH(D44,RulebookFields!A2:A1898, 0))), "")</f>
        <v>0</v>
      </c>
      <c r="K44" s="4" t="b">
        <f>AND(((F44)=TRUE), ((J44)=TRUE))</f>
        <v>0</v>
      </c>
      <c r="L44" s="4" t="b">
        <f>AND(((G44 &lt;&gt; "plain")=TRUE), ((G44 &lt;&gt; "")=TRUE))</f>
        <v>0</v>
      </c>
      <c r="M44" s="4" t="str">
        <f>IF(((E44)=TRUE),  C44 &amp; "|" &amp; H44,  "")</f>
        <v>principal-finance-analyst|Procedures</v>
      </c>
      <c r="N44" s="3" t="s">
        <v>10004</v>
      </c>
    </row>
    <row r="45">
      <c r="A45" s="3" t="s">
        <v>10047</v>
      </c>
      <c r="B45" s="4" t="str">
        <f>C45 &amp; " -&gt; " &amp; D45</f>
        <v>principal-finance-analyst -&gt; Procedures.Name</v>
      </c>
      <c r="C45" s="3" t="s">
        <v>9751</v>
      </c>
      <c r="D45" s="3" t="s">
        <v>2682</v>
      </c>
      <c r="E45" s="3" t="b">
        <v>1</v>
      </c>
      <c r="F45" s="3" t="b">
        <v>0</v>
      </c>
      <c r="G45" s="3" t="s">
        <v>10003</v>
      </c>
      <c r="H45" s="4" t="str">
        <f>_xlfn.IFNA(IF(((INDEX(RulebookFields!C2:C1898, MATCH(D45,RulebookFields!A2:A1898, 0))="")=TRUE),  "",  INDEX(RulebookFields!C2:C1898, MATCH(D45,RulebookFields!A2:A1898, 0))), "")</f>
        <v>Procedures</v>
      </c>
      <c r="I45" s="4" t="str">
        <f>_xlfn.IFNA(IF(((INDEX(RulebookFields!D2:D1898, MATCH(D45,RulebookFields!A2:A1898, 0))="")=TRUE),  "",  INDEX(RulebookFields!D2:D1898, MATCH(D45,RulebookFields!A2:A1898, 0))), "")</f>
        <v>Name</v>
      </c>
      <c r="J45" s="4" t="b">
        <f>_xlfn.IFNA(IF(((INDEX(RulebookFields!I2:I1898, MATCH(D45,RulebookFields!A2:A1898, 0))="")=TRUE),  "",  INDEX(RulebookFields!I2:I1898, MATCH(D45,RulebookFields!A2:A1898, 0))), "")</f>
        <v>1</v>
      </c>
      <c r="K45" s="4" t="b">
        <f>AND(((F45)=TRUE), ((J45)=TRUE))</f>
        <v>0</v>
      </c>
      <c r="L45" s="4" t="b">
        <f>AND(((G45 &lt;&gt; "plain")=TRUE), ((G45 &lt;&gt; "")=TRUE))</f>
        <v>0</v>
      </c>
      <c r="M45" s="4" t="str">
        <f>IF(((E45)=TRUE),  C45 &amp; "|" &amp; H45,  "")</f>
        <v>principal-finance-analyst|Procedures</v>
      </c>
      <c r="N45" s="3" t="s">
        <v>10004</v>
      </c>
    </row>
    <row r="46">
      <c r="A46" s="3" t="s">
        <v>10048</v>
      </c>
      <c r="B46" s="4" t="str">
        <f>C46 &amp; " -&gt; " &amp; D46</f>
        <v>principal-finance-analyst -&gt; ProcedureVersions.ProcedureVersionId</v>
      </c>
      <c r="C46" s="3" t="s">
        <v>9751</v>
      </c>
      <c r="D46" s="3" t="s">
        <v>2693</v>
      </c>
      <c r="E46" s="3" t="b">
        <v>1</v>
      </c>
      <c r="F46" s="3" t="b">
        <v>0</v>
      </c>
      <c r="G46" s="3" t="s">
        <v>10003</v>
      </c>
      <c r="H46" s="4" t="str">
        <f>_xlfn.IFNA(IF(((INDEX(RulebookFields!C2:C1898, MATCH(D46,RulebookFields!A2:A1898, 0))="")=TRUE),  "",  INDEX(RulebookFields!C2:C1898, MATCH(D46,RulebookFields!A2:A1898, 0))), "")</f>
        <v>ProcedureVersions</v>
      </c>
      <c r="I46" s="4" t="str">
        <f>_xlfn.IFNA(IF(((INDEX(RulebookFields!D2:D1898, MATCH(D46,RulebookFields!A2:A1898, 0))="")=TRUE),  "",  INDEX(RulebookFields!D2:D1898, MATCH(D46,RulebookFields!A2:A1898, 0))), "")</f>
        <v>ProcedureVersionId</v>
      </c>
      <c r="J46" s="4" t="b">
        <f>_xlfn.IFNA(IF(((INDEX(RulebookFields!I2:I1898, MATCH(D46,RulebookFields!A2:A1898, 0))="")=TRUE),  "",  INDEX(RulebookFields!I2:I1898, MATCH(D46,RulebookFields!A2:A1898, 0))), "")</f>
        <v>0</v>
      </c>
      <c r="K46" s="4" t="b">
        <f>AND(((F46)=TRUE), ((J46)=TRUE))</f>
        <v>0</v>
      </c>
      <c r="L46" s="4" t="b">
        <f>AND(((G46 &lt;&gt; "plain")=TRUE), ((G46 &lt;&gt; "")=TRUE))</f>
        <v>0</v>
      </c>
      <c r="M46" s="4" t="str">
        <f>IF(((E46)=TRUE),  C46 &amp; "|" &amp; H46,  "")</f>
        <v>principal-finance-analyst|ProcedureVersions</v>
      </c>
      <c r="N46" s="3" t="s">
        <v>10004</v>
      </c>
    </row>
    <row r="47">
      <c r="A47" s="3" t="s">
        <v>10049</v>
      </c>
      <c r="B47" s="4" t="str">
        <f>C47 &amp; " -&gt; " &amp; D47</f>
        <v>principal-finance-analyst -&gt; ProcedureVersions.VersionNumber</v>
      </c>
      <c r="C47" s="3" t="s">
        <v>9751</v>
      </c>
      <c r="D47" s="3" t="s">
        <v>1770</v>
      </c>
      <c r="E47" s="3" t="b">
        <v>1</v>
      </c>
      <c r="F47" s="3" t="b">
        <v>0</v>
      </c>
      <c r="G47" s="3" t="s">
        <v>10003</v>
      </c>
      <c r="H47" s="4" t="str">
        <f>_xlfn.IFNA(IF(((INDEX(RulebookFields!C2:C1898, MATCH(D47,RulebookFields!A2:A1898, 0))="")=TRUE),  "",  INDEX(RulebookFields!C2:C1898, MATCH(D47,RulebookFields!A2:A1898, 0))), "")</f>
        <v>ProcedureVersions</v>
      </c>
      <c r="I47" s="4" t="str">
        <f>_xlfn.IFNA(IF(((INDEX(RulebookFields!D2:D1898, MATCH(D47,RulebookFields!A2:A1898, 0))="")=TRUE),  "",  INDEX(RulebookFields!D2:D1898, MATCH(D47,RulebookFields!A2:A1898, 0))), "")</f>
        <v>VersionNumber</v>
      </c>
      <c r="J47" s="4" t="b">
        <f>_xlfn.IFNA(IF(((INDEX(RulebookFields!I2:I1898, MATCH(D47,RulebookFields!A2:A1898, 0))="")=TRUE),  "",  INDEX(RulebookFields!I2:I1898, MATCH(D47,RulebookFields!A2:A1898, 0))), "")</f>
        <v>0</v>
      </c>
      <c r="K47" s="4" t="b">
        <f>AND(((F47)=TRUE), ((J47)=TRUE))</f>
        <v>0</v>
      </c>
      <c r="L47" s="4" t="b">
        <f>AND(((G47 &lt;&gt; "plain")=TRUE), ((G47 &lt;&gt; "")=TRUE))</f>
        <v>0</v>
      </c>
      <c r="M47" s="4" t="str">
        <f>IF(((E47)=TRUE),  C47 &amp; "|" &amp; H47,  "")</f>
        <v>principal-finance-analyst|ProcedureVersions</v>
      </c>
      <c r="N47" s="3" t="s">
        <v>10004</v>
      </c>
    </row>
    <row r="48">
      <c r="A48" s="3" t="s">
        <v>10050</v>
      </c>
      <c r="B48" s="4" t="str">
        <f>C48 &amp; " -&gt; " &amp; D48</f>
        <v>principal-finance-analyst -&gt; ProcedureVersions.Title</v>
      </c>
      <c r="C48" s="3" t="s">
        <v>9751</v>
      </c>
      <c r="D48" s="3" t="s">
        <v>2696</v>
      </c>
      <c r="E48" s="3" t="b">
        <v>1</v>
      </c>
      <c r="F48" s="3" t="b">
        <v>0</v>
      </c>
      <c r="G48" s="3" t="s">
        <v>10003</v>
      </c>
      <c r="H48" s="4" t="str">
        <f>_xlfn.IFNA(IF(((INDEX(RulebookFields!C2:C1898, MATCH(D48,RulebookFields!A2:A1898, 0))="")=TRUE),  "",  INDEX(RulebookFields!C2:C1898, MATCH(D48,RulebookFields!A2:A1898, 0))), "")</f>
        <v>ProcedureVersions</v>
      </c>
      <c r="I48" s="4" t="str">
        <f>_xlfn.IFNA(IF(((INDEX(RulebookFields!D2:D1898, MATCH(D48,RulebookFields!A2:A1898, 0))="")=TRUE),  "",  INDEX(RulebookFields!D2:D1898, MATCH(D48,RulebookFields!A2:A1898, 0))), "")</f>
        <v>Title</v>
      </c>
      <c r="J48" s="4" t="b">
        <f>_xlfn.IFNA(IF(((INDEX(RulebookFields!I2:I1898, MATCH(D48,RulebookFields!A2:A1898, 0))="")=TRUE),  "",  INDEX(RulebookFields!I2:I1898, MATCH(D48,RulebookFields!A2:A1898, 0))), "")</f>
        <v>0</v>
      </c>
      <c r="K48" s="4" t="b">
        <f>AND(((F48)=TRUE), ((J48)=TRUE))</f>
        <v>0</v>
      </c>
      <c r="L48" s="4" t="b">
        <f>AND(((G48 &lt;&gt; "plain")=TRUE), ((G48 &lt;&gt; "")=TRUE))</f>
        <v>0</v>
      </c>
      <c r="M48" s="4" t="str">
        <f>IF(((E48)=TRUE),  C48 &amp; "|" &amp; H48,  "")</f>
        <v>principal-finance-analyst|ProcedureVersions</v>
      </c>
      <c r="N48" s="3" t="s">
        <v>10004</v>
      </c>
    </row>
    <row r="49">
      <c r="A49" s="3" t="s">
        <v>10051</v>
      </c>
      <c r="B49" s="4" t="str">
        <f>C49 &amp; " -&gt; " &amp; D49</f>
        <v>principal-finance-analyst -&gt; ProcedureVersions.Status</v>
      </c>
      <c r="C49" s="3" t="s">
        <v>9751</v>
      </c>
      <c r="D49" s="3" t="s">
        <v>2697</v>
      </c>
      <c r="E49" s="3" t="b">
        <v>1</v>
      </c>
      <c r="F49" s="3" t="b">
        <v>0</v>
      </c>
      <c r="G49" s="3" t="s">
        <v>10003</v>
      </c>
      <c r="H49" s="4" t="str">
        <f>_xlfn.IFNA(IF(((INDEX(RulebookFields!C2:C1898, MATCH(D49,RulebookFields!A2:A1898, 0))="")=TRUE),  "",  INDEX(RulebookFields!C2:C1898, MATCH(D49,RulebookFields!A2:A1898, 0))), "")</f>
        <v>ProcedureVersions</v>
      </c>
      <c r="I49" s="4" t="str">
        <f>_xlfn.IFNA(IF(((INDEX(RulebookFields!D2:D1898, MATCH(D49,RulebookFields!A2:A1898, 0))="")=TRUE),  "",  INDEX(RulebookFields!D2:D1898, MATCH(D49,RulebookFields!A2:A1898, 0))), "")</f>
        <v>Status</v>
      </c>
      <c r="J49" s="4" t="b">
        <f>_xlfn.IFNA(IF(((INDEX(RulebookFields!I2:I1898, MATCH(D49,RulebookFields!A2:A1898, 0))="")=TRUE),  "",  INDEX(RulebookFields!I2:I1898, MATCH(D49,RulebookFields!A2:A1898, 0))), "")</f>
        <v>0</v>
      </c>
      <c r="K49" s="4" t="b">
        <f>AND(((F49)=TRUE), ((J49)=TRUE))</f>
        <v>0</v>
      </c>
      <c r="L49" s="4" t="b">
        <f>AND(((G49 &lt;&gt; "plain")=TRUE), ((G49 &lt;&gt; "")=TRUE))</f>
        <v>0</v>
      </c>
      <c r="M49" s="4" t="str">
        <f>IF(((E49)=TRUE),  C49 &amp; "|" &amp; H49,  "")</f>
        <v>principal-finance-analyst|ProcedureVersions</v>
      </c>
      <c r="N49" s="3" t="s">
        <v>10004</v>
      </c>
    </row>
    <row r="50">
      <c r="A50" s="3" t="s">
        <v>10052</v>
      </c>
      <c r="B50" s="4" t="str">
        <f>C50 &amp; " -&gt; " &amp; D50</f>
        <v>principal-finance-analyst -&gt; ProcedureVersions.IsCurrent</v>
      </c>
      <c r="C50" s="3" t="s">
        <v>9751</v>
      </c>
      <c r="D50" s="3" t="s">
        <v>2704</v>
      </c>
      <c r="E50" s="3" t="b">
        <v>1</v>
      </c>
      <c r="F50" s="3" t="b">
        <v>0</v>
      </c>
      <c r="G50" s="3" t="s">
        <v>10003</v>
      </c>
      <c r="H50" s="4" t="str">
        <f>_xlfn.IFNA(IF(((INDEX(RulebookFields!C2:C1898, MATCH(D50,RulebookFields!A2:A1898, 0))="")=TRUE),  "",  INDEX(RulebookFields!C2:C1898, MATCH(D50,RulebookFields!A2:A1898, 0))), "")</f>
        <v>ProcedureVersions</v>
      </c>
      <c r="I50" s="4" t="str">
        <f>_xlfn.IFNA(IF(((INDEX(RulebookFields!D2:D1898, MATCH(D50,RulebookFields!A2:A1898, 0))="")=TRUE),  "",  INDEX(RulebookFields!D2:D1898, MATCH(D50,RulebookFields!A2:A1898, 0))), "")</f>
        <v>IsCurrent</v>
      </c>
      <c r="J50" s="4" t="b">
        <f>_xlfn.IFNA(IF(((INDEX(RulebookFields!I2:I1898, MATCH(D50,RulebookFields!A2:A1898, 0))="")=TRUE),  "",  INDEX(RulebookFields!I2:I1898, MATCH(D50,RulebookFields!A2:A1898, 0))), "")</f>
        <v>0</v>
      </c>
      <c r="K50" s="4" t="b">
        <f>AND(((F50)=TRUE), ((J50)=TRUE))</f>
        <v>0</v>
      </c>
      <c r="L50" s="4" t="b">
        <f>AND(((G50 &lt;&gt; "plain")=TRUE), ((G50 &lt;&gt; "")=TRUE))</f>
        <v>0</v>
      </c>
      <c r="M50" s="4" t="str">
        <f>IF(((E50)=TRUE),  C50 &amp; "|" &amp; H50,  "")</f>
        <v>principal-finance-analyst|ProcedureVersions</v>
      </c>
      <c r="N50" s="3" t="s">
        <v>10004</v>
      </c>
    </row>
    <row r="51">
      <c r="A51" s="3" t="s">
        <v>10053</v>
      </c>
      <c r="B51" s="4" t="str">
        <f>C51 &amp; " -&gt; " &amp; D51</f>
        <v>principal-finance-analyst -&gt; ProcedureVersions.Procedure</v>
      </c>
      <c r="C51" s="3" t="s">
        <v>9751</v>
      </c>
      <c r="D51" s="3" t="s">
        <v>2695</v>
      </c>
      <c r="E51" s="3" t="b">
        <v>1</v>
      </c>
      <c r="F51" s="3" t="b">
        <v>0</v>
      </c>
      <c r="G51" s="3" t="s">
        <v>10003</v>
      </c>
      <c r="H51" s="4" t="str">
        <f>_xlfn.IFNA(IF(((INDEX(RulebookFields!C2:C1898, MATCH(D51,RulebookFields!A2:A1898, 0))="")=TRUE),  "",  INDEX(RulebookFields!C2:C1898, MATCH(D51,RulebookFields!A2:A1898, 0))), "")</f>
        <v>ProcedureVersions</v>
      </c>
      <c r="I51" s="4" t="str">
        <f>_xlfn.IFNA(IF(((INDEX(RulebookFields!D2:D1898, MATCH(D51,RulebookFields!A2:A1898, 0))="")=TRUE),  "",  INDEX(RulebookFields!D2:D1898, MATCH(D51,RulebookFields!A2:A1898, 0))), "")</f>
        <v>Procedure</v>
      </c>
      <c r="J51" s="4" t="b">
        <f>_xlfn.IFNA(IF(((INDEX(RulebookFields!I2:I1898, MATCH(D51,RulebookFields!A2:A1898, 0))="")=TRUE),  "",  INDEX(RulebookFields!I2:I1898, MATCH(D51,RulebookFields!A2:A1898, 0))), "")</f>
        <v>0</v>
      </c>
      <c r="K51" s="4" t="b">
        <f>AND(((F51)=TRUE), ((J51)=TRUE))</f>
        <v>0</v>
      </c>
      <c r="L51" s="4" t="b">
        <f>AND(((G51 &lt;&gt; "plain")=TRUE), ((G51 &lt;&gt; "")=TRUE))</f>
        <v>0</v>
      </c>
      <c r="M51" s="4" t="str">
        <f>IF(((E51)=TRUE),  C51 &amp; "|" &amp; H51,  "")</f>
        <v>principal-finance-analyst|ProcedureVersions</v>
      </c>
      <c r="N51" s="3" t="s">
        <v>10004</v>
      </c>
    </row>
    <row r="52">
      <c r="A52" s="3" t="s">
        <v>10054</v>
      </c>
      <c r="B52" s="4" t="str">
        <f>C52 &amp; " -&gt; " &amp; D52</f>
        <v>principal-finance-analyst -&gt; ProcedureVersions.Name</v>
      </c>
      <c r="C52" s="3" t="s">
        <v>9751</v>
      </c>
      <c r="D52" s="3" t="s">
        <v>2694</v>
      </c>
      <c r="E52" s="3" t="b">
        <v>1</v>
      </c>
      <c r="F52" s="3" t="b">
        <v>0</v>
      </c>
      <c r="G52" s="3" t="s">
        <v>10003</v>
      </c>
      <c r="H52" s="4" t="str">
        <f>_xlfn.IFNA(IF(((INDEX(RulebookFields!C2:C1898, MATCH(D52,RulebookFields!A2:A1898, 0))="")=TRUE),  "",  INDEX(RulebookFields!C2:C1898, MATCH(D52,RulebookFields!A2:A1898, 0))), "")</f>
        <v>ProcedureVersions</v>
      </c>
      <c r="I52" s="4" t="str">
        <f>_xlfn.IFNA(IF(((INDEX(RulebookFields!D2:D1898, MATCH(D52,RulebookFields!A2:A1898, 0))="")=TRUE),  "",  INDEX(RulebookFields!D2:D1898, MATCH(D52,RulebookFields!A2:A1898, 0))), "")</f>
        <v>Name</v>
      </c>
      <c r="J52" s="4" t="b">
        <f>_xlfn.IFNA(IF(((INDEX(RulebookFields!I2:I1898, MATCH(D52,RulebookFields!A2:A1898, 0))="")=TRUE),  "",  INDEX(RulebookFields!I2:I1898, MATCH(D52,RulebookFields!A2:A1898, 0))), "")</f>
        <v>1</v>
      </c>
      <c r="K52" s="4" t="b">
        <f>AND(((F52)=TRUE), ((J52)=TRUE))</f>
        <v>0</v>
      </c>
      <c r="L52" s="4" t="b">
        <f>AND(((G52 &lt;&gt; "plain")=TRUE), ((G52 &lt;&gt; "")=TRUE))</f>
        <v>0</v>
      </c>
      <c r="M52" s="4" t="str">
        <f>IF(((E52)=TRUE),  C52 &amp; "|" &amp; H52,  "")</f>
        <v>principal-finance-analyst|ProcedureVersions</v>
      </c>
      <c r="N52" s="3" t="s">
        <v>10004</v>
      </c>
    </row>
    <row r="53">
      <c r="A53" s="3" t="s">
        <v>10055</v>
      </c>
      <c r="B53" s="4" t="str">
        <f>C53 &amp; " -&gt; " &amp; D53</f>
        <v>principal-controller -&gt; Steps.StepId</v>
      </c>
      <c r="C53" s="3" t="s">
        <v>9754</v>
      </c>
      <c r="D53" s="3" t="s">
        <v>2870</v>
      </c>
      <c r="E53" s="3" t="b">
        <v>1</v>
      </c>
      <c r="F53" s="3" t="b">
        <v>0</v>
      </c>
      <c r="G53" s="3" t="s">
        <v>10003</v>
      </c>
      <c r="H53" s="4" t="str">
        <f>_xlfn.IFNA(IF(((INDEX(RulebookFields!C2:C1898, MATCH(D53,RulebookFields!A2:A1898, 0))="")=TRUE),  "",  INDEX(RulebookFields!C2:C1898, MATCH(D53,RulebookFields!A2:A1898, 0))), "")</f>
        <v>Steps</v>
      </c>
      <c r="I53" s="4" t="str">
        <f>_xlfn.IFNA(IF(((INDEX(RulebookFields!D2:D1898, MATCH(D53,RulebookFields!A2:A1898, 0))="")=TRUE),  "",  INDEX(RulebookFields!D2:D1898, MATCH(D53,RulebookFields!A2:A1898, 0))), "")</f>
        <v>StepId</v>
      </c>
      <c r="J53" s="4" t="b">
        <f>_xlfn.IFNA(IF(((INDEX(RulebookFields!I2:I1898, MATCH(D53,RulebookFields!A2:A1898, 0))="")=TRUE),  "",  INDEX(RulebookFields!I2:I1898, MATCH(D53,RulebookFields!A2:A1898, 0))), "")</f>
        <v>0</v>
      </c>
      <c r="K53" s="4" t="b">
        <f>AND(((F53)=TRUE), ((J53)=TRUE))</f>
        <v>0</v>
      </c>
      <c r="L53" s="4" t="b">
        <f>AND(((G53 &lt;&gt; "plain")=TRUE), ((G53 &lt;&gt; "")=TRUE))</f>
        <v>0</v>
      </c>
      <c r="M53" s="4" t="str">
        <f>IF(((E53)=TRUE),  C53 &amp; "|" &amp; H53,  "")</f>
        <v>principal-controller|Steps</v>
      </c>
      <c r="N53" s="3" t="s">
        <v>10004</v>
      </c>
    </row>
    <row r="54">
      <c r="A54" s="3" t="s">
        <v>10056</v>
      </c>
      <c r="B54" s="4" t="str">
        <f>C54 &amp; " -&gt; " &amp; D54</f>
        <v>principal-controller -&gt; Steps.StepNumber</v>
      </c>
      <c r="C54" s="3" t="s">
        <v>9754</v>
      </c>
      <c r="D54" s="3" t="s">
        <v>2874</v>
      </c>
      <c r="E54" s="3" t="b">
        <v>1</v>
      </c>
      <c r="F54" s="3" t="b">
        <v>0</v>
      </c>
      <c r="G54" s="3" t="s">
        <v>10003</v>
      </c>
      <c r="H54" s="4" t="str">
        <f>_xlfn.IFNA(IF(((INDEX(RulebookFields!C2:C1898, MATCH(D54,RulebookFields!A2:A1898, 0))="")=TRUE),  "",  INDEX(RulebookFields!C2:C1898, MATCH(D54,RulebookFields!A2:A1898, 0))), "")</f>
        <v>Steps</v>
      </c>
      <c r="I54" s="4" t="str">
        <f>_xlfn.IFNA(IF(((INDEX(RulebookFields!D2:D1898, MATCH(D54,RulebookFields!A2:A1898, 0))="")=TRUE),  "",  INDEX(RulebookFields!D2:D1898, MATCH(D54,RulebookFields!A2:A1898, 0))), "")</f>
        <v>StepNumber</v>
      </c>
      <c r="J54" s="4" t="b">
        <f>_xlfn.IFNA(IF(((INDEX(RulebookFields!I2:I1898, MATCH(D54,RulebookFields!A2:A1898, 0))="")=TRUE),  "",  INDEX(RulebookFields!I2:I1898, MATCH(D54,RulebookFields!A2:A1898, 0))), "")</f>
        <v>0</v>
      </c>
      <c r="K54" s="4" t="b">
        <f>AND(((F54)=TRUE), ((J54)=TRUE))</f>
        <v>0</v>
      </c>
      <c r="L54" s="4" t="b">
        <f>AND(((G54 &lt;&gt; "plain")=TRUE), ((G54 &lt;&gt; "")=TRUE))</f>
        <v>0</v>
      </c>
      <c r="M54" s="4" t="str">
        <f>IF(((E54)=TRUE),  C54 &amp; "|" &amp; H54,  "")</f>
        <v>principal-controller|Steps</v>
      </c>
      <c r="N54" s="3" t="s">
        <v>10004</v>
      </c>
    </row>
    <row r="55">
      <c r="A55" s="3" t="s">
        <v>10057</v>
      </c>
      <c r="B55" s="4" t="str">
        <f>C55 &amp; " -&gt; " &amp; D55</f>
        <v>principal-controller -&gt; Steps.Title</v>
      </c>
      <c r="C55" s="3" t="s">
        <v>9754</v>
      </c>
      <c r="D55" s="3" t="s">
        <v>2875</v>
      </c>
      <c r="E55" s="3" t="b">
        <v>1</v>
      </c>
      <c r="F55" s="3" t="b">
        <v>0</v>
      </c>
      <c r="G55" s="3" t="s">
        <v>10003</v>
      </c>
      <c r="H55" s="4" t="str">
        <f>_xlfn.IFNA(IF(((INDEX(RulebookFields!C2:C1898, MATCH(D55,RulebookFields!A2:A1898, 0))="")=TRUE),  "",  INDEX(RulebookFields!C2:C1898, MATCH(D55,RulebookFields!A2:A1898, 0))), "")</f>
        <v>Steps</v>
      </c>
      <c r="I55" s="4" t="str">
        <f>_xlfn.IFNA(IF(((INDEX(RulebookFields!D2:D1898, MATCH(D55,RulebookFields!A2:A1898, 0))="")=TRUE),  "",  INDEX(RulebookFields!D2:D1898, MATCH(D55,RulebookFields!A2:A1898, 0))), "")</f>
        <v>Title</v>
      </c>
      <c r="J55" s="4" t="b">
        <f>_xlfn.IFNA(IF(((INDEX(RulebookFields!I2:I1898, MATCH(D55,RulebookFields!A2:A1898, 0))="")=TRUE),  "",  INDEX(RulebookFields!I2:I1898, MATCH(D55,RulebookFields!A2:A1898, 0))), "")</f>
        <v>0</v>
      </c>
      <c r="K55" s="4" t="b">
        <f>AND(((F55)=TRUE), ((J55)=TRUE))</f>
        <v>0</v>
      </c>
      <c r="L55" s="4" t="b">
        <f>AND(((G55 &lt;&gt; "plain")=TRUE), ((G55 &lt;&gt; "")=TRUE))</f>
        <v>0</v>
      </c>
      <c r="M55" s="4" t="str">
        <f>IF(((E55)=TRUE),  C55 &amp; "|" &amp; H55,  "")</f>
        <v>principal-controller|Steps</v>
      </c>
      <c r="N55" s="3" t="s">
        <v>10004</v>
      </c>
    </row>
    <row r="56">
      <c r="A56" s="3" t="s">
        <v>10058</v>
      </c>
      <c r="B56" s="4" t="str">
        <f>C56 &amp; " -&gt; " &amp; D56</f>
        <v>principal-controller -&gt; Steps.StepKind</v>
      </c>
      <c r="C56" s="3" t="s">
        <v>9754</v>
      </c>
      <c r="D56" s="3" t="s">
        <v>2876</v>
      </c>
      <c r="E56" s="3" t="b">
        <v>1</v>
      </c>
      <c r="F56" s="3" t="b">
        <v>0</v>
      </c>
      <c r="G56" s="3" t="s">
        <v>10003</v>
      </c>
      <c r="H56" s="4" t="str">
        <f>_xlfn.IFNA(IF(((INDEX(RulebookFields!C2:C1898, MATCH(D56,RulebookFields!A2:A1898, 0))="")=TRUE),  "",  INDEX(RulebookFields!C2:C1898, MATCH(D56,RulebookFields!A2:A1898, 0))), "")</f>
        <v>Steps</v>
      </c>
      <c r="I56" s="4" t="str">
        <f>_xlfn.IFNA(IF(((INDEX(RulebookFields!D2:D1898, MATCH(D56,RulebookFields!A2:A1898, 0))="")=TRUE),  "",  INDEX(RulebookFields!D2:D1898, MATCH(D56,RulebookFields!A2:A1898, 0))), "")</f>
        <v>StepKind</v>
      </c>
      <c r="J56" s="4" t="b">
        <f>_xlfn.IFNA(IF(((INDEX(RulebookFields!I2:I1898, MATCH(D56,RulebookFields!A2:A1898, 0))="")=TRUE),  "",  INDEX(RulebookFields!I2:I1898, MATCH(D56,RulebookFields!A2:A1898, 0))), "")</f>
        <v>0</v>
      </c>
      <c r="K56" s="4" t="b">
        <f>AND(((F56)=TRUE), ((J56)=TRUE))</f>
        <v>0</v>
      </c>
      <c r="L56" s="4" t="b">
        <f>AND(((G56 &lt;&gt; "plain")=TRUE), ((G56 &lt;&gt; "")=TRUE))</f>
        <v>0</v>
      </c>
      <c r="M56" s="4" t="str">
        <f>IF(((E56)=TRUE),  C56 &amp; "|" &amp; H56,  "")</f>
        <v>principal-controller|Steps</v>
      </c>
      <c r="N56" s="3" t="s">
        <v>10004</v>
      </c>
    </row>
    <row r="57">
      <c r="A57" s="3" t="s">
        <v>10059</v>
      </c>
      <c r="B57" s="4" t="str">
        <f>C57 &amp; " -&gt; " &amp; D57</f>
        <v>principal-controller -&gt; Steps.Instruction</v>
      </c>
      <c r="C57" s="3" t="s">
        <v>9754</v>
      </c>
      <c r="D57" s="3" t="s">
        <v>2882</v>
      </c>
      <c r="E57" s="3" t="b">
        <v>1</v>
      </c>
      <c r="F57" s="3" t="b">
        <v>0</v>
      </c>
      <c r="G57" s="3" t="s">
        <v>10003</v>
      </c>
      <c r="H57" s="4" t="str">
        <f>_xlfn.IFNA(IF(((INDEX(RulebookFields!C2:C1898, MATCH(D57,RulebookFields!A2:A1898, 0))="")=TRUE),  "",  INDEX(RulebookFields!C2:C1898, MATCH(D57,RulebookFields!A2:A1898, 0))), "")</f>
        <v>Steps</v>
      </c>
      <c r="I57" s="4" t="str">
        <f>_xlfn.IFNA(IF(((INDEX(RulebookFields!D2:D1898, MATCH(D57,RulebookFields!A2:A1898, 0))="")=TRUE),  "",  INDEX(RulebookFields!D2:D1898, MATCH(D57,RulebookFields!A2:A1898, 0))), "")</f>
        <v>Instruction</v>
      </c>
      <c r="J57" s="4" t="b">
        <f>_xlfn.IFNA(IF(((INDEX(RulebookFields!I2:I1898, MATCH(D57,RulebookFields!A2:A1898, 0))="")=TRUE),  "",  INDEX(RulebookFields!I2:I1898, MATCH(D57,RulebookFields!A2:A1898, 0))), "")</f>
        <v>0</v>
      </c>
      <c r="K57" s="4" t="b">
        <f>AND(((F57)=TRUE), ((J57)=TRUE))</f>
        <v>0</v>
      </c>
      <c r="L57" s="4" t="b">
        <f>AND(((G57 &lt;&gt; "plain")=TRUE), ((G57 &lt;&gt; "")=TRUE))</f>
        <v>0</v>
      </c>
      <c r="M57" s="4" t="str">
        <f>IF(((E57)=TRUE),  C57 &amp; "|" &amp; H57,  "")</f>
        <v>principal-controller|Steps</v>
      </c>
      <c r="N57" s="3" t="s">
        <v>10004</v>
      </c>
    </row>
    <row r="58">
      <c r="A58" s="3" t="s">
        <v>10060</v>
      </c>
      <c r="B58" s="4" t="str">
        <f>C58 &amp; " -&gt; " &amp; D58</f>
        <v>principal-controller -&gt; Steps.AssignedRole</v>
      </c>
      <c r="C58" s="3" t="s">
        <v>9754</v>
      </c>
      <c r="D58" s="3" t="s">
        <v>2877</v>
      </c>
      <c r="E58" s="3" t="b">
        <v>1</v>
      </c>
      <c r="F58" s="3" t="b">
        <v>0</v>
      </c>
      <c r="G58" s="3" t="s">
        <v>10003</v>
      </c>
      <c r="H58" s="4" t="str">
        <f>_xlfn.IFNA(IF(((INDEX(RulebookFields!C2:C1898, MATCH(D58,RulebookFields!A2:A1898, 0))="")=TRUE),  "",  INDEX(RulebookFields!C2:C1898, MATCH(D58,RulebookFields!A2:A1898, 0))), "")</f>
        <v>Steps</v>
      </c>
      <c r="I58" s="4" t="str">
        <f>_xlfn.IFNA(IF(((INDEX(RulebookFields!D2:D1898, MATCH(D58,RulebookFields!A2:A1898, 0))="")=TRUE),  "",  INDEX(RulebookFields!D2:D1898, MATCH(D58,RulebookFields!A2:A1898, 0))), "")</f>
        <v>AssignedRole</v>
      </c>
      <c r="J58" s="4" t="b">
        <f>_xlfn.IFNA(IF(((INDEX(RulebookFields!I2:I1898, MATCH(D58,RulebookFields!A2:A1898, 0))="")=TRUE),  "",  INDEX(RulebookFields!I2:I1898, MATCH(D58,RulebookFields!A2:A1898, 0))), "")</f>
        <v>0</v>
      </c>
      <c r="K58" s="4" t="b">
        <f>AND(((F58)=TRUE), ((J58)=TRUE))</f>
        <v>0</v>
      </c>
      <c r="L58" s="4" t="b">
        <f>AND(((G58 &lt;&gt; "plain")=TRUE), ((G58 &lt;&gt; "")=TRUE))</f>
        <v>0</v>
      </c>
      <c r="M58" s="4" t="str">
        <f>IF(((E58)=TRUE),  C58 &amp; "|" &amp; H58,  "")</f>
        <v>principal-controller|Steps</v>
      </c>
      <c r="N58" s="3" t="s">
        <v>10004</v>
      </c>
    </row>
    <row r="59">
      <c r="A59" s="3" t="s">
        <v>10061</v>
      </c>
      <c r="B59" s="4" t="str">
        <f>C59 &amp; " -&gt; " &amp; D59</f>
        <v>principal-controller -&gt; Steps.AssignedRoleLabel</v>
      </c>
      <c r="C59" s="3" t="s">
        <v>9754</v>
      </c>
      <c r="D59" s="3" t="s">
        <v>2878</v>
      </c>
      <c r="E59" s="3" t="b">
        <v>1</v>
      </c>
      <c r="F59" s="3" t="b">
        <v>0</v>
      </c>
      <c r="G59" s="3" t="s">
        <v>10003</v>
      </c>
      <c r="H59" s="4" t="str">
        <f>_xlfn.IFNA(IF(((INDEX(RulebookFields!C2:C1898, MATCH(D59,RulebookFields!A2:A1898, 0))="")=TRUE),  "",  INDEX(RulebookFields!C2:C1898, MATCH(D59,RulebookFields!A2:A1898, 0))), "")</f>
        <v>Steps</v>
      </c>
      <c r="I59" s="4" t="str">
        <f>_xlfn.IFNA(IF(((INDEX(RulebookFields!D2:D1898, MATCH(D59,RulebookFields!A2:A1898, 0))="")=TRUE),  "",  INDEX(RulebookFields!D2:D1898, MATCH(D59,RulebookFields!A2:A1898, 0))), "")</f>
        <v>AssignedRoleLabel</v>
      </c>
      <c r="J59" s="4" t="b">
        <f>_xlfn.IFNA(IF(((INDEX(RulebookFields!I2:I1898, MATCH(D59,RulebookFields!A2:A1898, 0))="")=TRUE),  "",  INDEX(RulebookFields!I2:I1898, MATCH(D59,RulebookFields!A2:A1898, 0))), "")</f>
        <v>1</v>
      </c>
      <c r="K59" s="4" t="b">
        <f>AND(((F59)=TRUE), ((J59)=TRUE))</f>
        <v>0</v>
      </c>
      <c r="L59" s="4" t="b">
        <f>AND(((G59 &lt;&gt; "plain")=TRUE), ((G59 &lt;&gt; "")=TRUE))</f>
        <v>0</v>
      </c>
      <c r="M59" s="4" t="str">
        <f>IF(((E59)=TRUE),  C59 &amp; "|" &amp; H59,  "")</f>
        <v>principal-controller|Steps</v>
      </c>
      <c r="N59" s="3" t="s">
        <v>10004</v>
      </c>
    </row>
    <row r="60">
      <c r="A60" s="3" t="s">
        <v>10062</v>
      </c>
      <c r="B60" s="4" t="str">
        <f>C60 &amp; " -&gt; " &amp; D60</f>
        <v>principal-controller -&gt; Steps.ProcedureVersion</v>
      </c>
      <c r="C60" s="3" t="s">
        <v>9754</v>
      </c>
      <c r="D60" s="3" t="s">
        <v>2873</v>
      </c>
      <c r="E60" s="3" t="b">
        <v>1</v>
      </c>
      <c r="F60" s="3" t="b">
        <v>0</v>
      </c>
      <c r="G60" s="3" t="s">
        <v>10003</v>
      </c>
      <c r="H60" s="4" t="str">
        <f>_xlfn.IFNA(IF(((INDEX(RulebookFields!C2:C1898, MATCH(D60,RulebookFields!A2:A1898, 0))="")=TRUE),  "",  INDEX(RulebookFields!C2:C1898, MATCH(D60,RulebookFields!A2:A1898, 0))), "")</f>
        <v>Steps</v>
      </c>
      <c r="I60" s="4" t="str">
        <f>_xlfn.IFNA(IF(((INDEX(RulebookFields!D2:D1898, MATCH(D60,RulebookFields!A2:A1898, 0))="")=TRUE),  "",  INDEX(RulebookFields!D2:D1898, MATCH(D60,RulebookFields!A2:A1898, 0))), "")</f>
        <v>ProcedureVersion</v>
      </c>
      <c r="J60" s="4" t="b">
        <f>_xlfn.IFNA(IF(((INDEX(RulebookFields!I2:I1898, MATCH(D60,RulebookFields!A2:A1898, 0))="")=TRUE),  "",  INDEX(RulebookFields!I2:I1898, MATCH(D60,RulebookFields!A2:A1898, 0))), "")</f>
        <v>0</v>
      </c>
      <c r="K60" s="4" t="b">
        <f>AND(((F60)=TRUE), ((J60)=TRUE))</f>
        <v>0</v>
      </c>
      <c r="L60" s="4" t="b">
        <f>AND(((G60 &lt;&gt; "plain")=TRUE), ((G60 &lt;&gt; "")=TRUE))</f>
        <v>0</v>
      </c>
      <c r="M60" s="4" t="str">
        <f>IF(((E60)=TRUE),  C60 &amp; "|" &amp; H60,  "")</f>
        <v>principal-controller|Steps</v>
      </c>
      <c r="N60" s="3" t="s">
        <v>10004</v>
      </c>
    </row>
    <row r="61">
      <c r="A61" s="3" t="s">
        <v>10063</v>
      </c>
      <c r="B61" s="4" t="str">
        <f>C61 &amp; " -&gt; " &amp; D61</f>
        <v>principal-controller -&gt; Steps.Name</v>
      </c>
      <c r="C61" s="3" t="s">
        <v>9754</v>
      </c>
      <c r="D61" s="3" t="s">
        <v>2871</v>
      </c>
      <c r="E61" s="3" t="b">
        <v>1</v>
      </c>
      <c r="F61" s="3" t="b">
        <v>0</v>
      </c>
      <c r="G61" s="3" t="s">
        <v>10003</v>
      </c>
      <c r="H61" s="4" t="str">
        <f>_xlfn.IFNA(IF(((INDEX(RulebookFields!C2:C1898, MATCH(D61,RulebookFields!A2:A1898, 0))="")=TRUE),  "",  INDEX(RulebookFields!C2:C1898, MATCH(D61,RulebookFields!A2:A1898, 0))), "")</f>
        <v>Steps</v>
      </c>
      <c r="I61" s="4" t="str">
        <f>_xlfn.IFNA(IF(((INDEX(RulebookFields!D2:D1898, MATCH(D61,RulebookFields!A2:A1898, 0))="")=TRUE),  "",  INDEX(RulebookFields!D2:D1898, MATCH(D61,RulebookFields!A2:A1898, 0))), "")</f>
        <v>Name</v>
      </c>
      <c r="J61" s="4" t="b">
        <f>_xlfn.IFNA(IF(((INDEX(RulebookFields!I2:I1898, MATCH(D61,RulebookFields!A2:A1898, 0))="")=TRUE),  "",  INDEX(RulebookFields!I2:I1898, MATCH(D61,RulebookFields!A2:A1898, 0))), "")</f>
        <v>1</v>
      </c>
      <c r="K61" s="4" t="b">
        <f>AND(((F61)=TRUE), ((J61)=TRUE))</f>
        <v>0</v>
      </c>
      <c r="L61" s="4" t="b">
        <f>AND(((G61 &lt;&gt; "plain")=TRUE), ((G61 &lt;&gt; "")=TRUE))</f>
        <v>0</v>
      </c>
      <c r="M61" s="4" t="str">
        <f>IF(((E61)=TRUE),  C61 &amp; "|" &amp; H61,  "")</f>
        <v>principal-controller|Steps</v>
      </c>
      <c r="N61" s="3" t="s">
        <v>10004</v>
      </c>
    </row>
    <row r="62">
      <c r="A62" s="3" t="s">
        <v>10064</v>
      </c>
      <c r="B62" s="4" t="str">
        <f>C62 &amp; " -&gt; " &amp; D62</f>
        <v>principal-controller -&gt; Steps.IsApprovalStep</v>
      </c>
      <c r="C62" s="3" t="s">
        <v>9754</v>
      </c>
      <c r="D62" s="3" t="s">
        <v>2898</v>
      </c>
      <c r="E62" s="3" t="b">
        <v>1</v>
      </c>
      <c r="F62" s="3" t="b">
        <v>0</v>
      </c>
      <c r="G62" s="3" t="s">
        <v>10003</v>
      </c>
      <c r="H62" s="4" t="str">
        <f>_xlfn.IFNA(IF(((INDEX(RulebookFields!C2:C1898, MATCH(D62,RulebookFields!A2:A1898, 0))="")=TRUE),  "",  INDEX(RulebookFields!C2:C1898, MATCH(D62,RulebookFields!A2:A1898, 0))), "")</f>
        <v>Steps</v>
      </c>
      <c r="I62" s="4" t="str">
        <f>_xlfn.IFNA(IF(((INDEX(RulebookFields!D2:D1898, MATCH(D62,RulebookFields!A2:A1898, 0))="")=TRUE),  "",  INDEX(RulebookFields!D2:D1898, MATCH(D62,RulebookFields!A2:A1898, 0))), "")</f>
        <v>IsApprovalStep</v>
      </c>
      <c r="J62" s="4" t="b">
        <f>_xlfn.IFNA(IF(((INDEX(RulebookFields!I2:I1898, MATCH(D62,RulebookFields!A2:A1898, 0))="")=TRUE),  "",  INDEX(RulebookFields!I2:I1898, MATCH(D62,RulebookFields!A2:A1898, 0))), "")</f>
        <v>1</v>
      </c>
      <c r="K62" s="4" t="b">
        <f>AND(((F62)=TRUE), ((J62)=TRUE))</f>
        <v>0</v>
      </c>
      <c r="L62" s="4" t="b">
        <f>AND(((G62 &lt;&gt; "plain")=TRUE), ((G62 &lt;&gt; "")=TRUE))</f>
        <v>0</v>
      </c>
      <c r="M62" s="4" t="str">
        <f>IF(((E62)=TRUE),  C62 &amp; "|" &amp; H62,  "")</f>
        <v>principal-controller|Steps</v>
      </c>
      <c r="N62" s="3" t="s">
        <v>10004</v>
      </c>
    </row>
    <row r="63">
      <c r="A63" s="3" t="s">
        <v>10065</v>
      </c>
      <c r="B63" s="4" t="str">
        <f>C63 &amp; " -&gt; " &amp; D63</f>
        <v>principal-controller -&gt; Steps.RequiresHumanConfirmation</v>
      </c>
      <c r="C63" s="3" t="s">
        <v>9754</v>
      </c>
      <c r="D63" s="3" t="s">
        <v>2885</v>
      </c>
      <c r="E63" s="3" t="b">
        <v>1</v>
      </c>
      <c r="F63" s="3" t="b">
        <v>0</v>
      </c>
      <c r="G63" s="3" t="s">
        <v>10003</v>
      </c>
      <c r="H63" s="4" t="str">
        <f>_xlfn.IFNA(IF(((INDEX(RulebookFields!C2:C1898, MATCH(D63,RulebookFields!A2:A1898, 0))="")=TRUE),  "",  INDEX(RulebookFields!C2:C1898, MATCH(D63,RulebookFields!A2:A1898, 0))), "")</f>
        <v>Steps</v>
      </c>
      <c r="I63" s="4" t="str">
        <f>_xlfn.IFNA(IF(((INDEX(RulebookFields!D2:D1898, MATCH(D63,RulebookFields!A2:A1898, 0))="")=TRUE),  "",  INDEX(RulebookFields!D2:D1898, MATCH(D63,RulebookFields!A2:A1898, 0))), "")</f>
        <v>RequiresHumanConfirmation</v>
      </c>
      <c r="J63" s="4" t="b">
        <f>_xlfn.IFNA(IF(((INDEX(RulebookFields!I2:I1898, MATCH(D63,RulebookFields!A2:A1898, 0))="")=TRUE),  "",  INDEX(RulebookFields!I2:I1898, MATCH(D63,RulebookFields!A2:A1898, 0))), "")</f>
        <v>0</v>
      </c>
      <c r="K63" s="4" t="b">
        <f>AND(((F63)=TRUE), ((J63)=TRUE))</f>
        <v>0</v>
      </c>
      <c r="L63" s="4" t="b">
        <f>AND(((G63 &lt;&gt; "plain")=TRUE), ((G63 &lt;&gt; "")=TRUE))</f>
        <v>0</v>
      </c>
      <c r="M63" s="4" t="str">
        <f>IF(((E63)=TRUE),  C63 &amp; "|" &amp; H63,  "")</f>
        <v>principal-controller|Steps</v>
      </c>
      <c r="N63" s="3" t="s">
        <v>10004</v>
      </c>
    </row>
    <row r="64">
      <c r="A64" s="3" t="s">
        <v>10066</v>
      </c>
      <c r="B64" s="4" t="str">
        <f>C64 &amp; " -&gt; " &amp; D64</f>
        <v>principal-controller -&gt; Steps.ExpectedDurationMinutes</v>
      </c>
      <c r="C64" s="3" t="s">
        <v>9754</v>
      </c>
      <c r="D64" s="3" t="s">
        <v>2883</v>
      </c>
      <c r="E64" s="3" t="b">
        <v>1</v>
      </c>
      <c r="F64" s="3" t="b">
        <v>0</v>
      </c>
      <c r="G64" s="3" t="s">
        <v>10003</v>
      </c>
      <c r="H64" s="4" t="str">
        <f>_xlfn.IFNA(IF(((INDEX(RulebookFields!C2:C1898, MATCH(D64,RulebookFields!A2:A1898, 0))="")=TRUE),  "",  INDEX(RulebookFields!C2:C1898, MATCH(D64,RulebookFields!A2:A1898, 0))), "")</f>
        <v>Steps</v>
      </c>
      <c r="I64" s="4" t="str">
        <f>_xlfn.IFNA(IF(((INDEX(RulebookFields!D2:D1898, MATCH(D64,RulebookFields!A2:A1898, 0))="")=TRUE),  "",  INDEX(RulebookFields!D2:D1898, MATCH(D64,RulebookFields!A2:A1898, 0))), "")</f>
        <v>ExpectedDurationMinutes</v>
      </c>
      <c r="J64" s="4" t="b">
        <f>_xlfn.IFNA(IF(((INDEX(RulebookFields!I2:I1898, MATCH(D64,RulebookFields!A2:A1898, 0))="")=TRUE),  "",  INDEX(RulebookFields!I2:I1898, MATCH(D64,RulebookFields!A2:A1898, 0))), "")</f>
        <v>0</v>
      </c>
      <c r="K64" s="4" t="b">
        <f>AND(((F64)=TRUE), ((J64)=TRUE))</f>
        <v>0</v>
      </c>
      <c r="L64" s="4" t="b">
        <f>AND(((G64 &lt;&gt; "plain")=TRUE), ((G64 &lt;&gt; "")=TRUE))</f>
        <v>0</v>
      </c>
      <c r="M64" s="4" t="str">
        <f>IF(((E64)=TRUE),  C64 &amp; "|" &amp; H64,  "")</f>
        <v>principal-controller|Steps</v>
      </c>
      <c r="N64" s="3" t="s">
        <v>10004</v>
      </c>
    </row>
    <row r="65">
      <c r="A65" s="3" t="s">
        <v>10067</v>
      </c>
      <c r="B65" s="4" t="str">
        <f>C65 &amp; " -&gt; " &amp; D65</f>
        <v>principal-controller -&gt; Steps.ControlKind</v>
      </c>
      <c r="C65" s="3" t="s">
        <v>9754</v>
      </c>
      <c r="D65" s="3" t="s">
        <v>2918</v>
      </c>
      <c r="E65" s="3" t="b">
        <v>1</v>
      </c>
      <c r="F65" s="3" t="b">
        <v>0</v>
      </c>
      <c r="G65" s="3" t="s">
        <v>10003</v>
      </c>
      <c r="H65" s="4" t="str">
        <f>_xlfn.IFNA(IF(((INDEX(RulebookFields!C2:C1898, MATCH(D65,RulebookFields!A2:A1898, 0))="")=TRUE),  "",  INDEX(RulebookFields!C2:C1898, MATCH(D65,RulebookFields!A2:A1898, 0))), "")</f>
        <v>Steps</v>
      </c>
      <c r="I65" s="4" t="str">
        <f>_xlfn.IFNA(IF(((INDEX(RulebookFields!D2:D1898, MATCH(D65,RulebookFields!A2:A1898, 0))="")=TRUE),  "",  INDEX(RulebookFields!D2:D1898, MATCH(D65,RulebookFields!A2:A1898, 0))), "")</f>
        <v>ControlKind</v>
      </c>
      <c r="J65" s="4" t="b">
        <f>_xlfn.IFNA(IF(((INDEX(RulebookFields!I2:I1898, MATCH(D65,RulebookFields!A2:A1898, 0))="")=TRUE),  "",  INDEX(RulebookFields!I2:I1898, MATCH(D65,RulebookFields!A2:A1898, 0))), "")</f>
        <v>0</v>
      </c>
      <c r="K65" s="4" t="b">
        <f>AND(((F65)=TRUE), ((J65)=TRUE))</f>
        <v>0</v>
      </c>
      <c r="L65" s="4" t="b">
        <f>AND(((G65 &lt;&gt; "plain")=TRUE), ((G65 &lt;&gt; "")=TRUE))</f>
        <v>0</v>
      </c>
      <c r="M65" s="4" t="str">
        <f>IF(((E65)=TRUE),  C65 &amp; "|" &amp; H65,  "")</f>
        <v>principal-controller|Steps</v>
      </c>
      <c r="N65" s="3" t="s">
        <v>10004</v>
      </c>
    </row>
    <row r="66">
      <c r="A66" s="3" t="s">
        <v>10068</v>
      </c>
      <c r="B66" s="4" t="str">
        <f>C66 &amp; " -&gt; " &amp; D66</f>
        <v>principal-controller -&gt; StepExecutions.StepExecutionId</v>
      </c>
      <c r="C66" s="3" t="s">
        <v>9754</v>
      </c>
      <c r="D66" s="3" t="s">
        <v>3573</v>
      </c>
      <c r="E66" s="3" t="b">
        <v>1</v>
      </c>
      <c r="F66" s="3" t="b">
        <v>0</v>
      </c>
      <c r="G66" s="3" t="s">
        <v>10003</v>
      </c>
      <c r="H66" s="4" t="str">
        <f>_xlfn.IFNA(IF(((INDEX(RulebookFields!C2:C1898, MATCH(D66,RulebookFields!A2:A1898, 0))="")=TRUE),  "",  INDEX(RulebookFields!C2:C1898, MATCH(D66,RulebookFields!A2:A1898, 0))), "")</f>
        <v>StepExecutions</v>
      </c>
      <c r="I66" s="4" t="str">
        <f>_xlfn.IFNA(IF(((INDEX(RulebookFields!D2:D1898, MATCH(D66,RulebookFields!A2:A1898, 0))="")=TRUE),  "",  INDEX(RulebookFields!D2:D1898, MATCH(D66,RulebookFields!A2:A1898, 0))), "")</f>
        <v>StepExecutionId</v>
      </c>
      <c r="J66" s="4" t="b">
        <f>_xlfn.IFNA(IF(((INDEX(RulebookFields!I2:I1898, MATCH(D66,RulebookFields!A2:A1898, 0))="")=TRUE),  "",  INDEX(RulebookFields!I2:I1898, MATCH(D66,RulebookFields!A2:A1898, 0))), "")</f>
        <v>0</v>
      </c>
      <c r="K66" s="4" t="b">
        <f>AND(((F66)=TRUE), ((J66)=TRUE))</f>
        <v>0</v>
      </c>
      <c r="L66" s="4" t="b">
        <f>AND(((G66 &lt;&gt; "plain")=TRUE), ((G66 &lt;&gt; "")=TRUE))</f>
        <v>0</v>
      </c>
      <c r="M66" s="4" t="str">
        <f>IF(((E66)=TRUE),  C66 &amp; "|" &amp; H66,  "")</f>
        <v>principal-controller|StepExecutions</v>
      </c>
      <c r="N66" s="3" t="s">
        <v>10004</v>
      </c>
    </row>
    <row r="67">
      <c r="A67" s="3" t="s">
        <v>10069</v>
      </c>
      <c r="B67" s="4" t="str">
        <f>C67 &amp; " -&gt; " &amp; D67</f>
        <v>principal-controller -&gt; StepExecutions.Step</v>
      </c>
      <c r="C67" s="3" t="s">
        <v>9754</v>
      </c>
      <c r="D67" s="3" t="s">
        <v>3577</v>
      </c>
      <c r="E67" s="3" t="b">
        <v>1</v>
      </c>
      <c r="F67" s="3" t="b">
        <v>0</v>
      </c>
      <c r="G67" s="3" t="s">
        <v>10003</v>
      </c>
      <c r="H67" s="4" t="str">
        <f>_xlfn.IFNA(IF(((INDEX(RulebookFields!C2:C1898, MATCH(D67,RulebookFields!A2:A1898, 0))="")=TRUE),  "",  INDEX(RulebookFields!C2:C1898, MATCH(D67,RulebookFields!A2:A1898, 0))), "")</f>
        <v>StepExecutions</v>
      </c>
      <c r="I67" s="4" t="str">
        <f>_xlfn.IFNA(IF(((INDEX(RulebookFields!D2:D1898, MATCH(D67,RulebookFields!A2:A1898, 0))="")=TRUE),  "",  INDEX(RulebookFields!D2:D1898, MATCH(D67,RulebookFields!A2:A1898, 0))), "")</f>
        <v>Step</v>
      </c>
      <c r="J67" s="4" t="b">
        <f>_xlfn.IFNA(IF(((INDEX(RulebookFields!I2:I1898, MATCH(D67,RulebookFields!A2:A1898, 0))="")=TRUE),  "",  INDEX(RulebookFields!I2:I1898, MATCH(D67,RulebookFields!A2:A1898, 0))), "")</f>
        <v>0</v>
      </c>
      <c r="K67" s="4" t="b">
        <f>AND(((F67)=TRUE), ((J67)=TRUE))</f>
        <v>0</v>
      </c>
      <c r="L67" s="4" t="b">
        <f>AND(((G67 &lt;&gt; "plain")=TRUE), ((G67 &lt;&gt; "")=TRUE))</f>
        <v>0</v>
      </c>
      <c r="M67" s="4" t="str">
        <f>IF(((E67)=TRUE),  C67 &amp; "|" &amp; H67,  "")</f>
        <v>principal-controller|StepExecutions</v>
      </c>
      <c r="N67" s="3" t="s">
        <v>10004</v>
      </c>
    </row>
    <row r="68">
      <c r="A68" s="3" t="s">
        <v>10070</v>
      </c>
      <c r="B68" s="4" t="str">
        <f>C68 &amp; " -&gt; " &amp; D68</f>
        <v>principal-controller -&gt; StepExecutions.ExecutionStatus</v>
      </c>
      <c r="C68" s="3" t="s">
        <v>9754</v>
      </c>
      <c r="D68" s="3" t="s">
        <v>3579</v>
      </c>
      <c r="E68" s="3" t="b">
        <v>1</v>
      </c>
      <c r="F68" s="3" t="b">
        <v>0</v>
      </c>
      <c r="G68" s="3" t="s">
        <v>10003</v>
      </c>
      <c r="H68" s="4" t="str">
        <f>_xlfn.IFNA(IF(((INDEX(RulebookFields!C2:C1898, MATCH(D68,RulebookFields!A2:A1898, 0))="")=TRUE),  "",  INDEX(RulebookFields!C2:C1898, MATCH(D68,RulebookFields!A2:A1898, 0))), "")</f>
        <v>StepExecutions</v>
      </c>
      <c r="I68" s="4" t="str">
        <f>_xlfn.IFNA(IF(((INDEX(RulebookFields!D2:D1898, MATCH(D68,RulebookFields!A2:A1898, 0))="")=TRUE),  "",  INDEX(RulebookFields!D2:D1898, MATCH(D68,RulebookFields!A2:A1898, 0))), "")</f>
        <v>ExecutionStatus</v>
      </c>
      <c r="J68" s="4" t="b">
        <f>_xlfn.IFNA(IF(((INDEX(RulebookFields!I2:I1898, MATCH(D68,RulebookFields!A2:A1898, 0))="")=TRUE),  "",  INDEX(RulebookFields!I2:I1898, MATCH(D68,RulebookFields!A2:A1898, 0))), "")</f>
        <v>0</v>
      </c>
      <c r="K68" s="4" t="b">
        <f>AND(((F68)=TRUE), ((J68)=TRUE))</f>
        <v>0</v>
      </c>
      <c r="L68" s="4" t="b">
        <f>AND(((G68 &lt;&gt; "plain")=TRUE), ((G68 &lt;&gt; "")=TRUE))</f>
        <v>0</v>
      </c>
      <c r="M68" s="4" t="str">
        <f>IF(((E68)=TRUE),  C68 &amp; "|" &amp; H68,  "")</f>
        <v>principal-controller|StepExecutions</v>
      </c>
      <c r="N68" s="3" t="s">
        <v>10004</v>
      </c>
    </row>
    <row r="69">
      <c r="A69" s="3" t="s">
        <v>10071</v>
      </c>
      <c r="B69" s="4" t="str">
        <f>C69 &amp; " -&gt; " &amp; D69</f>
        <v>principal-controller -&gt; StepExecutions.StartedAt</v>
      </c>
      <c r="C69" s="3" t="s">
        <v>9754</v>
      </c>
      <c r="D69" s="3" t="s">
        <v>3580</v>
      </c>
      <c r="E69" s="3" t="b">
        <v>1</v>
      </c>
      <c r="F69" s="3" t="b">
        <v>0</v>
      </c>
      <c r="G69" s="3" t="s">
        <v>10003</v>
      </c>
      <c r="H69" s="4" t="str">
        <f>_xlfn.IFNA(IF(((INDEX(RulebookFields!C2:C1898, MATCH(D69,RulebookFields!A2:A1898, 0))="")=TRUE),  "",  INDEX(RulebookFields!C2:C1898, MATCH(D69,RulebookFields!A2:A1898, 0))), "")</f>
        <v>StepExecutions</v>
      </c>
      <c r="I69" s="4" t="str">
        <f>_xlfn.IFNA(IF(((INDEX(RulebookFields!D2:D1898, MATCH(D69,RulebookFields!A2:A1898, 0))="")=TRUE),  "",  INDEX(RulebookFields!D2:D1898, MATCH(D69,RulebookFields!A2:A1898, 0))), "")</f>
        <v>StartedAt</v>
      </c>
      <c r="J69" s="4" t="b">
        <f>_xlfn.IFNA(IF(((INDEX(RulebookFields!I2:I1898, MATCH(D69,RulebookFields!A2:A1898, 0))="")=TRUE),  "",  INDEX(RulebookFields!I2:I1898, MATCH(D69,RulebookFields!A2:A1898, 0))), "")</f>
        <v>0</v>
      </c>
      <c r="K69" s="4" t="b">
        <f>AND(((F69)=TRUE), ((J69)=TRUE))</f>
        <v>0</v>
      </c>
      <c r="L69" s="4" t="b">
        <f>AND(((G69 &lt;&gt; "plain")=TRUE), ((G69 &lt;&gt; "")=TRUE))</f>
        <v>0</v>
      </c>
      <c r="M69" s="4" t="str">
        <f>IF(((E69)=TRUE),  C69 &amp; "|" &amp; H69,  "")</f>
        <v>principal-controller|StepExecutions</v>
      </c>
      <c r="N69" s="3" t="s">
        <v>10004</v>
      </c>
    </row>
    <row r="70">
      <c r="A70" s="3" t="s">
        <v>10072</v>
      </c>
      <c r="B70" s="4" t="str">
        <f>C70 &amp; " -&gt; " &amp; D70</f>
        <v>principal-controller -&gt; StepExecutions.EndedAt</v>
      </c>
      <c r="C70" s="3" t="s">
        <v>9754</v>
      </c>
      <c r="D70" s="3" t="s">
        <v>3581</v>
      </c>
      <c r="E70" s="3" t="b">
        <v>1</v>
      </c>
      <c r="F70" s="3" t="b">
        <v>0</v>
      </c>
      <c r="G70" s="3" t="s">
        <v>10003</v>
      </c>
      <c r="H70" s="4" t="str">
        <f>_xlfn.IFNA(IF(((INDEX(RulebookFields!C2:C1898, MATCH(D70,RulebookFields!A2:A1898, 0))="")=TRUE),  "",  INDEX(RulebookFields!C2:C1898, MATCH(D70,RulebookFields!A2:A1898, 0))), "")</f>
        <v>StepExecutions</v>
      </c>
      <c r="I70" s="4" t="str">
        <f>_xlfn.IFNA(IF(((INDEX(RulebookFields!D2:D1898, MATCH(D70,RulebookFields!A2:A1898, 0))="")=TRUE),  "",  INDEX(RulebookFields!D2:D1898, MATCH(D70,RulebookFields!A2:A1898, 0))), "")</f>
        <v>EndedAt</v>
      </c>
      <c r="J70" s="4" t="b">
        <f>_xlfn.IFNA(IF(((INDEX(RulebookFields!I2:I1898, MATCH(D70,RulebookFields!A2:A1898, 0))="")=TRUE),  "",  INDEX(RulebookFields!I2:I1898, MATCH(D70,RulebookFields!A2:A1898, 0))), "")</f>
        <v>0</v>
      </c>
      <c r="K70" s="4" t="b">
        <f>AND(((F70)=TRUE), ((J70)=TRUE))</f>
        <v>0</v>
      </c>
      <c r="L70" s="4" t="b">
        <f>AND(((G70 &lt;&gt; "plain")=TRUE), ((G70 &lt;&gt; "")=TRUE))</f>
        <v>0</v>
      </c>
      <c r="M70" s="4" t="str">
        <f>IF(((E70)=TRUE),  C70 &amp; "|" &amp; H70,  "")</f>
        <v>principal-controller|StepExecutions</v>
      </c>
      <c r="N70" s="3" t="s">
        <v>10004</v>
      </c>
    </row>
    <row r="71">
      <c r="A71" s="3" t="s">
        <v>10073</v>
      </c>
      <c r="B71" s="4" t="str">
        <f>C71 &amp; " -&gt; " &amp; D71</f>
        <v>principal-controller -&gt; StepExecutions.VerificationResult</v>
      </c>
      <c r="C71" s="3" t="s">
        <v>9754</v>
      </c>
      <c r="D71" s="3" t="s">
        <v>3582</v>
      </c>
      <c r="E71" s="3" t="b">
        <v>1</v>
      </c>
      <c r="F71" s="3" t="b">
        <v>0</v>
      </c>
      <c r="G71" s="3" t="s">
        <v>10003</v>
      </c>
      <c r="H71" s="4" t="str">
        <f>_xlfn.IFNA(IF(((INDEX(RulebookFields!C2:C1898, MATCH(D71,RulebookFields!A2:A1898, 0))="")=TRUE),  "",  INDEX(RulebookFields!C2:C1898, MATCH(D71,RulebookFields!A2:A1898, 0))), "")</f>
        <v>StepExecutions</v>
      </c>
      <c r="I71" s="4" t="str">
        <f>_xlfn.IFNA(IF(((INDEX(RulebookFields!D2:D1898, MATCH(D71,RulebookFields!A2:A1898, 0))="")=TRUE),  "",  INDEX(RulebookFields!D2:D1898, MATCH(D71,RulebookFields!A2:A1898, 0))), "")</f>
        <v>VerificationResult</v>
      </c>
      <c r="J71" s="4" t="b">
        <f>_xlfn.IFNA(IF(((INDEX(RulebookFields!I2:I1898, MATCH(D71,RulebookFields!A2:A1898, 0))="")=TRUE),  "",  INDEX(RulebookFields!I2:I1898, MATCH(D71,RulebookFields!A2:A1898, 0))), "")</f>
        <v>0</v>
      </c>
      <c r="K71" s="4" t="b">
        <f>AND(((F71)=TRUE), ((J71)=TRUE))</f>
        <v>0</v>
      </c>
      <c r="L71" s="4" t="b">
        <f>AND(((G71 &lt;&gt; "plain")=TRUE), ((G71 &lt;&gt; "")=TRUE))</f>
        <v>0</v>
      </c>
      <c r="M71" s="4" t="str">
        <f>IF(((E71)=TRUE),  C71 &amp; "|" &amp; H71,  "")</f>
        <v>principal-controller|StepExecutions</v>
      </c>
      <c r="N71" s="3" t="s">
        <v>10004</v>
      </c>
    </row>
    <row r="72">
      <c r="A72" s="3" t="s">
        <v>10074</v>
      </c>
      <c r="B72" s="4" t="str">
        <f>C72 &amp; " -&gt; " &amp; D72</f>
        <v>principal-controller -&gt; StepExecutions.Name</v>
      </c>
      <c r="C72" s="3" t="s">
        <v>9754</v>
      </c>
      <c r="D72" s="3" t="s">
        <v>3574</v>
      </c>
      <c r="E72" s="3" t="b">
        <v>1</v>
      </c>
      <c r="F72" s="3" t="b">
        <v>0</v>
      </c>
      <c r="G72" s="3" t="s">
        <v>10003</v>
      </c>
      <c r="H72" s="4" t="str">
        <f>_xlfn.IFNA(IF(((INDEX(RulebookFields!C2:C1898, MATCH(D72,RulebookFields!A2:A1898, 0))="")=TRUE),  "",  INDEX(RulebookFields!C2:C1898, MATCH(D72,RulebookFields!A2:A1898, 0))), "")</f>
        <v>StepExecutions</v>
      </c>
      <c r="I72" s="4" t="str">
        <f>_xlfn.IFNA(IF(((INDEX(RulebookFields!D2:D1898, MATCH(D72,RulebookFields!A2:A1898, 0))="")=TRUE),  "",  INDEX(RulebookFields!D2:D1898, MATCH(D72,RulebookFields!A2:A1898, 0))), "")</f>
        <v>Name</v>
      </c>
      <c r="J72" s="4" t="b">
        <f>_xlfn.IFNA(IF(((INDEX(RulebookFields!I2:I1898, MATCH(D72,RulebookFields!A2:A1898, 0))="")=TRUE),  "",  INDEX(RulebookFields!I2:I1898, MATCH(D72,RulebookFields!A2:A1898, 0))), "")</f>
        <v>1</v>
      </c>
      <c r="K72" s="4" t="b">
        <f>AND(((F72)=TRUE), ((J72)=TRUE))</f>
        <v>0</v>
      </c>
      <c r="L72" s="4" t="b">
        <f>AND(((G72 &lt;&gt; "plain")=TRUE), ((G72 &lt;&gt; "")=TRUE))</f>
        <v>0</v>
      </c>
      <c r="M72" s="4" t="str">
        <f>IF(((E72)=TRUE),  C72 &amp; "|" &amp; H72,  "")</f>
        <v>principal-controller|StepExecutions</v>
      </c>
      <c r="N72" s="3" t="s">
        <v>10004</v>
      </c>
    </row>
    <row r="73">
      <c r="A73" s="3" t="s">
        <v>10075</v>
      </c>
      <c r="B73" s="4" t="str">
        <f>C73 &amp; " -&gt; " &amp; D73</f>
        <v>principal-controller -&gt; StepExecutions.Deviation</v>
      </c>
      <c r="C73" s="3" t="s">
        <v>9754</v>
      </c>
      <c r="D73" s="3" t="s">
        <v>3583</v>
      </c>
      <c r="E73" s="3" t="b">
        <v>1</v>
      </c>
      <c r="F73" s="3" t="b">
        <v>0</v>
      </c>
      <c r="G73" s="3" t="s">
        <v>10003</v>
      </c>
      <c r="H73" s="4" t="str">
        <f>_xlfn.IFNA(IF(((INDEX(RulebookFields!C2:C1898, MATCH(D73,RulebookFields!A2:A1898, 0))="")=TRUE),  "",  INDEX(RulebookFields!C2:C1898, MATCH(D73,RulebookFields!A2:A1898, 0))), "")</f>
        <v>StepExecutions</v>
      </c>
      <c r="I73" s="4" t="str">
        <f>_xlfn.IFNA(IF(((INDEX(RulebookFields!D2:D1898, MATCH(D73,RulebookFields!A2:A1898, 0))="")=TRUE),  "",  INDEX(RulebookFields!D2:D1898, MATCH(D73,RulebookFields!A2:A1898, 0))), "")</f>
        <v>Deviation</v>
      </c>
      <c r="J73" s="4" t="b">
        <f>_xlfn.IFNA(IF(((INDEX(RulebookFields!I2:I1898, MATCH(D73,RulebookFields!A2:A1898, 0))="")=TRUE),  "",  INDEX(RulebookFields!I2:I1898, MATCH(D73,RulebookFields!A2:A1898, 0))), "")</f>
        <v>0</v>
      </c>
      <c r="K73" s="4" t="b">
        <f>AND(((F73)=TRUE), ((J73)=TRUE))</f>
        <v>0</v>
      </c>
      <c r="L73" s="4" t="b">
        <f>AND(((G73 &lt;&gt; "plain")=TRUE), ((G73 &lt;&gt; "")=TRUE))</f>
        <v>0</v>
      </c>
      <c r="M73" s="4" t="str">
        <f>IF(((E73)=TRUE),  C73 &amp; "|" &amp; H73,  "")</f>
        <v>principal-controller|StepExecutions</v>
      </c>
      <c r="N73" s="3" t="s">
        <v>10004</v>
      </c>
    </row>
    <row r="74">
      <c r="A74" s="3" t="s">
        <v>10076</v>
      </c>
      <c r="B74" s="4" t="str">
        <f>C74 &amp; " -&gt; " &amp; D74</f>
        <v>principal-controller -&gt; ProcedureExecutions.ProcedureExecutionId</v>
      </c>
      <c r="C74" s="3" t="s">
        <v>9754</v>
      </c>
      <c r="D74" s="3" t="s">
        <v>3426</v>
      </c>
      <c r="E74" s="3" t="b">
        <v>1</v>
      </c>
      <c r="F74" s="3" t="b">
        <v>0</v>
      </c>
      <c r="G74" s="3" t="s">
        <v>10003</v>
      </c>
      <c r="H74" s="4" t="str">
        <f>_xlfn.IFNA(IF(((INDEX(RulebookFields!C2:C1898, MATCH(D74,RulebookFields!A2:A1898, 0))="")=TRUE),  "",  INDEX(RulebookFields!C2:C1898, MATCH(D74,RulebookFields!A2:A1898, 0))), "")</f>
        <v>ProcedureExecutions</v>
      </c>
      <c r="I74" s="4" t="str">
        <f>_xlfn.IFNA(IF(((INDEX(RulebookFields!D2:D1898, MATCH(D74,RulebookFields!A2:A1898, 0))="")=TRUE),  "",  INDEX(RulebookFields!D2:D1898, MATCH(D74,RulebookFields!A2:A1898, 0))), "")</f>
        <v>ProcedureExecutionId</v>
      </c>
      <c r="J74" s="4" t="b">
        <f>_xlfn.IFNA(IF(((INDEX(RulebookFields!I2:I1898, MATCH(D74,RulebookFields!A2:A1898, 0))="")=TRUE),  "",  INDEX(RulebookFields!I2:I1898, MATCH(D74,RulebookFields!A2:A1898, 0))), "")</f>
        <v>0</v>
      </c>
      <c r="K74" s="4" t="b">
        <f>AND(((F74)=TRUE), ((J74)=TRUE))</f>
        <v>0</v>
      </c>
      <c r="L74" s="4" t="b">
        <f>AND(((G74 &lt;&gt; "plain")=TRUE), ((G74 &lt;&gt; "")=TRUE))</f>
        <v>0</v>
      </c>
      <c r="M74" s="4" t="str">
        <f>IF(((E74)=TRUE),  C74 &amp; "|" &amp; H74,  "")</f>
        <v>principal-controller|ProcedureExecutions</v>
      </c>
      <c r="N74" s="3" t="s">
        <v>10004</v>
      </c>
    </row>
    <row r="75">
      <c r="A75" s="3" t="s">
        <v>10077</v>
      </c>
      <c r="B75" s="4" t="str">
        <f>C75 &amp; " -&gt; " &amp; D75</f>
        <v>principal-controller -&gt; ProcedureExecutions.ExecutionStatus</v>
      </c>
      <c r="C75" s="3" t="s">
        <v>9754</v>
      </c>
      <c r="D75" s="3" t="s">
        <v>3430</v>
      </c>
      <c r="E75" s="3" t="b">
        <v>1</v>
      </c>
      <c r="F75" s="3" t="b">
        <v>0</v>
      </c>
      <c r="G75" s="3" t="s">
        <v>10003</v>
      </c>
      <c r="H75" s="4" t="str">
        <f>_xlfn.IFNA(IF(((INDEX(RulebookFields!C2:C1898, MATCH(D75,RulebookFields!A2:A1898, 0))="")=TRUE),  "",  INDEX(RulebookFields!C2:C1898, MATCH(D75,RulebookFields!A2:A1898, 0))), "")</f>
        <v>ProcedureExecutions</v>
      </c>
      <c r="I75" s="4" t="str">
        <f>_xlfn.IFNA(IF(((INDEX(RulebookFields!D2:D1898, MATCH(D75,RulebookFields!A2:A1898, 0))="")=TRUE),  "",  INDEX(RulebookFields!D2:D1898, MATCH(D75,RulebookFields!A2:A1898, 0))), "")</f>
        <v>ExecutionStatus</v>
      </c>
      <c r="J75" s="4" t="b">
        <f>_xlfn.IFNA(IF(((INDEX(RulebookFields!I2:I1898, MATCH(D75,RulebookFields!A2:A1898, 0))="")=TRUE),  "",  INDEX(RulebookFields!I2:I1898, MATCH(D75,RulebookFields!A2:A1898, 0))), "")</f>
        <v>0</v>
      </c>
      <c r="K75" s="4" t="b">
        <f>AND(((F75)=TRUE), ((J75)=TRUE))</f>
        <v>0</v>
      </c>
      <c r="L75" s="4" t="b">
        <f>AND(((G75 &lt;&gt; "plain")=TRUE), ((G75 &lt;&gt; "")=TRUE))</f>
        <v>0</v>
      </c>
      <c r="M75" s="4" t="str">
        <f>IF(((E75)=TRUE),  C75 &amp; "|" &amp; H75,  "")</f>
        <v>principal-controller|ProcedureExecutions</v>
      </c>
      <c r="N75" s="3" t="s">
        <v>10004</v>
      </c>
    </row>
    <row r="76">
      <c r="A76" s="3" t="s">
        <v>10078</v>
      </c>
      <c r="B76" s="4" t="str">
        <f>C76 &amp; " -&gt; " &amp; D76</f>
        <v>principal-controller -&gt; ProcedureExecutions.StartedAt</v>
      </c>
      <c r="C76" s="3" t="s">
        <v>9754</v>
      </c>
      <c r="D76" s="3" t="s">
        <v>3431</v>
      </c>
      <c r="E76" s="3" t="b">
        <v>1</v>
      </c>
      <c r="F76" s="3" t="b">
        <v>0</v>
      </c>
      <c r="G76" s="3" t="s">
        <v>10003</v>
      </c>
      <c r="H76" s="4" t="str">
        <f>_xlfn.IFNA(IF(((INDEX(RulebookFields!C2:C1898, MATCH(D76,RulebookFields!A2:A1898, 0))="")=TRUE),  "",  INDEX(RulebookFields!C2:C1898, MATCH(D76,RulebookFields!A2:A1898, 0))), "")</f>
        <v>ProcedureExecutions</v>
      </c>
      <c r="I76" s="4" t="str">
        <f>_xlfn.IFNA(IF(((INDEX(RulebookFields!D2:D1898, MATCH(D76,RulebookFields!A2:A1898, 0))="")=TRUE),  "",  INDEX(RulebookFields!D2:D1898, MATCH(D76,RulebookFields!A2:A1898, 0))), "")</f>
        <v>StartedAt</v>
      </c>
      <c r="J76" s="4" t="b">
        <f>_xlfn.IFNA(IF(((INDEX(RulebookFields!I2:I1898, MATCH(D76,RulebookFields!A2:A1898, 0))="")=TRUE),  "",  INDEX(RulebookFields!I2:I1898, MATCH(D76,RulebookFields!A2:A1898, 0))), "")</f>
        <v>0</v>
      </c>
      <c r="K76" s="4" t="b">
        <f>AND(((F76)=TRUE), ((J76)=TRUE))</f>
        <v>0</v>
      </c>
      <c r="L76" s="4" t="b">
        <f>AND(((G76 &lt;&gt; "plain")=TRUE), ((G76 &lt;&gt; "")=TRUE))</f>
        <v>0</v>
      </c>
      <c r="M76" s="4" t="str">
        <f>IF(((E76)=TRUE),  C76 &amp; "|" &amp; H76,  "")</f>
        <v>principal-controller|ProcedureExecutions</v>
      </c>
      <c r="N76" s="3" t="s">
        <v>10004</v>
      </c>
    </row>
    <row r="77">
      <c r="A77" s="3" t="s">
        <v>10079</v>
      </c>
      <c r="B77" s="4" t="str">
        <f>C77 &amp; " -&gt; " &amp; D77</f>
        <v>principal-controller -&gt; ProcedureExecutions.EndedAt</v>
      </c>
      <c r="C77" s="3" t="s">
        <v>9754</v>
      </c>
      <c r="D77" s="3" t="s">
        <v>3432</v>
      </c>
      <c r="E77" s="3" t="b">
        <v>1</v>
      </c>
      <c r="F77" s="3" t="b">
        <v>0</v>
      </c>
      <c r="G77" s="3" t="s">
        <v>10003</v>
      </c>
      <c r="H77" s="4" t="str">
        <f>_xlfn.IFNA(IF(((INDEX(RulebookFields!C2:C1898, MATCH(D77,RulebookFields!A2:A1898, 0))="")=TRUE),  "",  INDEX(RulebookFields!C2:C1898, MATCH(D77,RulebookFields!A2:A1898, 0))), "")</f>
        <v>ProcedureExecutions</v>
      </c>
      <c r="I77" s="4" t="str">
        <f>_xlfn.IFNA(IF(((INDEX(RulebookFields!D2:D1898, MATCH(D77,RulebookFields!A2:A1898, 0))="")=TRUE),  "",  INDEX(RulebookFields!D2:D1898, MATCH(D77,RulebookFields!A2:A1898, 0))), "")</f>
        <v>EndedAt</v>
      </c>
      <c r="J77" s="4" t="b">
        <f>_xlfn.IFNA(IF(((INDEX(RulebookFields!I2:I1898, MATCH(D77,RulebookFields!A2:A1898, 0))="")=TRUE),  "",  INDEX(RulebookFields!I2:I1898, MATCH(D77,RulebookFields!A2:A1898, 0))), "")</f>
        <v>0</v>
      </c>
      <c r="K77" s="4" t="b">
        <f>AND(((F77)=TRUE), ((J77)=TRUE))</f>
        <v>0</v>
      </c>
      <c r="L77" s="4" t="b">
        <f>AND(((G77 &lt;&gt; "plain")=TRUE), ((G77 &lt;&gt; "")=TRUE))</f>
        <v>0</v>
      </c>
      <c r="M77" s="4" t="str">
        <f>IF(((E77)=TRUE),  C77 &amp; "|" &amp; H77,  "")</f>
        <v>principal-controller|ProcedureExecutions</v>
      </c>
      <c r="N77" s="3" t="s">
        <v>10004</v>
      </c>
    </row>
    <row r="78">
      <c r="A78" s="3" t="s">
        <v>10080</v>
      </c>
      <c r="B78" s="4" t="str">
        <f>C78 &amp; " -&gt; " &amp; D78</f>
        <v>principal-controller -&gt; ProcedureExecutions.ProcedureVersion</v>
      </c>
      <c r="C78" s="3" t="s">
        <v>9754</v>
      </c>
      <c r="D78" s="3" t="s">
        <v>3429</v>
      </c>
      <c r="E78" s="3" t="b">
        <v>1</v>
      </c>
      <c r="F78" s="3" t="b">
        <v>0</v>
      </c>
      <c r="G78" s="3" t="s">
        <v>10003</v>
      </c>
      <c r="H78" s="4" t="str">
        <f>_xlfn.IFNA(IF(((INDEX(RulebookFields!C2:C1898, MATCH(D78,RulebookFields!A2:A1898, 0))="")=TRUE),  "",  INDEX(RulebookFields!C2:C1898, MATCH(D78,RulebookFields!A2:A1898, 0))), "")</f>
        <v>ProcedureExecutions</v>
      </c>
      <c r="I78" s="4" t="str">
        <f>_xlfn.IFNA(IF(((INDEX(RulebookFields!D2:D1898, MATCH(D78,RulebookFields!A2:A1898, 0))="")=TRUE),  "",  INDEX(RulebookFields!D2:D1898, MATCH(D78,RulebookFields!A2:A1898, 0))), "")</f>
        <v>ProcedureVersion</v>
      </c>
      <c r="J78" s="4" t="b">
        <f>_xlfn.IFNA(IF(((INDEX(RulebookFields!I2:I1898, MATCH(D78,RulebookFields!A2:A1898, 0))="")=TRUE),  "",  INDEX(RulebookFields!I2:I1898, MATCH(D78,RulebookFields!A2:A1898, 0))), "")</f>
        <v>0</v>
      </c>
      <c r="K78" s="4" t="b">
        <f>AND(((F78)=TRUE), ((J78)=TRUE))</f>
        <v>0</v>
      </c>
      <c r="L78" s="4" t="b">
        <f>AND(((G78 &lt;&gt; "plain")=TRUE), ((G78 &lt;&gt; "")=TRUE))</f>
        <v>0</v>
      </c>
      <c r="M78" s="4" t="str">
        <f>IF(((E78)=TRUE),  C78 &amp; "|" &amp; H78,  "")</f>
        <v>principal-controller|ProcedureExecutions</v>
      </c>
      <c r="N78" s="3" t="s">
        <v>10004</v>
      </c>
    </row>
    <row r="79">
      <c r="A79" s="3" t="s">
        <v>10081</v>
      </c>
      <c r="B79" s="4" t="str">
        <f>C79 &amp; " -&gt; " &amp; D79</f>
        <v>principal-controller -&gt; ProcedureExecutions.Name</v>
      </c>
      <c r="C79" s="3" t="s">
        <v>9754</v>
      </c>
      <c r="D79" s="3" t="s">
        <v>3427</v>
      </c>
      <c r="E79" s="3" t="b">
        <v>1</v>
      </c>
      <c r="F79" s="3" t="b">
        <v>0</v>
      </c>
      <c r="G79" s="3" t="s">
        <v>10003</v>
      </c>
      <c r="H79" s="4" t="str">
        <f>_xlfn.IFNA(IF(((INDEX(RulebookFields!C2:C1898, MATCH(D79,RulebookFields!A2:A1898, 0))="")=TRUE),  "",  INDEX(RulebookFields!C2:C1898, MATCH(D79,RulebookFields!A2:A1898, 0))), "")</f>
        <v>ProcedureExecutions</v>
      </c>
      <c r="I79" s="4" t="str">
        <f>_xlfn.IFNA(IF(((INDEX(RulebookFields!D2:D1898, MATCH(D79,RulebookFields!A2:A1898, 0))="")=TRUE),  "",  INDEX(RulebookFields!D2:D1898, MATCH(D79,RulebookFields!A2:A1898, 0))), "")</f>
        <v>Name</v>
      </c>
      <c r="J79" s="4" t="b">
        <f>_xlfn.IFNA(IF(((INDEX(RulebookFields!I2:I1898, MATCH(D79,RulebookFields!A2:A1898, 0))="")=TRUE),  "",  INDEX(RulebookFields!I2:I1898, MATCH(D79,RulebookFields!A2:A1898, 0))), "")</f>
        <v>1</v>
      </c>
      <c r="K79" s="4" t="b">
        <f>AND(((F79)=TRUE), ((J79)=TRUE))</f>
        <v>0</v>
      </c>
      <c r="L79" s="4" t="b">
        <f>AND(((G79 &lt;&gt; "plain")=TRUE), ((G79 &lt;&gt; "")=TRUE))</f>
        <v>0</v>
      </c>
      <c r="M79" s="4" t="str">
        <f>IF(((E79)=TRUE),  C79 &amp; "|" &amp; H79,  "")</f>
        <v>principal-controller|ProcedureExecutions</v>
      </c>
      <c r="N79" s="3" t="s">
        <v>10004</v>
      </c>
    </row>
    <row r="80">
      <c r="A80" s="3" t="s">
        <v>10082</v>
      </c>
      <c r="B80" s="4" t="str">
        <f>C80 &amp; " -&gt; " &amp; D80</f>
        <v>principal-controller -&gt; Exceptions.ExceptionId</v>
      </c>
      <c r="C80" s="3" t="s">
        <v>9754</v>
      </c>
      <c r="D80" s="3" t="s">
        <v>3160</v>
      </c>
      <c r="E80" s="3" t="b">
        <v>1</v>
      </c>
      <c r="F80" s="3" t="b">
        <v>0</v>
      </c>
      <c r="G80" s="3" t="s">
        <v>10003</v>
      </c>
      <c r="H80" s="4" t="str">
        <f>_xlfn.IFNA(IF(((INDEX(RulebookFields!C2:C1898, MATCH(D80,RulebookFields!A2:A1898, 0))="")=TRUE),  "",  INDEX(RulebookFields!C2:C1898, MATCH(D80,RulebookFields!A2:A1898, 0))), "")</f>
        <v>Exceptions</v>
      </c>
      <c r="I80" s="4" t="str">
        <f>_xlfn.IFNA(IF(((INDEX(RulebookFields!D2:D1898, MATCH(D80,RulebookFields!A2:A1898, 0))="")=TRUE),  "",  INDEX(RulebookFields!D2:D1898, MATCH(D80,RulebookFields!A2:A1898, 0))), "")</f>
        <v>ExceptionId</v>
      </c>
      <c r="J80" s="4" t="b">
        <f>_xlfn.IFNA(IF(((INDEX(RulebookFields!I2:I1898, MATCH(D80,RulebookFields!A2:A1898, 0))="")=TRUE),  "",  INDEX(RulebookFields!I2:I1898, MATCH(D80,RulebookFields!A2:A1898, 0))), "")</f>
        <v>0</v>
      </c>
      <c r="K80" s="4" t="b">
        <f>AND(((F80)=TRUE), ((J80)=TRUE))</f>
        <v>0</v>
      </c>
      <c r="L80" s="4" t="b">
        <f>AND(((G80 &lt;&gt; "plain")=TRUE), ((G80 &lt;&gt; "")=TRUE))</f>
        <v>0</v>
      </c>
      <c r="M80" s="4" t="str">
        <f>IF(((E80)=TRUE),  C80 &amp; "|" &amp; H80,  "")</f>
        <v>principal-controller|Exceptions</v>
      </c>
      <c r="N80" s="3" t="s">
        <v>10004</v>
      </c>
    </row>
    <row r="81">
      <c r="A81" s="3" t="s">
        <v>10083</v>
      </c>
      <c r="B81" s="4" t="str">
        <f>C81 &amp; " -&gt; " &amp; D81</f>
        <v>principal-controller -&gt; Exceptions.Name</v>
      </c>
      <c r="C81" s="3" t="s">
        <v>9754</v>
      </c>
      <c r="D81" s="3" t="s">
        <v>3162</v>
      </c>
      <c r="E81" s="3" t="b">
        <v>1</v>
      </c>
      <c r="F81" s="3" t="b">
        <v>0</v>
      </c>
      <c r="G81" s="3" t="s">
        <v>10003</v>
      </c>
      <c r="H81" s="4" t="str">
        <f>_xlfn.IFNA(IF(((INDEX(RulebookFields!C2:C1898, MATCH(D81,RulebookFields!A2:A1898, 0))="")=TRUE),  "",  INDEX(RulebookFields!C2:C1898, MATCH(D81,RulebookFields!A2:A1898, 0))), "")</f>
        <v>Exceptions</v>
      </c>
      <c r="I81" s="4" t="str">
        <f>_xlfn.IFNA(IF(((INDEX(RulebookFields!D2:D1898, MATCH(D81,RulebookFields!A2:A1898, 0))="")=TRUE),  "",  INDEX(RulebookFields!D2:D1898, MATCH(D81,RulebookFields!A2:A1898, 0))), "")</f>
        <v>Name</v>
      </c>
      <c r="J81" s="4" t="b">
        <f>_xlfn.IFNA(IF(((INDEX(RulebookFields!I2:I1898, MATCH(D81,RulebookFields!A2:A1898, 0))="")=TRUE),  "",  INDEX(RulebookFields!I2:I1898, MATCH(D81,RulebookFields!A2:A1898, 0))), "")</f>
        <v>1</v>
      </c>
      <c r="K81" s="4" t="b">
        <f>AND(((F81)=TRUE), ((J81)=TRUE))</f>
        <v>0</v>
      </c>
      <c r="L81" s="4" t="b">
        <f>AND(((G81 &lt;&gt; "plain")=TRUE), ((G81 &lt;&gt; "")=TRUE))</f>
        <v>0</v>
      </c>
      <c r="M81" s="4" t="str">
        <f>IF(((E81)=TRUE),  C81 &amp; "|" &amp; H81,  "")</f>
        <v>principal-controller|Exceptions</v>
      </c>
      <c r="N81" s="3" t="s">
        <v>10004</v>
      </c>
    </row>
    <row r="82">
      <c r="A82" s="3" t="s">
        <v>10084</v>
      </c>
      <c r="B82" s="4" t="str">
        <f>C82 &amp; " -&gt; " &amp; D82</f>
        <v>principal-controller -&gt; Exceptions.ProcedureVersion</v>
      </c>
      <c r="C82" s="3" t="s">
        <v>9754</v>
      </c>
      <c r="D82" s="3" t="s">
        <v>3164</v>
      </c>
      <c r="E82" s="3" t="b">
        <v>1</v>
      </c>
      <c r="F82" s="3" t="b">
        <v>0</v>
      </c>
      <c r="G82" s="3" t="s">
        <v>10003</v>
      </c>
      <c r="H82" s="4" t="str">
        <f>_xlfn.IFNA(IF(((INDEX(RulebookFields!C2:C1898, MATCH(D82,RulebookFields!A2:A1898, 0))="")=TRUE),  "",  INDEX(RulebookFields!C2:C1898, MATCH(D82,RulebookFields!A2:A1898, 0))), "")</f>
        <v>Exceptions</v>
      </c>
      <c r="I82" s="4" t="str">
        <f>_xlfn.IFNA(IF(((INDEX(RulebookFields!D2:D1898, MATCH(D82,RulebookFields!A2:A1898, 0))="")=TRUE),  "",  INDEX(RulebookFields!D2:D1898, MATCH(D82,RulebookFields!A2:A1898, 0))), "")</f>
        <v>ProcedureVersion</v>
      </c>
      <c r="J82" s="4" t="b">
        <f>_xlfn.IFNA(IF(((INDEX(RulebookFields!I2:I1898, MATCH(D82,RulebookFields!A2:A1898, 0))="")=TRUE),  "",  INDEX(RulebookFields!I2:I1898, MATCH(D82,RulebookFields!A2:A1898, 0))), "")</f>
        <v>0</v>
      </c>
      <c r="K82" s="4" t="b">
        <f>AND(((F82)=TRUE), ((J82)=TRUE))</f>
        <v>0</v>
      </c>
      <c r="L82" s="4" t="b">
        <f>AND(((G82 &lt;&gt; "plain")=TRUE), ((G82 &lt;&gt; "")=TRUE))</f>
        <v>0</v>
      </c>
      <c r="M82" s="4" t="str">
        <f>IF(((E82)=TRUE),  C82 &amp; "|" &amp; H82,  "")</f>
        <v>principal-controller|Exceptions</v>
      </c>
      <c r="N82" s="3" t="s">
        <v>10004</v>
      </c>
    </row>
    <row r="83">
      <c r="A83" s="3" t="s">
        <v>10085</v>
      </c>
      <c r="B83" s="4" t="str">
        <f>C83 &amp; " -&gt; " &amp; D83</f>
        <v>principal-controller -&gt; Exceptions.TriggerStep</v>
      </c>
      <c r="C83" s="3" t="s">
        <v>9754</v>
      </c>
      <c r="D83" s="3" t="s">
        <v>3165</v>
      </c>
      <c r="E83" s="3" t="b">
        <v>1</v>
      </c>
      <c r="F83" s="3" t="b">
        <v>0</v>
      </c>
      <c r="G83" s="3" t="s">
        <v>10003</v>
      </c>
      <c r="H83" s="4" t="str">
        <f>_xlfn.IFNA(IF(((INDEX(RulebookFields!C2:C1898, MATCH(D83,RulebookFields!A2:A1898, 0))="")=TRUE),  "",  INDEX(RulebookFields!C2:C1898, MATCH(D83,RulebookFields!A2:A1898, 0))), "")</f>
        <v>Exceptions</v>
      </c>
      <c r="I83" s="4" t="str">
        <f>_xlfn.IFNA(IF(((INDEX(RulebookFields!D2:D1898, MATCH(D83,RulebookFields!A2:A1898, 0))="")=TRUE),  "",  INDEX(RulebookFields!D2:D1898, MATCH(D83,RulebookFields!A2:A1898, 0))), "")</f>
        <v>TriggerStep</v>
      </c>
      <c r="J83" s="4" t="b">
        <f>_xlfn.IFNA(IF(((INDEX(RulebookFields!I2:I1898, MATCH(D83,RulebookFields!A2:A1898, 0))="")=TRUE),  "",  INDEX(RulebookFields!I2:I1898, MATCH(D83,RulebookFields!A2:A1898, 0))), "")</f>
        <v>0</v>
      </c>
      <c r="K83" s="4" t="b">
        <f>AND(((F83)=TRUE), ((J83)=TRUE))</f>
        <v>0</v>
      </c>
      <c r="L83" s="4" t="b">
        <f>AND(((G83 &lt;&gt; "plain")=TRUE), ((G83 &lt;&gt; "")=TRUE))</f>
        <v>0</v>
      </c>
      <c r="M83" s="4" t="str">
        <f>IF(((E83)=TRUE),  C83 &amp; "|" &amp; H83,  "")</f>
        <v>principal-controller|Exceptions</v>
      </c>
      <c r="N83" s="3" t="s">
        <v>10004</v>
      </c>
    </row>
    <row r="84">
      <c r="A84" s="3" t="s">
        <v>10086</v>
      </c>
      <c r="B84" s="4" t="str">
        <f>C84 &amp; " -&gt; " &amp; D84</f>
        <v>principal-controller -&gt; Exceptions.Condition</v>
      </c>
      <c r="C84" s="3" t="s">
        <v>9754</v>
      </c>
      <c r="D84" s="3" t="s">
        <v>3166</v>
      </c>
      <c r="E84" s="3" t="b">
        <v>1</v>
      </c>
      <c r="F84" s="3" t="b">
        <v>0</v>
      </c>
      <c r="G84" s="3" t="s">
        <v>10003</v>
      </c>
      <c r="H84" s="4" t="str">
        <f>_xlfn.IFNA(IF(((INDEX(RulebookFields!C2:C1898, MATCH(D84,RulebookFields!A2:A1898, 0))="")=TRUE),  "",  INDEX(RulebookFields!C2:C1898, MATCH(D84,RulebookFields!A2:A1898, 0))), "")</f>
        <v>Exceptions</v>
      </c>
      <c r="I84" s="4" t="str">
        <f>_xlfn.IFNA(IF(((INDEX(RulebookFields!D2:D1898, MATCH(D84,RulebookFields!A2:A1898, 0))="")=TRUE),  "",  INDEX(RulebookFields!D2:D1898, MATCH(D84,RulebookFields!A2:A1898, 0))), "")</f>
        <v>Condition</v>
      </c>
      <c r="J84" s="4" t="b">
        <f>_xlfn.IFNA(IF(((INDEX(RulebookFields!I2:I1898, MATCH(D84,RulebookFields!A2:A1898, 0))="")=TRUE),  "",  INDEX(RulebookFields!I2:I1898, MATCH(D84,RulebookFields!A2:A1898, 0))), "")</f>
        <v>0</v>
      </c>
      <c r="K84" s="4" t="b">
        <f>AND(((F84)=TRUE), ((J84)=TRUE))</f>
        <v>0</v>
      </c>
      <c r="L84" s="4" t="b">
        <f>AND(((G84 &lt;&gt; "plain")=TRUE), ((G84 &lt;&gt; "")=TRUE))</f>
        <v>0</v>
      </c>
      <c r="M84" s="4" t="str">
        <f>IF(((E84)=TRUE),  C84 &amp; "|" &amp; H84,  "")</f>
        <v>principal-controller|Exceptions</v>
      </c>
      <c r="N84" s="3" t="s">
        <v>10004</v>
      </c>
    </row>
    <row r="85">
      <c r="A85" s="3" t="s">
        <v>10087</v>
      </c>
      <c r="B85" s="4" t="str">
        <f>C85 &amp; " -&gt; " &amp; D85</f>
        <v>principal-controller -&gt; Exceptions.Handling</v>
      </c>
      <c r="C85" s="3" t="s">
        <v>9754</v>
      </c>
      <c r="D85" s="3" t="s">
        <v>3167</v>
      </c>
      <c r="E85" s="3" t="b">
        <v>1</v>
      </c>
      <c r="F85" s="3" t="b">
        <v>0</v>
      </c>
      <c r="G85" s="3" t="s">
        <v>10003</v>
      </c>
      <c r="H85" s="4" t="str">
        <f>_xlfn.IFNA(IF(((INDEX(RulebookFields!C2:C1898, MATCH(D85,RulebookFields!A2:A1898, 0))="")=TRUE),  "",  INDEX(RulebookFields!C2:C1898, MATCH(D85,RulebookFields!A2:A1898, 0))), "")</f>
        <v>Exceptions</v>
      </c>
      <c r="I85" s="4" t="str">
        <f>_xlfn.IFNA(IF(((INDEX(RulebookFields!D2:D1898, MATCH(D85,RulebookFields!A2:A1898, 0))="")=TRUE),  "",  INDEX(RulebookFields!D2:D1898, MATCH(D85,RulebookFields!A2:A1898, 0))), "")</f>
        <v>Handling</v>
      </c>
      <c r="J85" s="4" t="b">
        <f>_xlfn.IFNA(IF(((INDEX(RulebookFields!I2:I1898, MATCH(D85,RulebookFields!A2:A1898, 0))="")=TRUE),  "",  INDEX(RulebookFields!I2:I1898, MATCH(D85,RulebookFields!A2:A1898, 0))), "")</f>
        <v>0</v>
      </c>
      <c r="K85" s="4" t="b">
        <f>AND(((F85)=TRUE), ((J85)=TRUE))</f>
        <v>0</v>
      </c>
      <c r="L85" s="4" t="b">
        <f>AND(((G85 &lt;&gt; "plain")=TRUE), ((G85 &lt;&gt; "")=TRUE))</f>
        <v>0</v>
      </c>
      <c r="M85" s="4" t="str">
        <f>IF(((E85)=TRUE),  C85 &amp; "|" &amp; H85,  "")</f>
        <v>principal-controller|Exceptions</v>
      </c>
      <c r="N85" s="3" t="s">
        <v>10004</v>
      </c>
    </row>
    <row r="86">
      <c r="A86" s="3" t="s">
        <v>10088</v>
      </c>
      <c r="B86" s="4" t="str">
        <f>C86 &amp; " -&gt; " &amp; D86</f>
        <v>principal-controller -&gt; Exceptions.ApprovalRole</v>
      </c>
      <c r="C86" s="3" t="s">
        <v>9754</v>
      </c>
      <c r="D86" s="3" t="s">
        <v>3168</v>
      </c>
      <c r="E86" s="3" t="b">
        <v>1</v>
      </c>
      <c r="F86" s="3" t="b">
        <v>0</v>
      </c>
      <c r="G86" s="3" t="s">
        <v>10003</v>
      </c>
      <c r="H86" s="4" t="str">
        <f>_xlfn.IFNA(IF(((INDEX(RulebookFields!C2:C1898, MATCH(D86,RulebookFields!A2:A1898, 0))="")=TRUE),  "",  INDEX(RulebookFields!C2:C1898, MATCH(D86,RulebookFields!A2:A1898, 0))), "")</f>
        <v>Exceptions</v>
      </c>
      <c r="I86" s="4" t="str">
        <f>_xlfn.IFNA(IF(((INDEX(RulebookFields!D2:D1898, MATCH(D86,RulebookFields!A2:A1898, 0))="")=TRUE),  "",  INDEX(RulebookFields!D2:D1898, MATCH(D86,RulebookFields!A2:A1898, 0))), "")</f>
        <v>ApprovalRole</v>
      </c>
      <c r="J86" s="4" t="b">
        <f>_xlfn.IFNA(IF(((INDEX(RulebookFields!I2:I1898, MATCH(D86,RulebookFields!A2:A1898, 0))="")=TRUE),  "",  INDEX(RulebookFields!I2:I1898, MATCH(D86,RulebookFields!A2:A1898, 0))), "")</f>
        <v>0</v>
      </c>
      <c r="K86" s="4" t="b">
        <f>AND(((F86)=TRUE), ((J86)=TRUE))</f>
        <v>0</v>
      </c>
      <c r="L86" s="4" t="b">
        <f>AND(((G86 &lt;&gt; "plain")=TRUE), ((G86 &lt;&gt; "")=TRUE))</f>
        <v>0</v>
      </c>
      <c r="M86" s="4" t="str">
        <f>IF(((E86)=TRUE),  C86 &amp; "|" &amp; H86,  "")</f>
        <v>principal-controller|Exceptions</v>
      </c>
      <c r="N86" s="3" t="s">
        <v>10004</v>
      </c>
    </row>
    <row r="87">
      <c r="A87" s="3" t="s">
        <v>10089</v>
      </c>
      <c r="B87" s="4" t="str">
        <f>C87 &amp; " -&gt; " &amp; D87</f>
        <v>principal-controller -&gt; Exceptions.FallbackRole</v>
      </c>
      <c r="C87" s="3" t="s">
        <v>9754</v>
      </c>
      <c r="D87" s="3" t="s">
        <v>3169</v>
      </c>
      <c r="E87" s="3" t="b">
        <v>1</v>
      </c>
      <c r="F87" s="3" t="b">
        <v>0</v>
      </c>
      <c r="G87" s="3" t="s">
        <v>10003</v>
      </c>
      <c r="H87" s="4" t="str">
        <f>_xlfn.IFNA(IF(((INDEX(RulebookFields!C2:C1898, MATCH(D87,RulebookFields!A2:A1898, 0))="")=TRUE),  "",  INDEX(RulebookFields!C2:C1898, MATCH(D87,RulebookFields!A2:A1898, 0))), "")</f>
        <v>Exceptions</v>
      </c>
      <c r="I87" s="4" t="str">
        <f>_xlfn.IFNA(IF(((INDEX(RulebookFields!D2:D1898, MATCH(D87,RulebookFields!A2:A1898, 0))="")=TRUE),  "",  INDEX(RulebookFields!D2:D1898, MATCH(D87,RulebookFields!A2:A1898, 0))), "")</f>
        <v>FallbackRole</v>
      </c>
      <c r="J87" s="4" t="b">
        <f>_xlfn.IFNA(IF(((INDEX(RulebookFields!I2:I1898, MATCH(D87,RulebookFields!A2:A1898, 0))="")=TRUE),  "",  INDEX(RulebookFields!I2:I1898, MATCH(D87,RulebookFields!A2:A1898, 0))), "")</f>
        <v>0</v>
      </c>
      <c r="K87" s="4" t="b">
        <f>AND(((F87)=TRUE), ((J87)=TRUE))</f>
        <v>0</v>
      </c>
      <c r="L87" s="4" t="b">
        <f>AND(((G87 &lt;&gt; "plain")=TRUE), ((G87 &lt;&gt; "")=TRUE))</f>
        <v>0</v>
      </c>
      <c r="M87" s="4" t="str">
        <f>IF(((E87)=TRUE),  C87 &amp; "|" &amp; H87,  "")</f>
        <v>principal-controller|Exceptions</v>
      </c>
      <c r="N87" s="3" t="s">
        <v>10004</v>
      </c>
    </row>
    <row r="88">
      <c r="A88" s="3" t="s">
        <v>10090</v>
      </c>
      <c r="B88" s="4" t="str">
        <f>C88 &amp; " -&gt; " &amp; D88</f>
        <v>principal-controller -&gt; Exceptions.Status</v>
      </c>
      <c r="C88" s="3" t="s">
        <v>9754</v>
      </c>
      <c r="D88" s="3" t="s">
        <v>3170</v>
      </c>
      <c r="E88" s="3" t="b">
        <v>1</v>
      </c>
      <c r="F88" s="3" t="b">
        <v>0</v>
      </c>
      <c r="G88" s="3" t="s">
        <v>10003</v>
      </c>
      <c r="H88" s="4" t="str">
        <f>_xlfn.IFNA(IF(((INDEX(RulebookFields!C2:C1898, MATCH(D88,RulebookFields!A2:A1898, 0))="")=TRUE),  "",  INDEX(RulebookFields!C2:C1898, MATCH(D88,RulebookFields!A2:A1898, 0))), "")</f>
        <v>Exceptions</v>
      </c>
      <c r="I88" s="4" t="str">
        <f>_xlfn.IFNA(IF(((INDEX(RulebookFields!D2:D1898, MATCH(D88,RulebookFields!A2:A1898, 0))="")=TRUE),  "",  INDEX(RulebookFields!D2:D1898, MATCH(D88,RulebookFields!A2:A1898, 0))), "")</f>
        <v>Status</v>
      </c>
      <c r="J88" s="4" t="b">
        <f>_xlfn.IFNA(IF(((INDEX(RulebookFields!I2:I1898, MATCH(D88,RulebookFields!A2:A1898, 0))="")=TRUE),  "",  INDEX(RulebookFields!I2:I1898, MATCH(D88,RulebookFields!A2:A1898, 0))), "")</f>
        <v>0</v>
      </c>
      <c r="K88" s="4" t="b">
        <f>AND(((F88)=TRUE), ((J88)=TRUE))</f>
        <v>0</v>
      </c>
      <c r="L88" s="4" t="b">
        <f>AND(((G88 &lt;&gt; "plain")=TRUE), ((G88 &lt;&gt; "")=TRUE))</f>
        <v>0</v>
      </c>
      <c r="M88" s="4" t="str">
        <f>IF(((E88)=TRUE),  C88 &amp; "|" &amp; H88,  "")</f>
        <v>principal-controller|Exceptions</v>
      </c>
      <c r="N88" s="3" t="s">
        <v>10004</v>
      </c>
    </row>
    <row r="89">
      <c r="A89" s="3" t="s">
        <v>10091</v>
      </c>
      <c r="B89" s="4" t="str">
        <f>C89 &amp; " -&gt; " &amp; D89</f>
        <v>principal-controller -&gt; Exceptions.ActiveExceptionStepKey</v>
      </c>
      <c r="C89" s="3" t="s">
        <v>9754</v>
      </c>
      <c r="D89" s="3" t="s">
        <v>3171</v>
      </c>
      <c r="E89" s="3" t="b">
        <v>1</v>
      </c>
      <c r="F89" s="3" t="b">
        <v>0</v>
      </c>
      <c r="G89" s="3" t="s">
        <v>10003</v>
      </c>
      <c r="H89" s="4" t="str">
        <f>_xlfn.IFNA(IF(((INDEX(RulebookFields!C2:C1898, MATCH(D89,RulebookFields!A2:A1898, 0))="")=TRUE),  "",  INDEX(RulebookFields!C2:C1898, MATCH(D89,RulebookFields!A2:A1898, 0))), "")</f>
        <v>Exceptions</v>
      </c>
      <c r="I89" s="4" t="str">
        <f>_xlfn.IFNA(IF(((INDEX(RulebookFields!D2:D1898, MATCH(D89,RulebookFields!A2:A1898, 0))="")=TRUE),  "",  INDEX(RulebookFields!D2:D1898, MATCH(D89,RulebookFields!A2:A1898, 0))), "")</f>
        <v>ActiveExceptionStepKey</v>
      </c>
      <c r="J89" s="4" t="b">
        <f>_xlfn.IFNA(IF(((INDEX(RulebookFields!I2:I1898, MATCH(D89,RulebookFields!A2:A1898, 0))="")=TRUE),  "",  INDEX(RulebookFields!I2:I1898, MATCH(D89,RulebookFields!A2:A1898, 0))), "")</f>
        <v>1</v>
      </c>
      <c r="K89" s="4" t="b">
        <f>AND(((F89)=TRUE), ((J89)=TRUE))</f>
        <v>0</v>
      </c>
      <c r="L89" s="4" t="b">
        <f>AND(((G89 &lt;&gt; "plain")=TRUE), ((G89 &lt;&gt; "")=TRUE))</f>
        <v>0</v>
      </c>
      <c r="M89" s="4" t="str">
        <f>IF(((E89)=TRUE),  C89 &amp; "|" &amp; H89,  "")</f>
        <v>principal-controller|Exceptions</v>
      </c>
      <c r="N89" s="3" t="s">
        <v>10004</v>
      </c>
    </row>
    <row r="90">
      <c r="A90" s="3" t="s">
        <v>10092</v>
      </c>
      <c r="B90" s="4" t="str">
        <f>C90 &amp; " -&gt; " &amp; D90</f>
        <v>principal-controller -&gt; Exceptions.SemanticTypeIri</v>
      </c>
      <c r="C90" s="3" t="s">
        <v>9754</v>
      </c>
      <c r="D90" s="3" t="s">
        <v>3173</v>
      </c>
      <c r="E90" s="3" t="b">
        <v>1</v>
      </c>
      <c r="F90" s="3" t="b">
        <v>0</v>
      </c>
      <c r="G90" s="3" t="s">
        <v>10003</v>
      </c>
      <c r="H90" s="4" t="str">
        <f>_xlfn.IFNA(IF(((INDEX(RulebookFields!C2:C1898, MATCH(D90,RulebookFields!A2:A1898, 0))="")=TRUE),  "",  INDEX(RulebookFields!C2:C1898, MATCH(D90,RulebookFields!A2:A1898, 0))), "")</f>
        <v>Exceptions</v>
      </c>
      <c r="I90" s="4" t="str">
        <f>_xlfn.IFNA(IF(((INDEX(RulebookFields!D2:D1898, MATCH(D90,RulebookFields!A2:A1898, 0))="")=TRUE),  "",  INDEX(RulebookFields!D2:D1898, MATCH(D90,RulebookFields!A2:A1898, 0))), "")</f>
        <v>SemanticTypeIri</v>
      </c>
      <c r="J90" s="4" t="b">
        <f>_xlfn.IFNA(IF(((INDEX(RulebookFields!I2:I1898, MATCH(D90,RulebookFields!A2:A1898, 0))="")=TRUE),  "",  INDEX(RulebookFields!I2:I1898, MATCH(D90,RulebookFields!A2:A1898, 0))), "")</f>
        <v>0</v>
      </c>
      <c r="K90" s="4" t="b">
        <f>AND(((F90)=TRUE), ((J90)=TRUE))</f>
        <v>0</v>
      </c>
      <c r="L90" s="4" t="b">
        <f>AND(((G90 &lt;&gt; "plain")=TRUE), ((G90 &lt;&gt; "")=TRUE))</f>
        <v>0</v>
      </c>
      <c r="M90" s="4" t="str">
        <f>IF(((E90)=TRUE),  C90 &amp; "|" &amp; H90,  "")</f>
        <v>principal-controller|Exceptions</v>
      </c>
      <c r="N90" s="3" t="s">
        <v>10004</v>
      </c>
    </row>
    <row r="91">
      <c r="A91" s="3" t="s">
        <v>10093</v>
      </c>
      <c r="B91" s="4" t="str">
        <f>C91 &amp; " -&gt; " &amp; D91</f>
        <v>principal-controller -&gt; ChangeRequests.ChangeRequestId</v>
      </c>
      <c r="C91" s="3" t="s">
        <v>9754</v>
      </c>
      <c r="D91" s="3" t="s">
        <v>3913</v>
      </c>
      <c r="E91" s="3" t="b">
        <v>1</v>
      </c>
      <c r="F91" s="3" t="b">
        <v>0</v>
      </c>
      <c r="G91" s="3" t="s">
        <v>10003</v>
      </c>
      <c r="H91" s="4" t="str">
        <f>_xlfn.IFNA(IF(((INDEX(RulebookFields!C2:C1898, MATCH(D91,RulebookFields!A2:A1898, 0))="")=TRUE),  "",  INDEX(RulebookFields!C2:C1898, MATCH(D91,RulebookFields!A2:A1898, 0))), "")</f>
        <v>ChangeRequests</v>
      </c>
      <c r="I91" s="4" t="str">
        <f>_xlfn.IFNA(IF(((INDEX(RulebookFields!D2:D1898, MATCH(D91,RulebookFields!A2:A1898, 0))="")=TRUE),  "",  INDEX(RulebookFields!D2:D1898, MATCH(D91,RulebookFields!A2:A1898, 0))), "")</f>
        <v>ChangeRequestId</v>
      </c>
      <c r="J91" s="4" t="b">
        <f>_xlfn.IFNA(IF(((INDEX(RulebookFields!I2:I1898, MATCH(D91,RulebookFields!A2:A1898, 0))="")=TRUE),  "",  INDEX(RulebookFields!I2:I1898, MATCH(D91,RulebookFields!A2:A1898, 0))), "")</f>
        <v>0</v>
      </c>
      <c r="K91" s="4" t="b">
        <f>AND(((F91)=TRUE), ((J91)=TRUE))</f>
        <v>0</v>
      </c>
      <c r="L91" s="4" t="b">
        <f>AND(((G91 &lt;&gt; "plain")=TRUE), ((G91 &lt;&gt; "")=TRUE))</f>
        <v>0</v>
      </c>
      <c r="M91" s="4" t="str">
        <f>IF(((E91)=TRUE),  C91 &amp; "|" &amp; H91,  "")</f>
        <v>principal-controller|ChangeRequests</v>
      </c>
      <c r="N91" s="3" t="s">
        <v>10004</v>
      </c>
    </row>
    <row r="92">
      <c r="A92" s="3" t="s">
        <v>10094</v>
      </c>
      <c r="B92" s="4" t="str">
        <f>C92 &amp; " -&gt; " &amp; D92</f>
        <v>principal-controller -&gt; ChangeRequests.Title</v>
      </c>
      <c r="C92" s="3" t="s">
        <v>9754</v>
      </c>
      <c r="D92" s="3" t="s">
        <v>3917</v>
      </c>
      <c r="E92" s="3" t="b">
        <v>1</v>
      </c>
      <c r="F92" s="3" t="b">
        <v>0</v>
      </c>
      <c r="G92" s="3" t="s">
        <v>10003</v>
      </c>
      <c r="H92" s="4" t="str">
        <f>_xlfn.IFNA(IF(((INDEX(RulebookFields!C2:C1898, MATCH(D92,RulebookFields!A2:A1898, 0))="")=TRUE),  "",  INDEX(RulebookFields!C2:C1898, MATCH(D92,RulebookFields!A2:A1898, 0))), "")</f>
        <v>ChangeRequests</v>
      </c>
      <c r="I92" s="4" t="str">
        <f>_xlfn.IFNA(IF(((INDEX(RulebookFields!D2:D1898, MATCH(D92,RulebookFields!A2:A1898, 0))="")=TRUE),  "",  INDEX(RulebookFields!D2:D1898, MATCH(D92,RulebookFields!A2:A1898, 0))), "")</f>
        <v>Title</v>
      </c>
      <c r="J92" s="4" t="b">
        <f>_xlfn.IFNA(IF(((INDEX(RulebookFields!I2:I1898, MATCH(D92,RulebookFields!A2:A1898, 0))="")=TRUE),  "",  INDEX(RulebookFields!I2:I1898, MATCH(D92,RulebookFields!A2:A1898, 0))), "")</f>
        <v>0</v>
      </c>
      <c r="K92" s="4" t="b">
        <f>AND(((F92)=TRUE), ((J92)=TRUE))</f>
        <v>0</v>
      </c>
      <c r="L92" s="4" t="b">
        <f>AND(((G92 &lt;&gt; "plain")=TRUE), ((G92 &lt;&gt; "")=TRUE))</f>
        <v>0</v>
      </c>
      <c r="M92" s="4" t="str">
        <f>IF(((E92)=TRUE),  C92 &amp; "|" &amp; H92,  "")</f>
        <v>principal-controller|ChangeRequests</v>
      </c>
      <c r="N92" s="3" t="s">
        <v>10004</v>
      </c>
    </row>
    <row r="93">
      <c r="A93" s="3" t="s">
        <v>10095</v>
      </c>
      <c r="B93" s="4" t="str">
        <f>C93 &amp; " -&gt; " &amp; D93</f>
        <v>principal-controller -&gt; ChangeRequests.ChangeKind</v>
      </c>
      <c r="C93" s="3" t="s">
        <v>9754</v>
      </c>
      <c r="D93" s="3" t="s">
        <v>3918</v>
      </c>
      <c r="E93" s="3" t="b">
        <v>1</v>
      </c>
      <c r="F93" s="3" t="b">
        <v>0</v>
      </c>
      <c r="G93" s="3" t="s">
        <v>10003</v>
      </c>
      <c r="H93" s="4" t="str">
        <f>_xlfn.IFNA(IF(((INDEX(RulebookFields!C2:C1898, MATCH(D93,RulebookFields!A2:A1898, 0))="")=TRUE),  "",  INDEX(RulebookFields!C2:C1898, MATCH(D93,RulebookFields!A2:A1898, 0))), "")</f>
        <v>ChangeRequests</v>
      </c>
      <c r="I93" s="4" t="str">
        <f>_xlfn.IFNA(IF(((INDEX(RulebookFields!D2:D1898, MATCH(D93,RulebookFields!A2:A1898, 0))="")=TRUE),  "",  INDEX(RulebookFields!D2:D1898, MATCH(D93,RulebookFields!A2:A1898, 0))), "")</f>
        <v>ChangeKind</v>
      </c>
      <c r="J93" s="4" t="b">
        <f>_xlfn.IFNA(IF(((INDEX(RulebookFields!I2:I1898, MATCH(D93,RulebookFields!A2:A1898, 0))="")=TRUE),  "",  INDEX(RulebookFields!I2:I1898, MATCH(D93,RulebookFields!A2:A1898, 0))), "")</f>
        <v>0</v>
      </c>
      <c r="K93" s="4" t="b">
        <f>AND(((F93)=TRUE), ((J93)=TRUE))</f>
        <v>0</v>
      </c>
      <c r="L93" s="4" t="b">
        <f>AND(((G93 &lt;&gt; "plain")=TRUE), ((G93 &lt;&gt; "")=TRUE))</f>
        <v>0</v>
      </c>
      <c r="M93" s="4" t="str">
        <f>IF(((E93)=TRUE),  C93 &amp; "|" &amp; H93,  "")</f>
        <v>principal-controller|ChangeRequests</v>
      </c>
      <c r="N93" s="3" t="s">
        <v>10004</v>
      </c>
    </row>
    <row r="94">
      <c r="A94" s="3" t="s">
        <v>10096</v>
      </c>
      <c r="B94" s="4" t="str">
        <f>C94 &amp; " -&gt; " &amp; D94</f>
        <v>principal-controller -&gt; ChangeRequests.Status</v>
      </c>
      <c r="C94" s="3" t="s">
        <v>9754</v>
      </c>
      <c r="D94" s="3" t="s">
        <v>3919</v>
      </c>
      <c r="E94" s="3" t="b">
        <v>1</v>
      </c>
      <c r="F94" s="3" t="b">
        <v>0</v>
      </c>
      <c r="G94" s="3" t="s">
        <v>10003</v>
      </c>
      <c r="H94" s="4" t="str">
        <f>_xlfn.IFNA(IF(((INDEX(RulebookFields!C2:C1898, MATCH(D94,RulebookFields!A2:A1898, 0))="")=TRUE),  "",  INDEX(RulebookFields!C2:C1898, MATCH(D94,RulebookFields!A2:A1898, 0))), "")</f>
        <v>ChangeRequests</v>
      </c>
      <c r="I94" s="4" t="str">
        <f>_xlfn.IFNA(IF(((INDEX(RulebookFields!D2:D1898, MATCH(D94,RulebookFields!A2:A1898, 0))="")=TRUE),  "",  INDEX(RulebookFields!D2:D1898, MATCH(D94,RulebookFields!A2:A1898, 0))), "")</f>
        <v>Status</v>
      </c>
      <c r="J94" s="4" t="b">
        <f>_xlfn.IFNA(IF(((INDEX(RulebookFields!I2:I1898, MATCH(D94,RulebookFields!A2:A1898, 0))="")=TRUE),  "",  INDEX(RulebookFields!I2:I1898, MATCH(D94,RulebookFields!A2:A1898, 0))), "")</f>
        <v>0</v>
      </c>
      <c r="K94" s="4" t="b">
        <f>AND(((F94)=TRUE), ((J94)=TRUE))</f>
        <v>0</v>
      </c>
      <c r="L94" s="4" t="b">
        <f>AND(((G94 &lt;&gt; "plain")=TRUE), ((G94 &lt;&gt; "")=TRUE))</f>
        <v>0</v>
      </c>
      <c r="M94" s="4" t="str">
        <f>IF(((E94)=TRUE),  C94 &amp; "|" &amp; H94,  "")</f>
        <v>principal-controller|ChangeRequests</v>
      </c>
      <c r="N94" s="3" t="s">
        <v>10004</v>
      </c>
    </row>
    <row r="95">
      <c r="A95" s="3" t="s">
        <v>10097</v>
      </c>
      <c r="B95" s="4" t="str">
        <f>C95 &amp; " -&gt; " &amp; D95</f>
        <v>principal-controller -&gt; ChangeRequests.RequestedAt</v>
      </c>
      <c r="C95" s="3" t="s">
        <v>9754</v>
      </c>
      <c r="D95" s="3" t="s">
        <v>3922</v>
      </c>
      <c r="E95" s="3" t="b">
        <v>1</v>
      </c>
      <c r="F95" s="3" t="b">
        <v>0</v>
      </c>
      <c r="G95" s="3" t="s">
        <v>10003</v>
      </c>
      <c r="H95" s="4" t="str">
        <f>_xlfn.IFNA(IF(((INDEX(RulebookFields!C2:C1898, MATCH(D95,RulebookFields!A2:A1898, 0))="")=TRUE),  "",  INDEX(RulebookFields!C2:C1898, MATCH(D95,RulebookFields!A2:A1898, 0))), "")</f>
        <v>ChangeRequests</v>
      </c>
      <c r="I95" s="4" t="str">
        <f>_xlfn.IFNA(IF(((INDEX(RulebookFields!D2:D1898, MATCH(D95,RulebookFields!A2:A1898, 0))="")=TRUE),  "",  INDEX(RulebookFields!D2:D1898, MATCH(D95,RulebookFields!A2:A1898, 0))), "")</f>
        <v>RequestedAt</v>
      </c>
      <c r="J95" s="4" t="b">
        <f>_xlfn.IFNA(IF(((INDEX(RulebookFields!I2:I1898, MATCH(D95,RulebookFields!A2:A1898, 0))="")=TRUE),  "",  INDEX(RulebookFields!I2:I1898, MATCH(D95,RulebookFields!A2:A1898, 0))), "")</f>
        <v>0</v>
      </c>
      <c r="K95" s="4" t="b">
        <f>AND(((F95)=TRUE), ((J95)=TRUE))</f>
        <v>0</v>
      </c>
      <c r="L95" s="4" t="b">
        <f>AND(((G95 &lt;&gt; "plain")=TRUE), ((G95 &lt;&gt; "")=TRUE))</f>
        <v>0</v>
      </c>
      <c r="M95" s="4" t="str">
        <f>IF(((E95)=TRUE),  C95 &amp; "|" &amp; H95,  "")</f>
        <v>principal-controller|ChangeRequests</v>
      </c>
      <c r="N95" s="3" t="s">
        <v>10004</v>
      </c>
    </row>
    <row r="96">
      <c r="A96" s="3" t="s">
        <v>10098</v>
      </c>
      <c r="B96" s="4" t="str">
        <f>C96 &amp; " -&gt; " &amp; D96</f>
        <v>principal-controller -&gt; ChangeRequests.DecidedAt</v>
      </c>
      <c r="C96" s="3" t="s">
        <v>9754</v>
      </c>
      <c r="D96" s="3" t="s">
        <v>3923</v>
      </c>
      <c r="E96" s="3" t="b">
        <v>1</v>
      </c>
      <c r="F96" s="3" t="b">
        <v>0</v>
      </c>
      <c r="G96" s="3" t="s">
        <v>10003</v>
      </c>
      <c r="H96" s="4" t="str">
        <f>_xlfn.IFNA(IF(((INDEX(RulebookFields!C2:C1898, MATCH(D96,RulebookFields!A2:A1898, 0))="")=TRUE),  "",  INDEX(RulebookFields!C2:C1898, MATCH(D96,RulebookFields!A2:A1898, 0))), "")</f>
        <v>ChangeRequests</v>
      </c>
      <c r="I96" s="4" t="str">
        <f>_xlfn.IFNA(IF(((INDEX(RulebookFields!D2:D1898, MATCH(D96,RulebookFields!A2:A1898, 0))="")=TRUE),  "",  INDEX(RulebookFields!D2:D1898, MATCH(D96,RulebookFields!A2:A1898, 0))), "")</f>
        <v>DecidedAt</v>
      </c>
      <c r="J96" s="4" t="b">
        <f>_xlfn.IFNA(IF(((INDEX(RulebookFields!I2:I1898, MATCH(D96,RulebookFields!A2:A1898, 0))="")=TRUE),  "",  INDEX(RulebookFields!I2:I1898, MATCH(D96,RulebookFields!A2:A1898, 0))), "")</f>
        <v>0</v>
      </c>
      <c r="K96" s="4" t="b">
        <f>AND(((F96)=TRUE), ((J96)=TRUE))</f>
        <v>0</v>
      </c>
      <c r="L96" s="4" t="b">
        <f>AND(((G96 &lt;&gt; "plain")=TRUE), ((G96 &lt;&gt; "")=TRUE))</f>
        <v>0</v>
      </c>
      <c r="M96" s="4" t="str">
        <f>IF(((E96)=TRUE),  C96 &amp; "|" &amp; H96,  "")</f>
        <v>principal-controller|ChangeRequests</v>
      </c>
      <c r="N96" s="3" t="s">
        <v>10004</v>
      </c>
    </row>
    <row r="97">
      <c r="A97" s="3" t="s">
        <v>10099</v>
      </c>
      <c r="B97" s="4" t="str">
        <f>C97 &amp; " -&gt; " &amp; D97</f>
        <v>principal-controller -&gt; ChangeRequests.ImpactAssessment</v>
      </c>
      <c r="C97" s="3" t="s">
        <v>9754</v>
      </c>
      <c r="D97" s="3" t="s">
        <v>3924</v>
      </c>
      <c r="E97" s="3" t="b">
        <v>1</v>
      </c>
      <c r="F97" s="3" t="b">
        <v>0</v>
      </c>
      <c r="G97" s="3" t="s">
        <v>10003</v>
      </c>
      <c r="H97" s="4" t="str">
        <f>_xlfn.IFNA(IF(((INDEX(RulebookFields!C2:C1898, MATCH(D97,RulebookFields!A2:A1898, 0))="")=TRUE),  "",  INDEX(RulebookFields!C2:C1898, MATCH(D97,RulebookFields!A2:A1898, 0))), "")</f>
        <v>ChangeRequests</v>
      </c>
      <c r="I97" s="4" t="str">
        <f>_xlfn.IFNA(IF(((INDEX(RulebookFields!D2:D1898, MATCH(D97,RulebookFields!A2:A1898, 0))="")=TRUE),  "",  INDEX(RulebookFields!D2:D1898, MATCH(D97,RulebookFields!A2:A1898, 0))), "")</f>
        <v>ImpactAssessment</v>
      </c>
      <c r="J97" s="4" t="b">
        <f>_xlfn.IFNA(IF(((INDEX(RulebookFields!I2:I1898, MATCH(D97,RulebookFields!A2:A1898, 0))="")=TRUE),  "",  INDEX(RulebookFields!I2:I1898, MATCH(D97,RulebookFields!A2:A1898, 0))), "")</f>
        <v>0</v>
      </c>
      <c r="K97" s="4" t="b">
        <f>AND(((F97)=TRUE), ((J97)=TRUE))</f>
        <v>0</v>
      </c>
      <c r="L97" s="4" t="b">
        <f>AND(((G97 &lt;&gt; "plain")=TRUE), ((G97 &lt;&gt; "")=TRUE))</f>
        <v>0</v>
      </c>
      <c r="M97" s="4" t="str">
        <f>IF(((E97)=TRUE),  C97 &amp; "|" &amp; H97,  "")</f>
        <v>principal-controller|ChangeRequests</v>
      </c>
      <c r="N97" s="3" t="s">
        <v>10004</v>
      </c>
    </row>
    <row r="98">
      <c r="A98" s="3" t="s">
        <v>10100</v>
      </c>
      <c r="B98" s="4" t="str">
        <f>C98 &amp; " -&gt; " &amp; D98</f>
        <v>principal-controller -&gt; ChangeRequests.AuthorityRole</v>
      </c>
      <c r="C98" s="3" t="s">
        <v>9754</v>
      </c>
      <c r="D98" s="3" t="s">
        <v>3921</v>
      </c>
      <c r="E98" s="3" t="b">
        <v>1</v>
      </c>
      <c r="F98" s="3" t="b">
        <v>0</v>
      </c>
      <c r="G98" s="3" t="s">
        <v>10003</v>
      </c>
      <c r="H98" s="4" t="str">
        <f>_xlfn.IFNA(IF(((INDEX(RulebookFields!C2:C1898, MATCH(D98,RulebookFields!A2:A1898, 0))="")=TRUE),  "",  INDEX(RulebookFields!C2:C1898, MATCH(D98,RulebookFields!A2:A1898, 0))), "")</f>
        <v>ChangeRequests</v>
      </c>
      <c r="I98" s="4" t="str">
        <f>_xlfn.IFNA(IF(((INDEX(RulebookFields!D2:D1898, MATCH(D98,RulebookFields!A2:A1898, 0))="")=TRUE),  "",  INDEX(RulebookFields!D2:D1898, MATCH(D98,RulebookFields!A2:A1898, 0))), "")</f>
        <v>AuthorityRole</v>
      </c>
      <c r="J98" s="4" t="b">
        <f>_xlfn.IFNA(IF(((INDEX(RulebookFields!I2:I1898, MATCH(D98,RulebookFields!A2:A1898, 0))="")=TRUE),  "",  INDEX(RulebookFields!I2:I1898, MATCH(D98,RulebookFields!A2:A1898, 0))), "")</f>
        <v>0</v>
      </c>
      <c r="K98" s="4" t="b">
        <f>AND(((F98)=TRUE), ((J98)=TRUE))</f>
        <v>0</v>
      </c>
      <c r="L98" s="4" t="b">
        <f>AND(((G98 &lt;&gt; "plain")=TRUE), ((G98 &lt;&gt; "")=TRUE))</f>
        <v>0</v>
      </c>
      <c r="M98" s="4" t="str">
        <f>IF(((E98)=TRUE),  C98 &amp; "|" &amp; H98,  "")</f>
        <v>principal-controller|ChangeRequests</v>
      </c>
      <c r="N98" s="3" t="s">
        <v>10004</v>
      </c>
    </row>
    <row r="99">
      <c r="A99" s="3" t="s">
        <v>10101</v>
      </c>
      <c r="B99" s="4" t="str">
        <f>C99 &amp; " -&gt; " &amp; D99</f>
        <v>principal-controller -&gt; ChangeRequests.IsOpen</v>
      </c>
      <c r="C99" s="3" t="s">
        <v>9754</v>
      </c>
      <c r="D99" s="3" t="s">
        <v>3925</v>
      </c>
      <c r="E99" s="3" t="b">
        <v>1</v>
      </c>
      <c r="F99" s="3" t="b">
        <v>0</v>
      </c>
      <c r="G99" s="3" t="s">
        <v>10003</v>
      </c>
      <c r="H99" s="4" t="str">
        <f>_xlfn.IFNA(IF(((INDEX(RulebookFields!C2:C1898, MATCH(D99,RulebookFields!A2:A1898, 0))="")=TRUE),  "",  INDEX(RulebookFields!C2:C1898, MATCH(D99,RulebookFields!A2:A1898, 0))), "")</f>
        <v>ChangeRequests</v>
      </c>
      <c r="I99" s="4" t="str">
        <f>_xlfn.IFNA(IF(((INDEX(RulebookFields!D2:D1898, MATCH(D99,RulebookFields!A2:A1898, 0))="")=TRUE),  "",  INDEX(RulebookFields!D2:D1898, MATCH(D99,RulebookFields!A2:A1898, 0))), "")</f>
        <v>IsOpen</v>
      </c>
      <c r="J99" s="4" t="b">
        <f>_xlfn.IFNA(IF(((INDEX(RulebookFields!I2:I1898, MATCH(D99,RulebookFields!A2:A1898, 0))="")=TRUE),  "",  INDEX(RulebookFields!I2:I1898, MATCH(D99,RulebookFields!A2:A1898, 0))), "")</f>
        <v>1</v>
      </c>
      <c r="K99" s="4" t="b">
        <f>AND(((F99)=TRUE), ((J99)=TRUE))</f>
        <v>0</v>
      </c>
      <c r="L99" s="4" t="b">
        <f>AND(((G99 &lt;&gt; "plain")=TRUE), ((G99 &lt;&gt; "")=TRUE))</f>
        <v>0</v>
      </c>
      <c r="M99" s="4" t="str">
        <f>IF(((E99)=TRUE),  C99 &amp; "|" &amp; H99,  "")</f>
        <v>principal-controller|ChangeRequests</v>
      </c>
      <c r="N99" s="3" t="s">
        <v>10004</v>
      </c>
    </row>
    <row r="100">
      <c r="A100" s="3" t="s">
        <v>10102</v>
      </c>
      <c r="B100" s="4" t="str">
        <f>C100 &amp; " -&gt; " &amp; D100</f>
        <v>principal-controller -&gt; ChangeRequests.Name</v>
      </c>
      <c r="C100" s="3" t="s">
        <v>9754</v>
      </c>
      <c r="D100" s="3" t="s">
        <v>3915</v>
      </c>
      <c r="E100" s="3" t="b">
        <v>1</v>
      </c>
      <c r="F100" s="3" t="b">
        <v>0</v>
      </c>
      <c r="G100" s="3" t="s">
        <v>10003</v>
      </c>
      <c r="H100" s="4" t="str">
        <f>_xlfn.IFNA(IF(((INDEX(RulebookFields!C2:C1898, MATCH(D100,RulebookFields!A2:A1898, 0))="")=TRUE),  "",  INDEX(RulebookFields!C2:C1898, MATCH(D100,RulebookFields!A2:A1898, 0))), "")</f>
        <v>ChangeRequests</v>
      </c>
      <c r="I100" s="4" t="str">
        <f>_xlfn.IFNA(IF(((INDEX(RulebookFields!D2:D1898, MATCH(D100,RulebookFields!A2:A1898, 0))="")=TRUE),  "",  INDEX(RulebookFields!D2:D1898, MATCH(D100,RulebookFields!A2:A1898, 0))), "")</f>
        <v>Name</v>
      </c>
      <c r="J100" s="4" t="b">
        <f>_xlfn.IFNA(IF(((INDEX(RulebookFields!I2:I1898, MATCH(D100,RulebookFields!A2:A1898, 0))="")=TRUE),  "",  INDEX(RulebookFields!I2:I1898, MATCH(D100,RulebookFields!A2:A1898, 0))), "")</f>
        <v>1</v>
      </c>
      <c r="K100" s="4" t="b">
        <f>AND(((F100)=TRUE), ((J100)=TRUE))</f>
        <v>0</v>
      </c>
      <c r="L100" s="4" t="b">
        <f>AND(((G100 &lt;&gt; "plain")=TRUE), ((G100 &lt;&gt; "")=TRUE))</f>
        <v>0</v>
      </c>
      <c r="M100" s="4" t="str">
        <f>IF(((E100)=TRUE),  C100 &amp; "|" &amp; H100,  "")</f>
        <v>principal-controller|ChangeRequests</v>
      </c>
      <c r="N100" s="3" t="s">
        <v>10004</v>
      </c>
    </row>
    <row r="101">
      <c r="A101" s="3" t="s">
        <v>10103</v>
      </c>
      <c r="B101" s="4" t="str">
        <f>C101 &amp; " -&gt; " &amp; D101</f>
        <v>principal-controller -&gt; KnowledgeFragments.KnowledgeFragmentId</v>
      </c>
      <c r="C101" s="3" t="s">
        <v>9754</v>
      </c>
      <c r="D101" s="3" t="s">
        <v>3225</v>
      </c>
      <c r="E101" s="3" t="b">
        <v>1</v>
      </c>
      <c r="F101" s="3" t="b">
        <v>0</v>
      </c>
      <c r="G101" s="3" t="s">
        <v>10003</v>
      </c>
      <c r="H101" s="4" t="str">
        <f>_xlfn.IFNA(IF(((INDEX(RulebookFields!C2:C1898, MATCH(D101,RulebookFields!A2:A1898, 0))="")=TRUE),  "",  INDEX(RulebookFields!C2:C1898, MATCH(D101,RulebookFields!A2:A1898, 0))), "")</f>
        <v>KnowledgeFragments</v>
      </c>
      <c r="I101" s="4" t="str">
        <f>_xlfn.IFNA(IF(((INDEX(RulebookFields!D2:D1898, MATCH(D101,RulebookFields!A2:A1898, 0))="")=TRUE),  "",  INDEX(RulebookFields!D2:D1898, MATCH(D101,RulebookFields!A2:A1898, 0))), "")</f>
        <v>KnowledgeFragmentId</v>
      </c>
      <c r="J101" s="4" t="b">
        <f>_xlfn.IFNA(IF(((INDEX(RulebookFields!I2:I1898, MATCH(D101,RulebookFields!A2:A1898, 0))="")=TRUE),  "",  INDEX(RulebookFields!I2:I1898, MATCH(D101,RulebookFields!A2:A1898, 0))), "")</f>
        <v>0</v>
      </c>
      <c r="K101" s="4" t="b">
        <f>AND(((F101)=TRUE), ((J101)=TRUE))</f>
        <v>0</v>
      </c>
      <c r="L101" s="4" t="b">
        <f>AND(((G101 &lt;&gt; "plain")=TRUE), ((G101 &lt;&gt; "")=TRUE))</f>
        <v>0</v>
      </c>
      <c r="M101" s="4" t="str">
        <f>IF(((E101)=TRUE),  C101 &amp; "|" &amp; H101,  "")</f>
        <v>principal-controller|KnowledgeFragments</v>
      </c>
      <c r="N101" s="3" t="s">
        <v>10004</v>
      </c>
    </row>
    <row r="102">
      <c r="A102" s="3" t="s">
        <v>10104</v>
      </c>
      <c r="B102" s="4" t="str">
        <f>C102 &amp; " -&gt; " &amp; D102</f>
        <v>principal-controller -&gt; KnowledgeFragments.Statement</v>
      </c>
      <c r="C102" s="3" t="s">
        <v>9754</v>
      </c>
      <c r="D102" s="3" t="s">
        <v>3231</v>
      </c>
      <c r="E102" s="3" t="b">
        <v>1</v>
      </c>
      <c r="F102" s="3" t="b">
        <v>0</v>
      </c>
      <c r="G102" s="3" t="s">
        <v>10003</v>
      </c>
      <c r="H102" s="4" t="str">
        <f>_xlfn.IFNA(IF(((INDEX(RulebookFields!C2:C1898, MATCH(D102,RulebookFields!A2:A1898, 0))="")=TRUE),  "",  INDEX(RulebookFields!C2:C1898, MATCH(D102,RulebookFields!A2:A1898, 0))), "")</f>
        <v>KnowledgeFragments</v>
      </c>
      <c r="I102" s="4" t="str">
        <f>_xlfn.IFNA(IF(((INDEX(RulebookFields!D2:D1898, MATCH(D102,RulebookFields!A2:A1898, 0))="")=TRUE),  "",  INDEX(RulebookFields!D2:D1898, MATCH(D102,RulebookFields!A2:A1898, 0))), "")</f>
        <v>Statement</v>
      </c>
      <c r="J102" s="4" t="b">
        <f>_xlfn.IFNA(IF(((INDEX(RulebookFields!I2:I1898, MATCH(D102,RulebookFields!A2:A1898, 0))="")=TRUE),  "",  INDEX(RulebookFields!I2:I1898, MATCH(D102,RulebookFields!A2:A1898, 0))), "")</f>
        <v>0</v>
      </c>
      <c r="K102" s="4" t="b">
        <f>AND(((F102)=TRUE), ((J102)=TRUE))</f>
        <v>0</v>
      </c>
      <c r="L102" s="4" t="b">
        <f>AND(((G102 &lt;&gt; "plain")=TRUE), ((G102 &lt;&gt; "")=TRUE))</f>
        <v>0</v>
      </c>
      <c r="M102" s="4" t="str">
        <f>IF(((E102)=TRUE),  C102 &amp; "|" &amp; H102,  "")</f>
        <v>principal-controller|KnowledgeFragments</v>
      </c>
      <c r="N102" s="3" t="s">
        <v>10004</v>
      </c>
    </row>
    <row r="103">
      <c r="A103" s="3" t="s">
        <v>10105</v>
      </c>
      <c r="B103" s="4" t="str">
        <f>C103 &amp; " -&gt; " &amp; D103</f>
        <v>principal-controller -&gt; KnowledgeFragments.KnowledgeForm</v>
      </c>
      <c r="C103" s="3" t="s">
        <v>9754</v>
      </c>
      <c r="D103" s="3" t="s">
        <v>3230</v>
      </c>
      <c r="E103" s="3" t="b">
        <v>1</v>
      </c>
      <c r="F103" s="3" t="b">
        <v>0</v>
      </c>
      <c r="G103" s="3" t="s">
        <v>10003</v>
      </c>
      <c r="H103" s="4" t="str">
        <f>_xlfn.IFNA(IF(((INDEX(RulebookFields!C2:C1898, MATCH(D103,RulebookFields!A2:A1898, 0))="")=TRUE),  "",  INDEX(RulebookFields!C2:C1898, MATCH(D103,RulebookFields!A2:A1898, 0))), "")</f>
        <v>KnowledgeFragments</v>
      </c>
      <c r="I103" s="4" t="str">
        <f>_xlfn.IFNA(IF(((INDEX(RulebookFields!D2:D1898, MATCH(D103,RulebookFields!A2:A1898, 0))="")=TRUE),  "",  INDEX(RulebookFields!D2:D1898, MATCH(D103,RulebookFields!A2:A1898, 0))), "")</f>
        <v>KnowledgeForm</v>
      </c>
      <c r="J103" s="4" t="b">
        <f>_xlfn.IFNA(IF(((INDEX(RulebookFields!I2:I1898, MATCH(D103,RulebookFields!A2:A1898, 0))="")=TRUE),  "",  INDEX(RulebookFields!I2:I1898, MATCH(D103,RulebookFields!A2:A1898, 0))), "")</f>
        <v>0</v>
      </c>
      <c r="K103" s="4" t="b">
        <f>AND(((F103)=TRUE), ((J103)=TRUE))</f>
        <v>0</v>
      </c>
      <c r="L103" s="4" t="b">
        <f>AND(((G103 &lt;&gt; "plain")=TRUE), ((G103 &lt;&gt; "")=TRUE))</f>
        <v>0</v>
      </c>
      <c r="M103" s="4" t="str">
        <f>IF(((E103)=TRUE),  C103 &amp; "|" &amp; H103,  "")</f>
        <v>principal-controller|KnowledgeFragments</v>
      </c>
      <c r="N103" s="3" t="s">
        <v>10004</v>
      </c>
    </row>
    <row r="104">
      <c r="A104" s="3" t="s">
        <v>10106</v>
      </c>
      <c r="B104" s="4" t="str">
        <f>C104 &amp; " -&gt; " &amp; D104</f>
        <v>principal-controller -&gt; KnowledgeFragments.Status</v>
      </c>
      <c r="C104" s="3" t="s">
        <v>9754</v>
      </c>
      <c r="D104" s="3" t="s">
        <v>3237</v>
      </c>
      <c r="E104" s="3" t="b">
        <v>1</v>
      </c>
      <c r="F104" s="3" t="b">
        <v>0</v>
      </c>
      <c r="G104" s="3" t="s">
        <v>10003</v>
      </c>
      <c r="H104" s="4" t="str">
        <f>_xlfn.IFNA(IF(((INDEX(RulebookFields!C2:C1898, MATCH(D104,RulebookFields!A2:A1898, 0))="")=TRUE),  "",  INDEX(RulebookFields!C2:C1898, MATCH(D104,RulebookFields!A2:A1898, 0))), "")</f>
        <v>KnowledgeFragments</v>
      </c>
      <c r="I104" s="4" t="str">
        <f>_xlfn.IFNA(IF(((INDEX(RulebookFields!D2:D1898, MATCH(D104,RulebookFields!A2:A1898, 0))="")=TRUE),  "",  INDEX(RulebookFields!D2:D1898, MATCH(D104,RulebookFields!A2:A1898, 0))), "")</f>
        <v>Status</v>
      </c>
      <c r="J104" s="4" t="b">
        <f>_xlfn.IFNA(IF(((INDEX(RulebookFields!I2:I1898, MATCH(D104,RulebookFields!A2:A1898, 0))="")=TRUE),  "",  INDEX(RulebookFields!I2:I1898, MATCH(D104,RulebookFields!A2:A1898, 0))), "")</f>
        <v>0</v>
      </c>
      <c r="K104" s="4" t="b">
        <f>AND(((F104)=TRUE), ((J104)=TRUE))</f>
        <v>0</v>
      </c>
      <c r="L104" s="4" t="b">
        <f>AND(((G104 &lt;&gt; "plain")=TRUE), ((G104 &lt;&gt; "")=TRUE))</f>
        <v>0</v>
      </c>
      <c r="M104" s="4" t="str">
        <f>IF(((E104)=TRUE),  C104 &amp; "|" &amp; H104,  "")</f>
        <v>principal-controller|KnowledgeFragments</v>
      </c>
      <c r="N104" s="3" t="s">
        <v>10004</v>
      </c>
    </row>
    <row r="105">
      <c r="A105" s="3" t="s">
        <v>10107</v>
      </c>
      <c r="B105" s="4" t="str">
        <f>C105 &amp; " -&gt; " &amp; D105</f>
        <v>principal-controller -&gt; KnowledgeFragments.Confidence</v>
      </c>
      <c r="C105" s="3" t="s">
        <v>9754</v>
      </c>
      <c r="D105" s="3" t="s">
        <v>3234</v>
      </c>
      <c r="E105" s="3" t="b">
        <v>1</v>
      </c>
      <c r="F105" s="3" t="b">
        <v>0</v>
      </c>
      <c r="G105" s="3" t="s">
        <v>10003</v>
      </c>
      <c r="H105" s="4" t="str">
        <f>_xlfn.IFNA(IF(((INDEX(RulebookFields!C2:C1898, MATCH(D105,RulebookFields!A2:A1898, 0))="")=TRUE),  "",  INDEX(RulebookFields!C2:C1898, MATCH(D105,RulebookFields!A2:A1898, 0))), "")</f>
        <v>KnowledgeFragments</v>
      </c>
      <c r="I105" s="4" t="str">
        <f>_xlfn.IFNA(IF(((INDEX(RulebookFields!D2:D1898, MATCH(D105,RulebookFields!A2:A1898, 0))="")=TRUE),  "",  INDEX(RulebookFields!D2:D1898, MATCH(D105,RulebookFields!A2:A1898, 0))), "")</f>
        <v>Confidence</v>
      </c>
      <c r="J105" s="4" t="b">
        <f>_xlfn.IFNA(IF(((INDEX(RulebookFields!I2:I1898, MATCH(D105,RulebookFields!A2:A1898, 0))="")=TRUE),  "",  INDEX(RulebookFields!I2:I1898, MATCH(D105,RulebookFields!A2:A1898, 0))), "")</f>
        <v>0</v>
      </c>
      <c r="K105" s="4" t="b">
        <f>AND(((F105)=TRUE), ((J105)=TRUE))</f>
        <v>0</v>
      </c>
      <c r="L105" s="4" t="b">
        <f>AND(((G105 &lt;&gt; "plain")=TRUE), ((G105 &lt;&gt; "")=TRUE))</f>
        <v>0</v>
      </c>
      <c r="M105" s="4" t="str">
        <f>IF(((E105)=TRUE),  C105 &amp; "|" &amp; H105,  "")</f>
        <v>principal-controller|KnowledgeFragments</v>
      </c>
      <c r="N105" s="3" t="s">
        <v>10004</v>
      </c>
    </row>
    <row r="106">
      <c r="A106" s="3" t="s">
        <v>10108</v>
      </c>
      <c r="B106" s="4" t="str">
        <f>C106 &amp; " -&gt; " &amp; D106</f>
        <v>principal-controller -&gt; KnowledgeFragments.OwnerRole</v>
      </c>
      <c r="C106" s="3" t="s">
        <v>9754</v>
      </c>
      <c r="D106" s="3" t="s">
        <v>3238</v>
      </c>
      <c r="E106" s="3" t="b">
        <v>1</v>
      </c>
      <c r="F106" s="3" t="b">
        <v>0</v>
      </c>
      <c r="G106" s="3" t="s">
        <v>10003</v>
      </c>
      <c r="H106" s="4" t="str">
        <f>_xlfn.IFNA(IF(((INDEX(RulebookFields!C2:C1898, MATCH(D106,RulebookFields!A2:A1898, 0))="")=TRUE),  "",  INDEX(RulebookFields!C2:C1898, MATCH(D106,RulebookFields!A2:A1898, 0))), "")</f>
        <v>KnowledgeFragments</v>
      </c>
      <c r="I106" s="4" t="str">
        <f>_xlfn.IFNA(IF(((INDEX(RulebookFields!D2:D1898, MATCH(D106,RulebookFields!A2:A1898, 0))="")=TRUE),  "",  INDEX(RulebookFields!D2:D1898, MATCH(D106,RulebookFields!A2:A1898, 0))), "")</f>
        <v>OwnerRole</v>
      </c>
      <c r="J106" s="4" t="b">
        <f>_xlfn.IFNA(IF(((INDEX(RulebookFields!I2:I1898, MATCH(D106,RulebookFields!A2:A1898, 0))="")=TRUE),  "",  INDEX(RulebookFields!I2:I1898, MATCH(D106,RulebookFields!A2:A1898, 0))), "")</f>
        <v>0</v>
      </c>
      <c r="K106" s="4" t="b">
        <f>AND(((F106)=TRUE), ((J106)=TRUE))</f>
        <v>0</v>
      </c>
      <c r="L106" s="4" t="b">
        <f>AND(((G106 &lt;&gt; "plain")=TRUE), ((G106 &lt;&gt; "")=TRUE))</f>
        <v>0</v>
      </c>
      <c r="M106" s="4" t="str">
        <f>IF(((E106)=TRUE),  C106 &amp; "|" &amp; H106,  "")</f>
        <v>principal-controller|KnowledgeFragments</v>
      </c>
      <c r="N106" s="3" t="s">
        <v>10004</v>
      </c>
    </row>
    <row r="107">
      <c r="A107" s="3" t="s">
        <v>10109</v>
      </c>
      <c r="B107" s="4" t="str">
        <f>C107 &amp; " -&gt; " &amp; D107</f>
        <v>principal-controller -&gt; KnowledgeFragments.LastReviewedAt</v>
      </c>
      <c r="C107" s="3" t="s">
        <v>9754</v>
      </c>
      <c r="D107" s="3" t="s">
        <v>3311</v>
      </c>
      <c r="E107" s="3" t="b">
        <v>1</v>
      </c>
      <c r="F107" s="3" t="b">
        <v>0</v>
      </c>
      <c r="G107" s="3" t="s">
        <v>10003</v>
      </c>
      <c r="H107" s="4" t="str">
        <f>_xlfn.IFNA(IF(((INDEX(RulebookFields!C2:C1898, MATCH(D107,RulebookFields!A2:A1898, 0))="")=TRUE),  "",  INDEX(RulebookFields!C2:C1898, MATCH(D107,RulebookFields!A2:A1898, 0))), "")</f>
        <v>KnowledgeFragments</v>
      </c>
      <c r="I107" s="4" t="str">
        <f>_xlfn.IFNA(IF(((INDEX(RulebookFields!D2:D1898, MATCH(D107,RulebookFields!A2:A1898, 0))="")=TRUE),  "",  INDEX(RulebookFields!D2:D1898, MATCH(D107,RulebookFields!A2:A1898, 0))), "")</f>
        <v>LastReviewedAt</v>
      </c>
      <c r="J107" s="4" t="b">
        <f>_xlfn.IFNA(IF(((INDEX(RulebookFields!I2:I1898, MATCH(D107,RulebookFields!A2:A1898, 0))="")=TRUE),  "",  INDEX(RulebookFields!I2:I1898, MATCH(D107,RulebookFields!A2:A1898, 0))), "")</f>
        <v>0</v>
      </c>
      <c r="K107" s="4" t="b">
        <f>AND(((F107)=TRUE), ((J107)=TRUE))</f>
        <v>0</v>
      </c>
      <c r="L107" s="4" t="b">
        <f>AND(((G107 &lt;&gt; "plain")=TRUE), ((G107 &lt;&gt; "")=TRUE))</f>
        <v>0</v>
      </c>
      <c r="M107" s="4" t="str">
        <f>IF(((E107)=TRUE),  C107 &amp; "|" &amp; H107,  "")</f>
        <v>principal-controller|KnowledgeFragments</v>
      </c>
      <c r="N107" s="3" t="s">
        <v>10004</v>
      </c>
    </row>
    <row r="108">
      <c r="A108" s="3" t="s">
        <v>10110</v>
      </c>
      <c r="B108" s="4" t="str">
        <f>C108 &amp; " -&gt; " &amp; D108</f>
        <v>principal-controller -&gt; KnowledgeFragments.Name</v>
      </c>
      <c r="C108" s="3" t="s">
        <v>9754</v>
      </c>
      <c r="D108" s="3" t="s">
        <v>3226</v>
      </c>
      <c r="E108" s="3" t="b">
        <v>1</v>
      </c>
      <c r="F108" s="3" t="b">
        <v>0</v>
      </c>
      <c r="G108" s="3" t="s">
        <v>10003</v>
      </c>
      <c r="H108" s="4" t="str">
        <f>_xlfn.IFNA(IF(((INDEX(RulebookFields!C2:C1898, MATCH(D108,RulebookFields!A2:A1898, 0))="")=TRUE),  "",  INDEX(RulebookFields!C2:C1898, MATCH(D108,RulebookFields!A2:A1898, 0))), "")</f>
        <v>KnowledgeFragments</v>
      </c>
      <c r="I108" s="4" t="str">
        <f>_xlfn.IFNA(IF(((INDEX(RulebookFields!D2:D1898, MATCH(D108,RulebookFields!A2:A1898, 0))="")=TRUE),  "",  INDEX(RulebookFields!D2:D1898, MATCH(D108,RulebookFields!A2:A1898, 0))), "")</f>
        <v>Name</v>
      </c>
      <c r="J108" s="4" t="b">
        <f>_xlfn.IFNA(IF(((INDEX(RulebookFields!I2:I1898, MATCH(D108,RulebookFields!A2:A1898, 0))="")=TRUE),  "",  INDEX(RulebookFields!I2:I1898, MATCH(D108,RulebookFields!A2:A1898, 0))), "")</f>
        <v>1</v>
      </c>
      <c r="K108" s="4" t="b">
        <f>AND(((F108)=TRUE), ((J108)=TRUE))</f>
        <v>0</v>
      </c>
      <c r="L108" s="4" t="b">
        <f>AND(((G108 &lt;&gt; "plain")=TRUE), ((G108 &lt;&gt; "")=TRUE))</f>
        <v>0</v>
      </c>
      <c r="M108" s="4" t="str">
        <f>IF(((E108)=TRUE),  C108 &amp; "|" &amp; H108,  "")</f>
        <v>principal-controller|KnowledgeFragments</v>
      </c>
      <c r="N108" s="3" t="s">
        <v>10004</v>
      </c>
    </row>
    <row r="109">
      <c r="A109" s="3" t="s">
        <v>10111</v>
      </c>
      <c r="B109" s="4" t="str">
        <f>C109 &amp; " -&gt; " &amp; D109</f>
        <v>principal-controller -&gt; Requirements.RequirementId</v>
      </c>
      <c r="C109" s="3" t="s">
        <v>9754</v>
      </c>
      <c r="D109" s="3" t="s">
        <v>3045</v>
      </c>
      <c r="E109" s="3" t="b">
        <v>1</v>
      </c>
      <c r="F109" s="3" t="b">
        <v>0</v>
      </c>
      <c r="G109" s="3" t="s">
        <v>10003</v>
      </c>
      <c r="H109" s="4" t="str">
        <f>_xlfn.IFNA(IF(((INDEX(RulebookFields!C2:C1898, MATCH(D109,RulebookFields!A2:A1898, 0))="")=TRUE),  "",  INDEX(RulebookFields!C2:C1898, MATCH(D109,RulebookFields!A2:A1898, 0))), "")</f>
        <v>Requirements</v>
      </c>
      <c r="I109" s="4" t="str">
        <f>_xlfn.IFNA(IF(((INDEX(RulebookFields!D2:D1898, MATCH(D109,RulebookFields!A2:A1898, 0))="")=TRUE),  "",  INDEX(RulebookFields!D2:D1898, MATCH(D109,RulebookFields!A2:A1898, 0))), "")</f>
        <v>RequirementId</v>
      </c>
      <c r="J109" s="4" t="b">
        <f>_xlfn.IFNA(IF(((INDEX(RulebookFields!I2:I1898, MATCH(D109,RulebookFields!A2:A1898, 0))="")=TRUE),  "",  INDEX(RulebookFields!I2:I1898, MATCH(D109,RulebookFields!A2:A1898, 0))), "")</f>
        <v>0</v>
      </c>
      <c r="K109" s="4" t="b">
        <f>AND(((F109)=TRUE), ((J109)=TRUE))</f>
        <v>0</v>
      </c>
      <c r="L109" s="4" t="b">
        <f>AND(((G109 &lt;&gt; "plain")=TRUE), ((G109 &lt;&gt; "")=TRUE))</f>
        <v>0</v>
      </c>
      <c r="M109" s="4" t="str">
        <f>IF(((E109)=TRUE),  C109 &amp; "|" &amp; H109,  "")</f>
        <v>principal-controller|Requirements</v>
      </c>
      <c r="N109" s="3" t="s">
        <v>10004</v>
      </c>
    </row>
    <row r="110">
      <c r="A110" s="3" t="s">
        <v>10112</v>
      </c>
      <c r="B110" s="4" t="str">
        <f>C110 &amp; " -&gt; " &amp; D110</f>
        <v>principal-controller -&gt; Requirements.Label</v>
      </c>
      <c r="C110" s="3" t="s">
        <v>9754</v>
      </c>
      <c r="D110" s="3" t="s">
        <v>3047</v>
      </c>
      <c r="E110" s="3" t="b">
        <v>1</v>
      </c>
      <c r="F110" s="3" t="b">
        <v>0</v>
      </c>
      <c r="G110" s="3" t="s">
        <v>10003</v>
      </c>
      <c r="H110" s="4" t="str">
        <f>_xlfn.IFNA(IF(((INDEX(RulebookFields!C2:C1898, MATCH(D110,RulebookFields!A2:A1898, 0))="")=TRUE),  "",  INDEX(RulebookFields!C2:C1898, MATCH(D110,RulebookFields!A2:A1898, 0))), "")</f>
        <v>Requirements</v>
      </c>
      <c r="I110" s="4" t="str">
        <f>_xlfn.IFNA(IF(((INDEX(RulebookFields!D2:D1898, MATCH(D110,RulebookFields!A2:A1898, 0))="")=TRUE),  "",  INDEX(RulebookFields!D2:D1898, MATCH(D110,RulebookFields!A2:A1898, 0))), "")</f>
        <v>Label</v>
      </c>
      <c r="J110" s="4" t="b">
        <f>_xlfn.IFNA(IF(((INDEX(RulebookFields!I2:I1898, MATCH(D110,RulebookFields!A2:A1898, 0))="")=TRUE),  "",  INDEX(RulebookFields!I2:I1898, MATCH(D110,RulebookFields!A2:A1898, 0))), "")</f>
        <v>0</v>
      </c>
      <c r="K110" s="4" t="b">
        <f>AND(((F110)=TRUE), ((J110)=TRUE))</f>
        <v>0</v>
      </c>
      <c r="L110" s="4" t="b">
        <f>AND(((G110 &lt;&gt; "plain")=TRUE), ((G110 &lt;&gt; "")=TRUE))</f>
        <v>0</v>
      </c>
      <c r="M110" s="4" t="str">
        <f>IF(((E110)=TRUE),  C110 &amp; "|" &amp; H110,  "")</f>
        <v>principal-controller|Requirements</v>
      </c>
      <c r="N110" s="3" t="s">
        <v>10004</v>
      </c>
    </row>
    <row r="111">
      <c r="A111" s="3" t="s">
        <v>10113</v>
      </c>
      <c r="B111" s="4" t="str">
        <f>C111 &amp; " -&gt; " &amp; D111</f>
        <v>principal-controller -&gt; Requirements.Statement</v>
      </c>
      <c r="C111" s="3" t="s">
        <v>9754</v>
      </c>
      <c r="D111" s="3" t="s">
        <v>3049</v>
      </c>
      <c r="E111" s="3" t="b">
        <v>1</v>
      </c>
      <c r="F111" s="3" t="b">
        <v>0</v>
      </c>
      <c r="G111" s="3" t="s">
        <v>10003</v>
      </c>
      <c r="H111" s="4" t="str">
        <f>_xlfn.IFNA(IF(((INDEX(RulebookFields!C2:C1898, MATCH(D111,RulebookFields!A2:A1898, 0))="")=TRUE),  "",  INDEX(RulebookFields!C2:C1898, MATCH(D111,RulebookFields!A2:A1898, 0))), "")</f>
        <v>Requirements</v>
      </c>
      <c r="I111" s="4" t="str">
        <f>_xlfn.IFNA(IF(((INDEX(RulebookFields!D2:D1898, MATCH(D111,RulebookFields!A2:A1898, 0))="")=TRUE),  "",  INDEX(RulebookFields!D2:D1898, MATCH(D111,RulebookFields!A2:A1898, 0))), "")</f>
        <v>Statement</v>
      </c>
      <c r="J111" s="4" t="b">
        <f>_xlfn.IFNA(IF(((INDEX(RulebookFields!I2:I1898, MATCH(D111,RulebookFields!A2:A1898, 0))="")=TRUE),  "",  INDEX(RulebookFields!I2:I1898, MATCH(D111,RulebookFields!A2:A1898, 0))), "")</f>
        <v>0</v>
      </c>
      <c r="K111" s="4" t="b">
        <f>AND(((F111)=TRUE), ((J111)=TRUE))</f>
        <v>0</v>
      </c>
      <c r="L111" s="4" t="b">
        <f>AND(((G111 &lt;&gt; "plain")=TRUE), ((G111 &lt;&gt; "")=TRUE))</f>
        <v>0</v>
      </c>
      <c r="M111" s="4" t="str">
        <f>IF(((E111)=TRUE),  C111 &amp; "|" &amp; H111,  "")</f>
        <v>principal-controller|Requirements</v>
      </c>
      <c r="N111" s="3" t="s">
        <v>10004</v>
      </c>
    </row>
    <row r="112">
      <c r="A112" s="3" t="s">
        <v>10114</v>
      </c>
      <c r="B112" s="4" t="str">
        <f>C112 &amp; " -&gt; " &amp; D112</f>
        <v>principal-controller -&gt; Requirements.IsBlocking</v>
      </c>
      <c r="C112" s="3" t="s">
        <v>9754</v>
      </c>
      <c r="D112" s="3" t="s">
        <v>3051</v>
      </c>
      <c r="E112" s="3" t="b">
        <v>1</v>
      </c>
      <c r="F112" s="3" t="b">
        <v>0</v>
      </c>
      <c r="G112" s="3" t="s">
        <v>10003</v>
      </c>
      <c r="H112" s="4" t="str">
        <f>_xlfn.IFNA(IF(((INDEX(RulebookFields!C2:C1898, MATCH(D112,RulebookFields!A2:A1898, 0))="")=TRUE),  "",  INDEX(RulebookFields!C2:C1898, MATCH(D112,RulebookFields!A2:A1898, 0))), "")</f>
        <v>Requirements</v>
      </c>
      <c r="I112" s="4" t="str">
        <f>_xlfn.IFNA(IF(((INDEX(RulebookFields!D2:D1898, MATCH(D112,RulebookFields!A2:A1898, 0))="")=TRUE),  "",  INDEX(RulebookFields!D2:D1898, MATCH(D112,RulebookFields!A2:A1898, 0))), "")</f>
        <v>IsBlocking</v>
      </c>
      <c r="J112" s="4" t="b">
        <f>_xlfn.IFNA(IF(((INDEX(RulebookFields!I2:I1898, MATCH(D112,RulebookFields!A2:A1898, 0))="")=TRUE),  "",  INDEX(RulebookFields!I2:I1898, MATCH(D112,RulebookFields!A2:A1898, 0))), "")</f>
        <v>0</v>
      </c>
      <c r="K112" s="4" t="b">
        <f>AND(((F112)=TRUE), ((J112)=TRUE))</f>
        <v>0</v>
      </c>
      <c r="L112" s="4" t="b">
        <f>AND(((G112 &lt;&gt; "plain")=TRUE), ((G112 &lt;&gt; "")=TRUE))</f>
        <v>0</v>
      </c>
      <c r="M112" s="4" t="str">
        <f>IF(((E112)=TRUE),  C112 &amp; "|" &amp; H112,  "")</f>
        <v>principal-controller|Requirements</v>
      </c>
      <c r="N112" s="3" t="s">
        <v>10004</v>
      </c>
    </row>
    <row r="113">
      <c r="A113" s="3" t="s">
        <v>10115</v>
      </c>
      <c r="B113" s="4" t="str">
        <f>C113 &amp; " -&gt; " &amp; D113</f>
        <v>principal-controller -&gt; Requirements.AccountableRole</v>
      </c>
      <c r="C113" s="3" t="s">
        <v>9754</v>
      </c>
      <c r="D113" s="3" t="s">
        <v>3101</v>
      </c>
      <c r="E113" s="3" t="b">
        <v>1</v>
      </c>
      <c r="F113" s="3" t="b">
        <v>0</v>
      </c>
      <c r="G113" s="3" t="s">
        <v>10003</v>
      </c>
      <c r="H113" s="4" t="str">
        <f>_xlfn.IFNA(IF(((INDEX(RulebookFields!C2:C1898, MATCH(D113,RulebookFields!A2:A1898, 0))="")=TRUE),  "",  INDEX(RulebookFields!C2:C1898, MATCH(D113,RulebookFields!A2:A1898, 0))), "")</f>
        <v>Requirements</v>
      </c>
      <c r="I113" s="4" t="str">
        <f>_xlfn.IFNA(IF(((INDEX(RulebookFields!D2:D1898, MATCH(D113,RulebookFields!A2:A1898, 0))="")=TRUE),  "",  INDEX(RulebookFields!D2:D1898, MATCH(D113,RulebookFields!A2:A1898, 0))), "")</f>
        <v>AccountableRole</v>
      </c>
      <c r="J113" s="4" t="b">
        <f>_xlfn.IFNA(IF(((INDEX(RulebookFields!I2:I1898, MATCH(D113,RulebookFields!A2:A1898, 0))="")=TRUE),  "",  INDEX(RulebookFields!I2:I1898, MATCH(D113,RulebookFields!A2:A1898, 0))), "")</f>
        <v>0</v>
      </c>
      <c r="K113" s="4" t="b">
        <f>AND(((F113)=TRUE), ((J113)=TRUE))</f>
        <v>0</v>
      </c>
      <c r="L113" s="4" t="b">
        <f>AND(((G113 &lt;&gt; "plain")=TRUE), ((G113 &lt;&gt; "")=TRUE))</f>
        <v>0</v>
      </c>
      <c r="M113" s="4" t="str">
        <f>IF(((E113)=TRUE),  C113 &amp; "|" &amp; H113,  "")</f>
        <v>principal-controller|Requirements</v>
      </c>
      <c r="N113" s="3" t="s">
        <v>10004</v>
      </c>
    </row>
    <row r="114">
      <c r="A114" s="3" t="s">
        <v>10116</v>
      </c>
      <c r="B114" s="4" t="str">
        <f>C114 &amp; " -&gt; " &amp; D114</f>
        <v>principal-controller -&gt; Requirements.Name</v>
      </c>
      <c r="C114" s="3" t="s">
        <v>9754</v>
      </c>
      <c r="D114" s="3" t="s">
        <v>3046</v>
      </c>
      <c r="E114" s="3" t="b">
        <v>1</v>
      </c>
      <c r="F114" s="3" t="b">
        <v>0</v>
      </c>
      <c r="G114" s="3" t="s">
        <v>10003</v>
      </c>
      <c r="H114" s="4" t="str">
        <f>_xlfn.IFNA(IF(((INDEX(RulebookFields!C2:C1898, MATCH(D114,RulebookFields!A2:A1898, 0))="")=TRUE),  "",  INDEX(RulebookFields!C2:C1898, MATCH(D114,RulebookFields!A2:A1898, 0))), "")</f>
        <v>Requirements</v>
      </c>
      <c r="I114" s="4" t="str">
        <f>_xlfn.IFNA(IF(((INDEX(RulebookFields!D2:D1898, MATCH(D114,RulebookFields!A2:A1898, 0))="")=TRUE),  "",  INDEX(RulebookFields!D2:D1898, MATCH(D114,RulebookFields!A2:A1898, 0))), "")</f>
        <v>Name</v>
      </c>
      <c r="J114" s="4" t="b">
        <f>_xlfn.IFNA(IF(((INDEX(RulebookFields!I2:I1898, MATCH(D114,RulebookFields!A2:A1898, 0))="")=TRUE),  "",  INDEX(RulebookFields!I2:I1898, MATCH(D114,RulebookFields!A2:A1898, 0))), "")</f>
        <v>1</v>
      </c>
      <c r="K114" s="4" t="b">
        <f>AND(((F114)=TRUE), ((J114)=TRUE))</f>
        <v>0</v>
      </c>
      <c r="L114" s="4" t="b">
        <f>AND(((G114 &lt;&gt; "plain")=TRUE), ((G114 &lt;&gt; "")=TRUE))</f>
        <v>0</v>
      </c>
      <c r="M114" s="4" t="str">
        <f>IF(((E114)=TRUE),  C114 &amp; "|" &amp; H114,  "")</f>
        <v>principal-controller|Requirements</v>
      </c>
      <c r="N114" s="3" t="s">
        <v>10004</v>
      </c>
    </row>
    <row r="115">
      <c r="A115" s="3" t="s">
        <v>10117</v>
      </c>
      <c r="B115" s="4" t="str">
        <f>C115 &amp; " -&gt; " &amp; D115</f>
        <v>principal-controller -&gt; ProcedureVersions.ProcedureVersionId</v>
      </c>
      <c r="C115" s="3" t="s">
        <v>9754</v>
      </c>
      <c r="D115" s="3" t="s">
        <v>2693</v>
      </c>
      <c r="E115" s="3" t="b">
        <v>1</v>
      </c>
      <c r="F115" s="3" t="b">
        <v>0</v>
      </c>
      <c r="G115" s="3" t="s">
        <v>10003</v>
      </c>
      <c r="H115" s="4" t="str">
        <f>_xlfn.IFNA(IF(((INDEX(RulebookFields!C2:C1898, MATCH(D115,RulebookFields!A2:A1898, 0))="")=TRUE),  "",  INDEX(RulebookFields!C2:C1898, MATCH(D115,RulebookFields!A2:A1898, 0))), "")</f>
        <v>ProcedureVersions</v>
      </c>
      <c r="I115" s="4" t="str">
        <f>_xlfn.IFNA(IF(((INDEX(RulebookFields!D2:D1898, MATCH(D115,RulebookFields!A2:A1898, 0))="")=TRUE),  "",  INDEX(RulebookFields!D2:D1898, MATCH(D115,RulebookFields!A2:A1898, 0))), "")</f>
        <v>ProcedureVersionId</v>
      </c>
      <c r="J115" s="4" t="b">
        <f>_xlfn.IFNA(IF(((INDEX(RulebookFields!I2:I1898, MATCH(D115,RulebookFields!A2:A1898, 0))="")=TRUE),  "",  INDEX(RulebookFields!I2:I1898, MATCH(D115,RulebookFields!A2:A1898, 0))), "")</f>
        <v>0</v>
      </c>
      <c r="K115" s="4" t="b">
        <f>AND(((F115)=TRUE), ((J115)=TRUE))</f>
        <v>0</v>
      </c>
      <c r="L115" s="4" t="b">
        <f>AND(((G115 &lt;&gt; "plain")=TRUE), ((G115 &lt;&gt; "")=TRUE))</f>
        <v>0</v>
      </c>
      <c r="M115" s="4" t="str">
        <f>IF(((E115)=TRUE),  C115 &amp; "|" &amp; H115,  "")</f>
        <v>principal-controller|ProcedureVersions</v>
      </c>
      <c r="N115" s="3" t="s">
        <v>10004</v>
      </c>
    </row>
    <row r="116">
      <c r="A116" s="3" t="s">
        <v>10118</v>
      </c>
      <c r="B116" s="4" t="str">
        <f>C116 &amp; " -&gt; " &amp; D116</f>
        <v>principal-controller -&gt; ProcedureVersions.VersionNumber</v>
      </c>
      <c r="C116" s="3" t="s">
        <v>9754</v>
      </c>
      <c r="D116" s="3" t="s">
        <v>1770</v>
      </c>
      <c r="E116" s="3" t="b">
        <v>1</v>
      </c>
      <c r="F116" s="3" t="b">
        <v>0</v>
      </c>
      <c r="G116" s="3" t="s">
        <v>10003</v>
      </c>
      <c r="H116" s="4" t="str">
        <f>_xlfn.IFNA(IF(((INDEX(RulebookFields!C2:C1898, MATCH(D116,RulebookFields!A2:A1898, 0))="")=TRUE),  "",  INDEX(RulebookFields!C2:C1898, MATCH(D116,RulebookFields!A2:A1898, 0))), "")</f>
        <v>ProcedureVersions</v>
      </c>
      <c r="I116" s="4" t="str">
        <f>_xlfn.IFNA(IF(((INDEX(RulebookFields!D2:D1898, MATCH(D116,RulebookFields!A2:A1898, 0))="")=TRUE),  "",  INDEX(RulebookFields!D2:D1898, MATCH(D116,RulebookFields!A2:A1898, 0))), "")</f>
        <v>VersionNumber</v>
      </c>
      <c r="J116" s="4" t="b">
        <f>_xlfn.IFNA(IF(((INDEX(RulebookFields!I2:I1898, MATCH(D116,RulebookFields!A2:A1898, 0))="")=TRUE),  "",  INDEX(RulebookFields!I2:I1898, MATCH(D116,RulebookFields!A2:A1898, 0))), "")</f>
        <v>0</v>
      </c>
      <c r="K116" s="4" t="b">
        <f>AND(((F116)=TRUE), ((J116)=TRUE))</f>
        <v>0</v>
      </c>
      <c r="L116" s="4" t="b">
        <f>AND(((G116 &lt;&gt; "plain")=TRUE), ((G116 &lt;&gt; "")=TRUE))</f>
        <v>0</v>
      </c>
      <c r="M116" s="4" t="str">
        <f>IF(((E116)=TRUE),  C116 &amp; "|" &amp; H116,  "")</f>
        <v>principal-controller|ProcedureVersions</v>
      </c>
      <c r="N116" s="3" t="s">
        <v>10004</v>
      </c>
    </row>
    <row r="117">
      <c r="A117" s="3" t="s">
        <v>10119</v>
      </c>
      <c r="B117" s="4" t="str">
        <f>C117 &amp; " -&gt; " &amp; D117</f>
        <v>principal-controller -&gt; ProcedureVersions.Title</v>
      </c>
      <c r="C117" s="3" t="s">
        <v>9754</v>
      </c>
      <c r="D117" s="3" t="s">
        <v>2696</v>
      </c>
      <c r="E117" s="3" t="b">
        <v>1</v>
      </c>
      <c r="F117" s="3" t="b">
        <v>0</v>
      </c>
      <c r="G117" s="3" t="s">
        <v>10003</v>
      </c>
      <c r="H117" s="4" t="str">
        <f>_xlfn.IFNA(IF(((INDEX(RulebookFields!C2:C1898, MATCH(D117,RulebookFields!A2:A1898, 0))="")=TRUE),  "",  INDEX(RulebookFields!C2:C1898, MATCH(D117,RulebookFields!A2:A1898, 0))), "")</f>
        <v>ProcedureVersions</v>
      </c>
      <c r="I117" s="4" t="str">
        <f>_xlfn.IFNA(IF(((INDEX(RulebookFields!D2:D1898, MATCH(D117,RulebookFields!A2:A1898, 0))="")=TRUE),  "",  INDEX(RulebookFields!D2:D1898, MATCH(D117,RulebookFields!A2:A1898, 0))), "")</f>
        <v>Title</v>
      </c>
      <c r="J117" s="4" t="b">
        <f>_xlfn.IFNA(IF(((INDEX(RulebookFields!I2:I1898, MATCH(D117,RulebookFields!A2:A1898, 0))="")=TRUE),  "",  INDEX(RulebookFields!I2:I1898, MATCH(D117,RulebookFields!A2:A1898, 0))), "")</f>
        <v>0</v>
      </c>
      <c r="K117" s="4" t="b">
        <f>AND(((F117)=TRUE), ((J117)=TRUE))</f>
        <v>0</v>
      </c>
      <c r="L117" s="4" t="b">
        <f>AND(((G117 &lt;&gt; "plain")=TRUE), ((G117 &lt;&gt; "")=TRUE))</f>
        <v>0</v>
      </c>
      <c r="M117" s="4" t="str">
        <f>IF(((E117)=TRUE),  C117 &amp; "|" &amp; H117,  "")</f>
        <v>principal-controller|ProcedureVersions</v>
      </c>
      <c r="N117" s="3" t="s">
        <v>10004</v>
      </c>
    </row>
    <row r="118">
      <c r="A118" s="3" t="s">
        <v>10120</v>
      </c>
      <c r="B118" s="4" t="str">
        <f>C118 &amp; " -&gt; " &amp; D118</f>
        <v>principal-controller -&gt; ProcedureVersions.Status</v>
      </c>
      <c r="C118" s="3" t="s">
        <v>9754</v>
      </c>
      <c r="D118" s="3" t="s">
        <v>2697</v>
      </c>
      <c r="E118" s="3" t="b">
        <v>1</v>
      </c>
      <c r="F118" s="3" t="b">
        <v>0</v>
      </c>
      <c r="G118" s="3" t="s">
        <v>10003</v>
      </c>
      <c r="H118" s="4" t="str">
        <f>_xlfn.IFNA(IF(((INDEX(RulebookFields!C2:C1898, MATCH(D118,RulebookFields!A2:A1898, 0))="")=TRUE),  "",  INDEX(RulebookFields!C2:C1898, MATCH(D118,RulebookFields!A2:A1898, 0))), "")</f>
        <v>ProcedureVersions</v>
      </c>
      <c r="I118" s="4" t="str">
        <f>_xlfn.IFNA(IF(((INDEX(RulebookFields!D2:D1898, MATCH(D118,RulebookFields!A2:A1898, 0))="")=TRUE),  "",  INDEX(RulebookFields!D2:D1898, MATCH(D118,RulebookFields!A2:A1898, 0))), "")</f>
        <v>Status</v>
      </c>
      <c r="J118" s="4" t="b">
        <f>_xlfn.IFNA(IF(((INDEX(RulebookFields!I2:I1898, MATCH(D118,RulebookFields!A2:A1898, 0))="")=TRUE),  "",  INDEX(RulebookFields!I2:I1898, MATCH(D118,RulebookFields!A2:A1898, 0))), "")</f>
        <v>0</v>
      </c>
      <c r="K118" s="4" t="b">
        <f>AND(((F118)=TRUE), ((J118)=TRUE))</f>
        <v>0</v>
      </c>
      <c r="L118" s="4" t="b">
        <f>AND(((G118 &lt;&gt; "plain")=TRUE), ((G118 &lt;&gt; "")=TRUE))</f>
        <v>0</v>
      </c>
      <c r="M118" s="4" t="str">
        <f>IF(((E118)=TRUE),  C118 &amp; "|" &amp; H118,  "")</f>
        <v>principal-controller|ProcedureVersions</v>
      </c>
      <c r="N118" s="3" t="s">
        <v>10004</v>
      </c>
    </row>
    <row r="119">
      <c r="A119" s="3" t="s">
        <v>10121</v>
      </c>
      <c r="B119" s="4" t="str">
        <f>C119 &amp; " -&gt; " &amp; D119</f>
        <v>principal-controller -&gt; ProcedureVersions.IsCurrent</v>
      </c>
      <c r="C119" s="3" t="s">
        <v>9754</v>
      </c>
      <c r="D119" s="3" t="s">
        <v>2704</v>
      </c>
      <c r="E119" s="3" t="b">
        <v>1</v>
      </c>
      <c r="F119" s="3" t="b">
        <v>0</v>
      </c>
      <c r="G119" s="3" t="s">
        <v>10003</v>
      </c>
      <c r="H119" s="4" t="str">
        <f>_xlfn.IFNA(IF(((INDEX(RulebookFields!C2:C1898, MATCH(D119,RulebookFields!A2:A1898, 0))="")=TRUE),  "",  INDEX(RulebookFields!C2:C1898, MATCH(D119,RulebookFields!A2:A1898, 0))), "")</f>
        <v>ProcedureVersions</v>
      </c>
      <c r="I119" s="4" t="str">
        <f>_xlfn.IFNA(IF(((INDEX(RulebookFields!D2:D1898, MATCH(D119,RulebookFields!A2:A1898, 0))="")=TRUE),  "",  INDEX(RulebookFields!D2:D1898, MATCH(D119,RulebookFields!A2:A1898, 0))), "")</f>
        <v>IsCurrent</v>
      </c>
      <c r="J119" s="4" t="b">
        <f>_xlfn.IFNA(IF(((INDEX(RulebookFields!I2:I1898, MATCH(D119,RulebookFields!A2:A1898, 0))="")=TRUE),  "",  INDEX(RulebookFields!I2:I1898, MATCH(D119,RulebookFields!A2:A1898, 0))), "")</f>
        <v>0</v>
      </c>
      <c r="K119" s="4" t="b">
        <f>AND(((F119)=TRUE), ((J119)=TRUE))</f>
        <v>0</v>
      </c>
      <c r="L119" s="4" t="b">
        <f>AND(((G119 &lt;&gt; "plain")=TRUE), ((G119 &lt;&gt; "")=TRUE))</f>
        <v>0</v>
      </c>
      <c r="M119" s="4" t="str">
        <f>IF(((E119)=TRUE),  C119 &amp; "|" &amp; H119,  "")</f>
        <v>principal-controller|ProcedureVersions</v>
      </c>
      <c r="N119" s="3" t="s">
        <v>10004</v>
      </c>
    </row>
    <row r="120">
      <c r="A120" s="3" t="s">
        <v>10122</v>
      </c>
      <c r="B120" s="4" t="str">
        <f>C120 &amp; " -&gt; " &amp; D120</f>
        <v>principal-controller -&gt; ProcedureVersions.Procedure</v>
      </c>
      <c r="C120" s="3" t="s">
        <v>9754</v>
      </c>
      <c r="D120" s="3" t="s">
        <v>2695</v>
      </c>
      <c r="E120" s="3" t="b">
        <v>1</v>
      </c>
      <c r="F120" s="3" t="b">
        <v>0</v>
      </c>
      <c r="G120" s="3" t="s">
        <v>10003</v>
      </c>
      <c r="H120" s="4" t="str">
        <f>_xlfn.IFNA(IF(((INDEX(RulebookFields!C2:C1898, MATCH(D120,RulebookFields!A2:A1898, 0))="")=TRUE),  "",  INDEX(RulebookFields!C2:C1898, MATCH(D120,RulebookFields!A2:A1898, 0))), "")</f>
        <v>ProcedureVersions</v>
      </c>
      <c r="I120" s="4" t="str">
        <f>_xlfn.IFNA(IF(((INDEX(RulebookFields!D2:D1898, MATCH(D120,RulebookFields!A2:A1898, 0))="")=TRUE),  "",  INDEX(RulebookFields!D2:D1898, MATCH(D120,RulebookFields!A2:A1898, 0))), "")</f>
        <v>Procedure</v>
      </c>
      <c r="J120" s="4" t="b">
        <f>_xlfn.IFNA(IF(((INDEX(RulebookFields!I2:I1898, MATCH(D120,RulebookFields!A2:A1898, 0))="")=TRUE),  "",  INDEX(RulebookFields!I2:I1898, MATCH(D120,RulebookFields!A2:A1898, 0))), "")</f>
        <v>0</v>
      </c>
      <c r="K120" s="4" t="b">
        <f>AND(((F120)=TRUE), ((J120)=TRUE))</f>
        <v>0</v>
      </c>
      <c r="L120" s="4" t="b">
        <f>AND(((G120 &lt;&gt; "plain")=TRUE), ((G120 &lt;&gt; "")=TRUE))</f>
        <v>0</v>
      </c>
      <c r="M120" s="4" t="str">
        <f>IF(((E120)=TRUE),  C120 &amp; "|" &amp; H120,  "")</f>
        <v>principal-controller|ProcedureVersions</v>
      </c>
      <c r="N120" s="3" t="s">
        <v>10004</v>
      </c>
    </row>
    <row r="121">
      <c r="A121" s="3" t="s">
        <v>10123</v>
      </c>
      <c r="B121" s="4" t="str">
        <f>C121 &amp; " -&gt; " &amp; D121</f>
        <v>principal-controller -&gt; ProcedureVersions.Name</v>
      </c>
      <c r="C121" s="3" t="s">
        <v>9754</v>
      </c>
      <c r="D121" s="3" t="s">
        <v>2694</v>
      </c>
      <c r="E121" s="3" t="b">
        <v>1</v>
      </c>
      <c r="F121" s="3" t="b">
        <v>0</v>
      </c>
      <c r="G121" s="3" t="s">
        <v>10003</v>
      </c>
      <c r="H121" s="4" t="str">
        <f>_xlfn.IFNA(IF(((INDEX(RulebookFields!C2:C1898, MATCH(D121,RulebookFields!A2:A1898, 0))="")=TRUE),  "",  INDEX(RulebookFields!C2:C1898, MATCH(D121,RulebookFields!A2:A1898, 0))), "")</f>
        <v>ProcedureVersions</v>
      </c>
      <c r="I121" s="4" t="str">
        <f>_xlfn.IFNA(IF(((INDEX(RulebookFields!D2:D1898, MATCH(D121,RulebookFields!A2:A1898, 0))="")=TRUE),  "",  INDEX(RulebookFields!D2:D1898, MATCH(D121,RulebookFields!A2:A1898, 0))), "")</f>
        <v>Name</v>
      </c>
      <c r="J121" s="4" t="b">
        <f>_xlfn.IFNA(IF(((INDEX(RulebookFields!I2:I1898, MATCH(D121,RulebookFields!A2:A1898, 0))="")=TRUE),  "",  INDEX(RulebookFields!I2:I1898, MATCH(D121,RulebookFields!A2:A1898, 0))), "")</f>
        <v>1</v>
      </c>
      <c r="K121" s="4" t="b">
        <f>AND(((F121)=TRUE), ((J121)=TRUE))</f>
        <v>0</v>
      </c>
      <c r="L121" s="4" t="b">
        <f>AND(((G121 &lt;&gt; "plain")=TRUE), ((G121 &lt;&gt; "")=TRUE))</f>
        <v>0</v>
      </c>
      <c r="M121" s="4" t="str">
        <f>IF(((E121)=TRUE),  C121 &amp; "|" &amp; H121,  "")</f>
        <v>principal-controller|ProcedureVersions</v>
      </c>
      <c r="N121" s="3" t="s">
        <v>10004</v>
      </c>
    </row>
    <row r="122">
      <c r="A122" s="3" t="s">
        <v>10124</v>
      </c>
      <c r="B122" s="4" t="str">
        <f>C122 &amp; " -&gt; " &amp; D122</f>
        <v>principal-cfo -&gt; ProcedureExecutions.ProcedureExecutionId</v>
      </c>
      <c r="C122" s="3" t="s">
        <v>9756</v>
      </c>
      <c r="D122" s="3" t="s">
        <v>3426</v>
      </c>
      <c r="E122" s="3" t="b">
        <v>1</v>
      </c>
      <c r="F122" s="3" t="b">
        <v>0</v>
      </c>
      <c r="G122" s="3" t="s">
        <v>10003</v>
      </c>
      <c r="H122" s="4" t="str">
        <f>_xlfn.IFNA(IF(((INDEX(RulebookFields!C2:C1898, MATCH(D122,RulebookFields!A2:A1898, 0))="")=TRUE),  "",  INDEX(RulebookFields!C2:C1898, MATCH(D122,RulebookFields!A2:A1898, 0))), "")</f>
        <v>ProcedureExecutions</v>
      </c>
      <c r="I122" s="4" t="str">
        <f>_xlfn.IFNA(IF(((INDEX(RulebookFields!D2:D1898, MATCH(D122,RulebookFields!A2:A1898, 0))="")=TRUE),  "",  INDEX(RulebookFields!D2:D1898, MATCH(D122,RulebookFields!A2:A1898, 0))), "")</f>
        <v>ProcedureExecutionId</v>
      </c>
      <c r="J122" s="4" t="b">
        <f>_xlfn.IFNA(IF(((INDEX(RulebookFields!I2:I1898, MATCH(D122,RulebookFields!A2:A1898, 0))="")=TRUE),  "",  INDEX(RulebookFields!I2:I1898, MATCH(D122,RulebookFields!A2:A1898, 0))), "")</f>
        <v>0</v>
      </c>
      <c r="K122" s="4" t="b">
        <f>AND(((F122)=TRUE), ((J122)=TRUE))</f>
        <v>0</v>
      </c>
      <c r="L122" s="4" t="b">
        <f>AND(((G122 &lt;&gt; "plain")=TRUE), ((G122 &lt;&gt; "")=TRUE))</f>
        <v>0</v>
      </c>
      <c r="M122" s="4" t="str">
        <f>IF(((E122)=TRUE),  C122 &amp; "|" &amp; H122,  "")</f>
        <v>principal-cfo|ProcedureExecutions</v>
      </c>
      <c r="N122" s="3" t="s">
        <v>10004</v>
      </c>
    </row>
    <row r="123">
      <c r="A123" s="3" t="s">
        <v>10125</v>
      </c>
      <c r="B123" s="4" t="str">
        <f>C123 &amp; " -&gt; " &amp; D123</f>
        <v>principal-cfo -&gt; ProcedureExecutions.ExecutionStatus</v>
      </c>
      <c r="C123" s="3" t="s">
        <v>9756</v>
      </c>
      <c r="D123" s="3" t="s">
        <v>3430</v>
      </c>
      <c r="E123" s="3" t="b">
        <v>1</v>
      </c>
      <c r="F123" s="3" t="b">
        <v>0</v>
      </c>
      <c r="G123" s="3" t="s">
        <v>10003</v>
      </c>
      <c r="H123" s="4" t="str">
        <f>_xlfn.IFNA(IF(((INDEX(RulebookFields!C2:C1898, MATCH(D123,RulebookFields!A2:A1898, 0))="")=TRUE),  "",  INDEX(RulebookFields!C2:C1898, MATCH(D123,RulebookFields!A2:A1898, 0))), "")</f>
        <v>ProcedureExecutions</v>
      </c>
      <c r="I123" s="4" t="str">
        <f>_xlfn.IFNA(IF(((INDEX(RulebookFields!D2:D1898, MATCH(D123,RulebookFields!A2:A1898, 0))="")=TRUE),  "",  INDEX(RulebookFields!D2:D1898, MATCH(D123,RulebookFields!A2:A1898, 0))), "")</f>
        <v>ExecutionStatus</v>
      </c>
      <c r="J123" s="4" t="b">
        <f>_xlfn.IFNA(IF(((INDEX(RulebookFields!I2:I1898, MATCH(D123,RulebookFields!A2:A1898, 0))="")=TRUE),  "",  INDEX(RulebookFields!I2:I1898, MATCH(D123,RulebookFields!A2:A1898, 0))), "")</f>
        <v>0</v>
      </c>
      <c r="K123" s="4" t="b">
        <f>AND(((F123)=TRUE), ((J123)=TRUE))</f>
        <v>0</v>
      </c>
      <c r="L123" s="4" t="b">
        <f>AND(((G123 &lt;&gt; "plain")=TRUE), ((G123 &lt;&gt; "")=TRUE))</f>
        <v>0</v>
      </c>
      <c r="M123" s="4" t="str">
        <f>IF(((E123)=TRUE),  C123 &amp; "|" &amp; H123,  "")</f>
        <v>principal-cfo|ProcedureExecutions</v>
      </c>
      <c r="N123" s="3" t="s">
        <v>10004</v>
      </c>
    </row>
    <row r="124">
      <c r="A124" s="3" t="s">
        <v>10126</v>
      </c>
      <c r="B124" s="4" t="str">
        <f>C124 &amp; " -&gt; " &amp; D124</f>
        <v>principal-cfo -&gt; ProcedureExecutions.StartedAt</v>
      </c>
      <c r="C124" s="3" t="s">
        <v>9756</v>
      </c>
      <c r="D124" s="3" t="s">
        <v>3431</v>
      </c>
      <c r="E124" s="3" t="b">
        <v>1</v>
      </c>
      <c r="F124" s="3" t="b">
        <v>0</v>
      </c>
      <c r="G124" s="3" t="s">
        <v>10003</v>
      </c>
      <c r="H124" s="4" t="str">
        <f>_xlfn.IFNA(IF(((INDEX(RulebookFields!C2:C1898, MATCH(D124,RulebookFields!A2:A1898, 0))="")=TRUE),  "",  INDEX(RulebookFields!C2:C1898, MATCH(D124,RulebookFields!A2:A1898, 0))), "")</f>
        <v>ProcedureExecutions</v>
      </c>
      <c r="I124" s="4" t="str">
        <f>_xlfn.IFNA(IF(((INDEX(RulebookFields!D2:D1898, MATCH(D124,RulebookFields!A2:A1898, 0))="")=TRUE),  "",  INDEX(RulebookFields!D2:D1898, MATCH(D124,RulebookFields!A2:A1898, 0))), "")</f>
        <v>StartedAt</v>
      </c>
      <c r="J124" s="4" t="b">
        <f>_xlfn.IFNA(IF(((INDEX(RulebookFields!I2:I1898, MATCH(D124,RulebookFields!A2:A1898, 0))="")=TRUE),  "",  INDEX(RulebookFields!I2:I1898, MATCH(D124,RulebookFields!A2:A1898, 0))), "")</f>
        <v>0</v>
      </c>
      <c r="K124" s="4" t="b">
        <f>AND(((F124)=TRUE), ((J124)=TRUE))</f>
        <v>0</v>
      </c>
      <c r="L124" s="4" t="b">
        <f>AND(((G124 &lt;&gt; "plain")=TRUE), ((G124 &lt;&gt; "")=TRUE))</f>
        <v>0</v>
      </c>
      <c r="M124" s="4" t="str">
        <f>IF(((E124)=TRUE),  C124 &amp; "|" &amp; H124,  "")</f>
        <v>principal-cfo|ProcedureExecutions</v>
      </c>
      <c r="N124" s="3" t="s">
        <v>10004</v>
      </c>
    </row>
    <row r="125">
      <c r="A125" s="3" t="s">
        <v>10127</v>
      </c>
      <c r="B125" s="4" t="str">
        <f>C125 &amp; " -&gt; " &amp; D125</f>
        <v>principal-cfo -&gt; ProcedureExecutions.EndedAt</v>
      </c>
      <c r="C125" s="3" t="s">
        <v>9756</v>
      </c>
      <c r="D125" s="3" t="s">
        <v>3432</v>
      </c>
      <c r="E125" s="3" t="b">
        <v>1</v>
      </c>
      <c r="F125" s="3" t="b">
        <v>0</v>
      </c>
      <c r="G125" s="3" t="s">
        <v>10003</v>
      </c>
      <c r="H125" s="4" t="str">
        <f>_xlfn.IFNA(IF(((INDEX(RulebookFields!C2:C1898, MATCH(D125,RulebookFields!A2:A1898, 0))="")=TRUE),  "",  INDEX(RulebookFields!C2:C1898, MATCH(D125,RulebookFields!A2:A1898, 0))), "")</f>
        <v>ProcedureExecutions</v>
      </c>
      <c r="I125" s="4" t="str">
        <f>_xlfn.IFNA(IF(((INDEX(RulebookFields!D2:D1898, MATCH(D125,RulebookFields!A2:A1898, 0))="")=TRUE),  "",  INDEX(RulebookFields!D2:D1898, MATCH(D125,RulebookFields!A2:A1898, 0))), "")</f>
        <v>EndedAt</v>
      </c>
      <c r="J125" s="4" t="b">
        <f>_xlfn.IFNA(IF(((INDEX(RulebookFields!I2:I1898, MATCH(D125,RulebookFields!A2:A1898, 0))="")=TRUE),  "",  INDEX(RulebookFields!I2:I1898, MATCH(D125,RulebookFields!A2:A1898, 0))), "")</f>
        <v>0</v>
      </c>
      <c r="K125" s="4" t="b">
        <f>AND(((F125)=TRUE), ((J125)=TRUE))</f>
        <v>0</v>
      </c>
      <c r="L125" s="4" t="b">
        <f>AND(((G125 &lt;&gt; "plain")=TRUE), ((G125 &lt;&gt; "")=TRUE))</f>
        <v>0</v>
      </c>
      <c r="M125" s="4" t="str">
        <f>IF(((E125)=TRUE),  C125 &amp; "|" &amp; H125,  "")</f>
        <v>principal-cfo|ProcedureExecutions</v>
      </c>
      <c r="N125" s="3" t="s">
        <v>10004</v>
      </c>
    </row>
    <row r="126">
      <c r="A126" s="3" t="s">
        <v>10128</v>
      </c>
      <c r="B126" s="4" t="str">
        <f>C126 &amp; " -&gt; " &amp; D126</f>
        <v>principal-cfo -&gt; ProcedureExecutions.ProcedureVersion</v>
      </c>
      <c r="C126" s="3" t="s">
        <v>9756</v>
      </c>
      <c r="D126" s="3" t="s">
        <v>3429</v>
      </c>
      <c r="E126" s="3" t="b">
        <v>1</v>
      </c>
      <c r="F126" s="3" t="b">
        <v>0</v>
      </c>
      <c r="G126" s="3" t="s">
        <v>10003</v>
      </c>
      <c r="H126" s="4" t="str">
        <f>_xlfn.IFNA(IF(((INDEX(RulebookFields!C2:C1898, MATCH(D126,RulebookFields!A2:A1898, 0))="")=TRUE),  "",  INDEX(RulebookFields!C2:C1898, MATCH(D126,RulebookFields!A2:A1898, 0))), "")</f>
        <v>ProcedureExecutions</v>
      </c>
      <c r="I126" s="4" t="str">
        <f>_xlfn.IFNA(IF(((INDEX(RulebookFields!D2:D1898, MATCH(D126,RulebookFields!A2:A1898, 0))="")=TRUE),  "",  INDEX(RulebookFields!D2:D1898, MATCH(D126,RulebookFields!A2:A1898, 0))), "")</f>
        <v>ProcedureVersion</v>
      </c>
      <c r="J126" s="4" t="b">
        <f>_xlfn.IFNA(IF(((INDEX(RulebookFields!I2:I1898, MATCH(D126,RulebookFields!A2:A1898, 0))="")=TRUE),  "",  INDEX(RulebookFields!I2:I1898, MATCH(D126,RulebookFields!A2:A1898, 0))), "")</f>
        <v>0</v>
      </c>
      <c r="K126" s="4" t="b">
        <f>AND(((F126)=TRUE), ((J126)=TRUE))</f>
        <v>0</v>
      </c>
      <c r="L126" s="4" t="b">
        <f>AND(((G126 &lt;&gt; "plain")=TRUE), ((G126 &lt;&gt; "")=TRUE))</f>
        <v>0</v>
      </c>
      <c r="M126" s="4" t="str">
        <f>IF(((E126)=TRUE),  C126 &amp; "|" &amp; H126,  "")</f>
        <v>principal-cfo|ProcedureExecutions</v>
      </c>
      <c r="N126" s="3" t="s">
        <v>10004</v>
      </c>
    </row>
    <row r="127">
      <c r="A127" s="3" t="s">
        <v>10129</v>
      </c>
      <c r="B127" s="4" t="str">
        <f>C127 &amp; " -&gt; " &amp; D127</f>
        <v>principal-cfo -&gt; ProcedureExecutions.Name</v>
      </c>
      <c r="C127" s="3" t="s">
        <v>9756</v>
      </c>
      <c r="D127" s="3" t="s">
        <v>3427</v>
      </c>
      <c r="E127" s="3" t="b">
        <v>1</v>
      </c>
      <c r="F127" s="3" t="b">
        <v>0</v>
      </c>
      <c r="G127" s="3" t="s">
        <v>10003</v>
      </c>
      <c r="H127" s="4" t="str">
        <f>_xlfn.IFNA(IF(((INDEX(RulebookFields!C2:C1898, MATCH(D127,RulebookFields!A2:A1898, 0))="")=TRUE),  "",  INDEX(RulebookFields!C2:C1898, MATCH(D127,RulebookFields!A2:A1898, 0))), "")</f>
        <v>ProcedureExecutions</v>
      </c>
      <c r="I127" s="4" t="str">
        <f>_xlfn.IFNA(IF(((INDEX(RulebookFields!D2:D1898, MATCH(D127,RulebookFields!A2:A1898, 0))="")=TRUE),  "",  INDEX(RulebookFields!D2:D1898, MATCH(D127,RulebookFields!A2:A1898, 0))), "")</f>
        <v>Name</v>
      </c>
      <c r="J127" s="4" t="b">
        <f>_xlfn.IFNA(IF(((INDEX(RulebookFields!I2:I1898, MATCH(D127,RulebookFields!A2:A1898, 0))="")=TRUE),  "",  INDEX(RulebookFields!I2:I1898, MATCH(D127,RulebookFields!A2:A1898, 0))), "")</f>
        <v>1</v>
      </c>
      <c r="K127" s="4" t="b">
        <f>AND(((F127)=TRUE), ((J127)=TRUE))</f>
        <v>0</v>
      </c>
      <c r="L127" s="4" t="b">
        <f>AND(((G127 &lt;&gt; "plain")=TRUE), ((G127 &lt;&gt; "")=TRUE))</f>
        <v>0</v>
      </c>
      <c r="M127" s="4" t="str">
        <f>IF(((E127)=TRUE),  C127 &amp; "|" &amp; H127,  "")</f>
        <v>principal-cfo|ProcedureExecutions</v>
      </c>
      <c r="N127" s="3" t="s">
        <v>10004</v>
      </c>
    </row>
    <row r="128">
      <c r="A128" s="3" t="s">
        <v>10130</v>
      </c>
      <c r="B128" s="4" t="str">
        <f>C128 &amp; " -&gt; " &amp; D128</f>
        <v>principal-cfo -&gt; Exceptions.ExceptionId</v>
      </c>
      <c r="C128" s="3" t="s">
        <v>9756</v>
      </c>
      <c r="D128" s="3" t="s">
        <v>3160</v>
      </c>
      <c r="E128" s="3" t="b">
        <v>1</v>
      </c>
      <c r="F128" s="3" t="b">
        <v>0</v>
      </c>
      <c r="G128" s="3" t="s">
        <v>10003</v>
      </c>
      <c r="H128" s="4" t="str">
        <f>_xlfn.IFNA(IF(((INDEX(RulebookFields!C2:C1898, MATCH(D128,RulebookFields!A2:A1898, 0))="")=TRUE),  "",  INDEX(RulebookFields!C2:C1898, MATCH(D128,RulebookFields!A2:A1898, 0))), "")</f>
        <v>Exceptions</v>
      </c>
      <c r="I128" s="4" t="str">
        <f>_xlfn.IFNA(IF(((INDEX(RulebookFields!D2:D1898, MATCH(D128,RulebookFields!A2:A1898, 0))="")=TRUE),  "",  INDEX(RulebookFields!D2:D1898, MATCH(D128,RulebookFields!A2:A1898, 0))), "")</f>
        <v>ExceptionId</v>
      </c>
      <c r="J128" s="4" t="b">
        <f>_xlfn.IFNA(IF(((INDEX(RulebookFields!I2:I1898, MATCH(D128,RulebookFields!A2:A1898, 0))="")=TRUE),  "",  INDEX(RulebookFields!I2:I1898, MATCH(D128,RulebookFields!A2:A1898, 0))), "")</f>
        <v>0</v>
      </c>
      <c r="K128" s="4" t="b">
        <f>AND(((F128)=TRUE), ((J128)=TRUE))</f>
        <v>0</v>
      </c>
      <c r="L128" s="4" t="b">
        <f>AND(((G128 &lt;&gt; "plain")=TRUE), ((G128 &lt;&gt; "")=TRUE))</f>
        <v>0</v>
      </c>
      <c r="M128" s="4" t="str">
        <f>IF(((E128)=TRUE),  C128 &amp; "|" &amp; H128,  "")</f>
        <v>principal-cfo|Exceptions</v>
      </c>
      <c r="N128" s="3" t="s">
        <v>10004</v>
      </c>
    </row>
    <row r="129">
      <c r="A129" s="3" t="s">
        <v>10131</v>
      </c>
      <c r="B129" s="4" t="str">
        <f>C129 &amp; " -&gt; " &amp; D129</f>
        <v>principal-cfo -&gt; Exceptions.Name</v>
      </c>
      <c r="C129" s="3" t="s">
        <v>9756</v>
      </c>
      <c r="D129" s="3" t="s">
        <v>3162</v>
      </c>
      <c r="E129" s="3" t="b">
        <v>1</v>
      </c>
      <c r="F129" s="3" t="b">
        <v>0</v>
      </c>
      <c r="G129" s="3" t="s">
        <v>10003</v>
      </c>
      <c r="H129" s="4" t="str">
        <f>_xlfn.IFNA(IF(((INDEX(RulebookFields!C2:C1898, MATCH(D129,RulebookFields!A2:A1898, 0))="")=TRUE),  "",  INDEX(RulebookFields!C2:C1898, MATCH(D129,RulebookFields!A2:A1898, 0))), "")</f>
        <v>Exceptions</v>
      </c>
      <c r="I129" s="4" t="str">
        <f>_xlfn.IFNA(IF(((INDEX(RulebookFields!D2:D1898, MATCH(D129,RulebookFields!A2:A1898, 0))="")=TRUE),  "",  INDEX(RulebookFields!D2:D1898, MATCH(D129,RulebookFields!A2:A1898, 0))), "")</f>
        <v>Name</v>
      </c>
      <c r="J129" s="4" t="b">
        <f>_xlfn.IFNA(IF(((INDEX(RulebookFields!I2:I1898, MATCH(D129,RulebookFields!A2:A1898, 0))="")=TRUE),  "",  INDEX(RulebookFields!I2:I1898, MATCH(D129,RulebookFields!A2:A1898, 0))), "")</f>
        <v>1</v>
      </c>
      <c r="K129" s="4" t="b">
        <f>AND(((F129)=TRUE), ((J129)=TRUE))</f>
        <v>0</v>
      </c>
      <c r="L129" s="4" t="b">
        <f>AND(((G129 &lt;&gt; "plain")=TRUE), ((G129 &lt;&gt; "")=TRUE))</f>
        <v>0</v>
      </c>
      <c r="M129" s="4" t="str">
        <f>IF(((E129)=TRUE),  C129 &amp; "|" &amp; H129,  "")</f>
        <v>principal-cfo|Exceptions</v>
      </c>
      <c r="N129" s="3" t="s">
        <v>10004</v>
      </c>
    </row>
    <row r="130">
      <c r="A130" s="3" t="s">
        <v>10132</v>
      </c>
      <c r="B130" s="4" t="str">
        <f>C130 &amp; " -&gt; " &amp; D130</f>
        <v>principal-cfo -&gt; Exceptions.ProcedureVersion</v>
      </c>
      <c r="C130" s="3" t="s">
        <v>9756</v>
      </c>
      <c r="D130" s="3" t="s">
        <v>3164</v>
      </c>
      <c r="E130" s="3" t="b">
        <v>1</v>
      </c>
      <c r="F130" s="3" t="b">
        <v>0</v>
      </c>
      <c r="G130" s="3" t="s">
        <v>10003</v>
      </c>
      <c r="H130" s="4" t="str">
        <f>_xlfn.IFNA(IF(((INDEX(RulebookFields!C2:C1898, MATCH(D130,RulebookFields!A2:A1898, 0))="")=TRUE),  "",  INDEX(RulebookFields!C2:C1898, MATCH(D130,RulebookFields!A2:A1898, 0))), "")</f>
        <v>Exceptions</v>
      </c>
      <c r="I130" s="4" t="str">
        <f>_xlfn.IFNA(IF(((INDEX(RulebookFields!D2:D1898, MATCH(D130,RulebookFields!A2:A1898, 0))="")=TRUE),  "",  INDEX(RulebookFields!D2:D1898, MATCH(D130,RulebookFields!A2:A1898, 0))), "")</f>
        <v>ProcedureVersion</v>
      </c>
      <c r="J130" s="4" t="b">
        <f>_xlfn.IFNA(IF(((INDEX(RulebookFields!I2:I1898, MATCH(D130,RulebookFields!A2:A1898, 0))="")=TRUE),  "",  INDEX(RulebookFields!I2:I1898, MATCH(D130,RulebookFields!A2:A1898, 0))), "")</f>
        <v>0</v>
      </c>
      <c r="K130" s="4" t="b">
        <f>AND(((F130)=TRUE), ((J130)=TRUE))</f>
        <v>0</v>
      </c>
      <c r="L130" s="4" t="b">
        <f>AND(((G130 &lt;&gt; "plain")=TRUE), ((G130 &lt;&gt; "")=TRUE))</f>
        <v>0</v>
      </c>
      <c r="M130" s="4" t="str">
        <f>IF(((E130)=TRUE),  C130 &amp; "|" &amp; H130,  "")</f>
        <v>principal-cfo|Exceptions</v>
      </c>
      <c r="N130" s="3" t="s">
        <v>10004</v>
      </c>
    </row>
    <row r="131">
      <c r="A131" s="3" t="s">
        <v>10133</v>
      </c>
      <c r="B131" s="4" t="str">
        <f>C131 &amp; " -&gt; " &amp; D131</f>
        <v>principal-cfo -&gt; Exceptions.TriggerStep</v>
      </c>
      <c r="C131" s="3" t="s">
        <v>9756</v>
      </c>
      <c r="D131" s="3" t="s">
        <v>3165</v>
      </c>
      <c r="E131" s="3" t="b">
        <v>1</v>
      </c>
      <c r="F131" s="3" t="b">
        <v>0</v>
      </c>
      <c r="G131" s="3" t="s">
        <v>10003</v>
      </c>
      <c r="H131" s="4" t="str">
        <f>_xlfn.IFNA(IF(((INDEX(RulebookFields!C2:C1898, MATCH(D131,RulebookFields!A2:A1898, 0))="")=TRUE),  "",  INDEX(RulebookFields!C2:C1898, MATCH(D131,RulebookFields!A2:A1898, 0))), "")</f>
        <v>Exceptions</v>
      </c>
      <c r="I131" s="4" t="str">
        <f>_xlfn.IFNA(IF(((INDEX(RulebookFields!D2:D1898, MATCH(D131,RulebookFields!A2:A1898, 0))="")=TRUE),  "",  INDEX(RulebookFields!D2:D1898, MATCH(D131,RulebookFields!A2:A1898, 0))), "")</f>
        <v>TriggerStep</v>
      </c>
      <c r="J131" s="4" t="b">
        <f>_xlfn.IFNA(IF(((INDEX(RulebookFields!I2:I1898, MATCH(D131,RulebookFields!A2:A1898, 0))="")=TRUE),  "",  INDEX(RulebookFields!I2:I1898, MATCH(D131,RulebookFields!A2:A1898, 0))), "")</f>
        <v>0</v>
      </c>
      <c r="K131" s="4" t="b">
        <f>AND(((F131)=TRUE), ((J131)=TRUE))</f>
        <v>0</v>
      </c>
      <c r="L131" s="4" t="b">
        <f>AND(((G131 &lt;&gt; "plain")=TRUE), ((G131 &lt;&gt; "")=TRUE))</f>
        <v>0</v>
      </c>
      <c r="M131" s="4" t="str">
        <f>IF(((E131)=TRUE),  C131 &amp; "|" &amp; H131,  "")</f>
        <v>principal-cfo|Exceptions</v>
      </c>
      <c r="N131" s="3" t="s">
        <v>10004</v>
      </c>
    </row>
    <row r="132">
      <c r="A132" s="3" t="s">
        <v>10134</v>
      </c>
      <c r="B132" s="4" t="str">
        <f>C132 &amp; " -&gt; " &amp; D132</f>
        <v>principal-cfo -&gt; Exceptions.Condition</v>
      </c>
      <c r="C132" s="3" t="s">
        <v>9756</v>
      </c>
      <c r="D132" s="3" t="s">
        <v>3166</v>
      </c>
      <c r="E132" s="3" t="b">
        <v>1</v>
      </c>
      <c r="F132" s="3" t="b">
        <v>0</v>
      </c>
      <c r="G132" s="3" t="s">
        <v>10003</v>
      </c>
      <c r="H132" s="4" t="str">
        <f>_xlfn.IFNA(IF(((INDEX(RulebookFields!C2:C1898, MATCH(D132,RulebookFields!A2:A1898, 0))="")=TRUE),  "",  INDEX(RulebookFields!C2:C1898, MATCH(D132,RulebookFields!A2:A1898, 0))), "")</f>
        <v>Exceptions</v>
      </c>
      <c r="I132" s="4" t="str">
        <f>_xlfn.IFNA(IF(((INDEX(RulebookFields!D2:D1898, MATCH(D132,RulebookFields!A2:A1898, 0))="")=TRUE),  "",  INDEX(RulebookFields!D2:D1898, MATCH(D132,RulebookFields!A2:A1898, 0))), "")</f>
        <v>Condition</v>
      </c>
      <c r="J132" s="4" t="b">
        <f>_xlfn.IFNA(IF(((INDEX(RulebookFields!I2:I1898, MATCH(D132,RulebookFields!A2:A1898, 0))="")=TRUE),  "",  INDEX(RulebookFields!I2:I1898, MATCH(D132,RulebookFields!A2:A1898, 0))), "")</f>
        <v>0</v>
      </c>
      <c r="K132" s="4" t="b">
        <f>AND(((F132)=TRUE), ((J132)=TRUE))</f>
        <v>0</v>
      </c>
      <c r="L132" s="4" t="b">
        <f>AND(((G132 &lt;&gt; "plain")=TRUE), ((G132 &lt;&gt; "")=TRUE))</f>
        <v>0</v>
      </c>
      <c r="M132" s="4" t="str">
        <f>IF(((E132)=TRUE),  C132 &amp; "|" &amp; H132,  "")</f>
        <v>principal-cfo|Exceptions</v>
      </c>
      <c r="N132" s="3" t="s">
        <v>10004</v>
      </c>
    </row>
    <row r="133">
      <c r="A133" s="3" t="s">
        <v>10135</v>
      </c>
      <c r="B133" s="4" t="str">
        <f>C133 &amp; " -&gt; " &amp; D133</f>
        <v>principal-cfo -&gt; Exceptions.Handling</v>
      </c>
      <c r="C133" s="3" t="s">
        <v>9756</v>
      </c>
      <c r="D133" s="3" t="s">
        <v>3167</v>
      </c>
      <c r="E133" s="3" t="b">
        <v>1</v>
      </c>
      <c r="F133" s="3" t="b">
        <v>0</v>
      </c>
      <c r="G133" s="3" t="s">
        <v>10003</v>
      </c>
      <c r="H133" s="4" t="str">
        <f>_xlfn.IFNA(IF(((INDEX(RulebookFields!C2:C1898, MATCH(D133,RulebookFields!A2:A1898, 0))="")=TRUE),  "",  INDEX(RulebookFields!C2:C1898, MATCH(D133,RulebookFields!A2:A1898, 0))), "")</f>
        <v>Exceptions</v>
      </c>
      <c r="I133" s="4" t="str">
        <f>_xlfn.IFNA(IF(((INDEX(RulebookFields!D2:D1898, MATCH(D133,RulebookFields!A2:A1898, 0))="")=TRUE),  "",  INDEX(RulebookFields!D2:D1898, MATCH(D133,RulebookFields!A2:A1898, 0))), "")</f>
        <v>Handling</v>
      </c>
      <c r="J133" s="4" t="b">
        <f>_xlfn.IFNA(IF(((INDEX(RulebookFields!I2:I1898, MATCH(D133,RulebookFields!A2:A1898, 0))="")=TRUE),  "",  INDEX(RulebookFields!I2:I1898, MATCH(D133,RulebookFields!A2:A1898, 0))), "")</f>
        <v>0</v>
      </c>
      <c r="K133" s="4" t="b">
        <f>AND(((F133)=TRUE), ((J133)=TRUE))</f>
        <v>0</v>
      </c>
      <c r="L133" s="4" t="b">
        <f>AND(((G133 &lt;&gt; "plain")=TRUE), ((G133 &lt;&gt; "")=TRUE))</f>
        <v>0</v>
      </c>
      <c r="M133" s="4" t="str">
        <f>IF(((E133)=TRUE),  C133 &amp; "|" &amp; H133,  "")</f>
        <v>principal-cfo|Exceptions</v>
      </c>
      <c r="N133" s="3" t="s">
        <v>10004</v>
      </c>
    </row>
    <row r="134">
      <c r="A134" s="3" t="s">
        <v>10136</v>
      </c>
      <c r="B134" s="4" t="str">
        <f>C134 &amp; " -&gt; " &amp; D134</f>
        <v>principal-cfo -&gt; Exceptions.ApprovalRole</v>
      </c>
      <c r="C134" s="3" t="s">
        <v>9756</v>
      </c>
      <c r="D134" s="3" t="s">
        <v>3168</v>
      </c>
      <c r="E134" s="3" t="b">
        <v>1</v>
      </c>
      <c r="F134" s="3" t="b">
        <v>0</v>
      </c>
      <c r="G134" s="3" t="s">
        <v>10003</v>
      </c>
      <c r="H134" s="4" t="str">
        <f>_xlfn.IFNA(IF(((INDEX(RulebookFields!C2:C1898, MATCH(D134,RulebookFields!A2:A1898, 0))="")=TRUE),  "",  INDEX(RulebookFields!C2:C1898, MATCH(D134,RulebookFields!A2:A1898, 0))), "")</f>
        <v>Exceptions</v>
      </c>
      <c r="I134" s="4" t="str">
        <f>_xlfn.IFNA(IF(((INDEX(RulebookFields!D2:D1898, MATCH(D134,RulebookFields!A2:A1898, 0))="")=TRUE),  "",  INDEX(RulebookFields!D2:D1898, MATCH(D134,RulebookFields!A2:A1898, 0))), "")</f>
        <v>ApprovalRole</v>
      </c>
      <c r="J134" s="4" t="b">
        <f>_xlfn.IFNA(IF(((INDEX(RulebookFields!I2:I1898, MATCH(D134,RulebookFields!A2:A1898, 0))="")=TRUE),  "",  INDEX(RulebookFields!I2:I1898, MATCH(D134,RulebookFields!A2:A1898, 0))), "")</f>
        <v>0</v>
      </c>
      <c r="K134" s="4" t="b">
        <f>AND(((F134)=TRUE), ((J134)=TRUE))</f>
        <v>0</v>
      </c>
      <c r="L134" s="4" t="b">
        <f>AND(((G134 &lt;&gt; "plain")=TRUE), ((G134 &lt;&gt; "")=TRUE))</f>
        <v>0</v>
      </c>
      <c r="M134" s="4" t="str">
        <f>IF(((E134)=TRUE),  C134 &amp; "|" &amp; H134,  "")</f>
        <v>principal-cfo|Exceptions</v>
      </c>
      <c r="N134" s="3" t="s">
        <v>10004</v>
      </c>
    </row>
    <row r="135">
      <c r="A135" s="3" t="s">
        <v>10137</v>
      </c>
      <c r="B135" s="4" t="str">
        <f>C135 &amp; " -&gt; " &amp; D135</f>
        <v>principal-cfo -&gt; Exceptions.FallbackRole</v>
      </c>
      <c r="C135" s="3" t="s">
        <v>9756</v>
      </c>
      <c r="D135" s="3" t="s">
        <v>3169</v>
      </c>
      <c r="E135" s="3" t="b">
        <v>1</v>
      </c>
      <c r="F135" s="3" t="b">
        <v>0</v>
      </c>
      <c r="G135" s="3" t="s">
        <v>10003</v>
      </c>
      <c r="H135" s="4" t="str">
        <f>_xlfn.IFNA(IF(((INDEX(RulebookFields!C2:C1898, MATCH(D135,RulebookFields!A2:A1898, 0))="")=TRUE),  "",  INDEX(RulebookFields!C2:C1898, MATCH(D135,RulebookFields!A2:A1898, 0))), "")</f>
        <v>Exceptions</v>
      </c>
      <c r="I135" s="4" t="str">
        <f>_xlfn.IFNA(IF(((INDEX(RulebookFields!D2:D1898, MATCH(D135,RulebookFields!A2:A1898, 0))="")=TRUE),  "",  INDEX(RulebookFields!D2:D1898, MATCH(D135,RulebookFields!A2:A1898, 0))), "")</f>
        <v>FallbackRole</v>
      </c>
      <c r="J135" s="4" t="b">
        <f>_xlfn.IFNA(IF(((INDEX(RulebookFields!I2:I1898, MATCH(D135,RulebookFields!A2:A1898, 0))="")=TRUE),  "",  INDEX(RulebookFields!I2:I1898, MATCH(D135,RulebookFields!A2:A1898, 0))), "")</f>
        <v>0</v>
      </c>
      <c r="K135" s="4" t="b">
        <f>AND(((F135)=TRUE), ((J135)=TRUE))</f>
        <v>0</v>
      </c>
      <c r="L135" s="4" t="b">
        <f>AND(((G135 &lt;&gt; "plain")=TRUE), ((G135 &lt;&gt; "")=TRUE))</f>
        <v>0</v>
      </c>
      <c r="M135" s="4" t="str">
        <f>IF(((E135)=TRUE),  C135 &amp; "|" &amp; H135,  "")</f>
        <v>principal-cfo|Exceptions</v>
      </c>
      <c r="N135" s="3" t="s">
        <v>10004</v>
      </c>
    </row>
    <row r="136">
      <c r="A136" s="3" t="s">
        <v>10138</v>
      </c>
      <c r="B136" s="4" t="str">
        <f>C136 &amp; " -&gt; " &amp; D136</f>
        <v>principal-cfo -&gt; Exceptions.Status</v>
      </c>
      <c r="C136" s="3" t="s">
        <v>9756</v>
      </c>
      <c r="D136" s="3" t="s">
        <v>3170</v>
      </c>
      <c r="E136" s="3" t="b">
        <v>1</v>
      </c>
      <c r="F136" s="3" t="b">
        <v>0</v>
      </c>
      <c r="G136" s="3" t="s">
        <v>10003</v>
      </c>
      <c r="H136" s="4" t="str">
        <f>_xlfn.IFNA(IF(((INDEX(RulebookFields!C2:C1898, MATCH(D136,RulebookFields!A2:A1898, 0))="")=TRUE),  "",  INDEX(RulebookFields!C2:C1898, MATCH(D136,RulebookFields!A2:A1898, 0))), "")</f>
        <v>Exceptions</v>
      </c>
      <c r="I136" s="4" t="str">
        <f>_xlfn.IFNA(IF(((INDEX(RulebookFields!D2:D1898, MATCH(D136,RulebookFields!A2:A1898, 0))="")=TRUE),  "",  INDEX(RulebookFields!D2:D1898, MATCH(D136,RulebookFields!A2:A1898, 0))), "")</f>
        <v>Status</v>
      </c>
      <c r="J136" s="4" t="b">
        <f>_xlfn.IFNA(IF(((INDEX(RulebookFields!I2:I1898, MATCH(D136,RulebookFields!A2:A1898, 0))="")=TRUE),  "",  INDEX(RulebookFields!I2:I1898, MATCH(D136,RulebookFields!A2:A1898, 0))), "")</f>
        <v>0</v>
      </c>
      <c r="K136" s="4" t="b">
        <f>AND(((F136)=TRUE), ((J136)=TRUE))</f>
        <v>0</v>
      </c>
      <c r="L136" s="4" t="b">
        <f>AND(((G136 &lt;&gt; "plain")=TRUE), ((G136 &lt;&gt; "")=TRUE))</f>
        <v>0</v>
      </c>
      <c r="M136" s="4" t="str">
        <f>IF(((E136)=TRUE),  C136 &amp; "|" &amp; H136,  "")</f>
        <v>principal-cfo|Exceptions</v>
      </c>
      <c r="N136" s="3" t="s">
        <v>10004</v>
      </c>
    </row>
    <row r="137">
      <c r="A137" s="3" t="s">
        <v>10139</v>
      </c>
      <c r="B137" s="4" t="str">
        <f>C137 &amp; " -&gt; " &amp; D137</f>
        <v>principal-cfo -&gt; Exceptions.ActiveExceptionStepKey</v>
      </c>
      <c r="C137" s="3" t="s">
        <v>9756</v>
      </c>
      <c r="D137" s="3" t="s">
        <v>3171</v>
      </c>
      <c r="E137" s="3" t="b">
        <v>1</v>
      </c>
      <c r="F137" s="3" t="b">
        <v>0</v>
      </c>
      <c r="G137" s="3" t="s">
        <v>10003</v>
      </c>
      <c r="H137" s="4" t="str">
        <f>_xlfn.IFNA(IF(((INDEX(RulebookFields!C2:C1898, MATCH(D137,RulebookFields!A2:A1898, 0))="")=TRUE),  "",  INDEX(RulebookFields!C2:C1898, MATCH(D137,RulebookFields!A2:A1898, 0))), "")</f>
        <v>Exceptions</v>
      </c>
      <c r="I137" s="4" t="str">
        <f>_xlfn.IFNA(IF(((INDEX(RulebookFields!D2:D1898, MATCH(D137,RulebookFields!A2:A1898, 0))="")=TRUE),  "",  INDEX(RulebookFields!D2:D1898, MATCH(D137,RulebookFields!A2:A1898, 0))), "")</f>
        <v>ActiveExceptionStepKey</v>
      </c>
      <c r="J137" s="4" t="b">
        <f>_xlfn.IFNA(IF(((INDEX(RulebookFields!I2:I1898, MATCH(D137,RulebookFields!A2:A1898, 0))="")=TRUE),  "",  INDEX(RulebookFields!I2:I1898, MATCH(D137,RulebookFields!A2:A1898, 0))), "")</f>
        <v>1</v>
      </c>
      <c r="K137" s="4" t="b">
        <f>AND(((F137)=TRUE), ((J137)=TRUE))</f>
        <v>0</v>
      </c>
      <c r="L137" s="4" t="b">
        <f>AND(((G137 &lt;&gt; "plain")=TRUE), ((G137 &lt;&gt; "")=TRUE))</f>
        <v>0</v>
      </c>
      <c r="M137" s="4" t="str">
        <f>IF(((E137)=TRUE),  C137 &amp; "|" &amp; H137,  "")</f>
        <v>principal-cfo|Exceptions</v>
      </c>
      <c r="N137" s="3" t="s">
        <v>10004</v>
      </c>
    </row>
    <row r="138">
      <c r="A138" s="3" t="s">
        <v>10140</v>
      </c>
      <c r="B138" s="4" t="str">
        <f>C138 &amp; " -&gt; " &amp; D138</f>
        <v>principal-cfo -&gt; Exceptions.SemanticTypeIri</v>
      </c>
      <c r="C138" s="3" t="s">
        <v>9756</v>
      </c>
      <c r="D138" s="3" t="s">
        <v>3173</v>
      </c>
      <c r="E138" s="3" t="b">
        <v>1</v>
      </c>
      <c r="F138" s="3" t="b">
        <v>0</v>
      </c>
      <c r="G138" s="3" t="s">
        <v>10003</v>
      </c>
      <c r="H138" s="4" t="str">
        <f>_xlfn.IFNA(IF(((INDEX(RulebookFields!C2:C1898, MATCH(D138,RulebookFields!A2:A1898, 0))="")=TRUE),  "",  INDEX(RulebookFields!C2:C1898, MATCH(D138,RulebookFields!A2:A1898, 0))), "")</f>
        <v>Exceptions</v>
      </c>
      <c r="I138" s="4" t="str">
        <f>_xlfn.IFNA(IF(((INDEX(RulebookFields!D2:D1898, MATCH(D138,RulebookFields!A2:A1898, 0))="")=TRUE),  "",  INDEX(RulebookFields!D2:D1898, MATCH(D138,RulebookFields!A2:A1898, 0))), "")</f>
        <v>SemanticTypeIri</v>
      </c>
      <c r="J138" s="4" t="b">
        <f>_xlfn.IFNA(IF(((INDEX(RulebookFields!I2:I1898, MATCH(D138,RulebookFields!A2:A1898, 0))="")=TRUE),  "",  INDEX(RulebookFields!I2:I1898, MATCH(D138,RulebookFields!A2:A1898, 0))), "")</f>
        <v>0</v>
      </c>
      <c r="K138" s="4" t="b">
        <f>AND(((F138)=TRUE), ((J138)=TRUE))</f>
        <v>0</v>
      </c>
      <c r="L138" s="4" t="b">
        <f>AND(((G138 &lt;&gt; "plain")=TRUE), ((G138 &lt;&gt; "")=TRUE))</f>
        <v>0</v>
      </c>
      <c r="M138" s="4" t="str">
        <f>IF(((E138)=TRUE),  C138 &amp; "|" &amp; H138,  "")</f>
        <v>principal-cfo|Exceptions</v>
      </c>
      <c r="N138" s="3" t="s">
        <v>10004</v>
      </c>
    </row>
    <row r="139">
      <c r="A139" s="3" t="s">
        <v>10141</v>
      </c>
      <c r="B139" s="4" t="str">
        <f>C139 &amp; " -&gt; " &amp; D139</f>
        <v>principal-cfo -&gt; ChangeRequests.ChangeRequestId</v>
      </c>
      <c r="C139" s="3" t="s">
        <v>9756</v>
      </c>
      <c r="D139" s="3" t="s">
        <v>3913</v>
      </c>
      <c r="E139" s="3" t="b">
        <v>1</v>
      </c>
      <c r="F139" s="3" t="b">
        <v>0</v>
      </c>
      <c r="G139" s="3" t="s">
        <v>10003</v>
      </c>
      <c r="H139" s="4" t="str">
        <f>_xlfn.IFNA(IF(((INDEX(RulebookFields!C2:C1898, MATCH(D139,RulebookFields!A2:A1898, 0))="")=TRUE),  "",  INDEX(RulebookFields!C2:C1898, MATCH(D139,RulebookFields!A2:A1898, 0))), "")</f>
        <v>ChangeRequests</v>
      </c>
      <c r="I139" s="4" t="str">
        <f>_xlfn.IFNA(IF(((INDEX(RulebookFields!D2:D1898, MATCH(D139,RulebookFields!A2:A1898, 0))="")=TRUE),  "",  INDEX(RulebookFields!D2:D1898, MATCH(D139,RulebookFields!A2:A1898, 0))), "")</f>
        <v>ChangeRequestId</v>
      </c>
      <c r="J139" s="4" t="b">
        <f>_xlfn.IFNA(IF(((INDEX(RulebookFields!I2:I1898, MATCH(D139,RulebookFields!A2:A1898, 0))="")=TRUE),  "",  INDEX(RulebookFields!I2:I1898, MATCH(D139,RulebookFields!A2:A1898, 0))), "")</f>
        <v>0</v>
      </c>
      <c r="K139" s="4" t="b">
        <f>AND(((F139)=TRUE), ((J139)=TRUE))</f>
        <v>0</v>
      </c>
      <c r="L139" s="4" t="b">
        <f>AND(((G139 &lt;&gt; "plain")=TRUE), ((G139 &lt;&gt; "")=TRUE))</f>
        <v>0</v>
      </c>
      <c r="M139" s="4" t="str">
        <f>IF(((E139)=TRUE),  C139 &amp; "|" &amp; H139,  "")</f>
        <v>principal-cfo|ChangeRequests</v>
      </c>
      <c r="N139" s="3" t="s">
        <v>10004</v>
      </c>
    </row>
    <row r="140">
      <c r="A140" s="3" t="s">
        <v>10142</v>
      </c>
      <c r="B140" s="4" t="str">
        <f>C140 &amp; " -&gt; " &amp; D140</f>
        <v>principal-cfo -&gt; ChangeRequests.Title</v>
      </c>
      <c r="C140" s="3" t="s">
        <v>9756</v>
      </c>
      <c r="D140" s="3" t="s">
        <v>3917</v>
      </c>
      <c r="E140" s="3" t="b">
        <v>1</v>
      </c>
      <c r="F140" s="3" t="b">
        <v>0</v>
      </c>
      <c r="G140" s="3" t="s">
        <v>10003</v>
      </c>
      <c r="H140" s="4" t="str">
        <f>_xlfn.IFNA(IF(((INDEX(RulebookFields!C2:C1898, MATCH(D140,RulebookFields!A2:A1898, 0))="")=TRUE),  "",  INDEX(RulebookFields!C2:C1898, MATCH(D140,RulebookFields!A2:A1898, 0))), "")</f>
        <v>ChangeRequests</v>
      </c>
      <c r="I140" s="4" t="str">
        <f>_xlfn.IFNA(IF(((INDEX(RulebookFields!D2:D1898, MATCH(D140,RulebookFields!A2:A1898, 0))="")=TRUE),  "",  INDEX(RulebookFields!D2:D1898, MATCH(D140,RulebookFields!A2:A1898, 0))), "")</f>
        <v>Title</v>
      </c>
      <c r="J140" s="4" t="b">
        <f>_xlfn.IFNA(IF(((INDEX(RulebookFields!I2:I1898, MATCH(D140,RulebookFields!A2:A1898, 0))="")=TRUE),  "",  INDEX(RulebookFields!I2:I1898, MATCH(D140,RulebookFields!A2:A1898, 0))), "")</f>
        <v>0</v>
      </c>
      <c r="K140" s="4" t="b">
        <f>AND(((F140)=TRUE), ((J140)=TRUE))</f>
        <v>0</v>
      </c>
      <c r="L140" s="4" t="b">
        <f>AND(((G140 &lt;&gt; "plain")=TRUE), ((G140 &lt;&gt; "")=TRUE))</f>
        <v>0</v>
      </c>
      <c r="M140" s="4" t="str">
        <f>IF(((E140)=TRUE),  C140 &amp; "|" &amp; H140,  "")</f>
        <v>principal-cfo|ChangeRequests</v>
      </c>
      <c r="N140" s="3" t="s">
        <v>10004</v>
      </c>
    </row>
    <row r="141">
      <c r="A141" s="3" t="s">
        <v>10143</v>
      </c>
      <c r="B141" s="4" t="str">
        <f>C141 &amp; " -&gt; " &amp; D141</f>
        <v>principal-cfo -&gt; ChangeRequests.ChangeKind</v>
      </c>
      <c r="C141" s="3" t="s">
        <v>9756</v>
      </c>
      <c r="D141" s="3" t="s">
        <v>3918</v>
      </c>
      <c r="E141" s="3" t="b">
        <v>1</v>
      </c>
      <c r="F141" s="3" t="b">
        <v>0</v>
      </c>
      <c r="G141" s="3" t="s">
        <v>10003</v>
      </c>
      <c r="H141" s="4" t="str">
        <f>_xlfn.IFNA(IF(((INDEX(RulebookFields!C2:C1898, MATCH(D141,RulebookFields!A2:A1898, 0))="")=TRUE),  "",  INDEX(RulebookFields!C2:C1898, MATCH(D141,RulebookFields!A2:A1898, 0))), "")</f>
        <v>ChangeRequests</v>
      </c>
      <c r="I141" s="4" t="str">
        <f>_xlfn.IFNA(IF(((INDEX(RulebookFields!D2:D1898, MATCH(D141,RulebookFields!A2:A1898, 0))="")=TRUE),  "",  INDEX(RulebookFields!D2:D1898, MATCH(D141,RulebookFields!A2:A1898, 0))), "")</f>
        <v>ChangeKind</v>
      </c>
      <c r="J141" s="4" t="b">
        <f>_xlfn.IFNA(IF(((INDEX(RulebookFields!I2:I1898, MATCH(D141,RulebookFields!A2:A1898, 0))="")=TRUE),  "",  INDEX(RulebookFields!I2:I1898, MATCH(D141,RulebookFields!A2:A1898, 0))), "")</f>
        <v>0</v>
      </c>
      <c r="K141" s="4" t="b">
        <f>AND(((F141)=TRUE), ((J141)=TRUE))</f>
        <v>0</v>
      </c>
      <c r="L141" s="4" t="b">
        <f>AND(((G141 &lt;&gt; "plain")=TRUE), ((G141 &lt;&gt; "")=TRUE))</f>
        <v>0</v>
      </c>
      <c r="M141" s="4" t="str">
        <f>IF(((E141)=TRUE),  C141 &amp; "|" &amp; H141,  "")</f>
        <v>principal-cfo|ChangeRequests</v>
      </c>
      <c r="N141" s="3" t="s">
        <v>10004</v>
      </c>
    </row>
    <row r="142">
      <c r="A142" s="3" t="s">
        <v>10144</v>
      </c>
      <c r="B142" s="4" t="str">
        <f>C142 &amp; " -&gt; " &amp; D142</f>
        <v>principal-cfo -&gt; ChangeRequests.Status</v>
      </c>
      <c r="C142" s="3" t="s">
        <v>9756</v>
      </c>
      <c r="D142" s="3" t="s">
        <v>3919</v>
      </c>
      <c r="E142" s="3" t="b">
        <v>1</v>
      </c>
      <c r="F142" s="3" t="b">
        <v>0</v>
      </c>
      <c r="G142" s="3" t="s">
        <v>10003</v>
      </c>
      <c r="H142" s="4" t="str">
        <f>_xlfn.IFNA(IF(((INDEX(RulebookFields!C2:C1898, MATCH(D142,RulebookFields!A2:A1898, 0))="")=TRUE),  "",  INDEX(RulebookFields!C2:C1898, MATCH(D142,RulebookFields!A2:A1898, 0))), "")</f>
        <v>ChangeRequests</v>
      </c>
      <c r="I142" s="4" t="str">
        <f>_xlfn.IFNA(IF(((INDEX(RulebookFields!D2:D1898, MATCH(D142,RulebookFields!A2:A1898, 0))="")=TRUE),  "",  INDEX(RulebookFields!D2:D1898, MATCH(D142,RulebookFields!A2:A1898, 0))), "")</f>
        <v>Status</v>
      </c>
      <c r="J142" s="4" t="b">
        <f>_xlfn.IFNA(IF(((INDEX(RulebookFields!I2:I1898, MATCH(D142,RulebookFields!A2:A1898, 0))="")=TRUE),  "",  INDEX(RulebookFields!I2:I1898, MATCH(D142,RulebookFields!A2:A1898, 0))), "")</f>
        <v>0</v>
      </c>
      <c r="K142" s="4" t="b">
        <f>AND(((F142)=TRUE), ((J142)=TRUE))</f>
        <v>0</v>
      </c>
      <c r="L142" s="4" t="b">
        <f>AND(((G142 &lt;&gt; "plain")=TRUE), ((G142 &lt;&gt; "")=TRUE))</f>
        <v>0</v>
      </c>
      <c r="M142" s="4" t="str">
        <f>IF(((E142)=TRUE),  C142 &amp; "|" &amp; H142,  "")</f>
        <v>principal-cfo|ChangeRequests</v>
      </c>
      <c r="N142" s="3" t="s">
        <v>10004</v>
      </c>
    </row>
    <row r="143">
      <c r="A143" s="3" t="s">
        <v>10145</v>
      </c>
      <c r="B143" s="4" t="str">
        <f>C143 &amp; " -&gt; " &amp; D143</f>
        <v>principal-cfo -&gt; ChangeRequests.RequestedAt</v>
      </c>
      <c r="C143" s="3" t="s">
        <v>9756</v>
      </c>
      <c r="D143" s="3" t="s">
        <v>3922</v>
      </c>
      <c r="E143" s="3" t="b">
        <v>1</v>
      </c>
      <c r="F143" s="3" t="b">
        <v>0</v>
      </c>
      <c r="G143" s="3" t="s">
        <v>10003</v>
      </c>
      <c r="H143" s="4" t="str">
        <f>_xlfn.IFNA(IF(((INDEX(RulebookFields!C2:C1898, MATCH(D143,RulebookFields!A2:A1898, 0))="")=TRUE),  "",  INDEX(RulebookFields!C2:C1898, MATCH(D143,RulebookFields!A2:A1898, 0))), "")</f>
        <v>ChangeRequests</v>
      </c>
      <c r="I143" s="4" t="str">
        <f>_xlfn.IFNA(IF(((INDEX(RulebookFields!D2:D1898, MATCH(D143,RulebookFields!A2:A1898, 0))="")=TRUE),  "",  INDEX(RulebookFields!D2:D1898, MATCH(D143,RulebookFields!A2:A1898, 0))), "")</f>
        <v>RequestedAt</v>
      </c>
      <c r="J143" s="4" t="b">
        <f>_xlfn.IFNA(IF(((INDEX(RulebookFields!I2:I1898, MATCH(D143,RulebookFields!A2:A1898, 0))="")=TRUE),  "",  INDEX(RulebookFields!I2:I1898, MATCH(D143,RulebookFields!A2:A1898, 0))), "")</f>
        <v>0</v>
      </c>
      <c r="K143" s="4" t="b">
        <f>AND(((F143)=TRUE), ((J143)=TRUE))</f>
        <v>0</v>
      </c>
      <c r="L143" s="4" t="b">
        <f>AND(((G143 &lt;&gt; "plain")=TRUE), ((G143 &lt;&gt; "")=TRUE))</f>
        <v>0</v>
      </c>
      <c r="M143" s="4" t="str">
        <f>IF(((E143)=TRUE),  C143 &amp; "|" &amp; H143,  "")</f>
        <v>principal-cfo|ChangeRequests</v>
      </c>
      <c r="N143" s="3" t="s">
        <v>10004</v>
      </c>
    </row>
    <row r="144">
      <c r="A144" s="3" t="s">
        <v>10146</v>
      </c>
      <c r="B144" s="4" t="str">
        <f>C144 &amp; " -&gt; " &amp; D144</f>
        <v>principal-cfo -&gt; ChangeRequests.DecidedAt</v>
      </c>
      <c r="C144" s="3" t="s">
        <v>9756</v>
      </c>
      <c r="D144" s="3" t="s">
        <v>3923</v>
      </c>
      <c r="E144" s="3" t="b">
        <v>1</v>
      </c>
      <c r="F144" s="3" t="b">
        <v>0</v>
      </c>
      <c r="G144" s="3" t="s">
        <v>10003</v>
      </c>
      <c r="H144" s="4" t="str">
        <f>_xlfn.IFNA(IF(((INDEX(RulebookFields!C2:C1898, MATCH(D144,RulebookFields!A2:A1898, 0))="")=TRUE),  "",  INDEX(RulebookFields!C2:C1898, MATCH(D144,RulebookFields!A2:A1898, 0))), "")</f>
        <v>ChangeRequests</v>
      </c>
      <c r="I144" s="4" t="str">
        <f>_xlfn.IFNA(IF(((INDEX(RulebookFields!D2:D1898, MATCH(D144,RulebookFields!A2:A1898, 0))="")=TRUE),  "",  INDEX(RulebookFields!D2:D1898, MATCH(D144,RulebookFields!A2:A1898, 0))), "")</f>
        <v>DecidedAt</v>
      </c>
      <c r="J144" s="4" t="b">
        <f>_xlfn.IFNA(IF(((INDEX(RulebookFields!I2:I1898, MATCH(D144,RulebookFields!A2:A1898, 0))="")=TRUE),  "",  INDEX(RulebookFields!I2:I1898, MATCH(D144,RulebookFields!A2:A1898, 0))), "")</f>
        <v>0</v>
      </c>
      <c r="K144" s="4" t="b">
        <f>AND(((F144)=TRUE), ((J144)=TRUE))</f>
        <v>0</v>
      </c>
      <c r="L144" s="4" t="b">
        <f>AND(((G144 &lt;&gt; "plain")=TRUE), ((G144 &lt;&gt; "")=TRUE))</f>
        <v>0</v>
      </c>
      <c r="M144" s="4" t="str">
        <f>IF(((E144)=TRUE),  C144 &amp; "|" &amp; H144,  "")</f>
        <v>principal-cfo|ChangeRequests</v>
      </c>
      <c r="N144" s="3" t="s">
        <v>10004</v>
      </c>
    </row>
    <row r="145">
      <c r="A145" s="3" t="s">
        <v>10147</v>
      </c>
      <c r="B145" s="4" t="str">
        <f>C145 &amp; " -&gt; " &amp; D145</f>
        <v>principal-cfo -&gt; ChangeRequests.ImpactAssessment</v>
      </c>
      <c r="C145" s="3" t="s">
        <v>9756</v>
      </c>
      <c r="D145" s="3" t="s">
        <v>3924</v>
      </c>
      <c r="E145" s="3" t="b">
        <v>1</v>
      </c>
      <c r="F145" s="3" t="b">
        <v>0</v>
      </c>
      <c r="G145" s="3" t="s">
        <v>10003</v>
      </c>
      <c r="H145" s="4" t="str">
        <f>_xlfn.IFNA(IF(((INDEX(RulebookFields!C2:C1898, MATCH(D145,RulebookFields!A2:A1898, 0))="")=TRUE),  "",  INDEX(RulebookFields!C2:C1898, MATCH(D145,RulebookFields!A2:A1898, 0))), "")</f>
        <v>ChangeRequests</v>
      </c>
      <c r="I145" s="4" t="str">
        <f>_xlfn.IFNA(IF(((INDEX(RulebookFields!D2:D1898, MATCH(D145,RulebookFields!A2:A1898, 0))="")=TRUE),  "",  INDEX(RulebookFields!D2:D1898, MATCH(D145,RulebookFields!A2:A1898, 0))), "")</f>
        <v>ImpactAssessment</v>
      </c>
      <c r="J145" s="4" t="b">
        <f>_xlfn.IFNA(IF(((INDEX(RulebookFields!I2:I1898, MATCH(D145,RulebookFields!A2:A1898, 0))="")=TRUE),  "",  INDEX(RulebookFields!I2:I1898, MATCH(D145,RulebookFields!A2:A1898, 0))), "")</f>
        <v>0</v>
      </c>
      <c r="K145" s="4" t="b">
        <f>AND(((F145)=TRUE), ((J145)=TRUE))</f>
        <v>0</v>
      </c>
      <c r="L145" s="4" t="b">
        <f>AND(((G145 &lt;&gt; "plain")=TRUE), ((G145 &lt;&gt; "")=TRUE))</f>
        <v>0</v>
      </c>
      <c r="M145" s="4" t="str">
        <f>IF(((E145)=TRUE),  C145 &amp; "|" &amp; H145,  "")</f>
        <v>principal-cfo|ChangeRequests</v>
      </c>
      <c r="N145" s="3" t="s">
        <v>10004</v>
      </c>
    </row>
    <row r="146">
      <c r="A146" s="3" t="s">
        <v>10148</v>
      </c>
      <c r="B146" s="4" t="str">
        <f>C146 &amp; " -&gt; " &amp; D146</f>
        <v>principal-cfo -&gt; ChangeRequests.IsOpen</v>
      </c>
      <c r="C146" s="3" t="s">
        <v>9756</v>
      </c>
      <c r="D146" s="3" t="s">
        <v>3925</v>
      </c>
      <c r="E146" s="3" t="b">
        <v>1</v>
      </c>
      <c r="F146" s="3" t="b">
        <v>0</v>
      </c>
      <c r="G146" s="3" t="s">
        <v>10003</v>
      </c>
      <c r="H146" s="4" t="str">
        <f>_xlfn.IFNA(IF(((INDEX(RulebookFields!C2:C1898, MATCH(D146,RulebookFields!A2:A1898, 0))="")=TRUE),  "",  INDEX(RulebookFields!C2:C1898, MATCH(D146,RulebookFields!A2:A1898, 0))), "")</f>
        <v>ChangeRequests</v>
      </c>
      <c r="I146" s="4" t="str">
        <f>_xlfn.IFNA(IF(((INDEX(RulebookFields!D2:D1898, MATCH(D146,RulebookFields!A2:A1898, 0))="")=TRUE),  "",  INDEX(RulebookFields!D2:D1898, MATCH(D146,RulebookFields!A2:A1898, 0))), "")</f>
        <v>IsOpen</v>
      </c>
      <c r="J146" s="4" t="b">
        <f>_xlfn.IFNA(IF(((INDEX(RulebookFields!I2:I1898, MATCH(D146,RulebookFields!A2:A1898, 0))="")=TRUE),  "",  INDEX(RulebookFields!I2:I1898, MATCH(D146,RulebookFields!A2:A1898, 0))), "")</f>
        <v>1</v>
      </c>
      <c r="K146" s="4" t="b">
        <f>AND(((F146)=TRUE), ((J146)=TRUE))</f>
        <v>0</v>
      </c>
      <c r="L146" s="4" t="b">
        <f>AND(((G146 &lt;&gt; "plain")=TRUE), ((G146 &lt;&gt; "")=TRUE))</f>
        <v>0</v>
      </c>
      <c r="M146" s="4" t="str">
        <f>IF(((E146)=TRUE),  C146 &amp; "|" &amp; H146,  "")</f>
        <v>principal-cfo|ChangeRequests</v>
      </c>
      <c r="N146" s="3" t="s">
        <v>10004</v>
      </c>
    </row>
    <row r="147">
      <c r="A147" s="3" t="s">
        <v>10149</v>
      </c>
      <c r="B147" s="4" t="str">
        <f>C147 &amp; " -&gt; " &amp; D147</f>
        <v>principal-cfo -&gt; ChangeRequests.Name</v>
      </c>
      <c r="C147" s="3" t="s">
        <v>9756</v>
      </c>
      <c r="D147" s="3" t="s">
        <v>3915</v>
      </c>
      <c r="E147" s="3" t="b">
        <v>1</v>
      </c>
      <c r="F147" s="3" t="b">
        <v>0</v>
      </c>
      <c r="G147" s="3" t="s">
        <v>10003</v>
      </c>
      <c r="H147" s="4" t="str">
        <f>_xlfn.IFNA(IF(((INDEX(RulebookFields!C2:C1898, MATCH(D147,RulebookFields!A2:A1898, 0))="")=TRUE),  "",  INDEX(RulebookFields!C2:C1898, MATCH(D147,RulebookFields!A2:A1898, 0))), "")</f>
        <v>ChangeRequests</v>
      </c>
      <c r="I147" s="4" t="str">
        <f>_xlfn.IFNA(IF(((INDEX(RulebookFields!D2:D1898, MATCH(D147,RulebookFields!A2:A1898, 0))="")=TRUE),  "",  INDEX(RulebookFields!D2:D1898, MATCH(D147,RulebookFields!A2:A1898, 0))), "")</f>
        <v>Name</v>
      </c>
      <c r="J147" s="4" t="b">
        <f>_xlfn.IFNA(IF(((INDEX(RulebookFields!I2:I1898, MATCH(D147,RulebookFields!A2:A1898, 0))="")=TRUE),  "",  INDEX(RulebookFields!I2:I1898, MATCH(D147,RulebookFields!A2:A1898, 0))), "")</f>
        <v>1</v>
      </c>
      <c r="K147" s="4" t="b">
        <f>AND(((F147)=TRUE), ((J147)=TRUE))</f>
        <v>0</v>
      </c>
      <c r="L147" s="4" t="b">
        <f>AND(((G147 &lt;&gt; "plain")=TRUE), ((G147 &lt;&gt; "")=TRUE))</f>
        <v>0</v>
      </c>
      <c r="M147" s="4" t="str">
        <f>IF(((E147)=TRUE),  C147 &amp; "|" &amp; H147,  "")</f>
        <v>principal-cfo|ChangeRequests</v>
      </c>
      <c r="N147" s="3" t="s">
        <v>10004</v>
      </c>
    </row>
    <row r="148">
      <c r="A148" s="3" t="s">
        <v>10150</v>
      </c>
      <c r="B148" s="4" t="str">
        <f>C148 &amp; " -&gt; " &amp; D148</f>
        <v>principal-cfo -&gt; AuthorityBoundaries.AuthorityBoundaryId</v>
      </c>
      <c r="C148" s="3" t="s">
        <v>9756</v>
      </c>
      <c r="D148" s="3" t="s">
        <v>5130</v>
      </c>
      <c r="E148" s="3" t="b">
        <v>1</v>
      </c>
      <c r="F148" s="3" t="b">
        <v>0</v>
      </c>
      <c r="G148" s="3" t="s">
        <v>10003</v>
      </c>
      <c r="H148" s="4" t="str">
        <f>_xlfn.IFNA(IF(((INDEX(RulebookFields!C2:C1898, MATCH(D148,RulebookFields!A2:A1898, 0))="")=TRUE),  "",  INDEX(RulebookFields!C2:C1898, MATCH(D148,RulebookFields!A2:A1898, 0))), "")</f>
        <v>AuthorityBoundaries</v>
      </c>
      <c r="I148" s="4" t="str">
        <f>_xlfn.IFNA(IF(((INDEX(RulebookFields!D2:D1898, MATCH(D148,RulebookFields!A2:A1898, 0))="")=TRUE),  "",  INDEX(RulebookFields!D2:D1898, MATCH(D148,RulebookFields!A2:A1898, 0))), "")</f>
        <v>AuthorityBoundaryId</v>
      </c>
      <c r="J148" s="4" t="b">
        <f>_xlfn.IFNA(IF(((INDEX(RulebookFields!I2:I1898, MATCH(D148,RulebookFields!A2:A1898, 0))="")=TRUE),  "",  INDEX(RulebookFields!I2:I1898, MATCH(D148,RulebookFields!A2:A1898, 0))), "")</f>
        <v>0</v>
      </c>
      <c r="K148" s="4" t="b">
        <f>AND(((F148)=TRUE), ((J148)=TRUE))</f>
        <v>0</v>
      </c>
      <c r="L148" s="4" t="b">
        <f>AND(((G148 &lt;&gt; "plain")=TRUE), ((G148 &lt;&gt; "")=TRUE))</f>
        <v>0</v>
      </c>
      <c r="M148" s="4" t="str">
        <f>IF(((E148)=TRUE),  C148 &amp; "|" &amp; H148,  "")</f>
        <v>principal-cfo|AuthorityBoundaries</v>
      </c>
      <c r="N148" s="3" t="s">
        <v>10004</v>
      </c>
    </row>
    <row r="149">
      <c r="A149" s="3" t="s">
        <v>10151</v>
      </c>
      <c r="B149" s="4" t="str">
        <f>C149 &amp; " -&gt; " &amp; D149</f>
        <v>principal-cfo -&gt; AuthorityBoundaries.ForbiddenAgentKind</v>
      </c>
      <c r="C149" s="3" t="s">
        <v>9756</v>
      </c>
      <c r="D149" s="3" t="s">
        <v>5136</v>
      </c>
      <c r="E149" s="3" t="b">
        <v>1</v>
      </c>
      <c r="F149" s="3" t="b">
        <v>0</v>
      </c>
      <c r="G149" s="3" t="s">
        <v>10003</v>
      </c>
      <c r="H149" s="4" t="str">
        <f>_xlfn.IFNA(IF(((INDEX(RulebookFields!C2:C1898, MATCH(D149,RulebookFields!A2:A1898, 0))="")=TRUE),  "",  INDEX(RulebookFields!C2:C1898, MATCH(D149,RulebookFields!A2:A1898, 0))), "")</f>
        <v>AuthorityBoundaries</v>
      </c>
      <c r="I149" s="4" t="str">
        <f>_xlfn.IFNA(IF(((INDEX(RulebookFields!D2:D1898, MATCH(D149,RulebookFields!A2:A1898, 0))="")=TRUE),  "",  INDEX(RulebookFields!D2:D1898, MATCH(D149,RulebookFields!A2:A1898, 0))), "")</f>
        <v>ForbiddenAgentKind</v>
      </c>
      <c r="J149" s="4" t="b">
        <f>_xlfn.IFNA(IF(((INDEX(RulebookFields!I2:I1898, MATCH(D149,RulebookFields!A2:A1898, 0))="")=TRUE),  "",  INDEX(RulebookFields!I2:I1898, MATCH(D149,RulebookFields!A2:A1898, 0))), "")</f>
        <v>0</v>
      </c>
      <c r="K149" s="4" t="b">
        <f>AND(((F149)=TRUE), ((J149)=TRUE))</f>
        <v>0</v>
      </c>
      <c r="L149" s="4" t="b">
        <f>AND(((G149 &lt;&gt; "plain")=TRUE), ((G149 &lt;&gt; "")=TRUE))</f>
        <v>0</v>
      </c>
      <c r="M149" s="4" t="str">
        <f>IF(((E149)=TRUE),  C149 &amp; "|" &amp; H149,  "")</f>
        <v>principal-cfo|AuthorityBoundaries</v>
      </c>
      <c r="N149" s="3" t="s">
        <v>10004</v>
      </c>
    </row>
    <row r="150">
      <c r="A150" s="3" t="s">
        <v>10152</v>
      </c>
      <c r="B150" s="4" t="str">
        <f>C150 &amp; " -&gt; " &amp; D150</f>
        <v>principal-cfo -&gt; AuthorityBoundaries.ForbiddenDecisionKind</v>
      </c>
      <c r="C150" s="3" t="s">
        <v>9756</v>
      </c>
      <c r="D150" s="3" t="s">
        <v>5138</v>
      </c>
      <c r="E150" s="3" t="b">
        <v>1</v>
      </c>
      <c r="F150" s="3" t="b">
        <v>0</v>
      </c>
      <c r="G150" s="3" t="s">
        <v>10003</v>
      </c>
      <c r="H150" s="4" t="str">
        <f>_xlfn.IFNA(IF(((INDEX(RulebookFields!C2:C1898, MATCH(D150,RulebookFields!A2:A1898, 0))="")=TRUE),  "",  INDEX(RulebookFields!C2:C1898, MATCH(D150,RulebookFields!A2:A1898, 0))), "")</f>
        <v>AuthorityBoundaries</v>
      </c>
      <c r="I150" s="4" t="str">
        <f>_xlfn.IFNA(IF(((INDEX(RulebookFields!D2:D1898, MATCH(D150,RulebookFields!A2:A1898, 0))="")=TRUE),  "",  INDEX(RulebookFields!D2:D1898, MATCH(D150,RulebookFields!A2:A1898, 0))), "")</f>
        <v>ForbiddenDecisionKind</v>
      </c>
      <c r="J150" s="4" t="b">
        <f>_xlfn.IFNA(IF(((INDEX(RulebookFields!I2:I1898, MATCH(D150,RulebookFields!A2:A1898, 0))="")=TRUE),  "",  INDEX(RulebookFields!I2:I1898, MATCH(D150,RulebookFields!A2:A1898, 0))), "")</f>
        <v>0</v>
      </c>
      <c r="K150" s="4" t="b">
        <f>AND(((F150)=TRUE), ((J150)=TRUE))</f>
        <v>0</v>
      </c>
      <c r="L150" s="4" t="b">
        <f>AND(((G150 &lt;&gt; "plain")=TRUE), ((G150 &lt;&gt; "")=TRUE))</f>
        <v>0</v>
      </c>
      <c r="M150" s="4" t="str">
        <f>IF(((E150)=TRUE),  C150 &amp; "|" &amp; H150,  "")</f>
        <v>principal-cfo|AuthorityBoundaries</v>
      </c>
      <c r="N150" s="3" t="s">
        <v>10004</v>
      </c>
    </row>
    <row r="151">
      <c r="A151" s="3" t="s">
        <v>10153</v>
      </c>
      <c r="B151" s="4" t="str">
        <f>C151 &amp; " -&gt; " &amp; D151</f>
        <v>principal-cfo -&gt; AuthorityBoundaries.Status</v>
      </c>
      <c r="C151" s="3" t="s">
        <v>9756</v>
      </c>
      <c r="D151" s="3" t="s">
        <v>5147</v>
      </c>
      <c r="E151" s="3" t="b">
        <v>1</v>
      </c>
      <c r="F151" s="3" t="b">
        <v>0</v>
      </c>
      <c r="G151" s="3" t="s">
        <v>10003</v>
      </c>
      <c r="H151" s="4" t="str">
        <f>_xlfn.IFNA(IF(((INDEX(RulebookFields!C2:C1898, MATCH(D151,RulebookFields!A2:A1898, 0))="")=TRUE),  "",  INDEX(RulebookFields!C2:C1898, MATCH(D151,RulebookFields!A2:A1898, 0))), "")</f>
        <v>AuthorityBoundaries</v>
      </c>
      <c r="I151" s="4" t="str">
        <f>_xlfn.IFNA(IF(((INDEX(RulebookFields!D2:D1898, MATCH(D151,RulebookFields!A2:A1898, 0))="")=TRUE),  "",  INDEX(RulebookFields!D2:D1898, MATCH(D151,RulebookFields!A2:A1898, 0))), "")</f>
        <v>Status</v>
      </c>
      <c r="J151" s="4" t="b">
        <f>_xlfn.IFNA(IF(((INDEX(RulebookFields!I2:I1898, MATCH(D151,RulebookFields!A2:A1898, 0))="")=TRUE),  "",  INDEX(RulebookFields!I2:I1898, MATCH(D151,RulebookFields!A2:A1898, 0))), "")</f>
        <v>0</v>
      </c>
      <c r="K151" s="4" t="b">
        <f>AND(((F151)=TRUE), ((J151)=TRUE))</f>
        <v>0</v>
      </c>
      <c r="L151" s="4" t="b">
        <f>AND(((G151 &lt;&gt; "plain")=TRUE), ((G151 &lt;&gt; "")=TRUE))</f>
        <v>0</v>
      </c>
      <c r="M151" s="4" t="str">
        <f>IF(((E151)=TRUE),  C151 &amp; "|" &amp; H151,  "")</f>
        <v>principal-cfo|AuthorityBoundaries</v>
      </c>
      <c r="N151" s="3" t="s">
        <v>10004</v>
      </c>
    </row>
    <row r="152">
      <c r="A152" s="3" t="s">
        <v>10154</v>
      </c>
      <c r="B152" s="4" t="str">
        <f>C152 &amp; " -&gt; " &amp; D152</f>
        <v>principal-cfo -&gt; AuthorityBoundaries.AuthorityRole</v>
      </c>
      <c r="C152" s="3" t="s">
        <v>9756</v>
      </c>
      <c r="D152" s="3" t="s">
        <v>5144</v>
      </c>
      <c r="E152" s="3" t="b">
        <v>1</v>
      </c>
      <c r="F152" s="3" t="b">
        <v>0</v>
      </c>
      <c r="G152" s="3" t="s">
        <v>10003</v>
      </c>
      <c r="H152" s="4" t="str">
        <f>_xlfn.IFNA(IF(((INDEX(RulebookFields!C2:C1898, MATCH(D152,RulebookFields!A2:A1898, 0))="")=TRUE),  "",  INDEX(RulebookFields!C2:C1898, MATCH(D152,RulebookFields!A2:A1898, 0))), "")</f>
        <v>AuthorityBoundaries</v>
      </c>
      <c r="I152" s="4" t="str">
        <f>_xlfn.IFNA(IF(((INDEX(RulebookFields!D2:D1898, MATCH(D152,RulebookFields!A2:A1898, 0))="")=TRUE),  "",  INDEX(RulebookFields!D2:D1898, MATCH(D152,RulebookFields!A2:A1898, 0))), "")</f>
        <v>AuthorityRole</v>
      </c>
      <c r="J152" s="4" t="b">
        <f>_xlfn.IFNA(IF(((INDEX(RulebookFields!I2:I1898, MATCH(D152,RulebookFields!A2:A1898, 0))="")=TRUE),  "",  INDEX(RulebookFields!I2:I1898, MATCH(D152,RulebookFields!A2:A1898, 0))), "")</f>
        <v>0</v>
      </c>
      <c r="K152" s="4" t="b">
        <f>AND(((F152)=TRUE), ((J152)=TRUE))</f>
        <v>0</v>
      </c>
      <c r="L152" s="4" t="b">
        <f>AND(((G152 &lt;&gt; "plain")=TRUE), ((G152 &lt;&gt; "")=TRUE))</f>
        <v>0</v>
      </c>
      <c r="M152" s="4" t="str">
        <f>IF(((E152)=TRUE),  C152 &amp; "|" &amp; H152,  "")</f>
        <v>principal-cfo|AuthorityBoundaries</v>
      </c>
      <c r="N152" s="3" t="s">
        <v>10004</v>
      </c>
    </row>
    <row r="153">
      <c r="A153" s="3" t="s">
        <v>10155</v>
      </c>
      <c r="B153" s="4" t="str">
        <f>C153 &amp; " -&gt; " &amp; D153</f>
        <v>principal-cfo -&gt; AuthorityBoundaries.Step</v>
      </c>
      <c r="C153" s="3" t="s">
        <v>9756</v>
      </c>
      <c r="D153" s="3" t="s">
        <v>5135</v>
      </c>
      <c r="E153" s="3" t="b">
        <v>1</v>
      </c>
      <c r="F153" s="3" t="b">
        <v>0</v>
      </c>
      <c r="G153" s="3" t="s">
        <v>10003</v>
      </c>
      <c r="H153" s="4" t="str">
        <f>_xlfn.IFNA(IF(((INDEX(RulebookFields!C2:C1898, MATCH(D153,RulebookFields!A2:A1898, 0))="")=TRUE),  "",  INDEX(RulebookFields!C2:C1898, MATCH(D153,RulebookFields!A2:A1898, 0))), "")</f>
        <v>AuthorityBoundaries</v>
      </c>
      <c r="I153" s="4" t="str">
        <f>_xlfn.IFNA(IF(((INDEX(RulebookFields!D2:D1898, MATCH(D153,RulebookFields!A2:A1898, 0))="")=TRUE),  "",  INDEX(RulebookFields!D2:D1898, MATCH(D153,RulebookFields!A2:A1898, 0))), "")</f>
        <v>Step</v>
      </c>
      <c r="J153" s="4" t="b">
        <f>_xlfn.IFNA(IF(((INDEX(RulebookFields!I2:I1898, MATCH(D153,RulebookFields!A2:A1898, 0))="")=TRUE),  "",  INDEX(RulebookFields!I2:I1898, MATCH(D153,RulebookFields!A2:A1898, 0))), "")</f>
        <v>0</v>
      </c>
      <c r="K153" s="4" t="b">
        <f>AND(((F153)=TRUE), ((J153)=TRUE))</f>
        <v>0</v>
      </c>
      <c r="L153" s="4" t="b">
        <f>AND(((G153 &lt;&gt; "plain")=TRUE), ((G153 &lt;&gt; "")=TRUE))</f>
        <v>0</v>
      </c>
      <c r="M153" s="4" t="str">
        <f>IF(((E153)=TRUE),  C153 &amp; "|" &amp; H153,  "")</f>
        <v>principal-cfo|AuthorityBoundaries</v>
      </c>
      <c r="N153" s="3" t="s">
        <v>10004</v>
      </c>
    </row>
    <row r="154">
      <c r="A154" s="3" t="s">
        <v>10156</v>
      </c>
      <c r="B154" s="4" t="str">
        <f>C154 &amp; " -&gt; " &amp; D154</f>
        <v>principal-cfo -&gt; AuthorityBoundaries.Name</v>
      </c>
      <c r="C154" s="3" t="s">
        <v>9756</v>
      </c>
      <c r="D154" s="3" t="s">
        <v>5133</v>
      </c>
      <c r="E154" s="3" t="b">
        <v>1</v>
      </c>
      <c r="F154" s="3" t="b">
        <v>0</v>
      </c>
      <c r="G154" s="3" t="s">
        <v>10003</v>
      </c>
      <c r="H154" s="4" t="str">
        <f>_xlfn.IFNA(IF(((INDEX(RulebookFields!C2:C1898, MATCH(D154,RulebookFields!A2:A1898, 0))="")=TRUE),  "",  INDEX(RulebookFields!C2:C1898, MATCH(D154,RulebookFields!A2:A1898, 0))), "")</f>
        <v>AuthorityBoundaries</v>
      </c>
      <c r="I154" s="4" t="str">
        <f>_xlfn.IFNA(IF(((INDEX(RulebookFields!D2:D1898, MATCH(D154,RulebookFields!A2:A1898, 0))="")=TRUE),  "",  INDEX(RulebookFields!D2:D1898, MATCH(D154,RulebookFields!A2:A1898, 0))), "")</f>
        <v>Name</v>
      </c>
      <c r="J154" s="4" t="b">
        <f>_xlfn.IFNA(IF(((INDEX(RulebookFields!I2:I1898, MATCH(D154,RulebookFields!A2:A1898, 0))="")=TRUE),  "",  INDEX(RulebookFields!I2:I1898, MATCH(D154,RulebookFields!A2:A1898, 0))), "")</f>
        <v>1</v>
      </c>
      <c r="K154" s="4" t="b">
        <f>AND(((F154)=TRUE), ((J154)=TRUE))</f>
        <v>0</v>
      </c>
      <c r="L154" s="4" t="b">
        <f>AND(((G154 &lt;&gt; "plain")=TRUE), ((G154 &lt;&gt; "")=TRUE))</f>
        <v>0</v>
      </c>
      <c r="M154" s="4" t="str">
        <f>IF(((E154)=TRUE),  C154 &amp; "|" &amp; H154,  "")</f>
        <v>principal-cfo|AuthorityBoundaries</v>
      </c>
      <c r="N154" s="3" t="s">
        <v>10004</v>
      </c>
    </row>
    <row r="155">
      <c r="A155" s="3" t="s">
        <v>10157</v>
      </c>
      <c r="B155" s="4" t="str">
        <f>C155 &amp; " -&gt; " &amp; D155</f>
        <v>principal-cfo -&gt; Procedures.ProcedureId</v>
      </c>
      <c r="C155" s="3" t="s">
        <v>9756</v>
      </c>
      <c r="D155" s="3" t="s">
        <v>2681</v>
      </c>
      <c r="E155" s="3" t="b">
        <v>1</v>
      </c>
      <c r="F155" s="3" t="b">
        <v>0</v>
      </c>
      <c r="G155" s="3" t="s">
        <v>10003</v>
      </c>
      <c r="H155" s="4" t="str">
        <f>_xlfn.IFNA(IF(((INDEX(RulebookFields!C2:C1898, MATCH(D155,RulebookFields!A2:A1898, 0))="")=TRUE),  "",  INDEX(RulebookFields!C2:C1898, MATCH(D155,RulebookFields!A2:A1898, 0))), "")</f>
        <v>Procedures</v>
      </c>
      <c r="I155" s="4" t="str">
        <f>_xlfn.IFNA(IF(((INDEX(RulebookFields!D2:D1898, MATCH(D155,RulebookFields!A2:A1898, 0))="")=TRUE),  "",  INDEX(RulebookFields!D2:D1898, MATCH(D155,RulebookFields!A2:A1898, 0))), "")</f>
        <v>ProcedureId</v>
      </c>
      <c r="J155" s="4" t="b">
        <f>_xlfn.IFNA(IF(((INDEX(RulebookFields!I2:I1898, MATCH(D155,RulebookFields!A2:A1898, 0))="")=TRUE),  "",  INDEX(RulebookFields!I2:I1898, MATCH(D155,RulebookFields!A2:A1898, 0))), "")</f>
        <v>0</v>
      </c>
      <c r="K155" s="4" t="b">
        <f>AND(((F155)=TRUE), ((J155)=TRUE))</f>
        <v>0</v>
      </c>
      <c r="L155" s="4" t="b">
        <f>AND(((G155 &lt;&gt; "plain")=TRUE), ((G155 &lt;&gt; "")=TRUE))</f>
        <v>0</v>
      </c>
      <c r="M155" s="4" t="str">
        <f>IF(((E155)=TRUE),  C155 &amp; "|" &amp; H155,  "")</f>
        <v>principal-cfo|Procedures</v>
      </c>
      <c r="N155" s="3" t="s">
        <v>10004</v>
      </c>
    </row>
    <row r="156">
      <c r="A156" s="3" t="s">
        <v>10158</v>
      </c>
      <c r="B156" s="4" t="str">
        <f>C156 &amp; " -&gt; " &amp; D156</f>
        <v>principal-cfo -&gt; Procedures.Title</v>
      </c>
      <c r="C156" s="3" t="s">
        <v>9756</v>
      </c>
      <c r="D156" s="3" t="s">
        <v>2684</v>
      </c>
      <c r="E156" s="3" t="b">
        <v>1</v>
      </c>
      <c r="F156" s="3" t="b">
        <v>0</v>
      </c>
      <c r="G156" s="3" t="s">
        <v>10003</v>
      </c>
      <c r="H156" s="4" t="str">
        <f>_xlfn.IFNA(IF(((INDEX(RulebookFields!C2:C1898, MATCH(D156,RulebookFields!A2:A1898, 0))="")=TRUE),  "",  INDEX(RulebookFields!C2:C1898, MATCH(D156,RulebookFields!A2:A1898, 0))), "")</f>
        <v>Procedures</v>
      </c>
      <c r="I156" s="4" t="str">
        <f>_xlfn.IFNA(IF(((INDEX(RulebookFields!D2:D1898, MATCH(D156,RulebookFields!A2:A1898, 0))="")=TRUE),  "",  INDEX(RulebookFields!D2:D1898, MATCH(D156,RulebookFields!A2:A1898, 0))), "")</f>
        <v>Title</v>
      </c>
      <c r="J156" s="4" t="b">
        <f>_xlfn.IFNA(IF(((INDEX(RulebookFields!I2:I1898, MATCH(D156,RulebookFields!A2:A1898, 0))="")=TRUE),  "",  INDEX(RulebookFields!I2:I1898, MATCH(D156,RulebookFields!A2:A1898, 0))), "")</f>
        <v>0</v>
      </c>
      <c r="K156" s="4" t="b">
        <f>AND(((F156)=TRUE), ((J156)=TRUE))</f>
        <v>0</v>
      </c>
      <c r="L156" s="4" t="b">
        <f>AND(((G156 &lt;&gt; "plain")=TRUE), ((G156 &lt;&gt; "")=TRUE))</f>
        <v>0</v>
      </c>
      <c r="M156" s="4" t="str">
        <f>IF(((E156)=TRUE),  C156 &amp; "|" &amp; H156,  "")</f>
        <v>principal-cfo|Procedures</v>
      </c>
      <c r="N156" s="3" t="s">
        <v>10004</v>
      </c>
    </row>
    <row r="157">
      <c r="A157" s="3" t="s">
        <v>10159</v>
      </c>
      <c r="B157" s="4" t="str">
        <f>C157 &amp; " -&gt; " &amp; D157</f>
        <v>principal-cfo -&gt; Procedures.Purpose</v>
      </c>
      <c r="C157" s="3" t="s">
        <v>9756</v>
      </c>
      <c r="D157" s="3" t="s">
        <v>2688</v>
      </c>
      <c r="E157" s="3" t="b">
        <v>1</v>
      </c>
      <c r="F157" s="3" t="b">
        <v>0</v>
      </c>
      <c r="G157" s="3" t="s">
        <v>10003</v>
      </c>
      <c r="H157" s="4" t="str">
        <f>_xlfn.IFNA(IF(((INDEX(RulebookFields!C2:C1898, MATCH(D157,RulebookFields!A2:A1898, 0))="")=TRUE),  "",  INDEX(RulebookFields!C2:C1898, MATCH(D157,RulebookFields!A2:A1898, 0))), "")</f>
        <v>Procedures</v>
      </c>
      <c r="I157" s="4" t="str">
        <f>_xlfn.IFNA(IF(((INDEX(RulebookFields!D2:D1898, MATCH(D157,RulebookFields!A2:A1898, 0))="")=TRUE),  "",  INDEX(RulebookFields!D2:D1898, MATCH(D157,RulebookFields!A2:A1898, 0))), "")</f>
        <v>Purpose</v>
      </c>
      <c r="J157" s="4" t="b">
        <f>_xlfn.IFNA(IF(((INDEX(RulebookFields!I2:I1898, MATCH(D157,RulebookFields!A2:A1898, 0))="")=TRUE),  "",  INDEX(RulebookFields!I2:I1898, MATCH(D157,RulebookFields!A2:A1898, 0))), "")</f>
        <v>0</v>
      </c>
      <c r="K157" s="4" t="b">
        <f>AND(((F157)=TRUE), ((J157)=TRUE))</f>
        <v>0</v>
      </c>
      <c r="L157" s="4" t="b">
        <f>AND(((G157 &lt;&gt; "plain")=TRUE), ((G157 &lt;&gt; "")=TRUE))</f>
        <v>0</v>
      </c>
      <c r="M157" s="4" t="str">
        <f>IF(((E157)=TRUE),  C157 &amp; "|" &amp; H157,  "")</f>
        <v>principal-cfo|Procedures</v>
      </c>
      <c r="N157" s="3" t="s">
        <v>10004</v>
      </c>
    </row>
    <row r="158">
      <c r="A158" s="3" t="s">
        <v>10160</v>
      </c>
      <c r="B158" s="4" t="str">
        <f>C158 &amp; " -&gt; " &amp; D158</f>
        <v>principal-cfo -&gt; Procedures.Name</v>
      </c>
      <c r="C158" s="3" t="s">
        <v>9756</v>
      </c>
      <c r="D158" s="3" t="s">
        <v>2682</v>
      </c>
      <c r="E158" s="3" t="b">
        <v>1</v>
      </c>
      <c r="F158" s="3" t="b">
        <v>0</v>
      </c>
      <c r="G158" s="3" t="s">
        <v>10003</v>
      </c>
      <c r="H158" s="4" t="str">
        <f>_xlfn.IFNA(IF(((INDEX(RulebookFields!C2:C1898, MATCH(D158,RulebookFields!A2:A1898, 0))="")=TRUE),  "",  INDEX(RulebookFields!C2:C1898, MATCH(D158,RulebookFields!A2:A1898, 0))), "")</f>
        <v>Procedures</v>
      </c>
      <c r="I158" s="4" t="str">
        <f>_xlfn.IFNA(IF(((INDEX(RulebookFields!D2:D1898, MATCH(D158,RulebookFields!A2:A1898, 0))="")=TRUE),  "",  INDEX(RulebookFields!D2:D1898, MATCH(D158,RulebookFields!A2:A1898, 0))), "")</f>
        <v>Name</v>
      </c>
      <c r="J158" s="4" t="b">
        <f>_xlfn.IFNA(IF(((INDEX(RulebookFields!I2:I1898, MATCH(D158,RulebookFields!A2:A1898, 0))="")=TRUE),  "",  INDEX(RulebookFields!I2:I1898, MATCH(D158,RulebookFields!A2:A1898, 0))), "")</f>
        <v>1</v>
      </c>
      <c r="K158" s="4" t="b">
        <f>AND(((F158)=TRUE), ((J158)=TRUE))</f>
        <v>0</v>
      </c>
      <c r="L158" s="4" t="b">
        <f>AND(((G158 &lt;&gt; "plain")=TRUE), ((G158 &lt;&gt; "")=TRUE))</f>
        <v>0</v>
      </c>
      <c r="M158" s="4" t="str">
        <f>IF(((E158)=TRUE),  C158 &amp; "|" &amp; H158,  "")</f>
        <v>principal-cfo|Procedures</v>
      </c>
      <c r="N158" s="3" t="s">
        <v>10004</v>
      </c>
    </row>
    <row r="159">
      <c r="A159" s="3" t="s">
        <v>10161</v>
      </c>
      <c r="B159" s="4" t="str">
        <f>C159 &amp; " -&gt; " &amp; D159</f>
        <v>principal-hr-policy-owner -&gt; Steps.StepId</v>
      </c>
      <c r="C159" s="3" t="s">
        <v>9758</v>
      </c>
      <c r="D159" s="3" t="s">
        <v>2870</v>
      </c>
      <c r="E159" s="3" t="b">
        <v>1</v>
      </c>
      <c r="F159" s="3" t="b">
        <v>0</v>
      </c>
      <c r="G159" s="3" t="s">
        <v>10003</v>
      </c>
      <c r="H159" s="4" t="str">
        <f>_xlfn.IFNA(IF(((INDEX(RulebookFields!C2:C1898, MATCH(D159,RulebookFields!A2:A1898, 0))="")=TRUE),  "",  INDEX(RulebookFields!C2:C1898, MATCH(D159,RulebookFields!A2:A1898, 0))), "")</f>
        <v>Steps</v>
      </c>
      <c r="I159" s="4" t="str">
        <f>_xlfn.IFNA(IF(((INDEX(RulebookFields!D2:D1898, MATCH(D159,RulebookFields!A2:A1898, 0))="")=TRUE),  "",  INDEX(RulebookFields!D2:D1898, MATCH(D159,RulebookFields!A2:A1898, 0))), "")</f>
        <v>StepId</v>
      </c>
      <c r="J159" s="4" t="b">
        <f>_xlfn.IFNA(IF(((INDEX(RulebookFields!I2:I1898, MATCH(D159,RulebookFields!A2:A1898, 0))="")=TRUE),  "",  INDEX(RulebookFields!I2:I1898, MATCH(D159,RulebookFields!A2:A1898, 0))), "")</f>
        <v>0</v>
      </c>
      <c r="K159" s="4" t="b">
        <f>AND(((F159)=TRUE), ((J159)=TRUE))</f>
        <v>0</v>
      </c>
      <c r="L159" s="4" t="b">
        <f>AND(((G159 &lt;&gt; "plain")=TRUE), ((G159 &lt;&gt; "")=TRUE))</f>
        <v>0</v>
      </c>
      <c r="M159" s="4" t="str">
        <f>IF(((E159)=TRUE),  C159 &amp; "|" &amp; H159,  "")</f>
        <v>principal-hr-policy-owner|Steps</v>
      </c>
      <c r="N159" s="3" t="s">
        <v>10004</v>
      </c>
    </row>
    <row r="160">
      <c r="A160" s="3" t="s">
        <v>10162</v>
      </c>
      <c r="B160" s="4" t="str">
        <f>C160 &amp; " -&gt; " &amp; D160</f>
        <v>principal-hr-policy-owner -&gt; Steps.StepNumber</v>
      </c>
      <c r="C160" s="3" t="s">
        <v>9758</v>
      </c>
      <c r="D160" s="3" t="s">
        <v>2874</v>
      </c>
      <c r="E160" s="3" t="b">
        <v>1</v>
      </c>
      <c r="F160" s="3" t="b">
        <v>0</v>
      </c>
      <c r="G160" s="3" t="s">
        <v>10003</v>
      </c>
      <c r="H160" s="4" t="str">
        <f>_xlfn.IFNA(IF(((INDEX(RulebookFields!C2:C1898, MATCH(D160,RulebookFields!A2:A1898, 0))="")=TRUE),  "",  INDEX(RulebookFields!C2:C1898, MATCH(D160,RulebookFields!A2:A1898, 0))), "")</f>
        <v>Steps</v>
      </c>
      <c r="I160" s="4" t="str">
        <f>_xlfn.IFNA(IF(((INDEX(RulebookFields!D2:D1898, MATCH(D160,RulebookFields!A2:A1898, 0))="")=TRUE),  "",  INDEX(RulebookFields!D2:D1898, MATCH(D160,RulebookFields!A2:A1898, 0))), "")</f>
        <v>StepNumber</v>
      </c>
      <c r="J160" s="4" t="b">
        <f>_xlfn.IFNA(IF(((INDEX(RulebookFields!I2:I1898, MATCH(D160,RulebookFields!A2:A1898, 0))="")=TRUE),  "",  INDEX(RulebookFields!I2:I1898, MATCH(D160,RulebookFields!A2:A1898, 0))), "")</f>
        <v>0</v>
      </c>
      <c r="K160" s="4" t="b">
        <f>AND(((F160)=TRUE), ((J160)=TRUE))</f>
        <v>0</v>
      </c>
      <c r="L160" s="4" t="b">
        <f>AND(((G160 &lt;&gt; "plain")=TRUE), ((G160 &lt;&gt; "")=TRUE))</f>
        <v>0</v>
      </c>
      <c r="M160" s="4" t="str">
        <f>IF(((E160)=TRUE),  C160 &amp; "|" &amp; H160,  "")</f>
        <v>principal-hr-policy-owner|Steps</v>
      </c>
      <c r="N160" s="3" t="s">
        <v>10004</v>
      </c>
    </row>
    <row r="161">
      <c r="A161" s="3" t="s">
        <v>10163</v>
      </c>
      <c r="B161" s="4" t="str">
        <f>C161 &amp; " -&gt; " &amp; D161</f>
        <v>principal-hr-policy-owner -&gt; Steps.Title</v>
      </c>
      <c r="C161" s="3" t="s">
        <v>9758</v>
      </c>
      <c r="D161" s="3" t="s">
        <v>2875</v>
      </c>
      <c r="E161" s="3" t="b">
        <v>1</v>
      </c>
      <c r="F161" s="3" t="b">
        <v>0</v>
      </c>
      <c r="G161" s="3" t="s">
        <v>10003</v>
      </c>
      <c r="H161" s="4" t="str">
        <f>_xlfn.IFNA(IF(((INDEX(RulebookFields!C2:C1898, MATCH(D161,RulebookFields!A2:A1898, 0))="")=TRUE),  "",  INDEX(RulebookFields!C2:C1898, MATCH(D161,RulebookFields!A2:A1898, 0))), "")</f>
        <v>Steps</v>
      </c>
      <c r="I161" s="4" t="str">
        <f>_xlfn.IFNA(IF(((INDEX(RulebookFields!D2:D1898, MATCH(D161,RulebookFields!A2:A1898, 0))="")=TRUE),  "",  INDEX(RulebookFields!D2:D1898, MATCH(D161,RulebookFields!A2:A1898, 0))), "")</f>
        <v>Title</v>
      </c>
      <c r="J161" s="4" t="b">
        <f>_xlfn.IFNA(IF(((INDEX(RulebookFields!I2:I1898, MATCH(D161,RulebookFields!A2:A1898, 0))="")=TRUE),  "",  INDEX(RulebookFields!I2:I1898, MATCH(D161,RulebookFields!A2:A1898, 0))), "")</f>
        <v>0</v>
      </c>
      <c r="K161" s="4" t="b">
        <f>AND(((F161)=TRUE), ((J161)=TRUE))</f>
        <v>0</v>
      </c>
      <c r="L161" s="4" t="b">
        <f>AND(((G161 &lt;&gt; "plain")=TRUE), ((G161 &lt;&gt; "")=TRUE))</f>
        <v>0</v>
      </c>
      <c r="M161" s="4" t="str">
        <f>IF(((E161)=TRUE),  C161 &amp; "|" &amp; H161,  "")</f>
        <v>principal-hr-policy-owner|Steps</v>
      </c>
      <c r="N161" s="3" t="s">
        <v>10004</v>
      </c>
    </row>
    <row r="162">
      <c r="A162" s="3" t="s">
        <v>10164</v>
      </c>
      <c r="B162" s="4" t="str">
        <f>C162 &amp; " -&gt; " &amp; D162</f>
        <v>principal-hr-policy-owner -&gt; Steps.StepKind</v>
      </c>
      <c r="C162" s="3" t="s">
        <v>9758</v>
      </c>
      <c r="D162" s="3" t="s">
        <v>2876</v>
      </c>
      <c r="E162" s="3" t="b">
        <v>1</v>
      </c>
      <c r="F162" s="3" t="b">
        <v>0</v>
      </c>
      <c r="G162" s="3" t="s">
        <v>10003</v>
      </c>
      <c r="H162" s="4" t="str">
        <f>_xlfn.IFNA(IF(((INDEX(RulebookFields!C2:C1898, MATCH(D162,RulebookFields!A2:A1898, 0))="")=TRUE),  "",  INDEX(RulebookFields!C2:C1898, MATCH(D162,RulebookFields!A2:A1898, 0))), "")</f>
        <v>Steps</v>
      </c>
      <c r="I162" s="4" t="str">
        <f>_xlfn.IFNA(IF(((INDEX(RulebookFields!D2:D1898, MATCH(D162,RulebookFields!A2:A1898, 0))="")=TRUE),  "",  INDEX(RulebookFields!D2:D1898, MATCH(D162,RulebookFields!A2:A1898, 0))), "")</f>
        <v>StepKind</v>
      </c>
      <c r="J162" s="4" t="b">
        <f>_xlfn.IFNA(IF(((INDEX(RulebookFields!I2:I1898, MATCH(D162,RulebookFields!A2:A1898, 0))="")=TRUE),  "",  INDEX(RulebookFields!I2:I1898, MATCH(D162,RulebookFields!A2:A1898, 0))), "")</f>
        <v>0</v>
      </c>
      <c r="K162" s="4" t="b">
        <f>AND(((F162)=TRUE), ((J162)=TRUE))</f>
        <v>0</v>
      </c>
      <c r="L162" s="4" t="b">
        <f>AND(((G162 &lt;&gt; "plain")=TRUE), ((G162 &lt;&gt; "")=TRUE))</f>
        <v>0</v>
      </c>
      <c r="M162" s="4" t="str">
        <f>IF(((E162)=TRUE),  C162 &amp; "|" &amp; H162,  "")</f>
        <v>principal-hr-policy-owner|Steps</v>
      </c>
      <c r="N162" s="3" t="s">
        <v>10004</v>
      </c>
    </row>
    <row r="163">
      <c r="A163" s="3" t="s">
        <v>10165</v>
      </c>
      <c r="B163" s="4" t="str">
        <f>C163 &amp; " -&gt; " &amp; D163</f>
        <v>principal-hr-policy-owner -&gt; Steps.Instruction</v>
      </c>
      <c r="C163" s="3" t="s">
        <v>9758</v>
      </c>
      <c r="D163" s="3" t="s">
        <v>2882</v>
      </c>
      <c r="E163" s="3" t="b">
        <v>1</v>
      </c>
      <c r="F163" s="3" t="b">
        <v>0</v>
      </c>
      <c r="G163" s="3" t="s">
        <v>10003</v>
      </c>
      <c r="H163" s="4" t="str">
        <f>_xlfn.IFNA(IF(((INDEX(RulebookFields!C2:C1898, MATCH(D163,RulebookFields!A2:A1898, 0))="")=TRUE),  "",  INDEX(RulebookFields!C2:C1898, MATCH(D163,RulebookFields!A2:A1898, 0))), "")</f>
        <v>Steps</v>
      </c>
      <c r="I163" s="4" t="str">
        <f>_xlfn.IFNA(IF(((INDEX(RulebookFields!D2:D1898, MATCH(D163,RulebookFields!A2:A1898, 0))="")=TRUE),  "",  INDEX(RulebookFields!D2:D1898, MATCH(D163,RulebookFields!A2:A1898, 0))), "")</f>
        <v>Instruction</v>
      </c>
      <c r="J163" s="4" t="b">
        <f>_xlfn.IFNA(IF(((INDEX(RulebookFields!I2:I1898, MATCH(D163,RulebookFields!A2:A1898, 0))="")=TRUE),  "",  INDEX(RulebookFields!I2:I1898, MATCH(D163,RulebookFields!A2:A1898, 0))), "")</f>
        <v>0</v>
      </c>
      <c r="K163" s="4" t="b">
        <f>AND(((F163)=TRUE), ((J163)=TRUE))</f>
        <v>0</v>
      </c>
      <c r="L163" s="4" t="b">
        <f>AND(((G163 &lt;&gt; "plain")=TRUE), ((G163 &lt;&gt; "")=TRUE))</f>
        <v>0</v>
      </c>
      <c r="M163" s="4" t="str">
        <f>IF(((E163)=TRUE),  C163 &amp; "|" &amp; H163,  "")</f>
        <v>principal-hr-policy-owner|Steps</v>
      </c>
      <c r="N163" s="3" t="s">
        <v>10004</v>
      </c>
    </row>
    <row r="164">
      <c r="A164" s="3" t="s">
        <v>10166</v>
      </c>
      <c r="B164" s="4" t="str">
        <f>C164 &amp; " -&gt; " &amp; D164</f>
        <v>principal-hr-policy-owner -&gt; Steps.AssignedRole</v>
      </c>
      <c r="C164" s="3" t="s">
        <v>9758</v>
      </c>
      <c r="D164" s="3" t="s">
        <v>2877</v>
      </c>
      <c r="E164" s="3" t="b">
        <v>1</v>
      </c>
      <c r="F164" s="3" t="b">
        <v>0</v>
      </c>
      <c r="G164" s="3" t="s">
        <v>10003</v>
      </c>
      <c r="H164" s="4" t="str">
        <f>_xlfn.IFNA(IF(((INDEX(RulebookFields!C2:C1898, MATCH(D164,RulebookFields!A2:A1898, 0))="")=TRUE),  "",  INDEX(RulebookFields!C2:C1898, MATCH(D164,RulebookFields!A2:A1898, 0))), "")</f>
        <v>Steps</v>
      </c>
      <c r="I164" s="4" t="str">
        <f>_xlfn.IFNA(IF(((INDEX(RulebookFields!D2:D1898, MATCH(D164,RulebookFields!A2:A1898, 0))="")=TRUE),  "",  INDEX(RulebookFields!D2:D1898, MATCH(D164,RulebookFields!A2:A1898, 0))), "")</f>
        <v>AssignedRole</v>
      </c>
      <c r="J164" s="4" t="b">
        <f>_xlfn.IFNA(IF(((INDEX(RulebookFields!I2:I1898, MATCH(D164,RulebookFields!A2:A1898, 0))="")=TRUE),  "",  INDEX(RulebookFields!I2:I1898, MATCH(D164,RulebookFields!A2:A1898, 0))), "")</f>
        <v>0</v>
      </c>
      <c r="K164" s="4" t="b">
        <f>AND(((F164)=TRUE), ((J164)=TRUE))</f>
        <v>0</v>
      </c>
      <c r="L164" s="4" t="b">
        <f>AND(((G164 &lt;&gt; "plain")=TRUE), ((G164 &lt;&gt; "")=TRUE))</f>
        <v>0</v>
      </c>
      <c r="M164" s="4" t="str">
        <f>IF(((E164)=TRUE),  C164 &amp; "|" &amp; H164,  "")</f>
        <v>principal-hr-policy-owner|Steps</v>
      </c>
      <c r="N164" s="3" t="s">
        <v>10004</v>
      </c>
    </row>
    <row r="165">
      <c r="A165" s="3" t="s">
        <v>10167</v>
      </c>
      <c r="B165" s="4" t="str">
        <f>C165 &amp; " -&gt; " &amp; D165</f>
        <v>principal-hr-policy-owner -&gt; Steps.AssignedRoleLabel</v>
      </c>
      <c r="C165" s="3" t="s">
        <v>9758</v>
      </c>
      <c r="D165" s="3" t="s">
        <v>2878</v>
      </c>
      <c r="E165" s="3" t="b">
        <v>1</v>
      </c>
      <c r="F165" s="3" t="b">
        <v>0</v>
      </c>
      <c r="G165" s="3" t="s">
        <v>10003</v>
      </c>
      <c r="H165" s="4" t="str">
        <f>_xlfn.IFNA(IF(((INDEX(RulebookFields!C2:C1898, MATCH(D165,RulebookFields!A2:A1898, 0))="")=TRUE),  "",  INDEX(RulebookFields!C2:C1898, MATCH(D165,RulebookFields!A2:A1898, 0))), "")</f>
        <v>Steps</v>
      </c>
      <c r="I165" s="4" t="str">
        <f>_xlfn.IFNA(IF(((INDEX(RulebookFields!D2:D1898, MATCH(D165,RulebookFields!A2:A1898, 0))="")=TRUE),  "",  INDEX(RulebookFields!D2:D1898, MATCH(D165,RulebookFields!A2:A1898, 0))), "")</f>
        <v>AssignedRoleLabel</v>
      </c>
      <c r="J165" s="4" t="b">
        <f>_xlfn.IFNA(IF(((INDEX(RulebookFields!I2:I1898, MATCH(D165,RulebookFields!A2:A1898, 0))="")=TRUE),  "",  INDEX(RulebookFields!I2:I1898, MATCH(D165,RulebookFields!A2:A1898, 0))), "")</f>
        <v>1</v>
      </c>
      <c r="K165" s="4" t="b">
        <f>AND(((F165)=TRUE), ((J165)=TRUE))</f>
        <v>0</v>
      </c>
      <c r="L165" s="4" t="b">
        <f>AND(((G165 &lt;&gt; "plain")=TRUE), ((G165 &lt;&gt; "")=TRUE))</f>
        <v>0</v>
      </c>
      <c r="M165" s="4" t="str">
        <f>IF(((E165)=TRUE),  C165 &amp; "|" &amp; H165,  "")</f>
        <v>principal-hr-policy-owner|Steps</v>
      </c>
      <c r="N165" s="3" t="s">
        <v>10004</v>
      </c>
    </row>
    <row r="166">
      <c r="A166" s="3" t="s">
        <v>10168</v>
      </c>
      <c r="B166" s="4" t="str">
        <f>C166 &amp; " -&gt; " &amp; D166</f>
        <v>principal-hr-policy-owner -&gt; Steps.ProcedureVersion</v>
      </c>
      <c r="C166" s="3" t="s">
        <v>9758</v>
      </c>
      <c r="D166" s="3" t="s">
        <v>2873</v>
      </c>
      <c r="E166" s="3" t="b">
        <v>1</v>
      </c>
      <c r="F166" s="3" t="b">
        <v>0</v>
      </c>
      <c r="G166" s="3" t="s">
        <v>10003</v>
      </c>
      <c r="H166" s="4" t="str">
        <f>_xlfn.IFNA(IF(((INDEX(RulebookFields!C2:C1898, MATCH(D166,RulebookFields!A2:A1898, 0))="")=TRUE),  "",  INDEX(RulebookFields!C2:C1898, MATCH(D166,RulebookFields!A2:A1898, 0))), "")</f>
        <v>Steps</v>
      </c>
      <c r="I166" s="4" t="str">
        <f>_xlfn.IFNA(IF(((INDEX(RulebookFields!D2:D1898, MATCH(D166,RulebookFields!A2:A1898, 0))="")=TRUE),  "",  INDEX(RulebookFields!D2:D1898, MATCH(D166,RulebookFields!A2:A1898, 0))), "")</f>
        <v>ProcedureVersion</v>
      </c>
      <c r="J166" s="4" t="b">
        <f>_xlfn.IFNA(IF(((INDEX(RulebookFields!I2:I1898, MATCH(D166,RulebookFields!A2:A1898, 0))="")=TRUE),  "",  INDEX(RulebookFields!I2:I1898, MATCH(D166,RulebookFields!A2:A1898, 0))), "")</f>
        <v>0</v>
      </c>
      <c r="K166" s="4" t="b">
        <f>AND(((F166)=TRUE), ((J166)=TRUE))</f>
        <v>0</v>
      </c>
      <c r="L166" s="4" t="b">
        <f>AND(((G166 &lt;&gt; "plain")=TRUE), ((G166 &lt;&gt; "")=TRUE))</f>
        <v>0</v>
      </c>
      <c r="M166" s="4" t="str">
        <f>IF(((E166)=TRUE),  C166 &amp; "|" &amp; H166,  "")</f>
        <v>principal-hr-policy-owner|Steps</v>
      </c>
      <c r="N166" s="3" t="s">
        <v>10004</v>
      </c>
    </row>
    <row r="167">
      <c r="A167" s="3" t="s">
        <v>10169</v>
      </c>
      <c r="B167" s="4" t="str">
        <f>C167 &amp; " -&gt; " &amp; D167</f>
        <v>principal-hr-policy-owner -&gt; Steps.Name</v>
      </c>
      <c r="C167" s="3" t="s">
        <v>9758</v>
      </c>
      <c r="D167" s="3" t="s">
        <v>2871</v>
      </c>
      <c r="E167" s="3" t="b">
        <v>1</v>
      </c>
      <c r="F167" s="3" t="b">
        <v>0</v>
      </c>
      <c r="G167" s="3" t="s">
        <v>10003</v>
      </c>
      <c r="H167" s="4" t="str">
        <f>_xlfn.IFNA(IF(((INDEX(RulebookFields!C2:C1898, MATCH(D167,RulebookFields!A2:A1898, 0))="")=TRUE),  "",  INDEX(RulebookFields!C2:C1898, MATCH(D167,RulebookFields!A2:A1898, 0))), "")</f>
        <v>Steps</v>
      </c>
      <c r="I167" s="4" t="str">
        <f>_xlfn.IFNA(IF(((INDEX(RulebookFields!D2:D1898, MATCH(D167,RulebookFields!A2:A1898, 0))="")=TRUE),  "",  INDEX(RulebookFields!D2:D1898, MATCH(D167,RulebookFields!A2:A1898, 0))), "")</f>
        <v>Name</v>
      </c>
      <c r="J167" s="4" t="b">
        <f>_xlfn.IFNA(IF(((INDEX(RulebookFields!I2:I1898, MATCH(D167,RulebookFields!A2:A1898, 0))="")=TRUE),  "",  INDEX(RulebookFields!I2:I1898, MATCH(D167,RulebookFields!A2:A1898, 0))), "")</f>
        <v>1</v>
      </c>
      <c r="K167" s="4" t="b">
        <f>AND(((F167)=TRUE), ((J167)=TRUE))</f>
        <v>0</v>
      </c>
      <c r="L167" s="4" t="b">
        <f>AND(((G167 &lt;&gt; "plain")=TRUE), ((G167 &lt;&gt; "")=TRUE))</f>
        <v>0</v>
      </c>
      <c r="M167" s="4" t="str">
        <f>IF(((E167)=TRUE),  C167 &amp; "|" &amp; H167,  "")</f>
        <v>principal-hr-policy-owner|Steps</v>
      </c>
      <c r="N167" s="3" t="s">
        <v>10004</v>
      </c>
    </row>
    <row r="168">
      <c r="A168" s="3" t="s">
        <v>10170</v>
      </c>
      <c r="B168" s="4" t="str">
        <f>C168 &amp; " -&gt; " &amp; D168</f>
        <v>principal-hr-policy-owner -&gt; Steps.IsApprovalStep</v>
      </c>
      <c r="C168" s="3" t="s">
        <v>9758</v>
      </c>
      <c r="D168" s="3" t="s">
        <v>2898</v>
      </c>
      <c r="E168" s="3" t="b">
        <v>1</v>
      </c>
      <c r="F168" s="3" t="b">
        <v>0</v>
      </c>
      <c r="G168" s="3" t="s">
        <v>10003</v>
      </c>
      <c r="H168" s="4" t="str">
        <f>_xlfn.IFNA(IF(((INDEX(RulebookFields!C2:C1898, MATCH(D168,RulebookFields!A2:A1898, 0))="")=TRUE),  "",  INDEX(RulebookFields!C2:C1898, MATCH(D168,RulebookFields!A2:A1898, 0))), "")</f>
        <v>Steps</v>
      </c>
      <c r="I168" s="4" t="str">
        <f>_xlfn.IFNA(IF(((INDEX(RulebookFields!D2:D1898, MATCH(D168,RulebookFields!A2:A1898, 0))="")=TRUE),  "",  INDEX(RulebookFields!D2:D1898, MATCH(D168,RulebookFields!A2:A1898, 0))), "")</f>
        <v>IsApprovalStep</v>
      </c>
      <c r="J168" s="4" t="b">
        <f>_xlfn.IFNA(IF(((INDEX(RulebookFields!I2:I1898, MATCH(D168,RulebookFields!A2:A1898, 0))="")=TRUE),  "",  INDEX(RulebookFields!I2:I1898, MATCH(D168,RulebookFields!A2:A1898, 0))), "")</f>
        <v>1</v>
      </c>
      <c r="K168" s="4" t="b">
        <f>AND(((F168)=TRUE), ((J168)=TRUE))</f>
        <v>0</v>
      </c>
      <c r="L168" s="4" t="b">
        <f>AND(((G168 &lt;&gt; "plain")=TRUE), ((G168 &lt;&gt; "")=TRUE))</f>
        <v>0</v>
      </c>
      <c r="M168" s="4" t="str">
        <f>IF(((E168)=TRUE),  C168 &amp; "|" &amp; H168,  "")</f>
        <v>principal-hr-policy-owner|Steps</v>
      </c>
      <c r="N168" s="3" t="s">
        <v>10004</v>
      </c>
    </row>
    <row r="169">
      <c r="A169" s="3" t="s">
        <v>10171</v>
      </c>
      <c r="B169" s="4" t="str">
        <f>C169 &amp; " -&gt; " &amp; D169</f>
        <v>principal-hr-policy-owner -&gt; Steps.RequiresHumanConfirmation</v>
      </c>
      <c r="C169" s="3" t="s">
        <v>9758</v>
      </c>
      <c r="D169" s="3" t="s">
        <v>2885</v>
      </c>
      <c r="E169" s="3" t="b">
        <v>1</v>
      </c>
      <c r="F169" s="3" t="b">
        <v>0</v>
      </c>
      <c r="G169" s="3" t="s">
        <v>10003</v>
      </c>
      <c r="H169" s="4" t="str">
        <f>_xlfn.IFNA(IF(((INDEX(RulebookFields!C2:C1898, MATCH(D169,RulebookFields!A2:A1898, 0))="")=TRUE),  "",  INDEX(RulebookFields!C2:C1898, MATCH(D169,RulebookFields!A2:A1898, 0))), "")</f>
        <v>Steps</v>
      </c>
      <c r="I169" s="4" t="str">
        <f>_xlfn.IFNA(IF(((INDEX(RulebookFields!D2:D1898, MATCH(D169,RulebookFields!A2:A1898, 0))="")=TRUE),  "",  INDEX(RulebookFields!D2:D1898, MATCH(D169,RulebookFields!A2:A1898, 0))), "")</f>
        <v>RequiresHumanConfirmation</v>
      </c>
      <c r="J169" s="4" t="b">
        <f>_xlfn.IFNA(IF(((INDEX(RulebookFields!I2:I1898, MATCH(D169,RulebookFields!A2:A1898, 0))="")=TRUE),  "",  INDEX(RulebookFields!I2:I1898, MATCH(D169,RulebookFields!A2:A1898, 0))), "")</f>
        <v>0</v>
      </c>
      <c r="K169" s="4" t="b">
        <f>AND(((F169)=TRUE), ((J169)=TRUE))</f>
        <v>0</v>
      </c>
      <c r="L169" s="4" t="b">
        <f>AND(((G169 &lt;&gt; "plain")=TRUE), ((G169 &lt;&gt; "")=TRUE))</f>
        <v>0</v>
      </c>
      <c r="M169" s="4" t="str">
        <f>IF(((E169)=TRUE),  C169 &amp; "|" &amp; H169,  "")</f>
        <v>principal-hr-policy-owner|Steps</v>
      </c>
      <c r="N169" s="3" t="s">
        <v>10004</v>
      </c>
    </row>
    <row r="170">
      <c r="A170" s="3" t="s">
        <v>10172</v>
      </c>
      <c r="B170" s="4" t="str">
        <f>C170 &amp; " -&gt; " &amp; D170</f>
        <v>principal-hr-policy-owner -&gt; Steps.ExpectedDurationMinutes</v>
      </c>
      <c r="C170" s="3" t="s">
        <v>9758</v>
      </c>
      <c r="D170" s="3" t="s">
        <v>2883</v>
      </c>
      <c r="E170" s="3" t="b">
        <v>1</v>
      </c>
      <c r="F170" s="3" t="b">
        <v>0</v>
      </c>
      <c r="G170" s="3" t="s">
        <v>10003</v>
      </c>
      <c r="H170" s="4" t="str">
        <f>_xlfn.IFNA(IF(((INDEX(RulebookFields!C2:C1898, MATCH(D170,RulebookFields!A2:A1898, 0))="")=TRUE),  "",  INDEX(RulebookFields!C2:C1898, MATCH(D170,RulebookFields!A2:A1898, 0))), "")</f>
        <v>Steps</v>
      </c>
      <c r="I170" s="4" t="str">
        <f>_xlfn.IFNA(IF(((INDEX(RulebookFields!D2:D1898, MATCH(D170,RulebookFields!A2:A1898, 0))="")=TRUE),  "",  INDEX(RulebookFields!D2:D1898, MATCH(D170,RulebookFields!A2:A1898, 0))), "")</f>
        <v>ExpectedDurationMinutes</v>
      </c>
      <c r="J170" s="4" t="b">
        <f>_xlfn.IFNA(IF(((INDEX(RulebookFields!I2:I1898, MATCH(D170,RulebookFields!A2:A1898, 0))="")=TRUE),  "",  INDEX(RulebookFields!I2:I1898, MATCH(D170,RulebookFields!A2:A1898, 0))), "")</f>
        <v>0</v>
      </c>
      <c r="K170" s="4" t="b">
        <f>AND(((F170)=TRUE), ((J170)=TRUE))</f>
        <v>0</v>
      </c>
      <c r="L170" s="4" t="b">
        <f>AND(((G170 &lt;&gt; "plain")=TRUE), ((G170 &lt;&gt; "")=TRUE))</f>
        <v>0</v>
      </c>
      <c r="M170" s="4" t="str">
        <f>IF(((E170)=TRUE),  C170 &amp; "|" &amp; H170,  "")</f>
        <v>principal-hr-policy-owner|Steps</v>
      </c>
      <c r="N170" s="3" t="s">
        <v>10004</v>
      </c>
    </row>
    <row r="171">
      <c r="A171" s="3" t="s">
        <v>10173</v>
      </c>
      <c r="B171" s="4" t="str">
        <f>C171 &amp; " -&gt; " &amp; D171</f>
        <v>principal-hr-policy-owner -&gt; KnowledgeFragments.KnowledgeFragmentId</v>
      </c>
      <c r="C171" s="3" t="s">
        <v>9758</v>
      </c>
      <c r="D171" s="3" t="s">
        <v>3225</v>
      </c>
      <c r="E171" s="3" t="b">
        <v>1</v>
      </c>
      <c r="F171" s="3" t="b">
        <v>0</v>
      </c>
      <c r="G171" s="3" t="s">
        <v>10003</v>
      </c>
      <c r="H171" s="4" t="str">
        <f>_xlfn.IFNA(IF(((INDEX(RulebookFields!C2:C1898, MATCH(D171,RulebookFields!A2:A1898, 0))="")=TRUE),  "",  INDEX(RulebookFields!C2:C1898, MATCH(D171,RulebookFields!A2:A1898, 0))), "")</f>
        <v>KnowledgeFragments</v>
      </c>
      <c r="I171" s="4" t="str">
        <f>_xlfn.IFNA(IF(((INDEX(RulebookFields!D2:D1898, MATCH(D171,RulebookFields!A2:A1898, 0))="")=TRUE),  "",  INDEX(RulebookFields!D2:D1898, MATCH(D171,RulebookFields!A2:A1898, 0))), "")</f>
        <v>KnowledgeFragmentId</v>
      </c>
      <c r="J171" s="4" t="b">
        <f>_xlfn.IFNA(IF(((INDEX(RulebookFields!I2:I1898, MATCH(D171,RulebookFields!A2:A1898, 0))="")=TRUE),  "",  INDEX(RulebookFields!I2:I1898, MATCH(D171,RulebookFields!A2:A1898, 0))), "")</f>
        <v>0</v>
      </c>
      <c r="K171" s="4" t="b">
        <f>AND(((F171)=TRUE), ((J171)=TRUE))</f>
        <v>0</v>
      </c>
      <c r="L171" s="4" t="b">
        <f>AND(((G171 &lt;&gt; "plain")=TRUE), ((G171 &lt;&gt; "")=TRUE))</f>
        <v>0</v>
      </c>
      <c r="M171" s="4" t="str">
        <f>IF(((E171)=TRUE),  C171 &amp; "|" &amp; H171,  "")</f>
        <v>principal-hr-policy-owner|KnowledgeFragments</v>
      </c>
      <c r="N171" s="3" t="s">
        <v>10004</v>
      </c>
    </row>
    <row r="172">
      <c r="A172" s="3" t="s">
        <v>10174</v>
      </c>
      <c r="B172" s="4" t="str">
        <f>C172 &amp; " -&gt; " &amp; D172</f>
        <v>principal-hr-policy-owner -&gt; KnowledgeFragments.Statement</v>
      </c>
      <c r="C172" s="3" t="s">
        <v>9758</v>
      </c>
      <c r="D172" s="3" t="s">
        <v>3231</v>
      </c>
      <c r="E172" s="3" t="b">
        <v>1</v>
      </c>
      <c r="F172" s="3" t="b">
        <v>0</v>
      </c>
      <c r="G172" s="3" t="s">
        <v>10003</v>
      </c>
      <c r="H172" s="4" t="str">
        <f>_xlfn.IFNA(IF(((INDEX(RulebookFields!C2:C1898, MATCH(D172,RulebookFields!A2:A1898, 0))="")=TRUE),  "",  INDEX(RulebookFields!C2:C1898, MATCH(D172,RulebookFields!A2:A1898, 0))), "")</f>
        <v>KnowledgeFragments</v>
      </c>
      <c r="I172" s="4" t="str">
        <f>_xlfn.IFNA(IF(((INDEX(RulebookFields!D2:D1898, MATCH(D172,RulebookFields!A2:A1898, 0))="")=TRUE),  "",  INDEX(RulebookFields!D2:D1898, MATCH(D172,RulebookFields!A2:A1898, 0))), "")</f>
        <v>Statement</v>
      </c>
      <c r="J172" s="4" t="b">
        <f>_xlfn.IFNA(IF(((INDEX(RulebookFields!I2:I1898, MATCH(D172,RulebookFields!A2:A1898, 0))="")=TRUE),  "",  INDEX(RulebookFields!I2:I1898, MATCH(D172,RulebookFields!A2:A1898, 0))), "")</f>
        <v>0</v>
      </c>
      <c r="K172" s="4" t="b">
        <f>AND(((F172)=TRUE), ((J172)=TRUE))</f>
        <v>0</v>
      </c>
      <c r="L172" s="4" t="b">
        <f>AND(((G172 &lt;&gt; "plain")=TRUE), ((G172 &lt;&gt; "")=TRUE))</f>
        <v>0</v>
      </c>
      <c r="M172" s="4" t="str">
        <f>IF(((E172)=TRUE),  C172 &amp; "|" &amp; H172,  "")</f>
        <v>principal-hr-policy-owner|KnowledgeFragments</v>
      </c>
      <c r="N172" s="3" t="s">
        <v>10004</v>
      </c>
    </row>
    <row r="173">
      <c r="A173" s="3" t="s">
        <v>10175</v>
      </c>
      <c r="B173" s="4" t="str">
        <f>C173 &amp; " -&gt; " &amp; D173</f>
        <v>principal-hr-policy-owner -&gt; KnowledgeFragments.KnowledgeForm</v>
      </c>
      <c r="C173" s="3" t="s">
        <v>9758</v>
      </c>
      <c r="D173" s="3" t="s">
        <v>3230</v>
      </c>
      <c r="E173" s="3" t="b">
        <v>1</v>
      </c>
      <c r="F173" s="3" t="b">
        <v>0</v>
      </c>
      <c r="G173" s="3" t="s">
        <v>10003</v>
      </c>
      <c r="H173" s="4" t="str">
        <f>_xlfn.IFNA(IF(((INDEX(RulebookFields!C2:C1898, MATCH(D173,RulebookFields!A2:A1898, 0))="")=TRUE),  "",  INDEX(RulebookFields!C2:C1898, MATCH(D173,RulebookFields!A2:A1898, 0))), "")</f>
        <v>KnowledgeFragments</v>
      </c>
      <c r="I173" s="4" t="str">
        <f>_xlfn.IFNA(IF(((INDEX(RulebookFields!D2:D1898, MATCH(D173,RulebookFields!A2:A1898, 0))="")=TRUE),  "",  INDEX(RulebookFields!D2:D1898, MATCH(D173,RulebookFields!A2:A1898, 0))), "")</f>
        <v>KnowledgeForm</v>
      </c>
      <c r="J173" s="4" t="b">
        <f>_xlfn.IFNA(IF(((INDEX(RulebookFields!I2:I1898, MATCH(D173,RulebookFields!A2:A1898, 0))="")=TRUE),  "",  INDEX(RulebookFields!I2:I1898, MATCH(D173,RulebookFields!A2:A1898, 0))), "")</f>
        <v>0</v>
      </c>
      <c r="K173" s="4" t="b">
        <f>AND(((F173)=TRUE), ((J173)=TRUE))</f>
        <v>0</v>
      </c>
      <c r="L173" s="4" t="b">
        <f>AND(((G173 &lt;&gt; "plain")=TRUE), ((G173 &lt;&gt; "")=TRUE))</f>
        <v>0</v>
      </c>
      <c r="M173" s="4" t="str">
        <f>IF(((E173)=TRUE),  C173 &amp; "|" &amp; H173,  "")</f>
        <v>principal-hr-policy-owner|KnowledgeFragments</v>
      </c>
      <c r="N173" s="3" t="s">
        <v>10004</v>
      </c>
    </row>
    <row r="174">
      <c r="A174" s="3" t="s">
        <v>10176</v>
      </c>
      <c r="B174" s="4" t="str">
        <f>C174 &amp; " -&gt; " &amp; D174</f>
        <v>principal-hr-policy-owner -&gt; KnowledgeFragments.Status</v>
      </c>
      <c r="C174" s="3" t="s">
        <v>9758</v>
      </c>
      <c r="D174" s="3" t="s">
        <v>3237</v>
      </c>
      <c r="E174" s="3" t="b">
        <v>1</v>
      </c>
      <c r="F174" s="3" t="b">
        <v>0</v>
      </c>
      <c r="G174" s="3" t="s">
        <v>10003</v>
      </c>
      <c r="H174" s="4" t="str">
        <f>_xlfn.IFNA(IF(((INDEX(RulebookFields!C2:C1898, MATCH(D174,RulebookFields!A2:A1898, 0))="")=TRUE),  "",  INDEX(RulebookFields!C2:C1898, MATCH(D174,RulebookFields!A2:A1898, 0))), "")</f>
        <v>KnowledgeFragments</v>
      </c>
      <c r="I174" s="4" t="str">
        <f>_xlfn.IFNA(IF(((INDEX(RulebookFields!D2:D1898, MATCH(D174,RulebookFields!A2:A1898, 0))="")=TRUE),  "",  INDEX(RulebookFields!D2:D1898, MATCH(D174,RulebookFields!A2:A1898, 0))), "")</f>
        <v>Status</v>
      </c>
      <c r="J174" s="4" t="b">
        <f>_xlfn.IFNA(IF(((INDEX(RulebookFields!I2:I1898, MATCH(D174,RulebookFields!A2:A1898, 0))="")=TRUE),  "",  INDEX(RulebookFields!I2:I1898, MATCH(D174,RulebookFields!A2:A1898, 0))), "")</f>
        <v>0</v>
      </c>
      <c r="K174" s="4" t="b">
        <f>AND(((F174)=TRUE), ((J174)=TRUE))</f>
        <v>0</v>
      </c>
      <c r="L174" s="4" t="b">
        <f>AND(((G174 &lt;&gt; "plain")=TRUE), ((G174 &lt;&gt; "")=TRUE))</f>
        <v>0</v>
      </c>
      <c r="M174" s="4" t="str">
        <f>IF(((E174)=TRUE),  C174 &amp; "|" &amp; H174,  "")</f>
        <v>principal-hr-policy-owner|KnowledgeFragments</v>
      </c>
      <c r="N174" s="3" t="s">
        <v>10004</v>
      </c>
    </row>
    <row r="175">
      <c r="A175" s="3" t="s">
        <v>10177</v>
      </c>
      <c r="B175" s="4" t="str">
        <f>C175 &amp; " -&gt; " &amp; D175</f>
        <v>principal-hr-policy-owner -&gt; KnowledgeFragments.Confidence</v>
      </c>
      <c r="C175" s="3" t="s">
        <v>9758</v>
      </c>
      <c r="D175" s="3" t="s">
        <v>3234</v>
      </c>
      <c r="E175" s="3" t="b">
        <v>1</v>
      </c>
      <c r="F175" s="3" t="b">
        <v>0</v>
      </c>
      <c r="G175" s="3" t="s">
        <v>10003</v>
      </c>
      <c r="H175" s="4" t="str">
        <f>_xlfn.IFNA(IF(((INDEX(RulebookFields!C2:C1898, MATCH(D175,RulebookFields!A2:A1898, 0))="")=TRUE),  "",  INDEX(RulebookFields!C2:C1898, MATCH(D175,RulebookFields!A2:A1898, 0))), "")</f>
        <v>KnowledgeFragments</v>
      </c>
      <c r="I175" s="4" t="str">
        <f>_xlfn.IFNA(IF(((INDEX(RulebookFields!D2:D1898, MATCH(D175,RulebookFields!A2:A1898, 0))="")=TRUE),  "",  INDEX(RulebookFields!D2:D1898, MATCH(D175,RulebookFields!A2:A1898, 0))), "")</f>
        <v>Confidence</v>
      </c>
      <c r="J175" s="4" t="b">
        <f>_xlfn.IFNA(IF(((INDEX(RulebookFields!I2:I1898, MATCH(D175,RulebookFields!A2:A1898, 0))="")=TRUE),  "",  INDEX(RulebookFields!I2:I1898, MATCH(D175,RulebookFields!A2:A1898, 0))), "")</f>
        <v>0</v>
      </c>
      <c r="K175" s="4" t="b">
        <f>AND(((F175)=TRUE), ((J175)=TRUE))</f>
        <v>0</v>
      </c>
      <c r="L175" s="4" t="b">
        <f>AND(((G175 &lt;&gt; "plain")=TRUE), ((G175 &lt;&gt; "")=TRUE))</f>
        <v>0</v>
      </c>
      <c r="M175" s="4" t="str">
        <f>IF(((E175)=TRUE),  C175 &amp; "|" &amp; H175,  "")</f>
        <v>principal-hr-policy-owner|KnowledgeFragments</v>
      </c>
      <c r="N175" s="3" t="s">
        <v>10004</v>
      </c>
    </row>
    <row r="176">
      <c r="A176" s="3" t="s">
        <v>10178</v>
      </c>
      <c r="B176" s="4" t="str">
        <f>C176 &amp; " -&gt; " &amp; D176</f>
        <v>principal-hr-policy-owner -&gt; KnowledgeFragments.OwnerRole</v>
      </c>
      <c r="C176" s="3" t="s">
        <v>9758</v>
      </c>
      <c r="D176" s="3" t="s">
        <v>3238</v>
      </c>
      <c r="E176" s="3" t="b">
        <v>1</v>
      </c>
      <c r="F176" s="3" t="b">
        <v>0</v>
      </c>
      <c r="G176" s="3" t="s">
        <v>10003</v>
      </c>
      <c r="H176" s="4" t="str">
        <f>_xlfn.IFNA(IF(((INDEX(RulebookFields!C2:C1898, MATCH(D176,RulebookFields!A2:A1898, 0))="")=TRUE),  "",  INDEX(RulebookFields!C2:C1898, MATCH(D176,RulebookFields!A2:A1898, 0))), "")</f>
        <v>KnowledgeFragments</v>
      </c>
      <c r="I176" s="4" t="str">
        <f>_xlfn.IFNA(IF(((INDEX(RulebookFields!D2:D1898, MATCH(D176,RulebookFields!A2:A1898, 0))="")=TRUE),  "",  INDEX(RulebookFields!D2:D1898, MATCH(D176,RulebookFields!A2:A1898, 0))), "")</f>
        <v>OwnerRole</v>
      </c>
      <c r="J176" s="4" t="b">
        <f>_xlfn.IFNA(IF(((INDEX(RulebookFields!I2:I1898, MATCH(D176,RulebookFields!A2:A1898, 0))="")=TRUE),  "",  INDEX(RulebookFields!I2:I1898, MATCH(D176,RulebookFields!A2:A1898, 0))), "")</f>
        <v>0</v>
      </c>
      <c r="K176" s="4" t="b">
        <f>AND(((F176)=TRUE), ((J176)=TRUE))</f>
        <v>0</v>
      </c>
      <c r="L176" s="4" t="b">
        <f>AND(((G176 &lt;&gt; "plain")=TRUE), ((G176 &lt;&gt; "")=TRUE))</f>
        <v>0</v>
      </c>
      <c r="M176" s="4" t="str">
        <f>IF(((E176)=TRUE),  C176 &amp; "|" &amp; H176,  "")</f>
        <v>principal-hr-policy-owner|KnowledgeFragments</v>
      </c>
      <c r="N176" s="3" t="s">
        <v>10004</v>
      </c>
    </row>
    <row r="177">
      <c r="A177" s="3" t="s">
        <v>10179</v>
      </c>
      <c r="B177" s="4" t="str">
        <f>C177 &amp; " -&gt; " &amp; D177</f>
        <v>principal-hr-policy-owner -&gt; KnowledgeFragments.ValidFrom</v>
      </c>
      <c r="C177" s="3" t="s">
        <v>9758</v>
      </c>
      <c r="D177" s="3" t="s">
        <v>3235</v>
      </c>
      <c r="E177" s="3" t="b">
        <v>1</v>
      </c>
      <c r="F177" s="3" t="b">
        <v>0</v>
      </c>
      <c r="G177" s="3" t="s">
        <v>10003</v>
      </c>
      <c r="H177" s="4" t="str">
        <f>_xlfn.IFNA(IF(((INDEX(RulebookFields!C2:C1898, MATCH(D177,RulebookFields!A2:A1898, 0))="")=TRUE),  "",  INDEX(RulebookFields!C2:C1898, MATCH(D177,RulebookFields!A2:A1898, 0))), "")</f>
        <v>KnowledgeFragments</v>
      </c>
      <c r="I177" s="4" t="str">
        <f>_xlfn.IFNA(IF(((INDEX(RulebookFields!D2:D1898, MATCH(D177,RulebookFields!A2:A1898, 0))="")=TRUE),  "",  INDEX(RulebookFields!D2:D1898, MATCH(D177,RulebookFields!A2:A1898, 0))), "")</f>
        <v>ValidFrom</v>
      </c>
      <c r="J177" s="4" t="b">
        <f>_xlfn.IFNA(IF(((INDEX(RulebookFields!I2:I1898, MATCH(D177,RulebookFields!A2:A1898, 0))="")=TRUE),  "",  INDEX(RulebookFields!I2:I1898, MATCH(D177,RulebookFields!A2:A1898, 0))), "")</f>
        <v>0</v>
      </c>
      <c r="K177" s="4" t="b">
        <f>AND(((F177)=TRUE), ((J177)=TRUE))</f>
        <v>0</v>
      </c>
      <c r="L177" s="4" t="b">
        <f>AND(((G177 &lt;&gt; "plain")=TRUE), ((G177 &lt;&gt; "")=TRUE))</f>
        <v>0</v>
      </c>
      <c r="M177" s="4" t="str">
        <f>IF(((E177)=TRUE),  C177 &amp; "|" &amp; H177,  "")</f>
        <v>principal-hr-policy-owner|KnowledgeFragments</v>
      </c>
      <c r="N177" s="3" t="s">
        <v>10004</v>
      </c>
    </row>
    <row r="178">
      <c r="A178" s="3" t="s">
        <v>10180</v>
      </c>
      <c r="B178" s="4" t="str">
        <f>C178 &amp; " -&gt; " &amp; D178</f>
        <v>principal-hr-policy-owner -&gt; KnowledgeFragments.ValidTo</v>
      </c>
      <c r="C178" s="3" t="s">
        <v>9758</v>
      </c>
      <c r="D178" s="3" t="s">
        <v>3236</v>
      </c>
      <c r="E178" s="3" t="b">
        <v>1</v>
      </c>
      <c r="F178" s="3" t="b">
        <v>0</v>
      </c>
      <c r="G178" s="3" t="s">
        <v>10003</v>
      </c>
      <c r="H178" s="4" t="str">
        <f>_xlfn.IFNA(IF(((INDEX(RulebookFields!C2:C1898, MATCH(D178,RulebookFields!A2:A1898, 0))="")=TRUE),  "",  INDEX(RulebookFields!C2:C1898, MATCH(D178,RulebookFields!A2:A1898, 0))), "")</f>
        <v>KnowledgeFragments</v>
      </c>
      <c r="I178" s="4" t="str">
        <f>_xlfn.IFNA(IF(((INDEX(RulebookFields!D2:D1898, MATCH(D178,RulebookFields!A2:A1898, 0))="")=TRUE),  "",  INDEX(RulebookFields!D2:D1898, MATCH(D178,RulebookFields!A2:A1898, 0))), "")</f>
        <v>ValidTo</v>
      </c>
      <c r="J178" s="4" t="b">
        <f>_xlfn.IFNA(IF(((INDEX(RulebookFields!I2:I1898, MATCH(D178,RulebookFields!A2:A1898, 0))="")=TRUE),  "",  INDEX(RulebookFields!I2:I1898, MATCH(D178,RulebookFields!A2:A1898, 0))), "")</f>
        <v>0</v>
      </c>
      <c r="K178" s="4" t="b">
        <f>AND(((F178)=TRUE), ((J178)=TRUE))</f>
        <v>0</v>
      </c>
      <c r="L178" s="4" t="b">
        <f>AND(((G178 &lt;&gt; "plain")=TRUE), ((G178 &lt;&gt; "")=TRUE))</f>
        <v>0</v>
      </c>
      <c r="M178" s="4" t="str">
        <f>IF(((E178)=TRUE),  C178 &amp; "|" &amp; H178,  "")</f>
        <v>principal-hr-policy-owner|KnowledgeFragments</v>
      </c>
      <c r="N178" s="3" t="s">
        <v>10004</v>
      </c>
    </row>
    <row r="179">
      <c r="A179" s="3" t="s">
        <v>10181</v>
      </c>
      <c r="B179" s="4" t="str">
        <f>C179 &amp; " -&gt; " &amp; D179</f>
        <v>principal-hr-policy-owner -&gt; KnowledgeFragments.LastReviewedAt</v>
      </c>
      <c r="C179" s="3" t="s">
        <v>9758</v>
      </c>
      <c r="D179" s="3" t="s">
        <v>3311</v>
      </c>
      <c r="E179" s="3" t="b">
        <v>1</v>
      </c>
      <c r="F179" s="3" t="b">
        <v>0</v>
      </c>
      <c r="G179" s="3" t="s">
        <v>10003</v>
      </c>
      <c r="H179" s="4" t="str">
        <f>_xlfn.IFNA(IF(((INDEX(RulebookFields!C2:C1898, MATCH(D179,RulebookFields!A2:A1898, 0))="")=TRUE),  "",  INDEX(RulebookFields!C2:C1898, MATCH(D179,RulebookFields!A2:A1898, 0))), "")</f>
        <v>KnowledgeFragments</v>
      </c>
      <c r="I179" s="4" t="str">
        <f>_xlfn.IFNA(IF(((INDEX(RulebookFields!D2:D1898, MATCH(D179,RulebookFields!A2:A1898, 0))="")=TRUE),  "",  INDEX(RulebookFields!D2:D1898, MATCH(D179,RulebookFields!A2:A1898, 0))), "")</f>
        <v>LastReviewedAt</v>
      </c>
      <c r="J179" s="4" t="b">
        <f>_xlfn.IFNA(IF(((INDEX(RulebookFields!I2:I1898, MATCH(D179,RulebookFields!A2:A1898, 0))="")=TRUE),  "",  INDEX(RulebookFields!I2:I1898, MATCH(D179,RulebookFields!A2:A1898, 0))), "")</f>
        <v>0</v>
      </c>
      <c r="K179" s="4" t="b">
        <f>AND(((F179)=TRUE), ((J179)=TRUE))</f>
        <v>0</v>
      </c>
      <c r="L179" s="4" t="b">
        <f>AND(((G179 &lt;&gt; "plain")=TRUE), ((G179 &lt;&gt; "")=TRUE))</f>
        <v>0</v>
      </c>
      <c r="M179" s="4" t="str">
        <f>IF(((E179)=TRUE),  C179 &amp; "|" &amp; H179,  "")</f>
        <v>principal-hr-policy-owner|KnowledgeFragments</v>
      </c>
      <c r="N179" s="3" t="s">
        <v>10004</v>
      </c>
    </row>
    <row r="180">
      <c r="A180" s="3" t="s">
        <v>10182</v>
      </c>
      <c r="B180" s="4" t="str">
        <f>C180 &amp; " -&gt; " &amp; D180</f>
        <v>principal-hr-policy-owner -&gt; KnowledgeFragments.Name</v>
      </c>
      <c r="C180" s="3" t="s">
        <v>9758</v>
      </c>
      <c r="D180" s="3" t="s">
        <v>3226</v>
      </c>
      <c r="E180" s="3" t="b">
        <v>1</v>
      </c>
      <c r="F180" s="3" t="b">
        <v>0</v>
      </c>
      <c r="G180" s="3" t="s">
        <v>10003</v>
      </c>
      <c r="H180" s="4" t="str">
        <f>_xlfn.IFNA(IF(((INDEX(RulebookFields!C2:C1898, MATCH(D180,RulebookFields!A2:A1898, 0))="")=TRUE),  "",  INDEX(RulebookFields!C2:C1898, MATCH(D180,RulebookFields!A2:A1898, 0))), "")</f>
        <v>KnowledgeFragments</v>
      </c>
      <c r="I180" s="4" t="str">
        <f>_xlfn.IFNA(IF(((INDEX(RulebookFields!D2:D1898, MATCH(D180,RulebookFields!A2:A1898, 0))="")=TRUE),  "",  INDEX(RulebookFields!D2:D1898, MATCH(D180,RulebookFields!A2:A1898, 0))), "")</f>
        <v>Name</v>
      </c>
      <c r="J180" s="4" t="b">
        <f>_xlfn.IFNA(IF(((INDEX(RulebookFields!I2:I1898, MATCH(D180,RulebookFields!A2:A1898, 0))="")=TRUE),  "",  INDEX(RulebookFields!I2:I1898, MATCH(D180,RulebookFields!A2:A1898, 0))), "")</f>
        <v>1</v>
      </c>
      <c r="K180" s="4" t="b">
        <f>AND(((F180)=TRUE), ((J180)=TRUE))</f>
        <v>0</v>
      </c>
      <c r="L180" s="4" t="b">
        <f>AND(((G180 &lt;&gt; "plain")=TRUE), ((G180 &lt;&gt; "")=TRUE))</f>
        <v>0</v>
      </c>
      <c r="M180" s="4" t="str">
        <f>IF(((E180)=TRUE),  C180 &amp; "|" &amp; H180,  "")</f>
        <v>principal-hr-policy-owner|KnowledgeFragments</v>
      </c>
      <c r="N180" s="3" t="s">
        <v>10004</v>
      </c>
    </row>
    <row r="181">
      <c r="A181" s="3" t="s">
        <v>10183</v>
      </c>
      <c r="B181" s="4" t="str">
        <f>C181 &amp; " -&gt; " &amp; D181</f>
        <v>principal-hr-policy-owner -&gt; KnowledgeGaps.KnowledgeGapId</v>
      </c>
      <c r="C181" s="3" t="s">
        <v>9758</v>
      </c>
      <c r="D181" s="3" t="s">
        <v>3367</v>
      </c>
      <c r="E181" s="3" t="b">
        <v>1</v>
      </c>
      <c r="F181" s="3" t="b">
        <v>0</v>
      </c>
      <c r="G181" s="3" t="s">
        <v>10003</v>
      </c>
      <c r="H181" s="4" t="str">
        <f>_xlfn.IFNA(IF(((INDEX(RulebookFields!C2:C1898, MATCH(D181,RulebookFields!A2:A1898, 0))="")=TRUE),  "",  INDEX(RulebookFields!C2:C1898, MATCH(D181,RulebookFields!A2:A1898, 0))), "")</f>
        <v>KnowledgeGaps</v>
      </c>
      <c r="I181" s="4" t="str">
        <f>_xlfn.IFNA(IF(((INDEX(RulebookFields!D2:D1898, MATCH(D181,RulebookFields!A2:A1898, 0))="")=TRUE),  "",  INDEX(RulebookFields!D2:D1898, MATCH(D181,RulebookFields!A2:A1898, 0))), "")</f>
        <v>KnowledgeGapId</v>
      </c>
      <c r="J181" s="4" t="b">
        <f>_xlfn.IFNA(IF(((INDEX(RulebookFields!I2:I1898, MATCH(D181,RulebookFields!A2:A1898, 0))="")=TRUE),  "",  INDEX(RulebookFields!I2:I1898, MATCH(D181,RulebookFields!A2:A1898, 0))), "")</f>
        <v>0</v>
      </c>
      <c r="K181" s="4" t="b">
        <f>AND(((F181)=TRUE), ((J181)=TRUE))</f>
        <v>0</v>
      </c>
      <c r="L181" s="4" t="b">
        <f>AND(((G181 &lt;&gt; "plain")=TRUE), ((G181 &lt;&gt; "")=TRUE))</f>
        <v>0</v>
      </c>
      <c r="M181" s="4" t="str">
        <f>IF(((E181)=TRUE),  C181 &amp; "|" &amp; H181,  "")</f>
        <v>principal-hr-policy-owner|KnowledgeGaps</v>
      </c>
      <c r="N181" s="3" t="s">
        <v>10004</v>
      </c>
    </row>
    <row r="182">
      <c r="A182" s="3" t="s">
        <v>10184</v>
      </c>
      <c r="B182" s="4" t="str">
        <f>C182 &amp; " -&gt; " &amp; D182</f>
        <v>principal-hr-policy-owner -&gt; KnowledgeGaps.Statement</v>
      </c>
      <c r="C182" s="3" t="s">
        <v>9758</v>
      </c>
      <c r="D182" s="3" t="s">
        <v>3373</v>
      </c>
      <c r="E182" s="3" t="b">
        <v>1</v>
      </c>
      <c r="F182" s="3" t="b">
        <v>0</v>
      </c>
      <c r="G182" s="3" t="s">
        <v>10003</v>
      </c>
      <c r="H182" s="4" t="str">
        <f>_xlfn.IFNA(IF(((INDEX(RulebookFields!C2:C1898, MATCH(D182,RulebookFields!A2:A1898, 0))="")=TRUE),  "",  INDEX(RulebookFields!C2:C1898, MATCH(D182,RulebookFields!A2:A1898, 0))), "")</f>
        <v>KnowledgeGaps</v>
      </c>
      <c r="I182" s="4" t="str">
        <f>_xlfn.IFNA(IF(((INDEX(RulebookFields!D2:D1898, MATCH(D182,RulebookFields!A2:A1898, 0))="")=TRUE),  "",  INDEX(RulebookFields!D2:D1898, MATCH(D182,RulebookFields!A2:A1898, 0))), "")</f>
        <v>Statement</v>
      </c>
      <c r="J182" s="4" t="b">
        <f>_xlfn.IFNA(IF(((INDEX(RulebookFields!I2:I1898, MATCH(D182,RulebookFields!A2:A1898, 0))="")=TRUE),  "",  INDEX(RulebookFields!I2:I1898, MATCH(D182,RulebookFields!A2:A1898, 0))), "")</f>
        <v>0</v>
      </c>
      <c r="K182" s="4" t="b">
        <f>AND(((F182)=TRUE), ((J182)=TRUE))</f>
        <v>0</v>
      </c>
      <c r="L182" s="4" t="b">
        <f>AND(((G182 &lt;&gt; "plain")=TRUE), ((G182 &lt;&gt; "")=TRUE))</f>
        <v>0</v>
      </c>
      <c r="M182" s="4" t="str">
        <f>IF(((E182)=TRUE),  C182 &amp; "|" &amp; H182,  "")</f>
        <v>principal-hr-policy-owner|KnowledgeGaps</v>
      </c>
      <c r="N182" s="3" t="s">
        <v>10004</v>
      </c>
    </row>
    <row r="183">
      <c r="A183" s="3" t="s">
        <v>10185</v>
      </c>
      <c r="B183" s="4" t="str">
        <f>C183 &amp; " -&gt; " &amp; D183</f>
        <v>principal-hr-policy-owner -&gt; KnowledgeGaps.Severity</v>
      </c>
      <c r="C183" s="3" t="s">
        <v>9758</v>
      </c>
      <c r="D183" s="3" t="s">
        <v>3374</v>
      </c>
      <c r="E183" s="3" t="b">
        <v>1</v>
      </c>
      <c r="F183" s="3" t="b">
        <v>0</v>
      </c>
      <c r="G183" s="3" t="s">
        <v>10003</v>
      </c>
      <c r="H183" s="4" t="str">
        <f>_xlfn.IFNA(IF(((INDEX(RulebookFields!C2:C1898, MATCH(D183,RulebookFields!A2:A1898, 0))="")=TRUE),  "",  INDEX(RulebookFields!C2:C1898, MATCH(D183,RulebookFields!A2:A1898, 0))), "")</f>
        <v>KnowledgeGaps</v>
      </c>
      <c r="I183" s="4" t="str">
        <f>_xlfn.IFNA(IF(((INDEX(RulebookFields!D2:D1898, MATCH(D183,RulebookFields!A2:A1898, 0))="")=TRUE),  "",  INDEX(RulebookFields!D2:D1898, MATCH(D183,RulebookFields!A2:A1898, 0))), "")</f>
        <v>Severity</v>
      </c>
      <c r="J183" s="4" t="b">
        <f>_xlfn.IFNA(IF(((INDEX(RulebookFields!I2:I1898, MATCH(D183,RulebookFields!A2:A1898, 0))="")=TRUE),  "",  INDEX(RulebookFields!I2:I1898, MATCH(D183,RulebookFields!A2:A1898, 0))), "")</f>
        <v>0</v>
      </c>
      <c r="K183" s="4" t="b">
        <f>AND(((F183)=TRUE), ((J183)=TRUE))</f>
        <v>0</v>
      </c>
      <c r="L183" s="4" t="b">
        <f>AND(((G183 &lt;&gt; "plain")=TRUE), ((G183 &lt;&gt; "")=TRUE))</f>
        <v>0</v>
      </c>
      <c r="M183" s="4" t="str">
        <f>IF(((E183)=TRUE),  C183 &amp; "|" &amp; H183,  "")</f>
        <v>principal-hr-policy-owner|KnowledgeGaps</v>
      </c>
      <c r="N183" s="3" t="s">
        <v>10004</v>
      </c>
    </row>
    <row r="184">
      <c r="A184" s="3" t="s">
        <v>10186</v>
      </c>
      <c r="B184" s="4" t="str">
        <f>C184 &amp; " -&gt; " &amp; D184</f>
        <v>principal-hr-policy-owner -&gt; KnowledgeGaps.Status</v>
      </c>
      <c r="C184" s="3" t="s">
        <v>9758</v>
      </c>
      <c r="D184" s="3" t="s">
        <v>3376</v>
      </c>
      <c r="E184" s="3" t="b">
        <v>1</v>
      </c>
      <c r="F184" s="3" t="b">
        <v>0</v>
      </c>
      <c r="G184" s="3" t="s">
        <v>10003</v>
      </c>
      <c r="H184" s="4" t="str">
        <f>_xlfn.IFNA(IF(((INDEX(RulebookFields!C2:C1898, MATCH(D184,RulebookFields!A2:A1898, 0))="")=TRUE),  "",  INDEX(RulebookFields!C2:C1898, MATCH(D184,RulebookFields!A2:A1898, 0))), "")</f>
        <v>KnowledgeGaps</v>
      </c>
      <c r="I184" s="4" t="str">
        <f>_xlfn.IFNA(IF(((INDEX(RulebookFields!D2:D1898, MATCH(D184,RulebookFields!A2:A1898, 0))="")=TRUE),  "",  INDEX(RulebookFields!D2:D1898, MATCH(D184,RulebookFields!A2:A1898, 0))), "")</f>
        <v>Status</v>
      </c>
      <c r="J184" s="4" t="b">
        <f>_xlfn.IFNA(IF(((INDEX(RulebookFields!I2:I1898, MATCH(D184,RulebookFields!A2:A1898, 0))="")=TRUE),  "",  INDEX(RulebookFields!I2:I1898, MATCH(D184,RulebookFields!A2:A1898, 0))), "")</f>
        <v>0</v>
      </c>
      <c r="K184" s="4" t="b">
        <f>AND(((F184)=TRUE), ((J184)=TRUE))</f>
        <v>0</v>
      </c>
      <c r="L184" s="4" t="b">
        <f>AND(((G184 &lt;&gt; "plain")=TRUE), ((G184 &lt;&gt; "")=TRUE))</f>
        <v>0</v>
      </c>
      <c r="M184" s="4" t="str">
        <f>IF(((E184)=TRUE),  C184 &amp; "|" &amp; H184,  "")</f>
        <v>principal-hr-policy-owner|KnowledgeGaps</v>
      </c>
      <c r="N184" s="3" t="s">
        <v>10004</v>
      </c>
    </row>
    <row r="185">
      <c r="A185" s="3" t="s">
        <v>10187</v>
      </c>
      <c r="B185" s="4" t="str">
        <f>C185 &amp; " -&gt; " &amp; D185</f>
        <v>principal-hr-policy-owner -&gt; KnowledgeGaps.OwnerRole</v>
      </c>
      <c r="C185" s="3" t="s">
        <v>9758</v>
      </c>
      <c r="D185" s="3" t="s">
        <v>3377</v>
      </c>
      <c r="E185" s="3" t="b">
        <v>1</v>
      </c>
      <c r="F185" s="3" t="b">
        <v>0</v>
      </c>
      <c r="G185" s="3" t="s">
        <v>10003</v>
      </c>
      <c r="H185" s="4" t="str">
        <f>_xlfn.IFNA(IF(((INDEX(RulebookFields!C2:C1898, MATCH(D185,RulebookFields!A2:A1898, 0))="")=TRUE),  "",  INDEX(RulebookFields!C2:C1898, MATCH(D185,RulebookFields!A2:A1898, 0))), "")</f>
        <v>KnowledgeGaps</v>
      </c>
      <c r="I185" s="4" t="str">
        <f>_xlfn.IFNA(IF(((INDEX(RulebookFields!D2:D1898, MATCH(D185,RulebookFields!A2:A1898, 0))="")=TRUE),  "",  INDEX(RulebookFields!D2:D1898, MATCH(D185,RulebookFields!A2:A1898, 0))), "")</f>
        <v>OwnerRole</v>
      </c>
      <c r="J185" s="4" t="b">
        <f>_xlfn.IFNA(IF(((INDEX(RulebookFields!I2:I1898, MATCH(D185,RulebookFields!A2:A1898, 0))="")=TRUE),  "",  INDEX(RulebookFields!I2:I1898, MATCH(D185,RulebookFields!A2:A1898, 0))), "")</f>
        <v>0</v>
      </c>
      <c r="K185" s="4" t="b">
        <f>AND(((F185)=TRUE), ((J185)=TRUE))</f>
        <v>0</v>
      </c>
      <c r="L185" s="4" t="b">
        <f>AND(((G185 &lt;&gt; "plain")=TRUE), ((G185 &lt;&gt; "")=TRUE))</f>
        <v>0</v>
      </c>
      <c r="M185" s="4" t="str">
        <f>IF(((E185)=TRUE),  C185 &amp; "|" &amp; H185,  "")</f>
        <v>principal-hr-policy-owner|KnowledgeGaps</v>
      </c>
      <c r="N185" s="3" t="s">
        <v>10004</v>
      </c>
    </row>
    <row r="186">
      <c r="A186" s="3" t="s">
        <v>10188</v>
      </c>
      <c r="B186" s="4" t="str">
        <f>C186 &amp; " -&gt; " &amp; D186</f>
        <v>principal-hr-policy-owner -&gt; KnowledgeGaps.ResolutionPlan</v>
      </c>
      <c r="C186" s="3" t="s">
        <v>9758</v>
      </c>
      <c r="D186" s="3" t="s">
        <v>3379</v>
      </c>
      <c r="E186" s="3" t="b">
        <v>1</v>
      </c>
      <c r="F186" s="3" t="b">
        <v>0</v>
      </c>
      <c r="G186" s="3" t="s">
        <v>10003</v>
      </c>
      <c r="H186" s="4" t="str">
        <f>_xlfn.IFNA(IF(((INDEX(RulebookFields!C2:C1898, MATCH(D186,RulebookFields!A2:A1898, 0))="")=TRUE),  "",  INDEX(RulebookFields!C2:C1898, MATCH(D186,RulebookFields!A2:A1898, 0))), "")</f>
        <v>KnowledgeGaps</v>
      </c>
      <c r="I186" s="4" t="str">
        <f>_xlfn.IFNA(IF(((INDEX(RulebookFields!D2:D1898, MATCH(D186,RulebookFields!A2:A1898, 0))="")=TRUE),  "",  INDEX(RulebookFields!D2:D1898, MATCH(D186,RulebookFields!A2:A1898, 0))), "")</f>
        <v>ResolutionPlan</v>
      </c>
      <c r="J186" s="4" t="b">
        <f>_xlfn.IFNA(IF(((INDEX(RulebookFields!I2:I1898, MATCH(D186,RulebookFields!A2:A1898, 0))="")=TRUE),  "",  INDEX(RulebookFields!I2:I1898, MATCH(D186,RulebookFields!A2:A1898, 0))), "")</f>
        <v>0</v>
      </c>
      <c r="K186" s="4" t="b">
        <f>AND(((F186)=TRUE), ((J186)=TRUE))</f>
        <v>0</v>
      </c>
      <c r="L186" s="4" t="b">
        <f>AND(((G186 &lt;&gt; "plain")=TRUE), ((G186 &lt;&gt; "")=TRUE))</f>
        <v>0</v>
      </c>
      <c r="M186" s="4" t="str">
        <f>IF(((E186)=TRUE),  C186 &amp; "|" &amp; H186,  "")</f>
        <v>principal-hr-policy-owner|KnowledgeGaps</v>
      </c>
      <c r="N186" s="3" t="s">
        <v>10004</v>
      </c>
    </row>
    <row r="187">
      <c r="A187" s="3" t="s">
        <v>10189</v>
      </c>
      <c r="B187" s="4" t="str">
        <f>C187 &amp; " -&gt; " &amp; D187</f>
        <v>principal-hr-policy-owner -&gt; KnowledgeGaps.IsOpen</v>
      </c>
      <c r="C187" s="3" t="s">
        <v>9758</v>
      </c>
      <c r="D187" s="3" t="s">
        <v>3380</v>
      </c>
      <c r="E187" s="3" t="b">
        <v>1</v>
      </c>
      <c r="F187" s="3" t="b">
        <v>0</v>
      </c>
      <c r="G187" s="3" t="s">
        <v>10003</v>
      </c>
      <c r="H187" s="4" t="str">
        <f>_xlfn.IFNA(IF(((INDEX(RulebookFields!C2:C1898, MATCH(D187,RulebookFields!A2:A1898, 0))="")=TRUE),  "",  INDEX(RulebookFields!C2:C1898, MATCH(D187,RulebookFields!A2:A1898, 0))), "")</f>
        <v>KnowledgeGaps</v>
      </c>
      <c r="I187" s="4" t="str">
        <f>_xlfn.IFNA(IF(((INDEX(RulebookFields!D2:D1898, MATCH(D187,RulebookFields!A2:A1898, 0))="")=TRUE),  "",  INDEX(RulebookFields!D2:D1898, MATCH(D187,RulebookFields!A2:A1898, 0))), "")</f>
        <v>IsOpen</v>
      </c>
      <c r="J187" s="4" t="b">
        <f>_xlfn.IFNA(IF(((INDEX(RulebookFields!I2:I1898, MATCH(D187,RulebookFields!A2:A1898, 0))="")=TRUE),  "",  INDEX(RulebookFields!I2:I1898, MATCH(D187,RulebookFields!A2:A1898, 0))), "")</f>
        <v>1</v>
      </c>
      <c r="K187" s="4" t="b">
        <f>AND(((F187)=TRUE), ((J187)=TRUE))</f>
        <v>0</v>
      </c>
      <c r="L187" s="4" t="b">
        <f>AND(((G187 &lt;&gt; "plain")=TRUE), ((G187 &lt;&gt; "")=TRUE))</f>
        <v>0</v>
      </c>
      <c r="M187" s="4" t="str">
        <f>IF(((E187)=TRUE),  C187 &amp; "|" &amp; H187,  "")</f>
        <v>principal-hr-policy-owner|KnowledgeGaps</v>
      </c>
      <c r="N187" s="3" t="s">
        <v>10004</v>
      </c>
    </row>
    <row r="188">
      <c r="A188" s="3" t="s">
        <v>10190</v>
      </c>
      <c r="B188" s="4" t="str">
        <f>C188 &amp; " -&gt; " &amp; D188</f>
        <v>principal-hr-policy-owner -&gt; KnowledgeGaps.Name</v>
      </c>
      <c r="C188" s="3" t="s">
        <v>9758</v>
      </c>
      <c r="D188" s="3" t="s">
        <v>3369</v>
      </c>
      <c r="E188" s="3" t="b">
        <v>1</v>
      </c>
      <c r="F188" s="3" t="b">
        <v>0</v>
      </c>
      <c r="G188" s="3" t="s">
        <v>10003</v>
      </c>
      <c r="H188" s="4" t="str">
        <f>_xlfn.IFNA(IF(((INDEX(RulebookFields!C2:C1898, MATCH(D188,RulebookFields!A2:A1898, 0))="")=TRUE),  "",  INDEX(RulebookFields!C2:C1898, MATCH(D188,RulebookFields!A2:A1898, 0))), "")</f>
        <v>KnowledgeGaps</v>
      </c>
      <c r="I188" s="4" t="str">
        <f>_xlfn.IFNA(IF(((INDEX(RulebookFields!D2:D1898, MATCH(D188,RulebookFields!A2:A1898, 0))="")=TRUE),  "",  INDEX(RulebookFields!D2:D1898, MATCH(D188,RulebookFields!A2:A1898, 0))), "")</f>
        <v>Name</v>
      </c>
      <c r="J188" s="4" t="b">
        <f>_xlfn.IFNA(IF(((INDEX(RulebookFields!I2:I1898, MATCH(D188,RulebookFields!A2:A1898, 0))="")=TRUE),  "",  INDEX(RulebookFields!I2:I1898, MATCH(D188,RulebookFields!A2:A1898, 0))), "")</f>
        <v>1</v>
      </c>
      <c r="K188" s="4" t="b">
        <f>AND(((F188)=TRUE), ((J188)=TRUE))</f>
        <v>0</v>
      </c>
      <c r="L188" s="4" t="b">
        <f>AND(((G188 &lt;&gt; "plain")=TRUE), ((G188 &lt;&gt; "")=TRUE))</f>
        <v>0</v>
      </c>
      <c r="M188" s="4" t="str">
        <f>IF(((E188)=TRUE),  C188 &amp; "|" &amp; H188,  "")</f>
        <v>principal-hr-policy-owner|KnowledgeGaps</v>
      </c>
      <c r="N188" s="3" t="s">
        <v>10004</v>
      </c>
    </row>
    <row r="189">
      <c r="A189" s="3" t="s">
        <v>10191</v>
      </c>
      <c r="B189" s="4" t="str">
        <f>C189 &amp; " -&gt; " &amp; D189</f>
        <v>principal-hr-policy-owner -&gt; ChangeRequests.ChangeRequestId</v>
      </c>
      <c r="C189" s="3" t="s">
        <v>9758</v>
      </c>
      <c r="D189" s="3" t="s">
        <v>3913</v>
      </c>
      <c r="E189" s="3" t="b">
        <v>1</v>
      </c>
      <c r="F189" s="3" t="b">
        <v>0</v>
      </c>
      <c r="G189" s="3" t="s">
        <v>10003</v>
      </c>
      <c r="H189" s="4" t="str">
        <f>_xlfn.IFNA(IF(((INDEX(RulebookFields!C2:C1898, MATCH(D189,RulebookFields!A2:A1898, 0))="")=TRUE),  "",  INDEX(RulebookFields!C2:C1898, MATCH(D189,RulebookFields!A2:A1898, 0))), "")</f>
        <v>ChangeRequests</v>
      </c>
      <c r="I189" s="4" t="str">
        <f>_xlfn.IFNA(IF(((INDEX(RulebookFields!D2:D1898, MATCH(D189,RulebookFields!A2:A1898, 0))="")=TRUE),  "",  INDEX(RulebookFields!D2:D1898, MATCH(D189,RulebookFields!A2:A1898, 0))), "")</f>
        <v>ChangeRequestId</v>
      </c>
      <c r="J189" s="4" t="b">
        <f>_xlfn.IFNA(IF(((INDEX(RulebookFields!I2:I1898, MATCH(D189,RulebookFields!A2:A1898, 0))="")=TRUE),  "",  INDEX(RulebookFields!I2:I1898, MATCH(D189,RulebookFields!A2:A1898, 0))), "")</f>
        <v>0</v>
      </c>
      <c r="K189" s="4" t="b">
        <f>AND(((F189)=TRUE), ((J189)=TRUE))</f>
        <v>0</v>
      </c>
      <c r="L189" s="4" t="b">
        <f>AND(((G189 &lt;&gt; "plain")=TRUE), ((G189 &lt;&gt; "")=TRUE))</f>
        <v>0</v>
      </c>
      <c r="M189" s="4" t="str">
        <f>IF(((E189)=TRUE),  C189 &amp; "|" &amp; H189,  "")</f>
        <v>principal-hr-policy-owner|ChangeRequests</v>
      </c>
      <c r="N189" s="3" t="s">
        <v>10004</v>
      </c>
    </row>
    <row r="190">
      <c r="A190" s="3" t="s">
        <v>10192</v>
      </c>
      <c r="B190" s="4" t="str">
        <f>C190 &amp; " -&gt; " &amp; D190</f>
        <v>principal-hr-policy-owner -&gt; ChangeRequests.Title</v>
      </c>
      <c r="C190" s="3" t="s">
        <v>9758</v>
      </c>
      <c r="D190" s="3" t="s">
        <v>3917</v>
      </c>
      <c r="E190" s="3" t="b">
        <v>1</v>
      </c>
      <c r="F190" s="3" t="b">
        <v>0</v>
      </c>
      <c r="G190" s="3" t="s">
        <v>10003</v>
      </c>
      <c r="H190" s="4" t="str">
        <f>_xlfn.IFNA(IF(((INDEX(RulebookFields!C2:C1898, MATCH(D190,RulebookFields!A2:A1898, 0))="")=TRUE),  "",  INDEX(RulebookFields!C2:C1898, MATCH(D190,RulebookFields!A2:A1898, 0))), "")</f>
        <v>ChangeRequests</v>
      </c>
      <c r="I190" s="4" t="str">
        <f>_xlfn.IFNA(IF(((INDEX(RulebookFields!D2:D1898, MATCH(D190,RulebookFields!A2:A1898, 0))="")=TRUE),  "",  INDEX(RulebookFields!D2:D1898, MATCH(D190,RulebookFields!A2:A1898, 0))), "")</f>
        <v>Title</v>
      </c>
      <c r="J190" s="4" t="b">
        <f>_xlfn.IFNA(IF(((INDEX(RulebookFields!I2:I1898, MATCH(D190,RulebookFields!A2:A1898, 0))="")=TRUE),  "",  INDEX(RulebookFields!I2:I1898, MATCH(D190,RulebookFields!A2:A1898, 0))), "")</f>
        <v>0</v>
      </c>
      <c r="K190" s="4" t="b">
        <f>AND(((F190)=TRUE), ((J190)=TRUE))</f>
        <v>0</v>
      </c>
      <c r="L190" s="4" t="b">
        <f>AND(((G190 &lt;&gt; "plain")=TRUE), ((G190 &lt;&gt; "")=TRUE))</f>
        <v>0</v>
      </c>
      <c r="M190" s="4" t="str">
        <f>IF(((E190)=TRUE),  C190 &amp; "|" &amp; H190,  "")</f>
        <v>principal-hr-policy-owner|ChangeRequests</v>
      </c>
      <c r="N190" s="3" t="s">
        <v>10004</v>
      </c>
    </row>
    <row r="191">
      <c r="A191" s="3" t="s">
        <v>10193</v>
      </c>
      <c r="B191" s="4" t="str">
        <f>C191 &amp; " -&gt; " &amp; D191</f>
        <v>principal-hr-policy-owner -&gt; ChangeRequests.ChangeKind</v>
      </c>
      <c r="C191" s="3" t="s">
        <v>9758</v>
      </c>
      <c r="D191" s="3" t="s">
        <v>3918</v>
      </c>
      <c r="E191" s="3" t="b">
        <v>1</v>
      </c>
      <c r="F191" s="3" t="b">
        <v>0</v>
      </c>
      <c r="G191" s="3" t="s">
        <v>10003</v>
      </c>
      <c r="H191" s="4" t="str">
        <f>_xlfn.IFNA(IF(((INDEX(RulebookFields!C2:C1898, MATCH(D191,RulebookFields!A2:A1898, 0))="")=TRUE),  "",  INDEX(RulebookFields!C2:C1898, MATCH(D191,RulebookFields!A2:A1898, 0))), "")</f>
        <v>ChangeRequests</v>
      </c>
      <c r="I191" s="4" t="str">
        <f>_xlfn.IFNA(IF(((INDEX(RulebookFields!D2:D1898, MATCH(D191,RulebookFields!A2:A1898, 0))="")=TRUE),  "",  INDEX(RulebookFields!D2:D1898, MATCH(D191,RulebookFields!A2:A1898, 0))), "")</f>
        <v>ChangeKind</v>
      </c>
      <c r="J191" s="4" t="b">
        <f>_xlfn.IFNA(IF(((INDEX(RulebookFields!I2:I1898, MATCH(D191,RulebookFields!A2:A1898, 0))="")=TRUE),  "",  INDEX(RulebookFields!I2:I1898, MATCH(D191,RulebookFields!A2:A1898, 0))), "")</f>
        <v>0</v>
      </c>
      <c r="K191" s="4" t="b">
        <f>AND(((F191)=TRUE), ((J191)=TRUE))</f>
        <v>0</v>
      </c>
      <c r="L191" s="4" t="b">
        <f>AND(((G191 &lt;&gt; "plain")=TRUE), ((G191 &lt;&gt; "")=TRUE))</f>
        <v>0</v>
      </c>
      <c r="M191" s="4" t="str">
        <f>IF(((E191)=TRUE),  C191 &amp; "|" &amp; H191,  "")</f>
        <v>principal-hr-policy-owner|ChangeRequests</v>
      </c>
      <c r="N191" s="3" t="s">
        <v>10004</v>
      </c>
    </row>
    <row r="192">
      <c r="A192" s="3" t="s">
        <v>10194</v>
      </c>
      <c r="B192" s="4" t="str">
        <f>C192 &amp; " -&gt; " &amp; D192</f>
        <v>principal-hr-policy-owner -&gt; ChangeRequests.Status</v>
      </c>
      <c r="C192" s="3" t="s">
        <v>9758</v>
      </c>
      <c r="D192" s="3" t="s">
        <v>3919</v>
      </c>
      <c r="E192" s="3" t="b">
        <v>1</v>
      </c>
      <c r="F192" s="3" t="b">
        <v>0</v>
      </c>
      <c r="G192" s="3" t="s">
        <v>10003</v>
      </c>
      <c r="H192" s="4" t="str">
        <f>_xlfn.IFNA(IF(((INDEX(RulebookFields!C2:C1898, MATCH(D192,RulebookFields!A2:A1898, 0))="")=TRUE),  "",  INDEX(RulebookFields!C2:C1898, MATCH(D192,RulebookFields!A2:A1898, 0))), "")</f>
        <v>ChangeRequests</v>
      </c>
      <c r="I192" s="4" t="str">
        <f>_xlfn.IFNA(IF(((INDEX(RulebookFields!D2:D1898, MATCH(D192,RulebookFields!A2:A1898, 0))="")=TRUE),  "",  INDEX(RulebookFields!D2:D1898, MATCH(D192,RulebookFields!A2:A1898, 0))), "")</f>
        <v>Status</v>
      </c>
      <c r="J192" s="4" t="b">
        <f>_xlfn.IFNA(IF(((INDEX(RulebookFields!I2:I1898, MATCH(D192,RulebookFields!A2:A1898, 0))="")=TRUE),  "",  INDEX(RulebookFields!I2:I1898, MATCH(D192,RulebookFields!A2:A1898, 0))), "")</f>
        <v>0</v>
      </c>
      <c r="K192" s="4" t="b">
        <f>AND(((F192)=TRUE), ((J192)=TRUE))</f>
        <v>0</v>
      </c>
      <c r="L192" s="4" t="b">
        <f>AND(((G192 &lt;&gt; "plain")=TRUE), ((G192 &lt;&gt; "")=TRUE))</f>
        <v>0</v>
      </c>
      <c r="M192" s="4" t="str">
        <f>IF(((E192)=TRUE),  C192 &amp; "|" &amp; H192,  "")</f>
        <v>principal-hr-policy-owner|ChangeRequests</v>
      </c>
      <c r="N192" s="3" t="s">
        <v>10004</v>
      </c>
    </row>
    <row r="193">
      <c r="A193" s="3" t="s">
        <v>10195</v>
      </c>
      <c r="B193" s="4" t="str">
        <f>C193 &amp; " -&gt; " &amp; D193</f>
        <v>principal-hr-policy-owner -&gt; ChangeRequests.RequestedAt</v>
      </c>
      <c r="C193" s="3" t="s">
        <v>9758</v>
      </c>
      <c r="D193" s="3" t="s">
        <v>3922</v>
      </c>
      <c r="E193" s="3" t="b">
        <v>1</v>
      </c>
      <c r="F193" s="3" t="b">
        <v>0</v>
      </c>
      <c r="G193" s="3" t="s">
        <v>10003</v>
      </c>
      <c r="H193" s="4" t="str">
        <f>_xlfn.IFNA(IF(((INDEX(RulebookFields!C2:C1898, MATCH(D193,RulebookFields!A2:A1898, 0))="")=TRUE),  "",  INDEX(RulebookFields!C2:C1898, MATCH(D193,RulebookFields!A2:A1898, 0))), "")</f>
        <v>ChangeRequests</v>
      </c>
      <c r="I193" s="4" t="str">
        <f>_xlfn.IFNA(IF(((INDEX(RulebookFields!D2:D1898, MATCH(D193,RulebookFields!A2:A1898, 0))="")=TRUE),  "",  INDEX(RulebookFields!D2:D1898, MATCH(D193,RulebookFields!A2:A1898, 0))), "")</f>
        <v>RequestedAt</v>
      </c>
      <c r="J193" s="4" t="b">
        <f>_xlfn.IFNA(IF(((INDEX(RulebookFields!I2:I1898, MATCH(D193,RulebookFields!A2:A1898, 0))="")=TRUE),  "",  INDEX(RulebookFields!I2:I1898, MATCH(D193,RulebookFields!A2:A1898, 0))), "")</f>
        <v>0</v>
      </c>
      <c r="K193" s="4" t="b">
        <f>AND(((F193)=TRUE), ((J193)=TRUE))</f>
        <v>0</v>
      </c>
      <c r="L193" s="4" t="b">
        <f>AND(((G193 &lt;&gt; "plain")=TRUE), ((G193 &lt;&gt; "")=TRUE))</f>
        <v>0</v>
      </c>
      <c r="M193" s="4" t="str">
        <f>IF(((E193)=TRUE),  C193 &amp; "|" &amp; H193,  "")</f>
        <v>principal-hr-policy-owner|ChangeRequests</v>
      </c>
      <c r="N193" s="3" t="s">
        <v>10004</v>
      </c>
    </row>
    <row r="194">
      <c r="A194" s="3" t="s">
        <v>10196</v>
      </c>
      <c r="B194" s="4" t="str">
        <f>C194 &amp; " -&gt; " &amp; D194</f>
        <v>principal-hr-policy-owner -&gt; ChangeRequests.DecidedAt</v>
      </c>
      <c r="C194" s="3" t="s">
        <v>9758</v>
      </c>
      <c r="D194" s="3" t="s">
        <v>3923</v>
      </c>
      <c r="E194" s="3" t="b">
        <v>1</v>
      </c>
      <c r="F194" s="3" t="b">
        <v>0</v>
      </c>
      <c r="G194" s="3" t="s">
        <v>10003</v>
      </c>
      <c r="H194" s="4" t="str">
        <f>_xlfn.IFNA(IF(((INDEX(RulebookFields!C2:C1898, MATCH(D194,RulebookFields!A2:A1898, 0))="")=TRUE),  "",  INDEX(RulebookFields!C2:C1898, MATCH(D194,RulebookFields!A2:A1898, 0))), "")</f>
        <v>ChangeRequests</v>
      </c>
      <c r="I194" s="4" t="str">
        <f>_xlfn.IFNA(IF(((INDEX(RulebookFields!D2:D1898, MATCH(D194,RulebookFields!A2:A1898, 0))="")=TRUE),  "",  INDEX(RulebookFields!D2:D1898, MATCH(D194,RulebookFields!A2:A1898, 0))), "")</f>
        <v>DecidedAt</v>
      </c>
      <c r="J194" s="4" t="b">
        <f>_xlfn.IFNA(IF(((INDEX(RulebookFields!I2:I1898, MATCH(D194,RulebookFields!A2:A1898, 0))="")=TRUE),  "",  INDEX(RulebookFields!I2:I1898, MATCH(D194,RulebookFields!A2:A1898, 0))), "")</f>
        <v>0</v>
      </c>
      <c r="K194" s="4" t="b">
        <f>AND(((F194)=TRUE), ((J194)=TRUE))</f>
        <v>0</v>
      </c>
      <c r="L194" s="4" t="b">
        <f>AND(((G194 &lt;&gt; "plain")=TRUE), ((G194 &lt;&gt; "")=TRUE))</f>
        <v>0</v>
      </c>
      <c r="M194" s="4" t="str">
        <f>IF(((E194)=TRUE),  C194 &amp; "|" &amp; H194,  "")</f>
        <v>principal-hr-policy-owner|ChangeRequests</v>
      </c>
      <c r="N194" s="3" t="s">
        <v>10004</v>
      </c>
    </row>
    <row r="195">
      <c r="A195" s="3" t="s">
        <v>10197</v>
      </c>
      <c r="B195" s="4" t="str">
        <f>C195 &amp; " -&gt; " &amp; D195</f>
        <v>principal-hr-policy-owner -&gt; ChangeRequests.ImpactAssessment</v>
      </c>
      <c r="C195" s="3" t="s">
        <v>9758</v>
      </c>
      <c r="D195" s="3" t="s">
        <v>3924</v>
      </c>
      <c r="E195" s="3" t="b">
        <v>1</v>
      </c>
      <c r="F195" s="3" t="b">
        <v>0</v>
      </c>
      <c r="G195" s="3" t="s">
        <v>10003</v>
      </c>
      <c r="H195" s="4" t="str">
        <f>_xlfn.IFNA(IF(((INDEX(RulebookFields!C2:C1898, MATCH(D195,RulebookFields!A2:A1898, 0))="")=TRUE),  "",  INDEX(RulebookFields!C2:C1898, MATCH(D195,RulebookFields!A2:A1898, 0))), "")</f>
        <v>ChangeRequests</v>
      </c>
      <c r="I195" s="4" t="str">
        <f>_xlfn.IFNA(IF(((INDEX(RulebookFields!D2:D1898, MATCH(D195,RulebookFields!A2:A1898, 0))="")=TRUE),  "",  INDEX(RulebookFields!D2:D1898, MATCH(D195,RulebookFields!A2:A1898, 0))), "")</f>
        <v>ImpactAssessment</v>
      </c>
      <c r="J195" s="4" t="b">
        <f>_xlfn.IFNA(IF(((INDEX(RulebookFields!I2:I1898, MATCH(D195,RulebookFields!A2:A1898, 0))="")=TRUE),  "",  INDEX(RulebookFields!I2:I1898, MATCH(D195,RulebookFields!A2:A1898, 0))), "")</f>
        <v>0</v>
      </c>
      <c r="K195" s="4" t="b">
        <f>AND(((F195)=TRUE), ((J195)=TRUE))</f>
        <v>0</v>
      </c>
      <c r="L195" s="4" t="b">
        <f>AND(((G195 &lt;&gt; "plain")=TRUE), ((G195 &lt;&gt; "")=TRUE))</f>
        <v>0</v>
      </c>
      <c r="M195" s="4" t="str">
        <f>IF(((E195)=TRUE),  C195 &amp; "|" &amp; H195,  "")</f>
        <v>principal-hr-policy-owner|ChangeRequests</v>
      </c>
      <c r="N195" s="3" t="s">
        <v>10004</v>
      </c>
    </row>
    <row r="196">
      <c r="A196" s="3" t="s">
        <v>10198</v>
      </c>
      <c r="B196" s="4" t="str">
        <f>C196 &amp; " -&gt; " &amp; D196</f>
        <v>principal-hr-policy-owner -&gt; ChangeRequests.AuthorityRole</v>
      </c>
      <c r="C196" s="3" t="s">
        <v>9758</v>
      </c>
      <c r="D196" s="3" t="s">
        <v>3921</v>
      </c>
      <c r="E196" s="3" t="b">
        <v>1</v>
      </c>
      <c r="F196" s="3" t="b">
        <v>0</v>
      </c>
      <c r="G196" s="3" t="s">
        <v>10003</v>
      </c>
      <c r="H196" s="4" t="str">
        <f>_xlfn.IFNA(IF(((INDEX(RulebookFields!C2:C1898, MATCH(D196,RulebookFields!A2:A1898, 0))="")=TRUE),  "",  INDEX(RulebookFields!C2:C1898, MATCH(D196,RulebookFields!A2:A1898, 0))), "")</f>
        <v>ChangeRequests</v>
      </c>
      <c r="I196" s="4" t="str">
        <f>_xlfn.IFNA(IF(((INDEX(RulebookFields!D2:D1898, MATCH(D196,RulebookFields!A2:A1898, 0))="")=TRUE),  "",  INDEX(RulebookFields!D2:D1898, MATCH(D196,RulebookFields!A2:A1898, 0))), "")</f>
        <v>AuthorityRole</v>
      </c>
      <c r="J196" s="4" t="b">
        <f>_xlfn.IFNA(IF(((INDEX(RulebookFields!I2:I1898, MATCH(D196,RulebookFields!A2:A1898, 0))="")=TRUE),  "",  INDEX(RulebookFields!I2:I1898, MATCH(D196,RulebookFields!A2:A1898, 0))), "")</f>
        <v>0</v>
      </c>
      <c r="K196" s="4" t="b">
        <f>AND(((F196)=TRUE), ((J196)=TRUE))</f>
        <v>0</v>
      </c>
      <c r="L196" s="4" t="b">
        <f>AND(((G196 &lt;&gt; "plain")=TRUE), ((G196 &lt;&gt; "")=TRUE))</f>
        <v>0</v>
      </c>
      <c r="M196" s="4" t="str">
        <f>IF(((E196)=TRUE),  C196 &amp; "|" &amp; H196,  "")</f>
        <v>principal-hr-policy-owner|ChangeRequests</v>
      </c>
      <c r="N196" s="3" t="s">
        <v>10004</v>
      </c>
    </row>
    <row r="197">
      <c r="A197" s="3" t="s">
        <v>10199</v>
      </c>
      <c r="B197" s="4" t="str">
        <f>C197 &amp; " -&gt; " &amp; D197</f>
        <v>principal-hr-policy-owner -&gt; ChangeRequests.IsOpen</v>
      </c>
      <c r="C197" s="3" t="s">
        <v>9758</v>
      </c>
      <c r="D197" s="3" t="s">
        <v>3925</v>
      </c>
      <c r="E197" s="3" t="b">
        <v>1</v>
      </c>
      <c r="F197" s="3" t="b">
        <v>0</v>
      </c>
      <c r="G197" s="3" t="s">
        <v>10003</v>
      </c>
      <c r="H197" s="4" t="str">
        <f>_xlfn.IFNA(IF(((INDEX(RulebookFields!C2:C1898, MATCH(D197,RulebookFields!A2:A1898, 0))="")=TRUE),  "",  INDEX(RulebookFields!C2:C1898, MATCH(D197,RulebookFields!A2:A1898, 0))), "")</f>
        <v>ChangeRequests</v>
      </c>
      <c r="I197" s="4" t="str">
        <f>_xlfn.IFNA(IF(((INDEX(RulebookFields!D2:D1898, MATCH(D197,RulebookFields!A2:A1898, 0))="")=TRUE),  "",  INDEX(RulebookFields!D2:D1898, MATCH(D197,RulebookFields!A2:A1898, 0))), "")</f>
        <v>IsOpen</v>
      </c>
      <c r="J197" s="4" t="b">
        <f>_xlfn.IFNA(IF(((INDEX(RulebookFields!I2:I1898, MATCH(D197,RulebookFields!A2:A1898, 0))="")=TRUE),  "",  INDEX(RulebookFields!I2:I1898, MATCH(D197,RulebookFields!A2:A1898, 0))), "")</f>
        <v>1</v>
      </c>
      <c r="K197" s="4" t="b">
        <f>AND(((F197)=TRUE), ((J197)=TRUE))</f>
        <v>0</v>
      </c>
      <c r="L197" s="4" t="b">
        <f>AND(((G197 &lt;&gt; "plain")=TRUE), ((G197 &lt;&gt; "")=TRUE))</f>
        <v>0</v>
      </c>
      <c r="M197" s="4" t="str">
        <f>IF(((E197)=TRUE),  C197 &amp; "|" &amp; H197,  "")</f>
        <v>principal-hr-policy-owner|ChangeRequests</v>
      </c>
      <c r="N197" s="3" t="s">
        <v>10004</v>
      </c>
    </row>
    <row r="198">
      <c r="A198" s="3" t="s">
        <v>10200</v>
      </c>
      <c r="B198" s="4" t="str">
        <f>C198 &amp; " -&gt; " &amp; D198</f>
        <v>principal-hr-policy-owner -&gt; ChangeRequests.Name</v>
      </c>
      <c r="C198" s="3" t="s">
        <v>9758</v>
      </c>
      <c r="D198" s="3" t="s">
        <v>3915</v>
      </c>
      <c r="E198" s="3" t="b">
        <v>1</v>
      </c>
      <c r="F198" s="3" t="b">
        <v>0</v>
      </c>
      <c r="G198" s="3" t="s">
        <v>10003</v>
      </c>
      <c r="H198" s="4" t="str">
        <f>_xlfn.IFNA(IF(((INDEX(RulebookFields!C2:C1898, MATCH(D198,RulebookFields!A2:A1898, 0))="")=TRUE),  "",  INDEX(RulebookFields!C2:C1898, MATCH(D198,RulebookFields!A2:A1898, 0))), "")</f>
        <v>ChangeRequests</v>
      </c>
      <c r="I198" s="4" t="str">
        <f>_xlfn.IFNA(IF(((INDEX(RulebookFields!D2:D1898, MATCH(D198,RulebookFields!A2:A1898, 0))="")=TRUE),  "",  INDEX(RulebookFields!D2:D1898, MATCH(D198,RulebookFields!A2:A1898, 0))), "")</f>
        <v>Name</v>
      </c>
      <c r="J198" s="4" t="b">
        <f>_xlfn.IFNA(IF(((INDEX(RulebookFields!I2:I1898, MATCH(D198,RulebookFields!A2:A1898, 0))="")=TRUE),  "",  INDEX(RulebookFields!I2:I1898, MATCH(D198,RulebookFields!A2:A1898, 0))), "")</f>
        <v>1</v>
      </c>
      <c r="K198" s="4" t="b">
        <f>AND(((F198)=TRUE), ((J198)=TRUE))</f>
        <v>0</v>
      </c>
      <c r="L198" s="4" t="b">
        <f>AND(((G198 &lt;&gt; "plain")=TRUE), ((G198 &lt;&gt; "")=TRUE))</f>
        <v>0</v>
      </c>
      <c r="M198" s="4" t="str">
        <f>IF(((E198)=TRUE),  C198 &amp; "|" &amp; H198,  "")</f>
        <v>principal-hr-policy-owner|ChangeRequests</v>
      </c>
      <c r="N198" s="3" t="s">
        <v>10004</v>
      </c>
    </row>
    <row r="199">
      <c r="A199" s="3" t="s">
        <v>10201</v>
      </c>
      <c r="B199" s="4" t="str">
        <f>C199 &amp; " -&gt; " &amp; D199</f>
        <v>principal-hr-policy-owner -&gt; Exceptions.ExceptionId</v>
      </c>
      <c r="C199" s="3" t="s">
        <v>9758</v>
      </c>
      <c r="D199" s="3" t="s">
        <v>3160</v>
      </c>
      <c r="E199" s="3" t="b">
        <v>1</v>
      </c>
      <c r="F199" s="3" t="b">
        <v>0</v>
      </c>
      <c r="G199" s="3" t="s">
        <v>10003</v>
      </c>
      <c r="H199" s="4" t="str">
        <f>_xlfn.IFNA(IF(((INDEX(RulebookFields!C2:C1898, MATCH(D199,RulebookFields!A2:A1898, 0))="")=TRUE),  "",  INDEX(RulebookFields!C2:C1898, MATCH(D199,RulebookFields!A2:A1898, 0))), "")</f>
        <v>Exceptions</v>
      </c>
      <c r="I199" s="4" t="str">
        <f>_xlfn.IFNA(IF(((INDEX(RulebookFields!D2:D1898, MATCH(D199,RulebookFields!A2:A1898, 0))="")=TRUE),  "",  INDEX(RulebookFields!D2:D1898, MATCH(D199,RulebookFields!A2:A1898, 0))), "")</f>
        <v>ExceptionId</v>
      </c>
      <c r="J199" s="4" t="b">
        <f>_xlfn.IFNA(IF(((INDEX(RulebookFields!I2:I1898, MATCH(D199,RulebookFields!A2:A1898, 0))="")=TRUE),  "",  INDEX(RulebookFields!I2:I1898, MATCH(D199,RulebookFields!A2:A1898, 0))), "")</f>
        <v>0</v>
      </c>
      <c r="K199" s="4" t="b">
        <f>AND(((F199)=TRUE), ((J199)=TRUE))</f>
        <v>0</v>
      </c>
      <c r="L199" s="4" t="b">
        <f>AND(((G199 &lt;&gt; "plain")=TRUE), ((G199 &lt;&gt; "")=TRUE))</f>
        <v>0</v>
      </c>
      <c r="M199" s="4" t="str">
        <f>IF(((E199)=TRUE),  C199 &amp; "|" &amp; H199,  "")</f>
        <v>principal-hr-policy-owner|Exceptions</v>
      </c>
      <c r="N199" s="3" t="s">
        <v>10004</v>
      </c>
    </row>
    <row r="200">
      <c r="A200" s="3" t="s">
        <v>10202</v>
      </c>
      <c r="B200" s="4" t="str">
        <f>C200 &amp; " -&gt; " &amp; D200</f>
        <v>principal-hr-policy-owner -&gt; Exceptions.Name</v>
      </c>
      <c r="C200" s="3" t="s">
        <v>9758</v>
      </c>
      <c r="D200" s="3" t="s">
        <v>3162</v>
      </c>
      <c r="E200" s="3" t="b">
        <v>1</v>
      </c>
      <c r="F200" s="3" t="b">
        <v>0</v>
      </c>
      <c r="G200" s="3" t="s">
        <v>10003</v>
      </c>
      <c r="H200" s="4" t="str">
        <f>_xlfn.IFNA(IF(((INDEX(RulebookFields!C2:C1898, MATCH(D200,RulebookFields!A2:A1898, 0))="")=TRUE),  "",  INDEX(RulebookFields!C2:C1898, MATCH(D200,RulebookFields!A2:A1898, 0))), "")</f>
        <v>Exceptions</v>
      </c>
      <c r="I200" s="4" t="str">
        <f>_xlfn.IFNA(IF(((INDEX(RulebookFields!D2:D1898, MATCH(D200,RulebookFields!A2:A1898, 0))="")=TRUE),  "",  INDEX(RulebookFields!D2:D1898, MATCH(D200,RulebookFields!A2:A1898, 0))), "")</f>
        <v>Name</v>
      </c>
      <c r="J200" s="4" t="b">
        <f>_xlfn.IFNA(IF(((INDEX(RulebookFields!I2:I1898, MATCH(D200,RulebookFields!A2:A1898, 0))="")=TRUE),  "",  INDEX(RulebookFields!I2:I1898, MATCH(D200,RulebookFields!A2:A1898, 0))), "")</f>
        <v>1</v>
      </c>
      <c r="K200" s="4" t="b">
        <f>AND(((F200)=TRUE), ((J200)=TRUE))</f>
        <v>0</v>
      </c>
      <c r="L200" s="4" t="b">
        <f>AND(((G200 &lt;&gt; "plain")=TRUE), ((G200 &lt;&gt; "")=TRUE))</f>
        <v>0</v>
      </c>
      <c r="M200" s="4" t="str">
        <f>IF(((E200)=TRUE),  C200 &amp; "|" &amp; H200,  "")</f>
        <v>principal-hr-policy-owner|Exceptions</v>
      </c>
      <c r="N200" s="3" t="s">
        <v>10004</v>
      </c>
    </row>
    <row r="201">
      <c r="A201" s="3" t="s">
        <v>10203</v>
      </c>
      <c r="B201" s="4" t="str">
        <f>C201 &amp; " -&gt; " &amp; D201</f>
        <v>principal-hr-policy-owner -&gt; Exceptions.ProcedureVersion</v>
      </c>
      <c r="C201" s="3" t="s">
        <v>9758</v>
      </c>
      <c r="D201" s="3" t="s">
        <v>3164</v>
      </c>
      <c r="E201" s="3" t="b">
        <v>1</v>
      </c>
      <c r="F201" s="3" t="b">
        <v>0</v>
      </c>
      <c r="G201" s="3" t="s">
        <v>10003</v>
      </c>
      <c r="H201" s="4" t="str">
        <f>_xlfn.IFNA(IF(((INDEX(RulebookFields!C2:C1898, MATCH(D201,RulebookFields!A2:A1898, 0))="")=TRUE),  "",  INDEX(RulebookFields!C2:C1898, MATCH(D201,RulebookFields!A2:A1898, 0))), "")</f>
        <v>Exceptions</v>
      </c>
      <c r="I201" s="4" t="str">
        <f>_xlfn.IFNA(IF(((INDEX(RulebookFields!D2:D1898, MATCH(D201,RulebookFields!A2:A1898, 0))="")=TRUE),  "",  INDEX(RulebookFields!D2:D1898, MATCH(D201,RulebookFields!A2:A1898, 0))), "")</f>
        <v>ProcedureVersion</v>
      </c>
      <c r="J201" s="4" t="b">
        <f>_xlfn.IFNA(IF(((INDEX(RulebookFields!I2:I1898, MATCH(D201,RulebookFields!A2:A1898, 0))="")=TRUE),  "",  INDEX(RulebookFields!I2:I1898, MATCH(D201,RulebookFields!A2:A1898, 0))), "")</f>
        <v>0</v>
      </c>
      <c r="K201" s="4" t="b">
        <f>AND(((F201)=TRUE), ((J201)=TRUE))</f>
        <v>0</v>
      </c>
      <c r="L201" s="4" t="b">
        <f>AND(((G201 &lt;&gt; "plain")=TRUE), ((G201 &lt;&gt; "")=TRUE))</f>
        <v>0</v>
      </c>
      <c r="M201" s="4" t="str">
        <f>IF(((E201)=TRUE),  C201 &amp; "|" &amp; H201,  "")</f>
        <v>principal-hr-policy-owner|Exceptions</v>
      </c>
      <c r="N201" s="3" t="s">
        <v>10004</v>
      </c>
    </row>
    <row r="202">
      <c r="A202" s="3" t="s">
        <v>10204</v>
      </c>
      <c r="B202" s="4" t="str">
        <f>C202 &amp; " -&gt; " &amp; D202</f>
        <v>principal-hr-policy-owner -&gt; Exceptions.TriggerStep</v>
      </c>
      <c r="C202" s="3" t="s">
        <v>9758</v>
      </c>
      <c r="D202" s="3" t="s">
        <v>3165</v>
      </c>
      <c r="E202" s="3" t="b">
        <v>1</v>
      </c>
      <c r="F202" s="3" t="b">
        <v>0</v>
      </c>
      <c r="G202" s="3" t="s">
        <v>10003</v>
      </c>
      <c r="H202" s="4" t="str">
        <f>_xlfn.IFNA(IF(((INDEX(RulebookFields!C2:C1898, MATCH(D202,RulebookFields!A2:A1898, 0))="")=TRUE),  "",  INDEX(RulebookFields!C2:C1898, MATCH(D202,RulebookFields!A2:A1898, 0))), "")</f>
        <v>Exceptions</v>
      </c>
      <c r="I202" s="4" t="str">
        <f>_xlfn.IFNA(IF(((INDEX(RulebookFields!D2:D1898, MATCH(D202,RulebookFields!A2:A1898, 0))="")=TRUE),  "",  INDEX(RulebookFields!D2:D1898, MATCH(D202,RulebookFields!A2:A1898, 0))), "")</f>
        <v>TriggerStep</v>
      </c>
      <c r="J202" s="4" t="b">
        <f>_xlfn.IFNA(IF(((INDEX(RulebookFields!I2:I1898, MATCH(D202,RulebookFields!A2:A1898, 0))="")=TRUE),  "",  INDEX(RulebookFields!I2:I1898, MATCH(D202,RulebookFields!A2:A1898, 0))), "")</f>
        <v>0</v>
      </c>
      <c r="K202" s="4" t="b">
        <f>AND(((F202)=TRUE), ((J202)=TRUE))</f>
        <v>0</v>
      </c>
      <c r="L202" s="4" t="b">
        <f>AND(((G202 &lt;&gt; "plain")=TRUE), ((G202 &lt;&gt; "")=TRUE))</f>
        <v>0</v>
      </c>
      <c r="M202" s="4" t="str">
        <f>IF(((E202)=TRUE),  C202 &amp; "|" &amp; H202,  "")</f>
        <v>principal-hr-policy-owner|Exceptions</v>
      </c>
      <c r="N202" s="3" t="s">
        <v>10004</v>
      </c>
    </row>
    <row r="203">
      <c r="A203" s="3" t="s">
        <v>10205</v>
      </c>
      <c r="B203" s="4" t="str">
        <f>C203 &amp; " -&gt; " &amp; D203</f>
        <v>principal-hr-policy-owner -&gt; Exceptions.Condition</v>
      </c>
      <c r="C203" s="3" t="s">
        <v>9758</v>
      </c>
      <c r="D203" s="3" t="s">
        <v>3166</v>
      </c>
      <c r="E203" s="3" t="b">
        <v>1</v>
      </c>
      <c r="F203" s="3" t="b">
        <v>0</v>
      </c>
      <c r="G203" s="3" t="s">
        <v>10003</v>
      </c>
      <c r="H203" s="4" t="str">
        <f>_xlfn.IFNA(IF(((INDEX(RulebookFields!C2:C1898, MATCH(D203,RulebookFields!A2:A1898, 0))="")=TRUE),  "",  INDEX(RulebookFields!C2:C1898, MATCH(D203,RulebookFields!A2:A1898, 0))), "")</f>
        <v>Exceptions</v>
      </c>
      <c r="I203" s="4" t="str">
        <f>_xlfn.IFNA(IF(((INDEX(RulebookFields!D2:D1898, MATCH(D203,RulebookFields!A2:A1898, 0))="")=TRUE),  "",  INDEX(RulebookFields!D2:D1898, MATCH(D203,RulebookFields!A2:A1898, 0))), "")</f>
        <v>Condition</v>
      </c>
      <c r="J203" s="4" t="b">
        <f>_xlfn.IFNA(IF(((INDEX(RulebookFields!I2:I1898, MATCH(D203,RulebookFields!A2:A1898, 0))="")=TRUE),  "",  INDEX(RulebookFields!I2:I1898, MATCH(D203,RulebookFields!A2:A1898, 0))), "")</f>
        <v>0</v>
      </c>
      <c r="K203" s="4" t="b">
        <f>AND(((F203)=TRUE), ((J203)=TRUE))</f>
        <v>0</v>
      </c>
      <c r="L203" s="4" t="b">
        <f>AND(((G203 &lt;&gt; "plain")=TRUE), ((G203 &lt;&gt; "")=TRUE))</f>
        <v>0</v>
      </c>
      <c r="M203" s="4" t="str">
        <f>IF(((E203)=TRUE),  C203 &amp; "|" &amp; H203,  "")</f>
        <v>principal-hr-policy-owner|Exceptions</v>
      </c>
      <c r="N203" s="3" t="s">
        <v>10004</v>
      </c>
    </row>
    <row r="204">
      <c r="A204" s="3" t="s">
        <v>10206</v>
      </c>
      <c r="B204" s="4" t="str">
        <f>C204 &amp; " -&gt; " &amp; D204</f>
        <v>principal-hr-policy-owner -&gt; Exceptions.Handling</v>
      </c>
      <c r="C204" s="3" t="s">
        <v>9758</v>
      </c>
      <c r="D204" s="3" t="s">
        <v>3167</v>
      </c>
      <c r="E204" s="3" t="b">
        <v>1</v>
      </c>
      <c r="F204" s="3" t="b">
        <v>0</v>
      </c>
      <c r="G204" s="3" t="s">
        <v>10003</v>
      </c>
      <c r="H204" s="4" t="str">
        <f>_xlfn.IFNA(IF(((INDEX(RulebookFields!C2:C1898, MATCH(D204,RulebookFields!A2:A1898, 0))="")=TRUE),  "",  INDEX(RulebookFields!C2:C1898, MATCH(D204,RulebookFields!A2:A1898, 0))), "")</f>
        <v>Exceptions</v>
      </c>
      <c r="I204" s="4" t="str">
        <f>_xlfn.IFNA(IF(((INDEX(RulebookFields!D2:D1898, MATCH(D204,RulebookFields!A2:A1898, 0))="")=TRUE),  "",  INDEX(RulebookFields!D2:D1898, MATCH(D204,RulebookFields!A2:A1898, 0))), "")</f>
        <v>Handling</v>
      </c>
      <c r="J204" s="4" t="b">
        <f>_xlfn.IFNA(IF(((INDEX(RulebookFields!I2:I1898, MATCH(D204,RulebookFields!A2:A1898, 0))="")=TRUE),  "",  INDEX(RulebookFields!I2:I1898, MATCH(D204,RulebookFields!A2:A1898, 0))), "")</f>
        <v>0</v>
      </c>
      <c r="K204" s="4" t="b">
        <f>AND(((F204)=TRUE), ((J204)=TRUE))</f>
        <v>0</v>
      </c>
      <c r="L204" s="4" t="b">
        <f>AND(((G204 &lt;&gt; "plain")=TRUE), ((G204 &lt;&gt; "")=TRUE))</f>
        <v>0</v>
      </c>
      <c r="M204" s="4" t="str">
        <f>IF(((E204)=TRUE),  C204 &amp; "|" &amp; H204,  "")</f>
        <v>principal-hr-policy-owner|Exceptions</v>
      </c>
      <c r="N204" s="3" t="s">
        <v>10004</v>
      </c>
    </row>
    <row r="205">
      <c r="A205" s="3" t="s">
        <v>10207</v>
      </c>
      <c r="B205" s="4" t="str">
        <f>C205 &amp; " -&gt; " &amp; D205</f>
        <v>principal-hr-policy-owner -&gt; Exceptions.ApprovalRole</v>
      </c>
      <c r="C205" s="3" t="s">
        <v>9758</v>
      </c>
      <c r="D205" s="3" t="s">
        <v>3168</v>
      </c>
      <c r="E205" s="3" t="b">
        <v>1</v>
      </c>
      <c r="F205" s="3" t="b">
        <v>0</v>
      </c>
      <c r="G205" s="3" t="s">
        <v>10003</v>
      </c>
      <c r="H205" s="4" t="str">
        <f>_xlfn.IFNA(IF(((INDEX(RulebookFields!C2:C1898, MATCH(D205,RulebookFields!A2:A1898, 0))="")=TRUE),  "",  INDEX(RulebookFields!C2:C1898, MATCH(D205,RulebookFields!A2:A1898, 0))), "")</f>
        <v>Exceptions</v>
      </c>
      <c r="I205" s="4" t="str">
        <f>_xlfn.IFNA(IF(((INDEX(RulebookFields!D2:D1898, MATCH(D205,RulebookFields!A2:A1898, 0))="")=TRUE),  "",  INDEX(RulebookFields!D2:D1898, MATCH(D205,RulebookFields!A2:A1898, 0))), "")</f>
        <v>ApprovalRole</v>
      </c>
      <c r="J205" s="4" t="b">
        <f>_xlfn.IFNA(IF(((INDEX(RulebookFields!I2:I1898, MATCH(D205,RulebookFields!A2:A1898, 0))="")=TRUE),  "",  INDEX(RulebookFields!I2:I1898, MATCH(D205,RulebookFields!A2:A1898, 0))), "")</f>
        <v>0</v>
      </c>
      <c r="K205" s="4" t="b">
        <f>AND(((F205)=TRUE), ((J205)=TRUE))</f>
        <v>0</v>
      </c>
      <c r="L205" s="4" t="b">
        <f>AND(((G205 &lt;&gt; "plain")=TRUE), ((G205 &lt;&gt; "")=TRUE))</f>
        <v>0</v>
      </c>
      <c r="M205" s="4" t="str">
        <f>IF(((E205)=TRUE),  C205 &amp; "|" &amp; H205,  "")</f>
        <v>principal-hr-policy-owner|Exceptions</v>
      </c>
      <c r="N205" s="3" t="s">
        <v>10004</v>
      </c>
    </row>
    <row r="206">
      <c r="A206" s="3" t="s">
        <v>10208</v>
      </c>
      <c r="B206" s="4" t="str">
        <f>C206 &amp; " -&gt; " &amp; D206</f>
        <v>principal-hr-policy-owner -&gt; Exceptions.FallbackRole</v>
      </c>
      <c r="C206" s="3" t="s">
        <v>9758</v>
      </c>
      <c r="D206" s="3" t="s">
        <v>3169</v>
      </c>
      <c r="E206" s="3" t="b">
        <v>1</v>
      </c>
      <c r="F206" s="3" t="b">
        <v>0</v>
      </c>
      <c r="G206" s="3" t="s">
        <v>10003</v>
      </c>
      <c r="H206" s="4" t="str">
        <f>_xlfn.IFNA(IF(((INDEX(RulebookFields!C2:C1898, MATCH(D206,RulebookFields!A2:A1898, 0))="")=TRUE),  "",  INDEX(RulebookFields!C2:C1898, MATCH(D206,RulebookFields!A2:A1898, 0))), "")</f>
        <v>Exceptions</v>
      </c>
      <c r="I206" s="4" t="str">
        <f>_xlfn.IFNA(IF(((INDEX(RulebookFields!D2:D1898, MATCH(D206,RulebookFields!A2:A1898, 0))="")=TRUE),  "",  INDEX(RulebookFields!D2:D1898, MATCH(D206,RulebookFields!A2:A1898, 0))), "")</f>
        <v>FallbackRole</v>
      </c>
      <c r="J206" s="4" t="b">
        <f>_xlfn.IFNA(IF(((INDEX(RulebookFields!I2:I1898, MATCH(D206,RulebookFields!A2:A1898, 0))="")=TRUE),  "",  INDEX(RulebookFields!I2:I1898, MATCH(D206,RulebookFields!A2:A1898, 0))), "")</f>
        <v>0</v>
      </c>
      <c r="K206" s="4" t="b">
        <f>AND(((F206)=TRUE), ((J206)=TRUE))</f>
        <v>0</v>
      </c>
      <c r="L206" s="4" t="b">
        <f>AND(((G206 &lt;&gt; "plain")=TRUE), ((G206 &lt;&gt; "")=TRUE))</f>
        <v>0</v>
      </c>
      <c r="M206" s="4" t="str">
        <f>IF(((E206)=TRUE),  C206 &amp; "|" &amp; H206,  "")</f>
        <v>principal-hr-policy-owner|Exceptions</v>
      </c>
      <c r="N206" s="3" t="s">
        <v>10004</v>
      </c>
    </row>
    <row r="207">
      <c r="A207" s="3" t="s">
        <v>10209</v>
      </c>
      <c r="B207" s="4" t="str">
        <f>C207 &amp; " -&gt; " &amp; D207</f>
        <v>principal-hr-policy-owner -&gt; Exceptions.Status</v>
      </c>
      <c r="C207" s="3" t="s">
        <v>9758</v>
      </c>
      <c r="D207" s="3" t="s">
        <v>3170</v>
      </c>
      <c r="E207" s="3" t="b">
        <v>1</v>
      </c>
      <c r="F207" s="3" t="b">
        <v>0</v>
      </c>
      <c r="G207" s="3" t="s">
        <v>10003</v>
      </c>
      <c r="H207" s="4" t="str">
        <f>_xlfn.IFNA(IF(((INDEX(RulebookFields!C2:C1898, MATCH(D207,RulebookFields!A2:A1898, 0))="")=TRUE),  "",  INDEX(RulebookFields!C2:C1898, MATCH(D207,RulebookFields!A2:A1898, 0))), "")</f>
        <v>Exceptions</v>
      </c>
      <c r="I207" s="4" t="str">
        <f>_xlfn.IFNA(IF(((INDEX(RulebookFields!D2:D1898, MATCH(D207,RulebookFields!A2:A1898, 0))="")=TRUE),  "",  INDEX(RulebookFields!D2:D1898, MATCH(D207,RulebookFields!A2:A1898, 0))), "")</f>
        <v>Status</v>
      </c>
      <c r="J207" s="4" t="b">
        <f>_xlfn.IFNA(IF(((INDEX(RulebookFields!I2:I1898, MATCH(D207,RulebookFields!A2:A1898, 0))="")=TRUE),  "",  INDEX(RulebookFields!I2:I1898, MATCH(D207,RulebookFields!A2:A1898, 0))), "")</f>
        <v>0</v>
      </c>
      <c r="K207" s="4" t="b">
        <f>AND(((F207)=TRUE), ((J207)=TRUE))</f>
        <v>0</v>
      </c>
      <c r="L207" s="4" t="b">
        <f>AND(((G207 &lt;&gt; "plain")=TRUE), ((G207 &lt;&gt; "")=TRUE))</f>
        <v>0</v>
      </c>
      <c r="M207" s="4" t="str">
        <f>IF(((E207)=TRUE),  C207 &amp; "|" &amp; H207,  "")</f>
        <v>principal-hr-policy-owner|Exceptions</v>
      </c>
      <c r="N207" s="3" t="s">
        <v>10004</v>
      </c>
    </row>
    <row r="208">
      <c r="A208" s="3" t="s">
        <v>10210</v>
      </c>
      <c r="B208" s="4" t="str">
        <f>C208 &amp; " -&gt; " &amp; D208</f>
        <v>principal-hr-policy-owner -&gt; Exceptions.ActiveExceptionStepKey</v>
      </c>
      <c r="C208" s="3" t="s">
        <v>9758</v>
      </c>
      <c r="D208" s="3" t="s">
        <v>3171</v>
      </c>
      <c r="E208" s="3" t="b">
        <v>1</v>
      </c>
      <c r="F208" s="3" t="b">
        <v>0</v>
      </c>
      <c r="G208" s="3" t="s">
        <v>10003</v>
      </c>
      <c r="H208" s="4" t="str">
        <f>_xlfn.IFNA(IF(((INDEX(RulebookFields!C2:C1898, MATCH(D208,RulebookFields!A2:A1898, 0))="")=TRUE),  "",  INDEX(RulebookFields!C2:C1898, MATCH(D208,RulebookFields!A2:A1898, 0))), "")</f>
        <v>Exceptions</v>
      </c>
      <c r="I208" s="4" t="str">
        <f>_xlfn.IFNA(IF(((INDEX(RulebookFields!D2:D1898, MATCH(D208,RulebookFields!A2:A1898, 0))="")=TRUE),  "",  INDEX(RulebookFields!D2:D1898, MATCH(D208,RulebookFields!A2:A1898, 0))), "")</f>
        <v>ActiveExceptionStepKey</v>
      </c>
      <c r="J208" s="4" t="b">
        <f>_xlfn.IFNA(IF(((INDEX(RulebookFields!I2:I1898, MATCH(D208,RulebookFields!A2:A1898, 0))="")=TRUE),  "",  INDEX(RulebookFields!I2:I1898, MATCH(D208,RulebookFields!A2:A1898, 0))), "")</f>
        <v>1</v>
      </c>
      <c r="K208" s="4" t="b">
        <f>AND(((F208)=TRUE), ((J208)=TRUE))</f>
        <v>0</v>
      </c>
      <c r="L208" s="4" t="b">
        <f>AND(((G208 &lt;&gt; "plain")=TRUE), ((G208 &lt;&gt; "")=TRUE))</f>
        <v>0</v>
      </c>
      <c r="M208" s="4" t="str">
        <f>IF(((E208)=TRUE),  C208 &amp; "|" &amp; H208,  "")</f>
        <v>principal-hr-policy-owner|Exceptions</v>
      </c>
      <c r="N208" s="3" t="s">
        <v>10004</v>
      </c>
    </row>
    <row r="209">
      <c r="A209" s="3" t="s">
        <v>10211</v>
      </c>
      <c r="B209" s="4" t="str">
        <f>C209 &amp; " -&gt; " &amp; D209</f>
        <v>principal-hr-policy-owner -&gt; Exceptions.SemanticTypeIri</v>
      </c>
      <c r="C209" s="3" t="s">
        <v>9758</v>
      </c>
      <c r="D209" s="3" t="s">
        <v>3173</v>
      </c>
      <c r="E209" s="3" t="b">
        <v>1</v>
      </c>
      <c r="F209" s="3" t="b">
        <v>0</v>
      </c>
      <c r="G209" s="3" t="s">
        <v>10003</v>
      </c>
      <c r="H209" s="4" t="str">
        <f>_xlfn.IFNA(IF(((INDEX(RulebookFields!C2:C1898, MATCH(D209,RulebookFields!A2:A1898, 0))="")=TRUE),  "",  INDEX(RulebookFields!C2:C1898, MATCH(D209,RulebookFields!A2:A1898, 0))), "")</f>
        <v>Exceptions</v>
      </c>
      <c r="I209" s="4" t="str">
        <f>_xlfn.IFNA(IF(((INDEX(RulebookFields!D2:D1898, MATCH(D209,RulebookFields!A2:A1898, 0))="")=TRUE),  "",  INDEX(RulebookFields!D2:D1898, MATCH(D209,RulebookFields!A2:A1898, 0))), "")</f>
        <v>SemanticTypeIri</v>
      </c>
      <c r="J209" s="4" t="b">
        <f>_xlfn.IFNA(IF(((INDEX(RulebookFields!I2:I1898, MATCH(D209,RulebookFields!A2:A1898, 0))="")=TRUE),  "",  INDEX(RulebookFields!I2:I1898, MATCH(D209,RulebookFields!A2:A1898, 0))), "")</f>
        <v>0</v>
      </c>
      <c r="K209" s="4" t="b">
        <f>AND(((F209)=TRUE), ((J209)=TRUE))</f>
        <v>0</v>
      </c>
      <c r="L209" s="4" t="b">
        <f>AND(((G209 &lt;&gt; "plain")=TRUE), ((G209 &lt;&gt; "")=TRUE))</f>
        <v>0</v>
      </c>
      <c r="M209" s="4" t="str">
        <f>IF(((E209)=TRUE),  C209 &amp; "|" &amp; H209,  "")</f>
        <v>principal-hr-policy-owner|Exceptions</v>
      </c>
      <c r="N209" s="3" t="s">
        <v>10004</v>
      </c>
    </row>
    <row r="210">
      <c r="A210" s="3" t="s">
        <v>10212</v>
      </c>
      <c r="B210" s="4" t="str">
        <f>C210 &amp; " -&gt; " &amp; D210</f>
        <v>principal-hr-policy-owner -&gt; MessageTemplates.MessageTemplateId</v>
      </c>
      <c r="C210" s="3" t="s">
        <v>9758</v>
      </c>
      <c r="D210" s="3" t="s">
        <v>4086</v>
      </c>
      <c r="E210" s="3" t="b">
        <v>1</v>
      </c>
      <c r="F210" s="3" t="b">
        <v>0</v>
      </c>
      <c r="G210" s="3" t="s">
        <v>10003</v>
      </c>
      <c r="H210" s="4" t="str">
        <f>_xlfn.IFNA(IF(((INDEX(RulebookFields!C2:C1898, MATCH(D210,RulebookFields!A2:A1898, 0))="")=TRUE),  "",  INDEX(RulebookFields!C2:C1898, MATCH(D210,RulebookFields!A2:A1898, 0))), "")</f>
        <v>MessageTemplates</v>
      </c>
      <c r="I210" s="4" t="str">
        <f>_xlfn.IFNA(IF(((INDEX(RulebookFields!D2:D1898, MATCH(D210,RulebookFields!A2:A1898, 0))="")=TRUE),  "",  INDEX(RulebookFields!D2:D1898, MATCH(D210,RulebookFields!A2:A1898, 0))), "")</f>
        <v>MessageTemplateId</v>
      </c>
      <c r="J210" s="4" t="b">
        <f>_xlfn.IFNA(IF(((INDEX(RulebookFields!I2:I1898, MATCH(D210,RulebookFields!A2:A1898, 0))="")=TRUE),  "",  INDEX(RulebookFields!I2:I1898, MATCH(D210,RulebookFields!A2:A1898, 0))), "")</f>
        <v>0</v>
      </c>
      <c r="K210" s="4" t="b">
        <f>AND(((F210)=TRUE), ((J210)=TRUE))</f>
        <v>0</v>
      </c>
      <c r="L210" s="4" t="b">
        <f>AND(((G210 &lt;&gt; "plain")=TRUE), ((G210 &lt;&gt; "")=TRUE))</f>
        <v>0</v>
      </c>
      <c r="M210" s="4" t="str">
        <f>IF(((E210)=TRUE),  C210 &amp; "|" &amp; H210,  "")</f>
        <v>principal-hr-policy-owner|MessageTemplates</v>
      </c>
      <c r="N210" s="3" t="s">
        <v>10004</v>
      </c>
    </row>
    <row r="211">
      <c r="A211" s="3" t="s">
        <v>10213</v>
      </c>
      <c r="B211" s="4" t="str">
        <f>C211 &amp; " -&gt; " &amp; D211</f>
        <v>principal-hr-policy-owner -&gt; MessageTemplates.SubjectTemplate</v>
      </c>
      <c r="C211" s="3" t="s">
        <v>9758</v>
      </c>
      <c r="D211" s="3" t="s">
        <v>4092</v>
      </c>
      <c r="E211" s="3" t="b">
        <v>1</v>
      </c>
      <c r="F211" s="3" t="b">
        <v>0</v>
      </c>
      <c r="G211" s="3" t="s">
        <v>10003</v>
      </c>
      <c r="H211" s="4" t="str">
        <f>_xlfn.IFNA(IF(((INDEX(RulebookFields!C2:C1898, MATCH(D211,RulebookFields!A2:A1898, 0))="")=TRUE),  "",  INDEX(RulebookFields!C2:C1898, MATCH(D211,RulebookFields!A2:A1898, 0))), "")</f>
        <v>MessageTemplates</v>
      </c>
      <c r="I211" s="4" t="str">
        <f>_xlfn.IFNA(IF(((INDEX(RulebookFields!D2:D1898, MATCH(D211,RulebookFields!A2:A1898, 0))="")=TRUE),  "",  INDEX(RulebookFields!D2:D1898, MATCH(D211,RulebookFields!A2:A1898, 0))), "")</f>
        <v>SubjectTemplate</v>
      </c>
      <c r="J211" s="4" t="b">
        <f>_xlfn.IFNA(IF(((INDEX(RulebookFields!I2:I1898, MATCH(D211,RulebookFields!A2:A1898, 0))="")=TRUE),  "",  INDEX(RulebookFields!I2:I1898, MATCH(D211,RulebookFields!A2:A1898, 0))), "")</f>
        <v>0</v>
      </c>
      <c r="K211" s="4" t="b">
        <f>AND(((F211)=TRUE), ((J211)=TRUE))</f>
        <v>0</v>
      </c>
      <c r="L211" s="4" t="b">
        <f>AND(((G211 &lt;&gt; "plain")=TRUE), ((G211 &lt;&gt; "")=TRUE))</f>
        <v>0</v>
      </c>
      <c r="M211" s="4" t="str">
        <f>IF(((E211)=TRUE),  C211 &amp; "|" &amp; H211,  "")</f>
        <v>principal-hr-policy-owner|MessageTemplates</v>
      </c>
      <c r="N211" s="3" t="s">
        <v>10004</v>
      </c>
    </row>
    <row r="212">
      <c r="A212" s="3" t="s">
        <v>10214</v>
      </c>
      <c r="B212" s="4" t="str">
        <f>C212 &amp; " -&gt; " &amp; D212</f>
        <v>principal-hr-policy-owner -&gt; MessageTemplates.BodyTemplate</v>
      </c>
      <c r="C212" s="3" t="s">
        <v>9758</v>
      </c>
      <c r="D212" s="3" t="s">
        <v>4093</v>
      </c>
      <c r="E212" s="3" t="b">
        <v>1</v>
      </c>
      <c r="F212" s="3" t="b">
        <v>0</v>
      </c>
      <c r="G212" s="3" t="s">
        <v>10003</v>
      </c>
      <c r="H212" s="4" t="str">
        <f>_xlfn.IFNA(IF(((INDEX(RulebookFields!C2:C1898, MATCH(D212,RulebookFields!A2:A1898, 0))="")=TRUE),  "",  INDEX(RulebookFields!C2:C1898, MATCH(D212,RulebookFields!A2:A1898, 0))), "")</f>
        <v>MessageTemplates</v>
      </c>
      <c r="I212" s="4" t="str">
        <f>_xlfn.IFNA(IF(((INDEX(RulebookFields!D2:D1898, MATCH(D212,RulebookFields!A2:A1898, 0))="")=TRUE),  "",  INDEX(RulebookFields!D2:D1898, MATCH(D212,RulebookFields!A2:A1898, 0))), "")</f>
        <v>BodyTemplate</v>
      </c>
      <c r="J212" s="4" t="b">
        <f>_xlfn.IFNA(IF(((INDEX(RulebookFields!I2:I1898, MATCH(D212,RulebookFields!A2:A1898, 0))="")=TRUE),  "",  INDEX(RulebookFields!I2:I1898, MATCH(D212,RulebookFields!A2:A1898, 0))), "")</f>
        <v>0</v>
      </c>
      <c r="K212" s="4" t="b">
        <f>AND(((F212)=TRUE), ((J212)=TRUE))</f>
        <v>0</v>
      </c>
      <c r="L212" s="4" t="b">
        <f>AND(((G212 &lt;&gt; "plain")=TRUE), ((G212 &lt;&gt; "")=TRUE))</f>
        <v>0</v>
      </c>
      <c r="M212" s="4" t="str">
        <f>IF(((E212)=TRUE),  C212 &amp; "|" &amp; H212,  "")</f>
        <v>principal-hr-policy-owner|MessageTemplates</v>
      </c>
      <c r="N212" s="3" t="s">
        <v>10004</v>
      </c>
    </row>
    <row r="213">
      <c r="A213" s="3" t="s">
        <v>10215</v>
      </c>
      <c r="B213" s="4" t="str">
        <f>C213 &amp; " -&gt; " &amp; D213</f>
        <v>principal-hr-policy-owner -&gt; MessageTemplates.Status</v>
      </c>
      <c r="C213" s="3" t="s">
        <v>9758</v>
      </c>
      <c r="D213" s="3" t="s">
        <v>4095</v>
      </c>
      <c r="E213" s="3" t="b">
        <v>1</v>
      </c>
      <c r="F213" s="3" t="b">
        <v>0</v>
      </c>
      <c r="G213" s="3" t="s">
        <v>10003</v>
      </c>
      <c r="H213" s="4" t="str">
        <f>_xlfn.IFNA(IF(((INDEX(RulebookFields!C2:C1898, MATCH(D213,RulebookFields!A2:A1898, 0))="")=TRUE),  "",  INDEX(RulebookFields!C2:C1898, MATCH(D213,RulebookFields!A2:A1898, 0))), "")</f>
        <v>MessageTemplates</v>
      </c>
      <c r="I213" s="4" t="str">
        <f>_xlfn.IFNA(IF(((INDEX(RulebookFields!D2:D1898, MATCH(D213,RulebookFields!A2:A1898, 0))="")=TRUE),  "",  INDEX(RulebookFields!D2:D1898, MATCH(D213,RulebookFields!A2:A1898, 0))), "")</f>
        <v>Status</v>
      </c>
      <c r="J213" s="4" t="b">
        <f>_xlfn.IFNA(IF(((INDEX(RulebookFields!I2:I1898, MATCH(D213,RulebookFields!A2:A1898, 0))="")=TRUE),  "",  INDEX(RulebookFields!I2:I1898, MATCH(D213,RulebookFields!A2:A1898, 0))), "")</f>
        <v>0</v>
      </c>
      <c r="K213" s="4" t="b">
        <f>AND(((F213)=TRUE), ((J213)=TRUE))</f>
        <v>0</v>
      </c>
      <c r="L213" s="4" t="b">
        <f>AND(((G213 &lt;&gt; "plain")=TRUE), ((G213 &lt;&gt; "")=TRUE))</f>
        <v>0</v>
      </c>
      <c r="M213" s="4" t="str">
        <f>IF(((E213)=TRUE),  C213 &amp; "|" &amp; H213,  "")</f>
        <v>principal-hr-policy-owner|MessageTemplates</v>
      </c>
      <c r="N213" s="3" t="s">
        <v>10004</v>
      </c>
    </row>
    <row r="214">
      <c r="A214" s="3" t="s">
        <v>10216</v>
      </c>
      <c r="B214" s="4" t="str">
        <f>C214 &amp; " -&gt; " &amp; D214</f>
        <v>principal-hr-policy-owner -&gt; MessageTemplates.Name</v>
      </c>
      <c r="C214" s="3" t="s">
        <v>9758</v>
      </c>
      <c r="D214" s="3" t="s">
        <v>4088</v>
      </c>
      <c r="E214" s="3" t="b">
        <v>1</v>
      </c>
      <c r="F214" s="3" t="b">
        <v>0</v>
      </c>
      <c r="G214" s="3" t="s">
        <v>10003</v>
      </c>
      <c r="H214" s="4" t="str">
        <f>_xlfn.IFNA(IF(((INDEX(RulebookFields!C2:C1898, MATCH(D214,RulebookFields!A2:A1898, 0))="")=TRUE),  "",  INDEX(RulebookFields!C2:C1898, MATCH(D214,RulebookFields!A2:A1898, 0))), "")</f>
        <v>MessageTemplates</v>
      </c>
      <c r="I214" s="4" t="str">
        <f>_xlfn.IFNA(IF(((INDEX(RulebookFields!D2:D1898, MATCH(D214,RulebookFields!A2:A1898, 0))="")=TRUE),  "",  INDEX(RulebookFields!D2:D1898, MATCH(D214,RulebookFields!A2:A1898, 0))), "")</f>
        <v>Name</v>
      </c>
      <c r="J214" s="4" t="b">
        <f>_xlfn.IFNA(IF(((INDEX(RulebookFields!I2:I1898, MATCH(D214,RulebookFields!A2:A1898, 0))="")=TRUE),  "",  INDEX(RulebookFields!I2:I1898, MATCH(D214,RulebookFields!A2:A1898, 0))), "")</f>
        <v>1</v>
      </c>
      <c r="K214" s="4" t="b">
        <f>AND(((F214)=TRUE), ((J214)=TRUE))</f>
        <v>0</v>
      </c>
      <c r="L214" s="4" t="b">
        <f>AND(((G214 &lt;&gt; "plain")=TRUE), ((G214 &lt;&gt; "")=TRUE))</f>
        <v>0</v>
      </c>
      <c r="M214" s="4" t="str">
        <f>IF(((E214)=TRUE),  C214 &amp; "|" &amp; H214,  "")</f>
        <v>principal-hr-policy-owner|MessageTemplates</v>
      </c>
      <c r="N214" s="3" t="s">
        <v>10004</v>
      </c>
    </row>
    <row r="215">
      <c r="A215" s="3" t="s">
        <v>10217</v>
      </c>
      <c r="B215" s="4" t="str">
        <f>C215 &amp; " -&gt; " &amp; D215</f>
        <v>principal-employment-counsel -&gt; ChangeRequests.ChangeRequestId</v>
      </c>
      <c r="C215" s="3" t="s">
        <v>9760</v>
      </c>
      <c r="D215" s="3" t="s">
        <v>3913</v>
      </c>
      <c r="E215" s="3" t="b">
        <v>1</v>
      </c>
      <c r="F215" s="3" t="b">
        <v>0</v>
      </c>
      <c r="G215" s="3" t="s">
        <v>10003</v>
      </c>
      <c r="H215" s="4" t="str">
        <f>_xlfn.IFNA(IF(((INDEX(RulebookFields!C2:C1898, MATCH(D215,RulebookFields!A2:A1898, 0))="")=TRUE),  "",  INDEX(RulebookFields!C2:C1898, MATCH(D215,RulebookFields!A2:A1898, 0))), "")</f>
        <v>ChangeRequests</v>
      </c>
      <c r="I215" s="4" t="str">
        <f>_xlfn.IFNA(IF(((INDEX(RulebookFields!D2:D1898, MATCH(D215,RulebookFields!A2:A1898, 0))="")=TRUE),  "",  INDEX(RulebookFields!D2:D1898, MATCH(D215,RulebookFields!A2:A1898, 0))), "")</f>
        <v>ChangeRequestId</v>
      </c>
      <c r="J215" s="4" t="b">
        <f>_xlfn.IFNA(IF(((INDEX(RulebookFields!I2:I1898, MATCH(D215,RulebookFields!A2:A1898, 0))="")=TRUE),  "",  INDEX(RulebookFields!I2:I1898, MATCH(D215,RulebookFields!A2:A1898, 0))), "")</f>
        <v>0</v>
      </c>
      <c r="K215" s="4" t="b">
        <f>AND(((F215)=TRUE), ((J215)=TRUE))</f>
        <v>0</v>
      </c>
      <c r="L215" s="4" t="b">
        <f>AND(((G215 &lt;&gt; "plain")=TRUE), ((G215 &lt;&gt; "")=TRUE))</f>
        <v>0</v>
      </c>
      <c r="M215" s="4" t="str">
        <f>IF(((E215)=TRUE),  C215 &amp; "|" &amp; H215,  "")</f>
        <v>principal-employment-counsel|ChangeRequests</v>
      </c>
      <c r="N215" s="3" t="s">
        <v>10004</v>
      </c>
    </row>
    <row r="216">
      <c r="A216" s="3" t="s">
        <v>10218</v>
      </c>
      <c r="B216" s="4" t="str">
        <f>C216 &amp; " -&gt; " &amp; D216</f>
        <v>principal-employment-counsel -&gt; ChangeRequests.Title</v>
      </c>
      <c r="C216" s="3" t="s">
        <v>9760</v>
      </c>
      <c r="D216" s="3" t="s">
        <v>3917</v>
      </c>
      <c r="E216" s="3" t="b">
        <v>1</v>
      </c>
      <c r="F216" s="3" t="b">
        <v>0</v>
      </c>
      <c r="G216" s="3" t="s">
        <v>10003</v>
      </c>
      <c r="H216" s="4" t="str">
        <f>_xlfn.IFNA(IF(((INDEX(RulebookFields!C2:C1898, MATCH(D216,RulebookFields!A2:A1898, 0))="")=TRUE),  "",  INDEX(RulebookFields!C2:C1898, MATCH(D216,RulebookFields!A2:A1898, 0))), "")</f>
        <v>ChangeRequests</v>
      </c>
      <c r="I216" s="4" t="str">
        <f>_xlfn.IFNA(IF(((INDEX(RulebookFields!D2:D1898, MATCH(D216,RulebookFields!A2:A1898, 0))="")=TRUE),  "",  INDEX(RulebookFields!D2:D1898, MATCH(D216,RulebookFields!A2:A1898, 0))), "")</f>
        <v>Title</v>
      </c>
      <c r="J216" s="4" t="b">
        <f>_xlfn.IFNA(IF(((INDEX(RulebookFields!I2:I1898, MATCH(D216,RulebookFields!A2:A1898, 0))="")=TRUE),  "",  INDEX(RulebookFields!I2:I1898, MATCH(D216,RulebookFields!A2:A1898, 0))), "")</f>
        <v>0</v>
      </c>
      <c r="K216" s="4" t="b">
        <f>AND(((F216)=TRUE), ((J216)=TRUE))</f>
        <v>0</v>
      </c>
      <c r="L216" s="4" t="b">
        <f>AND(((G216 &lt;&gt; "plain")=TRUE), ((G216 &lt;&gt; "")=TRUE))</f>
        <v>0</v>
      </c>
      <c r="M216" s="4" t="str">
        <f>IF(((E216)=TRUE),  C216 &amp; "|" &amp; H216,  "")</f>
        <v>principal-employment-counsel|ChangeRequests</v>
      </c>
      <c r="N216" s="3" t="s">
        <v>10004</v>
      </c>
    </row>
    <row r="217">
      <c r="A217" s="3" t="s">
        <v>10219</v>
      </c>
      <c r="B217" s="4" t="str">
        <f>C217 &amp; " -&gt; " &amp; D217</f>
        <v>principal-employment-counsel -&gt; ChangeRequests.ChangeKind</v>
      </c>
      <c r="C217" s="3" t="s">
        <v>9760</v>
      </c>
      <c r="D217" s="3" t="s">
        <v>3918</v>
      </c>
      <c r="E217" s="3" t="b">
        <v>1</v>
      </c>
      <c r="F217" s="3" t="b">
        <v>0</v>
      </c>
      <c r="G217" s="3" t="s">
        <v>10003</v>
      </c>
      <c r="H217" s="4" t="str">
        <f>_xlfn.IFNA(IF(((INDEX(RulebookFields!C2:C1898, MATCH(D217,RulebookFields!A2:A1898, 0))="")=TRUE),  "",  INDEX(RulebookFields!C2:C1898, MATCH(D217,RulebookFields!A2:A1898, 0))), "")</f>
        <v>ChangeRequests</v>
      </c>
      <c r="I217" s="4" t="str">
        <f>_xlfn.IFNA(IF(((INDEX(RulebookFields!D2:D1898, MATCH(D217,RulebookFields!A2:A1898, 0))="")=TRUE),  "",  INDEX(RulebookFields!D2:D1898, MATCH(D217,RulebookFields!A2:A1898, 0))), "")</f>
        <v>ChangeKind</v>
      </c>
      <c r="J217" s="4" t="b">
        <f>_xlfn.IFNA(IF(((INDEX(RulebookFields!I2:I1898, MATCH(D217,RulebookFields!A2:A1898, 0))="")=TRUE),  "",  INDEX(RulebookFields!I2:I1898, MATCH(D217,RulebookFields!A2:A1898, 0))), "")</f>
        <v>0</v>
      </c>
      <c r="K217" s="4" t="b">
        <f>AND(((F217)=TRUE), ((J217)=TRUE))</f>
        <v>0</v>
      </c>
      <c r="L217" s="4" t="b">
        <f>AND(((G217 &lt;&gt; "plain")=TRUE), ((G217 &lt;&gt; "")=TRUE))</f>
        <v>0</v>
      </c>
      <c r="M217" s="4" t="str">
        <f>IF(((E217)=TRUE),  C217 &amp; "|" &amp; H217,  "")</f>
        <v>principal-employment-counsel|ChangeRequests</v>
      </c>
      <c r="N217" s="3" t="s">
        <v>10004</v>
      </c>
    </row>
    <row r="218">
      <c r="A218" s="3" t="s">
        <v>10220</v>
      </c>
      <c r="B218" s="4" t="str">
        <f>C218 &amp; " -&gt; " &amp; D218</f>
        <v>principal-employment-counsel -&gt; ChangeRequests.Status</v>
      </c>
      <c r="C218" s="3" t="s">
        <v>9760</v>
      </c>
      <c r="D218" s="3" t="s">
        <v>3919</v>
      </c>
      <c r="E218" s="3" t="b">
        <v>1</v>
      </c>
      <c r="F218" s="3" t="b">
        <v>0</v>
      </c>
      <c r="G218" s="3" t="s">
        <v>10003</v>
      </c>
      <c r="H218" s="4" t="str">
        <f>_xlfn.IFNA(IF(((INDEX(RulebookFields!C2:C1898, MATCH(D218,RulebookFields!A2:A1898, 0))="")=TRUE),  "",  INDEX(RulebookFields!C2:C1898, MATCH(D218,RulebookFields!A2:A1898, 0))), "")</f>
        <v>ChangeRequests</v>
      </c>
      <c r="I218" s="4" t="str">
        <f>_xlfn.IFNA(IF(((INDEX(RulebookFields!D2:D1898, MATCH(D218,RulebookFields!A2:A1898, 0))="")=TRUE),  "",  INDEX(RulebookFields!D2:D1898, MATCH(D218,RulebookFields!A2:A1898, 0))), "")</f>
        <v>Status</v>
      </c>
      <c r="J218" s="4" t="b">
        <f>_xlfn.IFNA(IF(((INDEX(RulebookFields!I2:I1898, MATCH(D218,RulebookFields!A2:A1898, 0))="")=TRUE),  "",  INDEX(RulebookFields!I2:I1898, MATCH(D218,RulebookFields!A2:A1898, 0))), "")</f>
        <v>0</v>
      </c>
      <c r="K218" s="4" t="b">
        <f>AND(((F218)=TRUE), ((J218)=TRUE))</f>
        <v>0</v>
      </c>
      <c r="L218" s="4" t="b">
        <f>AND(((G218 &lt;&gt; "plain")=TRUE), ((G218 &lt;&gt; "")=TRUE))</f>
        <v>0</v>
      </c>
      <c r="M218" s="4" t="str">
        <f>IF(((E218)=TRUE),  C218 &amp; "|" &amp; H218,  "")</f>
        <v>principal-employment-counsel|ChangeRequests</v>
      </c>
      <c r="N218" s="3" t="s">
        <v>10004</v>
      </c>
    </row>
    <row r="219">
      <c r="A219" s="3" t="s">
        <v>10221</v>
      </c>
      <c r="B219" s="4" t="str">
        <f>C219 &amp; " -&gt; " &amp; D219</f>
        <v>principal-employment-counsel -&gt; ChangeRequests.RequestedAt</v>
      </c>
      <c r="C219" s="3" t="s">
        <v>9760</v>
      </c>
      <c r="D219" s="3" t="s">
        <v>3922</v>
      </c>
      <c r="E219" s="3" t="b">
        <v>1</v>
      </c>
      <c r="F219" s="3" t="b">
        <v>0</v>
      </c>
      <c r="G219" s="3" t="s">
        <v>10003</v>
      </c>
      <c r="H219" s="4" t="str">
        <f>_xlfn.IFNA(IF(((INDEX(RulebookFields!C2:C1898, MATCH(D219,RulebookFields!A2:A1898, 0))="")=TRUE),  "",  INDEX(RulebookFields!C2:C1898, MATCH(D219,RulebookFields!A2:A1898, 0))), "")</f>
        <v>ChangeRequests</v>
      </c>
      <c r="I219" s="4" t="str">
        <f>_xlfn.IFNA(IF(((INDEX(RulebookFields!D2:D1898, MATCH(D219,RulebookFields!A2:A1898, 0))="")=TRUE),  "",  INDEX(RulebookFields!D2:D1898, MATCH(D219,RulebookFields!A2:A1898, 0))), "")</f>
        <v>RequestedAt</v>
      </c>
      <c r="J219" s="4" t="b">
        <f>_xlfn.IFNA(IF(((INDEX(RulebookFields!I2:I1898, MATCH(D219,RulebookFields!A2:A1898, 0))="")=TRUE),  "",  INDEX(RulebookFields!I2:I1898, MATCH(D219,RulebookFields!A2:A1898, 0))), "")</f>
        <v>0</v>
      </c>
      <c r="K219" s="4" t="b">
        <f>AND(((F219)=TRUE), ((J219)=TRUE))</f>
        <v>0</v>
      </c>
      <c r="L219" s="4" t="b">
        <f>AND(((G219 &lt;&gt; "plain")=TRUE), ((G219 &lt;&gt; "")=TRUE))</f>
        <v>0</v>
      </c>
      <c r="M219" s="4" t="str">
        <f>IF(((E219)=TRUE),  C219 &amp; "|" &amp; H219,  "")</f>
        <v>principal-employment-counsel|ChangeRequests</v>
      </c>
      <c r="N219" s="3" t="s">
        <v>10004</v>
      </c>
    </row>
    <row r="220">
      <c r="A220" s="3" t="s">
        <v>10222</v>
      </c>
      <c r="B220" s="4" t="str">
        <f>C220 &amp; " -&gt; " &amp; D220</f>
        <v>principal-employment-counsel -&gt; ChangeRequests.DecidedAt</v>
      </c>
      <c r="C220" s="3" t="s">
        <v>9760</v>
      </c>
      <c r="D220" s="3" t="s">
        <v>3923</v>
      </c>
      <c r="E220" s="3" t="b">
        <v>1</v>
      </c>
      <c r="F220" s="3" t="b">
        <v>0</v>
      </c>
      <c r="G220" s="3" t="s">
        <v>10003</v>
      </c>
      <c r="H220" s="4" t="str">
        <f>_xlfn.IFNA(IF(((INDEX(RulebookFields!C2:C1898, MATCH(D220,RulebookFields!A2:A1898, 0))="")=TRUE),  "",  INDEX(RulebookFields!C2:C1898, MATCH(D220,RulebookFields!A2:A1898, 0))), "")</f>
        <v>ChangeRequests</v>
      </c>
      <c r="I220" s="4" t="str">
        <f>_xlfn.IFNA(IF(((INDEX(RulebookFields!D2:D1898, MATCH(D220,RulebookFields!A2:A1898, 0))="")=TRUE),  "",  INDEX(RulebookFields!D2:D1898, MATCH(D220,RulebookFields!A2:A1898, 0))), "")</f>
        <v>DecidedAt</v>
      </c>
      <c r="J220" s="4" t="b">
        <f>_xlfn.IFNA(IF(((INDEX(RulebookFields!I2:I1898, MATCH(D220,RulebookFields!A2:A1898, 0))="")=TRUE),  "",  INDEX(RulebookFields!I2:I1898, MATCH(D220,RulebookFields!A2:A1898, 0))), "")</f>
        <v>0</v>
      </c>
      <c r="K220" s="4" t="b">
        <f>AND(((F220)=TRUE), ((J220)=TRUE))</f>
        <v>0</v>
      </c>
      <c r="L220" s="4" t="b">
        <f>AND(((G220 &lt;&gt; "plain")=TRUE), ((G220 &lt;&gt; "")=TRUE))</f>
        <v>0</v>
      </c>
      <c r="M220" s="4" t="str">
        <f>IF(((E220)=TRUE),  C220 &amp; "|" &amp; H220,  "")</f>
        <v>principal-employment-counsel|ChangeRequests</v>
      </c>
      <c r="N220" s="3" t="s">
        <v>10004</v>
      </c>
    </row>
    <row r="221">
      <c r="A221" s="3" t="s">
        <v>10223</v>
      </c>
      <c r="B221" s="4" t="str">
        <f>C221 &amp; " -&gt; " &amp; D221</f>
        <v>principal-employment-counsel -&gt; ChangeRequests.ImpactAssessment</v>
      </c>
      <c r="C221" s="3" t="s">
        <v>9760</v>
      </c>
      <c r="D221" s="3" t="s">
        <v>3924</v>
      </c>
      <c r="E221" s="3" t="b">
        <v>1</v>
      </c>
      <c r="F221" s="3" t="b">
        <v>0</v>
      </c>
      <c r="G221" s="3" t="s">
        <v>10003</v>
      </c>
      <c r="H221" s="4" t="str">
        <f>_xlfn.IFNA(IF(((INDEX(RulebookFields!C2:C1898, MATCH(D221,RulebookFields!A2:A1898, 0))="")=TRUE),  "",  INDEX(RulebookFields!C2:C1898, MATCH(D221,RulebookFields!A2:A1898, 0))), "")</f>
        <v>ChangeRequests</v>
      </c>
      <c r="I221" s="4" t="str">
        <f>_xlfn.IFNA(IF(((INDEX(RulebookFields!D2:D1898, MATCH(D221,RulebookFields!A2:A1898, 0))="")=TRUE),  "",  INDEX(RulebookFields!D2:D1898, MATCH(D221,RulebookFields!A2:A1898, 0))), "")</f>
        <v>ImpactAssessment</v>
      </c>
      <c r="J221" s="4" t="b">
        <f>_xlfn.IFNA(IF(((INDEX(RulebookFields!I2:I1898, MATCH(D221,RulebookFields!A2:A1898, 0))="")=TRUE),  "",  INDEX(RulebookFields!I2:I1898, MATCH(D221,RulebookFields!A2:A1898, 0))), "")</f>
        <v>0</v>
      </c>
      <c r="K221" s="4" t="b">
        <f>AND(((F221)=TRUE), ((J221)=TRUE))</f>
        <v>0</v>
      </c>
      <c r="L221" s="4" t="b">
        <f>AND(((G221 &lt;&gt; "plain")=TRUE), ((G221 &lt;&gt; "")=TRUE))</f>
        <v>0</v>
      </c>
      <c r="M221" s="4" t="str">
        <f>IF(((E221)=TRUE),  C221 &amp; "|" &amp; H221,  "")</f>
        <v>principal-employment-counsel|ChangeRequests</v>
      </c>
      <c r="N221" s="3" t="s">
        <v>10004</v>
      </c>
    </row>
    <row r="222">
      <c r="A222" s="3" t="s">
        <v>10224</v>
      </c>
      <c r="B222" s="4" t="str">
        <f>C222 &amp; " -&gt; " &amp; D222</f>
        <v>principal-employment-counsel -&gt; ChangeRequests.IsOpen</v>
      </c>
      <c r="C222" s="3" t="s">
        <v>9760</v>
      </c>
      <c r="D222" s="3" t="s">
        <v>3925</v>
      </c>
      <c r="E222" s="3" t="b">
        <v>1</v>
      </c>
      <c r="F222" s="3" t="b">
        <v>0</v>
      </c>
      <c r="G222" s="3" t="s">
        <v>10003</v>
      </c>
      <c r="H222" s="4" t="str">
        <f>_xlfn.IFNA(IF(((INDEX(RulebookFields!C2:C1898, MATCH(D222,RulebookFields!A2:A1898, 0))="")=TRUE),  "",  INDEX(RulebookFields!C2:C1898, MATCH(D222,RulebookFields!A2:A1898, 0))), "")</f>
        <v>ChangeRequests</v>
      </c>
      <c r="I222" s="4" t="str">
        <f>_xlfn.IFNA(IF(((INDEX(RulebookFields!D2:D1898, MATCH(D222,RulebookFields!A2:A1898, 0))="")=TRUE),  "",  INDEX(RulebookFields!D2:D1898, MATCH(D222,RulebookFields!A2:A1898, 0))), "")</f>
        <v>IsOpen</v>
      </c>
      <c r="J222" s="4" t="b">
        <f>_xlfn.IFNA(IF(((INDEX(RulebookFields!I2:I1898, MATCH(D222,RulebookFields!A2:A1898, 0))="")=TRUE),  "",  INDEX(RulebookFields!I2:I1898, MATCH(D222,RulebookFields!A2:A1898, 0))), "")</f>
        <v>1</v>
      </c>
      <c r="K222" s="4" t="b">
        <f>AND(((F222)=TRUE), ((J222)=TRUE))</f>
        <v>0</v>
      </c>
      <c r="L222" s="4" t="b">
        <f>AND(((G222 &lt;&gt; "plain")=TRUE), ((G222 &lt;&gt; "")=TRUE))</f>
        <v>0</v>
      </c>
      <c r="M222" s="4" t="str">
        <f>IF(((E222)=TRUE),  C222 &amp; "|" &amp; H222,  "")</f>
        <v>principal-employment-counsel|ChangeRequests</v>
      </c>
      <c r="N222" s="3" t="s">
        <v>10004</v>
      </c>
    </row>
    <row r="223">
      <c r="A223" s="3" t="s">
        <v>10225</v>
      </c>
      <c r="B223" s="4" t="str">
        <f>C223 &amp; " -&gt; " &amp; D223</f>
        <v>principal-employment-counsel -&gt; ChangeRequests.Name</v>
      </c>
      <c r="C223" s="3" t="s">
        <v>9760</v>
      </c>
      <c r="D223" s="3" t="s">
        <v>3915</v>
      </c>
      <c r="E223" s="3" t="b">
        <v>1</v>
      </c>
      <c r="F223" s="3" t="b">
        <v>0</v>
      </c>
      <c r="G223" s="3" t="s">
        <v>10003</v>
      </c>
      <c r="H223" s="4" t="str">
        <f>_xlfn.IFNA(IF(((INDEX(RulebookFields!C2:C1898, MATCH(D223,RulebookFields!A2:A1898, 0))="")=TRUE),  "",  INDEX(RulebookFields!C2:C1898, MATCH(D223,RulebookFields!A2:A1898, 0))), "")</f>
        <v>ChangeRequests</v>
      </c>
      <c r="I223" s="4" t="str">
        <f>_xlfn.IFNA(IF(((INDEX(RulebookFields!D2:D1898, MATCH(D223,RulebookFields!A2:A1898, 0))="")=TRUE),  "",  INDEX(RulebookFields!D2:D1898, MATCH(D223,RulebookFields!A2:A1898, 0))), "")</f>
        <v>Name</v>
      </c>
      <c r="J223" s="4" t="b">
        <f>_xlfn.IFNA(IF(((INDEX(RulebookFields!I2:I1898, MATCH(D223,RulebookFields!A2:A1898, 0))="")=TRUE),  "",  INDEX(RulebookFields!I2:I1898, MATCH(D223,RulebookFields!A2:A1898, 0))), "")</f>
        <v>1</v>
      </c>
      <c r="K223" s="4" t="b">
        <f>AND(((F223)=TRUE), ((J223)=TRUE))</f>
        <v>0</v>
      </c>
      <c r="L223" s="4" t="b">
        <f>AND(((G223 &lt;&gt; "plain")=TRUE), ((G223 &lt;&gt; "")=TRUE))</f>
        <v>0</v>
      </c>
      <c r="M223" s="4" t="str">
        <f>IF(((E223)=TRUE),  C223 &amp; "|" &amp; H223,  "")</f>
        <v>principal-employment-counsel|ChangeRequests</v>
      </c>
      <c r="N223" s="3" t="s">
        <v>10004</v>
      </c>
    </row>
    <row r="224">
      <c r="A224" s="3" t="s">
        <v>10226</v>
      </c>
      <c r="B224" s="4" t="str">
        <f>C224 &amp; " -&gt; " &amp; D224</f>
        <v>principal-employment-counsel -&gt; KnowledgeFragments.KnowledgeFragmentId</v>
      </c>
      <c r="C224" s="3" t="s">
        <v>9760</v>
      </c>
      <c r="D224" s="3" t="s">
        <v>3225</v>
      </c>
      <c r="E224" s="3" t="b">
        <v>1</v>
      </c>
      <c r="F224" s="3" t="b">
        <v>0</v>
      </c>
      <c r="G224" s="3" t="s">
        <v>10003</v>
      </c>
      <c r="H224" s="4" t="str">
        <f>_xlfn.IFNA(IF(((INDEX(RulebookFields!C2:C1898, MATCH(D224,RulebookFields!A2:A1898, 0))="")=TRUE),  "",  INDEX(RulebookFields!C2:C1898, MATCH(D224,RulebookFields!A2:A1898, 0))), "")</f>
        <v>KnowledgeFragments</v>
      </c>
      <c r="I224" s="4" t="str">
        <f>_xlfn.IFNA(IF(((INDEX(RulebookFields!D2:D1898, MATCH(D224,RulebookFields!A2:A1898, 0))="")=TRUE),  "",  INDEX(RulebookFields!D2:D1898, MATCH(D224,RulebookFields!A2:A1898, 0))), "")</f>
        <v>KnowledgeFragmentId</v>
      </c>
      <c r="J224" s="4" t="b">
        <f>_xlfn.IFNA(IF(((INDEX(RulebookFields!I2:I1898, MATCH(D224,RulebookFields!A2:A1898, 0))="")=TRUE),  "",  INDEX(RulebookFields!I2:I1898, MATCH(D224,RulebookFields!A2:A1898, 0))), "")</f>
        <v>0</v>
      </c>
      <c r="K224" s="4" t="b">
        <f>AND(((F224)=TRUE), ((J224)=TRUE))</f>
        <v>0</v>
      </c>
      <c r="L224" s="4" t="b">
        <f>AND(((G224 &lt;&gt; "plain")=TRUE), ((G224 &lt;&gt; "")=TRUE))</f>
        <v>0</v>
      </c>
      <c r="M224" s="4" t="str">
        <f>IF(((E224)=TRUE),  C224 &amp; "|" &amp; H224,  "")</f>
        <v>principal-employment-counsel|KnowledgeFragments</v>
      </c>
      <c r="N224" s="3" t="s">
        <v>10004</v>
      </c>
    </row>
    <row r="225">
      <c r="A225" s="3" t="s">
        <v>10227</v>
      </c>
      <c r="B225" s="4" t="str">
        <f>C225 &amp; " -&gt; " &amp; D225</f>
        <v>principal-employment-counsel -&gt; KnowledgeFragments.Statement</v>
      </c>
      <c r="C225" s="3" t="s">
        <v>9760</v>
      </c>
      <c r="D225" s="3" t="s">
        <v>3231</v>
      </c>
      <c r="E225" s="3" t="b">
        <v>1</v>
      </c>
      <c r="F225" s="3" t="b">
        <v>0</v>
      </c>
      <c r="G225" s="3" t="s">
        <v>10003</v>
      </c>
      <c r="H225" s="4" t="str">
        <f>_xlfn.IFNA(IF(((INDEX(RulebookFields!C2:C1898, MATCH(D225,RulebookFields!A2:A1898, 0))="")=TRUE),  "",  INDEX(RulebookFields!C2:C1898, MATCH(D225,RulebookFields!A2:A1898, 0))), "")</f>
        <v>KnowledgeFragments</v>
      </c>
      <c r="I225" s="4" t="str">
        <f>_xlfn.IFNA(IF(((INDEX(RulebookFields!D2:D1898, MATCH(D225,RulebookFields!A2:A1898, 0))="")=TRUE),  "",  INDEX(RulebookFields!D2:D1898, MATCH(D225,RulebookFields!A2:A1898, 0))), "")</f>
        <v>Statement</v>
      </c>
      <c r="J225" s="4" t="b">
        <f>_xlfn.IFNA(IF(((INDEX(RulebookFields!I2:I1898, MATCH(D225,RulebookFields!A2:A1898, 0))="")=TRUE),  "",  INDEX(RulebookFields!I2:I1898, MATCH(D225,RulebookFields!A2:A1898, 0))), "")</f>
        <v>0</v>
      </c>
      <c r="K225" s="4" t="b">
        <f>AND(((F225)=TRUE), ((J225)=TRUE))</f>
        <v>0</v>
      </c>
      <c r="L225" s="4" t="b">
        <f>AND(((G225 &lt;&gt; "plain")=TRUE), ((G225 &lt;&gt; "")=TRUE))</f>
        <v>0</v>
      </c>
      <c r="M225" s="4" t="str">
        <f>IF(((E225)=TRUE),  C225 &amp; "|" &amp; H225,  "")</f>
        <v>principal-employment-counsel|KnowledgeFragments</v>
      </c>
      <c r="N225" s="3" t="s">
        <v>10004</v>
      </c>
    </row>
    <row r="226">
      <c r="A226" s="3" t="s">
        <v>10228</v>
      </c>
      <c r="B226" s="4" t="str">
        <f>C226 &amp; " -&gt; " &amp; D226</f>
        <v>principal-employment-counsel -&gt; KnowledgeFragments.KnowledgeForm</v>
      </c>
      <c r="C226" s="3" t="s">
        <v>9760</v>
      </c>
      <c r="D226" s="3" t="s">
        <v>3230</v>
      </c>
      <c r="E226" s="3" t="b">
        <v>1</v>
      </c>
      <c r="F226" s="3" t="b">
        <v>0</v>
      </c>
      <c r="G226" s="3" t="s">
        <v>10003</v>
      </c>
      <c r="H226" s="4" t="str">
        <f>_xlfn.IFNA(IF(((INDEX(RulebookFields!C2:C1898, MATCH(D226,RulebookFields!A2:A1898, 0))="")=TRUE),  "",  INDEX(RulebookFields!C2:C1898, MATCH(D226,RulebookFields!A2:A1898, 0))), "")</f>
        <v>KnowledgeFragments</v>
      </c>
      <c r="I226" s="4" t="str">
        <f>_xlfn.IFNA(IF(((INDEX(RulebookFields!D2:D1898, MATCH(D226,RulebookFields!A2:A1898, 0))="")=TRUE),  "",  INDEX(RulebookFields!D2:D1898, MATCH(D226,RulebookFields!A2:A1898, 0))), "")</f>
        <v>KnowledgeForm</v>
      </c>
      <c r="J226" s="4" t="b">
        <f>_xlfn.IFNA(IF(((INDEX(RulebookFields!I2:I1898, MATCH(D226,RulebookFields!A2:A1898, 0))="")=TRUE),  "",  INDEX(RulebookFields!I2:I1898, MATCH(D226,RulebookFields!A2:A1898, 0))), "")</f>
        <v>0</v>
      </c>
      <c r="K226" s="4" t="b">
        <f>AND(((F226)=TRUE), ((J226)=TRUE))</f>
        <v>0</v>
      </c>
      <c r="L226" s="4" t="b">
        <f>AND(((G226 &lt;&gt; "plain")=TRUE), ((G226 &lt;&gt; "")=TRUE))</f>
        <v>0</v>
      </c>
      <c r="M226" s="4" t="str">
        <f>IF(((E226)=TRUE),  C226 &amp; "|" &amp; H226,  "")</f>
        <v>principal-employment-counsel|KnowledgeFragments</v>
      </c>
      <c r="N226" s="3" t="s">
        <v>10004</v>
      </c>
    </row>
    <row r="227">
      <c r="A227" s="3" t="s">
        <v>10229</v>
      </c>
      <c r="B227" s="4" t="str">
        <f>C227 &amp; " -&gt; " &amp; D227</f>
        <v>principal-employment-counsel -&gt; KnowledgeFragments.Status</v>
      </c>
      <c r="C227" s="3" t="s">
        <v>9760</v>
      </c>
      <c r="D227" s="3" t="s">
        <v>3237</v>
      </c>
      <c r="E227" s="3" t="b">
        <v>1</v>
      </c>
      <c r="F227" s="3" t="b">
        <v>0</v>
      </c>
      <c r="G227" s="3" t="s">
        <v>10003</v>
      </c>
      <c r="H227" s="4" t="str">
        <f>_xlfn.IFNA(IF(((INDEX(RulebookFields!C2:C1898, MATCH(D227,RulebookFields!A2:A1898, 0))="")=TRUE),  "",  INDEX(RulebookFields!C2:C1898, MATCH(D227,RulebookFields!A2:A1898, 0))), "")</f>
        <v>KnowledgeFragments</v>
      </c>
      <c r="I227" s="4" t="str">
        <f>_xlfn.IFNA(IF(((INDEX(RulebookFields!D2:D1898, MATCH(D227,RulebookFields!A2:A1898, 0))="")=TRUE),  "",  INDEX(RulebookFields!D2:D1898, MATCH(D227,RulebookFields!A2:A1898, 0))), "")</f>
        <v>Status</v>
      </c>
      <c r="J227" s="4" t="b">
        <f>_xlfn.IFNA(IF(((INDEX(RulebookFields!I2:I1898, MATCH(D227,RulebookFields!A2:A1898, 0))="")=TRUE),  "",  INDEX(RulebookFields!I2:I1898, MATCH(D227,RulebookFields!A2:A1898, 0))), "")</f>
        <v>0</v>
      </c>
      <c r="K227" s="4" t="b">
        <f>AND(((F227)=TRUE), ((J227)=TRUE))</f>
        <v>0</v>
      </c>
      <c r="L227" s="4" t="b">
        <f>AND(((G227 &lt;&gt; "plain")=TRUE), ((G227 &lt;&gt; "")=TRUE))</f>
        <v>0</v>
      </c>
      <c r="M227" s="4" t="str">
        <f>IF(((E227)=TRUE),  C227 &amp; "|" &amp; H227,  "")</f>
        <v>principal-employment-counsel|KnowledgeFragments</v>
      </c>
      <c r="N227" s="3" t="s">
        <v>10004</v>
      </c>
    </row>
    <row r="228">
      <c r="A228" s="3" t="s">
        <v>10230</v>
      </c>
      <c r="B228" s="4" t="str">
        <f>C228 &amp; " -&gt; " &amp; D228</f>
        <v>principal-employment-counsel -&gt; KnowledgeFragments.OwnerRole</v>
      </c>
      <c r="C228" s="3" t="s">
        <v>9760</v>
      </c>
      <c r="D228" s="3" t="s">
        <v>3238</v>
      </c>
      <c r="E228" s="3" t="b">
        <v>1</v>
      </c>
      <c r="F228" s="3" t="b">
        <v>0</v>
      </c>
      <c r="G228" s="3" t="s">
        <v>10003</v>
      </c>
      <c r="H228" s="4" t="str">
        <f>_xlfn.IFNA(IF(((INDEX(RulebookFields!C2:C1898, MATCH(D228,RulebookFields!A2:A1898, 0))="")=TRUE),  "",  INDEX(RulebookFields!C2:C1898, MATCH(D228,RulebookFields!A2:A1898, 0))), "")</f>
        <v>KnowledgeFragments</v>
      </c>
      <c r="I228" s="4" t="str">
        <f>_xlfn.IFNA(IF(((INDEX(RulebookFields!D2:D1898, MATCH(D228,RulebookFields!A2:A1898, 0))="")=TRUE),  "",  INDEX(RulebookFields!D2:D1898, MATCH(D228,RulebookFields!A2:A1898, 0))), "")</f>
        <v>OwnerRole</v>
      </c>
      <c r="J228" s="4" t="b">
        <f>_xlfn.IFNA(IF(((INDEX(RulebookFields!I2:I1898, MATCH(D228,RulebookFields!A2:A1898, 0))="")=TRUE),  "",  INDEX(RulebookFields!I2:I1898, MATCH(D228,RulebookFields!A2:A1898, 0))), "")</f>
        <v>0</v>
      </c>
      <c r="K228" s="4" t="b">
        <f>AND(((F228)=TRUE), ((J228)=TRUE))</f>
        <v>0</v>
      </c>
      <c r="L228" s="4" t="b">
        <f>AND(((G228 &lt;&gt; "plain")=TRUE), ((G228 &lt;&gt; "")=TRUE))</f>
        <v>0</v>
      </c>
      <c r="M228" s="4" t="str">
        <f>IF(((E228)=TRUE),  C228 &amp; "|" &amp; H228,  "")</f>
        <v>principal-employment-counsel|KnowledgeFragments</v>
      </c>
      <c r="N228" s="3" t="s">
        <v>10004</v>
      </c>
    </row>
    <row r="229">
      <c r="A229" s="3" t="s">
        <v>10231</v>
      </c>
      <c r="B229" s="4" t="str">
        <f>C229 &amp; " -&gt; " &amp; D229</f>
        <v>principal-employment-counsel -&gt; KnowledgeFragments.ValidFrom</v>
      </c>
      <c r="C229" s="3" t="s">
        <v>9760</v>
      </c>
      <c r="D229" s="3" t="s">
        <v>3235</v>
      </c>
      <c r="E229" s="3" t="b">
        <v>1</v>
      </c>
      <c r="F229" s="3" t="b">
        <v>0</v>
      </c>
      <c r="G229" s="3" t="s">
        <v>10003</v>
      </c>
      <c r="H229" s="4" t="str">
        <f>_xlfn.IFNA(IF(((INDEX(RulebookFields!C2:C1898, MATCH(D229,RulebookFields!A2:A1898, 0))="")=TRUE),  "",  INDEX(RulebookFields!C2:C1898, MATCH(D229,RulebookFields!A2:A1898, 0))), "")</f>
        <v>KnowledgeFragments</v>
      </c>
      <c r="I229" s="4" t="str">
        <f>_xlfn.IFNA(IF(((INDEX(RulebookFields!D2:D1898, MATCH(D229,RulebookFields!A2:A1898, 0))="")=TRUE),  "",  INDEX(RulebookFields!D2:D1898, MATCH(D229,RulebookFields!A2:A1898, 0))), "")</f>
        <v>ValidFrom</v>
      </c>
      <c r="J229" s="4" t="b">
        <f>_xlfn.IFNA(IF(((INDEX(RulebookFields!I2:I1898, MATCH(D229,RulebookFields!A2:A1898, 0))="")=TRUE),  "",  INDEX(RulebookFields!I2:I1898, MATCH(D229,RulebookFields!A2:A1898, 0))), "")</f>
        <v>0</v>
      </c>
      <c r="K229" s="4" t="b">
        <f>AND(((F229)=TRUE), ((J229)=TRUE))</f>
        <v>0</v>
      </c>
      <c r="L229" s="4" t="b">
        <f>AND(((G229 &lt;&gt; "plain")=TRUE), ((G229 &lt;&gt; "")=TRUE))</f>
        <v>0</v>
      </c>
      <c r="M229" s="4" t="str">
        <f>IF(((E229)=TRUE),  C229 &amp; "|" &amp; H229,  "")</f>
        <v>principal-employment-counsel|KnowledgeFragments</v>
      </c>
      <c r="N229" s="3" t="s">
        <v>10004</v>
      </c>
    </row>
    <row r="230">
      <c r="A230" s="3" t="s">
        <v>10232</v>
      </c>
      <c r="B230" s="4" t="str">
        <f>C230 &amp; " -&gt; " &amp; D230</f>
        <v>principal-employment-counsel -&gt; KnowledgeFragments.ValidTo</v>
      </c>
      <c r="C230" s="3" t="s">
        <v>9760</v>
      </c>
      <c r="D230" s="3" t="s">
        <v>3236</v>
      </c>
      <c r="E230" s="3" t="b">
        <v>1</v>
      </c>
      <c r="F230" s="3" t="b">
        <v>0</v>
      </c>
      <c r="G230" s="3" t="s">
        <v>10003</v>
      </c>
      <c r="H230" s="4" t="str">
        <f>_xlfn.IFNA(IF(((INDEX(RulebookFields!C2:C1898, MATCH(D230,RulebookFields!A2:A1898, 0))="")=TRUE),  "",  INDEX(RulebookFields!C2:C1898, MATCH(D230,RulebookFields!A2:A1898, 0))), "")</f>
        <v>KnowledgeFragments</v>
      </c>
      <c r="I230" s="4" t="str">
        <f>_xlfn.IFNA(IF(((INDEX(RulebookFields!D2:D1898, MATCH(D230,RulebookFields!A2:A1898, 0))="")=TRUE),  "",  INDEX(RulebookFields!D2:D1898, MATCH(D230,RulebookFields!A2:A1898, 0))), "")</f>
        <v>ValidTo</v>
      </c>
      <c r="J230" s="4" t="b">
        <f>_xlfn.IFNA(IF(((INDEX(RulebookFields!I2:I1898, MATCH(D230,RulebookFields!A2:A1898, 0))="")=TRUE),  "",  INDEX(RulebookFields!I2:I1898, MATCH(D230,RulebookFields!A2:A1898, 0))), "")</f>
        <v>0</v>
      </c>
      <c r="K230" s="4" t="b">
        <f>AND(((F230)=TRUE), ((J230)=TRUE))</f>
        <v>0</v>
      </c>
      <c r="L230" s="4" t="b">
        <f>AND(((G230 &lt;&gt; "plain")=TRUE), ((G230 &lt;&gt; "")=TRUE))</f>
        <v>0</v>
      </c>
      <c r="M230" s="4" t="str">
        <f>IF(((E230)=TRUE),  C230 &amp; "|" &amp; H230,  "")</f>
        <v>principal-employment-counsel|KnowledgeFragments</v>
      </c>
      <c r="N230" s="3" t="s">
        <v>10004</v>
      </c>
    </row>
    <row r="231">
      <c r="A231" s="3" t="s">
        <v>10233</v>
      </c>
      <c r="B231" s="4" t="str">
        <f>C231 &amp; " -&gt; " &amp; D231</f>
        <v>principal-employment-counsel -&gt; KnowledgeFragments.Name</v>
      </c>
      <c r="C231" s="3" t="s">
        <v>9760</v>
      </c>
      <c r="D231" s="3" t="s">
        <v>3226</v>
      </c>
      <c r="E231" s="3" t="b">
        <v>1</v>
      </c>
      <c r="F231" s="3" t="b">
        <v>0</v>
      </c>
      <c r="G231" s="3" t="s">
        <v>10003</v>
      </c>
      <c r="H231" s="4" t="str">
        <f>_xlfn.IFNA(IF(((INDEX(RulebookFields!C2:C1898, MATCH(D231,RulebookFields!A2:A1898, 0))="")=TRUE),  "",  INDEX(RulebookFields!C2:C1898, MATCH(D231,RulebookFields!A2:A1898, 0))), "")</f>
        <v>KnowledgeFragments</v>
      </c>
      <c r="I231" s="4" t="str">
        <f>_xlfn.IFNA(IF(((INDEX(RulebookFields!D2:D1898, MATCH(D231,RulebookFields!A2:A1898, 0))="")=TRUE),  "",  INDEX(RulebookFields!D2:D1898, MATCH(D231,RulebookFields!A2:A1898, 0))), "")</f>
        <v>Name</v>
      </c>
      <c r="J231" s="4" t="b">
        <f>_xlfn.IFNA(IF(((INDEX(RulebookFields!I2:I1898, MATCH(D231,RulebookFields!A2:A1898, 0))="")=TRUE),  "",  INDEX(RulebookFields!I2:I1898, MATCH(D231,RulebookFields!A2:A1898, 0))), "")</f>
        <v>1</v>
      </c>
      <c r="K231" s="4" t="b">
        <f>AND(((F231)=TRUE), ((J231)=TRUE))</f>
        <v>0</v>
      </c>
      <c r="L231" s="4" t="b">
        <f>AND(((G231 &lt;&gt; "plain")=TRUE), ((G231 &lt;&gt; "")=TRUE))</f>
        <v>0</v>
      </c>
      <c r="M231" s="4" t="str">
        <f>IF(((E231)=TRUE),  C231 &amp; "|" &amp; H231,  "")</f>
        <v>principal-employment-counsel|KnowledgeFragments</v>
      </c>
      <c r="N231" s="3" t="s">
        <v>10004</v>
      </c>
    </row>
    <row r="232">
      <c r="A232" s="3" t="s">
        <v>10234</v>
      </c>
      <c r="B232" s="4" t="str">
        <f>C232 &amp; " -&gt; " &amp; D232</f>
        <v>principal-employment-counsel -&gt; AuthorityBoundaries.AuthorityBoundaryId</v>
      </c>
      <c r="C232" s="3" t="s">
        <v>9760</v>
      </c>
      <c r="D232" s="3" t="s">
        <v>5130</v>
      </c>
      <c r="E232" s="3" t="b">
        <v>1</v>
      </c>
      <c r="F232" s="3" t="b">
        <v>0</v>
      </c>
      <c r="G232" s="3" t="s">
        <v>10003</v>
      </c>
      <c r="H232" s="4" t="str">
        <f>_xlfn.IFNA(IF(((INDEX(RulebookFields!C2:C1898, MATCH(D232,RulebookFields!A2:A1898, 0))="")=TRUE),  "",  INDEX(RulebookFields!C2:C1898, MATCH(D232,RulebookFields!A2:A1898, 0))), "")</f>
        <v>AuthorityBoundaries</v>
      </c>
      <c r="I232" s="4" t="str">
        <f>_xlfn.IFNA(IF(((INDEX(RulebookFields!D2:D1898, MATCH(D232,RulebookFields!A2:A1898, 0))="")=TRUE),  "",  INDEX(RulebookFields!D2:D1898, MATCH(D232,RulebookFields!A2:A1898, 0))), "")</f>
        <v>AuthorityBoundaryId</v>
      </c>
      <c r="J232" s="4" t="b">
        <f>_xlfn.IFNA(IF(((INDEX(RulebookFields!I2:I1898, MATCH(D232,RulebookFields!A2:A1898, 0))="")=TRUE),  "",  INDEX(RulebookFields!I2:I1898, MATCH(D232,RulebookFields!A2:A1898, 0))), "")</f>
        <v>0</v>
      </c>
      <c r="K232" s="4" t="b">
        <f>AND(((F232)=TRUE), ((J232)=TRUE))</f>
        <v>0</v>
      </c>
      <c r="L232" s="4" t="b">
        <f>AND(((G232 &lt;&gt; "plain")=TRUE), ((G232 &lt;&gt; "")=TRUE))</f>
        <v>0</v>
      </c>
      <c r="M232" s="4" t="str">
        <f>IF(((E232)=TRUE),  C232 &amp; "|" &amp; H232,  "")</f>
        <v>principal-employment-counsel|AuthorityBoundaries</v>
      </c>
      <c r="N232" s="3" t="s">
        <v>10004</v>
      </c>
    </row>
    <row r="233">
      <c r="A233" s="3" t="s">
        <v>10235</v>
      </c>
      <c r="B233" s="4" t="str">
        <f>C233 &amp; " -&gt; " &amp; D233</f>
        <v>principal-employment-counsel -&gt; AuthorityBoundaries.ForbiddenAgentKind</v>
      </c>
      <c r="C233" s="3" t="s">
        <v>9760</v>
      </c>
      <c r="D233" s="3" t="s">
        <v>5136</v>
      </c>
      <c r="E233" s="3" t="b">
        <v>1</v>
      </c>
      <c r="F233" s="3" t="b">
        <v>0</v>
      </c>
      <c r="G233" s="3" t="s">
        <v>10003</v>
      </c>
      <c r="H233" s="4" t="str">
        <f>_xlfn.IFNA(IF(((INDEX(RulebookFields!C2:C1898, MATCH(D233,RulebookFields!A2:A1898, 0))="")=TRUE),  "",  INDEX(RulebookFields!C2:C1898, MATCH(D233,RulebookFields!A2:A1898, 0))), "")</f>
        <v>AuthorityBoundaries</v>
      </c>
      <c r="I233" s="4" t="str">
        <f>_xlfn.IFNA(IF(((INDEX(RulebookFields!D2:D1898, MATCH(D233,RulebookFields!A2:A1898, 0))="")=TRUE),  "",  INDEX(RulebookFields!D2:D1898, MATCH(D233,RulebookFields!A2:A1898, 0))), "")</f>
        <v>ForbiddenAgentKind</v>
      </c>
      <c r="J233" s="4" t="b">
        <f>_xlfn.IFNA(IF(((INDEX(RulebookFields!I2:I1898, MATCH(D233,RulebookFields!A2:A1898, 0))="")=TRUE),  "",  INDEX(RulebookFields!I2:I1898, MATCH(D233,RulebookFields!A2:A1898, 0))), "")</f>
        <v>0</v>
      </c>
      <c r="K233" s="4" t="b">
        <f>AND(((F233)=TRUE), ((J233)=TRUE))</f>
        <v>0</v>
      </c>
      <c r="L233" s="4" t="b">
        <f>AND(((G233 &lt;&gt; "plain")=TRUE), ((G233 &lt;&gt; "")=TRUE))</f>
        <v>0</v>
      </c>
      <c r="M233" s="4" t="str">
        <f>IF(((E233)=TRUE),  C233 &amp; "|" &amp; H233,  "")</f>
        <v>principal-employment-counsel|AuthorityBoundaries</v>
      </c>
      <c r="N233" s="3" t="s">
        <v>10004</v>
      </c>
    </row>
    <row r="234">
      <c r="A234" s="3" t="s">
        <v>10236</v>
      </c>
      <c r="B234" s="4" t="str">
        <f>C234 &amp; " -&gt; " &amp; D234</f>
        <v>principal-employment-counsel -&gt; AuthorityBoundaries.ForbiddenDecisionKind</v>
      </c>
      <c r="C234" s="3" t="s">
        <v>9760</v>
      </c>
      <c r="D234" s="3" t="s">
        <v>5138</v>
      </c>
      <c r="E234" s="3" t="b">
        <v>1</v>
      </c>
      <c r="F234" s="3" t="b">
        <v>0</v>
      </c>
      <c r="G234" s="3" t="s">
        <v>10003</v>
      </c>
      <c r="H234" s="4" t="str">
        <f>_xlfn.IFNA(IF(((INDEX(RulebookFields!C2:C1898, MATCH(D234,RulebookFields!A2:A1898, 0))="")=TRUE),  "",  INDEX(RulebookFields!C2:C1898, MATCH(D234,RulebookFields!A2:A1898, 0))), "")</f>
        <v>AuthorityBoundaries</v>
      </c>
      <c r="I234" s="4" t="str">
        <f>_xlfn.IFNA(IF(((INDEX(RulebookFields!D2:D1898, MATCH(D234,RulebookFields!A2:A1898, 0))="")=TRUE),  "",  INDEX(RulebookFields!D2:D1898, MATCH(D234,RulebookFields!A2:A1898, 0))), "")</f>
        <v>ForbiddenDecisionKind</v>
      </c>
      <c r="J234" s="4" t="b">
        <f>_xlfn.IFNA(IF(((INDEX(RulebookFields!I2:I1898, MATCH(D234,RulebookFields!A2:A1898, 0))="")=TRUE),  "",  INDEX(RulebookFields!I2:I1898, MATCH(D234,RulebookFields!A2:A1898, 0))), "")</f>
        <v>0</v>
      </c>
      <c r="K234" s="4" t="b">
        <f>AND(((F234)=TRUE), ((J234)=TRUE))</f>
        <v>0</v>
      </c>
      <c r="L234" s="4" t="b">
        <f>AND(((G234 &lt;&gt; "plain")=TRUE), ((G234 &lt;&gt; "")=TRUE))</f>
        <v>0</v>
      </c>
      <c r="M234" s="4" t="str">
        <f>IF(((E234)=TRUE),  C234 &amp; "|" &amp; H234,  "")</f>
        <v>principal-employment-counsel|AuthorityBoundaries</v>
      </c>
      <c r="N234" s="3" t="s">
        <v>10004</v>
      </c>
    </row>
    <row r="235">
      <c r="A235" s="3" t="s">
        <v>10237</v>
      </c>
      <c r="B235" s="4" t="str">
        <f>C235 &amp; " -&gt; " &amp; D235</f>
        <v>principal-employment-counsel -&gt; AuthorityBoundaries.Status</v>
      </c>
      <c r="C235" s="3" t="s">
        <v>9760</v>
      </c>
      <c r="D235" s="3" t="s">
        <v>5147</v>
      </c>
      <c r="E235" s="3" t="b">
        <v>1</v>
      </c>
      <c r="F235" s="3" t="b">
        <v>0</v>
      </c>
      <c r="G235" s="3" t="s">
        <v>10003</v>
      </c>
      <c r="H235" s="4" t="str">
        <f>_xlfn.IFNA(IF(((INDEX(RulebookFields!C2:C1898, MATCH(D235,RulebookFields!A2:A1898, 0))="")=TRUE),  "",  INDEX(RulebookFields!C2:C1898, MATCH(D235,RulebookFields!A2:A1898, 0))), "")</f>
        <v>AuthorityBoundaries</v>
      </c>
      <c r="I235" s="4" t="str">
        <f>_xlfn.IFNA(IF(((INDEX(RulebookFields!D2:D1898, MATCH(D235,RulebookFields!A2:A1898, 0))="")=TRUE),  "",  INDEX(RulebookFields!D2:D1898, MATCH(D235,RulebookFields!A2:A1898, 0))), "")</f>
        <v>Status</v>
      </c>
      <c r="J235" s="4" t="b">
        <f>_xlfn.IFNA(IF(((INDEX(RulebookFields!I2:I1898, MATCH(D235,RulebookFields!A2:A1898, 0))="")=TRUE),  "",  INDEX(RulebookFields!I2:I1898, MATCH(D235,RulebookFields!A2:A1898, 0))), "")</f>
        <v>0</v>
      </c>
      <c r="K235" s="4" t="b">
        <f>AND(((F235)=TRUE), ((J235)=TRUE))</f>
        <v>0</v>
      </c>
      <c r="L235" s="4" t="b">
        <f>AND(((G235 &lt;&gt; "plain")=TRUE), ((G235 &lt;&gt; "")=TRUE))</f>
        <v>0</v>
      </c>
      <c r="M235" s="4" t="str">
        <f>IF(((E235)=TRUE),  C235 &amp; "|" &amp; H235,  "")</f>
        <v>principal-employment-counsel|AuthorityBoundaries</v>
      </c>
      <c r="N235" s="3" t="s">
        <v>10004</v>
      </c>
    </row>
    <row r="236">
      <c r="A236" s="3" t="s">
        <v>10238</v>
      </c>
      <c r="B236" s="4" t="str">
        <f>C236 &amp; " -&gt; " &amp; D236</f>
        <v>principal-employment-counsel -&gt; AuthorityBoundaries.AuthorityRole</v>
      </c>
      <c r="C236" s="3" t="s">
        <v>9760</v>
      </c>
      <c r="D236" s="3" t="s">
        <v>5144</v>
      </c>
      <c r="E236" s="3" t="b">
        <v>1</v>
      </c>
      <c r="F236" s="3" t="b">
        <v>0</v>
      </c>
      <c r="G236" s="3" t="s">
        <v>10003</v>
      </c>
      <c r="H236" s="4" t="str">
        <f>_xlfn.IFNA(IF(((INDEX(RulebookFields!C2:C1898, MATCH(D236,RulebookFields!A2:A1898, 0))="")=TRUE),  "",  INDEX(RulebookFields!C2:C1898, MATCH(D236,RulebookFields!A2:A1898, 0))), "")</f>
        <v>AuthorityBoundaries</v>
      </c>
      <c r="I236" s="4" t="str">
        <f>_xlfn.IFNA(IF(((INDEX(RulebookFields!D2:D1898, MATCH(D236,RulebookFields!A2:A1898, 0))="")=TRUE),  "",  INDEX(RulebookFields!D2:D1898, MATCH(D236,RulebookFields!A2:A1898, 0))), "")</f>
        <v>AuthorityRole</v>
      </c>
      <c r="J236" s="4" t="b">
        <f>_xlfn.IFNA(IF(((INDEX(RulebookFields!I2:I1898, MATCH(D236,RulebookFields!A2:A1898, 0))="")=TRUE),  "",  INDEX(RulebookFields!I2:I1898, MATCH(D236,RulebookFields!A2:A1898, 0))), "")</f>
        <v>0</v>
      </c>
      <c r="K236" s="4" t="b">
        <f>AND(((F236)=TRUE), ((J236)=TRUE))</f>
        <v>0</v>
      </c>
      <c r="L236" s="4" t="b">
        <f>AND(((G236 &lt;&gt; "plain")=TRUE), ((G236 &lt;&gt; "")=TRUE))</f>
        <v>0</v>
      </c>
      <c r="M236" s="4" t="str">
        <f>IF(((E236)=TRUE),  C236 &amp; "|" &amp; H236,  "")</f>
        <v>principal-employment-counsel|AuthorityBoundaries</v>
      </c>
      <c r="N236" s="3" t="s">
        <v>10004</v>
      </c>
    </row>
    <row r="237">
      <c r="A237" s="3" t="s">
        <v>10239</v>
      </c>
      <c r="B237" s="4" t="str">
        <f>C237 &amp; " -&gt; " &amp; D237</f>
        <v>principal-employment-counsel -&gt; AuthorityBoundaries.Name</v>
      </c>
      <c r="C237" s="3" t="s">
        <v>9760</v>
      </c>
      <c r="D237" s="3" t="s">
        <v>5133</v>
      </c>
      <c r="E237" s="3" t="b">
        <v>1</v>
      </c>
      <c r="F237" s="3" t="b">
        <v>0</v>
      </c>
      <c r="G237" s="3" t="s">
        <v>10003</v>
      </c>
      <c r="H237" s="4" t="str">
        <f>_xlfn.IFNA(IF(((INDEX(RulebookFields!C2:C1898, MATCH(D237,RulebookFields!A2:A1898, 0))="")=TRUE),  "",  INDEX(RulebookFields!C2:C1898, MATCH(D237,RulebookFields!A2:A1898, 0))), "")</f>
        <v>AuthorityBoundaries</v>
      </c>
      <c r="I237" s="4" t="str">
        <f>_xlfn.IFNA(IF(((INDEX(RulebookFields!D2:D1898, MATCH(D237,RulebookFields!A2:A1898, 0))="")=TRUE),  "",  INDEX(RulebookFields!D2:D1898, MATCH(D237,RulebookFields!A2:A1898, 0))), "")</f>
        <v>Name</v>
      </c>
      <c r="J237" s="4" t="b">
        <f>_xlfn.IFNA(IF(((INDEX(RulebookFields!I2:I1898, MATCH(D237,RulebookFields!A2:A1898, 0))="")=TRUE),  "",  INDEX(RulebookFields!I2:I1898, MATCH(D237,RulebookFields!A2:A1898, 0))), "")</f>
        <v>1</v>
      </c>
      <c r="K237" s="4" t="b">
        <f>AND(((F237)=TRUE), ((J237)=TRUE))</f>
        <v>0</v>
      </c>
      <c r="L237" s="4" t="b">
        <f>AND(((G237 &lt;&gt; "plain")=TRUE), ((G237 &lt;&gt; "")=TRUE))</f>
        <v>0</v>
      </c>
      <c r="M237" s="4" t="str">
        <f>IF(((E237)=TRUE),  C237 &amp; "|" &amp; H237,  "")</f>
        <v>principal-employment-counsel|AuthorityBoundaries</v>
      </c>
      <c r="N237" s="3" t="s">
        <v>10004</v>
      </c>
    </row>
    <row r="238">
      <c r="A238" s="3" t="s">
        <v>10240</v>
      </c>
      <c r="B238" s="4" t="str">
        <f>C238 &amp; " -&gt; " &amp; D238</f>
        <v>principal-employment-counsel -&gt; CommunicationPolicies.CommunicationPolicyId</v>
      </c>
      <c r="C238" s="3" t="s">
        <v>9760</v>
      </c>
      <c r="D238" s="3" t="s">
        <v>4060</v>
      </c>
      <c r="E238" s="3" t="b">
        <v>1</v>
      </c>
      <c r="F238" s="3" t="b">
        <v>0</v>
      </c>
      <c r="G238" s="3" t="s">
        <v>10003</v>
      </c>
      <c r="H238" s="4" t="str">
        <f>_xlfn.IFNA(IF(((INDEX(RulebookFields!C2:C1898, MATCH(D238,RulebookFields!A2:A1898, 0))="")=TRUE),  "",  INDEX(RulebookFields!C2:C1898, MATCH(D238,RulebookFields!A2:A1898, 0))), "")</f>
        <v>CommunicationPolicies</v>
      </c>
      <c r="I238" s="4" t="str">
        <f>_xlfn.IFNA(IF(((INDEX(RulebookFields!D2:D1898, MATCH(D238,RulebookFields!A2:A1898, 0))="")=TRUE),  "",  INDEX(RulebookFields!D2:D1898, MATCH(D238,RulebookFields!A2:A1898, 0))), "")</f>
        <v>CommunicationPolicyId</v>
      </c>
      <c r="J238" s="4" t="b">
        <f>_xlfn.IFNA(IF(((INDEX(RulebookFields!I2:I1898, MATCH(D238,RulebookFields!A2:A1898, 0))="")=TRUE),  "",  INDEX(RulebookFields!I2:I1898, MATCH(D238,RulebookFields!A2:A1898, 0))), "")</f>
        <v>0</v>
      </c>
      <c r="K238" s="4" t="b">
        <f>AND(((F238)=TRUE), ((J238)=TRUE))</f>
        <v>0</v>
      </c>
      <c r="L238" s="4" t="b">
        <f>AND(((G238 &lt;&gt; "plain")=TRUE), ((G238 &lt;&gt; "")=TRUE))</f>
        <v>0</v>
      </c>
      <c r="M238" s="4" t="str">
        <f>IF(((E238)=TRUE),  C238 &amp; "|" &amp; H238,  "")</f>
        <v>principal-employment-counsel|CommunicationPolicies</v>
      </c>
      <c r="N238" s="3" t="s">
        <v>10004</v>
      </c>
    </row>
    <row r="239">
      <c r="A239" s="3" t="s">
        <v>10241</v>
      </c>
      <c r="B239" s="4" t="str">
        <f>C239 &amp; " -&gt; " &amp; D239</f>
        <v>principal-employment-counsel -&gt; CommunicationPolicies.Channel</v>
      </c>
      <c r="C239" s="3" t="s">
        <v>9760</v>
      </c>
      <c r="D239" s="3" t="s">
        <v>4064</v>
      </c>
      <c r="E239" s="3" t="b">
        <v>1</v>
      </c>
      <c r="F239" s="3" t="b">
        <v>0</v>
      </c>
      <c r="G239" s="3" t="s">
        <v>10003</v>
      </c>
      <c r="H239" s="4" t="str">
        <f>_xlfn.IFNA(IF(((INDEX(RulebookFields!C2:C1898, MATCH(D239,RulebookFields!A2:A1898, 0))="")=TRUE),  "",  INDEX(RulebookFields!C2:C1898, MATCH(D239,RulebookFields!A2:A1898, 0))), "")</f>
        <v>CommunicationPolicies</v>
      </c>
      <c r="I239" s="4" t="str">
        <f>_xlfn.IFNA(IF(((INDEX(RulebookFields!D2:D1898, MATCH(D239,RulebookFields!A2:A1898, 0))="")=TRUE),  "",  INDEX(RulebookFields!D2:D1898, MATCH(D239,RulebookFields!A2:A1898, 0))), "")</f>
        <v>Channel</v>
      </c>
      <c r="J239" s="4" t="b">
        <f>_xlfn.IFNA(IF(((INDEX(RulebookFields!I2:I1898, MATCH(D239,RulebookFields!A2:A1898, 0))="")=TRUE),  "",  INDEX(RulebookFields!I2:I1898, MATCH(D239,RulebookFields!A2:A1898, 0))), "")</f>
        <v>0</v>
      </c>
      <c r="K239" s="4" t="b">
        <f>AND(((F239)=TRUE), ((J239)=TRUE))</f>
        <v>0</v>
      </c>
      <c r="L239" s="4" t="b">
        <f>AND(((G239 &lt;&gt; "plain")=TRUE), ((G239 &lt;&gt; "")=TRUE))</f>
        <v>0</v>
      </c>
      <c r="M239" s="4" t="str">
        <f>IF(((E239)=TRUE),  C239 &amp; "|" &amp; H239,  "")</f>
        <v>principal-employment-counsel|CommunicationPolicies</v>
      </c>
      <c r="N239" s="3" t="s">
        <v>10004</v>
      </c>
    </row>
    <row r="240">
      <c r="A240" s="3" t="s">
        <v>10242</v>
      </c>
      <c r="B240" s="4" t="str">
        <f>C240 &amp; " -&gt; " &amp; D240</f>
        <v>principal-employment-counsel -&gt; CommunicationPolicies.ConsentRequired</v>
      </c>
      <c r="C240" s="3" t="s">
        <v>9760</v>
      </c>
      <c r="D240" s="3" t="s">
        <v>4066</v>
      </c>
      <c r="E240" s="3" t="b">
        <v>1</v>
      </c>
      <c r="F240" s="3" t="b">
        <v>0</v>
      </c>
      <c r="G240" s="3" t="s">
        <v>10003</v>
      </c>
      <c r="H240" s="4" t="str">
        <f>_xlfn.IFNA(IF(((INDEX(RulebookFields!C2:C1898, MATCH(D240,RulebookFields!A2:A1898, 0))="")=TRUE),  "",  INDEX(RulebookFields!C2:C1898, MATCH(D240,RulebookFields!A2:A1898, 0))), "")</f>
        <v>CommunicationPolicies</v>
      </c>
      <c r="I240" s="4" t="str">
        <f>_xlfn.IFNA(IF(((INDEX(RulebookFields!D2:D1898, MATCH(D240,RulebookFields!A2:A1898, 0))="")=TRUE),  "",  INDEX(RulebookFields!D2:D1898, MATCH(D240,RulebookFields!A2:A1898, 0))), "")</f>
        <v>ConsentRequired</v>
      </c>
      <c r="J240" s="4" t="b">
        <f>_xlfn.IFNA(IF(((INDEX(RulebookFields!I2:I1898, MATCH(D240,RulebookFields!A2:A1898, 0))="")=TRUE),  "",  INDEX(RulebookFields!I2:I1898, MATCH(D240,RulebookFields!A2:A1898, 0))), "")</f>
        <v>0</v>
      </c>
      <c r="K240" s="4" t="b">
        <f>AND(((F240)=TRUE), ((J240)=TRUE))</f>
        <v>0</v>
      </c>
      <c r="L240" s="4" t="b">
        <f>AND(((G240 &lt;&gt; "plain")=TRUE), ((G240 &lt;&gt; "")=TRUE))</f>
        <v>0</v>
      </c>
      <c r="M240" s="4" t="str">
        <f>IF(((E240)=TRUE),  C240 &amp; "|" &amp; H240,  "")</f>
        <v>principal-employment-counsel|CommunicationPolicies</v>
      </c>
      <c r="N240" s="3" t="s">
        <v>10004</v>
      </c>
    </row>
    <row r="241">
      <c r="A241" s="3" t="s">
        <v>10243</v>
      </c>
      <c r="B241" s="4" t="str">
        <f>C241 &amp; " -&gt; " &amp; D241</f>
        <v>principal-employment-counsel -&gt; CommunicationPolicies.RequiredContent</v>
      </c>
      <c r="C241" s="3" t="s">
        <v>9760</v>
      </c>
      <c r="D241" s="3" t="s">
        <v>4073</v>
      </c>
      <c r="E241" s="3" t="b">
        <v>1</v>
      </c>
      <c r="F241" s="3" t="b">
        <v>0</v>
      </c>
      <c r="G241" s="3" t="s">
        <v>10003</v>
      </c>
      <c r="H241" s="4" t="str">
        <f>_xlfn.IFNA(IF(((INDEX(RulebookFields!C2:C1898, MATCH(D241,RulebookFields!A2:A1898, 0))="")=TRUE),  "",  INDEX(RulebookFields!C2:C1898, MATCH(D241,RulebookFields!A2:A1898, 0))), "")</f>
        <v>CommunicationPolicies</v>
      </c>
      <c r="I241" s="4" t="str">
        <f>_xlfn.IFNA(IF(((INDEX(RulebookFields!D2:D1898, MATCH(D241,RulebookFields!A2:A1898, 0))="")=TRUE),  "",  INDEX(RulebookFields!D2:D1898, MATCH(D241,RulebookFields!A2:A1898, 0))), "")</f>
        <v>RequiredContent</v>
      </c>
      <c r="J241" s="4" t="b">
        <f>_xlfn.IFNA(IF(((INDEX(RulebookFields!I2:I1898, MATCH(D241,RulebookFields!A2:A1898, 0))="")=TRUE),  "",  INDEX(RulebookFields!I2:I1898, MATCH(D241,RulebookFields!A2:A1898, 0))), "")</f>
        <v>0</v>
      </c>
      <c r="K241" s="4" t="b">
        <f>AND(((F241)=TRUE), ((J241)=TRUE))</f>
        <v>0</v>
      </c>
      <c r="L241" s="4" t="b">
        <f>AND(((G241 &lt;&gt; "plain")=TRUE), ((G241 &lt;&gt; "")=TRUE))</f>
        <v>0</v>
      </c>
      <c r="M241" s="4" t="str">
        <f>IF(((E241)=TRUE),  C241 &amp; "|" &amp; H241,  "")</f>
        <v>principal-employment-counsel|CommunicationPolicies</v>
      </c>
      <c r="N241" s="3" t="s">
        <v>10004</v>
      </c>
    </row>
    <row r="242">
      <c r="A242" s="3" t="s">
        <v>10244</v>
      </c>
      <c r="B242" s="4" t="str">
        <f>C242 &amp; " -&gt; " &amp; D242</f>
        <v>principal-employment-counsel -&gt; CommunicationPolicies.AuthorityStatement</v>
      </c>
      <c r="C242" s="3" t="s">
        <v>9760</v>
      </c>
      <c r="D242" s="3" t="s">
        <v>4074</v>
      </c>
      <c r="E242" s="3" t="b">
        <v>1</v>
      </c>
      <c r="F242" s="3" t="b">
        <v>0</v>
      </c>
      <c r="G242" s="3" t="s">
        <v>10003</v>
      </c>
      <c r="H242" s="4" t="str">
        <f>_xlfn.IFNA(IF(((INDEX(RulebookFields!C2:C1898, MATCH(D242,RulebookFields!A2:A1898, 0))="")=TRUE),  "",  INDEX(RulebookFields!C2:C1898, MATCH(D242,RulebookFields!A2:A1898, 0))), "")</f>
        <v>CommunicationPolicies</v>
      </c>
      <c r="I242" s="4" t="str">
        <f>_xlfn.IFNA(IF(((INDEX(RulebookFields!D2:D1898, MATCH(D242,RulebookFields!A2:A1898, 0))="")=TRUE),  "",  INDEX(RulebookFields!D2:D1898, MATCH(D242,RulebookFields!A2:A1898, 0))), "")</f>
        <v>AuthorityStatement</v>
      </c>
      <c r="J242" s="4" t="b">
        <f>_xlfn.IFNA(IF(((INDEX(RulebookFields!I2:I1898, MATCH(D242,RulebookFields!A2:A1898, 0))="")=TRUE),  "",  INDEX(RulebookFields!I2:I1898, MATCH(D242,RulebookFields!A2:A1898, 0))), "")</f>
        <v>0</v>
      </c>
      <c r="K242" s="4" t="b">
        <f>AND(((F242)=TRUE), ((J242)=TRUE))</f>
        <v>0</v>
      </c>
      <c r="L242" s="4" t="b">
        <f>AND(((G242 &lt;&gt; "plain")=TRUE), ((G242 &lt;&gt; "")=TRUE))</f>
        <v>0</v>
      </c>
      <c r="M242" s="4" t="str">
        <f>IF(((E242)=TRUE),  C242 &amp; "|" &amp; H242,  "")</f>
        <v>principal-employment-counsel|CommunicationPolicies</v>
      </c>
      <c r="N242" s="3" t="s">
        <v>10004</v>
      </c>
    </row>
    <row r="243">
      <c r="A243" s="3" t="s">
        <v>10245</v>
      </c>
      <c r="B243" s="4" t="str">
        <f>C243 &amp; " -&gt; " &amp; D243</f>
        <v>principal-employment-counsel -&gt; CommunicationPolicies.RetentionDays</v>
      </c>
      <c r="C243" s="3" t="s">
        <v>9760</v>
      </c>
      <c r="D243" s="3" t="s">
        <v>4071</v>
      </c>
      <c r="E243" s="3" t="b">
        <v>1</v>
      </c>
      <c r="F243" s="3" t="b">
        <v>0</v>
      </c>
      <c r="G243" s="3" t="s">
        <v>10003</v>
      </c>
      <c r="H243" s="4" t="str">
        <f>_xlfn.IFNA(IF(((INDEX(RulebookFields!C2:C1898, MATCH(D243,RulebookFields!A2:A1898, 0))="")=TRUE),  "",  INDEX(RulebookFields!C2:C1898, MATCH(D243,RulebookFields!A2:A1898, 0))), "")</f>
        <v>CommunicationPolicies</v>
      </c>
      <c r="I243" s="4" t="str">
        <f>_xlfn.IFNA(IF(((INDEX(RulebookFields!D2:D1898, MATCH(D243,RulebookFields!A2:A1898, 0))="")=TRUE),  "",  INDEX(RulebookFields!D2:D1898, MATCH(D243,RulebookFields!A2:A1898, 0))), "")</f>
        <v>RetentionDays</v>
      </c>
      <c r="J243" s="4" t="b">
        <f>_xlfn.IFNA(IF(((INDEX(RulebookFields!I2:I1898, MATCH(D243,RulebookFields!A2:A1898, 0))="")=TRUE),  "",  INDEX(RulebookFields!I2:I1898, MATCH(D243,RulebookFields!A2:A1898, 0))), "")</f>
        <v>0</v>
      </c>
      <c r="K243" s="4" t="b">
        <f>AND(((F243)=TRUE), ((J243)=TRUE))</f>
        <v>0</v>
      </c>
      <c r="L243" s="4" t="b">
        <f>AND(((G243 &lt;&gt; "plain")=TRUE), ((G243 &lt;&gt; "")=TRUE))</f>
        <v>0</v>
      </c>
      <c r="M243" s="4" t="str">
        <f>IF(((E243)=TRUE),  C243 &amp; "|" &amp; H243,  "")</f>
        <v>principal-employment-counsel|CommunicationPolicies</v>
      </c>
      <c r="N243" s="3" t="s">
        <v>10004</v>
      </c>
    </row>
    <row r="244">
      <c r="A244" s="3" t="s">
        <v>10246</v>
      </c>
      <c r="B244" s="4" t="str">
        <f>C244 &amp; " -&gt; " &amp; D244</f>
        <v>principal-employment-counsel -&gt; CommunicationPolicies.Status</v>
      </c>
      <c r="C244" s="3" t="s">
        <v>9760</v>
      </c>
      <c r="D244" s="3" t="s">
        <v>4075</v>
      </c>
      <c r="E244" s="3" t="b">
        <v>1</v>
      </c>
      <c r="F244" s="3" t="b">
        <v>0</v>
      </c>
      <c r="G244" s="3" t="s">
        <v>10003</v>
      </c>
      <c r="H244" s="4" t="str">
        <f>_xlfn.IFNA(IF(((INDEX(RulebookFields!C2:C1898, MATCH(D244,RulebookFields!A2:A1898, 0))="")=TRUE),  "",  INDEX(RulebookFields!C2:C1898, MATCH(D244,RulebookFields!A2:A1898, 0))), "")</f>
        <v>CommunicationPolicies</v>
      </c>
      <c r="I244" s="4" t="str">
        <f>_xlfn.IFNA(IF(((INDEX(RulebookFields!D2:D1898, MATCH(D244,RulebookFields!A2:A1898, 0))="")=TRUE),  "",  INDEX(RulebookFields!D2:D1898, MATCH(D244,RulebookFields!A2:A1898, 0))), "")</f>
        <v>Status</v>
      </c>
      <c r="J244" s="4" t="b">
        <f>_xlfn.IFNA(IF(((INDEX(RulebookFields!I2:I1898, MATCH(D244,RulebookFields!A2:A1898, 0))="")=TRUE),  "",  INDEX(RulebookFields!I2:I1898, MATCH(D244,RulebookFields!A2:A1898, 0))), "")</f>
        <v>0</v>
      </c>
      <c r="K244" s="4" t="b">
        <f>AND(((F244)=TRUE), ((J244)=TRUE))</f>
        <v>0</v>
      </c>
      <c r="L244" s="4" t="b">
        <f>AND(((G244 &lt;&gt; "plain")=TRUE), ((G244 &lt;&gt; "")=TRUE))</f>
        <v>0</v>
      </c>
      <c r="M244" s="4" t="str">
        <f>IF(((E244)=TRUE),  C244 &amp; "|" &amp; H244,  "")</f>
        <v>principal-employment-counsel|CommunicationPolicies</v>
      </c>
      <c r="N244" s="3" t="s">
        <v>10004</v>
      </c>
    </row>
    <row r="245">
      <c r="A245" s="3" t="s">
        <v>10247</v>
      </c>
      <c r="B245" s="4" t="str">
        <f>C245 &amp; " -&gt; " &amp; D245</f>
        <v>principal-employment-counsel -&gt; CommunicationPolicies.Name</v>
      </c>
      <c r="C245" s="3" t="s">
        <v>9760</v>
      </c>
      <c r="D245" s="3" t="s">
        <v>4061</v>
      </c>
      <c r="E245" s="3" t="b">
        <v>1</v>
      </c>
      <c r="F245" s="3" t="b">
        <v>0</v>
      </c>
      <c r="G245" s="3" t="s">
        <v>10003</v>
      </c>
      <c r="H245" s="4" t="str">
        <f>_xlfn.IFNA(IF(((INDEX(RulebookFields!C2:C1898, MATCH(D245,RulebookFields!A2:A1898, 0))="")=TRUE),  "",  INDEX(RulebookFields!C2:C1898, MATCH(D245,RulebookFields!A2:A1898, 0))), "")</f>
        <v>CommunicationPolicies</v>
      </c>
      <c r="I245" s="4" t="str">
        <f>_xlfn.IFNA(IF(((INDEX(RulebookFields!D2:D1898, MATCH(D245,RulebookFields!A2:A1898, 0))="")=TRUE),  "",  INDEX(RulebookFields!D2:D1898, MATCH(D245,RulebookFields!A2:A1898, 0))), "")</f>
        <v>Name</v>
      </c>
      <c r="J245" s="4" t="b">
        <f>_xlfn.IFNA(IF(((INDEX(RulebookFields!I2:I1898, MATCH(D245,RulebookFields!A2:A1898, 0))="")=TRUE),  "",  INDEX(RulebookFields!I2:I1898, MATCH(D245,RulebookFields!A2:A1898, 0))), "")</f>
        <v>1</v>
      </c>
      <c r="K245" s="4" t="b">
        <f>AND(((F245)=TRUE), ((J245)=TRUE))</f>
        <v>0</v>
      </c>
      <c r="L245" s="4" t="b">
        <f>AND(((G245 &lt;&gt; "plain")=TRUE), ((G245 &lt;&gt; "")=TRUE))</f>
        <v>0</v>
      </c>
      <c r="M245" s="4" t="str">
        <f>IF(((E245)=TRUE),  C245 &amp; "|" &amp; H245,  "")</f>
        <v>principal-employment-counsel|CommunicationPolicies</v>
      </c>
      <c r="N245" s="3" t="s">
        <v>10004</v>
      </c>
    </row>
    <row r="246">
      <c r="A246" s="3" t="s">
        <v>10248</v>
      </c>
      <c r="B246" s="4" t="str">
        <f>C246 &amp; " -&gt; " &amp; D246</f>
        <v>principal-employment-counsel -&gt; Steps.StepId</v>
      </c>
      <c r="C246" s="3" t="s">
        <v>9760</v>
      </c>
      <c r="D246" s="3" t="s">
        <v>2870</v>
      </c>
      <c r="E246" s="3" t="b">
        <v>1</v>
      </c>
      <c r="F246" s="3" t="b">
        <v>0</v>
      </c>
      <c r="G246" s="3" t="s">
        <v>10003</v>
      </c>
      <c r="H246" s="4" t="str">
        <f>_xlfn.IFNA(IF(((INDEX(RulebookFields!C2:C1898, MATCH(D246,RulebookFields!A2:A1898, 0))="")=TRUE),  "",  INDEX(RulebookFields!C2:C1898, MATCH(D246,RulebookFields!A2:A1898, 0))), "")</f>
        <v>Steps</v>
      </c>
      <c r="I246" s="4" t="str">
        <f>_xlfn.IFNA(IF(((INDEX(RulebookFields!D2:D1898, MATCH(D246,RulebookFields!A2:A1898, 0))="")=TRUE),  "",  INDEX(RulebookFields!D2:D1898, MATCH(D246,RulebookFields!A2:A1898, 0))), "")</f>
        <v>StepId</v>
      </c>
      <c r="J246" s="4" t="b">
        <f>_xlfn.IFNA(IF(((INDEX(RulebookFields!I2:I1898, MATCH(D246,RulebookFields!A2:A1898, 0))="")=TRUE),  "",  INDEX(RulebookFields!I2:I1898, MATCH(D246,RulebookFields!A2:A1898, 0))), "")</f>
        <v>0</v>
      </c>
      <c r="K246" s="4" t="b">
        <f>AND(((F246)=TRUE), ((J246)=TRUE))</f>
        <v>0</v>
      </c>
      <c r="L246" s="4" t="b">
        <f>AND(((G246 &lt;&gt; "plain")=TRUE), ((G246 &lt;&gt; "")=TRUE))</f>
        <v>0</v>
      </c>
      <c r="M246" s="4" t="str">
        <f>IF(((E246)=TRUE),  C246 &amp; "|" &amp; H246,  "")</f>
        <v>principal-employment-counsel|Steps</v>
      </c>
      <c r="N246" s="3" t="s">
        <v>10004</v>
      </c>
    </row>
    <row r="247">
      <c r="A247" s="3" t="s">
        <v>10249</v>
      </c>
      <c r="B247" s="4" t="str">
        <f>C247 &amp; " -&gt; " &amp; D247</f>
        <v>principal-employment-counsel -&gt; Steps.StepNumber</v>
      </c>
      <c r="C247" s="3" t="s">
        <v>9760</v>
      </c>
      <c r="D247" s="3" t="s">
        <v>2874</v>
      </c>
      <c r="E247" s="3" t="b">
        <v>1</v>
      </c>
      <c r="F247" s="3" t="b">
        <v>0</v>
      </c>
      <c r="G247" s="3" t="s">
        <v>10003</v>
      </c>
      <c r="H247" s="4" t="str">
        <f>_xlfn.IFNA(IF(((INDEX(RulebookFields!C2:C1898, MATCH(D247,RulebookFields!A2:A1898, 0))="")=TRUE),  "",  INDEX(RulebookFields!C2:C1898, MATCH(D247,RulebookFields!A2:A1898, 0))), "")</f>
        <v>Steps</v>
      </c>
      <c r="I247" s="4" t="str">
        <f>_xlfn.IFNA(IF(((INDEX(RulebookFields!D2:D1898, MATCH(D247,RulebookFields!A2:A1898, 0))="")=TRUE),  "",  INDEX(RulebookFields!D2:D1898, MATCH(D247,RulebookFields!A2:A1898, 0))), "")</f>
        <v>StepNumber</v>
      </c>
      <c r="J247" s="4" t="b">
        <f>_xlfn.IFNA(IF(((INDEX(RulebookFields!I2:I1898, MATCH(D247,RulebookFields!A2:A1898, 0))="")=TRUE),  "",  INDEX(RulebookFields!I2:I1898, MATCH(D247,RulebookFields!A2:A1898, 0))), "")</f>
        <v>0</v>
      </c>
      <c r="K247" s="4" t="b">
        <f>AND(((F247)=TRUE), ((J247)=TRUE))</f>
        <v>0</v>
      </c>
      <c r="L247" s="4" t="b">
        <f>AND(((G247 &lt;&gt; "plain")=TRUE), ((G247 &lt;&gt; "")=TRUE))</f>
        <v>0</v>
      </c>
      <c r="M247" s="4" t="str">
        <f>IF(((E247)=TRUE),  C247 &amp; "|" &amp; H247,  "")</f>
        <v>principal-employment-counsel|Steps</v>
      </c>
      <c r="N247" s="3" t="s">
        <v>10004</v>
      </c>
    </row>
    <row r="248">
      <c r="A248" s="3" t="s">
        <v>10250</v>
      </c>
      <c r="B248" s="4" t="str">
        <f>C248 &amp; " -&gt; " &amp; D248</f>
        <v>principal-employment-counsel -&gt; Steps.Title</v>
      </c>
      <c r="C248" s="3" t="s">
        <v>9760</v>
      </c>
      <c r="D248" s="3" t="s">
        <v>2875</v>
      </c>
      <c r="E248" s="3" t="b">
        <v>1</v>
      </c>
      <c r="F248" s="3" t="b">
        <v>0</v>
      </c>
      <c r="G248" s="3" t="s">
        <v>10003</v>
      </c>
      <c r="H248" s="4" t="str">
        <f>_xlfn.IFNA(IF(((INDEX(RulebookFields!C2:C1898, MATCH(D248,RulebookFields!A2:A1898, 0))="")=TRUE),  "",  INDEX(RulebookFields!C2:C1898, MATCH(D248,RulebookFields!A2:A1898, 0))), "")</f>
        <v>Steps</v>
      </c>
      <c r="I248" s="4" t="str">
        <f>_xlfn.IFNA(IF(((INDEX(RulebookFields!D2:D1898, MATCH(D248,RulebookFields!A2:A1898, 0))="")=TRUE),  "",  INDEX(RulebookFields!D2:D1898, MATCH(D248,RulebookFields!A2:A1898, 0))), "")</f>
        <v>Title</v>
      </c>
      <c r="J248" s="4" t="b">
        <f>_xlfn.IFNA(IF(((INDEX(RulebookFields!I2:I1898, MATCH(D248,RulebookFields!A2:A1898, 0))="")=TRUE),  "",  INDEX(RulebookFields!I2:I1898, MATCH(D248,RulebookFields!A2:A1898, 0))), "")</f>
        <v>0</v>
      </c>
      <c r="K248" s="4" t="b">
        <f>AND(((F248)=TRUE), ((J248)=TRUE))</f>
        <v>0</v>
      </c>
      <c r="L248" s="4" t="b">
        <f>AND(((G248 &lt;&gt; "plain")=TRUE), ((G248 &lt;&gt; "")=TRUE))</f>
        <v>0</v>
      </c>
      <c r="M248" s="4" t="str">
        <f>IF(((E248)=TRUE),  C248 &amp; "|" &amp; H248,  "")</f>
        <v>principal-employment-counsel|Steps</v>
      </c>
      <c r="N248" s="3" t="s">
        <v>10004</v>
      </c>
    </row>
    <row r="249">
      <c r="A249" s="3" t="s">
        <v>10251</v>
      </c>
      <c r="B249" s="4" t="str">
        <f>C249 &amp; " -&gt; " &amp; D249</f>
        <v>principal-employment-counsel -&gt; Steps.StepKind</v>
      </c>
      <c r="C249" s="3" t="s">
        <v>9760</v>
      </c>
      <c r="D249" s="3" t="s">
        <v>2876</v>
      </c>
      <c r="E249" s="3" t="b">
        <v>1</v>
      </c>
      <c r="F249" s="3" t="b">
        <v>0</v>
      </c>
      <c r="G249" s="3" t="s">
        <v>10003</v>
      </c>
      <c r="H249" s="4" t="str">
        <f>_xlfn.IFNA(IF(((INDEX(RulebookFields!C2:C1898, MATCH(D249,RulebookFields!A2:A1898, 0))="")=TRUE),  "",  INDEX(RulebookFields!C2:C1898, MATCH(D249,RulebookFields!A2:A1898, 0))), "")</f>
        <v>Steps</v>
      </c>
      <c r="I249" s="4" t="str">
        <f>_xlfn.IFNA(IF(((INDEX(RulebookFields!D2:D1898, MATCH(D249,RulebookFields!A2:A1898, 0))="")=TRUE),  "",  INDEX(RulebookFields!D2:D1898, MATCH(D249,RulebookFields!A2:A1898, 0))), "")</f>
        <v>StepKind</v>
      </c>
      <c r="J249" s="4" t="b">
        <f>_xlfn.IFNA(IF(((INDEX(RulebookFields!I2:I1898, MATCH(D249,RulebookFields!A2:A1898, 0))="")=TRUE),  "",  INDEX(RulebookFields!I2:I1898, MATCH(D249,RulebookFields!A2:A1898, 0))), "")</f>
        <v>0</v>
      </c>
      <c r="K249" s="4" t="b">
        <f>AND(((F249)=TRUE), ((J249)=TRUE))</f>
        <v>0</v>
      </c>
      <c r="L249" s="4" t="b">
        <f>AND(((G249 &lt;&gt; "plain")=TRUE), ((G249 &lt;&gt; "")=TRUE))</f>
        <v>0</v>
      </c>
      <c r="M249" s="4" t="str">
        <f>IF(((E249)=TRUE),  C249 &amp; "|" &amp; H249,  "")</f>
        <v>principal-employment-counsel|Steps</v>
      </c>
      <c r="N249" s="3" t="s">
        <v>10004</v>
      </c>
    </row>
    <row r="250">
      <c r="A250" s="3" t="s">
        <v>10252</v>
      </c>
      <c r="B250" s="4" t="str">
        <f>C250 &amp; " -&gt; " &amp; D250</f>
        <v>principal-employment-counsel -&gt; Steps.Instruction</v>
      </c>
      <c r="C250" s="3" t="s">
        <v>9760</v>
      </c>
      <c r="D250" s="3" t="s">
        <v>2882</v>
      </c>
      <c r="E250" s="3" t="b">
        <v>1</v>
      </c>
      <c r="F250" s="3" t="b">
        <v>0</v>
      </c>
      <c r="G250" s="3" t="s">
        <v>10003</v>
      </c>
      <c r="H250" s="4" t="str">
        <f>_xlfn.IFNA(IF(((INDEX(RulebookFields!C2:C1898, MATCH(D250,RulebookFields!A2:A1898, 0))="")=TRUE),  "",  INDEX(RulebookFields!C2:C1898, MATCH(D250,RulebookFields!A2:A1898, 0))), "")</f>
        <v>Steps</v>
      </c>
      <c r="I250" s="4" t="str">
        <f>_xlfn.IFNA(IF(((INDEX(RulebookFields!D2:D1898, MATCH(D250,RulebookFields!A2:A1898, 0))="")=TRUE),  "",  INDEX(RulebookFields!D2:D1898, MATCH(D250,RulebookFields!A2:A1898, 0))), "")</f>
        <v>Instruction</v>
      </c>
      <c r="J250" s="4" t="b">
        <f>_xlfn.IFNA(IF(((INDEX(RulebookFields!I2:I1898, MATCH(D250,RulebookFields!A2:A1898, 0))="")=TRUE),  "",  INDEX(RulebookFields!I2:I1898, MATCH(D250,RulebookFields!A2:A1898, 0))), "")</f>
        <v>0</v>
      </c>
      <c r="K250" s="4" t="b">
        <f>AND(((F250)=TRUE), ((J250)=TRUE))</f>
        <v>0</v>
      </c>
      <c r="L250" s="4" t="b">
        <f>AND(((G250 &lt;&gt; "plain")=TRUE), ((G250 &lt;&gt; "")=TRUE))</f>
        <v>0</v>
      </c>
      <c r="M250" s="4" t="str">
        <f>IF(((E250)=TRUE),  C250 &amp; "|" &amp; H250,  "")</f>
        <v>principal-employment-counsel|Steps</v>
      </c>
      <c r="N250" s="3" t="s">
        <v>10004</v>
      </c>
    </row>
    <row r="251">
      <c r="A251" s="3" t="s">
        <v>10253</v>
      </c>
      <c r="B251" s="4" t="str">
        <f>C251 &amp; " -&gt; " &amp; D251</f>
        <v>principal-employment-counsel -&gt; Steps.AssignedRole</v>
      </c>
      <c r="C251" s="3" t="s">
        <v>9760</v>
      </c>
      <c r="D251" s="3" t="s">
        <v>2877</v>
      </c>
      <c r="E251" s="3" t="b">
        <v>1</v>
      </c>
      <c r="F251" s="3" t="b">
        <v>0</v>
      </c>
      <c r="G251" s="3" t="s">
        <v>10003</v>
      </c>
      <c r="H251" s="4" t="str">
        <f>_xlfn.IFNA(IF(((INDEX(RulebookFields!C2:C1898, MATCH(D251,RulebookFields!A2:A1898, 0))="")=TRUE),  "",  INDEX(RulebookFields!C2:C1898, MATCH(D251,RulebookFields!A2:A1898, 0))), "")</f>
        <v>Steps</v>
      </c>
      <c r="I251" s="4" t="str">
        <f>_xlfn.IFNA(IF(((INDEX(RulebookFields!D2:D1898, MATCH(D251,RulebookFields!A2:A1898, 0))="")=TRUE),  "",  INDEX(RulebookFields!D2:D1898, MATCH(D251,RulebookFields!A2:A1898, 0))), "")</f>
        <v>AssignedRole</v>
      </c>
      <c r="J251" s="4" t="b">
        <f>_xlfn.IFNA(IF(((INDEX(RulebookFields!I2:I1898, MATCH(D251,RulebookFields!A2:A1898, 0))="")=TRUE),  "",  INDEX(RulebookFields!I2:I1898, MATCH(D251,RulebookFields!A2:A1898, 0))), "")</f>
        <v>0</v>
      </c>
      <c r="K251" s="4" t="b">
        <f>AND(((F251)=TRUE), ((J251)=TRUE))</f>
        <v>0</v>
      </c>
      <c r="L251" s="4" t="b">
        <f>AND(((G251 &lt;&gt; "plain")=TRUE), ((G251 &lt;&gt; "")=TRUE))</f>
        <v>0</v>
      </c>
      <c r="M251" s="4" t="str">
        <f>IF(((E251)=TRUE),  C251 &amp; "|" &amp; H251,  "")</f>
        <v>principal-employment-counsel|Steps</v>
      </c>
      <c r="N251" s="3" t="s">
        <v>10004</v>
      </c>
    </row>
    <row r="252">
      <c r="A252" s="3" t="s">
        <v>10254</v>
      </c>
      <c r="B252" s="4" t="str">
        <f>C252 &amp; " -&gt; " &amp; D252</f>
        <v>principal-employment-counsel -&gt; Steps.AssignedRoleLabel</v>
      </c>
      <c r="C252" s="3" t="s">
        <v>9760</v>
      </c>
      <c r="D252" s="3" t="s">
        <v>2878</v>
      </c>
      <c r="E252" s="3" t="b">
        <v>1</v>
      </c>
      <c r="F252" s="3" t="b">
        <v>0</v>
      </c>
      <c r="G252" s="3" t="s">
        <v>10003</v>
      </c>
      <c r="H252" s="4" t="str">
        <f>_xlfn.IFNA(IF(((INDEX(RulebookFields!C2:C1898, MATCH(D252,RulebookFields!A2:A1898, 0))="")=TRUE),  "",  INDEX(RulebookFields!C2:C1898, MATCH(D252,RulebookFields!A2:A1898, 0))), "")</f>
        <v>Steps</v>
      </c>
      <c r="I252" s="4" t="str">
        <f>_xlfn.IFNA(IF(((INDEX(RulebookFields!D2:D1898, MATCH(D252,RulebookFields!A2:A1898, 0))="")=TRUE),  "",  INDEX(RulebookFields!D2:D1898, MATCH(D252,RulebookFields!A2:A1898, 0))), "")</f>
        <v>AssignedRoleLabel</v>
      </c>
      <c r="J252" s="4" t="b">
        <f>_xlfn.IFNA(IF(((INDEX(RulebookFields!I2:I1898, MATCH(D252,RulebookFields!A2:A1898, 0))="")=TRUE),  "",  INDEX(RulebookFields!I2:I1898, MATCH(D252,RulebookFields!A2:A1898, 0))), "")</f>
        <v>1</v>
      </c>
      <c r="K252" s="4" t="b">
        <f>AND(((F252)=TRUE), ((J252)=TRUE))</f>
        <v>0</v>
      </c>
      <c r="L252" s="4" t="b">
        <f>AND(((G252 &lt;&gt; "plain")=TRUE), ((G252 &lt;&gt; "")=TRUE))</f>
        <v>0</v>
      </c>
      <c r="M252" s="4" t="str">
        <f>IF(((E252)=TRUE),  C252 &amp; "|" &amp; H252,  "")</f>
        <v>principal-employment-counsel|Steps</v>
      </c>
      <c r="N252" s="3" t="s">
        <v>10004</v>
      </c>
    </row>
    <row r="253">
      <c r="A253" s="3" t="s">
        <v>10255</v>
      </c>
      <c r="B253" s="4" t="str">
        <f>C253 &amp; " -&gt; " &amp; D253</f>
        <v>principal-employment-counsel -&gt; Steps.ProcedureVersion</v>
      </c>
      <c r="C253" s="3" t="s">
        <v>9760</v>
      </c>
      <c r="D253" s="3" t="s">
        <v>2873</v>
      </c>
      <c r="E253" s="3" t="b">
        <v>1</v>
      </c>
      <c r="F253" s="3" t="b">
        <v>0</v>
      </c>
      <c r="G253" s="3" t="s">
        <v>10003</v>
      </c>
      <c r="H253" s="4" t="str">
        <f>_xlfn.IFNA(IF(((INDEX(RulebookFields!C2:C1898, MATCH(D253,RulebookFields!A2:A1898, 0))="")=TRUE),  "",  INDEX(RulebookFields!C2:C1898, MATCH(D253,RulebookFields!A2:A1898, 0))), "")</f>
        <v>Steps</v>
      </c>
      <c r="I253" s="4" t="str">
        <f>_xlfn.IFNA(IF(((INDEX(RulebookFields!D2:D1898, MATCH(D253,RulebookFields!A2:A1898, 0))="")=TRUE),  "",  INDEX(RulebookFields!D2:D1898, MATCH(D253,RulebookFields!A2:A1898, 0))), "")</f>
        <v>ProcedureVersion</v>
      </c>
      <c r="J253" s="4" t="b">
        <f>_xlfn.IFNA(IF(((INDEX(RulebookFields!I2:I1898, MATCH(D253,RulebookFields!A2:A1898, 0))="")=TRUE),  "",  INDEX(RulebookFields!I2:I1898, MATCH(D253,RulebookFields!A2:A1898, 0))), "")</f>
        <v>0</v>
      </c>
      <c r="K253" s="4" t="b">
        <f>AND(((F253)=TRUE), ((J253)=TRUE))</f>
        <v>0</v>
      </c>
      <c r="L253" s="4" t="b">
        <f>AND(((G253 &lt;&gt; "plain")=TRUE), ((G253 &lt;&gt; "")=TRUE))</f>
        <v>0</v>
      </c>
      <c r="M253" s="4" t="str">
        <f>IF(((E253)=TRUE),  C253 &amp; "|" &amp; H253,  "")</f>
        <v>principal-employment-counsel|Steps</v>
      </c>
      <c r="N253" s="3" t="s">
        <v>10004</v>
      </c>
    </row>
    <row r="254">
      <c r="A254" s="3" t="s">
        <v>10256</v>
      </c>
      <c r="B254" s="4" t="str">
        <f>C254 &amp; " -&gt; " &amp; D254</f>
        <v>principal-employment-counsel -&gt; Steps.Name</v>
      </c>
      <c r="C254" s="3" t="s">
        <v>9760</v>
      </c>
      <c r="D254" s="3" t="s">
        <v>2871</v>
      </c>
      <c r="E254" s="3" t="b">
        <v>1</v>
      </c>
      <c r="F254" s="3" t="b">
        <v>0</v>
      </c>
      <c r="G254" s="3" t="s">
        <v>10003</v>
      </c>
      <c r="H254" s="4" t="str">
        <f>_xlfn.IFNA(IF(((INDEX(RulebookFields!C2:C1898, MATCH(D254,RulebookFields!A2:A1898, 0))="")=TRUE),  "",  INDEX(RulebookFields!C2:C1898, MATCH(D254,RulebookFields!A2:A1898, 0))), "")</f>
        <v>Steps</v>
      </c>
      <c r="I254" s="4" t="str">
        <f>_xlfn.IFNA(IF(((INDEX(RulebookFields!D2:D1898, MATCH(D254,RulebookFields!A2:A1898, 0))="")=TRUE),  "",  INDEX(RulebookFields!D2:D1898, MATCH(D254,RulebookFields!A2:A1898, 0))), "")</f>
        <v>Name</v>
      </c>
      <c r="J254" s="4" t="b">
        <f>_xlfn.IFNA(IF(((INDEX(RulebookFields!I2:I1898, MATCH(D254,RulebookFields!A2:A1898, 0))="")=TRUE),  "",  INDEX(RulebookFields!I2:I1898, MATCH(D254,RulebookFields!A2:A1898, 0))), "")</f>
        <v>1</v>
      </c>
      <c r="K254" s="4" t="b">
        <f>AND(((F254)=TRUE), ((J254)=TRUE))</f>
        <v>0</v>
      </c>
      <c r="L254" s="4" t="b">
        <f>AND(((G254 &lt;&gt; "plain")=TRUE), ((G254 &lt;&gt; "")=TRUE))</f>
        <v>0</v>
      </c>
      <c r="M254" s="4" t="str">
        <f>IF(((E254)=TRUE),  C254 &amp; "|" &amp; H254,  "")</f>
        <v>principal-employment-counsel|Steps</v>
      </c>
      <c r="N254" s="3" t="s">
        <v>10004</v>
      </c>
    </row>
    <row r="255">
      <c r="A255" s="3" t="s">
        <v>10257</v>
      </c>
      <c r="B255" s="4" t="str">
        <f>C255 &amp; " -&gt; " &amp; D255</f>
        <v>principal-communications-manager -&gt; CommunicationPolicies.CommunicationPolicyId</v>
      </c>
      <c r="C255" s="3" t="s">
        <v>9762</v>
      </c>
      <c r="D255" s="3" t="s">
        <v>4060</v>
      </c>
      <c r="E255" s="3" t="b">
        <v>1</v>
      </c>
      <c r="F255" s="3" t="b">
        <v>0</v>
      </c>
      <c r="G255" s="3" t="s">
        <v>10003</v>
      </c>
      <c r="H255" s="4" t="str">
        <f>_xlfn.IFNA(IF(((INDEX(RulebookFields!C2:C1898, MATCH(D255,RulebookFields!A2:A1898, 0))="")=TRUE),  "",  INDEX(RulebookFields!C2:C1898, MATCH(D255,RulebookFields!A2:A1898, 0))), "")</f>
        <v>CommunicationPolicies</v>
      </c>
      <c r="I255" s="4" t="str">
        <f>_xlfn.IFNA(IF(((INDEX(RulebookFields!D2:D1898, MATCH(D255,RulebookFields!A2:A1898, 0))="")=TRUE),  "",  INDEX(RulebookFields!D2:D1898, MATCH(D255,RulebookFields!A2:A1898, 0))), "")</f>
        <v>CommunicationPolicyId</v>
      </c>
      <c r="J255" s="4" t="b">
        <f>_xlfn.IFNA(IF(((INDEX(RulebookFields!I2:I1898, MATCH(D255,RulebookFields!A2:A1898, 0))="")=TRUE),  "",  INDEX(RulebookFields!I2:I1898, MATCH(D255,RulebookFields!A2:A1898, 0))), "")</f>
        <v>0</v>
      </c>
      <c r="K255" s="4" t="b">
        <f>AND(((F255)=TRUE), ((J255)=TRUE))</f>
        <v>0</v>
      </c>
      <c r="L255" s="4" t="b">
        <f>AND(((G255 &lt;&gt; "plain")=TRUE), ((G255 &lt;&gt; "")=TRUE))</f>
        <v>0</v>
      </c>
      <c r="M255" s="4" t="str">
        <f>IF(((E255)=TRUE),  C255 &amp; "|" &amp; H255,  "")</f>
        <v>principal-communications-manager|CommunicationPolicies</v>
      </c>
      <c r="N255" s="3" t="s">
        <v>10004</v>
      </c>
    </row>
    <row r="256">
      <c r="A256" s="3" t="s">
        <v>10258</v>
      </c>
      <c r="B256" s="4" t="str">
        <f>C256 &amp; " -&gt; " &amp; D256</f>
        <v>principal-communications-manager -&gt; CommunicationPolicies.Name</v>
      </c>
      <c r="C256" s="3" t="s">
        <v>9762</v>
      </c>
      <c r="D256" s="3" t="s">
        <v>4061</v>
      </c>
      <c r="E256" s="3" t="b">
        <v>1</v>
      </c>
      <c r="F256" s="3" t="b">
        <v>0</v>
      </c>
      <c r="G256" s="3" t="s">
        <v>10003</v>
      </c>
      <c r="H256" s="4" t="str">
        <f>_xlfn.IFNA(IF(((INDEX(RulebookFields!C2:C1898, MATCH(D256,RulebookFields!A2:A1898, 0))="")=TRUE),  "",  INDEX(RulebookFields!C2:C1898, MATCH(D256,RulebookFields!A2:A1898, 0))), "")</f>
        <v>CommunicationPolicies</v>
      </c>
      <c r="I256" s="4" t="str">
        <f>_xlfn.IFNA(IF(((INDEX(RulebookFields!D2:D1898, MATCH(D256,RulebookFields!A2:A1898, 0))="")=TRUE),  "",  INDEX(RulebookFields!D2:D1898, MATCH(D256,RulebookFields!A2:A1898, 0))), "")</f>
        <v>Name</v>
      </c>
      <c r="J256" s="4" t="b">
        <f>_xlfn.IFNA(IF(((INDEX(RulebookFields!I2:I1898, MATCH(D256,RulebookFields!A2:A1898, 0))="")=TRUE),  "",  INDEX(RulebookFields!I2:I1898, MATCH(D256,RulebookFields!A2:A1898, 0))), "")</f>
        <v>1</v>
      </c>
      <c r="K256" s="4" t="b">
        <f>AND(((F256)=TRUE), ((J256)=TRUE))</f>
        <v>0</v>
      </c>
      <c r="L256" s="4" t="b">
        <f>AND(((G256 &lt;&gt; "plain")=TRUE), ((G256 &lt;&gt; "")=TRUE))</f>
        <v>0</v>
      </c>
      <c r="M256" s="4" t="str">
        <f>IF(((E256)=TRUE),  C256 &amp; "|" &amp; H256,  "")</f>
        <v>principal-communications-manager|CommunicationPolicies</v>
      </c>
      <c r="N256" s="3" t="s">
        <v>10004</v>
      </c>
    </row>
    <row r="257">
      <c r="A257" s="3" t="s">
        <v>10259</v>
      </c>
      <c r="B257" s="4" t="str">
        <f>C257 &amp; " -&gt; " &amp; D257</f>
        <v>principal-communications-manager -&gt; CommunicationPolicies.ProcedureVersion</v>
      </c>
      <c r="C257" s="3" t="s">
        <v>9762</v>
      </c>
      <c r="D257" s="3" t="s">
        <v>4063</v>
      </c>
      <c r="E257" s="3" t="b">
        <v>1</v>
      </c>
      <c r="F257" s="3" t="b">
        <v>0</v>
      </c>
      <c r="G257" s="3" t="s">
        <v>10003</v>
      </c>
      <c r="H257" s="4" t="str">
        <f>_xlfn.IFNA(IF(((INDEX(RulebookFields!C2:C1898, MATCH(D257,RulebookFields!A2:A1898, 0))="")=TRUE),  "",  INDEX(RulebookFields!C2:C1898, MATCH(D257,RulebookFields!A2:A1898, 0))), "")</f>
        <v>CommunicationPolicies</v>
      </c>
      <c r="I257" s="4" t="str">
        <f>_xlfn.IFNA(IF(((INDEX(RulebookFields!D2:D1898, MATCH(D257,RulebookFields!A2:A1898, 0))="")=TRUE),  "",  INDEX(RulebookFields!D2:D1898, MATCH(D257,RulebookFields!A2:A1898, 0))), "")</f>
        <v>ProcedureVersion</v>
      </c>
      <c r="J257" s="4" t="b">
        <f>_xlfn.IFNA(IF(((INDEX(RulebookFields!I2:I1898, MATCH(D257,RulebookFields!A2:A1898, 0))="")=TRUE),  "",  INDEX(RulebookFields!I2:I1898, MATCH(D257,RulebookFields!A2:A1898, 0))), "")</f>
        <v>0</v>
      </c>
      <c r="K257" s="4" t="b">
        <f>AND(((F257)=TRUE), ((J257)=TRUE))</f>
        <v>0</v>
      </c>
      <c r="L257" s="4" t="b">
        <f>AND(((G257 &lt;&gt; "plain")=TRUE), ((G257 &lt;&gt; "")=TRUE))</f>
        <v>0</v>
      </c>
      <c r="M257" s="4" t="str">
        <f>IF(((E257)=TRUE),  C257 &amp; "|" &amp; H257,  "")</f>
        <v>principal-communications-manager|CommunicationPolicies</v>
      </c>
      <c r="N257" s="3" t="s">
        <v>10004</v>
      </c>
    </row>
    <row r="258">
      <c r="A258" s="3" t="s">
        <v>10260</v>
      </c>
      <c r="B258" s="4" t="str">
        <f>C258 &amp; " -&gt; " &amp; D258</f>
        <v>principal-communications-manager -&gt; CommunicationPolicies.Channel</v>
      </c>
      <c r="C258" s="3" t="s">
        <v>9762</v>
      </c>
      <c r="D258" s="3" t="s">
        <v>4064</v>
      </c>
      <c r="E258" s="3" t="b">
        <v>1</v>
      </c>
      <c r="F258" s="3" t="b">
        <v>0</v>
      </c>
      <c r="G258" s="3" t="s">
        <v>10003</v>
      </c>
      <c r="H258" s="4" t="str">
        <f>_xlfn.IFNA(IF(((INDEX(RulebookFields!C2:C1898, MATCH(D258,RulebookFields!A2:A1898, 0))="")=TRUE),  "",  INDEX(RulebookFields!C2:C1898, MATCH(D258,RulebookFields!A2:A1898, 0))), "")</f>
        <v>CommunicationPolicies</v>
      </c>
      <c r="I258" s="4" t="str">
        <f>_xlfn.IFNA(IF(((INDEX(RulebookFields!D2:D1898, MATCH(D258,RulebookFields!A2:A1898, 0))="")=TRUE),  "",  INDEX(RulebookFields!D2:D1898, MATCH(D258,RulebookFields!A2:A1898, 0))), "")</f>
        <v>Channel</v>
      </c>
      <c r="J258" s="4" t="b">
        <f>_xlfn.IFNA(IF(((INDEX(RulebookFields!I2:I1898, MATCH(D258,RulebookFields!A2:A1898, 0))="")=TRUE),  "",  INDEX(RulebookFields!I2:I1898, MATCH(D258,RulebookFields!A2:A1898, 0))), "")</f>
        <v>0</v>
      </c>
      <c r="K258" s="4" t="b">
        <f>AND(((F258)=TRUE), ((J258)=TRUE))</f>
        <v>0</v>
      </c>
      <c r="L258" s="4" t="b">
        <f>AND(((G258 &lt;&gt; "plain")=TRUE), ((G258 &lt;&gt; "")=TRUE))</f>
        <v>0</v>
      </c>
      <c r="M258" s="4" t="str">
        <f>IF(((E258)=TRUE),  C258 &amp; "|" &amp; H258,  "")</f>
        <v>principal-communications-manager|CommunicationPolicies</v>
      </c>
      <c r="N258" s="3" t="s">
        <v>10004</v>
      </c>
    </row>
    <row r="259">
      <c r="A259" s="3" t="s">
        <v>10261</v>
      </c>
      <c r="B259" s="4" t="str">
        <f>C259 &amp; " -&gt; " &amp; D259</f>
        <v>principal-communications-manager -&gt; CommunicationPolicies.AudienceRule</v>
      </c>
      <c r="C259" s="3" t="s">
        <v>9762</v>
      </c>
      <c r="D259" s="3" t="s">
        <v>4065</v>
      </c>
      <c r="E259" s="3" t="b">
        <v>1</v>
      </c>
      <c r="F259" s="3" t="b">
        <v>0</v>
      </c>
      <c r="G259" s="3" t="s">
        <v>10003</v>
      </c>
      <c r="H259" s="4" t="str">
        <f>_xlfn.IFNA(IF(((INDEX(RulebookFields!C2:C1898, MATCH(D259,RulebookFields!A2:A1898, 0))="")=TRUE),  "",  INDEX(RulebookFields!C2:C1898, MATCH(D259,RulebookFields!A2:A1898, 0))), "")</f>
        <v>CommunicationPolicies</v>
      </c>
      <c r="I259" s="4" t="str">
        <f>_xlfn.IFNA(IF(((INDEX(RulebookFields!D2:D1898, MATCH(D259,RulebookFields!A2:A1898, 0))="")=TRUE),  "",  INDEX(RulebookFields!D2:D1898, MATCH(D259,RulebookFields!A2:A1898, 0))), "")</f>
        <v>AudienceRule</v>
      </c>
      <c r="J259" s="4" t="b">
        <f>_xlfn.IFNA(IF(((INDEX(RulebookFields!I2:I1898, MATCH(D259,RulebookFields!A2:A1898, 0))="")=TRUE),  "",  INDEX(RulebookFields!I2:I1898, MATCH(D259,RulebookFields!A2:A1898, 0))), "")</f>
        <v>0</v>
      </c>
      <c r="K259" s="4" t="b">
        <f>AND(((F259)=TRUE), ((J259)=TRUE))</f>
        <v>0</v>
      </c>
      <c r="L259" s="4" t="b">
        <f>AND(((G259 &lt;&gt; "plain")=TRUE), ((G259 &lt;&gt; "")=TRUE))</f>
        <v>0</v>
      </c>
      <c r="M259" s="4" t="str">
        <f>IF(((E259)=TRUE),  C259 &amp; "|" &amp; H259,  "")</f>
        <v>principal-communications-manager|CommunicationPolicies</v>
      </c>
      <c r="N259" s="3" t="s">
        <v>10004</v>
      </c>
    </row>
    <row r="260">
      <c r="A260" s="3" t="s">
        <v>10262</v>
      </c>
      <c r="B260" s="4" t="str">
        <f>C260 &amp; " -&gt; " &amp; D260</f>
        <v>principal-communications-manager -&gt; CommunicationPolicies.ConsentRequired</v>
      </c>
      <c r="C260" s="3" t="s">
        <v>9762</v>
      </c>
      <c r="D260" s="3" t="s">
        <v>4066</v>
      </c>
      <c r="E260" s="3" t="b">
        <v>1</v>
      </c>
      <c r="F260" s="3" t="b">
        <v>0</v>
      </c>
      <c r="G260" s="3" t="s">
        <v>10003</v>
      </c>
      <c r="H260" s="4" t="str">
        <f>_xlfn.IFNA(IF(((INDEX(RulebookFields!C2:C1898, MATCH(D260,RulebookFields!A2:A1898, 0))="")=TRUE),  "",  INDEX(RulebookFields!C2:C1898, MATCH(D260,RulebookFields!A2:A1898, 0))), "")</f>
        <v>CommunicationPolicies</v>
      </c>
      <c r="I260" s="4" t="str">
        <f>_xlfn.IFNA(IF(((INDEX(RulebookFields!D2:D1898, MATCH(D260,RulebookFields!A2:A1898, 0))="")=TRUE),  "",  INDEX(RulebookFields!D2:D1898, MATCH(D260,RulebookFields!A2:A1898, 0))), "")</f>
        <v>ConsentRequired</v>
      </c>
      <c r="J260" s="4" t="b">
        <f>_xlfn.IFNA(IF(((INDEX(RulebookFields!I2:I1898, MATCH(D260,RulebookFields!A2:A1898, 0))="")=TRUE),  "",  INDEX(RulebookFields!I2:I1898, MATCH(D260,RulebookFields!A2:A1898, 0))), "")</f>
        <v>0</v>
      </c>
      <c r="K260" s="4" t="b">
        <f>AND(((F260)=TRUE), ((J260)=TRUE))</f>
        <v>0</v>
      </c>
      <c r="L260" s="4" t="b">
        <f>AND(((G260 &lt;&gt; "plain")=TRUE), ((G260 &lt;&gt; "")=TRUE))</f>
        <v>0</v>
      </c>
      <c r="M260" s="4" t="str">
        <f>IF(((E260)=TRUE),  C260 &amp; "|" &amp; H260,  "")</f>
        <v>principal-communications-manager|CommunicationPolicies</v>
      </c>
      <c r="N260" s="3" t="s">
        <v>10004</v>
      </c>
    </row>
    <row r="261">
      <c r="A261" s="3" t="s">
        <v>10263</v>
      </c>
      <c r="B261" s="4" t="str">
        <f>C261 &amp; " -&gt; " &amp; D261</f>
        <v>principal-communications-manager -&gt; CommunicationPolicies.QuietHoursStart</v>
      </c>
      <c r="C261" s="3" t="s">
        <v>9762</v>
      </c>
      <c r="D261" s="3" t="s">
        <v>4067</v>
      </c>
      <c r="E261" s="3" t="b">
        <v>1</v>
      </c>
      <c r="F261" s="3" t="b">
        <v>0</v>
      </c>
      <c r="G261" s="3" t="s">
        <v>10003</v>
      </c>
      <c r="H261" s="4" t="str">
        <f>_xlfn.IFNA(IF(((INDEX(RulebookFields!C2:C1898, MATCH(D261,RulebookFields!A2:A1898, 0))="")=TRUE),  "",  INDEX(RulebookFields!C2:C1898, MATCH(D261,RulebookFields!A2:A1898, 0))), "")</f>
        <v>CommunicationPolicies</v>
      </c>
      <c r="I261" s="4" t="str">
        <f>_xlfn.IFNA(IF(((INDEX(RulebookFields!D2:D1898, MATCH(D261,RulebookFields!A2:A1898, 0))="")=TRUE),  "",  INDEX(RulebookFields!D2:D1898, MATCH(D261,RulebookFields!A2:A1898, 0))), "")</f>
        <v>QuietHoursStart</v>
      </c>
      <c r="J261" s="4" t="b">
        <f>_xlfn.IFNA(IF(((INDEX(RulebookFields!I2:I1898, MATCH(D261,RulebookFields!A2:A1898, 0))="")=TRUE),  "",  INDEX(RulebookFields!I2:I1898, MATCH(D261,RulebookFields!A2:A1898, 0))), "")</f>
        <v>0</v>
      </c>
      <c r="K261" s="4" t="b">
        <f>AND(((F261)=TRUE), ((J261)=TRUE))</f>
        <v>0</v>
      </c>
      <c r="L261" s="4" t="b">
        <f>AND(((G261 &lt;&gt; "plain")=TRUE), ((G261 &lt;&gt; "")=TRUE))</f>
        <v>0</v>
      </c>
      <c r="M261" s="4" t="str">
        <f>IF(((E261)=TRUE),  C261 &amp; "|" &amp; H261,  "")</f>
        <v>principal-communications-manager|CommunicationPolicies</v>
      </c>
      <c r="N261" s="3" t="s">
        <v>10004</v>
      </c>
    </row>
    <row r="262">
      <c r="A262" s="3" t="s">
        <v>10264</v>
      </c>
      <c r="B262" s="4" t="str">
        <f>C262 &amp; " -&gt; " &amp; D262</f>
        <v>principal-communications-manager -&gt; CommunicationPolicies.QuietHoursEnd</v>
      </c>
      <c r="C262" s="3" t="s">
        <v>9762</v>
      </c>
      <c r="D262" s="3" t="s">
        <v>4068</v>
      </c>
      <c r="E262" s="3" t="b">
        <v>1</v>
      </c>
      <c r="F262" s="3" t="b">
        <v>0</v>
      </c>
      <c r="G262" s="3" t="s">
        <v>10003</v>
      </c>
      <c r="H262" s="4" t="str">
        <f>_xlfn.IFNA(IF(((INDEX(RulebookFields!C2:C1898, MATCH(D262,RulebookFields!A2:A1898, 0))="")=TRUE),  "",  INDEX(RulebookFields!C2:C1898, MATCH(D262,RulebookFields!A2:A1898, 0))), "")</f>
        <v>CommunicationPolicies</v>
      </c>
      <c r="I262" s="4" t="str">
        <f>_xlfn.IFNA(IF(((INDEX(RulebookFields!D2:D1898, MATCH(D262,RulebookFields!A2:A1898, 0))="")=TRUE),  "",  INDEX(RulebookFields!D2:D1898, MATCH(D262,RulebookFields!A2:A1898, 0))), "")</f>
        <v>QuietHoursEnd</v>
      </c>
      <c r="J262" s="4" t="b">
        <f>_xlfn.IFNA(IF(((INDEX(RulebookFields!I2:I1898, MATCH(D262,RulebookFields!A2:A1898, 0))="")=TRUE),  "",  INDEX(RulebookFields!I2:I1898, MATCH(D262,RulebookFields!A2:A1898, 0))), "")</f>
        <v>0</v>
      </c>
      <c r="K262" s="4" t="b">
        <f>AND(((F262)=TRUE), ((J262)=TRUE))</f>
        <v>0</v>
      </c>
      <c r="L262" s="4" t="b">
        <f>AND(((G262 &lt;&gt; "plain")=TRUE), ((G262 &lt;&gt; "")=TRUE))</f>
        <v>0</v>
      </c>
      <c r="M262" s="4" t="str">
        <f>IF(((E262)=TRUE),  C262 &amp; "|" &amp; H262,  "")</f>
        <v>principal-communications-manager|CommunicationPolicies</v>
      </c>
      <c r="N262" s="3" t="s">
        <v>10004</v>
      </c>
    </row>
    <row r="263">
      <c r="A263" s="3" t="s">
        <v>10265</v>
      </c>
      <c r="B263" s="4" t="str">
        <f>C263 &amp; " -&gt; " &amp; D263</f>
        <v>principal-communications-manager -&gt; CommunicationPolicies.MaxMessageLength</v>
      </c>
      <c r="C263" s="3" t="s">
        <v>9762</v>
      </c>
      <c r="D263" s="3" t="s">
        <v>4069</v>
      </c>
      <c r="E263" s="3" t="b">
        <v>1</v>
      </c>
      <c r="F263" s="3" t="b">
        <v>0</v>
      </c>
      <c r="G263" s="3" t="s">
        <v>10003</v>
      </c>
      <c r="H263" s="4" t="str">
        <f>_xlfn.IFNA(IF(((INDEX(RulebookFields!C2:C1898, MATCH(D263,RulebookFields!A2:A1898, 0))="")=TRUE),  "",  INDEX(RulebookFields!C2:C1898, MATCH(D263,RulebookFields!A2:A1898, 0))), "")</f>
        <v>CommunicationPolicies</v>
      </c>
      <c r="I263" s="4" t="str">
        <f>_xlfn.IFNA(IF(((INDEX(RulebookFields!D2:D1898, MATCH(D263,RulebookFields!A2:A1898, 0))="")=TRUE),  "",  INDEX(RulebookFields!D2:D1898, MATCH(D263,RulebookFields!A2:A1898, 0))), "")</f>
        <v>MaxMessageLength</v>
      </c>
      <c r="J263" s="4" t="b">
        <f>_xlfn.IFNA(IF(((INDEX(RulebookFields!I2:I1898, MATCH(D263,RulebookFields!A2:A1898, 0))="")=TRUE),  "",  INDEX(RulebookFields!I2:I1898, MATCH(D263,RulebookFields!A2:A1898, 0))), "")</f>
        <v>0</v>
      </c>
      <c r="K263" s="4" t="b">
        <f>AND(((F263)=TRUE), ((J263)=TRUE))</f>
        <v>0</v>
      </c>
      <c r="L263" s="4" t="b">
        <f>AND(((G263 &lt;&gt; "plain")=TRUE), ((G263 &lt;&gt; "")=TRUE))</f>
        <v>0</v>
      </c>
      <c r="M263" s="4" t="str">
        <f>IF(((E263)=TRUE),  C263 &amp; "|" &amp; H263,  "")</f>
        <v>principal-communications-manager|CommunicationPolicies</v>
      </c>
      <c r="N263" s="3" t="s">
        <v>10004</v>
      </c>
    </row>
    <row r="264">
      <c r="A264" s="3" t="s">
        <v>10266</v>
      </c>
      <c r="B264" s="4" t="str">
        <f>C264 &amp; " -&gt; " &amp; D264</f>
        <v>principal-communications-manager -&gt; CommunicationPolicies.MaxSegments</v>
      </c>
      <c r="C264" s="3" t="s">
        <v>9762</v>
      </c>
      <c r="D264" s="3" t="s">
        <v>4070</v>
      </c>
      <c r="E264" s="3" t="b">
        <v>1</v>
      </c>
      <c r="F264" s="3" t="b">
        <v>0</v>
      </c>
      <c r="G264" s="3" t="s">
        <v>10003</v>
      </c>
      <c r="H264" s="4" t="str">
        <f>_xlfn.IFNA(IF(((INDEX(RulebookFields!C2:C1898, MATCH(D264,RulebookFields!A2:A1898, 0))="")=TRUE),  "",  INDEX(RulebookFields!C2:C1898, MATCH(D264,RulebookFields!A2:A1898, 0))), "")</f>
        <v>CommunicationPolicies</v>
      </c>
      <c r="I264" s="4" t="str">
        <f>_xlfn.IFNA(IF(((INDEX(RulebookFields!D2:D1898, MATCH(D264,RulebookFields!A2:A1898, 0))="")=TRUE),  "",  INDEX(RulebookFields!D2:D1898, MATCH(D264,RulebookFields!A2:A1898, 0))), "")</f>
        <v>MaxSegments</v>
      </c>
      <c r="J264" s="4" t="b">
        <f>_xlfn.IFNA(IF(((INDEX(RulebookFields!I2:I1898, MATCH(D264,RulebookFields!A2:A1898, 0))="")=TRUE),  "",  INDEX(RulebookFields!I2:I1898, MATCH(D264,RulebookFields!A2:A1898, 0))), "")</f>
        <v>0</v>
      </c>
      <c r="K264" s="4" t="b">
        <f>AND(((F264)=TRUE), ((J264)=TRUE))</f>
        <v>0</v>
      </c>
      <c r="L264" s="4" t="b">
        <f>AND(((G264 &lt;&gt; "plain")=TRUE), ((G264 &lt;&gt; "")=TRUE))</f>
        <v>0</v>
      </c>
      <c r="M264" s="4" t="str">
        <f>IF(((E264)=TRUE),  C264 &amp; "|" &amp; H264,  "")</f>
        <v>principal-communications-manager|CommunicationPolicies</v>
      </c>
      <c r="N264" s="3" t="s">
        <v>10004</v>
      </c>
    </row>
    <row r="265">
      <c r="A265" s="3" t="s">
        <v>10267</v>
      </c>
      <c r="B265" s="4" t="str">
        <f>C265 &amp; " -&gt; " &amp; D265</f>
        <v>principal-communications-manager -&gt; CommunicationPolicies.RetentionDays</v>
      </c>
      <c r="C265" s="3" t="s">
        <v>9762</v>
      </c>
      <c r="D265" s="3" t="s">
        <v>4071</v>
      </c>
      <c r="E265" s="3" t="b">
        <v>1</v>
      </c>
      <c r="F265" s="3" t="b">
        <v>0</v>
      </c>
      <c r="G265" s="3" t="s">
        <v>10003</v>
      </c>
      <c r="H265" s="4" t="str">
        <f>_xlfn.IFNA(IF(((INDEX(RulebookFields!C2:C1898, MATCH(D265,RulebookFields!A2:A1898, 0))="")=TRUE),  "",  INDEX(RulebookFields!C2:C1898, MATCH(D265,RulebookFields!A2:A1898, 0))), "")</f>
        <v>CommunicationPolicies</v>
      </c>
      <c r="I265" s="4" t="str">
        <f>_xlfn.IFNA(IF(((INDEX(RulebookFields!D2:D1898, MATCH(D265,RulebookFields!A2:A1898, 0))="")=TRUE),  "",  INDEX(RulebookFields!D2:D1898, MATCH(D265,RulebookFields!A2:A1898, 0))), "")</f>
        <v>RetentionDays</v>
      </c>
      <c r="J265" s="4" t="b">
        <f>_xlfn.IFNA(IF(((INDEX(RulebookFields!I2:I1898, MATCH(D265,RulebookFields!A2:A1898, 0))="")=TRUE),  "",  INDEX(RulebookFields!I2:I1898, MATCH(D265,RulebookFields!A2:A1898, 0))), "")</f>
        <v>0</v>
      </c>
      <c r="K265" s="4" t="b">
        <f>AND(((F265)=TRUE), ((J265)=TRUE))</f>
        <v>0</v>
      </c>
      <c r="L265" s="4" t="b">
        <f>AND(((G265 &lt;&gt; "plain")=TRUE), ((G265 &lt;&gt; "")=TRUE))</f>
        <v>0</v>
      </c>
      <c r="M265" s="4" t="str">
        <f>IF(((E265)=TRUE),  C265 &amp; "|" &amp; H265,  "")</f>
        <v>principal-communications-manager|CommunicationPolicies</v>
      </c>
      <c r="N265" s="3" t="s">
        <v>10004</v>
      </c>
    </row>
    <row r="266">
      <c r="A266" s="3" t="s">
        <v>10268</v>
      </c>
      <c r="B266" s="4" t="str">
        <f>C266 &amp; " -&gt; " &amp; D266</f>
        <v>principal-communications-manager -&gt; CommunicationPolicies.ApprovalRole</v>
      </c>
      <c r="C266" s="3" t="s">
        <v>9762</v>
      </c>
      <c r="D266" s="3" t="s">
        <v>4072</v>
      </c>
      <c r="E266" s="3" t="b">
        <v>1</v>
      </c>
      <c r="F266" s="3" t="b">
        <v>0</v>
      </c>
      <c r="G266" s="3" t="s">
        <v>10003</v>
      </c>
      <c r="H266" s="4" t="str">
        <f>_xlfn.IFNA(IF(((INDEX(RulebookFields!C2:C1898, MATCH(D266,RulebookFields!A2:A1898, 0))="")=TRUE),  "",  INDEX(RulebookFields!C2:C1898, MATCH(D266,RulebookFields!A2:A1898, 0))), "")</f>
        <v>CommunicationPolicies</v>
      </c>
      <c r="I266" s="4" t="str">
        <f>_xlfn.IFNA(IF(((INDEX(RulebookFields!D2:D1898, MATCH(D266,RulebookFields!A2:A1898, 0))="")=TRUE),  "",  INDEX(RulebookFields!D2:D1898, MATCH(D266,RulebookFields!A2:A1898, 0))), "")</f>
        <v>ApprovalRole</v>
      </c>
      <c r="J266" s="4" t="b">
        <f>_xlfn.IFNA(IF(((INDEX(RulebookFields!I2:I1898, MATCH(D266,RulebookFields!A2:A1898, 0))="")=TRUE),  "",  INDEX(RulebookFields!I2:I1898, MATCH(D266,RulebookFields!A2:A1898, 0))), "")</f>
        <v>0</v>
      </c>
      <c r="K266" s="4" t="b">
        <f>AND(((F266)=TRUE), ((J266)=TRUE))</f>
        <v>0</v>
      </c>
      <c r="L266" s="4" t="b">
        <f>AND(((G266 &lt;&gt; "plain")=TRUE), ((G266 &lt;&gt; "")=TRUE))</f>
        <v>0</v>
      </c>
      <c r="M266" s="4" t="str">
        <f>IF(((E266)=TRUE),  C266 &amp; "|" &amp; H266,  "")</f>
        <v>principal-communications-manager|CommunicationPolicies</v>
      </c>
      <c r="N266" s="3" t="s">
        <v>10004</v>
      </c>
    </row>
    <row r="267">
      <c r="A267" s="3" t="s">
        <v>10269</v>
      </c>
      <c r="B267" s="4" t="str">
        <f>C267 &amp; " -&gt; " &amp; D267</f>
        <v>principal-communications-manager -&gt; CommunicationPolicies.RequiredContent</v>
      </c>
      <c r="C267" s="3" t="s">
        <v>9762</v>
      </c>
      <c r="D267" s="3" t="s">
        <v>4073</v>
      </c>
      <c r="E267" s="3" t="b">
        <v>1</v>
      </c>
      <c r="F267" s="3" t="b">
        <v>0</v>
      </c>
      <c r="G267" s="3" t="s">
        <v>10003</v>
      </c>
      <c r="H267" s="4" t="str">
        <f>_xlfn.IFNA(IF(((INDEX(RulebookFields!C2:C1898, MATCH(D267,RulebookFields!A2:A1898, 0))="")=TRUE),  "",  INDEX(RulebookFields!C2:C1898, MATCH(D267,RulebookFields!A2:A1898, 0))), "")</f>
        <v>CommunicationPolicies</v>
      </c>
      <c r="I267" s="4" t="str">
        <f>_xlfn.IFNA(IF(((INDEX(RulebookFields!D2:D1898, MATCH(D267,RulebookFields!A2:A1898, 0))="")=TRUE),  "",  INDEX(RulebookFields!D2:D1898, MATCH(D267,RulebookFields!A2:A1898, 0))), "")</f>
        <v>RequiredContent</v>
      </c>
      <c r="J267" s="4" t="b">
        <f>_xlfn.IFNA(IF(((INDEX(RulebookFields!I2:I1898, MATCH(D267,RulebookFields!A2:A1898, 0))="")=TRUE),  "",  INDEX(RulebookFields!I2:I1898, MATCH(D267,RulebookFields!A2:A1898, 0))), "")</f>
        <v>0</v>
      </c>
      <c r="K267" s="4" t="b">
        <f>AND(((F267)=TRUE), ((J267)=TRUE))</f>
        <v>0</v>
      </c>
      <c r="L267" s="4" t="b">
        <f>AND(((G267 &lt;&gt; "plain")=TRUE), ((G267 &lt;&gt; "")=TRUE))</f>
        <v>0</v>
      </c>
      <c r="M267" s="4" t="str">
        <f>IF(((E267)=TRUE),  C267 &amp; "|" &amp; H267,  "")</f>
        <v>principal-communications-manager|CommunicationPolicies</v>
      </c>
      <c r="N267" s="3" t="s">
        <v>10004</v>
      </c>
    </row>
    <row r="268">
      <c r="A268" s="3" t="s">
        <v>10270</v>
      </c>
      <c r="B268" s="4" t="str">
        <f>C268 &amp; " -&gt; " &amp; D268</f>
        <v>principal-communications-manager -&gt; CommunicationPolicies.AuthorityStatement</v>
      </c>
      <c r="C268" s="3" t="s">
        <v>9762</v>
      </c>
      <c r="D268" s="3" t="s">
        <v>4074</v>
      </c>
      <c r="E268" s="3" t="b">
        <v>1</v>
      </c>
      <c r="F268" s="3" t="b">
        <v>0</v>
      </c>
      <c r="G268" s="3" t="s">
        <v>10003</v>
      </c>
      <c r="H268" s="4" t="str">
        <f>_xlfn.IFNA(IF(((INDEX(RulebookFields!C2:C1898, MATCH(D268,RulebookFields!A2:A1898, 0))="")=TRUE),  "",  INDEX(RulebookFields!C2:C1898, MATCH(D268,RulebookFields!A2:A1898, 0))), "")</f>
        <v>CommunicationPolicies</v>
      </c>
      <c r="I268" s="4" t="str">
        <f>_xlfn.IFNA(IF(((INDEX(RulebookFields!D2:D1898, MATCH(D268,RulebookFields!A2:A1898, 0))="")=TRUE),  "",  INDEX(RulebookFields!D2:D1898, MATCH(D268,RulebookFields!A2:A1898, 0))), "")</f>
        <v>AuthorityStatement</v>
      </c>
      <c r="J268" s="4" t="b">
        <f>_xlfn.IFNA(IF(((INDEX(RulebookFields!I2:I1898, MATCH(D268,RulebookFields!A2:A1898, 0))="")=TRUE),  "",  INDEX(RulebookFields!I2:I1898, MATCH(D268,RulebookFields!A2:A1898, 0))), "")</f>
        <v>0</v>
      </c>
      <c r="K268" s="4" t="b">
        <f>AND(((F268)=TRUE), ((J268)=TRUE))</f>
        <v>0</v>
      </c>
      <c r="L268" s="4" t="b">
        <f>AND(((G268 &lt;&gt; "plain")=TRUE), ((G268 &lt;&gt; "")=TRUE))</f>
        <v>0</v>
      </c>
      <c r="M268" s="4" t="str">
        <f>IF(((E268)=TRUE),  C268 &amp; "|" &amp; H268,  "")</f>
        <v>principal-communications-manager|CommunicationPolicies</v>
      </c>
      <c r="N268" s="3" t="s">
        <v>10004</v>
      </c>
    </row>
    <row r="269">
      <c r="A269" s="3" t="s">
        <v>10271</v>
      </c>
      <c r="B269" s="4" t="str">
        <f>C269 &amp; " -&gt; " &amp; D269</f>
        <v>principal-communications-manager -&gt; CommunicationPolicies.Status</v>
      </c>
      <c r="C269" s="3" t="s">
        <v>9762</v>
      </c>
      <c r="D269" s="3" t="s">
        <v>4075</v>
      </c>
      <c r="E269" s="3" t="b">
        <v>1</v>
      </c>
      <c r="F269" s="3" t="b">
        <v>0</v>
      </c>
      <c r="G269" s="3" t="s">
        <v>10003</v>
      </c>
      <c r="H269" s="4" t="str">
        <f>_xlfn.IFNA(IF(((INDEX(RulebookFields!C2:C1898, MATCH(D269,RulebookFields!A2:A1898, 0))="")=TRUE),  "",  INDEX(RulebookFields!C2:C1898, MATCH(D269,RulebookFields!A2:A1898, 0))), "")</f>
        <v>CommunicationPolicies</v>
      </c>
      <c r="I269" s="4" t="str">
        <f>_xlfn.IFNA(IF(((INDEX(RulebookFields!D2:D1898, MATCH(D269,RulebookFields!A2:A1898, 0))="")=TRUE),  "",  INDEX(RulebookFields!D2:D1898, MATCH(D269,RulebookFields!A2:A1898, 0))), "")</f>
        <v>Status</v>
      </c>
      <c r="J269" s="4" t="b">
        <f>_xlfn.IFNA(IF(((INDEX(RulebookFields!I2:I1898, MATCH(D269,RulebookFields!A2:A1898, 0))="")=TRUE),  "",  INDEX(RulebookFields!I2:I1898, MATCH(D269,RulebookFields!A2:A1898, 0))), "")</f>
        <v>0</v>
      </c>
      <c r="K269" s="4" t="b">
        <f>AND(((F269)=TRUE), ((J269)=TRUE))</f>
        <v>0</v>
      </c>
      <c r="L269" s="4" t="b">
        <f>AND(((G269 &lt;&gt; "plain")=TRUE), ((G269 &lt;&gt; "")=TRUE))</f>
        <v>0</v>
      </c>
      <c r="M269" s="4" t="str">
        <f>IF(((E269)=TRUE),  C269 &amp; "|" &amp; H269,  "")</f>
        <v>principal-communications-manager|CommunicationPolicies</v>
      </c>
      <c r="N269" s="3" t="s">
        <v>10004</v>
      </c>
    </row>
    <row r="270">
      <c r="A270" s="3" t="s">
        <v>10272</v>
      </c>
      <c r="B270" s="4" t="str">
        <f>C270 &amp; " -&gt; " &amp; D270</f>
        <v>principal-communications-manager -&gt; CommunicationPolicies.ConsentViolationCount</v>
      </c>
      <c r="C270" s="3" t="s">
        <v>9762</v>
      </c>
      <c r="D270" s="3" t="s">
        <v>4076</v>
      </c>
      <c r="E270" s="3" t="b">
        <v>1</v>
      </c>
      <c r="F270" s="3" t="b">
        <v>0</v>
      </c>
      <c r="G270" s="3" t="s">
        <v>10003</v>
      </c>
      <c r="H270" s="4" t="str">
        <f>_xlfn.IFNA(IF(((INDEX(RulebookFields!C2:C1898, MATCH(D270,RulebookFields!A2:A1898, 0))="")=TRUE),  "",  INDEX(RulebookFields!C2:C1898, MATCH(D270,RulebookFields!A2:A1898, 0))), "")</f>
        <v>CommunicationPolicies</v>
      </c>
      <c r="I270" s="4" t="str">
        <f>_xlfn.IFNA(IF(((INDEX(RulebookFields!D2:D1898, MATCH(D270,RulebookFields!A2:A1898, 0))="")=TRUE),  "",  INDEX(RulebookFields!D2:D1898, MATCH(D270,RulebookFields!A2:A1898, 0))), "")</f>
        <v>ConsentViolationCount</v>
      </c>
      <c r="J270" s="4" t="b">
        <f>_xlfn.IFNA(IF(((INDEX(RulebookFields!I2:I1898, MATCH(D270,RulebookFields!A2:A1898, 0))="")=TRUE),  "",  INDEX(RulebookFields!I2:I1898, MATCH(D270,RulebookFields!A2:A1898, 0))), "")</f>
        <v>1</v>
      </c>
      <c r="K270" s="4" t="b">
        <f>AND(((F270)=TRUE), ((J270)=TRUE))</f>
        <v>0</v>
      </c>
      <c r="L270" s="4" t="b">
        <f>AND(((G270 &lt;&gt; "plain")=TRUE), ((G270 &lt;&gt; "")=TRUE))</f>
        <v>0</v>
      </c>
      <c r="M270" s="4" t="str">
        <f>IF(((E270)=TRUE),  C270 &amp; "|" &amp; H270,  "")</f>
        <v>principal-communications-manager|CommunicationPolicies</v>
      </c>
      <c r="N270" s="3" t="s">
        <v>10004</v>
      </c>
    </row>
    <row r="271">
      <c r="A271" s="3" t="s">
        <v>10273</v>
      </c>
      <c r="B271" s="4" t="str">
        <f>C271 &amp; " -&gt; " &amp; D271</f>
        <v>principal-communications-manager -&gt; CommunicationPolicies.QuietHoursStartHour</v>
      </c>
      <c r="C271" s="3" t="s">
        <v>9762</v>
      </c>
      <c r="D271" s="3" t="s">
        <v>4078</v>
      </c>
      <c r="E271" s="3" t="b">
        <v>1</v>
      </c>
      <c r="F271" s="3" t="b">
        <v>0</v>
      </c>
      <c r="G271" s="3" t="s">
        <v>10003</v>
      </c>
      <c r="H271" s="4" t="str">
        <f>_xlfn.IFNA(IF(((INDEX(RulebookFields!C2:C1898, MATCH(D271,RulebookFields!A2:A1898, 0))="")=TRUE),  "",  INDEX(RulebookFields!C2:C1898, MATCH(D271,RulebookFields!A2:A1898, 0))), "")</f>
        <v>CommunicationPolicies</v>
      </c>
      <c r="I271" s="4" t="str">
        <f>_xlfn.IFNA(IF(((INDEX(RulebookFields!D2:D1898, MATCH(D271,RulebookFields!A2:A1898, 0))="")=TRUE),  "",  INDEX(RulebookFields!D2:D1898, MATCH(D271,RulebookFields!A2:A1898, 0))), "")</f>
        <v>QuietHoursStartHour</v>
      </c>
      <c r="J271" s="4" t="b">
        <f>_xlfn.IFNA(IF(((INDEX(RulebookFields!I2:I1898, MATCH(D271,RulebookFields!A2:A1898, 0))="")=TRUE),  "",  INDEX(RulebookFields!I2:I1898, MATCH(D271,RulebookFields!A2:A1898, 0))), "")</f>
        <v>0</v>
      </c>
      <c r="K271" s="4" t="b">
        <f>AND(((F271)=TRUE), ((J271)=TRUE))</f>
        <v>0</v>
      </c>
      <c r="L271" s="4" t="b">
        <f>AND(((G271 &lt;&gt; "plain")=TRUE), ((G271 &lt;&gt; "")=TRUE))</f>
        <v>0</v>
      </c>
      <c r="M271" s="4" t="str">
        <f>IF(((E271)=TRUE),  C271 &amp; "|" &amp; H271,  "")</f>
        <v>principal-communications-manager|CommunicationPolicies</v>
      </c>
      <c r="N271" s="3" t="s">
        <v>10004</v>
      </c>
    </row>
    <row r="272">
      <c r="A272" s="3" t="s">
        <v>10274</v>
      </c>
      <c r="B272" s="4" t="str">
        <f>C272 &amp; " -&gt; " &amp; D272</f>
        <v>principal-communications-manager -&gt; CommunicationPolicies.QuietHoursEndHour</v>
      </c>
      <c r="C272" s="3" t="s">
        <v>9762</v>
      </c>
      <c r="D272" s="3" t="s">
        <v>4079</v>
      </c>
      <c r="E272" s="3" t="b">
        <v>1</v>
      </c>
      <c r="F272" s="3" t="b">
        <v>0</v>
      </c>
      <c r="G272" s="3" t="s">
        <v>10003</v>
      </c>
      <c r="H272" s="4" t="str">
        <f>_xlfn.IFNA(IF(((INDEX(RulebookFields!C2:C1898, MATCH(D272,RulebookFields!A2:A1898, 0))="")=TRUE),  "",  INDEX(RulebookFields!C2:C1898, MATCH(D272,RulebookFields!A2:A1898, 0))), "")</f>
        <v>CommunicationPolicies</v>
      </c>
      <c r="I272" s="4" t="str">
        <f>_xlfn.IFNA(IF(((INDEX(RulebookFields!D2:D1898, MATCH(D272,RulebookFields!A2:A1898, 0))="")=TRUE),  "",  INDEX(RulebookFields!D2:D1898, MATCH(D272,RulebookFields!A2:A1898, 0))), "")</f>
        <v>QuietHoursEndHour</v>
      </c>
      <c r="J272" s="4" t="b">
        <f>_xlfn.IFNA(IF(((INDEX(RulebookFields!I2:I1898, MATCH(D272,RulebookFields!A2:A1898, 0))="")=TRUE),  "",  INDEX(RulebookFields!I2:I1898, MATCH(D272,RulebookFields!A2:A1898, 0))), "")</f>
        <v>0</v>
      </c>
      <c r="K272" s="4" t="b">
        <f>AND(((F272)=TRUE), ((J272)=TRUE))</f>
        <v>0</v>
      </c>
      <c r="L272" s="4" t="b">
        <f>AND(((G272 &lt;&gt; "plain")=TRUE), ((G272 &lt;&gt; "")=TRUE))</f>
        <v>0</v>
      </c>
      <c r="M272" s="4" t="str">
        <f>IF(((E272)=TRUE),  C272 &amp; "|" &amp; H272,  "")</f>
        <v>principal-communications-manager|CommunicationPolicies</v>
      </c>
      <c r="N272" s="3" t="s">
        <v>10004</v>
      </c>
    </row>
    <row r="273">
      <c r="A273" s="3" t="s">
        <v>10275</v>
      </c>
      <c r="B273" s="4" t="str">
        <f>C273 &amp; " -&gt; " &amp; D273</f>
        <v>principal-communications-manager -&gt; CommunicationPolicies.QuietHoursViolationCount</v>
      </c>
      <c r="C273" s="3" t="s">
        <v>9762</v>
      </c>
      <c r="D273" s="3" t="s">
        <v>4080</v>
      </c>
      <c r="E273" s="3" t="b">
        <v>1</v>
      </c>
      <c r="F273" s="3" t="b">
        <v>0</v>
      </c>
      <c r="G273" s="3" t="s">
        <v>10003</v>
      </c>
      <c r="H273" s="4" t="str">
        <f>_xlfn.IFNA(IF(((INDEX(RulebookFields!C2:C1898, MATCH(D273,RulebookFields!A2:A1898, 0))="")=TRUE),  "",  INDEX(RulebookFields!C2:C1898, MATCH(D273,RulebookFields!A2:A1898, 0))), "")</f>
        <v>CommunicationPolicies</v>
      </c>
      <c r="I273" s="4" t="str">
        <f>_xlfn.IFNA(IF(((INDEX(RulebookFields!D2:D1898, MATCH(D273,RulebookFields!A2:A1898, 0))="")=TRUE),  "",  INDEX(RulebookFields!D2:D1898, MATCH(D273,RulebookFields!A2:A1898, 0))), "")</f>
        <v>QuietHoursViolationCount</v>
      </c>
      <c r="J273" s="4" t="b">
        <f>_xlfn.IFNA(IF(((INDEX(RulebookFields!I2:I1898, MATCH(D273,RulebookFields!A2:A1898, 0))="")=TRUE),  "",  INDEX(RulebookFields!I2:I1898, MATCH(D273,RulebookFields!A2:A1898, 0))), "")</f>
        <v>1</v>
      </c>
      <c r="K273" s="4" t="b">
        <f>AND(((F273)=TRUE), ((J273)=TRUE))</f>
        <v>0</v>
      </c>
      <c r="L273" s="4" t="b">
        <f>AND(((G273 &lt;&gt; "plain")=TRUE), ((G273 &lt;&gt; "")=TRUE))</f>
        <v>0</v>
      </c>
      <c r="M273" s="4" t="str">
        <f>IF(((E273)=TRUE),  C273 &amp; "|" &amp; H273,  "")</f>
        <v>principal-communications-manager|CommunicationPolicies</v>
      </c>
      <c r="N273" s="3" t="s">
        <v>10004</v>
      </c>
    </row>
    <row r="274">
      <c r="A274" s="3" t="s">
        <v>10276</v>
      </c>
      <c r="B274" s="4" t="str">
        <f>C274 &amp; " -&gt; " &amp; D274</f>
        <v>principal-communications-manager -&gt; CommunicationPolicies.RequiredOptOutPhrase</v>
      </c>
      <c r="C274" s="3" t="s">
        <v>9762</v>
      </c>
      <c r="D274" s="3" t="s">
        <v>4082</v>
      </c>
      <c r="E274" s="3" t="b">
        <v>1</v>
      </c>
      <c r="F274" s="3" t="b">
        <v>0</v>
      </c>
      <c r="G274" s="3" t="s">
        <v>10003</v>
      </c>
      <c r="H274" s="4" t="str">
        <f>_xlfn.IFNA(IF(((INDEX(RulebookFields!C2:C1898, MATCH(D274,RulebookFields!A2:A1898, 0))="")=TRUE),  "",  INDEX(RulebookFields!C2:C1898, MATCH(D274,RulebookFields!A2:A1898, 0))), "")</f>
        <v>CommunicationPolicies</v>
      </c>
      <c r="I274" s="4" t="str">
        <f>_xlfn.IFNA(IF(((INDEX(RulebookFields!D2:D1898, MATCH(D274,RulebookFields!A2:A1898, 0))="")=TRUE),  "",  INDEX(RulebookFields!D2:D1898, MATCH(D274,RulebookFields!A2:A1898, 0))), "")</f>
        <v>RequiredOptOutPhrase</v>
      </c>
      <c r="J274" s="4" t="b">
        <f>_xlfn.IFNA(IF(((INDEX(RulebookFields!I2:I1898, MATCH(D274,RulebookFields!A2:A1898, 0))="")=TRUE),  "",  INDEX(RulebookFields!I2:I1898, MATCH(D274,RulebookFields!A2:A1898, 0))), "")</f>
        <v>0</v>
      </c>
      <c r="K274" s="4" t="b">
        <f>AND(((F274)=TRUE), ((J274)=TRUE))</f>
        <v>0</v>
      </c>
      <c r="L274" s="4" t="b">
        <f>AND(((G274 &lt;&gt; "plain")=TRUE), ((G274 &lt;&gt; "")=TRUE))</f>
        <v>0</v>
      </c>
      <c r="M274" s="4" t="str">
        <f>IF(((E274)=TRUE),  C274 &amp; "|" &amp; H274,  "")</f>
        <v>principal-communications-manager|CommunicationPolicies</v>
      </c>
      <c r="N274" s="3" t="s">
        <v>10004</v>
      </c>
    </row>
    <row r="275">
      <c r="A275" s="3" t="s">
        <v>10277</v>
      </c>
      <c r="B275" s="4" t="str">
        <f>C275 &amp; " -&gt; " &amp; D275</f>
        <v>principal-communications-manager -&gt; CommunicationPolicies.IsActivePolicy</v>
      </c>
      <c r="C275" s="3" t="s">
        <v>9762</v>
      </c>
      <c r="D275" s="3" t="s">
        <v>4083</v>
      </c>
      <c r="E275" s="3" t="b">
        <v>1</v>
      </c>
      <c r="F275" s="3" t="b">
        <v>0</v>
      </c>
      <c r="G275" s="3" t="s">
        <v>10003</v>
      </c>
      <c r="H275" s="4" t="str">
        <f>_xlfn.IFNA(IF(((INDEX(RulebookFields!C2:C1898, MATCH(D275,RulebookFields!A2:A1898, 0))="")=TRUE),  "",  INDEX(RulebookFields!C2:C1898, MATCH(D275,RulebookFields!A2:A1898, 0))), "")</f>
        <v>CommunicationPolicies</v>
      </c>
      <c r="I275" s="4" t="str">
        <f>_xlfn.IFNA(IF(((INDEX(RulebookFields!D2:D1898, MATCH(D275,RulebookFields!A2:A1898, 0))="")=TRUE),  "",  INDEX(RulebookFields!D2:D1898, MATCH(D275,RulebookFields!A2:A1898, 0))), "")</f>
        <v>IsActivePolicy</v>
      </c>
      <c r="J275" s="4" t="b">
        <f>_xlfn.IFNA(IF(((INDEX(RulebookFields!I2:I1898, MATCH(D275,RulebookFields!A2:A1898, 0))="")=TRUE),  "",  INDEX(RulebookFields!I2:I1898, MATCH(D275,RulebookFields!A2:A1898, 0))), "")</f>
        <v>1</v>
      </c>
      <c r="K275" s="4" t="b">
        <f>AND(((F275)=TRUE), ((J275)=TRUE))</f>
        <v>0</v>
      </c>
      <c r="L275" s="4" t="b">
        <f>AND(((G275 &lt;&gt; "plain")=TRUE), ((G275 &lt;&gt; "")=TRUE))</f>
        <v>0</v>
      </c>
      <c r="M275" s="4" t="str">
        <f>IF(((E275)=TRUE),  C275 &amp; "|" &amp; H275,  "")</f>
        <v>principal-communications-manager|CommunicationPolicies</v>
      </c>
      <c r="N275" s="3" t="s">
        <v>10004</v>
      </c>
    </row>
    <row r="276">
      <c r="A276" s="3" t="s">
        <v>10278</v>
      </c>
      <c r="B276" s="4" t="str">
        <f>C276 &amp; " -&gt; " &amp; D276</f>
        <v>principal-communications-manager -&gt; CommunicationPolicies.SemanticTypeIri</v>
      </c>
      <c r="C276" s="3" t="s">
        <v>9762</v>
      </c>
      <c r="D276" s="3" t="s">
        <v>4085</v>
      </c>
      <c r="E276" s="3" t="b">
        <v>1</v>
      </c>
      <c r="F276" s="3" t="b">
        <v>0</v>
      </c>
      <c r="G276" s="3" t="s">
        <v>10003</v>
      </c>
      <c r="H276" s="4" t="str">
        <f>_xlfn.IFNA(IF(((INDEX(RulebookFields!C2:C1898, MATCH(D276,RulebookFields!A2:A1898, 0))="")=TRUE),  "",  INDEX(RulebookFields!C2:C1898, MATCH(D276,RulebookFields!A2:A1898, 0))), "")</f>
        <v>CommunicationPolicies</v>
      </c>
      <c r="I276" s="4" t="str">
        <f>_xlfn.IFNA(IF(((INDEX(RulebookFields!D2:D1898, MATCH(D276,RulebookFields!A2:A1898, 0))="")=TRUE),  "",  INDEX(RulebookFields!D2:D1898, MATCH(D276,RulebookFields!A2:A1898, 0))), "")</f>
        <v>SemanticTypeIri</v>
      </c>
      <c r="J276" s="4" t="b">
        <f>_xlfn.IFNA(IF(((INDEX(RulebookFields!I2:I1898, MATCH(D276,RulebookFields!A2:A1898, 0))="")=TRUE),  "",  INDEX(RulebookFields!I2:I1898, MATCH(D276,RulebookFields!A2:A1898, 0))), "")</f>
        <v>0</v>
      </c>
      <c r="K276" s="4" t="b">
        <f>AND(((F276)=TRUE), ((J276)=TRUE))</f>
        <v>0</v>
      </c>
      <c r="L276" s="4" t="b">
        <f>AND(((G276 &lt;&gt; "plain")=TRUE), ((G276 &lt;&gt; "")=TRUE))</f>
        <v>0</v>
      </c>
      <c r="M276" s="4" t="str">
        <f>IF(((E276)=TRUE),  C276 &amp; "|" &amp; H276,  "")</f>
        <v>principal-communications-manager|CommunicationPolicies</v>
      </c>
      <c r="N276" s="3" t="s">
        <v>10004</v>
      </c>
    </row>
    <row r="277">
      <c r="A277" s="3" t="s">
        <v>10279</v>
      </c>
      <c r="B277" s="4" t="str">
        <f>C277 &amp; " -&gt; " &amp; D277</f>
        <v>principal-communications-manager -&gt; MessageTemplates.MessageTemplateId</v>
      </c>
      <c r="C277" s="3" t="s">
        <v>9762</v>
      </c>
      <c r="D277" s="3" t="s">
        <v>4086</v>
      </c>
      <c r="E277" s="3" t="b">
        <v>1</v>
      </c>
      <c r="F277" s="3" t="b">
        <v>0</v>
      </c>
      <c r="G277" s="3" t="s">
        <v>10003</v>
      </c>
      <c r="H277" s="4" t="str">
        <f>_xlfn.IFNA(IF(((INDEX(RulebookFields!C2:C1898, MATCH(D277,RulebookFields!A2:A1898, 0))="")=TRUE),  "",  INDEX(RulebookFields!C2:C1898, MATCH(D277,RulebookFields!A2:A1898, 0))), "")</f>
        <v>MessageTemplates</v>
      </c>
      <c r="I277" s="4" t="str">
        <f>_xlfn.IFNA(IF(((INDEX(RulebookFields!D2:D1898, MATCH(D277,RulebookFields!A2:A1898, 0))="")=TRUE),  "",  INDEX(RulebookFields!D2:D1898, MATCH(D277,RulebookFields!A2:A1898, 0))), "")</f>
        <v>MessageTemplateId</v>
      </c>
      <c r="J277" s="4" t="b">
        <f>_xlfn.IFNA(IF(((INDEX(RulebookFields!I2:I1898, MATCH(D277,RulebookFields!A2:A1898, 0))="")=TRUE),  "",  INDEX(RulebookFields!I2:I1898, MATCH(D277,RulebookFields!A2:A1898, 0))), "")</f>
        <v>0</v>
      </c>
      <c r="K277" s="4" t="b">
        <f>AND(((F277)=TRUE), ((J277)=TRUE))</f>
        <v>0</v>
      </c>
      <c r="L277" s="4" t="b">
        <f>AND(((G277 &lt;&gt; "plain")=TRUE), ((G277 &lt;&gt; "")=TRUE))</f>
        <v>0</v>
      </c>
      <c r="M277" s="4" t="str">
        <f>IF(((E277)=TRUE),  C277 &amp; "|" &amp; H277,  "")</f>
        <v>principal-communications-manager|MessageTemplates</v>
      </c>
      <c r="N277" s="3" t="s">
        <v>10004</v>
      </c>
    </row>
    <row r="278">
      <c r="A278" s="3" t="s">
        <v>10280</v>
      </c>
      <c r="B278" s="4" t="str">
        <f>C278 &amp; " -&gt; " &amp; D278</f>
        <v>principal-communications-manager -&gt; MessageTemplates.SubjectTemplate</v>
      </c>
      <c r="C278" s="3" t="s">
        <v>9762</v>
      </c>
      <c r="D278" s="3" t="s">
        <v>4092</v>
      </c>
      <c r="E278" s="3" t="b">
        <v>1</v>
      </c>
      <c r="F278" s="3" t="b">
        <v>0</v>
      </c>
      <c r="G278" s="3" t="s">
        <v>10003</v>
      </c>
      <c r="H278" s="4" t="str">
        <f>_xlfn.IFNA(IF(((INDEX(RulebookFields!C2:C1898, MATCH(D278,RulebookFields!A2:A1898, 0))="")=TRUE),  "",  INDEX(RulebookFields!C2:C1898, MATCH(D278,RulebookFields!A2:A1898, 0))), "")</f>
        <v>MessageTemplates</v>
      </c>
      <c r="I278" s="4" t="str">
        <f>_xlfn.IFNA(IF(((INDEX(RulebookFields!D2:D1898, MATCH(D278,RulebookFields!A2:A1898, 0))="")=TRUE),  "",  INDEX(RulebookFields!D2:D1898, MATCH(D278,RulebookFields!A2:A1898, 0))), "")</f>
        <v>SubjectTemplate</v>
      </c>
      <c r="J278" s="4" t="b">
        <f>_xlfn.IFNA(IF(((INDEX(RulebookFields!I2:I1898, MATCH(D278,RulebookFields!A2:A1898, 0))="")=TRUE),  "",  INDEX(RulebookFields!I2:I1898, MATCH(D278,RulebookFields!A2:A1898, 0))), "")</f>
        <v>0</v>
      </c>
      <c r="K278" s="4" t="b">
        <f>AND(((F278)=TRUE), ((J278)=TRUE))</f>
        <v>0</v>
      </c>
      <c r="L278" s="4" t="b">
        <f>AND(((G278 &lt;&gt; "plain")=TRUE), ((G278 &lt;&gt; "")=TRUE))</f>
        <v>0</v>
      </c>
      <c r="M278" s="4" t="str">
        <f>IF(((E278)=TRUE),  C278 &amp; "|" &amp; H278,  "")</f>
        <v>principal-communications-manager|MessageTemplates</v>
      </c>
      <c r="N278" s="3" t="s">
        <v>10004</v>
      </c>
    </row>
    <row r="279">
      <c r="A279" s="3" t="s">
        <v>10281</v>
      </c>
      <c r="B279" s="4" t="str">
        <f>C279 &amp; " -&gt; " &amp; D279</f>
        <v>principal-communications-manager -&gt; MessageTemplates.BodyTemplate</v>
      </c>
      <c r="C279" s="3" t="s">
        <v>9762</v>
      </c>
      <c r="D279" s="3" t="s">
        <v>4093</v>
      </c>
      <c r="E279" s="3" t="b">
        <v>1</v>
      </c>
      <c r="F279" s="3" t="b">
        <v>0</v>
      </c>
      <c r="G279" s="3" t="s">
        <v>10003</v>
      </c>
      <c r="H279" s="4" t="str">
        <f>_xlfn.IFNA(IF(((INDEX(RulebookFields!C2:C1898, MATCH(D279,RulebookFields!A2:A1898, 0))="")=TRUE),  "",  INDEX(RulebookFields!C2:C1898, MATCH(D279,RulebookFields!A2:A1898, 0))), "")</f>
        <v>MessageTemplates</v>
      </c>
      <c r="I279" s="4" t="str">
        <f>_xlfn.IFNA(IF(((INDEX(RulebookFields!D2:D1898, MATCH(D279,RulebookFields!A2:A1898, 0))="")=TRUE),  "",  INDEX(RulebookFields!D2:D1898, MATCH(D279,RulebookFields!A2:A1898, 0))), "")</f>
        <v>BodyTemplate</v>
      </c>
      <c r="J279" s="4" t="b">
        <f>_xlfn.IFNA(IF(((INDEX(RulebookFields!I2:I1898, MATCH(D279,RulebookFields!A2:A1898, 0))="")=TRUE),  "",  INDEX(RulebookFields!I2:I1898, MATCH(D279,RulebookFields!A2:A1898, 0))), "")</f>
        <v>0</v>
      </c>
      <c r="K279" s="4" t="b">
        <f>AND(((F279)=TRUE), ((J279)=TRUE))</f>
        <v>0</v>
      </c>
      <c r="L279" s="4" t="b">
        <f>AND(((G279 &lt;&gt; "plain")=TRUE), ((G279 &lt;&gt; "")=TRUE))</f>
        <v>0</v>
      </c>
      <c r="M279" s="4" t="str">
        <f>IF(((E279)=TRUE),  C279 &amp; "|" &amp; H279,  "")</f>
        <v>principal-communications-manager|MessageTemplates</v>
      </c>
      <c r="N279" s="3" t="s">
        <v>10004</v>
      </c>
    </row>
    <row r="280">
      <c r="A280" s="3" t="s">
        <v>10282</v>
      </c>
      <c r="B280" s="4" t="str">
        <f>C280 &amp; " -&gt; " &amp; D280</f>
        <v>principal-communications-manager -&gt; MessageTemplates.Locale</v>
      </c>
      <c r="C280" s="3" t="s">
        <v>9762</v>
      </c>
      <c r="D280" s="3" t="s">
        <v>4094</v>
      </c>
      <c r="E280" s="3" t="b">
        <v>1</v>
      </c>
      <c r="F280" s="3" t="b">
        <v>0</v>
      </c>
      <c r="G280" s="3" t="s">
        <v>10003</v>
      </c>
      <c r="H280" s="4" t="str">
        <f>_xlfn.IFNA(IF(((INDEX(RulebookFields!C2:C1898, MATCH(D280,RulebookFields!A2:A1898, 0))="")=TRUE),  "",  INDEX(RulebookFields!C2:C1898, MATCH(D280,RulebookFields!A2:A1898, 0))), "")</f>
        <v>MessageTemplates</v>
      </c>
      <c r="I280" s="4" t="str">
        <f>_xlfn.IFNA(IF(((INDEX(RulebookFields!D2:D1898, MATCH(D280,RulebookFields!A2:A1898, 0))="")=TRUE),  "",  INDEX(RulebookFields!D2:D1898, MATCH(D280,RulebookFields!A2:A1898, 0))), "")</f>
        <v>Locale</v>
      </c>
      <c r="J280" s="4" t="b">
        <f>_xlfn.IFNA(IF(((INDEX(RulebookFields!I2:I1898, MATCH(D280,RulebookFields!A2:A1898, 0))="")=TRUE),  "",  INDEX(RulebookFields!I2:I1898, MATCH(D280,RulebookFields!A2:A1898, 0))), "")</f>
        <v>0</v>
      </c>
      <c r="K280" s="4" t="b">
        <f>AND(((F280)=TRUE), ((J280)=TRUE))</f>
        <v>0</v>
      </c>
      <c r="L280" s="4" t="b">
        <f>AND(((G280 &lt;&gt; "plain")=TRUE), ((G280 &lt;&gt; "")=TRUE))</f>
        <v>0</v>
      </c>
      <c r="M280" s="4" t="str">
        <f>IF(((E280)=TRUE),  C280 &amp; "|" &amp; H280,  "")</f>
        <v>principal-communications-manager|MessageTemplates</v>
      </c>
      <c r="N280" s="3" t="s">
        <v>10004</v>
      </c>
    </row>
    <row r="281">
      <c r="A281" s="3" t="s">
        <v>10283</v>
      </c>
      <c r="B281" s="4" t="str">
        <f>C281 &amp; " -&gt; " &amp; D281</f>
        <v>principal-communications-manager -&gt; MessageTemplates.Status</v>
      </c>
      <c r="C281" s="3" t="s">
        <v>9762</v>
      </c>
      <c r="D281" s="3" t="s">
        <v>4095</v>
      </c>
      <c r="E281" s="3" t="b">
        <v>1</v>
      </c>
      <c r="F281" s="3" t="b">
        <v>0</v>
      </c>
      <c r="G281" s="3" t="s">
        <v>10003</v>
      </c>
      <c r="H281" s="4" t="str">
        <f>_xlfn.IFNA(IF(((INDEX(RulebookFields!C2:C1898, MATCH(D281,RulebookFields!A2:A1898, 0))="")=TRUE),  "",  INDEX(RulebookFields!C2:C1898, MATCH(D281,RulebookFields!A2:A1898, 0))), "")</f>
        <v>MessageTemplates</v>
      </c>
      <c r="I281" s="4" t="str">
        <f>_xlfn.IFNA(IF(((INDEX(RulebookFields!D2:D1898, MATCH(D281,RulebookFields!A2:A1898, 0))="")=TRUE),  "",  INDEX(RulebookFields!D2:D1898, MATCH(D281,RulebookFields!A2:A1898, 0))), "")</f>
        <v>Status</v>
      </c>
      <c r="J281" s="4" t="b">
        <f>_xlfn.IFNA(IF(((INDEX(RulebookFields!I2:I1898, MATCH(D281,RulebookFields!A2:A1898, 0))="")=TRUE),  "",  INDEX(RulebookFields!I2:I1898, MATCH(D281,RulebookFields!A2:A1898, 0))), "")</f>
        <v>0</v>
      </c>
      <c r="K281" s="4" t="b">
        <f>AND(((F281)=TRUE), ((J281)=TRUE))</f>
        <v>0</v>
      </c>
      <c r="L281" s="4" t="b">
        <f>AND(((G281 &lt;&gt; "plain")=TRUE), ((G281 &lt;&gt; "")=TRUE))</f>
        <v>0</v>
      </c>
      <c r="M281" s="4" t="str">
        <f>IF(((E281)=TRUE),  C281 &amp; "|" &amp; H281,  "")</f>
        <v>principal-communications-manager|MessageTemplates</v>
      </c>
      <c r="N281" s="3" t="s">
        <v>10004</v>
      </c>
    </row>
    <row r="282">
      <c r="A282" s="3" t="s">
        <v>10284</v>
      </c>
      <c r="B282" s="4" t="str">
        <f>C282 &amp; " -&gt; " &amp; D282</f>
        <v>principal-communications-manager -&gt; MessageTemplates.LastValidApproval</v>
      </c>
      <c r="C282" s="3" t="s">
        <v>9762</v>
      </c>
      <c r="D282" s="3" t="s">
        <v>4113</v>
      </c>
      <c r="E282" s="3" t="b">
        <v>1</v>
      </c>
      <c r="F282" s="3" t="b">
        <v>0</v>
      </c>
      <c r="G282" s="3" t="s">
        <v>10003</v>
      </c>
      <c r="H282" s="4" t="str">
        <f>_xlfn.IFNA(IF(((INDEX(RulebookFields!C2:C1898, MATCH(D282,RulebookFields!A2:A1898, 0))="")=TRUE),  "",  INDEX(RulebookFields!C2:C1898, MATCH(D282,RulebookFields!A2:A1898, 0))), "")</f>
        <v>MessageTemplates</v>
      </c>
      <c r="I282" s="4" t="str">
        <f>_xlfn.IFNA(IF(((INDEX(RulebookFields!D2:D1898, MATCH(D282,RulebookFields!A2:A1898, 0))="")=TRUE),  "",  INDEX(RulebookFields!D2:D1898, MATCH(D282,RulebookFields!A2:A1898, 0))), "")</f>
        <v>LastValidApproval</v>
      </c>
      <c r="J282" s="4" t="b">
        <f>_xlfn.IFNA(IF(((INDEX(RulebookFields!I2:I1898, MATCH(D282,RulebookFields!A2:A1898, 0))="")=TRUE),  "",  INDEX(RulebookFields!I2:I1898, MATCH(D282,RulebookFields!A2:A1898, 0))), "")</f>
        <v>0</v>
      </c>
      <c r="K282" s="4" t="b">
        <f>AND(((F282)=TRUE), ((J282)=TRUE))</f>
        <v>0</v>
      </c>
      <c r="L282" s="4" t="b">
        <f>AND(((G282 &lt;&gt; "plain")=TRUE), ((G282 &lt;&gt; "")=TRUE))</f>
        <v>0</v>
      </c>
      <c r="M282" s="4" t="str">
        <f>IF(((E282)=TRUE),  C282 &amp; "|" &amp; H282,  "")</f>
        <v>principal-communications-manager|MessageTemplates</v>
      </c>
      <c r="N282" s="3" t="s">
        <v>10004</v>
      </c>
    </row>
    <row r="283">
      <c r="A283" s="3" t="s">
        <v>10285</v>
      </c>
      <c r="B283" s="4" t="str">
        <f>C283 &amp; " -&gt; " &amp; D283</f>
        <v>principal-communications-manager -&gt; MessageTemplates.Name</v>
      </c>
      <c r="C283" s="3" t="s">
        <v>9762</v>
      </c>
      <c r="D283" s="3" t="s">
        <v>4088</v>
      </c>
      <c r="E283" s="3" t="b">
        <v>1</v>
      </c>
      <c r="F283" s="3" t="b">
        <v>0</v>
      </c>
      <c r="G283" s="3" t="s">
        <v>10003</v>
      </c>
      <c r="H283" s="4" t="str">
        <f>_xlfn.IFNA(IF(((INDEX(RulebookFields!C2:C1898, MATCH(D283,RulebookFields!A2:A1898, 0))="")=TRUE),  "",  INDEX(RulebookFields!C2:C1898, MATCH(D283,RulebookFields!A2:A1898, 0))), "")</f>
        <v>MessageTemplates</v>
      </c>
      <c r="I283" s="4" t="str">
        <f>_xlfn.IFNA(IF(((INDEX(RulebookFields!D2:D1898, MATCH(D283,RulebookFields!A2:A1898, 0))="")=TRUE),  "",  INDEX(RulebookFields!D2:D1898, MATCH(D283,RulebookFields!A2:A1898, 0))), "")</f>
        <v>Name</v>
      </c>
      <c r="J283" s="4" t="b">
        <f>_xlfn.IFNA(IF(((INDEX(RulebookFields!I2:I1898, MATCH(D283,RulebookFields!A2:A1898, 0))="")=TRUE),  "",  INDEX(RulebookFields!I2:I1898, MATCH(D283,RulebookFields!A2:A1898, 0))), "")</f>
        <v>1</v>
      </c>
      <c r="K283" s="4" t="b">
        <f>AND(((F283)=TRUE), ((J283)=TRUE))</f>
        <v>0</v>
      </c>
      <c r="L283" s="4" t="b">
        <f>AND(((G283 &lt;&gt; "plain")=TRUE), ((G283 &lt;&gt; "")=TRUE))</f>
        <v>0</v>
      </c>
      <c r="M283" s="4" t="str">
        <f>IF(((E283)=TRUE),  C283 &amp; "|" &amp; H283,  "")</f>
        <v>principal-communications-manager|MessageTemplates</v>
      </c>
      <c r="N283" s="3" t="s">
        <v>10004</v>
      </c>
    </row>
    <row r="284">
      <c r="A284" s="3" t="s">
        <v>10286</v>
      </c>
      <c r="B284" s="4" t="str">
        <f>C284 &amp; " -&gt; " &amp; D284</f>
        <v>principal-communications-manager -&gt; SendIntents.SendIntentId</v>
      </c>
      <c r="C284" s="3" t="s">
        <v>9762</v>
      </c>
      <c r="D284" s="3" t="s">
        <v>4727</v>
      </c>
      <c r="E284" s="3" t="b">
        <v>1</v>
      </c>
      <c r="F284" s="3" t="b">
        <v>0</v>
      </c>
      <c r="G284" s="3" t="s">
        <v>10003</v>
      </c>
      <c r="H284" s="4" t="str">
        <f>_xlfn.IFNA(IF(((INDEX(RulebookFields!C2:C1898, MATCH(D284,RulebookFields!A2:A1898, 0))="")=TRUE),  "",  INDEX(RulebookFields!C2:C1898, MATCH(D284,RulebookFields!A2:A1898, 0))), "")</f>
        <v>SendIntents</v>
      </c>
      <c r="I284" s="4" t="str">
        <f>_xlfn.IFNA(IF(((INDEX(RulebookFields!D2:D1898, MATCH(D284,RulebookFields!A2:A1898, 0))="")=TRUE),  "",  INDEX(RulebookFields!D2:D1898, MATCH(D284,RulebookFields!A2:A1898, 0))), "")</f>
        <v>SendIntentId</v>
      </c>
      <c r="J284" s="4" t="b">
        <f>_xlfn.IFNA(IF(((INDEX(RulebookFields!I2:I1898, MATCH(D284,RulebookFields!A2:A1898, 0))="")=TRUE),  "",  INDEX(RulebookFields!I2:I1898, MATCH(D284,RulebookFields!A2:A1898, 0))), "")</f>
        <v>0</v>
      </c>
      <c r="K284" s="4" t="b">
        <f>AND(((F284)=TRUE), ((J284)=TRUE))</f>
        <v>0</v>
      </c>
      <c r="L284" s="4" t="b">
        <f>AND(((G284 &lt;&gt; "plain")=TRUE), ((G284 &lt;&gt; "")=TRUE))</f>
        <v>0</v>
      </c>
      <c r="M284" s="4" t="str">
        <f>IF(((E284)=TRUE),  C284 &amp; "|" &amp; H284,  "")</f>
        <v>principal-communications-manager|SendIntents</v>
      </c>
      <c r="N284" s="3" t="s">
        <v>10004</v>
      </c>
    </row>
    <row r="285">
      <c r="A285" s="3" t="s">
        <v>10287</v>
      </c>
      <c r="B285" s="4" t="str">
        <f>C285 &amp; " -&gt; " &amp; D285</f>
        <v>principal-communications-manager -&gt; SendIntents.ProposedBody</v>
      </c>
      <c r="C285" s="3" t="s">
        <v>9762</v>
      </c>
      <c r="D285" s="3" t="s">
        <v>4736</v>
      </c>
      <c r="E285" s="3" t="b">
        <v>1</v>
      </c>
      <c r="F285" s="3" t="b">
        <v>0</v>
      </c>
      <c r="G285" s="3" t="s">
        <v>10003</v>
      </c>
      <c r="H285" s="4" t="str">
        <f>_xlfn.IFNA(IF(((INDEX(RulebookFields!C2:C1898, MATCH(D285,RulebookFields!A2:A1898, 0))="")=TRUE),  "",  INDEX(RulebookFields!C2:C1898, MATCH(D285,RulebookFields!A2:A1898, 0))), "")</f>
        <v>SendIntents</v>
      </c>
      <c r="I285" s="4" t="str">
        <f>_xlfn.IFNA(IF(((INDEX(RulebookFields!D2:D1898, MATCH(D285,RulebookFields!A2:A1898, 0))="")=TRUE),  "",  INDEX(RulebookFields!D2:D1898, MATCH(D285,RulebookFields!A2:A1898, 0))), "")</f>
        <v>ProposedBody</v>
      </c>
      <c r="J285" s="4" t="b">
        <f>_xlfn.IFNA(IF(((INDEX(RulebookFields!I2:I1898, MATCH(D285,RulebookFields!A2:A1898, 0))="")=TRUE),  "",  INDEX(RulebookFields!I2:I1898, MATCH(D285,RulebookFields!A2:A1898, 0))), "")</f>
        <v>0</v>
      </c>
      <c r="K285" s="4" t="b">
        <f>AND(((F285)=TRUE), ((J285)=TRUE))</f>
        <v>0</v>
      </c>
      <c r="L285" s="4" t="b">
        <f>AND(((G285 &lt;&gt; "plain")=TRUE), ((G285 &lt;&gt; "")=TRUE))</f>
        <v>0</v>
      </c>
      <c r="M285" s="4" t="str">
        <f>IF(((E285)=TRUE),  C285 &amp; "|" &amp; H285,  "")</f>
        <v>principal-communications-manager|SendIntents</v>
      </c>
      <c r="N285" s="3" t="s">
        <v>10004</v>
      </c>
    </row>
    <row r="286">
      <c r="A286" s="3" t="s">
        <v>10288</v>
      </c>
      <c r="B286" s="4" t="str">
        <f>C286 &amp; " -&gt; " &amp; D286</f>
        <v>principal-communications-manager -&gt; SendIntents.ProposedSendAtLocalHour</v>
      </c>
      <c r="C286" s="3" t="s">
        <v>9762</v>
      </c>
      <c r="D286" s="3" t="s">
        <v>4738</v>
      </c>
      <c r="E286" s="3" t="b">
        <v>1</v>
      </c>
      <c r="F286" s="3" t="b">
        <v>0</v>
      </c>
      <c r="G286" s="3" t="s">
        <v>10003</v>
      </c>
      <c r="H286" s="4" t="str">
        <f>_xlfn.IFNA(IF(((INDEX(RulebookFields!C2:C1898, MATCH(D286,RulebookFields!A2:A1898, 0))="")=TRUE),  "",  INDEX(RulebookFields!C2:C1898, MATCH(D286,RulebookFields!A2:A1898, 0))), "")</f>
        <v>SendIntents</v>
      </c>
      <c r="I286" s="4" t="str">
        <f>_xlfn.IFNA(IF(((INDEX(RulebookFields!D2:D1898, MATCH(D286,RulebookFields!A2:A1898, 0))="")=TRUE),  "",  INDEX(RulebookFields!D2:D1898, MATCH(D286,RulebookFields!A2:A1898, 0))), "")</f>
        <v>ProposedSendAtLocalHour</v>
      </c>
      <c r="J286" s="4" t="b">
        <f>_xlfn.IFNA(IF(((INDEX(RulebookFields!I2:I1898, MATCH(D286,RulebookFields!A2:A1898, 0))="")=TRUE),  "",  INDEX(RulebookFields!I2:I1898, MATCH(D286,RulebookFields!A2:A1898, 0))), "")</f>
        <v>0</v>
      </c>
      <c r="K286" s="4" t="b">
        <f>AND(((F286)=TRUE), ((J286)=TRUE))</f>
        <v>0</v>
      </c>
      <c r="L286" s="4" t="b">
        <f>AND(((G286 &lt;&gt; "plain")=TRUE), ((G286 &lt;&gt; "")=TRUE))</f>
        <v>0</v>
      </c>
      <c r="M286" s="4" t="str">
        <f>IF(((E286)=TRUE),  C286 &amp; "|" &amp; H286,  "")</f>
        <v>principal-communications-manager|SendIntents</v>
      </c>
      <c r="N286" s="3" t="s">
        <v>10004</v>
      </c>
    </row>
    <row r="287">
      <c r="A287" s="3" t="s">
        <v>10289</v>
      </c>
      <c r="B287" s="4" t="str">
        <f>C287 &amp; " -&gt; " &amp; D287</f>
        <v>principal-communications-manager -&gt; SendIntents.EvaluatedAt</v>
      </c>
      <c r="C287" s="3" t="s">
        <v>9762</v>
      </c>
      <c r="D287" s="3" t="s">
        <v>4740</v>
      </c>
      <c r="E287" s="3" t="b">
        <v>1</v>
      </c>
      <c r="F287" s="3" t="b">
        <v>0</v>
      </c>
      <c r="G287" s="3" t="s">
        <v>10003</v>
      </c>
      <c r="H287" s="4" t="str">
        <f>_xlfn.IFNA(IF(((INDEX(RulebookFields!C2:C1898, MATCH(D287,RulebookFields!A2:A1898, 0))="")=TRUE),  "",  INDEX(RulebookFields!C2:C1898, MATCH(D287,RulebookFields!A2:A1898, 0))), "")</f>
        <v>SendIntents</v>
      </c>
      <c r="I287" s="4" t="str">
        <f>_xlfn.IFNA(IF(((INDEX(RulebookFields!D2:D1898, MATCH(D287,RulebookFields!A2:A1898, 0))="")=TRUE),  "",  INDEX(RulebookFields!D2:D1898, MATCH(D287,RulebookFields!A2:A1898, 0))), "")</f>
        <v>EvaluatedAt</v>
      </c>
      <c r="J287" s="4" t="b">
        <f>_xlfn.IFNA(IF(((INDEX(RulebookFields!I2:I1898, MATCH(D287,RulebookFields!A2:A1898, 0))="")=TRUE),  "",  INDEX(RulebookFields!I2:I1898, MATCH(D287,RulebookFields!A2:A1898, 0))), "")</f>
        <v>0</v>
      </c>
      <c r="K287" s="4" t="b">
        <f>AND(((F287)=TRUE), ((J287)=TRUE))</f>
        <v>0</v>
      </c>
      <c r="L287" s="4" t="b">
        <f>AND(((G287 &lt;&gt; "plain")=TRUE), ((G287 &lt;&gt; "")=TRUE))</f>
        <v>0</v>
      </c>
      <c r="M287" s="4" t="str">
        <f>IF(((E287)=TRUE),  C287 &amp; "|" &amp; H287,  "")</f>
        <v>principal-communications-manager|SendIntents</v>
      </c>
      <c r="N287" s="3" t="s">
        <v>10004</v>
      </c>
    </row>
    <row r="288">
      <c r="A288" s="3" t="s">
        <v>10290</v>
      </c>
      <c r="B288" s="4" t="str">
        <f>C288 &amp; " -&gt; " &amp; D288</f>
        <v>principal-communications-manager -&gt; SendIntents.MessageTemplate</v>
      </c>
      <c r="C288" s="3" t="s">
        <v>9762</v>
      </c>
      <c r="D288" s="3" t="s">
        <v>4735</v>
      </c>
      <c r="E288" s="3" t="b">
        <v>1</v>
      </c>
      <c r="F288" s="3" t="b">
        <v>0</v>
      </c>
      <c r="G288" s="3" t="s">
        <v>10003</v>
      </c>
      <c r="H288" s="4" t="str">
        <f>_xlfn.IFNA(IF(((INDEX(RulebookFields!C2:C1898, MATCH(D288,RulebookFields!A2:A1898, 0))="")=TRUE),  "",  INDEX(RulebookFields!C2:C1898, MATCH(D288,RulebookFields!A2:A1898, 0))), "")</f>
        <v>SendIntents</v>
      </c>
      <c r="I288" s="4" t="str">
        <f>_xlfn.IFNA(IF(((INDEX(RulebookFields!D2:D1898, MATCH(D288,RulebookFields!A2:A1898, 0))="")=TRUE),  "",  INDEX(RulebookFields!D2:D1898, MATCH(D288,RulebookFields!A2:A1898, 0))), "")</f>
        <v>MessageTemplate</v>
      </c>
      <c r="J288" s="4" t="b">
        <f>_xlfn.IFNA(IF(((INDEX(RulebookFields!I2:I1898, MATCH(D288,RulebookFields!A2:A1898, 0))="")=TRUE),  "",  INDEX(RulebookFields!I2:I1898, MATCH(D288,RulebookFields!A2:A1898, 0))), "")</f>
        <v>0</v>
      </c>
      <c r="K288" s="4" t="b">
        <f>AND(((F288)=TRUE), ((J288)=TRUE))</f>
        <v>0</v>
      </c>
      <c r="L288" s="4" t="b">
        <f>AND(((G288 &lt;&gt; "plain")=TRUE), ((G288 &lt;&gt; "")=TRUE))</f>
        <v>0</v>
      </c>
      <c r="M288" s="4" t="str">
        <f>IF(((E288)=TRUE),  C288 &amp; "|" &amp; H288,  "")</f>
        <v>principal-communications-manager|SendIntents</v>
      </c>
      <c r="N288" s="3" t="s">
        <v>10004</v>
      </c>
    </row>
    <row r="289">
      <c r="A289" s="3" t="s">
        <v>10291</v>
      </c>
      <c r="B289" s="4" t="str">
        <f>C289 &amp; " -&gt; " &amp; D289</f>
        <v>principal-communications-manager -&gt; SendIntents.Recipient</v>
      </c>
      <c r="C289" s="3" t="s">
        <v>9762</v>
      </c>
      <c r="D289" s="3" t="s">
        <v>4734</v>
      </c>
      <c r="E289" s="3" t="b">
        <v>1</v>
      </c>
      <c r="F289" s="3" t="b">
        <v>0</v>
      </c>
      <c r="G289" s="3" t="s">
        <v>10003</v>
      </c>
      <c r="H289" s="4" t="str">
        <f>_xlfn.IFNA(IF(((INDEX(RulebookFields!C2:C1898, MATCH(D289,RulebookFields!A2:A1898, 0))="")=TRUE),  "",  INDEX(RulebookFields!C2:C1898, MATCH(D289,RulebookFields!A2:A1898, 0))), "")</f>
        <v>SendIntents</v>
      </c>
      <c r="I289" s="4" t="str">
        <f>_xlfn.IFNA(IF(((INDEX(RulebookFields!D2:D1898, MATCH(D289,RulebookFields!A2:A1898, 0))="")=TRUE),  "",  INDEX(RulebookFields!D2:D1898, MATCH(D289,RulebookFields!A2:A1898, 0))), "")</f>
        <v>Recipient</v>
      </c>
      <c r="J289" s="4" t="b">
        <f>_xlfn.IFNA(IF(((INDEX(RulebookFields!I2:I1898, MATCH(D289,RulebookFields!A2:A1898, 0))="")=TRUE),  "",  INDEX(RulebookFields!I2:I1898, MATCH(D289,RulebookFields!A2:A1898, 0))), "")</f>
        <v>0</v>
      </c>
      <c r="K289" s="4" t="b">
        <f>AND(((F289)=TRUE), ((J289)=TRUE))</f>
        <v>0</v>
      </c>
      <c r="L289" s="4" t="b">
        <f>AND(((G289 &lt;&gt; "plain")=TRUE), ((G289 &lt;&gt; "")=TRUE))</f>
        <v>0</v>
      </c>
      <c r="M289" s="4" t="str">
        <f>IF(((E289)=TRUE),  C289 &amp; "|" &amp; H289,  "")</f>
        <v>principal-communications-manager|SendIntents</v>
      </c>
      <c r="N289" s="3" t="s">
        <v>10004</v>
      </c>
    </row>
    <row r="290">
      <c r="A290" s="3" t="s">
        <v>10292</v>
      </c>
      <c r="B290" s="4" t="str">
        <f>C290 &amp; " -&gt; " &amp; D290</f>
        <v>principal-communications-manager -&gt; SendIntents.Name</v>
      </c>
      <c r="C290" s="3" t="s">
        <v>9762</v>
      </c>
      <c r="D290" s="3" t="s">
        <v>4730</v>
      </c>
      <c r="E290" s="3" t="b">
        <v>1</v>
      </c>
      <c r="F290" s="3" t="b">
        <v>0</v>
      </c>
      <c r="G290" s="3" t="s">
        <v>10003</v>
      </c>
      <c r="H290" s="4" t="str">
        <f>_xlfn.IFNA(IF(((INDEX(RulebookFields!C2:C1898, MATCH(D290,RulebookFields!A2:A1898, 0))="")=TRUE),  "",  INDEX(RulebookFields!C2:C1898, MATCH(D290,RulebookFields!A2:A1898, 0))), "")</f>
        <v>SendIntents</v>
      </c>
      <c r="I290" s="4" t="str">
        <f>_xlfn.IFNA(IF(((INDEX(RulebookFields!D2:D1898, MATCH(D290,RulebookFields!A2:A1898, 0))="")=TRUE),  "",  INDEX(RulebookFields!D2:D1898, MATCH(D290,RulebookFields!A2:A1898, 0))), "")</f>
        <v>Name</v>
      </c>
      <c r="J290" s="4" t="b">
        <f>_xlfn.IFNA(IF(((INDEX(RulebookFields!I2:I1898, MATCH(D290,RulebookFields!A2:A1898, 0))="")=TRUE),  "",  INDEX(RulebookFields!I2:I1898, MATCH(D290,RulebookFields!A2:A1898, 0))), "")</f>
        <v>1</v>
      </c>
      <c r="K290" s="4" t="b">
        <f>AND(((F290)=TRUE), ((J290)=TRUE))</f>
        <v>0</v>
      </c>
      <c r="L290" s="4" t="b">
        <f>AND(((G290 &lt;&gt; "plain")=TRUE), ((G290 &lt;&gt; "")=TRUE))</f>
        <v>0</v>
      </c>
      <c r="M290" s="4" t="str">
        <f>IF(((E290)=TRUE),  C290 &amp; "|" &amp; H290,  "")</f>
        <v>principal-communications-manager|SendIntents</v>
      </c>
      <c r="N290" s="3" t="s">
        <v>10004</v>
      </c>
    </row>
    <row r="291">
      <c r="A291" s="3" t="s">
        <v>10293</v>
      </c>
      <c r="B291" s="4" t="str">
        <f>C291 &amp; " -&gt; " &amp; D291</f>
        <v>principal-communications-manager -&gt; MessageDeliveries.MessageDeliveryId</v>
      </c>
      <c r="C291" s="3" t="s">
        <v>9762</v>
      </c>
      <c r="D291" s="3" t="s">
        <v>4443</v>
      </c>
      <c r="E291" s="3" t="b">
        <v>1</v>
      </c>
      <c r="F291" s="3" t="b">
        <v>0</v>
      </c>
      <c r="G291" s="3" t="s">
        <v>10003</v>
      </c>
      <c r="H291" s="4" t="str">
        <f>_xlfn.IFNA(IF(((INDEX(RulebookFields!C2:C1898, MATCH(D291,RulebookFields!A2:A1898, 0))="")=TRUE),  "",  INDEX(RulebookFields!C2:C1898, MATCH(D291,RulebookFields!A2:A1898, 0))), "")</f>
        <v>MessageDeliveries</v>
      </c>
      <c r="I291" s="4" t="str">
        <f>_xlfn.IFNA(IF(((INDEX(RulebookFields!D2:D1898, MATCH(D291,RulebookFields!A2:A1898, 0))="")=TRUE),  "",  INDEX(RulebookFields!D2:D1898, MATCH(D291,RulebookFields!A2:A1898, 0))), "")</f>
        <v>MessageDeliveryId</v>
      </c>
      <c r="J291" s="4" t="b">
        <f>_xlfn.IFNA(IF(((INDEX(RulebookFields!I2:I1898, MATCH(D291,RulebookFields!A2:A1898, 0))="")=TRUE),  "",  INDEX(RulebookFields!I2:I1898, MATCH(D291,RulebookFields!A2:A1898, 0))), "")</f>
        <v>0</v>
      </c>
      <c r="K291" s="4" t="b">
        <f>AND(((F291)=TRUE), ((J291)=TRUE))</f>
        <v>0</v>
      </c>
      <c r="L291" s="4" t="b">
        <f>AND(((G291 &lt;&gt; "plain")=TRUE), ((G291 &lt;&gt; "")=TRUE))</f>
        <v>0</v>
      </c>
      <c r="M291" s="4" t="str">
        <f>IF(((E291)=TRUE),  C291 &amp; "|" &amp; H291,  "")</f>
        <v>principal-communications-manager|MessageDeliveries</v>
      </c>
      <c r="N291" s="3" t="s">
        <v>10004</v>
      </c>
    </row>
    <row r="292">
      <c r="A292" s="3" t="s">
        <v>10294</v>
      </c>
      <c r="B292" s="4" t="str">
        <f>C292 &amp; " -&gt; " &amp; D292</f>
        <v>principal-communications-manager -&gt; MessageDeliveries.RenderedBody</v>
      </c>
      <c r="C292" s="3" t="s">
        <v>9762</v>
      </c>
      <c r="D292" s="3" t="s">
        <v>4456</v>
      </c>
      <c r="E292" s="3" t="b">
        <v>1</v>
      </c>
      <c r="F292" s="3" t="b">
        <v>0</v>
      </c>
      <c r="G292" s="3" t="s">
        <v>10003</v>
      </c>
      <c r="H292" s="4" t="str">
        <f>_xlfn.IFNA(IF(((INDEX(RulebookFields!C2:C1898, MATCH(D292,RulebookFields!A2:A1898, 0))="")=TRUE),  "",  INDEX(RulebookFields!C2:C1898, MATCH(D292,RulebookFields!A2:A1898, 0))), "")</f>
        <v>MessageDeliveries</v>
      </c>
      <c r="I292" s="4" t="str">
        <f>_xlfn.IFNA(IF(((INDEX(RulebookFields!D2:D1898, MATCH(D292,RulebookFields!A2:A1898, 0))="")=TRUE),  "",  INDEX(RulebookFields!D2:D1898, MATCH(D292,RulebookFields!A2:A1898, 0))), "")</f>
        <v>RenderedBody</v>
      </c>
      <c r="J292" s="4" t="b">
        <f>_xlfn.IFNA(IF(((INDEX(RulebookFields!I2:I1898, MATCH(D292,RulebookFields!A2:A1898, 0))="")=TRUE),  "",  INDEX(RulebookFields!I2:I1898, MATCH(D292,RulebookFields!A2:A1898, 0))), "")</f>
        <v>0</v>
      </c>
      <c r="K292" s="4" t="b">
        <f>AND(((F292)=TRUE), ((J292)=TRUE))</f>
        <v>0</v>
      </c>
      <c r="L292" s="4" t="b">
        <f>AND(((G292 &lt;&gt; "plain")=TRUE), ((G292 &lt;&gt; "")=TRUE))</f>
        <v>0</v>
      </c>
      <c r="M292" s="4" t="str">
        <f>IF(((E292)=TRUE),  C292 &amp; "|" &amp; H292,  "")</f>
        <v>principal-communications-manager|MessageDeliveries</v>
      </c>
      <c r="N292" s="3" t="s">
        <v>10004</v>
      </c>
    </row>
    <row r="293">
      <c r="A293" s="3" t="s">
        <v>10295</v>
      </c>
      <c r="B293" s="4" t="str">
        <f>C293 &amp; " -&gt; " &amp; D293</f>
        <v>principal-communications-manager -&gt; MessageDeliveries.SentAt</v>
      </c>
      <c r="C293" s="3" t="s">
        <v>9762</v>
      </c>
      <c r="D293" s="3" t="s">
        <v>4458</v>
      </c>
      <c r="E293" s="3" t="b">
        <v>1</v>
      </c>
      <c r="F293" s="3" t="b">
        <v>0</v>
      </c>
      <c r="G293" s="3" t="s">
        <v>10003</v>
      </c>
      <c r="H293" s="4" t="str">
        <f>_xlfn.IFNA(IF(((INDEX(RulebookFields!C2:C1898, MATCH(D293,RulebookFields!A2:A1898, 0))="")=TRUE),  "",  INDEX(RulebookFields!C2:C1898, MATCH(D293,RulebookFields!A2:A1898, 0))), "")</f>
        <v>MessageDeliveries</v>
      </c>
      <c r="I293" s="4" t="str">
        <f>_xlfn.IFNA(IF(((INDEX(RulebookFields!D2:D1898, MATCH(D293,RulebookFields!A2:A1898, 0))="")=TRUE),  "",  INDEX(RulebookFields!D2:D1898, MATCH(D293,RulebookFields!A2:A1898, 0))), "")</f>
        <v>SentAt</v>
      </c>
      <c r="J293" s="4" t="b">
        <f>_xlfn.IFNA(IF(((INDEX(RulebookFields!I2:I1898, MATCH(D293,RulebookFields!A2:A1898, 0))="")=TRUE),  "",  INDEX(RulebookFields!I2:I1898, MATCH(D293,RulebookFields!A2:A1898, 0))), "")</f>
        <v>0</v>
      </c>
      <c r="K293" s="4" t="b">
        <f>AND(((F293)=TRUE), ((J293)=TRUE))</f>
        <v>0</v>
      </c>
      <c r="L293" s="4" t="b">
        <f>AND(((G293 &lt;&gt; "plain")=TRUE), ((G293 &lt;&gt; "")=TRUE))</f>
        <v>0</v>
      </c>
      <c r="M293" s="4" t="str">
        <f>IF(((E293)=TRUE),  C293 &amp; "|" &amp; H293,  "")</f>
        <v>principal-communications-manager|MessageDeliveries</v>
      </c>
      <c r="N293" s="3" t="s">
        <v>10004</v>
      </c>
    </row>
    <row r="294">
      <c r="A294" s="3" t="s">
        <v>10296</v>
      </c>
      <c r="B294" s="4" t="str">
        <f>C294 &amp; " -&gt; " &amp; D294</f>
        <v>principal-communications-manager -&gt; MessageDeliveries.DeliveryStatus</v>
      </c>
      <c r="C294" s="3" t="s">
        <v>9762</v>
      </c>
      <c r="D294" s="3" t="s">
        <v>4462</v>
      </c>
      <c r="E294" s="3" t="b">
        <v>1</v>
      </c>
      <c r="F294" s="3" t="b">
        <v>0</v>
      </c>
      <c r="G294" s="3" t="s">
        <v>10003</v>
      </c>
      <c r="H294" s="4" t="str">
        <f>_xlfn.IFNA(IF(((INDEX(RulebookFields!C2:C1898, MATCH(D294,RulebookFields!A2:A1898, 0))="")=TRUE),  "",  INDEX(RulebookFields!C2:C1898, MATCH(D294,RulebookFields!A2:A1898, 0))), "")</f>
        <v>MessageDeliveries</v>
      </c>
      <c r="I294" s="4" t="str">
        <f>_xlfn.IFNA(IF(((INDEX(RulebookFields!D2:D1898, MATCH(D294,RulebookFields!A2:A1898, 0))="")=TRUE),  "",  INDEX(RulebookFields!D2:D1898, MATCH(D294,RulebookFields!A2:A1898, 0))), "")</f>
        <v>DeliveryStatus</v>
      </c>
      <c r="J294" s="4" t="b">
        <f>_xlfn.IFNA(IF(((INDEX(RulebookFields!I2:I1898, MATCH(D294,RulebookFields!A2:A1898, 0))="")=TRUE),  "",  INDEX(RulebookFields!I2:I1898, MATCH(D294,RulebookFields!A2:A1898, 0))), "")</f>
        <v>0</v>
      </c>
      <c r="K294" s="4" t="b">
        <f>AND(((F294)=TRUE), ((J294)=TRUE))</f>
        <v>0</v>
      </c>
      <c r="L294" s="4" t="b">
        <f>AND(((G294 &lt;&gt; "plain")=TRUE), ((G294 &lt;&gt; "")=TRUE))</f>
        <v>0</v>
      </c>
      <c r="M294" s="4" t="str">
        <f>IF(((E294)=TRUE),  C294 &amp; "|" &amp; H294,  "")</f>
        <v>principal-communications-manager|MessageDeliveries</v>
      </c>
      <c r="N294" s="3" t="s">
        <v>10004</v>
      </c>
    </row>
    <row r="295">
      <c r="A295" s="3" t="s">
        <v>10297</v>
      </c>
      <c r="B295" s="4" t="str">
        <f>C295 &amp; " -&gt; " &amp; D295</f>
        <v>principal-communications-manager -&gt; MessageDeliveries.SuppressionReason</v>
      </c>
      <c r="C295" s="3" t="s">
        <v>9762</v>
      </c>
      <c r="D295" s="3" t="s">
        <v>4464</v>
      </c>
      <c r="E295" s="3" t="b">
        <v>1</v>
      </c>
      <c r="F295" s="3" t="b">
        <v>0</v>
      </c>
      <c r="G295" s="3" t="s">
        <v>10003</v>
      </c>
      <c r="H295" s="4" t="str">
        <f>_xlfn.IFNA(IF(((INDEX(RulebookFields!C2:C1898, MATCH(D295,RulebookFields!A2:A1898, 0))="")=TRUE),  "",  INDEX(RulebookFields!C2:C1898, MATCH(D295,RulebookFields!A2:A1898, 0))), "")</f>
        <v>MessageDeliveries</v>
      </c>
      <c r="I295" s="4" t="str">
        <f>_xlfn.IFNA(IF(((INDEX(RulebookFields!D2:D1898, MATCH(D295,RulebookFields!A2:A1898, 0))="")=TRUE),  "",  INDEX(RulebookFields!D2:D1898, MATCH(D295,RulebookFields!A2:A1898, 0))), "")</f>
        <v>SuppressionReason</v>
      </c>
      <c r="J295" s="4" t="b">
        <f>_xlfn.IFNA(IF(((INDEX(RulebookFields!I2:I1898, MATCH(D295,RulebookFields!A2:A1898, 0))="")=TRUE),  "",  INDEX(RulebookFields!I2:I1898, MATCH(D295,RulebookFields!A2:A1898, 0))), "")</f>
        <v>0</v>
      </c>
      <c r="K295" s="4" t="b">
        <f>AND(((F295)=TRUE), ((J295)=TRUE))</f>
        <v>0</v>
      </c>
      <c r="L295" s="4" t="b">
        <f>AND(((G295 &lt;&gt; "plain")=TRUE), ((G295 &lt;&gt; "")=TRUE))</f>
        <v>0</v>
      </c>
      <c r="M295" s="4" t="str">
        <f>IF(((E295)=TRUE),  C295 &amp; "|" &amp; H295,  "")</f>
        <v>principal-communications-manager|MessageDeliveries</v>
      </c>
      <c r="N295" s="3" t="s">
        <v>10004</v>
      </c>
    </row>
    <row r="296">
      <c r="A296" s="3" t="s">
        <v>10298</v>
      </c>
      <c r="B296" s="4" t="str">
        <f>C296 &amp; " -&gt; " &amp; D296</f>
        <v>principal-communications-manager -&gt; MessageDeliveries.AcknowledgedAt</v>
      </c>
      <c r="C296" s="3" t="s">
        <v>9762</v>
      </c>
      <c r="D296" s="3" t="s">
        <v>4468</v>
      </c>
      <c r="E296" s="3" t="b">
        <v>1</v>
      </c>
      <c r="F296" s="3" t="b">
        <v>0</v>
      </c>
      <c r="G296" s="3" t="s">
        <v>10003</v>
      </c>
      <c r="H296" s="4" t="str">
        <f>_xlfn.IFNA(IF(((INDEX(RulebookFields!C2:C1898, MATCH(D296,RulebookFields!A2:A1898, 0))="")=TRUE),  "",  INDEX(RulebookFields!C2:C1898, MATCH(D296,RulebookFields!A2:A1898, 0))), "")</f>
        <v>MessageDeliveries</v>
      </c>
      <c r="I296" s="4" t="str">
        <f>_xlfn.IFNA(IF(((INDEX(RulebookFields!D2:D1898, MATCH(D296,RulebookFields!A2:A1898, 0))="")=TRUE),  "",  INDEX(RulebookFields!D2:D1898, MATCH(D296,RulebookFields!A2:A1898, 0))), "")</f>
        <v>AcknowledgedAt</v>
      </c>
      <c r="J296" s="4" t="b">
        <f>_xlfn.IFNA(IF(((INDEX(RulebookFields!I2:I1898, MATCH(D296,RulebookFields!A2:A1898, 0))="")=TRUE),  "",  INDEX(RulebookFields!I2:I1898, MATCH(D296,RulebookFields!A2:A1898, 0))), "")</f>
        <v>0</v>
      </c>
      <c r="K296" s="4" t="b">
        <f>AND(((F296)=TRUE), ((J296)=TRUE))</f>
        <v>0</v>
      </c>
      <c r="L296" s="4" t="b">
        <f>AND(((G296 &lt;&gt; "plain")=TRUE), ((G296 &lt;&gt; "")=TRUE))</f>
        <v>0</v>
      </c>
      <c r="M296" s="4" t="str">
        <f>IF(((E296)=TRUE),  C296 &amp; "|" &amp; H296,  "")</f>
        <v>principal-communications-manager|MessageDeliveries</v>
      </c>
      <c r="N296" s="3" t="s">
        <v>10004</v>
      </c>
    </row>
    <row r="297">
      <c r="A297" s="3" t="s">
        <v>10299</v>
      </c>
      <c r="B297" s="4" t="str">
        <f>C297 &amp; " -&gt; " &amp; D297</f>
        <v>principal-communications-manager -&gt; MessageDeliveries.Recipient</v>
      </c>
      <c r="C297" s="3" t="s">
        <v>9762</v>
      </c>
      <c r="D297" s="3" t="s">
        <v>4450</v>
      </c>
      <c r="E297" s="3" t="b">
        <v>1</v>
      </c>
      <c r="F297" s="3" t="b">
        <v>0</v>
      </c>
      <c r="G297" s="3" t="s">
        <v>10003</v>
      </c>
      <c r="H297" s="4" t="str">
        <f>_xlfn.IFNA(IF(((INDEX(RulebookFields!C2:C1898, MATCH(D297,RulebookFields!A2:A1898, 0))="")=TRUE),  "",  INDEX(RulebookFields!C2:C1898, MATCH(D297,RulebookFields!A2:A1898, 0))), "")</f>
        <v>MessageDeliveries</v>
      </c>
      <c r="I297" s="4" t="str">
        <f>_xlfn.IFNA(IF(((INDEX(RulebookFields!D2:D1898, MATCH(D297,RulebookFields!A2:A1898, 0))="")=TRUE),  "",  INDEX(RulebookFields!D2:D1898, MATCH(D297,RulebookFields!A2:A1898, 0))), "")</f>
        <v>Recipient</v>
      </c>
      <c r="J297" s="4" t="b">
        <f>_xlfn.IFNA(IF(((INDEX(RulebookFields!I2:I1898, MATCH(D297,RulebookFields!A2:A1898, 0))="")=TRUE),  "",  INDEX(RulebookFields!I2:I1898, MATCH(D297,RulebookFields!A2:A1898, 0))), "")</f>
        <v>0</v>
      </c>
      <c r="K297" s="4" t="b">
        <f>AND(((F297)=TRUE), ((J297)=TRUE))</f>
        <v>0</v>
      </c>
      <c r="L297" s="4" t="b">
        <f>AND(((G297 &lt;&gt; "plain")=TRUE), ((G297 &lt;&gt; "")=TRUE))</f>
        <v>0</v>
      </c>
      <c r="M297" s="4" t="str">
        <f>IF(((E297)=TRUE),  C297 &amp; "|" &amp; H297,  "")</f>
        <v>principal-communications-manager|MessageDeliveries</v>
      </c>
      <c r="N297" s="3" t="s">
        <v>10004</v>
      </c>
    </row>
    <row r="298">
      <c r="A298" s="3" t="s">
        <v>10300</v>
      </c>
      <c r="B298" s="4" t="str">
        <f>C298 &amp; " -&gt; " &amp; D298</f>
        <v>principal-communications-manager -&gt; MessageDeliveries.Name</v>
      </c>
      <c r="C298" s="3" t="s">
        <v>9762</v>
      </c>
      <c r="D298" s="3" t="s">
        <v>4446</v>
      </c>
      <c r="E298" s="3" t="b">
        <v>1</v>
      </c>
      <c r="F298" s="3" t="b">
        <v>0</v>
      </c>
      <c r="G298" s="3" t="s">
        <v>10003</v>
      </c>
      <c r="H298" s="4" t="str">
        <f>_xlfn.IFNA(IF(((INDEX(RulebookFields!C2:C1898, MATCH(D298,RulebookFields!A2:A1898, 0))="")=TRUE),  "",  INDEX(RulebookFields!C2:C1898, MATCH(D298,RulebookFields!A2:A1898, 0))), "")</f>
        <v>MessageDeliveries</v>
      </c>
      <c r="I298" s="4" t="str">
        <f>_xlfn.IFNA(IF(((INDEX(RulebookFields!D2:D1898, MATCH(D298,RulebookFields!A2:A1898, 0))="")=TRUE),  "",  INDEX(RulebookFields!D2:D1898, MATCH(D298,RulebookFields!A2:A1898, 0))), "")</f>
        <v>Name</v>
      </c>
      <c r="J298" s="4" t="b">
        <f>_xlfn.IFNA(IF(((INDEX(RulebookFields!I2:I1898, MATCH(D298,RulebookFields!A2:A1898, 0))="")=TRUE),  "",  INDEX(RulebookFields!I2:I1898, MATCH(D298,RulebookFields!A2:A1898, 0))), "")</f>
        <v>1</v>
      </c>
      <c r="K298" s="4" t="b">
        <f>AND(((F298)=TRUE), ((J298)=TRUE))</f>
        <v>0</v>
      </c>
      <c r="L298" s="4" t="b">
        <f>AND(((G298 &lt;&gt; "plain")=TRUE), ((G298 &lt;&gt; "")=TRUE))</f>
        <v>0</v>
      </c>
      <c r="M298" s="4" t="str">
        <f>IF(((E298)=TRUE),  C298 &amp; "|" &amp; H298,  "")</f>
        <v>principal-communications-manager|MessageDeliveries</v>
      </c>
      <c r="N298" s="3" t="s">
        <v>10004</v>
      </c>
    </row>
    <row r="299">
      <c r="A299" s="3" t="s">
        <v>10301</v>
      </c>
      <c r="B299" s="4" t="str">
        <f>C299 &amp; " -&gt; " &amp; D299</f>
        <v>principal-communications-manager -&gt; Recipients.RecipientId</v>
      </c>
      <c r="C299" s="3" t="s">
        <v>9762</v>
      </c>
      <c r="D299" s="3" t="s">
        <v>4411</v>
      </c>
      <c r="E299" s="3" t="b">
        <v>1</v>
      </c>
      <c r="F299" s="3" t="b">
        <v>0</v>
      </c>
      <c r="G299" s="3" t="s">
        <v>10003</v>
      </c>
      <c r="H299" s="4" t="str">
        <f>_xlfn.IFNA(IF(((INDEX(RulebookFields!C2:C1898, MATCH(D299,RulebookFields!A2:A1898, 0))="")=TRUE),  "",  INDEX(RulebookFields!C2:C1898, MATCH(D299,RulebookFields!A2:A1898, 0))), "")</f>
        <v>Recipients</v>
      </c>
      <c r="I299" s="4" t="str">
        <f>_xlfn.IFNA(IF(((INDEX(RulebookFields!D2:D1898, MATCH(D299,RulebookFields!A2:A1898, 0))="")=TRUE),  "",  INDEX(RulebookFields!D2:D1898, MATCH(D299,RulebookFields!A2:A1898, 0))), "")</f>
        <v>RecipientId</v>
      </c>
      <c r="J299" s="4" t="b">
        <f>_xlfn.IFNA(IF(((INDEX(RulebookFields!I2:I1898, MATCH(D299,RulebookFields!A2:A1898, 0))="")=TRUE),  "",  INDEX(RulebookFields!I2:I1898, MATCH(D299,RulebookFields!A2:A1898, 0))), "")</f>
        <v>0</v>
      </c>
      <c r="K299" s="4" t="b">
        <f>AND(((F299)=TRUE), ((J299)=TRUE))</f>
        <v>0</v>
      </c>
      <c r="L299" s="4" t="b">
        <f>AND(((G299 &lt;&gt; "plain")=TRUE), ((G299 &lt;&gt; "")=TRUE))</f>
        <v>0</v>
      </c>
      <c r="M299" s="4" t="str">
        <f>IF(((E299)=TRUE),  C299 &amp; "|" &amp; H299,  "")</f>
        <v>principal-communications-manager|Recipients</v>
      </c>
      <c r="N299" s="3" t="s">
        <v>10004</v>
      </c>
    </row>
    <row r="300">
      <c r="A300" s="3" t="s">
        <v>10302</v>
      </c>
      <c r="B300" s="4" t="str">
        <f>C300 &amp; " -&gt; " &amp; D300</f>
        <v>principal-communications-manager -&gt; Recipients.DisplayName</v>
      </c>
      <c r="C300" s="3" t="s">
        <v>9762</v>
      </c>
      <c r="D300" s="3" t="s">
        <v>4415</v>
      </c>
      <c r="E300" s="3" t="b">
        <v>1</v>
      </c>
      <c r="F300" s="3" t="b">
        <v>0</v>
      </c>
      <c r="G300" s="3" t="s">
        <v>10003</v>
      </c>
      <c r="H300" s="4" t="str">
        <f>_xlfn.IFNA(IF(((INDEX(RulebookFields!C2:C1898, MATCH(D300,RulebookFields!A2:A1898, 0))="")=TRUE),  "",  INDEX(RulebookFields!C2:C1898, MATCH(D300,RulebookFields!A2:A1898, 0))), "")</f>
        <v>Recipients</v>
      </c>
      <c r="I300" s="4" t="str">
        <f>_xlfn.IFNA(IF(((INDEX(RulebookFields!D2:D1898, MATCH(D300,RulebookFields!A2:A1898, 0))="")=TRUE),  "",  INDEX(RulebookFields!D2:D1898, MATCH(D300,RulebookFields!A2:A1898, 0))), "")</f>
        <v>DisplayName</v>
      </c>
      <c r="J300" s="4" t="b">
        <f>_xlfn.IFNA(IF(((INDEX(RulebookFields!I2:I1898, MATCH(D300,RulebookFields!A2:A1898, 0))="")=TRUE),  "",  INDEX(RulebookFields!I2:I1898, MATCH(D300,RulebookFields!A2:A1898, 0))), "")</f>
        <v>0</v>
      </c>
      <c r="K300" s="4" t="b">
        <f>AND(((F300)=TRUE), ((J300)=TRUE))</f>
        <v>0</v>
      </c>
      <c r="L300" s="4" t="b">
        <f>AND(((G300 &lt;&gt; "plain")=TRUE), ((G300 &lt;&gt; "")=TRUE))</f>
        <v>0</v>
      </c>
      <c r="M300" s="4" t="str">
        <f>IF(((E300)=TRUE),  C300 &amp; "|" &amp; H300,  "")</f>
        <v>principal-communications-manager|Recipients</v>
      </c>
      <c r="N300" s="3" t="s">
        <v>10004</v>
      </c>
    </row>
    <row r="301">
      <c r="A301" s="3" t="s">
        <v>10303</v>
      </c>
      <c r="B301" s="4" t="str">
        <f>C301 &amp; " -&gt; " &amp; D301</f>
        <v>principal-communications-manager -&gt; Recipients.EmailAddress</v>
      </c>
      <c r="C301" s="3" t="s">
        <v>9762</v>
      </c>
      <c r="D301" s="3" t="s">
        <v>4417</v>
      </c>
      <c r="E301" s="3" t="b">
        <v>1</v>
      </c>
      <c r="F301" s="3" t="b">
        <v>0</v>
      </c>
      <c r="G301" s="3" t="s">
        <v>10003</v>
      </c>
      <c r="H301" s="4" t="str">
        <f>_xlfn.IFNA(IF(((INDEX(RulebookFields!C2:C1898, MATCH(D301,RulebookFields!A2:A1898, 0))="")=TRUE),  "",  INDEX(RulebookFields!C2:C1898, MATCH(D301,RulebookFields!A2:A1898, 0))), "")</f>
        <v>Recipients</v>
      </c>
      <c r="I301" s="4" t="str">
        <f>_xlfn.IFNA(IF(((INDEX(RulebookFields!D2:D1898, MATCH(D301,RulebookFields!A2:A1898, 0))="")=TRUE),  "",  INDEX(RulebookFields!D2:D1898, MATCH(D301,RulebookFields!A2:A1898, 0))), "")</f>
        <v>EmailAddress</v>
      </c>
      <c r="J301" s="4" t="b">
        <f>_xlfn.IFNA(IF(((INDEX(RulebookFields!I2:I1898, MATCH(D301,RulebookFields!A2:A1898, 0))="")=TRUE),  "",  INDEX(RulebookFields!I2:I1898, MATCH(D301,RulebookFields!A2:A1898, 0))), "")</f>
        <v>0</v>
      </c>
      <c r="K301" s="4" t="b">
        <f>AND(((F301)=TRUE), ((J301)=TRUE))</f>
        <v>0</v>
      </c>
      <c r="L301" s="4" t="b">
        <f>AND(((G301 &lt;&gt; "plain")=TRUE), ((G301 &lt;&gt; "")=TRUE))</f>
        <v>0</v>
      </c>
      <c r="M301" s="4" t="str">
        <f>IF(((E301)=TRUE),  C301 &amp; "|" &amp; H301,  "")</f>
        <v>principal-communications-manager|Recipients</v>
      </c>
      <c r="N301" s="3" t="s">
        <v>10004</v>
      </c>
    </row>
    <row r="302">
      <c r="A302" s="3" t="s">
        <v>10304</v>
      </c>
      <c r="B302" s="4" t="str">
        <f>C302 &amp; " -&gt; " &amp; D302</f>
        <v>principal-communications-manager -&gt; Recipients.SmsConsentStatus</v>
      </c>
      <c r="C302" s="3" t="s">
        <v>9762</v>
      </c>
      <c r="D302" s="3" t="s">
        <v>4421</v>
      </c>
      <c r="E302" s="3" t="b">
        <v>1</v>
      </c>
      <c r="F302" s="3" t="b">
        <v>0</v>
      </c>
      <c r="G302" s="3" t="s">
        <v>10003</v>
      </c>
      <c r="H302" s="4" t="str">
        <f>_xlfn.IFNA(IF(((INDEX(RulebookFields!C2:C1898, MATCH(D302,RulebookFields!A2:A1898, 0))="")=TRUE),  "",  INDEX(RulebookFields!C2:C1898, MATCH(D302,RulebookFields!A2:A1898, 0))), "")</f>
        <v>Recipients</v>
      </c>
      <c r="I302" s="4" t="str">
        <f>_xlfn.IFNA(IF(((INDEX(RulebookFields!D2:D1898, MATCH(D302,RulebookFields!A2:A1898, 0))="")=TRUE),  "",  INDEX(RulebookFields!D2:D1898, MATCH(D302,RulebookFields!A2:A1898, 0))), "")</f>
        <v>SmsConsentStatus</v>
      </c>
      <c r="J302" s="4" t="b">
        <f>_xlfn.IFNA(IF(((INDEX(RulebookFields!I2:I1898, MATCH(D302,RulebookFields!A2:A1898, 0))="")=TRUE),  "",  INDEX(RulebookFields!I2:I1898, MATCH(D302,RulebookFields!A2:A1898, 0))), "")</f>
        <v>0</v>
      </c>
      <c r="K302" s="4" t="b">
        <f>AND(((F302)=TRUE), ((J302)=TRUE))</f>
        <v>0</v>
      </c>
      <c r="L302" s="4" t="b">
        <f>AND(((G302 &lt;&gt; "plain")=TRUE), ((G302 &lt;&gt; "")=TRUE))</f>
        <v>0</v>
      </c>
      <c r="M302" s="4" t="str">
        <f>IF(((E302)=TRUE),  C302 &amp; "|" &amp; H302,  "")</f>
        <v>principal-communications-manager|Recipients</v>
      </c>
      <c r="N302" s="3" t="s">
        <v>10004</v>
      </c>
    </row>
    <row r="303">
      <c r="A303" s="3" t="s">
        <v>10305</v>
      </c>
      <c r="B303" s="4" t="str">
        <f>C303 &amp; " -&gt; " &amp; D303</f>
        <v>principal-communications-manager -&gt; Recipients.SmsConsentAt</v>
      </c>
      <c r="C303" s="3" t="s">
        <v>9762</v>
      </c>
      <c r="D303" s="3" t="s">
        <v>4423</v>
      </c>
      <c r="E303" s="3" t="b">
        <v>1</v>
      </c>
      <c r="F303" s="3" t="b">
        <v>0</v>
      </c>
      <c r="G303" s="3" t="s">
        <v>10003</v>
      </c>
      <c r="H303" s="4" t="str">
        <f>_xlfn.IFNA(IF(((INDEX(RulebookFields!C2:C1898, MATCH(D303,RulebookFields!A2:A1898, 0))="")=TRUE),  "",  INDEX(RulebookFields!C2:C1898, MATCH(D303,RulebookFields!A2:A1898, 0))), "")</f>
        <v>Recipients</v>
      </c>
      <c r="I303" s="4" t="str">
        <f>_xlfn.IFNA(IF(((INDEX(RulebookFields!D2:D1898, MATCH(D303,RulebookFields!A2:A1898, 0))="")=TRUE),  "",  INDEX(RulebookFields!D2:D1898, MATCH(D303,RulebookFields!A2:A1898, 0))), "")</f>
        <v>SmsConsentAt</v>
      </c>
      <c r="J303" s="4" t="b">
        <f>_xlfn.IFNA(IF(((INDEX(RulebookFields!I2:I1898, MATCH(D303,RulebookFields!A2:A1898, 0))="")=TRUE),  "",  INDEX(RulebookFields!I2:I1898, MATCH(D303,RulebookFields!A2:A1898, 0))), "")</f>
        <v>0</v>
      </c>
      <c r="K303" s="4" t="b">
        <f>AND(((F303)=TRUE), ((J303)=TRUE))</f>
        <v>0</v>
      </c>
      <c r="L303" s="4" t="b">
        <f>AND(((G303 &lt;&gt; "plain")=TRUE), ((G303 &lt;&gt; "")=TRUE))</f>
        <v>0</v>
      </c>
      <c r="M303" s="4" t="str">
        <f>IF(((E303)=TRUE),  C303 &amp; "|" &amp; H303,  "")</f>
        <v>principal-communications-manager|Recipients</v>
      </c>
      <c r="N303" s="3" t="s">
        <v>10004</v>
      </c>
    </row>
    <row r="304">
      <c r="A304" s="3" t="s">
        <v>10306</v>
      </c>
      <c r="B304" s="4" t="str">
        <f>C304 &amp; " -&gt; " &amp; D304</f>
        <v>principal-communications-manager -&gt; Recipients.Name</v>
      </c>
      <c r="C304" s="3" t="s">
        <v>9762</v>
      </c>
      <c r="D304" s="3" t="s">
        <v>4414</v>
      </c>
      <c r="E304" s="3" t="b">
        <v>1</v>
      </c>
      <c r="F304" s="3" t="b">
        <v>0</v>
      </c>
      <c r="G304" s="3" t="s">
        <v>10003</v>
      </c>
      <c r="H304" s="4" t="str">
        <f>_xlfn.IFNA(IF(((INDEX(RulebookFields!C2:C1898, MATCH(D304,RulebookFields!A2:A1898, 0))="")=TRUE),  "",  INDEX(RulebookFields!C2:C1898, MATCH(D304,RulebookFields!A2:A1898, 0))), "")</f>
        <v>Recipients</v>
      </c>
      <c r="I304" s="4" t="str">
        <f>_xlfn.IFNA(IF(((INDEX(RulebookFields!D2:D1898, MATCH(D304,RulebookFields!A2:A1898, 0))="")=TRUE),  "",  INDEX(RulebookFields!D2:D1898, MATCH(D304,RulebookFields!A2:A1898, 0))), "")</f>
        <v>Name</v>
      </c>
      <c r="J304" s="4" t="b">
        <f>_xlfn.IFNA(IF(((INDEX(RulebookFields!I2:I1898, MATCH(D304,RulebookFields!A2:A1898, 0))="")=TRUE),  "",  INDEX(RulebookFields!I2:I1898, MATCH(D304,RulebookFields!A2:A1898, 0))), "")</f>
        <v>1</v>
      </c>
      <c r="K304" s="4" t="b">
        <f>AND(((F304)=TRUE), ((J304)=TRUE))</f>
        <v>0</v>
      </c>
      <c r="L304" s="4" t="b">
        <f>AND(((G304 &lt;&gt; "plain")=TRUE), ((G304 &lt;&gt; "")=TRUE))</f>
        <v>0</v>
      </c>
      <c r="M304" s="4" t="str">
        <f>IF(((E304)=TRUE),  C304 &amp; "|" &amp; H304,  "")</f>
        <v>principal-communications-manager|Recipients</v>
      </c>
      <c r="N304" s="3" t="s">
        <v>10004</v>
      </c>
    </row>
    <row r="305">
      <c r="A305" s="3" t="s">
        <v>10307</v>
      </c>
      <c r="B305" s="4" t="str">
        <f>C305 &amp; " -&gt; " &amp; D305</f>
        <v>principal-communications-manager -&gt; KnowledgeGaps.KnowledgeGapId</v>
      </c>
      <c r="C305" s="3" t="s">
        <v>9762</v>
      </c>
      <c r="D305" s="3" t="s">
        <v>3367</v>
      </c>
      <c r="E305" s="3" t="b">
        <v>1</v>
      </c>
      <c r="F305" s="3" t="b">
        <v>0</v>
      </c>
      <c r="G305" s="3" t="s">
        <v>10003</v>
      </c>
      <c r="H305" s="4" t="str">
        <f>_xlfn.IFNA(IF(((INDEX(RulebookFields!C2:C1898, MATCH(D305,RulebookFields!A2:A1898, 0))="")=TRUE),  "",  INDEX(RulebookFields!C2:C1898, MATCH(D305,RulebookFields!A2:A1898, 0))), "")</f>
        <v>KnowledgeGaps</v>
      </c>
      <c r="I305" s="4" t="str">
        <f>_xlfn.IFNA(IF(((INDEX(RulebookFields!D2:D1898, MATCH(D305,RulebookFields!A2:A1898, 0))="")=TRUE),  "",  INDEX(RulebookFields!D2:D1898, MATCH(D305,RulebookFields!A2:A1898, 0))), "")</f>
        <v>KnowledgeGapId</v>
      </c>
      <c r="J305" s="4" t="b">
        <f>_xlfn.IFNA(IF(((INDEX(RulebookFields!I2:I1898, MATCH(D305,RulebookFields!A2:A1898, 0))="")=TRUE),  "",  INDEX(RulebookFields!I2:I1898, MATCH(D305,RulebookFields!A2:A1898, 0))), "")</f>
        <v>0</v>
      </c>
      <c r="K305" s="4" t="b">
        <f>AND(((F305)=TRUE), ((J305)=TRUE))</f>
        <v>0</v>
      </c>
      <c r="L305" s="4" t="b">
        <f>AND(((G305 &lt;&gt; "plain")=TRUE), ((G305 &lt;&gt; "")=TRUE))</f>
        <v>0</v>
      </c>
      <c r="M305" s="4" t="str">
        <f>IF(((E305)=TRUE),  C305 &amp; "|" &amp; H305,  "")</f>
        <v>principal-communications-manager|KnowledgeGaps</v>
      </c>
      <c r="N305" s="3" t="s">
        <v>10004</v>
      </c>
    </row>
    <row r="306">
      <c r="A306" s="3" t="s">
        <v>10308</v>
      </c>
      <c r="B306" s="4" t="str">
        <f>C306 &amp; " -&gt; " &amp; D306</f>
        <v>principal-communications-manager -&gt; KnowledgeGaps.Statement</v>
      </c>
      <c r="C306" s="3" t="s">
        <v>9762</v>
      </c>
      <c r="D306" s="3" t="s">
        <v>3373</v>
      </c>
      <c r="E306" s="3" t="b">
        <v>1</v>
      </c>
      <c r="F306" s="3" t="b">
        <v>0</v>
      </c>
      <c r="G306" s="3" t="s">
        <v>10003</v>
      </c>
      <c r="H306" s="4" t="str">
        <f>_xlfn.IFNA(IF(((INDEX(RulebookFields!C2:C1898, MATCH(D306,RulebookFields!A2:A1898, 0))="")=TRUE),  "",  INDEX(RulebookFields!C2:C1898, MATCH(D306,RulebookFields!A2:A1898, 0))), "")</f>
        <v>KnowledgeGaps</v>
      </c>
      <c r="I306" s="4" t="str">
        <f>_xlfn.IFNA(IF(((INDEX(RulebookFields!D2:D1898, MATCH(D306,RulebookFields!A2:A1898, 0))="")=TRUE),  "",  INDEX(RulebookFields!D2:D1898, MATCH(D306,RulebookFields!A2:A1898, 0))), "")</f>
        <v>Statement</v>
      </c>
      <c r="J306" s="4" t="b">
        <f>_xlfn.IFNA(IF(((INDEX(RulebookFields!I2:I1898, MATCH(D306,RulebookFields!A2:A1898, 0))="")=TRUE),  "",  INDEX(RulebookFields!I2:I1898, MATCH(D306,RulebookFields!A2:A1898, 0))), "")</f>
        <v>0</v>
      </c>
      <c r="K306" s="4" t="b">
        <f>AND(((F306)=TRUE), ((J306)=TRUE))</f>
        <v>0</v>
      </c>
      <c r="L306" s="4" t="b">
        <f>AND(((G306 &lt;&gt; "plain")=TRUE), ((G306 &lt;&gt; "")=TRUE))</f>
        <v>0</v>
      </c>
      <c r="M306" s="4" t="str">
        <f>IF(((E306)=TRUE),  C306 &amp; "|" &amp; H306,  "")</f>
        <v>principal-communications-manager|KnowledgeGaps</v>
      </c>
      <c r="N306" s="3" t="s">
        <v>10004</v>
      </c>
    </row>
    <row r="307">
      <c r="A307" s="3" t="s">
        <v>10309</v>
      </c>
      <c r="B307" s="4" t="str">
        <f>C307 &amp; " -&gt; " &amp; D307</f>
        <v>principal-communications-manager -&gt; KnowledgeGaps.Severity</v>
      </c>
      <c r="C307" s="3" t="s">
        <v>9762</v>
      </c>
      <c r="D307" s="3" t="s">
        <v>3374</v>
      </c>
      <c r="E307" s="3" t="b">
        <v>1</v>
      </c>
      <c r="F307" s="3" t="b">
        <v>0</v>
      </c>
      <c r="G307" s="3" t="s">
        <v>10003</v>
      </c>
      <c r="H307" s="4" t="str">
        <f>_xlfn.IFNA(IF(((INDEX(RulebookFields!C2:C1898, MATCH(D307,RulebookFields!A2:A1898, 0))="")=TRUE),  "",  INDEX(RulebookFields!C2:C1898, MATCH(D307,RulebookFields!A2:A1898, 0))), "")</f>
        <v>KnowledgeGaps</v>
      </c>
      <c r="I307" s="4" t="str">
        <f>_xlfn.IFNA(IF(((INDEX(RulebookFields!D2:D1898, MATCH(D307,RulebookFields!A2:A1898, 0))="")=TRUE),  "",  INDEX(RulebookFields!D2:D1898, MATCH(D307,RulebookFields!A2:A1898, 0))), "")</f>
        <v>Severity</v>
      </c>
      <c r="J307" s="4" t="b">
        <f>_xlfn.IFNA(IF(((INDEX(RulebookFields!I2:I1898, MATCH(D307,RulebookFields!A2:A1898, 0))="")=TRUE),  "",  INDEX(RulebookFields!I2:I1898, MATCH(D307,RulebookFields!A2:A1898, 0))), "")</f>
        <v>0</v>
      </c>
      <c r="K307" s="4" t="b">
        <f>AND(((F307)=TRUE), ((J307)=TRUE))</f>
        <v>0</v>
      </c>
      <c r="L307" s="4" t="b">
        <f>AND(((G307 &lt;&gt; "plain")=TRUE), ((G307 &lt;&gt; "")=TRUE))</f>
        <v>0</v>
      </c>
      <c r="M307" s="4" t="str">
        <f>IF(((E307)=TRUE),  C307 &amp; "|" &amp; H307,  "")</f>
        <v>principal-communications-manager|KnowledgeGaps</v>
      </c>
      <c r="N307" s="3" t="s">
        <v>10004</v>
      </c>
    </row>
    <row r="308">
      <c r="A308" s="3" t="s">
        <v>10310</v>
      </c>
      <c r="B308" s="4" t="str">
        <f>C308 &amp; " -&gt; " &amp; D308</f>
        <v>principal-communications-manager -&gt; KnowledgeGaps.Status</v>
      </c>
      <c r="C308" s="3" t="s">
        <v>9762</v>
      </c>
      <c r="D308" s="3" t="s">
        <v>3376</v>
      </c>
      <c r="E308" s="3" t="b">
        <v>1</v>
      </c>
      <c r="F308" s="3" t="b">
        <v>0</v>
      </c>
      <c r="G308" s="3" t="s">
        <v>10003</v>
      </c>
      <c r="H308" s="4" t="str">
        <f>_xlfn.IFNA(IF(((INDEX(RulebookFields!C2:C1898, MATCH(D308,RulebookFields!A2:A1898, 0))="")=TRUE),  "",  INDEX(RulebookFields!C2:C1898, MATCH(D308,RulebookFields!A2:A1898, 0))), "")</f>
        <v>KnowledgeGaps</v>
      </c>
      <c r="I308" s="4" t="str">
        <f>_xlfn.IFNA(IF(((INDEX(RulebookFields!D2:D1898, MATCH(D308,RulebookFields!A2:A1898, 0))="")=TRUE),  "",  INDEX(RulebookFields!D2:D1898, MATCH(D308,RulebookFields!A2:A1898, 0))), "")</f>
        <v>Status</v>
      </c>
      <c r="J308" s="4" t="b">
        <f>_xlfn.IFNA(IF(((INDEX(RulebookFields!I2:I1898, MATCH(D308,RulebookFields!A2:A1898, 0))="")=TRUE),  "",  INDEX(RulebookFields!I2:I1898, MATCH(D308,RulebookFields!A2:A1898, 0))), "")</f>
        <v>0</v>
      </c>
      <c r="K308" s="4" t="b">
        <f>AND(((F308)=TRUE), ((J308)=TRUE))</f>
        <v>0</v>
      </c>
      <c r="L308" s="4" t="b">
        <f>AND(((G308 &lt;&gt; "plain")=TRUE), ((G308 &lt;&gt; "")=TRUE))</f>
        <v>0</v>
      </c>
      <c r="M308" s="4" t="str">
        <f>IF(((E308)=TRUE),  C308 &amp; "|" &amp; H308,  "")</f>
        <v>principal-communications-manager|KnowledgeGaps</v>
      </c>
      <c r="N308" s="3" t="s">
        <v>10004</v>
      </c>
    </row>
    <row r="309">
      <c r="A309" s="3" t="s">
        <v>10311</v>
      </c>
      <c r="B309" s="4" t="str">
        <f>C309 &amp; " -&gt; " &amp; D309</f>
        <v>principal-communications-manager -&gt; KnowledgeGaps.OwnerRole</v>
      </c>
      <c r="C309" s="3" t="s">
        <v>9762</v>
      </c>
      <c r="D309" s="3" t="s">
        <v>3377</v>
      </c>
      <c r="E309" s="3" t="b">
        <v>1</v>
      </c>
      <c r="F309" s="3" t="b">
        <v>0</v>
      </c>
      <c r="G309" s="3" t="s">
        <v>10003</v>
      </c>
      <c r="H309" s="4" t="str">
        <f>_xlfn.IFNA(IF(((INDEX(RulebookFields!C2:C1898, MATCH(D309,RulebookFields!A2:A1898, 0))="")=TRUE),  "",  INDEX(RulebookFields!C2:C1898, MATCH(D309,RulebookFields!A2:A1898, 0))), "")</f>
        <v>KnowledgeGaps</v>
      </c>
      <c r="I309" s="4" t="str">
        <f>_xlfn.IFNA(IF(((INDEX(RulebookFields!D2:D1898, MATCH(D309,RulebookFields!A2:A1898, 0))="")=TRUE),  "",  INDEX(RulebookFields!D2:D1898, MATCH(D309,RulebookFields!A2:A1898, 0))), "")</f>
        <v>OwnerRole</v>
      </c>
      <c r="J309" s="4" t="b">
        <f>_xlfn.IFNA(IF(((INDEX(RulebookFields!I2:I1898, MATCH(D309,RulebookFields!A2:A1898, 0))="")=TRUE),  "",  INDEX(RulebookFields!I2:I1898, MATCH(D309,RulebookFields!A2:A1898, 0))), "")</f>
        <v>0</v>
      </c>
      <c r="K309" s="4" t="b">
        <f>AND(((F309)=TRUE), ((J309)=TRUE))</f>
        <v>0</v>
      </c>
      <c r="L309" s="4" t="b">
        <f>AND(((G309 &lt;&gt; "plain")=TRUE), ((G309 &lt;&gt; "")=TRUE))</f>
        <v>0</v>
      </c>
      <c r="M309" s="4" t="str">
        <f>IF(((E309)=TRUE),  C309 &amp; "|" &amp; H309,  "")</f>
        <v>principal-communications-manager|KnowledgeGaps</v>
      </c>
      <c r="N309" s="3" t="s">
        <v>10004</v>
      </c>
    </row>
    <row r="310">
      <c r="A310" s="3" t="s">
        <v>10312</v>
      </c>
      <c r="B310" s="4" t="str">
        <f>C310 &amp; " -&gt; " &amp; D310</f>
        <v>principal-communications-manager -&gt; KnowledgeGaps.IsOpen</v>
      </c>
      <c r="C310" s="3" t="s">
        <v>9762</v>
      </c>
      <c r="D310" s="3" t="s">
        <v>3380</v>
      </c>
      <c r="E310" s="3" t="b">
        <v>1</v>
      </c>
      <c r="F310" s="3" t="b">
        <v>0</v>
      </c>
      <c r="G310" s="3" t="s">
        <v>10003</v>
      </c>
      <c r="H310" s="4" t="str">
        <f>_xlfn.IFNA(IF(((INDEX(RulebookFields!C2:C1898, MATCH(D310,RulebookFields!A2:A1898, 0))="")=TRUE),  "",  INDEX(RulebookFields!C2:C1898, MATCH(D310,RulebookFields!A2:A1898, 0))), "")</f>
        <v>KnowledgeGaps</v>
      </c>
      <c r="I310" s="4" t="str">
        <f>_xlfn.IFNA(IF(((INDEX(RulebookFields!D2:D1898, MATCH(D310,RulebookFields!A2:A1898, 0))="")=TRUE),  "",  INDEX(RulebookFields!D2:D1898, MATCH(D310,RulebookFields!A2:A1898, 0))), "")</f>
        <v>IsOpen</v>
      </c>
      <c r="J310" s="4" t="b">
        <f>_xlfn.IFNA(IF(((INDEX(RulebookFields!I2:I1898, MATCH(D310,RulebookFields!A2:A1898, 0))="")=TRUE),  "",  INDEX(RulebookFields!I2:I1898, MATCH(D310,RulebookFields!A2:A1898, 0))), "")</f>
        <v>1</v>
      </c>
      <c r="K310" s="4" t="b">
        <f>AND(((F310)=TRUE), ((J310)=TRUE))</f>
        <v>0</v>
      </c>
      <c r="L310" s="4" t="b">
        <f>AND(((G310 &lt;&gt; "plain")=TRUE), ((G310 &lt;&gt; "")=TRUE))</f>
        <v>0</v>
      </c>
      <c r="M310" s="4" t="str">
        <f>IF(((E310)=TRUE),  C310 &amp; "|" &amp; H310,  "")</f>
        <v>principal-communications-manager|KnowledgeGaps</v>
      </c>
      <c r="N310" s="3" t="s">
        <v>10004</v>
      </c>
    </row>
    <row r="311">
      <c r="A311" s="3" t="s">
        <v>10313</v>
      </c>
      <c r="B311" s="4" t="str">
        <f>C311 &amp; " -&gt; " &amp; D311</f>
        <v>principal-communications-manager -&gt; KnowledgeGaps.Name</v>
      </c>
      <c r="C311" s="3" t="s">
        <v>9762</v>
      </c>
      <c r="D311" s="3" t="s">
        <v>3369</v>
      </c>
      <c r="E311" s="3" t="b">
        <v>1</v>
      </c>
      <c r="F311" s="3" t="b">
        <v>0</v>
      </c>
      <c r="G311" s="3" t="s">
        <v>10003</v>
      </c>
      <c r="H311" s="4" t="str">
        <f>_xlfn.IFNA(IF(((INDEX(RulebookFields!C2:C1898, MATCH(D311,RulebookFields!A2:A1898, 0))="")=TRUE),  "",  INDEX(RulebookFields!C2:C1898, MATCH(D311,RulebookFields!A2:A1898, 0))), "")</f>
        <v>KnowledgeGaps</v>
      </c>
      <c r="I311" s="4" t="str">
        <f>_xlfn.IFNA(IF(((INDEX(RulebookFields!D2:D1898, MATCH(D311,RulebookFields!A2:A1898, 0))="")=TRUE),  "",  INDEX(RulebookFields!D2:D1898, MATCH(D311,RulebookFields!A2:A1898, 0))), "")</f>
        <v>Name</v>
      </c>
      <c r="J311" s="4" t="b">
        <f>_xlfn.IFNA(IF(((INDEX(RulebookFields!I2:I1898, MATCH(D311,RulebookFields!A2:A1898, 0))="")=TRUE),  "",  INDEX(RulebookFields!I2:I1898, MATCH(D311,RulebookFields!A2:A1898, 0))), "")</f>
        <v>1</v>
      </c>
      <c r="K311" s="4" t="b">
        <f>AND(((F311)=TRUE), ((J311)=TRUE))</f>
        <v>0</v>
      </c>
      <c r="L311" s="4" t="b">
        <f>AND(((G311 &lt;&gt; "plain")=TRUE), ((G311 &lt;&gt; "")=TRUE))</f>
        <v>0</v>
      </c>
      <c r="M311" s="4" t="str">
        <f>IF(((E311)=TRUE),  C311 &amp; "|" &amp; H311,  "")</f>
        <v>principal-communications-manager|KnowledgeGaps</v>
      </c>
      <c r="N311" s="3" t="s">
        <v>10004</v>
      </c>
    </row>
    <row r="312">
      <c r="A312" s="3" t="s">
        <v>10314</v>
      </c>
      <c r="B312" s="4" t="str">
        <f>C312 &amp; " -&gt; " &amp; D312</f>
        <v>principal-close-automation -&gt; Steps.StepId</v>
      </c>
      <c r="C312" s="3" t="s">
        <v>9764</v>
      </c>
      <c r="D312" s="3" t="s">
        <v>2870</v>
      </c>
      <c r="E312" s="3" t="b">
        <v>1</v>
      </c>
      <c r="F312" s="3" t="b">
        <v>0</v>
      </c>
      <c r="G312" s="3" t="s">
        <v>10003</v>
      </c>
      <c r="H312" s="4" t="str">
        <f>_xlfn.IFNA(IF(((INDEX(RulebookFields!C2:C1898, MATCH(D312,RulebookFields!A2:A1898, 0))="")=TRUE),  "",  INDEX(RulebookFields!C2:C1898, MATCH(D312,RulebookFields!A2:A1898, 0))), "")</f>
        <v>Steps</v>
      </c>
      <c r="I312" s="4" t="str">
        <f>_xlfn.IFNA(IF(((INDEX(RulebookFields!D2:D1898, MATCH(D312,RulebookFields!A2:A1898, 0))="")=TRUE),  "",  INDEX(RulebookFields!D2:D1898, MATCH(D312,RulebookFields!A2:A1898, 0))), "")</f>
        <v>StepId</v>
      </c>
      <c r="J312" s="4" t="b">
        <f>_xlfn.IFNA(IF(((INDEX(RulebookFields!I2:I1898, MATCH(D312,RulebookFields!A2:A1898, 0))="")=TRUE),  "",  INDEX(RulebookFields!I2:I1898, MATCH(D312,RulebookFields!A2:A1898, 0))), "")</f>
        <v>0</v>
      </c>
      <c r="K312" s="4" t="b">
        <f>AND(((F312)=TRUE), ((J312)=TRUE))</f>
        <v>0</v>
      </c>
      <c r="L312" s="4" t="b">
        <f>AND(((G312 &lt;&gt; "plain")=TRUE), ((G312 &lt;&gt; "")=TRUE))</f>
        <v>0</v>
      </c>
      <c r="M312" s="4" t="str">
        <f>IF(((E312)=TRUE),  C312 &amp; "|" &amp; H312,  "")</f>
        <v>principal-close-automation|Steps</v>
      </c>
      <c r="N312" s="3" t="s">
        <v>10004</v>
      </c>
    </row>
    <row r="313">
      <c r="A313" s="3" t="s">
        <v>10315</v>
      </c>
      <c r="B313" s="4" t="str">
        <f>C313 &amp; " -&gt; " &amp; D313</f>
        <v>principal-close-automation -&gt; Steps.StepNumber</v>
      </c>
      <c r="C313" s="3" t="s">
        <v>9764</v>
      </c>
      <c r="D313" s="3" t="s">
        <v>2874</v>
      </c>
      <c r="E313" s="3" t="b">
        <v>1</v>
      </c>
      <c r="F313" s="3" t="b">
        <v>0</v>
      </c>
      <c r="G313" s="3" t="s">
        <v>10003</v>
      </c>
      <c r="H313" s="4" t="str">
        <f>_xlfn.IFNA(IF(((INDEX(RulebookFields!C2:C1898, MATCH(D313,RulebookFields!A2:A1898, 0))="")=TRUE),  "",  INDEX(RulebookFields!C2:C1898, MATCH(D313,RulebookFields!A2:A1898, 0))), "")</f>
        <v>Steps</v>
      </c>
      <c r="I313" s="4" t="str">
        <f>_xlfn.IFNA(IF(((INDEX(RulebookFields!D2:D1898, MATCH(D313,RulebookFields!A2:A1898, 0))="")=TRUE),  "",  INDEX(RulebookFields!D2:D1898, MATCH(D313,RulebookFields!A2:A1898, 0))), "")</f>
        <v>StepNumber</v>
      </c>
      <c r="J313" s="4" t="b">
        <f>_xlfn.IFNA(IF(((INDEX(RulebookFields!I2:I1898, MATCH(D313,RulebookFields!A2:A1898, 0))="")=TRUE),  "",  INDEX(RulebookFields!I2:I1898, MATCH(D313,RulebookFields!A2:A1898, 0))), "")</f>
        <v>0</v>
      </c>
      <c r="K313" s="4" t="b">
        <f>AND(((F313)=TRUE), ((J313)=TRUE))</f>
        <v>0</v>
      </c>
      <c r="L313" s="4" t="b">
        <f>AND(((G313 &lt;&gt; "plain")=TRUE), ((G313 &lt;&gt; "")=TRUE))</f>
        <v>0</v>
      </c>
      <c r="M313" s="4" t="str">
        <f>IF(((E313)=TRUE),  C313 &amp; "|" &amp; H313,  "")</f>
        <v>principal-close-automation|Steps</v>
      </c>
      <c r="N313" s="3" t="s">
        <v>10004</v>
      </c>
    </row>
    <row r="314">
      <c r="A314" s="3" t="s">
        <v>10316</v>
      </c>
      <c r="B314" s="4" t="str">
        <f>C314 &amp; " -&gt; " &amp; D314</f>
        <v>principal-close-automation -&gt; Steps.Title</v>
      </c>
      <c r="C314" s="3" t="s">
        <v>9764</v>
      </c>
      <c r="D314" s="3" t="s">
        <v>2875</v>
      </c>
      <c r="E314" s="3" t="b">
        <v>1</v>
      </c>
      <c r="F314" s="3" t="b">
        <v>0</v>
      </c>
      <c r="G314" s="3" t="s">
        <v>10003</v>
      </c>
      <c r="H314" s="4" t="str">
        <f>_xlfn.IFNA(IF(((INDEX(RulebookFields!C2:C1898, MATCH(D314,RulebookFields!A2:A1898, 0))="")=TRUE),  "",  INDEX(RulebookFields!C2:C1898, MATCH(D314,RulebookFields!A2:A1898, 0))), "")</f>
        <v>Steps</v>
      </c>
      <c r="I314" s="4" t="str">
        <f>_xlfn.IFNA(IF(((INDEX(RulebookFields!D2:D1898, MATCH(D314,RulebookFields!A2:A1898, 0))="")=TRUE),  "",  INDEX(RulebookFields!D2:D1898, MATCH(D314,RulebookFields!A2:A1898, 0))), "")</f>
        <v>Title</v>
      </c>
      <c r="J314" s="4" t="b">
        <f>_xlfn.IFNA(IF(((INDEX(RulebookFields!I2:I1898, MATCH(D314,RulebookFields!A2:A1898, 0))="")=TRUE),  "",  INDEX(RulebookFields!I2:I1898, MATCH(D314,RulebookFields!A2:A1898, 0))), "")</f>
        <v>0</v>
      </c>
      <c r="K314" s="4" t="b">
        <f>AND(((F314)=TRUE), ((J314)=TRUE))</f>
        <v>0</v>
      </c>
      <c r="L314" s="4" t="b">
        <f>AND(((G314 &lt;&gt; "plain")=TRUE), ((G314 &lt;&gt; "")=TRUE))</f>
        <v>0</v>
      </c>
      <c r="M314" s="4" t="str">
        <f>IF(((E314)=TRUE),  C314 &amp; "|" &amp; H314,  "")</f>
        <v>principal-close-automation|Steps</v>
      </c>
      <c r="N314" s="3" t="s">
        <v>10004</v>
      </c>
    </row>
    <row r="315">
      <c r="A315" s="3" t="s">
        <v>10317</v>
      </c>
      <c r="B315" s="4" t="str">
        <f>C315 &amp; " -&gt; " &amp; D315</f>
        <v>principal-close-automation -&gt; Steps.StepKind</v>
      </c>
      <c r="C315" s="3" t="s">
        <v>9764</v>
      </c>
      <c r="D315" s="3" t="s">
        <v>2876</v>
      </c>
      <c r="E315" s="3" t="b">
        <v>1</v>
      </c>
      <c r="F315" s="3" t="b">
        <v>0</v>
      </c>
      <c r="G315" s="3" t="s">
        <v>10003</v>
      </c>
      <c r="H315" s="4" t="str">
        <f>_xlfn.IFNA(IF(((INDEX(RulebookFields!C2:C1898, MATCH(D315,RulebookFields!A2:A1898, 0))="")=TRUE),  "",  INDEX(RulebookFields!C2:C1898, MATCH(D315,RulebookFields!A2:A1898, 0))), "")</f>
        <v>Steps</v>
      </c>
      <c r="I315" s="4" t="str">
        <f>_xlfn.IFNA(IF(((INDEX(RulebookFields!D2:D1898, MATCH(D315,RulebookFields!A2:A1898, 0))="")=TRUE),  "",  INDEX(RulebookFields!D2:D1898, MATCH(D315,RulebookFields!A2:A1898, 0))), "")</f>
        <v>StepKind</v>
      </c>
      <c r="J315" s="4" t="b">
        <f>_xlfn.IFNA(IF(((INDEX(RulebookFields!I2:I1898, MATCH(D315,RulebookFields!A2:A1898, 0))="")=TRUE),  "",  INDEX(RulebookFields!I2:I1898, MATCH(D315,RulebookFields!A2:A1898, 0))), "")</f>
        <v>0</v>
      </c>
      <c r="K315" s="4" t="b">
        <f>AND(((F315)=TRUE), ((J315)=TRUE))</f>
        <v>0</v>
      </c>
      <c r="L315" s="4" t="b">
        <f>AND(((G315 &lt;&gt; "plain")=TRUE), ((G315 &lt;&gt; "")=TRUE))</f>
        <v>0</v>
      </c>
      <c r="M315" s="4" t="str">
        <f>IF(((E315)=TRUE),  C315 &amp; "|" &amp; H315,  "")</f>
        <v>principal-close-automation|Steps</v>
      </c>
      <c r="N315" s="3" t="s">
        <v>10004</v>
      </c>
    </row>
    <row r="316">
      <c r="A316" s="3" t="s">
        <v>10318</v>
      </c>
      <c r="B316" s="4" t="str">
        <f>C316 &amp; " -&gt; " &amp; D316</f>
        <v>principal-close-automation -&gt; Steps.Instruction</v>
      </c>
      <c r="C316" s="3" t="s">
        <v>9764</v>
      </c>
      <c r="D316" s="3" t="s">
        <v>2882</v>
      </c>
      <c r="E316" s="3" t="b">
        <v>1</v>
      </c>
      <c r="F316" s="3" t="b">
        <v>0</v>
      </c>
      <c r="G316" s="3" t="s">
        <v>10003</v>
      </c>
      <c r="H316" s="4" t="str">
        <f>_xlfn.IFNA(IF(((INDEX(RulebookFields!C2:C1898, MATCH(D316,RulebookFields!A2:A1898, 0))="")=TRUE),  "",  INDEX(RulebookFields!C2:C1898, MATCH(D316,RulebookFields!A2:A1898, 0))), "")</f>
        <v>Steps</v>
      </c>
      <c r="I316" s="4" t="str">
        <f>_xlfn.IFNA(IF(((INDEX(RulebookFields!D2:D1898, MATCH(D316,RulebookFields!A2:A1898, 0))="")=TRUE),  "",  INDEX(RulebookFields!D2:D1898, MATCH(D316,RulebookFields!A2:A1898, 0))), "")</f>
        <v>Instruction</v>
      </c>
      <c r="J316" s="4" t="b">
        <f>_xlfn.IFNA(IF(((INDEX(RulebookFields!I2:I1898, MATCH(D316,RulebookFields!A2:A1898, 0))="")=TRUE),  "",  INDEX(RulebookFields!I2:I1898, MATCH(D316,RulebookFields!A2:A1898, 0))), "")</f>
        <v>0</v>
      </c>
      <c r="K316" s="4" t="b">
        <f>AND(((F316)=TRUE), ((J316)=TRUE))</f>
        <v>0</v>
      </c>
      <c r="L316" s="4" t="b">
        <f>AND(((G316 &lt;&gt; "plain")=TRUE), ((G316 &lt;&gt; "")=TRUE))</f>
        <v>0</v>
      </c>
      <c r="M316" s="4" t="str">
        <f>IF(((E316)=TRUE),  C316 &amp; "|" &amp; H316,  "")</f>
        <v>principal-close-automation|Steps</v>
      </c>
      <c r="N316" s="3" t="s">
        <v>10004</v>
      </c>
    </row>
    <row r="317">
      <c r="A317" s="3" t="s">
        <v>10319</v>
      </c>
      <c r="B317" s="4" t="str">
        <f>C317 &amp; " -&gt; " &amp; D317</f>
        <v>principal-close-automation -&gt; Steps.AssignedRole</v>
      </c>
      <c r="C317" s="3" t="s">
        <v>9764</v>
      </c>
      <c r="D317" s="3" t="s">
        <v>2877</v>
      </c>
      <c r="E317" s="3" t="b">
        <v>1</v>
      </c>
      <c r="F317" s="3" t="b">
        <v>0</v>
      </c>
      <c r="G317" s="3" t="s">
        <v>10003</v>
      </c>
      <c r="H317" s="4" t="str">
        <f>_xlfn.IFNA(IF(((INDEX(RulebookFields!C2:C1898, MATCH(D317,RulebookFields!A2:A1898, 0))="")=TRUE),  "",  INDEX(RulebookFields!C2:C1898, MATCH(D317,RulebookFields!A2:A1898, 0))), "")</f>
        <v>Steps</v>
      </c>
      <c r="I317" s="4" t="str">
        <f>_xlfn.IFNA(IF(((INDEX(RulebookFields!D2:D1898, MATCH(D317,RulebookFields!A2:A1898, 0))="")=TRUE),  "",  INDEX(RulebookFields!D2:D1898, MATCH(D317,RulebookFields!A2:A1898, 0))), "")</f>
        <v>AssignedRole</v>
      </c>
      <c r="J317" s="4" t="b">
        <f>_xlfn.IFNA(IF(((INDEX(RulebookFields!I2:I1898, MATCH(D317,RulebookFields!A2:A1898, 0))="")=TRUE),  "",  INDEX(RulebookFields!I2:I1898, MATCH(D317,RulebookFields!A2:A1898, 0))), "")</f>
        <v>0</v>
      </c>
      <c r="K317" s="4" t="b">
        <f>AND(((F317)=TRUE), ((J317)=TRUE))</f>
        <v>0</v>
      </c>
      <c r="L317" s="4" t="b">
        <f>AND(((G317 &lt;&gt; "plain")=TRUE), ((G317 &lt;&gt; "")=TRUE))</f>
        <v>0</v>
      </c>
      <c r="M317" s="4" t="str">
        <f>IF(((E317)=TRUE),  C317 &amp; "|" &amp; H317,  "")</f>
        <v>principal-close-automation|Steps</v>
      </c>
      <c r="N317" s="3" t="s">
        <v>10004</v>
      </c>
    </row>
    <row r="318">
      <c r="A318" s="3" t="s">
        <v>10320</v>
      </c>
      <c r="B318" s="4" t="str">
        <f>C318 &amp; " -&gt; " &amp; D318</f>
        <v>principal-close-automation -&gt; Steps.AssignedRoleLabel</v>
      </c>
      <c r="C318" s="3" t="s">
        <v>9764</v>
      </c>
      <c r="D318" s="3" t="s">
        <v>2878</v>
      </c>
      <c r="E318" s="3" t="b">
        <v>1</v>
      </c>
      <c r="F318" s="3" t="b">
        <v>0</v>
      </c>
      <c r="G318" s="3" t="s">
        <v>10003</v>
      </c>
      <c r="H318" s="4" t="str">
        <f>_xlfn.IFNA(IF(((INDEX(RulebookFields!C2:C1898, MATCH(D318,RulebookFields!A2:A1898, 0))="")=TRUE),  "",  INDEX(RulebookFields!C2:C1898, MATCH(D318,RulebookFields!A2:A1898, 0))), "")</f>
        <v>Steps</v>
      </c>
      <c r="I318" s="4" t="str">
        <f>_xlfn.IFNA(IF(((INDEX(RulebookFields!D2:D1898, MATCH(D318,RulebookFields!A2:A1898, 0))="")=TRUE),  "",  INDEX(RulebookFields!D2:D1898, MATCH(D318,RulebookFields!A2:A1898, 0))), "")</f>
        <v>AssignedRoleLabel</v>
      </c>
      <c r="J318" s="4" t="b">
        <f>_xlfn.IFNA(IF(((INDEX(RulebookFields!I2:I1898, MATCH(D318,RulebookFields!A2:A1898, 0))="")=TRUE),  "",  INDEX(RulebookFields!I2:I1898, MATCH(D318,RulebookFields!A2:A1898, 0))), "")</f>
        <v>1</v>
      </c>
      <c r="K318" s="4" t="b">
        <f>AND(((F318)=TRUE), ((J318)=TRUE))</f>
        <v>0</v>
      </c>
      <c r="L318" s="4" t="b">
        <f>AND(((G318 &lt;&gt; "plain")=TRUE), ((G318 &lt;&gt; "")=TRUE))</f>
        <v>0</v>
      </c>
      <c r="M318" s="4" t="str">
        <f>IF(((E318)=TRUE),  C318 &amp; "|" &amp; H318,  "")</f>
        <v>principal-close-automation|Steps</v>
      </c>
      <c r="N318" s="3" t="s">
        <v>10004</v>
      </c>
    </row>
    <row r="319">
      <c r="A319" s="3" t="s">
        <v>10321</v>
      </c>
      <c r="B319" s="4" t="str">
        <f>C319 &amp; " -&gt; " &amp; D319</f>
        <v>principal-close-automation -&gt; Steps.ProcedureVersion</v>
      </c>
      <c r="C319" s="3" t="s">
        <v>9764</v>
      </c>
      <c r="D319" s="3" t="s">
        <v>2873</v>
      </c>
      <c r="E319" s="3" t="b">
        <v>1</v>
      </c>
      <c r="F319" s="3" t="b">
        <v>0</v>
      </c>
      <c r="G319" s="3" t="s">
        <v>10003</v>
      </c>
      <c r="H319" s="4" t="str">
        <f>_xlfn.IFNA(IF(((INDEX(RulebookFields!C2:C1898, MATCH(D319,RulebookFields!A2:A1898, 0))="")=TRUE),  "",  INDEX(RulebookFields!C2:C1898, MATCH(D319,RulebookFields!A2:A1898, 0))), "")</f>
        <v>Steps</v>
      </c>
      <c r="I319" s="4" t="str">
        <f>_xlfn.IFNA(IF(((INDEX(RulebookFields!D2:D1898, MATCH(D319,RulebookFields!A2:A1898, 0))="")=TRUE),  "",  INDEX(RulebookFields!D2:D1898, MATCH(D319,RulebookFields!A2:A1898, 0))), "")</f>
        <v>ProcedureVersion</v>
      </c>
      <c r="J319" s="4" t="b">
        <f>_xlfn.IFNA(IF(((INDEX(RulebookFields!I2:I1898, MATCH(D319,RulebookFields!A2:A1898, 0))="")=TRUE),  "",  INDEX(RulebookFields!I2:I1898, MATCH(D319,RulebookFields!A2:A1898, 0))), "")</f>
        <v>0</v>
      </c>
      <c r="K319" s="4" t="b">
        <f>AND(((F319)=TRUE), ((J319)=TRUE))</f>
        <v>0</v>
      </c>
      <c r="L319" s="4" t="b">
        <f>AND(((G319 &lt;&gt; "plain")=TRUE), ((G319 &lt;&gt; "")=TRUE))</f>
        <v>0</v>
      </c>
      <c r="M319" s="4" t="str">
        <f>IF(((E319)=TRUE),  C319 &amp; "|" &amp; H319,  "")</f>
        <v>principal-close-automation|Steps</v>
      </c>
      <c r="N319" s="3" t="s">
        <v>10004</v>
      </c>
    </row>
    <row r="320">
      <c r="A320" s="3" t="s">
        <v>10322</v>
      </c>
      <c r="B320" s="4" t="str">
        <f>C320 &amp; " -&gt; " &amp; D320</f>
        <v>principal-close-automation -&gt; Steps.Name</v>
      </c>
      <c r="C320" s="3" t="s">
        <v>9764</v>
      </c>
      <c r="D320" s="3" t="s">
        <v>2871</v>
      </c>
      <c r="E320" s="3" t="b">
        <v>1</v>
      </c>
      <c r="F320" s="3" t="b">
        <v>0</v>
      </c>
      <c r="G320" s="3" t="s">
        <v>10003</v>
      </c>
      <c r="H320" s="4" t="str">
        <f>_xlfn.IFNA(IF(((INDEX(RulebookFields!C2:C1898, MATCH(D320,RulebookFields!A2:A1898, 0))="")=TRUE),  "",  INDEX(RulebookFields!C2:C1898, MATCH(D320,RulebookFields!A2:A1898, 0))), "")</f>
        <v>Steps</v>
      </c>
      <c r="I320" s="4" t="str">
        <f>_xlfn.IFNA(IF(((INDEX(RulebookFields!D2:D1898, MATCH(D320,RulebookFields!A2:A1898, 0))="")=TRUE),  "",  INDEX(RulebookFields!D2:D1898, MATCH(D320,RulebookFields!A2:A1898, 0))), "")</f>
        <v>Name</v>
      </c>
      <c r="J320" s="4" t="b">
        <f>_xlfn.IFNA(IF(((INDEX(RulebookFields!I2:I1898, MATCH(D320,RulebookFields!A2:A1898, 0))="")=TRUE),  "",  INDEX(RulebookFields!I2:I1898, MATCH(D320,RulebookFields!A2:A1898, 0))), "")</f>
        <v>1</v>
      </c>
      <c r="K320" s="4" t="b">
        <f>AND(((F320)=TRUE), ((J320)=TRUE))</f>
        <v>0</v>
      </c>
      <c r="L320" s="4" t="b">
        <f>AND(((G320 &lt;&gt; "plain")=TRUE), ((G320 &lt;&gt; "")=TRUE))</f>
        <v>0</v>
      </c>
      <c r="M320" s="4" t="str">
        <f>IF(((E320)=TRUE),  C320 &amp; "|" &amp; H320,  "")</f>
        <v>principal-close-automation|Steps</v>
      </c>
      <c r="N320" s="3" t="s">
        <v>10004</v>
      </c>
    </row>
    <row r="321">
      <c r="A321" s="3" t="s">
        <v>10323</v>
      </c>
      <c r="B321" s="4" t="str">
        <f>C321 &amp; " -&gt; " &amp; D321</f>
        <v>principal-close-automation -&gt; Steps.ExpectedDurationMinutes</v>
      </c>
      <c r="C321" s="3" t="s">
        <v>9764</v>
      </c>
      <c r="D321" s="3" t="s">
        <v>2883</v>
      </c>
      <c r="E321" s="3" t="b">
        <v>1</v>
      </c>
      <c r="F321" s="3" t="b">
        <v>0</v>
      </c>
      <c r="G321" s="3" t="s">
        <v>10003</v>
      </c>
      <c r="H321" s="4" t="str">
        <f>_xlfn.IFNA(IF(((INDEX(RulebookFields!C2:C1898, MATCH(D321,RulebookFields!A2:A1898, 0))="")=TRUE),  "",  INDEX(RulebookFields!C2:C1898, MATCH(D321,RulebookFields!A2:A1898, 0))), "")</f>
        <v>Steps</v>
      </c>
      <c r="I321" s="4" t="str">
        <f>_xlfn.IFNA(IF(((INDEX(RulebookFields!D2:D1898, MATCH(D321,RulebookFields!A2:A1898, 0))="")=TRUE),  "",  INDEX(RulebookFields!D2:D1898, MATCH(D321,RulebookFields!A2:A1898, 0))), "")</f>
        <v>ExpectedDurationMinutes</v>
      </c>
      <c r="J321" s="4" t="b">
        <f>_xlfn.IFNA(IF(((INDEX(RulebookFields!I2:I1898, MATCH(D321,RulebookFields!A2:A1898, 0))="")=TRUE),  "",  INDEX(RulebookFields!I2:I1898, MATCH(D321,RulebookFields!A2:A1898, 0))), "")</f>
        <v>0</v>
      </c>
      <c r="K321" s="4" t="b">
        <f>AND(((F321)=TRUE), ((J321)=TRUE))</f>
        <v>0</v>
      </c>
      <c r="L321" s="4" t="b">
        <f>AND(((G321 &lt;&gt; "plain")=TRUE), ((G321 &lt;&gt; "")=TRUE))</f>
        <v>0</v>
      </c>
      <c r="M321" s="4" t="str">
        <f>IF(((E321)=TRUE),  C321 &amp; "|" &amp; H321,  "")</f>
        <v>principal-close-automation|Steps</v>
      </c>
      <c r="N321" s="3" t="s">
        <v>10004</v>
      </c>
    </row>
    <row r="322">
      <c r="A322" s="3" t="s">
        <v>10324</v>
      </c>
      <c r="B322" s="4" t="str">
        <f>C322 &amp; " -&gt; " &amp; D322</f>
        <v>principal-close-automation -&gt; StepExecutions.StepExecutionId</v>
      </c>
      <c r="C322" s="3" t="s">
        <v>9764</v>
      </c>
      <c r="D322" s="3" t="s">
        <v>3573</v>
      </c>
      <c r="E322" s="3" t="b">
        <v>1</v>
      </c>
      <c r="F322" s="3" t="b">
        <v>0</v>
      </c>
      <c r="G322" s="3" t="s">
        <v>10003</v>
      </c>
      <c r="H322" s="4" t="str">
        <f>_xlfn.IFNA(IF(((INDEX(RulebookFields!C2:C1898, MATCH(D322,RulebookFields!A2:A1898, 0))="")=TRUE),  "",  INDEX(RulebookFields!C2:C1898, MATCH(D322,RulebookFields!A2:A1898, 0))), "")</f>
        <v>StepExecutions</v>
      </c>
      <c r="I322" s="4" t="str">
        <f>_xlfn.IFNA(IF(((INDEX(RulebookFields!D2:D1898, MATCH(D322,RulebookFields!A2:A1898, 0))="")=TRUE),  "",  INDEX(RulebookFields!D2:D1898, MATCH(D322,RulebookFields!A2:A1898, 0))), "")</f>
        <v>StepExecutionId</v>
      </c>
      <c r="J322" s="4" t="b">
        <f>_xlfn.IFNA(IF(((INDEX(RulebookFields!I2:I1898, MATCH(D322,RulebookFields!A2:A1898, 0))="")=TRUE),  "",  INDEX(RulebookFields!I2:I1898, MATCH(D322,RulebookFields!A2:A1898, 0))), "")</f>
        <v>0</v>
      </c>
      <c r="K322" s="4" t="b">
        <f>AND(((F322)=TRUE), ((J322)=TRUE))</f>
        <v>0</v>
      </c>
      <c r="L322" s="4" t="b">
        <f>AND(((G322 &lt;&gt; "plain")=TRUE), ((G322 &lt;&gt; "")=TRUE))</f>
        <v>0</v>
      </c>
      <c r="M322" s="4" t="str">
        <f>IF(((E322)=TRUE),  C322 &amp; "|" &amp; H322,  "")</f>
        <v>principal-close-automation|StepExecutions</v>
      </c>
      <c r="N322" s="3" t="s">
        <v>10004</v>
      </c>
    </row>
    <row r="323">
      <c r="A323" s="3" t="s">
        <v>10325</v>
      </c>
      <c r="B323" s="4" t="str">
        <f>C323 &amp; " -&gt; " &amp; D323</f>
        <v>principal-close-automation -&gt; StepExecutions.Step</v>
      </c>
      <c r="C323" s="3" t="s">
        <v>9764</v>
      </c>
      <c r="D323" s="3" t="s">
        <v>3577</v>
      </c>
      <c r="E323" s="3" t="b">
        <v>1</v>
      </c>
      <c r="F323" s="3" t="b">
        <v>0</v>
      </c>
      <c r="G323" s="3" t="s">
        <v>10003</v>
      </c>
      <c r="H323" s="4" t="str">
        <f>_xlfn.IFNA(IF(((INDEX(RulebookFields!C2:C1898, MATCH(D323,RulebookFields!A2:A1898, 0))="")=TRUE),  "",  INDEX(RulebookFields!C2:C1898, MATCH(D323,RulebookFields!A2:A1898, 0))), "")</f>
        <v>StepExecutions</v>
      </c>
      <c r="I323" s="4" t="str">
        <f>_xlfn.IFNA(IF(((INDEX(RulebookFields!D2:D1898, MATCH(D323,RulebookFields!A2:A1898, 0))="")=TRUE),  "",  INDEX(RulebookFields!D2:D1898, MATCH(D323,RulebookFields!A2:A1898, 0))), "")</f>
        <v>Step</v>
      </c>
      <c r="J323" s="4" t="b">
        <f>_xlfn.IFNA(IF(((INDEX(RulebookFields!I2:I1898, MATCH(D323,RulebookFields!A2:A1898, 0))="")=TRUE),  "",  INDEX(RulebookFields!I2:I1898, MATCH(D323,RulebookFields!A2:A1898, 0))), "")</f>
        <v>0</v>
      </c>
      <c r="K323" s="4" t="b">
        <f>AND(((F323)=TRUE), ((J323)=TRUE))</f>
        <v>0</v>
      </c>
      <c r="L323" s="4" t="b">
        <f>AND(((G323 &lt;&gt; "plain")=TRUE), ((G323 &lt;&gt; "")=TRUE))</f>
        <v>0</v>
      </c>
      <c r="M323" s="4" t="str">
        <f>IF(((E323)=TRUE),  C323 &amp; "|" &amp; H323,  "")</f>
        <v>principal-close-automation|StepExecutions</v>
      </c>
      <c r="N323" s="3" t="s">
        <v>10004</v>
      </c>
    </row>
    <row r="324">
      <c r="A324" s="3" t="s">
        <v>10326</v>
      </c>
      <c r="B324" s="4" t="str">
        <f>C324 &amp; " -&gt; " &amp; D324</f>
        <v>principal-close-automation -&gt; StepExecutions.ExecutionStatus</v>
      </c>
      <c r="C324" s="3" t="s">
        <v>9764</v>
      </c>
      <c r="D324" s="3" t="s">
        <v>3579</v>
      </c>
      <c r="E324" s="3" t="b">
        <v>1</v>
      </c>
      <c r="F324" s="3" t="b">
        <v>0</v>
      </c>
      <c r="G324" s="3" t="s">
        <v>10003</v>
      </c>
      <c r="H324" s="4" t="str">
        <f>_xlfn.IFNA(IF(((INDEX(RulebookFields!C2:C1898, MATCH(D324,RulebookFields!A2:A1898, 0))="")=TRUE),  "",  INDEX(RulebookFields!C2:C1898, MATCH(D324,RulebookFields!A2:A1898, 0))), "")</f>
        <v>StepExecutions</v>
      </c>
      <c r="I324" s="4" t="str">
        <f>_xlfn.IFNA(IF(((INDEX(RulebookFields!D2:D1898, MATCH(D324,RulebookFields!A2:A1898, 0))="")=TRUE),  "",  INDEX(RulebookFields!D2:D1898, MATCH(D324,RulebookFields!A2:A1898, 0))), "")</f>
        <v>ExecutionStatus</v>
      </c>
      <c r="J324" s="4" t="b">
        <f>_xlfn.IFNA(IF(((INDEX(RulebookFields!I2:I1898, MATCH(D324,RulebookFields!A2:A1898, 0))="")=TRUE),  "",  INDEX(RulebookFields!I2:I1898, MATCH(D324,RulebookFields!A2:A1898, 0))), "")</f>
        <v>0</v>
      </c>
      <c r="K324" s="4" t="b">
        <f>AND(((F324)=TRUE), ((J324)=TRUE))</f>
        <v>0</v>
      </c>
      <c r="L324" s="4" t="b">
        <f>AND(((G324 &lt;&gt; "plain")=TRUE), ((G324 &lt;&gt; "")=TRUE))</f>
        <v>0</v>
      </c>
      <c r="M324" s="4" t="str">
        <f>IF(((E324)=TRUE),  C324 &amp; "|" &amp; H324,  "")</f>
        <v>principal-close-automation|StepExecutions</v>
      </c>
      <c r="N324" s="3" t="s">
        <v>10004</v>
      </c>
    </row>
    <row r="325">
      <c r="A325" s="3" t="s">
        <v>10327</v>
      </c>
      <c r="B325" s="4" t="str">
        <f>C325 &amp; " -&gt; " &amp; D325</f>
        <v>principal-close-automation -&gt; StepExecutions.StartedAt</v>
      </c>
      <c r="C325" s="3" t="s">
        <v>9764</v>
      </c>
      <c r="D325" s="3" t="s">
        <v>3580</v>
      </c>
      <c r="E325" s="3" t="b">
        <v>1</v>
      </c>
      <c r="F325" s="3" t="b">
        <v>0</v>
      </c>
      <c r="G325" s="3" t="s">
        <v>10003</v>
      </c>
      <c r="H325" s="4" t="str">
        <f>_xlfn.IFNA(IF(((INDEX(RulebookFields!C2:C1898, MATCH(D325,RulebookFields!A2:A1898, 0))="")=TRUE),  "",  INDEX(RulebookFields!C2:C1898, MATCH(D325,RulebookFields!A2:A1898, 0))), "")</f>
        <v>StepExecutions</v>
      </c>
      <c r="I325" s="4" t="str">
        <f>_xlfn.IFNA(IF(((INDEX(RulebookFields!D2:D1898, MATCH(D325,RulebookFields!A2:A1898, 0))="")=TRUE),  "",  INDEX(RulebookFields!D2:D1898, MATCH(D325,RulebookFields!A2:A1898, 0))), "")</f>
        <v>StartedAt</v>
      </c>
      <c r="J325" s="4" t="b">
        <f>_xlfn.IFNA(IF(((INDEX(RulebookFields!I2:I1898, MATCH(D325,RulebookFields!A2:A1898, 0))="")=TRUE),  "",  INDEX(RulebookFields!I2:I1898, MATCH(D325,RulebookFields!A2:A1898, 0))), "")</f>
        <v>0</v>
      </c>
      <c r="K325" s="4" t="b">
        <f>AND(((F325)=TRUE), ((J325)=TRUE))</f>
        <v>0</v>
      </c>
      <c r="L325" s="4" t="b">
        <f>AND(((G325 &lt;&gt; "plain")=TRUE), ((G325 &lt;&gt; "")=TRUE))</f>
        <v>0</v>
      </c>
      <c r="M325" s="4" t="str">
        <f>IF(((E325)=TRUE),  C325 &amp; "|" &amp; H325,  "")</f>
        <v>principal-close-automation|StepExecutions</v>
      </c>
      <c r="N325" s="3" t="s">
        <v>10004</v>
      </c>
    </row>
    <row r="326">
      <c r="A326" s="3" t="s">
        <v>10328</v>
      </c>
      <c r="B326" s="4" t="str">
        <f>C326 &amp; " -&gt; " &amp; D326</f>
        <v>principal-close-automation -&gt; StepExecutions.EndedAt</v>
      </c>
      <c r="C326" s="3" t="s">
        <v>9764</v>
      </c>
      <c r="D326" s="3" t="s">
        <v>3581</v>
      </c>
      <c r="E326" s="3" t="b">
        <v>1</v>
      </c>
      <c r="F326" s="3" t="b">
        <v>0</v>
      </c>
      <c r="G326" s="3" t="s">
        <v>10003</v>
      </c>
      <c r="H326" s="4" t="str">
        <f>_xlfn.IFNA(IF(((INDEX(RulebookFields!C2:C1898, MATCH(D326,RulebookFields!A2:A1898, 0))="")=TRUE),  "",  INDEX(RulebookFields!C2:C1898, MATCH(D326,RulebookFields!A2:A1898, 0))), "")</f>
        <v>StepExecutions</v>
      </c>
      <c r="I326" s="4" t="str">
        <f>_xlfn.IFNA(IF(((INDEX(RulebookFields!D2:D1898, MATCH(D326,RulebookFields!A2:A1898, 0))="")=TRUE),  "",  INDEX(RulebookFields!D2:D1898, MATCH(D326,RulebookFields!A2:A1898, 0))), "")</f>
        <v>EndedAt</v>
      </c>
      <c r="J326" s="4" t="b">
        <f>_xlfn.IFNA(IF(((INDEX(RulebookFields!I2:I1898, MATCH(D326,RulebookFields!A2:A1898, 0))="")=TRUE),  "",  INDEX(RulebookFields!I2:I1898, MATCH(D326,RulebookFields!A2:A1898, 0))), "")</f>
        <v>0</v>
      </c>
      <c r="K326" s="4" t="b">
        <f>AND(((F326)=TRUE), ((J326)=TRUE))</f>
        <v>0</v>
      </c>
      <c r="L326" s="4" t="b">
        <f>AND(((G326 &lt;&gt; "plain")=TRUE), ((G326 &lt;&gt; "")=TRUE))</f>
        <v>0</v>
      </c>
      <c r="M326" s="4" t="str">
        <f>IF(((E326)=TRUE),  C326 &amp; "|" &amp; H326,  "")</f>
        <v>principal-close-automation|StepExecutions</v>
      </c>
      <c r="N326" s="3" t="s">
        <v>10004</v>
      </c>
    </row>
    <row r="327">
      <c r="A327" s="3" t="s">
        <v>10329</v>
      </c>
      <c r="B327" s="4" t="str">
        <f>C327 &amp; " -&gt; " &amp; D327</f>
        <v>principal-close-automation -&gt; StepExecutions.VerificationResult</v>
      </c>
      <c r="C327" s="3" t="s">
        <v>9764</v>
      </c>
      <c r="D327" s="3" t="s">
        <v>3582</v>
      </c>
      <c r="E327" s="3" t="b">
        <v>1</v>
      </c>
      <c r="F327" s="3" t="b">
        <v>0</v>
      </c>
      <c r="G327" s="3" t="s">
        <v>10003</v>
      </c>
      <c r="H327" s="4" t="str">
        <f>_xlfn.IFNA(IF(((INDEX(RulebookFields!C2:C1898, MATCH(D327,RulebookFields!A2:A1898, 0))="")=TRUE),  "",  INDEX(RulebookFields!C2:C1898, MATCH(D327,RulebookFields!A2:A1898, 0))), "")</f>
        <v>StepExecutions</v>
      </c>
      <c r="I327" s="4" t="str">
        <f>_xlfn.IFNA(IF(((INDEX(RulebookFields!D2:D1898, MATCH(D327,RulebookFields!A2:A1898, 0))="")=TRUE),  "",  INDEX(RulebookFields!D2:D1898, MATCH(D327,RulebookFields!A2:A1898, 0))), "")</f>
        <v>VerificationResult</v>
      </c>
      <c r="J327" s="4" t="b">
        <f>_xlfn.IFNA(IF(((INDEX(RulebookFields!I2:I1898, MATCH(D327,RulebookFields!A2:A1898, 0))="")=TRUE),  "",  INDEX(RulebookFields!I2:I1898, MATCH(D327,RulebookFields!A2:A1898, 0))), "")</f>
        <v>0</v>
      </c>
      <c r="K327" s="4" t="b">
        <f>AND(((F327)=TRUE), ((J327)=TRUE))</f>
        <v>0</v>
      </c>
      <c r="L327" s="4" t="b">
        <f>AND(((G327 &lt;&gt; "plain")=TRUE), ((G327 &lt;&gt; "")=TRUE))</f>
        <v>0</v>
      </c>
      <c r="M327" s="4" t="str">
        <f>IF(((E327)=TRUE),  C327 &amp; "|" &amp; H327,  "")</f>
        <v>principal-close-automation|StepExecutions</v>
      </c>
      <c r="N327" s="3" t="s">
        <v>10004</v>
      </c>
    </row>
    <row r="328">
      <c r="A328" s="3" t="s">
        <v>10330</v>
      </c>
      <c r="B328" s="4" t="str">
        <f>C328 &amp; " -&gt; " &amp; D328</f>
        <v>principal-close-automation -&gt; StepExecutions.Name</v>
      </c>
      <c r="C328" s="3" t="s">
        <v>9764</v>
      </c>
      <c r="D328" s="3" t="s">
        <v>3574</v>
      </c>
      <c r="E328" s="3" t="b">
        <v>1</v>
      </c>
      <c r="F328" s="3" t="b">
        <v>0</v>
      </c>
      <c r="G328" s="3" t="s">
        <v>10003</v>
      </c>
      <c r="H328" s="4" t="str">
        <f>_xlfn.IFNA(IF(((INDEX(RulebookFields!C2:C1898, MATCH(D328,RulebookFields!A2:A1898, 0))="")=TRUE),  "",  INDEX(RulebookFields!C2:C1898, MATCH(D328,RulebookFields!A2:A1898, 0))), "")</f>
        <v>StepExecutions</v>
      </c>
      <c r="I328" s="4" t="str">
        <f>_xlfn.IFNA(IF(((INDEX(RulebookFields!D2:D1898, MATCH(D328,RulebookFields!A2:A1898, 0))="")=TRUE),  "",  INDEX(RulebookFields!D2:D1898, MATCH(D328,RulebookFields!A2:A1898, 0))), "")</f>
        <v>Name</v>
      </c>
      <c r="J328" s="4" t="b">
        <f>_xlfn.IFNA(IF(((INDEX(RulebookFields!I2:I1898, MATCH(D328,RulebookFields!A2:A1898, 0))="")=TRUE),  "",  INDEX(RulebookFields!I2:I1898, MATCH(D328,RulebookFields!A2:A1898, 0))), "")</f>
        <v>1</v>
      </c>
      <c r="K328" s="4" t="b">
        <f>AND(((F328)=TRUE), ((J328)=TRUE))</f>
        <v>0</v>
      </c>
      <c r="L328" s="4" t="b">
        <f>AND(((G328 &lt;&gt; "plain")=TRUE), ((G328 &lt;&gt; "")=TRUE))</f>
        <v>0</v>
      </c>
      <c r="M328" s="4" t="str">
        <f>IF(((E328)=TRUE),  C328 &amp; "|" &amp; H328,  "")</f>
        <v>principal-close-automation|StepExecutions</v>
      </c>
      <c r="N328" s="3" t="s">
        <v>10004</v>
      </c>
    </row>
    <row r="329">
      <c r="A329" s="3" t="s">
        <v>10331</v>
      </c>
      <c r="B329" s="4" t="str">
        <f>C329 &amp; " -&gt; " &amp; D329</f>
        <v>principal-close-automation -&gt; Errors.ErrorId</v>
      </c>
      <c r="C329" s="3" t="s">
        <v>9764</v>
      </c>
      <c r="D329" s="3" t="s">
        <v>3853</v>
      </c>
      <c r="E329" s="3" t="b">
        <v>1</v>
      </c>
      <c r="F329" s="3" t="b">
        <v>0</v>
      </c>
      <c r="G329" s="3" t="s">
        <v>10003</v>
      </c>
      <c r="H329" s="4" t="str">
        <f>_xlfn.IFNA(IF(((INDEX(RulebookFields!C2:C1898, MATCH(D329,RulebookFields!A2:A1898, 0))="")=TRUE),  "",  INDEX(RulebookFields!C2:C1898, MATCH(D329,RulebookFields!A2:A1898, 0))), "")</f>
        <v>Errors</v>
      </c>
      <c r="I329" s="4" t="str">
        <f>_xlfn.IFNA(IF(((INDEX(RulebookFields!D2:D1898, MATCH(D329,RulebookFields!A2:A1898, 0))="")=TRUE),  "",  INDEX(RulebookFields!D2:D1898, MATCH(D329,RulebookFields!A2:A1898, 0))), "")</f>
        <v>ErrorId</v>
      </c>
      <c r="J329" s="4" t="b">
        <f>_xlfn.IFNA(IF(((INDEX(RulebookFields!I2:I1898, MATCH(D329,RulebookFields!A2:A1898, 0))="")=TRUE),  "",  INDEX(RulebookFields!I2:I1898, MATCH(D329,RulebookFields!A2:A1898, 0))), "")</f>
        <v>0</v>
      </c>
      <c r="K329" s="4" t="b">
        <f>AND(((F329)=TRUE), ((J329)=TRUE))</f>
        <v>0</v>
      </c>
      <c r="L329" s="4" t="b">
        <f>AND(((G329 &lt;&gt; "plain")=TRUE), ((G329 &lt;&gt; "")=TRUE))</f>
        <v>0</v>
      </c>
      <c r="M329" s="4" t="str">
        <f>IF(((E329)=TRUE),  C329 &amp; "|" &amp; H329,  "")</f>
        <v>principal-close-automation|Errors</v>
      </c>
      <c r="N329" s="3" t="s">
        <v>10004</v>
      </c>
    </row>
    <row r="330">
      <c r="A330" s="3" t="s">
        <v>10332</v>
      </c>
      <c r="B330" s="4" t="str">
        <f>C330 &amp; " -&gt; " &amp; D330</f>
        <v>principal-close-automation -&gt; Errors.Name</v>
      </c>
      <c r="C330" s="3" t="s">
        <v>9764</v>
      </c>
      <c r="D330" s="3" t="s">
        <v>3854</v>
      </c>
      <c r="E330" s="3" t="b">
        <v>1</v>
      </c>
      <c r="F330" s="3" t="b">
        <v>0</v>
      </c>
      <c r="G330" s="3" t="s">
        <v>10003</v>
      </c>
      <c r="H330" s="4" t="str">
        <f>_xlfn.IFNA(IF(((INDEX(RulebookFields!C2:C1898, MATCH(D330,RulebookFields!A2:A1898, 0))="")=TRUE),  "",  INDEX(RulebookFields!C2:C1898, MATCH(D330,RulebookFields!A2:A1898, 0))), "")</f>
        <v>Errors</v>
      </c>
      <c r="I330" s="4" t="str">
        <f>_xlfn.IFNA(IF(((INDEX(RulebookFields!D2:D1898, MATCH(D330,RulebookFields!A2:A1898, 0))="")=TRUE),  "",  INDEX(RulebookFields!D2:D1898, MATCH(D330,RulebookFields!A2:A1898, 0))), "")</f>
        <v>Name</v>
      </c>
      <c r="J330" s="4" t="b">
        <f>_xlfn.IFNA(IF(((INDEX(RulebookFields!I2:I1898, MATCH(D330,RulebookFields!A2:A1898, 0))="")=TRUE),  "",  INDEX(RulebookFields!I2:I1898, MATCH(D330,RulebookFields!A2:A1898, 0))), "")</f>
        <v>1</v>
      </c>
      <c r="K330" s="4" t="b">
        <f>AND(((F330)=TRUE), ((J330)=TRUE))</f>
        <v>0</v>
      </c>
      <c r="L330" s="4" t="b">
        <f>AND(((G330 &lt;&gt; "plain")=TRUE), ((G330 &lt;&gt; "")=TRUE))</f>
        <v>0</v>
      </c>
      <c r="M330" s="4" t="str">
        <f>IF(((E330)=TRUE),  C330 &amp; "|" &amp; H330,  "")</f>
        <v>principal-close-automation|Errors</v>
      </c>
      <c r="N330" s="3" t="s">
        <v>10004</v>
      </c>
    </row>
    <row r="331">
      <c r="A331" s="3" t="s">
        <v>10333</v>
      </c>
      <c r="B331" s="4" t="str">
        <f>C331 &amp; " -&gt; " &amp; D331</f>
        <v>principal-close-automation -&gt; Errors.Label</v>
      </c>
      <c r="C331" s="3" t="s">
        <v>9764</v>
      </c>
      <c r="D331" s="3" t="s">
        <v>3856</v>
      </c>
      <c r="E331" s="3" t="b">
        <v>1</v>
      </c>
      <c r="F331" s="3" t="b">
        <v>0</v>
      </c>
      <c r="G331" s="3" t="s">
        <v>10003</v>
      </c>
      <c r="H331" s="4" t="str">
        <f>_xlfn.IFNA(IF(((INDEX(RulebookFields!C2:C1898, MATCH(D331,RulebookFields!A2:A1898, 0))="")=TRUE),  "",  INDEX(RulebookFields!C2:C1898, MATCH(D331,RulebookFields!A2:A1898, 0))), "")</f>
        <v>Errors</v>
      </c>
      <c r="I331" s="4" t="str">
        <f>_xlfn.IFNA(IF(((INDEX(RulebookFields!D2:D1898, MATCH(D331,RulebookFields!A2:A1898, 0))="")=TRUE),  "",  INDEX(RulebookFields!D2:D1898, MATCH(D331,RulebookFields!A2:A1898, 0))), "")</f>
        <v>Label</v>
      </c>
      <c r="J331" s="4" t="b">
        <f>_xlfn.IFNA(IF(((INDEX(RulebookFields!I2:I1898, MATCH(D331,RulebookFields!A2:A1898, 0))="")=TRUE),  "",  INDEX(RulebookFields!I2:I1898, MATCH(D331,RulebookFields!A2:A1898, 0))), "")</f>
        <v>0</v>
      </c>
      <c r="K331" s="4" t="b">
        <f>AND(((F331)=TRUE), ((J331)=TRUE))</f>
        <v>0</v>
      </c>
      <c r="L331" s="4" t="b">
        <f>AND(((G331 &lt;&gt; "plain")=TRUE), ((G331 &lt;&gt; "")=TRUE))</f>
        <v>0</v>
      </c>
      <c r="M331" s="4" t="str">
        <f>IF(((E331)=TRUE),  C331 &amp; "|" &amp; H331,  "")</f>
        <v>principal-close-automation|Errors</v>
      </c>
      <c r="N331" s="3" t="s">
        <v>10004</v>
      </c>
    </row>
    <row r="332">
      <c r="A332" s="3" t="s">
        <v>10334</v>
      </c>
      <c r="B332" s="4" t="str">
        <f>C332 &amp; " -&gt; " &amp; D332</f>
        <v>principal-close-automation -&gt; Errors.ErrorCode</v>
      </c>
      <c r="C332" s="3" t="s">
        <v>9764</v>
      </c>
      <c r="D332" s="3" t="s">
        <v>3857</v>
      </c>
      <c r="E332" s="3" t="b">
        <v>1</v>
      </c>
      <c r="F332" s="3" t="b">
        <v>0</v>
      </c>
      <c r="G332" s="3" t="s">
        <v>10003</v>
      </c>
      <c r="H332" s="4" t="str">
        <f>_xlfn.IFNA(IF(((INDEX(RulebookFields!C2:C1898, MATCH(D332,RulebookFields!A2:A1898, 0))="")=TRUE),  "",  INDEX(RulebookFields!C2:C1898, MATCH(D332,RulebookFields!A2:A1898, 0))), "")</f>
        <v>Errors</v>
      </c>
      <c r="I332" s="4" t="str">
        <f>_xlfn.IFNA(IF(((INDEX(RulebookFields!D2:D1898, MATCH(D332,RulebookFields!A2:A1898, 0))="")=TRUE),  "",  INDEX(RulebookFields!D2:D1898, MATCH(D332,RulebookFields!A2:A1898, 0))), "")</f>
        <v>ErrorCode</v>
      </c>
      <c r="J332" s="4" t="b">
        <f>_xlfn.IFNA(IF(((INDEX(RulebookFields!I2:I1898, MATCH(D332,RulebookFields!A2:A1898, 0))="")=TRUE),  "",  INDEX(RulebookFields!I2:I1898, MATCH(D332,RulebookFields!A2:A1898, 0))), "")</f>
        <v>0</v>
      </c>
      <c r="K332" s="4" t="b">
        <f>AND(((F332)=TRUE), ((J332)=TRUE))</f>
        <v>0</v>
      </c>
      <c r="L332" s="4" t="b">
        <f>AND(((G332 &lt;&gt; "plain")=TRUE), ((G332 &lt;&gt; "")=TRUE))</f>
        <v>0</v>
      </c>
      <c r="M332" s="4" t="str">
        <f>IF(((E332)=TRUE),  C332 &amp; "|" &amp; H332,  "")</f>
        <v>principal-close-automation|Errors</v>
      </c>
      <c r="N332" s="3" t="s">
        <v>10004</v>
      </c>
    </row>
    <row r="333">
      <c r="A333" s="3" t="s">
        <v>10335</v>
      </c>
      <c r="B333" s="4" t="str">
        <f>C333 &amp; " -&gt; " &amp; D333</f>
        <v>principal-close-automation -&gt; Errors.ErrorCause</v>
      </c>
      <c r="C333" s="3" t="s">
        <v>9764</v>
      </c>
      <c r="D333" s="3" t="s">
        <v>3858</v>
      </c>
      <c r="E333" s="3" t="b">
        <v>1</v>
      </c>
      <c r="F333" s="3" t="b">
        <v>0</v>
      </c>
      <c r="G333" s="3" t="s">
        <v>10003</v>
      </c>
      <c r="H333" s="4" t="str">
        <f>_xlfn.IFNA(IF(((INDEX(RulebookFields!C2:C1898, MATCH(D333,RulebookFields!A2:A1898, 0))="")=TRUE),  "",  INDEX(RulebookFields!C2:C1898, MATCH(D333,RulebookFields!A2:A1898, 0))), "")</f>
        <v>Errors</v>
      </c>
      <c r="I333" s="4" t="str">
        <f>_xlfn.IFNA(IF(((INDEX(RulebookFields!D2:D1898, MATCH(D333,RulebookFields!A2:A1898, 0))="")=TRUE),  "",  INDEX(RulebookFields!D2:D1898, MATCH(D333,RulebookFields!A2:A1898, 0))), "")</f>
        <v>ErrorCause</v>
      </c>
      <c r="J333" s="4" t="b">
        <f>_xlfn.IFNA(IF(((INDEX(RulebookFields!I2:I1898, MATCH(D333,RulebookFields!A2:A1898, 0))="")=TRUE),  "",  INDEX(RulebookFields!I2:I1898, MATCH(D333,RulebookFields!A2:A1898, 0))), "")</f>
        <v>0</v>
      </c>
      <c r="K333" s="4" t="b">
        <f>AND(((F333)=TRUE), ((J333)=TRUE))</f>
        <v>0</v>
      </c>
      <c r="L333" s="4" t="b">
        <f>AND(((G333 &lt;&gt; "plain")=TRUE), ((G333 &lt;&gt; "")=TRUE))</f>
        <v>0</v>
      </c>
      <c r="M333" s="4" t="str">
        <f>IF(((E333)=TRUE),  C333 &amp; "|" &amp; H333,  "")</f>
        <v>principal-close-automation|Errors</v>
      </c>
      <c r="N333" s="3" t="s">
        <v>10004</v>
      </c>
    </row>
    <row r="334">
      <c r="A334" s="3" t="s">
        <v>10336</v>
      </c>
      <c r="B334" s="4" t="str">
        <f>C334 &amp; " -&gt; " &amp; D334</f>
        <v>principal-close-automation -&gt; Errors.SemanticTypeIri</v>
      </c>
      <c r="C334" s="3" t="s">
        <v>9764</v>
      </c>
      <c r="D334" s="3" t="s">
        <v>3859</v>
      </c>
      <c r="E334" s="3" t="b">
        <v>1</v>
      </c>
      <c r="F334" s="3" t="b">
        <v>0</v>
      </c>
      <c r="G334" s="3" t="s">
        <v>10003</v>
      </c>
      <c r="H334" s="4" t="str">
        <f>_xlfn.IFNA(IF(((INDEX(RulebookFields!C2:C1898, MATCH(D334,RulebookFields!A2:A1898, 0))="")=TRUE),  "",  INDEX(RulebookFields!C2:C1898, MATCH(D334,RulebookFields!A2:A1898, 0))), "")</f>
        <v>Errors</v>
      </c>
      <c r="I334" s="4" t="str">
        <f>_xlfn.IFNA(IF(((INDEX(RulebookFields!D2:D1898, MATCH(D334,RulebookFields!A2:A1898, 0))="")=TRUE),  "",  INDEX(RulebookFields!D2:D1898, MATCH(D334,RulebookFields!A2:A1898, 0))), "")</f>
        <v>SemanticTypeIri</v>
      </c>
      <c r="J334" s="4" t="b">
        <f>_xlfn.IFNA(IF(((INDEX(RulebookFields!I2:I1898, MATCH(D334,RulebookFields!A2:A1898, 0))="")=TRUE),  "",  INDEX(RulebookFields!I2:I1898, MATCH(D334,RulebookFields!A2:A1898, 0))), "")</f>
        <v>0</v>
      </c>
      <c r="K334" s="4" t="b">
        <f>AND(((F334)=TRUE), ((J334)=TRUE))</f>
        <v>0</v>
      </c>
      <c r="L334" s="4" t="b">
        <f>AND(((G334 &lt;&gt; "plain")=TRUE), ((G334 &lt;&gt; "")=TRUE))</f>
        <v>0</v>
      </c>
      <c r="M334" s="4" t="str">
        <f>IF(((E334)=TRUE),  C334 &amp; "|" &amp; H334,  "")</f>
        <v>principal-close-automation|Errors</v>
      </c>
      <c r="N334" s="3" t="s">
        <v>10004</v>
      </c>
    </row>
    <row r="335">
      <c r="A335" s="3" t="s">
        <v>10337</v>
      </c>
      <c r="B335" s="4" t="str">
        <f>C335 &amp; " -&gt; " &amp; D335</f>
        <v>principal-variance-review-agent -&gt; Steps.StepId</v>
      </c>
      <c r="C335" s="3" t="s">
        <v>9766</v>
      </c>
      <c r="D335" s="3" t="s">
        <v>2870</v>
      </c>
      <c r="E335" s="3" t="b">
        <v>1</v>
      </c>
      <c r="F335" s="3" t="b">
        <v>0</v>
      </c>
      <c r="G335" s="3" t="s">
        <v>10003</v>
      </c>
      <c r="H335" s="4" t="str">
        <f>_xlfn.IFNA(IF(((INDEX(RulebookFields!C2:C1898, MATCH(D335,RulebookFields!A2:A1898, 0))="")=TRUE),  "",  INDEX(RulebookFields!C2:C1898, MATCH(D335,RulebookFields!A2:A1898, 0))), "")</f>
        <v>Steps</v>
      </c>
      <c r="I335" s="4" t="str">
        <f>_xlfn.IFNA(IF(((INDEX(RulebookFields!D2:D1898, MATCH(D335,RulebookFields!A2:A1898, 0))="")=TRUE),  "",  INDEX(RulebookFields!D2:D1898, MATCH(D335,RulebookFields!A2:A1898, 0))), "")</f>
        <v>StepId</v>
      </c>
      <c r="J335" s="4" t="b">
        <f>_xlfn.IFNA(IF(((INDEX(RulebookFields!I2:I1898, MATCH(D335,RulebookFields!A2:A1898, 0))="")=TRUE),  "",  INDEX(RulebookFields!I2:I1898, MATCH(D335,RulebookFields!A2:A1898, 0))), "")</f>
        <v>0</v>
      </c>
      <c r="K335" s="4" t="b">
        <f>AND(((F335)=TRUE), ((J335)=TRUE))</f>
        <v>0</v>
      </c>
      <c r="L335" s="4" t="b">
        <f>AND(((G335 &lt;&gt; "plain")=TRUE), ((G335 &lt;&gt; "")=TRUE))</f>
        <v>0</v>
      </c>
      <c r="M335" s="4" t="str">
        <f>IF(((E335)=TRUE),  C335 &amp; "|" &amp; H335,  "")</f>
        <v>principal-variance-review-agent|Steps</v>
      </c>
      <c r="N335" s="3" t="s">
        <v>10004</v>
      </c>
    </row>
    <row r="336">
      <c r="A336" s="3" t="s">
        <v>10338</v>
      </c>
      <c r="B336" s="4" t="str">
        <f>C336 &amp; " -&gt; " &amp; D336</f>
        <v>principal-variance-review-agent -&gt; Steps.StepNumber</v>
      </c>
      <c r="C336" s="3" t="s">
        <v>9766</v>
      </c>
      <c r="D336" s="3" t="s">
        <v>2874</v>
      </c>
      <c r="E336" s="3" t="b">
        <v>1</v>
      </c>
      <c r="F336" s="3" t="b">
        <v>0</v>
      </c>
      <c r="G336" s="3" t="s">
        <v>10003</v>
      </c>
      <c r="H336" s="4" t="str">
        <f>_xlfn.IFNA(IF(((INDEX(RulebookFields!C2:C1898, MATCH(D336,RulebookFields!A2:A1898, 0))="")=TRUE),  "",  INDEX(RulebookFields!C2:C1898, MATCH(D336,RulebookFields!A2:A1898, 0))), "")</f>
        <v>Steps</v>
      </c>
      <c r="I336" s="4" t="str">
        <f>_xlfn.IFNA(IF(((INDEX(RulebookFields!D2:D1898, MATCH(D336,RulebookFields!A2:A1898, 0))="")=TRUE),  "",  INDEX(RulebookFields!D2:D1898, MATCH(D336,RulebookFields!A2:A1898, 0))), "")</f>
        <v>StepNumber</v>
      </c>
      <c r="J336" s="4" t="b">
        <f>_xlfn.IFNA(IF(((INDEX(RulebookFields!I2:I1898, MATCH(D336,RulebookFields!A2:A1898, 0))="")=TRUE),  "",  INDEX(RulebookFields!I2:I1898, MATCH(D336,RulebookFields!A2:A1898, 0))), "")</f>
        <v>0</v>
      </c>
      <c r="K336" s="4" t="b">
        <f>AND(((F336)=TRUE), ((J336)=TRUE))</f>
        <v>0</v>
      </c>
      <c r="L336" s="4" t="b">
        <f>AND(((G336 &lt;&gt; "plain")=TRUE), ((G336 &lt;&gt; "")=TRUE))</f>
        <v>0</v>
      </c>
      <c r="M336" s="4" t="str">
        <f>IF(((E336)=TRUE),  C336 &amp; "|" &amp; H336,  "")</f>
        <v>principal-variance-review-agent|Steps</v>
      </c>
      <c r="N336" s="3" t="s">
        <v>10004</v>
      </c>
    </row>
    <row r="337">
      <c r="A337" s="3" t="s">
        <v>10339</v>
      </c>
      <c r="B337" s="4" t="str">
        <f>C337 &amp; " -&gt; " &amp; D337</f>
        <v>principal-variance-review-agent -&gt; Steps.Title</v>
      </c>
      <c r="C337" s="3" t="s">
        <v>9766</v>
      </c>
      <c r="D337" s="3" t="s">
        <v>2875</v>
      </c>
      <c r="E337" s="3" t="b">
        <v>1</v>
      </c>
      <c r="F337" s="3" t="b">
        <v>0</v>
      </c>
      <c r="G337" s="3" t="s">
        <v>10003</v>
      </c>
      <c r="H337" s="4" t="str">
        <f>_xlfn.IFNA(IF(((INDEX(RulebookFields!C2:C1898, MATCH(D337,RulebookFields!A2:A1898, 0))="")=TRUE),  "",  INDEX(RulebookFields!C2:C1898, MATCH(D337,RulebookFields!A2:A1898, 0))), "")</f>
        <v>Steps</v>
      </c>
      <c r="I337" s="4" t="str">
        <f>_xlfn.IFNA(IF(((INDEX(RulebookFields!D2:D1898, MATCH(D337,RulebookFields!A2:A1898, 0))="")=TRUE),  "",  INDEX(RulebookFields!D2:D1898, MATCH(D337,RulebookFields!A2:A1898, 0))), "")</f>
        <v>Title</v>
      </c>
      <c r="J337" s="4" t="b">
        <f>_xlfn.IFNA(IF(((INDEX(RulebookFields!I2:I1898, MATCH(D337,RulebookFields!A2:A1898, 0))="")=TRUE),  "",  INDEX(RulebookFields!I2:I1898, MATCH(D337,RulebookFields!A2:A1898, 0))), "")</f>
        <v>0</v>
      </c>
      <c r="K337" s="4" t="b">
        <f>AND(((F337)=TRUE), ((J337)=TRUE))</f>
        <v>0</v>
      </c>
      <c r="L337" s="4" t="b">
        <f>AND(((G337 &lt;&gt; "plain")=TRUE), ((G337 &lt;&gt; "")=TRUE))</f>
        <v>0</v>
      </c>
      <c r="M337" s="4" t="str">
        <f>IF(((E337)=TRUE),  C337 &amp; "|" &amp; H337,  "")</f>
        <v>principal-variance-review-agent|Steps</v>
      </c>
      <c r="N337" s="3" t="s">
        <v>10004</v>
      </c>
    </row>
    <row r="338">
      <c r="A338" s="3" t="s">
        <v>10340</v>
      </c>
      <c r="B338" s="4" t="str">
        <f>C338 &amp; " -&gt; " &amp; D338</f>
        <v>principal-variance-review-agent -&gt; Steps.StepKind</v>
      </c>
      <c r="C338" s="3" t="s">
        <v>9766</v>
      </c>
      <c r="D338" s="3" t="s">
        <v>2876</v>
      </c>
      <c r="E338" s="3" t="b">
        <v>1</v>
      </c>
      <c r="F338" s="3" t="b">
        <v>0</v>
      </c>
      <c r="G338" s="3" t="s">
        <v>10003</v>
      </c>
      <c r="H338" s="4" t="str">
        <f>_xlfn.IFNA(IF(((INDEX(RulebookFields!C2:C1898, MATCH(D338,RulebookFields!A2:A1898, 0))="")=TRUE),  "",  INDEX(RulebookFields!C2:C1898, MATCH(D338,RulebookFields!A2:A1898, 0))), "")</f>
        <v>Steps</v>
      </c>
      <c r="I338" s="4" t="str">
        <f>_xlfn.IFNA(IF(((INDEX(RulebookFields!D2:D1898, MATCH(D338,RulebookFields!A2:A1898, 0))="")=TRUE),  "",  INDEX(RulebookFields!D2:D1898, MATCH(D338,RulebookFields!A2:A1898, 0))), "")</f>
        <v>StepKind</v>
      </c>
      <c r="J338" s="4" t="b">
        <f>_xlfn.IFNA(IF(((INDEX(RulebookFields!I2:I1898, MATCH(D338,RulebookFields!A2:A1898, 0))="")=TRUE),  "",  INDEX(RulebookFields!I2:I1898, MATCH(D338,RulebookFields!A2:A1898, 0))), "")</f>
        <v>0</v>
      </c>
      <c r="K338" s="4" t="b">
        <f>AND(((F338)=TRUE), ((J338)=TRUE))</f>
        <v>0</v>
      </c>
      <c r="L338" s="4" t="b">
        <f>AND(((G338 &lt;&gt; "plain")=TRUE), ((G338 &lt;&gt; "")=TRUE))</f>
        <v>0</v>
      </c>
      <c r="M338" s="4" t="str">
        <f>IF(((E338)=TRUE),  C338 &amp; "|" &amp; H338,  "")</f>
        <v>principal-variance-review-agent|Steps</v>
      </c>
      <c r="N338" s="3" t="s">
        <v>10004</v>
      </c>
    </row>
    <row r="339">
      <c r="A339" s="3" t="s">
        <v>10341</v>
      </c>
      <c r="B339" s="4" t="str">
        <f>C339 &amp; " -&gt; " &amp; D339</f>
        <v>principal-variance-review-agent -&gt; Steps.Instruction</v>
      </c>
      <c r="C339" s="3" t="s">
        <v>9766</v>
      </c>
      <c r="D339" s="3" t="s">
        <v>2882</v>
      </c>
      <c r="E339" s="3" t="b">
        <v>1</v>
      </c>
      <c r="F339" s="3" t="b">
        <v>0</v>
      </c>
      <c r="G339" s="3" t="s">
        <v>10003</v>
      </c>
      <c r="H339" s="4" t="str">
        <f>_xlfn.IFNA(IF(((INDEX(RulebookFields!C2:C1898, MATCH(D339,RulebookFields!A2:A1898, 0))="")=TRUE),  "",  INDEX(RulebookFields!C2:C1898, MATCH(D339,RulebookFields!A2:A1898, 0))), "")</f>
        <v>Steps</v>
      </c>
      <c r="I339" s="4" t="str">
        <f>_xlfn.IFNA(IF(((INDEX(RulebookFields!D2:D1898, MATCH(D339,RulebookFields!A2:A1898, 0))="")=TRUE),  "",  INDEX(RulebookFields!D2:D1898, MATCH(D339,RulebookFields!A2:A1898, 0))), "")</f>
        <v>Instruction</v>
      </c>
      <c r="J339" s="4" t="b">
        <f>_xlfn.IFNA(IF(((INDEX(RulebookFields!I2:I1898, MATCH(D339,RulebookFields!A2:A1898, 0))="")=TRUE),  "",  INDEX(RulebookFields!I2:I1898, MATCH(D339,RulebookFields!A2:A1898, 0))), "")</f>
        <v>0</v>
      </c>
      <c r="K339" s="4" t="b">
        <f>AND(((F339)=TRUE), ((J339)=TRUE))</f>
        <v>0</v>
      </c>
      <c r="L339" s="4" t="b">
        <f>AND(((G339 &lt;&gt; "plain")=TRUE), ((G339 &lt;&gt; "")=TRUE))</f>
        <v>0</v>
      </c>
      <c r="M339" s="4" t="str">
        <f>IF(((E339)=TRUE),  C339 &amp; "|" &amp; H339,  "")</f>
        <v>principal-variance-review-agent|Steps</v>
      </c>
      <c r="N339" s="3" t="s">
        <v>10004</v>
      </c>
    </row>
    <row r="340">
      <c r="A340" s="3" t="s">
        <v>10342</v>
      </c>
      <c r="B340" s="4" t="str">
        <f>C340 &amp; " -&gt; " &amp; D340</f>
        <v>principal-variance-review-agent -&gt; Steps.AssignedRole</v>
      </c>
      <c r="C340" s="3" t="s">
        <v>9766</v>
      </c>
      <c r="D340" s="3" t="s">
        <v>2877</v>
      </c>
      <c r="E340" s="3" t="b">
        <v>1</v>
      </c>
      <c r="F340" s="3" t="b">
        <v>0</v>
      </c>
      <c r="G340" s="3" t="s">
        <v>10003</v>
      </c>
      <c r="H340" s="4" t="str">
        <f>_xlfn.IFNA(IF(((INDEX(RulebookFields!C2:C1898, MATCH(D340,RulebookFields!A2:A1898, 0))="")=TRUE),  "",  INDEX(RulebookFields!C2:C1898, MATCH(D340,RulebookFields!A2:A1898, 0))), "")</f>
        <v>Steps</v>
      </c>
      <c r="I340" s="4" t="str">
        <f>_xlfn.IFNA(IF(((INDEX(RulebookFields!D2:D1898, MATCH(D340,RulebookFields!A2:A1898, 0))="")=TRUE),  "",  INDEX(RulebookFields!D2:D1898, MATCH(D340,RulebookFields!A2:A1898, 0))), "")</f>
        <v>AssignedRole</v>
      </c>
      <c r="J340" s="4" t="b">
        <f>_xlfn.IFNA(IF(((INDEX(RulebookFields!I2:I1898, MATCH(D340,RulebookFields!A2:A1898, 0))="")=TRUE),  "",  INDEX(RulebookFields!I2:I1898, MATCH(D340,RulebookFields!A2:A1898, 0))), "")</f>
        <v>0</v>
      </c>
      <c r="K340" s="4" t="b">
        <f>AND(((F340)=TRUE), ((J340)=TRUE))</f>
        <v>0</v>
      </c>
      <c r="L340" s="4" t="b">
        <f>AND(((G340 &lt;&gt; "plain")=TRUE), ((G340 &lt;&gt; "")=TRUE))</f>
        <v>0</v>
      </c>
      <c r="M340" s="4" t="str">
        <f>IF(((E340)=TRUE),  C340 &amp; "|" &amp; H340,  "")</f>
        <v>principal-variance-review-agent|Steps</v>
      </c>
      <c r="N340" s="3" t="s">
        <v>10004</v>
      </c>
    </row>
    <row r="341">
      <c r="A341" s="3" t="s">
        <v>10343</v>
      </c>
      <c r="B341" s="4" t="str">
        <f>C341 &amp; " -&gt; " &amp; D341</f>
        <v>principal-variance-review-agent -&gt; Steps.AssignedRoleLabel</v>
      </c>
      <c r="C341" s="3" t="s">
        <v>9766</v>
      </c>
      <c r="D341" s="3" t="s">
        <v>2878</v>
      </c>
      <c r="E341" s="3" t="b">
        <v>1</v>
      </c>
      <c r="F341" s="3" t="b">
        <v>0</v>
      </c>
      <c r="G341" s="3" t="s">
        <v>10003</v>
      </c>
      <c r="H341" s="4" t="str">
        <f>_xlfn.IFNA(IF(((INDEX(RulebookFields!C2:C1898, MATCH(D341,RulebookFields!A2:A1898, 0))="")=TRUE),  "",  INDEX(RulebookFields!C2:C1898, MATCH(D341,RulebookFields!A2:A1898, 0))), "")</f>
        <v>Steps</v>
      </c>
      <c r="I341" s="4" t="str">
        <f>_xlfn.IFNA(IF(((INDEX(RulebookFields!D2:D1898, MATCH(D341,RulebookFields!A2:A1898, 0))="")=TRUE),  "",  INDEX(RulebookFields!D2:D1898, MATCH(D341,RulebookFields!A2:A1898, 0))), "")</f>
        <v>AssignedRoleLabel</v>
      </c>
      <c r="J341" s="4" t="b">
        <f>_xlfn.IFNA(IF(((INDEX(RulebookFields!I2:I1898, MATCH(D341,RulebookFields!A2:A1898, 0))="")=TRUE),  "",  INDEX(RulebookFields!I2:I1898, MATCH(D341,RulebookFields!A2:A1898, 0))), "")</f>
        <v>1</v>
      </c>
      <c r="K341" s="4" t="b">
        <f>AND(((F341)=TRUE), ((J341)=TRUE))</f>
        <v>0</v>
      </c>
      <c r="L341" s="4" t="b">
        <f>AND(((G341 &lt;&gt; "plain")=TRUE), ((G341 &lt;&gt; "")=TRUE))</f>
        <v>0</v>
      </c>
      <c r="M341" s="4" t="str">
        <f>IF(((E341)=TRUE),  C341 &amp; "|" &amp; H341,  "")</f>
        <v>principal-variance-review-agent|Steps</v>
      </c>
      <c r="N341" s="3" t="s">
        <v>10004</v>
      </c>
    </row>
    <row r="342">
      <c r="A342" s="3" t="s">
        <v>10344</v>
      </c>
      <c r="B342" s="4" t="str">
        <f>C342 &amp; " -&gt; " &amp; D342</f>
        <v>principal-variance-review-agent -&gt; Steps.ProcedureVersion</v>
      </c>
      <c r="C342" s="3" t="s">
        <v>9766</v>
      </c>
      <c r="D342" s="3" t="s">
        <v>2873</v>
      </c>
      <c r="E342" s="3" t="b">
        <v>1</v>
      </c>
      <c r="F342" s="3" t="b">
        <v>0</v>
      </c>
      <c r="G342" s="3" t="s">
        <v>10003</v>
      </c>
      <c r="H342" s="4" t="str">
        <f>_xlfn.IFNA(IF(((INDEX(RulebookFields!C2:C1898, MATCH(D342,RulebookFields!A2:A1898, 0))="")=TRUE),  "",  INDEX(RulebookFields!C2:C1898, MATCH(D342,RulebookFields!A2:A1898, 0))), "")</f>
        <v>Steps</v>
      </c>
      <c r="I342" s="4" t="str">
        <f>_xlfn.IFNA(IF(((INDEX(RulebookFields!D2:D1898, MATCH(D342,RulebookFields!A2:A1898, 0))="")=TRUE),  "",  INDEX(RulebookFields!D2:D1898, MATCH(D342,RulebookFields!A2:A1898, 0))), "")</f>
        <v>ProcedureVersion</v>
      </c>
      <c r="J342" s="4" t="b">
        <f>_xlfn.IFNA(IF(((INDEX(RulebookFields!I2:I1898, MATCH(D342,RulebookFields!A2:A1898, 0))="")=TRUE),  "",  INDEX(RulebookFields!I2:I1898, MATCH(D342,RulebookFields!A2:A1898, 0))), "")</f>
        <v>0</v>
      </c>
      <c r="K342" s="4" t="b">
        <f>AND(((F342)=TRUE), ((J342)=TRUE))</f>
        <v>0</v>
      </c>
      <c r="L342" s="4" t="b">
        <f>AND(((G342 &lt;&gt; "plain")=TRUE), ((G342 &lt;&gt; "")=TRUE))</f>
        <v>0</v>
      </c>
      <c r="M342" s="4" t="str">
        <f>IF(((E342)=TRUE),  C342 &amp; "|" &amp; H342,  "")</f>
        <v>principal-variance-review-agent|Steps</v>
      </c>
      <c r="N342" s="3" t="s">
        <v>10004</v>
      </c>
    </row>
    <row r="343">
      <c r="A343" s="3" t="s">
        <v>10345</v>
      </c>
      <c r="B343" s="4" t="str">
        <f>C343 &amp; " -&gt; " &amp; D343</f>
        <v>principal-variance-review-agent -&gt; Steps.Name</v>
      </c>
      <c r="C343" s="3" t="s">
        <v>9766</v>
      </c>
      <c r="D343" s="3" t="s">
        <v>2871</v>
      </c>
      <c r="E343" s="3" t="b">
        <v>1</v>
      </c>
      <c r="F343" s="3" t="b">
        <v>0</v>
      </c>
      <c r="G343" s="3" t="s">
        <v>10003</v>
      </c>
      <c r="H343" s="4" t="str">
        <f>_xlfn.IFNA(IF(((INDEX(RulebookFields!C2:C1898, MATCH(D343,RulebookFields!A2:A1898, 0))="")=TRUE),  "",  INDEX(RulebookFields!C2:C1898, MATCH(D343,RulebookFields!A2:A1898, 0))), "")</f>
        <v>Steps</v>
      </c>
      <c r="I343" s="4" t="str">
        <f>_xlfn.IFNA(IF(((INDEX(RulebookFields!D2:D1898, MATCH(D343,RulebookFields!A2:A1898, 0))="")=TRUE),  "",  INDEX(RulebookFields!D2:D1898, MATCH(D343,RulebookFields!A2:A1898, 0))), "")</f>
        <v>Name</v>
      </c>
      <c r="J343" s="4" t="b">
        <f>_xlfn.IFNA(IF(((INDEX(RulebookFields!I2:I1898, MATCH(D343,RulebookFields!A2:A1898, 0))="")=TRUE),  "",  INDEX(RulebookFields!I2:I1898, MATCH(D343,RulebookFields!A2:A1898, 0))), "")</f>
        <v>1</v>
      </c>
      <c r="K343" s="4" t="b">
        <f>AND(((F343)=TRUE), ((J343)=TRUE))</f>
        <v>0</v>
      </c>
      <c r="L343" s="4" t="b">
        <f>AND(((G343 &lt;&gt; "plain")=TRUE), ((G343 &lt;&gt; "")=TRUE))</f>
        <v>0</v>
      </c>
      <c r="M343" s="4" t="str">
        <f>IF(((E343)=TRUE),  C343 &amp; "|" &amp; H343,  "")</f>
        <v>principal-variance-review-agent|Steps</v>
      </c>
      <c r="N343" s="3" t="s">
        <v>10004</v>
      </c>
    </row>
    <row r="344">
      <c r="A344" s="3" t="s">
        <v>10346</v>
      </c>
      <c r="B344" s="4" t="str">
        <f>C344 &amp; " -&gt; " &amp; D344</f>
        <v>principal-variance-review-agent -&gt; StepExecutions.StepExecutionId</v>
      </c>
      <c r="C344" s="3" t="s">
        <v>9766</v>
      </c>
      <c r="D344" s="3" t="s">
        <v>3573</v>
      </c>
      <c r="E344" s="3" t="b">
        <v>1</v>
      </c>
      <c r="F344" s="3" t="b">
        <v>0</v>
      </c>
      <c r="G344" s="3" t="s">
        <v>10003</v>
      </c>
      <c r="H344" s="4" t="str">
        <f>_xlfn.IFNA(IF(((INDEX(RulebookFields!C2:C1898, MATCH(D344,RulebookFields!A2:A1898, 0))="")=TRUE),  "",  INDEX(RulebookFields!C2:C1898, MATCH(D344,RulebookFields!A2:A1898, 0))), "")</f>
        <v>StepExecutions</v>
      </c>
      <c r="I344" s="4" t="str">
        <f>_xlfn.IFNA(IF(((INDEX(RulebookFields!D2:D1898, MATCH(D344,RulebookFields!A2:A1898, 0))="")=TRUE),  "",  INDEX(RulebookFields!D2:D1898, MATCH(D344,RulebookFields!A2:A1898, 0))), "")</f>
        <v>StepExecutionId</v>
      </c>
      <c r="J344" s="4" t="b">
        <f>_xlfn.IFNA(IF(((INDEX(RulebookFields!I2:I1898, MATCH(D344,RulebookFields!A2:A1898, 0))="")=TRUE),  "",  INDEX(RulebookFields!I2:I1898, MATCH(D344,RulebookFields!A2:A1898, 0))), "")</f>
        <v>0</v>
      </c>
      <c r="K344" s="4" t="b">
        <f>AND(((F344)=TRUE), ((J344)=TRUE))</f>
        <v>0</v>
      </c>
      <c r="L344" s="4" t="b">
        <f>AND(((G344 &lt;&gt; "plain")=TRUE), ((G344 &lt;&gt; "")=TRUE))</f>
        <v>0</v>
      </c>
      <c r="M344" s="4" t="str">
        <f>IF(((E344)=TRUE),  C344 &amp; "|" &amp; H344,  "")</f>
        <v>principal-variance-review-agent|StepExecutions</v>
      </c>
      <c r="N344" s="3" t="s">
        <v>10004</v>
      </c>
    </row>
    <row r="345">
      <c r="A345" s="3" t="s">
        <v>10347</v>
      </c>
      <c r="B345" s="4" t="str">
        <f>C345 &amp; " -&gt; " &amp; D345</f>
        <v>principal-variance-review-agent -&gt; StepExecutions.Step</v>
      </c>
      <c r="C345" s="3" t="s">
        <v>9766</v>
      </c>
      <c r="D345" s="3" t="s">
        <v>3577</v>
      </c>
      <c r="E345" s="3" t="b">
        <v>1</v>
      </c>
      <c r="F345" s="3" t="b">
        <v>0</v>
      </c>
      <c r="G345" s="3" t="s">
        <v>10003</v>
      </c>
      <c r="H345" s="4" t="str">
        <f>_xlfn.IFNA(IF(((INDEX(RulebookFields!C2:C1898, MATCH(D345,RulebookFields!A2:A1898, 0))="")=TRUE),  "",  INDEX(RulebookFields!C2:C1898, MATCH(D345,RulebookFields!A2:A1898, 0))), "")</f>
        <v>StepExecutions</v>
      </c>
      <c r="I345" s="4" t="str">
        <f>_xlfn.IFNA(IF(((INDEX(RulebookFields!D2:D1898, MATCH(D345,RulebookFields!A2:A1898, 0))="")=TRUE),  "",  INDEX(RulebookFields!D2:D1898, MATCH(D345,RulebookFields!A2:A1898, 0))), "")</f>
        <v>Step</v>
      </c>
      <c r="J345" s="4" t="b">
        <f>_xlfn.IFNA(IF(((INDEX(RulebookFields!I2:I1898, MATCH(D345,RulebookFields!A2:A1898, 0))="")=TRUE),  "",  INDEX(RulebookFields!I2:I1898, MATCH(D345,RulebookFields!A2:A1898, 0))), "")</f>
        <v>0</v>
      </c>
      <c r="K345" s="4" t="b">
        <f>AND(((F345)=TRUE), ((J345)=TRUE))</f>
        <v>0</v>
      </c>
      <c r="L345" s="4" t="b">
        <f>AND(((G345 &lt;&gt; "plain")=TRUE), ((G345 &lt;&gt; "")=TRUE))</f>
        <v>0</v>
      </c>
      <c r="M345" s="4" t="str">
        <f>IF(((E345)=TRUE),  C345 &amp; "|" &amp; H345,  "")</f>
        <v>principal-variance-review-agent|StepExecutions</v>
      </c>
      <c r="N345" s="3" t="s">
        <v>10004</v>
      </c>
    </row>
    <row r="346">
      <c r="A346" s="3" t="s">
        <v>10348</v>
      </c>
      <c r="B346" s="4" t="str">
        <f>C346 &amp; " -&gt; " &amp; D346</f>
        <v>principal-variance-review-agent -&gt; StepExecutions.ExecutionStatus</v>
      </c>
      <c r="C346" s="3" t="s">
        <v>9766</v>
      </c>
      <c r="D346" s="3" t="s">
        <v>3579</v>
      </c>
      <c r="E346" s="3" t="b">
        <v>1</v>
      </c>
      <c r="F346" s="3" t="b">
        <v>0</v>
      </c>
      <c r="G346" s="3" t="s">
        <v>10003</v>
      </c>
      <c r="H346" s="4" t="str">
        <f>_xlfn.IFNA(IF(((INDEX(RulebookFields!C2:C1898, MATCH(D346,RulebookFields!A2:A1898, 0))="")=TRUE),  "",  INDEX(RulebookFields!C2:C1898, MATCH(D346,RulebookFields!A2:A1898, 0))), "")</f>
        <v>StepExecutions</v>
      </c>
      <c r="I346" s="4" t="str">
        <f>_xlfn.IFNA(IF(((INDEX(RulebookFields!D2:D1898, MATCH(D346,RulebookFields!A2:A1898, 0))="")=TRUE),  "",  INDEX(RulebookFields!D2:D1898, MATCH(D346,RulebookFields!A2:A1898, 0))), "")</f>
        <v>ExecutionStatus</v>
      </c>
      <c r="J346" s="4" t="b">
        <f>_xlfn.IFNA(IF(((INDEX(RulebookFields!I2:I1898, MATCH(D346,RulebookFields!A2:A1898, 0))="")=TRUE),  "",  INDEX(RulebookFields!I2:I1898, MATCH(D346,RulebookFields!A2:A1898, 0))), "")</f>
        <v>0</v>
      </c>
      <c r="K346" s="4" t="b">
        <f>AND(((F346)=TRUE), ((J346)=TRUE))</f>
        <v>0</v>
      </c>
      <c r="L346" s="4" t="b">
        <f>AND(((G346 &lt;&gt; "plain")=TRUE), ((G346 &lt;&gt; "")=TRUE))</f>
        <v>0</v>
      </c>
      <c r="M346" s="4" t="str">
        <f>IF(((E346)=TRUE),  C346 &amp; "|" &amp; H346,  "")</f>
        <v>principal-variance-review-agent|StepExecutions</v>
      </c>
      <c r="N346" s="3" t="s">
        <v>10004</v>
      </c>
    </row>
    <row r="347">
      <c r="A347" s="3" t="s">
        <v>10349</v>
      </c>
      <c r="B347" s="4" t="str">
        <f>C347 &amp; " -&gt; " &amp; D347</f>
        <v>principal-variance-review-agent -&gt; StepExecutions.StartedAt</v>
      </c>
      <c r="C347" s="3" t="s">
        <v>9766</v>
      </c>
      <c r="D347" s="3" t="s">
        <v>3580</v>
      </c>
      <c r="E347" s="3" t="b">
        <v>1</v>
      </c>
      <c r="F347" s="3" t="b">
        <v>0</v>
      </c>
      <c r="G347" s="3" t="s">
        <v>10003</v>
      </c>
      <c r="H347" s="4" t="str">
        <f>_xlfn.IFNA(IF(((INDEX(RulebookFields!C2:C1898, MATCH(D347,RulebookFields!A2:A1898, 0))="")=TRUE),  "",  INDEX(RulebookFields!C2:C1898, MATCH(D347,RulebookFields!A2:A1898, 0))), "")</f>
        <v>StepExecutions</v>
      </c>
      <c r="I347" s="4" t="str">
        <f>_xlfn.IFNA(IF(((INDEX(RulebookFields!D2:D1898, MATCH(D347,RulebookFields!A2:A1898, 0))="")=TRUE),  "",  INDEX(RulebookFields!D2:D1898, MATCH(D347,RulebookFields!A2:A1898, 0))), "")</f>
        <v>StartedAt</v>
      </c>
      <c r="J347" s="4" t="b">
        <f>_xlfn.IFNA(IF(((INDEX(RulebookFields!I2:I1898, MATCH(D347,RulebookFields!A2:A1898, 0))="")=TRUE),  "",  INDEX(RulebookFields!I2:I1898, MATCH(D347,RulebookFields!A2:A1898, 0))), "")</f>
        <v>0</v>
      </c>
      <c r="K347" s="4" t="b">
        <f>AND(((F347)=TRUE), ((J347)=TRUE))</f>
        <v>0</v>
      </c>
      <c r="L347" s="4" t="b">
        <f>AND(((G347 &lt;&gt; "plain")=TRUE), ((G347 &lt;&gt; "")=TRUE))</f>
        <v>0</v>
      </c>
      <c r="M347" s="4" t="str">
        <f>IF(((E347)=TRUE),  C347 &amp; "|" &amp; H347,  "")</f>
        <v>principal-variance-review-agent|StepExecutions</v>
      </c>
      <c r="N347" s="3" t="s">
        <v>10004</v>
      </c>
    </row>
    <row r="348">
      <c r="A348" s="3" t="s">
        <v>10350</v>
      </c>
      <c r="B348" s="4" t="str">
        <f>C348 &amp; " -&gt; " &amp; D348</f>
        <v>principal-variance-review-agent -&gt; StepExecutions.EndedAt</v>
      </c>
      <c r="C348" s="3" t="s">
        <v>9766</v>
      </c>
      <c r="D348" s="3" t="s">
        <v>3581</v>
      </c>
      <c r="E348" s="3" t="b">
        <v>1</v>
      </c>
      <c r="F348" s="3" t="b">
        <v>0</v>
      </c>
      <c r="G348" s="3" t="s">
        <v>10003</v>
      </c>
      <c r="H348" s="4" t="str">
        <f>_xlfn.IFNA(IF(((INDEX(RulebookFields!C2:C1898, MATCH(D348,RulebookFields!A2:A1898, 0))="")=TRUE),  "",  INDEX(RulebookFields!C2:C1898, MATCH(D348,RulebookFields!A2:A1898, 0))), "")</f>
        <v>StepExecutions</v>
      </c>
      <c r="I348" s="4" t="str">
        <f>_xlfn.IFNA(IF(((INDEX(RulebookFields!D2:D1898, MATCH(D348,RulebookFields!A2:A1898, 0))="")=TRUE),  "",  INDEX(RulebookFields!D2:D1898, MATCH(D348,RulebookFields!A2:A1898, 0))), "")</f>
        <v>EndedAt</v>
      </c>
      <c r="J348" s="4" t="b">
        <f>_xlfn.IFNA(IF(((INDEX(RulebookFields!I2:I1898, MATCH(D348,RulebookFields!A2:A1898, 0))="")=TRUE),  "",  INDEX(RulebookFields!I2:I1898, MATCH(D348,RulebookFields!A2:A1898, 0))), "")</f>
        <v>0</v>
      </c>
      <c r="K348" s="4" t="b">
        <f>AND(((F348)=TRUE), ((J348)=TRUE))</f>
        <v>0</v>
      </c>
      <c r="L348" s="4" t="b">
        <f>AND(((G348 &lt;&gt; "plain")=TRUE), ((G348 &lt;&gt; "")=TRUE))</f>
        <v>0</v>
      </c>
      <c r="M348" s="4" t="str">
        <f>IF(((E348)=TRUE),  C348 &amp; "|" &amp; H348,  "")</f>
        <v>principal-variance-review-agent|StepExecutions</v>
      </c>
      <c r="N348" s="3" t="s">
        <v>10004</v>
      </c>
    </row>
    <row r="349">
      <c r="A349" s="3" t="s">
        <v>10351</v>
      </c>
      <c r="B349" s="4" t="str">
        <f>C349 &amp; " -&gt; " &amp; D349</f>
        <v>principal-variance-review-agent -&gt; StepExecutions.VerificationResult</v>
      </c>
      <c r="C349" s="3" t="s">
        <v>9766</v>
      </c>
      <c r="D349" s="3" t="s">
        <v>3582</v>
      </c>
      <c r="E349" s="3" t="b">
        <v>1</v>
      </c>
      <c r="F349" s="3" t="b">
        <v>0</v>
      </c>
      <c r="G349" s="3" t="s">
        <v>10003</v>
      </c>
      <c r="H349" s="4" t="str">
        <f>_xlfn.IFNA(IF(((INDEX(RulebookFields!C2:C1898, MATCH(D349,RulebookFields!A2:A1898, 0))="")=TRUE),  "",  INDEX(RulebookFields!C2:C1898, MATCH(D349,RulebookFields!A2:A1898, 0))), "")</f>
        <v>StepExecutions</v>
      </c>
      <c r="I349" s="4" t="str">
        <f>_xlfn.IFNA(IF(((INDEX(RulebookFields!D2:D1898, MATCH(D349,RulebookFields!A2:A1898, 0))="")=TRUE),  "",  INDEX(RulebookFields!D2:D1898, MATCH(D349,RulebookFields!A2:A1898, 0))), "")</f>
        <v>VerificationResult</v>
      </c>
      <c r="J349" s="4" t="b">
        <f>_xlfn.IFNA(IF(((INDEX(RulebookFields!I2:I1898, MATCH(D349,RulebookFields!A2:A1898, 0))="")=TRUE),  "",  INDEX(RulebookFields!I2:I1898, MATCH(D349,RulebookFields!A2:A1898, 0))), "")</f>
        <v>0</v>
      </c>
      <c r="K349" s="4" t="b">
        <f>AND(((F349)=TRUE), ((J349)=TRUE))</f>
        <v>0</v>
      </c>
      <c r="L349" s="4" t="b">
        <f>AND(((G349 &lt;&gt; "plain")=TRUE), ((G349 &lt;&gt; "")=TRUE))</f>
        <v>0</v>
      </c>
      <c r="M349" s="4" t="str">
        <f>IF(((E349)=TRUE),  C349 &amp; "|" &amp; H349,  "")</f>
        <v>principal-variance-review-agent|StepExecutions</v>
      </c>
      <c r="N349" s="3" t="s">
        <v>10004</v>
      </c>
    </row>
    <row r="350">
      <c r="A350" s="3" t="s">
        <v>10352</v>
      </c>
      <c r="B350" s="4" t="str">
        <f>C350 &amp; " -&gt; " &amp; D350</f>
        <v>principal-variance-review-agent -&gt; StepExecutions.Name</v>
      </c>
      <c r="C350" s="3" t="s">
        <v>9766</v>
      </c>
      <c r="D350" s="3" t="s">
        <v>3574</v>
      </c>
      <c r="E350" s="3" t="b">
        <v>1</v>
      </c>
      <c r="F350" s="3" t="b">
        <v>0</v>
      </c>
      <c r="G350" s="3" t="s">
        <v>10003</v>
      </c>
      <c r="H350" s="4" t="str">
        <f>_xlfn.IFNA(IF(((INDEX(RulebookFields!C2:C1898, MATCH(D350,RulebookFields!A2:A1898, 0))="")=TRUE),  "",  INDEX(RulebookFields!C2:C1898, MATCH(D350,RulebookFields!A2:A1898, 0))), "")</f>
        <v>StepExecutions</v>
      </c>
      <c r="I350" s="4" t="str">
        <f>_xlfn.IFNA(IF(((INDEX(RulebookFields!D2:D1898, MATCH(D350,RulebookFields!A2:A1898, 0))="")=TRUE),  "",  INDEX(RulebookFields!D2:D1898, MATCH(D350,RulebookFields!A2:A1898, 0))), "")</f>
        <v>Name</v>
      </c>
      <c r="J350" s="4" t="b">
        <f>_xlfn.IFNA(IF(((INDEX(RulebookFields!I2:I1898, MATCH(D350,RulebookFields!A2:A1898, 0))="")=TRUE),  "",  INDEX(RulebookFields!I2:I1898, MATCH(D350,RulebookFields!A2:A1898, 0))), "")</f>
        <v>1</v>
      </c>
      <c r="K350" s="4" t="b">
        <f>AND(((F350)=TRUE), ((J350)=TRUE))</f>
        <v>0</v>
      </c>
      <c r="L350" s="4" t="b">
        <f>AND(((G350 &lt;&gt; "plain")=TRUE), ((G350 &lt;&gt; "")=TRUE))</f>
        <v>0</v>
      </c>
      <c r="M350" s="4" t="str">
        <f>IF(((E350)=TRUE),  C350 &amp; "|" &amp; H350,  "")</f>
        <v>principal-variance-review-agent|StepExecutions</v>
      </c>
      <c r="N350" s="3" t="s">
        <v>10004</v>
      </c>
    </row>
    <row r="351">
      <c r="A351" s="3" t="s">
        <v>10353</v>
      </c>
      <c r="B351" s="4" t="str">
        <f>C351 &amp; " -&gt; " &amp; D351</f>
        <v>principal-variance-review-agent -&gt; StepExecutions.Deviation</v>
      </c>
      <c r="C351" s="3" t="s">
        <v>9766</v>
      </c>
      <c r="D351" s="3" t="s">
        <v>3583</v>
      </c>
      <c r="E351" s="3" t="b">
        <v>1</v>
      </c>
      <c r="F351" s="3" t="b">
        <v>0</v>
      </c>
      <c r="G351" s="3" t="s">
        <v>10003</v>
      </c>
      <c r="H351" s="4" t="str">
        <f>_xlfn.IFNA(IF(((INDEX(RulebookFields!C2:C1898, MATCH(D351,RulebookFields!A2:A1898, 0))="")=TRUE),  "",  INDEX(RulebookFields!C2:C1898, MATCH(D351,RulebookFields!A2:A1898, 0))), "")</f>
        <v>StepExecutions</v>
      </c>
      <c r="I351" s="4" t="str">
        <f>_xlfn.IFNA(IF(((INDEX(RulebookFields!D2:D1898, MATCH(D351,RulebookFields!A2:A1898, 0))="")=TRUE),  "",  INDEX(RulebookFields!D2:D1898, MATCH(D351,RulebookFields!A2:A1898, 0))), "")</f>
        <v>Deviation</v>
      </c>
      <c r="J351" s="4" t="b">
        <f>_xlfn.IFNA(IF(((INDEX(RulebookFields!I2:I1898, MATCH(D351,RulebookFields!A2:A1898, 0))="")=TRUE),  "",  INDEX(RulebookFields!I2:I1898, MATCH(D351,RulebookFields!A2:A1898, 0))), "")</f>
        <v>0</v>
      </c>
      <c r="K351" s="4" t="b">
        <f>AND(((F351)=TRUE), ((J351)=TRUE))</f>
        <v>0</v>
      </c>
      <c r="L351" s="4" t="b">
        <f>AND(((G351 &lt;&gt; "plain")=TRUE), ((G351 &lt;&gt; "")=TRUE))</f>
        <v>0</v>
      </c>
      <c r="M351" s="4" t="str">
        <f>IF(((E351)=TRUE),  C351 &amp; "|" &amp; H351,  "")</f>
        <v>principal-variance-review-agent|StepExecutions</v>
      </c>
      <c r="N351" s="3" t="s">
        <v>10004</v>
      </c>
    </row>
    <row r="352">
      <c r="A352" s="3" t="s">
        <v>10354</v>
      </c>
      <c r="B352" s="4" t="str">
        <f>C352 &amp; " -&gt; " &amp; D352</f>
        <v>principal-variance-review-agent -&gt; StepExecutions.IsLate</v>
      </c>
      <c r="C352" s="3" t="s">
        <v>9766</v>
      </c>
      <c r="D352" s="3" t="s">
        <v>3588</v>
      </c>
      <c r="E352" s="3" t="b">
        <v>1</v>
      </c>
      <c r="F352" s="3" t="b">
        <v>0</v>
      </c>
      <c r="G352" s="3" t="s">
        <v>10003</v>
      </c>
      <c r="H352" s="4" t="str">
        <f>_xlfn.IFNA(IF(((INDEX(RulebookFields!C2:C1898, MATCH(D352,RulebookFields!A2:A1898, 0))="")=TRUE),  "",  INDEX(RulebookFields!C2:C1898, MATCH(D352,RulebookFields!A2:A1898, 0))), "")</f>
        <v>StepExecutions</v>
      </c>
      <c r="I352" s="4" t="str">
        <f>_xlfn.IFNA(IF(((INDEX(RulebookFields!D2:D1898, MATCH(D352,RulebookFields!A2:A1898, 0))="")=TRUE),  "",  INDEX(RulebookFields!D2:D1898, MATCH(D352,RulebookFields!A2:A1898, 0))), "")</f>
        <v>IsLate</v>
      </c>
      <c r="J352" s="4" t="b">
        <f>_xlfn.IFNA(IF(((INDEX(RulebookFields!I2:I1898, MATCH(D352,RulebookFields!A2:A1898, 0))="")=TRUE),  "",  INDEX(RulebookFields!I2:I1898, MATCH(D352,RulebookFields!A2:A1898, 0))), "")</f>
        <v>1</v>
      </c>
      <c r="K352" s="4" t="b">
        <f>AND(((F352)=TRUE), ((J352)=TRUE))</f>
        <v>0</v>
      </c>
      <c r="L352" s="4" t="b">
        <f>AND(((G352 &lt;&gt; "plain")=TRUE), ((G352 &lt;&gt; "")=TRUE))</f>
        <v>0</v>
      </c>
      <c r="M352" s="4" t="str">
        <f>IF(((E352)=TRUE),  C352 &amp; "|" &amp; H352,  "")</f>
        <v>principal-variance-review-agent|StepExecutions</v>
      </c>
      <c r="N352" s="3" t="s">
        <v>10004</v>
      </c>
    </row>
    <row r="353">
      <c r="A353" s="3" t="s">
        <v>10355</v>
      </c>
      <c r="B353" s="4" t="str">
        <f>C353 &amp; " -&gt; " &amp; D353</f>
        <v>principal-variance-review-agent -&gt; Requirements.RequirementId</v>
      </c>
      <c r="C353" s="3" t="s">
        <v>9766</v>
      </c>
      <c r="D353" s="3" t="s">
        <v>3045</v>
      </c>
      <c r="E353" s="3" t="b">
        <v>1</v>
      </c>
      <c r="F353" s="3" t="b">
        <v>0</v>
      </c>
      <c r="G353" s="3" t="s">
        <v>10003</v>
      </c>
      <c r="H353" s="4" t="str">
        <f>_xlfn.IFNA(IF(((INDEX(RulebookFields!C2:C1898, MATCH(D353,RulebookFields!A2:A1898, 0))="")=TRUE),  "",  INDEX(RulebookFields!C2:C1898, MATCH(D353,RulebookFields!A2:A1898, 0))), "")</f>
        <v>Requirements</v>
      </c>
      <c r="I353" s="4" t="str">
        <f>_xlfn.IFNA(IF(((INDEX(RulebookFields!D2:D1898, MATCH(D353,RulebookFields!A2:A1898, 0))="")=TRUE),  "",  INDEX(RulebookFields!D2:D1898, MATCH(D353,RulebookFields!A2:A1898, 0))), "")</f>
        <v>RequirementId</v>
      </c>
      <c r="J353" s="4" t="b">
        <f>_xlfn.IFNA(IF(((INDEX(RulebookFields!I2:I1898, MATCH(D353,RulebookFields!A2:A1898, 0))="")=TRUE),  "",  INDEX(RulebookFields!I2:I1898, MATCH(D353,RulebookFields!A2:A1898, 0))), "")</f>
        <v>0</v>
      </c>
      <c r="K353" s="4" t="b">
        <f>AND(((F353)=TRUE), ((J353)=TRUE))</f>
        <v>0</v>
      </c>
      <c r="L353" s="4" t="b">
        <f>AND(((G353 &lt;&gt; "plain")=TRUE), ((G353 &lt;&gt; "")=TRUE))</f>
        <v>0</v>
      </c>
      <c r="M353" s="4" t="str">
        <f>IF(((E353)=TRUE),  C353 &amp; "|" &amp; H353,  "")</f>
        <v>principal-variance-review-agent|Requirements</v>
      </c>
      <c r="N353" s="3" t="s">
        <v>10004</v>
      </c>
    </row>
    <row r="354">
      <c r="A354" s="3" t="s">
        <v>10356</v>
      </c>
      <c r="B354" s="4" t="str">
        <f>C354 &amp; " -&gt; " &amp; D354</f>
        <v>principal-variance-review-agent -&gt; Requirements.Label</v>
      </c>
      <c r="C354" s="3" t="s">
        <v>9766</v>
      </c>
      <c r="D354" s="3" t="s">
        <v>3047</v>
      </c>
      <c r="E354" s="3" t="b">
        <v>1</v>
      </c>
      <c r="F354" s="3" t="b">
        <v>0</v>
      </c>
      <c r="G354" s="3" t="s">
        <v>10003</v>
      </c>
      <c r="H354" s="4" t="str">
        <f>_xlfn.IFNA(IF(((INDEX(RulebookFields!C2:C1898, MATCH(D354,RulebookFields!A2:A1898, 0))="")=TRUE),  "",  INDEX(RulebookFields!C2:C1898, MATCH(D354,RulebookFields!A2:A1898, 0))), "")</f>
        <v>Requirements</v>
      </c>
      <c r="I354" s="4" t="str">
        <f>_xlfn.IFNA(IF(((INDEX(RulebookFields!D2:D1898, MATCH(D354,RulebookFields!A2:A1898, 0))="")=TRUE),  "",  INDEX(RulebookFields!D2:D1898, MATCH(D354,RulebookFields!A2:A1898, 0))), "")</f>
        <v>Label</v>
      </c>
      <c r="J354" s="4" t="b">
        <f>_xlfn.IFNA(IF(((INDEX(RulebookFields!I2:I1898, MATCH(D354,RulebookFields!A2:A1898, 0))="")=TRUE),  "",  INDEX(RulebookFields!I2:I1898, MATCH(D354,RulebookFields!A2:A1898, 0))), "")</f>
        <v>0</v>
      </c>
      <c r="K354" s="4" t="b">
        <f>AND(((F354)=TRUE), ((J354)=TRUE))</f>
        <v>0</v>
      </c>
      <c r="L354" s="4" t="b">
        <f>AND(((G354 &lt;&gt; "plain")=TRUE), ((G354 &lt;&gt; "")=TRUE))</f>
        <v>0</v>
      </c>
      <c r="M354" s="4" t="str">
        <f>IF(((E354)=TRUE),  C354 &amp; "|" &amp; H354,  "")</f>
        <v>principal-variance-review-agent|Requirements</v>
      </c>
      <c r="N354" s="3" t="s">
        <v>10004</v>
      </c>
    </row>
    <row r="355">
      <c r="A355" s="3" t="s">
        <v>10357</v>
      </c>
      <c r="B355" s="4" t="str">
        <f>C355 &amp; " -&gt; " &amp; D355</f>
        <v>principal-variance-review-agent -&gt; Requirements.RequirementType</v>
      </c>
      <c r="C355" s="3" t="s">
        <v>9766</v>
      </c>
      <c r="D355" s="3" t="s">
        <v>3048</v>
      </c>
      <c r="E355" s="3" t="b">
        <v>1</v>
      </c>
      <c r="F355" s="3" t="b">
        <v>0</v>
      </c>
      <c r="G355" s="3" t="s">
        <v>10003</v>
      </c>
      <c r="H355" s="4" t="str">
        <f>_xlfn.IFNA(IF(((INDEX(RulebookFields!C2:C1898, MATCH(D355,RulebookFields!A2:A1898, 0))="")=TRUE),  "",  INDEX(RulebookFields!C2:C1898, MATCH(D355,RulebookFields!A2:A1898, 0))), "")</f>
        <v>Requirements</v>
      </c>
      <c r="I355" s="4" t="str">
        <f>_xlfn.IFNA(IF(((INDEX(RulebookFields!D2:D1898, MATCH(D355,RulebookFields!A2:A1898, 0))="")=TRUE),  "",  INDEX(RulebookFields!D2:D1898, MATCH(D355,RulebookFields!A2:A1898, 0))), "")</f>
        <v>RequirementType</v>
      </c>
      <c r="J355" s="4" t="b">
        <f>_xlfn.IFNA(IF(((INDEX(RulebookFields!I2:I1898, MATCH(D355,RulebookFields!A2:A1898, 0))="")=TRUE),  "",  INDEX(RulebookFields!I2:I1898, MATCH(D355,RulebookFields!A2:A1898, 0))), "")</f>
        <v>0</v>
      </c>
      <c r="K355" s="4" t="b">
        <f>AND(((F355)=TRUE), ((J355)=TRUE))</f>
        <v>0</v>
      </c>
      <c r="L355" s="4" t="b">
        <f>AND(((G355 &lt;&gt; "plain")=TRUE), ((G355 &lt;&gt; "")=TRUE))</f>
        <v>0</v>
      </c>
      <c r="M355" s="4" t="str">
        <f>IF(((E355)=TRUE),  C355 &amp; "|" &amp; H355,  "")</f>
        <v>principal-variance-review-agent|Requirements</v>
      </c>
      <c r="N355" s="3" t="s">
        <v>10004</v>
      </c>
    </row>
    <row r="356">
      <c r="A356" s="3" t="s">
        <v>10358</v>
      </c>
      <c r="B356" s="4" t="str">
        <f>C356 &amp; " -&gt; " &amp; D356</f>
        <v>principal-variance-review-agent -&gt; Requirements.Statement</v>
      </c>
      <c r="C356" s="3" t="s">
        <v>9766</v>
      </c>
      <c r="D356" s="3" t="s">
        <v>3049</v>
      </c>
      <c r="E356" s="3" t="b">
        <v>1</v>
      </c>
      <c r="F356" s="3" t="b">
        <v>0</v>
      </c>
      <c r="G356" s="3" t="s">
        <v>10003</v>
      </c>
      <c r="H356" s="4" t="str">
        <f>_xlfn.IFNA(IF(((INDEX(RulebookFields!C2:C1898, MATCH(D356,RulebookFields!A2:A1898, 0))="")=TRUE),  "",  INDEX(RulebookFields!C2:C1898, MATCH(D356,RulebookFields!A2:A1898, 0))), "")</f>
        <v>Requirements</v>
      </c>
      <c r="I356" s="4" t="str">
        <f>_xlfn.IFNA(IF(((INDEX(RulebookFields!D2:D1898, MATCH(D356,RulebookFields!A2:A1898, 0))="")=TRUE),  "",  INDEX(RulebookFields!D2:D1898, MATCH(D356,RulebookFields!A2:A1898, 0))), "")</f>
        <v>Statement</v>
      </c>
      <c r="J356" s="4" t="b">
        <f>_xlfn.IFNA(IF(((INDEX(RulebookFields!I2:I1898, MATCH(D356,RulebookFields!A2:A1898, 0))="")=TRUE),  "",  INDEX(RulebookFields!I2:I1898, MATCH(D356,RulebookFields!A2:A1898, 0))), "")</f>
        <v>0</v>
      </c>
      <c r="K356" s="4" t="b">
        <f>AND(((F356)=TRUE), ((J356)=TRUE))</f>
        <v>0</v>
      </c>
      <c r="L356" s="4" t="b">
        <f>AND(((G356 &lt;&gt; "plain")=TRUE), ((G356 &lt;&gt; "")=TRUE))</f>
        <v>0</v>
      </c>
      <c r="M356" s="4" t="str">
        <f>IF(((E356)=TRUE),  C356 &amp; "|" &amp; H356,  "")</f>
        <v>principal-variance-review-agent|Requirements</v>
      </c>
      <c r="N356" s="3" t="s">
        <v>10004</v>
      </c>
    </row>
    <row r="357">
      <c r="A357" s="3" t="s">
        <v>10359</v>
      </c>
      <c r="B357" s="4" t="str">
        <f>C357 &amp; " -&gt; " &amp; D357</f>
        <v>principal-variance-review-agent -&gt; Requirements.IsBlocking</v>
      </c>
      <c r="C357" s="3" t="s">
        <v>9766</v>
      </c>
      <c r="D357" s="3" t="s">
        <v>3051</v>
      </c>
      <c r="E357" s="3" t="b">
        <v>1</v>
      </c>
      <c r="F357" s="3" t="b">
        <v>0</v>
      </c>
      <c r="G357" s="3" t="s">
        <v>10003</v>
      </c>
      <c r="H357" s="4" t="str">
        <f>_xlfn.IFNA(IF(((INDEX(RulebookFields!C2:C1898, MATCH(D357,RulebookFields!A2:A1898, 0))="")=TRUE),  "",  INDEX(RulebookFields!C2:C1898, MATCH(D357,RulebookFields!A2:A1898, 0))), "")</f>
        <v>Requirements</v>
      </c>
      <c r="I357" s="4" t="str">
        <f>_xlfn.IFNA(IF(((INDEX(RulebookFields!D2:D1898, MATCH(D357,RulebookFields!A2:A1898, 0))="")=TRUE),  "",  INDEX(RulebookFields!D2:D1898, MATCH(D357,RulebookFields!A2:A1898, 0))), "")</f>
        <v>IsBlocking</v>
      </c>
      <c r="J357" s="4" t="b">
        <f>_xlfn.IFNA(IF(((INDEX(RulebookFields!I2:I1898, MATCH(D357,RulebookFields!A2:A1898, 0))="")=TRUE),  "",  INDEX(RulebookFields!I2:I1898, MATCH(D357,RulebookFields!A2:A1898, 0))), "")</f>
        <v>0</v>
      </c>
      <c r="K357" s="4" t="b">
        <f>AND(((F357)=TRUE), ((J357)=TRUE))</f>
        <v>0</v>
      </c>
      <c r="L357" s="4" t="b">
        <f>AND(((G357 &lt;&gt; "plain")=TRUE), ((G357 &lt;&gt; "")=TRUE))</f>
        <v>0</v>
      </c>
      <c r="M357" s="4" t="str">
        <f>IF(((E357)=TRUE),  C357 &amp; "|" &amp; H357,  "")</f>
        <v>principal-variance-review-agent|Requirements</v>
      </c>
      <c r="N357" s="3" t="s">
        <v>10004</v>
      </c>
    </row>
    <row r="358">
      <c r="A358" s="3" t="s">
        <v>10360</v>
      </c>
      <c r="B358" s="4" t="str">
        <f>C358 &amp; " -&gt; " &amp; D358</f>
        <v>principal-variance-review-agent -&gt; Requirements.Name</v>
      </c>
      <c r="C358" s="3" t="s">
        <v>9766</v>
      </c>
      <c r="D358" s="3" t="s">
        <v>3046</v>
      </c>
      <c r="E358" s="3" t="b">
        <v>1</v>
      </c>
      <c r="F358" s="3" t="b">
        <v>0</v>
      </c>
      <c r="G358" s="3" t="s">
        <v>10003</v>
      </c>
      <c r="H358" s="4" t="str">
        <f>_xlfn.IFNA(IF(((INDEX(RulebookFields!C2:C1898, MATCH(D358,RulebookFields!A2:A1898, 0))="")=TRUE),  "",  INDEX(RulebookFields!C2:C1898, MATCH(D358,RulebookFields!A2:A1898, 0))), "")</f>
        <v>Requirements</v>
      </c>
      <c r="I358" s="4" t="str">
        <f>_xlfn.IFNA(IF(((INDEX(RulebookFields!D2:D1898, MATCH(D358,RulebookFields!A2:A1898, 0))="")=TRUE),  "",  INDEX(RulebookFields!D2:D1898, MATCH(D358,RulebookFields!A2:A1898, 0))), "")</f>
        <v>Name</v>
      </c>
      <c r="J358" s="4" t="b">
        <f>_xlfn.IFNA(IF(((INDEX(RulebookFields!I2:I1898, MATCH(D358,RulebookFields!A2:A1898, 0))="")=TRUE),  "",  INDEX(RulebookFields!I2:I1898, MATCH(D358,RulebookFields!A2:A1898, 0))), "")</f>
        <v>1</v>
      </c>
      <c r="K358" s="4" t="b">
        <f>AND(((F358)=TRUE), ((J358)=TRUE))</f>
        <v>0</v>
      </c>
      <c r="L358" s="4" t="b">
        <f>AND(((G358 &lt;&gt; "plain")=TRUE), ((G358 &lt;&gt; "")=TRUE))</f>
        <v>0</v>
      </c>
      <c r="M358" s="4" t="str">
        <f>IF(((E358)=TRUE),  C358 &amp; "|" &amp; H358,  "")</f>
        <v>principal-variance-review-agent|Requirements</v>
      </c>
      <c r="N358" s="3" t="s">
        <v>10004</v>
      </c>
    </row>
    <row r="359">
      <c r="A359" s="3" t="s">
        <v>10361</v>
      </c>
      <c r="B359" s="4" t="str">
        <f>C359 &amp; " -&gt; " &amp; D359</f>
        <v>principal-variance-review-agent -&gt; RequirementSatisfactions.RequirementSatisfactionId</v>
      </c>
      <c r="C359" s="3" t="s">
        <v>9766</v>
      </c>
      <c r="D359" s="3" t="s">
        <v>3773</v>
      </c>
      <c r="E359" s="3" t="b">
        <v>1</v>
      </c>
      <c r="F359" s="3" t="b">
        <v>0</v>
      </c>
      <c r="G359" s="3" t="s">
        <v>10003</v>
      </c>
      <c r="H359" s="4" t="str">
        <f>_xlfn.IFNA(IF(((INDEX(RulebookFields!C2:C1898, MATCH(D359,RulebookFields!A2:A1898, 0))="")=TRUE),  "",  INDEX(RulebookFields!C2:C1898, MATCH(D359,RulebookFields!A2:A1898, 0))), "")</f>
        <v>RequirementSatisfactions</v>
      </c>
      <c r="I359" s="4" t="str">
        <f>_xlfn.IFNA(IF(((INDEX(RulebookFields!D2:D1898, MATCH(D359,RulebookFields!A2:A1898, 0))="")=TRUE),  "",  INDEX(RulebookFields!D2:D1898, MATCH(D359,RulebookFields!A2:A1898, 0))), "")</f>
        <v>RequirementSatisfactionId</v>
      </c>
      <c r="J359" s="4" t="b">
        <f>_xlfn.IFNA(IF(((INDEX(RulebookFields!I2:I1898, MATCH(D359,RulebookFields!A2:A1898, 0))="")=TRUE),  "",  INDEX(RulebookFields!I2:I1898, MATCH(D359,RulebookFields!A2:A1898, 0))), "")</f>
        <v>0</v>
      </c>
      <c r="K359" s="4" t="b">
        <f>AND(((F359)=TRUE), ((J359)=TRUE))</f>
        <v>0</v>
      </c>
      <c r="L359" s="4" t="b">
        <f>AND(((G359 &lt;&gt; "plain")=TRUE), ((G359 &lt;&gt; "")=TRUE))</f>
        <v>0</v>
      </c>
      <c r="M359" s="4" t="str">
        <f>IF(((E359)=TRUE),  C359 &amp; "|" &amp; H359,  "")</f>
        <v>principal-variance-review-agent|RequirementSatisfactions</v>
      </c>
      <c r="N359" s="3" t="s">
        <v>10004</v>
      </c>
    </row>
    <row r="360">
      <c r="A360" s="3" t="s">
        <v>10362</v>
      </c>
      <c r="B360" s="4" t="str">
        <f>C360 &amp; " -&gt; " &amp; D360</f>
        <v>principal-variance-review-agent -&gt; RequirementSatisfactions.Requirement</v>
      </c>
      <c r="C360" s="3" t="s">
        <v>9766</v>
      </c>
      <c r="D360" s="3" t="s">
        <v>3777</v>
      </c>
      <c r="E360" s="3" t="b">
        <v>1</v>
      </c>
      <c r="F360" s="3" t="b">
        <v>0</v>
      </c>
      <c r="G360" s="3" t="s">
        <v>10003</v>
      </c>
      <c r="H360" s="4" t="str">
        <f>_xlfn.IFNA(IF(((INDEX(RulebookFields!C2:C1898, MATCH(D360,RulebookFields!A2:A1898, 0))="")=TRUE),  "",  INDEX(RulebookFields!C2:C1898, MATCH(D360,RulebookFields!A2:A1898, 0))), "")</f>
        <v>RequirementSatisfactions</v>
      </c>
      <c r="I360" s="4" t="str">
        <f>_xlfn.IFNA(IF(((INDEX(RulebookFields!D2:D1898, MATCH(D360,RulebookFields!A2:A1898, 0))="")=TRUE),  "",  INDEX(RulebookFields!D2:D1898, MATCH(D360,RulebookFields!A2:A1898, 0))), "")</f>
        <v>Requirement</v>
      </c>
      <c r="J360" s="4" t="b">
        <f>_xlfn.IFNA(IF(((INDEX(RulebookFields!I2:I1898, MATCH(D360,RulebookFields!A2:A1898, 0))="")=TRUE),  "",  INDEX(RulebookFields!I2:I1898, MATCH(D360,RulebookFields!A2:A1898, 0))), "")</f>
        <v>0</v>
      </c>
      <c r="K360" s="4" t="b">
        <f>AND(((F360)=TRUE), ((J360)=TRUE))</f>
        <v>0</v>
      </c>
      <c r="L360" s="4" t="b">
        <f>AND(((G360 &lt;&gt; "plain")=TRUE), ((G360 &lt;&gt; "")=TRUE))</f>
        <v>0</v>
      </c>
      <c r="M360" s="4" t="str">
        <f>IF(((E360)=TRUE),  C360 &amp; "|" &amp; H360,  "")</f>
        <v>principal-variance-review-agent|RequirementSatisfactions</v>
      </c>
      <c r="N360" s="3" t="s">
        <v>10004</v>
      </c>
    </row>
    <row r="361">
      <c r="A361" s="3" t="s">
        <v>10363</v>
      </c>
      <c r="B361" s="4" t="str">
        <f>C361 &amp; " -&gt; " &amp; D361</f>
        <v>principal-variance-review-agent -&gt; RequirementSatisfactions.SatisfactionLevel</v>
      </c>
      <c r="C361" s="3" t="s">
        <v>9766</v>
      </c>
      <c r="D361" s="3" t="s">
        <v>3778</v>
      </c>
      <c r="E361" s="3" t="b">
        <v>1</v>
      </c>
      <c r="F361" s="3" t="b">
        <v>0</v>
      </c>
      <c r="G361" s="3" t="s">
        <v>10003</v>
      </c>
      <c r="H361" s="4" t="str">
        <f>_xlfn.IFNA(IF(((INDEX(RulebookFields!C2:C1898, MATCH(D361,RulebookFields!A2:A1898, 0))="")=TRUE),  "",  INDEX(RulebookFields!C2:C1898, MATCH(D361,RulebookFields!A2:A1898, 0))), "")</f>
        <v>RequirementSatisfactions</v>
      </c>
      <c r="I361" s="4" t="str">
        <f>_xlfn.IFNA(IF(((INDEX(RulebookFields!D2:D1898, MATCH(D361,RulebookFields!A2:A1898, 0))="")=TRUE),  "",  INDEX(RulebookFields!D2:D1898, MATCH(D361,RulebookFields!A2:A1898, 0))), "")</f>
        <v>SatisfactionLevel</v>
      </c>
      <c r="J361" s="4" t="b">
        <f>_xlfn.IFNA(IF(((INDEX(RulebookFields!I2:I1898, MATCH(D361,RulebookFields!A2:A1898, 0))="")=TRUE),  "",  INDEX(RulebookFields!I2:I1898, MATCH(D361,RulebookFields!A2:A1898, 0))), "")</f>
        <v>0</v>
      </c>
      <c r="K361" s="4" t="b">
        <f>AND(((F361)=TRUE), ((J361)=TRUE))</f>
        <v>0</v>
      </c>
      <c r="L361" s="4" t="b">
        <f>AND(((G361 &lt;&gt; "plain")=TRUE), ((G361 &lt;&gt; "")=TRUE))</f>
        <v>0</v>
      </c>
      <c r="M361" s="4" t="str">
        <f>IF(((E361)=TRUE),  C361 &amp; "|" &amp; H361,  "")</f>
        <v>principal-variance-review-agent|RequirementSatisfactions</v>
      </c>
      <c r="N361" s="3" t="s">
        <v>10004</v>
      </c>
    </row>
    <row r="362">
      <c r="A362" s="3" t="s">
        <v>10364</v>
      </c>
      <c r="B362" s="4" t="str">
        <f>C362 &amp; " -&gt; " &amp; D362</f>
        <v>principal-variance-review-agent -&gt; RequirementSatisfactions.Evidence</v>
      </c>
      <c r="C362" s="3" t="s">
        <v>9766</v>
      </c>
      <c r="D362" s="3" t="s">
        <v>3779</v>
      </c>
      <c r="E362" s="3" t="b">
        <v>1</v>
      </c>
      <c r="F362" s="3" t="b">
        <v>0</v>
      </c>
      <c r="G362" s="3" t="s">
        <v>10003</v>
      </c>
      <c r="H362" s="4" t="str">
        <f>_xlfn.IFNA(IF(((INDEX(RulebookFields!C2:C1898, MATCH(D362,RulebookFields!A2:A1898, 0))="")=TRUE),  "",  INDEX(RulebookFields!C2:C1898, MATCH(D362,RulebookFields!A2:A1898, 0))), "")</f>
        <v>RequirementSatisfactions</v>
      </c>
      <c r="I362" s="4" t="str">
        <f>_xlfn.IFNA(IF(((INDEX(RulebookFields!D2:D1898, MATCH(D362,RulebookFields!A2:A1898, 0))="")=TRUE),  "",  INDEX(RulebookFields!D2:D1898, MATCH(D362,RulebookFields!A2:A1898, 0))), "")</f>
        <v>Evidence</v>
      </c>
      <c r="J362" s="4" t="b">
        <f>_xlfn.IFNA(IF(((INDEX(RulebookFields!I2:I1898, MATCH(D362,RulebookFields!A2:A1898, 0))="")=TRUE),  "",  INDEX(RulebookFields!I2:I1898, MATCH(D362,RulebookFields!A2:A1898, 0))), "")</f>
        <v>0</v>
      </c>
      <c r="K362" s="4" t="b">
        <f>AND(((F362)=TRUE), ((J362)=TRUE))</f>
        <v>0</v>
      </c>
      <c r="L362" s="4" t="b">
        <f>AND(((G362 &lt;&gt; "plain")=TRUE), ((G362 &lt;&gt; "")=TRUE))</f>
        <v>0</v>
      </c>
      <c r="M362" s="4" t="str">
        <f>IF(((E362)=TRUE),  C362 &amp; "|" &amp; H362,  "")</f>
        <v>principal-variance-review-agent|RequirementSatisfactions</v>
      </c>
      <c r="N362" s="3" t="s">
        <v>10004</v>
      </c>
    </row>
    <row r="363">
      <c r="A363" s="3" t="s">
        <v>10365</v>
      </c>
      <c r="B363" s="4" t="str">
        <f>C363 &amp; " -&gt; " &amp; D363</f>
        <v>principal-variance-review-agent -&gt; RequirementSatisfactions.Name</v>
      </c>
      <c r="C363" s="3" t="s">
        <v>9766</v>
      </c>
      <c r="D363" s="3" t="s">
        <v>3774</v>
      </c>
      <c r="E363" s="3" t="b">
        <v>1</v>
      </c>
      <c r="F363" s="3" t="b">
        <v>0</v>
      </c>
      <c r="G363" s="3" t="s">
        <v>10003</v>
      </c>
      <c r="H363" s="4" t="str">
        <f>_xlfn.IFNA(IF(((INDEX(RulebookFields!C2:C1898, MATCH(D363,RulebookFields!A2:A1898, 0))="")=TRUE),  "",  INDEX(RulebookFields!C2:C1898, MATCH(D363,RulebookFields!A2:A1898, 0))), "")</f>
        <v>RequirementSatisfactions</v>
      </c>
      <c r="I363" s="4" t="str">
        <f>_xlfn.IFNA(IF(((INDEX(RulebookFields!D2:D1898, MATCH(D363,RulebookFields!A2:A1898, 0))="")=TRUE),  "",  INDEX(RulebookFields!D2:D1898, MATCH(D363,RulebookFields!A2:A1898, 0))), "")</f>
        <v>Name</v>
      </c>
      <c r="J363" s="4" t="b">
        <f>_xlfn.IFNA(IF(((INDEX(RulebookFields!I2:I1898, MATCH(D363,RulebookFields!A2:A1898, 0))="")=TRUE),  "",  INDEX(RulebookFields!I2:I1898, MATCH(D363,RulebookFields!A2:A1898, 0))), "")</f>
        <v>1</v>
      </c>
      <c r="K363" s="4" t="b">
        <f>AND(((F363)=TRUE), ((J363)=TRUE))</f>
        <v>0</v>
      </c>
      <c r="L363" s="4" t="b">
        <f>AND(((G363 &lt;&gt; "plain")=TRUE), ((G363 &lt;&gt; "")=TRUE))</f>
        <v>0</v>
      </c>
      <c r="M363" s="4" t="str">
        <f>IF(((E363)=TRUE),  C363 &amp; "|" &amp; H363,  "")</f>
        <v>principal-variance-review-agent|RequirementSatisfactions</v>
      </c>
      <c r="N363" s="3" t="s">
        <v>10004</v>
      </c>
    </row>
    <row r="364">
      <c r="A364" s="3" t="s">
        <v>10366</v>
      </c>
      <c r="B364" s="4" t="str">
        <f>C364 &amp; " -&gt; " &amp; D364</f>
        <v>principal-variance-review-agent -&gt; Errors.ErrorId</v>
      </c>
      <c r="C364" s="3" t="s">
        <v>9766</v>
      </c>
      <c r="D364" s="3" t="s">
        <v>3853</v>
      </c>
      <c r="E364" s="3" t="b">
        <v>1</v>
      </c>
      <c r="F364" s="3" t="b">
        <v>0</v>
      </c>
      <c r="G364" s="3" t="s">
        <v>10003</v>
      </c>
      <c r="H364" s="4" t="str">
        <f>_xlfn.IFNA(IF(((INDEX(RulebookFields!C2:C1898, MATCH(D364,RulebookFields!A2:A1898, 0))="")=TRUE),  "",  INDEX(RulebookFields!C2:C1898, MATCH(D364,RulebookFields!A2:A1898, 0))), "")</f>
        <v>Errors</v>
      </c>
      <c r="I364" s="4" t="str">
        <f>_xlfn.IFNA(IF(((INDEX(RulebookFields!D2:D1898, MATCH(D364,RulebookFields!A2:A1898, 0))="")=TRUE),  "",  INDEX(RulebookFields!D2:D1898, MATCH(D364,RulebookFields!A2:A1898, 0))), "")</f>
        <v>ErrorId</v>
      </c>
      <c r="J364" s="4" t="b">
        <f>_xlfn.IFNA(IF(((INDEX(RulebookFields!I2:I1898, MATCH(D364,RulebookFields!A2:A1898, 0))="")=TRUE),  "",  INDEX(RulebookFields!I2:I1898, MATCH(D364,RulebookFields!A2:A1898, 0))), "")</f>
        <v>0</v>
      </c>
      <c r="K364" s="4" t="b">
        <f>AND(((F364)=TRUE), ((J364)=TRUE))</f>
        <v>0</v>
      </c>
      <c r="L364" s="4" t="b">
        <f>AND(((G364 &lt;&gt; "plain")=TRUE), ((G364 &lt;&gt; "")=TRUE))</f>
        <v>0</v>
      </c>
      <c r="M364" s="4" t="str">
        <f>IF(((E364)=TRUE),  C364 &amp; "|" &amp; H364,  "")</f>
        <v>principal-variance-review-agent|Errors</v>
      </c>
      <c r="N364" s="3" t="s">
        <v>10004</v>
      </c>
    </row>
    <row r="365">
      <c r="A365" s="3" t="s">
        <v>10367</v>
      </c>
      <c r="B365" s="4" t="str">
        <f>C365 &amp; " -&gt; " &amp; D365</f>
        <v>principal-variance-review-agent -&gt; Errors.Name</v>
      </c>
      <c r="C365" s="3" t="s">
        <v>9766</v>
      </c>
      <c r="D365" s="3" t="s">
        <v>3854</v>
      </c>
      <c r="E365" s="3" t="b">
        <v>1</v>
      </c>
      <c r="F365" s="3" t="b">
        <v>0</v>
      </c>
      <c r="G365" s="3" t="s">
        <v>10003</v>
      </c>
      <c r="H365" s="4" t="str">
        <f>_xlfn.IFNA(IF(((INDEX(RulebookFields!C2:C1898, MATCH(D365,RulebookFields!A2:A1898, 0))="")=TRUE),  "",  INDEX(RulebookFields!C2:C1898, MATCH(D365,RulebookFields!A2:A1898, 0))), "")</f>
        <v>Errors</v>
      </c>
      <c r="I365" s="4" t="str">
        <f>_xlfn.IFNA(IF(((INDEX(RulebookFields!D2:D1898, MATCH(D365,RulebookFields!A2:A1898, 0))="")=TRUE),  "",  INDEX(RulebookFields!D2:D1898, MATCH(D365,RulebookFields!A2:A1898, 0))), "")</f>
        <v>Name</v>
      </c>
      <c r="J365" s="4" t="b">
        <f>_xlfn.IFNA(IF(((INDEX(RulebookFields!I2:I1898, MATCH(D365,RulebookFields!A2:A1898, 0))="")=TRUE),  "",  INDEX(RulebookFields!I2:I1898, MATCH(D365,RulebookFields!A2:A1898, 0))), "")</f>
        <v>1</v>
      </c>
      <c r="K365" s="4" t="b">
        <f>AND(((F365)=TRUE), ((J365)=TRUE))</f>
        <v>0</v>
      </c>
      <c r="L365" s="4" t="b">
        <f>AND(((G365 &lt;&gt; "plain")=TRUE), ((G365 &lt;&gt; "")=TRUE))</f>
        <v>0</v>
      </c>
      <c r="M365" s="4" t="str">
        <f>IF(((E365)=TRUE),  C365 &amp; "|" &amp; H365,  "")</f>
        <v>principal-variance-review-agent|Errors</v>
      </c>
      <c r="N365" s="3" t="s">
        <v>10004</v>
      </c>
    </row>
    <row r="366">
      <c r="A366" s="3" t="s">
        <v>10368</v>
      </c>
      <c r="B366" s="4" t="str">
        <f>C366 &amp; " -&gt; " &amp; D366</f>
        <v>principal-variance-review-agent -&gt; Errors.Label</v>
      </c>
      <c r="C366" s="3" t="s">
        <v>9766</v>
      </c>
      <c r="D366" s="3" t="s">
        <v>3856</v>
      </c>
      <c r="E366" s="3" t="b">
        <v>1</v>
      </c>
      <c r="F366" s="3" t="b">
        <v>0</v>
      </c>
      <c r="G366" s="3" t="s">
        <v>10003</v>
      </c>
      <c r="H366" s="4" t="str">
        <f>_xlfn.IFNA(IF(((INDEX(RulebookFields!C2:C1898, MATCH(D366,RulebookFields!A2:A1898, 0))="")=TRUE),  "",  INDEX(RulebookFields!C2:C1898, MATCH(D366,RulebookFields!A2:A1898, 0))), "")</f>
        <v>Errors</v>
      </c>
      <c r="I366" s="4" t="str">
        <f>_xlfn.IFNA(IF(((INDEX(RulebookFields!D2:D1898, MATCH(D366,RulebookFields!A2:A1898, 0))="")=TRUE),  "",  INDEX(RulebookFields!D2:D1898, MATCH(D366,RulebookFields!A2:A1898, 0))), "")</f>
        <v>Label</v>
      </c>
      <c r="J366" s="4" t="b">
        <f>_xlfn.IFNA(IF(((INDEX(RulebookFields!I2:I1898, MATCH(D366,RulebookFields!A2:A1898, 0))="")=TRUE),  "",  INDEX(RulebookFields!I2:I1898, MATCH(D366,RulebookFields!A2:A1898, 0))), "")</f>
        <v>0</v>
      </c>
      <c r="K366" s="4" t="b">
        <f>AND(((F366)=TRUE), ((J366)=TRUE))</f>
        <v>0</v>
      </c>
      <c r="L366" s="4" t="b">
        <f>AND(((G366 &lt;&gt; "plain")=TRUE), ((G366 &lt;&gt; "")=TRUE))</f>
        <v>0</v>
      </c>
      <c r="M366" s="4" t="str">
        <f>IF(((E366)=TRUE),  C366 &amp; "|" &amp; H366,  "")</f>
        <v>principal-variance-review-agent|Errors</v>
      </c>
      <c r="N366" s="3" t="s">
        <v>10004</v>
      </c>
    </row>
    <row r="367">
      <c r="A367" s="3" t="s">
        <v>10369</v>
      </c>
      <c r="B367" s="4" t="str">
        <f>C367 &amp; " -&gt; " &amp; D367</f>
        <v>principal-variance-review-agent -&gt; Errors.ErrorCode</v>
      </c>
      <c r="C367" s="3" t="s">
        <v>9766</v>
      </c>
      <c r="D367" s="3" t="s">
        <v>3857</v>
      </c>
      <c r="E367" s="3" t="b">
        <v>1</v>
      </c>
      <c r="F367" s="3" t="b">
        <v>0</v>
      </c>
      <c r="G367" s="3" t="s">
        <v>10003</v>
      </c>
      <c r="H367" s="4" t="str">
        <f>_xlfn.IFNA(IF(((INDEX(RulebookFields!C2:C1898, MATCH(D367,RulebookFields!A2:A1898, 0))="")=TRUE),  "",  INDEX(RulebookFields!C2:C1898, MATCH(D367,RulebookFields!A2:A1898, 0))), "")</f>
        <v>Errors</v>
      </c>
      <c r="I367" s="4" t="str">
        <f>_xlfn.IFNA(IF(((INDEX(RulebookFields!D2:D1898, MATCH(D367,RulebookFields!A2:A1898, 0))="")=TRUE),  "",  INDEX(RulebookFields!D2:D1898, MATCH(D367,RulebookFields!A2:A1898, 0))), "")</f>
        <v>ErrorCode</v>
      </c>
      <c r="J367" s="4" t="b">
        <f>_xlfn.IFNA(IF(((INDEX(RulebookFields!I2:I1898, MATCH(D367,RulebookFields!A2:A1898, 0))="")=TRUE),  "",  INDEX(RulebookFields!I2:I1898, MATCH(D367,RulebookFields!A2:A1898, 0))), "")</f>
        <v>0</v>
      </c>
      <c r="K367" s="4" t="b">
        <f>AND(((F367)=TRUE), ((J367)=TRUE))</f>
        <v>0</v>
      </c>
      <c r="L367" s="4" t="b">
        <f>AND(((G367 &lt;&gt; "plain")=TRUE), ((G367 &lt;&gt; "")=TRUE))</f>
        <v>0</v>
      </c>
      <c r="M367" s="4" t="str">
        <f>IF(((E367)=TRUE),  C367 &amp; "|" &amp; H367,  "")</f>
        <v>principal-variance-review-agent|Errors</v>
      </c>
      <c r="N367" s="3" t="s">
        <v>10004</v>
      </c>
    </row>
    <row r="368">
      <c r="A368" s="3" t="s">
        <v>10370</v>
      </c>
      <c r="B368" s="4" t="str">
        <f>C368 &amp; " -&gt; " &amp; D368</f>
        <v>principal-variance-review-agent -&gt; Errors.ErrorCause</v>
      </c>
      <c r="C368" s="3" t="s">
        <v>9766</v>
      </c>
      <c r="D368" s="3" t="s">
        <v>3858</v>
      </c>
      <c r="E368" s="3" t="b">
        <v>1</v>
      </c>
      <c r="F368" s="3" t="b">
        <v>0</v>
      </c>
      <c r="G368" s="3" t="s">
        <v>10003</v>
      </c>
      <c r="H368" s="4" t="str">
        <f>_xlfn.IFNA(IF(((INDEX(RulebookFields!C2:C1898, MATCH(D368,RulebookFields!A2:A1898, 0))="")=TRUE),  "",  INDEX(RulebookFields!C2:C1898, MATCH(D368,RulebookFields!A2:A1898, 0))), "")</f>
        <v>Errors</v>
      </c>
      <c r="I368" s="4" t="str">
        <f>_xlfn.IFNA(IF(((INDEX(RulebookFields!D2:D1898, MATCH(D368,RulebookFields!A2:A1898, 0))="")=TRUE),  "",  INDEX(RulebookFields!D2:D1898, MATCH(D368,RulebookFields!A2:A1898, 0))), "")</f>
        <v>ErrorCause</v>
      </c>
      <c r="J368" s="4" t="b">
        <f>_xlfn.IFNA(IF(((INDEX(RulebookFields!I2:I1898, MATCH(D368,RulebookFields!A2:A1898, 0))="")=TRUE),  "",  INDEX(RulebookFields!I2:I1898, MATCH(D368,RulebookFields!A2:A1898, 0))), "")</f>
        <v>0</v>
      </c>
      <c r="K368" s="4" t="b">
        <f>AND(((F368)=TRUE), ((J368)=TRUE))</f>
        <v>0</v>
      </c>
      <c r="L368" s="4" t="b">
        <f>AND(((G368 &lt;&gt; "plain")=TRUE), ((G368 &lt;&gt; "")=TRUE))</f>
        <v>0</v>
      </c>
      <c r="M368" s="4" t="str">
        <f>IF(((E368)=TRUE),  C368 &amp; "|" &amp; H368,  "")</f>
        <v>principal-variance-review-agent|Errors</v>
      </c>
      <c r="N368" s="3" t="s">
        <v>10004</v>
      </c>
    </row>
    <row r="369">
      <c r="A369" s="3" t="s">
        <v>10371</v>
      </c>
      <c r="B369" s="4" t="str">
        <f>C369 &amp; " -&gt; " &amp; D369</f>
        <v>principal-variance-review-agent -&gt; Errors.SemanticTypeIri</v>
      </c>
      <c r="C369" s="3" t="s">
        <v>9766</v>
      </c>
      <c r="D369" s="3" t="s">
        <v>3859</v>
      </c>
      <c r="E369" s="3" t="b">
        <v>1</v>
      </c>
      <c r="F369" s="3" t="b">
        <v>0</v>
      </c>
      <c r="G369" s="3" t="s">
        <v>10003</v>
      </c>
      <c r="H369" s="4" t="str">
        <f>_xlfn.IFNA(IF(((INDEX(RulebookFields!C2:C1898, MATCH(D369,RulebookFields!A2:A1898, 0))="")=TRUE),  "",  INDEX(RulebookFields!C2:C1898, MATCH(D369,RulebookFields!A2:A1898, 0))), "")</f>
        <v>Errors</v>
      </c>
      <c r="I369" s="4" t="str">
        <f>_xlfn.IFNA(IF(((INDEX(RulebookFields!D2:D1898, MATCH(D369,RulebookFields!A2:A1898, 0))="")=TRUE),  "",  INDEX(RulebookFields!D2:D1898, MATCH(D369,RulebookFields!A2:A1898, 0))), "")</f>
        <v>SemanticTypeIri</v>
      </c>
      <c r="J369" s="4" t="b">
        <f>_xlfn.IFNA(IF(((INDEX(RulebookFields!I2:I1898, MATCH(D369,RulebookFields!A2:A1898, 0))="")=TRUE),  "",  INDEX(RulebookFields!I2:I1898, MATCH(D369,RulebookFields!A2:A1898, 0))), "")</f>
        <v>0</v>
      </c>
      <c r="K369" s="4" t="b">
        <f>AND(((F369)=TRUE), ((J369)=TRUE))</f>
        <v>0</v>
      </c>
      <c r="L369" s="4" t="b">
        <f>AND(((G369 &lt;&gt; "plain")=TRUE), ((G369 &lt;&gt; "")=TRUE))</f>
        <v>0</v>
      </c>
      <c r="M369" s="4" t="str">
        <f>IF(((E369)=TRUE),  C369 &amp; "|" &amp; H369,  "")</f>
        <v>principal-variance-review-agent|Errors</v>
      </c>
      <c r="N369" s="3" t="s">
        <v>10004</v>
      </c>
    </row>
    <row r="370">
      <c r="A370" s="3" t="s">
        <v>10372</v>
      </c>
      <c r="B370" s="4" t="str">
        <f>C370 &amp; " -&gt; " &amp; D370</f>
        <v>principal-policy-drafting-agent -&gt; MessageTemplates.MessageTemplateId</v>
      </c>
      <c r="C370" s="3" t="s">
        <v>9768</v>
      </c>
      <c r="D370" s="3" t="s">
        <v>4086</v>
      </c>
      <c r="E370" s="3" t="b">
        <v>1</v>
      </c>
      <c r="F370" s="3" t="b">
        <v>0</v>
      </c>
      <c r="G370" s="3" t="s">
        <v>10003</v>
      </c>
      <c r="H370" s="4" t="str">
        <f>_xlfn.IFNA(IF(((INDEX(RulebookFields!C2:C1898, MATCH(D370,RulebookFields!A2:A1898, 0))="")=TRUE),  "",  INDEX(RulebookFields!C2:C1898, MATCH(D370,RulebookFields!A2:A1898, 0))), "")</f>
        <v>MessageTemplates</v>
      </c>
      <c r="I370" s="4" t="str">
        <f>_xlfn.IFNA(IF(((INDEX(RulebookFields!D2:D1898, MATCH(D370,RulebookFields!A2:A1898, 0))="")=TRUE),  "",  INDEX(RulebookFields!D2:D1898, MATCH(D370,RulebookFields!A2:A1898, 0))), "")</f>
        <v>MessageTemplateId</v>
      </c>
      <c r="J370" s="4" t="b">
        <f>_xlfn.IFNA(IF(((INDEX(RulebookFields!I2:I1898, MATCH(D370,RulebookFields!A2:A1898, 0))="")=TRUE),  "",  INDEX(RulebookFields!I2:I1898, MATCH(D370,RulebookFields!A2:A1898, 0))), "")</f>
        <v>0</v>
      </c>
      <c r="K370" s="4" t="b">
        <f>AND(((F370)=TRUE), ((J370)=TRUE))</f>
        <v>0</v>
      </c>
      <c r="L370" s="4" t="b">
        <f>AND(((G370 &lt;&gt; "plain")=TRUE), ((G370 &lt;&gt; "")=TRUE))</f>
        <v>0</v>
      </c>
      <c r="M370" s="4" t="str">
        <f>IF(((E370)=TRUE),  C370 &amp; "|" &amp; H370,  "")</f>
        <v>principal-policy-drafting-agent|MessageTemplates</v>
      </c>
      <c r="N370" s="3" t="s">
        <v>10004</v>
      </c>
    </row>
    <row r="371">
      <c r="A371" s="3" t="s">
        <v>10373</v>
      </c>
      <c r="B371" s="4" t="str">
        <f>C371 &amp; " -&gt; " &amp; D371</f>
        <v>principal-policy-drafting-agent -&gt; MessageTemplates.SubjectTemplate</v>
      </c>
      <c r="C371" s="3" t="s">
        <v>9768</v>
      </c>
      <c r="D371" s="3" t="s">
        <v>4092</v>
      </c>
      <c r="E371" s="3" t="b">
        <v>1</v>
      </c>
      <c r="F371" s="3" t="b">
        <v>0</v>
      </c>
      <c r="G371" s="3" t="s">
        <v>10003</v>
      </c>
      <c r="H371" s="4" t="str">
        <f>_xlfn.IFNA(IF(((INDEX(RulebookFields!C2:C1898, MATCH(D371,RulebookFields!A2:A1898, 0))="")=TRUE),  "",  INDEX(RulebookFields!C2:C1898, MATCH(D371,RulebookFields!A2:A1898, 0))), "")</f>
        <v>MessageTemplates</v>
      </c>
      <c r="I371" s="4" t="str">
        <f>_xlfn.IFNA(IF(((INDEX(RulebookFields!D2:D1898, MATCH(D371,RulebookFields!A2:A1898, 0))="")=TRUE),  "",  INDEX(RulebookFields!D2:D1898, MATCH(D371,RulebookFields!A2:A1898, 0))), "")</f>
        <v>SubjectTemplate</v>
      </c>
      <c r="J371" s="4" t="b">
        <f>_xlfn.IFNA(IF(((INDEX(RulebookFields!I2:I1898, MATCH(D371,RulebookFields!A2:A1898, 0))="")=TRUE),  "",  INDEX(RulebookFields!I2:I1898, MATCH(D371,RulebookFields!A2:A1898, 0))), "")</f>
        <v>0</v>
      </c>
      <c r="K371" s="4" t="b">
        <f>AND(((F371)=TRUE), ((J371)=TRUE))</f>
        <v>0</v>
      </c>
      <c r="L371" s="4" t="b">
        <f>AND(((G371 &lt;&gt; "plain")=TRUE), ((G371 &lt;&gt; "")=TRUE))</f>
        <v>0</v>
      </c>
      <c r="M371" s="4" t="str">
        <f>IF(((E371)=TRUE),  C371 &amp; "|" &amp; H371,  "")</f>
        <v>principal-policy-drafting-agent|MessageTemplates</v>
      </c>
      <c r="N371" s="3" t="s">
        <v>10004</v>
      </c>
    </row>
    <row r="372">
      <c r="A372" s="3" t="s">
        <v>10374</v>
      </c>
      <c r="B372" s="4" t="str">
        <f>C372 &amp; " -&gt; " &amp; D372</f>
        <v>principal-policy-drafting-agent -&gt; MessageTemplates.BodyTemplate</v>
      </c>
      <c r="C372" s="3" t="s">
        <v>9768</v>
      </c>
      <c r="D372" s="3" t="s">
        <v>4093</v>
      </c>
      <c r="E372" s="3" t="b">
        <v>1</v>
      </c>
      <c r="F372" s="3" t="b">
        <v>0</v>
      </c>
      <c r="G372" s="3" t="s">
        <v>10003</v>
      </c>
      <c r="H372" s="4" t="str">
        <f>_xlfn.IFNA(IF(((INDEX(RulebookFields!C2:C1898, MATCH(D372,RulebookFields!A2:A1898, 0))="")=TRUE),  "",  INDEX(RulebookFields!C2:C1898, MATCH(D372,RulebookFields!A2:A1898, 0))), "")</f>
        <v>MessageTemplates</v>
      </c>
      <c r="I372" s="4" t="str">
        <f>_xlfn.IFNA(IF(((INDEX(RulebookFields!D2:D1898, MATCH(D372,RulebookFields!A2:A1898, 0))="")=TRUE),  "",  INDEX(RulebookFields!D2:D1898, MATCH(D372,RulebookFields!A2:A1898, 0))), "")</f>
        <v>BodyTemplate</v>
      </c>
      <c r="J372" s="4" t="b">
        <f>_xlfn.IFNA(IF(((INDEX(RulebookFields!I2:I1898, MATCH(D372,RulebookFields!A2:A1898, 0))="")=TRUE),  "",  INDEX(RulebookFields!I2:I1898, MATCH(D372,RulebookFields!A2:A1898, 0))), "")</f>
        <v>0</v>
      </c>
      <c r="K372" s="4" t="b">
        <f>AND(((F372)=TRUE), ((J372)=TRUE))</f>
        <v>0</v>
      </c>
      <c r="L372" s="4" t="b">
        <f>AND(((G372 &lt;&gt; "plain")=TRUE), ((G372 &lt;&gt; "")=TRUE))</f>
        <v>0</v>
      </c>
      <c r="M372" s="4" t="str">
        <f>IF(((E372)=TRUE),  C372 &amp; "|" &amp; H372,  "")</f>
        <v>principal-policy-drafting-agent|MessageTemplates</v>
      </c>
      <c r="N372" s="3" t="s">
        <v>10004</v>
      </c>
    </row>
    <row r="373">
      <c r="A373" s="3" t="s">
        <v>10375</v>
      </c>
      <c r="B373" s="4" t="str">
        <f>C373 &amp; " -&gt; " &amp; D373</f>
        <v>principal-policy-drafting-agent -&gt; MessageTemplates.Locale</v>
      </c>
      <c r="C373" s="3" t="s">
        <v>9768</v>
      </c>
      <c r="D373" s="3" t="s">
        <v>4094</v>
      </c>
      <c r="E373" s="3" t="b">
        <v>1</v>
      </c>
      <c r="F373" s="3" t="b">
        <v>0</v>
      </c>
      <c r="G373" s="3" t="s">
        <v>10003</v>
      </c>
      <c r="H373" s="4" t="str">
        <f>_xlfn.IFNA(IF(((INDEX(RulebookFields!C2:C1898, MATCH(D373,RulebookFields!A2:A1898, 0))="")=TRUE),  "",  INDEX(RulebookFields!C2:C1898, MATCH(D373,RulebookFields!A2:A1898, 0))), "")</f>
        <v>MessageTemplates</v>
      </c>
      <c r="I373" s="4" t="str">
        <f>_xlfn.IFNA(IF(((INDEX(RulebookFields!D2:D1898, MATCH(D373,RulebookFields!A2:A1898, 0))="")=TRUE),  "",  INDEX(RulebookFields!D2:D1898, MATCH(D373,RulebookFields!A2:A1898, 0))), "")</f>
        <v>Locale</v>
      </c>
      <c r="J373" s="4" t="b">
        <f>_xlfn.IFNA(IF(((INDEX(RulebookFields!I2:I1898, MATCH(D373,RulebookFields!A2:A1898, 0))="")=TRUE),  "",  INDEX(RulebookFields!I2:I1898, MATCH(D373,RulebookFields!A2:A1898, 0))), "")</f>
        <v>0</v>
      </c>
      <c r="K373" s="4" t="b">
        <f>AND(((F373)=TRUE), ((J373)=TRUE))</f>
        <v>0</v>
      </c>
      <c r="L373" s="4" t="b">
        <f>AND(((G373 &lt;&gt; "plain")=TRUE), ((G373 &lt;&gt; "")=TRUE))</f>
        <v>0</v>
      </c>
      <c r="M373" s="4" t="str">
        <f>IF(((E373)=TRUE),  C373 &amp; "|" &amp; H373,  "")</f>
        <v>principal-policy-drafting-agent|MessageTemplates</v>
      </c>
      <c r="N373" s="3" t="s">
        <v>10004</v>
      </c>
    </row>
    <row r="374">
      <c r="A374" s="3" t="s">
        <v>10376</v>
      </c>
      <c r="B374" s="4" t="str">
        <f>C374 &amp; " -&gt; " &amp; D374</f>
        <v>principal-policy-drafting-agent -&gt; MessageTemplates.Status</v>
      </c>
      <c r="C374" s="3" t="s">
        <v>9768</v>
      </c>
      <c r="D374" s="3" t="s">
        <v>4095</v>
      </c>
      <c r="E374" s="3" t="b">
        <v>1</v>
      </c>
      <c r="F374" s="3" t="b">
        <v>0</v>
      </c>
      <c r="G374" s="3" t="s">
        <v>10003</v>
      </c>
      <c r="H374" s="4" t="str">
        <f>_xlfn.IFNA(IF(((INDEX(RulebookFields!C2:C1898, MATCH(D374,RulebookFields!A2:A1898, 0))="")=TRUE),  "",  INDEX(RulebookFields!C2:C1898, MATCH(D374,RulebookFields!A2:A1898, 0))), "")</f>
        <v>MessageTemplates</v>
      </c>
      <c r="I374" s="4" t="str">
        <f>_xlfn.IFNA(IF(((INDEX(RulebookFields!D2:D1898, MATCH(D374,RulebookFields!A2:A1898, 0))="")=TRUE),  "",  INDEX(RulebookFields!D2:D1898, MATCH(D374,RulebookFields!A2:A1898, 0))), "")</f>
        <v>Status</v>
      </c>
      <c r="J374" s="4" t="b">
        <f>_xlfn.IFNA(IF(((INDEX(RulebookFields!I2:I1898, MATCH(D374,RulebookFields!A2:A1898, 0))="")=TRUE),  "",  INDEX(RulebookFields!I2:I1898, MATCH(D374,RulebookFields!A2:A1898, 0))), "")</f>
        <v>0</v>
      </c>
      <c r="K374" s="4" t="b">
        <f>AND(((F374)=TRUE), ((J374)=TRUE))</f>
        <v>0</v>
      </c>
      <c r="L374" s="4" t="b">
        <f>AND(((G374 &lt;&gt; "plain")=TRUE), ((G374 &lt;&gt; "")=TRUE))</f>
        <v>0</v>
      </c>
      <c r="M374" s="4" t="str">
        <f>IF(((E374)=TRUE),  C374 &amp; "|" &amp; H374,  "")</f>
        <v>principal-policy-drafting-agent|MessageTemplates</v>
      </c>
      <c r="N374" s="3" t="s">
        <v>10004</v>
      </c>
    </row>
    <row r="375">
      <c r="A375" s="3" t="s">
        <v>10377</v>
      </c>
      <c r="B375" s="4" t="str">
        <f>C375 &amp; " -&gt; " &amp; D375</f>
        <v>principal-policy-drafting-agent -&gt; MessageTemplates.Name</v>
      </c>
      <c r="C375" s="3" t="s">
        <v>9768</v>
      </c>
      <c r="D375" s="3" t="s">
        <v>4088</v>
      </c>
      <c r="E375" s="3" t="b">
        <v>1</v>
      </c>
      <c r="F375" s="3" t="b">
        <v>0</v>
      </c>
      <c r="G375" s="3" t="s">
        <v>10003</v>
      </c>
      <c r="H375" s="4" t="str">
        <f>_xlfn.IFNA(IF(((INDEX(RulebookFields!C2:C1898, MATCH(D375,RulebookFields!A2:A1898, 0))="")=TRUE),  "",  INDEX(RulebookFields!C2:C1898, MATCH(D375,RulebookFields!A2:A1898, 0))), "")</f>
        <v>MessageTemplates</v>
      </c>
      <c r="I375" s="4" t="str">
        <f>_xlfn.IFNA(IF(((INDEX(RulebookFields!D2:D1898, MATCH(D375,RulebookFields!A2:A1898, 0))="")=TRUE),  "",  INDEX(RulebookFields!D2:D1898, MATCH(D375,RulebookFields!A2:A1898, 0))), "")</f>
        <v>Name</v>
      </c>
      <c r="J375" s="4" t="b">
        <f>_xlfn.IFNA(IF(((INDEX(RulebookFields!I2:I1898, MATCH(D375,RulebookFields!A2:A1898, 0))="")=TRUE),  "",  INDEX(RulebookFields!I2:I1898, MATCH(D375,RulebookFields!A2:A1898, 0))), "")</f>
        <v>1</v>
      </c>
      <c r="K375" s="4" t="b">
        <f>AND(((F375)=TRUE), ((J375)=TRUE))</f>
        <v>0</v>
      </c>
      <c r="L375" s="4" t="b">
        <f>AND(((G375 &lt;&gt; "plain")=TRUE), ((G375 &lt;&gt; "")=TRUE))</f>
        <v>0</v>
      </c>
      <c r="M375" s="4" t="str">
        <f>IF(((E375)=TRUE),  C375 &amp; "|" &amp; H375,  "")</f>
        <v>principal-policy-drafting-agent|MessageTemplates</v>
      </c>
      <c r="N375" s="3" t="s">
        <v>10004</v>
      </c>
    </row>
    <row r="376">
      <c r="A376" s="3" t="s">
        <v>10378</v>
      </c>
      <c r="B376" s="4" t="str">
        <f>C376 &amp; " -&gt; " &amp; D376</f>
        <v>principal-policy-drafting-agent -&gt; CommunicationPolicies.CommunicationPolicyId</v>
      </c>
      <c r="C376" s="3" t="s">
        <v>9768</v>
      </c>
      <c r="D376" s="3" t="s">
        <v>4060</v>
      </c>
      <c r="E376" s="3" t="b">
        <v>1</v>
      </c>
      <c r="F376" s="3" t="b">
        <v>0</v>
      </c>
      <c r="G376" s="3" t="s">
        <v>10003</v>
      </c>
      <c r="H376" s="4" t="str">
        <f>_xlfn.IFNA(IF(((INDEX(RulebookFields!C2:C1898, MATCH(D376,RulebookFields!A2:A1898, 0))="")=TRUE),  "",  INDEX(RulebookFields!C2:C1898, MATCH(D376,RulebookFields!A2:A1898, 0))), "")</f>
        <v>CommunicationPolicies</v>
      </c>
      <c r="I376" s="4" t="str">
        <f>_xlfn.IFNA(IF(((INDEX(RulebookFields!D2:D1898, MATCH(D376,RulebookFields!A2:A1898, 0))="")=TRUE),  "",  INDEX(RulebookFields!D2:D1898, MATCH(D376,RulebookFields!A2:A1898, 0))), "")</f>
        <v>CommunicationPolicyId</v>
      </c>
      <c r="J376" s="4" t="b">
        <f>_xlfn.IFNA(IF(((INDEX(RulebookFields!I2:I1898, MATCH(D376,RulebookFields!A2:A1898, 0))="")=TRUE),  "",  INDEX(RulebookFields!I2:I1898, MATCH(D376,RulebookFields!A2:A1898, 0))), "")</f>
        <v>0</v>
      </c>
      <c r="K376" s="4" t="b">
        <f>AND(((F376)=TRUE), ((J376)=TRUE))</f>
        <v>0</v>
      </c>
      <c r="L376" s="4" t="b">
        <f>AND(((G376 &lt;&gt; "plain")=TRUE), ((G376 &lt;&gt; "")=TRUE))</f>
        <v>0</v>
      </c>
      <c r="M376" s="4" t="str">
        <f>IF(((E376)=TRUE),  C376 &amp; "|" &amp; H376,  "")</f>
        <v>principal-policy-drafting-agent|CommunicationPolicies</v>
      </c>
      <c r="N376" s="3" t="s">
        <v>10004</v>
      </c>
    </row>
    <row r="377">
      <c r="A377" s="3" t="s">
        <v>10379</v>
      </c>
      <c r="B377" s="4" t="str">
        <f>C377 &amp; " -&gt; " &amp; D377</f>
        <v>principal-policy-drafting-agent -&gt; CommunicationPolicies.Channel</v>
      </c>
      <c r="C377" s="3" t="s">
        <v>9768</v>
      </c>
      <c r="D377" s="3" t="s">
        <v>4064</v>
      </c>
      <c r="E377" s="3" t="b">
        <v>1</v>
      </c>
      <c r="F377" s="3" t="b">
        <v>0</v>
      </c>
      <c r="G377" s="3" t="s">
        <v>10003</v>
      </c>
      <c r="H377" s="4" t="str">
        <f>_xlfn.IFNA(IF(((INDEX(RulebookFields!C2:C1898, MATCH(D377,RulebookFields!A2:A1898, 0))="")=TRUE),  "",  INDEX(RulebookFields!C2:C1898, MATCH(D377,RulebookFields!A2:A1898, 0))), "")</f>
        <v>CommunicationPolicies</v>
      </c>
      <c r="I377" s="4" t="str">
        <f>_xlfn.IFNA(IF(((INDEX(RulebookFields!D2:D1898, MATCH(D377,RulebookFields!A2:A1898, 0))="")=TRUE),  "",  INDEX(RulebookFields!D2:D1898, MATCH(D377,RulebookFields!A2:A1898, 0))), "")</f>
        <v>Channel</v>
      </c>
      <c r="J377" s="4" t="b">
        <f>_xlfn.IFNA(IF(((INDEX(RulebookFields!I2:I1898, MATCH(D377,RulebookFields!A2:A1898, 0))="")=TRUE),  "",  INDEX(RulebookFields!I2:I1898, MATCH(D377,RulebookFields!A2:A1898, 0))), "")</f>
        <v>0</v>
      </c>
      <c r="K377" s="4" t="b">
        <f>AND(((F377)=TRUE), ((J377)=TRUE))</f>
        <v>0</v>
      </c>
      <c r="L377" s="4" t="b">
        <f>AND(((G377 &lt;&gt; "plain")=TRUE), ((G377 &lt;&gt; "")=TRUE))</f>
        <v>0</v>
      </c>
      <c r="M377" s="4" t="str">
        <f>IF(((E377)=TRUE),  C377 &amp; "|" &amp; H377,  "")</f>
        <v>principal-policy-drafting-agent|CommunicationPolicies</v>
      </c>
      <c r="N377" s="3" t="s">
        <v>10004</v>
      </c>
    </row>
    <row r="378">
      <c r="A378" s="3" t="s">
        <v>10380</v>
      </c>
      <c r="B378" s="4" t="str">
        <f>C378 &amp; " -&gt; " &amp; D378</f>
        <v>principal-policy-drafting-agent -&gt; CommunicationPolicies.AudienceRule</v>
      </c>
      <c r="C378" s="3" t="s">
        <v>9768</v>
      </c>
      <c r="D378" s="3" t="s">
        <v>4065</v>
      </c>
      <c r="E378" s="3" t="b">
        <v>1</v>
      </c>
      <c r="F378" s="3" t="b">
        <v>0</v>
      </c>
      <c r="G378" s="3" t="s">
        <v>10003</v>
      </c>
      <c r="H378" s="4" t="str">
        <f>_xlfn.IFNA(IF(((INDEX(RulebookFields!C2:C1898, MATCH(D378,RulebookFields!A2:A1898, 0))="")=TRUE),  "",  INDEX(RulebookFields!C2:C1898, MATCH(D378,RulebookFields!A2:A1898, 0))), "")</f>
        <v>CommunicationPolicies</v>
      </c>
      <c r="I378" s="4" t="str">
        <f>_xlfn.IFNA(IF(((INDEX(RulebookFields!D2:D1898, MATCH(D378,RulebookFields!A2:A1898, 0))="")=TRUE),  "",  INDEX(RulebookFields!D2:D1898, MATCH(D378,RulebookFields!A2:A1898, 0))), "")</f>
        <v>AudienceRule</v>
      </c>
      <c r="J378" s="4" t="b">
        <f>_xlfn.IFNA(IF(((INDEX(RulebookFields!I2:I1898, MATCH(D378,RulebookFields!A2:A1898, 0))="")=TRUE),  "",  INDEX(RulebookFields!I2:I1898, MATCH(D378,RulebookFields!A2:A1898, 0))), "")</f>
        <v>0</v>
      </c>
      <c r="K378" s="4" t="b">
        <f>AND(((F378)=TRUE), ((J378)=TRUE))</f>
        <v>0</v>
      </c>
      <c r="L378" s="4" t="b">
        <f>AND(((G378 &lt;&gt; "plain")=TRUE), ((G378 &lt;&gt; "")=TRUE))</f>
        <v>0</v>
      </c>
      <c r="M378" s="4" t="str">
        <f>IF(((E378)=TRUE),  C378 &amp; "|" &amp; H378,  "")</f>
        <v>principal-policy-drafting-agent|CommunicationPolicies</v>
      </c>
      <c r="N378" s="3" t="s">
        <v>10004</v>
      </c>
    </row>
    <row r="379">
      <c r="A379" s="3" t="s">
        <v>10381</v>
      </c>
      <c r="B379" s="4" t="str">
        <f>C379 &amp; " -&gt; " &amp; D379</f>
        <v>principal-policy-drafting-agent -&gt; CommunicationPolicies.MaxMessageLength</v>
      </c>
      <c r="C379" s="3" t="s">
        <v>9768</v>
      </c>
      <c r="D379" s="3" t="s">
        <v>4069</v>
      </c>
      <c r="E379" s="3" t="b">
        <v>1</v>
      </c>
      <c r="F379" s="3" t="b">
        <v>0</v>
      </c>
      <c r="G379" s="3" t="s">
        <v>10003</v>
      </c>
      <c r="H379" s="4" t="str">
        <f>_xlfn.IFNA(IF(((INDEX(RulebookFields!C2:C1898, MATCH(D379,RulebookFields!A2:A1898, 0))="")=TRUE),  "",  INDEX(RulebookFields!C2:C1898, MATCH(D379,RulebookFields!A2:A1898, 0))), "")</f>
        <v>CommunicationPolicies</v>
      </c>
      <c r="I379" s="4" t="str">
        <f>_xlfn.IFNA(IF(((INDEX(RulebookFields!D2:D1898, MATCH(D379,RulebookFields!A2:A1898, 0))="")=TRUE),  "",  INDEX(RulebookFields!D2:D1898, MATCH(D379,RulebookFields!A2:A1898, 0))), "")</f>
        <v>MaxMessageLength</v>
      </c>
      <c r="J379" s="4" t="b">
        <f>_xlfn.IFNA(IF(((INDEX(RulebookFields!I2:I1898, MATCH(D379,RulebookFields!A2:A1898, 0))="")=TRUE),  "",  INDEX(RulebookFields!I2:I1898, MATCH(D379,RulebookFields!A2:A1898, 0))), "")</f>
        <v>0</v>
      </c>
      <c r="K379" s="4" t="b">
        <f>AND(((F379)=TRUE), ((J379)=TRUE))</f>
        <v>0</v>
      </c>
      <c r="L379" s="4" t="b">
        <f>AND(((G379 &lt;&gt; "plain")=TRUE), ((G379 &lt;&gt; "")=TRUE))</f>
        <v>0</v>
      </c>
      <c r="M379" s="4" t="str">
        <f>IF(((E379)=TRUE),  C379 &amp; "|" &amp; H379,  "")</f>
        <v>principal-policy-drafting-agent|CommunicationPolicies</v>
      </c>
      <c r="N379" s="3" t="s">
        <v>10004</v>
      </c>
    </row>
    <row r="380">
      <c r="A380" s="3" t="s">
        <v>10382</v>
      </c>
      <c r="B380" s="4" t="str">
        <f>C380 &amp; " -&gt; " &amp; D380</f>
        <v>principal-policy-drafting-agent -&gt; CommunicationPolicies.MaxSegments</v>
      </c>
      <c r="C380" s="3" t="s">
        <v>9768</v>
      </c>
      <c r="D380" s="3" t="s">
        <v>4070</v>
      </c>
      <c r="E380" s="3" t="b">
        <v>1</v>
      </c>
      <c r="F380" s="3" t="b">
        <v>0</v>
      </c>
      <c r="G380" s="3" t="s">
        <v>10003</v>
      </c>
      <c r="H380" s="4" t="str">
        <f>_xlfn.IFNA(IF(((INDEX(RulebookFields!C2:C1898, MATCH(D380,RulebookFields!A2:A1898, 0))="")=TRUE),  "",  INDEX(RulebookFields!C2:C1898, MATCH(D380,RulebookFields!A2:A1898, 0))), "")</f>
        <v>CommunicationPolicies</v>
      </c>
      <c r="I380" s="4" t="str">
        <f>_xlfn.IFNA(IF(((INDEX(RulebookFields!D2:D1898, MATCH(D380,RulebookFields!A2:A1898, 0))="")=TRUE),  "",  INDEX(RulebookFields!D2:D1898, MATCH(D380,RulebookFields!A2:A1898, 0))), "")</f>
        <v>MaxSegments</v>
      </c>
      <c r="J380" s="4" t="b">
        <f>_xlfn.IFNA(IF(((INDEX(RulebookFields!I2:I1898, MATCH(D380,RulebookFields!A2:A1898, 0))="")=TRUE),  "",  INDEX(RulebookFields!I2:I1898, MATCH(D380,RulebookFields!A2:A1898, 0))), "")</f>
        <v>0</v>
      </c>
      <c r="K380" s="4" t="b">
        <f>AND(((F380)=TRUE), ((J380)=TRUE))</f>
        <v>0</v>
      </c>
      <c r="L380" s="4" t="b">
        <f>AND(((G380 &lt;&gt; "plain")=TRUE), ((G380 &lt;&gt; "")=TRUE))</f>
        <v>0</v>
      </c>
      <c r="M380" s="4" t="str">
        <f>IF(((E380)=TRUE),  C380 &amp; "|" &amp; H380,  "")</f>
        <v>principal-policy-drafting-agent|CommunicationPolicies</v>
      </c>
      <c r="N380" s="3" t="s">
        <v>10004</v>
      </c>
    </row>
    <row r="381">
      <c r="A381" s="3" t="s">
        <v>10383</v>
      </c>
      <c r="B381" s="4" t="str">
        <f>C381 &amp; " -&gt; " &amp; D381</f>
        <v>principal-policy-drafting-agent -&gt; CommunicationPolicies.RequiredContent</v>
      </c>
      <c r="C381" s="3" t="s">
        <v>9768</v>
      </c>
      <c r="D381" s="3" t="s">
        <v>4073</v>
      </c>
      <c r="E381" s="3" t="b">
        <v>1</v>
      </c>
      <c r="F381" s="3" t="b">
        <v>0</v>
      </c>
      <c r="G381" s="3" t="s">
        <v>10003</v>
      </c>
      <c r="H381" s="4" t="str">
        <f>_xlfn.IFNA(IF(((INDEX(RulebookFields!C2:C1898, MATCH(D381,RulebookFields!A2:A1898, 0))="")=TRUE),  "",  INDEX(RulebookFields!C2:C1898, MATCH(D381,RulebookFields!A2:A1898, 0))), "")</f>
        <v>CommunicationPolicies</v>
      </c>
      <c r="I381" s="4" t="str">
        <f>_xlfn.IFNA(IF(((INDEX(RulebookFields!D2:D1898, MATCH(D381,RulebookFields!A2:A1898, 0))="")=TRUE),  "",  INDEX(RulebookFields!D2:D1898, MATCH(D381,RulebookFields!A2:A1898, 0))), "")</f>
        <v>RequiredContent</v>
      </c>
      <c r="J381" s="4" t="b">
        <f>_xlfn.IFNA(IF(((INDEX(RulebookFields!I2:I1898, MATCH(D381,RulebookFields!A2:A1898, 0))="")=TRUE),  "",  INDEX(RulebookFields!I2:I1898, MATCH(D381,RulebookFields!A2:A1898, 0))), "")</f>
        <v>0</v>
      </c>
      <c r="K381" s="4" t="b">
        <f>AND(((F381)=TRUE), ((J381)=TRUE))</f>
        <v>0</v>
      </c>
      <c r="L381" s="4" t="b">
        <f>AND(((G381 &lt;&gt; "plain")=TRUE), ((G381 &lt;&gt; "")=TRUE))</f>
        <v>0</v>
      </c>
      <c r="M381" s="4" t="str">
        <f>IF(((E381)=TRUE),  C381 &amp; "|" &amp; H381,  "")</f>
        <v>principal-policy-drafting-agent|CommunicationPolicies</v>
      </c>
      <c r="N381" s="3" t="s">
        <v>10004</v>
      </c>
    </row>
    <row r="382">
      <c r="A382" s="3" t="s">
        <v>10384</v>
      </c>
      <c r="B382" s="4" t="str">
        <f>C382 &amp; " -&gt; " &amp; D382</f>
        <v>principal-policy-drafting-agent -&gt; CommunicationPolicies.AuthorityStatement</v>
      </c>
      <c r="C382" s="3" t="s">
        <v>9768</v>
      </c>
      <c r="D382" s="3" t="s">
        <v>4074</v>
      </c>
      <c r="E382" s="3" t="b">
        <v>1</v>
      </c>
      <c r="F382" s="3" t="b">
        <v>0</v>
      </c>
      <c r="G382" s="3" t="s">
        <v>10003</v>
      </c>
      <c r="H382" s="4" t="str">
        <f>_xlfn.IFNA(IF(((INDEX(RulebookFields!C2:C1898, MATCH(D382,RulebookFields!A2:A1898, 0))="")=TRUE),  "",  INDEX(RulebookFields!C2:C1898, MATCH(D382,RulebookFields!A2:A1898, 0))), "")</f>
        <v>CommunicationPolicies</v>
      </c>
      <c r="I382" s="4" t="str">
        <f>_xlfn.IFNA(IF(((INDEX(RulebookFields!D2:D1898, MATCH(D382,RulebookFields!A2:A1898, 0))="")=TRUE),  "",  INDEX(RulebookFields!D2:D1898, MATCH(D382,RulebookFields!A2:A1898, 0))), "")</f>
        <v>AuthorityStatement</v>
      </c>
      <c r="J382" s="4" t="b">
        <f>_xlfn.IFNA(IF(((INDEX(RulebookFields!I2:I1898, MATCH(D382,RulebookFields!A2:A1898, 0))="")=TRUE),  "",  INDEX(RulebookFields!I2:I1898, MATCH(D382,RulebookFields!A2:A1898, 0))), "")</f>
        <v>0</v>
      </c>
      <c r="K382" s="4" t="b">
        <f>AND(((F382)=TRUE), ((J382)=TRUE))</f>
        <v>0</v>
      </c>
      <c r="L382" s="4" t="b">
        <f>AND(((G382 &lt;&gt; "plain")=TRUE), ((G382 &lt;&gt; "")=TRUE))</f>
        <v>0</v>
      </c>
      <c r="M382" s="4" t="str">
        <f>IF(((E382)=TRUE),  C382 &amp; "|" &amp; H382,  "")</f>
        <v>principal-policy-drafting-agent|CommunicationPolicies</v>
      </c>
      <c r="N382" s="3" t="s">
        <v>10004</v>
      </c>
    </row>
    <row r="383">
      <c r="A383" s="3" t="s">
        <v>10385</v>
      </c>
      <c r="B383" s="4" t="str">
        <f>C383 &amp; " -&gt; " &amp; D383</f>
        <v>principal-policy-drafting-agent -&gt; CommunicationPolicies.Status</v>
      </c>
      <c r="C383" s="3" t="s">
        <v>9768</v>
      </c>
      <c r="D383" s="3" t="s">
        <v>4075</v>
      </c>
      <c r="E383" s="3" t="b">
        <v>1</v>
      </c>
      <c r="F383" s="3" t="b">
        <v>0</v>
      </c>
      <c r="G383" s="3" t="s">
        <v>10003</v>
      </c>
      <c r="H383" s="4" t="str">
        <f>_xlfn.IFNA(IF(((INDEX(RulebookFields!C2:C1898, MATCH(D383,RulebookFields!A2:A1898, 0))="")=TRUE),  "",  INDEX(RulebookFields!C2:C1898, MATCH(D383,RulebookFields!A2:A1898, 0))), "")</f>
        <v>CommunicationPolicies</v>
      </c>
      <c r="I383" s="4" t="str">
        <f>_xlfn.IFNA(IF(((INDEX(RulebookFields!D2:D1898, MATCH(D383,RulebookFields!A2:A1898, 0))="")=TRUE),  "",  INDEX(RulebookFields!D2:D1898, MATCH(D383,RulebookFields!A2:A1898, 0))), "")</f>
        <v>Status</v>
      </c>
      <c r="J383" s="4" t="b">
        <f>_xlfn.IFNA(IF(((INDEX(RulebookFields!I2:I1898, MATCH(D383,RulebookFields!A2:A1898, 0))="")=TRUE),  "",  INDEX(RulebookFields!I2:I1898, MATCH(D383,RulebookFields!A2:A1898, 0))), "")</f>
        <v>0</v>
      </c>
      <c r="K383" s="4" t="b">
        <f>AND(((F383)=TRUE), ((J383)=TRUE))</f>
        <v>0</v>
      </c>
      <c r="L383" s="4" t="b">
        <f>AND(((G383 &lt;&gt; "plain")=TRUE), ((G383 &lt;&gt; "")=TRUE))</f>
        <v>0</v>
      </c>
      <c r="M383" s="4" t="str">
        <f>IF(((E383)=TRUE),  C383 &amp; "|" &amp; H383,  "")</f>
        <v>principal-policy-drafting-agent|CommunicationPolicies</v>
      </c>
      <c r="N383" s="3" t="s">
        <v>10004</v>
      </c>
    </row>
    <row r="384">
      <c r="A384" s="3" t="s">
        <v>10386</v>
      </c>
      <c r="B384" s="4" t="str">
        <f>C384 &amp; " -&gt; " &amp; D384</f>
        <v>principal-policy-drafting-agent -&gt; CommunicationPolicies.Name</v>
      </c>
      <c r="C384" s="3" t="s">
        <v>9768</v>
      </c>
      <c r="D384" s="3" t="s">
        <v>4061</v>
      </c>
      <c r="E384" s="3" t="b">
        <v>1</v>
      </c>
      <c r="F384" s="3" t="b">
        <v>0</v>
      </c>
      <c r="G384" s="3" t="s">
        <v>10003</v>
      </c>
      <c r="H384" s="4" t="str">
        <f>_xlfn.IFNA(IF(((INDEX(RulebookFields!C2:C1898, MATCH(D384,RulebookFields!A2:A1898, 0))="")=TRUE),  "",  INDEX(RulebookFields!C2:C1898, MATCH(D384,RulebookFields!A2:A1898, 0))), "")</f>
        <v>CommunicationPolicies</v>
      </c>
      <c r="I384" s="4" t="str">
        <f>_xlfn.IFNA(IF(((INDEX(RulebookFields!D2:D1898, MATCH(D384,RulebookFields!A2:A1898, 0))="")=TRUE),  "",  INDEX(RulebookFields!D2:D1898, MATCH(D384,RulebookFields!A2:A1898, 0))), "")</f>
        <v>Name</v>
      </c>
      <c r="J384" s="4" t="b">
        <f>_xlfn.IFNA(IF(((INDEX(RulebookFields!I2:I1898, MATCH(D384,RulebookFields!A2:A1898, 0))="")=TRUE),  "",  INDEX(RulebookFields!I2:I1898, MATCH(D384,RulebookFields!A2:A1898, 0))), "")</f>
        <v>1</v>
      </c>
      <c r="K384" s="4" t="b">
        <f>AND(((F384)=TRUE), ((J384)=TRUE))</f>
        <v>0</v>
      </c>
      <c r="L384" s="4" t="b">
        <f>AND(((G384 &lt;&gt; "plain")=TRUE), ((G384 &lt;&gt; "")=TRUE))</f>
        <v>0</v>
      </c>
      <c r="M384" s="4" t="str">
        <f>IF(((E384)=TRUE),  C384 &amp; "|" &amp; H384,  "")</f>
        <v>principal-policy-drafting-agent|CommunicationPolicies</v>
      </c>
      <c r="N384" s="3" t="s">
        <v>10004</v>
      </c>
    </row>
    <row r="385">
      <c r="A385" s="3" t="s">
        <v>10387</v>
      </c>
      <c r="B385" s="4" t="str">
        <f>C385 &amp; " -&gt; " &amp; D385</f>
        <v>principal-policy-drafting-agent -&gt; KnowledgeFragments.KnowledgeFragmentId</v>
      </c>
      <c r="C385" s="3" t="s">
        <v>9768</v>
      </c>
      <c r="D385" s="3" t="s">
        <v>3225</v>
      </c>
      <c r="E385" s="3" t="b">
        <v>1</v>
      </c>
      <c r="F385" s="3" t="b">
        <v>0</v>
      </c>
      <c r="G385" s="3" t="s">
        <v>10003</v>
      </c>
      <c r="H385" s="4" t="str">
        <f>_xlfn.IFNA(IF(((INDEX(RulebookFields!C2:C1898, MATCH(D385,RulebookFields!A2:A1898, 0))="")=TRUE),  "",  INDEX(RulebookFields!C2:C1898, MATCH(D385,RulebookFields!A2:A1898, 0))), "")</f>
        <v>KnowledgeFragments</v>
      </c>
      <c r="I385" s="4" t="str">
        <f>_xlfn.IFNA(IF(((INDEX(RulebookFields!D2:D1898, MATCH(D385,RulebookFields!A2:A1898, 0))="")=TRUE),  "",  INDEX(RulebookFields!D2:D1898, MATCH(D385,RulebookFields!A2:A1898, 0))), "")</f>
        <v>KnowledgeFragmentId</v>
      </c>
      <c r="J385" s="4" t="b">
        <f>_xlfn.IFNA(IF(((INDEX(RulebookFields!I2:I1898, MATCH(D385,RulebookFields!A2:A1898, 0))="")=TRUE),  "",  INDEX(RulebookFields!I2:I1898, MATCH(D385,RulebookFields!A2:A1898, 0))), "")</f>
        <v>0</v>
      </c>
      <c r="K385" s="4" t="b">
        <f>AND(((F385)=TRUE), ((J385)=TRUE))</f>
        <v>0</v>
      </c>
      <c r="L385" s="4" t="b">
        <f>AND(((G385 &lt;&gt; "plain")=TRUE), ((G385 &lt;&gt; "")=TRUE))</f>
        <v>0</v>
      </c>
      <c r="M385" s="4" t="str">
        <f>IF(((E385)=TRUE),  C385 &amp; "|" &amp; H385,  "")</f>
        <v>principal-policy-drafting-agent|KnowledgeFragments</v>
      </c>
      <c r="N385" s="3" t="s">
        <v>10004</v>
      </c>
    </row>
    <row r="386">
      <c r="A386" s="3" t="s">
        <v>10388</v>
      </c>
      <c r="B386" s="4" t="str">
        <f>C386 &amp; " -&gt; " &amp; D386</f>
        <v>principal-policy-drafting-agent -&gt; KnowledgeFragments.Statement</v>
      </c>
      <c r="C386" s="3" t="s">
        <v>9768</v>
      </c>
      <c r="D386" s="3" t="s">
        <v>3231</v>
      </c>
      <c r="E386" s="3" t="b">
        <v>1</v>
      </c>
      <c r="F386" s="3" t="b">
        <v>0</v>
      </c>
      <c r="G386" s="3" t="s">
        <v>10003</v>
      </c>
      <c r="H386" s="4" t="str">
        <f>_xlfn.IFNA(IF(((INDEX(RulebookFields!C2:C1898, MATCH(D386,RulebookFields!A2:A1898, 0))="")=TRUE),  "",  INDEX(RulebookFields!C2:C1898, MATCH(D386,RulebookFields!A2:A1898, 0))), "")</f>
        <v>KnowledgeFragments</v>
      </c>
      <c r="I386" s="4" t="str">
        <f>_xlfn.IFNA(IF(((INDEX(RulebookFields!D2:D1898, MATCH(D386,RulebookFields!A2:A1898, 0))="")=TRUE),  "",  INDEX(RulebookFields!D2:D1898, MATCH(D386,RulebookFields!A2:A1898, 0))), "")</f>
        <v>Statement</v>
      </c>
      <c r="J386" s="4" t="b">
        <f>_xlfn.IFNA(IF(((INDEX(RulebookFields!I2:I1898, MATCH(D386,RulebookFields!A2:A1898, 0))="")=TRUE),  "",  INDEX(RulebookFields!I2:I1898, MATCH(D386,RulebookFields!A2:A1898, 0))), "")</f>
        <v>0</v>
      </c>
      <c r="K386" s="4" t="b">
        <f>AND(((F386)=TRUE), ((J386)=TRUE))</f>
        <v>0</v>
      </c>
      <c r="L386" s="4" t="b">
        <f>AND(((G386 &lt;&gt; "plain")=TRUE), ((G386 &lt;&gt; "")=TRUE))</f>
        <v>0</v>
      </c>
      <c r="M386" s="4" t="str">
        <f>IF(((E386)=TRUE),  C386 &amp; "|" &amp; H386,  "")</f>
        <v>principal-policy-drafting-agent|KnowledgeFragments</v>
      </c>
      <c r="N386" s="3" t="s">
        <v>10004</v>
      </c>
    </row>
    <row r="387">
      <c r="A387" s="3" t="s">
        <v>10389</v>
      </c>
      <c r="B387" s="4" t="str">
        <f>C387 &amp; " -&gt; " &amp; D387</f>
        <v>principal-policy-drafting-agent -&gt; KnowledgeFragments.KnowledgeForm</v>
      </c>
      <c r="C387" s="3" t="s">
        <v>9768</v>
      </c>
      <c r="D387" s="3" t="s">
        <v>3230</v>
      </c>
      <c r="E387" s="3" t="b">
        <v>1</v>
      </c>
      <c r="F387" s="3" t="b">
        <v>0</v>
      </c>
      <c r="G387" s="3" t="s">
        <v>10003</v>
      </c>
      <c r="H387" s="4" t="str">
        <f>_xlfn.IFNA(IF(((INDEX(RulebookFields!C2:C1898, MATCH(D387,RulebookFields!A2:A1898, 0))="")=TRUE),  "",  INDEX(RulebookFields!C2:C1898, MATCH(D387,RulebookFields!A2:A1898, 0))), "")</f>
        <v>KnowledgeFragments</v>
      </c>
      <c r="I387" s="4" t="str">
        <f>_xlfn.IFNA(IF(((INDEX(RulebookFields!D2:D1898, MATCH(D387,RulebookFields!A2:A1898, 0))="")=TRUE),  "",  INDEX(RulebookFields!D2:D1898, MATCH(D387,RulebookFields!A2:A1898, 0))), "")</f>
        <v>KnowledgeForm</v>
      </c>
      <c r="J387" s="4" t="b">
        <f>_xlfn.IFNA(IF(((INDEX(RulebookFields!I2:I1898, MATCH(D387,RulebookFields!A2:A1898, 0))="")=TRUE),  "",  INDEX(RulebookFields!I2:I1898, MATCH(D387,RulebookFields!A2:A1898, 0))), "")</f>
        <v>0</v>
      </c>
      <c r="K387" s="4" t="b">
        <f>AND(((F387)=TRUE), ((J387)=TRUE))</f>
        <v>0</v>
      </c>
      <c r="L387" s="4" t="b">
        <f>AND(((G387 &lt;&gt; "plain")=TRUE), ((G387 &lt;&gt; "")=TRUE))</f>
        <v>0</v>
      </c>
      <c r="M387" s="4" t="str">
        <f>IF(((E387)=TRUE),  C387 &amp; "|" &amp; H387,  "")</f>
        <v>principal-policy-drafting-agent|KnowledgeFragments</v>
      </c>
      <c r="N387" s="3" t="s">
        <v>10004</v>
      </c>
    </row>
    <row r="388">
      <c r="A388" s="3" t="s">
        <v>10390</v>
      </c>
      <c r="B388" s="4" t="str">
        <f>C388 &amp; " -&gt; " &amp; D388</f>
        <v>principal-policy-drafting-agent -&gt; KnowledgeFragments.Status</v>
      </c>
      <c r="C388" s="3" t="s">
        <v>9768</v>
      </c>
      <c r="D388" s="3" t="s">
        <v>3237</v>
      </c>
      <c r="E388" s="3" t="b">
        <v>1</v>
      </c>
      <c r="F388" s="3" t="b">
        <v>0</v>
      </c>
      <c r="G388" s="3" t="s">
        <v>10003</v>
      </c>
      <c r="H388" s="4" t="str">
        <f>_xlfn.IFNA(IF(((INDEX(RulebookFields!C2:C1898, MATCH(D388,RulebookFields!A2:A1898, 0))="")=TRUE),  "",  INDEX(RulebookFields!C2:C1898, MATCH(D388,RulebookFields!A2:A1898, 0))), "")</f>
        <v>KnowledgeFragments</v>
      </c>
      <c r="I388" s="4" t="str">
        <f>_xlfn.IFNA(IF(((INDEX(RulebookFields!D2:D1898, MATCH(D388,RulebookFields!A2:A1898, 0))="")=TRUE),  "",  INDEX(RulebookFields!D2:D1898, MATCH(D388,RulebookFields!A2:A1898, 0))), "")</f>
        <v>Status</v>
      </c>
      <c r="J388" s="4" t="b">
        <f>_xlfn.IFNA(IF(((INDEX(RulebookFields!I2:I1898, MATCH(D388,RulebookFields!A2:A1898, 0))="")=TRUE),  "",  INDEX(RulebookFields!I2:I1898, MATCH(D388,RulebookFields!A2:A1898, 0))), "")</f>
        <v>0</v>
      </c>
      <c r="K388" s="4" t="b">
        <f>AND(((F388)=TRUE), ((J388)=TRUE))</f>
        <v>0</v>
      </c>
      <c r="L388" s="4" t="b">
        <f>AND(((G388 &lt;&gt; "plain")=TRUE), ((G388 &lt;&gt; "")=TRUE))</f>
        <v>0</v>
      </c>
      <c r="M388" s="4" t="str">
        <f>IF(((E388)=TRUE),  C388 &amp; "|" &amp; H388,  "")</f>
        <v>principal-policy-drafting-agent|KnowledgeFragments</v>
      </c>
      <c r="N388" s="3" t="s">
        <v>10004</v>
      </c>
    </row>
    <row r="389">
      <c r="A389" s="3" t="s">
        <v>10391</v>
      </c>
      <c r="B389" s="4" t="str">
        <f>C389 &amp; " -&gt; " &amp; D389</f>
        <v>principal-policy-drafting-agent -&gt; KnowledgeFragments.Name</v>
      </c>
      <c r="C389" s="3" t="s">
        <v>9768</v>
      </c>
      <c r="D389" s="3" t="s">
        <v>3226</v>
      </c>
      <c r="E389" s="3" t="b">
        <v>1</v>
      </c>
      <c r="F389" s="3" t="b">
        <v>0</v>
      </c>
      <c r="G389" s="3" t="s">
        <v>10003</v>
      </c>
      <c r="H389" s="4" t="str">
        <f>_xlfn.IFNA(IF(((INDEX(RulebookFields!C2:C1898, MATCH(D389,RulebookFields!A2:A1898, 0))="")=TRUE),  "",  INDEX(RulebookFields!C2:C1898, MATCH(D389,RulebookFields!A2:A1898, 0))), "")</f>
        <v>KnowledgeFragments</v>
      </c>
      <c r="I389" s="4" t="str">
        <f>_xlfn.IFNA(IF(((INDEX(RulebookFields!D2:D1898, MATCH(D389,RulebookFields!A2:A1898, 0))="")=TRUE),  "",  INDEX(RulebookFields!D2:D1898, MATCH(D389,RulebookFields!A2:A1898, 0))), "")</f>
        <v>Name</v>
      </c>
      <c r="J389" s="4" t="b">
        <f>_xlfn.IFNA(IF(((INDEX(RulebookFields!I2:I1898, MATCH(D389,RulebookFields!A2:A1898, 0))="")=TRUE),  "",  INDEX(RulebookFields!I2:I1898, MATCH(D389,RulebookFields!A2:A1898, 0))), "")</f>
        <v>1</v>
      </c>
      <c r="K389" s="4" t="b">
        <f>AND(((F389)=TRUE), ((J389)=TRUE))</f>
        <v>0</v>
      </c>
      <c r="L389" s="4" t="b">
        <f>AND(((G389 &lt;&gt; "plain")=TRUE), ((G389 &lt;&gt; "")=TRUE))</f>
        <v>0</v>
      </c>
      <c r="M389" s="4" t="str">
        <f>IF(((E389)=TRUE),  C389 &amp; "|" &amp; H389,  "")</f>
        <v>principal-policy-drafting-agent|KnowledgeFragments</v>
      </c>
      <c r="N389" s="3" t="s">
        <v>10004</v>
      </c>
    </row>
    <row r="390">
      <c r="A390" s="3" t="s">
        <v>10392</v>
      </c>
      <c r="B390" s="4" t="str">
        <f>C390 &amp; " -&gt; " &amp; D390</f>
        <v>principal-policy-drafting-agent -&gt; Steps.StepId</v>
      </c>
      <c r="C390" s="3" t="s">
        <v>9768</v>
      </c>
      <c r="D390" s="3" t="s">
        <v>2870</v>
      </c>
      <c r="E390" s="3" t="b">
        <v>1</v>
      </c>
      <c r="F390" s="3" t="b">
        <v>0</v>
      </c>
      <c r="G390" s="3" t="s">
        <v>10003</v>
      </c>
      <c r="H390" s="4" t="str">
        <f>_xlfn.IFNA(IF(((INDEX(RulebookFields!C2:C1898, MATCH(D390,RulebookFields!A2:A1898, 0))="")=TRUE),  "",  INDEX(RulebookFields!C2:C1898, MATCH(D390,RulebookFields!A2:A1898, 0))), "")</f>
        <v>Steps</v>
      </c>
      <c r="I390" s="4" t="str">
        <f>_xlfn.IFNA(IF(((INDEX(RulebookFields!D2:D1898, MATCH(D390,RulebookFields!A2:A1898, 0))="")=TRUE),  "",  INDEX(RulebookFields!D2:D1898, MATCH(D390,RulebookFields!A2:A1898, 0))), "")</f>
        <v>StepId</v>
      </c>
      <c r="J390" s="4" t="b">
        <f>_xlfn.IFNA(IF(((INDEX(RulebookFields!I2:I1898, MATCH(D390,RulebookFields!A2:A1898, 0))="")=TRUE),  "",  INDEX(RulebookFields!I2:I1898, MATCH(D390,RulebookFields!A2:A1898, 0))), "")</f>
        <v>0</v>
      </c>
      <c r="K390" s="4" t="b">
        <f>AND(((F390)=TRUE), ((J390)=TRUE))</f>
        <v>0</v>
      </c>
      <c r="L390" s="4" t="b">
        <f>AND(((G390 &lt;&gt; "plain")=TRUE), ((G390 &lt;&gt; "")=TRUE))</f>
        <v>0</v>
      </c>
      <c r="M390" s="4" t="str">
        <f>IF(((E390)=TRUE),  C390 &amp; "|" &amp; H390,  "")</f>
        <v>principal-policy-drafting-agent|Steps</v>
      </c>
      <c r="N390" s="3" t="s">
        <v>10004</v>
      </c>
    </row>
    <row r="391">
      <c r="A391" s="3" t="s">
        <v>10393</v>
      </c>
      <c r="B391" s="4" t="str">
        <f>C391 &amp; " -&gt; " &amp; D391</f>
        <v>principal-policy-drafting-agent -&gt; Steps.StepNumber</v>
      </c>
      <c r="C391" s="3" t="s">
        <v>9768</v>
      </c>
      <c r="D391" s="3" t="s">
        <v>2874</v>
      </c>
      <c r="E391" s="3" t="b">
        <v>1</v>
      </c>
      <c r="F391" s="3" t="b">
        <v>0</v>
      </c>
      <c r="G391" s="3" t="s">
        <v>10003</v>
      </c>
      <c r="H391" s="4" t="str">
        <f>_xlfn.IFNA(IF(((INDEX(RulebookFields!C2:C1898, MATCH(D391,RulebookFields!A2:A1898, 0))="")=TRUE),  "",  INDEX(RulebookFields!C2:C1898, MATCH(D391,RulebookFields!A2:A1898, 0))), "")</f>
        <v>Steps</v>
      </c>
      <c r="I391" s="4" t="str">
        <f>_xlfn.IFNA(IF(((INDEX(RulebookFields!D2:D1898, MATCH(D391,RulebookFields!A2:A1898, 0))="")=TRUE),  "",  INDEX(RulebookFields!D2:D1898, MATCH(D391,RulebookFields!A2:A1898, 0))), "")</f>
        <v>StepNumber</v>
      </c>
      <c r="J391" s="4" t="b">
        <f>_xlfn.IFNA(IF(((INDEX(RulebookFields!I2:I1898, MATCH(D391,RulebookFields!A2:A1898, 0))="")=TRUE),  "",  INDEX(RulebookFields!I2:I1898, MATCH(D391,RulebookFields!A2:A1898, 0))), "")</f>
        <v>0</v>
      </c>
      <c r="K391" s="4" t="b">
        <f>AND(((F391)=TRUE), ((J391)=TRUE))</f>
        <v>0</v>
      </c>
      <c r="L391" s="4" t="b">
        <f>AND(((G391 &lt;&gt; "plain")=TRUE), ((G391 &lt;&gt; "")=TRUE))</f>
        <v>0</v>
      </c>
      <c r="M391" s="4" t="str">
        <f>IF(((E391)=TRUE),  C391 &amp; "|" &amp; H391,  "")</f>
        <v>principal-policy-drafting-agent|Steps</v>
      </c>
      <c r="N391" s="3" t="s">
        <v>10004</v>
      </c>
    </row>
    <row r="392">
      <c r="A392" s="3" t="s">
        <v>10394</v>
      </c>
      <c r="B392" s="4" t="str">
        <f>C392 &amp; " -&gt; " &amp; D392</f>
        <v>principal-policy-drafting-agent -&gt; Steps.Title</v>
      </c>
      <c r="C392" s="3" t="s">
        <v>9768</v>
      </c>
      <c r="D392" s="3" t="s">
        <v>2875</v>
      </c>
      <c r="E392" s="3" t="b">
        <v>1</v>
      </c>
      <c r="F392" s="3" t="b">
        <v>0</v>
      </c>
      <c r="G392" s="3" t="s">
        <v>10003</v>
      </c>
      <c r="H392" s="4" t="str">
        <f>_xlfn.IFNA(IF(((INDEX(RulebookFields!C2:C1898, MATCH(D392,RulebookFields!A2:A1898, 0))="")=TRUE),  "",  INDEX(RulebookFields!C2:C1898, MATCH(D392,RulebookFields!A2:A1898, 0))), "")</f>
        <v>Steps</v>
      </c>
      <c r="I392" s="4" t="str">
        <f>_xlfn.IFNA(IF(((INDEX(RulebookFields!D2:D1898, MATCH(D392,RulebookFields!A2:A1898, 0))="")=TRUE),  "",  INDEX(RulebookFields!D2:D1898, MATCH(D392,RulebookFields!A2:A1898, 0))), "")</f>
        <v>Title</v>
      </c>
      <c r="J392" s="4" t="b">
        <f>_xlfn.IFNA(IF(((INDEX(RulebookFields!I2:I1898, MATCH(D392,RulebookFields!A2:A1898, 0))="")=TRUE),  "",  INDEX(RulebookFields!I2:I1898, MATCH(D392,RulebookFields!A2:A1898, 0))), "")</f>
        <v>0</v>
      </c>
      <c r="K392" s="4" t="b">
        <f>AND(((F392)=TRUE), ((J392)=TRUE))</f>
        <v>0</v>
      </c>
      <c r="L392" s="4" t="b">
        <f>AND(((G392 &lt;&gt; "plain")=TRUE), ((G392 &lt;&gt; "")=TRUE))</f>
        <v>0</v>
      </c>
      <c r="M392" s="4" t="str">
        <f>IF(((E392)=TRUE),  C392 &amp; "|" &amp; H392,  "")</f>
        <v>principal-policy-drafting-agent|Steps</v>
      </c>
      <c r="N392" s="3" t="s">
        <v>10004</v>
      </c>
    </row>
    <row r="393">
      <c r="A393" s="3" t="s">
        <v>10395</v>
      </c>
      <c r="B393" s="4" t="str">
        <f>C393 &amp; " -&gt; " &amp; D393</f>
        <v>principal-policy-drafting-agent -&gt; Steps.StepKind</v>
      </c>
      <c r="C393" s="3" t="s">
        <v>9768</v>
      </c>
      <c r="D393" s="3" t="s">
        <v>2876</v>
      </c>
      <c r="E393" s="3" t="b">
        <v>1</v>
      </c>
      <c r="F393" s="3" t="b">
        <v>0</v>
      </c>
      <c r="G393" s="3" t="s">
        <v>10003</v>
      </c>
      <c r="H393" s="4" t="str">
        <f>_xlfn.IFNA(IF(((INDEX(RulebookFields!C2:C1898, MATCH(D393,RulebookFields!A2:A1898, 0))="")=TRUE),  "",  INDEX(RulebookFields!C2:C1898, MATCH(D393,RulebookFields!A2:A1898, 0))), "")</f>
        <v>Steps</v>
      </c>
      <c r="I393" s="4" t="str">
        <f>_xlfn.IFNA(IF(((INDEX(RulebookFields!D2:D1898, MATCH(D393,RulebookFields!A2:A1898, 0))="")=TRUE),  "",  INDEX(RulebookFields!D2:D1898, MATCH(D393,RulebookFields!A2:A1898, 0))), "")</f>
        <v>StepKind</v>
      </c>
      <c r="J393" s="4" t="b">
        <f>_xlfn.IFNA(IF(((INDEX(RulebookFields!I2:I1898, MATCH(D393,RulebookFields!A2:A1898, 0))="")=TRUE),  "",  INDEX(RulebookFields!I2:I1898, MATCH(D393,RulebookFields!A2:A1898, 0))), "")</f>
        <v>0</v>
      </c>
      <c r="K393" s="4" t="b">
        <f>AND(((F393)=TRUE), ((J393)=TRUE))</f>
        <v>0</v>
      </c>
      <c r="L393" s="4" t="b">
        <f>AND(((G393 &lt;&gt; "plain")=TRUE), ((G393 &lt;&gt; "")=TRUE))</f>
        <v>0</v>
      </c>
      <c r="M393" s="4" t="str">
        <f>IF(((E393)=TRUE),  C393 &amp; "|" &amp; H393,  "")</f>
        <v>principal-policy-drafting-agent|Steps</v>
      </c>
      <c r="N393" s="3" t="s">
        <v>10004</v>
      </c>
    </row>
    <row r="394">
      <c r="A394" s="3" t="s">
        <v>10396</v>
      </c>
      <c r="B394" s="4" t="str">
        <f>C394 &amp; " -&gt; " &amp; D394</f>
        <v>principal-policy-drafting-agent -&gt; Steps.Instruction</v>
      </c>
      <c r="C394" s="3" t="s">
        <v>9768</v>
      </c>
      <c r="D394" s="3" t="s">
        <v>2882</v>
      </c>
      <c r="E394" s="3" t="b">
        <v>1</v>
      </c>
      <c r="F394" s="3" t="b">
        <v>0</v>
      </c>
      <c r="G394" s="3" t="s">
        <v>10003</v>
      </c>
      <c r="H394" s="4" t="str">
        <f>_xlfn.IFNA(IF(((INDEX(RulebookFields!C2:C1898, MATCH(D394,RulebookFields!A2:A1898, 0))="")=TRUE),  "",  INDEX(RulebookFields!C2:C1898, MATCH(D394,RulebookFields!A2:A1898, 0))), "")</f>
        <v>Steps</v>
      </c>
      <c r="I394" s="4" t="str">
        <f>_xlfn.IFNA(IF(((INDEX(RulebookFields!D2:D1898, MATCH(D394,RulebookFields!A2:A1898, 0))="")=TRUE),  "",  INDEX(RulebookFields!D2:D1898, MATCH(D394,RulebookFields!A2:A1898, 0))), "")</f>
        <v>Instruction</v>
      </c>
      <c r="J394" s="4" t="b">
        <f>_xlfn.IFNA(IF(((INDEX(RulebookFields!I2:I1898, MATCH(D394,RulebookFields!A2:A1898, 0))="")=TRUE),  "",  INDEX(RulebookFields!I2:I1898, MATCH(D394,RulebookFields!A2:A1898, 0))), "")</f>
        <v>0</v>
      </c>
      <c r="K394" s="4" t="b">
        <f>AND(((F394)=TRUE), ((J394)=TRUE))</f>
        <v>0</v>
      </c>
      <c r="L394" s="4" t="b">
        <f>AND(((G394 &lt;&gt; "plain")=TRUE), ((G394 &lt;&gt; "")=TRUE))</f>
        <v>0</v>
      </c>
      <c r="M394" s="4" t="str">
        <f>IF(((E394)=TRUE),  C394 &amp; "|" &amp; H394,  "")</f>
        <v>principal-policy-drafting-agent|Steps</v>
      </c>
      <c r="N394" s="3" t="s">
        <v>10004</v>
      </c>
    </row>
    <row r="395">
      <c r="A395" s="3" t="s">
        <v>10397</v>
      </c>
      <c r="B395" s="4" t="str">
        <f>C395 &amp; " -&gt; " &amp; D395</f>
        <v>principal-policy-drafting-agent -&gt; Steps.AssignedRole</v>
      </c>
      <c r="C395" s="3" t="s">
        <v>9768</v>
      </c>
      <c r="D395" s="3" t="s">
        <v>2877</v>
      </c>
      <c r="E395" s="3" t="b">
        <v>1</v>
      </c>
      <c r="F395" s="3" t="b">
        <v>0</v>
      </c>
      <c r="G395" s="3" t="s">
        <v>10003</v>
      </c>
      <c r="H395" s="4" t="str">
        <f>_xlfn.IFNA(IF(((INDEX(RulebookFields!C2:C1898, MATCH(D395,RulebookFields!A2:A1898, 0))="")=TRUE),  "",  INDEX(RulebookFields!C2:C1898, MATCH(D395,RulebookFields!A2:A1898, 0))), "")</f>
        <v>Steps</v>
      </c>
      <c r="I395" s="4" t="str">
        <f>_xlfn.IFNA(IF(((INDEX(RulebookFields!D2:D1898, MATCH(D395,RulebookFields!A2:A1898, 0))="")=TRUE),  "",  INDEX(RulebookFields!D2:D1898, MATCH(D395,RulebookFields!A2:A1898, 0))), "")</f>
        <v>AssignedRole</v>
      </c>
      <c r="J395" s="4" t="b">
        <f>_xlfn.IFNA(IF(((INDEX(RulebookFields!I2:I1898, MATCH(D395,RulebookFields!A2:A1898, 0))="")=TRUE),  "",  INDEX(RulebookFields!I2:I1898, MATCH(D395,RulebookFields!A2:A1898, 0))), "")</f>
        <v>0</v>
      </c>
      <c r="K395" s="4" t="b">
        <f>AND(((F395)=TRUE), ((J395)=TRUE))</f>
        <v>0</v>
      </c>
      <c r="L395" s="4" t="b">
        <f>AND(((G395 &lt;&gt; "plain")=TRUE), ((G395 &lt;&gt; "")=TRUE))</f>
        <v>0</v>
      </c>
      <c r="M395" s="4" t="str">
        <f>IF(((E395)=TRUE),  C395 &amp; "|" &amp; H395,  "")</f>
        <v>principal-policy-drafting-agent|Steps</v>
      </c>
      <c r="N395" s="3" t="s">
        <v>10004</v>
      </c>
    </row>
    <row r="396">
      <c r="A396" s="3" t="s">
        <v>10398</v>
      </c>
      <c r="B396" s="4" t="str">
        <f>C396 &amp; " -&gt; " &amp; D396</f>
        <v>principal-policy-drafting-agent -&gt; Steps.AssignedRoleLabel</v>
      </c>
      <c r="C396" s="3" t="s">
        <v>9768</v>
      </c>
      <c r="D396" s="3" t="s">
        <v>2878</v>
      </c>
      <c r="E396" s="3" t="b">
        <v>1</v>
      </c>
      <c r="F396" s="3" t="b">
        <v>0</v>
      </c>
      <c r="G396" s="3" t="s">
        <v>10003</v>
      </c>
      <c r="H396" s="4" t="str">
        <f>_xlfn.IFNA(IF(((INDEX(RulebookFields!C2:C1898, MATCH(D396,RulebookFields!A2:A1898, 0))="")=TRUE),  "",  INDEX(RulebookFields!C2:C1898, MATCH(D396,RulebookFields!A2:A1898, 0))), "")</f>
        <v>Steps</v>
      </c>
      <c r="I396" s="4" t="str">
        <f>_xlfn.IFNA(IF(((INDEX(RulebookFields!D2:D1898, MATCH(D396,RulebookFields!A2:A1898, 0))="")=TRUE),  "",  INDEX(RulebookFields!D2:D1898, MATCH(D396,RulebookFields!A2:A1898, 0))), "")</f>
        <v>AssignedRoleLabel</v>
      </c>
      <c r="J396" s="4" t="b">
        <f>_xlfn.IFNA(IF(((INDEX(RulebookFields!I2:I1898, MATCH(D396,RulebookFields!A2:A1898, 0))="")=TRUE),  "",  INDEX(RulebookFields!I2:I1898, MATCH(D396,RulebookFields!A2:A1898, 0))), "")</f>
        <v>1</v>
      </c>
      <c r="K396" s="4" t="b">
        <f>AND(((F396)=TRUE), ((J396)=TRUE))</f>
        <v>0</v>
      </c>
      <c r="L396" s="4" t="b">
        <f>AND(((G396 &lt;&gt; "plain")=TRUE), ((G396 &lt;&gt; "")=TRUE))</f>
        <v>0</v>
      </c>
      <c r="M396" s="4" t="str">
        <f>IF(((E396)=TRUE),  C396 &amp; "|" &amp; H396,  "")</f>
        <v>principal-policy-drafting-agent|Steps</v>
      </c>
      <c r="N396" s="3" t="s">
        <v>10004</v>
      </c>
    </row>
    <row r="397">
      <c r="A397" s="3" t="s">
        <v>10399</v>
      </c>
      <c r="B397" s="4" t="str">
        <f>C397 &amp; " -&gt; " &amp; D397</f>
        <v>principal-policy-drafting-agent -&gt; Steps.ProcedureVersion</v>
      </c>
      <c r="C397" s="3" t="s">
        <v>9768</v>
      </c>
      <c r="D397" s="3" t="s">
        <v>2873</v>
      </c>
      <c r="E397" s="3" t="b">
        <v>1</v>
      </c>
      <c r="F397" s="3" t="b">
        <v>0</v>
      </c>
      <c r="G397" s="3" t="s">
        <v>10003</v>
      </c>
      <c r="H397" s="4" t="str">
        <f>_xlfn.IFNA(IF(((INDEX(RulebookFields!C2:C1898, MATCH(D397,RulebookFields!A2:A1898, 0))="")=TRUE),  "",  INDEX(RulebookFields!C2:C1898, MATCH(D397,RulebookFields!A2:A1898, 0))), "")</f>
        <v>Steps</v>
      </c>
      <c r="I397" s="4" t="str">
        <f>_xlfn.IFNA(IF(((INDEX(RulebookFields!D2:D1898, MATCH(D397,RulebookFields!A2:A1898, 0))="")=TRUE),  "",  INDEX(RulebookFields!D2:D1898, MATCH(D397,RulebookFields!A2:A1898, 0))), "")</f>
        <v>ProcedureVersion</v>
      </c>
      <c r="J397" s="4" t="b">
        <f>_xlfn.IFNA(IF(((INDEX(RulebookFields!I2:I1898, MATCH(D397,RulebookFields!A2:A1898, 0))="")=TRUE),  "",  INDEX(RulebookFields!I2:I1898, MATCH(D397,RulebookFields!A2:A1898, 0))), "")</f>
        <v>0</v>
      </c>
      <c r="K397" s="4" t="b">
        <f>AND(((F397)=TRUE), ((J397)=TRUE))</f>
        <v>0</v>
      </c>
      <c r="L397" s="4" t="b">
        <f>AND(((G397 &lt;&gt; "plain")=TRUE), ((G397 &lt;&gt; "")=TRUE))</f>
        <v>0</v>
      </c>
      <c r="M397" s="4" t="str">
        <f>IF(((E397)=TRUE),  C397 &amp; "|" &amp; H397,  "")</f>
        <v>principal-policy-drafting-agent|Steps</v>
      </c>
      <c r="N397" s="3" t="s">
        <v>10004</v>
      </c>
    </row>
    <row r="398">
      <c r="A398" s="3" t="s">
        <v>10400</v>
      </c>
      <c r="B398" s="4" t="str">
        <f>C398 &amp; " -&gt; " &amp; D398</f>
        <v>principal-policy-drafting-agent -&gt; Steps.Name</v>
      </c>
      <c r="C398" s="3" t="s">
        <v>9768</v>
      </c>
      <c r="D398" s="3" t="s">
        <v>2871</v>
      </c>
      <c r="E398" s="3" t="b">
        <v>1</v>
      </c>
      <c r="F398" s="3" t="b">
        <v>0</v>
      </c>
      <c r="G398" s="3" t="s">
        <v>10003</v>
      </c>
      <c r="H398" s="4" t="str">
        <f>_xlfn.IFNA(IF(((INDEX(RulebookFields!C2:C1898, MATCH(D398,RulebookFields!A2:A1898, 0))="")=TRUE),  "",  INDEX(RulebookFields!C2:C1898, MATCH(D398,RulebookFields!A2:A1898, 0))), "")</f>
        <v>Steps</v>
      </c>
      <c r="I398" s="4" t="str">
        <f>_xlfn.IFNA(IF(((INDEX(RulebookFields!D2:D1898, MATCH(D398,RulebookFields!A2:A1898, 0))="")=TRUE),  "",  INDEX(RulebookFields!D2:D1898, MATCH(D398,RulebookFields!A2:A1898, 0))), "")</f>
        <v>Name</v>
      </c>
      <c r="J398" s="4" t="b">
        <f>_xlfn.IFNA(IF(((INDEX(RulebookFields!I2:I1898, MATCH(D398,RulebookFields!A2:A1898, 0))="")=TRUE),  "",  INDEX(RulebookFields!I2:I1898, MATCH(D398,RulebookFields!A2:A1898, 0))), "")</f>
        <v>1</v>
      </c>
      <c r="K398" s="4" t="b">
        <f>AND(((F398)=TRUE), ((J398)=TRUE))</f>
        <v>0</v>
      </c>
      <c r="L398" s="4" t="b">
        <f>AND(((G398 &lt;&gt; "plain")=TRUE), ((G398 &lt;&gt; "")=TRUE))</f>
        <v>0</v>
      </c>
      <c r="M398" s="4" t="str">
        <f>IF(((E398)=TRUE),  C398 &amp; "|" &amp; H398,  "")</f>
        <v>principal-policy-drafting-agent|Steps</v>
      </c>
      <c r="N398" s="3" t="s">
        <v>10004</v>
      </c>
    </row>
    <row r="399">
      <c r="A399" s="3" t="s">
        <v>10401</v>
      </c>
      <c r="B399" s="4" t="str">
        <f>C399 &amp; " -&gt; " &amp; D399</f>
        <v>principal-notification-publisher -&gt; CommunicationPolicies.CommunicationPolicyId</v>
      </c>
      <c r="C399" s="3" t="s">
        <v>9770</v>
      </c>
      <c r="D399" s="3" t="s">
        <v>4060</v>
      </c>
      <c r="E399" s="3" t="b">
        <v>1</v>
      </c>
      <c r="F399" s="3" t="b">
        <v>0</v>
      </c>
      <c r="G399" s="3" t="s">
        <v>10003</v>
      </c>
      <c r="H399" s="4" t="str">
        <f>_xlfn.IFNA(IF(((INDEX(RulebookFields!C2:C1898, MATCH(D399,RulebookFields!A2:A1898, 0))="")=TRUE),  "",  INDEX(RulebookFields!C2:C1898, MATCH(D399,RulebookFields!A2:A1898, 0))), "")</f>
        <v>CommunicationPolicies</v>
      </c>
      <c r="I399" s="4" t="str">
        <f>_xlfn.IFNA(IF(((INDEX(RulebookFields!D2:D1898, MATCH(D399,RulebookFields!A2:A1898, 0))="")=TRUE),  "",  INDEX(RulebookFields!D2:D1898, MATCH(D399,RulebookFields!A2:A1898, 0))), "")</f>
        <v>CommunicationPolicyId</v>
      </c>
      <c r="J399" s="4" t="b">
        <f>_xlfn.IFNA(IF(((INDEX(RulebookFields!I2:I1898, MATCH(D399,RulebookFields!A2:A1898, 0))="")=TRUE),  "",  INDEX(RulebookFields!I2:I1898, MATCH(D399,RulebookFields!A2:A1898, 0))), "")</f>
        <v>0</v>
      </c>
      <c r="K399" s="4" t="b">
        <f>AND(((F399)=TRUE), ((J399)=TRUE))</f>
        <v>0</v>
      </c>
      <c r="L399" s="4" t="b">
        <f>AND(((G399 &lt;&gt; "plain")=TRUE), ((G399 &lt;&gt; "")=TRUE))</f>
        <v>0</v>
      </c>
      <c r="M399" s="4" t="str">
        <f>IF(((E399)=TRUE),  C399 &amp; "|" &amp; H399,  "")</f>
        <v>principal-notification-publisher|CommunicationPolicies</v>
      </c>
      <c r="N399" s="3" t="s">
        <v>10004</v>
      </c>
    </row>
    <row r="400">
      <c r="A400" s="3" t="s">
        <v>10402</v>
      </c>
      <c r="B400" s="4" t="str">
        <f>C400 &amp; " -&gt; " &amp; D400</f>
        <v>principal-notification-publisher -&gt; CommunicationPolicies.Channel</v>
      </c>
      <c r="C400" s="3" t="s">
        <v>9770</v>
      </c>
      <c r="D400" s="3" t="s">
        <v>4064</v>
      </c>
      <c r="E400" s="3" t="b">
        <v>1</v>
      </c>
      <c r="F400" s="3" t="b">
        <v>0</v>
      </c>
      <c r="G400" s="3" t="s">
        <v>10003</v>
      </c>
      <c r="H400" s="4" t="str">
        <f>_xlfn.IFNA(IF(((INDEX(RulebookFields!C2:C1898, MATCH(D400,RulebookFields!A2:A1898, 0))="")=TRUE),  "",  INDEX(RulebookFields!C2:C1898, MATCH(D400,RulebookFields!A2:A1898, 0))), "")</f>
        <v>CommunicationPolicies</v>
      </c>
      <c r="I400" s="4" t="str">
        <f>_xlfn.IFNA(IF(((INDEX(RulebookFields!D2:D1898, MATCH(D400,RulebookFields!A2:A1898, 0))="")=TRUE),  "",  INDEX(RulebookFields!D2:D1898, MATCH(D400,RulebookFields!A2:A1898, 0))), "")</f>
        <v>Channel</v>
      </c>
      <c r="J400" s="4" t="b">
        <f>_xlfn.IFNA(IF(((INDEX(RulebookFields!I2:I1898, MATCH(D400,RulebookFields!A2:A1898, 0))="")=TRUE),  "",  INDEX(RulebookFields!I2:I1898, MATCH(D400,RulebookFields!A2:A1898, 0))), "")</f>
        <v>0</v>
      </c>
      <c r="K400" s="4" t="b">
        <f>AND(((F400)=TRUE), ((J400)=TRUE))</f>
        <v>0</v>
      </c>
      <c r="L400" s="4" t="b">
        <f>AND(((G400 &lt;&gt; "plain")=TRUE), ((G400 &lt;&gt; "")=TRUE))</f>
        <v>0</v>
      </c>
      <c r="M400" s="4" t="str">
        <f>IF(((E400)=TRUE),  C400 &amp; "|" &amp; H400,  "")</f>
        <v>principal-notification-publisher|CommunicationPolicies</v>
      </c>
      <c r="N400" s="3" t="s">
        <v>10004</v>
      </c>
    </row>
    <row r="401">
      <c r="A401" s="3" t="s">
        <v>10403</v>
      </c>
      <c r="B401" s="4" t="str">
        <f>C401 &amp; " -&gt; " &amp; D401</f>
        <v>principal-notification-publisher -&gt; CommunicationPolicies.QuietHoursStartHour</v>
      </c>
      <c r="C401" s="3" t="s">
        <v>9770</v>
      </c>
      <c r="D401" s="3" t="s">
        <v>4078</v>
      </c>
      <c r="E401" s="3" t="b">
        <v>1</v>
      </c>
      <c r="F401" s="3" t="b">
        <v>0</v>
      </c>
      <c r="G401" s="3" t="s">
        <v>10003</v>
      </c>
      <c r="H401" s="4" t="str">
        <f>_xlfn.IFNA(IF(((INDEX(RulebookFields!C2:C1898, MATCH(D401,RulebookFields!A2:A1898, 0))="")=TRUE),  "",  INDEX(RulebookFields!C2:C1898, MATCH(D401,RulebookFields!A2:A1898, 0))), "")</f>
        <v>CommunicationPolicies</v>
      </c>
      <c r="I401" s="4" t="str">
        <f>_xlfn.IFNA(IF(((INDEX(RulebookFields!D2:D1898, MATCH(D401,RulebookFields!A2:A1898, 0))="")=TRUE),  "",  INDEX(RulebookFields!D2:D1898, MATCH(D401,RulebookFields!A2:A1898, 0))), "")</f>
        <v>QuietHoursStartHour</v>
      </c>
      <c r="J401" s="4" t="b">
        <f>_xlfn.IFNA(IF(((INDEX(RulebookFields!I2:I1898, MATCH(D401,RulebookFields!A2:A1898, 0))="")=TRUE),  "",  INDEX(RulebookFields!I2:I1898, MATCH(D401,RulebookFields!A2:A1898, 0))), "")</f>
        <v>0</v>
      </c>
      <c r="K401" s="4" t="b">
        <f>AND(((F401)=TRUE), ((J401)=TRUE))</f>
        <v>0</v>
      </c>
      <c r="L401" s="4" t="b">
        <f>AND(((G401 &lt;&gt; "plain")=TRUE), ((G401 &lt;&gt; "")=TRUE))</f>
        <v>0</v>
      </c>
      <c r="M401" s="4" t="str">
        <f>IF(((E401)=TRUE),  C401 &amp; "|" &amp; H401,  "")</f>
        <v>principal-notification-publisher|CommunicationPolicies</v>
      </c>
      <c r="N401" s="3" t="s">
        <v>10004</v>
      </c>
    </row>
    <row r="402">
      <c r="A402" s="3" t="s">
        <v>10404</v>
      </c>
      <c r="B402" s="4" t="str">
        <f>C402 &amp; " -&gt; " &amp; D402</f>
        <v>principal-notification-publisher -&gt; CommunicationPolicies.QuietHoursEndHour</v>
      </c>
      <c r="C402" s="3" t="s">
        <v>9770</v>
      </c>
      <c r="D402" s="3" t="s">
        <v>4079</v>
      </c>
      <c r="E402" s="3" t="b">
        <v>1</v>
      </c>
      <c r="F402" s="3" t="b">
        <v>0</v>
      </c>
      <c r="G402" s="3" t="s">
        <v>10003</v>
      </c>
      <c r="H402" s="4" t="str">
        <f>_xlfn.IFNA(IF(((INDEX(RulebookFields!C2:C1898, MATCH(D402,RulebookFields!A2:A1898, 0))="")=TRUE),  "",  INDEX(RulebookFields!C2:C1898, MATCH(D402,RulebookFields!A2:A1898, 0))), "")</f>
        <v>CommunicationPolicies</v>
      </c>
      <c r="I402" s="4" t="str">
        <f>_xlfn.IFNA(IF(((INDEX(RulebookFields!D2:D1898, MATCH(D402,RulebookFields!A2:A1898, 0))="")=TRUE),  "",  INDEX(RulebookFields!D2:D1898, MATCH(D402,RulebookFields!A2:A1898, 0))), "")</f>
        <v>QuietHoursEndHour</v>
      </c>
      <c r="J402" s="4" t="b">
        <f>_xlfn.IFNA(IF(((INDEX(RulebookFields!I2:I1898, MATCH(D402,RulebookFields!A2:A1898, 0))="")=TRUE),  "",  INDEX(RulebookFields!I2:I1898, MATCH(D402,RulebookFields!A2:A1898, 0))), "")</f>
        <v>0</v>
      </c>
      <c r="K402" s="4" t="b">
        <f>AND(((F402)=TRUE), ((J402)=TRUE))</f>
        <v>0</v>
      </c>
      <c r="L402" s="4" t="b">
        <f>AND(((G402 &lt;&gt; "plain")=TRUE), ((G402 &lt;&gt; "")=TRUE))</f>
        <v>0</v>
      </c>
      <c r="M402" s="4" t="str">
        <f>IF(((E402)=TRUE),  C402 &amp; "|" &amp; H402,  "")</f>
        <v>principal-notification-publisher|CommunicationPolicies</v>
      </c>
      <c r="N402" s="3" t="s">
        <v>10004</v>
      </c>
    </row>
    <row r="403">
      <c r="A403" s="3" t="s">
        <v>10405</v>
      </c>
      <c r="B403" s="4" t="str">
        <f>C403 &amp; " -&gt; " &amp; D403</f>
        <v>principal-notification-publisher -&gt; CommunicationPolicies.MaxMessageLength</v>
      </c>
      <c r="C403" s="3" t="s">
        <v>9770</v>
      </c>
      <c r="D403" s="3" t="s">
        <v>4069</v>
      </c>
      <c r="E403" s="3" t="b">
        <v>1</v>
      </c>
      <c r="F403" s="3" t="b">
        <v>0</v>
      </c>
      <c r="G403" s="3" t="s">
        <v>10003</v>
      </c>
      <c r="H403" s="4" t="str">
        <f>_xlfn.IFNA(IF(((INDEX(RulebookFields!C2:C1898, MATCH(D403,RulebookFields!A2:A1898, 0))="")=TRUE),  "",  INDEX(RulebookFields!C2:C1898, MATCH(D403,RulebookFields!A2:A1898, 0))), "")</f>
        <v>CommunicationPolicies</v>
      </c>
      <c r="I403" s="4" t="str">
        <f>_xlfn.IFNA(IF(((INDEX(RulebookFields!D2:D1898, MATCH(D403,RulebookFields!A2:A1898, 0))="")=TRUE),  "",  INDEX(RulebookFields!D2:D1898, MATCH(D403,RulebookFields!A2:A1898, 0))), "")</f>
        <v>MaxMessageLength</v>
      </c>
      <c r="J403" s="4" t="b">
        <f>_xlfn.IFNA(IF(((INDEX(RulebookFields!I2:I1898, MATCH(D403,RulebookFields!A2:A1898, 0))="")=TRUE),  "",  INDEX(RulebookFields!I2:I1898, MATCH(D403,RulebookFields!A2:A1898, 0))), "")</f>
        <v>0</v>
      </c>
      <c r="K403" s="4" t="b">
        <f>AND(((F403)=TRUE), ((J403)=TRUE))</f>
        <v>0</v>
      </c>
      <c r="L403" s="4" t="b">
        <f>AND(((G403 &lt;&gt; "plain")=TRUE), ((G403 &lt;&gt; "")=TRUE))</f>
        <v>0</v>
      </c>
      <c r="M403" s="4" t="str">
        <f>IF(((E403)=TRUE),  C403 &amp; "|" &amp; H403,  "")</f>
        <v>principal-notification-publisher|CommunicationPolicies</v>
      </c>
      <c r="N403" s="3" t="s">
        <v>10004</v>
      </c>
    </row>
    <row r="404">
      <c r="A404" s="3" t="s">
        <v>10406</v>
      </c>
      <c r="B404" s="4" t="str">
        <f>C404 &amp; " -&gt; " &amp; D404</f>
        <v>principal-notification-publisher -&gt; CommunicationPolicies.MaxSegments</v>
      </c>
      <c r="C404" s="3" t="s">
        <v>9770</v>
      </c>
      <c r="D404" s="3" t="s">
        <v>4070</v>
      </c>
      <c r="E404" s="3" t="b">
        <v>1</v>
      </c>
      <c r="F404" s="3" t="b">
        <v>0</v>
      </c>
      <c r="G404" s="3" t="s">
        <v>10003</v>
      </c>
      <c r="H404" s="4" t="str">
        <f>_xlfn.IFNA(IF(((INDEX(RulebookFields!C2:C1898, MATCH(D404,RulebookFields!A2:A1898, 0))="")=TRUE),  "",  INDEX(RulebookFields!C2:C1898, MATCH(D404,RulebookFields!A2:A1898, 0))), "")</f>
        <v>CommunicationPolicies</v>
      </c>
      <c r="I404" s="4" t="str">
        <f>_xlfn.IFNA(IF(((INDEX(RulebookFields!D2:D1898, MATCH(D404,RulebookFields!A2:A1898, 0))="")=TRUE),  "",  INDEX(RulebookFields!D2:D1898, MATCH(D404,RulebookFields!A2:A1898, 0))), "")</f>
        <v>MaxSegments</v>
      </c>
      <c r="J404" s="4" t="b">
        <f>_xlfn.IFNA(IF(((INDEX(RulebookFields!I2:I1898, MATCH(D404,RulebookFields!A2:A1898, 0))="")=TRUE),  "",  INDEX(RulebookFields!I2:I1898, MATCH(D404,RulebookFields!A2:A1898, 0))), "")</f>
        <v>0</v>
      </c>
      <c r="K404" s="4" t="b">
        <f>AND(((F404)=TRUE), ((J404)=TRUE))</f>
        <v>0</v>
      </c>
      <c r="L404" s="4" t="b">
        <f>AND(((G404 &lt;&gt; "plain")=TRUE), ((G404 &lt;&gt; "")=TRUE))</f>
        <v>0</v>
      </c>
      <c r="M404" s="4" t="str">
        <f>IF(((E404)=TRUE),  C404 &amp; "|" &amp; H404,  "")</f>
        <v>principal-notification-publisher|CommunicationPolicies</v>
      </c>
      <c r="N404" s="3" t="s">
        <v>10004</v>
      </c>
    </row>
    <row r="405">
      <c r="A405" s="3" t="s">
        <v>10407</v>
      </c>
      <c r="B405" s="4" t="str">
        <f>C405 &amp; " -&gt; " &amp; D405</f>
        <v>principal-notification-publisher -&gt; CommunicationPolicies.ConsentRequired</v>
      </c>
      <c r="C405" s="3" t="s">
        <v>9770</v>
      </c>
      <c r="D405" s="3" t="s">
        <v>4066</v>
      </c>
      <c r="E405" s="3" t="b">
        <v>1</v>
      </c>
      <c r="F405" s="3" t="b">
        <v>0</v>
      </c>
      <c r="G405" s="3" t="s">
        <v>10003</v>
      </c>
      <c r="H405" s="4" t="str">
        <f>_xlfn.IFNA(IF(((INDEX(RulebookFields!C2:C1898, MATCH(D405,RulebookFields!A2:A1898, 0))="")=TRUE),  "",  INDEX(RulebookFields!C2:C1898, MATCH(D405,RulebookFields!A2:A1898, 0))), "")</f>
        <v>CommunicationPolicies</v>
      </c>
      <c r="I405" s="4" t="str">
        <f>_xlfn.IFNA(IF(((INDEX(RulebookFields!D2:D1898, MATCH(D405,RulebookFields!A2:A1898, 0))="")=TRUE),  "",  INDEX(RulebookFields!D2:D1898, MATCH(D405,RulebookFields!A2:A1898, 0))), "")</f>
        <v>ConsentRequired</v>
      </c>
      <c r="J405" s="4" t="b">
        <f>_xlfn.IFNA(IF(((INDEX(RulebookFields!I2:I1898, MATCH(D405,RulebookFields!A2:A1898, 0))="")=TRUE),  "",  INDEX(RulebookFields!I2:I1898, MATCH(D405,RulebookFields!A2:A1898, 0))), "")</f>
        <v>0</v>
      </c>
      <c r="K405" s="4" t="b">
        <f>AND(((F405)=TRUE), ((J405)=TRUE))</f>
        <v>0</v>
      </c>
      <c r="L405" s="4" t="b">
        <f>AND(((G405 &lt;&gt; "plain")=TRUE), ((G405 &lt;&gt; "")=TRUE))</f>
        <v>0</v>
      </c>
      <c r="M405" s="4" t="str">
        <f>IF(((E405)=TRUE),  C405 &amp; "|" &amp; H405,  "")</f>
        <v>principal-notification-publisher|CommunicationPolicies</v>
      </c>
      <c r="N405" s="3" t="s">
        <v>10004</v>
      </c>
    </row>
    <row r="406">
      <c r="A406" s="3" t="s">
        <v>10408</v>
      </c>
      <c r="B406" s="4" t="str">
        <f>C406 &amp; " -&gt; " &amp; D406</f>
        <v>principal-notification-publisher -&gt; CommunicationPolicies.Status</v>
      </c>
      <c r="C406" s="3" t="s">
        <v>9770</v>
      </c>
      <c r="D406" s="3" t="s">
        <v>4075</v>
      </c>
      <c r="E406" s="3" t="b">
        <v>1</v>
      </c>
      <c r="F406" s="3" t="b">
        <v>0</v>
      </c>
      <c r="G406" s="3" t="s">
        <v>10003</v>
      </c>
      <c r="H406" s="4" t="str">
        <f>_xlfn.IFNA(IF(((INDEX(RulebookFields!C2:C1898, MATCH(D406,RulebookFields!A2:A1898, 0))="")=TRUE),  "",  INDEX(RulebookFields!C2:C1898, MATCH(D406,RulebookFields!A2:A1898, 0))), "")</f>
        <v>CommunicationPolicies</v>
      </c>
      <c r="I406" s="4" t="str">
        <f>_xlfn.IFNA(IF(((INDEX(RulebookFields!D2:D1898, MATCH(D406,RulebookFields!A2:A1898, 0))="")=TRUE),  "",  INDEX(RulebookFields!D2:D1898, MATCH(D406,RulebookFields!A2:A1898, 0))), "")</f>
        <v>Status</v>
      </c>
      <c r="J406" s="4" t="b">
        <f>_xlfn.IFNA(IF(((INDEX(RulebookFields!I2:I1898, MATCH(D406,RulebookFields!A2:A1898, 0))="")=TRUE),  "",  INDEX(RulebookFields!I2:I1898, MATCH(D406,RulebookFields!A2:A1898, 0))), "")</f>
        <v>0</v>
      </c>
      <c r="K406" s="4" t="b">
        <f>AND(((F406)=TRUE), ((J406)=TRUE))</f>
        <v>0</v>
      </c>
      <c r="L406" s="4" t="b">
        <f>AND(((G406 &lt;&gt; "plain")=TRUE), ((G406 &lt;&gt; "")=TRUE))</f>
        <v>0</v>
      </c>
      <c r="M406" s="4" t="str">
        <f>IF(((E406)=TRUE),  C406 &amp; "|" &amp; H406,  "")</f>
        <v>principal-notification-publisher|CommunicationPolicies</v>
      </c>
      <c r="N406" s="3" t="s">
        <v>10004</v>
      </c>
    </row>
    <row r="407">
      <c r="A407" s="3" t="s">
        <v>10409</v>
      </c>
      <c r="B407" s="4" t="str">
        <f>C407 &amp; " -&gt; " &amp; D407</f>
        <v>principal-notification-publisher -&gt; CommunicationPolicies.Name</v>
      </c>
      <c r="C407" s="3" t="s">
        <v>9770</v>
      </c>
      <c r="D407" s="3" t="s">
        <v>4061</v>
      </c>
      <c r="E407" s="3" t="b">
        <v>1</v>
      </c>
      <c r="F407" s="3" t="b">
        <v>0</v>
      </c>
      <c r="G407" s="3" t="s">
        <v>10003</v>
      </c>
      <c r="H407" s="4" t="str">
        <f>_xlfn.IFNA(IF(((INDEX(RulebookFields!C2:C1898, MATCH(D407,RulebookFields!A2:A1898, 0))="")=TRUE),  "",  INDEX(RulebookFields!C2:C1898, MATCH(D407,RulebookFields!A2:A1898, 0))), "")</f>
        <v>CommunicationPolicies</v>
      </c>
      <c r="I407" s="4" t="str">
        <f>_xlfn.IFNA(IF(((INDEX(RulebookFields!D2:D1898, MATCH(D407,RulebookFields!A2:A1898, 0))="")=TRUE),  "",  INDEX(RulebookFields!D2:D1898, MATCH(D407,RulebookFields!A2:A1898, 0))), "")</f>
        <v>Name</v>
      </c>
      <c r="J407" s="4" t="b">
        <f>_xlfn.IFNA(IF(((INDEX(RulebookFields!I2:I1898, MATCH(D407,RulebookFields!A2:A1898, 0))="")=TRUE),  "",  INDEX(RulebookFields!I2:I1898, MATCH(D407,RulebookFields!A2:A1898, 0))), "")</f>
        <v>1</v>
      </c>
      <c r="K407" s="4" t="b">
        <f>AND(((F407)=TRUE), ((J407)=TRUE))</f>
        <v>0</v>
      </c>
      <c r="L407" s="4" t="b">
        <f>AND(((G407 &lt;&gt; "plain")=TRUE), ((G407 &lt;&gt; "")=TRUE))</f>
        <v>0</v>
      </c>
      <c r="M407" s="4" t="str">
        <f>IF(((E407)=TRUE),  C407 &amp; "|" &amp; H407,  "")</f>
        <v>principal-notification-publisher|CommunicationPolicies</v>
      </c>
      <c r="N407" s="3" t="s">
        <v>10004</v>
      </c>
    </row>
    <row r="408">
      <c r="A408" s="3" t="s">
        <v>10410</v>
      </c>
      <c r="B408" s="4" t="str">
        <f>C408 &amp; " -&gt; " &amp; D408</f>
        <v>principal-notification-publisher -&gt; SendIntents.SendIntentId</v>
      </c>
      <c r="C408" s="3" t="s">
        <v>9770</v>
      </c>
      <c r="D408" s="3" t="s">
        <v>4727</v>
      </c>
      <c r="E408" s="3" t="b">
        <v>1</v>
      </c>
      <c r="F408" s="3" t="b">
        <v>0</v>
      </c>
      <c r="G408" s="3" t="s">
        <v>10003</v>
      </c>
      <c r="H408" s="4" t="str">
        <f>_xlfn.IFNA(IF(((INDEX(RulebookFields!C2:C1898, MATCH(D408,RulebookFields!A2:A1898, 0))="")=TRUE),  "",  INDEX(RulebookFields!C2:C1898, MATCH(D408,RulebookFields!A2:A1898, 0))), "")</f>
        <v>SendIntents</v>
      </c>
      <c r="I408" s="4" t="str">
        <f>_xlfn.IFNA(IF(((INDEX(RulebookFields!D2:D1898, MATCH(D408,RulebookFields!A2:A1898, 0))="")=TRUE),  "",  INDEX(RulebookFields!D2:D1898, MATCH(D408,RulebookFields!A2:A1898, 0))), "")</f>
        <v>SendIntentId</v>
      </c>
      <c r="J408" s="4" t="b">
        <f>_xlfn.IFNA(IF(((INDEX(RulebookFields!I2:I1898, MATCH(D408,RulebookFields!A2:A1898, 0))="")=TRUE),  "",  INDEX(RulebookFields!I2:I1898, MATCH(D408,RulebookFields!A2:A1898, 0))), "")</f>
        <v>0</v>
      </c>
      <c r="K408" s="4" t="b">
        <f>AND(((F408)=TRUE), ((J408)=TRUE))</f>
        <v>0</v>
      </c>
      <c r="L408" s="4" t="b">
        <f>AND(((G408 &lt;&gt; "plain")=TRUE), ((G408 &lt;&gt; "")=TRUE))</f>
        <v>0</v>
      </c>
      <c r="M408" s="4" t="str">
        <f>IF(((E408)=TRUE),  C408 &amp; "|" &amp; H408,  "")</f>
        <v>principal-notification-publisher|SendIntents</v>
      </c>
      <c r="N408" s="3" t="s">
        <v>10004</v>
      </c>
    </row>
    <row r="409">
      <c r="A409" s="3" t="s">
        <v>10411</v>
      </c>
      <c r="B409" s="4" t="str">
        <f>C409 &amp; " -&gt; " &amp; D409</f>
        <v>principal-notification-publisher -&gt; SendIntents.ProposedBody</v>
      </c>
      <c r="C409" s="3" t="s">
        <v>9770</v>
      </c>
      <c r="D409" s="3" t="s">
        <v>4736</v>
      </c>
      <c r="E409" s="3" t="b">
        <v>1</v>
      </c>
      <c r="F409" s="3" t="b">
        <v>0</v>
      </c>
      <c r="G409" s="3" t="s">
        <v>10003</v>
      </c>
      <c r="H409" s="4" t="str">
        <f>_xlfn.IFNA(IF(((INDEX(RulebookFields!C2:C1898, MATCH(D409,RulebookFields!A2:A1898, 0))="")=TRUE),  "",  INDEX(RulebookFields!C2:C1898, MATCH(D409,RulebookFields!A2:A1898, 0))), "")</f>
        <v>SendIntents</v>
      </c>
      <c r="I409" s="4" t="str">
        <f>_xlfn.IFNA(IF(((INDEX(RulebookFields!D2:D1898, MATCH(D409,RulebookFields!A2:A1898, 0))="")=TRUE),  "",  INDEX(RulebookFields!D2:D1898, MATCH(D409,RulebookFields!A2:A1898, 0))), "")</f>
        <v>ProposedBody</v>
      </c>
      <c r="J409" s="4" t="b">
        <f>_xlfn.IFNA(IF(((INDEX(RulebookFields!I2:I1898, MATCH(D409,RulebookFields!A2:A1898, 0))="")=TRUE),  "",  INDEX(RulebookFields!I2:I1898, MATCH(D409,RulebookFields!A2:A1898, 0))), "")</f>
        <v>0</v>
      </c>
      <c r="K409" s="4" t="b">
        <f>AND(((F409)=TRUE), ((J409)=TRUE))</f>
        <v>0</v>
      </c>
      <c r="L409" s="4" t="b">
        <f>AND(((G409 &lt;&gt; "plain")=TRUE), ((G409 &lt;&gt; "")=TRUE))</f>
        <v>0</v>
      </c>
      <c r="M409" s="4" t="str">
        <f>IF(((E409)=TRUE),  C409 &amp; "|" &amp; H409,  "")</f>
        <v>principal-notification-publisher|SendIntents</v>
      </c>
      <c r="N409" s="3" t="s">
        <v>10004</v>
      </c>
    </row>
    <row r="410">
      <c r="A410" s="3" t="s">
        <v>10412</v>
      </c>
      <c r="B410" s="4" t="str">
        <f>C410 &amp; " -&gt; " &amp; D410</f>
        <v>principal-notification-publisher -&gt; SendIntents.ProposedSendAtLocalHour</v>
      </c>
      <c r="C410" s="3" t="s">
        <v>9770</v>
      </c>
      <c r="D410" s="3" t="s">
        <v>4738</v>
      </c>
      <c r="E410" s="3" t="b">
        <v>1</v>
      </c>
      <c r="F410" s="3" t="b">
        <v>0</v>
      </c>
      <c r="G410" s="3" t="s">
        <v>10003</v>
      </c>
      <c r="H410" s="4" t="str">
        <f>_xlfn.IFNA(IF(((INDEX(RulebookFields!C2:C1898, MATCH(D410,RulebookFields!A2:A1898, 0))="")=TRUE),  "",  INDEX(RulebookFields!C2:C1898, MATCH(D410,RulebookFields!A2:A1898, 0))), "")</f>
        <v>SendIntents</v>
      </c>
      <c r="I410" s="4" t="str">
        <f>_xlfn.IFNA(IF(((INDEX(RulebookFields!D2:D1898, MATCH(D410,RulebookFields!A2:A1898, 0))="")=TRUE),  "",  INDEX(RulebookFields!D2:D1898, MATCH(D410,RulebookFields!A2:A1898, 0))), "")</f>
        <v>ProposedSendAtLocalHour</v>
      </c>
      <c r="J410" s="4" t="b">
        <f>_xlfn.IFNA(IF(((INDEX(RulebookFields!I2:I1898, MATCH(D410,RulebookFields!A2:A1898, 0))="")=TRUE),  "",  INDEX(RulebookFields!I2:I1898, MATCH(D410,RulebookFields!A2:A1898, 0))), "")</f>
        <v>0</v>
      </c>
      <c r="K410" s="4" t="b">
        <f>AND(((F410)=TRUE), ((J410)=TRUE))</f>
        <v>0</v>
      </c>
      <c r="L410" s="4" t="b">
        <f>AND(((G410 &lt;&gt; "plain")=TRUE), ((G410 &lt;&gt; "")=TRUE))</f>
        <v>0</v>
      </c>
      <c r="M410" s="4" t="str">
        <f>IF(((E410)=TRUE),  C410 &amp; "|" &amp; H410,  "")</f>
        <v>principal-notification-publisher|SendIntents</v>
      </c>
      <c r="N410" s="3" t="s">
        <v>10004</v>
      </c>
    </row>
    <row r="411">
      <c r="A411" s="3" t="s">
        <v>10413</v>
      </c>
      <c r="B411" s="4" t="str">
        <f>C411 &amp; " -&gt; " &amp; D411</f>
        <v>principal-notification-publisher -&gt; SendIntents.Recipient</v>
      </c>
      <c r="C411" s="3" t="s">
        <v>9770</v>
      </c>
      <c r="D411" s="3" t="s">
        <v>4734</v>
      </c>
      <c r="E411" s="3" t="b">
        <v>1</v>
      </c>
      <c r="F411" s="3" t="b">
        <v>0</v>
      </c>
      <c r="G411" s="3" t="s">
        <v>10003</v>
      </c>
      <c r="H411" s="4" t="str">
        <f>_xlfn.IFNA(IF(((INDEX(RulebookFields!C2:C1898, MATCH(D411,RulebookFields!A2:A1898, 0))="")=TRUE),  "",  INDEX(RulebookFields!C2:C1898, MATCH(D411,RulebookFields!A2:A1898, 0))), "")</f>
        <v>SendIntents</v>
      </c>
      <c r="I411" s="4" t="str">
        <f>_xlfn.IFNA(IF(((INDEX(RulebookFields!D2:D1898, MATCH(D411,RulebookFields!A2:A1898, 0))="")=TRUE),  "",  INDEX(RulebookFields!D2:D1898, MATCH(D411,RulebookFields!A2:A1898, 0))), "")</f>
        <v>Recipient</v>
      </c>
      <c r="J411" s="4" t="b">
        <f>_xlfn.IFNA(IF(((INDEX(RulebookFields!I2:I1898, MATCH(D411,RulebookFields!A2:A1898, 0))="")=TRUE),  "",  INDEX(RulebookFields!I2:I1898, MATCH(D411,RulebookFields!A2:A1898, 0))), "")</f>
        <v>0</v>
      </c>
      <c r="K411" s="4" t="b">
        <f>AND(((F411)=TRUE), ((J411)=TRUE))</f>
        <v>0</v>
      </c>
      <c r="L411" s="4" t="b">
        <f>AND(((G411 &lt;&gt; "plain")=TRUE), ((G411 &lt;&gt; "")=TRUE))</f>
        <v>0</v>
      </c>
      <c r="M411" s="4" t="str">
        <f>IF(((E411)=TRUE),  C411 &amp; "|" &amp; H411,  "")</f>
        <v>principal-notification-publisher|SendIntents</v>
      </c>
      <c r="N411" s="3" t="s">
        <v>10004</v>
      </c>
    </row>
    <row r="412">
      <c r="A412" s="3" t="s">
        <v>10414</v>
      </c>
      <c r="B412" s="4" t="str">
        <f>C412 &amp; " -&gt; " &amp; D412</f>
        <v>principal-notification-publisher -&gt; SendIntents.MessageTemplate</v>
      </c>
      <c r="C412" s="3" t="s">
        <v>9770</v>
      </c>
      <c r="D412" s="3" t="s">
        <v>4735</v>
      </c>
      <c r="E412" s="3" t="b">
        <v>1</v>
      </c>
      <c r="F412" s="3" t="b">
        <v>0</v>
      </c>
      <c r="G412" s="3" t="s">
        <v>10003</v>
      </c>
      <c r="H412" s="4" t="str">
        <f>_xlfn.IFNA(IF(((INDEX(RulebookFields!C2:C1898, MATCH(D412,RulebookFields!A2:A1898, 0))="")=TRUE),  "",  INDEX(RulebookFields!C2:C1898, MATCH(D412,RulebookFields!A2:A1898, 0))), "")</f>
        <v>SendIntents</v>
      </c>
      <c r="I412" s="4" t="str">
        <f>_xlfn.IFNA(IF(((INDEX(RulebookFields!D2:D1898, MATCH(D412,RulebookFields!A2:A1898, 0))="")=TRUE),  "",  INDEX(RulebookFields!D2:D1898, MATCH(D412,RulebookFields!A2:A1898, 0))), "")</f>
        <v>MessageTemplate</v>
      </c>
      <c r="J412" s="4" t="b">
        <f>_xlfn.IFNA(IF(((INDEX(RulebookFields!I2:I1898, MATCH(D412,RulebookFields!A2:A1898, 0))="")=TRUE),  "",  INDEX(RulebookFields!I2:I1898, MATCH(D412,RulebookFields!A2:A1898, 0))), "")</f>
        <v>0</v>
      </c>
      <c r="K412" s="4" t="b">
        <f>AND(((F412)=TRUE), ((J412)=TRUE))</f>
        <v>0</v>
      </c>
      <c r="L412" s="4" t="b">
        <f>AND(((G412 &lt;&gt; "plain")=TRUE), ((G412 &lt;&gt; "")=TRUE))</f>
        <v>0</v>
      </c>
      <c r="M412" s="4" t="str">
        <f>IF(((E412)=TRUE),  C412 &amp; "|" &amp; H412,  "")</f>
        <v>principal-notification-publisher|SendIntents</v>
      </c>
      <c r="N412" s="3" t="s">
        <v>10004</v>
      </c>
    </row>
    <row r="413">
      <c r="A413" s="3" t="s">
        <v>10415</v>
      </c>
      <c r="B413" s="4" t="str">
        <f>C413 &amp; " -&gt; " &amp; D413</f>
        <v>principal-notification-publisher -&gt; SendIntents.Name</v>
      </c>
      <c r="C413" s="3" t="s">
        <v>9770</v>
      </c>
      <c r="D413" s="3" t="s">
        <v>4730</v>
      </c>
      <c r="E413" s="3" t="b">
        <v>1</v>
      </c>
      <c r="F413" s="3" t="b">
        <v>0</v>
      </c>
      <c r="G413" s="3" t="s">
        <v>10003</v>
      </c>
      <c r="H413" s="4" t="str">
        <f>_xlfn.IFNA(IF(((INDEX(RulebookFields!C2:C1898, MATCH(D413,RulebookFields!A2:A1898, 0))="")=TRUE),  "",  INDEX(RulebookFields!C2:C1898, MATCH(D413,RulebookFields!A2:A1898, 0))), "")</f>
        <v>SendIntents</v>
      </c>
      <c r="I413" s="4" t="str">
        <f>_xlfn.IFNA(IF(((INDEX(RulebookFields!D2:D1898, MATCH(D413,RulebookFields!A2:A1898, 0))="")=TRUE),  "",  INDEX(RulebookFields!D2:D1898, MATCH(D413,RulebookFields!A2:A1898, 0))), "")</f>
        <v>Name</v>
      </c>
      <c r="J413" s="4" t="b">
        <f>_xlfn.IFNA(IF(((INDEX(RulebookFields!I2:I1898, MATCH(D413,RulebookFields!A2:A1898, 0))="")=TRUE),  "",  INDEX(RulebookFields!I2:I1898, MATCH(D413,RulebookFields!A2:A1898, 0))), "")</f>
        <v>1</v>
      </c>
      <c r="K413" s="4" t="b">
        <f>AND(((F413)=TRUE), ((J413)=TRUE))</f>
        <v>0</v>
      </c>
      <c r="L413" s="4" t="b">
        <f>AND(((G413 &lt;&gt; "plain")=TRUE), ((G413 &lt;&gt; "")=TRUE))</f>
        <v>0</v>
      </c>
      <c r="M413" s="4" t="str">
        <f>IF(((E413)=TRUE),  C413 &amp; "|" &amp; H413,  "")</f>
        <v>principal-notification-publisher|SendIntents</v>
      </c>
      <c r="N413" s="3" t="s">
        <v>10004</v>
      </c>
    </row>
    <row r="414">
      <c r="A414" s="3" t="s">
        <v>10416</v>
      </c>
      <c r="B414" s="4" t="str">
        <f>C414 &amp; " -&gt; " &amp; D414</f>
        <v>principal-notification-publisher -&gt; MessageDeliveries.MessageDeliveryId</v>
      </c>
      <c r="C414" s="3" t="s">
        <v>9770</v>
      </c>
      <c r="D414" s="3" t="s">
        <v>4443</v>
      </c>
      <c r="E414" s="3" t="b">
        <v>1</v>
      </c>
      <c r="F414" s="3" t="b">
        <v>0</v>
      </c>
      <c r="G414" s="3" t="s">
        <v>10003</v>
      </c>
      <c r="H414" s="4" t="str">
        <f>_xlfn.IFNA(IF(((INDEX(RulebookFields!C2:C1898, MATCH(D414,RulebookFields!A2:A1898, 0))="")=TRUE),  "",  INDEX(RulebookFields!C2:C1898, MATCH(D414,RulebookFields!A2:A1898, 0))), "")</f>
        <v>MessageDeliveries</v>
      </c>
      <c r="I414" s="4" t="str">
        <f>_xlfn.IFNA(IF(((INDEX(RulebookFields!D2:D1898, MATCH(D414,RulebookFields!A2:A1898, 0))="")=TRUE),  "",  INDEX(RulebookFields!D2:D1898, MATCH(D414,RulebookFields!A2:A1898, 0))), "")</f>
        <v>MessageDeliveryId</v>
      </c>
      <c r="J414" s="4" t="b">
        <f>_xlfn.IFNA(IF(((INDEX(RulebookFields!I2:I1898, MATCH(D414,RulebookFields!A2:A1898, 0))="")=TRUE),  "",  INDEX(RulebookFields!I2:I1898, MATCH(D414,RulebookFields!A2:A1898, 0))), "")</f>
        <v>0</v>
      </c>
      <c r="K414" s="4" t="b">
        <f>AND(((F414)=TRUE), ((J414)=TRUE))</f>
        <v>0</v>
      </c>
      <c r="L414" s="4" t="b">
        <f>AND(((G414 &lt;&gt; "plain")=TRUE), ((G414 &lt;&gt; "")=TRUE))</f>
        <v>0</v>
      </c>
      <c r="M414" s="4" t="str">
        <f>IF(((E414)=TRUE),  C414 &amp; "|" &amp; H414,  "")</f>
        <v>principal-notification-publisher|MessageDeliveries</v>
      </c>
      <c r="N414" s="3" t="s">
        <v>10004</v>
      </c>
    </row>
    <row r="415">
      <c r="A415" s="3" t="s">
        <v>10417</v>
      </c>
      <c r="B415" s="4" t="str">
        <f>C415 &amp; " -&gt; " &amp; D415</f>
        <v>principal-notification-publisher -&gt; MessageDeliveries.RenderedBody</v>
      </c>
      <c r="C415" s="3" t="s">
        <v>9770</v>
      </c>
      <c r="D415" s="3" t="s">
        <v>4456</v>
      </c>
      <c r="E415" s="3" t="b">
        <v>1</v>
      </c>
      <c r="F415" s="3" t="b">
        <v>0</v>
      </c>
      <c r="G415" s="3" t="s">
        <v>10003</v>
      </c>
      <c r="H415" s="4" t="str">
        <f>_xlfn.IFNA(IF(((INDEX(RulebookFields!C2:C1898, MATCH(D415,RulebookFields!A2:A1898, 0))="")=TRUE),  "",  INDEX(RulebookFields!C2:C1898, MATCH(D415,RulebookFields!A2:A1898, 0))), "")</f>
        <v>MessageDeliveries</v>
      </c>
      <c r="I415" s="4" t="str">
        <f>_xlfn.IFNA(IF(((INDEX(RulebookFields!D2:D1898, MATCH(D415,RulebookFields!A2:A1898, 0))="")=TRUE),  "",  INDEX(RulebookFields!D2:D1898, MATCH(D415,RulebookFields!A2:A1898, 0))), "")</f>
        <v>RenderedBody</v>
      </c>
      <c r="J415" s="4" t="b">
        <f>_xlfn.IFNA(IF(((INDEX(RulebookFields!I2:I1898, MATCH(D415,RulebookFields!A2:A1898, 0))="")=TRUE),  "",  INDEX(RulebookFields!I2:I1898, MATCH(D415,RulebookFields!A2:A1898, 0))), "")</f>
        <v>0</v>
      </c>
      <c r="K415" s="4" t="b">
        <f>AND(((F415)=TRUE), ((J415)=TRUE))</f>
        <v>0</v>
      </c>
      <c r="L415" s="4" t="b">
        <f>AND(((G415 &lt;&gt; "plain")=TRUE), ((G415 &lt;&gt; "")=TRUE))</f>
        <v>0</v>
      </c>
      <c r="M415" s="4" t="str">
        <f>IF(((E415)=TRUE),  C415 &amp; "|" &amp; H415,  "")</f>
        <v>principal-notification-publisher|MessageDeliveries</v>
      </c>
      <c r="N415" s="3" t="s">
        <v>10004</v>
      </c>
    </row>
    <row r="416">
      <c r="A416" s="3" t="s">
        <v>10418</v>
      </c>
      <c r="B416" s="4" t="str">
        <f>C416 &amp; " -&gt; " &amp; D416</f>
        <v>principal-notification-publisher -&gt; MessageDeliveries.SentAt</v>
      </c>
      <c r="C416" s="3" t="s">
        <v>9770</v>
      </c>
      <c r="D416" s="3" t="s">
        <v>4458</v>
      </c>
      <c r="E416" s="3" t="b">
        <v>1</v>
      </c>
      <c r="F416" s="3" t="b">
        <v>0</v>
      </c>
      <c r="G416" s="3" t="s">
        <v>10003</v>
      </c>
      <c r="H416" s="4" t="str">
        <f>_xlfn.IFNA(IF(((INDEX(RulebookFields!C2:C1898, MATCH(D416,RulebookFields!A2:A1898, 0))="")=TRUE),  "",  INDEX(RulebookFields!C2:C1898, MATCH(D416,RulebookFields!A2:A1898, 0))), "")</f>
        <v>MessageDeliveries</v>
      </c>
      <c r="I416" s="4" t="str">
        <f>_xlfn.IFNA(IF(((INDEX(RulebookFields!D2:D1898, MATCH(D416,RulebookFields!A2:A1898, 0))="")=TRUE),  "",  INDEX(RulebookFields!D2:D1898, MATCH(D416,RulebookFields!A2:A1898, 0))), "")</f>
        <v>SentAt</v>
      </c>
      <c r="J416" s="4" t="b">
        <f>_xlfn.IFNA(IF(((INDEX(RulebookFields!I2:I1898, MATCH(D416,RulebookFields!A2:A1898, 0))="")=TRUE),  "",  INDEX(RulebookFields!I2:I1898, MATCH(D416,RulebookFields!A2:A1898, 0))), "")</f>
        <v>0</v>
      </c>
      <c r="K416" s="4" t="b">
        <f>AND(((F416)=TRUE), ((J416)=TRUE))</f>
        <v>0</v>
      </c>
      <c r="L416" s="4" t="b">
        <f>AND(((G416 &lt;&gt; "plain")=TRUE), ((G416 &lt;&gt; "")=TRUE))</f>
        <v>0</v>
      </c>
      <c r="M416" s="4" t="str">
        <f>IF(((E416)=TRUE),  C416 &amp; "|" &amp; H416,  "")</f>
        <v>principal-notification-publisher|MessageDeliveries</v>
      </c>
      <c r="N416" s="3" t="s">
        <v>10004</v>
      </c>
    </row>
    <row r="417">
      <c r="A417" s="3" t="s">
        <v>10419</v>
      </c>
      <c r="B417" s="4" t="str">
        <f>C417 &amp; " -&gt; " &amp; D417</f>
        <v>principal-notification-publisher -&gt; MessageDeliveries.DeliveryStatus</v>
      </c>
      <c r="C417" s="3" t="s">
        <v>9770</v>
      </c>
      <c r="D417" s="3" t="s">
        <v>4462</v>
      </c>
      <c r="E417" s="3" t="b">
        <v>1</v>
      </c>
      <c r="F417" s="3" t="b">
        <v>0</v>
      </c>
      <c r="G417" s="3" t="s">
        <v>10003</v>
      </c>
      <c r="H417" s="4" t="str">
        <f>_xlfn.IFNA(IF(((INDEX(RulebookFields!C2:C1898, MATCH(D417,RulebookFields!A2:A1898, 0))="")=TRUE),  "",  INDEX(RulebookFields!C2:C1898, MATCH(D417,RulebookFields!A2:A1898, 0))), "")</f>
        <v>MessageDeliveries</v>
      </c>
      <c r="I417" s="4" t="str">
        <f>_xlfn.IFNA(IF(((INDEX(RulebookFields!D2:D1898, MATCH(D417,RulebookFields!A2:A1898, 0))="")=TRUE),  "",  INDEX(RulebookFields!D2:D1898, MATCH(D417,RulebookFields!A2:A1898, 0))), "")</f>
        <v>DeliveryStatus</v>
      </c>
      <c r="J417" s="4" t="b">
        <f>_xlfn.IFNA(IF(((INDEX(RulebookFields!I2:I1898, MATCH(D417,RulebookFields!A2:A1898, 0))="")=TRUE),  "",  INDEX(RulebookFields!I2:I1898, MATCH(D417,RulebookFields!A2:A1898, 0))), "")</f>
        <v>0</v>
      </c>
      <c r="K417" s="4" t="b">
        <f>AND(((F417)=TRUE), ((J417)=TRUE))</f>
        <v>0</v>
      </c>
      <c r="L417" s="4" t="b">
        <f>AND(((G417 &lt;&gt; "plain")=TRUE), ((G417 &lt;&gt; "")=TRUE))</f>
        <v>0</v>
      </c>
      <c r="M417" s="4" t="str">
        <f>IF(((E417)=TRUE),  C417 &amp; "|" &amp; H417,  "")</f>
        <v>principal-notification-publisher|MessageDeliveries</v>
      </c>
      <c r="N417" s="3" t="s">
        <v>10004</v>
      </c>
    </row>
    <row r="418">
      <c r="A418" s="3" t="s">
        <v>10420</v>
      </c>
      <c r="B418" s="4" t="str">
        <f>C418 &amp; " -&gt; " &amp; D418</f>
        <v>principal-notification-publisher -&gt; MessageDeliveries.SuppressionReason</v>
      </c>
      <c r="C418" s="3" t="s">
        <v>9770</v>
      </c>
      <c r="D418" s="3" t="s">
        <v>4464</v>
      </c>
      <c r="E418" s="3" t="b">
        <v>1</v>
      </c>
      <c r="F418" s="3" t="b">
        <v>0</v>
      </c>
      <c r="G418" s="3" t="s">
        <v>10003</v>
      </c>
      <c r="H418" s="4" t="str">
        <f>_xlfn.IFNA(IF(((INDEX(RulebookFields!C2:C1898, MATCH(D418,RulebookFields!A2:A1898, 0))="")=TRUE),  "",  INDEX(RulebookFields!C2:C1898, MATCH(D418,RulebookFields!A2:A1898, 0))), "")</f>
        <v>MessageDeliveries</v>
      </c>
      <c r="I418" s="4" t="str">
        <f>_xlfn.IFNA(IF(((INDEX(RulebookFields!D2:D1898, MATCH(D418,RulebookFields!A2:A1898, 0))="")=TRUE),  "",  INDEX(RulebookFields!D2:D1898, MATCH(D418,RulebookFields!A2:A1898, 0))), "")</f>
        <v>SuppressionReason</v>
      </c>
      <c r="J418" s="4" t="b">
        <f>_xlfn.IFNA(IF(((INDEX(RulebookFields!I2:I1898, MATCH(D418,RulebookFields!A2:A1898, 0))="")=TRUE),  "",  INDEX(RulebookFields!I2:I1898, MATCH(D418,RulebookFields!A2:A1898, 0))), "")</f>
        <v>0</v>
      </c>
      <c r="K418" s="4" t="b">
        <f>AND(((F418)=TRUE), ((J418)=TRUE))</f>
        <v>0</v>
      </c>
      <c r="L418" s="4" t="b">
        <f>AND(((G418 &lt;&gt; "plain")=TRUE), ((G418 &lt;&gt; "")=TRUE))</f>
        <v>0</v>
      </c>
      <c r="M418" s="4" t="str">
        <f>IF(((E418)=TRUE),  C418 &amp; "|" &amp; H418,  "")</f>
        <v>principal-notification-publisher|MessageDeliveries</v>
      </c>
      <c r="N418" s="3" t="s">
        <v>10004</v>
      </c>
    </row>
    <row r="419">
      <c r="A419" s="3" t="s">
        <v>10421</v>
      </c>
      <c r="B419" s="4" t="str">
        <f>C419 &amp; " -&gt; " &amp; D419</f>
        <v>principal-notification-publisher -&gt; MessageDeliveries.Recipient</v>
      </c>
      <c r="C419" s="3" t="s">
        <v>9770</v>
      </c>
      <c r="D419" s="3" t="s">
        <v>4450</v>
      </c>
      <c r="E419" s="3" t="b">
        <v>1</v>
      </c>
      <c r="F419" s="3" t="b">
        <v>0</v>
      </c>
      <c r="G419" s="3" t="s">
        <v>10003</v>
      </c>
      <c r="H419" s="4" t="str">
        <f>_xlfn.IFNA(IF(((INDEX(RulebookFields!C2:C1898, MATCH(D419,RulebookFields!A2:A1898, 0))="")=TRUE),  "",  INDEX(RulebookFields!C2:C1898, MATCH(D419,RulebookFields!A2:A1898, 0))), "")</f>
        <v>MessageDeliveries</v>
      </c>
      <c r="I419" s="4" t="str">
        <f>_xlfn.IFNA(IF(((INDEX(RulebookFields!D2:D1898, MATCH(D419,RulebookFields!A2:A1898, 0))="")=TRUE),  "",  INDEX(RulebookFields!D2:D1898, MATCH(D419,RulebookFields!A2:A1898, 0))), "")</f>
        <v>Recipient</v>
      </c>
      <c r="J419" s="4" t="b">
        <f>_xlfn.IFNA(IF(((INDEX(RulebookFields!I2:I1898, MATCH(D419,RulebookFields!A2:A1898, 0))="")=TRUE),  "",  INDEX(RulebookFields!I2:I1898, MATCH(D419,RulebookFields!A2:A1898, 0))), "")</f>
        <v>0</v>
      </c>
      <c r="K419" s="4" t="b">
        <f>AND(((F419)=TRUE), ((J419)=TRUE))</f>
        <v>0</v>
      </c>
      <c r="L419" s="4" t="b">
        <f>AND(((G419 &lt;&gt; "plain")=TRUE), ((G419 &lt;&gt; "")=TRUE))</f>
        <v>0</v>
      </c>
      <c r="M419" s="4" t="str">
        <f>IF(((E419)=TRUE),  C419 &amp; "|" &amp; H419,  "")</f>
        <v>principal-notification-publisher|MessageDeliveries</v>
      </c>
      <c r="N419" s="3" t="s">
        <v>10004</v>
      </c>
    </row>
    <row r="420">
      <c r="A420" s="3" t="s">
        <v>10422</v>
      </c>
      <c r="B420" s="4" t="str">
        <f>C420 &amp; " -&gt; " &amp; D420</f>
        <v>principal-notification-publisher -&gt; MessageDeliveries.Name</v>
      </c>
      <c r="C420" s="3" t="s">
        <v>9770</v>
      </c>
      <c r="D420" s="3" t="s">
        <v>4446</v>
      </c>
      <c r="E420" s="3" t="b">
        <v>1</v>
      </c>
      <c r="F420" s="3" t="b">
        <v>0</v>
      </c>
      <c r="G420" s="3" t="s">
        <v>10003</v>
      </c>
      <c r="H420" s="4" t="str">
        <f>_xlfn.IFNA(IF(((INDEX(RulebookFields!C2:C1898, MATCH(D420,RulebookFields!A2:A1898, 0))="")=TRUE),  "",  INDEX(RulebookFields!C2:C1898, MATCH(D420,RulebookFields!A2:A1898, 0))), "")</f>
        <v>MessageDeliveries</v>
      </c>
      <c r="I420" s="4" t="str">
        <f>_xlfn.IFNA(IF(((INDEX(RulebookFields!D2:D1898, MATCH(D420,RulebookFields!A2:A1898, 0))="")=TRUE),  "",  INDEX(RulebookFields!D2:D1898, MATCH(D420,RulebookFields!A2:A1898, 0))), "")</f>
        <v>Name</v>
      </c>
      <c r="J420" s="4" t="b">
        <f>_xlfn.IFNA(IF(((INDEX(RulebookFields!I2:I1898, MATCH(D420,RulebookFields!A2:A1898, 0))="")=TRUE),  "",  INDEX(RulebookFields!I2:I1898, MATCH(D420,RulebookFields!A2:A1898, 0))), "")</f>
        <v>1</v>
      </c>
      <c r="K420" s="4" t="b">
        <f>AND(((F420)=TRUE), ((J420)=TRUE))</f>
        <v>0</v>
      </c>
      <c r="L420" s="4" t="b">
        <f>AND(((G420 &lt;&gt; "plain")=TRUE), ((G420 &lt;&gt; "")=TRUE))</f>
        <v>0</v>
      </c>
      <c r="M420" s="4" t="str">
        <f>IF(((E420)=TRUE),  C420 &amp; "|" &amp; H420,  "")</f>
        <v>principal-notification-publisher|MessageDeliveries</v>
      </c>
      <c r="N420" s="3" t="s">
        <v>10004</v>
      </c>
    </row>
    <row r="421">
      <c r="A421" s="3" t="s">
        <v>10423</v>
      </c>
      <c r="B421" s="4" t="str">
        <f>C421 &amp; " -&gt; " &amp; D421</f>
        <v>principal-notification-publisher -&gt; Recipients.RecipientId</v>
      </c>
      <c r="C421" s="3" t="s">
        <v>9770</v>
      </c>
      <c r="D421" s="3" t="s">
        <v>4411</v>
      </c>
      <c r="E421" s="3" t="b">
        <v>1</v>
      </c>
      <c r="F421" s="3" t="b">
        <v>0</v>
      </c>
      <c r="G421" s="3" t="s">
        <v>10003</v>
      </c>
      <c r="H421" s="4" t="str">
        <f>_xlfn.IFNA(IF(((INDEX(RulebookFields!C2:C1898, MATCH(D421,RulebookFields!A2:A1898, 0))="")=TRUE),  "",  INDEX(RulebookFields!C2:C1898, MATCH(D421,RulebookFields!A2:A1898, 0))), "")</f>
        <v>Recipients</v>
      </c>
      <c r="I421" s="4" t="str">
        <f>_xlfn.IFNA(IF(((INDEX(RulebookFields!D2:D1898, MATCH(D421,RulebookFields!A2:A1898, 0))="")=TRUE),  "",  INDEX(RulebookFields!D2:D1898, MATCH(D421,RulebookFields!A2:A1898, 0))), "")</f>
        <v>RecipientId</v>
      </c>
      <c r="J421" s="4" t="b">
        <f>_xlfn.IFNA(IF(((INDEX(RulebookFields!I2:I1898, MATCH(D421,RulebookFields!A2:A1898, 0))="")=TRUE),  "",  INDEX(RulebookFields!I2:I1898, MATCH(D421,RulebookFields!A2:A1898, 0))), "")</f>
        <v>0</v>
      </c>
      <c r="K421" s="4" t="b">
        <f>AND(((F421)=TRUE), ((J421)=TRUE))</f>
        <v>0</v>
      </c>
      <c r="L421" s="4" t="b">
        <f>AND(((G421 &lt;&gt; "plain")=TRUE), ((G421 &lt;&gt; "")=TRUE))</f>
        <v>0</v>
      </c>
      <c r="M421" s="4" t="str">
        <f>IF(((E421)=TRUE),  C421 &amp; "|" &amp; H421,  "")</f>
        <v>principal-notification-publisher|Recipients</v>
      </c>
      <c r="N421" s="3" t="s">
        <v>10004</v>
      </c>
    </row>
    <row r="422">
      <c r="A422" s="3" t="s">
        <v>10424</v>
      </c>
      <c r="B422" s="4" t="str">
        <f>C422 &amp; " -&gt; " &amp; D422</f>
        <v>principal-notification-publisher -&gt; Recipients.EmailAddress</v>
      </c>
      <c r="C422" s="3" t="s">
        <v>9770</v>
      </c>
      <c r="D422" s="3" t="s">
        <v>4417</v>
      </c>
      <c r="E422" s="3" t="b">
        <v>1</v>
      </c>
      <c r="F422" s="3" t="b">
        <v>0</v>
      </c>
      <c r="G422" s="3" t="s">
        <v>10003</v>
      </c>
      <c r="H422" s="4" t="str">
        <f>_xlfn.IFNA(IF(((INDEX(RulebookFields!C2:C1898, MATCH(D422,RulebookFields!A2:A1898, 0))="")=TRUE),  "",  INDEX(RulebookFields!C2:C1898, MATCH(D422,RulebookFields!A2:A1898, 0))), "")</f>
        <v>Recipients</v>
      </c>
      <c r="I422" s="4" t="str">
        <f>_xlfn.IFNA(IF(((INDEX(RulebookFields!D2:D1898, MATCH(D422,RulebookFields!A2:A1898, 0))="")=TRUE),  "",  INDEX(RulebookFields!D2:D1898, MATCH(D422,RulebookFields!A2:A1898, 0))), "")</f>
        <v>EmailAddress</v>
      </c>
      <c r="J422" s="4" t="b">
        <f>_xlfn.IFNA(IF(((INDEX(RulebookFields!I2:I1898, MATCH(D422,RulebookFields!A2:A1898, 0))="")=TRUE),  "",  INDEX(RulebookFields!I2:I1898, MATCH(D422,RulebookFields!A2:A1898, 0))), "")</f>
        <v>0</v>
      </c>
      <c r="K422" s="4" t="b">
        <f>AND(((F422)=TRUE), ((J422)=TRUE))</f>
        <v>0</v>
      </c>
      <c r="L422" s="4" t="b">
        <f>AND(((G422 &lt;&gt; "plain")=TRUE), ((G422 &lt;&gt; "")=TRUE))</f>
        <v>0</v>
      </c>
      <c r="M422" s="4" t="str">
        <f>IF(((E422)=TRUE),  C422 &amp; "|" &amp; H422,  "")</f>
        <v>principal-notification-publisher|Recipients</v>
      </c>
      <c r="N422" s="3" t="s">
        <v>10004</v>
      </c>
    </row>
    <row r="423">
      <c r="A423" s="3" t="s">
        <v>10425</v>
      </c>
      <c r="B423" s="4" t="str">
        <f>C423 &amp; " -&gt; " &amp; D423</f>
        <v>principal-notification-publisher -&gt; Recipients.MobileNumber</v>
      </c>
      <c r="C423" s="3" t="s">
        <v>9770</v>
      </c>
      <c r="D423" s="3" t="s">
        <v>4419</v>
      </c>
      <c r="E423" s="3" t="b">
        <v>1</v>
      </c>
      <c r="F423" s="3" t="b">
        <v>0</v>
      </c>
      <c r="G423" s="3" t="s">
        <v>10003</v>
      </c>
      <c r="H423" s="4" t="str">
        <f>_xlfn.IFNA(IF(((INDEX(RulebookFields!C2:C1898, MATCH(D423,RulebookFields!A2:A1898, 0))="")=TRUE),  "",  INDEX(RulebookFields!C2:C1898, MATCH(D423,RulebookFields!A2:A1898, 0))), "")</f>
        <v>Recipients</v>
      </c>
      <c r="I423" s="4" t="str">
        <f>_xlfn.IFNA(IF(((INDEX(RulebookFields!D2:D1898, MATCH(D423,RulebookFields!A2:A1898, 0))="")=TRUE),  "",  INDEX(RulebookFields!D2:D1898, MATCH(D423,RulebookFields!A2:A1898, 0))), "")</f>
        <v>MobileNumber</v>
      </c>
      <c r="J423" s="4" t="b">
        <f>_xlfn.IFNA(IF(((INDEX(RulebookFields!I2:I1898, MATCH(D423,RulebookFields!A2:A1898, 0))="")=TRUE),  "",  INDEX(RulebookFields!I2:I1898, MATCH(D423,RulebookFields!A2:A1898, 0))), "")</f>
        <v>0</v>
      </c>
      <c r="K423" s="4" t="b">
        <f>AND(((F423)=TRUE), ((J423)=TRUE))</f>
        <v>0</v>
      </c>
      <c r="L423" s="4" t="b">
        <f>AND(((G423 &lt;&gt; "plain")=TRUE), ((G423 &lt;&gt; "")=TRUE))</f>
        <v>0</v>
      </c>
      <c r="M423" s="4" t="str">
        <f>IF(((E423)=TRUE),  C423 &amp; "|" &amp; H423,  "")</f>
        <v>principal-notification-publisher|Recipients</v>
      </c>
      <c r="N423" s="3" t="s">
        <v>10004</v>
      </c>
    </row>
    <row r="424">
      <c r="A424" s="3" t="s">
        <v>10426</v>
      </c>
      <c r="B424" s="4" t="str">
        <f>C424 &amp; " -&gt; " &amp; D424</f>
        <v>principal-notification-publisher -&gt; Recipients.SmsConsentStatus</v>
      </c>
      <c r="C424" s="3" t="s">
        <v>9770</v>
      </c>
      <c r="D424" s="3" t="s">
        <v>4421</v>
      </c>
      <c r="E424" s="3" t="b">
        <v>1</v>
      </c>
      <c r="F424" s="3" t="b">
        <v>0</v>
      </c>
      <c r="G424" s="3" t="s">
        <v>10003</v>
      </c>
      <c r="H424" s="4" t="str">
        <f>_xlfn.IFNA(IF(((INDEX(RulebookFields!C2:C1898, MATCH(D424,RulebookFields!A2:A1898, 0))="")=TRUE),  "",  INDEX(RulebookFields!C2:C1898, MATCH(D424,RulebookFields!A2:A1898, 0))), "")</f>
        <v>Recipients</v>
      </c>
      <c r="I424" s="4" t="str">
        <f>_xlfn.IFNA(IF(((INDEX(RulebookFields!D2:D1898, MATCH(D424,RulebookFields!A2:A1898, 0))="")=TRUE),  "",  INDEX(RulebookFields!D2:D1898, MATCH(D424,RulebookFields!A2:A1898, 0))), "")</f>
        <v>SmsConsentStatus</v>
      </c>
      <c r="J424" s="4" t="b">
        <f>_xlfn.IFNA(IF(((INDEX(RulebookFields!I2:I1898, MATCH(D424,RulebookFields!A2:A1898, 0))="")=TRUE),  "",  INDEX(RulebookFields!I2:I1898, MATCH(D424,RulebookFields!A2:A1898, 0))), "")</f>
        <v>0</v>
      </c>
      <c r="K424" s="4" t="b">
        <f>AND(((F424)=TRUE), ((J424)=TRUE))</f>
        <v>0</v>
      </c>
      <c r="L424" s="4" t="b">
        <f>AND(((G424 &lt;&gt; "plain")=TRUE), ((G424 &lt;&gt; "")=TRUE))</f>
        <v>0</v>
      </c>
      <c r="M424" s="4" t="str">
        <f>IF(((E424)=TRUE),  C424 &amp; "|" &amp; H424,  "")</f>
        <v>principal-notification-publisher|Recipients</v>
      </c>
      <c r="N424" s="3" t="s">
        <v>10004</v>
      </c>
    </row>
    <row r="425">
      <c r="A425" s="3" t="s">
        <v>10427</v>
      </c>
      <c r="B425" s="4" t="str">
        <f>C425 &amp; " -&gt; " &amp; D425</f>
        <v>principal-notification-publisher -&gt; Recipients.Name</v>
      </c>
      <c r="C425" s="3" t="s">
        <v>9770</v>
      </c>
      <c r="D425" s="3" t="s">
        <v>4414</v>
      </c>
      <c r="E425" s="3" t="b">
        <v>1</v>
      </c>
      <c r="F425" s="3" t="b">
        <v>0</v>
      </c>
      <c r="G425" s="3" t="s">
        <v>10003</v>
      </c>
      <c r="H425" s="4" t="str">
        <f>_xlfn.IFNA(IF(((INDEX(RulebookFields!C2:C1898, MATCH(D425,RulebookFields!A2:A1898, 0))="")=TRUE),  "",  INDEX(RulebookFields!C2:C1898, MATCH(D425,RulebookFields!A2:A1898, 0))), "")</f>
        <v>Recipients</v>
      </c>
      <c r="I425" s="4" t="str">
        <f>_xlfn.IFNA(IF(((INDEX(RulebookFields!D2:D1898, MATCH(D425,RulebookFields!A2:A1898, 0))="")=TRUE),  "",  INDEX(RulebookFields!D2:D1898, MATCH(D425,RulebookFields!A2:A1898, 0))), "")</f>
        <v>Name</v>
      </c>
      <c r="J425" s="4" t="b">
        <f>_xlfn.IFNA(IF(((INDEX(RulebookFields!I2:I1898, MATCH(D425,RulebookFields!A2:A1898, 0))="")=TRUE),  "",  INDEX(RulebookFields!I2:I1898, MATCH(D425,RulebookFields!A2:A1898, 0))), "")</f>
        <v>1</v>
      </c>
      <c r="K425" s="4" t="b">
        <f>AND(((F425)=TRUE), ((J425)=TRUE))</f>
        <v>0</v>
      </c>
      <c r="L425" s="4" t="b">
        <f>AND(((G425 &lt;&gt; "plain")=TRUE), ((G425 &lt;&gt; "")=TRUE))</f>
        <v>0</v>
      </c>
      <c r="M425" s="4" t="str">
        <f>IF(((E425)=TRUE),  C425 &amp; "|" &amp; H425,  "")</f>
        <v>principal-notification-publisher|Recipients</v>
      </c>
      <c r="N425" s="3" t="s">
        <v>10004</v>
      </c>
    </row>
    <row r="426">
      <c r="A426" s="3" t="s">
        <v>10428</v>
      </c>
      <c r="B426" s="4" t="str">
        <f>C426 &amp; " -&gt; " &amp; D426</f>
        <v>principal-notification-publisher -&gt; Steps.StepId</v>
      </c>
      <c r="C426" s="3" t="s">
        <v>9770</v>
      </c>
      <c r="D426" s="3" t="s">
        <v>2870</v>
      </c>
      <c r="E426" s="3" t="b">
        <v>1</v>
      </c>
      <c r="F426" s="3" t="b">
        <v>0</v>
      </c>
      <c r="G426" s="3" t="s">
        <v>10003</v>
      </c>
      <c r="H426" s="4" t="str">
        <f>_xlfn.IFNA(IF(((INDEX(RulebookFields!C2:C1898, MATCH(D426,RulebookFields!A2:A1898, 0))="")=TRUE),  "",  INDEX(RulebookFields!C2:C1898, MATCH(D426,RulebookFields!A2:A1898, 0))), "")</f>
        <v>Steps</v>
      </c>
      <c r="I426" s="4" t="str">
        <f>_xlfn.IFNA(IF(((INDEX(RulebookFields!D2:D1898, MATCH(D426,RulebookFields!A2:A1898, 0))="")=TRUE),  "",  INDEX(RulebookFields!D2:D1898, MATCH(D426,RulebookFields!A2:A1898, 0))), "")</f>
        <v>StepId</v>
      </c>
      <c r="J426" s="4" t="b">
        <f>_xlfn.IFNA(IF(((INDEX(RulebookFields!I2:I1898, MATCH(D426,RulebookFields!A2:A1898, 0))="")=TRUE),  "",  INDEX(RulebookFields!I2:I1898, MATCH(D426,RulebookFields!A2:A1898, 0))), "")</f>
        <v>0</v>
      </c>
      <c r="K426" s="4" t="b">
        <f>AND(((F426)=TRUE), ((J426)=TRUE))</f>
        <v>0</v>
      </c>
      <c r="L426" s="4" t="b">
        <f>AND(((G426 &lt;&gt; "plain")=TRUE), ((G426 &lt;&gt; "")=TRUE))</f>
        <v>0</v>
      </c>
      <c r="M426" s="4" t="str">
        <f>IF(((E426)=TRUE),  C426 &amp; "|" &amp; H426,  "")</f>
        <v>principal-notification-publisher|Steps</v>
      </c>
      <c r="N426" s="3" t="s">
        <v>10004</v>
      </c>
    </row>
    <row r="427">
      <c r="A427" s="3" t="s">
        <v>10429</v>
      </c>
      <c r="B427" s="4" t="str">
        <f>C427 &amp; " -&gt; " &amp; D427</f>
        <v>principal-notification-publisher -&gt; Steps.StepNumber</v>
      </c>
      <c r="C427" s="3" t="s">
        <v>9770</v>
      </c>
      <c r="D427" s="3" t="s">
        <v>2874</v>
      </c>
      <c r="E427" s="3" t="b">
        <v>1</v>
      </c>
      <c r="F427" s="3" t="b">
        <v>0</v>
      </c>
      <c r="G427" s="3" t="s">
        <v>10003</v>
      </c>
      <c r="H427" s="4" t="str">
        <f>_xlfn.IFNA(IF(((INDEX(RulebookFields!C2:C1898, MATCH(D427,RulebookFields!A2:A1898, 0))="")=TRUE),  "",  INDEX(RulebookFields!C2:C1898, MATCH(D427,RulebookFields!A2:A1898, 0))), "")</f>
        <v>Steps</v>
      </c>
      <c r="I427" s="4" t="str">
        <f>_xlfn.IFNA(IF(((INDEX(RulebookFields!D2:D1898, MATCH(D427,RulebookFields!A2:A1898, 0))="")=TRUE),  "",  INDEX(RulebookFields!D2:D1898, MATCH(D427,RulebookFields!A2:A1898, 0))), "")</f>
        <v>StepNumber</v>
      </c>
      <c r="J427" s="4" t="b">
        <f>_xlfn.IFNA(IF(((INDEX(RulebookFields!I2:I1898, MATCH(D427,RulebookFields!A2:A1898, 0))="")=TRUE),  "",  INDEX(RulebookFields!I2:I1898, MATCH(D427,RulebookFields!A2:A1898, 0))), "")</f>
        <v>0</v>
      </c>
      <c r="K427" s="4" t="b">
        <f>AND(((F427)=TRUE), ((J427)=TRUE))</f>
        <v>0</v>
      </c>
      <c r="L427" s="4" t="b">
        <f>AND(((G427 &lt;&gt; "plain")=TRUE), ((G427 &lt;&gt; "")=TRUE))</f>
        <v>0</v>
      </c>
      <c r="M427" s="4" t="str">
        <f>IF(((E427)=TRUE),  C427 &amp; "|" &amp; H427,  "")</f>
        <v>principal-notification-publisher|Steps</v>
      </c>
      <c r="N427" s="3" t="s">
        <v>10004</v>
      </c>
    </row>
    <row r="428">
      <c r="A428" s="3" t="s">
        <v>10430</v>
      </c>
      <c r="B428" s="4" t="str">
        <f>C428 &amp; " -&gt; " &amp; D428</f>
        <v>principal-notification-publisher -&gt; Steps.Title</v>
      </c>
      <c r="C428" s="3" t="s">
        <v>9770</v>
      </c>
      <c r="D428" s="3" t="s">
        <v>2875</v>
      </c>
      <c r="E428" s="3" t="b">
        <v>1</v>
      </c>
      <c r="F428" s="3" t="b">
        <v>0</v>
      </c>
      <c r="G428" s="3" t="s">
        <v>10003</v>
      </c>
      <c r="H428" s="4" t="str">
        <f>_xlfn.IFNA(IF(((INDEX(RulebookFields!C2:C1898, MATCH(D428,RulebookFields!A2:A1898, 0))="")=TRUE),  "",  INDEX(RulebookFields!C2:C1898, MATCH(D428,RulebookFields!A2:A1898, 0))), "")</f>
        <v>Steps</v>
      </c>
      <c r="I428" s="4" t="str">
        <f>_xlfn.IFNA(IF(((INDEX(RulebookFields!D2:D1898, MATCH(D428,RulebookFields!A2:A1898, 0))="")=TRUE),  "",  INDEX(RulebookFields!D2:D1898, MATCH(D428,RulebookFields!A2:A1898, 0))), "")</f>
        <v>Title</v>
      </c>
      <c r="J428" s="4" t="b">
        <f>_xlfn.IFNA(IF(((INDEX(RulebookFields!I2:I1898, MATCH(D428,RulebookFields!A2:A1898, 0))="")=TRUE),  "",  INDEX(RulebookFields!I2:I1898, MATCH(D428,RulebookFields!A2:A1898, 0))), "")</f>
        <v>0</v>
      </c>
      <c r="K428" s="4" t="b">
        <f>AND(((F428)=TRUE), ((J428)=TRUE))</f>
        <v>0</v>
      </c>
      <c r="L428" s="4" t="b">
        <f>AND(((G428 &lt;&gt; "plain")=TRUE), ((G428 &lt;&gt; "")=TRUE))</f>
        <v>0</v>
      </c>
      <c r="M428" s="4" t="str">
        <f>IF(((E428)=TRUE),  C428 &amp; "|" &amp; H428,  "")</f>
        <v>principal-notification-publisher|Steps</v>
      </c>
      <c r="N428" s="3" t="s">
        <v>10004</v>
      </c>
    </row>
    <row r="429">
      <c r="A429" s="3" t="s">
        <v>10431</v>
      </c>
      <c r="B429" s="4" t="str">
        <f>C429 &amp; " -&gt; " &amp; D429</f>
        <v>principal-notification-publisher -&gt; Steps.StepKind</v>
      </c>
      <c r="C429" s="3" t="s">
        <v>9770</v>
      </c>
      <c r="D429" s="3" t="s">
        <v>2876</v>
      </c>
      <c r="E429" s="3" t="b">
        <v>1</v>
      </c>
      <c r="F429" s="3" t="b">
        <v>0</v>
      </c>
      <c r="G429" s="3" t="s">
        <v>10003</v>
      </c>
      <c r="H429" s="4" t="str">
        <f>_xlfn.IFNA(IF(((INDEX(RulebookFields!C2:C1898, MATCH(D429,RulebookFields!A2:A1898, 0))="")=TRUE),  "",  INDEX(RulebookFields!C2:C1898, MATCH(D429,RulebookFields!A2:A1898, 0))), "")</f>
        <v>Steps</v>
      </c>
      <c r="I429" s="4" t="str">
        <f>_xlfn.IFNA(IF(((INDEX(RulebookFields!D2:D1898, MATCH(D429,RulebookFields!A2:A1898, 0))="")=TRUE),  "",  INDEX(RulebookFields!D2:D1898, MATCH(D429,RulebookFields!A2:A1898, 0))), "")</f>
        <v>StepKind</v>
      </c>
      <c r="J429" s="4" t="b">
        <f>_xlfn.IFNA(IF(((INDEX(RulebookFields!I2:I1898, MATCH(D429,RulebookFields!A2:A1898, 0))="")=TRUE),  "",  INDEX(RulebookFields!I2:I1898, MATCH(D429,RulebookFields!A2:A1898, 0))), "")</f>
        <v>0</v>
      </c>
      <c r="K429" s="4" t="b">
        <f>AND(((F429)=TRUE), ((J429)=TRUE))</f>
        <v>0</v>
      </c>
      <c r="L429" s="4" t="b">
        <f>AND(((G429 &lt;&gt; "plain")=TRUE), ((G429 &lt;&gt; "")=TRUE))</f>
        <v>0</v>
      </c>
      <c r="M429" s="4" t="str">
        <f>IF(((E429)=TRUE),  C429 &amp; "|" &amp; H429,  "")</f>
        <v>principal-notification-publisher|Steps</v>
      </c>
      <c r="N429" s="3" t="s">
        <v>10004</v>
      </c>
    </row>
    <row r="430">
      <c r="A430" s="3" t="s">
        <v>10432</v>
      </c>
      <c r="B430" s="4" t="str">
        <f>C430 &amp; " -&gt; " &amp; D430</f>
        <v>principal-notification-publisher -&gt; Steps.Instruction</v>
      </c>
      <c r="C430" s="3" t="s">
        <v>9770</v>
      </c>
      <c r="D430" s="3" t="s">
        <v>2882</v>
      </c>
      <c r="E430" s="3" t="b">
        <v>1</v>
      </c>
      <c r="F430" s="3" t="b">
        <v>0</v>
      </c>
      <c r="G430" s="3" t="s">
        <v>10003</v>
      </c>
      <c r="H430" s="4" t="str">
        <f>_xlfn.IFNA(IF(((INDEX(RulebookFields!C2:C1898, MATCH(D430,RulebookFields!A2:A1898, 0))="")=TRUE),  "",  INDEX(RulebookFields!C2:C1898, MATCH(D430,RulebookFields!A2:A1898, 0))), "")</f>
        <v>Steps</v>
      </c>
      <c r="I430" s="4" t="str">
        <f>_xlfn.IFNA(IF(((INDEX(RulebookFields!D2:D1898, MATCH(D430,RulebookFields!A2:A1898, 0))="")=TRUE),  "",  INDEX(RulebookFields!D2:D1898, MATCH(D430,RulebookFields!A2:A1898, 0))), "")</f>
        <v>Instruction</v>
      </c>
      <c r="J430" s="4" t="b">
        <f>_xlfn.IFNA(IF(((INDEX(RulebookFields!I2:I1898, MATCH(D430,RulebookFields!A2:A1898, 0))="")=TRUE),  "",  INDEX(RulebookFields!I2:I1898, MATCH(D430,RulebookFields!A2:A1898, 0))), "")</f>
        <v>0</v>
      </c>
      <c r="K430" s="4" t="b">
        <f>AND(((F430)=TRUE), ((J430)=TRUE))</f>
        <v>0</v>
      </c>
      <c r="L430" s="4" t="b">
        <f>AND(((G430 &lt;&gt; "plain")=TRUE), ((G430 &lt;&gt; "")=TRUE))</f>
        <v>0</v>
      </c>
      <c r="M430" s="4" t="str">
        <f>IF(((E430)=TRUE),  C430 &amp; "|" &amp; H430,  "")</f>
        <v>principal-notification-publisher|Steps</v>
      </c>
      <c r="N430" s="3" t="s">
        <v>10004</v>
      </c>
    </row>
    <row r="431">
      <c r="A431" s="3" t="s">
        <v>10433</v>
      </c>
      <c r="B431" s="4" t="str">
        <f>C431 &amp; " -&gt; " &amp; D431</f>
        <v>principal-notification-publisher -&gt; Steps.AssignedRole</v>
      </c>
      <c r="C431" s="3" t="s">
        <v>9770</v>
      </c>
      <c r="D431" s="3" t="s">
        <v>2877</v>
      </c>
      <c r="E431" s="3" t="b">
        <v>1</v>
      </c>
      <c r="F431" s="3" t="b">
        <v>0</v>
      </c>
      <c r="G431" s="3" t="s">
        <v>10003</v>
      </c>
      <c r="H431" s="4" t="str">
        <f>_xlfn.IFNA(IF(((INDEX(RulebookFields!C2:C1898, MATCH(D431,RulebookFields!A2:A1898, 0))="")=TRUE),  "",  INDEX(RulebookFields!C2:C1898, MATCH(D431,RulebookFields!A2:A1898, 0))), "")</f>
        <v>Steps</v>
      </c>
      <c r="I431" s="4" t="str">
        <f>_xlfn.IFNA(IF(((INDEX(RulebookFields!D2:D1898, MATCH(D431,RulebookFields!A2:A1898, 0))="")=TRUE),  "",  INDEX(RulebookFields!D2:D1898, MATCH(D431,RulebookFields!A2:A1898, 0))), "")</f>
        <v>AssignedRole</v>
      </c>
      <c r="J431" s="4" t="b">
        <f>_xlfn.IFNA(IF(((INDEX(RulebookFields!I2:I1898, MATCH(D431,RulebookFields!A2:A1898, 0))="")=TRUE),  "",  INDEX(RulebookFields!I2:I1898, MATCH(D431,RulebookFields!A2:A1898, 0))), "")</f>
        <v>0</v>
      </c>
      <c r="K431" s="4" t="b">
        <f>AND(((F431)=TRUE), ((J431)=TRUE))</f>
        <v>0</v>
      </c>
      <c r="L431" s="4" t="b">
        <f>AND(((G431 &lt;&gt; "plain")=TRUE), ((G431 &lt;&gt; "")=TRUE))</f>
        <v>0</v>
      </c>
      <c r="M431" s="4" t="str">
        <f>IF(((E431)=TRUE),  C431 &amp; "|" &amp; H431,  "")</f>
        <v>principal-notification-publisher|Steps</v>
      </c>
      <c r="N431" s="3" t="s">
        <v>10004</v>
      </c>
    </row>
    <row r="432">
      <c r="A432" s="3" t="s">
        <v>10434</v>
      </c>
      <c r="B432" s="4" t="str">
        <f>C432 &amp; " -&gt; " &amp; D432</f>
        <v>principal-notification-publisher -&gt; Steps.AssignedRoleLabel</v>
      </c>
      <c r="C432" s="3" t="s">
        <v>9770</v>
      </c>
      <c r="D432" s="3" t="s">
        <v>2878</v>
      </c>
      <c r="E432" s="3" t="b">
        <v>1</v>
      </c>
      <c r="F432" s="3" t="b">
        <v>0</v>
      </c>
      <c r="G432" s="3" t="s">
        <v>10003</v>
      </c>
      <c r="H432" s="4" t="str">
        <f>_xlfn.IFNA(IF(((INDEX(RulebookFields!C2:C1898, MATCH(D432,RulebookFields!A2:A1898, 0))="")=TRUE),  "",  INDEX(RulebookFields!C2:C1898, MATCH(D432,RulebookFields!A2:A1898, 0))), "")</f>
        <v>Steps</v>
      </c>
      <c r="I432" s="4" t="str">
        <f>_xlfn.IFNA(IF(((INDEX(RulebookFields!D2:D1898, MATCH(D432,RulebookFields!A2:A1898, 0))="")=TRUE),  "",  INDEX(RulebookFields!D2:D1898, MATCH(D432,RulebookFields!A2:A1898, 0))), "")</f>
        <v>AssignedRoleLabel</v>
      </c>
      <c r="J432" s="4" t="b">
        <f>_xlfn.IFNA(IF(((INDEX(RulebookFields!I2:I1898, MATCH(D432,RulebookFields!A2:A1898, 0))="")=TRUE),  "",  INDEX(RulebookFields!I2:I1898, MATCH(D432,RulebookFields!A2:A1898, 0))), "")</f>
        <v>1</v>
      </c>
      <c r="K432" s="4" t="b">
        <f>AND(((F432)=TRUE), ((J432)=TRUE))</f>
        <v>0</v>
      </c>
      <c r="L432" s="4" t="b">
        <f>AND(((G432 &lt;&gt; "plain")=TRUE), ((G432 &lt;&gt; "")=TRUE))</f>
        <v>0</v>
      </c>
      <c r="M432" s="4" t="str">
        <f>IF(((E432)=TRUE),  C432 &amp; "|" &amp; H432,  "")</f>
        <v>principal-notification-publisher|Steps</v>
      </c>
      <c r="N432" s="3" t="s">
        <v>10004</v>
      </c>
    </row>
    <row r="433">
      <c r="A433" s="3" t="s">
        <v>10435</v>
      </c>
      <c r="B433" s="4" t="str">
        <f>C433 &amp; " -&gt; " &amp; D433</f>
        <v>principal-notification-publisher -&gt; Steps.ProcedureVersion</v>
      </c>
      <c r="C433" s="3" t="s">
        <v>9770</v>
      </c>
      <c r="D433" s="3" t="s">
        <v>2873</v>
      </c>
      <c r="E433" s="3" t="b">
        <v>1</v>
      </c>
      <c r="F433" s="3" t="b">
        <v>0</v>
      </c>
      <c r="G433" s="3" t="s">
        <v>10003</v>
      </c>
      <c r="H433" s="4" t="str">
        <f>_xlfn.IFNA(IF(((INDEX(RulebookFields!C2:C1898, MATCH(D433,RulebookFields!A2:A1898, 0))="")=TRUE),  "",  INDEX(RulebookFields!C2:C1898, MATCH(D433,RulebookFields!A2:A1898, 0))), "")</f>
        <v>Steps</v>
      </c>
      <c r="I433" s="4" t="str">
        <f>_xlfn.IFNA(IF(((INDEX(RulebookFields!D2:D1898, MATCH(D433,RulebookFields!A2:A1898, 0))="")=TRUE),  "",  INDEX(RulebookFields!D2:D1898, MATCH(D433,RulebookFields!A2:A1898, 0))), "")</f>
        <v>ProcedureVersion</v>
      </c>
      <c r="J433" s="4" t="b">
        <f>_xlfn.IFNA(IF(((INDEX(RulebookFields!I2:I1898, MATCH(D433,RulebookFields!A2:A1898, 0))="")=TRUE),  "",  INDEX(RulebookFields!I2:I1898, MATCH(D433,RulebookFields!A2:A1898, 0))), "")</f>
        <v>0</v>
      </c>
      <c r="K433" s="4" t="b">
        <f>AND(((F433)=TRUE), ((J433)=TRUE))</f>
        <v>0</v>
      </c>
      <c r="L433" s="4" t="b">
        <f>AND(((G433 &lt;&gt; "plain")=TRUE), ((G433 &lt;&gt; "")=TRUE))</f>
        <v>0</v>
      </c>
      <c r="M433" s="4" t="str">
        <f>IF(((E433)=TRUE),  C433 &amp; "|" &amp; H433,  "")</f>
        <v>principal-notification-publisher|Steps</v>
      </c>
      <c r="N433" s="3" t="s">
        <v>10004</v>
      </c>
    </row>
    <row r="434">
      <c r="A434" s="3" t="s">
        <v>10436</v>
      </c>
      <c r="B434" s="4" t="str">
        <f>C434 &amp; " -&gt; " &amp; D434</f>
        <v>principal-notification-publisher -&gt; Steps.Name</v>
      </c>
      <c r="C434" s="3" t="s">
        <v>9770</v>
      </c>
      <c r="D434" s="3" t="s">
        <v>2871</v>
      </c>
      <c r="E434" s="3" t="b">
        <v>1</v>
      </c>
      <c r="F434" s="3" t="b">
        <v>0</v>
      </c>
      <c r="G434" s="3" t="s">
        <v>10003</v>
      </c>
      <c r="H434" s="4" t="str">
        <f>_xlfn.IFNA(IF(((INDEX(RulebookFields!C2:C1898, MATCH(D434,RulebookFields!A2:A1898, 0))="")=TRUE),  "",  INDEX(RulebookFields!C2:C1898, MATCH(D434,RulebookFields!A2:A1898, 0))), "")</f>
        <v>Steps</v>
      </c>
      <c r="I434" s="4" t="str">
        <f>_xlfn.IFNA(IF(((INDEX(RulebookFields!D2:D1898, MATCH(D434,RulebookFields!A2:A1898, 0))="")=TRUE),  "",  INDEX(RulebookFields!D2:D1898, MATCH(D434,RulebookFields!A2:A1898, 0))), "")</f>
        <v>Name</v>
      </c>
      <c r="J434" s="4" t="b">
        <f>_xlfn.IFNA(IF(((INDEX(RulebookFields!I2:I1898, MATCH(D434,RulebookFields!A2:A1898, 0))="")=TRUE),  "",  INDEX(RulebookFields!I2:I1898, MATCH(D434,RulebookFields!A2:A1898, 0))), "")</f>
        <v>1</v>
      </c>
      <c r="K434" s="4" t="b">
        <f>AND(((F434)=TRUE), ((J434)=TRUE))</f>
        <v>0</v>
      </c>
      <c r="L434" s="4" t="b">
        <f>AND(((G434 &lt;&gt; "plain")=TRUE), ((G434 &lt;&gt; "")=TRUE))</f>
        <v>0</v>
      </c>
      <c r="M434" s="4" t="str">
        <f>IF(((E434)=TRUE),  C434 &amp; "|" &amp; H434,  "")</f>
        <v>principal-notification-publisher|Steps</v>
      </c>
      <c r="N434" s="3" t="s">
        <v>10004</v>
      </c>
    </row>
    <row r="435">
      <c r="A435" s="3" t="s">
        <v>10437</v>
      </c>
      <c r="B435" s="4" t="str">
        <f>C435 &amp; " -&gt; " &amp; D435</f>
        <v>principal-process-steward -&gt; Actions.ActionId</v>
      </c>
      <c r="C435" s="3" t="s">
        <v>9772</v>
      </c>
      <c r="D435" s="3" t="s">
        <v>3011</v>
      </c>
      <c r="E435" s="3" t="b">
        <v>1</v>
      </c>
      <c r="F435" s="3" t="b">
        <v>0</v>
      </c>
      <c r="G435" s="3" t="s">
        <v>10003</v>
      </c>
      <c r="H435" s="4" t="str">
        <f>_xlfn.IFNA(IF(((INDEX(RulebookFields!C2:C1898, MATCH(D435,RulebookFields!A2:A1898, 0))="")=TRUE),  "",  INDEX(RulebookFields!C2:C1898, MATCH(D435,RulebookFields!A2:A1898, 0))), "")</f>
        <v>Actions</v>
      </c>
      <c r="I435" s="4" t="str">
        <f>_xlfn.IFNA(IF(((INDEX(RulebookFields!D2:D1898, MATCH(D435,RulebookFields!A2:A1898, 0))="")=TRUE),  "",  INDEX(RulebookFields!D2:D1898, MATCH(D435,RulebookFields!A2:A1898, 0))), "")</f>
        <v>ActionId</v>
      </c>
      <c r="J435" s="4" t="b">
        <f>_xlfn.IFNA(IF(((INDEX(RulebookFields!I2:I1898, MATCH(D435,RulebookFields!A2:A1898, 0))="")=TRUE),  "",  INDEX(RulebookFields!I2:I1898, MATCH(D435,RulebookFields!A2:A1898, 0))), "")</f>
        <v>0</v>
      </c>
      <c r="K435" s="4" t="b">
        <f>AND(((F435)=TRUE), ((J435)=TRUE))</f>
        <v>0</v>
      </c>
      <c r="L435" s="4" t="b">
        <f>AND(((G435 &lt;&gt; "plain")=TRUE), ((G435 &lt;&gt; "")=TRUE))</f>
        <v>0</v>
      </c>
      <c r="M435" s="4" t="str">
        <f>IF(((E435)=TRUE),  C435 &amp; "|" &amp; H435,  "")</f>
        <v>principal-process-steward|Actions</v>
      </c>
      <c r="N435" s="3" t="s">
        <v>10004</v>
      </c>
    </row>
    <row r="436">
      <c r="A436" s="3" t="s">
        <v>10438</v>
      </c>
      <c r="B436" s="4" t="str">
        <f>C436 &amp; " -&gt; " &amp; D436</f>
        <v>principal-process-steward -&gt; Actions.Name</v>
      </c>
      <c r="C436" s="3" t="s">
        <v>9772</v>
      </c>
      <c r="D436" s="3" t="s">
        <v>3012</v>
      </c>
      <c r="E436" s="3" t="b">
        <v>1</v>
      </c>
      <c r="F436" s="3" t="b">
        <v>0</v>
      </c>
      <c r="G436" s="3" t="s">
        <v>10003</v>
      </c>
      <c r="H436" s="4" t="str">
        <f>_xlfn.IFNA(IF(((INDEX(RulebookFields!C2:C1898, MATCH(D436,RulebookFields!A2:A1898, 0))="")=TRUE),  "",  INDEX(RulebookFields!C2:C1898, MATCH(D436,RulebookFields!A2:A1898, 0))), "")</f>
        <v>Actions</v>
      </c>
      <c r="I436" s="4" t="str">
        <f>_xlfn.IFNA(IF(((INDEX(RulebookFields!D2:D1898, MATCH(D436,RulebookFields!A2:A1898, 0))="")=TRUE),  "",  INDEX(RulebookFields!D2:D1898, MATCH(D436,RulebookFields!A2:A1898, 0))), "")</f>
        <v>Name</v>
      </c>
      <c r="J436" s="4" t="b">
        <f>_xlfn.IFNA(IF(((INDEX(RulebookFields!I2:I1898, MATCH(D436,RulebookFields!A2:A1898, 0))="")=TRUE),  "",  INDEX(RulebookFields!I2:I1898, MATCH(D436,RulebookFields!A2:A1898, 0))), "")</f>
        <v>1</v>
      </c>
      <c r="K436" s="4" t="b">
        <f>AND(((F436)=TRUE), ((J436)=TRUE))</f>
        <v>0</v>
      </c>
      <c r="L436" s="4" t="b">
        <f>AND(((G436 &lt;&gt; "plain")=TRUE), ((G436 &lt;&gt; "")=TRUE))</f>
        <v>0</v>
      </c>
      <c r="M436" s="4" t="str">
        <f>IF(((E436)=TRUE),  C436 &amp; "|" &amp; H436,  "")</f>
        <v>principal-process-steward|Actions</v>
      </c>
      <c r="N436" s="3" t="s">
        <v>10004</v>
      </c>
    </row>
    <row r="437">
      <c r="A437" s="3" t="s">
        <v>10439</v>
      </c>
      <c r="B437" s="4" t="str">
        <f>C437 &amp; " -&gt; " &amp; D437</f>
        <v>principal-process-steward -&gt; Actions.Label</v>
      </c>
      <c r="C437" s="3" t="s">
        <v>9772</v>
      </c>
      <c r="D437" s="3" t="s">
        <v>3013</v>
      </c>
      <c r="E437" s="3" t="b">
        <v>1</v>
      </c>
      <c r="F437" s="3" t="b">
        <v>0</v>
      </c>
      <c r="G437" s="3" t="s">
        <v>10003</v>
      </c>
      <c r="H437" s="4" t="str">
        <f>_xlfn.IFNA(IF(((INDEX(RulebookFields!C2:C1898, MATCH(D437,RulebookFields!A2:A1898, 0))="")=TRUE),  "",  INDEX(RulebookFields!C2:C1898, MATCH(D437,RulebookFields!A2:A1898, 0))), "")</f>
        <v>Actions</v>
      </c>
      <c r="I437" s="4" t="str">
        <f>_xlfn.IFNA(IF(((INDEX(RulebookFields!D2:D1898, MATCH(D437,RulebookFields!A2:A1898, 0))="")=TRUE),  "",  INDEX(RulebookFields!D2:D1898, MATCH(D437,RulebookFields!A2:A1898, 0))), "")</f>
        <v>Label</v>
      </c>
      <c r="J437" s="4" t="b">
        <f>_xlfn.IFNA(IF(((INDEX(RulebookFields!I2:I1898, MATCH(D437,RulebookFields!A2:A1898, 0))="")=TRUE),  "",  INDEX(RulebookFields!I2:I1898, MATCH(D437,RulebookFields!A2:A1898, 0))), "")</f>
        <v>0</v>
      </c>
      <c r="K437" s="4" t="b">
        <f>AND(((F437)=TRUE), ((J437)=TRUE))</f>
        <v>0</v>
      </c>
      <c r="L437" s="4" t="b">
        <f>AND(((G437 &lt;&gt; "plain")=TRUE), ((G437 &lt;&gt; "")=TRUE))</f>
        <v>0</v>
      </c>
      <c r="M437" s="4" t="str">
        <f>IF(((E437)=TRUE),  C437 &amp; "|" &amp; H437,  "")</f>
        <v>principal-process-steward|Actions</v>
      </c>
      <c r="N437" s="3" t="s">
        <v>10004</v>
      </c>
    </row>
    <row r="438">
      <c r="A438" s="3" t="s">
        <v>10440</v>
      </c>
      <c r="B438" s="4" t="str">
        <f>C438 &amp; " -&gt; " &amp; D438</f>
        <v>principal-process-steward -&gt; Actions.Definition</v>
      </c>
      <c r="C438" s="3" t="s">
        <v>9772</v>
      </c>
      <c r="D438" s="3" t="s">
        <v>3014</v>
      </c>
      <c r="E438" s="3" t="b">
        <v>1</v>
      </c>
      <c r="F438" s="3" t="b">
        <v>0</v>
      </c>
      <c r="G438" s="3" t="s">
        <v>10003</v>
      </c>
      <c r="H438" s="4" t="str">
        <f>_xlfn.IFNA(IF(((INDEX(RulebookFields!C2:C1898, MATCH(D438,RulebookFields!A2:A1898, 0))="")=TRUE),  "",  INDEX(RulebookFields!C2:C1898, MATCH(D438,RulebookFields!A2:A1898, 0))), "")</f>
        <v>Actions</v>
      </c>
      <c r="I438" s="4" t="str">
        <f>_xlfn.IFNA(IF(((INDEX(RulebookFields!D2:D1898, MATCH(D438,RulebookFields!A2:A1898, 0))="")=TRUE),  "",  INDEX(RulebookFields!D2:D1898, MATCH(D438,RulebookFields!A2:A1898, 0))), "")</f>
        <v>Definition</v>
      </c>
      <c r="J438" s="4" t="b">
        <f>_xlfn.IFNA(IF(((INDEX(RulebookFields!I2:I1898, MATCH(D438,RulebookFields!A2:A1898, 0))="")=TRUE),  "",  INDEX(RulebookFields!I2:I1898, MATCH(D438,RulebookFields!A2:A1898, 0))), "")</f>
        <v>0</v>
      </c>
      <c r="K438" s="4" t="b">
        <f>AND(((F438)=TRUE), ((J438)=TRUE))</f>
        <v>0</v>
      </c>
      <c r="L438" s="4" t="b">
        <f>AND(((G438 &lt;&gt; "plain")=TRUE), ((G438 &lt;&gt; "")=TRUE))</f>
        <v>0</v>
      </c>
      <c r="M438" s="4" t="str">
        <f>IF(((E438)=TRUE),  C438 &amp; "|" &amp; H438,  "")</f>
        <v>principal-process-steward|Actions</v>
      </c>
      <c r="N438" s="3" t="s">
        <v>10004</v>
      </c>
    </row>
    <row r="439">
      <c r="A439" s="3" t="s">
        <v>10441</v>
      </c>
      <c r="B439" s="4" t="str">
        <f>C439 &amp; " -&gt; " &amp; D439</f>
        <v>principal-process-steward -&gt; Actions.SemanticTypeIri</v>
      </c>
      <c r="C439" s="3" t="s">
        <v>9772</v>
      </c>
      <c r="D439" s="3" t="s">
        <v>3015</v>
      </c>
      <c r="E439" s="3" t="b">
        <v>1</v>
      </c>
      <c r="F439" s="3" t="b">
        <v>0</v>
      </c>
      <c r="G439" s="3" t="s">
        <v>10003</v>
      </c>
      <c r="H439" s="4" t="str">
        <f>_xlfn.IFNA(IF(((INDEX(RulebookFields!C2:C1898, MATCH(D439,RulebookFields!A2:A1898, 0))="")=TRUE),  "",  INDEX(RulebookFields!C2:C1898, MATCH(D439,RulebookFields!A2:A1898, 0))), "")</f>
        <v>Actions</v>
      </c>
      <c r="I439" s="4" t="str">
        <f>_xlfn.IFNA(IF(((INDEX(RulebookFields!D2:D1898, MATCH(D439,RulebookFields!A2:A1898, 0))="")=TRUE),  "",  INDEX(RulebookFields!D2:D1898, MATCH(D439,RulebookFields!A2:A1898, 0))), "")</f>
        <v>SemanticTypeIri</v>
      </c>
      <c r="J439" s="4" t="b">
        <f>_xlfn.IFNA(IF(((INDEX(RulebookFields!I2:I1898, MATCH(D439,RulebookFields!A2:A1898, 0))="")=TRUE),  "",  INDEX(RulebookFields!I2:I1898, MATCH(D439,RulebookFields!A2:A1898, 0))), "")</f>
        <v>0</v>
      </c>
      <c r="K439" s="4" t="b">
        <f>AND(((F439)=TRUE), ((J439)=TRUE))</f>
        <v>0</v>
      </c>
      <c r="L439" s="4" t="b">
        <f>AND(((G439 &lt;&gt; "plain")=TRUE), ((G439 &lt;&gt; "")=TRUE))</f>
        <v>0</v>
      </c>
      <c r="M439" s="4" t="str">
        <f>IF(((E439)=TRUE),  C439 &amp; "|" &amp; H439,  "")</f>
        <v>principal-process-steward|Actions</v>
      </c>
      <c r="N439" s="3" t="s">
        <v>10004</v>
      </c>
    </row>
    <row r="440">
      <c r="A440" s="3" t="s">
        <v>10442</v>
      </c>
      <c r="B440" s="4" t="str">
        <f>C440 &amp; " -&gt; " &amp; D440</f>
        <v>principal-process-steward -&gt; AgentDecisionRecords.AgentDecisionRecordId</v>
      </c>
      <c r="C440" s="3" t="s">
        <v>9772</v>
      </c>
      <c r="D440" s="3" t="s">
        <v>4993</v>
      </c>
      <c r="E440" s="3" t="b">
        <v>1</v>
      </c>
      <c r="F440" s="3" t="b">
        <v>0</v>
      </c>
      <c r="G440" s="3" t="s">
        <v>10003</v>
      </c>
      <c r="H440" s="4" t="str">
        <f>_xlfn.IFNA(IF(((INDEX(RulebookFields!C2:C1898, MATCH(D440,RulebookFields!A2:A1898, 0))="")=TRUE),  "",  INDEX(RulebookFields!C2:C1898, MATCH(D440,RulebookFields!A2:A1898, 0))), "")</f>
        <v>AgentDecisionRecords</v>
      </c>
      <c r="I440" s="4" t="str">
        <f>_xlfn.IFNA(IF(((INDEX(RulebookFields!D2:D1898, MATCH(D440,RulebookFields!A2:A1898, 0))="")=TRUE),  "",  INDEX(RulebookFields!D2:D1898, MATCH(D440,RulebookFields!A2:A1898, 0))), "")</f>
        <v>AgentDecisionRecordId</v>
      </c>
      <c r="J440" s="4" t="b">
        <f>_xlfn.IFNA(IF(((INDEX(RulebookFields!I2:I1898, MATCH(D440,RulebookFields!A2:A1898, 0))="")=TRUE),  "",  INDEX(RulebookFields!I2:I1898, MATCH(D440,RulebookFields!A2:A1898, 0))), "")</f>
        <v>0</v>
      </c>
      <c r="K440" s="4" t="b">
        <f>AND(((F440)=TRUE), ((J440)=TRUE))</f>
        <v>0</v>
      </c>
      <c r="L440" s="4" t="b">
        <f>AND(((G440 &lt;&gt; "plain")=TRUE), ((G440 &lt;&gt; "")=TRUE))</f>
        <v>0</v>
      </c>
      <c r="M440" s="4" t="str">
        <f>IF(((E440)=TRUE),  C440 &amp; "|" &amp; H440,  "")</f>
        <v>principal-process-steward|AgentDecisionRecords</v>
      </c>
      <c r="N440" s="3" t="s">
        <v>10004</v>
      </c>
    </row>
    <row r="441">
      <c r="A441" s="3" t="s">
        <v>10443</v>
      </c>
      <c r="B441" s="4" t="str">
        <f>C441 &amp; " -&gt; " &amp; D441</f>
        <v>principal-process-steward -&gt; AgentDecisionRecords.Name</v>
      </c>
      <c r="C441" s="3" t="s">
        <v>9772</v>
      </c>
      <c r="D441" s="3" t="s">
        <v>4996</v>
      </c>
      <c r="E441" s="3" t="b">
        <v>1</v>
      </c>
      <c r="F441" s="3" t="b">
        <v>0</v>
      </c>
      <c r="G441" s="3" t="s">
        <v>10003</v>
      </c>
      <c r="H441" s="4" t="str">
        <f>_xlfn.IFNA(IF(((INDEX(RulebookFields!C2:C1898, MATCH(D441,RulebookFields!A2:A1898, 0))="")=TRUE),  "",  INDEX(RulebookFields!C2:C1898, MATCH(D441,RulebookFields!A2:A1898, 0))), "")</f>
        <v>AgentDecisionRecords</v>
      </c>
      <c r="I441" s="4" t="str">
        <f>_xlfn.IFNA(IF(((INDEX(RulebookFields!D2:D1898, MATCH(D441,RulebookFields!A2:A1898, 0))="")=TRUE),  "",  INDEX(RulebookFields!D2:D1898, MATCH(D441,RulebookFields!A2:A1898, 0))), "")</f>
        <v>Name</v>
      </c>
      <c r="J441" s="4" t="b">
        <f>_xlfn.IFNA(IF(((INDEX(RulebookFields!I2:I1898, MATCH(D441,RulebookFields!A2:A1898, 0))="")=TRUE),  "",  INDEX(RulebookFields!I2:I1898, MATCH(D441,RulebookFields!A2:A1898, 0))), "")</f>
        <v>1</v>
      </c>
      <c r="K441" s="4" t="b">
        <f>AND(((F441)=TRUE), ((J441)=TRUE))</f>
        <v>0</v>
      </c>
      <c r="L441" s="4" t="b">
        <f>AND(((G441 &lt;&gt; "plain")=TRUE), ((G441 &lt;&gt; "")=TRUE))</f>
        <v>0</v>
      </c>
      <c r="M441" s="4" t="str">
        <f>IF(((E441)=TRUE),  C441 &amp; "|" &amp; H441,  "")</f>
        <v>principal-process-steward|AgentDecisionRecords</v>
      </c>
      <c r="N441" s="3" t="s">
        <v>10004</v>
      </c>
    </row>
    <row r="442">
      <c r="A442" s="3" t="s">
        <v>10444</v>
      </c>
      <c r="B442" s="4" t="str">
        <f>C442 &amp; " -&gt; " &amp; D442</f>
        <v>principal-process-steward -&gt; AgentDecisionRecords.StepExecution</v>
      </c>
      <c r="C442" s="3" t="s">
        <v>9772</v>
      </c>
      <c r="D442" s="3" t="s">
        <v>4998</v>
      </c>
      <c r="E442" s="3" t="b">
        <v>1</v>
      </c>
      <c r="F442" s="3" t="b">
        <v>0</v>
      </c>
      <c r="G442" s="3" t="s">
        <v>10003</v>
      </c>
      <c r="H442" s="4" t="str">
        <f>_xlfn.IFNA(IF(((INDEX(RulebookFields!C2:C1898, MATCH(D442,RulebookFields!A2:A1898, 0))="")=TRUE),  "",  INDEX(RulebookFields!C2:C1898, MATCH(D442,RulebookFields!A2:A1898, 0))), "")</f>
        <v>AgentDecisionRecords</v>
      </c>
      <c r="I442" s="4" t="str">
        <f>_xlfn.IFNA(IF(((INDEX(RulebookFields!D2:D1898, MATCH(D442,RulebookFields!A2:A1898, 0))="")=TRUE),  "",  INDEX(RulebookFields!D2:D1898, MATCH(D442,RulebookFields!A2:A1898, 0))), "")</f>
        <v>StepExecution</v>
      </c>
      <c r="J442" s="4" t="b">
        <f>_xlfn.IFNA(IF(((INDEX(RulebookFields!I2:I1898, MATCH(D442,RulebookFields!A2:A1898, 0))="")=TRUE),  "",  INDEX(RulebookFields!I2:I1898, MATCH(D442,RulebookFields!A2:A1898, 0))), "")</f>
        <v>0</v>
      </c>
      <c r="K442" s="4" t="b">
        <f>AND(((F442)=TRUE), ((J442)=TRUE))</f>
        <v>0</v>
      </c>
      <c r="L442" s="4" t="b">
        <f>AND(((G442 &lt;&gt; "plain")=TRUE), ((G442 &lt;&gt; "")=TRUE))</f>
        <v>0</v>
      </c>
      <c r="M442" s="4" t="str">
        <f>IF(((E442)=TRUE),  C442 &amp; "|" &amp; H442,  "")</f>
        <v>principal-process-steward|AgentDecisionRecords</v>
      </c>
      <c r="N442" s="3" t="s">
        <v>10004</v>
      </c>
    </row>
    <row r="443">
      <c r="A443" s="3" t="s">
        <v>10445</v>
      </c>
      <c r="B443" s="4" t="str">
        <f>C443 &amp; " -&gt; " &amp; D443</f>
        <v>principal-process-steward -&gt; AgentDecisionRecords.DecidingAgent</v>
      </c>
      <c r="C443" s="3" t="s">
        <v>9772</v>
      </c>
      <c r="D443" s="3" t="s">
        <v>4999</v>
      </c>
      <c r="E443" s="3" t="b">
        <v>1</v>
      </c>
      <c r="F443" s="3" t="b">
        <v>0</v>
      </c>
      <c r="G443" s="3" t="s">
        <v>10003</v>
      </c>
      <c r="H443" s="4" t="str">
        <f>_xlfn.IFNA(IF(((INDEX(RulebookFields!C2:C1898, MATCH(D443,RulebookFields!A2:A1898, 0))="")=TRUE),  "",  INDEX(RulebookFields!C2:C1898, MATCH(D443,RulebookFields!A2:A1898, 0))), "")</f>
        <v>AgentDecisionRecords</v>
      </c>
      <c r="I443" s="4" t="str">
        <f>_xlfn.IFNA(IF(((INDEX(RulebookFields!D2:D1898, MATCH(D443,RulebookFields!A2:A1898, 0))="")=TRUE),  "",  INDEX(RulebookFields!D2:D1898, MATCH(D443,RulebookFields!A2:A1898, 0))), "")</f>
        <v>DecidingAgent</v>
      </c>
      <c r="J443" s="4" t="b">
        <f>_xlfn.IFNA(IF(((INDEX(RulebookFields!I2:I1898, MATCH(D443,RulebookFields!A2:A1898, 0))="")=TRUE),  "",  INDEX(RulebookFields!I2:I1898, MATCH(D443,RulebookFields!A2:A1898, 0))), "")</f>
        <v>0</v>
      </c>
      <c r="K443" s="4" t="b">
        <f>AND(((F443)=TRUE), ((J443)=TRUE))</f>
        <v>0</v>
      </c>
      <c r="L443" s="4" t="b">
        <f>AND(((G443 &lt;&gt; "plain")=TRUE), ((G443 &lt;&gt; "")=TRUE))</f>
        <v>0</v>
      </c>
      <c r="M443" s="4" t="str">
        <f>IF(((E443)=TRUE),  C443 &amp; "|" &amp; H443,  "")</f>
        <v>principal-process-steward|AgentDecisionRecords</v>
      </c>
      <c r="N443" s="3" t="s">
        <v>10004</v>
      </c>
    </row>
    <row r="444">
      <c r="A444" s="3" t="s">
        <v>10446</v>
      </c>
      <c r="B444" s="4" t="str">
        <f>C444 &amp; " -&gt; " &amp; D444</f>
        <v>principal-process-steward -&gt; AgentDecisionRecords.DecisionKind</v>
      </c>
      <c r="C444" s="3" t="s">
        <v>9772</v>
      </c>
      <c r="D444" s="3" t="s">
        <v>5001</v>
      </c>
      <c r="E444" s="3" t="b">
        <v>1</v>
      </c>
      <c r="F444" s="3" t="b">
        <v>0</v>
      </c>
      <c r="G444" s="3" t="s">
        <v>10003</v>
      </c>
      <c r="H444" s="4" t="str">
        <f>_xlfn.IFNA(IF(((INDEX(RulebookFields!C2:C1898, MATCH(D444,RulebookFields!A2:A1898, 0))="")=TRUE),  "",  INDEX(RulebookFields!C2:C1898, MATCH(D444,RulebookFields!A2:A1898, 0))), "")</f>
        <v>AgentDecisionRecords</v>
      </c>
      <c r="I444" s="4" t="str">
        <f>_xlfn.IFNA(IF(((INDEX(RulebookFields!D2:D1898, MATCH(D444,RulebookFields!A2:A1898, 0))="")=TRUE),  "",  INDEX(RulebookFields!D2:D1898, MATCH(D444,RulebookFields!A2:A1898, 0))), "")</f>
        <v>DecisionKind</v>
      </c>
      <c r="J444" s="4" t="b">
        <f>_xlfn.IFNA(IF(((INDEX(RulebookFields!I2:I1898, MATCH(D444,RulebookFields!A2:A1898, 0))="")=TRUE),  "",  INDEX(RulebookFields!I2:I1898, MATCH(D444,RulebookFields!A2:A1898, 0))), "")</f>
        <v>0</v>
      </c>
      <c r="K444" s="4" t="b">
        <f>AND(((F444)=TRUE), ((J444)=TRUE))</f>
        <v>0</v>
      </c>
      <c r="L444" s="4" t="b">
        <f>AND(((G444 &lt;&gt; "plain")=TRUE), ((G444 &lt;&gt; "")=TRUE))</f>
        <v>0</v>
      </c>
      <c r="M444" s="4" t="str">
        <f>IF(((E444)=TRUE),  C444 &amp; "|" &amp; H444,  "")</f>
        <v>principal-process-steward|AgentDecisionRecords</v>
      </c>
      <c r="N444" s="3" t="s">
        <v>10004</v>
      </c>
    </row>
    <row r="445">
      <c r="A445" s="3" t="s">
        <v>10447</v>
      </c>
      <c r="B445" s="4" t="str">
        <f>C445 &amp; " -&gt; " &amp; D445</f>
        <v>principal-process-steward -&gt; AgentDecisionRecords.DecisionSummary</v>
      </c>
      <c r="C445" s="3" t="s">
        <v>9772</v>
      </c>
      <c r="D445" s="3" t="s">
        <v>5003</v>
      </c>
      <c r="E445" s="3" t="b">
        <v>1</v>
      </c>
      <c r="F445" s="3" t="b">
        <v>0</v>
      </c>
      <c r="G445" s="3" t="s">
        <v>10003</v>
      </c>
      <c r="H445" s="4" t="str">
        <f>_xlfn.IFNA(IF(((INDEX(RulebookFields!C2:C1898, MATCH(D445,RulebookFields!A2:A1898, 0))="")=TRUE),  "",  INDEX(RulebookFields!C2:C1898, MATCH(D445,RulebookFields!A2:A1898, 0))), "")</f>
        <v>AgentDecisionRecords</v>
      </c>
      <c r="I445" s="4" t="str">
        <f>_xlfn.IFNA(IF(((INDEX(RulebookFields!D2:D1898, MATCH(D445,RulebookFields!A2:A1898, 0))="")=TRUE),  "",  INDEX(RulebookFields!D2:D1898, MATCH(D445,RulebookFields!A2:A1898, 0))), "")</f>
        <v>DecisionSummary</v>
      </c>
      <c r="J445" s="4" t="b">
        <f>_xlfn.IFNA(IF(((INDEX(RulebookFields!I2:I1898, MATCH(D445,RulebookFields!A2:A1898, 0))="")=TRUE),  "",  INDEX(RulebookFields!I2:I1898, MATCH(D445,RulebookFields!A2:A1898, 0))), "")</f>
        <v>0</v>
      </c>
      <c r="K445" s="4" t="b">
        <f>AND(((F445)=TRUE), ((J445)=TRUE))</f>
        <v>0</v>
      </c>
      <c r="L445" s="4" t="b">
        <f>AND(((G445 &lt;&gt; "plain")=TRUE), ((G445 &lt;&gt; "")=TRUE))</f>
        <v>0</v>
      </c>
      <c r="M445" s="4" t="str">
        <f>IF(((E445)=TRUE),  C445 &amp; "|" &amp; H445,  "")</f>
        <v>principal-process-steward|AgentDecisionRecords</v>
      </c>
      <c r="N445" s="3" t="s">
        <v>10004</v>
      </c>
    </row>
    <row r="446">
      <c r="A446" s="3" t="s">
        <v>10448</v>
      </c>
      <c r="B446" s="4" t="str">
        <f>C446 &amp; " -&gt; " &amp; D446</f>
        <v>principal-process-steward -&gt; AgentDecisionRecords.DecidedAt</v>
      </c>
      <c r="C446" s="3" t="s">
        <v>9772</v>
      </c>
      <c r="D446" s="3" t="s">
        <v>5005</v>
      </c>
      <c r="E446" s="3" t="b">
        <v>1</v>
      </c>
      <c r="F446" s="3" t="b">
        <v>0</v>
      </c>
      <c r="G446" s="3" t="s">
        <v>10003</v>
      </c>
      <c r="H446" s="4" t="str">
        <f>_xlfn.IFNA(IF(((INDEX(RulebookFields!C2:C1898, MATCH(D446,RulebookFields!A2:A1898, 0))="")=TRUE),  "",  INDEX(RulebookFields!C2:C1898, MATCH(D446,RulebookFields!A2:A1898, 0))), "")</f>
        <v>AgentDecisionRecords</v>
      </c>
      <c r="I446" s="4" t="str">
        <f>_xlfn.IFNA(IF(((INDEX(RulebookFields!D2:D1898, MATCH(D446,RulebookFields!A2:A1898, 0))="")=TRUE),  "",  INDEX(RulebookFields!D2:D1898, MATCH(D446,RulebookFields!A2:A1898, 0))), "")</f>
        <v>DecidedAt</v>
      </c>
      <c r="J446" s="4" t="b">
        <f>_xlfn.IFNA(IF(((INDEX(RulebookFields!I2:I1898, MATCH(D446,RulebookFields!A2:A1898, 0))="")=TRUE),  "",  INDEX(RulebookFields!I2:I1898, MATCH(D446,RulebookFields!A2:A1898, 0))), "")</f>
        <v>0</v>
      </c>
      <c r="K446" s="4" t="b">
        <f>AND(((F446)=TRUE), ((J446)=TRUE))</f>
        <v>0</v>
      </c>
      <c r="L446" s="4" t="b">
        <f>AND(((G446 &lt;&gt; "plain")=TRUE), ((G446 &lt;&gt; "")=TRUE))</f>
        <v>0</v>
      </c>
      <c r="M446" s="4" t="str">
        <f>IF(((E446)=TRUE),  C446 &amp; "|" &amp; H446,  "")</f>
        <v>principal-process-steward|AgentDecisionRecords</v>
      </c>
      <c r="N446" s="3" t="s">
        <v>10004</v>
      </c>
    </row>
    <row r="447">
      <c r="A447" s="3" t="s">
        <v>10449</v>
      </c>
      <c r="B447" s="4" t="str">
        <f>C447 &amp; " -&gt; " &amp; D447</f>
        <v>principal-process-steward -&gt; AgentDecisionRecords.MaterialityBand</v>
      </c>
      <c r="C447" s="3" t="s">
        <v>9772</v>
      </c>
      <c r="D447" s="3" t="s">
        <v>5006</v>
      </c>
      <c r="E447" s="3" t="b">
        <v>1</v>
      </c>
      <c r="F447" s="3" t="b">
        <v>0</v>
      </c>
      <c r="G447" s="3" t="s">
        <v>10003</v>
      </c>
      <c r="H447" s="4" t="str">
        <f>_xlfn.IFNA(IF(((INDEX(RulebookFields!C2:C1898, MATCH(D447,RulebookFields!A2:A1898, 0))="")=TRUE),  "",  INDEX(RulebookFields!C2:C1898, MATCH(D447,RulebookFields!A2:A1898, 0))), "")</f>
        <v>AgentDecisionRecords</v>
      </c>
      <c r="I447" s="4" t="str">
        <f>_xlfn.IFNA(IF(((INDEX(RulebookFields!D2:D1898, MATCH(D447,RulebookFields!A2:A1898, 0))="")=TRUE),  "",  INDEX(RulebookFields!D2:D1898, MATCH(D447,RulebookFields!A2:A1898, 0))), "")</f>
        <v>MaterialityBand</v>
      </c>
      <c r="J447" s="4" t="b">
        <f>_xlfn.IFNA(IF(((INDEX(RulebookFields!I2:I1898, MATCH(D447,RulebookFields!A2:A1898, 0))="")=TRUE),  "",  INDEX(RulebookFields!I2:I1898, MATCH(D447,RulebookFields!A2:A1898, 0))), "")</f>
        <v>0</v>
      </c>
      <c r="K447" s="4" t="b">
        <f>AND(((F447)=TRUE), ((J447)=TRUE))</f>
        <v>0</v>
      </c>
      <c r="L447" s="4" t="b">
        <f>AND(((G447 &lt;&gt; "plain")=TRUE), ((G447 &lt;&gt; "")=TRUE))</f>
        <v>0</v>
      </c>
      <c r="M447" s="4" t="str">
        <f>IF(((E447)=TRUE),  C447 &amp; "|" &amp; H447,  "")</f>
        <v>principal-process-steward|AgentDecisionRecords</v>
      </c>
      <c r="N447" s="3" t="s">
        <v>10004</v>
      </c>
    </row>
    <row r="448">
      <c r="A448" s="3" t="s">
        <v>10450</v>
      </c>
      <c r="B448" s="4" t="str">
        <f>C448 &amp; " -&gt; " &amp; D448</f>
        <v>principal-process-steward -&gt; AgentDecisionRecords.HumanDisposition</v>
      </c>
      <c r="C448" s="3" t="s">
        <v>9772</v>
      </c>
      <c r="D448" s="3" t="s">
        <v>5008</v>
      </c>
      <c r="E448" s="3" t="b">
        <v>1</v>
      </c>
      <c r="F448" s="3" t="b">
        <v>0</v>
      </c>
      <c r="G448" s="3" t="s">
        <v>10003</v>
      </c>
      <c r="H448" s="4" t="str">
        <f>_xlfn.IFNA(IF(((INDEX(RulebookFields!C2:C1898, MATCH(D448,RulebookFields!A2:A1898, 0))="")=TRUE),  "",  INDEX(RulebookFields!C2:C1898, MATCH(D448,RulebookFields!A2:A1898, 0))), "")</f>
        <v>AgentDecisionRecords</v>
      </c>
      <c r="I448" s="4" t="str">
        <f>_xlfn.IFNA(IF(((INDEX(RulebookFields!D2:D1898, MATCH(D448,RulebookFields!A2:A1898, 0))="")=TRUE),  "",  INDEX(RulebookFields!D2:D1898, MATCH(D448,RulebookFields!A2:A1898, 0))), "")</f>
        <v>HumanDisposition</v>
      </c>
      <c r="J448" s="4" t="b">
        <f>_xlfn.IFNA(IF(((INDEX(RulebookFields!I2:I1898, MATCH(D448,RulebookFields!A2:A1898, 0))="")=TRUE),  "",  INDEX(RulebookFields!I2:I1898, MATCH(D448,RulebookFields!A2:A1898, 0))), "")</f>
        <v>0</v>
      </c>
      <c r="K448" s="4" t="b">
        <f>AND(((F448)=TRUE), ((J448)=TRUE))</f>
        <v>0</v>
      </c>
      <c r="L448" s="4" t="b">
        <f>AND(((G448 &lt;&gt; "plain")=TRUE), ((G448 &lt;&gt; "")=TRUE))</f>
        <v>0</v>
      </c>
      <c r="M448" s="4" t="str">
        <f>IF(((E448)=TRUE),  C448 &amp; "|" &amp; H448,  "")</f>
        <v>principal-process-steward|AgentDecisionRecords</v>
      </c>
      <c r="N448" s="3" t="s">
        <v>10004</v>
      </c>
    </row>
    <row r="449">
      <c r="A449" s="3" t="s">
        <v>10451</v>
      </c>
      <c r="B449" s="4" t="str">
        <f>C449 &amp; " -&gt; " &amp; D449</f>
        <v>principal-process-steward -&gt; AgentDecisionRecords.ReviewedByAgent</v>
      </c>
      <c r="C449" s="3" t="s">
        <v>9772</v>
      </c>
      <c r="D449" s="3" t="s">
        <v>5010</v>
      </c>
      <c r="E449" s="3" t="b">
        <v>1</v>
      </c>
      <c r="F449" s="3" t="b">
        <v>0</v>
      </c>
      <c r="G449" s="3" t="s">
        <v>10003</v>
      </c>
      <c r="H449" s="4" t="str">
        <f>_xlfn.IFNA(IF(((INDEX(RulebookFields!C2:C1898, MATCH(D449,RulebookFields!A2:A1898, 0))="")=TRUE),  "",  INDEX(RulebookFields!C2:C1898, MATCH(D449,RulebookFields!A2:A1898, 0))), "")</f>
        <v>AgentDecisionRecords</v>
      </c>
      <c r="I449" s="4" t="str">
        <f>_xlfn.IFNA(IF(((INDEX(RulebookFields!D2:D1898, MATCH(D449,RulebookFields!A2:A1898, 0))="")=TRUE),  "",  INDEX(RulebookFields!D2:D1898, MATCH(D449,RulebookFields!A2:A1898, 0))), "")</f>
        <v>ReviewedByAgent</v>
      </c>
      <c r="J449" s="4" t="b">
        <f>_xlfn.IFNA(IF(((INDEX(RulebookFields!I2:I1898, MATCH(D449,RulebookFields!A2:A1898, 0))="")=TRUE),  "",  INDEX(RulebookFields!I2:I1898, MATCH(D449,RulebookFields!A2:A1898, 0))), "")</f>
        <v>0</v>
      </c>
      <c r="K449" s="4" t="b">
        <f>AND(((F449)=TRUE), ((J449)=TRUE))</f>
        <v>0</v>
      </c>
      <c r="L449" s="4" t="b">
        <f>AND(((G449 &lt;&gt; "plain")=TRUE), ((G449 &lt;&gt; "")=TRUE))</f>
        <v>0</v>
      </c>
      <c r="M449" s="4" t="str">
        <f>IF(((E449)=TRUE),  C449 &amp; "|" &amp; H449,  "")</f>
        <v>principal-process-steward|AgentDecisionRecords</v>
      </c>
      <c r="N449" s="3" t="s">
        <v>10004</v>
      </c>
    </row>
    <row r="450">
      <c r="A450" s="3" t="s">
        <v>10452</v>
      </c>
      <c r="B450" s="4" t="str">
        <f>C450 &amp; " -&gt; " &amp; D450</f>
        <v>principal-process-steward -&gt; AgentDecisionRecords.ReviewedAt</v>
      </c>
      <c r="C450" s="3" t="s">
        <v>9772</v>
      </c>
      <c r="D450" s="3" t="s">
        <v>5011</v>
      </c>
      <c r="E450" s="3" t="b">
        <v>1</v>
      </c>
      <c r="F450" s="3" t="b">
        <v>0</v>
      </c>
      <c r="G450" s="3" t="s">
        <v>10003</v>
      </c>
      <c r="H450" s="4" t="str">
        <f>_xlfn.IFNA(IF(((INDEX(RulebookFields!C2:C1898, MATCH(D450,RulebookFields!A2:A1898, 0))="")=TRUE),  "",  INDEX(RulebookFields!C2:C1898, MATCH(D450,RulebookFields!A2:A1898, 0))), "")</f>
        <v>AgentDecisionRecords</v>
      </c>
      <c r="I450" s="4" t="str">
        <f>_xlfn.IFNA(IF(((INDEX(RulebookFields!D2:D1898, MATCH(D450,RulebookFields!A2:A1898, 0))="")=TRUE),  "",  INDEX(RulebookFields!D2:D1898, MATCH(D450,RulebookFields!A2:A1898, 0))), "")</f>
        <v>ReviewedAt</v>
      </c>
      <c r="J450" s="4" t="b">
        <f>_xlfn.IFNA(IF(((INDEX(RulebookFields!I2:I1898, MATCH(D450,RulebookFields!A2:A1898, 0))="")=TRUE),  "",  INDEX(RulebookFields!I2:I1898, MATCH(D450,RulebookFields!A2:A1898, 0))), "")</f>
        <v>0</v>
      </c>
      <c r="K450" s="4" t="b">
        <f>AND(((F450)=TRUE), ((J450)=TRUE))</f>
        <v>0</v>
      </c>
      <c r="L450" s="4" t="b">
        <f>AND(((G450 &lt;&gt; "plain")=TRUE), ((G450 &lt;&gt; "")=TRUE))</f>
        <v>0</v>
      </c>
      <c r="M450" s="4" t="str">
        <f>IF(((E450)=TRUE),  C450 &amp; "|" &amp; H450,  "")</f>
        <v>principal-process-steward|AgentDecisionRecords</v>
      </c>
      <c r="N450" s="3" t="s">
        <v>10004</v>
      </c>
    </row>
    <row r="451">
      <c r="A451" s="3" t="s">
        <v>10453</v>
      </c>
      <c r="B451" s="4" t="str">
        <f>C451 &amp; " -&gt; " &amp; D451</f>
        <v>principal-process-steward -&gt; AgentDecisionRecords.WasOverridden</v>
      </c>
      <c r="C451" s="3" t="s">
        <v>9772</v>
      </c>
      <c r="D451" s="3" t="s">
        <v>5012</v>
      </c>
      <c r="E451" s="3" t="b">
        <v>1</v>
      </c>
      <c r="F451" s="3" t="b">
        <v>0</v>
      </c>
      <c r="G451" s="3" t="s">
        <v>10003</v>
      </c>
      <c r="H451" s="4" t="str">
        <f>_xlfn.IFNA(IF(((INDEX(RulebookFields!C2:C1898, MATCH(D451,RulebookFields!A2:A1898, 0))="")=TRUE),  "",  INDEX(RulebookFields!C2:C1898, MATCH(D451,RulebookFields!A2:A1898, 0))), "")</f>
        <v>AgentDecisionRecords</v>
      </c>
      <c r="I451" s="4" t="str">
        <f>_xlfn.IFNA(IF(((INDEX(RulebookFields!D2:D1898, MATCH(D451,RulebookFields!A2:A1898, 0))="")=TRUE),  "",  INDEX(RulebookFields!D2:D1898, MATCH(D451,RulebookFields!A2:A1898, 0))), "")</f>
        <v>WasOverridden</v>
      </c>
      <c r="J451" s="4" t="b">
        <f>_xlfn.IFNA(IF(((INDEX(RulebookFields!I2:I1898, MATCH(D451,RulebookFields!A2:A1898, 0))="")=TRUE),  "",  INDEX(RulebookFields!I2:I1898, MATCH(D451,RulebookFields!A2:A1898, 0))), "")</f>
        <v>1</v>
      </c>
      <c r="K451" s="4" t="b">
        <f>AND(((F451)=TRUE), ((J451)=TRUE))</f>
        <v>0</v>
      </c>
      <c r="L451" s="4" t="b">
        <f>AND(((G451 &lt;&gt; "plain")=TRUE), ((G451 &lt;&gt; "")=TRUE))</f>
        <v>0</v>
      </c>
      <c r="M451" s="4" t="str">
        <f>IF(((E451)=TRUE),  C451 &amp; "|" &amp; H451,  "")</f>
        <v>principal-process-steward|AgentDecisionRecords</v>
      </c>
      <c r="N451" s="3" t="s">
        <v>10004</v>
      </c>
    </row>
    <row r="452">
      <c r="A452" s="3" t="s">
        <v>10454</v>
      </c>
      <c r="B452" s="4" t="str">
        <f>C452 &amp; " -&gt; " &amp; D452</f>
        <v>principal-process-steward -&gt; AgentDecisionRecords.WasReviewed</v>
      </c>
      <c r="C452" s="3" t="s">
        <v>9772</v>
      </c>
      <c r="D452" s="3" t="s">
        <v>5015</v>
      </c>
      <c r="E452" s="3" t="b">
        <v>1</v>
      </c>
      <c r="F452" s="3" t="b">
        <v>0</v>
      </c>
      <c r="G452" s="3" t="s">
        <v>10003</v>
      </c>
      <c r="H452" s="4" t="str">
        <f>_xlfn.IFNA(IF(((INDEX(RulebookFields!C2:C1898, MATCH(D452,RulebookFields!A2:A1898, 0))="")=TRUE),  "",  INDEX(RulebookFields!C2:C1898, MATCH(D452,RulebookFields!A2:A1898, 0))), "")</f>
        <v>AgentDecisionRecords</v>
      </c>
      <c r="I452" s="4" t="str">
        <f>_xlfn.IFNA(IF(((INDEX(RulebookFields!D2:D1898, MATCH(D452,RulebookFields!A2:A1898, 0))="")=TRUE),  "",  INDEX(RulebookFields!D2:D1898, MATCH(D452,RulebookFields!A2:A1898, 0))), "")</f>
        <v>WasReviewed</v>
      </c>
      <c r="J452" s="4" t="b">
        <f>_xlfn.IFNA(IF(((INDEX(RulebookFields!I2:I1898, MATCH(D452,RulebookFields!A2:A1898, 0))="")=TRUE),  "",  INDEX(RulebookFields!I2:I1898, MATCH(D452,RulebookFields!A2:A1898, 0))), "")</f>
        <v>1</v>
      </c>
      <c r="K452" s="4" t="b">
        <f>AND(((F452)=TRUE), ((J452)=TRUE))</f>
        <v>0</v>
      </c>
      <c r="L452" s="4" t="b">
        <f>AND(((G452 &lt;&gt; "plain")=TRUE), ((G452 &lt;&gt; "")=TRUE))</f>
        <v>0</v>
      </c>
      <c r="M452" s="4" t="str">
        <f>IF(((E452)=TRUE),  C452 &amp; "|" &amp; H452,  "")</f>
        <v>principal-process-steward|AgentDecisionRecords</v>
      </c>
      <c r="N452" s="3" t="s">
        <v>10004</v>
      </c>
    </row>
    <row r="453">
      <c r="A453" s="3" t="s">
        <v>10455</v>
      </c>
      <c r="B453" s="4" t="str">
        <f>C453 &amp; " -&gt; " &amp; D453</f>
        <v>principal-process-steward -&gt; AgentDecisionRecords.DecidingAgentKind</v>
      </c>
      <c r="C453" s="3" t="s">
        <v>9772</v>
      </c>
      <c r="D453" s="3" t="s">
        <v>5018</v>
      </c>
      <c r="E453" s="3" t="b">
        <v>1</v>
      </c>
      <c r="F453" s="3" t="b">
        <v>0</v>
      </c>
      <c r="G453" s="3" t="s">
        <v>10003</v>
      </c>
      <c r="H453" s="4" t="str">
        <f>_xlfn.IFNA(IF(((INDEX(RulebookFields!C2:C1898, MATCH(D453,RulebookFields!A2:A1898, 0))="")=TRUE),  "",  INDEX(RulebookFields!C2:C1898, MATCH(D453,RulebookFields!A2:A1898, 0))), "")</f>
        <v>AgentDecisionRecords</v>
      </c>
      <c r="I453" s="4" t="str">
        <f>_xlfn.IFNA(IF(((INDEX(RulebookFields!D2:D1898, MATCH(D453,RulebookFields!A2:A1898, 0))="")=TRUE),  "",  INDEX(RulebookFields!D2:D1898, MATCH(D453,RulebookFields!A2:A1898, 0))), "")</f>
        <v>DecidingAgentKind</v>
      </c>
      <c r="J453" s="4" t="b">
        <f>_xlfn.IFNA(IF(((INDEX(RulebookFields!I2:I1898, MATCH(D453,RulebookFields!A2:A1898, 0))="")=TRUE),  "",  INDEX(RulebookFields!I2:I1898, MATCH(D453,RulebookFields!A2:A1898, 0))), "")</f>
        <v>1</v>
      </c>
      <c r="K453" s="4" t="b">
        <f>AND(((F453)=TRUE), ((J453)=TRUE))</f>
        <v>0</v>
      </c>
      <c r="L453" s="4" t="b">
        <f>AND(((G453 &lt;&gt; "plain")=TRUE), ((G453 &lt;&gt; "")=TRUE))</f>
        <v>0</v>
      </c>
      <c r="M453" s="4" t="str">
        <f>IF(((E453)=TRUE),  C453 &amp; "|" &amp; H453,  "")</f>
        <v>principal-process-steward|AgentDecisionRecords</v>
      </c>
      <c r="N453" s="3" t="s">
        <v>10004</v>
      </c>
    </row>
    <row r="454">
      <c r="A454" s="3" t="s">
        <v>10456</v>
      </c>
      <c r="B454" s="4" t="str">
        <f>C454 &amp; " -&gt; " &amp; D454</f>
        <v>principal-process-steward -&gt; AgentDecisionRecords.DecidingAgentWhenOverridden</v>
      </c>
      <c r="C454" s="3" t="s">
        <v>9772</v>
      </c>
      <c r="D454" s="3" t="s">
        <v>5021</v>
      </c>
      <c r="E454" s="3" t="b">
        <v>1</v>
      </c>
      <c r="F454" s="3" t="b">
        <v>0</v>
      </c>
      <c r="G454" s="3" t="s">
        <v>10003</v>
      </c>
      <c r="H454" s="4" t="str">
        <f>_xlfn.IFNA(IF(((INDEX(RulebookFields!C2:C1898, MATCH(D454,RulebookFields!A2:A1898, 0))="")=TRUE),  "",  INDEX(RulebookFields!C2:C1898, MATCH(D454,RulebookFields!A2:A1898, 0))), "")</f>
        <v>AgentDecisionRecords</v>
      </c>
      <c r="I454" s="4" t="str">
        <f>_xlfn.IFNA(IF(((INDEX(RulebookFields!D2:D1898, MATCH(D454,RulebookFields!A2:A1898, 0))="")=TRUE),  "",  INDEX(RulebookFields!D2:D1898, MATCH(D454,RulebookFields!A2:A1898, 0))), "")</f>
        <v>DecidingAgentWhenOverridden</v>
      </c>
      <c r="J454" s="4" t="b">
        <f>_xlfn.IFNA(IF(((INDEX(RulebookFields!I2:I1898, MATCH(D454,RulebookFields!A2:A1898, 0))="")=TRUE),  "",  INDEX(RulebookFields!I2:I1898, MATCH(D454,RulebookFields!A2:A1898, 0))), "")</f>
        <v>1</v>
      </c>
      <c r="K454" s="4" t="b">
        <f>AND(((F454)=TRUE), ((J454)=TRUE))</f>
        <v>0</v>
      </c>
      <c r="L454" s="4" t="b">
        <f>AND(((G454 &lt;&gt; "plain")=TRUE), ((G454 &lt;&gt; "")=TRUE))</f>
        <v>0</v>
      </c>
      <c r="M454" s="4" t="str">
        <f>IF(((E454)=TRUE),  C454 &amp; "|" &amp; H454,  "")</f>
        <v>principal-process-steward|AgentDecisionRecords</v>
      </c>
      <c r="N454" s="3" t="s">
        <v>10004</v>
      </c>
    </row>
    <row r="455">
      <c r="A455" s="3" t="s">
        <v>10457</v>
      </c>
      <c r="B455" s="4" t="str">
        <f>C455 &amp; " -&gt; " &amp; D455</f>
        <v>principal-process-steward -&gt; AgentDecisionRecords.UnderRoleAssignment</v>
      </c>
      <c r="C455" s="3" t="s">
        <v>9772</v>
      </c>
      <c r="D455" s="3" t="s">
        <v>5024</v>
      </c>
      <c r="E455" s="3" t="b">
        <v>1</v>
      </c>
      <c r="F455" s="3" t="b">
        <v>0</v>
      </c>
      <c r="G455" s="3" t="s">
        <v>10003</v>
      </c>
      <c r="H455" s="4" t="str">
        <f>_xlfn.IFNA(IF(((INDEX(RulebookFields!C2:C1898, MATCH(D455,RulebookFields!A2:A1898, 0))="")=TRUE),  "",  INDEX(RulebookFields!C2:C1898, MATCH(D455,RulebookFields!A2:A1898, 0))), "")</f>
        <v>AgentDecisionRecords</v>
      </c>
      <c r="I455" s="4" t="str">
        <f>_xlfn.IFNA(IF(((INDEX(RulebookFields!D2:D1898, MATCH(D455,RulebookFields!A2:A1898, 0))="")=TRUE),  "",  INDEX(RulebookFields!D2:D1898, MATCH(D455,RulebookFields!A2:A1898, 0))), "")</f>
        <v>UnderRoleAssignment</v>
      </c>
      <c r="J455" s="4" t="b">
        <f>_xlfn.IFNA(IF(((INDEX(RulebookFields!I2:I1898, MATCH(D455,RulebookFields!A2:A1898, 0))="")=TRUE),  "",  INDEX(RulebookFields!I2:I1898, MATCH(D455,RulebookFields!A2:A1898, 0))), "")</f>
        <v>0</v>
      </c>
      <c r="K455" s="4" t="b">
        <f>AND(((F455)=TRUE), ((J455)=TRUE))</f>
        <v>0</v>
      </c>
      <c r="L455" s="4" t="b">
        <f>AND(((G455 &lt;&gt; "plain")=TRUE), ((G455 &lt;&gt; "")=TRUE))</f>
        <v>0</v>
      </c>
      <c r="M455" s="4" t="str">
        <f>IF(((E455)=TRUE),  C455 &amp; "|" &amp; H455,  "")</f>
        <v>principal-process-steward|AgentDecisionRecords</v>
      </c>
      <c r="N455" s="3" t="s">
        <v>10004</v>
      </c>
    </row>
    <row r="456">
      <c r="A456" s="3" t="s">
        <v>10458</v>
      </c>
      <c r="B456" s="4" t="str">
        <f>C456 &amp; " -&gt; " &amp; D456</f>
        <v>principal-process-steward -&gt; AgentDecisionRecords.RoleAssignmentWhenScored</v>
      </c>
      <c r="C456" s="3" t="s">
        <v>9772</v>
      </c>
      <c r="D456" s="3" t="s">
        <v>5026</v>
      </c>
      <c r="E456" s="3" t="b">
        <v>1</v>
      </c>
      <c r="F456" s="3" t="b">
        <v>0</v>
      </c>
      <c r="G456" s="3" t="s">
        <v>10003</v>
      </c>
      <c r="H456" s="4" t="str">
        <f>_xlfn.IFNA(IF(((INDEX(RulebookFields!C2:C1898, MATCH(D456,RulebookFields!A2:A1898, 0))="")=TRUE),  "",  INDEX(RulebookFields!C2:C1898, MATCH(D456,RulebookFields!A2:A1898, 0))), "")</f>
        <v>AgentDecisionRecords</v>
      </c>
      <c r="I456" s="4" t="str">
        <f>_xlfn.IFNA(IF(((INDEX(RulebookFields!D2:D1898, MATCH(D456,RulebookFields!A2:A1898, 0))="")=TRUE),  "",  INDEX(RulebookFields!D2:D1898, MATCH(D456,RulebookFields!A2:A1898, 0))), "")</f>
        <v>RoleAssignmentWhenScored</v>
      </c>
      <c r="J456" s="4" t="b">
        <f>_xlfn.IFNA(IF(((INDEX(RulebookFields!I2:I1898, MATCH(D456,RulebookFields!A2:A1898, 0))="")=TRUE),  "",  INDEX(RulebookFields!I2:I1898, MATCH(D456,RulebookFields!A2:A1898, 0))), "")</f>
        <v>1</v>
      </c>
      <c r="K456" s="4" t="b">
        <f>AND(((F456)=TRUE), ((J456)=TRUE))</f>
        <v>0</v>
      </c>
      <c r="L456" s="4" t="b">
        <f>AND(((G456 &lt;&gt; "plain")=TRUE), ((G456 &lt;&gt; "")=TRUE))</f>
        <v>0</v>
      </c>
      <c r="M456" s="4" t="str">
        <f>IF(((E456)=TRUE),  C456 &amp; "|" &amp; H456,  "")</f>
        <v>principal-process-steward|AgentDecisionRecords</v>
      </c>
      <c r="N456" s="3" t="s">
        <v>10004</v>
      </c>
    </row>
    <row r="457">
      <c r="A457" s="3" t="s">
        <v>10459</v>
      </c>
      <c r="B457" s="4" t="str">
        <f>C457 &amp; " -&gt; " &amp; D457</f>
        <v>principal-process-steward -&gt; AgentDecisionRecords.RoleAssignmentWhenOverridden</v>
      </c>
      <c r="C457" s="3" t="s">
        <v>9772</v>
      </c>
      <c r="D457" s="3" t="s">
        <v>5029</v>
      </c>
      <c r="E457" s="3" t="b">
        <v>1</v>
      </c>
      <c r="F457" s="3" t="b">
        <v>0</v>
      </c>
      <c r="G457" s="3" t="s">
        <v>10003</v>
      </c>
      <c r="H457" s="4" t="str">
        <f>_xlfn.IFNA(IF(((INDEX(RulebookFields!C2:C1898, MATCH(D457,RulebookFields!A2:A1898, 0))="")=TRUE),  "",  INDEX(RulebookFields!C2:C1898, MATCH(D457,RulebookFields!A2:A1898, 0))), "")</f>
        <v>AgentDecisionRecords</v>
      </c>
      <c r="I457" s="4" t="str">
        <f>_xlfn.IFNA(IF(((INDEX(RulebookFields!D2:D1898, MATCH(D457,RulebookFields!A2:A1898, 0))="")=TRUE),  "",  INDEX(RulebookFields!D2:D1898, MATCH(D457,RulebookFields!A2:A1898, 0))), "")</f>
        <v>RoleAssignmentWhenOverridden</v>
      </c>
      <c r="J457" s="4" t="b">
        <f>_xlfn.IFNA(IF(((INDEX(RulebookFields!I2:I1898, MATCH(D457,RulebookFields!A2:A1898, 0))="")=TRUE),  "",  INDEX(RulebookFields!I2:I1898, MATCH(D457,RulebookFields!A2:A1898, 0))), "")</f>
        <v>1</v>
      </c>
      <c r="K457" s="4" t="b">
        <f>AND(((F457)=TRUE), ((J457)=TRUE))</f>
        <v>0</v>
      </c>
      <c r="L457" s="4" t="b">
        <f>AND(((G457 &lt;&gt; "plain")=TRUE), ((G457 &lt;&gt; "")=TRUE))</f>
        <v>0</v>
      </c>
      <c r="M457" s="4" t="str">
        <f>IF(((E457)=TRUE),  C457 &amp; "|" &amp; H457,  "")</f>
        <v>principal-process-steward|AgentDecisionRecords</v>
      </c>
      <c r="N457" s="3" t="s">
        <v>10004</v>
      </c>
    </row>
    <row r="458">
      <c r="A458" s="3" t="s">
        <v>10460</v>
      </c>
      <c r="B458" s="4" t="str">
        <f>C458 &amp; " -&gt; " &amp; D458</f>
        <v>principal-process-steward -&gt; AgentDecisionRecords.StepOfDecision</v>
      </c>
      <c r="C458" s="3" t="s">
        <v>9772</v>
      </c>
      <c r="D458" s="3" t="s">
        <v>5032</v>
      </c>
      <c r="E458" s="3" t="b">
        <v>1</v>
      </c>
      <c r="F458" s="3" t="b">
        <v>0</v>
      </c>
      <c r="G458" s="3" t="s">
        <v>10003</v>
      </c>
      <c r="H458" s="4" t="str">
        <f>_xlfn.IFNA(IF(((INDEX(RulebookFields!C2:C1898, MATCH(D458,RulebookFields!A2:A1898, 0))="")=TRUE),  "",  INDEX(RulebookFields!C2:C1898, MATCH(D458,RulebookFields!A2:A1898, 0))), "")</f>
        <v>AgentDecisionRecords</v>
      </c>
      <c r="I458" s="4" t="str">
        <f>_xlfn.IFNA(IF(((INDEX(RulebookFields!D2:D1898, MATCH(D458,RulebookFields!A2:A1898, 0))="")=TRUE),  "",  INDEX(RulebookFields!D2:D1898, MATCH(D458,RulebookFields!A2:A1898, 0))), "")</f>
        <v>StepOfDecision</v>
      </c>
      <c r="J458" s="4" t="b">
        <f>_xlfn.IFNA(IF(((INDEX(RulebookFields!I2:I1898, MATCH(D458,RulebookFields!A2:A1898, 0))="")=TRUE),  "",  INDEX(RulebookFields!I2:I1898, MATCH(D458,RulebookFields!A2:A1898, 0))), "")</f>
        <v>1</v>
      </c>
      <c r="K458" s="4" t="b">
        <f>AND(((F458)=TRUE), ((J458)=TRUE))</f>
        <v>0</v>
      </c>
      <c r="L458" s="4" t="b">
        <f>AND(((G458 &lt;&gt; "plain")=TRUE), ((G458 &lt;&gt; "")=TRUE))</f>
        <v>0</v>
      </c>
      <c r="M458" s="4" t="str">
        <f>IF(((E458)=TRUE),  C458 &amp; "|" &amp; H458,  "")</f>
        <v>principal-process-steward|AgentDecisionRecords</v>
      </c>
      <c r="N458" s="3" t="s">
        <v>10004</v>
      </c>
    </row>
    <row r="459">
      <c r="A459" s="3" t="s">
        <v>10461</v>
      </c>
      <c r="B459" s="4" t="str">
        <f>C459 &amp; " -&gt; " &amp; D459</f>
        <v>principal-process-steward -&gt; AgentDecisionRecords.BoundaryMatchKey</v>
      </c>
      <c r="C459" s="3" t="s">
        <v>9772</v>
      </c>
      <c r="D459" s="3" t="s">
        <v>5034</v>
      </c>
      <c r="E459" s="3" t="b">
        <v>1</v>
      </c>
      <c r="F459" s="3" t="b">
        <v>0</v>
      </c>
      <c r="G459" s="3" t="s">
        <v>10003</v>
      </c>
      <c r="H459" s="4" t="str">
        <f>_xlfn.IFNA(IF(((INDEX(RulebookFields!C2:C1898, MATCH(D459,RulebookFields!A2:A1898, 0))="")=TRUE),  "",  INDEX(RulebookFields!C2:C1898, MATCH(D459,RulebookFields!A2:A1898, 0))), "")</f>
        <v>AgentDecisionRecords</v>
      </c>
      <c r="I459" s="4" t="str">
        <f>_xlfn.IFNA(IF(((INDEX(RulebookFields!D2:D1898, MATCH(D459,RulebookFields!A2:A1898, 0))="")=TRUE),  "",  INDEX(RulebookFields!D2:D1898, MATCH(D459,RulebookFields!A2:A1898, 0))), "")</f>
        <v>BoundaryMatchKey</v>
      </c>
      <c r="J459" s="4" t="b">
        <f>_xlfn.IFNA(IF(((INDEX(RulebookFields!I2:I1898, MATCH(D459,RulebookFields!A2:A1898, 0))="")=TRUE),  "",  INDEX(RulebookFields!I2:I1898, MATCH(D459,RulebookFields!A2:A1898, 0))), "")</f>
        <v>1</v>
      </c>
      <c r="K459" s="4" t="b">
        <f>AND(((F459)=TRUE), ((J459)=TRUE))</f>
        <v>0</v>
      </c>
      <c r="L459" s="4" t="b">
        <f>AND(((G459 &lt;&gt; "plain")=TRUE), ((G459 &lt;&gt; "")=TRUE))</f>
        <v>0</v>
      </c>
      <c r="M459" s="4" t="str">
        <f>IF(((E459)=TRUE),  C459 &amp; "|" &amp; H459,  "")</f>
        <v>principal-process-steward|AgentDecisionRecords</v>
      </c>
      <c r="N459" s="3" t="s">
        <v>10004</v>
      </c>
    </row>
    <row r="460">
      <c r="A460" s="3" t="s">
        <v>10462</v>
      </c>
      <c r="B460" s="4" t="str">
        <f>C460 &amp; " -&gt; " &amp; D460</f>
        <v>principal-process-steward -&gt; AgentDecisionRecords.MatchingBoundaryCount</v>
      </c>
      <c r="C460" s="3" t="s">
        <v>9772</v>
      </c>
      <c r="D460" s="3" t="s">
        <v>5037</v>
      </c>
      <c r="E460" s="3" t="b">
        <v>1</v>
      </c>
      <c r="F460" s="3" t="b">
        <v>0</v>
      </c>
      <c r="G460" s="3" t="s">
        <v>10003</v>
      </c>
      <c r="H460" s="4" t="str">
        <f>_xlfn.IFNA(IF(((INDEX(RulebookFields!C2:C1898, MATCH(D460,RulebookFields!A2:A1898, 0))="")=TRUE),  "",  INDEX(RulebookFields!C2:C1898, MATCH(D460,RulebookFields!A2:A1898, 0))), "")</f>
        <v>AgentDecisionRecords</v>
      </c>
      <c r="I460" s="4" t="str">
        <f>_xlfn.IFNA(IF(((INDEX(RulebookFields!D2:D1898, MATCH(D460,RulebookFields!A2:A1898, 0))="")=TRUE),  "",  INDEX(RulebookFields!D2:D1898, MATCH(D460,RulebookFields!A2:A1898, 0))), "")</f>
        <v>MatchingBoundaryCount</v>
      </c>
      <c r="J460" s="4" t="b">
        <f>_xlfn.IFNA(IF(((INDEX(RulebookFields!I2:I1898, MATCH(D460,RulebookFields!A2:A1898, 0))="")=TRUE),  "",  INDEX(RulebookFields!I2:I1898, MATCH(D460,RulebookFields!A2:A1898, 0))), "")</f>
        <v>1</v>
      </c>
      <c r="K460" s="4" t="b">
        <f>AND(((F460)=TRUE), ((J460)=TRUE))</f>
        <v>0</v>
      </c>
      <c r="L460" s="4" t="b">
        <f>AND(((G460 &lt;&gt; "plain")=TRUE), ((G460 &lt;&gt; "")=TRUE))</f>
        <v>0</v>
      </c>
      <c r="M460" s="4" t="str">
        <f>IF(((E460)=TRUE),  C460 &amp; "|" &amp; H460,  "")</f>
        <v>principal-process-steward|AgentDecisionRecords</v>
      </c>
      <c r="N460" s="3" t="s">
        <v>10004</v>
      </c>
    </row>
    <row r="461">
      <c r="A461" s="3" t="s">
        <v>10463</v>
      </c>
      <c r="B461" s="4" t="str">
        <f>C461 &amp; " -&gt; " &amp; D461</f>
        <v>principal-process-steward -&gt; AgentDecisionRecords.ViolatedAuthorityBoundary</v>
      </c>
      <c r="C461" s="3" t="s">
        <v>9772</v>
      </c>
      <c r="D461" s="3" t="s">
        <v>5040</v>
      </c>
      <c r="E461" s="3" t="b">
        <v>1</v>
      </c>
      <c r="F461" s="3" t="b">
        <v>0</v>
      </c>
      <c r="G461" s="3" t="s">
        <v>10003</v>
      </c>
      <c r="H461" s="4" t="str">
        <f>_xlfn.IFNA(IF(((INDEX(RulebookFields!C2:C1898, MATCH(D461,RulebookFields!A2:A1898, 0))="")=TRUE),  "",  INDEX(RulebookFields!C2:C1898, MATCH(D461,RulebookFields!A2:A1898, 0))), "")</f>
        <v>AgentDecisionRecords</v>
      </c>
      <c r="I461" s="4" t="str">
        <f>_xlfn.IFNA(IF(((INDEX(RulebookFields!D2:D1898, MATCH(D461,RulebookFields!A2:A1898, 0))="")=TRUE),  "",  INDEX(RulebookFields!D2:D1898, MATCH(D461,RulebookFields!A2:A1898, 0))), "")</f>
        <v>ViolatedAuthorityBoundary</v>
      </c>
      <c r="J461" s="4" t="b">
        <f>_xlfn.IFNA(IF(((INDEX(RulebookFields!I2:I1898, MATCH(D461,RulebookFields!A2:A1898, 0))="")=TRUE),  "",  INDEX(RulebookFields!I2:I1898, MATCH(D461,RulebookFields!A2:A1898, 0))), "")</f>
        <v>1</v>
      </c>
      <c r="K461" s="4" t="b">
        <f>AND(((F461)=TRUE), ((J461)=TRUE))</f>
        <v>0</v>
      </c>
      <c r="L461" s="4" t="b">
        <f>AND(((G461 &lt;&gt; "plain")=TRUE), ((G461 &lt;&gt; "")=TRUE))</f>
        <v>0</v>
      </c>
      <c r="M461" s="4" t="str">
        <f>IF(((E461)=TRUE),  C461 &amp; "|" &amp; H461,  "")</f>
        <v>principal-process-steward|AgentDecisionRecords</v>
      </c>
      <c r="N461" s="3" t="s">
        <v>10004</v>
      </c>
    </row>
    <row r="462">
      <c r="A462" s="3" t="s">
        <v>10464</v>
      </c>
      <c r="B462" s="4" t="str">
        <f>C462 &amp; " -&gt; " &amp; D462</f>
        <v>principal-process-steward -&gt; AgentDecisionRecords.ReviewerAgentKind</v>
      </c>
      <c r="C462" s="3" t="s">
        <v>9772</v>
      </c>
      <c r="D462" s="3" t="s">
        <v>5043</v>
      </c>
      <c r="E462" s="3" t="b">
        <v>1</v>
      </c>
      <c r="F462" s="3" t="b">
        <v>0</v>
      </c>
      <c r="G462" s="3" t="s">
        <v>10003</v>
      </c>
      <c r="H462" s="4" t="str">
        <f>_xlfn.IFNA(IF(((INDEX(RulebookFields!C2:C1898, MATCH(D462,RulebookFields!A2:A1898, 0))="")=TRUE),  "",  INDEX(RulebookFields!C2:C1898, MATCH(D462,RulebookFields!A2:A1898, 0))), "")</f>
        <v>AgentDecisionRecords</v>
      </c>
      <c r="I462" s="4" t="str">
        <f>_xlfn.IFNA(IF(((INDEX(RulebookFields!D2:D1898, MATCH(D462,RulebookFields!A2:A1898, 0))="")=TRUE),  "",  INDEX(RulebookFields!D2:D1898, MATCH(D462,RulebookFields!A2:A1898, 0))), "")</f>
        <v>ReviewerAgentKind</v>
      </c>
      <c r="J462" s="4" t="b">
        <f>_xlfn.IFNA(IF(((INDEX(RulebookFields!I2:I1898, MATCH(D462,RulebookFields!A2:A1898, 0))="")=TRUE),  "",  INDEX(RulebookFields!I2:I1898, MATCH(D462,RulebookFields!A2:A1898, 0))), "")</f>
        <v>1</v>
      </c>
      <c r="K462" s="4" t="b">
        <f>AND(((F462)=TRUE), ((J462)=TRUE))</f>
        <v>0</v>
      </c>
      <c r="L462" s="4" t="b">
        <f>AND(((G462 &lt;&gt; "plain")=TRUE), ((G462 &lt;&gt; "")=TRUE))</f>
        <v>0</v>
      </c>
      <c r="M462" s="4" t="str">
        <f>IF(((E462)=TRUE),  C462 &amp; "|" &amp; H462,  "")</f>
        <v>principal-process-steward|AgentDecisionRecords</v>
      </c>
      <c r="N462" s="3" t="s">
        <v>10004</v>
      </c>
    </row>
    <row r="463">
      <c r="A463" s="3" t="s">
        <v>10465</v>
      </c>
      <c r="B463" s="4" t="str">
        <f>C463 &amp; " -&gt; " &amp; D463</f>
        <v>principal-process-steward -&gt; AgentDecisionRecords.HasHumanConfirmation</v>
      </c>
      <c r="C463" s="3" t="s">
        <v>9772</v>
      </c>
      <c r="D463" s="3" t="s">
        <v>5046</v>
      </c>
      <c r="E463" s="3" t="b">
        <v>1</v>
      </c>
      <c r="F463" s="3" t="b">
        <v>0</v>
      </c>
      <c r="G463" s="3" t="s">
        <v>10003</v>
      </c>
      <c r="H463" s="4" t="str">
        <f>_xlfn.IFNA(IF(((INDEX(RulebookFields!C2:C1898, MATCH(D463,RulebookFields!A2:A1898, 0))="")=TRUE),  "",  INDEX(RulebookFields!C2:C1898, MATCH(D463,RulebookFields!A2:A1898, 0))), "")</f>
        <v>AgentDecisionRecords</v>
      </c>
      <c r="I463" s="4" t="str">
        <f>_xlfn.IFNA(IF(((INDEX(RulebookFields!D2:D1898, MATCH(D463,RulebookFields!A2:A1898, 0))="")=TRUE),  "",  INDEX(RulebookFields!D2:D1898, MATCH(D463,RulebookFields!A2:A1898, 0))), "")</f>
        <v>HasHumanConfirmation</v>
      </c>
      <c r="J463" s="4" t="b">
        <f>_xlfn.IFNA(IF(((INDEX(RulebookFields!I2:I1898, MATCH(D463,RulebookFields!A2:A1898, 0))="")=TRUE),  "",  INDEX(RulebookFields!I2:I1898, MATCH(D463,RulebookFields!A2:A1898, 0))), "")</f>
        <v>1</v>
      </c>
      <c r="K463" s="4" t="b">
        <f>AND(((F463)=TRUE), ((J463)=TRUE))</f>
        <v>0</v>
      </c>
      <c r="L463" s="4" t="b">
        <f>AND(((G463 &lt;&gt; "plain")=TRUE), ((G463 &lt;&gt; "")=TRUE))</f>
        <v>0</v>
      </c>
      <c r="M463" s="4" t="str">
        <f>IF(((E463)=TRUE),  C463 &amp; "|" &amp; H463,  "")</f>
        <v>principal-process-steward|AgentDecisionRecords</v>
      </c>
      <c r="N463" s="3" t="s">
        <v>10004</v>
      </c>
    </row>
    <row r="464">
      <c r="A464" s="3" t="s">
        <v>10466</v>
      </c>
      <c r="B464" s="4" t="str">
        <f>C464 &amp; " -&gt; " &amp; D464</f>
        <v>principal-process-steward -&gt; AgentDecisionRecords.NeedsHumanConfirmation</v>
      </c>
      <c r="C464" s="3" t="s">
        <v>9772</v>
      </c>
      <c r="D464" s="3" t="s">
        <v>5049</v>
      </c>
      <c r="E464" s="3" t="b">
        <v>1</v>
      </c>
      <c r="F464" s="3" t="b">
        <v>0</v>
      </c>
      <c r="G464" s="3" t="s">
        <v>10003</v>
      </c>
      <c r="H464" s="4" t="str">
        <f>_xlfn.IFNA(IF(((INDEX(RulebookFields!C2:C1898, MATCH(D464,RulebookFields!A2:A1898, 0))="")=TRUE),  "",  INDEX(RulebookFields!C2:C1898, MATCH(D464,RulebookFields!A2:A1898, 0))), "")</f>
        <v>AgentDecisionRecords</v>
      </c>
      <c r="I464" s="4" t="str">
        <f>_xlfn.IFNA(IF(((INDEX(RulebookFields!D2:D1898, MATCH(D464,RulebookFields!A2:A1898, 0))="")=TRUE),  "",  INDEX(RulebookFields!D2:D1898, MATCH(D464,RulebookFields!A2:A1898, 0))), "")</f>
        <v>NeedsHumanConfirmation</v>
      </c>
      <c r="J464" s="4" t="b">
        <f>_xlfn.IFNA(IF(((INDEX(RulebookFields!I2:I1898, MATCH(D464,RulebookFields!A2:A1898, 0))="")=TRUE),  "",  INDEX(RulebookFields!I2:I1898, MATCH(D464,RulebookFields!A2:A1898, 0))), "")</f>
        <v>1</v>
      </c>
      <c r="K464" s="4" t="b">
        <f>AND(((F464)=TRUE), ((J464)=TRUE))</f>
        <v>0</v>
      </c>
      <c r="L464" s="4" t="b">
        <f>AND(((G464 &lt;&gt; "plain")=TRUE), ((G464 &lt;&gt; "")=TRUE))</f>
        <v>0</v>
      </c>
      <c r="M464" s="4" t="str">
        <f>IF(((E464)=TRUE),  C464 &amp; "|" &amp; H464,  "")</f>
        <v>principal-process-steward|AgentDecisionRecords</v>
      </c>
      <c r="N464" s="3" t="s">
        <v>10004</v>
      </c>
    </row>
    <row r="465">
      <c r="A465" s="3" t="s">
        <v>10467</v>
      </c>
      <c r="B465" s="4" t="str">
        <f>C465 &amp; " -&gt; " &amp; D465</f>
        <v>principal-process-steward -&gt; AgentDecisionRecords.IsUnconfirmedNonHumanDecision</v>
      </c>
      <c r="C465" s="3" t="s">
        <v>9772</v>
      </c>
      <c r="D465" s="3" t="s">
        <v>5052</v>
      </c>
      <c r="E465" s="3" t="b">
        <v>1</v>
      </c>
      <c r="F465" s="3" t="b">
        <v>0</v>
      </c>
      <c r="G465" s="3" t="s">
        <v>10003</v>
      </c>
      <c r="H465" s="4" t="str">
        <f>_xlfn.IFNA(IF(((INDEX(RulebookFields!C2:C1898, MATCH(D465,RulebookFields!A2:A1898, 0))="")=TRUE),  "",  INDEX(RulebookFields!C2:C1898, MATCH(D465,RulebookFields!A2:A1898, 0))), "")</f>
        <v>AgentDecisionRecords</v>
      </c>
      <c r="I465" s="4" t="str">
        <f>_xlfn.IFNA(IF(((INDEX(RulebookFields!D2:D1898, MATCH(D465,RulebookFields!A2:A1898, 0))="")=TRUE),  "",  INDEX(RulebookFields!D2:D1898, MATCH(D465,RulebookFields!A2:A1898, 0))), "")</f>
        <v>IsUnconfirmedNonHumanDecision</v>
      </c>
      <c r="J465" s="4" t="b">
        <f>_xlfn.IFNA(IF(((INDEX(RulebookFields!I2:I1898, MATCH(D465,RulebookFields!A2:A1898, 0))="")=TRUE),  "",  INDEX(RulebookFields!I2:I1898, MATCH(D465,RulebookFields!A2:A1898, 0))), "")</f>
        <v>1</v>
      </c>
      <c r="K465" s="4" t="b">
        <f>AND(((F465)=TRUE), ((J465)=TRUE))</f>
        <v>0</v>
      </c>
      <c r="L465" s="4" t="b">
        <f>AND(((G465 &lt;&gt; "plain")=TRUE), ((G465 &lt;&gt; "")=TRUE))</f>
        <v>0</v>
      </c>
      <c r="M465" s="4" t="str">
        <f>IF(((E465)=TRUE),  C465 &amp; "|" &amp; H465,  "")</f>
        <v>principal-process-steward|AgentDecisionRecords</v>
      </c>
      <c r="N465" s="3" t="s">
        <v>10004</v>
      </c>
    </row>
    <row r="466">
      <c r="A466" s="3" t="s">
        <v>10468</v>
      </c>
      <c r="B466" s="4" t="str">
        <f>C466 &amp; " -&gt; " &amp; D466</f>
        <v>principal-process-steward -&gt; AgentDecisionRecords.StepExecutionWhenUnconfirmed</v>
      </c>
      <c r="C466" s="3" t="s">
        <v>9772</v>
      </c>
      <c r="D466" s="3" t="s">
        <v>5055</v>
      </c>
      <c r="E466" s="3" t="b">
        <v>1</v>
      </c>
      <c r="F466" s="3" t="b">
        <v>0</v>
      </c>
      <c r="G466" s="3" t="s">
        <v>10003</v>
      </c>
      <c r="H466" s="4" t="str">
        <f>_xlfn.IFNA(IF(((INDEX(RulebookFields!C2:C1898, MATCH(D466,RulebookFields!A2:A1898, 0))="")=TRUE),  "",  INDEX(RulebookFields!C2:C1898, MATCH(D466,RulebookFields!A2:A1898, 0))), "")</f>
        <v>AgentDecisionRecords</v>
      </c>
      <c r="I466" s="4" t="str">
        <f>_xlfn.IFNA(IF(((INDEX(RulebookFields!D2:D1898, MATCH(D466,RulebookFields!A2:A1898, 0))="")=TRUE),  "",  INDEX(RulebookFields!D2:D1898, MATCH(D466,RulebookFields!A2:A1898, 0))), "")</f>
        <v>StepExecutionWhenUnconfirmed</v>
      </c>
      <c r="J466" s="4" t="b">
        <f>_xlfn.IFNA(IF(((INDEX(RulebookFields!I2:I1898, MATCH(D466,RulebookFields!A2:A1898, 0))="")=TRUE),  "",  INDEX(RulebookFields!I2:I1898, MATCH(D466,RulebookFields!A2:A1898, 0))), "")</f>
        <v>1</v>
      </c>
      <c r="K466" s="4" t="b">
        <f>AND(((F466)=TRUE), ((J466)=TRUE))</f>
        <v>0</v>
      </c>
      <c r="L466" s="4" t="b">
        <f>AND(((G466 &lt;&gt; "plain")=TRUE), ((G466 &lt;&gt; "")=TRUE))</f>
        <v>0</v>
      </c>
      <c r="M466" s="4" t="str">
        <f>IF(((E466)=TRUE),  C466 &amp; "|" &amp; H466,  "")</f>
        <v>principal-process-steward|AgentDecisionRecords</v>
      </c>
      <c r="N466" s="3" t="s">
        <v>10004</v>
      </c>
    </row>
    <row r="467">
      <c r="A467" s="3" t="s">
        <v>10469</v>
      </c>
      <c r="B467" s="4" t="str">
        <f>C467 &amp; " -&gt; " &amp; D467</f>
        <v>principal-process-steward -&gt; AgentDecisionRecords.AgentWhenBoundaryViolated</v>
      </c>
      <c r="C467" s="3" t="s">
        <v>9772</v>
      </c>
      <c r="D467" s="3" t="s">
        <v>5058</v>
      </c>
      <c r="E467" s="3" t="b">
        <v>1</v>
      </c>
      <c r="F467" s="3" t="b">
        <v>0</v>
      </c>
      <c r="G467" s="3" t="s">
        <v>10003</v>
      </c>
      <c r="H467" s="4" t="str">
        <f>_xlfn.IFNA(IF(((INDEX(RulebookFields!C2:C1898, MATCH(D467,RulebookFields!A2:A1898, 0))="")=TRUE),  "",  INDEX(RulebookFields!C2:C1898, MATCH(D467,RulebookFields!A2:A1898, 0))), "")</f>
        <v>AgentDecisionRecords</v>
      </c>
      <c r="I467" s="4" t="str">
        <f>_xlfn.IFNA(IF(((INDEX(RulebookFields!D2:D1898, MATCH(D467,RulebookFields!A2:A1898, 0))="")=TRUE),  "",  INDEX(RulebookFields!D2:D1898, MATCH(D467,RulebookFields!A2:A1898, 0))), "")</f>
        <v>AgentWhenBoundaryViolated</v>
      </c>
      <c r="J467" s="4" t="b">
        <f>_xlfn.IFNA(IF(((INDEX(RulebookFields!I2:I1898, MATCH(D467,RulebookFields!A2:A1898, 0))="")=TRUE),  "",  INDEX(RulebookFields!I2:I1898, MATCH(D467,RulebookFields!A2:A1898, 0))), "")</f>
        <v>1</v>
      </c>
      <c r="K467" s="4" t="b">
        <f>AND(((F467)=TRUE), ((J467)=TRUE))</f>
        <v>0</v>
      </c>
      <c r="L467" s="4" t="b">
        <f>AND(((G467 &lt;&gt; "plain")=TRUE), ((G467 &lt;&gt; "")=TRUE))</f>
        <v>0</v>
      </c>
      <c r="M467" s="4" t="str">
        <f>IF(((E467)=TRUE),  C467 &amp; "|" &amp; H467,  "")</f>
        <v>principal-process-steward|AgentDecisionRecords</v>
      </c>
      <c r="N467" s="3" t="s">
        <v>10004</v>
      </c>
    </row>
    <row r="468">
      <c r="A468" s="3" t="s">
        <v>10470</v>
      </c>
      <c r="B468" s="4" t="str">
        <f>C468 &amp; " -&gt; " &amp; D468</f>
        <v>principal-process-steward -&gt; AgentDecisionRecords.ReviewLatencyMinutes</v>
      </c>
      <c r="C468" s="3" t="s">
        <v>9772</v>
      </c>
      <c r="D468" s="3" t="s">
        <v>5061</v>
      </c>
      <c r="E468" s="3" t="b">
        <v>1</v>
      </c>
      <c r="F468" s="3" t="b">
        <v>0</v>
      </c>
      <c r="G468" s="3" t="s">
        <v>10003</v>
      </c>
      <c r="H468" s="4" t="str">
        <f>_xlfn.IFNA(IF(((INDEX(RulebookFields!C2:C1898, MATCH(D468,RulebookFields!A2:A1898, 0))="")=TRUE),  "",  INDEX(RulebookFields!C2:C1898, MATCH(D468,RulebookFields!A2:A1898, 0))), "")</f>
        <v>AgentDecisionRecords</v>
      </c>
      <c r="I468" s="4" t="str">
        <f>_xlfn.IFNA(IF(((INDEX(RulebookFields!D2:D1898, MATCH(D468,RulebookFields!A2:A1898, 0))="")=TRUE),  "",  INDEX(RulebookFields!D2:D1898, MATCH(D468,RulebookFields!A2:A1898, 0))), "")</f>
        <v>ReviewLatencyMinutes</v>
      </c>
      <c r="J468" s="4" t="b">
        <f>_xlfn.IFNA(IF(((INDEX(RulebookFields!I2:I1898, MATCH(D468,RulebookFields!A2:A1898, 0))="")=TRUE),  "",  INDEX(RulebookFields!I2:I1898, MATCH(D468,RulebookFields!A2:A1898, 0))), "")</f>
        <v>1</v>
      </c>
      <c r="K468" s="4" t="b">
        <f>AND(((F468)=TRUE), ((J468)=TRUE))</f>
        <v>0</v>
      </c>
      <c r="L468" s="4" t="b">
        <f>AND(((G468 &lt;&gt; "plain")=TRUE), ((G468 &lt;&gt; "")=TRUE))</f>
        <v>0</v>
      </c>
      <c r="M468" s="4" t="str">
        <f>IF(((E468)=TRUE),  C468 &amp; "|" &amp; H468,  "")</f>
        <v>principal-process-steward|AgentDecisionRecords</v>
      </c>
      <c r="N468" s="3" t="s">
        <v>10004</v>
      </c>
    </row>
    <row r="469">
      <c r="A469" s="3" t="s">
        <v>10471</v>
      </c>
      <c r="B469" s="4" t="str">
        <f>C469 &amp; " -&gt; " &amp; D469</f>
        <v>principal-process-steward -&gt; AgentDecisionRecords.IsDraftKind</v>
      </c>
      <c r="C469" s="3" t="s">
        <v>9772</v>
      </c>
      <c r="D469" s="3" t="s">
        <v>5064</v>
      </c>
      <c r="E469" s="3" t="b">
        <v>1</v>
      </c>
      <c r="F469" s="3" t="b">
        <v>0</v>
      </c>
      <c r="G469" s="3" t="s">
        <v>10003</v>
      </c>
      <c r="H469" s="4" t="str">
        <f>_xlfn.IFNA(IF(((INDEX(RulebookFields!C2:C1898, MATCH(D469,RulebookFields!A2:A1898, 0))="")=TRUE),  "",  INDEX(RulebookFields!C2:C1898, MATCH(D469,RulebookFields!A2:A1898, 0))), "")</f>
        <v>AgentDecisionRecords</v>
      </c>
      <c r="I469" s="4" t="str">
        <f>_xlfn.IFNA(IF(((INDEX(RulebookFields!D2:D1898, MATCH(D469,RulebookFields!A2:A1898, 0))="")=TRUE),  "",  INDEX(RulebookFields!D2:D1898, MATCH(D469,RulebookFields!A2:A1898, 0))), "")</f>
        <v>IsDraftKind</v>
      </c>
      <c r="J469" s="4" t="b">
        <f>_xlfn.IFNA(IF(((INDEX(RulebookFields!I2:I1898, MATCH(D469,RulebookFields!A2:A1898, 0))="")=TRUE),  "",  INDEX(RulebookFields!I2:I1898, MATCH(D469,RulebookFields!A2:A1898, 0))), "")</f>
        <v>1</v>
      </c>
      <c r="K469" s="4" t="b">
        <f>AND(((F469)=TRUE), ((J469)=TRUE))</f>
        <v>0</v>
      </c>
      <c r="L469" s="4" t="b">
        <f>AND(((G469 &lt;&gt; "plain")=TRUE), ((G469 &lt;&gt; "")=TRUE))</f>
        <v>0</v>
      </c>
      <c r="M469" s="4" t="str">
        <f>IF(((E469)=TRUE),  C469 &amp; "|" &amp; H469,  "")</f>
        <v>principal-process-steward|AgentDecisionRecords</v>
      </c>
      <c r="N469" s="3" t="s">
        <v>10004</v>
      </c>
    </row>
    <row r="470">
      <c r="A470" s="3" t="s">
        <v>10472</v>
      </c>
      <c r="B470" s="4" t="str">
        <f>C470 &amp; " -&gt; " &amp; D470</f>
        <v>principal-process-steward -&gt; AgentDecisionRecords.AgentWhenDraftOverridden</v>
      </c>
      <c r="C470" s="3" t="s">
        <v>9772</v>
      </c>
      <c r="D470" s="3" t="s">
        <v>5067</v>
      </c>
      <c r="E470" s="3" t="b">
        <v>1</v>
      </c>
      <c r="F470" s="3" t="b">
        <v>0</v>
      </c>
      <c r="G470" s="3" t="s">
        <v>10003</v>
      </c>
      <c r="H470" s="4" t="str">
        <f>_xlfn.IFNA(IF(((INDEX(RulebookFields!C2:C1898, MATCH(D470,RulebookFields!A2:A1898, 0))="")=TRUE),  "",  INDEX(RulebookFields!C2:C1898, MATCH(D470,RulebookFields!A2:A1898, 0))), "")</f>
        <v>AgentDecisionRecords</v>
      </c>
      <c r="I470" s="4" t="str">
        <f>_xlfn.IFNA(IF(((INDEX(RulebookFields!D2:D1898, MATCH(D470,RulebookFields!A2:A1898, 0))="")=TRUE),  "",  INDEX(RulebookFields!D2:D1898, MATCH(D470,RulebookFields!A2:A1898, 0))), "")</f>
        <v>AgentWhenDraftOverridden</v>
      </c>
      <c r="J470" s="4" t="b">
        <f>_xlfn.IFNA(IF(((INDEX(RulebookFields!I2:I1898, MATCH(D470,RulebookFields!A2:A1898, 0))="")=TRUE),  "",  INDEX(RulebookFields!I2:I1898, MATCH(D470,RulebookFields!A2:A1898, 0))), "")</f>
        <v>1</v>
      </c>
      <c r="K470" s="4" t="b">
        <f>AND(((F470)=TRUE), ((J470)=TRUE))</f>
        <v>0</v>
      </c>
      <c r="L470" s="4" t="b">
        <f>AND(((G470 &lt;&gt; "plain")=TRUE), ((G470 &lt;&gt; "")=TRUE))</f>
        <v>0</v>
      </c>
      <c r="M470" s="4" t="str">
        <f>IF(((E470)=TRUE),  C470 &amp; "|" &amp; H470,  "")</f>
        <v>principal-process-steward|AgentDecisionRecords</v>
      </c>
      <c r="N470" s="3" t="s">
        <v>10004</v>
      </c>
    </row>
    <row r="471">
      <c r="A471" s="3" t="s">
        <v>10473</v>
      </c>
      <c r="B471" s="4" t="str">
        <f>C471 &amp; " -&gt; " &amp; D471</f>
        <v>principal-process-steward -&gt; AgentDecisionRecords.AgentWhenDraft</v>
      </c>
      <c r="C471" s="3" t="s">
        <v>9772</v>
      </c>
      <c r="D471" s="3" t="s">
        <v>5070</v>
      </c>
      <c r="E471" s="3" t="b">
        <v>1</v>
      </c>
      <c r="F471" s="3" t="b">
        <v>0</v>
      </c>
      <c r="G471" s="3" t="s">
        <v>10003</v>
      </c>
      <c r="H471" s="4" t="str">
        <f>_xlfn.IFNA(IF(((INDEX(RulebookFields!C2:C1898, MATCH(D471,RulebookFields!A2:A1898, 0))="")=TRUE),  "",  INDEX(RulebookFields!C2:C1898, MATCH(D471,RulebookFields!A2:A1898, 0))), "")</f>
        <v>AgentDecisionRecords</v>
      </c>
      <c r="I471" s="4" t="str">
        <f>_xlfn.IFNA(IF(((INDEX(RulebookFields!D2:D1898, MATCH(D471,RulebookFields!A2:A1898, 0))="")=TRUE),  "",  INDEX(RulebookFields!D2:D1898, MATCH(D471,RulebookFields!A2:A1898, 0))), "")</f>
        <v>AgentWhenDraft</v>
      </c>
      <c r="J471" s="4" t="b">
        <f>_xlfn.IFNA(IF(((INDEX(RulebookFields!I2:I1898, MATCH(D471,RulebookFields!A2:A1898, 0))="")=TRUE),  "",  INDEX(RulebookFields!I2:I1898, MATCH(D471,RulebookFields!A2:A1898, 0))), "")</f>
        <v>1</v>
      </c>
      <c r="K471" s="4" t="b">
        <f>AND(((F471)=TRUE), ((J471)=TRUE))</f>
        <v>0</v>
      </c>
      <c r="L471" s="4" t="b">
        <f>AND(((G471 &lt;&gt; "plain")=TRUE), ((G471 &lt;&gt; "")=TRUE))</f>
        <v>0</v>
      </c>
      <c r="M471" s="4" t="str">
        <f>IF(((E471)=TRUE),  C471 &amp; "|" &amp; H471,  "")</f>
        <v>principal-process-steward|AgentDecisionRecords</v>
      </c>
      <c r="N471" s="3" t="s">
        <v>10004</v>
      </c>
    </row>
    <row r="472">
      <c r="A472" s="3" t="s">
        <v>10474</v>
      </c>
      <c r="B472" s="4" t="str">
        <f>C472 &amp; " -&gt; " &amp; D472</f>
        <v>principal-process-steward -&gt; AgentDecisionRecords.OverrideReasonKind</v>
      </c>
      <c r="C472" s="3" t="s">
        <v>9772</v>
      </c>
      <c r="D472" s="3" t="s">
        <v>5073</v>
      </c>
      <c r="E472" s="3" t="b">
        <v>1</v>
      </c>
      <c r="F472" s="3" t="b">
        <v>0</v>
      </c>
      <c r="G472" s="3" t="s">
        <v>10003</v>
      </c>
      <c r="H472" s="4" t="str">
        <f>_xlfn.IFNA(IF(((INDEX(RulebookFields!C2:C1898, MATCH(D472,RulebookFields!A2:A1898, 0))="")=TRUE),  "",  INDEX(RulebookFields!C2:C1898, MATCH(D472,RulebookFields!A2:A1898, 0))), "")</f>
        <v>AgentDecisionRecords</v>
      </c>
      <c r="I472" s="4" t="str">
        <f>_xlfn.IFNA(IF(((INDEX(RulebookFields!D2:D1898, MATCH(D472,RulebookFields!A2:A1898, 0))="")=TRUE),  "",  INDEX(RulebookFields!D2:D1898, MATCH(D472,RulebookFields!A2:A1898, 0))), "")</f>
        <v>OverrideReasonKind</v>
      </c>
      <c r="J472" s="4" t="b">
        <f>_xlfn.IFNA(IF(((INDEX(RulebookFields!I2:I1898, MATCH(D472,RulebookFields!A2:A1898, 0))="")=TRUE),  "",  INDEX(RulebookFields!I2:I1898, MATCH(D472,RulebookFields!A2:A1898, 0))), "")</f>
        <v>0</v>
      </c>
      <c r="K472" s="4" t="b">
        <f>AND(((F472)=TRUE), ((J472)=TRUE))</f>
        <v>0</v>
      </c>
      <c r="L472" s="4" t="b">
        <f>AND(((G472 &lt;&gt; "plain")=TRUE), ((G472 &lt;&gt; "")=TRUE))</f>
        <v>0</v>
      </c>
      <c r="M472" s="4" t="str">
        <f>IF(((E472)=TRUE),  C472 &amp; "|" &amp; H472,  "")</f>
        <v>principal-process-steward|AgentDecisionRecords</v>
      </c>
      <c r="N472" s="3" t="s">
        <v>10004</v>
      </c>
    </row>
    <row r="473">
      <c r="A473" s="3" t="s">
        <v>10475</v>
      </c>
      <c r="B473" s="4" t="str">
        <f>C473 &amp; " -&gt; " &amp; D473</f>
        <v>principal-process-steward -&gt; AgentDecisionRecords.IsErrorCorrection</v>
      </c>
      <c r="C473" s="3" t="s">
        <v>9772</v>
      </c>
      <c r="D473" s="3" t="s">
        <v>5075</v>
      </c>
      <c r="E473" s="3" t="b">
        <v>1</v>
      </c>
      <c r="F473" s="3" t="b">
        <v>0</v>
      </c>
      <c r="G473" s="3" t="s">
        <v>10003</v>
      </c>
      <c r="H473" s="4" t="str">
        <f>_xlfn.IFNA(IF(((INDEX(RulebookFields!C2:C1898, MATCH(D473,RulebookFields!A2:A1898, 0))="")=TRUE),  "",  INDEX(RulebookFields!C2:C1898, MATCH(D473,RulebookFields!A2:A1898, 0))), "")</f>
        <v>AgentDecisionRecords</v>
      </c>
      <c r="I473" s="4" t="str">
        <f>_xlfn.IFNA(IF(((INDEX(RulebookFields!D2:D1898, MATCH(D473,RulebookFields!A2:A1898, 0))="")=TRUE),  "",  INDEX(RulebookFields!D2:D1898, MATCH(D473,RulebookFields!A2:A1898, 0))), "")</f>
        <v>IsErrorCorrection</v>
      </c>
      <c r="J473" s="4" t="b">
        <f>_xlfn.IFNA(IF(((INDEX(RulebookFields!I2:I1898, MATCH(D473,RulebookFields!A2:A1898, 0))="")=TRUE),  "",  INDEX(RulebookFields!I2:I1898, MATCH(D473,RulebookFields!A2:A1898, 0))), "")</f>
        <v>1</v>
      </c>
      <c r="K473" s="4" t="b">
        <f>AND(((F473)=TRUE), ((J473)=TRUE))</f>
        <v>0</v>
      </c>
      <c r="L473" s="4" t="b">
        <f>AND(((G473 &lt;&gt; "plain")=TRUE), ((G473 &lt;&gt; "")=TRUE))</f>
        <v>0</v>
      </c>
      <c r="M473" s="4" t="str">
        <f>IF(((E473)=TRUE),  C473 &amp; "|" &amp; H473,  "")</f>
        <v>principal-process-steward|AgentDecisionRecords</v>
      </c>
      <c r="N473" s="3" t="s">
        <v>10004</v>
      </c>
    </row>
    <row r="474">
      <c r="A474" s="3" t="s">
        <v>10476</v>
      </c>
      <c r="B474" s="4" t="str">
        <f>C474 &amp; " -&gt; " &amp; D474</f>
        <v>principal-process-steward -&gt; AgentDecisionRecords.IsReservedJudgmentOverride</v>
      </c>
      <c r="C474" s="3" t="s">
        <v>9772</v>
      </c>
      <c r="D474" s="3" t="s">
        <v>5078</v>
      </c>
      <c r="E474" s="3" t="b">
        <v>1</v>
      </c>
      <c r="F474" s="3" t="b">
        <v>0</v>
      </c>
      <c r="G474" s="3" t="s">
        <v>10003</v>
      </c>
      <c r="H474" s="4" t="str">
        <f>_xlfn.IFNA(IF(((INDEX(RulebookFields!C2:C1898, MATCH(D474,RulebookFields!A2:A1898, 0))="")=TRUE),  "",  INDEX(RulebookFields!C2:C1898, MATCH(D474,RulebookFields!A2:A1898, 0))), "")</f>
        <v>AgentDecisionRecords</v>
      </c>
      <c r="I474" s="4" t="str">
        <f>_xlfn.IFNA(IF(((INDEX(RulebookFields!D2:D1898, MATCH(D474,RulebookFields!A2:A1898, 0))="")=TRUE),  "",  INDEX(RulebookFields!D2:D1898, MATCH(D474,RulebookFields!A2:A1898, 0))), "")</f>
        <v>IsReservedJudgmentOverride</v>
      </c>
      <c r="J474" s="4" t="b">
        <f>_xlfn.IFNA(IF(((INDEX(RulebookFields!I2:I1898, MATCH(D474,RulebookFields!A2:A1898, 0))="")=TRUE),  "",  INDEX(RulebookFields!I2:I1898, MATCH(D474,RulebookFields!A2:A1898, 0))), "")</f>
        <v>1</v>
      </c>
      <c r="K474" s="4" t="b">
        <f>AND(((F474)=TRUE), ((J474)=TRUE))</f>
        <v>0</v>
      </c>
      <c r="L474" s="4" t="b">
        <f>AND(((G474 &lt;&gt; "plain")=TRUE), ((G474 &lt;&gt; "")=TRUE))</f>
        <v>0</v>
      </c>
      <c r="M474" s="4" t="str">
        <f>IF(((E474)=TRUE),  C474 &amp; "|" &amp; H474,  "")</f>
        <v>principal-process-steward|AgentDecisionRecords</v>
      </c>
      <c r="N474" s="3" t="s">
        <v>10004</v>
      </c>
    </row>
    <row r="475">
      <c r="A475" s="3" t="s">
        <v>10477</v>
      </c>
      <c r="B475" s="4" t="str">
        <f>C475 &amp; " -&gt; " &amp; D475</f>
        <v>principal-process-steward -&gt; AgentDecisionRecords.OverrideReasonIsRecorded</v>
      </c>
      <c r="C475" s="3" t="s">
        <v>9772</v>
      </c>
      <c r="D475" s="3" t="s">
        <v>5081</v>
      </c>
      <c r="E475" s="3" t="b">
        <v>1</v>
      </c>
      <c r="F475" s="3" t="b">
        <v>0</v>
      </c>
      <c r="G475" s="3" t="s">
        <v>10003</v>
      </c>
      <c r="H475" s="4" t="str">
        <f>_xlfn.IFNA(IF(((INDEX(RulebookFields!C2:C1898, MATCH(D475,RulebookFields!A2:A1898, 0))="")=TRUE),  "",  INDEX(RulebookFields!C2:C1898, MATCH(D475,RulebookFields!A2:A1898, 0))), "")</f>
        <v>AgentDecisionRecords</v>
      </c>
      <c r="I475" s="4" t="str">
        <f>_xlfn.IFNA(IF(((INDEX(RulebookFields!D2:D1898, MATCH(D475,RulebookFields!A2:A1898, 0))="")=TRUE),  "",  INDEX(RulebookFields!D2:D1898, MATCH(D475,RulebookFields!A2:A1898, 0))), "")</f>
        <v>OverrideReasonIsRecorded</v>
      </c>
      <c r="J475" s="4" t="b">
        <f>_xlfn.IFNA(IF(((INDEX(RulebookFields!I2:I1898, MATCH(D475,RulebookFields!A2:A1898, 0))="")=TRUE),  "",  INDEX(RulebookFields!I2:I1898, MATCH(D475,RulebookFields!A2:A1898, 0))), "")</f>
        <v>1</v>
      </c>
      <c r="K475" s="4" t="b">
        <f>AND(((F475)=TRUE), ((J475)=TRUE))</f>
        <v>0</v>
      </c>
      <c r="L475" s="4" t="b">
        <f>AND(((G475 &lt;&gt; "plain")=TRUE), ((G475 &lt;&gt; "")=TRUE))</f>
        <v>0</v>
      </c>
      <c r="M475" s="4" t="str">
        <f>IF(((E475)=TRUE),  C475 &amp; "|" &amp; H475,  "")</f>
        <v>principal-process-steward|AgentDecisionRecords</v>
      </c>
      <c r="N475" s="3" t="s">
        <v>10004</v>
      </c>
    </row>
    <row r="476">
      <c r="A476" s="3" t="s">
        <v>10478</v>
      </c>
      <c r="B476" s="4" t="str">
        <f>C476 &amp; " -&gt; " &amp; D476</f>
        <v>principal-process-steward -&gt; AgentDecisionRecords.IsUnexplainedOverride</v>
      </c>
      <c r="C476" s="3" t="s">
        <v>9772</v>
      </c>
      <c r="D476" s="3" t="s">
        <v>5084</v>
      </c>
      <c r="E476" s="3" t="b">
        <v>1</v>
      </c>
      <c r="F476" s="3" t="b">
        <v>0</v>
      </c>
      <c r="G476" s="3" t="s">
        <v>10003</v>
      </c>
      <c r="H476" s="4" t="str">
        <f>_xlfn.IFNA(IF(((INDEX(RulebookFields!C2:C1898, MATCH(D476,RulebookFields!A2:A1898, 0))="")=TRUE),  "",  INDEX(RulebookFields!C2:C1898, MATCH(D476,RulebookFields!A2:A1898, 0))), "")</f>
        <v>AgentDecisionRecords</v>
      </c>
      <c r="I476" s="4" t="str">
        <f>_xlfn.IFNA(IF(((INDEX(RulebookFields!D2:D1898, MATCH(D476,RulebookFields!A2:A1898, 0))="")=TRUE),  "",  INDEX(RulebookFields!D2:D1898, MATCH(D476,RulebookFields!A2:A1898, 0))), "")</f>
        <v>IsUnexplainedOverride</v>
      </c>
      <c r="J476" s="4" t="b">
        <f>_xlfn.IFNA(IF(((INDEX(RulebookFields!I2:I1898, MATCH(D476,RulebookFields!A2:A1898, 0))="")=TRUE),  "",  INDEX(RulebookFields!I2:I1898, MATCH(D476,RulebookFields!A2:A1898, 0))), "")</f>
        <v>1</v>
      </c>
      <c r="K476" s="4" t="b">
        <f>AND(((F476)=TRUE), ((J476)=TRUE))</f>
        <v>0</v>
      </c>
      <c r="L476" s="4" t="b">
        <f>AND(((G476 &lt;&gt; "plain")=TRUE), ((G476 &lt;&gt; "")=TRUE))</f>
        <v>0</v>
      </c>
      <c r="M476" s="4" t="str">
        <f>IF(((E476)=TRUE),  C476 &amp; "|" &amp; H476,  "")</f>
        <v>principal-process-steward|AgentDecisionRecords</v>
      </c>
      <c r="N476" s="3" t="s">
        <v>10004</v>
      </c>
    </row>
    <row r="477">
      <c r="A477" s="3" t="s">
        <v>10479</v>
      </c>
      <c r="B477" s="4" t="str">
        <f>C477 &amp; " -&gt; " &amp; D477</f>
        <v>principal-process-steward -&gt; AgentDecisionRecords.ErrorCorrectionRoleAssignmentKey</v>
      </c>
      <c r="C477" s="3" t="s">
        <v>9772</v>
      </c>
      <c r="D477" s="3" t="s">
        <v>5087</v>
      </c>
      <c r="E477" s="3" t="b">
        <v>1</v>
      </c>
      <c r="F477" s="3" t="b">
        <v>0</v>
      </c>
      <c r="G477" s="3" t="s">
        <v>10003</v>
      </c>
      <c r="H477" s="4" t="str">
        <f>_xlfn.IFNA(IF(((INDEX(RulebookFields!C2:C1898, MATCH(D477,RulebookFields!A2:A1898, 0))="")=TRUE),  "",  INDEX(RulebookFields!C2:C1898, MATCH(D477,RulebookFields!A2:A1898, 0))), "")</f>
        <v>AgentDecisionRecords</v>
      </c>
      <c r="I477" s="4" t="str">
        <f>_xlfn.IFNA(IF(((INDEX(RulebookFields!D2:D1898, MATCH(D477,RulebookFields!A2:A1898, 0))="")=TRUE),  "",  INDEX(RulebookFields!D2:D1898, MATCH(D477,RulebookFields!A2:A1898, 0))), "")</f>
        <v>ErrorCorrectionRoleAssignmentKey</v>
      </c>
      <c r="J477" s="4" t="b">
        <f>_xlfn.IFNA(IF(((INDEX(RulebookFields!I2:I1898, MATCH(D477,RulebookFields!A2:A1898, 0))="")=TRUE),  "",  INDEX(RulebookFields!I2:I1898, MATCH(D477,RulebookFields!A2:A1898, 0))), "")</f>
        <v>1</v>
      </c>
      <c r="K477" s="4" t="b">
        <f>AND(((F477)=TRUE), ((J477)=TRUE))</f>
        <v>0</v>
      </c>
      <c r="L477" s="4" t="b">
        <f>AND(((G477 &lt;&gt; "plain")=TRUE), ((G477 &lt;&gt; "")=TRUE))</f>
        <v>0</v>
      </c>
      <c r="M477" s="4" t="str">
        <f>IF(((E477)=TRUE),  C477 &amp; "|" &amp; H477,  "")</f>
        <v>principal-process-steward|AgentDecisionRecords</v>
      </c>
      <c r="N477" s="3" t="s">
        <v>10004</v>
      </c>
    </row>
    <row r="478">
      <c r="A478" s="3" t="s">
        <v>10480</v>
      </c>
      <c r="B478" s="4" t="str">
        <f>C478 &amp; " -&gt; " &amp; D478</f>
        <v>principal-process-steward -&gt; AgentDecisionRecords.BoundaryViolationRoleAssignmentKey</v>
      </c>
      <c r="C478" s="3" t="s">
        <v>9772</v>
      </c>
      <c r="D478" s="3" t="s">
        <v>5090</v>
      </c>
      <c r="E478" s="3" t="b">
        <v>1</v>
      </c>
      <c r="F478" s="3" t="b">
        <v>0</v>
      </c>
      <c r="G478" s="3" t="s">
        <v>10003</v>
      </c>
      <c r="H478" s="4" t="str">
        <f>_xlfn.IFNA(IF(((INDEX(RulebookFields!C2:C1898, MATCH(D478,RulebookFields!A2:A1898, 0))="")=TRUE),  "",  INDEX(RulebookFields!C2:C1898, MATCH(D478,RulebookFields!A2:A1898, 0))), "")</f>
        <v>AgentDecisionRecords</v>
      </c>
      <c r="I478" s="4" t="str">
        <f>_xlfn.IFNA(IF(((INDEX(RulebookFields!D2:D1898, MATCH(D478,RulebookFields!A2:A1898, 0))="")=TRUE),  "",  INDEX(RulebookFields!D2:D1898, MATCH(D478,RulebookFields!A2:A1898, 0))), "")</f>
        <v>BoundaryViolationRoleAssignmentKey</v>
      </c>
      <c r="J478" s="4" t="b">
        <f>_xlfn.IFNA(IF(((INDEX(RulebookFields!I2:I1898, MATCH(D478,RulebookFields!A2:A1898, 0))="")=TRUE),  "",  INDEX(RulebookFields!I2:I1898, MATCH(D478,RulebookFields!A2:A1898, 0))), "")</f>
        <v>1</v>
      </c>
      <c r="K478" s="4" t="b">
        <f>AND(((F478)=TRUE), ((J478)=TRUE))</f>
        <v>0</v>
      </c>
      <c r="L478" s="4" t="b">
        <f>AND(((G478 &lt;&gt; "plain")=TRUE), ((G478 &lt;&gt; "")=TRUE))</f>
        <v>0</v>
      </c>
      <c r="M478" s="4" t="str">
        <f>IF(((E478)=TRUE),  C478 &amp; "|" &amp; H478,  "")</f>
        <v>principal-process-steward|AgentDecisionRecords</v>
      </c>
      <c r="N478" s="3" t="s">
        <v>10004</v>
      </c>
    </row>
    <row r="479">
      <c r="A479" s="3" t="s">
        <v>10481</v>
      </c>
      <c r="B479" s="4" t="str">
        <f>C479 &amp; " -&gt; " &amp; D479</f>
        <v>principal-process-steward -&gt; AgentDecisionRecords.SemanticTypeIri</v>
      </c>
      <c r="C479" s="3" t="s">
        <v>9772</v>
      </c>
      <c r="D479" s="3" t="s">
        <v>5093</v>
      </c>
      <c r="E479" s="3" t="b">
        <v>1</v>
      </c>
      <c r="F479" s="3" t="b">
        <v>0</v>
      </c>
      <c r="G479" s="3" t="s">
        <v>10003</v>
      </c>
      <c r="H479" s="4" t="str">
        <f>_xlfn.IFNA(IF(((INDEX(RulebookFields!C2:C1898, MATCH(D479,RulebookFields!A2:A1898, 0))="")=TRUE),  "",  INDEX(RulebookFields!C2:C1898, MATCH(D479,RulebookFields!A2:A1898, 0))), "")</f>
        <v>AgentDecisionRecords</v>
      </c>
      <c r="I479" s="4" t="str">
        <f>_xlfn.IFNA(IF(((INDEX(RulebookFields!D2:D1898, MATCH(D479,RulebookFields!A2:A1898, 0))="")=TRUE),  "",  INDEX(RulebookFields!D2:D1898, MATCH(D479,RulebookFields!A2:A1898, 0))), "")</f>
        <v>SemanticTypeIri</v>
      </c>
      <c r="J479" s="4" t="b">
        <f>_xlfn.IFNA(IF(((INDEX(RulebookFields!I2:I1898, MATCH(D479,RulebookFields!A2:A1898, 0))="")=TRUE),  "",  INDEX(RulebookFields!I2:I1898, MATCH(D479,RulebookFields!A2:A1898, 0))), "")</f>
        <v>0</v>
      </c>
      <c r="K479" s="4" t="b">
        <f>AND(((F479)=TRUE), ((J479)=TRUE))</f>
        <v>0</v>
      </c>
      <c r="L479" s="4" t="b">
        <f>AND(((G479 &lt;&gt; "plain")=TRUE), ((G479 &lt;&gt; "")=TRUE))</f>
        <v>0</v>
      </c>
      <c r="M479" s="4" t="str">
        <f>IF(((E479)=TRUE),  C479 &amp; "|" &amp; H479,  "")</f>
        <v>principal-process-steward|AgentDecisionRecords</v>
      </c>
      <c r="N479" s="3" t="s">
        <v>10004</v>
      </c>
    </row>
    <row r="480">
      <c r="A480" s="3" t="s">
        <v>10482</v>
      </c>
      <c r="B480" s="4" t="str">
        <f>C480 &amp; " -&gt; " &amp; D480</f>
        <v>principal-process-steward -&gt; Agents.AgentId</v>
      </c>
      <c r="C480" s="3" t="s">
        <v>9772</v>
      </c>
      <c r="D480" s="3" t="s">
        <v>2460</v>
      </c>
      <c r="E480" s="3" t="b">
        <v>1</v>
      </c>
      <c r="F480" s="3" t="b">
        <v>0</v>
      </c>
      <c r="G480" s="3" t="s">
        <v>10003</v>
      </c>
      <c r="H480" s="4" t="str">
        <f>_xlfn.IFNA(IF(((INDEX(RulebookFields!C2:C1898, MATCH(D480,RulebookFields!A2:A1898, 0))="")=TRUE),  "",  INDEX(RulebookFields!C2:C1898, MATCH(D480,RulebookFields!A2:A1898, 0))), "")</f>
        <v>Agents</v>
      </c>
      <c r="I480" s="4" t="str">
        <f>_xlfn.IFNA(IF(((INDEX(RulebookFields!D2:D1898, MATCH(D480,RulebookFields!A2:A1898, 0))="")=TRUE),  "",  INDEX(RulebookFields!D2:D1898, MATCH(D480,RulebookFields!A2:A1898, 0))), "")</f>
        <v>AgentId</v>
      </c>
      <c r="J480" s="4" t="b">
        <f>_xlfn.IFNA(IF(((INDEX(RulebookFields!I2:I1898, MATCH(D480,RulebookFields!A2:A1898, 0))="")=TRUE),  "",  INDEX(RulebookFields!I2:I1898, MATCH(D480,RulebookFields!A2:A1898, 0))), "")</f>
        <v>0</v>
      </c>
      <c r="K480" s="4" t="b">
        <f>AND(((F480)=TRUE), ((J480)=TRUE))</f>
        <v>0</v>
      </c>
      <c r="L480" s="4" t="b">
        <f>AND(((G480 &lt;&gt; "plain")=TRUE), ((G480 &lt;&gt; "")=TRUE))</f>
        <v>0</v>
      </c>
      <c r="M480" s="4" t="str">
        <f>IF(((E480)=TRUE),  C480 &amp; "|" &amp; H480,  "")</f>
        <v>principal-process-steward|Agents</v>
      </c>
      <c r="N480" s="3" t="s">
        <v>10004</v>
      </c>
    </row>
    <row r="481">
      <c r="A481" s="3" t="s">
        <v>10483</v>
      </c>
      <c r="B481" s="4" t="str">
        <f>C481 &amp; " -&gt; " &amp; D481</f>
        <v>principal-process-steward -&gt; Agents.Name</v>
      </c>
      <c r="C481" s="3" t="s">
        <v>9772</v>
      </c>
      <c r="D481" s="3" t="s">
        <v>2461</v>
      </c>
      <c r="E481" s="3" t="b">
        <v>1</v>
      </c>
      <c r="F481" s="3" t="b">
        <v>0</v>
      </c>
      <c r="G481" s="3" t="s">
        <v>10003</v>
      </c>
      <c r="H481" s="4" t="str">
        <f>_xlfn.IFNA(IF(((INDEX(RulebookFields!C2:C1898, MATCH(D481,RulebookFields!A2:A1898, 0))="")=TRUE),  "",  INDEX(RulebookFields!C2:C1898, MATCH(D481,RulebookFields!A2:A1898, 0))), "")</f>
        <v>Agents</v>
      </c>
      <c r="I481" s="4" t="str">
        <f>_xlfn.IFNA(IF(((INDEX(RulebookFields!D2:D1898, MATCH(D481,RulebookFields!A2:A1898, 0))="")=TRUE),  "",  INDEX(RulebookFields!D2:D1898, MATCH(D481,RulebookFields!A2:A1898, 0))), "")</f>
        <v>Name</v>
      </c>
      <c r="J481" s="4" t="b">
        <f>_xlfn.IFNA(IF(((INDEX(RulebookFields!I2:I1898, MATCH(D481,RulebookFields!A2:A1898, 0))="")=TRUE),  "",  INDEX(RulebookFields!I2:I1898, MATCH(D481,RulebookFields!A2:A1898, 0))), "")</f>
        <v>1</v>
      </c>
      <c r="K481" s="4" t="b">
        <f>AND(((F481)=TRUE), ((J481)=TRUE))</f>
        <v>0</v>
      </c>
      <c r="L481" s="4" t="b">
        <f>AND(((G481 &lt;&gt; "plain")=TRUE), ((G481 &lt;&gt; "")=TRUE))</f>
        <v>0</v>
      </c>
      <c r="M481" s="4" t="str">
        <f>IF(((E481)=TRUE),  C481 &amp; "|" &amp; H481,  "")</f>
        <v>principal-process-steward|Agents</v>
      </c>
      <c r="N481" s="3" t="s">
        <v>10004</v>
      </c>
    </row>
    <row r="482">
      <c r="A482" s="3" t="s">
        <v>10484</v>
      </c>
      <c r="B482" s="4" t="str">
        <f>C482 &amp; " -&gt; " &amp; D482</f>
        <v>principal-process-steward -&gt; Agents.DisplayName</v>
      </c>
      <c r="C482" s="3" t="s">
        <v>9772</v>
      </c>
      <c r="D482" s="3" t="s">
        <v>2462</v>
      </c>
      <c r="E482" s="3" t="b">
        <v>1</v>
      </c>
      <c r="F482" s="3" t="b">
        <v>0</v>
      </c>
      <c r="G482" s="3" t="s">
        <v>10003</v>
      </c>
      <c r="H482" s="4" t="str">
        <f>_xlfn.IFNA(IF(((INDEX(RulebookFields!C2:C1898, MATCH(D482,RulebookFields!A2:A1898, 0))="")=TRUE),  "",  INDEX(RulebookFields!C2:C1898, MATCH(D482,RulebookFields!A2:A1898, 0))), "")</f>
        <v>Agents</v>
      </c>
      <c r="I482" s="4" t="str">
        <f>_xlfn.IFNA(IF(((INDEX(RulebookFields!D2:D1898, MATCH(D482,RulebookFields!A2:A1898, 0))="")=TRUE),  "",  INDEX(RulebookFields!D2:D1898, MATCH(D482,RulebookFields!A2:A1898, 0))), "")</f>
        <v>DisplayName</v>
      </c>
      <c r="J482" s="4" t="b">
        <f>_xlfn.IFNA(IF(((INDEX(RulebookFields!I2:I1898, MATCH(D482,RulebookFields!A2:A1898, 0))="")=TRUE),  "",  INDEX(RulebookFields!I2:I1898, MATCH(D482,RulebookFields!A2:A1898, 0))), "")</f>
        <v>0</v>
      </c>
      <c r="K482" s="4" t="b">
        <f>AND(((F482)=TRUE), ((J482)=TRUE))</f>
        <v>0</v>
      </c>
      <c r="L482" s="4" t="b">
        <f>AND(((G482 &lt;&gt; "plain")=TRUE), ((G482 &lt;&gt; "")=TRUE))</f>
        <v>0</v>
      </c>
      <c r="M482" s="4" t="str">
        <f>IF(((E482)=TRUE),  C482 &amp; "|" &amp; H482,  "")</f>
        <v>principal-process-steward|Agents</v>
      </c>
      <c r="N482" s="3" t="s">
        <v>10004</v>
      </c>
    </row>
    <row r="483">
      <c r="A483" s="3" t="s">
        <v>10485</v>
      </c>
      <c r="B483" s="4" t="str">
        <f>C483 &amp; " -&gt; " &amp; D483</f>
        <v>principal-process-steward -&gt; Agents.AgentKind</v>
      </c>
      <c r="C483" s="3" t="s">
        <v>9772</v>
      </c>
      <c r="D483" s="3" t="s">
        <v>2463</v>
      </c>
      <c r="E483" s="3" t="b">
        <v>1</v>
      </c>
      <c r="F483" s="3" t="b">
        <v>0</v>
      </c>
      <c r="G483" s="3" t="s">
        <v>10003</v>
      </c>
      <c r="H483" s="4" t="str">
        <f>_xlfn.IFNA(IF(((INDEX(RulebookFields!C2:C1898, MATCH(D483,RulebookFields!A2:A1898, 0))="")=TRUE),  "",  INDEX(RulebookFields!C2:C1898, MATCH(D483,RulebookFields!A2:A1898, 0))), "")</f>
        <v>Agents</v>
      </c>
      <c r="I483" s="4" t="str">
        <f>_xlfn.IFNA(IF(((INDEX(RulebookFields!D2:D1898, MATCH(D483,RulebookFields!A2:A1898, 0))="")=TRUE),  "",  INDEX(RulebookFields!D2:D1898, MATCH(D483,RulebookFields!A2:A1898, 0))), "")</f>
        <v>AgentKind</v>
      </c>
      <c r="J483" s="4" t="b">
        <f>_xlfn.IFNA(IF(((INDEX(RulebookFields!I2:I1898, MATCH(D483,RulebookFields!A2:A1898, 0))="")=TRUE),  "",  INDEX(RulebookFields!I2:I1898, MATCH(D483,RulebookFields!A2:A1898, 0))), "")</f>
        <v>0</v>
      </c>
      <c r="K483" s="4" t="b">
        <f>AND(((F483)=TRUE), ((J483)=TRUE))</f>
        <v>0</v>
      </c>
      <c r="L483" s="4" t="b">
        <f>AND(((G483 &lt;&gt; "plain")=TRUE), ((G483 &lt;&gt; "")=TRUE))</f>
        <v>0</v>
      </c>
      <c r="M483" s="4" t="str">
        <f>IF(((E483)=TRUE),  C483 &amp; "|" &amp; H483,  "")</f>
        <v>principal-process-steward|Agents</v>
      </c>
      <c r="N483" s="3" t="s">
        <v>10004</v>
      </c>
    </row>
    <row r="484">
      <c r="A484" s="3" t="s">
        <v>10486</v>
      </c>
      <c r="B484" s="4" t="str">
        <f>C484 &amp; " -&gt; " &amp; D484</f>
        <v>principal-process-steward -&gt; Agents.Organization</v>
      </c>
      <c r="C484" s="3" t="s">
        <v>9772</v>
      </c>
      <c r="D484" s="3" t="s">
        <v>2464</v>
      </c>
      <c r="E484" s="3" t="b">
        <v>1</v>
      </c>
      <c r="F484" s="3" t="b">
        <v>0</v>
      </c>
      <c r="G484" s="3" t="s">
        <v>10003</v>
      </c>
      <c r="H484" s="4" t="str">
        <f>_xlfn.IFNA(IF(((INDEX(RulebookFields!C2:C1898, MATCH(D484,RulebookFields!A2:A1898, 0))="")=TRUE),  "",  INDEX(RulebookFields!C2:C1898, MATCH(D484,RulebookFields!A2:A1898, 0))), "")</f>
        <v>Agents</v>
      </c>
      <c r="I484" s="4" t="str">
        <f>_xlfn.IFNA(IF(((INDEX(RulebookFields!D2:D1898, MATCH(D484,RulebookFields!A2:A1898, 0))="")=TRUE),  "",  INDEX(RulebookFields!D2:D1898, MATCH(D484,RulebookFields!A2:A1898, 0))), "")</f>
        <v>Organization</v>
      </c>
      <c r="J484" s="4" t="b">
        <f>_xlfn.IFNA(IF(((INDEX(RulebookFields!I2:I1898, MATCH(D484,RulebookFields!A2:A1898, 0))="")=TRUE),  "",  INDEX(RulebookFields!I2:I1898, MATCH(D484,RulebookFields!A2:A1898, 0))), "")</f>
        <v>0</v>
      </c>
      <c r="K484" s="4" t="b">
        <f>AND(((F484)=TRUE), ((J484)=TRUE))</f>
        <v>0</v>
      </c>
      <c r="L484" s="4" t="b">
        <f>AND(((G484 &lt;&gt; "plain")=TRUE), ((G484 &lt;&gt; "")=TRUE))</f>
        <v>0</v>
      </c>
      <c r="M484" s="4" t="str">
        <f>IF(((E484)=TRUE),  C484 &amp; "|" &amp; H484,  "")</f>
        <v>principal-process-steward|Agents</v>
      </c>
      <c r="N484" s="3" t="s">
        <v>10004</v>
      </c>
    </row>
    <row r="485">
      <c r="A485" s="3" t="s">
        <v>10487</v>
      </c>
      <c r="B485" s="4" t="str">
        <f>C485 &amp; " -&gt; " &amp; D485</f>
        <v>principal-process-steward -&gt; Agents.ContactAddress</v>
      </c>
      <c r="C485" s="3" t="s">
        <v>9772</v>
      </c>
      <c r="D485" s="3" t="s">
        <v>2466</v>
      </c>
      <c r="E485" s="3" t="b">
        <v>1</v>
      </c>
      <c r="F485" s="3" t="b">
        <v>0</v>
      </c>
      <c r="G485" s="3" t="s">
        <v>10003</v>
      </c>
      <c r="H485" s="4" t="str">
        <f>_xlfn.IFNA(IF(((INDEX(RulebookFields!C2:C1898, MATCH(D485,RulebookFields!A2:A1898, 0))="")=TRUE),  "",  INDEX(RulebookFields!C2:C1898, MATCH(D485,RulebookFields!A2:A1898, 0))), "")</f>
        <v>Agents</v>
      </c>
      <c r="I485" s="4" t="str">
        <f>_xlfn.IFNA(IF(((INDEX(RulebookFields!D2:D1898, MATCH(D485,RulebookFields!A2:A1898, 0))="")=TRUE),  "",  INDEX(RulebookFields!D2:D1898, MATCH(D485,RulebookFields!A2:A1898, 0))), "")</f>
        <v>ContactAddress</v>
      </c>
      <c r="J485" s="4" t="b">
        <f>_xlfn.IFNA(IF(((INDEX(RulebookFields!I2:I1898, MATCH(D485,RulebookFields!A2:A1898, 0))="")=TRUE),  "",  INDEX(RulebookFields!I2:I1898, MATCH(D485,RulebookFields!A2:A1898, 0))), "")</f>
        <v>0</v>
      </c>
      <c r="K485" s="4" t="b">
        <f>AND(((F485)=TRUE), ((J485)=TRUE))</f>
        <v>0</v>
      </c>
      <c r="L485" s="4" t="b">
        <f>AND(((G485 &lt;&gt; "plain")=TRUE), ((G485 &lt;&gt; "")=TRUE))</f>
        <v>0</v>
      </c>
      <c r="M485" s="4" t="str">
        <f>IF(((E485)=TRUE),  C485 &amp; "|" &amp; H485,  "")</f>
        <v>principal-process-steward|Agents</v>
      </c>
      <c r="N485" s="3" t="s">
        <v>10004</v>
      </c>
    </row>
    <row r="486">
      <c r="A486" s="3" t="s">
        <v>10488</v>
      </c>
      <c r="B486" s="4" t="str">
        <f>C486 &amp; " -&gt; " &amp; D486</f>
        <v>principal-process-steward -&gt; Agents.VersionOrEmploymentKey</v>
      </c>
      <c r="C486" s="3" t="s">
        <v>9772</v>
      </c>
      <c r="D486" s="3" t="s">
        <v>2467</v>
      </c>
      <c r="E486" s="3" t="b">
        <v>1</v>
      </c>
      <c r="F486" s="3" t="b">
        <v>0</v>
      </c>
      <c r="G486" s="3" t="s">
        <v>10003</v>
      </c>
      <c r="H486" s="4" t="str">
        <f>_xlfn.IFNA(IF(((INDEX(RulebookFields!C2:C1898, MATCH(D486,RulebookFields!A2:A1898, 0))="")=TRUE),  "",  INDEX(RulebookFields!C2:C1898, MATCH(D486,RulebookFields!A2:A1898, 0))), "")</f>
        <v>Agents</v>
      </c>
      <c r="I486" s="4" t="str">
        <f>_xlfn.IFNA(IF(((INDEX(RulebookFields!D2:D1898, MATCH(D486,RulebookFields!A2:A1898, 0))="")=TRUE),  "",  INDEX(RulebookFields!D2:D1898, MATCH(D486,RulebookFields!A2:A1898, 0))), "")</f>
        <v>VersionOrEmploymentKey</v>
      </c>
      <c r="J486" s="4" t="b">
        <f>_xlfn.IFNA(IF(((INDEX(RulebookFields!I2:I1898, MATCH(D486,RulebookFields!A2:A1898, 0))="")=TRUE),  "",  INDEX(RulebookFields!I2:I1898, MATCH(D486,RulebookFields!A2:A1898, 0))), "")</f>
        <v>0</v>
      </c>
      <c r="K486" s="4" t="b">
        <f>AND(((F486)=TRUE), ((J486)=TRUE))</f>
        <v>0</v>
      </c>
      <c r="L486" s="4" t="b">
        <f>AND(((G486 &lt;&gt; "plain")=TRUE), ((G486 &lt;&gt; "")=TRUE))</f>
        <v>0</v>
      </c>
      <c r="M486" s="4" t="str">
        <f>IF(((E486)=TRUE),  C486 &amp; "|" &amp; H486,  "")</f>
        <v>principal-process-steward|Agents</v>
      </c>
      <c r="N486" s="3" t="s">
        <v>10004</v>
      </c>
    </row>
    <row r="487">
      <c r="A487" s="3" t="s">
        <v>10489</v>
      </c>
      <c r="B487" s="4" t="str">
        <f>C487 &amp; " -&gt; " &amp; D487</f>
        <v>principal-process-steward -&gt; Agents.CountOfCurrentRoleAssignments</v>
      </c>
      <c r="C487" s="3" t="s">
        <v>9772</v>
      </c>
      <c r="D487" s="3" t="s">
        <v>2468</v>
      </c>
      <c r="E487" s="3" t="b">
        <v>1</v>
      </c>
      <c r="F487" s="3" t="b">
        <v>0</v>
      </c>
      <c r="G487" s="3" t="s">
        <v>10003</v>
      </c>
      <c r="H487" s="4" t="str">
        <f>_xlfn.IFNA(IF(((INDEX(RulebookFields!C2:C1898, MATCH(D487,RulebookFields!A2:A1898, 0))="")=TRUE),  "",  INDEX(RulebookFields!C2:C1898, MATCH(D487,RulebookFields!A2:A1898, 0))), "")</f>
        <v>Agents</v>
      </c>
      <c r="I487" s="4" t="str">
        <f>_xlfn.IFNA(IF(((INDEX(RulebookFields!D2:D1898, MATCH(D487,RulebookFields!A2:A1898, 0))="")=TRUE),  "",  INDEX(RulebookFields!D2:D1898, MATCH(D487,RulebookFields!A2:A1898, 0))), "")</f>
        <v>CountOfCurrentRoleAssignments</v>
      </c>
      <c r="J487" s="4" t="b">
        <f>_xlfn.IFNA(IF(((INDEX(RulebookFields!I2:I1898, MATCH(D487,RulebookFields!A2:A1898, 0))="")=TRUE),  "",  INDEX(RulebookFields!I2:I1898, MATCH(D487,RulebookFields!A2:A1898, 0))), "")</f>
        <v>1</v>
      </c>
      <c r="K487" s="4" t="b">
        <f>AND(((F487)=TRUE), ((J487)=TRUE))</f>
        <v>0</v>
      </c>
      <c r="L487" s="4" t="b">
        <f>AND(((G487 &lt;&gt; "plain")=TRUE), ((G487 &lt;&gt; "")=TRUE))</f>
        <v>0</v>
      </c>
      <c r="M487" s="4" t="str">
        <f>IF(((E487)=TRUE),  C487 &amp; "|" &amp; H487,  "")</f>
        <v>principal-process-steward|Agents</v>
      </c>
      <c r="N487" s="3" t="s">
        <v>10004</v>
      </c>
    </row>
    <row r="488">
      <c r="A488" s="3" t="s">
        <v>10490</v>
      </c>
      <c r="B488" s="4" t="str">
        <f>C488 &amp; " -&gt; " &amp; D488</f>
        <v>principal-process-steward -&gt; Agents.IsStillEngaged</v>
      </c>
      <c r="C488" s="3" t="s">
        <v>9772</v>
      </c>
      <c r="D488" s="3" t="s">
        <v>2472</v>
      </c>
      <c r="E488" s="3" t="b">
        <v>1</v>
      </c>
      <c r="F488" s="3" t="b">
        <v>0</v>
      </c>
      <c r="G488" s="3" t="s">
        <v>10003</v>
      </c>
      <c r="H488" s="4" t="str">
        <f>_xlfn.IFNA(IF(((INDEX(RulebookFields!C2:C1898, MATCH(D488,RulebookFields!A2:A1898, 0))="")=TRUE),  "",  INDEX(RulebookFields!C2:C1898, MATCH(D488,RulebookFields!A2:A1898, 0))), "")</f>
        <v>Agents</v>
      </c>
      <c r="I488" s="4" t="str">
        <f>_xlfn.IFNA(IF(((INDEX(RulebookFields!D2:D1898, MATCH(D488,RulebookFields!A2:A1898, 0))="")=TRUE),  "",  INDEX(RulebookFields!D2:D1898, MATCH(D488,RulebookFields!A2:A1898, 0))), "")</f>
        <v>IsStillEngaged</v>
      </c>
      <c r="J488" s="4" t="b">
        <f>_xlfn.IFNA(IF(((INDEX(RulebookFields!I2:I1898, MATCH(D488,RulebookFields!A2:A1898, 0))="")=TRUE),  "",  INDEX(RulebookFields!I2:I1898, MATCH(D488,RulebookFields!A2:A1898, 0))), "")</f>
        <v>1</v>
      </c>
      <c r="K488" s="4" t="b">
        <f>AND(((F488)=TRUE), ((J488)=TRUE))</f>
        <v>0</v>
      </c>
      <c r="L488" s="4" t="b">
        <f>AND(((G488 &lt;&gt; "plain")=TRUE), ((G488 &lt;&gt; "")=TRUE))</f>
        <v>0</v>
      </c>
      <c r="M488" s="4" t="str">
        <f>IF(((E488)=TRUE),  C488 &amp; "|" &amp; H488,  "")</f>
        <v>principal-process-steward|Agents</v>
      </c>
      <c r="N488" s="3" t="s">
        <v>10004</v>
      </c>
    </row>
    <row r="489">
      <c r="A489" s="3" t="s">
        <v>10491</v>
      </c>
      <c r="B489" s="4" t="str">
        <f>C489 &amp; " -&gt; " &amp; D489</f>
        <v>principal-process-steward -&gt; Agents.DecisionCount</v>
      </c>
      <c r="C489" s="3" t="s">
        <v>9772</v>
      </c>
      <c r="D489" s="3" t="s">
        <v>2474</v>
      </c>
      <c r="E489" s="3" t="b">
        <v>1</v>
      </c>
      <c r="F489" s="3" t="b">
        <v>0</v>
      </c>
      <c r="G489" s="3" t="s">
        <v>10003</v>
      </c>
      <c r="H489" s="4" t="str">
        <f>_xlfn.IFNA(IF(((INDEX(RulebookFields!C2:C1898, MATCH(D489,RulebookFields!A2:A1898, 0))="")=TRUE),  "",  INDEX(RulebookFields!C2:C1898, MATCH(D489,RulebookFields!A2:A1898, 0))), "")</f>
        <v>Agents</v>
      </c>
      <c r="I489" s="4" t="str">
        <f>_xlfn.IFNA(IF(((INDEX(RulebookFields!D2:D1898, MATCH(D489,RulebookFields!A2:A1898, 0))="")=TRUE),  "",  INDEX(RulebookFields!D2:D1898, MATCH(D489,RulebookFields!A2:A1898, 0))), "")</f>
        <v>DecisionCount</v>
      </c>
      <c r="J489" s="4" t="b">
        <f>_xlfn.IFNA(IF(((INDEX(RulebookFields!I2:I1898, MATCH(D489,RulebookFields!A2:A1898, 0))="")=TRUE),  "",  INDEX(RulebookFields!I2:I1898, MATCH(D489,RulebookFields!A2:A1898, 0))), "")</f>
        <v>1</v>
      </c>
      <c r="K489" s="4" t="b">
        <f>AND(((F489)=TRUE), ((J489)=TRUE))</f>
        <v>0</v>
      </c>
      <c r="L489" s="4" t="b">
        <f>AND(((G489 &lt;&gt; "plain")=TRUE), ((G489 &lt;&gt; "")=TRUE))</f>
        <v>0</v>
      </c>
      <c r="M489" s="4" t="str">
        <f>IF(((E489)=TRUE),  C489 &amp; "|" &amp; H489,  "")</f>
        <v>principal-process-steward|Agents</v>
      </c>
      <c r="N489" s="3" t="s">
        <v>10004</v>
      </c>
    </row>
    <row r="490">
      <c r="A490" s="3" t="s">
        <v>10492</v>
      </c>
      <c r="B490" s="4" t="str">
        <f>C490 &amp; " -&gt; " &amp; D490</f>
        <v>principal-process-steward -&gt; Agents.OverriddenDecisionCount</v>
      </c>
      <c r="C490" s="3" t="s">
        <v>9772</v>
      </c>
      <c r="D490" s="3" t="s">
        <v>2477</v>
      </c>
      <c r="E490" s="3" t="b">
        <v>1</v>
      </c>
      <c r="F490" s="3" t="b">
        <v>0</v>
      </c>
      <c r="G490" s="3" t="s">
        <v>10003</v>
      </c>
      <c r="H490" s="4" t="str">
        <f>_xlfn.IFNA(IF(((INDEX(RulebookFields!C2:C1898, MATCH(D490,RulebookFields!A2:A1898, 0))="")=TRUE),  "",  INDEX(RulebookFields!C2:C1898, MATCH(D490,RulebookFields!A2:A1898, 0))), "")</f>
        <v>Agents</v>
      </c>
      <c r="I490" s="4" t="str">
        <f>_xlfn.IFNA(IF(((INDEX(RulebookFields!D2:D1898, MATCH(D490,RulebookFields!A2:A1898, 0))="")=TRUE),  "",  INDEX(RulebookFields!D2:D1898, MATCH(D490,RulebookFields!A2:A1898, 0))), "")</f>
        <v>OverriddenDecisionCount</v>
      </c>
      <c r="J490" s="4" t="b">
        <f>_xlfn.IFNA(IF(((INDEX(RulebookFields!I2:I1898, MATCH(D490,RulebookFields!A2:A1898, 0))="")=TRUE),  "",  INDEX(RulebookFields!I2:I1898, MATCH(D490,RulebookFields!A2:A1898, 0))), "")</f>
        <v>1</v>
      </c>
      <c r="K490" s="4" t="b">
        <f>AND(((F490)=TRUE), ((J490)=TRUE))</f>
        <v>0</v>
      </c>
      <c r="L490" s="4" t="b">
        <f>AND(((G490 &lt;&gt; "plain")=TRUE), ((G490 &lt;&gt; "")=TRUE))</f>
        <v>0</v>
      </c>
      <c r="M490" s="4" t="str">
        <f>IF(((E490)=TRUE),  C490 &amp; "|" &amp; H490,  "")</f>
        <v>principal-process-steward|Agents</v>
      </c>
      <c r="N490" s="3" t="s">
        <v>10004</v>
      </c>
    </row>
    <row r="491">
      <c r="A491" s="3" t="s">
        <v>10493</v>
      </c>
      <c r="B491" s="4" t="str">
        <f>C491 &amp; " -&gt; " &amp; D491</f>
        <v>principal-process-steward -&gt; Agents.OverrideRatePercent</v>
      </c>
      <c r="C491" s="3" t="s">
        <v>9772</v>
      </c>
      <c r="D491" s="3" t="s">
        <v>2479</v>
      </c>
      <c r="E491" s="3" t="b">
        <v>1</v>
      </c>
      <c r="F491" s="3" t="b">
        <v>0</v>
      </c>
      <c r="G491" s="3" t="s">
        <v>10003</v>
      </c>
      <c r="H491" s="4" t="str">
        <f>_xlfn.IFNA(IF(((INDEX(RulebookFields!C2:C1898, MATCH(D491,RulebookFields!A2:A1898, 0))="")=TRUE),  "",  INDEX(RulebookFields!C2:C1898, MATCH(D491,RulebookFields!A2:A1898, 0))), "")</f>
        <v>Agents</v>
      </c>
      <c r="I491" s="4" t="str">
        <f>_xlfn.IFNA(IF(((INDEX(RulebookFields!D2:D1898, MATCH(D491,RulebookFields!A2:A1898, 0))="")=TRUE),  "",  INDEX(RulebookFields!D2:D1898, MATCH(D491,RulebookFields!A2:A1898, 0))), "")</f>
        <v>OverrideRatePercent</v>
      </c>
      <c r="J491" s="4" t="b">
        <f>_xlfn.IFNA(IF(((INDEX(RulebookFields!I2:I1898, MATCH(D491,RulebookFields!A2:A1898, 0))="")=TRUE),  "",  INDEX(RulebookFields!I2:I1898, MATCH(D491,RulebookFields!A2:A1898, 0))), "")</f>
        <v>1</v>
      </c>
      <c r="K491" s="4" t="b">
        <f>AND(((F491)=TRUE), ((J491)=TRUE))</f>
        <v>0</v>
      </c>
      <c r="L491" s="4" t="b">
        <f>AND(((G491 &lt;&gt; "plain")=TRUE), ((G491 &lt;&gt; "")=TRUE))</f>
        <v>0</v>
      </c>
      <c r="M491" s="4" t="str">
        <f>IF(((E491)=TRUE),  C491 &amp; "|" &amp; H491,  "")</f>
        <v>principal-process-steward|Agents</v>
      </c>
      <c r="N491" s="3" t="s">
        <v>10004</v>
      </c>
    </row>
    <row r="492">
      <c r="A492" s="3" t="s">
        <v>10494</v>
      </c>
      <c r="B492" s="4" t="str">
        <f>C492 &amp; " -&gt; " &amp; D492</f>
        <v>principal-process-steward -&gt; Agents.IsNonHuman</v>
      </c>
      <c r="C492" s="3" t="s">
        <v>9772</v>
      </c>
      <c r="D492" s="3" t="s">
        <v>2481</v>
      </c>
      <c r="E492" s="3" t="b">
        <v>1</v>
      </c>
      <c r="F492" s="3" t="b">
        <v>0</v>
      </c>
      <c r="G492" s="3" t="s">
        <v>10003</v>
      </c>
      <c r="H492" s="4" t="str">
        <f>_xlfn.IFNA(IF(((INDEX(RulebookFields!C2:C1898, MATCH(D492,RulebookFields!A2:A1898, 0))="")=TRUE),  "",  INDEX(RulebookFields!C2:C1898, MATCH(D492,RulebookFields!A2:A1898, 0))), "")</f>
        <v>Agents</v>
      </c>
      <c r="I492" s="4" t="str">
        <f>_xlfn.IFNA(IF(((INDEX(RulebookFields!D2:D1898, MATCH(D492,RulebookFields!A2:A1898, 0))="")=TRUE),  "",  INDEX(RulebookFields!D2:D1898, MATCH(D492,RulebookFields!A2:A1898, 0))), "")</f>
        <v>IsNonHuman</v>
      </c>
      <c r="J492" s="4" t="b">
        <f>_xlfn.IFNA(IF(((INDEX(RulebookFields!I2:I1898, MATCH(D492,RulebookFields!A2:A1898, 0))="")=TRUE),  "",  INDEX(RulebookFields!I2:I1898, MATCH(D492,RulebookFields!A2:A1898, 0))), "")</f>
        <v>1</v>
      </c>
      <c r="K492" s="4" t="b">
        <f>AND(((F492)=TRUE), ((J492)=TRUE))</f>
        <v>0</v>
      </c>
      <c r="L492" s="4" t="b">
        <f>AND(((G492 &lt;&gt; "plain")=TRUE), ((G492 &lt;&gt; "")=TRUE))</f>
        <v>0</v>
      </c>
      <c r="M492" s="4" t="str">
        <f>IF(((E492)=TRUE),  C492 &amp; "|" &amp; H492,  "")</f>
        <v>principal-process-steward|Agents</v>
      </c>
      <c r="N492" s="3" t="s">
        <v>10004</v>
      </c>
    </row>
    <row r="493">
      <c r="A493" s="3" t="s">
        <v>10495</v>
      </c>
      <c r="B493" s="4" t="str">
        <f>C493 &amp; " -&gt; " &amp; D493</f>
        <v>principal-process-steward -&gt; Agents.BoundaryViolationCount</v>
      </c>
      <c r="C493" s="3" t="s">
        <v>9772</v>
      </c>
      <c r="D493" s="3" t="s">
        <v>2483</v>
      </c>
      <c r="E493" s="3" t="b">
        <v>1</v>
      </c>
      <c r="F493" s="3" t="b">
        <v>0</v>
      </c>
      <c r="G493" s="3" t="s">
        <v>10003</v>
      </c>
      <c r="H493" s="4" t="str">
        <f>_xlfn.IFNA(IF(((INDEX(RulebookFields!C2:C1898, MATCH(D493,RulebookFields!A2:A1898, 0))="")=TRUE),  "",  INDEX(RulebookFields!C2:C1898, MATCH(D493,RulebookFields!A2:A1898, 0))), "")</f>
        <v>Agents</v>
      </c>
      <c r="I493" s="4" t="str">
        <f>_xlfn.IFNA(IF(((INDEX(RulebookFields!D2:D1898, MATCH(D493,RulebookFields!A2:A1898, 0))="")=TRUE),  "",  INDEX(RulebookFields!D2:D1898, MATCH(D493,RulebookFields!A2:A1898, 0))), "")</f>
        <v>BoundaryViolationCount</v>
      </c>
      <c r="J493" s="4" t="b">
        <f>_xlfn.IFNA(IF(((INDEX(RulebookFields!I2:I1898, MATCH(D493,RulebookFields!A2:A1898, 0))="")=TRUE),  "",  INDEX(RulebookFields!I2:I1898, MATCH(D493,RulebookFields!A2:A1898, 0))), "")</f>
        <v>1</v>
      </c>
      <c r="K493" s="4" t="b">
        <f>AND(((F493)=TRUE), ((J493)=TRUE))</f>
        <v>0</v>
      </c>
      <c r="L493" s="4" t="b">
        <f>AND(((G493 &lt;&gt; "plain")=TRUE), ((G493 &lt;&gt; "")=TRUE))</f>
        <v>0</v>
      </c>
      <c r="M493" s="4" t="str">
        <f>IF(((E493)=TRUE),  C493 &amp; "|" &amp; H493,  "")</f>
        <v>principal-process-steward|Agents</v>
      </c>
      <c r="N493" s="3" t="s">
        <v>10004</v>
      </c>
    </row>
    <row r="494">
      <c r="A494" s="3" t="s">
        <v>10496</v>
      </c>
      <c r="B494" s="4" t="str">
        <f>C494 &amp; " -&gt; " &amp; D494</f>
        <v>principal-process-steward -&gt; Agents.IsOperatingOutsideBoundary</v>
      </c>
      <c r="C494" s="3" t="s">
        <v>9772</v>
      </c>
      <c r="D494" s="3" t="s">
        <v>2485</v>
      </c>
      <c r="E494" s="3" t="b">
        <v>1</v>
      </c>
      <c r="F494" s="3" t="b">
        <v>0</v>
      </c>
      <c r="G494" s="3" t="s">
        <v>10003</v>
      </c>
      <c r="H494" s="4" t="str">
        <f>_xlfn.IFNA(IF(((INDEX(RulebookFields!C2:C1898, MATCH(D494,RulebookFields!A2:A1898, 0))="")=TRUE),  "",  INDEX(RulebookFields!C2:C1898, MATCH(D494,RulebookFields!A2:A1898, 0))), "")</f>
        <v>Agents</v>
      </c>
      <c r="I494" s="4" t="str">
        <f>_xlfn.IFNA(IF(((INDEX(RulebookFields!D2:D1898, MATCH(D494,RulebookFields!A2:A1898, 0))="")=TRUE),  "",  INDEX(RulebookFields!D2:D1898, MATCH(D494,RulebookFields!A2:A1898, 0))), "")</f>
        <v>IsOperatingOutsideBoundary</v>
      </c>
      <c r="J494" s="4" t="b">
        <f>_xlfn.IFNA(IF(((INDEX(RulebookFields!I2:I1898, MATCH(D494,RulebookFields!A2:A1898, 0))="")=TRUE),  "",  INDEX(RulebookFields!I2:I1898, MATCH(D494,RulebookFields!A2:A1898, 0))), "")</f>
        <v>1</v>
      </c>
      <c r="K494" s="4" t="b">
        <f>AND(((F494)=TRUE), ((J494)=TRUE))</f>
        <v>0</v>
      </c>
      <c r="L494" s="4" t="b">
        <f>AND(((G494 &lt;&gt; "plain")=TRUE), ((G494 &lt;&gt; "")=TRUE))</f>
        <v>0</v>
      </c>
      <c r="M494" s="4" t="str">
        <f>IF(((E494)=TRUE),  C494 &amp; "|" &amp; H494,  "")</f>
        <v>principal-process-steward|Agents</v>
      </c>
      <c r="N494" s="3" t="s">
        <v>10004</v>
      </c>
    </row>
    <row r="495">
      <c r="A495" s="3" t="s">
        <v>10497</v>
      </c>
      <c r="B495" s="4" t="str">
        <f>C495 &amp; " -&gt; " &amp; D495</f>
        <v>principal-process-steward -&gt; Agents.DraftDecisionCount</v>
      </c>
      <c r="C495" s="3" t="s">
        <v>9772</v>
      </c>
      <c r="D495" s="3" t="s">
        <v>2487</v>
      </c>
      <c r="E495" s="3" t="b">
        <v>1</v>
      </c>
      <c r="F495" s="3" t="b">
        <v>0</v>
      </c>
      <c r="G495" s="3" t="s">
        <v>10003</v>
      </c>
      <c r="H495" s="4" t="str">
        <f>_xlfn.IFNA(IF(((INDEX(RulebookFields!C2:C1898, MATCH(D495,RulebookFields!A2:A1898, 0))="")=TRUE),  "",  INDEX(RulebookFields!C2:C1898, MATCH(D495,RulebookFields!A2:A1898, 0))), "")</f>
        <v>Agents</v>
      </c>
      <c r="I495" s="4" t="str">
        <f>_xlfn.IFNA(IF(((INDEX(RulebookFields!D2:D1898, MATCH(D495,RulebookFields!A2:A1898, 0))="")=TRUE),  "",  INDEX(RulebookFields!D2:D1898, MATCH(D495,RulebookFields!A2:A1898, 0))), "")</f>
        <v>DraftDecisionCount</v>
      </c>
      <c r="J495" s="4" t="b">
        <f>_xlfn.IFNA(IF(((INDEX(RulebookFields!I2:I1898, MATCH(D495,RulebookFields!A2:A1898, 0))="")=TRUE),  "",  INDEX(RulebookFields!I2:I1898, MATCH(D495,RulebookFields!A2:A1898, 0))), "")</f>
        <v>1</v>
      </c>
      <c r="K495" s="4" t="b">
        <f>AND(((F495)=TRUE), ((J495)=TRUE))</f>
        <v>0</v>
      </c>
      <c r="L495" s="4" t="b">
        <f>AND(((G495 &lt;&gt; "plain")=TRUE), ((G495 &lt;&gt; "")=TRUE))</f>
        <v>0</v>
      </c>
      <c r="M495" s="4" t="str">
        <f>IF(((E495)=TRUE),  C495 &amp; "|" &amp; H495,  "")</f>
        <v>principal-process-steward|Agents</v>
      </c>
      <c r="N495" s="3" t="s">
        <v>10004</v>
      </c>
    </row>
    <row r="496">
      <c r="A496" s="3" t="s">
        <v>10498</v>
      </c>
      <c r="B496" s="4" t="str">
        <f>C496 &amp; " -&gt; " &amp; D496</f>
        <v>principal-process-steward -&gt; Agents.OverriddenDraftCount</v>
      </c>
      <c r="C496" s="3" t="s">
        <v>9772</v>
      </c>
      <c r="D496" s="3" t="s">
        <v>2489</v>
      </c>
      <c r="E496" s="3" t="b">
        <v>1</v>
      </c>
      <c r="F496" s="3" t="b">
        <v>0</v>
      </c>
      <c r="G496" s="3" t="s">
        <v>10003</v>
      </c>
      <c r="H496" s="4" t="str">
        <f>_xlfn.IFNA(IF(((INDEX(RulebookFields!C2:C1898, MATCH(D496,RulebookFields!A2:A1898, 0))="")=TRUE),  "",  INDEX(RulebookFields!C2:C1898, MATCH(D496,RulebookFields!A2:A1898, 0))), "")</f>
        <v>Agents</v>
      </c>
      <c r="I496" s="4" t="str">
        <f>_xlfn.IFNA(IF(((INDEX(RulebookFields!D2:D1898, MATCH(D496,RulebookFields!A2:A1898, 0))="")=TRUE),  "",  INDEX(RulebookFields!D2:D1898, MATCH(D496,RulebookFields!A2:A1898, 0))), "")</f>
        <v>OverriddenDraftCount</v>
      </c>
      <c r="J496" s="4" t="b">
        <f>_xlfn.IFNA(IF(((INDEX(RulebookFields!I2:I1898, MATCH(D496,RulebookFields!A2:A1898, 0))="")=TRUE),  "",  INDEX(RulebookFields!I2:I1898, MATCH(D496,RulebookFields!A2:A1898, 0))), "")</f>
        <v>1</v>
      </c>
      <c r="K496" s="4" t="b">
        <f>AND(((F496)=TRUE), ((J496)=TRUE))</f>
        <v>0</v>
      </c>
      <c r="L496" s="4" t="b">
        <f>AND(((G496 &lt;&gt; "plain")=TRUE), ((G496 &lt;&gt; "")=TRUE))</f>
        <v>0</v>
      </c>
      <c r="M496" s="4" t="str">
        <f>IF(((E496)=TRUE),  C496 &amp; "|" &amp; H496,  "")</f>
        <v>principal-process-steward|Agents</v>
      </c>
      <c r="N496" s="3" t="s">
        <v>10004</v>
      </c>
    </row>
    <row r="497">
      <c r="A497" s="3" t="s">
        <v>10499</v>
      </c>
      <c r="B497" s="4" t="str">
        <f>C497 &amp; " -&gt; " &amp; D497</f>
        <v>principal-process-steward -&gt; Agents.DraftRewriteRatePercent</v>
      </c>
      <c r="C497" s="3" t="s">
        <v>9772</v>
      </c>
      <c r="D497" s="3" t="s">
        <v>2491</v>
      </c>
      <c r="E497" s="3" t="b">
        <v>1</v>
      </c>
      <c r="F497" s="3" t="b">
        <v>0</v>
      </c>
      <c r="G497" s="3" t="s">
        <v>10003</v>
      </c>
      <c r="H497" s="4" t="str">
        <f>_xlfn.IFNA(IF(((INDEX(RulebookFields!C2:C1898, MATCH(D497,RulebookFields!A2:A1898, 0))="")=TRUE),  "",  INDEX(RulebookFields!C2:C1898, MATCH(D497,RulebookFields!A2:A1898, 0))), "")</f>
        <v>Agents</v>
      </c>
      <c r="I497" s="4" t="str">
        <f>_xlfn.IFNA(IF(((INDEX(RulebookFields!D2:D1898, MATCH(D497,RulebookFields!A2:A1898, 0))="")=TRUE),  "",  INDEX(RulebookFields!D2:D1898, MATCH(D497,RulebookFields!A2:A1898, 0))), "")</f>
        <v>DraftRewriteRatePercent</v>
      </c>
      <c r="J497" s="4" t="b">
        <f>_xlfn.IFNA(IF(((INDEX(RulebookFields!I2:I1898, MATCH(D497,RulebookFields!A2:A1898, 0))="")=TRUE),  "",  INDEX(RulebookFields!I2:I1898, MATCH(D497,RulebookFields!A2:A1898, 0))), "")</f>
        <v>1</v>
      </c>
      <c r="K497" s="4" t="b">
        <f>AND(((F497)=TRUE), ((J497)=TRUE))</f>
        <v>0</v>
      </c>
      <c r="L497" s="4" t="b">
        <f>AND(((G497 &lt;&gt; "plain")=TRUE), ((G497 &lt;&gt; "")=TRUE))</f>
        <v>0</v>
      </c>
      <c r="M497" s="4" t="str">
        <f>IF(((E497)=TRUE),  C497 &amp; "|" &amp; H497,  "")</f>
        <v>principal-process-steward|Agents</v>
      </c>
      <c r="N497" s="3" t="s">
        <v>10004</v>
      </c>
    </row>
    <row r="498">
      <c r="A498" s="3" t="s">
        <v>10500</v>
      </c>
      <c r="B498" s="4" t="str">
        <f>C498 &amp; " -&gt; " &amp; D498</f>
        <v>principal-process-steward -&gt; Agents.SemanticTypeIri</v>
      </c>
      <c r="C498" s="3" t="s">
        <v>9772</v>
      </c>
      <c r="D498" s="3" t="s">
        <v>2501</v>
      </c>
      <c r="E498" s="3" t="b">
        <v>1</v>
      </c>
      <c r="F498" s="3" t="b">
        <v>0</v>
      </c>
      <c r="G498" s="3" t="s">
        <v>10003</v>
      </c>
      <c r="H498" s="4" t="str">
        <f>_xlfn.IFNA(IF(((INDEX(RulebookFields!C2:C1898, MATCH(D498,RulebookFields!A2:A1898, 0))="")=TRUE),  "",  INDEX(RulebookFields!C2:C1898, MATCH(D498,RulebookFields!A2:A1898, 0))), "")</f>
        <v>Agents</v>
      </c>
      <c r="I498" s="4" t="str">
        <f>_xlfn.IFNA(IF(((INDEX(RulebookFields!D2:D1898, MATCH(D498,RulebookFields!A2:A1898, 0))="")=TRUE),  "",  INDEX(RulebookFields!D2:D1898, MATCH(D498,RulebookFields!A2:A1898, 0))), "")</f>
        <v>SemanticTypeIri</v>
      </c>
      <c r="J498" s="4" t="b">
        <f>_xlfn.IFNA(IF(((INDEX(RulebookFields!I2:I1898, MATCH(D498,RulebookFields!A2:A1898, 0))="")=TRUE),  "",  INDEX(RulebookFields!I2:I1898, MATCH(D498,RulebookFields!A2:A1898, 0))), "")</f>
        <v>0</v>
      </c>
      <c r="K498" s="4" t="b">
        <f>AND(((F498)=TRUE), ((J498)=TRUE))</f>
        <v>0</v>
      </c>
      <c r="L498" s="4" t="b">
        <f>AND(((G498 &lt;&gt; "plain")=TRUE), ((G498 &lt;&gt; "")=TRUE))</f>
        <v>0</v>
      </c>
      <c r="M498" s="4" t="str">
        <f>IF(((E498)=TRUE),  C498 &amp; "|" &amp; H498,  "")</f>
        <v>principal-process-steward|Agents</v>
      </c>
      <c r="N498" s="3" t="s">
        <v>10004</v>
      </c>
    </row>
    <row r="499">
      <c r="A499" s="3" t="s">
        <v>10501</v>
      </c>
      <c r="B499" s="4" t="str">
        <f>C499 &amp; " -&gt; " &amp; D499</f>
        <v>principal-process-steward -&gt; AppNavGroups.AppNavGroupId</v>
      </c>
      <c r="C499" s="3" t="s">
        <v>9772</v>
      </c>
      <c r="D499" s="3" t="s">
        <v>5286</v>
      </c>
      <c r="E499" s="3" t="b">
        <v>1</v>
      </c>
      <c r="F499" s="3" t="b">
        <v>0</v>
      </c>
      <c r="G499" s="3" t="s">
        <v>10003</v>
      </c>
      <c r="H499" s="4" t="str">
        <f>_xlfn.IFNA(IF(((INDEX(RulebookFields!C2:C1898, MATCH(D499,RulebookFields!A2:A1898, 0))="")=TRUE),  "",  INDEX(RulebookFields!C2:C1898, MATCH(D499,RulebookFields!A2:A1898, 0))), "")</f>
        <v>AppNavGroups</v>
      </c>
      <c r="I499" s="4" t="str">
        <f>_xlfn.IFNA(IF(((INDEX(RulebookFields!D2:D1898, MATCH(D499,RulebookFields!A2:A1898, 0))="")=TRUE),  "",  INDEX(RulebookFields!D2:D1898, MATCH(D499,RulebookFields!A2:A1898, 0))), "")</f>
        <v>AppNavGroupId</v>
      </c>
      <c r="J499" s="4" t="b">
        <f>_xlfn.IFNA(IF(((INDEX(RulebookFields!I2:I1898, MATCH(D499,RulebookFields!A2:A1898, 0))="")=TRUE),  "",  INDEX(RulebookFields!I2:I1898, MATCH(D499,RulebookFields!A2:A1898, 0))), "")</f>
        <v>0</v>
      </c>
      <c r="K499" s="4" t="b">
        <f>AND(((F499)=TRUE), ((J499)=TRUE))</f>
        <v>0</v>
      </c>
      <c r="L499" s="4" t="b">
        <f>AND(((G499 &lt;&gt; "plain")=TRUE), ((G499 &lt;&gt; "")=TRUE))</f>
        <v>0</v>
      </c>
      <c r="M499" s="4" t="str">
        <f>IF(((E499)=TRUE),  C499 &amp; "|" &amp; H499,  "")</f>
        <v>principal-process-steward|AppNavGroups</v>
      </c>
      <c r="N499" s="3" t="s">
        <v>10004</v>
      </c>
    </row>
    <row r="500">
      <c r="A500" s="3" t="s">
        <v>10502</v>
      </c>
      <c r="B500" s="4" t="str">
        <f>C500 &amp; " -&gt; " &amp; D500</f>
        <v>principal-process-steward -&gt; AppNavGroups.Name</v>
      </c>
      <c r="C500" s="3" t="s">
        <v>9772</v>
      </c>
      <c r="D500" s="3" t="s">
        <v>5288</v>
      </c>
      <c r="E500" s="3" t="b">
        <v>1</v>
      </c>
      <c r="F500" s="3" t="b">
        <v>0</v>
      </c>
      <c r="G500" s="3" t="s">
        <v>10003</v>
      </c>
      <c r="H500" s="4" t="str">
        <f>_xlfn.IFNA(IF(((INDEX(RulebookFields!C2:C1898, MATCH(D500,RulebookFields!A2:A1898, 0))="")=TRUE),  "",  INDEX(RulebookFields!C2:C1898, MATCH(D500,RulebookFields!A2:A1898, 0))), "")</f>
        <v>AppNavGroups</v>
      </c>
      <c r="I500" s="4" t="str">
        <f>_xlfn.IFNA(IF(((INDEX(RulebookFields!D2:D1898, MATCH(D500,RulebookFields!A2:A1898, 0))="")=TRUE),  "",  INDEX(RulebookFields!D2:D1898, MATCH(D500,RulebookFields!A2:A1898, 0))), "")</f>
        <v>Name</v>
      </c>
      <c r="J500" s="4" t="b">
        <f>_xlfn.IFNA(IF(((INDEX(RulebookFields!I2:I1898, MATCH(D500,RulebookFields!A2:A1898, 0))="")=TRUE),  "",  INDEX(RulebookFields!I2:I1898, MATCH(D500,RulebookFields!A2:A1898, 0))), "")</f>
        <v>1</v>
      </c>
      <c r="K500" s="4" t="b">
        <f>AND(((F500)=TRUE), ((J500)=TRUE))</f>
        <v>0</v>
      </c>
      <c r="L500" s="4" t="b">
        <f>AND(((G500 &lt;&gt; "plain")=TRUE), ((G500 &lt;&gt; "")=TRUE))</f>
        <v>0</v>
      </c>
      <c r="M500" s="4" t="str">
        <f>IF(((E500)=TRUE),  C500 &amp; "|" &amp; H500,  "")</f>
        <v>principal-process-steward|AppNavGroups</v>
      </c>
      <c r="N500" s="3" t="s">
        <v>10004</v>
      </c>
    </row>
    <row r="501">
      <c r="A501" s="3" t="s">
        <v>10503</v>
      </c>
      <c r="B501" s="4" t="str">
        <f>C501 &amp; " -&gt; " &amp; D501</f>
        <v>principal-process-steward -&gt; AppNavGroups.GroupLabel</v>
      </c>
      <c r="C501" s="3" t="s">
        <v>9772</v>
      </c>
      <c r="D501" s="3" t="s">
        <v>5290</v>
      </c>
      <c r="E501" s="3" t="b">
        <v>1</v>
      </c>
      <c r="F501" s="3" t="b">
        <v>0</v>
      </c>
      <c r="G501" s="3" t="s">
        <v>10003</v>
      </c>
      <c r="H501" s="4" t="str">
        <f>_xlfn.IFNA(IF(((INDEX(RulebookFields!C2:C1898, MATCH(D501,RulebookFields!A2:A1898, 0))="")=TRUE),  "",  INDEX(RulebookFields!C2:C1898, MATCH(D501,RulebookFields!A2:A1898, 0))), "")</f>
        <v>AppNavGroups</v>
      </c>
      <c r="I501" s="4" t="str">
        <f>_xlfn.IFNA(IF(((INDEX(RulebookFields!D2:D1898, MATCH(D501,RulebookFields!A2:A1898, 0))="")=TRUE),  "",  INDEX(RulebookFields!D2:D1898, MATCH(D501,RulebookFields!A2:A1898, 0))), "")</f>
        <v>GroupLabel</v>
      </c>
      <c r="J501" s="4" t="b">
        <f>_xlfn.IFNA(IF(((INDEX(RulebookFields!I2:I1898, MATCH(D501,RulebookFields!A2:A1898, 0))="")=TRUE),  "",  INDEX(RulebookFields!I2:I1898, MATCH(D501,RulebookFields!A2:A1898, 0))), "")</f>
        <v>0</v>
      </c>
      <c r="K501" s="4" t="b">
        <f>AND(((F501)=TRUE), ((J501)=TRUE))</f>
        <v>0</v>
      </c>
      <c r="L501" s="4" t="b">
        <f>AND(((G501 &lt;&gt; "plain")=TRUE), ((G501 &lt;&gt; "")=TRUE))</f>
        <v>0</v>
      </c>
      <c r="M501" s="4" t="str">
        <f>IF(((E501)=TRUE),  C501 &amp; "|" &amp; H501,  "")</f>
        <v>principal-process-steward|AppNavGroups</v>
      </c>
      <c r="N501" s="3" t="s">
        <v>10004</v>
      </c>
    </row>
    <row r="502">
      <c r="A502" s="3" t="s">
        <v>10504</v>
      </c>
      <c r="B502" s="4" t="str">
        <f>C502 &amp; " -&gt; " &amp; D502</f>
        <v>principal-process-steward -&gt; AppNavGroups.RouteCount</v>
      </c>
      <c r="C502" s="3" t="s">
        <v>9772</v>
      </c>
      <c r="D502" s="3" t="s">
        <v>5292</v>
      </c>
      <c r="E502" s="3" t="b">
        <v>1</v>
      </c>
      <c r="F502" s="3" t="b">
        <v>0</v>
      </c>
      <c r="G502" s="3" t="s">
        <v>10003</v>
      </c>
      <c r="H502" s="4" t="str">
        <f>_xlfn.IFNA(IF(((INDEX(RulebookFields!C2:C1898, MATCH(D502,RulebookFields!A2:A1898, 0))="")=TRUE),  "",  INDEX(RulebookFields!C2:C1898, MATCH(D502,RulebookFields!A2:A1898, 0))), "")</f>
        <v>AppNavGroups</v>
      </c>
      <c r="I502" s="4" t="str">
        <f>_xlfn.IFNA(IF(((INDEX(RulebookFields!D2:D1898, MATCH(D502,RulebookFields!A2:A1898, 0))="")=TRUE),  "",  INDEX(RulebookFields!D2:D1898, MATCH(D502,RulebookFields!A2:A1898, 0))), "")</f>
        <v>RouteCount</v>
      </c>
      <c r="J502" s="4" t="b">
        <f>_xlfn.IFNA(IF(((INDEX(RulebookFields!I2:I1898, MATCH(D502,RulebookFields!A2:A1898, 0))="")=TRUE),  "",  INDEX(RulebookFields!I2:I1898, MATCH(D502,RulebookFields!A2:A1898, 0))), "")</f>
        <v>1</v>
      </c>
      <c r="K502" s="4" t="b">
        <f>AND(((F502)=TRUE), ((J502)=TRUE))</f>
        <v>0</v>
      </c>
      <c r="L502" s="4" t="b">
        <f>AND(((G502 &lt;&gt; "plain")=TRUE), ((G502 &lt;&gt; "")=TRUE))</f>
        <v>0</v>
      </c>
      <c r="M502" s="4" t="str">
        <f>IF(((E502)=TRUE),  C502 &amp; "|" &amp; H502,  "")</f>
        <v>principal-process-steward|AppNavGroups</v>
      </c>
      <c r="N502" s="3" t="s">
        <v>10004</v>
      </c>
    </row>
    <row r="503">
      <c r="A503" s="3" t="s">
        <v>10505</v>
      </c>
      <c r="B503" s="4" t="str">
        <f>C503 &amp; " -&gt; " &amp; D503</f>
        <v>principal-process-steward -&gt; AppNavGroups.SemanticTypeIri</v>
      </c>
      <c r="C503" s="3" t="s">
        <v>9772</v>
      </c>
      <c r="D503" s="3" t="s">
        <v>5294</v>
      </c>
      <c r="E503" s="3" t="b">
        <v>1</v>
      </c>
      <c r="F503" s="3" t="b">
        <v>0</v>
      </c>
      <c r="G503" s="3" t="s">
        <v>10003</v>
      </c>
      <c r="H503" s="4" t="str">
        <f>_xlfn.IFNA(IF(((INDEX(RulebookFields!C2:C1898, MATCH(D503,RulebookFields!A2:A1898, 0))="")=TRUE),  "",  INDEX(RulebookFields!C2:C1898, MATCH(D503,RulebookFields!A2:A1898, 0))), "")</f>
        <v>AppNavGroups</v>
      </c>
      <c r="I503" s="4" t="str">
        <f>_xlfn.IFNA(IF(((INDEX(RulebookFields!D2:D1898, MATCH(D503,RulebookFields!A2:A1898, 0))="")=TRUE),  "",  INDEX(RulebookFields!D2:D1898, MATCH(D503,RulebookFields!A2:A1898, 0))), "")</f>
        <v>SemanticTypeIri</v>
      </c>
      <c r="J503" s="4" t="b">
        <f>_xlfn.IFNA(IF(((INDEX(RulebookFields!I2:I1898, MATCH(D503,RulebookFields!A2:A1898, 0))="")=TRUE),  "",  INDEX(RulebookFields!I2:I1898, MATCH(D503,RulebookFields!A2:A1898, 0))), "")</f>
        <v>0</v>
      </c>
      <c r="K503" s="4" t="b">
        <f>AND(((F503)=TRUE), ((J503)=TRUE))</f>
        <v>0</v>
      </c>
      <c r="L503" s="4" t="b">
        <f>AND(((G503 &lt;&gt; "plain")=TRUE), ((G503 &lt;&gt; "")=TRUE))</f>
        <v>0</v>
      </c>
      <c r="M503" s="4" t="str">
        <f>IF(((E503)=TRUE),  C503 &amp; "|" &amp; H503,  "")</f>
        <v>principal-process-steward|AppNavGroups</v>
      </c>
      <c r="N503" s="3" t="s">
        <v>10004</v>
      </c>
    </row>
    <row r="504">
      <c r="A504" s="3" t="s">
        <v>10506</v>
      </c>
      <c r="B504" s="4" t="str">
        <f>C504 &amp; " -&gt; " &amp; D504</f>
        <v>principal-process-steward -&gt; AppRoleProfiles.AppRoleProfileId</v>
      </c>
      <c r="C504" s="3" t="s">
        <v>9772</v>
      </c>
      <c r="D504" s="3" t="s">
        <v>5263</v>
      </c>
      <c r="E504" s="3" t="b">
        <v>1</v>
      </c>
      <c r="F504" s="3" t="b">
        <v>0</v>
      </c>
      <c r="G504" s="3" t="s">
        <v>10003</v>
      </c>
      <c r="H504" s="4" t="str">
        <f>_xlfn.IFNA(IF(((INDEX(RulebookFields!C2:C1898, MATCH(D504,RulebookFields!A2:A1898, 0))="")=TRUE),  "",  INDEX(RulebookFields!C2:C1898, MATCH(D504,RulebookFields!A2:A1898, 0))), "")</f>
        <v>AppRoleProfiles</v>
      </c>
      <c r="I504" s="4" t="str">
        <f>_xlfn.IFNA(IF(((INDEX(RulebookFields!D2:D1898, MATCH(D504,RulebookFields!A2:A1898, 0))="")=TRUE),  "",  INDEX(RulebookFields!D2:D1898, MATCH(D504,RulebookFields!A2:A1898, 0))), "")</f>
        <v>AppRoleProfileId</v>
      </c>
      <c r="J504" s="4" t="b">
        <f>_xlfn.IFNA(IF(((INDEX(RulebookFields!I2:I1898, MATCH(D504,RulebookFields!A2:A1898, 0))="")=TRUE),  "",  INDEX(RulebookFields!I2:I1898, MATCH(D504,RulebookFields!A2:A1898, 0))), "")</f>
        <v>0</v>
      </c>
      <c r="K504" s="4" t="b">
        <f>AND(((F504)=TRUE), ((J504)=TRUE))</f>
        <v>0</v>
      </c>
      <c r="L504" s="4" t="b">
        <f>AND(((G504 &lt;&gt; "plain")=TRUE), ((G504 &lt;&gt; "")=TRUE))</f>
        <v>0</v>
      </c>
      <c r="M504" s="4" t="str">
        <f>IF(((E504)=TRUE),  C504 &amp; "|" &amp; H504,  "")</f>
        <v>principal-process-steward|AppRoleProfiles</v>
      </c>
      <c r="N504" s="3" t="s">
        <v>10004</v>
      </c>
    </row>
    <row r="505">
      <c r="A505" s="3" t="s">
        <v>10507</v>
      </c>
      <c r="B505" s="4" t="str">
        <f>C505 &amp; " -&gt; " &amp; D505</f>
        <v>principal-process-steward -&gt; AppRoleProfiles.Name</v>
      </c>
      <c r="C505" s="3" t="s">
        <v>9772</v>
      </c>
      <c r="D505" s="3" t="s">
        <v>5265</v>
      </c>
      <c r="E505" s="3" t="b">
        <v>1</v>
      </c>
      <c r="F505" s="3" t="b">
        <v>0</v>
      </c>
      <c r="G505" s="3" t="s">
        <v>10003</v>
      </c>
      <c r="H505" s="4" t="str">
        <f>_xlfn.IFNA(IF(((INDEX(RulebookFields!C2:C1898, MATCH(D505,RulebookFields!A2:A1898, 0))="")=TRUE),  "",  INDEX(RulebookFields!C2:C1898, MATCH(D505,RulebookFields!A2:A1898, 0))), "")</f>
        <v>AppRoleProfiles</v>
      </c>
      <c r="I505" s="4" t="str">
        <f>_xlfn.IFNA(IF(((INDEX(RulebookFields!D2:D1898, MATCH(D505,RulebookFields!A2:A1898, 0))="")=TRUE),  "",  INDEX(RulebookFields!D2:D1898, MATCH(D505,RulebookFields!A2:A1898, 0))), "")</f>
        <v>Name</v>
      </c>
      <c r="J505" s="4" t="b">
        <f>_xlfn.IFNA(IF(((INDEX(RulebookFields!I2:I1898, MATCH(D505,RulebookFields!A2:A1898, 0))="")=TRUE),  "",  INDEX(RulebookFields!I2:I1898, MATCH(D505,RulebookFields!A2:A1898, 0))), "")</f>
        <v>1</v>
      </c>
      <c r="K505" s="4" t="b">
        <f>AND(((F505)=TRUE), ((J505)=TRUE))</f>
        <v>0</v>
      </c>
      <c r="L505" s="4" t="b">
        <f>AND(((G505 &lt;&gt; "plain")=TRUE), ((G505 &lt;&gt; "")=TRUE))</f>
        <v>0</v>
      </c>
      <c r="M505" s="4" t="str">
        <f>IF(((E505)=TRUE),  C505 &amp; "|" &amp; H505,  "")</f>
        <v>principal-process-steward|AppRoleProfiles</v>
      </c>
      <c r="N505" s="3" t="s">
        <v>10004</v>
      </c>
    </row>
    <row r="506">
      <c r="A506" s="3" t="s">
        <v>10508</v>
      </c>
      <c r="B506" s="4" t="str">
        <f>C506 &amp; " -&gt; " &amp; D506</f>
        <v>principal-process-steward -&gt; AppRoleProfiles.Role</v>
      </c>
      <c r="C506" s="3" t="s">
        <v>9772</v>
      </c>
      <c r="D506" s="3" t="s">
        <v>5267</v>
      </c>
      <c r="E506" s="3" t="b">
        <v>1</v>
      </c>
      <c r="F506" s="3" t="b">
        <v>0</v>
      </c>
      <c r="G506" s="3" t="s">
        <v>10003</v>
      </c>
      <c r="H506" s="4" t="str">
        <f>_xlfn.IFNA(IF(((INDEX(RulebookFields!C2:C1898, MATCH(D506,RulebookFields!A2:A1898, 0))="")=TRUE),  "",  INDEX(RulebookFields!C2:C1898, MATCH(D506,RulebookFields!A2:A1898, 0))), "")</f>
        <v>AppRoleProfiles</v>
      </c>
      <c r="I506" s="4" t="str">
        <f>_xlfn.IFNA(IF(((INDEX(RulebookFields!D2:D1898, MATCH(D506,RulebookFields!A2:A1898, 0))="")=TRUE),  "",  INDEX(RulebookFields!D2:D1898, MATCH(D506,RulebookFields!A2:A1898, 0))), "")</f>
        <v>Role</v>
      </c>
      <c r="J506" s="4" t="b">
        <f>_xlfn.IFNA(IF(((INDEX(RulebookFields!I2:I1898, MATCH(D506,RulebookFields!A2:A1898, 0))="")=TRUE),  "",  INDEX(RulebookFields!I2:I1898, MATCH(D506,RulebookFields!A2:A1898, 0))), "")</f>
        <v>0</v>
      </c>
      <c r="K506" s="4" t="b">
        <f>AND(((F506)=TRUE), ((J506)=TRUE))</f>
        <v>0</v>
      </c>
      <c r="L506" s="4" t="b">
        <f>AND(((G506 &lt;&gt; "plain")=TRUE), ((G506 &lt;&gt; "")=TRUE))</f>
        <v>0</v>
      </c>
      <c r="M506" s="4" t="str">
        <f>IF(((E506)=TRUE),  C506 &amp; "|" &amp; H506,  "")</f>
        <v>principal-process-steward|AppRoleProfiles</v>
      </c>
      <c r="N506" s="3" t="s">
        <v>10004</v>
      </c>
    </row>
    <row r="507">
      <c r="A507" s="3" t="s">
        <v>10509</v>
      </c>
      <c r="B507" s="4" t="str">
        <f>C507 &amp; " -&gt; " &amp; D507</f>
        <v>principal-process-steward -&gt; AppRoleProfiles.DisplayLabel</v>
      </c>
      <c r="C507" s="3" t="s">
        <v>9772</v>
      </c>
      <c r="D507" s="3" t="s">
        <v>5268</v>
      </c>
      <c r="E507" s="3" t="b">
        <v>1</v>
      </c>
      <c r="F507" s="3" t="b">
        <v>0</v>
      </c>
      <c r="G507" s="3" t="s">
        <v>10003</v>
      </c>
      <c r="H507" s="4" t="str">
        <f>_xlfn.IFNA(IF(((INDEX(RulebookFields!C2:C1898, MATCH(D507,RulebookFields!A2:A1898, 0))="")=TRUE),  "",  INDEX(RulebookFields!C2:C1898, MATCH(D507,RulebookFields!A2:A1898, 0))), "")</f>
        <v>AppRoleProfiles</v>
      </c>
      <c r="I507" s="4" t="str">
        <f>_xlfn.IFNA(IF(((INDEX(RulebookFields!D2:D1898, MATCH(D507,RulebookFields!A2:A1898, 0))="")=TRUE),  "",  INDEX(RulebookFields!D2:D1898, MATCH(D507,RulebookFields!A2:A1898, 0))), "")</f>
        <v>DisplayLabel</v>
      </c>
      <c r="J507" s="4" t="b">
        <f>_xlfn.IFNA(IF(((INDEX(RulebookFields!I2:I1898, MATCH(D507,RulebookFields!A2:A1898, 0))="")=TRUE),  "",  INDEX(RulebookFields!I2:I1898, MATCH(D507,RulebookFields!A2:A1898, 0))), "")</f>
        <v>0</v>
      </c>
      <c r="K507" s="4" t="b">
        <f>AND(((F507)=TRUE), ((J507)=TRUE))</f>
        <v>0</v>
      </c>
      <c r="L507" s="4" t="b">
        <f>AND(((G507 &lt;&gt; "plain")=TRUE), ((G507 &lt;&gt; "")=TRUE))</f>
        <v>0</v>
      </c>
      <c r="M507" s="4" t="str">
        <f>IF(((E507)=TRUE),  C507 &amp; "|" &amp; H507,  "")</f>
        <v>principal-process-steward|AppRoleProfiles</v>
      </c>
      <c r="N507" s="3" t="s">
        <v>10004</v>
      </c>
    </row>
    <row r="508">
      <c r="A508" s="3" t="s">
        <v>10510</v>
      </c>
      <c r="B508" s="4" t="str">
        <f>C508 &amp; " -&gt; " &amp; D508</f>
        <v>principal-process-steward -&gt; AppRoleProfiles.RoleKind</v>
      </c>
      <c r="C508" s="3" t="s">
        <v>9772</v>
      </c>
      <c r="D508" s="3" t="s">
        <v>5270</v>
      </c>
      <c r="E508" s="3" t="b">
        <v>1</v>
      </c>
      <c r="F508" s="3" t="b">
        <v>0</v>
      </c>
      <c r="G508" s="3" t="s">
        <v>10003</v>
      </c>
      <c r="H508" s="4" t="str">
        <f>_xlfn.IFNA(IF(((INDEX(RulebookFields!C2:C1898, MATCH(D508,RulebookFields!A2:A1898, 0))="")=TRUE),  "",  INDEX(RulebookFields!C2:C1898, MATCH(D508,RulebookFields!A2:A1898, 0))), "")</f>
        <v>AppRoleProfiles</v>
      </c>
      <c r="I508" s="4" t="str">
        <f>_xlfn.IFNA(IF(((INDEX(RulebookFields!D2:D1898, MATCH(D508,RulebookFields!A2:A1898, 0))="")=TRUE),  "",  INDEX(RulebookFields!D2:D1898, MATCH(D508,RulebookFields!A2:A1898, 0))), "")</f>
        <v>RoleKind</v>
      </c>
      <c r="J508" s="4" t="b">
        <f>_xlfn.IFNA(IF(((INDEX(RulebookFields!I2:I1898, MATCH(D508,RulebookFields!A2:A1898, 0))="")=TRUE),  "",  INDEX(RulebookFields!I2:I1898, MATCH(D508,RulebookFields!A2:A1898, 0))), "")</f>
        <v>0</v>
      </c>
      <c r="K508" s="4" t="b">
        <f>AND(((F508)=TRUE), ((J508)=TRUE))</f>
        <v>0</v>
      </c>
      <c r="L508" s="4" t="b">
        <f>AND(((G508 &lt;&gt; "plain")=TRUE), ((G508 &lt;&gt; "")=TRUE))</f>
        <v>0</v>
      </c>
      <c r="M508" s="4" t="str">
        <f>IF(((E508)=TRUE),  C508 &amp; "|" &amp; H508,  "")</f>
        <v>principal-process-steward|AppRoleProfiles</v>
      </c>
      <c r="N508" s="3" t="s">
        <v>10004</v>
      </c>
    </row>
    <row r="509">
      <c r="A509" s="3" t="s">
        <v>10511</v>
      </c>
      <c r="B509" s="4" t="str">
        <f>C509 &amp; " -&gt; " &amp; D509</f>
        <v>principal-process-steward -&gt; AppRoleProfiles.AccentColor</v>
      </c>
      <c r="C509" s="3" t="s">
        <v>9772</v>
      </c>
      <c r="D509" s="3" t="s">
        <v>5272</v>
      </c>
      <c r="E509" s="3" t="b">
        <v>1</v>
      </c>
      <c r="F509" s="3" t="b">
        <v>0</v>
      </c>
      <c r="G509" s="3" t="s">
        <v>10003</v>
      </c>
      <c r="H509" s="4" t="str">
        <f>_xlfn.IFNA(IF(((INDEX(RulebookFields!C2:C1898, MATCH(D509,RulebookFields!A2:A1898, 0))="")=TRUE),  "",  INDEX(RulebookFields!C2:C1898, MATCH(D509,RulebookFields!A2:A1898, 0))), "")</f>
        <v>AppRoleProfiles</v>
      </c>
      <c r="I509" s="4" t="str">
        <f>_xlfn.IFNA(IF(((INDEX(RulebookFields!D2:D1898, MATCH(D509,RulebookFields!A2:A1898, 0))="")=TRUE),  "",  INDEX(RulebookFields!D2:D1898, MATCH(D509,RulebookFields!A2:A1898, 0))), "")</f>
        <v>AccentColor</v>
      </c>
      <c r="J509" s="4" t="b">
        <f>_xlfn.IFNA(IF(((INDEX(RulebookFields!I2:I1898, MATCH(D509,RulebookFields!A2:A1898, 0))="")=TRUE),  "",  INDEX(RulebookFields!I2:I1898, MATCH(D509,RulebookFields!A2:A1898, 0))), "")</f>
        <v>0</v>
      </c>
      <c r="K509" s="4" t="b">
        <f>AND(((F509)=TRUE), ((J509)=TRUE))</f>
        <v>0</v>
      </c>
      <c r="L509" s="4" t="b">
        <f>AND(((G509 &lt;&gt; "plain")=TRUE), ((G509 &lt;&gt; "")=TRUE))</f>
        <v>0</v>
      </c>
      <c r="M509" s="4" t="str">
        <f>IF(((E509)=TRUE),  C509 &amp; "|" &amp; H509,  "")</f>
        <v>principal-process-steward|AppRoleProfiles</v>
      </c>
      <c r="N509" s="3" t="s">
        <v>10004</v>
      </c>
    </row>
    <row r="510">
      <c r="A510" s="3" t="s">
        <v>10512</v>
      </c>
      <c r="B510" s="4" t="str">
        <f>C510 &amp; " -&gt; " &amp; D510</f>
        <v>principal-process-steward -&gt; AppRoleProfiles.IconMark</v>
      </c>
      <c r="C510" s="3" t="s">
        <v>9772</v>
      </c>
      <c r="D510" s="3" t="s">
        <v>5274</v>
      </c>
      <c r="E510" s="3" t="b">
        <v>1</v>
      </c>
      <c r="F510" s="3" t="b">
        <v>0</v>
      </c>
      <c r="G510" s="3" t="s">
        <v>10003</v>
      </c>
      <c r="H510" s="4" t="str">
        <f>_xlfn.IFNA(IF(((INDEX(RulebookFields!C2:C1898, MATCH(D510,RulebookFields!A2:A1898, 0))="")=TRUE),  "",  INDEX(RulebookFields!C2:C1898, MATCH(D510,RulebookFields!A2:A1898, 0))), "")</f>
        <v>AppRoleProfiles</v>
      </c>
      <c r="I510" s="4" t="str">
        <f>_xlfn.IFNA(IF(((INDEX(RulebookFields!D2:D1898, MATCH(D510,RulebookFields!A2:A1898, 0))="")=TRUE),  "",  INDEX(RulebookFields!D2:D1898, MATCH(D510,RulebookFields!A2:A1898, 0))), "")</f>
        <v>IconMark</v>
      </c>
      <c r="J510" s="4" t="b">
        <f>_xlfn.IFNA(IF(((INDEX(RulebookFields!I2:I1898, MATCH(D510,RulebookFields!A2:A1898, 0))="")=TRUE),  "",  INDEX(RulebookFields!I2:I1898, MATCH(D510,RulebookFields!A2:A1898, 0))), "")</f>
        <v>0</v>
      </c>
      <c r="K510" s="4" t="b">
        <f>AND(((F510)=TRUE), ((J510)=TRUE))</f>
        <v>0</v>
      </c>
      <c r="L510" s="4" t="b">
        <f>AND(((G510 &lt;&gt; "plain")=TRUE), ((G510 &lt;&gt; "")=TRUE))</f>
        <v>0</v>
      </c>
      <c r="M510" s="4" t="str">
        <f>IF(((E510)=TRUE),  C510 &amp; "|" &amp; H510,  "")</f>
        <v>principal-process-steward|AppRoleProfiles</v>
      </c>
      <c r="N510" s="3" t="s">
        <v>10004</v>
      </c>
    </row>
    <row r="511">
      <c r="A511" s="3" t="s">
        <v>10513</v>
      </c>
      <c r="B511" s="4" t="str">
        <f>C511 &amp; " -&gt; " &amp; D511</f>
        <v>principal-process-steward -&gt; AppRoleProfiles.IconPngBase64</v>
      </c>
      <c r="C511" s="3" t="s">
        <v>9772</v>
      </c>
      <c r="D511" s="3" t="s">
        <v>5276</v>
      </c>
      <c r="E511" s="3" t="b">
        <v>1</v>
      </c>
      <c r="F511" s="3" t="b">
        <v>0</v>
      </c>
      <c r="G511" s="3" t="s">
        <v>10003</v>
      </c>
      <c r="H511" s="4" t="str">
        <f>_xlfn.IFNA(IF(((INDEX(RulebookFields!C2:C1898, MATCH(D511,RulebookFields!A2:A1898, 0))="")=TRUE),  "",  INDEX(RulebookFields!C2:C1898, MATCH(D511,RulebookFields!A2:A1898, 0))), "")</f>
        <v>AppRoleProfiles</v>
      </c>
      <c r="I511" s="4" t="str">
        <f>_xlfn.IFNA(IF(((INDEX(RulebookFields!D2:D1898, MATCH(D511,RulebookFields!A2:A1898, 0))="")=TRUE),  "",  INDEX(RulebookFields!D2:D1898, MATCH(D511,RulebookFields!A2:A1898, 0))), "")</f>
        <v>IconPngBase64</v>
      </c>
      <c r="J511" s="4" t="b">
        <f>_xlfn.IFNA(IF(((INDEX(RulebookFields!I2:I1898, MATCH(D511,RulebookFields!A2:A1898, 0))="")=TRUE),  "",  INDEX(RulebookFields!I2:I1898, MATCH(D511,RulebookFields!A2:A1898, 0))), "")</f>
        <v>0</v>
      </c>
      <c r="K511" s="4" t="b">
        <f>AND(((F511)=TRUE), ((J511)=TRUE))</f>
        <v>0</v>
      </c>
      <c r="L511" s="4" t="b">
        <f>AND(((G511 &lt;&gt; "plain")=TRUE), ((G511 &lt;&gt; "")=TRUE))</f>
        <v>0</v>
      </c>
      <c r="M511" s="4" t="str">
        <f>IF(((E511)=TRUE),  C511 &amp; "|" &amp; H511,  "")</f>
        <v>principal-process-steward|AppRoleProfiles</v>
      </c>
      <c r="N511" s="3" t="s">
        <v>10004</v>
      </c>
    </row>
    <row r="512">
      <c r="A512" s="3" t="s">
        <v>10514</v>
      </c>
      <c r="B512" s="4" t="str">
        <f>C512 &amp; " -&gt; " &amp; D512</f>
        <v>principal-process-steward -&gt; AppRoleProfiles.Pitch</v>
      </c>
      <c r="C512" s="3" t="s">
        <v>9772</v>
      </c>
      <c r="D512" s="3" t="s">
        <v>5278</v>
      </c>
      <c r="E512" s="3" t="b">
        <v>1</v>
      </c>
      <c r="F512" s="3" t="b">
        <v>0</v>
      </c>
      <c r="G512" s="3" t="s">
        <v>10003</v>
      </c>
      <c r="H512" s="4" t="str">
        <f>_xlfn.IFNA(IF(((INDEX(RulebookFields!C2:C1898, MATCH(D512,RulebookFields!A2:A1898, 0))="")=TRUE),  "",  INDEX(RulebookFields!C2:C1898, MATCH(D512,RulebookFields!A2:A1898, 0))), "")</f>
        <v>AppRoleProfiles</v>
      </c>
      <c r="I512" s="4" t="str">
        <f>_xlfn.IFNA(IF(((INDEX(RulebookFields!D2:D1898, MATCH(D512,RulebookFields!A2:A1898, 0))="")=TRUE),  "",  INDEX(RulebookFields!D2:D1898, MATCH(D512,RulebookFields!A2:A1898, 0))), "")</f>
        <v>Pitch</v>
      </c>
      <c r="J512" s="4" t="b">
        <f>_xlfn.IFNA(IF(((INDEX(RulebookFields!I2:I1898, MATCH(D512,RulebookFields!A2:A1898, 0))="")=TRUE),  "",  INDEX(RulebookFields!I2:I1898, MATCH(D512,RulebookFields!A2:A1898, 0))), "")</f>
        <v>0</v>
      </c>
      <c r="K512" s="4" t="b">
        <f>AND(((F512)=TRUE), ((J512)=TRUE))</f>
        <v>0</v>
      </c>
      <c r="L512" s="4" t="b">
        <f>AND(((G512 &lt;&gt; "plain")=TRUE), ((G512 &lt;&gt; "")=TRUE))</f>
        <v>0</v>
      </c>
      <c r="M512" s="4" t="str">
        <f>IF(((E512)=TRUE),  C512 &amp; "|" &amp; H512,  "")</f>
        <v>principal-process-steward|AppRoleProfiles</v>
      </c>
      <c r="N512" s="3" t="s">
        <v>10004</v>
      </c>
    </row>
    <row r="513">
      <c r="A513" s="3" t="s">
        <v>10515</v>
      </c>
      <c r="B513" s="4" t="str">
        <f>C513 &amp; " -&gt; " &amp; D513</f>
        <v>principal-process-steward -&gt; AppRoleProfiles.SortOrder</v>
      </c>
      <c r="C513" s="3" t="s">
        <v>9772</v>
      </c>
      <c r="D513" s="3" t="s">
        <v>5280</v>
      </c>
      <c r="E513" s="3" t="b">
        <v>1</v>
      </c>
      <c r="F513" s="3" t="b">
        <v>0</v>
      </c>
      <c r="G513" s="3" t="s">
        <v>10003</v>
      </c>
      <c r="H513" s="4" t="str">
        <f>_xlfn.IFNA(IF(((INDEX(RulebookFields!C2:C1898, MATCH(D513,RulebookFields!A2:A1898, 0))="")=TRUE),  "",  INDEX(RulebookFields!C2:C1898, MATCH(D513,RulebookFields!A2:A1898, 0))), "")</f>
        <v>AppRoleProfiles</v>
      </c>
      <c r="I513" s="4" t="str">
        <f>_xlfn.IFNA(IF(((INDEX(RulebookFields!D2:D1898, MATCH(D513,RulebookFields!A2:A1898, 0))="")=TRUE),  "",  INDEX(RulebookFields!D2:D1898, MATCH(D513,RulebookFields!A2:A1898, 0))), "")</f>
        <v>SortOrder</v>
      </c>
      <c r="J513" s="4" t="b">
        <f>_xlfn.IFNA(IF(((INDEX(RulebookFields!I2:I1898, MATCH(D513,RulebookFields!A2:A1898, 0))="")=TRUE),  "",  INDEX(RulebookFields!I2:I1898, MATCH(D513,RulebookFields!A2:A1898, 0))), "")</f>
        <v>0</v>
      </c>
      <c r="K513" s="4" t="b">
        <f>AND(((F513)=TRUE), ((J513)=TRUE))</f>
        <v>0</v>
      </c>
      <c r="L513" s="4" t="b">
        <f>AND(((G513 &lt;&gt; "plain")=TRUE), ((G513 &lt;&gt; "")=TRUE))</f>
        <v>0</v>
      </c>
      <c r="M513" s="4" t="str">
        <f>IF(((E513)=TRUE),  C513 &amp; "|" &amp; H513,  "")</f>
        <v>principal-process-steward|AppRoleProfiles</v>
      </c>
      <c r="N513" s="3" t="s">
        <v>10004</v>
      </c>
    </row>
    <row r="514">
      <c r="A514" s="3" t="s">
        <v>10516</v>
      </c>
      <c r="B514" s="4" t="str">
        <f>C514 &amp; " -&gt; " &amp; D514</f>
        <v>principal-process-steward -&gt; AppRoleProfiles.RouteCount</v>
      </c>
      <c r="C514" s="3" t="s">
        <v>9772</v>
      </c>
      <c r="D514" s="3" t="s">
        <v>5282</v>
      </c>
      <c r="E514" s="3" t="b">
        <v>1</v>
      </c>
      <c r="F514" s="3" t="b">
        <v>0</v>
      </c>
      <c r="G514" s="3" t="s">
        <v>10003</v>
      </c>
      <c r="H514" s="4" t="str">
        <f>_xlfn.IFNA(IF(((INDEX(RulebookFields!C2:C1898, MATCH(D514,RulebookFields!A2:A1898, 0))="")=TRUE),  "",  INDEX(RulebookFields!C2:C1898, MATCH(D514,RulebookFields!A2:A1898, 0))), "")</f>
        <v>AppRoleProfiles</v>
      </c>
      <c r="I514" s="4" t="str">
        <f>_xlfn.IFNA(IF(((INDEX(RulebookFields!D2:D1898, MATCH(D514,RulebookFields!A2:A1898, 0))="")=TRUE),  "",  INDEX(RulebookFields!D2:D1898, MATCH(D514,RulebookFields!A2:A1898, 0))), "")</f>
        <v>RouteCount</v>
      </c>
      <c r="J514" s="4" t="b">
        <f>_xlfn.IFNA(IF(((INDEX(RulebookFields!I2:I1898, MATCH(D514,RulebookFields!A2:A1898, 0))="")=TRUE),  "",  INDEX(RulebookFields!I2:I1898, MATCH(D514,RulebookFields!A2:A1898, 0))), "")</f>
        <v>1</v>
      </c>
      <c r="K514" s="4" t="b">
        <f>AND(((F514)=TRUE), ((J514)=TRUE))</f>
        <v>0</v>
      </c>
      <c r="L514" s="4" t="b">
        <f>AND(((G514 &lt;&gt; "plain")=TRUE), ((G514 &lt;&gt; "")=TRUE))</f>
        <v>0</v>
      </c>
      <c r="M514" s="4" t="str">
        <f>IF(((E514)=TRUE),  C514 &amp; "|" &amp; H514,  "")</f>
        <v>principal-process-steward|AppRoleProfiles</v>
      </c>
      <c r="N514" s="3" t="s">
        <v>10004</v>
      </c>
    </row>
    <row r="515">
      <c r="A515" s="3" t="s">
        <v>10517</v>
      </c>
      <c r="B515" s="4" t="str">
        <f>C515 &amp; " -&gt; " &amp; D515</f>
        <v>principal-process-steward -&gt; AppRoleProfiles.SemanticTypeIri</v>
      </c>
      <c r="C515" s="3" t="s">
        <v>9772</v>
      </c>
      <c r="D515" s="3" t="s">
        <v>5285</v>
      </c>
      <c r="E515" s="3" t="b">
        <v>1</v>
      </c>
      <c r="F515" s="3" t="b">
        <v>0</v>
      </c>
      <c r="G515" s="3" t="s">
        <v>10003</v>
      </c>
      <c r="H515" s="4" t="str">
        <f>_xlfn.IFNA(IF(((INDEX(RulebookFields!C2:C1898, MATCH(D515,RulebookFields!A2:A1898, 0))="")=TRUE),  "",  INDEX(RulebookFields!C2:C1898, MATCH(D515,RulebookFields!A2:A1898, 0))), "")</f>
        <v>AppRoleProfiles</v>
      </c>
      <c r="I515" s="4" t="str">
        <f>_xlfn.IFNA(IF(((INDEX(RulebookFields!D2:D1898, MATCH(D515,RulebookFields!A2:A1898, 0))="")=TRUE),  "",  INDEX(RulebookFields!D2:D1898, MATCH(D515,RulebookFields!A2:A1898, 0))), "")</f>
        <v>SemanticTypeIri</v>
      </c>
      <c r="J515" s="4" t="b">
        <f>_xlfn.IFNA(IF(((INDEX(RulebookFields!I2:I1898, MATCH(D515,RulebookFields!A2:A1898, 0))="")=TRUE),  "",  INDEX(RulebookFields!I2:I1898, MATCH(D515,RulebookFields!A2:A1898, 0))), "")</f>
        <v>0</v>
      </c>
      <c r="K515" s="4" t="b">
        <f>AND(((F515)=TRUE), ((J515)=TRUE))</f>
        <v>0</v>
      </c>
      <c r="L515" s="4" t="b">
        <f>AND(((G515 &lt;&gt; "plain")=TRUE), ((G515 &lt;&gt; "")=TRUE))</f>
        <v>0</v>
      </c>
      <c r="M515" s="4" t="str">
        <f>IF(((E515)=TRUE),  C515 &amp; "|" &amp; H515,  "")</f>
        <v>principal-process-steward|AppRoleProfiles</v>
      </c>
      <c r="N515" s="3" t="s">
        <v>10004</v>
      </c>
    </row>
    <row r="516">
      <c r="A516" s="3" t="s">
        <v>10518</v>
      </c>
      <c r="B516" s="4" t="str">
        <f>C516 &amp; " -&gt; " &amp; D516</f>
        <v>principal-process-steward -&gt; AppRouteQuestions.AppRouteQuestionId</v>
      </c>
      <c r="C516" s="3" t="s">
        <v>9772</v>
      </c>
      <c r="D516" s="3" t="s">
        <v>5334</v>
      </c>
      <c r="E516" s="3" t="b">
        <v>1</v>
      </c>
      <c r="F516" s="3" t="b">
        <v>0</v>
      </c>
      <c r="G516" s="3" t="s">
        <v>10003</v>
      </c>
      <c r="H516" s="4" t="str">
        <f>_xlfn.IFNA(IF(((INDEX(RulebookFields!C2:C1898, MATCH(D516,RulebookFields!A2:A1898, 0))="")=TRUE),  "",  INDEX(RulebookFields!C2:C1898, MATCH(D516,RulebookFields!A2:A1898, 0))), "")</f>
        <v>AppRouteQuestions</v>
      </c>
      <c r="I516" s="4" t="str">
        <f>_xlfn.IFNA(IF(((INDEX(RulebookFields!D2:D1898, MATCH(D516,RulebookFields!A2:A1898, 0))="")=TRUE),  "",  INDEX(RulebookFields!D2:D1898, MATCH(D516,RulebookFields!A2:A1898, 0))), "")</f>
        <v>AppRouteQuestionId</v>
      </c>
      <c r="J516" s="4" t="b">
        <f>_xlfn.IFNA(IF(((INDEX(RulebookFields!I2:I1898, MATCH(D516,RulebookFields!A2:A1898, 0))="")=TRUE),  "",  INDEX(RulebookFields!I2:I1898, MATCH(D516,RulebookFields!A2:A1898, 0))), "")</f>
        <v>0</v>
      </c>
      <c r="K516" s="4" t="b">
        <f>AND(((F516)=TRUE), ((J516)=TRUE))</f>
        <v>0</v>
      </c>
      <c r="L516" s="4" t="b">
        <f>AND(((G516 &lt;&gt; "plain")=TRUE), ((G516 &lt;&gt; "")=TRUE))</f>
        <v>0</v>
      </c>
      <c r="M516" s="4" t="str">
        <f>IF(((E516)=TRUE),  C516 &amp; "|" &amp; H516,  "")</f>
        <v>principal-process-steward|AppRouteQuestions</v>
      </c>
      <c r="N516" s="3" t="s">
        <v>10004</v>
      </c>
    </row>
    <row r="517">
      <c r="A517" s="3" t="s">
        <v>10519</v>
      </c>
      <c r="B517" s="4" t="str">
        <f>C517 &amp; " -&gt; " &amp; D517</f>
        <v>principal-process-steward -&gt; AppRouteQuestions.Name</v>
      </c>
      <c r="C517" s="3" t="s">
        <v>9772</v>
      </c>
      <c r="D517" s="3" t="s">
        <v>5336</v>
      </c>
      <c r="E517" s="3" t="b">
        <v>1</v>
      </c>
      <c r="F517" s="3" t="b">
        <v>0</v>
      </c>
      <c r="G517" s="3" t="s">
        <v>10003</v>
      </c>
      <c r="H517" s="4" t="str">
        <f>_xlfn.IFNA(IF(((INDEX(RulebookFields!C2:C1898, MATCH(D517,RulebookFields!A2:A1898, 0))="")=TRUE),  "",  INDEX(RulebookFields!C2:C1898, MATCH(D517,RulebookFields!A2:A1898, 0))), "")</f>
        <v>AppRouteQuestions</v>
      </c>
      <c r="I517" s="4" t="str">
        <f>_xlfn.IFNA(IF(((INDEX(RulebookFields!D2:D1898, MATCH(D517,RulebookFields!A2:A1898, 0))="")=TRUE),  "",  INDEX(RulebookFields!D2:D1898, MATCH(D517,RulebookFields!A2:A1898, 0))), "")</f>
        <v>Name</v>
      </c>
      <c r="J517" s="4" t="b">
        <f>_xlfn.IFNA(IF(((INDEX(RulebookFields!I2:I1898, MATCH(D517,RulebookFields!A2:A1898, 0))="")=TRUE),  "",  INDEX(RulebookFields!I2:I1898, MATCH(D517,RulebookFields!A2:A1898, 0))), "")</f>
        <v>1</v>
      </c>
      <c r="K517" s="4" t="b">
        <f>AND(((F517)=TRUE), ((J517)=TRUE))</f>
        <v>0</v>
      </c>
      <c r="L517" s="4" t="b">
        <f>AND(((G517 &lt;&gt; "plain")=TRUE), ((G517 &lt;&gt; "")=TRUE))</f>
        <v>0</v>
      </c>
      <c r="M517" s="4" t="str">
        <f>IF(((E517)=TRUE),  C517 &amp; "|" &amp; H517,  "")</f>
        <v>principal-process-steward|AppRouteQuestions</v>
      </c>
      <c r="N517" s="3" t="s">
        <v>10004</v>
      </c>
    </row>
    <row r="518">
      <c r="A518" s="3" t="s">
        <v>10520</v>
      </c>
      <c r="B518" s="4" t="str">
        <f>C518 &amp; " -&gt; " &amp; D518</f>
        <v>principal-process-steward -&gt; AppRouteQuestions.Route</v>
      </c>
      <c r="C518" s="3" t="s">
        <v>9772</v>
      </c>
      <c r="D518" s="3" t="s">
        <v>5338</v>
      </c>
      <c r="E518" s="3" t="b">
        <v>1</v>
      </c>
      <c r="F518" s="3" t="b">
        <v>0</v>
      </c>
      <c r="G518" s="3" t="s">
        <v>10003</v>
      </c>
      <c r="H518" s="4" t="str">
        <f>_xlfn.IFNA(IF(((INDEX(RulebookFields!C2:C1898, MATCH(D518,RulebookFields!A2:A1898, 0))="")=TRUE),  "",  INDEX(RulebookFields!C2:C1898, MATCH(D518,RulebookFields!A2:A1898, 0))), "")</f>
        <v>AppRouteQuestions</v>
      </c>
      <c r="I518" s="4" t="str">
        <f>_xlfn.IFNA(IF(((INDEX(RulebookFields!D2:D1898, MATCH(D518,RulebookFields!A2:A1898, 0))="")=TRUE),  "",  INDEX(RulebookFields!D2:D1898, MATCH(D518,RulebookFields!A2:A1898, 0))), "")</f>
        <v>Route</v>
      </c>
      <c r="J518" s="4" t="b">
        <f>_xlfn.IFNA(IF(((INDEX(RulebookFields!I2:I1898, MATCH(D518,RulebookFields!A2:A1898, 0))="")=TRUE),  "",  INDEX(RulebookFields!I2:I1898, MATCH(D518,RulebookFields!A2:A1898, 0))), "")</f>
        <v>0</v>
      </c>
      <c r="K518" s="4" t="b">
        <f>AND(((F518)=TRUE), ((J518)=TRUE))</f>
        <v>0</v>
      </c>
      <c r="L518" s="4" t="b">
        <f>AND(((G518 &lt;&gt; "plain")=TRUE), ((G518 &lt;&gt; "")=TRUE))</f>
        <v>0</v>
      </c>
      <c r="M518" s="4" t="str">
        <f>IF(((E518)=TRUE),  C518 &amp; "|" &amp; H518,  "")</f>
        <v>principal-process-steward|AppRouteQuestions</v>
      </c>
      <c r="N518" s="3" t="s">
        <v>10004</v>
      </c>
    </row>
    <row r="519">
      <c r="A519" s="3" t="s">
        <v>10521</v>
      </c>
      <c r="B519" s="4" t="str">
        <f>C519 &amp; " -&gt; " &amp; D519</f>
        <v>principal-process-steward -&gt; AppRouteQuestions.Question</v>
      </c>
      <c r="C519" s="3" t="s">
        <v>9772</v>
      </c>
      <c r="D519" s="3" t="s">
        <v>5340</v>
      </c>
      <c r="E519" s="3" t="b">
        <v>1</v>
      </c>
      <c r="F519" s="3" t="b">
        <v>0</v>
      </c>
      <c r="G519" s="3" t="s">
        <v>10003</v>
      </c>
      <c r="H519" s="4" t="str">
        <f>_xlfn.IFNA(IF(((INDEX(RulebookFields!C2:C1898, MATCH(D519,RulebookFields!A2:A1898, 0))="")=TRUE),  "",  INDEX(RulebookFields!C2:C1898, MATCH(D519,RulebookFields!A2:A1898, 0))), "")</f>
        <v>AppRouteQuestions</v>
      </c>
      <c r="I519" s="4" t="str">
        <f>_xlfn.IFNA(IF(((INDEX(RulebookFields!D2:D1898, MATCH(D519,RulebookFields!A2:A1898, 0))="")=TRUE),  "",  INDEX(RulebookFields!D2:D1898, MATCH(D519,RulebookFields!A2:A1898, 0))), "")</f>
        <v>Question</v>
      </c>
      <c r="J519" s="4" t="b">
        <f>_xlfn.IFNA(IF(((INDEX(RulebookFields!I2:I1898, MATCH(D519,RulebookFields!A2:A1898, 0))="")=TRUE),  "",  INDEX(RulebookFields!I2:I1898, MATCH(D519,RulebookFields!A2:A1898, 0))), "")</f>
        <v>0</v>
      </c>
      <c r="K519" s="4" t="b">
        <f>AND(((F519)=TRUE), ((J519)=TRUE))</f>
        <v>0</v>
      </c>
      <c r="L519" s="4" t="b">
        <f>AND(((G519 &lt;&gt; "plain")=TRUE), ((G519 &lt;&gt; "")=TRUE))</f>
        <v>0</v>
      </c>
      <c r="M519" s="4" t="str">
        <f>IF(((E519)=TRUE),  C519 &amp; "|" &amp; H519,  "")</f>
        <v>principal-process-steward|AppRouteQuestions</v>
      </c>
      <c r="N519" s="3" t="s">
        <v>10004</v>
      </c>
    </row>
    <row r="520">
      <c r="A520" s="3" t="s">
        <v>10522</v>
      </c>
      <c r="B520" s="4" t="str">
        <f>C520 &amp; " -&gt; " &amp; D520</f>
        <v>principal-process-steward -&gt; AppRouteQuestions.SemanticTypeIri</v>
      </c>
      <c r="C520" s="3" t="s">
        <v>9772</v>
      </c>
      <c r="D520" s="3" t="s">
        <v>5341</v>
      </c>
      <c r="E520" s="3" t="b">
        <v>1</v>
      </c>
      <c r="F520" s="3" t="b">
        <v>0</v>
      </c>
      <c r="G520" s="3" t="s">
        <v>10003</v>
      </c>
      <c r="H520" s="4" t="str">
        <f>_xlfn.IFNA(IF(((INDEX(RulebookFields!C2:C1898, MATCH(D520,RulebookFields!A2:A1898, 0))="")=TRUE),  "",  INDEX(RulebookFields!C2:C1898, MATCH(D520,RulebookFields!A2:A1898, 0))), "")</f>
        <v>AppRouteQuestions</v>
      </c>
      <c r="I520" s="4" t="str">
        <f>_xlfn.IFNA(IF(((INDEX(RulebookFields!D2:D1898, MATCH(D520,RulebookFields!A2:A1898, 0))="")=TRUE),  "",  INDEX(RulebookFields!D2:D1898, MATCH(D520,RulebookFields!A2:A1898, 0))), "")</f>
        <v>SemanticTypeIri</v>
      </c>
      <c r="J520" s="4" t="b">
        <f>_xlfn.IFNA(IF(((INDEX(RulebookFields!I2:I1898, MATCH(D520,RulebookFields!A2:A1898, 0))="")=TRUE),  "",  INDEX(RulebookFields!I2:I1898, MATCH(D520,RulebookFields!A2:A1898, 0))), "")</f>
        <v>0</v>
      </c>
      <c r="K520" s="4" t="b">
        <f>AND(((F520)=TRUE), ((J520)=TRUE))</f>
        <v>0</v>
      </c>
      <c r="L520" s="4" t="b">
        <f>AND(((G520 &lt;&gt; "plain")=TRUE), ((G520 &lt;&gt; "")=TRUE))</f>
        <v>0</v>
      </c>
      <c r="M520" s="4" t="str">
        <f>IF(((E520)=TRUE),  C520 &amp; "|" &amp; H520,  "")</f>
        <v>principal-process-steward|AppRouteQuestions</v>
      </c>
      <c r="N520" s="3" t="s">
        <v>10004</v>
      </c>
    </row>
    <row r="521">
      <c r="A521" s="3" t="s">
        <v>10523</v>
      </c>
      <c r="B521" s="4" t="str">
        <f>C521 &amp; " -&gt; " &amp; D521</f>
        <v>principal-process-steward -&gt; AppRouteReferences.AppRouteReferenceId</v>
      </c>
      <c r="C521" s="3" t="s">
        <v>9772</v>
      </c>
      <c r="D521" s="3" t="s">
        <v>5342</v>
      </c>
      <c r="E521" s="3" t="b">
        <v>1</v>
      </c>
      <c r="F521" s="3" t="b">
        <v>0</v>
      </c>
      <c r="G521" s="3" t="s">
        <v>10003</v>
      </c>
      <c r="H521" s="4" t="str">
        <f>_xlfn.IFNA(IF(((INDEX(RulebookFields!C2:C1898, MATCH(D521,RulebookFields!A2:A1898, 0))="")=TRUE),  "",  INDEX(RulebookFields!C2:C1898, MATCH(D521,RulebookFields!A2:A1898, 0))), "")</f>
        <v>AppRouteReferences</v>
      </c>
      <c r="I521" s="4" t="str">
        <f>_xlfn.IFNA(IF(((INDEX(RulebookFields!D2:D1898, MATCH(D521,RulebookFields!A2:A1898, 0))="")=TRUE),  "",  INDEX(RulebookFields!D2:D1898, MATCH(D521,RulebookFields!A2:A1898, 0))), "")</f>
        <v>AppRouteReferenceId</v>
      </c>
      <c r="J521" s="4" t="b">
        <f>_xlfn.IFNA(IF(((INDEX(RulebookFields!I2:I1898, MATCH(D521,RulebookFields!A2:A1898, 0))="")=TRUE),  "",  INDEX(RulebookFields!I2:I1898, MATCH(D521,RulebookFields!A2:A1898, 0))), "")</f>
        <v>0</v>
      </c>
      <c r="K521" s="4" t="b">
        <f>AND(((F521)=TRUE), ((J521)=TRUE))</f>
        <v>0</v>
      </c>
      <c r="L521" s="4" t="b">
        <f>AND(((G521 &lt;&gt; "plain")=TRUE), ((G521 &lt;&gt; "")=TRUE))</f>
        <v>0</v>
      </c>
      <c r="M521" s="4" t="str">
        <f>IF(((E521)=TRUE),  C521 &amp; "|" &amp; H521,  "")</f>
        <v>principal-process-steward|AppRouteReferences</v>
      </c>
      <c r="N521" s="3" t="s">
        <v>10004</v>
      </c>
    </row>
    <row r="522">
      <c r="A522" s="3" t="s">
        <v>10524</v>
      </c>
      <c r="B522" s="4" t="str">
        <f>C522 &amp; " -&gt; " &amp; D522</f>
        <v>principal-process-steward -&gt; AppRouteReferences.Name</v>
      </c>
      <c r="C522" s="3" t="s">
        <v>9772</v>
      </c>
      <c r="D522" s="3" t="s">
        <v>5344</v>
      </c>
      <c r="E522" s="3" t="b">
        <v>1</v>
      </c>
      <c r="F522" s="3" t="b">
        <v>0</v>
      </c>
      <c r="G522" s="3" t="s">
        <v>10003</v>
      </c>
      <c r="H522" s="4" t="str">
        <f>_xlfn.IFNA(IF(((INDEX(RulebookFields!C2:C1898, MATCH(D522,RulebookFields!A2:A1898, 0))="")=TRUE),  "",  INDEX(RulebookFields!C2:C1898, MATCH(D522,RulebookFields!A2:A1898, 0))), "")</f>
        <v>AppRouteReferences</v>
      </c>
      <c r="I522" s="4" t="str">
        <f>_xlfn.IFNA(IF(((INDEX(RulebookFields!D2:D1898, MATCH(D522,RulebookFields!A2:A1898, 0))="")=TRUE),  "",  INDEX(RulebookFields!D2:D1898, MATCH(D522,RulebookFields!A2:A1898, 0))), "")</f>
        <v>Name</v>
      </c>
      <c r="J522" s="4" t="b">
        <f>_xlfn.IFNA(IF(((INDEX(RulebookFields!I2:I1898, MATCH(D522,RulebookFields!A2:A1898, 0))="")=TRUE),  "",  INDEX(RulebookFields!I2:I1898, MATCH(D522,RulebookFields!A2:A1898, 0))), "")</f>
        <v>1</v>
      </c>
      <c r="K522" s="4" t="b">
        <f>AND(((F522)=TRUE), ((J522)=TRUE))</f>
        <v>0</v>
      </c>
      <c r="L522" s="4" t="b">
        <f>AND(((G522 &lt;&gt; "plain")=TRUE), ((G522 &lt;&gt; "")=TRUE))</f>
        <v>0</v>
      </c>
      <c r="M522" s="4" t="str">
        <f>IF(((E522)=TRUE),  C522 &amp; "|" &amp; H522,  "")</f>
        <v>principal-process-steward|AppRouteReferences</v>
      </c>
      <c r="N522" s="3" t="s">
        <v>10004</v>
      </c>
    </row>
    <row r="523">
      <c r="A523" s="3" t="s">
        <v>10525</v>
      </c>
      <c r="B523" s="4" t="str">
        <f>C523 &amp; " -&gt; " &amp; D523</f>
        <v>principal-process-steward -&gt; AppRouteReferences.FromRoute</v>
      </c>
      <c r="C523" s="3" t="s">
        <v>9772</v>
      </c>
      <c r="D523" s="3" t="s">
        <v>5346</v>
      </c>
      <c r="E523" s="3" t="b">
        <v>1</v>
      </c>
      <c r="F523" s="3" t="b">
        <v>0</v>
      </c>
      <c r="G523" s="3" t="s">
        <v>10003</v>
      </c>
      <c r="H523" s="4" t="str">
        <f>_xlfn.IFNA(IF(((INDEX(RulebookFields!C2:C1898, MATCH(D523,RulebookFields!A2:A1898, 0))="")=TRUE),  "",  INDEX(RulebookFields!C2:C1898, MATCH(D523,RulebookFields!A2:A1898, 0))), "")</f>
        <v>AppRouteReferences</v>
      </c>
      <c r="I523" s="4" t="str">
        <f>_xlfn.IFNA(IF(((INDEX(RulebookFields!D2:D1898, MATCH(D523,RulebookFields!A2:A1898, 0))="")=TRUE),  "",  INDEX(RulebookFields!D2:D1898, MATCH(D523,RulebookFields!A2:A1898, 0))), "")</f>
        <v>FromRoute</v>
      </c>
      <c r="J523" s="4" t="b">
        <f>_xlfn.IFNA(IF(((INDEX(RulebookFields!I2:I1898, MATCH(D523,RulebookFields!A2:A1898, 0))="")=TRUE),  "",  INDEX(RulebookFields!I2:I1898, MATCH(D523,RulebookFields!A2:A1898, 0))), "")</f>
        <v>0</v>
      </c>
      <c r="K523" s="4" t="b">
        <f>AND(((F523)=TRUE), ((J523)=TRUE))</f>
        <v>0</v>
      </c>
      <c r="L523" s="4" t="b">
        <f>AND(((G523 &lt;&gt; "plain")=TRUE), ((G523 &lt;&gt; "")=TRUE))</f>
        <v>0</v>
      </c>
      <c r="M523" s="4" t="str">
        <f>IF(((E523)=TRUE),  C523 &amp; "|" &amp; H523,  "")</f>
        <v>principal-process-steward|AppRouteReferences</v>
      </c>
      <c r="N523" s="3" t="s">
        <v>10004</v>
      </c>
    </row>
    <row r="524">
      <c r="A524" s="3" t="s">
        <v>10526</v>
      </c>
      <c r="B524" s="4" t="str">
        <f>C524 &amp; " -&gt; " &amp; D524</f>
        <v>principal-process-steward -&gt; AppRouteReferences.ToRoute</v>
      </c>
      <c r="C524" s="3" t="s">
        <v>9772</v>
      </c>
      <c r="D524" s="3" t="s">
        <v>5348</v>
      </c>
      <c r="E524" s="3" t="b">
        <v>1</v>
      </c>
      <c r="F524" s="3" t="b">
        <v>0</v>
      </c>
      <c r="G524" s="3" t="s">
        <v>10003</v>
      </c>
      <c r="H524" s="4" t="str">
        <f>_xlfn.IFNA(IF(((INDEX(RulebookFields!C2:C1898, MATCH(D524,RulebookFields!A2:A1898, 0))="")=TRUE),  "",  INDEX(RulebookFields!C2:C1898, MATCH(D524,RulebookFields!A2:A1898, 0))), "")</f>
        <v>AppRouteReferences</v>
      </c>
      <c r="I524" s="4" t="str">
        <f>_xlfn.IFNA(IF(((INDEX(RulebookFields!D2:D1898, MATCH(D524,RulebookFields!A2:A1898, 0))="")=TRUE),  "",  INDEX(RulebookFields!D2:D1898, MATCH(D524,RulebookFields!A2:A1898, 0))), "")</f>
        <v>ToRoute</v>
      </c>
      <c r="J524" s="4" t="b">
        <f>_xlfn.IFNA(IF(((INDEX(RulebookFields!I2:I1898, MATCH(D524,RulebookFields!A2:A1898, 0))="")=TRUE),  "",  INDEX(RulebookFields!I2:I1898, MATCH(D524,RulebookFields!A2:A1898, 0))), "")</f>
        <v>0</v>
      </c>
      <c r="K524" s="4" t="b">
        <f>AND(((F524)=TRUE), ((J524)=TRUE))</f>
        <v>0</v>
      </c>
      <c r="L524" s="4" t="b">
        <f>AND(((G524 &lt;&gt; "plain")=TRUE), ((G524 &lt;&gt; "")=TRUE))</f>
        <v>0</v>
      </c>
      <c r="M524" s="4" t="str">
        <f>IF(((E524)=TRUE),  C524 &amp; "|" &amp; H524,  "")</f>
        <v>principal-process-steward|AppRouteReferences</v>
      </c>
      <c r="N524" s="3" t="s">
        <v>10004</v>
      </c>
    </row>
    <row r="525">
      <c r="A525" s="3" t="s">
        <v>10527</v>
      </c>
      <c r="B525" s="4" t="str">
        <f>C525 &amp; " -&gt; " &amp; D525</f>
        <v>principal-process-steward -&gt; AppRouteReferences.SemanticTypeIri</v>
      </c>
      <c r="C525" s="3" t="s">
        <v>9772</v>
      </c>
      <c r="D525" s="3" t="s">
        <v>5350</v>
      </c>
      <c r="E525" s="3" t="b">
        <v>1</v>
      </c>
      <c r="F525" s="3" t="b">
        <v>0</v>
      </c>
      <c r="G525" s="3" t="s">
        <v>10003</v>
      </c>
      <c r="H525" s="4" t="str">
        <f>_xlfn.IFNA(IF(((INDEX(RulebookFields!C2:C1898, MATCH(D525,RulebookFields!A2:A1898, 0))="")=TRUE),  "",  INDEX(RulebookFields!C2:C1898, MATCH(D525,RulebookFields!A2:A1898, 0))), "")</f>
        <v>AppRouteReferences</v>
      </c>
      <c r="I525" s="4" t="str">
        <f>_xlfn.IFNA(IF(((INDEX(RulebookFields!D2:D1898, MATCH(D525,RulebookFields!A2:A1898, 0))="")=TRUE),  "",  INDEX(RulebookFields!D2:D1898, MATCH(D525,RulebookFields!A2:A1898, 0))), "")</f>
        <v>SemanticTypeIri</v>
      </c>
      <c r="J525" s="4" t="b">
        <f>_xlfn.IFNA(IF(((INDEX(RulebookFields!I2:I1898, MATCH(D525,RulebookFields!A2:A1898, 0))="")=TRUE),  "",  INDEX(RulebookFields!I2:I1898, MATCH(D525,RulebookFields!A2:A1898, 0))), "")</f>
        <v>0</v>
      </c>
      <c r="K525" s="4" t="b">
        <f>AND(((F525)=TRUE), ((J525)=TRUE))</f>
        <v>0</v>
      </c>
      <c r="L525" s="4" t="b">
        <f>AND(((G525 &lt;&gt; "plain")=TRUE), ((G525 &lt;&gt; "")=TRUE))</f>
        <v>0</v>
      </c>
      <c r="M525" s="4" t="str">
        <f>IF(((E525)=TRUE),  C525 &amp; "|" &amp; H525,  "")</f>
        <v>principal-process-steward|AppRouteReferences</v>
      </c>
      <c r="N525" s="3" t="s">
        <v>10004</v>
      </c>
    </row>
    <row r="526">
      <c r="A526" s="3" t="s">
        <v>10528</v>
      </c>
      <c r="B526" s="4" t="str">
        <f>C526 &amp; " -&gt; " &amp; D526</f>
        <v>principal-process-steward -&gt; AppRoutes.AppRouteId</v>
      </c>
      <c r="C526" s="3" t="s">
        <v>9772</v>
      </c>
      <c r="D526" s="3" t="s">
        <v>5295</v>
      </c>
      <c r="E526" s="3" t="b">
        <v>1</v>
      </c>
      <c r="F526" s="3" t="b">
        <v>0</v>
      </c>
      <c r="G526" s="3" t="s">
        <v>10003</v>
      </c>
      <c r="H526" s="4" t="str">
        <f>_xlfn.IFNA(IF(((INDEX(RulebookFields!C2:C1898, MATCH(D526,RulebookFields!A2:A1898, 0))="")=TRUE),  "",  INDEX(RulebookFields!C2:C1898, MATCH(D526,RulebookFields!A2:A1898, 0))), "")</f>
        <v>AppRoutes</v>
      </c>
      <c r="I526" s="4" t="str">
        <f>_xlfn.IFNA(IF(((INDEX(RulebookFields!D2:D1898, MATCH(D526,RulebookFields!A2:A1898, 0))="")=TRUE),  "",  INDEX(RulebookFields!D2:D1898, MATCH(D526,RulebookFields!A2:A1898, 0))), "")</f>
        <v>AppRouteId</v>
      </c>
      <c r="J526" s="4" t="b">
        <f>_xlfn.IFNA(IF(((INDEX(RulebookFields!I2:I1898, MATCH(D526,RulebookFields!A2:A1898, 0))="")=TRUE),  "",  INDEX(RulebookFields!I2:I1898, MATCH(D526,RulebookFields!A2:A1898, 0))), "")</f>
        <v>0</v>
      </c>
      <c r="K526" s="4" t="b">
        <f>AND(((F526)=TRUE), ((J526)=TRUE))</f>
        <v>0</v>
      </c>
      <c r="L526" s="4" t="b">
        <f>AND(((G526 &lt;&gt; "plain")=TRUE), ((G526 &lt;&gt; "")=TRUE))</f>
        <v>0</v>
      </c>
      <c r="M526" s="4" t="str">
        <f>IF(((E526)=TRUE),  C526 &amp; "|" &amp; H526,  "")</f>
        <v>principal-process-steward|AppRoutes</v>
      </c>
      <c r="N526" s="3" t="s">
        <v>10004</v>
      </c>
    </row>
    <row r="527">
      <c r="A527" s="3" t="s">
        <v>10529</v>
      </c>
      <c r="B527" s="4" t="str">
        <f>C527 &amp; " -&gt; " &amp; D527</f>
        <v>principal-process-steward -&gt; AppRoutes.Name</v>
      </c>
      <c r="C527" s="3" t="s">
        <v>9772</v>
      </c>
      <c r="D527" s="3" t="s">
        <v>5297</v>
      </c>
      <c r="E527" s="3" t="b">
        <v>1</v>
      </c>
      <c r="F527" s="3" t="b">
        <v>0</v>
      </c>
      <c r="G527" s="3" t="s">
        <v>10003</v>
      </c>
      <c r="H527" s="4" t="str">
        <f>_xlfn.IFNA(IF(((INDEX(RulebookFields!C2:C1898, MATCH(D527,RulebookFields!A2:A1898, 0))="")=TRUE),  "",  INDEX(RulebookFields!C2:C1898, MATCH(D527,RulebookFields!A2:A1898, 0))), "")</f>
        <v>AppRoutes</v>
      </c>
      <c r="I527" s="4" t="str">
        <f>_xlfn.IFNA(IF(((INDEX(RulebookFields!D2:D1898, MATCH(D527,RulebookFields!A2:A1898, 0))="")=TRUE),  "",  INDEX(RulebookFields!D2:D1898, MATCH(D527,RulebookFields!A2:A1898, 0))), "")</f>
        <v>Name</v>
      </c>
      <c r="J527" s="4" t="b">
        <f>_xlfn.IFNA(IF(((INDEX(RulebookFields!I2:I1898, MATCH(D527,RulebookFields!A2:A1898, 0))="")=TRUE),  "",  INDEX(RulebookFields!I2:I1898, MATCH(D527,RulebookFields!A2:A1898, 0))), "")</f>
        <v>1</v>
      </c>
      <c r="K527" s="4" t="b">
        <f>AND(((F527)=TRUE), ((J527)=TRUE))</f>
        <v>0</v>
      </c>
      <c r="L527" s="4" t="b">
        <f>AND(((G527 &lt;&gt; "plain")=TRUE), ((G527 &lt;&gt; "")=TRUE))</f>
        <v>0</v>
      </c>
      <c r="M527" s="4" t="str">
        <f>IF(((E527)=TRUE),  C527 &amp; "|" &amp; H527,  "")</f>
        <v>principal-process-steward|AppRoutes</v>
      </c>
      <c r="N527" s="3" t="s">
        <v>10004</v>
      </c>
    </row>
    <row r="528">
      <c r="A528" s="3" t="s">
        <v>10530</v>
      </c>
      <c r="B528" s="4" t="str">
        <f>C528 &amp; " -&gt; " &amp; D528</f>
        <v>principal-process-steward -&gt; AppRoutes.RoutePath</v>
      </c>
      <c r="C528" s="3" t="s">
        <v>9772</v>
      </c>
      <c r="D528" s="3" t="s">
        <v>5299</v>
      </c>
      <c r="E528" s="3" t="b">
        <v>1</v>
      </c>
      <c r="F528" s="3" t="b">
        <v>0</v>
      </c>
      <c r="G528" s="3" t="s">
        <v>10003</v>
      </c>
      <c r="H528" s="4" t="str">
        <f>_xlfn.IFNA(IF(((INDEX(RulebookFields!C2:C1898, MATCH(D528,RulebookFields!A2:A1898, 0))="")=TRUE),  "",  INDEX(RulebookFields!C2:C1898, MATCH(D528,RulebookFields!A2:A1898, 0))), "")</f>
        <v>AppRoutes</v>
      </c>
      <c r="I528" s="4" t="str">
        <f>_xlfn.IFNA(IF(((INDEX(RulebookFields!D2:D1898, MATCH(D528,RulebookFields!A2:A1898, 0))="")=TRUE),  "",  INDEX(RulebookFields!D2:D1898, MATCH(D528,RulebookFields!A2:A1898, 0))), "")</f>
        <v>RoutePath</v>
      </c>
      <c r="J528" s="4" t="b">
        <f>_xlfn.IFNA(IF(((INDEX(RulebookFields!I2:I1898, MATCH(D528,RulebookFields!A2:A1898, 0))="")=TRUE),  "",  INDEX(RulebookFields!I2:I1898, MATCH(D528,RulebookFields!A2:A1898, 0))), "")</f>
        <v>0</v>
      </c>
      <c r="K528" s="4" t="b">
        <f>AND(((F528)=TRUE), ((J528)=TRUE))</f>
        <v>0</v>
      </c>
      <c r="L528" s="4" t="b">
        <f>AND(((G528 &lt;&gt; "plain")=TRUE), ((G528 &lt;&gt; "")=TRUE))</f>
        <v>0</v>
      </c>
      <c r="M528" s="4" t="str">
        <f>IF(((E528)=TRUE),  C528 &amp; "|" &amp; H528,  "")</f>
        <v>principal-process-steward|AppRoutes</v>
      </c>
      <c r="N528" s="3" t="s">
        <v>10004</v>
      </c>
    </row>
    <row r="529">
      <c r="A529" s="3" t="s">
        <v>10531</v>
      </c>
      <c r="B529" s="4" t="str">
        <f>C529 &amp; " -&gt; " &amp; D529</f>
        <v>principal-process-steward -&gt; AppRoutes.RouteName</v>
      </c>
      <c r="C529" s="3" t="s">
        <v>9772</v>
      </c>
      <c r="D529" s="3" t="s">
        <v>5301</v>
      </c>
      <c r="E529" s="3" t="b">
        <v>1</v>
      </c>
      <c r="F529" s="3" t="b">
        <v>0</v>
      </c>
      <c r="G529" s="3" t="s">
        <v>10003</v>
      </c>
      <c r="H529" s="4" t="str">
        <f>_xlfn.IFNA(IF(((INDEX(RulebookFields!C2:C1898, MATCH(D529,RulebookFields!A2:A1898, 0))="")=TRUE),  "",  INDEX(RulebookFields!C2:C1898, MATCH(D529,RulebookFields!A2:A1898, 0))), "")</f>
        <v>AppRoutes</v>
      </c>
      <c r="I529" s="4" t="str">
        <f>_xlfn.IFNA(IF(((INDEX(RulebookFields!D2:D1898, MATCH(D529,RulebookFields!A2:A1898, 0))="")=TRUE),  "",  INDEX(RulebookFields!D2:D1898, MATCH(D529,RulebookFields!A2:A1898, 0))), "")</f>
        <v>RouteName</v>
      </c>
      <c r="J529" s="4" t="b">
        <f>_xlfn.IFNA(IF(((INDEX(RulebookFields!I2:I1898, MATCH(D529,RulebookFields!A2:A1898, 0))="")=TRUE),  "",  INDEX(RulebookFields!I2:I1898, MATCH(D529,RulebookFields!A2:A1898, 0))), "")</f>
        <v>0</v>
      </c>
      <c r="K529" s="4" t="b">
        <f>AND(((F529)=TRUE), ((J529)=TRUE))</f>
        <v>0</v>
      </c>
      <c r="L529" s="4" t="b">
        <f>AND(((G529 &lt;&gt; "plain")=TRUE), ((G529 &lt;&gt; "")=TRUE))</f>
        <v>0</v>
      </c>
      <c r="M529" s="4" t="str">
        <f>IF(((E529)=TRUE),  C529 &amp; "|" &amp; H529,  "")</f>
        <v>principal-process-steward|AppRoutes</v>
      </c>
      <c r="N529" s="3" t="s">
        <v>10004</v>
      </c>
    </row>
    <row r="530">
      <c r="A530" s="3" t="s">
        <v>10532</v>
      </c>
      <c r="B530" s="4" t="str">
        <f>C530 &amp; " -&gt; " &amp; D530</f>
        <v>principal-process-steward -&gt; AppRoutes.Surface</v>
      </c>
      <c r="C530" s="3" t="s">
        <v>9772</v>
      </c>
      <c r="D530" s="3" t="s">
        <v>5303</v>
      </c>
      <c r="E530" s="3" t="b">
        <v>1</v>
      </c>
      <c r="F530" s="3" t="b">
        <v>0</v>
      </c>
      <c r="G530" s="3" t="s">
        <v>10003</v>
      </c>
      <c r="H530" s="4" t="str">
        <f>_xlfn.IFNA(IF(((INDEX(RulebookFields!C2:C1898, MATCH(D530,RulebookFields!A2:A1898, 0))="")=TRUE),  "",  INDEX(RulebookFields!C2:C1898, MATCH(D530,RulebookFields!A2:A1898, 0))), "")</f>
        <v>AppRoutes</v>
      </c>
      <c r="I530" s="4" t="str">
        <f>_xlfn.IFNA(IF(((INDEX(RulebookFields!D2:D1898, MATCH(D530,RulebookFields!A2:A1898, 0))="")=TRUE),  "",  INDEX(RulebookFields!D2:D1898, MATCH(D530,RulebookFields!A2:A1898, 0))), "")</f>
        <v>Surface</v>
      </c>
      <c r="J530" s="4" t="b">
        <f>_xlfn.IFNA(IF(((INDEX(RulebookFields!I2:I1898, MATCH(D530,RulebookFields!A2:A1898, 0))="")=TRUE),  "",  INDEX(RulebookFields!I2:I1898, MATCH(D530,RulebookFields!A2:A1898, 0))), "")</f>
        <v>0</v>
      </c>
      <c r="K530" s="4" t="b">
        <f>AND(((F530)=TRUE), ((J530)=TRUE))</f>
        <v>0</v>
      </c>
      <c r="L530" s="4" t="b">
        <f>AND(((G530 &lt;&gt; "plain")=TRUE), ((G530 &lt;&gt; "")=TRUE))</f>
        <v>0</v>
      </c>
      <c r="M530" s="4" t="str">
        <f>IF(((E530)=TRUE),  C530 &amp; "|" &amp; H530,  "")</f>
        <v>principal-process-steward|AppRoutes</v>
      </c>
      <c r="N530" s="3" t="s">
        <v>10004</v>
      </c>
    </row>
    <row r="531">
      <c r="A531" s="3" t="s">
        <v>10533</v>
      </c>
      <c r="B531" s="4" t="str">
        <f>C531 &amp; " -&gt; " &amp; D531</f>
        <v>principal-process-steward -&gt; AppRoutes.OwningRole</v>
      </c>
      <c r="C531" s="3" t="s">
        <v>9772</v>
      </c>
      <c r="D531" s="3" t="s">
        <v>5305</v>
      </c>
      <c r="E531" s="3" t="b">
        <v>1</v>
      </c>
      <c r="F531" s="3" t="b">
        <v>0</v>
      </c>
      <c r="G531" s="3" t="s">
        <v>10003</v>
      </c>
      <c r="H531" s="4" t="str">
        <f>_xlfn.IFNA(IF(((INDEX(RulebookFields!C2:C1898, MATCH(D531,RulebookFields!A2:A1898, 0))="")=TRUE),  "",  INDEX(RulebookFields!C2:C1898, MATCH(D531,RulebookFields!A2:A1898, 0))), "")</f>
        <v>AppRoutes</v>
      </c>
      <c r="I531" s="4" t="str">
        <f>_xlfn.IFNA(IF(((INDEX(RulebookFields!D2:D1898, MATCH(D531,RulebookFields!A2:A1898, 0))="")=TRUE),  "",  INDEX(RulebookFields!D2:D1898, MATCH(D531,RulebookFields!A2:A1898, 0))), "")</f>
        <v>OwningRole</v>
      </c>
      <c r="J531" s="4" t="b">
        <f>_xlfn.IFNA(IF(((INDEX(RulebookFields!I2:I1898, MATCH(D531,RulebookFields!A2:A1898, 0))="")=TRUE),  "",  INDEX(RulebookFields!I2:I1898, MATCH(D531,RulebookFields!A2:A1898, 0))), "")</f>
        <v>0</v>
      </c>
      <c r="K531" s="4" t="b">
        <f>AND(((F531)=TRUE), ((J531)=TRUE))</f>
        <v>0</v>
      </c>
      <c r="L531" s="4" t="b">
        <f>AND(((G531 &lt;&gt; "plain")=TRUE), ((G531 &lt;&gt; "")=TRUE))</f>
        <v>0</v>
      </c>
      <c r="M531" s="4" t="str">
        <f>IF(((E531)=TRUE),  C531 &amp; "|" &amp; H531,  "")</f>
        <v>principal-process-steward|AppRoutes</v>
      </c>
      <c r="N531" s="3" t="s">
        <v>10004</v>
      </c>
    </row>
    <row r="532">
      <c r="A532" s="3" t="s">
        <v>10534</v>
      </c>
      <c r="B532" s="4" t="str">
        <f>C532 &amp; " -&gt; " &amp; D532</f>
        <v>principal-process-steward -&gt; AppRoutes.NavGroup</v>
      </c>
      <c r="C532" s="3" t="s">
        <v>9772</v>
      </c>
      <c r="D532" s="3" t="s">
        <v>5307</v>
      </c>
      <c r="E532" s="3" t="b">
        <v>1</v>
      </c>
      <c r="F532" s="3" t="b">
        <v>0</v>
      </c>
      <c r="G532" s="3" t="s">
        <v>10003</v>
      </c>
      <c r="H532" s="4" t="str">
        <f>_xlfn.IFNA(IF(((INDEX(RulebookFields!C2:C1898, MATCH(D532,RulebookFields!A2:A1898, 0))="")=TRUE),  "",  INDEX(RulebookFields!C2:C1898, MATCH(D532,RulebookFields!A2:A1898, 0))), "")</f>
        <v>AppRoutes</v>
      </c>
      <c r="I532" s="4" t="str">
        <f>_xlfn.IFNA(IF(((INDEX(RulebookFields!D2:D1898, MATCH(D532,RulebookFields!A2:A1898, 0))="")=TRUE),  "",  INDEX(RulebookFields!D2:D1898, MATCH(D532,RulebookFields!A2:A1898, 0))), "")</f>
        <v>NavGroup</v>
      </c>
      <c r="J532" s="4" t="b">
        <f>_xlfn.IFNA(IF(((INDEX(RulebookFields!I2:I1898, MATCH(D532,RulebookFields!A2:A1898, 0))="")=TRUE),  "",  INDEX(RulebookFields!I2:I1898, MATCH(D532,RulebookFields!A2:A1898, 0))), "")</f>
        <v>0</v>
      </c>
      <c r="K532" s="4" t="b">
        <f>AND(((F532)=TRUE), ((J532)=TRUE))</f>
        <v>0</v>
      </c>
      <c r="L532" s="4" t="b">
        <f>AND(((G532 &lt;&gt; "plain")=TRUE), ((G532 &lt;&gt; "")=TRUE))</f>
        <v>0</v>
      </c>
      <c r="M532" s="4" t="str">
        <f>IF(((E532)=TRUE),  C532 &amp; "|" &amp; H532,  "")</f>
        <v>principal-process-steward|AppRoutes</v>
      </c>
      <c r="N532" s="3" t="s">
        <v>10004</v>
      </c>
    </row>
    <row r="533">
      <c r="A533" s="3" t="s">
        <v>10535</v>
      </c>
      <c r="B533" s="4" t="str">
        <f>C533 &amp; " -&gt; " &amp; D533</f>
        <v>principal-process-steward -&gt; AppRoutes.NavOrder</v>
      </c>
      <c r="C533" s="3" t="s">
        <v>9772</v>
      </c>
      <c r="D533" s="3" t="s">
        <v>5309</v>
      </c>
      <c r="E533" s="3" t="b">
        <v>1</v>
      </c>
      <c r="F533" s="3" t="b">
        <v>0</v>
      </c>
      <c r="G533" s="3" t="s">
        <v>10003</v>
      </c>
      <c r="H533" s="4" t="str">
        <f>_xlfn.IFNA(IF(((INDEX(RulebookFields!C2:C1898, MATCH(D533,RulebookFields!A2:A1898, 0))="")=TRUE),  "",  INDEX(RulebookFields!C2:C1898, MATCH(D533,RulebookFields!A2:A1898, 0))), "")</f>
        <v>AppRoutes</v>
      </c>
      <c r="I533" s="4" t="str">
        <f>_xlfn.IFNA(IF(((INDEX(RulebookFields!D2:D1898, MATCH(D533,RulebookFields!A2:A1898, 0))="")=TRUE),  "",  INDEX(RulebookFields!D2:D1898, MATCH(D533,RulebookFields!A2:A1898, 0))), "")</f>
        <v>NavOrder</v>
      </c>
      <c r="J533" s="4" t="b">
        <f>_xlfn.IFNA(IF(((INDEX(RulebookFields!I2:I1898, MATCH(D533,RulebookFields!A2:A1898, 0))="")=TRUE),  "",  INDEX(RulebookFields!I2:I1898, MATCH(D533,RulebookFields!A2:A1898, 0))), "")</f>
        <v>0</v>
      </c>
      <c r="K533" s="4" t="b">
        <f>AND(((F533)=TRUE), ((J533)=TRUE))</f>
        <v>0</v>
      </c>
      <c r="L533" s="4" t="b">
        <f>AND(((G533 &lt;&gt; "plain")=TRUE), ((G533 &lt;&gt; "")=TRUE))</f>
        <v>0</v>
      </c>
      <c r="M533" s="4" t="str">
        <f>IF(((E533)=TRUE),  C533 &amp; "|" &amp; H533,  "")</f>
        <v>principal-process-steward|AppRoutes</v>
      </c>
      <c r="N533" s="3" t="s">
        <v>10004</v>
      </c>
    </row>
    <row r="534">
      <c r="A534" s="3" t="s">
        <v>10536</v>
      </c>
      <c r="B534" s="4" t="str">
        <f>C534 &amp; " -&gt; " &amp; D534</f>
        <v>principal-process-steward -&gt; AppRoutes.RouteKind</v>
      </c>
      <c r="C534" s="3" t="s">
        <v>9772</v>
      </c>
      <c r="D534" s="3" t="s">
        <v>5311</v>
      </c>
      <c r="E534" s="3" t="b">
        <v>1</v>
      </c>
      <c r="F534" s="3" t="b">
        <v>0</v>
      </c>
      <c r="G534" s="3" t="s">
        <v>10003</v>
      </c>
      <c r="H534" s="4" t="str">
        <f>_xlfn.IFNA(IF(((INDEX(RulebookFields!C2:C1898, MATCH(D534,RulebookFields!A2:A1898, 0))="")=TRUE),  "",  INDEX(RulebookFields!C2:C1898, MATCH(D534,RulebookFields!A2:A1898, 0))), "")</f>
        <v>AppRoutes</v>
      </c>
      <c r="I534" s="4" t="str">
        <f>_xlfn.IFNA(IF(((INDEX(RulebookFields!D2:D1898, MATCH(D534,RulebookFields!A2:A1898, 0))="")=TRUE),  "",  INDEX(RulebookFields!D2:D1898, MATCH(D534,RulebookFields!A2:A1898, 0))), "")</f>
        <v>RouteKind</v>
      </c>
      <c r="J534" s="4" t="b">
        <f>_xlfn.IFNA(IF(((INDEX(RulebookFields!I2:I1898, MATCH(D534,RulebookFields!A2:A1898, 0))="")=TRUE),  "",  INDEX(RulebookFields!I2:I1898, MATCH(D534,RulebookFields!A2:A1898, 0))), "")</f>
        <v>0</v>
      </c>
      <c r="K534" s="4" t="b">
        <f>AND(((F534)=TRUE), ((J534)=TRUE))</f>
        <v>0</v>
      </c>
      <c r="L534" s="4" t="b">
        <f>AND(((G534 &lt;&gt; "plain")=TRUE), ((G534 &lt;&gt; "")=TRUE))</f>
        <v>0</v>
      </c>
      <c r="M534" s="4" t="str">
        <f>IF(((E534)=TRUE),  C534 &amp; "|" &amp; H534,  "")</f>
        <v>principal-process-steward|AppRoutes</v>
      </c>
      <c r="N534" s="3" t="s">
        <v>10004</v>
      </c>
    </row>
    <row r="535">
      <c r="A535" s="3" t="s">
        <v>10537</v>
      </c>
      <c r="B535" s="4" t="str">
        <f>C535 &amp; " -&gt; " &amp; D535</f>
        <v>principal-process-steward -&gt; AppRoutes.Purpose</v>
      </c>
      <c r="C535" s="3" t="s">
        <v>9772</v>
      </c>
      <c r="D535" s="3" t="s">
        <v>5313</v>
      </c>
      <c r="E535" s="3" t="b">
        <v>1</v>
      </c>
      <c r="F535" s="3" t="b">
        <v>0</v>
      </c>
      <c r="G535" s="3" t="s">
        <v>10003</v>
      </c>
      <c r="H535" s="4" t="str">
        <f>_xlfn.IFNA(IF(((INDEX(RulebookFields!C2:C1898, MATCH(D535,RulebookFields!A2:A1898, 0))="")=TRUE),  "",  INDEX(RulebookFields!C2:C1898, MATCH(D535,RulebookFields!A2:A1898, 0))), "")</f>
        <v>AppRoutes</v>
      </c>
      <c r="I535" s="4" t="str">
        <f>_xlfn.IFNA(IF(((INDEX(RulebookFields!D2:D1898, MATCH(D535,RulebookFields!A2:A1898, 0))="")=TRUE),  "",  INDEX(RulebookFields!D2:D1898, MATCH(D535,RulebookFields!A2:A1898, 0))), "")</f>
        <v>Purpose</v>
      </c>
      <c r="J535" s="4" t="b">
        <f>_xlfn.IFNA(IF(((INDEX(RulebookFields!I2:I1898, MATCH(D535,RulebookFields!A2:A1898, 0))="")=TRUE),  "",  INDEX(RulebookFields!I2:I1898, MATCH(D535,RulebookFields!A2:A1898, 0))), "")</f>
        <v>0</v>
      </c>
      <c r="K535" s="4" t="b">
        <f>AND(((F535)=TRUE), ((J535)=TRUE))</f>
        <v>0</v>
      </c>
      <c r="L535" s="4" t="b">
        <f>AND(((G535 &lt;&gt; "plain")=TRUE), ((G535 &lt;&gt; "")=TRUE))</f>
        <v>0</v>
      </c>
      <c r="M535" s="4" t="str">
        <f>IF(((E535)=TRUE),  C535 &amp; "|" &amp; H535,  "")</f>
        <v>principal-process-steward|AppRoutes</v>
      </c>
      <c r="N535" s="3" t="s">
        <v>10004</v>
      </c>
    </row>
    <row r="536">
      <c r="A536" s="3" t="s">
        <v>10538</v>
      </c>
      <c r="B536" s="4" t="str">
        <f>C536 &amp; " -&gt; " &amp; D536</f>
        <v>principal-process-steward -&gt; AppRoutes.LayoutHints</v>
      </c>
      <c r="C536" s="3" t="s">
        <v>9772</v>
      </c>
      <c r="D536" s="3" t="s">
        <v>5314</v>
      </c>
      <c r="E536" s="3" t="b">
        <v>1</v>
      </c>
      <c r="F536" s="3" t="b">
        <v>0</v>
      </c>
      <c r="G536" s="3" t="s">
        <v>10003</v>
      </c>
      <c r="H536" s="4" t="str">
        <f>_xlfn.IFNA(IF(((INDEX(RulebookFields!C2:C1898, MATCH(D536,RulebookFields!A2:A1898, 0))="")=TRUE),  "",  INDEX(RulebookFields!C2:C1898, MATCH(D536,RulebookFields!A2:A1898, 0))), "")</f>
        <v>AppRoutes</v>
      </c>
      <c r="I536" s="4" t="str">
        <f>_xlfn.IFNA(IF(((INDEX(RulebookFields!D2:D1898, MATCH(D536,RulebookFields!A2:A1898, 0))="")=TRUE),  "",  INDEX(RulebookFields!D2:D1898, MATCH(D536,RulebookFields!A2:A1898, 0))), "")</f>
        <v>LayoutHints</v>
      </c>
      <c r="J536" s="4" t="b">
        <f>_xlfn.IFNA(IF(((INDEX(RulebookFields!I2:I1898, MATCH(D536,RulebookFields!A2:A1898, 0))="")=TRUE),  "",  INDEX(RulebookFields!I2:I1898, MATCH(D536,RulebookFields!A2:A1898, 0))), "")</f>
        <v>0</v>
      </c>
      <c r="K536" s="4" t="b">
        <f>AND(((F536)=TRUE), ((J536)=TRUE))</f>
        <v>0</v>
      </c>
      <c r="L536" s="4" t="b">
        <f>AND(((G536 &lt;&gt; "plain")=TRUE), ((G536 &lt;&gt; "")=TRUE))</f>
        <v>0</v>
      </c>
      <c r="M536" s="4" t="str">
        <f>IF(((E536)=TRUE),  C536 &amp; "|" &amp; H536,  "")</f>
        <v>principal-process-steward|AppRoutes</v>
      </c>
      <c r="N536" s="3" t="s">
        <v>10004</v>
      </c>
    </row>
    <row r="537">
      <c r="A537" s="3" t="s">
        <v>10539</v>
      </c>
      <c r="B537" s="4" t="str">
        <f>C537 &amp; " -&gt; " &amp; D537</f>
        <v>principal-process-steward -&gt; AppRoutes.IsInNav</v>
      </c>
      <c r="C537" s="3" t="s">
        <v>9772</v>
      </c>
      <c r="D537" s="3" t="s">
        <v>5316</v>
      </c>
      <c r="E537" s="3" t="b">
        <v>1</v>
      </c>
      <c r="F537" s="3" t="b">
        <v>0</v>
      </c>
      <c r="G537" s="3" t="s">
        <v>10003</v>
      </c>
      <c r="H537" s="4" t="str">
        <f>_xlfn.IFNA(IF(((INDEX(RulebookFields!C2:C1898, MATCH(D537,RulebookFields!A2:A1898, 0))="")=TRUE),  "",  INDEX(RulebookFields!C2:C1898, MATCH(D537,RulebookFields!A2:A1898, 0))), "")</f>
        <v>AppRoutes</v>
      </c>
      <c r="I537" s="4" t="str">
        <f>_xlfn.IFNA(IF(((INDEX(RulebookFields!D2:D1898, MATCH(D537,RulebookFields!A2:A1898, 0))="")=TRUE),  "",  INDEX(RulebookFields!D2:D1898, MATCH(D537,RulebookFields!A2:A1898, 0))), "")</f>
        <v>IsInNav</v>
      </c>
      <c r="J537" s="4" t="b">
        <f>_xlfn.IFNA(IF(((INDEX(RulebookFields!I2:I1898, MATCH(D537,RulebookFields!A2:A1898, 0))="")=TRUE),  "",  INDEX(RulebookFields!I2:I1898, MATCH(D537,RulebookFields!A2:A1898, 0))), "")</f>
        <v>1</v>
      </c>
      <c r="K537" s="4" t="b">
        <f>AND(((F537)=TRUE), ((J537)=TRUE))</f>
        <v>0</v>
      </c>
      <c r="L537" s="4" t="b">
        <f>AND(((G537 &lt;&gt; "plain")=TRUE), ((G537 &lt;&gt; "")=TRUE))</f>
        <v>0</v>
      </c>
      <c r="M537" s="4" t="str">
        <f>IF(((E537)=TRUE),  C537 &amp; "|" &amp; H537,  "")</f>
        <v>principal-process-steward|AppRoutes</v>
      </c>
      <c r="N537" s="3" t="s">
        <v>10004</v>
      </c>
    </row>
    <row r="538">
      <c r="A538" s="3" t="s">
        <v>10540</v>
      </c>
      <c r="B538" s="4" t="str">
        <f>C538 &amp; " -&gt; " &amp; D538</f>
        <v>principal-process-steward -&gt; AppRoutes.IsShared</v>
      </c>
      <c r="C538" s="3" t="s">
        <v>9772</v>
      </c>
      <c r="D538" s="3" t="s">
        <v>5319</v>
      </c>
      <c r="E538" s="3" t="b">
        <v>1</v>
      </c>
      <c r="F538" s="3" t="b">
        <v>0</v>
      </c>
      <c r="G538" s="3" t="s">
        <v>10003</v>
      </c>
      <c r="H538" s="4" t="str">
        <f>_xlfn.IFNA(IF(((INDEX(RulebookFields!C2:C1898, MATCH(D538,RulebookFields!A2:A1898, 0))="")=TRUE),  "",  INDEX(RulebookFields!C2:C1898, MATCH(D538,RulebookFields!A2:A1898, 0))), "")</f>
        <v>AppRoutes</v>
      </c>
      <c r="I538" s="4" t="str">
        <f>_xlfn.IFNA(IF(((INDEX(RulebookFields!D2:D1898, MATCH(D538,RulebookFields!A2:A1898, 0))="")=TRUE),  "",  INDEX(RulebookFields!D2:D1898, MATCH(D538,RulebookFields!A2:A1898, 0))), "")</f>
        <v>IsShared</v>
      </c>
      <c r="J538" s="4" t="b">
        <f>_xlfn.IFNA(IF(((INDEX(RulebookFields!I2:I1898, MATCH(D538,RulebookFields!A2:A1898, 0))="")=TRUE),  "",  INDEX(RulebookFields!I2:I1898, MATCH(D538,RulebookFields!A2:A1898, 0))), "")</f>
        <v>1</v>
      </c>
      <c r="K538" s="4" t="b">
        <f>AND(((F538)=TRUE), ((J538)=TRUE))</f>
        <v>0</v>
      </c>
      <c r="L538" s="4" t="b">
        <f>AND(((G538 &lt;&gt; "plain")=TRUE), ((G538 &lt;&gt; "")=TRUE))</f>
        <v>0</v>
      </c>
      <c r="M538" s="4" t="str">
        <f>IF(((E538)=TRUE),  C538 &amp; "|" &amp; H538,  "")</f>
        <v>principal-process-steward|AppRoutes</v>
      </c>
      <c r="N538" s="3" t="s">
        <v>10004</v>
      </c>
    </row>
    <row r="539">
      <c r="A539" s="3" t="s">
        <v>10541</v>
      </c>
      <c r="B539" s="4" t="str">
        <f>C539 &amp; " -&gt; " &amp; D539</f>
        <v>principal-process-steward -&gt; AppRoutes.IsMaintainer</v>
      </c>
      <c r="C539" s="3" t="s">
        <v>9772</v>
      </c>
      <c r="D539" s="3" t="s">
        <v>5322</v>
      </c>
      <c r="E539" s="3" t="b">
        <v>1</v>
      </c>
      <c r="F539" s="3" t="b">
        <v>0</v>
      </c>
      <c r="G539" s="3" t="s">
        <v>10003</v>
      </c>
      <c r="H539" s="4" t="str">
        <f>_xlfn.IFNA(IF(((INDEX(RulebookFields!C2:C1898, MATCH(D539,RulebookFields!A2:A1898, 0))="")=TRUE),  "",  INDEX(RulebookFields!C2:C1898, MATCH(D539,RulebookFields!A2:A1898, 0))), "")</f>
        <v>AppRoutes</v>
      </c>
      <c r="I539" s="4" t="str">
        <f>_xlfn.IFNA(IF(((INDEX(RulebookFields!D2:D1898, MATCH(D539,RulebookFields!A2:A1898, 0))="")=TRUE),  "",  INDEX(RulebookFields!D2:D1898, MATCH(D539,RulebookFields!A2:A1898, 0))), "")</f>
        <v>IsMaintainer</v>
      </c>
      <c r="J539" s="4" t="b">
        <f>_xlfn.IFNA(IF(((INDEX(RulebookFields!I2:I1898, MATCH(D539,RulebookFields!A2:A1898, 0))="")=TRUE),  "",  INDEX(RulebookFields!I2:I1898, MATCH(D539,RulebookFields!A2:A1898, 0))), "")</f>
        <v>1</v>
      </c>
      <c r="K539" s="4" t="b">
        <f>AND(((F539)=TRUE), ((J539)=TRUE))</f>
        <v>0</v>
      </c>
      <c r="L539" s="4" t="b">
        <f>AND(((G539 &lt;&gt; "plain")=TRUE), ((G539 &lt;&gt; "")=TRUE))</f>
        <v>0</v>
      </c>
      <c r="M539" s="4" t="str">
        <f>IF(((E539)=TRUE),  C539 &amp; "|" &amp; H539,  "")</f>
        <v>principal-process-steward|AppRoutes</v>
      </c>
      <c r="N539" s="3" t="s">
        <v>10004</v>
      </c>
    </row>
    <row r="540">
      <c r="A540" s="3" t="s">
        <v>10542</v>
      </c>
      <c r="B540" s="4" t="str">
        <f>C540 &amp; " -&gt; " &amp; D540</f>
        <v>principal-process-steward -&gt; AppRoutes.QuestionCount</v>
      </c>
      <c r="C540" s="3" t="s">
        <v>9772</v>
      </c>
      <c r="D540" s="3" t="s">
        <v>5325</v>
      </c>
      <c r="E540" s="3" t="b">
        <v>1</v>
      </c>
      <c r="F540" s="3" t="b">
        <v>0</v>
      </c>
      <c r="G540" s="3" t="s">
        <v>10003</v>
      </c>
      <c r="H540" s="4" t="str">
        <f>_xlfn.IFNA(IF(((INDEX(RulebookFields!C2:C1898, MATCH(D540,RulebookFields!A2:A1898, 0))="")=TRUE),  "",  INDEX(RulebookFields!C2:C1898, MATCH(D540,RulebookFields!A2:A1898, 0))), "")</f>
        <v>AppRoutes</v>
      </c>
      <c r="I540" s="4" t="str">
        <f>_xlfn.IFNA(IF(((INDEX(RulebookFields!D2:D1898, MATCH(D540,RulebookFields!A2:A1898, 0))="")=TRUE),  "",  INDEX(RulebookFields!D2:D1898, MATCH(D540,RulebookFields!A2:A1898, 0))), "")</f>
        <v>QuestionCount</v>
      </c>
      <c r="J540" s="4" t="b">
        <f>_xlfn.IFNA(IF(((INDEX(RulebookFields!I2:I1898, MATCH(D540,RulebookFields!A2:A1898, 0))="")=TRUE),  "",  INDEX(RulebookFields!I2:I1898, MATCH(D540,RulebookFields!A2:A1898, 0))), "")</f>
        <v>1</v>
      </c>
      <c r="K540" s="4" t="b">
        <f>AND(((F540)=TRUE), ((J540)=TRUE))</f>
        <v>0</v>
      </c>
      <c r="L540" s="4" t="b">
        <f>AND(((G540 &lt;&gt; "plain")=TRUE), ((G540 &lt;&gt; "")=TRUE))</f>
        <v>0</v>
      </c>
      <c r="M540" s="4" t="str">
        <f>IF(((E540)=TRUE),  C540 &amp; "|" &amp; H540,  "")</f>
        <v>principal-process-steward|AppRoutes</v>
      </c>
      <c r="N540" s="3" t="s">
        <v>10004</v>
      </c>
    </row>
    <row r="541">
      <c r="A541" s="3" t="s">
        <v>10543</v>
      </c>
      <c r="B541" s="4" t="str">
        <f>C541 &amp; " -&gt; " &amp; D541</f>
        <v>principal-process-steward -&gt; AppRoutes.ReferenceCount</v>
      </c>
      <c r="C541" s="3" t="s">
        <v>9772</v>
      </c>
      <c r="D541" s="3" t="s">
        <v>5327</v>
      </c>
      <c r="E541" s="3" t="b">
        <v>1</v>
      </c>
      <c r="F541" s="3" t="b">
        <v>0</v>
      </c>
      <c r="G541" s="3" t="s">
        <v>10003</v>
      </c>
      <c r="H541" s="4" t="str">
        <f>_xlfn.IFNA(IF(((INDEX(RulebookFields!C2:C1898, MATCH(D541,RulebookFields!A2:A1898, 0))="")=TRUE),  "",  INDEX(RulebookFields!C2:C1898, MATCH(D541,RulebookFields!A2:A1898, 0))), "")</f>
        <v>AppRoutes</v>
      </c>
      <c r="I541" s="4" t="str">
        <f>_xlfn.IFNA(IF(((INDEX(RulebookFields!D2:D1898, MATCH(D541,RulebookFields!A2:A1898, 0))="")=TRUE),  "",  INDEX(RulebookFields!D2:D1898, MATCH(D541,RulebookFields!A2:A1898, 0))), "")</f>
        <v>ReferenceCount</v>
      </c>
      <c r="J541" s="4" t="b">
        <f>_xlfn.IFNA(IF(((INDEX(RulebookFields!I2:I1898, MATCH(D541,RulebookFields!A2:A1898, 0))="")=TRUE),  "",  INDEX(RulebookFields!I2:I1898, MATCH(D541,RulebookFields!A2:A1898, 0))), "")</f>
        <v>1</v>
      </c>
      <c r="K541" s="4" t="b">
        <f>AND(((F541)=TRUE), ((J541)=TRUE))</f>
        <v>0</v>
      </c>
      <c r="L541" s="4" t="b">
        <f>AND(((G541 &lt;&gt; "plain")=TRUE), ((G541 &lt;&gt; "")=TRUE))</f>
        <v>0</v>
      </c>
      <c r="M541" s="4" t="str">
        <f>IF(((E541)=TRUE),  C541 &amp; "|" &amp; H541,  "")</f>
        <v>principal-process-steward|AppRoutes</v>
      </c>
      <c r="N541" s="3" t="s">
        <v>10004</v>
      </c>
    </row>
    <row r="542">
      <c r="A542" s="3" t="s">
        <v>10544</v>
      </c>
      <c r="B542" s="4" t="str">
        <f>C542 &amp; " -&gt; " &amp; D542</f>
        <v>principal-process-steward -&gt; AppRoutes.AnswersNoQuestion</v>
      </c>
      <c r="C542" s="3" t="s">
        <v>9772</v>
      </c>
      <c r="D542" s="3" t="s">
        <v>5330</v>
      </c>
      <c r="E542" s="3" t="b">
        <v>1</v>
      </c>
      <c r="F542" s="3" t="b">
        <v>0</v>
      </c>
      <c r="G542" s="3" t="s">
        <v>10003</v>
      </c>
      <c r="H542" s="4" t="str">
        <f>_xlfn.IFNA(IF(((INDEX(RulebookFields!C2:C1898, MATCH(D542,RulebookFields!A2:A1898, 0))="")=TRUE),  "",  INDEX(RulebookFields!C2:C1898, MATCH(D542,RulebookFields!A2:A1898, 0))), "")</f>
        <v>AppRoutes</v>
      </c>
      <c r="I542" s="4" t="str">
        <f>_xlfn.IFNA(IF(((INDEX(RulebookFields!D2:D1898, MATCH(D542,RulebookFields!A2:A1898, 0))="")=TRUE),  "",  INDEX(RulebookFields!D2:D1898, MATCH(D542,RulebookFields!A2:A1898, 0))), "")</f>
        <v>AnswersNoQuestion</v>
      </c>
      <c r="J542" s="4" t="b">
        <f>_xlfn.IFNA(IF(((INDEX(RulebookFields!I2:I1898, MATCH(D542,RulebookFields!A2:A1898, 0))="")=TRUE),  "",  INDEX(RulebookFields!I2:I1898, MATCH(D542,RulebookFields!A2:A1898, 0))), "")</f>
        <v>1</v>
      </c>
      <c r="K542" s="4" t="b">
        <f>AND(((F542)=TRUE), ((J542)=TRUE))</f>
        <v>0</v>
      </c>
      <c r="L542" s="4" t="b">
        <f>AND(((G542 &lt;&gt; "plain")=TRUE), ((G542 &lt;&gt; "")=TRUE))</f>
        <v>0</v>
      </c>
      <c r="M542" s="4" t="str">
        <f>IF(((E542)=TRUE),  C542 &amp; "|" &amp; H542,  "")</f>
        <v>principal-process-steward|AppRoutes</v>
      </c>
      <c r="N542" s="3" t="s">
        <v>10004</v>
      </c>
    </row>
    <row r="543">
      <c r="A543" s="3" t="s">
        <v>10545</v>
      </c>
      <c r="B543" s="4" t="str">
        <f>C543 &amp; " -&gt; " &amp; D543</f>
        <v>principal-process-steward -&gt; AppRoutes.SemanticTypeIri</v>
      </c>
      <c r="C543" s="3" t="s">
        <v>9772</v>
      </c>
      <c r="D543" s="3" t="s">
        <v>5333</v>
      </c>
      <c r="E543" s="3" t="b">
        <v>1</v>
      </c>
      <c r="F543" s="3" t="b">
        <v>0</v>
      </c>
      <c r="G543" s="3" t="s">
        <v>10003</v>
      </c>
      <c r="H543" s="4" t="str">
        <f>_xlfn.IFNA(IF(((INDEX(RulebookFields!C2:C1898, MATCH(D543,RulebookFields!A2:A1898, 0))="")=TRUE),  "",  INDEX(RulebookFields!C2:C1898, MATCH(D543,RulebookFields!A2:A1898, 0))), "")</f>
        <v>AppRoutes</v>
      </c>
      <c r="I543" s="4" t="str">
        <f>_xlfn.IFNA(IF(((INDEX(RulebookFields!D2:D1898, MATCH(D543,RulebookFields!A2:A1898, 0))="")=TRUE),  "",  INDEX(RulebookFields!D2:D1898, MATCH(D543,RulebookFields!A2:A1898, 0))), "")</f>
        <v>SemanticTypeIri</v>
      </c>
      <c r="J543" s="4" t="b">
        <f>_xlfn.IFNA(IF(((INDEX(RulebookFields!I2:I1898, MATCH(D543,RulebookFields!A2:A1898, 0))="")=TRUE),  "",  INDEX(RulebookFields!I2:I1898, MATCH(D543,RulebookFields!A2:A1898, 0))), "")</f>
        <v>0</v>
      </c>
      <c r="K543" s="4" t="b">
        <f>AND(((F543)=TRUE), ((J543)=TRUE))</f>
        <v>0</v>
      </c>
      <c r="L543" s="4" t="b">
        <f>AND(((G543 &lt;&gt; "plain")=TRUE), ((G543 &lt;&gt; "")=TRUE))</f>
        <v>0</v>
      </c>
      <c r="M543" s="4" t="str">
        <f>IF(((E543)=TRUE),  C543 &amp; "|" &amp; H543,  "")</f>
        <v>principal-process-steward|AppRoutes</v>
      </c>
      <c r="N543" s="3" t="s">
        <v>10004</v>
      </c>
    </row>
    <row r="544">
      <c r="A544" s="3" t="s">
        <v>10546</v>
      </c>
      <c r="B544" s="4" t="str">
        <f>C544 &amp; " -&gt; " &amp; D544</f>
        <v>principal-process-steward -&gt; Attestations.AttestationId</v>
      </c>
      <c r="C544" s="3" t="s">
        <v>9772</v>
      </c>
      <c r="D544" s="3" t="s">
        <v>5234</v>
      </c>
      <c r="E544" s="3" t="b">
        <v>1</v>
      </c>
      <c r="F544" s="3" t="b">
        <v>0</v>
      </c>
      <c r="G544" s="3" t="s">
        <v>10003</v>
      </c>
      <c r="H544" s="4" t="str">
        <f>_xlfn.IFNA(IF(((INDEX(RulebookFields!C2:C1898, MATCH(D544,RulebookFields!A2:A1898, 0))="")=TRUE),  "",  INDEX(RulebookFields!C2:C1898, MATCH(D544,RulebookFields!A2:A1898, 0))), "")</f>
        <v>Attestations</v>
      </c>
      <c r="I544" s="4" t="str">
        <f>_xlfn.IFNA(IF(((INDEX(RulebookFields!D2:D1898, MATCH(D544,RulebookFields!A2:A1898, 0))="")=TRUE),  "",  INDEX(RulebookFields!D2:D1898, MATCH(D544,RulebookFields!A2:A1898, 0))), "")</f>
        <v>AttestationId</v>
      </c>
      <c r="J544" s="4" t="b">
        <f>_xlfn.IFNA(IF(((INDEX(RulebookFields!I2:I1898, MATCH(D544,RulebookFields!A2:A1898, 0))="")=TRUE),  "",  INDEX(RulebookFields!I2:I1898, MATCH(D544,RulebookFields!A2:A1898, 0))), "")</f>
        <v>0</v>
      </c>
      <c r="K544" s="4" t="b">
        <f>AND(((F544)=TRUE), ((J544)=TRUE))</f>
        <v>0</v>
      </c>
      <c r="L544" s="4" t="b">
        <f>AND(((G544 &lt;&gt; "plain")=TRUE), ((G544 &lt;&gt; "")=TRUE))</f>
        <v>0</v>
      </c>
      <c r="M544" s="4" t="str">
        <f>IF(((E544)=TRUE),  C544 &amp; "|" &amp; H544,  "")</f>
        <v>principal-process-steward|Attestations</v>
      </c>
      <c r="N544" s="3" t="s">
        <v>10004</v>
      </c>
    </row>
    <row r="545">
      <c r="A545" s="3" t="s">
        <v>10547</v>
      </c>
      <c r="B545" s="4" t="str">
        <f>C545 &amp; " -&gt; " &amp; D545</f>
        <v>principal-process-steward -&gt; Attestations.Name</v>
      </c>
      <c r="C545" s="3" t="s">
        <v>9772</v>
      </c>
      <c r="D545" s="3" t="s">
        <v>5237</v>
      </c>
      <c r="E545" s="3" t="b">
        <v>1</v>
      </c>
      <c r="F545" s="3" t="b">
        <v>0</v>
      </c>
      <c r="G545" s="3" t="s">
        <v>10003</v>
      </c>
      <c r="H545" s="4" t="str">
        <f>_xlfn.IFNA(IF(((INDEX(RulebookFields!C2:C1898, MATCH(D545,RulebookFields!A2:A1898, 0))="")=TRUE),  "",  INDEX(RulebookFields!C2:C1898, MATCH(D545,RulebookFields!A2:A1898, 0))), "")</f>
        <v>Attestations</v>
      </c>
      <c r="I545" s="4" t="str">
        <f>_xlfn.IFNA(IF(((INDEX(RulebookFields!D2:D1898, MATCH(D545,RulebookFields!A2:A1898, 0))="")=TRUE),  "",  INDEX(RulebookFields!D2:D1898, MATCH(D545,RulebookFields!A2:A1898, 0))), "")</f>
        <v>Name</v>
      </c>
      <c r="J545" s="4" t="b">
        <f>_xlfn.IFNA(IF(((INDEX(RulebookFields!I2:I1898, MATCH(D545,RulebookFields!A2:A1898, 0))="")=TRUE),  "",  INDEX(RulebookFields!I2:I1898, MATCH(D545,RulebookFields!A2:A1898, 0))), "")</f>
        <v>1</v>
      </c>
      <c r="K545" s="4" t="b">
        <f>AND(((F545)=TRUE), ((J545)=TRUE))</f>
        <v>0</v>
      </c>
      <c r="L545" s="4" t="b">
        <f>AND(((G545 &lt;&gt; "plain")=TRUE), ((G545 &lt;&gt; "")=TRUE))</f>
        <v>0</v>
      </c>
      <c r="M545" s="4" t="str">
        <f>IF(((E545)=TRUE),  C545 &amp; "|" &amp; H545,  "")</f>
        <v>principal-process-steward|Attestations</v>
      </c>
      <c r="N545" s="3" t="s">
        <v>10004</v>
      </c>
    </row>
    <row r="546">
      <c r="A546" s="3" t="s">
        <v>10548</v>
      </c>
      <c r="B546" s="4" t="str">
        <f>C546 &amp; " -&gt; " &amp; D546</f>
        <v>principal-process-steward -&gt; Attestations.ProcedureExecution</v>
      </c>
      <c r="C546" s="3" t="s">
        <v>9772</v>
      </c>
      <c r="D546" s="3" t="s">
        <v>5239</v>
      </c>
      <c r="E546" s="3" t="b">
        <v>1</v>
      </c>
      <c r="F546" s="3" t="b">
        <v>0</v>
      </c>
      <c r="G546" s="3" t="s">
        <v>10003</v>
      </c>
      <c r="H546" s="4" t="str">
        <f>_xlfn.IFNA(IF(((INDEX(RulebookFields!C2:C1898, MATCH(D546,RulebookFields!A2:A1898, 0))="")=TRUE),  "",  INDEX(RulebookFields!C2:C1898, MATCH(D546,RulebookFields!A2:A1898, 0))), "")</f>
        <v>Attestations</v>
      </c>
      <c r="I546" s="4" t="str">
        <f>_xlfn.IFNA(IF(((INDEX(RulebookFields!D2:D1898, MATCH(D546,RulebookFields!A2:A1898, 0))="")=TRUE),  "",  INDEX(RulebookFields!D2:D1898, MATCH(D546,RulebookFields!A2:A1898, 0))), "")</f>
        <v>ProcedureExecution</v>
      </c>
      <c r="J546" s="4" t="b">
        <f>_xlfn.IFNA(IF(((INDEX(RulebookFields!I2:I1898, MATCH(D546,RulebookFields!A2:A1898, 0))="")=TRUE),  "",  INDEX(RulebookFields!I2:I1898, MATCH(D546,RulebookFields!A2:A1898, 0))), "")</f>
        <v>0</v>
      </c>
      <c r="K546" s="4" t="b">
        <f>AND(((F546)=TRUE), ((J546)=TRUE))</f>
        <v>0</v>
      </c>
      <c r="L546" s="4" t="b">
        <f>AND(((G546 &lt;&gt; "plain")=TRUE), ((G546 &lt;&gt; "")=TRUE))</f>
        <v>0</v>
      </c>
      <c r="M546" s="4" t="str">
        <f>IF(((E546)=TRUE),  C546 &amp; "|" &amp; H546,  "")</f>
        <v>principal-process-steward|Attestations</v>
      </c>
      <c r="N546" s="3" t="s">
        <v>10004</v>
      </c>
    </row>
    <row r="547">
      <c r="A547" s="3" t="s">
        <v>10549</v>
      </c>
      <c r="B547" s="4" t="str">
        <f>C547 &amp; " -&gt; " &amp; D547</f>
        <v>principal-process-steward -&gt; Attestations.SignedByAgent</v>
      </c>
      <c r="C547" s="3" t="s">
        <v>9772</v>
      </c>
      <c r="D547" s="3" t="s">
        <v>5240</v>
      </c>
      <c r="E547" s="3" t="b">
        <v>1</v>
      </c>
      <c r="F547" s="3" t="b">
        <v>0</v>
      </c>
      <c r="G547" s="3" t="s">
        <v>10003</v>
      </c>
      <c r="H547" s="4" t="str">
        <f>_xlfn.IFNA(IF(((INDEX(RulebookFields!C2:C1898, MATCH(D547,RulebookFields!A2:A1898, 0))="")=TRUE),  "",  INDEX(RulebookFields!C2:C1898, MATCH(D547,RulebookFields!A2:A1898, 0))), "")</f>
        <v>Attestations</v>
      </c>
      <c r="I547" s="4" t="str">
        <f>_xlfn.IFNA(IF(((INDEX(RulebookFields!D2:D1898, MATCH(D547,RulebookFields!A2:A1898, 0))="")=TRUE),  "",  INDEX(RulebookFields!D2:D1898, MATCH(D547,RulebookFields!A2:A1898, 0))), "")</f>
        <v>SignedByAgent</v>
      </c>
      <c r="J547" s="4" t="b">
        <f>_xlfn.IFNA(IF(((INDEX(RulebookFields!I2:I1898, MATCH(D547,RulebookFields!A2:A1898, 0))="")=TRUE),  "",  INDEX(RulebookFields!I2:I1898, MATCH(D547,RulebookFields!A2:A1898, 0))), "")</f>
        <v>0</v>
      </c>
      <c r="K547" s="4" t="b">
        <f>AND(((F547)=TRUE), ((J547)=TRUE))</f>
        <v>0</v>
      </c>
      <c r="L547" s="4" t="b">
        <f>AND(((G547 &lt;&gt; "plain")=TRUE), ((G547 &lt;&gt; "")=TRUE))</f>
        <v>0</v>
      </c>
      <c r="M547" s="4" t="str">
        <f>IF(((E547)=TRUE),  C547 &amp; "|" &amp; H547,  "")</f>
        <v>principal-process-steward|Attestations</v>
      </c>
      <c r="N547" s="3" t="s">
        <v>10004</v>
      </c>
    </row>
    <row r="548">
      <c r="A548" s="3" t="s">
        <v>10550</v>
      </c>
      <c r="B548" s="4" t="str">
        <f>C548 &amp; " -&gt; " &amp; D548</f>
        <v>principal-process-steward -&gt; Attestations.SignedAt</v>
      </c>
      <c r="C548" s="3" t="s">
        <v>9772</v>
      </c>
      <c r="D548" s="3" t="s">
        <v>5242</v>
      </c>
      <c r="E548" s="3" t="b">
        <v>1</v>
      </c>
      <c r="F548" s="3" t="b">
        <v>0</v>
      </c>
      <c r="G548" s="3" t="s">
        <v>10003</v>
      </c>
      <c r="H548" s="4" t="str">
        <f>_xlfn.IFNA(IF(((INDEX(RulebookFields!C2:C1898, MATCH(D548,RulebookFields!A2:A1898, 0))="")=TRUE),  "",  INDEX(RulebookFields!C2:C1898, MATCH(D548,RulebookFields!A2:A1898, 0))), "")</f>
        <v>Attestations</v>
      </c>
      <c r="I548" s="4" t="str">
        <f>_xlfn.IFNA(IF(((INDEX(RulebookFields!D2:D1898, MATCH(D548,RulebookFields!A2:A1898, 0))="")=TRUE),  "",  INDEX(RulebookFields!D2:D1898, MATCH(D548,RulebookFields!A2:A1898, 0))), "")</f>
        <v>SignedAt</v>
      </c>
      <c r="J548" s="4" t="b">
        <f>_xlfn.IFNA(IF(((INDEX(RulebookFields!I2:I1898, MATCH(D548,RulebookFields!A2:A1898, 0))="")=TRUE),  "",  INDEX(RulebookFields!I2:I1898, MATCH(D548,RulebookFields!A2:A1898, 0))), "")</f>
        <v>0</v>
      </c>
      <c r="K548" s="4" t="b">
        <f>AND(((F548)=TRUE), ((J548)=TRUE))</f>
        <v>0</v>
      </c>
      <c r="L548" s="4" t="b">
        <f>AND(((G548 &lt;&gt; "plain")=TRUE), ((G548 &lt;&gt; "")=TRUE))</f>
        <v>0</v>
      </c>
      <c r="M548" s="4" t="str">
        <f>IF(((E548)=TRUE),  C548 &amp; "|" &amp; H548,  "")</f>
        <v>principal-process-steward|Attestations</v>
      </c>
      <c r="N548" s="3" t="s">
        <v>10004</v>
      </c>
    </row>
    <row r="549">
      <c r="A549" s="3" t="s">
        <v>10551</v>
      </c>
      <c r="B549" s="4" t="str">
        <f>C549 &amp; " -&gt; " &amp; D549</f>
        <v>principal-process-steward -&gt; Attestations.AssuranceGradeAtSigning</v>
      </c>
      <c r="C549" s="3" t="s">
        <v>9772</v>
      </c>
      <c r="D549" s="3" t="s">
        <v>5244</v>
      </c>
      <c r="E549" s="3" t="b">
        <v>1</v>
      </c>
      <c r="F549" s="3" t="b">
        <v>0</v>
      </c>
      <c r="G549" s="3" t="s">
        <v>10003</v>
      </c>
      <c r="H549" s="4" t="str">
        <f>_xlfn.IFNA(IF(((INDEX(RulebookFields!C2:C1898, MATCH(D549,RulebookFields!A2:A1898, 0))="")=TRUE),  "",  INDEX(RulebookFields!C2:C1898, MATCH(D549,RulebookFields!A2:A1898, 0))), "")</f>
        <v>Attestations</v>
      </c>
      <c r="I549" s="4" t="str">
        <f>_xlfn.IFNA(IF(((INDEX(RulebookFields!D2:D1898, MATCH(D549,RulebookFields!A2:A1898, 0))="")=TRUE),  "",  INDEX(RulebookFields!D2:D1898, MATCH(D549,RulebookFields!A2:A1898, 0))), "")</f>
        <v>AssuranceGradeAtSigning</v>
      </c>
      <c r="J549" s="4" t="b">
        <f>_xlfn.IFNA(IF(((INDEX(RulebookFields!I2:I1898, MATCH(D549,RulebookFields!A2:A1898, 0))="")=TRUE),  "",  INDEX(RulebookFields!I2:I1898, MATCH(D549,RulebookFields!A2:A1898, 0))), "")</f>
        <v>0</v>
      </c>
      <c r="K549" s="4" t="b">
        <f>AND(((F549)=TRUE), ((J549)=TRUE))</f>
        <v>0</v>
      </c>
      <c r="L549" s="4" t="b">
        <f>AND(((G549 &lt;&gt; "plain")=TRUE), ((G549 &lt;&gt; "")=TRUE))</f>
        <v>0</v>
      </c>
      <c r="M549" s="4" t="str">
        <f>IF(((E549)=TRUE),  C549 &amp; "|" &amp; H549,  "")</f>
        <v>principal-process-steward|Attestations</v>
      </c>
      <c r="N549" s="3" t="s">
        <v>10004</v>
      </c>
    </row>
    <row r="550">
      <c r="A550" s="3" t="s">
        <v>10552</v>
      </c>
      <c r="B550" s="4" t="str">
        <f>C550 &amp; " -&gt; " &amp; D550</f>
        <v>principal-process-steward -&gt; Attestations.VersionWasFitAtSigning</v>
      </c>
      <c r="C550" s="3" t="s">
        <v>9772</v>
      </c>
      <c r="D550" s="3" t="s">
        <v>5246</v>
      </c>
      <c r="E550" s="3" t="b">
        <v>1</v>
      </c>
      <c r="F550" s="3" t="b">
        <v>0</v>
      </c>
      <c r="G550" s="3" t="s">
        <v>10003</v>
      </c>
      <c r="H550" s="4" t="str">
        <f>_xlfn.IFNA(IF(((INDEX(RulebookFields!C2:C1898, MATCH(D550,RulebookFields!A2:A1898, 0))="")=TRUE),  "",  INDEX(RulebookFields!C2:C1898, MATCH(D550,RulebookFields!A2:A1898, 0))), "")</f>
        <v>Attestations</v>
      </c>
      <c r="I550" s="4" t="str">
        <f>_xlfn.IFNA(IF(((INDEX(RulebookFields!D2:D1898, MATCH(D550,RulebookFields!A2:A1898, 0))="")=TRUE),  "",  INDEX(RulebookFields!D2:D1898, MATCH(D550,RulebookFields!A2:A1898, 0))), "")</f>
        <v>VersionWasFitAtSigning</v>
      </c>
      <c r="J550" s="4" t="b">
        <f>_xlfn.IFNA(IF(((INDEX(RulebookFields!I2:I1898, MATCH(D550,RulebookFields!A2:A1898, 0))="")=TRUE),  "",  INDEX(RulebookFields!I2:I1898, MATCH(D550,RulebookFields!A2:A1898, 0))), "")</f>
        <v>0</v>
      </c>
      <c r="K550" s="4" t="b">
        <f>AND(((F550)=TRUE), ((J550)=TRUE))</f>
        <v>0</v>
      </c>
      <c r="L550" s="4" t="b">
        <f>AND(((G550 &lt;&gt; "plain")=TRUE), ((G550 &lt;&gt; "")=TRUE))</f>
        <v>0</v>
      </c>
      <c r="M550" s="4" t="str">
        <f>IF(((E550)=TRUE),  C550 &amp; "|" &amp; H550,  "")</f>
        <v>principal-process-steward|Attestations</v>
      </c>
      <c r="N550" s="3" t="s">
        <v>10004</v>
      </c>
    </row>
    <row r="551">
      <c r="A551" s="3" t="s">
        <v>10553</v>
      </c>
      <c r="B551" s="4" t="str">
        <f>C551 &amp; " -&gt; " &amp; D551</f>
        <v>principal-process-steward -&gt; Attestations.VersionIsFitNow</v>
      </c>
      <c r="C551" s="3" t="s">
        <v>9772</v>
      </c>
      <c r="D551" s="3" t="s">
        <v>5248</v>
      </c>
      <c r="E551" s="3" t="b">
        <v>1</v>
      </c>
      <c r="F551" s="3" t="b">
        <v>0</v>
      </c>
      <c r="G551" s="3" t="s">
        <v>10003</v>
      </c>
      <c r="H551" s="4" t="str">
        <f>_xlfn.IFNA(IF(((INDEX(RulebookFields!C2:C1898, MATCH(D551,RulebookFields!A2:A1898, 0))="")=TRUE),  "",  INDEX(RulebookFields!C2:C1898, MATCH(D551,RulebookFields!A2:A1898, 0))), "")</f>
        <v>Attestations</v>
      </c>
      <c r="I551" s="4" t="str">
        <f>_xlfn.IFNA(IF(((INDEX(RulebookFields!D2:D1898, MATCH(D551,RulebookFields!A2:A1898, 0))="")=TRUE),  "",  INDEX(RulebookFields!D2:D1898, MATCH(D551,RulebookFields!A2:A1898, 0))), "")</f>
        <v>VersionIsFitNow</v>
      </c>
      <c r="J551" s="4" t="b">
        <f>_xlfn.IFNA(IF(((INDEX(RulebookFields!I2:I1898, MATCH(D551,RulebookFields!A2:A1898, 0))="")=TRUE),  "",  INDEX(RulebookFields!I2:I1898, MATCH(D551,RulebookFields!A2:A1898, 0))), "")</f>
        <v>1</v>
      </c>
      <c r="K551" s="4" t="b">
        <f>AND(((F551)=TRUE), ((J551)=TRUE))</f>
        <v>0</v>
      </c>
      <c r="L551" s="4" t="b">
        <f>AND(((G551 &lt;&gt; "plain")=TRUE), ((G551 &lt;&gt; "")=TRUE))</f>
        <v>0</v>
      </c>
      <c r="M551" s="4" t="str">
        <f>IF(((E551)=TRUE),  C551 &amp; "|" &amp; H551,  "")</f>
        <v>principal-process-steward|Attestations</v>
      </c>
      <c r="N551" s="3" t="s">
        <v>10004</v>
      </c>
    </row>
    <row r="552">
      <c r="A552" s="3" t="s">
        <v>10554</v>
      </c>
      <c r="B552" s="4" t="str">
        <f>C552 &amp; " -&gt; " &amp; D552</f>
        <v>principal-process-steward -&gt; Attestations.FitnessVerdictHasDrifted</v>
      </c>
      <c r="C552" s="3" t="s">
        <v>9772</v>
      </c>
      <c r="D552" s="3" t="s">
        <v>5251</v>
      </c>
      <c r="E552" s="3" t="b">
        <v>1</v>
      </c>
      <c r="F552" s="3" t="b">
        <v>0</v>
      </c>
      <c r="G552" s="3" t="s">
        <v>10003</v>
      </c>
      <c r="H552" s="4" t="str">
        <f>_xlfn.IFNA(IF(((INDEX(RulebookFields!C2:C1898, MATCH(D552,RulebookFields!A2:A1898, 0))="")=TRUE),  "",  INDEX(RulebookFields!C2:C1898, MATCH(D552,RulebookFields!A2:A1898, 0))), "")</f>
        <v>Attestations</v>
      </c>
      <c r="I552" s="4" t="str">
        <f>_xlfn.IFNA(IF(((INDEX(RulebookFields!D2:D1898, MATCH(D552,RulebookFields!A2:A1898, 0))="")=TRUE),  "",  INDEX(RulebookFields!D2:D1898, MATCH(D552,RulebookFields!A2:A1898, 0))), "")</f>
        <v>FitnessVerdictHasDrifted</v>
      </c>
      <c r="J552" s="4" t="b">
        <f>_xlfn.IFNA(IF(((INDEX(RulebookFields!I2:I1898, MATCH(D552,RulebookFields!A2:A1898, 0))="")=TRUE),  "",  INDEX(RulebookFields!I2:I1898, MATCH(D552,RulebookFields!A2:A1898, 0))), "")</f>
        <v>1</v>
      </c>
      <c r="K552" s="4" t="b">
        <f>AND(((F552)=TRUE), ((J552)=TRUE))</f>
        <v>0</v>
      </c>
      <c r="L552" s="4" t="b">
        <f>AND(((G552 &lt;&gt; "plain")=TRUE), ((G552 &lt;&gt; "")=TRUE))</f>
        <v>0</v>
      </c>
      <c r="M552" s="4" t="str">
        <f>IF(((E552)=TRUE),  C552 &amp; "|" &amp; H552,  "")</f>
        <v>principal-process-steward|Attestations</v>
      </c>
      <c r="N552" s="3" t="s">
        <v>10004</v>
      </c>
    </row>
    <row r="553">
      <c r="A553" s="3" t="s">
        <v>10555</v>
      </c>
      <c r="B553" s="4" t="str">
        <f>C553 &amp; " -&gt; " &amp; D553</f>
        <v>principal-process-steward -&gt; Attestations.AssuranceGradeNow</v>
      </c>
      <c r="C553" s="3" t="s">
        <v>9772</v>
      </c>
      <c r="D553" s="3" t="s">
        <v>5254</v>
      </c>
      <c r="E553" s="3" t="b">
        <v>1</v>
      </c>
      <c r="F553" s="3" t="b">
        <v>0</v>
      </c>
      <c r="G553" s="3" t="s">
        <v>10003</v>
      </c>
      <c r="H553" s="4" t="str">
        <f>_xlfn.IFNA(IF(((INDEX(RulebookFields!C2:C1898, MATCH(D553,RulebookFields!A2:A1898, 0))="")=TRUE),  "",  INDEX(RulebookFields!C2:C1898, MATCH(D553,RulebookFields!A2:A1898, 0))), "")</f>
        <v>Attestations</v>
      </c>
      <c r="I553" s="4" t="str">
        <f>_xlfn.IFNA(IF(((INDEX(RulebookFields!D2:D1898, MATCH(D553,RulebookFields!A2:A1898, 0))="")=TRUE),  "",  INDEX(RulebookFields!D2:D1898, MATCH(D553,RulebookFields!A2:A1898, 0))), "")</f>
        <v>AssuranceGradeNow</v>
      </c>
      <c r="J553" s="4" t="b">
        <f>_xlfn.IFNA(IF(((INDEX(RulebookFields!I2:I1898, MATCH(D553,RulebookFields!A2:A1898, 0))="")=TRUE),  "",  INDEX(RulebookFields!I2:I1898, MATCH(D553,RulebookFields!A2:A1898, 0))), "")</f>
        <v>1</v>
      </c>
      <c r="K553" s="4" t="b">
        <f>AND(((F553)=TRUE), ((J553)=TRUE))</f>
        <v>0</v>
      </c>
      <c r="L553" s="4" t="b">
        <f>AND(((G553 &lt;&gt; "plain")=TRUE), ((G553 &lt;&gt; "")=TRUE))</f>
        <v>0</v>
      </c>
      <c r="M553" s="4" t="str">
        <f>IF(((E553)=TRUE),  C553 &amp; "|" &amp; H553,  "")</f>
        <v>principal-process-steward|Attestations</v>
      </c>
      <c r="N553" s="3" t="s">
        <v>10004</v>
      </c>
    </row>
    <row r="554">
      <c r="A554" s="3" t="s">
        <v>10556</v>
      </c>
      <c r="B554" s="4" t="str">
        <f>C554 &amp; " -&gt; " &amp; D554</f>
        <v>principal-process-steward -&gt; Attestations.AssuranceGradeHasDrifted</v>
      </c>
      <c r="C554" s="3" t="s">
        <v>9772</v>
      </c>
      <c r="D554" s="3" t="s">
        <v>5257</v>
      </c>
      <c r="E554" s="3" t="b">
        <v>1</v>
      </c>
      <c r="F554" s="3" t="b">
        <v>0</v>
      </c>
      <c r="G554" s="3" t="s">
        <v>10003</v>
      </c>
      <c r="H554" s="4" t="str">
        <f>_xlfn.IFNA(IF(((INDEX(RulebookFields!C2:C1898, MATCH(D554,RulebookFields!A2:A1898, 0))="")=TRUE),  "",  INDEX(RulebookFields!C2:C1898, MATCH(D554,RulebookFields!A2:A1898, 0))), "")</f>
        <v>Attestations</v>
      </c>
      <c r="I554" s="4" t="str">
        <f>_xlfn.IFNA(IF(((INDEX(RulebookFields!D2:D1898, MATCH(D554,RulebookFields!A2:A1898, 0))="")=TRUE),  "",  INDEX(RulebookFields!D2:D1898, MATCH(D554,RulebookFields!A2:A1898, 0))), "")</f>
        <v>AssuranceGradeHasDrifted</v>
      </c>
      <c r="J554" s="4" t="b">
        <f>_xlfn.IFNA(IF(((INDEX(RulebookFields!I2:I1898, MATCH(D554,RulebookFields!A2:A1898, 0))="")=TRUE),  "",  INDEX(RulebookFields!I2:I1898, MATCH(D554,RulebookFields!A2:A1898, 0))), "")</f>
        <v>1</v>
      </c>
      <c r="K554" s="4" t="b">
        <f>AND(((F554)=TRUE), ((J554)=TRUE))</f>
        <v>0</v>
      </c>
      <c r="L554" s="4" t="b">
        <f>AND(((G554 &lt;&gt; "plain")=TRUE), ((G554 &lt;&gt; "")=TRUE))</f>
        <v>0</v>
      </c>
      <c r="M554" s="4" t="str">
        <f>IF(((E554)=TRUE),  C554 &amp; "|" &amp; H554,  "")</f>
        <v>principal-process-steward|Attestations</v>
      </c>
      <c r="N554" s="3" t="s">
        <v>10004</v>
      </c>
    </row>
    <row r="555">
      <c r="A555" s="3" t="s">
        <v>10557</v>
      </c>
      <c r="B555" s="4" t="str">
        <f>C555 &amp; " -&gt; " &amp; D555</f>
        <v>principal-process-steward -&gt; Attestations.WouldNotSurviveRestatement</v>
      </c>
      <c r="C555" s="3" t="s">
        <v>9772</v>
      </c>
      <c r="D555" s="3" t="s">
        <v>5260</v>
      </c>
      <c r="E555" s="3" t="b">
        <v>1</v>
      </c>
      <c r="F555" s="3" t="b">
        <v>0</v>
      </c>
      <c r="G555" s="3" t="s">
        <v>10003</v>
      </c>
      <c r="H555" s="4" t="str">
        <f>_xlfn.IFNA(IF(((INDEX(RulebookFields!C2:C1898, MATCH(D555,RulebookFields!A2:A1898, 0))="")=TRUE),  "",  INDEX(RulebookFields!C2:C1898, MATCH(D555,RulebookFields!A2:A1898, 0))), "")</f>
        <v>Attestations</v>
      </c>
      <c r="I555" s="4" t="str">
        <f>_xlfn.IFNA(IF(((INDEX(RulebookFields!D2:D1898, MATCH(D555,RulebookFields!A2:A1898, 0))="")=TRUE),  "",  INDEX(RulebookFields!D2:D1898, MATCH(D555,RulebookFields!A2:A1898, 0))), "")</f>
        <v>WouldNotSurviveRestatement</v>
      </c>
      <c r="J555" s="4" t="b">
        <f>_xlfn.IFNA(IF(((INDEX(RulebookFields!I2:I1898, MATCH(D555,RulebookFields!A2:A1898, 0))="")=TRUE),  "",  INDEX(RulebookFields!I2:I1898, MATCH(D555,RulebookFields!A2:A1898, 0))), "")</f>
        <v>1</v>
      </c>
      <c r="K555" s="4" t="b">
        <f>AND(((F555)=TRUE), ((J555)=TRUE))</f>
        <v>0</v>
      </c>
      <c r="L555" s="4" t="b">
        <f>AND(((G555 &lt;&gt; "plain")=TRUE), ((G555 &lt;&gt; "")=TRUE))</f>
        <v>0</v>
      </c>
      <c r="M555" s="4" t="str">
        <f>IF(((E555)=TRUE),  C555 &amp; "|" &amp; H555,  "")</f>
        <v>principal-process-steward|Attestations</v>
      </c>
      <c r="N555" s="3" t="s">
        <v>10004</v>
      </c>
    </row>
    <row r="556">
      <c r="A556" s="3" t="s">
        <v>10558</v>
      </c>
      <c r="B556" s="4" t="str">
        <f>C556 &amp; " -&gt; " &amp; D556</f>
        <v>principal-process-steward -&gt; AuthorityBoundaries.AuthorityBoundaryId</v>
      </c>
      <c r="C556" s="3" t="s">
        <v>9772</v>
      </c>
      <c r="D556" s="3" t="s">
        <v>5130</v>
      </c>
      <c r="E556" s="3" t="b">
        <v>1</v>
      </c>
      <c r="F556" s="3" t="b">
        <v>0</v>
      </c>
      <c r="G556" s="3" t="s">
        <v>10003</v>
      </c>
      <c r="H556" s="4" t="str">
        <f>_xlfn.IFNA(IF(((INDEX(RulebookFields!C2:C1898, MATCH(D556,RulebookFields!A2:A1898, 0))="")=TRUE),  "",  INDEX(RulebookFields!C2:C1898, MATCH(D556,RulebookFields!A2:A1898, 0))), "")</f>
        <v>AuthorityBoundaries</v>
      </c>
      <c r="I556" s="4" t="str">
        <f>_xlfn.IFNA(IF(((INDEX(RulebookFields!D2:D1898, MATCH(D556,RulebookFields!A2:A1898, 0))="")=TRUE),  "",  INDEX(RulebookFields!D2:D1898, MATCH(D556,RulebookFields!A2:A1898, 0))), "")</f>
        <v>AuthorityBoundaryId</v>
      </c>
      <c r="J556" s="4" t="b">
        <f>_xlfn.IFNA(IF(((INDEX(RulebookFields!I2:I1898, MATCH(D556,RulebookFields!A2:A1898, 0))="")=TRUE),  "",  INDEX(RulebookFields!I2:I1898, MATCH(D556,RulebookFields!A2:A1898, 0))), "")</f>
        <v>0</v>
      </c>
      <c r="K556" s="4" t="b">
        <f>AND(((F556)=TRUE), ((J556)=TRUE))</f>
        <v>0</v>
      </c>
      <c r="L556" s="4" t="b">
        <f>AND(((G556 &lt;&gt; "plain")=TRUE), ((G556 &lt;&gt; "")=TRUE))</f>
        <v>0</v>
      </c>
      <c r="M556" s="4" t="str">
        <f>IF(((E556)=TRUE),  C556 &amp; "|" &amp; H556,  "")</f>
        <v>principal-process-steward|AuthorityBoundaries</v>
      </c>
      <c r="N556" s="3" t="s">
        <v>10004</v>
      </c>
    </row>
    <row r="557">
      <c r="A557" s="3" t="s">
        <v>10559</v>
      </c>
      <c r="B557" s="4" t="str">
        <f>C557 &amp; " -&gt; " &amp; D557</f>
        <v>principal-process-steward -&gt; AuthorityBoundaries.Name</v>
      </c>
      <c r="C557" s="3" t="s">
        <v>9772</v>
      </c>
      <c r="D557" s="3" t="s">
        <v>5133</v>
      </c>
      <c r="E557" s="3" t="b">
        <v>1</v>
      </c>
      <c r="F557" s="3" t="b">
        <v>0</v>
      </c>
      <c r="G557" s="3" t="s">
        <v>10003</v>
      </c>
      <c r="H557" s="4" t="str">
        <f>_xlfn.IFNA(IF(((INDEX(RulebookFields!C2:C1898, MATCH(D557,RulebookFields!A2:A1898, 0))="")=TRUE),  "",  INDEX(RulebookFields!C2:C1898, MATCH(D557,RulebookFields!A2:A1898, 0))), "")</f>
        <v>AuthorityBoundaries</v>
      </c>
      <c r="I557" s="4" t="str">
        <f>_xlfn.IFNA(IF(((INDEX(RulebookFields!D2:D1898, MATCH(D557,RulebookFields!A2:A1898, 0))="")=TRUE),  "",  INDEX(RulebookFields!D2:D1898, MATCH(D557,RulebookFields!A2:A1898, 0))), "")</f>
        <v>Name</v>
      </c>
      <c r="J557" s="4" t="b">
        <f>_xlfn.IFNA(IF(((INDEX(RulebookFields!I2:I1898, MATCH(D557,RulebookFields!A2:A1898, 0))="")=TRUE),  "",  INDEX(RulebookFields!I2:I1898, MATCH(D557,RulebookFields!A2:A1898, 0))), "")</f>
        <v>1</v>
      </c>
      <c r="K557" s="4" t="b">
        <f>AND(((F557)=TRUE), ((J557)=TRUE))</f>
        <v>0</v>
      </c>
      <c r="L557" s="4" t="b">
        <f>AND(((G557 &lt;&gt; "plain")=TRUE), ((G557 &lt;&gt; "")=TRUE))</f>
        <v>0</v>
      </c>
      <c r="M557" s="4" t="str">
        <f>IF(((E557)=TRUE),  C557 &amp; "|" &amp; H557,  "")</f>
        <v>principal-process-steward|AuthorityBoundaries</v>
      </c>
      <c r="N557" s="3" t="s">
        <v>10004</v>
      </c>
    </row>
    <row r="558">
      <c r="A558" s="3" t="s">
        <v>10560</v>
      </c>
      <c r="B558" s="4" t="str">
        <f>C558 &amp; " -&gt; " &amp; D558</f>
        <v>principal-process-steward -&gt; AuthorityBoundaries.Step</v>
      </c>
      <c r="C558" s="3" t="s">
        <v>9772</v>
      </c>
      <c r="D558" s="3" t="s">
        <v>5135</v>
      </c>
      <c r="E558" s="3" t="b">
        <v>1</v>
      </c>
      <c r="F558" s="3" t="b">
        <v>0</v>
      </c>
      <c r="G558" s="3" t="s">
        <v>10003</v>
      </c>
      <c r="H558" s="4" t="str">
        <f>_xlfn.IFNA(IF(((INDEX(RulebookFields!C2:C1898, MATCH(D558,RulebookFields!A2:A1898, 0))="")=TRUE),  "",  INDEX(RulebookFields!C2:C1898, MATCH(D558,RulebookFields!A2:A1898, 0))), "")</f>
        <v>AuthorityBoundaries</v>
      </c>
      <c r="I558" s="4" t="str">
        <f>_xlfn.IFNA(IF(((INDEX(RulebookFields!D2:D1898, MATCH(D558,RulebookFields!A2:A1898, 0))="")=TRUE),  "",  INDEX(RulebookFields!D2:D1898, MATCH(D558,RulebookFields!A2:A1898, 0))), "")</f>
        <v>Step</v>
      </c>
      <c r="J558" s="4" t="b">
        <f>_xlfn.IFNA(IF(((INDEX(RulebookFields!I2:I1898, MATCH(D558,RulebookFields!A2:A1898, 0))="")=TRUE),  "",  INDEX(RulebookFields!I2:I1898, MATCH(D558,RulebookFields!A2:A1898, 0))), "")</f>
        <v>0</v>
      </c>
      <c r="K558" s="4" t="b">
        <f>AND(((F558)=TRUE), ((J558)=TRUE))</f>
        <v>0</v>
      </c>
      <c r="L558" s="4" t="b">
        <f>AND(((G558 &lt;&gt; "plain")=TRUE), ((G558 &lt;&gt; "")=TRUE))</f>
        <v>0</v>
      </c>
      <c r="M558" s="4" t="str">
        <f>IF(((E558)=TRUE),  C558 &amp; "|" &amp; H558,  "")</f>
        <v>principal-process-steward|AuthorityBoundaries</v>
      </c>
      <c r="N558" s="3" t="s">
        <v>10004</v>
      </c>
    </row>
    <row r="559">
      <c r="A559" s="3" t="s">
        <v>10561</v>
      </c>
      <c r="B559" s="4" t="str">
        <f>C559 &amp; " -&gt; " &amp; D559</f>
        <v>principal-process-steward -&gt; AuthorityBoundaries.ForbiddenAgentKind</v>
      </c>
      <c r="C559" s="3" t="s">
        <v>9772</v>
      </c>
      <c r="D559" s="3" t="s">
        <v>5136</v>
      </c>
      <c r="E559" s="3" t="b">
        <v>1</v>
      </c>
      <c r="F559" s="3" t="b">
        <v>0</v>
      </c>
      <c r="G559" s="3" t="s">
        <v>10003</v>
      </c>
      <c r="H559" s="4" t="str">
        <f>_xlfn.IFNA(IF(((INDEX(RulebookFields!C2:C1898, MATCH(D559,RulebookFields!A2:A1898, 0))="")=TRUE),  "",  INDEX(RulebookFields!C2:C1898, MATCH(D559,RulebookFields!A2:A1898, 0))), "")</f>
        <v>AuthorityBoundaries</v>
      </c>
      <c r="I559" s="4" t="str">
        <f>_xlfn.IFNA(IF(((INDEX(RulebookFields!D2:D1898, MATCH(D559,RulebookFields!A2:A1898, 0))="")=TRUE),  "",  INDEX(RulebookFields!D2:D1898, MATCH(D559,RulebookFields!A2:A1898, 0))), "")</f>
        <v>ForbiddenAgentKind</v>
      </c>
      <c r="J559" s="4" t="b">
        <f>_xlfn.IFNA(IF(((INDEX(RulebookFields!I2:I1898, MATCH(D559,RulebookFields!A2:A1898, 0))="")=TRUE),  "",  INDEX(RulebookFields!I2:I1898, MATCH(D559,RulebookFields!A2:A1898, 0))), "")</f>
        <v>0</v>
      </c>
      <c r="K559" s="4" t="b">
        <f>AND(((F559)=TRUE), ((J559)=TRUE))</f>
        <v>0</v>
      </c>
      <c r="L559" s="4" t="b">
        <f>AND(((G559 &lt;&gt; "plain")=TRUE), ((G559 &lt;&gt; "")=TRUE))</f>
        <v>0</v>
      </c>
      <c r="M559" s="4" t="str">
        <f>IF(((E559)=TRUE),  C559 &amp; "|" &amp; H559,  "")</f>
        <v>principal-process-steward|AuthorityBoundaries</v>
      </c>
      <c r="N559" s="3" t="s">
        <v>10004</v>
      </c>
    </row>
    <row r="560">
      <c r="A560" s="3" t="s">
        <v>10562</v>
      </c>
      <c r="B560" s="4" t="str">
        <f>C560 &amp; " -&gt; " &amp; D560</f>
        <v>principal-process-steward -&gt; AuthorityBoundaries.ForbiddenDecisionKind</v>
      </c>
      <c r="C560" s="3" t="s">
        <v>9772</v>
      </c>
      <c r="D560" s="3" t="s">
        <v>5138</v>
      </c>
      <c r="E560" s="3" t="b">
        <v>1</v>
      </c>
      <c r="F560" s="3" t="b">
        <v>0</v>
      </c>
      <c r="G560" s="3" t="s">
        <v>10003</v>
      </c>
      <c r="H560" s="4" t="str">
        <f>_xlfn.IFNA(IF(((INDEX(RulebookFields!C2:C1898, MATCH(D560,RulebookFields!A2:A1898, 0))="")=TRUE),  "",  INDEX(RulebookFields!C2:C1898, MATCH(D560,RulebookFields!A2:A1898, 0))), "")</f>
        <v>AuthorityBoundaries</v>
      </c>
      <c r="I560" s="4" t="str">
        <f>_xlfn.IFNA(IF(((INDEX(RulebookFields!D2:D1898, MATCH(D560,RulebookFields!A2:A1898, 0))="")=TRUE),  "",  INDEX(RulebookFields!D2:D1898, MATCH(D560,RulebookFields!A2:A1898, 0))), "")</f>
        <v>ForbiddenDecisionKind</v>
      </c>
      <c r="J560" s="4" t="b">
        <f>_xlfn.IFNA(IF(((INDEX(RulebookFields!I2:I1898, MATCH(D560,RulebookFields!A2:A1898, 0))="")=TRUE),  "",  INDEX(RulebookFields!I2:I1898, MATCH(D560,RulebookFields!A2:A1898, 0))), "")</f>
        <v>0</v>
      </c>
      <c r="K560" s="4" t="b">
        <f>AND(((F560)=TRUE), ((J560)=TRUE))</f>
        <v>0</v>
      </c>
      <c r="L560" s="4" t="b">
        <f>AND(((G560 &lt;&gt; "plain")=TRUE), ((G560 &lt;&gt; "")=TRUE))</f>
        <v>0</v>
      </c>
      <c r="M560" s="4" t="str">
        <f>IF(((E560)=TRUE),  C560 &amp; "|" &amp; H560,  "")</f>
        <v>principal-process-steward|AuthorityBoundaries</v>
      </c>
      <c r="N560" s="3" t="s">
        <v>10004</v>
      </c>
    </row>
    <row r="561">
      <c r="A561" s="3" t="s">
        <v>10563</v>
      </c>
      <c r="B561" s="4" t="str">
        <f>C561 &amp; " -&gt; " &amp; D561</f>
        <v>principal-process-steward -&gt; AuthorityBoundaries.RatifiedByKnowledgeFragment</v>
      </c>
      <c r="C561" s="3" t="s">
        <v>9772</v>
      </c>
      <c r="D561" s="3" t="s">
        <v>5140</v>
      </c>
      <c r="E561" s="3" t="b">
        <v>1</v>
      </c>
      <c r="F561" s="3" t="b">
        <v>0</v>
      </c>
      <c r="G561" s="3" t="s">
        <v>10003</v>
      </c>
      <c r="H561" s="4" t="str">
        <f>_xlfn.IFNA(IF(((INDEX(RulebookFields!C2:C1898, MATCH(D561,RulebookFields!A2:A1898, 0))="")=TRUE),  "",  INDEX(RulebookFields!C2:C1898, MATCH(D561,RulebookFields!A2:A1898, 0))), "")</f>
        <v>AuthorityBoundaries</v>
      </c>
      <c r="I561" s="4" t="str">
        <f>_xlfn.IFNA(IF(((INDEX(RulebookFields!D2:D1898, MATCH(D561,RulebookFields!A2:A1898, 0))="")=TRUE),  "",  INDEX(RulebookFields!D2:D1898, MATCH(D561,RulebookFields!A2:A1898, 0))), "")</f>
        <v>RatifiedByKnowledgeFragment</v>
      </c>
      <c r="J561" s="4" t="b">
        <f>_xlfn.IFNA(IF(((INDEX(RulebookFields!I2:I1898, MATCH(D561,RulebookFields!A2:A1898, 0))="")=TRUE),  "",  INDEX(RulebookFields!I2:I1898, MATCH(D561,RulebookFields!A2:A1898, 0))), "")</f>
        <v>0</v>
      </c>
      <c r="K561" s="4" t="b">
        <f>AND(((F561)=TRUE), ((J561)=TRUE))</f>
        <v>0</v>
      </c>
      <c r="L561" s="4" t="b">
        <f>AND(((G561 &lt;&gt; "plain")=TRUE), ((G561 &lt;&gt; "")=TRUE))</f>
        <v>0</v>
      </c>
      <c r="M561" s="4" t="str">
        <f>IF(((E561)=TRUE),  C561 &amp; "|" &amp; H561,  "")</f>
        <v>principal-process-steward|AuthorityBoundaries</v>
      </c>
      <c r="N561" s="3" t="s">
        <v>10004</v>
      </c>
    </row>
    <row r="562">
      <c r="A562" s="3" t="s">
        <v>10564</v>
      </c>
      <c r="B562" s="4" t="str">
        <f>C562 &amp; " -&gt; " &amp; D562</f>
        <v>principal-process-steward -&gt; AuthorityBoundaries.EnforcingRequirement</v>
      </c>
      <c r="C562" s="3" t="s">
        <v>9772</v>
      </c>
      <c r="D562" s="3" t="s">
        <v>5142</v>
      </c>
      <c r="E562" s="3" t="b">
        <v>1</v>
      </c>
      <c r="F562" s="3" t="b">
        <v>0</v>
      </c>
      <c r="G562" s="3" t="s">
        <v>10003</v>
      </c>
      <c r="H562" s="4" t="str">
        <f>_xlfn.IFNA(IF(((INDEX(RulebookFields!C2:C1898, MATCH(D562,RulebookFields!A2:A1898, 0))="")=TRUE),  "",  INDEX(RulebookFields!C2:C1898, MATCH(D562,RulebookFields!A2:A1898, 0))), "")</f>
        <v>AuthorityBoundaries</v>
      </c>
      <c r="I562" s="4" t="str">
        <f>_xlfn.IFNA(IF(((INDEX(RulebookFields!D2:D1898, MATCH(D562,RulebookFields!A2:A1898, 0))="")=TRUE),  "",  INDEX(RulebookFields!D2:D1898, MATCH(D562,RulebookFields!A2:A1898, 0))), "")</f>
        <v>EnforcingRequirement</v>
      </c>
      <c r="J562" s="4" t="b">
        <f>_xlfn.IFNA(IF(((INDEX(RulebookFields!I2:I1898, MATCH(D562,RulebookFields!A2:A1898, 0))="")=TRUE),  "",  INDEX(RulebookFields!I2:I1898, MATCH(D562,RulebookFields!A2:A1898, 0))), "")</f>
        <v>0</v>
      </c>
      <c r="K562" s="4" t="b">
        <f>AND(((F562)=TRUE), ((J562)=TRUE))</f>
        <v>0</v>
      </c>
      <c r="L562" s="4" t="b">
        <f>AND(((G562 &lt;&gt; "plain")=TRUE), ((G562 &lt;&gt; "")=TRUE))</f>
        <v>0</v>
      </c>
      <c r="M562" s="4" t="str">
        <f>IF(((E562)=TRUE),  C562 &amp; "|" &amp; H562,  "")</f>
        <v>principal-process-steward|AuthorityBoundaries</v>
      </c>
      <c r="N562" s="3" t="s">
        <v>10004</v>
      </c>
    </row>
    <row r="563">
      <c r="A563" s="3" t="s">
        <v>10565</v>
      </c>
      <c r="B563" s="4" t="str">
        <f>C563 &amp; " -&gt; " &amp; D563</f>
        <v>principal-process-steward -&gt; AuthorityBoundaries.AuthorityRole</v>
      </c>
      <c r="C563" s="3" t="s">
        <v>9772</v>
      </c>
      <c r="D563" s="3" t="s">
        <v>5144</v>
      </c>
      <c r="E563" s="3" t="b">
        <v>1</v>
      </c>
      <c r="F563" s="3" t="b">
        <v>0</v>
      </c>
      <c r="G563" s="3" t="s">
        <v>10003</v>
      </c>
      <c r="H563" s="4" t="str">
        <f>_xlfn.IFNA(IF(((INDEX(RulebookFields!C2:C1898, MATCH(D563,RulebookFields!A2:A1898, 0))="")=TRUE),  "",  INDEX(RulebookFields!C2:C1898, MATCH(D563,RulebookFields!A2:A1898, 0))), "")</f>
        <v>AuthorityBoundaries</v>
      </c>
      <c r="I563" s="4" t="str">
        <f>_xlfn.IFNA(IF(((INDEX(RulebookFields!D2:D1898, MATCH(D563,RulebookFields!A2:A1898, 0))="")=TRUE),  "",  INDEX(RulebookFields!D2:D1898, MATCH(D563,RulebookFields!A2:A1898, 0))), "")</f>
        <v>AuthorityRole</v>
      </c>
      <c r="J563" s="4" t="b">
        <f>_xlfn.IFNA(IF(((INDEX(RulebookFields!I2:I1898, MATCH(D563,RulebookFields!A2:A1898, 0))="")=TRUE),  "",  INDEX(RulebookFields!I2:I1898, MATCH(D563,RulebookFields!A2:A1898, 0))), "")</f>
        <v>0</v>
      </c>
      <c r="K563" s="4" t="b">
        <f>AND(((F563)=TRUE), ((J563)=TRUE))</f>
        <v>0</v>
      </c>
      <c r="L563" s="4" t="b">
        <f>AND(((G563 &lt;&gt; "plain")=TRUE), ((G563 &lt;&gt; "")=TRUE))</f>
        <v>0</v>
      </c>
      <c r="M563" s="4" t="str">
        <f>IF(((E563)=TRUE),  C563 &amp; "|" &amp; H563,  "")</f>
        <v>principal-process-steward|AuthorityBoundaries</v>
      </c>
      <c r="N563" s="3" t="s">
        <v>10004</v>
      </c>
    </row>
    <row r="564">
      <c r="A564" s="3" t="s">
        <v>10566</v>
      </c>
      <c r="B564" s="4" t="str">
        <f>C564 &amp; " -&gt; " &amp; D564</f>
        <v>principal-process-steward -&gt; AuthorityBoundaries.ValidFrom</v>
      </c>
      <c r="C564" s="3" t="s">
        <v>9772</v>
      </c>
      <c r="D564" s="3" t="s">
        <v>5145</v>
      </c>
      <c r="E564" s="3" t="b">
        <v>1</v>
      </c>
      <c r="F564" s="3" t="b">
        <v>0</v>
      </c>
      <c r="G564" s="3" t="s">
        <v>10003</v>
      </c>
      <c r="H564" s="4" t="str">
        <f>_xlfn.IFNA(IF(((INDEX(RulebookFields!C2:C1898, MATCH(D564,RulebookFields!A2:A1898, 0))="")=TRUE),  "",  INDEX(RulebookFields!C2:C1898, MATCH(D564,RulebookFields!A2:A1898, 0))), "")</f>
        <v>AuthorityBoundaries</v>
      </c>
      <c r="I564" s="4" t="str">
        <f>_xlfn.IFNA(IF(((INDEX(RulebookFields!D2:D1898, MATCH(D564,RulebookFields!A2:A1898, 0))="")=TRUE),  "",  INDEX(RulebookFields!D2:D1898, MATCH(D564,RulebookFields!A2:A1898, 0))), "")</f>
        <v>ValidFrom</v>
      </c>
      <c r="J564" s="4" t="b">
        <f>_xlfn.IFNA(IF(((INDEX(RulebookFields!I2:I1898, MATCH(D564,RulebookFields!A2:A1898, 0))="")=TRUE),  "",  INDEX(RulebookFields!I2:I1898, MATCH(D564,RulebookFields!A2:A1898, 0))), "")</f>
        <v>0</v>
      </c>
      <c r="K564" s="4" t="b">
        <f>AND(((F564)=TRUE), ((J564)=TRUE))</f>
        <v>0</v>
      </c>
      <c r="L564" s="4" t="b">
        <f>AND(((G564 &lt;&gt; "plain")=TRUE), ((G564 &lt;&gt; "")=TRUE))</f>
        <v>0</v>
      </c>
      <c r="M564" s="4" t="str">
        <f>IF(((E564)=TRUE),  C564 &amp; "|" &amp; H564,  "")</f>
        <v>principal-process-steward|AuthorityBoundaries</v>
      </c>
      <c r="N564" s="3" t="s">
        <v>10004</v>
      </c>
    </row>
    <row r="565">
      <c r="A565" s="3" t="s">
        <v>10567</v>
      </c>
      <c r="B565" s="4" t="str">
        <f>C565 &amp; " -&gt; " &amp; D565</f>
        <v>principal-process-steward -&gt; AuthorityBoundaries.ValidTo</v>
      </c>
      <c r="C565" s="3" t="s">
        <v>9772</v>
      </c>
      <c r="D565" s="3" t="s">
        <v>5146</v>
      </c>
      <c r="E565" s="3" t="b">
        <v>1</v>
      </c>
      <c r="F565" s="3" t="b">
        <v>0</v>
      </c>
      <c r="G565" s="3" t="s">
        <v>10003</v>
      </c>
      <c r="H565" s="4" t="str">
        <f>_xlfn.IFNA(IF(((INDEX(RulebookFields!C2:C1898, MATCH(D565,RulebookFields!A2:A1898, 0))="")=TRUE),  "",  INDEX(RulebookFields!C2:C1898, MATCH(D565,RulebookFields!A2:A1898, 0))), "")</f>
        <v>AuthorityBoundaries</v>
      </c>
      <c r="I565" s="4" t="str">
        <f>_xlfn.IFNA(IF(((INDEX(RulebookFields!D2:D1898, MATCH(D565,RulebookFields!A2:A1898, 0))="")=TRUE),  "",  INDEX(RulebookFields!D2:D1898, MATCH(D565,RulebookFields!A2:A1898, 0))), "")</f>
        <v>ValidTo</v>
      </c>
      <c r="J565" s="4" t="b">
        <f>_xlfn.IFNA(IF(((INDEX(RulebookFields!I2:I1898, MATCH(D565,RulebookFields!A2:A1898, 0))="")=TRUE),  "",  INDEX(RulebookFields!I2:I1898, MATCH(D565,RulebookFields!A2:A1898, 0))), "")</f>
        <v>0</v>
      </c>
      <c r="K565" s="4" t="b">
        <f>AND(((F565)=TRUE), ((J565)=TRUE))</f>
        <v>0</v>
      </c>
      <c r="L565" s="4" t="b">
        <f>AND(((G565 &lt;&gt; "plain")=TRUE), ((G565 &lt;&gt; "")=TRUE))</f>
        <v>0</v>
      </c>
      <c r="M565" s="4" t="str">
        <f>IF(((E565)=TRUE),  C565 &amp; "|" &amp; H565,  "")</f>
        <v>principal-process-steward|AuthorityBoundaries</v>
      </c>
      <c r="N565" s="3" t="s">
        <v>10004</v>
      </c>
    </row>
    <row r="566">
      <c r="A566" s="3" t="s">
        <v>10568</v>
      </c>
      <c r="B566" s="4" t="str">
        <f>C566 &amp; " -&gt; " &amp; D566</f>
        <v>principal-process-steward -&gt; AuthorityBoundaries.Status</v>
      </c>
      <c r="C566" s="3" t="s">
        <v>9772</v>
      </c>
      <c r="D566" s="3" t="s">
        <v>5147</v>
      </c>
      <c r="E566" s="3" t="b">
        <v>1</v>
      </c>
      <c r="F566" s="3" t="b">
        <v>0</v>
      </c>
      <c r="G566" s="3" t="s">
        <v>10003</v>
      </c>
      <c r="H566" s="4" t="str">
        <f>_xlfn.IFNA(IF(((INDEX(RulebookFields!C2:C1898, MATCH(D566,RulebookFields!A2:A1898, 0))="")=TRUE),  "",  INDEX(RulebookFields!C2:C1898, MATCH(D566,RulebookFields!A2:A1898, 0))), "")</f>
        <v>AuthorityBoundaries</v>
      </c>
      <c r="I566" s="4" t="str">
        <f>_xlfn.IFNA(IF(((INDEX(RulebookFields!D2:D1898, MATCH(D566,RulebookFields!A2:A1898, 0))="")=TRUE),  "",  INDEX(RulebookFields!D2:D1898, MATCH(D566,RulebookFields!A2:A1898, 0))), "")</f>
        <v>Status</v>
      </c>
      <c r="J566" s="4" t="b">
        <f>_xlfn.IFNA(IF(((INDEX(RulebookFields!I2:I1898, MATCH(D566,RulebookFields!A2:A1898, 0))="")=TRUE),  "",  INDEX(RulebookFields!I2:I1898, MATCH(D566,RulebookFields!A2:A1898, 0))), "")</f>
        <v>0</v>
      </c>
      <c r="K566" s="4" t="b">
        <f>AND(((F566)=TRUE), ((J566)=TRUE))</f>
        <v>0</v>
      </c>
      <c r="L566" s="4" t="b">
        <f>AND(((G566 &lt;&gt; "plain")=TRUE), ((G566 &lt;&gt; "")=TRUE))</f>
        <v>0</v>
      </c>
      <c r="M566" s="4" t="str">
        <f>IF(((E566)=TRUE),  C566 &amp; "|" &amp; H566,  "")</f>
        <v>principal-process-steward|AuthorityBoundaries</v>
      </c>
      <c r="N566" s="3" t="s">
        <v>10004</v>
      </c>
    </row>
    <row r="567">
      <c r="A567" s="3" t="s">
        <v>10569</v>
      </c>
      <c r="B567" s="4" t="str">
        <f>C567 &amp; " -&gt; " &amp; D567</f>
        <v>principal-process-steward -&gt; AuthorityBoundaries.EvaluationContext</v>
      </c>
      <c r="C567" s="3" t="s">
        <v>9772</v>
      </c>
      <c r="D567" s="3" t="s">
        <v>5148</v>
      </c>
      <c r="E567" s="3" t="b">
        <v>1</v>
      </c>
      <c r="F567" s="3" t="b">
        <v>0</v>
      </c>
      <c r="G567" s="3" t="s">
        <v>10003</v>
      </c>
      <c r="H567" s="4" t="str">
        <f>_xlfn.IFNA(IF(((INDEX(RulebookFields!C2:C1898, MATCH(D567,RulebookFields!A2:A1898, 0))="")=TRUE),  "",  INDEX(RulebookFields!C2:C1898, MATCH(D567,RulebookFields!A2:A1898, 0))), "")</f>
        <v>AuthorityBoundaries</v>
      </c>
      <c r="I567" s="4" t="str">
        <f>_xlfn.IFNA(IF(((INDEX(RulebookFields!D2:D1898, MATCH(D567,RulebookFields!A2:A1898, 0))="")=TRUE),  "",  INDEX(RulebookFields!D2:D1898, MATCH(D567,RulebookFields!A2:A1898, 0))), "")</f>
        <v>EvaluationContext</v>
      </c>
      <c r="J567" s="4" t="b">
        <f>_xlfn.IFNA(IF(((INDEX(RulebookFields!I2:I1898, MATCH(D567,RulebookFields!A2:A1898, 0))="")=TRUE),  "",  INDEX(RulebookFields!I2:I1898, MATCH(D567,RulebookFields!A2:A1898, 0))), "")</f>
        <v>0</v>
      </c>
      <c r="K567" s="4" t="b">
        <f>AND(((F567)=TRUE), ((J567)=TRUE))</f>
        <v>0</v>
      </c>
      <c r="L567" s="4" t="b">
        <f>AND(((G567 &lt;&gt; "plain")=TRUE), ((G567 &lt;&gt; "")=TRUE))</f>
        <v>0</v>
      </c>
      <c r="M567" s="4" t="str">
        <f>IF(((E567)=TRUE),  C567 &amp; "|" &amp; H567,  "")</f>
        <v>principal-process-steward|AuthorityBoundaries</v>
      </c>
      <c r="N567" s="3" t="s">
        <v>10004</v>
      </c>
    </row>
    <row r="568">
      <c r="A568" s="3" t="s">
        <v>10570</v>
      </c>
      <c r="B568" s="4" t="str">
        <f>C568 &amp; " -&gt; " &amp; D568</f>
        <v>principal-process-steward -&gt; AuthorityBoundaries.AsOfInstant</v>
      </c>
      <c r="C568" s="3" t="s">
        <v>9772</v>
      </c>
      <c r="D568" s="3" t="s">
        <v>5149</v>
      </c>
      <c r="E568" s="3" t="b">
        <v>1</v>
      </c>
      <c r="F568" s="3" t="b">
        <v>0</v>
      </c>
      <c r="G568" s="3" t="s">
        <v>10003</v>
      </c>
      <c r="H568" s="4" t="str">
        <f>_xlfn.IFNA(IF(((INDEX(RulebookFields!C2:C1898, MATCH(D568,RulebookFields!A2:A1898, 0))="")=TRUE),  "",  INDEX(RulebookFields!C2:C1898, MATCH(D568,RulebookFields!A2:A1898, 0))), "")</f>
        <v>AuthorityBoundaries</v>
      </c>
      <c r="I568" s="4" t="str">
        <f>_xlfn.IFNA(IF(((INDEX(RulebookFields!D2:D1898, MATCH(D568,RulebookFields!A2:A1898, 0))="")=TRUE),  "",  INDEX(RulebookFields!D2:D1898, MATCH(D568,RulebookFields!A2:A1898, 0))), "")</f>
        <v>AsOfInstant</v>
      </c>
      <c r="J568" s="4" t="b">
        <f>_xlfn.IFNA(IF(((INDEX(RulebookFields!I2:I1898, MATCH(D568,RulebookFields!A2:A1898, 0))="")=TRUE),  "",  INDEX(RulebookFields!I2:I1898, MATCH(D568,RulebookFields!A2:A1898, 0))), "")</f>
        <v>1</v>
      </c>
      <c r="K568" s="4" t="b">
        <f>AND(((F568)=TRUE), ((J568)=TRUE))</f>
        <v>0</v>
      </c>
      <c r="L568" s="4" t="b">
        <f>AND(((G568 &lt;&gt; "plain")=TRUE), ((G568 &lt;&gt; "")=TRUE))</f>
        <v>0</v>
      </c>
      <c r="M568" s="4" t="str">
        <f>IF(((E568)=TRUE),  C568 &amp; "|" &amp; H568,  "")</f>
        <v>principal-process-steward|AuthorityBoundaries</v>
      </c>
      <c r="N568" s="3" t="s">
        <v>10004</v>
      </c>
    </row>
    <row r="569">
      <c r="A569" s="3" t="s">
        <v>10571</v>
      </c>
      <c r="B569" s="4" t="str">
        <f>C569 &amp; " -&gt; " &amp; D569</f>
        <v>principal-process-steward -&gt; AuthorityBoundaries.IsCurrentlyBinding</v>
      </c>
      <c r="C569" s="3" t="s">
        <v>9772</v>
      </c>
      <c r="D569" s="3" t="s">
        <v>5150</v>
      </c>
      <c r="E569" s="3" t="b">
        <v>1</v>
      </c>
      <c r="F569" s="3" t="b">
        <v>0</v>
      </c>
      <c r="G569" s="3" t="s">
        <v>10003</v>
      </c>
      <c r="H569" s="4" t="str">
        <f>_xlfn.IFNA(IF(((INDEX(RulebookFields!C2:C1898, MATCH(D569,RulebookFields!A2:A1898, 0))="")=TRUE),  "",  INDEX(RulebookFields!C2:C1898, MATCH(D569,RulebookFields!A2:A1898, 0))), "")</f>
        <v>AuthorityBoundaries</v>
      </c>
      <c r="I569" s="4" t="str">
        <f>_xlfn.IFNA(IF(((INDEX(RulebookFields!D2:D1898, MATCH(D569,RulebookFields!A2:A1898, 0))="")=TRUE),  "",  INDEX(RulebookFields!D2:D1898, MATCH(D569,RulebookFields!A2:A1898, 0))), "")</f>
        <v>IsCurrentlyBinding</v>
      </c>
      <c r="J569" s="4" t="b">
        <f>_xlfn.IFNA(IF(((INDEX(RulebookFields!I2:I1898, MATCH(D569,RulebookFields!A2:A1898, 0))="")=TRUE),  "",  INDEX(RulebookFields!I2:I1898, MATCH(D569,RulebookFields!A2:A1898, 0))), "")</f>
        <v>1</v>
      </c>
      <c r="K569" s="4" t="b">
        <f>AND(((F569)=TRUE), ((J569)=TRUE))</f>
        <v>0</v>
      </c>
      <c r="L569" s="4" t="b">
        <f>AND(((G569 &lt;&gt; "plain")=TRUE), ((G569 &lt;&gt; "")=TRUE))</f>
        <v>0</v>
      </c>
      <c r="M569" s="4" t="str">
        <f>IF(((E569)=TRUE),  C569 &amp; "|" &amp; H569,  "")</f>
        <v>principal-process-steward|AuthorityBoundaries</v>
      </c>
      <c r="N569" s="3" t="s">
        <v>10004</v>
      </c>
    </row>
    <row r="570">
      <c r="A570" s="3" t="s">
        <v>10572</v>
      </c>
      <c r="B570" s="4" t="str">
        <f>C570 &amp; " -&gt; " &amp; D570</f>
        <v>principal-process-steward -&gt; AuthorityBoundaries.RatifyingFragmentIsValid</v>
      </c>
      <c r="C570" s="3" t="s">
        <v>9772</v>
      </c>
      <c r="D570" s="3" t="s">
        <v>5153</v>
      </c>
      <c r="E570" s="3" t="b">
        <v>1</v>
      </c>
      <c r="F570" s="3" t="b">
        <v>0</v>
      </c>
      <c r="G570" s="3" t="s">
        <v>10003</v>
      </c>
      <c r="H570" s="4" t="str">
        <f>_xlfn.IFNA(IF(((INDEX(RulebookFields!C2:C1898, MATCH(D570,RulebookFields!A2:A1898, 0))="")=TRUE),  "",  INDEX(RulebookFields!C2:C1898, MATCH(D570,RulebookFields!A2:A1898, 0))), "")</f>
        <v>AuthorityBoundaries</v>
      </c>
      <c r="I570" s="4" t="str">
        <f>_xlfn.IFNA(IF(((INDEX(RulebookFields!D2:D1898, MATCH(D570,RulebookFields!A2:A1898, 0))="")=TRUE),  "",  INDEX(RulebookFields!D2:D1898, MATCH(D570,RulebookFields!A2:A1898, 0))), "")</f>
        <v>RatifyingFragmentIsValid</v>
      </c>
      <c r="J570" s="4" t="b">
        <f>_xlfn.IFNA(IF(((INDEX(RulebookFields!I2:I1898, MATCH(D570,RulebookFields!A2:A1898, 0))="")=TRUE),  "",  INDEX(RulebookFields!I2:I1898, MATCH(D570,RulebookFields!A2:A1898, 0))), "")</f>
        <v>1</v>
      </c>
      <c r="K570" s="4" t="b">
        <f>AND(((F570)=TRUE), ((J570)=TRUE))</f>
        <v>0</v>
      </c>
      <c r="L570" s="4" t="b">
        <f>AND(((G570 &lt;&gt; "plain")=TRUE), ((G570 &lt;&gt; "")=TRUE))</f>
        <v>0</v>
      </c>
      <c r="M570" s="4" t="str">
        <f>IF(((E570)=TRUE),  C570 &amp; "|" &amp; H570,  "")</f>
        <v>principal-process-steward|AuthorityBoundaries</v>
      </c>
      <c r="N570" s="3" t="s">
        <v>10004</v>
      </c>
    </row>
    <row r="571">
      <c r="A571" s="3" t="s">
        <v>10573</v>
      </c>
      <c r="B571" s="4" t="str">
        <f>C571 &amp; " -&gt; " &amp; D571</f>
        <v>principal-process-steward -&gt; AuthorityBoundaries.StepWhenBinding</v>
      </c>
      <c r="C571" s="3" t="s">
        <v>9772</v>
      </c>
      <c r="D571" s="3" t="s">
        <v>5156</v>
      </c>
      <c r="E571" s="3" t="b">
        <v>1</v>
      </c>
      <c r="F571" s="3" t="b">
        <v>0</v>
      </c>
      <c r="G571" s="3" t="s">
        <v>10003</v>
      </c>
      <c r="H571" s="4" t="str">
        <f>_xlfn.IFNA(IF(((INDEX(RulebookFields!C2:C1898, MATCH(D571,RulebookFields!A2:A1898, 0))="")=TRUE),  "",  INDEX(RulebookFields!C2:C1898, MATCH(D571,RulebookFields!A2:A1898, 0))), "")</f>
        <v>AuthorityBoundaries</v>
      </c>
      <c r="I571" s="4" t="str">
        <f>_xlfn.IFNA(IF(((INDEX(RulebookFields!D2:D1898, MATCH(D571,RulebookFields!A2:A1898, 0))="")=TRUE),  "",  INDEX(RulebookFields!D2:D1898, MATCH(D571,RulebookFields!A2:A1898, 0))), "")</f>
        <v>StepWhenBinding</v>
      </c>
      <c r="J571" s="4" t="b">
        <f>_xlfn.IFNA(IF(((INDEX(RulebookFields!I2:I1898, MATCH(D571,RulebookFields!A2:A1898, 0))="")=TRUE),  "",  INDEX(RulebookFields!I2:I1898, MATCH(D571,RulebookFields!A2:A1898, 0))), "")</f>
        <v>1</v>
      </c>
      <c r="K571" s="4" t="b">
        <f>AND(((F571)=TRUE), ((J571)=TRUE))</f>
        <v>0</v>
      </c>
      <c r="L571" s="4" t="b">
        <f>AND(((G571 &lt;&gt; "plain")=TRUE), ((G571 &lt;&gt; "")=TRUE))</f>
        <v>0</v>
      </c>
      <c r="M571" s="4" t="str">
        <f>IF(((E571)=TRUE),  C571 &amp; "|" &amp; H571,  "")</f>
        <v>principal-process-steward|AuthorityBoundaries</v>
      </c>
      <c r="N571" s="3" t="s">
        <v>10004</v>
      </c>
    </row>
    <row r="572">
      <c r="A572" s="3" t="s">
        <v>10574</v>
      </c>
      <c r="B572" s="4" t="str">
        <f>C572 &amp; " -&gt; " &amp; D572</f>
        <v>principal-process-steward -&gt; AuthorityBoundaries.BoundaryMatchKey</v>
      </c>
      <c r="C572" s="3" t="s">
        <v>9772</v>
      </c>
      <c r="D572" s="3" t="s">
        <v>5159</v>
      </c>
      <c r="E572" s="3" t="b">
        <v>1</v>
      </c>
      <c r="F572" s="3" t="b">
        <v>0</v>
      </c>
      <c r="G572" s="3" t="s">
        <v>10003</v>
      </c>
      <c r="H572" s="4" t="str">
        <f>_xlfn.IFNA(IF(((INDEX(RulebookFields!C2:C1898, MATCH(D572,RulebookFields!A2:A1898, 0))="")=TRUE),  "",  INDEX(RulebookFields!C2:C1898, MATCH(D572,RulebookFields!A2:A1898, 0))), "")</f>
        <v>AuthorityBoundaries</v>
      </c>
      <c r="I572" s="4" t="str">
        <f>_xlfn.IFNA(IF(((INDEX(RulebookFields!D2:D1898, MATCH(D572,RulebookFields!A2:A1898, 0))="")=TRUE),  "",  INDEX(RulebookFields!D2:D1898, MATCH(D572,RulebookFields!A2:A1898, 0))), "")</f>
        <v>BoundaryMatchKey</v>
      </c>
      <c r="J572" s="4" t="b">
        <f>_xlfn.IFNA(IF(((INDEX(RulebookFields!I2:I1898, MATCH(D572,RulebookFields!A2:A1898, 0))="")=TRUE),  "",  INDEX(RulebookFields!I2:I1898, MATCH(D572,RulebookFields!A2:A1898, 0))), "")</f>
        <v>1</v>
      </c>
      <c r="K572" s="4" t="b">
        <f>AND(((F572)=TRUE), ((J572)=TRUE))</f>
        <v>0</v>
      </c>
      <c r="L572" s="4" t="b">
        <f>AND(((G572 &lt;&gt; "plain")=TRUE), ((G572 &lt;&gt; "")=TRUE))</f>
        <v>0</v>
      </c>
      <c r="M572" s="4" t="str">
        <f>IF(((E572)=TRUE),  C572 &amp; "|" &amp; H572,  "")</f>
        <v>principal-process-steward|AuthorityBoundaries</v>
      </c>
      <c r="N572" s="3" t="s">
        <v>10004</v>
      </c>
    </row>
    <row r="573">
      <c r="A573" s="3" t="s">
        <v>10575</v>
      </c>
      <c r="B573" s="4" t="str">
        <f>C573 &amp; " -&gt; " &amp; D573</f>
        <v>principal-process-steward -&gt; AuthorityBoundaries.ViolationCount</v>
      </c>
      <c r="C573" s="3" t="s">
        <v>9772</v>
      </c>
      <c r="D573" s="3" t="s">
        <v>5161</v>
      </c>
      <c r="E573" s="3" t="b">
        <v>1</v>
      </c>
      <c r="F573" s="3" t="b">
        <v>0</v>
      </c>
      <c r="G573" s="3" t="s">
        <v>10003</v>
      </c>
      <c r="H573" s="4" t="str">
        <f>_xlfn.IFNA(IF(((INDEX(RulebookFields!C2:C1898, MATCH(D573,RulebookFields!A2:A1898, 0))="")=TRUE),  "",  INDEX(RulebookFields!C2:C1898, MATCH(D573,RulebookFields!A2:A1898, 0))), "")</f>
        <v>AuthorityBoundaries</v>
      </c>
      <c r="I573" s="4" t="str">
        <f>_xlfn.IFNA(IF(((INDEX(RulebookFields!D2:D1898, MATCH(D573,RulebookFields!A2:A1898, 0))="")=TRUE),  "",  INDEX(RulebookFields!D2:D1898, MATCH(D573,RulebookFields!A2:A1898, 0))), "")</f>
        <v>ViolationCount</v>
      </c>
      <c r="J573" s="4" t="b">
        <f>_xlfn.IFNA(IF(((INDEX(RulebookFields!I2:I1898, MATCH(D573,RulebookFields!A2:A1898, 0))="")=TRUE),  "",  INDEX(RulebookFields!I2:I1898, MATCH(D573,RulebookFields!A2:A1898, 0))), "")</f>
        <v>1</v>
      </c>
      <c r="K573" s="4" t="b">
        <f>AND(((F573)=TRUE), ((J573)=TRUE))</f>
        <v>0</v>
      </c>
      <c r="L573" s="4" t="b">
        <f>AND(((G573 &lt;&gt; "plain")=TRUE), ((G573 &lt;&gt; "")=TRUE))</f>
        <v>0</v>
      </c>
      <c r="M573" s="4" t="str">
        <f>IF(((E573)=TRUE),  C573 &amp; "|" &amp; H573,  "")</f>
        <v>principal-process-steward|AuthorityBoundaries</v>
      </c>
      <c r="N573" s="3" t="s">
        <v>10004</v>
      </c>
    </row>
    <row r="574">
      <c r="A574" s="3" t="s">
        <v>10576</v>
      </c>
      <c r="B574" s="4" t="str">
        <f>C574 &amp; " -&gt; " &amp; D574</f>
        <v>principal-process-steward -&gt; AuthorityBoundaries.IsUntested</v>
      </c>
      <c r="C574" s="3" t="s">
        <v>9772</v>
      </c>
      <c r="D574" s="3" t="s">
        <v>5164</v>
      </c>
      <c r="E574" s="3" t="b">
        <v>1</v>
      </c>
      <c r="F574" s="3" t="b">
        <v>0</v>
      </c>
      <c r="G574" s="3" t="s">
        <v>10003</v>
      </c>
      <c r="H574" s="4" t="str">
        <f>_xlfn.IFNA(IF(((INDEX(RulebookFields!C2:C1898, MATCH(D574,RulebookFields!A2:A1898, 0))="")=TRUE),  "",  INDEX(RulebookFields!C2:C1898, MATCH(D574,RulebookFields!A2:A1898, 0))), "")</f>
        <v>AuthorityBoundaries</v>
      </c>
      <c r="I574" s="4" t="str">
        <f>_xlfn.IFNA(IF(((INDEX(RulebookFields!D2:D1898, MATCH(D574,RulebookFields!A2:A1898, 0))="")=TRUE),  "",  INDEX(RulebookFields!D2:D1898, MATCH(D574,RulebookFields!A2:A1898, 0))), "")</f>
        <v>IsUntested</v>
      </c>
      <c r="J574" s="4" t="b">
        <f>_xlfn.IFNA(IF(((INDEX(RulebookFields!I2:I1898, MATCH(D574,RulebookFields!A2:A1898, 0))="")=TRUE),  "",  INDEX(RulebookFields!I2:I1898, MATCH(D574,RulebookFields!A2:A1898, 0))), "")</f>
        <v>1</v>
      </c>
      <c r="K574" s="4" t="b">
        <f>AND(((F574)=TRUE), ((J574)=TRUE))</f>
        <v>0</v>
      </c>
      <c r="L574" s="4" t="b">
        <f>AND(((G574 &lt;&gt; "plain")=TRUE), ((G574 &lt;&gt; "")=TRUE))</f>
        <v>0</v>
      </c>
      <c r="M574" s="4" t="str">
        <f>IF(((E574)=TRUE),  C574 &amp; "|" &amp; H574,  "")</f>
        <v>principal-process-steward|AuthorityBoundaries</v>
      </c>
      <c r="N574" s="3" t="s">
        <v>10004</v>
      </c>
    </row>
    <row r="575">
      <c r="A575" s="3" t="s">
        <v>10577</v>
      </c>
      <c r="B575" s="4" t="str">
        <f>C575 &amp; " -&gt; " &amp; D575</f>
        <v>principal-process-steward -&gt; AuthorityBoundaries.HasRatifyingFragment</v>
      </c>
      <c r="C575" s="3" t="s">
        <v>9772</v>
      </c>
      <c r="D575" s="3" t="s">
        <v>5167</v>
      </c>
      <c r="E575" s="3" t="b">
        <v>1</v>
      </c>
      <c r="F575" s="3" t="b">
        <v>0</v>
      </c>
      <c r="G575" s="3" t="s">
        <v>10003</v>
      </c>
      <c r="H575" s="4" t="str">
        <f>_xlfn.IFNA(IF(((INDEX(RulebookFields!C2:C1898, MATCH(D575,RulebookFields!A2:A1898, 0))="")=TRUE),  "",  INDEX(RulebookFields!C2:C1898, MATCH(D575,RulebookFields!A2:A1898, 0))), "")</f>
        <v>AuthorityBoundaries</v>
      </c>
      <c r="I575" s="4" t="str">
        <f>_xlfn.IFNA(IF(((INDEX(RulebookFields!D2:D1898, MATCH(D575,RulebookFields!A2:A1898, 0))="")=TRUE),  "",  INDEX(RulebookFields!D2:D1898, MATCH(D575,RulebookFields!A2:A1898, 0))), "")</f>
        <v>HasRatifyingFragment</v>
      </c>
      <c r="J575" s="4" t="b">
        <f>_xlfn.IFNA(IF(((INDEX(RulebookFields!I2:I1898, MATCH(D575,RulebookFields!A2:A1898, 0))="")=TRUE),  "",  INDEX(RulebookFields!I2:I1898, MATCH(D575,RulebookFields!A2:A1898, 0))), "")</f>
        <v>1</v>
      </c>
      <c r="K575" s="4" t="b">
        <f>AND(((F575)=TRUE), ((J575)=TRUE))</f>
        <v>0</v>
      </c>
      <c r="L575" s="4" t="b">
        <f>AND(((G575 &lt;&gt; "plain")=TRUE), ((G575 &lt;&gt; "")=TRUE))</f>
        <v>0</v>
      </c>
      <c r="M575" s="4" t="str">
        <f>IF(((E575)=TRUE),  C575 &amp; "|" &amp; H575,  "")</f>
        <v>principal-process-steward|AuthorityBoundaries</v>
      </c>
      <c r="N575" s="3" t="s">
        <v>10004</v>
      </c>
    </row>
    <row r="576">
      <c r="A576" s="3" t="s">
        <v>10578</v>
      </c>
      <c r="B576" s="4" t="str">
        <f>C576 &amp; " -&gt; " &amp; D576</f>
        <v>principal-process-steward -&gt; AuthorityBoundaries.IsUnwarranted</v>
      </c>
      <c r="C576" s="3" t="s">
        <v>9772</v>
      </c>
      <c r="D576" s="3" t="s">
        <v>5170</v>
      </c>
      <c r="E576" s="3" t="b">
        <v>1</v>
      </c>
      <c r="F576" s="3" t="b">
        <v>0</v>
      </c>
      <c r="G576" s="3" t="s">
        <v>10003</v>
      </c>
      <c r="H576" s="4" t="str">
        <f>_xlfn.IFNA(IF(((INDEX(RulebookFields!C2:C1898, MATCH(D576,RulebookFields!A2:A1898, 0))="")=TRUE),  "",  INDEX(RulebookFields!C2:C1898, MATCH(D576,RulebookFields!A2:A1898, 0))), "")</f>
        <v>AuthorityBoundaries</v>
      </c>
      <c r="I576" s="4" t="str">
        <f>_xlfn.IFNA(IF(((INDEX(RulebookFields!D2:D1898, MATCH(D576,RulebookFields!A2:A1898, 0))="")=TRUE),  "",  INDEX(RulebookFields!D2:D1898, MATCH(D576,RulebookFields!A2:A1898, 0))), "")</f>
        <v>IsUnwarranted</v>
      </c>
      <c r="J576" s="4" t="b">
        <f>_xlfn.IFNA(IF(((INDEX(RulebookFields!I2:I1898, MATCH(D576,RulebookFields!A2:A1898, 0))="")=TRUE),  "",  INDEX(RulebookFields!I2:I1898, MATCH(D576,RulebookFields!A2:A1898, 0))), "")</f>
        <v>1</v>
      </c>
      <c r="K576" s="4" t="b">
        <f>AND(((F576)=TRUE), ((J576)=TRUE))</f>
        <v>0</v>
      </c>
      <c r="L576" s="4" t="b">
        <f>AND(((G576 &lt;&gt; "plain")=TRUE), ((G576 &lt;&gt; "")=TRUE))</f>
        <v>0</v>
      </c>
      <c r="M576" s="4" t="str">
        <f>IF(((E576)=TRUE),  C576 &amp; "|" &amp; H576,  "")</f>
        <v>principal-process-steward|AuthorityBoundaries</v>
      </c>
      <c r="N576" s="3" t="s">
        <v>10004</v>
      </c>
    </row>
    <row r="577">
      <c r="A577" s="3" t="s">
        <v>10579</v>
      </c>
      <c r="B577" s="4" t="str">
        <f>C577 &amp; " -&gt; " &amp; D577</f>
        <v>principal-process-steward -&gt; AuthorityBoundaries.RatifyingFragmentIsOverdue</v>
      </c>
      <c r="C577" s="3" t="s">
        <v>9772</v>
      </c>
      <c r="D577" s="3" t="s">
        <v>5173</v>
      </c>
      <c r="E577" s="3" t="b">
        <v>1</v>
      </c>
      <c r="F577" s="3" t="b">
        <v>0</v>
      </c>
      <c r="G577" s="3" t="s">
        <v>10003</v>
      </c>
      <c r="H577" s="4" t="str">
        <f>_xlfn.IFNA(IF(((INDEX(RulebookFields!C2:C1898, MATCH(D577,RulebookFields!A2:A1898, 0))="")=TRUE),  "",  INDEX(RulebookFields!C2:C1898, MATCH(D577,RulebookFields!A2:A1898, 0))), "")</f>
        <v>AuthorityBoundaries</v>
      </c>
      <c r="I577" s="4" t="str">
        <f>_xlfn.IFNA(IF(((INDEX(RulebookFields!D2:D1898, MATCH(D577,RulebookFields!A2:A1898, 0))="")=TRUE),  "",  INDEX(RulebookFields!D2:D1898, MATCH(D577,RulebookFields!A2:A1898, 0))), "")</f>
        <v>RatifyingFragmentIsOverdue</v>
      </c>
      <c r="J577" s="4" t="b">
        <f>_xlfn.IFNA(IF(((INDEX(RulebookFields!I2:I1898, MATCH(D577,RulebookFields!A2:A1898, 0))="")=TRUE),  "",  INDEX(RulebookFields!I2:I1898, MATCH(D577,RulebookFields!A2:A1898, 0))), "")</f>
        <v>1</v>
      </c>
      <c r="K577" s="4" t="b">
        <f>AND(((F577)=TRUE), ((J577)=TRUE))</f>
        <v>0</v>
      </c>
      <c r="L577" s="4" t="b">
        <f>AND(((G577 &lt;&gt; "plain")=TRUE), ((G577 &lt;&gt; "")=TRUE))</f>
        <v>0</v>
      </c>
      <c r="M577" s="4" t="str">
        <f>IF(((E577)=TRUE),  C577 &amp; "|" &amp; H577,  "")</f>
        <v>principal-process-steward|AuthorityBoundaries</v>
      </c>
      <c r="N577" s="3" t="s">
        <v>10004</v>
      </c>
    </row>
    <row r="578">
      <c r="A578" s="3" t="s">
        <v>10580</v>
      </c>
      <c r="B578" s="4" t="str">
        <f>C578 &amp; " -&gt; " &amp; D578</f>
        <v>principal-process-steward -&gt; AuthorityBoundaries.RatifyingFragmentIsSingleWitness</v>
      </c>
      <c r="C578" s="3" t="s">
        <v>9772</v>
      </c>
      <c r="D578" s="3" t="s">
        <v>5176</v>
      </c>
      <c r="E578" s="3" t="b">
        <v>1</v>
      </c>
      <c r="F578" s="3" t="b">
        <v>0</v>
      </c>
      <c r="G578" s="3" t="s">
        <v>10003</v>
      </c>
      <c r="H578" s="4" t="str">
        <f>_xlfn.IFNA(IF(((INDEX(RulebookFields!C2:C1898, MATCH(D578,RulebookFields!A2:A1898, 0))="")=TRUE),  "",  INDEX(RulebookFields!C2:C1898, MATCH(D578,RulebookFields!A2:A1898, 0))), "")</f>
        <v>AuthorityBoundaries</v>
      </c>
      <c r="I578" s="4" t="str">
        <f>_xlfn.IFNA(IF(((INDEX(RulebookFields!D2:D1898, MATCH(D578,RulebookFields!A2:A1898, 0))="")=TRUE),  "",  INDEX(RulebookFields!D2:D1898, MATCH(D578,RulebookFields!A2:A1898, 0))), "")</f>
        <v>RatifyingFragmentIsSingleWitness</v>
      </c>
      <c r="J578" s="4" t="b">
        <f>_xlfn.IFNA(IF(((INDEX(RulebookFields!I2:I1898, MATCH(D578,RulebookFields!A2:A1898, 0))="")=TRUE),  "",  INDEX(RulebookFields!I2:I1898, MATCH(D578,RulebookFields!A2:A1898, 0))), "")</f>
        <v>1</v>
      </c>
      <c r="K578" s="4" t="b">
        <f>AND(((F578)=TRUE), ((J578)=TRUE))</f>
        <v>0</v>
      </c>
      <c r="L578" s="4" t="b">
        <f>AND(((G578 &lt;&gt; "plain")=TRUE), ((G578 &lt;&gt; "")=TRUE))</f>
        <v>0</v>
      </c>
      <c r="M578" s="4" t="str">
        <f>IF(((E578)=TRUE),  C578 &amp; "|" &amp; H578,  "")</f>
        <v>principal-process-steward|AuthorityBoundaries</v>
      </c>
      <c r="N578" s="3" t="s">
        <v>10004</v>
      </c>
    </row>
    <row r="579">
      <c r="A579" s="3" t="s">
        <v>10581</v>
      </c>
      <c r="B579" s="4" t="str">
        <f>C579 &amp; " -&gt; " &amp; D579</f>
        <v>principal-process-steward -&gt; AuthorityBoundaries.WarrantIsThin</v>
      </c>
      <c r="C579" s="3" t="s">
        <v>9772</v>
      </c>
      <c r="D579" s="3" t="s">
        <v>5179</v>
      </c>
      <c r="E579" s="3" t="b">
        <v>1</v>
      </c>
      <c r="F579" s="3" t="b">
        <v>0</v>
      </c>
      <c r="G579" s="3" t="s">
        <v>10003</v>
      </c>
      <c r="H579" s="4" t="str">
        <f>_xlfn.IFNA(IF(((INDEX(RulebookFields!C2:C1898, MATCH(D579,RulebookFields!A2:A1898, 0))="")=TRUE),  "",  INDEX(RulebookFields!C2:C1898, MATCH(D579,RulebookFields!A2:A1898, 0))), "")</f>
        <v>AuthorityBoundaries</v>
      </c>
      <c r="I579" s="4" t="str">
        <f>_xlfn.IFNA(IF(((INDEX(RulebookFields!D2:D1898, MATCH(D579,RulebookFields!A2:A1898, 0))="")=TRUE),  "",  INDEX(RulebookFields!D2:D1898, MATCH(D579,RulebookFields!A2:A1898, 0))), "")</f>
        <v>WarrantIsThin</v>
      </c>
      <c r="J579" s="4" t="b">
        <f>_xlfn.IFNA(IF(((INDEX(RulebookFields!I2:I1898, MATCH(D579,RulebookFields!A2:A1898, 0))="")=TRUE),  "",  INDEX(RulebookFields!I2:I1898, MATCH(D579,RulebookFields!A2:A1898, 0))), "")</f>
        <v>1</v>
      </c>
      <c r="K579" s="4" t="b">
        <f>AND(((F579)=TRUE), ((J579)=TRUE))</f>
        <v>0</v>
      </c>
      <c r="L579" s="4" t="b">
        <f>AND(((G579 &lt;&gt; "plain")=TRUE), ((G579 &lt;&gt; "")=TRUE))</f>
        <v>0</v>
      </c>
      <c r="M579" s="4" t="str">
        <f>IF(((E579)=TRUE),  C579 &amp; "|" &amp; H579,  "")</f>
        <v>principal-process-steward|AuthorityBoundaries</v>
      </c>
      <c r="N579" s="3" t="s">
        <v>10004</v>
      </c>
    </row>
    <row r="580">
      <c r="A580" s="3" t="s">
        <v>10582</v>
      </c>
      <c r="B580" s="4" t="str">
        <f>C580 &amp; " -&gt; " &amp; D580</f>
        <v>principal-process-steward -&gt; AuthorityBoundaries.IsUnwarrantedAndUntested</v>
      </c>
      <c r="C580" s="3" t="s">
        <v>9772</v>
      </c>
      <c r="D580" s="3" t="s">
        <v>5182</v>
      </c>
      <c r="E580" s="3" t="b">
        <v>1</v>
      </c>
      <c r="F580" s="3" t="b">
        <v>0</v>
      </c>
      <c r="G580" s="3" t="s">
        <v>10003</v>
      </c>
      <c r="H580" s="4" t="str">
        <f>_xlfn.IFNA(IF(((INDEX(RulebookFields!C2:C1898, MATCH(D580,RulebookFields!A2:A1898, 0))="")=TRUE),  "",  INDEX(RulebookFields!C2:C1898, MATCH(D580,RulebookFields!A2:A1898, 0))), "")</f>
        <v>AuthorityBoundaries</v>
      </c>
      <c r="I580" s="4" t="str">
        <f>_xlfn.IFNA(IF(((INDEX(RulebookFields!D2:D1898, MATCH(D580,RulebookFields!A2:A1898, 0))="")=TRUE),  "",  INDEX(RulebookFields!D2:D1898, MATCH(D580,RulebookFields!A2:A1898, 0))), "")</f>
        <v>IsUnwarrantedAndUntested</v>
      </c>
      <c r="J580" s="4" t="b">
        <f>_xlfn.IFNA(IF(((INDEX(RulebookFields!I2:I1898, MATCH(D580,RulebookFields!A2:A1898, 0))="")=TRUE),  "",  INDEX(RulebookFields!I2:I1898, MATCH(D580,RulebookFields!A2:A1898, 0))), "")</f>
        <v>1</v>
      </c>
      <c r="K580" s="4" t="b">
        <f>AND(((F580)=TRUE), ((J580)=TRUE))</f>
        <v>0</v>
      </c>
      <c r="L580" s="4" t="b">
        <f>AND(((G580 &lt;&gt; "plain")=TRUE), ((G580 &lt;&gt; "")=TRUE))</f>
        <v>0</v>
      </c>
      <c r="M580" s="4" t="str">
        <f>IF(((E580)=TRUE),  C580 &amp; "|" &amp; H580,  "")</f>
        <v>principal-process-steward|AuthorityBoundaries</v>
      </c>
      <c r="N580" s="3" t="s">
        <v>10004</v>
      </c>
    </row>
    <row r="581">
      <c r="A581" s="3" t="s">
        <v>10583</v>
      </c>
      <c r="B581" s="4" t="str">
        <f>C581 &amp; " -&gt; " &amp; D581</f>
        <v>principal-process-steward -&gt; AuthorityBoundaries.UnwarrantedBoundaryStepKey</v>
      </c>
      <c r="C581" s="3" t="s">
        <v>9772</v>
      </c>
      <c r="D581" s="3" t="s">
        <v>5185</v>
      </c>
      <c r="E581" s="3" t="b">
        <v>1</v>
      </c>
      <c r="F581" s="3" t="b">
        <v>0</v>
      </c>
      <c r="G581" s="3" t="s">
        <v>10003</v>
      </c>
      <c r="H581" s="4" t="str">
        <f>_xlfn.IFNA(IF(((INDEX(RulebookFields!C2:C1898, MATCH(D581,RulebookFields!A2:A1898, 0))="")=TRUE),  "",  INDEX(RulebookFields!C2:C1898, MATCH(D581,RulebookFields!A2:A1898, 0))), "")</f>
        <v>AuthorityBoundaries</v>
      </c>
      <c r="I581" s="4" t="str">
        <f>_xlfn.IFNA(IF(((INDEX(RulebookFields!D2:D1898, MATCH(D581,RulebookFields!A2:A1898, 0))="")=TRUE),  "",  INDEX(RulebookFields!D2:D1898, MATCH(D581,RulebookFields!A2:A1898, 0))), "")</f>
        <v>UnwarrantedBoundaryStepKey</v>
      </c>
      <c r="J581" s="4" t="b">
        <f>_xlfn.IFNA(IF(((INDEX(RulebookFields!I2:I1898, MATCH(D581,RulebookFields!A2:A1898, 0))="")=TRUE),  "",  INDEX(RulebookFields!I2:I1898, MATCH(D581,RulebookFields!A2:A1898, 0))), "")</f>
        <v>1</v>
      </c>
      <c r="K581" s="4" t="b">
        <f>AND(((F581)=TRUE), ((J581)=TRUE))</f>
        <v>0</v>
      </c>
      <c r="L581" s="4" t="b">
        <f>AND(((G581 &lt;&gt; "plain")=TRUE), ((G581 &lt;&gt; "")=TRUE))</f>
        <v>0</v>
      </c>
      <c r="M581" s="4" t="str">
        <f>IF(((E581)=TRUE),  C581 &amp; "|" &amp; H581,  "")</f>
        <v>principal-process-steward|AuthorityBoundaries</v>
      </c>
      <c r="N581" s="3" t="s">
        <v>10004</v>
      </c>
    </row>
    <row r="582">
      <c r="A582" s="3" t="s">
        <v>10584</v>
      </c>
      <c r="B582" s="4" t="str">
        <f>C582 &amp; " -&gt; " &amp; D582</f>
        <v>principal-process-steward -&gt; AuthorityBoundaries.RatifyingFragmentKey</v>
      </c>
      <c r="C582" s="3" t="s">
        <v>9772</v>
      </c>
      <c r="D582" s="3" t="s">
        <v>5188</v>
      </c>
      <c r="E582" s="3" t="b">
        <v>1</v>
      </c>
      <c r="F582" s="3" t="b">
        <v>0</v>
      </c>
      <c r="G582" s="3" t="s">
        <v>10003</v>
      </c>
      <c r="H582" s="4" t="str">
        <f>_xlfn.IFNA(IF(((INDEX(RulebookFields!C2:C1898, MATCH(D582,RulebookFields!A2:A1898, 0))="")=TRUE),  "",  INDEX(RulebookFields!C2:C1898, MATCH(D582,RulebookFields!A2:A1898, 0))), "")</f>
        <v>AuthorityBoundaries</v>
      </c>
      <c r="I582" s="4" t="str">
        <f>_xlfn.IFNA(IF(((INDEX(RulebookFields!D2:D1898, MATCH(D582,RulebookFields!A2:A1898, 0))="")=TRUE),  "",  INDEX(RulebookFields!D2:D1898, MATCH(D582,RulebookFields!A2:A1898, 0))), "")</f>
        <v>RatifyingFragmentKey</v>
      </c>
      <c r="J582" s="4" t="b">
        <f>_xlfn.IFNA(IF(((INDEX(RulebookFields!I2:I1898, MATCH(D582,RulebookFields!A2:A1898, 0))="")=TRUE),  "",  INDEX(RulebookFields!I2:I1898, MATCH(D582,RulebookFields!A2:A1898, 0))), "")</f>
        <v>1</v>
      </c>
      <c r="K582" s="4" t="b">
        <f>AND(((F582)=TRUE), ((J582)=TRUE))</f>
        <v>0</v>
      </c>
      <c r="L582" s="4" t="b">
        <f>AND(((G582 &lt;&gt; "plain")=TRUE), ((G582 &lt;&gt; "")=TRUE))</f>
        <v>0</v>
      </c>
      <c r="M582" s="4" t="str">
        <f>IF(((E582)=TRUE),  C582 &amp; "|" &amp; H582,  "")</f>
        <v>principal-process-steward|AuthorityBoundaries</v>
      </c>
      <c r="N582" s="3" t="s">
        <v>10004</v>
      </c>
    </row>
    <row r="583">
      <c r="A583" s="3" t="s">
        <v>10585</v>
      </c>
      <c r="B583" s="4" t="str">
        <f>C583 &amp; " -&gt; " &amp; D583</f>
        <v>principal-process-steward -&gt; AuthorityBoundaries.RatifyingFragmentStatus</v>
      </c>
      <c r="C583" s="3" t="s">
        <v>9772</v>
      </c>
      <c r="D583" s="3" t="s">
        <v>5191</v>
      </c>
      <c r="E583" s="3" t="b">
        <v>1</v>
      </c>
      <c r="F583" s="3" t="b">
        <v>0</v>
      </c>
      <c r="G583" s="3" t="s">
        <v>10003</v>
      </c>
      <c r="H583" s="4" t="str">
        <f>_xlfn.IFNA(IF(((INDEX(RulebookFields!C2:C1898, MATCH(D583,RulebookFields!A2:A1898, 0))="")=TRUE),  "",  INDEX(RulebookFields!C2:C1898, MATCH(D583,RulebookFields!A2:A1898, 0))), "")</f>
        <v>AuthorityBoundaries</v>
      </c>
      <c r="I583" s="4" t="str">
        <f>_xlfn.IFNA(IF(((INDEX(RulebookFields!D2:D1898, MATCH(D583,RulebookFields!A2:A1898, 0))="")=TRUE),  "",  INDEX(RulebookFields!D2:D1898, MATCH(D583,RulebookFields!A2:A1898, 0))), "")</f>
        <v>RatifyingFragmentStatus</v>
      </c>
      <c r="J583" s="4" t="b">
        <f>_xlfn.IFNA(IF(((INDEX(RulebookFields!I2:I1898, MATCH(D583,RulebookFields!A2:A1898, 0))="")=TRUE),  "",  INDEX(RulebookFields!I2:I1898, MATCH(D583,RulebookFields!A2:A1898, 0))), "")</f>
        <v>1</v>
      </c>
      <c r="K583" s="4" t="b">
        <f>AND(((F583)=TRUE), ((J583)=TRUE))</f>
        <v>0</v>
      </c>
      <c r="L583" s="4" t="b">
        <f>AND(((G583 &lt;&gt; "plain")=TRUE), ((G583 &lt;&gt; "")=TRUE))</f>
        <v>0</v>
      </c>
      <c r="M583" s="4" t="str">
        <f>IF(((E583)=TRUE),  C583 &amp; "|" &amp; H583,  "")</f>
        <v>principal-process-steward|AuthorityBoundaries</v>
      </c>
      <c r="N583" s="3" t="s">
        <v>10004</v>
      </c>
    </row>
    <row r="584">
      <c r="A584" s="3" t="s">
        <v>10586</v>
      </c>
      <c r="B584" s="4" t="str">
        <f>C584 &amp; " -&gt; " &amp; D584</f>
        <v>principal-process-steward -&gt; AuthorityBoundaries.RatificationLapsed</v>
      </c>
      <c r="C584" s="3" t="s">
        <v>9772</v>
      </c>
      <c r="D584" s="3" t="s">
        <v>5194</v>
      </c>
      <c r="E584" s="3" t="b">
        <v>1</v>
      </c>
      <c r="F584" s="3" t="b">
        <v>0</v>
      </c>
      <c r="G584" s="3" t="s">
        <v>10003</v>
      </c>
      <c r="H584" s="4" t="str">
        <f>_xlfn.IFNA(IF(((INDEX(RulebookFields!C2:C1898, MATCH(D584,RulebookFields!A2:A1898, 0))="")=TRUE),  "",  INDEX(RulebookFields!C2:C1898, MATCH(D584,RulebookFields!A2:A1898, 0))), "")</f>
        <v>AuthorityBoundaries</v>
      </c>
      <c r="I584" s="4" t="str">
        <f>_xlfn.IFNA(IF(((INDEX(RulebookFields!D2:D1898, MATCH(D584,RulebookFields!A2:A1898, 0))="")=TRUE),  "",  INDEX(RulebookFields!D2:D1898, MATCH(D584,RulebookFields!A2:A1898, 0))), "")</f>
        <v>RatificationLapsed</v>
      </c>
      <c r="J584" s="4" t="b">
        <f>_xlfn.IFNA(IF(((INDEX(RulebookFields!I2:I1898, MATCH(D584,RulebookFields!A2:A1898, 0))="")=TRUE),  "",  INDEX(RulebookFields!I2:I1898, MATCH(D584,RulebookFields!A2:A1898, 0))), "")</f>
        <v>1</v>
      </c>
      <c r="K584" s="4" t="b">
        <f>AND(((F584)=TRUE), ((J584)=TRUE))</f>
        <v>0</v>
      </c>
      <c r="L584" s="4" t="b">
        <f>AND(((G584 &lt;&gt; "plain")=TRUE), ((G584 &lt;&gt; "")=TRUE))</f>
        <v>0</v>
      </c>
      <c r="M584" s="4" t="str">
        <f>IF(((E584)=TRUE),  C584 &amp; "|" &amp; H584,  "")</f>
        <v>principal-process-steward|AuthorityBoundaries</v>
      </c>
      <c r="N584" s="3" t="s">
        <v>10004</v>
      </c>
    </row>
    <row r="585">
      <c r="A585" s="3" t="s">
        <v>10587</v>
      </c>
      <c r="B585" s="4" t="str">
        <f>C585 &amp; " -&gt; " &amp; D585</f>
        <v>principal-process-steward -&gt; AuthorityBoundaries.BindsDespiteLapsedRatification</v>
      </c>
      <c r="C585" s="3" t="s">
        <v>9772</v>
      </c>
      <c r="D585" s="3" t="s">
        <v>5197</v>
      </c>
      <c r="E585" s="3" t="b">
        <v>1</v>
      </c>
      <c r="F585" s="3" t="b">
        <v>0</v>
      </c>
      <c r="G585" s="3" t="s">
        <v>10003</v>
      </c>
      <c r="H585" s="4" t="str">
        <f>_xlfn.IFNA(IF(((INDEX(RulebookFields!C2:C1898, MATCH(D585,RulebookFields!A2:A1898, 0))="")=TRUE),  "",  INDEX(RulebookFields!C2:C1898, MATCH(D585,RulebookFields!A2:A1898, 0))), "")</f>
        <v>AuthorityBoundaries</v>
      </c>
      <c r="I585" s="4" t="str">
        <f>_xlfn.IFNA(IF(((INDEX(RulebookFields!D2:D1898, MATCH(D585,RulebookFields!A2:A1898, 0))="")=TRUE),  "",  INDEX(RulebookFields!D2:D1898, MATCH(D585,RulebookFields!A2:A1898, 0))), "")</f>
        <v>BindsDespiteLapsedRatification</v>
      </c>
      <c r="J585" s="4" t="b">
        <f>_xlfn.IFNA(IF(((INDEX(RulebookFields!I2:I1898, MATCH(D585,RulebookFields!A2:A1898, 0))="")=TRUE),  "",  INDEX(RulebookFields!I2:I1898, MATCH(D585,RulebookFields!A2:A1898, 0))), "")</f>
        <v>1</v>
      </c>
      <c r="K585" s="4" t="b">
        <f>AND(((F585)=TRUE), ((J585)=TRUE))</f>
        <v>0</v>
      </c>
      <c r="L585" s="4" t="b">
        <f>AND(((G585 &lt;&gt; "plain")=TRUE), ((G585 &lt;&gt; "")=TRUE))</f>
        <v>0</v>
      </c>
      <c r="M585" s="4" t="str">
        <f>IF(((E585)=TRUE),  C585 &amp; "|" &amp; H585,  "")</f>
        <v>principal-process-steward|AuthorityBoundaries</v>
      </c>
      <c r="N585" s="3" t="s">
        <v>10004</v>
      </c>
    </row>
    <row r="586">
      <c r="A586" s="3" t="s">
        <v>10588</v>
      </c>
      <c r="B586" s="4" t="str">
        <f>C586 &amp; " -&gt; " &amp; D586</f>
        <v>principal-process-steward -&gt; AuthorityBoundaries.IsUngroundedAndUntested</v>
      </c>
      <c r="C586" s="3" t="s">
        <v>9772</v>
      </c>
      <c r="D586" s="3" t="s">
        <v>5200</v>
      </c>
      <c r="E586" s="3" t="b">
        <v>1</v>
      </c>
      <c r="F586" s="3" t="b">
        <v>0</v>
      </c>
      <c r="G586" s="3" t="s">
        <v>10003</v>
      </c>
      <c r="H586" s="4" t="str">
        <f>_xlfn.IFNA(IF(((INDEX(RulebookFields!C2:C1898, MATCH(D586,RulebookFields!A2:A1898, 0))="")=TRUE),  "",  INDEX(RulebookFields!C2:C1898, MATCH(D586,RulebookFields!A2:A1898, 0))), "")</f>
        <v>AuthorityBoundaries</v>
      </c>
      <c r="I586" s="4" t="str">
        <f>_xlfn.IFNA(IF(((INDEX(RulebookFields!D2:D1898, MATCH(D586,RulebookFields!A2:A1898, 0))="")=TRUE),  "",  INDEX(RulebookFields!D2:D1898, MATCH(D586,RulebookFields!A2:A1898, 0))), "")</f>
        <v>IsUngroundedAndUntested</v>
      </c>
      <c r="J586" s="4" t="b">
        <f>_xlfn.IFNA(IF(((INDEX(RulebookFields!I2:I1898, MATCH(D586,RulebookFields!A2:A1898, 0))="")=TRUE),  "",  INDEX(RulebookFields!I2:I1898, MATCH(D586,RulebookFields!A2:A1898, 0))), "")</f>
        <v>1</v>
      </c>
      <c r="K586" s="4" t="b">
        <f>AND(((F586)=TRUE), ((J586)=TRUE))</f>
        <v>0</v>
      </c>
      <c r="L586" s="4" t="b">
        <f>AND(((G586 &lt;&gt; "plain")=TRUE), ((G586 &lt;&gt; "")=TRUE))</f>
        <v>0</v>
      </c>
      <c r="M586" s="4" t="str">
        <f>IF(((E586)=TRUE),  C586 &amp; "|" &amp; H586,  "")</f>
        <v>principal-process-steward|AuthorityBoundaries</v>
      </c>
      <c r="N586" s="3" t="s">
        <v>10004</v>
      </c>
    </row>
    <row r="587">
      <c r="A587" s="3" t="s">
        <v>10589</v>
      </c>
      <c r="B587" s="4" t="str">
        <f>C587 &amp; " -&gt; " &amp; D587</f>
        <v>principal-process-steward -&gt; AuthorityBoundaries.ConstrainedRoleAssignmentKey</v>
      </c>
      <c r="C587" s="3" t="s">
        <v>9772</v>
      </c>
      <c r="D587" s="3" t="s">
        <v>5203</v>
      </c>
      <c r="E587" s="3" t="b">
        <v>1</v>
      </c>
      <c r="F587" s="3" t="b">
        <v>0</v>
      </c>
      <c r="G587" s="3" t="s">
        <v>10003</v>
      </c>
      <c r="H587" s="4" t="str">
        <f>_xlfn.IFNA(IF(((INDEX(RulebookFields!C2:C1898, MATCH(D587,RulebookFields!A2:A1898, 0))="")=TRUE),  "",  INDEX(RulebookFields!C2:C1898, MATCH(D587,RulebookFields!A2:A1898, 0))), "")</f>
        <v>AuthorityBoundaries</v>
      </c>
      <c r="I587" s="4" t="str">
        <f>_xlfn.IFNA(IF(((INDEX(RulebookFields!D2:D1898, MATCH(D587,RulebookFields!A2:A1898, 0))="")=TRUE),  "",  INDEX(RulebookFields!D2:D1898, MATCH(D587,RulebookFields!A2:A1898, 0))), "")</f>
        <v>ConstrainedRoleAssignmentKey</v>
      </c>
      <c r="J587" s="4" t="b">
        <f>_xlfn.IFNA(IF(((INDEX(RulebookFields!I2:I1898, MATCH(D587,RulebookFields!A2:A1898, 0))="")=TRUE),  "",  INDEX(RulebookFields!I2:I1898, MATCH(D587,RulebookFields!A2:A1898, 0))), "")</f>
        <v>1</v>
      </c>
      <c r="K587" s="4" t="b">
        <f>AND(((F587)=TRUE), ((J587)=TRUE))</f>
        <v>0</v>
      </c>
      <c r="L587" s="4" t="b">
        <f>AND(((G587 &lt;&gt; "plain")=TRUE), ((G587 &lt;&gt; "")=TRUE))</f>
        <v>0</v>
      </c>
      <c r="M587" s="4" t="str">
        <f>IF(((E587)=TRUE),  C587 &amp; "|" &amp; H587,  "")</f>
        <v>principal-process-steward|AuthorityBoundaries</v>
      </c>
      <c r="N587" s="3" t="s">
        <v>10004</v>
      </c>
    </row>
    <row r="588">
      <c r="A588" s="3" t="s">
        <v>10590</v>
      </c>
      <c r="B588" s="4" t="str">
        <f>C588 &amp; " -&gt; " &amp; D588</f>
        <v>principal-process-steward -&gt; AuthorityBoundaries.SemanticTypeIri</v>
      </c>
      <c r="C588" s="3" t="s">
        <v>9772</v>
      </c>
      <c r="D588" s="3" t="s">
        <v>5206</v>
      </c>
      <c r="E588" s="3" t="b">
        <v>1</v>
      </c>
      <c r="F588" s="3" t="b">
        <v>0</v>
      </c>
      <c r="G588" s="3" t="s">
        <v>10003</v>
      </c>
      <c r="H588" s="4" t="str">
        <f>_xlfn.IFNA(IF(((INDEX(RulebookFields!C2:C1898, MATCH(D588,RulebookFields!A2:A1898, 0))="")=TRUE),  "",  INDEX(RulebookFields!C2:C1898, MATCH(D588,RulebookFields!A2:A1898, 0))), "")</f>
        <v>AuthorityBoundaries</v>
      </c>
      <c r="I588" s="4" t="str">
        <f>_xlfn.IFNA(IF(((INDEX(RulebookFields!D2:D1898, MATCH(D588,RulebookFields!A2:A1898, 0))="")=TRUE),  "",  INDEX(RulebookFields!D2:D1898, MATCH(D588,RulebookFields!A2:A1898, 0))), "")</f>
        <v>SemanticTypeIri</v>
      </c>
      <c r="J588" s="4" t="b">
        <f>_xlfn.IFNA(IF(((INDEX(RulebookFields!I2:I1898, MATCH(D588,RulebookFields!A2:A1898, 0))="")=TRUE),  "",  INDEX(RulebookFields!I2:I1898, MATCH(D588,RulebookFields!A2:A1898, 0))), "")</f>
        <v>0</v>
      </c>
      <c r="K588" s="4" t="b">
        <f>AND(((F588)=TRUE), ((J588)=TRUE))</f>
        <v>0</v>
      </c>
      <c r="L588" s="4" t="b">
        <f>AND(((G588 &lt;&gt; "plain")=TRUE), ((G588 &lt;&gt; "")=TRUE))</f>
        <v>0</v>
      </c>
      <c r="M588" s="4" t="str">
        <f>IF(((E588)=TRUE),  C588 &amp; "|" &amp; H588,  "")</f>
        <v>principal-process-steward|AuthorityBoundaries</v>
      </c>
      <c r="N588" s="3" t="s">
        <v>10004</v>
      </c>
    </row>
    <row r="589">
      <c r="A589" s="3" t="s">
        <v>10591</v>
      </c>
      <c r="B589" s="4" t="str">
        <f>C589 &amp; " -&gt; " &amp; D589</f>
        <v>principal-process-steward -&gt; BindingObservations.BindingObservationId</v>
      </c>
      <c r="C589" s="3" t="s">
        <v>9772</v>
      </c>
      <c r="D589" s="3" t="s">
        <v>5207</v>
      </c>
      <c r="E589" s="3" t="b">
        <v>1</v>
      </c>
      <c r="F589" s="3" t="b">
        <v>0</v>
      </c>
      <c r="G589" s="3" t="s">
        <v>10003</v>
      </c>
      <c r="H589" s="4" t="str">
        <f>_xlfn.IFNA(IF(((INDEX(RulebookFields!C2:C1898, MATCH(D589,RulebookFields!A2:A1898, 0))="")=TRUE),  "",  INDEX(RulebookFields!C2:C1898, MATCH(D589,RulebookFields!A2:A1898, 0))), "")</f>
        <v>BindingObservations</v>
      </c>
      <c r="I589" s="4" t="str">
        <f>_xlfn.IFNA(IF(((INDEX(RulebookFields!D2:D1898, MATCH(D589,RulebookFields!A2:A1898, 0))="")=TRUE),  "",  INDEX(RulebookFields!D2:D1898, MATCH(D589,RulebookFields!A2:A1898, 0))), "")</f>
        <v>BindingObservationId</v>
      </c>
      <c r="J589" s="4" t="b">
        <f>_xlfn.IFNA(IF(((INDEX(RulebookFields!I2:I1898, MATCH(D589,RulebookFields!A2:A1898, 0))="")=TRUE),  "",  INDEX(RulebookFields!I2:I1898, MATCH(D589,RulebookFields!A2:A1898, 0))), "")</f>
        <v>0</v>
      </c>
      <c r="K589" s="4" t="b">
        <f>AND(((F589)=TRUE), ((J589)=TRUE))</f>
        <v>0</v>
      </c>
      <c r="L589" s="4" t="b">
        <f>AND(((G589 &lt;&gt; "plain")=TRUE), ((G589 &lt;&gt; "")=TRUE))</f>
        <v>0</v>
      </c>
      <c r="M589" s="4" t="str">
        <f>IF(((E589)=TRUE),  C589 &amp; "|" &amp; H589,  "")</f>
        <v>principal-process-steward|BindingObservations</v>
      </c>
      <c r="N589" s="3" t="s">
        <v>10004</v>
      </c>
    </row>
    <row r="590">
      <c r="A590" s="3" t="s">
        <v>10592</v>
      </c>
      <c r="B590" s="4" t="str">
        <f>C590 &amp; " -&gt; " &amp; D590</f>
        <v>principal-process-steward -&gt; BindingObservations.Name</v>
      </c>
      <c r="C590" s="3" t="s">
        <v>9772</v>
      </c>
      <c r="D590" s="3" t="s">
        <v>5210</v>
      </c>
      <c r="E590" s="3" t="b">
        <v>1</v>
      </c>
      <c r="F590" s="3" t="b">
        <v>0</v>
      </c>
      <c r="G590" s="3" t="s">
        <v>10003</v>
      </c>
      <c r="H590" s="4" t="str">
        <f>_xlfn.IFNA(IF(((INDEX(RulebookFields!C2:C1898, MATCH(D590,RulebookFields!A2:A1898, 0))="")=TRUE),  "",  INDEX(RulebookFields!C2:C1898, MATCH(D590,RulebookFields!A2:A1898, 0))), "")</f>
        <v>BindingObservations</v>
      </c>
      <c r="I590" s="4" t="str">
        <f>_xlfn.IFNA(IF(((INDEX(RulebookFields!D2:D1898, MATCH(D590,RulebookFields!A2:A1898, 0))="")=TRUE),  "",  INDEX(RulebookFields!D2:D1898, MATCH(D590,RulebookFields!A2:A1898, 0))), "")</f>
        <v>Name</v>
      </c>
      <c r="J590" s="4" t="b">
        <f>_xlfn.IFNA(IF(((INDEX(RulebookFields!I2:I1898, MATCH(D590,RulebookFields!A2:A1898, 0))="")=TRUE),  "",  INDEX(RulebookFields!I2:I1898, MATCH(D590,RulebookFields!A2:A1898, 0))), "")</f>
        <v>1</v>
      </c>
      <c r="K590" s="4" t="b">
        <f>AND(((F590)=TRUE), ((J590)=TRUE))</f>
        <v>0</v>
      </c>
      <c r="L590" s="4" t="b">
        <f>AND(((G590 &lt;&gt; "plain")=TRUE), ((G590 &lt;&gt; "")=TRUE))</f>
        <v>0</v>
      </c>
      <c r="M590" s="4" t="str">
        <f>IF(((E590)=TRUE),  C590 &amp; "|" &amp; H590,  "")</f>
        <v>principal-process-steward|BindingObservations</v>
      </c>
      <c r="N590" s="3" t="s">
        <v>10004</v>
      </c>
    </row>
    <row r="591">
      <c r="A591" s="3" t="s">
        <v>10593</v>
      </c>
      <c r="B591" s="4" t="str">
        <f>C591 &amp; " -&gt; " &amp; D591</f>
        <v>principal-process-steward -&gt; BindingObservations.StepExecution</v>
      </c>
      <c r="C591" s="3" t="s">
        <v>9772</v>
      </c>
      <c r="D591" s="3" t="s">
        <v>5212</v>
      </c>
      <c r="E591" s="3" t="b">
        <v>1</v>
      </c>
      <c r="F591" s="3" t="b">
        <v>0</v>
      </c>
      <c r="G591" s="3" t="s">
        <v>10003</v>
      </c>
      <c r="H591" s="4" t="str">
        <f>_xlfn.IFNA(IF(((INDEX(RulebookFields!C2:C1898, MATCH(D591,RulebookFields!A2:A1898, 0))="")=TRUE),  "",  INDEX(RulebookFields!C2:C1898, MATCH(D591,RulebookFields!A2:A1898, 0))), "")</f>
        <v>BindingObservations</v>
      </c>
      <c r="I591" s="4" t="str">
        <f>_xlfn.IFNA(IF(((INDEX(RulebookFields!D2:D1898, MATCH(D591,RulebookFields!A2:A1898, 0))="")=TRUE),  "",  INDEX(RulebookFields!D2:D1898, MATCH(D591,RulebookFields!A2:A1898, 0))), "")</f>
        <v>StepExecution</v>
      </c>
      <c r="J591" s="4" t="b">
        <f>_xlfn.IFNA(IF(((INDEX(RulebookFields!I2:I1898, MATCH(D591,RulebookFields!A2:A1898, 0))="")=TRUE),  "",  INDEX(RulebookFields!I2:I1898, MATCH(D591,RulebookFields!A2:A1898, 0))), "")</f>
        <v>0</v>
      </c>
      <c r="K591" s="4" t="b">
        <f>AND(((F591)=TRUE), ((J591)=TRUE))</f>
        <v>0</v>
      </c>
      <c r="L591" s="4" t="b">
        <f>AND(((G591 &lt;&gt; "plain")=TRUE), ((G591 &lt;&gt; "")=TRUE))</f>
        <v>0</v>
      </c>
      <c r="M591" s="4" t="str">
        <f>IF(((E591)=TRUE),  C591 &amp; "|" &amp; H591,  "")</f>
        <v>principal-process-steward|BindingObservations</v>
      </c>
      <c r="N591" s="3" t="s">
        <v>10004</v>
      </c>
    </row>
    <row r="592">
      <c r="A592" s="3" t="s">
        <v>10594</v>
      </c>
      <c r="B592" s="4" t="str">
        <f>C592 &amp; " -&gt; " &amp; D592</f>
        <v>principal-process-steward -&gt; BindingObservations.OperationalBinding</v>
      </c>
      <c r="C592" s="3" t="s">
        <v>9772</v>
      </c>
      <c r="D592" s="3" t="s">
        <v>5213</v>
      </c>
      <c r="E592" s="3" t="b">
        <v>1</v>
      </c>
      <c r="F592" s="3" t="b">
        <v>0</v>
      </c>
      <c r="G592" s="3" t="s">
        <v>10003</v>
      </c>
      <c r="H592" s="4" t="str">
        <f>_xlfn.IFNA(IF(((INDEX(RulebookFields!C2:C1898, MATCH(D592,RulebookFields!A2:A1898, 0))="")=TRUE),  "",  INDEX(RulebookFields!C2:C1898, MATCH(D592,RulebookFields!A2:A1898, 0))), "")</f>
        <v>BindingObservations</v>
      </c>
      <c r="I592" s="4" t="str">
        <f>_xlfn.IFNA(IF(((INDEX(RulebookFields!D2:D1898, MATCH(D592,RulebookFields!A2:A1898, 0))="")=TRUE),  "",  INDEX(RulebookFields!D2:D1898, MATCH(D592,RulebookFields!A2:A1898, 0))), "")</f>
        <v>OperationalBinding</v>
      </c>
      <c r="J592" s="4" t="b">
        <f>_xlfn.IFNA(IF(((INDEX(RulebookFields!I2:I1898, MATCH(D592,RulebookFields!A2:A1898, 0))="")=TRUE),  "",  INDEX(RulebookFields!I2:I1898, MATCH(D592,RulebookFields!A2:A1898, 0))), "")</f>
        <v>0</v>
      </c>
      <c r="K592" s="4" t="b">
        <f>AND(((F592)=TRUE), ((J592)=TRUE))</f>
        <v>0</v>
      </c>
      <c r="L592" s="4" t="b">
        <f>AND(((G592 &lt;&gt; "plain")=TRUE), ((G592 &lt;&gt; "")=TRUE))</f>
        <v>0</v>
      </c>
      <c r="M592" s="4" t="str">
        <f>IF(((E592)=TRUE),  C592 &amp; "|" &amp; H592,  "")</f>
        <v>principal-process-steward|BindingObservations</v>
      </c>
      <c r="N592" s="3" t="s">
        <v>10004</v>
      </c>
    </row>
    <row r="593">
      <c r="A593" s="3" t="s">
        <v>10595</v>
      </c>
      <c r="B593" s="4" t="str">
        <f>C593 &amp; " -&gt; " &amp; D593</f>
        <v>principal-process-steward -&gt; BindingObservations.ObservedSourceTimestamp</v>
      </c>
      <c r="C593" s="3" t="s">
        <v>9772</v>
      </c>
      <c r="D593" s="3" t="s">
        <v>5215</v>
      </c>
      <c r="E593" s="3" t="b">
        <v>1</v>
      </c>
      <c r="F593" s="3" t="b">
        <v>0</v>
      </c>
      <c r="G593" s="3" t="s">
        <v>10003</v>
      </c>
      <c r="H593" s="4" t="str">
        <f>_xlfn.IFNA(IF(((INDEX(RulebookFields!C2:C1898, MATCH(D593,RulebookFields!A2:A1898, 0))="")=TRUE),  "",  INDEX(RulebookFields!C2:C1898, MATCH(D593,RulebookFields!A2:A1898, 0))), "")</f>
        <v>BindingObservations</v>
      </c>
      <c r="I593" s="4" t="str">
        <f>_xlfn.IFNA(IF(((INDEX(RulebookFields!D2:D1898, MATCH(D593,RulebookFields!A2:A1898, 0))="")=TRUE),  "",  INDEX(RulebookFields!D2:D1898, MATCH(D593,RulebookFields!A2:A1898, 0))), "")</f>
        <v>ObservedSourceTimestamp</v>
      </c>
      <c r="J593" s="4" t="b">
        <f>_xlfn.IFNA(IF(((INDEX(RulebookFields!I2:I1898, MATCH(D593,RulebookFields!A2:A1898, 0))="")=TRUE),  "",  INDEX(RulebookFields!I2:I1898, MATCH(D593,RulebookFields!A2:A1898, 0))), "")</f>
        <v>0</v>
      </c>
      <c r="K593" s="4" t="b">
        <f>AND(((F593)=TRUE), ((J593)=TRUE))</f>
        <v>0</v>
      </c>
      <c r="L593" s="4" t="b">
        <f>AND(((G593 &lt;&gt; "plain")=TRUE), ((G593 &lt;&gt; "")=TRUE))</f>
        <v>0</v>
      </c>
      <c r="M593" s="4" t="str">
        <f>IF(((E593)=TRUE),  C593 &amp; "|" &amp; H593,  "")</f>
        <v>principal-process-steward|BindingObservations</v>
      </c>
      <c r="N593" s="3" t="s">
        <v>10004</v>
      </c>
    </row>
    <row r="594">
      <c r="A594" s="3" t="s">
        <v>10596</v>
      </c>
      <c r="B594" s="4" t="str">
        <f>C594 &amp; " -&gt; " &amp; D594</f>
        <v>principal-process-steward -&gt; BindingObservations.ReadAt</v>
      </c>
      <c r="C594" s="3" t="s">
        <v>9772</v>
      </c>
      <c r="D594" s="3" t="s">
        <v>5217</v>
      </c>
      <c r="E594" s="3" t="b">
        <v>1</v>
      </c>
      <c r="F594" s="3" t="b">
        <v>0</v>
      </c>
      <c r="G594" s="3" t="s">
        <v>10003</v>
      </c>
      <c r="H594" s="4" t="str">
        <f>_xlfn.IFNA(IF(((INDEX(RulebookFields!C2:C1898, MATCH(D594,RulebookFields!A2:A1898, 0))="")=TRUE),  "",  INDEX(RulebookFields!C2:C1898, MATCH(D594,RulebookFields!A2:A1898, 0))), "")</f>
        <v>BindingObservations</v>
      </c>
      <c r="I594" s="4" t="str">
        <f>_xlfn.IFNA(IF(((INDEX(RulebookFields!D2:D1898, MATCH(D594,RulebookFields!A2:A1898, 0))="")=TRUE),  "",  INDEX(RulebookFields!D2:D1898, MATCH(D594,RulebookFields!A2:A1898, 0))), "")</f>
        <v>ReadAt</v>
      </c>
      <c r="J594" s="4" t="b">
        <f>_xlfn.IFNA(IF(((INDEX(RulebookFields!I2:I1898, MATCH(D594,RulebookFields!A2:A1898, 0))="")=TRUE),  "",  INDEX(RulebookFields!I2:I1898, MATCH(D594,RulebookFields!A2:A1898, 0))), "")</f>
        <v>0</v>
      </c>
      <c r="K594" s="4" t="b">
        <f>AND(((F594)=TRUE), ((J594)=TRUE))</f>
        <v>0</v>
      </c>
      <c r="L594" s="4" t="b">
        <f>AND(((G594 &lt;&gt; "plain")=TRUE), ((G594 &lt;&gt; "")=TRUE))</f>
        <v>0</v>
      </c>
      <c r="M594" s="4" t="str">
        <f>IF(((E594)=TRUE),  C594 &amp; "|" &amp; H594,  "")</f>
        <v>principal-process-steward|BindingObservations</v>
      </c>
      <c r="N594" s="3" t="s">
        <v>10004</v>
      </c>
    </row>
    <row r="595">
      <c r="A595" s="3" t="s">
        <v>10597</v>
      </c>
      <c r="B595" s="4" t="str">
        <f>C595 &amp; " -&gt; " &amp; D595</f>
        <v>principal-process-steward -&gt; BindingObservations.SlaMinutesAtRun</v>
      </c>
      <c r="C595" s="3" t="s">
        <v>9772</v>
      </c>
      <c r="D595" s="3" t="s">
        <v>5219</v>
      </c>
      <c r="E595" s="3" t="b">
        <v>1</v>
      </c>
      <c r="F595" s="3" t="b">
        <v>0</v>
      </c>
      <c r="G595" s="3" t="s">
        <v>10003</v>
      </c>
      <c r="H595" s="4" t="str">
        <f>_xlfn.IFNA(IF(((INDEX(RulebookFields!C2:C1898, MATCH(D595,RulebookFields!A2:A1898, 0))="")=TRUE),  "",  INDEX(RulebookFields!C2:C1898, MATCH(D595,RulebookFields!A2:A1898, 0))), "")</f>
        <v>BindingObservations</v>
      </c>
      <c r="I595" s="4" t="str">
        <f>_xlfn.IFNA(IF(((INDEX(RulebookFields!D2:D1898, MATCH(D595,RulebookFields!A2:A1898, 0))="")=TRUE),  "",  INDEX(RulebookFields!D2:D1898, MATCH(D595,RulebookFields!A2:A1898, 0))), "")</f>
        <v>SlaMinutesAtRun</v>
      </c>
      <c r="J595" s="4" t="b">
        <f>_xlfn.IFNA(IF(((INDEX(RulebookFields!I2:I1898, MATCH(D595,RulebookFields!A2:A1898, 0))="")=TRUE),  "",  INDEX(RulebookFields!I2:I1898, MATCH(D595,RulebookFields!A2:A1898, 0))), "")</f>
        <v>1</v>
      </c>
      <c r="K595" s="4" t="b">
        <f>AND(((F595)=TRUE), ((J595)=TRUE))</f>
        <v>0</v>
      </c>
      <c r="L595" s="4" t="b">
        <f>AND(((G595 &lt;&gt; "plain")=TRUE), ((G595 &lt;&gt; "")=TRUE))</f>
        <v>0</v>
      </c>
      <c r="M595" s="4" t="str">
        <f>IF(((E595)=TRUE),  C595 &amp; "|" &amp; H595,  "")</f>
        <v>principal-process-steward|BindingObservations</v>
      </c>
      <c r="N595" s="3" t="s">
        <v>10004</v>
      </c>
    </row>
    <row r="596">
      <c r="A596" s="3" t="s">
        <v>10598</v>
      </c>
      <c r="B596" s="4" t="str">
        <f>C596 &amp; " -&gt; " &amp; D596</f>
        <v>principal-process-steward -&gt; BindingObservations.AgeAtRunMinutes</v>
      </c>
      <c r="C596" s="3" t="s">
        <v>9772</v>
      </c>
      <c r="D596" s="3" t="s">
        <v>5222</v>
      </c>
      <c r="E596" s="3" t="b">
        <v>1</v>
      </c>
      <c r="F596" s="3" t="b">
        <v>0</v>
      </c>
      <c r="G596" s="3" t="s">
        <v>10003</v>
      </c>
      <c r="H596" s="4" t="str">
        <f>_xlfn.IFNA(IF(((INDEX(RulebookFields!C2:C1898, MATCH(D596,RulebookFields!A2:A1898, 0))="")=TRUE),  "",  INDEX(RulebookFields!C2:C1898, MATCH(D596,RulebookFields!A2:A1898, 0))), "")</f>
        <v>BindingObservations</v>
      </c>
      <c r="I596" s="4" t="str">
        <f>_xlfn.IFNA(IF(((INDEX(RulebookFields!D2:D1898, MATCH(D596,RulebookFields!A2:A1898, 0))="")=TRUE),  "",  INDEX(RulebookFields!D2:D1898, MATCH(D596,RulebookFields!A2:A1898, 0))), "")</f>
        <v>AgeAtRunMinutes</v>
      </c>
      <c r="J596" s="4" t="b">
        <f>_xlfn.IFNA(IF(((INDEX(RulebookFields!I2:I1898, MATCH(D596,RulebookFields!A2:A1898, 0))="")=TRUE),  "",  INDEX(RulebookFields!I2:I1898, MATCH(D596,RulebookFields!A2:A1898, 0))), "")</f>
        <v>1</v>
      </c>
      <c r="K596" s="4" t="b">
        <f>AND(((F596)=TRUE), ((J596)=TRUE))</f>
        <v>0</v>
      </c>
      <c r="L596" s="4" t="b">
        <f>AND(((G596 &lt;&gt; "plain")=TRUE), ((G596 &lt;&gt; "")=TRUE))</f>
        <v>0</v>
      </c>
      <c r="M596" s="4" t="str">
        <f>IF(((E596)=TRUE),  C596 &amp; "|" &amp; H596,  "")</f>
        <v>principal-process-steward|BindingObservations</v>
      </c>
      <c r="N596" s="3" t="s">
        <v>10004</v>
      </c>
    </row>
    <row r="597">
      <c r="A597" s="3" t="s">
        <v>10599</v>
      </c>
      <c r="B597" s="4" t="str">
        <f>C597 &amp; " -&gt; " &amp; D597</f>
        <v>principal-process-steward -&gt; BindingObservations.WasStaleAtRun</v>
      </c>
      <c r="C597" s="3" t="s">
        <v>9772</v>
      </c>
      <c r="D597" s="3" t="s">
        <v>5225</v>
      </c>
      <c r="E597" s="3" t="b">
        <v>1</v>
      </c>
      <c r="F597" s="3" t="b">
        <v>0</v>
      </c>
      <c r="G597" s="3" t="s">
        <v>10003</v>
      </c>
      <c r="H597" s="4" t="str">
        <f>_xlfn.IFNA(IF(((INDEX(RulebookFields!C2:C1898, MATCH(D597,RulebookFields!A2:A1898, 0))="")=TRUE),  "",  INDEX(RulebookFields!C2:C1898, MATCH(D597,RulebookFields!A2:A1898, 0))), "")</f>
        <v>BindingObservations</v>
      </c>
      <c r="I597" s="4" t="str">
        <f>_xlfn.IFNA(IF(((INDEX(RulebookFields!D2:D1898, MATCH(D597,RulebookFields!A2:A1898, 0))="")=TRUE),  "",  INDEX(RulebookFields!D2:D1898, MATCH(D597,RulebookFields!A2:A1898, 0))), "")</f>
        <v>WasStaleAtRun</v>
      </c>
      <c r="J597" s="4" t="b">
        <f>_xlfn.IFNA(IF(((INDEX(RulebookFields!I2:I1898, MATCH(D597,RulebookFields!A2:A1898, 0))="")=TRUE),  "",  INDEX(RulebookFields!I2:I1898, MATCH(D597,RulebookFields!A2:A1898, 0))), "")</f>
        <v>1</v>
      </c>
      <c r="K597" s="4" t="b">
        <f>AND(((F597)=TRUE), ((J597)=TRUE))</f>
        <v>0</v>
      </c>
      <c r="L597" s="4" t="b">
        <f>AND(((G597 &lt;&gt; "plain")=TRUE), ((G597 &lt;&gt; "")=TRUE))</f>
        <v>0</v>
      </c>
      <c r="M597" s="4" t="str">
        <f>IF(((E597)=TRUE),  C597 &amp; "|" &amp; H597,  "")</f>
        <v>principal-process-steward|BindingObservations</v>
      </c>
      <c r="N597" s="3" t="s">
        <v>10004</v>
      </c>
    </row>
    <row r="598">
      <c r="A598" s="3" t="s">
        <v>10600</v>
      </c>
      <c r="B598" s="4" t="str">
        <f>C598 &amp; " -&gt; " &amp; D598</f>
        <v>principal-process-steward -&gt; BindingObservations.IsAuthoritativeBinding</v>
      </c>
      <c r="C598" s="3" t="s">
        <v>9772</v>
      </c>
      <c r="D598" s="3" t="s">
        <v>5228</v>
      </c>
      <c r="E598" s="3" t="b">
        <v>1</v>
      </c>
      <c r="F598" s="3" t="b">
        <v>0</v>
      </c>
      <c r="G598" s="3" t="s">
        <v>10003</v>
      </c>
      <c r="H598" s="4" t="str">
        <f>_xlfn.IFNA(IF(((INDEX(RulebookFields!C2:C1898, MATCH(D598,RulebookFields!A2:A1898, 0))="")=TRUE),  "",  INDEX(RulebookFields!C2:C1898, MATCH(D598,RulebookFields!A2:A1898, 0))), "")</f>
        <v>BindingObservations</v>
      </c>
      <c r="I598" s="4" t="str">
        <f>_xlfn.IFNA(IF(((INDEX(RulebookFields!D2:D1898, MATCH(D598,RulebookFields!A2:A1898, 0))="")=TRUE),  "",  INDEX(RulebookFields!D2:D1898, MATCH(D598,RulebookFields!A2:A1898, 0))), "")</f>
        <v>IsAuthoritativeBinding</v>
      </c>
      <c r="J598" s="4" t="b">
        <f>_xlfn.IFNA(IF(((INDEX(RulebookFields!I2:I1898, MATCH(D598,RulebookFields!A2:A1898, 0))="")=TRUE),  "",  INDEX(RulebookFields!I2:I1898, MATCH(D598,RulebookFields!A2:A1898, 0))), "")</f>
        <v>1</v>
      </c>
      <c r="K598" s="4" t="b">
        <f>AND(((F598)=TRUE), ((J598)=TRUE))</f>
        <v>0</v>
      </c>
      <c r="L598" s="4" t="b">
        <f>AND(((G598 &lt;&gt; "plain")=TRUE), ((G598 &lt;&gt; "")=TRUE))</f>
        <v>0</v>
      </c>
      <c r="M598" s="4" t="str">
        <f>IF(((E598)=TRUE),  C598 &amp; "|" &amp; H598,  "")</f>
        <v>principal-process-steward|BindingObservations</v>
      </c>
      <c r="N598" s="3" t="s">
        <v>10004</v>
      </c>
    </row>
    <row r="599">
      <c r="A599" s="3" t="s">
        <v>10601</v>
      </c>
      <c r="B599" s="4" t="str">
        <f>C599 &amp; " -&gt; " &amp; D599</f>
        <v>principal-process-steward -&gt; BindingObservations.StaleAtRunStepKey</v>
      </c>
      <c r="C599" s="3" t="s">
        <v>9772</v>
      </c>
      <c r="D599" s="3" t="s">
        <v>5231</v>
      </c>
      <c r="E599" s="3" t="b">
        <v>1</v>
      </c>
      <c r="F599" s="3" t="b">
        <v>0</v>
      </c>
      <c r="G599" s="3" t="s">
        <v>10003</v>
      </c>
      <c r="H599" s="4" t="str">
        <f>_xlfn.IFNA(IF(((INDEX(RulebookFields!C2:C1898, MATCH(D599,RulebookFields!A2:A1898, 0))="")=TRUE),  "",  INDEX(RulebookFields!C2:C1898, MATCH(D599,RulebookFields!A2:A1898, 0))), "")</f>
        <v>BindingObservations</v>
      </c>
      <c r="I599" s="4" t="str">
        <f>_xlfn.IFNA(IF(((INDEX(RulebookFields!D2:D1898, MATCH(D599,RulebookFields!A2:A1898, 0))="")=TRUE),  "",  INDEX(RulebookFields!D2:D1898, MATCH(D599,RulebookFields!A2:A1898, 0))), "")</f>
        <v>StaleAtRunStepKey</v>
      </c>
      <c r="J599" s="4" t="b">
        <f>_xlfn.IFNA(IF(((INDEX(RulebookFields!I2:I1898, MATCH(D599,RulebookFields!A2:A1898, 0))="")=TRUE),  "",  INDEX(RulebookFields!I2:I1898, MATCH(D599,RulebookFields!A2:A1898, 0))), "")</f>
        <v>1</v>
      </c>
      <c r="K599" s="4" t="b">
        <f>AND(((F599)=TRUE), ((J599)=TRUE))</f>
        <v>0</v>
      </c>
      <c r="L599" s="4" t="b">
        <f>AND(((G599 &lt;&gt; "plain")=TRUE), ((G599 &lt;&gt; "")=TRUE))</f>
        <v>0</v>
      </c>
      <c r="M599" s="4" t="str">
        <f>IF(((E599)=TRUE),  C599 &amp; "|" &amp; H599,  "")</f>
        <v>principal-process-steward|BindingObservations</v>
      </c>
      <c r="N599" s="3" t="s">
        <v>10004</v>
      </c>
    </row>
    <row r="600">
      <c r="A600" s="3" t="s">
        <v>10602</v>
      </c>
      <c r="B600" s="4" t="str">
        <f>C600 &amp; " -&gt; " &amp; D600</f>
        <v>principal-process-steward -&gt; ChangeRequests.ChangeRequestId</v>
      </c>
      <c r="C600" s="3" t="s">
        <v>9772</v>
      </c>
      <c r="D600" s="3" t="s">
        <v>3913</v>
      </c>
      <c r="E600" s="3" t="b">
        <v>1</v>
      </c>
      <c r="F600" s="3" t="b">
        <v>0</v>
      </c>
      <c r="G600" s="3" t="s">
        <v>10003</v>
      </c>
      <c r="H600" s="4" t="str">
        <f>_xlfn.IFNA(IF(((INDEX(RulebookFields!C2:C1898, MATCH(D600,RulebookFields!A2:A1898, 0))="")=TRUE),  "",  INDEX(RulebookFields!C2:C1898, MATCH(D600,RulebookFields!A2:A1898, 0))), "")</f>
        <v>ChangeRequests</v>
      </c>
      <c r="I600" s="4" t="str">
        <f>_xlfn.IFNA(IF(((INDEX(RulebookFields!D2:D1898, MATCH(D600,RulebookFields!A2:A1898, 0))="")=TRUE),  "",  INDEX(RulebookFields!D2:D1898, MATCH(D600,RulebookFields!A2:A1898, 0))), "")</f>
        <v>ChangeRequestId</v>
      </c>
      <c r="J600" s="4" t="b">
        <f>_xlfn.IFNA(IF(((INDEX(RulebookFields!I2:I1898, MATCH(D600,RulebookFields!A2:A1898, 0))="")=TRUE),  "",  INDEX(RulebookFields!I2:I1898, MATCH(D600,RulebookFields!A2:A1898, 0))), "")</f>
        <v>0</v>
      </c>
      <c r="K600" s="4" t="b">
        <f>AND(((F600)=TRUE), ((J600)=TRUE))</f>
        <v>0</v>
      </c>
      <c r="L600" s="4" t="b">
        <f>AND(((G600 &lt;&gt; "plain")=TRUE), ((G600 &lt;&gt; "")=TRUE))</f>
        <v>0</v>
      </c>
      <c r="M600" s="4" t="str">
        <f>IF(((E600)=TRUE),  C600 &amp; "|" &amp; H600,  "")</f>
        <v>principal-process-steward|ChangeRequests</v>
      </c>
      <c r="N600" s="3" t="s">
        <v>10004</v>
      </c>
    </row>
    <row r="601">
      <c r="A601" s="3" t="s">
        <v>10603</v>
      </c>
      <c r="B601" s="4" t="str">
        <f>C601 &amp; " -&gt; " &amp; D601</f>
        <v>principal-process-steward -&gt; ChangeRequests.Name</v>
      </c>
      <c r="C601" s="3" t="s">
        <v>9772</v>
      </c>
      <c r="D601" s="3" t="s">
        <v>3915</v>
      </c>
      <c r="E601" s="3" t="b">
        <v>1</v>
      </c>
      <c r="F601" s="3" t="b">
        <v>0</v>
      </c>
      <c r="G601" s="3" t="s">
        <v>10003</v>
      </c>
      <c r="H601" s="4" t="str">
        <f>_xlfn.IFNA(IF(((INDEX(RulebookFields!C2:C1898, MATCH(D601,RulebookFields!A2:A1898, 0))="")=TRUE),  "",  INDEX(RulebookFields!C2:C1898, MATCH(D601,RulebookFields!A2:A1898, 0))), "")</f>
        <v>ChangeRequests</v>
      </c>
      <c r="I601" s="4" t="str">
        <f>_xlfn.IFNA(IF(((INDEX(RulebookFields!D2:D1898, MATCH(D601,RulebookFields!A2:A1898, 0))="")=TRUE),  "",  INDEX(RulebookFields!D2:D1898, MATCH(D601,RulebookFields!A2:A1898, 0))), "")</f>
        <v>Name</v>
      </c>
      <c r="J601" s="4" t="b">
        <f>_xlfn.IFNA(IF(((INDEX(RulebookFields!I2:I1898, MATCH(D601,RulebookFields!A2:A1898, 0))="")=TRUE),  "",  INDEX(RulebookFields!I2:I1898, MATCH(D601,RulebookFields!A2:A1898, 0))), "")</f>
        <v>1</v>
      </c>
      <c r="K601" s="4" t="b">
        <f>AND(((F601)=TRUE), ((J601)=TRUE))</f>
        <v>0</v>
      </c>
      <c r="L601" s="4" t="b">
        <f>AND(((G601 &lt;&gt; "plain")=TRUE), ((G601 &lt;&gt; "")=TRUE))</f>
        <v>0</v>
      </c>
      <c r="M601" s="4" t="str">
        <f>IF(((E601)=TRUE),  C601 &amp; "|" &amp; H601,  "")</f>
        <v>principal-process-steward|ChangeRequests</v>
      </c>
      <c r="N601" s="3" t="s">
        <v>10004</v>
      </c>
    </row>
    <row r="602">
      <c r="A602" s="3" t="s">
        <v>10604</v>
      </c>
      <c r="B602" s="4" t="str">
        <f>C602 &amp; " -&gt; " &amp; D602</f>
        <v>principal-process-steward -&gt; ChangeRequests.ProcedureVersion</v>
      </c>
      <c r="C602" s="3" t="s">
        <v>9772</v>
      </c>
      <c r="D602" s="3" t="s">
        <v>3916</v>
      </c>
      <c r="E602" s="3" t="b">
        <v>1</v>
      </c>
      <c r="F602" s="3" t="b">
        <v>0</v>
      </c>
      <c r="G602" s="3" t="s">
        <v>10003</v>
      </c>
      <c r="H602" s="4" t="str">
        <f>_xlfn.IFNA(IF(((INDEX(RulebookFields!C2:C1898, MATCH(D602,RulebookFields!A2:A1898, 0))="")=TRUE),  "",  INDEX(RulebookFields!C2:C1898, MATCH(D602,RulebookFields!A2:A1898, 0))), "")</f>
        <v>ChangeRequests</v>
      </c>
      <c r="I602" s="4" t="str">
        <f>_xlfn.IFNA(IF(((INDEX(RulebookFields!D2:D1898, MATCH(D602,RulebookFields!A2:A1898, 0))="")=TRUE),  "",  INDEX(RulebookFields!D2:D1898, MATCH(D602,RulebookFields!A2:A1898, 0))), "")</f>
        <v>ProcedureVersion</v>
      </c>
      <c r="J602" s="4" t="b">
        <f>_xlfn.IFNA(IF(((INDEX(RulebookFields!I2:I1898, MATCH(D602,RulebookFields!A2:A1898, 0))="")=TRUE),  "",  INDEX(RulebookFields!I2:I1898, MATCH(D602,RulebookFields!A2:A1898, 0))), "")</f>
        <v>0</v>
      </c>
      <c r="K602" s="4" t="b">
        <f>AND(((F602)=TRUE), ((J602)=TRUE))</f>
        <v>0</v>
      </c>
      <c r="L602" s="4" t="b">
        <f>AND(((G602 &lt;&gt; "plain")=TRUE), ((G602 &lt;&gt; "")=TRUE))</f>
        <v>0</v>
      </c>
      <c r="M602" s="4" t="str">
        <f>IF(((E602)=TRUE),  C602 &amp; "|" &amp; H602,  "")</f>
        <v>principal-process-steward|ChangeRequests</v>
      </c>
      <c r="N602" s="3" t="s">
        <v>10004</v>
      </c>
    </row>
    <row r="603">
      <c r="A603" s="3" t="s">
        <v>10605</v>
      </c>
      <c r="B603" s="4" t="str">
        <f>C603 &amp; " -&gt; " &amp; D603</f>
        <v>principal-process-steward -&gt; ChangeRequests.Title</v>
      </c>
      <c r="C603" s="3" t="s">
        <v>9772</v>
      </c>
      <c r="D603" s="3" t="s">
        <v>3917</v>
      </c>
      <c r="E603" s="3" t="b">
        <v>1</v>
      </c>
      <c r="F603" s="3" t="b">
        <v>0</v>
      </c>
      <c r="G603" s="3" t="s">
        <v>10003</v>
      </c>
      <c r="H603" s="4" t="str">
        <f>_xlfn.IFNA(IF(((INDEX(RulebookFields!C2:C1898, MATCH(D603,RulebookFields!A2:A1898, 0))="")=TRUE),  "",  INDEX(RulebookFields!C2:C1898, MATCH(D603,RulebookFields!A2:A1898, 0))), "")</f>
        <v>ChangeRequests</v>
      </c>
      <c r="I603" s="4" t="str">
        <f>_xlfn.IFNA(IF(((INDEX(RulebookFields!D2:D1898, MATCH(D603,RulebookFields!A2:A1898, 0))="")=TRUE),  "",  INDEX(RulebookFields!D2:D1898, MATCH(D603,RulebookFields!A2:A1898, 0))), "")</f>
        <v>Title</v>
      </c>
      <c r="J603" s="4" t="b">
        <f>_xlfn.IFNA(IF(((INDEX(RulebookFields!I2:I1898, MATCH(D603,RulebookFields!A2:A1898, 0))="")=TRUE),  "",  INDEX(RulebookFields!I2:I1898, MATCH(D603,RulebookFields!A2:A1898, 0))), "")</f>
        <v>0</v>
      </c>
      <c r="K603" s="4" t="b">
        <f>AND(((F603)=TRUE), ((J603)=TRUE))</f>
        <v>0</v>
      </c>
      <c r="L603" s="4" t="b">
        <f>AND(((G603 &lt;&gt; "plain")=TRUE), ((G603 &lt;&gt; "")=TRUE))</f>
        <v>0</v>
      </c>
      <c r="M603" s="4" t="str">
        <f>IF(((E603)=TRUE),  C603 &amp; "|" &amp; H603,  "")</f>
        <v>principal-process-steward|ChangeRequests</v>
      </c>
      <c r="N603" s="3" t="s">
        <v>10004</v>
      </c>
    </row>
    <row r="604">
      <c r="A604" s="3" t="s">
        <v>10606</v>
      </c>
      <c r="B604" s="4" t="str">
        <f>C604 &amp; " -&gt; " &amp; D604</f>
        <v>principal-process-steward -&gt; ChangeRequests.ChangeKind</v>
      </c>
      <c r="C604" s="3" t="s">
        <v>9772</v>
      </c>
      <c r="D604" s="3" t="s">
        <v>3918</v>
      </c>
      <c r="E604" s="3" t="b">
        <v>1</v>
      </c>
      <c r="F604" s="3" t="b">
        <v>0</v>
      </c>
      <c r="G604" s="3" t="s">
        <v>10003</v>
      </c>
      <c r="H604" s="4" t="str">
        <f>_xlfn.IFNA(IF(((INDEX(RulebookFields!C2:C1898, MATCH(D604,RulebookFields!A2:A1898, 0))="")=TRUE),  "",  INDEX(RulebookFields!C2:C1898, MATCH(D604,RulebookFields!A2:A1898, 0))), "")</f>
        <v>ChangeRequests</v>
      </c>
      <c r="I604" s="4" t="str">
        <f>_xlfn.IFNA(IF(((INDEX(RulebookFields!D2:D1898, MATCH(D604,RulebookFields!A2:A1898, 0))="")=TRUE),  "",  INDEX(RulebookFields!D2:D1898, MATCH(D604,RulebookFields!A2:A1898, 0))), "")</f>
        <v>ChangeKind</v>
      </c>
      <c r="J604" s="4" t="b">
        <f>_xlfn.IFNA(IF(((INDEX(RulebookFields!I2:I1898, MATCH(D604,RulebookFields!A2:A1898, 0))="")=TRUE),  "",  INDEX(RulebookFields!I2:I1898, MATCH(D604,RulebookFields!A2:A1898, 0))), "")</f>
        <v>0</v>
      </c>
      <c r="K604" s="4" t="b">
        <f>AND(((F604)=TRUE), ((J604)=TRUE))</f>
        <v>0</v>
      </c>
      <c r="L604" s="4" t="b">
        <f>AND(((G604 &lt;&gt; "plain")=TRUE), ((G604 &lt;&gt; "")=TRUE))</f>
        <v>0</v>
      </c>
      <c r="M604" s="4" t="str">
        <f>IF(((E604)=TRUE),  C604 &amp; "|" &amp; H604,  "")</f>
        <v>principal-process-steward|ChangeRequests</v>
      </c>
      <c r="N604" s="3" t="s">
        <v>10004</v>
      </c>
    </row>
    <row r="605">
      <c r="A605" s="3" t="s">
        <v>10607</v>
      </c>
      <c r="B605" s="4" t="str">
        <f>C605 &amp; " -&gt; " &amp; D605</f>
        <v>principal-process-steward -&gt; ChangeRequests.Status</v>
      </c>
      <c r="C605" s="3" t="s">
        <v>9772</v>
      </c>
      <c r="D605" s="3" t="s">
        <v>3919</v>
      </c>
      <c r="E605" s="3" t="b">
        <v>1</v>
      </c>
      <c r="F605" s="3" t="b">
        <v>0</v>
      </c>
      <c r="G605" s="3" t="s">
        <v>10003</v>
      </c>
      <c r="H605" s="4" t="str">
        <f>_xlfn.IFNA(IF(((INDEX(RulebookFields!C2:C1898, MATCH(D605,RulebookFields!A2:A1898, 0))="")=TRUE),  "",  INDEX(RulebookFields!C2:C1898, MATCH(D605,RulebookFields!A2:A1898, 0))), "")</f>
        <v>ChangeRequests</v>
      </c>
      <c r="I605" s="4" t="str">
        <f>_xlfn.IFNA(IF(((INDEX(RulebookFields!D2:D1898, MATCH(D605,RulebookFields!A2:A1898, 0))="")=TRUE),  "",  INDEX(RulebookFields!D2:D1898, MATCH(D605,RulebookFields!A2:A1898, 0))), "")</f>
        <v>Status</v>
      </c>
      <c r="J605" s="4" t="b">
        <f>_xlfn.IFNA(IF(((INDEX(RulebookFields!I2:I1898, MATCH(D605,RulebookFields!A2:A1898, 0))="")=TRUE),  "",  INDEX(RulebookFields!I2:I1898, MATCH(D605,RulebookFields!A2:A1898, 0))), "")</f>
        <v>0</v>
      </c>
      <c r="K605" s="4" t="b">
        <f>AND(((F605)=TRUE), ((J605)=TRUE))</f>
        <v>0</v>
      </c>
      <c r="L605" s="4" t="b">
        <f>AND(((G605 &lt;&gt; "plain")=TRUE), ((G605 &lt;&gt; "")=TRUE))</f>
        <v>0</v>
      </c>
      <c r="M605" s="4" t="str">
        <f>IF(((E605)=TRUE),  C605 &amp; "|" &amp; H605,  "")</f>
        <v>principal-process-steward|ChangeRequests</v>
      </c>
      <c r="N605" s="3" t="s">
        <v>10004</v>
      </c>
    </row>
    <row r="606">
      <c r="A606" s="3" t="s">
        <v>10608</v>
      </c>
      <c r="B606" s="4" t="str">
        <f>C606 &amp; " -&gt; " &amp; D606</f>
        <v>principal-process-steward -&gt; ChangeRequests.RequestedByAgent</v>
      </c>
      <c r="C606" s="3" t="s">
        <v>9772</v>
      </c>
      <c r="D606" s="3" t="s">
        <v>3920</v>
      </c>
      <c r="E606" s="3" t="b">
        <v>1</v>
      </c>
      <c r="F606" s="3" t="b">
        <v>0</v>
      </c>
      <c r="G606" s="3" t="s">
        <v>10003</v>
      </c>
      <c r="H606" s="4" t="str">
        <f>_xlfn.IFNA(IF(((INDEX(RulebookFields!C2:C1898, MATCH(D606,RulebookFields!A2:A1898, 0))="")=TRUE),  "",  INDEX(RulebookFields!C2:C1898, MATCH(D606,RulebookFields!A2:A1898, 0))), "")</f>
        <v>ChangeRequests</v>
      </c>
      <c r="I606" s="4" t="str">
        <f>_xlfn.IFNA(IF(((INDEX(RulebookFields!D2:D1898, MATCH(D606,RulebookFields!A2:A1898, 0))="")=TRUE),  "",  INDEX(RulebookFields!D2:D1898, MATCH(D606,RulebookFields!A2:A1898, 0))), "")</f>
        <v>RequestedByAgent</v>
      </c>
      <c r="J606" s="4" t="b">
        <f>_xlfn.IFNA(IF(((INDEX(RulebookFields!I2:I1898, MATCH(D606,RulebookFields!A2:A1898, 0))="")=TRUE),  "",  INDEX(RulebookFields!I2:I1898, MATCH(D606,RulebookFields!A2:A1898, 0))), "")</f>
        <v>0</v>
      </c>
      <c r="K606" s="4" t="b">
        <f>AND(((F606)=TRUE), ((J606)=TRUE))</f>
        <v>0</v>
      </c>
      <c r="L606" s="4" t="b">
        <f>AND(((G606 &lt;&gt; "plain")=TRUE), ((G606 &lt;&gt; "")=TRUE))</f>
        <v>0</v>
      </c>
      <c r="M606" s="4" t="str">
        <f>IF(((E606)=TRUE),  C606 &amp; "|" &amp; H606,  "")</f>
        <v>principal-process-steward|ChangeRequests</v>
      </c>
      <c r="N606" s="3" t="s">
        <v>10004</v>
      </c>
    </row>
    <row r="607">
      <c r="A607" s="3" t="s">
        <v>10609</v>
      </c>
      <c r="B607" s="4" t="str">
        <f>C607 &amp; " -&gt; " &amp; D607</f>
        <v>principal-process-steward -&gt; ChangeRequests.AuthorityRole</v>
      </c>
      <c r="C607" s="3" t="s">
        <v>9772</v>
      </c>
      <c r="D607" s="3" t="s">
        <v>3921</v>
      </c>
      <c r="E607" s="3" t="b">
        <v>1</v>
      </c>
      <c r="F607" s="3" t="b">
        <v>0</v>
      </c>
      <c r="G607" s="3" t="s">
        <v>10003</v>
      </c>
      <c r="H607" s="4" t="str">
        <f>_xlfn.IFNA(IF(((INDEX(RulebookFields!C2:C1898, MATCH(D607,RulebookFields!A2:A1898, 0))="")=TRUE),  "",  INDEX(RulebookFields!C2:C1898, MATCH(D607,RulebookFields!A2:A1898, 0))), "")</f>
        <v>ChangeRequests</v>
      </c>
      <c r="I607" s="4" t="str">
        <f>_xlfn.IFNA(IF(((INDEX(RulebookFields!D2:D1898, MATCH(D607,RulebookFields!A2:A1898, 0))="")=TRUE),  "",  INDEX(RulebookFields!D2:D1898, MATCH(D607,RulebookFields!A2:A1898, 0))), "")</f>
        <v>AuthorityRole</v>
      </c>
      <c r="J607" s="4" t="b">
        <f>_xlfn.IFNA(IF(((INDEX(RulebookFields!I2:I1898, MATCH(D607,RulebookFields!A2:A1898, 0))="")=TRUE),  "",  INDEX(RulebookFields!I2:I1898, MATCH(D607,RulebookFields!A2:A1898, 0))), "")</f>
        <v>0</v>
      </c>
      <c r="K607" s="4" t="b">
        <f>AND(((F607)=TRUE), ((J607)=TRUE))</f>
        <v>0</v>
      </c>
      <c r="L607" s="4" t="b">
        <f>AND(((G607 &lt;&gt; "plain")=TRUE), ((G607 &lt;&gt; "")=TRUE))</f>
        <v>0</v>
      </c>
      <c r="M607" s="4" t="str">
        <f>IF(((E607)=TRUE),  C607 &amp; "|" &amp; H607,  "")</f>
        <v>principal-process-steward|ChangeRequests</v>
      </c>
      <c r="N607" s="3" t="s">
        <v>10004</v>
      </c>
    </row>
    <row r="608">
      <c r="A608" s="3" t="s">
        <v>10610</v>
      </c>
      <c r="B608" s="4" t="str">
        <f>C608 &amp; " -&gt; " &amp; D608</f>
        <v>principal-process-steward -&gt; ChangeRequests.RequestedAt</v>
      </c>
      <c r="C608" s="3" t="s">
        <v>9772</v>
      </c>
      <c r="D608" s="3" t="s">
        <v>3922</v>
      </c>
      <c r="E608" s="3" t="b">
        <v>1</v>
      </c>
      <c r="F608" s="3" t="b">
        <v>0</v>
      </c>
      <c r="G608" s="3" t="s">
        <v>10003</v>
      </c>
      <c r="H608" s="4" t="str">
        <f>_xlfn.IFNA(IF(((INDEX(RulebookFields!C2:C1898, MATCH(D608,RulebookFields!A2:A1898, 0))="")=TRUE),  "",  INDEX(RulebookFields!C2:C1898, MATCH(D608,RulebookFields!A2:A1898, 0))), "")</f>
        <v>ChangeRequests</v>
      </c>
      <c r="I608" s="4" t="str">
        <f>_xlfn.IFNA(IF(((INDEX(RulebookFields!D2:D1898, MATCH(D608,RulebookFields!A2:A1898, 0))="")=TRUE),  "",  INDEX(RulebookFields!D2:D1898, MATCH(D608,RulebookFields!A2:A1898, 0))), "")</f>
        <v>RequestedAt</v>
      </c>
      <c r="J608" s="4" t="b">
        <f>_xlfn.IFNA(IF(((INDEX(RulebookFields!I2:I1898, MATCH(D608,RulebookFields!A2:A1898, 0))="")=TRUE),  "",  INDEX(RulebookFields!I2:I1898, MATCH(D608,RulebookFields!A2:A1898, 0))), "")</f>
        <v>0</v>
      </c>
      <c r="K608" s="4" t="b">
        <f>AND(((F608)=TRUE), ((J608)=TRUE))</f>
        <v>0</v>
      </c>
      <c r="L608" s="4" t="b">
        <f>AND(((G608 &lt;&gt; "plain")=TRUE), ((G608 &lt;&gt; "")=TRUE))</f>
        <v>0</v>
      </c>
      <c r="M608" s="4" t="str">
        <f>IF(((E608)=TRUE),  C608 &amp; "|" &amp; H608,  "")</f>
        <v>principal-process-steward|ChangeRequests</v>
      </c>
      <c r="N608" s="3" t="s">
        <v>10004</v>
      </c>
    </row>
    <row r="609">
      <c r="A609" s="3" t="s">
        <v>10611</v>
      </c>
      <c r="B609" s="4" t="str">
        <f>C609 &amp; " -&gt; " &amp; D609</f>
        <v>principal-process-steward -&gt; ChangeRequests.DecidedAt</v>
      </c>
      <c r="C609" s="3" t="s">
        <v>9772</v>
      </c>
      <c r="D609" s="3" t="s">
        <v>3923</v>
      </c>
      <c r="E609" s="3" t="b">
        <v>1</v>
      </c>
      <c r="F609" s="3" t="b">
        <v>0</v>
      </c>
      <c r="G609" s="3" t="s">
        <v>10003</v>
      </c>
      <c r="H609" s="4" t="str">
        <f>_xlfn.IFNA(IF(((INDEX(RulebookFields!C2:C1898, MATCH(D609,RulebookFields!A2:A1898, 0))="")=TRUE),  "",  INDEX(RulebookFields!C2:C1898, MATCH(D609,RulebookFields!A2:A1898, 0))), "")</f>
        <v>ChangeRequests</v>
      </c>
      <c r="I609" s="4" t="str">
        <f>_xlfn.IFNA(IF(((INDEX(RulebookFields!D2:D1898, MATCH(D609,RulebookFields!A2:A1898, 0))="")=TRUE),  "",  INDEX(RulebookFields!D2:D1898, MATCH(D609,RulebookFields!A2:A1898, 0))), "")</f>
        <v>DecidedAt</v>
      </c>
      <c r="J609" s="4" t="b">
        <f>_xlfn.IFNA(IF(((INDEX(RulebookFields!I2:I1898, MATCH(D609,RulebookFields!A2:A1898, 0))="")=TRUE),  "",  INDEX(RulebookFields!I2:I1898, MATCH(D609,RulebookFields!A2:A1898, 0))), "")</f>
        <v>0</v>
      </c>
      <c r="K609" s="4" t="b">
        <f>AND(((F609)=TRUE), ((J609)=TRUE))</f>
        <v>0</v>
      </c>
      <c r="L609" s="4" t="b">
        <f>AND(((G609 &lt;&gt; "plain")=TRUE), ((G609 &lt;&gt; "")=TRUE))</f>
        <v>0</v>
      </c>
      <c r="M609" s="4" t="str">
        <f>IF(((E609)=TRUE),  C609 &amp; "|" &amp; H609,  "")</f>
        <v>principal-process-steward|ChangeRequests</v>
      </c>
      <c r="N609" s="3" t="s">
        <v>10004</v>
      </c>
    </row>
    <row r="610">
      <c r="A610" s="3" t="s">
        <v>10612</v>
      </c>
      <c r="B610" s="4" t="str">
        <f>C610 &amp; " -&gt; " &amp; D610</f>
        <v>principal-process-steward -&gt; ChangeRequests.ImpactAssessment</v>
      </c>
      <c r="C610" s="3" t="s">
        <v>9772</v>
      </c>
      <c r="D610" s="3" t="s">
        <v>3924</v>
      </c>
      <c r="E610" s="3" t="b">
        <v>1</v>
      </c>
      <c r="F610" s="3" t="b">
        <v>0</v>
      </c>
      <c r="G610" s="3" t="s">
        <v>10003</v>
      </c>
      <c r="H610" s="4" t="str">
        <f>_xlfn.IFNA(IF(((INDEX(RulebookFields!C2:C1898, MATCH(D610,RulebookFields!A2:A1898, 0))="")=TRUE),  "",  INDEX(RulebookFields!C2:C1898, MATCH(D610,RulebookFields!A2:A1898, 0))), "")</f>
        <v>ChangeRequests</v>
      </c>
      <c r="I610" s="4" t="str">
        <f>_xlfn.IFNA(IF(((INDEX(RulebookFields!D2:D1898, MATCH(D610,RulebookFields!A2:A1898, 0))="")=TRUE),  "",  INDEX(RulebookFields!D2:D1898, MATCH(D610,RulebookFields!A2:A1898, 0))), "")</f>
        <v>ImpactAssessment</v>
      </c>
      <c r="J610" s="4" t="b">
        <f>_xlfn.IFNA(IF(((INDEX(RulebookFields!I2:I1898, MATCH(D610,RulebookFields!A2:A1898, 0))="")=TRUE),  "",  INDEX(RulebookFields!I2:I1898, MATCH(D610,RulebookFields!A2:A1898, 0))), "")</f>
        <v>0</v>
      </c>
      <c r="K610" s="4" t="b">
        <f>AND(((F610)=TRUE), ((J610)=TRUE))</f>
        <v>0</v>
      </c>
      <c r="L610" s="4" t="b">
        <f>AND(((G610 &lt;&gt; "plain")=TRUE), ((G610 &lt;&gt; "")=TRUE))</f>
        <v>0</v>
      </c>
      <c r="M610" s="4" t="str">
        <f>IF(((E610)=TRUE),  C610 &amp; "|" &amp; H610,  "")</f>
        <v>principal-process-steward|ChangeRequests</v>
      </c>
      <c r="N610" s="3" t="s">
        <v>10004</v>
      </c>
    </row>
    <row r="611">
      <c r="A611" s="3" t="s">
        <v>10613</v>
      </c>
      <c r="B611" s="4" t="str">
        <f>C611 &amp; " -&gt; " &amp; D611</f>
        <v>principal-process-steward -&gt; ChangeRequests.IsOpen</v>
      </c>
      <c r="C611" s="3" t="s">
        <v>9772</v>
      </c>
      <c r="D611" s="3" t="s">
        <v>3925</v>
      </c>
      <c r="E611" s="3" t="b">
        <v>1</v>
      </c>
      <c r="F611" s="3" t="b">
        <v>0</v>
      </c>
      <c r="G611" s="3" t="s">
        <v>10003</v>
      </c>
      <c r="H611" s="4" t="str">
        <f>_xlfn.IFNA(IF(((INDEX(RulebookFields!C2:C1898, MATCH(D611,RulebookFields!A2:A1898, 0))="")=TRUE),  "",  INDEX(RulebookFields!C2:C1898, MATCH(D611,RulebookFields!A2:A1898, 0))), "")</f>
        <v>ChangeRequests</v>
      </c>
      <c r="I611" s="4" t="str">
        <f>_xlfn.IFNA(IF(((INDEX(RulebookFields!D2:D1898, MATCH(D611,RulebookFields!A2:A1898, 0))="")=TRUE),  "",  INDEX(RulebookFields!D2:D1898, MATCH(D611,RulebookFields!A2:A1898, 0))), "")</f>
        <v>IsOpen</v>
      </c>
      <c r="J611" s="4" t="b">
        <f>_xlfn.IFNA(IF(((INDEX(RulebookFields!I2:I1898, MATCH(D611,RulebookFields!A2:A1898, 0))="")=TRUE),  "",  INDEX(RulebookFields!I2:I1898, MATCH(D611,RulebookFields!A2:A1898, 0))), "")</f>
        <v>1</v>
      </c>
      <c r="K611" s="4" t="b">
        <f>AND(((F611)=TRUE), ((J611)=TRUE))</f>
        <v>0</v>
      </c>
      <c r="L611" s="4" t="b">
        <f>AND(((G611 &lt;&gt; "plain")=TRUE), ((G611 &lt;&gt; "")=TRUE))</f>
        <v>0</v>
      </c>
      <c r="M611" s="4" t="str">
        <f>IF(((E611)=TRUE),  C611 &amp; "|" &amp; H611,  "")</f>
        <v>principal-process-steward|ChangeRequests</v>
      </c>
      <c r="N611" s="3" t="s">
        <v>10004</v>
      </c>
    </row>
    <row r="612">
      <c r="A612" s="3" t="s">
        <v>10614</v>
      </c>
      <c r="B612" s="4" t="str">
        <f>C612 &amp; " -&gt; " &amp; D612</f>
        <v>principal-process-steward -&gt; ChangeRequests.OpenChangeVersionKey</v>
      </c>
      <c r="C612" s="3" t="s">
        <v>9772</v>
      </c>
      <c r="D612" s="3" t="s">
        <v>3927</v>
      </c>
      <c r="E612" s="3" t="b">
        <v>1</v>
      </c>
      <c r="F612" s="3" t="b">
        <v>0</v>
      </c>
      <c r="G612" s="3" t="s">
        <v>10003</v>
      </c>
      <c r="H612" s="4" t="str">
        <f>_xlfn.IFNA(IF(((INDEX(RulebookFields!C2:C1898, MATCH(D612,RulebookFields!A2:A1898, 0))="")=TRUE),  "",  INDEX(RulebookFields!C2:C1898, MATCH(D612,RulebookFields!A2:A1898, 0))), "")</f>
        <v>ChangeRequests</v>
      </c>
      <c r="I612" s="4" t="str">
        <f>_xlfn.IFNA(IF(((INDEX(RulebookFields!D2:D1898, MATCH(D612,RulebookFields!A2:A1898, 0))="")=TRUE),  "",  INDEX(RulebookFields!D2:D1898, MATCH(D612,RulebookFields!A2:A1898, 0))), "")</f>
        <v>OpenChangeVersionKey</v>
      </c>
      <c r="J612" s="4" t="b">
        <f>_xlfn.IFNA(IF(((INDEX(RulebookFields!I2:I1898, MATCH(D612,RulebookFields!A2:A1898, 0))="")=TRUE),  "",  INDEX(RulebookFields!I2:I1898, MATCH(D612,RulebookFields!A2:A1898, 0))), "")</f>
        <v>1</v>
      </c>
      <c r="K612" s="4" t="b">
        <f>AND(((F612)=TRUE), ((J612)=TRUE))</f>
        <v>0</v>
      </c>
      <c r="L612" s="4" t="b">
        <f>AND(((G612 &lt;&gt; "plain")=TRUE), ((G612 &lt;&gt; "")=TRUE))</f>
        <v>0</v>
      </c>
      <c r="M612" s="4" t="str">
        <f>IF(((E612)=TRUE),  C612 &amp; "|" &amp; H612,  "")</f>
        <v>principal-process-steward|ChangeRequests</v>
      </c>
      <c r="N612" s="3" t="s">
        <v>10004</v>
      </c>
    </row>
    <row r="613">
      <c r="A613" s="3" t="s">
        <v>10615</v>
      </c>
      <c r="B613" s="4" t="str">
        <f>C613 &amp; " -&gt; " &amp; D613</f>
        <v>principal-process-steward -&gt; ChangeRequests.IsDecided</v>
      </c>
      <c r="C613" s="3" t="s">
        <v>9772</v>
      </c>
      <c r="D613" s="3" t="s">
        <v>3929</v>
      </c>
      <c r="E613" s="3" t="b">
        <v>1</v>
      </c>
      <c r="F613" s="3" t="b">
        <v>0</v>
      </c>
      <c r="G613" s="3" t="s">
        <v>10003</v>
      </c>
      <c r="H613" s="4" t="str">
        <f>_xlfn.IFNA(IF(((INDEX(RulebookFields!C2:C1898, MATCH(D613,RulebookFields!A2:A1898, 0))="")=TRUE),  "",  INDEX(RulebookFields!C2:C1898, MATCH(D613,RulebookFields!A2:A1898, 0))), "")</f>
        <v>ChangeRequests</v>
      </c>
      <c r="I613" s="4" t="str">
        <f>_xlfn.IFNA(IF(((INDEX(RulebookFields!D2:D1898, MATCH(D613,RulebookFields!A2:A1898, 0))="")=TRUE),  "",  INDEX(RulebookFields!D2:D1898, MATCH(D613,RulebookFields!A2:A1898, 0))), "")</f>
        <v>IsDecided</v>
      </c>
      <c r="J613" s="4" t="b">
        <f>_xlfn.IFNA(IF(((INDEX(RulebookFields!I2:I1898, MATCH(D613,RulebookFields!A2:A1898, 0))="")=TRUE),  "",  INDEX(RulebookFields!I2:I1898, MATCH(D613,RulebookFields!A2:A1898, 0))), "")</f>
        <v>1</v>
      </c>
      <c r="K613" s="4" t="b">
        <f>AND(((F613)=TRUE), ((J613)=TRUE))</f>
        <v>0</v>
      </c>
      <c r="L613" s="4" t="b">
        <f>AND(((G613 &lt;&gt; "plain")=TRUE), ((G613 &lt;&gt; "")=TRUE))</f>
        <v>0</v>
      </c>
      <c r="M613" s="4" t="str">
        <f>IF(((E613)=TRUE),  C613 &amp; "|" &amp; H613,  "")</f>
        <v>principal-process-steward|ChangeRequests</v>
      </c>
      <c r="N613" s="3" t="s">
        <v>10004</v>
      </c>
    </row>
    <row r="614">
      <c r="A614" s="3" t="s">
        <v>10616</v>
      </c>
      <c r="B614" s="4" t="str">
        <f>C614 &amp; " -&gt; " &amp; D614</f>
        <v>principal-process-steward -&gt; ChangeRequests.EvaluationContext</v>
      </c>
      <c r="C614" s="3" t="s">
        <v>9772</v>
      </c>
      <c r="D614" s="3" t="s">
        <v>3931</v>
      </c>
      <c r="E614" s="3" t="b">
        <v>1</v>
      </c>
      <c r="F614" s="3" t="b">
        <v>0</v>
      </c>
      <c r="G614" s="3" t="s">
        <v>10003</v>
      </c>
      <c r="H614" s="4" t="str">
        <f>_xlfn.IFNA(IF(((INDEX(RulebookFields!C2:C1898, MATCH(D614,RulebookFields!A2:A1898, 0))="")=TRUE),  "",  INDEX(RulebookFields!C2:C1898, MATCH(D614,RulebookFields!A2:A1898, 0))), "")</f>
        <v>ChangeRequests</v>
      </c>
      <c r="I614" s="4" t="str">
        <f>_xlfn.IFNA(IF(((INDEX(RulebookFields!D2:D1898, MATCH(D614,RulebookFields!A2:A1898, 0))="")=TRUE),  "",  INDEX(RulebookFields!D2:D1898, MATCH(D614,RulebookFields!A2:A1898, 0))), "")</f>
        <v>EvaluationContext</v>
      </c>
      <c r="J614" s="4" t="b">
        <f>_xlfn.IFNA(IF(((INDEX(RulebookFields!I2:I1898, MATCH(D614,RulebookFields!A2:A1898, 0))="")=TRUE),  "",  INDEX(RulebookFields!I2:I1898, MATCH(D614,RulebookFields!A2:A1898, 0))), "")</f>
        <v>0</v>
      </c>
      <c r="K614" s="4" t="b">
        <f>AND(((F614)=TRUE), ((J614)=TRUE))</f>
        <v>0</v>
      </c>
      <c r="L614" s="4" t="b">
        <f>AND(((G614 &lt;&gt; "plain")=TRUE), ((G614 &lt;&gt; "")=TRUE))</f>
        <v>0</v>
      </c>
      <c r="M614" s="4" t="str">
        <f>IF(((E614)=TRUE),  C614 &amp; "|" &amp; H614,  "")</f>
        <v>principal-process-steward|ChangeRequests</v>
      </c>
      <c r="N614" s="3" t="s">
        <v>10004</v>
      </c>
    </row>
    <row r="615">
      <c r="A615" s="3" t="s">
        <v>10617</v>
      </c>
      <c r="B615" s="4" t="str">
        <f>C615 &amp; " -&gt; " &amp; D615</f>
        <v>principal-process-steward -&gt; ChangeRequests.AsOfInstant</v>
      </c>
      <c r="C615" s="3" t="s">
        <v>9772</v>
      </c>
      <c r="D615" s="3" t="s">
        <v>3932</v>
      </c>
      <c r="E615" s="3" t="b">
        <v>1</v>
      </c>
      <c r="F615" s="3" t="b">
        <v>0</v>
      </c>
      <c r="G615" s="3" t="s">
        <v>10003</v>
      </c>
      <c r="H615" s="4" t="str">
        <f>_xlfn.IFNA(IF(((INDEX(RulebookFields!C2:C1898, MATCH(D615,RulebookFields!A2:A1898, 0))="")=TRUE),  "",  INDEX(RulebookFields!C2:C1898, MATCH(D615,RulebookFields!A2:A1898, 0))), "")</f>
        <v>ChangeRequests</v>
      </c>
      <c r="I615" s="4" t="str">
        <f>_xlfn.IFNA(IF(((INDEX(RulebookFields!D2:D1898, MATCH(D615,RulebookFields!A2:A1898, 0))="")=TRUE),  "",  INDEX(RulebookFields!D2:D1898, MATCH(D615,RulebookFields!A2:A1898, 0))), "")</f>
        <v>AsOfInstant</v>
      </c>
      <c r="J615" s="4" t="b">
        <f>_xlfn.IFNA(IF(((INDEX(RulebookFields!I2:I1898, MATCH(D615,RulebookFields!A2:A1898, 0))="")=TRUE),  "",  INDEX(RulebookFields!I2:I1898, MATCH(D615,RulebookFields!A2:A1898, 0))), "")</f>
        <v>1</v>
      </c>
      <c r="K615" s="4" t="b">
        <f>AND(((F615)=TRUE), ((J615)=TRUE))</f>
        <v>0</v>
      </c>
      <c r="L615" s="4" t="b">
        <f>AND(((G615 &lt;&gt; "plain")=TRUE), ((G615 &lt;&gt; "")=TRUE))</f>
        <v>0</v>
      </c>
      <c r="M615" s="4" t="str">
        <f>IF(((E615)=TRUE),  C615 &amp; "|" &amp; H615,  "")</f>
        <v>principal-process-steward|ChangeRequests</v>
      </c>
      <c r="N615" s="3" t="s">
        <v>10004</v>
      </c>
    </row>
    <row r="616">
      <c r="A616" s="3" t="s">
        <v>10618</v>
      </c>
      <c r="B616" s="4" t="str">
        <f>C616 &amp; " -&gt; " &amp; D616</f>
        <v>principal-process-steward -&gt; ChangeRequests.DaysPending</v>
      </c>
      <c r="C616" s="3" t="s">
        <v>9772</v>
      </c>
      <c r="D616" s="3" t="s">
        <v>3933</v>
      </c>
      <c r="E616" s="3" t="b">
        <v>1</v>
      </c>
      <c r="F616" s="3" t="b">
        <v>0</v>
      </c>
      <c r="G616" s="3" t="s">
        <v>10003</v>
      </c>
      <c r="H616" s="4" t="str">
        <f>_xlfn.IFNA(IF(((INDEX(RulebookFields!C2:C1898, MATCH(D616,RulebookFields!A2:A1898, 0))="")=TRUE),  "",  INDEX(RulebookFields!C2:C1898, MATCH(D616,RulebookFields!A2:A1898, 0))), "")</f>
        <v>ChangeRequests</v>
      </c>
      <c r="I616" s="4" t="str">
        <f>_xlfn.IFNA(IF(((INDEX(RulebookFields!D2:D1898, MATCH(D616,RulebookFields!A2:A1898, 0))="")=TRUE),  "",  INDEX(RulebookFields!D2:D1898, MATCH(D616,RulebookFields!A2:A1898, 0))), "")</f>
        <v>DaysPending</v>
      </c>
      <c r="J616" s="4" t="b">
        <f>_xlfn.IFNA(IF(((INDEX(RulebookFields!I2:I1898, MATCH(D616,RulebookFields!A2:A1898, 0))="")=TRUE),  "",  INDEX(RulebookFields!I2:I1898, MATCH(D616,RulebookFields!A2:A1898, 0))), "")</f>
        <v>1</v>
      </c>
      <c r="K616" s="4" t="b">
        <f>AND(((F616)=TRUE), ((J616)=TRUE))</f>
        <v>0</v>
      </c>
      <c r="L616" s="4" t="b">
        <f>AND(((G616 &lt;&gt; "plain")=TRUE), ((G616 &lt;&gt; "")=TRUE))</f>
        <v>0</v>
      </c>
      <c r="M616" s="4" t="str">
        <f>IF(((E616)=TRUE),  C616 &amp; "|" &amp; H616,  "")</f>
        <v>principal-process-steward|ChangeRequests</v>
      </c>
      <c r="N616" s="3" t="s">
        <v>10004</v>
      </c>
    </row>
    <row r="617">
      <c r="A617" s="3" t="s">
        <v>10619</v>
      </c>
      <c r="B617" s="4" t="str">
        <f>C617 &amp; " -&gt; " &amp; D617</f>
        <v>principal-process-steward -&gt; ChangeRequests.IsStillPending</v>
      </c>
      <c r="C617" s="3" t="s">
        <v>9772</v>
      </c>
      <c r="D617" s="3" t="s">
        <v>3935</v>
      </c>
      <c r="E617" s="3" t="b">
        <v>1</v>
      </c>
      <c r="F617" s="3" t="b">
        <v>0</v>
      </c>
      <c r="G617" s="3" t="s">
        <v>10003</v>
      </c>
      <c r="H617" s="4" t="str">
        <f>_xlfn.IFNA(IF(((INDEX(RulebookFields!C2:C1898, MATCH(D617,RulebookFields!A2:A1898, 0))="")=TRUE),  "",  INDEX(RulebookFields!C2:C1898, MATCH(D617,RulebookFields!A2:A1898, 0))), "")</f>
        <v>ChangeRequests</v>
      </c>
      <c r="I617" s="4" t="str">
        <f>_xlfn.IFNA(IF(((INDEX(RulebookFields!D2:D1898, MATCH(D617,RulebookFields!A2:A1898, 0))="")=TRUE),  "",  INDEX(RulebookFields!D2:D1898, MATCH(D617,RulebookFields!A2:A1898, 0))), "")</f>
        <v>IsStillPending</v>
      </c>
      <c r="J617" s="4" t="b">
        <f>_xlfn.IFNA(IF(((INDEX(RulebookFields!I2:I1898, MATCH(D617,RulebookFields!A2:A1898, 0))="")=TRUE),  "",  INDEX(RulebookFields!I2:I1898, MATCH(D617,RulebookFields!A2:A1898, 0))), "")</f>
        <v>1</v>
      </c>
      <c r="K617" s="4" t="b">
        <f>AND(((F617)=TRUE), ((J617)=TRUE))</f>
        <v>0</v>
      </c>
      <c r="L617" s="4" t="b">
        <f>AND(((G617 &lt;&gt; "plain")=TRUE), ((G617 &lt;&gt; "")=TRUE))</f>
        <v>0</v>
      </c>
      <c r="M617" s="4" t="str">
        <f>IF(((E617)=TRUE),  C617 &amp; "|" &amp; H617,  "")</f>
        <v>principal-process-steward|ChangeRequests</v>
      </c>
      <c r="N617" s="3" t="s">
        <v>10004</v>
      </c>
    </row>
    <row r="618">
      <c r="A618" s="3" t="s">
        <v>10620</v>
      </c>
      <c r="B618" s="4" t="str">
        <f>C618 &amp; " -&gt; " &amp; D618</f>
        <v>principal-process-steward -&gt; ChangeRequests.IsStalled</v>
      </c>
      <c r="C618" s="3" t="s">
        <v>9772</v>
      </c>
      <c r="D618" s="3" t="s">
        <v>3937</v>
      </c>
      <c r="E618" s="3" t="b">
        <v>1</v>
      </c>
      <c r="F618" s="3" t="b">
        <v>0</v>
      </c>
      <c r="G618" s="3" t="s">
        <v>10003</v>
      </c>
      <c r="H618" s="4" t="str">
        <f>_xlfn.IFNA(IF(((INDEX(RulebookFields!C2:C1898, MATCH(D618,RulebookFields!A2:A1898, 0))="")=TRUE),  "",  INDEX(RulebookFields!C2:C1898, MATCH(D618,RulebookFields!A2:A1898, 0))), "")</f>
        <v>ChangeRequests</v>
      </c>
      <c r="I618" s="4" t="str">
        <f>_xlfn.IFNA(IF(((INDEX(RulebookFields!D2:D1898, MATCH(D618,RulebookFields!A2:A1898, 0))="")=TRUE),  "",  INDEX(RulebookFields!D2:D1898, MATCH(D618,RulebookFields!A2:A1898, 0))), "")</f>
        <v>IsStalled</v>
      </c>
      <c r="J618" s="4" t="b">
        <f>_xlfn.IFNA(IF(((INDEX(RulebookFields!I2:I1898, MATCH(D618,RulebookFields!A2:A1898, 0))="")=TRUE),  "",  INDEX(RulebookFields!I2:I1898, MATCH(D618,RulebookFields!A2:A1898, 0))), "")</f>
        <v>1</v>
      </c>
      <c r="K618" s="4" t="b">
        <f>AND(((F618)=TRUE), ((J618)=TRUE))</f>
        <v>0</v>
      </c>
      <c r="L618" s="4" t="b">
        <f>AND(((G618 &lt;&gt; "plain")=TRUE), ((G618 &lt;&gt; "")=TRUE))</f>
        <v>0</v>
      </c>
      <c r="M618" s="4" t="str">
        <f>IF(((E618)=TRUE),  C618 &amp; "|" &amp; H618,  "")</f>
        <v>principal-process-steward|ChangeRequests</v>
      </c>
      <c r="N618" s="3" t="s">
        <v>10004</v>
      </c>
    </row>
    <row r="619">
      <c r="A619" s="3" t="s">
        <v>10621</v>
      </c>
      <c r="B619" s="4" t="str">
        <f>C619 &amp; " -&gt; " &amp; D619</f>
        <v>principal-process-steward -&gt; ChangeRequests.AuthorityAgent</v>
      </c>
      <c r="C619" s="3" t="s">
        <v>9772</v>
      </c>
      <c r="D619" s="3" t="s">
        <v>3939</v>
      </c>
      <c r="E619" s="3" t="b">
        <v>1</v>
      </c>
      <c r="F619" s="3" t="b">
        <v>0</v>
      </c>
      <c r="G619" s="3" t="s">
        <v>10003</v>
      </c>
      <c r="H619" s="4" t="str">
        <f>_xlfn.IFNA(IF(((INDEX(RulebookFields!C2:C1898, MATCH(D619,RulebookFields!A2:A1898, 0))="")=TRUE),  "",  INDEX(RulebookFields!C2:C1898, MATCH(D619,RulebookFields!A2:A1898, 0))), "")</f>
        <v>ChangeRequests</v>
      </c>
      <c r="I619" s="4" t="str">
        <f>_xlfn.IFNA(IF(((INDEX(RulebookFields!D2:D1898, MATCH(D619,RulebookFields!A2:A1898, 0))="")=TRUE),  "",  INDEX(RulebookFields!D2:D1898, MATCH(D619,RulebookFields!A2:A1898, 0))), "")</f>
        <v>AuthorityAgent</v>
      </c>
      <c r="J619" s="4" t="b">
        <f>_xlfn.IFNA(IF(((INDEX(RulebookFields!I2:I1898, MATCH(D619,RulebookFields!A2:A1898, 0))="")=TRUE),  "",  INDEX(RulebookFields!I2:I1898, MATCH(D619,RulebookFields!A2:A1898, 0))), "")</f>
        <v>1</v>
      </c>
      <c r="K619" s="4" t="b">
        <f>AND(((F619)=TRUE), ((J619)=TRUE))</f>
        <v>0</v>
      </c>
      <c r="L619" s="4" t="b">
        <f>AND(((G619 &lt;&gt; "plain")=TRUE), ((G619 &lt;&gt; "")=TRUE))</f>
        <v>0</v>
      </c>
      <c r="M619" s="4" t="str">
        <f>IF(((E619)=TRUE),  C619 &amp; "|" &amp; H619,  "")</f>
        <v>principal-process-steward|ChangeRequests</v>
      </c>
      <c r="N619" s="3" t="s">
        <v>10004</v>
      </c>
    </row>
    <row r="620">
      <c r="A620" s="3" t="s">
        <v>10622</v>
      </c>
      <c r="B620" s="4" t="str">
        <f>C620 &amp; " -&gt; " &amp; D620</f>
        <v>principal-process-steward -&gt; ChangeRequests.RequesterIsAuthority</v>
      </c>
      <c r="C620" s="3" t="s">
        <v>9772</v>
      </c>
      <c r="D620" s="3" t="s">
        <v>3941</v>
      </c>
      <c r="E620" s="3" t="b">
        <v>1</v>
      </c>
      <c r="F620" s="3" t="b">
        <v>0</v>
      </c>
      <c r="G620" s="3" t="s">
        <v>10003</v>
      </c>
      <c r="H620" s="4" t="str">
        <f>_xlfn.IFNA(IF(((INDEX(RulebookFields!C2:C1898, MATCH(D620,RulebookFields!A2:A1898, 0))="")=TRUE),  "",  INDEX(RulebookFields!C2:C1898, MATCH(D620,RulebookFields!A2:A1898, 0))), "")</f>
        <v>ChangeRequests</v>
      </c>
      <c r="I620" s="4" t="str">
        <f>_xlfn.IFNA(IF(((INDEX(RulebookFields!D2:D1898, MATCH(D620,RulebookFields!A2:A1898, 0))="")=TRUE),  "",  INDEX(RulebookFields!D2:D1898, MATCH(D620,RulebookFields!A2:A1898, 0))), "")</f>
        <v>RequesterIsAuthority</v>
      </c>
      <c r="J620" s="4" t="b">
        <f>_xlfn.IFNA(IF(((INDEX(RulebookFields!I2:I1898, MATCH(D620,RulebookFields!A2:A1898, 0))="")=TRUE),  "",  INDEX(RulebookFields!I2:I1898, MATCH(D620,RulebookFields!A2:A1898, 0))), "")</f>
        <v>1</v>
      </c>
      <c r="K620" s="4" t="b">
        <f>AND(((F620)=TRUE), ((J620)=TRUE))</f>
        <v>0</v>
      </c>
      <c r="L620" s="4" t="b">
        <f>AND(((G620 &lt;&gt; "plain")=TRUE), ((G620 &lt;&gt; "")=TRUE))</f>
        <v>0</v>
      </c>
      <c r="M620" s="4" t="str">
        <f>IF(((E620)=TRUE),  C620 &amp; "|" &amp; H620,  "")</f>
        <v>principal-process-steward|ChangeRequests</v>
      </c>
      <c r="N620" s="3" t="s">
        <v>10004</v>
      </c>
    </row>
    <row r="621">
      <c r="A621" s="3" t="s">
        <v>10623</v>
      </c>
      <c r="B621" s="4" t="str">
        <f>C621 &amp; " -&gt; " &amp; D621</f>
        <v>principal-process-steward -&gt; ChangeRequests.AwaitsAuthorityDecision</v>
      </c>
      <c r="C621" s="3" t="s">
        <v>9772</v>
      </c>
      <c r="D621" s="3" t="s">
        <v>3943</v>
      </c>
      <c r="E621" s="3" t="b">
        <v>1</v>
      </c>
      <c r="F621" s="3" t="b">
        <v>0</v>
      </c>
      <c r="G621" s="3" t="s">
        <v>10003</v>
      </c>
      <c r="H621" s="4" t="str">
        <f>_xlfn.IFNA(IF(((INDEX(RulebookFields!C2:C1898, MATCH(D621,RulebookFields!A2:A1898, 0))="")=TRUE),  "",  INDEX(RulebookFields!C2:C1898, MATCH(D621,RulebookFields!A2:A1898, 0))), "")</f>
        <v>ChangeRequests</v>
      </c>
      <c r="I621" s="4" t="str">
        <f>_xlfn.IFNA(IF(((INDEX(RulebookFields!D2:D1898, MATCH(D621,RulebookFields!A2:A1898, 0))="")=TRUE),  "",  INDEX(RulebookFields!D2:D1898, MATCH(D621,RulebookFields!A2:A1898, 0))), "")</f>
        <v>AwaitsAuthorityDecision</v>
      </c>
      <c r="J621" s="4" t="b">
        <f>_xlfn.IFNA(IF(((INDEX(RulebookFields!I2:I1898, MATCH(D621,RulebookFields!A2:A1898, 0))="")=TRUE),  "",  INDEX(RulebookFields!I2:I1898, MATCH(D621,RulebookFields!A2:A1898, 0))), "")</f>
        <v>1</v>
      </c>
      <c r="K621" s="4" t="b">
        <f>AND(((F621)=TRUE), ((J621)=TRUE))</f>
        <v>0</v>
      </c>
      <c r="L621" s="4" t="b">
        <f>AND(((G621 &lt;&gt; "plain")=TRUE), ((G621 &lt;&gt; "")=TRUE))</f>
        <v>0</v>
      </c>
      <c r="M621" s="4" t="str">
        <f>IF(((E621)=TRUE),  C621 &amp; "|" &amp; H621,  "")</f>
        <v>principal-process-steward|ChangeRequests</v>
      </c>
      <c r="N621" s="3" t="s">
        <v>10004</v>
      </c>
    </row>
    <row r="622">
      <c r="A622" s="3" t="s">
        <v>10624</v>
      </c>
      <c r="B622" s="4" t="str">
        <f>C622 &amp; " -&gt; " &amp; D622</f>
        <v>principal-process-steward -&gt; ChangeRequests.AuthorityRoleLabel</v>
      </c>
      <c r="C622" s="3" t="s">
        <v>9772</v>
      </c>
      <c r="D622" s="3" t="s">
        <v>3945</v>
      </c>
      <c r="E622" s="3" t="b">
        <v>1</v>
      </c>
      <c r="F622" s="3" t="b">
        <v>0</v>
      </c>
      <c r="G622" s="3" t="s">
        <v>10003</v>
      </c>
      <c r="H622" s="4" t="str">
        <f>_xlfn.IFNA(IF(((INDEX(RulebookFields!C2:C1898, MATCH(D622,RulebookFields!A2:A1898, 0))="")=TRUE),  "",  INDEX(RulebookFields!C2:C1898, MATCH(D622,RulebookFields!A2:A1898, 0))), "")</f>
        <v>ChangeRequests</v>
      </c>
      <c r="I622" s="4" t="str">
        <f>_xlfn.IFNA(IF(((INDEX(RulebookFields!D2:D1898, MATCH(D622,RulebookFields!A2:A1898, 0))="")=TRUE),  "",  INDEX(RulebookFields!D2:D1898, MATCH(D622,RulebookFields!A2:A1898, 0))), "")</f>
        <v>AuthorityRoleLabel</v>
      </c>
      <c r="J622" s="4" t="b">
        <f>_xlfn.IFNA(IF(((INDEX(RulebookFields!I2:I1898, MATCH(D622,RulebookFields!A2:A1898, 0))="")=TRUE),  "",  INDEX(RulebookFields!I2:I1898, MATCH(D622,RulebookFields!A2:A1898, 0))), "")</f>
        <v>1</v>
      </c>
      <c r="K622" s="4" t="b">
        <f>AND(((F622)=TRUE), ((J622)=TRUE))</f>
        <v>0</v>
      </c>
      <c r="L622" s="4" t="b">
        <f>AND(((G622 &lt;&gt; "plain")=TRUE), ((G622 &lt;&gt; "")=TRUE))</f>
        <v>0</v>
      </c>
      <c r="M622" s="4" t="str">
        <f>IF(((E622)=TRUE),  C622 &amp; "|" &amp; H622,  "")</f>
        <v>principal-process-steward|ChangeRequests</v>
      </c>
      <c r="N622" s="3" t="s">
        <v>10004</v>
      </c>
    </row>
    <row r="623">
      <c r="A623" s="3" t="s">
        <v>10625</v>
      </c>
      <c r="B623" s="4" t="str">
        <f>C623 &amp; " -&gt; " &amp; D623</f>
        <v>principal-process-steward -&gt; ChangeRequests.TouchesLiveVersion</v>
      </c>
      <c r="C623" s="3" t="s">
        <v>9772</v>
      </c>
      <c r="D623" s="3" t="s">
        <v>3947</v>
      </c>
      <c r="E623" s="3" t="b">
        <v>1</v>
      </c>
      <c r="F623" s="3" t="b">
        <v>0</v>
      </c>
      <c r="G623" s="3" t="s">
        <v>10003</v>
      </c>
      <c r="H623" s="4" t="str">
        <f>_xlfn.IFNA(IF(((INDEX(RulebookFields!C2:C1898, MATCH(D623,RulebookFields!A2:A1898, 0))="")=TRUE),  "",  INDEX(RulebookFields!C2:C1898, MATCH(D623,RulebookFields!A2:A1898, 0))), "")</f>
        <v>ChangeRequests</v>
      </c>
      <c r="I623" s="4" t="str">
        <f>_xlfn.IFNA(IF(((INDEX(RulebookFields!D2:D1898, MATCH(D623,RulebookFields!A2:A1898, 0))="")=TRUE),  "",  INDEX(RulebookFields!D2:D1898, MATCH(D623,RulebookFields!A2:A1898, 0))), "")</f>
        <v>TouchesLiveVersion</v>
      </c>
      <c r="J623" s="4" t="b">
        <f>_xlfn.IFNA(IF(((INDEX(RulebookFields!I2:I1898, MATCH(D623,RulebookFields!A2:A1898, 0))="")=TRUE),  "",  INDEX(RulebookFields!I2:I1898, MATCH(D623,RulebookFields!A2:A1898, 0))), "")</f>
        <v>1</v>
      </c>
      <c r="K623" s="4" t="b">
        <f>AND(((F623)=TRUE), ((J623)=TRUE))</f>
        <v>0</v>
      </c>
      <c r="L623" s="4" t="b">
        <f>AND(((G623 &lt;&gt; "plain")=TRUE), ((G623 &lt;&gt; "")=TRUE))</f>
        <v>0</v>
      </c>
      <c r="M623" s="4" t="str">
        <f>IF(((E623)=TRUE),  C623 &amp; "|" &amp; H623,  "")</f>
        <v>principal-process-steward|ChangeRequests</v>
      </c>
      <c r="N623" s="3" t="s">
        <v>10004</v>
      </c>
    </row>
    <row r="624">
      <c r="A624" s="3" t="s">
        <v>10626</v>
      </c>
      <c r="B624" s="4" t="str">
        <f>C624 &amp; " -&gt; " &amp; D624</f>
        <v>principal-process-steward -&gt; ChangeRequests.IsLiveDecisionBacklog</v>
      </c>
      <c r="C624" s="3" t="s">
        <v>9772</v>
      </c>
      <c r="D624" s="3" t="s">
        <v>3948</v>
      </c>
      <c r="E624" s="3" t="b">
        <v>1</v>
      </c>
      <c r="F624" s="3" t="b">
        <v>0</v>
      </c>
      <c r="G624" s="3" t="s">
        <v>10003</v>
      </c>
      <c r="H624" s="4" t="str">
        <f>_xlfn.IFNA(IF(((INDEX(RulebookFields!C2:C1898, MATCH(D624,RulebookFields!A2:A1898, 0))="")=TRUE),  "",  INDEX(RulebookFields!C2:C1898, MATCH(D624,RulebookFields!A2:A1898, 0))), "")</f>
        <v>ChangeRequests</v>
      </c>
      <c r="I624" s="4" t="str">
        <f>_xlfn.IFNA(IF(((INDEX(RulebookFields!D2:D1898, MATCH(D624,RulebookFields!A2:A1898, 0))="")=TRUE),  "",  INDEX(RulebookFields!D2:D1898, MATCH(D624,RulebookFields!A2:A1898, 0))), "")</f>
        <v>IsLiveDecisionBacklog</v>
      </c>
      <c r="J624" s="4" t="b">
        <f>_xlfn.IFNA(IF(((INDEX(RulebookFields!I2:I1898, MATCH(D624,RulebookFields!A2:A1898, 0))="")=TRUE),  "",  INDEX(RulebookFields!I2:I1898, MATCH(D624,RulebookFields!A2:A1898, 0))), "")</f>
        <v>1</v>
      </c>
      <c r="K624" s="4" t="b">
        <f>AND(((F624)=TRUE), ((J624)=TRUE))</f>
        <v>0</v>
      </c>
      <c r="L624" s="4" t="b">
        <f>AND(((G624 &lt;&gt; "plain")=TRUE), ((G624 &lt;&gt; "")=TRUE))</f>
        <v>0</v>
      </c>
      <c r="M624" s="4" t="str">
        <f>IF(((E624)=TRUE),  C624 &amp; "|" &amp; H624,  "")</f>
        <v>principal-process-steward|ChangeRequests</v>
      </c>
      <c r="N624" s="3" t="s">
        <v>10004</v>
      </c>
    </row>
    <row r="625">
      <c r="A625" s="3" t="s">
        <v>10627</v>
      </c>
      <c r="B625" s="4" t="str">
        <f>C625 &amp; " -&gt; " &amp; D625</f>
        <v>principal-process-steward -&gt; ChangeRequests.BlocksAnOpenGap</v>
      </c>
      <c r="C625" s="3" t="s">
        <v>9772</v>
      </c>
      <c r="D625" s="3" t="s">
        <v>3950</v>
      </c>
      <c r="E625" s="3" t="b">
        <v>1</v>
      </c>
      <c r="F625" s="3" t="b">
        <v>0</v>
      </c>
      <c r="G625" s="3" t="s">
        <v>10003</v>
      </c>
      <c r="H625" s="4" t="str">
        <f>_xlfn.IFNA(IF(((INDEX(RulebookFields!C2:C1898, MATCH(D625,RulebookFields!A2:A1898, 0))="")=TRUE),  "",  INDEX(RulebookFields!C2:C1898, MATCH(D625,RulebookFields!A2:A1898, 0))), "")</f>
        <v>ChangeRequests</v>
      </c>
      <c r="I625" s="4" t="str">
        <f>_xlfn.IFNA(IF(((INDEX(RulebookFields!D2:D1898, MATCH(D625,RulebookFields!A2:A1898, 0))="")=TRUE),  "",  INDEX(RulebookFields!D2:D1898, MATCH(D625,RulebookFields!A2:A1898, 0))), "")</f>
        <v>BlocksAnOpenGap</v>
      </c>
      <c r="J625" s="4" t="b">
        <f>_xlfn.IFNA(IF(((INDEX(RulebookFields!I2:I1898, MATCH(D625,RulebookFields!A2:A1898, 0))="")=TRUE),  "",  INDEX(RulebookFields!I2:I1898, MATCH(D625,RulebookFields!A2:A1898, 0))), "")</f>
        <v>1</v>
      </c>
      <c r="K625" s="4" t="b">
        <f>AND(((F625)=TRUE), ((J625)=TRUE))</f>
        <v>0</v>
      </c>
      <c r="L625" s="4" t="b">
        <f>AND(((G625 &lt;&gt; "plain")=TRUE), ((G625 &lt;&gt; "")=TRUE))</f>
        <v>0</v>
      </c>
      <c r="M625" s="4" t="str">
        <f>IF(((E625)=TRUE),  C625 &amp; "|" &amp; H625,  "")</f>
        <v>principal-process-steward|ChangeRequests</v>
      </c>
      <c r="N625" s="3" t="s">
        <v>10004</v>
      </c>
    </row>
    <row r="626">
      <c r="A626" s="3" t="s">
        <v>10628</v>
      </c>
      <c r="B626" s="4" t="str">
        <f>C626 &amp; " -&gt; " &amp; D626</f>
        <v>principal-process-steward -&gt; ChangeRequests.ImplementedAt</v>
      </c>
      <c r="C626" s="3" t="s">
        <v>9772</v>
      </c>
      <c r="D626" s="3" t="s">
        <v>3952</v>
      </c>
      <c r="E626" s="3" t="b">
        <v>1</v>
      </c>
      <c r="F626" s="3" t="b">
        <v>0</v>
      </c>
      <c r="G626" s="3" t="s">
        <v>10003</v>
      </c>
      <c r="H626" s="4" t="str">
        <f>_xlfn.IFNA(IF(((INDEX(RulebookFields!C2:C1898, MATCH(D626,RulebookFields!A2:A1898, 0))="")=TRUE),  "",  INDEX(RulebookFields!C2:C1898, MATCH(D626,RulebookFields!A2:A1898, 0))), "")</f>
        <v>ChangeRequests</v>
      </c>
      <c r="I626" s="4" t="str">
        <f>_xlfn.IFNA(IF(((INDEX(RulebookFields!D2:D1898, MATCH(D626,RulebookFields!A2:A1898, 0))="")=TRUE),  "",  INDEX(RulebookFields!D2:D1898, MATCH(D626,RulebookFields!A2:A1898, 0))), "")</f>
        <v>ImplementedAt</v>
      </c>
      <c r="J626" s="4" t="b">
        <f>_xlfn.IFNA(IF(((INDEX(RulebookFields!I2:I1898, MATCH(D626,RulebookFields!A2:A1898, 0))="")=TRUE),  "",  INDEX(RulebookFields!I2:I1898, MATCH(D626,RulebookFields!A2:A1898, 0))), "")</f>
        <v>0</v>
      </c>
      <c r="K626" s="4" t="b">
        <f>AND(((F626)=TRUE), ((J626)=TRUE))</f>
        <v>0</v>
      </c>
      <c r="L626" s="4" t="b">
        <f>AND(((G626 &lt;&gt; "plain")=TRUE), ((G626 &lt;&gt; "")=TRUE))</f>
        <v>0</v>
      </c>
      <c r="M626" s="4" t="str">
        <f>IF(((E626)=TRUE),  C626 &amp; "|" &amp; H626,  "")</f>
        <v>principal-process-steward|ChangeRequests</v>
      </c>
      <c r="N626" s="3" t="s">
        <v>10004</v>
      </c>
    </row>
    <row r="627">
      <c r="A627" s="3" t="s">
        <v>10629</v>
      </c>
      <c r="B627" s="4" t="str">
        <f>C627 &amp; " -&gt; " &amp; D627</f>
        <v>principal-process-steward -&gt; ChangeRequests.BacklogVersionKey</v>
      </c>
      <c r="C627" s="3" t="s">
        <v>9772</v>
      </c>
      <c r="D627" s="3" t="s">
        <v>3953</v>
      </c>
      <c r="E627" s="3" t="b">
        <v>1</v>
      </c>
      <c r="F627" s="3" t="b">
        <v>0</v>
      </c>
      <c r="G627" s="3" t="s">
        <v>10003</v>
      </c>
      <c r="H627" s="4" t="str">
        <f>_xlfn.IFNA(IF(((INDEX(RulebookFields!C2:C1898, MATCH(D627,RulebookFields!A2:A1898, 0))="")=TRUE),  "",  INDEX(RulebookFields!C2:C1898, MATCH(D627,RulebookFields!A2:A1898, 0))), "")</f>
        <v>ChangeRequests</v>
      </c>
      <c r="I627" s="4" t="str">
        <f>_xlfn.IFNA(IF(((INDEX(RulebookFields!D2:D1898, MATCH(D627,RulebookFields!A2:A1898, 0))="")=TRUE),  "",  INDEX(RulebookFields!D2:D1898, MATCH(D627,RulebookFields!A2:A1898, 0))), "")</f>
        <v>BacklogVersionKey</v>
      </c>
      <c r="J627" s="4" t="b">
        <f>_xlfn.IFNA(IF(((INDEX(RulebookFields!I2:I1898, MATCH(D627,RulebookFields!A2:A1898, 0))="")=TRUE),  "",  INDEX(RulebookFields!I2:I1898, MATCH(D627,RulebookFields!A2:A1898, 0))), "")</f>
        <v>1</v>
      </c>
      <c r="K627" s="4" t="b">
        <f>AND(((F627)=TRUE), ((J627)=TRUE))</f>
        <v>0</v>
      </c>
      <c r="L627" s="4" t="b">
        <f>AND(((G627 &lt;&gt; "plain")=TRUE), ((G627 &lt;&gt; "")=TRUE))</f>
        <v>0</v>
      </c>
      <c r="M627" s="4" t="str">
        <f>IF(((E627)=TRUE),  C627 &amp; "|" &amp; H627,  "")</f>
        <v>principal-process-steward|ChangeRequests</v>
      </c>
      <c r="N627" s="3" t="s">
        <v>10004</v>
      </c>
    </row>
    <row r="628">
      <c r="A628" s="3" t="s">
        <v>10630</v>
      </c>
      <c r="B628" s="4" t="str">
        <f>C628 &amp; " -&gt; " &amp; D628</f>
        <v>principal-process-steward -&gt; ChangeRequests.IsMyPendingDecision</v>
      </c>
      <c r="C628" s="3" t="s">
        <v>9772</v>
      </c>
      <c r="D628" s="3" t="s">
        <v>3955</v>
      </c>
      <c r="E628" s="3" t="b">
        <v>1</v>
      </c>
      <c r="F628" s="3" t="b">
        <v>0</v>
      </c>
      <c r="G628" s="3" t="s">
        <v>10003</v>
      </c>
      <c r="H628" s="4" t="str">
        <f>_xlfn.IFNA(IF(((INDEX(RulebookFields!C2:C1898, MATCH(D628,RulebookFields!A2:A1898, 0))="")=TRUE),  "",  INDEX(RulebookFields!C2:C1898, MATCH(D628,RulebookFields!A2:A1898, 0))), "")</f>
        <v>ChangeRequests</v>
      </c>
      <c r="I628" s="4" t="str">
        <f>_xlfn.IFNA(IF(((INDEX(RulebookFields!D2:D1898, MATCH(D628,RulebookFields!A2:A1898, 0))="")=TRUE),  "",  INDEX(RulebookFields!D2:D1898, MATCH(D628,RulebookFields!A2:A1898, 0))), "")</f>
        <v>IsMyPendingDecision</v>
      </c>
      <c r="J628" s="4" t="b">
        <f>_xlfn.IFNA(IF(((INDEX(RulebookFields!I2:I1898, MATCH(D628,RulebookFields!A2:A1898, 0))="")=TRUE),  "",  INDEX(RulebookFields!I2:I1898, MATCH(D628,RulebookFields!A2:A1898, 0))), "")</f>
        <v>1</v>
      </c>
      <c r="K628" s="4" t="b">
        <f>AND(((F628)=TRUE), ((J628)=TRUE))</f>
        <v>0</v>
      </c>
      <c r="L628" s="4" t="b">
        <f>AND(((G628 &lt;&gt; "plain")=TRUE), ((G628 &lt;&gt; "")=TRUE))</f>
        <v>0</v>
      </c>
      <c r="M628" s="4" t="str">
        <f>IF(((E628)=TRUE),  C628 &amp; "|" &amp; H628,  "")</f>
        <v>principal-process-steward|ChangeRequests</v>
      </c>
      <c r="N628" s="3" t="s">
        <v>10004</v>
      </c>
    </row>
    <row r="629">
      <c r="A629" s="3" t="s">
        <v>10631</v>
      </c>
      <c r="B629" s="4" t="str">
        <f>C629 &amp; " -&gt; " &amp; D629</f>
        <v>principal-process-steward -&gt; ChangeRequests.IsMyBlockingBacklog</v>
      </c>
      <c r="C629" s="3" t="s">
        <v>9772</v>
      </c>
      <c r="D629" s="3" t="s">
        <v>3957</v>
      </c>
      <c r="E629" s="3" t="b">
        <v>1</v>
      </c>
      <c r="F629" s="3" t="b">
        <v>0</v>
      </c>
      <c r="G629" s="3" t="s">
        <v>10003</v>
      </c>
      <c r="H629" s="4" t="str">
        <f>_xlfn.IFNA(IF(((INDEX(RulebookFields!C2:C1898, MATCH(D629,RulebookFields!A2:A1898, 0))="")=TRUE),  "",  INDEX(RulebookFields!C2:C1898, MATCH(D629,RulebookFields!A2:A1898, 0))), "")</f>
        <v>ChangeRequests</v>
      </c>
      <c r="I629" s="4" t="str">
        <f>_xlfn.IFNA(IF(((INDEX(RulebookFields!D2:D1898, MATCH(D629,RulebookFields!A2:A1898, 0))="")=TRUE),  "",  INDEX(RulebookFields!D2:D1898, MATCH(D629,RulebookFields!A2:A1898, 0))), "")</f>
        <v>IsMyBlockingBacklog</v>
      </c>
      <c r="J629" s="4" t="b">
        <f>_xlfn.IFNA(IF(((INDEX(RulebookFields!I2:I1898, MATCH(D629,RulebookFields!A2:A1898, 0))="")=TRUE),  "",  INDEX(RulebookFields!I2:I1898, MATCH(D629,RulebookFields!A2:A1898, 0))), "")</f>
        <v>1</v>
      </c>
      <c r="K629" s="4" t="b">
        <f>AND(((F629)=TRUE), ((J629)=TRUE))</f>
        <v>0</v>
      </c>
      <c r="L629" s="4" t="b">
        <f>AND(((G629 &lt;&gt; "plain")=TRUE), ((G629 &lt;&gt; "")=TRUE))</f>
        <v>0</v>
      </c>
      <c r="M629" s="4" t="str">
        <f>IF(((E629)=TRUE),  C629 &amp; "|" &amp; H629,  "")</f>
        <v>principal-process-steward|ChangeRequests</v>
      </c>
      <c r="N629" s="3" t="s">
        <v>10004</v>
      </c>
    </row>
    <row r="630">
      <c r="A630" s="3" t="s">
        <v>10632</v>
      </c>
      <c r="B630" s="4" t="str">
        <f>C630 &amp; " -&gt; " &amp; D630</f>
        <v>principal-process-steward -&gt; ChangeRequests.IsMyOverdueBacklog</v>
      </c>
      <c r="C630" s="3" t="s">
        <v>9772</v>
      </c>
      <c r="D630" s="3" t="s">
        <v>3959</v>
      </c>
      <c r="E630" s="3" t="b">
        <v>1</v>
      </c>
      <c r="F630" s="3" t="b">
        <v>0</v>
      </c>
      <c r="G630" s="3" t="s">
        <v>10003</v>
      </c>
      <c r="H630" s="4" t="str">
        <f>_xlfn.IFNA(IF(((INDEX(RulebookFields!C2:C1898, MATCH(D630,RulebookFields!A2:A1898, 0))="")=TRUE),  "",  INDEX(RulebookFields!C2:C1898, MATCH(D630,RulebookFields!A2:A1898, 0))), "")</f>
        <v>ChangeRequests</v>
      </c>
      <c r="I630" s="4" t="str">
        <f>_xlfn.IFNA(IF(((INDEX(RulebookFields!D2:D1898, MATCH(D630,RulebookFields!A2:A1898, 0))="")=TRUE),  "",  INDEX(RulebookFields!D2:D1898, MATCH(D630,RulebookFields!A2:A1898, 0))), "")</f>
        <v>IsMyOverdueBacklog</v>
      </c>
      <c r="J630" s="4" t="b">
        <f>_xlfn.IFNA(IF(((INDEX(RulebookFields!I2:I1898, MATCH(D630,RulebookFields!A2:A1898, 0))="")=TRUE),  "",  INDEX(RulebookFields!I2:I1898, MATCH(D630,RulebookFields!A2:A1898, 0))), "")</f>
        <v>1</v>
      </c>
      <c r="K630" s="4" t="b">
        <f>AND(((F630)=TRUE), ((J630)=TRUE))</f>
        <v>0</v>
      </c>
      <c r="L630" s="4" t="b">
        <f>AND(((G630 &lt;&gt; "plain")=TRUE), ((G630 &lt;&gt; "")=TRUE))</f>
        <v>0</v>
      </c>
      <c r="M630" s="4" t="str">
        <f>IF(((E630)=TRUE),  C630 &amp; "|" &amp; H630,  "")</f>
        <v>principal-process-steward|ChangeRequests</v>
      </c>
      <c r="N630" s="3" t="s">
        <v>10004</v>
      </c>
    </row>
    <row r="631">
      <c r="A631" s="3" t="s">
        <v>10633</v>
      </c>
      <c r="B631" s="4" t="str">
        <f>C631 &amp; " -&gt; " &amp; D631</f>
        <v>principal-process-steward -&gt; ChangeRequests.IsImplemented</v>
      </c>
      <c r="C631" s="3" t="s">
        <v>9772</v>
      </c>
      <c r="D631" s="3" t="s">
        <v>3961</v>
      </c>
      <c r="E631" s="3" t="b">
        <v>1</v>
      </c>
      <c r="F631" s="3" t="b">
        <v>0</v>
      </c>
      <c r="G631" s="3" t="s">
        <v>10003</v>
      </c>
      <c r="H631" s="4" t="str">
        <f>_xlfn.IFNA(IF(((INDEX(RulebookFields!C2:C1898, MATCH(D631,RulebookFields!A2:A1898, 0))="")=TRUE),  "",  INDEX(RulebookFields!C2:C1898, MATCH(D631,RulebookFields!A2:A1898, 0))), "")</f>
        <v>ChangeRequests</v>
      </c>
      <c r="I631" s="4" t="str">
        <f>_xlfn.IFNA(IF(((INDEX(RulebookFields!D2:D1898, MATCH(D631,RulebookFields!A2:A1898, 0))="")=TRUE),  "",  INDEX(RulebookFields!D2:D1898, MATCH(D631,RulebookFields!A2:A1898, 0))), "")</f>
        <v>IsImplemented</v>
      </c>
      <c r="J631" s="4" t="b">
        <f>_xlfn.IFNA(IF(((INDEX(RulebookFields!I2:I1898, MATCH(D631,RulebookFields!A2:A1898, 0))="")=TRUE),  "",  INDEX(RulebookFields!I2:I1898, MATCH(D631,RulebookFields!A2:A1898, 0))), "")</f>
        <v>1</v>
      </c>
      <c r="K631" s="4" t="b">
        <f>AND(((F631)=TRUE), ((J631)=TRUE))</f>
        <v>0</v>
      </c>
      <c r="L631" s="4" t="b">
        <f>AND(((G631 &lt;&gt; "plain")=TRUE), ((G631 &lt;&gt; "")=TRUE))</f>
        <v>0</v>
      </c>
      <c r="M631" s="4" t="str">
        <f>IF(((E631)=TRUE),  C631 &amp; "|" &amp; H631,  "")</f>
        <v>principal-process-steward|ChangeRequests</v>
      </c>
      <c r="N631" s="3" t="s">
        <v>10004</v>
      </c>
    </row>
    <row r="632">
      <c r="A632" s="3" t="s">
        <v>10634</v>
      </c>
      <c r="B632" s="4" t="str">
        <f>C632 &amp; " -&gt; " &amp; D632</f>
        <v>principal-process-steward -&gt; ChangeRequests.IsMyDecidedRequest</v>
      </c>
      <c r="C632" s="3" t="s">
        <v>9772</v>
      </c>
      <c r="D632" s="3" t="s">
        <v>3963</v>
      </c>
      <c r="E632" s="3" t="b">
        <v>1</v>
      </c>
      <c r="F632" s="3" t="b">
        <v>0</v>
      </c>
      <c r="G632" s="3" t="s">
        <v>10003</v>
      </c>
      <c r="H632" s="4" t="str">
        <f>_xlfn.IFNA(IF(((INDEX(RulebookFields!C2:C1898, MATCH(D632,RulebookFields!A2:A1898, 0))="")=TRUE),  "",  INDEX(RulebookFields!C2:C1898, MATCH(D632,RulebookFields!A2:A1898, 0))), "")</f>
        <v>ChangeRequests</v>
      </c>
      <c r="I632" s="4" t="str">
        <f>_xlfn.IFNA(IF(((INDEX(RulebookFields!D2:D1898, MATCH(D632,RulebookFields!A2:A1898, 0))="")=TRUE),  "",  INDEX(RulebookFields!D2:D1898, MATCH(D632,RulebookFields!A2:A1898, 0))), "")</f>
        <v>IsMyDecidedRequest</v>
      </c>
      <c r="J632" s="4" t="b">
        <f>_xlfn.IFNA(IF(((INDEX(RulebookFields!I2:I1898, MATCH(D632,RulebookFields!A2:A1898, 0))="")=TRUE),  "",  INDEX(RulebookFields!I2:I1898, MATCH(D632,RulebookFields!A2:A1898, 0))), "")</f>
        <v>1</v>
      </c>
      <c r="K632" s="4" t="b">
        <f>AND(((F632)=TRUE), ((J632)=TRUE))</f>
        <v>0</v>
      </c>
      <c r="L632" s="4" t="b">
        <f>AND(((G632 &lt;&gt; "plain")=TRUE), ((G632 &lt;&gt; "")=TRUE))</f>
        <v>0</v>
      </c>
      <c r="M632" s="4" t="str">
        <f>IF(((E632)=TRUE),  C632 &amp; "|" &amp; H632,  "")</f>
        <v>principal-process-steward|ChangeRequests</v>
      </c>
      <c r="N632" s="3" t="s">
        <v>10004</v>
      </c>
    </row>
    <row r="633">
      <c r="A633" s="3" t="s">
        <v>10635</v>
      </c>
      <c r="B633" s="4" t="str">
        <f>C633 &amp; " -&gt; " &amp; D633</f>
        <v>principal-process-steward -&gt; ChangeRequests.IsMyDecidedButUnlanded</v>
      </c>
      <c r="C633" s="3" t="s">
        <v>9772</v>
      </c>
      <c r="D633" s="3" t="s">
        <v>3965</v>
      </c>
      <c r="E633" s="3" t="b">
        <v>1</v>
      </c>
      <c r="F633" s="3" t="b">
        <v>0</v>
      </c>
      <c r="G633" s="3" t="s">
        <v>10003</v>
      </c>
      <c r="H633" s="4" t="str">
        <f>_xlfn.IFNA(IF(((INDEX(RulebookFields!C2:C1898, MATCH(D633,RulebookFields!A2:A1898, 0))="")=TRUE),  "",  INDEX(RulebookFields!C2:C1898, MATCH(D633,RulebookFields!A2:A1898, 0))), "")</f>
        <v>ChangeRequests</v>
      </c>
      <c r="I633" s="4" t="str">
        <f>_xlfn.IFNA(IF(((INDEX(RulebookFields!D2:D1898, MATCH(D633,RulebookFields!A2:A1898, 0))="")=TRUE),  "",  INDEX(RulebookFields!D2:D1898, MATCH(D633,RulebookFields!A2:A1898, 0))), "")</f>
        <v>IsMyDecidedButUnlanded</v>
      </c>
      <c r="J633" s="4" t="b">
        <f>_xlfn.IFNA(IF(((INDEX(RulebookFields!I2:I1898, MATCH(D633,RulebookFields!A2:A1898, 0))="")=TRUE),  "",  INDEX(RulebookFields!I2:I1898, MATCH(D633,RulebookFields!A2:A1898, 0))), "")</f>
        <v>1</v>
      </c>
      <c r="K633" s="4" t="b">
        <f>AND(((F633)=TRUE), ((J633)=TRUE))</f>
        <v>0</v>
      </c>
      <c r="L633" s="4" t="b">
        <f>AND(((G633 &lt;&gt; "plain")=TRUE), ((G633 &lt;&gt; "")=TRUE))</f>
        <v>0</v>
      </c>
      <c r="M633" s="4" t="str">
        <f>IF(((E633)=TRUE),  C633 &amp; "|" &amp; H633,  "")</f>
        <v>principal-process-steward|ChangeRequests</v>
      </c>
      <c r="N633" s="3" t="s">
        <v>10004</v>
      </c>
    </row>
    <row r="634">
      <c r="A634" s="3" t="s">
        <v>10636</v>
      </c>
      <c r="B634" s="4" t="str">
        <f>C634 &amp; " -&gt; " &amp; D634</f>
        <v>principal-process-steward -&gt; ChangeRequests.DecisionLatencyDays</v>
      </c>
      <c r="C634" s="3" t="s">
        <v>9772</v>
      </c>
      <c r="D634" s="3" t="s">
        <v>3967</v>
      </c>
      <c r="E634" s="3" t="b">
        <v>1</v>
      </c>
      <c r="F634" s="3" t="b">
        <v>0</v>
      </c>
      <c r="G634" s="3" t="s">
        <v>10003</v>
      </c>
      <c r="H634" s="4" t="str">
        <f>_xlfn.IFNA(IF(((INDEX(RulebookFields!C2:C1898, MATCH(D634,RulebookFields!A2:A1898, 0))="")=TRUE),  "",  INDEX(RulebookFields!C2:C1898, MATCH(D634,RulebookFields!A2:A1898, 0))), "")</f>
        <v>ChangeRequests</v>
      </c>
      <c r="I634" s="4" t="str">
        <f>_xlfn.IFNA(IF(((INDEX(RulebookFields!D2:D1898, MATCH(D634,RulebookFields!A2:A1898, 0))="")=TRUE),  "",  INDEX(RulebookFields!D2:D1898, MATCH(D634,RulebookFields!A2:A1898, 0))), "")</f>
        <v>DecisionLatencyDays</v>
      </c>
      <c r="J634" s="4" t="b">
        <f>_xlfn.IFNA(IF(((INDEX(RulebookFields!I2:I1898, MATCH(D634,RulebookFields!A2:A1898, 0))="")=TRUE),  "",  INDEX(RulebookFields!I2:I1898, MATCH(D634,RulebookFields!A2:A1898, 0))), "")</f>
        <v>1</v>
      </c>
      <c r="K634" s="4" t="b">
        <f>AND(((F634)=TRUE), ((J634)=TRUE))</f>
        <v>0</v>
      </c>
      <c r="L634" s="4" t="b">
        <f>AND(((G634 &lt;&gt; "plain")=TRUE), ((G634 &lt;&gt; "")=TRUE))</f>
        <v>0</v>
      </c>
      <c r="M634" s="4" t="str">
        <f>IF(((E634)=TRUE),  C634 &amp; "|" &amp; H634,  "")</f>
        <v>principal-process-steward|ChangeRequests</v>
      </c>
      <c r="N634" s="3" t="s">
        <v>10004</v>
      </c>
    </row>
    <row r="635">
      <c r="A635" s="3" t="s">
        <v>10637</v>
      </c>
      <c r="B635" s="4" t="str">
        <f>C635 &amp; " -&gt; " &amp; D635</f>
        <v>principal-process-steward -&gt; ChangeRequests.ImplementationLatencyDays</v>
      </c>
      <c r="C635" s="3" t="s">
        <v>9772</v>
      </c>
      <c r="D635" s="3" t="s">
        <v>3969</v>
      </c>
      <c r="E635" s="3" t="b">
        <v>1</v>
      </c>
      <c r="F635" s="3" t="b">
        <v>0</v>
      </c>
      <c r="G635" s="3" t="s">
        <v>10003</v>
      </c>
      <c r="H635" s="4" t="str">
        <f>_xlfn.IFNA(IF(((INDEX(RulebookFields!C2:C1898, MATCH(D635,RulebookFields!A2:A1898, 0))="")=TRUE),  "",  INDEX(RulebookFields!C2:C1898, MATCH(D635,RulebookFields!A2:A1898, 0))), "")</f>
        <v>ChangeRequests</v>
      </c>
      <c r="I635" s="4" t="str">
        <f>_xlfn.IFNA(IF(((INDEX(RulebookFields!D2:D1898, MATCH(D635,RulebookFields!A2:A1898, 0))="")=TRUE),  "",  INDEX(RulebookFields!D2:D1898, MATCH(D635,RulebookFields!A2:A1898, 0))), "")</f>
        <v>ImplementationLatencyDays</v>
      </c>
      <c r="J635" s="4" t="b">
        <f>_xlfn.IFNA(IF(((INDEX(RulebookFields!I2:I1898, MATCH(D635,RulebookFields!A2:A1898, 0))="")=TRUE),  "",  INDEX(RulebookFields!I2:I1898, MATCH(D635,RulebookFields!A2:A1898, 0))), "")</f>
        <v>1</v>
      </c>
      <c r="K635" s="4" t="b">
        <f>AND(((F635)=TRUE), ((J635)=TRUE))</f>
        <v>0</v>
      </c>
      <c r="L635" s="4" t="b">
        <f>AND(((G635 &lt;&gt; "plain")=TRUE), ((G635 &lt;&gt; "")=TRUE))</f>
        <v>0</v>
      </c>
      <c r="M635" s="4" t="str">
        <f>IF(((E635)=TRUE),  C635 &amp; "|" &amp; H635,  "")</f>
        <v>principal-process-steward|ChangeRequests</v>
      </c>
      <c r="N635" s="3" t="s">
        <v>10004</v>
      </c>
    </row>
    <row r="636">
      <c r="A636" s="3" t="s">
        <v>10638</v>
      </c>
      <c r="B636" s="4" t="str">
        <f>C636 &amp; " -&gt; " &amp; D636</f>
        <v>principal-process-steward -&gt; ChangeRequests.DelayIsDownstreamOfMe</v>
      </c>
      <c r="C636" s="3" t="s">
        <v>9772</v>
      </c>
      <c r="D636" s="3" t="s">
        <v>3971</v>
      </c>
      <c r="E636" s="3" t="b">
        <v>1</v>
      </c>
      <c r="F636" s="3" t="b">
        <v>0</v>
      </c>
      <c r="G636" s="3" t="s">
        <v>10003</v>
      </c>
      <c r="H636" s="4" t="str">
        <f>_xlfn.IFNA(IF(((INDEX(RulebookFields!C2:C1898, MATCH(D636,RulebookFields!A2:A1898, 0))="")=TRUE),  "",  INDEX(RulebookFields!C2:C1898, MATCH(D636,RulebookFields!A2:A1898, 0))), "")</f>
        <v>ChangeRequests</v>
      </c>
      <c r="I636" s="4" t="str">
        <f>_xlfn.IFNA(IF(((INDEX(RulebookFields!D2:D1898, MATCH(D636,RulebookFields!A2:A1898, 0))="")=TRUE),  "",  INDEX(RulebookFields!D2:D1898, MATCH(D636,RulebookFields!A2:A1898, 0))), "")</f>
        <v>DelayIsDownstreamOfMe</v>
      </c>
      <c r="J636" s="4" t="b">
        <f>_xlfn.IFNA(IF(((INDEX(RulebookFields!I2:I1898, MATCH(D636,RulebookFields!A2:A1898, 0))="")=TRUE),  "",  INDEX(RulebookFields!I2:I1898, MATCH(D636,RulebookFields!A2:A1898, 0))), "")</f>
        <v>1</v>
      </c>
      <c r="K636" s="4" t="b">
        <f>AND(((F636)=TRUE), ((J636)=TRUE))</f>
        <v>0</v>
      </c>
      <c r="L636" s="4" t="b">
        <f>AND(((G636 &lt;&gt; "plain")=TRUE), ((G636 &lt;&gt; "")=TRUE))</f>
        <v>0</v>
      </c>
      <c r="M636" s="4" t="str">
        <f>IF(((E636)=TRUE),  C636 &amp; "|" &amp; H636,  "")</f>
        <v>principal-process-steward|ChangeRequests</v>
      </c>
      <c r="N636" s="3" t="s">
        <v>10004</v>
      </c>
    </row>
    <row r="637">
      <c r="A637" s="3" t="s">
        <v>10639</v>
      </c>
      <c r="B637" s="4" t="str">
        <f>C637 &amp; " -&gt; " &amp; D637</f>
        <v>principal-process-steward -&gt; ChangeRequests.UnlandedVersionKey</v>
      </c>
      <c r="C637" s="3" t="s">
        <v>9772</v>
      </c>
      <c r="D637" s="3" t="s">
        <v>3973</v>
      </c>
      <c r="E637" s="3" t="b">
        <v>1</v>
      </c>
      <c r="F637" s="3" t="b">
        <v>0</v>
      </c>
      <c r="G637" s="3" t="s">
        <v>10003</v>
      </c>
      <c r="H637" s="4" t="str">
        <f>_xlfn.IFNA(IF(((INDEX(RulebookFields!C2:C1898, MATCH(D637,RulebookFields!A2:A1898, 0))="")=TRUE),  "",  INDEX(RulebookFields!C2:C1898, MATCH(D637,RulebookFields!A2:A1898, 0))), "")</f>
        <v>ChangeRequests</v>
      </c>
      <c r="I637" s="4" t="str">
        <f>_xlfn.IFNA(IF(((INDEX(RulebookFields!D2:D1898, MATCH(D637,RulebookFields!A2:A1898, 0))="")=TRUE),  "",  INDEX(RulebookFields!D2:D1898, MATCH(D637,RulebookFields!A2:A1898, 0))), "")</f>
        <v>UnlandedVersionKey</v>
      </c>
      <c r="J637" s="4" t="b">
        <f>_xlfn.IFNA(IF(((INDEX(RulebookFields!I2:I1898, MATCH(D637,RulebookFields!A2:A1898, 0))="")=TRUE),  "",  INDEX(RulebookFields!I2:I1898, MATCH(D637,RulebookFields!A2:A1898, 0))), "")</f>
        <v>1</v>
      </c>
      <c r="K637" s="4" t="b">
        <f>AND(((F637)=TRUE), ((J637)=TRUE))</f>
        <v>0</v>
      </c>
      <c r="L637" s="4" t="b">
        <f>AND(((G637 &lt;&gt; "plain")=TRUE), ((G637 &lt;&gt; "")=TRUE))</f>
        <v>0</v>
      </c>
      <c r="M637" s="4" t="str">
        <f>IF(((E637)=TRUE),  C637 &amp; "|" &amp; H637,  "")</f>
        <v>principal-process-steward|ChangeRequests</v>
      </c>
      <c r="N637" s="3" t="s">
        <v>10004</v>
      </c>
    </row>
    <row r="638">
      <c r="A638" s="3" t="s">
        <v>10640</v>
      </c>
      <c r="B638" s="4" t="str">
        <f>C638 &amp; " -&gt; " &amp; D638</f>
        <v>principal-process-steward -&gt; ChangeRequests.IsApprovedNotImplemented</v>
      </c>
      <c r="C638" s="3" t="s">
        <v>9772</v>
      </c>
      <c r="D638" s="3" t="s">
        <v>3975</v>
      </c>
      <c r="E638" s="3" t="b">
        <v>1</v>
      </c>
      <c r="F638" s="3" t="b">
        <v>0</v>
      </c>
      <c r="G638" s="3" t="s">
        <v>10003</v>
      </c>
      <c r="H638" s="4" t="str">
        <f>_xlfn.IFNA(IF(((INDEX(RulebookFields!C2:C1898, MATCH(D638,RulebookFields!A2:A1898, 0))="")=TRUE),  "",  INDEX(RulebookFields!C2:C1898, MATCH(D638,RulebookFields!A2:A1898, 0))), "")</f>
        <v>ChangeRequests</v>
      </c>
      <c r="I638" s="4" t="str">
        <f>_xlfn.IFNA(IF(((INDEX(RulebookFields!D2:D1898, MATCH(D638,RulebookFields!A2:A1898, 0))="")=TRUE),  "",  INDEX(RulebookFields!D2:D1898, MATCH(D638,RulebookFields!A2:A1898, 0))), "")</f>
        <v>IsApprovedNotImplemented</v>
      </c>
      <c r="J638" s="4" t="b">
        <f>_xlfn.IFNA(IF(((INDEX(RulebookFields!I2:I1898, MATCH(D638,RulebookFields!A2:A1898, 0))="")=TRUE),  "",  INDEX(RulebookFields!I2:I1898, MATCH(D638,RulebookFields!A2:A1898, 0))), "")</f>
        <v>1</v>
      </c>
      <c r="K638" s="4" t="b">
        <f>AND(((F638)=TRUE), ((J638)=TRUE))</f>
        <v>0</v>
      </c>
      <c r="L638" s="4" t="b">
        <f>AND(((G638 &lt;&gt; "plain")=TRUE), ((G638 &lt;&gt; "")=TRUE))</f>
        <v>0</v>
      </c>
      <c r="M638" s="4" t="str">
        <f>IF(((E638)=TRUE),  C638 &amp; "|" &amp; H638,  "")</f>
        <v>principal-process-steward|ChangeRequests</v>
      </c>
      <c r="N638" s="3" t="s">
        <v>10004</v>
      </c>
    </row>
    <row r="639">
      <c r="A639" s="3" t="s">
        <v>10641</v>
      </c>
      <c r="B639" s="4" t="str">
        <f>C639 &amp; " -&gt; " &amp; D639</f>
        <v>principal-process-steward -&gt; ChangeRequests.DaysSinceApproval</v>
      </c>
      <c r="C639" s="3" t="s">
        <v>9772</v>
      </c>
      <c r="D639" s="3" t="s">
        <v>3977</v>
      </c>
      <c r="E639" s="3" t="b">
        <v>1</v>
      </c>
      <c r="F639" s="3" t="b">
        <v>0</v>
      </c>
      <c r="G639" s="3" t="s">
        <v>10003</v>
      </c>
      <c r="H639" s="4" t="str">
        <f>_xlfn.IFNA(IF(((INDEX(RulebookFields!C2:C1898, MATCH(D639,RulebookFields!A2:A1898, 0))="")=TRUE),  "",  INDEX(RulebookFields!C2:C1898, MATCH(D639,RulebookFields!A2:A1898, 0))), "")</f>
        <v>ChangeRequests</v>
      </c>
      <c r="I639" s="4" t="str">
        <f>_xlfn.IFNA(IF(((INDEX(RulebookFields!D2:D1898, MATCH(D639,RulebookFields!A2:A1898, 0))="")=TRUE),  "",  INDEX(RulebookFields!D2:D1898, MATCH(D639,RulebookFields!A2:A1898, 0))), "")</f>
        <v>DaysSinceApproval</v>
      </c>
      <c r="J639" s="4" t="b">
        <f>_xlfn.IFNA(IF(((INDEX(RulebookFields!I2:I1898, MATCH(D639,RulebookFields!A2:A1898, 0))="")=TRUE),  "",  INDEX(RulebookFields!I2:I1898, MATCH(D639,RulebookFields!A2:A1898, 0))), "")</f>
        <v>1</v>
      </c>
      <c r="K639" s="4" t="b">
        <f>AND(((F639)=TRUE), ((J639)=TRUE))</f>
        <v>0</v>
      </c>
      <c r="L639" s="4" t="b">
        <f>AND(((G639 &lt;&gt; "plain")=TRUE), ((G639 &lt;&gt; "")=TRUE))</f>
        <v>0</v>
      </c>
      <c r="M639" s="4" t="str">
        <f>IF(((E639)=TRUE),  C639 &amp; "|" &amp; H639,  "")</f>
        <v>principal-process-steward|ChangeRequests</v>
      </c>
      <c r="N639" s="3" t="s">
        <v>10004</v>
      </c>
    </row>
    <row r="640">
      <c r="A640" s="3" t="s">
        <v>10642</v>
      </c>
      <c r="B640" s="4" t="str">
        <f>C640 &amp; " -&gt; " &amp; D640</f>
        <v>principal-process-steward -&gt; ChangeRequests.IsStalledImplementation</v>
      </c>
      <c r="C640" s="3" t="s">
        <v>9772</v>
      </c>
      <c r="D640" s="3" t="s">
        <v>3979</v>
      </c>
      <c r="E640" s="3" t="b">
        <v>1</v>
      </c>
      <c r="F640" s="3" t="b">
        <v>0</v>
      </c>
      <c r="G640" s="3" t="s">
        <v>10003</v>
      </c>
      <c r="H640" s="4" t="str">
        <f>_xlfn.IFNA(IF(((INDEX(RulebookFields!C2:C1898, MATCH(D640,RulebookFields!A2:A1898, 0))="")=TRUE),  "",  INDEX(RulebookFields!C2:C1898, MATCH(D640,RulebookFields!A2:A1898, 0))), "")</f>
        <v>ChangeRequests</v>
      </c>
      <c r="I640" s="4" t="str">
        <f>_xlfn.IFNA(IF(((INDEX(RulebookFields!D2:D1898, MATCH(D640,RulebookFields!A2:A1898, 0))="")=TRUE),  "",  INDEX(RulebookFields!D2:D1898, MATCH(D640,RulebookFields!A2:A1898, 0))), "")</f>
        <v>IsStalledImplementation</v>
      </c>
      <c r="J640" s="4" t="b">
        <f>_xlfn.IFNA(IF(((INDEX(RulebookFields!I2:I1898, MATCH(D640,RulebookFields!A2:A1898, 0))="")=TRUE),  "",  INDEX(RulebookFields!I2:I1898, MATCH(D640,RulebookFields!A2:A1898, 0))), "")</f>
        <v>1</v>
      </c>
      <c r="K640" s="4" t="b">
        <f>AND(((F640)=TRUE), ((J640)=TRUE))</f>
        <v>0</v>
      </c>
      <c r="L640" s="4" t="b">
        <f>AND(((G640 &lt;&gt; "plain")=TRUE), ((G640 &lt;&gt; "")=TRUE))</f>
        <v>0</v>
      </c>
      <c r="M640" s="4" t="str">
        <f>IF(((E640)=TRUE),  C640 &amp; "|" &amp; H640,  "")</f>
        <v>principal-process-steward|ChangeRequests</v>
      </c>
      <c r="N640" s="3" t="s">
        <v>10004</v>
      </c>
    </row>
    <row r="641">
      <c r="A641" s="3" t="s">
        <v>10643</v>
      </c>
      <c r="B641" s="4" t="str">
        <f>C641 &amp; " -&gt; " &amp; D641</f>
        <v>principal-process-steward -&gt; ChangeRequests.StalledImplementationVersionKey</v>
      </c>
      <c r="C641" s="3" t="s">
        <v>9772</v>
      </c>
      <c r="D641" s="3" t="s">
        <v>3981</v>
      </c>
      <c r="E641" s="3" t="b">
        <v>1</v>
      </c>
      <c r="F641" s="3" t="b">
        <v>0</v>
      </c>
      <c r="G641" s="3" t="s">
        <v>10003</v>
      </c>
      <c r="H641" s="4" t="str">
        <f>_xlfn.IFNA(IF(((INDEX(RulebookFields!C2:C1898, MATCH(D641,RulebookFields!A2:A1898, 0))="")=TRUE),  "",  INDEX(RulebookFields!C2:C1898, MATCH(D641,RulebookFields!A2:A1898, 0))), "")</f>
        <v>ChangeRequests</v>
      </c>
      <c r="I641" s="4" t="str">
        <f>_xlfn.IFNA(IF(((INDEX(RulebookFields!D2:D1898, MATCH(D641,RulebookFields!A2:A1898, 0))="")=TRUE),  "",  INDEX(RulebookFields!D2:D1898, MATCH(D641,RulebookFields!A2:A1898, 0))), "")</f>
        <v>StalledImplementationVersionKey</v>
      </c>
      <c r="J641" s="4" t="b">
        <f>_xlfn.IFNA(IF(((INDEX(RulebookFields!I2:I1898, MATCH(D641,RulebookFields!A2:A1898, 0))="")=TRUE),  "",  INDEX(RulebookFields!I2:I1898, MATCH(D641,RulebookFields!A2:A1898, 0))), "")</f>
        <v>1</v>
      </c>
      <c r="K641" s="4" t="b">
        <f>AND(((F641)=TRUE), ((J641)=TRUE))</f>
        <v>0</v>
      </c>
      <c r="L641" s="4" t="b">
        <f>AND(((G641 &lt;&gt; "plain")=TRUE), ((G641 &lt;&gt; "")=TRUE))</f>
        <v>0</v>
      </c>
      <c r="M641" s="4" t="str">
        <f>IF(((E641)=TRUE),  C641 &amp; "|" &amp; H641,  "")</f>
        <v>principal-process-steward|ChangeRequests</v>
      </c>
      <c r="N641" s="3" t="s">
        <v>10004</v>
      </c>
    </row>
    <row r="642">
      <c r="A642" s="3" t="s">
        <v>10644</v>
      </c>
      <c r="B642" s="4" t="str">
        <f>C642 &amp; " -&gt; " &amp; D642</f>
        <v>principal-process-steward -&gt; ChangeRequests.ApprovedVersionKey</v>
      </c>
      <c r="C642" s="3" t="s">
        <v>9772</v>
      </c>
      <c r="D642" s="3" t="s">
        <v>3983</v>
      </c>
      <c r="E642" s="3" t="b">
        <v>1</v>
      </c>
      <c r="F642" s="3" t="b">
        <v>0</v>
      </c>
      <c r="G642" s="3" t="s">
        <v>10003</v>
      </c>
      <c r="H642" s="4" t="str">
        <f>_xlfn.IFNA(IF(((INDEX(RulebookFields!C2:C1898, MATCH(D642,RulebookFields!A2:A1898, 0))="")=TRUE),  "",  INDEX(RulebookFields!C2:C1898, MATCH(D642,RulebookFields!A2:A1898, 0))), "")</f>
        <v>ChangeRequests</v>
      </c>
      <c r="I642" s="4" t="str">
        <f>_xlfn.IFNA(IF(((INDEX(RulebookFields!D2:D1898, MATCH(D642,RulebookFields!A2:A1898, 0))="")=TRUE),  "",  INDEX(RulebookFields!D2:D1898, MATCH(D642,RulebookFields!A2:A1898, 0))), "")</f>
        <v>ApprovedVersionKey</v>
      </c>
      <c r="J642" s="4" t="b">
        <f>_xlfn.IFNA(IF(((INDEX(RulebookFields!I2:I1898, MATCH(D642,RulebookFields!A2:A1898, 0))="")=TRUE),  "",  INDEX(RulebookFields!I2:I1898, MATCH(D642,RulebookFields!A2:A1898, 0))), "")</f>
        <v>1</v>
      </c>
      <c r="K642" s="4" t="b">
        <f>AND(((F642)=TRUE), ((J642)=TRUE))</f>
        <v>0</v>
      </c>
      <c r="L642" s="4" t="b">
        <f>AND(((G642 &lt;&gt; "plain")=TRUE), ((G642 &lt;&gt; "")=TRUE))</f>
        <v>0</v>
      </c>
      <c r="M642" s="4" t="str">
        <f>IF(((E642)=TRUE),  C642 &amp; "|" &amp; H642,  "")</f>
        <v>principal-process-steward|ChangeRequests</v>
      </c>
      <c r="N642" s="3" t="s">
        <v>10004</v>
      </c>
    </row>
    <row r="643">
      <c r="A643" s="3" t="s">
        <v>10645</v>
      </c>
      <c r="B643" s="4" t="str">
        <f>C643 &amp; " -&gt; " &amp; D643</f>
        <v>principal-process-steward -&gt; ChangeRequests.IsApprovedDecision</v>
      </c>
      <c r="C643" s="3" t="s">
        <v>9772</v>
      </c>
      <c r="D643" s="3" t="s">
        <v>3985</v>
      </c>
      <c r="E643" s="3" t="b">
        <v>1</v>
      </c>
      <c r="F643" s="3" t="b">
        <v>0</v>
      </c>
      <c r="G643" s="3" t="s">
        <v>10003</v>
      </c>
      <c r="H643" s="4" t="str">
        <f>_xlfn.IFNA(IF(((INDEX(RulebookFields!C2:C1898, MATCH(D643,RulebookFields!A2:A1898, 0))="")=TRUE),  "",  INDEX(RulebookFields!C2:C1898, MATCH(D643,RulebookFields!A2:A1898, 0))), "")</f>
        <v>ChangeRequests</v>
      </c>
      <c r="I643" s="4" t="str">
        <f>_xlfn.IFNA(IF(((INDEX(RulebookFields!D2:D1898, MATCH(D643,RulebookFields!A2:A1898, 0))="")=TRUE),  "",  INDEX(RulebookFields!D2:D1898, MATCH(D643,RulebookFields!A2:A1898, 0))), "")</f>
        <v>IsApprovedDecision</v>
      </c>
      <c r="J643" s="4" t="b">
        <f>_xlfn.IFNA(IF(((INDEX(RulebookFields!I2:I1898, MATCH(D643,RulebookFields!A2:A1898, 0))="")=TRUE),  "",  INDEX(RulebookFields!I2:I1898, MATCH(D643,RulebookFields!A2:A1898, 0))), "")</f>
        <v>1</v>
      </c>
      <c r="K643" s="4" t="b">
        <f>AND(((F643)=TRUE), ((J643)=TRUE))</f>
        <v>0</v>
      </c>
      <c r="L643" s="4" t="b">
        <f>AND(((G643 &lt;&gt; "plain")=TRUE), ((G643 &lt;&gt; "")=TRUE))</f>
        <v>0</v>
      </c>
      <c r="M643" s="4" t="str">
        <f>IF(((E643)=TRUE),  C643 &amp; "|" &amp; H643,  "")</f>
        <v>principal-process-steward|ChangeRequests</v>
      </c>
      <c r="N643" s="3" t="s">
        <v>10004</v>
      </c>
    </row>
    <row r="644">
      <c r="A644" s="3" t="s">
        <v>10646</v>
      </c>
      <c r="B644" s="4" t="str">
        <f>C644 &amp; " -&gt; " &amp; D644</f>
        <v>principal-process-steward -&gt; ChangeRequests.SemanticTypeIri</v>
      </c>
      <c r="C644" s="3" t="s">
        <v>9772</v>
      </c>
      <c r="D644" s="3" t="s">
        <v>3986</v>
      </c>
      <c r="E644" s="3" t="b">
        <v>1</v>
      </c>
      <c r="F644" s="3" t="b">
        <v>0</v>
      </c>
      <c r="G644" s="3" t="s">
        <v>10003</v>
      </c>
      <c r="H644" s="4" t="str">
        <f>_xlfn.IFNA(IF(((INDEX(RulebookFields!C2:C1898, MATCH(D644,RulebookFields!A2:A1898, 0))="")=TRUE),  "",  INDEX(RulebookFields!C2:C1898, MATCH(D644,RulebookFields!A2:A1898, 0))), "")</f>
        <v>ChangeRequests</v>
      </c>
      <c r="I644" s="4" t="str">
        <f>_xlfn.IFNA(IF(((INDEX(RulebookFields!D2:D1898, MATCH(D644,RulebookFields!A2:A1898, 0))="")=TRUE),  "",  INDEX(RulebookFields!D2:D1898, MATCH(D644,RulebookFields!A2:A1898, 0))), "")</f>
        <v>SemanticTypeIri</v>
      </c>
      <c r="J644" s="4" t="b">
        <f>_xlfn.IFNA(IF(((INDEX(RulebookFields!I2:I1898, MATCH(D644,RulebookFields!A2:A1898, 0))="")=TRUE),  "",  INDEX(RulebookFields!I2:I1898, MATCH(D644,RulebookFields!A2:A1898, 0))), "")</f>
        <v>0</v>
      </c>
      <c r="K644" s="4" t="b">
        <f>AND(((F644)=TRUE), ((J644)=TRUE))</f>
        <v>0</v>
      </c>
      <c r="L644" s="4" t="b">
        <f>AND(((G644 &lt;&gt; "plain")=TRUE), ((G644 &lt;&gt; "")=TRUE))</f>
        <v>0</v>
      </c>
      <c r="M644" s="4" t="str">
        <f>IF(((E644)=TRUE),  C644 &amp; "|" &amp; H644,  "")</f>
        <v>principal-process-steward|ChangeRequests</v>
      </c>
      <c r="N644" s="3" t="s">
        <v>10004</v>
      </c>
    </row>
    <row r="645">
      <c r="A645" s="3" t="s">
        <v>10647</v>
      </c>
      <c r="B645" s="4" t="str">
        <f>C645 &amp; " -&gt; " &amp; D645</f>
        <v>principal-process-steward -&gt; CommunicationPolicies.CommunicationPolicyId</v>
      </c>
      <c r="C645" s="3" t="s">
        <v>9772</v>
      </c>
      <c r="D645" s="3" t="s">
        <v>4060</v>
      </c>
      <c r="E645" s="3" t="b">
        <v>1</v>
      </c>
      <c r="F645" s="3" t="b">
        <v>0</v>
      </c>
      <c r="G645" s="3" t="s">
        <v>10003</v>
      </c>
      <c r="H645" s="4" t="str">
        <f>_xlfn.IFNA(IF(((INDEX(RulebookFields!C2:C1898, MATCH(D645,RulebookFields!A2:A1898, 0))="")=TRUE),  "",  INDEX(RulebookFields!C2:C1898, MATCH(D645,RulebookFields!A2:A1898, 0))), "")</f>
        <v>CommunicationPolicies</v>
      </c>
      <c r="I645" s="4" t="str">
        <f>_xlfn.IFNA(IF(((INDEX(RulebookFields!D2:D1898, MATCH(D645,RulebookFields!A2:A1898, 0))="")=TRUE),  "",  INDEX(RulebookFields!D2:D1898, MATCH(D645,RulebookFields!A2:A1898, 0))), "")</f>
        <v>CommunicationPolicyId</v>
      </c>
      <c r="J645" s="4" t="b">
        <f>_xlfn.IFNA(IF(((INDEX(RulebookFields!I2:I1898, MATCH(D645,RulebookFields!A2:A1898, 0))="")=TRUE),  "",  INDEX(RulebookFields!I2:I1898, MATCH(D645,RulebookFields!A2:A1898, 0))), "")</f>
        <v>0</v>
      </c>
      <c r="K645" s="4" t="b">
        <f>AND(((F645)=TRUE), ((J645)=TRUE))</f>
        <v>0</v>
      </c>
      <c r="L645" s="4" t="b">
        <f>AND(((G645 &lt;&gt; "plain")=TRUE), ((G645 &lt;&gt; "")=TRUE))</f>
        <v>0</v>
      </c>
      <c r="M645" s="4" t="str">
        <f>IF(((E645)=TRUE),  C645 &amp; "|" &amp; H645,  "")</f>
        <v>principal-process-steward|CommunicationPolicies</v>
      </c>
      <c r="N645" s="3" t="s">
        <v>10004</v>
      </c>
    </row>
    <row r="646">
      <c r="A646" s="3" t="s">
        <v>10648</v>
      </c>
      <c r="B646" s="4" t="str">
        <f>C646 &amp; " -&gt; " &amp; D646</f>
        <v>principal-process-steward -&gt; CommunicationPolicies.Name</v>
      </c>
      <c r="C646" s="3" t="s">
        <v>9772</v>
      </c>
      <c r="D646" s="3" t="s">
        <v>4061</v>
      </c>
      <c r="E646" s="3" t="b">
        <v>1</v>
      </c>
      <c r="F646" s="3" t="b">
        <v>0</v>
      </c>
      <c r="G646" s="3" t="s">
        <v>10003</v>
      </c>
      <c r="H646" s="4" t="str">
        <f>_xlfn.IFNA(IF(((INDEX(RulebookFields!C2:C1898, MATCH(D646,RulebookFields!A2:A1898, 0))="")=TRUE),  "",  INDEX(RulebookFields!C2:C1898, MATCH(D646,RulebookFields!A2:A1898, 0))), "")</f>
        <v>CommunicationPolicies</v>
      </c>
      <c r="I646" s="4" t="str">
        <f>_xlfn.IFNA(IF(((INDEX(RulebookFields!D2:D1898, MATCH(D646,RulebookFields!A2:A1898, 0))="")=TRUE),  "",  INDEX(RulebookFields!D2:D1898, MATCH(D646,RulebookFields!A2:A1898, 0))), "")</f>
        <v>Name</v>
      </c>
      <c r="J646" s="4" t="b">
        <f>_xlfn.IFNA(IF(((INDEX(RulebookFields!I2:I1898, MATCH(D646,RulebookFields!A2:A1898, 0))="")=TRUE),  "",  INDEX(RulebookFields!I2:I1898, MATCH(D646,RulebookFields!A2:A1898, 0))), "")</f>
        <v>1</v>
      </c>
      <c r="K646" s="4" t="b">
        <f>AND(((F646)=TRUE), ((J646)=TRUE))</f>
        <v>0</v>
      </c>
      <c r="L646" s="4" t="b">
        <f>AND(((G646 &lt;&gt; "plain")=TRUE), ((G646 &lt;&gt; "")=TRUE))</f>
        <v>0</v>
      </c>
      <c r="M646" s="4" t="str">
        <f>IF(((E646)=TRUE),  C646 &amp; "|" &amp; H646,  "")</f>
        <v>principal-process-steward|CommunicationPolicies</v>
      </c>
      <c r="N646" s="3" t="s">
        <v>10004</v>
      </c>
    </row>
    <row r="647">
      <c r="A647" s="3" t="s">
        <v>10649</v>
      </c>
      <c r="B647" s="4" t="str">
        <f>C647 &amp; " -&gt; " &amp; D647</f>
        <v>principal-process-steward -&gt; CommunicationPolicies.ProcedureVersion</v>
      </c>
      <c r="C647" s="3" t="s">
        <v>9772</v>
      </c>
      <c r="D647" s="3" t="s">
        <v>4063</v>
      </c>
      <c r="E647" s="3" t="b">
        <v>1</v>
      </c>
      <c r="F647" s="3" t="b">
        <v>0</v>
      </c>
      <c r="G647" s="3" t="s">
        <v>10003</v>
      </c>
      <c r="H647" s="4" t="str">
        <f>_xlfn.IFNA(IF(((INDEX(RulebookFields!C2:C1898, MATCH(D647,RulebookFields!A2:A1898, 0))="")=TRUE),  "",  INDEX(RulebookFields!C2:C1898, MATCH(D647,RulebookFields!A2:A1898, 0))), "")</f>
        <v>CommunicationPolicies</v>
      </c>
      <c r="I647" s="4" t="str">
        <f>_xlfn.IFNA(IF(((INDEX(RulebookFields!D2:D1898, MATCH(D647,RulebookFields!A2:A1898, 0))="")=TRUE),  "",  INDEX(RulebookFields!D2:D1898, MATCH(D647,RulebookFields!A2:A1898, 0))), "")</f>
        <v>ProcedureVersion</v>
      </c>
      <c r="J647" s="4" t="b">
        <f>_xlfn.IFNA(IF(((INDEX(RulebookFields!I2:I1898, MATCH(D647,RulebookFields!A2:A1898, 0))="")=TRUE),  "",  INDEX(RulebookFields!I2:I1898, MATCH(D647,RulebookFields!A2:A1898, 0))), "")</f>
        <v>0</v>
      </c>
      <c r="K647" s="4" t="b">
        <f>AND(((F647)=TRUE), ((J647)=TRUE))</f>
        <v>0</v>
      </c>
      <c r="L647" s="4" t="b">
        <f>AND(((G647 &lt;&gt; "plain")=TRUE), ((G647 &lt;&gt; "")=TRUE))</f>
        <v>0</v>
      </c>
      <c r="M647" s="4" t="str">
        <f>IF(((E647)=TRUE),  C647 &amp; "|" &amp; H647,  "")</f>
        <v>principal-process-steward|CommunicationPolicies</v>
      </c>
      <c r="N647" s="3" t="s">
        <v>10004</v>
      </c>
    </row>
    <row r="648">
      <c r="A648" s="3" t="s">
        <v>10650</v>
      </c>
      <c r="B648" s="4" t="str">
        <f>C648 &amp; " -&gt; " &amp; D648</f>
        <v>principal-process-steward -&gt; CommunicationPolicies.Channel</v>
      </c>
      <c r="C648" s="3" t="s">
        <v>9772</v>
      </c>
      <c r="D648" s="3" t="s">
        <v>4064</v>
      </c>
      <c r="E648" s="3" t="b">
        <v>1</v>
      </c>
      <c r="F648" s="3" t="b">
        <v>0</v>
      </c>
      <c r="G648" s="3" t="s">
        <v>10003</v>
      </c>
      <c r="H648" s="4" t="str">
        <f>_xlfn.IFNA(IF(((INDEX(RulebookFields!C2:C1898, MATCH(D648,RulebookFields!A2:A1898, 0))="")=TRUE),  "",  INDEX(RulebookFields!C2:C1898, MATCH(D648,RulebookFields!A2:A1898, 0))), "")</f>
        <v>CommunicationPolicies</v>
      </c>
      <c r="I648" s="4" t="str">
        <f>_xlfn.IFNA(IF(((INDEX(RulebookFields!D2:D1898, MATCH(D648,RulebookFields!A2:A1898, 0))="")=TRUE),  "",  INDEX(RulebookFields!D2:D1898, MATCH(D648,RulebookFields!A2:A1898, 0))), "")</f>
        <v>Channel</v>
      </c>
      <c r="J648" s="4" t="b">
        <f>_xlfn.IFNA(IF(((INDEX(RulebookFields!I2:I1898, MATCH(D648,RulebookFields!A2:A1898, 0))="")=TRUE),  "",  INDEX(RulebookFields!I2:I1898, MATCH(D648,RulebookFields!A2:A1898, 0))), "")</f>
        <v>0</v>
      </c>
      <c r="K648" s="4" t="b">
        <f>AND(((F648)=TRUE), ((J648)=TRUE))</f>
        <v>0</v>
      </c>
      <c r="L648" s="4" t="b">
        <f>AND(((G648 &lt;&gt; "plain")=TRUE), ((G648 &lt;&gt; "")=TRUE))</f>
        <v>0</v>
      </c>
      <c r="M648" s="4" t="str">
        <f>IF(((E648)=TRUE),  C648 &amp; "|" &amp; H648,  "")</f>
        <v>principal-process-steward|CommunicationPolicies</v>
      </c>
      <c r="N648" s="3" t="s">
        <v>10004</v>
      </c>
    </row>
    <row r="649">
      <c r="A649" s="3" t="s">
        <v>10651</v>
      </c>
      <c r="B649" s="4" t="str">
        <f>C649 &amp; " -&gt; " &amp; D649</f>
        <v>principal-process-steward -&gt; CommunicationPolicies.AudienceRule</v>
      </c>
      <c r="C649" s="3" t="s">
        <v>9772</v>
      </c>
      <c r="D649" s="3" t="s">
        <v>4065</v>
      </c>
      <c r="E649" s="3" t="b">
        <v>1</v>
      </c>
      <c r="F649" s="3" t="b">
        <v>0</v>
      </c>
      <c r="G649" s="3" t="s">
        <v>10003</v>
      </c>
      <c r="H649" s="4" t="str">
        <f>_xlfn.IFNA(IF(((INDEX(RulebookFields!C2:C1898, MATCH(D649,RulebookFields!A2:A1898, 0))="")=TRUE),  "",  INDEX(RulebookFields!C2:C1898, MATCH(D649,RulebookFields!A2:A1898, 0))), "")</f>
        <v>CommunicationPolicies</v>
      </c>
      <c r="I649" s="4" t="str">
        <f>_xlfn.IFNA(IF(((INDEX(RulebookFields!D2:D1898, MATCH(D649,RulebookFields!A2:A1898, 0))="")=TRUE),  "",  INDEX(RulebookFields!D2:D1898, MATCH(D649,RulebookFields!A2:A1898, 0))), "")</f>
        <v>AudienceRule</v>
      </c>
      <c r="J649" s="4" t="b">
        <f>_xlfn.IFNA(IF(((INDEX(RulebookFields!I2:I1898, MATCH(D649,RulebookFields!A2:A1898, 0))="")=TRUE),  "",  INDEX(RulebookFields!I2:I1898, MATCH(D649,RulebookFields!A2:A1898, 0))), "")</f>
        <v>0</v>
      </c>
      <c r="K649" s="4" t="b">
        <f>AND(((F649)=TRUE), ((J649)=TRUE))</f>
        <v>0</v>
      </c>
      <c r="L649" s="4" t="b">
        <f>AND(((G649 &lt;&gt; "plain")=TRUE), ((G649 &lt;&gt; "")=TRUE))</f>
        <v>0</v>
      </c>
      <c r="M649" s="4" t="str">
        <f>IF(((E649)=TRUE),  C649 &amp; "|" &amp; H649,  "")</f>
        <v>principal-process-steward|CommunicationPolicies</v>
      </c>
      <c r="N649" s="3" t="s">
        <v>10004</v>
      </c>
    </row>
    <row r="650">
      <c r="A650" s="3" t="s">
        <v>10652</v>
      </c>
      <c r="B650" s="4" t="str">
        <f>C650 &amp; " -&gt; " &amp; D650</f>
        <v>principal-process-steward -&gt; CommunicationPolicies.ConsentRequired</v>
      </c>
      <c r="C650" s="3" t="s">
        <v>9772</v>
      </c>
      <c r="D650" s="3" t="s">
        <v>4066</v>
      </c>
      <c r="E650" s="3" t="b">
        <v>1</v>
      </c>
      <c r="F650" s="3" t="b">
        <v>0</v>
      </c>
      <c r="G650" s="3" t="s">
        <v>10003</v>
      </c>
      <c r="H650" s="4" t="str">
        <f>_xlfn.IFNA(IF(((INDEX(RulebookFields!C2:C1898, MATCH(D650,RulebookFields!A2:A1898, 0))="")=TRUE),  "",  INDEX(RulebookFields!C2:C1898, MATCH(D650,RulebookFields!A2:A1898, 0))), "")</f>
        <v>CommunicationPolicies</v>
      </c>
      <c r="I650" s="4" t="str">
        <f>_xlfn.IFNA(IF(((INDEX(RulebookFields!D2:D1898, MATCH(D650,RulebookFields!A2:A1898, 0))="")=TRUE),  "",  INDEX(RulebookFields!D2:D1898, MATCH(D650,RulebookFields!A2:A1898, 0))), "")</f>
        <v>ConsentRequired</v>
      </c>
      <c r="J650" s="4" t="b">
        <f>_xlfn.IFNA(IF(((INDEX(RulebookFields!I2:I1898, MATCH(D650,RulebookFields!A2:A1898, 0))="")=TRUE),  "",  INDEX(RulebookFields!I2:I1898, MATCH(D650,RulebookFields!A2:A1898, 0))), "")</f>
        <v>0</v>
      </c>
      <c r="K650" s="4" t="b">
        <f>AND(((F650)=TRUE), ((J650)=TRUE))</f>
        <v>0</v>
      </c>
      <c r="L650" s="4" t="b">
        <f>AND(((G650 &lt;&gt; "plain")=TRUE), ((G650 &lt;&gt; "")=TRUE))</f>
        <v>0</v>
      </c>
      <c r="M650" s="4" t="str">
        <f>IF(((E650)=TRUE),  C650 &amp; "|" &amp; H650,  "")</f>
        <v>principal-process-steward|CommunicationPolicies</v>
      </c>
      <c r="N650" s="3" t="s">
        <v>10004</v>
      </c>
    </row>
    <row r="651">
      <c r="A651" s="3" t="s">
        <v>10653</v>
      </c>
      <c r="B651" s="4" t="str">
        <f>C651 &amp; " -&gt; " &amp; D651</f>
        <v>principal-process-steward -&gt; CommunicationPolicies.QuietHoursStart</v>
      </c>
      <c r="C651" s="3" t="s">
        <v>9772</v>
      </c>
      <c r="D651" s="3" t="s">
        <v>4067</v>
      </c>
      <c r="E651" s="3" t="b">
        <v>1</v>
      </c>
      <c r="F651" s="3" t="b">
        <v>0</v>
      </c>
      <c r="G651" s="3" t="s">
        <v>10003</v>
      </c>
      <c r="H651" s="4" t="str">
        <f>_xlfn.IFNA(IF(((INDEX(RulebookFields!C2:C1898, MATCH(D651,RulebookFields!A2:A1898, 0))="")=TRUE),  "",  INDEX(RulebookFields!C2:C1898, MATCH(D651,RulebookFields!A2:A1898, 0))), "")</f>
        <v>CommunicationPolicies</v>
      </c>
      <c r="I651" s="4" t="str">
        <f>_xlfn.IFNA(IF(((INDEX(RulebookFields!D2:D1898, MATCH(D651,RulebookFields!A2:A1898, 0))="")=TRUE),  "",  INDEX(RulebookFields!D2:D1898, MATCH(D651,RulebookFields!A2:A1898, 0))), "")</f>
        <v>QuietHoursStart</v>
      </c>
      <c r="J651" s="4" t="b">
        <f>_xlfn.IFNA(IF(((INDEX(RulebookFields!I2:I1898, MATCH(D651,RulebookFields!A2:A1898, 0))="")=TRUE),  "",  INDEX(RulebookFields!I2:I1898, MATCH(D651,RulebookFields!A2:A1898, 0))), "")</f>
        <v>0</v>
      </c>
      <c r="K651" s="4" t="b">
        <f>AND(((F651)=TRUE), ((J651)=TRUE))</f>
        <v>0</v>
      </c>
      <c r="L651" s="4" t="b">
        <f>AND(((G651 &lt;&gt; "plain")=TRUE), ((G651 &lt;&gt; "")=TRUE))</f>
        <v>0</v>
      </c>
      <c r="M651" s="4" t="str">
        <f>IF(((E651)=TRUE),  C651 &amp; "|" &amp; H651,  "")</f>
        <v>principal-process-steward|CommunicationPolicies</v>
      </c>
      <c r="N651" s="3" t="s">
        <v>10004</v>
      </c>
    </row>
    <row r="652">
      <c r="A652" s="3" t="s">
        <v>10654</v>
      </c>
      <c r="B652" s="4" t="str">
        <f>C652 &amp; " -&gt; " &amp; D652</f>
        <v>principal-process-steward -&gt; CommunicationPolicies.QuietHoursEnd</v>
      </c>
      <c r="C652" s="3" t="s">
        <v>9772</v>
      </c>
      <c r="D652" s="3" t="s">
        <v>4068</v>
      </c>
      <c r="E652" s="3" t="b">
        <v>1</v>
      </c>
      <c r="F652" s="3" t="b">
        <v>0</v>
      </c>
      <c r="G652" s="3" t="s">
        <v>10003</v>
      </c>
      <c r="H652" s="4" t="str">
        <f>_xlfn.IFNA(IF(((INDEX(RulebookFields!C2:C1898, MATCH(D652,RulebookFields!A2:A1898, 0))="")=TRUE),  "",  INDEX(RulebookFields!C2:C1898, MATCH(D652,RulebookFields!A2:A1898, 0))), "")</f>
        <v>CommunicationPolicies</v>
      </c>
      <c r="I652" s="4" t="str">
        <f>_xlfn.IFNA(IF(((INDEX(RulebookFields!D2:D1898, MATCH(D652,RulebookFields!A2:A1898, 0))="")=TRUE),  "",  INDEX(RulebookFields!D2:D1898, MATCH(D652,RulebookFields!A2:A1898, 0))), "")</f>
        <v>QuietHoursEnd</v>
      </c>
      <c r="J652" s="4" t="b">
        <f>_xlfn.IFNA(IF(((INDEX(RulebookFields!I2:I1898, MATCH(D652,RulebookFields!A2:A1898, 0))="")=TRUE),  "",  INDEX(RulebookFields!I2:I1898, MATCH(D652,RulebookFields!A2:A1898, 0))), "")</f>
        <v>0</v>
      </c>
      <c r="K652" s="4" t="b">
        <f>AND(((F652)=TRUE), ((J652)=TRUE))</f>
        <v>0</v>
      </c>
      <c r="L652" s="4" t="b">
        <f>AND(((G652 &lt;&gt; "plain")=TRUE), ((G652 &lt;&gt; "")=TRUE))</f>
        <v>0</v>
      </c>
      <c r="M652" s="4" t="str">
        <f>IF(((E652)=TRUE),  C652 &amp; "|" &amp; H652,  "")</f>
        <v>principal-process-steward|CommunicationPolicies</v>
      </c>
      <c r="N652" s="3" t="s">
        <v>10004</v>
      </c>
    </row>
    <row r="653">
      <c r="A653" s="3" t="s">
        <v>10655</v>
      </c>
      <c r="B653" s="4" t="str">
        <f>C653 &amp; " -&gt; " &amp; D653</f>
        <v>principal-process-steward -&gt; CommunicationPolicies.MaxMessageLength</v>
      </c>
      <c r="C653" s="3" t="s">
        <v>9772</v>
      </c>
      <c r="D653" s="3" t="s">
        <v>4069</v>
      </c>
      <c r="E653" s="3" t="b">
        <v>1</v>
      </c>
      <c r="F653" s="3" t="b">
        <v>0</v>
      </c>
      <c r="G653" s="3" t="s">
        <v>10003</v>
      </c>
      <c r="H653" s="4" t="str">
        <f>_xlfn.IFNA(IF(((INDEX(RulebookFields!C2:C1898, MATCH(D653,RulebookFields!A2:A1898, 0))="")=TRUE),  "",  INDEX(RulebookFields!C2:C1898, MATCH(D653,RulebookFields!A2:A1898, 0))), "")</f>
        <v>CommunicationPolicies</v>
      </c>
      <c r="I653" s="4" t="str">
        <f>_xlfn.IFNA(IF(((INDEX(RulebookFields!D2:D1898, MATCH(D653,RulebookFields!A2:A1898, 0))="")=TRUE),  "",  INDEX(RulebookFields!D2:D1898, MATCH(D653,RulebookFields!A2:A1898, 0))), "")</f>
        <v>MaxMessageLength</v>
      </c>
      <c r="J653" s="4" t="b">
        <f>_xlfn.IFNA(IF(((INDEX(RulebookFields!I2:I1898, MATCH(D653,RulebookFields!A2:A1898, 0))="")=TRUE),  "",  INDEX(RulebookFields!I2:I1898, MATCH(D653,RulebookFields!A2:A1898, 0))), "")</f>
        <v>0</v>
      </c>
      <c r="K653" s="4" t="b">
        <f>AND(((F653)=TRUE), ((J653)=TRUE))</f>
        <v>0</v>
      </c>
      <c r="L653" s="4" t="b">
        <f>AND(((G653 &lt;&gt; "plain")=TRUE), ((G653 &lt;&gt; "")=TRUE))</f>
        <v>0</v>
      </c>
      <c r="M653" s="4" t="str">
        <f>IF(((E653)=TRUE),  C653 &amp; "|" &amp; H653,  "")</f>
        <v>principal-process-steward|CommunicationPolicies</v>
      </c>
      <c r="N653" s="3" t="s">
        <v>10004</v>
      </c>
    </row>
    <row r="654">
      <c r="A654" s="3" t="s">
        <v>10656</v>
      </c>
      <c r="B654" s="4" t="str">
        <f>C654 &amp; " -&gt; " &amp; D654</f>
        <v>principal-process-steward -&gt; CommunicationPolicies.MaxSegments</v>
      </c>
      <c r="C654" s="3" t="s">
        <v>9772</v>
      </c>
      <c r="D654" s="3" t="s">
        <v>4070</v>
      </c>
      <c r="E654" s="3" t="b">
        <v>1</v>
      </c>
      <c r="F654" s="3" t="b">
        <v>0</v>
      </c>
      <c r="G654" s="3" t="s">
        <v>10003</v>
      </c>
      <c r="H654" s="4" t="str">
        <f>_xlfn.IFNA(IF(((INDEX(RulebookFields!C2:C1898, MATCH(D654,RulebookFields!A2:A1898, 0))="")=TRUE),  "",  INDEX(RulebookFields!C2:C1898, MATCH(D654,RulebookFields!A2:A1898, 0))), "")</f>
        <v>CommunicationPolicies</v>
      </c>
      <c r="I654" s="4" t="str">
        <f>_xlfn.IFNA(IF(((INDEX(RulebookFields!D2:D1898, MATCH(D654,RulebookFields!A2:A1898, 0))="")=TRUE),  "",  INDEX(RulebookFields!D2:D1898, MATCH(D654,RulebookFields!A2:A1898, 0))), "")</f>
        <v>MaxSegments</v>
      </c>
      <c r="J654" s="4" t="b">
        <f>_xlfn.IFNA(IF(((INDEX(RulebookFields!I2:I1898, MATCH(D654,RulebookFields!A2:A1898, 0))="")=TRUE),  "",  INDEX(RulebookFields!I2:I1898, MATCH(D654,RulebookFields!A2:A1898, 0))), "")</f>
        <v>0</v>
      </c>
      <c r="K654" s="4" t="b">
        <f>AND(((F654)=TRUE), ((J654)=TRUE))</f>
        <v>0</v>
      </c>
      <c r="L654" s="4" t="b">
        <f>AND(((G654 &lt;&gt; "plain")=TRUE), ((G654 &lt;&gt; "")=TRUE))</f>
        <v>0</v>
      </c>
      <c r="M654" s="4" t="str">
        <f>IF(((E654)=TRUE),  C654 &amp; "|" &amp; H654,  "")</f>
        <v>principal-process-steward|CommunicationPolicies</v>
      </c>
      <c r="N654" s="3" t="s">
        <v>10004</v>
      </c>
    </row>
    <row r="655">
      <c r="A655" s="3" t="s">
        <v>10657</v>
      </c>
      <c r="B655" s="4" t="str">
        <f>C655 &amp; " -&gt; " &amp; D655</f>
        <v>principal-process-steward -&gt; CommunicationPolicies.RetentionDays</v>
      </c>
      <c r="C655" s="3" t="s">
        <v>9772</v>
      </c>
      <c r="D655" s="3" t="s">
        <v>4071</v>
      </c>
      <c r="E655" s="3" t="b">
        <v>1</v>
      </c>
      <c r="F655" s="3" t="b">
        <v>0</v>
      </c>
      <c r="G655" s="3" t="s">
        <v>10003</v>
      </c>
      <c r="H655" s="4" t="str">
        <f>_xlfn.IFNA(IF(((INDEX(RulebookFields!C2:C1898, MATCH(D655,RulebookFields!A2:A1898, 0))="")=TRUE),  "",  INDEX(RulebookFields!C2:C1898, MATCH(D655,RulebookFields!A2:A1898, 0))), "")</f>
        <v>CommunicationPolicies</v>
      </c>
      <c r="I655" s="4" t="str">
        <f>_xlfn.IFNA(IF(((INDEX(RulebookFields!D2:D1898, MATCH(D655,RulebookFields!A2:A1898, 0))="")=TRUE),  "",  INDEX(RulebookFields!D2:D1898, MATCH(D655,RulebookFields!A2:A1898, 0))), "")</f>
        <v>RetentionDays</v>
      </c>
      <c r="J655" s="4" t="b">
        <f>_xlfn.IFNA(IF(((INDEX(RulebookFields!I2:I1898, MATCH(D655,RulebookFields!A2:A1898, 0))="")=TRUE),  "",  INDEX(RulebookFields!I2:I1898, MATCH(D655,RulebookFields!A2:A1898, 0))), "")</f>
        <v>0</v>
      </c>
      <c r="K655" s="4" t="b">
        <f>AND(((F655)=TRUE), ((J655)=TRUE))</f>
        <v>0</v>
      </c>
      <c r="L655" s="4" t="b">
        <f>AND(((G655 &lt;&gt; "plain")=TRUE), ((G655 &lt;&gt; "")=TRUE))</f>
        <v>0</v>
      </c>
      <c r="M655" s="4" t="str">
        <f>IF(((E655)=TRUE),  C655 &amp; "|" &amp; H655,  "")</f>
        <v>principal-process-steward|CommunicationPolicies</v>
      </c>
      <c r="N655" s="3" t="s">
        <v>10004</v>
      </c>
    </row>
    <row r="656">
      <c r="A656" s="3" t="s">
        <v>10658</v>
      </c>
      <c r="B656" s="4" t="str">
        <f>C656 &amp; " -&gt; " &amp; D656</f>
        <v>principal-process-steward -&gt; CommunicationPolicies.ApprovalRole</v>
      </c>
      <c r="C656" s="3" t="s">
        <v>9772</v>
      </c>
      <c r="D656" s="3" t="s">
        <v>4072</v>
      </c>
      <c r="E656" s="3" t="b">
        <v>1</v>
      </c>
      <c r="F656" s="3" t="b">
        <v>0</v>
      </c>
      <c r="G656" s="3" t="s">
        <v>10003</v>
      </c>
      <c r="H656" s="4" t="str">
        <f>_xlfn.IFNA(IF(((INDEX(RulebookFields!C2:C1898, MATCH(D656,RulebookFields!A2:A1898, 0))="")=TRUE),  "",  INDEX(RulebookFields!C2:C1898, MATCH(D656,RulebookFields!A2:A1898, 0))), "")</f>
        <v>CommunicationPolicies</v>
      </c>
      <c r="I656" s="4" t="str">
        <f>_xlfn.IFNA(IF(((INDEX(RulebookFields!D2:D1898, MATCH(D656,RulebookFields!A2:A1898, 0))="")=TRUE),  "",  INDEX(RulebookFields!D2:D1898, MATCH(D656,RulebookFields!A2:A1898, 0))), "")</f>
        <v>ApprovalRole</v>
      </c>
      <c r="J656" s="4" t="b">
        <f>_xlfn.IFNA(IF(((INDEX(RulebookFields!I2:I1898, MATCH(D656,RulebookFields!A2:A1898, 0))="")=TRUE),  "",  INDEX(RulebookFields!I2:I1898, MATCH(D656,RulebookFields!A2:A1898, 0))), "")</f>
        <v>0</v>
      </c>
      <c r="K656" s="4" t="b">
        <f>AND(((F656)=TRUE), ((J656)=TRUE))</f>
        <v>0</v>
      </c>
      <c r="L656" s="4" t="b">
        <f>AND(((G656 &lt;&gt; "plain")=TRUE), ((G656 &lt;&gt; "")=TRUE))</f>
        <v>0</v>
      </c>
      <c r="M656" s="4" t="str">
        <f>IF(((E656)=TRUE),  C656 &amp; "|" &amp; H656,  "")</f>
        <v>principal-process-steward|CommunicationPolicies</v>
      </c>
      <c r="N656" s="3" t="s">
        <v>10004</v>
      </c>
    </row>
    <row r="657">
      <c r="A657" s="3" t="s">
        <v>10659</v>
      </c>
      <c r="B657" s="4" t="str">
        <f>C657 &amp; " -&gt; " &amp; D657</f>
        <v>principal-process-steward -&gt; CommunicationPolicies.RequiredContent</v>
      </c>
      <c r="C657" s="3" t="s">
        <v>9772</v>
      </c>
      <c r="D657" s="3" t="s">
        <v>4073</v>
      </c>
      <c r="E657" s="3" t="b">
        <v>1</v>
      </c>
      <c r="F657" s="3" t="b">
        <v>0</v>
      </c>
      <c r="G657" s="3" t="s">
        <v>10003</v>
      </c>
      <c r="H657" s="4" t="str">
        <f>_xlfn.IFNA(IF(((INDEX(RulebookFields!C2:C1898, MATCH(D657,RulebookFields!A2:A1898, 0))="")=TRUE),  "",  INDEX(RulebookFields!C2:C1898, MATCH(D657,RulebookFields!A2:A1898, 0))), "")</f>
        <v>CommunicationPolicies</v>
      </c>
      <c r="I657" s="4" t="str">
        <f>_xlfn.IFNA(IF(((INDEX(RulebookFields!D2:D1898, MATCH(D657,RulebookFields!A2:A1898, 0))="")=TRUE),  "",  INDEX(RulebookFields!D2:D1898, MATCH(D657,RulebookFields!A2:A1898, 0))), "")</f>
        <v>RequiredContent</v>
      </c>
      <c r="J657" s="4" t="b">
        <f>_xlfn.IFNA(IF(((INDEX(RulebookFields!I2:I1898, MATCH(D657,RulebookFields!A2:A1898, 0))="")=TRUE),  "",  INDEX(RulebookFields!I2:I1898, MATCH(D657,RulebookFields!A2:A1898, 0))), "")</f>
        <v>0</v>
      </c>
      <c r="K657" s="4" t="b">
        <f>AND(((F657)=TRUE), ((J657)=TRUE))</f>
        <v>0</v>
      </c>
      <c r="L657" s="4" t="b">
        <f>AND(((G657 &lt;&gt; "plain")=TRUE), ((G657 &lt;&gt; "")=TRUE))</f>
        <v>0</v>
      </c>
      <c r="M657" s="4" t="str">
        <f>IF(((E657)=TRUE),  C657 &amp; "|" &amp; H657,  "")</f>
        <v>principal-process-steward|CommunicationPolicies</v>
      </c>
      <c r="N657" s="3" t="s">
        <v>10004</v>
      </c>
    </row>
    <row r="658">
      <c r="A658" s="3" t="s">
        <v>10660</v>
      </c>
      <c r="B658" s="4" t="str">
        <f>C658 &amp; " -&gt; " &amp; D658</f>
        <v>principal-process-steward -&gt; CommunicationPolicies.AuthorityStatement</v>
      </c>
      <c r="C658" s="3" t="s">
        <v>9772</v>
      </c>
      <c r="D658" s="3" t="s">
        <v>4074</v>
      </c>
      <c r="E658" s="3" t="b">
        <v>1</v>
      </c>
      <c r="F658" s="3" t="b">
        <v>0</v>
      </c>
      <c r="G658" s="3" t="s">
        <v>10003</v>
      </c>
      <c r="H658" s="4" t="str">
        <f>_xlfn.IFNA(IF(((INDEX(RulebookFields!C2:C1898, MATCH(D658,RulebookFields!A2:A1898, 0))="")=TRUE),  "",  INDEX(RulebookFields!C2:C1898, MATCH(D658,RulebookFields!A2:A1898, 0))), "")</f>
        <v>CommunicationPolicies</v>
      </c>
      <c r="I658" s="4" t="str">
        <f>_xlfn.IFNA(IF(((INDEX(RulebookFields!D2:D1898, MATCH(D658,RulebookFields!A2:A1898, 0))="")=TRUE),  "",  INDEX(RulebookFields!D2:D1898, MATCH(D658,RulebookFields!A2:A1898, 0))), "")</f>
        <v>AuthorityStatement</v>
      </c>
      <c r="J658" s="4" t="b">
        <f>_xlfn.IFNA(IF(((INDEX(RulebookFields!I2:I1898, MATCH(D658,RulebookFields!A2:A1898, 0))="")=TRUE),  "",  INDEX(RulebookFields!I2:I1898, MATCH(D658,RulebookFields!A2:A1898, 0))), "")</f>
        <v>0</v>
      </c>
      <c r="K658" s="4" t="b">
        <f>AND(((F658)=TRUE), ((J658)=TRUE))</f>
        <v>0</v>
      </c>
      <c r="L658" s="4" t="b">
        <f>AND(((G658 &lt;&gt; "plain")=TRUE), ((G658 &lt;&gt; "")=TRUE))</f>
        <v>0</v>
      </c>
      <c r="M658" s="4" t="str">
        <f>IF(((E658)=TRUE),  C658 &amp; "|" &amp; H658,  "")</f>
        <v>principal-process-steward|CommunicationPolicies</v>
      </c>
      <c r="N658" s="3" t="s">
        <v>10004</v>
      </c>
    </row>
    <row r="659">
      <c r="A659" s="3" t="s">
        <v>10661</v>
      </c>
      <c r="B659" s="4" t="str">
        <f>C659 &amp; " -&gt; " &amp; D659</f>
        <v>principal-process-steward -&gt; CommunicationPolicies.Status</v>
      </c>
      <c r="C659" s="3" t="s">
        <v>9772</v>
      </c>
      <c r="D659" s="3" t="s">
        <v>4075</v>
      </c>
      <c r="E659" s="3" t="b">
        <v>1</v>
      </c>
      <c r="F659" s="3" t="b">
        <v>0</v>
      </c>
      <c r="G659" s="3" t="s">
        <v>10003</v>
      </c>
      <c r="H659" s="4" t="str">
        <f>_xlfn.IFNA(IF(((INDEX(RulebookFields!C2:C1898, MATCH(D659,RulebookFields!A2:A1898, 0))="")=TRUE),  "",  INDEX(RulebookFields!C2:C1898, MATCH(D659,RulebookFields!A2:A1898, 0))), "")</f>
        <v>CommunicationPolicies</v>
      </c>
      <c r="I659" s="4" t="str">
        <f>_xlfn.IFNA(IF(((INDEX(RulebookFields!D2:D1898, MATCH(D659,RulebookFields!A2:A1898, 0))="")=TRUE),  "",  INDEX(RulebookFields!D2:D1898, MATCH(D659,RulebookFields!A2:A1898, 0))), "")</f>
        <v>Status</v>
      </c>
      <c r="J659" s="4" t="b">
        <f>_xlfn.IFNA(IF(((INDEX(RulebookFields!I2:I1898, MATCH(D659,RulebookFields!A2:A1898, 0))="")=TRUE),  "",  INDEX(RulebookFields!I2:I1898, MATCH(D659,RulebookFields!A2:A1898, 0))), "")</f>
        <v>0</v>
      </c>
      <c r="K659" s="4" t="b">
        <f>AND(((F659)=TRUE), ((J659)=TRUE))</f>
        <v>0</v>
      </c>
      <c r="L659" s="4" t="b">
        <f>AND(((G659 &lt;&gt; "plain")=TRUE), ((G659 &lt;&gt; "")=TRUE))</f>
        <v>0</v>
      </c>
      <c r="M659" s="4" t="str">
        <f>IF(((E659)=TRUE),  C659 &amp; "|" &amp; H659,  "")</f>
        <v>principal-process-steward|CommunicationPolicies</v>
      </c>
      <c r="N659" s="3" t="s">
        <v>10004</v>
      </c>
    </row>
    <row r="660">
      <c r="A660" s="3" t="s">
        <v>10662</v>
      </c>
      <c r="B660" s="4" t="str">
        <f>C660 &amp; " -&gt; " &amp; D660</f>
        <v>principal-process-steward -&gt; CommunicationPolicies.ConsentViolationCount</v>
      </c>
      <c r="C660" s="3" t="s">
        <v>9772</v>
      </c>
      <c r="D660" s="3" t="s">
        <v>4076</v>
      </c>
      <c r="E660" s="3" t="b">
        <v>1</v>
      </c>
      <c r="F660" s="3" t="b">
        <v>0</v>
      </c>
      <c r="G660" s="3" t="s">
        <v>10003</v>
      </c>
      <c r="H660" s="4" t="str">
        <f>_xlfn.IFNA(IF(((INDEX(RulebookFields!C2:C1898, MATCH(D660,RulebookFields!A2:A1898, 0))="")=TRUE),  "",  INDEX(RulebookFields!C2:C1898, MATCH(D660,RulebookFields!A2:A1898, 0))), "")</f>
        <v>CommunicationPolicies</v>
      </c>
      <c r="I660" s="4" t="str">
        <f>_xlfn.IFNA(IF(((INDEX(RulebookFields!D2:D1898, MATCH(D660,RulebookFields!A2:A1898, 0))="")=TRUE),  "",  INDEX(RulebookFields!D2:D1898, MATCH(D660,RulebookFields!A2:A1898, 0))), "")</f>
        <v>ConsentViolationCount</v>
      </c>
      <c r="J660" s="4" t="b">
        <f>_xlfn.IFNA(IF(((INDEX(RulebookFields!I2:I1898, MATCH(D660,RulebookFields!A2:A1898, 0))="")=TRUE),  "",  INDEX(RulebookFields!I2:I1898, MATCH(D660,RulebookFields!A2:A1898, 0))), "")</f>
        <v>1</v>
      </c>
      <c r="K660" s="4" t="b">
        <f>AND(((F660)=TRUE), ((J660)=TRUE))</f>
        <v>0</v>
      </c>
      <c r="L660" s="4" t="b">
        <f>AND(((G660 &lt;&gt; "plain")=TRUE), ((G660 &lt;&gt; "")=TRUE))</f>
        <v>0</v>
      </c>
      <c r="M660" s="4" t="str">
        <f>IF(((E660)=TRUE),  C660 &amp; "|" &amp; H660,  "")</f>
        <v>principal-process-steward|CommunicationPolicies</v>
      </c>
      <c r="N660" s="3" t="s">
        <v>10004</v>
      </c>
    </row>
    <row r="661">
      <c r="A661" s="3" t="s">
        <v>10663</v>
      </c>
      <c r="B661" s="4" t="str">
        <f>C661 &amp; " -&gt; " &amp; D661</f>
        <v>principal-process-steward -&gt; CommunicationPolicies.QuietHoursStartHour</v>
      </c>
      <c r="C661" s="3" t="s">
        <v>9772</v>
      </c>
      <c r="D661" s="3" t="s">
        <v>4078</v>
      </c>
      <c r="E661" s="3" t="b">
        <v>1</v>
      </c>
      <c r="F661" s="3" t="b">
        <v>0</v>
      </c>
      <c r="G661" s="3" t="s">
        <v>10003</v>
      </c>
      <c r="H661" s="4" t="str">
        <f>_xlfn.IFNA(IF(((INDEX(RulebookFields!C2:C1898, MATCH(D661,RulebookFields!A2:A1898, 0))="")=TRUE),  "",  INDEX(RulebookFields!C2:C1898, MATCH(D661,RulebookFields!A2:A1898, 0))), "")</f>
        <v>CommunicationPolicies</v>
      </c>
      <c r="I661" s="4" t="str">
        <f>_xlfn.IFNA(IF(((INDEX(RulebookFields!D2:D1898, MATCH(D661,RulebookFields!A2:A1898, 0))="")=TRUE),  "",  INDEX(RulebookFields!D2:D1898, MATCH(D661,RulebookFields!A2:A1898, 0))), "")</f>
        <v>QuietHoursStartHour</v>
      </c>
      <c r="J661" s="4" t="b">
        <f>_xlfn.IFNA(IF(((INDEX(RulebookFields!I2:I1898, MATCH(D661,RulebookFields!A2:A1898, 0))="")=TRUE),  "",  INDEX(RulebookFields!I2:I1898, MATCH(D661,RulebookFields!A2:A1898, 0))), "")</f>
        <v>0</v>
      </c>
      <c r="K661" s="4" t="b">
        <f>AND(((F661)=TRUE), ((J661)=TRUE))</f>
        <v>0</v>
      </c>
      <c r="L661" s="4" t="b">
        <f>AND(((G661 &lt;&gt; "plain")=TRUE), ((G661 &lt;&gt; "")=TRUE))</f>
        <v>0</v>
      </c>
      <c r="M661" s="4" t="str">
        <f>IF(((E661)=TRUE),  C661 &amp; "|" &amp; H661,  "")</f>
        <v>principal-process-steward|CommunicationPolicies</v>
      </c>
      <c r="N661" s="3" t="s">
        <v>10004</v>
      </c>
    </row>
    <row r="662">
      <c r="A662" s="3" t="s">
        <v>10664</v>
      </c>
      <c r="B662" s="4" t="str">
        <f>C662 &amp; " -&gt; " &amp; D662</f>
        <v>principal-process-steward -&gt; CommunicationPolicies.QuietHoursEndHour</v>
      </c>
      <c r="C662" s="3" t="s">
        <v>9772</v>
      </c>
      <c r="D662" s="3" t="s">
        <v>4079</v>
      </c>
      <c r="E662" s="3" t="b">
        <v>1</v>
      </c>
      <c r="F662" s="3" t="b">
        <v>0</v>
      </c>
      <c r="G662" s="3" t="s">
        <v>10003</v>
      </c>
      <c r="H662" s="4" t="str">
        <f>_xlfn.IFNA(IF(((INDEX(RulebookFields!C2:C1898, MATCH(D662,RulebookFields!A2:A1898, 0))="")=TRUE),  "",  INDEX(RulebookFields!C2:C1898, MATCH(D662,RulebookFields!A2:A1898, 0))), "")</f>
        <v>CommunicationPolicies</v>
      </c>
      <c r="I662" s="4" t="str">
        <f>_xlfn.IFNA(IF(((INDEX(RulebookFields!D2:D1898, MATCH(D662,RulebookFields!A2:A1898, 0))="")=TRUE),  "",  INDEX(RulebookFields!D2:D1898, MATCH(D662,RulebookFields!A2:A1898, 0))), "")</f>
        <v>QuietHoursEndHour</v>
      </c>
      <c r="J662" s="4" t="b">
        <f>_xlfn.IFNA(IF(((INDEX(RulebookFields!I2:I1898, MATCH(D662,RulebookFields!A2:A1898, 0))="")=TRUE),  "",  INDEX(RulebookFields!I2:I1898, MATCH(D662,RulebookFields!A2:A1898, 0))), "")</f>
        <v>0</v>
      </c>
      <c r="K662" s="4" t="b">
        <f>AND(((F662)=TRUE), ((J662)=TRUE))</f>
        <v>0</v>
      </c>
      <c r="L662" s="4" t="b">
        <f>AND(((G662 &lt;&gt; "plain")=TRUE), ((G662 &lt;&gt; "")=TRUE))</f>
        <v>0</v>
      </c>
      <c r="M662" s="4" t="str">
        <f>IF(((E662)=TRUE),  C662 &amp; "|" &amp; H662,  "")</f>
        <v>principal-process-steward|CommunicationPolicies</v>
      </c>
      <c r="N662" s="3" t="s">
        <v>10004</v>
      </c>
    </row>
    <row r="663">
      <c r="A663" s="3" t="s">
        <v>10665</v>
      </c>
      <c r="B663" s="4" t="str">
        <f>C663 &amp; " -&gt; " &amp; D663</f>
        <v>principal-process-steward -&gt; CommunicationPolicies.QuietHoursViolationCount</v>
      </c>
      <c r="C663" s="3" t="s">
        <v>9772</v>
      </c>
      <c r="D663" s="3" t="s">
        <v>4080</v>
      </c>
      <c r="E663" s="3" t="b">
        <v>1</v>
      </c>
      <c r="F663" s="3" t="b">
        <v>0</v>
      </c>
      <c r="G663" s="3" t="s">
        <v>10003</v>
      </c>
      <c r="H663" s="4" t="str">
        <f>_xlfn.IFNA(IF(((INDEX(RulebookFields!C2:C1898, MATCH(D663,RulebookFields!A2:A1898, 0))="")=TRUE),  "",  INDEX(RulebookFields!C2:C1898, MATCH(D663,RulebookFields!A2:A1898, 0))), "")</f>
        <v>CommunicationPolicies</v>
      </c>
      <c r="I663" s="4" t="str">
        <f>_xlfn.IFNA(IF(((INDEX(RulebookFields!D2:D1898, MATCH(D663,RulebookFields!A2:A1898, 0))="")=TRUE),  "",  INDEX(RulebookFields!D2:D1898, MATCH(D663,RulebookFields!A2:A1898, 0))), "")</f>
        <v>QuietHoursViolationCount</v>
      </c>
      <c r="J663" s="4" t="b">
        <f>_xlfn.IFNA(IF(((INDEX(RulebookFields!I2:I1898, MATCH(D663,RulebookFields!A2:A1898, 0))="")=TRUE),  "",  INDEX(RulebookFields!I2:I1898, MATCH(D663,RulebookFields!A2:A1898, 0))), "")</f>
        <v>1</v>
      </c>
      <c r="K663" s="4" t="b">
        <f>AND(((F663)=TRUE), ((J663)=TRUE))</f>
        <v>0</v>
      </c>
      <c r="L663" s="4" t="b">
        <f>AND(((G663 &lt;&gt; "plain")=TRUE), ((G663 &lt;&gt; "")=TRUE))</f>
        <v>0</v>
      </c>
      <c r="M663" s="4" t="str">
        <f>IF(((E663)=TRUE),  C663 &amp; "|" &amp; H663,  "")</f>
        <v>principal-process-steward|CommunicationPolicies</v>
      </c>
      <c r="N663" s="3" t="s">
        <v>10004</v>
      </c>
    </row>
    <row r="664">
      <c r="A664" s="3" t="s">
        <v>10666</v>
      </c>
      <c r="B664" s="4" t="str">
        <f>C664 &amp; " -&gt; " &amp; D664</f>
        <v>principal-process-steward -&gt; CommunicationPolicies.RequiredOptOutPhrase</v>
      </c>
      <c r="C664" s="3" t="s">
        <v>9772</v>
      </c>
      <c r="D664" s="3" t="s">
        <v>4082</v>
      </c>
      <c r="E664" s="3" t="b">
        <v>1</v>
      </c>
      <c r="F664" s="3" t="b">
        <v>0</v>
      </c>
      <c r="G664" s="3" t="s">
        <v>10003</v>
      </c>
      <c r="H664" s="4" t="str">
        <f>_xlfn.IFNA(IF(((INDEX(RulebookFields!C2:C1898, MATCH(D664,RulebookFields!A2:A1898, 0))="")=TRUE),  "",  INDEX(RulebookFields!C2:C1898, MATCH(D664,RulebookFields!A2:A1898, 0))), "")</f>
        <v>CommunicationPolicies</v>
      </c>
      <c r="I664" s="4" t="str">
        <f>_xlfn.IFNA(IF(((INDEX(RulebookFields!D2:D1898, MATCH(D664,RulebookFields!A2:A1898, 0))="")=TRUE),  "",  INDEX(RulebookFields!D2:D1898, MATCH(D664,RulebookFields!A2:A1898, 0))), "")</f>
        <v>RequiredOptOutPhrase</v>
      </c>
      <c r="J664" s="4" t="b">
        <f>_xlfn.IFNA(IF(((INDEX(RulebookFields!I2:I1898, MATCH(D664,RulebookFields!A2:A1898, 0))="")=TRUE),  "",  INDEX(RulebookFields!I2:I1898, MATCH(D664,RulebookFields!A2:A1898, 0))), "")</f>
        <v>0</v>
      </c>
      <c r="K664" s="4" t="b">
        <f>AND(((F664)=TRUE), ((J664)=TRUE))</f>
        <v>0</v>
      </c>
      <c r="L664" s="4" t="b">
        <f>AND(((G664 &lt;&gt; "plain")=TRUE), ((G664 &lt;&gt; "")=TRUE))</f>
        <v>0</v>
      </c>
      <c r="M664" s="4" t="str">
        <f>IF(((E664)=TRUE),  C664 &amp; "|" &amp; H664,  "")</f>
        <v>principal-process-steward|CommunicationPolicies</v>
      </c>
      <c r="N664" s="3" t="s">
        <v>10004</v>
      </c>
    </row>
    <row r="665">
      <c r="A665" s="3" t="s">
        <v>10667</v>
      </c>
      <c r="B665" s="4" t="str">
        <f>C665 &amp; " -&gt; " &amp; D665</f>
        <v>principal-process-steward -&gt; CommunicationPolicies.IsActivePolicy</v>
      </c>
      <c r="C665" s="3" t="s">
        <v>9772</v>
      </c>
      <c r="D665" s="3" t="s">
        <v>4083</v>
      </c>
      <c r="E665" s="3" t="b">
        <v>1</v>
      </c>
      <c r="F665" s="3" t="b">
        <v>0</v>
      </c>
      <c r="G665" s="3" t="s">
        <v>10003</v>
      </c>
      <c r="H665" s="4" t="str">
        <f>_xlfn.IFNA(IF(((INDEX(RulebookFields!C2:C1898, MATCH(D665,RulebookFields!A2:A1898, 0))="")=TRUE),  "",  INDEX(RulebookFields!C2:C1898, MATCH(D665,RulebookFields!A2:A1898, 0))), "")</f>
        <v>CommunicationPolicies</v>
      </c>
      <c r="I665" s="4" t="str">
        <f>_xlfn.IFNA(IF(((INDEX(RulebookFields!D2:D1898, MATCH(D665,RulebookFields!A2:A1898, 0))="")=TRUE),  "",  INDEX(RulebookFields!D2:D1898, MATCH(D665,RulebookFields!A2:A1898, 0))), "")</f>
        <v>IsActivePolicy</v>
      </c>
      <c r="J665" s="4" t="b">
        <f>_xlfn.IFNA(IF(((INDEX(RulebookFields!I2:I1898, MATCH(D665,RulebookFields!A2:A1898, 0))="")=TRUE),  "",  INDEX(RulebookFields!I2:I1898, MATCH(D665,RulebookFields!A2:A1898, 0))), "")</f>
        <v>1</v>
      </c>
      <c r="K665" s="4" t="b">
        <f>AND(((F665)=TRUE), ((J665)=TRUE))</f>
        <v>0</v>
      </c>
      <c r="L665" s="4" t="b">
        <f>AND(((G665 &lt;&gt; "plain")=TRUE), ((G665 &lt;&gt; "")=TRUE))</f>
        <v>0</v>
      </c>
      <c r="M665" s="4" t="str">
        <f>IF(((E665)=TRUE),  C665 &amp; "|" &amp; H665,  "")</f>
        <v>principal-process-steward|CommunicationPolicies</v>
      </c>
      <c r="N665" s="3" t="s">
        <v>10004</v>
      </c>
    </row>
    <row r="666">
      <c r="A666" s="3" t="s">
        <v>10668</v>
      </c>
      <c r="B666" s="4" t="str">
        <f>C666 &amp; " -&gt; " &amp; D666</f>
        <v>principal-process-steward -&gt; CommunicationPolicies.SemanticTypeIri</v>
      </c>
      <c r="C666" s="3" t="s">
        <v>9772</v>
      </c>
      <c r="D666" s="3" t="s">
        <v>4085</v>
      </c>
      <c r="E666" s="3" t="b">
        <v>1</v>
      </c>
      <c r="F666" s="3" t="b">
        <v>0</v>
      </c>
      <c r="G666" s="3" t="s">
        <v>10003</v>
      </c>
      <c r="H666" s="4" t="str">
        <f>_xlfn.IFNA(IF(((INDEX(RulebookFields!C2:C1898, MATCH(D666,RulebookFields!A2:A1898, 0))="")=TRUE),  "",  INDEX(RulebookFields!C2:C1898, MATCH(D666,RulebookFields!A2:A1898, 0))), "")</f>
        <v>CommunicationPolicies</v>
      </c>
      <c r="I666" s="4" t="str">
        <f>_xlfn.IFNA(IF(((INDEX(RulebookFields!D2:D1898, MATCH(D666,RulebookFields!A2:A1898, 0))="")=TRUE),  "",  INDEX(RulebookFields!D2:D1898, MATCH(D666,RulebookFields!A2:A1898, 0))), "")</f>
        <v>SemanticTypeIri</v>
      </c>
      <c r="J666" s="4" t="b">
        <f>_xlfn.IFNA(IF(((INDEX(RulebookFields!I2:I1898, MATCH(D666,RulebookFields!A2:A1898, 0))="")=TRUE),  "",  INDEX(RulebookFields!I2:I1898, MATCH(D666,RulebookFields!A2:A1898, 0))), "")</f>
        <v>0</v>
      </c>
      <c r="K666" s="4" t="b">
        <f>AND(((F666)=TRUE), ((J666)=TRUE))</f>
        <v>0</v>
      </c>
      <c r="L666" s="4" t="b">
        <f>AND(((G666 &lt;&gt; "plain")=TRUE), ((G666 &lt;&gt; "")=TRUE))</f>
        <v>0</v>
      </c>
      <c r="M666" s="4" t="str">
        <f>IF(((E666)=TRUE),  C666 &amp; "|" &amp; H666,  "")</f>
        <v>principal-process-steward|CommunicationPolicies</v>
      </c>
      <c r="N666" s="3" t="s">
        <v>10004</v>
      </c>
    </row>
    <row r="667">
      <c r="A667" s="3" t="s">
        <v>10669</v>
      </c>
      <c r="B667" s="4" t="str">
        <f>C667 &amp; " -&gt; " &amp; D667</f>
        <v>principal-process-steward -&gt; CommunitiesOfPractice.CommunityOfPracticeId</v>
      </c>
      <c r="C667" s="3" t="s">
        <v>9772</v>
      </c>
      <c r="D667" s="3" t="s">
        <v>2654</v>
      </c>
      <c r="E667" s="3" t="b">
        <v>1</v>
      </c>
      <c r="F667" s="3" t="b">
        <v>0</v>
      </c>
      <c r="G667" s="3" t="s">
        <v>10003</v>
      </c>
      <c r="H667" s="4" t="str">
        <f>_xlfn.IFNA(IF(((INDEX(RulebookFields!C2:C1898, MATCH(D667,RulebookFields!A2:A1898, 0))="")=TRUE),  "",  INDEX(RulebookFields!C2:C1898, MATCH(D667,RulebookFields!A2:A1898, 0))), "")</f>
        <v>CommunitiesOfPractice</v>
      </c>
      <c r="I667" s="4" t="str">
        <f>_xlfn.IFNA(IF(((INDEX(RulebookFields!D2:D1898, MATCH(D667,RulebookFields!A2:A1898, 0))="")=TRUE),  "",  INDEX(RulebookFields!D2:D1898, MATCH(D667,RulebookFields!A2:A1898, 0))), "")</f>
        <v>CommunityOfPracticeId</v>
      </c>
      <c r="J667" s="4" t="b">
        <f>_xlfn.IFNA(IF(((INDEX(RulebookFields!I2:I1898, MATCH(D667,RulebookFields!A2:A1898, 0))="")=TRUE),  "",  INDEX(RulebookFields!I2:I1898, MATCH(D667,RulebookFields!A2:A1898, 0))), "")</f>
        <v>0</v>
      </c>
      <c r="K667" s="4" t="b">
        <f>AND(((F667)=TRUE), ((J667)=TRUE))</f>
        <v>0</v>
      </c>
      <c r="L667" s="4" t="b">
        <f>AND(((G667 &lt;&gt; "plain")=TRUE), ((G667 &lt;&gt; "")=TRUE))</f>
        <v>0</v>
      </c>
      <c r="M667" s="4" t="str">
        <f>IF(((E667)=TRUE),  C667 &amp; "|" &amp; H667,  "")</f>
        <v>principal-process-steward|CommunitiesOfPractice</v>
      </c>
      <c r="N667" s="3" t="s">
        <v>10004</v>
      </c>
    </row>
    <row r="668">
      <c r="A668" s="3" t="s">
        <v>10670</v>
      </c>
      <c r="B668" s="4" t="str">
        <f>C668 &amp; " -&gt; " &amp; D668</f>
        <v>principal-process-steward -&gt; CommunitiesOfPractice.Name</v>
      </c>
      <c r="C668" s="3" t="s">
        <v>9772</v>
      </c>
      <c r="D668" s="3" t="s">
        <v>2656</v>
      </c>
      <c r="E668" s="3" t="b">
        <v>1</v>
      </c>
      <c r="F668" s="3" t="b">
        <v>0</v>
      </c>
      <c r="G668" s="3" t="s">
        <v>10003</v>
      </c>
      <c r="H668" s="4" t="str">
        <f>_xlfn.IFNA(IF(((INDEX(RulebookFields!C2:C1898, MATCH(D668,RulebookFields!A2:A1898, 0))="")=TRUE),  "",  INDEX(RulebookFields!C2:C1898, MATCH(D668,RulebookFields!A2:A1898, 0))), "")</f>
        <v>CommunitiesOfPractice</v>
      </c>
      <c r="I668" s="4" t="str">
        <f>_xlfn.IFNA(IF(((INDEX(RulebookFields!D2:D1898, MATCH(D668,RulebookFields!A2:A1898, 0))="")=TRUE),  "",  INDEX(RulebookFields!D2:D1898, MATCH(D668,RulebookFields!A2:A1898, 0))), "")</f>
        <v>Name</v>
      </c>
      <c r="J668" s="4" t="b">
        <f>_xlfn.IFNA(IF(((INDEX(RulebookFields!I2:I1898, MATCH(D668,RulebookFields!A2:A1898, 0))="")=TRUE),  "",  INDEX(RulebookFields!I2:I1898, MATCH(D668,RulebookFields!A2:A1898, 0))), "")</f>
        <v>1</v>
      </c>
      <c r="K668" s="4" t="b">
        <f>AND(((F668)=TRUE), ((J668)=TRUE))</f>
        <v>0</v>
      </c>
      <c r="L668" s="4" t="b">
        <f>AND(((G668 &lt;&gt; "plain")=TRUE), ((G668 &lt;&gt; "")=TRUE))</f>
        <v>0</v>
      </c>
      <c r="M668" s="4" t="str">
        <f>IF(((E668)=TRUE),  C668 &amp; "|" &amp; H668,  "")</f>
        <v>principal-process-steward|CommunitiesOfPractice</v>
      </c>
      <c r="N668" s="3" t="s">
        <v>10004</v>
      </c>
    </row>
    <row r="669">
      <c r="A669" s="3" t="s">
        <v>10671</v>
      </c>
      <c r="B669" s="4" t="str">
        <f>C669 &amp; " -&gt; " &amp; D669</f>
        <v>principal-process-steward -&gt; CommunitiesOfPractice.Label</v>
      </c>
      <c r="C669" s="3" t="s">
        <v>9772</v>
      </c>
      <c r="D669" s="3" t="s">
        <v>2657</v>
      </c>
      <c r="E669" s="3" t="b">
        <v>1</v>
      </c>
      <c r="F669" s="3" t="b">
        <v>0</v>
      </c>
      <c r="G669" s="3" t="s">
        <v>10003</v>
      </c>
      <c r="H669" s="4" t="str">
        <f>_xlfn.IFNA(IF(((INDEX(RulebookFields!C2:C1898, MATCH(D669,RulebookFields!A2:A1898, 0))="")=TRUE),  "",  INDEX(RulebookFields!C2:C1898, MATCH(D669,RulebookFields!A2:A1898, 0))), "")</f>
        <v>CommunitiesOfPractice</v>
      </c>
      <c r="I669" s="4" t="str">
        <f>_xlfn.IFNA(IF(((INDEX(RulebookFields!D2:D1898, MATCH(D669,RulebookFields!A2:A1898, 0))="")=TRUE),  "",  INDEX(RulebookFields!D2:D1898, MATCH(D669,RulebookFields!A2:A1898, 0))), "")</f>
        <v>Label</v>
      </c>
      <c r="J669" s="4" t="b">
        <f>_xlfn.IFNA(IF(((INDEX(RulebookFields!I2:I1898, MATCH(D669,RulebookFields!A2:A1898, 0))="")=TRUE),  "",  INDEX(RulebookFields!I2:I1898, MATCH(D669,RulebookFields!A2:A1898, 0))), "")</f>
        <v>0</v>
      </c>
      <c r="K669" s="4" t="b">
        <f>AND(((F669)=TRUE), ((J669)=TRUE))</f>
        <v>0</v>
      </c>
      <c r="L669" s="4" t="b">
        <f>AND(((G669 &lt;&gt; "plain")=TRUE), ((G669 &lt;&gt; "")=TRUE))</f>
        <v>0</v>
      </c>
      <c r="M669" s="4" t="str">
        <f>IF(((E669)=TRUE),  C669 &amp; "|" &amp; H669,  "")</f>
        <v>principal-process-steward|CommunitiesOfPractice</v>
      </c>
      <c r="N669" s="3" t="s">
        <v>10004</v>
      </c>
    </row>
    <row r="670">
      <c r="A670" s="3" t="s">
        <v>10672</v>
      </c>
      <c r="B670" s="4" t="str">
        <f>C670 &amp; " -&gt; " &amp; D670</f>
        <v>principal-process-steward -&gt; CommunitiesOfPractice.Organization</v>
      </c>
      <c r="C670" s="3" t="s">
        <v>9772</v>
      </c>
      <c r="D670" s="3" t="s">
        <v>2658</v>
      </c>
      <c r="E670" s="3" t="b">
        <v>1</v>
      </c>
      <c r="F670" s="3" t="b">
        <v>0</v>
      </c>
      <c r="G670" s="3" t="s">
        <v>10003</v>
      </c>
      <c r="H670" s="4" t="str">
        <f>_xlfn.IFNA(IF(((INDEX(RulebookFields!C2:C1898, MATCH(D670,RulebookFields!A2:A1898, 0))="")=TRUE),  "",  INDEX(RulebookFields!C2:C1898, MATCH(D670,RulebookFields!A2:A1898, 0))), "")</f>
        <v>CommunitiesOfPractice</v>
      </c>
      <c r="I670" s="4" t="str">
        <f>_xlfn.IFNA(IF(((INDEX(RulebookFields!D2:D1898, MATCH(D670,RulebookFields!A2:A1898, 0))="")=TRUE),  "",  INDEX(RulebookFields!D2:D1898, MATCH(D670,RulebookFields!A2:A1898, 0))), "")</f>
        <v>Organization</v>
      </c>
      <c r="J670" s="4" t="b">
        <f>_xlfn.IFNA(IF(((INDEX(RulebookFields!I2:I1898, MATCH(D670,RulebookFields!A2:A1898, 0))="")=TRUE),  "",  INDEX(RulebookFields!I2:I1898, MATCH(D670,RulebookFields!A2:A1898, 0))), "")</f>
        <v>0</v>
      </c>
      <c r="K670" s="4" t="b">
        <f>AND(((F670)=TRUE), ((J670)=TRUE))</f>
        <v>0</v>
      </c>
      <c r="L670" s="4" t="b">
        <f>AND(((G670 &lt;&gt; "plain")=TRUE), ((G670 &lt;&gt; "")=TRUE))</f>
        <v>0</v>
      </c>
      <c r="M670" s="4" t="str">
        <f>IF(((E670)=TRUE),  C670 &amp; "|" &amp; H670,  "")</f>
        <v>principal-process-steward|CommunitiesOfPractice</v>
      </c>
      <c r="N670" s="3" t="s">
        <v>10004</v>
      </c>
    </row>
    <row r="671">
      <c r="A671" s="3" t="s">
        <v>10673</v>
      </c>
      <c r="B671" s="4" t="str">
        <f>C671 &amp; " -&gt; " &amp; D671</f>
        <v>principal-process-steward -&gt; CommunitiesOfPractice.StewardRole</v>
      </c>
      <c r="C671" s="3" t="s">
        <v>9772</v>
      </c>
      <c r="D671" s="3" t="s">
        <v>2659</v>
      </c>
      <c r="E671" s="3" t="b">
        <v>1</v>
      </c>
      <c r="F671" s="3" t="b">
        <v>0</v>
      </c>
      <c r="G671" s="3" t="s">
        <v>10003</v>
      </c>
      <c r="H671" s="4" t="str">
        <f>_xlfn.IFNA(IF(((INDEX(RulebookFields!C2:C1898, MATCH(D671,RulebookFields!A2:A1898, 0))="")=TRUE),  "",  INDEX(RulebookFields!C2:C1898, MATCH(D671,RulebookFields!A2:A1898, 0))), "")</f>
        <v>CommunitiesOfPractice</v>
      </c>
      <c r="I671" s="4" t="str">
        <f>_xlfn.IFNA(IF(((INDEX(RulebookFields!D2:D1898, MATCH(D671,RulebookFields!A2:A1898, 0))="")=TRUE),  "",  INDEX(RulebookFields!D2:D1898, MATCH(D671,RulebookFields!A2:A1898, 0))), "")</f>
        <v>StewardRole</v>
      </c>
      <c r="J671" s="4" t="b">
        <f>_xlfn.IFNA(IF(((INDEX(RulebookFields!I2:I1898, MATCH(D671,RulebookFields!A2:A1898, 0))="")=TRUE),  "",  INDEX(RulebookFields!I2:I1898, MATCH(D671,RulebookFields!A2:A1898, 0))), "")</f>
        <v>0</v>
      </c>
      <c r="K671" s="4" t="b">
        <f>AND(((F671)=TRUE), ((J671)=TRUE))</f>
        <v>0</v>
      </c>
      <c r="L671" s="4" t="b">
        <f>AND(((G671 &lt;&gt; "plain")=TRUE), ((G671 &lt;&gt; "")=TRUE))</f>
        <v>0</v>
      </c>
      <c r="M671" s="4" t="str">
        <f>IF(((E671)=TRUE),  C671 &amp; "|" &amp; H671,  "")</f>
        <v>principal-process-steward|CommunitiesOfPractice</v>
      </c>
      <c r="N671" s="3" t="s">
        <v>10004</v>
      </c>
    </row>
    <row r="672">
      <c r="A672" s="3" t="s">
        <v>10674</v>
      </c>
      <c r="B672" s="4" t="str">
        <f>C672 &amp; " -&gt; " &amp; D672</f>
        <v>principal-process-steward -&gt; CommunitiesOfPractice.Purpose</v>
      </c>
      <c r="C672" s="3" t="s">
        <v>9772</v>
      </c>
      <c r="D672" s="3" t="s">
        <v>2660</v>
      </c>
      <c r="E672" s="3" t="b">
        <v>1</v>
      </c>
      <c r="F672" s="3" t="b">
        <v>0</v>
      </c>
      <c r="G672" s="3" t="s">
        <v>10003</v>
      </c>
      <c r="H672" s="4" t="str">
        <f>_xlfn.IFNA(IF(((INDEX(RulebookFields!C2:C1898, MATCH(D672,RulebookFields!A2:A1898, 0))="")=TRUE),  "",  INDEX(RulebookFields!C2:C1898, MATCH(D672,RulebookFields!A2:A1898, 0))), "")</f>
        <v>CommunitiesOfPractice</v>
      </c>
      <c r="I672" s="4" t="str">
        <f>_xlfn.IFNA(IF(((INDEX(RulebookFields!D2:D1898, MATCH(D672,RulebookFields!A2:A1898, 0))="")=TRUE),  "",  INDEX(RulebookFields!D2:D1898, MATCH(D672,RulebookFields!A2:A1898, 0))), "")</f>
        <v>Purpose</v>
      </c>
      <c r="J672" s="4" t="b">
        <f>_xlfn.IFNA(IF(((INDEX(RulebookFields!I2:I1898, MATCH(D672,RulebookFields!A2:A1898, 0))="")=TRUE),  "",  INDEX(RulebookFields!I2:I1898, MATCH(D672,RulebookFields!A2:A1898, 0))), "")</f>
        <v>0</v>
      </c>
      <c r="K672" s="4" t="b">
        <f>AND(((F672)=TRUE), ((J672)=TRUE))</f>
        <v>0</v>
      </c>
      <c r="L672" s="4" t="b">
        <f>AND(((G672 &lt;&gt; "plain")=TRUE), ((G672 &lt;&gt; "")=TRUE))</f>
        <v>0</v>
      </c>
      <c r="M672" s="4" t="str">
        <f>IF(((E672)=TRUE),  C672 &amp; "|" &amp; H672,  "")</f>
        <v>principal-process-steward|CommunitiesOfPractice</v>
      </c>
      <c r="N672" s="3" t="s">
        <v>10004</v>
      </c>
    </row>
    <row r="673">
      <c r="A673" s="3" t="s">
        <v>10675</v>
      </c>
      <c r="B673" s="4" t="str">
        <f>C673 &amp; " -&gt; " &amp; D673</f>
        <v>principal-process-steward -&gt; CommunitiesOfPractice.Cadence</v>
      </c>
      <c r="C673" s="3" t="s">
        <v>9772</v>
      </c>
      <c r="D673" s="3" t="s">
        <v>2661</v>
      </c>
      <c r="E673" s="3" t="b">
        <v>1</v>
      </c>
      <c r="F673" s="3" t="b">
        <v>0</v>
      </c>
      <c r="G673" s="3" t="s">
        <v>10003</v>
      </c>
      <c r="H673" s="4" t="str">
        <f>_xlfn.IFNA(IF(((INDEX(RulebookFields!C2:C1898, MATCH(D673,RulebookFields!A2:A1898, 0))="")=TRUE),  "",  INDEX(RulebookFields!C2:C1898, MATCH(D673,RulebookFields!A2:A1898, 0))), "")</f>
        <v>CommunitiesOfPractice</v>
      </c>
      <c r="I673" s="4" t="str">
        <f>_xlfn.IFNA(IF(((INDEX(RulebookFields!D2:D1898, MATCH(D673,RulebookFields!A2:A1898, 0))="")=TRUE),  "",  INDEX(RulebookFields!D2:D1898, MATCH(D673,RulebookFields!A2:A1898, 0))), "")</f>
        <v>Cadence</v>
      </c>
      <c r="J673" s="4" t="b">
        <f>_xlfn.IFNA(IF(((INDEX(RulebookFields!I2:I1898, MATCH(D673,RulebookFields!A2:A1898, 0))="")=TRUE),  "",  INDEX(RulebookFields!I2:I1898, MATCH(D673,RulebookFields!A2:A1898, 0))), "")</f>
        <v>0</v>
      </c>
      <c r="K673" s="4" t="b">
        <f>AND(((F673)=TRUE), ((J673)=TRUE))</f>
        <v>0</v>
      </c>
      <c r="L673" s="4" t="b">
        <f>AND(((G673 &lt;&gt; "plain")=TRUE), ((G673 &lt;&gt; "")=TRUE))</f>
        <v>0</v>
      </c>
      <c r="M673" s="4" t="str">
        <f>IF(((E673)=TRUE),  C673 &amp; "|" &amp; H673,  "")</f>
        <v>principal-process-steward|CommunitiesOfPractice</v>
      </c>
      <c r="N673" s="3" t="s">
        <v>10004</v>
      </c>
    </row>
    <row r="674">
      <c r="A674" s="3" t="s">
        <v>10676</v>
      </c>
      <c r="B674" s="4" t="str">
        <f>C674 &amp; " -&gt; " &amp; D674</f>
        <v>principal-process-steward -&gt; CommunitiesOfPractice.SemanticTypeIri</v>
      </c>
      <c r="C674" s="3" t="s">
        <v>9772</v>
      </c>
      <c r="D674" s="3" t="s">
        <v>2662</v>
      </c>
      <c r="E674" s="3" t="b">
        <v>1</v>
      </c>
      <c r="F674" s="3" t="b">
        <v>0</v>
      </c>
      <c r="G674" s="3" t="s">
        <v>10003</v>
      </c>
      <c r="H674" s="4" t="str">
        <f>_xlfn.IFNA(IF(((INDEX(RulebookFields!C2:C1898, MATCH(D674,RulebookFields!A2:A1898, 0))="")=TRUE),  "",  INDEX(RulebookFields!C2:C1898, MATCH(D674,RulebookFields!A2:A1898, 0))), "")</f>
        <v>CommunitiesOfPractice</v>
      </c>
      <c r="I674" s="4" t="str">
        <f>_xlfn.IFNA(IF(((INDEX(RulebookFields!D2:D1898, MATCH(D674,RulebookFields!A2:A1898, 0))="")=TRUE),  "",  INDEX(RulebookFields!D2:D1898, MATCH(D674,RulebookFields!A2:A1898, 0))), "")</f>
        <v>SemanticTypeIri</v>
      </c>
      <c r="J674" s="4" t="b">
        <f>_xlfn.IFNA(IF(((INDEX(RulebookFields!I2:I1898, MATCH(D674,RulebookFields!A2:A1898, 0))="")=TRUE),  "",  INDEX(RulebookFields!I2:I1898, MATCH(D674,RulebookFields!A2:A1898, 0))), "")</f>
        <v>0</v>
      </c>
      <c r="K674" s="4" t="b">
        <f>AND(((F674)=TRUE), ((J674)=TRUE))</f>
        <v>0</v>
      </c>
      <c r="L674" s="4" t="b">
        <f>AND(((G674 &lt;&gt; "plain")=TRUE), ((G674 &lt;&gt; "")=TRUE))</f>
        <v>0</v>
      </c>
      <c r="M674" s="4" t="str">
        <f>IF(((E674)=TRUE),  C674 &amp; "|" &amp; H674,  "")</f>
        <v>principal-process-steward|CommunitiesOfPractice</v>
      </c>
      <c r="N674" s="3" t="s">
        <v>10004</v>
      </c>
    </row>
    <row r="675">
      <c r="A675" s="3" t="s">
        <v>10677</v>
      </c>
      <c r="B675" s="4" t="str">
        <f>C675 &amp; " -&gt; " &amp; D675</f>
        <v>principal-process-steward -&gt; DeliveredCommunications.DeliveredCommunicationId</v>
      </c>
      <c r="C675" s="3" t="s">
        <v>9772</v>
      </c>
      <c r="D675" s="3" t="s">
        <v>5094</v>
      </c>
      <c r="E675" s="3" t="b">
        <v>1</v>
      </c>
      <c r="F675" s="3" t="b">
        <v>0</v>
      </c>
      <c r="G675" s="3" t="s">
        <v>10003</v>
      </c>
      <c r="H675" s="4" t="str">
        <f>_xlfn.IFNA(IF(((INDEX(RulebookFields!C2:C1898, MATCH(D675,RulebookFields!A2:A1898, 0))="")=TRUE),  "",  INDEX(RulebookFields!C2:C1898, MATCH(D675,RulebookFields!A2:A1898, 0))), "")</f>
        <v>DeliveredCommunications</v>
      </c>
      <c r="I675" s="4" t="str">
        <f>_xlfn.IFNA(IF(((INDEX(RulebookFields!D2:D1898, MATCH(D675,RulebookFields!A2:A1898, 0))="")=TRUE),  "",  INDEX(RulebookFields!D2:D1898, MATCH(D675,RulebookFields!A2:A1898, 0))), "")</f>
        <v>DeliveredCommunicationId</v>
      </c>
      <c r="J675" s="4" t="b">
        <f>_xlfn.IFNA(IF(((INDEX(RulebookFields!I2:I1898, MATCH(D675,RulebookFields!A2:A1898, 0))="")=TRUE),  "",  INDEX(RulebookFields!I2:I1898, MATCH(D675,RulebookFields!A2:A1898, 0))), "")</f>
        <v>0</v>
      </c>
      <c r="K675" s="4" t="b">
        <f>AND(((F675)=TRUE), ((J675)=TRUE))</f>
        <v>0</v>
      </c>
      <c r="L675" s="4" t="b">
        <f>AND(((G675 &lt;&gt; "plain")=TRUE), ((G675 &lt;&gt; "")=TRUE))</f>
        <v>0</v>
      </c>
      <c r="M675" s="4" t="str">
        <f>IF(((E675)=TRUE),  C675 &amp; "|" &amp; H675,  "")</f>
        <v>principal-process-steward|DeliveredCommunications</v>
      </c>
      <c r="N675" s="3" t="s">
        <v>10004</v>
      </c>
    </row>
    <row r="676">
      <c r="A676" s="3" t="s">
        <v>10678</v>
      </c>
      <c r="B676" s="4" t="str">
        <f>C676 &amp; " -&gt; " &amp; D676</f>
        <v>principal-process-steward -&gt; DeliveredCommunications.Name</v>
      </c>
      <c r="C676" s="3" t="s">
        <v>9772</v>
      </c>
      <c r="D676" s="3" t="s">
        <v>5097</v>
      </c>
      <c r="E676" s="3" t="b">
        <v>1</v>
      </c>
      <c r="F676" s="3" t="b">
        <v>0</v>
      </c>
      <c r="G676" s="3" t="s">
        <v>10003</v>
      </c>
      <c r="H676" s="4" t="str">
        <f>_xlfn.IFNA(IF(((INDEX(RulebookFields!C2:C1898, MATCH(D676,RulebookFields!A2:A1898, 0))="")=TRUE),  "",  INDEX(RulebookFields!C2:C1898, MATCH(D676,RulebookFields!A2:A1898, 0))), "")</f>
        <v>DeliveredCommunications</v>
      </c>
      <c r="I676" s="4" t="str">
        <f>_xlfn.IFNA(IF(((INDEX(RulebookFields!D2:D1898, MATCH(D676,RulebookFields!A2:A1898, 0))="")=TRUE),  "",  INDEX(RulebookFields!D2:D1898, MATCH(D676,RulebookFields!A2:A1898, 0))), "")</f>
        <v>Name</v>
      </c>
      <c r="J676" s="4" t="b">
        <f>_xlfn.IFNA(IF(((INDEX(RulebookFields!I2:I1898, MATCH(D676,RulebookFields!A2:A1898, 0))="")=TRUE),  "",  INDEX(RulebookFields!I2:I1898, MATCH(D676,RulebookFields!A2:A1898, 0))), "")</f>
        <v>1</v>
      </c>
      <c r="K676" s="4" t="b">
        <f>AND(((F676)=TRUE), ((J676)=TRUE))</f>
        <v>0</v>
      </c>
      <c r="L676" s="4" t="b">
        <f>AND(((G676 &lt;&gt; "plain")=TRUE), ((G676 &lt;&gt; "")=TRUE))</f>
        <v>0</v>
      </c>
      <c r="M676" s="4" t="str">
        <f>IF(((E676)=TRUE),  C676 &amp; "|" &amp; H676,  "")</f>
        <v>principal-process-steward|DeliveredCommunications</v>
      </c>
      <c r="N676" s="3" t="s">
        <v>10004</v>
      </c>
    </row>
    <row r="677">
      <c r="A677" s="3" t="s">
        <v>10679</v>
      </c>
      <c r="B677" s="4" t="str">
        <f>C677 &amp; " -&gt; " &amp; D677</f>
        <v>principal-process-steward -&gt; DeliveredCommunications.ProcedureExecution</v>
      </c>
      <c r="C677" s="3" t="s">
        <v>9772</v>
      </c>
      <c r="D677" s="3" t="s">
        <v>5099</v>
      </c>
      <c r="E677" s="3" t="b">
        <v>1</v>
      </c>
      <c r="F677" s="3" t="b">
        <v>0</v>
      </c>
      <c r="G677" s="3" t="s">
        <v>10003</v>
      </c>
      <c r="H677" s="4" t="str">
        <f>_xlfn.IFNA(IF(((INDEX(RulebookFields!C2:C1898, MATCH(D677,RulebookFields!A2:A1898, 0))="")=TRUE),  "",  INDEX(RulebookFields!C2:C1898, MATCH(D677,RulebookFields!A2:A1898, 0))), "")</f>
        <v>DeliveredCommunications</v>
      </c>
      <c r="I677" s="4" t="str">
        <f>_xlfn.IFNA(IF(((INDEX(RulebookFields!D2:D1898, MATCH(D677,RulebookFields!A2:A1898, 0))="")=TRUE),  "",  INDEX(RulebookFields!D2:D1898, MATCH(D677,RulebookFields!A2:A1898, 0))), "")</f>
        <v>ProcedureExecution</v>
      </c>
      <c r="J677" s="4" t="b">
        <f>_xlfn.IFNA(IF(((INDEX(RulebookFields!I2:I1898, MATCH(D677,RulebookFields!A2:A1898, 0))="")=TRUE),  "",  INDEX(RulebookFields!I2:I1898, MATCH(D677,RulebookFields!A2:A1898, 0))), "")</f>
        <v>0</v>
      </c>
      <c r="K677" s="4" t="b">
        <f>AND(((F677)=TRUE), ((J677)=TRUE))</f>
        <v>0</v>
      </c>
      <c r="L677" s="4" t="b">
        <f>AND(((G677 &lt;&gt; "plain")=TRUE), ((G677 &lt;&gt; "")=TRUE))</f>
        <v>0</v>
      </c>
      <c r="M677" s="4" t="str">
        <f>IF(((E677)=TRUE),  C677 &amp; "|" &amp; H677,  "")</f>
        <v>principal-process-steward|DeliveredCommunications</v>
      </c>
      <c r="N677" s="3" t="s">
        <v>10004</v>
      </c>
    </row>
    <row r="678">
      <c r="A678" s="3" t="s">
        <v>10680</v>
      </c>
      <c r="B678" s="4" t="str">
        <f>C678 &amp; " -&gt; " &amp; D678</f>
        <v>principal-process-steward -&gt; DeliveredCommunications.SendingStepExecution</v>
      </c>
      <c r="C678" s="3" t="s">
        <v>9772</v>
      </c>
      <c r="D678" s="3" t="s">
        <v>5100</v>
      </c>
      <c r="E678" s="3" t="b">
        <v>1</v>
      </c>
      <c r="F678" s="3" t="b">
        <v>0</v>
      </c>
      <c r="G678" s="3" t="s">
        <v>10003</v>
      </c>
      <c r="H678" s="4" t="str">
        <f>_xlfn.IFNA(IF(((INDEX(RulebookFields!C2:C1898, MATCH(D678,RulebookFields!A2:A1898, 0))="")=TRUE),  "",  INDEX(RulebookFields!C2:C1898, MATCH(D678,RulebookFields!A2:A1898, 0))), "")</f>
        <v>DeliveredCommunications</v>
      </c>
      <c r="I678" s="4" t="str">
        <f>_xlfn.IFNA(IF(((INDEX(RulebookFields!D2:D1898, MATCH(D678,RulebookFields!A2:A1898, 0))="")=TRUE),  "",  INDEX(RulebookFields!D2:D1898, MATCH(D678,RulebookFields!A2:A1898, 0))), "")</f>
        <v>SendingStepExecution</v>
      </c>
      <c r="J678" s="4" t="b">
        <f>_xlfn.IFNA(IF(((INDEX(RulebookFields!I2:I1898, MATCH(D678,RulebookFields!A2:A1898, 0))="")=TRUE),  "",  INDEX(RulebookFields!I2:I1898, MATCH(D678,RulebookFields!A2:A1898, 0))), "")</f>
        <v>0</v>
      </c>
      <c r="K678" s="4" t="b">
        <f>AND(((F678)=TRUE), ((J678)=TRUE))</f>
        <v>0</v>
      </c>
      <c r="L678" s="4" t="b">
        <f>AND(((G678 &lt;&gt; "plain")=TRUE), ((G678 &lt;&gt; "")=TRUE))</f>
        <v>0</v>
      </c>
      <c r="M678" s="4" t="str">
        <f>IF(((E678)=TRUE),  C678 &amp; "|" &amp; H678,  "")</f>
        <v>principal-process-steward|DeliveredCommunications</v>
      </c>
      <c r="N678" s="3" t="s">
        <v>10004</v>
      </c>
    </row>
    <row r="679">
      <c r="A679" s="3" t="s">
        <v>10681</v>
      </c>
      <c r="B679" s="4" t="str">
        <f>C679 &amp; " -&gt; " &amp; D679</f>
        <v>principal-process-steward -&gt; DeliveredCommunications.AuthorizingStepExecution</v>
      </c>
      <c r="C679" s="3" t="s">
        <v>9772</v>
      </c>
      <c r="D679" s="3" t="s">
        <v>5102</v>
      </c>
      <c r="E679" s="3" t="b">
        <v>1</v>
      </c>
      <c r="F679" s="3" t="b">
        <v>0</v>
      </c>
      <c r="G679" s="3" t="s">
        <v>10003</v>
      </c>
      <c r="H679" s="4" t="str">
        <f>_xlfn.IFNA(IF(((INDEX(RulebookFields!C2:C1898, MATCH(D679,RulebookFields!A2:A1898, 0))="")=TRUE),  "",  INDEX(RulebookFields!C2:C1898, MATCH(D679,RulebookFields!A2:A1898, 0))), "")</f>
        <v>DeliveredCommunications</v>
      </c>
      <c r="I679" s="4" t="str">
        <f>_xlfn.IFNA(IF(((INDEX(RulebookFields!D2:D1898, MATCH(D679,RulebookFields!A2:A1898, 0))="")=TRUE),  "",  INDEX(RulebookFields!D2:D1898, MATCH(D679,RulebookFields!A2:A1898, 0))), "")</f>
        <v>AuthorizingStepExecution</v>
      </c>
      <c r="J679" s="4" t="b">
        <f>_xlfn.IFNA(IF(((INDEX(RulebookFields!I2:I1898, MATCH(D679,RulebookFields!A2:A1898, 0))="")=TRUE),  "",  INDEX(RulebookFields!I2:I1898, MATCH(D679,RulebookFields!A2:A1898, 0))), "")</f>
        <v>0</v>
      </c>
      <c r="K679" s="4" t="b">
        <f>AND(((F679)=TRUE), ((J679)=TRUE))</f>
        <v>0</v>
      </c>
      <c r="L679" s="4" t="b">
        <f>AND(((G679 &lt;&gt; "plain")=TRUE), ((G679 &lt;&gt; "")=TRUE))</f>
        <v>0</v>
      </c>
      <c r="M679" s="4" t="str">
        <f>IF(((E679)=TRUE),  C679 &amp; "|" &amp; H679,  "")</f>
        <v>principal-process-steward|DeliveredCommunications</v>
      </c>
      <c r="N679" s="3" t="s">
        <v>10004</v>
      </c>
    </row>
    <row r="680">
      <c r="A680" s="3" t="s">
        <v>10682</v>
      </c>
      <c r="B680" s="4" t="str">
        <f>C680 &amp; " -&gt; " &amp; D680</f>
        <v>principal-process-steward -&gt; DeliveredCommunications.MessageTemplate</v>
      </c>
      <c r="C680" s="3" t="s">
        <v>9772</v>
      </c>
      <c r="D680" s="3" t="s">
        <v>5104</v>
      </c>
      <c r="E680" s="3" t="b">
        <v>1</v>
      </c>
      <c r="F680" s="3" t="b">
        <v>0</v>
      </c>
      <c r="G680" s="3" t="s">
        <v>10003</v>
      </c>
      <c r="H680" s="4" t="str">
        <f>_xlfn.IFNA(IF(((INDEX(RulebookFields!C2:C1898, MATCH(D680,RulebookFields!A2:A1898, 0))="")=TRUE),  "",  INDEX(RulebookFields!C2:C1898, MATCH(D680,RulebookFields!A2:A1898, 0))), "")</f>
        <v>DeliveredCommunications</v>
      </c>
      <c r="I680" s="4" t="str">
        <f>_xlfn.IFNA(IF(((INDEX(RulebookFields!D2:D1898, MATCH(D680,RulebookFields!A2:A1898, 0))="")=TRUE),  "",  INDEX(RulebookFields!D2:D1898, MATCH(D680,RulebookFields!A2:A1898, 0))), "")</f>
        <v>MessageTemplate</v>
      </c>
      <c r="J680" s="4" t="b">
        <f>_xlfn.IFNA(IF(((INDEX(RulebookFields!I2:I1898, MATCH(D680,RulebookFields!A2:A1898, 0))="")=TRUE),  "",  INDEX(RulebookFields!I2:I1898, MATCH(D680,RulebookFields!A2:A1898, 0))), "")</f>
        <v>0</v>
      </c>
      <c r="K680" s="4" t="b">
        <f>AND(((F680)=TRUE), ((J680)=TRUE))</f>
        <v>0</v>
      </c>
      <c r="L680" s="4" t="b">
        <f>AND(((G680 &lt;&gt; "plain")=TRUE), ((G680 &lt;&gt; "")=TRUE))</f>
        <v>0</v>
      </c>
      <c r="M680" s="4" t="str">
        <f>IF(((E680)=TRUE),  C680 &amp; "|" &amp; H680,  "")</f>
        <v>principal-process-steward|DeliveredCommunications</v>
      </c>
      <c r="N680" s="3" t="s">
        <v>10004</v>
      </c>
    </row>
    <row r="681">
      <c r="A681" s="3" t="s">
        <v>10683</v>
      </c>
      <c r="B681" s="4" t="str">
        <f>C681 &amp; " -&gt; " &amp; D681</f>
        <v>principal-process-steward -&gt; DeliveredCommunications.Channel</v>
      </c>
      <c r="C681" s="3" t="s">
        <v>9772</v>
      </c>
      <c r="D681" s="3" t="s">
        <v>5105</v>
      </c>
      <c r="E681" s="3" t="b">
        <v>1</v>
      </c>
      <c r="F681" s="3" t="b">
        <v>0</v>
      </c>
      <c r="G681" s="3" t="s">
        <v>10003</v>
      </c>
      <c r="H681" s="4" t="str">
        <f>_xlfn.IFNA(IF(((INDEX(RulebookFields!C2:C1898, MATCH(D681,RulebookFields!A2:A1898, 0))="")=TRUE),  "",  INDEX(RulebookFields!C2:C1898, MATCH(D681,RulebookFields!A2:A1898, 0))), "")</f>
        <v>DeliveredCommunications</v>
      </c>
      <c r="I681" s="4" t="str">
        <f>_xlfn.IFNA(IF(((INDEX(RulebookFields!D2:D1898, MATCH(D681,RulebookFields!A2:A1898, 0))="")=TRUE),  "",  INDEX(RulebookFields!D2:D1898, MATCH(D681,RulebookFields!A2:A1898, 0))), "")</f>
        <v>Channel</v>
      </c>
      <c r="J681" s="4" t="b">
        <f>_xlfn.IFNA(IF(((INDEX(RulebookFields!I2:I1898, MATCH(D681,RulebookFields!A2:A1898, 0))="")=TRUE),  "",  INDEX(RulebookFields!I2:I1898, MATCH(D681,RulebookFields!A2:A1898, 0))), "")</f>
        <v>0</v>
      </c>
      <c r="K681" s="4" t="b">
        <f>AND(((F681)=TRUE), ((J681)=TRUE))</f>
        <v>0</v>
      </c>
      <c r="L681" s="4" t="b">
        <f>AND(((G681 &lt;&gt; "plain")=TRUE), ((G681 &lt;&gt; "")=TRUE))</f>
        <v>0</v>
      </c>
      <c r="M681" s="4" t="str">
        <f>IF(((E681)=TRUE),  C681 &amp; "|" &amp; H681,  "")</f>
        <v>principal-process-steward|DeliveredCommunications</v>
      </c>
      <c r="N681" s="3" t="s">
        <v>10004</v>
      </c>
    </row>
    <row r="682">
      <c r="A682" s="3" t="s">
        <v>10684</v>
      </c>
      <c r="B682" s="4" t="str">
        <f>C682 &amp; " -&gt; " &amp; D682</f>
        <v>principal-process-steward -&gt; DeliveredCommunications.RecipientKey</v>
      </c>
      <c r="C682" s="3" t="s">
        <v>9772</v>
      </c>
      <c r="D682" s="3" t="s">
        <v>5106</v>
      </c>
      <c r="E682" s="3" t="b">
        <v>1</v>
      </c>
      <c r="F682" s="3" t="b">
        <v>0</v>
      </c>
      <c r="G682" s="3" t="s">
        <v>10003</v>
      </c>
      <c r="H682" s="4" t="str">
        <f>_xlfn.IFNA(IF(((INDEX(RulebookFields!C2:C1898, MATCH(D682,RulebookFields!A2:A1898, 0))="")=TRUE),  "",  INDEX(RulebookFields!C2:C1898, MATCH(D682,RulebookFields!A2:A1898, 0))), "")</f>
        <v>DeliveredCommunications</v>
      </c>
      <c r="I682" s="4" t="str">
        <f>_xlfn.IFNA(IF(((INDEX(RulebookFields!D2:D1898, MATCH(D682,RulebookFields!A2:A1898, 0))="")=TRUE),  "",  INDEX(RulebookFields!D2:D1898, MATCH(D682,RulebookFields!A2:A1898, 0))), "")</f>
        <v>RecipientKey</v>
      </c>
      <c r="J682" s="4" t="b">
        <f>_xlfn.IFNA(IF(((INDEX(RulebookFields!I2:I1898, MATCH(D682,RulebookFields!A2:A1898, 0))="")=TRUE),  "",  INDEX(RulebookFields!I2:I1898, MATCH(D682,RulebookFields!A2:A1898, 0))), "")</f>
        <v>0</v>
      </c>
      <c r="K682" s="4" t="b">
        <f>AND(((F682)=TRUE), ((J682)=TRUE))</f>
        <v>0</v>
      </c>
      <c r="L682" s="4" t="b">
        <f>AND(((G682 &lt;&gt; "plain")=TRUE), ((G682 &lt;&gt; "")=TRUE))</f>
        <v>0</v>
      </c>
      <c r="M682" s="4" t="str">
        <f>IF(((E682)=TRUE),  C682 &amp; "|" &amp; H682,  "")</f>
        <v>principal-process-steward|DeliveredCommunications</v>
      </c>
      <c r="N682" s="3" t="s">
        <v>10004</v>
      </c>
    </row>
    <row r="683">
      <c r="A683" s="3" t="s">
        <v>10685</v>
      </c>
      <c r="B683" s="4" t="str">
        <f>C683 &amp; " -&gt; " &amp; D683</f>
        <v>principal-process-steward -&gt; DeliveredCommunications.SentAt</v>
      </c>
      <c r="C683" s="3" t="s">
        <v>9772</v>
      </c>
      <c r="D683" s="3" t="s">
        <v>5108</v>
      </c>
      <c r="E683" s="3" t="b">
        <v>1</v>
      </c>
      <c r="F683" s="3" t="b">
        <v>0</v>
      </c>
      <c r="G683" s="3" t="s">
        <v>10003</v>
      </c>
      <c r="H683" s="4" t="str">
        <f>_xlfn.IFNA(IF(((INDEX(RulebookFields!C2:C1898, MATCH(D683,RulebookFields!A2:A1898, 0))="")=TRUE),  "",  INDEX(RulebookFields!C2:C1898, MATCH(D683,RulebookFields!A2:A1898, 0))), "")</f>
        <v>DeliveredCommunications</v>
      </c>
      <c r="I683" s="4" t="str">
        <f>_xlfn.IFNA(IF(((INDEX(RulebookFields!D2:D1898, MATCH(D683,RulebookFields!A2:A1898, 0))="")=TRUE),  "",  INDEX(RulebookFields!D2:D1898, MATCH(D683,RulebookFields!A2:A1898, 0))), "")</f>
        <v>SentAt</v>
      </c>
      <c r="J683" s="4" t="b">
        <f>_xlfn.IFNA(IF(((INDEX(RulebookFields!I2:I1898, MATCH(D683,RulebookFields!A2:A1898, 0))="")=TRUE),  "",  INDEX(RulebookFields!I2:I1898, MATCH(D683,RulebookFields!A2:A1898, 0))), "")</f>
        <v>0</v>
      </c>
      <c r="K683" s="4" t="b">
        <f>AND(((F683)=TRUE), ((J683)=TRUE))</f>
        <v>0</v>
      </c>
      <c r="L683" s="4" t="b">
        <f>AND(((G683 &lt;&gt; "plain")=TRUE), ((G683 &lt;&gt; "")=TRUE))</f>
        <v>0</v>
      </c>
      <c r="M683" s="4" t="str">
        <f>IF(((E683)=TRUE),  C683 &amp; "|" &amp; H683,  "")</f>
        <v>principal-process-steward|DeliveredCommunications</v>
      </c>
      <c r="N683" s="3" t="s">
        <v>10004</v>
      </c>
    </row>
    <row r="684">
      <c r="A684" s="3" t="s">
        <v>10686</v>
      </c>
      <c r="B684" s="4" t="str">
        <f>C684 &amp; " -&gt; " &amp; D684</f>
        <v>principal-process-steward -&gt; DeliveredCommunications.RenderedContentHash</v>
      </c>
      <c r="C684" s="3" t="s">
        <v>9772</v>
      </c>
      <c r="D684" s="3" t="s">
        <v>5109</v>
      </c>
      <c r="E684" s="3" t="b">
        <v>1</v>
      </c>
      <c r="F684" s="3" t="b">
        <v>0</v>
      </c>
      <c r="G684" s="3" t="s">
        <v>10003</v>
      </c>
      <c r="H684" s="4" t="str">
        <f>_xlfn.IFNA(IF(((INDEX(RulebookFields!C2:C1898, MATCH(D684,RulebookFields!A2:A1898, 0))="")=TRUE),  "",  INDEX(RulebookFields!C2:C1898, MATCH(D684,RulebookFields!A2:A1898, 0))), "")</f>
        <v>DeliveredCommunications</v>
      </c>
      <c r="I684" s="4" t="str">
        <f>_xlfn.IFNA(IF(((INDEX(RulebookFields!D2:D1898, MATCH(D684,RulebookFields!A2:A1898, 0))="")=TRUE),  "",  INDEX(RulebookFields!D2:D1898, MATCH(D684,RulebookFields!A2:A1898, 0))), "")</f>
        <v>RenderedContentHash</v>
      </c>
      <c r="J684" s="4" t="b">
        <f>_xlfn.IFNA(IF(((INDEX(RulebookFields!I2:I1898, MATCH(D684,RulebookFields!A2:A1898, 0))="")=TRUE),  "",  INDEX(RulebookFields!I2:I1898, MATCH(D684,RulebookFields!A2:A1898, 0))), "")</f>
        <v>0</v>
      </c>
      <c r="K684" s="4" t="b">
        <f>AND(((F684)=TRUE), ((J684)=TRUE))</f>
        <v>0</v>
      </c>
      <c r="L684" s="4" t="b">
        <f>AND(((G684 &lt;&gt; "plain")=TRUE), ((G684 &lt;&gt; "")=TRUE))</f>
        <v>0</v>
      </c>
      <c r="M684" s="4" t="str">
        <f>IF(((E684)=TRUE),  C684 &amp; "|" &amp; H684,  "")</f>
        <v>principal-process-steward|DeliveredCommunications</v>
      </c>
      <c r="N684" s="3" t="s">
        <v>10004</v>
      </c>
    </row>
    <row r="685">
      <c r="A685" s="3" t="s">
        <v>10687</v>
      </c>
      <c r="B685" s="4" t="str">
        <f>C685 &amp; " -&gt; " &amp; D685</f>
        <v>principal-process-steward -&gt; DeliveredCommunications.ApprovedContentHash</v>
      </c>
      <c r="C685" s="3" t="s">
        <v>9772</v>
      </c>
      <c r="D685" s="3" t="s">
        <v>5111</v>
      </c>
      <c r="E685" s="3" t="b">
        <v>1</v>
      </c>
      <c r="F685" s="3" t="b">
        <v>0</v>
      </c>
      <c r="G685" s="3" t="s">
        <v>10003</v>
      </c>
      <c r="H685" s="4" t="str">
        <f>_xlfn.IFNA(IF(((INDEX(RulebookFields!C2:C1898, MATCH(D685,RulebookFields!A2:A1898, 0))="")=TRUE),  "",  INDEX(RulebookFields!C2:C1898, MATCH(D685,RulebookFields!A2:A1898, 0))), "")</f>
        <v>DeliveredCommunications</v>
      </c>
      <c r="I685" s="4" t="str">
        <f>_xlfn.IFNA(IF(((INDEX(RulebookFields!D2:D1898, MATCH(D685,RulebookFields!A2:A1898, 0))="")=TRUE),  "",  INDEX(RulebookFields!D2:D1898, MATCH(D685,RulebookFields!A2:A1898, 0))), "")</f>
        <v>ApprovedContentHash</v>
      </c>
      <c r="J685" s="4" t="b">
        <f>_xlfn.IFNA(IF(((INDEX(RulebookFields!I2:I1898, MATCH(D685,RulebookFields!A2:A1898, 0))="")=TRUE),  "",  INDEX(RulebookFields!I2:I1898, MATCH(D685,RulebookFields!A2:A1898, 0))), "")</f>
        <v>0</v>
      </c>
      <c r="K685" s="4" t="b">
        <f>AND(((F685)=TRUE), ((J685)=TRUE))</f>
        <v>0</v>
      </c>
      <c r="L685" s="4" t="b">
        <f>AND(((G685 &lt;&gt; "plain")=TRUE), ((G685 &lt;&gt; "")=TRUE))</f>
        <v>0</v>
      </c>
      <c r="M685" s="4" t="str">
        <f>IF(((E685)=TRUE),  C685 &amp; "|" &amp; H685,  "")</f>
        <v>principal-process-steward|DeliveredCommunications</v>
      </c>
      <c r="N685" s="3" t="s">
        <v>10004</v>
      </c>
    </row>
    <row r="686">
      <c r="A686" s="3" t="s">
        <v>10688</v>
      </c>
      <c r="B686" s="4" t="str">
        <f>C686 &amp; " -&gt; " &amp; D686</f>
        <v>principal-process-steward -&gt; DeliveredCommunications.DeliveryStatus</v>
      </c>
      <c r="C686" s="3" t="s">
        <v>9772</v>
      </c>
      <c r="D686" s="3" t="s">
        <v>5113</v>
      </c>
      <c r="E686" s="3" t="b">
        <v>1</v>
      </c>
      <c r="F686" s="3" t="b">
        <v>0</v>
      </c>
      <c r="G686" s="3" t="s">
        <v>10003</v>
      </c>
      <c r="H686" s="4" t="str">
        <f>_xlfn.IFNA(IF(((INDEX(RulebookFields!C2:C1898, MATCH(D686,RulebookFields!A2:A1898, 0))="")=TRUE),  "",  INDEX(RulebookFields!C2:C1898, MATCH(D686,RulebookFields!A2:A1898, 0))), "")</f>
        <v>DeliveredCommunications</v>
      </c>
      <c r="I686" s="4" t="str">
        <f>_xlfn.IFNA(IF(((INDEX(RulebookFields!D2:D1898, MATCH(D686,RulebookFields!A2:A1898, 0))="")=TRUE),  "",  INDEX(RulebookFields!D2:D1898, MATCH(D686,RulebookFields!A2:A1898, 0))), "")</f>
        <v>DeliveryStatus</v>
      </c>
      <c r="J686" s="4" t="b">
        <f>_xlfn.IFNA(IF(((INDEX(RulebookFields!I2:I1898, MATCH(D686,RulebookFields!A2:A1898, 0))="")=TRUE),  "",  INDEX(RulebookFields!I2:I1898, MATCH(D686,RulebookFields!A2:A1898, 0))), "")</f>
        <v>0</v>
      </c>
      <c r="K686" s="4" t="b">
        <f>AND(((F686)=TRUE), ((J686)=TRUE))</f>
        <v>0</v>
      </c>
      <c r="L686" s="4" t="b">
        <f>AND(((G686 &lt;&gt; "plain")=TRUE), ((G686 &lt;&gt; "")=TRUE))</f>
        <v>0</v>
      </c>
      <c r="M686" s="4" t="str">
        <f>IF(((E686)=TRUE),  C686 &amp; "|" &amp; H686,  "")</f>
        <v>principal-process-steward|DeliveredCommunications</v>
      </c>
      <c r="N686" s="3" t="s">
        <v>10004</v>
      </c>
    </row>
    <row r="687">
      <c r="A687" s="3" t="s">
        <v>10689</v>
      </c>
      <c r="B687" s="4" t="str">
        <f>C687 &amp; " -&gt; " &amp; D687</f>
        <v>principal-process-steward -&gt; DeliveredCommunications.SemanticTypeIri</v>
      </c>
      <c r="C687" s="3" t="s">
        <v>9772</v>
      </c>
      <c r="D687" s="3" t="s">
        <v>5114</v>
      </c>
      <c r="E687" s="3" t="b">
        <v>1</v>
      </c>
      <c r="F687" s="3" t="b">
        <v>0</v>
      </c>
      <c r="G687" s="3" t="s">
        <v>10003</v>
      </c>
      <c r="H687" s="4" t="str">
        <f>_xlfn.IFNA(IF(((INDEX(RulebookFields!C2:C1898, MATCH(D687,RulebookFields!A2:A1898, 0))="")=TRUE),  "",  INDEX(RulebookFields!C2:C1898, MATCH(D687,RulebookFields!A2:A1898, 0))), "")</f>
        <v>DeliveredCommunications</v>
      </c>
      <c r="I687" s="4" t="str">
        <f>_xlfn.IFNA(IF(((INDEX(RulebookFields!D2:D1898, MATCH(D687,RulebookFields!A2:A1898, 0))="")=TRUE),  "",  INDEX(RulebookFields!D2:D1898, MATCH(D687,RulebookFields!A2:A1898, 0))), "")</f>
        <v>SemanticTypeIri</v>
      </c>
      <c r="J687" s="4" t="b">
        <f>_xlfn.IFNA(IF(((INDEX(RulebookFields!I2:I1898, MATCH(D687,RulebookFields!A2:A1898, 0))="")=TRUE),  "",  INDEX(RulebookFields!I2:I1898, MATCH(D687,RulebookFields!A2:A1898, 0))), "")</f>
        <v>0</v>
      </c>
      <c r="K687" s="4" t="b">
        <f>AND(((F687)=TRUE), ((J687)=TRUE))</f>
        <v>0</v>
      </c>
      <c r="L687" s="4" t="b">
        <f>AND(((G687 &lt;&gt; "plain")=TRUE), ((G687 &lt;&gt; "")=TRUE))</f>
        <v>0</v>
      </c>
      <c r="M687" s="4" t="str">
        <f>IF(((E687)=TRUE),  C687 &amp; "|" &amp; H687,  "")</f>
        <v>principal-process-steward|DeliveredCommunications</v>
      </c>
      <c r="N687" s="3" t="s">
        <v>10004</v>
      </c>
    </row>
    <row r="688">
      <c r="A688" s="3" t="s">
        <v>10690</v>
      </c>
      <c r="B688" s="4" t="str">
        <f>C688 &amp; " -&gt; " &amp; D688</f>
        <v>principal-process-steward -&gt; DeliveredCommunications.HasAuthorization</v>
      </c>
      <c r="C688" s="3" t="s">
        <v>9772</v>
      </c>
      <c r="D688" s="3" t="s">
        <v>5115</v>
      </c>
      <c r="E688" s="3" t="b">
        <v>1</v>
      </c>
      <c r="F688" s="3" t="b">
        <v>0</v>
      </c>
      <c r="G688" s="3" t="s">
        <v>10003</v>
      </c>
      <c r="H688" s="4" t="str">
        <f>_xlfn.IFNA(IF(((INDEX(RulebookFields!C2:C1898, MATCH(D688,RulebookFields!A2:A1898, 0))="")=TRUE),  "",  INDEX(RulebookFields!C2:C1898, MATCH(D688,RulebookFields!A2:A1898, 0))), "")</f>
        <v>DeliveredCommunications</v>
      </c>
      <c r="I688" s="4" t="str">
        <f>_xlfn.IFNA(IF(((INDEX(RulebookFields!D2:D1898, MATCH(D688,RulebookFields!A2:A1898, 0))="")=TRUE),  "",  INDEX(RulebookFields!D2:D1898, MATCH(D688,RulebookFields!A2:A1898, 0))), "")</f>
        <v>HasAuthorization</v>
      </c>
      <c r="J688" s="4" t="b">
        <f>_xlfn.IFNA(IF(((INDEX(RulebookFields!I2:I1898, MATCH(D688,RulebookFields!A2:A1898, 0))="")=TRUE),  "",  INDEX(RulebookFields!I2:I1898, MATCH(D688,RulebookFields!A2:A1898, 0))), "")</f>
        <v>1</v>
      </c>
      <c r="K688" s="4" t="b">
        <f>AND(((F688)=TRUE), ((J688)=TRUE))</f>
        <v>0</v>
      </c>
      <c r="L688" s="4" t="b">
        <f>AND(((G688 &lt;&gt; "plain")=TRUE), ((G688 &lt;&gt; "")=TRUE))</f>
        <v>0</v>
      </c>
      <c r="M688" s="4" t="str">
        <f>IF(((E688)=TRUE),  C688 &amp; "|" &amp; H688,  "")</f>
        <v>principal-process-steward|DeliveredCommunications</v>
      </c>
      <c r="N688" s="3" t="s">
        <v>10004</v>
      </c>
    </row>
    <row r="689">
      <c r="A689" s="3" t="s">
        <v>10691</v>
      </c>
      <c r="B689" s="4" t="str">
        <f>C689 &amp; " -&gt; " &amp; D689</f>
        <v>principal-process-steward -&gt; DeliveredCommunications.ContentMatchesApproval</v>
      </c>
      <c r="C689" s="3" t="s">
        <v>9772</v>
      </c>
      <c r="D689" s="3" t="s">
        <v>5118</v>
      </c>
      <c r="E689" s="3" t="b">
        <v>1</v>
      </c>
      <c r="F689" s="3" t="b">
        <v>0</v>
      </c>
      <c r="G689" s="3" t="s">
        <v>10003</v>
      </c>
      <c r="H689" s="4" t="str">
        <f>_xlfn.IFNA(IF(((INDEX(RulebookFields!C2:C1898, MATCH(D689,RulebookFields!A2:A1898, 0))="")=TRUE),  "",  INDEX(RulebookFields!C2:C1898, MATCH(D689,RulebookFields!A2:A1898, 0))), "")</f>
        <v>DeliveredCommunications</v>
      </c>
      <c r="I689" s="4" t="str">
        <f>_xlfn.IFNA(IF(((INDEX(RulebookFields!D2:D1898, MATCH(D689,RulebookFields!A2:A1898, 0))="")=TRUE),  "",  INDEX(RulebookFields!D2:D1898, MATCH(D689,RulebookFields!A2:A1898, 0))), "")</f>
        <v>ContentMatchesApproval</v>
      </c>
      <c r="J689" s="4" t="b">
        <f>_xlfn.IFNA(IF(((INDEX(RulebookFields!I2:I1898, MATCH(D689,RulebookFields!A2:A1898, 0))="")=TRUE),  "",  INDEX(RulebookFields!I2:I1898, MATCH(D689,RulebookFields!A2:A1898, 0))), "")</f>
        <v>1</v>
      </c>
      <c r="K689" s="4" t="b">
        <f>AND(((F689)=TRUE), ((J689)=TRUE))</f>
        <v>0</v>
      </c>
      <c r="L689" s="4" t="b">
        <f>AND(((G689 &lt;&gt; "plain")=TRUE), ((G689 &lt;&gt; "")=TRUE))</f>
        <v>0</v>
      </c>
      <c r="M689" s="4" t="str">
        <f>IF(((E689)=TRUE),  C689 &amp; "|" &amp; H689,  "")</f>
        <v>principal-process-steward|DeliveredCommunications</v>
      </c>
      <c r="N689" s="3" t="s">
        <v>10004</v>
      </c>
    </row>
    <row r="690">
      <c r="A690" s="3" t="s">
        <v>10692</v>
      </c>
      <c r="B690" s="4" t="str">
        <f>C690 &amp; " -&gt; " &amp; D690</f>
        <v>principal-process-steward -&gt; DeliveredCommunications.AuthorizedAt</v>
      </c>
      <c r="C690" s="3" t="s">
        <v>9772</v>
      </c>
      <c r="D690" s="3" t="s">
        <v>5121</v>
      </c>
      <c r="E690" s="3" t="b">
        <v>1</v>
      </c>
      <c r="F690" s="3" t="b">
        <v>0</v>
      </c>
      <c r="G690" s="3" t="s">
        <v>10003</v>
      </c>
      <c r="H690" s="4" t="str">
        <f>_xlfn.IFNA(IF(((INDEX(RulebookFields!C2:C1898, MATCH(D690,RulebookFields!A2:A1898, 0))="")=TRUE),  "",  INDEX(RulebookFields!C2:C1898, MATCH(D690,RulebookFields!A2:A1898, 0))), "")</f>
        <v>DeliveredCommunications</v>
      </c>
      <c r="I690" s="4" t="str">
        <f>_xlfn.IFNA(IF(((INDEX(RulebookFields!D2:D1898, MATCH(D690,RulebookFields!A2:A1898, 0))="")=TRUE),  "",  INDEX(RulebookFields!D2:D1898, MATCH(D690,RulebookFields!A2:A1898, 0))), "")</f>
        <v>AuthorizedAt</v>
      </c>
      <c r="J690" s="4" t="b">
        <f>_xlfn.IFNA(IF(((INDEX(RulebookFields!I2:I1898, MATCH(D690,RulebookFields!A2:A1898, 0))="")=TRUE),  "",  INDEX(RulebookFields!I2:I1898, MATCH(D690,RulebookFields!A2:A1898, 0))), "")</f>
        <v>1</v>
      </c>
      <c r="K690" s="4" t="b">
        <f>AND(((F690)=TRUE), ((J690)=TRUE))</f>
        <v>0</v>
      </c>
      <c r="L690" s="4" t="b">
        <f>AND(((G690 &lt;&gt; "plain")=TRUE), ((G690 &lt;&gt; "")=TRUE))</f>
        <v>0</v>
      </c>
      <c r="M690" s="4" t="str">
        <f>IF(((E690)=TRUE),  C690 &amp; "|" &amp; H690,  "")</f>
        <v>principal-process-steward|DeliveredCommunications</v>
      </c>
      <c r="N690" s="3" t="s">
        <v>10004</v>
      </c>
    </row>
    <row r="691">
      <c r="A691" s="3" t="s">
        <v>10693</v>
      </c>
      <c r="B691" s="4" t="str">
        <f>C691 &amp; " -&gt; " &amp; D691</f>
        <v>principal-process-steward -&gt; DeliveredCommunications.WasApprovedBeforeSending</v>
      </c>
      <c r="C691" s="3" t="s">
        <v>9772</v>
      </c>
      <c r="D691" s="3" t="s">
        <v>5124</v>
      </c>
      <c r="E691" s="3" t="b">
        <v>1</v>
      </c>
      <c r="F691" s="3" t="b">
        <v>0</v>
      </c>
      <c r="G691" s="3" t="s">
        <v>10003</v>
      </c>
      <c r="H691" s="4" t="str">
        <f>_xlfn.IFNA(IF(((INDEX(RulebookFields!C2:C1898, MATCH(D691,RulebookFields!A2:A1898, 0))="")=TRUE),  "",  INDEX(RulebookFields!C2:C1898, MATCH(D691,RulebookFields!A2:A1898, 0))), "")</f>
        <v>DeliveredCommunications</v>
      </c>
      <c r="I691" s="4" t="str">
        <f>_xlfn.IFNA(IF(((INDEX(RulebookFields!D2:D1898, MATCH(D691,RulebookFields!A2:A1898, 0))="")=TRUE),  "",  INDEX(RulebookFields!D2:D1898, MATCH(D691,RulebookFields!A2:A1898, 0))), "")</f>
        <v>WasApprovedBeforeSending</v>
      </c>
      <c r="J691" s="4" t="b">
        <f>_xlfn.IFNA(IF(((INDEX(RulebookFields!I2:I1898, MATCH(D691,RulebookFields!A2:A1898, 0))="")=TRUE),  "",  INDEX(RulebookFields!I2:I1898, MATCH(D691,RulebookFields!A2:A1898, 0))), "")</f>
        <v>1</v>
      </c>
      <c r="K691" s="4" t="b">
        <f>AND(((F691)=TRUE), ((J691)=TRUE))</f>
        <v>0</v>
      </c>
      <c r="L691" s="4" t="b">
        <f>AND(((G691 &lt;&gt; "plain")=TRUE), ((G691 &lt;&gt; "")=TRUE))</f>
        <v>0</v>
      </c>
      <c r="M691" s="4" t="str">
        <f>IF(((E691)=TRUE),  C691 &amp; "|" &amp; H691,  "")</f>
        <v>principal-process-steward|DeliveredCommunications</v>
      </c>
      <c r="N691" s="3" t="s">
        <v>10004</v>
      </c>
    </row>
    <row r="692">
      <c r="A692" s="3" t="s">
        <v>10694</v>
      </c>
      <c r="B692" s="4" t="str">
        <f>C692 &amp; " -&gt; " &amp; D692</f>
        <v>principal-process-steward -&gt; DeliveredCommunications.IsDefensible</v>
      </c>
      <c r="C692" s="3" t="s">
        <v>9772</v>
      </c>
      <c r="D692" s="3" t="s">
        <v>5127</v>
      </c>
      <c r="E692" s="3" t="b">
        <v>1</v>
      </c>
      <c r="F692" s="3" t="b">
        <v>0</v>
      </c>
      <c r="G692" s="3" t="s">
        <v>10003</v>
      </c>
      <c r="H692" s="4" t="str">
        <f>_xlfn.IFNA(IF(((INDEX(RulebookFields!C2:C1898, MATCH(D692,RulebookFields!A2:A1898, 0))="")=TRUE),  "",  INDEX(RulebookFields!C2:C1898, MATCH(D692,RulebookFields!A2:A1898, 0))), "")</f>
        <v>DeliveredCommunications</v>
      </c>
      <c r="I692" s="4" t="str">
        <f>_xlfn.IFNA(IF(((INDEX(RulebookFields!D2:D1898, MATCH(D692,RulebookFields!A2:A1898, 0))="")=TRUE),  "",  INDEX(RulebookFields!D2:D1898, MATCH(D692,RulebookFields!A2:A1898, 0))), "")</f>
        <v>IsDefensible</v>
      </c>
      <c r="J692" s="4" t="b">
        <f>_xlfn.IFNA(IF(((INDEX(RulebookFields!I2:I1898, MATCH(D692,RulebookFields!A2:A1898, 0))="")=TRUE),  "",  INDEX(RulebookFields!I2:I1898, MATCH(D692,RulebookFields!A2:A1898, 0))), "")</f>
        <v>1</v>
      </c>
      <c r="K692" s="4" t="b">
        <f>AND(((F692)=TRUE), ((J692)=TRUE))</f>
        <v>0</v>
      </c>
      <c r="L692" s="4" t="b">
        <f>AND(((G692 &lt;&gt; "plain")=TRUE), ((G692 &lt;&gt; "")=TRUE))</f>
        <v>0</v>
      </c>
      <c r="M692" s="4" t="str">
        <f>IF(((E692)=TRUE),  C692 &amp; "|" &amp; H692,  "")</f>
        <v>principal-process-steward|DeliveredCommunications</v>
      </c>
      <c r="N692" s="3" t="s">
        <v>10004</v>
      </c>
    </row>
    <row r="693">
      <c r="A693" s="3" t="s">
        <v>10695</v>
      </c>
      <c r="B693" s="4" t="str">
        <f>C693 &amp; " -&gt; " &amp; D693</f>
        <v>principal-process-steward -&gt; ElicitationSessions.ElicitationSessionId</v>
      </c>
      <c r="C693" s="3" t="s">
        <v>9772</v>
      </c>
      <c r="D693" s="3" t="s">
        <v>3195</v>
      </c>
      <c r="E693" s="3" t="b">
        <v>1</v>
      </c>
      <c r="F693" s="3" t="b">
        <v>0</v>
      </c>
      <c r="G693" s="3" t="s">
        <v>10003</v>
      </c>
      <c r="H693" s="4" t="str">
        <f>_xlfn.IFNA(IF(((INDEX(RulebookFields!C2:C1898, MATCH(D693,RulebookFields!A2:A1898, 0))="")=TRUE),  "",  INDEX(RulebookFields!C2:C1898, MATCH(D693,RulebookFields!A2:A1898, 0))), "")</f>
        <v>ElicitationSessions</v>
      </c>
      <c r="I693" s="4" t="str">
        <f>_xlfn.IFNA(IF(((INDEX(RulebookFields!D2:D1898, MATCH(D693,RulebookFields!A2:A1898, 0))="")=TRUE),  "",  INDEX(RulebookFields!D2:D1898, MATCH(D693,RulebookFields!A2:A1898, 0))), "")</f>
        <v>ElicitationSessionId</v>
      </c>
      <c r="J693" s="4" t="b">
        <f>_xlfn.IFNA(IF(((INDEX(RulebookFields!I2:I1898, MATCH(D693,RulebookFields!A2:A1898, 0))="")=TRUE),  "",  INDEX(RulebookFields!I2:I1898, MATCH(D693,RulebookFields!A2:A1898, 0))), "")</f>
        <v>0</v>
      </c>
      <c r="K693" s="4" t="b">
        <f>AND(((F693)=TRUE), ((J693)=TRUE))</f>
        <v>0</v>
      </c>
      <c r="L693" s="4" t="b">
        <f>AND(((G693 &lt;&gt; "plain")=TRUE), ((G693 &lt;&gt; "")=TRUE))</f>
        <v>0</v>
      </c>
      <c r="M693" s="4" t="str">
        <f>IF(((E693)=TRUE),  C693 &amp; "|" &amp; H693,  "")</f>
        <v>principal-process-steward|ElicitationSessions</v>
      </c>
      <c r="N693" s="3" t="s">
        <v>10004</v>
      </c>
    </row>
    <row r="694">
      <c r="A694" s="3" t="s">
        <v>10696</v>
      </c>
      <c r="B694" s="4" t="str">
        <f>C694 &amp; " -&gt; " &amp; D694</f>
        <v>principal-process-steward -&gt; ElicitationSessions.Name</v>
      </c>
      <c r="C694" s="3" t="s">
        <v>9772</v>
      </c>
      <c r="D694" s="3" t="s">
        <v>3196</v>
      </c>
      <c r="E694" s="3" t="b">
        <v>1</v>
      </c>
      <c r="F694" s="3" t="b">
        <v>0</v>
      </c>
      <c r="G694" s="3" t="s">
        <v>10003</v>
      </c>
      <c r="H694" s="4" t="str">
        <f>_xlfn.IFNA(IF(((INDEX(RulebookFields!C2:C1898, MATCH(D694,RulebookFields!A2:A1898, 0))="")=TRUE),  "",  INDEX(RulebookFields!C2:C1898, MATCH(D694,RulebookFields!A2:A1898, 0))), "")</f>
        <v>ElicitationSessions</v>
      </c>
      <c r="I694" s="4" t="str">
        <f>_xlfn.IFNA(IF(((INDEX(RulebookFields!D2:D1898, MATCH(D694,RulebookFields!A2:A1898, 0))="")=TRUE),  "",  INDEX(RulebookFields!D2:D1898, MATCH(D694,RulebookFields!A2:A1898, 0))), "")</f>
        <v>Name</v>
      </c>
      <c r="J694" s="4" t="b">
        <f>_xlfn.IFNA(IF(((INDEX(RulebookFields!I2:I1898, MATCH(D694,RulebookFields!A2:A1898, 0))="")=TRUE),  "",  INDEX(RulebookFields!I2:I1898, MATCH(D694,RulebookFields!A2:A1898, 0))), "")</f>
        <v>1</v>
      </c>
      <c r="K694" s="4" t="b">
        <f>AND(((F694)=TRUE), ((J694)=TRUE))</f>
        <v>0</v>
      </c>
      <c r="L694" s="4" t="b">
        <f>AND(((G694 &lt;&gt; "plain")=TRUE), ((G694 &lt;&gt; "")=TRUE))</f>
        <v>0</v>
      </c>
      <c r="M694" s="4" t="str">
        <f>IF(((E694)=TRUE),  C694 &amp; "|" &amp; H694,  "")</f>
        <v>principal-process-steward|ElicitationSessions</v>
      </c>
      <c r="N694" s="3" t="s">
        <v>10004</v>
      </c>
    </row>
    <row r="695">
      <c r="A695" s="3" t="s">
        <v>10697</v>
      </c>
      <c r="B695" s="4" t="str">
        <f>C695 &amp; " -&gt; " &amp; D695</f>
        <v>principal-process-steward -&gt; ElicitationSessions.ProcedureVersion</v>
      </c>
      <c r="C695" s="3" t="s">
        <v>9772</v>
      </c>
      <c r="D695" s="3" t="s">
        <v>3198</v>
      </c>
      <c r="E695" s="3" t="b">
        <v>1</v>
      </c>
      <c r="F695" s="3" t="b">
        <v>0</v>
      </c>
      <c r="G695" s="3" t="s">
        <v>10003</v>
      </c>
      <c r="H695" s="4" t="str">
        <f>_xlfn.IFNA(IF(((INDEX(RulebookFields!C2:C1898, MATCH(D695,RulebookFields!A2:A1898, 0))="")=TRUE),  "",  INDEX(RulebookFields!C2:C1898, MATCH(D695,RulebookFields!A2:A1898, 0))), "")</f>
        <v>ElicitationSessions</v>
      </c>
      <c r="I695" s="4" t="str">
        <f>_xlfn.IFNA(IF(((INDEX(RulebookFields!D2:D1898, MATCH(D695,RulebookFields!A2:A1898, 0))="")=TRUE),  "",  INDEX(RulebookFields!D2:D1898, MATCH(D695,RulebookFields!A2:A1898, 0))), "")</f>
        <v>ProcedureVersion</v>
      </c>
      <c r="J695" s="4" t="b">
        <f>_xlfn.IFNA(IF(((INDEX(RulebookFields!I2:I1898, MATCH(D695,RulebookFields!A2:A1898, 0))="")=TRUE),  "",  INDEX(RulebookFields!I2:I1898, MATCH(D695,RulebookFields!A2:A1898, 0))), "")</f>
        <v>0</v>
      </c>
      <c r="K695" s="4" t="b">
        <f>AND(((F695)=TRUE), ((J695)=TRUE))</f>
        <v>0</v>
      </c>
      <c r="L695" s="4" t="b">
        <f>AND(((G695 &lt;&gt; "plain")=TRUE), ((G695 &lt;&gt; "")=TRUE))</f>
        <v>0</v>
      </c>
      <c r="M695" s="4" t="str">
        <f>IF(((E695)=TRUE),  C695 &amp; "|" &amp; H695,  "")</f>
        <v>principal-process-steward|ElicitationSessions</v>
      </c>
      <c r="N695" s="3" t="s">
        <v>10004</v>
      </c>
    </row>
    <row r="696">
      <c r="A696" s="3" t="s">
        <v>10698</v>
      </c>
      <c r="B696" s="4" t="str">
        <f>C696 &amp; " -&gt; " &amp; D696</f>
        <v>principal-process-steward -&gt; ElicitationSessions.Method</v>
      </c>
      <c r="C696" s="3" t="s">
        <v>9772</v>
      </c>
      <c r="D696" s="3" t="s">
        <v>3199</v>
      </c>
      <c r="E696" s="3" t="b">
        <v>1</v>
      </c>
      <c r="F696" s="3" t="b">
        <v>0</v>
      </c>
      <c r="G696" s="3" t="s">
        <v>10003</v>
      </c>
      <c r="H696" s="4" t="str">
        <f>_xlfn.IFNA(IF(((INDEX(RulebookFields!C2:C1898, MATCH(D696,RulebookFields!A2:A1898, 0))="")=TRUE),  "",  INDEX(RulebookFields!C2:C1898, MATCH(D696,RulebookFields!A2:A1898, 0))), "")</f>
        <v>ElicitationSessions</v>
      </c>
      <c r="I696" s="4" t="str">
        <f>_xlfn.IFNA(IF(((INDEX(RulebookFields!D2:D1898, MATCH(D696,RulebookFields!A2:A1898, 0))="")=TRUE),  "",  INDEX(RulebookFields!D2:D1898, MATCH(D696,RulebookFields!A2:A1898, 0))), "")</f>
        <v>Method</v>
      </c>
      <c r="J696" s="4" t="b">
        <f>_xlfn.IFNA(IF(((INDEX(RulebookFields!I2:I1898, MATCH(D696,RulebookFields!A2:A1898, 0))="")=TRUE),  "",  INDEX(RulebookFields!I2:I1898, MATCH(D696,RulebookFields!A2:A1898, 0))), "")</f>
        <v>0</v>
      </c>
      <c r="K696" s="4" t="b">
        <f>AND(((F696)=TRUE), ((J696)=TRUE))</f>
        <v>0</v>
      </c>
      <c r="L696" s="4" t="b">
        <f>AND(((G696 &lt;&gt; "plain")=TRUE), ((G696 &lt;&gt; "")=TRUE))</f>
        <v>0</v>
      </c>
      <c r="M696" s="4" t="str">
        <f>IF(((E696)=TRUE),  C696 &amp; "|" &amp; H696,  "")</f>
        <v>principal-process-steward|ElicitationSessions</v>
      </c>
      <c r="N696" s="3" t="s">
        <v>10004</v>
      </c>
    </row>
    <row r="697">
      <c r="A697" s="3" t="s">
        <v>10699</v>
      </c>
      <c r="B697" s="4" t="str">
        <f>C697 &amp; " -&gt; " &amp; D697</f>
        <v>principal-process-steward -&gt; ElicitationSessions.StartedAt</v>
      </c>
      <c r="C697" s="3" t="s">
        <v>9772</v>
      </c>
      <c r="D697" s="3" t="s">
        <v>3200</v>
      </c>
      <c r="E697" s="3" t="b">
        <v>1</v>
      </c>
      <c r="F697" s="3" t="b">
        <v>0</v>
      </c>
      <c r="G697" s="3" t="s">
        <v>10003</v>
      </c>
      <c r="H697" s="4" t="str">
        <f>_xlfn.IFNA(IF(((INDEX(RulebookFields!C2:C1898, MATCH(D697,RulebookFields!A2:A1898, 0))="")=TRUE),  "",  INDEX(RulebookFields!C2:C1898, MATCH(D697,RulebookFields!A2:A1898, 0))), "")</f>
        <v>ElicitationSessions</v>
      </c>
      <c r="I697" s="4" t="str">
        <f>_xlfn.IFNA(IF(((INDEX(RulebookFields!D2:D1898, MATCH(D697,RulebookFields!A2:A1898, 0))="")=TRUE),  "",  INDEX(RulebookFields!D2:D1898, MATCH(D697,RulebookFields!A2:A1898, 0))), "")</f>
        <v>StartedAt</v>
      </c>
      <c r="J697" s="4" t="b">
        <f>_xlfn.IFNA(IF(((INDEX(RulebookFields!I2:I1898, MATCH(D697,RulebookFields!A2:A1898, 0))="")=TRUE),  "",  INDEX(RulebookFields!I2:I1898, MATCH(D697,RulebookFields!A2:A1898, 0))), "")</f>
        <v>0</v>
      </c>
      <c r="K697" s="4" t="b">
        <f>AND(((F697)=TRUE), ((J697)=TRUE))</f>
        <v>0</v>
      </c>
      <c r="L697" s="4" t="b">
        <f>AND(((G697 &lt;&gt; "plain")=TRUE), ((G697 &lt;&gt; "")=TRUE))</f>
        <v>0</v>
      </c>
      <c r="M697" s="4" t="str">
        <f>IF(((E697)=TRUE),  C697 &amp; "|" &amp; H697,  "")</f>
        <v>principal-process-steward|ElicitationSessions</v>
      </c>
      <c r="N697" s="3" t="s">
        <v>10004</v>
      </c>
    </row>
    <row r="698">
      <c r="A698" s="3" t="s">
        <v>10700</v>
      </c>
      <c r="B698" s="4" t="str">
        <f>C698 &amp; " -&gt; " &amp; D698</f>
        <v>principal-process-steward -&gt; ElicitationSessions.EndedAt</v>
      </c>
      <c r="C698" s="3" t="s">
        <v>9772</v>
      </c>
      <c r="D698" s="3" t="s">
        <v>3201</v>
      </c>
      <c r="E698" s="3" t="b">
        <v>1</v>
      </c>
      <c r="F698" s="3" t="b">
        <v>0</v>
      </c>
      <c r="G698" s="3" t="s">
        <v>10003</v>
      </c>
      <c r="H698" s="4" t="str">
        <f>_xlfn.IFNA(IF(((INDEX(RulebookFields!C2:C1898, MATCH(D698,RulebookFields!A2:A1898, 0))="")=TRUE),  "",  INDEX(RulebookFields!C2:C1898, MATCH(D698,RulebookFields!A2:A1898, 0))), "")</f>
        <v>ElicitationSessions</v>
      </c>
      <c r="I698" s="4" t="str">
        <f>_xlfn.IFNA(IF(((INDEX(RulebookFields!D2:D1898, MATCH(D698,RulebookFields!A2:A1898, 0))="")=TRUE),  "",  INDEX(RulebookFields!D2:D1898, MATCH(D698,RulebookFields!A2:A1898, 0))), "")</f>
        <v>EndedAt</v>
      </c>
      <c r="J698" s="4" t="b">
        <f>_xlfn.IFNA(IF(((INDEX(RulebookFields!I2:I1898, MATCH(D698,RulebookFields!A2:A1898, 0))="")=TRUE),  "",  INDEX(RulebookFields!I2:I1898, MATCH(D698,RulebookFields!A2:A1898, 0))), "")</f>
        <v>0</v>
      </c>
      <c r="K698" s="4" t="b">
        <f>AND(((F698)=TRUE), ((J698)=TRUE))</f>
        <v>0</v>
      </c>
      <c r="L698" s="4" t="b">
        <f>AND(((G698 &lt;&gt; "plain")=TRUE), ((G698 &lt;&gt; "")=TRUE))</f>
        <v>0</v>
      </c>
      <c r="M698" s="4" t="str">
        <f>IF(((E698)=TRUE),  C698 &amp; "|" &amp; H698,  "")</f>
        <v>principal-process-steward|ElicitationSessions</v>
      </c>
      <c r="N698" s="3" t="s">
        <v>10004</v>
      </c>
    </row>
    <row r="699">
      <c r="A699" s="3" t="s">
        <v>10701</v>
      </c>
      <c r="B699" s="4" t="str">
        <f>C699 &amp; " -&gt; " &amp; D699</f>
        <v>principal-process-steward -&gt; ElicitationSessions.PractitionerAgent</v>
      </c>
      <c r="C699" s="3" t="s">
        <v>9772</v>
      </c>
      <c r="D699" s="3" t="s">
        <v>3202</v>
      </c>
      <c r="E699" s="3" t="b">
        <v>1</v>
      </c>
      <c r="F699" s="3" t="b">
        <v>0</v>
      </c>
      <c r="G699" s="3" t="s">
        <v>10003</v>
      </c>
      <c r="H699" s="4" t="str">
        <f>_xlfn.IFNA(IF(((INDEX(RulebookFields!C2:C1898, MATCH(D699,RulebookFields!A2:A1898, 0))="")=TRUE),  "",  INDEX(RulebookFields!C2:C1898, MATCH(D699,RulebookFields!A2:A1898, 0))), "")</f>
        <v>ElicitationSessions</v>
      </c>
      <c r="I699" s="4" t="str">
        <f>_xlfn.IFNA(IF(((INDEX(RulebookFields!D2:D1898, MATCH(D699,RulebookFields!A2:A1898, 0))="")=TRUE),  "",  INDEX(RulebookFields!D2:D1898, MATCH(D699,RulebookFields!A2:A1898, 0))), "")</f>
        <v>PractitionerAgent</v>
      </c>
      <c r="J699" s="4" t="b">
        <f>_xlfn.IFNA(IF(((INDEX(RulebookFields!I2:I1898, MATCH(D699,RulebookFields!A2:A1898, 0))="")=TRUE),  "",  INDEX(RulebookFields!I2:I1898, MATCH(D699,RulebookFields!A2:A1898, 0))), "")</f>
        <v>0</v>
      </c>
      <c r="K699" s="4" t="b">
        <f>AND(((F699)=TRUE), ((J699)=TRUE))</f>
        <v>0</v>
      </c>
      <c r="L699" s="4" t="b">
        <f>AND(((G699 &lt;&gt; "plain")=TRUE), ((G699 &lt;&gt; "")=TRUE))</f>
        <v>0</v>
      </c>
      <c r="M699" s="4" t="str">
        <f>IF(((E699)=TRUE),  C699 &amp; "|" &amp; H699,  "")</f>
        <v>principal-process-steward|ElicitationSessions</v>
      </c>
      <c r="N699" s="3" t="s">
        <v>10004</v>
      </c>
    </row>
    <row r="700">
      <c r="A700" s="3" t="s">
        <v>10702</v>
      </c>
      <c r="B700" s="4" t="str">
        <f>C700 &amp; " -&gt; " &amp; D700</f>
        <v>principal-process-steward -&gt; ElicitationSessions.FacilitatorAgent</v>
      </c>
      <c r="C700" s="3" t="s">
        <v>9772</v>
      </c>
      <c r="D700" s="3" t="s">
        <v>3203</v>
      </c>
      <c r="E700" s="3" t="b">
        <v>1</v>
      </c>
      <c r="F700" s="3" t="b">
        <v>0</v>
      </c>
      <c r="G700" s="3" t="s">
        <v>10003</v>
      </c>
      <c r="H700" s="4" t="str">
        <f>_xlfn.IFNA(IF(((INDEX(RulebookFields!C2:C1898, MATCH(D700,RulebookFields!A2:A1898, 0))="")=TRUE),  "",  INDEX(RulebookFields!C2:C1898, MATCH(D700,RulebookFields!A2:A1898, 0))), "")</f>
        <v>ElicitationSessions</v>
      </c>
      <c r="I700" s="4" t="str">
        <f>_xlfn.IFNA(IF(((INDEX(RulebookFields!D2:D1898, MATCH(D700,RulebookFields!A2:A1898, 0))="")=TRUE),  "",  INDEX(RulebookFields!D2:D1898, MATCH(D700,RulebookFields!A2:A1898, 0))), "")</f>
        <v>FacilitatorAgent</v>
      </c>
      <c r="J700" s="4" t="b">
        <f>_xlfn.IFNA(IF(((INDEX(RulebookFields!I2:I1898, MATCH(D700,RulebookFields!A2:A1898, 0))="")=TRUE),  "",  INDEX(RulebookFields!I2:I1898, MATCH(D700,RulebookFields!A2:A1898, 0))), "")</f>
        <v>0</v>
      </c>
      <c r="K700" s="4" t="b">
        <f>AND(((F700)=TRUE), ((J700)=TRUE))</f>
        <v>0</v>
      </c>
      <c r="L700" s="4" t="b">
        <f>AND(((G700 &lt;&gt; "plain")=TRUE), ((G700 &lt;&gt; "")=TRUE))</f>
        <v>0</v>
      </c>
      <c r="M700" s="4" t="str">
        <f>IF(((E700)=TRUE),  C700 &amp; "|" &amp; H700,  "")</f>
        <v>principal-process-steward|ElicitationSessions</v>
      </c>
      <c r="N700" s="3" t="s">
        <v>10004</v>
      </c>
    </row>
    <row r="701">
      <c r="A701" s="3" t="s">
        <v>10703</v>
      </c>
      <c r="B701" s="4" t="str">
        <f>C701 &amp; " -&gt; " &amp; D701</f>
        <v>principal-process-steward -&gt; ElicitationSessions.Summary</v>
      </c>
      <c r="C701" s="3" t="s">
        <v>9772</v>
      </c>
      <c r="D701" s="3" t="s">
        <v>3204</v>
      </c>
      <c r="E701" s="3" t="b">
        <v>1</v>
      </c>
      <c r="F701" s="3" t="b">
        <v>0</v>
      </c>
      <c r="G701" s="3" t="s">
        <v>10003</v>
      </c>
      <c r="H701" s="4" t="str">
        <f>_xlfn.IFNA(IF(((INDEX(RulebookFields!C2:C1898, MATCH(D701,RulebookFields!A2:A1898, 0))="")=TRUE),  "",  INDEX(RulebookFields!C2:C1898, MATCH(D701,RulebookFields!A2:A1898, 0))), "")</f>
        <v>ElicitationSessions</v>
      </c>
      <c r="I701" s="4" t="str">
        <f>_xlfn.IFNA(IF(((INDEX(RulebookFields!D2:D1898, MATCH(D701,RulebookFields!A2:A1898, 0))="")=TRUE),  "",  INDEX(RulebookFields!D2:D1898, MATCH(D701,RulebookFields!A2:A1898, 0))), "")</f>
        <v>Summary</v>
      </c>
      <c r="J701" s="4" t="b">
        <f>_xlfn.IFNA(IF(((INDEX(RulebookFields!I2:I1898, MATCH(D701,RulebookFields!A2:A1898, 0))="")=TRUE),  "",  INDEX(RulebookFields!I2:I1898, MATCH(D701,RulebookFields!A2:A1898, 0))), "")</f>
        <v>0</v>
      </c>
      <c r="K701" s="4" t="b">
        <f>AND(((F701)=TRUE), ((J701)=TRUE))</f>
        <v>0</v>
      </c>
      <c r="L701" s="4" t="b">
        <f>AND(((G701 &lt;&gt; "plain")=TRUE), ((G701 &lt;&gt; "")=TRUE))</f>
        <v>0</v>
      </c>
      <c r="M701" s="4" t="str">
        <f>IF(((E701)=TRUE),  C701 &amp; "|" &amp; H701,  "")</f>
        <v>principal-process-steward|ElicitationSessions</v>
      </c>
      <c r="N701" s="3" t="s">
        <v>10004</v>
      </c>
    </row>
    <row r="702">
      <c r="A702" s="3" t="s">
        <v>10704</v>
      </c>
      <c r="B702" s="4" t="str">
        <f>C702 &amp; " -&gt; " &amp; D702</f>
        <v>principal-process-steward -&gt; ElicitationSessions.Status</v>
      </c>
      <c r="C702" s="3" t="s">
        <v>9772</v>
      </c>
      <c r="D702" s="3" t="s">
        <v>3205</v>
      </c>
      <c r="E702" s="3" t="b">
        <v>1</v>
      </c>
      <c r="F702" s="3" t="b">
        <v>0</v>
      </c>
      <c r="G702" s="3" t="s">
        <v>10003</v>
      </c>
      <c r="H702" s="4" t="str">
        <f>_xlfn.IFNA(IF(((INDEX(RulebookFields!C2:C1898, MATCH(D702,RulebookFields!A2:A1898, 0))="")=TRUE),  "",  INDEX(RulebookFields!C2:C1898, MATCH(D702,RulebookFields!A2:A1898, 0))), "")</f>
        <v>ElicitationSessions</v>
      </c>
      <c r="I702" s="4" t="str">
        <f>_xlfn.IFNA(IF(((INDEX(RulebookFields!D2:D1898, MATCH(D702,RulebookFields!A2:A1898, 0))="")=TRUE),  "",  INDEX(RulebookFields!D2:D1898, MATCH(D702,RulebookFields!A2:A1898, 0))), "")</f>
        <v>Status</v>
      </c>
      <c r="J702" s="4" t="b">
        <f>_xlfn.IFNA(IF(((INDEX(RulebookFields!I2:I1898, MATCH(D702,RulebookFields!A2:A1898, 0))="")=TRUE),  "",  INDEX(RulebookFields!I2:I1898, MATCH(D702,RulebookFields!A2:A1898, 0))), "")</f>
        <v>0</v>
      </c>
      <c r="K702" s="4" t="b">
        <f>AND(((F702)=TRUE), ((J702)=TRUE))</f>
        <v>0</v>
      </c>
      <c r="L702" s="4" t="b">
        <f>AND(((G702 &lt;&gt; "plain")=TRUE), ((G702 &lt;&gt; "")=TRUE))</f>
        <v>0</v>
      </c>
      <c r="M702" s="4" t="str">
        <f>IF(((E702)=TRUE),  C702 &amp; "|" &amp; H702,  "")</f>
        <v>principal-process-steward|ElicitationSessions</v>
      </c>
      <c r="N702" s="3" t="s">
        <v>10004</v>
      </c>
    </row>
    <row r="703">
      <c r="A703" s="3" t="s">
        <v>10705</v>
      </c>
      <c r="B703" s="4" t="str">
        <f>C703 &amp; " -&gt; " &amp; D703</f>
        <v>principal-process-steward -&gt; ElicitationSessions.EvaluationContext</v>
      </c>
      <c r="C703" s="3" t="s">
        <v>9772</v>
      </c>
      <c r="D703" s="3" t="s">
        <v>3206</v>
      </c>
      <c r="E703" s="3" t="b">
        <v>1</v>
      </c>
      <c r="F703" s="3" t="b">
        <v>0</v>
      </c>
      <c r="G703" s="3" t="s">
        <v>10003</v>
      </c>
      <c r="H703" s="4" t="str">
        <f>_xlfn.IFNA(IF(((INDEX(RulebookFields!C2:C1898, MATCH(D703,RulebookFields!A2:A1898, 0))="")=TRUE),  "",  INDEX(RulebookFields!C2:C1898, MATCH(D703,RulebookFields!A2:A1898, 0))), "")</f>
        <v>ElicitationSessions</v>
      </c>
      <c r="I703" s="4" t="str">
        <f>_xlfn.IFNA(IF(((INDEX(RulebookFields!D2:D1898, MATCH(D703,RulebookFields!A2:A1898, 0))="")=TRUE),  "",  INDEX(RulebookFields!D2:D1898, MATCH(D703,RulebookFields!A2:A1898, 0))), "")</f>
        <v>EvaluationContext</v>
      </c>
      <c r="J703" s="4" t="b">
        <f>_xlfn.IFNA(IF(((INDEX(RulebookFields!I2:I1898, MATCH(D703,RulebookFields!A2:A1898, 0))="")=TRUE),  "",  INDEX(RulebookFields!I2:I1898, MATCH(D703,RulebookFields!A2:A1898, 0))), "")</f>
        <v>0</v>
      </c>
      <c r="K703" s="4" t="b">
        <f>AND(((F703)=TRUE), ((J703)=TRUE))</f>
        <v>0</v>
      </c>
      <c r="L703" s="4" t="b">
        <f>AND(((G703 &lt;&gt; "plain")=TRUE), ((G703 &lt;&gt; "")=TRUE))</f>
        <v>0</v>
      </c>
      <c r="M703" s="4" t="str">
        <f>IF(((E703)=TRUE),  C703 &amp; "|" &amp; H703,  "")</f>
        <v>principal-process-steward|ElicitationSessions</v>
      </c>
      <c r="N703" s="3" t="s">
        <v>10004</v>
      </c>
    </row>
    <row r="704">
      <c r="A704" s="3" t="s">
        <v>10706</v>
      </c>
      <c r="B704" s="4" t="str">
        <f>C704 &amp; " -&gt; " &amp; D704</f>
        <v>principal-process-steward -&gt; ElicitationSessions.AsOfInstant</v>
      </c>
      <c r="C704" s="3" t="s">
        <v>9772</v>
      </c>
      <c r="D704" s="3" t="s">
        <v>3207</v>
      </c>
      <c r="E704" s="3" t="b">
        <v>1</v>
      </c>
      <c r="F704" s="3" t="b">
        <v>0</v>
      </c>
      <c r="G704" s="3" t="s">
        <v>10003</v>
      </c>
      <c r="H704" s="4" t="str">
        <f>_xlfn.IFNA(IF(((INDEX(RulebookFields!C2:C1898, MATCH(D704,RulebookFields!A2:A1898, 0))="")=TRUE),  "",  INDEX(RulebookFields!C2:C1898, MATCH(D704,RulebookFields!A2:A1898, 0))), "")</f>
        <v>ElicitationSessions</v>
      </c>
      <c r="I704" s="4" t="str">
        <f>_xlfn.IFNA(IF(((INDEX(RulebookFields!D2:D1898, MATCH(D704,RulebookFields!A2:A1898, 0))="")=TRUE),  "",  INDEX(RulebookFields!D2:D1898, MATCH(D704,RulebookFields!A2:A1898, 0))), "")</f>
        <v>AsOfInstant</v>
      </c>
      <c r="J704" s="4" t="b">
        <f>_xlfn.IFNA(IF(((INDEX(RulebookFields!I2:I1898, MATCH(D704,RulebookFields!A2:A1898, 0))="")=TRUE),  "",  INDEX(RulebookFields!I2:I1898, MATCH(D704,RulebookFields!A2:A1898, 0))), "")</f>
        <v>1</v>
      </c>
      <c r="K704" s="4" t="b">
        <f>AND(((F704)=TRUE), ((J704)=TRUE))</f>
        <v>0</v>
      </c>
      <c r="L704" s="4" t="b">
        <f>AND(((G704 &lt;&gt; "plain")=TRUE), ((G704 &lt;&gt; "")=TRUE))</f>
        <v>0</v>
      </c>
      <c r="M704" s="4" t="str">
        <f>IF(((E704)=TRUE),  C704 &amp; "|" &amp; H704,  "")</f>
        <v>principal-process-steward|ElicitationSessions</v>
      </c>
      <c r="N704" s="3" t="s">
        <v>10004</v>
      </c>
    </row>
    <row r="705">
      <c r="A705" s="3" t="s">
        <v>10707</v>
      </c>
      <c r="B705" s="4" t="str">
        <f>C705 &amp; " -&gt; " &amp; D705</f>
        <v>principal-process-steward -&gt; ElicitationSessions.DaysSinceElicited</v>
      </c>
      <c r="C705" s="3" t="s">
        <v>9772</v>
      </c>
      <c r="D705" s="3" t="s">
        <v>3208</v>
      </c>
      <c r="E705" s="3" t="b">
        <v>1</v>
      </c>
      <c r="F705" s="3" t="b">
        <v>0</v>
      </c>
      <c r="G705" s="3" t="s">
        <v>10003</v>
      </c>
      <c r="H705" s="4" t="str">
        <f>_xlfn.IFNA(IF(((INDEX(RulebookFields!C2:C1898, MATCH(D705,RulebookFields!A2:A1898, 0))="")=TRUE),  "",  INDEX(RulebookFields!C2:C1898, MATCH(D705,RulebookFields!A2:A1898, 0))), "")</f>
        <v>ElicitationSessions</v>
      </c>
      <c r="I705" s="4" t="str">
        <f>_xlfn.IFNA(IF(((INDEX(RulebookFields!D2:D1898, MATCH(D705,RulebookFields!A2:A1898, 0))="")=TRUE),  "",  INDEX(RulebookFields!D2:D1898, MATCH(D705,RulebookFields!A2:A1898, 0))), "")</f>
        <v>DaysSinceElicited</v>
      </c>
      <c r="J705" s="4" t="b">
        <f>_xlfn.IFNA(IF(((INDEX(RulebookFields!I2:I1898, MATCH(D705,RulebookFields!A2:A1898, 0))="")=TRUE),  "",  INDEX(RulebookFields!I2:I1898, MATCH(D705,RulebookFields!A2:A1898, 0))), "")</f>
        <v>1</v>
      </c>
      <c r="K705" s="4" t="b">
        <f>AND(((F705)=TRUE), ((J705)=TRUE))</f>
        <v>0</v>
      </c>
      <c r="L705" s="4" t="b">
        <f>AND(((G705 &lt;&gt; "plain")=TRUE), ((G705 &lt;&gt; "")=TRUE))</f>
        <v>0</v>
      </c>
      <c r="M705" s="4" t="str">
        <f>IF(((E705)=TRUE),  C705 &amp; "|" &amp; H705,  "")</f>
        <v>principal-process-steward|ElicitationSessions</v>
      </c>
      <c r="N705" s="3" t="s">
        <v>10004</v>
      </c>
    </row>
    <row r="706">
      <c r="A706" s="3" t="s">
        <v>10708</v>
      </c>
      <c r="B706" s="4" t="str">
        <f>C706 &amp; " -&gt; " &amp; D706</f>
        <v>principal-process-steward -&gt; ElicitationSessions.IsSingleWitnessMethod</v>
      </c>
      <c r="C706" s="3" t="s">
        <v>9772</v>
      </c>
      <c r="D706" s="3" t="s">
        <v>3210</v>
      </c>
      <c r="E706" s="3" t="b">
        <v>1</v>
      </c>
      <c r="F706" s="3" t="b">
        <v>0</v>
      </c>
      <c r="G706" s="3" t="s">
        <v>10003</v>
      </c>
      <c r="H706" s="4" t="str">
        <f>_xlfn.IFNA(IF(((INDEX(RulebookFields!C2:C1898, MATCH(D706,RulebookFields!A2:A1898, 0))="")=TRUE),  "",  INDEX(RulebookFields!C2:C1898, MATCH(D706,RulebookFields!A2:A1898, 0))), "")</f>
        <v>ElicitationSessions</v>
      </c>
      <c r="I706" s="4" t="str">
        <f>_xlfn.IFNA(IF(((INDEX(RulebookFields!D2:D1898, MATCH(D706,RulebookFields!A2:A1898, 0))="")=TRUE),  "",  INDEX(RulebookFields!D2:D1898, MATCH(D706,RulebookFields!A2:A1898, 0))), "")</f>
        <v>IsSingleWitnessMethod</v>
      </c>
      <c r="J706" s="4" t="b">
        <f>_xlfn.IFNA(IF(((INDEX(RulebookFields!I2:I1898, MATCH(D706,RulebookFields!A2:A1898, 0))="")=TRUE),  "",  INDEX(RulebookFields!I2:I1898, MATCH(D706,RulebookFields!A2:A1898, 0))), "")</f>
        <v>1</v>
      </c>
      <c r="K706" s="4" t="b">
        <f>AND(((F706)=TRUE), ((J706)=TRUE))</f>
        <v>0</v>
      </c>
      <c r="L706" s="4" t="b">
        <f>AND(((G706 &lt;&gt; "plain")=TRUE), ((G706 &lt;&gt; "")=TRUE))</f>
        <v>0</v>
      </c>
      <c r="M706" s="4" t="str">
        <f>IF(((E706)=TRUE),  C706 &amp; "|" &amp; H706,  "")</f>
        <v>principal-process-steward|ElicitationSessions</v>
      </c>
      <c r="N706" s="3" t="s">
        <v>10004</v>
      </c>
    </row>
    <row r="707">
      <c r="A707" s="3" t="s">
        <v>10709</v>
      </c>
      <c r="B707" s="4" t="str">
        <f>C707 &amp; " -&gt; " &amp; D707</f>
        <v>principal-process-steward -&gt; ElicitationSessions.PractitionerIsStillEngaged</v>
      </c>
      <c r="C707" s="3" t="s">
        <v>9772</v>
      </c>
      <c r="D707" s="3" t="s">
        <v>3212</v>
      </c>
      <c r="E707" s="3" t="b">
        <v>1</v>
      </c>
      <c r="F707" s="3" t="b">
        <v>0</v>
      </c>
      <c r="G707" s="3" t="s">
        <v>10003</v>
      </c>
      <c r="H707" s="4" t="str">
        <f>_xlfn.IFNA(IF(((INDEX(RulebookFields!C2:C1898, MATCH(D707,RulebookFields!A2:A1898, 0))="")=TRUE),  "",  INDEX(RulebookFields!C2:C1898, MATCH(D707,RulebookFields!A2:A1898, 0))), "")</f>
        <v>ElicitationSessions</v>
      </c>
      <c r="I707" s="4" t="str">
        <f>_xlfn.IFNA(IF(((INDEX(RulebookFields!D2:D1898, MATCH(D707,RulebookFields!A2:A1898, 0))="")=TRUE),  "",  INDEX(RulebookFields!D2:D1898, MATCH(D707,RulebookFields!A2:A1898, 0))), "")</f>
        <v>PractitionerIsStillEngaged</v>
      </c>
      <c r="J707" s="4" t="b">
        <f>_xlfn.IFNA(IF(((INDEX(RulebookFields!I2:I1898, MATCH(D707,RulebookFields!A2:A1898, 0))="")=TRUE),  "",  INDEX(RulebookFields!I2:I1898, MATCH(D707,RulebookFields!A2:A1898, 0))), "")</f>
        <v>1</v>
      </c>
      <c r="K707" s="4" t="b">
        <f>AND(((F707)=TRUE), ((J707)=TRUE))</f>
        <v>0</v>
      </c>
      <c r="L707" s="4" t="b">
        <f>AND(((G707 &lt;&gt; "plain")=TRUE), ((G707 &lt;&gt; "")=TRUE))</f>
        <v>0</v>
      </c>
      <c r="M707" s="4" t="str">
        <f>IF(((E707)=TRUE),  C707 &amp; "|" &amp; H707,  "")</f>
        <v>principal-process-steward|ElicitationSessions</v>
      </c>
      <c r="N707" s="3" t="s">
        <v>10004</v>
      </c>
    </row>
    <row r="708">
      <c r="A708" s="3" t="s">
        <v>10710</v>
      </c>
      <c r="B708" s="4" t="str">
        <f>C708 &amp; " -&gt; " &amp; D708</f>
        <v>principal-process-steward -&gt; ElicitationSessions.ValidFragmentsProduced</v>
      </c>
      <c r="C708" s="3" t="s">
        <v>9772</v>
      </c>
      <c r="D708" s="3" t="s">
        <v>3214</v>
      </c>
      <c r="E708" s="3" t="b">
        <v>1</v>
      </c>
      <c r="F708" s="3" t="b">
        <v>0</v>
      </c>
      <c r="G708" s="3" t="s">
        <v>10003</v>
      </c>
      <c r="H708" s="4" t="str">
        <f>_xlfn.IFNA(IF(((INDEX(RulebookFields!C2:C1898, MATCH(D708,RulebookFields!A2:A1898, 0))="")=TRUE),  "",  INDEX(RulebookFields!C2:C1898, MATCH(D708,RulebookFields!A2:A1898, 0))), "")</f>
        <v>ElicitationSessions</v>
      </c>
      <c r="I708" s="4" t="str">
        <f>_xlfn.IFNA(IF(((INDEX(RulebookFields!D2:D1898, MATCH(D708,RulebookFields!A2:A1898, 0))="")=TRUE),  "",  INDEX(RulebookFields!D2:D1898, MATCH(D708,RulebookFields!A2:A1898, 0))), "")</f>
        <v>ValidFragmentsProduced</v>
      </c>
      <c r="J708" s="4" t="b">
        <f>_xlfn.IFNA(IF(((INDEX(RulebookFields!I2:I1898, MATCH(D708,RulebookFields!A2:A1898, 0))="")=TRUE),  "",  INDEX(RulebookFields!I2:I1898, MATCH(D708,RulebookFields!A2:A1898, 0))), "")</f>
        <v>1</v>
      </c>
      <c r="K708" s="4" t="b">
        <f>AND(((F708)=TRUE), ((J708)=TRUE))</f>
        <v>0</v>
      </c>
      <c r="L708" s="4" t="b">
        <f>AND(((G708 &lt;&gt; "plain")=TRUE), ((G708 &lt;&gt; "")=TRUE))</f>
        <v>0</v>
      </c>
      <c r="M708" s="4" t="str">
        <f>IF(((E708)=TRUE),  C708 &amp; "|" &amp; H708,  "")</f>
        <v>principal-process-steward|ElicitationSessions</v>
      </c>
      <c r="N708" s="3" t="s">
        <v>10004</v>
      </c>
    </row>
    <row r="709">
      <c r="A709" s="3" t="s">
        <v>10711</v>
      </c>
      <c r="B709" s="4" t="str">
        <f>C709 &amp; " -&gt; " &amp; D709</f>
        <v>principal-process-steward -&gt; ElicitationSessions.IsHighYieldSession</v>
      </c>
      <c r="C709" s="3" t="s">
        <v>9772</v>
      </c>
      <c r="D709" s="3" t="s">
        <v>3216</v>
      </c>
      <c r="E709" s="3" t="b">
        <v>1</v>
      </c>
      <c r="F709" s="3" t="b">
        <v>0</v>
      </c>
      <c r="G709" s="3" t="s">
        <v>10003</v>
      </c>
      <c r="H709" s="4" t="str">
        <f>_xlfn.IFNA(IF(((INDEX(RulebookFields!C2:C1898, MATCH(D709,RulebookFields!A2:A1898, 0))="")=TRUE),  "",  INDEX(RulebookFields!C2:C1898, MATCH(D709,RulebookFields!A2:A1898, 0))), "")</f>
        <v>ElicitationSessions</v>
      </c>
      <c r="I709" s="4" t="str">
        <f>_xlfn.IFNA(IF(((INDEX(RulebookFields!D2:D1898, MATCH(D709,RulebookFields!A2:A1898, 0))="")=TRUE),  "",  INDEX(RulebookFields!D2:D1898, MATCH(D709,RulebookFields!A2:A1898, 0))), "")</f>
        <v>IsHighYieldSession</v>
      </c>
      <c r="J709" s="4" t="b">
        <f>_xlfn.IFNA(IF(((INDEX(RulebookFields!I2:I1898, MATCH(D709,RulebookFields!A2:A1898, 0))="")=TRUE),  "",  INDEX(RulebookFields!I2:I1898, MATCH(D709,RulebookFields!A2:A1898, 0))), "")</f>
        <v>1</v>
      </c>
      <c r="K709" s="4" t="b">
        <f>AND(((F709)=TRUE), ((J709)=TRUE))</f>
        <v>0</v>
      </c>
      <c r="L709" s="4" t="b">
        <f>AND(((G709 &lt;&gt; "plain")=TRUE), ((G709 &lt;&gt; "")=TRUE))</f>
        <v>0</v>
      </c>
      <c r="M709" s="4" t="str">
        <f>IF(((E709)=TRUE),  C709 &amp; "|" &amp; H709,  "")</f>
        <v>principal-process-steward|ElicitationSessions</v>
      </c>
      <c r="N709" s="3" t="s">
        <v>10004</v>
      </c>
    </row>
    <row r="710">
      <c r="A710" s="3" t="s">
        <v>10712</v>
      </c>
      <c r="B710" s="4" t="str">
        <f>C710 &amp; " -&gt; " &amp; D710</f>
        <v>principal-process-steward -&gt; ElicitationSessions.IsConcentratedSingleWitness</v>
      </c>
      <c r="C710" s="3" t="s">
        <v>9772</v>
      </c>
      <c r="D710" s="3" t="s">
        <v>3218</v>
      </c>
      <c r="E710" s="3" t="b">
        <v>1</v>
      </c>
      <c r="F710" s="3" t="b">
        <v>0</v>
      </c>
      <c r="G710" s="3" t="s">
        <v>10003</v>
      </c>
      <c r="H710" s="4" t="str">
        <f>_xlfn.IFNA(IF(((INDEX(RulebookFields!C2:C1898, MATCH(D710,RulebookFields!A2:A1898, 0))="")=TRUE),  "",  INDEX(RulebookFields!C2:C1898, MATCH(D710,RulebookFields!A2:A1898, 0))), "")</f>
        <v>ElicitationSessions</v>
      </c>
      <c r="I710" s="4" t="str">
        <f>_xlfn.IFNA(IF(((INDEX(RulebookFields!D2:D1898, MATCH(D710,RulebookFields!A2:A1898, 0))="")=TRUE),  "",  INDEX(RulebookFields!D2:D1898, MATCH(D710,RulebookFields!A2:A1898, 0))), "")</f>
        <v>IsConcentratedSingleWitness</v>
      </c>
      <c r="J710" s="4" t="b">
        <f>_xlfn.IFNA(IF(((INDEX(RulebookFields!I2:I1898, MATCH(D710,RulebookFields!A2:A1898, 0))="")=TRUE),  "",  INDEX(RulebookFields!I2:I1898, MATCH(D710,RulebookFields!A2:A1898, 0))), "")</f>
        <v>1</v>
      </c>
      <c r="K710" s="4" t="b">
        <f>AND(((F710)=TRUE), ((J710)=TRUE))</f>
        <v>0</v>
      </c>
      <c r="L710" s="4" t="b">
        <f>AND(((G710 &lt;&gt; "plain")=TRUE), ((G710 &lt;&gt; "")=TRUE))</f>
        <v>0</v>
      </c>
      <c r="M710" s="4" t="str">
        <f>IF(((E710)=TRUE),  C710 &amp; "|" &amp; H710,  "")</f>
        <v>principal-process-steward|ElicitationSessions</v>
      </c>
      <c r="N710" s="3" t="s">
        <v>10004</v>
      </c>
    </row>
    <row r="711">
      <c r="A711" s="3" t="s">
        <v>10713</v>
      </c>
      <c r="B711" s="4" t="str">
        <f>C711 &amp; " -&gt; " &amp; D711</f>
        <v>principal-process-steward -&gt; ElicitationSessions.IsStaleConcentratedWitness</v>
      </c>
      <c r="C711" s="3" t="s">
        <v>9772</v>
      </c>
      <c r="D711" s="3" t="s">
        <v>3220</v>
      </c>
      <c r="E711" s="3" t="b">
        <v>1</v>
      </c>
      <c r="F711" s="3" t="b">
        <v>0</v>
      </c>
      <c r="G711" s="3" t="s">
        <v>10003</v>
      </c>
      <c r="H711" s="4" t="str">
        <f>_xlfn.IFNA(IF(((INDEX(RulebookFields!C2:C1898, MATCH(D711,RulebookFields!A2:A1898, 0))="")=TRUE),  "",  INDEX(RulebookFields!C2:C1898, MATCH(D711,RulebookFields!A2:A1898, 0))), "")</f>
        <v>ElicitationSessions</v>
      </c>
      <c r="I711" s="4" t="str">
        <f>_xlfn.IFNA(IF(((INDEX(RulebookFields!D2:D1898, MATCH(D711,RulebookFields!A2:A1898, 0))="")=TRUE),  "",  INDEX(RulebookFields!D2:D1898, MATCH(D711,RulebookFields!A2:A1898, 0))), "")</f>
        <v>IsStaleConcentratedWitness</v>
      </c>
      <c r="J711" s="4" t="b">
        <f>_xlfn.IFNA(IF(((INDEX(RulebookFields!I2:I1898, MATCH(D711,RulebookFields!A2:A1898, 0))="")=TRUE),  "",  INDEX(RulebookFields!I2:I1898, MATCH(D711,RulebookFields!A2:A1898, 0))), "")</f>
        <v>1</v>
      </c>
      <c r="K711" s="4" t="b">
        <f>AND(((F711)=TRUE), ((J711)=TRUE))</f>
        <v>0</v>
      </c>
      <c r="L711" s="4" t="b">
        <f>AND(((G711 &lt;&gt; "plain")=TRUE), ((G711 &lt;&gt; "")=TRUE))</f>
        <v>0</v>
      </c>
      <c r="M711" s="4" t="str">
        <f>IF(((E711)=TRUE),  C711 &amp; "|" &amp; H711,  "")</f>
        <v>principal-process-steward|ElicitationSessions</v>
      </c>
      <c r="N711" s="3" t="s">
        <v>10004</v>
      </c>
    </row>
    <row r="712">
      <c r="A712" s="3" t="s">
        <v>10714</v>
      </c>
      <c r="B712" s="4" t="str">
        <f>C712 &amp; " -&gt; " &amp; D712</f>
        <v>principal-process-steward -&gt; ElicitationSessions.ConcentratedSessionVersionKey</v>
      </c>
      <c r="C712" s="3" t="s">
        <v>9772</v>
      </c>
      <c r="D712" s="3" t="s">
        <v>3222</v>
      </c>
      <c r="E712" s="3" t="b">
        <v>1</v>
      </c>
      <c r="F712" s="3" t="b">
        <v>0</v>
      </c>
      <c r="G712" s="3" t="s">
        <v>10003</v>
      </c>
      <c r="H712" s="4" t="str">
        <f>_xlfn.IFNA(IF(((INDEX(RulebookFields!C2:C1898, MATCH(D712,RulebookFields!A2:A1898, 0))="")=TRUE),  "",  INDEX(RulebookFields!C2:C1898, MATCH(D712,RulebookFields!A2:A1898, 0))), "")</f>
        <v>ElicitationSessions</v>
      </c>
      <c r="I712" s="4" t="str">
        <f>_xlfn.IFNA(IF(((INDEX(RulebookFields!D2:D1898, MATCH(D712,RulebookFields!A2:A1898, 0))="")=TRUE),  "",  INDEX(RulebookFields!D2:D1898, MATCH(D712,RulebookFields!A2:A1898, 0))), "")</f>
        <v>ConcentratedSessionVersionKey</v>
      </c>
      <c r="J712" s="4" t="b">
        <f>_xlfn.IFNA(IF(((INDEX(RulebookFields!I2:I1898, MATCH(D712,RulebookFields!A2:A1898, 0))="")=TRUE),  "",  INDEX(RulebookFields!I2:I1898, MATCH(D712,RulebookFields!A2:A1898, 0))), "")</f>
        <v>1</v>
      </c>
      <c r="K712" s="4" t="b">
        <f>AND(((F712)=TRUE), ((J712)=TRUE))</f>
        <v>0</v>
      </c>
      <c r="L712" s="4" t="b">
        <f>AND(((G712 &lt;&gt; "plain")=TRUE), ((G712 &lt;&gt; "")=TRUE))</f>
        <v>0</v>
      </c>
      <c r="M712" s="4" t="str">
        <f>IF(((E712)=TRUE),  C712 &amp; "|" &amp; H712,  "")</f>
        <v>principal-process-steward|ElicitationSessions</v>
      </c>
      <c r="N712" s="3" t="s">
        <v>10004</v>
      </c>
    </row>
    <row r="713">
      <c r="A713" s="3" t="s">
        <v>10715</v>
      </c>
      <c r="B713" s="4" t="str">
        <f>C713 &amp; " -&gt; " &amp; D713</f>
        <v>principal-process-steward -&gt; ElicitationSessions.SemanticTypeIri</v>
      </c>
      <c r="C713" s="3" t="s">
        <v>9772</v>
      </c>
      <c r="D713" s="3" t="s">
        <v>3224</v>
      </c>
      <c r="E713" s="3" t="b">
        <v>1</v>
      </c>
      <c r="F713" s="3" t="b">
        <v>0</v>
      </c>
      <c r="G713" s="3" t="s">
        <v>10003</v>
      </c>
      <c r="H713" s="4" t="str">
        <f>_xlfn.IFNA(IF(((INDEX(RulebookFields!C2:C1898, MATCH(D713,RulebookFields!A2:A1898, 0))="")=TRUE),  "",  INDEX(RulebookFields!C2:C1898, MATCH(D713,RulebookFields!A2:A1898, 0))), "")</f>
        <v>ElicitationSessions</v>
      </c>
      <c r="I713" s="4" t="str">
        <f>_xlfn.IFNA(IF(((INDEX(RulebookFields!D2:D1898, MATCH(D713,RulebookFields!A2:A1898, 0))="")=TRUE),  "",  INDEX(RulebookFields!D2:D1898, MATCH(D713,RulebookFields!A2:A1898, 0))), "")</f>
        <v>SemanticTypeIri</v>
      </c>
      <c r="J713" s="4" t="b">
        <f>_xlfn.IFNA(IF(((INDEX(RulebookFields!I2:I1898, MATCH(D713,RulebookFields!A2:A1898, 0))="")=TRUE),  "",  INDEX(RulebookFields!I2:I1898, MATCH(D713,RulebookFields!A2:A1898, 0))), "")</f>
        <v>0</v>
      </c>
      <c r="K713" s="4" t="b">
        <f>AND(((F713)=TRUE), ((J713)=TRUE))</f>
        <v>0</v>
      </c>
      <c r="L713" s="4" t="b">
        <f>AND(((G713 &lt;&gt; "plain")=TRUE), ((G713 &lt;&gt; "")=TRUE))</f>
        <v>0</v>
      </c>
      <c r="M713" s="4" t="str">
        <f>IF(((E713)=TRUE),  C713 &amp; "|" &amp; H713,  "")</f>
        <v>principal-process-steward|ElicitationSessions</v>
      </c>
      <c r="N713" s="3" t="s">
        <v>10004</v>
      </c>
    </row>
    <row r="714">
      <c r="A714" s="3" t="s">
        <v>10716</v>
      </c>
      <c r="B714" s="4" t="str">
        <f>C714 &amp; " -&gt; " &amp; D714</f>
        <v>principal-process-steward -&gt; Errors.ErrorId</v>
      </c>
      <c r="C714" s="3" t="s">
        <v>9772</v>
      </c>
      <c r="D714" s="3" t="s">
        <v>3853</v>
      </c>
      <c r="E714" s="3" t="b">
        <v>1</v>
      </c>
      <c r="F714" s="3" t="b">
        <v>0</v>
      </c>
      <c r="G714" s="3" t="s">
        <v>10003</v>
      </c>
      <c r="H714" s="4" t="str">
        <f>_xlfn.IFNA(IF(((INDEX(RulebookFields!C2:C1898, MATCH(D714,RulebookFields!A2:A1898, 0))="")=TRUE),  "",  INDEX(RulebookFields!C2:C1898, MATCH(D714,RulebookFields!A2:A1898, 0))), "")</f>
        <v>Errors</v>
      </c>
      <c r="I714" s="4" t="str">
        <f>_xlfn.IFNA(IF(((INDEX(RulebookFields!D2:D1898, MATCH(D714,RulebookFields!A2:A1898, 0))="")=TRUE),  "",  INDEX(RulebookFields!D2:D1898, MATCH(D714,RulebookFields!A2:A1898, 0))), "")</f>
        <v>ErrorId</v>
      </c>
      <c r="J714" s="4" t="b">
        <f>_xlfn.IFNA(IF(((INDEX(RulebookFields!I2:I1898, MATCH(D714,RulebookFields!A2:A1898, 0))="")=TRUE),  "",  INDEX(RulebookFields!I2:I1898, MATCH(D714,RulebookFields!A2:A1898, 0))), "")</f>
        <v>0</v>
      </c>
      <c r="K714" s="4" t="b">
        <f>AND(((F714)=TRUE), ((J714)=TRUE))</f>
        <v>0</v>
      </c>
      <c r="L714" s="4" t="b">
        <f>AND(((G714 &lt;&gt; "plain")=TRUE), ((G714 &lt;&gt; "")=TRUE))</f>
        <v>0</v>
      </c>
      <c r="M714" s="4" t="str">
        <f>IF(((E714)=TRUE),  C714 &amp; "|" &amp; H714,  "")</f>
        <v>principal-process-steward|Errors</v>
      </c>
      <c r="N714" s="3" t="s">
        <v>10004</v>
      </c>
    </row>
    <row r="715">
      <c r="A715" s="3" t="s">
        <v>10717</v>
      </c>
      <c r="B715" s="4" t="str">
        <f>C715 &amp; " -&gt; " &amp; D715</f>
        <v>principal-process-steward -&gt; Errors.Name</v>
      </c>
      <c r="C715" s="3" t="s">
        <v>9772</v>
      </c>
      <c r="D715" s="3" t="s">
        <v>3854</v>
      </c>
      <c r="E715" s="3" t="b">
        <v>1</v>
      </c>
      <c r="F715" s="3" t="b">
        <v>0</v>
      </c>
      <c r="G715" s="3" t="s">
        <v>10003</v>
      </c>
      <c r="H715" s="4" t="str">
        <f>_xlfn.IFNA(IF(((INDEX(RulebookFields!C2:C1898, MATCH(D715,RulebookFields!A2:A1898, 0))="")=TRUE),  "",  INDEX(RulebookFields!C2:C1898, MATCH(D715,RulebookFields!A2:A1898, 0))), "")</f>
        <v>Errors</v>
      </c>
      <c r="I715" s="4" t="str">
        <f>_xlfn.IFNA(IF(((INDEX(RulebookFields!D2:D1898, MATCH(D715,RulebookFields!A2:A1898, 0))="")=TRUE),  "",  INDEX(RulebookFields!D2:D1898, MATCH(D715,RulebookFields!A2:A1898, 0))), "")</f>
        <v>Name</v>
      </c>
      <c r="J715" s="4" t="b">
        <f>_xlfn.IFNA(IF(((INDEX(RulebookFields!I2:I1898, MATCH(D715,RulebookFields!A2:A1898, 0))="")=TRUE),  "",  INDEX(RulebookFields!I2:I1898, MATCH(D715,RulebookFields!A2:A1898, 0))), "")</f>
        <v>1</v>
      </c>
      <c r="K715" s="4" t="b">
        <f>AND(((F715)=TRUE), ((J715)=TRUE))</f>
        <v>0</v>
      </c>
      <c r="L715" s="4" t="b">
        <f>AND(((G715 &lt;&gt; "plain")=TRUE), ((G715 &lt;&gt; "")=TRUE))</f>
        <v>0</v>
      </c>
      <c r="M715" s="4" t="str">
        <f>IF(((E715)=TRUE),  C715 &amp; "|" &amp; H715,  "")</f>
        <v>principal-process-steward|Errors</v>
      </c>
      <c r="N715" s="3" t="s">
        <v>10004</v>
      </c>
    </row>
    <row r="716">
      <c r="A716" s="3" t="s">
        <v>10718</v>
      </c>
      <c r="B716" s="4" t="str">
        <f>C716 &amp; " -&gt; " &amp; D716</f>
        <v>principal-process-steward -&gt; Errors.Label</v>
      </c>
      <c r="C716" s="3" t="s">
        <v>9772</v>
      </c>
      <c r="D716" s="3" t="s">
        <v>3856</v>
      </c>
      <c r="E716" s="3" t="b">
        <v>1</v>
      </c>
      <c r="F716" s="3" t="b">
        <v>0</v>
      </c>
      <c r="G716" s="3" t="s">
        <v>10003</v>
      </c>
      <c r="H716" s="4" t="str">
        <f>_xlfn.IFNA(IF(((INDEX(RulebookFields!C2:C1898, MATCH(D716,RulebookFields!A2:A1898, 0))="")=TRUE),  "",  INDEX(RulebookFields!C2:C1898, MATCH(D716,RulebookFields!A2:A1898, 0))), "")</f>
        <v>Errors</v>
      </c>
      <c r="I716" s="4" t="str">
        <f>_xlfn.IFNA(IF(((INDEX(RulebookFields!D2:D1898, MATCH(D716,RulebookFields!A2:A1898, 0))="")=TRUE),  "",  INDEX(RulebookFields!D2:D1898, MATCH(D716,RulebookFields!A2:A1898, 0))), "")</f>
        <v>Label</v>
      </c>
      <c r="J716" s="4" t="b">
        <f>_xlfn.IFNA(IF(((INDEX(RulebookFields!I2:I1898, MATCH(D716,RulebookFields!A2:A1898, 0))="")=TRUE),  "",  INDEX(RulebookFields!I2:I1898, MATCH(D716,RulebookFields!A2:A1898, 0))), "")</f>
        <v>0</v>
      </c>
      <c r="K716" s="4" t="b">
        <f>AND(((F716)=TRUE), ((J716)=TRUE))</f>
        <v>0</v>
      </c>
      <c r="L716" s="4" t="b">
        <f>AND(((G716 &lt;&gt; "plain")=TRUE), ((G716 &lt;&gt; "")=TRUE))</f>
        <v>0</v>
      </c>
      <c r="M716" s="4" t="str">
        <f>IF(((E716)=TRUE),  C716 &amp; "|" &amp; H716,  "")</f>
        <v>principal-process-steward|Errors</v>
      </c>
      <c r="N716" s="3" t="s">
        <v>10004</v>
      </c>
    </row>
    <row r="717">
      <c r="A717" s="3" t="s">
        <v>10719</v>
      </c>
      <c r="B717" s="4" t="str">
        <f>C717 &amp; " -&gt; " &amp; D717</f>
        <v>principal-process-steward -&gt; Errors.ErrorCode</v>
      </c>
      <c r="C717" s="3" t="s">
        <v>9772</v>
      </c>
      <c r="D717" s="3" t="s">
        <v>3857</v>
      </c>
      <c r="E717" s="3" t="b">
        <v>1</v>
      </c>
      <c r="F717" s="3" t="b">
        <v>0</v>
      </c>
      <c r="G717" s="3" t="s">
        <v>10003</v>
      </c>
      <c r="H717" s="4" t="str">
        <f>_xlfn.IFNA(IF(((INDEX(RulebookFields!C2:C1898, MATCH(D717,RulebookFields!A2:A1898, 0))="")=TRUE),  "",  INDEX(RulebookFields!C2:C1898, MATCH(D717,RulebookFields!A2:A1898, 0))), "")</f>
        <v>Errors</v>
      </c>
      <c r="I717" s="4" t="str">
        <f>_xlfn.IFNA(IF(((INDEX(RulebookFields!D2:D1898, MATCH(D717,RulebookFields!A2:A1898, 0))="")=TRUE),  "",  INDEX(RulebookFields!D2:D1898, MATCH(D717,RulebookFields!A2:A1898, 0))), "")</f>
        <v>ErrorCode</v>
      </c>
      <c r="J717" s="4" t="b">
        <f>_xlfn.IFNA(IF(((INDEX(RulebookFields!I2:I1898, MATCH(D717,RulebookFields!A2:A1898, 0))="")=TRUE),  "",  INDEX(RulebookFields!I2:I1898, MATCH(D717,RulebookFields!A2:A1898, 0))), "")</f>
        <v>0</v>
      </c>
      <c r="K717" s="4" t="b">
        <f>AND(((F717)=TRUE), ((J717)=TRUE))</f>
        <v>0</v>
      </c>
      <c r="L717" s="4" t="b">
        <f>AND(((G717 &lt;&gt; "plain")=TRUE), ((G717 &lt;&gt; "")=TRUE))</f>
        <v>0</v>
      </c>
      <c r="M717" s="4" t="str">
        <f>IF(((E717)=TRUE),  C717 &amp; "|" &amp; H717,  "")</f>
        <v>principal-process-steward|Errors</v>
      </c>
      <c r="N717" s="3" t="s">
        <v>10004</v>
      </c>
    </row>
    <row r="718">
      <c r="A718" s="3" t="s">
        <v>10720</v>
      </c>
      <c r="B718" s="4" t="str">
        <f>C718 &amp; " -&gt; " &amp; D718</f>
        <v>principal-process-steward -&gt; Errors.ErrorCause</v>
      </c>
      <c r="C718" s="3" t="s">
        <v>9772</v>
      </c>
      <c r="D718" s="3" t="s">
        <v>3858</v>
      </c>
      <c r="E718" s="3" t="b">
        <v>1</v>
      </c>
      <c r="F718" s="3" t="b">
        <v>0</v>
      </c>
      <c r="G718" s="3" t="s">
        <v>10003</v>
      </c>
      <c r="H718" s="4" t="str">
        <f>_xlfn.IFNA(IF(((INDEX(RulebookFields!C2:C1898, MATCH(D718,RulebookFields!A2:A1898, 0))="")=TRUE),  "",  INDEX(RulebookFields!C2:C1898, MATCH(D718,RulebookFields!A2:A1898, 0))), "")</f>
        <v>Errors</v>
      </c>
      <c r="I718" s="4" t="str">
        <f>_xlfn.IFNA(IF(((INDEX(RulebookFields!D2:D1898, MATCH(D718,RulebookFields!A2:A1898, 0))="")=TRUE),  "",  INDEX(RulebookFields!D2:D1898, MATCH(D718,RulebookFields!A2:A1898, 0))), "")</f>
        <v>ErrorCause</v>
      </c>
      <c r="J718" s="4" t="b">
        <f>_xlfn.IFNA(IF(((INDEX(RulebookFields!I2:I1898, MATCH(D718,RulebookFields!A2:A1898, 0))="")=TRUE),  "",  INDEX(RulebookFields!I2:I1898, MATCH(D718,RulebookFields!A2:A1898, 0))), "")</f>
        <v>0</v>
      </c>
      <c r="K718" s="4" t="b">
        <f>AND(((F718)=TRUE), ((J718)=TRUE))</f>
        <v>0</v>
      </c>
      <c r="L718" s="4" t="b">
        <f>AND(((G718 &lt;&gt; "plain")=TRUE), ((G718 &lt;&gt; "")=TRUE))</f>
        <v>0</v>
      </c>
      <c r="M718" s="4" t="str">
        <f>IF(((E718)=TRUE),  C718 &amp; "|" &amp; H718,  "")</f>
        <v>principal-process-steward|Errors</v>
      </c>
      <c r="N718" s="3" t="s">
        <v>10004</v>
      </c>
    </row>
    <row r="719">
      <c r="A719" s="3" t="s">
        <v>10721</v>
      </c>
      <c r="B719" s="4" t="str">
        <f>C719 &amp; " -&gt; " &amp; D719</f>
        <v>principal-process-steward -&gt; Errors.SemanticTypeIri</v>
      </c>
      <c r="C719" s="3" t="s">
        <v>9772</v>
      </c>
      <c r="D719" s="3" t="s">
        <v>3859</v>
      </c>
      <c r="E719" s="3" t="b">
        <v>1</v>
      </c>
      <c r="F719" s="3" t="b">
        <v>0</v>
      </c>
      <c r="G719" s="3" t="s">
        <v>10003</v>
      </c>
      <c r="H719" s="4" t="str">
        <f>_xlfn.IFNA(IF(((INDEX(RulebookFields!C2:C1898, MATCH(D719,RulebookFields!A2:A1898, 0))="")=TRUE),  "",  INDEX(RulebookFields!C2:C1898, MATCH(D719,RulebookFields!A2:A1898, 0))), "")</f>
        <v>Errors</v>
      </c>
      <c r="I719" s="4" t="str">
        <f>_xlfn.IFNA(IF(((INDEX(RulebookFields!D2:D1898, MATCH(D719,RulebookFields!A2:A1898, 0))="")=TRUE),  "",  INDEX(RulebookFields!D2:D1898, MATCH(D719,RulebookFields!A2:A1898, 0))), "")</f>
        <v>SemanticTypeIri</v>
      </c>
      <c r="J719" s="4" t="b">
        <f>_xlfn.IFNA(IF(((INDEX(RulebookFields!I2:I1898, MATCH(D719,RulebookFields!A2:A1898, 0))="")=TRUE),  "",  INDEX(RulebookFields!I2:I1898, MATCH(D719,RulebookFields!A2:A1898, 0))), "")</f>
        <v>0</v>
      </c>
      <c r="K719" s="4" t="b">
        <f>AND(((F719)=TRUE), ((J719)=TRUE))</f>
        <v>0</v>
      </c>
      <c r="L719" s="4" t="b">
        <f>AND(((G719 &lt;&gt; "plain")=TRUE), ((G719 &lt;&gt; "")=TRUE))</f>
        <v>0</v>
      </c>
      <c r="M719" s="4" t="str">
        <f>IF(((E719)=TRUE),  C719 &amp; "|" &amp; H719,  "")</f>
        <v>principal-process-steward|Errors</v>
      </c>
      <c r="N719" s="3" t="s">
        <v>10004</v>
      </c>
    </row>
    <row r="720">
      <c r="A720" s="3" t="s">
        <v>10722</v>
      </c>
      <c r="B720" s="4" t="str">
        <f>C720 &amp; " -&gt; " &amp; D720</f>
        <v>principal-process-steward -&gt; EvaluationContexts.EvaluationContextId</v>
      </c>
      <c r="C720" s="3" t="s">
        <v>9772</v>
      </c>
      <c r="D720" s="3" t="s">
        <v>2443</v>
      </c>
      <c r="E720" s="3" t="b">
        <v>1</v>
      </c>
      <c r="F720" s="3" t="b">
        <v>0</v>
      </c>
      <c r="G720" s="3" t="s">
        <v>10003</v>
      </c>
      <c r="H720" s="4" t="str">
        <f>_xlfn.IFNA(IF(((INDEX(RulebookFields!C2:C1898, MATCH(D720,RulebookFields!A2:A1898, 0))="")=TRUE),  "",  INDEX(RulebookFields!C2:C1898, MATCH(D720,RulebookFields!A2:A1898, 0))), "")</f>
        <v>EvaluationContexts</v>
      </c>
      <c r="I720" s="4" t="str">
        <f>_xlfn.IFNA(IF(((INDEX(RulebookFields!D2:D1898, MATCH(D720,RulebookFields!A2:A1898, 0))="")=TRUE),  "",  INDEX(RulebookFields!D2:D1898, MATCH(D720,RulebookFields!A2:A1898, 0))), "")</f>
        <v>EvaluationContextId</v>
      </c>
      <c r="J720" s="4" t="b">
        <f>_xlfn.IFNA(IF(((INDEX(RulebookFields!I2:I1898, MATCH(D720,RulebookFields!A2:A1898, 0))="")=TRUE),  "",  INDEX(RulebookFields!I2:I1898, MATCH(D720,RulebookFields!A2:A1898, 0))), "")</f>
        <v>0</v>
      </c>
      <c r="K720" s="4" t="b">
        <f>AND(((F720)=TRUE), ((J720)=TRUE))</f>
        <v>0</v>
      </c>
      <c r="L720" s="4" t="b">
        <f>AND(((G720 &lt;&gt; "plain")=TRUE), ((G720 &lt;&gt; "")=TRUE))</f>
        <v>0</v>
      </c>
      <c r="M720" s="4" t="str">
        <f>IF(((E720)=TRUE),  C720 &amp; "|" &amp; H720,  "")</f>
        <v>principal-process-steward|EvaluationContexts</v>
      </c>
      <c r="N720" s="3" t="s">
        <v>10004</v>
      </c>
    </row>
    <row r="721">
      <c r="A721" s="3" t="s">
        <v>10723</v>
      </c>
      <c r="B721" s="4" t="str">
        <f>C721 &amp; " -&gt; " &amp; D721</f>
        <v>principal-process-steward -&gt; EvaluationContexts.Name</v>
      </c>
      <c r="C721" s="3" t="s">
        <v>9772</v>
      </c>
      <c r="D721" s="3" t="s">
        <v>2445</v>
      </c>
      <c r="E721" s="3" t="b">
        <v>1</v>
      </c>
      <c r="F721" s="3" t="b">
        <v>0</v>
      </c>
      <c r="G721" s="3" t="s">
        <v>10003</v>
      </c>
      <c r="H721" s="4" t="str">
        <f>_xlfn.IFNA(IF(((INDEX(RulebookFields!C2:C1898, MATCH(D721,RulebookFields!A2:A1898, 0))="")=TRUE),  "",  INDEX(RulebookFields!C2:C1898, MATCH(D721,RulebookFields!A2:A1898, 0))), "")</f>
        <v>EvaluationContexts</v>
      </c>
      <c r="I721" s="4" t="str">
        <f>_xlfn.IFNA(IF(((INDEX(RulebookFields!D2:D1898, MATCH(D721,RulebookFields!A2:A1898, 0))="")=TRUE),  "",  INDEX(RulebookFields!D2:D1898, MATCH(D721,RulebookFields!A2:A1898, 0))), "")</f>
        <v>Name</v>
      </c>
      <c r="J721" s="4" t="b">
        <f>_xlfn.IFNA(IF(((INDEX(RulebookFields!I2:I1898, MATCH(D721,RulebookFields!A2:A1898, 0))="")=TRUE),  "",  INDEX(RulebookFields!I2:I1898, MATCH(D721,RulebookFields!A2:A1898, 0))), "")</f>
        <v>1</v>
      </c>
      <c r="K721" s="4" t="b">
        <f>AND(((F721)=TRUE), ((J721)=TRUE))</f>
        <v>0</v>
      </c>
      <c r="L721" s="4" t="b">
        <f>AND(((G721 &lt;&gt; "plain")=TRUE), ((G721 &lt;&gt; "")=TRUE))</f>
        <v>0</v>
      </c>
      <c r="M721" s="4" t="str">
        <f>IF(((E721)=TRUE),  C721 &amp; "|" &amp; H721,  "")</f>
        <v>principal-process-steward|EvaluationContexts</v>
      </c>
      <c r="N721" s="3" t="s">
        <v>10004</v>
      </c>
    </row>
    <row r="722">
      <c r="A722" s="3" t="s">
        <v>10724</v>
      </c>
      <c r="B722" s="4" t="str">
        <f>C722 &amp; " -&gt; " &amp; D722</f>
        <v>principal-process-steward -&gt; EvaluationContexts.Label</v>
      </c>
      <c r="C722" s="3" t="s">
        <v>9772</v>
      </c>
      <c r="D722" s="3" t="s">
        <v>2447</v>
      </c>
      <c r="E722" s="3" t="b">
        <v>1</v>
      </c>
      <c r="F722" s="3" t="b">
        <v>0</v>
      </c>
      <c r="G722" s="3" t="s">
        <v>10003</v>
      </c>
      <c r="H722" s="4" t="str">
        <f>_xlfn.IFNA(IF(((INDEX(RulebookFields!C2:C1898, MATCH(D722,RulebookFields!A2:A1898, 0))="")=TRUE),  "",  INDEX(RulebookFields!C2:C1898, MATCH(D722,RulebookFields!A2:A1898, 0))), "")</f>
        <v>EvaluationContexts</v>
      </c>
      <c r="I722" s="4" t="str">
        <f>_xlfn.IFNA(IF(((INDEX(RulebookFields!D2:D1898, MATCH(D722,RulebookFields!A2:A1898, 0))="")=TRUE),  "",  INDEX(RulebookFields!D2:D1898, MATCH(D722,RulebookFields!A2:A1898, 0))), "")</f>
        <v>Label</v>
      </c>
      <c r="J722" s="4" t="b">
        <f>_xlfn.IFNA(IF(((INDEX(RulebookFields!I2:I1898, MATCH(D722,RulebookFields!A2:A1898, 0))="")=TRUE),  "",  INDEX(RulebookFields!I2:I1898, MATCH(D722,RulebookFields!A2:A1898, 0))), "")</f>
        <v>0</v>
      </c>
      <c r="K722" s="4" t="b">
        <f>AND(((F722)=TRUE), ((J722)=TRUE))</f>
        <v>0</v>
      </c>
      <c r="L722" s="4" t="b">
        <f>AND(((G722 &lt;&gt; "plain")=TRUE), ((G722 &lt;&gt; "")=TRUE))</f>
        <v>0</v>
      </c>
      <c r="M722" s="4" t="str">
        <f>IF(((E722)=TRUE),  C722 &amp; "|" &amp; H722,  "")</f>
        <v>principal-process-steward|EvaluationContexts</v>
      </c>
      <c r="N722" s="3" t="s">
        <v>10004</v>
      </c>
    </row>
    <row r="723">
      <c r="A723" s="3" t="s">
        <v>10725</v>
      </c>
      <c r="B723" s="4" t="str">
        <f>C723 &amp; " -&gt; " &amp; D723</f>
        <v>principal-process-steward -&gt; EvaluationContexts.AsOfInstant</v>
      </c>
      <c r="C723" s="3" t="s">
        <v>9772</v>
      </c>
      <c r="D723" s="3" t="s">
        <v>2448</v>
      </c>
      <c r="E723" s="3" t="b">
        <v>1</v>
      </c>
      <c r="F723" s="3" t="b">
        <v>0</v>
      </c>
      <c r="G723" s="3" t="s">
        <v>10003</v>
      </c>
      <c r="H723" s="4" t="str">
        <f>_xlfn.IFNA(IF(((INDEX(RulebookFields!C2:C1898, MATCH(D723,RulebookFields!A2:A1898, 0))="")=TRUE),  "",  INDEX(RulebookFields!C2:C1898, MATCH(D723,RulebookFields!A2:A1898, 0))), "")</f>
        <v>EvaluationContexts</v>
      </c>
      <c r="I723" s="4" t="str">
        <f>_xlfn.IFNA(IF(((INDEX(RulebookFields!D2:D1898, MATCH(D723,RulebookFields!A2:A1898, 0))="")=TRUE),  "",  INDEX(RulebookFields!D2:D1898, MATCH(D723,RulebookFields!A2:A1898, 0))), "")</f>
        <v>AsOfInstant</v>
      </c>
      <c r="J723" s="4" t="b">
        <f>_xlfn.IFNA(IF(((INDEX(RulebookFields!I2:I1898, MATCH(D723,RulebookFields!A2:A1898, 0))="")=TRUE),  "",  INDEX(RulebookFields!I2:I1898, MATCH(D723,RulebookFields!A2:A1898, 0))), "")</f>
        <v>0</v>
      </c>
      <c r="K723" s="4" t="b">
        <f>AND(((F723)=TRUE), ((J723)=TRUE))</f>
        <v>0</v>
      </c>
      <c r="L723" s="4" t="b">
        <f>AND(((G723 &lt;&gt; "plain")=TRUE), ((G723 &lt;&gt; "")=TRUE))</f>
        <v>0</v>
      </c>
      <c r="M723" s="4" t="str">
        <f>IF(((E723)=TRUE),  C723 &amp; "|" &amp; H723,  "")</f>
        <v>principal-process-steward|EvaluationContexts</v>
      </c>
      <c r="N723" s="3" t="s">
        <v>10004</v>
      </c>
    </row>
    <row r="724">
      <c r="A724" s="3" t="s">
        <v>10726</v>
      </c>
      <c r="B724" s="4" t="str">
        <f>C724 &amp; " -&gt; " &amp; D724</f>
        <v>principal-process-steward -&gt; EvaluationContexts.IsCurrent</v>
      </c>
      <c r="C724" s="3" t="s">
        <v>9772</v>
      </c>
      <c r="D724" s="3" t="s">
        <v>2449</v>
      </c>
      <c r="E724" s="3" t="b">
        <v>1</v>
      </c>
      <c r="F724" s="3" t="b">
        <v>0</v>
      </c>
      <c r="G724" s="3" t="s">
        <v>10003</v>
      </c>
      <c r="H724" s="4" t="str">
        <f>_xlfn.IFNA(IF(((INDEX(RulebookFields!C2:C1898, MATCH(D724,RulebookFields!A2:A1898, 0))="")=TRUE),  "",  INDEX(RulebookFields!C2:C1898, MATCH(D724,RulebookFields!A2:A1898, 0))), "")</f>
        <v>EvaluationContexts</v>
      </c>
      <c r="I724" s="4" t="str">
        <f>_xlfn.IFNA(IF(((INDEX(RulebookFields!D2:D1898, MATCH(D724,RulebookFields!A2:A1898, 0))="")=TRUE),  "",  INDEX(RulebookFields!D2:D1898, MATCH(D724,RulebookFields!A2:A1898, 0))), "")</f>
        <v>IsCurrent</v>
      </c>
      <c r="J724" s="4" t="b">
        <f>_xlfn.IFNA(IF(((INDEX(RulebookFields!I2:I1898, MATCH(D724,RulebookFields!A2:A1898, 0))="")=TRUE),  "",  INDEX(RulebookFields!I2:I1898, MATCH(D724,RulebookFields!A2:A1898, 0))), "")</f>
        <v>0</v>
      </c>
      <c r="K724" s="4" t="b">
        <f>AND(((F724)=TRUE), ((J724)=TRUE))</f>
        <v>0</v>
      </c>
      <c r="L724" s="4" t="b">
        <f>AND(((G724 &lt;&gt; "plain")=TRUE), ((G724 &lt;&gt; "")=TRUE))</f>
        <v>0</v>
      </c>
      <c r="M724" s="4" t="str">
        <f>IF(((E724)=TRUE),  C724 &amp; "|" &amp; H724,  "")</f>
        <v>principal-process-steward|EvaluationContexts</v>
      </c>
      <c r="N724" s="3" t="s">
        <v>10004</v>
      </c>
    </row>
    <row r="725">
      <c r="A725" s="3" t="s">
        <v>10727</v>
      </c>
      <c r="B725" s="4" t="str">
        <f>C725 &amp; " -&gt; " &amp; D725</f>
        <v>principal-process-steward -&gt; EvaluationContexts.Rationale</v>
      </c>
      <c r="C725" s="3" t="s">
        <v>9772</v>
      </c>
      <c r="D725" s="3" t="s">
        <v>2450</v>
      </c>
      <c r="E725" s="3" t="b">
        <v>1</v>
      </c>
      <c r="F725" s="3" t="b">
        <v>0</v>
      </c>
      <c r="G725" s="3" t="s">
        <v>10003</v>
      </c>
      <c r="H725" s="4" t="str">
        <f>_xlfn.IFNA(IF(((INDEX(RulebookFields!C2:C1898, MATCH(D725,RulebookFields!A2:A1898, 0))="")=TRUE),  "",  INDEX(RulebookFields!C2:C1898, MATCH(D725,RulebookFields!A2:A1898, 0))), "")</f>
        <v>EvaluationContexts</v>
      </c>
      <c r="I725" s="4" t="str">
        <f>_xlfn.IFNA(IF(((INDEX(RulebookFields!D2:D1898, MATCH(D725,RulebookFields!A2:A1898, 0))="")=TRUE),  "",  INDEX(RulebookFields!D2:D1898, MATCH(D725,RulebookFields!A2:A1898, 0))), "")</f>
        <v>Rationale</v>
      </c>
      <c r="J725" s="4" t="b">
        <f>_xlfn.IFNA(IF(((INDEX(RulebookFields!I2:I1898, MATCH(D725,RulebookFields!A2:A1898, 0))="")=TRUE),  "",  INDEX(RulebookFields!I2:I1898, MATCH(D725,RulebookFields!A2:A1898, 0))), "")</f>
        <v>0</v>
      </c>
      <c r="K725" s="4" t="b">
        <f>AND(((F725)=TRUE), ((J725)=TRUE))</f>
        <v>0</v>
      </c>
      <c r="L725" s="4" t="b">
        <f>AND(((G725 &lt;&gt; "plain")=TRUE), ((G725 &lt;&gt; "")=TRUE))</f>
        <v>0</v>
      </c>
      <c r="M725" s="4" t="str">
        <f>IF(((E725)=TRUE),  C725 &amp; "|" &amp; H725,  "")</f>
        <v>principal-process-steward|EvaluationContexts</v>
      </c>
      <c r="N725" s="3" t="s">
        <v>10004</v>
      </c>
    </row>
    <row r="726">
      <c r="A726" s="3" t="s">
        <v>10728</v>
      </c>
      <c r="B726" s="4" t="str">
        <f>C726 &amp; " -&gt; " &amp; D726</f>
        <v>principal-process-steward -&gt; EvaluationContexts.SemanticTypeIri</v>
      </c>
      <c r="C726" s="3" t="s">
        <v>9772</v>
      </c>
      <c r="D726" s="3" t="s">
        <v>2451</v>
      </c>
      <c r="E726" s="3" t="b">
        <v>1</v>
      </c>
      <c r="F726" s="3" t="b">
        <v>0</v>
      </c>
      <c r="G726" s="3" t="s">
        <v>10003</v>
      </c>
      <c r="H726" s="4" t="str">
        <f>_xlfn.IFNA(IF(((INDEX(RulebookFields!C2:C1898, MATCH(D726,RulebookFields!A2:A1898, 0))="")=TRUE),  "",  INDEX(RulebookFields!C2:C1898, MATCH(D726,RulebookFields!A2:A1898, 0))), "")</f>
        <v>EvaluationContexts</v>
      </c>
      <c r="I726" s="4" t="str">
        <f>_xlfn.IFNA(IF(((INDEX(RulebookFields!D2:D1898, MATCH(D726,RulebookFields!A2:A1898, 0))="")=TRUE),  "",  INDEX(RulebookFields!D2:D1898, MATCH(D726,RulebookFields!A2:A1898, 0))), "")</f>
        <v>SemanticTypeIri</v>
      </c>
      <c r="J726" s="4" t="b">
        <f>_xlfn.IFNA(IF(((INDEX(RulebookFields!I2:I1898, MATCH(D726,RulebookFields!A2:A1898, 0))="")=TRUE),  "",  INDEX(RulebookFields!I2:I1898, MATCH(D726,RulebookFields!A2:A1898, 0))), "")</f>
        <v>0</v>
      </c>
      <c r="K726" s="4" t="b">
        <f>AND(((F726)=TRUE), ((J726)=TRUE))</f>
        <v>0</v>
      </c>
      <c r="L726" s="4" t="b">
        <f>AND(((G726 &lt;&gt; "plain")=TRUE), ((G726 &lt;&gt; "")=TRUE))</f>
        <v>0</v>
      </c>
      <c r="M726" s="4" t="str">
        <f>IF(((E726)=TRUE),  C726 &amp; "|" &amp; H726,  "")</f>
        <v>principal-process-steward|EvaluationContexts</v>
      </c>
      <c r="N726" s="3" t="s">
        <v>10004</v>
      </c>
    </row>
    <row r="727">
      <c r="A727" s="3" t="s">
        <v>10729</v>
      </c>
      <c r="B727" s="4" t="str">
        <f>C727 &amp; " -&gt; " &amp; D727</f>
        <v>principal-process-steward -&gt; ExceptionInvocations.ExceptionInvocationId</v>
      </c>
      <c r="C727" s="3" t="s">
        <v>9772</v>
      </c>
      <c r="D727" s="3" t="s">
        <v>4286</v>
      </c>
      <c r="E727" s="3" t="b">
        <v>1</v>
      </c>
      <c r="F727" s="3" t="b">
        <v>0</v>
      </c>
      <c r="G727" s="3" t="s">
        <v>10003</v>
      </c>
      <c r="H727" s="4" t="str">
        <f>_xlfn.IFNA(IF(((INDEX(RulebookFields!C2:C1898, MATCH(D727,RulebookFields!A2:A1898, 0))="")=TRUE),  "",  INDEX(RulebookFields!C2:C1898, MATCH(D727,RulebookFields!A2:A1898, 0))), "")</f>
        <v>ExceptionInvocations</v>
      </c>
      <c r="I727" s="4" t="str">
        <f>_xlfn.IFNA(IF(((INDEX(RulebookFields!D2:D1898, MATCH(D727,RulebookFields!A2:A1898, 0))="")=TRUE),  "",  INDEX(RulebookFields!D2:D1898, MATCH(D727,RulebookFields!A2:A1898, 0))), "")</f>
        <v>ExceptionInvocationId</v>
      </c>
      <c r="J727" s="4" t="b">
        <f>_xlfn.IFNA(IF(((INDEX(RulebookFields!I2:I1898, MATCH(D727,RulebookFields!A2:A1898, 0))="")=TRUE),  "",  INDEX(RulebookFields!I2:I1898, MATCH(D727,RulebookFields!A2:A1898, 0))), "")</f>
        <v>0</v>
      </c>
      <c r="K727" s="4" t="b">
        <f>AND(((F727)=TRUE), ((J727)=TRUE))</f>
        <v>0</v>
      </c>
      <c r="L727" s="4" t="b">
        <f>AND(((G727 &lt;&gt; "plain")=TRUE), ((G727 &lt;&gt; "")=TRUE))</f>
        <v>0</v>
      </c>
      <c r="M727" s="4" t="str">
        <f>IF(((E727)=TRUE),  C727 &amp; "|" &amp; H727,  "")</f>
        <v>principal-process-steward|ExceptionInvocations</v>
      </c>
      <c r="N727" s="3" t="s">
        <v>10004</v>
      </c>
    </row>
    <row r="728">
      <c r="A728" s="3" t="s">
        <v>10730</v>
      </c>
      <c r="B728" s="4" t="str">
        <f>C728 &amp; " -&gt; " &amp; D728</f>
        <v>principal-process-steward -&gt; ExceptionInvocations.Name</v>
      </c>
      <c r="C728" s="3" t="s">
        <v>9772</v>
      </c>
      <c r="D728" s="3" t="s">
        <v>4289</v>
      </c>
      <c r="E728" s="3" t="b">
        <v>1</v>
      </c>
      <c r="F728" s="3" t="b">
        <v>0</v>
      </c>
      <c r="G728" s="3" t="s">
        <v>10003</v>
      </c>
      <c r="H728" s="4" t="str">
        <f>_xlfn.IFNA(IF(((INDEX(RulebookFields!C2:C1898, MATCH(D728,RulebookFields!A2:A1898, 0))="")=TRUE),  "",  INDEX(RulebookFields!C2:C1898, MATCH(D728,RulebookFields!A2:A1898, 0))), "")</f>
        <v>ExceptionInvocations</v>
      </c>
      <c r="I728" s="4" t="str">
        <f>_xlfn.IFNA(IF(((INDEX(RulebookFields!D2:D1898, MATCH(D728,RulebookFields!A2:A1898, 0))="")=TRUE),  "",  INDEX(RulebookFields!D2:D1898, MATCH(D728,RulebookFields!A2:A1898, 0))), "")</f>
        <v>Name</v>
      </c>
      <c r="J728" s="4" t="b">
        <f>_xlfn.IFNA(IF(((INDEX(RulebookFields!I2:I1898, MATCH(D728,RulebookFields!A2:A1898, 0))="")=TRUE),  "",  INDEX(RulebookFields!I2:I1898, MATCH(D728,RulebookFields!A2:A1898, 0))), "")</f>
        <v>1</v>
      </c>
      <c r="K728" s="4" t="b">
        <f>AND(((F728)=TRUE), ((J728)=TRUE))</f>
        <v>0</v>
      </c>
      <c r="L728" s="4" t="b">
        <f>AND(((G728 &lt;&gt; "plain")=TRUE), ((G728 &lt;&gt; "")=TRUE))</f>
        <v>0</v>
      </c>
      <c r="M728" s="4" t="str">
        <f>IF(((E728)=TRUE),  C728 &amp; "|" &amp; H728,  "")</f>
        <v>principal-process-steward|ExceptionInvocations</v>
      </c>
      <c r="N728" s="3" t="s">
        <v>10004</v>
      </c>
    </row>
    <row r="729">
      <c r="A729" s="3" t="s">
        <v>10731</v>
      </c>
      <c r="B729" s="4" t="str">
        <f>C729 &amp; " -&gt; " &amp; D729</f>
        <v>principal-process-steward -&gt; ExceptionInvocations.StepExecution</v>
      </c>
      <c r="C729" s="3" t="s">
        <v>9772</v>
      </c>
      <c r="D729" s="3" t="s">
        <v>4291</v>
      </c>
      <c r="E729" s="3" t="b">
        <v>1</v>
      </c>
      <c r="F729" s="3" t="b">
        <v>0</v>
      </c>
      <c r="G729" s="3" t="s">
        <v>10003</v>
      </c>
      <c r="H729" s="4" t="str">
        <f>_xlfn.IFNA(IF(((INDEX(RulebookFields!C2:C1898, MATCH(D729,RulebookFields!A2:A1898, 0))="")=TRUE),  "",  INDEX(RulebookFields!C2:C1898, MATCH(D729,RulebookFields!A2:A1898, 0))), "")</f>
        <v>ExceptionInvocations</v>
      </c>
      <c r="I729" s="4" t="str">
        <f>_xlfn.IFNA(IF(((INDEX(RulebookFields!D2:D1898, MATCH(D729,RulebookFields!A2:A1898, 0))="")=TRUE),  "",  INDEX(RulebookFields!D2:D1898, MATCH(D729,RulebookFields!A2:A1898, 0))), "")</f>
        <v>StepExecution</v>
      </c>
      <c r="J729" s="4" t="b">
        <f>_xlfn.IFNA(IF(((INDEX(RulebookFields!I2:I1898, MATCH(D729,RulebookFields!A2:A1898, 0))="")=TRUE),  "",  INDEX(RulebookFields!I2:I1898, MATCH(D729,RulebookFields!A2:A1898, 0))), "")</f>
        <v>0</v>
      </c>
      <c r="K729" s="4" t="b">
        <f>AND(((F729)=TRUE), ((J729)=TRUE))</f>
        <v>0</v>
      </c>
      <c r="L729" s="4" t="b">
        <f>AND(((G729 &lt;&gt; "plain")=TRUE), ((G729 &lt;&gt; "")=TRUE))</f>
        <v>0</v>
      </c>
      <c r="M729" s="4" t="str">
        <f>IF(((E729)=TRUE),  C729 &amp; "|" &amp; H729,  "")</f>
        <v>principal-process-steward|ExceptionInvocations</v>
      </c>
      <c r="N729" s="3" t="s">
        <v>10004</v>
      </c>
    </row>
    <row r="730">
      <c r="A730" s="3" t="s">
        <v>10732</v>
      </c>
      <c r="B730" s="4" t="str">
        <f>C730 &amp; " -&gt; " &amp; D730</f>
        <v>principal-process-steward -&gt; ExceptionInvocations.Exception</v>
      </c>
      <c r="C730" s="3" t="s">
        <v>9772</v>
      </c>
      <c r="D730" s="3" t="s">
        <v>4292</v>
      </c>
      <c r="E730" s="3" t="b">
        <v>1</v>
      </c>
      <c r="F730" s="3" t="b">
        <v>0</v>
      </c>
      <c r="G730" s="3" t="s">
        <v>10003</v>
      </c>
      <c r="H730" s="4" t="str">
        <f>_xlfn.IFNA(IF(((INDEX(RulebookFields!C2:C1898, MATCH(D730,RulebookFields!A2:A1898, 0))="")=TRUE),  "",  INDEX(RulebookFields!C2:C1898, MATCH(D730,RulebookFields!A2:A1898, 0))), "")</f>
        <v>ExceptionInvocations</v>
      </c>
      <c r="I730" s="4" t="str">
        <f>_xlfn.IFNA(IF(((INDEX(RulebookFields!D2:D1898, MATCH(D730,RulebookFields!A2:A1898, 0))="")=TRUE),  "",  INDEX(RulebookFields!D2:D1898, MATCH(D730,RulebookFields!A2:A1898, 0))), "")</f>
        <v>Exception</v>
      </c>
      <c r="J730" s="4" t="b">
        <f>_xlfn.IFNA(IF(((INDEX(RulebookFields!I2:I1898, MATCH(D730,RulebookFields!A2:A1898, 0))="")=TRUE),  "",  INDEX(RulebookFields!I2:I1898, MATCH(D730,RulebookFields!A2:A1898, 0))), "")</f>
        <v>0</v>
      </c>
      <c r="K730" s="4" t="b">
        <f>AND(((F730)=TRUE), ((J730)=TRUE))</f>
        <v>0</v>
      </c>
      <c r="L730" s="4" t="b">
        <f>AND(((G730 &lt;&gt; "plain")=TRUE), ((G730 &lt;&gt; "")=TRUE))</f>
        <v>0</v>
      </c>
      <c r="M730" s="4" t="str">
        <f>IF(((E730)=TRUE),  C730 &amp; "|" &amp; H730,  "")</f>
        <v>principal-process-steward|ExceptionInvocations</v>
      </c>
      <c r="N730" s="3" t="s">
        <v>10004</v>
      </c>
    </row>
    <row r="731">
      <c r="A731" s="3" t="s">
        <v>10733</v>
      </c>
      <c r="B731" s="4" t="str">
        <f>C731 &amp; " -&gt; " &amp; D731</f>
        <v>principal-process-steward -&gt; ExceptionInvocations.InvokedByAgent</v>
      </c>
      <c r="C731" s="3" t="s">
        <v>9772</v>
      </c>
      <c r="D731" s="3" t="s">
        <v>4294</v>
      </c>
      <c r="E731" s="3" t="b">
        <v>1</v>
      </c>
      <c r="F731" s="3" t="b">
        <v>0</v>
      </c>
      <c r="G731" s="3" t="s">
        <v>10003</v>
      </c>
      <c r="H731" s="4" t="str">
        <f>_xlfn.IFNA(IF(((INDEX(RulebookFields!C2:C1898, MATCH(D731,RulebookFields!A2:A1898, 0))="")=TRUE),  "",  INDEX(RulebookFields!C2:C1898, MATCH(D731,RulebookFields!A2:A1898, 0))), "")</f>
        <v>ExceptionInvocations</v>
      </c>
      <c r="I731" s="4" t="str">
        <f>_xlfn.IFNA(IF(((INDEX(RulebookFields!D2:D1898, MATCH(D731,RulebookFields!A2:A1898, 0))="")=TRUE),  "",  INDEX(RulebookFields!D2:D1898, MATCH(D731,RulebookFields!A2:A1898, 0))), "")</f>
        <v>InvokedByAgent</v>
      </c>
      <c r="J731" s="4" t="b">
        <f>_xlfn.IFNA(IF(((INDEX(RulebookFields!I2:I1898, MATCH(D731,RulebookFields!A2:A1898, 0))="")=TRUE),  "",  INDEX(RulebookFields!I2:I1898, MATCH(D731,RulebookFields!A2:A1898, 0))), "")</f>
        <v>0</v>
      </c>
      <c r="K731" s="4" t="b">
        <f>AND(((F731)=TRUE), ((J731)=TRUE))</f>
        <v>0</v>
      </c>
      <c r="L731" s="4" t="b">
        <f>AND(((G731 &lt;&gt; "plain")=TRUE), ((G731 &lt;&gt; "")=TRUE))</f>
        <v>0</v>
      </c>
      <c r="M731" s="4" t="str">
        <f>IF(((E731)=TRUE),  C731 &amp; "|" &amp; H731,  "")</f>
        <v>principal-process-steward|ExceptionInvocations</v>
      </c>
      <c r="N731" s="3" t="s">
        <v>10004</v>
      </c>
    </row>
    <row r="732">
      <c r="A732" s="3" t="s">
        <v>10734</v>
      </c>
      <c r="B732" s="4" t="str">
        <f>C732 &amp; " -&gt; " &amp; D732</f>
        <v>principal-process-steward -&gt; ExceptionInvocations.ApprovedByAgent</v>
      </c>
      <c r="C732" s="3" t="s">
        <v>9772</v>
      </c>
      <c r="D732" s="3" t="s">
        <v>4296</v>
      </c>
      <c r="E732" s="3" t="b">
        <v>1</v>
      </c>
      <c r="F732" s="3" t="b">
        <v>0</v>
      </c>
      <c r="G732" s="3" t="s">
        <v>10003</v>
      </c>
      <c r="H732" s="4" t="str">
        <f>_xlfn.IFNA(IF(((INDEX(RulebookFields!C2:C1898, MATCH(D732,RulebookFields!A2:A1898, 0))="")=TRUE),  "",  INDEX(RulebookFields!C2:C1898, MATCH(D732,RulebookFields!A2:A1898, 0))), "")</f>
        <v>ExceptionInvocations</v>
      </c>
      <c r="I732" s="4" t="str">
        <f>_xlfn.IFNA(IF(((INDEX(RulebookFields!D2:D1898, MATCH(D732,RulebookFields!A2:A1898, 0))="")=TRUE),  "",  INDEX(RulebookFields!D2:D1898, MATCH(D732,RulebookFields!A2:A1898, 0))), "")</f>
        <v>ApprovedByAgent</v>
      </c>
      <c r="J732" s="4" t="b">
        <f>_xlfn.IFNA(IF(((INDEX(RulebookFields!I2:I1898, MATCH(D732,RulebookFields!A2:A1898, 0))="")=TRUE),  "",  INDEX(RulebookFields!I2:I1898, MATCH(D732,RulebookFields!A2:A1898, 0))), "")</f>
        <v>0</v>
      </c>
      <c r="K732" s="4" t="b">
        <f>AND(((F732)=TRUE), ((J732)=TRUE))</f>
        <v>0</v>
      </c>
      <c r="L732" s="4" t="b">
        <f>AND(((G732 &lt;&gt; "plain")=TRUE), ((G732 &lt;&gt; "")=TRUE))</f>
        <v>0</v>
      </c>
      <c r="M732" s="4" t="str">
        <f>IF(((E732)=TRUE),  C732 &amp; "|" &amp; H732,  "")</f>
        <v>principal-process-steward|ExceptionInvocations</v>
      </c>
      <c r="N732" s="3" t="s">
        <v>10004</v>
      </c>
    </row>
    <row r="733">
      <c r="A733" s="3" t="s">
        <v>10735</v>
      </c>
      <c r="B733" s="4" t="str">
        <f>C733 &amp; " -&gt; " &amp; D733</f>
        <v>principal-process-steward -&gt; ExceptionInvocations.InvokedAt</v>
      </c>
      <c r="C733" s="3" t="s">
        <v>9772</v>
      </c>
      <c r="D733" s="3" t="s">
        <v>4298</v>
      </c>
      <c r="E733" s="3" t="b">
        <v>1</v>
      </c>
      <c r="F733" s="3" t="b">
        <v>0</v>
      </c>
      <c r="G733" s="3" t="s">
        <v>10003</v>
      </c>
      <c r="H733" s="4" t="str">
        <f>_xlfn.IFNA(IF(((INDEX(RulebookFields!C2:C1898, MATCH(D733,RulebookFields!A2:A1898, 0))="")=TRUE),  "",  INDEX(RulebookFields!C2:C1898, MATCH(D733,RulebookFields!A2:A1898, 0))), "")</f>
        <v>ExceptionInvocations</v>
      </c>
      <c r="I733" s="4" t="str">
        <f>_xlfn.IFNA(IF(((INDEX(RulebookFields!D2:D1898, MATCH(D733,RulebookFields!A2:A1898, 0))="")=TRUE),  "",  INDEX(RulebookFields!D2:D1898, MATCH(D733,RulebookFields!A2:A1898, 0))), "")</f>
        <v>InvokedAt</v>
      </c>
      <c r="J733" s="4" t="b">
        <f>_xlfn.IFNA(IF(((INDEX(RulebookFields!I2:I1898, MATCH(D733,RulebookFields!A2:A1898, 0))="")=TRUE),  "",  INDEX(RulebookFields!I2:I1898, MATCH(D733,RulebookFields!A2:A1898, 0))), "")</f>
        <v>0</v>
      </c>
      <c r="K733" s="4" t="b">
        <f>AND(((F733)=TRUE), ((J733)=TRUE))</f>
        <v>0</v>
      </c>
      <c r="L733" s="4" t="b">
        <f>AND(((G733 &lt;&gt; "plain")=TRUE), ((G733 &lt;&gt; "")=TRUE))</f>
        <v>0</v>
      </c>
      <c r="M733" s="4" t="str">
        <f>IF(((E733)=TRUE),  C733 &amp; "|" &amp; H733,  "")</f>
        <v>principal-process-steward|ExceptionInvocations</v>
      </c>
      <c r="N733" s="3" t="s">
        <v>10004</v>
      </c>
    </row>
    <row r="734">
      <c r="A734" s="3" t="s">
        <v>10736</v>
      </c>
      <c r="B734" s="4" t="str">
        <f>C734 &amp; " -&gt; " &amp; D734</f>
        <v>principal-process-steward -&gt; ExceptionInvocations.HandlingApplied</v>
      </c>
      <c r="C734" s="3" t="s">
        <v>9772</v>
      </c>
      <c r="D734" s="3" t="s">
        <v>4300</v>
      </c>
      <c r="E734" s="3" t="b">
        <v>1</v>
      </c>
      <c r="F734" s="3" t="b">
        <v>0</v>
      </c>
      <c r="G734" s="3" t="s">
        <v>10003</v>
      </c>
      <c r="H734" s="4" t="str">
        <f>_xlfn.IFNA(IF(((INDEX(RulebookFields!C2:C1898, MATCH(D734,RulebookFields!A2:A1898, 0))="")=TRUE),  "",  INDEX(RulebookFields!C2:C1898, MATCH(D734,RulebookFields!A2:A1898, 0))), "")</f>
        <v>ExceptionInvocations</v>
      </c>
      <c r="I734" s="4" t="str">
        <f>_xlfn.IFNA(IF(((INDEX(RulebookFields!D2:D1898, MATCH(D734,RulebookFields!A2:A1898, 0))="")=TRUE),  "",  INDEX(RulebookFields!D2:D1898, MATCH(D734,RulebookFields!A2:A1898, 0))), "")</f>
        <v>HandlingApplied</v>
      </c>
      <c r="J734" s="4" t="b">
        <f>_xlfn.IFNA(IF(((INDEX(RulebookFields!I2:I1898, MATCH(D734,RulebookFields!A2:A1898, 0))="")=TRUE),  "",  INDEX(RulebookFields!I2:I1898, MATCH(D734,RulebookFields!A2:A1898, 0))), "")</f>
        <v>0</v>
      </c>
      <c r="K734" s="4" t="b">
        <f>AND(((F734)=TRUE), ((J734)=TRUE))</f>
        <v>0</v>
      </c>
      <c r="L734" s="4" t="b">
        <f>AND(((G734 &lt;&gt; "plain")=TRUE), ((G734 &lt;&gt; "")=TRUE))</f>
        <v>0</v>
      </c>
      <c r="M734" s="4" t="str">
        <f>IF(((E734)=TRUE),  C734 &amp; "|" &amp; H734,  "")</f>
        <v>principal-process-steward|ExceptionInvocations</v>
      </c>
      <c r="N734" s="3" t="s">
        <v>10004</v>
      </c>
    </row>
    <row r="735">
      <c r="A735" s="3" t="s">
        <v>10737</v>
      </c>
      <c r="B735" s="4" t="str">
        <f>C735 &amp; " -&gt; " &amp; D735</f>
        <v>principal-process-steward -&gt; ExceptionInvocations.ExpectedHandling</v>
      </c>
      <c r="C735" s="3" t="s">
        <v>9772</v>
      </c>
      <c r="D735" s="3" t="s">
        <v>4302</v>
      </c>
      <c r="E735" s="3" t="b">
        <v>1</v>
      </c>
      <c r="F735" s="3" t="b">
        <v>0</v>
      </c>
      <c r="G735" s="3" t="s">
        <v>10003</v>
      </c>
      <c r="H735" s="4" t="str">
        <f>_xlfn.IFNA(IF(((INDEX(RulebookFields!C2:C1898, MATCH(D735,RulebookFields!A2:A1898, 0))="")=TRUE),  "",  INDEX(RulebookFields!C2:C1898, MATCH(D735,RulebookFields!A2:A1898, 0))), "")</f>
        <v>ExceptionInvocations</v>
      </c>
      <c r="I735" s="4" t="str">
        <f>_xlfn.IFNA(IF(((INDEX(RulebookFields!D2:D1898, MATCH(D735,RulebookFields!A2:A1898, 0))="")=TRUE),  "",  INDEX(RulebookFields!D2:D1898, MATCH(D735,RulebookFields!A2:A1898, 0))), "")</f>
        <v>ExpectedHandling</v>
      </c>
      <c r="J735" s="4" t="b">
        <f>_xlfn.IFNA(IF(((INDEX(RulebookFields!I2:I1898, MATCH(D735,RulebookFields!A2:A1898, 0))="")=TRUE),  "",  INDEX(RulebookFields!I2:I1898, MATCH(D735,RulebookFields!A2:A1898, 0))), "")</f>
        <v>1</v>
      </c>
      <c r="K735" s="4" t="b">
        <f>AND(((F735)=TRUE), ((J735)=TRUE))</f>
        <v>0</v>
      </c>
      <c r="L735" s="4" t="b">
        <f>AND(((G735 &lt;&gt; "plain")=TRUE), ((G735 &lt;&gt; "")=TRUE))</f>
        <v>0</v>
      </c>
      <c r="M735" s="4" t="str">
        <f>IF(((E735)=TRUE),  C735 &amp; "|" &amp; H735,  "")</f>
        <v>principal-process-steward|ExceptionInvocations</v>
      </c>
      <c r="N735" s="3" t="s">
        <v>10004</v>
      </c>
    </row>
    <row r="736">
      <c r="A736" s="3" t="s">
        <v>10738</v>
      </c>
      <c r="B736" s="4" t="str">
        <f>C736 &amp; " -&gt; " &amp; D736</f>
        <v>principal-process-steward -&gt; ExceptionInvocations.RequiredApprovalRole</v>
      </c>
      <c r="C736" s="3" t="s">
        <v>9772</v>
      </c>
      <c r="D736" s="3" t="s">
        <v>4305</v>
      </c>
      <c r="E736" s="3" t="b">
        <v>1</v>
      </c>
      <c r="F736" s="3" t="b">
        <v>0</v>
      </c>
      <c r="G736" s="3" t="s">
        <v>10003</v>
      </c>
      <c r="H736" s="4" t="str">
        <f>_xlfn.IFNA(IF(((INDEX(RulebookFields!C2:C1898, MATCH(D736,RulebookFields!A2:A1898, 0))="")=TRUE),  "",  INDEX(RulebookFields!C2:C1898, MATCH(D736,RulebookFields!A2:A1898, 0))), "")</f>
        <v>ExceptionInvocations</v>
      </c>
      <c r="I736" s="4" t="str">
        <f>_xlfn.IFNA(IF(((INDEX(RulebookFields!D2:D1898, MATCH(D736,RulebookFields!A2:A1898, 0))="")=TRUE),  "",  INDEX(RulebookFields!D2:D1898, MATCH(D736,RulebookFields!A2:A1898, 0))), "")</f>
        <v>RequiredApprovalRole</v>
      </c>
      <c r="J736" s="4" t="b">
        <f>_xlfn.IFNA(IF(((INDEX(RulebookFields!I2:I1898, MATCH(D736,RulebookFields!A2:A1898, 0))="")=TRUE),  "",  INDEX(RulebookFields!I2:I1898, MATCH(D736,RulebookFields!A2:A1898, 0))), "")</f>
        <v>1</v>
      </c>
      <c r="K736" s="4" t="b">
        <f>AND(((F736)=TRUE), ((J736)=TRUE))</f>
        <v>0</v>
      </c>
      <c r="L736" s="4" t="b">
        <f>AND(((G736 &lt;&gt; "plain")=TRUE), ((G736 &lt;&gt; "")=TRUE))</f>
        <v>0</v>
      </c>
      <c r="M736" s="4" t="str">
        <f>IF(((E736)=TRUE),  C736 &amp; "|" &amp; H736,  "")</f>
        <v>principal-process-steward|ExceptionInvocations</v>
      </c>
      <c r="N736" s="3" t="s">
        <v>10004</v>
      </c>
    </row>
    <row r="737">
      <c r="A737" s="3" t="s">
        <v>10739</v>
      </c>
      <c r="B737" s="4" t="str">
        <f>C737 &amp; " -&gt; " &amp; D737</f>
        <v>principal-process-steward -&gt; ExceptionInvocations.RequiredApprovalRoleHolder</v>
      </c>
      <c r="C737" s="3" t="s">
        <v>9772</v>
      </c>
      <c r="D737" s="3" t="s">
        <v>4308</v>
      </c>
      <c r="E737" s="3" t="b">
        <v>1</v>
      </c>
      <c r="F737" s="3" t="b">
        <v>0</v>
      </c>
      <c r="G737" s="3" t="s">
        <v>10003</v>
      </c>
      <c r="H737" s="4" t="str">
        <f>_xlfn.IFNA(IF(((INDEX(RulebookFields!C2:C1898, MATCH(D737,RulebookFields!A2:A1898, 0))="")=TRUE),  "",  INDEX(RulebookFields!C2:C1898, MATCH(D737,RulebookFields!A2:A1898, 0))), "")</f>
        <v>ExceptionInvocations</v>
      </c>
      <c r="I737" s="4" t="str">
        <f>_xlfn.IFNA(IF(((INDEX(RulebookFields!D2:D1898, MATCH(D737,RulebookFields!A2:A1898, 0))="")=TRUE),  "",  INDEX(RulebookFields!D2:D1898, MATCH(D737,RulebookFields!A2:A1898, 0))), "")</f>
        <v>RequiredApprovalRoleHolder</v>
      </c>
      <c r="J737" s="4" t="b">
        <f>_xlfn.IFNA(IF(((INDEX(RulebookFields!I2:I1898, MATCH(D737,RulebookFields!A2:A1898, 0))="")=TRUE),  "",  INDEX(RulebookFields!I2:I1898, MATCH(D737,RulebookFields!A2:A1898, 0))), "")</f>
        <v>1</v>
      </c>
      <c r="K737" s="4" t="b">
        <f>AND(((F737)=TRUE), ((J737)=TRUE))</f>
        <v>0</v>
      </c>
      <c r="L737" s="4" t="b">
        <f>AND(((G737 &lt;&gt; "plain")=TRUE), ((G737 &lt;&gt; "")=TRUE))</f>
        <v>0</v>
      </c>
      <c r="M737" s="4" t="str">
        <f>IF(((E737)=TRUE),  C737 &amp; "|" &amp; H737,  "")</f>
        <v>principal-process-steward|ExceptionInvocations</v>
      </c>
      <c r="N737" s="3" t="s">
        <v>10004</v>
      </c>
    </row>
    <row r="738">
      <c r="A738" s="3" t="s">
        <v>10740</v>
      </c>
      <c r="B738" s="4" t="str">
        <f>C738 &amp; " -&gt; " &amp; D738</f>
        <v>principal-process-steward -&gt; ExceptionInvocations.ApprovalRoleMatches</v>
      </c>
      <c r="C738" s="3" t="s">
        <v>9772</v>
      </c>
      <c r="D738" s="3" t="s">
        <v>4311</v>
      </c>
      <c r="E738" s="3" t="b">
        <v>1</v>
      </c>
      <c r="F738" s="3" t="b">
        <v>0</v>
      </c>
      <c r="G738" s="3" t="s">
        <v>10003</v>
      </c>
      <c r="H738" s="4" t="str">
        <f>_xlfn.IFNA(IF(((INDEX(RulebookFields!C2:C1898, MATCH(D738,RulebookFields!A2:A1898, 0))="")=TRUE),  "",  INDEX(RulebookFields!C2:C1898, MATCH(D738,RulebookFields!A2:A1898, 0))), "")</f>
        <v>ExceptionInvocations</v>
      </c>
      <c r="I738" s="4" t="str">
        <f>_xlfn.IFNA(IF(((INDEX(RulebookFields!D2:D1898, MATCH(D738,RulebookFields!A2:A1898, 0))="")=TRUE),  "",  INDEX(RulebookFields!D2:D1898, MATCH(D738,RulebookFields!A2:A1898, 0))), "")</f>
        <v>ApprovalRoleMatches</v>
      </c>
      <c r="J738" s="4" t="b">
        <f>_xlfn.IFNA(IF(((INDEX(RulebookFields!I2:I1898, MATCH(D738,RulebookFields!A2:A1898, 0))="")=TRUE),  "",  INDEX(RulebookFields!I2:I1898, MATCH(D738,RulebookFields!A2:A1898, 0))), "")</f>
        <v>1</v>
      </c>
      <c r="K738" s="4" t="b">
        <f>AND(((F738)=TRUE), ((J738)=TRUE))</f>
        <v>0</v>
      </c>
      <c r="L738" s="4" t="b">
        <f>AND(((G738 &lt;&gt; "plain")=TRUE), ((G738 &lt;&gt; "")=TRUE))</f>
        <v>0</v>
      </c>
      <c r="M738" s="4" t="str">
        <f>IF(((E738)=TRUE),  C738 &amp; "|" &amp; H738,  "")</f>
        <v>principal-process-steward|ExceptionInvocations</v>
      </c>
      <c r="N738" s="3" t="s">
        <v>10004</v>
      </c>
    </row>
    <row r="739">
      <c r="A739" s="3" t="s">
        <v>10741</v>
      </c>
      <c r="B739" s="4" t="str">
        <f>C739 &amp; " -&gt; " &amp; D739</f>
        <v>principal-process-steward -&gt; ExceptionInvocations.IsApproved</v>
      </c>
      <c r="C739" s="3" t="s">
        <v>9772</v>
      </c>
      <c r="D739" s="3" t="s">
        <v>4314</v>
      </c>
      <c r="E739" s="3" t="b">
        <v>1</v>
      </c>
      <c r="F739" s="3" t="b">
        <v>0</v>
      </c>
      <c r="G739" s="3" t="s">
        <v>10003</v>
      </c>
      <c r="H739" s="4" t="str">
        <f>_xlfn.IFNA(IF(((INDEX(RulebookFields!C2:C1898, MATCH(D739,RulebookFields!A2:A1898, 0))="")=TRUE),  "",  INDEX(RulebookFields!C2:C1898, MATCH(D739,RulebookFields!A2:A1898, 0))), "")</f>
        <v>ExceptionInvocations</v>
      </c>
      <c r="I739" s="4" t="str">
        <f>_xlfn.IFNA(IF(((INDEX(RulebookFields!D2:D1898, MATCH(D739,RulebookFields!A2:A1898, 0))="")=TRUE),  "",  INDEX(RulebookFields!D2:D1898, MATCH(D739,RulebookFields!A2:A1898, 0))), "")</f>
        <v>IsApproved</v>
      </c>
      <c r="J739" s="4" t="b">
        <f>_xlfn.IFNA(IF(((INDEX(RulebookFields!I2:I1898, MATCH(D739,RulebookFields!A2:A1898, 0))="")=TRUE),  "",  INDEX(RulebookFields!I2:I1898, MATCH(D739,RulebookFields!A2:A1898, 0))), "")</f>
        <v>1</v>
      </c>
      <c r="K739" s="4" t="b">
        <f>AND(((F739)=TRUE), ((J739)=TRUE))</f>
        <v>0</v>
      </c>
      <c r="L739" s="4" t="b">
        <f>AND(((G739 &lt;&gt; "plain")=TRUE), ((G739 &lt;&gt; "")=TRUE))</f>
        <v>0</v>
      </c>
      <c r="M739" s="4" t="str">
        <f>IF(((E739)=TRUE),  C739 &amp; "|" &amp; H739,  "")</f>
        <v>principal-process-steward|ExceptionInvocations</v>
      </c>
      <c r="N739" s="3" t="s">
        <v>10004</v>
      </c>
    </row>
    <row r="740">
      <c r="A740" s="3" t="s">
        <v>10742</v>
      </c>
      <c r="B740" s="4" t="str">
        <f>C740 &amp; " -&gt; " &amp; D740</f>
        <v>principal-process-steward -&gt; ExceptionInvocations.IsImproperlyApproved</v>
      </c>
      <c r="C740" s="3" t="s">
        <v>9772</v>
      </c>
      <c r="D740" s="3" t="s">
        <v>4316</v>
      </c>
      <c r="E740" s="3" t="b">
        <v>1</v>
      </c>
      <c r="F740" s="3" t="b">
        <v>0</v>
      </c>
      <c r="G740" s="3" t="s">
        <v>10003</v>
      </c>
      <c r="H740" s="4" t="str">
        <f>_xlfn.IFNA(IF(((INDEX(RulebookFields!C2:C1898, MATCH(D740,RulebookFields!A2:A1898, 0))="")=TRUE),  "",  INDEX(RulebookFields!C2:C1898, MATCH(D740,RulebookFields!A2:A1898, 0))), "")</f>
        <v>ExceptionInvocations</v>
      </c>
      <c r="I740" s="4" t="str">
        <f>_xlfn.IFNA(IF(((INDEX(RulebookFields!D2:D1898, MATCH(D740,RulebookFields!A2:A1898, 0))="")=TRUE),  "",  INDEX(RulebookFields!D2:D1898, MATCH(D740,RulebookFields!A2:A1898, 0))), "")</f>
        <v>IsImproperlyApproved</v>
      </c>
      <c r="J740" s="4" t="b">
        <f>_xlfn.IFNA(IF(((INDEX(RulebookFields!I2:I1898, MATCH(D740,RulebookFields!A2:A1898, 0))="")=TRUE),  "",  INDEX(RulebookFields!I2:I1898, MATCH(D740,RulebookFields!A2:A1898, 0))), "")</f>
        <v>1</v>
      </c>
      <c r="K740" s="4" t="b">
        <f>AND(((F740)=TRUE), ((J740)=TRUE))</f>
        <v>0</v>
      </c>
      <c r="L740" s="4" t="b">
        <f>AND(((G740 &lt;&gt; "plain")=TRUE), ((G740 &lt;&gt; "")=TRUE))</f>
        <v>0</v>
      </c>
      <c r="M740" s="4" t="str">
        <f>IF(((E740)=TRUE),  C740 &amp; "|" &amp; H740,  "")</f>
        <v>principal-process-steward|ExceptionInvocations</v>
      </c>
      <c r="N740" s="3" t="s">
        <v>10004</v>
      </c>
    </row>
    <row r="741">
      <c r="A741" s="3" t="s">
        <v>10743</v>
      </c>
      <c r="B741" s="4" t="str">
        <f>C741 &amp; " -&gt; " &amp; D741</f>
        <v>principal-process-steward -&gt; ExceptionInvocations.InvokerAgentKind</v>
      </c>
      <c r="C741" s="3" t="s">
        <v>9772</v>
      </c>
      <c r="D741" s="3" t="s">
        <v>4319</v>
      </c>
      <c r="E741" s="3" t="b">
        <v>1</v>
      </c>
      <c r="F741" s="3" t="b">
        <v>0</v>
      </c>
      <c r="G741" s="3" t="s">
        <v>10003</v>
      </c>
      <c r="H741" s="4" t="str">
        <f>_xlfn.IFNA(IF(((INDEX(RulebookFields!C2:C1898, MATCH(D741,RulebookFields!A2:A1898, 0))="")=TRUE),  "",  INDEX(RulebookFields!C2:C1898, MATCH(D741,RulebookFields!A2:A1898, 0))), "")</f>
        <v>ExceptionInvocations</v>
      </c>
      <c r="I741" s="4" t="str">
        <f>_xlfn.IFNA(IF(((INDEX(RulebookFields!D2:D1898, MATCH(D741,RulebookFields!A2:A1898, 0))="")=TRUE),  "",  INDEX(RulebookFields!D2:D1898, MATCH(D741,RulebookFields!A2:A1898, 0))), "")</f>
        <v>InvokerAgentKind</v>
      </c>
      <c r="J741" s="4" t="b">
        <f>_xlfn.IFNA(IF(((INDEX(RulebookFields!I2:I1898, MATCH(D741,RulebookFields!A2:A1898, 0))="")=TRUE),  "",  INDEX(RulebookFields!I2:I1898, MATCH(D741,RulebookFields!A2:A1898, 0))), "")</f>
        <v>1</v>
      </c>
      <c r="K741" s="4" t="b">
        <f>AND(((F741)=TRUE), ((J741)=TRUE))</f>
        <v>0</v>
      </c>
      <c r="L741" s="4" t="b">
        <f>AND(((G741 &lt;&gt; "plain")=TRUE), ((G741 &lt;&gt; "")=TRUE))</f>
        <v>0</v>
      </c>
      <c r="M741" s="4" t="str">
        <f>IF(((E741)=TRUE),  C741 &amp; "|" &amp; H741,  "")</f>
        <v>principal-process-steward|ExceptionInvocations</v>
      </c>
      <c r="N741" s="3" t="s">
        <v>10004</v>
      </c>
    </row>
    <row r="742">
      <c r="A742" s="3" t="s">
        <v>10744</v>
      </c>
      <c r="B742" s="4" t="str">
        <f>C742 &amp; " -&gt; " &amp; D742</f>
        <v>principal-process-steward -&gt; ExceptionInvocations.InvokerAlsoPreparedKey</v>
      </c>
      <c r="C742" s="3" t="s">
        <v>9772</v>
      </c>
      <c r="D742" s="3" t="s">
        <v>4322</v>
      </c>
      <c r="E742" s="3" t="b">
        <v>1</v>
      </c>
      <c r="F742" s="3" t="b">
        <v>0</v>
      </c>
      <c r="G742" s="3" t="s">
        <v>10003</v>
      </c>
      <c r="H742" s="4" t="str">
        <f>_xlfn.IFNA(IF(((INDEX(RulebookFields!C2:C1898, MATCH(D742,RulebookFields!A2:A1898, 0))="")=TRUE),  "",  INDEX(RulebookFields!C2:C1898, MATCH(D742,RulebookFields!A2:A1898, 0))), "")</f>
        <v>ExceptionInvocations</v>
      </c>
      <c r="I742" s="4" t="str">
        <f>_xlfn.IFNA(IF(((INDEX(RulebookFields!D2:D1898, MATCH(D742,RulebookFields!A2:A1898, 0))="")=TRUE),  "",  INDEX(RulebookFields!D2:D1898, MATCH(D742,RulebookFields!A2:A1898, 0))), "")</f>
        <v>InvokerAlsoPreparedKey</v>
      </c>
      <c r="J742" s="4" t="b">
        <f>_xlfn.IFNA(IF(((INDEX(RulebookFields!I2:I1898, MATCH(D742,RulebookFields!A2:A1898, 0))="")=TRUE),  "",  INDEX(RulebookFields!I2:I1898, MATCH(D742,RulebookFields!A2:A1898, 0))), "")</f>
        <v>1</v>
      </c>
      <c r="K742" s="4" t="b">
        <f>AND(((F742)=TRUE), ((J742)=TRUE))</f>
        <v>0</v>
      </c>
      <c r="L742" s="4" t="b">
        <f>AND(((G742 &lt;&gt; "plain")=TRUE), ((G742 &lt;&gt; "")=TRUE))</f>
        <v>0</v>
      </c>
      <c r="M742" s="4" t="str">
        <f>IF(((E742)=TRUE),  C742 &amp; "|" &amp; H742,  "")</f>
        <v>principal-process-steward|ExceptionInvocations</v>
      </c>
      <c r="N742" s="3" t="s">
        <v>10004</v>
      </c>
    </row>
    <row r="743">
      <c r="A743" s="3" t="s">
        <v>10745</v>
      </c>
      <c r="B743" s="4" t="str">
        <f>C743 &amp; " -&gt; " &amp; D743</f>
        <v>principal-process-steward -&gt; ExceptionInvocations.ParentProcedureExecution</v>
      </c>
      <c r="C743" s="3" t="s">
        <v>9772</v>
      </c>
      <c r="D743" s="3" t="s">
        <v>4325</v>
      </c>
      <c r="E743" s="3" t="b">
        <v>1</v>
      </c>
      <c r="F743" s="3" t="b">
        <v>0</v>
      </c>
      <c r="G743" s="3" t="s">
        <v>10003</v>
      </c>
      <c r="H743" s="4" t="str">
        <f>_xlfn.IFNA(IF(((INDEX(RulebookFields!C2:C1898, MATCH(D743,RulebookFields!A2:A1898, 0))="")=TRUE),  "",  INDEX(RulebookFields!C2:C1898, MATCH(D743,RulebookFields!A2:A1898, 0))), "")</f>
        <v>ExceptionInvocations</v>
      </c>
      <c r="I743" s="4" t="str">
        <f>_xlfn.IFNA(IF(((INDEX(RulebookFields!D2:D1898, MATCH(D743,RulebookFields!A2:A1898, 0))="")=TRUE),  "",  INDEX(RulebookFields!D2:D1898, MATCH(D743,RulebookFields!A2:A1898, 0))), "")</f>
        <v>ParentProcedureExecution</v>
      </c>
      <c r="J743" s="4" t="b">
        <f>_xlfn.IFNA(IF(((INDEX(RulebookFields!I2:I1898, MATCH(D743,RulebookFields!A2:A1898, 0))="")=TRUE),  "",  INDEX(RulebookFields!I2:I1898, MATCH(D743,RulebookFields!A2:A1898, 0))), "")</f>
        <v>1</v>
      </c>
      <c r="K743" s="4" t="b">
        <f>AND(((F743)=TRUE), ((J743)=TRUE))</f>
        <v>0</v>
      </c>
      <c r="L743" s="4" t="b">
        <f>AND(((G743 &lt;&gt; "plain")=TRUE), ((G743 &lt;&gt; "")=TRUE))</f>
        <v>0</v>
      </c>
      <c r="M743" s="4" t="str">
        <f>IF(((E743)=TRUE),  C743 &amp; "|" &amp; H743,  "")</f>
        <v>principal-process-steward|ExceptionInvocations</v>
      </c>
      <c r="N743" s="3" t="s">
        <v>10004</v>
      </c>
    </row>
    <row r="744">
      <c r="A744" s="3" t="s">
        <v>10746</v>
      </c>
      <c r="B744" s="4" t="str">
        <f>C744 &amp; " -&gt; " &amp; D744</f>
        <v>principal-process-steward -&gt; ExceptionInvocations.ApproverPreparedCount</v>
      </c>
      <c r="C744" s="3" t="s">
        <v>9772</v>
      </c>
      <c r="D744" s="3" t="s">
        <v>4326</v>
      </c>
      <c r="E744" s="3" t="b">
        <v>1</v>
      </c>
      <c r="F744" s="3" t="b">
        <v>0</v>
      </c>
      <c r="G744" s="3" t="s">
        <v>10003</v>
      </c>
      <c r="H744" s="4" t="str">
        <f>_xlfn.IFNA(IF(((INDEX(RulebookFields!C2:C1898, MATCH(D744,RulebookFields!A2:A1898, 0))="")=TRUE),  "",  INDEX(RulebookFields!C2:C1898, MATCH(D744,RulebookFields!A2:A1898, 0))), "")</f>
        <v>ExceptionInvocations</v>
      </c>
      <c r="I744" s="4" t="str">
        <f>_xlfn.IFNA(IF(((INDEX(RulebookFields!D2:D1898, MATCH(D744,RulebookFields!A2:A1898, 0))="")=TRUE),  "",  INDEX(RulebookFields!D2:D1898, MATCH(D744,RulebookFields!A2:A1898, 0))), "")</f>
        <v>ApproverPreparedCount</v>
      </c>
      <c r="J744" s="4" t="b">
        <f>_xlfn.IFNA(IF(((INDEX(RulebookFields!I2:I1898, MATCH(D744,RulebookFields!A2:A1898, 0))="")=TRUE),  "",  INDEX(RulebookFields!I2:I1898, MATCH(D744,RulebookFields!A2:A1898, 0))), "")</f>
        <v>1</v>
      </c>
      <c r="K744" s="4" t="b">
        <f>AND(((F744)=TRUE), ((J744)=TRUE))</f>
        <v>0</v>
      </c>
      <c r="L744" s="4" t="b">
        <f>AND(((G744 &lt;&gt; "plain")=TRUE), ((G744 &lt;&gt; "")=TRUE))</f>
        <v>0</v>
      </c>
      <c r="M744" s="4" t="str">
        <f>IF(((E744)=TRUE),  C744 &amp; "|" &amp; H744,  "")</f>
        <v>principal-process-steward|ExceptionInvocations</v>
      </c>
      <c r="N744" s="3" t="s">
        <v>10004</v>
      </c>
    </row>
    <row r="745">
      <c r="A745" s="3" t="s">
        <v>10747</v>
      </c>
      <c r="B745" s="4" t="str">
        <f>C745 &amp; " -&gt; " &amp; D745</f>
        <v>principal-process-steward -&gt; ExceptionInvocations.DelegatedToPreparer</v>
      </c>
      <c r="C745" s="3" t="s">
        <v>9772</v>
      </c>
      <c r="D745" s="3" t="s">
        <v>4329</v>
      </c>
      <c r="E745" s="3" t="b">
        <v>1</v>
      </c>
      <c r="F745" s="3" t="b">
        <v>0</v>
      </c>
      <c r="G745" s="3" t="s">
        <v>10003</v>
      </c>
      <c r="H745" s="4" t="str">
        <f>_xlfn.IFNA(IF(((INDEX(RulebookFields!C2:C1898, MATCH(D745,RulebookFields!A2:A1898, 0))="")=TRUE),  "",  INDEX(RulebookFields!C2:C1898, MATCH(D745,RulebookFields!A2:A1898, 0))), "")</f>
        <v>ExceptionInvocations</v>
      </c>
      <c r="I745" s="4" t="str">
        <f>_xlfn.IFNA(IF(((INDEX(RulebookFields!D2:D1898, MATCH(D745,RulebookFields!A2:A1898, 0))="")=TRUE),  "",  INDEX(RulebookFields!D2:D1898, MATCH(D745,RulebookFields!A2:A1898, 0))), "")</f>
        <v>DelegatedToPreparer</v>
      </c>
      <c r="J745" s="4" t="b">
        <f>_xlfn.IFNA(IF(((INDEX(RulebookFields!I2:I1898, MATCH(D745,RulebookFields!A2:A1898, 0))="")=TRUE),  "",  INDEX(RulebookFields!I2:I1898, MATCH(D745,RulebookFields!A2:A1898, 0))), "")</f>
        <v>1</v>
      </c>
      <c r="K745" s="4" t="b">
        <f>AND(((F745)=TRUE), ((J745)=TRUE))</f>
        <v>0</v>
      </c>
      <c r="L745" s="4" t="b">
        <f>AND(((G745 &lt;&gt; "plain")=TRUE), ((G745 &lt;&gt; "")=TRUE))</f>
        <v>0</v>
      </c>
      <c r="M745" s="4" t="str">
        <f>IF(((E745)=TRUE),  C745 &amp; "|" &amp; H745,  "")</f>
        <v>principal-process-steward|ExceptionInvocations</v>
      </c>
      <c r="N745" s="3" t="s">
        <v>10004</v>
      </c>
    </row>
    <row r="746">
      <c r="A746" s="3" t="s">
        <v>10748</v>
      </c>
      <c r="B746" s="4" t="str">
        <f>C746 &amp; " -&gt; " &amp; D746</f>
        <v>principal-process-steward -&gt; ExceptionInvocations.IsUngovernedInvocation</v>
      </c>
      <c r="C746" s="3" t="s">
        <v>9772</v>
      </c>
      <c r="D746" s="3" t="s">
        <v>4332</v>
      </c>
      <c r="E746" s="3" t="b">
        <v>1</v>
      </c>
      <c r="F746" s="3" t="b">
        <v>0</v>
      </c>
      <c r="G746" s="3" t="s">
        <v>10003</v>
      </c>
      <c r="H746" s="4" t="str">
        <f>_xlfn.IFNA(IF(((INDEX(RulebookFields!C2:C1898, MATCH(D746,RulebookFields!A2:A1898, 0))="")=TRUE),  "",  INDEX(RulebookFields!C2:C1898, MATCH(D746,RulebookFields!A2:A1898, 0))), "")</f>
        <v>ExceptionInvocations</v>
      </c>
      <c r="I746" s="4" t="str">
        <f>_xlfn.IFNA(IF(((INDEX(RulebookFields!D2:D1898, MATCH(D746,RulebookFields!A2:A1898, 0))="")=TRUE),  "",  INDEX(RulebookFields!D2:D1898, MATCH(D746,RulebookFields!A2:A1898, 0))), "")</f>
        <v>IsUngovernedInvocation</v>
      </c>
      <c r="J746" s="4" t="b">
        <f>_xlfn.IFNA(IF(((INDEX(RulebookFields!I2:I1898, MATCH(D746,RulebookFields!A2:A1898, 0))="")=TRUE),  "",  INDEX(RulebookFields!I2:I1898, MATCH(D746,RulebookFields!A2:A1898, 0))), "")</f>
        <v>1</v>
      </c>
      <c r="K746" s="4" t="b">
        <f>AND(((F746)=TRUE), ((J746)=TRUE))</f>
        <v>0</v>
      </c>
      <c r="L746" s="4" t="b">
        <f>AND(((G746 &lt;&gt; "plain")=TRUE), ((G746 &lt;&gt; "")=TRUE))</f>
        <v>0</v>
      </c>
      <c r="M746" s="4" t="str">
        <f>IF(((E746)=TRUE),  C746 &amp; "|" &amp; H746,  "")</f>
        <v>principal-process-steward|ExceptionInvocations</v>
      </c>
      <c r="N746" s="3" t="s">
        <v>10004</v>
      </c>
    </row>
    <row r="747">
      <c r="A747" s="3" t="s">
        <v>10749</v>
      </c>
      <c r="B747" s="4" t="str">
        <f>C747 &amp; " -&gt; " &amp; D747</f>
        <v>principal-process-steward -&gt; ExceptionInvocations.SemanticTypeIri</v>
      </c>
      <c r="C747" s="3" t="s">
        <v>9772</v>
      </c>
      <c r="D747" s="3" t="s">
        <v>4335</v>
      </c>
      <c r="E747" s="3" t="b">
        <v>1</v>
      </c>
      <c r="F747" s="3" t="b">
        <v>0</v>
      </c>
      <c r="G747" s="3" t="s">
        <v>10003</v>
      </c>
      <c r="H747" s="4" t="str">
        <f>_xlfn.IFNA(IF(((INDEX(RulebookFields!C2:C1898, MATCH(D747,RulebookFields!A2:A1898, 0))="")=TRUE),  "",  INDEX(RulebookFields!C2:C1898, MATCH(D747,RulebookFields!A2:A1898, 0))), "")</f>
        <v>ExceptionInvocations</v>
      </c>
      <c r="I747" s="4" t="str">
        <f>_xlfn.IFNA(IF(((INDEX(RulebookFields!D2:D1898, MATCH(D747,RulebookFields!A2:A1898, 0))="")=TRUE),  "",  INDEX(RulebookFields!D2:D1898, MATCH(D747,RulebookFields!A2:A1898, 0))), "")</f>
        <v>SemanticTypeIri</v>
      </c>
      <c r="J747" s="4" t="b">
        <f>_xlfn.IFNA(IF(((INDEX(RulebookFields!I2:I1898, MATCH(D747,RulebookFields!A2:A1898, 0))="")=TRUE),  "",  INDEX(RulebookFields!I2:I1898, MATCH(D747,RulebookFields!A2:A1898, 0))), "")</f>
        <v>0</v>
      </c>
      <c r="K747" s="4" t="b">
        <f>AND(((F747)=TRUE), ((J747)=TRUE))</f>
        <v>0</v>
      </c>
      <c r="L747" s="4" t="b">
        <f>AND(((G747 &lt;&gt; "plain")=TRUE), ((G747 &lt;&gt; "")=TRUE))</f>
        <v>0</v>
      </c>
      <c r="M747" s="4" t="str">
        <f>IF(((E747)=TRUE),  C747 &amp; "|" &amp; H747,  "")</f>
        <v>principal-process-steward|ExceptionInvocations</v>
      </c>
      <c r="N747" s="3" t="s">
        <v>10004</v>
      </c>
    </row>
    <row r="748">
      <c r="A748" s="3" t="s">
        <v>10750</v>
      </c>
      <c r="B748" s="4" t="str">
        <f>C748 &amp; " -&gt; " &amp; D748</f>
        <v>principal-process-steward -&gt; Exceptions.ExceptionId</v>
      </c>
      <c r="C748" s="3" t="s">
        <v>9772</v>
      </c>
      <c r="D748" s="3" t="s">
        <v>3160</v>
      </c>
      <c r="E748" s="3" t="b">
        <v>1</v>
      </c>
      <c r="F748" s="3" t="b">
        <v>0</v>
      </c>
      <c r="G748" s="3" t="s">
        <v>10003</v>
      </c>
      <c r="H748" s="4" t="str">
        <f>_xlfn.IFNA(IF(((INDEX(RulebookFields!C2:C1898, MATCH(D748,RulebookFields!A2:A1898, 0))="")=TRUE),  "",  INDEX(RulebookFields!C2:C1898, MATCH(D748,RulebookFields!A2:A1898, 0))), "")</f>
        <v>Exceptions</v>
      </c>
      <c r="I748" s="4" t="str">
        <f>_xlfn.IFNA(IF(((INDEX(RulebookFields!D2:D1898, MATCH(D748,RulebookFields!A2:A1898, 0))="")=TRUE),  "",  INDEX(RulebookFields!D2:D1898, MATCH(D748,RulebookFields!A2:A1898, 0))), "")</f>
        <v>ExceptionId</v>
      </c>
      <c r="J748" s="4" t="b">
        <f>_xlfn.IFNA(IF(((INDEX(RulebookFields!I2:I1898, MATCH(D748,RulebookFields!A2:A1898, 0))="")=TRUE),  "",  INDEX(RulebookFields!I2:I1898, MATCH(D748,RulebookFields!A2:A1898, 0))), "")</f>
        <v>0</v>
      </c>
      <c r="K748" s="4" t="b">
        <f>AND(((F748)=TRUE), ((J748)=TRUE))</f>
        <v>0</v>
      </c>
      <c r="L748" s="4" t="b">
        <f>AND(((G748 &lt;&gt; "plain")=TRUE), ((G748 &lt;&gt; "")=TRUE))</f>
        <v>0</v>
      </c>
      <c r="M748" s="4" t="str">
        <f>IF(((E748)=TRUE),  C748 &amp; "|" &amp; H748,  "")</f>
        <v>principal-process-steward|Exceptions</v>
      </c>
      <c r="N748" s="3" t="s">
        <v>10004</v>
      </c>
    </row>
    <row r="749">
      <c r="A749" s="3" t="s">
        <v>10751</v>
      </c>
      <c r="B749" s="4" t="str">
        <f>C749 &amp; " -&gt; " &amp; D749</f>
        <v>principal-process-steward -&gt; Exceptions.Name</v>
      </c>
      <c r="C749" s="3" t="s">
        <v>9772</v>
      </c>
      <c r="D749" s="3" t="s">
        <v>3162</v>
      </c>
      <c r="E749" s="3" t="b">
        <v>1</v>
      </c>
      <c r="F749" s="3" t="b">
        <v>0</v>
      </c>
      <c r="G749" s="3" t="s">
        <v>10003</v>
      </c>
      <c r="H749" s="4" t="str">
        <f>_xlfn.IFNA(IF(((INDEX(RulebookFields!C2:C1898, MATCH(D749,RulebookFields!A2:A1898, 0))="")=TRUE),  "",  INDEX(RulebookFields!C2:C1898, MATCH(D749,RulebookFields!A2:A1898, 0))), "")</f>
        <v>Exceptions</v>
      </c>
      <c r="I749" s="4" t="str">
        <f>_xlfn.IFNA(IF(((INDEX(RulebookFields!D2:D1898, MATCH(D749,RulebookFields!A2:A1898, 0))="")=TRUE),  "",  INDEX(RulebookFields!D2:D1898, MATCH(D749,RulebookFields!A2:A1898, 0))), "")</f>
        <v>Name</v>
      </c>
      <c r="J749" s="4" t="b">
        <f>_xlfn.IFNA(IF(((INDEX(RulebookFields!I2:I1898, MATCH(D749,RulebookFields!A2:A1898, 0))="")=TRUE),  "",  INDEX(RulebookFields!I2:I1898, MATCH(D749,RulebookFields!A2:A1898, 0))), "")</f>
        <v>1</v>
      </c>
      <c r="K749" s="4" t="b">
        <f>AND(((F749)=TRUE), ((J749)=TRUE))</f>
        <v>0</v>
      </c>
      <c r="L749" s="4" t="b">
        <f>AND(((G749 &lt;&gt; "plain")=TRUE), ((G749 &lt;&gt; "")=TRUE))</f>
        <v>0</v>
      </c>
      <c r="M749" s="4" t="str">
        <f>IF(((E749)=TRUE),  C749 &amp; "|" &amp; H749,  "")</f>
        <v>principal-process-steward|Exceptions</v>
      </c>
      <c r="N749" s="3" t="s">
        <v>10004</v>
      </c>
    </row>
    <row r="750">
      <c r="A750" s="3" t="s">
        <v>10752</v>
      </c>
      <c r="B750" s="4" t="str">
        <f>C750 &amp; " -&gt; " &amp; D750</f>
        <v>principal-process-steward -&gt; Exceptions.ProcedureVersion</v>
      </c>
      <c r="C750" s="3" t="s">
        <v>9772</v>
      </c>
      <c r="D750" s="3" t="s">
        <v>3164</v>
      </c>
      <c r="E750" s="3" t="b">
        <v>1</v>
      </c>
      <c r="F750" s="3" t="b">
        <v>0</v>
      </c>
      <c r="G750" s="3" t="s">
        <v>10003</v>
      </c>
      <c r="H750" s="4" t="str">
        <f>_xlfn.IFNA(IF(((INDEX(RulebookFields!C2:C1898, MATCH(D750,RulebookFields!A2:A1898, 0))="")=TRUE),  "",  INDEX(RulebookFields!C2:C1898, MATCH(D750,RulebookFields!A2:A1898, 0))), "")</f>
        <v>Exceptions</v>
      </c>
      <c r="I750" s="4" t="str">
        <f>_xlfn.IFNA(IF(((INDEX(RulebookFields!D2:D1898, MATCH(D750,RulebookFields!A2:A1898, 0))="")=TRUE),  "",  INDEX(RulebookFields!D2:D1898, MATCH(D750,RulebookFields!A2:A1898, 0))), "")</f>
        <v>ProcedureVersion</v>
      </c>
      <c r="J750" s="4" t="b">
        <f>_xlfn.IFNA(IF(((INDEX(RulebookFields!I2:I1898, MATCH(D750,RulebookFields!A2:A1898, 0))="")=TRUE),  "",  INDEX(RulebookFields!I2:I1898, MATCH(D750,RulebookFields!A2:A1898, 0))), "")</f>
        <v>0</v>
      </c>
      <c r="K750" s="4" t="b">
        <f>AND(((F750)=TRUE), ((J750)=TRUE))</f>
        <v>0</v>
      </c>
      <c r="L750" s="4" t="b">
        <f>AND(((G750 &lt;&gt; "plain")=TRUE), ((G750 &lt;&gt; "")=TRUE))</f>
        <v>0</v>
      </c>
      <c r="M750" s="4" t="str">
        <f>IF(((E750)=TRUE),  C750 &amp; "|" &amp; H750,  "")</f>
        <v>principal-process-steward|Exceptions</v>
      </c>
      <c r="N750" s="3" t="s">
        <v>10004</v>
      </c>
    </row>
    <row r="751">
      <c r="A751" s="3" t="s">
        <v>10753</v>
      </c>
      <c r="B751" s="4" t="str">
        <f>C751 &amp; " -&gt; " &amp; D751</f>
        <v>principal-process-steward -&gt; Exceptions.TriggerStep</v>
      </c>
      <c r="C751" s="3" t="s">
        <v>9772</v>
      </c>
      <c r="D751" s="3" t="s">
        <v>3165</v>
      </c>
      <c r="E751" s="3" t="b">
        <v>1</v>
      </c>
      <c r="F751" s="3" t="b">
        <v>0</v>
      </c>
      <c r="G751" s="3" t="s">
        <v>10003</v>
      </c>
      <c r="H751" s="4" t="str">
        <f>_xlfn.IFNA(IF(((INDEX(RulebookFields!C2:C1898, MATCH(D751,RulebookFields!A2:A1898, 0))="")=TRUE),  "",  INDEX(RulebookFields!C2:C1898, MATCH(D751,RulebookFields!A2:A1898, 0))), "")</f>
        <v>Exceptions</v>
      </c>
      <c r="I751" s="4" t="str">
        <f>_xlfn.IFNA(IF(((INDEX(RulebookFields!D2:D1898, MATCH(D751,RulebookFields!A2:A1898, 0))="")=TRUE),  "",  INDEX(RulebookFields!D2:D1898, MATCH(D751,RulebookFields!A2:A1898, 0))), "")</f>
        <v>TriggerStep</v>
      </c>
      <c r="J751" s="4" t="b">
        <f>_xlfn.IFNA(IF(((INDEX(RulebookFields!I2:I1898, MATCH(D751,RulebookFields!A2:A1898, 0))="")=TRUE),  "",  INDEX(RulebookFields!I2:I1898, MATCH(D751,RulebookFields!A2:A1898, 0))), "")</f>
        <v>0</v>
      </c>
      <c r="K751" s="4" t="b">
        <f>AND(((F751)=TRUE), ((J751)=TRUE))</f>
        <v>0</v>
      </c>
      <c r="L751" s="4" t="b">
        <f>AND(((G751 &lt;&gt; "plain")=TRUE), ((G751 &lt;&gt; "")=TRUE))</f>
        <v>0</v>
      </c>
      <c r="M751" s="4" t="str">
        <f>IF(((E751)=TRUE),  C751 &amp; "|" &amp; H751,  "")</f>
        <v>principal-process-steward|Exceptions</v>
      </c>
      <c r="N751" s="3" t="s">
        <v>10004</v>
      </c>
    </row>
    <row r="752">
      <c r="A752" s="3" t="s">
        <v>10754</v>
      </c>
      <c r="B752" s="4" t="str">
        <f>C752 &amp; " -&gt; " &amp; D752</f>
        <v>principal-process-steward -&gt; Exceptions.Condition</v>
      </c>
      <c r="C752" s="3" t="s">
        <v>9772</v>
      </c>
      <c r="D752" s="3" t="s">
        <v>3166</v>
      </c>
      <c r="E752" s="3" t="b">
        <v>1</v>
      </c>
      <c r="F752" s="3" t="b">
        <v>0</v>
      </c>
      <c r="G752" s="3" t="s">
        <v>10003</v>
      </c>
      <c r="H752" s="4" t="str">
        <f>_xlfn.IFNA(IF(((INDEX(RulebookFields!C2:C1898, MATCH(D752,RulebookFields!A2:A1898, 0))="")=TRUE),  "",  INDEX(RulebookFields!C2:C1898, MATCH(D752,RulebookFields!A2:A1898, 0))), "")</f>
        <v>Exceptions</v>
      </c>
      <c r="I752" s="4" t="str">
        <f>_xlfn.IFNA(IF(((INDEX(RulebookFields!D2:D1898, MATCH(D752,RulebookFields!A2:A1898, 0))="")=TRUE),  "",  INDEX(RulebookFields!D2:D1898, MATCH(D752,RulebookFields!A2:A1898, 0))), "")</f>
        <v>Condition</v>
      </c>
      <c r="J752" s="4" t="b">
        <f>_xlfn.IFNA(IF(((INDEX(RulebookFields!I2:I1898, MATCH(D752,RulebookFields!A2:A1898, 0))="")=TRUE),  "",  INDEX(RulebookFields!I2:I1898, MATCH(D752,RulebookFields!A2:A1898, 0))), "")</f>
        <v>0</v>
      </c>
      <c r="K752" s="4" t="b">
        <f>AND(((F752)=TRUE), ((J752)=TRUE))</f>
        <v>0</v>
      </c>
      <c r="L752" s="4" t="b">
        <f>AND(((G752 &lt;&gt; "plain")=TRUE), ((G752 &lt;&gt; "")=TRUE))</f>
        <v>0</v>
      </c>
      <c r="M752" s="4" t="str">
        <f>IF(((E752)=TRUE),  C752 &amp; "|" &amp; H752,  "")</f>
        <v>principal-process-steward|Exceptions</v>
      </c>
      <c r="N752" s="3" t="s">
        <v>10004</v>
      </c>
    </row>
    <row r="753">
      <c r="A753" s="3" t="s">
        <v>10755</v>
      </c>
      <c r="B753" s="4" t="str">
        <f>C753 &amp; " -&gt; " &amp; D753</f>
        <v>principal-process-steward -&gt; Exceptions.Handling</v>
      </c>
      <c r="C753" s="3" t="s">
        <v>9772</v>
      </c>
      <c r="D753" s="3" t="s">
        <v>3167</v>
      </c>
      <c r="E753" s="3" t="b">
        <v>1</v>
      </c>
      <c r="F753" s="3" t="b">
        <v>0</v>
      </c>
      <c r="G753" s="3" t="s">
        <v>10003</v>
      </c>
      <c r="H753" s="4" t="str">
        <f>_xlfn.IFNA(IF(((INDEX(RulebookFields!C2:C1898, MATCH(D753,RulebookFields!A2:A1898, 0))="")=TRUE),  "",  INDEX(RulebookFields!C2:C1898, MATCH(D753,RulebookFields!A2:A1898, 0))), "")</f>
        <v>Exceptions</v>
      </c>
      <c r="I753" s="4" t="str">
        <f>_xlfn.IFNA(IF(((INDEX(RulebookFields!D2:D1898, MATCH(D753,RulebookFields!A2:A1898, 0))="")=TRUE),  "",  INDEX(RulebookFields!D2:D1898, MATCH(D753,RulebookFields!A2:A1898, 0))), "")</f>
        <v>Handling</v>
      </c>
      <c r="J753" s="4" t="b">
        <f>_xlfn.IFNA(IF(((INDEX(RulebookFields!I2:I1898, MATCH(D753,RulebookFields!A2:A1898, 0))="")=TRUE),  "",  INDEX(RulebookFields!I2:I1898, MATCH(D753,RulebookFields!A2:A1898, 0))), "")</f>
        <v>0</v>
      </c>
      <c r="K753" s="4" t="b">
        <f>AND(((F753)=TRUE), ((J753)=TRUE))</f>
        <v>0</v>
      </c>
      <c r="L753" s="4" t="b">
        <f>AND(((G753 &lt;&gt; "plain")=TRUE), ((G753 &lt;&gt; "")=TRUE))</f>
        <v>0</v>
      </c>
      <c r="M753" s="4" t="str">
        <f>IF(((E753)=TRUE),  C753 &amp; "|" &amp; H753,  "")</f>
        <v>principal-process-steward|Exceptions</v>
      </c>
      <c r="N753" s="3" t="s">
        <v>10004</v>
      </c>
    </row>
    <row r="754">
      <c r="A754" s="3" t="s">
        <v>10756</v>
      </c>
      <c r="B754" s="4" t="str">
        <f>C754 &amp; " -&gt; " &amp; D754</f>
        <v>principal-process-steward -&gt; Exceptions.ApprovalRole</v>
      </c>
      <c r="C754" s="3" t="s">
        <v>9772</v>
      </c>
      <c r="D754" s="3" t="s">
        <v>3168</v>
      </c>
      <c r="E754" s="3" t="b">
        <v>1</v>
      </c>
      <c r="F754" s="3" t="b">
        <v>0</v>
      </c>
      <c r="G754" s="3" t="s">
        <v>10003</v>
      </c>
      <c r="H754" s="4" t="str">
        <f>_xlfn.IFNA(IF(((INDEX(RulebookFields!C2:C1898, MATCH(D754,RulebookFields!A2:A1898, 0))="")=TRUE),  "",  INDEX(RulebookFields!C2:C1898, MATCH(D754,RulebookFields!A2:A1898, 0))), "")</f>
        <v>Exceptions</v>
      </c>
      <c r="I754" s="4" t="str">
        <f>_xlfn.IFNA(IF(((INDEX(RulebookFields!D2:D1898, MATCH(D754,RulebookFields!A2:A1898, 0))="")=TRUE),  "",  INDEX(RulebookFields!D2:D1898, MATCH(D754,RulebookFields!A2:A1898, 0))), "")</f>
        <v>ApprovalRole</v>
      </c>
      <c r="J754" s="4" t="b">
        <f>_xlfn.IFNA(IF(((INDEX(RulebookFields!I2:I1898, MATCH(D754,RulebookFields!A2:A1898, 0))="")=TRUE),  "",  INDEX(RulebookFields!I2:I1898, MATCH(D754,RulebookFields!A2:A1898, 0))), "")</f>
        <v>0</v>
      </c>
      <c r="K754" s="4" t="b">
        <f>AND(((F754)=TRUE), ((J754)=TRUE))</f>
        <v>0</v>
      </c>
      <c r="L754" s="4" t="b">
        <f>AND(((G754 &lt;&gt; "plain")=TRUE), ((G754 &lt;&gt; "")=TRUE))</f>
        <v>0</v>
      </c>
      <c r="M754" s="4" t="str">
        <f>IF(((E754)=TRUE),  C754 &amp; "|" &amp; H754,  "")</f>
        <v>principal-process-steward|Exceptions</v>
      </c>
      <c r="N754" s="3" t="s">
        <v>10004</v>
      </c>
    </row>
    <row r="755">
      <c r="A755" s="3" t="s">
        <v>10757</v>
      </c>
      <c r="B755" s="4" t="str">
        <f>C755 &amp; " -&gt; " &amp; D755</f>
        <v>principal-process-steward -&gt; Exceptions.FallbackRole</v>
      </c>
      <c r="C755" s="3" t="s">
        <v>9772</v>
      </c>
      <c r="D755" s="3" t="s">
        <v>3169</v>
      </c>
      <c r="E755" s="3" t="b">
        <v>1</v>
      </c>
      <c r="F755" s="3" t="b">
        <v>0</v>
      </c>
      <c r="G755" s="3" t="s">
        <v>10003</v>
      </c>
      <c r="H755" s="4" t="str">
        <f>_xlfn.IFNA(IF(((INDEX(RulebookFields!C2:C1898, MATCH(D755,RulebookFields!A2:A1898, 0))="")=TRUE),  "",  INDEX(RulebookFields!C2:C1898, MATCH(D755,RulebookFields!A2:A1898, 0))), "")</f>
        <v>Exceptions</v>
      </c>
      <c r="I755" s="4" t="str">
        <f>_xlfn.IFNA(IF(((INDEX(RulebookFields!D2:D1898, MATCH(D755,RulebookFields!A2:A1898, 0))="")=TRUE),  "",  INDEX(RulebookFields!D2:D1898, MATCH(D755,RulebookFields!A2:A1898, 0))), "")</f>
        <v>FallbackRole</v>
      </c>
      <c r="J755" s="4" t="b">
        <f>_xlfn.IFNA(IF(((INDEX(RulebookFields!I2:I1898, MATCH(D755,RulebookFields!A2:A1898, 0))="")=TRUE),  "",  INDEX(RulebookFields!I2:I1898, MATCH(D755,RulebookFields!A2:A1898, 0))), "")</f>
        <v>0</v>
      </c>
      <c r="K755" s="4" t="b">
        <f>AND(((F755)=TRUE), ((J755)=TRUE))</f>
        <v>0</v>
      </c>
      <c r="L755" s="4" t="b">
        <f>AND(((G755 &lt;&gt; "plain")=TRUE), ((G755 &lt;&gt; "")=TRUE))</f>
        <v>0</v>
      </c>
      <c r="M755" s="4" t="str">
        <f>IF(((E755)=TRUE),  C755 &amp; "|" &amp; H755,  "")</f>
        <v>principal-process-steward|Exceptions</v>
      </c>
      <c r="N755" s="3" t="s">
        <v>10004</v>
      </c>
    </row>
    <row r="756">
      <c r="A756" s="3" t="s">
        <v>10758</v>
      </c>
      <c r="B756" s="4" t="str">
        <f>C756 &amp; " -&gt; " &amp; D756</f>
        <v>principal-process-steward -&gt; Exceptions.Status</v>
      </c>
      <c r="C756" s="3" t="s">
        <v>9772</v>
      </c>
      <c r="D756" s="3" t="s">
        <v>3170</v>
      </c>
      <c r="E756" s="3" t="b">
        <v>1</v>
      </c>
      <c r="F756" s="3" t="b">
        <v>0</v>
      </c>
      <c r="G756" s="3" t="s">
        <v>10003</v>
      </c>
      <c r="H756" s="4" t="str">
        <f>_xlfn.IFNA(IF(((INDEX(RulebookFields!C2:C1898, MATCH(D756,RulebookFields!A2:A1898, 0))="")=TRUE),  "",  INDEX(RulebookFields!C2:C1898, MATCH(D756,RulebookFields!A2:A1898, 0))), "")</f>
        <v>Exceptions</v>
      </c>
      <c r="I756" s="4" t="str">
        <f>_xlfn.IFNA(IF(((INDEX(RulebookFields!D2:D1898, MATCH(D756,RulebookFields!A2:A1898, 0))="")=TRUE),  "",  INDEX(RulebookFields!D2:D1898, MATCH(D756,RulebookFields!A2:A1898, 0))), "")</f>
        <v>Status</v>
      </c>
      <c r="J756" s="4" t="b">
        <f>_xlfn.IFNA(IF(((INDEX(RulebookFields!I2:I1898, MATCH(D756,RulebookFields!A2:A1898, 0))="")=TRUE),  "",  INDEX(RulebookFields!I2:I1898, MATCH(D756,RulebookFields!A2:A1898, 0))), "")</f>
        <v>0</v>
      </c>
      <c r="K756" s="4" t="b">
        <f>AND(((F756)=TRUE), ((J756)=TRUE))</f>
        <v>0</v>
      </c>
      <c r="L756" s="4" t="b">
        <f>AND(((G756 &lt;&gt; "plain")=TRUE), ((G756 &lt;&gt; "")=TRUE))</f>
        <v>0</v>
      </c>
      <c r="M756" s="4" t="str">
        <f>IF(((E756)=TRUE),  C756 &amp; "|" &amp; H756,  "")</f>
        <v>principal-process-steward|Exceptions</v>
      </c>
      <c r="N756" s="3" t="s">
        <v>10004</v>
      </c>
    </row>
    <row r="757">
      <c r="A757" s="3" t="s">
        <v>10759</v>
      </c>
      <c r="B757" s="4" t="str">
        <f>C757 &amp; " -&gt; " &amp; D757</f>
        <v>principal-process-steward -&gt; Exceptions.ActiveExceptionStepKey</v>
      </c>
      <c r="C757" s="3" t="s">
        <v>9772</v>
      </c>
      <c r="D757" s="3" t="s">
        <v>3171</v>
      </c>
      <c r="E757" s="3" t="b">
        <v>1</v>
      </c>
      <c r="F757" s="3" t="b">
        <v>0</v>
      </c>
      <c r="G757" s="3" t="s">
        <v>10003</v>
      </c>
      <c r="H757" s="4" t="str">
        <f>_xlfn.IFNA(IF(((INDEX(RulebookFields!C2:C1898, MATCH(D757,RulebookFields!A2:A1898, 0))="")=TRUE),  "",  INDEX(RulebookFields!C2:C1898, MATCH(D757,RulebookFields!A2:A1898, 0))), "")</f>
        <v>Exceptions</v>
      </c>
      <c r="I757" s="4" t="str">
        <f>_xlfn.IFNA(IF(((INDEX(RulebookFields!D2:D1898, MATCH(D757,RulebookFields!A2:A1898, 0))="")=TRUE),  "",  INDEX(RulebookFields!D2:D1898, MATCH(D757,RulebookFields!A2:A1898, 0))), "")</f>
        <v>ActiveExceptionStepKey</v>
      </c>
      <c r="J757" s="4" t="b">
        <f>_xlfn.IFNA(IF(((INDEX(RulebookFields!I2:I1898, MATCH(D757,RulebookFields!A2:A1898, 0))="")=TRUE),  "",  INDEX(RulebookFields!I2:I1898, MATCH(D757,RulebookFields!A2:A1898, 0))), "")</f>
        <v>1</v>
      </c>
      <c r="K757" s="4" t="b">
        <f>AND(((F757)=TRUE), ((J757)=TRUE))</f>
        <v>0</v>
      </c>
      <c r="L757" s="4" t="b">
        <f>AND(((G757 &lt;&gt; "plain")=TRUE), ((G757 &lt;&gt; "")=TRUE))</f>
        <v>0</v>
      </c>
      <c r="M757" s="4" t="str">
        <f>IF(((E757)=TRUE),  C757 &amp; "|" &amp; H757,  "")</f>
        <v>principal-process-steward|Exceptions</v>
      </c>
      <c r="N757" s="3" t="s">
        <v>10004</v>
      </c>
    </row>
    <row r="758">
      <c r="A758" s="3" t="s">
        <v>10760</v>
      </c>
      <c r="B758" s="4" t="str">
        <f>C758 &amp; " -&gt; " &amp; D758</f>
        <v>principal-process-steward -&gt; Exceptions.SemanticTypeIri</v>
      </c>
      <c r="C758" s="3" t="s">
        <v>9772</v>
      </c>
      <c r="D758" s="3" t="s">
        <v>3173</v>
      </c>
      <c r="E758" s="3" t="b">
        <v>1</v>
      </c>
      <c r="F758" s="3" t="b">
        <v>0</v>
      </c>
      <c r="G758" s="3" t="s">
        <v>10003</v>
      </c>
      <c r="H758" s="4" t="str">
        <f>_xlfn.IFNA(IF(((INDEX(RulebookFields!C2:C1898, MATCH(D758,RulebookFields!A2:A1898, 0))="")=TRUE),  "",  INDEX(RulebookFields!C2:C1898, MATCH(D758,RulebookFields!A2:A1898, 0))), "")</f>
        <v>Exceptions</v>
      </c>
      <c r="I758" s="4" t="str">
        <f>_xlfn.IFNA(IF(((INDEX(RulebookFields!D2:D1898, MATCH(D758,RulebookFields!A2:A1898, 0))="")=TRUE),  "",  INDEX(RulebookFields!D2:D1898, MATCH(D758,RulebookFields!A2:A1898, 0))), "")</f>
        <v>SemanticTypeIri</v>
      </c>
      <c r="J758" s="4" t="b">
        <f>_xlfn.IFNA(IF(((INDEX(RulebookFields!I2:I1898, MATCH(D758,RulebookFields!A2:A1898, 0))="")=TRUE),  "",  INDEX(RulebookFields!I2:I1898, MATCH(D758,RulebookFields!A2:A1898, 0))), "")</f>
        <v>0</v>
      </c>
      <c r="K758" s="4" t="b">
        <f>AND(((F758)=TRUE), ((J758)=TRUE))</f>
        <v>0</v>
      </c>
      <c r="L758" s="4" t="b">
        <f>AND(((G758 &lt;&gt; "plain")=TRUE), ((G758 &lt;&gt; "")=TRUE))</f>
        <v>0</v>
      </c>
      <c r="M758" s="4" t="str">
        <f>IF(((E758)=TRUE),  C758 &amp; "|" &amp; H758,  "")</f>
        <v>principal-process-steward|Exceptions</v>
      </c>
      <c r="N758" s="3" t="s">
        <v>10004</v>
      </c>
    </row>
    <row r="759">
      <c r="A759" s="3" t="s">
        <v>10761</v>
      </c>
      <c r="B759" s="4" t="str">
        <f>C759 &amp; " -&gt; " &amp; D759</f>
        <v>principal-process-steward -&gt; Explanations.ExplanationId</v>
      </c>
      <c r="C759" s="3" t="s">
        <v>9772</v>
      </c>
      <c r="D759" s="3" t="s">
        <v>3419</v>
      </c>
      <c r="E759" s="3" t="b">
        <v>1</v>
      </c>
      <c r="F759" s="3" t="b">
        <v>0</v>
      </c>
      <c r="G759" s="3" t="s">
        <v>10003</v>
      </c>
      <c r="H759" s="4" t="str">
        <f>_xlfn.IFNA(IF(((INDEX(RulebookFields!C2:C1898, MATCH(D759,RulebookFields!A2:A1898, 0))="")=TRUE),  "",  INDEX(RulebookFields!C2:C1898, MATCH(D759,RulebookFields!A2:A1898, 0))), "")</f>
        <v>Explanations</v>
      </c>
      <c r="I759" s="4" t="str">
        <f>_xlfn.IFNA(IF(((INDEX(RulebookFields!D2:D1898, MATCH(D759,RulebookFields!A2:A1898, 0))="")=TRUE),  "",  INDEX(RulebookFields!D2:D1898, MATCH(D759,RulebookFields!A2:A1898, 0))), "")</f>
        <v>ExplanationId</v>
      </c>
      <c r="J759" s="4" t="b">
        <f>_xlfn.IFNA(IF(((INDEX(RulebookFields!I2:I1898, MATCH(D759,RulebookFields!A2:A1898, 0))="")=TRUE),  "",  INDEX(RulebookFields!I2:I1898, MATCH(D759,RulebookFields!A2:A1898, 0))), "")</f>
        <v>0</v>
      </c>
      <c r="K759" s="4" t="b">
        <f>AND(((F759)=TRUE), ((J759)=TRUE))</f>
        <v>0</v>
      </c>
      <c r="L759" s="4" t="b">
        <f>AND(((G759 &lt;&gt; "plain")=TRUE), ((G759 &lt;&gt; "")=TRUE))</f>
        <v>0</v>
      </c>
      <c r="M759" s="4" t="str">
        <f>IF(((E759)=TRUE),  C759 &amp; "|" &amp; H759,  "")</f>
        <v>principal-process-steward|Explanations</v>
      </c>
      <c r="N759" s="3" t="s">
        <v>10004</v>
      </c>
    </row>
    <row r="760">
      <c r="A760" s="3" t="s">
        <v>10762</v>
      </c>
      <c r="B760" s="4" t="str">
        <f>C760 &amp; " -&gt; " &amp; D760</f>
        <v>principal-process-steward -&gt; Explanations.Name</v>
      </c>
      <c r="C760" s="3" t="s">
        <v>9772</v>
      </c>
      <c r="D760" s="3" t="s">
        <v>3420</v>
      </c>
      <c r="E760" s="3" t="b">
        <v>1</v>
      </c>
      <c r="F760" s="3" t="b">
        <v>0</v>
      </c>
      <c r="G760" s="3" t="s">
        <v>10003</v>
      </c>
      <c r="H760" s="4" t="str">
        <f>_xlfn.IFNA(IF(((INDEX(RulebookFields!C2:C1898, MATCH(D760,RulebookFields!A2:A1898, 0))="")=TRUE),  "",  INDEX(RulebookFields!C2:C1898, MATCH(D760,RulebookFields!A2:A1898, 0))), "")</f>
        <v>Explanations</v>
      </c>
      <c r="I760" s="4" t="str">
        <f>_xlfn.IFNA(IF(((INDEX(RulebookFields!D2:D1898, MATCH(D760,RulebookFields!A2:A1898, 0))="")=TRUE),  "",  INDEX(RulebookFields!D2:D1898, MATCH(D760,RulebookFields!A2:A1898, 0))), "")</f>
        <v>Name</v>
      </c>
      <c r="J760" s="4" t="b">
        <f>_xlfn.IFNA(IF(((INDEX(RulebookFields!I2:I1898, MATCH(D760,RulebookFields!A2:A1898, 0))="")=TRUE),  "",  INDEX(RulebookFields!I2:I1898, MATCH(D760,RulebookFields!A2:A1898, 0))), "")</f>
        <v>1</v>
      </c>
      <c r="K760" s="4" t="b">
        <f>AND(((F760)=TRUE), ((J760)=TRUE))</f>
        <v>0</v>
      </c>
      <c r="L760" s="4" t="b">
        <f>AND(((G760 &lt;&gt; "plain")=TRUE), ((G760 &lt;&gt; "")=TRUE))</f>
        <v>0</v>
      </c>
      <c r="M760" s="4" t="str">
        <f>IF(((E760)=TRUE),  C760 &amp; "|" &amp; H760,  "")</f>
        <v>principal-process-steward|Explanations</v>
      </c>
      <c r="N760" s="3" t="s">
        <v>10004</v>
      </c>
    </row>
    <row r="761">
      <c r="A761" s="3" t="s">
        <v>10763</v>
      </c>
      <c r="B761" s="4" t="str">
        <f>C761 &amp; " -&gt; " &amp; D761</f>
        <v>principal-process-steward -&gt; Explanations.ProcedureVersion</v>
      </c>
      <c r="C761" s="3" t="s">
        <v>9772</v>
      </c>
      <c r="D761" s="3" t="s">
        <v>3421</v>
      </c>
      <c r="E761" s="3" t="b">
        <v>1</v>
      </c>
      <c r="F761" s="3" t="b">
        <v>0</v>
      </c>
      <c r="G761" s="3" t="s">
        <v>10003</v>
      </c>
      <c r="H761" s="4" t="str">
        <f>_xlfn.IFNA(IF(((INDEX(RulebookFields!C2:C1898, MATCH(D761,RulebookFields!A2:A1898, 0))="")=TRUE),  "",  INDEX(RulebookFields!C2:C1898, MATCH(D761,RulebookFields!A2:A1898, 0))), "")</f>
        <v>Explanations</v>
      </c>
      <c r="I761" s="4" t="str">
        <f>_xlfn.IFNA(IF(((INDEX(RulebookFields!D2:D1898, MATCH(D761,RulebookFields!A2:A1898, 0))="")=TRUE),  "",  INDEX(RulebookFields!D2:D1898, MATCH(D761,RulebookFields!A2:A1898, 0))), "")</f>
        <v>ProcedureVersion</v>
      </c>
      <c r="J761" s="4" t="b">
        <f>_xlfn.IFNA(IF(((INDEX(RulebookFields!I2:I1898, MATCH(D761,RulebookFields!A2:A1898, 0))="")=TRUE),  "",  INDEX(RulebookFields!I2:I1898, MATCH(D761,RulebookFields!A2:A1898, 0))), "")</f>
        <v>0</v>
      </c>
      <c r="K761" s="4" t="b">
        <f>AND(((F761)=TRUE), ((J761)=TRUE))</f>
        <v>0</v>
      </c>
      <c r="L761" s="4" t="b">
        <f>AND(((G761 &lt;&gt; "plain")=TRUE), ((G761 &lt;&gt; "")=TRUE))</f>
        <v>0</v>
      </c>
      <c r="M761" s="4" t="str">
        <f>IF(((E761)=TRUE),  C761 &amp; "|" &amp; H761,  "")</f>
        <v>principal-process-steward|Explanations</v>
      </c>
      <c r="N761" s="3" t="s">
        <v>10004</v>
      </c>
    </row>
    <row r="762">
      <c r="A762" s="3" t="s">
        <v>10764</v>
      </c>
      <c r="B762" s="4" t="str">
        <f>C762 &amp; " -&gt; " &amp; D762</f>
        <v>principal-process-steward -&gt; Explanations.Step</v>
      </c>
      <c r="C762" s="3" t="s">
        <v>9772</v>
      </c>
      <c r="D762" s="3" t="s">
        <v>3422</v>
      </c>
      <c r="E762" s="3" t="b">
        <v>1</v>
      </c>
      <c r="F762" s="3" t="b">
        <v>0</v>
      </c>
      <c r="G762" s="3" t="s">
        <v>10003</v>
      </c>
      <c r="H762" s="4" t="str">
        <f>_xlfn.IFNA(IF(((INDEX(RulebookFields!C2:C1898, MATCH(D762,RulebookFields!A2:A1898, 0))="")=TRUE),  "",  INDEX(RulebookFields!C2:C1898, MATCH(D762,RulebookFields!A2:A1898, 0))), "")</f>
        <v>Explanations</v>
      </c>
      <c r="I762" s="4" t="str">
        <f>_xlfn.IFNA(IF(((INDEX(RulebookFields!D2:D1898, MATCH(D762,RulebookFields!A2:A1898, 0))="")=TRUE),  "",  INDEX(RulebookFields!D2:D1898, MATCH(D762,RulebookFields!A2:A1898, 0))), "")</f>
        <v>Step</v>
      </c>
      <c r="J762" s="4" t="b">
        <f>_xlfn.IFNA(IF(((INDEX(RulebookFields!I2:I1898, MATCH(D762,RulebookFields!A2:A1898, 0))="")=TRUE),  "",  INDEX(RulebookFields!I2:I1898, MATCH(D762,RulebookFields!A2:A1898, 0))), "")</f>
        <v>0</v>
      </c>
      <c r="K762" s="4" t="b">
        <f>AND(((F762)=TRUE), ((J762)=TRUE))</f>
        <v>0</v>
      </c>
      <c r="L762" s="4" t="b">
        <f>AND(((G762 &lt;&gt; "plain")=TRUE), ((G762 &lt;&gt; "")=TRUE))</f>
        <v>0</v>
      </c>
      <c r="M762" s="4" t="str">
        <f>IF(((E762)=TRUE),  C762 &amp; "|" &amp; H762,  "")</f>
        <v>principal-process-steward|Explanations</v>
      </c>
      <c r="N762" s="3" t="s">
        <v>10004</v>
      </c>
    </row>
    <row r="763">
      <c r="A763" s="3" t="s">
        <v>10765</v>
      </c>
      <c r="B763" s="4" t="str">
        <f>C763 &amp; " -&gt; " &amp; D763</f>
        <v>principal-process-steward -&gt; Explanations.Title</v>
      </c>
      <c r="C763" s="3" t="s">
        <v>9772</v>
      </c>
      <c r="D763" s="3" t="s">
        <v>3423</v>
      </c>
      <c r="E763" s="3" t="b">
        <v>1</v>
      </c>
      <c r="F763" s="3" t="b">
        <v>0</v>
      </c>
      <c r="G763" s="3" t="s">
        <v>10003</v>
      </c>
      <c r="H763" s="4" t="str">
        <f>_xlfn.IFNA(IF(((INDEX(RulebookFields!C2:C1898, MATCH(D763,RulebookFields!A2:A1898, 0))="")=TRUE),  "",  INDEX(RulebookFields!C2:C1898, MATCH(D763,RulebookFields!A2:A1898, 0))), "")</f>
        <v>Explanations</v>
      </c>
      <c r="I763" s="4" t="str">
        <f>_xlfn.IFNA(IF(((INDEX(RulebookFields!D2:D1898, MATCH(D763,RulebookFields!A2:A1898, 0))="")=TRUE),  "",  INDEX(RulebookFields!D2:D1898, MATCH(D763,RulebookFields!A2:A1898, 0))), "")</f>
        <v>Title</v>
      </c>
      <c r="J763" s="4" t="b">
        <f>_xlfn.IFNA(IF(((INDEX(RulebookFields!I2:I1898, MATCH(D763,RulebookFields!A2:A1898, 0))="")=TRUE),  "",  INDEX(RulebookFields!I2:I1898, MATCH(D763,RulebookFields!A2:A1898, 0))), "")</f>
        <v>0</v>
      </c>
      <c r="K763" s="4" t="b">
        <f>AND(((F763)=TRUE), ((J763)=TRUE))</f>
        <v>0</v>
      </c>
      <c r="L763" s="4" t="b">
        <f>AND(((G763 &lt;&gt; "plain")=TRUE), ((G763 &lt;&gt; "")=TRUE))</f>
        <v>0</v>
      </c>
      <c r="M763" s="4" t="str">
        <f>IF(((E763)=TRUE),  C763 &amp; "|" &amp; H763,  "")</f>
        <v>principal-process-steward|Explanations</v>
      </c>
      <c r="N763" s="3" t="s">
        <v>10004</v>
      </c>
    </row>
    <row r="764">
      <c r="A764" s="3" t="s">
        <v>10766</v>
      </c>
      <c r="B764" s="4" t="str">
        <f>C764 &amp; " -&gt; " &amp; D764</f>
        <v>principal-process-steward -&gt; Explanations.Description</v>
      </c>
      <c r="C764" s="3" t="s">
        <v>9772</v>
      </c>
      <c r="D764" s="3" t="s">
        <v>3424</v>
      </c>
      <c r="E764" s="3" t="b">
        <v>1</v>
      </c>
      <c r="F764" s="3" t="b">
        <v>0</v>
      </c>
      <c r="G764" s="3" t="s">
        <v>10003</v>
      </c>
      <c r="H764" s="4" t="str">
        <f>_xlfn.IFNA(IF(((INDEX(RulebookFields!C2:C1898, MATCH(D764,RulebookFields!A2:A1898, 0))="")=TRUE),  "",  INDEX(RulebookFields!C2:C1898, MATCH(D764,RulebookFields!A2:A1898, 0))), "")</f>
        <v>Explanations</v>
      </c>
      <c r="I764" s="4" t="str">
        <f>_xlfn.IFNA(IF(((INDEX(RulebookFields!D2:D1898, MATCH(D764,RulebookFields!A2:A1898, 0))="")=TRUE),  "",  INDEX(RulebookFields!D2:D1898, MATCH(D764,RulebookFields!A2:A1898, 0))), "")</f>
        <v>Description</v>
      </c>
      <c r="J764" s="4" t="b">
        <f>_xlfn.IFNA(IF(((INDEX(RulebookFields!I2:I1898, MATCH(D764,RulebookFields!A2:A1898, 0))="")=TRUE),  "",  INDEX(RulebookFields!I2:I1898, MATCH(D764,RulebookFields!A2:A1898, 0))), "")</f>
        <v>0</v>
      </c>
      <c r="K764" s="4" t="b">
        <f>AND(((F764)=TRUE), ((J764)=TRUE))</f>
        <v>0</v>
      </c>
      <c r="L764" s="4" t="b">
        <f>AND(((G764 &lt;&gt; "plain")=TRUE), ((G764 &lt;&gt; "")=TRUE))</f>
        <v>0</v>
      </c>
      <c r="M764" s="4" t="str">
        <f>IF(((E764)=TRUE),  C764 &amp; "|" &amp; H764,  "")</f>
        <v>principal-process-steward|Explanations</v>
      </c>
      <c r="N764" s="3" t="s">
        <v>10004</v>
      </c>
    </row>
    <row r="765">
      <c r="A765" s="3" t="s">
        <v>10767</v>
      </c>
      <c r="B765" s="4" t="str">
        <f>C765 &amp; " -&gt; " &amp; D765</f>
        <v>principal-process-steward -&gt; Explanations.SemanticTypeIri</v>
      </c>
      <c r="C765" s="3" t="s">
        <v>9772</v>
      </c>
      <c r="D765" s="3" t="s">
        <v>3425</v>
      </c>
      <c r="E765" s="3" t="b">
        <v>1</v>
      </c>
      <c r="F765" s="3" t="b">
        <v>0</v>
      </c>
      <c r="G765" s="3" t="s">
        <v>10003</v>
      </c>
      <c r="H765" s="4" t="str">
        <f>_xlfn.IFNA(IF(((INDEX(RulebookFields!C2:C1898, MATCH(D765,RulebookFields!A2:A1898, 0))="")=TRUE),  "",  INDEX(RulebookFields!C2:C1898, MATCH(D765,RulebookFields!A2:A1898, 0))), "")</f>
        <v>Explanations</v>
      </c>
      <c r="I765" s="4" t="str">
        <f>_xlfn.IFNA(IF(((INDEX(RulebookFields!D2:D1898, MATCH(D765,RulebookFields!A2:A1898, 0))="")=TRUE),  "",  INDEX(RulebookFields!D2:D1898, MATCH(D765,RulebookFields!A2:A1898, 0))), "")</f>
        <v>SemanticTypeIri</v>
      </c>
      <c r="J765" s="4" t="b">
        <f>_xlfn.IFNA(IF(((INDEX(RulebookFields!I2:I1898, MATCH(D765,RulebookFields!A2:A1898, 0))="")=TRUE),  "",  INDEX(RulebookFields!I2:I1898, MATCH(D765,RulebookFields!A2:A1898, 0))), "")</f>
        <v>0</v>
      </c>
      <c r="K765" s="4" t="b">
        <f>AND(((F765)=TRUE), ((J765)=TRUE))</f>
        <v>0</v>
      </c>
      <c r="L765" s="4" t="b">
        <f>AND(((G765 &lt;&gt; "plain")=TRUE), ((G765 &lt;&gt; "")=TRUE))</f>
        <v>0</v>
      </c>
      <c r="M765" s="4" t="str">
        <f>IF(((E765)=TRUE),  C765 &amp; "|" &amp; H765,  "")</f>
        <v>principal-process-steward|Explanations</v>
      </c>
      <c r="N765" s="3" t="s">
        <v>10004</v>
      </c>
    </row>
    <row r="766">
      <c r="A766" s="3" t="s">
        <v>10768</v>
      </c>
      <c r="B766" s="4" t="str">
        <f>C766 &amp; " -&gt; " &amp; D766</f>
        <v>principal-process-steward -&gt; Functions.FunctionId</v>
      </c>
      <c r="C766" s="3" t="s">
        <v>9772</v>
      </c>
      <c r="D766" s="3" t="s">
        <v>3016</v>
      </c>
      <c r="E766" s="3" t="b">
        <v>1</v>
      </c>
      <c r="F766" s="3" t="b">
        <v>0</v>
      </c>
      <c r="G766" s="3" t="s">
        <v>10003</v>
      </c>
      <c r="H766" s="4" t="str">
        <f>_xlfn.IFNA(IF(((INDEX(RulebookFields!C2:C1898, MATCH(D766,RulebookFields!A2:A1898, 0))="")=TRUE),  "",  INDEX(RulebookFields!C2:C1898, MATCH(D766,RulebookFields!A2:A1898, 0))), "")</f>
        <v>Functions</v>
      </c>
      <c r="I766" s="4" t="str">
        <f>_xlfn.IFNA(IF(((INDEX(RulebookFields!D2:D1898, MATCH(D766,RulebookFields!A2:A1898, 0))="")=TRUE),  "",  INDEX(RulebookFields!D2:D1898, MATCH(D766,RulebookFields!A2:A1898, 0))), "")</f>
        <v>FunctionId</v>
      </c>
      <c r="J766" s="4" t="b">
        <f>_xlfn.IFNA(IF(((INDEX(RulebookFields!I2:I1898, MATCH(D766,RulebookFields!A2:A1898, 0))="")=TRUE),  "",  INDEX(RulebookFields!I2:I1898, MATCH(D766,RulebookFields!A2:A1898, 0))), "")</f>
        <v>0</v>
      </c>
      <c r="K766" s="4" t="b">
        <f>AND(((F766)=TRUE), ((J766)=TRUE))</f>
        <v>0</v>
      </c>
      <c r="L766" s="4" t="b">
        <f>AND(((G766 &lt;&gt; "plain")=TRUE), ((G766 &lt;&gt; "")=TRUE))</f>
        <v>0</v>
      </c>
      <c r="M766" s="4" t="str">
        <f>IF(((E766)=TRUE),  C766 &amp; "|" &amp; H766,  "")</f>
        <v>principal-process-steward|Functions</v>
      </c>
      <c r="N766" s="3" t="s">
        <v>10004</v>
      </c>
    </row>
    <row r="767">
      <c r="A767" s="3" t="s">
        <v>10769</v>
      </c>
      <c r="B767" s="4" t="str">
        <f>C767 &amp; " -&gt; " &amp; D767</f>
        <v>principal-process-steward -&gt; Functions.Name</v>
      </c>
      <c r="C767" s="3" t="s">
        <v>9772</v>
      </c>
      <c r="D767" s="3" t="s">
        <v>3017</v>
      </c>
      <c r="E767" s="3" t="b">
        <v>1</v>
      </c>
      <c r="F767" s="3" t="b">
        <v>0</v>
      </c>
      <c r="G767" s="3" t="s">
        <v>10003</v>
      </c>
      <c r="H767" s="4" t="str">
        <f>_xlfn.IFNA(IF(((INDEX(RulebookFields!C2:C1898, MATCH(D767,RulebookFields!A2:A1898, 0))="")=TRUE),  "",  INDEX(RulebookFields!C2:C1898, MATCH(D767,RulebookFields!A2:A1898, 0))), "")</f>
        <v>Functions</v>
      </c>
      <c r="I767" s="4" t="str">
        <f>_xlfn.IFNA(IF(((INDEX(RulebookFields!D2:D1898, MATCH(D767,RulebookFields!A2:A1898, 0))="")=TRUE),  "",  INDEX(RulebookFields!D2:D1898, MATCH(D767,RulebookFields!A2:A1898, 0))), "")</f>
        <v>Name</v>
      </c>
      <c r="J767" s="4" t="b">
        <f>_xlfn.IFNA(IF(((INDEX(RulebookFields!I2:I1898, MATCH(D767,RulebookFields!A2:A1898, 0))="")=TRUE),  "",  INDEX(RulebookFields!I2:I1898, MATCH(D767,RulebookFields!A2:A1898, 0))), "")</f>
        <v>1</v>
      </c>
      <c r="K767" s="4" t="b">
        <f>AND(((F767)=TRUE), ((J767)=TRUE))</f>
        <v>0</v>
      </c>
      <c r="L767" s="4" t="b">
        <f>AND(((G767 &lt;&gt; "plain")=TRUE), ((G767 &lt;&gt; "")=TRUE))</f>
        <v>0</v>
      </c>
      <c r="M767" s="4" t="str">
        <f>IF(((E767)=TRUE),  C767 &amp; "|" &amp; H767,  "")</f>
        <v>principal-process-steward|Functions</v>
      </c>
      <c r="N767" s="3" t="s">
        <v>10004</v>
      </c>
    </row>
    <row r="768">
      <c r="A768" s="3" t="s">
        <v>10770</v>
      </c>
      <c r="B768" s="4" t="str">
        <f>C768 &amp; " -&gt; " &amp; D768</f>
        <v>principal-process-steward -&gt; Functions.Label</v>
      </c>
      <c r="C768" s="3" t="s">
        <v>9772</v>
      </c>
      <c r="D768" s="3" t="s">
        <v>3018</v>
      </c>
      <c r="E768" s="3" t="b">
        <v>1</v>
      </c>
      <c r="F768" s="3" t="b">
        <v>0</v>
      </c>
      <c r="G768" s="3" t="s">
        <v>10003</v>
      </c>
      <c r="H768" s="4" t="str">
        <f>_xlfn.IFNA(IF(((INDEX(RulebookFields!C2:C1898, MATCH(D768,RulebookFields!A2:A1898, 0))="")=TRUE),  "",  INDEX(RulebookFields!C2:C1898, MATCH(D768,RulebookFields!A2:A1898, 0))), "")</f>
        <v>Functions</v>
      </c>
      <c r="I768" s="4" t="str">
        <f>_xlfn.IFNA(IF(((INDEX(RulebookFields!D2:D1898, MATCH(D768,RulebookFields!A2:A1898, 0))="")=TRUE),  "",  INDEX(RulebookFields!D2:D1898, MATCH(D768,RulebookFields!A2:A1898, 0))), "")</f>
        <v>Label</v>
      </c>
      <c r="J768" s="4" t="b">
        <f>_xlfn.IFNA(IF(((INDEX(RulebookFields!I2:I1898, MATCH(D768,RulebookFields!A2:A1898, 0))="")=TRUE),  "",  INDEX(RulebookFields!I2:I1898, MATCH(D768,RulebookFields!A2:A1898, 0))), "")</f>
        <v>0</v>
      </c>
      <c r="K768" s="4" t="b">
        <f>AND(((F768)=TRUE), ((J768)=TRUE))</f>
        <v>0</v>
      </c>
      <c r="L768" s="4" t="b">
        <f>AND(((G768 &lt;&gt; "plain")=TRUE), ((G768 &lt;&gt; "")=TRUE))</f>
        <v>0</v>
      </c>
      <c r="M768" s="4" t="str">
        <f>IF(((E768)=TRUE),  C768 &amp; "|" &amp; H768,  "")</f>
        <v>principal-process-steward|Functions</v>
      </c>
      <c r="N768" s="3" t="s">
        <v>10004</v>
      </c>
    </row>
    <row r="769">
      <c r="A769" s="3" t="s">
        <v>10771</v>
      </c>
      <c r="B769" s="4" t="str">
        <f>C769 &amp; " -&gt; " &amp; D769</f>
        <v>principal-process-steward -&gt; Functions.Definition</v>
      </c>
      <c r="C769" s="3" t="s">
        <v>9772</v>
      </c>
      <c r="D769" s="3" t="s">
        <v>3019</v>
      </c>
      <c r="E769" s="3" t="b">
        <v>1</v>
      </c>
      <c r="F769" s="3" t="b">
        <v>0</v>
      </c>
      <c r="G769" s="3" t="s">
        <v>10003</v>
      </c>
      <c r="H769" s="4" t="str">
        <f>_xlfn.IFNA(IF(((INDEX(RulebookFields!C2:C1898, MATCH(D769,RulebookFields!A2:A1898, 0))="")=TRUE),  "",  INDEX(RulebookFields!C2:C1898, MATCH(D769,RulebookFields!A2:A1898, 0))), "")</f>
        <v>Functions</v>
      </c>
      <c r="I769" s="4" t="str">
        <f>_xlfn.IFNA(IF(((INDEX(RulebookFields!D2:D1898, MATCH(D769,RulebookFields!A2:A1898, 0))="")=TRUE),  "",  INDEX(RulebookFields!D2:D1898, MATCH(D769,RulebookFields!A2:A1898, 0))), "")</f>
        <v>Definition</v>
      </c>
      <c r="J769" s="4" t="b">
        <f>_xlfn.IFNA(IF(((INDEX(RulebookFields!I2:I1898, MATCH(D769,RulebookFields!A2:A1898, 0))="")=TRUE),  "",  INDEX(RulebookFields!I2:I1898, MATCH(D769,RulebookFields!A2:A1898, 0))), "")</f>
        <v>0</v>
      </c>
      <c r="K769" s="4" t="b">
        <f>AND(((F769)=TRUE), ((J769)=TRUE))</f>
        <v>0</v>
      </c>
      <c r="L769" s="4" t="b">
        <f>AND(((G769 &lt;&gt; "plain")=TRUE), ((G769 &lt;&gt; "")=TRUE))</f>
        <v>0</v>
      </c>
      <c r="M769" s="4" t="str">
        <f>IF(((E769)=TRUE),  C769 &amp; "|" &amp; H769,  "")</f>
        <v>principal-process-steward|Functions</v>
      </c>
      <c r="N769" s="3" t="s">
        <v>10004</v>
      </c>
    </row>
    <row r="770">
      <c r="A770" s="3" t="s">
        <v>10772</v>
      </c>
      <c r="B770" s="4" t="str">
        <f>C770 &amp; " -&gt; " &amp; D770</f>
        <v>principal-process-steward -&gt; Functions.ImplementationKey</v>
      </c>
      <c r="C770" s="3" t="s">
        <v>9772</v>
      </c>
      <c r="D770" s="3" t="s">
        <v>3020</v>
      </c>
      <c r="E770" s="3" t="b">
        <v>1</v>
      </c>
      <c r="F770" s="3" t="b">
        <v>0</v>
      </c>
      <c r="G770" s="3" t="s">
        <v>10003</v>
      </c>
      <c r="H770" s="4" t="str">
        <f>_xlfn.IFNA(IF(((INDEX(RulebookFields!C2:C1898, MATCH(D770,RulebookFields!A2:A1898, 0))="")=TRUE),  "",  INDEX(RulebookFields!C2:C1898, MATCH(D770,RulebookFields!A2:A1898, 0))), "")</f>
        <v>Functions</v>
      </c>
      <c r="I770" s="4" t="str">
        <f>_xlfn.IFNA(IF(((INDEX(RulebookFields!D2:D1898, MATCH(D770,RulebookFields!A2:A1898, 0))="")=TRUE),  "",  INDEX(RulebookFields!D2:D1898, MATCH(D770,RulebookFields!A2:A1898, 0))), "")</f>
        <v>ImplementationKey</v>
      </c>
      <c r="J770" s="4" t="b">
        <f>_xlfn.IFNA(IF(((INDEX(RulebookFields!I2:I1898, MATCH(D770,RulebookFields!A2:A1898, 0))="")=TRUE),  "",  INDEX(RulebookFields!I2:I1898, MATCH(D770,RulebookFields!A2:A1898, 0))), "")</f>
        <v>0</v>
      </c>
      <c r="K770" s="4" t="b">
        <f>AND(((F770)=TRUE), ((J770)=TRUE))</f>
        <v>0</v>
      </c>
      <c r="L770" s="4" t="b">
        <f>AND(((G770 &lt;&gt; "plain")=TRUE), ((G770 &lt;&gt; "")=TRUE))</f>
        <v>0</v>
      </c>
      <c r="M770" s="4" t="str">
        <f>IF(((E770)=TRUE),  C770 &amp; "|" &amp; H770,  "")</f>
        <v>principal-process-steward|Functions</v>
      </c>
      <c r="N770" s="3" t="s">
        <v>10004</v>
      </c>
    </row>
    <row r="771">
      <c r="A771" s="3" t="s">
        <v>10773</v>
      </c>
      <c r="B771" s="4" t="str">
        <f>C771 &amp; " -&gt; " &amp; D771</f>
        <v>principal-process-steward -&gt; Functions.SemanticTypeIri</v>
      </c>
      <c r="C771" s="3" t="s">
        <v>9772</v>
      </c>
      <c r="D771" s="3" t="s">
        <v>3021</v>
      </c>
      <c r="E771" s="3" t="b">
        <v>1</v>
      </c>
      <c r="F771" s="3" t="b">
        <v>0</v>
      </c>
      <c r="G771" s="3" t="s">
        <v>10003</v>
      </c>
      <c r="H771" s="4" t="str">
        <f>_xlfn.IFNA(IF(((INDEX(RulebookFields!C2:C1898, MATCH(D771,RulebookFields!A2:A1898, 0))="")=TRUE),  "",  INDEX(RulebookFields!C2:C1898, MATCH(D771,RulebookFields!A2:A1898, 0))), "")</f>
        <v>Functions</v>
      </c>
      <c r="I771" s="4" t="str">
        <f>_xlfn.IFNA(IF(((INDEX(RulebookFields!D2:D1898, MATCH(D771,RulebookFields!A2:A1898, 0))="")=TRUE),  "",  INDEX(RulebookFields!D2:D1898, MATCH(D771,RulebookFields!A2:A1898, 0))), "")</f>
        <v>SemanticTypeIri</v>
      </c>
      <c r="J771" s="4" t="b">
        <f>_xlfn.IFNA(IF(((INDEX(RulebookFields!I2:I1898, MATCH(D771,RulebookFields!A2:A1898, 0))="")=TRUE),  "",  INDEX(RulebookFields!I2:I1898, MATCH(D771,RulebookFields!A2:A1898, 0))), "")</f>
        <v>0</v>
      </c>
      <c r="K771" s="4" t="b">
        <f>AND(((F771)=TRUE), ((J771)=TRUE))</f>
        <v>0</v>
      </c>
      <c r="L771" s="4" t="b">
        <f>AND(((G771 &lt;&gt; "plain")=TRUE), ((G771 &lt;&gt; "")=TRUE))</f>
        <v>0</v>
      </c>
      <c r="M771" s="4" t="str">
        <f>IF(((E771)=TRUE),  C771 &amp; "|" &amp; H771,  "")</f>
        <v>principal-process-steward|Functions</v>
      </c>
      <c r="N771" s="3" t="s">
        <v>10004</v>
      </c>
    </row>
    <row r="772">
      <c r="A772" s="3" t="s">
        <v>10774</v>
      </c>
      <c r="B772" s="4" t="str">
        <f>C772 &amp; " -&gt; " &amp; D772</f>
        <v>principal-process-steward -&gt; IssueOccurrences.IssueOccurrenceId</v>
      </c>
      <c r="C772" s="3" t="s">
        <v>9772</v>
      </c>
      <c r="D772" s="3" t="s">
        <v>3860</v>
      </c>
      <c r="E772" s="3" t="b">
        <v>1</v>
      </c>
      <c r="F772" s="3" t="b">
        <v>0</v>
      </c>
      <c r="G772" s="3" t="s">
        <v>10003</v>
      </c>
      <c r="H772" s="4" t="str">
        <f>_xlfn.IFNA(IF(((INDEX(RulebookFields!C2:C1898, MATCH(D772,RulebookFields!A2:A1898, 0))="")=TRUE),  "",  INDEX(RulebookFields!C2:C1898, MATCH(D772,RulebookFields!A2:A1898, 0))), "")</f>
        <v>IssueOccurrences</v>
      </c>
      <c r="I772" s="4" t="str">
        <f>_xlfn.IFNA(IF(((INDEX(RulebookFields!D2:D1898, MATCH(D772,RulebookFields!A2:A1898, 0))="")=TRUE),  "",  INDEX(RulebookFields!D2:D1898, MATCH(D772,RulebookFields!A2:A1898, 0))), "")</f>
        <v>IssueOccurrenceId</v>
      </c>
      <c r="J772" s="4" t="b">
        <f>_xlfn.IFNA(IF(((INDEX(RulebookFields!I2:I1898, MATCH(D772,RulebookFields!A2:A1898, 0))="")=TRUE),  "",  INDEX(RulebookFields!I2:I1898, MATCH(D772,RulebookFields!A2:A1898, 0))), "")</f>
        <v>0</v>
      </c>
      <c r="K772" s="4" t="b">
        <f>AND(((F772)=TRUE), ((J772)=TRUE))</f>
        <v>0</v>
      </c>
      <c r="L772" s="4" t="b">
        <f>AND(((G772 &lt;&gt; "plain")=TRUE), ((G772 &lt;&gt; "")=TRUE))</f>
        <v>0</v>
      </c>
      <c r="M772" s="4" t="str">
        <f>IF(((E772)=TRUE),  C772 &amp; "|" &amp; H772,  "")</f>
        <v>principal-process-steward|IssueOccurrences</v>
      </c>
      <c r="N772" s="3" t="s">
        <v>10004</v>
      </c>
    </row>
    <row r="773">
      <c r="A773" s="3" t="s">
        <v>10775</v>
      </c>
      <c r="B773" s="4" t="str">
        <f>C773 &amp; " -&gt; " &amp; D773</f>
        <v>principal-process-steward -&gt; IssueOccurrences.Name</v>
      </c>
      <c r="C773" s="3" t="s">
        <v>9772</v>
      </c>
      <c r="D773" s="3" t="s">
        <v>3861</v>
      </c>
      <c r="E773" s="3" t="b">
        <v>1</v>
      </c>
      <c r="F773" s="3" t="b">
        <v>0</v>
      </c>
      <c r="G773" s="3" t="s">
        <v>10003</v>
      </c>
      <c r="H773" s="4" t="str">
        <f>_xlfn.IFNA(IF(((INDEX(RulebookFields!C2:C1898, MATCH(D773,RulebookFields!A2:A1898, 0))="")=TRUE),  "",  INDEX(RulebookFields!C2:C1898, MATCH(D773,RulebookFields!A2:A1898, 0))), "")</f>
        <v>IssueOccurrences</v>
      </c>
      <c r="I773" s="4" t="str">
        <f>_xlfn.IFNA(IF(((INDEX(RulebookFields!D2:D1898, MATCH(D773,RulebookFields!A2:A1898, 0))="")=TRUE),  "",  INDEX(RulebookFields!D2:D1898, MATCH(D773,RulebookFields!A2:A1898, 0))), "")</f>
        <v>Name</v>
      </c>
      <c r="J773" s="4" t="b">
        <f>_xlfn.IFNA(IF(((INDEX(RulebookFields!I2:I1898, MATCH(D773,RulebookFields!A2:A1898, 0))="")=TRUE),  "",  INDEX(RulebookFields!I2:I1898, MATCH(D773,RulebookFields!A2:A1898, 0))), "")</f>
        <v>1</v>
      </c>
      <c r="K773" s="4" t="b">
        <f>AND(((F773)=TRUE), ((J773)=TRUE))</f>
        <v>0</v>
      </c>
      <c r="L773" s="4" t="b">
        <f>AND(((G773 &lt;&gt; "plain")=TRUE), ((G773 &lt;&gt; "")=TRUE))</f>
        <v>0</v>
      </c>
      <c r="M773" s="4" t="str">
        <f>IF(((E773)=TRUE),  C773 &amp; "|" &amp; H773,  "")</f>
        <v>principal-process-steward|IssueOccurrences</v>
      </c>
      <c r="N773" s="3" t="s">
        <v>10004</v>
      </c>
    </row>
    <row r="774">
      <c r="A774" s="3" t="s">
        <v>10776</v>
      </c>
      <c r="B774" s="4" t="str">
        <f>C774 &amp; " -&gt; " &amp; D774</f>
        <v>principal-process-steward -&gt; IssueOccurrences.StepExecution</v>
      </c>
      <c r="C774" s="3" t="s">
        <v>9772</v>
      </c>
      <c r="D774" s="3" t="s">
        <v>3863</v>
      </c>
      <c r="E774" s="3" t="b">
        <v>1</v>
      </c>
      <c r="F774" s="3" t="b">
        <v>0</v>
      </c>
      <c r="G774" s="3" t="s">
        <v>10003</v>
      </c>
      <c r="H774" s="4" t="str">
        <f>_xlfn.IFNA(IF(((INDEX(RulebookFields!C2:C1898, MATCH(D774,RulebookFields!A2:A1898, 0))="")=TRUE),  "",  INDEX(RulebookFields!C2:C1898, MATCH(D774,RulebookFields!A2:A1898, 0))), "")</f>
        <v>IssueOccurrences</v>
      </c>
      <c r="I774" s="4" t="str">
        <f>_xlfn.IFNA(IF(((INDEX(RulebookFields!D2:D1898, MATCH(D774,RulebookFields!A2:A1898, 0))="")=TRUE),  "",  INDEX(RulebookFields!D2:D1898, MATCH(D774,RulebookFields!A2:A1898, 0))), "")</f>
        <v>StepExecution</v>
      </c>
      <c r="J774" s="4" t="b">
        <f>_xlfn.IFNA(IF(((INDEX(RulebookFields!I2:I1898, MATCH(D774,RulebookFields!A2:A1898, 0))="")=TRUE),  "",  INDEX(RulebookFields!I2:I1898, MATCH(D774,RulebookFields!A2:A1898, 0))), "")</f>
        <v>0</v>
      </c>
      <c r="K774" s="4" t="b">
        <f>AND(((F774)=TRUE), ((J774)=TRUE))</f>
        <v>0</v>
      </c>
      <c r="L774" s="4" t="b">
        <f>AND(((G774 &lt;&gt; "plain")=TRUE), ((G774 &lt;&gt; "")=TRUE))</f>
        <v>0</v>
      </c>
      <c r="M774" s="4" t="str">
        <f>IF(((E774)=TRUE),  C774 &amp; "|" &amp; H774,  "")</f>
        <v>principal-process-steward|IssueOccurrences</v>
      </c>
      <c r="N774" s="3" t="s">
        <v>10004</v>
      </c>
    </row>
    <row r="775">
      <c r="A775" s="3" t="s">
        <v>10777</v>
      </c>
      <c r="B775" s="4" t="str">
        <f>C775 &amp; " -&gt; " &amp; D775</f>
        <v>principal-process-steward -&gt; IssueOccurrences.Error</v>
      </c>
      <c r="C775" s="3" t="s">
        <v>9772</v>
      </c>
      <c r="D775" s="3" t="s">
        <v>3864</v>
      </c>
      <c r="E775" s="3" t="b">
        <v>1</v>
      </c>
      <c r="F775" s="3" t="b">
        <v>0</v>
      </c>
      <c r="G775" s="3" t="s">
        <v>10003</v>
      </c>
      <c r="H775" s="4" t="str">
        <f>_xlfn.IFNA(IF(((INDEX(RulebookFields!C2:C1898, MATCH(D775,RulebookFields!A2:A1898, 0))="")=TRUE),  "",  INDEX(RulebookFields!C2:C1898, MATCH(D775,RulebookFields!A2:A1898, 0))), "")</f>
        <v>IssueOccurrences</v>
      </c>
      <c r="I775" s="4" t="str">
        <f>_xlfn.IFNA(IF(((INDEX(RulebookFields!D2:D1898, MATCH(D775,RulebookFields!A2:A1898, 0))="")=TRUE),  "",  INDEX(RulebookFields!D2:D1898, MATCH(D775,RulebookFields!A2:A1898, 0))), "")</f>
        <v>Error</v>
      </c>
      <c r="J775" s="4" t="b">
        <f>_xlfn.IFNA(IF(((INDEX(RulebookFields!I2:I1898, MATCH(D775,RulebookFields!A2:A1898, 0))="")=TRUE),  "",  INDEX(RulebookFields!I2:I1898, MATCH(D775,RulebookFields!A2:A1898, 0))), "")</f>
        <v>0</v>
      </c>
      <c r="K775" s="4" t="b">
        <f>AND(((F775)=TRUE), ((J775)=TRUE))</f>
        <v>0</v>
      </c>
      <c r="L775" s="4" t="b">
        <f>AND(((G775 &lt;&gt; "plain")=TRUE), ((G775 &lt;&gt; "")=TRUE))</f>
        <v>0</v>
      </c>
      <c r="M775" s="4" t="str">
        <f>IF(((E775)=TRUE),  C775 &amp; "|" &amp; H775,  "")</f>
        <v>principal-process-steward|IssueOccurrences</v>
      </c>
      <c r="N775" s="3" t="s">
        <v>10004</v>
      </c>
    </row>
    <row r="776">
      <c r="A776" s="3" t="s">
        <v>10778</v>
      </c>
      <c r="B776" s="4" t="str">
        <f>C776 &amp; " -&gt; " &amp; D776</f>
        <v>principal-process-steward -&gt; IssueOccurrences.EncounteredByAgent</v>
      </c>
      <c r="C776" s="3" t="s">
        <v>9772</v>
      </c>
      <c r="D776" s="3" t="s">
        <v>3865</v>
      </c>
      <c r="E776" s="3" t="b">
        <v>1</v>
      </c>
      <c r="F776" s="3" t="b">
        <v>0</v>
      </c>
      <c r="G776" s="3" t="s">
        <v>10003</v>
      </c>
      <c r="H776" s="4" t="str">
        <f>_xlfn.IFNA(IF(((INDEX(RulebookFields!C2:C1898, MATCH(D776,RulebookFields!A2:A1898, 0))="")=TRUE),  "",  INDEX(RulebookFields!C2:C1898, MATCH(D776,RulebookFields!A2:A1898, 0))), "")</f>
        <v>IssueOccurrences</v>
      </c>
      <c r="I776" s="4" t="str">
        <f>_xlfn.IFNA(IF(((INDEX(RulebookFields!D2:D1898, MATCH(D776,RulebookFields!A2:A1898, 0))="")=TRUE),  "",  INDEX(RulebookFields!D2:D1898, MATCH(D776,RulebookFields!A2:A1898, 0))), "")</f>
        <v>EncounteredByAgent</v>
      </c>
      <c r="J776" s="4" t="b">
        <f>_xlfn.IFNA(IF(((INDEX(RulebookFields!I2:I1898, MATCH(D776,RulebookFields!A2:A1898, 0))="")=TRUE),  "",  INDEX(RulebookFields!I2:I1898, MATCH(D776,RulebookFields!A2:A1898, 0))), "")</f>
        <v>0</v>
      </c>
      <c r="K776" s="4" t="b">
        <f>AND(((F776)=TRUE), ((J776)=TRUE))</f>
        <v>0</v>
      </c>
      <c r="L776" s="4" t="b">
        <f>AND(((G776 &lt;&gt; "plain")=TRUE), ((G776 &lt;&gt; "")=TRUE))</f>
        <v>0</v>
      </c>
      <c r="M776" s="4" t="str">
        <f>IF(((E776)=TRUE),  C776 &amp; "|" &amp; H776,  "")</f>
        <v>principal-process-steward|IssueOccurrences</v>
      </c>
      <c r="N776" s="3" t="s">
        <v>10004</v>
      </c>
    </row>
    <row r="777">
      <c r="A777" s="3" t="s">
        <v>10779</v>
      </c>
      <c r="B777" s="4" t="str">
        <f>C777 &amp; " -&gt; " &amp; D777</f>
        <v>principal-process-steward -&gt; IssueOccurrences.OccurredAt</v>
      </c>
      <c r="C777" s="3" t="s">
        <v>9772</v>
      </c>
      <c r="D777" s="3" t="s">
        <v>3866</v>
      </c>
      <c r="E777" s="3" t="b">
        <v>1</v>
      </c>
      <c r="F777" s="3" t="b">
        <v>0</v>
      </c>
      <c r="G777" s="3" t="s">
        <v>10003</v>
      </c>
      <c r="H777" s="4" t="str">
        <f>_xlfn.IFNA(IF(((INDEX(RulebookFields!C2:C1898, MATCH(D777,RulebookFields!A2:A1898, 0))="")=TRUE),  "",  INDEX(RulebookFields!C2:C1898, MATCH(D777,RulebookFields!A2:A1898, 0))), "")</f>
        <v>IssueOccurrences</v>
      </c>
      <c r="I777" s="4" t="str">
        <f>_xlfn.IFNA(IF(((INDEX(RulebookFields!D2:D1898, MATCH(D777,RulebookFields!A2:A1898, 0))="")=TRUE),  "",  INDEX(RulebookFields!D2:D1898, MATCH(D777,RulebookFields!A2:A1898, 0))), "")</f>
        <v>OccurredAt</v>
      </c>
      <c r="J777" s="4" t="b">
        <f>_xlfn.IFNA(IF(((INDEX(RulebookFields!I2:I1898, MATCH(D777,RulebookFields!A2:A1898, 0))="")=TRUE),  "",  INDEX(RulebookFields!I2:I1898, MATCH(D777,RulebookFields!A2:A1898, 0))), "")</f>
        <v>0</v>
      </c>
      <c r="K777" s="4" t="b">
        <f>AND(((F777)=TRUE), ((J777)=TRUE))</f>
        <v>0</v>
      </c>
      <c r="L777" s="4" t="b">
        <f>AND(((G777 &lt;&gt; "plain")=TRUE), ((G777 &lt;&gt; "")=TRUE))</f>
        <v>0</v>
      </c>
      <c r="M777" s="4" t="str">
        <f>IF(((E777)=TRUE),  C777 &amp; "|" &amp; H777,  "")</f>
        <v>principal-process-steward|IssueOccurrences</v>
      </c>
      <c r="N777" s="3" t="s">
        <v>10004</v>
      </c>
    </row>
    <row r="778">
      <c r="A778" s="3" t="s">
        <v>10780</v>
      </c>
      <c r="B778" s="4" t="str">
        <f>C778 &amp; " -&gt; " &amp; D778</f>
        <v>principal-process-steward -&gt; IssueOccurrences.IssueCause</v>
      </c>
      <c r="C778" s="3" t="s">
        <v>9772</v>
      </c>
      <c r="D778" s="3" t="s">
        <v>3867</v>
      </c>
      <c r="E778" s="3" t="b">
        <v>1</v>
      </c>
      <c r="F778" s="3" t="b">
        <v>0</v>
      </c>
      <c r="G778" s="3" t="s">
        <v>10003</v>
      </c>
      <c r="H778" s="4" t="str">
        <f>_xlfn.IFNA(IF(((INDEX(RulebookFields!C2:C1898, MATCH(D778,RulebookFields!A2:A1898, 0))="")=TRUE),  "",  INDEX(RulebookFields!C2:C1898, MATCH(D778,RulebookFields!A2:A1898, 0))), "")</f>
        <v>IssueOccurrences</v>
      </c>
      <c r="I778" s="4" t="str">
        <f>_xlfn.IFNA(IF(((INDEX(RulebookFields!D2:D1898, MATCH(D778,RulebookFields!A2:A1898, 0))="")=TRUE),  "",  INDEX(RulebookFields!D2:D1898, MATCH(D778,RulebookFields!A2:A1898, 0))), "")</f>
        <v>IssueCause</v>
      </c>
      <c r="J778" s="4" t="b">
        <f>_xlfn.IFNA(IF(((INDEX(RulebookFields!I2:I1898, MATCH(D778,RulebookFields!A2:A1898, 0))="")=TRUE),  "",  INDEX(RulebookFields!I2:I1898, MATCH(D778,RulebookFields!A2:A1898, 0))), "")</f>
        <v>0</v>
      </c>
      <c r="K778" s="4" t="b">
        <f>AND(((F778)=TRUE), ((J778)=TRUE))</f>
        <v>0</v>
      </c>
      <c r="L778" s="4" t="b">
        <f>AND(((G778 &lt;&gt; "plain")=TRUE), ((G778 &lt;&gt; "")=TRUE))</f>
        <v>0</v>
      </c>
      <c r="M778" s="4" t="str">
        <f>IF(((E778)=TRUE),  C778 &amp; "|" &amp; H778,  "")</f>
        <v>principal-process-steward|IssueOccurrences</v>
      </c>
      <c r="N778" s="3" t="s">
        <v>10004</v>
      </c>
    </row>
    <row r="779">
      <c r="A779" s="3" t="s">
        <v>10781</v>
      </c>
      <c r="B779" s="4" t="str">
        <f>C779 &amp; " -&gt; " &amp; D779</f>
        <v>principal-process-steward -&gt; IssueOccurrences.IssueSolution</v>
      </c>
      <c r="C779" s="3" t="s">
        <v>9772</v>
      </c>
      <c r="D779" s="3" t="s">
        <v>3868</v>
      </c>
      <c r="E779" s="3" t="b">
        <v>1</v>
      </c>
      <c r="F779" s="3" t="b">
        <v>0</v>
      </c>
      <c r="G779" s="3" t="s">
        <v>10003</v>
      </c>
      <c r="H779" s="4" t="str">
        <f>_xlfn.IFNA(IF(((INDEX(RulebookFields!C2:C1898, MATCH(D779,RulebookFields!A2:A1898, 0))="")=TRUE),  "",  INDEX(RulebookFields!C2:C1898, MATCH(D779,RulebookFields!A2:A1898, 0))), "")</f>
        <v>IssueOccurrences</v>
      </c>
      <c r="I779" s="4" t="str">
        <f>_xlfn.IFNA(IF(((INDEX(RulebookFields!D2:D1898, MATCH(D779,RulebookFields!A2:A1898, 0))="")=TRUE),  "",  INDEX(RulebookFields!D2:D1898, MATCH(D779,RulebookFields!A2:A1898, 0))), "")</f>
        <v>IssueSolution</v>
      </c>
      <c r="J779" s="4" t="b">
        <f>_xlfn.IFNA(IF(((INDEX(RulebookFields!I2:I1898, MATCH(D779,RulebookFields!A2:A1898, 0))="")=TRUE),  "",  INDEX(RulebookFields!I2:I1898, MATCH(D779,RulebookFields!A2:A1898, 0))), "")</f>
        <v>0</v>
      </c>
      <c r="K779" s="4" t="b">
        <f>AND(((F779)=TRUE), ((J779)=TRUE))</f>
        <v>0</v>
      </c>
      <c r="L779" s="4" t="b">
        <f>AND(((G779 &lt;&gt; "plain")=TRUE), ((G779 &lt;&gt; "")=TRUE))</f>
        <v>0</v>
      </c>
      <c r="M779" s="4" t="str">
        <f>IF(((E779)=TRUE),  C779 &amp; "|" &amp; H779,  "")</f>
        <v>principal-process-steward|IssueOccurrences</v>
      </c>
      <c r="N779" s="3" t="s">
        <v>10004</v>
      </c>
    </row>
    <row r="780">
      <c r="A780" s="3" t="s">
        <v>10782</v>
      </c>
      <c r="B780" s="4" t="str">
        <f>C780 &amp; " -&gt; " &amp; D780</f>
        <v>principal-process-steward -&gt; IssueOccurrences.Status</v>
      </c>
      <c r="C780" s="3" t="s">
        <v>9772</v>
      </c>
      <c r="D780" s="3" t="s">
        <v>3869</v>
      </c>
      <c r="E780" s="3" t="b">
        <v>1</v>
      </c>
      <c r="F780" s="3" t="b">
        <v>0</v>
      </c>
      <c r="G780" s="3" t="s">
        <v>10003</v>
      </c>
      <c r="H780" s="4" t="str">
        <f>_xlfn.IFNA(IF(((INDEX(RulebookFields!C2:C1898, MATCH(D780,RulebookFields!A2:A1898, 0))="")=TRUE),  "",  INDEX(RulebookFields!C2:C1898, MATCH(D780,RulebookFields!A2:A1898, 0))), "")</f>
        <v>IssueOccurrences</v>
      </c>
      <c r="I780" s="4" t="str">
        <f>_xlfn.IFNA(IF(((INDEX(RulebookFields!D2:D1898, MATCH(D780,RulebookFields!A2:A1898, 0))="")=TRUE),  "",  INDEX(RulebookFields!D2:D1898, MATCH(D780,RulebookFields!A2:A1898, 0))), "")</f>
        <v>Status</v>
      </c>
      <c r="J780" s="4" t="b">
        <f>_xlfn.IFNA(IF(((INDEX(RulebookFields!I2:I1898, MATCH(D780,RulebookFields!A2:A1898, 0))="")=TRUE),  "",  INDEX(RulebookFields!I2:I1898, MATCH(D780,RulebookFields!A2:A1898, 0))), "")</f>
        <v>0</v>
      </c>
      <c r="K780" s="4" t="b">
        <f>AND(((F780)=TRUE), ((J780)=TRUE))</f>
        <v>0</v>
      </c>
      <c r="L780" s="4" t="b">
        <f>AND(((G780 &lt;&gt; "plain")=TRUE), ((G780 &lt;&gt; "")=TRUE))</f>
        <v>0</v>
      </c>
      <c r="M780" s="4" t="str">
        <f>IF(((E780)=TRUE),  C780 &amp; "|" &amp; H780,  "")</f>
        <v>principal-process-steward|IssueOccurrences</v>
      </c>
      <c r="N780" s="3" t="s">
        <v>10004</v>
      </c>
    </row>
    <row r="781">
      <c r="A781" s="3" t="s">
        <v>10783</v>
      </c>
      <c r="B781" s="4" t="str">
        <f>C781 &amp; " -&gt; " &amp; D781</f>
        <v>principal-process-steward -&gt; IssueOccurrences.IsUnresolved</v>
      </c>
      <c r="C781" s="3" t="s">
        <v>9772</v>
      </c>
      <c r="D781" s="3" t="s">
        <v>3870</v>
      </c>
      <c r="E781" s="3" t="b">
        <v>1</v>
      </c>
      <c r="F781" s="3" t="b">
        <v>0</v>
      </c>
      <c r="G781" s="3" t="s">
        <v>10003</v>
      </c>
      <c r="H781" s="4" t="str">
        <f>_xlfn.IFNA(IF(((INDEX(RulebookFields!C2:C1898, MATCH(D781,RulebookFields!A2:A1898, 0))="")=TRUE),  "",  INDEX(RulebookFields!C2:C1898, MATCH(D781,RulebookFields!A2:A1898, 0))), "")</f>
        <v>IssueOccurrences</v>
      </c>
      <c r="I781" s="4" t="str">
        <f>_xlfn.IFNA(IF(((INDEX(RulebookFields!D2:D1898, MATCH(D781,RulebookFields!A2:A1898, 0))="")=TRUE),  "",  INDEX(RulebookFields!D2:D1898, MATCH(D781,RulebookFields!A2:A1898, 0))), "")</f>
        <v>IsUnresolved</v>
      </c>
      <c r="J781" s="4" t="b">
        <f>_xlfn.IFNA(IF(((INDEX(RulebookFields!I2:I1898, MATCH(D781,RulebookFields!A2:A1898, 0))="")=TRUE),  "",  INDEX(RulebookFields!I2:I1898, MATCH(D781,RulebookFields!A2:A1898, 0))), "")</f>
        <v>1</v>
      </c>
      <c r="K781" s="4" t="b">
        <f>AND(((F781)=TRUE), ((J781)=TRUE))</f>
        <v>0</v>
      </c>
      <c r="L781" s="4" t="b">
        <f>AND(((G781 &lt;&gt; "plain")=TRUE), ((G781 &lt;&gt; "")=TRUE))</f>
        <v>0</v>
      </c>
      <c r="M781" s="4" t="str">
        <f>IF(((E781)=TRUE),  C781 &amp; "|" &amp; H781,  "")</f>
        <v>principal-process-steward|IssueOccurrences</v>
      </c>
      <c r="N781" s="3" t="s">
        <v>10004</v>
      </c>
    </row>
    <row r="782">
      <c r="A782" s="3" t="s">
        <v>10784</v>
      </c>
      <c r="B782" s="4" t="str">
        <f>C782 &amp; " -&gt; " &amp; D782</f>
        <v>principal-process-steward -&gt; IssueOccurrences.StepExecutionWhenUnresolved</v>
      </c>
      <c r="C782" s="3" t="s">
        <v>9772</v>
      </c>
      <c r="D782" s="3" t="s">
        <v>3872</v>
      </c>
      <c r="E782" s="3" t="b">
        <v>1</v>
      </c>
      <c r="F782" s="3" t="b">
        <v>0</v>
      </c>
      <c r="G782" s="3" t="s">
        <v>10003</v>
      </c>
      <c r="H782" s="4" t="str">
        <f>_xlfn.IFNA(IF(((INDEX(RulebookFields!C2:C1898, MATCH(D782,RulebookFields!A2:A1898, 0))="")=TRUE),  "",  INDEX(RulebookFields!C2:C1898, MATCH(D782,RulebookFields!A2:A1898, 0))), "")</f>
        <v>IssueOccurrences</v>
      </c>
      <c r="I782" s="4" t="str">
        <f>_xlfn.IFNA(IF(((INDEX(RulebookFields!D2:D1898, MATCH(D782,RulebookFields!A2:A1898, 0))="")=TRUE),  "",  INDEX(RulebookFields!D2:D1898, MATCH(D782,RulebookFields!A2:A1898, 0))), "")</f>
        <v>StepExecutionWhenUnresolved</v>
      </c>
      <c r="J782" s="4" t="b">
        <f>_xlfn.IFNA(IF(((INDEX(RulebookFields!I2:I1898, MATCH(D782,RulebookFields!A2:A1898, 0))="")=TRUE),  "",  INDEX(RulebookFields!I2:I1898, MATCH(D782,RulebookFields!A2:A1898, 0))), "")</f>
        <v>1</v>
      </c>
      <c r="K782" s="4" t="b">
        <f>AND(((F782)=TRUE), ((J782)=TRUE))</f>
        <v>0</v>
      </c>
      <c r="L782" s="4" t="b">
        <f>AND(((G782 &lt;&gt; "plain")=TRUE), ((G782 &lt;&gt; "")=TRUE))</f>
        <v>0</v>
      </c>
      <c r="M782" s="4" t="str">
        <f>IF(((E782)=TRUE),  C782 &amp; "|" &amp; H782,  "")</f>
        <v>principal-process-steward|IssueOccurrences</v>
      </c>
      <c r="N782" s="3" t="s">
        <v>10004</v>
      </c>
    </row>
    <row r="783">
      <c r="A783" s="3" t="s">
        <v>10785</v>
      </c>
      <c r="B783" s="4" t="str">
        <f>C783 &amp; " -&gt; " &amp; D783</f>
        <v>principal-process-steward -&gt; IssueOccurrences.SemanticTypeIri</v>
      </c>
      <c r="C783" s="3" t="s">
        <v>9772</v>
      </c>
      <c r="D783" s="3" t="s">
        <v>3874</v>
      </c>
      <c r="E783" s="3" t="b">
        <v>1</v>
      </c>
      <c r="F783" s="3" t="b">
        <v>0</v>
      </c>
      <c r="G783" s="3" t="s">
        <v>10003</v>
      </c>
      <c r="H783" s="4" t="str">
        <f>_xlfn.IFNA(IF(((INDEX(RulebookFields!C2:C1898, MATCH(D783,RulebookFields!A2:A1898, 0))="")=TRUE),  "",  INDEX(RulebookFields!C2:C1898, MATCH(D783,RulebookFields!A2:A1898, 0))), "")</f>
        <v>IssueOccurrences</v>
      </c>
      <c r="I783" s="4" t="str">
        <f>_xlfn.IFNA(IF(((INDEX(RulebookFields!D2:D1898, MATCH(D783,RulebookFields!A2:A1898, 0))="")=TRUE),  "",  INDEX(RulebookFields!D2:D1898, MATCH(D783,RulebookFields!A2:A1898, 0))), "")</f>
        <v>SemanticTypeIri</v>
      </c>
      <c r="J783" s="4" t="b">
        <f>_xlfn.IFNA(IF(((INDEX(RulebookFields!I2:I1898, MATCH(D783,RulebookFields!A2:A1898, 0))="")=TRUE),  "",  INDEX(RulebookFields!I2:I1898, MATCH(D783,RulebookFields!A2:A1898, 0))), "")</f>
        <v>0</v>
      </c>
      <c r="K783" s="4" t="b">
        <f>AND(((F783)=TRUE), ((J783)=TRUE))</f>
        <v>0</v>
      </c>
      <c r="L783" s="4" t="b">
        <f>AND(((G783 &lt;&gt; "plain")=TRUE), ((G783 &lt;&gt; "")=TRUE))</f>
        <v>0</v>
      </c>
      <c r="M783" s="4" t="str">
        <f>IF(((E783)=TRUE),  C783 &amp; "|" &amp; H783,  "")</f>
        <v>principal-process-steward|IssueOccurrences</v>
      </c>
      <c r="N783" s="3" t="s">
        <v>10004</v>
      </c>
    </row>
    <row r="784">
      <c r="A784" s="3" t="s">
        <v>10786</v>
      </c>
      <c r="B784" s="4" t="str">
        <f>C784 &amp; " -&gt; " &amp; D784</f>
        <v>principal-process-steward -&gt; KnowledgeFragments.KnowledgeFragmentId</v>
      </c>
      <c r="C784" s="3" t="s">
        <v>9772</v>
      </c>
      <c r="D784" s="3" t="s">
        <v>3225</v>
      </c>
      <c r="E784" s="3" t="b">
        <v>1</v>
      </c>
      <c r="F784" s="3" t="b">
        <v>0</v>
      </c>
      <c r="G784" s="3" t="s">
        <v>10003</v>
      </c>
      <c r="H784" s="4" t="str">
        <f>_xlfn.IFNA(IF(((INDEX(RulebookFields!C2:C1898, MATCH(D784,RulebookFields!A2:A1898, 0))="")=TRUE),  "",  INDEX(RulebookFields!C2:C1898, MATCH(D784,RulebookFields!A2:A1898, 0))), "")</f>
        <v>KnowledgeFragments</v>
      </c>
      <c r="I784" s="4" t="str">
        <f>_xlfn.IFNA(IF(((INDEX(RulebookFields!D2:D1898, MATCH(D784,RulebookFields!A2:A1898, 0))="")=TRUE),  "",  INDEX(RulebookFields!D2:D1898, MATCH(D784,RulebookFields!A2:A1898, 0))), "")</f>
        <v>KnowledgeFragmentId</v>
      </c>
      <c r="J784" s="4" t="b">
        <f>_xlfn.IFNA(IF(((INDEX(RulebookFields!I2:I1898, MATCH(D784,RulebookFields!A2:A1898, 0))="")=TRUE),  "",  INDEX(RulebookFields!I2:I1898, MATCH(D784,RulebookFields!A2:A1898, 0))), "")</f>
        <v>0</v>
      </c>
      <c r="K784" s="4" t="b">
        <f>AND(((F784)=TRUE), ((J784)=TRUE))</f>
        <v>0</v>
      </c>
      <c r="L784" s="4" t="b">
        <f>AND(((G784 &lt;&gt; "plain")=TRUE), ((G784 &lt;&gt; "")=TRUE))</f>
        <v>0</v>
      </c>
      <c r="M784" s="4" t="str">
        <f>IF(((E784)=TRUE),  C784 &amp; "|" &amp; H784,  "")</f>
        <v>principal-process-steward|KnowledgeFragments</v>
      </c>
      <c r="N784" s="3" t="s">
        <v>10004</v>
      </c>
    </row>
    <row r="785">
      <c r="A785" s="3" t="s">
        <v>10787</v>
      </c>
      <c r="B785" s="4" t="str">
        <f>C785 &amp; " -&gt; " &amp; D785</f>
        <v>principal-process-steward -&gt; KnowledgeFragments.Name</v>
      </c>
      <c r="C785" s="3" t="s">
        <v>9772</v>
      </c>
      <c r="D785" s="3" t="s">
        <v>3226</v>
      </c>
      <c r="E785" s="3" t="b">
        <v>1</v>
      </c>
      <c r="F785" s="3" t="b">
        <v>0</v>
      </c>
      <c r="G785" s="3" t="s">
        <v>10003</v>
      </c>
      <c r="H785" s="4" t="str">
        <f>_xlfn.IFNA(IF(((INDEX(RulebookFields!C2:C1898, MATCH(D785,RulebookFields!A2:A1898, 0))="")=TRUE),  "",  INDEX(RulebookFields!C2:C1898, MATCH(D785,RulebookFields!A2:A1898, 0))), "")</f>
        <v>KnowledgeFragments</v>
      </c>
      <c r="I785" s="4" t="str">
        <f>_xlfn.IFNA(IF(((INDEX(RulebookFields!D2:D1898, MATCH(D785,RulebookFields!A2:A1898, 0))="")=TRUE),  "",  INDEX(RulebookFields!D2:D1898, MATCH(D785,RulebookFields!A2:A1898, 0))), "")</f>
        <v>Name</v>
      </c>
      <c r="J785" s="4" t="b">
        <f>_xlfn.IFNA(IF(((INDEX(RulebookFields!I2:I1898, MATCH(D785,RulebookFields!A2:A1898, 0))="")=TRUE),  "",  INDEX(RulebookFields!I2:I1898, MATCH(D785,RulebookFields!A2:A1898, 0))), "")</f>
        <v>1</v>
      </c>
      <c r="K785" s="4" t="b">
        <f>AND(((F785)=TRUE), ((J785)=TRUE))</f>
        <v>0</v>
      </c>
      <c r="L785" s="4" t="b">
        <f>AND(((G785 &lt;&gt; "plain")=TRUE), ((G785 &lt;&gt; "")=TRUE))</f>
        <v>0</v>
      </c>
      <c r="M785" s="4" t="str">
        <f>IF(((E785)=TRUE),  C785 &amp; "|" &amp; H785,  "")</f>
        <v>principal-process-steward|KnowledgeFragments</v>
      </c>
      <c r="N785" s="3" t="s">
        <v>10004</v>
      </c>
    </row>
    <row r="786">
      <c r="A786" s="3" t="s">
        <v>10788</v>
      </c>
      <c r="B786" s="4" t="str">
        <f>C786 &amp; " -&gt; " &amp; D786</f>
        <v>principal-process-steward -&gt; KnowledgeFragments.ProcedureVersion</v>
      </c>
      <c r="C786" s="3" t="s">
        <v>9772</v>
      </c>
      <c r="D786" s="3" t="s">
        <v>3228</v>
      </c>
      <c r="E786" s="3" t="b">
        <v>1</v>
      </c>
      <c r="F786" s="3" t="b">
        <v>0</v>
      </c>
      <c r="G786" s="3" t="s">
        <v>10003</v>
      </c>
      <c r="H786" s="4" t="str">
        <f>_xlfn.IFNA(IF(((INDEX(RulebookFields!C2:C1898, MATCH(D786,RulebookFields!A2:A1898, 0))="")=TRUE),  "",  INDEX(RulebookFields!C2:C1898, MATCH(D786,RulebookFields!A2:A1898, 0))), "")</f>
        <v>KnowledgeFragments</v>
      </c>
      <c r="I786" s="4" t="str">
        <f>_xlfn.IFNA(IF(((INDEX(RulebookFields!D2:D1898, MATCH(D786,RulebookFields!A2:A1898, 0))="")=TRUE),  "",  INDEX(RulebookFields!D2:D1898, MATCH(D786,RulebookFields!A2:A1898, 0))), "")</f>
        <v>ProcedureVersion</v>
      </c>
      <c r="J786" s="4" t="b">
        <f>_xlfn.IFNA(IF(((INDEX(RulebookFields!I2:I1898, MATCH(D786,RulebookFields!A2:A1898, 0))="")=TRUE),  "",  INDEX(RulebookFields!I2:I1898, MATCH(D786,RulebookFields!A2:A1898, 0))), "")</f>
        <v>0</v>
      </c>
      <c r="K786" s="4" t="b">
        <f>AND(((F786)=TRUE), ((J786)=TRUE))</f>
        <v>0</v>
      </c>
      <c r="L786" s="4" t="b">
        <f>AND(((G786 &lt;&gt; "plain")=TRUE), ((G786 &lt;&gt; "")=TRUE))</f>
        <v>0</v>
      </c>
      <c r="M786" s="4" t="str">
        <f>IF(((E786)=TRUE),  C786 &amp; "|" &amp; H786,  "")</f>
        <v>principal-process-steward|KnowledgeFragments</v>
      </c>
      <c r="N786" s="3" t="s">
        <v>10004</v>
      </c>
    </row>
    <row r="787">
      <c r="A787" s="3" t="s">
        <v>10789</v>
      </c>
      <c r="B787" s="4" t="str">
        <f>C787 &amp; " -&gt; " &amp; D787</f>
        <v>principal-process-steward -&gt; KnowledgeFragments.Step</v>
      </c>
      <c r="C787" s="3" t="s">
        <v>9772</v>
      </c>
      <c r="D787" s="3" t="s">
        <v>3229</v>
      </c>
      <c r="E787" s="3" t="b">
        <v>1</v>
      </c>
      <c r="F787" s="3" t="b">
        <v>0</v>
      </c>
      <c r="G787" s="3" t="s">
        <v>10003</v>
      </c>
      <c r="H787" s="4" t="str">
        <f>_xlfn.IFNA(IF(((INDEX(RulebookFields!C2:C1898, MATCH(D787,RulebookFields!A2:A1898, 0))="")=TRUE),  "",  INDEX(RulebookFields!C2:C1898, MATCH(D787,RulebookFields!A2:A1898, 0))), "")</f>
        <v>KnowledgeFragments</v>
      </c>
      <c r="I787" s="4" t="str">
        <f>_xlfn.IFNA(IF(((INDEX(RulebookFields!D2:D1898, MATCH(D787,RulebookFields!A2:A1898, 0))="")=TRUE),  "",  INDEX(RulebookFields!D2:D1898, MATCH(D787,RulebookFields!A2:A1898, 0))), "")</f>
        <v>Step</v>
      </c>
      <c r="J787" s="4" t="b">
        <f>_xlfn.IFNA(IF(((INDEX(RulebookFields!I2:I1898, MATCH(D787,RulebookFields!A2:A1898, 0))="")=TRUE),  "",  INDEX(RulebookFields!I2:I1898, MATCH(D787,RulebookFields!A2:A1898, 0))), "")</f>
        <v>0</v>
      </c>
      <c r="K787" s="4" t="b">
        <f>AND(((F787)=TRUE), ((J787)=TRUE))</f>
        <v>0</v>
      </c>
      <c r="L787" s="4" t="b">
        <f>AND(((G787 &lt;&gt; "plain")=TRUE), ((G787 &lt;&gt; "")=TRUE))</f>
        <v>0</v>
      </c>
      <c r="M787" s="4" t="str">
        <f>IF(((E787)=TRUE),  C787 &amp; "|" &amp; H787,  "")</f>
        <v>principal-process-steward|KnowledgeFragments</v>
      </c>
      <c r="N787" s="3" t="s">
        <v>10004</v>
      </c>
    </row>
    <row r="788">
      <c r="A788" s="3" t="s">
        <v>10790</v>
      </c>
      <c r="B788" s="4" t="str">
        <f>C788 &amp; " -&gt; " &amp; D788</f>
        <v>principal-process-steward -&gt; KnowledgeFragments.KnowledgeForm</v>
      </c>
      <c r="C788" s="3" t="s">
        <v>9772</v>
      </c>
      <c r="D788" s="3" t="s">
        <v>3230</v>
      </c>
      <c r="E788" s="3" t="b">
        <v>1</v>
      </c>
      <c r="F788" s="3" t="b">
        <v>0</v>
      </c>
      <c r="G788" s="3" t="s">
        <v>10003</v>
      </c>
      <c r="H788" s="4" t="str">
        <f>_xlfn.IFNA(IF(((INDEX(RulebookFields!C2:C1898, MATCH(D788,RulebookFields!A2:A1898, 0))="")=TRUE),  "",  INDEX(RulebookFields!C2:C1898, MATCH(D788,RulebookFields!A2:A1898, 0))), "")</f>
        <v>KnowledgeFragments</v>
      </c>
      <c r="I788" s="4" t="str">
        <f>_xlfn.IFNA(IF(((INDEX(RulebookFields!D2:D1898, MATCH(D788,RulebookFields!A2:A1898, 0))="")=TRUE),  "",  INDEX(RulebookFields!D2:D1898, MATCH(D788,RulebookFields!A2:A1898, 0))), "")</f>
        <v>KnowledgeForm</v>
      </c>
      <c r="J788" s="4" t="b">
        <f>_xlfn.IFNA(IF(((INDEX(RulebookFields!I2:I1898, MATCH(D788,RulebookFields!A2:A1898, 0))="")=TRUE),  "",  INDEX(RulebookFields!I2:I1898, MATCH(D788,RulebookFields!A2:A1898, 0))), "")</f>
        <v>0</v>
      </c>
      <c r="K788" s="4" t="b">
        <f>AND(((F788)=TRUE), ((J788)=TRUE))</f>
        <v>0</v>
      </c>
      <c r="L788" s="4" t="b">
        <f>AND(((G788 &lt;&gt; "plain")=TRUE), ((G788 &lt;&gt; "")=TRUE))</f>
        <v>0</v>
      </c>
      <c r="M788" s="4" t="str">
        <f>IF(((E788)=TRUE),  C788 &amp; "|" &amp; H788,  "")</f>
        <v>principal-process-steward|KnowledgeFragments</v>
      </c>
      <c r="N788" s="3" t="s">
        <v>10004</v>
      </c>
    </row>
    <row r="789">
      <c r="A789" s="3" t="s">
        <v>10791</v>
      </c>
      <c r="B789" s="4" t="str">
        <f>C789 &amp; " -&gt; " &amp; D789</f>
        <v>principal-process-steward -&gt; KnowledgeFragments.Statement</v>
      </c>
      <c r="C789" s="3" t="s">
        <v>9772</v>
      </c>
      <c r="D789" s="3" t="s">
        <v>3231</v>
      </c>
      <c r="E789" s="3" t="b">
        <v>1</v>
      </c>
      <c r="F789" s="3" t="b">
        <v>0</v>
      </c>
      <c r="G789" s="3" t="s">
        <v>10003</v>
      </c>
      <c r="H789" s="4" t="str">
        <f>_xlfn.IFNA(IF(((INDEX(RulebookFields!C2:C1898, MATCH(D789,RulebookFields!A2:A1898, 0))="")=TRUE),  "",  INDEX(RulebookFields!C2:C1898, MATCH(D789,RulebookFields!A2:A1898, 0))), "")</f>
        <v>KnowledgeFragments</v>
      </c>
      <c r="I789" s="4" t="str">
        <f>_xlfn.IFNA(IF(((INDEX(RulebookFields!D2:D1898, MATCH(D789,RulebookFields!A2:A1898, 0))="")=TRUE),  "",  INDEX(RulebookFields!D2:D1898, MATCH(D789,RulebookFields!A2:A1898, 0))), "")</f>
        <v>Statement</v>
      </c>
      <c r="J789" s="4" t="b">
        <f>_xlfn.IFNA(IF(((INDEX(RulebookFields!I2:I1898, MATCH(D789,RulebookFields!A2:A1898, 0))="")=TRUE),  "",  INDEX(RulebookFields!I2:I1898, MATCH(D789,RulebookFields!A2:A1898, 0))), "")</f>
        <v>0</v>
      </c>
      <c r="K789" s="4" t="b">
        <f>AND(((F789)=TRUE), ((J789)=TRUE))</f>
        <v>0</v>
      </c>
      <c r="L789" s="4" t="b">
        <f>AND(((G789 &lt;&gt; "plain")=TRUE), ((G789 &lt;&gt; "")=TRUE))</f>
        <v>0</v>
      </c>
      <c r="M789" s="4" t="str">
        <f>IF(((E789)=TRUE),  C789 &amp; "|" &amp; H789,  "")</f>
        <v>principal-process-steward|KnowledgeFragments</v>
      </c>
      <c r="N789" s="3" t="s">
        <v>10004</v>
      </c>
    </row>
    <row r="790">
      <c r="A790" s="3" t="s">
        <v>10792</v>
      </c>
      <c r="B790" s="4" t="str">
        <f>C790 &amp; " -&gt; " &amp; D790</f>
        <v>principal-process-steward -&gt; KnowledgeFragments.ElicitationSession</v>
      </c>
      <c r="C790" s="3" t="s">
        <v>9772</v>
      </c>
      <c r="D790" s="3" t="s">
        <v>3232</v>
      </c>
      <c r="E790" s="3" t="b">
        <v>1</v>
      </c>
      <c r="F790" s="3" t="b">
        <v>0</v>
      </c>
      <c r="G790" s="3" t="s">
        <v>10003</v>
      </c>
      <c r="H790" s="4" t="str">
        <f>_xlfn.IFNA(IF(((INDEX(RulebookFields!C2:C1898, MATCH(D790,RulebookFields!A2:A1898, 0))="")=TRUE),  "",  INDEX(RulebookFields!C2:C1898, MATCH(D790,RulebookFields!A2:A1898, 0))), "")</f>
        <v>KnowledgeFragments</v>
      </c>
      <c r="I790" s="4" t="str">
        <f>_xlfn.IFNA(IF(((INDEX(RulebookFields!D2:D1898, MATCH(D790,RulebookFields!A2:A1898, 0))="")=TRUE),  "",  INDEX(RulebookFields!D2:D1898, MATCH(D790,RulebookFields!A2:A1898, 0))), "")</f>
        <v>ElicitationSession</v>
      </c>
      <c r="J790" s="4" t="b">
        <f>_xlfn.IFNA(IF(((INDEX(RulebookFields!I2:I1898, MATCH(D790,RulebookFields!A2:A1898, 0))="")=TRUE),  "",  INDEX(RulebookFields!I2:I1898, MATCH(D790,RulebookFields!A2:A1898, 0))), "")</f>
        <v>0</v>
      </c>
      <c r="K790" s="4" t="b">
        <f>AND(((F790)=TRUE), ((J790)=TRUE))</f>
        <v>0</v>
      </c>
      <c r="L790" s="4" t="b">
        <f>AND(((G790 &lt;&gt; "plain")=TRUE), ((G790 &lt;&gt; "")=TRUE))</f>
        <v>0</v>
      </c>
      <c r="M790" s="4" t="str">
        <f>IF(((E790)=TRUE),  C790 &amp; "|" &amp; H790,  "")</f>
        <v>principal-process-steward|KnowledgeFragments</v>
      </c>
      <c r="N790" s="3" t="s">
        <v>10004</v>
      </c>
    </row>
    <row r="791">
      <c r="A791" s="3" t="s">
        <v>10793</v>
      </c>
      <c r="B791" s="4" t="str">
        <f>C791 &amp; " -&gt; " &amp; D791</f>
        <v>principal-process-steward -&gt; KnowledgeFragments.SourceAgent</v>
      </c>
      <c r="C791" s="3" t="s">
        <v>9772</v>
      </c>
      <c r="D791" s="3" t="s">
        <v>3233</v>
      </c>
      <c r="E791" s="3" t="b">
        <v>1</v>
      </c>
      <c r="F791" s="3" t="b">
        <v>0</v>
      </c>
      <c r="G791" s="3" t="s">
        <v>10003</v>
      </c>
      <c r="H791" s="4" t="str">
        <f>_xlfn.IFNA(IF(((INDEX(RulebookFields!C2:C1898, MATCH(D791,RulebookFields!A2:A1898, 0))="")=TRUE),  "",  INDEX(RulebookFields!C2:C1898, MATCH(D791,RulebookFields!A2:A1898, 0))), "")</f>
        <v>KnowledgeFragments</v>
      </c>
      <c r="I791" s="4" t="str">
        <f>_xlfn.IFNA(IF(((INDEX(RulebookFields!D2:D1898, MATCH(D791,RulebookFields!A2:A1898, 0))="")=TRUE),  "",  INDEX(RulebookFields!D2:D1898, MATCH(D791,RulebookFields!A2:A1898, 0))), "")</f>
        <v>SourceAgent</v>
      </c>
      <c r="J791" s="4" t="b">
        <f>_xlfn.IFNA(IF(((INDEX(RulebookFields!I2:I1898, MATCH(D791,RulebookFields!A2:A1898, 0))="")=TRUE),  "",  INDEX(RulebookFields!I2:I1898, MATCH(D791,RulebookFields!A2:A1898, 0))), "")</f>
        <v>0</v>
      </c>
      <c r="K791" s="4" t="b">
        <f>AND(((F791)=TRUE), ((J791)=TRUE))</f>
        <v>0</v>
      </c>
      <c r="L791" s="4" t="b">
        <f>AND(((G791 &lt;&gt; "plain")=TRUE), ((G791 &lt;&gt; "")=TRUE))</f>
        <v>0</v>
      </c>
      <c r="M791" s="4" t="str">
        <f>IF(((E791)=TRUE),  C791 &amp; "|" &amp; H791,  "")</f>
        <v>principal-process-steward|KnowledgeFragments</v>
      </c>
      <c r="N791" s="3" t="s">
        <v>10004</v>
      </c>
    </row>
    <row r="792">
      <c r="A792" s="3" t="s">
        <v>10794</v>
      </c>
      <c r="B792" s="4" t="str">
        <f>C792 &amp; " -&gt; " &amp; D792</f>
        <v>principal-process-steward -&gt; KnowledgeFragments.Confidence</v>
      </c>
      <c r="C792" s="3" t="s">
        <v>9772</v>
      </c>
      <c r="D792" s="3" t="s">
        <v>3234</v>
      </c>
      <c r="E792" s="3" t="b">
        <v>1</v>
      </c>
      <c r="F792" s="3" t="b">
        <v>0</v>
      </c>
      <c r="G792" s="3" t="s">
        <v>10003</v>
      </c>
      <c r="H792" s="4" t="str">
        <f>_xlfn.IFNA(IF(((INDEX(RulebookFields!C2:C1898, MATCH(D792,RulebookFields!A2:A1898, 0))="")=TRUE),  "",  INDEX(RulebookFields!C2:C1898, MATCH(D792,RulebookFields!A2:A1898, 0))), "")</f>
        <v>KnowledgeFragments</v>
      </c>
      <c r="I792" s="4" t="str">
        <f>_xlfn.IFNA(IF(((INDEX(RulebookFields!D2:D1898, MATCH(D792,RulebookFields!A2:A1898, 0))="")=TRUE),  "",  INDEX(RulebookFields!D2:D1898, MATCH(D792,RulebookFields!A2:A1898, 0))), "")</f>
        <v>Confidence</v>
      </c>
      <c r="J792" s="4" t="b">
        <f>_xlfn.IFNA(IF(((INDEX(RulebookFields!I2:I1898, MATCH(D792,RulebookFields!A2:A1898, 0))="")=TRUE),  "",  INDEX(RulebookFields!I2:I1898, MATCH(D792,RulebookFields!A2:A1898, 0))), "")</f>
        <v>0</v>
      </c>
      <c r="K792" s="4" t="b">
        <f>AND(((F792)=TRUE), ((J792)=TRUE))</f>
        <v>0</v>
      </c>
      <c r="L792" s="4" t="b">
        <f>AND(((G792 &lt;&gt; "plain")=TRUE), ((G792 &lt;&gt; "")=TRUE))</f>
        <v>0</v>
      </c>
      <c r="M792" s="4" t="str">
        <f>IF(((E792)=TRUE),  C792 &amp; "|" &amp; H792,  "")</f>
        <v>principal-process-steward|KnowledgeFragments</v>
      </c>
      <c r="N792" s="3" t="s">
        <v>10004</v>
      </c>
    </row>
    <row r="793">
      <c r="A793" s="3" t="s">
        <v>10795</v>
      </c>
      <c r="B793" s="4" t="str">
        <f>C793 &amp; " -&gt; " &amp; D793</f>
        <v>principal-process-steward -&gt; KnowledgeFragments.ValidFrom</v>
      </c>
      <c r="C793" s="3" t="s">
        <v>9772</v>
      </c>
      <c r="D793" s="3" t="s">
        <v>3235</v>
      </c>
      <c r="E793" s="3" t="b">
        <v>1</v>
      </c>
      <c r="F793" s="3" t="b">
        <v>0</v>
      </c>
      <c r="G793" s="3" t="s">
        <v>10003</v>
      </c>
      <c r="H793" s="4" t="str">
        <f>_xlfn.IFNA(IF(((INDEX(RulebookFields!C2:C1898, MATCH(D793,RulebookFields!A2:A1898, 0))="")=TRUE),  "",  INDEX(RulebookFields!C2:C1898, MATCH(D793,RulebookFields!A2:A1898, 0))), "")</f>
        <v>KnowledgeFragments</v>
      </c>
      <c r="I793" s="4" t="str">
        <f>_xlfn.IFNA(IF(((INDEX(RulebookFields!D2:D1898, MATCH(D793,RulebookFields!A2:A1898, 0))="")=TRUE),  "",  INDEX(RulebookFields!D2:D1898, MATCH(D793,RulebookFields!A2:A1898, 0))), "")</f>
        <v>ValidFrom</v>
      </c>
      <c r="J793" s="4" t="b">
        <f>_xlfn.IFNA(IF(((INDEX(RulebookFields!I2:I1898, MATCH(D793,RulebookFields!A2:A1898, 0))="")=TRUE),  "",  INDEX(RulebookFields!I2:I1898, MATCH(D793,RulebookFields!A2:A1898, 0))), "")</f>
        <v>0</v>
      </c>
      <c r="K793" s="4" t="b">
        <f>AND(((F793)=TRUE), ((J793)=TRUE))</f>
        <v>0</v>
      </c>
      <c r="L793" s="4" t="b">
        <f>AND(((G793 &lt;&gt; "plain")=TRUE), ((G793 &lt;&gt; "")=TRUE))</f>
        <v>0</v>
      </c>
      <c r="M793" s="4" t="str">
        <f>IF(((E793)=TRUE),  C793 &amp; "|" &amp; H793,  "")</f>
        <v>principal-process-steward|KnowledgeFragments</v>
      </c>
      <c r="N793" s="3" t="s">
        <v>10004</v>
      </c>
    </row>
    <row r="794">
      <c r="A794" s="3" t="s">
        <v>10796</v>
      </c>
      <c r="B794" s="4" t="str">
        <f>C794 &amp; " -&gt; " &amp; D794</f>
        <v>principal-process-steward -&gt; KnowledgeFragments.ValidTo</v>
      </c>
      <c r="C794" s="3" t="s">
        <v>9772</v>
      </c>
      <c r="D794" s="3" t="s">
        <v>3236</v>
      </c>
      <c r="E794" s="3" t="b">
        <v>1</v>
      </c>
      <c r="F794" s="3" t="b">
        <v>0</v>
      </c>
      <c r="G794" s="3" t="s">
        <v>10003</v>
      </c>
      <c r="H794" s="4" t="str">
        <f>_xlfn.IFNA(IF(((INDEX(RulebookFields!C2:C1898, MATCH(D794,RulebookFields!A2:A1898, 0))="")=TRUE),  "",  INDEX(RulebookFields!C2:C1898, MATCH(D794,RulebookFields!A2:A1898, 0))), "")</f>
        <v>KnowledgeFragments</v>
      </c>
      <c r="I794" s="4" t="str">
        <f>_xlfn.IFNA(IF(((INDEX(RulebookFields!D2:D1898, MATCH(D794,RulebookFields!A2:A1898, 0))="")=TRUE),  "",  INDEX(RulebookFields!D2:D1898, MATCH(D794,RulebookFields!A2:A1898, 0))), "")</f>
        <v>ValidTo</v>
      </c>
      <c r="J794" s="4" t="b">
        <f>_xlfn.IFNA(IF(((INDEX(RulebookFields!I2:I1898, MATCH(D794,RulebookFields!A2:A1898, 0))="")=TRUE),  "",  INDEX(RulebookFields!I2:I1898, MATCH(D794,RulebookFields!A2:A1898, 0))), "")</f>
        <v>0</v>
      </c>
      <c r="K794" s="4" t="b">
        <f>AND(((F794)=TRUE), ((J794)=TRUE))</f>
        <v>0</v>
      </c>
      <c r="L794" s="4" t="b">
        <f>AND(((G794 &lt;&gt; "plain")=TRUE), ((G794 &lt;&gt; "")=TRUE))</f>
        <v>0</v>
      </c>
      <c r="M794" s="4" t="str">
        <f>IF(((E794)=TRUE),  C794 &amp; "|" &amp; H794,  "")</f>
        <v>principal-process-steward|KnowledgeFragments</v>
      </c>
      <c r="N794" s="3" t="s">
        <v>10004</v>
      </c>
    </row>
    <row r="795">
      <c r="A795" s="3" t="s">
        <v>10797</v>
      </c>
      <c r="B795" s="4" t="str">
        <f>C795 &amp; " -&gt; " &amp; D795</f>
        <v>principal-process-steward -&gt; KnowledgeFragments.Status</v>
      </c>
      <c r="C795" s="3" t="s">
        <v>9772</v>
      </c>
      <c r="D795" s="3" t="s">
        <v>3237</v>
      </c>
      <c r="E795" s="3" t="b">
        <v>1</v>
      </c>
      <c r="F795" s="3" t="b">
        <v>0</v>
      </c>
      <c r="G795" s="3" t="s">
        <v>10003</v>
      </c>
      <c r="H795" s="4" t="str">
        <f>_xlfn.IFNA(IF(((INDEX(RulebookFields!C2:C1898, MATCH(D795,RulebookFields!A2:A1898, 0))="")=TRUE),  "",  INDEX(RulebookFields!C2:C1898, MATCH(D795,RulebookFields!A2:A1898, 0))), "")</f>
        <v>KnowledgeFragments</v>
      </c>
      <c r="I795" s="4" t="str">
        <f>_xlfn.IFNA(IF(((INDEX(RulebookFields!D2:D1898, MATCH(D795,RulebookFields!A2:A1898, 0))="")=TRUE),  "",  INDEX(RulebookFields!D2:D1898, MATCH(D795,RulebookFields!A2:A1898, 0))), "")</f>
        <v>Status</v>
      </c>
      <c r="J795" s="4" t="b">
        <f>_xlfn.IFNA(IF(((INDEX(RulebookFields!I2:I1898, MATCH(D795,RulebookFields!A2:A1898, 0))="")=TRUE),  "",  INDEX(RulebookFields!I2:I1898, MATCH(D795,RulebookFields!A2:A1898, 0))), "")</f>
        <v>0</v>
      </c>
      <c r="K795" s="4" t="b">
        <f>AND(((F795)=TRUE), ((J795)=TRUE))</f>
        <v>0</v>
      </c>
      <c r="L795" s="4" t="b">
        <f>AND(((G795 &lt;&gt; "plain")=TRUE), ((G795 &lt;&gt; "")=TRUE))</f>
        <v>0</v>
      </c>
      <c r="M795" s="4" t="str">
        <f>IF(((E795)=TRUE),  C795 &amp; "|" &amp; H795,  "")</f>
        <v>principal-process-steward|KnowledgeFragments</v>
      </c>
      <c r="N795" s="3" t="s">
        <v>10004</v>
      </c>
    </row>
    <row r="796">
      <c r="A796" s="3" t="s">
        <v>10798</v>
      </c>
      <c r="B796" s="4" t="str">
        <f>C796 &amp; " -&gt; " &amp; D796</f>
        <v>principal-process-steward -&gt; KnowledgeFragments.OwnerRole</v>
      </c>
      <c r="C796" s="3" t="s">
        <v>9772</v>
      </c>
      <c r="D796" s="3" t="s">
        <v>3238</v>
      </c>
      <c r="E796" s="3" t="b">
        <v>1</v>
      </c>
      <c r="F796" s="3" t="b">
        <v>0</v>
      </c>
      <c r="G796" s="3" t="s">
        <v>10003</v>
      </c>
      <c r="H796" s="4" t="str">
        <f>_xlfn.IFNA(IF(((INDEX(RulebookFields!C2:C1898, MATCH(D796,RulebookFields!A2:A1898, 0))="")=TRUE),  "",  INDEX(RulebookFields!C2:C1898, MATCH(D796,RulebookFields!A2:A1898, 0))), "")</f>
        <v>KnowledgeFragments</v>
      </c>
      <c r="I796" s="4" t="str">
        <f>_xlfn.IFNA(IF(((INDEX(RulebookFields!D2:D1898, MATCH(D796,RulebookFields!A2:A1898, 0))="")=TRUE),  "",  INDEX(RulebookFields!D2:D1898, MATCH(D796,RulebookFields!A2:A1898, 0))), "")</f>
        <v>OwnerRole</v>
      </c>
      <c r="J796" s="4" t="b">
        <f>_xlfn.IFNA(IF(((INDEX(RulebookFields!I2:I1898, MATCH(D796,RulebookFields!A2:A1898, 0))="")=TRUE),  "",  INDEX(RulebookFields!I2:I1898, MATCH(D796,RulebookFields!A2:A1898, 0))), "")</f>
        <v>0</v>
      </c>
      <c r="K796" s="4" t="b">
        <f>AND(((F796)=TRUE), ((J796)=TRUE))</f>
        <v>0</v>
      </c>
      <c r="L796" s="4" t="b">
        <f>AND(((G796 &lt;&gt; "plain")=TRUE), ((G796 &lt;&gt; "")=TRUE))</f>
        <v>0</v>
      </c>
      <c r="M796" s="4" t="str">
        <f>IF(((E796)=TRUE),  C796 &amp; "|" &amp; H796,  "")</f>
        <v>principal-process-steward|KnowledgeFragments</v>
      </c>
      <c r="N796" s="3" t="s">
        <v>10004</v>
      </c>
    </row>
    <row r="797">
      <c r="A797" s="3" t="s">
        <v>10799</v>
      </c>
      <c r="B797" s="4" t="str">
        <f>C797 &amp; " -&gt; " &amp; D797</f>
        <v>principal-process-steward -&gt; KnowledgeFragments.EvaluationContext</v>
      </c>
      <c r="C797" s="3" t="s">
        <v>9772</v>
      </c>
      <c r="D797" s="3" t="s">
        <v>3239</v>
      </c>
      <c r="E797" s="3" t="b">
        <v>1</v>
      </c>
      <c r="F797" s="3" t="b">
        <v>0</v>
      </c>
      <c r="G797" s="3" t="s">
        <v>10003</v>
      </c>
      <c r="H797" s="4" t="str">
        <f>_xlfn.IFNA(IF(((INDEX(RulebookFields!C2:C1898, MATCH(D797,RulebookFields!A2:A1898, 0))="")=TRUE),  "",  INDEX(RulebookFields!C2:C1898, MATCH(D797,RulebookFields!A2:A1898, 0))), "")</f>
        <v>KnowledgeFragments</v>
      </c>
      <c r="I797" s="4" t="str">
        <f>_xlfn.IFNA(IF(((INDEX(RulebookFields!D2:D1898, MATCH(D797,RulebookFields!A2:A1898, 0))="")=TRUE),  "",  INDEX(RulebookFields!D2:D1898, MATCH(D797,RulebookFields!A2:A1898, 0))), "")</f>
        <v>EvaluationContext</v>
      </c>
      <c r="J797" s="4" t="b">
        <f>_xlfn.IFNA(IF(((INDEX(RulebookFields!I2:I1898, MATCH(D797,RulebookFields!A2:A1898, 0))="")=TRUE),  "",  INDEX(RulebookFields!I2:I1898, MATCH(D797,RulebookFields!A2:A1898, 0))), "")</f>
        <v>0</v>
      </c>
      <c r="K797" s="4" t="b">
        <f>AND(((F797)=TRUE), ((J797)=TRUE))</f>
        <v>0</v>
      </c>
      <c r="L797" s="4" t="b">
        <f>AND(((G797 &lt;&gt; "plain")=TRUE), ((G797 &lt;&gt; "")=TRUE))</f>
        <v>0</v>
      </c>
      <c r="M797" s="4" t="str">
        <f>IF(((E797)=TRUE),  C797 &amp; "|" &amp; H797,  "")</f>
        <v>principal-process-steward|KnowledgeFragments</v>
      </c>
      <c r="N797" s="3" t="s">
        <v>10004</v>
      </c>
    </row>
    <row r="798">
      <c r="A798" s="3" t="s">
        <v>10800</v>
      </c>
      <c r="B798" s="4" t="str">
        <f>C798 &amp; " -&gt; " &amp; D798</f>
        <v>principal-process-steward -&gt; KnowledgeFragments.AsOfInstant</v>
      </c>
      <c r="C798" s="3" t="s">
        <v>9772</v>
      </c>
      <c r="D798" s="3" t="s">
        <v>3240</v>
      </c>
      <c r="E798" s="3" t="b">
        <v>1</v>
      </c>
      <c r="F798" s="3" t="b">
        <v>0</v>
      </c>
      <c r="G798" s="3" t="s">
        <v>10003</v>
      </c>
      <c r="H798" s="4" t="str">
        <f>_xlfn.IFNA(IF(((INDEX(RulebookFields!C2:C1898, MATCH(D798,RulebookFields!A2:A1898, 0))="")=TRUE),  "",  INDEX(RulebookFields!C2:C1898, MATCH(D798,RulebookFields!A2:A1898, 0))), "")</f>
        <v>KnowledgeFragments</v>
      </c>
      <c r="I798" s="4" t="str">
        <f>_xlfn.IFNA(IF(((INDEX(RulebookFields!D2:D1898, MATCH(D798,RulebookFields!A2:A1898, 0))="")=TRUE),  "",  INDEX(RulebookFields!D2:D1898, MATCH(D798,RulebookFields!A2:A1898, 0))), "")</f>
        <v>AsOfInstant</v>
      </c>
      <c r="J798" s="4" t="b">
        <f>_xlfn.IFNA(IF(((INDEX(RulebookFields!I2:I1898, MATCH(D798,RulebookFields!A2:A1898, 0))="")=TRUE),  "",  INDEX(RulebookFields!I2:I1898, MATCH(D798,RulebookFields!A2:A1898, 0))), "")</f>
        <v>1</v>
      </c>
      <c r="K798" s="4" t="b">
        <f>AND(((F798)=TRUE), ((J798)=TRUE))</f>
        <v>0</v>
      </c>
      <c r="L798" s="4" t="b">
        <f>AND(((G798 &lt;&gt; "plain")=TRUE), ((G798 &lt;&gt; "")=TRUE))</f>
        <v>0</v>
      </c>
      <c r="M798" s="4" t="str">
        <f>IF(((E798)=TRUE),  C798 &amp; "|" &amp; H798,  "")</f>
        <v>principal-process-steward|KnowledgeFragments</v>
      </c>
      <c r="N798" s="3" t="s">
        <v>10004</v>
      </c>
    </row>
    <row r="799">
      <c r="A799" s="3" t="s">
        <v>10801</v>
      </c>
      <c r="B799" s="4" t="str">
        <f>C799 &amp; " -&gt; " &amp; D799</f>
        <v>principal-process-steward -&gt; KnowledgeFragments.IsCurrentlyValid</v>
      </c>
      <c r="C799" s="3" t="s">
        <v>9772</v>
      </c>
      <c r="D799" s="3" t="s">
        <v>3241</v>
      </c>
      <c r="E799" s="3" t="b">
        <v>1</v>
      </c>
      <c r="F799" s="3" t="b">
        <v>0</v>
      </c>
      <c r="G799" s="3" t="s">
        <v>10003</v>
      </c>
      <c r="H799" s="4" t="str">
        <f>_xlfn.IFNA(IF(((INDEX(RulebookFields!C2:C1898, MATCH(D799,RulebookFields!A2:A1898, 0))="")=TRUE),  "",  INDEX(RulebookFields!C2:C1898, MATCH(D799,RulebookFields!A2:A1898, 0))), "")</f>
        <v>KnowledgeFragments</v>
      </c>
      <c r="I799" s="4" t="str">
        <f>_xlfn.IFNA(IF(((INDEX(RulebookFields!D2:D1898, MATCH(D799,RulebookFields!A2:A1898, 0))="")=TRUE),  "",  INDEX(RulebookFields!D2:D1898, MATCH(D799,RulebookFields!A2:A1898, 0))), "")</f>
        <v>IsCurrentlyValid</v>
      </c>
      <c r="J799" s="4" t="b">
        <f>_xlfn.IFNA(IF(((INDEX(RulebookFields!I2:I1898, MATCH(D799,RulebookFields!A2:A1898, 0))="")=TRUE),  "",  INDEX(RulebookFields!I2:I1898, MATCH(D799,RulebookFields!A2:A1898, 0))), "")</f>
        <v>1</v>
      </c>
      <c r="K799" s="4" t="b">
        <f>AND(((F799)=TRUE), ((J799)=TRUE))</f>
        <v>0</v>
      </c>
      <c r="L799" s="4" t="b">
        <f>AND(((G799 &lt;&gt; "plain")=TRUE), ((G799 &lt;&gt; "")=TRUE))</f>
        <v>0</v>
      </c>
      <c r="M799" s="4" t="str">
        <f>IF(((E799)=TRUE),  C799 &amp; "|" &amp; H799,  "")</f>
        <v>principal-process-steward|KnowledgeFragments</v>
      </c>
      <c r="N799" s="3" t="s">
        <v>10004</v>
      </c>
    </row>
    <row r="800">
      <c r="A800" s="3" t="s">
        <v>10802</v>
      </c>
      <c r="B800" s="4" t="str">
        <f>C800 &amp; " -&gt; " &amp; D800</f>
        <v>principal-process-steward -&gt; KnowledgeFragments.SourceAgentIsStillEngaged</v>
      </c>
      <c r="C800" s="3" t="s">
        <v>9772</v>
      </c>
      <c r="D800" s="3" t="s">
        <v>3243</v>
      </c>
      <c r="E800" s="3" t="b">
        <v>1</v>
      </c>
      <c r="F800" s="3" t="b">
        <v>0</v>
      </c>
      <c r="G800" s="3" t="s">
        <v>10003</v>
      </c>
      <c r="H800" s="4" t="str">
        <f>_xlfn.IFNA(IF(((INDEX(RulebookFields!C2:C1898, MATCH(D800,RulebookFields!A2:A1898, 0))="")=TRUE),  "",  INDEX(RulebookFields!C2:C1898, MATCH(D800,RulebookFields!A2:A1898, 0))), "")</f>
        <v>KnowledgeFragments</v>
      </c>
      <c r="I800" s="4" t="str">
        <f>_xlfn.IFNA(IF(((INDEX(RulebookFields!D2:D1898, MATCH(D800,RulebookFields!A2:A1898, 0))="")=TRUE),  "",  INDEX(RulebookFields!D2:D1898, MATCH(D800,RulebookFields!A2:A1898, 0))), "")</f>
        <v>SourceAgentIsStillEngaged</v>
      </c>
      <c r="J800" s="4" t="b">
        <f>_xlfn.IFNA(IF(((INDEX(RulebookFields!I2:I1898, MATCH(D800,RulebookFields!A2:A1898, 0))="")=TRUE),  "",  INDEX(RulebookFields!I2:I1898, MATCH(D800,RulebookFields!A2:A1898, 0))), "")</f>
        <v>1</v>
      </c>
      <c r="K800" s="4" t="b">
        <f>AND(((F800)=TRUE), ((J800)=TRUE))</f>
        <v>0</v>
      </c>
      <c r="L800" s="4" t="b">
        <f>AND(((G800 &lt;&gt; "plain")=TRUE), ((G800 &lt;&gt; "")=TRUE))</f>
        <v>0</v>
      </c>
      <c r="M800" s="4" t="str">
        <f>IF(((E800)=TRUE),  C800 &amp; "|" &amp; H800,  "")</f>
        <v>principal-process-steward|KnowledgeFragments</v>
      </c>
      <c r="N800" s="3" t="s">
        <v>10004</v>
      </c>
    </row>
    <row r="801">
      <c r="A801" s="3" t="s">
        <v>10803</v>
      </c>
      <c r="B801" s="4" t="str">
        <f>C801 &amp; " -&gt; " &amp; D801</f>
        <v>principal-process-steward -&gt; KnowledgeFragments.SourceAgentKind</v>
      </c>
      <c r="C801" s="3" t="s">
        <v>9772</v>
      </c>
      <c r="D801" s="3" t="s">
        <v>3245</v>
      </c>
      <c r="E801" s="3" t="b">
        <v>1</v>
      </c>
      <c r="F801" s="3" t="b">
        <v>0</v>
      </c>
      <c r="G801" s="3" t="s">
        <v>10003</v>
      </c>
      <c r="H801" s="4" t="str">
        <f>_xlfn.IFNA(IF(((INDEX(RulebookFields!C2:C1898, MATCH(D801,RulebookFields!A2:A1898, 0))="")=TRUE),  "",  INDEX(RulebookFields!C2:C1898, MATCH(D801,RulebookFields!A2:A1898, 0))), "")</f>
        <v>KnowledgeFragments</v>
      </c>
      <c r="I801" s="4" t="str">
        <f>_xlfn.IFNA(IF(((INDEX(RulebookFields!D2:D1898, MATCH(D801,RulebookFields!A2:A1898, 0))="")=TRUE),  "",  INDEX(RulebookFields!D2:D1898, MATCH(D801,RulebookFields!A2:A1898, 0))), "")</f>
        <v>SourceAgentKind</v>
      </c>
      <c r="J801" s="4" t="b">
        <f>_xlfn.IFNA(IF(((INDEX(RulebookFields!I2:I1898, MATCH(D801,RulebookFields!A2:A1898, 0))="")=TRUE),  "",  INDEX(RulebookFields!I2:I1898, MATCH(D801,RulebookFields!A2:A1898, 0))), "")</f>
        <v>1</v>
      </c>
      <c r="K801" s="4" t="b">
        <f>AND(((F801)=TRUE), ((J801)=TRUE))</f>
        <v>0</v>
      </c>
      <c r="L801" s="4" t="b">
        <f>AND(((G801 &lt;&gt; "plain")=TRUE), ((G801 &lt;&gt; "")=TRUE))</f>
        <v>0</v>
      </c>
      <c r="M801" s="4" t="str">
        <f>IF(((E801)=TRUE),  C801 &amp; "|" &amp; H801,  "")</f>
        <v>principal-process-steward|KnowledgeFragments</v>
      </c>
      <c r="N801" s="3" t="s">
        <v>10004</v>
      </c>
    </row>
    <row r="802">
      <c r="A802" s="3" t="s">
        <v>10804</v>
      </c>
      <c r="B802" s="4" t="str">
        <f>C802 &amp; " -&gt; " &amp; D802</f>
        <v>principal-process-steward -&gt; KnowledgeFragments.HasHumanSource</v>
      </c>
      <c r="C802" s="3" t="s">
        <v>9772</v>
      </c>
      <c r="D802" s="3" t="s">
        <v>3247</v>
      </c>
      <c r="E802" s="3" t="b">
        <v>1</v>
      </c>
      <c r="F802" s="3" t="b">
        <v>0</v>
      </c>
      <c r="G802" s="3" t="s">
        <v>10003</v>
      </c>
      <c r="H802" s="4" t="str">
        <f>_xlfn.IFNA(IF(((INDEX(RulebookFields!C2:C1898, MATCH(D802,RulebookFields!A2:A1898, 0))="")=TRUE),  "",  INDEX(RulebookFields!C2:C1898, MATCH(D802,RulebookFields!A2:A1898, 0))), "")</f>
        <v>KnowledgeFragments</v>
      </c>
      <c r="I802" s="4" t="str">
        <f>_xlfn.IFNA(IF(((INDEX(RulebookFields!D2:D1898, MATCH(D802,RulebookFields!A2:A1898, 0))="")=TRUE),  "",  INDEX(RulebookFields!D2:D1898, MATCH(D802,RulebookFields!A2:A1898, 0))), "")</f>
        <v>HasHumanSource</v>
      </c>
      <c r="J802" s="4" t="b">
        <f>_xlfn.IFNA(IF(((INDEX(RulebookFields!I2:I1898, MATCH(D802,RulebookFields!A2:A1898, 0))="")=TRUE),  "",  INDEX(RulebookFields!I2:I1898, MATCH(D802,RulebookFields!A2:A1898, 0))), "")</f>
        <v>1</v>
      </c>
      <c r="K802" s="4" t="b">
        <f>AND(((F802)=TRUE), ((J802)=TRUE))</f>
        <v>0</v>
      </c>
      <c r="L802" s="4" t="b">
        <f>AND(((G802 &lt;&gt; "plain")=TRUE), ((G802 &lt;&gt; "")=TRUE))</f>
        <v>0</v>
      </c>
      <c r="M802" s="4" t="str">
        <f>IF(((E802)=TRUE),  C802 &amp; "|" &amp; H802,  "")</f>
        <v>principal-process-steward|KnowledgeFragments</v>
      </c>
      <c r="N802" s="3" t="s">
        <v>10004</v>
      </c>
    </row>
    <row r="803">
      <c r="A803" s="3" t="s">
        <v>10805</v>
      </c>
      <c r="B803" s="4" t="str">
        <f>C803 &amp; " -&gt; " &amp; D803</f>
        <v>principal-process-steward -&gt; KnowledgeFragments.HasOrphanedProvenance</v>
      </c>
      <c r="C803" s="3" t="s">
        <v>9772</v>
      </c>
      <c r="D803" s="3" t="s">
        <v>3249</v>
      </c>
      <c r="E803" s="3" t="b">
        <v>1</v>
      </c>
      <c r="F803" s="3" t="b">
        <v>0</v>
      </c>
      <c r="G803" s="3" t="s">
        <v>10003</v>
      </c>
      <c r="H803" s="4" t="str">
        <f>_xlfn.IFNA(IF(((INDEX(RulebookFields!C2:C1898, MATCH(D803,RulebookFields!A2:A1898, 0))="")=TRUE),  "",  INDEX(RulebookFields!C2:C1898, MATCH(D803,RulebookFields!A2:A1898, 0))), "")</f>
        <v>KnowledgeFragments</v>
      </c>
      <c r="I803" s="4" t="str">
        <f>_xlfn.IFNA(IF(((INDEX(RulebookFields!D2:D1898, MATCH(D803,RulebookFields!A2:A1898, 0))="")=TRUE),  "",  INDEX(RulebookFields!D2:D1898, MATCH(D803,RulebookFields!A2:A1898, 0))), "")</f>
        <v>HasOrphanedProvenance</v>
      </c>
      <c r="J803" s="4" t="b">
        <f>_xlfn.IFNA(IF(((INDEX(RulebookFields!I2:I1898, MATCH(D803,RulebookFields!A2:A1898, 0))="")=TRUE),  "",  INDEX(RulebookFields!I2:I1898, MATCH(D803,RulebookFields!A2:A1898, 0))), "")</f>
        <v>1</v>
      </c>
      <c r="K803" s="4" t="b">
        <f>AND(((F803)=TRUE), ((J803)=TRUE))</f>
        <v>0</v>
      </c>
      <c r="L803" s="4" t="b">
        <f>AND(((G803 &lt;&gt; "plain")=TRUE), ((G803 &lt;&gt; "")=TRUE))</f>
        <v>0</v>
      </c>
      <c r="M803" s="4" t="str">
        <f>IF(((E803)=TRUE),  C803 &amp; "|" &amp; H803,  "")</f>
        <v>principal-process-steward|KnowledgeFragments</v>
      </c>
      <c r="N803" s="3" t="s">
        <v>10004</v>
      </c>
    </row>
    <row r="804">
      <c r="A804" s="3" t="s">
        <v>10806</v>
      </c>
      <c r="B804" s="4" t="str">
        <f>C804 &amp; " -&gt; " &amp; D804</f>
        <v>principal-process-steward -&gt; KnowledgeFragments.IsUndefendableTacitClaim</v>
      </c>
      <c r="C804" s="3" t="s">
        <v>9772</v>
      </c>
      <c r="D804" s="3" t="s">
        <v>3251</v>
      </c>
      <c r="E804" s="3" t="b">
        <v>1</v>
      </c>
      <c r="F804" s="3" t="b">
        <v>0</v>
      </c>
      <c r="G804" s="3" t="s">
        <v>10003</v>
      </c>
      <c r="H804" s="4" t="str">
        <f>_xlfn.IFNA(IF(((INDEX(RulebookFields!C2:C1898, MATCH(D804,RulebookFields!A2:A1898, 0))="")=TRUE),  "",  INDEX(RulebookFields!C2:C1898, MATCH(D804,RulebookFields!A2:A1898, 0))), "")</f>
        <v>KnowledgeFragments</v>
      </c>
      <c r="I804" s="4" t="str">
        <f>_xlfn.IFNA(IF(((INDEX(RulebookFields!D2:D1898, MATCH(D804,RulebookFields!A2:A1898, 0))="")=TRUE),  "",  INDEX(RulebookFields!D2:D1898, MATCH(D804,RulebookFields!A2:A1898, 0))), "")</f>
        <v>IsUndefendableTacitClaim</v>
      </c>
      <c r="J804" s="4" t="b">
        <f>_xlfn.IFNA(IF(((INDEX(RulebookFields!I2:I1898, MATCH(D804,RulebookFields!A2:A1898, 0))="")=TRUE),  "",  INDEX(RulebookFields!I2:I1898, MATCH(D804,RulebookFields!A2:A1898, 0))), "")</f>
        <v>1</v>
      </c>
      <c r="K804" s="4" t="b">
        <f>AND(((F804)=TRUE), ((J804)=TRUE))</f>
        <v>0</v>
      </c>
      <c r="L804" s="4" t="b">
        <f>AND(((G804 &lt;&gt; "plain")=TRUE), ((G804 &lt;&gt; "")=TRUE))</f>
        <v>0</v>
      </c>
      <c r="M804" s="4" t="str">
        <f>IF(((E804)=TRUE),  C804 &amp; "|" &amp; H804,  "")</f>
        <v>principal-process-steward|KnowledgeFragments</v>
      </c>
      <c r="N804" s="3" t="s">
        <v>10004</v>
      </c>
    </row>
    <row r="805">
      <c r="A805" s="3" t="s">
        <v>10807</v>
      </c>
      <c r="B805" s="4" t="str">
        <f>C805 &amp; " -&gt; " &amp; D805</f>
        <v>principal-process-steward -&gt; KnowledgeFragments.IsApproved</v>
      </c>
      <c r="C805" s="3" t="s">
        <v>9772</v>
      </c>
      <c r="D805" s="3" t="s">
        <v>3253</v>
      </c>
      <c r="E805" s="3" t="b">
        <v>1</v>
      </c>
      <c r="F805" s="3" t="b">
        <v>0</v>
      </c>
      <c r="G805" s="3" t="s">
        <v>10003</v>
      </c>
      <c r="H805" s="4" t="str">
        <f>_xlfn.IFNA(IF(((INDEX(RulebookFields!C2:C1898, MATCH(D805,RulebookFields!A2:A1898, 0))="")=TRUE),  "",  INDEX(RulebookFields!C2:C1898, MATCH(D805,RulebookFields!A2:A1898, 0))), "")</f>
        <v>KnowledgeFragments</v>
      </c>
      <c r="I805" s="4" t="str">
        <f>_xlfn.IFNA(IF(((INDEX(RulebookFields!D2:D1898, MATCH(D805,RulebookFields!A2:A1898, 0))="")=TRUE),  "",  INDEX(RulebookFields!D2:D1898, MATCH(D805,RulebookFields!A2:A1898, 0))), "")</f>
        <v>IsApproved</v>
      </c>
      <c r="J805" s="4" t="b">
        <f>_xlfn.IFNA(IF(((INDEX(RulebookFields!I2:I1898, MATCH(D805,RulebookFields!A2:A1898, 0))="")=TRUE),  "",  INDEX(RulebookFields!I2:I1898, MATCH(D805,RulebookFields!A2:A1898, 0))), "")</f>
        <v>1</v>
      </c>
      <c r="K805" s="4" t="b">
        <f>AND(((F805)=TRUE), ((J805)=TRUE))</f>
        <v>0</v>
      </c>
      <c r="L805" s="4" t="b">
        <f>AND(((G805 &lt;&gt; "plain")=TRUE), ((G805 &lt;&gt; "")=TRUE))</f>
        <v>0</v>
      </c>
      <c r="M805" s="4" t="str">
        <f>IF(((E805)=TRUE),  C805 &amp; "|" &amp; H805,  "")</f>
        <v>principal-process-steward|KnowledgeFragments</v>
      </c>
      <c r="N805" s="3" t="s">
        <v>10004</v>
      </c>
    </row>
    <row r="806">
      <c r="A806" s="3" t="s">
        <v>10808</v>
      </c>
      <c r="B806" s="4" t="str">
        <f>C806 &amp; " -&gt; " &amp; D806</f>
        <v>principal-process-steward -&gt; KnowledgeFragments.IsWithinValidityWindow</v>
      </c>
      <c r="C806" s="3" t="s">
        <v>9772</v>
      </c>
      <c r="D806" s="3" t="s">
        <v>3255</v>
      </c>
      <c r="E806" s="3" t="b">
        <v>1</v>
      </c>
      <c r="F806" s="3" t="b">
        <v>0</v>
      </c>
      <c r="G806" s="3" t="s">
        <v>10003</v>
      </c>
      <c r="H806" s="4" t="str">
        <f>_xlfn.IFNA(IF(((INDEX(RulebookFields!C2:C1898, MATCH(D806,RulebookFields!A2:A1898, 0))="")=TRUE),  "",  INDEX(RulebookFields!C2:C1898, MATCH(D806,RulebookFields!A2:A1898, 0))), "")</f>
        <v>KnowledgeFragments</v>
      </c>
      <c r="I806" s="4" t="str">
        <f>_xlfn.IFNA(IF(((INDEX(RulebookFields!D2:D1898, MATCH(D806,RulebookFields!A2:A1898, 0))="")=TRUE),  "",  INDEX(RulebookFields!D2:D1898, MATCH(D806,RulebookFields!A2:A1898, 0))), "")</f>
        <v>IsWithinValidityWindow</v>
      </c>
      <c r="J806" s="4" t="b">
        <f>_xlfn.IFNA(IF(((INDEX(RulebookFields!I2:I1898, MATCH(D806,RulebookFields!A2:A1898, 0))="")=TRUE),  "",  INDEX(RulebookFields!I2:I1898, MATCH(D806,RulebookFields!A2:A1898, 0))), "")</f>
        <v>1</v>
      </c>
      <c r="K806" s="4" t="b">
        <f>AND(((F806)=TRUE), ((J806)=TRUE))</f>
        <v>0</v>
      </c>
      <c r="L806" s="4" t="b">
        <f>AND(((G806 &lt;&gt; "plain")=TRUE), ((G806 &lt;&gt; "")=TRUE))</f>
        <v>0</v>
      </c>
      <c r="M806" s="4" t="str">
        <f>IF(((E806)=TRUE),  C806 &amp; "|" &amp; H806,  "")</f>
        <v>principal-process-steward|KnowledgeFragments</v>
      </c>
      <c r="N806" s="3" t="s">
        <v>10004</v>
      </c>
    </row>
    <row r="807">
      <c r="A807" s="3" t="s">
        <v>10809</v>
      </c>
      <c r="B807" s="4" t="str">
        <f>C807 &amp; " -&gt; " &amp; D807</f>
        <v>principal-process-steward -&gt; KnowledgeFragments.IsReliedUpon</v>
      </c>
      <c r="C807" s="3" t="s">
        <v>9772</v>
      </c>
      <c r="D807" s="3" t="s">
        <v>3256</v>
      </c>
      <c r="E807" s="3" t="b">
        <v>1</v>
      </c>
      <c r="F807" s="3" t="b">
        <v>0</v>
      </c>
      <c r="G807" s="3" t="s">
        <v>10003</v>
      </c>
      <c r="H807" s="4" t="str">
        <f>_xlfn.IFNA(IF(((INDEX(RulebookFields!C2:C1898, MATCH(D807,RulebookFields!A2:A1898, 0))="")=TRUE),  "",  INDEX(RulebookFields!C2:C1898, MATCH(D807,RulebookFields!A2:A1898, 0))), "")</f>
        <v>KnowledgeFragments</v>
      </c>
      <c r="I807" s="4" t="str">
        <f>_xlfn.IFNA(IF(((INDEX(RulebookFields!D2:D1898, MATCH(D807,RulebookFields!A2:A1898, 0))="")=TRUE),  "",  INDEX(RulebookFields!D2:D1898, MATCH(D807,RulebookFields!A2:A1898, 0))), "")</f>
        <v>IsReliedUpon</v>
      </c>
      <c r="J807" s="4" t="b">
        <f>_xlfn.IFNA(IF(((INDEX(RulebookFields!I2:I1898, MATCH(D807,RulebookFields!A2:A1898, 0))="")=TRUE),  "",  INDEX(RulebookFields!I2:I1898, MATCH(D807,RulebookFields!A2:A1898, 0))), "")</f>
        <v>1</v>
      </c>
      <c r="K807" s="4" t="b">
        <f>AND(((F807)=TRUE), ((J807)=TRUE))</f>
        <v>0</v>
      </c>
      <c r="L807" s="4" t="b">
        <f>AND(((G807 &lt;&gt; "plain")=TRUE), ((G807 &lt;&gt; "")=TRUE))</f>
        <v>0</v>
      </c>
      <c r="M807" s="4" t="str">
        <f>IF(((E807)=TRUE),  C807 &amp; "|" &amp; H807,  "")</f>
        <v>principal-process-steward|KnowledgeFragments</v>
      </c>
      <c r="N807" s="3" t="s">
        <v>10004</v>
      </c>
    </row>
    <row r="808">
      <c r="A808" s="3" t="s">
        <v>10810</v>
      </c>
      <c r="B808" s="4" t="str">
        <f>C808 &amp; " -&gt; " &amp; D808</f>
        <v>principal-process-steward -&gt; KnowledgeFragments.StepProcedureVersionStatus</v>
      </c>
      <c r="C808" s="3" t="s">
        <v>9772</v>
      </c>
      <c r="D808" s="3" t="s">
        <v>3258</v>
      </c>
      <c r="E808" s="3" t="b">
        <v>1</v>
      </c>
      <c r="F808" s="3" t="b">
        <v>0</v>
      </c>
      <c r="G808" s="3" t="s">
        <v>10003</v>
      </c>
      <c r="H808" s="4" t="str">
        <f>_xlfn.IFNA(IF(((INDEX(RulebookFields!C2:C1898, MATCH(D808,RulebookFields!A2:A1898, 0))="")=TRUE),  "",  INDEX(RulebookFields!C2:C1898, MATCH(D808,RulebookFields!A2:A1898, 0))), "")</f>
        <v>KnowledgeFragments</v>
      </c>
      <c r="I808" s="4" t="str">
        <f>_xlfn.IFNA(IF(((INDEX(RulebookFields!D2:D1898, MATCH(D808,RulebookFields!A2:A1898, 0))="")=TRUE),  "",  INDEX(RulebookFields!D2:D1898, MATCH(D808,RulebookFields!A2:A1898, 0))), "")</f>
        <v>StepProcedureVersionStatus</v>
      </c>
      <c r="J808" s="4" t="b">
        <f>_xlfn.IFNA(IF(((INDEX(RulebookFields!I2:I1898, MATCH(D808,RulebookFields!A2:A1898, 0))="")=TRUE),  "",  INDEX(RulebookFields!I2:I1898, MATCH(D808,RulebookFields!A2:A1898, 0))), "")</f>
        <v>1</v>
      </c>
      <c r="K808" s="4" t="b">
        <f>AND(((F808)=TRUE), ((J808)=TRUE))</f>
        <v>0</v>
      </c>
      <c r="L808" s="4" t="b">
        <f>AND(((G808 &lt;&gt; "plain")=TRUE), ((G808 &lt;&gt; "")=TRUE))</f>
        <v>0</v>
      </c>
      <c r="M808" s="4" t="str">
        <f>IF(((E808)=TRUE),  C808 &amp; "|" &amp; H808,  "")</f>
        <v>principal-process-steward|KnowledgeFragments</v>
      </c>
      <c r="N808" s="3" t="s">
        <v>10004</v>
      </c>
    </row>
    <row r="809">
      <c r="A809" s="3" t="s">
        <v>10811</v>
      </c>
      <c r="B809" s="4" t="str">
        <f>C809 &amp; " -&gt; " &amp; D809</f>
        <v>principal-process-steward -&gt; KnowledgeFragments.IsAttachedToLiveVersion</v>
      </c>
      <c r="C809" s="3" t="s">
        <v>9772</v>
      </c>
      <c r="D809" s="3" t="s">
        <v>3260</v>
      </c>
      <c r="E809" s="3" t="b">
        <v>1</v>
      </c>
      <c r="F809" s="3" t="b">
        <v>0</v>
      </c>
      <c r="G809" s="3" t="s">
        <v>10003</v>
      </c>
      <c r="H809" s="4" t="str">
        <f>_xlfn.IFNA(IF(((INDEX(RulebookFields!C2:C1898, MATCH(D809,RulebookFields!A2:A1898, 0))="")=TRUE),  "",  INDEX(RulebookFields!C2:C1898, MATCH(D809,RulebookFields!A2:A1898, 0))), "")</f>
        <v>KnowledgeFragments</v>
      </c>
      <c r="I809" s="4" t="str">
        <f>_xlfn.IFNA(IF(((INDEX(RulebookFields!D2:D1898, MATCH(D809,RulebookFields!A2:A1898, 0))="")=TRUE),  "",  INDEX(RulebookFields!D2:D1898, MATCH(D809,RulebookFields!A2:A1898, 0))), "")</f>
        <v>IsAttachedToLiveVersion</v>
      </c>
      <c r="J809" s="4" t="b">
        <f>_xlfn.IFNA(IF(((INDEX(RulebookFields!I2:I1898, MATCH(D809,RulebookFields!A2:A1898, 0))="")=TRUE),  "",  INDEX(RulebookFields!I2:I1898, MATCH(D809,RulebookFields!A2:A1898, 0))), "")</f>
        <v>1</v>
      </c>
      <c r="K809" s="4" t="b">
        <f>AND(((F809)=TRUE), ((J809)=TRUE))</f>
        <v>0</v>
      </c>
      <c r="L809" s="4" t="b">
        <f>AND(((G809 &lt;&gt; "plain")=TRUE), ((G809 &lt;&gt; "")=TRUE))</f>
        <v>0</v>
      </c>
      <c r="M809" s="4" t="str">
        <f>IF(((E809)=TRUE),  C809 &amp; "|" &amp; H809,  "")</f>
        <v>principal-process-steward|KnowledgeFragments</v>
      </c>
      <c r="N809" s="3" t="s">
        <v>10004</v>
      </c>
    </row>
    <row r="810">
      <c r="A810" s="3" t="s">
        <v>10812</v>
      </c>
      <c r="B810" s="4" t="str">
        <f>C810 &amp; " -&gt; " &amp; D810</f>
        <v>principal-process-steward -&gt; KnowledgeFragments.IsUnapprovedButReliedOn</v>
      </c>
      <c r="C810" s="3" t="s">
        <v>9772</v>
      </c>
      <c r="D810" s="3" t="s">
        <v>3262</v>
      </c>
      <c r="E810" s="3" t="b">
        <v>1</v>
      </c>
      <c r="F810" s="3" t="b">
        <v>0</v>
      </c>
      <c r="G810" s="3" t="s">
        <v>10003</v>
      </c>
      <c r="H810" s="4" t="str">
        <f>_xlfn.IFNA(IF(((INDEX(RulebookFields!C2:C1898, MATCH(D810,RulebookFields!A2:A1898, 0))="")=TRUE),  "",  INDEX(RulebookFields!C2:C1898, MATCH(D810,RulebookFields!A2:A1898, 0))), "")</f>
        <v>KnowledgeFragments</v>
      </c>
      <c r="I810" s="4" t="str">
        <f>_xlfn.IFNA(IF(((INDEX(RulebookFields!D2:D1898, MATCH(D810,RulebookFields!A2:A1898, 0))="")=TRUE),  "",  INDEX(RulebookFields!D2:D1898, MATCH(D810,RulebookFields!A2:A1898, 0))), "")</f>
        <v>IsUnapprovedButReliedOn</v>
      </c>
      <c r="J810" s="4" t="b">
        <f>_xlfn.IFNA(IF(((INDEX(RulebookFields!I2:I1898, MATCH(D810,RulebookFields!A2:A1898, 0))="")=TRUE),  "",  INDEX(RulebookFields!I2:I1898, MATCH(D810,RulebookFields!A2:A1898, 0))), "")</f>
        <v>1</v>
      </c>
      <c r="K810" s="4" t="b">
        <f>AND(((F810)=TRUE), ((J810)=TRUE))</f>
        <v>0</v>
      </c>
      <c r="L810" s="4" t="b">
        <f>AND(((G810 &lt;&gt; "plain")=TRUE), ((G810 &lt;&gt; "")=TRUE))</f>
        <v>0</v>
      </c>
      <c r="M810" s="4" t="str">
        <f>IF(((E810)=TRUE),  C810 &amp; "|" &amp; H810,  "")</f>
        <v>principal-process-steward|KnowledgeFragments</v>
      </c>
      <c r="N810" s="3" t="s">
        <v>10004</v>
      </c>
    </row>
    <row r="811">
      <c r="A811" s="3" t="s">
        <v>10813</v>
      </c>
      <c r="B811" s="4" t="str">
        <f>C811 &amp; " -&gt; " &amp; D811</f>
        <v>principal-process-steward -&gt; KnowledgeFragments.EvidenceAgeDays</v>
      </c>
      <c r="C811" s="3" t="s">
        <v>9772</v>
      </c>
      <c r="D811" s="3" t="s">
        <v>3264</v>
      </c>
      <c r="E811" s="3" t="b">
        <v>1</v>
      </c>
      <c r="F811" s="3" t="b">
        <v>0</v>
      </c>
      <c r="G811" s="3" t="s">
        <v>10003</v>
      </c>
      <c r="H811" s="4" t="str">
        <f>_xlfn.IFNA(IF(((INDEX(RulebookFields!C2:C1898, MATCH(D811,RulebookFields!A2:A1898, 0))="")=TRUE),  "",  INDEX(RulebookFields!C2:C1898, MATCH(D811,RulebookFields!A2:A1898, 0))), "")</f>
        <v>KnowledgeFragments</v>
      </c>
      <c r="I811" s="4" t="str">
        <f>_xlfn.IFNA(IF(((INDEX(RulebookFields!D2:D1898, MATCH(D811,RulebookFields!A2:A1898, 0))="")=TRUE),  "",  INDEX(RulebookFields!D2:D1898, MATCH(D811,RulebookFields!A2:A1898, 0))), "")</f>
        <v>EvidenceAgeDays</v>
      </c>
      <c r="J811" s="4" t="b">
        <f>_xlfn.IFNA(IF(((INDEX(RulebookFields!I2:I1898, MATCH(D811,RulebookFields!A2:A1898, 0))="")=TRUE),  "",  INDEX(RulebookFields!I2:I1898, MATCH(D811,RulebookFields!A2:A1898, 0))), "")</f>
        <v>1</v>
      </c>
      <c r="K811" s="4" t="b">
        <f>AND(((F811)=TRUE), ((J811)=TRUE))</f>
        <v>0</v>
      </c>
      <c r="L811" s="4" t="b">
        <f>AND(((G811 &lt;&gt; "plain")=TRUE), ((G811 &lt;&gt; "")=TRUE))</f>
        <v>0</v>
      </c>
      <c r="M811" s="4" t="str">
        <f>IF(((E811)=TRUE),  C811 &amp; "|" &amp; H811,  "")</f>
        <v>principal-process-steward|KnowledgeFragments</v>
      </c>
      <c r="N811" s="3" t="s">
        <v>10004</v>
      </c>
    </row>
    <row r="812">
      <c r="A812" s="3" t="s">
        <v>10814</v>
      </c>
      <c r="B812" s="4" t="str">
        <f>C812 &amp; " -&gt; " &amp; D812</f>
        <v>principal-process-steward -&gt; KnowledgeFragments.HasRecordedElicitation</v>
      </c>
      <c r="C812" s="3" t="s">
        <v>9772</v>
      </c>
      <c r="D812" s="3" t="s">
        <v>3266</v>
      </c>
      <c r="E812" s="3" t="b">
        <v>1</v>
      </c>
      <c r="F812" s="3" t="b">
        <v>0</v>
      </c>
      <c r="G812" s="3" t="s">
        <v>10003</v>
      </c>
      <c r="H812" s="4" t="str">
        <f>_xlfn.IFNA(IF(((INDEX(RulebookFields!C2:C1898, MATCH(D812,RulebookFields!A2:A1898, 0))="")=TRUE),  "",  INDEX(RulebookFields!C2:C1898, MATCH(D812,RulebookFields!A2:A1898, 0))), "")</f>
        <v>KnowledgeFragments</v>
      </c>
      <c r="I812" s="4" t="str">
        <f>_xlfn.IFNA(IF(((INDEX(RulebookFields!D2:D1898, MATCH(D812,RulebookFields!A2:A1898, 0))="")=TRUE),  "",  INDEX(RulebookFields!D2:D1898, MATCH(D812,RulebookFields!A2:A1898, 0))), "")</f>
        <v>HasRecordedElicitation</v>
      </c>
      <c r="J812" s="4" t="b">
        <f>_xlfn.IFNA(IF(((INDEX(RulebookFields!I2:I1898, MATCH(D812,RulebookFields!A2:A1898, 0))="")=TRUE),  "",  INDEX(RulebookFields!I2:I1898, MATCH(D812,RulebookFields!A2:A1898, 0))), "")</f>
        <v>1</v>
      </c>
      <c r="K812" s="4" t="b">
        <f>AND(((F812)=TRUE), ((J812)=TRUE))</f>
        <v>0</v>
      </c>
      <c r="L812" s="4" t="b">
        <f>AND(((G812 &lt;&gt; "plain")=TRUE), ((G812 &lt;&gt; "")=TRUE))</f>
        <v>0</v>
      </c>
      <c r="M812" s="4" t="str">
        <f>IF(((E812)=TRUE),  C812 &amp; "|" &amp; H812,  "")</f>
        <v>principal-process-steward|KnowledgeFragments</v>
      </c>
      <c r="N812" s="3" t="s">
        <v>10004</v>
      </c>
    </row>
    <row r="813">
      <c r="A813" s="3" t="s">
        <v>10815</v>
      </c>
      <c r="B813" s="4" t="str">
        <f>C813 &amp; " -&gt; " &amp; D813</f>
        <v>principal-process-steward -&gt; KnowledgeFragments.IsFromSingleWitness</v>
      </c>
      <c r="C813" s="3" t="s">
        <v>9772</v>
      </c>
      <c r="D813" s="3" t="s">
        <v>3268</v>
      </c>
      <c r="E813" s="3" t="b">
        <v>1</v>
      </c>
      <c r="F813" s="3" t="b">
        <v>0</v>
      </c>
      <c r="G813" s="3" t="s">
        <v>10003</v>
      </c>
      <c r="H813" s="4" t="str">
        <f>_xlfn.IFNA(IF(((INDEX(RulebookFields!C2:C1898, MATCH(D813,RulebookFields!A2:A1898, 0))="")=TRUE),  "",  INDEX(RulebookFields!C2:C1898, MATCH(D813,RulebookFields!A2:A1898, 0))), "")</f>
        <v>KnowledgeFragments</v>
      </c>
      <c r="I813" s="4" t="str">
        <f>_xlfn.IFNA(IF(((INDEX(RulebookFields!D2:D1898, MATCH(D813,RulebookFields!A2:A1898, 0))="")=TRUE),  "",  INDEX(RulebookFields!D2:D1898, MATCH(D813,RulebookFields!A2:A1898, 0))), "")</f>
        <v>IsFromSingleWitness</v>
      </c>
      <c r="J813" s="4" t="b">
        <f>_xlfn.IFNA(IF(((INDEX(RulebookFields!I2:I1898, MATCH(D813,RulebookFields!A2:A1898, 0))="")=TRUE),  "",  INDEX(RulebookFields!I2:I1898, MATCH(D813,RulebookFields!A2:A1898, 0))), "")</f>
        <v>1</v>
      </c>
      <c r="K813" s="4" t="b">
        <f>AND(((F813)=TRUE), ((J813)=TRUE))</f>
        <v>0</v>
      </c>
      <c r="L813" s="4" t="b">
        <f>AND(((G813 &lt;&gt; "plain")=TRUE), ((G813 &lt;&gt; "")=TRUE))</f>
        <v>0</v>
      </c>
      <c r="M813" s="4" t="str">
        <f>IF(((E813)=TRUE),  C813 &amp; "|" &amp; H813,  "")</f>
        <v>principal-process-steward|KnowledgeFragments</v>
      </c>
      <c r="N813" s="3" t="s">
        <v>10004</v>
      </c>
    </row>
    <row r="814">
      <c r="A814" s="3" t="s">
        <v>10816</v>
      </c>
      <c r="B814" s="4" t="str">
        <f>C814 &amp; " -&gt; " &amp; D814</f>
        <v>principal-process-steward -&gt; KnowledgeFragments.EvidenceExpiryDays</v>
      </c>
      <c r="C814" s="3" t="s">
        <v>9772</v>
      </c>
      <c r="D814" s="3" t="s">
        <v>3270</v>
      </c>
      <c r="E814" s="3" t="b">
        <v>1</v>
      </c>
      <c r="F814" s="3" t="b">
        <v>0</v>
      </c>
      <c r="G814" s="3" t="s">
        <v>10003</v>
      </c>
      <c r="H814" s="4" t="str">
        <f>_xlfn.IFNA(IF(((INDEX(RulebookFields!C2:C1898, MATCH(D814,RulebookFields!A2:A1898, 0))="")=TRUE),  "",  INDEX(RulebookFields!C2:C1898, MATCH(D814,RulebookFields!A2:A1898, 0))), "")</f>
        <v>KnowledgeFragments</v>
      </c>
      <c r="I814" s="4" t="str">
        <f>_xlfn.IFNA(IF(((INDEX(RulebookFields!D2:D1898, MATCH(D814,RulebookFields!A2:A1898, 0))="")=TRUE),  "",  INDEX(RulebookFields!D2:D1898, MATCH(D814,RulebookFields!A2:A1898, 0))), "")</f>
        <v>EvidenceExpiryDays</v>
      </c>
      <c r="J814" s="4" t="b">
        <f>_xlfn.IFNA(IF(((INDEX(RulebookFields!I2:I1898, MATCH(D814,RulebookFields!A2:A1898, 0))="")=TRUE),  "",  INDEX(RulebookFields!I2:I1898, MATCH(D814,RulebookFields!A2:A1898, 0))), "")</f>
        <v>1</v>
      </c>
      <c r="K814" s="4" t="b">
        <f>AND(((F814)=TRUE), ((J814)=TRUE))</f>
        <v>0</v>
      </c>
      <c r="L814" s="4" t="b">
        <f>AND(((G814 &lt;&gt; "plain")=TRUE), ((G814 &lt;&gt; "")=TRUE))</f>
        <v>0</v>
      </c>
      <c r="M814" s="4" t="str">
        <f>IF(((E814)=TRUE),  C814 &amp; "|" &amp; H814,  "")</f>
        <v>principal-process-steward|KnowledgeFragments</v>
      </c>
      <c r="N814" s="3" t="s">
        <v>10004</v>
      </c>
    </row>
    <row r="815">
      <c r="A815" s="3" t="s">
        <v>10817</v>
      </c>
      <c r="B815" s="4" t="str">
        <f>C815 &amp; " -&gt; " &amp; D815</f>
        <v>principal-process-steward -&gt; KnowledgeFragments.EvidenceHasExpired</v>
      </c>
      <c r="C815" s="3" t="s">
        <v>9772</v>
      </c>
      <c r="D815" s="3" t="s">
        <v>3272</v>
      </c>
      <c r="E815" s="3" t="b">
        <v>1</v>
      </c>
      <c r="F815" s="3" t="b">
        <v>0</v>
      </c>
      <c r="G815" s="3" t="s">
        <v>10003</v>
      </c>
      <c r="H815" s="4" t="str">
        <f>_xlfn.IFNA(IF(((INDEX(RulebookFields!C2:C1898, MATCH(D815,RulebookFields!A2:A1898, 0))="")=TRUE),  "",  INDEX(RulebookFields!C2:C1898, MATCH(D815,RulebookFields!A2:A1898, 0))), "")</f>
        <v>KnowledgeFragments</v>
      </c>
      <c r="I815" s="4" t="str">
        <f>_xlfn.IFNA(IF(((INDEX(RulebookFields!D2:D1898, MATCH(D815,RulebookFields!A2:A1898, 0))="")=TRUE),  "",  INDEX(RulebookFields!D2:D1898, MATCH(D815,RulebookFields!A2:A1898, 0))), "")</f>
        <v>EvidenceHasExpired</v>
      </c>
      <c r="J815" s="4" t="b">
        <f>_xlfn.IFNA(IF(((INDEX(RulebookFields!I2:I1898, MATCH(D815,RulebookFields!A2:A1898, 0))="")=TRUE),  "",  INDEX(RulebookFields!I2:I1898, MATCH(D815,RulebookFields!A2:A1898, 0))), "")</f>
        <v>1</v>
      </c>
      <c r="K815" s="4" t="b">
        <f>AND(((F815)=TRUE), ((J815)=TRUE))</f>
        <v>0</v>
      </c>
      <c r="L815" s="4" t="b">
        <f>AND(((G815 &lt;&gt; "plain")=TRUE), ((G815 &lt;&gt; "")=TRUE))</f>
        <v>0</v>
      </c>
      <c r="M815" s="4" t="str">
        <f>IF(((E815)=TRUE),  C815 &amp; "|" &amp; H815,  "")</f>
        <v>principal-process-steward|KnowledgeFragments</v>
      </c>
      <c r="N815" s="3" t="s">
        <v>10004</v>
      </c>
    </row>
    <row r="816">
      <c r="A816" s="3" t="s">
        <v>10818</v>
      </c>
      <c r="B816" s="4" t="str">
        <f>C816 &amp; " -&gt; " &amp; D816</f>
        <v>principal-process-steward -&gt; KnowledgeFragments.OwnerAgent</v>
      </c>
      <c r="C816" s="3" t="s">
        <v>9772</v>
      </c>
      <c r="D816" s="3" t="s">
        <v>3274</v>
      </c>
      <c r="E816" s="3" t="b">
        <v>1</v>
      </c>
      <c r="F816" s="3" t="b">
        <v>0</v>
      </c>
      <c r="G816" s="3" t="s">
        <v>10003</v>
      </c>
      <c r="H816" s="4" t="str">
        <f>_xlfn.IFNA(IF(((INDEX(RulebookFields!C2:C1898, MATCH(D816,RulebookFields!A2:A1898, 0))="")=TRUE),  "",  INDEX(RulebookFields!C2:C1898, MATCH(D816,RulebookFields!A2:A1898, 0))), "")</f>
        <v>KnowledgeFragments</v>
      </c>
      <c r="I816" s="4" t="str">
        <f>_xlfn.IFNA(IF(((INDEX(RulebookFields!D2:D1898, MATCH(D816,RulebookFields!A2:A1898, 0))="")=TRUE),  "",  INDEX(RulebookFields!D2:D1898, MATCH(D816,RulebookFields!A2:A1898, 0))), "")</f>
        <v>OwnerAgent</v>
      </c>
      <c r="J816" s="4" t="b">
        <f>_xlfn.IFNA(IF(((INDEX(RulebookFields!I2:I1898, MATCH(D816,RulebookFields!A2:A1898, 0))="")=TRUE),  "",  INDEX(RulebookFields!I2:I1898, MATCH(D816,RulebookFields!A2:A1898, 0))), "")</f>
        <v>1</v>
      </c>
      <c r="K816" s="4" t="b">
        <f>AND(((F816)=TRUE), ((J816)=TRUE))</f>
        <v>0</v>
      </c>
      <c r="L816" s="4" t="b">
        <f>AND(((G816 &lt;&gt; "plain")=TRUE), ((G816 &lt;&gt; "")=TRUE))</f>
        <v>0</v>
      </c>
      <c r="M816" s="4" t="str">
        <f>IF(((E816)=TRUE),  C816 &amp; "|" &amp; H816,  "")</f>
        <v>principal-process-steward|KnowledgeFragments</v>
      </c>
      <c r="N816" s="3" t="s">
        <v>10004</v>
      </c>
    </row>
    <row r="817">
      <c r="A817" s="3" t="s">
        <v>10819</v>
      </c>
      <c r="B817" s="4" t="str">
        <f>C817 &amp; " -&gt; " &amp; D817</f>
        <v>principal-process-steward -&gt; KnowledgeFragments.IsAwaitingApproval</v>
      </c>
      <c r="C817" s="3" t="s">
        <v>9772</v>
      </c>
      <c r="D817" s="3" t="s">
        <v>3276</v>
      </c>
      <c r="E817" s="3" t="b">
        <v>1</v>
      </c>
      <c r="F817" s="3" t="b">
        <v>0</v>
      </c>
      <c r="G817" s="3" t="s">
        <v>10003</v>
      </c>
      <c r="H817" s="4" t="str">
        <f>_xlfn.IFNA(IF(((INDEX(RulebookFields!C2:C1898, MATCH(D817,RulebookFields!A2:A1898, 0))="")=TRUE),  "",  INDEX(RulebookFields!C2:C1898, MATCH(D817,RulebookFields!A2:A1898, 0))), "")</f>
        <v>KnowledgeFragments</v>
      </c>
      <c r="I817" s="4" t="str">
        <f>_xlfn.IFNA(IF(((INDEX(RulebookFields!D2:D1898, MATCH(D817,RulebookFields!A2:A1898, 0))="")=TRUE),  "",  INDEX(RulebookFields!D2:D1898, MATCH(D817,RulebookFields!A2:A1898, 0))), "")</f>
        <v>IsAwaitingApproval</v>
      </c>
      <c r="J817" s="4" t="b">
        <f>_xlfn.IFNA(IF(((INDEX(RulebookFields!I2:I1898, MATCH(D817,RulebookFields!A2:A1898, 0))="")=TRUE),  "",  INDEX(RulebookFields!I2:I1898, MATCH(D817,RulebookFields!A2:A1898, 0))), "")</f>
        <v>1</v>
      </c>
      <c r="K817" s="4" t="b">
        <f>AND(((F817)=TRUE), ((J817)=TRUE))</f>
        <v>0</v>
      </c>
      <c r="L817" s="4" t="b">
        <f>AND(((G817 &lt;&gt; "plain")=TRUE), ((G817 &lt;&gt; "")=TRUE))</f>
        <v>0</v>
      </c>
      <c r="M817" s="4" t="str">
        <f>IF(((E817)=TRUE),  C817 &amp; "|" &amp; H817,  "")</f>
        <v>principal-process-steward|KnowledgeFragments</v>
      </c>
      <c r="N817" s="3" t="s">
        <v>10004</v>
      </c>
    </row>
    <row r="818">
      <c r="A818" s="3" t="s">
        <v>10820</v>
      </c>
      <c r="B818" s="4" t="str">
        <f>C818 &amp; " -&gt; " &amp; D818</f>
        <v>principal-process-steward -&gt; KnowledgeFragments.OwnerIsMe</v>
      </c>
      <c r="C818" s="3" t="s">
        <v>9772</v>
      </c>
      <c r="D818" s="3" t="s">
        <v>3278</v>
      </c>
      <c r="E818" s="3" t="b">
        <v>1</v>
      </c>
      <c r="F818" s="3" t="b">
        <v>0</v>
      </c>
      <c r="G818" s="3" t="s">
        <v>10003</v>
      </c>
      <c r="H818" s="4" t="str">
        <f>_xlfn.IFNA(IF(((INDEX(RulebookFields!C2:C1898, MATCH(D818,RulebookFields!A2:A1898, 0))="")=TRUE),  "",  INDEX(RulebookFields!C2:C1898, MATCH(D818,RulebookFields!A2:A1898, 0))), "")</f>
        <v>KnowledgeFragments</v>
      </c>
      <c r="I818" s="4" t="str">
        <f>_xlfn.IFNA(IF(((INDEX(RulebookFields!D2:D1898, MATCH(D818,RulebookFields!A2:A1898, 0))="")=TRUE),  "",  INDEX(RulebookFields!D2:D1898, MATCH(D818,RulebookFields!A2:A1898, 0))), "")</f>
        <v>OwnerIsMe</v>
      </c>
      <c r="J818" s="4" t="b">
        <f>_xlfn.IFNA(IF(((INDEX(RulebookFields!I2:I1898, MATCH(D818,RulebookFields!A2:A1898, 0))="")=TRUE),  "",  INDEX(RulebookFields!I2:I1898, MATCH(D818,RulebookFields!A2:A1898, 0))), "")</f>
        <v>1</v>
      </c>
      <c r="K818" s="4" t="b">
        <f>AND(((F818)=TRUE), ((J818)=TRUE))</f>
        <v>0</v>
      </c>
      <c r="L818" s="4" t="b">
        <f>AND(((G818 &lt;&gt; "plain")=TRUE), ((G818 &lt;&gt; "")=TRUE))</f>
        <v>0</v>
      </c>
      <c r="M818" s="4" t="str">
        <f>IF(((E818)=TRUE),  C818 &amp; "|" &amp; H818,  "")</f>
        <v>principal-process-steward|KnowledgeFragments</v>
      </c>
      <c r="N818" s="3" t="s">
        <v>10004</v>
      </c>
    </row>
    <row r="819">
      <c r="A819" s="3" t="s">
        <v>10821</v>
      </c>
      <c r="B819" s="4" t="str">
        <f>C819 &amp; " -&gt; " &amp; D819</f>
        <v>principal-process-steward -&gt; KnowledgeFragments.IsMyUnfinishedApproval</v>
      </c>
      <c r="C819" s="3" t="s">
        <v>9772</v>
      </c>
      <c r="D819" s="3" t="s">
        <v>3280</v>
      </c>
      <c r="E819" s="3" t="b">
        <v>1</v>
      </c>
      <c r="F819" s="3" t="b">
        <v>0</v>
      </c>
      <c r="G819" s="3" t="s">
        <v>10003</v>
      </c>
      <c r="H819" s="4" t="str">
        <f>_xlfn.IFNA(IF(((INDEX(RulebookFields!C2:C1898, MATCH(D819,RulebookFields!A2:A1898, 0))="")=TRUE),  "",  INDEX(RulebookFields!C2:C1898, MATCH(D819,RulebookFields!A2:A1898, 0))), "")</f>
        <v>KnowledgeFragments</v>
      </c>
      <c r="I819" s="4" t="str">
        <f>_xlfn.IFNA(IF(((INDEX(RulebookFields!D2:D1898, MATCH(D819,RulebookFields!A2:A1898, 0))="")=TRUE),  "",  INDEX(RulebookFields!D2:D1898, MATCH(D819,RulebookFields!A2:A1898, 0))), "")</f>
        <v>IsMyUnfinishedApproval</v>
      </c>
      <c r="J819" s="4" t="b">
        <f>_xlfn.IFNA(IF(((INDEX(RulebookFields!I2:I1898, MATCH(D819,RulebookFields!A2:A1898, 0))="")=TRUE),  "",  INDEX(RulebookFields!I2:I1898, MATCH(D819,RulebookFields!A2:A1898, 0))), "")</f>
        <v>1</v>
      </c>
      <c r="K819" s="4" t="b">
        <f>AND(((F819)=TRUE), ((J819)=TRUE))</f>
        <v>0</v>
      </c>
      <c r="L819" s="4" t="b">
        <f>AND(((G819 &lt;&gt; "plain")=TRUE), ((G819 &lt;&gt; "")=TRUE))</f>
        <v>0</v>
      </c>
      <c r="M819" s="4" t="str">
        <f>IF(((E819)=TRUE),  C819 &amp; "|" &amp; H819,  "")</f>
        <v>principal-process-steward|KnowledgeFragments</v>
      </c>
      <c r="N819" s="3" t="s">
        <v>10004</v>
      </c>
    </row>
    <row r="820">
      <c r="A820" s="3" t="s">
        <v>10822</v>
      </c>
      <c r="B820" s="4" t="str">
        <f>C820 &amp; " -&gt; " &amp; D820</f>
        <v>principal-process-steward -&gt; KnowledgeFragments.IsInvokedByAnException</v>
      </c>
      <c r="C820" s="3" t="s">
        <v>9772</v>
      </c>
      <c r="D820" s="3" t="s">
        <v>3282</v>
      </c>
      <c r="E820" s="3" t="b">
        <v>1</v>
      </c>
      <c r="F820" s="3" t="b">
        <v>0</v>
      </c>
      <c r="G820" s="3" t="s">
        <v>10003</v>
      </c>
      <c r="H820" s="4" t="str">
        <f>_xlfn.IFNA(IF(((INDEX(RulebookFields!C2:C1898, MATCH(D820,RulebookFields!A2:A1898, 0))="")=TRUE),  "",  INDEX(RulebookFields!C2:C1898, MATCH(D820,RulebookFields!A2:A1898, 0))), "")</f>
        <v>KnowledgeFragments</v>
      </c>
      <c r="I820" s="4" t="str">
        <f>_xlfn.IFNA(IF(((INDEX(RulebookFields!D2:D1898, MATCH(D820,RulebookFields!A2:A1898, 0))="")=TRUE),  "",  INDEX(RulebookFields!D2:D1898, MATCH(D820,RulebookFields!A2:A1898, 0))), "")</f>
        <v>IsInvokedByAnException</v>
      </c>
      <c r="J820" s="4" t="b">
        <f>_xlfn.IFNA(IF(((INDEX(RulebookFields!I2:I1898, MATCH(D820,RulebookFields!A2:A1898, 0))="")=TRUE),  "",  INDEX(RulebookFields!I2:I1898, MATCH(D820,RulebookFields!A2:A1898, 0))), "")</f>
        <v>1</v>
      </c>
      <c r="K820" s="4" t="b">
        <f>AND(((F820)=TRUE), ((J820)=TRUE))</f>
        <v>0</v>
      </c>
      <c r="L820" s="4" t="b">
        <f>AND(((G820 &lt;&gt; "plain")=TRUE), ((G820 &lt;&gt; "")=TRUE))</f>
        <v>0</v>
      </c>
      <c r="M820" s="4" t="str">
        <f>IF(((E820)=TRUE),  C820 &amp; "|" &amp; H820,  "")</f>
        <v>principal-process-steward|KnowledgeFragments</v>
      </c>
      <c r="N820" s="3" t="s">
        <v>10004</v>
      </c>
    </row>
    <row r="821">
      <c r="A821" s="3" t="s">
        <v>10823</v>
      </c>
      <c r="B821" s="4" t="str">
        <f>C821 &amp; " -&gt; " &amp; D821</f>
        <v>principal-process-steward -&gt; KnowledgeFragments.HasOperationalReliance</v>
      </c>
      <c r="C821" s="3" t="s">
        <v>9772</v>
      </c>
      <c r="D821" s="3" t="s">
        <v>3284</v>
      </c>
      <c r="E821" s="3" t="b">
        <v>1</v>
      </c>
      <c r="F821" s="3" t="b">
        <v>0</v>
      </c>
      <c r="G821" s="3" t="s">
        <v>10003</v>
      </c>
      <c r="H821" s="4" t="str">
        <f>_xlfn.IFNA(IF(((INDEX(RulebookFields!C2:C1898, MATCH(D821,RulebookFields!A2:A1898, 0))="")=TRUE),  "",  INDEX(RulebookFields!C2:C1898, MATCH(D821,RulebookFields!A2:A1898, 0))), "")</f>
        <v>KnowledgeFragments</v>
      </c>
      <c r="I821" s="4" t="str">
        <f>_xlfn.IFNA(IF(((INDEX(RulebookFields!D2:D1898, MATCH(D821,RulebookFields!A2:A1898, 0))="")=TRUE),  "",  INDEX(RulebookFields!D2:D1898, MATCH(D821,RulebookFields!A2:A1898, 0))), "")</f>
        <v>HasOperationalReliance</v>
      </c>
      <c r="J821" s="4" t="b">
        <f>_xlfn.IFNA(IF(((INDEX(RulebookFields!I2:I1898, MATCH(D821,RulebookFields!A2:A1898, 0))="")=TRUE),  "",  INDEX(RulebookFields!I2:I1898, MATCH(D821,RulebookFields!A2:A1898, 0))), "")</f>
        <v>1</v>
      </c>
      <c r="K821" s="4" t="b">
        <f>AND(((F821)=TRUE), ((J821)=TRUE))</f>
        <v>0</v>
      </c>
      <c r="L821" s="4" t="b">
        <f>AND(((G821 &lt;&gt; "plain")=TRUE), ((G821 &lt;&gt; "")=TRUE))</f>
        <v>0</v>
      </c>
      <c r="M821" s="4" t="str">
        <f>IF(((E821)=TRUE),  C821 &amp; "|" &amp; H821,  "")</f>
        <v>principal-process-steward|KnowledgeFragments</v>
      </c>
      <c r="N821" s="3" t="s">
        <v>10004</v>
      </c>
    </row>
    <row r="822">
      <c r="A822" s="3" t="s">
        <v>10824</v>
      </c>
      <c r="B822" s="4" t="str">
        <f>C822 &amp; " -&gt; " &amp; D822</f>
        <v>principal-process-steward -&gt; KnowledgeFragments.IsUnapprovedAndOperationallyLive</v>
      </c>
      <c r="C822" s="3" t="s">
        <v>9772</v>
      </c>
      <c r="D822" s="3" t="s">
        <v>3286</v>
      </c>
      <c r="E822" s="3" t="b">
        <v>1</v>
      </c>
      <c r="F822" s="3" t="b">
        <v>0</v>
      </c>
      <c r="G822" s="3" t="s">
        <v>10003</v>
      </c>
      <c r="H822" s="4" t="str">
        <f>_xlfn.IFNA(IF(((INDEX(RulebookFields!C2:C1898, MATCH(D822,RulebookFields!A2:A1898, 0))="")=TRUE),  "",  INDEX(RulebookFields!C2:C1898, MATCH(D822,RulebookFields!A2:A1898, 0))), "")</f>
        <v>KnowledgeFragments</v>
      </c>
      <c r="I822" s="4" t="str">
        <f>_xlfn.IFNA(IF(((INDEX(RulebookFields!D2:D1898, MATCH(D822,RulebookFields!A2:A1898, 0))="")=TRUE),  "",  INDEX(RulebookFields!D2:D1898, MATCH(D822,RulebookFields!A2:A1898, 0))), "")</f>
        <v>IsUnapprovedAndOperationallyLive</v>
      </c>
      <c r="J822" s="4" t="b">
        <f>_xlfn.IFNA(IF(((INDEX(RulebookFields!I2:I1898, MATCH(D822,RulebookFields!A2:A1898, 0))="")=TRUE),  "",  INDEX(RulebookFields!I2:I1898, MATCH(D822,RulebookFields!A2:A1898, 0))), "")</f>
        <v>1</v>
      </c>
      <c r="K822" s="4" t="b">
        <f>AND(((F822)=TRUE), ((J822)=TRUE))</f>
        <v>0</v>
      </c>
      <c r="L822" s="4" t="b">
        <f>AND(((G822 &lt;&gt; "plain")=TRUE), ((G822 &lt;&gt; "")=TRUE))</f>
        <v>0</v>
      </c>
      <c r="M822" s="4" t="str">
        <f>IF(((E822)=TRUE),  C822 &amp; "|" &amp; H822,  "")</f>
        <v>principal-process-steward|KnowledgeFragments</v>
      </c>
      <c r="N822" s="3" t="s">
        <v>10004</v>
      </c>
    </row>
    <row r="823">
      <c r="A823" s="3" t="s">
        <v>10825</v>
      </c>
      <c r="B823" s="4" t="str">
        <f>C823 &amp; " -&gt; " &amp; D823</f>
        <v>principal-process-steward -&gt; KnowledgeFragments.AgeDays</v>
      </c>
      <c r="C823" s="3" t="s">
        <v>9772</v>
      </c>
      <c r="D823" s="3" t="s">
        <v>3288</v>
      </c>
      <c r="E823" s="3" t="b">
        <v>1</v>
      </c>
      <c r="F823" s="3" t="b">
        <v>0</v>
      </c>
      <c r="G823" s="3" t="s">
        <v>10003</v>
      </c>
      <c r="H823" s="4" t="str">
        <f>_xlfn.IFNA(IF(((INDEX(RulebookFields!C2:C1898, MATCH(D823,RulebookFields!A2:A1898, 0))="")=TRUE),  "",  INDEX(RulebookFields!C2:C1898, MATCH(D823,RulebookFields!A2:A1898, 0))), "")</f>
        <v>KnowledgeFragments</v>
      </c>
      <c r="I823" s="4" t="str">
        <f>_xlfn.IFNA(IF(((INDEX(RulebookFields!D2:D1898, MATCH(D823,RulebookFields!A2:A1898, 0))="")=TRUE),  "",  INDEX(RulebookFields!D2:D1898, MATCH(D823,RulebookFields!A2:A1898, 0))), "")</f>
        <v>AgeDays</v>
      </c>
      <c r="J823" s="4" t="b">
        <f>_xlfn.IFNA(IF(((INDEX(RulebookFields!I2:I1898, MATCH(D823,RulebookFields!A2:A1898, 0))="")=TRUE),  "",  INDEX(RulebookFields!I2:I1898, MATCH(D823,RulebookFields!A2:A1898, 0))), "")</f>
        <v>1</v>
      </c>
      <c r="K823" s="4" t="b">
        <f>AND(((F823)=TRUE), ((J823)=TRUE))</f>
        <v>0</v>
      </c>
      <c r="L823" s="4" t="b">
        <f>AND(((G823 &lt;&gt; "plain")=TRUE), ((G823 &lt;&gt; "")=TRUE))</f>
        <v>0</v>
      </c>
      <c r="M823" s="4" t="str">
        <f>IF(((E823)=TRUE),  C823 &amp; "|" &amp; H823,  "")</f>
        <v>principal-process-steward|KnowledgeFragments</v>
      </c>
      <c r="N823" s="3" t="s">
        <v>10004</v>
      </c>
    </row>
    <row r="824">
      <c r="A824" s="3" t="s">
        <v>10826</v>
      </c>
      <c r="B824" s="4" t="str">
        <f>C824 &amp; " -&gt; " &amp; D824</f>
        <v>principal-process-steward -&gt; KnowledgeFragments.IsLowConfidence</v>
      </c>
      <c r="C824" s="3" t="s">
        <v>9772</v>
      </c>
      <c r="D824" s="3" t="s">
        <v>3290</v>
      </c>
      <c r="E824" s="3" t="b">
        <v>1</v>
      </c>
      <c r="F824" s="3" t="b">
        <v>0</v>
      </c>
      <c r="G824" s="3" t="s">
        <v>10003</v>
      </c>
      <c r="H824" s="4" t="str">
        <f>_xlfn.IFNA(IF(((INDEX(RulebookFields!C2:C1898, MATCH(D824,RulebookFields!A2:A1898, 0))="")=TRUE),  "",  INDEX(RulebookFields!C2:C1898, MATCH(D824,RulebookFields!A2:A1898, 0))), "")</f>
        <v>KnowledgeFragments</v>
      </c>
      <c r="I824" s="4" t="str">
        <f>_xlfn.IFNA(IF(((INDEX(RulebookFields!D2:D1898, MATCH(D824,RulebookFields!A2:A1898, 0))="")=TRUE),  "",  INDEX(RulebookFields!D2:D1898, MATCH(D824,RulebookFields!A2:A1898, 0))), "")</f>
        <v>IsLowConfidence</v>
      </c>
      <c r="J824" s="4" t="b">
        <f>_xlfn.IFNA(IF(((INDEX(RulebookFields!I2:I1898, MATCH(D824,RulebookFields!A2:A1898, 0))="")=TRUE),  "",  INDEX(RulebookFields!I2:I1898, MATCH(D824,RulebookFields!A2:A1898, 0))), "")</f>
        <v>1</v>
      </c>
      <c r="K824" s="4" t="b">
        <f>AND(((F824)=TRUE), ((J824)=TRUE))</f>
        <v>0</v>
      </c>
      <c r="L824" s="4" t="b">
        <f>AND(((G824 &lt;&gt; "plain")=TRUE), ((G824 &lt;&gt; "")=TRUE))</f>
        <v>0</v>
      </c>
      <c r="M824" s="4" t="str">
        <f>IF(((E824)=TRUE),  C824 &amp; "|" &amp; H824,  "")</f>
        <v>principal-process-steward|KnowledgeFragments</v>
      </c>
      <c r="N824" s="3" t="s">
        <v>10004</v>
      </c>
    </row>
    <row r="825">
      <c r="A825" s="3" t="s">
        <v>10827</v>
      </c>
      <c r="B825" s="4" t="str">
        <f>C825 &amp; " -&gt; " &amp; D825</f>
        <v>principal-process-steward -&gt; KnowledgeFragments.OwningVersionCadenceDays</v>
      </c>
      <c r="C825" s="3" t="s">
        <v>9772</v>
      </c>
      <c r="D825" s="3" t="s">
        <v>3292</v>
      </c>
      <c r="E825" s="3" t="b">
        <v>1</v>
      </c>
      <c r="F825" s="3" t="b">
        <v>0</v>
      </c>
      <c r="G825" s="3" t="s">
        <v>10003</v>
      </c>
      <c r="H825" s="4" t="str">
        <f>_xlfn.IFNA(IF(((INDEX(RulebookFields!C2:C1898, MATCH(D825,RulebookFields!A2:A1898, 0))="")=TRUE),  "",  INDEX(RulebookFields!C2:C1898, MATCH(D825,RulebookFields!A2:A1898, 0))), "")</f>
        <v>KnowledgeFragments</v>
      </c>
      <c r="I825" s="4" t="str">
        <f>_xlfn.IFNA(IF(((INDEX(RulebookFields!D2:D1898, MATCH(D825,RulebookFields!A2:A1898, 0))="")=TRUE),  "",  INDEX(RulebookFields!D2:D1898, MATCH(D825,RulebookFields!A2:A1898, 0))), "")</f>
        <v>OwningVersionCadenceDays</v>
      </c>
      <c r="J825" s="4" t="b">
        <f>_xlfn.IFNA(IF(((INDEX(RulebookFields!I2:I1898, MATCH(D825,RulebookFields!A2:A1898, 0))="")=TRUE),  "",  INDEX(RulebookFields!I2:I1898, MATCH(D825,RulebookFields!A2:A1898, 0))), "")</f>
        <v>1</v>
      </c>
      <c r="K825" s="4" t="b">
        <f>AND(((F825)=TRUE), ((J825)=TRUE))</f>
        <v>0</v>
      </c>
      <c r="L825" s="4" t="b">
        <f>AND(((G825 &lt;&gt; "plain")=TRUE), ((G825 &lt;&gt; "")=TRUE))</f>
        <v>0</v>
      </c>
      <c r="M825" s="4" t="str">
        <f>IF(((E825)=TRUE),  C825 &amp; "|" &amp; H825,  "")</f>
        <v>principal-process-steward|KnowledgeFragments</v>
      </c>
      <c r="N825" s="3" t="s">
        <v>10004</v>
      </c>
    </row>
    <row r="826">
      <c r="A826" s="3" t="s">
        <v>10828</v>
      </c>
      <c r="B826" s="4" t="str">
        <f>C826 &amp; " -&gt; " &amp; D826</f>
        <v>principal-process-steward -&gt; KnowledgeFragments.ExceedsOwningCadence</v>
      </c>
      <c r="C826" s="3" t="s">
        <v>9772</v>
      </c>
      <c r="D826" s="3" t="s">
        <v>3294</v>
      </c>
      <c r="E826" s="3" t="b">
        <v>1</v>
      </c>
      <c r="F826" s="3" t="b">
        <v>0</v>
      </c>
      <c r="G826" s="3" t="s">
        <v>10003</v>
      </c>
      <c r="H826" s="4" t="str">
        <f>_xlfn.IFNA(IF(((INDEX(RulebookFields!C2:C1898, MATCH(D826,RulebookFields!A2:A1898, 0))="")=TRUE),  "",  INDEX(RulebookFields!C2:C1898, MATCH(D826,RulebookFields!A2:A1898, 0))), "")</f>
        <v>KnowledgeFragments</v>
      </c>
      <c r="I826" s="4" t="str">
        <f>_xlfn.IFNA(IF(((INDEX(RulebookFields!D2:D1898, MATCH(D826,RulebookFields!A2:A1898, 0))="")=TRUE),  "",  INDEX(RulebookFields!D2:D1898, MATCH(D826,RulebookFields!A2:A1898, 0))), "")</f>
        <v>ExceedsOwningCadence</v>
      </c>
      <c r="J826" s="4" t="b">
        <f>_xlfn.IFNA(IF(((INDEX(RulebookFields!I2:I1898, MATCH(D826,RulebookFields!A2:A1898, 0))="")=TRUE),  "",  INDEX(RulebookFields!I2:I1898, MATCH(D826,RulebookFields!A2:A1898, 0))), "")</f>
        <v>1</v>
      </c>
      <c r="K826" s="4" t="b">
        <f>AND(((F826)=TRUE), ((J826)=TRUE))</f>
        <v>0</v>
      </c>
      <c r="L826" s="4" t="b">
        <f>AND(((G826 &lt;&gt; "plain")=TRUE), ((G826 &lt;&gt; "")=TRUE))</f>
        <v>0</v>
      </c>
      <c r="M826" s="4" t="str">
        <f>IF(((E826)=TRUE),  C826 &amp; "|" &amp; H826,  "")</f>
        <v>principal-process-steward|KnowledgeFragments</v>
      </c>
      <c r="N826" s="3" t="s">
        <v>10004</v>
      </c>
    </row>
    <row r="827">
      <c r="A827" s="3" t="s">
        <v>10829</v>
      </c>
      <c r="B827" s="4" t="str">
        <f>C827 &amp; " -&gt; " &amp; D827</f>
        <v>principal-process-steward -&gt; KnowledgeFragments.IsAgingLowConfidenceClaim</v>
      </c>
      <c r="C827" s="3" t="s">
        <v>9772</v>
      </c>
      <c r="D827" s="3" t="s">
        <v>3296</v>
      </c>
      <c r="E827" s="3" t="b">
        <v>1</v>
      </c>
      <c r="F827" s="3" t="b">
        <v>0</v>
      </c>
      <c r="G827" s="3" t="s">
        <v>10003</v>
      </c>
      <c r="H827" s="4" t="str">
        <f>_xlfn.IFNA(IF(((INDEX(RulebookFields!C2:C1898, MATCH(D827,RulebookFields!A2:A1898, 0))="")=TRUE),  "",  INDEX(RulebookFields!C2:C1898, MATCH(D827,RulebookFields!A2:A1898, 0))), "")</f>
        <v>KnowledgeFragments</v>
      </c>
      <c r="I827" s="4" t="str">
        <f>_xlfn.IFNA(IF(((INDEX(RulebookFields!D2:D1898, MATCH(D827,RulebookFields!A2:A1898, 0))="")=TRUE),  "",  INDEX(RulebookFields!D2:D1898, MATCH(D827,RulebookFields!A2:A1898, 0))), "")</f>
        <v>IsAgingLowConfidenceClaim</v>
      </c>
      <c r="J827" s="4" t="b">
        <f>_xlfn.IFNA(IF(((INDEX(RulebookFields!I2:I1898, MATCH(D827,RulebookFields!A2:A1898, 0))="")=TRUE),  "",  INDEX(RulebookFields!I2:I1898, MATCH(D827,RulebookFields!A2:A1898, 0))), "")</f>
        <v>1</v>
      </c>
      <c r="K827" s="4" t="b">
        <f>AND(((F827)=TRUE), ((J827)=TRUE))</f>
        <v>0</v>
      </c>
      <c r="L827" s="4" t="b">
        <f>AND(((G827 &lt;&gt; "plain")=TRUE), ((G827 &lt;&gt; "")=TRUE))</f>
        <v>0</v>
      </c>
      <c r="M827" s="4" t="str">
        <f>IF(((E827)=TRUE),  C827 &amp; "|" &amp; H827,  "")</f>
        <v>principal-process-steward|KnowledgeFragments</v>
      </c>
      <c r="N827" s="3" t="s">
        <v>10004</v>
      </c>
    </row>
    <row r="828">
      <c r="A828" s="3" t="s">
        <v>10830</v>
      </c>
      <c r="B828" s="4" t="str">
        <f>C828 &amp; " -&gt; " &amp; D828</f>
        <v>principal-process-steward -&gt; KnowledgeFragments.OwnerRoleAgentKind</v>
      </c>
      <c r="C828" s="3" t="s">
        <v>9772</v>
      </c>
      <c r="D828" s="3" t="s">
        <v>3298</v>
      </c>
      <c r="E828" s="3" t="b">
        <v>1</v>
      </c>
      <c r="F828" s="3" t="b">
        <v>0</v>
      </c>
      <c r="G828" s="3" t="s">
        <v>10003</v>
      </c>
      <c r="H828" s="4" t="str">
        <f>_xlfn.IFNA(IF(((INDEX(RulebookFields!C2:C1898, MATCH(D828,RulebookFields!A2:A1898, 0))="")=TRUE),  "",  INDEX(RulebookFields!C2:C1898, MATCH(D828,RulebookFields!A2:A1898, 0))), "")</f>
        <v>KnowledgeFragments</v>
      </c>
      <c r="I828" s="4" t="str">
        <f>_xlfn.IFNA(IF(((INDEX(RulebookFields!D2:D1898, MATCH(D828,RulebookFields!A2:A1898, 0))="")=TRUE),  "",  INDEX(RulebookFields!D2:D1898, MATCH(D828,RulebookFields!A2:A1898, 0))), "")</f>
        <v>OwnerRoleAgentKind</v>
      </c>
      <c r="J828" s="4" t="b">
        <f>_xlfn.IFNA(IF(((INDEX(RulebookFields!I2:I1898, MATCH(D828,RulebookFields!A2:A1898, 0))="")=TRUE),  "",  INDEX(RulebookFields!I2:I1898, MATCH(D828,RulebookFields!A2:A1898, 0))), "")</f>
        <v>1</v>
      </c>
      <c r="K828" s="4" t="b">
        <f>AND(((F828)=TRUE), ((J828)=TRUE))</f>
        <v>0</v>
      </c>
      <c r="L828" s="4" t="b">
        <f>AND(((G828 &lt;&gt; "plain")=TRUE), ((G828 &lt;&gt; "")=TRUE))</f>
        <v>0</v>
      </c>
      <c r="M828" s="4" t="str">
        <f>IF(((E828)=TRUE),  C828 &amp; "|" &amp; H828,  "")</f>
        <v>principal-process-steward|KnowledgeFragments</v>
      </c>
      <c r="N828" s="3" t="s">
        <v>10004</v>
      </c>
    </row>
    <row r="829">
      <c r="A829" s="3" t="s">
        <v>10831</v>
      </c>
      <c r="B829" s="4" t="str">
        <f>C829 &amp; " -&gt; " &amp; D829</f>
        <v>principal-process-steward -&gt; KnowledgeFragments.IsHumanOwned</v>
      </c>
      <c r="C829" s="3" t="s">
        <v>9772</v>
      </c>
      <c r="D829" s="3" t="s">
        <v>3300</v>
      </c>
      <c r="E829" s="3" t="b">
        <v>1</v>
      </c>
      <c r="F829" s="3" t="b">
        <v>0</v>
      </c>
      <c r="G829" s="3" t="s">
        <v>10003</v>
      </c>
      <c r="H829" s="4" t="str">
        <f>_xlfn.IFNA(IF(((INDEX(RulebookFields!C2:C1898, MATCH(D829,RulebookFields!A2:A1898, 0))="")=TRUE),  "",  INDEX(RulebookFields!C2:C1898, MATCH(D829,RulebookFields!A2:A1898, 0))), "")</f>
        <v>KnowledgeFragments</v>
      </c>
      <c r="I829" s="4" t="str">
        <f>_xlfn.IFNA(IF(((INDEX(RulebookFields!D2:D1898, MATCH(D829,RulebookFields!A2:A1898, 0))="")=TRUE),  "",  INDEX(RulebookFields!D2:D1898, MATCH(D829,RulebookFields!A2:A1898, 0))), "")</f>
        <v>IsHumanOwned</v>
      </c>
      <c r="J829" s="4" t="b">
        <f>_xlfn.IFNA(IF(((INDEX(RulebookFields!I2:I1898, MATCH(D829,RulebookFields!A2:A1898, 0))="")=TRUE),  "",  INDEX(RulebookFields!I2:I1898, MATCH(D829,RulebookFields!A2:A1898, 0))), "")</f>
        <v>1</v>
      </c>
      <c r="K829" s="4" t="b">
        <f>AND(((F829)=TRUE), ((J829)=TRUE))</f>
        <v>0</v>
      </c>
      <c r="L829" s="4" t="b">
        <f>AND(((G829 &lt;&gt; "plain")=TRUE), ((G829 &lt;&gt; "")=TRUE))</f>
        <v>0</v>
      </c>
      <c r="M829" s="4" t="str">
        <f>IF(((E829)=TRUE),  C829 &amp; "|" &amp; H829,  "")</f>
        <v>principal-process-steward|KnowledgeFragments</v>
      </c>
      <c r="N829" s="3" t="s">
        <v>10004</v>
      </c>
    </row>
    <row r="830">
      <c r="A830" s="3" t="s">
        <v>10832</v>
      </c>
      <c r="B830" s="4" t="str">
        <f>C830 &amp; " -&gt; " &amp; D830</f>
        <v>principal-process-steward -&gt; KnowledgeFragments.IsAiValidatedByAi</v>
      </c>
      <c r="C830" s="3" t="s">
        <v>9772</v>
      </c>
      <c r="D830" s="3" t="s">
        <v>3302</v>
      </c>
      <c r="E830" s="3" t="b">
        <v>1</v>
      </c>
      <c r="F830" s="3" t="b">
        <v>0</v>
      </c>
      <c r="G830" s="3" t="s">
        <v>10003</v>
      </c>
      <c r="H830" s="4" t="str">
        <f>_xlfn.IFNA(IF(((INDEX(RulebookFields!C2:C1898, MATCH(D830,RulebookFields!A2:A1898, 0))="")=TRUE),  "",  INDEX(RulebookFields!C2:C1898, MATCH(D830,RulebookFields!A2:A1898, 0))), "")</f>
        <v>KnowledgeFragments</v>
      </c>
      <c r="I830" s="4" t="str">
        <f>_xlfn.IFNA(IF(((INDEX(RulebookFields!D2:D1898, MATCH(D830,RulebookFields!A2:A1898, 0))="")=TRUE),  "",  INDEX(RulebookFields!D2:D1898, MATCH(D830,RulebookFields!A2:A1898, 0))), "")</f>
        <v>IsAiValidatedByAi</v>
      </c>
      <c r="J830" s="4" t="b">
        <f>_xlfn.IFNA(IF(((INDEX(RulebookFields!I2:I1898, MATCH(D830,RulebookFields!A2:A1898, 0))="")=TRUE),  "",  INDEX(RulebookFields!I2:I1898, MATCH(D830,RulebookFields!A2:A1898, 0))), "")</f>
        <v>1</v>
      </c>
      <c r="K830" s="4" t="b">
        <f>AND(((F830)=TRUE), ((J830)=TRUE))</f>
        <v>0</v>
      </c>
      <c r="L830" s="4" t="b">
        <f>AND(((G830 &lt;&gt; "plain")=TRUE), ((G830 &lt;&gt; "")=TRUE))</f>
        <v>0</v>
      </c>
      <c r="M830" s="4" t="str">
        <f>IF(((E830)=TRUE),  C830 &amp; "|" &amp; H830,  "")</f>
        <v>principal-process-steward|KnowledgeFragments</v>
      </c>
      <c r="N830" s="3" t="s">
        <v>10004</v>
      </c>
    </row>
    <row r="831">
      <c r="A831" s="3" t="s">
        <v>10833</v>
      </c>
      <c r="B831" s="4" t="str">
        <f>C831 &amp; " -&gt; " &amp; D831</f>
        <v>principal-process-steward -&gt; KnowledgeFragments.ReviewCadenceDays</v>
      </c>
      <c r="C831" s="3" t="s">
        <v>9772</v>
      </c>
      <c r="D831" s="3" t="s">
        <v>3304</v>
      </c>
      <c r="E831" s="3" t="b">
        <v>1</v>
      </c>
      <c r="F831" s="3" t="b">
        <v>0</v>
      </c>
      <c r="G831" s="3" t="s">
        <v>10003</v>
      </c>
      <c r="H831" s="4" t="str">
        <f>_xlfn.IFNA(IF(((INDEX(RulebookFields!C2:C1898, MATCH(D831,RulebookFields!A2:A1898, 0))="")=TRUE),  "",  INDEX(RulebookFields!C2:C1898, MATCH(D831,RulebookFields!A2:A1898, 0))), "")</f>
        <v>KnowledgeFragments</v>
      </c>
      <c r="I831" s="4" t="str">
        <f>_xlfn.IFNA(IF(((INDEX(RulebookFields!D2:D1898, MATCH(D831,RulebookFields!A2:A1898, 0))="")=TRUE),  "",  INDEX(RulebookFields!D2:D1898, MATCH(D831,RulebookFields!A2:A1898, 0))), "")</f>
        <v>ReviewCadenceDays</v>
      </c>
      <c r="J831" s="4" t="b">
        <f>_xlfn.IFNA(IF(((INDEX(RulebookFields!I2:I1898, MATCH(D831,RulebookFields!A2:A1898, 0))="")=TRUE),  "",  INDEX(RulebookFields!I2:I1898, MATCH(D831,RulebookFields!A2:A1898, 0))), "")</f>
        <v>1</v>
      </c>
      <c r="K831" s="4" t="b">
        <f>AND(((F831)=TRUE), ((J831)=TRUE))</f>
        <v>0</v>
      </c>
      <c r="L831" s="4" t="b">
        <f>AND(((G831 &lt;&gt; "plain")=TRUE), ((G831 &lt;&gt; "")=TRUE))</f>
        <v>0</v>
      </c>
      <c r="M831" s="4" t="str">
        <f>IF(((E831)=TRUE),  C831 &amp; "|" &amp; H831,  "")</f>
        <v>principal-process-steward|KnowledgeFragments</v>
      </c>
      <c r="N831" s="3" t="s">
        <v>10004</v>
      </c>
    </row>
    <row r="832">
      <c r="A832" s="3" t="s">
        <v>10834</v>
      </c>
      <c r="B832" s="4" t="str">
        <f>C832 &amp; " -&gt; " &amp; D832</f>
        <v>principal-process-steward -&gt; KnowledgeFragments.IsOverdueForReview</v>
      </c>
      <c r="C832" s="3" t="s">
        <v>9772</v>
      </c>
      <c r="D832" s="3" t="s">
        <v>3305</v>
      </c>
      <c r="E832" s="3" t="b">
        <v>1</v>
      </c>
      <c r="F832" s="3" t="b">
        <v>0</v>
      </c>
      <c r="G832" s="3" t="s">
        <v>10003</v>
      </c>
      <c r="H832" s="4" t="str">
        <f>_xlfn.IFNA(IF(((INDEX(RulebookFields!C2:C1898, MATCH(D832,RulebookFields!A2:A1898, 0))="")=TRUE),  "",  INDEX(RulebookFields!C2:C1898, MATCH(D832,RulebookFields!A2:A1898, 0))), "")</f>
        <v>KnowledgeFragments</v>
      </c>
      <c r="I832" s="4" t="str">
        <f>_xlfn.IFNA(IF(((INDEX(RulebookFields!D2:D1898, MATCH(D832,RulebookFields!A2:A1898, 0))="")=TRUE),  "",  INDEX(RulebookFields!D2:D1898, MATCH(D832,RulebookFields!A2:A1898, 0))), "")</f>
        <v>IsOverdueForReview</v>
      </c>
      <c r="J832" s="4" t="b">
        <f>_xlfn.IFNA(IF(((INDEX(RulebookFields!I2:I1898, MATCH(D832,RulebookFields!A2:A1898, 0))="")=TRUE),  "",  INDEX(RulebookFields!I2:I1898, MATCH(D832,RulebookFields!A2:A1898, 0))), "")</f>
        <v>1</v>
      </c>
      <c r="K832" s="4" t="b">
        <f>AND(((F832)=TRUE), ((J832)=TRUE))</f>
        <v>0</v>
      </c>
      <c r="L832" s="4" t="b">
        <f>AND(((G832 &lt;&gt; "plain")=TRUE), ((G832 &lt;&gt; "")=TRUE))</f>
        <v>0</v>
      </c>
      <c r="M832" s="4" t="str">
        <f>IF(((E832)=TRUE),  C832 &amp; "|" &amp; H832,  "")</f>
        <v>principal-process-steward|KnowledgeFragments</v>
      </c>
      <c r="N832" s="3" t="s">
        <v>10004</v>
      </c>
    </row>
    <row r="833">
      <c r="A833" s="3" t="s">
        <v>10835</v>
      </c>
      <c r="B833" s="4" t="str">
        <f>C833 &amp; " -&gt; " &amp; D833</f>
        <v>principal-process-steward -&gt; KnowledgeFragments.PredatesCurrentRoleHolder</v>
      </c>
      <c r="C833" s="3" t="s">
        <v>9772</v>
      </c>
      <c r="D833" s="3" t="s">
        <v>3307</v>
      </c>
      <c r="E833" s="3" t="b">
        <v>1</v>
      </c>
      <c r="F833" s="3" t="b">
        <v>0</v>
      </c>
      <c r="G833" s="3" t="s">
        <v>10003</v>
      </c>
      <c r="H833" s="4" t="str">
        <f>_xlfn.IFNA(IF(((INDEX(RulebookFields!C2:C1898, MATCH(D833,RulebookFields!A2:A1898, 0))="")=TRUE),  "",  INDEX(RulebookFields!C2:C1898, MATCH(D833,RulebookFields!A2:A1898, 0))), "")</f>
        <v>KnowledgeFragments</v>
      </c>
      <c r="I833" s="4" t="str">
        <f>_xlfn.IFNA(IF(((INDEX(RulebookFields!D2:D1898, MATCH(D833,RulebookFields!A2:A1898, 0))="")=TRUE),  "",  INDEX(RulebookFields!D2:D1898, MATCH(D833,RulebookFields!A2:A1898, 0))), "")</f>
        <v>PredatesCurrentRoleHolder</v>
      </c>
      <c r="J833" s="4" t="b">
        <f>_xlfn.IFNA(IF(((INDEX(RulebookFields!I2:I1898, MATCH(D833,RulebookFields!A2:A1898, 0))="")=TRUE),  "",  INDEX(RulebookFields!I2:I1898, MATCH(D833,RulebookFields!A2:A1898, 0))), "")</f>
        <v>1</v>
      </c>
      <c r="K833" s="4" t="b">
        <f>AND(((F833)=TRUE), ((J833)=TRUE))</f>
        <v>0</v>
      </c>
      <c r="L833" s="4" t="b">
        <f>AND(((G833 &lt;&gt; "plain")=TRUE), ((G833 &lt;&gt; "")=TRUE))</f>
        <v>0</v>
      </c>
      <c r="M833" s="4" t="str">
        <f>IF(((E833)=TRUE),  C833 &amp; "|" &amp; H833,  "")</f>
        <v>principal-process-steward|KnowledgeFragments</v>
      </c>
      <c r="N833" s="3" t="s">
        <v>10004</v>
      </c>
    </row>
    <row r="834">
      <c r="A834" s="3" t="s">
        <v>10836</v>
      </c>
      <c r="B834" s="4" t="str">
        <f>C834 &amp; " -&gt; " &amp; D834</f>
        <v>principal-process-steward -&gt; KnowledgeFragments.OwnerRoleAssignmentValidFrom</v>
      </c>
      <c r="C834" s="3" t="s">
        <v>9772</v>
      </c>
      <c r="D834" s="3" t="s">
        <v>3309</v>
      </c>
      <c r="E834" s="3" t="b">
        <v>1</v>
      </c>
      <c r="F834" s="3" t="b">
        <v>0</v>
      </c>
      <c r="G834" s="3" t="s">
        <v>10003</v>
      </c>
      <c r="H834" s="4" t="str">
        <f>_xlfn.IFNA(IF(((INDEX(RulebookFields!C2:C1898, MATCH(D834,RulebookFields!A2:A1898, 0))="")=TRUE),  "",  INDEX(RulebookFields!C2:C1898, MATCH(D834,RulebookFields!A2:A1898, 0))), "")</f>
        <v>KnowledgeFragments</v>
      </c>
      <c r="I834" s="4" t="str">
        <f>_xlfn.IFNA(IF(((INDEX(RulebookFields!D2:D1898, MATCH(D834,RulebookFields!A2:A1898, 0))="")=TRUE),  "",  INDEX(RulebookFields!D2:D1898, MATCH(D834,RulebookFields!A2:A1898, 0))), "")</f>
        <v>OwnerRoleAssignmentValidFrom</v>
      </c>
      <c r="J834" s="4" t="b">
        <f>_xlfn.IFNA(IF(((INDEX(RulebookFields!I2:I1898, MATCH(D834,RulebookFields!A2:A1898, 0))="")=TRUE),  "",  INDEX(RulebookFields!I2:I1898, MATCH(D834,RulebookFields!A2:A1898, 0))), "")</f>
        <v>1</v>
      </c>
      <c r="K834" s="4" t="b">
        <f>AND(((F834)=TRUE), ((J834)=TRUE))</f>
        <v>0</v>
      </c>
      <c r="L834" s="4" t="b">
        <f>AND(((G834 &lt;&gt; "plain")=TRUE), ((G834 &lt;&gt; "")=TRUE))</f>
        <v>0</v>
      </c>
      <c r="M834" s="4" t="str">
        <f>IF(((E834)=TRUE),  C834 &amp; "|" &amp; H834,  "")</f>
        <v>principal-process-steward|KnowledgeFragments</v>
      </c>
      <c r="N834" s="3" t="s">
        <v>10004</v>
      </c>
    </row>
    <row r="835">
      <c r="A835" s="3" t="s">
        <v>10837</v>
      </c>
      <c r="B835" s="4" t="str">
        <f>C835 &amp; " -&gt; " &amp; D835</f>
        <v>principal-process-steward -&gt; KnowledgeFragments.LastReviewedAt</v>
      </c>
      <c r="C835" s="3" t="s">
        <v>9772</v>
      </c>
      <c r="D835" s="3" t="s">
        <v>3311</v>
      </c>
      <c r="E835" s="3" t="b">
        <v>1</v>
      </c>
      <c r="F835" s="3" t="b">
        <v>0</v>
      </c>
      <c r="G835" s="3" t="s">
        <v>10003</v>
      </c>
      <c r="H835" s="4" t="str">
        <f>_xlfn.IFNA(IF(((INDEX(RulebookFields!C2:C1898, MATCH(D835,RulebookFields!A2:A1898, 0))="")=TRUE),  "",  INDEX(RulebookFields!C2:C1898, MATCH(D835,RulebookFields!A2:A1898, 0))), "")</f>
        <v>KnowledgeFragments</v>
      </c>
      <c r="I835" s="4" t="str">
        <f>_xlfn.IFNA(IF(((INDEX(RulebookFields!D2:D1898, MATCH(D835,RulebookFields!A2:A1898, 0))="")=TRUE),  "",  INDEX(RulebookFields!D2:D1898, MATCH(D835,RulebookFields!A2:A1898, 0))), "")</f>
        <v>LastReviewedAt</v>
      </c>
      <c r="J835" s="4" t="b">
        <f>_xlfn.IFNA(IF(((INDEX(RulebookFields!I2:I1898, MATCH(D835,RulebookFields!A2:A1898, 0))="")=TRUE),  "",  INDEX(RulebookFields!I2:I1898, MATCH(D835,RulebookFields!A2:A1898, 0))), "")</f>
        <v>0</v>
      </c>
      <c r="K835" s="4" t="b">
        <f>AND(((F835)=TRUE), ((J835)=TRUE))</f>
        <v>0</v>
      </c>
      <c r="L835" s="4" t="b">
        <f>AND(((G835 &lt;&gt; "plain")=TRUE), ((G835 &lt;&gt; "")=TRUE))</f>
        <v>0</v>
      </c>
      <c r="M835" s="4" t="str">
        <f>IF(((E835)=TRUE),  C835 &amp; "|" &amp; H835,  "")</f>
        <v>principal-process-steward|KnowledgeFragments</v>
      </c>
      <c r="N835" s="3" t="s">
        <v>10004</v>
      </c>
    </row>
    <row r="836">
      <c r="A836" s="3" t="s">
        <v>10838</v>
      </c>
      <c r="B836" s="4" t="str">
        <f>C836 &amp; " -&gt; " &amp; D836</f>
        <v>principal-process-steward -&gt; KnowledgeFragments.FragilitySignalCount</v>
      </c>
      <c r="C836" s="3" t="s">
        <v>9772</v>
      </c>
      <c r="D836" s="3" t="s">
        <v>3312</v>
      </c>
      <c r="E836" s="3" t="b">
        <v>1</v>
      </c>
      <c r="F836" s="3" t="b">
        <v>0</v>
      </c>
      <c r="G836" s="3" t="s">
        <v>10003</v>
      </c>
      <c r="H836" s="4" t="str">
        <f>_xlfn.IFNA(IF(((INDEX(RulebookFields!C2:C1898, MATCH(D836,RulebookFields!A2:A1898, 0))="")=TRUE),  "",  INDEX(RulebookFields!C2:C1898, MATCH(D836,RulebookFields!A2:A1898, 0))), "")</f>
        <v>KnowledgeFragments</v>
      </c>
      <c r="I836" s="4" t="str">
        <f>_xlfn.IFNA(IF(((INDEX(RulebookFields!D2:D1898, MATCH(D836,RulebookFields!A2:A1898, 0))="")=TRUE),  "",  INDEX(RulebookFields!D2:D1898, MATCH(D836,RulebookFields!A2:A1898, 0))), "")</f>
        <v>FragilitySignalCount</v>
      </c>
      <c r="J836" s="4" t="b">
        <f>_xlfn.IFNA(IF(((INDEX(RulebookFields!I2:I1898, MATCH(D836,RulebookFields!A2:A1898, 0))="")=TRUE),  "",  INDEX(RulebookFields!I2:I1898, MATCH(D836,RulebookFields!A2:A1898, 0))), "")</f>
        <v>1</v>
      </c>
      <c r="K836" s="4" t="b">
        <f>AND(((F836)=TRUE), ((J836)=TRUE))</f>
        <v>0</v>
      </c>
      <c r="L836" s="4" t="b">
        <f>AND(((G836 &lt;&gt; "plain")=TRUE), ((G836 &lt;&gt; "")=TRUE))</f>
        <v>0</v>
      </c>
      <c r="M836" s="4" t="str">
        <f>IF(((E836)=TRUE),  C836 &amp; "|" &amp; H836,  "")</f>
        <v>principal-process-steward|KnowledgeFragments</v>
      </c>
      <c r="N836" s="3" t="s">
        <v>10004</v>
      </c>
    </row>
    <row r="837">
      <c r="A837" s="3" t="s">
        <v>10839</v>
      </c>
      <c r="B837" s="4" t="str">
        <f>C837 &amp; " -&gt; " &amp; D837</f>
        <v>principal-process-steward -&gt; KnowledgeFragments.IsCompoundFragile</v>
      </c>
      <c r="C837" s="3" t="s">
        <v>9772</v>
      </c>
      <c r="D837" s="3" t="s">
        <v>3314</v>
      </c>
      <c r="E837" s="3" t="b">
        <v>1</v>
      </c>
      <c r="F837" s="3" t="b">
        <v>0</v>
      </c>
      <c r="G837" s="3" t="s">
        <v>10003</v>
      </c>
      <c r="H837" s="4" t="str">
        <f>_xlfn.IFNA(IF(((INDEX(RulebookFields!C2:C1898, MATCH(D837,RulebookFields!A2:A1898, 0))="")=TRUE),  "",  INDEX(RulebookFields!C2:C1898, MATCH(D837,RulebookFields!A2:A1898, 0))), "")</f>
        <v>KnowledgeFragments</v>
      </c>
      <c r="I837" s="4" t="str">
        <f>_xlfn.IFNA(IF(((INDEX(RulebookFields!D2:D1898, MATCH(D837,RulebookFields!A2:A1898, 0))="")=TRUE),  "",  INDEX(RulebookFields!D2:D1898, MATCH(D837,RulebookFields!A2:A1898, 0))), "")</f>
        <v>IsCompoundFragile</v>
      </c>
      <c r="J837" s="4" t="b">
        <f>_xlfn.IFNA(IF(((INDEX(RulebookFields!I2:I1898, MATCH(D837,RulebookFields!A2:A1898, 0))="")=TRUE),  "",  INDEX(RulebookFields!I2:I1898, MATCH(D837,RulebookFields!A2:A1898, 0))), "")</f>
        <v>1</v>
      </c>
      <c r="K837" s="4" t="b">
        <f>AND(((F837)=TRUE), ((J837)=TRUE))</f>
        <v>0</v>
      </c>
      <c r="L837" s="4" t="b">
        <f>AND(((G837 &lt;&gt; "plain")=TRUE), ((G837 &lt;&gt; "")=TRUE))</f>
        <v>0</v>
      </c>
      <c r="M837" s="4" t="str">
        <f>IF(((E837)=TRUE),  C837 &amp; "|" &amp; H837,  "")</f>
        <v>principal-process-steward|KnowledgeFragments</v>
      </c>
      <c r="N837" s="3" t="s">
        <v>10004</v>
      </c>
    </row>
    <row r="838">
      <c r="A838" s="3" t="s">
        <v>10840</v>
      </c>
      <c r="B838" s="4" t="str">
        <f>C838 &amp; " -&gt; " &amp; D838</f>
        <v>principal-process-steward -&gt; KnowledgeFragments.IsSinglePointOfFailure</v>
      </c>
      <c r="C838" s="3" t="s">
        <v>9772</v>
      </c>
      <c r="D838" s="3" t="s">
        <v>3316</v>
      </c>
      <c r="E838" s="3" t="b">
        <v>1</v>
      </c>
      <c r="F838" s="3" t="b">
        <v>0</v>
      </c>
      <c r="G838" s="3" t="s">
        <v>10003</v>
      </c>
      <c r="H838" s="4" t="str">
        <f>_xlfn.IFNA(IF(((INDEX(RulebookFields!C2:C1898, MATCH(D838,RulebookFields!A2:A1898, 0))="")=TRUE),  "",  INDEX(RulebookFields!C2:C1898, MATCH(D838,RulebookFields!A2:A1898, 0))), "")</f>
        <v>KnowledgeFragments</v>
      </c>
      <c r="I838" s="4" t="str">
        <f>_xlfn.IFNA(IF(((INDEX(RulebookFields!D2:D1898, MATCH(D838,RulebookFields!A2:A1898, 0))="")=TRUE),  "",  INDEX(RulebookFields!D2:D1898, MATCH(D838,RulebookFields!A2:A1898, 0))), "")</f>
        <v>IsSinglePointOfFailure</v>
      </c>
      <c r="J838" s="4" t="b">
        <f>_xlfn.IFNA(IF(((INDEX(RulebookFields!I2:I1898, MATCH(D838,RulebookFields!A2:A1898, 0))="")=TRUE),  "",  INDEX(RulebookFields!I2:I1898, MATCH(D838,RulebookFields!A2:A1898, 0))), "")</f>
        <v>1</v>
      </c>
      <c r="K838" s="4" t="b">
        <f>AND(((F838)=TRUE), ((J838)=TRUE))</f>
        <v>0</v>
      </c>
      <c r="L838" s="4" t="b">
        <f>AND(((G838 &lt;&gt; "plain")=TRUE), ((G838 &lt;&gt; "")=TRUE))</f>
        <v>0</v>
      </c>
      <c r="M838" s="4" t="str">
        <f>IF(((E838)=TRUE),  C838 &amp; "|" &amp; H838,  "")</f>
        <v>principal-process-steward|KnowledgeFragments</v>
      </c>
      <c r="N838" s="3" t="s">
        <v>10004</v>
      </c>
    </row>
    <row r="839">
      <c r="A839" s="3" t="s">
        <v>10841</v>
      </c>
      <c r="B839" s="4" t="str">
        <f>C839 &amp; " -&gt; " &amp; D839</f>
        <v>principal-process-steward -&gt; KnowledgeFragments.IsExpiringSinglePointOfFailure</v>
      </c>
      <c r="C839" s="3" t="s">
        <v>9772</v>
      </c>
      <c r="D839" s="3" t="s">
        <v>3318</v>
      </c>
      <c r="E839" s="3" t="b">
        <v>1</v>
      </c>
      <c r="F839" s="3" t="b">
        <v>0</v>
      </c>
      <c r="G839" s="3" t="s">
        <v>10003</v>
      </c>
      <c r="H839" s="4" t="str">
        <f>_xlfn.IFNA(IF(((INDEX(RulebookFields!C2:C1898, MATCH(D839,RulebookFields!A2:A1898, 0))="")=TRUE),  "",  INDEX(RulebookFields!C2:C1898, MATCH(D839,RulebookFields!A2:A1898, 0))), "")</f>
        <v>KnowledgeFragments</v>
      </c>
      <c r="I839" s="4" t="str">
        <f>_xlfn.IFNA(IF(((INDEX(RulebookFields!D2:D1898, MATCH(D839,RulebookFields!A2:A1898, 0))="")=TRUE),  "",  INDEX(RulebookFields!D2:D1898, MATCH(D839,RulebookFields!A2:A1898, 0))), "")</f>
        <v>IsExpiringSinglePointOfFailure</v>
      </c>
      <c r="J839" s="4" t="b">
        <f>_xlfn.IFNA(IF(((INDEX(RulebookFields!I2:I1898, MATCH(D839,RulebookFields!A2:A1898, 0))="")=TRUE),  "",  INDEX(RulebookFields!I2:I1898, MATCH(D839,RulebookFields!A2:A1898, 0))), "")</f>
        <v>1</v>
      </c>
      <c r="K839" s="4" t="b">
        <f>AND(((F839)=TRUE), ((J839)=TRUE))</f>
        <v>0</v>
      </c>
      <c r="L839" s="4" t="b">
        <f>AND(((G839 &lt;&gt; "plain")=TRUE), ((G839 &lt;&gt; "")=TRUE))</f>
        <v>0</v>
      </c>
      <c r="M839" s="4" t="str">
        <f>IF(((E839)=TRUE),  C839 &amp; "|" &amp; H839,  "")</f>
        <v>principal-process-steward|KnowledgeFragments</v>
      </c>
      <c r="N839" s="3" t="s">
        <v>10004</v>
      </c>
    </row>
    <row r="840">
      <c r="A840" s="3" t="s">
        <v>10842</v>
      </c>
      <c r="B840" s="4" t="str">
        <f>C840 &amp; " -&gt; " &amp; D840</f>
        <v>principal-process-steward -&gt; KnowledgeFragments.CompoundFragileVersionKey</v>
      </c>
      <c r="C840" s="3" t="s">
        <v>9772</v>
      </c>
      <c r="D840" s="3" t="s">
        <v>3320</v>
      </c>
      <c r="E840" s="3" t="b">
        <v>1</v>
      </c>
      <c r="F840" s="3" t="b">
        <v>0</v>
      </c>
      <c r="G840" s="3" t="s">
        <v>10003</v>
      </c>
      <c r="H840" s="4" t="str">
        <f>_xlfn.IFNA(IF(((INDEX(RulebookFields!C2:C1898, MATCH(D840,RulebookFields!A2:A1898, 0))="")=TRUE),  "",  INDEX(RulebookFields!C2:C1898, MATCH(D840,RulebookFields!A2:A1898, 0))), "")</f>
        <v>KnowledgeFragments</v>
      </c>
      <c r="I840" s="4" t="str">
        <f>_xlfn.IFNA(IF(((INDEX(RulebookFields!D2:D1898, MATCH(D840,RulebookFields!A2:A1898, 0))="")=TRUE),  "",  INDEX(RulebookFields!D2:D1898, MATCH(D840,RulebookFields!A2:A1898, 0))), "")</f>
        <v>CompoundFragileVersionKey</v>
      </c>
      <c r="J840" s="4" t="b">
        <f>_xlfn.IFNA(IF(((INDEX(RulebookFields!I2:I1898, MATCH(D840,RulebookFields!A2:A1898, 0))="")=TRUE),  "",  INDEX(RulebookFields!I2:I1898, MATCH(D840,RulebookFields!A2:A1898, 0))), "")</f>
        <v>1</v>
      </c>
      <c r="K840" s="4" t="b">
        <f>AND(((F840)=TRUE), ((J840)=TRUE))</f>
        <v>0</v>
      </c>
      <c r="L840" s="4" t="b">
        <f>AND(((G840 &lt;&gt; "plain")=TRUE), ((G840 &lt;&gt; "")=TRUE))</f>
        <v>0</v>
      </c>
      <c r="M840" s="4" t="str">
        <f>IF(((E840)=TRUE),  C840 &amp; "|" &amp; H840,  "")</f>
        <v>principal-process-steward|KnowledgeFragments</v>
      </c>
      <c r="N840" s="3" t="s">
        <v>10004</v>
      </c>
    </row>
    <row r="841">
      <c r="A841" s="3" t="s">
        <v>10843</v>
      </c>
      <c r="B841" s="4" t="str">
        <f>C841 &amp; " -&gt; " &amp; D841</f>
        <v>principal-process-steward -&gt; KnowledgeFragments.ValidFragmentSessionKey</v>
      </c>
      <c r="C841" s="3" t="s">
        <v>9772</v>
      </c>
      <c r="D841" s="3" t="s">
        <v>3322</v>
      </c>
      <c r="E841" s="3" t="b">
        <v>1</v>
      </c>
      <c r="F841" s="3" t="b">
        <v>0</v>
      </c>
      <c r="G841" s="3" t="s">
        <v>10003</v>
      </c>
      <c r="H841" s="4" t="str">
        <f>_xlfn.IFNA(IF(((INDEX(RulebookFields!C2:C1898, MATCH(D841,RulebookFields!A2:A1898, 0))="")=TRUE),  "",  INDEX(RulebookFields!C2:C1898, MATCH(D841,RulebookFields!A2:A1898, 0))), "")</f>
        <v>KnowledgeFragments</v>
      </c>
      <c r="I841" s="4" t="str">
        <f>_xlfn.IFNA(IF(((INDEX(RulebookFields!D2:D1898, MATCH(D841,RulebookFields!A2:A1898, 0))="")=TRUE),  "",  INDEX(RulebookFields!D2:D1898, MATCH(D841,RulebookFields!A2:A1898, 0))), "")</f>
        <v>ValidFragmentSessionKey</v>
      </c>
      <c r="J841" s="4" t="b">
        <f>_xlfn.IFNA(IF(((INDEX(RulebookFields!I2:I1898, MATCH(D841,RulebookFields!A2:A1898, 0))="")=TRUE),  "",  INDEX(RulebookFields!I2:I1898, MATCH(D841,RulebookFields!A2:A1898, 0))), "")</f>
        <v>1</v>
      </c>
      <c r="K841" s="4" t="b">
        <f>AND(((F841)=TRUE), ((J841)=TRUE))</f>
        <v>0</v>
      </c>
      <c r="L841" s="4" t="b">
        <f>AND(((G841 &lt;&gt; "plain")=TRUE), ((G841 &lt;&gt; "")=TRUE))</f>
        <v>0</v>
      </c>
      <c r="M841" s="4" t="str">
        <f>IF(((E841)=TRUE),  C841 &amp; "|" &amp; H841,  "")</f>
        <v>principal-process-steward|KnowledgeFragments</v>
      </c>
      <c r="N841" s="3" t="s">
        <v>10004</v>
      </c>
    </row>
    <row r="842">
      <c r="A842" s="3" t="s">
        <v>10844</v>
      </c>
      <c r="B842" s="4" t="str">
        <f>C842 &amp; " -&gt; " &amp; D842</f>
        <v>principal-process-steward -&gt; KnowledgeFragments.ConsumingStepIsSoftwareAssigned</v>
      </c>
      <c r="C842" s="3" t="s">
        <v>9772</v>
      </c>
      <c r="D842" s="3" t="s">
        <v>3324</v>
      </c>
      <c r="E842" s="3" t="b">
        <v>1</v>
      </c>
      <c r="F842" s="3" t="b">
        <v>0</v>
      </c>
      <c r="G842" s="3" t="s">
        <v>10003</v>
      </c>
      <c r="H842" s="4" t="str">
        <f>_xlfn.IFNA(IF(((INDEX(RulebookFields!C2:C1898, MATCH(D842,RulebookFields!A2:A1898, 0))="")=TRUE),  "",  INDEX(RulebookFields!C2:C1898, MATCH(D842,RulebookFields!A2:A1898, 0))), "")</f>
        <v>KnowledgeFragments</v>
      </c>
      <c r="I842" s="4" t="str">
        <f>_xlfn.IFNA(IF(((INDEX(RulebookFields!D2:D1898, MATCH(D842,RulebookFields!A2:A1898, 0))="")=TRUE),  "",  INDEX(RulebookFields!D2:D1898, MATCH(D842,RulebookFields!A2:A1898, 0))), "")</f>
        <v>ConsumingStepIsSoftwareAssigned</v>
      </c>
      <c r="J842" s="4" t="b">
        <f>_xlfn.IFNA(IF(((INDEX(RulebookFields!I2:I1898, MATCH(D842,RulebookFields!A2:A1898, 0))="")=TRUE),  "",  INDEX(RulebookFields!I2:I1898, MATCH(D842,RulebookFields!A2:A1898, 0))), "")</f>
        <v>1</v>
      </c>
      <c r="K842" s="4" t="b">
        <f>AND(((F842)=TRUE), ((J842)=TRUE))</f>
        <v>0</v>
      </c>
      <c r="L842" s="4" t="b">
        <f>AND(((G842 &lt;&gt; "plain")=TRUE), ((G842 &lt;&gt; "")=TRUE))</f>
        <v>0</v>
      </c>
      <c r="M842" s="4" t="str">
        <f>IF(((E842)=TRUE),  C842 &amp; "|" &amp; H842,  "")</f>
        <v>principal-process-steward|KnowledgeFragments</v>
      </c>
      <c r="N842" s="3" t="s">
        <v>10004</v>
      </c>
    </row>
    <row r="843">
      <c r="A843" s="3" t="s">
        <v>10845</v>
      </c>
      <c r="B843" s="4" t="str">
        <f>C843 &amp; " -&gt; " &amp; D843</f>
        <v>principal-process-steward -&gt; KnowledgeFragments.ConsumingStepAgentKind</v>
      </c>
      <c r="C843" s="3" t="s">
        <v>9772</v>
      </c>
      <c r="D843" s="3" t="s">
        <v>3326</v>
      </c>
      <c r="E843" s="3" t="b">
        <v>1</v>
      </c>
      <c r="F843" s="3" t="b">
        <v>0</v>
      </c>
      <c r="G843" s="3" t="s">
        <v>10003</v>
      </c>
      <c r="H843" s="4" t="str">
        <f>_xlfn.IFNA(IF(((INDEX(RulebookFields!C2:C1898, MATCH(D843,RulebookFields!A2:A1898, 0))="")=TRUE),  "",  INDEX(RulebookFields!C2:C1898, MATCH(D843,RulebookFields!A2:A1898, 0))), "")</f>
        <v>KnowledgeFragments</v>
      </c>
      <c r="I843" s="4" t="str">
        <f>_xlfn.IFNA(IF(((INDEX(RulebookFields!D2:D1898, MATCH(D843,RulebookFields!A2:A1898, 0))="")=TRUE),  "",  INDEX(RulebookFields!D2:D1898, MATCH(D843,RulebookFields!A2:A1898, 0))), "")</f>
        <v>ConsumingStepAgentKind</v>
      </c>
      <c r="J843" s="4" t="b">
        <f>_xlfn.IFNA(IF(((INDEX(RulebookFields!I2:I1898, MATCH(D843,RulebookFields!A2:A1898, 0))="")=TRUE),  "",  INDEX(RulebookFields!I2:I1898, MATCH(D843,RulebookFields!A2:A1898, 0))), "")</f>
        <v>1</v>
      </c>
      <c r="K843" s="4" t="b">
        <f>AND(((F843)=TRUE), ((J843)=TRUE))</f>
        <v>0</v>
      </c>
      <c r="L843" s="4" t="b">
        <f>AND(((G843 &lt;&gt; "plain")=TRUE), ((G843 &lt;&gt; "")=TRUE))</f>
        <v>0</v>
      </c>
      <c r="M843" s="4" t="str">
        <f>IF(((E843)=TRUE),  C843 &amp; "|" &amp; H843,  "")</f>
        <v>principal-process-steward|KnowledgeFragments</v>
      </c>
      <c r="N843" s="3" t="s">
        <v>10004</v>
      </c>
    </row>
    <row r="844">
      <c r="A844" s="3" t="s">
        <v>10846</v>
      </c>
      <c r="B844" s="4" t="str">
        <f>C844 &amp; " -&gt; " &amp; D844</f>
        <v>principal-process-steward -&gt; KnowledgeFragments.IsUnapprovedAndMachineConsumed</v>
      </c>
      <c r="C844" s="3" t="s">
        <v>9772</v>
      </c>
      <c r="D844" s="3" t="s">
        <v>3328</v>
      </c>
      <c r="E844" s="3" t="b">
        <v>1</v>
      </c>
      <c r="F844" s="3" t="b">
        <v>0</v>
      </c>
      <c r="G844" s="3" t="s">
        <v>10003</v>
      </c>
      <c r="H844" s="4" t="str">
        <f>_xlfn.IFNA(IF(((INDEX(RulebookFields!C2:C1898, MATCH(D844,RulebookFields!A2:A1898, 0))="")=TRUE),  "",  INDEX(RulebookFields!C2:C1898, MATCH(D844,RulebookFields!A2:A1898, 0))), "")</f>
        <v>KnowledgeFragments</v>
      </c>
      <c r="I844" s="4" t="str">
        <f>_xlfn.IFNA(IF(((INDEX(RulebookFields!D2:D1898, MATCH(D844,RulebookFields!A2:A1898, 0))="")=TRUE),  "",  INDEX(RulebookFields!D2:D1898, MATCH(D844,RulebookFields!A2:A1898, 0))), "")</f>
        <v>IsUnapprovedAndMachineConsumed</v>
      </c>
      <c r="J844" s="4" t="b">
        <f>_xlfn.IFNA(IF(((INDEX(RulebookFields!I2:I1898, MATCH(D844,RulebookFields!A2:A1898, 0))="")=TRUE),  "",  INDEX(RulebookFields!I2:I1898, MATCH(D844,RulebookFields!A2:A1898, 0))), "")</f>
        <v>1</v>
      </c>
      <c r="K844" s="4" t="b">
        <f>AND(((F844)=TRUE), ((J844)=TRUE))</f>
        <v>0</v>
      </c>
      <c r="L844" s="4" t="b">
        <f>AND(((G844 &lt;&gt; "plain")=TRUE), ((G844 &lt;&gt; "")=TRUE))</f>
        <v>0</v>
      </c>
      <c r="M844" s="4" t="str">
        <f>IF(((E844)=TRUE),  C844 &amp; "|" &amp; H844,  "")</f>
        <v>principal-process-steward|KnowledgeFragments</v>
      </c>
      <c r="N844" s="3" t="s">
        <v>10004</v>
      </c>
    </row>
    <row r="845">
      <c r="A845" s="3" t="s">
        <v>10847</v>
      </c>
      <c r="B845" s="4" t="str">
        <f>C845 &amp; " -&gt; " &amp; D845</f>
        <v>principal-process-steward -&gt; KnowledgeFragments.IsUnapprovedAndHumanConsumed</v>
      </c>
      <c r="C845" s="3" t="s">
        <v>9772</v>
      </c>
      <c r="D845" s="3" t="s">
        <v>3330</v>
      </c>
      <c r="E845" s="3" t="b">
        <v>1</v>
      </c>
      <c r="F845" s="3" t="b">
        <v>0</v>
      </c>
      <c r="G845" s="3" t="s">
        <v>10003</v>
      </c>
      <c r="H845" s="4" t="str">
        <f>_xlfn.IFNA(IF(((INDEX(RulebookFields!C2:C1898, MATCH(D845,RulebookFields!A2:A1898, 0))="")=TRUE),  "",  INDEX(RulebookFields!C2:C1898, MATCH(D845,RulebookFields!A2:A1898, 0))), "")</f>
        <v>KnowledgeFragments</v>
      </c>
      <c r="I845" s="4" t="str">
        <f>_xlfn.IFNA(IF(((INDEX(RulebookFields!D2:D1898, MATCH(D845,RulebookFields!A2:A1898, 0))="")=TRUE),  "",  INDEX(RulebookFields!D2:D1898, MATCH(D845,RulebookFields!A2:A1898, 0))), "")</f>
        <v>IsUnapprovedAndHumanConsumed</v>
      </c>
      <c r="J845" s="4" t="b">
        <f>_xlfn.IFNA(IF(((INDEX(RulebookFields!I2:I1898, MATCH(D845,RulebookFields!A2:A1898, 0))="")=TRUE),  "",  INDEX(RulebookFields!I2:I1898, MATCH(D845,RulebookFields!A2:A1898, 0))), "")</f>
        <v>1</v>
      </c>
      <c r="K845" s="4" t="b">
        <f>AND(((F845)=TRUE), ((J845)=TRUE))</f>
        <v>0</v>
      </c>
      <c r="L845" s="4" t="b">
        <f>AND(((G845 &lt;&gt; "plain")=TRUE), ((G845 &lt;&gt; "")=TRUE))</f>
        <v>0</v>
      </c>
      <c r="M845" s="4" t="str">
        <f>IF(((E845)=TRUE),  C845 &amp; "|" &amp; H845,  "")</f>
        <v>principal-process-steward|KnowledgeFragments</v>
      </c>
      <c r="N845" s="3" t="s">
        <v>10004</v>
      </c>
    </row>
    <row r="846">
      <c r="A846" s="3" t="s">
        <v>10848</v>
      </c>
      <c r="B846" s="4" t="str">
        <f>C846 &amp; " -&gt; " &amp; D846</f>
        <v>principal-process-steward -&gt; KnowledgeFragments.MachineConsumedUnapprovedVersionKey</v>
      </c>
      <c r="C846" s="3" t="s">
        <v>9772</v>
      </c>
      <c r="D846" s="3" t="s">
        <v>3332</v>
      </c>
      <c r="E846" s="3" t="b">
        <v>1</v>
      </c>
      <c r="F846" s="3" t="b">
        <v>0</v>
      </c>
      <c r="G846" s="3" t="s">
        <v>10003</v>
      </c>
      <c r="H846" s="4" t="str">
        <f>_xlfn.IFNA(IF(((INDEX(RulebookFields!C2:C1898, MATCH(D846,RulebookFields!A2:A1898, 0))="")=TRUE),  "",  INDEX(RulebookFields!C2:C1898, MATCH(D846,RulebookFields!A2:A1898, 0))), "")</f>
        <v>KnowledgeFragments</v>
      </c>
      <c r="I846" s="4" t="str">
        <f>_xlfn.IFNA(IF(((INDEX(RulebookFields!D2:D1898, MATCH(D846,RulebookFields!A2:A1898, 0))="")=TRUE),  "",  INDEX(RulebookFields!D2:D1898, MATCH(D846,RulebookFields!A2:A1898, 0))), "")</f>
        <v>MachineConsumedUnapprovedVersionKey</v>
      </c>
      <c r="J846" s="4" t="b">
        <f>_xlfn.IFNA(IF(((INDEX(RulebookFields!I2:I1898, MATCH(D846,RulebookFields!A2:A1898, 0))="")=TRUE),  "",  INDEX(RulebookFields!I2:I1898, MATCH(D846,RulebookFields!A2:A1898, 0))), "")</f>
        <v>1</v>
      </c>
      <c r="K846" s="4" t="b">
        <f>AND(((F846)=TRUE), ((J846)=TRUE))</f>
        <v>0</v>
      </c>
      <c r="L846" s="4" t="b">
        <f>AND(((G846 &lt;&gt; "plain")=TRUE), ((G846 &lt;&gt; "")=TRUE))</f>
        <v>0</v>
      </c>
      <c r="M846" s="4" t="str">
        <f>IF(((E846)=TRUE),  C846 &amp; "|" &amp; H846,  "")</f>
        <v>principal-process-steward|KnowledgeFragments</v>
      </c>
      <c r="N846" s="3" t="s">
        <v>10004</v>
      </c>
    </row>
    <row r="847">
      <c r="A847" s="3" t="s">
        <v>10849</v>
      </c>
      <c r="B847" s="4" t="str">
        <f>C847 &amp; " -&gt; " &amp; D847</f>
        <v>principal-process-steward -&gt; KnowledgeFragments.HasReviewRecord</v>
      </c>
      <c r="C847" s="3" t="s">
        <v>9772</v>
      </c>
      <c r="D847" s="3" t="s">
        <v>3334</v>
      </c>
      <c r="E847" s="3" t="b">
        <v>1</v>
      </c>
      <c r="F847" s="3" t="b">
        <v>0</v>
      </c>
      <c r="G847" s="3" t="s">
        <v>10003</v>
      </c>
      <c r="H847" s="4" t="str">
        <f>_xlfn.IFNA(IF(((INDEX(RulebookFields!C2:C1898, MATCH(D847,RulebookFields!A2:A1898, 0))="")=TRUE),  "",  INDEX(RulebookFields!C2:C1898, MATCH(D847,RulebookFields!A2:A1898, 0))), "")</f>
        <v>KnowledgeFragments</v>
      </c>
      <c r="I847" s="4" t="str">
        <f>_xlfn.IFNA(IF(((INDEX(RulebookFields!D2:D1898, MATCH(D847,RulebookFields!A2:A1898, 0))="")=TRUE),  "",  INDEX(RulebookFields!D2:D1898, MATCH(D847,RulebookFields!A2:A1898, 0))), "")</f>
        <v>HasReviewRecord</v>
      </c>
      <c r="J847" s="4" t="b">
        <f>_xlfn.IFNA(IF(((INDEX(RulebookFields!I2:I1898, MATCH(D847,RulebookFields!A2:A1898, 0))="")=TRUE),  "",  INDEX(RulebookFields!I2:I1898, MATCH(D847,RulebookFields!A2:A1898, 0))), "")</f>
        <v>1</v>
      </c>
      <c r="K847" s="4" t="b">
        <f>AND(((F847)=TRUE), ((J847)=TRUE))</f>
        <v>0</v>
      </c>
      <c r="L847" s="4" t="b">
        <f>AND(((G847 &lt;&gt; "plain")=TRUE), ((G847 &lt;&gt; "")=TRUE))</f>
        <v>0</v>
      </c>
      <c r="M847" s="4" t="str">
        <f>IF(((E847)=TRUE),  C847 &amp; "|" &amp; H847,  "")</f>
        <v>principal-process-steward|KnowledgeFragments</v>
      </c>
      <c r="N847" s="3" t="s">
        <v>10004</v>
      </c>
    </row>
    <row r="848">
      <c r="A848" s="3" t="s">
        <v>10850</v>
      </c>
      <c r="B848" s="4" t="str">
        <f>C848 &amp; " -&gt; " &amp; D848</f>
        <v>principal-process-steward -&gt; KnowledgeFragments.DaysSinceActualReview</v>
      </c>
      <c r="C848" s="3" t="s">
        <v>9772</v>
      </c>
      <c r="D848" s="3" t="s">
        <v>3336</v>
      </c>
      <c r="E848" s="3" t="b">
        <v>1</v>
      </c>
      <c r="F848" s="3" t="b">
        <v>0</v>
      </c>
      <c r="G848" s="3" t="s">
        <v>10003</v>
      </c>
      <c r="H848" s="4" t="str">
        <f>_xlfn.IFNA(IF(((INDEX(RulebookFields!C2:C1898, MATCH(D848,RulebookFields!A2:A1898, 0))="")=TRUE),  "",  INDEX(RulebookFields!C2:C1898, MATCH(D848,RulebookFields!A2:A1898, 0))), "")</f>
        <v>KnowledgeFragments</v>
      </c>
      <c r="I848" s="4" t="str">
        <f>_xlfn.IFNA(IF(((INDEX(RulebookFields!D2:D1898, MATCH(D848,RulebookFields!A2:A1898, 0))="")=TRUE),  "",  INDEX(RulebookFields!D2:D1898, MATCH(D848,RulebookFields!A2:A1898, 0))), "")</f>
        <v>DaysSinceActualReview</v>
      </c>
      <c r="J848" s="4" t="b">
        <f>_xlfn.IFNA(IF(((INDEX(RulebookFields!I2:I1898, MATCH(D848,RulebookFields!A2:A1898, 0))="")=TRUE),  "",  INDEX(RulebookFields!I2:I1898, MATCH(D848,RulebookFields!A2:A1898, 0))), "")</f>
        <v>1</v>
      </c>
      <c r="K848" s="4" t="b">
        <f>AND(((F848)=TRUE), ((J848)=TRUE))</f>
        <v>0</v>
      </c>
      <c r="L848" s="4" t="b">
        <f>AND(((G848 &lt;&gt; "plain")=TRUE), ((G848 &lt;&gt; "")=TRUE))</f>
        <v>0</v>
      </c>
      <c r="M848" s="4" t="str">
        <f>IF(((E848)=TRUE),  C848 &amp; "|" &amp; H848,  "")</f>
        <v>principal-process-steward|KnowledgeFragments</v>
      </c>
      <c r="N848" s="3" t="s">
        <v>10004</v>
      </c>
    </row>
    <row r="849">
      <c r="A849" s="3" t="s">
        <v>10851</v>
      </c>
      <c r="B849" s="4" t="str">
        <f>C849 &amp; " -&gt; " &amp; D849</f>
        <v>principal-process-steward -&gt; KnowledgeFragments.IsUnreviewedSinceAuthoring</v>
      </c>
      <c r="C849" s="3" t="s">
        <v>9772</v>
      </c>
      <c r="D849" s="3" t="s">
        <v>3338</v>
      </c>
      <c r="E849" s="3" t="b">
        <v>1</v>
      </c>
      <c r="F849" s="3" t="b">
        <v>0</v>
      </c>
      <c r="G849" s="3" t="s">
        <v>10003</v>
      </c>
      <c r="H849" s="4" t="str">
        <f>_xlfn.IFNA(IF(((INDEX(RulebookFields!C2:C1898, MATCH(D849,RulebookFields!A2:A1898, 0))="")=TRUE),  "",  INDEX(RulebookFields!C2:C1898, MATCH(D849,RulebookFields!A2:A1898, 0))), "")</f>
        <v>KnowledgeFragments</v>
      </c>
      <c r="I849" s="4" t="str">
        <f>_xlfn.IFNA(IF(((INDEX(RulebookFields!D2:D1898, MATCH(D849,RulebookFields!A2:A1898, 0))="")=TRUE),  "",  INDEX(RulebookFields!D2:D1898, MATCH(D849,RulebookFields!A2:A1898, 0))), "")</f>
        <v>IsUnreviewedSinceAuthoring</v>
      </c>
      <c r="J849" s="4" t="b">
        <f>_xlfn.IFNA(IF(((INDEX(RulebookFields!I2:I1898, MATCH(D849,RulebookFields!A2:A1898, 0))="")=TRUE),  "",  INDEX(RulebookFields!I2:I1898, MATCH(D849,RulebookFields!A2:A1898, 0))), "")</f>
        <v>1</v>
      </c>
      <c r="K849" s="4" t="b">
        <f>AND(((F849)=TRUE), ((J849)=TRUE))</f>
        <v>0</v>
      </c>
      <c r="L849" s="4" t="b">
        <f>AND(((G849 &lt;&gt; "plain")=TRUE), ((G849 &lt;&gt; "")=TRUE))</f>
        <v>0</v>
      </c>
      <c r="M849" s="4" t="str">
        <f>IF(((E849)=TRUE),  C849 &amp; "|" &amp; H849,  "")</f>
        <v>principal-process-steward|KnowledgeFragments</v>
      </c>
      <c r="N849" s="3" t="s">
        <v>10004</v>
      </c>
    </row>
    <row r="850">
      <c r="A850" s="3" t="s">
        <v>10852</v>
      </c>
      <c r="B850" s="4" t="str">
        <f>C850 &amp; " -&gt; " &amp; D850</f>
        <v>principal-process-steward -&gt; KnowledgeFragments.IsGenuinelyOverdue</v>
      </c>
      <c r="C850" s="3" t="s">
        <v>9772</v>
      </c>
      <c r="D850" s="3" t="s">
        <v>3340</v>
      </c>
      <c r="E850" s="3" t="b">
        <v>1</v>
      </c>
      <c r="F850" s="3" t="b">
        <v>0</v>
      </c>
      <c r="G850" s="3" t="s">
        <v>10003</v>
      </c>
      <c r="H850" s="4" t="str">
        <f>_xlfn.IFNA(IF(((INDEX(RulebookFields!C2:C1898, MATCH(D850,RulebookFields!A2:A1898, 0))="")=TRUE),  "",  INDEX(RulebookFields!C2:C1898, MATCH(D850,RulebookFields!A2:A1898, 0))), "")</f>
        <v>KnowledgeFragments</v>
      </c>
      <c r="I850" s="4" t="str">
        <f>_xlfn.IFNA(IF(((INDEX(RulebookFields!D2:D1898, MATCH(D850,RulebookFields!A2:A1898, 0))="")=TRUE),  "",  INDEX(RulebookFields!D2:D1898, MATCH(D850,RulebookFields!A2:A1898, 0))), "")</f>
        <v>IsGenuinelyOverdue</v>
      </c>
      <c r="J850" s="4" t="b">
        <f>_xlfn.IFNA(IF(((INDEX(RulebookFields!I2:I1898, MATCH(D850,RulebookFields!A2:A1898, 0))="")=TRUE),  "",  INDEX(RulebookFields!I2:I1898, MATCH(D850,RulebookFields!A2:A1898, 0))), "")</f>
        <v>1</v>
      </c>
      <c r="K850" s="4" t="b">
        <f>AND(((F850)=TRUE), ((J850)=TRUE))</f>
        <v>0</v>
      </c>
      <c r="L850" s="4" t="b">
        <f>AND(((G850 &lt;&gt; "plain")=TRUE), ((G850 &lt;&gt; "")=TRUE))</f>
        <v>0</v>
      </c>
      <c r="M850" s="4" t="str">
        <f>IF(((E850)=TRUE),  C850 &amp; "|" &amp; H850,  "")</f>
        <v>principal-process-steward|KnowledgeFragments</v>
      </c>
      <c r="N850" s="3" t="s">
        <v>10004</v>
      </c>
    </row>
    <row r="851">
      <c r="A851" s="3" t="s">
        <v>10853</v>
      </c>
      <c r="B851" s="4" t="str">
        <f>C851 &amp; " -&gt; " &amp; D851</f>
        <v>principal-process-steward -&gt; KnowledgeFragments.ReviewRecencyIsInferred</v>
      </c>
      <c r="C851" s="3" t="s">
        <v>9772</v>
      </c>
      <c r="D851" s="3" t="s">
        <v>3342</v>
      </c>
      <c r="E851" s="3" t="b">
        <v>1</v>
      </c>
      <c r="F851" s="3" t="b">
        <v>0</v>
      </c>
      <c r="G851" s="3" t="s">
        <v>10003</v>
      </c>
      <c r="H851" s="4" t="str">
        <f>_xlfn.IFNA(IF(((INDEX(RulebookFields!C2:C1898, MATCH(D851,RulebookFields!A2:A1898, 0))="")=TRUE),  "",  INDEX(RulebookFields!C2:C1898, MATCH(D851,RulebookFields!A2:A1898, 0))), "")</f>
        <v>KnowledgeFragments</v>
      </c>
      <c r="I851" s="4" t="str">
        <f>_xlfn.IFNA(IF(((INDEX(RulebookFields!D2:D1898, MATCH(D851,RulebookFields!A2:A1898, 0))="")=TRUE),  "",  INDEX(RulebookFields!D2:D1898, MATCH(D851,RulebookFields!A2:A1898, 0))), "")</f>
        <v>ReviewRecencyIsInferred</v>
      </c>
      <c r="J851" s="4" t="b">
        <f>_xlfn.IFNA(IF(((INDEX(RulebookFields!I2:I1898, MATCH(D851,RulebookFields!A2:A1898, 0))="")=TRUE),  "",  INDEX(RulebookFields!I2:I1898, MATCH(D851,RulebookFields!A2:A1898, 0))), "")</f>
        <v>1</v>
      </c>
      <c r="K851" s="4" t="b">
        <f>AND(((F851)=TRUE), ((J851)=TRUE))</f>
        <v>0</v>
      </c>
      <c r="L851" s="4" t="b">
        <f>AND(((G851 &lt;&gt; "plain")=TRUE), ((G851 &lt;&gt; "")=TRUE))</f>
        <v>0</v>
      </c>
      <c r="M851" s="4" t="str">
        <f>IF(((E851)=TRUE),  C851 &amp; "|" &amp; H851,  "")</f>
        <v>principal-process-steward|KnowledgeFragments</v>
      </c>
      <c r="N851" s="3" t="s">
        <v>10004</v>
      </c>
    </row>
    <row r="852">
      <c r="A852" s="3" t="s">
        <v>10854</v>
      </c>
      <c r="B852" s="4" t="str">
        <f>C852 &amp; " -&gt; " &amp; D852</f>
        <v>principal-process-steward -&gt; KnowledgeFragments.InferenceDisagreesWithRecord</v>
      </c>
      <c r="C852" s="3" t="s">
        <v>9772</v>
      </c>
      <c r="D852" s="3" t="s">
        <v>3344</v>
      </c>
      <c r="E852" s="3" t="b">
        <v>1</v>
      </c>
      <c r="F852" s="3" t="b">
        <v>0</v>
      </c>
      <c r="G852" s="3" t="s">
        <v>10003</v>
      </c>
      <c r="H852" s="4" t="str">
        <f>_xlfn.IFNA(IF(((INDEX(RulebookFields!C2:C1898, MATCH(D852,RulebookFields!A2:A1898, 0))="")=TRUE),  "",  INDEX(RulebookFields!C2:C1898, MATCH(D852,RulebookFields!A2:A1898, 0))), "")</f>
        <v>KnowledgeFragments</v>
      </c>
      <c r="I852" s="4" t="str">
        <f>_xlfn.IFNA(IF(((INDEX(RulebookFields!D2:D1898, MATCH(D852,RulebookFields!A2:A1898, 0))="")=TRUE),  "",  INDEX(RulebookFields!D2:D1898, MATCH(D852,RulebookFields!A2:A1898, 0))), "")</f>
        <v>InferenceDisagreesWithRecord</v>
      </c>
      <c r="J852" s="4" t="b">
        <f>_xlfn.IFNA(IF(((INDEX(RulebookFields!I2:I1898, MATCH(D852,RulebookFields!A2:A1898, 0))="")=TRUE),  "",  INDEX(RulebookFields!I2:I1898, MATCH(D852,RulebookFields!A2:A1898, 0))), "")</f>
        <v>1</v>
      </c>
      <c r="K852" s="4" t="b">
        <f>AND(((F852)=TRUE), ((J852)=TRUE))</f>
        <v>0</v>
      </c>
      <c r="L852" s="4" t="b">
        <f>AND(((G852 &lt;&gt; "plain")=TRUE), ((G852 &lt;&gt; "")=TRUE))</f>
        <v>0</v>
      </c>
      <c r="M852" s="4" t="str">
        <f>IF(((E852)=TRUE),  C852 &amp; "|" &amp; H852,  "")</f>
        <v>principal-process-steward|KnowledgeFragments</v>
      </c>
      <c r="N852" s="3" t="s">
        <v>10004</v>
      </c>
    </row>
    <row r="853">
      <c r="A853" s="3" t="s">
        <v>10855</v>
      </c>
      <c r="B853" s="4" t="str">
        <f>C853 &amp; " -&gt; " &amp; D853</f>
        <v>principal-process-steward -&gt; KnowledgeFragments.GenuinelyOverdueVersionKey</v>
      </c>
      <c r="C853" s="3" t="s">
        <v>9772</v>
      </c>
      <c r="D853" s="3" t="s">
        <v>3346</v>
      </c>
      <c r="E853" s="3" t="b">
        <v>1</v>
      </c>
      <c r="F853" s="3" t="b">
        <v>0</v>
      </c>
      <c r="G853" s="3" t="s">
        <v>10003</v>
      </c>
      <c r="H853" s="4" t="str">
        <f>_xlfn.IFNA(IF(((INDEX(RulebookFields!C2:C1898, MATCH(D853,RulebookFields!A2:A1898, 0))="")=TRUE),  "",  INDEX(RulebookFields!C2:C1898, MATCH(D853,RulebookFields!A2:A1898, 0))), "")</f>
        <v>KnowledgeFragments</v>
      </c>
      <c r="I853" s="4" t="str">
        <f>_xlfn.IFNA(IF(((INDEX(RulebookFields!D2:D1898, MATCH(D853,RulebookFields!A2:A1898, 0))="")=TRUE),  "",  INDEX(RulebookFields!D2:D1898, MATCH(D853,RulebookFields!A2:A1898, 0))), "")</f>
        <v>GenuinelyOverdueVersionKey</v>
      </c>
      <c r="J853" s="4" t="b">
        <f>_xlfn.IFNA(IF(((INDEX(RulebookFields!I2:I1898, MATCH(D853,RulebookFields!A2:A1898, 0))="")=TRUE),  "",  INDEX(RulebookFields!I2:I1898, MATCH(D853,RulebookFields!A2:A1898, 0))), "")</f>
        <v>1</v>
      </c>
      <c r="K853" s="4" t="b">
        <f>AND(((F853)=TRUE), ((J853)=TRUE))</f>
        <v>0</v>
      </c>
      <c r="L853" s="4" t="b">
        <f>AND(((G853 &lt;&gt; "plain")=TRUE), ((G853 &lt;&gt; "")=TRUE))</f>
        <v>0</v>
      </c>
      <c r="M853" s="4" t="str">
        <f>IF(((E853)=TRUE),  C853 &amp; "|" &amp; H853,  "")</f>
        <v>principal-process-steward|KnowledgeFragments</v>
      </c>
      <c r="N853" s="3" t="s">
        <v>10004</v>
      </c>
    </row>
    <row r="854">
      <c r="A854" s="3" t="s">
        <v>10856</v>
      </c>
      <c r="B854" s="4" t="str">
        <f>C854 &amp; " -&gt; " &amp; D854</f>
        <v>principal-process-steward -&gt; KnowledgeFragments.RatifiedBoundaryCount</v>
      </c>
      <c r="C854" s="3" t="s">
        <v>9772</v>
      </c>
      <c r="D854" s="3" t="s">
        <v>3348</v>
      </c>
      <c r="E854" s="3" t="b">
        <v>1</v>
      </c>
      <c r="F854" s="3" t="b">
        <v>0</v>
      </c>
      <c r="G854" s="3" t="s">
        <v>10003</v>
      </c>
      <c r="H854" s="4" t="str">
        <f>_xlfn.IFNA(IF(((INDEX(RulebookFields!C2:C1898, MATCH(D854,RulebookFields!A2:A1898, 0))="")=TRUE),  "",  INDEX(RulebookFields!C2:C1898, MATCH(D854,RulebookFields!A2:A1898, 0))), "")</f>
        <v>KnowledgeFragments</v>
      </c>
      <c r="I854" s="4" t="str">
        <f>_xlfn.IFNA(IF(((INDEX(RulebookFields!D2:D1898, MATCH(D854,RulebookFields!A2:A1898, 0))="")=TRUE),  "",  INDEX(RulebookFields!D2:D1898, MATCH(D854,RulebookFields!A2:A1898, 0))), "")</f>
        <v>RatifiedBoundaryCount</v>
      </c>
      <c r="J854" s="4" t="b">
        <f>_xlfn.IFNA(IF(((INDEX(RulebookFields!I2:I1898, MATCH(D854,RulebookFields!A2:A1898, 0))="")=TRUE),  "",  INDEX(RulebookFields!I2:I1898, MATCH(D854,RulebookFields!A2:A1898, 0))), "")</f>
        <v>1</v>
      </c>
      <c r="K854" s="4" t="b">
        <f>AND(((F854)=TRUE), ((J854)=TRUE))</f>
        <v>0</v>
      </c>
      <c r="L854" s="4" t="b">
        <f>AND(((G854 &lt;&gt; "plain")=TRUE), ((G854 &lt;&gt; "")=TRUE))</f>
        <v>0</v>
      </c>
      <c r="M854" s="4" t="str">
        <f>IF(((E854)=TRUE),  C854 &amp; "|" &amp; H854,  "")</f>
        <v>principal-process-steward|KnowledgeFragments</v>
      </c>
      <c r="N854" s="3" t="s">
        <v>10004</v>
      </c>
    </row>
    <row r="855">
      <c r="A855" s="3" t="s">
        <v>10857</v>
      </c>
      <c r="B855" s="4" t="str">
        <f>C855 &amp; " -&gt; " &amp; D855</f>
        <v>principal-process-steward -&gt; KnowledgeFragments.RelianceSurfaceCount</v>
      </c>
      <c r="C855" s="3" t="s">
        <v>9772</v>
      </c>
      <c r="D855" s="3" t="s">
        <v>3350</v>
      </c>
      <c r="E855" s="3" t="b">
        <v>1</v>
      </c>
      <c r="F855" s="3" t="b">
        <v>0</v>
      </c>
      <c r="G855" s="3" t="s">
        <v>10003</v>
      </c>
      <c r="H855" s="4" t="str">
        <f>_xlfn.IFNA(IF(((INDEX(RulebookFields!C2:C1898, MATCH(D855,RulebookFields!A2:A1898, 0))="")=TRUE),  "",  INDEX(RulebookFields!C2:C1898, MATCH(D855,RulebookFields!A2:A1898, 0))), "")</f>
        <v>KnowledgeFragments</v>
      </c>
      <c r="I855" s="4" t="str">
        <f>_xlfn.IFNA(IF(((INDEX(RulebookFields!D2:D1898, MATCH(D855,RulebookFields!A2:A1898, 0))="")=TRUE),  "",  INDEX(RulebookFields!D2:D1898, MATCH(D855,RulebookFields!A2:A1898, 0))), "")</f>
        <v>RelianceSurfaceCount</v>
      </c>
      <c r="J855" s="4" t="b">
        <f>_xlfn.IFNA(IF(((INDEX(RulebookFields!I2:I1898, MATCH(D855,RulebookFields!A2:A1898, 0))="")=TRUE),  "",  INDEX(RulebookFields!I2:I1898, MATCH(D855,RulebookFields!A2:A1898, 0))), "")</f>
        <v>1</v>
      </c>
      <c r="K855" s="4" t="b">
        <f>AND(((F855)=TRUE), ((J855)=TRUE))</f>
        <v>0</v>
      </c>
      <c r="L855" s="4" t="b">
        <f>AND(((G855 &lt;&gt; "plain")=TRUE), ((G855 &lt;&gt; "")=TRUE))</f>
        <v>0</v>
      </c>
      <c r="M855" s="4" t="str">
        <f>IF(((E855)=TRUE),  C855 &amp; "|" &amp; H855,  "")</f>
        <v>principal-process-steward|KnowledgeFragments</v>
      </c>
      <c r="N855" s="3" t="s">
        <v>10004</v>
      </c>
    </row>
    <row r="856">
      <c r="A856" s="3" t="s">
        <v>10858</v>
      </c>
      <c r="B856" s="4" t="str">
        <f>C856 &amp; " -&gt; " &amp; D856</f>
        <v>principal-process-steward -&gt; KnowledgeFragments.DaysAwaitingMyApproval</v>
      </c>
      <c r="C856" s="3" t="s">
        <v>9772</v>
      </c>
      <c r="D856" s="3" t="s">
        <v>3352</v>
      </c>
      <c r="E856" s="3" t="b">
        <v>1</v>
      </c>
      <c r="F856" s="3" t="b">
        <v>0</v>
      </c>
      <c r="G856" s="3" t="s">
        <v>10003</v>
      </c>
      <c r="H856" s="4" t="str">
        <f>_xlfn.IFNA(IF(((INDEX(RulebookFields!C2:C1898, MATCH(D856,RulebookFields!A2:A1898, 0))="")=TRUE),  "",  INDEX(RulebookFields!C2:C1898, MATCH(D856,RulebookFields!A2:A1898, 0))), "")</f>
        <v>KnowledgeFragments</v>
      </c>
      <c r="I856" s="4" t="str">
        <f>_xlfn.IFNA(IF(((INDEX(RulebookFields!D2:D1898, MATCH(D856,RulebookFields!A2:A1898, 0))="")=TRUE),  "",  INDEX(RulebookFields!D2:D1898, MATCH(D856,RulebookFields!A2:A1898, 0))), "")</f>
        <v>DaysAwaitingMyApproval</v>
      </c>
      <c r="J856" s="4" t="b">
        <f>_xlfn.IFNA(IF(((INDEX(RulebookFields!I2:I1898, MATCH(D856,RulebookFields!A2:A1898, 0))="")=TRUE),  "",  INDEX(RulebookFields!I2:I1898, MATCH(D856,RulebookFields!A2:A1898, 0))), "")</f>
        <v>1</v>
      </c>
      <c r="K856" s="4" t="b">
        <f>AND(((F856)=TRUE), ((J856)=TRUE))</f>
        <v>0</v>
      </c>
      <c r="L856" s="4" t="b">
        <f>AND(((G856 &lt;&gt; "plain")=TRUE), ((G856 &lt;&gt; "")=TRUE))</f>
        <v>0</v>
      </c>
      <c r="M856" s="4" t="str">
        <f>IF(((E856)=TRUE),  C856 &amp; "|" &amp; H856,  "")</f>
        <v>principal-process-steward|KnowledgeFragments</v>
      </c>
      <c r="N856" s="3" t="s">
        <v>10004</v>
      </c>
    </row>
    <row r="857">
      <c r="A857" s="3" t="s">
        <v>10859</v>
      </c>
      <c r="B857" s="4" t="str">
        <f>C857 &amp; " -&gt; " &amp; D857</f>
        <v>principal-process-steward -&gt; KnowledgeFragments.IsHighBlastRadiusUnapproved</v>
      </c>
      <c r="C857" s="3" t="s">
        <v>9772</v>
      </c>
      <c r="D857" s="3" t="s">
        <v>3354</v>
      </c>
      <c r="E857" s="3" t="b">
        <v>1</v>
      </c>
      <c r="F857" s="3" t="b">
        <v>0</v>
      </c>
      <c r="G857" s="3" t="s">
        <v>10003</v>
      </c>
      <c r="H857" s="4" t="str">
        <f>_xlfn.IFNA(IF(((INDEX(RulebookFields!C2:C1898, MATCH(D857,RulebookFields!A2:A1898, 0))="")=TRUE),  "",  INDEX(RulebookFields!C2:C1898, MATCH(D857,RulebookFields!A2:A1898, 0))), "")</f>
        <v>KnowledgeFragments</v>
      </c>
      <c r="I857" s="4" t="str">
        <f>_xlfn.IFNA(IF(((INDEX(RulebookFields!D2:D1898, MATCH(D857,RulebookFields!A2:A1898, 0))="")=TRUE),  "",  INDEX(RulebookFields!D2:D1898, MATCH(D857,RulebookFields!A2:A1898, 0))), "")</f>
        <v>IsHighBlastRadiusUnapproved</v>
      </c>
      <c r="J857" s="4" t="b">
        <f>_xlfn.IFNA(IF(((INDEX(RulebookFields!I2:I1898, MATCH(D857,RulebookFields!A2:A1898, 0))="")=TRUE),  "",  INDEX(RulebookFields!I2:I1898, MATCH(D857,RulebookFields!A2:A1898, 0))), "")</f>
        <v>1</v>
      </c>
      <c r="K857" s="4" t="b">
        <f>AND(((F857)=TRUE), ((J857)=TRUE))</f>
        <v>0</v>
      </c>
      <c r="L857" s="4" t="b">
        <f>AND(((G857 &lt;&gt; "plain")=TRUE), ((G857 &lt;&gt; "")=TRUE))</f>
        <v>0</v>
      </c>
      <c r="M857" s="4" t="str">
        <f>IF(((E857)=TRUE),  C857 &amp; "|" &amp; H857,  "")</f>
        <v>principal-process-steward|KnowledgeFragments</v>
      </c>
      <c r="N857" s="3" t="s">
        <v>10004</v>
      </c>
    </row>
    <row r="858">
      <c r="A858" s="3" t="s">
        <v>10860</v>
      </c>
      <c r="B858" s="4" t="str">
        <f>C858 &amp; " -&gt; " &amp; D858</f>
        <v>principal-process-steward -&gt; KnowledgeFragments.IsLongUnapproved</v>
      </c>
      <c r="C858" s="3" t="s">
        <v>9772</v>
      </c>
      <c r="D858" s="3" t="s">
        <v>3356</v>
      </c>
      <c r="E858" s="3" t="b">
        <v>1</v>
      </c>
      <c r="F858" s="3" t="b">
        <v>0</v>
      </c>
      <c r="G858" s="3" t="s">
        <v>10003</v>
      </c>
      <c r="H858" s="4" t="str">
        <f>_xlfn.IFNA(IF(((INDEX(RulebookFields!C2:C1898, MATCH(D858,RulebookFields!A2:A1898, 0))="")=TRUE),  "",  INDEX(RulebookFields!C2:C1898, MATCH(D858,RulebookFields!A2:A1898, 0))), "")</f>
        <v>KnowledgeFragments</v>
      </c>
      <c r="I858" s="4" t="str">
        <f>_xlfn.IFNA(IF(((INDEX(RulebookFields!D2:D1898, MATCH(D858,RulebookFields!A2:A1898, 0))="")=TRUE),  "",  INDEX(RulebookFields!D2:D1898, MATCH(D858,RulebookFields!A2:A1898, 0))), "")</f>
        <v>IsLongUnapproved</v>
      </c>
      <c r="J858" s="4" t="b">
        <f>_xlfn.IFNA(IF(((INDEX(RulebookFields!I2:I1898, MATCH(D858,RulebookFields!A2:A1898, 0))="")=TRUE),  "",  INDEX(RulebookFields!I2:I1898, MATCH(D858,RulebookFields!A2:A1898, 0))), "")</f>
        <v>1</v>
      </c>
      <c r="K858" s="4" t="b">
        <f>AND(((F858)=TRUE), ((J858)=TRUE))</f>
        <v>0</v>
      </c>
      <c r="L858" s="4" t="b">
        <f>AND(((G858 &lt;&gt; "plain")=TRUE), ((G858 &lt;&gt; "")=TRUE))</f>
        <v>0</v>
      </c>
      <c r="M858" s="4" t="str">
        <f>IF(((E858)=TRUE),  C858 &amp; "|" &amp; H858,  "")</f>
        <v>principal-process-steward|KnowledgeFragments</v>
      </c>
      <c r="N858" s="3" t="s">
        <v>10004</v>
      </c>
    </row>
    <row r="859">
      <c r="A859" s="3" t="s">
        <v>10861</v>
      </c>
      <c r="B859" s="4" t="str">
        <f>C859 &amp; " -&gt; " &amp; D859</f>
        <v>principal-process-steward -&gt; KnowledgeFragments.UnapprovedLoadBearingVersionKey</v>
      </c>
      <c r="C859" s="3" t="s">
        <v>9772</v>
      </c>
      <c r="D859" s="3" t="s">
        <v>3358</v>
      </c>
      <c r="E859" s="3" t="b">
        <v>1</v>
      </c>
      <c r="F859" s="3" t="b">
        <v>0</v>
      </c>
      <c r="G859" s="3" t="s">
        <v>10003</v>
      </c>
      <c r="H859" s="4" t="str">
        <f>_xlfn.IFNA(IF(((INDEX(RulebookFields!C2:C1898, MATCH(D859,RulebookFields!A2:A1898, 0))="")=TRUE),  "",  INDEX(RulebookFields!C2:C1898, MATCH(D859,RulebookFields!A2:A1898, 0))), "")</f>
        <v>KnowledgeFragments</v>
      </c>
      <c r="I859" s="4" t="str">
        <f>_xlfn.IFNA(IF(((INDEX(RulebookFields!D2:D1898, MATCH(D859,RulebookFields!A2:A1898, 0))="")=TRUE),  "",  INDEX(RulebookFields!D2:D1898, MATCH(D859,RulebookFields!A2:A1898, 0))), "")</f>
        <v>UnapprovedLoadBearingVersionKey</v>
      </c>
      <c r="J859" s="4" t="b">
        <f>_xlfn.IFNA(IF(((INDEX(RulebookFields!I2:I1898, MATCH(D859,RulebookFields!A2:A1898, 0))="")=TRUE),  "",  INDEX(RulebookFields!I2:I1898, MATCH(D859,RulebookFields!A2:A1898, 0))), "")</f>
        <v>1</v>
      </c>
      <c r="K859" s="4" t="b">
        <f>AND(((F859)=TRUE), ((J859)=TRUE))</f>
        <v>0</v>
      </c>
      <c r="L859" s="4" t="b">
        <f>AND(((G859 &lt;&gt; "plain")=TRUE), ((G859 &lt;&gt; "")=TRUE))</f>
        <v>0</v>
      </c>
      <c r="M859" s="4" t="str">
        <f>IF(((E859)=TRUE),  C859 &amp; "|" &amp; H859,  "")</f>
        <v>principal-process-steward|KnowledgeFragments</v>
      </c>
      <c r="N859" s="3" t="s">
        <v>10004</v>
      </c>
    </row>
    <row r="860">
      <c r="A860" s="3" t="s">
        <v>10862</v>
      </c>
      <c r="B860" s="4" t="str">
        <f>C860 &amp; " -&gt; " &amp; D860</f>
        <v>principal-process-steward -&gt; KnowledgeFragments.OwnerRoleIsVacated</v>
      </c>
      <c r="C860" s="3" t="s">
        <v>9772</v>
      </c>
      <c r="D860" s="3" t="s">
        <v>3360</v>
      </c>
      <c r="E860" s="3" t="b">
        <v>1</v>
      </c>
      <c r="F860" s="3" t="b">
        <v>0</v>
      </c>
      <c r="G860" s="3" t="s">
        <v>10003</v>
      </c>
      <c r="H860" s="4" t="str">
        <f>_xlfn.IFNA(IF(((INDEX(RulebookFields!C2:C1898, MATCH(D860,RulebookFields!A2:A1898, 0))="")=TRUE),  "",  INDEX(RulebookFields!C2:C1898, MATCH(D860,RulebookFields!A2:A1898, 0))), "")</f>
        <v>KnowledgeFragments</v>
      </c>
      <c r="I860" s="4" t="str">
        <f>_xlfn.IFNA(IF(((INDEX(RulebookFields!D2:D1898, MATCH(D860,RulebookFields!A2:A1898, 0))="")=TRUE),  "",  INDEX(RulebookFields!D2:D1898, MATCH(D860,RulebookFields!A2:A1898, 0))), "")</f>
        <v>OwnerRoleIsVacated</v>
      </c>
      <c r="J860" s="4" t="b">
        <f>_xlfn.IFNA(IF(((INDEX(RulebookFields!I2:I1898, MATCH(D860,RulebookFields!A2:A1898, 0))="")=TRUE),  "",  INDEX(RulebookFields!I2:I1898, MATCH(D860,RulebookFields!A2:A1898, 0))), "")</f>
        <v>1</v>
      </c>
      <c r="K860" s="4" t="b">
        <f>AND(((F860)=TRUE), ((J860)=TRUE))</f>
        <v>0</v>
      </c>
      <c r="L860" s="4" t="b">
        <f>AND(((G860 &lt;&gt; "plain")=TRUE), ((G860 &lt;&gt; "")=TRUE))</f>
        <v>0</v>
      </c>
      <c r="M860" s="4" t="str">
        <f>IF(((E860)=TRUE),  C860 &amp; "|" &amp; H860,  "")</f>
        <v>principal-process-steward|KnowledgeFragments</v>
      </c>
      <c r="N860" s="3" t="s">
        <v>10004</v>
      </c>
    </row>
    <row r="861">
      <c r="A861" s="3" t="s">
        <v>10863</v>
      </c>
      <c r="B861" s="4" t="str">
        <f>C861 &amp; " -&gt; " &amp; D861</f>
        <v>principal-process-steward -&gt; KnowledgeFragments.IsOrphanedByRole</v>
      </c>
      <c r="C861" s="3" t="s">
        <v>9772</v>
      </c>
      <c r="D861" s="3" t="s">
        <v>3362</v>
      </c>
      <c r="E861" s="3" t="b">
        <v>1</v>
      </c>
      <c r="F861" s="3" t="b">
        <v>0</v>
      </c>
      <c r="G861" s="3" t="s">
        <v>10003</v>
      </c>
      <c r="H861" s="4" t="str">
        <f>_xlfn.IFNA(IF(((INDEX(RulebookFields!C2:C1898, MATCH(D861,RulebookFields!A2:A1898, 0))="")=TRUE),  "",  INDEX(RulebookFields!C2:C1898, MATCH(D861,RulebookFields!A2:A1898, 0))), "")</f>
        <v>KnowledgeFragments</v>
      </c>
      <c r="I861" s="4" t="str">
        <f>_xlfn.IFNA(IF(((INDEX(RulebookFields!D2:D1898, MATCH(D861,RulebookFields!A2:A1898, 0))="")=TRUE),  "",  INDEX(RulebookFields!D2:D1898, MATCH(D861,RulebookFields!A2:A1898, 0))), "")</f>
        <v>IsOrphanedByRole</v>
      </c>
      <c r="J861" s="4" t="b">
        <f>_xlfn.IFNA(IF(((INDEX(RulebookFields!I2:I1898, MATCH(D861,RulebookFields!A2:A1898, 0))="")=TRUE),  "",  INDEX(RulebookFields!I2:I1898, MATCH(D861,RulebookFields!A2:A1898, 0))), "")</f>
        <v>1</v>
      </c>
      <c r="K861" s="4" t="b">
        <f>AND(((F861)=TRUE), ((J861)=TRUE))</f>
        <v>0</v>
      </c>
      <c r="L861" s="4" t="b">
        <f>AND(((G861 &lt;&gt; "plain")=TRUE), ((G861 &lt;&gt; "")=TRUE))</f>
        <v>0</v>
      </c>
      <c r="M861" s="4" t="str">
        <f>IF(((E861)=TRUE),  C861 &amp; "|" &amp; H861,  "")</f>
        <v>principal-process-steward|KnowledgeFragments</v>
      </c>
      <c r="N861" s="3" t="s">
        <v>10004</v>
      </c>
    </row>
    <row r="862">
      <c r="A862" s="3" t="s">
        <v>10864</v>
      </c>
      <c r="B862" s="4" t="str">
        <f>C862 &amp; " -&gt; " &amp; D862</f>
        <v>principal-process-steward -&gt; KnowledgeFragments.ValidFragmentVersionKey</v>
      </c>
      <c r="C862" s="3" t="s">
        <v>9772</v>
      </c>
      <c r="D862" s="3" t="s">
        <v>3364</v>
      </c>
      <c r="E862" s="3" t="b">
        <v>1</v>
      </c>
      <c r="F862" s="3" t="b">
        <v>0</v>
      </c>
      <c r="G862" s="3" t="s">
        <v>10003</v>
      </c>
      <c r="H862" s="4" t="str">
        <f>_xlfn.IFNA(IF(((INDEX(RulebookFields!C2:C1898, MATCH(D862,RulebookFields!A2:A1898, 0))="")=TRUE),  "",  INDEX(RulebookFields!C2:C1898, MATCH(D862,RulebookFields!A2:A1898, 0))), "")</f>
        <v>KnowledgeFragments</v>
      </c>
      <c r="I862" s="4" t="str">
        <f>_xlfn.IFNA(IF(((INDEX(RulebookFields!D2:D1898, MATCH(D862,RulebookFields!A2:A1898, 0))="")=TRUE),  "",  INDEX(RulebookFields!D2:D1898, MATCH(D862,RulebookFields!A2:A1898, 0))), "")</f>
        <v>ValidFragmentVersionKey</v>
      </c>
      <c r="J862" s="4" t="b">
        <f>_xlfn.IFNA(IF(((INDEX(RulebookFields!I2:I1898, MATCH(D862,RulebookFields!A2:A1898, 0))="")=TRUE),  "",  INDEX(RulebookFields!I2:I1898, MATCH(D862,RulebookFields!A2:A1898, 0))), "")</f>
        <v>1</v>
      </c>
      <c r="K862" s="4" t="b">
        <f>AND(((F862)=TRUE), ((J862)=TRUE))</f>
        <v>0</v>
      </c>
      <c r="L862" s="4" t="b">
        <f>AND(((G862 &lt;&gt; "plain")=TRUE), ((G862 &lt;&gt; "")=TRUE))</f>
        <v>0</v>
      </c>
      <c r="M862" s="4" t="str">
        <f>IF(((E862)=TRUE),  C862 &amp; "|" &amp; H862,  "")</f>
        <v>principal-process-steward|KnowledgeFragments</v>
      </c>
      <c r="N862" s="3" t="s">
        <v>10004</v>
      </c>
    </row>
    <row r="863">
      <c r="A863" s="3" t="s">
        <v>10865</v>
      </c>
      <c r="B863" s="4" t="str">
        <f>C863 &amp; " -&gt; " &amp; D863</f>
        <v>principal-process-steward -&gt; KnowledgeFragments.SemanticTypeIri</v>
      </c>
      <c r="C863" s="3" t="s">
        <v>9772</v>
      </c>
      <c r="D863" s="3" t="s">
        <v>3366</v>
      </c>
      <c r="E863" s="3" t="b">
        <v>1</v>
      </c>
      <c r="F863" s="3" t="b">
        <v>0</v>
      </c>
      <c r="G863" s="3" t="s">
        <v>10003</v>
      </c>
      <c r="H863" s="4" t="str">
        <f>_xlfn.IFNA(IF(((INDEX(RulebookFields!C2:C1898, MATCH(D863,RulebookFields!A2:A1898, 0))="")=TRUE),  "",  INDEX(RulebookFields!C2:C1898, MATCH(D863,RulebookFields!A2:A1898, 0))), "")</f>
        <v>KnowledgeFragments</v>
      </c>
      <c r="I863" s="4" t="str">
        <f>_xlfn.IFNA(IF(((INDEX(RulebookFields!D2:D1898, MATCH(D863,RulebookFields!A2:A1898, 0))="")=TRUE),  "",  INDEX(RulebookFields!D2:D1898, MATCH(D863,RulebookFields!A2:A1898, 0))), "")</f>
        <v>SemanticTypeIri</v>
      </c>
      <c r="J863" s="4" t="b">
        <f>_xlfn.IFNA(IF(((INDEX(RulebookFields!I2:I1898, MATCH(D863,RulebookFields!A2:A1898, 0))="")=TRUE),  "",  INDEX(RulebookFields!I2:I1898, MATCH(D863,RulebookFields!A2:A1898, 0))), "")</f>
        <v>0</v>
      </c>
      <c r="K863" s="4" t="b">
        <f>AND(((F863)=TRUE), ((J863)=TRUE))</f>
        <v>0</v>
      </c>
      <c r="L863" s="4" t="b">
        <f>AND(((G863 &lt;&gt; "plain")=TRUE), ((G863 &lt;&gt; "")=TRUE))</f>
        <v>0</v>
      </c>
      <c r="M863" s="4" t="str">
        <f>IF(((E863)=TRUE),  C863 &amp; "|" &amp; H863,  "")</f>
        <v>principal-process-steward|KnowledgeFragments</v>
      </c>
      <c r="N863" s="3" t="s">
        <v>10004</v>
      </c>
    </row>
    <row r="864">
      <c r="A864" s="3" t="s">
        <v>10866</v>
      </c>
      <c r="B864" s="4" t="str">
        <f>C864 &amp; " -&gt; " &amp; D864</f>
        <v>principal-process-steward -&gt; KnowledgeGaps.KnowledgeGapId</v>
      </c>
      <c r="C864" s="3" t="s">
        <v>9772</v>
      </c>
      <c r="D864" s="3" t="s">
        <v>3367</v>
      </c>
      <c r="E864" s="3" t="b">
        <v>1</v>
      </c>
      <c r="F864" s="3" t="b">
        <v>0</v>
      </c>
      <c r="G864" s="3" t="s">
        <v>10003</v>
      </c>
      <c r="H864" s="4" t="str">
        <f>_xlfn.IFNA(IF(((INDEX(RulebookFields!C2:C1898, MATCH(D864,RulebookFields!A2:A1898, 0))="")=TRUE),  "",  INDEX(RulebookFields!C2:C1898, MATCH(D864,RulebookFields!A2:A1898, 0))), "")</f>
        <v>KnowledgeGaps</v>
      </c>
      <c r="I864" s="4" t="str">
        <f>_xlfn.IFNA(IF(((INDEX(RulebookFields!D2:D1898, MATCH(D864,RulebookFields!A2:A1898, 0))="")=TRUE),  "",  INDEX(RulebookFields!D2:D1898, MATCH(D864,RulebookFields!A2:A1898, 0))), "")</f>
        <v>KnowledgeGapId</v>
      </c>
      <c r="J864" s="4" t="b">
        <f>_xlfn.IFNA(IF(((INDEX(RulebookFields!I2:I1898, MATCH(D864,RulebookFields!A2:A1898, 0))="")=TRUE),  "",  INDEX(RulebookFields!I2:I1898, MATCH(D864,RulebookFields!A2:A1898, 0))), "")</f>
        <v>0</v>
      </c>
      <c r="K864" s="4" t="b">
        <f>AND(((F864)=TRUE), ((J864)=TRUE))</f>
        <v>0</v>
      </c>
      <c r="L864" s="4" t="b">
        <f>AND(((G864 &lt;&gt; "plain")=TRUE), ((G864 &lt;&gt; "")=TRUE))</f>
        <v>0</v>
      </c>
      <c r="M864" s="4" t="str">
        <f>IF(((E864)=TRUE),  C864 &amp; "|" &amp; H864,  "")</f>
        <v>principal-process-steward|KnowledgeGaps</v>
      </c>
      <c r="N864" s="3" t="s">
        <v>10004</v>
      </c>
    </row>
    <row r="865">
      <c r="A865" s="3" t="s">
        <v>10867</v>
      </c>
      <c r="B865" s="4" t="str">
        <f>C865 &amp; " -&gt; " &amp; D865</f>
        <v>principal-process-steward -&gt; KnowledgeGaps.Name</v>
      </c>
      <c r="C865" s="3" t="s">
        <v>9772</v>
      </c>
      <c r="D865" s="3" t="s">
        <v>3369</v>
      </c>
      <c r="E865" s="3" t="b">
        <v>1</v>
      </c>
      <c r="F865" s="3" t="b">
        <v>0</v>
      </c>
      <c r="G865" s="3" t="s">
        <v>10003</v>
      </c>
      <c r="H865" s="4" t="str">
        <f>_xlfn.IFNA(IF(((INDEX(RulebookFields!C2:C1898, MATCH(D865,RulebookFields!A2:A1898, 0))="")=TRUE),  "",  INDEX(RulebookFields!C2:C1898, MATCH(D865,RulebookFields!A2:A1898, 0))), "")</f>
        <v>KnowledgeGaps</v>
      </c>
      <c r="I865" s="4" t="str">
        <f>_xlfn.IFNA(IF(((INDEX(RulebookFields!D2:D1898, MATCH(D865,RulebookFields!A2:A1898, 0))="")=TRUE),  "",  INDEX(RulebookFields!D2:D1898, MATCH(D865,RulebookFields!A2:A1898, 0))), "")</f>
        <v>Name</v>
      </c>
      <c r="J865" s="4" t="b">
        <f>_xlfn.IFNA(IF(((INDEX(RulebookFields!I2:I1898, MATCH(D865,RulebookFields!A2:A1898, 0))="")=TRUE),  "",  INDEX(RulebookFields!I2:I1898, MATCH(D865,RulebookFields!A2:A1898, 0))), "")</f>
        <v>1</v>
      </c>
      <c r="K865" s="4" t="b">
        <f>AND(((F865)=TRUE), ((J865)=TRUE))</f>
        <v>0</v>
      </c>
      <c r="L865" s="4" t="b">
        <f>AND(((G865 &lt;&gt; "plain")=TRUE), ((G865 &lt;&gt; "")=TRUE))</f>
        <v>0</v>
      </c>
      <c r="M865" s="4" t="str">
        <f>IF(((E865)=TRUE),  C865 &amp; "|" &amp; H865,  "")</f>
        <v>principal-process-steward|KnowledgeGaps</v>
      </c>
      <c r="N865" s="3" t="s">
        <v>10004</v>
      </c>
    </row>
    <row r="866">
      <c r="A866" s="3" t="s">
        <v>10868</v>
      </c>
      <c r="B866" s="4" t="str">
        <f>C866 &amp; " -&gt; " &amp; D866</f>
        <v>principal-process-steward -&gt; KnowledgeGaps.ProcedureVersion</v>
      </c>
      <c r="C866" s="3" t="s">
        <v>9772</v>
      </c>
      <c r="D866" s="3" t="s">
        <v>3371</v>
      </c>
      <c r="E866" s="3" t="b">
        <v>1</v>
      </c>
      <c r="F866" s="3" t="b">
        <v>0</v>
      </c>
      <c r="G866" s="3" t="s">
        <v>10003</v>
      </c>
      <c r="H866" s="4" t="str">
        <f>_xlfn.IFNA(IF(((INDEX(RulebookFields!C2:C1898, MATCH(D866,RulebookFields!A2:A1898, 0))="")=TRUE),  "",  INDEX(RulebookFields!C2:C1898, MATCH(D866,RulebookFields!A2:A1898, 0))), "")</f>
        <v>KnowledgeGaps</v>
      </c>
      <c r="I866" s="4" t="str">
        <f>_xlfn.IFNA(IF(((INDEX(RulebookFields!D2:D1898, MATCH(D866,RulebookFields!A2:A1898, 0))="")=TRUE),  "",  INDEX(RulebookFields!D2:D1898, MATCH(D866,RulebookFields!A2:A1898, 0))), "")</f>
        <v>ProcedureVersion</v>
      </c>
      <c r="J866" s="4" t="b">
        <f>_xlfn.IFNA(IF(((INDEX(RulebookFields!I2:I1898, MATCH(D866,RulebookFields!A2:A1898, 0))="")=TRUE),  "",  INDEX(RulebookFields!I2:I1898, MATCH(D866,RulebookFields!A2:A1898, 0))), "")</f>
        <v>0</v>
      </c>
      <c r="K866" s="4" t="b">
        <f>AND(((F866)=TRUE), ((J866)=TRUE))</f>
        <v>0</v>
      </c>
      <c r="L866" s="4" t="b">
        <f>AND(((G866 &lt;&gt; "plain")=TRUE), ((G866 &lt;&gt; "")=TRUE))</f>
        <v>0</v>
      </c>
      <c r="M866" s="4" t="str">
        <f>IF(((E866)=TRUE),  C866 &amp; "|" &amp; H866,  "")</f>
        <v>principal-process-steward|KnowledgeGaps</v>
      </c>
      <c r="N866" s="3" t="s">
        <v>10004</v>
      </c>
    </row>
    <row r="867">
      <c r="A867" s="3" t="s">
        <v>10869</v>
      </c>
      <c r="B867" s="4" t="str">
        <f>C867 &amp; " -&gt; " &amp; D867</f>
        <v>principal-process-steward -&gt; KnowledgeGaps.Step</v>
      </c>
      <c r="C867" s="3" t="s">
        <v>9772</v>
      </c>
      <c r="D867" s="3" t="s">
        <v>3372</v>
      </c>
      <c r="E867" s="3" t="b">
        <v>1</v>
      </c>
      <c r="F867" s="3" t="b">
        <v>0</v>
      </c>
      <c r="G867" s="3" t="s">
        <v>10003</v>
      </c>
      <c r="H867" s="4" t="str">
        <f>_xlfn.IFNA(IF(((INDEX(RulebookFields!C2:C1898, MATCH(D867,RulebookFields!A2:A1898, 0))="")=TRUE),  "",  INDEX(RulebookFields!C2:C1898, MATCH(D867,RulebookFields!A2:A1898, 0))), "")</f>
        <v>KnowledgeGaps</v>
      </c>
      <c r="I867" s="4" t="str">
        <f>_xlfn.IFNA(IF(((INDEX(RulebookFields!D2:D1898, MATCH(D867,RulebookFields!A2:A1898, 0))="")=TRUE),  "",  INDEX(RulebookFields!D2:D1898, MATCH(D867,RulebookFields!A2:A1898, 0))), "")</f>
        <v>Step</v>
      </c>
      <c r="J867" s="4" t="b">
        <f>_xlfn.IFNA(IF(((INDEX(RulebookFields!I2:I1898, MATCH(D867,RulebookFields!A2:A1898, 0))="")=TRUE),  "",  INDEX(RulebookFields!I2:I1898, MATCH(D867,RulebookFields!A2:A1898, 0))), "")</f>
        <v>0</v>
      </c>
      <c r="K867" s="4" t="b">
        <f>AND(((F867)=TRUE), ((J867)=TRUE))</f>
        <v>0</v>
      </c>
      <c r="L867" s="4" t="b">
        <f>AND(((G867 &lt;&gt; "plain")=TRUE), ((G867 &lt;&gt; "")=TRUE))</f>
        <v>0</v>
      </c>
      <c r="M867" s="4" t="str">
        <f>IF(((E867)=TRUE),  C867 &amp; "|" &amp; H867,  "")</f>
        <v>principal-process-steward|KnowledgeGaps</v>
      </c>
      <c r="N867" s="3" t="s">
        <v>10004</v>
      </c>
    </row>
    <row r="868">
      <c r="A868" s="3" t="s">
        <v>10870</v>
      </c>
      <c r="B868" s="4" t="str">
        <f>C868 &amp; " -&gt; " &amp; D868</f>
        <v>principal-process-steward -&gt; KnowledgeGaps.Statement</v>
      </c>
      <c r="C868" s="3" t="s">
        <v>9772</v>
      </c>
      <c r="D868" s="3" t="s">
        <v>3373</v>
      </c>
      <c r="E868" s="3" t="b">
        <v>1</v>
      </c>
      <c r="F868" s="3" t="b">
        <v>0</v>
      </c>
      <c r="G868" s="3" t="s">
        <v>10003</v>
      </c>
      <c r="H868" s="4" t="str">
        <f>_xlfn.IFNA(IF(((INDEX(RulebookFields!C2:C1898, MATCH(D868,RulebookFields!A2:A1898, 0))="")=TRUE),  "",  INDEX(RulebookFields!C2:C1898, MATCH(D868,RulebookFields!A2:A1898, 0))), "")</f>
        <v>KnowledgeGaps</v>
      </c>
      <c r="I868" s="4" t="str">
        <f>_xlfn.IFNA(IF(((INDEX(RulebookFields!D2:D1898, MATCH(D868,RulebookFields!A2:A1898, 0))="")=TRUE),  "",  INDEX(RulebookFields!D2:D1898, MATCH(D868,RulebookFields!A2:A1898, 0))), "")</f>
        <v>Statement</v>
      </c>
      <c r="J868" s="4" t="b">
        <f>_xlfn.IFNA(IF(((INDEX(RulebookFields!I2:I1898, MATCH(D868,RulebookFields!A2:A1898, 0))="")=TRUE),  "",  INDEX(RulebookFields!I2:I1898, MATCH(D868,RulebookFields!A2:A1898, 0))), "")</f>
        <v>0</v>
      </c>
      <c r="K868" s="4" t="b">
        <f>AND(((F868)=TRUE), ((J868)=TRUE))</f>
        <v>0</v>
      </c>
      <c r="L868" s="4" t="b">
        <f>AND(((G868 &lt;&gt; "plain")=TRUE), ((G868 &lt;&gt; "")=TRUE))</f>
        <v>0</v>
      </c>
      <c r="M868" s="4" t="str">
        <f>IF(((E868)=TRUE),  C868 &amp; "|" &amp; H868,  "")</f>
        <v>principal-process-steward|KnowledgeGaps</v>
      </c>
      <c r="N868" s="3" t="s">
        <v>10004</v>
      </c>
    </row>
    <row r="869">
      <c r="A869" s="3" t="s">
        <v>10871</v>
      </c>
      <c r="B869" s="4" t="str">
        <f>C869 &amp; " -&gt; " &amp; D869</f>
        <v>principal-process-steward -&gt; KnowledgeGaps.Severity</v>
      </c>
      <c r="C869" s="3" t="s">
        <v>9772</v>
      </c>
      <c r="D869" s="3" t="s">
        <v>3374</v>
      </c>
      <c r="E869" s="3" t="b">
        <v>1</v>
      </c>
      <c r="F869" s="3" t="b">
        <v>0</v>
      </c>
      <c r="G869" s="3" t="s">
        <v>10003</v>
      </c>
      <c r="H869" s="4" t="str">
        <f>_xlfn.IFNA(IF(((INDEX(RulebookFields!C2:C1898, MATCH(D869,RulebookFields!A2:A1898, 0))="")=TRUE),  "",  INDEX(RulebookFields!C2:C1898, MATCH(D869,RulebookFields!A2:A1898, 0))), "")</f>
        <v>KnowledgeGaps</v>
      </c>
      <c r="I869" s="4" t="str">
        <f>_xlfn.IFNA(IF(((INDEX(RulebookFields!D2:D1898, MATCH(D869,RulebookFields!A2:A1898, 0))="")=TRUE),  "",  INDEX(RulebookFields!D2:D1898, MATCH(D869,RulebookFields!A2:A1898, 0))), "")</f>
        <v>Severity</v>
      </c>
      <c r="J869" s="4" t="b">
        <f>_xlfn.IFNA(IF(((INDEX(RulebookFields!I2:I1898, MATCH(D869,RulebookFields!A2:A1898, 0))="")=TRUE),  "",  INDEX(RulebookFields!I2:I1898, MATCH(D869,RulebookFields!A2:A1898, 0))), "")</f>
        <v>0</v>
      </c>
      <c r="K869" s="4" t="b">
        <f>AND(((F869)=TRUE), ((J869)=TRUE))</f>
        <v>0</v>
      </c>
      <c r="L869" s="4" t="b">
        <f>AND(((G869 &lt;&gt; "plain")=TRUE), ((G869 &lt;&gt; "")=TRUE))</f>
        <v>0</v>
      </c>
      <c r="M869" s="4" t="str">
        <f>IF(((E869)=TRUE),  C869 &amp; "|" &amp; H869,  "")</f>
        <v>principal-process-steward|KnowledgeGaps</v>
      </c>
      <c r="N869" s="3" t="s">
        <v>10004</v>
      </c>
    </row>
    <row r="870">
      <c r="A870" s="3" t="s">
        <v>10872</v>
      </c>
      <c r="B870" s="4" t="str">
        <f>C870 &amp; " -&gt; " &amp; D870</f>
        <v>principal-process-steward -&gt; KnowledgeGaps.BlockingKind</v>
      </c>
      <c r="C870" s="3" t="s">
        <v>9772</v>
      </c>
      <c r="D870" s="3" t="s">
        <v>3375</v>
      </c>
      <c r="E870" s="3" t="b">
        <v>1</v>
      </c>
      <c r="F870" s="3" t="b">
        <v>0</v>
      </c>
      <c r="G870" s="3" t="s">
        <v>10003</v>
      </c>
      <c r="H870" s="4" t="str">
        <f>_xlfn.IFNA(IF(((INDEX(RulebookFields!C2:C1898, MATCH(D870,RulebookFields!A2:A1898, 0))="")=TRUE),  "",  INDEX(RulebookFields!C2:C1898, MATCH(D870,RulebookFields!A2:A1898, 0))), "")</f>
        <v>KnowledgeGaps</v>
      </c>
      <c r="I870" s="4" t="str">
        <f>_xlfn.IFNA(IF(((INDEX(RulebookFields!D2:D1898, MATCH(D870,RulebookFields!A2:A1898, 0))="")=TRUE),  "",  INDEX(RulebookFields!D2:D1898, MATCH(D870,RulebookFields!A2:A1898, 0))), "")</f>
        <v>BlockingKind</v>
      </c>
      <c r="J870" s="4" t="b">
        <f>_xlfn.IFNA(IF(((INDEX(RulebookFields!I2:I1898, MATCH(D870,RulebookFields!A2:A1898, 0))="")=TRUE),  "",  INDEX(RulebookFields!I2:I1898, MATCH(D870,RulebookFields!A2:A1898, 0))), "")</f>
        <v>0</v>
      </c>
      <c r="K870" s="4" t="b">
        <f>AND(((F870)=TRUE), ((J870)=TRUE))</f>
        <v>0</v>
      </c>
      <c r="L870" s="4" t="b">
        <f>AND(((G870 &lt;&gt; "plain")=TRUE), ((G870 &lt;&gt; "")=TRUE))</f>
        <v>0</v>
      </c>
      <c r="M870" s="4" t="str">
        <f>IF(((E870)=TRUE),  C870 &amp; "|" &amp; H870,  "")</f>
        <v>principal-process-steward|KnowledgeGaps</v>
      </c>
      <c r="N870" s="3" t="s">
        <v>10004</v>
      </c>
    </row>
    <row r="871">
      <c r="A871" s="3" t="s">
        <v>10873</v>
      </c>
      <c r="B871" s="4" t="str">
        <f>C871 &amp; " -&gt; " &amp; D871</f>
        <v>principal-process-steward -&gt; KnowledgeGaps.Status</v>
      </c>
      <c r="C871" s="3" t="s">
        <v>9772</v>
      </c>
      <c r="D871" s="3" t="s">
        <v>3376</v>
      </c>
      <c r="E871" s="3" t="b">
        <v>1</v>
      </c>
      <c r="F871" s="3" t="b">
        <v>0</v>
      </c>
      <c r="G871" s="3" t="s">
        <v>10003</v>
      </c>
      <c r="H871" s="4" t="str">
        <f>_xlfn.IFNA(IF(((INDEX(RulebookFields!C2:C1898, MATCH(D871,RulebookFields!A2:A1898, 0))="")=TRUE),  "",  INDEX(RulebookFields!C2:C1898, MATCH(D871,RulebookFields!A2:A1898, 0))), "")</f>
        <v>KnowledgeGaps</v>
      </c>
      <c r="I871" s="4" t="str">
        <f>_xlfn.IFNA(IF(((INDEX(RulebookFields!D2:D1898, MATCH(D871,RulebookFields!A2:A1898, 0))="")=TRUE),  "",  INDEX(RulebookFields!D2:D1898, MATCH(D871,RulebookFields!A2:A1898, 0))), "")</f>
        <v>Status</v>
      </c>
      <c r="J871" s="4" t="b">
        <f>_xlfn.IFNA(IF(((INDEX(RulebookFields!I2:I1898, MATCH(D871,RulebookFields!A2:A1898, 0))="")=TRUE),  "",  INDEX(RulebookFields!I2:I1898, MATCH(D871,RulebookFields!A2:A1898, 0))), "")</f>
        <v>0</v>
      </c>
      <c r="K871" s="4" t="b">
        <f>AND(((F871)=TRUE), ((J871)=TRUE))</f>
        <v>0</v>
      </c>
      <c r="L871" s="4" t="b">
        <f>AND(((G871 &lt;&gt; "plain")=TRUE), ((G871 &lt;&gt; "")=TRUE))</f>
        <v>0</v>
      </c>
      <c r="M871" s="4" t="str">
        <f>IF(((E871)=TRUE),  C871 &amp; "|" &amp; H871,  "")</f>
        <v>principal-process-steward|KnowledgeGaps</v>
      </c>
      <c r="N871" s="3" t="s">
        <v>10004</v>
      </c>
    </row>
    <row r="872">
      <c r="A872" s="3" t="s">
        <v>10874</v>
      </c>
      <c r="B872" s="4" t="str">
        <f>C872 &amp; " -&gt; " &amp; D872</f>
        <v>principal-process-steward -&gt; KnowledgeGaps.OwnerRole</v>
      </c>
      <c r="C872" s="3" t="s">
        <v>9772</v>
      </c>
      <c r="D872" s="3" t="s">
        <v>3377</v>
      </c>
      <c r="E872" s="3" t="b">
        <v>1</v>
      </c>
      <c r="F872" s="3" t="b">
        <v>0</v>
      </c>
      <c r="G872" s="3" t="s">
        <v>10003</v>
      </c>
      <c r="H872" s="4" t="str">
        <f>_xlfn.IFNA(IF(((INDEX(RulebookFields!C2:C1898, MATCH(D872,RulebookFields!A2:A1898, 0))="")=TRUE),  "",  INDEX(RulebookFields!C2:C1898, MATCH(D872,RulebookFields!A2:A1898, 0))), "")</f>
        <v>KnowledgeGaps</v>
      </c>
      <c r="I872" s="4" t="str">
        <f>_xlfn.IFNA(IF(((INDEX(RulebookFields!D2:D1898, MATCH(D872,RulebookFields!A2:A1898, 0))="")=TRUE),  "",  INDEX(RulebookFields!D2:D1898, MATCH(D872,RulebookFields!A2:A1898, 0))), "")</f>
        <v>OwnerRole</v>
      </c>
      <c r="J872" s="4" t="b">
        <f>_xlfn.IFNA(IF(((INDEX(RulebookFields!I2:I1898, MATCH(D872,RulebookFields!A2:A1898, 0))="")=TRUE),  "",  INDEX(RulebookFields!I2:I1898, MATCH(D872,RulebookFields!A2:A1898, 0))), "")</f>
        <v>0</v>
      </c>
      <c r="K872" s="4" t="b">
        <f>AND(((F872)=TRUE), ((J872)=TRUE))</f>
        <v>0</v>
      </c>
      <c r="L872" s="4" t="b">
        <f>AND(((G872 &lt;&gt; "plain")=TRUE), ((G872 &lt;&gt; "")=TRUE))</f>
        <v>0</v>
      </c>
      <c r="M872" s="4" t="str">
        <f>IF(((E872)=TRUE),  C872 &amp; "|" &amp; H872,  "")</f>
        <v>principal-process-steward|KnowledgeGaps</v>
      </c>
      <c r="N872" s="3" t="s">
        <v>10004</v>
      </c>
    </row>
    <row r="873">
      <c r="A873" s="3" t="s">
        <v>10875</v>
      </c>
      <c r="B873" s="4" t="str">
        <f>C873 &amp; " -&gt; " &amp; D873</f>
        <v>principal-process-steward -&gt; KnowledgeGaps.IdentifiedAt</v>
      </c>
      <c r="C873" s="3" t="s">
        <v>9772</v>
      </c>
      <c r="D873" s="3" t="s">
        <v>3378</v>
      </c>
      <c r="E873" s="3" t="b">
        <v>1</v>
      </c>
      <c r="F873" s="3" t="b">
        <v>0</v>
      </c>
      <c r="G873" s="3" t="s">
        <v>10003</v>
      </c>
      <c r="H873" s="4" t="str">
        <f>_xlfn.IFNA(IF(((INDEX(RulebookFields!C2:C1898, MATCH(D873,RulebookFields!A2:A1898, 0))="")=TRUE),  "",  INDEX(RulebookFields!C2:C1898, MATCH(D873,RulebookFields!A2:A1898, 0))), "")</f>
        <v>KnowledgeGaps</v>
      </c>
      <c r="I873" s="4" t="str">
        <f>_xlfn.IFNA(IF(((INDEX(RulebookFields!D2:D1898, MATCH(D873,RulebookFields!A2:A1898, 0))="")=TRUE),  "",  INDEX(RulebookFields!D2:D1898, MATCH(D873,RulebookFields!A2:A1898, 0))), "")</f>
        <v>IdentifiedAt</v>
      </c>
      <c r="J873" s="4" t="b">
        <f>_xlfn.IFNA(IF(((INDEX(RulebookFields!I2:I1898, MATCH(D873,RulebookFields!A2:A1898, 0))="")=TRUE),  "",  INDEX(RulebookFields!I2:I1898, MATCH(D873,RulebookFields!A2:A1898, 0))), "")</f>
        <v>0</v>
      </c>
      <c r="K873" s="4" t="b">
        <f>AND(((F873)=TRUE), ((J873)=TRUE))</f>
        <v>0</v>
      </c>
      <c r="L873" s="4" t="b">
        <f>AND(((G873 &lt;&gt; "plain")=TRUE), ((G873 &lt;&gt; "")=TRUE))</f>
        <v>0</v>
      </c>
      <c r="M873" s="4" t="str">
        <f>IF(((E873)=TRUE),  C873 &amp; "|" &amp; H873,  "")</f>
        <v>principal-process-steward|KnowledgeGaps</v>
      </c>
      <c r="N873" s="3" t="s">
        <v>10004</v>
      </c>
    </row>
    <row r="874">
      <c r="A874" s="3" t="s">
        <v>10876</v>
      </c>
      <c r="B874" s="4" t="str">
        <f>C874 &amp; " -&gt; " &amp; D874</f>
        <v>principal-process-steward -&gt; KnowledgeGaps.ResolutionPlan</v>
      </c>
      <c r="C874" s="3" t="s">
        <v>9772</v>
      </c>
      <c r="D874" s="3" t="s">
        <v>3379</v>
      </c>
      <c r="E874" s="3" t="b">
        <v>1</v>
      </c>
      <c r="F874" s="3" t="b">
        <v>0</v>
      </c>
      <c r="G874" s="3" t="s">
        <v>10003</v>
      </c>
      <c r="H874" s="4" t="str">
        <f>_xlfn.IFNA(IF(((INDEX(RulebookFields!C2:C1898, MATCH(D874,RulebookFields!A2:A1898, 0))="")=TRUE),  "",  INDEX(RulebookFields!C2:C1898, MATCH(D874,RulebookFields!A2:A1898, 0))), "")</f>
        <v>KnowledgeGaps</v>
      </c>
      <c r="I874" s="4" t="str">
        <f>_xlfn.IFNA(IF(((INDEX(RulebookFields!D2:D1898, MATCH(D874,RulebookFields!A2:A1898, 0))="")=TRUE),  "",  INDEX(RulebookFields!D2:D1898, MATCH(D874,RulebookFields!A2:A1898, 0))), "")</f>
        <v>ResolutionPlan</v>
      </c>
      <c r="J874" s="4" t="b">
        <f>_xlfn.IFNA(IF(((INDEX(RulebookFields!I2:I1898, MATCH(D874,RulebookFields!A2:A1898, 0))="")=TRUE),  "",  INDEX(RulebookFields!I2:I1898, MATCH(D874,RulebookFields!A2:A1898, 0))), "")</f>
        <v>0</v>
      </c>
      <c r="K874" s="4" t="b">
        <f>AND(((F874)=TRUE), ((J874)=TRUE))</f>
        <v>0</v>
      </c>
      <c r="L874" s="4" t="b">
        <f>AND(((G874 &lt;&gt; "plain")=TRUE), ((G874 &lt;&gt; "")=TRUE))</f>
        <v>0</v>
      </c>
      <c r="M874" s="4" t="str">
        <f>IF(((E874)=TRUE),  C874 &amp; "|" &amp; H874,  "")</f>
        <v>principal-process-steward|KnowledgeGaps</v>
      </c>
      <c r="N874" s="3" t="s">
        <v>10004</v>
      </c>
    </row>
    <row r="875">
      <c r="A875" s="3" t="s">
        <v>10877</v>
      </c>
      <c r="B875" s="4" t="str">
        <f>C875 &amp; " -&gt; " &amp; D875</f>
        <v>principal-process-steward -&gt; KnowledgeGaps.IsOpen</v>
      </c>
      <c r="C875" s="3" t="s">
        <v>9772</v>
      </c>
      <c r="D875" s="3" t="s">
        <v>3380</v>
      </c>
      <c r="E875" s="3" t="b">
        <v>1</v>
      </c>
      <c r="F875" s="3" t="b">
        <v>0</v>
      </c>
      <c r="G875" s="3" t="s">
        <v>10003</v>
      </c>
      <c r="H875" s="4" t="str">
        <f>_xlfn.IFNA(IF(((INDEX(RulebookFields!C2:C1898, MATCH(D875,RulebookFields!A2:A1898, 0))="")=TRUE),  "",  INDEX(RulebookFields!C2:C1898, MATCH(D875,RulebookFields!A2:A1898, 0))), "")</f>
        <v>KnowledgeGaps</v>
      </c>
      <c r="I875" s="4" t="str">
        <f>_xlfn.IFNA(IF(((INDEX(RulebookFields!D2:D1898, MATCH(D875,RulebookFields!A2:A1898, 0))="")=TRUE),  "",  INDEX(RulebookFields!D2:D1898, MATCH(D875,RulebookFields!A2:A1898, 0))), "")</f>
        <v>IsOpen</v>
      </c>
      <c r="J875" s="4" t="b">
        <f>_xlfn.IFNA(IF(((INDEX(RulebookFields!I2:I1898, MATCH(D875,RulebookFields!A2:A1898, 0))="")=TRUE),  "",  INDEX(RulebookFields!I2:I1898, MATCH(D875,RulebookFields!A2:A1898, 0))), "")</f>
        <v>1</v>
      </c>
      <c r="K875" s="4" t="b">
        <f>AND(((F875)=TRUE), ((J875)=TRUE))</f>
        <v>0</v>
      </c>
      <c r="L875" s="4" t="b">
        <f>AND(((G875 &lt;&gt; "plain")=TRUE), ((G875 &lt;&gt; "")=TRUE))</f>
        <v>0</v>
      </c>
      <c r="M875" s="4" t="str">
        <f>IF(((E875)=TRUE),  C875 &amp; "|" &amp; H875,  "")</f>
        <v>principal-process-steward|KnowledgeGaps</v>
      </c>
      <c r="N875" s="3" t="s">
        <v>10004</v>
      </c>
    </row>
    <row r="876">
      <c r="A876" s="3" t="s">
        <v>10878</v>
      </c>
      <c r="B876" s="4" t="str">
        <f>C876 &amp; " -&gt; " &amp; D876</f>
        <v>principal-process-steward -&gt; KnowledgeGaps.OpenGapVersionKey</v>
      </c>
      <c r="C876" s="3" t="s">
        <v>9772</v>
      </c>
      <c r="D876" s="3" t="s">
        <v>3382</v>
      </c>
      <c r="E876" s="3" t="b">
        <v>1</v>
      </c>
      <c r="F876" s="3" t="b">
        <v>0</v>
      </c>
      <c r="G876" s="3" t="s">
        <v>10003</v>
      </c>
      <c r="H876" s="4" t="str">
        <f>_xlfn.IFNA(IF(((INDEX(RulebookFields!C2:C1898, MATCH(D876,RulebookFields!A2:A1898, 0))="")=TRUE),  "",  INDEX(RulebookFields!C2:C1898, MATCH(D876,RulebookFields!A2:A1898, 0))), "")</f>
        <v>KnowledgeGaps</v>
      </c>
      <c r="I876" s="4" t="str">
        <f>_xlfn.IFNA(IF(((INDEX(RulebookFields!D2:D1898, MATCH(D876,RulebookFields!A2:A1898, 0))="")=TRUE),  "",  INDEX(RulebookFields!D2:D1898, MATCH(D876,RulebookFields!A2:A1898, 0))), "")</f>
        <v>OpenGapVersionKey</v>
      </c>
      <c r="J876" s="4" t="b">
        <f>_xlfn.IFNA(IF(((INDEX(RulebookFields!I2:I1898, MATCH(D876,RulebookFields!A2:A1898, 0))="")=TRUE),  "",  INDEX(RulebookFields!I2:I1898, MATCH(D876,RulebookFields!A2:A1898, 0))), "")</f>
        <v>1</v>
      </c>
      <c r="K876" s="4" t="b">
        <f>AND(((F876)=TRUE), ((J876)=TRUE))</f>
        <v>0</v>
      </c>
      <c r="L876" s="4" t="b">
        <f>AND(((G876 &lt;&gt; "plain")=TRUE), ((G876 &lt;&gt; "")=TRUE))</f>
        <v>0</v>
      </c>
      <c r="M876" s="4" t="str">
        <f>IF(((E876)=TRUE),  C876 &amp; "|" &amp; H876,  "")</f>
        <v>principal-process-steward|KnowledgeGaps</v>
      </c>
      <c r="N876" s="3" t="s">
        <v>10004</v>
      </c>
    </row>
    <row r="877">
      <c r="A877" s="3" t="s">
        <v>10879</v>
      </c>
      <c r="B877" s="4" t="str">
        <f>C877 &amp; " -&gt; " &amp; D877</f>
        <v>principal-process-steward -&gt; KnowledgeGaps.IsBlocking</v>
      </c>
      <c r="C877" s="3" t="s">
        <v>9772</v>
      </c>
      <c r="D877" s="3" t="s">
        <v>3384</v>
      </c>
      <c r="E877" s="3" t="b">
        <v>1</v>
      </c>
      <c r="F877" s="3" t="b">
        <v>0</v>
      </c>
      <c r="G877" s="3" t="s">
        <v>10003</v>
      </c>
      <c r="H877" s="4" t="str">
        <f>_xlfn.IFNA(IF(((INDEX(RulebookFields!C2:C1898, MATCH(D877,RulebookFields!A2:A1898, 0))="")=TRUE),  "",  INDEX(RulebookFields!C2:C1898, MATCH(D877,RulebookFields!A2:A1898, 0))), "")</f>
        <v>KnowledgeGaps</v>
      </c>
      <c r="I877" s="4" t="str">
        <f>_xlfn.IFNA(IF(((INDEX(RulebookFields!D2:D1898, MATCH(D877,RulebookFields!A2:A1898, 0))="")=TRUE),  "",  INDEX(RulebookFields!D2:D1898, MATCH(D877,RulebookFields!A2:A1898, 0))), "")</f>
        <v>IsBlocking</v>
      </c>
      <c r="J877" s="4" t="b">
        <f>_xlfn.IFNA(IF(((INDEX(RulebookFields!I2:I1898, MATCH(D877,RulebookFields!A2:A1898, 0))="")=TRUE),  "",  INDEX(RulebookFields!I2:I1898, MATCH(D877,RulebookFields!A2:A1898, 0))), "")</f>
        <v>1</v>
      </c>
      <c r="K877" s="4" t="b">
        <f>AND(((F877)=TRUE), ((J877)=TRUE))</f>
        <v>0</v>
      </c>
      <c r="L877" s="4" t="b">
        <f>AND(((G877 &lt;&gt; "plain")=TRUE), ((G877 &lt;&gt; "")=TRUE))</f>
        <v>0</v>
      </c>
      <c r="M877" s="4" t="str">
        <f>IF(((E877)=TRUE),  C877 &amp; "|" &amp; H877,  "")</f>
        <v>principal-process-steward|KnowledgeGaps</v>
      </c>
      <c r="N877" s="3" t="s">
        <v>10004</v>
      </c>
    </row>
    <row r="878">
      <c r="A878" s="3" t="s">
        <v>10880</v>
      </c>
      <c r="B878" s="4" t="str">
        <f>C878 &amp; " -&gt; " &amp; D878</f>
        <v>principal-process-steward -&gt; KnowledgeGaps.IsOpenAndBlocking</v>
      </c>
      <c r="C878" s="3" t="s">
        <v>9772</v>
      </c>
      <c r="D878" s="3" t="s">
        <v>3386</v>
      </c>
      <c r="E878" s="3" t="b">
        <v>1</v>
      </c>
      <c r="F878" s="3" t="b">
        <v>0</v>
      </c>
      <c r="G878" s="3" t="s">
        <v>10003</v>
      </c>
      <c r="H878" s="4" t="str">
        <f>_xlfn.IFNA(IF(((INDEX(RulebookFields!C2:C1898, MATCH(D878,RulebookFields!A2:A1898, 0))="")=TRUE),  "",  INDEX(RulebookFields!C2:C1898, MATCH(D878,RulebookFields!A2:A1898, 0))), "")</f>
        <v>KnowledgeGaps</v>
      </c>
      <c r="I878" s="4" t="str">
        <f>_xlfn.IFNA(IF(((INDEX(RulebookFields!D2:D1898, MATCH(D878,RulebookFields!A2:A1898, 0))="")=TRUE),  "",  INDEX(RulebookFields!D2:D1898, MATCH(D878,RulebookFields!A2:A1898, 0))), "")</f>
        <v>IsOpenAndBlocking</v>
      </c>
      <c r="J878" s="4" t="b">
        <f>_xlfn.IFNA(IF(((INDEX(RulebookFields!I2:I1898, MATCH(D878,RulebookFields!A2:A1898, 0))="")=TRUE),  "",  INDEX(RulebookFields!I2:I1898, MATCH(D878,RulebookFields!A2:A1898, 0))), "")</f>
        <v>1</v>
      </c>
      <c r="K878" s="4" t="b">
        <f>AND(((F878)=TRUE), ((J878)=TRUE))</f>
        <v>0</v>
      </c>
      <c r="L878" s="4" t="b">
        <f>AND(((G878 &lt;&gt; "plain")=TRUE), ((G878 &lt;&gt; "")=TRUE))</f>
        <v>0</v>
      </c>
      <c r="M878" s="4" t="str">
        <f>IF(((E878)=TRUE),  C878 &amp; "|" &amp; H878,  "")</f>
        <v>principal-process-steward|KnowledgeGaps</v>
      </c>
      <c r="N878" s="3" t="s">
        <v>10004</v>
      </c>
    </row>
    <row r="879">
      <c r="A879" s="3" t="s">
        <v>10881</v>
      </c>
      <c r="B879" s="4" t="str">
        <f>C879 &amp; " -&gt; " &amp; D879</f>
        <v>principal-process-steward -&gt; KnowledgeGaps.EvaluationContext</v>
      </c>
      <c r="C879" s="3" t="s">
        <v>9772</v>
      </c>
      <c r="D879" s="3" t="s">
        <v>3388</v>
      </c>
      <c r="E879" s="3" t="b">
        <v>1</v>
      </c>
      <c r="F879" s="3" t="b">
        <v>0</v>
      </c>
      <c r="G879" s="3" t="s">
        <v>10003</v>
      </c>
      <c r="H879" s="4" t="str">
        <f>_xlfn.IFNA(IF(((INDEX(RulebookFields!C2:C1898, MATCH(D879,RulebookFields!A2:A1898, 0))="")=TRUE),  "",  INDEX(RulebookFields!C2:C1898, MATCH(D879,RulebookFields!A2:A1898, 0))), "")</f>
        <v>KnowledgeGaps</v>
      </c>
      <c r="I879" s="4" t="str">
        <f>_xlfn.IFNA(IF(((INDEX(RulebookFields!D2:D1898, MATCH(D879,RulebookFields!A2:A1898, 0))="")=TRUE),  "",  INDEX(RulebookFields!D2:D1898, MATCH(D879,RulebookFields!A2:A1898, 0))), "")</f>
        <v>EvaluationContext</v>
      </c>
      <c r="J879" s="4" t="b">
        <f>_xlfn.IFNA(IF(((INDEX(RulebookFields!I2:I1898, MATCH(D879,RulebookFields!A2:A1898, 0))="")=TRUE),  "",  INDEX(RulebookFields!I2:I1898, MATCH(D879,RulebookFields!A2:A1898, 0))), "")</f>
        <v>0</v>
      </c>
      <c r="K879" s="4" t="b">
        <f>AND(((F879)=TRUE), ((J879)=TRUE))</f>
        <v>0</v>
      </c>
      <c r="L879" s="4" t="b">
        <f>AND(((G879 &lt;&gt; "plain")=TRUE), ((G879 &lt;&gt; "")=TRUE))</f>
        <v>0</v>
      </c>
      <c r="M879" s="4" t="str">
        <f>IF(((E879)=TRUE),  C879 &amp; "|" &amp; H879,  "")</f>
        <v>principal-process-steward|KnowledgeGaps</v>
      </c>
      <c r="N879" s="3" t="s">
        <v>10004</v>
      </c>
    </row>
    <row r="880">
      <c r="A880" s="3" t="s">
        <v>10882</v>
      </c>
      <c r="B880" s="4" t="str">
        <f>C880 &amp; " -&gt; " &amp; D880</f>
        <v>principal-process-steward -&gt; KnowledgeGaps.AsOfInstant</v>
      </c>
      <c r="C880" s="3" t="s">
        <v>9772</v>
      </c>
      <c r="D880" s="3" t="s">
        <v>3389</v>
      </c>
      <c r="E880" s="3" t="b">
        <v>1</v>
      </c>
      <c r="F880" s="3" t="b">
        <v>0</v>
      </c>
      <c r="G880" s="3" t="s">
        <v>10003</v>
      </c>
      <c r="H880" s="4" t="str">
        <f>_xlfn.IFNA(IF(((INDEX(RulebookFields!C2:C1898, MATCH(D880,RulebookFields!A2:A1898, 0))="")=TRUE),  "",  INDEX(RulebookFields!C2:C1898, MATCH(D880,RulebookFields!A2:A1898, 0))), "")</f>
        <v>KnowledgeGaps</v>
      </c>
      <c r="I880" s="4" t="str">
        <f>_xlfn.IFNA(IF(((INDEX(RulebookFields!D2:D1898, MATCH(D880,RulebookFields!A2:A1898, 0))="")=TRUE),  "",  INDEX(RulebookFields!D2:D1898, MATCH(D880,RulebookFields!A2:A1898, 0))), "")</f>
        <v>AsOfInstant</v>
      </c>
      <c r="J880" s="4" t="b">
        <f>_xlfn.IFNA(IF(((INDEX(RulebookFields!I2:I1898, MATCH(D880,RulebookFields!A2:A1898, 0))="")=TRUE),  "",  INDEX(RulebookFields!I2:I1898, MATCH(D880,RulebookFields!A2:A1898, 0))), "")</f>
        <v>1</v>
      </c>
      <c r="K880" s="4" t="b">
        <f>AND(((F880)=TRUE), ((J880)=TRUE))</f>
        <v>0</v>
      </c>
      <c r="L880" s="4" t="b">
        <f>AND(((G880 &lt;&gt; "plain")=TRUE), ((G880 &lt;&gt; "")=TRUE))</f>
        <v>0</v>
      </c>
      <c r="M880" s="4" t="str">
        <f>IF(((E880)=TRUE),  C880 &amp; "|" &amp; H880,  "")</f>
        <v>principal-process-steward|KnowledgeGaps</v>
      </c>
      <c r="N880" s="3" t="s">
        <v>10004</v>
      </c>
    </row>
    <row r="881">
      <c r="A881" s="3" t="s">
        <v>10883</v>
      </c>
      <c r="B881" s="4" t="str">
        <f>C881 &amp; " -&gt; " &amp; D881</f>
        <v>principal-process-steward -&gt; KnowledgeGaps.DaysOpen</v>
      </c>
      <c r="C881" s="3" t="s">
        <v>9772</v>
      </c>
      <c r="D881" s="3" t="s">
        <v>3390</v>
      </c>
      <c r="E881" s="3" t="b">
        <v>1</v>
      </c>
      <c r="F881" s="3" t="b">
        <v>0</v>
      </c>
      <c r="G881" s="3" t="s">
        <v>10003</v>
      </c>
      <c r="H881" s="4" t="str">
        <f>_xlfn.IFNA(IF(((INDEX(RulebookFields!C2:C1898, MATCH(D881,RulebookFields!A2:A1898, 0))="")=TRUE),  "",  INDEX(RulebookFields!C2:C1898, MATCH(D881,RulebookFields!A2:A1898, 0))), "")</f>
        <v>KnowledgeGaps</v>
      </c>
      <c r="I881" s="4" t="str">
        <f>_xlfn.IFNA(IF(((INDEX(RulebookFields!D2:D1898, MATCH(D881,RulebookFields!A2:A1898, 0))="")=TRUE),  "",  INDEX(RulebookFields!D2:D1898, MATCH(D881,RulebookFields!A2:A1898, 0))), "")</f>
        <v>DaysOpen</v>
      </c>
      <c r="J881" s="4" t="b">
        <f>_xlfn.IFNA(IF(((INDEX(RulebookFields!I2:I1898, MATCH(D881,RulebookFields!A2:A1898, 0))="")=TRUE),  "",  INDEX(RulebookFields!I2:I1898, MATCH(D881,RulebookFields!A2:A1898, 0))), "")</f>
        <v>1</v>
      </c>
      <c r="K881" s="4" t="b">
        <f>AND(((F881)=TRUE), ((J881)=TRUE))</f>
        <v>0</v>
      </c>
      <c r="L881" s="4" t="b">
        <f>AND(((G881 &lt;&gt; "plain")=TRUE), ((G881 &lt;&gt; "")=TRUE))</f>
        <v>0</v>
      </c>
      <c r="M881" s="4" t="str">
        <f>IF(((E881)=TRUE),  C881 &amp; "|" &amp; H881,  "")</f>
        <v>principal-process-steward|KnowledgeGaps</v>
      </c>
      <c r="N881" s="3" t="s">
        <v>10004</v>
      </c>
    </row>
    <row r="882">
      <c r="A882" s="3" t="s">
        <v>10884</v>
      </c>
      <c r="B882" s="4" t="str">
        <f>C882 &amp; " -&gt; " &amp; D882</f>
        <v>principal-process-steward -&gt; KnowledgeGaps.ToleranceDays</v>
      </c>
      <c r="C882" s="3" t="s">
        <v>9772</v>
      </c>
      <c r="D882" s="3" t="s">
        <v>3392</v>
      </c>
      <c r="E882" s="3" t="b">
        <v>1</v>
      </c>
      <c r="F882" s="3" t="b">
        <v>0</v>
      </c>
      <c r="G882" s="3" t="s">
        <v>10003</v>
      </c>
      <c r="H882" s="4" t="str">
        <f>_xlfn.IFNA(IF(((INDEX(RulebookFields!C2:C1898, MATCH(D882,RulebookFields!A2:A1898, 0))="")=TRUE),  "",  INDEX(RulebookFields!C2:C1898, MATCH(D882,RulebookFields!A2:A1898, 0))), "")</f>
        <v>KnowledgeGaps</v>
      </c>
      <c r="I882" s="4" t="str">
        <f>_xlfn.IFNA(IF(((INDEX(RulebookFields!D2:D1898, MATCH(D882,RulebookFields!A2:A1898, 0))="")=TRUE),  "",  INDEX(RulebookFields!D2:D1898, MATCH(D882,RulebookFields!A2:A1898, 0))), "")</f>
        <v>ToleranceDays</v>
      </c>
      <c r="J882" s="4" t="b">
        <f>_xlfn.IFNA(IF(((INDEX(RulebookFields!I2:I1898, MATCH(D882,RulebookFields!A2:A1898, 0))="")=TRUE),  "",  INDEX(RulebookFields!I2:I1898, MATCH(D882,RulebookFields!A2:A1898, 0))), "")</f>
        <v>1</v>
      </c>
      <c r="K882" s="4" t="b">
        <f>AND(((F882)=TRUE), ((J882)=TRUE))</f>
        <v>0</v>
      </c>
      <c r="L882" s="4" t="b">
        <f>AND(((G882 &lt;&gt; "plain")=TRUE), ((G882 &lt;&gt; "")=TRUE))</f>
        <v>0</v>
      </c>
      <c r="M882" s="4" t="str">
        <f>IF(((E882)=TRUE),  C882 &amp; "|" &amp; H882,  "")</f>
        <v>principal-process-steward|KnowledgeGaps</v>
      </c>
      <c r="N882" s="3" t="s">
        <v>10004</v>
      </c>
    </row>
    <row r="883">
      <c r="A883" s="3" t="s">
        <v>10885</v>
      </c>
      <c r="B883" s="4" t="str">
        <f>C883 &amp; " -&gt; " &amp; D883</f>
        <v>principal-process-steward -&gt; KnowledgeGaps.IsOverdueGap</v>
      </c>
      <c r="C883" s="3" t="s">
        <v>9772</v>
      </c>
      <c r="D883" s="3" t="s">
        <v>3394</v>
      </c>
      <c r="E883" s="3" t="b">
        <v>1</v>
      </c>
      <c r="F883" s="3" t="b">
        <v>0</v>
      </c>
      <c r="G883" s="3" t="s">
        <v>10003</v>
      </c>
      <c r="H883" s="4" t="str">
        <f>_xlfn.IFNA(IF(((INDEX(RulebookFields!C2:C1898, MATCH(D883,RulebookFields!A2:A1898, 0))="")=TRUE),  "",  INDEX(RulebookFields!C2:C1898, MATCH(D883,RulebookFields!A2:A1898, 0))), "")</f>
        <v>KnowledgeGaps</v>
      </c>
      <c r="I883" s="4" t="str">
        <f>_xlfn.IFNA(IF(((INDEX(RulebookFields!D2:D1898, MATCH(D883,RulebookFields!A2:A1898, 0))="")=TRUE),  "",  INDEX(RulebookFields!D2:D1898, MATCH(D883,RulebookFields!A2:A1898, 0))), "")</f>
        <v>IsOverdueGap</v>
      </c>
      <c r="J883" s="4" t="b">
        <f>_xlfn.IFNA(IF(((INDEX(RulebookFields!I2:I1898, MATCH(D883,RulebookFields!A2:A1898, 0))="")=TRUE),  "",  INDEX(RulebookFields!I2:I1898, MATCH(D883,RulebookFields!A2:A1898, 0))), "")</f>
        <v>1</v>
      </c>
      <c r="K883" s="4" t="b">
        <f>AND(((F883)=TRUE), ((J883)=TRUE))</f>
        <v>0</v>
      </c>
      <c r="L883" s="4" t="b">
        <f>AND(((G883 &lt;&gt; "plain")=TRUE), ((G883 &lt;&gt; "")=TRUE))</f>
        <v>0</v>
      </c>
      <c r="M883" s="4" t="str">
        <f>IF(((E883)=TRUE),  C883 &amp; "|" &amp; H883,  "")</f>
        <v>principal-process-steward|KnowledgeGaps</v>
      </c>
      <c r="N883" s="3" t="s">
        <v>10004</v>
      </c>
    </row>
    <row r="884">
      <c r="A884" s="3" t="s">
        <v>10886</v>
      </c>
      <c r="B884" s="4" t="str">
        <f>C884 &amp; " -&gt; " &amp; D884</f>
        <v>principal-process-steward -&gt; KnowledgeGaps.OwnerAgent</v>
      </c>
      <c r="C884" s="3" t="s">
        <v>9772</v>
      </c>
      <c r="D884" s="3" t="s">
        <v>3396</v>
      </c>
      <c r="E884" s="3" t="b">
        <v>1</v>
      </c>
      <c r="F884" s="3" t="b">
        <v>0</v>
      </c>
      <c r="G884" s="3" t="s">
        <v>10003</v>
      </c>
      <c r="H884" s="4" t="str">
        <f>_xlfn.IFNA(IF(((INDEX(RulebookFields!C2:C1898, MATCH(D884,RulebookFields!A2:A1898, 0))="")=TRUE),  "",  INDEX(RulebookFields!C2:C1898, MATCH(D884,RulebookFields!A2:A1898, 0))), "")</f>
        <v>KnowledgeGaps</v>
      </c>
      <c r="I884" s="4" t="str">
        <f>_xlfn.IFNA(IF(((INDEX(RulebookFields!D2:D1898, MATCH(D884,RulebookFields!A2:A1898, 0))="")=TRUE),  "",  INDEX(RulebookFields!D2:D1898, MATCH(D884,RulebookFields!A2:A1898, 0))), "")</f>
        <v>OwnerAgent</v>
      </c>
      <c r="J884" s="4" t="b">
        <f>_xlfn.IFNA(IF(((INDEX(RulebookFields!I2:I1898, MATCH(D884,RulebookFields!A2:A1898, 0))="")=TRUE),  "",  INDEX(RulebookFields!I2:I1898, MATCH(D884,RulebookFields!A2:A1898, 0))), "")</f>
        <v>1</v>
      </c>
      <c r="K884" s="4" t="b">
        <f>AND(((F884)=TRUE), ((J884)=TRUE))</f>
        <v>0</v>
      </c>
      <c r="L884" s="4" t="b">
        <f>AND(((G884 &lt;&gt; "plain")=TRUE), ((G884 &lt;&gt; "")=TRUE))</f>
        <v>0</v>
      </c>
      <c r="M884" s="4" t="str">
        <f>IF(((E884)=TRUE),  C884 &amp; "|" &amp; H884,  "")</f>
        <v>principal-process-steward|KnowledgeGaps</v>
      </c>
      <c r="N884" s="3" t="s">
        <v>10004</v>
      </c>
    </row>
    <row r="885">
      <c r="A885" s="3" t="s">
        <v>10887</v>
      </c>
      <c r="B885" s="4" t="str">
        <f>C885 &amp; " -&gt; " &amp; D885</f>
        <v>principal-process-steward -&gt; KnowledgeGaps.OwnerIsStillEngaged</v>
      </c>
      <c r="C885" s="3" t="s">
        <v>9772</v>
      </c>
      <c r="D885" s="3" t="s">
        <v>3397</v>
      </c>
      <c r="E885" s="3" t="b">
        <v>1</v>
      </c>
      <c r="F885" s="3" t="b">
        <v>0</v>
      </c>
      <c r="G885" s="3" t="s">
        <v>10003</v>
      </c>
      <c r="H885" s="4" t="str">
        <f>_xlfn.IFNA(IF(((INDEX(RulebookFields!C2:C1898, MATCH(D885,RulebookFields!A2:A1898, 0))="")=TRUE),  "",  INDEX(RulebookFields!C2:C1898, MATCH(D885,RulebookFields!A2:A1898, 0))), "")</f>
        <v>KnowledgeGaps</v>
      </c>
      <c r="I885" s="4" t="str">
        <f>_xlfn.IFNA(IF(((INDEX(RulebookFields!D2:D1898, MATCH(D885,RulebookFields!A2:A1898, 0))="")=TRUE),  "",  INDEX(RulebookFields!D2:D1898, MATCH(D885,RulebookFields!A2:A1898, 0))), "")</f>
        <v>OwnerIsStillEngaged</v>
      </c>
      <c r="J885" s="4" t="b">
        <f>_xlfn.IFNA(IF(((INDEX(RulebookFields!I2:I1898, MATCH(D885,RulebookFields!A2:A1898, 0))="")=TRUE),  "",  INDEX(RulebookFields!I2:I1898, MATCH(D885,RulebookFields!A2:A1898, 0))), "")</f>
        <v>1</v>
      </c>
      <c r="K885" s="4" t="b">
        <f>AND(((F885)=TRUE), ((J885)=TRUE))</f>
        <v>0</v>
      </c>
      <c r="L885" s="4" t="b">
        <f>AND(((G885 &lt;&gt; "plain")=TRUE), ((G885 &lt;&gt; "")=TRUE))</f>
        <v>0</v>
      </c>
      <c r="M885" s="4" t="str">
        <f>IF(((E885)=TRUE),  C885 &amp; "|" &amp; H885,  "")</f>
        <v>principal-process-steward|KnowledgeGaps</v>
      </c>
      <c r="N885" s="3" t="s">
        <v>10004</v>
      </c>
    </row>
    <row r="886">
      <c r="A886" s="3" t="s">
        <v>10888</v>
      </c>
      <c r="B886" s="4" t="str">
        <f>C886 &amp; " -&gt; " &amp; D886</f>
        <v>principal-process-steward -&gt; KnowledgeGaps.HasResolutionPlan</v>
      </c>
      <c r="C886" s="3" t="s">
        <v>9772</v>
      </c>
      <c r="D886" s="3" t="s">
        <v>3399</v>
      </c>
      <c r="E886" s="3" t="b">
        <v>1</v>
      </c>
      <c r="F886" s="3" t="b">
        <v>0</v>
      </c>
      <c r="G886" s="3" t="s">
        <v>10003</v>
      </c>
      <c r="H886" s="4" t="str">
        <f>_xlfn.IFNA(IF(((INDEX(RulebookFields!C2:C1898, MATCH(D886,RulebookFields!A2:A1898, 0))="")=TRUE),  "",  INDEX(RulebookFields!C2:C1898, MATCH(D886,RulebookFields!A2:A1898, 0))), "")</f>
        <v>KnowledgeGaps</v>
      </c>
      <c r="I886" s="4" t="str">
        <f>_xlfn.IFNA(IF(((INDEX(RulebookFields!D2:D1898, MATCH(D886,RulebookFields!A2:A1898, 0))="")=TRUE),  "",  INDEX(RulebookFields!D2:D1898, MATCH(D886,RulebookFields!A2:A1898, 0))), "")</f>
        <v>HasResolutionPlan</v>
      </c>
      <c r="J886" s="4" t="b">
        <f>_xlfn.IFNA(IF(((INDEX(RulebookFields!I2:I1898, MATCH(D886,RulebookFields!A2:A1898, 0))="")=TRUE),  "",  INDEX(RulebookFields!I2:I1898, MATCH(D886,RulebookFields!A2:A1898, 0))), "")</f>
        <v>1</v>
      </c>
      <c r="K886" s="4" t="b">
        <f>AND(((F886)=TRUE), ((J886)=TRUE))</f>
        <v>0</v>
      </c>
      <c r="L886" s="4" t="b">
        <f>AND(((G886 &lt;&gt; "plain")=TRUE), ((G886 &lt;&gt; "")=TRUE))</f>
        <v>0</v>
      </c>
      <c r="M886" s="4" t="str">
        <f>IF(((E886)=TRUE),  C886 &amp; "|" &amp; H886,  "")</f>
        <v>principal-process-steward|KnowledgeGaps</v>
      </c>
      <c r="N886" s="3" t="s">
        <v>10004</v>
      </c>
    </row>
    <row r="887">
      <c r="A887" s="3" t="s">
        <v>10889</v>
      </c>
      <c r="B887" s="4" t="str">
        <f>C887 &amp; " -&gt; " &amp; D887</f>
        <v>principal-process-steward -&gt; KnowledgeGaps.IsAbandonedUnknown</v>
      </c>
      <c r="C887" s="3" t="s">
        <v>9772</v>
      </c>
      <c r="D887" s="3" t="s">
        <v>3401</v>
      </c>
      <c r="E887" s="3" t="b">
        <v>1</v>
      </c>
      <c r="F887" s="3" t="b">
        <v>0</v>
      </c>
      <c r="G887" s="3" t="s">
        <v>10003</v>
      </c>
      <c r="H887" s="4" t="str">
        <f>_xlfn.IFNA(IF(((INDEX(RulebookFields!C2:C1898, MATCH(D887,RulebookFields!A2:A1898, 0))="")=TRUE),  "",  INDEX(RulebookFields!C2:C1898, MATCH(D887,RulebookFields!A2:A1898, 0))), "")</f>
        <v>KnowledgeGaps</v>
      </c>
      <c r="I887" s="4" t="str">
        <f>_xlfn.IFNA(IF(((INDEX(RulebookFields!D2:D1898, MATCH(D887,RulebookFields!A2:A1898, 0))="")=TRUE),  "",  INDEX(RulebookFields!D2:D1898, MATCH(D887,RulebookFields!A2:A1898, 0))), "")</f>
        <v>IsAbandonedUnknown</v>
      </c>
      <c r="J887" s="4" t="b">
        <f>_xlfn.IFNA(IF(((INDEX(RulebookFields!I2:I1898, MATCH(D887,RulebookFields!A2:A1898, 0))="")=TRUE),  "",  INDEX(RulebookFields!I2:I1898, MATCH(D887,RulebookFields!A2:A1898, 0))), "")</f>
        <v>1</v>
      </c>
      <c r="K887" s="4" t="b">
        <f>AND(((F887)=TRUE), ((J887)=TRUE))</f>
        <v>0</v>
      </c>
      <c r="L887" s="4" t="b">
        <f>AND(((G887 &lt;&gt; "plain")=TRUE), ((G887 &lt;&gt; "")=TRUE))</f>
        <v>0</v>
      </c>
      <c r="M887" s="4" t="str">
        <f>IF(((E887)=TRUE),  C887 &amp; "|" &amp; H887,  "")</f>
        <v>principal-process-steward|KnowledgeGaps</v>
      </c>
      <c r="N887" s="3" t="s">
        <v>10004</v>
      </c>
    </row>
    <row r="888">
      <c r="A888" s="3" t="s">
        <v>10890</v>
      </c>
      <c r="B888" s="4" t="str">
        <f>C888 &amp; " -&gt; " &amp; D888</f>
        <v>principal-process-steward -&gt; KnowledgeGaps.OpenBlockingGapVersionKey</v>
      </c>
      <c r="C888" s="3" t="s">
        <v>9772</v>
      </c>
      <c r="D888" s="3" t="s">
        <v>3403</v>
      </c>
      <c r="E888" s="3" t="b">
        <v>1</v>
      </c>
      <c r="F888" s="3" t="b">
        <v>0</v>
      </c>
      <c r="G888" s="3" t="s">
        <v>10003</v>
      </c>
      <c r="H888" s="4" t="str">
        <f>_xlfn.IFNA(IF(((INDEX(RulebookFields!C2:C1898, MATCH(D888,RulebookFields!A2:A1898, 0))="")=TRUE),  "",  INDEX(RulebookFields!C2:C1898, MATCH(D888,RulebookFields!A2:A1898, 0))), "")</f>
        <v>KnowledgeGaps</v>
      </c>
      <c r="I888" s="4" t="str">
        <f>_xlfn.IFNA(IF(((INDEX(RulebookFields!D2:D1898, MATCH(D888,RulebookFields!A2:A1898, 0))="")=TRUE),  "",  INDEX(RulebookFields!D2:D1898, MATCH(D888,RulebookFields!A2:A1898, 0))), "")</f>
        <v>OpenBlockingGapVersionKey</v>
      </c>
      <c r="J888" s="4" t="b">
        <f>_xlfn.IFNA(IF(((INDEX(RulebookFields!I2:I1898, MATCH(D888,RulebookFields!A2:A1898, 0))="")=TRUE),  "",  INDEX(RulebookFields!I2:I1898, MATCH(D888,RulebookFields!A2:A1898, 0))), "")</f>
        <v>1</v>
      </c>
      <c r="K888" s="4" t="b">
        <f>AND(((F888)=TRUE), ((J888)=TRUE))</f>
        <v>0</v>
      </c>
      <c r="L888" s="4" t="b">
        <f>AND(((G888 &lt;&gt; "plain")=TRUE), ((G888 &lt;&gt; "")=TRUE))</f>
        <v>0</v>
      </c>
      <c r="M888" s="4" t="str">
        <f>IF(((E888)=TRUE),  C888 &amp; "|" &amp; H888,  "")</f>
        <v>principal-process-steward|KnowledgeGaps</v>
      </c>
      <c r="N888" s="3" t="s">
        <v>10004</v>
      </c>
    </row>
    <row r="889">
      <c r="A889" s="3" t="s">
        <v>10891</v>
      </c>
      <c r="B889" s="4" t="str">
        <f>C889 &amp; " -&gt; " &amp; D889</f>
        <v>principal-process-steward -&gt; KnowledgeGaps.OwnerRoleIsVacated</v>
      </c>
      <c r="C889" s="3" t="s">
        <v>9772</v>
      </c>
      <c r="D889" s="3" t="s">
        <v>3405</v>
      </c>
      <c r="E889" s="3" t="b">
        <v>1</v>
      </c>
      <c r="F889" s="3" t="b">
        <v>0</v>
      </c>
      <c r="G889" s="3" t="s">
        <v>10003</v>
      </c>
      <c r="H889" s="4" t="str">
        <f>_xlfn.IFNA(IF(((INDEX(RulebookFields!C2:C1898, MATCH(D889,RulebookFields!A2:A1898, 0))="")=TRUE),  "",  INDEX(RulebookFields!C2:C1898, MATCH(D889,RulebookFields!A2:A1898, 0))), "")</f>
        <v>KnowledgeGaps</v>
      </c>
      <c r="I889" s="4" t="str">
        <f>_xlfn.IFNA(IF(((INDEX(RulebookFields!D2:D1898, MATCH(D889,RulebookFields!A2:A1898, 0))="")=TRUE),  "",  INDEX(RulebookFields!D2:D1898, MATCH(D889,RulebookFields!A2:A1898, 0))), "")</f>
        <v>OwnerRoleIsVacated</v>
      </c>
      <c r="J889" s="4" t="b">
        <f>_xlfn.IFNA(IF(((INDEX(RulebookFields!I2:I1898, MATCH(D889,RulebookFields!A2:A1898, 0))="")=TRUE),  "",  INDEX(RulebookFields!I2:I1898, MATCH(D889,RulebookFields!A2:A1898, 0))), "")</f>
        <v>1</v>
      </c>
      <c r="K889" s="4" t="b">
        <f>AND(((F889)=TRUE), ((J889)=TRUE))</f>
        <v>0</v>
      </c>
      <c r="L889" s="4" t="b">
        <f>AND(((G889 &lt;&gt; "plain")=TRUE), ((G889 &lt;&gt; "")=TRUE))</f>
        <v>0</v>
      </c>
      <c r="M889" s="4" t="str">
        <f>IF(((E889)=TRUE),  C889 &amp; "|" &amp; H889,  "")</f>
        <v>principal-process-steward|KnowledgeGaps</v>
      </c>
      <c r="N889" s="3" t="s">
        <v>10004</v>
      </c>
    </row>
    <row r="890">
      <c r="A890" s="3" t="s">
        <v>10892</v>
      </c>
      <c r="B890" s="4" t="str">
        <f>C890 &amp; " -&gt; " &amp; D890</f>
        <v>principal-process-steward -&gt; KnowledgeGaps.IsOwnerlessOpenGap</v>
      </c>
      <c r="C890" s="3" t="s">
        <v>9772</v>
      </c>
      <c r="D890" s="3" t="s">
        <v>3406</v>
      </c>
      <c r="E890" s="3" t="b">
        <v>1</v>
      </c>
      <c r="F890" s="3" t="b">
        <v>0</v>
      </c>
      <c r="G890" s="3" t="s">
        <v>10003</v>
      </c>
      <c r="H890" s="4" t="str">
        <f>_xlfn.IFNA(IF(((INDEX(RulebookFields!C2:C1898, MATCH(D890,RulebookFields!A2:A1898, 0))="")=TRUE),  "",  INDEX(RulebookFields!C2:C1898, MATCH(D890,RulebookFields!A2:A1898, 0))), "")</f>
        <v>KnowledgeGaps</v>
      </c>
      <c r="I890" s="4" t="str">
        <f>_xlfn.IFNA(IF(((INDEX(RulebookFields!D2:D1898, MATCH(D890,RulebookFields!A2:A1898, 0))="")=TRUE),  "",  INDEX(RulebookFields!D2:D1898, MATCH(D890,RulebookFields!A2:A1898, 0))), "")</f>
        <v>IsOwnerlessOpenGap</v>
      </c>
      <c r="J890" s="4" t="b">
        <f>_xlfn.IFNA(IF(((INDEX(RulebookFields!I2:I1898, MATCH(D890,RulebookFields!A2:A1898, 0))="")=TRUE),  "",  INDEX(RulebookFields!I2:I1898, MATCH(D890,RulebookFields!A2:A1898, 0))), "")</f>
        <v>1</v>
      </c>
      <c r="K890" s="4" t="b">
        <f>AND(((F890)=TRUE), ((J890)=TRUE))</f>
        <v>0</v>
      </c>
      <c r="L890" s="4" t="b">
        <f>AND(((G890 &lt;&gt; "plain")=TRUE), ((G890 &lt;&gt; "")=TRUE))</f>
        <v>0</v>
      </c>
      <c r="M890" s="4" t="str">
        <f>IF(((E890)=TRUE),  C890 &amp; "|" &amp; H890,  "")</f>
        <v>principal-process-steward|KnowledgeGaps</v>
      </c>
      <c r="N890" s="3" t="s">
        <v>10004</v>
      </c>
    </row>
    <row r="891">
      <c r="A891" s="3" t="s">
        <v>10893</v>
      </c>
      <c r="B891" s="4" t="str">
        <f>C891 &amp; " -&gt; " &amp; D891</f>
        <v>principal-process-steward -&gt; KnowledgeGaps.SemanticTypeIri</v>
      </c>
      <c r="C891" s="3" t="s">
        <v>9772</v>
      </c>
      <c r="D891" s="3" t="s">
        <v>3408</v>
      </c>
      <c r="E891" s="3" t="b">
        <v>1</v>
      </c>
      <c r="F891" s="3" t="b">
        <v>0</v>
      </c>
      <c r="G891" s="3" t="s">
        <v>10003</v>
      </c>
      <c r="H891" s="4" t="str">
        <f>_xlfn.IFNA(IF(((INDEX(RulebookFields!C2:C1898, MATCH(D891,RulebookFields!A2:A1898, 0))="")=TRUE),  "",  INDEX(RulebookFields!C2:C1898, MATCH(D891,RulebookFields!A2:A1898, 0))), "")</f>
        <v>KnowledgeGaps</v>
      </c>
      <c r="I891" s="4" t="str">
        <f>_xlfn.IFNA(IF(((INDEX(RulebookFields!D2:D1898, MATCH(D891,RulebookFields!A2:A1898, 0))="")=TRUE),  "",  INDEX(RulebookFields!D2:D1898, MATCH(D891,RulebookFields!A2:A1898, 0))), "")</f>
        <v>SemanticTypeIri</v>
      </c>
      <c r="J891" s="4" t="b">
        <f>_xlfn.IFNA(IF(((INDEX(RulebookFields!I2:I1898, MATCH(D891,RulebookFields!A2:A1898, 0))="")=TRUE),  "",  INDEX(RulebookFields!I2:I1898, MATCH(D891,RulebookFields!A2:A1898, 0))), "")</f>
        <v>0</v>
      </c>
      <c r="K891" s="4" t="b">
        <f>AND(((F891)=TRUE), ((J891)=TRUE))</f>
        <v>0</v>
      </c>
      <c r="L891" s="4" t="b">
        <f>AND(((G891 &lt;&gt; "plain")=TRUE), ((G891 &lt;&gt; "")=TRUE))</f>
        <v>0</v>
      </c>
      <c r="M891" s="4" t="str">
        <f>IF(((E891)=TRUE),  C891 &amp; "|" &amp; H891,  "")</f>
        <v>principal-process-steward|KnowledgeGaps</v>
      </c>
      <c r="N891" s="3" t="s">
        <v>10004</v>
      </c>
    </row>
    <row r="892">
      <c r="A892" s="3" t="s">
        <v>10894</v>
      </c>
      <c r="B892" s="4" t="str">
        <f>C892 &amp; " -&gt; " &amp; D892</f>
        <v>principal-process-steward -&gt; LearningActivities.LearningActivityId</v>
      </c>
      <c r="C892" s="3" t="s">
        <v>9772</v>
      </c>
      <c r="D892" s="3" t="s">
        <v>4016</v>
      </c>
      <c r="E892" s="3" t="b">
        <v>1</v>
      </c>
      <c r="F892" s="3" t="b">
        <v>0</v>
      </c>
      <c r="G892" s="3" t="s">
        <v>10003</v>
      </c>
      <c r="H892" s="4" t="str">
        <f>_xlfn.IFNA(IF(((INDEX(RulebookFields!C2:C1898, MATCH(D892,RulebookFields!A2:A1898, 0))="")=TRUE),  "",  INDEX(RulebookFields!C2:C1898, MATCH(D892,RulebookFields!A2:A1898, 0))), "")</f>
        <v>LearningActivities</v>
      </c>
      <c r="I892" s="4" t="str">
        <f>_xlfn.IFNA(IF(((INDEX(RulebookFields!D2:D1898, MATCH(D892,RulebookFields!A2:A1898, 0))="")=TRUE),  "",  INDEX(RulebookFields!D2:D1898, MATCH(D892,RulebookFields!A2:A1898, 0))), "")</f>
        <v>LearningActivityId</v>
      </c>
      <c r="J892" s="4" t="b">
        <f>_xlfn.IFNA(IF(((INDEX(RulebookFields!I2:I1898, MATCH(D892,RulebookFields!A2:A1898, 0))="")=TRUE),  "",  INDEX(RulebookFields!I2:I1898, MATCH(D892,RulebookFields!A2:A1898, 0))), "")</f>
        <v>0</v>
      </c>
      <c r="K892" s="4" t="b">
        <f>AND(((F892)=TRUE), ((J892)=TRUE))</f>
        <v>0</v>
      </c>
      <c r="L892" s="4" t="b">
        <f>AND(((G892 &lt;&gt; "plain")=TRUE), ((G892 &lt;&gt; "")=TRUE))</f>
        <v>0</v>
      </c>
      <c r="M892" s="4" t="str">
        <f>IF(((E892)=TRUE),  C892 &amp; "|" &amp; H892,  "")</f>
        <v>principal-process-steward|LearningActivities</v>
      </c>
      <c r="N892" s="3" t="s">
        <v>10004</v>
      </c>
    </row>
    <row r="893">
      <c r="A893" s="3" t="s">
        <v>10895</v>
      </c>
      <c r="B893" s="4" t="str">
        <f>C893 &amp; " -&gt; " &amp; D893</f>
        <v>principal-process-steward -&gt; LearningActivities.Name</v>
      </c>
      <c r="C893" s="3" t="s">
        <v>9772</v>
      </c>
      <c r="D893" s="3" t="s">
        <v>4018</v>
      </c>
      <c r="E893" s="3" t="b">
        <v>1</v>
      </c>
      <c r="F893" s="3" t="b">
        <v>0</v>
      </c>
      <c r="G893" s="3" t="s">
        <v>10003</v>
      </c>
      <c r="H893" s="4" t="str">
        <f>_xlfn.IFNA(IF(((INDEX(RulebookFields!C2:C1898, MATCH(D893,RulebookFields!A2:A1898, 0))="")=TRUE),  "",  INDEX(RulebookFields!C2:C1898, MATCH(D893,RulebookFields!A2:A1898, 0))), "")</f>
        <v>LearningActivities</v>
      </c>
      <c r="I893" s="4" t="str">
        <f>_xlfn.IFNA(IF(((INDEX(RulebookFields!D2:D1898, MATCH(D893,RulebookFields!A2:A1898, 0))="")=TRUE),  "",  INDEX(RulebookFields!D2:D1898, MATCH(D893,RulebookFields!A2:A1898, 0))), "")</f>
        <v>Name</v>
      </c>
      <c r="J893" s="4" t="b">
        <f>_xlfn.IFNA(IF(((INDEX(RulebookFields!I2:I1898, MATCH(D893,RulebookFields!A2:A1898, 0))="")=TRUE),  "",  INDEX(RulebookFields!I2:I1898, MATCH(D893,RulebookFields!A2:A1898, 0))), "")</f>
        <v>1</v>
      </c>
      <c r="K893" s="4" t="b">
        <f>AND(((F893)=TRUE), ((J893)=TRUE))</f>
        <v>0</v>
      </c>
      <c r="L893" s="4" t="b">
        <f>AND(((G893 &lt;&gt; "plain")=TRUE), ((G893 &lt;&gt; "")=TRUE))</f>
        <v>0</v>
      </c>
      <c r="M893" s="4" t="str">
        <f>IF(((E893)=TRUE),  C893 &amp; "|" &amp; H893,  "")</f>
        <v>principal-process-steward|LearningActivities</v>
      </c>
      <c r="N893" s="3" t="s">
        <v>10004</v>
      </c>
    </row>
    <row r="894">
      <c r="A894" s="3" t="s">
        <v>10896</v>
      </c>
      <c r="B894" s="4" t="str">
        <f>C894 &amp; " -&gt; " &amp; D894</f>
        <v>principal-process-steward -&gt; LearningActivities.CommunityOfPractice</v>
      </c>
      <c r="C894" s="3" t="s">
        <v>9772</v>
      </c>
      <c r="D894" s="3" t="s">
        <v>4020</v>
      </c>
      <c r="E894" s="3" t="b">
        <v>1</v>
      </c>
      <c r="F894" s="3" t="b">
        <v>0</v>
      </c>
      <c r="G894" s="3" t="s">
        <v>10003</v>
      </c>
      <c r="H894" s="4" t="str">
        <f>_xlfn.IFNA(IF(((INDEX(RulebookFields!C2:C1898, MATCH(D894,RulebookFields!A2:A1898, 0))="")=TRUE),  "",  INDEX(RulebookFields!C2:C1898, MATCH(D894,RulebookFields!A2:A1898, 0))), "")</f>
        <v>LearningActivities</v>
      </c>
      <c r="I894" s="4" t="str">
        <f>_xlfn.IFNA(IF(((INDEX(RulebookFields!D2:D1898, MATCH(D894,RulebookFields!A2:A1898, 0))="")=TRUE),  "",  INDEX(RulebookFields!D2:D1898, MATCH(D894,RulebookFields!A2:A1898, 0))), "")</f>
        <v>CommunityOfPractice</v>
      </c>
      <c r="J894" s="4" t="b">
        <f>_xlfn.IFNA(IF(((INDEX(RulebookFields!I2:I1898, MATCH(D894,RulebookFields!A2:A1898, 0))="")=TRUE),  "",  INDEX(RulebookFields!I2:I1898, MATCH(D894,RulebookFields!A2:A1898, 0))), "")</f>
        <v>0</v>
      </c>
      <c r="K894" s="4" t="b">
        <f>AND(((F894)=TRUE), ((J894)=TRUE))</f>
        <v>0</v>
      </c>
      <c r="L894" s="4" t="b">
        <f>AND(((G894 &lt;&gt; "plain")=TRUE), ((G894 &lt;&gt; "")=TRUE))</f>
        <v>0</v>
      </c>
      <c r="M894" s="4" t="str">
        <f>IF(((E894)=TRUE),  C894 &amp; "|" &amp; H894,  "")</f>
        <v>principal-process-steward|LearningActivities</v>
      </c>
      <c r="N894" s="3" t="s">
        <v>10004</v>
      </c>
    </row>
    <row r="895">
      <c r="A895" s="3" t="s">
        <v>10897</v>
      </c>
      <c r="B895" s="4" t="str">
        <f>C895 &amp; " -&gt; " &amp; D895</f>
        <v>principal-process-steward -&gt; LearningActivities.ProcedureVersion</v>
      </c>
      <c r="C895" s="3" t="s">
        <v>9772</v>
      </c>
      <c r="D895" s="3" t="s">
        <v>4021</v>
      </c>
      <c r="E895" s="3" t="b">
        <v>1</v>
      </c>
      <c r="F895" s="3" t="b">
        <v>0</v>
      </c>
      <c r="G895" s="3" t="s">
        <v>10003</v>
      </c>
      <c r="H895" s="4" t="str">
        <f>_xlfn.IFNA(IF(((INDEX(RulebookFields!C2:C1898, MATCH(D895,RulebookFields!A2:A1898, 0))="")=TRUE),  "",  INDEX(RulebookFields!C2:C1898, MATCH(D895,RulebookFields!A2:A1898, 0))), "")</f>
        <v>LearningActivities</v>
      </c>
      <c r="I895" s="4" t="str">
        <f>_xlfn.IFNA(IF(((INDEX(RulebookFields!D2:D1898, MATCH(D895,RulebookFields!A2:A1898, 0))="")=TRUE),  "",  INDEX(RulebookFields!D2:D1898, MATCH(D895,RulebookFields!A2:A1898, 0))), "")</f>
        <v>ProcedureVersion</v>
      </c>
      <c r="J895" s="4" t="b">
        <f>_xlfn.IFNA(IF(((INDEX(RulebookFields!I2:I1898, MATCH(D895,RulebookFields!A2:A1898, 0))="")=TRUE),  "",  INDEX(RulebookFields!I2:I1898, MATCH(D895,RulebookFields!A2:A1898, 0))), "")</f>
        <v>0</v>
      </c>
      <c r="K895" s="4" t="b">
        <f>AND(((F895)=TRUE), ((J895)=TRUE))</f>
        <v>0</v>
      </c>
      <c r="L895" s="4" t="b">
        <f>AND(((G895 &lt;&gt; "plain")=TRUE), ((G895 &lt;&gt; "")=TRUE))</f>
        <v>0</v>
      </c>
      <c r="M895" s="4" t="str">
        <f>IF(((E895)=TRUE),  C895 &amp; "|" &amp; H895,  "")</f>
        <v>principal-process-steward|LearningActivities</v>
      </c>
      <c r="N895" s="3" t="s">
        <v>10004</v>
      </c>
    </row>
    <row r="896">
      <c r="A896" s="3" t="s">
        <v>10898</v>
      </c>
      <c r="B896" s="4" t="str">
        <f>C896 &amp; " -&gt; " &amp; D896</f>
        <v>principal-process-steward -&gt; LearningActivities.ActivityKind</v>
      </c>
      <c r="C896" s="3" t="s">
        <v>9772</v>
      </c>
      <c r="D896" s="3" t="s">
        <v>4022</v>
      </c>
      <c r="E896" s="3" t="b">
        <v>1</v>
      </c>
      <c r="F896" s="3" t="b">
        <v>0</v>
      </c>
      <c r="G896" s="3" t="s">
        <v>10003</v>
      </c>
      <c r="H896" s="4" t="str">
        <f>_xlfn.IFNA(IF(((INDEX(RulebookFields!C2:C1898, MATCH(D896,RulebookFields!A2:A1898, 0))="")=TRUE),  "",  INDEX(RulebookFields!C2:C1898, MATCH(D896,RulebookFields!A2:A1898, 0))), "")</f>
        <v>LearningActivities</v>
      </c>
      <c r="I896" s="4" t="str">
        <f>_xlfn.IFNA(IF(((INDEX(RulebookFields!D2:D1898, MATCH(D896,RulebookFields!A2:A1898, 0))="")=TRUE),  "",  INDEX(RulebookFields!D2:D1898, MATCH(D896,RulebookFields!A2:A1898, 0))), "")</f>
        <v>ActivityKind</v>
      </c>
      <c r="J896" s="4" t="b">
        <f>_xlfn.IFNA(IF(((INDEX(RulebookFields!I2:I1898, MATCH(D896,RulebookFields!A2:A1898, 0))="")=TRUE),  "",  INDEX(RulebookFields!I2:I1898, MATCH(D896,RulebookFields!A2:A1898, 0))), "")</f>
        <v>0</v>
      </c>
      <c r="K896" s="4" t="b">
        <f>AND(((F896)=TRUE), ((J896)=TRUE))</f>
        <v>0</v>
      </c>
      <c r="L896" s="4" t="b">
        <f>AND(((G896 &lt;&gt; "plain")=TRUE), ((G896 &lt;&gt; "")=TRUE))</f>
        <v>0</v>
      </c>
      <c r="M896" s="4" t="str">
        <f>IF(((E896)=TRUE),  C896 &amp; "|" &amp; H896,  "")</f>
        <v>principal-process-steward|LearningActivities</v>
      </c>
      <c r="N896" s="3" t="s">
        <v>10004</v>
      </c>
    </row>
    <row r="897">
      <c r="A897" s="3" t="s">
        <v>10899</v>
      </c>
      <c r="B897" s="4" t="str">
        <f>C897 &amp; " -&gt; " &amp; D897</f>
        <v>principal-process-steward -&gt; LearningActivities.OccurredAt</v>
      </c>
      <c r="C897" s="3" t="s">
        <v>9772</v>
      </c>
      <c r="D897" s="3" t="s">
        <v>4023</v>
      </c>
      <c r="E897" s="3" t="b">
        <v>1</v>
      </c>
      <c r="F897" s="3" t="b">
        <v>0</v>
      </c>
      <c r="G897" s="3" t="s">
        <v>10003</v>
      </c>
      <c r="H897" s="4" t="str">
        <f>_xlfn.IFNA(IF(((INDEX(RulebookFields!C2:C1898, MATCH(D897,RulebookFields!A2:A1898, 0))="")=TRUE),  "",  INDEX(RulebookFields!C2:C1898, MATCH(D897,RulebookFields!A2:A1898, 0))), "")</f>
        <v>LearningActivities</v>
      </c>
      <c r="I897" s="4" t="str">
        <f>_xlfn.IFNA(IF(((INDEX(RulebookFields!D2:D1898, MATCH(D897,RulebookFields!A2:A1898, 0))="")=TRUE),  "",  INDEX(RulebookFields!D2:D1898, MATCH(D897,RulebookFields!A2:A1898, 0))), "")</f>
        <v>OccurredAt</v>
      </c>
      <c r="J897" s="4" t="b">
        <f>_xlfn.IFNA(IF(((INDEX(RulebookFields!I2:I1898, MATCH(D897,RulebookFields!A2:A1898, 0))="")=TRUE),  "",  INDEX(RulebookFields!I2:I1898, MATCH(D897,RulebookFields!A2:A1898, 0))), "")</f>
        <v>0</v>
      </c>
      <c r="K897" s="4" t="b">
        <f>AND(((F897)=TRUE), ((J897)=TRUE))</f>
        <v>0</v>
      </c>
      <c r="L897" s="4" t="b">
        <f>AND(((G897 &lt;&gt; "plain")=TRUE), ((G897 &lt;&gt; "")=TRUE))</f>
        <v>0</v>
      </c>
      <c r="M897" s="4" t="str">
        <f>IF(((E897)=TRUE),  C897 &amp; "|" &amp; H897,  "")</f>
        <v>principal-process-steward|LearningActivities</v>
      </c>
      <c r="N897" s="3" t="s">
        <v>10004</v>
      </c>
    </row>
    <row r="898">
      <c r="A898" s="3" t="s">
        <v>10900</v>
      </c>
      <c r="B898" s="4" t="str">
        <f>C898 &amp; " -&gt; " &amp; D898</f>
        <v>principal-process-steward -&gt; LearningActivities.FacilitatorAgent</v>
      </c>
      <c r="C898" s="3" t="s">
        <v>9772</v>
      </c>
      <c r="D898" s="3" t="s">
        <v>4024</v>
      </c>
      <c r="E898" s="3" t="b">
        <v>1</v>
      </c>
      <c r="F898" s="3" t="b">
        <v>0</v>
      </c>
      <c r="G898" s="3" t="s">
        <v>10003</v>
      </c>
      <c r="H898" s="4" t="str">
        <f>_xlfn.IFNA(IF(((INDEX(RulebookFields!C2:C1898, MATCH(D898,RulebookFields!A2:A1898, 0))="")=TRUE),  "",  INDEX(RulebookFields!C2:C1898, MATCH(D898,RulebookFields!A2:A1898, 0))), "")</f>
        <v>LearningActivities</v>
      </c>
      <c r="I898" s="4" t="str">
        <f>_xlfn.IFNA(IF(((INDEX(RulebookFields!D2:D1898, MATCH(D898,RulebookFields!A2:A1898, 0))="")=TRUE),  "",  INDEX(RulebookFields!D2:D1898, MATCH(D898,RulebookFields!A2:A1898, 0))), "")</f>
        <v>FacilitatorAgent</v>
      </c>
      <c r="J898" s="4" t="b">
        <f>_xlfn.IFNA(IF(((INDEX(RulebookFields!I2:I1898, MATCH(D898,RulebookFields!A2:A1898, 0))="")=TRUE),  "",  INDEX(RulebookFields!I2:I1898, MATCH(D898,RulebookFields!A2:A1898, 0))), "")</f>
        <v>0</v>
      </c>
      <c r="K898" s="4" t="b">
        <f>AND(((F898)=TRUE), ((J898)=TRUE))</f>
        <v>0</v>
      </c>
      <c r="L898" s="4" t="b">
        <f>AND(((G898 &lt;&gt; "plain")=TRUE), ((G898 &lt;&gt; "")=TRUE))</f>
        <v>0</v>
      </c>
      <c r="M898" s="4" t="str">
        <f>IF(((E898)=TRUE),  C898 &amp; "|" &amp; H898,  "")</f>
        <v>principal-process-steward|LearningActivities</v>
      </c>
      <c r="N898" s="3" t="s">
        <v>10004</v>
      </c>
    </row>
    <row r="899">
      <c r="A899" s="3" t="s">
        <v>10901</v>
      </c>
      <c r="B899" s="4" t="str">
        <f>C899 &amp; " -&gt; " &amp; D899</f>
        <v>principal-process-steward -&gt; LearningActivities.Outcome</v>
      </c>
      <c r="C899" s="3" t="s">
        <v>9772</v>
      </c>
      <c r="D899" s="3" t="s">
        <v>4025</v>
      </c>
      <c r="E899" s="3" t="b">
        <v>1</v>
      </c>
      <c r="F899" s="3" t="b">
        <v>0</v>
      </c>
      <c r="G899" s="3" t="s">
        <v>10003</v>
      </c>
      <c r="H899" s="4" t="str">
        <f>_xlfn.IFNA(IF(((INDEX(RulebookFields!C2:C1898, MATCH(D899,RulebookFields!A2:A1898, 0))="")=TRUE),  "",  INDEX(RulebookFields!C2:C1898, MATCH(D899,RulebookFields!A2:A1898, 0))), "")</f>
        <v>LearningActivities</v>
      </c>
      <c r="I899" s="4" t="str">
        <f>_xlfn.IFNA(IF(((INDEX(RulebookFields!D2:D1898, MATCH(D899,RulebookFields!A2:A1898, 0))="")=TRUE),  "",  INDEX(RulebookFields!D2:D1898, MATCH(D899,RulebookFields!A2:A1898, 0))), "")</f>
        <v>Outcome</v>
      </c>
      <c r="J899" s="4" t="b">
        <f>_xlfn.IFNA(IF(((INDEX(RulebookFields!I2:I1898, MATCH(D899,RulebookFields!A2:A1898, 0))="")=TRUE),  "",  INDEX(RulebookFields!I2:I1898, MATCH(D899,RulebookFields!A2:A1898, 0))), "")</f>
        <v>0</v>
      </c>
      <c r="K899" s="4" t="b">
        <f>AND(((F899)=TRUE), ((J899)=TRUE))</f>
        <v>0</v>
      </c>
      <c r="L899" s="4" t="b">
        <f>AND(((G899 &lt;&gt; "plain")=TRUE), ((G899 &lt;&gt; "")=TRUE))</f>
        <v>0</v>
      </c>
      <c r="M899" s="4" t="str">
        <f>IF(((E899)=TRUE),  C899 &amp; "|" &amp; H899,  "")</f>
        <v>principal-process-steward|LearningActivities</v>
      </c>
      <c r="N899" s="3" t="s">
        <v>10004</v>
      </c>
    </row>
    <row r="900">
      <c r="A900" s="3" t="s">
        <v>10902</v>
      </c>
      <c r="B900" s="4" t="str">
        <f>C900 &amp; " -&gt; " &amp; D900</f>
        <v>principal-process-steward -&gt; LearningActivities.EvidenceResource</v>
      </c>
      <c r="C900" s="3" t="s">
        <v>9772</v>
      </c>
      <c r="D900" s="3" t="s">
        <v>4026</v>
      </c>
      <c r="E900" s="3" t="b">
        <v>1</v>
      </c>
      <c r="F900" s="3" t="b">
        <v>0</v>
      </c>
      <c r="G900" s="3" t="s">
        <v>10003</v>
      </c>
      <c r="H900" s="4" t="str">
        <f>_xlfn.IFNA(IF(((INDEX(RulebookFields!C2:C1898, MATCH(D900,RulebookFields!A2:A1898, 0))="")=TRUE),  "",  INDEX(RulebookFields!C2:C1898, MATCH(D900,RulebookFields!A2:A1898, 0))), "")</f>
        <v>LearningActivities</v>
      </c>
      <c r="I900" s="4" t="str">
        <f>_xlfn.IFNA(IF(((INDEX(RulebookFields!D2:D1898, MATCH(D900,RulebookFields!A2:A1898, 0))="")=TRUE),  "",  INDEX(RulebookFields!D2:D1898, MATCH(D900,RulebookFields!A2:A1898, 0))), "")</f>
        <v>EvidenceResource</v>
      </c>
      <c r="J900" s="4" t="b">
        <f>_xlfn.IFNA(IF(((INDEX(RulebookFields!I2:I1898, MATCH(D900,RulebookFields!A2:A1898, 0))="")=TRUE),  "",  INDEX(RulebookFields!I2:I1898, MATCH(D900,RulebookFields!A2:A1898, 0))), "")</f>
        <v>0</v>
      </c>
      <c r="K900" s="4" t="b">
        <f>AND(((F900)=TRUE), ((J900)=TRUE))</f>
        <v>0</v>
      </c>
      <c r="L900" s="4" t="b">
        <f>AND(((G900 &lt;&gt; "plain")=TRUE), ((G900 &lt;&gt; "")=TRUE))</f>
        <v>0</v>
      </c>
      <c r="M900" s="4" t="str">
        <f>IF(((E900)=TRUE),  C900 &amp; "|" &amp; H900,  "")</f>
        <v>principal-process-steward|LearningActivities</v>
      </c>
      <c r="N900" s="3" t="s">
        <v>10004</v>
      </c>
    </row>
    <row r="901">
      <c r="A901" s="3" t="s">
        <v>10903</v>
      </c>
      <c r="B901" s="4" t="str">
        <f>C901 &amp; " -&gt; " &amp; D901</f>
        <v>principal-process-steward -&gt; LearningActivities.SemanticTypeIri</v>
      </c>
      <c r="C901" s="3" t="s">
        <v>9772</v>
      </c>
      <c r="D901" s="3" t="s">
        <v>4027</v>
      </c>
      <c r="E901" s="3" t="b">
        <v>1</v>
      </c>
      <c r="F901" s="3" t="b">
        <v>0</v>
      </c>
      <c r="G901" s="3" t="s">
        <v>10003</v>
      </c>
      <c r="H901" s="4" t="str">
        <f>_xlfn.IFNA(IF(((INDEX(RulebookFields!C2:C1898, MATCH(D901,RulebookFields!A2:A1898, 0))="")=TRUE),  "",  INDEX(RulebookFields!C2:C1898, MATCH(D901,RulebookFields!A2:A1898, 0))), "")</f>
        <v>LearningActivities</v>
      </c>
      <c r="I901" s="4" t="str">
        <f>_xlfn.IFNA(IF(((INDEX(RulebookFields!D2:D1898, MATCH(D901,RulebookFields!A2:A1898, 0))="")=TRUE),  "",  INDEX(RulebookFields!D2:D1898, MATCH(D901,RulebookFields!A2:A1898, 0))), "")</f>
        <v>SemanticTypeIri</v>
      </c>
      <c r="J901" s="4" t="b">
        <f>_xlfn.IFNA(IF(((INDEX(RulebookFields!I2:I1898, MATCH(D901,RulebookFields!A2:A1898, 0))="")=TRUE),  "",  INDEX(RulebookFields!I2:I1898, MATCH(D901,RulebookFields!A2:A1898, 0))), "")</f>
        <v>0</v>
      </c>
      <c r="K901" s="4" t="b">
        <f>AND(((F901)=TRUE), ((J901)=TRUE))</f>
        <v>0</v>
      </c>
      <c r="L901" s="4" t="b">
        <f>AND(((G901 &lt;&gt; "plain")=TRUE), ((G901 &lt;&gt; "")=TRUE))</f>
        <v>0</v>
      </c>
      <c r="M901" s="4" t="str">
        <f>IF(((E901)=TRUE),  C901 &amp; "|" &amp; H901,  "")</f>
        <v>principal-process-steward|LearningActivities</v>
      </c>
      <c r="N901" s="3" t="s">
        <v>10004</v>
      </c>
    </row>
    <row r="902">
      <c r="A902" s="3" t="s">
        <v>10904</v>
      </c>
      <c r="B902" s="4" t="str">
        <f>C902 &amp; " -&gt; " &amp; D902</f>
        <v>principal-process-steward -&gt; Mentorships.MentorshipId</v>
      </c>
      <c r="C902" s="3" t="s">
        <v>9772</v>
      </c>
      <c r="D902" s="3" t="s">
        <v>2663</v>
      </c>
      <c r="E902" s="3" t="b">
        <v>1</v>
      </c>
      <c r="F902" s="3" t="b">
        <v>0</v>
      </c>
      <c r="G902" s="3" t="s">
        <v>10003</v>
      </c>
      <c r="H902" s="4" t="str">
        <f>_xlfn.IFNA(IF(((INDEX(RulebookFields!C2:C1898, MATCH(D902,RulebookFields!A2:A1898, 0))="")=TRUE),  "",  INDEX(RulebookFields!C2:C1898, MATCH(D902,RulebookFields!A2:A1898, 0))), "")</f>
        <v>Mentorships</v>
      </c>
      <c r="I902" s="4" t="str">
        <f>_xlfn.IFNA(IF(((INDEX(RulebookFields!D2:D1898, MATCH(D902,RulebookFields!A2:A1898, 0))="")=TRUE),  "",  INDEX(RulebookFields!D2:D1898, MATCH(D902,RulebookFields!A2:A1898, 0))), "")</f>
        <v>MentorshipId</v>
      </c>
      <c r="J902" s="4" t="b">
        <f>_xlfn.IFNA(IF(((INDEX(RulebookFields!I2:I1898, MATCH(D902,RulebookFields!A2:A1898, 0))="")=TRUE),  "",  INDEX(RulebookFields!I2:I1898, MATCH(D902,RulebookFields!A2:A1898, 0))), "")</f>
        <v>0</v>
      </c>
      <c r="K902" s="4" t="b">
        <f>AND(((F902)=TRUE), ((J902)=TRUE))</f>
        <v>0</v>
      </c>
      <c r="L902" s="4" t="b">
        <f>AND(((G902 &lt;&gt; "plain")=TRUE), ((G902 &lt;&gt; "")=TRUE))</f>
        <v>0</v>
      </c>
      <c r="M902" s="4" t="str">
        <f>IF(((E902)=TRUE),  C902 &amp; "|" &amp; H902,  "")</f>
        <v>principal-process-steward|Mentorships</v>
      </c>
      <c r="N902" s="3" t="s">
        <v>10004</v>
      </c>
    </row>
    <row r="903">
      <c r="A903" s="3" t="s">
        <v>10905</v>
      </c>
      <c r="B903" s="4" t="str">
        <f>C903 &amp; " -&gt; " &amp; D903</f>
        <v>principal-process-steward -&gt; Mentorships.Name</v>
      </c>
      <c r="C903" s="3" t="s">
        <v>9772</v>
      </c>
      <c r="D903" s="3" t="s">
        <v>2665</v>
      </c>
      <c r="E903" s="3" t="b">
        <v>1</v>
      </c>
      <c r="F903" s="3" t="b">
        <v>0</v>
      </c>
      <c r="G903" s="3" t="s">
        <v>10003</v>
      </c>
      <c r="H903" s="4" t="str">
        <f>_xlfn.IFNA(IF(((INDEX(RulebookFields!C2:C1898, MATCH(D903,RulebookFields!A2:A1898, 0))="")=TRUE),  "",  INDEX(RulebookFields!C2:C1898, MATCH(D903,RulebookFields!A2:A1898, 0))), "")</f>
        <v>Mentorships</v>
      </c>
      <c r="I903" s="4" t="str">
        <f>_xlfn.IFNA(IF(((INDEX(RulebookFields!D2:D1898, MATCH(D903,RulebookFields!A2:A1898, 0))="")=TRUE),  "",  INDEX(RulebookFields!D2:D1898, MATCH(D903,RulebookFields!A2:A1898, 0))), "")</f>
        <v>Name</v>
      </c>
      <c r="J903" s="4" t="b">
        <f>_xlfn.IFNA(IF(((INDEX(RulebookFields!I2:I1898, MATCH(D903,RulebookFields!A2:A1898, 0))="")=TRUE),  "",  INDEX(RulebookFields!I2:I1898, MATCH(D903,RulebookFields!A2:A1898, 0))), "")</f>
        <v>1</v>
      </c>
      <c r="K903" s="4" t="b">
        <f>AND(((F903)=TRUE), ((J903)=TRUE))</f>
        <v>0</v>
      </c>
      <c r="L903" s="4" t="b">
        <f>AND(((G903 &lt;&gt; "plain")=TRUE), ((G903 &lt;&gt; "")=TRUE))</f>
        <v>0</v>
      </c>
      <c r="M903" s="4" t="str">
        <f>IF(((E903)=TRUE),  C903 &amp; "|" &amp; H903,  "")</f>
        <v>principal-process-steward|Mentorships</v>
      </c>
      <c r="N903" s="3" t="s">
        <v>10004</v>
      </c>
    </row>
    <row r="904">
      <c r="A904" s="3" t="s">
        <v>10906</v>
      </c>
      <c r="B904" s="4" t="str">
        <f>C904 &amp; " -&gt; " &amp; D904</f>
        <v>principal-process-steward -&gt; Mentorships.CommunityOfPractice</v>
      </c>
      <c r="C904" s="3" t="s">
        <v>9772</v>
      </c>
      <c r="D904" s="3" t="s">
        <v>2667</v>
      </c>
      <c r="E904" s="3" t="b">
        <v>1</v>
      </c>
      <c r="F904" s="3" t="b">
        <v>0</v>
      </c>
      <c r="G904" s="3" t="s">
        <v>10003</v>
      </c>
      <c r="H904" s="4" t="str">
        <f>_xlfn.IFNA(IF(((INDEX(RulebookFields!C2:C1898, MATCH(D904,RulebookFields!A2:A1898, 0))="")=TRUE),  "",  INDEX(RulebookFields!C2:C1898, MATCH(D904,RulebookFields!A2:A1898, 0))), "")</f>
        <v>Mentorships</v>
      </c>
      <c r="I904" s="4" t="str">
        <f>_xlfn.IFNA(IF(((INDEX(RulebookFields!D2:D1898, MATCH(D904,RulebookFields!A2:A1898, 0))="")=TRUE),  "",  INDEX(RulebookFields!D2:D1898, MATCH(D904,RulebookFields!A2:A1898, 0))), "")</f>
        <v>CommunityOfPractice</v>
      </c>
      <c r="J904" s="4" t="b">
        <f>_xlfn.IFNA(IF(((INDEX(RulebookFields!I2:I1898, MATCH(D904,RulebookFields!A2:A1898, 0))="")=TRUE),  "",  INDEX(RulebookFields!I2:I1898, MATCH(D904,RulebookFields!A2:A1898, 0))), "")</f>
        <v>0</v>
      </c>
      <c r="K904" s="4" t="b">
        <f>AND(((F904)=TRUE), ((J904)=TRUE))</f>
        <v>0</v>
      </c>
      <c r="L904" s="4" t="b">
        <f>AND(((G904 &lt;&gt; "plain")=TRUE), ((G904 &lt;&gt; "")=TRUE))</f>
        <v>0</v>
      </c>
      <c r="M904" s="4" t="str">
        <f>IF(((E904)=TRUE),  C904 &amp; "|" &amp; H904,  "")</f>
        <v>principal-process-steward|Mentorships</v>
      </c>
      <c r="N904" s="3" t="s">
        <v>10004</v>
      </c>
    </row>
    <row r="905">
      <c r="A905" s="3" t="s">
        <v>10907</v>
      </c>
      <c r="B905" s="4" t="str">
        <f>C905 &amp; " -&gt; " &amp; D905</f>
        <v>principal-process-steward -&gt; Mentorships.MentorAgent</v>
      </c>
      <c r="C905" s="3" t="s">
        <v>9772</v>
      </c>
      <c r="D905" s="3" t="s">
        <v>2668</v>
      </c>
      <c r="E905" s="3" t="b">
        <v>1</v>
      </c>
      <c r="F905" s="3" t="b">
        <v>0</v>
      </c>
      <c r="G905" s="3" t="s">
        <v>10003</v>
      </c>
      <c r="H905" s="4" t="str">
        <f>_xlfn.IFNA(IF(((INDEX(RulebookFields!C2:C1898, MATCH(D905,RulebookFields!A2:A1898, 0))="")=TRUE),  "",  INDEX(RulebookFields!C2:C1898, MATCH(D905,RulebookFields!A2:A1898, 0))), "")</f>
        <v>Mentorships</v>
      </c>
      <c r="I905" s="4" t="str">
        <f>_xlfn.IFNA(IF(((INDEX(RulebookFields!D2:D1898, MATCH(D905,RulebookFields!A2:A1898, 0))="")=TRUE),  "",  INDEX(RulebookFields!D2:D1898, MATCH(D905,RulebookFields!A2:A1898, 0))), "")</f>
        <v>MentorAgent</v>
      </c>
      <c r="J905" s="4" t="b">
        <f>_xlfn.IFNA(IF(((INDEX(RulebookFields!I2:I1898, MATCH(D905,RulebookFields!A2:A1898, 0))="")=TRUE),  "",  INDEX(RulebookFields!I2:I1898, MATCH(D905,RulebookFields!A2:A1898, 0))), "")</f>
        <v>0</v>
      </c>
      <c r="K905" s="4" t="b">
        <f>AND(((F905)=TRUE), ((J905)=TRUE))</f>
        <v>0</v>
      </c>
      <c r="L905" s="4" t="b">
        <f>AND(((G905 &lt;&gt; "plain")=TRUE), ((G905 &lt;&gt; "")=TRUE))</f>
        <v>0</v>
      </c>
      <c r="M905" s="4" t="str">
        <f>IF(((E905)=TRUE),  C905 &amp; "|" &amp; H905,  "")</f>
        <v>principal-process-steward|Mentorships</v>
      </c>
      <c r="N905" s="3" t="s">
        <v>10004</v>
      </c>
    </row>
    <row r="906">
      <c r="A906" s="3" t="s">
        <v>10908</v>
      </c>
      <c r="B906" s="4" t="str">
        <f>C906 &amp; " -&gt; " &amp; D906</f>
        <v>principal-process-steward -&gt; Mentorships.LearnerAgent</v>
      </c>
      <c r="C906" s="3" t="s">
        <v>9772</v>
      </c>
      <c r="D906" s="3" t="s">
        <v>2669</v>
      </c>
      <c r="E906" s="3" t="b">
        <v>1</v>
      </c>
      <c r="F906" s="3" t="b">
        <v>0</v>
      </c>
      <c r="G906" s="3" t="s">
        <v>10003</v>
      </c>
      <c r="H906" s="4" t="str">
        <f>_xlfn.IFNA(IF(((INDEX(RulebookFields!C2:C1898, MATCH(D906,RulebookFields!A2:A1898, 0))="")=TRUE),  "",  INDEX(RulebookFields!C2:C1898, MATCH(D906,RulebookFields!A2:A1898, 0))), "")</f>
        <v>Mentorships</v>
      </c>
      <c r="I906" s="4" t="str">
        <f>_xlfn.IFNA(IF(((INDEX(RulebookFields!D2:D1898, MATCH(D906,RulebookFields!A2:A1898, 0))="")=TRUE),  "",  INDEX(RulebookFields!D2:D1898, MATCH(D906,RulebookFields!A2:A1898, 0))), "")</f>
        <v>LearnerAgent</v>
      </c>
      <c r="J906" s="4" t="b">
        <f>_xlfn.IFNA(IF(((INDEX(RulebookFields!I2:I1898, MATCH(D906,RulebookFields!A2:A1898, 0))="")=TRUE),  "",  INDEX(RulebookFields!I2:I1898, MATCH(D906,RulebookFields!A2:A1898, 0))), "")</f>
        <v>0</v>
      </c>
      <c r="K906" s="4" t="b">
        <f>AND(((F906)=TRUE), ((J906)=TRUE))</f>
        <v>0</v>
      </c>
      <c r="L906" s="4" t="b">
        <f>AND(((G906 &lt;&gt; "plain")=TRUE), ((G906 &lt;&gt; "")=TRUE))</f>
        <v>0</v>
      </c>
      <c r="M906" s="4" t="str">
        <f>IF(((E906)=TRUE),  C906 &amp; "|" &amp; H906,  "")</f>
        <v>principal-process-steward|Mentorships</v>
      </c>
      <c r="N906" s="3" t="s">
        <v>10004</v>
      </c>
    </row>
    <row r="907">
      <c r="A907" s="3" t="s">
        <v>10909</v>
      </c>
      <c r="B907" s="4" t="str">
        <f>C907 &amp; " -&gt; " &amp; D907</f>
        <v>principal-process-steward -&gt; Mentorships.ValidFrom</v>
      </c>
      <c r="C907" s="3" t="s">
        <v>9772</v>
      </c>
      <c r="D907" s="3" t="s">
        <v>2670</v>
      </c>
      <c r="E907" s="3" t="b">
        <v>1</v>
      </c>
      <c r="F907" s="3" t="b">
        <v>0</v>
      </c>
      <c r="G907" s="3" t="s">
        <v>10003</v>
      </c>
      <c r="H907" s="4" t="str">
        <f>_xlfn.IFNA(IF(((INDEX(RulebookFields!C2:C1898, MATCH(D907,RulebookFields!A2:A1898, 0))="")=TRUE),  "",  INDEX(RulebookFields!C2:C1898, MATCH(D907,RulebookFields!A2:A1898, 0))), "")</f>
        <v>Mentorships</v>
      </c>
      <c r="I907" s="4" t="str">
        <f>_xlfn.IFNA(IF(((INDEX(RulebookFields!D2:D1898, MATCH(D907,RulebookFields!A2:A1898, 0))="")=TRUE),  "",  INDEX(RulebookFields!D2:D1898, MATCH(D907,RulebookFields!A2:A1898, 0))), "")</f>
        <v>ValidFrom</v>
      </c>
      <c r="J907" s="4" t="b">
        <f>_xlfn.IFNA(IF(((INDEX(RulebookFields!I2:I1898, MATCH(D907,RulebookFields!A2:A1898, 0))="")=TRUE),  "",  INDEX(RulebookFields!I2:I1898, MATCH(D907,RulebookFields!A2:A1898, 0))), "")</f>
        <v>0</v>
      </c>
      <c r="K907" s="4" t="b">
        <f>AND(((F907)=TRUE), ((J907)=TRUE))</f>
        <v>0</v>
      </c>
      <c r="L907" s="4" t="b">
        <f>AND(((G907 &lt;&gt; "plain")=TRUE), ((G907 &lt;&gt; "")=TRUE))</f>
        <v>0</v>
      </c>
      <c r="M907" s="4" t="str">
        <f>IF(((E907)=TRUE),  C907 &amp; "|" &amp; H907,  "")</f>
        <v>principal-process-steward|Mentorships</v>
      </c>
      <c r="N907" s="3" t="s">
        <v>10004</v>
      </c>
    </row>
    <row r="908">
      <c r="A908" s="3" t="s">
        <v>10910</v>
      </c>
      <c r="B908" s="4" t="str">
        <f>C908 &amp; " -&gt; " &amp; D908</f>
        <v>principal-process-steward -&gt; Mentorships.ValidTo</v>
      </c>
      <c r="C908" s="3" t="s">
        <v>9772</v>
      </c>
      <c r="D908" s="3" t="s">
        <v>2671</v>
      </c>
      <c r="E908" s="3" t="b">
        <v>1</v>
      </c>
      <c r="F908" s="3" t="b">
        <v>0</v>
      </c>
      <c r="G908" s="3" t="s">
        <v>10003</v>
      </c>
      <c r="H908" s="4" t="str">
        <f>_xlfn.IFNA(IF(((INDEX(RulebookFields!C2:C1898, MATCH(D908,RulebookFields!A2:A1898, 0))="")=TRUE),  "",  INDEX(RulebookFields!C2:C1898, MATCH(D908,RulebookFields!A2:A1898, 0))), "")</f>
        <v>Mentorships</v>
      </c>
      <c r="I908" s="4" t="str">
        <f>_xlfn.IFNA(IF(((INDEX(RulebookFields!D2:D1898, MATCH(D908,RulebookFields!A2:A1898, 0))="")=TRUE),  "",  INDEX(RulebookFields!D2:D1898, MATCH(D908,RulebookFields!A2:A1898, 0))), "")</f>
        <v>ValidTo</v>
      </c>
      <c r="J908" s="4" t="b">
        <f>_xlfn.IFNA(IF(((INDEX(RulebookFields!I2:I1898, MATCH(D908,RulebookFields!A2:A1898, 0))="")=TRUE),  "",  INDEX(RulebookFields!I2:I1898, MATCH(D908,RulebookFields!A2:A1898, 0))), "")</f>
        <v>0</v>
      </c>
      <c r="K908" s="4" t="b">
        <f>AND(((F908)=TRUE), ((J908)=TRUE))</f>
        <v>0</v>
      </c>
      <c r="L908" s="4" t="b">
        <f>AND(((G908 &lt;&gt; "plain")=TRUE), ((G908 &lt;&gt; "")=TRUE))</f>
        <v>0</v>
      </c>
      <c r="M908" s="4" t="str">
        <f>IF(((E908)=TRUE),  C908 &amp; "|" &amp; H908,  "")</f>
        <v>principal-process-steward|Mentorships</v>
      </c>
      <c r="N908" s="3" t="s">
        <v>10004</v>
      </c>
    </row>
    <row r="909">
      <c r="A909" s="3" t="s">
        <v>10911</v>
      </c>
      <c r="B909" s="4" t="str">
        <f>C909 &amp; " -&gt; " &amp; D909</f>
        <v>principal-process-steward -&gt; Mentorships.LearningObjective</v>
      </c>
      <c r="C909" s="3" t="s">
        <v>9772</v>
      </c>
      <c r="D909" s="3" t="s">
        <v>2672</v>
      </c>
      <c r="E909" s="3" t="b">
        <v>1</v>
      </c>
      <c r="F909" s="3" t="b">
        <v>0</v>
      </c>
      <c r="G909" s="3" t="s">
        <v>10003</v>
      </c>
      <c r="H909" s="4" t="str">
        <f>_xlfn.IFNA(IF(((INDEX(RulebookFields!C2:C1898, MATCH(D909,RulebookFields!A2:A1898, 0))="")=TRUE),  "",  INDEX(RulebookFields!C2:C1898, MATCH(D909,RulebookFields!A2:A1898, 0))), "")</f>
        <v>Mentorships</v>
      </c>
      <c r="I909" s="4" t="str">
        <f>_xlfn.IFNA(IF(((INDEX(RulebookFields!D2:D1898, MATCH(D909,RulebookFields!A2:A1898, 0))="")=TRUE),  "",  INDEX(RulebookFields!D2:D1898, MATCH(D909,RulebookFields!A2:A1898, 0))), "")</f>
        <v>LearningObjective</v>
      </c>
      <c r="J909" s="4" t="b">
        <f>_xlfn.IFNA(IF(((INDEX(RulebookFields!I2:I1898, MATCH(D909,RulebookFields!A2:A1898, 0))="")=TRUE),  "",  INDEX(RulebookFields!I2:I1898, MATCH(D909,RulebookFields!A2:A1898, 0))), "")</f>
        <v>0</v>
      </c>
      <c r="K909" s="4" t="b">
        <f>AND(((F909)=TRUE), ((J909)=TRUE))</f>
        <v>0</v>
      </c>
      <c r="L909" s="4" t="b">
        <f>AND(((G909 &lt;&gt; "plain")=TRUE), ((G909 &lt;&gt; "")=TRUE))</f>
        <v>0</v>
      </c>
      <c r="M909" s="4" t="str">
        <f>IF(((E909)=TRUE),  C909 &amp; "|" &amp; H909,  "")</f>
        <v>principal-process-steward|Mentorships</v>
      </c>
      <c r="N909" s="3" t="s">
        <v>10004</v>
      </c>
    </row>
    <row r="910">
      <c r="A910" s="3" t="s">
        <v>10912</v>
      </c>
      <c r="B910" s="4" t="str">
        <f>C910 &amp; " -&gt; " &amp; D910</f>
        <v>principal-process-steward -&gt; Mentorships.EvidenceOfCompletion</v>
      </c>
      <c r="C910" s="3" t="s">
        <v>9772</v>
      </c>
      <c r="D910" s="3" t="s">
        <v>2673</v>
      </c>
      <c r="E910" s="3" t="b">
        <v>1</v>
      </c>
      <c r="F910" s="3" t="b">
        <v>0</v>
      </c>
      <c r="G910" s="3" t="s">
        <v>10003</v>
      </c>
      <c r="H910" s="4" t="str">
        <f>_xlfn.IFNA(IF(((INDEX(RulebookFields!C2:C1898, MATCH(D910,RulebookFields!A2:A1898, 0))="")=TRUE),  "",  INDEX(RulebookFields!C2:C1898, MATCH(D910,RulebookFields!A2:A1898, 0))), "")</f>
        <v>Mentorships</v>
      </c>
      <c r="I910" s="4" t="str">
        <f>_xlfn.IFNA(IF(((INDEX(RulebookFields!D2:D1898, MATCH(D910,RulebookFields!A2:A1898, 0))="")=TRUE),  "",  INDEX(RulebookFields!D2:D1898, MATCH(D910,RulebookFields!A2:A1898, 0))), "")</f>
        <v>EvidenceOfCompletion</v>
      </c>
      <c r="J910" s="4" t="b">
        <f>_xlfn.IFNA(IF(((INDEX(RulebookFields!I2:I1898, MATCH(D910,RulebookFields!A2:A1898, 0))="")=TRUE),  "",  INDEX(RulebookFields!I2:I1898, MATCH(D910,RulebookFields!A2:A1898, 0))), "")</f>
        <v>0</v>
      </c>
      <c r="K910" s="4" t="b">
        <f>AND(((F910)=TRUE), ((J910)=TRUE))</f>
        <v>0</v>
      </c>
      <c r="L910" s="4" t="b">
        <f>AND(((G910 &lt;&gt; "plain")=TRUE), ((G910 &lt;&gt; "")=TRUE))</f>
        <v>0</v>
      </c>
      <c r="M910" s="4" t="str">
        <f>IF(((E910)=TRUE),  C910 &amp; "|" &amp; H910,  "")</f>
        <v>principal-process-steward|Mentorships</v>
      </c>
      <c r="N910" s="3" t="s">
        <v>10004</v>
      </c>
    </row>
    <row r="911">
      <c r="A911" s="3" t="s">
        <v>10913</v>
      </c>
      <c r="B911" s="4" t="str">
        <f>C911 &amp; " -&gt; " &amp; D911</f>
        <v>principal-process-steward -&gt; Mentorships.SemanticTypeIri</v>
      </c>
      <c r="C911" s="3" t="s">
        <v>9772</v>
      </c>
      <c r="D911" s="3" t="s">
        <v>2674</v>
      </c>
      <c r="E911" s="3" t="b">
        <v>1</v>
      </c>
      <c r="F911" s="3" t="b">
        <v>0</v>
      </c>
      <c r="G911" s="3" t="s">
        <v>10003</v>
      </c>
      <c r="H911" s="4" t="str">
        <f>_xlfn.IFNA(IF(((INDEX(RulebookFields!C2:C1898, MATCH(D911,RulebookFields!A2:A1898, 0))="")=TRUE),  "",  INDEX(RulebookFields!C2:C1898, MATCH(D911,RulebookFields!A2:A1898, 0))), "")</f>
        <v>Mentorships</v>
      </c>
      <c r="I911" s="4" t="str">
        <f>_xlfn.IFNA(IF(((INDEX(RulebookFields!D2:D1898, MATCH(D911,RulebookFields!A2:A1898, 0))="")=TRUE),  "",  INDEX(RulebookFields!D2:D1898, MATCH(D911,RulebookFields!A2:A1898, 0))), "")</f>
        <v>SemanticTypeIri</v>
      </c>
      <c r="J911" s="4" t="b">
        <f>_xlfn.IFNA(IF(((INDEX(RulebookFields!I2:I1898, MATCH(D911,RulebookFields!A2:A1898, 0))="")=TRUE),  "",  INDEX(RulebookFields!I2:I1898, MATCH(D911,RulebookFields!A2:A1898, 0))), "")</f>
        <v>0</v>
      </c>
      <c r="K911" s="4" t="b">
        <f>AND(((F911)=TRUE), ((J911)=TRUE))</f>
        <v>0</v>
      </c>
      <c r="L911" s="4" t="b">
        <f>AND(((G911 &lt;&gt; "plain")=TRUE), ((G911 &lt;&gt; "")=TRUE))</f>
        <v>0</v>
      </c>
      <c r="M911" s="4" t="str">
        <f>IF(((E911)=TRUE),  C911 &amp; "|" &amp; H911,  "")</f>
        <v>principal-process-steward|Mentorships</v>
      </c>
      <c r="N911" s="3" t="s">
        <v>10004</v>
      </c>
    </row>
    <row r="912">
      <c r="A912" s="3" t="s">
        <v>10914</v>
      </c>
      <c r="B912" s="4" t="str">
        <f>C912 &amp; " -&gt; " &amp; D912</f>
        <v>principal-process-steward -&gt; MessageDeliveries.MessageDeliveryId</v>
      </c>
      <c r="C912" s="3" t="s">
        <v>9772</v>
      </c>
      <c r="D912" s="3" t="s">
        <v>4443</v>
      </c>
      <c r="E912" s="3" t="b">
        <v>1</v>
      </c>
      <c r="F912" s="3" t="b">
        <v>0</v>
      </c>
      <c r="G912" s="3" t="s">
        <v>10003</v>
      </c>
      <c r="H912" s="4" t="str">
        <f>_xlfn.IFNA(IF(((INDEX(RulebookFields!C2:C1898, MATCH(D912,RulebookFields!A2:A1898, 0))="")=TRUE),  "",  INDEX(RulebookFields!C2:C1898, MATCH(D912,RulebookFields!A2:A1898, 0))), "")</f>
        <v>MessageDeliveries</v>
      </c>
      <c r="I912" s="4" t="str">
        <f>_xlfn.IFNA(IF(((INDEX(RulebookFields!D2:D1898, MATCH(D912,RulebookFields!A2:A1898, 0))="")=TRUE),  "",  INDEX(RulebookFields!D2:D1898, MATCH(D912,RulebookFields!A2:A1898, 0))), "")</f>
        <v>MessageDeliveryId</v>
      </c>
      <c r="J912" s="4" t="b">
        <f>_xlfn.IFNA(IF(((INDEX(RulebookFields!I2:I1898, MATCH(D912,RulebookFields!A2:A1898, 0))="")=TRUE),  "",  INDEX(RulebookFields!I2:I1898, MATCH(D912,RulebookFields!A2:A1898, 0))), "")</f>
        <v>0</v>
      </c>
      <c r="K912" s="4" t="b">
        <f>AND(((F912)=TRUE), ((J912)=TRUE))</f>
        <v>0</v>
      </c>
      <c r="L912" s="4" t="b">
        <f>AND(((G912 &lt;&gt; "plain")=TRUE), ((G912 &lt;&gt; "")=TRUE))</f>
        <v>0</v>
      </c>
      <c r="M912" s="4" t="str">
        <f>IF(((E912)=TRUE),  C912 &amp; "|" &amp; H912,  "")</f>
        <v>principal-process-steward|MessageDeliveries</v>
      </c>
      <c r="N912" s="3" t="s">
        <v>10004</v>
      </c>
    </row>
    <row r="913">
      <c r="A913" s="3" t="s">
        <v>10915</v>
      </c>
      <c r="B913" s="4" t="str">
        <f>C913 &amp; " -&gt; " &amp; D913</f>
        <v>principal-process-steward -&gt; MessageDeliveries.Name</v>
      </c>
      <c r="C913" s="3" t="s">
        <v>9772</v>
      </c>
      <c r="D913" s="3" t="s">
        <v>4446</v>
      </c>
      <c r="E913" s="3" t="b">
        <v>1</v>
      </c>
      <c r="F913" s="3" t="b">
        <v>0</v>
      </c>
      <c r="G913" s="3" t="s">
        <v>10003</v>
      </c>
      <c r="H913" s="4" t="str">
        <f>_xlfn.IFNA(IF(((INDEX(RulebookFields!C2:C1898, MATCH(D913,RulebookFields!A2:A1898, 0))="")=TRUE),  "",  INDEX(RulebookFields!C2:C1898, MATCH(D913,RulebookFields!A2:A1898, 0))), "")</f>
        <v>MessageDeliveries</v>
      </c>
      <c r="I913" s="4" t="str">
        <f>_xlfn.IFNA(IF(((INDEX(RulebookFields!D2:D1898, MATCH(D913,RulebookFields!A2:A1898, 0))="")=TRUE),  "",  INDEX(RulebookFields!D2:D1898, MATCH(D913,RulebookFields!A2:A1898, 0))), "")</f>
        <v>Name</v>
      </c>
      <c r="J913" s="4" t="b">
        <f>_xlfn.IFNA(IF(((INDEX(RulebookFields!I2:I1898, MATCH(D913,RulebookFields!A2:A1898, 0))="")=TRUE),  "",  INDEX(RulebookFields!I2:I1898, MATCH(D913,RulebookFields!A2:A1898, 0))), "")</f>
        <v>1</v>
      </c>
      <c r="K913" s="4" t="b">
        <f>AND(((F913)=TRUE), ((J913)=TRUE))</f>
        <v>0</v>
      </c>
      <c r="L913" s="4" t="b">
        <f>AND(((G913 &lt;&gt; "plain")=TRUE), ((G913 &lt;&gt; "")=TRUE))</f>
        <v>0</v>
      </c>
      <c r="M913" s="4" t="str">
        <f>IF(((E913)=TRUE),  C913 &amp; "|" &amp; H913,  "")</f>
        <v>principal-process-steward|MessageDeliveries</v>
      </c>
      <c r="N913" s="3" t="s">
        <v>10004</v>
      </c>
    </row>
    <row r="914">
      <c r="A914" s="3" t="s">
        <v>10916</v>
      </c>
      <c r="B914" s="4" t="str">
        <f>C914 &amp; " -&gt; " &amp; D914</f>
        <v>principal-process-steward -&gt; MessageDeliveries.ProcedureExecution</v>
      </c>
      <c r="C914" s="3" t="s">
        <v>9772</v>
      </c>
      <c r="D914" s="3" t="s">
        <v>4448</v>
      </c>
      <c r="E914" s="3" t="b">
        <v>1</v>
      </c>
      <c r="F914" s="3" t="b">
        <v>0</v>
      </c>
      <c r="G914" s="3" t="s">
        <v>10003</v>
      </c>
      <c r="H914" s="4" t="str">
        <f>_xlfn.IFNA(IF(((INDEX(RulebookFields!C2:C1898, MATCH(D914,RulebookFields!A2:A1898, 0))="")=TRUE),  "",  INDEX(RulebookFields!C2:C1898, MATCH(D914,RulebookFields!A2:A1898, 0))), "")</f>
        <v>MessageDeliveries</v>
      </c>
      <c r="I914" s="4" t="str">
        <f>_xlfn.IFNA(IF(((INDEX(RulebookFields!D2:D1898, MATCH(D914,RulebookFields!A2:A1898, 0))="")=TRUE),  "",  INDEX(RulebookFields!D2:D1898, MATCH(D914,RulebookFields!A2:A1898, 0))), "")</f>
        <v>ProcedureExecution</v>
      </c>
      <c r="J914" s="4" t="b">
        <f>_xlfn.IFNA(IF(((INDEX(RulebookFields!I2:I1898, MATCH(D914,RulebookFields!A2:A1898, 0))="")=TRUE),  "",  INDEX(RulebookFields!I2:I1898, MATCH(D914,RulebookFields!A2:A1898, 0))), "")</f>
        <v>0</v>
      </c>
      <c r="K914" s="4" t="b">
        <f>AND(((F914)=TRUE), ((J914)=TRUE))</f>
        <v>0</v>
      </c>
      <c r="L914" s="4" t="b">
        <f>AND(((G914 &lt;&gt; "plain")=TRUE), ((G914 &lt;&gt; "")=TRUE))</f>
        <v>0</v>
      </c>
      <c r="M914" s="4" t="str">
        <f>IF(((E914)=TRUE),  C914 &amp; "|" &amp; H914,  "")</f>
        <v>principal-process-steward|MessageDeliveries</v>
      </c>
      <c r="N914" s="3" t="s">
        <v>10004</v>
      </c>
    </row>
    <row r="915">
      <c r="A915" s="3" t="s">
        <v>10917</v>
      </c>
      <c r="B915" s="4" t="str">
        <f>C915 &amp; " -&gt; " &amp; D915</f>
        <v>principal-process-steward -&gt; MessageDeliveries.StepExecution</v>
      </c>
      <c r="C915" s="3" t="s">
        <v>9772</v>
      </c>
      <c r="D915" s="3" t="s">
        <v>4449</v>
      </c>
      <c r="E915" s="3" t="b">
        <v>1</v>
      </c>
      <c r="F915" s="3" t="b">
        <v>0</v>
      </c>
      <c r="G915" s="3" t="s">
        <v>10003</v>
      </c>
      <c r="H915" s="4" t="str">
        <f>_xlfn.IFNA(IF(((INDEX(RulebookFields!C2:C1898, MATCH(D915,RulebookFields!A2:A1898, 0))="")=TRUE),  "",  INDEX(RulebookFields!C2:C1898, MATCH(D915,RulebookFields!A2:A1898, 0))), "")</f>
        <v>MessageDeliveries</v>
      </c>
      <c r="I915" s="4" t="str">
        <f>_xlfn.IFNA(IF(((INDEX(RulebookFields!D2:D1898, MATCH(D915,RulebookFields!A2:A1898, 0))="")=TRUE),  "",  INDEX(RulebookFields!D2:D1898, MATCH(D915,RulebookFields!A2:A1898, 0))), "")</f>
        <v>StepExecution</v>
      </c>
      <c r="J915" s="4" t="b">
        <f>_xlfn.IFNA(IF(((INDEX(RulebookFields!I2:I1898, MATCH(D915,RulebookFields!A2:A1898, 0))="")=TRUE),  "",  INDEX(RulebookFields!I2:I1898, MATCH(D915,RulebookFields!A2:A1898, 0))), "")</f>
        <v>0</v>
      </c>
      <c r="K915" s="4" t="b">
        <f>AND(((F915)=TRUE), ((J915)=TRUE))</f>
        <v>0</v>
      </c>
      <c r="L915" s="4" t="b">
        <f>AND(((G915 &lt;&gt; "plain")=TRUE), ((G915 &lt;&gt; "")=TRUE))</f>
        <v>0</v>
      </c>
      <c r="M915" s="4" t="str">
        <f>IF(((E915)=TRUE),  C915 &amp; "|" &amp; H915,  "")</f>
        <v>principal-process-steward|MessageDeliveries</v>
      </c>
      <c r="N915" s="3" t="s">
        <v>10004</v>
      </c>
    </row>
    <row r="916">
      <c r="A916" s="3" t="s">
        <v>10918</v>
      </c>
      <c r="B916" s="4" t="str">
        <f>C916 &amp; " -&gt; " &amp; D916</f>
        <v>principal-process-steward -&gt; MessageDeliveries.Recipient</v>
      </c>
      <c r="C916" s="3" t="s">
        <v>9772</v>
      </c>
      <c r="D916" s="3" t="s">
        <v>4450</v>
      </c>
      <c r="E916" s="3" t="b">
        <v>1</v>
      </c>
      <c r="F916" s="3" t="b">
        <v>0</v>
      </c>
      <c r="G916" s="3" t="s">
        <v>10003</v>
      </c>
      <c r="H916" s="4" t="str">
        <f>_xlfn.IFNA(IF(((INDEX(RulebookFields!C2:C1898, MATCH(D916,RulebookFields!A2:A1898, 0))="")=TRUE),  "",  INDEX(RulebookFields!C2:C1898, MATCH(D916,RulebookFields!A2:A1898, 0))), "")</f>
        <v>MessageDeliveries</v>
      </c>
      <c r="I916" s="4" t="str">
        <f>_xlfn.IFNA(IF(((INDEX(RulebookFields!D2:D1898, MATCH(D916,RulebookFields!A2:A1898, 0))="")=TRUE),  "",  INDEX(RulebookFields!D2:D1898, MATCH(D916,RulebookFields!A2:A1898, 0))), "")</f>
        <v>Recipient</v>
      </c>
      <c r="J916" s="4" t="b">
        <f>_xlfn.IFNA(IF(((INDEX(RulebookFields!I2:I1898, MATCH(D916,RulebookFields!A2:A1898, 0))="")=TRUE),  "",  INDEX(RulebookFields!I2:I1898, MATCH(D916,RulebookFields!A2:A1898, 0))), "")</f>
        <v>0</v>
      </c>
      <c r="K916" s="4" t="b">
        <f>AND(((F916)=TRUE), ((J916)=TRUE))</f>
        <v>0</v>
      </c>
      <c r="L916" s="4" t="b">
        <f>AND(((G916 &lt;&gt; "plain")=TRUE), ((G916 &lt;&gt; "")=TRUE))</f>
        <v>0</v>
      </c>
      <c r="M916" s="4" t="str">
        <f>IF(((E916)=TRUE),  C916 &amp; "|" &amp; H916,  "")</f>
        <v>principal-process-steward|MessageDeliveries</v>
      </c>
      <c r="N916" s="3" t="s">
        <v>10004</v>
      </c>
    </row>
    <row r="917">
      <c r="A917" s="3" t="s">
        <v>10919</v>
      </c>
      <c r="B917" s="4" t="str">
        <f>C917 &amp; " -&gt; " &amp; D917</f>
        <v>principal-process-steward -&gt; MessageDeliveries.MessageTemplate</v>
      </c>
      <c r="C917" s="3" t="s">
        <v>9772</v>
      </c>
      <c r="D917" s="3" t="s">
        <v>4452</v>
      </c>
      <c r="E917" s="3" t="b">
        <v>1</v>
      </c>
      <c r="F917" s="3" t="b">
        <v>0</v>
      </c>
      <c r="G917" s="3" t="s">
        <v>10003</v>
      </c>
      <c r="H917" s="4" t="str">
        <f>_xlfn.IFNA(IF(((INDEX(RulebookFields!C2:C1898, MATCH(D917,RulebookFields!A2:A1898, 0))="")=TRUE),  "",  INDEX(RulebookFields!C2:C1898, MATCH(D917,RulebookFields!A2:A1898, 0))), "")</f>
        <v>MessageDeliveries</v>
      </c>
      <c r="I917" s="4" t="str">
        <f>_xlfn.IFNA(IF(((INDEX(RulebookFields!D2:D1898, MATCH(D917,RulebookFields!A2:A1898, 0))="")=TRUE),  "",  INDEX(RulebookFields!D2:D1898, MATCH(D917,RulebookFields!A2:A1898, 0))), "")</f>
        <v>MessageTemplate</v>
      </c>
      <c r="J917" s="4" t="b">
        <f>_xlfn.IFNA(IF(((INDEX(RulebookFields!I2:I1898, MATCH(D917,RulebookFields!A2:A1898, 0))="")=TRUE),  "",  INDEX(RulebookFields!I2:I1898, MATCH(D917,RulebookFields!A2:A1898, 0))), "")</f>
        <v>0</v>
      </c>
      <c r="K917" s="4" t="b">
        <f>AND(((F917)=TRUE), ((J917)=TRUE))</f>
        <v>0</v>
      </c>
      <c r="L917" s="4" t="b">
        <f>AND(((G917 &lt;&gt; "plain")=TRUE), ((G917 &lt;&gt; "")=TRUE))</f>
        <v>0</v>
      </c>
      <c r="M917" s="4" t="str">
        <f>IF(((E917)=TRUE),  C917 &amp; "|" &amp; H917,  "")</f>
        <v>principal-process-steward|MessageDeliveries</v>
      </c>
      <c r="N917" s="3" t="s">
        <v>10004</v>
      </c>
    </row>
    <row r="918">
      <c r="A918" s="3" t="s">
        <v>10920</v>
      </c>
      <c r="B918" s="4" t="str">
        <f>C918 &amp; " -&gt; " &amp; D918</f>
        <v>principal-process-steward -&gt; MessageDeliveries.SentByAgent</v>
      </c>
      <c r="C918" s="3" t="s">
        <v>9772</v>
      </c>
      <c r="D918" s="3" t="s">
        <v>4454</v>
      </c>
      <c r="E918" s="3" t="b">
        <v>1</v>
      </c>
      <c r="F918" s="3" t="b">
        <v>0</v>
      </c>
      <c r="G918" s="3" t="s">
        <v>10003</v>
      </c>
      <c r="H918" s="4" t="str">
        <f>_xlfn.IFNA(IF(((INDEX(RulebookFields!C2:C1898, MATCH(D918,RulebookFields!A2:A1898, 0))="")=TRUE),  "",  INDEX(RulebookFields!C2:C1898, MATCH(D918,RulebookFields!A2:A1898, 0))), "")</f>
        <v>MessageDeliveries</v>
      </c>
      <c r="I918" s="4" t="str">
        <f>_xlfn.IFNA(IF(((INDEX(RulebookFields!D2:D1898, MATCH(D918,RulebookFields!A2:A1898, 0))="")=TRUE),  "",  INDEX(RulebookFields!D2:D1898, MATCH(D918,RulebookFields!A2:A1898, 0))), "")</f>
        <v>SentByAgent</v>
      </c>
      <c r="J918" s="4" t="b">
        <f>_xlfn.IFNA(IF(((INDEX(RulebookFields!I2:I1898, MATCH(D918,RulebookFields!A2:A1898, 0))="")=TRUE),  "",  INDEX(RulebookFields!I2:I1898, MATCH(D918,RulebookFields!A2:A1898, 0))), "")</f>
        <v>0</v>
      </c>
      <c r="K918" s="4" t="b">
        <f>AND(((F918)=TRUE), ((J918)=TRUE))</f>
        <v>0</v>
      </c>
      <c r="L918" s="4" t="b">
        <f>AND(((G918 &lt;&gt; "plain")=TRUE), ((G918 &lt;&gt; "")=TRUE))</f>
        <v>0</v>
      </c>
      <c r="M918" s="4" t="str">
        <f>IF(((E918)=TRUE),  C918 &amp; "|" &amp; H918,  "")</f>
        <v>principal-process-steward|MessageDeliveries</v>
      </c>
      <c r="N918" s="3" t="s">
        <v>10004</v>
      </c>
    </row>
    <row r="919">
      <c r="A919" s="3" t="s">
        <v>10921</v>
      </c>
      <c r="B919" s="4" t="str">
        <f>C919 &amp; " -&gt; " &amp; D919</f>
        <v>principal-process-steward -&gt; MessageDeliveries.RenderedBody</v>
      </c>
      <c r="C919" s="3" t="s">
        <v>9772</v>
      </c>
      <c r="D919" s="3" t="s">
        <v>4456</v>
      </c>
      <c r="E919" s="3" t="b">
        <v>1</v>
      </c>
      <c r="F919" s="3" t="b">
        <v>0</v>
      </c>
      <c r="G919" s="3" t="s">
        <v>10003</v>
      </c>
      <c r="H919" s="4" t="str">
        <f>_xlfn.IFNA(IF(((INDEX(RulebookFields!C2:C1898, MATCH(D919,RulebookFields!A2:A1898, 0))="")=TRUE),  "",  INDEX(RulebookFields!C2:C1898, MATCH(D919,RulebookFields!A2:A1898, 0))), "")</f>
        <v>MessageDeliveries</v>
      </c>
      <c r="I919" s="4" t="str">
        <f>_xlfn.IFNA(IF(((INDEX(RulebookFields!D2:D1898, MATCH(D919,RulebookFields!A2:A1898, 0))="")=TRUE),  "",  INDEX(RulebookFields!D2:D1898, MATCH(D919,RulebookFields!A2:A1898, 0))), "")</f>
        <v>RenderedBody</v>
      </c>
      <c r="J919" s="4" t="b">
        <f>_xlfn.IFNA(IF(((INDEX(RulebookFields!I2:I1898, MATCH(D919,RulebookFields!A2:A1898, 0))="")=TRUE),  "",  INDEX(RulebookFields!I2:I1898, MATCH(D919,RulebookFields!A2:A1898, 0))), "")</f>
        <v>0</v>
      </c>
      <c r="K919" s="4" t="b">
        <f>AND(((F919)=TRUE), ((J919)=TRUE))</f>
        <v>0</v>
      </c>
      <c r="L919" s="4" t="b">
        <f>AND(((G919 &lt;&gt; "plain")=TRUE), ((G919 &lt;&gt; "")=TRUE))</f>
        <v>0</v>
      </c>
      <c r="M919" s="4" t="str">
        <f>IF(((E919)=TRUE),  C919 &amp; "|" &amp; H919,  "")</f>
        <v>principal-process-steward|MessageDeliveries</v>
      </c>
      <c r="N919" s="3" t="s">
        <v>10004</v>
      </c>
    </row>
    <row r="920">
      <c r="A920" s="3" t="s">
        <v>10922</v>
      </c>
      <c r="B920" s="4" t="str">
        <f>C920 &amp; " -&gt; " &amp; D920</f>
        <v>principal-process-steward -&gt; MessageDeliveries.SentAt</v>
      </c>
      <c r="C920" s="3" t="s">
        <v>9772</v>
      </c>
      <c r="D920" s="3" t="s">
        <v>4458</v>
      </c>
      <c r="E920" s="3" t="b">
        <v>1</v>
      </c>
      <c r="F920" s="3" t="b">
        <v>0</v>
      </c>
      <c r="G920" s="3" t="s">
        <v>10003</v>
      </c>
      <c r="H920" s="4" t="str">
        <f>_xlfn.IFNA(IF(((INDEX(RulebookFields!C2:C1898, MATCH(D920,RulebookFields!A2:A1898, 0))="")=TRUE),  "",  INDEX(RulebookFields!C2:C1898, MATCH(D920,RulebookFields!A2:A1898, 0))), "")</f>
        <v>MessageDeliveries</v>
      </c>
      <c r="I920" s="4" t="str">
        <f>_xlfn.IFNA(IF(((INDEX(RulebookFields!D2:D1898, MATCH(D920,RulebookFields!A2:A1898, 0))="")=TRUE),  "",  INDEX(RulebookFields!D2:D1898, MATCH(D920,RulebookFields!A2:A1898, 0))), "")</f>
        <v>SentAt</v>
      </c>
      <c r="J920" s="4" t="b">
        <f>_xlfn.IFNA(IF(((INDEX(RulebookFields!I2:I1898, MATCH(D920,RulebookFields!A2:A1898, 0))="")=TRUE),  "",  INDEX(RulebookFields!I2:I1898, MATCH(D920,RulebookFields!A2:A1898, 0))), "")</f>
        <v>0</v>
      </c>
      <c r="K920" s="4" t="b">
        <f>AND(((F920)=TRUE), ((J920)=TRUE))</f>
        <v>0</v>
      </c>
      <c r="L920" s="4" t="b">
        <f>AND(((G920 &lt;&gt; "plain")=TRUE), ((G920 &lt;&gt; "")=TRUE))</f>
        <v>0</v>
      </c>
      <c r="M920" s="4" t="str">
        <f>IF(((E920)=TRUE),  C920 &amp; "|" &amp; H920,  "")</f>
        <v>principal-process-steward|MessageDeliveries</v>
      </c>
      <c r="N920" s="3" t="s">
        <v>10004</v>
      </c>
    </row>
    <row r="921">
      <c r="A921" s="3" t="s">
        <v>10923</v>
      </c>
      <c r="B921" s="4" t="str">
        <f>C921 &amp; " -&gt; " &amp; D921</f>
        <v>principal-process-steward -&gt; MessageDeliveries.SentAtLocalHour</v>
      </c>
      <c r="C921" s="3" t="s">
        <v>9772</v>
      </c>
      <c r="D921" s="3" t="s">
        <v>4460</v>
      </c>
      <c r="E921" s="3" t="b">
        <v>1</v>
      </c>
      <c r="F921" s="3" t="b">
        <v>0</v>
      </c>
      <c r="G921" s="3" t="s">
        <v>10003</v>
      </c>
      <c r="H921" s="4" t="str">
        <f>_xlfn.IFNA(IF(((INDEX(RulebookFields!C2:C1898, MATCH(D921,RulebookFields!A2:A1898, 0))="")=TRUE),  "",  INDEX(RulebookFields!C2:C1898, MATCH(D921,RulebookFields!A2:A1898, 0))), "")</f>
        <v>MessageDeliveries</v>
      </c>
      <c r="I921" s="4" t="str">
        <f>_xlfn.IFNA(IF(((INDEX(RulebookFields!D2:D1898, MATCH(D921,RulebookFields!A2:A1898, 0))="")=TRUE),  "",  INDEX(RulebookFields!D2:D1898, MATCH(D921,RulebookFields!A2:A1898, 0))), "")</f>
        <v>SentAtLocalHour</v>
      </c>
      <c r="J921" s="4" t="b">
        <f>_xlfn.IFNA(IF(((INDEX(RulebookFields!I2:I1898, MATCH(D921,RulebookFields!A2:A1898, 0))="")=TRUE),  "",  INDEX(RulebookFields!I2:I1898, MATCH(D921,RulebookFields!A2:A1898, 0))), "")</f>
        <v>0</v>
      </c>
      <c r="K921" s="4" t="b">
        <f>AND(((F921)=TRUE), ((J921)=TRUE))</f>
        <v>0</v>
      </c>
      <c r="L921" s="4" t="b">
        <f>AND(((G921 &lt;&gt; "plain")=TRUE), ((G921 &lt;&gt; "")=TRUE))</f>
        <v>0</v>
      </c>
      <c r="M921" s="4" t="str">
        <f>IF(((E921)=TRUE),  C921 &amp; "|" &amp; H921,  "")</f>
        <v>principal-process-steward|MessageDeliveries</v>
      </c>
      <c r="N921" s="3" t="s">
        <v>10004</v>
      </c>
    </row>
    <row r="922">
      <c r="A922" s="3" t="s">
        <v>10924</v>
      </c>
      <c r="B922" s="4" t="str">
        <f>C922 &amp; " -&gt; " &amp; D922</f>
        <v>principal-process-steward -&gt; MessageDeliveries.DeliveryStatus</v>
      </c>
      <c r="C922" s="3" t="s">
        <v>9772</v>
      </c>
      <c r="D922" s="3" t="s">
        <v>4462</v>
      </c>
      <c r="E922" s="3" t="b">
        <v>1</v>
      </c>
      <c r="F922" s="3" t="b">
        <v>0</v>
      </c>
      <c r="G922" s="3" t="s">
        <v>10003</v>
      </c>
      <c r="H922" s="4" t="str">
        <f>_xlfn.IFNA(IF(((INDEX(RulebookFields!C2:C1898, MATCH(D922,RulebookFields!A2:A1898, 0))="")=TRUE),  "",  INDEX(RulebookFields!C2:C1898, MATCH(D922,RulebookFields!A2:A1898, 0))), "")</f>
        <v>MessageDeliveries</v>
      </c>
      <c r="I922" s="4" t="str">
        <f>_xlfn.IFNA(IF(((INDEX(RulebookFields!D2:D1898, MATCH(D922,RulebookFields!A2:A1898, 0))="")=TRUE),  "",  INDEX(RulebookFields!D2:D1898, MATCH(D922,RulebookFields!A2:A1898, 0))), "")</f>
        <v>DeliveryStatus</v>
      </c>
      <c r="J922" s="4" t="b">
        <f>_xlfn.IFNA(IF(((INDEX(RulebookFields!I2:I1898, MATCH(D922,RulebookFields!A2:A1898, 0))="")=TRUE),  "",  INDEX(RulebookFields!I2:I1898, MATCH(D922,RulebookFields!A2:A1898, 0))), "")</f>
        <v>0</v>
      </c>
      <c r="K922" s="4" t="b">
        <f>AND(((F922)=TRUE), ((J922)=TRUE))</f>
        <v>0</v>
      </c>
      <c r="L922" s="4" t="b">
        <f>AND(((G922 &lt;&gt; "plain")=TRUE), ((G922 &lt;&gt; "")=TRUE))</f>
        <v>0</v>
      </c>
      <c r="M922" s="4" t="str">
        <f>IF(((E922)=TRUE),  C922 &amp; "|" &amp; H922,  "")</f>
        <v>principal-process-steward|MessageDeliveries</v>
      </c>
      <c r="N922" s="3" t="s">
        <v>10004</v>
      </c>
    </row>
    <row r="923">
      <c r="A923" s="3" t="s">
        <v>10925</v>
      </c>
      <c r="B923" s="4" t="str">
        <f>C923 &amp; " -&gt; " &amp; D923</f>
        <v>principal-process-steward -&gt; MessageDeliveries.SuppressionReason</v>
      </c>
      <c r="C923" s="3" t="s">
        <v>9772</v>
      </c>
      <c r="D923" s="3" t="s">
        <v>4464</v>
      </c>
      <c r="E923" s="3" t="b">
        <v>1</v>
      </c>
      <c r="F923" s="3" t="b">
        <v>0</v>
      </c>
      <c r="G923" s="3" t="s">
        <v>10003</v>
      </c>
      <c r="H923" s="4" t="str">
        <f>_xlfn.IFNA(IF(((INDEX(RulebookFields!C2:C1898, MATCH(D923,RulebookFields!A2:A1898, 0))="")=TRUE),  "",  INDEX(RulebookFields!C2:C1898, MATCH(D923,RulebookFields!A2:A1898, 0))), "")</f>
        <v>MessageDeliveries</v>
      </c>
      <c r="I923" s="4" t="str">
        <f>_xlfn.IFNA(IF(((INDEX(RulebookFields!D2:D1898, MATCH(D923,RulebookFields!A2:A1898, 0))="")=TRUE),  "",  INDEX(RulebookFields!D2:D1898, MATCH(D923,RulebookFields!A2:A1898, 0))), "")</f>
        <v>SuppressionReason</v>
      </c>
      <c r="J923" s="4" t="b">
        <f>_xlfn.IFNA(IF(((INDEX(RulebookFields!I2:I1898, MATCH(D923,RulebookFields!A2:A1898, 0))="")=TRUE),  "",  INDEX(RulebookFields!I2:I1898, MATCH(D923,RulebookFields!A2:A1898, 0))), "")</f>
        <v>0</v>
      </c>
      <c r="K923" s="4" t="b">
        <f>AND(((F923)=TRUE), ((J923)=TRUE))</f>
        <v>0</v>
      </c>
      <c r="L923" s="4" t="b">
        <f>AND(((G923 &lt;&gt; "plain")=TRUE), ((G923 &lt;&gt; "")=TRUE))</f>
        <v>0</v>
      </c>
      <c r="M923" s="4" t="str">
        <f>IF(((E923)=TRUE),  C923 &amp; "|" &amp; H923,  "")</f>
        <v>principal-process-steward|MessageDeliveries</v>
      </c>
      <c r="N923" s="3" t="s">
        <v>10004</v>
      </c>
    </row>
    <row r="924">
      <c r="A924" s="3" t="s">
        <v>10926</v>
      </c>
      <c r="B924" s="4" t="str">
        <f>C924 &amp; " -&gt; " &amp; D924</f>
        <v>principal-process-steward -&gt; MessageDeliveries.InvokedException</v>
      </c>
      <c r="C924" s="3" t="s">
        <v>9772</v>
      </c>
      <c r="D924" s="3" t="s">
        <v>4466</v>
      </c>
      <c r="E924" s="3" t="b">
        <v>1</v>
      </c>
      <c r="F924" s="3" t="b">
        <v>0</v>
      </c>
      <c r="G924" s="3" t="s">
        <v>10003</v>
      </c>
      <c r="H924" s="4" t="str">
        <f>_xlfn.IFNA(IF(((INDEX(RulebookFields!C2:C1898, MATCH(D924,RulebookFields!A2:A1898, 0))="")=TRUE),  "",  INDEX(RulebookFields!C2:C1898, MATCH(D924,RulebookFields!A2:A1898, 0))), "")</f>
        <v>MessageDeliveries</v>
      </c>
      <c r="I924" s="4" t="str">
        <f>_xlfn.IFNA(IF(((INDEX(RulebookFields!D2:D1898, MATCH(D924,RulebookFields!A2:A1898, 0))="")=TRUE),  "",  INDEX(RulebookFields!D2:D1898, MATCH(D924,RulebookFields!A2:A1898, 0))), "")</f>
        <v>InvokedException</v>
      </c>
      <c r="J924" s="4" t="b">
        <f>_xlfn.IFNA(IF(((INDEX(RulebookFields!I2:I1898, MATCH(D924,RulebookFields!A2:A1898, 0))="")=TRUE),  "",  INDEX(RulebookFields!I2:I1898, MATCH(D924,RulebookFields!A2:A1898, 0))), "")</f>
        <v>0</v>
      </c>
      <c r="K924" s="4" t="b">
        <f>AND(((F924)=TRUE), ((J924)=TRUE))</f>
        <v>0</v>
      </c>
      <c r="L924" s="4" t="b">
        <f>AND(((G924 &lt;&gt; "plain")=TRUE), ((G924 &lt;&gt; "")=TRUE))</f>
        <v>0</v>
      </c>
      <c r="M924" s="4" t="str">
        <f>IF(((E924)=TRUE),  C924 &amp; "|" &amp; H924,  "")</f>
        <v>principal-process-steward|MessageDeliveries</v>
      </c>
      <c r="N924" s="3" t="s">
        <v>10004</v>
      </c>
    </row>
    <row r="925">
      <c r="A925" s="3" t="s">
        <v>10927</v>
      </c>
      <c r="B925" s="4" t="str">
        <f>C925 &amp; " -&gt; " &amp; D925</f>
        <v>principal-process-steward -&gt; MessageDeliveries.AcknowledgedAt</v>
      </c>
      <c r="C925" s="3" t="s">
        <v>9772</v>
      </c>
      <c r="D925" s="3" t="s">
        <v>4468</v>
      </c>
      <c r="E925" s="3" t="b">
        <v>1</v>
      </c>
      <c r="F925" s="3" t="b">
        <v>0</v>
      </c>
      <c r="G925" s="3" t="s">
        <v>10003</v>
      </c>
      <c r="H925" s="4" t="str">
        <f>_xlfn.IFNA(IF(((INDEX(RulebookFields!C2:C1898, MATCH(D925,RulebookFields!A2:A1898, 0))="")=TRUE),  "",  INDEX(RulebookFields!C2:C1898, MATCH(D925,RulebookFields!A2:A1898, 0))), "")</f>
        <v>MessageDeliveries</v>
      </c>
      <c r="I925" s="4" t="str">
        <f>_xlfn.IFNA(IF(((INDEX(RulebookFields!D2:D1898, MATCH(D925,RulebookFields!A2:A1898, 0))="")=TRUE),  "",  INDEX(RulebookFields!D2:D1898, MATCH(D925,RulebookFields!A2:A1898, 0))), "")</f>
        <v>AcknowledgedAt</v>
      </c>
      <c r="J925" s="4" t="b">
        <f>_xlfn.IFNA(IF(((INDEX(RulebookFields!I2:I1898, MATCH(D925,RulebookFields!A2:A1898, 0))="")=TRUE),  "",  INDEX(RulebookFields!I2:I1898, MATCH(D925,RulebookFields!A2:A1898, 0))), "")</f>
        <v>0</v>
      </c>
      <c r="K925" s="4" t="b">
        <f>AND(((F925)=TRUE), ((J925)=TRUE))</f>
        <v>0</v>
      </c>
      <c r="L925" s="4" t="b">
        <f>AND(((G925 &lt;&gt; "plain")=TRUE), ((G925 &lt;&gt; "")=TRUE))</f>
        <v>0</v>
      </c>
      <c r="M925" s="4" t="str">
        <f>IF(((E925)=TRUE),  C925 &amp; "|" &amp; H925,  "")</f>
        <v>principal-process-steward|MessageDeliveries</v>
      </c>
      <c r="N925" s="3" t="s">
        <v>10004</v>
      </c>
    </row>
    <row r="926">
      <c r="A926" s="3" t="s">
        <v>10928</v>
      </c>
      <c r="B926" s="4" t="str">
        <f>C926 &amp; " -&gt; " &amp; D926</f>
        <v>principal-process-steward -&gt; MessageDeliveries.PolicyChannel</v>
      </c>
      <c r="C926" s="3" t="s">
        <v>9772</v>
      </c>
      <c r="D926" s="3" t="s">
        <v>4470</v>
      </c>
      <c r="E926" s="3" t="b">
        <v>1</v>
      </c>
      <c r="F926" s="3" t="b">
        <v>0</v>
      </c>
      <c r="G926" s="3" t="s">
        <v>10003</v>
      </c>
      <c r="H926" s="4" t="str">
        <f>_xlfn.IFNA(IF(((INDEX(RulebookFields!C2:C1898, MATCH(D926,RulebookFields!A2:A1898, 0))="")=TRUE),  "",  INDEX(RulebookFields!C2:C1898, MATCH(D926,RulebookFields!A2:A1898, 0))), "")</f>
        <v>MessageDeliveries</v>
      </c>
      <c r="I926" s="4" t="str">
        <f>_xlfn.IFNA(IF(((INDEX(RulebookFields!D2:D1898, MATCH(D926,RulebookFields!A2:A1898, 0))="")=TRUE),  "",  INDEX(RulebookFields!D2:D1898, MATCH(D926,RulebookFields!A2:A1898, 0))), "")</f>
        <v>PolicyChannel</v>
      </c>
      <c r="J926" s="4" t="b">
        <f>_xlfn.IFNA(IF(((INDEX(RulebookFields!I2:I1898, MATCH(D926,RulebookFields!A2:A1898, 0))="")=TRUE),  "",  INDEX(RulebookFields!I2:I1898, MATCH(D926,RulebookFields!A2:A1898, 0))), "")</f>
        <v>1</v>
      </c>
      <c r="K926" s="4" t="b">
        <f>AND(((F926)=TRUE), ((J926)=TRUE))</f>
        <v>0</v>
      </c>
      <c r="L926" s="4" t="b">
        <f>AND(((G926 &lt;&gt; "plain")=TRUE), ((G926 &lt;&gt; "")=TRUE))</f>
        <v>0</v>
      </c>
      <c r="M926" s="4" t="str">
        <f>IF(((E926)=TRUE),  C926 &amp; "|" &amp; H926,  "")</f>
        <v>principal-process-steward|MessageDeliveries</v>
      </c>
      <c r="N926" s="3" t="s">
        <v>10004</v>
      </c>
    </row>
    <row r="927">
      <c r="A927" s="3" t="s">
        <v>10929</v>
      </c>
      <c r="B927" s="4" t="str">
        <f>C927 &amp; " -&gt; " &amp; D927</f>
        <v>principal-process-steward -&gt; MessageDeliveries.ChannelName</v>
      </c>
      <c r="C927" s="3" t="s">
        <v>9772</v>
      </c>
      <c r="D927" s="3" t="s">
        <v>4473</v>
      </c>
      <c r="E927" s="3" t="b">
        <v>1</v>
      </c>
      <c r="F927" s="3" t="b">
        <v>0</v>
      </c>
      <c r="G927" s="3" t="s">
        <v>10003</v>
      </c>
      <c r="H927" s="4" t="str">
        <f>_xlfn.IFNA(IF(((INDEX(RulebookFields!C2:C1898, MATCH(D927,RulebookFields!A2:A1898, 0))="")=TRUE),  "",  INDEX(RulebookFields!C2:C1898, MATCH(D927,RulebookFields!A2:A1898, 0))), "")</f>
        <v>MessageDeliveries</v>
      </c>
      <c r="I927" s="4" t="str">
        <f>_xlfn.IFNA(IF(((INDEX(RulebookFields!D2:D1898, MATCH(D927,RulebookFields!A2:A1898, 0))="")=TRUE),  "",  INDEX(RulebookFields!D2:D1898, MATCH(D927,RulebookFields!A2:A1898, 0))), "")</f>
        <v>ChannelName</v>
      </c>
      <c r="J927" s="4" t="b">
        <f>_xlfn.IFNA(IF(((INDEX(RulebookFields!I2:I1898, MATCH(D927,RulebookFields!A2:A1898, 0))="")=TRUE),  "",  INDEX(RulebookFields!I2:I1898, MATCH(D927,RulebookFields!A2:A1898, 0))), "")</f>
        <v>1</v>
      </c>
      <c r="K927" s="4" t="b">
        <f>AND(((F927)=TRUE), ((J927)=TRUE))</f>
        <v>0</v>
      </c>
      <c r="L927" s="4" t="b">
        <f>AND(((G927 &lt;&gt; "plain")=TRUE), ((G927 &lt;&gt; "")=TRUE))</f>
        <v>0</v>
      </c>
      <c r="M927" s="4" t="str">
        <f>IF(((E927)=TRUE),  C927 &amp; "|" &amp; H927,  "")</f>
        <v>principal-process-steward|MessageDeliveries</v>
      </c>
      <c r="N927" s="3" t="s">
        <v>10004</v>
      </c>
    </row>
    <row r="928">
      <c r="A928" s="3" t="s">
        <v>10930</v>
      </c>
      <c r="B928" s="4" t="str">
        <f>C928 &amp; " -&gt; " &amp; D928</f>
        <v>principal-process-steward -&gt; MessageDeliveries.PolicyRequiresConsent</v>
      </c>
      <c r="C928" s="3" t="s">
        <v>9772</v>
      </c>
      <c r="D928" s="3" t="s">
        <v>4476</v>
      </c>
      <c r="E928" s="3" t="b">
        <v>1</v>
      </c>
      <c r="F928" s="3" t="b">
        <v>0</v>
      </c>
      <c r="G928" s="3" t="s">
        <v>10003</v>
      </c>
      <c r="H928" s="4" t="str">
        <f>_xlfn.IFNA(IF(((INDEX(RulebookFields!C2:C1898, MATCH(D928,RulebookFields!A2:A1898, 0))="")=TRUE),  "",  INDEX(RulebookFields!C2:C1898, MATCH(D928,RulebookFields!A2:A1898, 0))), "")</f>
        <v>MessageDeliveries</v>
      </c>
      <c r="I928" s="4" t="str">
        <f>_xlfn.IFNA(IF(((INDEX(RulebookFields!D2:D1898, MATCH(D928,RulebookFields!A2:A1898, 0))="")=TRUE),  "",  INDEX(RulebookFields!D2:D1898, MATCH(D928,RulebookFields!A2:A1898, 0))), "")</f>
        <v>PolicyRequiresConsent</v>
      </c>
      <c r="J928" s="4" t="b">
        <f>_xlfn.IFNA(IF(((INDEX(RulebookFields!I2:I1898, MATCH(D928,RulebookFields!A2:A1898, 0))="")=TRUE),  "",  INDEX(RulebookFields!I2:I1898, MATCH(D928,RulebookFields!A2:A1898, 0))), "")</f>
        <v>1</v>
      </c>
      <c r="K928" s="4" t="b">
        <f>AND(((F928)=TRUE), ((J928)=TRUE))</f>
        <v>0</v>
      </c>
      <c r="L928" s="4" t="b">
        <f>AND(((G928 &lt;&gt; "plain")=TRUE), ((G928 &lt;&gt; "")=TRUE))</f>
        <v>0</v>
      </c>
      <c r="M928" s="4" t="str">
        <f>IF(((E928)=TRUE),  C928 &amp; "|" &amp; H928,  "")</f>
        <v>principal-process-steward|MessageDeliveries</v>
      </c>
      <c r="N928" s="3" t="s">
        <v>10004</v>
      </c>
    </row>
    <row r="929">
      <c r="A929" s="3" t="s">
        <v>10931</v>
      </c>
      <c r="B929" s="4" t="str">
        <f>C929 &amp; " -&gt; " &amp; D929</f>
        <v>principal-process-steward -&gt; MessageDeliveries.RecipientHasSmsConsent</v>
      </c>
      <c r="C929" s="3" t="s">
        <v>9772</v>
      </c>
      <c r="D929" s="3" t="s">
        <v>4479</v>
      </c>
      <c r="E929" s="3" t="b">
        <v>1</v>
      </c>
      <c r="F929" s="3" t="b">
        <v>0</v>
      </c>
      <c r="G929" s="3" t="s">
        <v>10003</v>
      </c>
      <c r="H929" s="4" t="str">
        <f>_xlfn.IFNA(IF(((INDEX(RulebookFields!C2:C1898, MATCH(D929,RulebookFields!A2:A1898, 0))="")=TRUE),  "",  INDEX(RulebookFields!C2:C1898, MATCH(D929,RulebookFields!A2:A1898, 0))), "")</f>
        <v>MessageDeliveries</v>
      </c>
      <c r="I929" s="4" t="str">
        <f>_xlfn.IFNA(IF(((INDEX(RulebookFields!D2:D1898, MATCH(D929,RulebookFields!A2:A1898, 0))="")=TRUE),  "",  INDEX(RulebookFields!D2:D1898, MATCH(D929,RulebookFields!A2:A1898, 0))), "")</f>
        <v>RecipientHasSmsConsent</v>
      </c>
      <c r="J929" s="4" t="b">
        <f>_xlfn.IFNA(IF(((INDEX(RulebookFields!I2:I1898, MATCH(D929,RulebookFields!A2:A1898, 0))="")=TRUE),  "",  INDEX(RulebookFields!I2:I1898, MATCH(D929,RulebookFields!A2:A1898, 0))), "")</f>
        <v>1</v>
      </c>
      <c r="K929" s="4" t="b">
        <f>AND(((F929)=TRUE), ((J929)=TRUE))</f>
        <v>0</v>
      </c>
      <c r="L929" s="4" t="b">
        <f>AND(((G929 &lt;&gt; "plain")=TRUE), ((G929 &lt;&gt; "")=TRUE))</f>
        <v>0</v>
      </c>
      <c r="M929" s="4" t="str">
        <f>IF(((E929)=TRUE),  C929 &amp; "|" &amp; H929,  "")</f>
        <v>principal-process-steward|MessageDeliveries</v>
      </c>
      <c r="N929" s="3" t="s">
        <v>10004</v>
      </c>
    </row>
    <row r="930">
      <c r="A930" s="3" t="s">
        <v>10932</v>
      </c>
      <c r="B930" s="4" t="str">
        <f>C930 &amp; " -&gt; " &amp; D930</f>
        <v>principal-process-steward -&gt; MessageDeliveries.WasActuallyTransmitted</v>
      </c>
      <c r="C930" s="3" t="s">
        <v>9772</v>
      </c>
      <c r="D930" s="3" t="s">
        <v>4482</v>
      </c>
      <c r="E930" s="3" t="b">
        <v>1</v>
      </c>
      <c r="F930" s="3" t="b">
        <v>0</v>
      </c>
      <c r="G930" s="3" t="s">
        <v>10003</v>
      </c>
      <c r="H930" s="4" t="str">
        <f>_xlfn.IFNA(IF(((INDEX(RulebookFields!C2:C1898, MATCH(D930,RulebookFields!A2:A1898, 0))="")=TRUE),  "",  INDEX(RulebookFields!C2:C1898, MATCH(D930,RulebookFields!A2:A1898, 0))), "")</f>
        <v>MessageDeliveries</v>
      </c>
      <c r="I930" s="4" t="str">
        <f>_xlfn.IFNA(IF(((INDEX(RulebookFields!D2:D1898, MATCH(D930,RulebookFields!A2:A1898, 0))="")=TRUE),  "",  INDEX(RulebookFields!D2:D1898, MATCH(D930,RulebookFields!A2:A1898, 0))), "")</f>
        <v>WasActuallyTransmitted</v>
      </c>
      <c r="J930" s="4" t="b">
        <f>_xlfn.IFNA(IF(((INDEX(RulebookFields!I2:I1898, MATCH(D930,RulebookFields!A2:A1898, 0))="")=TRUE),  "",  INDEX(RulebookFields!I2:I1898, MATCH(D930,RulebookFields!A2:A1898, 0))), "")</f>
        <v>1</v>
      </c>
      <c r="K930" s="4" t="b">
        <f>AND(((F930)=TRUE), ((J930)=TRUE))</f>
        <v>0</v>
      </c>
      <c r="L930" s="4" t="b">
        <f>AND(((G930 &lt;&gt; "plain")=TRUE), ((G930 &lt;&gt; "")=TRUE))</f>
        <v>0</v>
      </c>
      <c r="M930" s="4" t="str">
        <f>IF(((E930)=TRUE),  C930 &amp; "|" &amp; H930,  "")</f>
        <v>principal-process-steward|MessageDeliveries</v>
      </c>
      <c r="N930" s="3" t="s">
        <v>10004</v>
      </c>
    </row>
    <row r="931">
      <c r="A931" s="3" t="s">
        <v>10933</v>
      </c>
      <c r="B931" s="4" t="str">
        <f>C931 &amp; " -&gt; " &amp; D931</f>
        <v>principal-process-steward -&gt; MessageDeliveries.IsConsentViolation</v>
      </c>
      <c r="C931" s="3" t="s">
        <v>9772</v>
      </c>
      <c r="D931" s="3" t="s">
        <v>4485</v>
      </c>
      <c r="E931" s="3" t="b">
        <v>1</v>
      </c>
      <c r="F931" s="3" t="b">
        <v>0</v>
      </c>
      <c r="G931" s="3" t="s">
        <v>10003</v>
      </c>
      <c r="H931" s="4" t="str">
        <f>_xlfn.IFNA(IF(((INDEX(RulebookFields!C2:C1898, MATCH(D931,RulebookFields!A2:A1898, 0))="")=TRUE),  "",  INDEX(RulebookFields!C2:C1898, MATCH(D931,RulebookFields!A2:A1898, 0))), "")</f>
        <v>MessageDeliveries</v>
      </c>
      <c r="I931" s="4" t="str">
        <f>_xlfn.IFNA(IF(((INDEX(RulebookFields!D2:D1898, MATCH(D931,RulebookFields!A2:A1898, 0))="")=TRUE),  "",  INDEX(RulebookFields!D2:D1898, MATCH(D931,RulebookFields!A2:A1898, 0))), "")</f>
        <v>IsConsentViolation</v>
      </c>
      <c r="J931" s="4" t="b">
        <f>_xlfn.IFNA(IF(((INDEX(RulebookFields!I2:I1898, MATCH(D931,RulebookFields!A2:A1898, 0))="")=TRUE),  "",  INDEX(RulebookFields!I2:I1898, MATCH(D931,RulebookFields!A2:A1898, 0))), "")</f>
        <v>1</v>
      </c>
      <c r="K931" s="4" t="b">
        <f>AND(((F931)=TRUE), ((J931)=TRUE))</f>
        <v>0</v>
      </c>
      <c r="L931" s="4" t="b">
        <f>AND(((G931 &lt;&gt; "plain")=TRUE), ((G931 &lt;&gt; "")=TRUE))</f>
        <v>0</v>
      </c>
      <c r="M931" s="4" t="str">
        <f>IF(((E931)=TRUE),  C931 &amp; "|" &amp; H931,  "")</f>
        <v>principal-process-steward|MessageDeliveries</v>
      </c>
      <c r="N931" s="3" t="s">
        <v>10004</v>
      </c>
    </row>
    <row r="932">
      <c r="A932" s="3" t="s">
        <v>10934</v>
      </c>
      <c r="B932" s="4" t="str">
        <f>C932 &amp; " -&gt; " &amp; D932</f>
        <v>principal-process-steward -&gt; MessageDeliveries.ConsentViolationPolicyKey</v>
      </c>
      <c r="C932" s="3" t="s">
        <v>9772</v>
      </c>
      <c r="D932" s="3" t="s">
        <v>4488</v>
      </c>
      <c r="E932" s="3" t="b">
        <v>1</v>
      </c>
      <c r="F932" s="3" t="b">
        <v>0</v>
      </c>
      <c r="G932" s="3" t="s">
        <v>10003</v>
      </c>
      <c r="H932" s="4" t="str">
        <f>_xlfn.IFNA(IF(((INDEX(RulebookFields!C2:C1898, MATCH(D932,RulebookFields!A2:A1898, 0))="")=TRUE),  "",  INDEX(RulebookFields!C2:C1898, MATCH(D932,RulebookFields!A2:A1898, 0))), "")</f>
        <v>MessageDeliveries</v>
      </c>
      <c r="I932" s="4" t="str">
        <f>_xlfn.IFNA(IF(((INDEX(RulebookFields!D2:D1898, MATCH(D932,RulebookFields!A2:A1898, 0))="")=TRUE),  "",  INDEX(RulebookFields!D2:D1898, MATCH(D932,RulebookFields!A2:A1898, 0))), "")</f>
        <v>ConsentViolationPolicyKey</v>
      </c>
      <c r="J932" s="4" t="b">
        <f>_xlfn.IFNA(IF(((INDEX(RulebookFields!I2:I1898, MATCH(D932,RulebookFields!A2:A1898, 0))="")=TRUE),  "",  INDEX(RulebookFields!I2:I1898, MATCH(D932,RulebookFields!A2:A1898, 0))), "")</f>
        <v>1</v>
      </c>
      <c r="K932" s="4" t="b">
        <f>AND(((F932)=TRUE), ((J932)=TRUE))</f>
        <v>0</v>
      </c>
      <c r="L932" s="4" t="b">
        <f>AND(((G932 &lt;&gt; "plain")=TRUE), ((G932 &lt;&gt; "")=TRUE))</f>
        <v>0</v>
      </c>
      <c r="M932" s="4" t="str">
        <f>IF(((E932)=TRUE),  C932 &amp; "|" &amp; H932,  "")</f>
        <v>principal-process-steward|MessageDeliveries</v>
      </c>
      <c r="N932" s="3" t="s">
        <v>10004</v>
      </c>
    </row>
    <row r="933">
      <c r="A933" s="3" t="s">
        <v>10935</v>
      </c>
      <c r="B933" s="4" t="str">
        <f>C933 &amp; " -&gt; " &amp; D933</f>
        <v>principal-process-steward -&gt; MessageDeliveries.PolicyQuietHoursStartHour</v>
      </c>
      <c r="C933" s="3" t="s">
        <v>9772</v>
      </c>
      <c r="D933" s="3" t="s">
        <v>4491</v>
      </c>
      <c r="E933" s="3" t="b">
        <v>1</v>
      </c>
      <c r="F933" s="3" t="b">
        <v>0</v>
      </c>
      <c r="G933" s="3" t="s">
        <v>10003</v>
      </c>
      <c r="H933" s="4" t="str">
        <f>_xlfn.IFNA(IF(((INDEX(RulebookFields!C2:C1898, MATCH(D933,RulebookFields!A2:A1898, 0))="")=TRUE),  "",  INDEX(RulebookFields!C2:C1898, MATCH(D933,RulebookFields!A2:A1898, 0))), "")</f>
        <v>MessageDeliveries</v>
      </c>
      <c r="I933" s="4" t="str">
        <f>_xlfn.IFNA(IF(((INDEX(RulebookFields!D2:D1898, MATCH(D933,RulebookFields!A2:A1898, 0))="")=TRUE),  "",  INDEX(RulebookFields!D2:D1898, MATCH(D933,RulebookFields!A2:A1898, 0))), "")</f>
        <v>PolicyQuietHoursStartHour</v>
      </c>
      <c r="J933" s="4" t="b">
        <f>_xlfn.IFNA(IF(((INDEX(RulebookFields!I2:I1898, MATCH(D933,RulebookFields!A2:A1898, 0))="")=TRUE),  "",  INDEX(RulebookFields!I2:I1898, MATCH(D933,RulebookFields!A2:A1898, 0))), "")</f>
        <v>1</v>
      </c>
      <c r="K933" s="4" t="b">
        <f>AND(((F933)=TRUE), ((J933)=TRUE))</f>
        <v>0</v>
      </c>
      <c r="L933" s="4" t="b">
        <f>AND(((G933 &lt;&gt; "plain")=TRUE), ((G933 &lt;&gt; "")=TRUE))</f>
        <v>0</v>
      </c>
      <c r="M933" s="4" t="str">
        <f>IF(((E933)=TRUE),  C933 &amp; "|" &amp; H933,  "")</f>
        <v>principal-process-steward|MessageDeliveries</v>
      </c>
      <c r="N933" s="3" t="s">
        <v>10004</v>
      </c>
    </row>
    <row r="934">
      <c r="A934" s="3" t="s">
        <v>10936</v>
      </c>
      <c r="B934" s="4" t="str">
        <f>C934 &amp; " -&gt; " &amp; D934</f>
        <v>principal-process-steward -&gt; MessageDeliveries.PolicyQuietHoursEndHour</v>
      </c>
      <c r="C934" s="3" t="s">
        <v>9772</v>
      </c>
      <c r="D934" s="3" t="s">
        <v>4494</v>
      </c>
      <c r="E934" s="3" t="b">
        <v>1</v>
      </c>
      <c r="F934" s="3" t="b">
        <v>0</v>
      </c>
      <c r="G934" s="3" t="s">
        <v>10003</v>
      </c>
      <c r="H934" s="4" t="str">
        <f>_xlfn.IFNA(IF(((INDEX(RulebookFields!C2:C1898, MATCH(D934,RulebookFields!A2:A1898, 0))="")=TRUE),  "",  INDEX(RulebookFields!C2:C1898, MATCH(D934,RulebookFields!A2:A1898, 0))), "")</f>
        <v>MessageDeliveries</v>
      </c>
      <c r="I934" s="4" t="str">
        <f>_xlfn.IFNA(IF(((INDEX(RulebookFields!D2:D1898, MATCH(D934,RulebookFields!A2:A1898, 0))="")=TRUE),  "",  INDEX(RulebookFields!D2:D1898, MATCH(D934,RulebookFields!A2:A1898, 0))), "")</f>
        <v>PolicyQuietHoursEndHour</v>
      </c>
      <c r="J934" s="4" t="b">
        <f>_xlfn.IFNA(IF(((INDEX(RulebookFields!I2:I1898, MATCH(D934,RulebookFields!A2:A1898, 0))="")=TRUE),  "",  INDEX(RulebookFields!I2:I1898, MATCH(D934,RulebookFields!A2:A1898, 0))), "")</f>
        <v>1</v>
      </c>
      <c r="K934" s="4" t="b">
        <f>AND(((F934)=TRUE), ((J934)=TRUE))</f>
        <v>0</v>
      </c>
      <c r="L934" s="4" t="b">
        <f>AND(((G934 &lt;&gt; "plain")=TRUE), ((G934 &lt;&gt; "")=TRUE))</f>
        <v>0</v>
      </c>
      <c r="M934" s="4" t="str">
        <f>IF(((E934)=TRUE),  C934 &amp; "|" &amp; H934,  "")</f>
        <v>principal-process-steward|MessageDeliveries</v>
      </c>
      <c r="N934" s="3" t="s">
        <v>10004</v>
      </c>
    </row>
    <row r="935">
      <c r="A935" s="3" t="s">
        <v>10937</v>
      </c>
      <c r="B935" s="4" t="str">
        <f>C935 &amp; " -&gt; " &amp; D935</f>
        <v>principal-process-steward -&gt; MessageDeliveries.PolicyHasQuietHours</v>
      </c>
      <c r="C935" s="3" t="s">
        <v>9772</v>
      </c>
      <c r="D935" s="3" t="s">
        <v>4497</v>
      </c>
      <c r="E935" s="3" t="b">
        <v>1</v>
      </c>
      <c r="F935" s="3" t="b">
        <v>0</v>
      </c>
      <c r="G935" s="3" t="s">
        <v>10003</v>
      </c>
      <c r="H935" s="4" t="str">
        <f>_xlfn.IFNA(IF(((INDEX(RulebookFields!C2:C1898, MATCH(D935,RulebookFields!A2:A1898, 0))="")=TRUE),  "",  INDEX(RulebookFields!C2:C1898, MATCH(D935,RulebookFields!A2:A1898, 0))), "")</f>
        <v>MessageDeliveries</v>
      </c>
      <c r="I935" s="4" t="str">
        <f>_xlfn.IFNA(IF(((INDEX(RulebookFields!D2:D1898, MATCH(D935,RulebookFields!A2:A1898, 0))="")=TRUE),  "",  INDEX(RulebookFields!D2:D1898, MATCH(D935,RulebookFields!A2:A1898, 0))), "")</f>
        <v>PolicyHasQuietHours</v>
      </c>
      <c r="J935" s="4" t="b">
        <f>_xlfn.IFNA(IF(((INDEX(RulebookFields!I2:I1898, MATCH(D935,RulebookFields!A2:A1898, 0))="")=TRUE),  "",  INDEX(RulebookFields!I2:I1898, MATCH(D935,RulebookFields!A2:A1898, 0))), "")</f>
        <v>1</v>
      </c>
      <c r="K935" s="4" t="b">
        <f>AND(((F935)=TRUE), ((J935)=TRUE))</f>
        <v>0</v>
      </c>
      <c r="L935" s="4" t="b">
        <f>AND(((G935 &lt;&gt; "plain")=TRUE), ((G935 &lt;&gt; "")=TRUE))</f>
        <v>0</v>
      </c>
      <c r="M935" s="4" t="str">
        <f>IF(((E935)=TRUE),  C935 &amp; "|" &amp; H935,  "")</f>
        <v>principal-process-steward|MessageDeliveries</v>
      </c>
      <c r="N935" s="3" t="s">
        <v>10004</v>
      </c>
    </row>
    <row r="936">
      <c r="A936" s="3" t="s">
        <v>10938</v>
      </c>
      <c r="B936" s="4" t="str">
        <f>C936 &amp; " -&gt; " &amp; D936</f>
        <v>principal-process-steward -&gt; MessageDeliveries.QuietWindowWrapsMidnight</v>
      </c>
      <c r="C936" s="3" t="s">
        <v>9772</v>
      </c>
      <c r="D936" s="3" t="s">
        <v>4500</v>
      </c>
      <c r="E936" s="3" t="b">
        <v>1</v>
      </c>
      <c r="F936" s="3" t="b">
        <v>0</v>
      </c>
      <c r="G936" s="3" t="s">
        <v>10003</v>
      </c>
      <c r="H936" s="4" t="str">
        <f>_xlfn.IFNA(IF(((INDEX(RulebookFields!C2:C1898, MATCH(D936,RulebookFields!A2:A1898, 0))="")=TRUE),  "",  INDEX(RulebookFields!C2:C1898, MATCH(D936,RulebookFields!A2:A1898, 0))), "")</f>
        <v>MessageDeliveries</v>
      </c>
      <c r="I936" s="4" t="str">
        <f>_xlfn.IFNA(IF(((INDEX(RulebookFields!D2:D1898, MATCH(D936,RulebookFields!A2:A1898, 0))="")=TRUE),  "",  INDEX(RulebookFields!D2:D1898, MATCH(D936,RulebookFields!A2:A1898, 0))), "")</f>
        <v>QuietWindowWrapsMidnight</v>
      </c>
      <c r="J936" s="4" t="b">
        <f>_xlfn.IFNA(IF(((INDEX(RulebookFields!I2:I1898, MATCH(D936,RulebookFields!A2:A1898, 0))="")=TRUE),  "",  INDEX(RulebookFields!I2:I1898, MATCH(D936,RulebookFields!A2:A1898, 0))), "")</f>
        <v>1</v>
      </c>
      <c r="K936" s="4" t="b">
        <f>AND(((F936)=TRUE), ((J936)=TRUE))</f>
        <v>0</v>
      </c>
      <c r="L936" s="4" t="b">
        <f>AND(((G936 &lt;&gt; "plain")=TRUE), ((G936 &lt;&gt; "")=TRUE))</f>
        <v>0</v>
      </c>
      <c r="M936" s="4" t="str">
        <f>IF(((E936)=TRUE),  C936 &amp; "|" &amp; H936,  "")</f>
        <v>principal-process-steward|MessageDeliveries</v>
      </c>
      <c r="N936" s="3" t="s">
        <v>10004</v>
      </c>
    </row>
    <row r="937">
      <c r="A937" s="3" t="s">
        <v>10939</v>
      </c>
      <c r="B937" s="4" t="str">
        <f>C937 &amp; " -&gt; " &amp; D937</f>
        <v>principal-process-steward -&gt; MessageDeliveries.IsInsideQuietWindow</v>
      </c>
      <c r="C937" s="3" t="s">
        <v>9772</v>
      </c>
      <c r="D937" s="3" t="s">
        <v>4503</v>
      </c>
      <c r="E937" s="3" t="b">
        <v>1</v>
      </c>
      <c r="F937" s="3" t="b">
        <v>0</v>
      </c>
      <c r="G937" s="3" t="s">
        <v>10003</v>
      </c>
      <c r="H937" s="4" t="str">
        <f>_xlfn.IFNA(IF(((INDEX(RulebookFields!C2:C1898, MATCH(D937,RulebookFields!A2:A1898, 0))="")=TRUE),  "",  INDEX(RulebookFields!C2:C1898, MATCH(D937,RulebookFields!A2:A1898, 0))), "")</f>
        <v>MessageDeliveries</v>
      </c>
      <c r="I937" s="4" t="str">
        <f>_xlfn.IFNA(IF(((INDEX(RulebookFields!D2:D1898, MATCH(D937,RulebookFields!A2:A1898, 0))="")=TRUE),  "",  INDEX(RulebookFields!D2:D1898, MATCH(D937,RulebookFields!A2:A1898, 0))), "")</f>
        <v>IsInsideQuietWindow</v>
      </c>
      <c r="J937" s="4" t="b">
        <f>_xlfn.IFNA(IF(((INDEX(RulebookFields!I2:I1898, MATCH(D937,RulebookFields!A2:A1898, 0))="")=TRUE),  "",  INDEX(RulebookFields!I2:I1898, MATCH(D937,RulebookFields!A2:A1898, 0))), "")</f>
        <v>1</v>
      </c>
      <c r="K937" s="4" t="b">
        <f>AND(((F937)=TRUE), ((J937)=TRUE))</f>
        <v>0</v>
      </c>
      <c r="L937" s="4" t="b">
        <f>AND(((G937 &lt;&gt; "plain")=TRUE), ((G937 &lt;&gt; "")=TRUE))</f>
        <v>0</v>
      </c>
      <c r="M937" s="4" t="str">
        <f>IF(((E937)=TRUE),  C937 &amp; "|" &amp; H937,  "")</f>
        <v>principal-process-steward|MessageDeliveries</v>
      </c>
      <c r="N937" s="3" t="s">
        <v>10004</v>
      </c>
    </row>
    <row r="938">
      <c r="A938" s="3" t="s">
        <v>10940</v>
      </c>
      <c r="B938" s="4" t="str">
        <f>C938 &amp; " -&gt; " &amp; D938</f>
        <v>principal-process-steward -&gt; MessageDeliveries.IsQuietHoursViolation</v>
      </c>
      <c r="C938" s="3" t="s">
        <v>9772</v>
      </c>
      <c r="D938" s="3" t="s">
        <v>4506</v>
      </c>
      <c r="E938" s="3" t="b">
        <v>1</v>
      </c>
      <c r="F938" s="3" t="b">
        <v>0</v>
      </c>
      <c r="G938" s="3" t="s">
        <v>10003</v>
      </c>
      <c r="H938" s="4" t="str">
        <f>_xlfn.IFNA(IF(((INDEX(RulebookFields!C2:C1898, MATCH(D938,RulebookFields!A2:A1898, 0))="")=TRUE),  "",  INDEX(RulebookFields!C2:C1898, MATCH(D938,RulebookFields!A2:A1898, 0))), "")</f>
        <v>MessageDeliveries</v>
      </c>
      <c r="I938" s="4" t="str">
        <f>_xlfn.IFNA(IF(((INDEX(RulebookFields!D2:D1898, MATCH(D938,RulebookFields!A2:A1898, 0))="")=TRUE),  "",  INDEX(RulebookFields!D2:D1898, MATCH(D938,RulebookFields!A2:A1898, 0))), "")</f>
        <v>IsQuietHoursViolation</v>
      </c>
      <c r="J938" s="4" t="b">
        <f>_xlfn.IFNA(IF(((INDEX(RulebookFields!I2:I1898, MATCH(D938,RulebookFields!A2:A1898, 0))="")=TRUE),  "",  INDEX(RulebookFields!I2:I1898, MATCH(D938,RulebookFields!A2:A1898, 0))), "")</f>
        <v>1</v>
      </c>
      <c r="K938" s="4" t="b">
        <f>AND(((F938)=TRUE), ((J938)=TRUE))</f>
        <v>0</v>
      </c>
      <c r="L938" s="4" t="b">
        <f>AND(((G938 &lt;&gt; "plain")=TRUE), ((G938 &lt;&gt; "")=TRUE))</f>
        <v>0</v>
      </c>
      <c r="M938" s="4" t="str">
        <f>IF(((E938)=TRUE),  C938 &amp; "|" &amp; H938,  "")</f>
        <v>principal-process-steward|MessageDeliveries</v>
      </c>
      <c r="N938" s="3" t="s">
        <v>10004</v>
      </c>
    </row>
    <row r="939">
      <c r="A939" s="3" t="s">
        <v>10941</v>
      </c>
      <c r="B939" s="4" t="str">
        <f>C939 &amp; " -&gt; " &amp; D939</f>
        <v>principal-process-steward -&gt; MessageDeliveries.QuietHoursViolationPolicyKey</v>
      </c>
      <c r="C939" s="3" t="s">
        <v>9772</v>
      </c>
      <c r="D939" s="3" t="s">
        <v>4509</v>
      </c>
      <c r="E939" s="3" t="b">
        <v>1</v>
      </c>
      <c r="F939" s="3" t="b">
        <v>0</v>
      </c>
      <c r="G939" s="3" t="s">
        <v>10003</v>
      </c>
      <c r="H939" s="4" t="str">
        <f>_xlfn.IFNA(IF(((INDEX(RulebookFields!C2:C1898, MATCH(D939,RulebookFields!A2:A1898, 0))="")=TRUE),  "",  INDEX(RulebookFields!C2:C1898, MATCH(D939,RulebookFields!A2:A1898, 0))), "")</f>
        <v>MessageDeliveries</v>
      </c>
      <c r="I939" s="4" t="str">
        <f>_xlfn.IFNA(IF(((INDEX(RulebookFields!D2:D1898, MATCH(D939,RulebookFields!A2:A1898, 0))="")=TRUE),  "",  INDEX(RulebookFields!D2:D1898, MATCH(D939,RulebookFields!A2:A1898, 0))), "")</f>
        <v>QuietHoursViolationPolicyKey</v>
      </c>
      <c r="J939" s="4" t="b">
        <f>_xlfn.IFNA(IF(((INDEX(RulebookFields!I2:I1898, MATCH(D939,RulebookFields!A2:A1898, 0))="")=TRUE),  "",  INDEX(RulebookFields!I2:I1898, MATCH(D939,RulebookFields!A2:A1898, 0))), "")</f>
        <v>1</v>
      </c>
      <c r="K939" s="4" t="b">
        <f>AND(((F939)=TRUE), ((J939)=TRUE))</f>
        <v>0</v>
      </c>
      <c r="L939" s="4" t="b">
        <f>AND(((G939 &lt;&gt; "plain")=TRUE), ((G939 &lt;&gt; "")=TRUE))</f>
        <v>0</v>
      </c>
      <c r="M939" s="4" t="str">
        <f>IF(((E939)=TRUE),  C939 &amp; "|" &amp; H939,  "")</f>
        <v>principal-process-steward|MessageDeliveries</v>
      </c>
      <c r="N939" s="3" t="s">
        <v>10004</v>
      </c>
    </row>
    <row r="940">
      <c r="A940" s="3" t="s">
        <v>10942</v>
      </c>
      <c r="B940" s="4" t="str">
        <f>C940 &amp; " -&gt; " &amp; D940</f>
        <v>principal-process-steward -&gt; MessageDeliveries.RecipientIsUnreachable</v>
      </c>
      <c r="C940" s="3" t="s">
        <v>9772</v>
      </c>
      <c r="D940" s="3" t="s">
        <v>4512</v>
      </c>
      <c r="E940" s="3" t="b">
        <v>1</v>
      </c>
      <c r="F940" s="3" t="b">
        <v>0</v>
      </c>
      <c r="G940" s="3" t="s">
        <v>10003</v>
      </c>
      <c r="H940" s="4" t="str">
        <f>_xlfn.IFNA(IF(((INDEX(RulebookFields!C2:C1898, MATCH(D940,RulebookFields!A2:A1898, 0))="")=TRUE),  "",  INDEX(RulebookFields!C2:C1898, MATCH(D940,RulebookFields!A2:A1898, 0))), "")</f>
        <v>MessageDeliveries</v>
      </c>
      <c r="I940" s="4" t="str">
        <f>_xlfn.IFNA(IF(((INDEX(RulebookFields!D2:D1898, MATCH(D940,RulebookFields!A2:A1898, 0))="")=TRUE),  "",  INDEX(RulebookFields!D2:D1898, MATCH(D940,RulebookFields!A2:A1898, 0))), "")</f>
        <v>RecipientIsUnreachable</v>
      </c>
      <c r="J940" s="4" t="b">
        <f>_xlfn.IFNA(IF(((INDEX(RulebookFields!I2:I1898, MATCH(D940,RulebookFields!A2:A1898, 0))="")=TRUE),  "",  INDEX(RulebookFields!I2:I1898, MATCH(D940,RulebookFields!A2:A1898, 0))), "")</f>
        <v>1</v>
      </c>
      <c r="K940" s="4" t="b">
        <f>AND(((F940)=TRUE), ((J940)=TRUE))</f>
        <v>0</v>
      </c>
      <c r="L940" s="4" t="b">
        <f>AND(((G940 &lt;&gt; "plain")=TRUE), ((G940 &lt;&gt; "")=TRUE))</f>
        <v>0</v>
      </c>
      <c r="M940" s="4" t="str">
        <f>IF(((E940)=TRUE),  C940 &amp; "|" &amp; H940,  "")</f>
        <v>principal-process-steward|MessageDeliveries</v>
      </c>
      <c r="N940" s="3" t="s">
        <v>10004</v>
      </c>
    </row>
    <row r="941">
      <c r="A941" s="3" t="s">
        <v>10943</v>
      </c>
      <c r="B941" s="4" t="str">
        <f>C941 &amp; " -&gt; " &amp; D941</f>
        <v>principal-process-steward -&gt; MessageDeliveries.IsAcknowledged</v>
      </c>
      <c r="C941" s="3" t="s">
        <v>9772</v>
      </c>
      <c r="D941" s="3" t="s">
        <v>4515</v>
      </c>
      <c r="E941" s="3" t="b">
        <v>1</v>
      </c>
      <c r="F941" s="3" t="b">
        <v>0</v>
      </c>
      <c r="G941" s="3" t="s">
        <v>10003</v>
      </c>
      <c r="H941" s="4" t="str">
        <f>_xlfn.IFNA(IF(((INDEX(RulebookFields!C2:C1898, MATCH(D941,RulebookFields!A2:A1898, 0))="")=TRUE),  "",  INDEX(RulebookFields!C2:C1898, MATCH(D941,RulebookFields!A2:A1898, 0))), "")</f>
        <v>MessageDeliveries</v>
      </c>
      <c r="I941" s="4" t="str">
        <f>_xlfn.IFNA(IF(((INDEX(RulebookFields!D2:D1898, MATCH(D941,RulebookFields!A2:A1898, 0))="")=TRUE),  "",  INDEX(RulebookFields!D2:D1898, MATCH(D941,RulebookFields!A2:A1898, 0))), "")</f>
        <v>IsAcknowledged</v>
      </c>
      <c r="J941" s="4" t="b">
        <f>_xlfn.IFNA(IF(((INDEX(RulebookFields!I2:I1898, MATCH(D941,RulebookFields!A2:A1898, 0))="")=TRUE),  "",  INDEX(RulebookFields!I2:I1898, MATCH(D941,RulebookFields!A2:A1898, 0))), "")</f>
        <v>1</v>
      </c>
      <c r="K941" s="4" t="b">
        <f>AND(((F941)=TRUE), ((J941)=TRUE))</f>
        <v>0</v>
      </c>
      <c r="L941" s="4" t="b">
        <f>AND(((G941 &lt;&gt; "plain")=TRUE), ((G941 &lt;&gt; "")=TRUE))</f>
        <v>0</v>
      </c>
      <c r="M941" s="4" t="str">
        <f>IF(((E941)=TRUE),  C941 &amp; "|" &amp; H941,  "")</f>
        <v>principal-process-steward|MessageDeliveries</v>
      </c>
      <c r="N941" s="3" t="s">
        <v>10004</v>
      </c>
    </row>
    <row r="942">
      <c r="A942" s="3" t="s">
        <v>10944</v>
      </c>
      <c r="B942" s="4" t="str">
        <f>C942 &amp; " -&gt; " &amp; D942</f>
        <v>principal-process-steward -&gt; MessageDeliveries.InvokedExceptionCondition</v>
      </c>
      <c r="C942" s="3" t="s">
        <v>9772</v>
      </c>
      <c r="D942" s="3" t="s">
        <v>4518</v>
      </c>
      <c r="E942" s="3" t="b">
        <v>1</v>
      </c>
      <c r="F942" s="3" t="b">
        <v>0</v>
      </c>
      <c r="G942" s="3" t="s">
        <v>10003</v>
      </c>
      <c r="H942" s="4" t="str">
        <f>_xlfn.IFNA(IF(((INDEX(RulebookFields!C2:C1898, MATCH(D942,RulebookFields!A2:A1898, 0))="")=TRUE),  "",  INDEX(RulebookFields!C2:C1898, MATCH(D942,RulebookFields!A2:A1898, 0))), "")</f>
        <v>MessageDeliveries</v>
      </c>
      <c r="I942" s="4" t="str">
        <f>_xlfn.IFNA(IF(((INDEX(RulebookFields!D2:D1898, MATCH(D942,RulebookFields!A2:A1898, 0))="")=TRUE),  "",  INDEX(RulebookFields!D2:D1898, MATCH(D942,RulebookFields!A2:A1898, 0))), "")</f>
        <v>InvokedExceptionCondition</v>
      </c>
      <c r="J942" s="4" t="b">
        <f>_xlfn.IFNA(IF(((INDEX(RulebookFields!I2:I1898, MATCH(D942,RulebookFields!A2:A1898, 0))="")=TRUE),  "",  INDEX(RulebookFields!I2:I1898, MATCH(D942,RulebookFields!A2:A1898, 0))), "")</f>
        <v>1</v>
      </c>
      <c r="K942" s="4" t="b">
        <f>AND(((F942)=TRUE), ((J942)=TRUE))</f>
        <v>0</v>
      </c>
      <c r="L942" s="4" t="b">
        <f>AND(((G942 &lt;&gt; "plain")=TRUE), ((G942 &lt;&gt; "")=TRUE))</f>
        <v>0</v>
      </c>
      <c r="M942" s="4" t="str">
        <f>IF(((E942)=TRUE),  C942 &amp; "|" &amp; H942,  "")</f>
        <v>principal-process-steward|MessageDeliveries</v>
      </c>
      <c r="N942" s="3" t="s">
        <v>10004</v>
      </c>
    </row>
    <row r="943">
      <c r="A943" s="3" t="s">
        <v>10945</v>
      </c>
      <c r="B943" s="4" t="str">
        <f>C943 &amp; " -&gt; " &amp; D943</f>
        <v>principal-process-steward -&gt; MessageDeliveries.HasUnreachableExceptionInvoked</v>
      </c>
      <c r="C943" s="3" t="s">
        <v>9772</v>
      </c>
      <c r="D943" s="3" t="s">
        <v>4521</v>
      </c>
      <c r="E943" s="3" t="b">
        <v>1</v>
      </c>
      <c r="F943" s="3" t="b">
        <v>0</v>
      </c>
      <c r="G943" s="3" t="s">
        <v>10003</v>
      </c>
      <c r="H943" s="4" t="str">
        <f>_xlfn.IFNA(IF(((INDEX(RulebookFields!C2:C1898, MATCH(D943,RulebookFields!A2:A1898, 0))="")=TRUE),  "",  INDEX(RulebookFields!C2:C1898, MATCH(D943,RulebookFields!A2:A1898, 0))), "")</f>
        <v>MessageDeliveries</v>
      </c>
      <c r="I943" s="4" t="str">
        <f>_xlfn.IFNA(IF(((INDEX(RulebookFields!D2:D1898, MATCH(D943,RulebookFields!A2:A1898, 0))="")=TRUE),  "",  INDEX(RulebookFields!D2:D1898, MATCH(D943,RulebookFields!A2:A1898, 0))), "")</f>
        <v>HasUnreachableExceptionInvoked</v>
      </c>
      <c r="J943" s="4" t="b">
        <f>_xlfn.IFNA(IF(((INDEX(RulebookFields!I2:I1898, MATCH(D943,RulebookFields!A2:A1898, 0))="")=TRUE),  "",  INDEX(RulebookFields!I2:I1898, MATCH(D943,RulebookFields!A2:A1898, 0))), "")</f>
        <v>1</v>
      </c>
      <c r="K943" s="4" t="b">
        <f>AND(((F943)=TRUE), ((J943)=TRUE))</f>
        <v>0</v>
      </c>
      <c r="L943" s="4" t="b">
        <f>AND(((G943 &lt;&gt; "plain")=TRUE), ((G943 &lt;&gt; "")=TRUE))</f>
        <v>0</v>
      </c>
      <c r="M943" s="4" t="str">
        <f>IF(((E943)=TRUE),  C943 &amp; "|" &amp; H943,  "")</f>
        <v>principal-process-steward|MessageDeliveries</v>
      </c>
      <c r="N943" s="3" t="s">
        <v>10004</v>
      </c>
    </row>
    <row r="944">
      <c r="A944" s="3" t="s">
        <v>10946</v>
      </c>
      <c r="B944" s="4" t="str">
        <f>C944 &amp; " -&gt; " &amp; D944</f>
        <v>principal-process-steward -&gt; MessageDeliveries.IsFabricatedAcknowledgement</v>
      </c>
      <c r="C944" s="3" t="s">
        <v>9772</v>
      </c>
      <c r="D944" s="3" t="s">
        <v>4524</v>
      </c>
      <c r="E944" s="3" t="b">
        <v>1</v>
      </c>
      <c r="F944" s="3" t="b">
        <v>0</v>
      </c>
      <c r="G944" s="3" t="s">
        <v>10003</v>
      </c>
      <c r="H944" s="4" t="str">
        <f>_xlfn.IFNA(IF(((INDEX(RulebookFields!C2:C1898, MATCH(D944,RulebookFields!A2:A1898, 0))="")=TRUE),  "",  INDEX(RulebookFields!C2:C1898, MATCH(D944,RulebookFields!A2:A1898, 0))), "")</f>
        <v>MessageDeliveries</v>
      </c>
      <c r="I944" s="4" t="str">
        <f>_xlfn.IFNA(IF(((INDEX(RulebookFields!D2:D1898, MATCH(D944,RulebookFields!A2:A1898, 0))="")=TRUE),  "",  INDEX(RulebookFields!D2:D1898, MATCH(D944,RulebookFields!A2:A1898, 0))), "")</f>
        <v>IsFabricatedAcknowledgement</v>
      </c>
      <c r="J944" s="4" t="b">
        <f>_xlfn.IFNA(IF(((INDEX(RulebookFields!I2:I1898, MATCH(D944,RulebookFields!A2:A1898, 0))="")=TRUE),  "",  INDEX(RulebookFields!I2:I1898, MATCH(D944,RulebookFields!A2:A1898, 0))), "")</f>
        <v>1</v>
      </c>
      <c r="K944" s="4" t="b">
        <f>AND(((F944)=TRUE), ((J944)=TRUE))</f>
        <v>0</v>
      </c>
      <c r="L944" s="4" t="b">
        <f>AND(((G944 &lt;&gt; "plain")=TRUE), ((G944 &lt;&gt; "")=TRUE))</f>
        <v>0</v>
      </c>
      <c r="M944" s="4" t="str">
        <f>IF(((E944)=TRUE),  C944 &amp; "|" &amp; H944,  "")</f>
        <v>principal-process-steward|MessageDeliveries</v>
      </c>
      <c r="N944" s="3" t="s">
        <v>10004</v>
      </c>
    </row>
    <row r="945">
      <c r="A945" s="3" t="s">
        <v>10947</v>
      </c>
      <c r="B945" s="4" t="str">
        <f>C945 &amp; " -&gt; " &amp; D945</f>
        <v>principal-process-steward -&gt; MessageDeliveries.IsUnhandledUnreachable</v>
      </c>
      <c r="C945" s="3" t="s">
        <v>9772</v>
      </c>
      <c r="D945" s="3" t="s">
        <v>4527</v>
      </c>
      <c r="E945" s="3" t="b">
        <v>1</v>
      </c>
      <c r="F945" s="3" t="b">
        <v>0</v>
      </c>
      <c r="G945" s="3" t="s">
        <v>10003</v>
      </c>
      <c r="H945" s="4" t="str">
        <f>_xlfn.IFNA(IF(((INDEX(RulebookFields!C2:C1898, MATCH(D945,RulebookFields!A2:A1898, 0))="")=TRUE),  "",  INDEX(RulebookFields!C2:C1898, MATCH(D945,RulebookFields!A2:A1898, 0))), "")</f>
        <v>MessageDeliveries</v>
      </c>
      <c r="I945" s="4" t="str">
        <f>_xlfn.IFNA(IF(((INDEX(RulebookFields!D2:D1898, MATCH(D945,RulebookFields!A2:A1898, 0))="")=TRUE),  "",  INDEX(RulebookFields!D2:D1898, MATCH(D945,RulebookFields!A2:A1898, 0))), "")</f>
        <v>IsUnhandledUnreachable</v>
      </c>
      <c r="J945" s="4" t="b">
        <f>_xlfn.IFNA(IF(((INDEX(RulebookFields!I2:I1898, MATCH(D945,RulebookFields!A2:A1898, 0))="")=TRUE),  "",  INDEX(RulebookFields!I2:I1898, MATCH(D945,RulebookFields!A2:A1898, 0))), "")</f>
        <v>1</v>
      </c>
      <c r="K945" s="4" t="b">
        <f>AND(((F945)=TRUE), ((J945)=TRUE))</f>
        <v>0</v>
      </c>
      <c r="L945" s="4" t="b">
        <f>AND(((G945 &lt;&gt; "plain")=TRUE), ((G945 &lt;&gt; "")=TRUE))</f>
        <v>0</v>
      </c>
      <c r="M945" s="4" t="str">
        <f>IF(((E945)=TRUE),  C945 &amp; "|" &amp; H945,  "")</f>
        <v>principal-process-steward|MessageDeliveries</v>
      </c>
      <c r="N945" s="3" t="s">
        <v>10004</v>
      </c>
    </row>
    <row r="946">
      <c r="A946" s="3" t="s">
        <v>10948</v>
      </c>
      <c r="B946" s="4" t="str">
        <f>C946 &amp; " -&gt; " &amp; D946</f>
        <v>principal-process-steward -&gt; MessageDeliveries.UnreachableFailureKey</v>
      </c>
      <c r="C946" s="3" t="s">
        <v>9772</v>
      </c>
      <c r="D946" s="3" t="s">
        <v>4530</v>
      </c>
      <c r="E946" s="3" t="b">
        <v>1</v>
      </c>
      <c r="F946" s="3" t="b">
        <v>0</v>
      </c>
      <c r="G946" s="3" t="s">
        <v>10003</v>
      </c>
      <c r="H946" s="4" t="str">
        <f>_xlfn.IFNA(IF(((INDEX(RulebookFields!C2:C1898, MATCH(D946,RulebookFields!A2:A1898, 0))="")=TRUE),  "",  INDEX(RulebookFields!C2:C1898, MATCH(D946,RulebookFields!A2:A1898, 0))), "")</f>
        <v>MessageDeliveries</v>
      </c>
      <c r="I946" s="4" t="str">
        <f>_xlfn.IFNA(IF(((INDEX(RulebookFields!D2:D1898, MATCH(D946,RulebookFields!A2:A1898, 0))="")=TRUE),  "",  INDEX(RulebookFields!D2:D1898, MATCH(D946,RulebookFields!A2:A1898, 0))), "")</f>
        <v>UnreachableFailureKey</v>
      </c>
      <c r="J946" s="4" t="b">
        <f>_xlfn.IFNA(IF(((INDEX(RulebookFields!I2:I1898, MATCH(D946,RulebookFields!A2:A1898, 0))="")=TRUE),  "",  INDEX(RulebookFields!I2:I1898, MATCH(D946,RulebookFields!A2:A1898, 0))), "")</f>
        <v>1</v>
      </c>
      <c r="K946" s="4" t="b">
        <f>AND(((F946)=TRUE), ((J946)=TRUE))</f>
        <v>0</v>
      </c>
      <c r="L946" s="4" t="b">
        <f>AND(((G946 &lt;&gt; "plain")=TRUE), ((G946 &lt;&gt; "")=TRUE))</f>
        <v>0</v>
      </c>
      <c r="M946" s="4" t="str">
        <f>IF(((E946)=TRUE),  C946 &amp; "|" &amp; H946,  "")</f>
        <v>principal-process-steward|MessageDeliveries</v>
      </c>
      <c r="N946" s="3" t="s">
        <v>10004</v>
      </c>
    </row>
    <row r="947">
      <c r="A947" s="3" t="s">
        <v>10949</v>
      </c>
      <c r="B947" s="4" t="str">
        <f>C947 &amp; " -&gt; " &amp; D947</f>
        <v>principal-process-steward -&gt; MessageDeliveries.PolicyRetentionDays</v>
      </c>
      <c r="C947" s="3" t="s">
        <v>9772</v>
      </c>
      <c r="D947" s="3" t="s">
        <v>4533</v>
      </c>
      <c r="E947" s="3" t="b">
        <v>1</v>
      </c>
      <c r="F947" s="3" t="b">
        <v>0</v>
      </c>
      <c r="G947" s="3" t="s">
        <v>10003</v>
      </c>
      <c r="H947" s="4" t="str">
        <f>_xlfn.IFNA(IF(((INDEX(RulebookFields!C2:C1898, MATCH(D947,RulebookFields!A2:A1898, 0))="")=TRUE),  "",  INDEX(RulebookFields!C2:C1898, MATCH(D947,RulebookFields!A2:A1898, 0))), "")</f>
        <v>MessageDeliveries</v>
      </c>
      <c r="I947" s="4" t="str">
        <f>_xlfn.IFNA(IF(((INDEX(RulebookFields!D2:D1898, MATCH(D947,RulebookFields!A2:A1898, 0))="")=TRUE),  "",  INDEX(RulebookFields!D2:D1898, MATCH(D947,RulebookFields!A2:A1898, 0))), "")</f>
        <v>PolicyRetentionDays</v>
      </c>
      <c r="J947" s="4" t="b">
        <f>_xlfn.IFNA(IF(((INDEX(RulebookFields!I2:I1898, MATCH(D947,RulebookFields!A2:A1898, 0))="")=TRUE),  "",  INDEX(RulebookFields!I2:I1898, MATCH(D947,RulebookFields!A2:A1898, 0))), "")</f>
        <v>1</v>
      </c>
      <c r="K947" s="4" t="b">
        <f>AND(((F947)=TRUE), ((J947)=TRUE))</f>
        <v>0</v>
      </c>
      <c r="L947" s="4" t="b">
        <f>AND(((G947 &lt;&gt; "plain")=TRUE), ((G947 &lt;&gt; "")=TRUE))</f>
        <v>0</v>
      </c>
      <c r="M947" s="4" t="str">
        <f>IF(((E947)=TRUE),  C947 &amp; "|" &amp; H947,  "")</f>
        <v>principal-process-steward|MessageDeliveries</v>
      </c>
      <c r="N947" s="3" t="s">
        <v>10004</v>
      </c>
    </row>
    <row r="948">
      <c r="A948" s="3" t="s">
        <v>10950</v>
      </c>
      <c r="B948" s="4" t="str">
        <f>C948 &amp; " -&gt; " &amp; D948</f>
        <v>principal-process-steward -&gt; MessageDeliveries.EvaluationContext</v>
      </c>
      <c r="C948" s="3" t="s">
        <v>9772</v>
      </c>
      <c r="D948" s="3" t="s">
        <v>4536</v>
      </c>
      <c r="E948" s="3" t="b">
        <v>1</v>
      </c>
      <c r="F948" s="3" t="b">
        <v>0</v>
      </c>
      <c r="G948" s="3" t="s">
        <v>10003</v>
      </c>
      <c r="H948" s="4" t="str">
        <f>_xlfn.IFNA(IF(((INDEX(RulebookFields!C2:C1898, MATCH(D948,RulebookFields!A2:A1898, 0))="")=TRUE),  "",  INDEX(RulebookFields!C2:C1898, MATCH(D948,RulebookFields!A2:A1898, 0))), "")</f>
        <v>MessageDeliveries</v>
      </c>
      <c r="I948" s="4" t="str">
        <f>_xlfn.IFNA(IF(((INDEX(RulebookFields!D2:D1898, MATCH(D948,RulebookFields!A2:A1898, 0))="")=TRUE),  "",  INDEX(RulebookFields!D2:D1898, MATCH(D948,RulebookFields!A2:A1898, 0))), "")</f>
        <v>EvaluationContext</v>
      </c>
      <c r="J948" s="4" t="b">
        <f>_xlfn.IFNA(IF(((INDEX(RulebookFields!I2:I1898, MATCH(D948,RulebookFields!A2:A1898, 0))="")=TRUE),  "",  INDEX(RulebookFields!I2:I1898, MATCH(D948,RulebookFields!A2:A1898, 0))), "")</f>
        <v>0</v>
      </c>
      <c r="K948" s="4" t="b">
        <f>AND(((F948)=TRUE), ((J948)=TRUE))</f>
        <v>0</v>
      </c>
      <c r="L948" s="4" t="b">
        <f>AND(((G948 &lt;&gt; "plain")=TRUE), ((G948 &lt;&gt; "")=TRUE))</f>
        <v>0</v>
      </c>
      <c r="M948" s="4" t="str">
        <f>IF(((E948)=TRUE),  C948 &amp; "|" &amp; H948,  "")</f>
        <v>principal-process-steward|MessageDeliveries</v>
      </c>
      <c r="N948" s="3" t="s">
        <v>10004</v>
      </c>
    </row>
    <row r="949">
      <c r="A949" s="3" t="s">
        <v>10951</v>
      </c>
      <c r="B949" s="4" t="str">
        <f>C949 &amp; " -&gt; " &amp; D949</f>
        <v>principal-process-steward -&gt; MessageDeliveries.AsOfInstant</v>
      </c>
      <c r="C949" s="3" t="s">
        <v>9772</v>
      </c>
      <c r="D949" s="3" t="s">
        <v>4537</v>
      </c>
      <c r="E949" s="3" t="b">
        <v>1</v>
      </c>
      <c r="F949" s="3" t="b">
        <v>0</v>
      </c>
      <c r="G949" s="3" t="s">
        <v>10003</v>
      </c>
      <c r="H949" s="4" t="str">
        <f>_xlfn.IFNA(IF(((INDEX(RulebookFields!C2:C1898, MATCH(D949,RulebookFields!A2:A1898, 0))="")=TRUE),  "",  INDEX(RulebookFields!C2:C1898, MATCH(D949,RulebookFields!A2:A1898, 0))), "")</f>
        <v>MessageDeliveries</v>
      </c>
      <c r="I949" s="4" t="str">
        <f>_xlfn.IFNA(IF(((INDEX(RulebookFields!D2:D1898, MATCH(D949,RulebookFields!A2:A1898, 0))="")=TRUE),  "",  INDEX(RulebookFields!D2:D1898, MATCH(D949,RulebookFields!A2:A1898, 0))), "")</f>
        <v>AsOfInstant</v>
      </c>
      <c r="J949" s="4" t="b">
        <f>_xlfn.IFNA(IF(((INDEX(RulebookFields!I2:I1898, MATCH(D949,RulebookFields!A2:A1898, 0))="")=TRUE),  "",  INDEX(RulebookFields!I2:I1898, MATCH(D949,RulebookFields!A2:A1898, 0))), "")</f>
        <v>1</v>
      </c>
      <c r="K949" s="4" t="b">
        <f>AND(((F949)=TRUE), ((J949)=TRUE))</f>
        <v>0</v>
      </c>
      <c r="L949" s="4" t="b">
        <f>AND(((G949 &lt;&gt; "plain")=TRUE), ((G949 &lt;&gt; "")=TRUE))</f>
        <v>0</v>
      </c>
      <c r="M949" s="4" t="str">
        <f>IF(((E949)=TRUE),  C949 &amp; "|" &amp; H949,  "")</f>
        <v>principal-process-steward|MessageDeliveries</v>
      </c>
      <c r="N949" s="3" t="s">
        <v>10004</v>
      </c>
    </row>
    <row r="950">
      <c r="A950" s="3" t="s">
        <v>10952</v>
      </c>
      <c r="B950" s="4" t="str">
        <f>C950 &amp; " -&gt; " &amp; D950</f>
        <v>principal-process-steward -&gt; MessageDeliveries.AgeDays</v>
      </c>
      <c r="C950" s="3" t="s">
        <v>9772</v>
      </c>
      <c r="D950" s="3" t="s">
        <v>4538</v>
      </c>
      <c r="E950" s="3" t="b">
        <v>1</v>
      </c>
      <c r="F950" s="3" t="b">
        <v>0</v>
      </c>
      <c r="G950" s="3" t="s">
        <v>10003</v>
      </c>
      <c r="H950" s="4" t="str">
        <f>_xlfn.IFNA(IF(((INDEX(RulebookFields!C2:C1898, MATCH(D950,RulebookFields!A2:A1898, 0))="")=TRUE),  "",  INDEX(RulebookFields!C2:C1898, MATCH(D950,RulebookFields!A2:A1898, 0))), "")</f>
        <v>MessageDeliveries</v>
      </c>
      <c r="I950" s="4" t="str">
        <f>_xlfn.IFNA(IF(((INDEX(RulebookFields!D2:D1898, MATCH(D950,RulebookFields!A2:A1898, 0))="")=TRUE),  "",  INDEX(RulebookFields!D2:D1898, MATCH(D950,RulebookFields!A2:A1898, 0))), "")</f>
        <v>AgeDays</v>
      </c>
      <c r="J950" s="4" t="b">
        <f>_xlfn.IFNA(IF(((INDEX(RulebookFields!I2:I1898, MATCH(D950,RulebookFields!A2:A1898, 0))="")=TRUE),  "",  INDEX(RulebookFields!I2:I1898, MATCH(D950,RulebookFields!A2:A1898, 0))), "")</f>
        <v>1</v>
      </c>
      <c r="K950" s="4" t="b">
        <f>AND(((F950)=TRUE), ((J950)=TRUE))</f>
        <v>0</v>
      </c>
      <c r="L950" s="4" t="b">
        <f>AND(((G950 &lt;&gt; "plain")=TRUE), ((G950 &lt;&gt; "")=TRUE))</f>
        <v>0</v>
      </c>
      <c r="M950" s="4" t="str">
        <f>IF(((E950)=TRUE),  C950 &amp; "|" &amp; H950,  "")</f>
        <v>principal-process-steward|MessageDeliveries</v>
      </c>
      <c r="N950" s="3" t="s">
        <v>10004</v>
      </c>
    </row>
    <row r="951">
      <c r="A951" s="3" t="s">
        <v>10953</v>
      </c>
      <c r="B951" s="4" t="str">
        <f>C951 &amp; " -&gt; " &amp; D951</f>
        <v>principal-process-steward -&gt; MessageDeliveries.IsWithinRetentionWindow</v>
      </c>
      <c r="C951" s="3" t="s">
        <v>9772</v>
      </c>
      <c r="D951" s="3" t="s">
        <v>4540</v>
      </c>
      <c r="E951" s="3" t="b">
        <v>1</v>
      </c>
      <c r="F951" s="3" t="b">
        <v>0</v>
      </c>
      <c r="G951" s="3" t="s">
        <v>10003</v>
      </c>
      <c r="H951" s="4" t="str">
        <f>_xlfn.IFNA(IF(((INDEX(RulebookFields!C2:C1898, MATCH(D951,RulebookFields!A2:A1898, 0))="")=TRUE),  "",  INDEX(RulebookFields!C2:C1898, MATCH(D951,RulebookFields!A2:A1898, 0))), "")</f>
        <v>MessageDeliveries</v>
      </c>
      <c r="I951" s="4" t="str">
        <f>_xlfn.IFNA(IF(((INDEX(RulebookFields!D2:D1898, MATCH(D951,RulebookFields!A2:A1898, 0))="")=TRUE),  "",  INDEX(RulebookFields!D2:D1898, MATCH(D951,RulebookFields!A2:A1898, 0))), "")</f>
        <v>IsWithinRetentionWindow</v>
      </c>
      <c r="J951" s="4" t="b">
        <f>_xlfn.IFNA(IF(((INDEX(RulebookFields!I2:I1898, MATCH(D951,RulebookFields!A2:A1898, 0))="")=TRUE),  "",  INDEX(RulebookFields!I2:I1898, MATCH(D951,RulebookFields!A2:A1898, 0))), "")</f>
        <v>1</v>
      </c>
      <c r="K951" s="4" t="b">
        <f>AND(((F951)=TRUE), ((J951)=TRUE))</f>
        <v>0</v>
      </c>
      <c r="L951" s="4" t="b">
        <f>AND(((G951 &lt;&gt; "plain")=TRUE), ((G951 &lt;&gt; "")=TRUE))</f>
        <v>0</v>
      </c>
      <c r="M951" s="4" t="str">
        <f>IF(((E951)=TRUE),  C951 &amp; "|" &amp; H951,  "")</f>
        <v>principal-process-steward|MessageDeliveries</v>
      </c>
      <c r="N951" s="3" t="s">
        <v>10004</v>
      </c>
    </row>
    <row r="952">
      <c r="A952" s="3" t="s">
        <v>10954</v>
      </c>
      <c r="B952" s="4" t="str">
        <f>C952 &amp; " -&gt; " &amp; D952</f>
        <v>principal-process-steward -&gt; MessageDeliveries.HasRenderedBody</v>
      </c>
      <c r="C952" s="3" t="s">
        <v>9772</v>
      </c>
      <c r="D952" s="3" t="s">
        <v>4543</v>
      </c>
      <c r="E952" s="3" t="b">
        <v>1</v>
      </c>
      <c r="F952" s="3" t="b">
        <v>0</v>
      </c>
      <c r="G952" s="3" t="s">
        <v>10003</v>
      </c>
      <c r="H952" s="4" t="str">
        <f>_xlfn.IFNA(IF(((INDEX(RulebookFields!C2:C1898, MATCH(D952,RulebookFields!A2:A1898, 0))="")=TRUE),  "",  INDEX(RulebookFields!C2:C1898, MATCH(D952,RulebookFields!A2:A1898, 0))), "")</f>
        <v>MessageDeliveries</v>
      </c>
      <c r="I952" s="4" t="str">
        <f>_xlfn.IFNA(IF(((INDEX(RulebookFields!D2:D1898, MATCH(D952,RulebookFields!A2:A1898, 0))="")=TRUE),  "",  INDEX(RulebookFields!D2:D1898, MATCH(D952,RulebookFields!A2:A1898, 0))), "")</f>
        <v>HasRenderedBody</v>
      </c>
      <c r="J952" s="4" t="b">
        <f>_xlfn.IFNA(IF(((INDEX(RulebookFields!I2:I1898, MATCH(D952,RulebookFields!A2:A1898, 0))="")=TRUE),  "",  INDEX(RulebookFields!I2:I1898, MATCH(D952,RulebookFields!A2:A1898, 0))), "")</f>
        <v>1</v>
      </c>
      <c r="K952" s="4" t="b">
        <f>AND(((F952)=TRUE), ((J952)=TRUE))</f>
        <v>0</v>
      </c>
      <c r="L952" s="4" t="b">
        <f>AND(((G952 &lt;&gt; "plain")=TRUE), ((G952 &lt;&gt; "")=TRUE))</f>
        <v>0</v>
      </c>
      <c r="M952" s="4" t="str">
        <f>IF(((E952)=TRUE),  C952 &amp; "|" &amp; H952,  "")</f>
        <v>principal-process-steward|MessageDeliveries</v>
      </c>
      <c r="N952" s="3" t="s">
        <v>10004</v>
      </c>
    </row>
    <row r="953">
      <c r="A953" s="3" t="s">
        <v>10955</v>
      </c>
      <c r="B953" s="4" t="str">
        <f>C953 &amp; " -&gt; " &amp; D953</f>
        <v>principal-process-steward -&gt; MessageDeliveries.IsEvidenceRequired</v>
      </c>
      <c r="C953" s="3" t="s">
        <v>9772</v>
      </c>
      <c r="D953" s="3" t="s">
        <v>4546</v>
      </c>
      <c r="E953" s="3" t="b">
        <v>1</v>
      </c>
      <c r="F953" s="3" t="b">
        <v>0</v>
      </c>
      <c r="G953" s="3" t="s">
        <v>10003</v>
      </c>
      <c r="H953" s="4" t="str">
        <f>_xlfn.IFNA(IF(((INDEX(RulebookFields!C2:C1898, MATCH(D953,RulebookFields!A2:A1898, 0))="")=TRUE),  "",  INDEX(RulebookFields!C2:C1898, MATCH(D953,RulebookFields!A2:A1898, 0))), "")</f>
        <v>MessageDeliveries</v>
      </c>
      <c r="I953" s="4" t="str">
        <f>_xlfn.IFNA(IF(((INDEX(RulebookFields!D2:D1898, MATCH(D953,RulebookFields!A2:A1898, 0))="")=TRUE),  "",  INDEX(RulebookFields!D2:D1898, MATCH(D953,RulebookFields!A2:A1898, 0))), "")</f>
        <v>IsEvidenceRequired</v>
      </c>
      <c r="J953" s="4" t="b">
        <f>_xlfn.IFNA(IF(((INDEX(RulebookFields!I2:I1898, MATCH(D953,RulebookFields!A2:A1898, 0))="")=TRUE),  "",  INDEX(RulebookFields!I2:I1898, MATCH(D953,RulebookFields!A2:A1898, 0))), "")</f>
        <v>1</v>
      </c>
      <c r="K953" s="4" t="b">
        <f>AND(((F953)=TRUE), ((J953)=TRUE))</f>
        <v>0</v>
      </c>
      <c r="L953" s="4" t="b">
        <f>AND(((G953 &lt;&gt; "plain")=TRUE), ((G953 &lt;&gt; "")=TRUE))</f>
        <v>0</v>
      </c>
      <c r="M953" s="4" t="str">
        <f>IF(((E953)=TRUE),  C953 &amp; "|" &amp; H953,  "")</f>
        <v>principal-process-steward|MessageDeliveries</v>
      </c>
      <c r="N953" s="3" t="s">
        <v>10004</v>
      </c>
    </row>
    <row r="954">
      <c r="A954" s="3" t="s">
        <v>10956</v>
      </c>
      <c r="B954" s="4" t="str">
        <f>C954 &amp; " -&gt; " &amp; D954</f>
        <v>principal-process-steward -&gt; MessageDeliveries.IsRetentionBreach</v>
      </c>
      <c r="C954" s="3" t="s">
        <v>9772</v>
      </c>
      <c r="D954" s="3" t="s">
        <v>4549</v>
      </c>
      <c r="E954" s="3" t="b">
        <v>1</v>
      </c>
      <c r="F954" s="3" t="b">
        <v>0</v>
      </c>
      <c r="G954" s="3" t="s">
        <v>10003</v>
      </c>
      <c r="H954" s="4" t="str">
        <f>_xlfn.IFNA(IF(((INDEX(RulebookFields!C2:C1898, MATCH(D954,RulebookFields!A2:A1898, 0))="")=TRUE),  "",  INDEX(RulebookFields!C2:C1898, MATCH(D954,RulebookFields!A2:A1898, 0))), "")</f>
        <v>MessageDeliveries</v>
      </c>
      <c r="I954" s="4" t="str">
        <f>_xlfn.IFNA(IF(((INDEX(RulebookFields!D2:D1898, MATCH(D954,RulebookFields!A2:A1898, 0))="")=TRUE),  "",  INDEX(RulebookFields!D2:D1898, MATCH(D954,RulebookFields!A2:A1898, 0))), "")</f>
        <v>IsRetentionBreach</v>
      </c>
      <c r="J954" s="4" t="b">
        <f>_xlfn.IFNA(IF(((INDEX(RulebookFields!I2:I1898, MATCH(D954,RulebookFields!A2:A1898, 0))="")=TRUE),  "",  INDEX(RulebookFields!I2:I1898, MATCH(D954,RulebookFields!A2:A1898, 0))), "")</f>
        <v>1</v>
      </c>
      <c r="K954" s="4" t="b">
        <f>AND(((F954)=TRUE), ((J954)=TRUE))</f>
        <v>0</v>
      </c>
      <c r="L954" s="4" t="b">
        <f>AND(((G954 &lt;&gt; "plain")=TRUE), ((G954 &lt;&gt; "")=TRUE))</f>
        <v>0</v>
      </c>
      <c r="M954" s="4" t="str">
        <f>IF(((E954)=TRUE),  C954 &amp; "|" &amp; H954,  "")</f>
        <v>principal-process-steward|MessageDeliveries</v>
      </c>
      <c r="N954" s="3" t="s">
        <v>10004</v>
      </c>
    </row>
    <row r="955">
      <c r="A955" s="3" t="s">
        <v>10957</v>
      </c>
      <c r="B955" s="4" t="str">
        <f>C955 &amp; " -&gt; " &amp; D955</f>
        <v>principal-process-steward -&gt; MessageDeliveries.RetentionBreachExecutionKey</v>
      </c>
      <c r="C955" s="3" t="s">
        <v>9772</v>
      </c>
      <c r="D955" s="3" t="s">
        <v>4552</v>
      </c>
      <c r="E955" s="3" t="b">
        <v>1</v>
      </c>
      <c r="F955" s="3" t="b">
        <v>0</v>
      </c>
      <c r="G955" s="3" t="s">
        <v>10003</v>
      </c>
      <c r="H955" s="4" t="str">
        <f>_xlfn.IFNA(IF(((INDEX(RulebookFields!C2:C1898, MATCH(D955,RulebookFields!A2:A1898, 0))="")=TRUE),  "",  INDEX(RulebookFields!C2:C1898, MATCH(D955,RulebookFields!A2:A1898, 0))), "")</f>
        <v>MessageDeliveries</v>
      </c>
      <c r="I955" s="4" t="str">
        <f>_xlfn.IFNA(IF(((INDEX(RulebookFields!D2:D1898, MATCH(D955,RulebookFields!A2:A1898, 0))="")=TRUE),  "",  INDEX(RulebookFields!D2:D1898, MATCH(D955,RulebookFields!A2:A1898, 0))), "")</f>
        <v>RetentionBreachExecutionKey</v>
      </c>
      <c r="J955" s="4" t="b">
        <f>_xlfn.IFNA(IF(((INDEX(RulebookFields!I2:I1898, MATCH(D955,RulebookFields!A2:A1898, 0))="")=TRUE),  "",  INDEX(RulebookFields!I2:I1898, MATCH(D955,RulebookFields!A2:A1898, 0))), "")</f>
        <v>1</v>
      </c>
      <c r="K955" s="4" t="b">
        <f>AND(((F955)=TRUE), ((J955)=TRUE))</f>
        <v>0</v>
      </c>
      <c r="L955" s="4" t="b">
        <f>AND(((G955 &lt;&gt; "plain")=TRUE), ((G955 &lt;&gt; "")=TRUE))</f>
        <v>0</v>
      </c>
      <c r="M955" s="4" t="str">
        <f>IF(((E955)=TRUE),  C955 &amp; "|" &amp; H955,  "")</f>
        <v>principal-process-steward|MessageDeliveries</v>
      </c>
      <c r="N955" s="3" t="s">
        <v>10004</v>
      </c>
    </row>
    <row r="956">
      <c r="A956" s="3" t="s">
        <v>10958</v>
      </c>
      <c r="B956" s="4" t="str">
        <f>C956 &amp; " -&gt; " &amp; D956</f>
        <v>principal-process-steward -&gt; MessageDeliveries.SendingStepExecutionStep</v>
      </c>
      <c r="C956" s="3" t="s">
        <v>9772</v>
      </c>
      <c r="D956" s="3" t="s">
        <v>4555</v>
      </c>
      <c r="E956" s="3" t="b">
        <v>1</v>
      </c>
      <c r="F956" s="3" t="b">
        <v>0</v>
      </c>
      <c r="G956" s="3" t="s">
        <v>10003</v>
      </c>
      <c r="H956" s="4" t="str">
        <f>_xlfn.IFNA(IF(((INDEX(RulebookFields!C2:C1898, MATCH(D956,RulebookFields!A2:A1898, 0))="")=TRUE),  "",  INDEX(RulebookFields!C2:C1898, MATCH(D956,RulebookFields!A2:A1898, 0))), "")</f>
        <v>MessageDeliveries</v>
      </c>
      <c r="I956" s="4" t="str">
        <f>_xlfn.IFNA(IF(((INDEX(RulebookFields!D2:D1898, MATCH(D956,RulebookFields!A2:A1898, 0))="")=TRUE),  "",  INDEX(RulebookFields!D2:D1898, MATCH(D956,RulebookFields!A2:A1898, 0))), "")</f>
        <v>SendingStepExecutionStep</v>
      </c>
      <c r="J956" s="4" t="b">
        <f>_xlfn.IFNA(IF(((INDEX(RulebookFields!I2:I1898, MATCH(D956,RulebookFields!A2:A1898, 0))="")=TRUE),  "",  INDEX(RulebookFields!I2:I1898, MATCH(D956,RulebookFields!A2:A1898, 0))), "")</f>
        <v>1</v>
      </c>
      <c r="K956" s="4" t="b">
        <f>AND(((F956)=TRUE), ((J956)=TRUE))</f>
        <v>0</v>
      </c>
      <c r="L956" s="4" t="b">
        <f>AND(((G956 &lt;&gt; "plain")=TRUE), ((G956 &lt;&gt; "")=TRUE))</f>
        <v>0</v>
      </c>
      <c r="M956" s="4" t="str">
        <f>IF(((E956)=TRUE),  C956 &amp; "|" &amp; H956,  "")</f>
        <v>principal-process-steward|MessageDeliveries</v>
      </c>
      <c r="N956" s="3" t="s">
        <v>10004</v>
      </c>
    </row>
    <row r="957">
      <c r="A957" s="3" t="s">
        <v>10959</v>
      </c>
      <c r="B957" s="4" t="str">
        <f>C957 &amp; " -&gt; " &amp; D957</f>
        <v>principal-process-steward -&gt; MessageDeliveries.ExecutionHasClearedLegalReview</v>
      </c>
      <c r="C957" s="3" t="s">
        <v>9772</v>
      </c>
      <c r="D957" s="3" t="s">
        <v>4557</v>
      </c>
      <c r="E957" s="3" t="b">
        <v>1</v>
      </c>
      <c r="F957" s="3" t="b">
        <v>0</v>
      </c>
      <c r="G957" s="3" t="s">
        <v>10003</v>
      </c>
      <c r="H957" s="4" t="str">
        <f>_xlfn.IFNA(IF(((INDEX(RulebookFields!C2:C1898, MATCH(D957,RulebookFields!A2:A1898, 0))="")=TRUE),  "",  INDEX(RulebookFields!C2:C1898, MATCH(D957,RulebookFields!A2:A1898, 0))), "")</f>
        <v>MessageDeliveries</v>
      </c>
      <c r="I957" s="4" t="str">
        <f>_xlfn.IFNA(IF(((INDEX(RulebookFields!D2:D1898, MATCH(D957,RulebookFields!A2:A1898, 0))="")=TRUE),  "",  INDEX(RulebookFields!D2:D1898, MATCH(D957,RulebookFields!A2:A1898, 0))), "")</f>
        <v>ExecutionHasClearedLegalReview</v>
      </c>
      <c r="J957" s="4" t="b">
        <f>_xlfn.IFNA(IF(((INDEX(RulebookFields!I2:I1898, MATCH(D957,RulebookFields!A2:A1898, 0))="")=TRUE),  "",  INDEX(RulebookFields!I2:I1898, MATCH(D957,RulebookFields!A2:A1898, 0))), "")</f>
        <v>1</v>
      </c>
      <c r="K957" s="4" t="b">
        <f>AND(((F957)=TRUE), ((J957)=TRUE))</f>
        <v>0</v>
      </c>
      <c r="L957" s="4" t="b">
        <f>AND(((G957 &lt;&gt; "plain")=TRUE), ((G957 &lt;&gt; "")=TRUE))</f>
        <v>0</v>
      </c>
      <c r="M957" s="4" t="str">
        <f>IF(((E957)=TRUE),  C957 &amp; "|" &amp; H957,  "")</f>
        <v>principal-process-steward|MessageDeliveries</v>
      </c>
      <c r="N957" s="3" t="s">
        <v>10004</v>
      </c>
    </row>
    <row r="958">
      <c r="A958" s="3" t="s">
        <v>10960</v>
      </c>
      <c r="B958" s="4" t="str">
        <f>C958 &amp; " -&gt; " &amp; D958</f>
        <v>principal-process-steward -&gt; MessageDeliveries.IsUnreviewedSend</v>
      </c>
      <c r="C958" s="3" t="s">
        <v>9772</v>
      </c>
      <c r="D958" s="3" t="s">
        <v>4560</v>
      </c>
      <c r="E958" s="3" t="b">
        <v>1</v>
      </c>
      <c r="F958" s="3" t="b">
        <v>0</v>
      </c>
      <c r="G958" s="3" t="s">
        <v>10003</v>
      </c>
      <c r="H958" s="4" t="str">
        <f>_xlfn.IFNA(IF(((INDEX(RulebookFields!C2:C1898, MATCH(D958,RulebookFields!A2:A1898, 0))="")=TRUE),  "",  INDEX(RulebookFields!C2:C1898, MATCH(D958,RulebookFields!A2:A1898, 0))), "")</f>
        <v>MessageDeliveries</v>
      </c>
      <c r="I958" s="4" t="str">
        <f>_xlfn.IFNA(IF(((INDEX(RulebookFields!D2:D1898, MATCH(D958,RulebookFields!A2:A1898, 0))="")=TRUE),  "",  INDEX(RulebookFields!D2:D1898, MATCH(D958,RulebookFields!A2:A1898, 0))), "")</f>
        <v>IsUnreviewedSend</v>
      </c>
      <c r="J958" s="4" t="b">
        <f>_xlfn.IFNA(IF(((INDEX(RulebookFields!I2:I1898, MATCH(D958,RulebookFields!A2:A1898, 0))="")=TRUE),  "",  INDEX(RulebookFields!I2:I1898, MATCH(D958,RulebookFields!A2:A1898, 0))), "")</f>
        <v>1</v>
      </c>
      <c r="K958" s="4" t="b">
        <f>AND(((F958)=TRUE), ((J958)=TRUE))</f>
        <v>0</v>
      </c>
      <c r="L958" s="4" t="b">
        <f>AND(((G958 &lt;&gt; "plain")=TRUE), ((G958 &lt;&gt; "")=TRUE))</f>
        <v>0</v>
      </c>
      <c r="M958" s="4" t="str">
        <f>IF(((E958)=TRUE),  C958 &amp; "|" &amp; H958,  "")</f>
        <v>principal-process-steward|MessageDeliveries</v>
      </c>
      <c r="N958" s="3" t="s">
        <v>10004</v>
      </c>
    </row>
    <row r="959">
      <c r="A959" s="3" t="s">
        <v>10961</v>
      </c>
      <c r="B959" s="4" t="str">
        <f>C959 &amp; " -&gt; " &amp; D959</f>
        <v>principal-process-steward -&gt; MessageDeliveries.RenderedBodyLength</v>
      </c>
      <c r="C959" s="3" t="s">
        <v>9772</v>
      </c>
      <c r="D959" s="3" t="s">
        <v>4563</v>
      </c>
      <c r="E959" s="3" t="b">
        <v>1</v>
      </c>
      <c r="F959" s="3" t="b">
        <v>0</v>
      </c>
      <c r="G959" s="3" t="s">
        <v>10003</v>
      </c>
      <c r="H959" s="4" t="str">
        <f>_xlfn.IFNA(IF(((INDEX(RulebookFields!C2:C1898, MATCH(D959,RulebookFields!A2:A1898, 0))="")=TRUE),  "",  INDEX(RulebookFields!C2:C1898, MATCH(D959,RulebookFields!A2:A1898, 0))), "")</f>
        <v>MessageDeliveries</v>
      </c>
      <c r="I959" s="4" t="str">
        <f>_xlfn.IFNA(IF(((INDEX(RulebookFields!D2:D1898, MATCH(D959,RulebookFields!A2:A1898, 0))="")=TRUE),  "",  INDEX(RulebookFields!D2:D1898, MATCH(D959,RulebookFields!A2:A1898, 0))), "")</f>
        <v>RenderedBodyLength</v>
      </c>
      <c r="J959" s="4" t="b">
        <f>_xlfn.IFNA(IF(((INDEX(RulebookFields!I2:I1898, MATCH(D959,RulebookFields!A2:A1898, 0))="")=TRUE),  "",  INDEX(RulebookFields!I2:I1898, MATCH(D959,RulebookFields!A2:A1898, 0))), "")</f>
        <v>1</v>
      </c>
      <c r="K959" s="4" t="b">
        <f>AND(((F959)=TRUE), ((J959)=TRUE))</f>
        <v>0</v>
      </c>
      <c r="L959" s="4" t="b">
        <f>AND(((G959 &lt;&gt; "plain")=TRUE), ((G959 &lt;&gt; "")=TRUE))</f>
        <v>0</v>
      </c>
      <c r="M959" s="4" t="str">
        <f>IF(((E959)=TRUE),  C959 &amp; "|" &amp; H959,  "")</f>
        <v>principal-process-steward|MessageDeliveries</v>
      </c>
      <c r="N959" s="3" t="s">
        <v>10004</v>
      </c>
    </row>
    <row r="960">
      <c r="A960" s="3" t="s">
        <v>10962</v>
      </c>
      <c r="B960" s="4" t="str">
        <f>C960 &amp; " -&gt; " &amp; D960</f>
        <v>principal-process-steward -&gt; MessageDeliveries.PolicyMaxMessageLengthAtSend</v>
      </c>
      <c r="C960" s="3" t="s">
        <v>9772</v>
      </c>
      <c r="D960" s="3" t="s">
        <v>4566</v>
      </c>
      <c r="E960" s="3" t="b">
        <v>1</v>
      </c>
      <c r="F960" s="3" t="b">
        <v>0</v>
      </c>
      <c r="G960" s="3" t="s">
        <v>10003</v>
      </c>
      <c r="H960" s="4" t="str">
        <f>_xlfn.IFNA(IF(((INDEX(RulebookFields!C2:C1898, MATCH(D960,RulebookFields!A2:A1898, 0))="")=TRUE),  "",  INDEX(RulebookFields!C2:C1898, MATCH(D960,RulebookFields!A2:A1898, 0))), "")</f>
        <v>MessageDeliveries</v>
      </c>
      <c r="I960" s="4" t="str">
        <f>_xlfn.IFNA(IF(((INDEX(RulebookFields!D2:D1898, MATCH(D960,RulebookFields!A2:A1898, 0))="")=TRUE),  "",  INDEX(RulebookFields!D2:D1898, MATCH(D960,RulebookFields!A2:A1898, 0))), "")</f>
        <v>PolicyMaxMessageLengthAtSend</v>
      </c>
      <c r="J960" s="4" t="b">
        <f>_xlfn.IFNA(IF(((INDEX(RulebookFields!I2:I1898, MATCH(D960,RulebookFields!A2:A1898, 0))="")=TRUE),  "",  INDEX(RulebookFields!I2:I1898, MATCH(D960,RulebookFields!A2:A1898, 0))), "")</f>
        <v>1</v>
      </c>
      <c r="K960" s="4" t="b">
        <f>AND(((F960)=TRUE), ((J960)=TRUE))</f>
        <v>0</v>
      </c>
      <c r="L960" s="4" t="b">
        <f>AND(((G960 &lt;&gt; "plain")=TRUE), ((G960 &lt;&gt; "")=TRUE))</f>
        <v>0</v>
      </c>
      <c r="M960" s="4" t="str">
        <f>IF(((E960)=TRUE),  C960 &amp; "|" &amp; H960,  "")</f>
        <v>principal-process-steward|MessageDeliveries</v>
      </c>
      <c r="N960" s="3" t="s">
        <v>10004</v>
      </c>
    </row>
    <row r="961">
      <c r="A961" s="3" t="s">
        <v>10963</v>
      </c>
      <c r="B961" s="4" t="str">
        <f>C961 &amp; " -&gt; " &amp; D961</f>
        <v>principal-process-steward -&gt; MessageDeliveries.SegmentCount</v>
      </c>
      <c r="C961" s="3" t="s">
        <v>9772</v>
      </c>
      <c r="D961" s="3" t="s">
        <v>4569</v>
      </c>
      <c r="E961" s="3" t="b">
        <v>1</v>
      </c>
      <c r="F961" s="3" t="b">
        <v>0</v>
      </c>
      <c r="G961" s="3" t="s">
        <v>10003</v>
      </c>
      <c r="H961" s="4" t="str">
        <f>_xlfn.IFNA(IF(((INDEX(RulebookFields!C2:C1898, MATCH(D961,RulebookFields!A2:A1898, 0))="")=TRUE),  "",  INDEX(RulebookFields!C2:C1898, MATCH(D961,RulebookFields!A2:A1898, 0))), "")</f>
        <v>MessageDeliveries</v>
      </c>
      <c r="I961" s="4" t="str">
        <f>_xlfn.IFNA(IF(((INDEX(RulebookFields!D2:D1898, MATCH(D961,RulebookFields!A2:A1898, 0))="")=TRUE),  "",  INDEX(RulebookFields!D2:D1898, MATCH(D961,RulebookFields!A2:A1898, 0))), "")</f>
        <v>SegmentCount</v>
      </c>
      <c r="J961" s="4" t="b">
        <f>_xlfn.IFNA(IF(((INDEX(RulebookFields!I2:I1898, MATCH(D961,RulebookFields!A2:A1898, 0))="")=TRUE),  "",  INDEX(RulebookFields!I2:I1898, MATCH(D961,RulebookFields!A2:A1898, 0))), "")</f>
        <v>1</v>
      </c>
      <c r="K961" s="4" t="b">
        <f>AND(((F961)=TRUE), ((J961)=TRUE))</f>
        <v>0</v>
      </c>
      <c r="L961" s="4" t="b">
        <f>AND(((G961 &lt;&gt; "plain")=TRUE), ((G961 &lt;&gt; "")=TRUE))</f>
        <v>0</v>
      </c>
      <c r="M961" s="4" t="str">
        <f>IF(((E961)=TRUE),  C961 &amp; "|" &amp; H961,  "")</f>
        <v>principal-process-steward|MessageDeliveries</v>
      </c>
      <c r="N961" s="3" t="s">
        <v>10004</v>
      </c>
    </row>
    <row r="962">
      <c r="A962" s="3" t="s">
        <v>10964</v>
      </c>
      <c r="B962" s="4" t="str">
        <f>C962 &amp; " -&gt; " &amp; D962</f>
        <v>principal-process-steward -&gt; MessageDeliveries.PolicyMaxSegmentsAtSend</v>
      </c>
      <c r="C962" s="3" t="s">
        <v>9772</v>
      </c>
      <c r="D962" s="3" t="s">
        <v>4572</v>
      </c>
      <c r="E962" s="3" t="b">
        <v>1</v>
      </c>
      <c r="F962" s="3" t="b">
        <v>0</v>
      </c>
      <c r="G962" s="3" t="s">
        <v>10003</v>
      </c>
      <c r="H962" s="4" t="str">
        <f>_xlfn.IFNA(IF(((INDEX(RulebookFields!C2:C1898, MATCH(D962,RulebookFields!A2:A1898, 0))="")=TRUE),  "",  INDEX(RulebookFields!C2:C1898, MATCH(D962,RulebookFields!A2:A1898, 0))), "")</f>
        <v>MessageDeliveries</v>
      </c>
      <c r="I962" s="4" t="str">
        <f>_xlfn.IFNA(IF(((INDEX(RulebookFields!D2:D1898, MATCH(D962,RulebookFields!A2:A1898, 0))="")=TRUE),  "",  INDEX(RulebookFields!D2:D1898, MATCH(D962,RulebookFields!A2:A1898, 0))), "")</f>
        <v>PolicyMaxSegmentsAtSend</v>
      </c>
      <c r="J962" s="4" t="b">
        <f>_xlfn.IFNA(IF(((INDEX(RulebookFields!I2:I1898, MATCH(D962,RulebookFields!A2:A1898, 0))="")=TRUE),  "",  INDEX(RulebookFields!I2:I1898, MATCH(D962,RulebookFields!A2:A1898, 0))), "")</f>
        <v>1</v>
      </c>
      <c r="K962" s="4" t="b">
        <f>AND(((F962)=TRUE), ((J962)=TRUE))</f>
        <v>0</v>
      </c>
      <c r="L962" s="4" t="b">
        <f>AND(((G962 &lt;&gt; "plain")=TRUE), ((G962 &lt;&gt; "")=TRUE))</f>
        <v>0</v>
      </c>
      <c r="M962" s="4" t="str">
        <f>IF(((E962)=TRUE),  C962 &amp; "|" &amp; H962,  "")</f>
        <v>principal-process-steward|MessageDeliveries</v>
      </c>
      <c r="N962" s="3" t="s">
        <v>10004</v>
      </c>
    </row>
    <row r="963">
      <c r="A963" s="3" t="s">
        <v>10965</v>
      </c>
      <c r="B963" s="4" t="str">
        <f>C963 &amp; " -&gt; " &amp; D963</f>
        <v>principal-process-steward -&gt; MessageDeliveries.IsOverSegmentLimit</v>
      </c>
      <c r="C963" s="3" t="s">
        <v>9772</v>
      </c>
      <c r="D963" s="3" t="s">
        <v>4575</v>
      </c>
      <c r="E963" s="3" t="b">
        <v>1</v>
      </c>
      <c r="F963" s="3" t="b">
        <v>0</v>
      </c>
      <c r="G963" s="3" t="s">
        <v>10003</v>
      </c>
      <c r="H963" s="4" t="str">
        <f>_xlfn.IFNA(IF(((INDEX(RulebookFields!C2:C1898, MATCH(D963,RulebookFields!A2:A1898, 0))="")=TRUE),  "",  INDEX(RulebookFields!C2:C1898, MATCH(D963,RulebookFields!A2:A1898, 0))), "")</f>
        <v>MessageDeliveries</v>
      </c>
      <c r="I963" s="4" t="str">
        <f>_xlfn.IFNA(IF(((INDEX(RulebookFields!D2:D1898, MATCH(D963,RulebookFields!A2:A1898, 0))="")=TRUE),  "",  INDEX(RulebookFields!D2:D1898, MATCH(D963,RulebookFields!A2:A1898, 0))), "")</f>
        <v>IsOverSegmentLimit</v>
      </c>
      <c r="J963" s="4" t="b">
        <f>_xlfn.IFNA(IF(((INDEX(RulebookFields!I2:I1898, MATCH(D963,RulebookFields!A2:A1898, 0))="")=TRUE),  "",  INDEX(RulebookFields!I2:I1898, MATCH(D963,RulebookFields!A2:A1898, 0))), "")</f>
        <v>1</v>
      </c>
      <c r="K963" s="4" t="b">
        <f>AND(((F963)=TRUE), ((J963)=TRUE))</f>
        <v>0</v>
      </c>
      <c r="L963" s="4" t="b">
        <f>AND(((G963 &lt;&gt; "plain")=TRUE), ((G963 &lt;&gt; "")=TRUE))</f>
        <v>0</v>
      </c>
      <c r="M963" s="4" t="str">
        <f>IF(((E963)=TRUE),  C963 &amp; "|" &amp; H963,  "")</f>
        <v>principal-process-steward|MessageDeliveries</v>
      </c>
      <c r="N963" s="3" t="s">
        <v>10004</v>
      </c>
    </row>
    <row r="964">
      <c r="A964" s="3" t="s">
        <v>10966</v>
      </c>
      <c r="B964" s="4" t="str">
        <f>C964 &amp; " -&gt; " &amp; D964</f>
        <v>principal-process-steward -&gt; MessageDeliveries.TemplateHasValidApproval</v>
      </c>
      <c r="C964" s="3" t="s">
        <v>9772</v>
      </c>
      <c r="D964" s="3" t="s">
        <v>4578</v>
      </c>
      <c r="E964" s="3" t="b">
        <v>1</v>
      </c>
      <c r="F964" s="3" t="b">
        <v>0</v>
      </c>
      <c r="G964" s="3" t="s">
        <v>10003</v>
      </c>
      <c r="H964" s="4" t="str">
        <f>_xlfn.IFNA(IF(((INDEX(RulebookFields!C2:C1898, MATCH(D964,RulebookFields!A2:A1898, 0))="")=TRUE),  "",  INDEX(RulebookFields!C2:C1898, MATCH(D964,RulebookFields!A2:A1898, 0))), "")</f>
        <v>MessageDeliveries</v>
      </c>
      <c r="I964" s="4" t="str">
        <f>_xlfn.IFNA(IF(((INDEX(RulebookFields!D2:D1898, MATCH(D964,RulebookFields!A2:A1898, 0))="")=TRUE),  "",  INDEX(RulebookFields!D2:D1898, MATCH(D964,RulebookFields!A2:A1898, 0))), "")</f>
        <v>TemplateHasValidApproval</v>
      </c>
      <c r="J964" s="4" t="b">
        <f>_xlfn.IFNA(IF(((INDEX(RulebookFields!I2:I1898, MATCH(D964,RulebookFields!A2:A1898, 0))="")=TRUE),  "",  INDEX(RulebookFields!I2:I1898, MATCH(D964,RulebookFields!A2:A1898, 0))), "")</f>
        <v>1</v>
      </c>
      <c r="K964" s="4" t="b">
        <f>AND(((F964)=TRUE), ((J964)=TRUE))</f>
        <v>0</v>
      </c>
      <c r="L964" s="4" t="b">
        <f>AND(((G964 &lt;&gt; "plain")=TRUE), ((G964 &lt;&gt; "")=TRUE))</f>
        <v>0</v>
      </c>
      <c r="M964" s="4" t="str">
        <f>IF(((E964)=TRUE),  C964 &amp; "|" &amp; H964,  "")</f>
        <v>principal-process-steward|MessageDeliveries</v>
      </c>
      <c r="N964" s="3" t="s">
        <v>10004</v>
      </c>
    </row>
    <row r="965">
      <c r="A965" s="3" t="s">
        <v>10967</v>
      </c>
      <c r="B965" s="4" t="str">
        <f>C965 &amp; " -&gt; " &amp; D965</f>
        <v>principal-process-steward -&gt; MessageDeliveries.IsUnapprovedSend</v>
      </c>
      <c r="C965" s="3" t="s">
        <v>9772</v>
      </c>
      <c r="D965" s="3" t="s">
        <v>4581</v>
      </c>
      <c r="E965" s="3" t="b">
        <v>1</v>
      </c>
      <c r="F965" s="3" t="b">
        <v>0</v>
      </c>
      <c r="G965" s="3" t="s">
        <v>10003</v>
      </c>
      <c r="H965" s="4" t="str">
        <f>_xlfn.IFNA(IF(((INDEX(RulebookFields!C2:C1898, MATCH(D965,RulebookFields!A2:A1898, 0))="")=TRUE),  "",  INDEX(RulebookFields!C2:C1898, MATCH(D965,RulebookFields!A2:A1898, 0))), "")</f>
        <v>MessageDeliveries</v>
      </c>
      <c r="I965" s="4" t="str">
        <f>_xlfn.IFNA(IF(((INDEX(RulebookFields!D2:D1898, MATCH(D965,RulebookFields!A2:A1898, 0))="")=TRUE),  "",  INDEX(RulebookFields!D2:D1898, MATCH(D965,RulebookFields!A2:A1898, 0))), "")</f>
        <v>IsUnapprovedSend</v>
      </c>
      <c r="J965" s="4" t="b">
        <f>_xlfn.IFNA(IF(((INDEX(RulebookFields!I2:I1898, MATCH(D965,RulebookFields!A2:A1898, 0))="")=TRUE),  "",  INDEX(RulebookFields!I2:I1898, MATCH(D965,RulebookFields!A2:A1898, 0))), "")</f>
        <v>1</v>
      </c>
      <c r="K965" s="4" t="b">
        <f>AND(((F965)=TRUE), ((J965)=TRUE))</f>
        <v>0</v>
      </c>
      <c r="L965" s="4" t="b">
        <f>AND(((G965 &lt;&gt; "plain")=TRUE), ((G965 &lt;&gt; "")=TRUE))</f>
        <v>0</v>
      </c>
      <c r="M965" s="4" t="str">
        <f>IF(((E965)=TRUE),  C965 &amp; "|" &amp; H965,  "")</f>
        <v>principal-process-steward|MessageDeliveries</v>
      </c>
      <c r="N965" s="3" t="s">
        <v>10004</v>
      </c>
    </row>
    <row r="966">
      <c r="A966" s="3" t="s">
        <v>10968</v>
      </c>
      <c r="B966" s="4" t="str">
        <f>C966 &amp; " -&gt; " &amp; D966</f>
        <v>principal-process-steward -&gt; MessageDeliveries.PolicyRequiredOptOutPhrase</v>
      </c>
      <c r="C966" s="3" t="s">
        <v>9772</v>
      </c>
      <c r="D966" s="3" t="s">
        <v>4584</v>
      </c>
      <c r="E966" s="3" t="b">
        <v>1</v>
      </c>
      <c r="F966" s="3" t="b">
        <v>0</v>
      </c>
      <c r="G966" s="3" t="s">
        <v>10003</v>
      </c>
      <c r="H966" s="4" t="str">
        <f>_xlfn.IFNA(IF(((INDEX(RulebookFields!C2:C1898, MATCH(D966,RulebookFields!A2:A1898, 0))="")=TRUE),  "",  INDEX(RulebookFields!C2:C1898, MATCH(D966,RulebookFields!A2:A1898, 0))), "")</f>
        <v>MessageDeliveries</v>
      </c>
      <c r="I966" s="4" t="str">
        <f>_xlfn.IFNA(IF(((INDEX(RulebookFields!D2:D1898, MATCH(D966,RulebookFields!A2:A1898, 0))="")=TRUE),  "",  INDEX(RulebookFields!D2:D1898, MATCH(D966,RulebookFields!A2:A1898, 0))), "")</f>
        <v>PolicyRequiredOptOutPhrase</v>
      </c>
      <c r="J966" s="4" t="b">
        <f>_xlfn.IFNA(IF(((INDEX(RulebookFields!I2:I1898, MATCH(D966,RulebookFields!A2:A1898, 0))="")=TRUE),  "",  INDEX(RulebookFields!I2:I1898, MATCH(D966,RulebookFields!A2:A1898, 0))), "")</f>
        <v>1</v>
      </c>
      <c r="K966" s="4" t="b">
        <f>AND(((F966)=TRUE), ((J966)=TRUE))</f>
        <v>0</v>
      </c>
      <c r="L966" s="4" t="b">
        <f>AND(((G966 &lt;&gt; "plain")=TRUE), ((G966 &lt;&gt; "")=TRUE))</f>
        <v>0</v>
      </c>
      <c r="M966" s="4" t="str">
        <f>IF(((E966)=TRUE),  C966 &amp; "|" &amp; H966,  "")</f>
        <v>principal-process-steward|MessageDeliveries</v>
      </c>
      <c r="N966" s="3" t="s">
        <v>10004</v>
      </c>
    </row>
    <row r="967">
      <c r="A967" s="3" t="s">
        <v>10969</v>
      </c>
      <c r="B967" s="4" t="str">
        <f>C967 &amp; " -&gt; " &amp; D967</f>
        <v>principal-process-steward -&gt; MessageDeliveries.PolicyRequiresOptOut</v>
      </c>
      <c r="C967" s="3" t="s">
        <v>9772</v>
      </c>
      <c r="D967" s="3" t="s">
        <v>4587</v>
      </c>
      <c r="E967" s="3" t="b">
        <v>1</v>
      </c>
      <c r="F967" s="3" t="b">
        <v>0</v>
      </c>
      <c r="G967" s="3" t="s">
        <v>10003</v>
      </c>
      <c r="H967" s="4" t="str">
        <f>_xlfn.IFNA(IF(((INDEX(RulebookFields!C2:C1898, MATCH(D967,RulebookFields!A2:A1898, 0))="")=TRUE),  "",  INDEX(RulebookFields!C2:C1898, MATCH(D967,RulebookFields!A2:A1898, 0))), "")</f>
        <v>MessageDeliveries</v>
      </c>
      <c r="I967" s="4" t="str">
        <f>_xlfn.IFNA(IF(((INDEX(RulebookFields!D2:D1898, MATCH(D967,RulebookFields!A2:A1898, 0))="")=TRUE),  "",  INDEX(RulebookFields!D2:D1898, MATCH(D967,RulebookFields!A2:A1898, 0))), "")</f>
        <v>PolicyRequiresOptOut</v>
      </c>
      <c r="J967" s="4" t="b">
        <f>_xlfn.IFNA(IF(((INDEX(RulebookFields!I2:I1898, MATCH(D967,RulebookFields!A2:A1898, 0))="")=TRUE),  "",  INDEX(RulebookFields!I2:I1898, MATCH(D967,RulebookFields!A2:A1898, 0))), "")</f>
        <v>1</v>
      </c>
      <c r="K967" s="4" t="b">
        <f>AND(((F967)=TRUE), ((J967)=TRUE))</f>
        <v>0</v>
      </c>
      <c r="L967" s="4" t="b">
        <f>AND(((G967 &lt;&gt; "plain")=TRUE), ((G967 &lt;&gt; "")=TRUE))</f>
        <v>0</v>
      </c>
      <c r="M967" s="4" t="str">
        <f>IF(((E967)=TRUE),  C967 &amp; "|" &amp; H967,  "")</f>
        <v>principal-process-steward|MessageDeliveries</v>
      </c>
      <c r="N967" s="3" t="s">
        <v>10004</v>
      </c>
    </row>
    <row r="968">
      <c r="A968" s="3" t="s">
        <v>10970</v>
      </c>
      <c r="B968" s="4" t="str">
        <f>C968 &amp; " -&gt; " &amp; D968</f>
        <v>principal-process-steward -&gt; MessageDeliveries.OptOutPhrasePosition</v>
      </c>
      <c r="C968" s="3" t="s">
        <v>9772</v>
      </c>
      <c r="D968" s="3" t="s">
        <v>4590</v>
      </c>
      <c r="E968" s="3" t="b">
        <v>1</v>
      </c>
      <c r="F968" s="3" t="b">
        <v>0</v>
      </c>
      <c r="G968" s="3" t="s">
        <v>10003</v>
      </c>
      <c r="H968" s="4" t="str">
        <f>_xlfn.IFNA(IF(((INDEX(RulebookFields!C2:C1898, MATCH(D968,RulebookFields!A2:A1898, 0))="")=TRUE),  "",  INDEX(RulebookFields!C2:C1898, MATCH(D968,RulebookFields!A2:A1898, 0))), "")</f>
        <v>MessageDeliveries</v>
      </c>
      <c r="I968" s="4" t="str">
        <f>_xlfn.IFNA(IF(((INDEX(RulebookFields!D2:D1898, MATCH(D968,RulebookFields!A2:A1898, 0))="")=TRUE),  "",  INDEX(RulebookFields!D2:D1898, MATCH(D968,RulebookFields!A2:A1898, 0))), "")</f>
        <v>OptOutPhrasePosition</v>
      </c>
      <c r="J968" s="4" t="b">
        <f>_xlfn.IFNA(IF(((INDEX(RulebookFields!I2:I1898, MATCH(D968,RulebookFields!A2:A1898, 0))="")=TRUE),  "",  INDEX(RulebookFields!I2:I1898, MATCH(D968,RulebookFields!A2:A1898, 0))), "")</f>
        <v>1</v>
      </c>
      <c r="K968" s="4" t="b">
        <f>AND(((F968)=TRUE), ((J968)=TRUE))</f>
        <v>0</v>
      </c>
      <c r="L968" s="4" t="b">
        <f>AND(((G968 &lt;&gt; "plain")=TRUE), ((G968 &lt;&gt; "")=TRUE))</f>
        <v>0</v>
      </c>
      <c r="M968" s="4" t="str">
        <f>IF(((E968)=TRUE),  C968 &amp; "|" &amp; H968,  "")</f>
        <v>principal-process-steward|MessageDeliveries</v>
      </c>
      <c r="N968" s="3" t="s">
        <v>10004</v>
      </c>
    </row>
    <row r="969">
      <c r="A969" s="3" t="s">
        <v>10971</v>
      </c>
      <c r="B969" s="4" t="str">
        <f>C969 &amp; " -&gt; " &amp; D969</f>
        <v>principal-process-steward -&gt; MessageDeliveries.HasOptOutPhrase</v>
      </c>
      <c r="C969" s="3" t="s">
        <v>9772</v>
      </c>
      <c r="D969" s="3" t="s">
        <v>4593</v>
      </c>
      <c r="E969" s="3" t="b">
        <v>1</v>
      </c>
      <c r="F969" s="3" t="b">
        <v>0</v>
      </c>
      <c r="G969" s="3" t="s">
        <v>10003</v>
      </c>
      <c r="H969" s="4" t="str">
        <f>_xlfn.IFNA(IF(((INDEX(RulebookFields!C2:C1898, MATCH(D969,RulebookFields!A2:A1898, 0))="")=TRUE),  "",  INDEX(RulebookFields!C2:C1898, MATCH(D969,RulebookFields!A2:A1898, 0))), "")</f>
        <v>MessageDeliveries</v>
      </c>
      <c r="I969" s="4" t="str">
        <f>_xlfn.IFNA(IF(((INDEX(RulebookFields!D2:D1898, MATCH(D969,RulebookFields!A2:A1898, 0))="")=TRUE),  "",  INDEX(RulebookFields!D2:D1898, MATCH(D969,RulebookFields!A2:A1898, 0))), "")</f>
        <v>HasOptOutPhrase</v>
      </c>
      <c r="J969" s="4" t="b">
        <f>_xlfn.IFNA(IF(((INDEX(RulebookFields!I2:I1898, MATCH(D969,RulebookFields!A2:A1898, 0))="")=TRUE),  "",  INDEX(RulebookFields!I2:I1898, MATCH(D969,RulebookFields!A2:A1898, 0))), "")</f>
        <v>1</v>
      </c>
      <c r="K969" s="4" t="b">
        <f>AND(((F969)=TRUE), ((J969)=TRUE))</f>
        <v>0</v>
      </c>
      <c r="L969" s="4" t="b">
        <f>AND(((G969 &lt;&gt; "plain")=TRUE), ((G969 &lt;&gt; "")=TRUE))</f>
        <v>0</v>
      </c>
      <c r="M969" s="4" t="str">
        <f>IF(((E969)=TRUE),  C969 &amp; "|" &amp; H969,  "")</f>
        <v>principal-process-steward|MessageDeliveries</v>
      </c>
      <c r="N969" s="3" t="s">
        <v>10004</v>
      </c>
    </row>
    <row r="970">
      <c r="A970" s="3" t="s">
        <v>10972</v>
      </c>
      <c r="B970" s="4" t="str">
        <f>C970 &amp; " -&gt; " &amp; D970</f>
        <v>principal-process-steward -&gt; MessageDeliveries.IsOptOutInFirstSegment</v>
      </c>
      <c r="C970" s="3" t="s">
        <v>9772</v>
      </c>
      <c r="D970" s="3" t="s">
        <v>4596</v>
      </c>
      <c r="E970" s="3" t="b">
        <v>1</v>
      </c>
      <c r="F970" s="3" t="b">
        <v>0</v>
      </c>
      <c r="G970" s="3" t="s">
        <v>10003</v>
      </c>
      <c r="H970" s="4" t="str">
        <f>_xlfn.IFNA(IF(((INDEX(RulebookFields!C2:C1898, MATCH(D970,RulebookFields!A2:A1898, 0))="")=TRUE),  "",  INDEX(RulebookFields!C2:C1898, MATCH(D970,RulebookFields!A2:A1898, 0))), "")</f>
        <v>MessageDeliveries</v>
      </c>
      <c r="I970" s="4" t="str">
        <f>_xlfn.IFNA(IF(((INDEX(RulebookFields!D2:D1898, MATCH(D970,RulebookFields!A2:A1898, 0))="")=TRUE),  "",  INDEX(RulebookFields!D2:D1898, MATCH(D970,RulebookFields!A2:A1898, 0))), "")</f>
        <v>IsOptOutInFirstSegment</v>
      </c>
      <c r="J970" s="4" t="b">
        <f>_xlfn.IFNA(IF(((INDEX(RulebookFields!I2:I1898, MATCH(D970,RulebookFields!A2:A1898, 0))="")=TRUE),  "",  INDEX(RulebookFields!I2:I1898, MATCH(D970,RulebookFields!A2:A1898, 0))), "")</f>
        <v>1</v>
      </c>
      <c r="K970" s="4" t="b">
        <f>AND(((F970)=TRUE), ((J970)=TRUE))</f>
        <v>0</v>
      </c>
      <c r="L970" s="4" t="b">
        <f>AND(((G970 &lt;&gt; "plain")=TRUE), ((G970 &lt;&gt; "")=TRUE))</f>
        <v>0</v>
      </c>
      <c r="M970" s="4" t="str">
        <f>IF(((E970)=TRUE),  C970 &amp; "|" &amp; H970,  "")</f>
        <v>principal-process-steward|MessageDeliveries</v>
      </c>
      <c r="N970" s="3" t="s">
        <v>10004</v>
      </c>
    </row>
    <row r="971">
      <c r="A971" s="3" t="s">
        <v>10973</v>
      </c>
      <c r="B971" s="4" t="str">
        <f>C971 &amp; " -&gt; " &amp; D971</f>
        <v>principal-process-steward -&gt; MessageDeliveries.IsMissingRequiredOptOut</v>
      </c>
      <c r="C971" s="3" t="s">
        <v>9772</v>
      </c>
      <c r="D971" s="3" t="s">
        <v>4599</v>
      </c>
      <c r="E971" s="3" t="b">
        <v>1</v>
      </c>
      <c r="F971" s="3" t="b">
        <v>0</v>
      </c>
      <c r="G971" s="3" t="s">
        <v>10003</v>
      </c>
      <c r="H971" s="4" t="str">
        <f>_xlfn.IFNA(IF(((INDEX(RulebookFields!C2:C1898, MATCH(D971,RulebookFields!A2:A1898, 0))="")=TRUE),  "",  INDEX(RulebookFields!C2:C1898, MATCH(D971,RulebookFields!A2:A1898, 0))), "")</f>
        <v>MessageDeliveries</v>
      </c>
      <c r="I971" s="4" t="str">
        <f>_xlfn.IFNA(IF(((INDEX(RulebookFields!D2:D1898, MATCH(D971,RulebookFields!A2:A1898, 0))="")=TRUE),  "",  INDEX(RulebookFields!D2:D1898, MATCH(D971,RulebookFields!A2:A1898, 0))), "")</f>
        <v>IsMissingRequiredOptOut</v>
      </c>
      <c r="J971" s="4" t="b">
        <f>_xlfn.IFNA(IF(((INDEX(RulebookFields!I2:I1898, MATCH(D971,RulebookFields!A2:A1898, 0))="")=TRUE),  "",  INDEX(RulebookFields!I2:I1898, MATCH(D971,RulebookFields!A2:A1898, 0))), "")</f>
        <v>1</v>
      </c>
      <c r="K971" s="4" t="b">
        <f>AND(((F971)=TRUE), ((J971)=TRUE))</f>
        <v>0</v>
      </c>
      <c r="L971" s="4" t="b">
        <f>AND(((G971 &lt;&gt; "plain")=TRUE), ((G971 &lt;&gt; "")=TRUE))</f>
        <v>0</v>
      </c>
      <c r="M971" s="4" t="str">
        <f>IF(((E971)=TRUE),  C971 &amp; "|" &amp; H971,  "")</f>
        <v>principal-process-steward|MessageDeliveries</v>
      </c>
      <c r="N971" s="3" t="s">
        <v>10004</v>
      </c>
    </row>
    <row r="972">
      <c r="A972" s="3" t="s">
        <v>10974</v>
      </c>
      <c r="B972" s="4" t="str">
        <f>C972 &amp; " -&gt; " &amp; D972</f>
        <v>principal-process-steward -&gt; MessageDeliveries.IsOptOutAtRiskOfTruncation</v>
      </c>
      <c r="C972" s="3" t="s">
        <v>9772</v>
      </c>
      <c r="D972" s="3" t="s">
        <v>4602</v>
      </c>
      <c r="E972" s="3" t="b">
        <v>1</v>
      </c>
      <c r="F972" s="3" t="b">
        <v>0</v>
      </c>
      <c r="G972" s="3" t="s">
        <v>10003</v>
      </c>
      <c r="H972" s="4" t="str">
        <f>_xlfn.IFNA(IF(((INDEX(RulebookFields!C2:C1898, MATCH(D972,RulebookFields!A2:A1898, 0))="")=TRUE),  "",  INDEX(RulebookFields!C2:C1898, MATCH(D972,RulebookFields!A2:A1898, 0))), "")</f>
        <v>MessageDeliveries</v>
      </c>
      <c r="I972" s="4" t="str">
        <f>_xlfn.IFNA(IF(((INDEX(RulebookFields!D2:D1898, MATCH(D972,RulebookFields!A2:A1898, 0))="")=TRUE),  "",  INDEX(RulebookFields!D2:D1898, MATCH(D972,RulebookFields!A2:A1898, 0))), "")</f>
        <v>IsOptOutAtRiskOfTruncation</v>
      </c>
      <c r="J972" s="4" t="b">
        <f>_xlfn.IFNA(IF(((INDEX(RulebookFields!I2:I1898, MATCH(D972,RulebookFields!A2:A1898, 0))="")=TRUE),  "",  INDEX(RulebookFields!I2:I1898, MATCH(D972,RulebookFields!A2:A1898, 0))), "")</f>
        <v>1</v>
      </c>
      <c r="K972" s="4" t="b">
        <f>AND(((F972)=TRUE), ((J972)=TRUE))</f>
        <v>0</v>
      </c>
      <c r="L972" s="4" t="b">
        <f>AND(((G972 &lt;&gt; "plain")=TRUE), ((G972 &lt;&gt; "")=TRUE))</f>
        <v>0</v>
      </c>
      <c r="M972" s="4" t="str">
        <f>IF(((E972)=TRUE),  C972 &amp; "|" &amp; H972,  "")</f>
        <v>principal-process-steward|MessageDeliveries</v>
      </c>
      <c r="N972" s="3" t="s">
        <v>10004</v>
      </c>
    </row>
    <row r="973">
      <c r="A973" s="3" t="s">
        <v>10975</v>
      </c>
      <c r="B973" s="4" t="str">
        <f>C973 &amp; " -&gt; " &amp; D973</f>
        <v>principal-process-steward -&gt; MessageDeliveries.IsFailedDelivery</v>
      </c>
      <c r="C973" s="3" t="s">
        <v>9772</v>
      </c>
      <c r="D973" s="3" t="s">
        <v>4605</v>
      </c>
      <c r="E973" s="3" t="b">
        <v>1</v>
      </c>
      <c r="F973" s="3" t="b">
        <v>0</v>
      </c>
      <c r="G973" s="3" t="s">
        <v>10003</v>
      </c>
      <c r="H973" s="4" t="str">
        <f>_xlfn.IFNA(IF(((INDEX(RulebookFields!C2:C1898, MATCH(D973,RulebookFields!A2:A1898, 0))="")=TRUE),  "",  INDEX(RulebookFields!C2:C1898, MATCH(D973,RulebookFields!A2:A1898, 0))), "")</f>
        <v>MessageDeliveries</v>
      </c>
      <c r="I973" s="4" t="str">
        <f>_xlfn.IFNA(IF(((INDEX(RulebookFields!D2:D1898, MATCH(D973,RulebookFields!A2:A1898, 0))="")=TRUE),  "",  INDEX(RulebookFields!D2:D1898, MATCH(D973,RulebookFields!A2:A1898, 0))), "")</f>
        <v>IsFailedDelivery</v>
      </c>
      <c r="J973" s="4" t="b">
        <f>_xlfn.IFNA(IF(((INDEX(RulebookFields!I2:I1898, MATCH(D973,RulebookFields!A2:A1898, 0))="")=TRUE),  "",  INDEX(RulebookFields!I2:I1898, MATCH(D973,RulebookFields!A2:A1898, 0))), "")</f>
        <v>1</v>
      </c>
      <c r="K973" s="4" t="b">
        <f>AND(((F973)=TRUE), ((J973)=TRUE))</f>
        <v>0</v>
      </c>
      <c r="L973" s="4" t="b">
        <f>AND(((G973 &lt;&gt; "plain")=TRUE), ((G973 &lt;&gt; "")=TRUE))</f>
        <v>0</v>
      </c>
      <c r="M973" s="4" t="str">
        <f>IF(((E973)=TRUE),  C973 &amp; "|" &amp; H973,  "")</f>
        <v>principal-process-steward|MessageDeliveries</v>
      </c>
      <c r="N973" s="3" t="s">
        <v>10004</v>
      </c>
    </row>
    <row r="974">
      <c r="A974" s="3" t="s">
        <v>10976</v>
      </c>
      <c r="B974" s="4" t="str">
        <f>C974 &amp; " -&gt; " &amp; D974</f>
        <v>principal-process-steward -&gt; MessageDeliveries.IsSuppressed</v>
      </c>
      <c r="C974" s="3" t="s">
        <v>9772</v>
      </c>
      <c r="D974" s="3" t="s">
        <v>4608</v>
      </c>
      <c r="E974" s="3" t="b">
        <v>1</v>
      </c>
      <c r="F974" s="3" t="b">
        <v>0</v>
      </c>
      <c r="G974" s="3" t="s">
        <v>10003</v>
      </c>
      <c r="H974" s="4" t="str">
        <f>_xlfn.IFNA(IF(((INDEX(RulebookFields!C2:C1898, MATCH(D974,RulebookFields!A2:A1898, 0))="")=TRUE),  "",  INDEX(RulebookFields!C2:C1898, MATCH(D974,RulebookFields!A2:A1898, 0))), "")</f>
        <v>MessageDeliveries</v>
      </c>
      <c r="I974" s="4" t="str">
        <f>_xlfn.IFNA(IF(((INDEX(RulebookFields!D2:D1898, MATCH(D974,RulebookFields!A2:A1898, 0))="")=TRUE),  "",  INDEX(RulebookFields!D2:D1898, MATCH(D974,RulebookFields!A2:A1898, 0))), "")</f>
        <v>IsSuppressed</v>
      </c>
      <c r="J974" s="4" t="b">
        <f>_xlfn.IFNA(IF(((INDEX(RulebookFields!I2:I1898, MATCH(D974,RulebookFields!A2:A1898, 0))="")=TRUE),  "",  INDEX(RulebookFields!I2:I1898, MATCH(D974,RulebookFields!A2:A1898, 0))), "")</f>
        <v>1</v>
      </c>
      <c r="K974" s="4" t="b">
        <f>AND(((F974)=TRUE), ((J974)=TRUE))</f>
        <v>0</v>
      </c>
      <c r="L974" s="4" t="b">
        <f>AND(((G974 &lt;&gt; "plain")=TRUE), ((G974 &lt;&gt; "")=TRUE))</f>
        <v>0</v>
      </c>
      <c r="M974" s="4" t="str">
        <f>IF(((E974)=TRUE),  C974 &amp; "|" &amp; H974,  "")</f>
        <v>principal-process-steward|MessageDeliveries</v>
      </c>
      <c r="N974" s="3" t="s">
        <v>10004</v>
      </c>
    </row>
    <row r="975">
      <c r="A975" s="3" t="s">
        <v>10977</v>
      </c>
      <c r="B975" s="4" t="str">
        <f>C975 &amp; " -&gt; " &amp; D975</f>
        <v>principal-process-steward -&gt; MessageDeliveries.IsTriaged</v>
      </c>
      <c r="C975" s="3" t="s">
        <v>9772</v>
      </c>
      <c r="D975" s="3" t="s">
        <v>4611</v>
      </c>
      <c r="E975" s="3" t="b">
        <v>1</v>
      </c>
      <c r="F975" s="3" t="b">
        <v>0</v>
      </c>
      <c r="G975" s="3" t="s">
        <v>10003</v>
      </c>
      <c r="H975" s="4" t="str">
        <f>_xlfn.IFNA(IF(((INDEX(RulebookFields!C2:C1898, MATCH(D975,RulebookFields!A2:A1898, 0))="")=TRUE),  "",  INDEX(RulebookFields!C2:C1898, MATCH(D975,RulebookFields!A2:A1898, 0))), "")</f>
        <v>MessageDeliveries</v>
      </c>
      <c r="I975" s="4" t="str">
        <f>_xlfn.IFNA(IF(((INDEX(RulebookFields!D2:D1898, MATCH(D975,RulebookFields!A2:A1898, 0))="")=TRUE),  "",  INDEX(RulebookFields!D2:D1898, MATCH(D975,RulebookFields!A2:A1898, 0))), "")</f>
        <v>IsTriaged</v>
      </c>
      <c r="J975" s="4" t="b">
        <f>_xlfn.IFNA(IF(((INDEX(RulebookFields!I2:I1898, MATCH(D975,RulebookFields!A2:A1898, 0))="")=TRUE),  "",  INDEX(RulebookFields!I2:I1898, MATCH(D975,RulebookFields!A2:A1898, 0))), "")</f>
        <v>1</v>
      </c>
      <c r="K975" s="4" t="b">
        <f>AND(((F975)=TRUE), ((J975)=TRUE))</f>
        <v>0</v>
      </c>
      <c r="L975" s="4" t="b">
        <f>AND(((G975 &lt;&gt; "plain")=TRUE), ((G975 &lt;&gt; "")=TRUE))</f>
        <v>0</v>
      </c>
      <c r="M975" s="4" t="str">
        <f>IF(((E975)=TRUE),  C975 &amp; "|" &amp; H975,  "")</f>
        <v>principal-process-steward|MessageDeliveries</v>
      </c>
      <c r="N975" s="3" t="s">
        <v>10004</v>
      </c>
    </row>
    <row r="976">
      <c r="A976" s="3" t="s">
        <v>10978</v>
      </c>
      <c r="B976" s="4" t="str">
        <f>C976 &amp; " -&gt; " &amp; D976</f>
        <v>principal-process-steward -&gt; MessageDeliveries.IsAbandonedFailure</v>
      </c>
      <c r="C976" s="3" t="s">
        <v>9772</v>
      </c>
      <c r="D976" s="3" t="s">
        <v>4614</v>
      </c>
      <c r="E976" s="3" t="b">
        <v>1</v>
      </c>
      <c r="F976" s="3" t="b">
        <v>0</v>
      </c>
      <c r="G976" s="3" t="s">
        <v>10003</v>
      </c>
      <c r="H976" s="4" t="str">
        <f>_xlfn.IFNA(IF(((INDEX(RulebookFields!C2:C1898, MATCH(D976,RulebookFields!A2:A1898, 0))="")=TRUE),  "",  INDEX(RulebookFields!C2:C1898, MATCH(D976,RulebookFields!A2:A1898, 0))), "")</f>
        <v>MessageDeliveries</v>
      </c>
      <c r="I976" s="4" t="str">
        <f>_xlfn.IFNA(IF(((INDEX(RulebookFields!D2:D1898, MATCH(D976,RulebookFields!A2:A1898, 0))="")=TRUE),  "",  INDEX(RulebookFields!D2:D1898, MATCH(D976,RulebookFields!A2:A1898, 0))), "")</f>
        <v>IsAbandonedFailure</v>
      </c>
      <c r="J976" s="4" t="b">
        <f>_xlfn.IFNA(IF(((INDEX(RulebookFields!I2:I1898, MATCH(D976,RulebookFields!A2:A1898, 0))="")=TRUE),  "",  INDEX(RulebookFields!I2:I1898, MATCH(D976,RulebookFields!A2:A1898, 0))), "")</f>
        <v>1</v>
      </c>
      <c r="K976" s="4" t="b">
        <f>AND(((F976)=TRUE), ((J976)=TRUE))</f>
        <v>0</v>
      </c>
      <c r="L976" s="4" t="b">
        <f>AND(((G976 &lt;&gt; "plain")=TRUE), ((G976 &lt;&gt; "")=TRUE))</f>
        <v>0</v>
      </c>
      <c r="M976" s="4" t="str">
        <f>IF(((E976)=TRUE),  C976 &amp; "|" &amp; H976,  "")</f>
        <v>principal-process-steward|MessageDeliveries</v>
      </c>
      <c r="N976" s="3" t="s">
        <v>10004</v>
      </c>
    </row>
    <row r="977">
      <c r="A977" s="3" t="s">
        <v>10979</v>
      </c>
      <c r="B977" s="4" t="str">
        <f>C977 &amp; " -&gt; " &amp; D977</f>
        <v>principal-process-steward -&gt; MessageDeliveries.AbandonedFailureExecutionKey</v>
      </c>
      <c r="C977" s="3" t="s">
        <v>9772</v>
      </c>
      <c r="D977" s="3" t="s">
        <v>4617</v>
      </c>
      <c r="E977" s="3" t="b">
        <v>1</v>
      </c>
      <c r="F977" s="3" t="b">
        <v>0</v>
      </c>
      <c r="G977" s="3" t="s">
        <v>10003</v>
      </c>
      <c r="H977" s="4" t="str">
        <f>_xlfn.IFNA(IF(((INDEX(RulebookFields!C2:C1898, MATCH(D977,RulebookFields!A2:A1898, 0))="")=TRUE),  "",  INDEX(RulebookFields!C2:C1898, MATCH(D977,RulebookFields!A2:A1898, 0))), "")</f>
        <v>MessageDeliveries</v>
      </c>
      <c r="I977" s="4" t="str">
        <f>_xlfn.IFNA(IF(((INDEX(RulebookFields!D2:D1898, MATCH(D977,RulebookFields!A2:A1898, 0))="")=TRUE),  "",  INDEX(RulebookFields!D2:D1898, MATCH(D977,RulebookFields!A2:A1898, 0))), "")</f>
        <v>AbandonedFailureExecutionKey</v>
      </c>
      <c r="J977" s="4" t="b">
        <f>_xlfn.IFNA(IF(((INDEX(RulebookFields!I2:I1898, MATCH(D977,RulebookFields!A2:A1898, 0))="")=TRUE),  "",  INDEX(RulebookFields!I2:I1898, MATCH(D977,RulebookFields!A2:A1898, 0))), "")</f>
        <v>1</v>
      </c>
      <c r="K977" s="4" t="b">
        <f>AND(((F977)=TRUE), ((J977)=TRUE))</f>
        <v>0</v>
      </c>
      <c r="L977" s="4" t="b">
        <f>AND(((G977 &lt;&gt; "plain")=TRUE), ((G977 &lt;&gt; "")=TRUE))</f>
        <v>0</v>
      </c>
      <c r="M977" s="4" t="str">
        <f>IF(((E977)=TRUE),  C977 &amp; "|" &amp; H977,  "")</f>
        <v>principal-process-steward|MessageDeliveries</v>
      </c>
      <c r="N977" s="3" t="s">
        <v>10004</v>
      </c>
    </row>
    <row r="978">
      <c r="A978" s="3" t="s">
        <v>10980</v>
      </c>
      <c r="B978" s="4" t="str">
        <f>C978 &amp; " -&gt; " &amp; D978</f>
        <v>principal-process-steward -&gt; MessageDeliveries.ReachedExecutionKey</v>
      </c>
      <c r="C978" s="3" t="s">
        <v>9772</v>
      </c>
      <c r="D978" s="3" t="s">
        <v>4620</v>
      </c>
      <c r="E978" s="3" t="b">
        <v>1</v>
      </c>
      <c r="F978" s="3" t="b">
        <v>0</v>
      </c>
      <c r="G978" s="3" t="s">
        <v>10003</v>
      </c>
      <c r="H978" s="4" t="str">
        <f>_xlfn.IFNA(IF(((INDEX(RulebookFields!C2:C1898, MATCH(D978,RulebookFields!A2:A1898, 0))="")=TRUE),  "",  INDEX(RulebookFields!C2:C1898, MATCH(D978,RulebookFields!A2:A1898, 0))), "")</f>
        <v>MessageDeliveries</v>
      </c>
      <c r="I978" s="4" t="str">
        <f>_xlfn.IFNA(IF(((INDEX(RulebookFields!D2:D1898, MATCH(D978,RulebookFields!A2:A1898, 0))="")=TRUE),  "",  INDEX(RulebookFields!D2:D1898, MATCH(D978,RulebookFields!A2:A1898, 0))), "")</f>
        <v>ReachedExecutionKey</v>
      </c>
      <c r="J978" s="4" t="b">
        <f>_xlfn.IFNA(IF(((INDEX(RulebookFields!I2:I1898, MATCH(D978,RulebookFields!A2:A1898, 0))="")=TRUE),  "",  INDEX(RulebookFields!I2:I1898, MATCH(D978,RulebookFields!A2:A1898, 0))), "")</f>
        <v>1</v>
      </c>
      <c r="K978" s="4" t="b">
        <f>AND(((F978)=TRUE), ((J978)=TRUE))</f>
        <v>0</v>
      </c>
      <c r="L978" s="4" t="b">
        <f>AND(((G978 &lt;&gt; "plain")=TRUE), ((G978 &lt;&gt; "")=TRUE))</f>
        <v>0</v>
      </c>
      <c r="M978" s="4" t="str">
        <f>IF(((E978)=TRUE),  C978 &amp; "|" &amp; H978,  "")</f>
        <v>principal-process-steward|MessageDeliveries</v>
      </c>
      <c r="N978" s="3" t="s">
        <v>10004</v>
      </c>
    </row>
    <row r="979">
      <c r="A979" s="3" t="s">
        <v>10981</v>
      </c>
      <c r="B979" s="4" t="str">
        <f>C979 &amp; " -&gt; " &amp; D979</f>
        <v>principal-process-steward -&gt; MessageDeliveries.TemplateWasSendable</v>
      </c>
      <c r="C979" s="3" t="s">
        <v>9772</v>
      </c>
      <c r="D979" s="3" t="s">
        <v>4623</v>
      </c>
      <c r="E979" s="3" t="b">
        <v>1</v>
      </c>
      <c r="F979" s="3" t="b">
        <v>0</v>
      </c>
      <c r="G979" s="3" t="s">
        <v>10003</v>
      </c>
      <c r="H979" s="4" t="str">
        <f>_xlfn.IFNA(IF(((INDEX(RulebookFields!C2:C1898, MATCH(D979,RulebookFields!A2:A1898, 0))="")=TRUE),  "",  INDEX(RulebookFields!C2:C1898, MATCH(D979,RulebookFields!A2:A1898, 0))), "")</f>
        <v>MessageDeliveries</v>
      </c>
      <c r="I979" s="4" t="str">
        <f>_xlfn.IFNA(IF(((INDEX(RulebookFields!D2:D1898, MATCH(D979,RulebookFields!A2:A1898, 0))="")=TRUE),  "",  INDEX(RulebookFields!D2:D1898, MATCH(D979,RulebookFields!A2:A1898, 0))), "")</f>
        <v>TemplateWasSendable</v>
      </c>
      <c r="J979" s="4" t="b">
        <f>_xlfn.IFNA(IF(((INDEX(RulebookFields!I2:I1898, MATCH(D979,RulebookFields!A2:A1898, 0))="")=TRUE),  "",  INDEX(RulebookFields!I2:I1898, MATCH(D979,RulebookFields!A2:A1898, 0))), "")</f>
        <v>1</v>
      </c>
      <c r="K979" s="4" t="b">
        <f>AND(((F979)=TRUE), ((J979)=TRUE))</f>
        <v>0</v>
      </c>
      <c r="L979" s="4" t="b">
        <f>AND(((G979 &lt;&gt; "plain")=TRUE), ((G979 &lt;&gt; "")=TRUE))</f>
        <v>0</v>
      </c>
      <c r="M979" s="4" t="str">
        <f>IF(((E979)=TRUE),  C979 &amp; "|" &amp; H979,  "")</f>
        <v>principal-process-steward|MessageDeliveries</v>
      </c>
      <c r="N979" s="3" t="s">
        <v>10004</v>
      </c>
    </row>
    <row r="980">
      <c r="A980" s="3" t="s">
        <v>10982</v>
      </c>
      <c r="B980" s="4" t="str">
        <f>C980 &amp; " -&gt; " &amp; D980</f>
        <v>principal-process-steward -&gt; MessageDeliveries.IsDriftedSend</v>
      </c>
      <c r="C980" s="3" t="s">
        <v>9772</v>
      </c>
      <c r="D980" s="3" t="s">
        <v>4626</v>
      </c>
      <c r="E980" s="3" t="b">
        <v>1</v>
      </c>
      <c r="F980" s="3" t="b">
        <v>0</v>
      </c>
      <c r="G980" s="3" t="s">
        <v>10003</v>
      </c>
      <c r="H980" s="4" t="str">
        <f>_xlfn.IFNA(IF(((INDEX(RulebookFields!C2:C1898, MATCH(D980,RulebookFields!A2:A1898, 0))="")=TRUE),  "",  INDEX(RulebookFields!C2:C1898, MATCH(D980,RulebookFields!A2:A1898, 0))), "")</f>
        <v>MessageDeliveries</v>
      </c>
      <c r="I980" s="4" t="str">
        <f>_xlfn.IFNA(IF(((INDEX(RulebookFields!D2:D1898, MATCH(D980,RulebookFields!A2:A1898, 0))="")=TRUE),  "",  INDEX(RulebookFields!D2:D1898, MATCH(D980,RulebookFields!A2:A1898, 0))), "")</f>
        <v>IsDriftedSend</v>
      </c>
      <c r="J980" s="4" t="b">
        <f>_xlfn.IFNA(IF(((INDEX(RulebookFields!I2:I1898, MATCH(D980,RulebookFields!A2:A1898, 0))="")=TRUE),  "",  INDEX(RulebookFields!I2:I1898, MATCH(D980,RulebookFields!A2:A1898, 0))), "")</f>
        <v>1</v>
      </c>
      <c r="K980" s="4" t="b">
        <f>AND(((F980)=TRUE), ((J980)=TRUE))</f>
        <v>0</v>
      </c>
      <c r="L980" s="4" t="b">
        <f>AND(((G980 &lt;&gt; "plain")=TRUE), ((G980 &lt;&gt; "")=TRUE))</f>
        <v>0</v>
      </c>
      <c r="M980" s="4" t="str">
        <f>IF(((E980)=TRUE),  C980 &amp; "|" &amp; H980,  "")</f>
        <v>principal-process-steward|MessageDeliveries</v>
      </c>
      <c r="N980" s="3" t="s">
        <v>10004</v>
      </c>
    </row>
    <row r="981">
      <c r="A981" s="3" t="s">
        <v>10983</v>
      </c>
      <c r="B981" s="4" t="str">
        <f>C981 &amp; " -&gt; " &amp; D981</f>
        <v>principal-process-steward -&gt; MessageDeliveries.DriftedSendTemplateKey</v>
      </c>
      <c r="C981" s="3" t="s">
        <v>9772</v>
      </c>
      <c r="D981" s="3" t="s">
        <v>4629</v>
      </c>
      <c r="E981" s="3" t="b">
        <v>1</v>
      </c>
      <c r="F981" s="3" t="b">
        <v>0</v>
      </c>
      <c r="G981" s="3" t="s">
        <v>10003</v>
      </c>
      <c r="H981" s="4" t="str">
        <f>_xlfn.IFNA(IF(((INDEX(RulebookFields!C2:C1898, MATCH(D981,RulebookFields!A2:A1898, 0))="")=TRUE),  "",  INDEX(RulebookFields!C2:C1898, MATCH(D981,RulebookFields!A2:A1898, 0))), "")</f>
        <v>MessageDeliveries</v>
      </c>
      <c r="I981" s="4" t="str">
        <f>_xlfn.IFNA(IF(((INDEX(RulebookFields!D2:D1898, MATCH(D981,RulebookFields!A2:A1898, 0))="")=TRUE),  "",  INDEX(RulebookFields!D2:D1898, MATCH(D981,RulebookFields!A2:A1898, 0))), "")</f>
        <v>DriftedSendTemplateKey</v>
      </c>
      <c r="J981" s="4" t="b">
        <f>_xlfn.IFNA(IF(((INDEX(RulebookFields!I2:I1898, MATCH(D981,RulebookFields!A2:A1898, 0))="")=TRUE),  "",  INDEX(RulebookFields!I2:I1898, MATCH(D981,RulebookFields!A2:A1898, 0))), "")</f>
        <v>1</v>
      </c>
      <c r="K981" s="4" t="b">
        <f>AND(((F981)=TRUE), ((J981)=TRUE))</f>
        <v>0</v>
      </c>
      <c r="L981" s="4" t="b">
        <f>AND(((G981 &lt;&gt; "plain")=TRUE), ((G981 &lt;&gt; "")=TRUE))</f>
        <v>0</v>
      </c>
      <c r="M981" s="4" t="str">
        <f>IF(((E981)=TRUE),  C981 &amp; "|" &amp; H981,  "")</f>
        <v>principal-process-steward|MessageDeliveries</v>
      </c>
      <c r="N981" s="3" t="s">
        <v>10004</v>
      </c>
    </row>
    <row r="982">
      <c r="A982" s="3" t="s">
        <v>10984</v>
      </c>
      <c r="B982" s="4" t="str">
        <f>C982 &amp; " -&gt; " &amp; D982</f>
        <v>principal-process-steward -&gt; MessageDeliveries.WasSentOutsideBusinessHours</v>
      </c>
      <c r="C982" s="3" t="s">
        <v>9772</v>
      </c>
      <c r="D982" s="3" t="s">
        <v>4632</v>
      </c>
      <c r="E982" s="3" t="b">
        <v>1</v>
      </c>
      <c r="F982" s="3" t="b">
        <v>0</v>
      </c>
      <c r="G982" s="3" t="s">
        <v>10003</v>
      </c>
      <c r="H982" s="4" t="str">
        <f>_xlfn.IFNA(IF(((INDEX(RulebookFields!C2:C1898, MATCH(D982,RulebookFields!A2:A1898, 0))="")=TRUE),  "",  INDEX(RulebookFields!C2:C1898, MATCH(D982,RulebookFields!A2:A1898, 0))), "")</f>
        <v>MessageDeliveries</v>
      </c>
      <c r="I982" s="4" t="str">
        <f>_xlfn.IFNA(IF(((INDEX(RulebookFields!D2:D1898, MATCH(D982,RulebookFields!A2:A1898, 0))="")=TRUE),  "",  INDEX(RulebookFields!D2:D1898, MATCH(D982,RulebookFields!A2:A1898, 0))), "")</f>
        <v>WasSentOutsideBusinessHours</v>
      </c>
      <c r="J982" s="4" t="b">
        <f>_xlfn.IFNA(IF(((INDEX(RulebookFields!I2:I1898, MATCH(D982,RulebookFields!A2:A1898, 0))="")=TRUE),  "",  INDEX(RulebookFields!I2:I1898, MATCH(D982,RulebookFields!A2:A1898, 0))), "")</f>
        <v>1</v>
      </c>
      <c r="K982" s="4" t="b">
        <f>AND(((F982)=TRUE), ((J982)=TRUE))</f>
        <v>0</v>
      </c>
      <c r="L982" s="4" t="b">
        <f>AND(((G982 &lt;&gt; "plain")=TRUE), ((G982 &lt;&gt; "")=TRUE))</f>
        <v>0</v>
      </c>
      <c r="M982" s="4" t="str">
        <f>IF(((E982)=TRUE),  C982 &amp; "|" &amp; H982,  "")</f>
        <v>principal-process-steward|MessageDeliveries</v>
      </c>
      <c r="N982" s="3" t="s">
        <v>10004</v>
      </c>
    </row>
    <row r="983">
      <c r="A983" s="3" t="s">
        <v>10985</v>
      </c>
      <c r="B983" s="4" t="str">
        <f>C983 &amp; " -&gt; " &amp; D983</f>
        <v>principal-process-steward -&gt; MessageDeliveries.WasDeliveredAndUnanswered</v>
      </c>
      <c r="C983" s="3" t="s">
        <v>9772</v>
      </c>
      <c r="D983" s="3" t="s">
        <v>4635</v>
      </c>
      <c r="E983" s="3" t="b">
        <v>1</v>
      </c>
      <c r="F983" s="3" t="b">
        <v>0</v>
      </c>
      <c r="G983" s="3" t="s">
        <v>10003</v>
      </c>
      <c r="H983" s="4" t="str">
        <f>_xlfn.IFNA(IF(((INDEX(RulebookFields!C2:C1898, MATCH(D983,RulebookFields!A2:A1898, 0))="")=TRUE),  "",  INDEX(RulebookFields!C2:C1898, MATCH(D983,RulebookFields!A2:A1898, 0))), "")</f>
        <v>MessageDeliveries</v>
      </c>
      <c r="I983" s="4" t="str">
        <f>_xlfn.IFNA(IF(((INDEX(RulebookFields!D2:D1898, MATCH(D983,RulebookFields!A2:A1898, 0))="")=TRUE),  "",  INDEX(RulebookFields!D2:D1898, MATCH(D983,RulebookFields!A2:A1898, 0))), "")</f>
        <v>WasDeliveredAndUnanswered</v>
      </c>
      <c r="J983" s="4" t="b">
        <f>_xlfn.IFNA(IF(((INDEX(RulebookFields!I2:I1898, MATCH(D983,RulebookFields!A2:A1898, 0))="")=TRUE),  "",  INDEX(RulebookFields!I2:I1898, MATCH(D983,RulebookFields!A2:A1898, 0))), "")</f>
        <v>1</v>
      </c>
      <c r="K983" s="4" t="b">
        <f>AND(((F983)=TRUE), ((J983)=TRUE))</f>
        <v>0</v>
      </c>
      <c r="L983" s="4" t="b">
        <f>AND(((G983 &lt;&gt; "plain")=TRUE), ((G983 &lt;&gt; "")=TRUE))</f>
        <v>0</v>
      </c>
      <c r="M983" s="4" t="str">
        <f>IF(((E983)=TRUE),  C983 &amp; "|" &amp; H983,  "")</f>
        <v>principal-process-steward|MessageDeliveries</v>
      </c>
      <c r="N983" s="3" t="s">
        <v>10004</v>
      </c>
    </row>
    <row r="984">
      <c r="A984" s="3" t="s">
        <v>10986</v>
      </c>
      <c r="B984" s="4" t="str">
        <f>C984 &amp; " -&gt; " &amp; D984</f>
        <v>principal-process-steward -&gt; MessageDeliveries.IsPoorlyTimedUnanswered</v>
      </c>
      <c r="C984" s="3" t="s">
        <v>9772</v>
      </c>
      <c r="D984" s="3" t="s">
        <v>4638</v>
      </c>
      <c r="E984" s="3" t="b">
        <v>1</v>
      </c>
      <c r="F984" s="3" t="b">
        <v>0</v>
      </c>
      <c r="G984" s="3" t="s">
        <v>10003</v>
      </c>
      <c r="H984" s="4" t="str">
        <f>_xlfn.IFNA(IF(((INDEX(RulebookFields!C2:C1898, MATCH(D984,RulebookFields!A2:A1898, 0))="")=TRUE),  "",  INDEX(RulebookFields!C2:C1898, MATCH(D984,RulebookFields!A2:A1898, 0))), "")</f>
        <v>MessageDeliveries</v>
      </c>
      <c r="I984" s="4" t="str">
        <f>_xlfn.IFNA(IF(((INDEX(RulebookFields!D2:D1898, MATCH(D984,RulebookFields!A2:A1898, 0))="")=TRUE),  "",  INDEX(RulebookFields!D2:D1898, MATCH(D984,RulebookFields!A2:A1898, 0))), "")</f>
        <v>IsPoorlyTimedUnanswered</v>
      </c>
      <c r="J984" s="4" t="b">
        <f>_xlfn.IFNA(IF(((INDEX(RulebookFields!I2:I1898, MATCH(D984,RulebookFields!A2:A1898, 0))="")=TRUE),  "",  INDEX(RulebookFields!I2:I1898, MATCH(D984,RulebookFields!A2:A1898, 0))), "")</f>
        <v>1</v>
      </c>
      <c r="K984" s="4" t="b">
        <f>AND(((F984)=TRUE), ((J984)=TRUE))</f>
        <v>0</v>
      </c>
      <c r="L984" s="4" t="b">
        <f>AND(((G984 &lt;&gt; "plain")=TRUE), ((G984 &lt;&gt; "")=TRUE))</f>
        <v>0</v>
      </c>
      <c r="M984" s="4" t="str">
        <f>IF(((E984)=TRUE),  C984 &amp; "|" &amp; H984,  "")</f>
        <v>principal-process-steward|MessageDeliveries</v>
      </c>
      <c r="N984" s="3" t="s">
        <v>10004</v>
      </c>
    </row>
    <row r="985">
      <c r="A985" s="3" t="s">
        <v>10987</v>
      </c>
      <c r="B985" s="4" t="str">
        <f>C985 &amp; " -&gt; " &amp; D985</f>
        <v>principal-process-steward -&gt; MessageDeliveries.IsWellTimedUnanswered</v>
      </c>
      <c r="C985" s="3" t="s">
        <v>9772</v>
      </c>
      <c r="D985" s="3" t="s">
        <v>4641</v>
      </c>
      <c r="E985" s="3" t="b">
        <v>1</v>
      </c>
      <c r="F985" s="3" t="b">
        <v>0</v>
      </c>
      <c r="G985" s="3" t="s">
        <v>10003</v>
      </c>
      <c r="H985" s="4" t="str">
        <f>_xlfn.IFNA(IF(((INDEX(RulebookFields!C2:C1898, MATCH(D985,RulebookFields!A2:A1898, 0))="")=TRUE),  "",  INDEX(RulebookFields!C2:C1898, MATCH(D985,RulebookFields!A2:A1898, 0))), "")</f>
        <v>MessageDeliveries</v>
      </c>
      <c r="I985" s="4" t="str">
        <f>_xlfn.IFNA(IF(((INDEX(RulebookFields!D2:D1898, MATCH(D985,RulebookFields!A2:A1898, 0))="")=TRUE),  "",  INDEX(RulebookFields!D2:D1898, MATCH(D985,RulebookFields!A2:A1898, 0))), "")</f>
        <v>IsWellTimedUnanswered</v>
      </c>
      <c r="J985" s="4" t="b">
        <f>_xlfn.IFNA(IF(((INDEX(RulebookFields!I2:I1898, MATCH(D985,RulebookFields!A2:A1898, 0))="")=TRUE),  "",  INDEX(RulebookFields!I2:I1898, MATCH(D985,RulebookFields!A2:A1898, 0))), "")</f>
        <v>1</v>
      </c>
      <c r="K985" s="4" t="b">
        <f>AND(((F985)=TRUE), ((J985)=TRUE))</f>
        <v>0</v>
      </c>
      <c r="L985" s="4" t="b">
        <f>AND(((G985 &lt;&gt; "plain")=TRUE), ((G985 &lt;&gt; "")=TRUE))</f>
        <v>0</v>
      </c>
      <c r="M985" s="4" t="str">
        <f>IF(((E985)=TRUE),  C985 &amp; "|" &amp; H985,  "")</f>
        <v>principal-process-steward|MessageDeliveries</v>
      </c>
      <c r="N985" s="3" t="s">
        <v>10004</v>
      </c>
    </row>
    <row r="986">
      <c r="A986" s="3" t="s">
        <v>10988</v>
      </c>
      <c r="B986" s="4" t="str">
        <f>C986 &amp; " -&gt; " &amp; D986</f>
        <v>principal-process-steward -&gt; MessageDeliveries.UnansweredTemplateKey</v>
      </c>
      <c r="C986" s="3" t="s">
        <v>9772</v>
      </c>
      <c r="D986" s="3" t="s">
        <v>4644</v>
      </c>
      <c r="E986" s="3" t="b">
        <v>1</v>
      </c>
      <c r="F986" s="3" t="b">
        <v>0</v>
      </c>
      <c r="G986" s="3" t="s">
        <v>10003</v>
      </c>
      <c r="H986" s="4" t="str">
        <f>_xlfn.IFNA(IF(((INDEX(RulebookFields!C2:C1898, MATCH(D986,RulebookFields!A2:A1898, 0))="")=TRUE),  "",  INDEX(RulebookFields!C2:C1898, MATCH(D986,RulebookFields!A2:A1898, 0))), "")</f>
        <v>MessageDeliveries</v>
      </c>
      <c r="I986" s="4" t="str">
        <f>_xlfn.IFNA(IF(((INDEX(RulebookFields!D2:D1898, MATCH(D986,RulebookFields!A2:A1898, 0))="")=TRUE),  "",  INDEX(RulebookFields!D2:D1898, MATCH(D986,RulebookFields!A2:A1898, 0))), "")</f>
        <v>UnansweredTemplateKey</v>
      </c>
      <c r="J986" s="4" t="b">
        <f>_xlfn.IFNA(IF(((INDEX(RulebookFields!I2:I1898, MATCH(D986,RulebookFields!A2:A1898, 0))="")=TRUE),  "",  INDEX(RulebookFields!I2:I1898, MATCH(D986,RulebookFields!A2:A1898, 0))), "")</f>
        <v>1</v>
      </c>
      <c r="K986" s="4" t="b">
        <f>AND(((F986)=TRUE), ((J986)=TRUE))</f>
        <v>0</v>
      </c>
      <c r="L986" s="4" t="b">
        <f>AND(((G986 &lt;&gt; "plain")=TRUE), ((G986 &lt;&gt; "")=TRUE))</f>
        <v>0</v>
      </c>
      <c r="M986" s="4" t="str">
        <f>IF(((E986)=TRUE),  C986 &amp; "|" &amp; H986,  "")</f>
        <v>principal-process-steward|MessageDeliveries</v>
      </c>
      <c r="N986" s="3" t="s">
        <v>10004</v>
      </c>
    </row>
    <row r="987">
      <c r="A987" s="3" t="s">
        <v>10989</v>
      </c>
      <c r="B987" s="4" t="str">
        <f>C987 &amp; " -&gt; " &amp; D987</f>
        <v>principal-process-steward -&gt; MessageDeliveries.TransmittedTemplateKey</v>
      </c>
      <c r="C987" s="3" t="s">
        <v>9772</v>
      </c>
      <c r="D987" s="3" t="s">
        <v>4647</v>
      </c>
      <c r="E987" s="3" t="b">
        <v>1</v>
      </c>
      <c r="F987" s="3" t="b">
        <v>0</v>
      </c>
      <c r="G987" s="3" t="s">
        <v>10003</v>
      </c>
      <c r="H987" s="4" t="str">
        <f>_xlfn.IFNA(IF(((INDEX(RulebookFields!C2:C1898, MATCH(D987,RulebookFields!A2:A1898, 0))="")=TRUE),  "",  INDEX(RulebookFields!C2:C1898, MATCH(D987,RulebookFields!A2:A1898, 0))), "")</f>
        <v>MessageDeliveries</v>
      </c>
      <c r="I987" s="4" t="str">
        <f>_xlfn.IFNA(IF(((INDEX(RulebookFields!D2:D1898, MATCH(D987,RulebookFields!A2:A1898, 0))="")=TRUE),  "",  INDEX(RulebookFields!D2:D1898, MATCH(D987,RulebookFields!A2:A1898, 0))), "")</f>
        <v>TransmittedTemplateKey</v>
      </c>
      <c r="J987" s="4" t="b">
        <f>_xlfn.IFNA(IF(((INDEX(RulebookFields!I2:I1898, MATCH(D987,RulebookFields!A2:A1898, 0))="")=TRUE),  "",  INDEX(RulebookFields!I2:I1898, MATCH(D987,RulebookFields!A2:A1898, 0))), "")</f>
        <v>1</v>
      </c>
      <c r="K987" s="4" t="b">
        <f>AND(((F987)=TRUE), ((J987)=TRUE))</f>
        <v>0</v>
      </c>
      <c r="L987" s="4" t="b">
        <f>AND(((G987 &lt;&gt; "plain")=TRUE), ((G987 &lt;&gt; "")=TRUE))</f>
        <v>0</v>
      </c>
      <c r="M987" s="4" t="str">
        <f>IF(((E987)=TRUE),  C987 &amp; "|" &amp; H987,  "")</f>
        <v>principal-process-steward|MessageDeliveries</v>
      </c>
      <c r="N987" s="3" t="s">
        <v>10004</v>
      </c>
    </row>
    <row r="988">
      <c r="A988" s="3" t="s">
        <v>10990</v>
      </c>
      <c r="B988" s="4" t="str">
        <f>C988 &amp; " -&gt; " &amp; D988</f>
        <v>principal-process-steward -&gt; MessageDeliveries.ApprovingAgentAtSend</v>
      </c>
      <c r="C988" s="3" t="s">
        <v>9772</v>
      </c>
      <c r="D988" s="3" t="s">
        <v>4650</v>
      </c>
      <c r="E988" s="3" t="b">
        <v>1</v>
      </c>
      <c r="F988" s="3" t="b">
        <v>0</v>
      </c>
      <c r="G988" s="3" t="s">
        <v>10003</v>
      </c>
      <c r="H988" s="4" t="str">
        <f>_xlfn.IFNA(IF(((INDEX(RulebookFields!C2:C1898, MATCH(D988,RulebookFields!A2:A1898, 0))="")=TRUE),  "",  INDEX(RulebookFields!C2:C1898, MATCH(D988,RulebookFields!A2:A1898, 0))), "")</f>
        <v>MessageDeliveries</v>
      </c>
      <c r="I988" s="4" t="str">
        <f>_xlfn.IFNA(IF(((INDEX(RulebookFields!D2:D1898, MATCH(D988,RulebookFields!A2:A1898, 0))="")=TRUE),  "",  INDEX(RulebookFields!D2:D1898, MATCH(D988,RulebookFields!A2:A1898, 0))), "")</f>
        <v>ApprovingAgentAtSend</v>
      </c>
      <c r="J988" s="4" t="b">
        <f>_xlfn.IFNA(IF(((INDEX(RulebookFields!I2:I1898, MATCH(D988,RulebookFields!A2:A1898, 0))="")=TRUE),  "",  INDEX(RulebookFields!I2:I1898, MATCH(D988,RulebookFields!A2:A1898, 0))), "")</f>
        <v>0</v>
      </c>
      <c r="K988" s="4" t="b">
        <f>AND(((F988)=TRUE), ((J988)=TRUE))</f>
        <v>0</v>
      </c>
      <c r="L988" s="4" t="b">
        <f>AND(((G988 &lt;&gt; "plain")=TRUE), ((G988 &lt;&gt; "")=TRUE))</f>
        <v>0</v>
      </c>
      <c r="M988" s="4" t="str">
        <f>IF(((E988)=TRUE),  C988 &amp; "|" &amp; H988,  "")</f>
        <v>principal-process-steward|MessageDeliveries</v>
      </c>
      <c r="N988" s="3" t="s">
        <v>10004</v>
      </c>
    </row>
    <row r="989">
      <c r="A989" s="3" t="s">
        <v>10991</v>
      </c>
      <c r="B989" s="4" t="str">
        <f>C989 &amp; " -&gt; " &amp; D989</f>
        <v>principal-process-steward -&gt; MessageDeliveries.ApprovingRoleAtSend</v>
      </c>
      <c r="C989" s="3" t="s">
        <v>9772</v>
      </c>
      <c r="D989" s="3" t="s">
        <v>4652</v>
      </c>
      <c r="E989" s="3" t="b">
        <v>1</v>
      </c>
      <c r="F989" s="3" t="b">
        <v>0</v>
      </c>
      <c r="G989" s="3" t="s">
        <v>10003</v>
      </c>
      <c r="H989" s="4" t="str">
        <f>_xlfn.IFNA(IF(((INDEX(RulebookFields!C2:C1898, MATCH(D989,RulebookFields!A2:A1898, 0))="")=TRUE),  "",  INDEX(RulebookFields!C2:C1898, MATCH(D989,RulebookFields!A2:A1898, 0))), "")</f>
        <v>MessageDeliveries</v>
      </c>
      <c r="I989" s="4" t="str">
        <f>_xlfn.IFNA(IF(((INDEX(RulebookFields!D2:D1898, MATCH(D989,RulebookFields!A2:A1898, 0))="")=TRUE),  "",  INDEX(RulebookFields!D2:D1898, MATCH(D989,RulebookFields!A2:A1898, 0))), "")</f>
        <v>ApprovingRoleAtSend</v>
      </c>
      <c r="J989" s="4" t="b">
        <f>_xlfn.IFNA(IF(((INDEX(RulebookFields!I2:I1898, MATCH(D989,RulebookFields!A2:A1898, 0))="")=TRUE),  "",  INDEX(RulebookFields!I2:I1898, MATCH(D989,RulebookFields!A2:A1898, 0))), "")</f>
        <v>0</v>
      </c>
      <c r="K989" s="4" t="b">
        <f>AND(((F989)=TRUE), ((J989)=TRUE))</f>
        <v>0</v>
      </c>
      <c r="L989" s="4" t="b">
        <f>AND(((G989 &lt;&gt; "plain")=TRUE), ((G989 &lt;&gt; "")=TRUE))</f>
        <v>0</v>
      </c>
      <c r="M989" s="4" t="str">
        <f>IF(((E989)=TRUE),  C989 &amp; "|" &amp; H989,  "")</f>
        <v>principal-process-steward|MessageDeliveries</v>
      </c>
      <c r="N989" s="3" t="s">
        <v>10004</v>
      </c>
    </row>
    <row r="990">
      <c r="A990" s="3" t="s">
        <v>10992</v>
      </c>
      <c r="B990" s="4" t="str">
        <f>C990 &amp; " -&gt; " &amp; D990</f>
        <v>principal-process-steward -&gt; MessageDeliveries.ApprovalDecidedAtSend</v>
      </c>
      <c r="C990" s="3" t="s">
        <v>9772</v>
      </c>
      <c r="D990" s="3" t="s">
        <v>4654</v>
      </c>
      <c r="E990" s="3" t="b">
        <v>1</v>
      </c>
      <c r="F990" s="3" t="b">
        <v>0</v>
      </c>
      <c r="G990" s="3" t="s">
        <v>10003</v>
      </c>
      <c r="H990" s="4" t="str">
        <f>_xlfn.IFNA(IF(((INDEX(RulebookFields!C2:C1898, MATCH(D990,RulebookFields!A2:A1898, 0))="")=TRUE),  "",  INDEX(RulebookFields!C2:C1898, MATCH(D990,RulebookFields!A2:A1898, 0))), "")</f>
        <v>MessageDeliveries</v>
      </c>
      <c r="I990" s="4" t="str">
        <f>_xlfn.IFNA(IF(((INDEX(RulebookFields!D2:D1898, MATCH(D990,RulebookFields!A2:A1898, 0))="")=TRUE),  "",  INDEX(RulebookFields!D2:D1898, MATCH(D990,RulebookFields!A2:A1898, 0))), "")</f>
        <v>ApprovalDecidedAtSend</v>
      </c>
      <c r="J990" s="4" t="b">
        <f>_xlfn.IFNA(IF(((INDEX(RulebookFields!I2:I1898, MATCH(D990,RulebookFields!A2:A1898, 0))="")=TRUE),  "",  INDEX(RulebookFields!I2:I1898, MATCH(D990,RulebookFields!A2:A1898, 0))), "")</f>
        <v>0</v>
      </c>
      <c r="K990" s="4" t="b">
        <f>AND(((F990)=TRUE), ((J990)=TRUE))</f>
        <v>0</v>
      </c>
      <c r="L990" s="4" t="b">
        <f>AND(((G990 &lt;&gt; "plain")=TRUE), ((G990 &lt;&gt; "")=TRUE))</f>
        <v>0</v>
      </c>
      <c r="M990" s="4" t="str">
        <f>IF(((E990)=TRUE),  C990 &amp; "|" &amp; H990,  "")</f>
        <v>principal-process-steward|MessageDeliveries</v>
      </c>
      <c r="N990" s="3" t="s">
        <v>10004</v>
      </c>
    </row>
    <row r="991">
      <c r="A991" s="3" t="s">
        <v>10993</v>
      </c>
      <c r="B991" s="4" t="str">
        <f>C991 &amp; " -&gt; " &amp; D991</f>
        <v>principal-process-steward -&gt; MessageDeliveries.ApprovalPrecededSend</v>
      </c>
      <c r="C991" s="3" t="s">
        <v>9772</v>
      </c>
      <c r="D991" s="3" t="s">
        <v>4656</v>
      </c>
      <c r="E991" s="3" t="b">
        <v>1</v>
      </c>
      <c r="F991" s="3" t="b">
        <v>0</v>
      </c>
      <c r="G991" s="3" t="s">
        <v>10003</v>
      </c>
      <c r="H991" s="4" t="str">
        <f>_xlfn.IFNA(IF(((INDEX(RulebookFields!C2:C1898, MATCH(D991,RulebookFields!A2:A1898, 0))="")=TRUE),  "",  INDEX(RulebookFields!C2:C1898, MATCH(D991,RulebookFields!A2:A1898, 0))), "")</f>
        <v>MessageDeliveries</v>
      </c>
      <c r="I991" s="4" t="str">
        <f>_xlfn.IFNA(IF(((INDEX(RulebookFields!D2:D1898, MATCH(D991,RulebookFields!A2:A1898, 0))="")=TRUE),  "",  INDEX(RulebookFields!D2:D1898, MATCH(D991,RulebookFields!A2:A1898, 0))), "")</f>
        <v>ApprovalPrecededSend</v>
      </c>
      <c r="J991" s="4" t="b">
        <f>_xlfn.IFNA(IF(((INDEX(RulebookFields!I2:I1898, MATCH(D991,RulebookFields!A2:A1898, 0))="")=TRUE),  "",  INDEX(RulebookFields!I2:I1898, MATCH(D991,RulebookFields!A2:A1898, 0))), "")</f>
        <v>1</v>
      </c>
      <c r="K991" s="4" t="b">
        <f>AND(((F991)=TRUE), ((J991)=TRUE))</f>
        <v>0</v>
      </c>
      <c r="L991" s="4" t="b">
        <f>AND(((G991 &lt;&gt; "plain")=TRUE), ((G991 &lt;&gt; "")=TRUE))</f>
        <v>0</v>
      </c>
      <c r="M991" s="4" t="str">
        <f>IF(((E991)=TRUE),  C991 &amp; "|" &amp; H991,  "")</f>
        <v>principal-process-steward|MessageDeliveries</v>
      </c>
      <c r="N991" s="3" t="s">
        <v>10004</v>
      </c>
    </row>
    <row r="992">
      <c r="A992" s="3" t="s">
        <v>10994</v>
      </c>
      <c r="B992" s="4" t="str">
        <f>C992 &amp; " -&gt; " &amp; D992</f>
        <v>principal-process-steward -&gt; MessageDeliveries.HasFrozenApprovalEvidence</v>
      </c>
      <c r="C992" s="3" t="s">
        <v>9772</v>
      </c>
      <c r="D992" s="3" t="s">
        <v>4659</v>
      </c>
      <c r="E992" s="3" t="b">
        <v>1</v>
      </c>
      <c r="F992" s="3" t="b">
        <v>0</v>
      </c>
      <c r="G992" s="3" t="s">
        <v>10003</v>
      </c>
      <c r="H992" s="4" t="str">
        <f>_xlfn.IFNA(IF(((INDEX(RulebookFields!C2:C1898, MATCH(D992,RulebookFields!A2:A1898, 0))="")=TRUE),  "",  INDEX(RulebookFields!C2:C1898, MATCH(D992,RulebookFields!A2:A1898, 0))), "")</f>
        <v>MessageDeliveries</v>
      </c>
      <c r="I992" s="4" t="str">
        <f>_xlfn.IFNA(IF(((INDEX(RulebookFields!D2:D1898, MATCH(D992,RulebookFields!A2:A1898, 0))="")=TRUE),  "",  INDEX(RulebookFields!D2:D1898, MATCH(D992,RulebookFields!A2:A1898, 0))), "")</f>
        <v>HasFrozenApprovalEvidence</v>
      </c>
      <c r="J992" s="4" t="b">
        <f>_xlfn.IFNA(IF(((INDEX(RulebookFields!I2:I1898, MATCH(D992,RulebookFields!A2:A1898, 0))="")=TRUE),  "",  INDEX(RulebookFields!I2:I1898, MATCH(D992,RulebookFields!A2:A1898, 0))), "")</f>
        <v>1</v>
      </c>
      <c r="K992" s="4" t="b">
        <f>AND(((F992)=TRUE), ((J992)=TRUE))</f>
        <v>0</v>
      </c>
      <c r="L992" s="4" t="b">
        <f>AND(((G992 &lt;&gt; "plain")=TRUE), ((G992 &lt;&gt; "")=TRUE))</f>
        <v>0</v>
      </c>
      <c r="M992" s="4" t="str">
        <f>IF(((E992)=TRUE),  C992 &amp; "|" &amp; H992,  "")</f>
        <v>principal-process-steward|MessageDeliveries</v>
      </c>
      <c r="N992" s="3" t="s">
        <v>10004</v>
      </c>
    </row>
    <row r="993">
      <c r="A993" s="3" t="s">
        <v>10995</v>
      </c>
      <c r="B993" s="4" t="str">
        <f>C993 &amp; " -&gt; " &amp; D993</f>
        <v>principal-process-steward -&gt; MessageDeliveries.ProvenanceIsLiveDerived</v>
      </c>
      <c r="C993" s="3" t="s">
        <v>9772</v>
      </c>
      <c r="D993" s="3" t="s">
        <v>4662</v>
      </c>
      <c r="E993" s="3" t="b">
        <v>1</v>
      </c>
      <c r="F993" s="3" t="b">
        <v>0</v>
      </c>
      <c r="G993" s="3" t="s">
        <v>10003</v>
      </c>
      <c r="H993" s="4" t="str">
        <f>_xlfn.IFNA(IF(((INDEX(RulebookFields!C2:C1898, MATCH(D993,RulebookFields!A2:A1898, 0))="")=TRUE),  "",  INDEX(RulebookFields!C2:C1898, MATCH(D993,RulebookFields!A2:A1898, 0))), "")</f>
        <v>MessageDeliveries</v>
      </c>
      <c r="I993" s="4" t="str">
        <f>_xlfn.IFNA(IF(((INDEX(RulebookFields!D2:D1898, MATCH(D993,RulebookFields!A2:A1898, 0))="")=TRUE),  "",  INDEX(RulebookFields!D2:D1898, MATCH(D993,RulebookFields!A2:A1898, 0))), "")</f>
        <v>ProvenanceIsLiveDerived</v>
      </c>
      <c r="J993" s="4" t="b">
        <f>_xlfn.IFNA(IF(((INDEX(RulebookFields!I2:I1898, MATCH(D993,RulebookFields!A2:A1898, 0))="")=TRUE),  "",  INDEX(RulebookFields!I2:I1898, MATCH(D993,RulebookFields!A2:A1898, 0))), "")</f>
        <v>1</v>
      </c>
      <c r="K993" s="4" t="b">
        <f>AND(((F993)=TRUE), ((J993)=TRUE))</f>
        <v>0</v>
      </c>
      <c r="L993" s="4" t="b">
        <f>AND(((G993 &lt;&gt; "plain")=TRUE), ((G993 &lt;&gt; "")=TRUE))</f>
        <v>0</v>
      </c>
      <c r="M993" s="4" t="str">
        <f>IF(((E993)=TRUE),  C993 &amp; "|" &amp; H993,  "")</f>
        <v>principal-process-steward|MessageDeliveries</v>
      </c>
      <c r="N993" s="3" t="s">
        <v>10004</v>
      </c>
    </row>
    <row r="994">
      <c r="A994" s="3" t="s">
        <v>10996</v>
      </c>
      <c r="B994" s="4" t="str">
        <f>C994 &amp; " -&gt; " &amp; D994</f>
        <v>principal-process-steward -&gt; MessageDeliveries.CurrentLastApprovalAt</v>
      </c>
      <c r="C994" s="3" t="s">
        <v>9772</v>
      </c>
      <c r="D994" s="3" t="s">
        <v>4665</v>
      </c>
      <c r="E994" s="3" t="b">
        <v>1</v>
      </c>
      <c r="F994" s="3" t="b">
        <v>0</v>
      </c>
      <c r="G994" s="3" t="s">
        <v>10003</v>
      </c>
      <c r="H994" s="4" t="str">
        <f>_xlfn.IFNA(IF(((INDEX(RulebookFields!C2:C1898, MATCH(D994,RulebookFields!A2:A1898, 0))="")=TRUE),  "",  INDEX(RulebookFields!C2:C1898, MATCH(D994,RulebookFields!A2:A1898, 0))), "")</f>
        <v>MessageDeliveries</v>
      </c>
      <c r="I994" s="4" t="str">
        <f>_xlfn.IFNA(IF(((INDEX(RulebookFields!D2:D1898, MATCH(D994,RulebookFields!A2:A1898, 0))="")=TRUE),  "",  INDEX(RulebookFields!D2:D1898, MATCH(D994,RulebookFields!A2:A1898, 0))), "")</f>
        <v>CurrentLastApprovalAt</v>
      </c>
      <c r="J994" s="4" t="b">
        <f>_xlfn.IFNA(IF(((INDEX(RulebookFields!I2:I1898, MATCH(D994,RulebookFields!A2:A1898, 0))="")=TRUE),  "",  INDEX(RulebookFields!I2:I1898, MATCH(D994,RulebookFields!A2:A1898, 0))), "")</f>
        <v>1</v>
      </c>
      <c r="K994" s="4" t="b">
        <f>AND(((F994)=TRUE), ((J994)=TRUE))</f>
        <v>0</v>
      </c>
      <c r="L994" s="4" t="b">
        <f>AND(((G994 &lt;&gt; "plain")=TRUE), ((G994 &lt;&gt; "")=TRUE))</f>
        <v>0</v>
      </c>
      <c r="M994" s="4" t="str">
        <f>IF(((E994)=TRUE),  C994 &amp; "|" &amp; H994,  "")</f>
        <v>principal-process-steward|MessageDeliveries</v>
      </c>
      <c r="N994" s="3" t="s">
        <v>10004</v>
      </c>
    </row>
    <row r="995">
      <c r="A995" s="3" t="s">
        <v>10997</v>
      </c>
      <c r="B995" s="4" t="str">
        <f>C995 &amp; " -&gt; " &amp; D995</f>
        <v>principal-process-steward -&gt; MessageDeliveries.TemplateReapprovedSinceSend</v>
      </c>
      <c r="C995" s="3" t="s">
        <v>9772</v>
      </c>
      <c r="D995" s="3" t="s">
        <v>4668</v>
      </c>
      <c r="E995" s="3" t="b">
        <v>1</v>
      </c>
      <c r="F995" s="3" t="b">
        <v>0</v>
      </c>
      <c r="G995" s="3" t="s">
        <v>10003</v>
      </c>
      <c r="H995" s="4" t="str">
        <f>_xlfn.IFNA(IF(((INDEX(RulebookFields!C2:C1898, MATCH(D995,RulebookFields!A2:A1898, 0))="")=TRUE),  "",  INDEX(RulebookFields!C2:C1898, MATCH(D995,RulebookFields!A2:A1898, 0))), "")</f>
        <v>MessageDeliveries</v>
      </c>
      <c r="I995" s="4" t="str">
        <f>_xlfn.IFNA(IF(((INDEX(RulebookFields!D2:D1898, MATCH(D995,RulebookFields!A2:A1898, 0))="")=TRUE),  "",  INDEX(RulebookFields!D2:D1898, MATCH(D995,RulebookFields!A2:A1898, 0))), "")</f>
        <v>TemplateReapprovedSinceSend</v>
      </c>
      <c r="J995" s="4" t="b">
        <f>_xlfn.IFNA(IF(((INDEX(RulebookFields!I2:I1898, MATCH(D995,RulebookFields!A2:A1898, 0))="")=TRUE),  "",  INDEX(RulebookFields!I2:I1898, MATCH(D995,RulebookFields!A2:A1898, 0))), "")</f>
        <v>1</v>
      </c>
      <c r="K995" s="4" t="b">
        <f>AND(((F995)=TRUE), ((J995)=TRUE))</f>
        <v>0</v>
      </c>
      <c r="L995" s="4" t="b">
        <f>AND(((G995 &lt;&gt; "plain")=TRUE), ((G995 &lt;&gt; "")=TRUE))</f>
        <v>0</v>
      </c>
      <c r="M995" s="4" t="str">
        <f>IF(((E995)=TRUE),  C995 &amp; "|" &amp; H995,  "")</f>
        <v>principal-process-steward|MessageDeliveries</v>
      </c>
      <c r="N995" s="3" t="s">
        <v>10004</v>
      </c>
    </row>
    <row r="996">
      <c r="A996" s="3" t="s">
        <v>10998</v>
      </c>
      <c r="B996" s="4" t="str">
        <f>C996 &amp; " -&gt; " &amp; D996</f>
        <v>principal-process-steward -&gt; MessageDeliveries.IsUnprovableApprovalClaim</v>
      </c>
      <c r="C996" s="3" t="s">
        <v>9772</v>
      </c>
      <c r="D996" s="3" t="s">
        <v>4671</v>
      </c>
      <c r="E996" s="3" t="b">
        <v>1</v>
      </c>
      <c r="F996" s="3" t="b">
        <v>0</v>
      </c>
      <c r="G996" s="3" t="s">
        <v>10003</v>
      </c>
      <c r="H996" s="4" t="str">
        <f>_xlfn.IFNA(IF(((INDEX(RulebookFields!C2:C1898, MATCH(D996,RulebookFields!A2:A1898, 0))="")=TRUE),  "",  INDEX(RulebookFields!C2:C1898, MATCH(D996,RulebookFields!A2:A1898, 0))), "")</f>
        <v>MessageDeliveries</v>
      </c>
      <c r="I996" s="4" t="str">
        <f>_xlfn.IFNA(IF(((INDEX(RulebookFields!D2:D1898, MATCH(D996,RulebookFields!A2:A1898, 0))="")=TRUE),  "",  INDEX(RulebookFields!D2:D1898, MATCH(D996,RulebookFields!A2:A1898, 0))), "")</f>
        <v>IsUnprovableApprovalClaim</v>
      </c>
      <c r="J996" s="4" t="b">
        <f>_xlfn.IFNA(IF(((INDEX(RulebookFields!I2:I1898, MATCH(D996,RulebookFields!A2:A1898, 0))="")=TRUE),  "",  INDEX(RulebookFields!I2:I1898, MATCH(D996,RulebookFields!A2:A1898, 0))), "")</f>
        <v>1</v>
      </c>
      <c r="K996" s="4" t="b">
        <f>AND(((F996)=TRUE), ((J996)=TRUE))</f>
        <v>0</v>
      </c>
      <c r="L996" s="4" t="b">
        <f>AND(((G996 &lt;&gt; "plain")=TRUE), ((G996 &lt;&gt; "")=TRUE))</f>
        <v>0</v>
      </c>
      <c r="M996" s="4" t="str">
        <f>IF(((E996)=TRUE),  C996 &amp; "|" &amp; H996,  "")</f>
        <v>principal-process-steward|MessageDeliveries</v>
      </c>
      <c r="N996" s="3" t="s">
        <v>10004</v>
      </c>
    </row>
    <row r="997">
      <c r="A997" s="3" t="s">
        <v>10999</v>
      </c>
      <c r="B997" s="4" t="str">
        <f>C997 &amp; " -&gt; " &amp; D997</f>
        <v>principal-process-steward -&gt; MessageDeliveries.ReminderSentAt</v>
      </c>
      <c r="C997" s="3" t="s">
        <v>9772</v>
      </c>
      <c r="D997" s="3" t="s">
        <v>4674</v>
      </c>
      <c r="E997" s="3" t="b">
        <v>1</v>
      </c>
      <c r="F997" s="3" t="b">
        <v>0</v>
      </c>
      <c r="G997" s="3" t="s">
        <v>10003</v>
      </c>
      <c r="H997" s="4" t="str">
        <f>_xlfn.IFNA(IF(((INDEX(RulebookFields!C2:C1898, MATCH(D997,RulebookFields!A2:A1898, 0))="")=TRUE),  "",  INDEX(RulebookFields!C2:C1898, MATCH(D997,RulebookFields!A2:A1898, 0))), "")</f>
        <v>MessageDeliveries</v>
      </c>
      <c r="I997" s="4" t="str">
        <f>_xlfn.IFNA(IF(((INDEX(RulebookFields!D2:D1898, MATCH(D997,RulebookFields!A2:A1898, 0))="")=TRUE),  "",  INDEX(RulebookFields!D2:D1898, MATCH(D997,RulebookFields!A2:A1898, 0))), "")</f>
        <v>ReminderSentAt</v>
      </c>
      <c r="J997" s="4" t="b">
        <f>_xlfn.IFNA(IF(((INDEX(RulebookFields!I2:I1898, MATCH(D997,RulebookFields!A2:A1898, 0))="")=TRUE),  "",  INDEX(RulebookFields!I2:I1898, MATCH(D997,RulebookFields!A2:A1898, 0))), "")</f>
        <v>0</v>
      </c>
      <c r="K997" s="4" t="b">
        <f>AND(((F997)=TRUE), ((J997)=TRUE))</f>
        <v>0</v>
      </c>
      <c r="L997" s="4" t="b">
        <f>AND(((G997 &lt;&gt; "plain")=TRUE), ((G997 &lt;&gt; "")=TRUE))</f>
        <v>0</v>
      </c>
      <c r="M997" s="4" t="str">
        <f>IF(((E997)=TRUE),  C997 &amp; "|" &amp; H997,  "")</f>
        <v>principal-process-steward|MessageDeliveries</v>
      </c>
      <c r="N997" s="3" t="s">
        <v>10004</v>
      </c>
    </row>
    <row r="998">
      <c r="A998" s="3" t="s">
        <v>11000</v>
      </c>
      <c r="B998" s="4" t="str">
        <f>C998 &amp; " -&gt; " &amp; D998</f>
        <v>principal-process-steward -&gt; MessageDeliveries.ReminderCount</v>
      </c>
      <c r="C998" s="3" t="s">
        <v>9772</v>
      </c>
      <c r="D998" s="3" t="s">
        <v>4676</v>
      </c>
      <c r="E998" s="3" t="b">
        <v>1</v>
      </c>
      <c r="F998" s="3" t="b">
        <v>0</v>
      </c>
      <c r="G998" s="3" t="s">
        <v>10003</v>
      </c>
      <c r="H998" s="4" t="str">
        <f>_xlfn.IFNA(IF(((INDEX(RulebookFields!C2:C1898, MATCH(D998,RulebookFields!A2:A1898, 0))="")=TRUE),  "",  INDEX(RulebookFields!C2:C1898, MATCH(D998,RulebookFields!A2:A1898, 0))), "")</f>
        <v>MessageDeliveries</v>
      </c>
      <c r="I998" s="4" t="str">
        <f>_xlfn.IFNA(IF(((INDEX(RulebookFields!D2:D1898, MATCH(D998,RulebookFields!A2:A1898, 0))="")=TRUE),  "",  INDEX(RulebookFields!D2:D1898, MATCH(D998,RulebookFields!A2:A1898, 0))), "")</f>
        <v>ReminderCount</v>
      </c>
      <c r="J998" s="4" t="b">
        <f>_xlfn.IFNA(IF(((INDEX(RulebookFields!I2:I1898, MATCH(D998,RulebookFields!A2:A1898, 0))="")=TRUE),  "",  INDEX(RulebookFields!I2:I1898, MATCH(D998,RulebookFields!A2:A1898, 0))), "")</f>
        <v>0</v>
      </c>
      <c r="K998" s="4" t="b">
        <f>AND(((F998)=TRUE), ((J998)=TRUE))</f>
        <v>0</v>
      </c>
      <c r="L998" s="4" t="b">
        <f>AND(((G998 &lt;&gt; "plain")=TRUE), ((G998 &lt;&gt; "")=TRUE))</f>
        <v>0</v>
      </c>
      <c r="M998" s="4" t="str">
        <f>IF(((E998)=TRUE),  C998 &amp; "|" &amp; H998,  "")</f>
        <v>principal-process-steward|MessageDeliveries</v>
      </c>
      <c r="N998" s="3" t="s">
        <v>10004</v>
      </c>
    </row>
    <row r="999">
      <c r="A999" s="3" t="s">
        <v>11001</v>
      </c>
      <c r="B999" s="4" t="str">
        <f>C999 &amp; " -&gt; " &amp; D999</f>
        <v>principal-process-steward -&gt; MessageDeliveries.HasSentReminder</v>
      </c>
      <c r="C999" s="3" t="s">
        <v>9772</v>
      </c>
      <c r="D999" s="3" t="s">
        <v>4678</v>
      </c>
      <c r="E999" s="3" t="b">
        <v>1</v>
      </c>
      <c r="F999" s="3" t="b">
        <v>0</v>
      </c>
      <c r="G999" s="3" t="s">
        <v>10003</v>
      </c>
      <c r="H999" s="4" t="str">
        <f>_xlfn.IFNA(IF(((INDEX(RulebookFields!C2:C1898, MATCH(D999,RulebookFields!A2:A1898, 0))="")=TRUE),  "",  INDEX(RulebookFields!C2:C1898, MATCH(D999,RulebookFields!A2:A1898, 0))), "")</f>
        <v>MessageDeliveries</v>
      </c>
      <c r="I999" s="4" t="str">
        <f>_xlfn.IFNA(IF(((INDEX(RulebookFields!D2:D1898, MATCH(D999,RulebookFields!A2:A1898, 0))="")=TRUE),  "",  INDEX(RulebookFields!D2:D1898, MATCH(D999,RulebookFields!A2:A1898, 0))), "")</f>
        <v>HasSentReminder</v>
      </c>
      <c r="J999" s="4" t="b">
        <f>_xlfn.IFNA(IF(((INDEX(RulebookFields!I2:I1898, MATCH(D999,RulebookFields!A2:A1898, 0))="")=TRUE),  "",  INDEX(RulebookFields!I2:I1898, MATCH(D999,RulebookFields!A2:A1898, 0))), "")</f>
        <v>1</v>
      </c>
      <c r="K999" s="4" t="b">
        <f>AND(((F999)=TRUE), ((J999)=TRUE))</f>
        <v>0</v>
      </c>
      <c r="L999" s="4" t="b">
        <f>AND(((G999 &lt;&gt; "plain")=TRUE), ((G999 &lt;&gt; "")=TRUE))</f>
        <v>0</v>
      </c>
      <c r="M999" s="4" t="str">
        <f>IF(((E999)=TRUE),  C999 &amp; "|" &amp; H999,  "")</f>
        <v>principal-process-steward|MessageDeliveries</v>
      </c>
      <c r="N999" s="3" t="s">
        <v>10004</v>
      </c>
    </row>
    <row r="1000">
      <c r="A1000" s="3" t="s">
        <v>11002</v>
      </c>
      <c r="B1000" s="4" t="str">
        <f>C1000 &amp; " -&gt; " &amp; D1000</f>
        <v>principal-process-steward -&gt; MessageDeliveries.AcknowledgementIsOutstanding</v>
      </c>
      <c r="C1000" s="3" t="s">
        <v>9772</v>
      </c>
      <c r="D1000" s="3" t="s">
        <v>4681</v>
      </c>
      <c r="E1000" s="3" t="b">
        <v>1</v>
      </c>
      <c r="F1000" s="3" t="b">
        <v>0</v>
      </c>
      <c r="G1000" s="3" t="s">
        <v>10003</v>
      </c>
      <c r="H1000" s="4" t="str">
        <f>_xlfn.IFNA(IF(((INDEX(RulebookFields!C2:C1898, MATCH(D1000,RulebookFields!A2:A1898, 0))="")=TRUE),  "",  INDEX(RulebookFields!C2:C1898, MATCH(D1000,RulebookFields!A2:A1898, 0))), "")</f>
        <v>MessageDeliveries</v>
      </c>
      <c r="I1000" s="4" t="str">
        <f>_xlfn.IFNA(IF(((INDEX(RulebookFields!D2:D1898, MATCH(D1000,RulebookFields!A2:A1898, 0))="")=TRUE),  "",  INDEX(RulebookFields!D2:D1898, MATCH(D1000,RulebookFields!A2:A1898, 0))), "")</f>
        <v>AcknowledgementIsOutstanding</v>
      </c>
      <c r="J1000" s="4" t="b">
        <f>_xlfn.IFNA(IF(((INDEX(RulebookFields!I2:I1898, MATCH(D1000,RulebookFields!A2:A1898, 0))="")=TRUE),  "",  INDEX(RulebookFields!I2:I1898, MATCH(D1000,RulebookFields!A2:A1898, 0))), "")</f>
        <v>1</v>
      </c>
      <c r="K1000" s="4" t="b">
        <f>AND(((F1000)=TRUE), ((J1000)=TRUE))</f>
        <v>0</v>
      </c>
      <c r="L1000" s="4" t="b">
        <f>AND(((G1000 &lt;&gt; "plain")=TRUE), ((G1000 &lt;&gt; "")=TRUE))</f>
        <v>0</v>
      </c>
      <c r="M1000" s="4" t="str">
        <f>IF(((E1000)=TRUE),  C1000 &amp; "|" &amp; H1000,  "")</f>
        <v>principal-process-steward|MessageDeliveries</v>
      </c>
      <c r="N1000" s="3" t="s">
        <v>10004</v>
      </c>
    </row>
    <row r="1001">
      <c r="A1001" s="3" t="s">
        <v>11003</v>
      </c>
      <c r="B1001" s="4" t="str">
        <f>C1001 &amp; " -&gt; " &amp; D1001</f>
        <v>principal-process-steward -&gt; MessageDeliveries.OutstandingAgeDays</v>
      </c>
      <c r="C1001" s="3" t="s">
        <v>9772</v>
      </c>
      <c r="D1001" s="3" t="s">
        <v>4684</v>
      </c>
      <c r="E1001" s="3" t="b">
        <v>1</v>
      </c>
      <c r="F1001" s="3" t="b">
        <v>0</v>
      </c>
      <c r="G1001" s="3" t="s">
        <v>10003</v>
      </c>
      <c r="H1001" s="4" t="str">
        <f>_xlfn.IFNA(IF(((INDEX(RulebookFields!C2:C1898, MATCH(D1001,RulebookFields!A2:A1898, 0))="")=TRUE),  "",  INDEX(RulebookFields!C2:C1898, MATCH(D1001,RulebookFields!A2:A1898, 0))), "")</f>
        <v>MessageDeliveries</v>
      </c>
      <c r="I1001" s="4" t="str">
        <f>_xlfn.IFNA(IF(((INDEX(RulebookFields!D2:D1898, MATCH(D1001,RulebookFields!A2:A1898, 0))="")=TRUE),  "",  INDEX(RulebookFields!D2:D1898, MATCH(D1001,RulebookFields!A2:A1898, 0))), "")</f>
        <v>OutstandingAgeDays</v>
      </c>
      <c r="J1001" s="4" t="b">
        <f>_xlfn.IFNA(IF(((INDEX(RulebookFields!I2:I1898, MATCH(D1001,RulebookFields!A2:A1898, 0))="")=TRUE),  "",  INDEX(RulebookFields!I2:I1898, MATCH(D1001,RulebookFields!A2:A1898, 0))), "")</f>
        <v>1</v>
      </c>
      <c r="K1001" s="4" t="b">
        <f>AND(((F1001)=TRUE), ((J1001)=TRUE))</f>
        <v>0</v>
      </c>
      <c r="L1001" s="4" t="b">
        <f>AND(((G1001 &lt;&gt; "plain")=TRUE), ((G1001 &lt;&gt; "")=TRUE))</f>
        <v>0</v>
      </c>
      <c r="M1001" s="4" t="str">
        <f>IF(((E1001)=TRUE),  C1001 &amp; "|" &amp; H1001,  "")</f>
        <v>principal-process-steward|MessageDeliveries</v>
      </c>
      <c r="N1001" s="3" t="s">
        <v>10004</v>
      </c>
    </row>
    <row r="1002">
      <c r="A1002" s="3" t="s">
        <v>11004</v>
      </c>
      <c r="B1002" s="4" t="str">
        <f>C1002 &amp; " -&gt; " &amp; D1002</f>
        <v>principal-process-steward -&gt; MessageDeliveries.IsUnchasedAcknowledgement</v>
      </c>
      <c r="C1002" s="3" t="s">
        <v>9772</v>
      </c>
      <c r="D1002" s="3" t="s">
        <v>4687</v>
      </c>
      <c r="E1002" s="3" t="b">
        <v>1</v>
      </c>
      <c r="F1002" s="3" t="b">
        <v>0</v>
      </c>
      <c r="G1002" s="3" t="s">
        <v>10003</v>
      </c>
      <c r="H1002" s="4" t="str">
        <f>_xlfn.IFNA(IF(((INDEX(RulebookFields!C2:C1898, MATCH(D1002,RulebookFields!A2:A1898, 0))="")=TRUE),  "",  INDEX(RulebookFields!C2:C1898, MATCH(D1002,RulebookFields!A2:A1898, 0))), "")</f>
        <v>MessageDeliveries</v>
      </c>
      <c r="I1002" s="4" t="str">
        <f>_xlfn.IFNA(IF(((INDEX(RulebookFields!D2:D1898, MATCH(D1002,RulebookFields!A2:A1898, 0))="")=TRUE),  "",  INDEX(RulebookFields!D2:D1898, MATCH(D1002,RulebookFields!A2:A1898, 0))), "")</f>
        <v>IsUnchasedAcknowledgement</v>
      </c>
      <c r="J1002" s="4" t="b">
        <f>_xlfn.IFNA(IF(((INDEX(RulebookFields!I2:I1898, MATCH(D1002,RulebookFields!A2:A1898, 0))="")=TRUE),  "",  INDEX(RulebookFields!I2:I1898, MATCH(D1002,RulebookFields!A2:A1898, 0))), "")</f>
        <v>1</v>
      </c>
      <c r="K1002" s="4" t="b">
        <f>AND(((F1002)=TRUE), ((J1002)=TRUE))</f>
        <v>0</v>
      </c>
      <c r="L1002" s="4" t="b">
        <f>AND(((G1002 &lt;&gt; "plain")=TRUE), ((G1002 &lt;&gt; "")=TRUE))</f>
        <v>0</v>
      </c>
      <c r="M1002" s="4" t="str">
        <f>IF(((E1002)=TRUE),  C1002 &amp; "|" &amp; H1002,  "")</f>
        <v>principal-process-steward|MessageDeliveries</v>
      </c>
      <c r="N1002" s="3" t="s">
        <v>10004</v>
      </c>
    </row>
    <row r="1003">
      <c r="A1003" s="3" t="s">
        <v>11005</v>
      </c>
      <c r="B1003" s="4" t="str">
        <f>C1003 &amp; " -&gt; " &amp; D1003</f>
        <v>principal-process-steward -&gt; MessageDeliveries.IsExhaustedFollowUp</v>
      </c>
      <c r="C1003" s="3" t="s">
        <v>9772</v>
      </c>
      <c r="D1003" s="3" t="s">
        <v>4690</v>
      </c>
      <c r="E1003" s="3" t="b">
        <v>1</v>
      </c>
      <c r="F1003" s="3" t="b">
        <v>0</v>
      </c>
      <c r="G1003" s="3" t="s">
        <v>10003</v>
      </c>
      <c r="H1003" s="4" t="str">
        <f>_xlfn.IFNA(IF(((INDEX(RulebookFields!C2:C1898, MATCH(D1003,RulebookFields!A2:A1898, 0))="")=TRUE),  "",  INDEX(RulebookFields!C2:C1898, MATCH(D1003,RulebookFields!A2:A1898, 0))), "")</f>
        <v>MessageDeliveries</v>
      </c>
      <c r="I1003" s="4" t="str">
        <f>_xlfn.IFNA(IF(((INDEX(RulebookFields!D2:D1898, MATCH(D1003,RulebookFields!A2:A1898, 0))="")=TRUE),  "",  INDEX(RulebookFields!D2:D1898, MATCH(D1003,RulebookFields!A2:A1898, 0))), "")</f>
        <v>IsExhaustedFollowUp</v>
      </c>
      <c r="J1003" s="4" t="b">
        <f>_xlfn.IFNA(IF(((INDEX(RulebookFields!I2:I1898, MATCH(D1003,RulebookFields!A2:A1898, 0))="")=TRUE),  "",  INDEX(RulebookFields!I2:I1898, MATCH(D1003,RulebookFields!A2:A1898, 0))), "")</f>
        <v>1</v>
      </c>
      <c r="K1003" s="4" t="b">
        <f>AND(((F1003)=TRUE), ((J1003)=TRUE))</f>
        <v>0</v>
      </c>
      <c r="L1003" s="4" t="b">
        <f>AND(((G1003 &lt;&gt; "plain")=TRUE), ((G1003 &lt;&gt; "")=TRUE))</f>
        <v>0</v>
      </c>
      <c r="M1003" s="4" t="str">
        <f>IF(((E1003)=TRUE),  C1003 &amp; "|" &amp; H1003,  "")</f>
        <v>principal-process-steward|MessageDeliveries</v>
      </c>
      <c r="N1003" s="3" t="s">
        <v>10004</v>
      </c>
    </row>
    <row r="1004">
      <c r="A1004" s="3" t="s">
        <v>11006</v>
      </c>
      <c r="B1004" s="4" t="str">
        <f>C1004 &amp; " -&gt; " &amp; D1004</f>
        <v>principal-process-steward -&gt; MessageDeliveries.NeedsHumanEscalation</v>
      </c>
      <c r="C1004" s="3" t="s">
        <v>9772</v>
      </c>
      <c r="D1004" s="3" t="s">
        <v>4693</v>
      </c>
      <c r="E1004" s="3" t="b">
        <v>1</v>
      </c>
      <c r="F1004" s="3" t="b">
        <v>0</v>
      </c>
      <c r="G1004" s="3" t="s">
        <v>10003</v>
      </c>
      <c r="H1004" s="4" t="str">
        <f>_xlfn.IFNA(IF(((INDEX(RulebookFields!C2:C1898, MATCH(D1004,RulebookFields!A2:A1898, 0))="")=TRUE),  "",  INDEX(RulebookFields!C2:C1898, MATCH(D1004,RulebookFields!A2:A1898, 0))), "")</f>
        <v>MessageDeliveries</v>
      </c>
      <c r="I1004" s="4" t="str">
        <f>_xlfn.IFNA(IF(((INDEX(RulebookFields!D2:D1898, MATCH(D1004,RulebookFields!A2:A1898, 0))="")=TRUE),  "",  INDEX(RulebookFields!D2:D1898, MATCH(D1004,RulebookFields!A2:A1898, 0))), "")</f>
        <v>NeedsHumanEscalation</v>
      </c>
      <c r="J1004" s="4" t="b">
        <f>_xlfn.IFNA(IF(((INDEX(RulebookFields!I2:I1898, MATCH(D1004,RulebookFields!A2:A1898, 0))="")=TRUE),  "",  INDEX(RulebookFields!I2:I1898, MATCH(D1004,RulebookFields!A2:A1898, 0))), "")</f>
        <v>1</v>
      </c>
      <c r="K1004" s="4" t="b">
        <f>AND(((F1004)=TRUE), ((J1004)=TRUE))</f>
        <v>0</v>
      </c>
      <c r="L1004" s="4" t="b">
        <f>AND(((G1004 &lt;&gt; "plain")=TRUE), ((G1004 &lt;&gt; "")=TRUE))</f>
        <v>0</v>
      </c>
      <c r="M1004" s="4" t="str">
        <f>IF(((E1004)=TRUE),  C1004 &amp; "|" &amp; H1004,  "")</f>
        <v>principal-process-steward|MessageDeliveries</v>
      </c>
      <c r="N1004" s="3" t="s">
        <v>10004</v>
      </c>
    </row>
    <row r="1005">
      <c r="A1005" s="3" t="s">
        <v>11007</v>
      </c>
      <c r="B1005" s="4" t="str">
        <f>C1005 &amp; " -&gt; " &amp; D1005</f>
        <v>principal-process-steward -&gt; MessageDeliveries.SemanticTypeIri</v>
      </c>
      <c r="C1005" s="3" t="s">
        <v>9772</v>
      </c>
      <c r="D1005" s="3" t="s">
        <v>4696</v>
      </c>
      <c r="E1005" s="3" t="b">
        <v>1</v>
      </c>
      <c r="F1005" s="3" t="b">
        <v>0</v>
      </c>
      <c r="G1005" s="3" t="s">
        <v>10003</v>
      </c>
      <c r="H1005" s="4" t="str">
        <f>_xlfn.IFNA(IF(((INDEX(RulebookFields!C2:C1898, MATCH(D1005,RulebookFields!A2:A1898, 0))="")=TRUE),  "",  INDEX(RulebookFields!C2:C1898, MATCH(D1005,RulebookFields!A2:A1898, 0))), "")</f>
        <v>MessageDeliveries</v>
      </c>
      <c r="I1005" s="4" t="str">
        <f>_xlfn.IFNA(IF(((INDEX(RulebookFields!D2:D1898, MATCH(D1005,RulebookFields!A2:A1898, 0))="")=TRUE),  "",  INDEX(RulebookFields!D2:D1898, MATCH(D1005,RulebookFields!A2:A1898, 0))), "")</f>
        <v>SemanticTypeIri</v>
      </c>
      <c r="J1005" s="4" t="b">
        <f>_xlfn.IFNA(IF(((INDEX(RulebookFields!I2:I1898, MATCH(D1005,RulebookFields!A2:A1898, 0))="")=TRUE),  "",  INDEX(RulebookFields!I2:I1898, MATCH(D1005,RulebookFields!A2:A1898, 0))), "")</f>
        <v>0</v>
      </c>
      <c r="K1005" s="4" t="b">
        <f>AND(((F1005)=TRUE), ((J1005)=TRUE))</f>
        <v>0</v>
      </c>
      <c r="L1005" s="4" t="b">
        <f>AND(((G1005 &lt;&gt; "plain")=TRUE), ((G1005 &lt;&gt; "")=TRUE))</f>
        <v>0</v>
      </c>
      <c r="M1005" s="4" t="str">
        <f>IF(((E1005)=TRUE),  C1005 &amp; "|" &amp; H1005,  "")</f>
        <v>principal-process-steward|MessageDeliveries</v>
      </c>
      <c r="N1005" s="3" t="s">
        <v>10004</v>
      </c>
    </row>
    <row r="1006">
      <c r="A1006" s="3" t="s">
        <v>11008</v>
      </c>
      <c r="B1006" s="4" t="str">
        <f>C1006 &amp; " -&gt; " &amp; D1006</f>
        <v>principal-process-steward -&gt; MessageTemplates.MessageTemplateId</v>
      </c>
      <c r="C1006" s="3" t="s">
        <v>9772</v>
      </c>
      <c r="D1006" s="3" t="s">
        <v>4086</v>
      </c>
      <c r="E1006" s="3" t="b">
        <v>1</v>
      </c>
      <c r="F1006" s="3" t="b">
        <v>0</v>
      </c>
      <c r="G1006" s="3" t="s">
        <v>10003</v>
      </c>
      <c r="H1006" s="4" t="str">
        <f>_xlfn.IFNA(IF(((INDEX(RulebookFields!C2:C1898, MATCH(D1006,RulebookFields!A2:A1898, 0))="")=TRUE),  "",  INDEX(RulebookFields!C2:C1898, MATCH(D1006,RulebookFields!A2:A1898, 0))), "")</f>
        <v>MessageTemplates</v>
      </c>
      <c r="I1006" s="4" t="str">
        <f>_xlfn.IFNA(IF(((INDEX(RulebookFields!D2:D1898, MATCH(D1006,RulebookFields!A2:A1898, 0))="")=TRUE),  "",  INDEX(RulebookFields!D2:D1898, MATCH(D1006,RulebookFields!A2:A1898, 0))), "")</f>
        <v>MessageTemplateId</v>
      </c>
      <c r="J1006" s="4" t="b">
        <f>_xlfn.IFNA(IF(((INDEX(RulebookFields!I2:I1898, MATCH(D1006,RulebookFields!A2:A1898, 0))="")=TRUE),  "",  INDEX(RulebookFields!I2:I1898, MATCH(D1006,RulebookFields!A2:A1898, 0))), "")</f>
        <v>0</v>
      </c>
      <c r="K1006" s="4" t="b">
        <f>AND(((F1006)=TRUE), ((J1006)=TRUE))</f>
        <v>0</v>
      </c>
      <c r="L1006" s="4" t="b">
        <f>AND(((G1006 &lt;&gt; "plain")=TRUE), ((G1006 &lt;&gt; "")=TRUE))</f>
        <v>0</v>
      </c>
      <c r="M1006" s="4" t="str">
        <f>IF(((E1006)=TRUE),  C1006 &amp; "|" &amp; H1006,  "")</f>
        <v>principal-process-steward|MessageTemplates</v>
      </c>
      <c r="N1006" s="3" t="s">
        <v>10004</v>
      </c>
    </row>
    <row r="1007">
      <c r="A1007" s="3" t="s">
        <v>11009</v>
      </c>
      <c r="B1007" s="4" t="str">
        <f>C1007 &amp; " -&gt; " &amp; D1007</f>
        <v>principal-process-steward -&gt; MessageTemplates.Name</v>
      </c>
      <c r="C1007" s="3" t="s">
        <v>9772</v>
      </c>
      <c r="D1007" s="3" t="s">
        <v>4088</v>
      </c>
      <c r="E1007" s="3" t="b">
        <v>1</v>
      </c>
      <c r="F1007" s="3" t="b">
        <v>0</v>
      </c>
      <c r="G1007" s="3" t="s">
        <v>10003</v>
      </c>
      <c r="H1007" s="4" t="str">
        <f>_xlfn.IFNA(IF(((INDEX(RulebookFields!C2:C1898, MATCH(D1007,RulebookFields!A2:A1898, 0))="")=TRUE),  "",  INDEX(RulebookFields!C2:C1898, MATCH(D1007,RulebookFields!A2:A1898, 0))), "")</f>
        <v>MessageTemplates</v>
      </c>
      <c r="I1007" s="4" t="str">
        <f>_xlfn.IFNA(IF(((INDEX(RulebookFields!D2:D1898, MATCH(D1007,RulebookFields!A2:A1898, 0))="")=TRUE),  "",  INDEX(RulebookFields!D2:D1898, MATCH(D1007,RulebookFields!A2:A1898, 0))), "")</f>
        <v>Name</v>
      </c>
      <c r="J1007" s="4" t="b">
        <f>_xlfn.IFNA(IF(((INDEX(RulebookFields!I2:I1898, MATCH(D1007,RulebookFields!A2:A1898, 0))="")=TRUE),  "",  INDEX(RulebookFields!I2:I1898, MATCH(D1007,RulebookFields!A2:A1898, 0))), "")</f>
        <v>1</v>
      </c>
      <c r="K1007" s="4" t="b">
        <f>AND(((F1007)=TRUE), ((J1007)=TRUE))</f>
        <v>0</v>
      </c>
      <c r="L1007" s="4" t="b">
        <f>AND(((G1007 &lt;&gt; "plain")=TRUE), ((G1007 &lt;&gt; "")=TRUE))</f>
        <v>0</v>
      </c>
      <c r="M1007" s="4" t="str">
        <f>IF(((E1007)=TRUE),  C1007 &amp; "|" &amp; H1007,  "")</f>
        <v>principal-process-steward|MessageTemplates</v>
      </c>
      <c r="N1007" s="3" t="s">
        <v>10004</v>
      </c>
    </row>
    <row r="1008">
      <c r="A1008" s="3" t="s">
        <v>11010</v>
      </c>
      <c r="B1008" s="4" t="str">
        <f>C1008 &amp; " -&gt; " &amp; D1008</f>
        <v>principal-process-steward -&gt; MessageTemplates.CommunicationPolicy</v>
      </c>
      <c r="C1008" s="3" t="s">
        <v>9772</v>
      </c>
      <c r="D1008" s="3" t="s">
        <v>4090</v>
      </c>
      <c r="E1008" s="3" t="b">
        <v>1</v>
      </c>
      <c r="F1008" s="3" t="b">
        <v>0</v>
      </c>
      <c r="G1008" s="3" t="s">
        <v>10003</v>
      </c>
      <c r="H1008" s="4" t="str">
        <f>_xlfn.IFNA(IF(((INDEX(RulebookFields!C2:C1898, MATCH(D1008,RulebookFields!A2:A1898, 0))="")=TRUE),  "",  INDEX(RulebookFields!C2:C1898, MATCH(D1008,RulebookFields!A2:A1898, 0))), "")</f>
        <v>MessageTemplates</v>
      </c>
      <c r="I1008" s="4" t="str">
        <f>_xlfn.IFNA(IF(((INDEX(RulebookFields!D2:D1898, MATCH(D1008,RulebookFields!A2:A1898, 0))="")=TRUE),  "",  INDEX(RulebookFields!D2:D1898, MATCH(D1008,RulebookFields!A2:A1898, 0))), "")</f>
        <v>CommunicationPolicy</v>
      </c>
      <c r="J1008" s="4" t="b">
        <f>_xlfn.IFNA(IF(((INDEX(RulebookFields!I2:I1898, MATCH(D1008,RulebookFields!A2:A1898, 0))="")=TRUE),  "",  INDEX(RulebookFields!I2:I1898, MATCH(D1008,RulebookFields!A2:A1898, 0))), "")</f>
        <v>0</v>
      </c>
      <c r="K1008" s="4" t="b">
        <f>AND(((F1008)=TRUE), ((J1008)=TRUE))</f>
        <v>0</v>
      </c>
      <c r="L1008" s="4" t="b">
        <f>AND(((G1008 &lt;&gt; "plain")=TRUE), ((G1008 &lt;&gt; "")=TRUE))</f>
        <v>0</v>
      </c>
      <c r="M1008" s="4" t="str">
        <f>IF(((E1008)=TRUE),  C1008 &amp; "|" &amp; H1008,  "")</f>
        <v>principal-process-steward|MessageTemplates</v>
      </c>
      <c r="N1008" s="3" t="s">
        <v>10004</v>
      </c>
    </row>
    <row r="1009">
      <c r="A1009" s="3" t="s">
        <v>11011</v>
      </c>
      <c r="B1009" s="4" t="str">
        <f>C1009 &amp; " -&gt; " &amp; D1009</f>
        <v>principal-process-steward -&gt; MessageTemplates.Resource</v>
      </c>
      <c r="C1009" s="3" t="s">
        <v>9772</v>
      </c>
      <c r="D1009" s="3" t="s">
        <v>4091</v>
      </c>
      <c r="E1009" s="3" t="b">
        <v>1</v>
      </c>
      <c r="F1009" s="3" t="b">
        <v>0</v>
      </c>
      <c r="G1009" s="3" t="s">
        <v>10003</v>
      </c>
      <c r="H1009" s="4" t="str">
        <f>_xlfn.IFNA(IF(((INDEX(RulebookFields!C2:C1898, MATCH(D1009,RulebookFields!A2:A1898, 0))="")=TRUE),  "",  INDEX(RulebookFields!C2:C1898, MATCH(D1009,RulebookFields!A2:A1898, 0))), "")</f>
        <v>MessageTemplates</v>
      </c>
      <c r="I1009" s="4" t="str">
        <f>_xlfn.IFNA(IF(((INDEX(RulebookFields!D2:D1898, MATCH(D1009,RulebookFields!A2:A1898, 0))="")=TRUE),  "",  INDEX(RulebookFields!D2:D1898, MATCH(D1009,RulebookFields!A2:A1898, 0))), "")</f>
        <v>Resource</v>
      </c>
      <c r="J1009" s="4" t="b">
        <f>_xlfn.IFNA(IF(((INDEX(RulebookFields!I2:I1898, MATCH(D1009,RulebookFields!A2:A1898, 0))="")=TRUE),  "",  INDEX(RulebookFields!I2:I1898, MATCH(D1009,RulebookFields!A2:A1898, 0))), "")</f>
        <v>0</v>
      </c>
      <c r="K1009" s="4" t="b">
        <f>AND(((F1009)=TRUE), ((J1009)=TRUE))</f>
        <v>0</v>
      </c>
      <c r="L1009" s="4" t="b">
        <f>AND(((G1009 &lt;&gt; "plain")=TRUE), ((G1009 &lt;&gt; "")=TRUE))</f>
        <v>0</v>
      </c>
      <c r="M1009" s="4" t="str">
        <f>IF(((E1009)=TRUE),  C1009 &amp; "|" &amp; H1009,  "")</f>
        <v>principal-process-steward|MessageTemplates</v>
      </c>
      <c r="N1009" s="3" t="s">
        <v>10004</v>
      </c>
    </row>
    <row r="1010">
      <c r="A1010" s="3" t="s">
        <v>11012</v>
      </c>
      <c r="B1010" s="4" t="str">
        <f>C1010 &amp; " -&gt; " &amp; D1010</f>
        <v>principal-process-steward -&gt; MessageTemplates.SubjectTemplate</v>
      </c>
      <c r="C1010" s="3" t="s">
        <v>9772</v>
      </c>
      <c r="D1010" s="3" t="s">
        <v>4092</v>
      </c>
      <c r="E1010" s="3" t="b">
        <v>1</v>
      </c>
      <c r="F1010" s="3" t="b">
        <v>0</v>
      </c>
      <c r="G1010" s="3" t="s">
        <v>10003</v>
      </c>
      <c r="H1010" s="4" t="str">
        <f>_xlfn.IFNA(IF(((INDEX(RulebookFields!C2:C1898, MATCH(D1010,RulebookFields!A2:A1898, 0))="")=TRUE),  "",  INDEX(RulebookFields!C2:C1898, MATCH(D1010,RulebookFields!A2:A1898, 0))), "")</f>
        <v>MessageTemplates</v>
      </c>
      <c r="I1010" s="4" t="str">
        <f>_xlfn.IFNA(IF(((INDEX(RulebookFields!D2:D1898, MATCH(D1010,RulebookFields!A2:A1898, 0))="")=TRUE),  "",  INDEX(RulebookFields!D2:D1898, MATCH(D1010,RulebookFields!A2:A1898, 0))), "")</f>
        <v>SubjectTemplate</v>
      </c>
      <c r="J1010" s="4" t="b">
        <f>_xlfn.IFNA(IF(((INDEX(RulebookFields!I2:I1898, MATCH(D1010,RulebookFields!A2:A1898, 0))="")=TRUE),  "",  INDEX(RulebookFields!I2:I1898, MATCH(D1010,RulebookFields!A2:A1898, 0))), "")</f>
        <v>0</v>
      </c>
      <c r="K1010" s="4" t="b">
        <f>AND(((F1010)=TRUE), ((J1010)=TRUE))</f>
        <v>0</v>
      </c>
      <c r="L1010" s="4" t="b">
        <f>AND(((G1010 &lt;&gt; "plain")=TRUE), ((G1010 &lt;&gt; "")=TRUE))</f>
        <v>0</v>
      </c>
      <c r="M1010" s="4" t="str">
        <f>IF(((E1010)=TRUE),  C1010 &amp; "|" &amp; H1010,  "")</f>
        <v>principal-process-steward|MessageTemplates</v>
      </c>
      <c r="N1010" s="3" t="s">
        <v>10004</v>
      </c>
    </row>
    <row r="1011">
      <c r="A1011" s="3" t="s">
        <v>11013</v>
      </c>
      <c r="B1011" s="4" t="str">
        <f>C1011 &amp; " -&gt; " &amp; D1011</f>
        <v>principal-process-steward -&gt; MessageTemplates.BodyTemplate</v>
      </c>
      <c r="C1011" s="3" t="s">
        <v>9772</v>
      </c>
      <c r="D1011" s="3" t="s">
        <v>4093</v>
      </c>
      <c r="E1011" s="3" t="b">
        <v>1</v>
      </c>
      <c r="F1011" s="3" t="b">
        <v>0</v>
      </c>
      <c r="G1011" s="3" t="s">
        <v>10003</v>
      </c>
      <c r="H1011" s="4" t="str">
        <f>_xlfn.IFNA(IF(((INDEX(RulebookFields!C2:C1898, MATCH(D1011,RulebookFields!A2:A1898, 0))="")=TRUE),  "",  INDEX(RulebookFields!C2:C1898, MATCH(D1011,RulebookFields!A2:A1898, 0))), "")</f>
        <v>MessageTemplates</v>
      </c>
      <c r="I1011" s="4" t="str">
        <f>_xlfn.IFNA(IF(((INDEX(RulebookFields!D2:D1898, MATCH(D1011,RulebookFields!A2:A1898, 0))="")=TRUE),  "",  INDEX(RulebookFields!D2:D1898, MATCH(D1011,RulebookFields!A2:A1898, 0))), "")</f>
        <v>BodyTemplate</v>
      </c>
      <c r="J1011" s="4" t="b">
        <f>_xlfn.IFNA(IF(((INDEX(RulebookFields!I2:I1898, MATCH(D1011,RulebookFields!A2:A1898, 0))="")=TRUE),  "",  INDEX(RulebookFields!I2:I1898, MATCH(D1011,RulebookFields!A2:A1898, 0))), "")</f>
        <v>0</v>
      </c>
      <c r="K1011" s="4" t="b">
        <f>AND(((F1011)=TRUE), ((J1011)=TRUE))</f>
        <v>0</v>
      </c>
      <c r="L1011" s="4" t="b">
        <f>AND(((G1011 &lt;&gt; "plain")=TRUE), ((G1011 &lt;&gt; "")=TRUE))</f>
        <v>0</v>
      </c>
      <c r="M1011" s="4" t="str">
        <f>IF(((E1011)=TRUE),  C1011 &amp; "|" &amp; H1011,  "")</f>
        <v>principal-process-steward|MessageTemplates</v>
      </c>
      <c r="N1011" s="3" t="s">
        <v>10004</v>
      </c>
    </row>
    <row r="1012">
      <c r="A1012" s="3" t="s">
        <v>11014</v>
      </c>
      <c r="B1012" s="4" t="str">
        <f>C1012 &amp; " -&gt; " &amp; D1012</f>
        <v>principal-process-steward -&gt; MessageTemplates.Locale</v>
      </c>
      <c r="C1012" s="3" t="s">
        <v>9772</v>
      </c>
      <c r="D1012" s="3" t="s">
        <v>4094</v>
      </c>
      <c r="E1012" s="3" t="b">
        <v>1</v>
      </c>
      <c r="F1012" s="3" t="b">
        <v>0</v>
      </c>
      <c r="G1012" s="3" t="s">
        <v>10003</v>
      </c>
      <c r="H1012" s="4" t="str">
        <f>_xlfn.IFNA(IF(((INDEX(RulebookFields!C2:C1898, MATCH(D1012,RulebookFields!A2:A1898, 0))="")=TRUE),  "",  INDEX(RulebookFields!C2:C1898, MATCH(D1012,RulebookFields!A2:A1898, 0))), "")</f>
        <v>MessageTemplates</v>
      </c>
      <c r="I1012" s="4" t="str">
        <f>_xlfn.IFNA(IF(((INDEX(RulebookFields!D2:D1898, MATCH(D1012,RulebookFields!A2:A1898, 0))="")=TRUE),  "",  INDEX(RulebookFields!D2:D1898, MATCH(D1012,RulebookFields!A2:A1898, 0))), "")</f>
        <v>Locale</v>
      </c>
      <c r="J1012" s="4" t="b">
        <f>_xlfn.IFNA(IF(((INDEX(RulebookFields!I2:I1898, MATCH(D1012,RulebookFields!A2:A1898, 0))="")=TRUE),  "",  INDEX(RulebookFields!I2:I1898, MATCH(D1012,RulebookFields!A2:A1898, 0))), "")</f>
        <v>0</v>
      </c>
      <c r="K1012" s="4" t="b">
        <f>AND(((F1012)=TRUE), ((J1012)=TRUE))</f>
        <v>0</v>
      </c>
      <c r="L1012" s="4" t="b">
        <f>AND(((G1012 &lt;&gt; "plain")=TRUE), ((G1012 &lt;&gt; "")=TRUE))</f>
        <v>0</v>
      </c>
      <c r="M1012" s="4" t="str">
        <f>IF(((E1012)=TRUE),  C1012 &amp; "|" &amp; H1012,  "")</f>
        <v>principal-process-steward|MessageTemplates</v>
      </c>
      <c r="N1012" s="3" t="s">
        <v>10004</v>
      </c>
    </row>
    <row r="1013">
      <c r="A1013" s="3" t="s">
        <v>11015</v>
      </c>
      <c r="B1013" s="4" t="str">
        <f>C1013 &amp; " -&gt; " &amp; D1013</f>
        <v>principal-process-steward -&gt; MessageTemplates.Status</v>
      </c>
      <c r="C1013" s="3" t="s">
        <v>9772</v>
      </c>
      <c r="D1013" s="3" t="s">
        <v>4095</v>
      </c>
      <c r="E1013" s="3" t="b">
        <v>1</v>
      </c>
      <c r="F1013" s="3" t="b">
        <v>0</v>
      </c>
      <c r="G1013" s="3" t="s">
        <v>10003</v>
      </c>
      <c r="H1013" s="4" t="str">
        <f>_xlfn.IFNA(IF(((INDEX(RulebookFields!C2:C1898, MATCH(D1013,RulebookFields!A2:A1898, 0))="")=TRUE),  "",  INDEX(RulebookFields!C2:C1898, MATCH(D1013,RulebookFields!A2:A1898, 0))), "")</f>
        <v>MessageTemplates</v>
      </c>
      <c r="I1013" s="4" t="str">
        <f>_xlfn.IFNA(IF(((INDEX(RulebookFields!D2:D1898, MATCH(D1013,RulebookFields!A2:A1898, 0))="")=TRUE),  "",  INDEX(RulebookFields!D2:D1898, MATCH(D1013,RulebookFields!A2:A1898, 0))), "")</f>
        <v>Status</v>
      </c>
      <c r="J1013" s="4" t="b">
        <f>_xlfn.IFNA(IF(((INDEX(RulebookFields!I2:I1898, MATCH(D1013,RulebookFields!A2:A1898, 0))="")=TRUE),  "",  INDEX(RulebookFields!I2:I1898, MATCH(D1013,RulebookFields!A2:A1898, 0))), "")</f>
        <v>0</v>
      </c>
      <c r="K1013" s="4" t="b">
        <f>AND(((F1013)=TRUE), ((J1013)=TRUE))</f>
        <v>0</v>
      </c>
      <c r="L1013" s="4" t="b">
        <f>AND(((G1013 &lt;&gt; "plain")=TRUE), ((G1013 &lt;&gt; "")=TRUE))</f>
        <v>0</v>
      </c>
      <c r="M1013" s="4" t="str">
        <f>IF(((E1013)=TRUE),  C1013 &amp; "|" &amp; H1013,  "")</f>
        <v>principal-process-steward|MessageTemplates</v>
      </c>
      <c r="N1013" s="3" t="s">
        <v>10004</v>
      </c>
    </row>
    <row r="1014">
      <c r="A1014" s="3" t="s">
        <v>11016</v>
      </c>
      <c r="B1014" s="4" t="str">
        <f>C1014 &amp; " -&gt; " &amp; D1014</f>
        <v>principal-process-steward -&gt; MessageTemplates.PolicyMaxMessageLength</v>
      </c>
      <c r="C1014" s="3" t="s">
        <v>9772</v>
      </c>
      <c r="D1014" s="3" t="s">
        <v>4096</v>
      </c>
      <c r="E1014" s="3" t="b">
        <v>1</v>
      </c>
      <c r="F1014" s="3" t="b">
        <v>0</v>
      </c>
      <c r="G1014" s="3" t="s">
        <v>10003</v>
      </c>
      <c r="H1014" s="4" t="str">
        <f>_xlfn.IFNA(IF(((INDEX(RulebookFields!C2:C1898, MATCH(D1014,RulebookFields!A2:A1898, 0))="")=TRUE),  "",  INDEX(RulebookFields!C2:C1898, MATCH(D1014,RulebookFields!A2:A1898, 0))), "")</f>
        <v>MessageTemplates</v>
      </c>
      <c r="I1014" s="4" t="str">
        <f>_xlfn.IFNA(IF(((INDEX(RulebookFields!D2:D1898, MATCH(D1014,RulebookFields!A2:A1898, 0))="")=TRUE),  "",  INDEX(RulebookFields!D2:D1898, MATCH(D1014,RulebookFields!A2:A1898, 0))), "")</f>
        <v>PolicyMaxMessageLength</v>
      </c>
      <c r="J1014" s="4" t="b">
        <f>_xlfn.IFNA(IF(((INDEX(RulebookFields!I2:I1898, MATCH(D1014,RulebookFields!A2:A1898, 0))="")=TRUE),  "",  INDEX(RulebookFields!I2:I1898, MATCH(D1014,RulebookFields!A2:A1898, 0))), "")</f>
        <v>1</v>
      </c>
      <c r="K1014" s="4" t="b">
        <f>AND(((F1014)=TRUE), ((J1014)=TRUE))</f>
        <v>0</v>
      </c>
      <c r="L1014" s="4" t="b">
        <f>AND(((G1014 &lt;&gt; "plain")=TRUE), ((G1014 &lt;&gt; "")=TRUE))</f>
        <v>0</v>
      </c>
      <c r="M1014" s="4" t="str">
        <f>IF(((E1014)=TRUE),  C1014 &amp; "|" &amp; H1014,  "")</f>
        <v>principal-process-steward|MessageTemplates</v>
      </c>
      <c r="N1014" s="3" t="s">
        <v>10004</v>
      </c>
    </row>
    <row r="1015">
      <c r="A1015" s="3" t="s">
        <v>11017</v>
      </c>
      <c r="B1015" s="4" t="str">
        <f>C1015 &amp; " -&gt; " &amp; D1015</f>
        <v>principal-process-steward -&gt; MessageTemplates.PolicyMaxSegments</v>
      </c>
      <c r="C1015" s="3" t="s">
        <v>9772</v>
      </c>
      <c r="D1015" s="3" t="s">
        <v>4098</v>
      </c>
      <c r="E1015" s="3" t="b">
        <v>1</v>
      </c>
      <c r="F1015" s="3" t="b">
        <v>0</v>
      </c>
      <c r="G1015" s="3" t="s">
        <v>10003</v>
      </c>
      <c r="H1015" s="4" t="str">
        <f>_xlfn.IFNA(IF(((INDEX(RulebookFields!C2:C1898, MATCH(D1015,RulebookFields!A2:A1898, 0))="")=TRUE),  "",  INDEX(RulebookFields!C2:C1898, MATCH(D1015,RulebookFields!A2:A1898, 0))), "")</f>
        <v>MessageTemplates</v>
      </c>
      <c r="I1015" s="4" t="str">
        <f>_xlfn.IFNA(IF(((INDEX(RulebookFields!D2:D1898, MATCH(D1015,RulebookFields!A2:A1898, 0))="")=TRUE),  "",  INDEX(RulebookFields!D2:D1898, MATCH(D1015,RulebookFields!A2:A1898, 0))), "")</f>
        <v>PolicyMaxSegments</v>
      </c>
      <c r="J1015" s="4" t="b">
        <f>_xlfn.IFNA(IF(((INDEX(RulebookFields!I2:I1898, MATCH(D1015,RulebookFields!A2:A1898, 0))="")=TRUE),  "",  INDEX(RulebookFields!I2:I1898, MATCH(D1015,RulebookFields!A2:A1898, 0))), "")</f>
        <v>1</v>
      </c>
      <c r="K1015" s="4" t="b">
        <f>AND(((F1015)=TRUE), ((J1015)=TRUE))</f>
        <v>0</v>
      </c>
      <c r="L1015" s="4" t="b">
        <f>AND(((G1015 &lt;&gt; "plain")=TRUE), ((G1015 &lt;&gt; "")=TRUE))</f>
        <v>0</v>
      </c>
      <c r="M1015" s="4" t="str">
        <f>IF(((E1015)=TRUE),  C1015 &amp; "|" &amp; H1015,  "")</f>
        <v>principal-process-steward|MessageTemplates</v>
      </c>
      <c r="N1015" s="3" t="s">
        <v>10004</v>
      </c>
    </row>
    <row r="1016">
      <c r="A1016" s="3" t="s">
        <v>11018</v>
      </c>
      <c r="B1016" s="4" t="str">
        <f>C1016 &amp; " -&gt; " &amp; D1016</f>
        <v>principal-process-steward -&gt; MessageTemplates.BodyTemplateLength</v>
      </c>
      <c r="C1016" s="3" t="s">
        <v>9772</v>
      </c>
      <c r="D1016" s="3" t="s">
        <v>4100</v>
      </c>
      <c r="E1016" s="3" t="b">
        <v>1</v>
      </c>
      <c r="F1016" s="3" t="b">
        <v>0</v>
      </c>
      <c r="G1016" s="3" t="s">
        <v>10003</v>
      </c>
      <c r="H1016" s="4" t="str">
        <f>_xlfn.IFNA(IF(((INDEX(RulebookFields!C2:C1898, MATCH(D1016,RulebookFields!A2:A1898, 0))="")=TRUE),  "",  INDEX(RulebookFields!C2:C1898, MATCH(D1016,RulebookFields!A2:A1898, 0))), "")</f>
        <v>MessageTemplates</v>
      </c>
      <c r="I1016" s="4" t="str">
        <f>_xlfn.IFNA(IF(((INDEX(RulebookFields!D2:D1898, MATCH(D1016,RulebookFields!A2:A1898, 0))="")=TRUE),  "",  INDEX(RulebookFields!D2:D1898, MATCH(D1016,RulebookFields!A2:A1898, 0))), "")</f>
        <v>BodyTemplateLength</v>
      </c>
      <c r="J1016" s="4" t="b">
        <f>_xlfn.IFNA(IF(((INDEX(RulebookFields!I2:I1898, MATCH(D1016,RulebookFields!A2:A1898, 0))="")=TRUE),  "",  INDEX(RulebookFields!I2:I1898, MATCH(D1016,RulebookFields!A2:A1898, 0))), "")</f>
        <v>1</v>
      </c>
      <c r="K1016" s="4" t="b">
        <f>AND(((F1016)=TRUE), ((J1016)=TRUE))</f>
        <v>0</v>
      </c>
      <c r="L1016" s="4" t="b">
        <f>AND(((G1016 &lt;&gt; "plain")=TRUE), ((G1016 &lt;&gt; "")=TRUE))</f>
        <v>0</v>
      </c>
      <c r="M1016" s="4" t="str">
        <f>IF(((E1016)=TRUE),  C1016 &amp; "|" &amp; H1016,  "")</f>
        <v>principal-process-steward|MessageTemplates</v>
      </c>
      <c r="N1016" s="3" t="s">
        <v>10004</v>
      </c>
    </row>
    <row r="1017">
      <c r="A1017" s="3" t="s">
        <v>11019</v>
      </c>
      <c r="B1017" s="4" t="str">
        <f>C1017 &amp; " -&gt; " &amp; D1017</f>
        <v>principal-process-steward -&gt; MessageTemplates.IsTemplateOverLength</v>
      </c>
      <c r="C1017" s="3" t="s">
        <v>9772</v>
      </c>
      <c r="D1017" s="3" t="s">
        <v>4102</v>
      </c>
      <c r="E1017" s="3" t="b">
        <v>1</v>
      </c>
      <c r="F1017" s="3" t="b">
        <v>0</v>
      </c>
      <c r="G1017" s="3" t="s">
        <v>10003</v>
      </c>
      <c r="H1017" s="4" t="str">
        <f>_xlfn.IFNA(IF(((INDEX(RulebookFields!C2:C1898, MATCH(D1017,RulebookFields!A2:A1898, 0))="")=TRUE),  "",  INDEX(RulebookFields!C2:C1898, MATCH(D1017,RulebookFields!A2:A1898, 0))), "")</f>
        <v>MessageTemplates</v>
      </c>
      <c r="I1017" s="4" t="str">
        <f>_xlfn.IFNA(IF(((INDEX(RulebookFields!D2:D1898, MATCH(D1017,RulebookFields!A2:A1898, 0))="")=TRUE),  "",  INDEX(RulebookFields!D2:D1898, MATCH(D1017,RulebookFields!A2:A1898, 0))), "")</f>
        <v>IsTemplateOverLength</v>
      </c>
      <c r="J1017" s="4" t="b">
        <f>_xlfn.IFNA(IF(((INDEX(RulebookFields!I2:I1898, MATCH(D1017,RulebookFields!A2:A1898, 0))="")=TRUE),  "",  INDEX(RulebookFields!I2:I1898, MATCH(D1017,RulebookFields!A2:A1898, 0))), "")</f>
        <v>1</v>
      </c>
      <c r="K1017" s="4" t="b">
        <f>AND(((F1017)=TRUE), ((J1017)=TRUE))</f>
        <v>0</v>
      </c>
      <c r="L1017" s="4" t="b">
        <f>AND(((G1017 &lt;&gt; "plain")=TRUE), ((G1017 &lt;&gt; "")=TRUE))</f>
        <v>0</v>
      </c>
      <c r="M1017" s="4" t="str">
        <f>IF(((E1017)=TRUE),  C1017 &amp; "|" &amp; H1017,  "")</f>
        <v>principal-process-steward|MessageTemplates</v>
      </c>
      <c r="N1017" s="3" t="s">
        <v>10004</v>
      </c>
    </row>
    <row r="1018">
      <c r="A1018" s="3" t="s">
        <v>11020</v>
      </c>
      <c r="B1018" s="4" t="str">
        <f>C1018 &amp; " -&gt; " &amp; D1018</f>
        <v>principal-process-steward -&gt; MessageTemplates.ValidApprovalCount</v>
      </c>
      <c r="C1018" s="3" t="s">
        <v>9772</v>
      </c>
      <c r="D1018" s="3" t="s">
        <v>4104</v>
      </c>
      <c r="E1018" s="3" t="b">
        <v>1</v>
      </c>
      <c r="F1018" s="3" t="b">
        <v>0</v>
      </c>
      <c r="G1018" s="3" t="s">
        <v>10003</v>
      </c>
      <c r="H1018" s="4" t="str">
        <f>_xlfn.IFNA(IF(((INDEX(RulebookFields!C2:C1898, MATCH(D1018,RulebookFields!A2:A1898, 0))="")=TRUE),  "",  INDEX(RulebookFields!C2:C1898, MATCH(D1018,RulebookFields!A2:A1898, 0))), "")</f>
        <v>MessageTemplates</v>
      </c>
      <c r="I1018" s="4" t="str">
        <f>_xlfn.IFNA(IF(((INDEX(RulebookFields!D2:D1898, MATCH(D1018,RulebookFields!A2:A1898, 0))="")=TRUE),  "",  INDEX(RulebookFields!D2:D1898, MATCH(D1018,RulebookFields!A2:A1898, 0))), "")</f>
        <v>ValidApprovalCount</v>
      </c>
      <c r="J1018" s="4" t="b">
        <f>_xlfn.IFNA(IF(((INDEX(RulebookFields!I2:I1898, MATCH(D1018,RulebookFields!A2:A1898, 0))="")=TRUE),  "",  INDEX(RulebookFields!I2:I1898, MATCH(D1018,RulebookFields!A2:A1898, 0))), "")</f>
        <v>1</v>
      </c>
      <c r="K1018" s="4" t="b">
        <f>AND(((F1018)=TRUE), ((J1018)=TRUE))</f>
        <v>0</v>
      </c>
      <c r="L1018" s="4" t="b">
        <f>AND(((G1018 &lt;&gt; "plain")=TRUE), ((G1018 &lt;&gt; "")=TRUE))</f>
        <v>0</v>
      </c>
      <c r="M1018" s="4" t="str">
        <f>IF(((E1018)=TRUE),  C1018 &amp; "|" &amp; H1018,  "")</f>
        <v>principal-process-steward|MessageTemplates</v>
      </c>
      <c r="N1018" s="3" t="s">
        <v>10004</v>
      </c>
    </row>
    <row r="1019">
      <c r="A1019" s="3" t="s">
        <v>11021</v>
      </c>
      <c r="B1019" s="4" t="str">
        <f>C1019 &amp; " -&gt; " &amp; D1019</f>
        <v>principal-process-steward -&gt; MessageTemplates.HasValidApproval</v>
      </c>
      <c r="C1019" s="3" t="s">
        <v>9772</v>
      </c>
      <c r="D1019" s="3" t="s">
        <v>4106</v>
      </c>
      <c r="E1019" s="3" t="b">
        <v>1</v>
      </c>
      <c r="F1019" s="3" t="b">
        <v>0</v>
      </c>
      <c r="G1019" s="3" t="s">
        <v>10003</v>
      </c>
      <c r="H1019" s="4" t="str">
        <f>_xlfn.IFNA(IF(((INDEX(RulebookFields!C2:C1898, MATCH(D1019,RulebookFields!A2:A1898, 0))="")=TRUE),  "",  INDEX(RulebookFields!C2:C1898, MATCH(D1019,RulebookFields!A2:A1898, 0))), "")</f>
        <v>MessageTemplates</v>
      </c>
      <c r="I1019" s="4" t="str">
        <f>_xlfn.IFNA(IF(((INDEX(RulebookFields!D2:D1898, MATCH(D1019,RulebookFields!A2:A1898, 0))="")=TRUE),  "",  INDEX(RulebookFields!D2:D1898, MATCH(D1019,RulebookFields!A2:A1898, 0))), "")</f>
        <v>HasValidApproval</v>
      </c>
      <c r="J1019" s="4" t="b">
        <f>_xlfn.IFNA(IF(((INDEX(RulebookFields!I2:I1898, MATCH(D1019,RulebookFields!A2:A1898, 0))="")=TRUE),  "",  INDEX(RulebookFields!I2:I1898, MATCH(D1019,RulebookFields!A2:A1898, 0))), "")</f>
        <v>1</v>
      </c>
      <c r="K1019" s="4" t="b">
        <f>AND(((F1019)=TRUE), ((J1019)=TRUE))</f>
        <v>0</v>
      </c>
      <c r="L1019" s="4" t="b">
        <f>AND(((G1019 &lt;&gt; "plain")=TRUE), ((G1019 &lt;&gt; "")=TRUE))</f>
        <v>0</v>
      </c>
      <c r="M1019" s="4" t="str">
        <f>IF(((E1019)=TRUE),  C1019 &amp; "|" &amp; H1019,  "")</f>
        <v>principal-process-steward|MessageTemplates</v>
      </c>
      <c r="N1019" s="3" t="s">
        <v>10004</v>
      </c>
    </row>
    <row r="1020">
      <c r="A1020" s="3" t="s">
        <v>11022</v>
      </c>
      <c r="B1020" s="4" t="str">
        <f>C1020 &amp; " -&gt; " &amp; D1020</f>
        <v>principal-process-steward -&gt; MessageTemplates.IsClaimingUnbackedApproval</v>
      </c>
      <c r="C1020" s="3" t="s">
        <v>9772</v>
      </c>
      <c r="D1020" s="3" t="s">
        <v>4108</v>
      </c>
      <c r="E1020" s="3" t="b">
        <v>1</v>
      </c>
      <c r="F1020" s="3" t="b">
        <v>0</v>
      </c>
      <c r="G1020" s="3" t="s">
        <v>10003</v>
      </c>
      <c r="H1020" s="4" t="str">
        <f>_xlfn.IFNA(IF(((INDEX(RulebookFields!C2:C1898, MATCH(D1020,RulebookFields!A2:A1898, 0))="")=TRUE),  "",  INDEX(RulebookFields!C2:C1898, MATCH(D1020,RulebookFields!A2:A1898, 0))), "")</f>
        <v>MessageTemplates</v>
      </c>
      <c r="I1020" s="4" t="str">
        <f>_xlfn.IFNA(IF(((INDEX(RulebookFields!D2:D1898, MATCH(D1020,RulebookFields!A2:A1898, 0))="")=TRUE),  "",  INDEX(RulebookFields!D2:D1898, MATCH(D1020,RulebookFields!A2:A1898, 0))), "")</f>
        <v>IsClaimingUnbackedApproval</v>
      </c>
      <c r="J1020" s="4" t="b">
        <f>_xlfn.IFNA(IF(((INDEX(RulebookFields!I2:I1898, MATCH(D1020,RulebookFields!A2:A1898, 0))="")=TRUE),  "",  INDEX(RulebookFields!I2:I1898, MATCH(D1020,RulebookFields!A2:A1898, 0))), "")</f>
        <v>1</v>
      </c>
      <c r="K1020" s="4" t="b">
        <f>AND(((F1020)=TRUE), ((J1020)=TRUE))</f>
        <v>0</v>
      </c>
      <c r="L1020" s="4" t="b">
        <f>AND(((G1020 &lt;&gt; "plain")=TRUE), ((G1020 &lt;&gt; "")=TRUE))</f>
        <v>0</v>
      </c>
      <c r="M1020" s="4" t="str">
        <f>IF(((E1020)=TRUE),  C1020 &amp; "|" &amp; H1020,  "")</f>
        <v>principal-process-steward|MessageTemplates</v>
      </c>
      <c r="N1020" s="3" t="s">
        <v>10004</v>
      </c>
    </row>
    <row r="1021">
      <c r="A1021" s="3" t="s">
        <v>11023</v>
      </c>
      <c r="B1021" s="4" t="str">
        <f>C1021 &amp; " -&gt; " &amp; D1021</f>
        <v>principal-process-steward -&gt; MessageTemplates.CurrentBodyHash</v>
      </c>
      <c r="C1021" s="3" t="s">
        <v>9772</v>
      </c>
      <c r="D1021" s="3" t="s">
        <v>4110</v>
      </c>
      <c r="E1021" s="3" t="b">
        <v>1</v>
      </c>
      <c r="F1021" s="3" t="b">
        <v>0</v>
      </c>
      <c r="G1021" s="3" t="s">
        <v>10003</v>
      </c>
      <c r="H1021" s="4" t="str">
        <f>_xlfn.IFNA(IF(((INDEX(RulebookFields!C2:C1898, MATCH(D1021,RulebookFields!A2:A1898, 0))="")=TRUE),  "",  INDEX(RulebookFields!C2:C1898, MATCH(D1021,RulebookFields!A2:A1898, 0))), "")</f>
        <v>MessageTemplates</v>
      </c>
      <c r="I1021" s="4" t="str">
        <f>_xlfn.IFNA(IF(((INDEX(RulebookFields!D2:D1898, MATCH(D1021,RulebookFields!A2:A1898, 0))="")=TRUE),  "",  INDEX(RulebookFields!D2:D1898, MATCH(D1021,RulebookFields!A2:A1898, 0))), "")</f>
        <v>CurrentBodyHash</v>
      </c>
      <c r="J1021" s="4" t="b">
        <f>_xlfn.IFNA(IF(((INDEX(RulebookFields!I2:I1898, MATCH(D1021,RulebookFields!A2:A1898, 0))="")=TRUE),  "",  INDEX(RulebookFields!I2:I1898, MATCH(D1021,RulebookFields!A2:A1898, 0))), "")</f>
        <v>0</v>
      </c>
      <c r="K1021" s="4" t="b">
        <f>AND(((F1021)=TRUE), ((J1021)=TRUE))</f>
        <v>0</v>
      </c>
      <c r="L1021" s="4" t="b">
        <f>AND(((G1021 &lt;&gt; "plain")=TRUE), ((G1021 &lt;&gt; "")=TRUE))</f>
        <v>0</v>
      </c>
      <c r="M1021" s="4" t="str">
        <f>IF(((E1021)=TRUE),  C1021 &amp; "|" &amp; H1021,  "")</f>
        <v>principal-process-steward|MessageTemplates</v>
      </c>
      <c r="N1021" s="3" t="s">
        <v>10004</v>
      </c>
    </row>
    <row r="1022">
      <c r="A1022" s="3" t="s">
        <v>11024</v>
      </c>
      <c r="B1022" s="4" t="str">
        <f>C1022 &amp; " -&gt; " &amp; D1022</f>
        <v>principal-process-steward -&gt; MessageTemplates.LastApprovedBodyHash</v>
      </c>
      <c r="C1022" s="3" t="s">
        <v>9772</v>
      </c>
      <c r="D1022" s="3" t="s">
        <v>4111</v>
      </c>
      <c r="E1022" s="3" t="b">
        <v>1</v>
      </c>
      <c r="F1022" s="3" t="b">
        <v>0</v>
      </c>
      <c r="G1022" s="3" t="s">
        <v>10003</v>
      </c>
      <c r="H1022" s="4" t="str">
        <f>_xlfn.IFNA(IF(((INDEX(RulebookFields!C2:C1898, MATCH(D1022,RulebookFields!A2:A1898, 0))="")=TRUE),  "",  INDEX(RulebookFields!C2:C1898, MATCH(D1022,RulebookFields!A2:A1898, 0))), "")</f>
        <v>MessageTemplates</v>
      </c>
      <c r="I1022" s="4" t="str">
        <f>_xlfn.IFNA(IF(((INDEX(RulebookFields!D2:D1898, MATCH(D1022,RulebookFields!A2:A1898, 0))="")=TRUE),  "",  INDEX(RulebookFields!D2:D1898, MATCH(D1022,RulebookFields!A2:A1898, 0))), "")</f>
        <v>LastApprovedBodyHash</v>
      </c>
      <c r="J1022" s="4" t="b">
        <f>_xlfn.IFNA(IF(((INDEX(RulebookFields!I2:I1898, MATCH(D1022,RulebookFields!A2:A1898, 0))="")=TRUE),  "",  INDEX(RulebookFields!I2:I1898, MATCH(D1022,RulebookFields!A2:A1898, 0))), "")</f>
        <v>1</v>
      </c>
      <c r="K1022" s="4" t="b">
        <f>AND(((F1022)=TRUE), ((J1022)=TRUE))</f>
        <v>0</v>
      </c>
      <c r="L1022" s="4" t="b">
        <f>AND(((G1022 &lt;&gt; "plain")=TRUE), ((G1022 &lt;&gt; "")=TRUE))</f>
        <v>0</v>
      </c>
      <c r="M1022" s="4" t="str">
        <f>IF(((E1022)=TRUE),  C1022 &amp; "|" &amp; H1022,  "")</f>
        <v>principal-process-steward|MessageTemplates</v>
      </c>
      <c r="N1022" s="3" t="s">
        <v>10004</v>
      </c>
    </row>
    <row r="1023">
      <c r="A1023" s="3" t="s">
        <v>11025</v>
      </c>
      <c r="B1023" s="4" t="str">
        <f>C1023 &amp; " -&gt; " &amp; D1023</f>
        <v>principal-process-steward -&gt; MessageTemplates.LastValidApproval</v>
      </c>
      <c r="C1023" s="3" t="s">
        <v>9772</v>
      </c>
      <c r="D1023" s="3" t="s">
        <v>4113</v>
      </c>
      <c r="E1023" s="3" t="b">
        <v>1</v>
      </c>
      <c r="F1023" s="3" t="b">
        <v>0</v>
      </c>
      <c r="G1023" s="3" t="s">
        <v>10003</v>
      </c>
      <c r="H1023" s="4" t="str">
        <f>_xlfn.IFNA(IF(((INDEX(RulebookFields!C2:C1898, MATCH(D1023,RulebookFields!A2:A1898, 0))="")=TRUE),  "",  INDEX(RulebookFields!C2:C1898, MATCH(D1023,RulebookFields!A2:A1898, 0))), "")</f>
        <v>MessageTemplates</v>
      </c>
      <c r="I1023" s="4" t="str">
        <f>_xlfn.IFNA(IF(((INDEX(RulebookFields!D2:D1898, MATCH(D1023,RulebookFields!A2:A1898, 0))="")=TRUE),  "",  INDEX(RulebookFields!D2:D1898, MATCH(D1023,RulebookFields!A2:A1898, 0))), "")</f>
        <v>LastValidApproval</v>
      </c>
      <c r="J1023" s="4" t="b">
        <f>_xlfn.IFNA(IF(((INDEX(RulebookFields!I2:I1898, MATCH(D1023,RulebookFields!A2:A1898, 0))="")=TRUE),  "",  INDEX(RulebookFields!I2:I1898, MATCH(D1023,RulebookFields!A2:A1898, 0))), "")</f>
        <v>0</v>
      </c>
      <c r="K1023" s="4" t="b">
        <f>AND(((F1023)=TRUE), ((J1023)=TRUE))</f>
        <v>0</v>
      </c>
      <c r="L1023" s="4" t="b">
        <f>AND(((G1023 &lt;&gt; "plain")=TRUE), ((G1023 &lt;&gt; "")=TRUE))</f>
        <v>0</v>
      </c>
      <c r="M1023" s="4" t="str">
        <f>IF(((E1023)=TRUE),  C1023 &amp; "|" &amp; H1023,  "")</f>
        <v>principal-process-steward|MessageTemplates</v>
      </c>
      <c r="N1023" s="3" t="s">
        <v>10004</v>
      </c>
    </row>
    <row r="1024">
      <c r="A1024" s="3" t="s">
        <v>11026</v>
      </c>
      <c r="B1024" s="4" t="str">
        <f>C1024 &amp; " -&gt; " &amp; D1024</f>
        <v>principal-process-steward -&gt; MessageTemplates.HasBodyDrifted</v>
      </c>
      <c r="C1024" s="3" t="s">
        <v>9772</v>
      </c>
      <c r="D1024" s="3" t="s">
        <v>4114</v>
      </c>
      <c r="E1024" s="3" t="b">
        <v>1</v>
      </c>
      <c r="F1024" s="3" t="b">
        <v>0</v>
      </c>
      <c r="G1024" s="3" t="s">
        <v>10003</v>
      </c>
      <c r="H1024" s="4" t="str">
        <f>_xlfn.IFNA(IF(((INDEX(RulebookFields!C2:C1898, MATCH(D1024,RulebookFields!A2:A1898, 0))="")=TRUE),  "",  INDEX(RulebookFields!C2:C1898, MATCH(D1024,RulebookFields!A2:A1898, 0))), "")</f>
        <v>MessageTemplates</v>
      </c>
      <c r="I1024" s="4" t="str">
        <f>_xlfn.IFNA(IF(((INDEX(RulebookFields!D2:D1898, MATCH(D1024,RulebookFields!A2:A1898, 0))="")=TRUE),  "",  INDEX(RulebookFields!D2:D1898, MATCH(D1024,RulebookFields!A2:A1898, 0))), "")</f>
        <v>HasBodyDrifted</v>
      </c>
      <c r="J1024" s="4" t="b">
        <f>_xlfn.IFNA(IF(((INDEX(RulebookFields!I2:I1898, MATCH(D1024,RulebookFields!A2:A1898, 0))="")=TRUE),  "",  INDEX(RulebookFields!I2:I1898, MATCH(D1024,RulebookFields!A2:A1898, 0))), "")</f>
        <v>1</v>
      </c>
      <c r="K1024" s="4" t="b">
        <f>AND(((F1024)=TRUE), ((J1024)=TRUE))</f>
        <v>0</v>
      </c>
      <c r="L1024" s="4" t="b">
        <f>AND(((G1024 &lt;&gt; "plain")=TRUE), ((G1024 &lt;&gt; "")=TRUE))</f>
        <v>0</v>
      </c>
      <c r="M1024" s="4" t="str">
        <f>IF(((E1024)=TRUE),  C1024 &amp; "|" &amp; H1024,  "")</f>
        <v>principal-process-steward|MessageTemplates</v>
      </c>
      <c r="N1024" s="3" t="s">
        <v>10004</v>
      </c>
    </row>
    <row r="1025">
      <c r="A1025" s="3" t="s">
        <v>11027</v>
      </c>
      <c r="B1025" s="4" t="str">
        <f>C1025 &amp; " -&gt; " &amp; D1025</f>
        <v>principal-process-steward -&gt; MessageTemplates.IsSendableUnderApproval</v>
      </c>
      <c r="C1025" s="3" t="s">
        <v>9772</v>
      </c>
      <c r="D1025" s="3" t="s">
        <v>4116</v>
      </c>
      <c r="E1025" s="3" t="b">
        <v>1</v>
      </c>
      <c r="F1025" s="3" t="b">
        <v>0</v>
      </c>
      <c r="G1025" s="3" t="s">
        <v>10003</v>
      </c>
      <c r="H1025" s="4" t="str">
        <f>_xlfn.IFNA(IF(((INDEX(RulebookFields!C2:C1898, MATCH(D1025,RulebookFields!A2:A1898, 0))="")=TRUE),  "",  INDEX(RulebookFields!C2:C1898, MATCH(D1025,RulebookFields!A2:A1898, 0))), "")</f>
        <v>MessageTemplates</v>
      </c>
      <c r="I1025" s="4" t="str">
        <f>_xlfn.IFNA(IF(((INDEX(RulebookFields!D2:D1898, MATCH(D1025,RulebookFields!A2:A1898, 0))="")=TRUE),  "",  INDEX(RulebookFields!D2:D1898, MATCH(D1025,RulebookFields!A2:A1898, 0))), "")</f>
        <v>IsSendableUnderApproval</v>
      </c>
      <c r="J1025" s="4" t="b">
        <f>_xlfn.IFNA(IF(((INDEX(RulebookFields!I2:I1898, MATCH(D1025,RulebookFields!A2:A1898, 0))="")=TRUE),  "",  INDEX(RulebookFields!I2:I1898, MATCH(D1025,RulebookFields!A2:A1898, 0))), "")</f>
        <v>1</v>
      </c>
      <c r="K1025" s="4" t="b">
        <f>AND(((F1025)=TRUE), ((J1025)=TRUE))</f>
        <v>0</v>
      </c>
      <c r="L1025" s="4" t="b">
        <f>AND(((G1025 &lt;&gt; "plain")=TRUE), ((G1025 &lt;&gt; "")=TRUE))</f>
        <v>0</v>
      </c>
      <c r="M1025" s="4" t="str">
        <f>IF(((E1025)=TRUE),  C1025 &amp; "|" &amp; H1025,  "")</f>
        <v>principal-process-steward|MessageTemplates</v>
      </c>
      <c r="N1025" s="3" t="s">
        <v>10004</v>
      </c>
    </row>
    <row r="1026">
      <c r="A1026" s="3" t="s">
        <v>11028</v>
      </c>
      <c r="B1026" s="4" t="str">
        <f>C1026 &amp; " -&gt; " &amp; D1026</f>
        <v>principal-process-steward -&gt; MessageTemplates.DriftedSendCount</v>
      </c>
      <c r="C1026" s="3" t="s">
        <v>9772</v>
      </c>
      <c r="D1026" s="3" t="s">
        <v>4118</v>
      </c>
      <c r="E1026" s="3" t="b">
        <v>1</v>
      </c>
      <c r="F1026" s="3" t="b">
        <v>0</v>
      </c>
      <c r="G1026" s="3" t="s">
        <v>10003</v>
      </c>
      <c r="H1026" s="4" t="str">
        <f>_xlfn.IFNA(IF(((INDEX(RulebookFields!C2:C1898, MATCH(D1026,RulebookFields!A2:A1898, 0))="")=TRUE),  "",  INDEX(RulebookFields!C2:C1898, MATCH(D1026,RulebookFields!A2:A1898, 0))), "")</f>
        <v>MessageTemplates</v>
      </c>
      <c r="I1026" s="4" t="str">
        <f>_xlfn.IFNA(IF(((INDEX(RulebookFields!D2:D1898, MATCH(D1026,RulebookFields!A2:A1898, 0))="")=TRUE),  "",  INDEX(RulebookFields!D2:D1898, MATCH(D1026,RulebookFields!A2:A1898, 0))), "")</f>
        <v>DriftedSendCount</v>
      </c>
      <c r="J1026" s="4" t="b">
        <f>_xlfn.IFNA(IF(((INDEX(RulebookFields!I2:I1898, MATCH(D1026,RulebookFields!A2:A1898, 0))="")=TRUE),  "",  INDEX(RulebookFields!I2:I1898, MATCH(D1026,RulebookFields!A2:A1898, 0))), "")</f>
        <v>1</v>
      </c>
      <c r="K1026" s="4" t="b">
        <f>AND(((F1026)=TRUE), ((J1026)=TRUE))</f>
        <v>0</v>
      </c>
      <c r="L1026" s="4" t="b">
        <f>AND(((G1026 &lt;&gt; "plain")=TRUE), ((G1026 &lt;&gt; "")=TRUE))</f>
        <v>0</v>
      </c>
      <c r="M1026" s="4" t="str">
        <f>IF(((E1026)=TRUE),  C1026 &amp; "|" &amp; H1026,  "")</f>
        <v>principal-process-steward|MessageTemplates</v>
      </c>
      <c r="N1026" s="3" t="s">
        <v>10004</v>
      </c>
    </row>
    <row r="1027">
      <c r="A1027" s="3" t="s">
        <v>11029</v>
      </c>
      <c r="B1027" s="4" t="str">
        <f>C1027 &amp; " -&gt; " &amp; D1027</f>
        <v>principal-process-steward -&gt; MessageTemplates.UnansweredDeliveryCount</v>
      </c>
      <c r="C1027" s="3" t="s">
        <v>9772</v>
      </c>
      <c r="D1027" s="3" t="s">
        <v>4120</v>
      </c>
      <c r="E1027" s="3" t="b">
        <v>1</v>
      </c>
      <c r="F1027" s="3" t="b">
        <v>0</v>
      </c>
      <c r="G1027" s="3" t="s">
        <v>10003</v>
      </c>
      <c r="H1027" s="4" t="str">
        <f>_xlfn.IFNA(IF(((INDEX(RulebookFields!C2:C1898, MATCH(D1027,RulebookFields!A2:A1898, 0))="")=TRUE),  "",  INDEX(RulebookFields!C2:C1898, MATCH(D1027,RulebookFields!A2:A1898, 0))), "")</f>
        <v>MessageTemplates</v>
      </c>
      <c r="I1027" s="4" t="str">
        <f>_xlfn.IFNA(IF(((INDEX(RulebookFields!D2:D1898, MATCH(D1027,RulebookFields!A2:A1898, 0))="")=TRUE),  "",  INDEX(RulebookFields!D2:D1898, MATCH(D1027,RulebookFields!A2:A1898, 0))), "")</f>
        <v>UnansweredDeliveryCount</v>
      </c>
      <c r="J1027" s="4" t="b">
        <f>_xlfn.IFNA(IF(((INDEX(RulebookFields!I2:I1898, MATCH(D1027,RulebookFields!A2:A1898, 0))="")=TRUE),  "",  INDEX(RulebookFields!I2:I1898, MATCH(D1027,RulebookFields!A2:A1898, 0))), "")</f>
        <v>1</v>
      </c>
      <c r="K1027" s="4" t="b">
        <f>AND(((F1027)=TRUE), ((J1027)=TRUE))</f>
        <v>0</v>
      </c>
      <c r="L1027" s="4" t="b">
        <f>AND(((G1027 &lt;&gt; "plain")=TRUE), ((G1027 &lt;&gt; "")=TRUE))</f>
        <v>0</v>
      </c>
      <c r="M1027" s="4" t="str">
        <f>IF(((E1027)=TRUE),  C1027 &amp; "|" &amp; H1027,  "")</f>
        <v>principal-process-steward|MessageTemplates</v>
      </c>
      <c r="N1027" s="3" t="s">
        <v>10004</v>
      </c>
    </row>
    <row r="1028">
      <c r="A1028" s="3" t="s">
        <v>11030</v>
      </c>
      <c r="B1028" s="4" t="str">
        <f>C1028 &amp; " -&gt; " &amp; D1028</f>
        <v>principal-process-steward -&gt; MessageTemplates.TransmittedDeliveryCount</v>
      </c>
      <c r="C1028" s="3" t="s">
        <v>9772</v>
      </c>
      <c r="D1028" s="3" t="s">
        <v>4122</v>
      </c>
      <c r="E1028" s="3" t="b">
        <v>1</v>
      </c>
      <c r="F1028" s="3" t="b">
        <v>0</v>
      </c>
      <c r="G1028" s="3" t="s">
        <v>10003</v>
      </c>
      <c r="H1028" s="4" t="str">
        <f>_xlfn.IFNA(IF(((INDEX(RulebookFields!C2:C1898, MATCH(D1028,RulebookFields!A2:A1898, 0))="")=TRUE),  "",  INDEX(RulebookFields!C2:C1898, MATCH(D1028,RulebookFields!A2:A1898, 0))), "")</f>
        <v>MessageTemplates</v>
      </c>
      <c r="I1028" s="4" t="str">
        <f>_xlfn.IFNA(IF(((INDEX(RulebookFields!D2:D1898, MATCH(D1028,RulebookFields!A2:A1898, 0))="")=TRUE),  "",  INDEX(RulebookFields!D2:D1898, MATCH(D1028,RulebookFields!A2:A1898, 0))), "")</f>
        <v>TransmittedDeliveryCount</v>
      </c>
      <c r="J1028" s="4" t="b">
        <f>_xlfn.IFNA(IF(((INDEX(RulebookFields!I2:I1898, MATCH(D1028,RulebookFields!A2:A1898, 0))="")=TRUE),  "",  INDEX(RulebookFields!I2:I1898, MATCH(D1028,RulebookFields!A2:A1898, 0))), "")</f>
        <v>1</v>
      </c>
      <c r="K1028" s="4" t="b">
        <f>AND(((F1028)=TRUE), ((J1028)=TRUE))</f>
        <v>0</v>
      </c>
      <c r="L1028" s="4" t="b">
        <f>AND(((G1028 &lt;&gt; "plain")=TRUE), ((G1028 &lt;&gt; "")=TRUE))</f>
        <v>0</v>
      </c>
      <c r="M1028" s="4" t="str">
        <f>IF(((E1028)=TRUE),  C1028 &amp; "|" &amp; H1028,  "")</f>
        <v>principal-process-steward|MessageTemplates</v>
      </c>
      <c r="N1028" s="3" t="s">
        <v>10004</v>
      </c>
    </row>
    <row r="1029">
      <c r="A1029" s="3" t="s">
        <v>11031</v>
      </c>
      <c r="B1029" s="4" t="str">
        <f>C1029 &amp; " -&gt; " &amp; D1029</f>
        <v>principal-process-steward -&gt; MessageTemplates.TemplateDrawsNoResponse</v>
      </c>
      <c r="C1029" s="3" t="s">
        <v>9772</v>
      </c>
      <c r="D1029" s="3" t="s">
        <v>4124</v>
      </c>
      <c r="E1029" s="3" t="b">
        <v>1</v>
      </c>
      <c r="F1029" s="3" t="b">
        <v>0</v>
      </c>
      <c r="G1029" s="3" t="s">
        <v>10003</v>
      </c>
      <c r="H1029" s="4" t="str">
        <f>_xlfn.IFNA(IF(((INDEX(RulebookFields!C2:C1898, MATCH(D1029,RulebookFields!A2:A1898, 0))="")=TRUE),  "",  INDEX(RulebookFields!C2:C1898, MATCH(D1029,RulebookFields!A2:A1898, 0))), "")</f>
        <v>MessageTemplates</v>
      </c>
      <c r="I1029" s="4" t="str">
        <f>_xlfn.IFNA(IF(((INDEX(RulebookFields!D2:D1898, MATCH(D1029,RulebookFields!A2:A1898, 0))="")=TRUE),  "",  INDEX(RulebookFields!D2:D1898, MATCH(D1029,RulebookFields!A2:A1898, 0))), "")</f>
        <v>TemplateDrawsNoResponse</v>
      </c>
      <c r="J1029" s="4" t="b">
        <f>_xlfn.IFNA(IF(((INDEX(RulebookFields!I2:I1898, MATCH(D1029,RulebookFields!A2:A1898, 0))="")=TRUE),  "",  INDEX(RulebookFields!I2:I1898, MATCH(D1029,RulebookFields!A2:A1898, 0))), "")</f>
        <v>1</v>
      </c>
      <c r="K1029" s="4" t="b">
        <f>AND(((F1029)=TRUE), ((J1029)=TRUE))</f>
        <v>0</v>
      </c>
      <c r="L1029" s="4" t="b">
        <f>AND(((G1029 &lt;&gt; "plain")=TRUE), ((G1029 &lt;&gt; "")=TRUE))</f>
        <v>0</v>
      </c>
      <c r="M1029" s="4" t="str">
        <f>IF(((E1029)=TRUE),  C1029 &amp; "|" &amp; H1029,  "")</f>
        <v>principal-process-steward|MessageTemplates</v>
      </c>
      <c r="N1029" s="3" t="s">
        <v>10004</v>
      </c>
    </row>
    <row r="1030">
      <c r="A1030" s="3" t="s">
        <v>11032</v>
      </c>
      <c r="B1030" s="4" t="str">
        <f>C1030 &amp; " -&gt; " &amp; D1030</f>
        <v>principal-process-steward -&gt; MessageTemplates.LastApprovalAt</v>
      </c>
      <c r="C1030" s="3" t="s">
        <v>9772</v>
      </c>
      <c r="D1030" s="3" t="s">
        <v>4126</v>
      </c>
      <c r="E1030" s="3" t="b">
        <v>1</v>
      </c>
      <c r="F1030" s="3" t="b">
        <v>0</v>
      </c>
      <c r="G1030" s="3" t="s">
        <v>10003</v>
      </c>
      <c r="H1030" s="4" t="str">
        <f>_xlfn.IFNA(IF(((INDEX(RulebookFields!C2:C1898, MATCH(D1030,RulebookFields!A2:A1898, 0))="")=TRUE),  "",  INDEX(RulebookFields!C2:C1898, MATCH(D1030,RulebookFields!A2:A1898, 0))), "")</f>
        <v>MessageTemplates</v>
      </c>
      <c r="I1030" s="4" t="str">
        <f>_xlfn.IFNA(IF(((INDEX(RulebookFields!D2:D1898, MATCH(D1030,RulebookFields!A2:A1898, 0))="")=TRUE),  "",  INDEX(RulebookFields!D2:D1898, MATCH(D1030,RulebookFields!A2:A1898, 0))), "")</f>
        <v>LastApprovalAt</v>
      </c>
      <c r="J1030" s="4" t="b">
        <f>_xlfn.IFNA(IF(((INDEX(RulebookFields!I2:I1898, MATCH(D1030,RulebookFields!A2:A1898, 0))="")=TRUE),  "",  INDEX(RulebookFields!I2:I1898, MATCH(D1030,RulebookFields!A2:A1898, 0))), "")</f>
        <v>1</v>
      </c>
      <c r="K1030" s="4" t="b">
        <f>AND(((F1030)=TRUE), ((J1030)=TRUE))</f>
        <v>0</v>
      </c>
      <c r="L1030" s="4" t="b">
        <f>AND(((G1030 &lt;&gt; "plain")=TRUE), ((G1030 &lt;&gt; "")=TRUE))</f>
        <v>0</v>
      </c>
      <c r="M1030" s="4" t="str">
        <f>IF(((E1030)=TRUE),  C1030 &amp; "|" &amp; H1030,  "")</f>
        <v>principal-process-steward|MessageTemplates</v>
      </c>
      <c r="N1030" s="3" t="s">
        <v>10004</v>
      </c>
    </row>
    <row r="1031">
      <c r="A1031" s="3" t="s">
        <v>11033</v>
      </c>
      <c r="B1031" s="4" t="str">
        <f>C1031 &amp; " -&gt; " &amp; D1031</f>
        <v>principal-process-steward -&gt; MessageTemplates.SemanticTypeIri</v>
      </c>
      <c r="C1031" s="3" t="s">
        <v>9772</v>
      </c>
      <c r="D1031" s="3" t="s">
        <v>4128</v>
      </c>
      <c r="E1031" s="3" t="b">
        <v>1</v>
      </c>
      <c r="F1031" s="3" t="b">
        <v>0</v>
      </c>
      <c r="G1031" s="3" t="s">
        <v>10003</v>
      </c>
      <c r="H1031" s="4" t="str">
        <f>_xlfn.IFNA(IF(((INDEX(RulebookFields!C2:C1898, MATCH(D1031,RulebookFields!A2:A1898, 0))="")=TRUE),  "",  INDEX(RulebookFields!C2:C1898, MATCH(D1031,RulebookFields!A2:A1898, 0))), "")</f>
        <v>MessageTemplates</v>
      </c>
      <c r="I1031" s="4" t="str">
        <f>_xlfn.IFNA(IF(((INDEX(RulebookFields!D2:D1898, MATCH(D1031,RulebookFields!A2:A1898, 0))="")=TRUE),  "",  INDEX(RulebookFields!D2:D1898, MATCH(D1031,RulebookFields!A2:A1898, 0))), "")</f>
        <v>SemanticTypeIri</v>
      </c>
      <c r="J1031" s="4" t="b">
        <f>_xlfn.IFNA(IF(((INDEX(RulebookFields!I2:I1898, MATCH(D1031,RulebookFields!A2:A1898, 0))="")=TRUE),  "",  INDEX(RulebookFields!I2:I1898, MATCH(D1031,RulebookFields!A2:A1898, 0))), "")</f>
        <v>0</v>
      </c>
      <c r="K1031" s="4" t="b">
        <f>AND(((F1031)=TRUE), ((J1031)=TRUE))</f>
        <v>0</v>
      </c>
      <c r="L1031" s="4" t="b">
        <f>AND(((G1031 &lt;&gt; "plain")=TRUE), ((G1031 &lt;&gt; "")=TRUE))</f>
        <v>0</v>
      </c>
      <c r="M1031" s="4" t="str">
        <f>IF(((E1031)=TRUE),  C1031 &amp; "|" &amp; H1031,  "")</f>
        <v>principal-process-steward|MessageTemplates</v>
      </c>
      <c r="N1031" s="3" t="s">
        <v>10004</v>
      </c>
    </row>
    <row r="1032">
      <c r="A1032" s="3" t="s">
        <v>11034</v>
      </c>
      <c r="B1032" s="4" t="str">
        <f>C1032 &amp; " -&gt; " &amp; D1032</f>
        <v>principal-process-steward -&gt; ObservedTransitions.ObservedTransitionId</v>
      </c>
      <c r="C1032" s="3" t="s">
        <v>9772</v>
      </c>
      <c r="D1032" s="3" t="s">
        <v>4397</v>
      </c>
      <c r="E1032" s="3" t="b">
        <v>1</v>
      </c>
      <c r="F1032" s="3" t="b">
        <v>0</v>
      </c>
      <c r="G1032" s="3" t="s">
        <v>10003</v>
      </c>
      <c r="H1032" s="4" t="str">
        <f>_xlfn.IFNA(IF(((INDEX(RulebookFields!C2:C1898, MATCH(D1032,RulebookFields!A2:A1898, 0))="")=TRUE),  "",  INDEX(RulebookFields!C2:C1898, MATCH(D1032,RulebookFields!A2:A1898, 0))), "")</f>
        <v>ObservedTransitions</v>
      </c>
      <c r="I1032" s="4" t="str">
        <f>_xlfn.IFNA(IF(((INDEX(RulebookFields!D2:D1898, MATCH(D1032,RulebookFields!A2:A1898, 0))="")=TRUE),  "",  INDEX(RulebookFields!D2:D1898, MATCH(D1032,RulebookFields!A2:A1898, 0))), "")</f>
        <v>ObservedTransitionId</v>
      </c>
      <c r="J1032" s="4" t="b">
        <f>_xlfn.IFNA(IF(((INDEX(RulebookFields!I2:I1898, MATCH(D1032,RulebookFields!A2:A1898, 0))="")=TRUE),  "",  INDEX(RulebookFields!I2:I1898, MATCH(D1032,RulebookFields!A2:A1898, 0))), "")</f>
        <v>0</v>
      </c>
      <c r="K1032" s="4" t="b">
        <f>AND(((F1032)=TRUE), ((J1032)=TRUE))</f>
        <v>0</v>
      </c>
      <c r="L1032" s="4" t="b">
        <f>AND(((G1032 &lt;&gt; "plain")=TRUE), ((G1032 &lt;&gt; "")=TRUE))</f>
        <v>0</v>
      </c>
      <c r="M1032" s="4" t="str">
        <f>IF(((E1032)=TRUE),  C1032 &amp; "|" &amp; H1032,  "")</f>
        <v>principal-process-steward|ObservedTransitions</v>
      </c>
      <c r="N1032" s="3" t="s">
        <v>10004</v>
      </c>
    </row>
    <row r="1033">
      <c r="A1033" s="3" t="s">
        <v>11035</v>
      </c>
      <c r="B1033" s="4" t="str">
        <f>C1033 &amp; " -&gt; " &amp; D1033</f>
        <v>principal-process-steward -&gt; ObservedTransitions.Name</v>
      </c>
      <c r="C1033" s="3" t="s">
        <v>9772</v>
      </c>
      <c r="D1033" s="3" t="s">
        <v>4400</v>
      </c>
      <c r="E1033" s="3" t="b">
        <v>1</v>
      </c>
      <c r="F1033" s="3" t="b">
        <v>0</v>
      </c>
      <c r="G1033" s="3" t="s">
        <v>10003</v>
      </c>
      <c r="H1033" s="4" t="str">
        <f>_xlfn.IFNA(IF(((INDEX(RulebookFields!C2:C1898, MATCH(D1033,RulebookFields!A2:A1898, 0))="")=TRUE),  "",  INDEX(RulebookFields!C2:C1898, MATCH(D1033,RulebookFields!A2:A1898, 0))), "")</f>
        <v>ObservedTransitions</v>
      </c>
      <c r="I1033" s="4" t="str">
        <f>_xlfn.IFNA(IF(((INDEX(RulebookFields!D2:D1898, MATCH(D1033,RulebookFields!A2:A1898, 0))="")=TRUE),  "",  INDEX(RulebookFields!D2:D1898, MATCH(D1033,RulebookFields!A2:A1898, 0))), "")</f>
        <v>Name</v>
      </c>
      <c r="J1033" s="4" t="b">
        <f>_xlfn.IFNA(IF(((INDEX(RulebookFields!I2:I1898, MATCH(D1033,RulebookFields!A2:A1898, 0))="")=TRUE),  "",  INDEX(RulebookFields!I2:I1898, MATCH(D1033,RulebookFields!A2:A1898, 0))), "")</f>
        <v>1</v>
      </c>
      <c r="K1033" s="4" t="b">
        <f>AND(((F1033)=TRUE), ((J1033)=TRUE))</f>
        <v>0</v>
      </c>
      <c r="L1033" s="4" t="b">
        <f>AND(((G1033 &lt;&gt; "plain")=TRUE), ((G1033 &lt;&gt; "")=TRUE))</f>
        <v>0</v>
      </c>
      <c r="M1033" s="4" t="str">
        <f>IF(((E1033)=TRUE),  C1033 &amp; "|" &amp; H1033,  "")</f>
        <v>principal-process-steward|ObservedTransitions</v>
      </c>
      <c r="N1033" s="3" t="s">
        <v>10004</v>
      </c>
    </row>
    <row r="1034">
      <c r="A1034" s="3" t="s">
        <v>11036</v>
      </c>
      <c r="B1034" s="4" t="str">
        <f>C1034 &amp; " -&gt; " &amp; D1034</f>
        <v>principal-process-steward -&gt; ObservedTransitions.ProcedureExecution</v>
      </c>
      <c r="C1034" s="3" t="s">
        <v>9772</v>
      </c>
      <c r="D1034" s="3" t="s">
        <v>4402</v>
      </c>
      <c r="E1034" s="3" t="b">
        <v>1</v>
      </c>
      <c r="F1034" s="3" t="b">
        <v>0</v>
      </c>
      <c r="G1034" s="3" t="s">
        <v>10003</v>
      </c>
      <c r="H1034" s="4" t="str">
        <f>_xlfn.IFNA(IF(((INDEX(RulebookFields!C2:C1898, MATCH(D1034,RulebookFields!A2:A1898, 0))="")=TRUE),  "",  INDEX(RulebookFields!C2:C1898, MATCH(D1034,RulebookFields!A2:A1898, 0))), "")</f>
        <v>ObservedTransitions</v>
      </c>
      <c r="I1034" s="4" t="str">
        <f>_xlfn.IFNA(IF(((INDEX(RulebookFields!D2:D1898, MATCH(D1034,RulebookFields!A2:A1898, 0))="")=TRUE),  "",  INDEX(RulebookFields!D2:D1898, MATCH(D1034,RulebookFields!A2:A1898, 0))), "")</f>
        <v>ProcedureExecution</v>
      </c>
      <c r="J1034" s="4" t="b">
        <f>_xlfn.IFNA(IF(((INDEX(RulebookFields!I2:I1898, MATCH(D1034,RulebookFields!A2:A1898, 0))="")=TRUE),  "",  INDEX(RulebookFields!I2:I1898, MATCH(D1034,RulebookFields!A2:A1898, 0))), "")</f>
        <v>0</v>
      </c>
      <c r="K1034" s="4" t="b">
        <f>AND(((F1034)=TRUE), ((J1034)=TRUE))</f>
        <v>0</v>
      </c>
      <c r="L1034" s="4" t="b">
        <f>AND(((G1034 &lt;&gt; "plain")=TRUE), ((G1034 &lt;&gt; "")=TRUE))</f>
        <v>0</v>
      </c>
      <c r="M1034" s="4" t="str">
        <f>IF(((E1034)=TRUE),  C1034 &amp; "|" &amp; H1034,  "")</f>
        <v>principal-process-steward|ObservedTransitions</v>
      </c>
      <c r="N1034" s="3" t="s">
        <v>10004</v>
      </c>
    </row>
    <row r="1035">
      <c r="A1035" s="3" t="s">
        <v>11037</v>
      </c>
      <c r="B1035" s="4" t="str">
        <f>C1035 &amp; " -&gt; " &amp; D1035</f>
        <v>principal-process-steward -&gt; ObservedTransitions.StepTransition</v>
      </c>
      <c r="C1035" s="3" t="s">
        <v>9772</v>
      </c>
      <c r="D1035" s="3" t="s">
        <v>4403</v>
      </c>
      <c r="E1035" s="3" t="b">
        <v>1</v>
      </c>
      <c r="F1035" s="3" t="b">
        <v>0</v>
      </c>
      <c r="G1035" s="3" t="s">
        <v>10003</v>
      </c>
      <c r="H1035" s="4" t="str">
        <f>_xlfn.IFNA(IF(((INDEX(RulebookFields!C2:C1898, MATCH(D1035,RulebookFields!A2:A1898, 0))="")=TRUE),  "",  INDEX(RulebookFields!C2:C1898, MATCH(D1035,RulebookFields!A2:A1898, 0))), "")</f>
        <v>ObservedTransitions</v>
      </c>
      <c r="I1035" s="4" t="str">
        <f>_xlfn.IFNA(IF(((INDEX(RulebookFields!D2:D1898, MATCH(D1035,RulebookFields!A2:A1898, 0))="")=TRUE),  "",  INDEX(RulebookFields!D2:D1898, MATCH(D1035,RulebookFields!A2:A1898, 0))), "")</f>
        <v>StepTransition</v>
      </c>
      <c r="J1035" s="4" t="b">
        <f>_xlfn.IFNA(IF(((INDEX(RulebookFields!I2:I1898, MATCH(D1035,RulebookFields!A2:A1898, 0))="")=TRUE),  "",  INDEX(RulebookFields!I2:I1898, MATCH(D1035,RulebookFields!A2:A1898, 0))), "")</f>
        <v>0</v>
      </c>
      <c r="K1035" s="4" t="b">
        <f>AND(((F1035)=TRUE), ((J1035)=TRUE))</f>
        <v>0</v>
      </c>
      <c r="L1035" s="4" t="b">
        <f>AND(((G1035 &lt;&gt; "plain")=TRUE), ((G1035 &lt;&gt; "")=TRUE))</f>
        <v>0</v>
      </c>
      <c r="M1035" s="4" t="str">
        <f>IF(((E1035)=TRUE),  C1035 &amp; "|" &amp; H1035,  "")</f>
        <v>principal-process-steward|ObservedTransitions</v>
      </c>
      <c r="N1035" s="3" t="s">
        <v>10004</v>
      </c>
    </row>
    <row r="1036">
      <c r="A1036" s="3" t="s">
        <v>11038</v>
      </c>
      <c r="B1036" s="4" t="str">
        <f>C1036 &amp; " -&gt; " &amp; D1036</f>
        <v>principal-process-steward -&gt; ObservedTransitions.ArrivingStepExecution</v>
      </c>
      <c r="C1036" s="3" t="s">
        <v>9772</v>
      </c>
      <c r="D1036" s="3" t="s">
        <v>4405</v>
      </c>
      <c r="E1036" s="3" t="b">
        <v>1</v>
      </c>
      <c r="F1036" s="3" t="b">
        <v>0</v>
      </c>
      <c r="G1036" s="3" t="s">
        <v>10003</v>
      </c>
      <c r="H1036" s="4" t="str">
        <f>_xlfn.IFNA(IF(((INDEX(RulebookFields!C2:C1898, MATCH(D1036,RulebookFields!A2:A1898, 0))="")=TRUE),  "",  INDEX(RulebookFields!C2:C1898, MATCH(D1036,RulebookFields!A2:A1898, 0))), "")</f>
        <v>ObservedTransitions</v>
      </c>
      <c r="I1036" s="4" t="str">
        <f>_xlfn.IFNA(IF(((INDEX(RulebookFields!D2:D1898, MATCH(D1036,RulebookFields!A2:A1898, 0))="")=TRUE),  "",  INDEX(RulebookFields!D2:D1898, MATCH(D1036,RulebookFields!A2:A1898, 0))), "")</f>
        <v>ArrivingStepExecution</v>
      </c>
      <c r="J1036" s="4" t="b">
        <f>_xlfn.IFNA(IF(((INDEX(RulebookFields!I2:I1898, MATCH(D1036,RulebookFields!A2:A1898, 0))="")=TRUE),  "",  INDEX(RulebookFields!I2:I1898, MATCH(D1036,RulebookFields!A2:A1898, 0))), "")</f>
        <v>0</v>
      </c>
      <c r="K1036" s="4" t="b">
        <f>AND(((F1036)=TRUE), ((J1036)=TRUE))</f>
        <v>0</v>
      </c>
      <c r="L1036" s="4" t="b">
        <f>AND(((G1036 &lt;&gt; "plain")=TRUE), ((G1036 &lt;&gt; "")=TRUE))</f>
        <v>0</v>
      </c>
      <c r="M1036" s="4" t="str">
        <f>IF(((E1036)=TRUE),  C1036 &amp; "|" &amp; H1036,  "")</f>
        <v>principal-process-steward|ObservedTransitions</v>
      </c>
      <c r="N1036" s="3" t="s">
        <v>10004</v>
      </c>
    </row>
    <row r="1037">
      <c r="A1037" s="3" t="s">
        <v>11039</v>
      </c>
      <c r="B1037" s="4" t="str">
        <f>C1037 &amp; " -&gt; " &amp; D1037</f>
        <v>principal-process-steward -&gt; ObservedTransitions.ObservedAt</v>
      </c>
      <c r="C1037" s="3" t="s">
        <v>9772</v>
      </c>
      <c r="D1037" s="3" t="s">
        <v>4407</v>
      </c>
      <c r="E1037" s="3" t="b">
        <v>1</v>
      </c>
      <c r="F1037" s="3" t="b">
        <v>0</v>
      </c>
      <c r="G1037" s="3" t="s">
        <v>10003</v>
      </c>
      <c r="H1037" s="4" t="str">
        <f>_xlfn.IFNA(IF(((INDEX(RulebookFields!C2:C1898, MATCH(D1037,RulebookFields!A2:A1898, 0))="")=TRUE),  "",  INDEX(RulebookFields!C2:C1898, MATCH(D1037,RulebookFields!A2:A1898, 0))), "")</f>
        <v>ObservedTransitions</v>
      </c>
      <c r="I1037" s="4" t="str">
        <f>_xlfn.IFNA(IF(((INDEX(RulebookFields!D2:D1898, MATCH(D1037,RulebookFields!A2:A1898, 0))="")=TRUE),  "",  INDEX(RulebookFields!D2:D1898, MATCH(D1037,RulebookFields!A2:A1898, 0))), "")</f>
        <v>ObservedAt</v>
      </c>
      <c r="J1037" s="4" t="b">
        <f>_xlfn.IFNA(IF(((INDEX(RulebookFields!I2:I1898, MATCH(D1037,RulebookFields!A2:A1898, 0))="")=TRUE),  "",  INDEX(RulebookFields!I2:I1898, MATCH(D1037,RulebookFields!A2:A1898, 0))), "")</f>
        <v>0</v>
      </c>
      <c r="K1037" s="4" t="b">
        <f>AND(((F1037)=TRUE), ((J1037)=TRUE))</f>
        <v>0</v>
      </c>
      <c r="L1037" s="4" t="b">
        <f>AND(((G1037 &lt;&gt; "plain")=TRUE), ((G1037 &lt;&gt; "")=TRUE))</f>
        <v>0</v>
      </c>
      <c r="M1037" s="4" t="str">
        <f>IF(((E1037)=TRUE),  C1037 &amp; "|" &amp; H1037,  "")</f>
        <v>principal-process-steward|ObservedTransitions</v>
      </c>
      <c r="N1037" s="3" t="s">
        <v>10004</v>
      </c>
    </row>
    <row r="1038">
      <c r="A1038" s="3" t="s">
        <v>11040</v>
      </c>
      <c r="B1038" s="4" t="str">
        <f>C1038 &amp; " -&gt; " &amp; D1038</f>
        <v>principal-process-steward -&gt; ObservedTransitions.TriggerReason</v>
      </c>
      <c r="C1038" s="3" t="s">
        <v>9772</v>
      </c>
      <c r="D1038" s="3" t="s">
        <v>4408</v>
      </c>
      <c r="E1038" s="3" t="b">
        <v>1</v>
      </c>
      <c r="F1038" s="3" t="b">
        <v>0</v>
      </c>
      <c r="G1038" s="3" t="s">
        <v>10003</v>
      </c>
      <c r="H1038" s="4" t="str">
        <f>_xlfn.IFNA(IF(((INDEX(RulebookFields!C2:C1898, MATCH(D1038,RulebookFields!A2:A1898, 0))="")=TRUE),  "",  INDEX(RulebookFields!C2:C1898, MATCH(D1038,RulebookFields!A2:A1898, 0))), "")</f>
        <v>ObservedTransitions</v>
      </c>
      <c r="I1038" s="4" t="str">
        <f>_xlfn.IFNA(IF(((INDEX(RulebookFields!D2:D1898, MATCH(D1038,RulebookFields!A2:A1898, 0))="")=TRUE),  "",  INDEX(RulebookFields!D2:D1898, MATCH(D1038,RulebookFields!A2:A1898, 0))), "")</f>
        <v>TriggerReason</v>
      </c>
      <c r="J1038" s="4" t="b">
        <f>_xlfn.IFNA(IF(((INDEX(RulebookFields!I2:I1898, MATCH(D1038,RulebookFields!A2:A1898, 0))="")=TRUE),  "",  INDEX(RulebookFields!I2:I1898, MATCH(D1038,RulebookFields!A2:A1898, 0))), "")</f>
        <v>0</v>
      </c>
      <c r="K1038" s="4" t="b">
        <f>AND(((F1038)=TRUE), ((J1038)=TRUE))</f>
        <v>0</v>
      </c>
      <c r="L1038" s="4" t="b">
        <f>AND(((G1038 &lt;&gt; "plain")=TRUE), ((G1038 &lt;&gt; "")=TRUE))</f>
        <v>0</v>
      </c>
      <c r="M1038" s="4" t="str">
        <f>IF(((E1038)=TRUE),  C1038 &amp; "|" &amp; H1038,  "")</f>
        <v>principal-process-steward|ObservedTransitions</v>
      </c>
      <c r="N1038" s="3" t="s">
        <v>10004</v>
      </c>
    </row>
    <row r="1039">
      <c r="A1039" s="3" t="s">
        <v>11041</v>
      </c>
      <c r="B1039" s="4" t="str">
        <f>C1039 &amp; " -&gt; " &amp; D1039</f>
        <v>principal-process-steward -&gt; ObservedTransitions.SemanticTypeIri</v>
      </c>
      <c r="C1039" s="3" t="s">
        <v>9772</v>
      </c>
      <c r="D1039" s="3" t="s">
        <v>4410</v>
      </c>
      <c r="E1039" s="3" t="b">
        <v>1</v>
      </c>
      <c r="F1039" s="3" t="b">
        <v>0</v>
      </c>
      <c r="G1039" s="3" t="s">
        <v>10003</v>
      </c>
      <c r="H1039" s="4" t="str">
        <f>_xlfn.IFNA(IF(((INDEX(RulebookFields!C2:C1898, MATCH(D1039,RulebookFields!A2:A1898, 0))="")=TRUE),  "",  INDEX(RulebookFields!C2:C1898, MATCH(D1039,RulebookFields!A2:A1898, 0))), "")</f>
        <v>ObservedTransitions</v>
      </c>
      <c r="I1039" s="4" t="str">
        <f>_xlfn.IFNA(IF(((INDEX(RulebookFields!D2:D1898, MATCH(D1039,RulebookFields!A2:A1898, 0))="")=TRUE),  "",  INDEX(RulebookFields!D2:D1898, MATCH(D1039,RulebookFields!A2:A1898, 0))), "")</f>
        <v>SemanticTypeIri</v>
      </c>
      <c r="J1039" s="4" t="b">
        <f>_xlfn.IFNA(IF(((INDEX(RulebookFields!I2:I1898, MATCH(D1039,RulebookFields!A2:A1898, 0))="")=TRUE),  "",  INDEX(RulebookFields!I2:I1898, MATCH(D1039,RulebookFields!A2:A1898, 0))), "")</f>
        <v>0</v>
      </c>
      <c r="K1039" s="4" t="b">
        <f>AND(((F1039)=TRUE), ((J1039)=TRUE))</f>
        <v>0</v>
      </c>
      <c r="L1039" s="4" t="b">
        <f>AND(((G1039 &lt;&gt; "plain")=TRUE), ((G1039 &lt;&gt; "")=TRUE))</f>
        <v>0</v>
      </c>
      <c r="M1039" s="4" t="str">
        <f>IF(((E1039)=TRUE),  C1039 &amp; "|" &amp; H1039,  "")</f>
        <v>principal-process-steward|ObservedTransitions</v>
      </c>
      <c r="N1039" s="3" t="s">
        <v>10004</v>
      </c>
    </row>
    <row r="1040">
      <c r="A1040" s="3" t="s">
        <v>11042</v>
      </c>
      <c r="B1040" s="4" t="str">
        <f>C1040 &amp; " -&gt; " &amp; D1040</f>
        <v>principal-process-steward -&gt; OntologyProfiles.OntologyProfileId</v>
      </c>
      <c r="C1040" s="3" t="s">
        <v>9772</v>
      </c>
      <c r="D1040" s="3" t="s">
        <v>2433</v>
      </c>
      <c r="E1040" s="3" t="b">
        <v>1</v>
      </c>
      <c r="F1040" s="3" t="b">
        <v>0</v>
      </c>
      <c r="G1040" s="3" t="s">
        <v>10003</v>
      </c>
      <c r="H1040" s="4" t="str">
        <f>_xlfn.IFNA(IF(((INDEX(RulebookFields!C2:C1898, MATCH(D1040,RulebookFields!A2:A1898, 0))="")=TRUE),  "",  INDEX(RulebookFields!C2:C1898, MATCH(D1040,RulebookFields!A2:A1898, 0))), "")</f>
        <v>OntologyProfiles</v>
      </c>
      <c r="I1040" s="4" t="str">
        <f>_xlfn.IFNA(IF(((INDEX(RulebookFields!D2:D1898, MATCH(D1040,RulebookFields!A2:A1898, 0))="")=TRUE),  "",  INDEX(RulebookFields!D2:D1898, MATCH(D1040,RulebookFields!A2:A1898, 0))), "")</f>
        <v>OntologyProfileId</v>
      </c>
      <c r="J1040" s="4" t="b">
        <f>_xlfn.IFNA(IF(((INDEX(RulebookFields!I2:I1898, MATCH(D1040,RulebookFields!A2:A1898, 0))="")=TRUE),  "",  INDEX(RulebookFields!I2:I1898, MATCH(D1040,RulebookFields!A2:A1898, 0))), "")</f>
        <v>0</v>
      </c>
      <c r="K1040" s="4" t="b">
        <f>AND(((F1040)=TRUE), ((J1040)=TRUE))</f>
        <v>0</v>
      </c>
      <c r="L1040" s="4" t="b">
        <f>AND(((G1040 &lt;&gt; "plain")=TRUE), ((G1040 &lt;&gt; "")=TRUE))</f>
        <v>0</v>
      </c>
      <c r="M1040" s="4" t="str">
        <f>IF(((E1040)=TRUE),  C1040 &amp; "|" &amp; H1040,  "")</f>
        <v>principal-process-steward|OntologyProfiles</v>
      </c>
      <c r="N1040" s="3" t="s">
        <v>10004</v>
      </c>
    </row>
    <row r="1041">
      <c r="A1041" s="3" t="s">
        <v>11043</v>
      </c>
      <c r="B1041" s="4" t="str">
        <f>C1041 &amp; " -&gt; " &amp; D1041</f>
        <v>principal-process-steward -&gt; OntologyProfiles.Name</v>
      </c>
      <c r="C1041" s="3" t="s">
        <v>9772</v>
      </c>
      <c r="D1041" s="3" t="s">
        <v>2435</v>
      </c>
      <c r="E1041" s="3" t="b">
        <v>1</v>
      </c>
      <c r="F1041" s="3" t="b">
        <v>0</v>
      </c>
      <c r="G1041" s="3" t="s">
        <v>10003</v>
      </c>
      <c r="H1041" s="4" t="str">
        <f>_xlfn.IFNA(IF(((INDEX(RulebookFields!C2:C1898, MATCH(D1041,RulebookFields!A2:A1898, 0))="")=TRUE),  "",  INDEX(RulebookFields!C2:C1898, MATCH(D1041,RulebookFields!A2:A1898, 0))), "")</f>
        <v>OntologyProfiles</v>
      </c>
      <c r="I1041" s="4" t="str">
        <f>_xlfn.IFNA(IF(((INDEX(RulebookFields!D2:D1898, MATCH(D1041,RulebookFields!A2:A1898, 0))="")=TRUE),  "",  INDEX(RulebookFields!D2:D1898, MATCH(D1041,RulebookFields!A2:A1898, 0))), "")</f>
        <v>Name</v>
      </c>
      <c r="J1041" s="4" t="b">
        <f>_xlfn.IFNA(IF(((INDEX(RulebookFields!I2:I1898, MATCH(D1041,RulebookFields!A2:A1898, 0))="")=TRUE),  "",  INDEX(RulebookFields!I2:I1898, MATCH(D1041,RulebookFields!A2:A1898, 0))), "")</f>
        <v>1</v>
      </c>
      <c r="K1041" s="4" t="b">
        <f>AND(((F1041)=TRUE), ((J1041)=TRUE))</f>
        <v>0</v>
      </c>
      <c r="L1041" s="4" t="b">
        <f>AND(((G1041 &lt;&gt; "plain")=TRUE), ((G1041 &lt;&gt; "")=TRUE))</f>
        <v>0</v>
      </c>
      <c r="M1041" s="4" t="str">
        <f>IF(((E1041)=TRUE),  C1041 &amp; "|" &amp; H1041,  "")</f>
        <v>principal-process-steward|OntologyProfiles</v>
      </c>
      <c r="N1041" s="3" t="s">
        <v>10004</v>
      </c>
    </row>
    <row r="1042">
      <c r="A1042" s="3" t="s">
        <v>11044</v>
      </c>
      <c r="B1042" s="4" t="str">
        <f>C1042 &amp; " -&gt; " &amp; D1042</f>
        <v>principal-process-steward -&gt; OntologyProfiles.Label</v>
      </c>
      <c r="C1042" s="3" t="s">
        <v>9772</v>
      </c>
      <c r="D1042" s="3" t="s">
        <v>2437</v>
      </c>
      <c r="E1042" s="3" t="b">
        <v>1</v>
      </c>
      <c r="F1042" s="3" t="b">
        <v>0</v>
      </c>
      <c r="G1042" s="3" t="s">
        <v>10003</v>
      </c>
      <c r="H1042" s="4" t="str">
        <f>_xlfn.IFNA(IF(((INDEX(RulebookFields!C2:C1898, MATCH(D1042,RulebookFields!A2:A1898, 0))="")=TRUE),  "",  INDEX(RulebookFields!C2:C1898, MATCH(D1042,RulebookFields!A2:A1898, 0))), "")</f>
        <v>OntologyProfiles</v>
      </c>
      <c r="I1042" s="4" t="str">
        <f>_xlfn.IFNA(IF(((INDEX(RulebookFields!D2:D1898, MATCH(D1042,RulebookFields!A2:A1898, 0))="")=TRUE),  "",  INDEX(RulebookFields!D2:D1898, MATCH(D1042,RulebookFields!A2:A1898, 0))), "")</f>
        <v>Label</v>
      </c>
      <c r="J1042" s="4" t="b">
        <f>_xlfn.IFNA(IF(((INDEX(RulebookFields!I2:I1898, MATCH(D1042,RulebookFields!A2:A1898, 0))="")=TRUE),  "",  INDEX(RulebookFields!I2:I1898, MATCH(D1042,RulebookFields!A2:A1898, 0))), "")</f>
        <v>0</v>
      </c>
      <c r="K1042" s="4" t="b">
        <f>AND(((F1042)=TRUE), ((J1042)=TRUE))</f>
        <v>0</v>
      </c>
      <c r="L1042" s="4" t="b">
        <f>AND(((G1042 &lt;&gt; "plain")=TRUE), ((G1042 &lt;&gt; "")=TRUE))</f>
        <v>0</v>
      </c>
      <c r="M1042" s="4" t="str">
        <f>IF(((E1042)=TRUE),  C1042 &amp; "|" &amp; H1042,  "")</f>
        <v>principal-process-steward|OntologyProfiles</v>
      </c>
      <c r="N1042" s="3" t="s">
        <v>10004</v>
      </c>
    </row>
    <row r="1043">
      <c r="A1043" s="3" t="s">
        <v>11045</v>
      </c>
      <c r="B1043" s="4" t="str">
        <f>C1043 &amp; " -&gt; " &amp; D1043</f>
        <v>principal-process-steward -&gt; OntologyProfiles.Version</v>
      </c>
      <c r="C1043" s="3" t="s">
        <v>9772</v>
      </c>
      <c r="D1043" s="3" t="s">
        <v>2438</v>
      </c>
      <c r="E1043" s="3" t="b">
        <v>1</v>
      </c>
      <c r="F1043" s="3" t="b">
        <v>0</v>
      </c>
      <c r="G1043" s="3" t="s">
        <v>10003</v>
      </c>
      <c r="H1043" s="4" t="str">
        <f>_xlfn.IFNA(IF(((INDEX(RulebookFields!C2:C1898, MATCH(D1043,RulebookFields!A2:A1898, 0))="")=TRUE),  "",  INDEX(RulebookFields!C2:C1898, MATCH(D1043,RulebookFields!A2:A1898, 0))), "")</f>
        <v>OntologyProfiles</v>
      </c>
      <c r="I1043" s="4" t="str">
        <f>_xlfn.IFNA(IF(((INDEX(RulebookFields!D2:D1898, MATCH(D1043,RulebookFields!A2:A1898, 0))="")=TRUE),  "",  INDEX(RulebookFields!D2:D1898, MATCH(D1043,RulebookFields!A2:A1898, 0))), "")</f>
        <v>Version</v>
      </c>
      <c r="J1043" s="4" t="b">
        <f>_xlfn.IFNA(IF(((INDEX(RulebookFields!I2:I1898, MATCH(D1043,RulebookFields!A2:A1898, 0))="")=TRUE),  "",  INDEX(RulebookFields!I2:I1898, MATCH(D1043,RulebookFields!A2:A1898, 0))), "")</f>
        <v>0</v>
      </c>
      <c r="K1043" s="4" t="b">
        <f>AND(((F1043)=TRUE), ((J1043)=TRUE))</f>
        <v>0</v>
      </c>
      <c r="L1043" s="4" t="b">
        <f>AND(((G1043 &lt;&gt; "plain")=TRUE), ((G1043 &lt;&gt; "")=TRUE))</f>
        <v>0</v>
      </c>
      <c r="M1043" s="4" t="str">
        <f>IF(((E1043)=TRUE),  C1043 &amp; "|" &amp; H1043,  "")</f>
        <v>principal-process-steward|OntologyProfiles</v>
      </c>
      <c r="N1043" s="3" t="s">
        <v>10004</v>
      </c>
    </row>
    <row r="1044">
      <c r="A1044" s="3" t="s">
        <v>11046</v>
      </c>
      <c r="B1044" s="4" t="str">
        <f>C1044 &amp; " -&gt; " &amp; D1044</f>
        <v>principal-process-steward -&gt; OntologyProfiles.VersionIri</v>
      </c>
      <c r="C1044" s="3" t="s">
        <v>9772</v>
      </c>
      <c r="D1044" s="3" t="s">
        <v>2439</v>
      </c>
      <c r="E1044" s="3" t="b">
        <v>1</v>
      </c>
      <c r="F1044" s="3" t="b">
        <v>0</v>
      </c>
      <c r="G1044" s="3" t="s">
        <v>10003</v>
      </c>
      <c r="H1044" s="4" t="str">
        <f>_xlfn.IFNA(IF(((INDEX(RulebookFields!C2:C1898, MATCH(D1044,RulebookFields!A2:A1898, 0))="")=TRUE),  "",  INDEX(RulebookFields!C2:C1898, MATCH(D1044,RulebookFields!A2:A1898, 0))), "")</f>
        <v>OntologyProfiles</v>
      </c>
      <c r="I1044" s="4" t="str">
        <f>_xlfn.IFNA(IF(((INDEX(RulebookFields!D2:D1898, MATCH(D1044,RulebookFields!A2:A1898, 0))="")=TRUE),  "",  INDEX(RulebookFields!D2:D1898, MATCH(D1044,RulebookFields!A2:A1898, 0))), "")</f>
        <v>VersionIri</v>
      </c>
      <c r="J1044" s="4" t="b">
        <f>_xlfn.IFNA(IF(((INDEX(RulebookFields!I2:I1898, MATCH(D1044,RulebookFields!A2:A1898, 0))="")=TRUE),  "",  INDEX(RulebookFields!I2:I1898, MATCH(D1044,RulebookFields!A2:A1898, 0))), "")</f>
        <v>0</v>
      </c>
      <c r="K1044" s="4" t="b">
        <f>AND(((F1044)=TRUE), ((J1044)=TRUE))</f>
        <v>0</v>
      </c>
      <c r="L1044" s="4" t="b">
        <f>AND(((G1044 &lt;&gt; "plain")=TRUE), ((G1044 &lt;&gt; "")=TRUE))</f>
        <v>0</v>
      </c>
      <c r="M1044" s="4" t="str">
        <f>IF(((E1044)=TRUE),  C1044 &amp; "|" &amp; H1044,  "")</f>
        <v>principal-process-steward|OntologyProfiles</v>
      </c>
      <c r="N1044" s="3" t="s">
        <v>10004</v>
      </c>
    </row>
    <row r="1045">
      <c r="A1045" s="3" t="s">
        <v>11047</v>
      </c>
      <c r="B1045" s="4" t="str">
        <f>C1045 &amp; " -&gt; " &amp; D1045</f>
        <v>principal-process-steward -&gt; OntologyProfiles.NamespaceIri</v>
      </c>
      <c r="C1045" s="3" t="s">
        <v>9772</v>
      </c>
      <c r="D1045" s="3" t="s">
        <v>2440</v>
      </c>
      <c r="E1045" s="3" t="b">
        <v>1</v>
      </c>
      <c r="F1045" s="3" t="b">
        <v>0</v>
      </c>
      <c r="G1045" s="3" t="s">
        <v>10003</v>
      </c>
      <c r="H1045" s="4" t="str">
        <f>_xlfn.IFNA(IF(((INDEX(RulebookFields!C2:C1898, MATCH(D1045,RulebookFields!A2:A1898, 0))="")=TRUE),  "",  INDEX(RulebookFields!C2:C1898, MATCH(D1045,RulebookFields!A2:A1898, 0))), "")</f>
        <v>OntologyProfiles</v>
      </c>
      <c r="I1045" s="4" t="str">
        <f>_xlfn.IFNA(IF(((INDEX(RulebookFields!D2:D1898, MATCH(D1045,RulebookFields!A2:A1898, 0))="")=TRUE),  "",  INDEX(RulebookFields!D2:D1898, MATCH(D1045,RulebookFields!A2:A1898, 0))), "")</f>
        <v>NamespaceIri</v>
      </c>
      <c r="J1045" s="4" t="b">
        <f>_xlfn.IFNA(IF(((INDEX(RulebookFields!I2:I1898, MATCH(D1045,RulebookFields!A2:A1898, 0))="")=TRUE),  "",  INDEX(RulebookFields!I2:I1898, MATCH(D1045,RulebookFields!A2:A1898, 0))), "")</f>
        <v>0</v>
      </c>
      <c r="K1045" s="4" t="b">
        <f>AND(((F1045)=TRUE), ((J1045)=TRUE))</f>
        <v>0</v>
      </c>
      <c r="L1045" s="4" t="b">
        <f>AND(((G1045 &lt;&gt; "plain")=TRUE), ((G1045 &lt;&gt; "")=TRUE))</f>
        <v>0</v>
      </c>
      <c r="M1045" s="4" t="str">
        <f>IF(((E1045)=TRUE),  C1045 &amp; "|" &amp; H1045,  "")</f>
        <v>principal-process-steward|OntologyProfiles</v>
      </c>
      <c r="N1045" s="3" t="s">
        <v>10004</v>
      </c>
    </row>
    <row r="1046">
      <c r="A1046" s="3" t="s">
        <v>11048</v>
      </c>
      <c r="B1046" s="4" t="str">
        <f>C1046 &amp; " -&gt; " &amp; D1046</f>
        <v>principal-process-steward -&gt; OntologyProfiles.License</v>
      </c>
      <c r="C1046" s="3" t="s">
        <v>9772</v>
      </c>
      <c r="D1046" s="3" t="s">
        <v>2441</v>
      </c>
      <c r="E1046" s="3" t="b">
        <v>1</v>
      </c>
      <c r="F1046" s="3" t="b">
        <v>0</v>
      </c>
      <c r="G1046" s="3" t="s">
        <v>10003</v>
      </c>
      <c r="H1046" s="4" t="str">
        <f>_xlfn.IFNA(IF(((INDEX(RulebookFields!C2:C1898, MATCH(D1046,RulebookFields!A2:A1898, 0))="")=TRUE),  "",  INDEX(RulebookFields!C2:C1898, MATCH(D1046,RulebookFields!A2:A1898, 0))), "")</f>
        <v>OntologyProfiles</v>
      </c>
      <c r="I1046" s="4" t="str">
        <f>_xlfn.IFNA(IF(((INDEX(RulebookFields!D2:D1898, MATCH(D1046,RulebookFields!A2:A1898, 0))="")=TRUE),  "",  INDEX(RulebookFields!D2:D1898, MATCH(D1046,RulebookFields!A2:A1898, 0))), "")</f>
        <v>License</v>
      </c>
      <c r="J1046" s="4" t="b">
        <f>_xlfn.IFNA(IF(((INDEX(RulebookFields!I2:I1898, MATCH(D1046,RulebookFields!A2:A1898, 0))="")=TRUE),  "",  INDEX(RulebookFields!I2:I1898, MATCH(D1046,RulebookFields!A2:A1898, 0))), "")</f>
        <v>0</v>
      </c>
      <c r="K1046" s="4" t="b">
        <f>AND(((F1046)=TRUE), ((J1046)=TRUE))</f>
        <v>0</v>
      </c>
      <c r="L1046" s="4" t="b">
        <f>AND(((G1046 &lt;&gt; "plain")=TRUE), ((G1046 &lt;&gt; "")=TRUE))</f>
        <v>0</v>
      </c>
      <c r="M1046" s="4" t="str">
        <f>IF(((E1046)=TRUE),  C1046 &amp; "|" &amp; H1046,  "")</f>
        <v>principal-process-steward|OntologyProfiles</v>
      </c>
      <c r="N1046" s="3" t="s">
        <v>10004</v>
      </c>
    </row>
    <row r="1047">
      <c r="A1047" s="3" t="s">
        <v>11049</v>
      </c>
      <c r="B1047" s="4" t="str">
        <f>C1047 &amp; " -&gt; " &amp; D1047</f>
        <v>principal-process-steward -&gt; OntologyProfiles.Scope</v>
      </c>
      <c r="C1047" s="3" t="s">
        <v>9772</v>
      </c>
      <c r="D1047" s="3" t="s">
        <v>2442</v>
      </c>
      <c r="E1047" s="3" t="b">
        <v>1</v>
      </c>
      <c r="F1047" s="3" t="b">
        <v>0</v>
      </c>
      <c r="G1047" s="3" t="s">
        <v>10003</v>
      </c>
      <c r="H1047" s="4" t="str">
        <f>_xlfn.IFNA(IF(((INDEX(RulebookFields!C2:C1898, MATCH(D1047,RulebookFields!A2:A1898, 0))="")=TRUE),  "",  INDEX(RulebookFields!C2:C1898, MATCH(D1047,RulebookFields!A2:A1898, 0))), "")</f>
        <v>OntologyProfiles</v>
      </c>
      <c r="I1047" s="4" t="str">
        <f>_xlfn.IFNA(IF(((INDEX(RulebookFields!D2:D1898, MATCH(D1047,RulebookFields!A2:A1898, 0))="")=TRUE),  "",  INDEX(RulebookFields!D2:D1898, MATCH(D1047,RulebookFields!A2:A1898, 0))), "")</f>
        <v>Scope</v>
      </c>
      <c r="J1047" s="4" t="b">
        <f>_xlfn.IFNA(IF(((INDEX(RulebookFields!I2:I1898, MATCH(D1047,RulebookFields!A2:A1898, 0))="")=TRUE),  "",  INDEX(RulebookFields!I2:I1898, MATCH(D1047,RulebookFields!A2:A1898, 0))), "")</f>
        <v>0</v>
      </c>
      <c r="K1047" s="4" t="b">
        <f>AND(((F1047)=TRUE), ((J1047)=TRUE))</f>
        <v>0</v>
      </c>
      <c r="L1047" s="4" t="b">
        <f>AND(((G1047 &lt;&gt; "plain")=TRUE), ((G1047 &lt;&gt; "")=TRUE))</f>
        <v>0</v>
      </c>
      <c r="M1047" s="4" t="str">
        <f>IF(((E1047)=TRUE),  C1047 &amp; "|" &amp; H1047,  "")</f>
        <v>principal-process-steward|OntologyProfiles</v>
      </c>
      <c r="N1047" s="3" t="s">
        <v>10004</v>
      </c>
    </row>
    <row r="1048">
      <c r="A1048" s="3" t="s">
        <v>11050</v>
      </c>
      <c r="B1048" s="4" t="str">
        <f>C1048 &amp; " -&gt; " &amp; D1048</f>
        <v>principal-process-steward -&gt; OperationalBindings.OperationalBindingId</v>
      </c>
      <c r="C1048" s="3" t="s">
        <v>9772</v>
      </c>
      <c r="D1048" s="3" t="s">
        <v>4028</v>
      </c>
      <c r="E1048" s="3" t="b">
        <v>1</v>
      </c>
      <c r="F1048" s="3" t="b">
        <v>0</v>
      </c>
      <c r="G1048" s="3" t="s">
        <v>10003</v>
      </c>
      <c r="H1048" s="4" t="str">
        <f>_xlfn.IFNA(IF(((INDEX(RulebookFields!C2:C1898, MATCH(D1048,RulebookFields!A2:A1898, 0))="")=TRUE),  "",  INDEX(RulebookFields!C2:C1898, MATCH(D1048,RulebookFields!A2:A1898, 0))), "")</f>
        <v>OperationalBindings</v>
      </c>
      <c r="I1048" s="4" t="str">
        <f>_xlfn.IFNA(IF(((INDEX(RulebookFields!D2:D1898, MATCH(D1048,RulebookFields!A2:A1898, 0))="")=TRUE),  "",  INDEX(RulebookFields!D2:D1898, MATCH(D1048,RulebookFields!A2:A1898, 0))), "")</f>
        <v>OperationalBindingId</v>
      </c>
      <c r="J1048" s="4" t="b">
        <f>_xlfn.IFNA(IF(((INDEX(RulebookFields!I2:I1898, MATCH(D1048,RulebookFields!A2:A1898, 0))="")=TRUE),  "",  INDEX(RulebookFields!I2:I1898, MATCH(D1048,RulebookFields!A2:A1898, 0))), "")</f>
        <v>0</v>
      </c>
      <c r="K1048" s="4" t="b">
        <f>AND(((F1048)=TRUE), ((J1048)=TRUE))</f>
        <v>0</v>
      </c>
      <c r="L1048" s="4" t="b">
        <f>AND(((G1048 &lt;&gt; "plain")=TRUE), ((G1048 &lt;&gt; "")=TRUE))</f>
        <v>0</v>
      </c>
      <c r="M1048" s="4" t="str">
        <f>IF(((E1048)=TRUE),  C1048 &amp; "|" &amp; H1048,  "")</f>
        <v>principal-process-steward|OperationalBindings</v>
      </c>
      <c r="N1048" s="3" t="s">
        <v>10004</v>
      </c>
    </row>
    <row r="1049">
      <c r="A1049" s="3" t="s">
        <v>11051</v>
      </c>
      <c r="B1049" s="4" t="str">
        <f>C1049 &amp; " -&gt; " &amp; D1049</f>
        <v>principal-process-steward -&gt; OperationalBindings.Name</v>
      </c>
      <c r="C1049" s="3" t="s">
        <v>9772</v>
      </c>
      <c r="D1049" s="3" t="s">
        <v>4029</v>
      </c>
      <c r="E1049" s="3" t="b">
        <v>1</v>
      </c>
      <c r="F1049" s="3" t="b">
        <v>0</v>
      </c>
      <c r="G1049" s="3" t="s">
        <v>10003</v>
      </c>
      <c r="H1049" s="4" t="str">
        <f>_xlfn.IFNA(IF(((INDEX(RulebookFields!C2:C1898, MATCH(D1049,RulebookFields!A2:A1898, 0))="")=TRUE),  "",  INDEX(RulebookFields!C2:C1898, MATCH(D1049,RulebookFields!A2:A1898, 0))), "")</f>
        <v>OperationalBindings</v>
      </c>
      <c r="I1049" s="4" t="str">
        <f>_xlfn.IFNA(IF(((INDEX(RulebookFields!D2:D1898, MATCH(D1049,RulebookFields!A2:A1898, 0))="")=TRUE),  "",  INDEX(RulebookFields!D2:D1898, MATCH(D1049,RulebookFields!A2:A1898, 0))), "")</f>
        <v>Name</v>
      </c>
      <c r="J1049" s="4" t="b">
        <f>_xlfn.IFNA(IF(((INDEX(RulebookFields!I2:I1898, MATCH(D1049,RulebookFields!A2:A1898, 0))="")=TRUE),  "",  INDEX(RulebookFields!I2:I1898, MATCH(D1049,RulebookFields!A2:A1898, 0))), "")</f>
        <v>1</v>
      </c>
      <c r="K1049" s="4" t="b">
        <f>AND(((F1049)=TRUE), ((J1049)=TRUE))</f>
        <v>0</v>
      </c>
      <c r="L1049" s="4" t="b">
        <f>AND(((G1049 &lt;&gt; "plain")=TRUE), ((G1049 &lt;&gt; "")=TRUE))</f>
        <v>0</v>
      </c>
      <c r="M1049" s="4" t="str">
        <f>IF(((E1049)=TRUE),  C1049 &amp; "|" &amp; H1049,  "")</f>
        <v>principal-process-steward|OperationalBindings</v>
      </c>
      <c r="N1049" s="3" t="s">
        <v>10004</v>
      </c>
    </row>
    <row r="1050">
      <c r="A1050" s="3" t="s">
        <v>11052</v>
      </c>
      <c r="B1050" s="4" t="str">
        <f>C1050 &amp; " -&gt; " &amp; D1050</f>
        <v>principal-process-steward -&gt; OperationalBindings.ProcedureVersion</v>
      </c>
      <c r="C1050" s="3" t="s">
        <v>9772</v>
      </c>
      <c r="D1050" s="3" t="s">
        <v>4031</v>
      </c>
      <c r="E1050" s="3" t="b">
        <v>1</v>
      </c>
      <c r="F1050" s="3" t="b">
        <v>0</v>
      </c>
      <c r="G1050" s="3" t="s">
        <v>10003</v>
      </c>
      <c r="H1050" s="4" t="str">
        <f>_xlfn.IFNA(IF(((INDEX(RulebookFields!C2:C1898, MATCH(D1050,RulebookFields!A2:A1898, 0))="")=TRUE),  "",  INDEX(RulebookFields!C2:C1898, MATCH(D1050,RulebookFields!A2:A1898, 0))), "")</f>
        <v>OperationalBindings</v>
      </c>
      <c r="I1050" s="4" t="str">
        <f>_xlfn.IFNA(IF(((INDEX(RulebookFields!D2:D1898, MATCH(D1050,RulebookFields!A2:A1898, 0))="")=TRUE),  "",  INDEX(RulebookFields!D2:D1898, MATCH(D1050,RulebookFields!A2:A1898, 0))), "")</f>
        <v>ProcedureVersion</v>
      </c>
      <c r="J1050" s="4" t="b">
        <f>_xlfn.IFNA(IF(((INDEX(RulebookFields!I2:I1898, MATCH(D1050,RulebookFields!A2:A1898, 0))="")=TRUE),  "",  INDEX(RulebookFields!I2:I1898, MATCH(D1050,RulebookFields!A2:A1898, 0))), "")</f>
        <v>0</v>
      </c>
      <c r="K1050" s="4" t="b">
        <f>AND(((F1050)=TRUE), ((J1050)=TRUE))</f>
        <v>0</v>
      </c>
      <c r="L1050" s="4" t="b">
        <f>AND(((G1050 &lt;&gt; "plain")=TRUE), ((G1050 &lt;&gt; "")=TRUE))</f>
        <v>0</v>
      </c>
      <c r="M1050" s="4" t="str">
        <f>IF(((E1050)=TRUE),  C1050 &amp; "|" &amp; H1050,  "")</f>
        <v>principal-process-steward|OperationalBindings</v>
      </c>
      <c r="N1050" s="3" t="s">
        <v>10004</v>
      </c>
    </row>
    <row r="1051">
      <c r="A1051" s="3" t="s">
        <v>11053</v>
      </c>
      <c r="B1051" s="4" t="str">
        <f>C1051 &amp; " -&gt; " &amp; D1051</f>
        <v>principal-process-steward -&gt; OperationalBindings.Step</v>
      </c>
      <c r="C1051" s="3" t="s">
        <v>9772</v>
      </c>
      <c r="D1051" s="3" t="s">
        <v>4032</v>
      </c>
      <c r="E1051" s="3" t="b">
        <v>1</v>
      </c>
      <c r="F1051" s="3" t="b">
        <v>0</v>
      </c>
      <c r="G1051" s="3" t="s">
        <v>10003</v>
      </c>
      <c r="H1051" s="4" t="str">
        <f>_xlfn.IFNA(IF(((INDEX(RulebookFields!C2:C1898, MATCH(D1051,RulebookFields!A2:A1898, 0))="")=TRUE),  "",  INDEX(RulebookFields!C2:C1898, MATCH(D1051,RulebookFields!A2:A1898, 0))), "")</f>
        <v>OperationalBindings</v>
      </c>
      <c r="I1051" s="4" t="str">
        <f>_xlfn.IFNA(IF(((INDEX(RulebookFields!D2:D1898, MATCH(D1051,RulebookFields!A2:A1898, 0))="")=TRUE),  "",  INDEX(RulebookFields!D2:D1898, MATCH(D1051,RulebookFields!A2:A1898, 0))), "")</f>
        <v>Step</v>
      </c>
      <c r="J1051" s="4" t="b">
        <f>_xlfn.IFNA(IF(((INDEX(RulebookFields!I2:I1898, MATCH(D1051,RulebookFields!A2:A1898, 0))="")=TRUE),  "",  INDEX(RulebookFields!I2:I1898, MATCH(D1051,RulebookFields!A2:A1898, 0))), "")</f>
        <v>0</v>
      </c>
      <c r="K1051" s="4" t="b">
        <f>AND(((F1051)=TRUE), ((J1051)=TRUE))</f>
        <v>0</v>
      </c>
      <c r="L1051" s="4" t="b">
        <f>AND(((G1051 &lt;&gt; "plain")=TRUE), ((G1051 &lt;&gt; "")=TRUE))</f>
        <v>0</v>
      </c>
      <c r="M1051" s="4" t="str">
        <f>IF(((E1051)=TRUE),  C1051 &amp; "|" &amp; H1051,  "")</f>
        <v>principal-process-steward|OperationalBindings</v>
      </c>
      <c r="N1051" s="3" t="s">
        <v>10004</v>
      </c>
    </row>
    <row r="1052">
      <c r="A1052" s="3" t="s">
        <v>11054</v>
      </c>
      <c r="B1052" s="4" t="str">
        <f>C1052 &amp; " -&gt; " &amp; D1052</f>
        <v>principal-process-steward -&gt; OperationalBindings.Resource</v>
      </c>
      <c r="C1052" s="3" t="s">
        <v>9772</v>
      </c>
      <c r="D1052" s="3" t="s">
        <v>4033</v>
      </c>
      <c r="E1052" s="3" t="b">
        <v>1</v>
      </c>
      <c r="F1052" s="3" t="b">
        <v>0</v>
      </c>
      <c r="G1052" s="3" t="s">
        <v>10003</v>
      </c>
      <c r="H1052" s="4" t="str">
        <f>_xlfn.IFNA(IF(((INDEX(RulebookFields!C2:C1898, MATCH(D1052,RulebookFields!A2:A1898, 0))="")=TRUE),  "",  INDEX(RulebookFields!C2:C1898, MATCH(D1052,RulebookFields!A2:A1898, 0))), "")</f>
        <v>OperationalBindings</v>
      </c>
      <c r="I1052" s="4" t="str">
        <f>_xlfn.IFNA(IF(((INDEX(RulebookFields!D2:D1898, MATCH(D1052,RulebookFields!A2:A1898, 0))="")=TRUE),  "",  INDEX(RulebookFields!D2:D1898, MATCH(D1052,RulebookFields!A2:A1898, 0))), "")</f>
        <v>Resource</v>
      </c>
      <c r="J1052" s="4" t="b">
        <f>_xlfn.IFNA(IF(((INDEX(RulebookFields!I2:I1898, MATCH(D1052,RulebookFields!A2:A1898, 0))="")=TRUE),  "",  INDEX(RulebookFields!I2:I1898, MATCH(D1052,RulebookFields!A2:A1898, 0))), "")</f>
        <v>0</v>
      </c>
      <c r="K1052" s="4" t="b">
        <f>AND(((F1052)=TRUE), ((J1052)=TRUE))</f>
        <v>0</v>
      </c>
      <c r="L1052" s="4" t="b">
        <f>AND(((G1052 &lt;&gt; "plain")=TRUE), ((G1052 &lt;&gt; "")=TRUE))</f>
        <v>0</v>
      </c>
      <c r="M1052" s="4" t="str">
        <f>IF(((E1052)=TRUE),  C1052 &amp; "|" &amp; H1052,  "")</f>
        <v>principal-process-steward|OperationalBindings</v>
      </c>
      <c r="N1052" s="3" t="s">
        <v>10004</v>
      </c>
    </row>
    <row r="1053">
      <c r="A1053" s="3" t="s">
        <v>11055</v>
      </c>
      <c r="B1053" s="4" t="str">
        <f>C1053 &amp; " -&gt; " &amp; D1053</f>
        <v>principal-process-steward -&gt; OperationalBindings.AccessMode</v>
      </c>
      <c r="C1053" s="3" t="s">
        <v>9772</v>
      </c>
      <c r="D1053" s="3" t="s">
        <v>4034</v>
      </c>
      <c r="E1053" s="3" t="b">
        <v>1</v>
      </c>
      <c r="F1053" s="3" t="b">
        <v>0</v>
      </c>
      <c r="G1053" s="3" t="s">
        <v>10003</v>
      </c>
      <c r="H1053" s="4" t="str">
        <f>_xlfn.IFNA(IF(((INDEX(RulebookFields!C2:C1898, MATCH(D1053,RulebookFields!A2:A1898, 0))="")=TRUE),  "",  INDEX(RulebookFields!C2:C1898, MATCH(D1053,RulebookFields!A2:A1898, 0))), "")</f>
        <v>OperationalBindings</v>
      </c>
      <c r="I1053" s="4" t="str">
        <f>_xlfn.IFNA(IF(((INDEX(RulebookFields!D2:D1898, MATCH(D1053,RulebookFields!A2:A1898, 0))="")=TRUE),  "",  INDEX(RulebookFields!D2:D1898, MATCH(D1053,RulebookFields!A2:A1898, 0))), "")</f>
        <v>AccessMode</v>
      </c>
      <c r="J1053" s="4" t="b">
        <f>_xlfn.IFNA(IF(((INDEX(RulebookFields!I2:I1898, MATCH(D1053,RulebookFields!A2:A1898, 0))="")=TRUE),  "",  INDEX(RulebookFields!I2:I1898, MATCH(D1053,RulebookFields!A2:A1898, 0))), "")</f>
        <v>0</v>
      </c>
      <c r="K1053" s="4" t="b">
        <f>AND(((F1053)=TRUE), ((J1053)=TRUE))</f>
        <v>0</v>
      </c>
      <c r="L1053" s="4" t="b">
        <f>AND(((G1053 &lt;&gt; "plain")=TRUE), ((G1053 &lt;&gt; "")=TRUE))</f>
        <v>0</v>
      </c>
      <c r="M1053" s="4" t="str">
        <f>IF(((E1053)=TRUE),  C1053 &amp; "|" &amp; H1053,  "")</f>
        <v>principal-process-steward|OperationalBindings</v>
      </c>
      <c r="N1053" s="3" t="s">
        <v>10004</v>
      </c>
    </row>
    <row r="1054">
      <c r="A1054" s="3" t="s">
        <v>11056</v>
      </c>
      <c r="B1054" s="4" t="str">
        <f>C1054 &amp; " -&gt; " &amp; D1054</f>
        <v>principal-process-steward -&gt; OperationalBindings.RecordOrSchemaKey</v>
      </c>
      <c r="C1054" s="3" t="s">
        <v>9772</v>
      </c>
      <c r="D1054" s="3" t="s">
        <v>4035</v>
      </c>
      <c r="E1054" s="3" t="b">
        <v>1</v>
      </c>
      <c r="F1054" s="3" t="b">
        <v>0</v>
      </c>
      <c r="G1054" s="3" t="s">
        <v>10003</v>
      </c>
      <c r="H1054" s="4" t="str">
        <f>_xlfn.IFNA(IF(((INDEX(RulebookFields!C2:C1898, MATCH(D1054,RulebookFields!A2:A1898, 0))="")=TRUE),  "",  INDEX(RulebookFields!C2:C1898, MATCH(D1054,RulebookFields!A2:A1898, 0))), "")</f>
        <v>OperationalBindings</v>
      </c>
      <c r="I1054" s="4" t="str">
        <f>_xlfn.IFNA(IF(((INDEX(RulebookFields!D2:D1898, MATCH(D1054,RulebookFields!A2:A1898, 0))="")=TRUE),  "",  INDEX(RulebookFields!D2:D1898, MATCH(D1054,RulebookFields!A2:A1898, 0))), "")</f>
        <v>RecordOrSchemaKey</v>
      </c>
      <c r="J1054" s="4" t="b">
        <f>_xlfn.IFNA(IF(((INDEX(RulebookFields!I2:I1898, MATCH(D1054,RulebookFields!A2:A1898, 0))="")=TRUE),  "",  INDEX(RulebookFields!I2:I1898, MATCH(D1054,RulebookFields!A2:A1898, 0))), "")</f>
        <v>0</v>
      </c>
      <c r="K1054" s="4" t="b">
        <f>AND(((F1054)=TRUE), ((J1054)=TRUE))</f>
        <v>0</v>
      </c>
      <c r="L1054" s="4" t="b">
        <f>AND(((G1054 &lt;&gt; "plain")=TRUE), ((G1054 &lt;&gt; "")=TRUE))</f>
        <v>0</v>
      </c>
      <c r="M1054" s="4" t="str">
        <f>IF(((E1054)=TRUE),  C1054 &amp; "|" &amp; H1054,  "")</f>
        <v>principal-process-steward|OperationalBindings</v>
      </c>
      <c r="N1054" s="3" t="s">
        <v>10004</v>
      </c>
    </row>
    <row r="1055">
      <c r="A1055" s="3" t="s">
        <v>11057</v>
      </c>
      <c r="B1055" s="4" t="str">
        <f>C1055 &amp; " -&gt; " &amp; D1055</f>
        <v>principal-process-steward -&gt; OperationalBindings.LastObservedAt</v>
      </c>
      <c r="C1055" s="3" t="s">
        <v>9772</v>
      </c>
      <c r="D1055" s="3" t="s">
        <v>4036</v>
      </c>
      <c r="E1055" s="3" t="b">
        <v>1</v>
      </c>
      <c r="F1055" s="3" t="b">
        <v>0</v>
      </c>
      <c r="G1055" s="3" t="s">
        <v>10003</v>
      </c>
      <c r="H1055" s="4" t="str">
        <f>_xlfn.IFNA(IF(((INDEX(RulebookFields!C2:C1898, MATCH(D1055,RulebookFields!A2:A1898, 0))="")=TRUE),  "",  INDEX(RulebookFields!C2:C1898, MATCH(D1055,RulebookFields!A2:A1898, 0))), "")</f>
        <v>OperationalBindings</v>
      </c>
      <c r="I1055" s="4" t="str">
        <f>_xlfn.IFNA(IF(((INDEX(RulebookFields!D2:D1898, MATCH(D1055,RulebookFields!A2:A1898, 0))="")=TRUE),  "",  INDEX(RulebookFields!D2:D1898, MATCH(D1055,RulebookFields!A2:A1898, 0))), "")</f>
        <v>LastObservedAt</v>
      </c>
      <c r="J1055" s="4" t="b">
        <f>_xlfn.IFNA(IF(((INDEX(RulebookFields!I2:I1898, MATCH(D1055,RulebookFields!A2:A1898, 0))="")=TRUE),  "",  INDEX(RulebookFields!I2:I1898, MATCH(D1055,RulebookFields!A2:A1898, 0))), "")</f>
        <v>0</v>
      </c>
      <c r="K1055" s="4" t="b">
        <f>AND(((F1055)=TRUE), ((J1055)=TRUE))</f>
        <v>0</v>
      </c>
      <c r="L1055" s="4" t="b">
        <f>AND(((G1055 &lt;&gt; "plain")=TRUE), ((G1055 &lt;&gt; "")=TRUE))</f>
        <v>0</v>
      </c>
      <c r="M1055" s="4" t="str">
        <f>IF(((E1055)=TRUE),  C1055 &amp; "|" &amp; H1055,  "")</f>
        <v>principal-process-steward|OperationalBindings</v>
      </c>
      <c r="N1055" s="3" t="s">
        <v>10004</v>
      </c>
    </row>
    <row r="1056">
      <c r="A1056" s="3" t="s">
        <v>11058</v>
      </c>
      <c r="B1056" s="4" t="str">
        <f>C1056 &amp; " -&gt; " &amp; D1056</f>
        <v>principal-process-steward -&gt; OperationalBindings.FreshnessSlaMinutes</v>
      </c>
      <c r="C1056" s="3" t="s">
        <v>9772</v>
      </c>
      <c r="D1056" s="3" t="s">
        <v>4037</v>
      </c>
      <c r="E1056" s="3" t="b">
        <v>1</v>
      </c>
      <c r="F1056" s="3" t="b">
        <v>0</v>
      </c>
      <c r="G1056" s="3" t="s">
        <v>10003</v>
      </c>
      <c r="H1056" s="4" t="str">
        <f>_xlfn.IFNA(IF(((INDEX(RulebookFields!C2:C1898, MATCH(D1056,RulebookFields!A2:A1898, 0))="")=TRUE),  "",  INDEX(RulebookFields!C2:C1898, MATCH(D1056,RulebookFields!A2:A1898, 0))), "")</f>
        <v>OperationalBindings</v>
      </c>
      <c r="I1056" s="4" t="str">
        <f>_xlfn.IFNA(IF(((INDEX(RulebookFields!D2:D1898, MATCH(D1056,RulebookFields!A2:A1898, 0))="")=TRUE),  "",  INDEX(RulebookFields!D2:D1898, MATCH(D1056,RulebookFields!A2:A1898, 0))), "")</f>
        <v>FreshnessSlaMinutes</v>
      </c>
      <c r="J1056" s="4" t="b">
        <f>_xlfn.IFNA(IF(((INDEX(RulebookFields!I2:I1898, MATCH(D1056,RulebookFields!A2:A1898, 0))="")=TRUE),  "",  INDEX(RulebookFields!I2:I1898, MATCH(D1056,RulebookFields!A2:A1898, 0))), "")</f>
        <v>0</v>
      </c>
      <c r="K1056" s="4" t="b">
        <f>AND(((F1056)=TRUE), ((J1056)=TRUE))</f>
        <v>0</v>
      </c>
      <c r="L1056" s="4" t="b">
        <f>AND(((G1056 &lt;&gt; "plain")=TRUE), ((G1056 &lt;&gt; "")=TRUE))</f>
        <v>0</v>
      </c>
      <c r="M1056" s="4" t="str">
        <f>IF(((E1056)=TRUE),  C1056 &amp; "|" &amp; H1056,  "")</f>
        <v>principal-process-steward|OperationalBindings</v>
      </c>
      <c r="N1056" s="3" t="s">
        <v>10004</v>
      </c>
    </row>
    <row r="1057">
      <c r="A1057" s="3" t="s">
        <v>11059</v>
      </c>
      <c r="B1057" s="4" t="str">
        <f>C1057 &amp; " -&gt; " &amp; D1057</f>
        <v>principal-process-steward -&gt; OperationalBindings.IsAuthoritative</v>
      </c>
      <c r="C1057" s="3" t="s">
        <v>9772</v>
      </c>
      <c r="D1057" s="3" t="s">
        <v>4038</v>
      </c>
      <c r="E1057" s="3" t="b">
        <v>1</v>
      </c>
      <c r="F1057" s="3" t="b">
        <v>0</v>
      </c>
      <c r="G1057" s="3" t="s">
        <v>10003</v>
      </c>
      <c r="H1057" s="4" t="str">
        <f>_xlfn.IFNA(IF(((INDEX(RulebookFields!C2:C1898, MATCH(D1057,RulebookFields!A2:A1898, 0))="")=TRUE),  "",  INDEX(RulebookFields!C2:C1898, MATCH(D1057,RulebookFields!A2:A1898, 0))), "")</f>
        <v>OperationalBindings</v>
      </c>
      <c r="I1057" s="4" t="str">
        <f>_xlfn.IFNA(IF(((INDEX(RulebookFields!D2:D1898, MATCH(D1057,RulebookFields!A2:A1898, 0))="")=TRUE),  "",  INDEX(RulebookFields!D2:D1898, MATCH(D1057,RulebookFields!A2:A1898, 0))), "")</f>
        <v>IsAuthoritative</v>
      </c>
      <c r="J1057" s="4" t="b">
        <f>_xlfn.IFNA(IF(((INDEX(RulebookFields!I2:I1898, MATCH(D1057,RulebookFields!A2:A1898, 0))="")=TRUE),  "",  INDEX(RulebookFields!I2:I1898, MATCH(D1057,RulebookFields!A2:A1898, 0))), "")</f>
        <v>0</v>
      </c>
      <c r="K1057" s="4" t="b">
        <f>AND(((F1057)=TRUE), ((J1057)=TRUE))</f>
        <v>0</v>
      </c>
      <c r="L1057" s="4" t="b">
        <f>AND(((G1057 &lt;&gt; "plain")=TRUE), ((G1057 &lt;&gt; "")=TRUE))</f>
        <v>0</v>
      </c>
      <c r="M1057" s="4" t="str">
        <f>IF(((E1057)=TRUE),  C1057 &amp; "|" &amp; H1057,  "")</f>
        <v>principal-process-steward|OperationalBindings</v>
      </c>
      <c r="N1057" s="3" t="s">
        <v>10004</v>
      </c>
    </row>
    <row r="1058">
      <c r="A1058" s="3" t="s">
        <v>11060</v>
      </c>
      <c r="B1058" s="4" t="str">
        <f>C1058 &amp; " -&gt; " &amp; D1058</f>
        <v>principal-process-steward -&gt; OperationalBindings.EvaluationContext</v>
      </c>
      <c r="C1058" s="3" t="s">
        <v>9772</v>
      </c>
      <c r="D1058" s="3" t="s">
        <v>4039</v>
      </c>
      <c r="E1058" s="3" t="b">
        <v>1</v>
      </c>
      <c r="F1058" s="3" t="b">
        <v>0</v>
      </c>
      <c r="G1058" s="3" t="s">
        <v>10003</v>
      </c>
      <c r="H1058" s="4" t="str">
        <f>_xlfn.IFNA(IF(((INDEX(RulebookFields!C2:C1898, MATCH(D1058,RulebookFields!A2:A1898, 0))="")=TRUE),  "",  INDEX(RulebookFields!C2:C1898, MATCH(D1058,RulebookFields!A2:A1898, 0))), "")</f>
        <v>OperationalBindings</v>
      </c>
      <c r="I1058" s="4" t="str">
        <f>_xlfn.IFNA(IF(((INDEX(RulebookFields!D2:D1898, MATCH(D1058,RulebookFields!A2:A1898, 0))="")=TRUE),  "",  INDEX(RulebookFields!D2:D1898, MATCH(D1058,RulebookFields!A2:A1898, 0))), "")</f>
        <v>EvaluationContext</v>
      </c>
      <c r="J1058" s="4" t="b">
        <f>_xlfn.IFNA(IF(((INDEX(RulebookFields!I2:I1898, MATCH(D1058,RulebookFields!A2:A1898, 0))="")=TRUE),  "",  INDEX(RulebookFields!I2:I1898, MATCH(D1058,RulebookFields!A2:A1898, 0))), "")</f>
        <v>0</v>
      </c>
      <c r="K1058" s="4" t="b">
        <f>AND(((F1058)=TRUE), ((J1058)=TRUE))</f>
        <v>0</v>
      </c>
      <c r="L1058" s="4" t="b">
        <f>AND(((G1058 &lt;&gt; "plain")=TRUE), ((G1058 &lt;&gt; "")=TRUE))</f>
        <v>0</v>
      </c>
      <c r="M1058" s="4" t="str">
        <f>IF(((E1058)=TRUE),  C1058 &amp; "|" &amp; H1058,  "")</f>
        <v>principal-process-steward|OperationalBindings</v>
      </c>
      <c r="N1058" s="3" t="s">
        <v>10004</v>
      </c>
    </row>
    <row r="1059">
      <c r="A1059" s="3" t="s">
        <v>11061</v>
      </c>
      <c r="B1059" s="4" t="str">
        <f>C1059 &amp; " -&gt; " &amp; D1059</f>
        <v>principal-process-steward -&gt; OperationalBindings.AsOfInstant</v>
      </c>
      <c r="C1059" s="3" t="s">
        <v>9772</v>
      </c>
      <c r="D1059" s="3" t="s">
        <v>4040</v>
      </c>
      <c r="E1059" s="3" t="b">
        <v>1</v>
      </c>
      <c r="F1059" s="3" t="b">
        <v>0</v>
      </c>
      <c r="G1059" s="3" t="s">
        <v>10003</v>
      </c>
      <c r="H1059" s="4" t="str">
        <f>_xlfn.IFNA(IF(((INDEX(RulebookFields!C2:C1898, MATCH(D1059,RulebookFields!A2:A1898, 0))="")=TRUE),  "",  INDEX(RulebookFields!C2:C1898, MATCH(D1059,RulebookFields!A2:A1898, 0))), "")</f>
        <v>OperationalBindings</v>
      </c>
      <c r="I1059" s="4" t="str">
        <f>_xlfn.IFNA(IF(((INDEX(RulebookFields!D2:D1898, MATCH(D1059,RulebookFields!A2:A1898, 0))="")=TRUE),  "",  INDEX(RulebookFields!D2:D1898, MATCH(D1059,RulebookFields!A2:A1898, 0))), "")</f>
        <v>AsOfInstant</v>
      </c>
      <c r="J1059" s="4" t="b">
        <f>_xlfn.IFNA(IF(((INDEX(RulebookFields!I2:I1898, MATCH(D1059,RulebookFields!A2:A1898, 0))="")=TRUE),  "",  INDEX(RulebookFields!I2:I1898, MATCH(D1059,RulebookFields!A2:A1898, 0))), "")</f>
        <v>1</v>
      </c>
      <c r="K1059" s="4" t="b">
        <f>AND(((F1059)=TRUE), ((J1059)=TRUE))</f>
        <v>0</v>
      </c>
      <c r="L1059" s="4" t="b">
        <f>AND(((G1059 &lt;&gt; "plain")=TRUE), ((G1059 &lt;&gt; "")=TRUE))</f>
        <v>0</v>
      </c>
      <c r="M1059" s="4" t="str">
        <f>IF(((E1059)=TRUE),  C1059 &amp; "|" &amp; H1059,  "")</f>
        <v>principal-process-steward|OperationalBindings</v>
      </c>
      <c r="N1059" s="3" t="s">
        <v>10004</v>
      </c>
    </row>
    <row r="1060">
      <c r="A1060" s="3" t="s">
        <v>11062</v>
      </c>
      <c r="B1060" s="4" t="str">
        <f>C1060 &amp; " -&gt; " &amp; D1060</f>
        <v>principal-process-steward -&gt; OperationalBindings.AgeMinutes</v>
      </c>
      <c r="C1060" s="3" t="s">
        <v>9772</v>
      </c>
      <c r="D1060" s="3" t="s">
        <v>4041</v>
      </c>
      <c r="E1060" s="3" t="b">
        <v>1</v>
      </c>
      <c r="F1060" s="3" t="b">
        <v>0</v>
      </c>
      <c r="G1060" s="3" t="s">
        <v>10003</v>
      </c>
      <c r="H1060" s="4" t="str">
        <f>_xlfn.IFNA(IF(((INDEX(RulebookFields!C2:C1898, MATCH(D1060,RulebookFields!A2:A1898, 0))="")=TRUE),  "",  INDEX(RulebookFields!C2:C1898, MATCH(D1060,RulebookFields!A2:A1898, 0))), "")</f>
        <v>OperationalBindings</v>
      </c>
      <c r="I1060" s="4" t="str">
        <f>_xlfn.IFNA(IF(((INDEX(RulebookFields!D2:D1898, MATCH(D1060,RulebookFields!A2:A1898, 0))="")=TRUE),  "",  INDEX(RulebookFields!D2:D1898, MATCH(D1060,RulebookFields!A2:A1898, 0))), "")</f>
        <v>AgeMinutes</v>
      </c>
      <c r="J1060" s="4" t="b">
        <f>_xlfn.IFNA(IF(((INDEX(RulebookFields!I2:I1898, MATCH(D1060,RulebookFields!A2:A1898, 0))="")=TRUE),  "",  INDEX(RulebookFields!I2:I1898, MATCH(D1060,RulebookFields!A2:A1898, 0))), "")</f>
        <v>1</v>
      </c>
      <c r="K1060" s="4" t="b">
        <f>AND(((F1060)=TRUE), ((J1060)=TRUE))</f>
        <v>0</v>
      </c>
      <c r="L1060" s="4" t="b">
        <f>AND(((G1060 &lt;&gt; "plain")=TRUE), ((G1060 &lt;&gt; "")=TRUE))</f>
        <v>0</v>
      </c>
      <c r="M1060" s="4" t="str">
        <f>IF(((E1060)=TRUE),  C1060 &amp; "|" &amp; H1060,  "")</f>
        <v>principal-process-steward|OperationalBindings</v>
      </c>
      <c r="N1060" s="3" t="s">
        <v>10004</v>
      </c>
    </row>
    <row r="1061">
      <c r="A1061" s="3" t="s">
        <v>11063</v>
      </c>
      <c r="B1061" s="4" t="str">
        <f>C1061 &amp; " -&gt; " &amp; D1061</f>
        <v>principal-process-steward -&gt; OperationalBindings.IsFresh</v>
      </c>
      <c r="C1061" s="3" t="s">
        <v>9772</v>
      </c>
      <c r="D1061" s="3" t="s">
        <v>4043</v>
      </c>
      <c r="E1061" s="3" t="b">
        <v>1</v>
      </c>
      <c r="F1061" s="3" t="b">
        <v>0</v>
      </c>
      <c r="G1061" s="3" t="s">
        <v>10003</v>
      </c>
      <c r="H1061" s="4" t="str">
        <f>_xlfn.IFNA(IF(((INDEX(RulebookFields!C2:C1898, MATCH(D1061,RulebookFields!A2:A1898, 0))="")=TRUE),  "",  INDEX(RulebookFields!C2:C1898, MATCH(D1061,RulebookFields!A2:A1898, 0))), "")</f>
        <v>OperationalBindings</v>
      </c>
      <c r="I1061" s="4" t="str">
        <f>_xlfn.IFNA(IF(((INDEX(RulebookFields!D2:D1898, MATCH(D1061,RulebookFields!A2:A1898, 0))="")=TRUE),  "",  INDEX(RulebookFields!D2:D1898, MATCH(D1061,RulebookFields!A2:A1898, 0))), "")</f>
        <v>IsFresh</v>
      </c>
      <c r="J1061" s="4" t="b">
        <f>_xlfn.IFNA(IF(((INDEX(RulebookFields!I2:I1898, MATCH(D1061,RulebookFields!A2:A1898, 0))="")=TRUE),  "",  INDEX(RulebookFields!I2:I1898, MATCH(D1061,RulebookFields!A2:A1898, 0))), "")</f>
        <v>1</v>
      </c>
      <c r="K1061" s="4" t="b">
        <f>AND(((F1061)=TRUE), ((J1061)=TRUE))</f>
        <v>0</v>
      </c>
      <c r="L1061" s="4" t="b">
        <f>AND(((G1061 &lt;&gt; "plain")=TRUE), ((G1061 &lt;&gt; "")=TRUE))</f>
        <v>0</v>
      </c>
      <c r="M1061" s="4" t="str">
        <f>IF(((E1061)=TRUE),  C1061 &amp; "|" &amp; H1061,  "")</f>
        <v>principal-process-steward|OperationalBindings</v>
      </c>
      <c r="N1061" s="3" t="s">
        <v>10004</v>
      </c>
    </row>
    <row r="1062">
      <c r="A1062" s="3" t="s">
        <v>11064</v>
      </c>
      <c r="B1062" s="4" t="str">
        <f>C1062 &amp; " -&gt; " &amp; D1062</f>
        <v>principal-process-steward -&gt; OperationalBindings.StaleBindingStepKey</v>
      </c>
      <c r="C1062" s="3" t="s">
        <v>9772</v>
      </c>
      <c r="D1062" s="3" t="s">
        <v>4045</v>
      </c>
      <c r="E1062" s="3" t="b">
        <v>1</v>
      </c>
      <c r="F1062" s="3" t="b">
        <v>0</v>
      </c>
      <c r="G1062" s="3" t="s">
        <v>10003</v>
      </c>
      <c r="H1062" s="4" t="str">
        <f>_xlfn.IFNA(IF(((INDEX(RulebookFields!C2:C1898, MATCH(D1062,RulebookFields!A2:A1898, 0))="")=TRUE),  "",  INDEX(RulebookFields!C2:C1898, MATCH(D1062,RulebookFields!A2:A1898, 0))), "")</f>
        <v>OperationalBindings</v>
      </c>
      <c r="I1062" s="4" t="str">
        <f>_xlfn.IFNA(IF(((INDEX(RulebookFields!D2:D1898, MATCH(D1062,RulebookFields!A2:A1898, 0))="")=TRUE),  "",  INDEX(RulebookFields!D2:D1898, MATCH(D1062,RulebookFields!A2:A1898, 0))), "")</f>
        <v>StaleBindingStepKey</v>
      </c>
      <c r="J1062" s="4" t="b">
        <f>_xlfn.IFNA(IF(((INDEX(RulebookFields!I2:I1898, MATCH(D1062,RulebookFields!A2:A1898, 0))="")=TRUE),  "",  INDEX(RulebookFields!I2:I1898, MATCH(D1062,RulebookFields!A2:A1898, 0))), "")</f>
        <v>1</v>
      </c>
      <c r="K1062" s="4" t="b">
        <f>AND(((F1062)=TRUE), ((J1062)=TRUE))</f>
        <v>0</v>
      </c>
      <c r="L1062" s="4" t="b">
        <f>AND(((G1062 &lt;&gt; "plain")=TRUE), ((G1062 &lt;&gt; "")=TRUE))</f>
        <v>0</v>
      </c>
      <c r="M1062" s="4" t="str">
        <f>IF(((E1062)=TRUE),  C1062 &amp; "|" &amp; H1062,  "")</f>
        <v>principal-process-steward|OperationalBindings</v>
      </c>
      <c r="N1062" s="3" t="s">
        <v>10004</v>
      </c>
    </row>
    <row r="1063">
      <c r="A1063" s="3" t="s">
        <v>11065</v>
      </c>
      <c r="B1063" s="4" t="str">
        <f>C1063 &amp; " -&gt; " &amp; D1063</f>
        <v>principal-process-steward -&gt; OperationalBindings.AuthoritativeStaleStepKey</v>
      </c>
      <c r="C1063" s="3" t="s">
        <v>9772</v>
      </c>
      <c r="D1063" s="3" t="s">
        <v>4047</v>
      </c>
      <c r="E1063" s="3" t="b">
        <v>1</v>
      </c>
      <c r="F1063" s="3" t="b">
        <v>0</v>
      </c>
      <c r="G1063" s="3" t="s">
        <v>10003</v>
      </c>
      <c r="H1063" s="4" t="str">
        <f>_xlfn.IFNA(IF(((INDEX(RulebookFields!C2:C1898, MATCH(D1063,RulebookFields!A2:A1898, 0))="")=TRUE),  "",  INDEX(RulebookFields!C2:C1898, MATCH(D1063,RulebookFields!A2:A1898, 0))), "")</f>
        <v>OperationalBindings</v>
      </c>
      <c r="I1063" s="4" t="str">
        <f>_xlfn.IFNA(IF(((INDEX(RulebookFields!D2:D1898, MATCH(D1063,RulebookFields!A2:A1898, 0))="")=TRUE),  "",  INDEX(RulebookFields!D2:D1898, MATCH(D1063,RulebookFields!A2:A1898, 0))), "")</f>
        <v>AuthoritativeStaleStepKey</v>
      </c>
      <c r="J1063" s="4" t="b">
        <f>_xlfn.IFNA(IF(((INDEX(RulebookFields!I2:I1898, MATCH(D1063,RulebookFields!A2:A1898, 0))="")=TRUE),  "",  INDEX(RulebookFields!I2:I1898, MATCH(D1063,RulebookFields!A2:A1898, 0))), "")</f>
        <v>1</v>
      </c>
      <c r="K1063" s="4" t="b">
        <f>AND(((F1063)=TRUE), ((J1063)=TRUE))</f>
        <v>0</v>
      </c>
      <c r="L1063" s="4" t="b">
        <f>AND(((G1063 &lt;&gt; "plain")=TRUE), ((G1063 &lt;&gt; "")=TRUE))</f>
        <v>0</v>
      </c>
      <c r="M1063" s="4" t="str">
        <f>IF(((E1063)=TRUE),  C1063 &amp; "|" &amp; H1063,  "")</f>
        <v>principal-process-steward|OperationalBindings</v>
      </c>
      <c r="N1063" s="3" t="s">
        <v>10004</v>
      </c>
    </row>
    <row r="1064">
      <c r="A1064" s="3" t="s">
        <v>11066</v>
      </c>
      <c r="B1064" s="4" t="str">
        <f>C1064 &amp; " -&gt; " &amp; D1064</f>
        <v>principal-process-steward -&gt; OperationalBindings.IsStaleAndAuthoritative</v>
      </c>
      <c r="C1064" s="3" t="s">
        <v>9772</v>
      </c>
      <c r="D1064" s="3" t="s">
        <v>4049</v>
      </c>
      <c r="E1064" s="3" t="b">
        <v>1</v>
      </c>
      <c r="F1064" s="3" t="b">
        <v>0</v>
      </c>
      <c r="G1064" s="3" t="s">
        <v>10003</v>
      </c>
      <c r="H1064" s="4" t="str">
        <f>_xlfn.IFNA(IF(((INDEX(RulebookFields!C2:C1898, MATCH(D1064,RulebookFields!A2:A1898, 0))="")=TRUE),  "",  INDEX(RulebookFields!C2:C1898, MATCH(D1064,RulebookFields!A2:A1898, 0))), "")</f>
        <v>OperationalBindings</v>
      </c>
      <c r="I1064" s="4" t="str">
        <f>_xlfn.IFNA(IF(((INDEX(RulebookFields!D2:D1898, MATCH(D1064,RulebookFields!A2:A1898, 0))="")=TRUE),  "",  INDEX(RulebookFields!D2:D1898, MATCH(D1064,RulebookFields!A2:A1898, 0))), "")</f>
        <v>IsStaleAndAuthoritative</v>
      </c>
      <c r="J1064" s="4" t="b">
        <f>_xlfn.IFNA(IF(((INDEX(RulebookFields!I2:I1898, MATCH(D1064,RulebookFields!A2:A1898, 0))="")=TRUE),  "",  INDEX(RulebookFields!I2:I1898, MATCH(D1064,RulebookFields!A2:A1898, 0))), "")</f>
        <v>1</v>
      </c>
      <c r="K1064" s="4" t="b">
        <f>AND(((F1064)=TRUE), ((J1064)=TRUE))</f>
        <v>0</v>
      </c>
      <c r="L1064" s="4" t="b">
        <f>AND(((G1064 &lt;&gt; "plain")=TRUE), ((G1064 &lt;&gt; "")=TRUE))</f>
        <v>0</v>
      </c>
      <c r="M1064" s="4" t="str">
        <f>IF(((E1064)=TRUE),  C1064 &amp; "|" &amp; H1064,  "")</f>
        <v>principal-process-steward|OperationalBindings</v>
      </c>
      <c r="N1064" s="3" t="s">
        <v>10004</v>
      </c>
    </row>
    <row r="1065">
      <c r="A1065" s="3" t="s">
        <v>11067</v>
      </c>
      <c r="B1065" s="4" t="str">
        <f>C1065 &amp; " -&gt; " &amp; D1065</f>
        <v>principal-process-steward -&gt; OperationalBindings.StepWhenStale</v>
      </c>
      <c r="C1065" s="3" t="s">
        <v>9772</v>
      </c>
      <c r="D1065" s="3" t="s">
        <v>4051</v>
      </c>
      <c r="E1065" s="3" t="b">
        <v>1</v>
      </c>
      <c r="F1065" s="3" t="b">
        <v>0</v>
      </c>
      <c r="G1065" s="3" t="s">
        <v>10003</v>
      </c>
      <c r="H1065" s="4" t="str">
        <f>_xlfn.IFNA(IF(((INDEX(RulebookFields!C2:C1898, MATCH(D1065,RulebookFields!A2:A1898, 0))="")=TRUE),  "",  INDEX(RulebookFields!C2:C1898, MATCH(D1065,RulebookFields!A2:A1898, 0))), "")</f>
        <v>OperationalBindings</v>
      </c>
      <c r="I1065" s="4" t="str">
        <f>_xlfn.IFNA(IF(((INDEX(RulebookFields!D2:D1898, MATCH(D1065,RulebookFields!A2:A1898, 0))="")=TRUE),  "",  INDEX(RulebookFields!D2:D1898, MATCH(D1065,RulebookFields!A2:A1898, 0))), "")</f>
        <v>StepWhenStale</v>
      </c>
      <c r="J1065" s="4" t="b">
        <f>_xlfn.IFNA(IF(((INDEX(RulebookFields!I2:I1898, MATCH(D1065,RulebookFields!A2:A1898, 0))="")=TRUE),  "",  INDEX(RulebookFields!I2:I1898, MATCH(D1065,RulebookFields!A2:A1898, 0))), "")</f>
        <v>1</v>
      </c>
      <c r="K1065" s="4" t="b">
        <f>AND(((F1065)=TRUE), ((J1065)=TRUE))</f>
        <v>0</v>
      </c>
      <c r="L1065" s="4" t="b">
        <f>AND(((G1065 &lt;&gt; "plain")=TRUE), ((G1065 &lt;&gt; "")=TRUE))</f>
        <v>0</v>
      </c>
      <c r="M1065" s="4" t="str">
        <f>IF(((E1065)=TRUE),  C1065 &amp; "|" &amp; H1065,  "")</f>
        <v>principal-process-steward|OperationalBindings</v>
      </c>
      <c r="N1065" s="3" t="s">
        <v>10004</v>
      </c>
    </row>
    <row r="1066">
      <c r="A1066" s="3" t="s">
        <v>11068</v>
      </c>
      <c r="B1066" s="4" t="str">
        <f>C1066 &amp; " -&gt; " &amp; D1066</f>
        <v>principal-process-steward -&gt; OperationalBindings.ResourceIsApproved</v>
      </c>
      <c r="C1066" s="3" t="s">
        <v>9772</v>
      </c>
      <c r="D1066" s="3" t="s">
        <v>4053</v>
      </c>
      <c r="E1066" s="3" t="b">
        <v>1</v>
      </c>
      <c r="F1066" s="3" t="b">
        <v>0</v>
      </c>
      <c r="G1066" s="3" t="s">
        <v>10003</v>
      </c>
      <c r="H1066" s="4" t="str">
        <f>_xlfn.IFNA(IF(((INDEX(RulebookFields!C2:C1898, MATCH(D1066,RulebookFields!A2:A1898, 0))="")=TRUE),  "",  INDEX(RulebookFields!C2:C1898, MATCH(D1066,RulebookFields!A2:A1898, 0))), "")</f>
        <v>OperationalBindings</v>
      </c>
      <c r="I1066" s="4" t="str">
        <f>_xlfn.IFNA(IF(((INDEX(RulebookFields!D2:D1898, MATCH(D1066,RulebookFields!A2:A1898, 0))="")=TRUE),  "",  INDEX(RulebookFields!D2:D1898, MATCH(D1066,RulebookFields!A2:A1898, 0))), "")</f>
        <v>ResourceIsApproved</v>
      </c>
      <c r="J1066" s="4" t="b">
        <f>_xlfn.IFNA(IF(((INDEX(RulebookFields!I2:I1898, MATCH(D1066,RulebookFields!A2:A1898, 0))="")=TRUE),  "",  INDEX(RulebookFields!I2:I1898, MATCH(D1066,RulebookFields!A2:A1898, 0))), "")</f>
        <v>1</v>
      </c>
      <c r="K1066" s="4" t="b">
        <f>AND(((F1066)=TRUE), ((J1066)=TRUE))</f>
        <v>0</v>
      </c>
      <c r="L1066" s="4" t="b">
        <f>AND(((G1066 &lt;&gt; "plain")=TRUE), ((G1066 &lt;&gt; "")=TRUE))</f>
        <v>0</v>
      </c>
      <c r="M1066" s="4" t="str">
        <f>IF(((E1066)=TRUE),  C1066 &amp; "|" &amp; H1066,  "")</f>
        <v>principal-process-steward|OperationalBindings</v>
      </c>
      <c r="N1066" s="3" t="s">
        <v>10004</v>
      </c>
    </row>
    <row r="1067">
      <c r="A1067" s="3" t="s">
        <v>11069</v>
      </c>
      <c r="B1067" s="4" t="str">
        <f>C1067 &amp; " -&gt; " &amp; D1067</f>
        <v>principal-process-steward -&gt; OperationalBindings.IsUsableForDrafting</v>
      </c>
      <c r="C1067" s="3" t="s">
        <v>9772</v>
      </c>
      <c r="D1067" s="3" t="s">
        <v>4055</v>
      </c>
      <c r="E1067" s="3" t="b">
        <v>1</v>
      </c>
      <c r="F1067" s="3" t="b">
        <v>0</v>
      </c>
      <c r="G1067" s="3" t="s">
        <v>10003</v>
      </c>
      <c r="H1067" s="4" t="str">
        <f>_xlfn.IFNA(IF(((INDEX(RulebookFields!C2:C1898, MATCH(D1067,RulebookFields!A2:A1898, 0))="")=TRUE),  "",  INDEX(RulebookFields!C2:C1898, MATCH(D1067,RulebookFields!A2:A1898, 0))), "")</f>
        <v>OperationalBindings</v>
      </c>
      <c r="I1067" s="4" t="str">
        <f>_xlfn.IFNA(IF(((INDEX(RulebookFields!D2:D1898, MATCH(D1067,RulebookFields!A2:A1898, 0))="")=TRUE),  "",  INDEX(RulebookFields!D2:D1898, MATCH(D1067,RulebookFields!A2:A1898, 0))), "")</f>
        <v>IsUsableForDrafting</v>
      </c>
      <c r="J1067" s="4" t="b">
        <f>_xlfn.IFNA(IF(((INDEX(RulebookFields!I2:I1898, MATCH(D1067,RulebookFields!A2:A1898, 0))="")=TRUE),  "",  INDEX(RulebookFields!I2:I1898, MATCH(D1067,RulebookFields!A2:A1898, 0))), "")</f>
        <v>1</v>
      </c>
      <c r="K1067" s="4" t="b">
        <f>AND(((F1067)=TRUE), ((J1067)=TRUE))</f>
        <v>0</v>
      </c>
      <c r="L1067" s="4" t="b">
        <f>AND(((G1067 &lt;&gt; "plain")=TRUE), ((G1067 &lt;&gt; "")=TRUE))</f>
        <v>0</v>
      </c>
      <c r="M1067" s="4" t="str">
        <f>IF(((E1067)=TRUE),  C1067 &amp; "|" &amp; H1067,  "")</f>
        <v>principal-process-steward|OperationalBindings</v>
      </c>
      <c r="N1067" s="3" t="s">
        <v>10004</v>
      </c>
    </row>
    <row r="1068">
      <c r="A1068" s="3" t="s">
        <v>11070</v>
      </c>
      <c r="B1068" s="4" t="str">
        <f>C1068 &amp; " -&gt; " &amp; D1068</f>
        <v>principal-process-steward -&gt; OperationalBindings.StepWhenUnusable</v>
      </c>
      <c r="C1068" s="3" t="s">
        <v>9772</v>
      </c>
      <c r="D1068" s="3" t="s">
        <v>4057</v>
      </c>
      <c r="E1068" s="3" t="b">
        <v>1</v>
      </c>
      <c r="F1068" s="3" t="b">
        <v>0</v>
      </c>
      <c r="G1068" s="3" t="s">
        <v>10003</v>
      </c>
      <c r="H1068" s="4" t="str">
        <f>_xlfn.IFNA(IF(((INDEX(RulebookFields!C2:C1898, MATCH(D1068,RulebookFields!A2:A1898, 0))="")=TRUE),  "",  INDEX(RulebookFields!C2:C1898, MATCH(D1068,RulebookFields!A2:A1898, 0))), "")</f>
        <v>OperationalBindings</v>
      </c>
      <c r="I1068" s="4" t="str">
        <f>_xlfn.IFNA(IF(((INDEX(RulebookFields!D2:D1898, MATCH(D1068,RulebookFields!A2:A1898, 0))="")=TRUE),  "",  INDEX(RulebookFields!D2:D1898, MATCH(D1068,RulebookFields!A2:A1898, 0))), "")</f>
        <v>StepWhenUnusable</v>
      </c>
      <c r="J1068" s="4" t="b">
        <f>_xlfn.IFNA(IF(((INDEX(RulebookFields!I2:I1898, MATCH(D1068,RulebookFields!A2:A1898, 0))="")=TRUE),  "",  INDEX(RulebookFields!I2:I1898, MATCH(D1068,RulebookFields!A2:A1898, 0))), "")</f>
        <v>1</v>
      </c>
      <c r="K1068" s="4" t="b">
        <f>AND(((F1068)=TRUE), ((J1068)=TRUE))</f>
        <v>0</v>
      </c>
      <c r="L1068" s="4" t="b">
        <f>AND(((G1068 &lt;&gt; "plain")=TRUE), ((G1068 &lt;&gt; "")=TRUE))</f>
        <v>0</v>
      </c>
      <c r="M1068" s="4" t="str">
        <f>IF(((E1068)=TRUE),  C1068 &amp; "|" &amp; H1068,  "")</f>
        <v>principal-process-steward|OperationalBindings</v>
      </c>
      <c r="N1068" s="3" t="s">
        <v>10004</v>
      </c>
    </row>
    <row r="1069">
      <c r="A1069" s="3" t="s">
        <v>11071</v>
      </c>
      <c r="B1069" s="4" t="str">
        <f>C1069 &amp; " -&gt; " &amp; D1069</f>
        <v>principal-process-steward -&gt; OperationalBindings.SemanticTypeIri</v>
      </c>
      <c r="C1069" s="3" t="s">
        <v>9772</v>
      </c>
      <c r="D1069" s="3" t="s">
        <v>4059</v>
      </c>
      <c r="E1069" s="3" t="b">
        <v>1</v>
      </c>
      <c r="F1069" s="3" t="b">
        <v>0</v>
      </c>
      <c r="G1069" s="3" t="s">
        <v>10003</v>
      </c>
      <c r="H1069" s="4" t="str">
        <f>_xlfn.IFNA(IF(((INDEX(RulebookFields!C2:C1898, MATCH(D1069,RulebookFields!A2:A1898, 0))="")=TRUE),  "",  INDEX(RulebookFields!C2:C1898, MATCH(D1069,RulebookFields!A2:A1898, 0))), "")</f>
        <v>OperationalBindings</v>
      </c>
      <c r="I1069" s="4" t="str">
        <f>_xlfn.IFNA(IF(((INDEX(RulebookFields!D2:D1898, MATCH(D1069,RulebookFields!A2:A1898, 0))="")=TRUE),  "",  INDEX(RulebookFields!D2:D1898, MATCH(D1069,RulebookFields!A2:A1898, 0))), "")</f>
        <v>SemanticTypeIri</v>
      </c>
      <c r="J1069" s="4" t="b">
        <f>_xlfn.IFNA(IF(((INDEX(RulebookFields!I2:I1898, MATCH(D1069,RulebookFields!A2:A1898, 0))="")=TRUE),  "",  INDEX(RulebookFields!I2:I1898, MATCH(D1069,RulebookFields!A2:A1898, 0))), "")</f>
        <v>0</v>
      </c>
      <c r="K1069" s="4" t="b">
        <f>AND(((F1069)=TRUE), ((J1069)=TRUE))</f>
        <v>0</v>
      </c>
      <c r="L1069" s="4" t="b">
        <f>AND(((G1069 &lt;&gt; "plain")=TRUE), ((G1069 &lt;&gt; "")=TRUE))</f>
        <v>0</v>
      </c>
      <c r="M1069" s="4" t="str">
        <f>IF(((E1069)=TRUE),  C1069 &amp; "|" &amp; H1069,  "")</f>
        <v>principal-process-steward|OperationalBindings</v>
      </c>
      <c r="N1069" s="3" t="s">
        <v>10004</v>
      </c>
    </row>
    <row r="1070">
      <c r="A1070" s="3" t="s">
        <v>11072</v>
      </c>
      <c r="B1070" s="4" t="str">
        <f>C1070 &amp; " -&gt; " &amp; D1070</f>
        <v>principal-process-steward -&gt; Organizations.OrganizationId</v>
      </c>
      <c r="C1070" s="3" t="s">
        <v>9772</v>
      </c>
      <c r="D1070" s="3" t="s">
        <v>2452</v>
      </c>
      <c r="E1070" s="3" t="b">
        <v>1</v>
      </c>
      <c r="F1070" s="3" t="b">
        <v>0</v>
      </c>
      <c r="G1070" s="3" t="s">
        <v>10003</v>
      </c>
      <c r="H1070" s="4" t="str">
        <f>_xlfn.IFNA(IF(((INDEX(RulebookFields!C2:C1898, MATCH(D1070,RulebookFields!A2:A1898, 0))="")=TRUE),  "",  INDEX(RulebookFields!C2:C1898, MATCH(D1070,RulebookFields!A2:A1898, 0))), "")</f>
        <v>Organizations</v>
      </c>
      <c r="I1070" s="4" t="str">
        <f>_xlfn.IFNA(IF(((INDEX(RulebookFields!D2:D1898, MATCH(D1070,RulebookFields!A2:A1898, 0))="")=TRUE),  "",  INDEX(RulebookFields!D2:D1898, MATCH(D1070,RulebookFields!A2:A1898, 0))), "")</f>
        <v>OrganizationId</v>
      </c>
      <c r="J1070" s="4" t="b">
        <f>_xlfn.IFNA(IF(((INDEX(RulebookFields!I2:I1898, MATCH(D1070,RulebookFields!A2:A1898, 0))="")=TRUE),  "",  INDEX(RulebookFields!I2:I1898, MATCH(D1070,RulebookFields!A2:A1898, 0))), "")</f>
        <v>0</v>
      </c>
      <c r="K1070" s="4" t="b">
        <f>AND(((F1070)=TRUE), ((J1070)=TRUE))</f>
        <v>0</v>
      </c>
      <c r="L1070" s="4" t="b">
        <f>AND(((G1070 &lt;&gt; "plain")=TRUE), ((G1070 &lt;&gt; "")=TRUE))</f>
        <v>0</v>
      </c>
      <c r="M1070" s="4" t="str">
        <f>IF(((E1070)=TRUE),  C1070 &amp; "|" &amp; H1070,  "")</f>
        <v>principal-process-steward|Organizations</v>
      </c>
      <c r="N1070" s="3" t="s">
        <v>10004</v>
      </c>
    </row>
    <row r="1071">
      <c r="A1071" s="3" t="s">
        <v>11073</v>
      </c>
      <c r="B1071" s="4" t="str">
        <f>C1071 &amp; " -&gt; " &amp; D1071</f>
        <v>principal-process-steward -&gt; Organizations.Name</v>
      </c>
      <c r="C1071" s="3" t="s">
        <v>9772</v>
      </c>
      <c r="D1071" s="3" t="s">
        <v>2454</v>
      </c>
      <c r="E1071" s="3" t="b">
        <v>1</v>
      </c>
      <c r="F1071" s="3" t="b">
        <v>0</v>
      </c>
      <c r="G1071" s="3" t="s">
        <v>10003</v>
      </c>
      <c r="H1071" s="4" t="str">
        <f>_xlfn.IFNA(IF(((INDEX(RulebookFields!C2:C1898, MATCH(D1071,RulebookFields!A2:A1898, 0))="")=TRUE),  "",  INDEX(RulebookFields!C2:C1898, MATCH(D1071,RulebookFields!A2:A1898, 0))), "")</f>
        <v>Organizations</v>
      </c>
      <c r="I1071" s="4" t="str">
        <f>_xlfn.IFNA(IF(((INDEX(RulebookFields!D2:D1898, MATCH(D1071,RulebookFields!A2:A1898, 0))="")=TRUE),  "",  INDEX(RulebookFields!D2:D1898, MATCH(D1071,RulebookFields!A2:A1898, 0))), "")</f>
        <v>Name</v>
      </c>
      <c r="J1071" s="4" t="b">
        <f>_xlfn.IFNA(IF(((INDEX(RulebookFields!I2:I1898, MATCH(D1071,RulebookFields!A2:A1898, 0))="")=TRUE),  "",  INDEX(RulebookFields!I2:I1898, MATCH(D1071,RulebookFields!A2:A1898, 0))), "")</f>
        <v>1</v>
      </c>
      <c r="K1071" s="4" t="b">
        <f>AND(((F1071)=TRUE), ((J1071)=TRUE))</f>
        <v>0</v>
      </c>
      <c r="L1071" s="4" t="b">
        <f>AND(((G1071 &lt;&gt; "plain")=TRUE), ((G1071 &lt;&gt; "")=TRUE))</f>
        <v>0</v>
      </c>
      <c r="M1071" s="4" t="str">
        <f>IF(((E1071)=TRUE),  C1071 &amp; "|" &amp; H1071,  "")</f>
        <v>principal-process-steward|Organizations</v>
      </c>
      <c r="N1071" s="3" t="s">
        <v>10004</v>
      </c>
    </row>
    <row r="1072">
      <c r="A1072" s="3" t="s">
        <v>11074</v>
      </c>
      <c r="B1072" s="4" t="str">
        <f>C1072 &amp; " -&gt; " &amp; D1072</f>
        <v>principal-process-steward -&gt; Organizations.DisplayName</v>
      </c>
      <c r="C1072" s="3" t="s">
        <v>9772</v>
      </c>
      <c r="D1072" s="3" t="s">
        <v>2456</v>
      </c>
      <c r="E1072" s="3" t="b">
        <v>1</v>
      </c>
      <c r="F1072" s="3" t="b">
        <v>0</v>
      </c>
      <c r="G1072" s="3" t="s">
        <v>10003</v>
      </c>
      <c r="H1072" s="4" t="str">
        <f>_xlfn.IFNA(IF(((INDEX(RulebookFields!C2:C1898, MATCH(D1072,RulebookFields!A2:A1898, 0))="")=TRUE),  "",  INDEX(RulebookFields!C2:C1898, MATCH(D1072,RulebookFields!A2:A1898, 0))), "")</f>
        <v>Organizations</v>
      </c>
      <c r="I1072" s="4" t="str">
        <f>_xlfn.IFNA(IF(((INDEX(RulebookFields!D2:D1898, MATCH(D1072,RulebookFields!A2:A1898, 0))="")=TRUE),  "",  INDEX(RulebookFields!D2:D1898, MATCH(D1072,RulebookFields!A2:A1898, 0))), "")</f>
        <v>DisplayName</v>
      </c>
      <c r="J1072" s="4" t="b">
        <f>_xlfn.IFNA(IF(((INDEX(RulebookFields!I2:I1898, MATCH(D1072,RulebookFields!A2:A1898, 0))="")=TRUE),  "",  INDEX(RulebookFields!I2:I1898, MATCH(D1072,RulebookFields!A2:A1898, 0))), "")</f>
        <v>0</v>
      </c>
      <c r="K1072" s="4" t="b">
        <f>AND(((F1072)=TRUE), ((J1072)=TRUE))</f>
        <v>0</v>
      </c>
      <c r="L1072" s="4" t="b">
        <f>AND(((G1072 &lt;&gt; "plain")=TRUE), ((G1072 &lt;&gt; "")=TRUE))</f>
        <v>0</v>
      </c>
      <c r="M1072" s="4" t="str">
        <f>IF(((E1072)=TRUE),  C1072 &amp; "|" &amp; H1072,  "")</f>
        <v>principal-process-steward|Organizations</v>
      </c>
      <c r="N1072" s="3" t="s">
        <v>10004</v>
      </c>
    </row>
    <row r="1073">
      <c r="A1073" s="3" t="s">
        <v>11075</v>
      </c>
      <c r="B1073" s="4" t="str">
        <f>C1073 &amp; " -&gt; " &amp; D1073</f>
        <v>principal-process-steward -&gt; Organizations.OrganizationType</v>
      </c>
      <c r="C1073" s="3" t="s">
        <v>9772</v>
      </c>
      <c r="D1073" s="3" t="s">
        <v>2457</v>
      </c>
      <c r="E1073" s="3" t="b">
        <v>1</v>
      </c>
      <c r="F1073" s="3" t="b">
        <v>0</v>
      </c>
      <c r="G1073" s="3" t="s">
        <v>10003</v>
      </c>
      <c r="H1073" s="4" t="str">
        <f>_xlfn.IFNA(IF(((INDEX(RulebookFields!C2:C1898, MATCH(D1073,RulebookFields!A2:A1898, 0))="")=TRUE),  "",  INDEX(RulebookFields!C2:C1898, MATCH(D1073,RulebookFields!A2:A1898, 0))), "")</f>
        <v>Organizations</v>
      </c>
      <c r="I1073" s="4" t="str">
        <f>_xlfn.IFNA(IF(((INDEX(RulebookFields!D2:D1898, MATCH(D1073,RulebookFields!A2:A1898, 0))="")=TRUE),  "",  INDEX(RulebookFields!D2:D1898, MATCH(D1073,RulebookFields!A2:A1898, 0))), "")</f>
        <v>OrganizationType</v>
      </c>
      <c r="J1073" s="4" t="b">
        <f>_xlfn.IFNA(IF(((INDEX(RulebookFields!I2:I1898, MATCH(D1073,RulebookFields!A2:A1898, 0))="")=TRUE),  "",  INDEX(RulebookFields!I2:I1898, MATCH(D1073,RulebookFields!A2:A1898, 0))), "")</f>
        <v>0</v>
      </c>
      <c r="K1073" s="4" t="b">
        <f>AND(((F1073)=TRUE), ((J1073)=TRUE))</f>
        <v>0</v>
      </c>
      <c r="L1073" s="4" t="b">
        <f>AND(((G1073 &lt;&gt; "plain")=TRUE), ((G1073 &lt;&gt; "")=TRUE))</f>
        <v>0</v>
      </c>
      <c r="M1073" s="4" t="str">
        <f>IF(((E1073)=TRUE),  C1073 &amp; "|" &amp; H1073,  "")</f>
        <v>principal-process-steward|Organizations</v>
      </c>
      <c r="N1073" s="3" t="s">
        <v>10004</v>
      </c>
    </row>
    <row r="1074">
      <c r="A1074" s="3" t="s">
        <v>11076</v>
      </c>
      <c r="B1074" s="4" t="str">
        <f>C1074 &amp; " -&gt; " &amp; D1074</f>
        <v>principal-process-steward -&gt; Organizations.ExternalIdentifier</v>
      </c>
      <c r="C1074" s="3" t="s">
        <v>9772</v>
      </c>
      <c r="D1074" s="3" t="s">
        <v>2458</v>
      </c>
      <c r="E1074" s="3" t="b">
        <v>1</v>
      </c>
      <c r="F1074" s="3" t="b">
        <v>0</v>
      </c>
      <c r="G1074" s="3" t="s">
        <v>10003</v>
      </c>
      <c r="H1074" s="4" t="str">
        <f>_xlfn.IFNA(IF(((INDEX(RulebookFields!C2:C1898, MATCH(D1074,RulebookFields!A2:A1898, 0))="")=TRUE),  "",  INDEX(RulebookFields!C2:C1898, MATCH(D1074,RulebookFields!A2:A1898, 0))), "")</f>
        <v>Organizations</v>
      </c>
      <c r="I1074" s="4" t="str">
        <f>_xlfn.IFNA(IF(((INDEX(RulebookFields!D2:D1898, MATCH(D1074,RulebookFields!A2:A1898, 0))="")=TRUE),  "",  INDEX(RulebookFields!D2:D1898, MATCH(D1074,RulebookFields!A2:A1898, 0))), "")</f>
        <v>ExternalIdentifier</v>
      </c>
      <c r="J1074" s="4" t="b">
        <f>_xlfn.IFNA(IF(((INDEX(RulebookFields!I2:I1898, MATCH(D1074,RulebookFields!A2:A1898, 0))="")=TRUE),  "",  INDEX(RulebookFields!I2:I1898, MATCH(D1074,RulebookFields!A2:A1898, 0))), "")</f>
        <v>0</v>
      </c>
      <c r="K1074" s="4" t="b">
        <f>AND(((F1074)=TRUE), ((J1074)=TRUE))</f>
        <v>0</v>
      </c>
      <c r="L1074" s="4" t="b">
        <f>AND(((G1074 &lt;&gt; "plain")=TRUE), ((G1074 &lt;&gt; "")=TRUE))</f>
        <v>0</v>
      </c>
      <c r="M1074" s="4" t="str">
        <f>IF(((E1074)=TRUE),  C1074 &amp; "|" &amp; H1074,  "")</f>
        <v>principal-process-steward|Organizations</v>
      </c>
      <c r="N1074" s="3" t="s">
        <v>10004</v>
      </c>
    </row>
    <row r="1075">
      <c r="A1075" s="3" t="s">
        <v>11077</v>
      </c>
      <c r="B1075" s="4" t="str">
        <f>C1075 &amp; " -&gt; " &amp; D1075</f>
        <v>principal-process-steward -&gt; Organizations.SemanticTypeIri</v>
      </c>
      <c r="C1075" s="3" t="s">
        <v>9772</v>
      </c>
      <c r="D1075" s="3" t="s">
        <v>2459</v>
      </c>
      <c r="E1075" s="3" t="b">
        <v>1</v>
      </c>
      <c r="F1075" s="3" t="b">
        <v>0</v>
      </c>
      <c r="G1075" s="3" t="s">
        <v>10003</v>
      </c>
      <c r="H1075" s="4" t="str">
        <f>_xlfn.IFNA(IF(((INDEX(RulebookFields!C2:C1898, MATCH(D1075,RulebookFields!A2:A1898, 0))="")=TRUE),  "",  INDEX(RulebookFields!C2:C1898, MATCH(D1075,RulebookFields!A2:A1898, 0))), "")</f>
        <v>Organizations</v>
      </c>
      <c r="I1075" s="4" t="str">
        <f>_xlfn.IFNA(IF(((INDEX(RulebookFields!D2:D1898, MATCH(D1075,RulebookFields!A2:A1898, 0))="")=TRUE),  "",  INDEX(RulebookFields!D2:D1898, MATCH(D1075,RulebookFields!A2:A1898, 0))), "")</f>
        <v>SemanticTypeIri</v>
      </c>
      <c r="J1075" s="4" t="b">
        <f>_xlfn.IFNA(IF(((INDEX(RulebookFields!I2:I1898, MATCH(D1075,RulebookFields!A2:A1898, 0))="")=TRUE),  "",  INDEX(RulebookFields!I2:I1898, MATCH(D1075,RulebookFields!A2:A1898, 0))), "")</f>
        <v>0</v>
      </c>
      <c r="K1075" s="4" t="b">
        <f>AND(((F1075)=TRUE), ((J1075)=TRUE))</f>
        <v>0</v>
      </c>
      <c r="L1075" s="4" t="b">
        <f>AND(((G1075 &lt;&gt; "plain")=TRUE), ((G1075 &lt;&gt; "")=TRUE))</f>
        <v>0</v>
      </c>
      <c r="M1075" s="4" t="str">
        <f>IF(((E1075)=TRUE),  C1075 &amp; "|" &amp; H1075,  "")</f>
        <v>principal-process-steward|Organizations</v>
      </c>
      <c r="N1075" s="3" t="s">
        <v>10004</v>
      </c>
    </row>
    <row r="1076">
      <c r="A1076" s="3" t="s">
        <v>11078</v>
      </c>
      <c r="B1076" s="4" t="str">
        <f>C1076 &amp; " -&gt; " &amp; D1076</f>
        <v>principal-process-steward -&gt; ProcedureExecutions.ProcedureExecutionId</v>
      </c>
      <c r="C1076" s="3" t="s">
        <v>9772</v>
      </c>
      <c r="D1076" s="3" t="s">
        <v>3426</v>
      </c>
      <c r="E1076" s="3" t="b">
        <v>1</v>
      </c>
      <c r="F1076" s="3" t="b">
        <v>0</v>
      </c>
      <c r="G1076" s="3" t="s">
        <v>10003</v>
      </c>
      <c r="H1076" s="4" t="str">
        <f>_xlfn.IFNA(IF(((INDEX(RulebookFields!C2:C1898, MATCH(D1076,RulebookFields!A2:A1898, 0))="")=TRUE),  "",  INDEX(RulebookFields!C2:C1898, MATCH(D1076,RulebookFields!A2:A1898, 0))), "")</f>
        <v>ProcedureExecutions</v>
      </c>
      <c r="I1076" s="4" t="str">
        <f>_xlfn.IFNA(IF(((INDEX(RulebookFields!D2:D1898, MATCH(D1076,RulebookFields!A2:A1898, 0))="")=TRUE),  "",  INDEX(RulebookFields!D2:D1898, MATCH(D1076,RulebookFields!A2:A1898, 0))), "")</f>
        <v>ProcedureExecutionId</v>
      </c>
      <c r="J1076" s="4" t="b">
        <f>_xlfn.IFNA(IF(((INDEX(RulebookFields!I2:I1898, MATCH(D1076,RulebookFields!A2:A1898, 0))="")=TRUE),  "",  INDEX(RulebookFields!I2:I1898, MATCH(D1076,RulebookFields!A2:A1898, 0))), "")</f>
        <v>0</v>
      </c>
      <c r="K1076" s="4" t="b">
        <f>AND(((F1076)=TRUE), ((J1076)=TRUE))</f>
        <v>0</v>
      </c>
      <c r="L1076" s="4" t="b">
        <f>AND(((G1076 &lt;&gt; "plain")=TRUE), ((G1076 &lt;&gt; "")=TRUE))</f>
        <v>0</v>
      </c>
      <c r="M1076" s="4" t="str">
        <f>IF(((E1076)=TRUE),  C1076 &amp; "|" &amp; H1076,  "")</f>
        <v>principal-process-steward|ProcedureExecutions</v>
      </c>
      <c r="N1076" s="3" t="s">
        <v>10004</v>
      </c>
    </row>
    <row r="1077">
      <c r="A1077" s="3" t="s">
        <v>11079</v>
      </c>
      <c r="B1077" s="4" t="str">
        <f>C1077 &amp; " -&gt; " &amp; D1077</f>
        <v>principal-process-steward -&gt; ProcedureExecutions.Name</v>
      </c>
      <c r="C1077" s="3" t="s">
        <v>9772</v>
      </c>
      <c r="D1077" s="3" t="s">
        <v>3427</v>
      </c>
      <c r="E1077" s="3" t="b">
        <v>1</v>
      </c>
      <c r="F1077" s="3" t="b">
        <v>0</v>
      </c>
      <c r="G1077" s="3" t="s">
        <v>10003</v>
      </c>
      <c r="H1077" s="4" t="str">
        <f>_xlfn.IFNA(IF(((INDEX(RulebookFields!C2:C1898, MATCH(D1077,RulebookFields!A2:A1898, 0))="")=TRUE),  "",  INDEX(RulebookFields!C2:C1898, MATCH(D1077,RulebookFields!A2:A1898, 0))), "")</f>
        <v>ProcedureExecutions</v>
      </c>
      <c r="I1077" s="4" t="str">
        <f>_xlfn.IFNA(IF(((INDEX(RulebookFields!D2:D1898, MATCH(D1077,RulebookFields!A2:A1898, 0))="")=TRUE),  "",  INDEX(RulebookFields!D2:D1898, MATCH(D1077,RulebookFields!A2:A1898, 0))), "")</f>
        <v>Name</v>
      </c>
      <c r="J1077" s="4" t="b">
        <f>_xlfn.IFNA(IF(((INDEX(RulebookFields!I2:I1898, MATCH(D1077,RulebookFields!A2:A1898, 0))="")=TRUE),  "",  INDEX(RulebookFields!I2:I1898, MATCH(D1077,RulebookFields!A2:A1898, 0))), "")</f>
        <v>1</v>
      </c>
      <c r="K1077" s="4" t="b">
        <f>AND(((F1077)=TRUE), ((J1077)=TRUE))</f>
        <v>0</v>
      </c>
      <c r="L1077" s="4" t="b">
        <f>AND(((G1077 &lt;&gt; "plain")=TRUE), ((G1077 &lt;&gt; "")=TRUE))</f>
        <v>0</v>
      </c>
      <c r="M1077" s="4" t="str">
        <f>IF(((E1077)=TRUE),  C1077 &amp; "|" &amp; H1077,  "")</f>
        <v>principal-process-steward|ProcedureExecutions</v>
      </c>
      <c r="N1077" s="3" t="s">
        <v>10004</v>
      </c>
    </row>
    <row r="1078">
      <c r="A1078" s="3" t="s">
        <v>11080</v>
      </c>
      <c r="B1078" s="4" t="str">
        <f>C1078 &amp; " -&gt; " &amp; D1078</f>
        <v>principal-process-steward -&gt; ProcedureExecutions.ProcedureVersion</v>
      </c>
      <c r="C1078" s="3" t="s">
        <v>9772</v>
      </c>
      <c r="D1078" s="3" t="s">
        <v>3429</v>
      </c>
      <c r="E1078" s="3" t="b">
        <v>1</v>
      </c>
      <c r="F1078" s="3" t="b">
        <v>0</v>
      </c>
      <c r="G1078" s="3" t="s">
        <v>10003</v>
      </c>
      <c r="H1078" s="4" t="str">
        <f>_xlfn.IFNA(IF(((INDEX(RulebookFields!C2:C1898, MATCH(D1078,RulebookFields!A2:A1898, 0))="")=TRUE),  "",  INDEX(RulebookFields!C2:C1898, MATCH(D1078,RulebookFields!A2:A1898, 0))), "")</f>
        <v>ProcedureExecutions</v>
      </c>
      <c r="I1078" s="4" t="str">
        <f>_xlfn.IFNA(IF(((INDEX(RulebookFields!D2:D1898, MATCH(D1078,RulebookFields!A2:A1898, 0))="")=TRUE),  "",  INDEX(RulebookFields!D2:D1898, MATCH(D1078,RulebookFields!A2:A1898, 0))), "")</f>
        <v>ProcedureVersion</v>
      </c>
      <c r="J1078" s="4" t="b">
        <f>_xlfn.IFNA(IF(((INDEX(RulebookFields!I2:I1898, MATCH(D1078,RulebookFields!A2:A1898, 0))="")=TRUE),  "",  INDEX(RulebookFields!I2:I1898, MATCH(D1078,RulebookFields!A2:A1898, 0))), "")</f>
        <v>0</v>
      </c>
      <c r="K1078" s="4" t="b">
        <f>AND(((F1078)=TRUE), ((J1078)=TRUE))</f>
        <v>0</v>
      </c>
      <c r="L1078" s="4" t="b">
        <f>AND(((G1078 &lt;&gt; "plain")=TRUE), ((G1078 &lt;&gt; "")=TRUE))</f>
        <v>0</v>
      </c>
      <c r="M1078" s="4" t="str">
        <f>IF(((E1078)=TRUE),  C1078 &amp; "|" &amp; H1078,  "")</f>
        <v>principal-process-steward|ProcedureExecutions</v>
      </c>
      <c r="N1078" s="3" t="s">
        <v>10004</v>
      </c>
    </row>
    <row r="1079">
      <c r="A1079" s="3" t="s">
        <v>11081</v>
      </c>
      <c r="B1079" s="4" t="str">
        <f>C1079 &amp; " -&gt; " &amp; D1079</f>
        <v>principal-process-steward -&gt; ProcedureExecutions.ExecutionStatus</v>
      </c>
      <c r="C1079" s="3" t="s">
        <v>9772</v>
      </c>
      <c r="D1079" s="3" t="s">
        <v>3430</v>
      </c>
      <c r="E1079" s="3" t="b">
        <v>1</v>
      </c>
      <c r="F1079" s="3" t="b">
        <v>0</v>
      </c>
      <c r="G1079" s="3" t="s">
        <v>10003</v>
      </c>
      <c r="H1079" s="4" t="str">
        <f>_xlfn.IFNA(IF(((INDEX(RulebookFields!C2:C1898, MATCH(D1079,RulebookFields!A2:A1898, 0))="")=TRUE),  "",  INDEX(RulebookFields!C2:C1898, MATCH(D1079,RulebookFields!A2:A1898, 0))), "")</f>
        <v>ProcedureExecutions</v>
      </c>
      <c r="I1079" s="4" t="str">
        <f>_xlfn.IFNA(IF(((INDEX(RulebookFields!D2:D1898, MATCH(D1079,RulebookFields!A2:A1898, 0))="")=TRUE),  "",  INDEX(RulebookFields!D2:D1898, MATCH(D1079,RulebookFields!A2:A1898, 0))), "")</f>
        <v>ExecutionStatus</v>
      </c>
      <c r="J1079" s="4" t="b">
        <f>_xlfn.IFNA(IF(((INDEX(RulebookFields!I2:I1898, MATCH(D1079,RulebookFields!A2:A1898, 0))="")=TRUE),  "",  INDEX(RulebookFields!I2:I1898, MATCH(D1079,RulebookFields!A2:A1898, 0))), "")</f>
        <v>0</v>
      </c>
      <c r="K1079" s="4" t="b">
        <f>AND(((F1079)=TRUE), ((J1079)=TRUE))</f>
        <v>0</v>
      </c>
      <c r="L1079" s="4" t="b">
        <f>AND(((G1079 &lt;&gt; "plain")=TRUE), ((G1079 &lt;&gt; "")=TRUE))</f>
        <v>0</v>
      </c>
      <c r="M1079" s="4" t="str">
        <f>IF(((E1079)=TRUE),  C1079 &amp; "|" &amp; H1079,  "")</f>
        <v>principal-process-steward|ProcedureExecutions</v>
      </c>
      <c r="N1079" s="3" t="s">
        <v>10004</v>
      </c>
    </row>
    <row r="1080">
      <c r="A1080" s="3" t="s">
        <v>11082</v>
      </c>
      <c r="B1080" s="4" t="str">
        <f>C1080 &amp; " -&gt; " &amp; D1080</f>
        <v>principal-process-steward -&gt; ProcedureExecutions.StartedAt</v>
      </c>
      <c r="C1080" s="3" t="s">
        <v>9772</v>
      </c>
      <c r="D1080" s="3" t="s">
        <v>3431</v>
      </c>
      <c r="E1080" s="3" t="b">
        <v>1</v>
      </c>
      <c r="F1080" s="3" t="b">
        <v>0</v>
      </c>
      <c r="G1080" s="3" t="s">
        <v>10003</v>
      </c>
      <c r="H1080" s="4" t="str">
        <f>_xlfn.IFNA(IF(((INDEX(RulebookFields!C2:C1898, MATCH(D1080,RulebookFields!A2:A1898, 0))="")=TRUE),  "",  INDEX(RulebookFields!C2:C1898, MATCH(D1080,RulebookFields!A2:A1898, 0))), "")</f>
        <v>ProcedureExecutions</v>
      </c>
      <c r="I1080" s="4" t="str">
        <f>_xlfn.IFNA(IF(((INDEX(RulebookFields!D2:D1898, MATCH(D1080,RulebookFields!A2:A1898, 0))="")=TRUE),  "",  INDEX(RulebookFields!D2:D1898, MATCH(D1080,RulebookFields!A2:A1898, 0))), "")</f>
        <v>StartedAt</v>
      </c>
      <c r="J1080" s="4" t="b">
        <f>_xlfn.IFNA(IF(((INDEX(RulebookFields!I2:I1898, MATCH(D1080,RulebookFields!A2:A1898, 0))="")=TRUE),  "",  INDEX(RulebookFields!I2:I1898, MATCH(D1080,RulebookFields!A2:A1898, 0))), "")</f>
        <v>0</v>
      </c>
      <c r="K1080" s="4" t="b">
        <f>AND(((F1080)=TRUE), ((J1080)=TRUE))</f>
        <v>0</v>
      </c>
      <c r="L1080" s="4" t="b">
        <f>AND(((G1080 &lt;&gt; "plain")=TRUE), ((G1080 &lt;&gt; "")=TRUE))</f>
        <v>0</v>
      </c>
      <c r="M1080" s="4" t="str">
        <f>IF(((E1080)=TRUE),  C1080 &amp; "|" &amp; H1080,  "")</f>
        <v>principal-process-steward|ProcedureExecutions</v>
      </c>
      <c r="N1080" s="3" t="s">
        <v>10004</v>
      </c>
    </row>
    <row r="1081">
      <c r="A1081" s="3" t="s">
        <v>11083</v>
      </c>
      <c r="B1081" s="4" t="str">
        <f>C1081 &amp; " -&gt; " &amp; D1081</f>
        <v>principal-process-steward -&gt; ProcedureExecutions.EndedAt</v>
      </c>
      <c r="C1081" s="3" t="s">
        <v>9772</v>
      </c>
      <c r="D1081" s="3" t="s">
        <v>3432</v>
      </c>
      <c r="E1081" s="3" t="b">
        <v>1</v>
      </c>
      <c r="F1081" s="3" t="b">
        <v>0</v>
      </c>
      <c r="G1081" s="3" t="s">
        <v>10003</v>
      </c>
      <c r="H1081" s="4" t="str">
        <f>_xlfn.IFNA(IF(((INDEX(RulebookFields!C2:C1898, MATCH(D1081,RulebookFields!A2:A1898, 0))="")=TRUE),  "",  INDEX(RulebookFields!C2:C1898, MATCH(D1081,RulebookFields!A2:A1898, 0))), "")</f>
        <v>ProcedureExecutions</v>
      </c>
      <c r="I1081" s="4" t="str">
        <f>_xlfn.IFNA(IF(((INDEX(RulebookFields!D2:D1898, MATCH(D1081,RulebookFields!A2:A1898, 0))="")=TRUE),  "",  INDEX(RulebookFields!D2:D1898, MATCH(D1081,RulebookFields!A2:A1898, 0))), "")</f>
        <v>EndedAt</v>
      </c>
      <c r="J1081" s="4" t="b">
        <f>_xlfn.IFNA(IF(((INDEX(RulebookFields!I2:I1898, MATCH(D1081,RulebookFields!A2:A1898, 0))="")=TRUE),  "",  INDEX(RulebookFields!I2:I1898, MATCH(D1081,RulebookFields!A2:A1898, 0))), "")</f>
        <v>0</v>
      </c>
      <c r="K1081" s="4" t="b">
        <f>AND(((F1081)=TRUE), ((J1081)=TRUE))</f>
        <v>0</v>
      </c>
      <c r="L1081" s="4" t="b">
        <f>AND(((G1081 &lt;&gt; "plain")=TRUE), ((G1081 &lt;&gt; "")=TRUE))</f>
        <v>0</v>
      </c>
      <c r="M1081" s="4" t="str">
        <f>IF(((E1081)=TRUE),  C1081 &amp; "|" &amp; H1081,  "")</f>
        <v>principal-process-steward|ProcedureExecutions</v>
      </c>
      <c r="N1081" s="3" t="s">
        <v>10004</v>
      </c>
    </row>
    <row r="1082">
      <c r="A1082" s="3" t="s">
        <v>11084</v>
      </c>
      <c r="B1082" s="4" t="str">
        <f>C1082 &amp; " -&gt; " &amp; D1082</f>
        <v>principal-process-steward -&gt; ProcedureExecutions.ExecutedByAgent</v>
      </c>
      <c r="C1082" s="3" t="s">
        <v>9772</v>
      </c>
      <c r="D1082" s="3" t="s">
        <v>3433</v>
      </c>
      <c r="E1082" s="3" t="b">
        <v>1</v>
      </c>
      <c r="F1082" s="3" t="b">
        <v>0</v>
      </c>
      <c r="G1082" s="3" t="s">
        <v>10003</v>
      </c>
      <c r="H1082" s="4" t="str">
        <f>_xlfn.IFNA(IF(((INDEX(RulebookFields!C2:C1898, MATCH(D1082,RulebookFields!A2:A1898, 0))="")=TRUE),  "",  INDEX(RulebookFields!C2:C1898, MATCH(D1082,RulebookFields!A2:A1898, 0))), "")</f>
        <v>ProcedureExecutions</v>
      </c>
      <c r="I1082" s="4" t="str">
        <f>_xlfn.IFNA(IF(((INDEX(RulebookFields!D2:D1898, MATCH(D1082,RulebookFields!A2:A1898, 0))="")=TRUE),  "",  INDEX(RulebookFields!D2:D1898, MATCH(D1082,RulebookFields!A2:A1898, 0))), "")</f>
        <v>ExecutedByAgent</v>
      </c>
      <c r="J1082" s="4" t="b">
        <f>_xlfn.IFNA(IF(((INDEX(RulebookFields!I2:I1898, MATCH(D1082,RulebookFields!A2:A1898, 0))="")=TRUE),  "",  INDEX(RulebookFields!I2:I1898, MATCH(D1082,RulebookFields!A2:A1898, 0))), "")</f>
        <v>0</v>
      </c>
      <c r="K1082" s="4" t="b">
        <f>AND(((F1082)=TRUE), ((J1082)=TRUE))</f>
        <v>0</v>
      </c>
      <c r="L1082" s="4" t="b">
        <f>AND(((G1082 &lt;&gt; "plain")=TRUE), ((G1082 &lt;&gt; "")=TRUE))</f>
        <v>0</v>
      </c>
      <c r="M1082" s="4" t="str">
        <f>IF(((E1082)=TRUE),  C1082 &amp; "|" &amp; H1082,  "")</f>
        <v>principal-process-steward|ProcedureExecutions</v>
      </c>
      <c r="N1082" s="3" t="s">
        <v>10004</v>
      </c>
    </row>
    <row r="1083">
      <c r="A1083" s="3" t="s">
        <v>11085</v>
      </c>
      <c r="B1083" s="4" t="str">
        <f>C1083 &amp; " -&gt; " &amp; D1083</f>
        <v>principal-process-steward -&gt; ProcedureExecutions.Context</v>
      </c>
      <c r="C1083" s="3" t="s">
        <v>9772</v>
      </c>
      <c r="D1083" s="3" t="s">
        <v>3434</v>
      </c>
      <c r="E1083" s="3" t="b">
        <v>1</v>
      </c>
      <c r="F1083" s="3" t="b">
        <v>0</v>
      </c>
      <c r="G1083" s="3" t="s">
        <v>10003</v>
      </c>
      <c r="H1083" s="4" t="str">
        <f>_xlfn.IFNA(IF(((INDEX(RulebookFields!C2:C1898, MATCH(D1083,RulebookFields!A2:A1898, 0))="")=TRUE),  "",  INDEX(RulebookFields!C2:C1898, MATCH(D1083,RulebookFields!A2:A1898, 0))), "")</f>
        <v>ProcedureExecutions</v>
      </c>
      <c r="I1083" s="4" t="str">
        <f>_xlfn.IFNA(IF(((INDEX(RulebookFields!D2:D1898, MATCH(D1083,RulebookFields!A2:A1898, 0))="")=TRUE),  "",  INDEX(RulebookFields!D2:D1898, MATCH(D1083,RulebookFields!A2:A1898, 0))), "")</f>
        <v>Context</v>
      </c>
      <c r="J1083" s="4" t="b">
        <f>_xlfn.IFNA(IF(((INDEX(RulebookFields!I2:I1898, MATCH(D1083,RulebookFields!A2:A1898, 0))="")=TRUE),  "",  INDEX(RulebookFields!I2:I1898, MATCH(D1083,RulebookFields!A2:A1898, 0))), "")</f>
        <v>0</v>
      </c>
      <c r="K1083" s="4" t="b">
        <f>AND(((F1083)=TRUE), ((J1083)=TRUE))</f>
        <v>0</v>
      </c>
      <c r="L1083" s="4" t="b">
        <f>AND(((G1083 &lt;&gt; "plain")=TRUE), ((G1083 &lt;&gt; "")=TRUE))</f>
        <v>0</v>
      </c>
      <c r="M1083" s="4" t="str">
        <f>IF(((E1083)=TRUE),  C1083 &amp; "|" &amp; H1083,  "")</f>
        <v>principal-process-steward|ProcedureExecutions</v>
      </c>
      <c r="N1083" s="3" t="s">
        <v>10004</v>
      </c>
    </row>
    <row r="1084">
      <c r="A1084" s="3" t="s">
        <v>11086</v>
      </c>
      <c r="B1084" s="4" t="str">
        <f>C1084 &amp; " -&gt; " &amp; D1084</f>
        <v>principal-process-steward -&gt; ProcedureExecutions.OperationalRecordUri</v>
      </c>
      <c r="C1084" s="3" t="s">
        <v>9772</v>
      </c>
      <c r="D1084" s="3" t="s">
        <v>3435</v>
      </c>
      <c r="E1084" s="3" t="b">
        <v>1</v>
      </c>
      <c r="F1084" s="3" t="b">
        <v>0</v>
      </c>
      <c r="G1084" s="3" t="s">
        <v>10003</v>
      </c>
      <c r="H1084" s="4" t="str">
        <f>_xlfn.IFNA(IF(((INDEX(RulebookFields!C2:C1898, MATCH(D1084,RulebookFields!A2:A1898, 0))="")=TRUE),  "",  INDEX(RulebookFields!C2:C1898, MATCH(D1084,RulebookFields!A2:A1898, 0))), "")</f>
        <v>ProcedureExecutions</v>
      </c>
      <c r="I1084" s="4" t="str">
        <f>_xlfn.IFNA(IF(((INDEX(RulebookFields!D2:D1898, MATCH(D1084,RulebookFields!A2:A1898, 0))="")=TRUE),  "",  INDEX(RulebookFields!D2:D1898, MATCH(D1084,RulebookFields!A2:A1898, 0))), "")</f>
        <v>OperationalRecordUri</v>
      </c>
      <c r="J1084" s="4" t="b">
        <f>_xlfn.IFNA(IF(((INDEX(RulebookFields!I2:I1898, MATCH(D1084,RulebookFields!A2:A1898, 0))="")=TRUE),  "",  INDEX(RulebookFields!I2:I1898, MATCH(D1084,RulebookFields!A2:A1898, 0))), "")</f>
        <v>0</v>
      </c>
      <c r="K1084" s="4" t="b">
        <f>AND(((F1084)=TRUE), ((J1084)=TRUE))</f>
        <v>0</v>
      </c>
      <c r="L1084" s="4" t="b">
        <f>AND(((G1084 &lt;&gt; "plain")=TRUE), ((G1084 &lt;&gt; "")=TRUE))</f>
        <v>0</v>
      </c>
      <c r="M1084" s="4" t="str">
        <f>IF(((E1084)=TRUE),  C1084 &amp; "|" &amp; H1084,  "")</f>
        <v>principal-process-steward|ProcedureExecutions</v>
      </c>
      <c r="N1084" s="3" t="s">
        <v>10004</v>
      </c>
    </row>
    <row r="1085">
      <c r="A1085" s="3" t="s">
        <v>11087</v>
      </c>
      <c r="B1085" s="4" t="str">
        <f>C1085 &amp; " -&gt; " &amp; D1085</f>
        <v>principal-process-steward -&gt; ProcedureExecutions.ExpectedStepCount</v>
      </c>
      <c r="C1085" s="3" t="s">
        <v>9772</v>
      </c>
      <c r="D1085" s="3" t="s">
        <v>3436</v>
      </c>
      <c r="E1085" s="3" t="b">
        <v>1</v>
      </c>
      <c r="F1085" s="3" t="b">
        <v>0</v>
      </c>
      <c r="G1085" s="3" t="s">
        <v>10003</v>
      </c>
      <c r="H1085" s="4" t="str">
        <f>_xlfn.IFNA(IF(((INDEX(RulebookFields!C2:C1898, MATCH(D1085,RulebookFields!A2:A1898, 0))="")=TRUE),  "",  INDEX(RulebookFields!C2:C1898, MATCH(D1085,RulebookFields!A2:A1898, 0))), "")</f>
        <v>ProcedureExecutions</v>
      </c>
      <c r="I1085" s="4" t="str">
        <f>_xlfn.IFNA(IF(((INDEX(RulebookFields!D2:D1898, MATCH(D1085,RulebookFields!A2:A1898, 0))="")=TRUE),  "",  INDEX(RulebookFields!D2:D1898, MATCH(D1085,RulebookFields!A2:A1898, 0))), "")</f>
        <v>ExpectedStepCount</v>
      </c>
      <c r="J1085" s="4" t="b">
        <f>_xlfn.IFNA(IF(((INDEX(RulebookFields!I2:I1898, MATCH(D1085,RulebookFields!A2:A1898, 0))="")=TRUE),  "",  INDEX(RulebookFields!I2:I1898, MATCH(D1085,RulebookFields!A2:A1898, 0))), "")</f>
        <v>1</v>
      </c>
      <c r="K1085" s="4" t="b">
        <f>AND(((F1085)=TRUE), ((J1085)=TRUE))</f>
        <v>0</v>
      </c>
      <c r="L1085" s="4" t="b">
        <f>AND(((G1085 &lt;&gt; "plain")=TRUE), ((G1085 &lt;&gt; "")=TRUE))</f>
        <v>0</v>
      </c>
      <c r="M1085" s="4" t="str">
        <f>IF(((E1085)=TRUE),  C1085 &amp; "|" &amp; H1085,  "")</f>
        <v>principal-process-steward|ProcedureExecutions</v>
      </c>
      <c r="N1085" s="3" t="s">
        <v>10004</v>
      </c>
    </row>
    <row r="1086">
      <c r="A1086" s="3" t="s">
        <v>11088</v>
      </c>
      <c r="B1086" s="4" t="str">
        <f>C1086 &amp; " -&gt; " &amp; D1086</f>
        <v>principal-process-steward -&gt; ProcedureExecutions.CompletedStepCount</v>
      </c>
      <c r="C1086" s="3" t="s">
        <v>9772</v>
      </c>
      <c r="D1086" s="3" t="s">
        <v>3438</v>
      </c>
      <c r="E1086" s="3" t="b">
        <v>1</v>
      </c>
      <c r="F1086" s="3" t="b">
        <v>0</v>
      </c>
      <c r="G1086" s="3" t="s">
        <v>10003</v>
      </c>
      <c r="H1086" s="4" t="str">
        <f>_xlfn.IFNA(IF(((INDEX(RulebookFields!C2:C1898, MATCH(D1086,RulebookFields!A2:A1898, 0))="")=TRUE),  "",  INDEX(RulebookFields!C2:C1898, MATCH(D1086,RulebookFields!A2:A1898, 0))), "")</f>
        <v>ProcedureExecutions</v>
      </c>
      <c r="I1086" s="4" t="str">
        <f>_xlfn.IFNA(IF(((INDEX(RulebookFields!D2:D1898, MATCH(D1086,RulebookFields!A2:A1898, 0))="")=TRUE),  "",  INDEX(RulebookFields!D2:D1898, MATCH(D1086,RulebookFields!A2:A1898, 0))), "")</f>
        <v>CompletedStepCount</v>
      </c>
      <c r="J1086" s="4" t="b">
        <f>_xlfn.IFNA(IF(((INDEX(RulebookFields!I2:I1898, MATCH(D1086,RulebookFields!A2:A1898, 0))="")=TRUE),  "",  INDEX(RulebookFields!I2:I1898, MATCH(D1086,RulebookFields!A2:A1898, 0))), "")</f>
        <v>1</v>
      </c>
      <c r="K1086" s="4" t="b">
        <f>AND(((F1086)=TRUE), ((J1086)=TRUE))</f>
        <v>0</v>
      </c>
      <c r="L1086" s="4" t="b">
        <f>AND(((G1086 &lt;&gt; "plain")=TRUE), ((G1086 &lt;&gt; "")=TRUE))</f>
        <v>0</v>
      </c>
      <c r="M1086" s="4" t="str">
        <f>IF(((E1086)=TRUE),  C1086 &amp; "|" &amp; H1086,  "")</f>
        <v>principal-process-steward|ProcedureExecutions</v>
      </c>
      <c r="N1086" s="3" t="s">
        <v>10004</v>
      </c>
    </row>
    <row r="1087">
      <c r="A1087" s="3" t="s">
        <v>11089</v>
      </c>
      <c r="B1087" s="4" t="str">
        <f>C1087 &amp; " -&gt; " &amp; D1087</f>
        <v>principal-process-steward -&gt; ProcedureExecutions.ControlBreachCount</v>
      </c>
      <c r="C1087" s="3" t="s">
        <v>9772</v>
      </c>
      <c r="D1087" s="3" t="s">
        <v>3440</v>
      </c>
      <c r="E1087" s="3" t="b">
        <v>1</v>
      </c>
      <c r="F1087" s="3" t="b">
        <v>0</v>
      </c>
      <c r="G1087" s="3" t="s">
        <v>10003</v>
      </c>
      <c r="H1087" s="4" t="str">
        <f>_xlfn.IFNA(IF(((INDEX(RulebookFields!C2:C1898, MATCH(D1087,RulebookFields!A2:A1898, 0))="")=TRUE),  "",  INDEX(RulebookFields!C2:C1898, MATCH(D1087,RulebookFields!A2:A1898, 0))), "")</f>
        <v>ProcedureExecutions</v>
      </c>
      <c r="I1087" s="4" t="str">
        <f>_xlfn.IFNA(IF(((INDEX(RulebookFields!D2:D1898, MATCH(D1087,RulebookFields!A2:A1898, 0))="")=TRUE),  "",  INDEX(RulebookFields!D2:D1898, MATCH(D1087,RulebookFields!A2:A1898, 0))), "")</f>
        <v>ControlBreachCount</v>
      </c>
      <c r="J1087" s="4" t="b">
        <f>_xlfn.IFNA(IF(((INDEX(RulebookFields!I2:I1898, MATCH(D1087,RulebookFields!A2:A1898, 0))="")=TRUE),  "",  INDEX(RulebookFields!I2:I1898, MATCH(D1087,RulebookFields!A2:A1898, 0))), "")</f>
        <v>1</v>
      </c>
      <c r="K1087" s="4" t="b">
        <f>AND(((F1087)=TRUE), ((J1087)=TRUE))</f>
        <v>0</v>
      </c>
      <c r="L1087" s="4" t="b">
        <f>AND(((G1087 &lt;&gt; "plain")=TRUE), ((G1087 &lt;&gt; "")=TRUE))</f>
        <v>0</v>
      </c>
      <c r="M1087" s="4" t="str">
        <f>IF(((E1087)=TRUE),  C1087 &amp; "|" &amp; H1087,  "")</f>
        <v>principal-process-steward|ProcedureExecutions</v>
      </c>
      <c r="N1087" s="3" t="s">
        <v>10004</v>
      </c>
    </row>
    <row r="1088">
      <c r="A1088" s="3" t="s">
        <v>11090</v>
      </c>
      <c r="B1088" s="4" t="str">
        <f>C1088 &amp; " -&gt; " &amp; D1088</f>
        <v>principal-process-steward -&gt; ProcedureExecutions.LateStepCount</v>
      </c>
      <c r="C1088" s="3" t="s">
        <v>9772</v>
      </c>
      <c r="D1088" s="3" t="s">
        <v>3442</v>
      </c>
      <c r="E1088" s="3" t="b">
        <v>1</v>
      </c>
      <c r="F1088" s="3" t="b">
        <v>0</v>
      </c>
      <c r="G1088" s="3" t="s">
        <v>10003</v>
      </c>
      <c r="H1088" s="4" t="str">
        <f>_xlfn.IFNA(IF(((INDEX(RulebookFields!C2:C1898, MATCH(D1088,RulebookFields!A2:A1898, 0))="")=TRUE),  "",  INDEX(RulebookFields!C2:C1898, MATCH(D1088,RulebookFields!A2:A1898, 0))), "")</f>
        <v>ProcedureExecutions</v>
      </c>
      <c r="I1088" s="4" t="str">
        <f>_xlfn.IFNA(IF(((INDEX(RulebookFields!D2:D1898, MATCH(D1088,RulebookFields!A2:A1898, 0))="")=TRUE),  "",  INDEX(RulebookFields!D2:D1898, MATCH(D1088,RulebookFields!A2:A1898, 0))), "")</f>
        <v>LateStepCount</v>
      </c>
      <c r="J1088" s="4" t="b">
        <f>_xlfn.IFNA(IF(((INDEX(RulebookFields!I2:I1898, MATCH(D1088,RulebookFields!A2:A1898, 0))="")=TRUE),  "",  INDEX(RulebookFields!I2:I1898, MATCH(D1088,RulebookFields!A2:A1898, 0))), "")</f>
        <v>1</v>
      </c>
      <c r="K1088" s="4" t="b">
        <f>AND(((F1088)=TRUE), ((J1088)=TRUE))</f>
        <v>0</v>
      </c>
      <c r="L1088" s="4" t="b">
        <f>AND(((G1088 &lt;&gt; "plain")=TRUE), ((G1088 &lt;&gt; "")=TRUE))</f>
        <v>0</v>
      </c>
      <c r="M1088" s="4" t="str">
        <f>IF(((E1088)=TRUE),  C1088 &amp; "|" &amp; H1088,  "")</f>
        <v>principal-process-steward|ProcedureExecutions</v>
      </c>
      <c r="N1088" s="3" t="s">
        <v>10004</v>
      </c>
    </row>
    <row r="1089">
      <c r="A1089" s="3" t="s">
        <v>11091</v>
      </c>
      <c r="B1089" s="4" t="str">
        <f>C1089 &amp; " -&gt; " &amp; D1089</f>
        <v>principal-process-steward -&gt; ProcedureExecutions.IsStructurallyComplete</v>
      </c>
      <c r="C1089" s="3" t="s">
        <v>9772</v>
      </c>
      <c r="D1089" s="3" t="s">
        <v>3444</v>
      </c>
      <c r="E1089" s="3" t="b">
        <v>1</v>
      </c>
      <c r="F1089" s="3" t="b">
        <v>0</v>
      </c>
      <c r="G1089" s="3" t="s">
        <v>10003</v>
      </c>
      <c r="H1089" s="4" t="str">
        <f>_xlfn.IFNA(IF(((INDEX(RulebookFields!C2:C1898, MATCH(D1089,RulebookFields!A2:A1898, 0))="")=TRUE),  "",  INDEX(RulebookFields!C2:C1898, MATCH(D1089,RulebookFields!A2:A1898, 0))), "")</f>
        <v>ProcedureExecutions</v>
      </c>
      <c r="I1089" s="4" t="str">
        <f>_xlfn.IFNA(IF(((INDEX(RulebookFields!D2:D1898, MATCH(D1089,RulebookFields!A2:A1898, 0))="")=TRUE),  "",  INDEX(RulebookFields!D2:D1898, MATCH(D1089,RulebookFields!A2:A1898, 0))), "")</f>
        <v>IsStructurallyComplete</v>
      </c>
      <c r="J1089" s="4" t="b">
        <f>_xlfn.IFNA(IF(((INDEX(RulebookFields!I2:I1898, MATCH(D1089,RulebookFields!A2:A1898, 0))="")=TRUE),  "",  INDEX(RulebookFields!I2:I1898, MATCH(D1089,RulebookFields!A2:A1898, 0))), "")</f>
        <v>1</v>
      </c>
      <c r="K1089" s="4" t="b">
        <f>AND(((F1089)=TRUE), ((J1089)=TRUE))</f>
        <v>0</v>
      </c>
      <c r="L1089" s="4" t="b">
        <f>AND(((G1089 &lt;&gt; "plain")=TRUE), ((G1089 &lt;&gt; "")=TRUE))</f>
        <v>0</v>
      </c>
      <c r="M1089" s="4" t="str">
        <f>IF(((E1089)=TRUE),  C1089 &amp; "|" &amp; H1089,  "")</f>
        <v>principal-process-steward|ProcedureExecutions</v>
      </c>
      <c r="N1089" s="3" t="s">
        <v>10004</v>
      </c>
    </row>
    <row r="1090">
      <c r="A1090" s="3" t="s">
        <v>11092</v>
      </c>
      <c r="B1090" s="4" t="str">
        <f>C1090 &amp; " -&gt; " &amp; D1090</f>
        <v>principal-process-steward -&gt; ProcedureExecutions.DivergedFromSpecification</v>
      </c>
      <c r="C1090" s="3" t="s">
        <v>9772</v>
      </c>
      <c r="D1090" s="3" t="s">
        <v>3446</v>
      </c>
      <c r="E1090" s="3" t="b">
        <v>1</v>
      </c>
      <c r="F1090" s="3" t="b">
        <v>0</v>
      </c>
      <c r="G1090" s="3" t="s">
        <v>10003</v>
      </c>
      <c r="H1090" s="4" t="str">
        <f>_xlfn.IFNA(IF(((INDEX(RulebookFields!C2:C1898, MATCH(D1090,RulebookFields!A2:A1898, 0))="")=TRUE),  "",  INDEX(RulebookFields!C2:C1898, MATCH(D1090,RulebookFields!A2:A1898, 0))), "")</f>
        <v>ProcedureExecutions</v>
      </c>
      <c r="I1090" s="4" t="str">
        <f>_xlfn.IFNA(IF(((INDEX(RulebookFields!D2:D1898, MATCH(D1090,RulebookFields!A2:A1898, 0))="")=TRUE),  "",  INDEX(RulebookFields!D2:D1898, MATCH(D1090,RulebookFields!A2:A1898, 0))), "")</f>
        <v>DivergedFromSpecification</v>
      </c>
      <c r="J1090" s="4" t="b">
        <f>_xlfn.IFNA(IF(((INDEX(RulebookFields!I2:I1898, MATCH(D1090,RulebookFields!A2:A1898, 0))="")=TRUE),  "",  INDEX(RulebookFields!I2:I1898, MATCH(D1090,RulebookFields!A2:A1898, 0))), "")</f>
        <v>1</v>
      </c>
      <c r="K1090" s="4" t="b">
        <f>AND(((F1090)=TRUE), ((J1090)=TRUE))</f>
        <v>0</v>
      </c>
      <c r="L1090" s="4" t="b">
        <f>AND(((G1090 &lt;&gt; "plain")=TRUE), ((G1090 &lt;&gt; "")=TRUE))</f>
        <v>0</v>
      </c>
      <c r="M1090" s="4" t="str">
        <f>IF(((E1090)=TRUE),  C1090 &amp; "|" &amp; H1090,  "")</f>
        <v>principal-process-steward|ProcedureExecutions</v>
      </c>
      <c r="N1090" s="3" t="s">
        <v>10004</v>
      </c>
    </row>
    <row r="1091">
      <c r="A1091" s="3" t="s">
        <v>11093</v>
      </c>
      <c r="B1091" s="4" t="str">
        <f>C1091 &amp; " -&gt; " &amp; D1091</f>
        <v>principal-process-steward -&gt; ProcedureExecutions.AllBlockingControlsEvaluated</v>
      </c>
      <c r="C1091" s="3" t="s">
        <v>9772</v>
      </c>
      <c r="D1091" s="3" t="s">
        <v>3448</v>
      </c>
      <c r="E1091" s="3" t="b">
        <v>1</v>
      </c>
      <c r="F1091" s="3" t="b">
        <v>0</v>
      </c>
      <c r="G1091" s="3" t="s">
        <v>10003</v>
      </c>
      <c r="H1091" s="4" t="str">
        <f>_xlfn.IFNA(IF(((INDEX(RulebookFields!C2:C1898, MATCH(D1091,RulebookFields!A2:A1898, 0))="")=TRUE),  "",  INDEX(RulebookFields!C2:C1898, MATCH(D1091,RulebookFields!A2:A1898, 0))), "")</f>
        <v>ProcedureExecutions</v>
      </c>
      <c r="I1091" s="4" t="str">
        <f>_xlfn.IFNA(IF(((INDEX(RulebookFields!D2:D1898, MATCH(D1091,RulebookFields!A2:A1898, 0))="")=TRUE),  "",  INDEX(RulebookFields!D2:D1898, MATCH(D1091,RulebookFields!A2:A1898, 0))), "")</f>
        <v>AllBlockingControlsEvaluated</v>
      </c>
      <c r="J1091" s="4" t="b">
        <f>_xlfn.IFNA(IF(((INDEX(RulebookFields!I2:I1898, MATCH(D1091,RulebookFields!A2:A1898, 0))="")=TRUE),  "",  INDEX(RulebookFields!I2:I1898, MATCH(D1091,RulebookFields!A2:A1898, 0))), "")</f>
        <v>1</v>
      </c>
      <c r="K1091" s="4" t="b">
        <f>AND(((F1091)=TRUE), ((J1091)=TRUE))</f>
        <v>0</v>
      </c>
      <c r="L1091" s="4" t="b">
        <f>AND(((G1091 &lt;&gt; "plain")=TRUE), ((G1091 &lt;&gt; "")=TRUE))</f>
        <v>0</v>
      </c>
      <c r="M1091" s="4" t="str">
        <f>IF(((E1091)=TRUE),  C1091 &amp; "|" &amp; H1091,  "")</f>
        <v>principal-process-steward|ProcedureExecutions</v>
      </c>
      <c r="N1091" s="3" t="s">
        <v>10004</v>
      </c>
    </row>
    <row r="1092">
      <c r="A1092" s="3" t="s">
        <v>11094</v>
      </c>
      <c r="B1092" s="4" t="str">
        <f>C1092 &amp; " -&gt; " &amp; D1092</f>
        <v>principal-process-steward -&gt; ProcedureExecutions.UnevaluatedBlockingTotal</v>
      </c>
      <c r="C1092" s="3" t="s">
        <v>9772</v>
      </c>
      <c r="D1092" s="3" t="s">
        <v>3450</v>
      </c>
      <c r="E1092" s="3" t="b">
        <v>1</v>
      </c>
      <c r="F1092" s="3" t="b">
        <v>0</v>
      </c>
      <c r="G1092" s="3" t="s">
        <v>10003</v>
      </c>
      <c r="H1092" s="4" t="str">
        <f>_xlfn.IFNA(IF(((INDEX(RulebookFields!C2:C1898, MATCH(D1092,RulebookFields!A2:A1898, 0))="")=TRUE),  "",  INDEX(RulebookFields!C2:C1898, MATCH(D1092,RulebookFields!A2:A1898, 0))), "")</f>
        <v>ProcedureExecutions</v>
      </c>
      <c r="I1092" s="4" t="str">
        <f>_xlfn.IFNA(IF(((INDEX(RulebookFields!D2:D1898, MATCH(D1092,RulebookFields!A2:A1898, 0))="")=TRUE),  "",  INDEX(RulebookFields!D2:D1898, MATCH(D1092,RulebookFields!A2:A1898, 0))), "")</f>
        <v>UnevaluatedBlockingTotal</v>
      </c>
      <c r="J1092" s="4" t="b">
        <f>_xlfn.IFNA(IF(((INDEX(RulebookFields!I2:I1898, MATCH(D1092,RulebookFields!A2:A1898, 0))="")=TRUE),  "",  INDEX(RulebookFields!I2:I1898, MATCH(D1092,RulebookFields!A2:A1898, 0))), "")</f>
        <v>1</v>
      </c>
      <c r="K1092" s="4" t="b">
        <f>AND(((F1092)=TRUE), ((J1092)=TRUE))</f>
        <v>0</v>
      </c>
      <c r="L1092" s="4" t="b">
        <f>AND(((G1092 &lt;&gt; "plain")=TRUE), ((G1092 &lt;&gt; "")=TRUE))</f>
        <v>0</v>
      </c>
      <c r="M1092" s="4" t="str">
        <f>IF(((E1092)=TRUE),  C1092 &amp; "|" &amp; H1092,  "")</f>
        <v>principal-process-steward|ProcedureExecutions</v>
      </c>
      <c r="N1092" s="3" t="s">
        <v>10004</v>
      </c>
    </row>
    <row r="1093">
      <c r="A1093" s="3" t="s">
        <v>11095</v>
      </c>
      <c r="B1093" s="4" t="str">
        <f>C1093 &amp; " -&gt; " &amp; D1093</f>
        <v>principal-process-steward -&gt; ProcedureExecutions.SeparationOfDutiesHeld</v>
      </c>
      <c r="C1093" s="3" t="s">
        <v>9772</v>
      </c>
      <c r="D1093" s="3" t="s">
        <v>3452</v>
      </c>
      <c r="E1093" s="3" t="b">
        <v>1</v>
      </c>
      <c r="F1093" s="3" t="b">
        <v>0</v>
      </c>
      <c r="G1093" s="3" t="s">
        <v>10003</v>
      </c>
      <c r="H1093" s="4" t="str">
        <f>_xlfn.IFNA(IF(((INDEX(RulebookFields!C2:C1898, MATCH(D1093,RulebookFields!A2:A1898, 0))="")=TRUE),  "",  INDEX(RulebookFields!C2:C1898, MATCH(D1093,RulebookFields!A2:A1898, 0))), "")</f>
        <v>ProcedureExecutions</v>
      </c>
      <c r="I1093" s="4" t="str">
        <f>_xlfn.IFNA(IF(((INDEX(RulebookFields!D2:D1898, MATCH(D1093,RulebookFields!A2:A1898, 0))="")=TRUE),  "",  INDEX(RulebookFields!D2:D1898, MATCH(D1093,RulebookFields!A2:A1898, 0))), "")</f>
        <v>SeparationOfDutiesHeld</v>
      </c>
      <c r="J1093" s="4" t="b">
        <f>_xlfn.IFNA(IF(((INDEX(RulebookFields!I2:I1898, MATCH(D1093,RulebookFields!A2:A1898, 0))="")=TRUE),  "",  INDEX(RulebookFields!I2:I1898, MATCH(D1093,RulebookFields!A2:A1898, 0))), "")</f>
        <v>1</v>
      </c>
      <c r="K1093" s="4" t="b">
        <f>AND(((F1093)=TRUE), ((J1093)=TRUE))</f>
        <v>0</v>
      </c>
      <c r="L1093" s="4" t="b">
        <f>AND(((G1093 &lt;&gt; "plain")=TRUE), ((G1093 &lt;&gt; "")=TRUE))</f>
        <v>0</v>
      </c>
      <c r="M1093" s="4" t="str">
        <f>IF(((E1093)=TRUE),  C1093 &amp; "|" &amp; H1093,  "")</f>
        <v>principal-process-steward|ProcedureExecutions</v>
      </c>
      <c r="N1093" s="3" t="s">
        <v>10004</v>
      </c>
    </row>
    <row r="1094">
      <c r="A1094" s="3" t="s">
        <v>11096</v>
      </c>
      <c r="B1094" s="4" t="str">
        <f>C1094 &amp; " -&gt; " &amp; D1094</f>
        <v>principal-process-steward -&gt; ProcedureExecutions.SeparationViolationCount</v>
      </c>
      <c r="C1094" s="3" t="s">
        <v>9772</v>
      </c>
      <c r="D1094" s="3" t="s">
        <v>3454</v>
      </c>
      <c r="E1094" s="3" t="b">
        <v>1</v>
      </c>
      <c r="F1094" s="3" t="b">
        <v>0</v>
      </c>
      <c r="G1094" s="3" t="s">
        <v>10003</v>
      </c>
      <c r="H1094" s="4" t="str">
        <f>_xlfn.IFNA(IF(((INDEX(RulebookFields!C2:C1898, MATCH(D1094,RulebookFields!A2:A1898, 0))="")=TRUE),  "",  INDEX(RulebookFields!C2:C1898, MATCH(D1094,RulebookFields!A2:A1898, 0))), "")</f>
        <v>ProcedureExecutions</v>
      </c>
      <c r="I1094" s="4" t="str">
        <f>_xlfn.IFNA(IF(((INDEX(RulebookFields!D2:D1898, MATCH(D1094,RulebookFields!A2:A1898, 0))="")=TRUE),  "",  INDEX(RulebookFields!D2:D1898, MATCH(D1094,RulebookFields!A2:A1898, 0))), "")</f>
        <v>SeparationViolationCount</v>
      </c>
      <c r="J1094" s="4" t="b">
        <f>_xlfn.IFNA(IF(((INDEX(RulebookFields!I2:I1898, MATCH(D1094,RulebookFields!A2:A1898, 0))="")=TRUE),  "",  INDEX(RulebookFields!I2:I1898, MATCH(D1094,RulebookFields!A2:A1898, 0))), "")</f>
        <v>1</v>
      </c>
      <c r="K1094" s="4" t="b">
        <f>AND(((F1094)=TRUE), ((J1094)=TRUE))</f>
        <v>0</v>
      </c>
      <c r="L1094" s="4" t="b">
        <f>AND(((G1094 &lt;&gt; "plain")=TRUE), ((G1094 &lt;&gt; "")=TRUE))</f>
        <v>0</v>
      </c>
      <c r="M1094" s="4" t="str">
        <f>IF(((E1094)=TRUE),  C1094 &amp; "|" &amp; H1094,  "")</f>
        <v>principal-process-steward|ProcedureExecutions</v>
      </c>
      <c r="N1094" s="3" t="s">
        <v>10004</v>
      </c>
    </row>
    <row r="1095">
      <c r="A1095" s="3" t="s">
        <v>11097</v>
      </c>
      <c r="B1095" s="4" t="str">
        <f>C1095 &amp; " -&gt; " &amp; D1095</f>
        <v>principal-process-steward -&gt; ProcedureExecutions.IsAttestationReady</v>
      </c>
      <c r="C1095" s="3" t="s">
        <v>9772</v>
      </c>
      <c r="D1095" s="3" t="s">
        <v>3456</v>
      </c>
      <c r="E1095" s="3" t="b">
        <v>1</v>
      </c>
      <c r="F1095" s="3" t="b">
        <v>0</v>
      </c>
      <c r="G1095" s="3" t="s">
        <v>10003</v>
      </c>
      <c r="H1095" s="4" t="str">
        <f>_xlfn.IFNA(IF(((INDEX(RulebookFields!C2:C1898, MATCH(D1095,RulebookFields!A2:A1898, 0))="")=TRUE),  "",  INDEX(RulebookFields!C2:C1898, MATCH(D1095,RulebookFields!A2:A1898, 0))), "")</f>
        <v>ProcedureExecutions</v>
      </c>
      <c r="I1095" s="4" t="str">
        <f>_xlfn.IFNA(IF(((INDEX(RulebookFields!D2:D1898, MATCH(D1095,RulebookFields!A2:A1898, 0))="")=TRUE),  "",  INDEX(RulebookFields!D2:D1898, MATCH(D1095,RulebookFields!A2:A1898, 0))), "")</f>
        <v>IsAttestationReady</v>
      </c>
      <c r="J1095" s="4" t="b">
        <f>_xlfn.IFNA(IF(((INDEX(RulebookFields!I2:I1898, MATCH(D1095,RulebookFields!A2:A1898, 0))="")=TRUE),  "",  INDEX(RulebookFields!I2:I1898, MATCH(D1095,RulebookFields!A2:A1898, 0))), "")</f>
        <v>1</v>
      </c>
      <c r="K1095" s="4" t="b">
        <f>AND(((F1095)=TRUE), ((J1095)=TRUE))</f>
        <v>0</v>
      </c>
      <c r="L1095" s="4" t="b">
        <f>AND(((G1095 &lt;&gt; "plain")=TRUE), ((G1095 &lt;&gt; "")=TRUE))</f>
        <v>0</v>
      </c>
      <c r="M1095" s="4" t="str">
        <f>IF(((E1095)=TRUE),  C1095 &amp; "|" &amp; H1095,  "")</f>
        <v>principal-process-steward|ProcedureExecutions</v>
      </c>
      <c r="N1095" s="3" t="s">
        <v>10004</v>
      </c>
    </row>
    <row r="1096">
      <c r="A1096" s="3" t="s">
        <v>11098</v>
      </c>
      <c r="B1096" s="4" t="str">
        <f>C1096 &amp; " -&gt; " &amp; D1096</f>
        <v>principal-process-steward -&gt; ProcedureExecutions.AttestationBlockerSummary</v>
      </c>
      <c r="C1096" s="3" t="s">
        <v>9772</v>
      </c>
      <c r="D1096" s="3" t="s">
        <v>3458</v>
      </c>
      <c r="E1096" s="3" t="b">
        <v>1</v>
      </c>
      <c r="F1096" s="3" t="b">
        <v>0</v>
      </c>
      <c r="G1096" s="3" t="s">
        <v>10003</v>
      </c>
      <c r="H1096" s="4" t="str">
        <f>_xlfn.IFNA(IF(((INDEX(RulebookFields!C2:C1898, MATCH(D1096,RulebookFields!A2:A1898, 0))="")=TRUE),  "",  INDEX(RulebookFields!C2:C1898, MATCH(D1096,RulebookFields!A2:A1898, 0))), "")</f>
        <v>ProcedureExecutions</v>
      </c>
      <c r="I1096" s="4" t="str">
        <f>_xlfn.IFNA(IF(((INDEX(RulebookFields!D2:D1898, MATCH(D1096,RulebookFields!A2:A1898, 0))="")=TRUE),  "",  INDEX(RulebookFields!D2:D1898, MATCH(D1096,RulebookFields!A2:A1898, 0))), "")</f>
        <v>AttestationBlockerSummary</v>
      </c>
      <c r="J1096" s="4" t="b">
        <f>_xlfn.IFNA(IF(((INDEX(RulebookFields!I2:I1898, MATCH(D1096,RulebookFields!A2:A1898, 0))="")=TRUE),  "",  INDEX(RulebookFields!I2:I1898, MATCH(D1096,RulebookFields!A2:A1898, 0))), "")</f>
        <v>1</v>
      </c>
      <c r="K1096" s="4" t="b">
        <f>AND(((F1096)=TRUE), ((J1096)=TRUE))</f>
        <v>0</v>
      </c>
      <c r="L1096" s="4" t="b">
        <f>AND(((G1096 &lt;&gt; "plain")=TRUE), ((G1096 &lt;&gt; "")=TRUE))</f>
        <v>0</v>
      </c>
      <c r="M1096" s="4" t="str">
        <f>IF(((E1096)=TRUE),  C1096 &amp; "|" &amp; H1096,  "")</f>
        <v>principal-process-steward|ProcedureExecutions</v>
      </c>
      <c r="N1096" s="3" t="s">
        <v>10004</v>
      </c>
    </row>
    <row r="1097">
      <c r="A1097" s="3" t="s">
        <v>11099</v>
      </c>
      <c r="B1097" s="4" t="str">
        <f>C1097 &amp; " -&gt; " &amp; D1097</f>
        <v>principal-process-steward -&gt; ProcedureExecutions.ExecutedVersionIsFit</v>
      </c>
      <c r="C1097" s="3" t="s">
        <v>9772</v>
      </c>
      <c r="D1097" s="3" t="s">
        <v>3460</v>
      </c>
      <c r="E1097" s="3" t="b">
        <v>1</v>
      </c>
      <c r="F1097" s="3" t="b">
        <v>0</v>
      </c>
      <c r="G1097" s="3" t="s">
        <v>10003</v>
      </c>
      <c r="H1097" s="4" t="str">
        <f>_xlfn.IFNA(IF(((INDEX(RulebookFields!C2:C1898, MATCH(D1097,RulebookFields!A2:A1898, 0))="")=TRUE),  "",  INDEX(RulebookFields!C2:C1898, MATCH(D1097,RulebookFields!A2:A1898, 0))), "")</f>
        <v>ProcedureExecutions</v>
      </c>
      <c r="I1097" s="4" t="str">
        <f>_xlfn.IFNA(IF(((INDEX(RulebookFields!D2:D1898, MATCH(D1097,RulebookFields!A2:A1898, 0))="")=TRUE),  "",  INDEX(RulebookFields!D2:D1898, MATCH(D1097,RulebookFields!A2:A1898, 0))), "")</f>
        <v>ExecutedVersionIsFit</v>
      </c>
      <c r="J1097" s="4" t="b">
        <f>_xlfn.IFNA(IF(((INDEX(RulebookFields!I2:I1898, MATCH(D1097,RulebookFields!A2:A1898, 0))="")=TRUE),  "",  INDEX(RulebookFields!I2:I1898, MATCH(D1097,RulebookFields!A2:A1898, 0))), "")</f>
        <v>1</v>
      </c>
      <c r="K1097" s="4" t="b">
        <f>AND(((F1097)=TRUE), ((J1097)=TRUE))</f>
        <v>0</v>
      </c>
      <c r="L1097" s="4" t="b">
        <f>AND(((G1097 &lt;&gt; "plain")=TRUE), ((G1097 &lt;&gt; "")=TRUE))</f>
        <v>0</v>
      </c>
      <c r="M1097" s="4" t="str">
        <f>IF(((E1097)=TRUE),  C1097 &amp; "|" &amp; H1097,  "")</f>
        <v>principal-process-steward|ProcedureExecutions</v>
      </c>
      <c r="N1097" s="3" t="s">
        <v>10004</v>
      </c>
    </row>
    <row r="1098">
      <c r="A1098" s="3" t="s">
        <v>11100</v>
      </c>
      <c r="B1098" s="4" t="str">
        <f>C1098 &amp; " -&gt; " &amp; D1098</f>
        <v>principal-process-steward -&gt; ProcedureExecutions.SignedAgainstUnfitVersion</v>
      </c>
      <c r="C1098" s="3" t="s">
        <v>9772</v>
      </c>
      <c r="D1098" s="3" t="s">
        <v>3462</v>
      </c>
      <c r="E1098" s="3" t="b">
        <v>1</v>
      </c>
      <c r="F1098" s="3" t="b">
        <v>0</v>
      </c>
      <c r="G1098" s="3" t="s">
        <v>10003</v>
      </c>
      <c r="H1098" s="4" t="str">
        <f>_xlfn.IFNA(IF(((INDEX(RulebookFields!C2:C1898, MATCH(D1098,RulebookFields!A2:A1898, 0))="")=TRUE),  "",  INDEX(RulebookFields!C2:C1898, MATCH(D1098,RulebookFields!A2:A1898, 0))), "")</f>
        <v>ProcedureExecutions</v>
      </c>
      <c r="I1098" s="4" t="str">
        <f>_xlfn.IFNA(IF(((INDEX(RulebookFields!D2:D1898, MATCH(D1098,RulebookFields!A2:A1898, 0))="")=TRUE),  "",  INDEX(RulebookFields!D2:D1898, MATCH(D1098,RulebookFields!A2:A1898, 0))), "")</f>
        <v>SignedAgainstUnfitVersion</v>
      </c>
      <c r="J1098" s="4" t="b">
        <f>_xlfn.IFNA(IF(((INDEX(RulebookFields!I2:I1898, MATCH(D1098,RulebookFields!A2:A1898, 0))="")=TRUE),  "",  INDEX(RulebookFields!I2:I1898, MATCH(D1098,RulebookFields!A2:A1898, 0))), "")</f>
        <v>1</v>
      </c>
      <c r="K1098" s="4" t="b">
        <f>AND(((F1098)=TRUE), ((J1098)=TRUE))</f>
        <v>0</v>
      </c>
      <c r="L1098" s="4" t="b">
        <f>AND(((G1098 &lt;&gt; "plain")=TRUE), ((G1098 &lt;&gt; "")=TRUE))</f>
        <v>0</v>
      </c>
      <c r="M1098" s="4" t="str">
        <f>IF(((E1098)=TRUE),  C1098 &amp; "|" &amp; H1098,  "")</f>
        <v>principal-process-steward|ProcedureExecutions</v>
      </c>
      <c r="N1098" s="3" t="s">
        <v>10004</v>
      </c>
    </row>
    <row r="1099">
      <c r="A1099" s="3" t="s">
        <v>11101</v>
      </c>
      <c r="B1099" s="4" t="str">
        <f>C1099 &amp; " -&gt; " &amp; D1099</f>
        <v>principal-process-steward -&gt; ProcedureExecutions.AssertedOnlyControlCount</v>
      </c>
      <c r="C1099" s="3" t="s">
        <v>9772</v>
      </c>
      <c r="D1099" s="3" t="s">
        <v>3464</v>
      </c>
      <c r="E1099" s="3" t="b">
        <v>1</v>
      </c>
      <c r="F1099" s="3" t="b">
        <v>0</v>
      </c>
      <c r="G1099" s="3" t="s">
        <v>10003</v>
      </c>
      <c r="H1099" s="4" t="str">
        <f>_xlfn.IFNA(IF(((INDEX(RulebookFields!C2:C1898, MATCH(D1099,RulebookFields!A2:A1898, 0))="")=TRUE),  "",  INDEX(RulebookFields!C2:C1898, MATCH(D1099,RulebookFields!A2:A1898, 0))), "")</f>
        <v>ProcedureExecutions</v>
      </c>
      <c r="I1099" s="4" t="str">
        <f>_xlfn.IFNA(IF(((INDEX(RulebookFields!D2:D1898, MATCH(D1099,RulebookFields!A2:A1898, 0))="")=TRUE),  "",  INDEX(RulebookFields!D2:D1898, MATCH(D1099,RulebookFields!A2:A1898, 0))), "")</f>
        <v>AssertedOnlyControlCount</v>
      </c>
      <c r="J1099" s="4" t="b">
        <f>_xlfn.IFNA(IF(((INDEX(RulebookFields!I2:I1898, MATCH(D1099,RulebookFields!A2:A1898, 0))="")=TRUE),  "",  INDEX(RulebookFields!I2:I1898, MATCH(D1099,RulebookFields!A2:A1898, 0))), "")</f>
        <v>1</v>
      </c>
      <c r="K1099" s="4" t="b">
        <f>AND(((F1099)=TRUE), ((J1099)=TRUE))</f>
        <v>0</v>
      </c>
      <c r="L1099" s="4" t="b">
        <f>AND(((G1099 &lt;&gt; "plain")=TRUE), ((G1099 &lt;&gt; "")=TRUE))</f>
        <v>0</v>
      </c>
      <c r="M1099" s="4" t="str">
        <f>IF(((E1099)=TRUE),  C1099 &amp; "|" &amp; H1099,  "")</f>
        <v>principal-process-steward|ProcedureExecutions</v>
      </c>
      <c r="N1099" s="3" t="s">
        <v>10004</v>
      </c>
    </row>
    <row r="1100">
      <c r="A1100" s="3" t="s">
        <v>11102</v>
      </c>
      <c r="B1100" s="4" t="str">
        <f>C1100 &amp; " -&gt; " &amp; D1100</f>
        <v>principal-process-steward -&gt; ProcedureExecutions.AssuranceIsMostlyAsserted</v>
      </c>
      <c r="C1100" s="3" t="s">
        <v>9772</v>
      </c>
      <c r="D1100" s="3" t="s">
        <v>3466</v>
      </c>
      <c r="E1100" s="3" t="b">
        <v>1</v>
      </c>
      <c r="F1100" s="3" t="b">
        <v>0</v>
      </c>
      <c r="G1100" s="3" t="s">
        <v>10003</v>
      </c>
      <c r="H1100" s="4" t="str">
        <f>_xlfn.IFNA(IF(((INDEX(RulebookFields!C2:C1898, MATCH(D1100,RulebookFields!A2:A1898, 0))="")=TRUE),  "",  INDEX(RulebookFields!C2:C1898, MATCH(D1100,RulebookFields!A2:A1898, 0))), "")</f>
        <v>ProcedureExecutions</v>
      </c>
      <c r="I1100" s="4" t="str">
        <f>_xlfn.IFNA(IF(((INDEX(RulebookFields!D2:D1898, MATCH(D1100,RulebookFields!A2:A1898, 0))="")=TRUE),  "",  INDEX(RulebookFields!D2:D1898, MATCH(D1100,RulebookFields!A2:A1898, 0))), "")</f>
        <v>AssuranceIsMostlyAsserted</v>
      </c>
      <c r="J1100" s="4" t="b">
        <f>_xlfn.IFNA(IF(((INDEX(RulebookFields!I2:I1898, MATCH(D1100,RulebookFields!A2:A1898, 0))="")=TRUE),  "",  INDEX(RulebookFields!I2:I1898, MATCH(D1100,RulebookFields!A2:A1898, 0))), "")</f>
        <v>1</v>
      </c>
      <c r="K1100" s="4" t="b">
        <f>AND(((F1100)=TRUE), ((J1100)=TRUE))</f>
        <v>0</v>
      </c>
      <c r="L1100" s="4" t="b">
        <f>AND(((G1100 &lt;&gt; "plain")=TRUE), ((G1100 &lt;&gt; "")=TRUE))</f>
        <v>0</v>
      </c>
      <c r="M1100" s="4" t="str">
        <f>IF(((E1100)=TRUE),  C1100 &amp; "|" &amp; H1100,  "")</f>
        <v>principal-process-steward|ProcedureExecutions</v>
      </c>
      <c r="N1100" s="3" t="s">
        <v>10004</v>
      </c>
    </row>
    <row r="1101">
      <c r="A1101" s="3" t="s">
        <v>11103</v>
      </c>
      <c r="B1101" s="4" t="str">
        <f>C1101 &amp; " -&gt; " &amp; D1101</f>
        <v>principal-process-steward -&gt; ProcedureExecutions.UnreachableHandlingFailureCount</v>
      </c>
      <c r="C1101" s="3" t="s">
        <v>9772</v>
      </c>
      <c r="D1101" s="3" t="s">
        <v>3468</v>
      </c>
      <c r="E1101" s="3" t="b">
        <v>1</v>
      </c>
      <c r="F1101" s="3" t="b">
        <v>0</v>
      </c>
      <c r="G1101" s="3" t="s">
        <v>10003</v>
      </c>
      <c r="H1101" s="4" t="str">
        <f>_xlfn.IFNA(IF(((INDEX(RulebookFields!C2:C1898, MATCH(D1101,RulebookFields!A2:A1898, 0))="")=TRUE),  "",  INDEX(RulebookFields!C2:C1898, MATCH(D1101,RulebookFields!A2:A1898, 0))), "")</f>
        <v>ProcedureExecutions</v>
      </c>
      <c r="I1101" s="4" t="str">
        <f>_xlfn.IFNA(IF(((INDEX(RulebookFields!D2:D1898, MATCH(D1101,RulebookFields!A2:A1898, 0))="")=TRUE),  "",  INDEX(RulebookFields!D2:D1898, MATCH(D1101,RulebookFields!A2:A1898, 0))), "")</f>
        <v>UnreachableHandlingFailureCount</v>
      </c>
      <c r="J1101" s="4" t="b">
        <f>_xlfn.IFNA(IF(((INDEX(RulebookFields!I2:I1898, MATCH(D1101,RulebookFields!A2:A1898, 0))="")=TRUE),  "",  INDEX(RulebookFields!I2:I1898, MATCH(D1101,RulebookFields!A2:A1898, 0))), "")</f>
        <v>1</v>
      </c>
      <c r="K1101" s="4" t="b">
        <f>AND(((F1101)=TRUE), ((J1101)=TRUE))</f>
        <v>0</v>
      </c>
      <c r="L1101" s="4" t="b">
        <f>AND(((G1101 &lt;&gt; "plain")=TRUE), ((G1101 &lt;&gt; "")=TRUE))</f>
        <v>0</v>
      </c>
      <c r="M1101" s="4" t="str">
        <f>IF(((E1101)=TRUE),  C1101 &amp; "|" &amp; H1101,  "")</f>
        <v>principal-process-steward|ProcedureExecutions</v>
      </c>
      <c r="N1101" s="3" t="s">
        <v>10004</v>
      </c>
    </row>
    <row r="1102">
      <c r="A1102" s="3" t="s">
        <v>11104</v>
      </c>
      <c r="B1102" s="4" t="str">
        <f>C1102 &amp; " -&gt; " &amp; D1102</f>
        <v>principal-process-steward -&gt; ProcedureExecutions.RetentionBreachCount</v>
      </c>
      <c r="C1102" s="3" t="s">
        <v>9772</v>
      </c>
      <c r="D1102" s="3" t="s">
        <v>3470</v>
      </c>
      <c r="E1102" s="3" t="b">
        <v>1</v>
      </c>
      <c r="F1102" s="3" t="b">
        <v>0</v>
      </c>
      <c r="G1102" s="3" t="s">
        <v>10003</v>
      </c>
      <c r="H1102" s="4" t="str">
        <f>_xlfn.IFNA(IF(((INDEX(RulebookFields!C2:C1898, MATCH(D1102,RulebookFields!A2:A1898, 0))="")=TRUE),  "",  INDEX(RulebookFields!C2:C1898, MATCH(D1102,RulebookFields!A2:A1898, 0))), "")</f>
        <v>ProcedureExecutions</v>
      </c>
      <c r="I1102" s="4" t="str">
        <f>_xlfn.IFNA(IF(((INDEX(RulebookFields!D2:D1898, MATCH(D1102,RulebookFields!A2:A1898, 0))="")=TRUE),  "",  INDEX(RulebookFields!D2:D1898, MATCH(D1102,RulebookFields!A2:A1898, 0))), "")</f>
        <v>RetentionBreachCount</v>
      </c>
      <c r="J1102" s="4" t="b">
        <f>_xlfn.IFNA(IF(((INDEX(RulebookFields!I2:I1898, MATCH(D1102,RulebookFields!A2:A1898, 0))="")=TRUE),  "",  INDEX(RulebookFields!I2:I1898, MATCH(D1102,RulebookFields!A2:A1898, 0))), "")</f>
        <v>1</v>
      </c>
      <c r="K1102" s="4" t="b">
        <f>AND(((F1102)=TRUE), ((J1102)=TRUE))</f>
        <v>0</v>
      </c>
      <c r="L1102" s="4" t="b">
        <f>AND(((G1102 &lt;&gt; "plain")=TRUE), ((G1102 &lt;&gt; "")=TRUE))</f>
        <v>0</v>
      </c>
      <c r="M1102" s="4" t="str">
        <f>IF(((E1102)=TRUE),  C1102 &amp; "|" &amp; H1102,  "")</f>
        <v>principal-process-steward|ProcedureExecutions</v>
      </c>
      <c r="N1102" s="3" t="s">
        <v>10004</v>
      </c>
    </row>
    <row r="1103">
      <c r="A1103" s="3" t="s">
        <v>11105</v>
      </c>
      <c r="B1103" s="4" t="str">
        <f>C1103 &amp; " -&gt; " &amp; D1103</f>
        <v>principal-process-steward -&gt; ProcedureExecutions.ClearedLegalReviewCount</v>
      </c>
      <c r="C1103" s="3" t="s">
        <v>9772</v>
      </c>
      <c r="D1103" s="3" t="s">
        <v>3472</v>
      </c>
      <c r="E1103" s="3" t="b">
        <v>1</v>
      </c>
      <c r="F1103" s="3" t="b">
        <v>0</v>
      </c>
      <c r="G1103" s="3" t="s">
        <v>10003</v>
      </c>
      <c r="H1103" s="4" t="str">
        <f>_xlfn.IFNA(IF(((INDEX(RulebookFields!C2:C1898, MATCH(D1103,RulebookFields!A2:A1898, 0))="")=TRUE),  "",  INDEX(RulebookFields!C2:C1898, MATCH(D1103,RulebookFields!A2:A1898, 0))), "")</f>
        <v>ProcedureExecutions</v>
      </c>
      <c r="I1103" s="4" t="str">
        <f>_xlfn.IFNA(IF(((INDEX(RulebookFields!D2:D1898, MATCH(D1103,RulebookFields!A2:A1898, 0))="")=TRUE),  "",  INDEX(RulebookFields!D2:D1898, MATCH(D1103,RulebookFields!A2:A1898, 0))), "")</f>
        <v>ClearedLegalReviewCount</v>
      </c>
      <c r="J1103" s="4" t="b">
        <f>_xlfn.IFNA(IF(((INDEX(RulebookFields!I2:I1898, MATCH(D1103,RulebookFields!A2:A1898, 0))="")=TRUE),  "",  INDEX(RulebookFields!I2:I1898, MATCH(D1103,RulebookFields!A2:A1898, 0))), "")</f>
        <v>1</v>
      </c>
      <c r="K1103" s="4" t="b">
        <f>AND(((F1103)=TRUE), ((J1103)=TRUE))</f>
        <v>0</v>
      </c>
      <c r="L1103" s="4" t="b">
        <f>AND(((G1103 &lt;&gt; "plain")=TRUE), ((G1103 &lt;&gt; "")=TRUE))</f>
        <v>0</v>
      </c>
      <c r="M1103" s="4" t="str">
        <f>IF(((E1103)=TRUE),  C1103 &amp; "|" &amp; H1103,  "")</f>
        <v>principal-process-steward|ProcedureExecutions</v>
      </c>
      <c r="N1103" s="3" t="s">
        <v>10004</v>
      </c>
    </row>
    <row r="1104">
      <c r="A1104" s="3" t="s">
        <v>11106</v>
      </c>
      <c r="B1104" s="4" t="str">
        <f>C1104 &amp; " -&gt; " &amp; D1104</f>
        <v>principal-process-steward -&gt; ProcedureExecutions.HasClearedLegalReview</v>
      </c>
      <c r="C1104" s="3" t="s">
        <v>9772</v>
      </c>
      <c r="D1104" s="3" t="s">
        <v>3474</v>
      </c>
      <c r="E1104" s="3" t="b">
        <v>1</v>
      </c>
      <c r="F1104" s="3" t="b">
        <v>0</v>
      </c>
      <c r="G1104" s="3" t="s">
        <v>10003</v>
      </c>
      <c r="H1104" s="4" t="str">
        <f>_xlfn.IFNA(IF(((INDEX(RulebookFields!C2:C1898, MATCH(D1104,RulebookFields!A2:A1898, 0))="")=TRUE),  "",  INDEX(RulebookFields!C2:C1898, MATCH(D1104,RulebookFields!A2:A1898, 0))), "")</f>
        <v>ProcedureExecutions</v>
      </c>
      <c r="I1104" s="4" t="str">
        <f>_xlfn.IFNA(IF(((INDEX(RulebookFields!D2:D1898, MATCH(D1104,RulebookFields!A2:A1898, 0))="")=TRUE),  "",  INDEX(RulebookFields!D2:D1898, MATCH(D1104,RulebookFields!A2:A1898, 0))), "")</f>
        <v>HasClearedLegalReview</v>
      </c>
      <c r="J1104" s="4" t="b">
        <f>_xlfn.IFNA(IF(((INDEX(RulebookFields!I2:I1898, MATCH(D1104,RulebookFields!A2:A1898, 0))="")=TRUE),  "",  INDEX(RulebookFields!I2:I1898, MATCH(D1104,RulebookFields!A2:A1898, 0))), "")</f>
        <v>1</v>
      </c>
      <c r="K1104" s="4" t="b">
        <f>AND(((F1104)=TRUE), ((J1104)=TRUE))</f>
        <v>0</v>
      </c>
      <c r="L1104" s="4" t="b">
        <f>AND(((G1104 &lt;&gt; "plain")=TRUE), ((G1104 &lt;&gt; "")=TRUE))</f>
        <v>0</v>
      </c>
      <c r="M1104" s="4" t="str">
        <f>IF(((E1104)=TRUE),  C1104 &amp; "|" &amp; H1104,  "")</f>
        <v>principal-process-steward|ProcedureExecutions</v>
      </c>
      <c r="N1104" s="3" t="s">
        <v>10004</v>
      </c>
    </row>
    <row r="1105">
      <c r="A1105" s="3" t="s">
        <v>11107</v>
      </c>
      <c r="B1105" s="4" t="str">
        <f>C1105 &amp; " -&gt; " &amp; D1105</f>
        <v>principal-process-steward -&gt; ProcedureExecutions.AbandonedFailureCount</v>
      </c>
      <c r="C1105" s="3" t="s">
        <v>9772</v>
      </c>
      <c r="D1105" s="3" t="s">
        <v>3476</v>
      </c>
      <c r="E1105" s="3" t="b">
        <v>1</v>
      </c>
      <c r="F1105" s="3" t="b">
        <v>0</v>
      </c>
      <c r="G1105" s="3" t="s">
        <v>10003</v>
      </c>
      <c r="H1105" s="4" t="str">
        <f>_xlfn.IFNA(IF(((INDEX(RulebookFields!C2:C1898, MATCH(D1105,RulebookFields!A2:A1898, 0))="")=TRUE),  "",  INDEX(RulebookFields!C2:C1898, MATCH(D1105,RulebookFields!A2:A1898, 0))), "")</f>
        <v>ProcedureExecutions</v>
      </c>
      <c r="I1105" s="4" t="str">
        <f>_xlfn.IFNA(IF(((INDEX(RulebookFields!D2:D1898, MATCH(D1105,RulebookFields!A2:A1898, 0))="")=TRUE),  "",  INDEX(RulebookFields!D2:D1898, MATCH(D1105,RulebookFields!A2:A1898, 0))), "")</f>
        <v>AbandonedFailureCount</v>
      </c>
      <c r="J1105" s="4" t="b">
        <f>_xlfn.IFNA(IF(((INDEX(RulebookFields!I2:I1898, MATCH(D1105,RulebookFields!A2:A1898, 0))="")=TRUE),  "",  INDEX(RulebookFields!I2:I1898, MATCH(D1105,RulebookFields!A2:A1898, 0))), "")</f>
        <v>1</v>
      </c>
      <c r="K1105" s="4" t="b">
        <f>AND(((F1105)=TRUE), ((J1105)=TRUE))</f>
        <v>0</v>
      </c>
      <c r="L1105" s="4" t="b">
        <f>AND(((G1105 &lt;&gt; "plain")=TRUE), ((G1105 &lt;&gt; "")=TRUE))</f>
        <v>0</v>
      </c>
      <c r="M1105" s="4" t="str">
        <f>IF(((E1105)=TRUE),  C1105 &amp; "|" &amp; H1105,  "")</f>
        <v>principal-process-steward|ProcedureExecutions</v>
      </c>
      <c r="N1105" s="3" t="s">
        <v>10004</v>
      </c>
    </row>
    <row r="1106">
      <c r="A1106" s="3" t="s">
        <v>11108</v>
      </c>
      <c r="B1106" s="4" t="str">
        <f>C1106 &amp; " -&gt; " &amp; D1106</f>
        <v>principal-process-steward -&gt; ProcedureExecutions.DeliveredCount</v>
      </c>
      <c r="C1106" s="3" t="s">
        <v>9772</v>
      </c>
      <c r="D1106" s="3" t="s">
        <v>3478</v>
      </c>
      <c r="E1106" s="3" t="b">
        <v>1</v>
      </c>
      <c r="F1106" s="3" t="b">
        <v>0</v>
      </c>
      <c r="G1106" s="3" t="s">
        <v>10003</v>
      </c>
      <c r="H1106" s="4" t="str">
        <f>_xlfn.IFNA(IF(((INDEX(RulebookFields!C2:C1898, MATCH(D1106,RulebookFields!A2:A1898, 0))="")=TRUE),  "",  INDEX(RulebookFields!C2:C1898, MATCH(D1106,RulebookFields!A2:A1898, 0))), "")</f>
        <v>ProcedureExecutions</v>
      </c>
      <c r="I1106" s="4" t="str">
        <f>_xlfn.IFNA(IF(((INDEX(RulebookFields!D2:D1898, MATCH(D1106,RulebookFields!A2:A1898, 0))="")=TRUE),  "",  INDEX(RulebookFields!D2:D1898, MATCH(D1106,RulebookFields!A2:A1898, 0))), "")</f>
        <v>DeliveredCount</v>
      </c>
      <c r="J1106" s="4" t="b">
        <f>_xlfn.IFNA(IF(((INDEX(RulebookFields!I2:I1898, MATCH(D1106,RulebookFields!A2:A1898, 0))="")=TRUE),  "",  INDEX(RulebookFields!I2:I1898, MATCH(D1106,RulebookFields!A2:A1898, 0))), "")</f>
        <v>1</v>
      </c>
      <c r="K1106" s="4" t="b">
        <f>AND(((F1106)=TRUE), ((J1106)=TRUE))</f>
        <v>0</v>
      </c>
      <c r="L1106" s="4" t="b">
        <f>AND(((G1106 &lt;&gt; "plain")=TRUE), ((G1106 &lt;&gt; "")=TRUE))</f>
        <v>0</v>
      </c>
      <c r="M1106" s="4" t="str">
        <f>IF(((E1106)=TRUE),  C1106 &amp; "|" &amp; H1106,  "")</f>
        <v>principal-process-steward|ProcedureExecutions</v>
      </c>
      <c r="N1106" s="3" t="s">
        <v>10004</v>
      </c>
    </row>
    <row r="1107">
      <c r="A1107" s="3" t="s">
        <v>11109</v>
      </c>
      <c r="B1107" s="4" t="str">
        <f>C1107 &amp; " -&gt; " &amp; D1107</f>
        <v>principal-process-steward -&gt; ProcedureExecutions.TotalDeliveryAttemptCount</v>
      </c>
      <c r="C1107" s="3" t="s">
        <v>9772</v>
      </c>
      <c r="D1107" s="3" t="s">
        <v>3480</v>
      </c>
      <c r="E1107" s="3" t="b">
        <v>1</v>
      </c>
      <c r="F1107" s="3" t="b">
        <v>0</v>
      </c>
      <c r="G1107" s="3" t="s">
        <v>10003</v>
      </c>
      <c r="H1107" s="4" t="str">
        <f>_xlfn.IFNA(IF(((INDEX(RulebookFields!C2:C1898, MATCH(D1107,RulebookFields!A2:A1898, 0))="")=TRUE),  "",  INDEX(RulebookFields!C2:C1898, MATCH(D1107,RulebookFields!A2:A1898, 0))), "")</f>
        <v>ProcedureExecutions</v>
      </c>
      <c r="I1107" s="4" t="str">
        <f>_xlfn.IFNA(IF(((INDEX(RulebookFields!D2:D1898, MATCH(D1107,RulebookFields!A2:A1898, 0))="")=TRUE),  "",  INDEX(RulebookFields!D2:D1898, MATCH(D1107,RulebookFields!A2:A1898, 0))), "")</f>
        <v>TotalDeliveryAttemptCount</v>
      </c>
      <c r="J1107" s="4" t="b">
        <f>_xlfn.IFNA(IF(((INDEX(RulebookFields!I2:I1898, MATCH(D1107,RulebookFields!A2:A1898, 0))="")=TRUE),  "",  INDEX(RulebookFields!I2:I1898, MATCH(D1107,RulebookFields!A2:A1898, 0))), "")</f>
        <v>1</v>
      </c>
      <c r="K1107" s="4" t="b">
        <f>AND(((F1107)=TRUE), ((J1107)=TRUE))</f>
        <v>0</v>
      </c>
      <c r="L1107" s="4" t="b">
        <f>AND(((G1107 &lt;&gt; "plain")=TRUE), ((G1107 &lt;&gt; "")=TRUE))</f>
        <v>0</v>
      </c>
      <c r="M1107" s="4" t="str">
        <f>IF(((E1107)=TRUE),  C1107 &amp; "|" &amp; H1107,  "")</f>
        <v>principal-process-steward|ProcedureExecutions</v>
      </c>
      <c r="N1107" s="3" t="s">
        <v>10004</v>
      </c>
    </row>
    <row r="1108">
      <c r="A1108" s="3" t="s">
        <v>11110</v>
      </c>
      <c r="B1108" s="4" t="str">
        <f>C1108 &amp; " -&gt; " &amp; D1108</f>
        <v>principal-process-steward -&gt; ProcedureExecutions.HasAbandonedFailures</v>
      </c>
      <c r="C1108" s="3" t="s">
        <v>9772</v>
      </c>
      <c r="D1108" s="3" t="s">
        <v>3482</v>
      </c>
      <c r="E1108" s="3" t="b">
        <v>1</v>
      </c>
      <c r="F1108" s="3" t="b">
        <v>0</v>
      </c>
      <c r="G1108" s="3" t="s">
        <v>10003</v>
      </c>
      <c r="H1108" s="4" t="str">
        <f>_xlfn.IFNA(IF(((INDEX(RulebookFields!C2:C1898, MATCH(D1108,RulebookFields!A2:A1898, 0))="")=TRUE),  "",  INDEX(RulebookFields!C2:C1898, MATCH(D1108,RulebookFields!A2:A1898, 0))), "")</f>
        <v>ProcedureExecutions</v>
      </c>
      <c r="I1108" s="4" t="str">
        <f>_xlfn.IFNA(IF(((INDEX(RulebookFields!D2:D1898, MATCH(D1108,RulebookFields!A2:A1898, 0))="")=TRUE),  "",  INDEX(RulebookFields!D2:D1898, MATCH(D1108,RulebookFields!A2:A1898, 0))), "")</f>
        <v>HasAbandonedFailures</v>
      </c>
      <c r="J1108" s="4" t="b">
        <f>_xlfn.IFNA(IF(((INDEX(RulebookFields!I2:I1898, MATCH(D1108,RulebookFields!A2:A1898, 0))="")=TRUE),  "",  INDEX(RulebookFields!I2:I1898, MATCH(D1108,RulebookFields!A2:A1898, 0))), "")</f>
        <v>1</v>
      </c>
      <c r="K1108" s="4" t="b">
        <f>AND(((F1108)=TRUE), ((J1108)=TRUE))</f>
        <v>0</v>
      </c>
      <c r="L1108" s="4" t="b">
        <f>AND(((G1108 &lt;&gt; "plain")=TRUE), ((G1108 &lt;&gt; "")=TRUE))</f>
        <v>0</v>
      </c>
      <c r="M1108" s="4" t="str">
        <f>IF(((E1108)=TRUE),  C1108 &amp; "|" &amp; H1108,  "")</f>
        <v>principal-process-steward|ProcedureExecutions</v>
      </c>
      <c r="N1108" s="3" t="s">
        <v>10004</v>
      </c>
    </row>
    <row r="1109">
      <c r="A1109" s="3" t="s">
        <v>11111</v>
      </c>
      <c r="B1109" s="4" t="str">
        <f>C1109 &amp; " -&gt; " &amp; D1109</f>
        <v>principal-process-steward -&gt; ProcedureExecutions.MishandledRefusalCount</v>
      </c>
      <c r="C1109" s="3" t="s">
        <v>9772</v>
      </c>
      <c r="D1109" s="3" t="s">
        <v>3484</v>
      </c>
      <c r="E1109" s="3" t="b">
        <v>1</v>
      </c>
      <c r="F1109" s="3" t="b">
        <v>0</v>
      </c>
      <c r="G1109" s="3" t="s">
        <v>10003</v>
      </c>
      <c r="H1109" s="4" t="str">
        <f>_xlfn.IFNA(IF(((INDEX(RulebookFields!C2:C1898, MATCH(D1109,RulebookFields!A2:A1898, 0))="")=TRUE),  "",  INDEX(RulebookFields!C2:C1898, MATCH(D1109,RulebookFields!A2:A1898, 0))), "")</f>
        <v>ProcedureExecutions</v>
      </c>
      <c r="I1109" s="4" t="str">
        <f>_xlfn.IFNA(IF(((INDEX(RulebookFields!D2:D1898, MATCH(D1109,RulebookFields!A2:A1898, 0))="")=TRUE),  "",  INDEX(RulebookFields!D2:D1898, MATCH(D1109,RulebookFields!A2:A1898, 0))), "")</f>
        <v>MishandledRefusalCount</v>
      </c>
      <c r="J1109" s="4" t="b">
        <f>_xlfn.IFNA(IF(((INDEX(RulebookFields!I2:I1898, MATCH(D1109,RulebookFields!A2:A1898, 0))="")=TRUE),  "",  INDEX(RulebookFields!I2:I1898, MATCH(D1109,RulebookFields!A2:A1898, 0))), "")</f>
        <v>1</v>
      </c>
      <c r="K1109" s="4" t="b">
        <f>AND(((F1109)=TRUE), ((J1109)=TRUE))</f>
        <v>0</v>
      </c>
      <c r="L1109" s="4" t="b">
        <f>AND(((G1109 &lt;&gt; "plain")=TRUE), ((G1109 &lt;&gt; "")=TRUE))</f>
        <v>0</v>
      </c>
      <c r="M1109" s="4" t="str">
        <f>IF(((E1109)=TRUE),  C1109 &amp; "|" &amp; H1109,  "")</f>
        <v>principal-process-steward|ProcedureExecutions</v>
      </c>
      <c r="N1109" s="3" t="s">
        <v>10004</v>
      </c>
    </row>
    <row r="1110">
      <c r="A1110" s="3" t="s">
        <v>11112</v>
      </c>
      <c r="B1110" s="4" t="str">
        <f>C1110 &amp; " -&gt; " &amp; D1110</f>
        <v>principal-process-steward -&gt; ProcedureExecutions.UncleanStepCount</v>
      </c>
      <c r="C1110" s="3" t="s">
        <v>9772</v>
      </c>
      <c r="D1110" s="3" t="s">
        <v>3486</v>
      </c>
      <c r="E1110" s="3" t="b">
        <v>1</v>
      </c>
      <c r="F1110" s="3" t="b">
        <v>0</v>
      </c>
      <c r="G1110" s="3" t="s">
        <v>10003</v>
      </c>
      <c r="H1110" s="4" t="str">
        <f>_xlfn.IFNA(IF(((INDEX(RulebookFields!C2:C1898, MATCH(D1110,RulebookFields!A2:A1898, 0))="")=TRUE),  "",  INDEX(RulebookFields!C2:C1898, MATCH(D1110,RulebookFields!A2:A1898, 0))), "")</f>
        <v>ProcedureExecutions</v>
      </c>
      <c r="I1110" s="4" t="str">
        <f>_xlfn.IFNA(IF(((INDEX(RulebookFields!D2:D1898, MATCH(D1110,RulebookFields!A2:A1898, 0))="")=TRUE),  "",  INDEX(RulebookFields!D2:D1898, MATCH(D1110,RulebookFields!A2:A1898, 0))), "")</f>
        <v>UncleanStepCount</v>
      </c>
      <c r="J1110" s="4" t="b">
        <f>_xlfn.IFNA(IF(((INDEX(RulebookFields!I2:I1898, MATCH(D1110,RulebookFields!A2:A1898, 0))="")=TRUE),  "",  INDEX(RulebookFields!I2:I1898, MATCH(D1110,RulebookFields!A2:A1898, 0))), "")</f>
        <v>1</v>
      </c>
      <c r="K1110" s="4" t="b">
        <f>AND(((F1110)=TRUE), ((J1110)=TRUE))</f>
        <v>0</v>
      </c>
      <c r="L1110" s="4" t="b">
        <f>AND(((G1110 &lt;&gt; "plain")=TRUE), ((G1110 &lt;&gt; "")=TRUE))</f>
        <v>0</v>
      </c>
      <c r="M1110" s="4" t="str">
        <f>IF(((E1110)=TRUE),  C1110 &amp; "|" &amp; H1110,  "")</f>
        <v>principal-process-steward|ProcedureExecutions</v>
      </c>
      <c r="N1110" s="3" t="s">
        <v>10004</v>
      </c>
    </row>
    <row r="1111">
      <c r="A1111" s="3" t="s">
        <v>11113</v>
      </c>
      <c r="B1111" s="4" t="str">
        <f>C1111 &amp; " -&gt; " &amp; D1111</f>
        <v>principal-process-steward -&gt; ProcedureExecutions.RanClean</v>
      </c>
      <c r="C1111" s="3" t="s">
        <v>9772</v>
      </c>
      <c r="D1111" s="3" t="s">
        <v>3488</v>
      </c>
      <c r="E1111" s="3" t="b">
        <v>1</v>
      </c>
      <c r="F1111" s="3" t="b">
        <v>0</v>
      </c>
      <c r="G1111" s="3" t="s">
        <v>10003</v>
      </c>
      <c r="H1111" s="4" t="str">
        <f>_xlfn.IFNA(IF(((INDEX(RulebookFields!C2:C1898, MATCH(D1111,RulebookFields!A2:A1898, 0))="")=TRUE),  "",  INDEX(RulebookFields!C2:C1898, MATCH(D1111,RulebookFields!A2:A1898, 0))), "")</f>
        <v>ProcedureExecutions</v>
      </c>
      <c r="I1111" s="4" t="str">
        <f>_xlfn.IFNA(IF(((INDEX(RulebookFields!D2:D1898, MATCH(D1111,RulebookFields!A2:A1898, 0))="")=TRUE),  "",  INDEX(RulebookFields!D2:D1898, MATCH(D1111,RulebookFields!A2:A1898, 0))), "")</f>
        <v>RanClean</v>
      </c>
      <c r="J1111" s="4" t="b">
        <f>_xlfn.IFNA(IF(((INDEX(RulebookFields!I2:I1898, MATCH(D1111,RulebookFields!A2:A1898, 0))="")=TRUE),  "",  INDEX(RulebookFields!I2:I1898, MATCH(D1111,RulebookFields!A2:A1898, 0))), "")</f>
        <v>1</v>
      </c>
      <c r="K1111" s="4" t="b">
        <f>AND(((F1111)=TRUE), ((J1111)=TRUE))</f>
        <v>0</v>
      </c>
      <c r="L1111" s="4" t="b">
        <f>AND(((G1111 &lt;&gt; "plain")=TRUE), ((G1111 &lt;&gt; "")=TRUE))</f>
        <v>0</v>
      </c>
      <c r="M1111" s="4" t="str">
        <f>IF(((E1111)=TRUE),  C1111 &amp; "|" &amp; H1111,  "")</f>
        <v>principal-process-steward|ProcedureExecutions</v>
      </c>
      <c r="N1111" s="3" t="s">
        <v>10004</v>
      </c>
    </row>
    <row r="1112">
      <c r="A1112" s="3" t="s">
        <v>11114</v>
      </c>
      <c r="B1112" s="4" t="str">
        <f>C1112 &amp; " -&gt; " &amp; D1112</f>
        <v>principal-process-steward -&gt; ProcedureExecutions.CountOfApprovalExecutions</v>
      </c>
      <c r="C1112" s="3" t="s">
        <v>9772</v>
      </c>
      <c r="D1112" s="3" t="s">
        <v>3490</v>
      </c>
      <c r="E1112" s="3" t="b">
        <v>1</v>
      </c>
      <c r="F1112" s="3" t="b">
        <v>0</v>
      </c>
      <c r="G1112" s="3" t="s">
        <v>10003</v>
      </c>
      <c r="H1112" s="4" t="str">
        <f>_xlfn.IFNA(IF(((INDEX(RulebookFields!C2:C1898, MATCH(D1112,RulebookFields!A2:A1898, 0))="")=TRUE),  "",  INDEX(RulebookFields!C2:C1898, MATCH(D1112,RulebookFields!A2:A1898, 0))), "")</f>
        <v>ProcedureExecutions</v>
      </c>
      <c r="I1112" s="4" t="str">
        <f>_xlfn.IFNA(IF(((INDEX(RulebookFields!D2:D1898, MATCH(D1112,RulebookFields!A2:A1898, 0))="")=TRUE),  "",  INDEX(RulebookFields!D2:D1898, MATCH(D1112,RulebookFields!A2:A1898, 0))), "")</f>
        <v>CountOfApprovalExecutions</v>
      </c>
      <c r="J1112" s="4" t="b">
        <f>_xlfn.IFNA(IF(((INDEX(RulebookFields!I2:I1898, MATCH(D1112,RulebookFields!A2:A1898, 0))="")=TRUE),  "",  INDEX(RulebookFields!I2:I1898, MATCH(D1112,RulebookFields!A2:A1898, 0))), "")</f>
        <v>1</v>
      </c>
      <c r="K1112" s="4" t="b">
        <f>AND(((F1112)=TRUE), ((J1112)=TRUE))</f>
        <v>0</v>
      </c>
      <c r="L1112" s="4" t="b">
        <f>AND(((G1112 &lt;&gt; "plain")=TRUE), ((G1112 &lt;&gt; "")=TRUE))</f>
        <v>0</v>
      </c>
      <c r="M1112" s="4" t="str">
        <f>IF(((E1112)=TRUE),  C1112 &amp; "|" &amp; H1112,  "")</f>
        <v>principal-process-steward|ProcedureExecutions</v>
      </c>
      <c r="N1112" s="3" t="s">
        <v>10004</v>
      </c>
    </row>
    <row r="1113">
      <c r="A1113" s="3" t="s">
        <v>11115</v>
      </c>
      <c r="B1113" s="4" t="str">
        <f>C1113 &amp; " -&gt; " &amp; D1113</f>
        <v>principal-process-steward -&gt; ProcedureExecutions.HasHumanApproval</v>
      </c>
      <c r="C1113" s="3" t="s">
        <v>9772</v>
      </c>
      <c r="D1113" s="3" t="s">
        <v>3492</v>
      </c>
      <c r="E1113" s="3" t="b">
        <v>1</v>
      </c>
      <c r="F1113" s="3" t="b">
        <v>0</v>
      </c>
      <c r="G1113" s="3" t="s">
        <v>10003</v>
      </c>
      <c r="H1113" s="4" t="str">
        <f>_xlfn.IFNA(IF(((INDEX(RulebookFields!C2:C1898, MATCH(D1113,RulebookFields!A2:A1898, 0))="")=TRUE),  "",  INDEX(RulebookFields!C2:C1898, MATCH(D1113,RulebookFields!A2:A1898, 0))), "")</f>
        <v>ProcedureExecutions</v>
      </c>
      <c r="I1113" s="4" t="str">
        <f>_xlfn.IFNA(IF(((INDEX(RulebookFields!D2:D1898, MATCH(D1113,RulebookFields!A2:A1898, 0))="")=TRUE),  "",  INDEX(RulebookFields!D2:D1898, MATCH(D1113,RulebookFields!A2:A1898, 0))), "")</f>
        <v>HasHumanApproval</v>
      </c>
      <c r="J1113" s="4" t="b">
        <f>_xlfn.IFNA(IF(((INDEX(RulebookFields!I2:I1898, MATCH(D1113,RulebookFields!A2:A1898, 0))="")=TRUE),  "",  INDEX(RulebookFields!I2:I1898, MATCH(D1113,RulebookFields!A2:A1898, 0))), "")</f>
        <v>1</v>
      </c>
      <c r="K1113" s="4" t="b">
        <f>AND(((F1113)=TRUE), ((J1113)=TRUE))</f>
        <v>0</v>
      </c>
      <c r="L1113" s="4" t="b">
        <f>AND(((G1113 &lt;&gt; "plain")=TRUE), ((G1113 &lt;&gt; "")=TRUE))</f>
        <v>0</v>
      </c>
      <c r="M1113" s="4" t="str">
        <f>IF(((E1113)=TRUE),  C1113 &amp; "|" &amp; H1113,  "")</f>
        <v>principal-process-steward|ProcedureExecutions</v>
      </c>
      <c r="N1113" s="3" t="s">
        <v>10004</v>
      </c>
    </row>
    <row r="1114">
      <c r="A1114" s="3" t="s">
        <v>11116</v>
      </c>
      <c r="B1114" s="4" t="str">
        <f>C1114 &amp; " -&gt; " &amp; D1114</f>
        <v>principal-process-steward -&gt; ProcedureExecutions.CountOfDeliveryExecutions</v>
      </c>
      <c r="C1114" s="3" t="s">
        <v>9772</v>
      </c>
      <c r="D1114" s="3" t="s">
        <v>3494</v>
      </c>
      <c r="E1114" s="3" t="b">
        <v>1</v>
      </c>
      <c r="F1114" s="3" t="b">
        <v>0</v>
      </c>
      <c r="G1114" s="3" t="s">
        <v>10003</v>
      </c>
      <c r="H1114" s="4" t="str">
        <f>_xlfn.IFNA(IF(((INDEX(RulebookFields!C2:C1898, MATCH(D1114,RulebookFields!A2:A1898, 0))="")=TRUE),  "",  INDEX(RulebookFields!C2:C1898, MATCH(D1114,RulebookFields!A2:A1898, 0))), "")</f>
        <v>ProcedureExecutions</v>
      </c>
      <c r="I1114" s="4" t="str">
        <f>_xlfn.IFNA(IF(((INDEX(RulebookFields!D2:D1898, MATCH(D1114,RulebookFields!A2:A1898, 0))="")=TRUE),  "",  INDEX(RulebookFields!D2:D1898, MATCH(D1114,RulebookFields!A2:A1898, 0))), "")</f>
        <v>CountOfDeliveryExecutions</v>
      </c>
      <c r="J1114" s="4" t="b">
        <f>_xlfn.IFNA(IF(((INDEX(RulebookFields!I2:I1898, MATCH(D1114,RulebookFields!A2:A1898, 0))="")=TRUE),  "",  INDEX(RulebookFields!I2:I1898, MATCH(D1114,RulebookFields!A2:A1898, 0))), "")</f>
        <v>1</v>
      </c>
      <c r="K1114" s="4" t="b">
        <f>AND(((F1114)=TRUE), ((J1114)=TRUE))</f>
        <v>0</v>
      </c>
      <c r="L1114" s="4" t="b">
        <f>AND(((G1114 &lt;&gt; "plain")=TRUE), ((G1114 &lt;&gt; "")=TRUE))</f>
        <v>0</v>
      </c>
      <c r="M1114" s="4" t="str">
        <f>IF(((E1114)=TRUE),  C1114 &amp; "|" &amp; H1114,  "")</f>
        <v>principal-process-steward|ProcedureExecutions</v>
      </c>
      <c r="N1114" s="3" t="s">
        <v>10004</v>
      </c>
    </row>
    <row r="1115">
      <c r="A1115" s="3" t="s">
        <v>11117</v>
      </c>
      <c r="B1115" s="4" t="str">
        <f>C1115 &amp; " -&gt; " &amp; D1115</f>
        <v>principal-process-steward -&gt; ProcedureExecutions.HasDelivered</v>
      </c>
      <c r="C1115" s="3" t="s">
        <v>9772</v>
      </c>
      <c r="D1115" s="3" t="s">
        <v>3496</v>
      </c>
      <c r="E1115" s="3" t="b">
        <v>1</v>
      </c>
      <c r="F1115" s="3" t="b">
        <v>0</v>
      </c>
      <c r="G1115" s="3" t="s">
        <v>10003</v>
      </c>
      <c r="H1115" s="4" t="str">
        <f>_xlfn.IFNA(IF(((INDEX(RulebookFields!C2:C1898, MATCH(D1115,RulebookFields!A2:A1898, 0))="")=TRUE),  "",  INDEX(RulebookFields!C2:C1898, MATCH(D1115,RulebookFields!A2:A1898, 0))), "")</f>
        <v>ProcedureExecutions</v>
      </c>
      <c r="I1115" s="4" t="str">
        <f>_xlfn.IFNA(IF(((INDEX(RulebookFields!D2:D1898, MATCH(D1115,RulebookFields!A2:A1898, 0))="")=TRUE),  "",  INDEX(RulebookFields!D2:D1898, MATCH(D1115,RulebookFields!A2:A1898, 0))), "")</f>
        <v>HasDelivered</v>
      </c>
      <c r="J1115" s="4" t="b">
        <f>_xlfn.IFNA(IF(((INDEX(RulebookFields!I2:I1898, MATCH(D1115,RulebookFields!A2:A1898, 0))="")=TRUE),  "",  INDEX(RulebookFields!I2:I1898, MATCH(D1115,RulebookFields!A2:A1898, 0))), "")</f>
        <v>1</v>
      </c>
      <c r="K1115" s="4" t="b">
        <f>AND(((F1115)=TRUE), ((J1115)=TRUE))</f>
        <v>0</v>
      </c>
      <c r="L1115" s="4" t="b">
        <f>AND(((G1115 &lt;&gt; "plain")=TRUE), ((G1115 &lt;&gt; "")=TRUE))</f>
        <v>0</v>
      </c>
      <c r="M1115" s="4" t="str">
        <f>IF(((E1115)=TRUE),  C1115 &amp; "|" &amp; H1115,  "")</f>
        <v>principal-process-steward|ProcedureExecutions</v>
      </c>
      <c r="N1115" s="3" t="s">
        <v>10004</v>
      </c>
    </row>
    <row r="1116">
      <c r="A1116" s="3" t="s">
        <v>11118</v>
      </c>
      <c r="B1116" s="4" t="str">
        <f>C1116 &amp; " -&gt; " &amp; D1116</f>
        <v>principal-process-steward -&gt; ProcedureExecutions.DeliveredWithoutApproval</v>
      </c>
      <c r="C1116" s="3" t="s">
        <v>9772</v>
      </c>
      <c r="D1116" s="3" t="s">
        <v>3498</v>
      </c>
      <c r="E1116" s="3" t="b">
        <v>1</v>
      </c>
      <c r="F1116" s="3" t="b">
        <v>0</v>
      </c>
      <c r="G1116" s="3" t="s">
        <v>10003</v>
      </c>
      <c r="H1116" s="4" t="str">
        <f>_xlfn.IFNA(IF(((INDEX(RulebookFields!C2:C1898, MATCH(D1116,RulebookFields!A2:A1898, 0))="")=TRUE),  "",  INDEX(RulebookFields!C2:C1898, MATCH(D1116,RulebookFields!A2:A1898, 0))), "")</f>
        <v>ProcedureExecutions</v>
      </c>
      <c r="I1116" s="4" t="str">
        <f>_xlfn.IFNA(IF(((INDEX(RulebookFields!D2:D1898, MATCH(D1116,RulebookFields!A2:A1898, 0))="")=TRUE),  "",  INDEX(RulebookFields!D2:D1898, MATCH(D1116,RulebookFields!A2:A1898, 0))), "")</f>
        <v>DeliveredWithoutApproval</v>
      </c>
      <c r="J1116" s="4" t="b">
        <f>_xlfn.IFNA(IF(((INDEX(RulebookFields!I2:I1898, MATCH(D1116,RulebookFields!A2:A1898, 0))="")=TRUE),  "",  INDEX(RulebookFields!I2:I1898, MATCH(D1116,RulebookFields!A2:A1898, 0))), "")</f>
        <v>1</v>
      </c>
      <c r="K1116" s="4" t="b">
        <f>AND(((F1116)=TRUE), ((J1116)=TRUE))</f>
        <v>0</v>
      </c>
      <c r="L1116" s="4" t="b">
        <f>AND(((G1116 &lt;&gt; "plain")=TRUE), ((G1116 &lt;&gt; "")=TRUE))</f>
        <v>0</v>
      </c>
      <c r="M1116" s="4" t="str">
        <f>IF(((E1116)=TRUE),  C1116 &amp; "|" &amp; H1116,  "")</f>
        <v>principal-process-steward|ProcedureExecutions</v>
      </c>
      <c r="N1116" s="3" t="s">
        <v>10004</v>
      </c>
    </row>
    <row r="1117">
      <c r="A1117" s="3" t="s">
        <v>11119</v>
      </c>
      <c r="B1117" s="4" t="str">
        <f>C1117 &amp; " -&gt; " &amp; D1117</f>
        <v>principal-process-steward -&gt; ProcedureExecutions.InvalidApprovalCount</v>
      </c>
      <c r="C1117" s="3" t="s">
        <v>9772</v>
      </c>
      <c r="D1117" s="3" t="s">
        <v>3500</v>
      </c>
      <c r="E1117" s="3" t="b">
        <v>1</v>
      </c>
      <c r="F1117" s="3" t="b">
        <v>0</v>
      </c>
      <c r="G1117" s="3" t="s">
        <v>10003</v>
      </c>
      <c r="H1117" s="4" t="str">
        <f>_xlfn.IFNA(IF(((INDEX(RulebookFields!C2:C1898, MATCH(D1117,RulebookFields!A2:A1898, 0))="")=TRUE),  "",  INDEX(RulebookFields!C2:C1898, MATCH(D1117,RulebookFields!A2:A1898, 0))), "")</f>
        <v>ProcedureExecutions</v>
      </c>
      <c r="I1117" s="4" t="str">
        <f>_xlfn.IFNA(IF(((INDEX(RulebookFields!D2:D1898, MATCH(D1117,RulebookFields!A2:A1898, 0))="")=TRUE),  "",  INDEX(RulebookFields!D2:D1898, MATCH(D1117,RulebookFields!A2:A1898, 0))), "")</f>
        <v>InvalidApprovalCount</v>
      </c>
      <c r="J1117" s="4" t="b">
        <f>_xlfn.IFNA(IF(((INDEX(RulebookFields!I2:I1898, MATCH(D1117,RulebookFields!A2:A1898, 0))="")=TRUE),  "",  INDEX(RulebookFields!I2:I1898, MATCH(D1117,RulebookFields!A2:A1898, 0))), "")</f>
        <v>1</v>
      </c>
      <c r="K1117" s="4" t="b">
        <f>AND(((F1117)=TRUE), ((J1117)=TRUE))</f>
        <v>0</v>
      </c>
      <c r="L1117" s="4" t="b">
        <f>AND(((G1117 &lt;&gt; "plain")=TRUE), ((G1117 &lt;&gt; "")=TRUE))</f>
        <v>0</v>
      </c>
      <c r="M1117" s="4" t="str">
        <f>IF(((E1117)=TRUE),  C1117 &amp; "|" &amp; H1117,  "")</f>
        <v>principal-process-steward|ProcedureExecutions</v>
      </c>
      <c r="N1117" s="3" t="s">
        <v>10004</v>
      </c>
    </row>
    <row r="1118">
      <c r="A1118" s="3" t="s">
        <v>11120</v>
      </c>
      <c r="B1118" s="4" t="str">
        <f>C1118 &amp; " -&gt; " &amp; D1118</f>
        <v>principal-process-steward -&gt; ProcedureExecutions.ApprovalChainIsComplete</v>
      </c>
      <c r="C1118" s="3" t="s">
        <v>9772</v>
      </c>
      <c r="D1118" s="3" t="s">
        <v>3502</v>
      </c>
      <c r="E1118" s="3" t="b">
        <v>1</v>
      </c>
      <c r="F1118" s="3" t="b">
        <v>0</v>
      </c>
      <c r="G1118" s="3" t="s">
        <v>10003</v>
      </c>
      <c r="H1118" s="4" t="str">
        <f>_xlfn.IFNA(IF(((INDEX(RulebookFields!C2:C1898, MATCH(D1118,RulebookFields!A2:A1898, 0))="")=TRUE),  "",  INDEX(RulebookFields!C2:C1898, MATCH(D1118,RulebookFields!A2:A1898, 0))), "")</f>
        <v>ProcedureExecutions</v>
      </c>
      <c r="I1118" s="4" t="str">
        <f>_xlfn.IFNA(IF(((INDEX(RulebookFields!D2:D1898, MATCH(D1118,RulebookFields!A2:A1898, 0))="")=TRUE),  "",  INDEX(RulebookFields!D2:D1898, MATCH(D1118,RulebookFields!A2:A1898, 0))), "")</f>
        <v>ApprovalChainIsComplete</v>
      </c>
      <c r="J1118" s="4" t="b">
        <f>_xlfn.IFNA(IF(((INDEX(RulebookFields!I2:I1898, MATCH(D1118,RulebookFields!A2:A1898, 0))="")=TRUE),  "",  INDEX(RulebookFields!I2:I1898, MATCH(D1118,RulebookFields!A2:A1898, 0))), "")</f>
        <v>1</v>
      </c>
      <c r="K1118" s="4" t="b">
        <f>AND(((F1118)=TRUE), ((J1118)=TRUE))</f>
        <v>0</v>
      </c>
      <c r="L1118" s="4" t="b">
        <f>AND(((G1118 &lt;&gt; "plain")=TRUE), ((G1118 &lt;&gt; "")=TRUE))</f>
        <v>0</v>
      </c>
      <c r="M1118" s="4" t="str">
        <f>IF(((E1118)=TRUE),  C1118 &amp; "|" &amp; H1118,  "")</f>
        <v>principal-process-steward|ProcedureExecutions</v>
      </c>
      <c r="N1118" s="3" t="s">
        <v>10004</v>
      </c>
    </row>
    <row r="1119">
      <c r="A1119" s="3" t="s">
        <v>11121</v>
      </c>
      <c r="B1119" s="4" t="str">
        <f>C1119 &amp; " -&gt; " &amp; D1119</f>
        <v>principal-process-steward -&gt; ProcedureExecutions.VacuouslyCleanStepCount</v>
      </c>
      <c r="C1119" s="3" t="s">
        <v>9772</v>
      </c>
      <c r="D1119" s="3" t="s">
        <v>3504</v>
      </c>
      <c r="E1119" s="3" t="b">
        <v>1</v>
      </c>
      <c r="F1119" s="3" t="b">
        <v>0</v>
      </c>
      <c r="G1119" s="3" t="s">
        <v>10003</v>
      </c>
      <c r="H1119" s="4" t="str">
        <f>_xlfn.IFNA(IF(((INDEX(RulebookFields!C2:C1898, MATCH(D1119,RulebookFields!A2:A1898, 0))="")=TRUE),  "",  INDEX(RulebookFields!C2:C1898, MATCH(D1119,RulebookFields!A2:A1898, 0))), "")</f>
        <v>ProcedureExecutions</v>
      </c>
      <c r="I1119" s="4" t="str">
        <f>_xlfn.IFNA(IF(((INDEX(RulebookFields!D2:D1898, MATCH(D1119,RulebookFields!A2:A1898, 0))="")=TRUE),  "",  INDEX(RulebookFields!D2:D1898, MATCH(D1119,RulebookFields!A2:A1898, 0))), "")</f>
        <v>VacuouslyCleanStepCount</v>
      </c>
      <c r="J1119" s="4" t="b">
        <f>_xlfn.IFNA(IF(((INDEX(RulebookFields!I2:I1898, MATCH(D1119,RulebookFields!A2:A1898, 0))="")=TRUE),  "",  INDEX(RulebookFields!I2:I1898, MATCH(D1119,RulebookFields!A2:A1898, 0))), "")</f>
        <v>1</v>
      </c>
      <c r="K1119" s="4" t="b">
        <f>AND(((F1119)=TRUE), ((J1119)=TRUE))</f>
        <v>0</v>
      </c>
      <c r="L1119" s="4" t="b">
        <f>AND(((G1119 &lt;&gt; "plain")=TRUE), ((G1119 &lt;&gt; "")=TRUE))</f>
        <v>0</v>
      </c>
      <c r="M1119" s="4" t="str">
        <f>IF(((E1119)=TRUE),  C1119 &amp; "|" &amp; H1119,  "")</f>
        <v>principal-process-steward|ProcedureExecutions</v>
      </c>
      <c r="N1119" s="3" t="s">
        <v>10004</v>
      </c>
    </row>
    <row r="1120">
      <c r="A1120" s="3" t="s">
        <v>11122</v>
      </c>
      <c r="B1120" s="4" t="str">
        <f>C1120 &amp; " -&gt; " &amp; D1120</f>
        <v>principal-process-steward -&gt; ProcedureExecutions.PreparationStepCount</v>
      </c>
      <c r="C1120" s="3" t="s">
        <v>9772</v>
      </c>
      <c r="D1120" s="3" t="s">
        <v>3506</v>
      </c>
      <c r="E1120" s="3" t="b">
        <v>1</v>
      </c>
      <c r="F1120" s="3" t="b">
        <v>0</v>
      </c>
      <c r="G1120" s="3" t="s">
        <v>10003</v>
      </c>
      <c r="H1120" s="4" t="str">
        <f>_xlfn.IFNA(IF(((INDEX(RulebookFields!C2:C1898, MATCH(D1120,RulebookFields!A2:A1898, 0))="")=TRUE),  "",  INDEX(RulebookFields!C2:C1898, MATCH(D1120,RulebookFields!A2:A1898, 0))), "")</f>
        <v>ProcedureExecutions</v>
      </c>
      <c r="I1120" s="4" t="str">
        <f>_xlfn.IFNA(IF(((INDEX(RulebookFields!D2:D1898, MATCH(D1120,RulebookFields!A2:A1898, 0))="")=TRUE),  "",  INDEX(RulebookFields!D2:D1898, MATCH(D1120,RulebookFields!A2:A1898, 0))), "")</f>
        <v>PreparationStepCount</v>
      </c>
      <c r="J1120" s="4" t="b">
        <f>_xlfn.IFNA(IF(((INDEX(RulebookFields!I2:I1898, MATCH(D1120,RulebookFields!A2:A1898, 0))="")=TRUE),  "",  INDEX(RulebookFields!I2:I1898, MATCH(D1120,RulebookFields!A2:A1898, 0))), "")</f>
        <v>1</v>
      </c>
      <c r="K1120" s="4" t="b">
        <f>AND(((F1120)=TRUE), ((J1120)=TRUE))</f>
        <v>0</v>
      </c>
      <c r="L1120" s="4" t="b">
        <f>AND(((G1120 &lt;&gt; "plain")=TRUE), ((G1120 &lt;&gt; "")=TRUE))</f>
        <v>0</v>
      </c>
      <c r="M1120" s="4" t="str">
        <f>IF(((E1120)=TRUE),  C1120 &amp; "|" &amp; H1120,  "")</f>
        <v>principal-process-steward|ProcedureExecutions</v>
      </c>
      <c r="N1120" s="3" t="s">
        <v>10004</v>
      </c>
    </row>
    <row r="1121">
      <c r="A1121" s="3" t="s">
        <v>11123</v>
      </c>
      <c r="B1121" s="4" t="str">
        <f>C1121 &amp; " -&gt; " &amp; D1121</f>
        <v>principal-process-steward -&gt; ProcedureExecutions.ApprovalStepCount</v>
      </c>
      <c r="C1121" s="3" t="s">
        <v>9772</v>
      </c>
      <c r="D1121" s="3" t="s">
        <v>3508</v>
      </c>
      <c r="E1121" s="3" t="b">
        <v>1</v>
      </c>
      <c r="F1121" s="3" t="b">
        <v>0</v>
      </c>
      <c r="G1121" s="3" t="s">
        <v>10003</v>
      </c>
      <c r="H1121" s="4" t="str">
        <f>_xlfn.IFNA(IF(((INDEX(RulebookFields!C2:C1898, MATCH(D1121,RulebookFields!A2:A1898, 0))="")=TRUE),  "",  INDEX(RulebookFields!C2:C1898, MATCH(D1121,RulebookFields!A2:A1898, 0))), "")</f>
        <v>ProcedureExecutions</v>
      </c>
      <c r="I1121" s="4" t="str">
        <f>_xlfn.IFNA(IF(((INDEX(RulebookFields!D2:D1898, MATCH(D1121,RulebookFields!A2:A1898, 0))="")=TRUE),  "",  INDEX(RulebookFields!D2:D1898, MATCH(D1121,RulebookFields!A2:A1898, 0))), "")</f>
        <v>ApprovalStepCount</v>
      </c>
      <c r="J1121" s="4" t="b">
        <f>_xlfn.IFNA(IF(((INDEX(RulebookFields!I2:I1898, MATCH(D1121,RulebookFields!A2:A1898, 0))="")=TRUE),  "",  INDEX(RulebookFields!I2:I1898, MATCH(D1121,RulebookFields!A2:A1898, 0))), "")</f>
        <v>1</v>
      </c>
      <c r="K1121" s="4" t="b">
        <f>AND(((F1121)=TRUE), ((J1121)=TRUE))</f>
        <v>0</v>
      </c>
      <c r="L1121" s="4" t="b">
        <f>AND(((G1121 &lt;&gt; "plain")=TRUE), ((G1121 &lt;&gt; "")=TRUE))</f>
        <v>0</v>
      </c>
      <c r="M1121" s="4" t="str">
        <f>IF(((E1121)=TRUE),  C1121 &amp; "|" &amp; H1121,  "")</f>
        <v>principal-process-steward|ProcedureExecutions</v>
      </c>
      <c r="N1121" s="3" t="s">
        <v>10004</v>
      </c>
    </row>
    <row r="1122">
      <c r="A1122" s="3" t="s">
        <v>11124</v>
      </c>
      <c r="B1122" s="4" t="str">
        <f>C1122 &amp; " -&gt; " &amp; D1122</f>
        <v>principal-process-steward -&gt; ProcedureExecutions.SeparationWasTestable</v>
      </c>
      <c r="C1122" s="3" t="s">
        <v>9772</v>
      </c>
      <c r="D1122" s="3" t="s">
        <v>3510</v>
      </c>
      <c r="E1122" s="3" t="b">
        <v>1</v>
      </c>
      <c r="F1122" s="3" t="b">
        <v>0</v>
      </c>
      <c r="G1122" s="3" t="s">
        <v>10003</v>
      </c>
      <c r="H1122" s="4" t="str">
        <f>_xlfn.IFNA(IF(((INDEX(RulebookFields!C2:C1898, MATCH(D1122,RulebookFields!A2:A1898, 0))="")=TRUE),  "",  INDEX(RulebookFields!C2:C1898, MATCH(D1122,RulebookFields!A2:A1898, 0))), "")</f>
        <v>ProcedureExecutions</v>
      </c>
      <c r="I1122" s="4" t="str">
        <f>_xlfn.IFNA(IF(((INDEX(RulebookFields!D2:D1898, MATCH(D1122,RulebookFields!A2:A1898, 0))="")=TRUE),  "",  INDEX(RulebookFields!D2:D1898, MATCH(D1122,RulebookFields!A2:A1898, 0))), "")</f>
        <v>SeparationWasTestable</v>
      </c>
      <c r="J1122" s="4" t="b">
        <f>_xlfn.IFNA(IF(((INDEX(RulebookFields!I2:I1898, MATCH(D1122,RulebookFields!A2:A1898, 0))="")=TRUE),  "",  INDEX(RulebookFields!I2:I1898, MATCH(D1122,RulebookFields!A2:A1898, 0))), "")</f>
        <v>1</v>
      </c>
      <c r="K1122" s="4" t="b">
        <f>AND(((F1122)=TRUE), ((J1122)=TRUE))</f>
        <v>0</v>
      </c>
      <c r="L1122" s="4" t="b">
        <f>AND(((G1122 &lt;&gt; "plain")=TRUE), ((G1122 &lt;&gt; "")=TRUE))</f>
        <v>0</v>
      </c>
      <c r="M1122" s="4" t="str">
        <f>IF(((E1122)=TRUE),  C1122 &amp; "|" &amp; H1122,  "")</f>
        <v>principal-process-steward|ProcedureExecutions</v>
      </c>
      <c r="N1122" s="3" t="s">
        <v>10004</v>
      </c>
    </row>
    <row r="1123">
      <c r="A1123" s="3" t="s">
        <v>11125</v>
      </c>
      <c r="B1123" s="4" t="str">
        <f>C1123 &amp; " -&gt; " &amp; D1123</f>
        <v>principal-process-steward -&gt; ProcedureExecutions.SeparationHeldUnderTest</v>
      </c>
      <c r="C1123" s="3" t="s">
        <v>9772</v>
      </c>
      <c r="D1123" s="3" t="s">
        <v>3512</v>
      </c>
      <c r="E1123" s="3" t="b">
        <v>1</v>
      </c>
      <c r="F1123" s="3" t="b">
        <v>0</v>
      </c>
      <c r="G1123" s="3" t="s">
        <v>10003</v>
      </c>
      <c r="H1123" s="4" t="str">
        <f>_xlfn.IFNA(IF(((INDEX(RulebookFields!C2:C1898, MATCH(D1123,RulebookFields!A2:A1898, 0))="")=TRUE),  "",  INDEX(RulebookFields!C2:C1898, MATCH(D1123,RulebookFields!A2:A1898, 0))), "")</f>
        <v>ProcedureExecutions</v>
      </c>
      <c r="I1123" s="4" t="str">
        <f>_xlfn.IFNA(IF(((INDEX(RulebookFields!D2:D1898, MATCH(D1123,RulebookFields!A2:A1898, 0))="")=TRUE),  "",  INDEX(RulebookFields!D2:D1898, MATCH(D1123,RulebookFields!A2:A1898, 0))), "")</f>
        <v>SeparationHeldUnderTest</v>
      </c>
      <c r="J1123" s="4" t="b">
        <f>_xlfn.IFNA(IF(((INDEX(RulebookFields!I2:I1898, MATCH(D1123,RulebookFields!A2:A1898, 0))="")=TRUE),  "",  INDEX(RulebookFields!I2:I1898, MATCH(D1123,RulebookFields!A2:A1898, 0))), "")</f>
        <v>1</v>
      </c>
      <c r="K1123" s="4" t="b">
        <f>AND(((F1123)=TRUE), ((J1123)=TRUE))</f>
        <v>0</v>
      </c>
      <c r="L1123" s="4" t="b">
        <f>AND(((G1123 &lt;&gt; "plain")=TRUE), ((G1123 &lt;&gt; "")=TRUE))</f>
        <v>0</v>
      </c>
      <c r="M1123" s="4" t="str">
        <f>IF(((E1123)=TRUE),  C1123 &amp; "|" &amp; H1123,  "")</f>
        <v>principal-process-steward|ProcedureExecutions</v>
      </c>
      <c r="N1123" s="3" t="s">
        <v>10004</v>
      </c>
    </row>
    <row r="1124">
      <c r="A1124" s="3" t="s">
        <v>11126</v>
      </c>
      <c r="B1124" s="4" t="str">
        <f>C1124 &amp; " -&gt; " &amp; D1124</f>
        <v>principal-process-steward -&gt; ProcedureExecutions.SeparationIsVacuouslyGreen</v>
      </c>
      <c r="C1124" s="3" t="s">
        <v>9772</v>
      </c>
      <c r="D1124" s="3" t="s">
        <v>3514</v>
      </c>
      <c r="E1124" s="3" t="b">
        <v>1</v>
      </c>
      <c r="F1124" s="3" t="b">
        <v>0</v>
      </c>
      <c r="G1124" s="3" t="s">
        <v>10003</v>
      </c>
      <c r="H1124" s="4" t="str">
        <f>_xlfn.IFNA(IF(((INDEX(RulebookFields!C2:C1898, MATCH(D1124,RulebookFields!A2:A1898, 0))="")=TRUE),  "",  INDEX(RulebookFields!C2:C1898, MATCH(D1124,RulebookFields!A2:A1898, 0))), "")</f>
        <v>ProcedureExecutions</v>
      </c>
      <c r="I1124" s="4" t="str">
        <f>_xlfn.IFNA(IF(((INDEX(RulebookFields!D2:D1898, MATCH(D1124,RulebookFields!A2:A1898, 0))="")=TRUE),  "",  INDEX(RulebookFields!D2:D1898, MATCH(D1124,RulebookFields!A2:A1898, 0))), "")</f>
        <v>SeparationIsVacuouslyGreen</v>
      </c>
      <c r="J1124" s="4" t="b">
        <f>_xlfn.IFNA(IF(((INDEX(RulebookFields!I2:I1898, MATCH(D1124,RulebookFields!A2:A1898, 0))="")=TRUE),  "",  INDEX(RulebookFields!I2:I1898, MATCH(D1124,RulebookFields!A2:A1898, 0))), "")</f>
        <v>1</v>
      </c>
      <c r="K1124" s="4" t="b">
        <f>AND(((F1124)=TRUE), ((J1124)=TRUE))</f>
        <v>0</v>
      </c>
      <c r="L1124" s="4" t="b">
        <f>AND(((G1124 &lt;&gt; "plain")=TRUE), ((G1124 &lt;&gt; "")=TRUE))</f>
        <v>0</v>
      </c>
      <c r="M1124" s="4" t="str">
        <f>IF(((E1124)=TRUE),  C1124 &amp; "|" &amp; H1124,  "")</f>
        <v>principal-process-steward|ProcedureExecutions</v>
      </c>
      <c r="N1124" s="3" t="s">
        <v>10004</v>
      </c>
    </row>
    <row r="1125">
      <c r="A1125" s="3" t="s">
        <v>11127</v>
      </c>
      <c r="B1125" s="4" t="str">
        <f>C1125 &amp; " -&gt; " &amp; D1125</f>
        <v>principal-process-steward -&gt; ProcedureExecutions.SeparationAssuranceNote</v>
      </c>
      <c r="C1125" s="3" t="s">
        <v>9772</v>
      </c>
      <c r="D1125" s="3" t="s">
        <v>3516</v>
      </c>
      <c r="E1125" s="3" t="b">
        <v>1</v>
      </c>
      <c r="F1125" s="3" t="b">
        <v>0</v>
      </c>
      <c r="G1125" s="3" t="s">
        <v>10003</v>
      </c>
      <c r="H1125" s="4" t="str">
        <f>_xlfn.IFNA(IF(((INDEX(RulebookFields!C2:C1898, MATCH(D1125,RulebookFields!A2:A1898, 0))="")=TRUE),  "",  INDEX(RulebookFields!C2:C1898, MATCH(D1125,RulebookFields!A2:A1898, 0))), "")</f>
        <v>ProcedureExecutions</v>
      </c>
      <c r="I1125" s="4" t="str">
        <f>_xlfn.IFNA(IF(((INDEX(RulebookFields!D2:D1898, MATCH(D1125,RulebookFields!A2:A1898, 0))="")=TRUE),  "",  INDEX(RulebookFields!D2:D1898, MATCH(D1125,RulebookFields!A2:A1898, 0))), "")</f>
        <v>SeparationAssuranceNote</v>
      </c>
      <c r="J1125" s="4" t="b">
        <f>_xlfn.IFNA(IF(((INDEX(RulebookFields!I2:I1898, MATCH(D1125,RulebookFields!A2:A1898, 0))="")=TRUE),  "",  INDEX(RulebookFields!I2:I1898, MATCH(D1125,RulebookFields!A2:A1898, 0))), "")</f>
        <v>1</v>
      </c>
      <c r="K1125" s="4" t="b">
        <f>AND(((F1125)=TRUE), ((J1125)=TRUE))</f>
        <v>0</v>
      </c>
      <c r="L1125" s="4" t="b">
        <f>AND(((G1125 &lt;&gt; "plain")=TRUE), ((G1125 &lt;&gt; "")=TRUE))</f>
        <v>0</v>
      </c>
      <c r="M1125" s="4" t="str">
        <f>IF(((E1125)=TRUE),  C1125 &amp; "|" &amp; H1125,  "")</f>
        <v>principal-process-steward|ProcedureExecutions</v>
      </c>
      <c r="N1125" s="3" t="s">
        <v>10004</v>
      </c>
    </row>
    <row r="1126">
      <c r="A1126" s="3" t="s">
        <v>11128</v>
      </c>
      <c r="B1126" s="4" t="str">
        <f>C1126 &amp; " -&gt; " &amp; D1126</f>
        <v>principal-process-steward -&gt; ProcedureExecutions.UngovernedDivergenceCount</v>
      </c>
      <c r="C1126" s="3" t="s">
        <v>9772</v>
      </c>
      <c r="D1126" s="3" t="s">
        <v>3518</v>
      </c>
      <c r="E1126" s="3" t="b">
        <v>1</v>
      </c>
      <c r="F1126" s="3" t="b">
        <v>0</v>
      </c>
      <c r="G1126" s="3" t="s">
        <v>10003</v>
      </c>
      <c r="H1126" s="4" t="str">
        <f>_xlfn.IFNA(IF(((INDEX(RulebookFields!C2:C1898, MATCH(D1126,RulebookFields!A2:A1898, 0))="")=TRUE),  "",  INDEX(RulebookFields!C2:C1898, MATCH(D1126,RulebookFields!A2:A1898, 0))), "")</f>
        <v>ProcedureExecutions</v>
      </c>
      <c r="I1126" s="4" t="str">
        <f>_xlfn.IFNA(IF(((INDEX(RulebookFields!D2:D1898, MATCH(D1126,RulebookFields!A2:A1898, 0))="")=TRUE),  "",  INDEX(RulebookFields!D2:D1898, MATCH(D1126,RulebookFields!A2:A1898, 0))), "")</f>
        <v>UngovernedDivergenceCount</v>
      </c>
      <c r="J1126" s="4" t="b">
        <f>_xlfn.IFNA(IF(((INDEX(RulebookFields!I2:I1898, MATCH(D1126,RulebookFields!A2:A1898, 0))="")=TRUE),  "",  INDEX(RulebookFields!I2:I1898, MATCH(D1126,RulebookFields!A2:A1898, 0))), "")</f>
        <v>1</v>
      </c>
      <c r="K1126" s="4" t="b">
        <f>AND(((F1126)=TRUE), ((J1126)=TRUE))</f>
        <v>0</v>
      </c>
      <c r="L1126" s="4" t="b">
        <f>AND(((G1126 &lt;&gt; "plain")=TRUE), ((G1126 &lt;&gt; "")=TRUE))</f>
        <v>0</v>
      </c>
      <c r="M1126" s="4" t="str">
        <f>IF(((E1126)=TRUE),  C1126 &amp; "|" &amp; H1126,  "")</f>
        <v>principal-process-steward|ProcedureExecutions</v>
      </c>
      <c r="N1126" s="3" t="s">
        <v>10004</v>
      </c>
    </row>
    <row r="1127">
      <c r="A1127" s="3" t="s">
        <v>11129</v>
      </c>
      <c r="B1127" s="4" t="str">
        <f>C1127 &amp; " -&gt; " &amp; D1127</f>
        <v>principal-process-steward -&gt; ProcedureExecutions.DivergenceWasFullyGoverned</v>
      </c>
      <c r="C1127" s="3" t="s">
        <v>9772</v>
      </c>
      <c r="D1127" s="3" t="s">
        <v>3520</v>
      </c>
      <c r="E1127" s="3" t="b">
        <v>1</v>
      </c>
      <c r="F1127" s="3" t="b">
        <v>0</v>
      </c>
      <c r="G1127" s="3" t="s">
        <v>10003</v>
      </c>
      <c r="H1127" s="4" t="str">
        <f>_xlfn.IFNA(IF(((INDEX(RulebookFields!C2:C1898, MATCH(D1127,RulebookFields!A2:A1898, 0))="")=TRUE),  "",  INDEX(RulebookFields!C2:C1898, MATCH(D1127,RulebookFields!A2:A1898, 0))), "")</f>
        <v>ProcedureExecutions</v>
      </c>
      <c r="I1127" s="4" t="str">
        <f>_xlfn.IFNA(IF(((INDEX(RulebookFields!D2:D1898, MATCH(D1127,RulebookFields!A2:A1898, 0))="")=TRUE),  "",  INDEX(RulebookFields!D2:D1898, MATCH(D1127,RulebookFields!A2:A1898, 0))), "")</f>
        <v>DivergenceWasFullyGoverned</v>
      </c>
      <c r="J1127" s="4" t="b">
        <f>_xlfn.IFNA(IF(((INDEX(RulebookFields!I2:I1898, MATCH(D1127,RulebookFields!A2:A1898, 0))="")=TRUE),  "",  INDEX(RulebookFields!I2:I1898, MATCH(D1127,RulebookFields!A2:A1898, 0))), "")</f>
        <v>1</v>
      </c>
      <c r="K1127" s="4" t="b">
        <f>AND(((F1127)=TRUE), ((J1127)=TRUE))</f>
        <v>0</v>
      </c>
      <c r="L1127" s="4" t="b">
        <f>AND(((G1127 &lt;&gt; "plain")=TRUE), ((G1127 &lt;&gt; "")=TRUE))</f>
        <v>0</v>
      </c>
      <c r="M1127" s="4" t="str">
        <f>IF(((E1127)=TRUE),  C1127 &amp; "|" &amp; H1127,  "")</f>
        <v>principal-process-steward|ProcedureExecutions</v>
      </c>
      <c r="N1127" s="3" t="s">
        <v>10004</v>
      </c>
    </row>
    <row r="1128">
      <c r="A1128" s="3" t="s">
        <v>11130</v>
      </c>
      <c r="B1128" s="4" t="str">
        <f>C1128 &amp; " -&gt; " &amp; D1128</f>
        <v>principal-process-steward -&gt; ProcedureExecutions.ComputedlyWitnessedControlCount</v>
      </c>
      <c r="C1128" s="3" t="s">
        <v>9772</v>
      </c>
      <c r="D1128" s="3" t="s">
        <v>3522</v>
      </c>
      <c r="E1128" s="3" t="b">
        <v>1</v>
      </c>
      <c r="F1128" s="3" t="b">
        <v>0</v>
      </c>
      <c r="G1128" s="3" t="s">
        <v>10003</v>
      </c>
      <c r="H1128" s="4" t="str">
        <f>_xlfn.IFNA(IF(((INDEX(RulebookFields!C2:C1898, MATCH(D1128,RulebookFields!A2:A1898, 0))="")=TRUE),  "",  INDEX(RulebookFields!C2:C1898, MATCH(D1128,RulebookFields!A2:A1898, 0))), "")</f>
        <v>ProcedureExecutions</v>
      </c>
      <c r="I1128" s="4" t="str">
        <f>_xlfn.IFNA(IF(((INDEX(RulebookFields!D2:D1898, MATCH(D1128,RulebookFields!A2:A1898, 0))="")=TRUE),  "",  INDEX(RulebookFields!D2:D1898, MATCH(D1128,RulebookFields!A2:A1898, 0))), "")</f>
        <v>ComputedlyWitnessedControlCount</v>
      </c>
      <c r="J1128" s="4" t="b">
        <f>_xlfn.IFNA(IF(((INDEX(RulebookFields!I2:I1898, MATCH(D1128,RulebookFields!A2:A1898, 0))="")=TRUE),  "",  INDEX(RulebookFields!I2:I1898, MATCH(D1128,RulebookFields!A2:A1898, 0))), "")</f>
        <v>1</v>
      </c>
      <c r="K1128" s="4" t="b">
        <f>AND(((F1128)=TRUE), ((J1128)=TRUE))</f>
        <v>0</v>
      </c>
      <c r="L1128" s="4" t="b">
        <f>AND(((G1128 &lt;&gt; "plain")=TRUE), ((G1128 &lt;&gt; "")=TRUE))</f>
        <v>0</v>
      </c>
      <c r="M1128" s="4" t="str">
        <f>IF(((E1128)=TRUE),  C1128 &amp; "|" &amp; H1128,  "")</f>
        <v>principal-process-steward|ProcedureExecutions</v>
      </c>
      <c r="N1128" s="3" t="s">
        <v>10004</v>
      </c>
    </row>
    <row r="1129">
      <c r="A1129" s="3" t="s">
        <v>11131</v>
      </c>
      <c r="B1129" s="4" t="str">
        <f>C1129 &amp; " -&gt; " &amp; D1129</f>
        <v>principal-process-steward -&gt; ProcedureExecutions.EvaluatedControlCount</v>
      </c>
      <c r="C1129" s="3" t="s">
        <v>9772</v>
      </c>
      <c r="D1129" s="3" t="s">
        <v>3524</v>
      </c>
      <c r="E1129" s="3" t="b">
        <v>1</v>
      </c>
      <c r="F1129" s="3" t="b">
        <v>0</v>
      </c>
      <c r="G1129" s="3" t="s">
        <v>10003</v>
      </c>
      <c r="H1129" s="4" t="str">
        <f>_xlfn.IFNA(IF(((INDEX(RulebookFields!C2:C1898, MATCH(D1129,RulebookFields!A2:A1898, 0))="")=TRUE),  "",  INDEX(RulebookFields!C2:C1898, MATCH(D1129,RulebookFields!A2:A1898, 0))), "")</f>
        <v>ProcedureExecutions</v>
      </c>
      <c r="I1129" s="4" t="str">
        <f>_xlfn.IFNA(IF(((INDEX(RulebookFields!D2:D1898, MATCH(D1129,RulebookFields!A2:A1898, 0))="")=TRUE),  "",  INDEX(RulebookFields!D2:D1898, MATCH(D1129,RulebookFields!A2:A1898, 0))), "")</f>
        <v>EvaluatedControlCount</v>
      </c>
      <c r="J1129" s="4" t="b">
        <f>_xlfn.IFNA(IF(((INDEX(RulebookFields!I2:I1898, MATCH(D1129,RulebookFields!A2:A1898, 0))="")=TRUE),  "",  INDEX(RulebookFields!I2:I1898, MATCH(D1129,RulebookFields!A2:A1898, 0))), "")</f>
        <v>1</v>
      </c>
      <c r="K1129" s="4" t="b">
        <f>AND(((F1129)=TRUE), ((J1129)=TRUE))</f>
        <v>0</v>
      </c>
      <c r="L1129" s="4" t="b">
        <f>AND(((G1129 &lt;&gt; "plain")=TRUE), ((G1129 &lt;&gt; "")=TRUE))</f>
        <v>0</v>
      </c>
      <c r="M1129" s="4" t="str">
        <f>IF(((E1129)=TRUE),  C1129 &amp; "|" &amp; H1129,  "")</f>
        <v>principal-process-steward|ProcedureExecutions</v>
      </c>
      <c r="N1129" s="3" t="s">
        <v>10004</v>
      </c>
    </row>
    <row r="1130">
      <c r="A1130" s="3" t="s">
        <v>11132</v>
      </c>
      <c r="B1130" s="4" t="str">
        <f>C1130 &amp; " -&gt; " &amp; D1130</f>
        <v>principal-process-steward -&gt; ProcedureExecutions.ComputedAssuranceRatio</v>
      </c>
      <c r="C1130" s="3" t="s">
        <v>9772</v>
      </c>
      <c r="D1130" s="3" t="s">
        <v>3526</v>
      </c>
      <c r="E1130" s="3" t="b">
        <v>1</v>
      </c>
      <c r="F1130" s="3" t="b">
        <v>0</v>
      </c>
      <c r="G1130" s="3" t="s">
        <v>10003</v>
      </c>
      <c r="H1130" s="4" t="str">
        <f>_xlfn.IFNA(IF(((INDEX(RulebookFields!C2:C1898, MATCH(D1130,RulebookFields!A2:A1898, 0))="")=TRUE),  "",  INDEX(RulebookFields!C2:C1898, MATCH(D1130,RulebookFields!A2:A1898, 0))), "")</f>
        <v>ProcedureExecutions</v>
      </c>
      <c r="I1130" s="4" t="str">
        <f>_xlfn.IFNA(IF(((INDEX(RulebookFields!D2:D1898, MATCH(D1130,RulebookFields!A2:A1898, 0))="")=TRUE),  "",  INDEX(RulebookFields!D2:D1898, MATCH(D1130,RulebookFields!A2:A1898, 0))), "")</f>
        <v>ComputedAssuranceRatio</v>
      </c>
      <c r="J1130" s="4" t="b">
        <f>_xlfn.IFNA(IF(((INDEX(RulebookFields!I2:I1898, MATCH(D1130,RulebookFields!A2:A1898, 0))="")=TRUE),  "",  INDEX(RulebookFields!I2:I1898, MATCH(D1130,RulebookFields!A2:A1898, 0))), "")</f>
        <v>1</v>
      </c>
      <c r="K1130" s="4" t="b">
        <f>AND(((F1130)=TRUE), ((J1130)=TRUE))</f>
        <v>0</v>
      </c>
      <c r="L1130" s="4" t="b">
        <f>AND(((G1130 &lt;&gt; "plain")=TRUE), ((G1130 &lt;&gt; "")=TRUE))</f>
        <v>0</v>
      </c>
      <c r="M1130" s="4" t="str">
        <f>IF(((E1130)=TRUE),  C1130 &amp; "|" &amp; H1130,  "")</f>
        <v>principal-process-steward|ProcedureExecutions</v>
      </c>
      <c r="N1130" s="3" t="s">
        <v>10004</v>
      </c>
    </row>
    <row r="1131">
      <c r="A1131" s="3" t="s">
        <v>11133</v>
      </c>
      <c r="B1131" s="4" t="str">
        <f>C1131 &amp; " -&gt; " &amp; D1131</f>
        <v>principal-process-steward -&gt; ProcedureExecutions.InterestedPartyAssertionCount</v>
      </c>
      <c r="C1131" s="3" t="s">
        <v>9772</v>
      </c>
      <c r="D1131" s="3" t="s">
        <v>3528</v>
      </c>
      <c r="E1131" s="3" t="b">
        <v>1</v>
      </c>
      <c r="F1131" s="3" t="b">
        <v>0</v>
      </c>
      <c r="G1131" s="3" t="s">
        <v>10003</v>
      </c>
      <c r="H1131" s="4" t="str">
        <f>_xlfn.IFNA(IF(((INDEX(RulebookFields!C2:C1898, MATCH(D1131,RulebookFields!A2:A1898, 0))="")=TRUE),  "",  INDEX(RulebookFields!C2:C1898, MATCH(D1131,RulebookFields!A2:A1898, 0))), "")</f>
        <v>ProcedureExecutions</v>
      </c>
      <c r="I1131" s="4" t="str">
        <f>_xlfn.IFNA(IF(((INDEX(RulebookFields!D2:D1898, MATCH(D1131,RulebookFields!A2:A1898, 0))="")=TRUE),  "",  INDEX(RulebookFields!D2:D1898, MATCH(D1131,RulebookFields!A2:A1898, 0))), "")</f>
        <v>InterestedPartyAssertionCount</v>
      </c>
      <c r="J1131" s="4" t="b">
        <f>_xlfn.IFNA(IF(((INDEX(RulebookFields!I2:I1898, MATCH(D1131,RulebookFields!A2:A1898, 0))="")=TRUE),  "",  INDEX(RulebookFields!I2:I1898, MATCH(D1131,RulebookFields!A2:A1898, 0))), "")</f>
        <v>1</v>
      </c>
      <c r="K1131" s="4" t="b">
        <f>AND(((F1131)=TRUE), ((J1131)=TRUE))</f>
        <v>0</v>
      </c>
      <c r="L1131" s="4" t="b">
        <f>AND(((G1131 &lt;&gt; "plain")=TRUE), ((G1131 &lt;&gt; "")=TRUE))</f>
        <v>0</v>
      </c>
      <c r="M1131" s="4" t="str">
        <f>IF(((E1131)=TRUE),  C1131 &amp; "|" &amp; H1131,  "")</f>
        <v>principal-process-steward|ProcedureExecutions</v>
      </c>
      <c r="N1131" s="3" t="s">
        <v>10004</v>
      </c>
    </row>
    <row r="1132">
      <c r="A1132" s="3" t="s">
        <v>11134</v>
      </c>
      <c r="B1132" s="4" t="str">
        <f>C1132 &amp; " -&gt; " &amp; D1132</f>
        <v>principal-process-steward -&gt; ProcedureExecutions.AssuranceGrade</v>
      </c>
      <c r="C1132" s="3" t="s">
        <v>9772</v>
      </c>
      <c r="D1132" s="3" t="s">
        <v>3530</v>
      </c>
      <c r="E1132" s="3" t="b">
        <v>1</v>
      </c>
      <c r="F1132" s="3" t="b">
        <v>0</v>
      </c>
      <c r="G1132" s="3" t="s">
        <v>10003</v>
      </c>
      <c r="H1132" s="4" t="str">
        <f>_xlfn.IFNA(IF(((INDEX(RulebookFields!C2:C1898, MATCH(D1132,RulebookFields!A2:A1898, 0))="")=TRUE),  "",  INDEX(RulebookFields!C2:C1898, MATCH(D1132,RulebookFields!A2:A1898, 0))), "")</f>
        <v>ProcedureExecutions</v>
      </c>
      <c r="I1132" s="4" t="str">
        <f>_xlfn.IFNA(IF(((INDEX(RulebookFields!D2:D1898, MATCH(D1132,RulebookFields!A2:A1898, 0))="")=TRUE),  "",  INDEX(RulebookFields!D2:D1898, MATCH(D1132,RulebookFields!A2:A1898, 0))), "")</f>
        <v>AssuranceGrade</v>
      </c>
      <c r="J1132" s="4" t="b">
        <f>_xlfn.IFNA(IF(((INDEX(RulebookFields!I2:I1898, MATCH(D1132,RulebookFields!A2:A1898, 0))="")=TRUE),  "",  INDEX(RulebookFields!I2:I1898, MATCH(D1132,RulebookFields!A2:A1898, 0))), "")</f>
        <v>1</v>
      </c>
      <c r="K1132" s="4" t="b">
        <f>AND(((F1132)=TRUE), ((J1132)=TRUE))</f>
        <v>0</v>
      </c>
      <c r="L1132" s="4" t="b">
        <f>AND(((G1132 &lt;&gt; "plain")=TRUE), ((G1132 &lt;&gt; "")=TRUE))</f>
        <v>0</v>
      </c>
      <c r="M1132" s="4" t="str">
        <f>IF(((E1132)=TRUE),  C1132 &amp; "|" &amp; H1132,  "")</f>
        <v>principal-process-steward|ProcedureExecutions</v>
      </c>
      <c r="N1132" s="3" t="s">
        <v>10004</v>
      </c>
    </row>
    <row r="1133">
      <c r="A1133" s="3" t="s">
        <v>11135</v>
      </c>
      <c r="B1133" s="4" t="str">
        <f>C1133 &amp; " -&gt; " &amp; D1133</f>
        <v>principal-process-steward -&gt; ProcedureExecutions.AttestationWouldBeWeaklyBased</v>
      </c>
      <c r="C1133" s="3" t="s">
        <v>9772</v>
      </c>
      <c r="D1133" s="3" t="s">
        <v>3532</v>
      </c>
      <c r="E1133" s="3" t="b">
        <v>1</v>
      </c>
      <c r="F1133" s="3" t="b">
        <v>0</v>
      </c>
      <c r="G1133" s="3" t="s">
        <v>10003</v>
      </c>
      <c r="H1133" s="4" t="str">
        <f>_xlfn.IFNA(IF(((INDEX(RulebookFields!C2:C1898, MATCH(D1133,RulebookFields!A2:A1898, 0))="")=TRUE),  "",  INDEX(RulebookFields!C2:C1898, MATCH(D1133,RulebookFields!A2:A1898, 0))), "")</f>
        <v>ProcedureExecutions</v>
      </c>
      <c r="I1133" s="4" t="str">
        <f>_xlfn.IFNA(IF(((INDEX(RulebookFields!D2:D1898, MATCH(D1133,RulebookFields!A2:A1898, 0))="")=TRUE),  "",  INDEX(RulebookFields!D2:D1898, MATCH(D1133,RulebookFields!A2:A1898, 0))), "")</f>
        <v>AttestationWouldBeWeaklyBased</v>
      </c>
      <c r="J1133" s="4" t="b">
        <f>_xlfn.IFNA(IF(((INDEX(RulebookFields!I2:I1898, MATCH(D1133,RulebookFields!A2:A1898, 0))="")=TRUE),  "",  INDEX(RulebookFields!I2:I1898, MATCH(D1133,RulebookFields!A2:A1898, 0))), "")</f>
        <v>1</v>
      </c>
      <c r="K1133" s="4" t="b">
        <f>AND(((F1133)=TRUE), ((J1133)=TRUE))</f>
        <v>0</v>
      </c>
      <c r="L1133" s="4" t="b">
        <f>AND(((G1133 &lt;&gt; "plain")=TRUE), ((G1133 &lt;&gt; "")=TRUE))</f>
        <v>0</v>
      </c>
      <c r="M1133" s="4" t="str">
        <f>IF(((E1133)=TRUE),  C1133 &amp; "|" &amp; H1133,  "")</f>
        <v>principal-process-steward|ProcedureExecutions</v>
      </c>
      <c r="N1133" s="3" t="s">
        <v>10004</v>
      </c>
    </row>
    <row r="1134">
      <c r="A1134" s="3" t="s">
        <v>11136</v>
      </c>
      <c r="B1134" s="4" t="str">
        <f>C1134 &amp; " -&gt; " &amp; D1134</f>
        <v>principal-process-steward -&gt; ProcedureExecutions.IndependentHumanObservationCount</v>
      </c>
      <c r="C1134" s="3" t="s">
        <v>9772</v>
      </c>
      <c r="D1134" s="3" t="s">
        <v>3534</v>
      </c>
      <c r="E1134" s="3" t="b">
        <v>1</v>
      </c>
      <c r="F1134" s="3" t="b">
        <v>0</v>
      </c>
      <c r="G1134" s="3" t="s">
        <v>10003</v>
      </c>
      <c r="H1134" s="4" t="str">
        <f>_xlfn.IFNA(IF(((INDEX(RulebookFields!C2:C1898, MATCH(D1134,RulebookFields!A2:A1898, 0))="")=TRUE),  "",  INDEX(RulebookFields!C2:C1898, MATCH(D1134,RulebookFields!A2:A1898, 0))), "")</f>
        <v>ProcedureExecutions</v>
      </c>
      <c r="I1134" s="4" t="str">
        <f>_xlfn.IFNA(IF(((INDEX(RulebookFields!D2:D1898, MATCH(D1134,RulebookFields!A2:A1898, 0))="")=TRUE),  "",  INDEX(RulebookFields!D2:D1898, MATCH(D1134,RulebookFields!A2:A1898, 0))), "")</f>
        <v>IndependentHumanObservationCount</v>
      </c>
      <c r="J1134" s="4" t="b">
        <f>_xlfn.IFNA(IF(((INDEX(RulebookFields!I2:I1898, MATCH(D1134,RulebookFields!A2:A1898, 0))="")=TRUE),  "",  INDEX(RulebookFields!I2:I1898, MATCH(D1134,RulebookFields!A2:A1898, 0))), "")</f>
        <v>1</v>
      </c>
      <c r="K1134" s="4" t="b">
        <f>AND(((F1134)=TRUE), ((J1134)=TRUE))</f>
        <v>0</v>
      </c>
      <c r="L1134" s="4" t="b">
        <f>AND(((G1134 &lt;&gt; "plain")=TRUE), ((G1134 &lt;&gt; "")=TRUE))</f>
        <v>0</v>
      </c>
      <c r="M1134" s="4" t="str">
        <f>IF(((E1134)=TRUE),  C1134 &amp; "|" &amp; H1134,  "")</f>
        <v>principal-process-steward|ProcedureExecutions</v>
      </c>
      <c r="N1134" s="3" t="s">
        <v>10004</v>
      </c>
    </row>
    <row r="1135">
      <c r="A1135" s="3" t="s">
        <v>11137</v>
      </c>
      <c r="B1135" s="4" t="str">
        <f>C1135 &amp; " -&gt; " &amp; D1135</f>
        <v>principal-process-steward -&gt; ProcedureExecutions.HasAnyIndependentObservation</v>
      </c>
      <c r="C1135" s="3" t="s">
        <v>9772</v>
      </c>
      <c r="D1135" s="3" t="s">
        <v>3536</v>
      </c>
      <c r="E1135" s="3" t="b">
        <v>1</v>
      </c>
      <c r="F1135" s="3" t="b">
        <v>0</v>
      </c>
      <c r="G1135" s="3" t="s">
        <v>10003</v>
      </c>
      <c r="H1135" s="4" t="str">
        <f>_xlfn.IFNA(IF(((INDEX(RulebookFields!C2:C1898, MATCH(D1135,RulebookFields!A2:A1898, 0))="")=TRUE),  "",  INDEX(RulebookFields!C2:C1898, MATCH(D1135,RulebookFields!A2:A1898, 0))), "")</f>
        <v>ProcedureExecutions</v>
      </c>
      <c r="I1135" s="4" t="str">
        <f>_xlfn.IFNA(IF(((INDEX(RulebookFields!D2:D1898, MATCH(D1135,RulebookFields!A2:A1898, 0))="")=TRUE),  "",  INDEX(RulebookFields!D2:D1898, MATCH(D1135,RulebookFields!A2:A1898, 0))), "")</f>
        <v>HasAnyIndependentObservation</v>
      </c>
      <c r="J1135" s="4" t="b">
        <f>_xlfn.IFNA(IF(((INDEX(RulebookFields!I2:I1898, MATCH(D1135,RulebookFields!A2:A1898, 0))="")=TRUE),  "",  INDEX(RulebookFields!I2:I1898, MATCH(D1135,RulebookFields!A2:A1898, 0))), "")</f>
        <v>1</v>
      </c>
      <c r="K1135" s="4" t="b">
        <f>AND(((F1135)=TRUE), ((J1135)=TRUE))</f>
        <v>0</v>
      </c>
      <c r="L1135" s="4" t="b">
        <f>AND(((G1135 &lt;&gt; "plain")=TRUE), ((G1135 &lt;&gt; "")=TRUE))</f>
        <v>0</v>
      </c>
      <c r="M1135" s="4" t="str">
        <f>IF(((E1135)=TRUE),  C1135 &amp; "|" &amp; H1135,  "")</f>
        <v>principal-process-steward|ProcedureExecutions</v>
      </c>
      <c r="N1135" s="3" t="s">
        <v>10004</v>
      </c>
    </row>
    <row r="1136">
      <c r="A1136" s="3" t="s">
        <v>11138</v>
      </c>
      <c r="B1136" s="4" t="str">
        <f>C1136 &amp; " -&gt; " &amp; D1136</f>
        <v>principal-process-steward -&gt; ProcedureExecutions.SelfAttestedApprovalCount</v>
      </c>
      <c r="C1136" s="3" t="s">
        <v>9772</v>
      </c>
      <c r="D1136" s="3" t="s">
        <v>3538</v>
      </c>
      <c r="E1136" s="3" t="b">
        <v>1</v>
      </c>
      <c r="F1136" s="3" t="b">
        <v>0</v>
      </c>
      <c r="G1136" s="3" t="s">
        <v>10003</v>
      </c>
      <c r="H1136" s="4" t="str">
        <f>_xlfn.IFNA(IF(((INDEX(RulebookFields!C2:C1898, MATCH(D1136,RulebookFields!A2:A1898, 0))="")=TRUE),  "",  INDEX(RulebookFields!C2:C1898, MATCH(D1136,RulebookFields!A2:A1898, 0))), "")</f>
        <v>ProcedureExecutions</v>
      </c>
      <c r="I1136" s="4" t="str">
        <f>_xlfn.IFNA(IF(((INDEX(RulebookFields!D2:D1898, MATCH(D1136,RulebookFields!A2:A1898, 0))="")=TRUE),  "",  INDEX(RulebookFields!D2:D1898, MATCH(D1136,RulebookFields!A2:A1898, 0))), "")</f>
        <v>SelfAttestedApprovalCount</v>
      </c>
      <c r="J1136" s="4" t="b">
        <f>_xlfn.IFNA(IF(((INDEX(RulebookFields!I2:I1898, MATCH(D1136,RulebookFields!A2:A1898, 0))="")=TRUE),  "",  INDEX(RulebookFields!I2:I1898, MATCH(D1136,RulebookFields!A2:A1898, 0))), "")</f>
        <v>1</v>
      </c>
      <c r="K1136" s="4" t="b">
        <f>AND(((F1136)=TRUE), ((J1136)=TRUE))</f>
        <v>0</v>
      </c>
      <c r="L1136" s="4" t="b">
        <f>AND(((G1136 &lt;&gt; "plain")=TRUE), ((G1136 &lt;&gt; "")=TRUE))</f>
        <v>0</v>
      </c>
      <c r="M1136" s="4" t="str">
        <f>IF(((E1136)=TRUE),  C1136 &amp; "|" &amp; H1136,  "")</f>
        <v>principal-process-steward|ProcedureExecutions</v>
      </c>
      <c r="N1136" s="3" t="s">
        <v>10004</v>
      </c>
    </row>
    <row r="1137">
      <c r="A1137" s="3" t="s">
        <v>11139</v>
      </c>
      <c r="B1137" s="4" t="str">
        <f>C1137 &amp; " -&gt; " &amp; D1137</f>
        <v>principal-process-steward -&gt; ProcedureExecutions.AssuranceChainIsCircular</v>
      </c>
      <c r="C1137" s="3" t="s">
        <v>9772</v>
      </c>
      <c r="D1137" s="3" t="s">
        <v>3540</v>
      </c>
      <c r="E1137" s="3" t="b">
        <v>1</v>
      </c>
      <c r="F1137" s="3" t="b">
        <v>0</v>
      </c>
      <c r="G1137" s="3" t="s">
        <v>10003</v>
      </c>
      <c r="H1137" s="4" t="str">
        <f>_xlfn.IFNA(IF(((INDEX(RulebookFields!C2:C1898, MATCH(D1137,RulebookFields!A2:A1898, 0))="")=TRUE),  "",  INDEX(RulebookFields!C2:C1898, MATCH(D1137,RulebookFields!A2:A1898, 0))), "")</f>
        <v>ProcedureExecutions</v>
      </c>
      <c r="I1137" s="4" t="str">
        <f>_xlfn.IFNA(IF(((INDEX(RulebookFields!D2:D1898, MATCH(D1137,RulebookFields!A2:A1898, 0))="")=TRUE),  "",  INDEX(RulebookFields!D2:D1898, MATCH(D1137,RulebookFields!A2:A1898, 0))), "")</f>
        <v>AssuranceChainIsCircular</v>
      </c>
      <c r="J1137" s="4" t="b">
        <f>_xlfn.IFNA(IF(((INDEX(RulebookFields!I2:I1898, MATCH(D1137,RulebookFields!A2:A1898, 0))="")=TRUE),  "",  INDEX(RulebookFields!I2:I1898, MATCH(D1137,RulebookFields!A2:A1898, 0))), "")</f>
        <v>1</v>
      </c>
      <c r="K1137" s="4" t="b">
        <f>AND(((F1137)=TRUE), ((J1137)=TRUE))</f>
        <v>0</v>
      </c>
      <c r="L1137" s="4" t="b">
        <f>AND(((G1137 &lt;&gt; "plain")=TRUE), ((G1137 &lt;&gt; "")=TRUE))</f>
        <v>0</v>
      </c>
      <c r="M1137" s="4" t="str">
        <f>IF(((E1137)=TRUE),  C1137 &amp; "|" &amp; H1137,  "")</f>
        <v>principal-process-steward|ProcedureExecutions</v>
      </c>
      <c r="N1137" s="3" t="s">
        <v>10004</v>
      </c>
    </row>
    <row r="1138">
      <c r="A1138" s="3" t="s">
        <v>11140</v>
      </c>
      <c r="B1138" s="4" t="str">
        <f>C1138 &amp; " -&gt; " &amp; D1138</f>
        <v>principal-process-steward -&gt; ProcedureExecutions.LatestAttestationInstant</v>
      </c>
      <c r="C1138" s="3" t="s">
        <v>9772</v>
      </c>
      <c r="D1138" s="3" t="s">
        <v>3542</v>
      </c>
      <c r="E1138" s="3" t="b">
        <v>1</v>
      </c>
      <c r="F1138" s="3" t="b">
        <v>0</v>
      </c>
      <c r="G1138" s="3" t="s">
        <v>10003</v>
      </c>
      <c r="H1138" s="4" t="str">
        <f>_xlfn.IFNA(IF(((INDEX(RulebookFields!C2:C1898, MATCH(D1138,RulebookFields!A2:A1898, 0))="")=TRUE),  "",  INDEX(RulebookFields!C2:C1898, MATCH(D1138,RulebookFields!A2:A1898, 0))), "")</f>
        <v>ProcedureExecutions</v>
      </c>
      <c r="I1138" s="4" t="str">
        <f>_xlfn.IFNA(IF(((INDEX(RulebookFields!D2:D1898, MATCH(D1138,RulebookFields!A2:A1898, 0))="")=TRUE),  "",  INDEX(RulebookFields!D2:D1898, MATCH(D1138,RulebookFields!A2:A1898, 0))), "")</f>
        <v>LatestAttestationInstant</v>
      </c>
      <c r="J1138" s="4" t="b">
        <f>_xlfn.IFNA(IF(((INDEX(RulebookFields!I2:I1898, MATCH(D1138,RulebookFields!A2:A1898, 0))="")=TRUE),  "",  INDEX(RulebookFields!I2:I1898, MATCH(D1138,RulebookFields!A2:A1898, 0))), "")</f>
        <v>1</v>
      </c>
      <c r="K1138" s="4" t="b">
        <f>AND(((F1138)=TRUE), ((J1138)=TRUE))</f>
        <v>0</v>
      </c>
      <c r="L1138" s="4" t="b">
        <f>AND(((G1138 &lt;&gt; "plain")=TRUE), ((G1138 &lt;&gt; "")=TRUE))</f>
        <v>0</v>
      </c>
      <c r="M1138" s="4" t="str">
        <f>IF(((E1138)=TRUE),  C1138 &amp; "|" &amp; H1138,  "")</f>
        <v>principal-process-steward|ProcedureExecutions</v>
      </c>
      <c r="N1138" s="3" t="s">
        <v>10004</v>
      </c>
    </row>
    <row r="1139">
      <c r="A1139" s="3" t="s">
        <v>11141</v>
      </c>
      <c r="B1139" s="4" t="str">
        <f>C1139 &amp; " -&gt; " &amp; D1139</f>
        <v>principal-process-steward -&gt; ProcedureExecutions.HasBeenAttested</v>
      </c>
      <c r="C1139" s="3" t="s">
        <v>9772</v>
      </c>
      <c r="D1139" s="3" t="s">
        <v>3544</v>
      </c>
      <c r="E1139" s="3" t="b">
        <v>1</v>
      </c>
      <c r="F1139" s="3" t="b">
        <v>0</v>
      </c>
      <c r="G1139" s="3" t="s">
        <v>10003</v>
      </c>
      <c r="H1139" s="4" t="str">
        <f>_xlfn.IFNA(IF(((INDEX(RulebookFields!C2:C1898, MATCH(D1139,RulebookFields!A2:A1898, 0))="")=TRUE),  "",  INDEX(RulebookFields!C2:C1898, MATCH(D1139,RulebookFields!A2:A1898, 0))), "")</f>
        <v>ProcedureExecutions</v>
      </c>
      <c r="I1139" s="4" t="str">
        <f>_xlfn.IFNA(IF(((INDEX(RulebookFields!D2:D1898, MATCH(D1139,RulebookFields!A2:A1898, 0))="")=TRUE),  "",  INDEX(RulebookFields!D2:D1898, MATCH(D1139,RulebookFields!A2:A1898, 0))), "")</f>
        <v>HasBeenAttested</v>
      </c>
      <c r="J1139" s="4" t="b">
        <f>_xlfn.IFNA(IF(((INDEX(RulebookFields!I2:I1898, MATCH(D1139,RulebookFields!A2:A1898, 0))="")=TRUE),  "",  INDEX(RulebookFields!I2:I1898, MATCH(D1139,RulebookFields!A2:A1898, 0))), "")</f>
        <v>1</v>
      </c>
      <c r="K1139" s="4" t="b">
        <f>AND(((F1139)=TRUE), ((J1139)=TRUE))</f>
        <v>0</v>
      </c>
      <c r="L1139" s="4" t="b">
        <f>AND(((G1139 &lt;&gt; "plain")=TRUE), ((G1139 &lt;&gt; "")=TRUE))</f>
        <v>0</v>
      </c>
      <c r="M1139" s="4" t="str">
        <f>IF(((E1139)=TRUE),  C1139 &amp; "|" &amp; H1139,  "")</f>
        <v>principal-process-steward|ProcedureExecutions</v>
      </c>
      <c r="N1139" s="3" t="s">
        <v>10004</v>
      </c>
    </row>
    <row r="1140">
      <c r="A1140" s="3" t="s">
        <v>11142</v>
      </c>
      <c r="B1140" s="4" t="str">
        <f>C1140 &amp; " -&gt; " &amp; D1140</f>
        <v>principal-process-steward -&gt; ProcedureExecutions.AttestationCount</v>
      </c>
      <c r="C1140" s="3" t="s">
        <v>9772</v>
      </c>
      <c r="D1140" s="3" t="s">
        <v>3546</v>
      </c>
      <c r="E1140" s="3" t="b">
        <v>1</v>
      </c>
      <c r="F1140" s="3" t="b">
        <v>0</v>
      </c>
      <c r="G1140" s="3" t="s">
        <v>10003</v>
      </c>
      <c r="H1140" s="4" t="str">
        <f>_xlfn.IFNA(IF(((INDEX(RulebookFields!C2:C1898, MATCH(D1140,RulebookFields!A2:A1898, 0))="")=TRUE),  "",  INDEX(RulebookFields!C2:C1898, MATCH(D1140,RulebookFields!A2:A1898, 0))), "")</f>
        <v>ProcedureExecutions</v>
      </c>
      <c r="I1140" s="4" t="str">
        <f>_xlfn.IFNA(IF(((INDEX(RulebookFields!D2:D1898, MATCH(D1140,RulebookFields!A2:A1898, 0))="")=TRUE),  "",  INDEX(RulebookFields!D2:D1898, MATCH(D1140,RulebookFields!A2:A1898, 0))), "")</f>
        <v>AttestationCount</v>
      </c>
      <c r="J1140" s="4" t="b">
        <f>_xlfn.IFNA(IF(((INDEX(RulebookFields!I2:I1898, MATCH(D1140,RulebookFields!A2:A1898, 0))="")=TRUE),  "",  INDEX(RulebookFields!I2:I1898, MATCH(D1140,RulebookFields!A2:A1898, 0))), "")</f>
        <v>1</v>
      </c>
      <c r="K1140" s="4" t="b">
        <f>AND(((F1140)=TRUE), ((J1140)=TRUE))</f>
        <v>0</v>
      </c>
      <c r="L1140" s="4" t="b">
        <f>AND(((G1140 &lt;&gt; "plain")=TRUE), ((G1140 &lt;&gt; "")=TRUE))</f>
        <v>0</v>
      </c>
      <c r="M1140" s="4" t="str">
        <f>IF(((E1140)=TRUE),  C1140 &amp; "|" &amp; H1140,  "")</f>
        <v>principal-process-steward|ProcedureExecutions</v>
      </c>
      <c r="N1140" s="3" t="s">
        <v>10004</v>
      </c>
    </row>
    <row r="1141">
      <c r="A1141" s="3" t="s">
        <v>11143</v>
      </c>
      <c r="B1141" s="4" t="str">
        <f>C1141 &amp; " -&gt; " &amp; D1141</f>
        <v>principal-process-steward -&gt; ProcedureExecutions.PostAttestationScoreCount</v>
      </c>
      <c r="C1141" s="3" t="s">
        <v>9772</v>
      </c>
      <c r="D1141" s="3" t="s">
        <v>3548</v>
      </c>
      <c r="E1141" s="3" t="b">
        <v>1</v>
      </c>
      <c r="F1141" s="3" t="b">
        <v>0</v>
      </c>
      <c r="G1141" s="3" t="s">
        <v>10003</v>
      </c>
      <c r="H1141" s="4" t="str">
        <f>_xlfn.IFNA(IF(((INDEX(RulebookFields!C2:C1898, MATCH(D1141,RulebookFields!A2:A1898, 0))="")=TRUE),  "",  INDEX(RulebookFields!C2:C1898, MATCH(D1141,RulebookFields!A2:A1898, 0))), "")</f>
        <v>ProcedureExecutions</v>
      </c>
      <c r="I1141" s="4" t="str">
        <f>_xlfn.IFNA(IF(((INDEX(RulebookFields!D2:D1898, MATCH(D1141,RulebookFields!A2:A1898, 0))="")=TRUE),  "",  INDEX(RulebookFields!D2:D1898, MATCH(D1141,RulebookFields!A2:A1898, 0))), "")</f>
        <v>PostAttestationScoreCount</v>
      </c>
      <c r="J1141" s="4" t="b">
        <f>_xlfn.IFNA(IF(((INDEX(RulebookFields!I2:I1898, MATCH(D1141,RulebookFields!A2:A1898, 0))="")=TRUE),  "",  INDEX(RulebookFields!I2:I1898, MATCH(D1141,RulebookFields!A2:A1898, 0))), "")</f>
        <v>1</v>
      </c>
      <c r="K1141" s="4" t="b">
        <f>AND(((F1141)=TRUE), ((J1141)=TRUE))</f>
        <v>0</v>
      </c>
      <c r="L1141" s="4" t="b">
        <f>AND(((G1141 &lt;&gt; "plain")=TRUE), ((G1141 &lt;&gt; "")=TRUE))</f>
        <v>0</v>
      </c>
      <c r="M1141" s="4" t="str">
        <f>IF(((E1141)=TRUE),  C1141 &amp; "|" &amp; H1141,  "")</f>
        <v>principal-process-steward|ProcedureExecutions</v>
      </c>
      <c r="N1141" s="3" t="s">
        <v>10004</v>
      </c>
    </row>
    <row r="1142">
      <c r="A1142" s="3" t="s">
        <v>11144</v>
      </c>
      <c r="B1142" s="4" t="str">
        <f>C1142 &amp; " -&gt; " &amp; D1142</f>
        <v>principal-process-steward -&gt; ProcedureExecutions.BasisChangedAfterSignature</v>
      </c>
      <c r="C1142" s="3" t="s">
        <v>9772</v>
      </c>
      <c r="D1142" s="3" t="s">
        <v>3550</v>
      </c>
      <c r="E1142" s="3" t="b">
        <v>1</v>
      </c>
      <c r="F1142" s="3" t="b">
        <v>0</v>
      </c>
      <c r="G1142" s="3" t="s">
        <v>10003</v>
      </c>
      <c r="H1142" s="4" t="str">
        <f>_xlfn.IFNA(IF(((INDEX(RulebookFields!C2:C1898, MATCH(D1142,RulebookFields!A2:A1898, 0))="")=TRUE),  "",  INDEX(RulebookFields!C2:C1898, MATCH(D1142,RulebookFields!A2:A1898, 0))), "")</f>
        <v>ProcedureExecutions</v>
      </c>
      <c r="I1142" s="4" t="str">
        <f>_xlfn.IFNA(IF(((INDEX(RulebookFields!D2:D1898, MATCH(D1142,RulebookFields!A2:A1898, 0))="")=TRUE),  "",  INDEX(RulebookFields!D2:D1898, MATCH(D1142,RulebookFields!A2:A1898, 0))), "")</f>
        <v>BasisChangedAfterSignature</v>
      </c>
      <c r="J1142" s="4" t="b">
        <f>_xlfn.IFNA(IF(((INDEX(RulebookFields!I2:I1898, MATCH(D1142,RulebookFields!A2:A1898, 0))="")=TRUE),  "",  INDEX(RulebookFields!I2:I1898, MATCH(D1142,RulebookFields!A2:A1898, 0))), "")</f>
        <v>1</v>
      </c>
      <c r="K1142" s="4" t="b">
        <f>AND(((F1142)=TRUE), ((J1142)=TRUE))</f>
        <v>0</v>
      </c>
      <c r="L1142" s="4" t="b">
        <f>AND(((G1142 &lt;&gt; "plain")=TRUE), ((G1142 &lt;&gt; "")=TRUE))</f>
        <v>0</v>
      </c>
      <c r="M1142" s="4" t="str">
        <f>IF(((E1142)=TRUE),  C1142 &amp; "|" &amp; H1142,  "")</f>
        <v>principal-process-steward|ProcedureExecutions</v>
      </c>
      <c r="N1142" s="3" t="s">
        <v>10004</v>
      </c>
    </row>
    <row r="1143">
      <c r="A1143" s="3" t="s">
        <v>11145</v>
      </c>
      <c r="B1143" s="4" t="str">
        <f>C1143 &amp; " -&gt; " &amp; D1143</f>
        <v>principal-process-steward -&gt; ProcedureExecutions.RequiresReAttestation</v>
      </c>
      <c r="C1143" s="3" t="s">
        <v>9772</v>
      </c>
      <c r="D1143" s="3" t="s">
        <v>3552</v>
      </c>
      <c r="E1143" s="3" t="b">
        <v>1</v>
      </c>
      <c r="F1143" s="3" t="b">
        <v>0</v>
      </c>
      <c r="G1143" s="3" t="s">
        <v>10003</v>
      </c>
      <c r="H1143" s="4" t="str">
        <f>_xlfn.IFNA(IF(((INDEX(RulebookFields!C2:C1898, MATCH(D1143,RulebookFields!A2:A1898, 0))="")=TRUE),  "",  INDEX(RulebookFields!C2:C1898, MATCH(D1143,RulebookFields!A2:A1898, 0))), "")</f>
        <v>ProcedureExecutions</v>
      </c>
      <c r="I1143" s="4" t="str">
        <f>_xlfn.IFNA(IF(((INDEX(RulebookFields!D2:D1898, MATCH(D1143,RulebookFields!A2:A1898, 0))="")=TRUE),  "",  INDEX(RulebookFields!D2:D1898, MATCH(D1143,RulebookFields!A2:A1898, 0))), "")</f>
        <v>RequiresReAttestation</v>
      </c>
      <c r="J1143" s="4" t="b">
        <f>_xlfn.IFNA(IF(((INDEX(RulebookFields!I2:I1898, MATCH(D1143,RulebookFields!A2:A1898, 0))="")=TRUE),  "",  INDEX(RulebookFields!I2:I1898, MATCH(D1143,RulebookFields!A2:A1898, 0))), "")</f>
        <v>1</v>
      </c>
      <c r="K1143" s="4" t="b">
        <f>AND(((F1143)=TRUE), ((J1143)=TRUE))</f>
        <v>0</v>
      </c>
      <c r="L1143" s="4" t="b">
        <f>AND(((G1143 &lt;&gt; "plain")=TRUE), ((G1143 &lt;&gt; "")=TRUE))</f>
        <v>0</v>
      </c>
      <c r="M1143" s="4" t="str">
        <f>IF(((E1143)=TRUE),  C1143 &amp; "|" &amp; H1143,  "")</f>
        <v>principal-process-steward|ProcedureExecutions</v>
      </c>
      <c r="N1143" s="3" t="s">
        <v>10004</v>
      </c>
    </row>
    <row r="1144">
      <c r="A1144" s="3" t="s">
        <v>11146</v>
      </c>
      <c r="B1144" s="4" t="str">
        <f>C1144 &amp; " -&gt; " &amp; D1144</f>
        <v>principal-process-steward -&gt; ProcedureExecutions.IntendedRecipientCount</v>
      </c>
      <c r="C1144" s="3" t="s">
        <v>9772</v>
      </c>
      <c r="D1144" s="3" t="s">
        <v>3554</v>
      </c>
      <c r="E1144" s="3" t="b">
        <v>1</v>
      </c>
      <c r="F1144" s="3" t="b">
        <v>0</v>
      </c>
      <c r="G1144" s="3" t="s">
        <v>10003</v>
      </c>
      <c r="H1144" s="4" t="str">
        <f>_xlfn.IFNA(IF(((INDEX(RulebookFields!C2:C1898, MATCH(D1144,RulebookFields!A2:A1898, 0))="")=TRUE),  "",  INDEX(RulebookFields!C2:C1898, MATCH(D1144,RulebookFields!A2:A1898, 0))), "")</f>
        <v>ProcedureExecutions</v>
      </c>
      <c r="I1144" s="4" t="str">
        <f>_xlfn.IFNA(IF(((INDEX(RulebookFields!D2:D1898, MATCH(D1144,RulebookFields!A2:A1898, 0))="")=TRUE),  "",  INDEX(RulebookFields!D2:D1898, MATCH(D1144,RulebookFields!A2:A1898, 0))), "")</f>
        <v>IntendedRecipientCount</v>
      </c>
      <c r="J1144" s="4" t="b">
        <f>_xlfn.IFNA(IF(((INDEX(RulebookFields!I2:I1898, MATCH(D1144,RulebookFields!A2:A1898, 0))="")=TRUE),  "",  INDEX(RulebookFields!I2:I1898, MATCH(D1144,RulebookFields!A2:A1898, 0))), "")</f>
        <v>1</v>
      </c>
      <c r="K1144" s="4" t="b">
        <f>AND(((F1144)=TRUE), ((J1144)=TRUE))</f>
        <v>0</v>
      </c>
      <c r="L1144" s="4" t="b">
        <f>AND(((G1144 &lt;&gt; "plain")=TRUE), ((G1144 &lt;&gt; "")=TRUE))</f>
        <v>0</v>
      </c>
      <c r="M1144" s="4" t="str">
        <f>IF(((E1144)=TRUE),  C1144 &amp; "|" &amp; H1144,  "")</f>
        <v>principal-process-steward|ProcedureExecutions</v>
      </c>
      <c r="N1144" s="3" t="s">
        <v>10004</v>
      </c>
    </row>
    <row r="1145">
      <c r="A1145" s="3" t="s">
        <v>11147</v>
      </c>
      <c r="B1145" s="4" t="str">
        <f>C1145 &amp; " -&gt; " &amp; D1145</f>
        <v>principal-process-steward -&gt; ProcedureExecutions.ReachedRecipientCount</v>
      </c>
      <c r="C1145" s="3" t="s">
        <v>9772</v>
      </c>
      <c r="D1145" s="3" t="s">
        <v>3556</v>
      </c>
      <c r="E1145" s="3" t="b">
        <v>1</v>
      </c>
      <c r="F1145" s="3" t="b">
        <v>0</v>
      </c>
      <c r="G1145" s="3" t="s">
        <v>10003</v>
      </c>
      <c r="H1145" s="4" t="str">
        <f>_xlfn.IFNA(IF(((INDEX(RulebookFields!C2:C1898, MATCH(D1145,RulebookFields!A2:A1898, 0))="")=TRUE),  "",  INDEX(RulebookFields!C2:C1898, MATCH(D1145,RulebookFields!A2:A1898, 0))), "")</f>
        <v>ProcedureExecutions</v>
      </c>
      <c r="I1145" s="4" t="str">
        <f>_xlfn.IFNA(IF(((INDEX(RulebookFields!D2:D1898, MATCH(D1145,RulebookFields!A2:A1898, 0))="")=TRUE),  "",  INDEX(RulebookFields!D2:D1898, MATCH(D1145,RulebookFields!A2:A1898, 0))), "")</f>
        <v>ReachedRecipientCount</v>
      </c>
      <c r="J1145" s="4" t="b">
        <f>_xlfn.IFNA(IF(((INDEX(RulebookFields!I2:I1898, MATCH(D1145,RulebookFields!A2:A1898, 0))="")=TRUE),  "",  INDEX(RulebookFields!I2:I1898, MATCH(D1145,RulebookFields!A2:A1898, 0))), "")</f>
        <v>1</v>
      </c>
      <c r="K1145" s="4" t="b">
        <f>AND(((F1145)=TRUE), ((J1145)=TRUE))</f>
        <v>0</v>
      </c>
      <c r="L1145" s="4" t="b">
        <f>AND(((G1145 &lt;&gt; "plain")=TRUE), ((G1145 &lt;&gt; "")=TRUE))</f>
        <v>0</v>
      </c>
      <c r="M1145" s="4" t="str">
        <f>IF(((E1145)=TRUE),  C1145 &amp; "|" &amp; H1145,  "")</f>
        <v>principal-process-steward|ProcedureExecutions</v>
      </c>
      <c r="N1145" s="3" t="s">
        <v>10004</v>
      </c>
    </row>
    <row r="1146">
      <c r="A1146" s="3" t="s">
        <v>11148</v>
      </c>
      <c r="B1146" s="4" t="str">
        <f>C1146 &amp; " -&gt; " &amp; D1146</f>
        <v>principal-process-steward -&gt; ProcedureExecutions.SilentlyDroppedCount</v>
      </c>
      <c r="C1146" s="3" t="s">
        <v>9772</v>
      </c>
      <c r="D1146" s="3" t="s">
        <v>3558</v>
      </c>
      <c r="E1146" s="3" t="b">
        <v>1</v>
      </c>
      <c r="F1146" s="3" t="b">
        <v>0</v>
      </c>
      <c r="G1146" s="3" t="s">
        <v>10003</v>
      </c>
      <c r="H1146" s="4" t="str">
        <f>_xlfn.IFNA(IF(((INDEX(RulebookFields!C2:C1898, MATCH(D1146,RulebookFields!A2:A1898, 0))="")=TRUE),  "",  INDEX(RulebookFields!C2:C1898, MATCH(D1146,RulebookFields!A2:A1898, 0))), "")</f>
        <v>ProcedureExecutions</v>
      </c>
      <c r="I1146" s="4" t="str">
        <f>_xlfn.IFNA(IF(((INDEX(RulebookFields!D2:D1898, MATCH(D1146,RulebookFields!A2:A1898, 0))="")=TRUE),  "",  INDEX(RulebookFields!D2:D1898, MATCH(D1146,RulebookFields!A2:A1898, 0))), "")</f>
        <v>SilentlyDroppedCount</v>
      </c>
      <c r="J1146" s="4" t="b">
        <f>_xlfn.IFNA(IF(((INDEX(RulebookFields!I2:I1898, MATCH(D1146,RulebookFields!A2:A1898, 0))="")=TRUE),  "",  INDEX(RulebookFields!I2:I1898, MATCH(D1146,RulebookFields!A2:A1898, 0))), "")</f>
        <v>1</v>
      </c>
      <c r="K1146" s="4" t="b">
        <f>AND(((F1146)=TRUE), ((J1146)=TRUE))</f>
        <v>0</v>
      </c>
      <c r="L1146" s="4" t="b">
        <f>AND(((G1146 &lt;&gt; "plain")=TRUE), ((G1146 &lt;&gt; "")=TRUE))</f>
        <v>0</v>
      </c>
      <c r="M1146" s="4" t="str">
        <f>IF(((E1146)=TRUE),  C1146 &amp; "|" &amp; H1146,  "")</f>
        <v>principal-process-steward|ProcedureExecutions</v>
      </c>
      <c r="N1146" s="3" t="s">
        <v>10004</v>
      </c>
    </row>
    <row r="1147">
      <c r="A1147" s="3" t="s">
        <v>11149</v>
      </c>
      <c r="B1147" s="4" t="str">
        <f>C1147 &amp; " -&gt; " &amp; D1147</f>
        <v>principal-process-steward -&gt; ProcedureExecutions.DeliveryYieldPercent</v>
      </c>
      <c r="C1147" s="3" t="s">
        <v>9772</v>
      </c>
      <c r="D1147" s="3" t="s">
        <v>3560</v>
      </c>
      <c r="E1147" s="3" t="b">
        <v>1</v>
      </c>
      <c r="F1147" s="3" t="b">
        <v>0</v>
      </c>
      <c r="G1147" s="3" t="s">
        <v>10003</v>
      </c>
      <c r="H1147" s="4" t="str">
        <f>_xlfn.IFNA(IF(((INDEX(RulebookFields!C2:C1898, MATCH(D1147,RulebookFields!A2:A1898, 0))="")=TRUE),  "",  INDEX(RulebookFields!C2:C1898, MATCH(D1147,RulebookFields!A2:A1898, 0))), "")</f>
        <v>ProcedureExecutions</v>
      </c>
      <c r="I1147" s="4" t="str">
        <f>_xlfn.IFNA(IF(((INDEX(RulebookFields!D2:D1898, MATCH(D1147,RulebookFields!A2:A1898, 0))="")=TRUE),  "",  INDEX(RulebookFields!D2:D1898, MATCH(D1147,RulebookFields!A2:A1898, 0))), "")</f>
        <v>DeliveryYieldPercent</v>
      </c>
      <c r="J1147" s="4" t="b">
        <f>_xlfn.IFNA(IF(((INDEX(RulebookFields!I2:I1898, MATCH(D1147,RulebookFields!A2:A1898, 0))="")=TRUE),  "",  INDEX(RulebookFields!I2:I1898, MATCH(D1147,RulebookFields!A2:A1898, 0))), "")</f>
        <v>1</v>
      </c>
      <c r="K1147" s="4" t="b">
        <f>AND(((F1147)=TRUE), ((J1147)=TRUE))</f>
        <v>0</v>
      </c>
      <c r="L1147" s="4" t="b">
        <f>AND(((G1147 &lt;&gt; "plain")=TRUE), ((G1147 &lt;&gt; "")=TRUE))</f>
        <v>0</v>
      </c>
      <c r="M1147" s="4" t="str">
        <f>IF(((E1147)=TRUE),  C1147 &amp; "|" &amp; H1147,  "")</f>
        <v>principal-process-steward|ProcedureExecutions</v>
      </c>
      <c r="N1147" s="3" t="s">
        <v>10004</v>
      </c>
    </row>
    <row r="1148">
      <c r="A1148" s="3" t="s">
        <v>11150</v>
      </c>
      <c r="B1148" s="4" t="str">
        <f>C1148 &amp; " -&gt; " &amp; D1148</f>
        <v>principal-process-steward -&gt; ProcedureExecutions.CampaignSilentlyLostAudience</v>
      </c>
      <c r="C1148" s="3" t="s">
        <v>9772</v>
      </c>
      <c r="D1148" s="3" t="s">
        <v>3562</v>
      </c>
      <c r="E1148" s="3" t="b">
        <v>1</v>
      </c>
      <c r="F1148" s="3" t="b">
        <v>0</v>
      </c>
      <c r="G1148" s="3" t="s">
        <v>10003</v>
      </c>
      <c r="H1148" s="4" t="str">
        <f>_xlfn.IFNA(IF(((INDEX(RulebookFields!C2:C1898, MATCH(D1148,RulebookFields!A2:A1898, 0))="")=TRUE),  "",  INDEX(RulebookFields!C2:C1898, MATCH(D1148,RulebookFields!A2:A1898, 0))), "")</f>
        <v>ProcedureExecutions</v>
      </c>
      <c r="I1148" s="4" t="str">
        <f>_xlfn.IFNA(IF(((INDEX(RulebookFields!D2:D1898, MATCH(D1148,RulebookFields!A2:A1898, 0))="")=TRUE),  "",  INDEX(RulebookFields!D2:D1898, MATCH(D1148,RulebookFields!A2:A1898, 0))), "")</f>
        <v>CampaignSilentlyLostAudience</v>
      </c>
      <c r="J1148" s="4" t="b">
        <f>_xlfn.IFNA(IF(((INDEX(RulebookFields!I2:I1898, MATCH(D1148,RulebookFields!A2:A1898, 0))="")=TRUE),  "",  INDEX(RulebookFields!I2:I1898, MATCH(D1148,RulebookFields!A2:A1898, 0))), "")</f>
        <v>1</v>
      </c>
      <c r="K1148" s="4" t="b">
        <f>AND(((F1148)=TRUE), ((J1148)=TRUE))</f>
        <v>0</v>
      </c>
      <c r="L1148" s="4" t="b">
        <f>AND(((G1148 &lt;&gt; "plain")=TRUE), ((G1148 &lt;&gt; "")=TRUE))</f>
        <v>0</v>
      </c>
      <c r="M1148" s="4" t="str">
        <f>IF(((E1148)=TRUE),  C1148 &amp; "|" &amp; H1148,  "")</f>
        <v>principal-process-steward|ProcedureExecutions</v>
      </c>
      <c r="N1148" s="3" t="s">
        <v>10004</v>
      </c>
    </row>
    <row r="1149">
      <c r="A1149" s="3" t="s">
        <v>11151</v>
      </c>
      <c r="B1149" s="4" t="str">
        <f>C1149 &amp; " -&gt; " &amp; D1149</f>
        <v>principal-process-steward -&gt; ProcedureExecutions.UnrecordedRefusalCount</v>
      </c>
      <c r="C1149" s="3" t="s">
        <v>9772</v>
      </c>
      <c r="D1149" s="3" t="s">
        <v>3564</v>
      </c>
      <c r="E1149" s="3" t="b">
        <v>1</v>
      </c>
      <c r="F1149" s="3" t="b">
        <v>0</v>
      </c>
      <c r="G1149" s="3" t="s">
        <v>10003</v>
      </c>
      <c r="H1149" s="4" t="str">
        <f>_xlfn.IFNA(IF(((INDEX(RulebookFields!C2:C1898, MATCH(D1149,RulebookFields!A2:A1898, 0))="")=TRUE),  "",  INDEX(RulebookFields!C2:C1898, MATCH(D1149,RulebookFields!A2:A1898, 0))), "")</f>
        <v>ProcedureExecutions</v>
      </c>
      <c r="I1149" s="4" t="str">
        <f>_xlfn.IFNA(IF(((INDEX(RulebookFields!D2:D1898, MATCH(D1149,RulebookFields!A2:A1898, 0))="")=TRUE),  "",  INDEX(RulebookFields!D2:D1898, MATCH(D1149,RulebookFields!A2:A1898, 0))), "")</f>
        <v>UnrecordedRefusalCount</v>
      </c>
      <c r="J1149" s="4" t="b">
        <f>_xlfn.IFNA(IF(((INDEX(RulebookFields!I2:I1898, MATCH(D1149,RulebookFields!A2:A1898, 0))="")=TRUE),  "",  INDEX(RulebookFields!I2:I1898, MATCH(D1149,RulebookFields!A2:A1898, 0))), "")</f>
        <v>1</v>
      </c>
      <c r="K1149" s="4" t="b">
        <f>AND(((F1149)=TRUE), ((J1149)=TRUE))</f>
        <v>0</v>
      </c>
      <c r="L1149" s="4" t="b">
        <f>AND(((G1149 &lt;&gt; "plain")=TRUE), ((G1149 &lt;&gt; "")=TRUE))</f>
        <v>0</v>
      </c>
      <c r="M1149" s="4" t="str">
        <f>IF(((E1149)=TRUE),  C1149 &amp; "|" &amp; H1149,  "")</f>
        <v>principal-process-steward|ProcedureExecutions</v>
      </c>
      <c r="N1149" s="3" t="s">
        <v>10004</v>
      </c>
    </row>
    <row r="1150">
      <c r="A1150" s="3" t="s">
        <v>11152</v>
      </c>
      <c r="B1150" s="4" t="str">
        <f>C1150 &amp; " -&gt; " &amp; D1150</f>
        <v>principal-process-steward -&gt; ProcedureExecutions.HasUnrecordedRefusals</v>
      </c>
      <c r="C1150" s="3" t="s">
        <v>9772</v>
      </c>
      <c r="D1150" s="3" t="s">
        <v>3566</v>
      </c>
      <c r="E1150" s="3" t="b">
        <v>1</v>
      </c>
      <c r="F1150" s="3" t="b">
        <v>0</v>
      </c>
      <c r="G1150" s="3" t="s">
        <v>10003</v>
      </c>
      <c r="H1150" s="4" t="str">
        <f>_xlfn.IFNA(IF(((INDEX(RulebookFields!C2:C1898, MATCH(D1150,RulebookFields!A2:A1898, 0))="")=TRUE),  "",  INDEX(RulebookFields!C2:C1898, MATCH(D1150,RulebookFields!A2:A1898, 0))), "")</f>
        <v>ProcedureExecutions</v>
      </c>
      <c r="I1150" s="4" t="str">
        <f>_xlfn.IFNA(IF(((INDEX(RulebookFields!D2:D1898, MATCH(D1150,RulebookFields!A2:A1898, 0))="")=TRUE),  "",  INDEX(RulebookFields!D2:D1898, MATCH(D1150,RulebookFields!A2:A1898, 0))), "")</f>
        <v>HasUnrecordedRefusals</v>
      </c>
      <c r="J1150" s="4" t="b">
        <f>_xlfn.IFNA(IF(((INDEX(RulebookFields!I2:I1898, MATCH(D1150,RulebookFields!A2:A1898, 0))="")=TRUE),  "",  INDEX(RulebookFields!I2:I1898, MATCH(D1150,RulebookFields!A2:A1898, 0))), "")</f>
        <v>1</v>
      </c>
      <c r="K1150" s="4" t="b">
        <f>AND(((F1150)=TRUE), ((J1150)=TRUE))</f>
        <v>0</v>
      </c>
      <c r="L1150" s="4" t="b">
        <f>AND(((G1150 &lt;&gt; "plain")=TRUE), ((G1150 &lt;&gt; "")=TRUE))</f>
        <v>0</v>
      </c>
      <c r="M1150" s="4" t="str">
        <f>IF(((E1150)=TRUE),  C1150 &amp; "|" &amp; H1150,  "")</f>
        <v>principal-process-steward|ProcedureExecutions</v>
      </c>
      <c r="N1150" s="3" t="s">
        <v>10004</v>
      </c>
    </row>
    <row r="1151">
      <c r="A1151" s="3" t="s">
        <v>11153</v>
      </c>
      <c r="B1151" s="4" t="str">
        <f>C1151 &amp; " -&gt; " &amp; D1151</f>
        <v>principal-process-steward -&gt; ProcedureExecutions.IndependentlyConfirmedIntentCount</v>
      </c>
      <c r="C1151" s="3" t="s">
        <v>9772</v>
      </c>
      <c r="D1151" s="3" t="s">
        <v>3568</v>
      </c>
      <c r="E1151" s="3" t="b">
        <v>1</v>
      </c>
      <c r="F1151" s="3" t="b">
        <v>0</v>
      </c>
      <c r="G1151" s="3" t="s">
        <v>10003</v>
      </c>
      <c r="H1151" s="4" t="str">
        <f>_xlfn.IFNA(IF(((INDEX(RulebookFields!C2:C1898, MATCH(D1151,RulebookFields!A2:A1898, 0))="")=TRUE),  "",  INDEX(RulebookFields!C2:C1898, MATCH(D1151,RulebookFields!A2:A1898, 0))), "")</f>
        <v>ProcedureExecutions</v>
      </c>
      <c r="I1151" s="4" t="str">
        <f>_xlfn.IFNA(IF(((INDEX(RulebookFields!D2:D1898, MATCH(D1151,RulebookFields!A2:A1898, 0))="")=TRUE),  "",  INDEX(RulebookFields!D2:D1898, MATCH(D1151,RulebookFields!A2:A1898, 0))), "")</f>
        <v>IndependentlyConfirmedIntentCount</v>
      </c>
      <c r="J1151" s="4" t="b">
        <f>_xlfn.IFNA(IF(((INDEX(RulebookFields!I2:I1898, MATCH(D1151,RulebookFields!A2:A1898, 0))="")=TRUE),  "",  INDEX(RulebookFields!I2:I1898, MATCH(D1151,RulebookFields!A2:A1898, 0))), "")</f>
        <v>1</v>
      </c>
      <c r="K1151" s="4" t="b">
        <f>AND(((F1151)=TRUE), ((J1151)=TRUE))</f>
        <v>0</v>
      </c>
      <c r="L1151" s="4" t="b">
        <f>AND(((G1151 &lt;&gt; "plain")=TRUE), ((G1151 &lt;&gt; "")=TRUE))</f>
        <v>0</v>
      </c>
      <c r="M1151" s="4" t="str">
        <f>IF(((E1151)=TRUE),  C1151 &amp; "|" &amp; H1151,  "")</f>
        <v>principal-process-steward|ProcedureExecutions</v>
      </c>
      <c r="N1151" s="3" t="s">
        <v>10004</v>
      </c>
    </row>
    <row r="1152">
      <c r="A1152" s="3" t="s">
        <v>11154</v>
      </c>
      <c r="B1152" s="4" t="str">
        <f>C1152 &amp; " -&gt; " &amp; D1152</f>
        <v>principal-process-steward -&gt; ProcedureExecutions.SendDecisionsAreEntirelySelfWitnessed</v>
      </c>
      <c r="C1152" s="3" t="s">
        <v>9772</v>
      </c>
      <c r="D1152" s="3" t="s">
        <v>3570</v>
      </c>
      <c r="E1152" s="3" t="b">
        <v>1</v>
      </c>
      <c r="F1152" s="3" t="b">
        <v>0</v>
      </c>
      <c r="G1152" s="3" t="s">
        <v>10003</v>
      </c>
      <c r="H1152" s="4" t="str">
        <f>_xlfn.IFNA(IF(((INDEX(RulebookFields!C2:C1898, MATCH(D1152,RulebookFields!A2:A1898, 0))="")=TRUE),  "",  INDEX(RulebookFields!C2:C1898, MATCH(D1152,RulebookFields!A2:A1898, 0))), "")</f>
        <v>ProcedureExecutions</v>
      </c>
      <c r="I1152" s="4" t="str">
        <f>_xlfn.IFNA(IF(((INDEX(RulebookFields!D2:D1898, MATCH(D1152,RulebookFields!A2:A1898, 0))="")=TRUE),  "",  INDEX(RulebookFields!D2:D1898, MATCH(D1152,RulebookFields!A2:A1898, 0))), "")</f>
        <v>SendDecisionsAreEntirelySelfWitnessed</v>
      </c>
      <c r="J1152" s="4" t="b">
        <f>_xlfn.IFNA(IF(((INDEX(RulebookFields!I2:I1898, MATCH(D1152,RulebookFields!A2:A1898, 0))="")=TRUE),  "",  INDEX(RulebookFields!I2:I1898, MATCH(D1152,RulebookFields!A2:A1898, 0))), "")</f>
        <v>1</v>
      </c>
      <c r="K1152" s="4" t="b">
        <f>AND(((F1152)=TRUE), ((J1152)=TRUE))</f>
        <v>0</v>
      </c>
      <c r="L1152" s="4" t="b">
        <f>AND(((G1152 &lt;&gt; "plain")=TRUE), ((G1152 &lt;&gt; "")=TRUE))</f>
        <v>0</v>
      </c>
      <c r="M1152" s="4" t="str">
        <f>IF(((E1152)=TRUE),  C1152 &amp; "|" &amp; H1152,  "")</f>
        <v>principal-process-steward|ProcedureExecutions</v>
      </c>
      <c r="N1152" s="3" t="s">
        <v>10004</v>
      </c>
    </row>
    <row r="1153">
      <c r="A1153" s="3" t="s">
        <v>11155</v>
      </c>
      <c r="B1153" s="4" t="str">
        <f>C1153 &amp; " -&gt; " &amp; D1153</f>
        <v>principal-process-steward -&gt; ProcedureExecutions.SemanticTypeIri</v>
      </c>
      <c r="C1153" s="3" t="s">
        <v>9772</v>
      </c>
      <c r="D1153" s="3" t="s">
        <v>3572</v>
      </c>
      <c r="E1153" s="3" t="b">
        <v>1</v>
      </c>
      <c r="F1153" s="3" t="b">
        <v>0</v>
      </c>
      <c r="G1153" s="3" t="s">
        <v>10003</v>
      </c>
      <c r="H1153" s="4" t="str">
        <f>_xlfn.IFNA(IF(((INDEX(RulebookFields!C2:C1898, MATCH(D1153,RulebookFields!A2:A1898, 0))="")=TRUE),  "",  INDEX(RulebookFields!C2:C1898, MATCH(D1153,RulebookFields!A2:A1898, 0))), "")</f>
        <v>ProcedureExecutions</v>
      </c>
      <c r="I1153" s="4" t="str">
        <f>_xlfn.IFNA(IF(((INDEX(RulebookFields!D2:D1898, MATCH(D1153,RulebookFields!A2:A1898, 0))="")=TRUE),  "",  INDEX(RulebookFields!D2:D1898, MATCH(D1153,RulebookFields!A2:A1898, 0))), "")</f>
        <v>SemanticTypeIri</v>
      </c>
      <c r="J1153" s="4" t="b">
        <f>_xlfn.IFNA(IF(((INDEX(RulebookFields!I2:I1898, MATCH(D1153,RulebookFields!A2:A1898, 0))="")=TRUE),  "",  INDEX(RulebookFields!I2:I1898, MATCH(D1153,RulebookFields!A2:A1898, 0))), "")</f>
        <v>0</v>
      </c>
      <c r="K1153" s="4" t="b">
        <f>AND(((F1153)=TRUE), ((J1153)=TRUE))</f>
        <v>0</v>
      </c>
      <c r="L1153" s="4" t="b">
        <f>AND(((G1153 &lt;&gt; "plain")=TRUE), ((G1153 &lt;&gt; "")=TRUE))</f>
        <v>0</v>
      </c>
      <c r="M1153" s="4" t="str">
        <f>IF(((E1153)=TRUE),  C1153 &amp; "|" &amp; H1153,  "")</f>
        <v>principal-process-steward|ProcedureExecutions</v>
      </c>
      <c r="N1153" s="3" t="s">
        <v>10004</v>
      </c>
    </row>
    <row r="1154">
      <c r="A1154" s="3" t="s">
        <v>11156</v>
      </c>
      <c r="B1154" s="4" t="str">
        <f>C1154 &amp; " -&gt; " &amp; D1154</f>
        <v>principal-process-steward -&gt; ProcedureResources.ProcedureResourceId</v>
      </c>
      <c r="C1154" s="3" t="s">
        <v>9772</v>
      </c>
      <c r="D1154" s="3" t="s">
        <v>3186</v>
      </c>
      <c r="E1154" s="3" t="b">
        <v>1</v>
      </c>
      <c r="F1154" s="3" t="b">
        <v>0</v>
      </c>
      <c r="G1154" s="3" t="s">
        <v>10003</v>
      </c>
      <c r="H1154" s="4" t="str">
        <f>_xlfn.IFNA(IF(((INDEX(RulebookFields!C2:C1898, MATCH(D1154,RulebookFields!A2:A1898, 0))="")=TRUE),  "",  INDEX(RulebookFields!C2:C1898, MATCH(D1154,RulebookFields!A2:A1898, 0))), "")</f>
        <v>ProcedureResources</v>
      </c>
      <c r="I1154" s="4" t="str">
        <f>_xlfn.IFNA(IF(((INDEX(RulebookFields!D2:D1898, MATCH(D1154,RulebookFields!A2:A1898, 0))="")=TRUE),  "",  INDEX(RulebookFields!D2:D1898, MATCH(D1154,RulebookFields!A2:A1898, 0))), "")</f>
        <v>ProcedureResourceId</v>
      </c>
      <c r="J1154" s="4" t="b">
        <f>_xlfn.IFNA(IF(((INDEX(RulebookFields!I2:I1898, MATCH(D1154,RulebookFields!A2:A1898, 0))="")=TRUE),  "",  INDEX(RulebookFields!I2:I1898, MATCH(D1154,RulebookFields!A2:A1898, 0))), "")</f>
        <v>0</v>
      </c>
      <c r="K1154" s="4" t="b">
        <f>AND(((F1154)=TRUE), ((J1154)=TRUE))</f>
        <v>0</v>
      </c>
      <c r="L1154" s="4" t="b">
        <f>AND(((G1154 &lt;&gt; "plain")=TRUE), ((G1154 &lt;&gt; "")=TRUE))</f>
        <v>0</v>
      </c>
      <c r="M1154" s="4" t="str">
        <f>IF(((E1154)=TRUE),  C1154 &amp; "|" &amp; H1154,  "")</f>
        <v>principal-process-steward|ProcedureResources</v>
      </c>
      <c r="N1154" s="3" t="s">
        <v>10004</v>
      </c>
    </row>
    <row r="1155">
      <c r="A1155" s="3" t="s">
        <v>11157</v>
      </c>
      <c r="B1155" s="4" t="str">
        <f>C1155 &amp; " -&gt; " &amp; D1155</f>
        <v>principal-process-steward -&gt; ProcedureResources.Name</v>
      </c>
      <c r="C1155" s="3" t="s">
        <v>9772</v>
      </c>
      <c r="D1155" s="3" t="s">
        <v>3188</v>
      </c>
      <c r="E1155" s="3" t="b">
        <v>1</v>
      </c>
      <c r="F1155" s="3" t="b">
        <v>0</v>
      </c>
      <c r="G1155" s="3" t="s">
        <v>10003</v>
      </c>
      <c r="H1155" s="4" t="str">
        <f>_xlfn.IFNA(IF(((INDEX(RulebookFields!C2:C1898, MATCH(D1155,RulebookFields!A2:A1898, 0))="")=TRUE),  "",  INDEX(RulebookFields!C2:C1898, MATCH(D1155,RulebookFields!A2:A1898, 0))), "")</f>
        <v>ProcedureResources</v>
      </c>
      <c r="I1155" s="4" t="str">
        <f>_xlfn.IFNA(IF(((INDEX(RulebookFields!D2:D1898, MATCH(D1155,RulebookFields!A2:A1898, 0))="")=TRUE),  "",  INDEX(RulebookFields!D2:D1898, MATCH(D1155,RulebookFields!A2:A1898, 0))), "")</f>
        <v>Name</v>
      </c>
      <c r="J1155" s="4" t="b">
        <f>_xlfn.IFNA(IF(((INDEX(RulebookFields!I2:I1898, MATCH(D1155,RulebookFields!A2:A1898, 0))="")=TRUE),  "",  INDEX(RulebookFields!I2:I1898, MATCH(D1155,RulebookFields!A2:A1898, 0))), "")</f>
        <v>1</v>
      </c>
      <c r="K1155" s="4" t="b">
        <f>AND(((F1155)=TRUE), ((J1155)=TRUE))</f>
        <v>0</v>
      </c>
      <c r="L1155" s="4" t="b">
        <f>AND(((G1155 &lt;&gt; "plain")=TRUE), ((G1155 &lt;&gt; "")=TRUE))</f>
        <v>0</v>
      </c>
      <c r="M1155" s="4" t="str">
        <f>IF(((E1155)=TRUE),  C1155 &amp; "|" &amp; H1155,  "")</f>
        <v>principal-process-steward|ProcedureResources</v>
      </c>
      <c r="N1155" s="3" t="s">
        <v>10004</v>
      </c>
    </row>
    <row r="1156">
      <c r="A1156" s="3" t="s">
        <v>11158</v>
      </c>
      <c r="B1156" s="4" t="str">
        <f>C1156 &amp; " -&gt; " &amp; D1156</f>
        <v>principal-process-steward -&gt; ProcedureResources.ProcedureVersion</v>
      </c>
      <c r="C1156" s="3" t="s">
        <v>9772</v>
      </c>
      <c r="D1156" s="3" t="s">
        <v>3190</v>
      </c>
      <c r="E1156" s="3" t="b">
        <v>1</v>
      </c>
      <c r="F1156" s="3" t="b">
        <v>0</v>
      </c>
      <c r="G1156" s="3" t="s">
        <v>10003</v>
      </c>
      <c r="H1156" s="4" t="str">
        <f>_xlfn.IFNA(IF(((INDEX(RulebookFields!C2:C1898, MATCH(D1156,RulebookFields!A2:A1898, 0))="")=TRUE),  "",  INDEX(RulebookFields!C2:C1898, MATCH(D1156,RulebookFields!A2:A1898, 0))), "")</f>
        <v>ProcedureResources</v>
      </c>
      <c r="I1156" s="4" t="str">
        <f>_xlfn.IFNA(IF(((INDEX(RulebookFields!D2:D1898, MATCH(D1156,RulebookFields!A2:A1898, 0))="")=TRUE),  "",  INDEX(RulebookFields!D2:D1898, MATCH(D1156,RulebookFields!A2:A1898, 0))), "")</f>
        <v>ProcedureVersion</v>
      </c>
      <c r="J1156" s="4" t="b">
        <f>_xlfn.IFNA(IF(((INDEX(RulebookFields!I2:I1898, MATCH(D1156,RulebookFields!A2:A1898, 0))="")=TRUE),  "",  INDEX(RulebookFields!I2:I1898, MATCH(D1156,RulebookFields!A2:A1898, 0))), "")</f>
        <v>0</v>
      </c>
      <c r="K1156" s="4" t="b">
        <f>AND(((F1156)=TRUE), ((J1156)=TRUE))</f>
        <v>0</v>
      </c>
      <c r="L1156" s="4" t="b">
        <f>AND(((G1156 &lt;&gt; "plain")=TRUE), ((G1156 &lt;&gt; "")=TRUE))</f>
        <v>0</v>
      </c>
      <c r="M1156" s="4" t="str">
        <f>IF(((E1156)=TRUE),  C1156 &amp; "|" &amp; H1156,  "")</f>
        <v>principal-process-steward|ProcedureResources</v>
      </c>
      <c r="N1156" s="3" t="s">
        <v>10004</v>
      </c>
    </row>
    <row r="1157">
      <c r="A1157" s="3" t="s">
        <v>11159</v>
      </c>
      <c r="B1157" s="4" t="str">
        <f>C1157 &amp; " -&gt; " &amp; D1157</f>
        <v>principal-process-steward -&gt; ProcedureResources.Resource</v>
      </c>
      <c r="C1157" s="3" t="s">
        <v>9772</v>
      </c>
      <c r="D1157" s="3" t="s">
        <v>3191</v>
      </c>
      <c r="E1157" s="3" t="b">
        <v>1</v>
      </c>
      <c r="F1157" s="3" t="b">
        <v>0</v>
      </c>
      <c r="G1157" s="3" t="s">
        <v>10003</v>
      </c>
      <c r="H1157" s="4" t="str">
        <f>_xlfn.IFNA(IF(((INDEX(RulebookFields!C2:C1898, MATCH(D1157,RulebookFields!A2:A1898, 0))="")=TRUE),  "",  INDEX(RulebookFields!C2:C1898, MATCH(D1157,RulebookFields!A2:A1898, 0))), "")</f>
        <v>ProcedureResources</v>
      </c>
      <c r="I1157" s="4" t="str">
        <f>_xlfn.IFNA(IF(((INDEX(RulebookFields!D2:D1898, MATCH(D1157,RulebookFields!A2:A1898, 0))="")=TRUE),  "",  INDEX(RulebookFields!D2:D1898, MATCH(D1157,RulebookFields!A2:A1898, 0))), "")</f>
        <v>Resource</v>
      </c>
      <c r="J1157" s="4" t="b">
        <f>_xlfn.IFNA(IF(((INDEX(RulebookFields!I2:I1898, MATCH(D1157,RulebookFields!A2:A1898, 0))="")=TRUE),  "",  INDEX(RulebookFields!I2:I1898, MATCH(D1157,RulebookFields!A2:A1898, 0))), "")</f>
        <v>0</v>
      </c>
      <c r="K1157" s="4" t="b">
        <f>AND(((F1157)=TRUE), ((J1157)=TRUE))</f>
        <v>0</v>
      </c>
      <c r="L1157" s="4" t="b">
        <f>AND(((G1157 &lt;&gt; "plain")=TRUE), ((G1157 &lt;&gt; "")=TRUE))</f>
        <v>0</v>
      </c>
      <c r="M1157" s="4" t="str">
        <f>IF(((E1157)=TRUE),  C1157 &amp; "|" &amp; H1157,  "")</f>
        <v>principal-process-steward|ProcedureResources</v>
      </c>
      <c r="N1157" s="3" t="s">
        <v>10004</v>
      </c>
    </row>
    <row r="1158">
      <c r="A1158" s="3" t="s">
        <v>11160</v>
      </c>
      <c r="B1158" s="4" t="str">
        <f>C1158 &amp; " -&gt; " &amp; D1158</f>
        <v>principal-process-steward -&gt; ProcedureResources.Relation</v>
      </c>
      <c r="C1158" s="3" t="s">
        <v>9772</v>
      </c>
      <c r="D1158" s="3" t="s">
        <v>3192</v>
      </c>
      <c r="E1158" s="3" t="b">
        <v>1</v>
      </c>
      <c r="F1158" s="3" t="b">
        <v>0</v>
      </c>
      <c r="G1158" s="3" t="s">
        <v>10003</v>
      </c>
      <c r="H1158" s="4" t="str">
        <f>_xlfn.IFNA(IF(((INDEX(RulebookFields!C2:C1898, MATCH(D1158,RulebookFields!A2:A1898, 0))="")=TRUE),  "",  INDEX(RulebookFields!C2:C1898, MATCH(D1158,RulebookFields!A2:A1898, 0))), "")</f>
        <v>ProcedureResources</v>
      </c>
      <c r="I1158" s="4" t="str">
        <f>_xlfn.IFNA(IF(((INDEX(RulebookFields!D2:D1898, MATCH(D1158,RulebookFields!A2:A1898, 0))="")=TRUE),  "",  INDEX(RulebookFields!D2:D1898, MATCH(D1158,RulebookFields!A2:A1898, 0))), "")</f>
        <v>Relation</v>
      </c>
      <c r="J1158" s="4" t="b">
        <f>_xlfn.IFNA(IF(((INDEX(RulebookFields!I2:I1898, MATCH(D1158,RulebookFields!A2:A1898, 0))="")=TRUE),  "",  INDEX(RulebookFields!I2:I1898, MATCH(D1158,RulebookFields!A2:A1898, 0))), "")</f>
        <v>0</v>
      </c>
      <c r="K1158" s="4" t="b">
        <f>AND(((F1158)=TRUE), ((J1158)=TRUE))</f>
        <v>0</v>
      </c>
      <c r="L1158" s="4" t="b">
        <f>AND(((G1158 &lt;&gt; "plain")=TRUE), ((G1158 &lt;&gt; "")=TRUE))</f>
        <v>0</v>
      </c>
      <c r="M1158" s="4" t="str">
        <f>IF(((E1158)=TRUE),  C1158 &amp; "|" &amp; H1158,  "")</f>
        <v>principal-process-steward|ProcedureResources</v>
      </c>
      <c r="N1158" s="3" t="s">
        <v>10004</v>
      </c>
    </row>
    <row r="1159">
      <c r="A1159" s="3" t="s">
        <v>11161</v>
      </c>
      <c r="B1159" s="4" t="str">
        <f>C1159 &amp; " -&gt; " &amp; D1159</f>
        <v>principal-process-steward -&gt; ProcedureResources.RelationIri</v>
      </c>
      <c r="C1159" s="3" t="s">
        <v>9772</v>
      </c>
      <c r="D1159" s="3" t="s">
        <v>3193</v>
      </c>
      <c r="E1159" s="3" t="b">
        <v>1</v>
      </c>
      <c r="F1159" s="3" t="b">
        <v>0</v>
      </c>
      <c r="G1159" s="3" t="s">
        <v>10003</v>
      </c>
      <c r="H1159" s="4" t="str">
        <f>_xlfn.IFNA(IF(((INDEX(RulebookFields!C2:C1898, MATCH(D1159,RulebookFields!A2:A1898, 0))="")=TRUE),  "",  INDEX(RulebookFields!C2:C1898, MATCH(D1159,RulebookFields!A2:A1898, 0))), "")</f>
        <v>ProcedureResources</v>
      </c>
      <c r="I1159" s="4" t="str">
        <f>_xlfn.IFNA(IF(((INDEX(RulebookFields!D2:D1898, MATCH(D1159,RulebookFields!A2:A1898, 0))="")=TRUE),  "",  INDEX(RulebookFields!D2:D1898, MATCH(D1159,RulebookFields!A2:A1898, 0))), "")</f>
        <v>RelationIri</v>
      </c>
      <c r="J1159" s="4" t="b">
        <f>_xlfn.IFNA(IF(((INDEX(RulebookFields!I2:I1898, MATCH(D1159,RulebookFields!A2:A1898, 0))="")=TRUE),  "",  INDEX(RulebookFields!I2:I1898, MATCH(D1159,RulebookFields!A2:A1898, 0))), "")</f>
        <v>1</v>
      </c>
      <c r="K1159" s="4" t="b">
        <f>AND(((F1159)=TRUE), ((J1159)=TRUE))</f>
        <v>0</v>
      </c>
      <c r="L1159" s="4" t="b">
        <f>AND(((G1159 &lt;&gt; "plain")=TRUE), ((G1159 &lt;&gt; "")=TRUE))</f>
        <v>0</v>
      </c>
      <c r="M1159" s="4" t="str">
        <f>IF(((E1159)=TRUE),  C1159 &amp; "|" &amp; H1159,  "")</f>
        <v>principal-process-steward|ProcedureResources</v>
      </c>
      <c r="N1159" s="3" t="s">
        <v>10004</v>
      </c>
    </row>
    <row r="1160">
      <c r="A1160" s="3" t="s">
        <v>11162</v>
      </c>
      <c r="B1160" s="4" t="str">
        <f>C1160 &amp; " -&gt; " &amp; D1160</f>
        <v>principal-process-steward -&gt; ProcedureStatusChanges.ProcedureStatusChangeId</v>
      </c>
      <c r="C1160" s="3" t="s">
        <v>9772</v>
      </c>
      <c r="D1160" s="3" t="s">
        <v>2860</v>
      </c>
      <c r="E1160" s="3" t="b">
        <v>1</v>
      </c>
      <c r="F1160" s="3" t="b">
        <v>0</v>
      </c>
      <c r="G1160" s="3" t="s">
        <v>10003</v>
      </c>
      <c r="H1160" s="4" t="str">
        <f>_xlfn.IFNA(IF(((INDEX(RulebookFields!C2:C1898, MATCH(D1160,RulebookFields!A2:A1898, 0))="")=TRUE),  "",  INDEX(RulebookFields!C2:C1898, MATCH(D1160,RulebookFields!A2:A1898, 0))), "")</f>
        <v>ProcedureStatusChanges</v>
      </c>
      <c r="I1160" s="4" t="str">
        <f>_xlfn.IFNA(IF(((INDEX(RulebookFields!D2:D1898, MATCH(D1160,RulebookFields!A2:A1898, 0))="")=TRUE),  "",  INDEX(RulebookFields!D2:D1898, MATCH(D1160,RulebookFields!A2:A1898, 0))), "")</f>
        <v>ProcedureStatusChangeId</v>
      </c>
      <c r="J1160" s="4" t="b">
        <f>_xlfn.IFNA(IF(((INDEX(RulebookFields!I2:I1898, MATCH(D1160,RulebookFields!A2:A1898, 0))="")=TRUE),  "",  INDEX(RulebookFields!I2:I1898, MATCH(D1160,RulebookFields!A2:A1898, 0))), "")</f>
        <v>0</v>
      </c>
      <c r="K1160" s="4" t="b">
        <f>AND(((F1160)=TRUE), ((J1160)=TRUE))</f>
        <v>0</v>
      </c>
      <c r="L1160" s="4" t="b">
        <f>AND(((G1160 &lt;&gt; "plain")=TRUE), ((G1160 &lt;&gt; "")=TRUE))</f>
        <v>0</v>
      </c>
      <c r="M1160" s="4" t="str">
        <f>IF(((E1160)=TRUE),  C1160 &amp; "|" &amp; H1160,  "")</f>
        <v>principal-process-steward|ProcedureStatusChanges</v>
      </c>
      <c r="N1160" s="3" t="s">
        <v>10004</v>
      </c>
    </row>
    <row r="1161">
      <c r="A1161" s="3" t="s">
        <v>11163</v>
      </c>
      <c r="B1161" s="4" t="str">
        <f>C1161 &amp; " -&gt; " &amp; D1161</f>
        <v>principal-process-steward -&gt; ProcedureStatusChanges.Name</v>
      </c>
      <c r="C1161" s="3" t="s">
        <v>9772</v>
      </c>
      <c r="D1161" s="3" t="s">
        <v>2861</v>
      </c>
      <c r="E1161" s="3" t="b">
        <v>1</v>
      </c>
      <c r="F1161" s="3" t="b">
        <v>0</v>
      </c>
      <c r="G1161" s="3" t="s">
        <v>10003</v>
      </c>
      <c r="H1161" s="4" t="str">
        <f>_xlfn.IFNA(IF(((INDEX(RulebookFields!C2:C1898, MATCH(D1161,RulebookFields!A2:A1898, 0))="")=TRUE),  "",  INDEX(RulebookFields!C2:C1898, MATCH(D1161,RulebookFields!A2:A1898, 0))), "")</f>
        <v>ProcedureStatusChanges</v>
      </c>
      <c r="I1161" s="4" t="str">
        <f>_xlfn.IFNA(IF(((INDEX(RulebookFields!D2:D1898, MATCH(D1161,RulebookFields!A2:A1898, 0))="")=TRUE),  "",  INDEX(RulebookFields!D2:D1898, MATCH(D1161,RulebookFields!A2:A1898, 0))), "")</f>
        <v>Name</v>
      </c>
      <c r="J1161" s="4" t="b">
        <f>_xlfn.IFNA(IF(((INDEX(RulebookFields!I2:I1898, MATCH(D1161,RulebookFields!A2:A1898, 0))="")=TRUE),  "",  INDEX(RulebookFields!I2:I1898, MATCH(D1161,RulebookFields!A2:A1898, 0))), "")</f>
        <v>1</v>
      </c>
      <c r="K1161" s="4" t="b">
        <f>AND(((F1161)=TRUE), ((J1161)=TRUE))</f>
        <v>0</v>
      </c>
      <c r="L1161" s="4" t="b">
        <f>AND(((G1161 &lt;&gt; "plain")=TRUE), ((G1161 &lt;&gt; "")=TRUE))</f>
        <v>0</v>
      </c>
      <c r="M1161" s="4" t="str">
        <f>IF(((E1161)=TRUE),  C1161 &amp; "|" &amp; H1161,  "")</f>
        <v>principal-process-steward|ProcedureStatusChanges</v>
      </c>
      <c r="N1161" s="3" t="s">
        <v>10004</v>
      </c>
    </row>
    <row r="1162">
      <c r="A1162" s="3" t="s">
        <v>11164</v>
      </c>
      <c r="B1162" s="4" t="str">
        <f>C1162 &amp; " -&gt; " &amp; D1162</f>
        <v>principal-process-steward -&gt; ProcedureStatusChanges.ProcedureVersion</v>
      </c>
      <c r="C1162" s="3" t="s">
        <v>9772</v>
      </c>
      <c r="D1162" s="3" t="s">
        <v>2863</v>
      </c>
      <c r="E1162" s="3" t="b">
        <v>1</v>
      </c>
      <c r="F1162" s="3" t="b">
        <v>0</v>
      </c>
      <c r="G1162" s="3" t="s">
        <v>10003</v>
      </c>
      <c r="H1162" s="4" t="str">
        <f>_xlfn.IFNA(IF(((INDEX(RulebookFields!C2:C1898, MATCH(D1162,RulebookFields!A2:A1898, 0))="")=TRUE),  "",  INDEX(RulebookFields!C2:C1898, MATCH(D1162,RulebookFields!A2:A1898, 0))), "")</f>
        <v>ProcedureStatusChanges</v>
      </c>
      <c r="I1162" s="4" t="str">
        <f>_xlfn.IFNA(IF(((INDEX(RulebookFields!D2:D1898, MATCH(D1162,RulebookFields!A2:A1898, 0))="")=TRUE),  "",  INDEX(RulebookFields!D2:D1898, MATCH(D1162,RulebookFields!A2:A1898, 0))), "")</f>
        <v>ProcedureVersion</v>
      </c>
      <c r="J1162" s="4" t="b">
        <f>_xlfn.IFNA(IF(((INDEX(RulebookFields!I2:I1898, MATCH(D1162,RulebookFields!A2:A1898, 0))="")=TRUE),  "",  INDEX(RulebookFields!I2:I1898, MATCH(D1162,RulebookFields!A2:A1898, 0))), "")</f>
        <v>0</v>
      </c>
      <c r="K1162" s="4" t="b">
        <f>AND(((F1162)=TRUE), ((J1162)=TRUE))</f>
        <v>0</v>
      </c>
      <c r="L1162" s="4" t="b">
        <f>AND(((G1162 &lt;&gt; "plain")=TRUE), ((G1162 &lt;&gt; "")=TRUE))</f>
        <v>0</v>
      </c>
      <c r="M1162" s="4" t="str">
        <f>IF(((E1162)=TRUE),  C1162 &amp; "|" &amp; H1162,  "")</f>
        <v>principal-process-steward|ProcedureStatusChanges</v>
      </c>
      <c r="N1162" s="3" t="s">
        <v>10004</v>
      </c>
    </row>
    <row r="1163">
      <c r="A1163" s="3" t="s">
        <v>11165</v>
      </c>
      <c r="B1163" s="4" t="str">
        <f>C1163 &amp; " -&gt; " &amp; D1163</f>
        <v>principal-process-steward -&gt; ProcedureStatusChanges.FromStatus</v>
      </c>
      <c r="C1163" s="3" t="s">
        <v>9772</v>
      </c>
      <c r="D1163" s="3" t="s">
        <v>2864</v>
      </c>
      <c r="E1163" s="3" t="b">
        <v>1</v>
      </c>
      <c r="F1163" s="3" t="b">
        <v>0</v>
      </c>
      <c r="G1163" s="3" t="s">
        <v>10003</v>
      </c>
      <c r="H1163" s="4" t="str">
        <f>_xlfn.IFNA(IF(((INDEX(RulebookFields!C2:C1898, MATCH(D1163,RulebookFields!A2:A1898, 0))="")=TRUE),  "",  INDEX(RulebookFields!C2:C1898, MATCH(D1163,RulebookFields!A2:A1898, 0))), "")</f>
        <v>ProcedureStatusChanges</v>
      </c>
      <c r="I1163" s="4" t="str">
        <f>_xlfn.IFNA(IF(((INDEX(RulebookFields!D2:D1898, MATCH(D1163,RulebookFields!A2:A1898, 0))="")=TRUE),  "",  INDEX(RulebookFields!D2:D1898, MATCH(D1163,RulebookFields!A2:A1898, 0))), "")</f>
        <v>FromStatus</v>
      </c>
      <c r="J1163" s="4" t="b">
        <f>_xlfn.IFNA(IF(((INDEX(RulebookFields!I2:I1898, MATCH(D1163,RulebookFields!A2:A1898, 0))="")=TRUE),  "",  INDEX(RulebookFields!I2:I1898, MATCH(D1163,RulebookFields!A2:A1898, 0))), "")</f>
        <v>0</v>
      </c>
      <c r="K1163" s="4" t="b">
        <f>AND(((F1163)=TRUE), ((J1163)=TRUE))</f>
        <v>0</v>
      </c>
      <c r="L1163" s="4" t="b">
        <f>AND(((G1163 &lt;&gt; "plain")=TRUE), ((G1163 &lt;&gt; "")=TRUE))</f>
        <v>0</v>
      </c>
      <c r="M1163" s="4" t="str">
        <f>IF(((E1163)=TRUE),  C1163 &amp; "|" &amp; H1163,  "")</f>
        <v>principal-process-steward|ProcedureStatusChanges</v>
      </c>
      <c r="N1163" s="3" t="s">
        <v>10004</v>
      </c>
    </row>
    <row r="1164">
      <c r="A1164" s="3" t="s">
        <v>11166</v>
      </c>
      <c r="B1164" s="4" t="str">
        <f>C1164 &amp; " -&gt; " &amp; D1164</f>
        <v>principal-process-steward -&gt; ProcedureStatusChanges.ToStatus</v>
      </c>
      <c r="C1164" s="3" t="s">
        <v>9772</v>
      </c>
      <c r="D1164" s="3" t="s">
        <v>2865</v>
      </c>
      <c r="E1164" s="3" t="b">
        <v>1</v>
      </c>
      <c r="F1164" s="3" t="b">
        <v>0</v>
      </c>
      <c r="G1164" s="3" t="s">
        <v>10003</v>
      </c>
      <c r="H1164" s="4" t="str">
        <f>_xlfn.IFNA(IF(((INDEX(RulebookFields!C2:C1898, MATCH(D1164,RulebookFields!A2:A1898, 0))="")=TRUE),  "",  INDEX(RulebookFields!C2:C1898, MATCH(D1164,RulebookFields!A2:A1898, 0))), "")</f>
        <v>ProcedureStatusChanges</v>
      </c>
      <c r="I1164" s="4" t="str">
        <f>_xlfn.IFNA(IF(((INDEX(RulebookFields!D2:D1898, MATCH(D1164,RulebookFields!A2:A1898, 0))="")=TRUE),  "",  INDEX(RulebookFields!D2:D1898, MATCH(D1164,RulebookFields!A2:A1898, 0))), "")</f>
        <v>ToStatus</v>
      </c>
      <c r="J1164" s="4" t="b">
        <f>_xlfn.IFNA(IF(((INDEX(RulebookFields!I2:I1898, MATCH(D1164,RulebookFields!A2:A1898, 0))="")=TRUE),  "",  INDEX(RulebookFields!I2:I1898, MATCH(D1164,RulebookFields!A2:A1898, 0))), "")</f>
        <v>0</v>
      </c>
      <c r="K1164" s="4" t="b">
        <f>AND(((F1164)=TRUE), ((J1164)=TRUE))</f>
        <v>0</v>
      </c>
      <c r="L1164" s="4" t="b">
        <f>AND(((G1164 &lt;&gt; "plain")=TRUE), ((G1164 &lt;&gt; "")=TRUE))</f>
        <v>0</v>
      </c>
      <c r="M1164" s="4" t="str">
        <f>IF(((E1164)=TRUE),  C1164 &amp; "|" &amp; H1164,  "")</f>
        <v>principal-process-steward|ProcedureStatusChanges</v>
      </c>
      <c r="N1164" s="3" t="s">
        <v>10004</v>
      </c>
    </row>
    <row r="1165">
      <c r="A1165" s="3" t="s">
        <v>11167</v>
      </c>
      <c r="B1165" s="4" t="str">
        <f>C1165 &amp; " -&gt; " &amp; D1165</f>
        <v>principal-process-steward -&gt; ProcedureStatusChanges.ChangedAt</v>
      </c>
      <c r="C1165" s="3" t="s">
        <v>9772</v>
      </c>
      <c r="D1165" s="3" t="s">
        <v>2866</v>
      </c>
      <c r="E1165" s="3" t="b">
        <v>1</v>
      </c>
      <c r="F1165" s="3" t="b">
        <v>0</v>
      </c>
      <c r="G1165" s="3" t="s">
        <v>10003</v>
      </c>
      <c r="H1165" s="4" t="str">
        <f>_xlfn.IFNA(IF(((INDEX(RulebookFields!C2:C1898, MATCH(D1165,RulebookFields!A2:A1898, 0))="")=TRUE),  "",  INDEX(RulebookFields!C2:C1898, MATCH(D1165,RulebookFields!A2:A1898, 0))), "")</f>
        <v>ProcedureStatusChanges</v>
      </c>
      <c r="I1165" s="4" t="str">
        <f>_xlfn.IFNA(IF(((INDEX(RulebookFields!D2:D1898, MATCH(D1165,RulebookFields!A2:A1898, 0))="")=TRUE),  "",  INDEX(RulebookFields!D2:D1898, MATCH(D1165,RulebookFields!A2:A1898, 0))), "")</f>
        <v>ChangedAt</v>
      </c>
      <c r="J1165" s="4" t="b">
        <f>_xlfn.IFNA(IF(((INDEX(RulebookFields!I2:I1898, MATCH(D1165,RulebookFields!A2:A1898, 0))="")=TRUE),  "",  INDEX(RulebookFields!I2:I1898, MATCH(D1165,RulebookFields!A2:A1898, 0))), "")</f>
        <v>0</v>
      </c>
      <c r="K1165" s="4" t="b">
        <f>AND(((F1165)=TRUE), ((J1165)=TRUE))</f>
        <v>0</v>
      </c>
      <c r="L1165" s="4" t="b">
        <f>AND(((G1165 &lt;&gt; "plain")=TRUE), ((G1165 &lt;&gt; "")=TRUE))</f>
        <v>0</v>
      </c>
      <c r="M1165" s="4" t="str">
        <f>IF(((E1165)=TRUE),  C1165 &amp; "|" &amp; H1165,  "")</f>
        <v>principal-process-steward|ProcedureStatusChanges</v>
      </c>
      <c r="N1165" s="3" t="s">
        <v>10004</v>
      </c>
    </row>
    <row r="1166">
      <c r="A1166" s="3" t="s">
        <v>11168</v>
      </c>
      <c r="B1166" s="4" t="str">
        <f>C1166 &amp; " -&gt; " &amp; D1166</f>
        <v>principal-process-steward -&gt; ProcedureStatusChanges.ChangedByAgent</v>
      </c>
      <c r="C1166" s="3" t="s">
        <v>9772</v>
      </c>
      <c r="D1166" s="3" t="s">
        <v>2867</v>
      </c>
      <c r="E1166" s="3" t="b">
        <v>1</v>
      </c>
      <c r="F1166" s="3" t="b">
        <v>0</v>
      </c>
      <c r="G1166" s="3" t="s">
        <v>10003</v>
      </c>
      <c r="H1166" s="4" t="str">
        <f>_xlfn.IFNA(IF(((INDEX(RulebookFields!C2:C1898, MATCH(D1166,RulebookFields!A2:A1898, 0))="")=TRUE),  "",  INDEX(RulebookFields!C2:C1898, MATCH(D1166,RulebookFields!A2:A1898, 0))), "")</f>
        <v>ProcedureStatusChanges</v>
      </c>
      <c r="I1166" s="4" t="str">
        <f>_xlfn.IFNA(IF(((INDEX(RulebookFields!D2:D1898, MATCH(D1166,RulebookFields!A2:A1898, 0))="")=TRUE),  "",  INDEX(RulebookFields!D2:D1898, MATCH(D1166,RulebookFields!A2:A1898, 0))), "")</f>
        <v>ChangedByAgent</v>
      </c>
      <c r="J1166" s="4" t="b">
        <f>_xlfn.IFNA(IF(((INDEX(RulebookFields!I2:I1898, MATCH(D1166,RulebookFields!A2:A1898, 0))="")=TRUE),  "",  INDEX(RulebookFields!I2:I1898, MATCH(D1166,RulebookFields!A2:A1898, 0))), "")</f>
        <v>0</v>
      </c>
      <c r="K1166" s="4" t="b">
        <f>AND(((F1166)=TRUE), ((J1166)=TRUE))</f>
        <v>0</v>
      </c>
      <c r="L1166" s="4" t="b">
        <f>AND(((G1166 &lt;&gt; "plain")=TRUE), ((G1166 &lt;&gt; "")=TRUE))</f>
        <v>0</v>
      </c>
      <c r="M1166" s="4" t="str">
        <f>IF(((E1166)=TRUE),  C1166 &amp; "|" &amp; H1166,  "")</f>
        <v>principal-process-steward|ProcedureStatusChanges</v>
      </c>
      <c r="N1166" s="3" t="s">
        <v>10004</v>
      </c>
    </row>
    <row r="1167">
      <c r="A1167" s="3" t="s">
        <v>11169</v>
      </c>
      <c r="B1167" s="4" t="str">
        <f>C1167 &amp; " -&gt; " &amp; D1167</f>
        <v>principal-process-steward -&gt; ProcedureStatusChanges.Motivation</v>
      </c>
      <c r="C1167" s="3" t="s">
        <v>9772</v>
      </c>
      <c r="D1167" s="3" t="s">
        <v>2868</v>
      </c>
      <c r="E1167" s="3" t="b">
        <v>1</v>
      </c>
      <c r="F1167" s="3" t="b">
        <v>0</v>
      </c>
      <c r="G1167" s="3" t="s">
        <v>10003</v>
      </c>
      <c r="H1167" s="4" t="str">
        <f>_xlfn.IFNA(IF(((INDEX(RulebookFields!C2:C1898, MATCH(D1167,RulebookFields!A2:A1898, 0))="")=TRUE),  "",  INDEX(RulebookFields!C2:C1898, MATCH(D1167,RulebookFields!A2:A1898, 0))), "")</f>
        <v>ProcedureStatusChanges</v>
      </c>
      <c r="I1167" s="4" t="str">
        <f>_xlfn.IFNA(IF(((INDEX(RulebookFields!D2:D1898, MATCH(D1167,RulebookFields!A2:A1898, 0))="")=TRUE),  "",  INDEX(RulebookFields!D2:D1898, MATCH(D1167,RulebookFields!A2:A1898, 0))), "")</f>
        <v>Motivation</v>
      </c>
      <c r="J1167" s="4" t="b">
        <f>_xlfn.IFNA(IF(((INDEX(RulebookFields!I2:I1898, MATCH(D1167,RulebookFields!A2:A1898, 0))="")=TRUE),  "",  INDEX(RulebookFields!I2:I1898, MATCH(D1167,RulebookFields!A2:A1898, 0))), "")</f>
        <v>0</v>
      </c>
      <c r="K1167" s="4" t="b">
        <f>AND(((F1167)=TRUE), ((J1167)=TRUE))</f>
        <v>0</v>
      </c>
      <c r="L1167" s="4" t="b">
        <f>AND(((G1167 &lt;&gt; "plain")=TRUE), ((G1167 &lt;&gt; "")=TRUE))</f>
        <v>0</v>
      </c>
      <c r="M1167" s="4" t="str">
        <f>IF(((E1167)=TRUE),  C1167 &amp; "|" &amp; H1167,  "")</f>
        <v>principal-process-steward|ProcedureStatusChanges</v>
      </c>
      <c r="N1167" s="3" t="s">
        <v>10004</v>
      </c>
    </row>
    <row r="1168">
      <c r="A1168" s="3" t="s">
        <v>11170</v>
      </c>
      <c r="B1168" s="4" t="str">
        <f>C1168 &amp; " -&gt; " &amp; D1168</f>
        <v>principal-process-steward -&gt; ProcedureStatusChanges.SemanticTypeIri</v>
      </c>
      <c r="C1168" s="3" t="s">
        <v>9772</v>
      </c>
      <c r="D1168" s="3" t="s">
        <v>2869</v>
      </c>
      <c r="E1168" s="3" t="b">
        <v>1</v>
      </c>
      <c r="F1168" s="3" t="b">
        <v>0</v>
      </c>
      <c r="G1168" s="3" t="s">
        <v>10003</v>
      </c>
      <c r="H1168" s="4" t="str">
        <f>_xlfn.IFNA(IF(((INDEX(RulebookFields!C2:C1898, MATCH(D1168,RulebookFields!A2:A1898, 0))="")=TRUE),  "",  INDEX(RulebookFields!C2:C1898, MATCH(D1168,RulebookFields!A2:A1898, 0))), "")</f>
        <v>ProcedureStatusChanges</v>
      </c>
      <c r="I1168" s="4" t="str">
        <f>_xlfn.IFNA(IF(((INDEX(RulebookFields!D2:D1898, MATCH(D1168,RulebookFields!A2:A1898, 0))="")=TRUE),  "",  INDEX(RulebookFields!D2:D1898, MATCH(D1168,RulebookFields!A2:A1898, 0))), "")</f>
        <v>SemanticTypeIri</v>
      </c>
      <c r="J1168" s="4" t="b">
        <f>_xlfn.IFNA(IF(((INDEX(RulebookFields!I2:I1898, MATCH(D1168,RulebookFields!A2:A1898, 0))="")=TRUE),  "",  INDEX(RulebookFields!I2:I1898, MATCH(D1168,RulebookFields!A2:A1898, 0))), "")</f>
        <v>0</v>
      </c>
      <c r="K1168" s="4" t="b">
        <f>AND(((F1168)=TRUE), ((J1168)=TRUE))</f>
        <v>0</v>
      </c>
      <c r="L1168" s="4" t="b">
        <f>AND(((G1168 &lt;&gt; "plain")=TRUE), ((G1168 &lt;&gt; "")=TRUE))</f>
        <v>0</v>
      </c>
      <c r="M1168" s="4" t="str">
        <f>IF(((E1168)=TRUE),  C1168 &amp; "|" &amp; H1168,  "")</f>
        <v>principal-process-steward|ProcedureStatusChanges</v>
      </c>
      <c r="N1168" s="3" t="s">
        <v>10004</v>
      </c>
    </row>
    <row r="1169">
      <c r="A1169" s="3" t="s">
        <v>11171</v>
      </c>
      <c r="B1169" s="4" t="str">
        <f>C1169 &amp; " -&gt; " &amp; D1169</f>
        <v>principal-process-steward -&gt; ProcedureTypes.ProcedureTypeId</v>
      </c>
      <c r="C1169" s="3" t="s">
        <v>9772</v>
      </c>
      <c r="D1169" s="3" t="s">
        <v>2675</v>
      </c>
      <c r="E1169" s="3" t="b">
        <v>1</v>
      </c>
      <c r="F1169" s="3" t="b">
        <v>0</v>
      </c>
      <c r="G1169" s="3" t="s">
        <v>10003</v>
      </c>
      <c r="H1169" s="4" t="str">
        <f>_xlfn.IFNA(IF(((INDEX(RulebookFields!C2:C1898, MATCH(D1169,RulebookFields!A2:A1898, 0))="")=TRUE),  "",  INDEX(RulebookFields!C2:C1898, MATCH(D1169,RulebookFields!A2:A1898, 0))), "")</f>
        <v>ProcedureTypes</v>
      </c>
      <c r="I1169" s="4" t="str">
        <f>_xlfn.IFNA(IF(((INDEX(RulebookFields!D2:D1898, MATCH(D1169,RulebookFields!A2:A1898, 0))="")=TRUE),  "",  INDEX(RulebookFields!D2:D1898, MATCH(D1169,RulebookFields!A2:A1898, 0))), "")</f>
        <v>ProcedureTypeId</v>
      </c>
      <c r="J1169" s="4" t="b">
        <f>_xlfn.IFNA(IF(((INDEX(RulebookFields!I2:I1898, MATCH(D1169,RulebookFields!A2:A1898, 0))="")=TRUE),  "",  INDEX(RulebookFields!I2:I1898, MATCH(D1169,RulebookFields!A2:A1898, 0))), "")</f>
        <v>0</v>
      </c>
      <c r="K1169" s="4" t="b">
        <f>AND(((F1169)=TRUE), ((J1169)=TRUE))</f>
        <v>0</v>
      </c>
      <c r="L1169" s="4" t="b">
        <f>AND(((G1169 &lt;&gt; "plain")=TRUE), ((G1169 &lt;&gt; "")=TRUE))</f>
        <v>0</v>
      </c>
      <c r="M1169" s="4" t="str">
        <f>IF(((E1169)=TRUE),  C1169 &amp; "|" &amp; H1169,  "")</f>
        <v>principal-process-steward|ProcedureTypes</v>
      </c>
      <c r="N1169" s="3" t="s">
        <v>10004</v>
      </c>
    </row>
    <row r="1170">
      <c r="A1170" s="3" t="s">
        <v>11172</v>
      </c>
      <c r="B1170" s="4" t="str">
        <f>C1170 &amp; " -&gt; " &amp; D1170</f>
        <v>principal-process-steward -&gt; ProcedureTypes.Name</v>
      </c>
      <c r="C1170" s="3" t="s">
        <v>9772</v>
      </c>
      <c r="D1170" s="3" t="s">
        <v>2677</v>
      </c>
      <c r="E1170" s="3" t="b">
        <v>1</v>
      </c>
      <c r="F1170" s="3" t="b">
        <v>0</v>
      </c>
      <c r="G1170" s="3" t="s">
        <v>10003</v>
      </c>
      <c r="H1170" s="4" t="str">
        <f>_xlfn.IFNA(IF(((INDEX(RulebookFields!C2:C1898, MATCH(D1170,RulebookFields!A2:A1898, 0))="")=TRUE),  "",  INDEX(RulebookFields!C2:C1898, MATCH(D1170,RulebookFields!A2:A1898, 0))), "")</f>
        <v>ProcedureTypes</v>
      </c>
      <c r="I1170" s="4" t="str">
        <f>_xlfn.IFNA(IF(((INDEX(RulebookFields!D2:D1898, MATCH(D1170,RulebookFields!A2:A1898, 0))="")=TRUE),  "",  INDEX(RulebookFields!D2:D1898, MATCH(D1170,RulebookFields!A2:A1898, 0))), "")</f>
        <v>Name</v>
      </c>
      <c r="J1170" s="4" t="b">
        <f>_xlfn.IFNA(IF(((INDEX(RulebookFields!I2:I1898, MATCH(D1170,RulebookFields!A2:A1898, 0))="")=TRUE),  "",  INDEX(RulebookFields!I2:I1898, MATCH(D1170,RulebookFields!A2:A1898, 0))), "")</f>
        <v>1</v>
      </c>
      <c r="K1170" s="4" t="b">
        <f>AND(((F1170)=TRUE), ((J1170)=TRUE))</f>
        <v>0</v>
      </c>
      <c r="L1170" s="4" t="b">
        <f>AND(((G1170 &lt;&gt; "plain")=TRUE), ((G1170 &lt;&gt; "")=TRUE))</f>
        <v>0</v>
      </c>
      <c r="M1170" s="4" t="str">
        <f>IF(((E1170)=TRUE),  C1170 &amp; "|" &amp; H1170,  "")</f>
        <v>principal-process-steward|ProcedureTypes</v>
      </c>
      <c r="N1170" s="3" t="s">
        <v>10004</v>
      </c>
    </row>
    <row r="1171">
      <c r="A1171" s="3" t="s">
        <v>11173</v>
      </c>
      <c r="B1171" s="4" t="str">
        <f>C1171 &amp; " -&gt; " &amp; D1171</f>
        <v>principal-process-steward -&gt; ProcedureTypes.Label</v>
      </c>
      <c r="C1171" s="3" t="s">
        <v>9772</v>
      </c>
      <c r="D1171" s="3" t="s">
        <v>2678</v>
      </c>
      <c r="E1171" s="3" t="b">
        <v>1</v>
      </c>
      <c r="F1171" s="3" t="b">
        <v>0</v>
      </c>
      <c r="G1171" s="3" t="s">
        <v>10003</v>
      </c>
      <c r="H1171" s="4" t="str">
        <f>_xlfn.IFNA(IF(((INDEX(RulebookFields!C2:C1898, MATCH(D1171,RulebookFields!A2:A1898, 0))="")=TRUE),  "",  INDEX(RulebookFields!C2:C1898, MATCH(D1171,RulebookFields!A2:A1898, 0))), "")</f>
        <v>ProcedureTypes</v>
      </c>
      <c r="I1171" s="4" t="str">
        <f>_xlfn.IFNA(IF(((INDEX(RulebookFields!D2:D1898, MATCH(D1171,RulebookFields!A2:A1898, 0))="")=TRUE),  "",  INDEX(RulebookFields!D2:D1898, MATCH(D1171,RulebookFields!A2:A1898, 0))), "")</f>
        <v>Label</v>
      </c>
      <c r="J1171" s="4" t="b">
        <f>_xlfn.IFNA(IF(((INDEX(RulebookFields!I2:I1898, MATCH(D1171,RulebookFields!A2:A1898, 0))="")=TRUE),  "",  INDEX(RulebookFields!I2:I1898, MATCH(D1171,RulebookFields!A2:A1898, 0))), "")</f>
        <v>0</v>
      </c>
      <c r="K1171" s="4" t="b">
        <f>AND(((F1171)=TRUE), ((J1171)=TRUE))</f>
        <v>0</v>
      </c>
      <c r="L1171" s="4" t="b">
        <f>AND(((G1171 &lt;&gt; "plain")=TRUE), ((G1171 &lt;&gt; "")=TRUE))</f>
        <v>0</v>
      </c>
      <c r="M1171" s="4" t="str">
        <f>IF(((E1171)=TRUE),  C1171 &amp; "|" &amp; H1171,  "")</f>
        <v>principal-process-steward|ProcedureTypes</v>
      </c>
      <c r="N1171" s="3" t="s">
        <v>10004</v>
      </c>
    </row>
    <row r="1172">
      <c r="A1172" s="3" t="s">
        <v>11174</v>
      </c>
      <c r="B1172" s="4" t="str">
        <f>C1172 &amp; " -&gt; " &amp; D1172</f>
        <v>principal-process-steward -&gt; ProcedureTypes.Definition</v>
      </c>
      <c r="C1172" s="3" t="s">
        <v>9772</v>
      </c>
      <c r="D1172" s="3" t="s">
        <v>2679</v>
      </c>
      <c r="E1172" s="3" t="b">
        <v>1</v>
      </c>
      <c r="F1172" s="3" t="b">
        <v>0</v>
      </c>
      <c r="G1172" s="3" t="s">
        <v>10003</v>
      </c>
      <c r="H1172" s="4" t="str">
        <f>_xlfn.IFNA(IF(((INDEX(RulebookFields!C2:C1898, MATCH(D1172,RulebookFields!A2:A1898, 0))="")=TRUE),  "",  INDEX(RulebookFields!C2:C1898, MATCH(D1172,RulebookFields!A2:A1898, 0))), "")</f>
        <v>ProcedureTypes</v>
      </c>
      <c r="I1172" s="4" t="str">
        <f>_xlfn.IFNA(IF(((INDEX(RulebookFields!D2:D1898, MATCH(D1172,RulebookFields!A2:A1898, 0))="")=TRUE),  "",  INDEX(RulebookFields!D2:D1898, MATCH(D1172,RulebookFields!A2:A1898, 0))), "")</f>
        <v>Definition</v>
      </c>
      <c r="J1172" s="4" t="b">
        <f>_xlfn.IFNA(IF(((INDEX(RulebookFields!I2:I1898, MATCH(D1172,RulebookFields!A2:A1898, 0))="")=TRUE),  "",  INDEX(RulebookFields!I2:I1898, MATCH(D1172,RulebookFields!A2:A1898, 0))), "")</f>
        <v>0</v>
      </c>
      <c r="K1172" s="4" t="b">
        <f>AND(((F1172)=TRUE), ((J1172)=TRUE))</f>
        <v>0</v>
      </c>
      <c r="L1172" s="4" t="b">
        <f>AND(((G1172 &lt;&gt; "plain")=TRUE), ((G1172 &lt;&gt; "")=TRUE))</f>
        <v>0</v>
      </c>
      <c r="M1172" s="4" t="str">
        <f>IF(((E1172)=TRUE),  C1172 &amp; "|" &amp; H1172,  "")</f>
        <v>principal-process-steward|ProcedureTypes</v>
      </c>
      <c r="N1172" s="3" t="s">
        <v>10004</v>
      </c>
    </row>
    <row r="1173">
      <c r="A1173" s="3" t="s">
        <v>11175</v>
      </c>
      <c r="B1173" s="4" t="str">
        <f>C1173 &amp; " -&gt; " &amp; D1173</f>
        <v>principal-process-steward -&gt; ProcedureTypes.SemanticTypeIri</v>
      </c>
      <c r="C1173" s="3" t="s">
        <v>9772</v>
      </c>
      <c r="D1173" s="3" t="s">
        <v>2680</v>
      </c>
      <c r="E1173" s="3" t="b">
        <v>1</v>
      </c>
      <c r="F1173" s="3" t="b">
        <v>0</v>
      </c>
      <c r="G1173" s="3" t="s">
        <v>10003</v>
      </c>
      <c r="H1173" s="4" t="str">
        <f>_xlfn.IFNA(IF(((INDEX(RulebookFields!C2:C1898, MATCH(D1173,RulebookFields!A2:A1898, 0))="")=TRUE),  "",  INDEX(RulebookFields!C2:C1898, MATCH(D1173,RulebookFields!A2:A1898, 0))), "")</f>
        <v>ProcedureTypes</v>
      </c>
      <c r="I1173" s="4" t="str">
        <f>_xlfn.IFNA(IF(((INDEX(RulebookFields!D2:D1898, MATCH(D1173,RulebookFields!A2:A1898, 0))="")=TRUE),  "",  INDEX(RulebookFields!D2:D1898, MATCH(D1173,RulebookFields!A2:A1898, 0))), "")</f>
        <v>SemanticTypeIri</v>
      </c>
      <c r="J1173" s="4" t="b">
        <f>_xlfn.IFNA(IF(((INDEX(RulebookFields!I2:I1898, MATCH(D1173,RulebookFields!A2:A1898, 0))="")=TRUE),  "",  INDEX(RulebookFields!I2:I1898, MATCH(D1173,RulebookFields!A2:A1898, 0))), "")</f>
        <v>0</v>
      </c>
      <c r="K1173" s="4" t="b">
        <f>AND(((F1173)=TRUE), ((J1173)=TRUE))</f>
        <v>0</v>
      </c>
      <c r="L1173" s="4" t="b">
        <f>AND(((G1173 &lt;&gt; "plain")=TRUE), ((G1173 &lt;&gt; "")=TRUE))</f>
        <v>0</v>
      </c>
      <c r="M1173" s="4" t="str">
        <f>IF(((E1173)=TRUE),  C1173 &amp; "|" &amp; H1173,  "")</f>
        <v>principal-process-steward|ProcedureTypes</v>
      </c>
      <c r="N1173" s="3" t="s">
        <v>10004</v>
      </c>
    </row>
    <row r="1174">
      <c r="A1174" s="3" t="s">
        <v>11176</v>
      </c>
      <c r="B1174" s="4" t="str">
        <f>C1174 &amp; " -&gt; " &amp; D1174</f>
        <v>principal-process-steward -&gt; ProcedureVersionLinks.ProcedureVersionLinkId</v>
      </c>
      <c r="C1174" s="3" t="s">
        <v>9772</v>
      </c>
      <c r="D1174" s="3" t="s">
        <v>2850</v>
      </c>
      <c r="E1174" s="3" t="b">
        <v>1</v>
      </c>
      <c r="F1174" s="3" t="b">
        <v>0</v>
      </c>
      <c r="G1174" s="3" t="s">
        <v>10003</v>
      </c>
      <c r="H1174" s="4" t="str">
        <f>_xlfn.IFNA(IF(((INDEX(RulebookFields!C2:C1898, MATCH(D1174,RulebookFields!A2:A1898, 0))="")=TRUE),  "",  INDEX(RulebookFields!C2:C1898, MATCH(D1174,RulebookFields!A2:A1898, 0))), "")</f>
        <v>ProcedureVersionLinks</v>
      </c>
      <c r="I1174" s="4" t="str">
        <f>_xlfn.IFNA(IF(((INDEX(RulebookFields!D2:D1898, MATCH(D1174,RulebookFields!A2:A1898, 0))="")=TRUE),  "",  INDEX(RulebookFields!D2:D1898, MATCH(D1174,RulebookFields!A2:A1898, 0))), "")</f>
        <v>ProcedureVersionLinkId</v>
      </c>
      <c r="J1174" s="4" t="b">
        <f>_xlfn.IFNA(IF(((INDEX(RulebookFields!I2:I1898, MATCH(D1174,RulebookFields!A2:A1898, 0))="")=TRUE),  "",  INDEX(RulebookFields!I2:I1898, MATCH(D1174,RulebookFields!A2:A1898, 0))), "")</f>
        <v>0</v>
      </c>
      <c r="K1174" s="4" t="b">
        <f>AND(((F1174)=TRUE), ((J1174)=TRUE))</f>
        <v>0</v>
      </c>
      <c r="L1174" s="4" t="b">
        <f>AND(((G1174 &lt;&gt; "plain")=TRUE), ((G1174 &lt;&gt; "")=TRUE))</f>
        <v>0</v>
      </c>
      <c r="M1174" s="4" t="str">
        <f>IF(((E1174)=TRUE),  C1174 &amp; "|" &amp; H1174,  "")</f>
        <v>principal-process-steward|ProcedureVersionLinks</v>
      </c>
      <c r="N1174" s="3" t="s">
        <v>10004</v>
      </c>
    </row>
    <row r="1175">
      <c r="A1175" s="3" t="s">
        <v>11177</v>
      </c>
      <c r="B1175" s="4" t="str">
        <f>C1175 &amp; " -&gt; " &amp; D1175</f>
        <v>principal-process-steward -&gt; ProcedureVersionLinks.Name</v>
      </c>
      <c r="C1175" s="3" t="s">
        <v>9772</v>
      </c>
      <c r="D1175" s="3" t="s">
        <v>2852</v>
      </c>
      <c r="E1175" s="3" t="b">
        <v>1</v>
      </c>
      <c r="F1175" s="3" t="b">
        <v>0</v>
      </c>
      <c r="G1175" s="3" t="s">
        <v>10003</v>
      </c>
      <c r="H1175" s="4" t="str">
        <f>_xlfn.IFNA(IF(((INDEX(RulebookFields!C2:C1898, MATCH(D1175,RulebookFields!A2:A1898, 0))="")=TRUE),  "",  INDEX(RulebookFields!C2:C1898, MATCH(D1175,RulebookFields!A2:A1898, 0))), "")</f>
        <v>ProcedureVersionLinks</v>
      </c>
      <c r="I1175" s="4" t="str">
        <f>_xlfn.IFNA(IF(((INDEX(RulebookFields!D2:D1898, MATCH(D1175,RulebookFields!A2:A1898, 0))="")=TRUE),  "",  INDEX(RulebookFields!D2:D1898, MATCH(D1175,RulebookFields!A2:A1898, 0))), "")</f>
        <v>Name</v>
      </c>
      <c r="J1175" s="4" t="b">
        <f>_xlfn.IFNA(IF(((INDEX(RulebookFields!I2:I1898, MATCH(D1175,RulebookFields!A2:A1898, 0))="")=TRUE),  "",  INDEX(RulebookFields!I2:I1898, MATCH(D1175,RulebookFields!A2:A1898, 0))), "")</f>
        <v>1</v>
      </c>
      <c r="K1175" s="4" t="b">
        <f>AND(((F1175)=TRUE), ((J1175)=TRUE))</f>
        <v>0</v>
      </c>
      <c r="L1175" s="4" t="b">
        <f>AND(((G1175 &lt;&gt; "plain")=TRUE), ((G1175 &lt;&gt; "")=TRUE))</f>
        <v>0</v>
      </c>
      <c r="M1175" s="4" t="str">
        <f>IF(((E1175)=TRUE),  C1175 &amp; "|" &amp; H1175,  "")</f>
        <v>principal-process-steward|ProcedureVersionLinks</v>
      </c>
      <c r="N1175" s="3" t="s">
        <v>10004</v>
      </c>
    </row>
    <row r="1176">
      <c r="A1176" s="3" t="s">
        <v>11178</v>
      </c>
      <c r="B1176" s="4" t="str">
        <f>C1176 &amp; " -&gt; " &amp; D1176</f>
        <v>principal-process-steward -&gt; ProcedureVersionLinks.PreviousProcedureVersion</v>
      </c>
      <c r="C1176" s="3" t="s">
        <v>9772</v>
      </c>
      <c r="D1176" s="3" t="s">
        <v>2854</v>
      </c>
      <c r="E1176" s="3" t="b">
        <v>1</v>
      </c>
      <c r="F1176" s="3" t="b">
        <v>0</v>
      </c>
      <c r="G1176" s="3" t="s">
        <v>10003</v>
      </c>
      <c r="H1176" s="4" t="str">
        <f>_xlfn.IFNA(IF(((INDEX(RulebookFields!C2:C1898, MATCH(D1176,RulebookFields!A2:A1898, 0))="")=TRUE),  "",  INDEX(RulebookFields!C2:C1898, MATCH(D1176,RulebookFields!A2:A1898, 0))), "")</f>
        <v>ProcedureVersionLinks</v>
      </c>
      <c r="I1176" s="4" t="str">
        <f>_xlfn.IFNA(IF(((INDEX(RulebookFields!D2:D1898, MATCH(D1176,RulebookFields!A2:A1898, 0))="")=TRUE),  "",  INDEX(RulebookFields!D2:D1898, MATCH(D1176,RulebookFields!A2:A1898, 0))), "")</f>
        <v>PreviousProcedureVersion</v>
      </c>
      <c r="J1176" s="4" t="b">
        <f>_xlfn.IFNA(IF(((INDEX(RulebookFields!I2:I1898, MATCH(D1176,RulebookFields!A2:A1898, 0))="")=TRUE),  "",  INDEX(RulebookFields!I2:I1898, MATCH(D1176,RulebookFields!A2:A1898, 0))), "")</f>
        <v>0</v>
      </c>
      <c r="K1176" s="4" t="b">
        <f>AND(((F1176)=TRUE), ((J1176)=TRUE))</f>
        <v>0</v>
      </c>
      <c r="L1176" s="4" t="b">
        <f>AND(((G1176 &lt;&gt; "plain")=TRUE), ((G1176 &lt;&gt; "")=TRUE))</f>
        <v>0</v>
      </c>
      <c r="M1176" s="4" t="str">
        <f>IF(((E1176)=TRUE),  C1176 &amp; "|" &amp; H1176,  "")</f>
        <v>principal-process-steward|ProcedureVersionLinks</v>
      </c>
      <c r="N1176" s="3" t="s">
        <v>10004</v>
      </c>
    </row>
    <row r="1177">
      <c r="A1177" s="3" t="s">
        <v>11179</v>
      </c>
      <c r="B1177" s="4" t="str">
        <f>C1177 &amp; " -&gt; " &amp; D1177</f>
        <v>principal-process-steward -&gt; ProcedureVersionLinks.NextProcedureVersion</v>
      </c>
      <c r="C1177" s="3" t="s">
        <v>9772</v>
      </c>
      <c r="D1177" s="3" t="s">
        <v>2855</v>
      </c>
      <c r="E1177" s="3" t="b">
        <v>1</v>
      </c>
      <c r="F1177" s="3" t="b">
        <v>0</v>
      </c>
      <c r="G1177" s="3" t="s">
        <v>10003</v>
      </c>
      <c r="H1177" s="4" t="str">
        <f>_xlfn.IFNA(IF(((INDEX(RulebookFields!C2:C1898, MATCH(D1177,RulebookFields!A2:A1898, 0))="")=TRUE),  "",  INDEX(RulebookFields!C2:C1898, MATCH(D1177,RulebookFields!A2:A1898, 0))), "")</f>
        <v>ProcedureVersionLinks</v>
      </c>
      <c r="I1177" s="4" t="str">
        <f>_xlfn.IFNA(IF(((INDEX(RulebookFields!D2:D1898, MATCH(D1177,RulebookFields!A2:A1898, 0))="")=TRUE),  "",  INDEX(RulebookFields!D2:D1898, MATCH(D1177,RulebookFields!A2:A1898, 0))), "")</f>
        <v>NextProcedureVersion</v>
      </c>
      <c r="J1177" s="4" t="b">
        <f>_xlfn.IFNA(IF(((INDEX(RulebookFields!I2:I1898, MATCH(D1177,RulebookFields!A2:A1898, 0))="")=TRUE),  "",  INDEX(RulebookFields!I2:I1898, MATCH(D1177,RulebookFields!A2:A1898, 0))), "")</f>
        <v>0</v>
      </c>
      <c r="K1177" s="4" t="b">
        <f>AND(((F1177)=TRUE), ((J1177)=TRUE))</f>
        <v>0</v>
      </c>
      <c r="L1177" s="4" t="b">
        <f>AND(((G1177 &lt;&gt; "plain")=TRUE), ((G1177 &lt;&gt; "")=TRUE))</f>
        <v>0</v>
      </c>
      <c r="M1177" s="4" t="str">
        <f>IF(((E1177)=TRUE),  C1177 &amp; "|" &amp; H1177,  "")</f>
        <v>principal-process-steward|ProcedureVersionLinks</v>
      </c>
      <c r="N1177" s="3" t="s">
        <v>10004</v>
      </c>
    </row>
    <row r="1178">
      <c r="A1178" s="3" t="s">
        <v>11180</v>
      </c>
      <c r="B1178" s="4" t="str">
        <f>C1178 &amp; " -&gt; " &amp; D1178</f>
        <v>principal-process-steward -&gt; ProcedureVersionLinks.RelationIri</v>
      </c>
      <c r="C1178" s="3" t="s">
        <v>9772</v>
      </c>
      <c r="D1178" s="3" t="s">
        <v>2856</v>
      </c>
      <c r="E1178" s="3" t="b">
        <v>1</v>
      </c>
      <c r="F1178" s="3" t="b">
        <v>0</v>
      </c>
      <c r="G1178" s="3" t="s">
        <v>10003</v>
      </c>
      <c r="H1178" s="4" t="str">
        <f>_xlfn.IFNA(IF(((INDEX(RulebookFields!C2:C1898, MATCH(D1178,RulebookFields!A2:A1898, 0))="")=TRUE),  "",  INDEX(RulebookFields!C2:C1898, MATCH(D1178,RulebookFields!A2:A1898, 0))), "")</f>
        <v>ProcedureVersionLinks</v>
      </c>
      <c r="I1178" s="4" t="str">
        <f>_xlfn.IFNA(IF(((INDEX(RulebookFields!D2:D1898, MATCH(D1178,RulebookFields!A2:A1898, 0))="")=TRUE),  "",  INDEX(RulebookFields!D2:D1898, MATCH(D1178,RulebookFields!A2:A1898, 0))), "")</f>
        <v>RelationIri</v>
      </c>
      <c r="J1178" s="4" t="b">
        <f>_xlfn.IFNA(IF(((INDEX(RulebookFields!I2:I1898, MATCH(D1178,RulebookFields!A2:A1898, 0))="")=TRUE),  "",  INDEX(RulebookFields!I2:I1898, MATCH(D1178,RulebookFields!A2:A1898, 0))), "")</f>
        <v>0</v>
      </c>
      <c r="K1178" s="4" t="b">
        <f>AND(((F1178)=TRUE), ((J1178)=TRUE))</f>
        <v>0</v>
      </c>
      <c r="L1178" s="4" t="b">
        <f>AND(((G1178 &lt;&gt; "plain")=TRUE), ((G1178 &lt;&gt; "")=TRUE))</f>
        <v>0</v>
      </c>
      <c r="M1178" s="4" t="str">
        <f>IF(((E1178)=TRUE),  C1178 &amp; "|" &amp; H1178,  "")</f>
        <v>principal-process-steward|ProcedureVersionLinks</v>
      </c>
      <c r="N1178" s="3" t="s">
        <v>10004</v>
      </c>
    </row>
    <row r="1179">
      <c r="A1179" s="3" t="s">
        <v>11181</v>
      </c>
      <c r="B1179" s="4" t="str">
        <f>C1179 &amp; " -&gt; " &amp; D1179</f>
        <v>principal-process-steward -&gt; ProcedureVersionLinks.ChangeSummary</v>
      </c>
      <c r="C1179" s="3" t="s">
        <v>9772</v>
      </c>
      <c r="D1179" s="3" t="s">
        <v>2857</v>
      </c>
      <c r="E1179" s="3" t="b">
        <v>1</v>
      </c>
      <c r="F1179" s="3" t="b">
        <v>0</v>
      </c>
      <c r="G1179" s="3" t="s">
        <v>10003</v>
      </c>
      <c r="H1179" s="4" t="str">
        <f>_xlfn.IFNA(IF(((INDEX(RulebookFields!C2:C1898, MATCH(D1179,RulebookFields!A2:A1898, 0))="")=TRUE),  "",  INDEX(RulebookFields!C2:C1898, MATCH(D1179,RulebookFields!A2:A1898, 0))), "")</f>
        <v>ProcedureVersionLinks</v>
      </c>
      <c r="I1179" s="4" t="str">
        <f>_xlfn.IFNA(IF(((INDEX(RulebookFields!D2:D1898, MATCH(D1179,RulebookFields!A2:A1898, 0))="")=TRUE),  "",  INDEX(RulebookFields!D2:D1898, MATCH(D1179,RulebookFields!A2:A1898, 0))), "")</f>
        <v>ChangeSummary</v>
      </c>
      <c r="J1179" s="4" t="b">
        <f>_xlfn.IFNA(IF(((INDEX(RulebookFields!I2:I1898, MATCH(D1179,RulebookFields!A2:A1898, 0))="")=TRUE),  "",  INDEX(RulebookFields!I2:I1898, MATCH(D1179,RulebookFields!A2:A1898, 0))), "")</f>
        <v>0</v>
      </c>
      <c r="K1179" s="4" t="b">
        <f>AND(((F1179)=TRUE), ((J1179)=TRUE))</f>
        <v>0</v>
      </c>
      <c r="L1179" s="4" t="b">
        <f>AND(((G1179 &lt;&gt; "plain")=TRUE), ((G1179 &lt;&gt; "")=TRUE))</f>
        <v>0</v>
      </c>
      <c r="M1179" s="4" t="str">
        <f>IF(((E1179)=TRUE),  C1179 &amp; "|" &amp; H1179,  "")</f>
        <v>principal-process-steward|ProcedureVersionLinks</v>
      </c>
      <c r="N1179" s="3" t="s">
        <v>10004</v>
      </c>
    </row>
    <row r="1180">
      <c r="A1180" s="3" t="s">
        <v>11182</v>
      </c>
      <c r="B1180" s="4" t="str">
        <f>C1180 &amp; " -&gt; " &amp; D1180</f>
        <v>principal-process-steward -&gt; ProcedureVersionLinks.SupersededVersionKey</v>
      </c>
      <c r="C1180" s="3" t="s">
        <v>9772</v>
      </c>
      <c r="D1180" s="3" t="s">
        <v>2858</v>
      </c>
      <c r="E1180" s="3" t="b">
        <v>1</v>
      </c>
      <c r="F1180" s="3" t="b">
        <v>0</v>
      </c>
      <c r="G1180" s="3" t="s">
        <v>10003</v>
      </c>
      <c r="H1180" s="4" t="str">
        <f>_xlfn.IFNA(IF(((INDEX(RulebookFields!C2:C1898, MATCH(D1180,RulebookFields!A2:A1898, 0))="")=TRUE),  "",  INDEX(RulebookFields!C2:C1898, MATCH(D1180,RulebookFields!A2:A1898, 0))), "")</f>
        <v>ProcedureVersionLinks</v>
      </c>
      <c r="I1180" s="4" t="str">
        <f>_xlfn.IFNA(IF(((INDEX(RulebookFields!D2:D1898, MATCH(D1180,RulebookFields!A2:A1898, 0))="")=TRUE),  "",  INDEX(RulebookFields!D2:D1898, MATCH(D1180,RulebookFields!A2:A1898, 0))), "")</f>
        <v>SupersededVersionKey</v>
      </c>
      <c r="J1180" s="4" t="b">
        <f>_xlfn.IFNA(IF(((INDEX(RulebookFields!I2:I1898, MATCH(D1180,RulebookFields!A2:A1898, 0))="")=TRUE),  "",  INDEX(RulebookFields!I2:I1898, MATCH(D1180,RulebookFields!A2:A1898, 0))), "")</f>
        <v>1</v>
      </c>
      <c r="K1180" s="4" t="b">
        <f>AND(((F1180)=TRUE), ((J1180)=TRUE))</f>
        <v>0</v>
      </c>
      <c r="L1180" s="4" t="b">
        <f>AND(((G1180 &lt;&gt; "plain")=TRUE), ((G1180 &lt;&gt; "")=TRUE))</f>
        <v>0</v>
      </c>
      <c r="M1180" s="4" t="str">
        <f>IF(((E1180)=TRUE),  C1180 &amp; "|" &amp; H1180,  "")</f>
        <v>principal-process-steward|ProcedureVersionLinks</v>
      </c>
      <c r="N1180" s="3" t="s">
        <v>10004</v>
      </c>
    </row>
    <row r="1181">
      <c r="A1181" s="3" t="s">
        <v>11183</v>
      </c>
      <c r="B1181" s="4" t="str">
        <f>C1181 &amp; " -&gt; " &amp; D1181</f>
        <v>principal-process-steward -&gt; ProcedureVersions.ProcedureVersionId</v>
      </c>
      <c r="C1181" s="3" t="s">
        <v>9772</v>
      </c>
      <c r="D1181" s="3" t="s">
        <v>2693</v>
      </c>
      <c r="E1181" s="3" t="b">
        <v>1</v>
      </c>
      <c r="F1181" s="3" t="b">
        <v>0</v>
      </c>
      <c r="G1181" s="3" t="s">
        <v>10003</v>
      </c>
      <c r="H1181" s="4" t="str">
        <f>_xlfn.IFNA(IF(((INDEX(RulebookFields!C2:C1898, MATCH(D1181,RulebookFields!A2:A1898, 0))="")=TRUE),  "",  INDEX(RulebookFields!C2:C1898, MATCH(D1181,RulebookFields!A2:A1898, 0))), "")</f>
        <v>ProcedureVersions</v>
      </c>
      <c r="I1181" s="4" t="str">
        <f>_xlfn.IFNA(IF(((INDEX(RulebookFields!D2:D1898, MATCH(D1181,RulebookFields!A2:A1898, 0))="")=TRUE),  "",  INDEX(RulebookFields!D2:D1898, MATCH(D1181,RulebookFields!A2:A1898, 0))), "")</f>
        <v>ProcedureVersionId</v>
      </c>
      <c r="J1181" s="4" t="b">
        <f>_xlfn.IFNA(IF(((INDEX(RulebookFields!I2:I1898, MATCH(D1181,RulebookFields!A2:A1898, 0))="")=TRUE),  "",  INDEX(RulebookFields!I2:I1898, MATCH(D1181,RulebookFields!A2:A1898, 0))), "")</f>
        <v>0</v>
      </c>
      <c r="K1181" s="4" t="b">
        <f>AND(((F1181)=TRUE), ((J1181)=TRUE))</f>
        <v>0</v>
      </c>
      <c r="L1181" s="4" t="b">
        <f>AND(((G1181 &lt;&gt; "plain")=TRUE), ((G1181 &lt;&gt; "")=TRUE))</f>
        <v>0</v>
      </c>
      <c r="M1181" s="4" t="str">
        <f>IF(((E1181)=TRUE),  C1181 &amp; "|" &amp; H1181,  "")</f>
        <v>principal-process-steward|ProcedureVersions</v>
      </c>
      <c r="N1181" s="3" t="s">
        <v>10004</v>
      </c>
    </row>
    <row r="1182">
      <c r="A1182" s="3" t="s">
        <v>11184</v>
      </c>
      <c r="B1182" s="4" t="str">
        <f>C1182 &amp; " -&gt; " &amp; D1182</f>
        <v>principal-process-steward -&gt; ProcedureVersions.Name</v>
      </c>
      <c r="C1182" s="3" t="s">
        <v>9772</v>
      </c>
      <c r="D1182" s="3" t="s">
        <v>2694</v>
      </c>
      <c r="E1182" s="3" t="b">
        <v>1</v>
      </c>
      <c r="F1182" s="3" t="b">
        <v>0</v>
      </c>
      <c r="G1182" s="3" t="s">
        <v>10003</v>
      </c>
      <c r="H1182" s="4" t="str">
        <f>_xlfn.IFNA(IF(((INDEX(RulebookFields!C2:C1898, MATCH(D1182,RulebookFields!A2:A1898, 0))="")=TRUE),  "",  INDEX(RulebookFields!C2:C1898, MATCH(D1182,RulebookFields!A2:A1898, 0))), "")</f>
        <v>ProcedureVersions</v>
      </c>
      <c r="I1182" s="4" t="str">
        <f>_xlfn.IFNA(IF(((INDEX(RulebookFields!D2:D1898, MATCH(D1182,RulebookFields!A2:A1898, 0))="")=TRUE),  "",  INDEX(RulebookFields!D2:D1898, MATCH(D1182,RulebookFields!A2:A1898, 0))), "")</f>
        <v>Name</v>
      </c>
      <c r="J1182" s="4" t="b">
        <f>_xlfn.IFNA(IF(((INDEX(RulebookFields!I2:I1898, MATCH(D1182,RulebookFields!A2:A1898, 0))="")=TRUE),  "",  INDEX(RulebookFields!I2:I1898, MATCH(D1182,RulebookFields!A2:A1898, 0))), "")</f>
        <v>1</v>
      </c>
      <c r="K1182" s="4" t="b">
        <f>AND(((F1182)=TRUE), ((J1182)=TRUE))</f>
        <v>0</v>
      </c>
      <c r="L1182" s="4" t="b">
        <f>AND(((G1182 &lt;&gt; "plain")=TRUE), ((G1182 &lt;&gt; "")=TRUE))</f>
        <v>0</v>
      </c>
      <c r="M1182" s="4" t="str">
        <f>IF(((E1182)=TRUE),  C1182 &amp; "|" &amp; H1182,  "")</f>
        <v>principal-process-steward|ProcedureVersions</v>
      </c>
      <c r="N1182" s="3" t="s">
        <v>10004</v>
      </c>
    </row>
    <row r="1183">
      <c r="A1183" s="3" t="s">
        <v>11185</v>
      </c>
      <c r="B1183" s="4" t="str">
        <f>C1183 &amp; " -&gt; " &amp; D1183</f>
        <v>principal-process-steward -&gt; ProcedureVersions.Procedure</v>
      </c>
      <c r="C1183" s="3" t="s">
        <v>9772</v>
      </c>
      <c r="D1183" s="3" t="s">
        <v>2695</v>
      </c>
      <c r="E1183" s="3" t="b">
        <v>1</v>
      </c>
      <c r="F1183" s="3" t="b">
        <v>0</v>
      </c>
      <c r="G1183" s="3" t="s">
        <v>10003</v>
      </c>
      <c r="H1183" s="4" t="str">
        <f>_xlfn.IFNA(IF(((INDEX(RulebookFields!C2:C1898, MATCH(D1183,RulebookFields!A2:A1898, 0))="")=TRUE),  "",  INDEX(RulebookFields!C2:C1898, MATCH(D1183,RulebookFields!A2:A1898, 0))), "")</f>
        <v>ProcedureVersions</v>
      </c>
      <c r="I1183" s="4" t="str">
        <f>_xlfn.IFNA(IF(((INDEX(RulebookFields!D2:D1898, MATCH(D1183,RulebookFields!A2:A1898, 0))="")=TRUE),  "",  INDEX(RulebookFields!D2:D1898, MATCH(D1183,RulebookFields!A2:A1898, 0))), "")</f>
        <v>Procedure</v>
      </c>
      <c r="J1183" s="4" t="b">
        <f>_xlfn.IFNA(IF(((INDEX(RulebookFields!I2:I1898, MATCH(D1183,RulebookFields!A2:A1898, 0))="")=TRUE),  "",  INDEX(RulebookFields!I2:I1898, MATCH(D1183,RulebookFields!A2:A1898, 0))), "")</f>
        <v>0</v>
      </c>
      <c r="K1183" s="4" t="b">
        <f>AND(((F1183)=TRUE), ((J1183)=TRUE))</f>
        <v>0</v>
      </c>
      <c r="L1183" s="4" t="b">
        <f>AND(((G1183 &lt;&gt; "plain")=TRUE), ((G1183 &lt;&gt; "")=TRUE))</f>
        <v>0</v>
      </c>
      <c r="M1183" s="4" t="str">
        <f>IF(((E1183)=TRUE),  C1183 &amp; "|" &amp; H1183,  "")</f>
        <v>principal-process-steward|ProcedureVersions</v>
      </c>
      <c r="N1183" s="3" t="s">
        <v>10004</v>
      </c>
    </row>
    <row r="1184">
      <c r="A1184" s="3" t="s">
        <v>11186</v>
      </c>
      <c r="B1184" s="4" t="str">
        <f>C1184 &amp; " -&gt; " &amp; D1184</f>
        <v>principal-process-steward -&gt; ProcedureVersions.VersionNumber</v>
      </c>
      <c r="C1184" s="3" t="s">
        <v>9772</v>
      </c>
      <c r="D1184" s="3" t="s">
        <v>1770</v>
      </c>
      <c r="E1184" s="3" t="b">
        <v>1</v>
      </c>
      <c r="F1184" s="3" t="b">
        <v>0</v>
      </c>
      <c r="G1184" s="3" t="s">
        <v>10003</v>
      </c>
      <c r="H1184" s="4" t="str">
        <f>_xlfn.IFNA(IF(((INDEX(RulebookFields!C2:C1898, MATCH(D1184,RulebookFields!A2:A1898, 0))="")=TRUE),  "",  INDEX(RulebookFields!C2:C1898, MATCH(D1184,RulebookFields!A2:A1898, 0))), "")</f>
        <v>ProcedureVersions</v>
      </c>
      <c r="I1184" s="4" t="str">
        <f>_xlfn.IFNA(IF(((INDEX(RulebookFields!D2:D1898, MATCH(D1184,RulebookFields!A2:A1898, 0))="")=TRUE),  "",  INDEX(RulebookFields!D2:D1898, MATCH(D1184,RulebookFields!A2:A1898, 0))), "")</f>
        <v>VersionNumber</v>
      </c>
      <c r="J1184" s="4" t="b">
        <f>_xlfn.IFNA(IF(((INDEX(RulebookFields!I2:I1898, MATCH(D1184,RulebookFields!A2:A1898, 0))="")=TRUE),  "",  INDEX(RulebookFields!I2:I1898, MATCH(D1184,RulebookFields!A2:A1898, 0))), "")</f>
        <v>0</v>
      </c>
      <c r="K1184" s="4" t="b">
        <f>AND(((F1184)=TRUE), ((J1184)=TRUE))</f>
        <v>0</v>
      </c>
      <c r="L1184" s="4" t="b">
        <f>AND(((G1184 &lt;&gt; "plain")=TRUE), ((G1184 &lt;&gt; "")=TRUE))</f>
        <v>0</v>
      </c>
      <c r="M1184" s="4" t="str">
        <f>IF(((E1184)=TRUE),  C1184 &amp; "|" &amp; H1184,  "")</f>
        <v>principal-process-steward|ProcedureVersions</v>
      </c>
      <c r="N1184" s="3" t="s">
        <v>10004</v>
      </c>
    </row>
    <row r="1185">
      <c r="A1185" s="3" t="s">
        <v>11187</v>
      </c>
      <c r="B1185" s="4" t="str">
        <f>C1185 &amp; " -&gt; " &amp; D1185</f>
        <v>principal-process-steward -&gt; ProcedureVersions.Title</v>
      </c>
      <c r="C1185" s="3" t="s">
        <v>9772</v>
      </c>
      <c r="D1185" s="3" t="s">
        <v>2696</v>
      </c>
      <c r="E1185" s="3" t="b">
        <v>1</v>
      </c>
      <c r="F1185" s="3" t="b">
        <v>0</v>
      </c>
      <c r="G1185" s="3" t="s">
        <v>10003</v>
      </c>
      <c r="H1185" s="4" t="str">
        <f>_xlfn.IFNA(IF(((INDEX(RulebookFields!C2:C1898, MATCH(D1185,RulebookFields!A2:A1898, 0))="")=TRUE),  "",  INDEX(RulebookFields!C2:C1898, MATCH(D1185,RulebookFields!A2:A1898, 0))), "")</f>
        <v>ProcedureVersions</v>
      </c>
      <c r="I1185" s="4" t="str">
        <f>_xlfn.IFNA(IF(((INDEX(RulebookFields!D2:D1898, MATCH(D1185,RulebookFields!A2:A1898, 0))="")=TRUE),  "",  INDEX(RulebookFields!D2:D1898, MATCH(D1185,RulebookFields!A2:A1898, 0))), "")</f>
        <v>Title</v>
      </c>
      <c r="J1185" s="4" t="b">
        <f>_xlfn.IFNA(IF(((INDEX(RulebookFields!I2:I1898, MATCH(D1185,RulebookFields!A2:A1898, 0))="")=TRUE),  "",  INDEX(RulebookFields!I2:I1898, MATCH(D1185,RulebookFields!A2:A1898, 0))), "")</f>
        <v>0</v>
      </c>
      <c r="K1185" s="4" t="b">
        <f>AND(((F1185)=TRUE), ((J1185)=TRUE))</f>
        <v>0</v>
      </c>
      <c r="L1185" s="4" t="b">
        <f>AND(((G1185 &lt;&gt; "plain")=TRUE), ((G1185 &lt;&gt; "")=TRUE))</f>
        <v>0</v>
      </c>
      <c r="M1185" s="4" t="str">
        <f>IF(((E1185)=TRUE),  C1185 &amp; "|" &amp; H1185,  "")</f>
        <v>principal-process-steward|ProcedureVersions</v>
      </c>
      <c r="N1185" s="3" t="s">
        <v>10004</v>
      </c>
    </row>
    <row r="1186">
      <c r="A1186" s="3" t="s">
        <v>11188</v>
      </c>
      <c r="B1186" s="4" t="str">
        <f>C1186 &amp; " -&gt; " &amp; D1186</f>
        <v>principal-process-steward -&gt; ProcedureVersions.Status</v>
      </c>
      <c r="C1186" s="3" t="s">
        <v>9772</v>
      </c>
      <c r="D1186" s="3" t="s">
        <v>2697</v>
      </c>
      <c r="E1186" s="3" t="b">
        <v>1</v>
      </c>
      <c r="F1186" s="3" t="b">
        <v>0</v>
      </c>
      <c r="G1186" s="3" t="s">
        <v>10003</v>
      </c>
      <c r="H1186" s="4" t="str">
        <f>_xlfn.IFNA(IF(((INDEX(RulebookFields!C2:C1898, MATCH(D1186,RulebookFields!A2:A1898, 0))="")=TRUE),  "",  INDEX(RulebookFields!C2:C1898, MATCH(D1186,RulebookFields!A2:A1898, 0))), "")</f>
        <v>ProcedureVersions</v>
      </c>
      <c r="I1186" s="4" t="str">
        <f>_xlfn.IFNA(IF(((INDEX(RulebookFields!D2:D1898, MATCH(D1186,RulebookFields!A2:A1898, 0))="")=TRUE),  "",  INDEX(RulebookFields!D2:D1898, MATCH(D1186,RulebookFields!A2:A1898, 0))), "")</f>
        <v>Status</v>
      </c>
      <c r="J1186" s="4" t="b">
        <f>_xlfn.IFNA(IF(((INDEX(RulebookFields!I2:I1898, MATCH(D1186,RulebookFields!A2:A1898, 0))="")=TRUE),  "",  INDEX(RulebookFields!I2:I1898, MATCH(D1186,RulebookFields!A2:A1898, 0))), "")</f>
        <v>0</v>
      </c>
      <c r="K1186" s="4" t="b">
        <f>AND(((F1186)=TRUE), ((J1186)=TRUE))</f>
        <v>0</v>
      </c>
      <c r="L1186" s="4" t="b">
        <f>AND(((G1186 &lt;&gt; "plain")=TRUE), ((G1186 &lt;&gt; "")=TRUE))</f>
        <v>0</v>
      </c>
      <c r="M1186" s="4" t="str">
        <f>IF(((E1186)=TRUE),  C1186 &amp; "|" &amp; H1186,  "")</f>
        <v>principal-process-steward|ProcedureVersions</v>
      </c>
      <c r="N1186" s="3" t="s">
        <v>10004</v>
      </c>
    </row>
    <row r="1187">
      <c r="A1187" s="3" t="s">
        <v>11189</v>
      </c>
      <c r="B1187" s="4" t="str">
        <f>C1187 &amp; " -&gt; " &amp; D1187</f>
        <v>principal-process-steward -&gt; ProcedureVersions.IssuedAt</v>
      </c>
      <c r="C1187" s="3" t="s">
        <v>9772</v>
      </c>
      <c r="D1187" s="3" t="s">
        <v>2698</v>
      </c>
      <c r="E1187" s="3" t="b">
        <v>1</v>
      </c>
      <c r="F1187" s="3" t="b">
        <v>0</v>
      </c>
      <c r="G1187" s="3" t="s">
        <v>10003</v>
      </c>
      <c r="H1187" s="4" t="str">
        <f>_xlfn.IFNA(IF(((INDEX(RulebookFields!C2:C1898, MATCH(D1187,RulebookFields!A2:A1898, 0))="")=TRUE),  "",  INDEX(RulebookFields!C2:C1898, MATCH(D1187,RulebookFields!A2:A1898, 0))), "")</f>
        <v>ProcedureVersions</v>
      </c>
      <c r="I1187" s="4" t="str">
        <f>_xlfn.IFNA(IF(((INDEX(RulebookFields!D2:D1898, MATCH(D1187,RulebookFields!A2:A1898, 0))="")=TRUE),  "",  INDEX(RulebookFields!D2:D1898, MATCH(D1187,RulebookFields!A2:A1898, 0))), "")</f>
        <v>IssuedAt</v>
      </c>
      <c r="J1187" s="4" t="b">
        <f>_xlfn.IFNA(IF(((INDEX(RulebookFields!I2:I1898, MATCH(D1187,RulebookFields!A2:A1898, 0))="")=TRUE),  "",  INDEX(RulebookFields!I2:I1898, MATCH(D1187,RulebookFields!A2:A1898, 0))), "")</f>
        <v>0</v>
      </c>
      <c r="K1187" s="4" t="b">
        <f>AND(((F1187)=TRUE), ((J1187)=TRUE))</f>
        <v>0</v>
      </c>
      <c r="L1187" s="4" t="b">
        <f>AND(((G1187 &lt;&gt; "plain")=TRUE), ((G1187 &lt;&gt; "")=TRUE))</f>
        <v>0</v>
      </c>
      <c r="M1187" s="4" t="str">
        <f>IF(((E1187)=TRUE),  C1187 &amp; "|" &amp; H1187,  "")</f>
        <v>principal-process-steward|ProcedureVersions</v>
      </c>
      <c r="N1187" s="3" t="s">
        <v>10004</v>
      </c>
    </row>
    <row r="1188">
      <c r="A1188" s="3" t="s">
        <v>11190</v>
      </c>
      <c r="B1188" s="4" t="str">
        <f>C1188 &amp; " -&gt; " &amp; D1188</f>
        <v>principal-process-steward -&gt; ProcedureVersions.ModifiedAt</v>
      </c>
      <c r="C1188" s="3" t="s">
        <v>9772</v>
      </c>
      <c r="D1188" s="3" t="s">
        <v>2699</v>
      </c>
      <c r="E1188" s="3" t="b">
        <v>1</v>
      </c>
      <c r="F1188" s="3" t="b">
        <v>0</v>
      </c>
      <c r="G1188" s="3" t="s">
        <v>10003</v>
      </c>
      <c r="H1188" s="4" t="str">
        <f>_xlfn.IFNA(IF(((INDEX(RulebookFields!C2:C1898, MATCH(D1188,RulebookFields!A2:A1898, 0))="")=TRUE),  "",  INDEX(RulebookFields!C2:C1898, MATCH(D1188,RulebookFields!A2:A1898, 0))), "")</f>
        <v>ProcedureVersions</v>
      </c>
      <c r="I1188" s="4" t="str">
        <f>_xlfn.IFNA(IF(((INDEX(RulebookFields!D2:D1898, MATCH(D1188,RulebookFields!A2:A1898, 0))="")=TRUE),  "",  INDEX(RulebookFields!D2:D1898, MATCH(D1188,RulebookFields!A2:A1898, 0))), "")</f>
        <v>ModifiedAt</v>
      </c>
      <c r="J1188" s="4" t="b">
        <f>_xlfn.IFNA(IF(((INDEX(RulebookFields!I2:I1898, MATCH(D1188,RulebookFields!A2:A1898, 0))="")=TRUE),  "",  INDEX(RulebookFields!I2:I1898, MATCH(D1188,RulebookFields!A2:A1898, 0))), "")</f>
        <v>0</v>
      </c>
      <c r="K1188" s="4" t="b">
        <f>AND(((F1188)=TRUE), ((J1188)=TRUE))</f>
        <v>0</v>
      </c>
      <c r="L1188" s="4" t="b">
        <f>AND(((G1188 &lt;&gt; "plain")=TRUE), ((G1188 &lt;&gt; "")=TRUE))</f>
        <v>0</v>
      </c>
      <c r="M1188" s="4" t="str">
        <f>IF(((E1188)=TRUE),  C1188 &amp; "|" &amp; H1188,  "")</f>
        <v>principal-process-steward|ProcedureVersions</v>
      </c>
      <c r="N1188" s="3" t="s">
        <v>10004</v>
      </c>
    </row>
    <row r="1189">
      <c r="A1189" s="3" t="s">
        <v>11191</v>
      </c>
      <c r="B1189" s="4" t="str">
        <f>C1189 &amp; " -&gt; " &amp; D1189</f>
        <v>principal-process-steward -&gt; ProcedureVersions.CreatedByAgent</v>
      </c>
      <c r="C1189" s="3" t="s">
        <v>9772</v>
      </c>
      <c r="D1189" s="3" t="s">
        <v>2700</v>
      </c>
      <c r="E1189" s="3" t="b">
        <v>1</v>
      </c>
      <c r="F1189" s="3" t="b">
        <v>0</v>
      </c>
      <c r="G1189" s="3" t="s">
        <v>10003</v>
      </c>
      <c r="H1189" s="4" t="str">
        <f>_xlfn.IFNA(IF(((INDEX(RulebookFields!C2:C1898, MATCH(D1189,RulebookFields!A2:A1898, 0))="")=TRUE),  "",  INDEX(RulebookFields!C2:C1898, MATCH(D1189,RulebookFields!A2:A1898, 0))), "")</f>
        <v>ProcedureVersions</v>
      </c>
      <c r="I1189" s="4" t="str">
        <f>_xlfn.IFNA(IF(((INDEX(RulebookFields!D2:D1898, MATCH(D1189,RulebookFields!A2:A1898, 0))="")=TRUE),  "",  INDEX(RulebookFields!D2:D1898, MATCH(D1189,RulebookFields!A2:A1898, 0))), "")</f>
        <v>CreatedByAgent</v>
      </c>
      <c r="J1189" s="4" t="b">
        <f>_xlfn.IFNA(IF(((INDEX(RulebookFields!I2:I1898, MATCH(D1189,RulebookFields!A2:A1898, 0))="")=TRUE),  "",  INDEX(RulebookFields!I2:I1898, MATCH(D1189,RulebookFields!A2:A1898, 0))), "")</f>
        <v>0</v>
      </c>
      <c r="K1189" s="4" t="b">
        <f>AND(((F1189)=TRUE), ((J1189)=TRUE))</f>
        <v>0</v>
      </c>
      <c r="L1189" s="4" t="b">
        <f>AND(((G1189 &lt;&gt; "plain")=TRUE), ((G1189 &lt;&gt; "")=TRUE))</f>
        <v>0</v>
      </c>
      <c r="M1189" s="4" t="str">
        <f>IF(((E1189)=TRUE),  C1189 &amp; "|" &amp; H1189,  "")</f>
        <v>principal-process-steward|ProcedureVersions</v>
      </c>
      <c r="N1189" s="3" t="s">
        <v>10004</v>
      </c>
    </row>
    <row r="1190">
      <c r="A1190" s="3" t="s">
        <v>11192</v>
      </c>
      <c r="B1190" s="4" t="str">
        <f>C1190 &amp; " -&gt; " &amp; D1190</f>
        <v>principal-process-steward -&gt; ProcedureVersions.ModifiedByAgent</v>
      </c>
      <c r="C1190" s="3" t="s">
        <v>9772</v>
      </c>
      <c r="D1190" s="3" t="s">
        <v>2701</v>
      </c>
      <c r="E1190" s="3" t="b">
        <v>1</v>
      </c>
      <c r="F1190" s="3" t="b">
        <v>0</v>
      </c>
      <c r="G1190" s="3" t="s">
        <v>10003</v>
      </c>
      <c r="H1190" s="4" t="str">
        <f>_xlfn.IFNA(IF(((INDEX(RulebookFields!C2:C1898, MATCH(D1190,RulebookFields!A2:A1898, 0))="")=TRUE),  "",  INDEX(RulebookFields!C2:C1898, MATCH(D1190,RulebookFields!A2:A1898, 0))), "")</f>
        <v>ProcedureVersions</v>
      </c>
      <c r="I1190" s="4" t="str">
        <f>_xlfn.IFNA(IF(((INDEX(RulebookFields!D2:D1898, MATCH(D1190,RulebookFields!A2:A1898, 0))="")=TRUE),  "",  INDEX(RulebookFields!D2:D1898, MATCH(D1190,RulebookFields!A2:A1898, 0))), "")</f>
        <v>ModifiedByAgent</v>
      </c>
      <c r="J1190" s="4" t="b">
        <f>_xlfn.IFNA(IF(((INDEX(RulebookFields!I2:I1898, MATCH(D1190,RulebookFields!A2:A1898, 0))="")=TRUE),  "",  INDEX(RulebookFields!I2:I1898, MATCH(D1190,RulebookFields!A2:A1898, 0))), "")</f>
        <v>0</v>
      </c>
      <c r="K1190" s="4" t="b">
        <f>AND(((F1190)=TRUE), ((J1190)=TRUE))</f>
        <v>0</v>
      </c>
      <c r="L1190" s="4" t="b">
        <f>AND(((G1190 &lt;&gt; "plain")=TRUE), ((G1190 &lt;&gt; "")=TRUE))</f>
        <v>0</v>
      </c>
      <c r="M1190" s="4" t="str">
        <f>IF(((E1190)=TRUE),  C1190 &amp; "|" &amp; H1190,  "")</f>
        <v>principal-process-steward|ProcedureVersions</v>
      </c>
      <c r="N1190" s="3" t="s">
        <v>10004</v>
      </c>
    </row>
    <row r="1191">
      <c r="A1191" s="3" t="s">
        <v>11193</v>
      </c>
      <c r="B1191" s="4" t="str">
        <f>C1191 &amp; " -&gt; " &amp; D1191</f>
        <v>principal-process-steward -&gt; ProcedureVersions.NewVersionMotivation</v>
      </c>
      <c r="C1191" s="3" t="s">
        <v>9772</v>
      </c>
      <c r="D1191" s="3" t="s">
        <v>2702</v>
      </c>
      <c r="E1191" s="3" t="b">
        <v>1</v>
      </c>
      <c r="F1191" s="3" t="b">
        <v>0</v>
      </c>
      <c r="G1191" s="3" t="s">
        <v>10003</v>
      </c>
      <c r="H1191" s="4" t="str">
        <f>_xlfn.IFNA(IF(((INDEX(RulebookFields!C2:C1898, MATCH(D1191,RulebookFields!A2:A1898, 0))="")=TRUE),  "",  INDEX(RulebookFields!C2:C1898, MATCH(D1191,RulebookFields!A2:A1898, 0))), "")</f>
        <v>ProcedureVersions</v>
      </c>
      <c r="I1191" s="4" t="str">
        <f>_xlfn.IFNA(IF(((INDEX(RulebookFields!D2:D1898, MATCH(D1191,RulebookFields!A2:A1898, 0))="")=TRUE),  "",  INDEX(RulebookFields!D2:D1898, MATCH(D1191,RulebookFields!A2:A1898, 0))), "")</f>
        <v>NewVersionMotivation</v>
      </c>
      <c r="J1191" s="4" t="b">
        <f>_xlfn.IFNA(IF(((INDEX(RulebookFields!I2:I1898, MATCH(D1191,RulebookFields!A2:A1898, 0))="")=TRUE),  "",  INDEX(RulebookFields!I2:I1898, MATCH(D1191,RulebookFields!A2:A1898, 0))), "")</f>
        <v>0</v>
      </c>
      <c r="K1191" s="4" t="b">
        <f>AND(((F1191)=TRUE), ((J1191)=TRUE))</f>
        <v>0</v>
      </c>
      <c r="L1191" s="4" t="b">
        <f>AND(((G1191 &lt;&gt; "plain")=TRUE), ((G1191 &lt;&gt; "")=TRUE))</f>
        <v>0</v>
      </c>
      <c r="M1191" s="4" t="str">
        <f>IF(((E1191)=TRUE),  C1191 &amp; "|" &amp; H1191,  "")</f>
        <v>principal-process-steward|ProcedureVersions</v>
      </c>
      <c r="N1191" s="3" t="s">
        <v>10004</v>
      </c>
    </row>
    <row r="1192">
      <c r="A1192" s="3" t="s">
        <v>11194</v>
      </c>
      <c r="B1192" s="4" t="str">
        <f>C1192 &amp; " -&gt; " &amp; D1192</f>
        <v>principal-process-steward -&gt; ProcedureVersions.ChangelogDescription</v>
      </c>
      <c r="C1192" s="3" t="s">
        <v>9772</v>
      </c>
      <c r="D1192" s="3" t="s">
        <v>2703</v>
      </c>
      <c r="E1192" s="3" t="b">
        <v>1</v>
      </c>
      <c r="F1192" s="3" t="b">
        <v>0</v>
      </c>
      <c r="G1192" s="3" t="s">
        <v>10003</v>
      </c>
      <c r="H1192" s="4" t="str">
        <f>_xlfn.IFNA(IF(((INDEX(RulebookFields!C2:C1898, MATCH(D1192,RulebookFields!A2:A1898, 0))="")=TRUE),  "",  INDEX(RulebookFields!C2:C1898, MATCH(D1192,RulebookFields!A2:A1898, 0))), "")</f>
        <v>ProcedureVersions</v>
      </c>
      <c r="I1192" s="4" t="str">
        <f>_xlfn.IFNA(IF(((INDEX(RulebookFields!D2:D1898, MATCH(D1192,RulebookFields!A2:A1898, 0))="")=TRUE),  "",  INDEX(RulebookFields!D2:D1898, MATCH(D1192,RulebookFields!A2:A1898, 0))), "")</f>
        <v>ChangelogDescription</v>
      </c>
      <c r="J1192" s="4" t="b">
        <f>_xlfn.IFNA(IF(((INDEX(RulebookFields!I2:I1898, MATCH(D1192,RulebookFields!A2:A1898, 0))="")=TRUE),  "",  INDEX(RulebookFields!I2:I1898, MATCH(D1192,RulebookFields!A2:A1898, 0))), "")</f>
        <v>0</v>
      </c>
      <c r="K1192" s="4" t="b">
        <f>AND(((F1192)=TRUE), ((J1192)=TRUE))</f>
        <v>0</v>
      </c>
      <c r="L1192" s="4" t="b">
        <f>AND(((G1192 &lt;&gt; "plain")=TRUE), ((G1192 &lt;&gt; "")=TRUE))</f>
        <v>0</v>
      </c>
      <c r="M1192" s="4" t="str">
        <f>IF(((E1192)=TRUE),  C1192 &amp; "|" &amp; H1192,  "")</f>
        <v>principal-process-steward|ProcedureVersions</v>
      </c>
      <c r="N1192" s="3" t="s">
        <v>10004</v>
      </c>
    </row>
    <row r="1193">
      <c r="A1193" s="3" t="s">
        <v>11195</v>
      </c>
      <c r="B1193" s="4" t="str">
        <f>C1193 &amp; " -&gt; " &amp; D1193</f>
        <v>principal-process-steward -&gt; ProcedureVersions.IsCurrent</v>
      </c>
      <c r="C1193" s="3" t="s">
        <v>9772</v>
      </c>
      <c r="D1193" s="3" t="s">
        <v>2704</v>
      </c>
      <c r="E1193" s="3" t="b">
        <v>1</v>
      </c>
      <c r="F1193" s="3" t="b">
        <v>0</v>
      </c>
      <c r="G1193" s="3" t="s">
        <v>10003</v>
      </c>
      <c r="H1193" s="4" t="str">
        <f>_xlfn.IFNA(IF(((INDEX(RulebookFields!C2:C1898, MATCH(D1193,RulebookFields!A2:A1898, 0))="")=TRUE),  "",  INDEX(RulebookFields!C2:C1898, MATCH(D1193,RulebookFields!A2:A1898, 0))), "")</f>
        <v>ProcedureVersions</v>
      </c>
      <c r="I1193" s="4" t="str">
        <f>_xlfn.IFNA(IF(((INDEX(RulebookFields!D2:D1898, MATCH(D1193,RulebookFields!A2:A1898, 0))="")=TRUE),  "",  INDEX(RulebookFields!D2:D1898, MATCH(D1193,RulebookFields!A2:A1898, 0))), "")</f>
        <v>IsCurrent</v>
      </c>
      <c r="J1193" s="4" t="b">
        <f>_xlfn.IFNA(IF(((INDEX(RulebookFields!I2:I1898, MATCH(D1193,RulebookFields!A2:A1898, 0))="")=TRUE),  "",  INDEX(RulebookFields!I2:I1898, MATCH(D1193,RulebookFields!A2:A1898, 0))), "")</f>
        <v>0</v>
      </c>
      <c r="K1193" s="4" t="b">
        <f>AND(((F1193)=TRUE), ((J1193)=TRUE))</f>
        <v>0</v>
      </c>
      <c r="L1193" s="4" t="b">
        <f>AND(((G1193 &lt;&gt; "plain")=TRUE), ((G1193 &lt;&gt; "")=TRUE))</f>
        <v>0</v>
      </c>
      <c r="M1193" s="4" t="str">
        <f>IF(((E1193)=TRUE),  C1193 &amp; "|" &amp; H1193,  "")</f>
        <v>principal-process-steward|ProcedureVersions</v>
      </c>
      <c r="N1193" s="3" t="s">
        <v>10004</v>
      </c>
    </row>
    <row r="1194">
      <c r="A1194" s="3" t="s">
        <v>11196</v>
      </c>
      <c r="B1194" s="4" t="str">
        <f>C1194 &amp; " -&gt; " &amp; D1194</f>
        <v>principal-process-steward -&gt; ProcedureVersions.CountOfSteps</v>
      </c>
      <c r="C1194" s="3" t="s">
        <v>9772</v>
      </c>
      <c r="D1194" s="3" t="s">
        <v>2705</v>
      </c>
      <c r="E1194" s="3" t="b">
        <v>1</v>
      </c>
      <c r="F1194" s="3" t="b">
        <v>0</v>
      </c>
      <c r="G1194" s="3" t="s">
        <v>10003</v>
      </c>
      <c r="H1194" s="4" t="str">
        <f>_xlfn.IFNA(IF(((INDEX(RulebookFields!C2:C1898, MATCH(D1194,RulebookFields!A2:A1898, 0))="")=TRUE),  "",  INDEX(RulebookFields!C2:C1898, MATCH(D1194,RulebookFields!A2:A1898, 0))), "")</f>
        <v>ProcedureVersions</v>
      </c>
      <c r="I1194" s="4" t="str">
        <f>_xlfn.IFNA(IF(((INDEX(RulebookFields!D2:D1898, MATCH(D1194,RulebookFields!A2:A1898, 0))="")=TRUE),  "",  INDEX(RulebookFields!D2:D1898, MATCH(D1194,RulebookFields!A2:A1898, 0))), "")</f>
        <v>CountOfSteps</v>
      </c>
      <c r="J1194" s="4" t="b">
        <f>_xlfn.IFNA(IF(((INDEX(RulebookFields!I2:I1898, MATCH(D1194,RulebookFields!A2:A1898, 0))="")=TRUE),  "",  INDEX(RulebookFields!I2:I1898, MATCH(D1194,RulebookFields!A2:A1898, 0))), "")</f>
        <v>1</v>
      </c>
      <c r="K1194" s="4" t="b">
        <f>AND(((F1194)=TRUE), ((J1194)=TRUE))</f>
        <v>0</v>
      </c>
      <c r="L1194" s="4" t="b">
        <f>AND(((G1194 &lt;&gt; "plain")=TRUE), ((G1194 &lt;&gt; "")=TRUE))</f>
        <v>0</v>
      </c>
      <c r="M1194" s="4" t="str">
        <f>IF(((E1194)=TRUE),  C1194 &amp; "|" &amp; H1194,  "")</f>
        <v>principal-process-steward|ProcedureVersions</v>
      </c>
      <c r="N1194" s="3" t="s">
        <v>10004</v>
      </c>
    </row>
    <row r="1195">
      <c r="A1195" s="3" t="s">
        <v>11197</v>
      </c>
      <c r="B1195" s="4" t="str">
        <f>C1195 &amp; " -&gt; " &amp; D1195</f>
        <v>principal-process-steward -&gt; ProcedureVersions.CountOfOpenKnowledgeGaps</v>
      </c>
      <c r="C1195" s="3" t="s">
        <v>9772</v>
      </c>
      <c r="D1195" s="3" t="s">
        <v>2707</v>
      </c>
      <c r="E1195" s="3" t="b">
        <v>1</v>
      </c>
      <c r="F1195" s="3" t="b">
        <v>0</v>
      </c>
      <c r="G1195" s="3" t="s">
        <v>10003</v>
      </c>
      <c r="H1195" s="4" t="str">
        <f>_xlfn.IFNA(IF(((INDEX(RulebookFields!C2:C1898, MATCH(D1195,RulebookFields!A2:A1898, 0))="")=TRUE),  "",  INDEX(RulebookFields!C2:C1898, MATCH(D1195,RulebookFields!A2:A1898, 0))), "")</f>
        <v>ProcedureVersions</v>
      </c>
      <c r="I1195" s="4" t="str">
        <f>_xlfn.IFNA(IF(((INDEX(RulebookFields!D2:D1898, MATCH(D1195,RulebookFields!A2:A1898, 0))="")=TRUE),  "",  INDEX(RulebookFields!D2:D1898, MATCH(D1195,RulebookFields!A2:A1898, 0))), "")</f>
        <v>CountOfOpenKnowledgeGaps</v>
      </c>
      <c r="J1195" s="4" t="b">
        <f>_xlfn.IFNA(IF(((INDEX(RulebookFields!I2:I1898, MATCH(D1195,RulebookFields!A2:A1898, 0))="")=TRUE),  "",  INDEX(RulebookFields!I2:I1898, MATCH(D1195,RulebookFields!A2:A1898, 0))), "")</f>
        <v>1</v>
      </c>
      <c r="K1195" s="4" t="b">
        <f>AND(((F1195)=TRUE), ((J1195)=TRUE))</f>
        <v>0</v>
      </c>
      <c r="L1195" s="4" t="b">
        <f>AND(((G1195 &lt;&gt; "plain")=TRUE), ((G1195 &lt;&gt; "")=TRUE))</f>
        <v>0</v>
      </c>
      <c r="M1195" s="4" t="str">
        <f>IF(((E1195)=TRUE),  C1195 &amp; "|" &amp; H1195,  "")</f>
        <v>principal-process-steward|ProcedureVersions</v>
      </c>
      <c r="N1195" s="3" t="s">
        <v>10004</v>
      </c>
    </row>
    <row r="1196">
      <c r="A1196" s="3" t="s">
        <v>11198</v>
      </c>
      <c r="B1196" s="4" t="str">
        <f>C1196 &amp; " -&gt; " &amp; D1196</f>
        <v>principal-process-steward -&gt; ProcedureVersions.IsReadyForExecution</v>
      </c>
      <c r="C1196" s="3" t="s">
        <v>9772</v>
      </c>
      <c r="D1196" s="3" t="s">
        <v>2709</v>
      </c>
      <c r="E1196" s="3" t="b">
        <v>1</v>
      </c>
      <c r="F1196" s="3" t="b">
        <v>0</v>
      </c>
      <c r="G1196" s="3" t="s">
        <v>10003</v>
      </c>
      <c r="H1196" s="4" t="str">
        <f>_xlfn.IFNA(IF(((INDEX(RulebookFields!C2:C1898, MATCH(D1196,RulebookFields!A2:A1898, 0))="")=TRUE),  "",  INDEX(RulebookFields!C2:C1898, MATCH(D1196,RulebookFields!A2:A1898, 0))), "")</f>
        <v>ProcedureVersions</v>
      </c>
      <c r="I1196" s="4" t="str">
        <f>_xlfn.IFNA(IF(((INDEX(RulebookFields!D2:D1898, MATCH(D1196,RulebookFields!A2:A1898, 0))="")=TRUE),  "",  INDEX(RulebookFields!D2:D1898, MATCH(D1196,RulebookFields!A2:A1898, 0))), "")</f>
        <v>IsReadyForExecution</v>
      </c>
      <c r="J1196" s="4" t="b">
        <f>_xlfn.IFNA(IF(((INDEX(RulebookFields!I2:I1898, MATCH(D1196,RulebookFields!A2:A1898, 0))="")=TRUE),  "",  INDEX(RulebookFields!I2:I1898, MATCH(D1196,RulebookFields!A2:A1898, 0))), "")</f>
        <v>1</v>
      </c>
      <c r="K1196" s="4" t="b">
        <f>AND(((F1196)=TRUE), ((J1196)=TRUE))</f>
        <v>0</v>
      </c>
      <c r="L1196" s="4" t="b">
        <f>AND(((G1196 &lt;&gt; "plain")=TRUE), ((G1196 &lt;&gt; "")=TRUE))</f>
        <v>0</v>
      </c>
      <c r="M1196" s="4" t="str">
        <f>IF(((E1196)=TRUE),  C1196 &amp; "|" &amp; H1196,  "")</f>
        <v>principal-process-steward|ProcedureVersions</v>
      </c>
      <c r="N1196" s="3" t="s">
        <v>10004</v>
      </c>
    </row>
    <row r="1197">
      <c r="A1197" s="3" t="s">
        <v>11199</v>
      </c>
      <c r="B1197" s="4" t="str">
        <f>C1197 &amp; " -&gt; " &amp; D1197</f>
        <v>principal-process-steward -&gt; ProcedureVersions.SpecifiedStepCount</v>
      </c>
      <c r="C1197" s="3" t="s">
        <v>9772</v>
      </c>
      <c r="D1197" s="3" t="s">
        <v>2711</v>
      </c>
      <c r="E1197" s="3" t="b">
        <v>1</v>
      </c>
      <c r="F1197" s="3" t="b">
        <v>0</v>
      </c>
      <c r="G1197" s="3" t="s">
        <v>10003</v>
      </c>
      <c r="H1197" s="4" t="str">
        <f>_xlfn.IFNA(IF(((INDEX(RulebookFields!C2:C1898, MATCH(D1197,RulebookFields!A2:A1898, 0))="")=TRUE),  "",  INDEX(RulebookFields!C2:C1898, MATCH(D1197,RulebookFields!A2:A1898, 0))), "")</f>
        <v>ProcedureVersions</v>
      </c>
      <c r="I1197" s="4" t="str">
        <f>_xlfn.IFNA(IF(((INDEX(RulebookFields!D2:D1898, MATCH(D1197,RulebookFields!A2:A1898, 0))="")=TRUE),  "",  INDEX(RulebookFields!D2:D1898, MATCH(D1197,RulebookFields!A2:A1898, 0))), "")</f>
        <v>SpecifiedStepCount</v>
      </c>
      <c r="J1197" s="4" t="b">
        <f>_xlfn.IFNA(IF(((INDEX(RulebookFields!I2:I1898, MATCH(D1197,RulebookFields!A2:A1898, 0))="")=TRUE),  "",  INDEX(RulebookFields!I2:I1898, MATCH(D1197,RulebookFields!A2:A1898, 0))), "")</f>
        <v>1</v>
      </c>
      <c r="K1197" s="4" t="b">
        <f>AND(((F1197)=TRUE), ((J1197)=TRUE))</f>
        <v>0</v>
      </c>
      <c r="L1197" s="4" t="b">
        <f>AND(((G1197 &lt;&gt; "plain")=TRUE), ((G1197 &lt;&gt; "")=TRUE))</f>
        <v>0</v>
      </c>
      <c r="M1197" s="4" t="str">
        <f>IF(((E1197)=TRUE),  C1197 &amp; "|" &amp; H1197,  "")</f>
        <v>principal-process-steward|ProcedureVersions</v>
      </c>
      <c r="N1197" s="3" t="s">
        <v>10004</v>
      </c>
    </row>
    <row r="1198">
      <c r="A1198" s="3" t="s">
        <v>11200</v>
      </c>
      <c r="B1198" s="4" t="str">
        <f>C1198 &amp; " -&gt; " &amp; D1198</f>
        <v>principal-process-steward -&gt; ProcedureVersions.OverdueReviewCount</v>
      </c>
      <c r="C1198" s="3" t="s">
        <v>9772</v>
      </c>
      <c r="D1198" s="3" t="s">
        <v>2713</v>
      </c>
      <c r="E1198" s="3" t="b">
        <v>1</v>
      </c>
      <c r="F1198" s="3" t="b">
        <v>0</v>
      </c>
      <c r="G1198" s="3" t="s">
        <v>10003</v>
      </c>
      <c r="H1198" s="4" t="str">
        <f>_xlfn.IFNA(IF(((INDEX(RulebookFields!C2:C1898, MATCH(D1198,RulebookFields!A2:A1898, 0))="")=TRUE),  "",  INDEX(RulebookFields!C2:C1898, MATCH(D1198,RulebookFields!A2:A1898, 0))), "")</f>
        <v>ProcedureVersions</v>
      </c>
      <c r="I1198" s="4" t="str">
        <f>_xlfn.IFNA(IF(((INDEX(RulebookFields!D2:D1898, MATCH(D1198,RulebookFields!A2:A1898, 0))="")=TRUE),  "",  INDEX(RulebookFields!D2:D1898, MATCH(D1198,RulebookFields!A2:A1898, 0))), "")</f>
        <v>OverdueReviewCount</v>
      </c>
      <c r="J1198" s="4" t="b">
        <f>_xlfn.IFNA(IF(((INDEX(RulebookFields!I2:I1898, MATCH(D1198,RulebookFields!A2:A1898, 0))="")=TRUE),  "",  INDEX(RulebookFields!I2:I1898, MATCH(D1198,RulebookFields!A2:A1898, 0))), "")</f>
        <v>1</v>
      </c>
      <c r="K1198" s="4" t="b">
        <f>AND(((F1198)=TRUE), ((J1198)=TRUE))</f>
        <v>0</v>
      </c>
      <c r="L1198" s="4" t="b">
        <f>AND(((G1198 &lt;&gt; "plain")=TRUE), ((G1198 &lt;&gt; "")=TRUE))</f>
        <v>0</v>
      </c>
      <c r="M1198" s="4" t="str">
        <f>IF(((E1198)=TRUE),  C1198 &amp; "|" &amp; H1198,  "")</f>
        <v>principal-process-steward|ProcedureVersions</v>
      </c>
      <c r="N1198" s="3" t="s">
        <v>10004</v>
      </c>
    </row>
    <row r="1199">
      <c r="A1199" s="3" t="s">
        <v>11201</v>
      </c>
      <c r="B1199" s="4" t="str">
        <f>C1199 &amp; " -&gt; " &amp; D1199</f>
        <v>principal-process-steward -&gt; ProcedureVersions.OpenChangeRequestCount</v>
      </c>
      <c r="C1199" s="3" t="s">
        <v>9772</v>
      </c>
      <c r="D1199" s="3" t="s">
        <v>2715</v>
      </c>
      <c r="E1199" s="3" t="b">
        <v>1</v>
      </c>
      <c r="F1199" s="3" t="b">
        <v>0</v>
      </c>
      <c r="G1199" s="3" t="s">
        <v>10003</v>
      </c>
      <c r="H1199" s="4" t="str">
        <f>_xlfn.IFNA(IF(((INDEX(RulebookFields!C2:C1898, MATCH(D1199,RulebookFields!A2:A1898, 0))="")=TRUE),  "",  INDEX(RulebookFields!C2:C1898, MATCH(D1199,RulebookFields!A2:A1898, 0))), "")</f>
        <v>ProcedureVersions</v>
      </c>
      <c r="I1199" s="4" t="str">
        <f>_xlfn.IFNA(IF(((INDEX(RulebookFields!D2:D1898, MATCH(D1199,RulebookFields!A2:A1898, 0))="")=TRUE),  "",  INDEX(RulebookFields!D2:D1898, MATCH(D1199,RulebookFields!A2:A1898, 0))), "")</f>
        <v>OpenChangeRequestCount</v>
      </c>
      <c r="J1199" s="4" t="b">
        <f>_xlfn.IFNA(IF(((INDEX(RulebookFields!I2:I1898, MATCH(D1199,RulebookFields!A2:A1898, 0))="")=TRUE),  "",  INDEX(RulebookFields!I2:I1898, MATCH(D1199,RulebookFields!A2:A1898, 0))), "")</f>
        <v>1</v>
      </c>
      <c r="K1199" s="4" t="b">
        <f>AND(((F1199)=TRUE), ((J1199)=TRUE))</f>
        <v>0</v>
      </c>
      <c r="L1199" s="4" t="b">
        <f>AND(((G1199 &lt;&gt; "plain")=TRUE), ((G1199 &lt;&gt; "")=TRUE))</f>
        <v>0</v>
      </c>
      <c r="M1199" s="4" t="str">
        <f>IF(((E1199)=TRUE),  C1199 &amp; "|" &amp; H1199,  "")</f>
        <v>principal-process-steward|ProcedureVersions</v>
      </c>
      <c r="N1199" s="3" t="s">
        <v>10004</v>
      </c>
    </row>
    <row r="1200">
      <c r="A1200" s="3" t="s">
        <v>11202</v>
      </c>
      <c r="B1200" s="4" t="str">
        <f>C1200 &amp; " -&gt; " &amp; D1200</f>
        <v>principal-process-steward -&gt; ProcedureVersions.OpenHighSeverityGapCount</v>
      </c>
      <c r="C1200" s="3" t="s">
        <v>9772</v>
      </c>
      <c r="D1200" s="3" t="s">
        <v>2717</v>
      </c>
      <c r="E1200" s="3" t="b">
        <v>1</v>
      </c>
      <c r="F1200" s="3" t="b">
        <v>0</v>
      </c>
      <c r="G1200" s="3" t="s">
        <v>10003</v>
      </c>
      <c r="H1200" s="4" t="str">
        <f>_xlfn.IFNA(IF(((INDEX(RulebookFields!C2:C1898, MATCH(D1200,RulebookFields!A2:A1898, 0))="")=TRUE),  "",  INDEX(RulebookFields!C2:C1898, MATCH(D1200,RulebookFields!A2:A1898, 0))), "")</f>
        <v>ProcedureVersions</v>
      </c>
      <c r="I1200" s="4" t="str">
        <f>_xlfn.IFNA(IF(((INDEX(RulebookFields!D2:D1898, MATCH(D1200,RulebookFields!A2:A1898, 0))="")=TRUE),  "",  INDEX(RulebookFields!D2:D1898, MATCH(D1200,RulebookFields!A2:A1898, 0))), "")</f>
        <v>OpenHighSeverityGapCount</v>
      </c>
      <c r="J1200" s="4" t="b">
        <f>_xlfn.IFNA(IF(((INDEX(RulebookFields!I2:I1898, MATCH(D1200,RulebookFields!A2:A1898, 0))="")=TRUE),  "",  INDEX(RulebookFields!I2:I1898, MATCH(D1200,RulebookFields!A2:A1898, 0))), "")</f>
        <v>1</v>
      </c>
      <c r="K1200" s="4" t="b">
        <f>AND(((F1200)=TRUE), ((J1200)=TRUE))</f>
        <v>0</v>
      </c>
      <c r="L1200" s="4" t="b">
        <f>AND(((G1200 &lt;&gt; "plain")=TRUE), ((G1200 &lt;&gt; "")=TRUE))</f>
        <v>0</v>
      </c>
      <c r="M1200" s="4" t="str">
        <f>IF(((E1200)=TRUE),  C1200 &amp; "|" &amp; H1200,  "")</f>
        <v>principal-process-steward|ProcedureVersions</v>
      </c>
      <c r="N1200" s="3" t="s">
        <v>10004</v>
      </c>
    </row>
    <row r="1201">
      <c r="A1201" s="3" t="s">
        <v>11203</v>
      </c>
      <c r="B1201" s="4" t="str">
        <f>C1201 &amp; " -&gt; " &amp; D1201</f>
        <v>principal-process-steward -&gt; ProcedureVersions.IsFitToExecute</v>
      </c>
      <c r="C1201" s="3" t="s">
        <v>9772</v>
      </c>
      <c r="D1201" s="3" t="s">
        <v>2719</v>
      </c>
      <c r="E1201" s="3" t="b">
        <v>1</v>
      </c>
      <c r="F1201" s="3" t="b">
        <v>0</v>
      </c>
      <c r="G1201" s="3" t="s">
        <v>10003</v>
      </c>
      <c r="H1201" s="4" t="str">
        <f>_xlfn.IFNA(IF(((INDEX(RulebookFields!C2:C1898, MATCH(D1201,RulebookFields!A2:A1898, 0))="")=TRUE),  "",  INDEX(RulebookFields!C2:C1898, MATCH(D1201,RulebookFields!A2:A1898, 0))), "")</f>
        <v>ProcedureVersions</v>
      </c>
      <c r="I1201" s="4" t="str">
        <f>_xlfn.IFNA(IF(((INDEX(RulebookFields!D2:D1898, MATCH(D1201,RulebookFields!A2:A1898, 0))="")=TRUE),  "",  INDEX(RulebookFields!D2:D1898, MATCH(D1201,RulebookFields!A2:A1898, 0))), "")</f>
        <v>IsFitToExecute</v>
      </c>
      <c r="J1201" s="4" t="b">
        <f>_xlfn.IFNA(IF(((INDEX(RulebookFields!I2:I1898, MATCH(D1201,RulebookFields!A2:A1898, 0))="")=TRUE),  "",  INDEX(RulebookFields!I2:I1898, MATCH(D1201,RulebookFields!A2:A1898, 0))), "")</f>
        <v>1</v>
      </c>
      <c r="K1201" s="4" t="b">
        <f>AND(((F1201)=TRUE), ((J1201)=TRUE))</f>
        <v>0</v>
      </c>
      <c r="L1201" s="4" t="b">
        <f>AND(((G1201 &lt;&gt; "plain")=TRUE), ((G1201 &lt;&gt; "")=TRUE))</f>
        <v>0</v>
      </c>
      <c r="M1201" s="4" t="str">
        <f>IF(((E1201)=TRUE),  C1201 &amp; "|" &amp; H1201,  "")</f>
        <v>principal-process-steward|ProcedureVersions</v>
      </c>
      <c r="N1201" s="3" t="s">
        <v>10004</v>
      </c>
    </row>
    <row r="1202">
      <c r="A1202" s="3" t="s">
        <v>11204</v>
      </c>
      <c r="B1202" s="4" t="str">
        <f>C1202 &amp; " -&gt; " &amp; D1202</f>
        <v>principal-process-steward -&gt; ProcedureVersions.StewardReviewCadenceDays</v>
      </c>
      <c r="C1202" s="3" t="s">
        <v>9772</v>
      </c>
      <c r="D1202" s="3" t="s">
        <v>2721</v>
      </c>
      <c r="E1202" s="3" t="b">
        <v>1</v>
      </c>
      <c r="F1202" s="3" t="b">
        <v>0</v>
      </c>
      <c r="G1202" s="3" t="s">
        <v>10003</v>
      </c>
      <c r="H1202" s="4" t="str">
        <f>_xlfn.IFNA(IF(((INDEX(RulebookFields!C2:C1898, MATCH(D1202,RulebookFields!A2:A1898, 0))="")=TRUE),  "",  INDEX(RulebookFields!C2:C1898, MATCH(D1202,RulebookFields!A2:A1898, 0))), "")</f>
        <v>ProcedureVersions</v>
      </c>
      <c r="I1202" s="4" t="str">
        <f>_xlfn.IFNA(IF(((INDEX(RulebookFields!D2:D1898, MATCH(D1202,RulebookFields!A2:A1898, 0))="")=TRUE),  "",  INDEX(RulebookFields!D2:D1898, MATCH(D1202,RulebookFields!A2:A1898, 0))), "")</f>
        <v>StewardReviewCadenceDays</v>
      </c>
      <c r="J1202" s="4" t="b">
        <f>_xlfn.IFNA(IF(((INDEX(RulebookFields!I2:I1898, MATCH(D1202,RulebookFields!A2:A1898, 0))="")=TRUE),  "",  INDEX(RulebookFields!I2:I1898, MATCH(D1202,RulebookFields!A2:A1898, 0))), "")</f>
        <v>1</v>
      </c>
      <c r="K1202" s="4" t="b">
        <f>AND(((F1202)=TRUE), ((J1202)=TRUE))</f>
        <v>0</v>
      </c>
      <c r="L1202" s="4" t="b">
        <f>AND(((G1202 &lt;&gt; "plain")=TRUE), ((G1202 &lt;&gt; "")=TRUE))</f>
        <v>0</v>
      </c>
      <c r="M1202" s="4" t="str">
        <f>IF(((E1202)=TRUE),  C1202 &amp; "|" &amp; H1202,  "")</f>
        <v>principal-process-steward|ProcedureVersions</v>
      </c>
      <c r="N1202" s="3" t="s">
        <v>10004</v>
      </c>
    </row>
    <row r="1203">
      <c r="A1203" s="3" t="s">
        <v>11205</v>
      </c>
      <c r="B1203" s="4" t="str">
        <f>C1203 &amp; " -&gt; " &amp; D1203</f>
        <v>principal-process-steward -&gt; ProcedureVersions.CountOfStewardshipAssignments</v>
      </c>
      <c r="C1203" s="3" t="s">
        <v>9772</v>
      </c>
      <c r="D1203" s="3" t="s">
        <v>2723</v>
      </c>
      <c r="E1203" s="3" t="b">
        <v>1</v>
      </c>
      <c r="F1203" s="3" t="b">
        <v>0</v>
      </c>
      <c r="G1203" s="3" t="s">
        <v>10003</v>
      </c>
      <c r="H1203" s="4" t="str">
        <f>_xlfn.IFNA(IF(((INDEX(RulebookFields!C2:C1898, MATCH(D1203,RulebookFields!A2:A1898, 0))="")=TRUE),  "",  INDEX(RulebookFields!C2:C1898, MATCH(D1203,RulebookFields!A2:A1898, 0))), "")</f>
        <v>ProcedureVersions</v>
      </c>
      <c r="I1203" s="4" t="str">
        <f>_xlfn.IFNA(IF(((INDEX(RulebookFields!D2:D1898, MATCH(D1203,RulebookFields!A2:A1898, 0))="")=TRUE),  "",  INDEX(RulebookFields!D2:D1898, MATCH(D1203,RulebookFields!A2:A1898, 0))), "")</f>
        <v>CountOfStewardshipAssignments</v>
      </c>
      <c r="J1203" s="4" t="b">
        <f>_xlfn.IFNA(IF(((INDEX(RulebookFields!I2:I1898, MATCH(D1203,RulebookFields!A2:A1898, 0))="")=TRUE),  "",  INDEX(RulebookFields!I2:I1898, MATCH(D1203,RulebookFields!A2:A1898, 0))), "")</f>
        <v>1</v>
      </c>
      <c r="K1203" s="4" t="b">
        <f>AND(((F1203)=TRUE), ((J1203)=TRUE))</f>
        <v>0</v>
      </c>
      <c r="L1203" s="4" t="b">
        <f>AND(((G1203 &lt;&gt; "plain")=TRUE), ((G1203 &lt;&gt; "")=TRUE))</f>
        <v>0</v>
      </c>
      <c r="M1203" s="4" t="str">
        <f>IF(((E1203)=TRUE),  C1203 &amp; "|" &amp; H1203,  "")</f>
        <v>principal-process-steward|ProcedureVersions</v>
      </c>
      <c r="N1203" s="3" t="s">
        <v>10004</v>
      </c>
    </row>
    <row r="1204">
      <c r="A1204" s="3" t="s">
        <v>11206</v>
      </c>
      <c r="B1204" s="4" t="str">
        <f>C1204 &amp; " -&gt; " &amp; D1204</f>
        <v>principal-process-steward -&gt; ProcedureVersions.HasAnySteward</v>
      </c>
      <c r="C1204" s="3" t="s">
        <v>9772</v>
      </c>
      <c r="D1204" s="3" t="s">
        <v>2725</v>
      </c>
      <c r="E1204" s="3" t="b">
        <v>1</v>
      </c>
      <c r="F1204" s="3" t="b">
        <v>0</v>
      </c>
      <c r="G1204" s="3" t="s">
        <v>10003</v>
      </c>
      <c r="H1204" s="4" t="str">
        <f>_xlfn.IFNA(IF(((INDEX(RulebookFields!C2:C1898, MATCH(D1204,RulebookFields!A2:A1898, 0))="")=TRUE),  "",  INDEX(RulebookFields!C2:C1898, MATCH(D1204,RulebookFields!A2:A1898, 0))), "")</f>
        <v>ProcedureVersions</v>
      </c>
      <c r="I1204" s="4" t="str">
        <f>_xlfn.IFNA(IF(((INDEX(RulebookFields!D2:D1898, MATCH(D1204,RulebookFields!A2:A1898, 0))="")=TRUE),  "",  INDEX(RulebookFields!D2:D1898, MATCH(D1204,RulebookFields!A2:A1898, 0))), "")</f>
        <v>HasAnySteward</v>
      </c>
      <c r="J1204" s="4" t="b">
        <f>_xlfn.IFNA(IF(((INDEX(RulebookFields!I2:I1898, MATCH(D1204,RulebookFields!A2:A1898, 0))="")=TRUE),  "",  INDEX(RulebookFields!I2:I1898, MATCH(D1204,RulebookFields!A2:A1898, 0))), "")</f>
        <v>1</v>
      </c>
      <c r="K1204" s="4" t="b">
        <f>AND(((F1204)=TRUE), ((J1204)=TRUE))</f>
        <v>0</v>
      </c>
      <c r="L1204" s="4" t="b">
        <f>AND(((G1204 &lt;&gt; "plain")=TRUE), ((G1204 &lt;&gt; "")=TRUE))</f>
        <v>0</v>
      </c>
      <c r="M1204" s="4" t="str">
        <f>IF(((E1204)=TRUE),  C1204 &amp; "|" &amp; H1204,  "")</f>
        <v>principal-process-steward|ProcedureVersions</v>
      </c>
      <c r="N1204" s="3" t="s">
        <v>10004</v>
      </c>
    </row>
    <row r="1205">
      <c r="A1205" s="3" t="s">
        <v>11207</v>
      </c>
      <c r="B1205" s="4" t="str">
        <f>C1205 &amp; " -&gt; " &amp; D1205</f>
        <v>principal-process-steward -&gt; ProcedureVersions.IsLive</v>
      </c>
      <c r="C1205" s="3" t="s">
        <v>9772</v>
      </c>
      <c r="D1205" s="3" t="s">
        <v>2727</v>
      </c>
      <c r="E1205" s="3" t="b">
        <v>1</v>
      </c>
      <c r="F1205" s="3" t="b">
        <v>0</v>
      </c>
      <c r="G1205" s="3" t="s">
        <v>10003</v>
      </c>
      <c r="H1205" s="4" t="str">
        <f>_xlfn.IFNA(IF(((INDEX(RulebookFields!C2:C1898, MATCH(D1205,RulebookFields!A2:A1898, 0))="")=TRUE),  "",  INDEX(RulebookFields!C2:C1898, MATCH(D1205,RulebookFields!A2:A1898, 0))), "")</f>
        <v>ProcedureVersions</v>
      </c>
      <c r="I1205" s="4" t="str">
        <f>_xlfn.IFNA(IF(((INDEX(RulebookFields!D2:D1898, MATCH(D1205,RulebookFields!A2:A1898, 0))="")=TRUE),  "",  INDEX(RulebookFields!D2:D1898, MATCH(D1205,RulebookFields!A2:A1898, 0))), "")</f>
        <v>IsLive</v>
      </c>
      <c r="J1205" s="4" t="b">
        <f>_xlfn.IFNA(IF(((INDEX(RulebookFields!I2:I1898, MATCH(D1205,RulebookFields!A2:A1898, 0))="")=TRUE),  "",  INDEX(RulebookFields!I2:I1898, MATCH(D1205,RulebookFields!A2:A1898, 0))), "")</f>
        <v>1</v>
      </c>
      <c r="K1205" s="4" t="b">
        <f>AND(((F1205)=TRUE), ((J1205)=TRUE))</f>
        <v>0</v>
      </c>
      <c r="L1205" s="4" t="b">
        <f>AND(((G1205 &lt;&gt; "plain")=TRUE), ((G1205 &lt;&gt; "")=TRUE))</f>
        <v>0</v>
      </c>
      <c r="M1205" s="4" t="str">
        <f>IF(((E1205)=TRUE),  C1205 &amp; "|" &amp; H1205,  "")</f>
        <v>principal-process-steward|ProcedureVersions</v>
      </c>
      <c r="N1205" s="3" t="s">
        <v>10004</v>
      </c>
    </row>
    <row r="1206">
      <c r="A1206" s="3" t="s">
        <v>11208</v>
      </c>
      <c r="B1206" s="4" t="str">
        <f>C1206 &amp; " -&gt; " &amp; D1206</f>
        <v>principal-process-steward -&gt; ProcedureVersions.IsUnstewarded</v>
      </c>
      <c r="C1206" s="3" t="s">
        <v>9772</v>
      </c>
      <c r="D1206" s="3" t="s">
        <v>2729</v>
      </c>
      <c r="E1206" s="3" t="b">
        <v>1</v>
      </c>
      <c r="F1206" s="3" t="b">
        <v>0</v>
      </c>
      <c r="G1206" s="3" t="s">
        <v>10003</v>
      </c>
      <c r="H1206" s="4" t="str">
        <f>_xlfn.IFNA(IF(((INDEX(RulebookFields!C2:C1898, MATCH(D1206,RulebookFields!A2:A1898, 0))="")=TRUE),  "",  INDEX(RulebookFields!C2:C1898, MATCH(D1206,RulebookFields!A2:A1898, 0))), "")</f>
        <v>ProcedureVersions</v>
      </c>
      <c r="I1206" s="4" t="str">
        <f>_xlfn.IFNA(IF(((INDEX(RulebookFields!D2:D1898, MATCH(D1206,RulebookFields!A2:A1898, 0))="")=TRUE),  "",  INDEX(RulebookFields!D2:D1898, MATCH(D1206,RulebookFields!A2:A1898, 0))), "")</f>
        <v>IsUnstewarded</v>
      </c>
      <c r="J1206" s="4" t="b">
        <f>_xlfn.IFNA(IF(((INDEX(RulebookFields!I2:I1898, MATCH(D1206,RulebookFields!A2:A1898, 0))="")=TRUE),  "",  INDEX(RulebookFields!I2:I1898, MATCH(D1206,RulebookFields!A2:A1898, 0))), "")</f>
        <v>1</v>
      </c>
      <c r="K1206" s="4" t="b">
        <f>AND(((F1206)=TRUE), ((J1206)=TRUE))</f>
        <v>0</v>
      </c>
      <c r="L1206" s="4" t="b">
        <f>AND(((G1206 &lt;&gt; "plain")=TRUE), ((G1206 &lt;&gt; "")=TRUE))</f>
        <v>0</v>
      </c>
      <c r="M1206" s="4" t="str">
        <f>IF(((E1206)=TRUE),  C1206 &amp; "|" &amp; H1206,  "")</f>
        <v>principal-process-steward|ProcedureVersions</v>
      </c>
      <c r="N1206" s="3" t="s">
        <v>10004</v>
      </c>
    </row>
    <row r="1207">
      <c r="A1207" s="3" t="s">
        <v>11209</v>
      </c>
      <c r="B1207" s="4" t="str">
        <f>C1207 &amp; " -&gt; " &amp; D1207</f>
        <v>principal-process-steward -&gt; ProcedureVersions.IsLiveAndUnstewarded</v>
      </c>
      <c r="C1207" s="3" t="s">
        <v>9772</v>
      </c>
      <c r="D1207" s="3" t="s">
        <v>2731</v>
      </c>
      <c r="E1207" s="3" t="b">
        <v>1</v>
      </c>
      <c r="F1207" s="3" t="b">
        <v>0</v>
      </c>
      <c r="G1207" s="3" t="s">
        <v>10003</v>
      </c>
      <c r="H1207" s="4" t="str">
        <f>_xlfn.IFNA(IF(((INDEX(RulebookFields!C2:C1898, MATCH(D1207,RulebookFields!A2:A1898, 0))="")=TRUE),  "",  INDEX(RulebookFields!C2:C1898, MATCH(D1207,RulebookFields!A2:A1898, 0))), "")</f>
        <v>ProcedureVersions</v>
      </c>
      <c r="I1207" s="4" t="str">
        <f>_xlfn.IFNA(IF(((INDEX(RulebookFields!D2:D1898, MATCH(D1207,RulebookFields!A2:A1898, 0))="")=TRUE),  "",  INDEX(RulebookFields!D2:D1898, MATCH(D1207,RulebookFields!A2:A1898, 0))), "")</f>
        <v>IsLiveAndUnstewarded</v>
      </c>
      <c r="J1207" s="4" t="b">
        <f>_xlfn.IFNA(IF(((INDEX(RulebookFields!I2:I1898, MATCH(D1207,RulebookFields!A2:A1898, 0))="")=TRUE),  "",  INDEX(RulebookFields!I2:I1898, MATCH(D1207,RulebookFields!A2:A1898, 0))), "")</f>
        <v>1</v>
      </c>
      <c r="K1207" s="4" t="b">
        <f>AND(((F1207)=TRUE), ((J1207)=TRUE))</f>
        <v>0</v>
      </c>
      <c r="L1207" s="4" t="b">
        <f>AND(((G1207 &lt;&gt; "plain")=TRUE), ((G1207 &lt;&gt; "")=TRUE))</f>
        <v>0</v>
      </c>
      <c r="M1207" s="4" t="str">
        <f>IF(((E1207)=TRUE),  C1207 &amp; "|" &amp; H1207,  "")</f>
        <v>principal-process-steward|ProcedureVersions</v>
      </c>
      <c r="N1207" s="3" t="s">
        <v>10004</v>
      </c>
    </row>
    <row r="1208">
      <c r="A1208" s="3" t="s">
        <v>11210</v>
      </c>
      <c r="B1208" s="4" t="str">
        <f>C1208 &amp; " -&gt; " &amp; D1208</f>
        <v>principal-process-steward -&gt; ProcedureVersions.CountOfOpenBlockingGaps</v>
      </c>
      <c r="C1208" s="3" t="s">
        <v>9772</v>
      </c>
      <c r="D1208" s="3" t="s">
        <v>2733</v>
      </c>
      <c r="E1208" s="3" t="b">
        <v>1</v>
      </c>
      <c r="F1208" s="3" t="b">
        <v>0</v>
      </c>
      <c r="G1208" s="3" t="s">
        <v>10003</v>
      </c>
      <c r="H1208" s="4" t="str">
        <f>_xlfn.IFNA(IF(((INDEX(RulebookFields!C2:C1898, MATCH(D1208,RulebookFields!A2:A1898, 0))="")=TRUE),  "",  INDEX(RulebookFields!C2:C1898, MATCH(D1208,RulebookFields!A2:A1898, 0))), "")</f>
        <v>ProcedureVersions</v>
      </c>
      <c r="I1208" s="4" t="str">
        <f>_xlfn.IFNA(IF(((INDEX(RulebookFields!D2:D1898, MATCH(D1208,RulebookFields!A2:A1898, 0))="")=TRUE),  "",  INDEX(RulebookFields!D2:D1898, MATCH(D1208,RulebookFields!A2:A1898, 0))), "")</f>
        <v>CountOfOpenBlockingGaps</v>
      </c>
      <c r="J1208" s="4" t="b">
        <f>_xlfn.IFNA(IF(((INDEX(RulebookFields!I2:I1898, MATCH(D1208,RulebookFields!A2:A1898, 0))="")=TRUE),  "",  INDEX(RulebookFields!I2:I1898, MATCH(D1208,RulebookFields!A2:A1898, 0))), "")</f>
        <v>1</v>
      </c>
      <c r="K1208" s="4" t="b">
        <f>AND(((F1208)=TRUE), ((J1208)=TRUE))</f>
        <v>0</v>
      </c>
      <c r="L1208" s="4" t="b">
        <f>AND(((G1208 &lt;&gt; "plain")=TRUE), ((G1208 &lt;&gt; "")=TRUE))</f>
        <v>0</v>
      </c>
      <c r="M1208" s="4" t="str">
        <f>IF(((E1208)=TRUE),  C1208 &amp; "|" &amp; H1208,  "")</f>
        <v>principal-process-steward|ProcedureVersions</v>
      </c>
      <c r="N1208" s="3" t="s">
        <v>10004</v>
      </c>
    </row>
    <row r="1209">
      <c r="A1209" s="3" t="s">
        <v>11211</v>
      </c>
      <c r="B1209" s="4" t="str">
        <f>C1209 &amp; " -&gt; " &amp; D1209</f>
        <v>principal-process-steward -&gt; ProcedureVersions.HasOpenBlockingGap</v>
      </c>
      <c r="C1209" s="3" t="s">
        <v>9772</v>
      </c>
      <c r="D1209" s="3" t="s">
        <v>2735</v>
      </c>
      <c r="E1209" s="3" t="b">
        <v>1</v>
      </c>
      <c r="F1209" s="3" t="b">
        <v>0</v>
      </c>
      <c r="G1209" s="3" t="s">
        <v>10003</v>
      </c>
      <c r="H1209" s="4" t="str">
        <f>_xlfn.IFNA(IF(((INDEX(RulebookFields!C2:C1898, MATCH(D1209,RulebookFields!A2:A1898, 0))="")=TRUE),  "",  INDEX(RulebookFields!C2:C1898, MATCH(D1209,RulebookFields!A2:A1898, 0))), "")</f>
        <v>ProcedureVersions</v>
      </c>
      <c r="I1209" s="4" t="str">
        <f>_xlfn.IFNA(IF(((INDEX(RulebookFields!D2:D1898, MATCH(D1209,RulebookFields!A2:A1898, 0))="")=TRUE),  "",  INDEX(RulebookFields!D2:D1898, MATCH(D1209,RulebookFields!A2:A1898, 0))), "")</f>
        <v>HasOpenBlockingGap</v>
      </c>
      <c r="J1209" s="4" t="b">
        <f>_xlfn.IFNA(IF(((INDEX(RulebookFields!I2:I1898, MATCH(D1209,RulebookFields!A2:A1898, 0))="")=TRUE),  "",  INDEX(RulebookFields!I2:I1898, MATCH(D1209,RulebookFields!A2:A1898, 0))), "")</f>
        <v>1</v>
      </c>
      <c r="K1209" s="4" t="b">
        <f>AND(((F1209)=TRUE), ((J1209)=TRUE))</f>
        <v>0</v>
      </c>
      <c r="L1209" s="4" t="b">
        <f>AND(((G1209 &lt;&gt; "plain")=TRUE), ((G1209 &lt;&gt; "")=TRUE))</f>
        <v>0</v>
      </c>
      <c r="M1209" s="4" t="str">
        <f>IF(((E1209)=TRUE),  C1209 &amp; "|" &amp; H1209,  "")</f>
        <v>principal-process-steward|ProcedureVersions</v>
      </c>
      <c r="N1209" s="3" t="s">
        <v>10004</v>
      </c>
    </row>
    <row r="1210">
      <c r="A1210" s="3" t="s">
        <v>11212</v>
      </c>
      <c r="B1210" s="4" t="str">
        <f>C1210 &amp; " -&gt; " &amp; D1210</f>
        <v>principal-process-steward -&gt; ProcedureVersions.IsLiveWithBlockingGap</v>
      </c>
      <c r="C1210" s="3" t="s">
        <v>9772</v>
      </c>
      <c r="D1210" s="3" t="s">
        <v>2737</v>
      </c>
      <c r="E1210" s="3" t="b">
        <v>1</v>
      </c>
      <c r="F1210" s="3" t="b">
        <v>0</v>
      </c>
      <c r="G1210" s="3" t="s">
        <v>10003</v>
      </c>
      <c r="H1210" s="4" t="str">
        <f>_xlfn.IFNA(IF(((INDEX(RulebookFields!C2:C1898, MATCH(D1210,RulebookFields!A2:A1898, 0))="")=TRUE),  "",  INDEX(RulebookFields!C2:C1898, MATCH(D1210,RulebookFields!A2:A1898, 0))), "")</f>
        <v>ProcedureVersions</v>
      </c>
      <c r="I1210" s="4" t="str">
        <f>_xlfn.IFNA(IF(((INDEX(RulebookFields!D2:D1898, MATCH(D1210,RulebookFields!A2:A1898, 0))="")=TRUE),  "",  INDEX(RulebookFields!D2:D1898, MATCH(D1210,RulebookFields!A2:A1898, 0))), "")</f>
        <v>IsLiveWithBlockingGap</v>
      </c>
      <c r="J1210" s="4" t="b">
        <f>_xlfn.IFNA(IF(((INDEX(RulebookFields!I2:I1898, MATCH(D1210,RulebookFields!A2:A1898, 0))="")=TRUE),  "",  INDEX(RulebookFields!I2:I1898, MATCH(D1210,RulebookFields!A2:A1898, 0))), "")</f>
        <v>1</v>
      </c>
      <c r="K1210" s="4" t="b">
        <f>AND(((F1210)=TRUE), ((J1210)=TRUE))</f>
        <v>0</v>
      </c>
      <c r="L1210" s="4" t="b">
        <f>AND(((G1210 &lt;&gt; "plain")=TRUE), ((G1210 &lt;&gt; "")=TRUE))</f>
        <v>0</v>
      </c>
      <c r="M1210" s="4" t="str">
        <f>IF(((E1210)=TRUE),  C1210 &amp; "|" &amp; H1210,  "")</f>
        <v>principal-process-steward|ProcedureVersions</v>
      </c>
      <c r="N1210" s="3" t="s">
        <v>10004</v>
      </c>
    </row>
    <row r="1211">
      <c r="A1211" s="3" t="s">
        <v>11213</v>
      </c>
      <c r="B1211" s="4" t="str">
        <f>C1211 &amp; " -&gt; " &amp; D1211</f>
        <v>principal-process-steward -&gt; ProcedureVersions.ShouldNotBeExecutable</v>
      </c>
      <c r="C1211" s="3" t="s">
        <v>9772</v>
      </c>
      <c r="D1211" s="3" t="s">
        <v>2739</v>
      </c>
      <c r="E1211" s="3" t="b">
        <v>1</v>
      </c>
      <c r="F1211" s="3" t="b">
        <v>0</v>
      </c>
      <c r="G1211" s="3" t="s">
        <v>10003</v>
      </c>
      <c r="H1211" s="4" t="str">
        <f>_xlfn.IFNA(IF(((INDEX(RulebookFields!C2:C1898, MATCH(D1211,RulebookFields!A2:A1898, 0))="")=TRUE),  "",  INDEX(RulebookFields!C2:C1898, MATCH(D1211,RulebookFields!A2:A1898, 0))), "")</f>
        <v>ProcedureVersions</v>
      </c>
      <c r="I1211" s="4" t="str">
        <f>_xlfn.IFNA(IF(((INDEX(RulebookFields!D2:D1898, MATCH(D1211,RulebookFields!A2:A1898, 0))="")=TRUE),  "",  INDEX(RulebookFields!D2:D1898, MATCH(D1211,RulebookFields!A2:A1898, 0))), "")</f>
        <v>ShouldNotBeExecutable</v>
      </c>
      <c r="J1211" s="4" t="b">
        <f>_xlfn.IFNA(IF(((INDEX(RulebookFields!I2:I1898, MATCH(D1211,RulebookFields!A2:A1898, 0))="")=TRUE),  "",  INDEX(RulebookFields!I2:I1898, MATCH(D1211,RulebookFields!A2:A1898, 0))), "")</f>
        <v>1</v>
      </c>
      <c r="K1211" s="4" t="b">
        <f>AND(((F1211)=TRUE), ((J1211)=TRUE))</f>
        <v>0</v>
      </c>
      <c r="L1211" s="4" t="b">
        <f>AND(((G1211 &lt;&gt; "plain")=TRUE), ((G1211 &lt;&gt; "")=TRUE))</f>
        <v>0</v>
      </c>
      <c r="M1211" s="4" t="str">
        <f>IF(((E1211)=TRUE),  C1211 &amp; "|" &amp; H1211,  "")</f>
        <v>principal-process-steward|ProcedureVersions</v>
      </c>
      <c r="N1211" s="3" t="s">
        <v>10004</v>
      </c>
    </row>
    <row r="1212">
      <c r="A1212" s="3" t="s">
        <v>11214</v>
      </c>
      <c r="B1212" s="4" t="str">
        <f>C1212 &amp; " -&gt; " &amp; D1212</f>
        <v>principal-process-steward -&gt; ProcedureVersions.CountOfUnapprovedRelianceFragments</v>
      </c>
      <c r="C1212" s="3" t="s">
        <v>9772</v>
      </c>
      <c r="D1212" s="3" t="s">
        <v>2741</v>
      </c>
      <c r="E1212" s="3" t="b">
        <v>1</v>
      </c>
      <c r="F1212" s="3" t="b">
        <v>0</v>
      </c>
      <c r="G1212" s="3" t="s">
        <v>10003</v>
      </c>
      <c r="H1212" s="4" t="str">
        <f>_xlfn.IFNA(IF(((INDEX(RulebookFields!C2:C1898, MATCH(D1212,RulebookFields!A2:A1898, 0))="")=TRUE),  "",  INDEX(RulebookFields!C2:C1898, MATCH(D1212,RulebookFields!A2:A1898, 0))), "")</f>
        <v>ProcedureVersions</v>
      </c>
      <c r="I1212" s="4" t="str">
        <f>_xlfn.IFNA(IF(((INDEX(RulebookFields!D2:D1898, MATCH(D1212,RulebookFields!A2:A1898, 0))="")=TRUE),  "",  INDEX(RulebookFields!D2:D1898, MATCH(D1212,RulebookFields!A2:A1898, 0))), "")</f>
        <v>CountOfUnapprovedRelianceFragments</v>
      </c>
      <c r="J1212" s="4" t="b">
        <f>_xlfn.IFNA(IF(((INDEX(RulebookFields!I2:I1898, MATCH(D1212,RulebookFields!A2:A1898, 0))="")=TRUE),  "",  INDEX(RulebookFields!I2:I1898, MATCH(D1212,RulebookFields!A2:A1898, 0))), "")</f>
        <v>1</v>
      </c>
      <c r="K1212" s="4" t="b">
        <f>AND(((F1212)=TRUE), ((J1212)=TRUE))</f>
        <v>0</v>
      </c>
      <c r="L1212" s="4" t="b">
        <f>AND(((G1212 &lt;&gt; "plain")=TRUE), ((G1212 &lt;&gt; "")=TRUE))</f>
        <v>0</v>
      </c>
      <c r="M1212" s="4" t="str">
        <f>IF(((E1212)=TRUE),  C1212 &amp; "|" &amp; H1212,  "")</f>
        <v>principal-process-steward|ProcedureVersions</v>
      </c>
      <c r="N1212" s="3" t="s">
        <v>10004</v>
      </c>
    </row>
    <row r="1213">
      <c r="A1213" s="3" t="s">
        <v>11215</v>
      </c>
      <c r="B1213" s="4" t="str">
        <f>C1213 &amp; " -&gt; " &amp; D1213</f>
        <v>principal-process-steward -&gt; ProcedureVersions.RunsOnUnapprovedKnowledge</v>
      </c>
      <c r="C1213" s="3" t="s">
        <v>9772</v>
      </c>
      <c r="D1213" s="3" t="s">
        <v>2743</v>
      </c>
      <c r="E1213" s="3" t="b">
        <v>1</v>
      </c>
      <c r="F1213" s="3" t="b">
        <v>0</v>
      </c>
      <c r="G1213" s="3" t="s">
        <v>10003</v>
      </c>
      <c r="H1213" s="4" t="str">
        <f>_xlfn.IFNA(IF(((INDEX(RulebookFields!C2:C1898, MATCH(D1213,RulebookFields!A2:A1898, 0))="")=TRUE),  "",  INDEX(RulebookFields!C2:C1898, MATCH(D1213,RulebookFields!A2:A1898, 0))), "")</f>
        <v>ProcedureVersions</v>
      </c>
      <c r="I1213" s="4" t="str">
        <f>_xlfn.IFNA(IF(((INDEX(RulebookFields!D2:D1898, MATCH(D1213,RulebookFields!A2:A1898, 0))="")=TRUE),  "",  INDEX(RulebookFields!D2:D1898, MATCH(D1213,RulebookFields!A2:A1898, 0))), "")</f>
        <v>RunsOnUnapprovedKnowledge</v>
      </c>
      <c r="J1213" s="4" t="b">
        <f>_xlfn.IFNA(IF(((INDEX(RulebookFields!I2:I1898, MATCH(D1213,RulebookFields!A2:A1898, 0))="")=TRUE),  "",  INDEX(RulebookFields!I2:I1898, MATCH(D1213,RulebookFields!A2:A1898, 0))), "")</f>
        <v>1</v>
      </c>
      <c r="K1213" s="4" t="b">
        <f>AND(((F1213)=TRUE), ((J1213)=TRUE))</f>
        <v>0</v>
      </c>
      <c r="L1213" s="4" t="b">
        <f>AND(((G1213 &lt;&gt; "plain")=TRUE), ((G1213 &lt;&gt; "")=TRUE))</f>
        <v>0</v>
      </c>
      <c r="M1213" s="4" t="str">
        <f>IF(((E1213)=TRUE),  C1213 &amp; "|" &amp; H1213,  "")</f>
        <v>principal-process-steward|ProcedureVersions</v>
      </c>
      <c r="N1213" s="3" t="s">
        <v>10004</v>
      </c>
    </row>
    <row r="1214">
      <c r="A1214" s="3" t="s">
        <v>11216</v>
      </c>
      <c r="B1214" s="4" t="str">
        <f>C1214 &amp; " -&gt; " &amp; D1214</f>
        <v>principal-process-steward -&gt; ProcedureVersions.CountOfOverdueGaps</v>
      </c>
      <c r="C1214" s="3" t="s">
        <v>9772</v>
      </c>
      <c r="D1214" s="3" t="s">
        <v>2745</v>
      </c>
      <c r="E1214" s="3" t="b">
        <v>1</v>
      </c>
      <c r="F1214" s="3" t="b">
        <v>0</v>
      </c>
      <c r="G1214" s="3" t="s">
        <v>10003</v>
      </c>
      <c r="H1214" s="4" t="str">
        <f>_xlfn.IFNA(IF(((INDEX(RulebookFields!C2:C1898, MATCH(D1214,RulebookFields!A2:A1898, 0))="")=TRUE),  "",  INDEX(RulebookFields!C2:C1898, MATCH(D1214,RulebookFields!A2:A1898, 0))), "")</f>
        <v>ProcedureVersions</v>
      </c>
      <c r="I1214" s="4" t="str">
        <f>_xlfn.IFNA(IF(((INDEX(RulebookFields!D2:D1898, MATCH(D1214,RulebookFields!A2:A1898, 0))="")=TRUE),  "",  INDEX(RulebookFields!D2:D1898, MATCH(D1214,RulebookFields!A2:A1898, 0))), "")</f>
        <v>CountOfOverdueGaps</v>
      </c>
      <c r="J1214" s="4" t="b">
        <f>_xlfn.IFNA(IF(((INDEX(RulebookFields!I2:I1898, MATCH(D1214,RulebookFields!A2:A1898, 0))="")=TRUE),  "",  INDEX(RulebookFields!I2:I1898, MATCH(D1214,RulebookFields!A2:A1898, 0))), "")</f>
        <v>1</v>
      </c>
      <c r="K1214" s="4" t="b">
        <f>AND(((F1214)=TRUE), ((J1214)=TRUE))</f>
        <v>0</v>
      </c>
      <c r="L1214" s="4" t="b">
        <f>AND(((G1214 &lt;&gt; "plain")=TRUE), ((G1214 &lt;&gt; "")=TRUE))</f>
        <v>0</v>
      </c>
      <c r="M1214" s="4" t="str">
        <f>IF(((E1214)=TRUE),  C1214 &amp; "|" &amp; H1214,  "")</f>
        <v>principal-process-steward|ProcedureVersions</v>
      </c>
      <c r="N1214" s="3" t="s">
        <v>10004</v>
      </c>
    </row>
    <row r="1215">
      <c r="A1215" s="3" t="s">
        <v>11217</v>
      </c>
      <c r="B1215" s="4" t="str">
        <f>C1215 &amp; " -&gt; " &amp; D1215</f>
        <v>principal-process-steward -&gt; ProcedureVersions.CountOfChangeRequests</v>
      </c>
      <c r="C1215" s="3" t="s">
        <v>9772</v>
      </c>
      <c r="D1215" s="3" t="s">
        <v>2747</v>
      </c>
      <c r="E1215" s="3" t="b">
        <v>1</v>
      </c>
      <c r="F1215" s="3" t="b">
        <v>0</v>
      </c>
      <c r="G1215" s="3" t="s">
        <v>10003</v>
      </c>
      <c r="H1215" s="4" t="str">
        <f>_xlfn.IFNA(IF(((INDEX(RulebookFields!C2:C1898, MATCH(D1215,RulebookFields!A2:A1898, 0))="")=TRUE),  "",  INDEX(RulebookFields!C2:C1898, MATCH(D1215,RulebookFields!A2:A1898, 0))), "")</f>
        <v>ProcedureVersions</v>
      </c>
      <c r="I1215" s="4" t="str">
        <f>_xlfn.IFNA(IF(((INDEX(RulebookFields!D2:D1898, MATCH(D1215,RulebookFields!A2:A1898, 0))="")=TRUE),  "",  INDEX(RulebookFields!D2:D1898, MATCH(D1215,RulebookFields!A2:A1898, 0))), "")</f>
        <v>CountOfChangeRequests</v>
      </c>
      <c r="J1215" s="4" t="b">
        <f>_xlfn.IFNA(IF(((INDEX(RulebookFields!I2:I1898, MATCH(D1215,RulebookFields!A2:A1898, 0))="")=TRUE),  "",  INDEX(RulebookFields!I2:I1898, MATCH(D1215,RulebookFields!A2:A1898, 0))), "")</f>
        <v>1</v>
      </c>
      <c r="K1215" s="4" t="b">
        <f>AND(((F1215)=TRUE), ((J1215)=TRUE))</f>
        <v>0</v>
      </c>
      <c r="L1215" s="4" t="b">
        <f>AND(((G1215 &lt;&gt; "plain")=TRUE), ((G1215 &lt;&gt; "")=TRUE))</f>
        <v>0</v>
      </c>
      <c r="M1215" s="4" t="str">
        <f>IF(((E1215)=TRUE),  C1215 &amp; "|" &amp; H1215,  "")</f>
        <v>principal-process-steward|ProcedureVersions</v>
      </c>
      <c r="N1215" s="3" t="s">
        <v>10004</v>
      </c>
    </row>
    <row r="1216">
      <c r="A1216" s="3" t="s">
        <v>11218</v>
      </c>
      <c r="B1216" s="4" t="str">
        <f>C1216 &amp; " -&gt; " &amp; D1216</f>
        <v>principal-process-steward -&gt; ProcedureVersions.CountOfReviewEvents</v>
      </c>
      <c r="C1216" s="3" t="s">
        <v>9772</v>
      </c>
      <c r="D1216" s="3" t="s">
        <v>2749</v>
      </c>
      <c r="E1216" s="3" t="b">
        <v>1</v>
      </c>
      <c r="F1216" s="3" t="b">
        <v>0</v>
      </c>
      <c r="G1216" s="3" t="s">
        <v>10003</v>
      </c>
      <c r="H1216" s="4" t="str">
        <f>_xlfn.IFNA(IF(((INDEX(RulebookFields!C2:C1898, MATCH(D1216,RulebookFields!A2:A1898, 0))="")=TRUE),  "",  INDEX(RulebookFields!C2:C1898, MATCH(D1216,RulebookFields!A2:A1898, 0))), "")</f>
        <v>ProcedureVersions</v>
      </c>
      <c r="I1216" s="4" t="str">
        <f>_xlfn.IFNA(IF(((INDEX(RulebookFields!D2:D1898, MATCH(D1216,RulebookFields!A2:A1898, 0))="")=TRUE),  "",  INDEX(RulebookFields!D2:D1898, MATCH(D1216,RulebookFields!A2:A1898, 0))), "")</f>
        <v>CountOfReviewEvents</v>
      </c>
      <c r="J1216" s="4" t="b">
        <f>_xlfn.IFNA(IF(((INDEX(RulebookFields!I2:I1898, MATCH(D1216,RulebookFields!A2:A1898, 0))="")=TRUE),  "",  INDEX(RulebookFields!I2:I1898, MATCH(D1216,RulebookFields!A2:A1898, 0))), "")</f>
        <v>1</v>
      </c>
      <c r="K1216" s="4" t="b">
        <f>AND(((F1216)=TRUE), ((J1216)=TRUE))</f>
        <v>0</v>
      </c>
      <c r="L1216" s="4" t="b">
        <f>AND(((G1216 &lt;&gt; "plain")=TRUE), ((G1216 &lt;&gt; "")=TRUE))</f>
        <v>0</v>
      </c>
      <c r="M1216" s="4" t="str">
        <f>IF(((E1216)=TRUE),  C1216 &amp; "|" &amp; H1216,  "")</f>
        <v>principal-process-steward|ProcedureVersions</v>
      </c>
      <c r="N1216" s="3" t="s">
        <v>10004</v>
      </c>
    </row>
    <row r="1217">
      <c r="A1217" s="3" t="s">
        <v>11219</v>
      </c>
      <c r="B1217" s="4" t="str">
        <f>C1217 &amp; " -&gt; " &amp; D1217</f>
        <v>principal-process-steward -&gt; ProcedureVersions.HasGovernanceRecord</v>
      </c>
      <c r="C1217" s="3" t="s">
        <v>9772</v>
      </c>
      <c r="D1217" s="3" t="s">
        <v>2751</v>
      </c>
      <c r="E1217" s="3" t="b">
        <v>1</v>
      </c>
      <c r="F1217" s="3" t="b">
        <v>0</v>
      </c>
      <c r="G1217" s="3" t="s">
        <v>10003</v>
      </c>
      <c r="H1217" s="4" t="str">
        <f>_xlfn.IFNA(IF(((INDEX(RulebookFields!C2:C1898, MATCH(D1217,RulebookFields!A2:A1898, 0))="")=TRUE),  "",  INDEX(RulebookFields!C2:C1898, MATCH(D1217,RulebookFields!A2:A1898, 0))), "")</f>
        <v>ProcedureVersions</v>
      </c>
      <c r="I1217" s="4" t="str">
        <f>_xlfn.IFNA(IF(((INDEX(RulebookFields!D2:D1898, MATCH(D1217,RulebookFields!A2:A1898, 0))="")=TRUE),  "",  INDEX(RulebookFields!D2:D1898, MATCH(D1217,RulebookFields!A2:A1898, 0))), "")</f>
        <v>HasGovernanceRecord</v>
      </c>
      <c r="J1217" s="4" t="b">
        <f>_xlfn.IFNA(IF(((INDEX(RulebookFields!I2:I1898, MATCH(D1217,RulebookFields!A2:A1898, 0))="")=TRUE),  "",  INDEX(RulebookFields!I2:I1898, MATCH(D1217,RulebookFields!A2:A1898, 0))), "")</f>
        <v>1</v>
      </c>
      <c r="K1217" s="4" t="b">
        <f>AND(((F1217)=TRUE), ((J1217)=TRUE))</f>
        <v>0</v>
      </c>
      <c r="L1217" s="4" t="b">
        <f>AND(((G1217 &lt;&gt; "plain")=TRUE), ((G1217 &lt;&gt; "")=TRUE))</f>
        <v>0</v>
      </c>
      <c r="M1217" s="4" t="str">
        <f>IF(((E1217)=TRUE),  C1217 &amp; "|" &amp; H1217,  "")</f>
        <v>principal-process-steward|ProcedureVersions</v>
      </c>
      <c r="N1217" s="3" t="s">
        <v>10004</v>
      </c>
    </row>
    <row r="1218">
      <c r="A1218" s="3" t="s">
        <v>11220</v>
      </c>
      <c r="B1218" s="4" t="str">
        <f>C1218 &amp; " -&gt; " &amp; D1218</f>
        <v>principal-process-steward -&gt; ProcedureVersions.EvaluationContext</v>
      </c>
      <c r="C1218" s="3" t="s">
        <v>9772</v>
      </c>
      <c r="D1218" s="3" t="s">
        <v>2753</v>
      </c>
      <c r="E1218" s="3" t="b">
        <v>1</v>
      </c>
      <c r="F1218" s="3" t="b">
        <v>0</v>
      </c>
      <c r="G1218" s="3" t="s">
        <v>10003</v>
      </c>
      <c r="H1218" s="4" t="str">
        <f>_xlfn.IFNA(IF(((INDEX(RulebookFields!C2:C1898, MATCH(D1218,RulebookFields!A2:A1898, 0))="")=TRUE),  "",  INDEX(RulebookFields!C2:C1898, MATCH(D1218,RulebookFields!A2:A1898, 0))), "")</f>
        <v>ProcedureVersions</v>
      </c>
      <c r="I1218" s="4" t="str">
        <f>_xlfn.IFNA(IF(((INDEX(RulebookFields!D2:D1898, MATCH(D1218,RulebookFields!A2:A1898, 0))="")=TRUE),  "",  INDEX(RulebookFields!D2:D1898, MATCH(D1218,RulebookFields!A2:A1898, 0))), "")</f>
        <v>EvaluationContext</v>
      </c>
      <c r="J1218" s="4" t="b">
        <f>_xlfn.IFNA(IF(((INDEX(RulebookFields!I2:I1898, MATCH(D1218,RulebookFields!A2:A1898, 0))="")=TRUE),  "",  INDEX(RulebookFields!I2:I1898, MATCH(D1218,RulebookFields!A2:A1898, 0))), "")</f>
        <v>0</v>
      </c>
      <c r="K1218" s="4" t="b">
        <f>AND(((F1218)=TRUE), ((J1218)=TRUE))</f>
        <v>0</v>
      </c>
      <c r="L1218" s="4" t="b">
        <f>AND(((G1218 &lt;&gt; "plain")=TRUE), ((G1218 &lt;&gt; "")=TRUE))</f>
        <v>0</v>
      </c>
      <c r="M1218" s="4" t="str">
        <f>IF(((E1218)=TRUE),  C1218 &amp; "|" &amp; H1218,  "")</f>
        <v>principal-process-steward|ProcedureVersions</v>
      </c>
      <c r="N1218" s="3" t="s">
        <v>10004</v>
      </c>
    </row>
    <row r="1219">
      <c r="A1219" s="3" t="s">
        <v>11221</v>
      </c>
      <c r="B1219" s="4" t="str">
        <f>C1219 &amp; " -&gt; " &amp; D1219</f>
        <v>principal-process-steward -&gt; ProcedureVersions.AsOfInstant</v>
      </c>
      <c r="C1219" s="3" t="s">
        <v>9772</v>
      </c>
      <c r="D1219" s="3" t="s">
        <v>2754</v>
      </c>
      <c r="E1219" s="3" t="b">
        <v>1</v>
      </c>
      <c r="F1219" s="3" t="b">
        <v>0</v>
      </c>
      <c r="G1219" s="3" t="s">
        <v>10003</v>
      </c>
      <c r="H1219" s="4" t="str">
        <f>_xlfn.IFNA(IF(((INDEX(RulebookFields!C2:C1898, MATCH(D1219,RulebookFields!A2:A1898, 0))="")=TRUE),  "",  INDEX(RulebookFields!C2:C1898, MATCH(D1219,RulebookFields!A2:A1898, 0))), "")</f>
        <v>ProcedureVersions</v>
      </c>
      <c r="I1219" s="4" t="str">
        <f>_xlfn.IFNA(IF(((INDEX(RulebookFields!D2:D1898, MATCH(D1219,RulebookFields!A2:A1898, 0))="")=TRUE),  "",  INDEX(RulebookFields!D2:D1898, MATCH(D1219,RulebookFields!A2:A1898, 0))), "")</f>
        <v>AsOfInstant</v>
      </c>
      <c r="J1219" s="4" t="b">
        <f>_xlfn.IFNA(IF(((INDEX(RulebookFields!I2:I1898, MATCH(D1219,RulebookFields!A2:A1898, 0))="")=TRUE),  "",  INDEX(RulebookFields!I2:I1898, MATCH(D1219,RulebookFields!A2:A1898, 0))), "")</f>
        <v>1</v>
      </c>
      <c r="K1219" s="4" t="b">
        <f>AND(((F1219)=TRUE), ((J1219)=TRUE))</f>
        <v>0</v>
      </c>
      <c r="L1219" s="4" t="b">
        <f>AND(((G1219 &lt;&gt; "plain")=TRUE), ((G1219 &lt;&gt; "")=TRUE))</f>
        <v>0</v>
      </c>
      <c r="M1219" s="4" t="str">
        <f>IF(((E1219)=TRUE),  C1219 &amp; "|" &amp; H1219,  "")</f>
        <v>principal-process-steward|ProcedureVersions</v>
      </c>
      <c r="N1219" s="3" t="s">
        <v>10004</v>
      </c>
    </row>
    <row r="1220">
      <c r="A1220" s="3" t="s">
        <v>11222</v>
      </c>
      <c r="B1220" s="4" t="str">
        <f>C1220 &amp; " -&gt; " &amp; D1220</f>
        <v>principal-process-steward -&gt; ProcedureVersions.DaysSinceModified</v>
      </c>
      <c r="C1220" s="3" t="s">
        <v>9772</v>
      </c>
      <c r="D1220" s="3" t="s">
        <v>2755</v>
      </c>
      <c r="E1220" s="3" t="b">
        <v>1</v>
      </c>
      <c r="F1220" s="3" t="b">
        <v>0</v>
      </c>
      <c r="G1220" s="3" t="s">
        <v>10003</v>
      </c>
      <c r="H1220" s="4" t="str">
        <f>_xlfn.IFNA(IF(((INDEX(RulebookFields!C2:C1898, MATCH(D1220,RulebookFields!A2:A1898, 0))="")=TRUE),  "",  INDEX(RulebookFields!C2:C1898, MATCH(D1220,RulebookFields!A2:A1898, 0))), "")</f>
        <v>ProcedureVersions</v>
      </c>
      <c r="I1220" s="4" t="str">
        <f>_xlfn.IFNA(IF(((INDEX(RulebookFields!D2:D1898, MATCH(D1220,RulebookFields!A2:A1898, 0))="")=TRUE),  "",  INDEX(RulebookFields!D2:D1898, MATCH(D1220,RulebookFields!A2:A1898, 0))), "")</f>
        <v>DaysSinceModified</v>
      </c>
      <c r="J1220" s="4" t="b">
        <f>_xlfn.IFNA(IF(((INDEX(RulebookFields!I2:I1898, MATCH(D1220,RulebookFields!A2:A1898, 0))="")=TRUE),  "",  INDEX(RulebookFields!I2:I1898, MATCH(D1220,RulebookFields!A2:A1898, 0))), "")</f>
        <v>1</v>
      </c>
      <c r="K1220" s="4" t="b">
        <f>AND(((F1220)=TRUE), ((J1220)=TRUE))</f>
        <v>0</v>
      </c>
      <c r="L1220" s="4" t="b">
        <f>AND(((G1220 &lt;&gt; "plain")=TRUE), ((G1220 &lt;&gt; "")=TRUE))</f>
        <v>0</v>
      </c>
      <c r="M1220" s="4" t="str">
        <f>IF(((E1220)=TRUE),  C1220 &amp; "|" &amp; H1220,  "")</f>
        <v>principal-process-steward|ProcedureVersions</v>
      </c>
      <c r="N1220" s="3" t="s">
        <v>10004</v>
      </c>
    </row>
    <row r="1221">
      <c r="A1221" s="3" t="s">
        <v>11223</v>
      </c>
      <c r="B1221" s="4" t="str">
        <f>C1221 &amp; " -&gt; " &amp; D1221</f>
        <v>principal-process-steward -&gt; ProcedureVersions.DaysSinceLastReview</v>
      </c>
      <c r="C1221" s="3" t="s">
        <v>9772</v>
      </c>
      <c r="D1221" s="3" t="s">
        <v>2757</v>
      </c>
      <c r="E1221" s="3" t="b">
        <v>1</v>
      </c>
      <c r="F1221" s="3" t="b">
        <v>0</v>
      </c>
      <c r="G1221" s="3" t="s">
        <v>10003</v>
      </c>
      <c r="H1221" s="4" t="str">
        <f>_xlfn.IFNA(IF(((INDEX(RulebookFields!C2:C1898, MATCH(D1221,RulebookFields!A2:A1898, 0))="")=TRUE),  "",  INDEX(RulebookFields!C2:C1898, MATCH(D1221,RulebookFields!A2:A1898, 0))), "")</f>
        <v>ProcedureVersions</v>
      </c>
      <c r="I1221" s="4" t="str">
        <f>_xlfn.IFNA(IF(((INDEX(RulebookFields!D2:D1898, MATCH(D1221,RulebookFields!A2:A1898, 0))="")=TRUE),  "",  INDEX(RulebookFields!D2:D1898, MATCH(D1221,RulebookFields!A2:A1898, 0))), "")</f>
        <v>DaysSinceLastReview</v>
      </c>
      <c r="J1221" s="4" t="b">
        <f>_xlfn.IFNA(IF(((INDEX(RulebookFields!I2:I1898, MATCH(D1221,RulebookFields!A2:A1898, 0))="")=TRUE),  "",  INDEX(RulebookFields!I2:I1898, MATCH(D1221,RulebookFields!A2:A1898, 0))), "")</f>
        <v>1</v>
      </c>
      <c r="K1221" s="4" t="b">
        <f>AND(((F1221)=TRUE), ((J1221)=TRUE))</f>
        <v>0</v>
      </c>
      <c r="L1221" s="4" t="b">
        <f>AND(((G1221 &lt;&gt; "plain")=TRUE), ((G1221 &lt;&gt; "")=TRUE))</f>
        <v>0</v>
      </c>
      <c r="M1221" s="4" t="str">
        <f>IF(((E1221)=TRUE),  C1221 &amp; "|" &amp; H1221,  "")</f>
        <v>principal-process-steward|ProcedureVersions</v>
      </c>
      <c r="N1221" s="3" t="s">
        <v>10004</v>
      </c>
    </row>
    <row r="1222">
      <c r="A1222" s="3" t="s">
        <v>11224</v>
      </c>
      <c r="B1222" s="4" t="str">
        <f>C1222 &amp; " -&gt; " &amp; D1222</f>
        <v>principal-process-steward -&gt; ProcedureVersions.WasModifiedSinceLastReview</v>
      </c>
      <c r="C1222" s="3" t="s">
        <v>9772</v>
      </c>
      <c r="D1222" s="3" t="s">
        <v>2759</v>
      </c>
      <c r="E1222" s="3" t="b">
        <v>1</v>
      </c>
      <c r="F1222" s="3" t="b">
        <v>0</v>
      </c>
      <c r="G1222" s="3" t="s">
        <v>10003</v>
      </c>
      <c r="H1222" s="4" t="str">
        <f>_xlfn.IFNA(IF(((INDEX(RulebookFields!C2:C1898, MATCH(D1222,RulebookFields!A2:A1898, 0))="")=TRUE),  "",  INDEX(RulebookFields!C2:C1898, MATCH(D1222,RulebookFields!A2:A1898, 0))), "")</f>
        <v>ProcedureVersions</v>
      </c>
      <c r="I1222" s="4" t="str">
        <f>_xlfn.IFNA(IF(((INDEX(RulebookFields!D2:D1898, MATCH(D1222,RulebookFields!A2:A1898, 0))="")=TRUE),  "",  INDEX(RulebookFields!D2:D1898, MATCH(D1222,RulebookFields!A2:A1898, 0))), "")</f>
        <v>WasModifiedSinceLastReview</v>
      </c>
      <c r="J1222" s="4" t="b">
        <f>_xlfn.IFNA(IF(((INDEX(RulebookFields!I2:I1898, MATCH(D1222,RulebookFields!A2:A1898, 0))="")=TRUE),  "",  INDEX(RulebookFields!I2:I1898, MATCH(D1222,RulebookFields!A2:A1898, 0))), "")</f>
        <v>1</v>
      </c>
      <c r="K1222" s="4" t="b">
        <f>AND(((F1222)=TRUE), ((J1222)=TRUE))</f>
        <v>0</v>
      </c>
      <c r="L1222" s="4" t="b">
        <f>AND(((G1222 &lt;&gt; "plain")=TRUE), ((G1222 &lt;&gt; "")=TRUE))</f>
        <v>0</v>
      </c>
      <c r="M1222" s="4" t="str">
        <f>IF(((E1222)=TRUE),  C1222 &amp; "|" &amp; H1222,  "")</f>
        <v>principal-process-steward|ProcedureVersions</v>
      </c>
      <c r="N1222" s="3" t="s">
        <v>10004</v>
      </c>
    </row>
    <row r="1223">
      <c r="A1223" s="3" t="s">
        <v>11225</v>
      </c>
      <c r="B1223" s="4" t="str">
        <f>C1223 &amp; " -&gt; " &amp; D1223</f>
        <v>principal-process-steward -&gt; ProcedureVersions.ModifierIsAuthority</v>
      </c>
      <c r="C1223" s="3" t="s">
        <v>9772</v>
      </c>
      <c r="D1223" s="3" t="s">
        <v>2761</v>
      </c>
      <c r="E1223" s="3" t="b">
        <v>1</v>
      </c>
      <c r="F1223" s="3" t="b">
        <v>0</v>
      </c>
      <c r="G1223" s="3" t="s">
        <v>10003</v>
      </c>
      <c r="H1223" s="4" t="str">
        <f>_xlfn.IFNA(IF(((INDEX(RulebookFields!C2:C1898, MATCH(D1223,RulebookFields!A2:A1898, 0))="")=TRUE),  "",  INDEX(RulebookFields!C2:C1898, MATCH(D1223,RulebookFields!A2:A1898, 0))), "")</f>
        <v>ProcedureVersions</v>
      </c>
      <c r="I1223" s="4" t="str">
        <f>_xlfn.IFNA(IF(((INDEX(RulebookFields!D2:D1898, MATCH(D1223,RulebookFields!A2:A1898, 0))="")=TRUE),  "",  INDEX(RulebookFields!D2:D1898, MATCH(D1223,RulebookFields!A2:A1898, 0))), "")</f>
        <v>ModifierIsAuthority</v>
      </c>
      <c r="J1223" s="4" t="b">
        <f>_xlfn.IFNA(IF(((INDEX(RulebookFields!I2:I1898, MATCH(D1223,RulebookFields!A2:A1898, 0))="")=TRUE),  "",  INDEX(RulebookFields!I2:I1898, MATCH(D1223,RulebookFields!A2:A1898, 0))), "")</f>
        <v>1</v>
      </c>
      <c r="K1223" s="4" t="b">
        <f>AND(((F1223)=TRUE), ((J1223)=TRUE))</f>
        <v>0</v>
      </c>
      <c r="L1223" s="4" t="b">
        <f>AND(((G1223 &lt;&gt; "plain")=TRUE), ((G1223 &lt;&gt; "")=TRUE))</f>
        <v>0</v>
      </c>
      <c r="M1223" s="4" t="str">
        <f>IF(((E1223)=TRUE),  C1223 &amp; "|" &amp; H1223,  "")</f>
        <v>principal-process-steward|ProcedureVersions</v>
      </c>
      <c r="N1223" s="3" t="s">
        <v>10004</v>
      </c>
    </row>
    <row r="1224">
      <c r="A1224" s="3" t="s">
        <v>11226</v>
      </c>
      <c r="B1224" s="4" t="str">
        <f>C1224 &amp; " -&gt; " &amp; D1224</f>
        <v>principal-process-steward -&gt; ProcedureVersions.HasUnwitnessedChange</v>
      </c>
      <c r="C1224" s="3" t="s">
        <v>9772</v>
      </c>
      <c r="D1224" s="3" t="s">
        <v>2763</v>
      </c>
      <c r="E1224" s="3" t="b">
        <v>1</v>
      </c>
      <c r="F1224" s="3" t="b">
        <v>0</v>
      </c>
      <c r="G1224" s="3" t="s">
        <v>10003</v>
      </c>
      <c r="H1224" s="4" t="str">
        <f>_xlfn.IFNA(IF(((INDEX(RulebookFields!C2:C1898, MATCH(D1224,RulebookFields!A2:A1898, 0))="")=TRUE),  "",  INDEX(RulebookFields!C2:C1898, MATCH(D1224,RulebookFields!A2:A1898, 0))), "")</f>
        <v>ProcedureVersions</v>
      </c>
      <c r="I1224" s="4" t="str">
        <f>_xlfn.IFNA(IF(((INDEX(RulebookFields!D2:D1898, MATCH(D1224,RulebookFields!A2:A1898, 0))="")=TRUE),  "",  INDEX(RulebookFields!D2:D1898, MATCH(D1224,RulebookFields!A2:A1898, 0))), "")</f>
        <v>HasUnwitnessedChange</v>
      </c>
      <c r="J1224" s="4" t="b">
        <f>_xlfn.IFNA(IF(((INDEX(RulebookFields!I2:I1898, MATCH(D1224,RulebookFields!A2:A1898, 0))="")=TRUE),  "",  INDEX(RulebookFields!I2:I1898, MATCH(D1224,RulebookFields!A2:A1898, 0))), "")</f>
        <v>1</v>
      </c>
      <c r="K1224" s="4" t="b">
        <f>AND(((F1224)=TRUE), ((J1224)=TRUE))</f>
        <v>0</v>
      </c>
      <c r="L1224" s="4" t="b">
        <f>AND(((G1224 &lt;&gt; "plain")=TRUE), ((G1224 &lt;&gt; "")=TRUE))</f>
        <v>0</v>
      </c>
      <c r="M1224" s="4" t="str">
        <f>IF(((E1224)=TRUE),  C1224 &amp; "|" &amp; H1224,  "")</f>
        <v>principal-process-steward|ProcedureVersions</v>
      </c>
      <c r="N1224" s="3" t="s">
        <v>10004</v>
      </c>
    </row>
    <row r="1225">
      <c r="A1225" s="3" t="s">
        <v>11227</v>
      </c>
      <c r="B1225" s="4" t="str">
        <f>C1225 &amp; " -&gt; " &amp; D1225</f>
        <v>principal-process-steward -&gt; ProcedureVersions.CountOfStaleFragments</v>
      </c>
      <c r="C1225" s="3" t="s">
        <v>9772</v>
      </c>
      <c r="D1225" s="3" t="s">
        <v>2765</v>
      </c>
      <c r="E1225" s="3" t="b">
        <v>1</v>
      </c>
      <c r="F1225" s="3" t="b">
        <v>0</v>
      </c>
      <c r="G1225" s="3" t="s">
        <v>10003</v>
      </c>
      <c r="H1225" s="4" t="str">
        <f>_xlfn.IFNA(IF(((INDEX(RulebookFields!C2:C1898, MATCH(D1225,RulebookFields!A2:A1898, 0))="")=TRUE),  "",  INDEX(RulebookFields!C2:C1898, MATCH(D1225,RulebookFields!A2:A1898, 0))), "")</f>
        <v>ProcedureVersions</v>
      </c>
      <c r="I1225" s="4" t="str">
        <f>_xlfn.IFNA(IF(((INDEX(RulebookFields!D2:D1898, MATCH(D1225,RulebookFields!A2:A1898, 0))="")=TRUE),  "",  INDEX(RulebookFields!D2:D1898, MATCH(D1225,RulebookFields!A2:A1898, 0))), "")</f>
        <v>CountOfStaleFragments</v>
      </c>
      <c r="J1225" s="4" t="b">
        <f>_xlfn.IFNA(IF(((INDEX(RulebookFields!I2:I1898, MATCH(D1225,RulebookFields!A2:A1898, 0))="")=TRUE),  "",  INDEX(RulebookFields!I2:I1898, MATCH(D1225,RulebookFields!A2:A1898, 0))), "")</f>
        <v>1</v>
      </c>
      <c r="K1225" s="4" t="b">
        <f>AND(((F1225)=TRUE), ((J1225)=TRUE))</f>
        <v>0</v>
      </c>
      <c r="L1225" s="4" t="b">
        <f>AND(((G1225 &lt;&gt; "plain")=TRUE), ((G1225 &lt;&gt; "")=TRUE))</f>
        <v>0</v>
      </c>
      <c r="M1225" s="4" t="str">
        <f>IF(((E1225)=TRUE),  C1225 &amp; "|" &amp; H1225,  "")</f>
        <v>principal-process-steward|ProcedureVersions</v>
      </c>
      <c r="N1225" s="3" t="s">
        <v>10004</v>
      </c>
    </row>
    <row r="1226">
      <c r="A1226" s="3" t="s">
        <v>11228</v>
      </c>
      <c r="B1226" s="4" t="str">
        <f>C1226 &amp; " -&gt; " &amp; D1226</f>
        <v>principal-process-steward -&gt; ProcedureVersions.KnowledgeIsStalerThanCadence</v>
      </c>
      <c r="C1226" s="3" t="s">
        <v>9772</v>
      </c>
      <c r="D1226" s="3" t="s">
        <v>2767</v>
      </c>
      <c r="E1226" s="3" t="b">
        <v>1</v>
      </c>
      <c r="F1226" s="3" t="b">
        <v>0</v>
      </c>
      <c r="G1226" s="3" t="s">
        <v>10003</v>
      </c>
      <c r="H1226" s="4" t="str">
        <f>_xlfn.IFNA(IF(((INDEX(RulebookFields!C2:C1898, MATCH(D1226,RulebookFields!A2:A1898, 0))="")=TRUE),  "",  INDEX(RulebookFields!C2:C1898, MATCH(D1226,RulebookFields!A2:A1898, 0))), "")</f>
        <v>ProcedureVersions</v>
      </c>
      <c r="I1226" s="4" t="str">
        <f>_xlfn.IFNA(IF(((INDEX(RulebookFields!D2:D1898, MATCH(D1226,RulebookFields!A2:A1898, 0))="")=TRUE),  "",  INDEX(RulebookFields!D2:D1898, MATCH(D1226,RulebookFields!A2:A1898, 0))), "")</f>
        <v>KnowledgeIsStalerThanCadence</v>
      </c>
      <c r="J1226" s="4" t="b">
        <f>_xlfn.IFNA(IF(((INDEX(RulebookFields!I2:I1898, MATCH(D1226,RulebookFields!A2:A1898, 0))="")=TRUE),  "",  INDEX(RulebookFields!I2:I1898, MATCH(D1226,RulebookFields!A2:A1898, 0))), "")</f>
        <v>1</v>
      </c>
      <c r="K1226" s="4" t="b">
        <f>AND(((F1226)=TRUE), ((J1226)=TRUE))</f>
        <v>0</v>
      </c>
      <c r="L1226" s="4" t="b">
        <f>AND(((G1226 &lt;&gt; "plain")=TRUE), ((G1226 &lt;&gt; "")=TRUE))</f>
        <v>0</v>
      </c>
      <c r="M1226" s="4" t="str">
        <f>IF(((E1226)=TRUE),  C1226 &amp; "|" &amp; H1226,  "")</f>
        <v>principal-process-steward|ProcedureVersions</v>
      </c>
      <c r="N1226" s="3" t="s">
        <v>10004</v>
      </c>
    </row>
    <row r="1227">
      <c r="A1227" s="3" t="s">
        <v>11229</v>
      </c>
      <c r="B1227" s="4" t="str">
        <f>C1227 &amp; " -&gt; " &amp; D1227</f>
        <v>principal-process-steward -&gt; ProcedureVersions.CompoundFragileFragmentCount</v>
      </c>
      <c r="C1227" s="3" t="s">
        <v>9772</v>
      </c>
      <c r="D1227" s="3" t="s">
        <v>2769</v>
      </c>
      <c r="E1227" s="3" t="b">
        <v>1</v>
      </c>
      <c r="F1227" s="3" t="b">
        <v>0</v>
      </c>
      <c r="G1227" s="3" t="s">
        <v>10003</v>
      </c>
      <c r="H1227" s="4" t="str">
        <f>_xlfn.IFNA(IF(((INDEX(RulebookFields!C2:C1898, MATCH(D1227,RulebookFields!A2:A1898, 0))="")=TRUE),  "",  INDEX(RulebookFields!C2:C1898, MATCH(D1227,RulebookFields!A2:A1898, 0))), "")</f>
        <v>ProcedureVersions</v>
      </c>
      <c r="I1227" s="4" t="str">
        <f>_xlfn.IFNA(IF(((INDEX(RulebookFields!D2:D1898, MATCH(D1227,RulebookFields!A2:A1898, 0))="")=TRUE),  "",  INDEX(RulebookFields!D2:D1898, MATCH(D1227,RulebookFields!A2:A1898, 0))), "")</f>
        <v>CompoundFragileFragmentCount</v>
      </c>
      <c r="J1227" s="4" t="b">
        <f>_xlfn.IFNA(IF(((INDEX(RulebookFields!I2:I1898, MATCH(D1227,RulebookFields!A2:A1898, 0))="")=TRUE),  "",  INDEX(RulebookFields!I2:I1898, MATCH(D1227,RulebookFields!A2:A1898, 0))), "")</f>
        <v>1</v>
      </c>
      <c r="K1227" s="4" t="b">
        <f>AND(((F1227)=TRUE), ((J1227)=TRUE))</f>
        <v>0</v>
      </c>
      <c r="L1227" s="4" t="b">
        <f>AND(((G1227 &lt;&gt; "plain")=TRUE), ((G1227 &lt;&gt; "")=TRUE))</f>
        <v>0</v>
      </c>
      <c r="M1227" s="4" t="str">
        <f>IF(((E1227)=TRUE),  C1227 &amp; "|" &amp; H1227,  "")</f>
        <v>principal-process-steward|ProcedureVersions</v>
      </c>
      <c r="N1227" s="3" t="s">
        <v>10004</v>
      </c>
    </row>
    <row r="1228">
      <c r="A1228" s="3" t="s">
        <v>11230</v>
      </c>
      <c r="B1228" s="4" t="str">
        <f>C1228 &amp; " -&gt; " &amp; D1228</f>
        <v>principal-process-steward -&gt; ProcedureVersions.RestsOnCompoundFragileKnowledge</v>
      </c>
      <c r="C1228" s="3" t="s">
        <v>9772</v>
      </c>
      <c r="D1228" s="3" t="s">
        <v>2771</v>
      </c>
      <c r="E1228" s="3" t="b">
        <v>1</v>
      </c>
      <c r="F1228" s="3" t="b">
        <v>0</v>
      </c>
      <c r="G1228" s="3" t="s">
        <v>10003</v>
      </c>
      <c r="H1228" s="4" t="str">
        <f>_xlfn.IFNA(IF(((INDEX(RulebookFields!C2:C1898, MATCH(D1228,RulebookFields!A2:A1898, 0))="")=TRUE),  "",  INDEX(RulebookFields!C2:C1898, MATCH(D1228,RulebookFields!A2:A1898, 0))), "")</f>
        <v>ProcedureVersions</v>
      </c>
      <c r="I1228" s="4" t="str">
        <f>_xlfn.IFNA(IF(((INDEX(RulebookFields!D2:D1898, MATCH(D1228,RulebookFields!A2:A1898, 0))="")=TRUE),  "",  INDEX(RulebookFields!D2:D1898, MATCH(D1228,RulebookFields!A2:A1898, 0))), "")</f>
        <v>RestsOnCompoundFragileKnowledge</v>
      </c>
      <c r="J1228" s="4" t="b">
        <f>_xlfn.IFNA(IF(((INDEX(RulebookFields!I2:I1898, MATCH(D1228,RulebookFields!A2:A1898, 0))="")=TRUE),  "",  INDEX(RulebookFields!I2:I1898, MATCH(D1228,RulebookFields!A2:A1898, 0))), "")</f>
        <v>1</v>
      </c>
      <c r="K1228" s="4" t="b">
        <f>AND(((F1228)=TRUE), ((J1228)=TRUE))</f>
        <v>0</v>
      </c>
      <c r="L1228" s="4" t="b">
        <f>AND(((G1228 &lt;&gt; "plain")=TRUE), ((G1228 &lt;&gt; "")=TRUE))</f>
        <v>0</v>
      </c>
      <c r="M1228" s="4" t="str">
        <f>IF(((E1228)=TRUE),  C1228 &amp; "|" &amp; H1228,  "")</f>
        <v>principal-process-steward|ProcedureVersions</v>
      </c>
      <c r="N1228" s="3" t="s">
        <v>10004</v>
      </c>
    </row>
    <row r="1229">
      <c r="A1229" s="3" t="s">
        <v>11231</v>
      </c>
      <c r="B1229" s="4" t="str">
        <f>C1229 &amp; " -&gt; " &amp; D1229</f>
        <v>principal-process-steward -&gt; ProcedureVersions.ConcentratedWitnessSessionCount</v>
      </c>
      <c r="C1229" s="3" t="s">
        <v>9772</v>
      </c>
      <c r="D1229" s="3" t="s">
        <v>2773</v>
      </c>
      <c r="E1229" s="3" t="b">
        <v>1</v>
      </c>
      <c r="F1229" s="3" t="b">
        <v>0</v>
      </c>
      <c r="G1229" s="3" t="s">
        <v>10003</v>
      </c>
      <c r="H1229" s="4" t="str">
        <f>_xlfn.IFNA(IF(((INDEX(RulebookFields!C2:C1898, MATCH(D1229,RulebookFields!A2:A1898, 0))="")=TRUE),  "",  INDEX(RulebookFields!C2:C1898, MATCH(D1229,RulebookFields!A2:A1898, 0))), "")</f>
        <v>ProcedureVersions</v>
      </c>
      <c r="I1229" s="4" t="str">
        <f>_xlfn.IFNA(IF(((INDEX(RulebookFields!D2:D1898, MATCH(D1229,RulebookFields!A2:A1898, 0))="")=TRUE),  "",  INDEX(RulebookFields!D2:D1898, MATCH(D1229,RulebookFields!A2:A1898, 0))), "")</f>
        <v>ConcentratedWitnessSessionCount</v>
      </c>
      <c r="J1229" s="4" t="b">
        <f>_xlfn.IFNA(IF(((INDEX(RulebookFields!I2:I1898, MATCH(D1229,RulebookFields!A2:A1898, 0))="")=TRUE),  "",  INDEX(RulebookFields!I2:I1898, MATCH(D1229,RulebookFields!A2:A1898, 0))), "")</f>
        <v>1</v>
      </c>
      <c r="K1229" s="4" t="b">
        <f>AND(((F1229)=TRUE), ((J1229)=TRUE))</f>
        <v>0</v>
      </c>
      <c r="L1229" s="4" t="b">
        <f>AND(((G1229 &lt;&gt; "plain")=TRUE), ((G1229 &lt;&gt; "")=TRUE))</f>
        <v>0</v>
      </c>
      <c r="M1229" s="4" t="str">
        <f>IF(((E1229)=TRUE),  C1229 &amp; "|" &amp; H1229,  "")</f>
        <v>principal-process-steward|ProcedureVersions</v>
      </c>
      <c r="N1229" s="3" t="s">
        <v>10004</v>
      </c>
    </row>
    <row r="1230">
      <c r="A1230" s="3" t="s">
        <v>11232</v>
      </c>
      <c r="B1230" s="4" t="str">
        <f>C1230 &amp; " -&gt; " &amp; D1230</f>
        <v>principal-process-steward -&gt; ProcedureVersions.KnowledgeBaseIsConcentrated</v>
      </c>
      <c r="C1230" s="3" t="s">
        <v>9772</v>
      </c>
      <c r="D1230" s="3" t="s">
        <v>2775</v>
      </c>
      <c r="E1230" s="3" t="b">
        <v>1</v>
      </c>
      <c r="F1230" s="3" t="b">
        <v>0</v>
      </c>
      <c r="G1230" s="3" t="s">
        <v>10003</v>
      </c>
      <c r="H1230" s="4" t="str">
        <f>_xlfn.IFNA(IF(((INDEX(RulebookFields!C2:C1898, MATCH(D1230,RulebookFields!A2:A1898, 0))="")=TRUE),  "",  INDEX(RulebookFields!C2:C1898, MATCH(D1230,RulebookFields!A2:A1898, 0))), "")</f>
        <v>ProcedureVersions</v>
      </c>
      <c r="I1230" s="4" t="str">
        <f>_xlfn.IFNA(IF(((INDEX(RulebookFields!D2:D1898, MATCH(D1230,RulebookFields!A2:A1898, 0))="")=TRUE),  "",  INDEX(RulebookFields!D2:D1898, MATCH(D1230,RulebookFields!A2:A1898, 0))), "")</f>
        <v>KnowledgeBaseIsConcentrated</v>
      </c>
      <c r="J1230" s="4" t="b">
        <f>_xlfn.IFNA(IF(((INDEX(RulebookFields!I2:I1898, MATCH(D1230,RulebookFields!A2:A1898, 0))="")=TRUE),  "",  INDEX(RulebookFields!I2:I1898, MATCH(D1230,RulebookFields!A2:A1898, 0))), "")</f>
        <v>1</v>
      </c>
      <c r="K1230" s="4" t="b">
        <f>AND(((F1230)=TRUE), ((J1230)=TRUE))</f>
        <v>0</v>
      </c>
      <c r="L1230" s="4" t="b">
        <f>AND(((G1230 &lt;&gt; "plain")=TRUE), ((G1230 &lt;&gt; "")=TRUE))</f>
        <v>0</v>
      </c>
      <c r="M1230" s="4" t="str">
        <f>IF(((E1230)=TRUE),  C1230 &amp; "|" &amp; H1230,  "")</f>
        <v>principal-process-steward|ProcedureVersions</v>
      </c>
      <c r="N1230" s="3" t="s">
        <v>10004</v>
      </c>
    </row>
    <row r="1231">
      <c r="A1231" s="3" t="s">
        <v>11233</v>
      </c>
      <c r="B1231" s="4" t="str">
        <f>C1231 &amp; " -&gt; " &amp; D1231</f>
        <v>principal-process-steward -&gt; ProcedureVersions.MachineConsumedUnapprovedCount</v>
      </c>
      <c r="C1231" s="3" t="s">
        <v>9772</v>
      </c>
      <c r="D1231" s="3" t="s">
        <v>2777</v>
      </c>
      <c r="E1231" s="3" t="b">
        <v>1</v>
      </c>
      <c r="F1231" s="3" t="b">
        <v>0</v>
      </c>
      <c r="G1231" s="3" t="s">
        <v>10003</v>
      </c>
      <c r="H1231" s="4" t="str">
        <f>_xlfn.IFNA(IF(((INDEX(RulebookFields!C2:C1898, MATCH(D1231,RulebookFields!A2:A1898, 0))="")=TRUE),  "",  INDEX(RulebookFields!C2:C1898, MATCH(D1231,RulebookFields!A2:A1898, 0))), "")</f>
        <v>ProcedureVersions</v>
      </c>
      <c r="I1231" s="4" t="str">
        <f>_xlfn.IFNA(IF(((INDEX(RulebookFields!D2:D1898, MATCH(D1231,RulebookFields!A2:A1898, 0))="")=TRUE),  "",  INDEX(RulebookFields!D2:D1898, MATCH(D1231,RulebookFields!A2:A1898, 0))), "")</f>
        <v>MachineConsumedUnapprovedCount</v>
      </c>
      <c r="J1231" s="4" t="b">
        <f>_xlfn.IFNA(IF(((INDEX(RulebookFields!I2:I1898, MATCH(D1231,RulebookFields!A2:A1898, 0))="")=TRUE),  "",  INDEX(RulebookFields!I2:I1898, MATCH(D1231,RulebookFields!A2:A1898, 0))), "")</f>
        <v>1</v>
      </c>
      <c r="K1231" s="4" t="b">
        <f>AND(((F1231)=TRUE), ((J1231)=TRUE))</f>
        <v>0</v>
      </c>
      <c r="L1231" s="4" t="b">
        <f>AND(((G1231 &lt;&gt; "plain")=TRUE), ((G1231 &lt;&gt; "")=TRUE))</f>
        <v>0</v>
      </c>
      <c r="M1231" s="4" t="str">
        <f>IF(((E1231)=TRUE),  C1231 &amp; "|" &amp; H1231,  "")</f>
        <v>principal-process-steward|ProcedureVersions</v>
      </c>
      <c r="N1231" s="3" t="s">
        <v>10004</v>
      </c>
    </row>
    <row r="1232">
      <c r="A1232" s="3" t="s">
        <v>11234</v>
      </c>
      <c r="B1232" s="4" t="str">
        <f>C1232 &amp; " -&gt; " &amp; D1232</f>
        <v>principal-process-steward -&gt; ProcedureVersions.FeedsUnapprovedKnowledgeToMachines</v>
      </c>
      <c r="C1232" s="3" t="s">
        <v>9772</v>
      </c>
      <c r="D1232" s="3" t="s">
        <v>2779</v>
      </c>
      <c r="E1232" s="3" t="b">
        <v>1</v>
      </c>
      <c r="F1232" s="3" t="b">
        <v>0</v>
      </c>
      <c r="G1232" s="3" t="s">
        <v>10003</v>
      </c>
      <c r="H1232" s="4" t="str">
        <f>_xlfn.IFNA(IF(((INDEX(RulebookFields!C2:C1898, MATCH(D1232,RulebookFields!A2:A1898, 0))="")=TRUE),  "",  INDEX(RulebookFields!C2:C1898, MATCH(D1232,RulebookFields!A2:A1898, 0))), "")</f>
        <v>ProcedureVersions</v>
      </c>
      <c r="I1232" s="4" t="str">
        <f>_xlfn.IFNA(IF(((INDEX(RulebookFields!D2:D1898, MATCH(D1232,RulebookFields!A2:A1898, 0))="")=TRUE),  "",  INDEX(RulebookFields!D2:D1898, MATCH(D1232,RulebookFields!A2:A1898, 0))), "")</f>
        <v>FeedsUnapprovedKnowledgeToMachines</v>
      </c>
      <c r="J1232" s="4" t="b">
        <f>_xlfn.IFNA(IF(((INDEX(RulebookFields!I2:I1898, MATCH(D1232,RulebookFields!A2:A1898, 0))="")=TRUE),  "",  INDEX(RulebookFields!I2:I1898, MATCH(D1232,RulebookFields!A2:A1898, 0))), "")</f>
        <v>1</v>
      </c>
      <c r="K1232" s="4" t="b">
        <f>AND(((F1232)=TRUE), ((J1232)=TRUE))</f>
        <v>0</v>
      </c>
      <c r="L1232" s="4" t="b">
        <f>AND(((G1232 &lt;&gt; "plain")=TRUE), ((G1232 &lt;&gt; "")=TRUE))</f>
        <v>0</v>
      </c>
      <c r="M1232" s="4" t="str">
        <f>IF(((E1232)=TRUE),  C1232 &amp; "|" &amp; H1232,  "")</f>
        <v>principal-process-steward|ProcedureVersions</v>
      </c>
      <c r="N1232" s="3" t="s">
        <v>10004</v>
      </c>
    </row>
    <row r="1233">
      <c r="A1233" s="3" t="s">
        <v>11235</v>
      </c>
      <c r="B1233" s="4" t="str">
        <f>C1233 &amp; " -&gt; " &amp; D1233</f>
        <v>principal-process-steward -&gt; ProcedureVersions.GenuinelyOverdueFragmentCount</v>
      </c>
      <c r="C1233" s="3" t="s">
        <v>9772</v>
      </c>
      <c r="D1233" s="3" t="s">
        <v>2781</v>
      </c>
      <c r="E1233" s="3" t="b">
        <v>1</v>
      </c>
      <c r="F1233" s="3" t="b">
        <v>0</v>
      </c>
      <c r="G1233" s="3" t="s">
        <v>10003</v>
      </c>
      <c r="H1233" s="4" t="str">
        <f>_xlfn.IFNA(IF(((INDEX(RulebookFields!C2:C1898, MATCH(D1233,RulebookFields!A2:A1898, 0))="")=TRUE),  "",  INDEX(RulebookFields!C2:C1898, MATCH(D1233,RulebookFields!A2:A1898, 0))), "")</f>
        <v>ProcedureVersions</v>
      </c>
      <c r="I1233" s="4" t="str">
        <f>_xlfn.IFNA(IF(((INDEX(RulebookFields!D2:D1898, MATCH(D1233,RulebookFields!A2:A1898, 0))="")=TRUE),  "",  INDEX(RulebookFields!D2:D1898, MATCH(D1233,RulebookFields!A2:A1898, 0))), "")</f>
        <v>GenuinelyOverdueFragmentCount</v>
      </c>
      <c r="J1233" s="4" t="b">
        <f>_xlfn.IFNA(IF(((INDEX(RulebookFields!I2:I1898, MATCH(D1233,RulebookFields!A2:A1898, 0))="")=TRUE),  "",  INDEX(RulebookFields!I2:I1898, MATCH(D1233,RulebookFields!A2:A1898, 0))), "")</f>
        <v>1</v>
      </c>
      <c r="K1233" s="4" t="b">
        <f>AND(((F1233)=TRUE), ((J1233)=TRUE))</f>
        <v>0</v>
      </c>
      <c r="L1233" s="4" t="b">
        <f>AND(((G1233 &lt;&gt; "plain")=TRUE), ((G1233 &lt;&gt; "")=TRUE))</f>
        <v>0</v>
      </c>
      <c r="M1233" s="4" t="str">
        <f>IF(((E1233)=TRUE),  C1233 &amp; "|" &amp; H1233,  "")</f>
        <v>principal-process-steward|ProcedureVersions</v>
      </c>
      <c r="N1233" s="3" t="s">
        <v>10004</v>
      </c>
    </row>
    <row r="1234">
      <c r="A1234" s="3" t="s">
        <v>11236</v>
      </c>
      <c r="B1234" s="4" t="str">
        <f>C1234 &amp; " -&gt; " &amp; D1234</f>
        <v>principal-process-steward -&gt; ProcedureVersions.AwaitedDecisionCount</v>
      </c>
      <c r="C1234" s="3" t="s">
        <v>9772</v>
      </c>
      <c r="D1234" s="3" t="s">
        <v>2783</v>
      </c>
      <c r="E1234" s="3" t="b">
        <v>1</v>
      </c>
      <c r="F1234" s="3" t="b">
        <v>0</v>
      </c>
      <c r="G1234" s="3" t="s">
        <v>10003</v>
      </c>
      <c r="H1234" s="4" t="str">
        <f>_xlfn.IFNA(IF(((INDEX(RulebookFields!C2:C1898, MATCH(D1234,RulebookFields!A2:A1898, 0))="")=TRUE),  "",  INDEX(RulebookFields!C2:C1898, MATCH(D1234,RulebookFields!A2:A1898, 0))), "")</f>
        <v>ProcedureVersions</v>
      </c>
      <c r="I1234" s="4" t="str">
        <f>_xlfn.IFNA(IF(((INDEX(RulebookFields!D2:D1898, MATCH(D1234,RulebookFields!A2:A1898, 0))="")=TRUE),  "",  INDEX(RulebookFields!D2:D1898, MATCH(D1234,RulebookFields!A2:A1898, 0))), "")</f>
        <v>AwaitedDecisionCount</v>
      </c>
      <c r="J1234" s="4" t="b">
        <f>_xlfn.IFNA(IF(((INDEX(RulebookFields!I2:I1898, MATCH(D1234,RulebookFields!A2:A1898, 0))="")=TRUE),  "",  INDEX(RulebookFields!I2:I1898, MATCH(D1234,RulebookFields!A2:A1898, 0))), "")</f>
        <v>1</v>
      </c>
      <c r="K1234" s="4" t="b">
        <f>AND(((F1234)=TRUE), ((J1234)=TRUE))</f>
        <v>0</v>
      </c>
      <c r="L1234" s="4" t="b">
        <f>AND(((G1234 &lt;&gt; "plain")=TRUE), ((G1234 &lt;&gt; "")=TRUE))</f>
        <v>0</v>
      </c>
      <c r="M1234" s="4" t="str">
        <f>IF(((E1234)=TRUE),  C1234 &amp; "|" &amp; H1234,  "")</f>
        <v>principal-process-steward|ProcedureVersions</v>
      </c>
      <c r="N1234" s="3" t="s">
        <v>10004</v>
      </c>
    </row>
    <row r="1235">
      <c r="A1235" s="3" t="s">
        <v>11237</v>
      </c>
      <c r="B1235" s="4" t="str">
        <f>C1235 &amp; " -&gt; " &amp; D1235</f>
        <v>principal-process-steward -&gt; ProcedureVersions.ScopedOpenBlockingGapCount</v>
      </c>
      <c r="C1235" s="3" t="s">
        <v>9772</v>
      </c>
      <c r="D1235" s="3" t="s">
        <v>2785</v>
      </c>
      <c r="E1235" s="3" t="b">
        <v>1</v>
      </c>
      <c r="F1235" s="3" t="b">
        <v>0</v>
      </c>
      <c r="G1235" s="3" t="s">
        <v>10003</v>
      </c>
      <c r="H1235" s="4" t="str">
        <f>_xlfn.IFNA(IF(((INDEX(RulebookFields!C2:C1898, MATCH(D1235,RulebookFields!A2:A1898, 0))="")=TRUE),  "",  INDEX(RulebookFields!C2:C1898, MATCH(D1235,RulebookFields!A2:A1898, 0))), "")</f>
        <v>ProcedureVersions</v>
      </c>
      <c r="I1235" s="4" t="str">
        <f>_xlfn.IFNA(IF(((INDEX(RulebookFields!D2:D1898, MATCH(D1235,RulebookFields!A2:A1898, 0))="")=TRUE),  "",  INDEX(RulebookFields!D2:D1898, MATCH(D1235,RulebookFields!A2:A1898, 0))), "")</f>
        <v>ScopedOpenBlockingGapCount</v>
      </c>
      <c r="J1235" s="4" t="b">
        <f>_xlfn.IFNA(IF(((INDEX(RulebookFields!I2:I1898, MATCH(D1235,RulebookFields!A2:A1898, 0))="")=TRUE),  "",  INDEX(RulebookFields!I2:I1898, MATCH(D1235,RulebookFields!A2:A1898, 0))), "")</f>
        <v>1</v>
      </c>
      <c r="K1235" s="4" t="b">
        <f>AND(((F1235)=TRUE), ((J1235)=TRUE))</f>
        <v>0</v>
      </c>
      <c r="L1235" s="4" t="b">
        <f>AND(((G1235 &lt;&gt; "plain")=TRUE), ((G1235 &lt;&gt; "")=TRUE))</f>
        <v>0</v>
      </c>
      <c r="M1235" s="4" t="str">
        <f>IF(((E1235)=TRUE),  C1235 &amp; "|" &amp; H1235,  "")</f>
        <v>principal-process-steward|ProcedureVersions</v>
      </c>
      <c r="N1235" s="3" t="s">
        <v>10004</v>
      </c>
    </row>
    <row r="1236">
      <c r="A1236" s="3" t="s">
        <v>11238</v>
      </c>
      <c r="B1236" s="4" t="str">
        <f>C1236 &amp; " -&gt; " &amp; D1236</f>
        <v>principal-process-steward -&gt; ProcedureVersions.IsBlockedOnPendingDecision</v>
      </c>
      <c r="C1236" s="3" t="s">
        <v>9772</v>
      </c>
      <c r="D1236" s="3" t="s">
        <v>2787</v>
      </c>
      <c r="E1236" s="3" t="b">
        <v>1</v>
      </c>
      <c r="F1236" s="3" t="b">
        <v>0</v>
      </c>
      <c r="G1236" s="3" t="s">
        <v>10003</v>
      </c>
      <c r="H1236" s="4" t="str">
        <f>_xlfn.IFNA(IF(((INDEX(RulebookFields!C2:C1898, MATCH(D1236,RulebookFields!A2:A1898, 0))="")=TRUE),  "",  INDEX(RulebookFields!C2:C1898, MATCH(D1236,RulebookFields!A2:A1898, 0))), "")</f>
        <v>ProcedureVersions</v>
      </c>
      <c r="I1236" s="4" t="str">
        <f>_xlfn.IFNA(IF(((INDEX(RulebookFields!D2:D1898, MATCH(D1236,RulebookFields!A2:A1898, 0))="")=TRUE),  "",  INDEX(RulebookFields!D2:D1898, MATCH(D1236,RulebookFields!A2:A1898, 0))), "")</f>
        <v>IsBlockedOnPendingDecision</v>
      </c>
      <c r="J1236" s="4" t="b">
        <f>_xlfn.IFNA(IF(((INDEX(RulebookFields!I2:I1898, MATCH(D1236,RulebookFields!A2:A1898, 0))="")=TRUE),  "",  INDEX(RulebookFields!I2:I1898, MATCH(D1236,RulebookFields!A2:A1898, 0))), "")</f>
        <v>1</v>
      </c>
      <c r="K1236" s="4" t="b">
        <f>AND(((F1236)=TRUE), ((J1236)=TRUE))</f>
        <v>0</v>
      </c>
      <c r="L1236" s="4" t="b">
        <f>AND(((G1236 &lt;&gt; "plain")=TRUE), ((G1236 &lt;&gt; "")=TRUE))</f>
        <v>0</v>
      </c>
      <c r="M1236" s="4" t="str">
        <f>IF(((E1236)=TRUE),  C1236 &amp; "|" &amp; H1236,  "")</f>
        <v>principal-process-steward|ProcedureVersions</v>
      </c>
      <c r="N1236" s="3" t="s">
        <v>10004</v>
      </c>
    </row>
    <row r="1237">
      <c r="A1237" s="3" t="s">
        <v>11239</v>
      </c>
      <c r="B1237" s="4" t="str">
        <f>C1237 &amp; " -&gt; " &amp; D1237</f>
        <v>principal-process-steward -&gt; ProcedureVersions.UnexercisedHumanGateCount</v>
      </c>
      <c r="C1237" s="3" t="s">
        <v>9772</v>
      </c>
      <c r="D1237" s="3" t="s">
        <v>2789</v>
      </c>
      <c r="E1237" s="3" t="b">
        <v>1</v>
      </c>
      <c r="F1237" s="3" t="b">
        <v>0</v>
      </c>
      <c r="G1237" s="3" t="s">
        <v>10003</v>
      </c>
      <c r="H1237" s="4" t="str">
        <f>_xlfn.IFNA(IF(((INDEX(RulebookFields!C2:C1898, MATCH(D1237,RulebookFields!A2:A1898, 0))="")=TRUE),  "",  INDEX(RulebookFields!C2:C1898, MATCH(D1237,RulebookFields!A2:A1898, 0))), "")</f>
        <v>ProcedureVersions</v>
      </c>
      <c r="I1237" s="4" t="str">
        <f>_xlfn.IFNA(IF(((INDEX(RulebookFields!D2:D1898, MATCH(D1237,RulebookFields!A2:A1898, 0))="")=TRUE),  "",  INDEX(RulebookFields!D2:D1898, MATCH(D1237,RulebookFields!A2:A1898, 0))), "")</f>
        <v>UnexercisedHumanGateCount</v>
      </c>
      <c r="J1237" s="4" t="b">
        <f>_xlfn.IFNA(IF(((INDEX(RulebookFields!I2:I1898, MATCH(D1237,RulebookFields!A2:A1898, 0))="")=TRUE),  "",  INDEX(RulebookFields!I2:I1898, MATCH(D1237,RulebookFields!A2:A1898, 0))), "")</f>
        <v>1</v>
      </c>
      <c r="K1237" s="4" t="b">
        <f>AND(((F1237)=TRUE), ((J1237)=TRUE))</f>
        <v>0</v>
      </c>
      <c r="L1237" s="4" t="b">
        <f>AND(((G1237 &lt;&gt; "plain")=TRUE), ((G1237 &lt;&gt; "")=TRUE))</f>
        <v>0</v>
      </c>
      <c r="M1237" s="4" t="str">
        <f>IF(((E1237)=TRUE),  C1237 &amp; "|" &amp; H1237,  "")</f>
        <v>principal-process-steward|ProcedureVersions</v>
      </c>
      <c r="N1237" s="3" t="s">
        <v>10004</v>
      </c>
    </row>
    <row r="1238">
      <c r="A1238" s="3" t="s">
        <v>11240</v>
      </c>
      <c r="B1238" s="4" t="str">
        <f>C1238 &amp; " -&gt; " &amp; D1238</f>
        <v>principal-process-steward -&gt; ProcedureVersions.AiBoundaryIsUnevidenced</v>
      </c>
      <c r="C1238" s="3" t="s">
        <v>9772</v>
      </c>
      <c r="D1238" s="3" t="s">
        <v>2791</v>
      </c>
      <c r="E1238" s="3" t="b">
        <v>1</v>
      </c>
      <c r="F1238" s="3" t="b">
        <v>0</v>
      </c>
      <c r="G1238" s="3" t="s">
        <v>10003</v>
      </c>
      <c r="H1238" s="4" t="str">
        <f>_xlfn.IFNA(IF(((INDEX(RulebookFields!C2:C1898, MATCH(D1238,RulebookFields!A2:A1898, 0))="")=TRUE),  "",  INDEX(RulebookFields!C2:C1898, MATCH(D1238,RulebookFields!A2:A1898, 0))), "")</f>
        <v>ProcedureVersions</v>
      </c>
      <c r="I1238" s="4" t="str">
        <f>_xlfn.IFNA(IF(((INDEX(RulebookFields!D2:D1898, MATCH(D1238,RulebookFields!A2:A1898, 0))="")=TRUE),  "",  INDEX(RulebookFields!D2:D1898, MATCH(D1238,RulebookFields!A2:A1898, 0))), "")</f>
        <v>AiBoundaryIsUnevidenced</v>
      </c>
      <c r="J1238" s="4" t="b">
        <f>_xlfn.IFNA(IF(((INDEX(RulebookFields!I2:I1898, MATCH(D1238,RulebookFields!A2:A1898, 0))="")=TRUE),  "",  INDEX(RulebookFields!I2:I1898, MATCH(D1238,RulebookFields!A2:A1898, 0))), "")</f>
        <v>1</v>
      </c>
      <c r="K1238" s="4" t="b">
        <f>AND(((F1238)=TRUE), ((J1238)=TRUE))</f>
        <v>0</v>
      </c>
      <c r="L1238" s="4" t="b">
        <f>AND(((G1238 &lt;&gt; "plain")=TRUE), ((G1238 &lt;&gt; "")=TRUE))</f>
        <v>0</v>
      </c>
      <c r="M1238" s="4" t="str">
        <f>IF(((E1238)=TRUE),  C1238 &amp; "|" &amp; H1238,  "")</f>
        <v>principal-process-steward|ProcedureVersions</v>
      </c>
      <c r="N1238" s="3" t="s">
        <v>10004</v>
      </c>
    </row>
    <row r="1239">
      <c r="A1239" s="3" t="s">
        <v>11241</v>
      </c>
      <c r="B1239" s="4" t="str">
        <f>C1239 &amp; " -&gt; " &amp; D1239</f>
        <v>principal-process-steward -&gt; ProcedureVersions.LoadBearingUnapprovedCount</v>
      </c>
      <c r="C1239" s="3" t="s">
        <v>9772</v>
      </c>
      <c r="D1239" s="3" t="s">
        <v>2793</v>
      </c>
      <c r="E1239" s="3" t="b">
        <v>1</v>
      </c>
      <c r="F1239" s="3" t="b">
        <v>0</v>
      </c>
      <c r="G1239" s="3" t="s">
        <v>10003</v>
      </c>
      <c r="H1239" s="4" t="str">
        <f>_xlfn.IFNA(IF(((INDEX(RulebookFields!C2:C1898, MATCH(D1239,RulebookFields!A2:A1898, 0))="")=TRUE),  "",  INDEX(RulebookFields!C2:C1898, MATCH(D1239,RulebookFields!A2:A1898, 0))), "")</f>
        <v>ProcedureVersions</v>
      </c>
      <c r="I1239" s="4" t="str">
        <f>_xlfn.IFNA(IF(((INDEX(RulebookFields!D2:D1898, MATCH(D1239,RulebookFields!A2:A1898, 0))="")=TRUE),  "",  INDEX(RulebookFields!D2:D1898, MATCH(D1239,RulebookFields!A2:A1898, 0))), "")</f>
        <v>LoadBearingUnapprovedCount</v>
      </c>
      <c r="J1239" s="4" t="b">
        <f>_xlfn.IFNA(IF(((INDEX(RulebookFields!I2:I1898, MATCH(D1239,RulebookFields!A2:A1898, 0))="")=TRUE),  "",  INDEX(RulebookFields!I2:I1898, MATCH(D1239,RulebookFields!A2:A1898, 0))), "")</f>
        <v>1</v>
      </c>
      <c r="K1239" s="4" t="b">
        <f>AND(((F1239)=TRUE), ((J1239)=TRUE))</f>
        <v>0</v>
      </c>
      <c r="L1239" s="4" t="b">
        <f>AND(((G1239 &lt;&gt; "plain")=TRUE), ((G1239 &lt;&gt; "")=TRUE))</f>
        <v>0</v>
      </c>
      <c r="M1239" s="4" t="str">
        <f>IF(((E1239)=TRUE),  C1239 &amp; "|" &amp; H1239,  "")</f>
        <v>principal-process-steward|ProcedureVersions</v>
      </c>
      <c r="N1239" s="3" t="s">
        <v>10004</v>
      </c>
    </row>
    <row r="1240">
      <c r="A1240" s="3" t="s">
        <v>11242</v>
      </c>
      <c r="B1240" s="4" t="str">
        <f>C1240 &amp; " -&gt; " &amp; D1240</f>
        <v>principal-process-steward -&gt; ProcedureVersions.UnlandedDecisionCount</v>
      </c>
      <c r="C1240" s="3" t="s">
        <v>9772</v>
      </c>
      <c r="D1240" s="3" t="s">
        <v>2795</v>
      </c>
      <c r="E1240" s="3" t="b">
        <v>1</v>
      </c>
      <c r="F1240" s="3" t="b">
        <v>0</v>
      </c>
      <c r="G1240" s="3" t="s">
        <v>10003</v>
      </c>
      <c r="H1240" s="4" t="str">
        <f>_xlfn.IFNA(IF(((INDEX(RulebookFields!C2:C1898, MATCH(D1240,RulebookFields!A2:A1898, 0))="")=TRUE),  "",  INDEX(RulebookFields!C2:C1898, MATCH(D1240,RulebookFields!A2:A1898, 0))), "")</f>
        <v>ProcedureVersions</v>
      </c>
      <c r="I1240" s="4" t="str">
        <f>_xlfn.IFNA(IF(((INDEX(RulebookFields!D2:D1898, MATCH(D1240,RulebookFields!A2:A1898, 0))="")=TRUE),  "",  INDEX(RulebookFields!D2:D1898, MATCH(D1240,RulebookFields!A2:A1898, 0))), "")</f>
        <v>UnlandedDecisionCount</v>
      </c>
      <c r="J1240" s="4" t="b">
        <f>_xlfn.IFNA(IF(((INDEX(RulebookFields!I2:I1898, MATCH(D1240,RulebookFields!A2:A1898, 0))="")=TRUE),  "",  INDEX(RulebookFields!I2:I1898, MATCH(D1240,RulebookFields!A2:A1898, 0))), "")</f>
        <v>1</v>
      </c>
      <c r="K1240" s="4" t="b">
        <f>AND(((F1240)=TRUE), ((J1240)=TRUE))</f>
        <v>0</v>
      </c>
      <c r="L1240" s="4" t="b">
        <f>AND(((G1240 &lt;&gt; "plain")=TRUE), ((G1240 &lt;&gt; "")=TRUE))</f>
        <v>0</v>
      </c>
      <c r="M1240" s="4" t="str">
        <f>IF(((E1240)=TRUE),  C1240 &amp; "|" &amp; H1240,  "")</f>
        <v>principal-process-steward|ProcedureVersions</v>
      </c>
      <c r="N1240" s="3" t="s">
        <v>10004</v>
      </c>
    </row>
    <row r="1241">
      <c r="A1241" s="3" t="s">
        <v>11243</v>
      </c>
      <c r="B1241" s="4" t="str">
        <f>C1241 &amp; " -&gt; " &amp; D1241</f>
        <v>principal-process-steward -&gt; ProcedureVersions.UnrehearsedControlEntryCount</v>
      </c>
      <c r="C1241" s="3" t="s">
        <v>9772</v>
      </c>
      <c r="D1241" s="3" t="s">
        <v>2797</v>
      </c>
      <c r="E1241" s="3" t="b">
        <v>1</v>
      </c>
      <c r="F1241" s="3" t="b">
        <v>0</v>
      </c>
      <c r="G1241" s="3" t="s">
        <v>10003</v>
      </c>
      <c r="H1241" s="4" t="str">
        <f>_xlfn.IFNA(IF(((INDEX(RulebookFields!C2:C1898, MATCH(D1241,RulebookFields!A2:A1898, 0))="")=TRUE),  "",  INDEX(RulebookFields!C2:C1898, MATCH(D1241,RulebookFields!A2:A1898, 0))), "")</f>
        <v>ProcedureVersions</v>
      </c>
      <c r="I1241" s="4" t="str">
        <f>_xlfn.IFNA(IF(((INDEX(RulebookFields!D2:D1898, MATCH(D1241,RulebookFields!A2:A1898, 0))="")=TRUE),  "",  INDEX(RulebookFields!D2:D1898, MATCH(D1241,RulebookFields!A2:A1898, 0))), "")</f>
        <v>UnrehearsedControlEntryCount</v>
      </c>
      <c r="J1241" s="4" t="b">
        <f>_xlfn.IFNA(IF(((INDEX(RulebookFields!I2:I1898, MATCH(D1241,RulebookFields!A2:A1898, 0))="")=TRUE),  "",  INDEX(RulebookFields!I2:I1898, MATCH(D1241,RulebookFields!A2:A1898, 0))), "")</f>
        <v>1</v>
      </c>
      <c r="K1241" s="4" t="b">
        <f>AND(((F1241)=TRUE), ((J1241)=TRUE))</f>
        <v>0</v>
      </c>
      <c r="L1241" s="4" t="b">
        <f>AND(((G1241 &lt;&gt; "plain")=TRUE), ((G1241 &lt;&gt; "")=TRUE))</f>
        <v>0</v>
      </c>
      <c r="M1241" s="4" t="str">
        <f>IF(((E1241)=TRUE),  C1241 &amp; "|" &amp; H1241,  "")</f>
        <v>principal-process-steward|ProcedureVersions</v>
      </c>
      <c r="N1241" s="3" t="s">
        <v>10004</v>
      </c>
    </row>
    <row r="1242">
      <c r="A1242" s="3" t="s">
        <v>11244</v>
      </c>
      <c r="B1242" s="4" t="str">
        <f>C1242 &amp; " -&gt; " &amp; D1242</f>
        <v>principal-process-steward -&gt; ProcedureVersions.HasUnrehearsedControlEntry</v>
      </c>
      <c r="C1242" s="3" t="s">
        <v>9772</v>
      </c>
      <c r="D1242" s="3" t="s">
        <v>2799</v>
      </c>
      <c r="E1242" s="3" t="b">
        <v>1</v>
      </c>
      <c r="F1242" s="3" t="b">
        <v>0</v>
      </c>
      <c r="G1242" s="3" t="s">
        <v>10003</v>
      </c>
      <c r="H1242" s="4" t="str">
        <f>_xlfn.IFNA(IF(((INDEX(RulebookFields!C2:C1898, MATCH(D1242,RulebookFields!A2:A1898, 0))="")=TRUE),  "",  INDEX(RulebookFields!C2:C1898, MATCH(D1242,RulebookFields!A2:A1898, 0))), "")</f>
        <v>ProcedureVersions</v>
      </c>
      <c r="I1242" s="4" t="str">
        <f>_xlfn.IFNA(IF(((INDEX(RulebookFields!D2:D1898, MATCH(D1242,RulebookFields!A2:A1898, 0))="")=TRUE),  "",  INDEX(RulebookFields!D2:D1898, MATCH(D1242,RulebookFields!A2:A1898, 0))), "")</f>
        <v>HasUnrehearsedControlEntry</v>
      </c>
      <c r="J1242" s="4" t="b">
        <f>_xlfn.IFNA(IF(((INDEX(RulebookFields!I2:I1898, MATCH(D1242,RulebookFields!A2:A1898, 0))="")=TRUE),  "",  INDEX(RulebookFields!I2:I1898, MATCH(D1242,RulebookFields!A2:A1898, 0))), "")</f>
        <v>1</v>
      </c>
      <c r="K1242" s="4" t="b">
        <f>AND(((F1242)=TRUE), ((J1242)=TRUE))</f>
        <v>0</v>
      </c>
      <c r="L1242" s="4" t="b">
        <f>AND(((G1242 &lt;&gt; "plain")=TRUE), ((G1242 &lt;&gt; "")=TRUE))</f>
        <v>0</v>
      </c>
      <c r="M1242" s="4" t="str">
        <f>IF(((E1242)=TRUE),  C1242 &amp; "|" &amp; H1242,  "")</f>
        <v>principal-process-steward|ProcedureVersions</v>
      </c>
      <c r="N1242" s="3" t="s">
        <v>10004</v>
      </c>
    </row>
    <row r="1243">
      <c r="A1243" s="3" t="s">
        <v>11245</v>
      </c>
      <c r="B1243" s="4" t="str">
        <f>C1243 &amp; " -&gt; " &amp; D1243</f>
        <v>principal-process-steward -&gt; ProcedureVersions.IsLiveWithUnrehearsedControl</v>
      </c>
      <c r="C1243" s="3" t="s">
        <v>9772</v>
      </c>
      <c r="D1243" s="3" t="s">
        <v>2801</v>
      </c>
      <c r="E1243" s="3" t="b">
        <v>1</v>
      </c>
      <c r="F1243" s="3" t="b">
        <v>0</v>
      </c>
      <c r="G1243" s="3" t="s">
        <v>10003</v>
      </c>
      <c r="H1243" s="4" t="str">
        <f>_xlfn.IFNA(IF(((INDEX(RulebookFields!C2:C1898, MATCH(D1243,RulebookFields!A2:A1898, 0))="")=TRUE),  "",  INDEX(RulebookFields!C2:C1898, MATCH(D1243,RulebookFields!A2:A1898, 0))), "")</f>
        <v>ProcedureVersions</v>
      </c>
      <c r="I1243" s="4" t="str">
        <f>_xlfn.IFNA(IF(((INDEX(RulebookFields!D2:D1898, MATCH(D1243,RulebookFields!A2:A1898, 0))="")=TRUE),  "",  INDEX(RulebookFields!D2:D1898, MATCH(D1243,RulebookFields!A2:A1898, 0))), "")</f>
        <v>IsLiveWithUnrehearsedControl</v>
      </c>
      <c r="J1243" s="4" t="b">
        <f>_xlfn.IFNA(IF(((INDEX(RulebookFields!I2:I1898, MATCH(D1243,RulebookFields!A2:A1898, 0))="")=TRUE),  "",  INDEX(RulebookFields!I2:I1898, MATCH(D1243,RulebookFields!A2:A1898, 0))), "")</f>
        <v>1</v>
      </c>
      <c r="K1243" s="4" t="b">
        <f>AND(((F1243)=TRUE), ((J1243)=TRUE))</f>
        <v>0</v>
      </c>
      <c r="L1243" s="4" t="b">
        <f>AND(((G1243 &lt;&gt; "plain")=TRUE), ((G1243 &lt;&gt; "")=TRUE))</f>
        <v>0</v>
      </c>
      <c r="M1243" s="4" t="str">
        <f>IF(((E1243)=TRUE),  C1243 &amp; "|" &amp; H1243,  "")</f>
        <v>principal-process-steward|ProcedureVersions</v>
      </c>
      <c r="N1243" s="3" t="s">
        <v>10004</v>
      </c>
    </row>
    <row r="1244">
      <c r="A1244" s="3" t="s">
        <v>11246</v>
      </c>
      <c r="B1244" s="4" t="str">
        <f>C1244 &amp; " -&gt; " &amp; D1244</f>
        <v>principal-process-steward -&gt; ProcedureVersions.CadenceBreachCount</v>
      </c>
      <c r="C1244" s="3" t="s">
        <v>9772</v>
      </c>
      <c r="D1244" s="3" t="s">
        <v>2803</v>
      </c>
      <c r="E1244" s="3" t="b">
        <v>1</v>
      </c>
      <c r="F1244" s="3" t="b">
        <v>0</v>
      </c>
      <c r="G1244" s="3" t="s">
        <v>10003</v>
      </c>
      <c r="H1244" s="4" t="str">
        <f>_xlfn.IFNA(IF(((INDEX(RulebookFields!C2:C1898, MATCH(D1244,RulebookFields!A2:A1898, 0))="")=TRUE),  "",  INDEX(RulebookFields!C2:C1898, MATCH(D1244,RulebookFields!A2:A1898, 0))), "")</f>
        <v>ProcedureVersions</v>
      </c>
      <c r="I1244" s="4" t="str">
        <f>_xlfn.IFNA(IF(((INDEX(RulebookFields!D2:D1898, MATCH(D1244,RulebookFields!A2:A1898, 0))="")=TRUE),  "",  INDEX(RulebookFields!D2:D1898, MATCH(D1244,RulebookFields!A2:A1898, 0))), "")</f>
        <v>CadenceBreachCount</v>
      </c>
      <c r="J1244" s="4" t="b">
        <f>_xlfn.IFNA(IF(((INDEX(RulebookFields!I2:I1898, MATCH(D1244,RulebookFields!A2:A1898, 0))="")=TRUE),  "",  INDEX(RulebookFields!I2:I1898, MATCH(D1244,RulebookFields!A2:A1898, 0))), "")</f>
        <v>1</v>
      </c>
      <c r="K1244" s="4" t="b">
        <f>AND(((F1244)=TRUE), ((J1244)=TRUE))</f>
        <v>0</v>
      </c>
      <c r="L1244" s="4" t="b">
        <f>AND(((G1244 &lt;&gt; "plain")=TRUE), ((G1244 &lt;&gt; "")=TRUE))</f>
        <v>0</v>
      </c>
      <c r="M1244" s="4" t="str">
        <f>IF(((E1244)=TRUE),  C1244 &amp; "|" &amp; H1244,  "")</f>
        <v>principal-process-steward|ProcedureVersions</v>
      </c>
      <c r="N1244" s="3" t="s">
        <v>10004</v>
      </c>
    </row>
    <row r="1245">
      <c r="A1245" s="3" t="s">
        <v>11247</v>
      </c>
      <c r="B1245" s="4" t="str">
        <f>C1245 &amp; " -&gt; " &amp; D1245</f>
        <v>principal-process-steward -&gt; ProcedureVersions.IsInCadenceBreach</v>
      </c>
      <c r="C1245" s="3" t="s">
        <v>9772</v>
      </c>
      <c r="D1245" s="3" t="s">
        <v>2805</v>
      </c>
      <c r="E1245" s="3" t="b">
        <v>1</v>
      </c>
      <c r="F1245" s="3" t="b">
        <v>0</v>
      </c>
      <c r="G1245" s="3" t="s">
        <v>10003</v>
      </c>
      <c r="H1245" s="4" t="str">
        <f>_xlfn.IFNA(IF(((INDEX(RulebookFields!C2:C1898, MATCH(D1245,RulebookFields!A2:A1898, 0))="")=TRUE),  "",  INDEX(RulebookFields!C2:C1898, MATCH(D1245,RulebookFields!A2:A1898, 0))), "")</f>
        <v>ProcedureVersions</v>
      </c>
      <c r="I1245" s="4" t="str">
        <f>_xlfn.IFNA(IF(((INDEX(RulebookFields!D2:D1898, MATCH(D1245,RulebookFields!A2:A1898, 0))="")=TRUE),  "",  INDEX(RulebookFields!D2:D1898, MATCH(D1245,RulebookFields!A2:A1898, 0))), "")</f>
        <v>IsInCadenceBreach</v>
      </c>
      <c r="J1245" s="4" t="b">
        <f>_xlfn.IFNA(IF(((INDEX(RulebookFields!I2:I1898, MATCH(D1245,RulebookFields!A2:A1898, 0))="")=TRUE),  "",  INDEX(RulebookFields!I2:I1898, MATCH(D1245,RulebookFields!A2:A1898, 0))), "")</f>
        <v>1</v>
      </c>
      <c r="K1245" s="4" t="b">
        <f>AND(((F1245)=TRUE), ((J1245)=TRUE))</f>
        <v>0</v>
      </c>
      <c r="L1245" s="4" t="b">
        <f>AND(((G1245 &lt;&gt; "plain")=TRUE), ((G1245 &lt;&gt; "")=TRUE))</f>
        <v>0</v>
      </c>
      <c r="M1245" s="4" t="str">
        <f>IF(((E1245)=TRUE),  C1245 &amp; "|" &amp; H1245,  "")</f>
        <v>principal-process-steward|ProcedureVersions</v>
      </c>
      <c r="N1245" s="3" t="s">
        <v>10004</v>
      </c>
    </row>
    <row r="1246">
      <c r="A1246" s="3" t="s">
        <v>11248</v>
      </c>
      <c r="B1246" s="4" t="str">
        <f>C1246 &amp; " -&gt; " &amp; D1246</f>
        <v>principal-process-steward -&gt; ProcedureVersions.HasDecisionInFlight</v>
      </c>
      <c r="C1246" s="3" t="s">
        <v>9772</v>
      </c>
      <c r="D1246" s="3" t="s">
        <v>2807</v>
      </c>
      <c r="E1246" s="3" t="b">
        <v>1</v>
      </c>
      <c r="F1246" s="3" t="b">
        <v>0</v>
      </c>
      <c r="G1246" s="3" t="s">
        <v>10003</v>
      </c>
      <c r="H1246" s="4" t="str">
        <f>_xlfn.IFNA(IF(((INDEX(RulebookFields!C2:C1898, MATCH(D1246,RulebookFields!A2:A1898, 0))="")=TRUE),  "",  INDEX(RulebookFields!C2:C1898, MATCH(D1246,RulebookFields!A2:A1898, 0))), "")</f>
        <v>ProcedureVersions</v>
      </c>
      <c r="I1246" s="4" t="str">
        <f>_xlfn.IFNA(IF(((INDEX(RulebookFields!D2:D1898, MATCH(D1246,RulebookFields!A2:A1898, 0))="")=TRUE),  "",  INDEX(RulebookFields!D2:D1898, MATCH(D1246,RulebookFields!A2:A1898, 0))), "")</f>
        <v>HasDecisionInFlight</v>
      </c>
      <c r="J1246" s="4" t="b">
        <f>_xlfn.IFNA(IF(((INDEX(RulebookFields!I2:I1898, MATCH(D1246,RulebookFields!A2:A1898, 0))="")=TRUE),  "",  INDEX(RulebookFields!I2:I1898, MATCH(D1246,RulebookFields!A2:A1898, 0))), "")</f>
        <v>1</v>
      </c>
      <c r="K1246" s="4" t="b">
        <f>AND(((F1246)=TRUE), ((J1246)=TRUE))</f>
        <v>0</v>
      </c>
      <c r="L1246" s="4" t="b">
        <f>AND(((G1246 &lt;&gt; "plain")=TRUE), ((G1246 &lt;&gt; "")=TRUE))</f>
        <v>0</v>
      </c>
      <c r="M1246" s="4" t="str">
        <f>IF(((E1246)=TRUE),  C1246 &amp; "|" &amp; H1246,  "")</f>
        <v>principal-process-steward|ProcedureVersions</v>
      </c>
      <c r="N1246" s="3" t="s">
        <v>10004</v>
      </c>
    </row>
    <row r="1247">
      <c r="A1247" s="3" t="s">
        <v>11249</v>
      </c>
      <c r="B1247" s="4" t="str">
        <f>C1247 &amp; " -&gt; " &amp; D1247</f>
        <v>principal-process-steward -&gt; ProcedureVersions.IsUnremediatedCadenceBreach</v>
      </c>
      <c r="C1247" s="3" t="s">
        <v>9772</v>
      </c>
      <c r="D1247" s="3" t="s">
        <v>2809</v>
      </c>
      <c r="E1247" s="3" t="b">
        <v>1</v>
      </c>
      <c r="F1247" s="3" t="b">
        <v>0</v>
      </c>
      <c r="G1247" s="3" t="s">
        <v>10003</v>
      </c>
      <c r="H1247" s="4" t="str">
        <f>_xlfn.IFNA(IF(((INDEX(RulebookFields!C2:C1898, MATCH(D1247,RulebookFields!A2:A1898, 0))="")=TRUE),  "",  INDEX(RulebookFields!C2:C1898, MATCH(D1247,RulebookFields!A2:A1898, 0))), "")</f>
        <v>ProcedureVersions</v>
      </c>
      <c r="I1247" s="4" t="str">
        <f>_xlfn.IFNA(IF(((INDEX(RulebookFields!D2:D1898, MATCH(D1247,RulebookFields!A2:A1898, 0))="")=TRUE),  "",  INDEX(RulebookFields!D2:D1898, MATCH(D1247,RulebookFields!A2:A1898, 0))), "")</f>
        <v>IsUnremediatedCadenceBreach</v>
      </c>
      <c r="J1247" s="4" t="b">
        <f>_xlfn.IFNA(IF(((INDEX(RulebookFields!I2:I1898, MATCH(D1247,RulebookFields!A2:A1898, 0))="")=TRUE),  "",  INDEX(RulebookFields!I2:I1898, MATCH(D1247,RulebookFields!A2:A1898, 0))), "")</f>
        <v>1</v>
      </c>
      <c r="K1247" s="4" t="b">
        <f>AND(((F1247)=TRUE), ((J1247)=TRUE))</f>
        <v>0</v>
      </c>
      <c r="L1247" s="4" t="b">
        <f>AND(((G1247 &lt;&gt; "plain")=TRUE), ((G1247 &lt;&gt; "")=TRUE))</f>
        <v>0</v>
      </c>
      <c r="M1247" s="4" t="str">
        <f>IF(((E1247)=TRUE),  C1247 &amp; "|" &amp; H1247,  "")</f>
        <v>principal-process-steward|ProcedureVersions</v>
      </c>
      <c r="N1247" s="3" t="s">
        <v>10004</v>
      </c>
    </row>
    <row r="1248">
      <c r="A1248" s="3" t="s">
        <v>11250</v>
      </c>
      <c r="B1248" s="4" t="str">
        <f>C1248 &amp; " -&gt; " &amp; D1248</f>
        <v>principal-process-steward -&gt; ProcedureVersions.IsManagedCadenceBreach</v>
      </c>
      <c r="C1248" s="3" t="s">
        <v>9772</v>
      </c>
      <c r="D1248" s="3" t="s">
        <v>2811</v>
      </c>
      <c r="E1248" s="3" t="b">
        <v>1</v>
      </c>
      <c r="F1248" s="3" t="b">
        <v>0</v>
      </c>
      <c r="G1248" s="3" t="s">
        <v>10003</v>
      </c>
      <c r="H1248" s="4" t="str">
        <f>_xlfn.IFNA(IF(((INDEX(RulebookFields!C2:C1898, MATCH(D1248,RulebookFields!A2:A1898, 0))="")=TRUE),  "",  INDEX(RulebookFields!C2:C1898, MATCH(D1248,RulebookFields!A2:A1898, 0))), "")</f>
        <v>ProcedureVersions</v>
      </c>
      <c r="I1248" s="4" t="str">
        <f>_xlfn.IFNA(IF(((INDEX(RulebookFields!D2:D1898, MATCH(D1248,RulebookFields!A2:A1898, 0))="")=TRUE),  "",  INDEX(RulebookFields!D2:D1898, MATCH(D1248,RulebookFields!A2:A1898, 0))), "")</f>
        <v>IsManagedCadenceBreach</v>
      </c>
      <c r="J1248" s="4" t="b">
        <f>_xlfn.IFNA(IF(((INDEX(RulebookFields!I2:I1898, MATCH(D1248,RulebookFields!A2:A1898, 0))="")=TRUE),  "",  INDEX(RulebookFields!I2:I1898, MATCH(D1248,RulebookFields!A2:A1898, 0))), "")</f>
        <v>1</v>
      </c>
      <c r="K1248" s="4" t="b">
        <f>AND(((F1248)=TRUE), ((J1248)=TRUE))</f>
        <v>0</v>
      </c>
      <c r="L1248" s="4" t="b">
        <f>AND(((G1248 &lt;&gt; "plain")=TRUE), ((G1248 &lt;&gt; "")=TRUE))</f>
        <v>0</v>
      </c>
      <c r="M1248" s="4" t="str">
        <f>IF(((E1248)=TRUE),  C1248 &amp; "|" &amp; H1248,  "")</f>
        <v>principal-process-steward|ProcedureVersions</v>
      </c>
      <c r="N1248" s="3" t="s">
        <v>10004</v>
      </c>
    </row>
    <row r="1249">
      <c r="A1249" s="3" t="s">
        <v>11251</v>
      </c>
      <c r="B1249" s="4" t="str">
        <f>C1249 &amp; " -&gt; " &amp; D1249</f>
        <v>principal-process-steward -&gt; ProcedureVersions.GovernanceIsSilent</v>
      </c>
      <c r="C1249" s="3" t="s">
        <v>9772</v>
      </c>
      <c r="D1249" s="3" t="s">
        <v>2813</v>
      </c>
      <c r="E1249" s="3" t="b">
        <v>1</v>
      </c>
      <c r="F1249" s="3" t="b">
        <v>0</v>
      </c>
      <c r="G1249" s="3" t="s">
        <v>10003</v>
      </c>
      <c r="H1249" s="4" t="str">
        <f>_xlfn.IFNA(IF(((INDEX(RulebookFields!C2:C1898, MATCH(D1249,RulebookFields!A2:A1898, 0))="")=TRUE),  "",  INDEX(RulebookFields!C2:C1898, MATCH(D1249,RulebookFields!A2:A1898, 0))), "")</f>
        <v>ProcedureVersions</v>
      </c>
      <c r="I1249" s="4" t="str">
        <f>_xlfn.IFNA(IF(((INDEX(RulebookFields!D2:D1898, MATCH(D1249,RulebookFields!A2:A1898, 0))="")=TRUE),  "",  INDEX(RulebookFields!D2:D1898, MATCH(D1249,RulebookFields!A2:A1898, 0))), "")</f>
        <v>GovernanceIsSilent</v>
      </c>
      <c r="J1249" s="4" t="b">
        <f>_xlfn.IFNA(IF(((INDEX(RulebookFields!I2:I1898, MATCH(D1249,RulebookFields!A2:A1898, 0))="")=TRUE),  "",  INDEX(RulebookFields!I2:I1898, MATCH(D1249,RulebookFields!A2:A1898, 0))), "")</f>
        <v>1</v>
      </c>
      <c r="K1249" s="4" t="b">
        <f>AND(((F1249)=TRUE), ((J1249)=TRUE))</f>
        <v>0</v>
      </c>
      <c r="L1249" s="4" t="b">
        <f>AND(((G1249 &lt;&gt; "plain")=TRUE), ((G1249 &lt;&gt; "")=TRUE))</f>
        <v>0</v>
      </c>
      <c r="M1249" s="4" t="str">
        <f>IF(((E1249)=TRUE),  C1249 &amp; "|" &amp; H1249,  "")</f>
        <v>principal-process-steward|ProcedureVersions</v>
      </c>
      <c r="N1249" s="3" t="s">
        <v>10004</v>
      </c>
    </row>
    <row r="1250">
      <c r="A1250" s="3" t="s">
        <v>11252</v>
      </c>
      <c r="B1250" s="4" t="str">
        <f>C1250 &amp; " -&gt; " &amp; D1250</f>
        <v>principal-process-steward -&gt; ProcedureVersions.ValidFragmentCount</v>
      </c>
      <c r="C1250" s="3" t="s">
        <v>9772</v>
      </c>
      <c r="D1250" s="3" t="s">
        <v>2815</v>
      </c>
      <c r="E1250" s="3" t="b">
        <v>1</v>
      </c>
      <c r="F1250" s="3" t="b">
        <v>0</v>
      </c>
      <c r="G1250" s="3" t="s">
        <v>10003</v>
      </c>
      <c r="H1250" s="4" t="str">
        <f>_xlfn.IFNA(IF(((INDEX(RulebookFields!C2:C1898, MATCH(D1250,RulebookFields!A2:A1898, 0))="")=TRUE),  "",  INDEX(RulebookFields!C2:C1898, MATCH(D1250,RulebookFields!A2:A1898, 0))), "")</f>
        <v>ProcedureVersions</v>
      </c>
      <c r="I1250" s="4" t="str">
        <f>_xlfn.IFNA(IF(((INDEX(RulebookFields!D2:D1898, MATCH(D1250,RulebookFields!A2:A1898, 0))="")=TRUE),  "",  INDEX(RulebookFields!D2:D1898, MATCH(D1250,RulebookFields!A2:A1898, 0))), "")</f>
        <v>ValidFragmentCount</v>
      </c>
      <c r="J1250" s="4" t="b">
        <f>_xlfn.IFNA(IF(((INDEX(RulebookFields!I2:I1898, MATCH(D1250,RulebookFields!A2:A1898, 0))="")=TRUE),  "",  INDEX(RulebookFields!I2:I1898, MATCH(D1250,RulebookFields!A2:A1898, 0))), "")</f>
        <v>1</v>
      </c>
      <c r="K1250" s="4" t="b">
        <f>AND(((F1250)=TRUE), ((J1250)=TRUE))</f>
        <v>0</v>
      </c>
      <c r="L1250" s="4" t="b">
        <f>AND(((G1250 &lt;&gt; "plain")=TRUE), ((G1250 &lt;&gt; "")=TRUE))</f>
        <v>0</v>
      </c>
      <c r="M1250" s="4" t="str">
        <f>IF(((E1250)=TRUE),  C1250 &amp; "|" &amp; H1250,  "")</f>
        <v>principal-process-steward|ProcedureVersions</v>
      </c>
      <c r="N1250" s="3" t="s">
        <v>10004</v>
      </c>
    </row>
    <row r="1251">
      <c r="A1251" s="3" t="s">
        <v>11253</v>
      </c>
      <c r="B1251" s="4" t="str">
        <f>C1251 &amp; " -&gt; " &amp; D1251</f>
        <v>principal-process-steward -&gt; ProcedureVersions.StillOwnsValidKnowledge</v>
      </c>
      <c r="C1251" s="3" t="s">
        <v>9772</v>
      </c>
      <c r="D1251" s="3" t="s">
        <v>2817</v>
      </c>
      <c r="E1251" s="3" t="b">
        <v>1</v>
      </c>
      <c r="F1251" s="3" t="b">
        <v>0</v>
      </c>
      <c r="G1251" s="3" t="s">
        <v>10003</v>
      </c>
      <c r="H1251" s="4" t="str">
        <f>_xlfn.IFNA(IF(((INDEX(RulebookFields!C2:C1898, MATCH(D1251,RulebookFields!A2:A1898, 0))="")=TRUE),  "",  INDEX(RulebookFields!C2:C1898, MATCH(D1251,RulebookFields!A2:A1898, 0))), "")</f>
        <v>ProcedureVersions</v>
      </c>
      <c r="I1251" s="4" t="str">
        <f>_xlfn.IFNA(IF(((INDEX(RulebookFields!D2:D1898, MATCH(D1251,RulebookFields!A2:A1898, 0))="")=TRUE),  "",  INDEX(RulebookFields!D2:D1898, MATCH(D1251,RulebookFields!A2:A1898, 0))), "")</f>
        <v>StillOwnsValidKnowledge</v>
      </c>
      <c r="J1251" s="4" t="b">
        <f>_xlfn.IFNA(IF(((INDEX(RulebookFields!I2:I1898, MATCH(D1251,RulebookFields!A2:A1898, 0))="")=TRUE),  "",  INDEX(RulebookFields!I2:I1898, MATCH(D1251,RulebookFields!A2:A1898, 0))), "")</f>
        <v>1</v>
      </c>
      <c r="K1251" s="4" t="b">
        <f>AND(((F1251)=TRUE), ((J1251)=TRUE))</f>
        <v>0</v>
      </c>
      <c r="L1251" s="4" t="b">
        <f>AND(((G1251 &lt;&gt; "plain")=TRUE), ((G1251 &lt;&gt; "")=TRUE))</f>
        <v>0</v>
      </c>
      <c r="M1251" s="4" t="str">
        <f>IF(((E1251)=TRUE),  C1251 &amp; "|" &amp; H1251,  "")</f>
        <v>principal-process-steward|ProcedureVersions</v>
      </c>
      <c r="N1251" s="3" t="s">
        <v>10004</v>
      </c>
    </row>
    <row r="1252">
      <c r="A1252" s="3" t="s">
        <v>11254</v>
      </c>
      <c r="B1252" s="4" t="str">
        <f>C1252 &amp; " -&gt; " &amp; D1252</f>
        <v>principal-process-steward -&gt; ProcedureVersions.IncomingSupersessionCount</v>
      </c>
      <c r="C1252" s="3" t="s">
        <v>9772</v>
      </c>
      <c r="D1252" s="3" t="s">
        <v>2819</v>
      </c>
      <c r="E1252" s="3" t="b">
        <v>1</v>
      </c>
      <c r="F1252" s="3" t="b">
        <v>0</v>
      </c>
      <c r="G1252" s="3" t="s">
        <v>10003</v>
      </c>
      <c r="H1252" s="4" t="str">
        <f>_xlfn.IFNA(IF(((INDEX(RulebookFields!C2:C1898, MATCH(D1252,RulebookFields!A2:A1898, 0))="")=TRUE),  "",  INDEX(RulebookFields!C2:C1898, MATCH(D1252,RulebookFields!A2:A1898, 0))), "")</f>
        <v>ProcedureVersions</v>
      </c>
      <c r="I1252" s="4" t="str">
        <f>_xlfn.IFNA(IF(((INDEX(RulebookFields!D2:D1898, MATCH(D1252,RulebookFields!A2:A1898, 0))="")=TRUE),  "",  INDEX(RulebookFields!D2:D1898, MATCH(D1252,RulebookFields!A2:A1898, 0))), "")</f>
        <v>IncomingSupersessionCount</v>
      </c>
      <c r="J1252" s="4" t="b">
        <f>_xlfn.IFNA(IF(((INDEX(RulebookFields!I2:I1898, MATCH(D1252,RulebookFields!A2:A1898, 0))="")=TRUE),  "",  INDEX(RulebookFields!I2:I1898, MATCH(D1252,RulebookFields!A2:A1898, 0))), "")</f>
        <v>1</v>
      </c>
      <c r="K1252" s="4" t="b">
        <f>AND(((F1252)=TRUE), ((J1252)=TRUE))</f>
        <v>0</v>
      </c>
      <c r="L1252" s="4" t="b">
        <f>AND(((G1252 &lt;&gt; "plain")=TRUE), ((G1252 &lt;&gt; "")=TRUE))</f>
        <v>0</v>
      </c>
      <c r="M1252" s="4" t="str">
        <f>IF(((E1252)=TRUE),  C1252 &amp; "|" &amp; H1252,  "")</f>
        <v>principal-process-steward|ProcedureVersions</v>
      </c>
      <c r="N1252" s="3" t="s">
        <v>10004</v>
      </c>
    </row>
    <row r="1253">
      <c r="A1253" s="3" t="s">
        <v>11255</v>
      </c>
      <c r="B1253" s="4" t="str">
        <f>C1253 &amp; " -&gt; " &amp; D1253</f>
        <v>principal-process-steward -&gt; ProcedureVersions.IsStillReferenced</v>
      </c>
      <c r="C1253" s="3" t="s">
        <v>9772</v>
      </c>
      <c r="D1253" s="3" t="s">
        <v>2821</v>
      </c>
      <c r="E1253" s="3" t="b">
        <v>1</v>
      </c>
      <c r="F1253" s="3" t="b">
        <v>0</v>
      </c>
      <c r="G1253" s="3" t="s">
        <v>10003</v>
      </c>
      <c r="H1253" s="4" t="str">
        <f>_xlfn.IFNA(IF(((INDEX(RulebookFields!C2:C1898, MATCH(D1253,RulebookFields!A2:A1898, 0))="")=TRUE),  "",  INDEX(RulebookFields!C2:C1898, MATCH(D1253,RulebookFields!A2:A1898, 0))), "")</f>
        <v>ProcedureVersions</v>
      </c>
      <c r="I1253" s="4" t="str">
        <f>_xlfn.IFNA(IF(((INDEX(RulebookFields!D2:D1898, MATCH(D1253,RulebookFields!A2:A1898, 0))="")=TRUE),  "",  INDEX(RulebookFields!D2:D1898, MATCH(D1253,RulebookFields!A2:A1898, 0))), "")</f>
        <v>IsStillReferenced</v>
      </c>
      <c r="J1253" s="4" t="b">
        <f>_xlfn.IFNA(IF(((INDEX(RulebookFields!I2:I1898, MATCH(D1253,RulebookFields!A2:A1898, 0))="")=TRUE),  "",  INDEX(RulebookFields!I2:I1898, MATCH(D1253,RulebookFields!A2:A1898, 0))), "")</f>
        <v>1</v>
      </c>
      <c r="K1253" s="4" t="b">
        <f>AND(((F1253)=TRUE), ((J1253)=TRUE))</f>
        <v>0</v>
      </c>
      <c r="L1253" s="4" t="b">
        <f>AND(((G1253 &lt;&gt; "plain")=TRUE), ((G1253 &lt;&gt; "")=TRUE))</f>
        <v>0</v>
      </c>
      <c r="M1253" s="4" t="str">
        <f>IF(((E1253)=TRUE),  C1253 &amp; "|" &amp; H1253,  "")</f>
        <v>principal-process-steward|ProcedureVersions</v>
      </c>
      <c r="N1253" s="3" t="s">
        <v>10004</v>
      </c>
    </row>
    <row r="1254">
      <c r="A1254" s="3" t="s">
        <v>11256</v>
      </c>
      <c r="B1254" s="4" t="str">
        <f>C1254 &amp; " -&gt; " &amp; D1254</f>
        <v>principal-process-steward -&gt; ProcedureVersions.IsLoadBearingOrphan</v>
      </c>
      <c r="C1254" s="3" t="s">
        <v>9772</v>
      </c>
      <c r="D1254" s="3" t="s">
        <v>2823</v>
      </c>
      <c r="E1254" s="3" t="b">
        <v>1</v>
      </c>
      <c r="F1254" s="3" t="b">
        <v>0</v>
      </c>
      <c r="G1254" s="3" t="s">
        <v>10003</v>
      </c>
      <c r="H1254" s="4" t="str">
        <f>_xlfn.IFNA(IF(((INDEX(RulebookFields!C2:C1898, MATCH(D1254,RulebookFields!A2:A1898, 0))="")=TRUE),  "",  INDEX(RulebookFields!C2:C1898, MATCH(D1254,RulebookFields!A2:A1898, 0))), "")</f>
        <v>ProcedureVersions</v>
      </c>
      <c r="I1254" s="4" t="str">
        <f>_xlfn.IFNA(IF(((INDEX(RulebookFields!D2:D1898, MATCH(D1254,RulebookFields!A2:A1898, 0))="")=TRUE),  "",  INDEX(RulebookFields!D2:D1898, MATCH(D1254,RulebookFields!A2:A1898, 0))), "")</f>
        <v>IsLoadBearingOrphan</v>
      </c>
      <c r="J1254" s="4" t="b">
        <f>_xlfn.IFNA(IF(((INDEX(RulebookFields!I2:I1898, MATCH(D1254,RulebookFields!A2:A1898, 0))="")=TRUE),  "",  INDEX(RulebookFields!I2:I1898, MATCH(D1254,RulebookFields!A2:A1898, 0))), "")</f>
        <v>1</v>
      </c>
      <c r="K1254" s="4" t="b">
        <f>AND(((F1254)=TRUE), ((J1254)=TRUE))</f>
        <v>0</v>
      </c>
      <c r="L1254" s="4" t="b">
        <f>AND(((G1254 &lt;&gt; "plain")=TRUE), ((G1254 &lt;&gt; "")=TRUE))</f>
        <v>0</v>
      </c>
      <c r="M1254" s="4" t="str">
        <f>IF(((E1254)=TRUE),  C1254 &amp; "|" &amp; H1254,  "")</f>
        <v>principal-process-steward|ProcedureVersions</v>
      </c>
      <c r="N1254" s="3" t="s">
        <v>10004</v>
      </c>
    </row>
    <row r="1255">
      <c r="A1255" s="3" t="s">
        <v>11257</v>
      </c>
      <c r="B1255" s="4" t="str">
        <f>C1255 &amp; " -&gt; " &amp; D1255</f>
        <v>principal-process-steward -&gt; ProcedureVersions.IsCleanlyRetired</v>
      </c>
      <c r="C1255" s="3" t="s">
        <v>9772</v>
      </c>
      <c r="D1255" s="3" t="s">
        <v>2825</v>
      </c>
      <c r="E1255" s="3" t="b">
        <v>1</v>
      </c>
      <c r="F1255" s="3" t="b">
        <v>0</v>
      </c>
      <c r="G1255" s="3" t="s">
        <v>10003</v>
      </c>
      <c r="H1255" s="4" t="str">
        <f>_xlfn.IFNA(IF(((INDEX(RulebookFields!C2:C1898, MATCH(D1255,RulebookFields!A2:A1898, 0))="")=TRUE),  "",  INDEX(RulebookFields!C2:C1898, MATCH(D1255,RulebookFields!A2:A1898, 0))), "")</f>
        <v>ProcedureVersions</v>
      </c>
      <c r="I1255" s="4" t="str">
        <f>_xlfn.IFNA(IF(((INDEX(RulebookFields!D2:D1898, MATCH(D1255,RulebookFields!A2:A1898, 0))="")=TRUE),  "",  INDEX(RulebookFields!D2:D1898, MATCH(D1255,RulebookFields!A2:A1898, 0))), "")</f>
        <v>IsCleanlyRetired</v>
      </c>
      <c r="J1255" s="4" t="b">
        <f>_xlfn.IFNA(IF(((INDEX(RulebookFields!I2:I1898, MATCH(D1255,RulebookFields!A2:A1898, 0))="")=TRUE),  "",  INDEX(RulebookFields!I2:I1898, MATCH(D1255,RulebookFields!A2:A1898, 0))), "")</f>
        <v>1</v>
      </c>
      <c r="K1255" s="4" t="b">
        <f>AND(((F1255)=TRUE), ((J1255)=TRUE))</f>
        <v>0</v>
      </c>
      <c r="L1255" s="4" t="b">
        <f>AND(((G1255 &lt;&gt; "plain")=TRUE), ((G1255 &lt;&gt; "")=TRUE))</f>
        <v>0</v>
      </c>
      <c r="M1255" s="4" t="str">
        <f>IF(((E1255)=TRUE),  C1255 &amp; "|" &amp; H1255,  "")</f>
        <v>principal-process-steward|ProcedureVersions</v>
      </c>
      <c r="N1255" s="3" t="s">
        <v>10004</v>
      </c>
    </row>
    <row r="1256">
      <c r="A1256" s="3" t="s">
        <v>11258</v>
      </c>
      <c r="B1256" s="4" t="str">
        <f>C1256 &amp; " -&gt; " &amp; D1256</f>
        <v>principal-process-steward -&gt; ProcedureVersions.StalledImplementationCount</v>
      </c>
      <c r="C1256" s="3" t="s">
        <v>9772</v>
      </c>
      <c r="D1256" s="3" t="s">
        <v>2827</v>
      </c>
      <c r="E1256" s="3" t="b">
        <v>1</v>
      </c>
      <c r="F1256" s="3" t="b">
        <v>0</v>
      </c>
      <c r="G1256" s="3" t="s">
        <v>10003</v>
      </c>
      <c r="H1256" s="4" t="str">
        <f>_xlfn.IFNA(IF(((INDEX(RulebookFields!C2:C1898, MATCH(D1256,RulebookFields!A2:A1898, 0))="")=TRUE),  "",  INDEX(RulebookFields!C2:C1898, MATCH(D1256,RulebookFields!A2:A1898, 0))), "")</f>
        <v>ProcedureVersions</v>
      </c>
      <c r="I1256" s="4" t="str">
        <f>_xlfn.IFNA(IF(((INDEX(RulebookFields!D2:D1898, MATCH(D1256,RulebookFields!A2:A1898, 0))="")=TRUE),  "",  INDEX(RulebookFields!D2:D1898, MATCH(D1256,RulebookFields!A2:A1898, 0))), "")</f>
        <v>StalledImplementationCount</v>
      </c>
      <c r="J1256" s="4" t="b">
        <f>_xlfn.IFNA(IF(((INDEX(RulebookFields!I2:I1898, MATCH(D1256,RulebookFields!A2:A1898, 0))="")=TRUE),  "",  INDEX(RulebookFields!I2:I1898, MATCH(D1256,RulebookFields!A2:A1898, 0))), "")</f>
        <v>1</v>
      </c>
      <c r="K1256" s="4" t="b">
        <f>AND(((F1256)=TRUE), ((J1256)=TRUE))</f>
        <v>0</v>
      </c>
      <c r="L1256" s="4" t="b">
        <f>AND(((G1256 &lt;&gt; "plain")=TRUE), ((G1256 &lt;&gt; "")=TRUE))</f>
        <v>0</v>
      </c>
      <c r="M1256" s="4" t="str">
        <f>IF(((E1256)=TRUE),  C1256 &amp; "|" &amp; H1256,  "")</f>
        <v>principal-process-steward|ProcedureVersions</v>
      </c>
      <c r="N1256" s="3" t="s">
        <v>10004</v>
      </c>
    </row>
    <row r="1257">
      <c r="A1257" s="3" t="s">
        <v>11259</v>
      </c>
      <c r="B1257" s="4" t="str">
        <f>C1257 &amp; " -&gt; " &amp; D1257</f>
        <v>principal-process-steward -&gt; ProcedureVersions.IsHeldUnfitByLandedDecisions</v>
      </c>
      <c r="C1257" s="3" t="s">
        <v>9772</v>
      </c>
      <c r="D1257" s="3" t="s">
        <v>2829</v>
      </c>
      <c r="E1257" s="3" t="b">
        <v>1</v>
      </c>
      <c r="F1257" s="3" t="b">
        <v>0</v>
      </c>
      <c r="G1257" s="3" t="s">
        <v>10003</v>
      </c>
      <c r="H1257" s="4" t="str">
        <f>_xlfn.IFNA(IF(((INDEX(RulebookFields!C2:C1898, MATCH(D1257,RulebookFields!A2:A1898, 0))="")=TRUE),  "",  INDEX(RulebookFields!C2:C1898, MATCH(D1257,RulebookFields!A2:A1898, 0))), "")</f>
        <v>ProcedureVersions</v>
      </c>
      <c r="I1257" s="4" t="str">
        <f>_xlfn.IFNA(IF(((INDEX(RulebookFields!D2:D1898, MATCH(D1257,RulebookFields!A2:A1898, 0))="")=TRUE),  "",  INDEX(RulebookFields!D2:D1898, MATCH(D1257,RulebookFields!A2:A1898, 0))), "")</f>
        <v>IsHeldUnfitByLandedDecisions</v>
      </c>
      <c r="J1257" s="4" t="b">
        <f>_xlfn.IFNA(IF(((INDEX(RulebookFields!I2:I1898, MATCH(D1257,RulebookFields!A2:A1898, 0))="")=TRUE),  "",  INDEX(RulebookFields!I2:I1898, MATCH(D1257,RulebookFields!A2:A1898, 0))), "")</f>
        <v>1</v>
      </c>
      <c r="K1257" s="4" t="b">
        <f>AND(((F1257)=TRUE), ((J1257)=TRUE))</f>
        <v>0</v>
      </c>
      <c r="L1257" s="4" t="b">
        <f>AND(((G1257 &lt;&gt; "plain")=TRUE), ((G1257 &lt;&gt; "")=TRUE))</f>
        <v>0</v>
      </c>
      <c r="M1257" s="4" t="str">
        <f>IF(((E1257)=TRUE),  C1257 &amp; "|" &amp; H1257,  "")</f>
        <v>principal-process-steward|ProcedureVersions</v>
      </c>
      <c r="N1257" s="3" t="s">
        <v>10004</v>
      </c>
    </row>
    <row r="1258">
      <c r="A1258" s="3" t="s">
        <v>11260</v>
      </c>
      <c r="B1258" s="4" t="str">
        <f>C1258 &amp; " -&gt; " &amp; D1258</f>
        <v>principal-process-steward -&gt; ProcedureVersions.UndeclaredControlKindCount</v>
      </c>
      <c r="C1258" s="3" t="s">
        <v>9772</v>
      </c>
      <c r="D1258" s="3" t="s">
        <v>2831</v>
      </c>
      <c r="E1258" s="3" t="b">
        <v>1</v>
      </c>
      <c r="F1258" s="3" t="b">
        <v>0</v>
      </c>
      <c r="G1258" s="3" t="s">
        <v>10003</v>
      </c>
      <c r="H1258" s="4" t="str">
        <f>_xlfn.IFNA(IF(((INDEX(RulebookFields!C2:C1898, MATCH(D1258,RulebookFields!A2:A1898, 0))="")=TRUE),  "",  INDEX(RulebookFields!C2:C1898, MATCH(D1258,RulebookFields!A2:A1898, 0))), "")</f>
        <v>ProcedureVersions</v>
      </c>
      <c r="I1258" s="4" t="str">
        <f>_xlfn.IFNA(IF(((INDEX(RulebookFields!D2:D1898, MATCH(D1258,RulebookFields!A2:A1898, 0))="")=TRUE),  "",  INDEX(RulebookFields!D2:D1898, MATCH(D1258,RulebookFields!A2:A1898, 0))), "")</f>
        <v>UndeclaredControlKindCount</v>
      </c>
      <c r="J1258" s="4" t="b">
        <f>_xlfn.IFNA(IF(((INDEX(RulebookFields!I2:I1898, MATCH(D1258,RulebookFields!A2:A1898, 0))="")=TRUE),  "",  INDEX(RulebookFields!I2:I1898, MATCH(D1258,RulebookFields!A2:A1898, 0))), "")</f>
        <v>1</v>
      </c>
      <c r="K1258" s="4" t="b">
        <f>AND(((F1258)=TRUE), ((J1258)=TRUE))</f>
        <v>0</v>
      </c>
      <c r="L1258" s="4" t="b">
        <f>AND(((G1258 &lt;&gt; "plain")=TRUE), ((G1258 &lt;&gt; "")=TRUE))</f>
        <v>0</v>
      </c>
      <c r="M1258" s="4" t="str">
        <f>IF(((E1258)=TRUE),  C1258 &amp; "|" &amp; H1258,  "")</f>
        <v>principal-process-steward|ProcedureVersions</v>
      </c>
      <c r="N1258" s="3" t="s">
        <v>10004</v>
      </c>
    </row>
    <row r="1259">
      <c r="A1259" s="3" t="s">
        <v>11261</v>
      </c>
      <c r="B1259" s="4" t="str">
        <f>C1259 &amp; " -&gt; " &amp; D1259</f>
        <v>principal-process-steward -&gt; ProcedureVersions.ControlTaxonomyIsIncomplete</v>
      </c>
      <c r="C1259" s="3" t="s">
        <v>9772</v>
      </c>
      <c r="D1259" s="3" t="s">
        <v>2833</v>
      </c>
      <c r="E1259" s="3" t="b">
        <v>1</v>
      </c>
      <c r="F1259" s="3" t="b">
        <v>0</v>
      </c>
      <c r="G1259" s="3" t="s">
        <v>10003</v>
      </c>
      <c r="H1259" s="4" t="str">
        <f>_xlfn.IFNA(IF(((INDEX(RulebookFields!C2:C1898, MATCH(D1259,RulebookFields!A2:A1898, 0))="")=TRUE),  "",  INDEX(RulebookFields!C2:C1898, MATCH(D1259,RulebookFields!A2:A1898, 0))), "")</f>
        <v>ProcedureVersions</v>
      </c>
      <c r="I1259" s="4" t="str">
        <f>_xlfn.IFNA(IF(((INDEX(RulebookFields!D2:D1898, MATCH(D1259,RulebookFields!A2:A1898, 0))="")=TRUE),  "",  INDEX(RulebookFields!D2:D1898, MATCH(D1259,RulebookFields!A2:A1898, 0))), "")</f>
        <v>ControlTaxonomyIsIncomplete</v>
      </c>
      <c r="J1259" s="4" t="b">
        <f>_xlfn.IFNA(IF(((INDEX(RulebookFields!I2:I1898, MATCH(D1259,RulebookFields!A2:A1898, 0))="")=TRUE),  "",  INDEX(RulebookFields!I2:I1898, MATCH(D1259,RulebookFields!A2:A1898, 0))), "")</f>
        <v>1</v>
      </c>
      <c r="K1259" s="4" t="b">
        <f>AND(((F1259)=TRUE), ((J1259)=TRUE))</f>
        <v>0</v>
      </c>
      <c r="L1259" s="4" t="b">
        <f>AND(((G1259 &lt;&gt; "plain")=TRUE), ((G1259 &lt;&gt; "")=TRUE))</f>
        <v>0</v>
      </c>
      <c r="M1259" s="4" t="str">
        <f>IF(((E1259)=TRUE),  C1259 &amp; "|" &amp; H1259,  "")</f>
        <v>principal-process-steward|ProcedureVersions</v>
      </c>
      <c r="N1259" s="3" t="s">
        <v>10004</v>
      </c>
    </row>
    <row r="1260">
      <c r="A1260" s="3" t="s">
        <v>11262</v>
      </c>
      <c r="B1260" s="4" t="str">
        <f>C1260 &amp; " -&gt; " &amp; D1260</f>
        <v>principal-process-steward -&gt; ProcedureVersions.HasApprovedChangeRequest</v>
      </c>
      <c r="C1260" s="3" t="s">
        <v>9772</v>
      </c>
      <c r="D1260" s="3" t="s">
        <v>2835</v>
      </c>
      <c r="E1260" s="3" t="b">
        <v>1</v>
      </c>
      <c r="F1260" s="3" t="b">
        <v>0</v>
      </c>
      <c r="G1260" s="3" t="s">
        <v>10003</v>
      </c>
      <c r="H1260" s="4" t="str">
        <f>_xlfn.IFNA(IF(((INDEX(RulebookFields!C2:C1898, MATCH(D1260,RulebookFields!A2:A1898, 0))="")=TRUE),  "",  INDEX(RulebookFields!C2:C1898, MATCH(D1260,RulebookFields!A2:A1898, 0))), "")</f>
        <v>ProcedureVersions</v>
      </c>
      <c r="I1260" s="4" t="str">
        <f>_xlfn.IFNA(IF(((INDEX(RulebookFields!D2:D1898, MATCH(D1260,RulebookFields!A2:A1898, 0))="")=TRUE),  "",  INDEX(RulebookFields!D2:D1898, MATCH(D1260,RulebookFields!A2:A1898, 0))), "")</f>
        <v>HasApprovedChangeRequest</v>
      </c>
      <c r="J1260" s="4" t="b">
        <f>_xlfn.IFNA(IF(((INDEX(RulebookFields!I2:I1898, MATCH(D1260,RulebookFields!A2:A1898, 0))="")=TRUE),  "",  INDEX(RulebookFields!I2:I1898, MATCH(D1260,RulebookFields!A2:A1898, 0))), "")</f>
        <v>1</v>
      </c>
      <c r="K1260" s="4" t="b">
        <f>AND(((F1260)=TRUE), ((J1260)=TRUE))</f>
        <v>0</v>
      </c>
      <c r="L1260" s="4" t="b">
        <f>AND(((G1260 &lt;&gt; "plain")=TRUE), ((G1260 &lt;&gt; "")=TRUE))</f>
        <v>0</v>
      </c>
      <c r="M1260" s="4" t="str">
        <f>IF(((E1260)=TRUE),  C1260 &amp; "|" &amp; H1260,  "")</f>
        <v>principal-process-steward|ProcedureVersions</v>
      </c>
      <c r="N1260" s="3" t="s">
        <v>10004</v>
      </c>
    </row>
    <row r="1261">
      <c r="A1261" s="3" t="s">
        <v>11263</v>
      </c>
      <c r="B1261" s="4" t="str">
        <f>C1261 &amp; " -&gt; " &amp; D1261</f>
        <v>principal-process-steward -&gt; ProcedureVersions.ApprovedChangeRequestCount</v>
      </c>
      <c r="C1261" s="3" t="s">
        <v>9772</v>
      </c>
      <c r="D1261" s="3" t="s">
        <v>2837</v>
      </c>
      <c r="E1261" s="3" t="b">
        <v>1</v>
      </c>
      <c r="F1261" s="3" t="b">
        <v>0</v>
      </c>
      <c r="G1261" s="3" t="s">
        <v>10003</v>
      </c>
      <c r="H1261" s="4" t="str">
        <f>_xlfn.IFNA(IF(((INDEX(RulebookFields!C2:C1898, MATCH(D1261,RulebookFields!A2:A1898, 0))="")=TRUE),  "",  INDEX(RulebookFields!C2:C1898, MATCH(D1261,RulebookFields!A2:A1898, 0))), "")</f>
        <v>ProcedureVersions</v>
      </c>
      <c r="I1261" s="4" t="str">
        <f>_xlfn.IFNA(IF(((INDEX(RulebookFields!D2:D1898, MATCH(D1261,RulebookFields!A2:A1898, 0))="")=TRUE),  "",  INDEX(RulebookFields!D2:D1898, MATCH(D1261,RulebookFields!A2:A1898, 0))), "")</f>
        <v>ApprovedChangeRequestCount</v>
      </c>
      <c r="J1261" s="4" t="b">
        <f>_xlfn.IFNA(IF(((INDEX(RulebookFields!I2:I1898, MATCH(D1261,RulebookFields!A2:A1898, 0))="")=TRUE),  "",  INDEX(RulebookFields!I2:I1898, MATCH(D1261,RulebookFields!A2:A1898, 0))), "")</f>
        <v>1</v>
      </c>
      <c r="K1261" s="4" t="b">
        <f>AND(((F1261)=TRUE), ((J1261)=TRUE))</f>
        <v>0</v>
      </c>
      <c r="L1261" s="4" t="b">
        <f>AND(((G1261 &lt;&gt; "plain")=TRUE), ((G1261 &lt;&gt; "")=TRUE))</f>
        <v>0</v>
      </c>
      <c r="M1261" s="4" t="str">
        <f>IF(((E1261)=TRUE),  C1261 &amp; "|" &amp; H1261,  "")</f>
        <v>principal-process-steward|ProcedureVersions</v>
      </c>
      <c r="N1261" s="3" t="s">
        <v>10004</v>
      </c>
    </row>
    <row r="1262">
      <c r="A1262" s="3" t="s">
        <v>11264</v>
      </c>
      <c r="B1262" s="4" t="str">
        <f>C1262 &amp; " -&gt; " &amp; D1262</f>
        <v>principal-process-steward -&gt; ProcedureVersions.UnwatchedUnownedControlCount</v>
      </c>
      <c r="C1262" s="3" t="s">
        <v>9772</v>
      </c>
      <c r="D1262" s="3" t="s">
        <v>2839</v>
      </c>
      <c r="E1262" s="3" t="b">
        <v>1</v>
      </c>
      <c r="F1262" s="3" t="b">
        <v>0</v>
      </c>
      <c r="G1262" s="3" t="s">
        <v>10003</v>
      </c>
      <c r="H1262" s="4" t="str">
        <f>_xlfn.IFNA(IF(((INDEX(RulebookFields!C2:C1898, MATCH(D1262,RulebookFields!A2:A1898, 0))="")=TRUE),  "",  INDEX(RulebookFields!C2:C1898, MATCH(D1262,RulebookFields!A2:A1898, 0))), "")</f>
        <v>ProcedureVersions</v>
      </c>
      <c r="I1262" s="4" t="str">
        <f>_xlfn.IFNA(IF(((INDEX(RulebookFields!D2:D1898, MATCH(D1262,RulebookFields!A2:A1898, 0))="")=TRUE),  "",  INDEX(RulebookFields!D2:D1898, MATCH(D1262,RulebookFields!A2:A1898, 0))), "")</f>
        <v>UnwatchedUnownedControlCount</v>
      </c>
      <c r="J1262" s="4" t="b">
        <f>_xlfn.IFNA(IF(((INDEX(RulebookFields!I2:I1898, MATCH(D1262,RulebookFields!A2:A1898, 0))="")=TRUE),  "",  INDEX(RulebookFields!I2:I1898, MATCH(D1262,RulebookFields!A2:A1898, 0))), "")</f>
        <v>1</v>
      </c>
      <c r="K1262" s="4" t="b">
        <f>AND(((F1262)=TRUE), ((J1262)=TRUE))</f>
        <v>0</v>
      </c>
      <c r="L1262" s="4" t="b">
        <f>AND(((G1262 &lt;&gt; "plain")=TRUE), ((G1262 &lt;&gt; "")=TRUE))</f>
        <v>0</v>
      </c>
      <c r="M1262" s="4" t="str">
        <f>IF(((E1262)=TRUE),  C1262 &amp; "|" &amp; H1262,  "")</f>
        <v>principal-process-steward|ProcedureVersions</v>
      </c>
      <c r="N1262" s="3" t="s">
        <v>10004</v>
      </c>
    </row>
    <row r="1263">
      <c r="A1263" s="3" t="s">
        <v>11265</v>
      </c>
      <c r="B1263" s="4" t="str">
        <f>C1263 &amp; " -&gt; " &amp; D1263</f>
        <v>principal-process-steward -&gt; ProcedureVersions.SemanticTypeIri</v>
      </c>
      <c r="C1263" s="3" t="s">
        <v>9772</v>
      </c>
      <c r="D1263" s="3" t="s">
        <v>2849</v>
      </c>
      <c r="E1263" s="3" t="b">
        <v>1</v>
      </c>
      <c r="F1263" s="3" t="b">
        <v>0</v>
      </c>
      <c r="G1263" s="3" t="s">
        <v>10003</v>
      </c>
      <c r="H1263" s="4" t="str">
        <f>_xlfn.IFNA(IF(((INDEX(RulebookFields!C2:C1898, MATCH(D1263,RulebookFields!A2:A1898, 0))="")=TRUE),  "",  INDEX(RulebookFields!C2:C1898, MATCH(D1263,RulebookFields!A2:A1898, 0))), "")</f>
        <v>ProcedureVersions</v>
      </c>
      <c r="I1263" s="4" t="str">
        <f>_xlfn.IFNA(IF(((INDEX(RulebookFields!D2:D1898, MATCH(D1263,RulebookFields!A2:A1898, 0))="")=TRUE),  "",  INDEX(RulebookFields!D2:D1898, MATCH(D1263,RulebookFields!A2:A1898, 0))), "")</f>
        <v>SemanticTypeIri</v>
      </c>
      <c r="J1263" s="4" t="b">
        <f>_xlfn.IFNA(IF(((INDEX(RulebookFields!I2:I1898, MATCH(D1263,RulebookFields!A2:A1898, 0))="")=TRUE),  "",  INDEX(RulebookFields!I2:I1898, MATCH(D1263,RulebookFields!A2:A1898, 0))), "")</f>
        <v>0</v>
      </c>
      <c r="K1263" s="4" t="b">
        <f>AND(((F1263)=TRUE), ((J1263)=TRUE))</f>
        <v>0</v>
      </c>
      <c r="L1263" s="4" t="b">
        <f>AND(((G1263 &lt;&gt; "plain")=TRUE), ((G1263 &lt;&gt; "")=TRUE))</f>
        <v>0</v>
      </c>
      <c r="M1263" s="4" t="str">
        <f>IF(((E1263)=TRUE),  C1263 &amp; "|" &amp; H1263,  "")</f>
        <v>principal-process-steward|ProcedureVersions</v>
      </c>
      <c r="N1263" s="3" t="s">
        <v>10004</v>
      </c>
    </row>
    <row r="1264">
      <c r="A1264" s="3" t="s">
        <v>11266</v>
      </c>
      <c r="B1264" s="4" t="str">
        <f>C1264 &amp; " -&gt; " &amp; D1264</f>
        <v>principal-process-steward -&gt; Procedures.ProcedureId</v>
      </c>
      <c r="C1264" s="3" t="s">
        <v>9772</v>
      </c>
      <c r="D1264" s="3" t="s">
        <v>2681</v>
      </c>
      <c r="E1264" s="3" t="b">
        <v>1</v>
      </c>
      <c r="F1264" s="3" t="b">
        <v>0</v>
      </c>
      <c r="G1264" s="3" t="s">
        <v>10003</v>
      </c>
      <c r="H1264" s="4" t="str">
        <f>_xlfn.IFNA(IF(((INDEX(RulebookFields!C2:C1898, MATCH(D1264,RulebookFields!A2:A1898, 0))="")=TRUE),  "",  INDEX(RulebookFields!C2:C1898, MATCH(D1264,RulebookFields!A2:A1898, 0))), "")</f>
        <v>Procedures</v>
      </c>
      <c r="I1264" s="4" t="str">
        <f>_xlfn.IFNA(IF(((INDEX(RulebookFields!D2:D1898, MATCH(D1264,RulebookFields!A2:A1898, 0))="")=TRUE),  "",  INDEX(RulebookFields!D2:D1898, MATCH(D1264,RulebookFields!A2:A1898, 0))), "")</f>
        <v>ProcedureId</v>
      </c>
      <c r="J1264" s="4" t="b">
        <f>_xlfn.IFNA(IF(((INDEX(RulebookFields!I2:I1898, MATCH(D1264,RulebookFields!A2:A1898, 0))="")=TRUE),  "",  INDEX(RulebookFields!I2:I1898, MATCH(D1264,RulebookFields!A2:A1898, 0))), "")</f>
        <v>0</v>
      </c>
      <c r="K1264" s="4" t="b">
        <f>AND(((F1264)=TRUE), ((J1264)=TRUE))</f>
        <v>0</v>
      </c>
      <c r="L1264" s="4" t="b">
        <f>AND(((G1264 &lt;&gt; "plain")=TRUE), ((G1264 &lt;&gt; "")=TRUE))</f>
        <v>0</v>
      </c>
      <c r="M1264" s="4" t="str">
        <f>IF(((E1264)=TRUE),  C1264 &amp; "|" &amp; H1264,  "")</f>
        <v>principal-process-steward|Procedures</v>
      </c>
      <c r="N1264" s="3" t="s">
        <v>10004</v>
      </c>
    </row>
    <row r="1265">
      <c r="A1265" s="3" t="s">
        <v>11267</v>
      </c>
      <c r="B1265" s="4" t="str">
        <f>C1265 &amp; " -&gt; " &amp; D1265</f>
        <v>principal-process-steward -&gt; Procedures.Name</v>
      </c>
      <c r="C1265" s="3" t="s">
        <v>9772</v>
      </c>
      <c r="D1265" s="3" t="s">
        <v>2682</v>
      </c>
      <c r="E1265" s="3" t="b">
        <v>1</v>
      </c>
      <c r="F1265" s="3" t="b">
        <v>0</v>
      </c>
      <c r="G1265" s="3" t="s">
        <v>10003</v>
      </c>
      <c r="H1265" s="4" t="str">
        <f>_xlfn.IFNA(IF(((INDEX(RulebookFields!C2:C1898, MATCH(D1265,RulebookFields!A2:A1898, 0))="")=TRUE),  "",  INDEX(RulebookFields!C2:C1898, MATCH(D1265,RulebookFields!A2:A1898, 0))), "")</f>
        <v>Procedures</v>
      </c>
      <c r="I1265" s="4" t="str">
        <f>_xlfn.IFNA(IF(((INDEX(RulebookFields!D2:D1898, MATCH(D1265,RulebookFields!A2:A1898, 0))="")=TRUE),  "",  INDEX(RulebookFields!D2:D1898, MATCH(D1265,RulebookFields!A2:A1898, 0))), "")</f>
        <v>Name</v>
      </c>
      <c r="J1265" s="4" t="b">
        <f>_xlfn.IFNA(IF(((INDEX(RulebookFields!I2:I1898, MATCH(D1265,RulebookFields!A2:A1898, 0))="")=TRUE),  "",  INDEX(RulebookFields!I2:I1898, MATCH(D1265,RulebookFields!A2:A1898, 0))), "")</f>
        <v>1</v>
      </c>
      <c r="K1265" s="4" t="b">
        <f>AND(((F1265)=TRUE), ((J1265)=TRUE))</f>
        <v>0</v>
      </c>
      <c r="L1265" s="4" t="b">
        <f>AND(((G1265 &lt;&gt; "plain")=TRUE), ((G1265 &lt;&gt; "")=TRUE))</f>
        <v>0</v>
      </c>
      <c r="M1265" s="4" t="str">
        <f>IF(((E1265)=TRUE),  C1265 &amp; "|" &amp; H1265,  "")</f>
        <v>principal-process-steward|Procedures</v>
      </c>
      <c r="N1265" s="3" t="s">
        <v>10004</v>
      </c>
    </row>
    <row r="1266">
      <c r="A1266" s="3" t="s">
        <v>11268</v>
      </c>
      <c r="B1266" s="4" t="str">
        <f>C1266 &amp; " -&gt; " &amp; D1266</f>
        <v>principal-process-steward -&gt; Procedures.Title</v>
      </c>
      <c r="C1266" s="3" t="s">
        <v>9772</v>
      </c>
      <c r="D1266" s="3" t="s">
        <v>2684</v>
      </c>
      <c r="E1266" s="3" t="b">
        <v>1</v>
      </c>
      <c r="F1266" s="3" t="b">
        <v>0</v>
      </c>
      <c r="G1266" s="3" t="s">
        <v>10003</v>
      </c>
      <c r="H1266" s="4" t="str">
        <f>_xlfn.IFNA(IF(((INDEX(RulebookFields!C2:C1898, MATCH(D1266,RulebookFields!A2:A1898, 0))="")=TRUE),  "",  INDEX(RulebookFields!C2:C1898, MATCH(D1266,RulebookFields!A2:A1898, 0))), "")</f>
        <v>Procedures</v>
      </c>
      <c r="I1266" s="4" t="str">
        <f>_xlfn.IFNA(IF(((INDEX(RulebookFields!D2:D1898, MATCH(D1266,RulebookFields!A2:A1898, 0))="")=TRUE),  "",  INDEX(RulebookFields!D2:D1898, MATCH(D1266,RulebookFields!A2:A1898, 0))), "")</f>
        <v>Title</v>
      </c>
      <c r="J1266" s="4" t="b">
        <f>_xlfn.IFNA(IF(((INDEX(RulebookFields!I2:I1898, MATCH(D1266,RulebookFields!A2:A1898, 0))="")=TRUE),  "",  INDEX(RulebookFields!I2:I1898, MATCH(D1266,RulebookFields!A2:A1898, 0))), "")</f>
        <v>0</v>
      </c>
      <c r="K1266" s="4" t="b">
        <f>AND(((F1266)=TRUE), ((J1266)=TRUE))</f>
        <v>0</v>
      </c>
      <c r="L1266" s="4" t="b">
        <f>AND(((G1266 &lt;&gt; "plain")=TRUE), ((G1266 &lt;&gt; "")=TRUE))</f>
        <v>0</v>
      </c>
      <c r="M1266" s="4" t="str">
        <f>IF(((E1266)=TRUE),  C1266 &amp; "|" &amp; H1266,  "")</f>
        <v>principal-process-steward|Procedures</v>
      </c>
      <c r="N1266" s="3" t="s">
        <v>10004</v>
      </c>
    </row>
    <row r="1267">
      <c r="A1267" s="3" t="s">
        <v>11269</v>
      </c>
      <c r="B1267" s="4" t="str">
        <f>C1267 &amp; " -&gt; " &amp; D1267</f>
        <v>principal-process-steward -&gt; Procedures.ProcedureType</v>
      </c>
      <c r="C1267" s="3" t="s">
        <v>9772</v>
      </c>
      <c r="D1267" s="3" t="s">
        <v>2685</v>
      </c>
      <c r="E1267" s="3" t="b">
        <v>1</v>
      </c>
      <c r="F1267" s="3" t="b">
        <v>0</v>
      </c>
      <c r="G1267" s="3" t="s">
        <v>10003</v>
      </c>
      <c r="H1267" s="4" t="str">
        <f>_xlfn.IFNA(IF(((INDEX(RulebookFields!C2:C1898, MATCH(D1267,RulebookFields!A2:A1898, 0))="")=TRUE),  "",  INDEX(RulebookFields!C2:C1898, MATCH(D1267,RulebookFields!A2:A1898, 0))), "")</f>
        <v>Procedures</v>
      </c>
      <c r="I1267" s="4" t="str">
        <f>_xlfn.IFNA(IF(((INDEX(RulebookFields!D2:D1898, MATCH(D1267,RulebookFields!A2:A1898, 0))="")=TRUE),  "",  INDEX(RulebookFields!D2:D1898, MATCH(D1267,RulebookFields!A2:A1898, 0))), "")</f>
        <v>ProcedureType</v>
      </c>
      <c r="J1267" s="4" t="b">
        <f>_xlfn.IFNA(IF(((INDEX(RulebookFields!I2:I1898, MATCH(D1267,RulebookFields!A2:A1898, 0))="")=TRUE),  "",  INDEX(RulebookFields!I2:I1898, MATCH(D1267,RulebookFields!A2:A1898, 0))), "")</f>
        <v>0</v>
      </c>
      <c r="K1267" s="4" t="b">
        <f>AND(((F1267)=TRUE), ((J1267)=TRUE))</f>
        <v>0</v>
      </c>
      <c r="L1267" s="4" t="b">
        <f>AND(((G1267 &lt;&gt; "plain")=TRUE), ((G1267 &lt;&gt; "")=TRUE))</f>
        <v>0</v>
      </c>
      <c r="M1267" s="4" t="str">
        <f>IF(((E1267)=TRUE),  C1267 &amp; "|" &amp; H1267,  "")</f>
        <v>principal-process-steward|Procedures</v>
      </c>
      <c r="N1267" s="3" t="s">
        <v>10004</v>
      </c>
    </row>
    <row r="1268">
      <c r="A1268" s="3" t="s">
        <v>11270</v>
      </c>
      <c r="B1268" s="4" t="str">
        <f>C1268 &amp; " -&gt; " &amp; D1268</f>
        <v>principal-process-steward -&gt; Procedures.OwnerOrganization</v>
      </c>
      <c r="C1268" s="3" t="s">
        <v>9772</v>
      </c>
      <c r="D1268" s="3" t="s">
        <v>2686</v>
      </c>
      <c r="E1268" s="3" t="b">
        <v>1</v>
      </c>
      <c r="F1268" s="3" t="b">
        <v>0</v>
      </c>
      <c r="G1268" s="3" t="s">
        <v>10003</v>
      </c>
      <c r="H1268" s="4" t="str">
        <f>_xlfn.IFNA(IF(((INDEX(RulebookFields!C2:C1898, MATCH(D1268,RulebookFields!A2:A1898, 0))="")=TRUE),  "",  INDEX(RulebookFields!C2:C1898, MATCH(D1268,RulebookFields!A2:A1898, 0))), "")</f>
        <v>Procedures</v>
      </c>
      <c r="I1268" s="4" t="str">
        <f>_xlfn.IFNA(IF(((INDEX(RulebookFields!D2:D1898, MATCH(D1268,RulebookFields!A2:A1898, 0))="")=TRUE),  "",  INDEX(RulebookFields!D2:D1898, MATCH(D1268,RulebookFields!A2:A1898, 0))), "")</f>
        <v>OwnerOrganization</v>
      </c>
      <c r="J1268" s="4" t="b">
        <f>_xlfn.IFNA(IF(((INDEX(RulebookFields!I2:I1898, MATCH(D1268,RulebookFields!A2:A1898, 0))="")=TRUE),  "",  INDEX(RulebookFields!I2:I1898, MATCH(D1268,RulebookFields!A2:A1898, 0))), "")</f>
        <v>0</v>
      </c>
      <c r="K1268" s="4" t="b">
        <f>AND(((F1268)=TRUE), ((J1268)=TRUE))</f>
        <v>0</v>
      </c>
      <c r="L1268" s="4" t="b">
        <f>AND(((G1268 &lt;&gt; "plain")=TRUE), ((G1268 &lt;&gt; "")=TRUE))</f>
        <v>0</v>
      </c>
      <c r="M1268" s="4" t="str">
        <f>IF(((E1268)=TRUE),  C1268 &amp; "|" &amp; H1268,  "")</f>
        <v>principal-process-steward|Procedures</v>
      </c>
      <c r="N1268" s="3" t="s">
        <v>10004</v>
      </c>
    </row>
    <row r="1269">
      <c r="A1269" s="3" t="s">
        <v>11271</v>
      </c>
      <c r="B1269" s="4" t="str">
        <f>C1269 &amp; " -&gt; " &amp; D1269</f>
        <v>principal-process-steward -&gt; Procedures.AdoptedByOrganization</v>
      </c>
      <c r="C1269" s="3" t="s">
        <v>9772</v>
      </c>
      <c r="D1269" s="3" t="s">
        <v>2687</v>
      </c>
      <c r="E1269" s="3" t="b">
        <v>1</v>
      </c>
      <c r="F1269" s="3" t="b">
        <v>0</v>
      </c>
      <c r="G1269" s="3" t="s">
        <v>10003</v>
      </c>
      <c r="H1269" s="4" t="str">
        <f>_xlfn.IFNA(IF(((INDEX(RulebookFields!C2:C1898, MATCH(D1269,RulebookFields!A2:A1898, 0))="")=TRUE),  "",  INDEX(RulebookFields!C2:C1898, MATCH(D1269,RulebookFields!A2:A1898, 0))), "")</f>
        <v>Procedures</v>
      </c>
      <c r="I1269" s="4" t="str">
        <f>_xlfn.IFNA(IF(((INDEX(RulebookFields!D2:D1898, MATCH(D1269,RulebookFields!A2:A1898, 0))="")=TRUE),  "",  INDEX(RulebookFields!D2:D1898, MATCH(D1269,RulebookFields!A2:A1898, 0))), "")</f>
        <v>AdoptedByOrganization</v>
      </c>
      <c r="J1269" s="4" t="b">
        <f>_xlfn.IFNA(IF(((INDEX(RulebookFields!I2:I1898, MATCH(D1269,RulebookFields!A2:A1898, 0))="")=TRUE),  "",  INDEX(RulebookFields!I2:I1898, MATCH(D1269,RulebookFields!A2:A1898, 0))), "")</f>
        <v>0</v>
      </c>
      <c r="K1269" s="4" t="b">
        <f>AND(((F1269)=TRUE), ((J1269)=TRUE))</f>
        <v>0</v>
      </c>
      <c r="L1269" s="4" t="b">
        <f>AND(((G1269 &lt;&gt; "plain")=TRUE), ((G1269 &lt;&gt; "")=TRUE))</f>
        <v>0</v>
      </c>
      <c r="M1269" s="4" t="str">
        <f>IF(((E1269)=TRUE),  C1269 &amp; "|" &amp; H1269,  "")</f>
        <v>principal-process-steward|Procedures</v>
      </c>
      <c r="N1269" s="3" t="s">
        <v>10004</v>
      </c>
    </row>
    <row r="1270">
      <c r="A1270" s="3" t="s">
        <v>11272</v>
      </c>
      <c r="B1270" s="4" t="str">
        <f>C1270 &amp; " -&gt; " &amp; D1270</f>
        <v>principal-process-steward -&gt; Procedures.Purpose</v>
      </c>
      <c r="C1270" s="3" t="s">
        <v>9772</v>
      </c>
      <c r="D1270" s="3" t="s">
        <v>2688</v>
      </c>
      <c r="E1270" s="3" t="b">
        <v>1</v>
      </c>
      <c r="F1270" s="3" t="b">
        <v>0</v>
      </c>
      <c r="G1270" s="3" t="s">
        <v>10003</v>
      </c>
      <c r="H1270" s="4" t="str">
        <f>_xlfn.IFNA(IF(((INDEX(RulebookFields!C2:C1898, MATCH(D1270,RulebookFields!A2:A1898, 0))="")=TRUE),  "",  INDEX(RulebookFields!C2:C1898, MATCH(D1270,RulebookFields!A2:A1898, 0))), "")</f>
        <v>Procedures</v>
      </c>
      <c r="I1270" s="4" t="str">
        <f>_xlfn.IFNA(IF(((INDEX(RulebookFields!D2:D1898, MATCH(D1270,RulebookFields!A2:A1898, 0))="")=TRUE),  "",  INDEX(RulebookFields!D2:D1898, MATCH(D1270,RulebookFields!A2:A1898, 0))), "")</f>
        <v>Purpose</v>
      </c>
      <c r="J1270" s="4" t="b">
        <f>_xlfn.IFNA(IF(((INDEX(RulebookFields!I2:I1898, MATCH(D1270,RulebookFields!A2:A1898, 0))="")=TRUE),  "",  INDEX(RulebookFields!I2:I1898, MATCH(D1270,RulebookFields!A2:A1898, 0))), "")</f>
        <v>0</v>
      </c>
      <c r="K1270" s="4" t="b">
        <f>AND(((F1270)=TRUE), ((J1270)=TRUE))</f>
        <v>0</v>
      </c>
      <c r="L1270" s="4" t="b">
        <f>AND(((G1270 &lt;&gt; "plain")=TRUE), ((G1270 &lt;&gt; "")=TRUE))</f>
        <v>0</v>
      </c>
      <c r="M1270" s="4" t="str">
        <f>IF(((E1270)=TRUE),  C1270 &amp; "|" &amp; H1270,  "")</f>
        <v>principal-process-steward|Procedures</v>
      </c>
      <c r="N1270" s="3" t="s">
        <v>10004</v>
      </c>
    </row>
    <row r="1271">
      <c r="A1271" s="3" t="s">
        <v>11273</v>
      </c>
      <c r="B1271" s="4" t="str">
        <f>C1271 &amp; " -&gt; " &amp; D1271</f>
        <v>principal-process-steward -&gt; Procedures.Target</v>
      </c>
      <c r="C1271" s="3" t="s">
        <v>9772</v>
      </c>
      <c r="D1271" s="3" t="s">
        <v>2689</v>
      </c>
      <c r="E1271" s="3" t="b">
        <v>1</v>
      </c>
      <c r="F1271" s="3" t="b">
        <v>0</v>
      </c>
      <c r="G1271" s="3" t="s">
        <v>10003</v>
      </c>
      <c r="H1271" s="4" t="str">
        <f>_xlfn.IFNA(IF(((INDEX(RulebookFields!C2:C1898, MATCH(D1271,RulebookFields!A2:A1898, 0))="")=TRUE),  "",  INDEX(RulebookFields!C2:C1898, MATCH(D1271,RulebookFields!A2:A1898, 0))), "")</f>
        <v>Procedures</v>
      </c>
      <c r="I1271" s="4" t="str">
        <f>_xlfn.IFNA(IF(((INDEX(RulebookFields!D2:D1898, MATCH(D1271,RulebookFields!A2:A1898, 0))="")=TRUE),  "",  INDEX(RulebookFields!D2:D1898, MATCH(D1271,RulebookFields!A2:A1898, 0))), "")</f>
        <v>Target</v>
      </c>
      <c r="J1271" s="4" t="b">
        <f>_xlfn.IFNA(IF(((INDEX(RulebookFields!I2:I1898, MATCH(D1271,RulebookFields!A2:A1898, 0))="")=TRUE),  "",  INDEX(RulebookFields!I2:I1898, MATCH(D1271,RulebookFields!A2:A1898, 0))), "")</f>
        <v>0</v>
      </c>
      <c r="K1271" s="4" t="b">
        <f>AND(((F1271)=TRUE), ((J1271)=TRUE))</f>
        <v>0</v>
      </c>
      <c r="L1271" s="4" t="b">
        <f>AND(((G1271 &lt;&gt; "plain")=TRUE), ((G1271 &lt;&gt; "")=TRUE))</f>
        <v>0</v>
      </c>
      <c r="M1271" s="4" t="str">
        <f>IF(((E1271)=TRUE),  C1271 &amp; "|" &amp; H1271,  "")</f>
        <v>principal-process-steward|Procedures</v>
      </c>
      <c r="N1271" s="3" t="s">
        <v>10004</v>
      </c>
    </row>
    <row r="1272">
      <c r="A1272" s="3" t="s">
        <v>11274</v>
      </c>
      <c r="B1272" s="4" t="str">
        <f>C1272 &amp; " -&gt; " &amp; D1272</f>
        <v>principal-process-steward -&gt; Procedures.IsTemplate</v>
      </c>
      <c r="C1272" s="3" t="s">
        <v>9772</v>
      </c>
      <c r="D1272" s="3" t="s">
        <v>2690</v>
      </c>
      <c r="E1272" s="3" t="b">
        <v>1</v>
      </c>
      <c r="F1272" s="3" t="b">
        <v>0</v>
      </c>
      <c r="G1272" s="3" t="s">
        <v>10003</v>
      </c>
      <c r="H1272" s="4" t="str">
        <f>_xlfn.IFNA(IF(((INDEX(RulebookFields!C2:C1898, MATCH(D1272,RulebookFields!A2:A1898, 0))="")=TRUE),  "",  INDEX(RulebookFields!C2:C1898, MATCH(D1272,RulebookFields!A2:A1898, 0))), "")</f>
        <v>Procedures</v>
      </c>
      <c r="I1272" s="4" t="str">
        <f>_xlfn.IFNA(IF(((INDEX(RulebookFields!D2:D1898, MATCH(D1272,RulebookFields!A2:A1898, 0))="")=TRUE),  "",  INDEX(RulebookFields!D2:D1898, MATCH(D1272,RulebookFields!A2:A1898, 0))), "")</f>
        <v>IsTemplate</v>
      </c>
      <c r="J1272" s="4" t="b">
        <f>_xlfn.IFNA(IF(((INDEX(RulebookFields!I2:I1898, MATCH(D1272,RulebookFields!A2:A1898, 0))="")=TRUE),  "",  INDEX(RulebookFields!I2:I1898, MATCH(D1272,RulebookFields!A2:A1898, 0))), "")</f>
        <v>0</v>
      </c>
      <c r="K1272" s="4" t="b">
        <f>AND(((F1272)=TRUE), ((J1272)=TRUE))</f>
        <v>0</v>
      </c>
      <c r="L1272" s="4" t="b">
        <f>AND(((G1272 &lt;&gt; "plain")=TRUE), ((G1272 &lt;&gt; "")=TRUE))</f>
        <v>0</v>
      </c>
      <c r="M1272" s="4" t="str">
        <f>IF(((E1272)=TRUE),  C1272 &amp; "|" &amp; H1272,  "")</f>
        <v>principal-process-steward|Procedures</v>
      </c>
      <c r="N1272" s="3" t="s">
        <v>10004</v>
      </c>
    </row>
    <row r="1273">
      <c r="A1273" s="3" t="s">
        <v>11275</v>
      </c>
      <c r="B1273" s="4" t="str">
        <f>C1273 &amp; " -&gt; " &amp; D1273</f>
        <v>principal-process-steward -&gt; Procedures.CurrentVersionKey</v>
      </c>
      <c r="C1273" s="3" t="s">
        <v>9772</v>
      </c>
      <c r="D1273" s="3" t="s">
        <v>2691</v>
      </c>
      <c r="E1273" s="3" t="b">
        <v>1</v>
      </c>
      <c r="F1273" s="3" t="b">
        <v>0</v>
      </c>
      <c r="G1273" s="3" t="s">
        <v>10003</v>
      </c>
      <c r="H1273" s="4" t="str">
        <f>_xlfn.IFNA(IF(((INDEX(RulebookFields!C2:C1898, MATCH(D1273,RulebookFields!A2:A1898, 0))="")=TRUE),  "",  INDEX(RulebookFields!C2:C1898, MATCH(D1273,RulebookFields!A2:A1898, 0))), "")</f>
        <v>Procedures</v>
      </c>
      <c r="I1273" s="4" t="str">
        <f>_xlfn.IFNA(IF(((INDEX(RulebookFields!D2:D1898, MATCH(D1273,RulebookFields!A2:A1898, 0))="")=TRUE),  "",  INDEX(RulebookFields!D2:D1898, MATCH(D1273,RulebookFields!A2:A1898, 0))), "")</f>
        <v>CurrentVersionKey</v>
      </c>
      <c r="J1273" s="4" t="b">
        <f>_xlfn.IFNA(IF(((INDEX(RulebookFields!I2:I1898, MATCH(D1273,RulebookFields!A2:A1898, 0))="")=TRUE),  "",  INDEX(RulebookFields!I2:I1898, MATCH(D1273,RulebookFields!A2:A1898, 0))), "")</f>
        <v>0</v>
      </c>
      <c r="K1273" s="4" t="b">
        <f>AND(((F1273)=TRUE), ((J1273)=TRUE))</f>
        <v>0</v>
      </c>
      <c r="L1273" s="4" t="b">
        <f>AND(((G1273 &lt;&gt; "plain")=TRUE), ((G1273 &lt;&gt; "")=TRUE))</f>
        <v>0</v>
      </c>
      <c r="M1273" s="4" t="str">
        <f>IF(((E1273)=TRUE),  C1273 &amp; "|" &amp; H1273,  "")</f>
        <v>principal-process-steward|Procedures</v>
      </c>
      <c r="N1273" s="3" t="s">
        <v>10004</v>
      </c>
    </row>
    <row r="1274">
      <c r="A1274" s="3" t="s">
        <v>11276</v>
      </c>
      <c r="B1274" s="4" t="str">
        <f>C1274 &amp; " -&gt; " &amp; D1274</f>
        <v>principal-process-steward -&gt; Procedures.SemanticTypeIri</v>
      </c>
      <c r="C1274" s="3" t="s">
        <v>9772</v>
      </c>
      <c r="D1274" s="3" t="s">
        <v>2692</v>
      </c>
      <c r="E1274" s="3" t="b">
        <v>1</v>
      </c>
      <c r="F1274" s="3" t="b">
        <v>0</v>
      </c>
      <c r="G1274" s="3" t="s">
        <v>10003</v>
      </c>
      <c r="H1274" s="4" t="str">
        <f>_xlfn.IFNA(IF(((INDEX(RulebookFields!C2:C1898, MATCH(D1274,RulebookFields!A2:A1898, 0))="")=TRUE),  "",  INDEX(RulebookFields!C2:C1898, MATCH(D1274,RulebookFields!A2:A1898, 0))), "")</f>
        <v>Procedures</v>
      </c>
      <c r="I1274" s="4" t="str">
        <f>_xlfn.IFNA(IF(((INDEX(RulebookFields!D2:D1898, MATCH(D1274,RulebookFields!A2:A1898, 0))="")=TRUE),  "",  INDEX(RulebookFields!D2:D1898, MATCH(D1274,RulebookFields!A2:A1898, 0))), "")</f>
        <v>SemanticTypeIri</v>
      </c>
      <c r="J1274" s="4" t="b">
        <f>_xlfn.IFNA(IF(((INDEX(RulebookFields!I2:I1898, MATCH(D1274,RulebookFields!A2:A1898, 0))="")=TRUE),  "",  INDEX(RulebookFields!I2:I1898, MATCH(D1274,RulebookFields!A2:A1898, 0))), "")</f>
        <v>0</v>
      </c>
      <c r="K1274" s="4" t="b">
        <f>AND(((F1274)=TRUE), ((J1274)=TRUE))</f>
        <v>0</v>
      </c>
      <c r="L1274" s="4" t="b">
        <f>AND(((G1274 &lt;&gt; "plain")=TRUE), ((G1274 &lt;&gt; "")=TRUE))</f>
        <v>0</v>
      </c>
      <c r="M1274" s="4" t="str">
        <f>IF(((E1274)=TRUE),  C1274 &amp; "|" &amp; H1274,  "")</f>
        <v>principal-process-steward|Procedures</v>
      </c>
      <c r="N1274" s="3" t="s">
        <v>10004</v>
      </c>
    </row>
    <row r="1275">
      <c r="A1275" s="3" t="s">
        <v>11277</v>
      </c>
      <c r="B1275" s="4" t="str">
        <f>C1275 &amp; " -&gt; " &amp; D1275</f>
        <v>principal-process-steward -&gt; Rationales.RationaleId</v>
      </c>
      <c r="C1275" s="3" t="s">
        <v>9772</v>
      </c>
      <c r="D1275" s="3" t="s">
        <v>3150</v>
      </c>
      <c r="E1275" s="3" t="b">
        <v>1</v>
      </c>
      <c r="F1275" s="3" t="b">
        <v>0</v>
      </c>
      <c r="G1275" s="3" t="s">
        <v>10003</v>
      </c>
      <c r="H1275" s="4" t="str">
        <f>_xlfn.IFNA(IF(((INDEX(RulebookFields!C2:C1898, MATCH(D1275,RulebookFields!A2:A1898, 0))="")=TRUE),  "",  INDEX(RulebookFields!C2:C1898, MATCH(D1275,RulebookFields!A2:A1898, 0))), "")</f>
        <v>Rationales</v>
      </c>
      <c r="I1275" s="4" t="str">
        <f>_xlfn.IFNA(IF(((INDEX(RulebookFields!D2:D1898, MATCH(D1275,RulebookFields!A2:A1898, 0))="")=TRUE),  "",  INDEX(RulebookFields!D2:D1898, MATCH(D1275,RulebookFields!A2:A1898, 0))), "")</f>
        <v>RationaleId</v>
      </c>
      <c r="J1275" s="4" t="b">
        <f>_xlfn.IFNA(IF(((INDEX(RulebookFields!I2:I1898, MATCH(D1275,RulebookFields!A2:A1898, 0))="")=TRUE),  "",  INDEX(RulebookFields!I2:I1898, MATCH(D1275,RulebookFields!A2:A1898, 0))), "")</f>
        <v>0</v>
      </c>
      <c r="K1275" s="4" t="b">
        <f>AND(((F1275)=TRUE), ((J1275)=TRUE))</f>
        <v>0</v>
      </c>
      <c r="L1275" s="4" t="b">
        <f>AND(((G1275 &lt;&gt; "plain")=TRUE), ((G1275 &lt;&gt; "")=TRUE))</f>
        <v>0</v>
      </c>
      <c r="M1275" s="4" t="str">
        <f>IF(((E1275)=TRUE),  C1275 &amp; "|" &amp; H1275,  "")</f>
        <v>principal-process-steward|Rationales</v>
      </c>
      <c r="N1275" s="3" t="s">
        <v>10004</v>
      </c>
    </row>
    <row r="1276">
      <c r="A1276" s="3" t="s">
        <v>11278</v>
      </c>
      <c r="B1276" s="4" t="str">
        <f>C1276 &amp; " -&gt; " &amp; D1276</f>
        <v>principal-process-steward -&gt; Rationales.Name</v>
      </c>
      <c r="C1276" s="3" t="s">
        <v>9772</v>
      </c>
      <c r="D1276" s="3" t="s">
        <v>3152</v>
      </c>
      <c r="E1276" s="3" t="b">
        <v>1</v>
      </c>
      <c r="F1276" s="3" t="b">
        <v>0</v>
      </c>
      <c r="G1276" s="3" t="s">
        <v>10003</v>
      </c>
      <c r="H1276" s="4" t="str">
        <f>_xlfn.IFNA(IF(((INDEX(RulebookFields!C2:C1898, MATCH(D1276,RulebookFields!A2:A1898, 0))="")=TRUE),  "",  INDEX(RulebookFields!C2:C1898, MATCH(D1276,RulebookFields!A2:A1898, 0))), "")</f>
        <v>Rationales</v>
      </c>
      <c r="I1276" s="4" t="str">
        <f>_xlfn.IFNA(IF(((INDEX(RulebookFields!D2:D1898, MATCH(D1276,RulebookFields!A2:A1898, 0))="")=TRUE),  "",  INDEX(RulebookFields!D2:D1898, MATCH(D1276,RulebookFields!A2:A1898, 0))), "")</f>
        <v>Name</v>
      </c>
      <c r="J1276" s="4" t="b">
        <f>_xlfn.IFNA(IF(((INDEX(RulebookFields!I2:I1898, MATCH(D1276,RulebookFields!A2:A1898, 0))="")=TRUE),  "",  INDEX(RulebookFields!I2:I1898, MATCH(D1276,RulebookFields!A2:A1898, 0))), "")</f>
        <v>1</v>
      </c>
      <c r="K1276" s="4" t="b">
        <f>AND(((F1276)=TRUE), ((J1276)=TRUE))</f>
        <v>0</v>
      </c>
      <c r="L1276" s="4" t="b">
        <f>AND(((G1276 &lt;&gt; "plain")=TRUE), ((G1276 &lt;&gt; "")=TRUE))</f>
        <v>0</v>
      </c>
      <c r="M1276" s="4" t="str">
        <f>IF(((E1276)=TRUE),  C1276 &amp; "|" &amp; H1276,  "")</f>
        <v>principal-process-steward|Rationales</v>
      </c>
      <c r="N1276" s="3" t="s">
        <v>10004</v>
      </c>
    </row>
    <row r="1277">
      <c r="A1277" s="3" t="s">
        <v>11279</v>
      </c>
      <c r="B1277" s="4" t="str">
        <f>C1277 &amp; " -&gt; " &amp; D1277</f>
        <v>principal-process-steward -&gt; Rationales.ProcedureVersion</v>
      </c>
      <c r="C1277" s="3" t="s">
        <v>9772</v>
      </c>
      <c r="D1277" s="3" t="s">
        <v>3153</v>
      </c>
      <c r="E1277" s="3" t="b">
        <v>1</v>
      </c>
      <c r="F1277" s="3" t="b">
        <v>0</v>
      </c>
      <c r="G1277" s="3" t="s">
        <v>10003</v>
      </c>
      <c r="H1277" s="4" t="str">
        <f>_xlfn.IFNA(IF(((INDEX(RulebookFields!C2:C1898, MATCH(D1277,RulebookFields!A2:A1898, 0))="")=TRUE),  "",  INDEX(RulebookFields!C2:C1898, MATCH(D1277,RulebookFields!A2:A1898, 0))), "")</f>
        <v>Rationales</v>
      </c>
      <c r="I1277" s="4" t="str">
        <f>_xlfn.IFNA(IF(((INDEX(RulebookFields!D2:D1898, MATCH(D1277,RulebookFields!A2:A1898, 0))="")=TRUE),  "",  INDEX(RulebookFields!D2:D1898, MATCH(D1277,RulebookFields!A2:A1898, 0))), "")</f>
        <v>ProcedureVersion</v>
      </c>
      <c r="J1277" s="4" t="b">
        <f>_xlfn.IFNA(IF(((INDEX(RulebookFields!I2:I1898, MATCH(D1277,RulebookFields!A2:A1898, 0))="")=TRUE),  "",  INDEX(RulebookFields!I2:I1898, MATCH(D1277,RulebookFields!A2:A1898, 0))), "")</f>
        <v>0</v>
      </c>
      <c r="K1277" s="4" t="b">
        <f>AND(((F1277)=TRUE), ((J1277)=TRUE))</f>
        <v>0</v>
      </c>
      <c r="L1277" s="4" t="b">
        <f>AND(((G1277 &lt;&gt; "plain")=TRUE), ((G1277 &lt;&gt; "")=TRUE))</f>
        <v>0</v>
      </c>
      <c r="M1277" s="4" t="str">
        <f>IF(((E1277)=TRUE),  C1277 &amp; "|" &amp; H1277,  "")</f>
        <v>principal-process-steward|Rationales</v>
      </c>
      <c r="N1277" s="3" t="s">
        <v>10004</v>
      </c>
    </row>
    <row r="1278">
      <c r="A1278" s="3" t="s">
        <v>11280</v>
      </c>
      <c r="B1278" s="4" t="str">
        <f>C1278 &amp; " -&gt; " &amp; D1278</f>
        <v>principal-process-steward -&gt; Rationales.Step</v>
      </c>
      <c r="C1278" s="3" t="s">
        <v>9772</v>
      </c>
      <c r="D1278" s="3" t="s">
        <v>3154</v>
      </c>
      <c r="E1278" s="3" t="b">
        <v>1</v>
      </c>
      <c r="F1278" s="3" t="b">
        <v>0</v>
      </c>
      <c r="G1278" s="3" t="s">
        <v>10003</v>
      </c>
      <c r="H1278" s="4" t="str">
        <f>_xlfn.IFNA(IF(((INDEX(RulebookFields!C2:C1898, MATCH(D1278,RulebookFields!A2:A1898, 0))="")=TRUE),  "",  INDEX(RulebookFields!C2:C1898, MATCH(D1278,RulebookFields!A2:A1898, 0))), "")</f>
        <v>Rationales</v>
      </c>
      <c r="I1278" s="4" t="str">
        <f>_xlfn.IFNA(IF(((INDEX(RulebookFields!D2:D1898, MATCH(D1278,RulebookFields!A2:A1898, 0))="")=TRUE),  "",  INDEX(RulebookFields!D2:D1898, MATCH(D1278,RulebookFields!A2:A1898, 0))), "")</f>
        <v>Step</v>
      </c>
      <c r="J1278" s="4" t="b">
        <f>_xlfn.IFNA(IF(((INDEX(RulebookFields!I2:I1898, MATCH(D1278,RulebookFields!A2:A1898, 0))="")=TRUE),  "",  INDEX(RulebookFields!I2:I1898, MATCH(D1278,RulebookFields!A2:A1898, 0))), "")</f>
        <v>0</v>
      </c>
      <c r="K1278" s="4" t="b">
        <f>AND(((F1278)=TRUE), ((J1278)=TRUE))</f>
        <v>0</v>
      </c>
      <c r="L1278" s="4" t="b">
        <f>AND(((G1278 &lt;&gt; "plain")=TRUE), ((G1278 &lt;&gt; "")=TRUE))</f>
        <v>0</v>
      </c>
      <c r="M1278" s="4" t="str">
        <f>IF(((E1278)=TRUE),  C1278 &amp; "|" &amp; H1278,  "")</f>
        <v>principal-process-steward|Rationales</v>
      </c>
      <c r="N1278" s="3" t="s">
        <v>10004</v>
      </c>
    </row>
    <row r="1279">
      <c r="A1279" s="3" t="s">
        <v>11281</v>
      </c>
      <c r="B1279" s="4" t="str">
        <f>C1279 &amp; " -&gt; " &amp; D1279</f>
        <v>principal-process-steward -&gt; Rationales.Title</v>
      </c>
      <c r="C1279" s="3" t="s">
        <v>9772</v>
      </c>
      <c r="D1279" s="3" t="s">
        <v>3155</v>
      </c>
      <c r="E1279" s="3" t="b">
        <v>1</v>
      </c>
      <c r="F1279" s="3" t="b">
        <v>0</v>
      </c>
      <c r="G1279" s="3" t="s">
        <v>10003</v>
      </c>
      <c r="H1279" s="4" t="str">
        <f>_xlfn.IFNA(IF(((INDEX(RulebookFields!C2:C1898, MATCH(D1279,RulebookFields!A2:A1898, 0))="")=TRUE),  "",  INDEX(RulebookFields!C2:C1898, MATCH(D1279,RulebookFields!A2:A1898, 0))), "")</f>
        <v>Rationales</v>
      </c>
      <c r="I1279" s="4" t="str">
        <f>_xlfn.IFNA(IF(((INDEX(RulebookFields!D2:D1898, MATCH(D1279,RulebookFields!A2:A1898, 0))="")=TRUE),  "",  INDEX(RulebookFields!D2:D1898, MATCH(D1279,RulebookFields!A2:A1898, 0))), "")</f>
        <v>Title</v>
      </c>
      <c r="J1279" s="4" t="b">
        <f>_xlfn.IFNA(IF(((INDEX(RulebookFields!I2:I1898, MATCH(D1279,RulebookFields!A2:A1898, 0))="")=TRUE),  "",  INDEX(RulebookFields!I2:I1898, MATCH(D1279,RulebookFields!A2:A1898, 0))), "")</f>
        <v>0</v>
      </c>
      <c r="K1279" s="4" t="b">
        <f>AND(((F1279)=TRUE), ((J1279)=TRUE))</f>
        <v>0</v>
      </c>
      <c r="L1279" s="4" t="b">
        <f>AND(((G1279 &lt;&gt; "plain")=TRUE), ((G1279 &lt;&gt; "")=TRUE))</f>
        <v>0</v>
      </c>
      <c r="M1279" s="4" t="str">
        <f>IF(((E1279)=TRUE),  C1279 &amp; "|" &amp; H1279,  "")</f>
        <v>principal-process-steward|Rationales</v>
      </c>
      <c r="N1279" s="3" t="s">
        <v>10004</v>
      </c>
    </row>
    <row r="1280">
      <c r="A1280" s="3" t="s">
        <v>11282</v>
      </c>
      <c r="B1280" s="4" t="str">
        <f>C1280 &amp; " -&gt; " &amp; D1280</f>
        <v>principal-process-steward -&gt; Rationales.Statement</v>
      </c>
      <c r="C1280" s="3" t="s">
        <v>9772</v>
      </c>
      <c r="D1280" s="3" t="s">
        <v>3156</v>
      </c>
      <c r="E1280" s="3" t="b">
        <v>1</v>
      </c>
      <c r="F1280" s="3" t="b">
        <v>0</v>
      </c>
      <c r="G1280" s="3" t="s">
        <v>10003</v>
      </c>
      <c r="H1280" s="4" t="str">
        <f>_xlfn.IFNA(IF(((INDEX(RulebookFields!C2:C1898, MATCH(D1280,RulebookFields!A2:A1898, 0))="")=TRUE),  "",  INDEX(RulebookFields!C2:C1898, MATCH(D1280,RulebookFields!A2:A1898, 0))), "")</f>
        <v>Rationales</v>
      </c>
      <c r="I1280" s="4" t="str">
        <f>_xlfn.IFNA(IF(((INDEX(RulebookFields!D2:D1898, MATCH(D1280,RulebookFields!A2:A1898, 0))="")=TRUE),  "",  INDEX(RulebookFields!D2:D1898, MATCH(D1280,RulebookFields!A2:A1898, 0))), "")</f>
        <v>Statement</v>
      </c>
      <c r="J1280" s="4" t="b">
        <f>_xlfn.IFNA(IF(((INDEX(RulebookFields!I2:I1898, MATCH(D1280,RulebookFields!A2:A1898, 0))="")=TRUE),  "",  INDEX(RulebookFields!I2:I1898, MATCH(D1280,RulebookFields!A2:A1898, 0))), "")</f>
        <v>0</v>
      </c>
      <c r="K1280" s="4" t="b">
        <f>AND(((F1280)=TRUE), ((J1280)=TRUE))</f>
        <v>0</v>
      </c>
      <c r="L1280" s="4" t="b">
        <f>AND(((G1280 &lt;&gt; "plain")=TRUE), ((G1280 &lt;&gt; "")=TRUE))</f>
        <v>0</v>
      </c>
      <c r="M1280" s="4" t="str">
        <f>IF(((E1280)=TRUE),  C1280 &amp; "|" &amp; H1280,  "")</f>
        <v>principal-process-steward|Rationales</v>
      </c>
      <c r="N1280" s="3" t="s">
        <v>10004</v>
      </c>
    </row>
    <row r="1281">
      <c r="A1281" s="3" t="s">
        <v>11283</v>
      </c>
      <c r="B1281" s="4" t="str">
        <f>C1281 &amp; " -&gt; " &amp; D1281</f>
        <v>principal-process-steward -&gt; Rationales.Status</v>
      </c>
      <c r="C1281" s="3" t="s">
        <v>9772</v>
      </c>
      <c r="D1281" s="3" t="s">
        <v>3157</v>
      </c>
      <c r="E1281" s="3" t="b">
        <v>1</v>
      </c>
      <c r="F1281" s="3" t="b">
        <v>0</v>
      </c>
      <c r="G1281" s="3" t="s">
        <v>10003</v>
      </c>
      <c r="H1281" s="4" t="str">
        <f>_xlfn.IFNA(IF(((INDEX(RulebookFields!C2:C1898, MATCH(D1281,RulebookFields!A2:A1898, 0))="")=TRUE),  "",  INDEX(RulebookFields!C2:C1898, MATCH(D1281,RulebookFields!A2:A1898, 0))), "")</f>
        <v>Rationales</v>
      </c>
      <c r="I1281" s="4" t="str">
        <f>_xlfn.IFNA(IF(((INDEX(RulebookFields!D2:D1898, MATCH(D1281,RulebookFields!A2:A1898, 0))="")=TRUE),  "",  INDEX(RulebookFields!D2:D1898, MATCH(D1281,RulebookFields!A2:A1898, 0))), "")</f>
        <v>Status</v>
      </c>
      <c r="J1281" s="4" t="b">
        <f>_xlfn.IFNA(IF(((INDEX(RulebookFields!I2:I1898, MATCH(D1281,RulebookFields!A2:A1898, 0))="")=TRUE),  "",  INDEX(RulebookFields!I2:I1898, MATCH(D1281,RulebookFields!A2:A1898, 0))), "")</f>
        <v>0</v>
      </c>
      <c r="K1281" s="4" t="b">
        <f>AND(((F1281)=TRUE), ((J1281)=TRUE))</f>
        <v>0</v>
      </c>
      <c r="L1281" s="4" t="b">
        <f>AND(((G1281 &lt;&gt; "plain")=TRUE), ((G1281 &lt;&gt; "")=TRUE))</f>
        <v>0</v>
      </c>
      <c r="M1281" s="4" t="str">
        <f>IF(((E1281)=TRUE),  C1281 &amp; "|" &amp; H1281,  "")</f>
        <v>principal-process-steward|Rationales</v>
      </c>
      <c r="N1281" s="3" t="s">
        <v>10004</v>
      </c>
    </row>
    <row r="1282">
      <c r="A1282" s="3" t="s">
        <v>11284</v>
      </c>
      <c r="B1282" s="4" t="str">
        <f>C1282 &amp; " -&gt; " &amp; D1282</f>
        <v>principal-process-steward -&gt; Rationales.AuthorityRole</v>
      </c>
      <c r="C1282" s="3" t="s">
        <v>9772</v>
      </c>
      <c r="D1282" s="3" t="s">
        <v>3158</v>
      </c>
      <c r="E1282" s="3" t="b">
        <v>1</v>
      </c>
      <c r="F1282" s="3" t="b">
        <v>0</v>
      </c>
      <c r="G1282" s="3" t="s">
        <v>10003</v>
      </c>
      <c r="H1282" s="4" t="str">
        <f>_xlfn.IFNA(IF(((INDEX(RulebookFields!C2:C1898, MATCH(D1282,RulebookFields!A2:A1898, 0))="")=TRUE),  "",  INDEX(RulebookFields!C2:C1898, MATCH(D1282,RulebookFields!A2:A1898, 0))), "")</f>
        <v>Rationales</v>
      </c>
      <c r="I1282" s="4" t="str">
        <f>_xlfn.IFNA(IF(((INDEX(RulebookFields!D2:D1898, MATCH(D1282,RulebookFields!A2:A1898, 0))="")=TRUE),  "",  INDEX(RulebookFields!D2:D1898, MATCH(D1282,RulebookFields!A2:A1898, 0))), "")</f>
        <v>AuthorityRole</v>
      </c>
      <c r="J1282" s="4" t="b">
        <f>_xlfn.IFNA(IF(((INDEX(RulebookFields!I2:I1898, MATCH(D1282,RulebookFields!A2:A1898, 0))="")=TRUE),  "",  INDEX(RulebookFields!I2:I1898, MATCH(D1282,RulebookFields!A2:A1898, 0))), "")</f>
        <v>0</v>
      </c>
      <c r="K1282" s="4" t="b">
        <f>AND(((F1282)=TRUE), ((J1282)=TRUE))</f>
        <v>0</v>
      </c>
      <c r="L1282" s="4" t="b">
        <f>AND(((G1282 &lt;&gt; "plain")=TRUE), ((G1282 &lt;&gt; "")=TRUE))</f>
        <v>0</v>
      </c>
      <c r="M1282" s="4" t="str">
        <f>IF(((E1282)=TRUE),  C1282 &amp; "|" &amp; H1282,  "")</f>
        <v>principal-process-steward|Rationales</v>
      </c>
      <c r="N1282" s="3" t="s">
        <v>10004</v>
      </c>
    </row>
    <row r="1283">
      <c r="A1283" s="3" t="s">
        <v>11285</v>
      </c>
      <c r="B1283" s="4" t="str">
        <f>C1283 &amp; " -&gt; " &amp; D1283</f>
        <v>principal-process-steward -&gt; Rationales.SemanticTypeIri</v>
      </c>
      <c r="C1283" s="3" t="s">
        <v>9772</v>
      </c>
      <c r="D1283" s="3" t="s">
        <v>3159</v>
      </c>
      <c r="E1283" s="3" t="b">
        <v>1</v>
      </c>
      <c r="F1283" s="3" t="b">
        <v>0</v>
      </c>
      <c r="G1283" s="3" t="s">
        <v>10003</v>
      </c>
      <c r="H1283" s="4" t="str">
        <f>_xlfn.IFNA(IF(((INDEX(RulebookFields!C2:C1898, MATCH(D1283,RulebookFields!A2:A1898, 0))="")=TRUE),  "",  INDEX(RulebookFields!C2:C1898, MATCH(D1283,RulebookFields!A2:A1898, 0))), "")</f>
        <v>Rationales</v>
      </c>
      <c r="I1283" s="4" t="str">
        <f>_xlfn.IFNA(IF(((INDEX(RulebookFields!D2:D1898, MATCH(D1283,RulebookFields!A2:A1898, 0))="")=TRUE),  "",  INDEX(RulebookFields!D2:D1898, MATCH(D1283,RulebookFields!A2:A1898, 0))), "")</f>
        <v>SemanticTypeIri</v>
      </c>
      <c r="J1283" s="4" t="b">
        <f>_xlfn.IFNA(IF(((INDEX(RulebookFields!I2:I1898, MATCH(D1283,RulebookFields!A2:A1898, 0))="")=TRUE),  "",  INDEX(RulebookFields!I2:I1898, MATCH(D1283,RulebookFields!A2:A1898, 0))), "")</f>
        <v>0</v>
      </c>
      <c r="K1283" s="4" t="b">
        <f>AND(((F1283)=TRUE), ((J1283)=TRUE))</f>
        <v>0</v>
      </c>
      <c r="L1283" s="4" t="b">
        <f>AND(((G1283 &lt;&gt; "plain")=TRUE), ((G1283 &lt;&gt; "")=TRUE))</f>
        <v>0</v>
      </c>
      <c r="M1283" s="4" t="str">
        <f>IF(((E1283)=TRUE),  C1283 &amp; "|" &amp; H1283,  "")</f>
        <v>principal-process-steward|Rationales</v>
      </c>
      <c r="N1283" s="3" t="s">
        <v>10004</v>
      </c>
    </row>
    <row r="1284">
      <c r="A1284" s="3" t="s">
        <v>11286</v>
      </c>
      <c r="B1284" s="4" t="str">
        <f>C1284 &amp; " -&gt; " &amp; D1284</f>
        <v>principal-process-steward -&gt; Recipients.RecipientId</v>
      </c>
      <c r="C1284" s="3" t="s">
        <v>9772</v>
      </c>
      <c r="D1284" s="3" t="s">
        <v>4411</v>
      </c>
      <c r="E1284" s="3" t="b">
        <v>1</v>
      </c>
      <c r="F1284" s="3" t="b">
        <v>0</v>
      </c>
      <c r="G1284" s="3" t="s">
        <v>10003</v>
      </c>
      <c r="H1284" s="4" t="str">
        <f>_xlfn.IFNA(IF(((INDEX(RulebookFields!C2:C1898, MATCH(D1284,RulebookFields!A2:A1898, 0))="")=TRUE),  "",  INDEX(RulebookFields!C2:C1898, MATCH(D1284,RulebookFields!A2:A1898, 0))), "")</f>
        <v>Recipients</v>
      </c>
      <c r="I1284" s="4" t="str">
        <f>_xlfn.IFNA(IF(((INDEX(RulebookFields!D2:D1898, MATCH(D1284,RulebookFields!A2:A1898, 0))="")=TRUE),  "",  INDEX(RulebookFields!D2:D1898, MATCH(D1284,RulebookFields!A2:A1898, 0))), "")</f>
        <v>RecipientId</v>
      </c>
      <c r="J1284" s="4" t="b">
        <f>_xlfn.IFNA(IF(((INDEX(RulebookFields!I2:I1898, MATCH(D1284,RulebookFields!A2:A1898, 0))="")=TRUE),  "",  INDEX(RulebookFields!I2:I1898, MATCH(D1284,RulebookFields!A2:A1898, 0))), "")</f>
        <v>0</v>
      </c>
      <c r="K1284" s="4" t="b">
        <f>AND(((F1284)=TRUE), ((J1284)=TRUE))</f>
        <v>0</v>
      </c>
      <c r="L1284" s="4" t="b">
        <f>AND(((G1284 &lt;&gt; "plain")=TRUE), ((G1284 &lt;&gt; "")=TRUE))</f>
        <v>0</v>
      </c>
      <c r="M1284" s="4" t="str">
        <f>IF(((E1284)=TRUE),  C1284 &amp; "|" &amp; H1284,  "")</f>
        <v>principal-process-steward|Recipients</v>
      </c>
      <c r="N1284" s="3" t="s">
        <v>10004</v>
      </c>
    </row>
    <row r="1285">
      <c r="A1285" s="3" t="s">
        <v>11287</v>
      </c>
      <c r="B1285" s="4" t="str">
        <f>C1285 &amp; " -&gt; " &amp; D1285</f>
        <v>principal-process-steward -&gt; Recipients.Name</v>
      </c>
      <c r="C1285" s="3" t="s">
        <v>9772</v>
      </c>
      <c r="D1285" s="3" t="s">
        <v>4414</v>
      </c>
      <c r="E1285" s="3" t="b">
        <v>1</v>
      </c>
      <c r="F1285" s="3" t="b">
        <v>0</v>
      </c>
      <c r="G1285" s="3" t="s">
        <v>10003</v>
      </c>
      <c r="H1285" s="4" t="str">
        <f>_xlfn.IFNA(IF(((INDEX(RulebookFields!C2:C1898, MATCH(D1285,RulebookFields!A2:A1898, 0))="")=TRUE),  "",  INDEX(RulebookFields!C2:C1898, MATCH(D1285,RulebookFields!A2:A1898, 0))), "")</f>
        <v>Recipients</v>
      </c>
      <c r="I1285" s="4" t="str">
        <f>_xlfn.IFNA(IF(((INDEX(RulebookFields!D2:D1898, MATCH(D1285,RulebookFields!A2:A1898, 0))="")=TRUE),  "",  INDEX(RulebookFields!D2:D1898, MATCH(D1285,RulebookFields!A2:A1898, 0))), "")</f>
        <v>Name</v>
      </c>
      <c r="J1285" s="4" t="b">
        <f>_xlfn.IFNA(IF(((INDEX(RulebookFields!I2:I1898, MATCH(D1285,RulebookFields!A2:A1898, 0))="")=TRUE),  "",  INDEX(RulebookFields!I2:I1898, MATCH(D1285,RulebookFields!A2:A1898, 0))), "")</f>
        <v>1</v>
      </c>
      <c r="K1285" s="4" t="b">
        <f>AND(((F1285)=TRUE), ((J1285)=TRUE))</f>
        <v>0</v>
      </c>
      <c r="L1285" s="4" t="b">
        <f>AND(((G1285 &lt;&gt; "plain")=TRUE), ((G1285 &lt;&gt; "")=TRUE))</f>
        <v>0</v>
      </c>
      <c r="M1285" s="4" t="str">
        <f>IF(((E1285)=TRUE),  C1285 &amp; "|" &amp; H1285,  "")</f>
        <v>principal-process-steward|Recipients</v>
      </c>
      <c r="N1285" s="3" t="s">
        <v>10004</v>
      </c>
    </row>
    <row r="1286">
      <c r="A1286" s="3" t="s">
        <v>11288</v>
      </c>
      <c r="B1286" s="4" t="str">
        <f>C1286 &amp; " -&gt; " &amp; D1286</f>
        <v>principal-process-steward -&gt; Recipients.DisplayName</v>
      </c>
      <c r="C1286" s="3" t="s">
        <v>9772</v>
      </c>
      <c r="D1286" s="3" t="s">
        <v>4415</v>
      </c>
      <c r="E1286" s="3" t="b">
        <v>1</v>
      </c>
      <c r="F1286" s="3" t="b">
        <v>0</v>
      </c>
      <c r="G1286" s="3" t="s">
        <v>10003</v>
      </c>
      <c r="H1286" s="4" t="str">
        <f>_xlfn.IFNA(IF(((INDEX(RulebookFields!C2:C1898, MATCH(D1286,RulebookFields!A2:A1898, 0))="")=TRUE),  "",  INDEX(RulebookFields!C2:C1898, MATCH(D1286,RulebookFields!A2:A1898, 0))), "")</f>
        <v>Recipients</v>
      </c>
      <c r="I1286" s="4" t="str">
        <f>_xlfn.IFNA(IF(((INDEX(RulebookFields!D2:D1898, MATCH(D1286,RulebookFields!A2:A1898, 0))="")=TRUE),  "",  INDEX(RulebookFields!D2:D1898, MATCH(D1286,RulebookFields!A2:A1898, 0))), "")</f>
        <v>DisplayName</v>
      </c>
      <c r="J1286" s="4" t="b">
        <f>_xlfn.IFNA(IF(((INDEX(RulebookFields!I2:I1898, MATCH(D1286,RulebookFields!A2:A1898, 0))="")=TRUE),  "",  INDEX(RulebookFields!I2:I1898, MATCH(D1286,RulebookFields!A2:A1898, 0))), "")</f>
        <v>0</v>
      </c>
      <c r="K1286" s="4" t="b">
        <f>AND(((F1286)=TRUE), ((J1286)=TRUE))</f>
        <v>0</v>
      </c>
      <c r="L1286" s="4" t="b">
        <f>AND(((G1286 &lt;&gt; "plain")=TRUE), ((G1286 &lt;&gt; "")=TRUE))</f>
        <v>0</v>
      </c>
      <c r="M1286" s="4" t="str">
        <f>IF(((E1286)=TRUE),  C1286 &amp; "|" &amp; H1286,  "")</f>
        <v>principal-process-steward|Recipients</v>
      </c>
      <c r="N1286" s="3" t="s">
        <v>10004</v>
      </c>
    </row>
    <row r="1287">
      <c r="A1287" s="3" t="s">
        <v>11289</v>
      </c>
      <c r="B1287" s="4" t="str">
        <f>C1287 &amp; " -&gt; " &amp; D1287</f>
        <v>principal-process-steward -&gt; Recipients.Organization</v>
      </c>
      <c r="C1287" s="3" t="s">
        <v>9772</v>
      </c>
      <c r="D1287" s="3" t="s">
        <v>4416</v>
      </c>
      <c r="E1287" s="3" t="b">
        <v>1</v>
      </c>
      <c r="F1287" s="3" t="b">
        <v>0</v>
      </c>
      <c r="G1287" s="3" t="s">
        <v>10003</v>
      </c>
      <c r="H1287" s="4" t="str">
        <f>_xlfn.IFNA(IF(((INDEX(RulebookFields!C2:C1898, MATCH(D1287,RulebookFields!A2:A1898, 0))="")=TRUE),  "",  INDEX(RulebookFields!C2:C1898, MATCH(D1287,RulebookFields!A2:A1898, 0))), "")</f>
        <v>Recipients</v>
      </c>
      <c r="I1287" s="4" t="str">
        <f>_xlfn.IFNA(IF(((INDEX(RulebookFields!D2:D1898, MATCH(D1287,RulebookFields!A2:A1898, 0))="")=TRUE),  "",  INDEX(RulebookFields!D2:D1898, MATCH(D1287,RulebookFields!A2:A1898, 0))), "")</f>
        <v>Organization</v>
      </c>
      <c r="J1287" s="4" t="b">
        <f>_xlfn.IFNA(IF(((INDEX(RulebookFields!I2:I1898, MATCH(D1287,RulebookFields!A2:A1898, 0))="")=TRUE),  "",  INDEX(RulebookFields!I2:I1898, MATCH(D1287,RulebookFields!A2:A1898, 0))), "")</f>
        <v>0</v>
      </c>
      <c r="K1287" s="4" t="b">
        <f>AND(((F1287)=TRUE), ((J1287)=TRUE))</f>
        <v>0</v>
      </c>
      <c r="L1287" s="4" t="b">
        <f>AND(((G1287 &lt;&gt; "plain")=TRUE), ((G1287 &lt;&gt; "")=TRUE))</f>
        <v>0</v>
      </c>
      <c r="M1287" s="4" t="str">
        <f>IF(((E1287)=TRUE),  C1287 &amp; "|" &amp; H1287,  "")</f>
        <v>principal-process-steward|Recipients</v>
      </c>
      <c r="N1287" s="3" t="s">
        <v>10004</v>
      </c>
    </row>
    <row r="1288">
      <c r="A1288" s="3" t="s">
        <v>11290</v>
      </c>
      <c r="B1288" s="4" t="str">
        <f>C1288 &amp; " -&gt; " &amp; D1288</f>
        <v>principal-process-steward -&gt; Recipients.EmailAddress</v>
      </c>
      <c r="C1288" s="3" t="s">
        <v>9772</v>
      </c>
      <c r="D1288" s="3" t="s">
        <v>4417</v>
      </c>
      <c r="E1288" s="3" t="b">
        <v>1</v>
      </c>
      <c r="F1288" s="3" t="b">
        <v>0</v>
      </c>
      <c r="G1288" s="3" t="s">
        <v>10003</v>
      </c>
      <c r="H1288" s="4" t="str">
        <f>_xlfn.IFNA(IF(((INDEX(RulebookFields!C2:C1898, MATCH(D1288,RulebookFields!A2:A1898, 0))="")=TRUE),  "",  INDEX(RulebookFields!C2:C1898, MATCH(D1288,RulebookFields!A2:A1898, 0))), "")</f>
        <v>Recipients</v>
      </c>
      <c r="I1288" s="4" t="str">
        <f>_xlfn.IFNA(IF(((INDEX(RulebookFields!D2:D1898, MATCH(D1288,RulebookFields!A2:A1898, 0))="")=TRUE),  "",  INDEX(RulebookFields!D2:D1898, MATCH(D1288,RulebookFields!A2:A1898, 0))), "")</f>
        <v>EmailAddress</v>
      </c>
      <c r="J1288" s="4" t="b">
        <f>_xlfn.IFNA(IF(((INDEX(RulebookFields!I2:I1898, MATCH(D1288,RulebookFields!A2:A1898, 0))="")=TRUE),  "",  INDEX(RulebookFields!I2:I1898, MATCH(D1288,RulebookFields!A2:A1898, 0))), "")</f>
        <v>0</v>
      </c>
      <c r="K1288" s="4" t="b">
        <f>AND(((F1288)=TRUE), ((J1288)=TRUE))</f>
        <v>0</v>
      </c>
      <c r="L1288" s="4" t="b">
        <f>AND(((G1288 &lt;&gt; "plain")=TRUE), ((G1288 &lt;&gt; "")=TRUE))</f>
        <v>0</v>
      </c>
      <c r="M1288" s="4" t="str">
        <f>IF(((E1288)=TRUE),  C1288 &amp; "|" &amp; H1288,  "")</f>
        <v>principal-process-steward|Recipients</v>
      </c>
      <c r="N1288" s="3" t="s">
        <v>10004</v>
      </c>
    </row>
    <row r="1289">
      <c r="A1289" s="3" t="s">
        <v>11291</v>
      </c>
      <c r="B1289" s="4" t="str">
        <f>C1289 &amp; " -&gt; " &amp; D1289</f>
        <v>principal-process-steward -&gt; Recipients.MobileNumber</v>
      </c>
      <c r="C1289" s="3" t="s">
        <v>9772</v>
      </c>
      <c r="D1289" s="3" t="s">
        <v>4419</v>
      </c>
      <c r="E1289" s="3" t="b">
        <v>1</v>
      </c>
      <c r="F1289" s="3" t="b">
        <v>0</v>
      </c>
      <c r="G1289" s="3" t="s">
        <v>10003</v>
      </c>
      <c r="H1289" s="4" t="str">
        <f>_xlfn.IFNA(IF(((INDEX(RulebookFields!C2:C1898, MATCH(D1289,RulebookFields!A2:A1898, 0))="")=TRUE),  "",  INDEX(RulebookFields!C2:C1898, MATCH(D1289,RulebookFields!A2:A1898, 0))), "")</f>
        <v>Recipients</v>
      </c>
      <c r="I1289" s="4" t="str">
        <f>_xlfn.IFNA(IF(((INDEX(RulebookFields!D2:D1898, MATCH(D1289,RulebookFields!A2:A1898, 0))="")=TRUE),  "",  INDEX(RulebookFields!D2:D1898, MATCH(D1289,RulebookFields!A2:A1898, 0))), "")</f>
        <v>MobileNumber</v>
      </c>
      <c r="J1289" s="4" t="b">
        <f>_xlfn.IFNA(IF(((INDEX(RulebookFields!I2:I1898, MATCH(D1289,RulebookFields!A2:A1898, 0))="")=TRUE),  "",  INDEX(RulebookFields!I2:I1898, MATCH(D1289,RulebookFields!A2:A1898, 0))), "")</f>
        <v>0</v>
      </c>
      <c r="K1289" s="4" t="b">
        <f>AND(((F1289)=TRUE), ((J1289)=TRUE))</f>
        <v>0</v>
      </c>
      <c r="L1289" s="4" t="b">
        <f>AND(((G1289 &lt;&gt; "plain")=TRUE), ((G1289 &lt;&gt; "")=TRUE))</f>
        <v>0</v>
      </c>
      <c r="M1289" s="4" t="str">
        <f>IF(((E1289)=TRUE),  C1289 &amp; "|" &amp; H1289,  "")</f>
        <v>principal-process-steward|Recipients</v>
      </c>
      <c r="N1289" s="3" t="s">
        <v>10004</v>
      </c>
    </row>
    <row r="1290">
      <c r="A1290" s="3" t="s">
        <v>11292</v>
      </c>
      <c r="B1290" s="4" t="str">
        <f>C1290 &amp; " -&gt; " &amp; D1290</f>
        <v>principal-process-steward -&gt; Recipients.SmsConsentStatus</v>
      </c>
      <c r="C1290" s="3" t="s">
        <v>9772</v>
      </c>
      <c r="D1290" s="3" t="s">
        <v>4421</v>
      </c>
      <c r="E1290" s="3" t="b">
        <v>1</v>
      </c>
      <c r="F1290" s="3" t="b">
        <v>0</v>
      </c>
      <c r="G1290" s="3" t="s">
        <v>10003</v>
      </c>
      <c r="H1290" s="4" t="str">
        <f>_xlfn.IFNA(IF(((INDEX(RulebookFields!C2:C1898, MATCH(D1290,RulebookFields!A2:A1898, 0))="")=TRUE),  "",  INDEX(RulebookFields!C2:C1898, MATCH(D1290,RulebookFields!A2:A1898, 0))), "")</f>
        <v>Recipients</v>
      </c>
      <c r="I1290" s="4" t="str">
        <f>_xlfn.IFNA(IF(((INDEX(RulebookFields!D2:D1898, MATCH(D1290,RulebookFields!A2:A1898, 0))="")=TRUE),  "",  INDEX(RulebookFields!D2:D1898, MATCH(D1290,RulebookFields!A2:A1898, 0))), "")</f>
        <v>SmsConsentStatus</v>
      </c>
      <c r="J1290" s="4" t="b">
        <f>_xlfn.IFNA(IF(((INDEX(RulebookFields!I2:I1898, MATCH(D1290,RulebookFields!A2:A1898, 0))="")=TRUE),  "",  INDEX(RulebookFields!I2:I1898, MATCH(D1290,RulebookFields!A2:A1898, 0))), "")</f>
        <v>0</v>
      </c>
      <c r="K1290" s="4" t="b">
        <f>AND(((F1290)=TRUE), ((J1290)=TRUE))</f>
        <v>0</v>
      </c>
      <c r="L1290" s="4" t="b">
        <f>AND(((G1290 &lt;&gt; "plain")=TRUE), ((G1290 &lt;&gt; "")=TRUE))</f>
        <v>0</v>
      </c>
      <c r="M1290" s="4" t="str">
        <f>IF(((E1290)=TRUE),  C1290 &amp; "|" &amp; H1290,  "")</f>
        <v>principal-process-steward|Recipients</v>
      </c>
      <c r="N1290" s="3" t="s">
        <v>10004</v>
      </c>
    </row>
    <row r="1291">
      <c r="A1291" s="3" t="s">
        <v>11293</v>
      </c>
      <c r="B1291" s="4" t="str">
        <f>C1291 &amp; " -&gt; " &amp; D1291</f>
        <v>principal-process-steward -&gt; Recipients.SmsConsentAt</v>
      </c>
      <c r="C1291" s="3" t="s">
        <v>9772</v>
      </c>
      <c r="D1291" s="3" t="s">
        <v>4423</v>
      </c>
      <c r="E1291" s="3" t="b">
        <v>1</v>
      </c>
      <c r="F1291" s="3" t="b">
        <v>0</v>
      </c>
      <c r="G1291" s="3" t="s">
        <v>10003</v>
      </c>
      <c r="H1291" s="4" t="str">
        <f>_xlfn.IFNA(IF(((INDEX(RulebookFields!C2:C1898, MATCH(D1291,RulebookFields!A2:A1898, 0))="")=TRUE),  "",  INDEX(RulebookFields!C2:C1898, MATCH(D1291,RulebookFields!A2:A1898, 0))), "")</f>
        <v>Recipients</v>
      </c>
      <c r="I1291" s="4" t="str">
        <f>_xlfn.IFNA(IF(((INDEX(RulebookFields!D2:D1898, MATCH(D1291,RulebookFields!A2:A1898, 0))="")=TRUE),  "",  INDEX(RulebookFields!D2:D1898, MATCH(D1291,RulebookFields!A2:A1898, 0))), "")</f>
        <v>SmsConsentAt</v>
      </c>
      <c r="J1291" s="4" t="b">
        <f>_xlfn.IFNA(IF(((INDEX(RulebookFields!I2:I1898, MATCH(D1291,RulebookFields!A2:A1898, 0))="")=TRUE),  "",  INDEX(RulebookFields!I2:I1898, MATCH(D1291,RulebookFields!A2:A1898, 0))), "")</f>
        <v>0</v>
      </c>
      <c r="K1291" s="4" t="b">
        <f>AND(((F1291)=TRUE), ((J1291)=TRUE))</f>
        <v>0</v>
      </c>
      <c r="L1291" s="4" t="b">
        <f>AND(((G1291 &lt;&gt; "plain")=TRUE), ((G1291 &lt;&gt; "")=TRUE))</f>
        <v>0</v>
      </c>
      <c r="M1291" s="4" t="str">
        <f>IF(((E1291)=TRUE),  C1291 &amp; "|" &amp; H1291,  "")</f>
        <v>principal-process-steward|Recipients</v>
      </c>
      <c r="N1291" s="3" t="s">
        <v>10004</v>
      </c>
    </row>
    <row r="1292">
      <c r="A1292" s="3" t="s">
        <v>11294</v>
      </c>
      <c r="B1292" s="4" t="str">
        <f>C1292 &amp; " -&gt; " &amp; D1292</f>
        <v>principal-process-steward -&gt; Recipients.ConsentBinding</v>
      </c>
      <c r="C1292" s="3" t="s">
        <v>9772</v>
      </c>
      <c r="D1292" s="3" t="s">
        <v>4425</v>
      </c>
      <c r="E1292" s="3" t="b">
        <v>1</v>
      </c>
      <c r="F1292" s="3" t="b">
        <v>0</v>
      </c>
      <c r="G1292" s="3" t="s">
        <v>10003</v>
      </c>
      <c r="H1292" s="4" t="str">
        <f>_xlfn.IFNA(IF(((INDEX(RulebookFields!C2:C1898, MATCH(D1292,RulebookFields!A2:A1898, 0))="")=TRUE),  "",  INDEX(RulebookFields!C2:C1898, MATCH(D1292,RulebookFields!A2:A1898, 0))), "")</f>
        <v>Recipients</v>
      </c>
      <c r="I1292" s="4" t="str">
        <f>_xlfn.IFNA(IF(((INDEX(RulebookFields!D2:D1898, MATCH(D1292,RulebookFields!A2:A1898, 0))="")=TRUE),  "",  INDEX(RulebookFields!D2:D1898, MATCH(D1292,RulebookFields!A2:A1898, 0))), "")</f>
        <v>ConsentBinding</v>
      </c>
      <c r="J1292" s="4" t="b">
        <f>_xlfn.IFNA(IF(((INDEX(RulebookFields!I2:I1898, MATCH(D1292,RulebookFields!A2:A1898, 0))="")=TRUE),  "",  INDEX(RulebookFields!I2:I1898, MATCH(D1292,RulebookFields!A2:A1898, 0))), "")</f>
        <v>0</v>
      </c>
      <c r="K1292" s="4" t="b">
        <f>AND(((F1292)=TRUE), ((J1292)=TRUE))</f>
        <v>0</v>
      </c>
      <c r="L1292" s="4" t="b">
        <f>AND(((G1292 &lt;&gt; "plain")=TRUE), ((G1292 &lt;&gt; "")=TRUE))</f>
        <v>0</v>
      </c>
      <c r="M1292" s="4" t="str">
        <f>IF(((E1292)=TRUE),  C1292 &amp; "|" &amp; H1292,  "")</f>
        <v>principal-process-steward|Recipients</v>
      </c>
      <c r="N1292" s="3" t="s">
        <v>10004</v>
      </c>
    </row>
    <row r="1293">
      <c r="A1293" s="3" t="s">
        <v>11295</v>
      </c>
      <c r="B1293" s="4" t="str">
        <f>C1293 &amp; " -&gt; " &amp; D1293</f>
        <v>principal-process-steward -&gt; Recipients.HasSmsConsent</v>
      </c>
      <c r="C1293" s="3" t="s">
        <v>9772</v>
      </c>
      <c r="D1293" s="3" t="s">
        <v>4427</v>
      </c>
      <c r="E1293" s="3" t="b">
        <v>1</v>
      </c>
      <c r="F1293" s="3" t="b">
        <v>0</v>
      </c>
      <c r="G1293" s="3" t="s">
        <v>10003</v>
      </c>
      <c r="H1293" s="4" t="str">
        <f>_xlfn.IFNA(IF(((INDEX(RulebookFields!C2:C1898, MATCH(D1293,RulebookFields!A2:A1898, 0))="")=TRUE),  "",  INDEX(RulebookFields!C2:C1898, MATCH(D1293,RulebookFields!A2:A1898, 0))), "")</f>
        <v>Recipients</v>
      </c>
      <c r="I1293" s="4" t="str">
        <f>_xlfn.IFNA(IF(((INDEX(RulebookFields!D2:D1898, MATCH(D1293,RulebookFields!A2:A1898, 0))="")=TRUE),  "",  INDEX(RulebookFields!D2:D1898, MATCH(D1293,RulebookFields!A2:A1898, 0))), "")</f>
        <v>HasSmsConsent</v>
      </c>
      <c r="J1293" s="4" t="b">
        <f>_xlfn.IFNA(IF(((INDEX(RulebookFields!I2:I1898, MATCH(D1293,RulebookFields!A2:A1898, 0))="")=TRUE),  "",  INDEX(RulebookFields!I2:I1898, MATCH(D1293,RulebookFields!A2:A1898, 0))), "")</f>
        <v>1</v>
      </c>
      <c r="K1293" s="4" t="b">
        <f>AND(((F1293)=TRUE), ((J1293)=TRUE))</f>
        <v>0</v>
      </c>
      <c r="L1293" s="4" t="b">
        <f>AND(((G1293 &lt;&gt; "plain")=TRUE), ((G1293 &lt;&gt; "")=TRUE))</f>
        <v>0</v>
      </c>
      <c r="M1293" s="4" t="str">
        <f>IF(((E1293)=TRUE),  C1293 &amp; "|" &amp; H1293,  "")</f>
        <v>principal-process-steward|Recipients</v>
      </c>
      <c r="N1293" s="3" t="s">
        <v>10004</v>
      </c>
    </row>
    <row r="1294">
      <c r="A1294" s="3" t="s">
        <v>11296</v>
      </c>
      <c r="B1294" s="4" t="str">
        <f>C1294 &amp; " -&gt; " &amp; D1294</f>
        <v>principal-process-steward -&gt; Recipients.IsEmailReachable</v>
      </c>
      <c r="C1294" s="3" t="s">
        <v>9772</v>
      </c>
      <c r="D1294" s="3" t="s">
        <v>4430</v>
      </c>
      <c r="E1294" s="3" t="b">
        <v>1</v>
      </c>
      <c r="F1294" s="3" t="b">
        <v>0</v>
      </c>
      <c r="G1294" s="3" t="s">
        <v>10003</v>
      </c>
      <c r="H1294" s="4" t="str">
        <f>_xlfn.IFNA(IF(((INDEX(RulebookFields!C2:C1898, MATCH(D1294,RulebookFields!A2:A1898, 0))="")=TRUE),  "",  INDEX(RulebookFields!C2:C1898, MATCH(D1294,RulebookFields!A2:A1898, 0))), "")</f>
        <v>Recipients</v>
      </c>
      <c r="I1294" s="4" t="str">
        <f>_xlfn.IFNA(IF(((INDEX(RulebookFields!D2:D1898, MATCH(D1294,RulebookFields!A2:A1898, 0))="")=TRUE),  "",  INDEX(RulebookFields!D2:D1898, MATCH(D1294,RulebookFields!A2:A1898, 0))), "")</f>
        <v>IsEmailReachable</v>
      </c>
      <c r="J1294" s="4" t="b">
        <f>_xlfn.IFNA(IF(((INDEX(RulebookFields!I2:I1898, MATCH(D1294,RulebookFields!A2:A1898, 0))="")=TRUE),  "",  INDEX(RulebookFields!I2:I1898, MATCH(D1294,RulebookFields!A2:A1898, 0))), "")</f>
        <v>1</v>
      </c>
      <c r="K1294" s="4" t="b">
        <f>AND(((F1294)=TRUE), ((J1294)=TRUE))</f>
        <v>0</v>
      </c>
      <c r="L1294" s="4" t="b">
        <f>AND(((G1294 &lt;&gt; "plain")=TRUE), ((G1294 &lt;&gt; "")=TRUE))</f>
        <v>0</v>
      </c>
      <c r="M1294" s="4" t="str">
        <f>IF(((E1294)=TRUE),  C1294 &amp; "|" &amp; H1294,  "")</f>
        <v>principal-process-steward|Recipients</v>
      </c>
      <c r="N1294" s="3" t="s">
        <v>10004</v>
      </c>
    </row>
    <row r="1295">
      <c r="A1295" s="3" t="s">
        <v>11297</v>
      </c>
      <c r="B1295" s="4" t="str">
        <f>C1295 &amp; " -&gt; " &amp; D1295</f>
        <v>principal-process-steward -&gt; Recipients.IsSmsReachable</v>
      </c>
      <c r="C1295" s="3" t="s">
        <v>9772</v>
      </c>
      <c r="D1295" s="3" t="s">
        <v>4433</v>
      </c>
      <c r="E1295" s="3" t="b">
        <v>1</v>
      </c>
      <c r="F1295" s="3" t="b">
        <v>0</v>
      </c>
      <c r="G1295" s="3" t="s">
        <v>10003</v>
      </c>
      <c r="H1295" s="4" t="str">
        <f>_xlfn.IFNA(IF(((INDEX(RulebookFields!C2:C1898, MATCH(D1295,RulebookFields!A2:A1898, 0))="")=TRUE),  "",  INDEX(RulebookFields!C2:C1898, MATCH(D1295,RulebookFields!A2:A1898, 0))), "")</f>
        <v>Recipients</v>
      </c>
      <c r="I1295" s="4" t="str">
        <f>_xlfn.IFNA(IF(((INDEX(RulebookFields!D2:D1898, MATCH(D1295,RulebookFields!A2:A1898, 0))="")=TRUE),  "",  INDEX(RulebookFields!D2:D1898, MATCH(D1295,RulebookFields!A2:A1898, 0))), "")</f>
        <v>IsSmsReachable</v>
      </c>
      <c r="J1295" s="4" t="b">
        <f>_xlfn.IFNA(IF(((INDEX(RulebookFields!I2:I1898, MATCH(D1295,RulebookFields!A2:A1898, 0))="")=TRUE),  "",  INDEX(RulebookFields!I2:I1898, MATCH(D1295,RulebookFields!A2:A1898, 0))), "")</f>
        <v>1</v>
      </c>
      <c r="K1295" s="4" t="b">
        <f>AND(((F1295)=TRUE), ((J1295)=TRUE))</f>
        <v>0</v>
      </c>
      <c r="L1295" s="4" t="b">
        <f>AND(((G1295 &lt;&gt; "plain")=TRUE), ((G1295 &lt;&gt; "")=TRUE))</f>
        <v>0</v>
      </c>
      <c r="M1295" s="4" t="str">
        <f>IF(((E1295)=TRUE),  C1295 &amp; "|" &amp; H1295,  "")</f>
        <v>principal-process-steward|Recipients</v>
      </c>
      <c r="N1295" s="3" t="s">
        <v>10004</v>
      </c>
    </row>
    <row r="1296">
      <c r="A1296" s="3" t="s">
        <v>11298</v>
      </c>
      <c r="B1296" s="4" t="str">
        <f>C1296 &amp; " -&gt; " &amp; D1296</f>
        <v>principal-process-steward -&gt; Recipients.IsUnreachable</v>
      </c>
      <c r="C1296" s="3" t="s">
        <v>9772</v>
      </c>
      <c r="D1296" s="3" t="s">
        <v>4436</v>
      </c>
      <c r="E1296" s="3" t="b">
        <v>1</v>
      </c>
      <c r="F1296" s="3" t="b">
        <v>0</v>
      </c>
      <c r="G1296" s="3" t="s">
        <v>10003</v>
      </c>
      <c r="H1296" s="4" t="str">
        <f>_xlfn.IFNA(IF(((INDEX(RulebookFields!C2:C1898, MATCH(D1296,RulebookFields!A2:A1898, 0))="")=TRUE),  "",  INDEX(RulebookFields!C2:C1898, MATCH(D1296,RulebookFields!A2:A1898, 0))), "")</f>
        <v>Recipients</v>
      </c>
      <c r="I1296" s="4" t="str">
        <f>_xlfn.IFNA(IF(((INDEX(RulebookFields!D2:D1898, MATCH(D1296,RulebookFields!A2:A1898, 0))="")=TRUE),  "",  INDEX(RulebookFields!D2:D1898, MATCH(D1296,RulebookFields!A2:A1898, 0))), "")</f>
        <v>IsUnreachable</v>
      </c>
      <c r="J1296" s="4" t="b">
        <f>_xlfn.IFNA(IF(((INDEX(RulebookFields!I2:I1898, MATCH(D1296,RulebookFields!A2:A1898, 0))="")=TRUE),  "",  INDEX(RulebookFields!I2:I1898, MATCH(D1296,RulebookFields!A2:A1898, 0))), "")</f>
        <v>1</v>
      </c>
      <c r="K1296" s="4" t="b">
        <f>AND(((F1296)=TRUE), ((J1296)=TRUE))</f>
        <v>0</v>
      </c>
      <c r="L1296" s="4" t="b">
        <f>AND(((G1296 &lt;&gt; "plain")=TRUE), ((G1296 &lt;&gt; "")=TRUE))</f>
        <v>0</v>
      </c>
      <c r="M1296" s="4" t="str">
        <f>IF(((E1296)=TRUE),  C1296 &amp; "|" &amp; H1296,  "")</f>
        <v>principal-process-steward|Recipients</v>
      </c>
      <c r="N1296" s="3" t="s">
        <v>10004</v>
      </c>
    </row>
    <row r="1297">
      <c r="A1297" s="3" t="s">
        <v>11299</v>
      </c>
      <c r="B1297" s="4" t="str">
        <f>C1297 &amp; " -&gt; " &amp; D1297</f>
        <v>principal-process-steward -&gt; Recipients.IsCommunicationallyStranded</v>
      </c>
      <c r="C1297" s="3" t="s">
        <v>9772</v>
      </c>
      <c r="D1297" s="3" t="s">
        <v>4439</v>
      </c>
      <c r="E1297" s="3" t="b">
        <v>1</v>
      </c>
      <c r="F1297" s="3" t="b">
        <v>0</v>
      </c>
      <c r="G1297" s="3" t="s">
        <v>10003</v>
      </c>
      <c r="H1297" s="4" t="str">
        <f>_xlfn.IFNA(IF(((INDEX(RulebookFields!C2:C1898, MATCH(D1297,RulebookFields!A2:A1898, 0))="")=TRUE),  "",  INDEX(RulebookFields!C2:C1898, MATCH(D1297,RulebookFields!A2:A1898, 0))), "")</f>
        <v>Recipients</v>
      </c>
      <c r="I1297" s="4" t="str">
        <f>_xlfn.IFNA(IF(((INDEX(RulebookFields!D2:D1898, MATCH(D1297,RulebookFields!A2:A1898, 0))="")=TRUE),  "",  INDEX(RulebookFields!D2:D1898, MATCH(D1297,RulebookFields!A2:A1898, 0))), "")</f>
        <v>IsCommunicationallyStranded</v>
      </c>
      <c r="J1297" s="4" t="b">
        <f>_xlfn.IFNA(IF(((INDEX(RulebookFields!I2:I1898, MATCH(D1297,RulebookFields!A2:A1898, 0))="")=TRUE),  "",  INDEX(RulebookFields!I2:I1898, MATCH(D1297,RulebookFields!A2:A1898, 0))), "")</f>
        <v>1</v>
      </c>
      <c r="K1297" s="4" t="b">
        <f>AND(((F1297)=TRUE), ((J1297)=TRUE))</f>
        <v>0</v>
      </c>
      <c r="L1297" s="4" t="b">
        <f>AND(((G1297 &lt;&gt; "plain")=TRUE), ((G1297 &lt;&gt; "")=TRUE))</f>
        <v>0</v>
      </c>
      <c r="M1297" s="4" t="str">
        <f>IF(((E1297)=TRUE),  C1297 &amp; "|" &amp; H1297,  "")</f>
        <v>principal-process-steward|Recipients</v>
      </c>
      <c r="N1297" s="3" t="s">
        <v>10004</v>
      </c>
    </row>
    <row r="1298">
      <c r="A1298" s="3" t="s">
        <v>11300</v>
      </c>
      <c r="B1298" s="4" t="str">
        <f>C1298 &amp; " -&gt; " &amp; D1298</f>
        <v>principal-process-steward -&gt; Recipients.SemanticTypeIri</v>
      </c>
      <c r="C1298" s="3" t="s">
        <v>9772</v>
      </c>
      <c r="D1298" s="3" t="s">
        <v>4442</v>
      </c>
      <c r="E1298" s="3" t="b">
        <v>1</v>
      </c>
      <c r="F1298" s="3" t="b">
        <v>0</v>
      </c>
      <c r="G1298" s="3" t="s">
        <v>10003</v>
      </c>
      <c r="H1298" s="4" t="str">
        <f>_xlfn.IFNA(IF(((INDEX(RulebookFields!C2:C1898, MATCH(D1298,RulebookFields!A2:A1898, 0))="")=TRUE),  "",  INDEX(RulebookFields!C2:C1898, MATCH(D1298,RulebookFields!A2:A1898, 0))), "")</f>
        <v>Recipients</v>
      </c>
      <c r="I1298" s="4" t="str">
        <f>_xlfn.IFNA(IF(((INDEX(RulebookFields!D2:D1898, MATCH(D1298,RulebookFields!A2:A1898, 0))="")=TRUE),  "",  INDEX(RulebookFields!D2:D1898, MATCH(D1298,RulebookFields!A2:A1898, 0))), "")</f>
        <v>SemanticTypeIri</v>
      </c>
      <c r="J1298" s="4" t="b">
        <f>_xlfn.IFNA(IF(((INDEX(RulebookFields!I2:I1898, MATCH(D1298,RulebookFields!A2:A1898, 0))="")=TRUE),  "",  INDEX(RulebookFields!I2:I1898, MATCH(D1298,RulebookFields!A2:A1898, 0))), "")</f>
        <v>0</v>
      </c>
      <c r="K1298" s="4" t="b">
        <f>AND(((F1298)=TRUE), ((J1298)=TRUE))</f>
        <v>0</v>
      </c>
      <c r="L1298" s="4" t="b">
        <f>AND(((G1298 &lt;&gt; "plain")=TRUE), ((G1298 &lt;&gt; "")=TRUE))</f>
        <v>0</v>
      </c>
      <c r="M1298" s="4" t="str">
        <f>IF(((E1298)=TRUE),  C1298 &amp; "|" &amp; H1298,  "")</f>
        <v>principal-process-steward|Recipients</v>
      </c>
      <c r="N1298" s="3" t="s">
        <v>10004</v>
      </c>
    </row>
    <row r="1299">
      <c r="A1299" s="3" t="s">
        <v>11301</v>
      </c>
      <c r="B1299" s="4" t="str">
        <f>C1299 &amp; " -&gt; " &amp; D1299</f>
        <v>principal-process-steward -&gt; RequirementSatisfactions.RequirementSatisfactionId</v>
      </c>
      <c r="C1299" s="3" t="s">
        <v>9772</v>
      </c>
      <c r="D1299" s="3" t="s">
        <v>3773</v>
      </c>
      <c r="E1299" s="3" t="b">
        <v>1</v>
      </c>
      <c r="F1299" s="3" t="b">
        <v>0</v>
      </c>
      <c r="G1299" s="3" t="s">
        <v>10003</v>
      </c>
      <c r="H1299" s="4" t="str">
        <f>_xlfn.IFNA(IF(((INDEX(RulebookFields!C2:C1898, MATCH(D1299,RulebookFields!A2:A1898, 0))="")=TRUE),  "",  INDEX(RulebookFields!C2:C1898, MATCH(D1299,RulebookFields!A2:A1898, 0))), "")</f>
        <v>RequirementSatisfactions</v>
      </c>
      <c r="I1299" s="4" t="str">
        <f>_xlfn.IFNA(IF(((INDEX(RulebookFields!D2:D1898, MATCH(D1299,RulebookFields!A2:A1898, 0))="")=TRUE),  "",  INDEX(RulebookFields!D2:D1898, MATCH(D1299,RulebookFields!A2:A1898, 0))), "")</f>
        <v>RequirementSatisfactionId</v>
      </c>
      <c r="J1299" s="4" t="b">
        <f>_xlfn.IFNA(IF(((INDEX(RulebookFields!I2:I1898, MATCH(D1299,RulebookFields!A2:A1898, 0))="")=TRUE),  "",  INDEX(RulebookFields!I2:I1898, MATCH(D1299,RulebookFields!A2:A1898, 0))), "")</f>
        <v>0</v>
      </c>
      <c r="K1299" s="4" t="b">
        <f>AND(((F1299)=TRUE), ((J1299)=TRUE))</f>
        <v>0</v>
      </c>
      <c r="L1299" s="4" t="b">
        <f>AND(((G1299 &lt;&gt; "plain")=TRUE), ((G1299 &lt;&gt; "")=TRUE))</f>
        <v>0</v>
      </c>
      <c r="M1299" s="4" t="str">
        <f>IF(((E1299)=TRUE),  C1299 &amp; "|" &amp; H1299,  "")</f>
        <v>principal-process-steward|RequirementSatisfactions</v>
      </c>
      <c r="N1299" s="3" t="s">
        <v>10004</v>
      </c>
    </row>
    <row r="1300">
      <c r="A1300" s="3" t="s">
        <v>11302</v>
      </c>
      <c r="B1300" s="4" t="str">
        <f>C1300 &amp; " -&gt; " &amp; D1300</f>
        <v>principal-process-steward -&gt; RequirementSatisfactions.Name</v>
      </c>
      <c r="C1300" s="3" t="s">
        <v>9772</v>
      </c>
      <c r="D1300" s="3" t="s">
        <v>3774</v>
      </c>
      <c r="E1300" s="3" t="b">
        <v>1</v>
      </c>
      <c r="F1300" s="3" t="b">
        <v>0</v>
      </c>
      <c r="G1300" s="3" t="s">
        <v>10003</v>
      </c>
      <c r="H1300" s="4" t="str">
        <f>_xlfn.IFNA(IF(((INDEX(RulebookFields!C2:C1898, MATCH(D1300,RulebookFields!A2:A1898, 0))="")=TRUE),  "",  INDEX(RulebookFields!C2:C1898, MATCH(D1300,RulebookFields!A2:A1898, 0))), "")</f>
        <v>RequirementSatisfactions</v>
      </c>
      <c r="I1300" s="4" t="str">
        <f>_xlfn.IFNA(IF(((INDEX(RulebookFields!D2:D1898, MATCH(D1300,RulebookFields!A2:A1898, 0))="")=TRUE),  "",  INDEX(RulebookFields!D2:D1898, MATCH(D1300,RulebookFields!A2:A1898, 0))), "")</f>
        <v>Name</v>
      </c>
      <c r="J1300" s="4" t="b">
        <f>_xlfn.IFNA(IF(((INDEX(RulebookFields!I2:I1898, MATCH(D1300,RulebookFields!A2:A1898, 0))="")=TRUE),  "",  INDEX(RulebookFields!I2:I1898, MATCH(D1300,RulebookFields!A2:A1898, 0))), "")</f>
        <v>1</v>
      </c>
      <c r="K1300" s="4" t="b">
        <f>AND(((F1300)=TRUE), ((J1300)=TRUE))</f>
        <v>0</v>
      </c>
      <c r="L1300" s="4" t="b">
        <f>AND(((G1300 &lt;&gt; "plain")=TRUE), ((G1300 &lt;&gt; "")=TRUE))</f>
        <v>0</v>
      </c>
      <c r="M1300" s="4" t="str">
        <f>IF(((E1300)=TRUE),  C1300 &amp; "|" &amp; H1300,  "")</f>
        <v>principal-process-steward|RequirementSatisfactions</v>
      </c>
      <c r="N1300" s="3" t="s">
        <v>10004</v>
      </c>
    </row>
    <row r="1301">
      <c r="A1301" s="3" t="s">
        <v>11303</v>
      </c>
      <c r="B1301" s="4" t="str">
        <f>C1301 &amp; " -&gt; " &amp; D1301</f>
        <v>principal-process-steward -&gt; RequirementSatisfactions.StepExecution</v>
      </c>
      <c r="C1301" s="3" t="s">
        <v>9772</v>
      </c>
      <c r="D1301" s="3" t="s">
        <v>3776</v>
      </c>
      <c r="E1301" s="3" t="b">
        <v>1</v>
      </c>
      <c r="F1301" s="3" t="b">
        <v>0</v>
      </c>
      <c r="G1301" s="3" t="s">
        <v>10003</v>
      </c>
      <c r="H1301" s="4" t="str">
        <f>_xlfn.IFNA(IF(((INDEX(RulebookFields!C2:C1898, MATCH(D1301,RulebookFields!A2:A1898, 0))="")=TRUE),  "",  INDEX(RulebookFields!C2:C1898, MATCH(D1301,RulebookFields!A2:A1898, 0))), "")</f>
        <v>RequirementSatisfactions</v>
      </c>
      <c r="I1301" s="4" t="str">
        <f>_xlfn.IFNA(IF(((INDEX(RulebookFields!D2:D1898, MATCH(D1301,RulebookFields!A2:A1898, 0))="")=TRUE),  "",  INDEX(RulebookFields!D2:D1898, MATCH(D1301,RulebookFields!A2:A1898, 0))), "")</f>
        <v>StepExecution</v>
      </c>
      <c r="J1301" s="4" t="b">
        <f>_xlfn.IFNA(IF(((INDEX(RulebookFields!I2:I1898, MATCH(D1301,RulebookFields!A2:A1898, 0))="")=TRUE),  "",  INDEX(RulebookFields!I2:I1898, MATCH(D1301,RulebookFields!A2:A1898, 0))), "")</f>
        <v>0</v>
      </c>
      <c r="K1301" s="4" t="b">
        <f>AND(((F1301)=TRUE), ((J1301)=TRUE))</f>
        <v>0</v>
      </c>
      <c r="L1301" s="4" t="b">
        <f>AND(((G1301 &lt;&gt; "plain")=TRUE), ((G1301 &lt;&gt; "")=TRUE))</f>
        <v>0</v>
      </c>
      <c r="M1301" s="4" t="str">
        <f>IF(((E1301)=TRUE),  C1301 &amp; "|" &amp; H1301,  "")</f>
        <v>principal-process-steward|RequirementSatisfactions</v>
      </c>
      <c r="N1301" s="3" t="s">
        <v>10004</v>
      </c>
    </row>
    <row r="1302">
      <c r="A1302" s="3" t="s">
        <v>11304</v>
      </c>
      <c r="B1302" s="4" t="str">
        <f>C1302 &amp; " -&gt; " &amp; D1302</f>
        <v>principal-process-steward -&gt; RequirementSatisfactions.Requirement</v>
      </c>
      <c r="C1302" s="3" t="s">
        <v>9772</v>
      </c>
      <c r="D1302" s="3" t="s">
        <v>3777</v>
      </c>
      <c r="E1302" s="3" t="b">
        <v>1</v>
      </c>
      <c r="F1302" s="3" t="b">
        <v>0</v>
      </c>
      <c r="G1302" s="3" t="s">
        <v>10003</v>
      </c>
      <c r="H1302" s="4" t="str">
        <f>_xlfn.IFNA(IF(((INDEX(RulebookFields!C2:C1898, MATCH(D1302,RulebookFields!A2:A1898, 0))="")=TRUE),  "",  INDEX(RulebookFields!C2:C1898, MATCH(D1302,RulebookFields!A2:A1898, 0))), "")</f>
        <v>RequirementSatisfactions</v>
      </c>
      <c r="I1302" s="4" t="str">
        <f>_xlfn.IFNA(IF(((INDEX(RulebookFields!D2:D1898, MATCH(D1302,RulebookFields!A2:A1898, 0))="")=TRUE),  "",  INDEX(RulebookFields!D2:D1898, MATCH(D1302,RulebookFields!A2:A1898, 0))), "")</f>
        <v>Requirement</v>
      </c>
      <c r="J1302" s="4" t="b">
        <f>_xlfn.IFNA(IF(((INDEX(RulebookFields!I2:I1898, MATCH(D1302,RulebookFields!A2:A1898, 0))="")=TRUE),  "",  INDEX(RulebookFields!I2:I1898, MATCH(D1302,RulebookFields!A2:A1898, 0))), "")</f>
        <v>0</v>
      </c>
      <c r="K1302" s="4" t="b">
        <f>AND(((F1302)=TRUE), ((J1302)=TRUE))</f>
        <v>0</v>
      </c>
      <c r="L1302" s="4" t="b">
        <f>AND(((G1302 &lt;&gt; "plain")=TRUE), ((G1302 &lt;&gt; "")=TRUE))</f>
        <v>0</v>
      </c>
      <c r="M1302" s="4" t="str">
        <f>IF(((E1302)=TRUE),  C1302 &amp; "|" &amp; H1302,  "")</f>
        <v>principal-process-steward|RequirementSatisfactions</v>
      </c>
      <c r="N1302" s="3" t="s">
        <v>10004</v>
      </c>
    </row>
    <row r="1303">
      <c r="A1303" s="3" t="s">
        <v>11305</v>
      </c>
      <c r="B1303" s="4" t="str">
        <f>C1303 &amp; " -&gt; " &amp; D1303</f>
        <v>principal-process-steward -&gt; RequirementSatisfactions.SatisfactionLevel</v>
      </c>
      <c r="C1303" s="3" t="s">
        <v>9772</v>
      </c>
      <c r="D1303" s="3" t="s">
        <v>3778</v>
      </c>
      <c r="E1303" s="3" t="b">
        <v>1</v>
      </c>
      <c r="F1303" s="3" t="b">
        <v>0</v>
      </c>
      <c r="G1303" s="3" t="s">
        <v>10003</v>
      </c>
      <c r="H1303" s="4" t="str">
        <f>_xlfn.IFNA(IF(((INDEX(RulebookFields!C2:C1898, MATCH(D1303,RulebookFields!A2:A1898, 0))="")=TRUE),  "",  INDEX(RulebookFields!C2:C1898, MATCH(D1303,RulebookFields!A2:A1898, 0))), "")</f>
        <v>RequirementSatisfactions</v>
      </c>
      <c r="I1303" s="4" t="str">
        <f>_xlfn.IFNA(IF(((INDEX(RulebookFields!D2:D1898, MATCH(D1303,RulebookFields!A2:A1898, 0))="")=TRUE),  "",  INDEX(RulebookFields!D2:D1898, MATCH(D1303,RulebookFields!A2:A1898, 0))), "")</f>
        <v>SatisfactionLevel</v>
      </c>
      <c r="J1303" s="4" t="b">
        <f>_xlfn.IFNA(IF(((INDEX(RulebookFields!I2:I1898, MATCH(D1303,RulebookFields!A2:A1898, 0))="")=TRUE),  "",  INDEX(RulebookFields!I2:I1898, MATCH(D1303,RulebookFields!A2:A1898, 0))), "")</f>
        <v>0</v>
      </c>
      <c r="K1303" s="4" t="b">
        <f>AND(((F1303)=TRUE), ((J1303)=TRUE))</f>
        <v>0</v>
      </c>
      <c r="L1303" s="4" t="b">
        <f>AND(((G1303 &lt;&gt; "plain")=TRUE), ((G1303 &lt;&gt; "")=TRUE))</f>
        <v>0</v>
      </c>
      <c r="M1303" s="4" t="str">
        <f>IF(((E1303)=TRUE),  C1303 &amp; "|" &amp; H1303,  "")</f>
        <v>principal-process-steward|RequirementSatisfactions</v>
      </c>
      <c r="N1303" s="3" t="s">
        <v>10004</v>
      </c>
    </row>
    <row r="1304">
      <c r="A1304" s="3" t="s">
        <v>11306</v>
      </c>
      <c r="B1304" s="4" t="str">
        <f>C1304 &amp; " -&gt; " &amp; D1304</f>
        <v>principal-process-steward -&gt; RequirementSatisfactions.Evidence</v>
      </c>
      <c r="C1304" s="3" t="s">
        <v>9772</v>
      </c>
      <c r="D1304" s="3" t="s">
        <v>3779</v>
      </c>
      <c r="E1304" s="3" t="b">
        <v>1</v>
      </c>
      <c r="F1304" s="3" t="b">
        <v>0</v>
      </c>
      <c r="G1304" s="3" t="s">
        <v>10003</v>
      </c>
      <c r="H1304" s="4" t="str">
        <f>_xlfn.IFNA(IF(((INDEX(RulebookFields!C2:C1898, MATCH(D1304,RulebookFields!A2:A1898, 0))="")=TRUE),  "",  INDEX(RulebookFields!C2:C1898, MATCH(D1304,RulebookFields!A2:A1898, 0))), "")</f>
        <v>RequirementSatisfactions</v>
      </c>
      <c r="I1304" s="4" t="str">
        <f>_xlfn.IFNA(IF(((INDEX(RulebookFields!D2:D1898, MATCH(D1304,RulebookFields!A2:A1898, 0))="")=TRUE),  "",  INDEX(RulebookFields!D2:D1898, MATCH(D1304,RulebookFields!A2:A1898, 0))), "")</f>
        <v>Evidence</v>
      </c>
      <c r="J1304" s="4" t="b">
        <f>_xlfn.IFNA(IF(((INDEX(RulebookFields!I2:I1898, MATCH(D1304,RulebookFields!A2:A1898, 0))="")=TRUE),  "",  INDEX(RulebookFields!I2:I1898, MATCH(D1304,RulebookFields!A2:A1898, 0))), "")</f>
        <v>0</v>
      </c>
      <c r="K1304" s="4" t="b">
        <f>AND(((F1304)=TRUE), ((J1304)=TRUE))</f>
        <v>0</v>
      </c>
      <c r="L1304" s="4" t="b">
        <f>AND(((G1304 &lt;&gt; "plain")=TRUE), ((G1304 &lt;&gt; "")=TRUE))</f>
        <v>0</v>
      </c>
      <c r="M1304" s="4" t="str">
        <f>IF(((E1304)=TRUE),  C1304 &amp; "|" &amp; H1304,  "")</f>
        <v>principal-process-steward|RequirementSatisfactions</v>
      </c>
      <c r="N1304" s="3" t="s">
        <v>10004</v>
      </c>
    </row>
    <row r="1305">
      <c r="A1305" s="3" t="s">
        <v>11307</v>
      </c>
      <c r="B1305" s="4" t="str">
        <f>C1305 &amp; " -&gt; " &amp; D1305</f>
        <v>principal-process-steward -&gt; RequirementSatisfactions.EvaluatedByAgent</v>
      </c>
      <c r="C1305" s="3" t="s">
        <v>9772</v>
      </c>
      <c r="D1305" s="3" t="s">
        <v>3780</v>
      </c>
      <c r="E1305" s="3" t="b">
        <v>1</v>
      </c>
      <c r="F1305" s="3" t="b">
        <v>0</v>
      </c>
      <c r="G1305" s="3" t="s">
        <v>10003</v>
      </c>
      <c r="H1305" s="4" t="str">
        <f>_xlfn.IFNA(IF(((INDEX(RulebookFields!C2:C1898, MATCH(D1305,RulebookFields!A2:A1898, 0))="")=TRUE),  "",  INDEX(RulebookFields!C2:C1898, MATCH(D1305,RulebookFields!A2:A1898, 0))), "")</f>
        <v>RequirementSatisfactions</v>
      </c>
      <c r="I1305" s="4" t="str">
        <f>_xlfn.IFNA(IF(((INDEX(RulebookFields!D2:D1898, MATCH(D1305,RulebookFields!A2:A1898, 0))="")=TRUE),  "",  INDEX(RulebookFields!D2:D1898, MATCH(D1305,RulebookFields!A2:A1898, 0))), "")</f>
        <v>EvaluatedByAgent</v>
      </c>
      <c r="J1305" s="4" t="b">
        <f>_xlfn.IFNA(IF(((INDEX(RulebookFields!I2:I1898, MATCH(D1305,RulebookFields!A2:A1898, 0))="")=TRUE),  "",  INDEX(RulebookFields!I2:I1898, MATCH(D1305,RulebookFields!A2:A1898, 0))), "")</f>
        <v>0</v>
      </c>
      <c r="K1305" s="4" t="b">
        <f>AND(((F1305)=TRUE), ((J1305)=TRUE))</f>
        <v>0</v>
      </c>
      <c r="L1305" s="4" t="b">
        <f>AND(((G1305 &lt;&gt; "plain")=TRUE), ((G1305 &lt;&gt; "")=TRUE))</f>
        <v>0</v>
      </c>
      <c r="M1305" s="4" t="str">
        <f>IF(((E1305)=TRUE),  C1305 &amp; "|" &amp; H1305,  "")</f>
        <v>principal-process-steward|RequirementSatisfactions</v>
      </c>
      <c r="N1305" s="3" t="s">
        <v>10004</v>
      </c>
    </row>
    <row r="1306">
      <c r="A1306" s="3" t="s">
        <v>11308</v>
      </c>
      <c r="B1306" s="4" t="str">
        <f>C1306 &amp; " -&gt; " &amp; D1306</f>
        <v>principal-process-steward -&gt; RequirementSatisfactions.EvaluatedAt</v>
      </c>
      <c r="C1306" s="3" t="s">
        <v>9772</v>
      </c>
      <c r="D1306" s="3" t="s">
        <v>3781</v>
      </c>
      <c r="E1306" s="3" t="b">
        <v>1</v>
      </c>
      <c r="F1306" s="3" t="b">
        <v>0</v>
      </c>
      <c r="G1306" s="3" t="s">
        <v>10003</v>
      </c>
      <c r="H1306" s="4" t="str">
        <f>_xlfn.IFNA(IF(((INDEX(RulebookFields!C2:C1898, MATCH(D1306,RulebookFields!A2:A1898, 0))="")=TRUE),  "",  INDEX(RulebookFields!C2:C1898, MATCH(D1306,RulebookFields!A2:A1898, 0))), "")</f>
        <v>RequirementSatisfactions</v>
      </c>
      <c r="I1306" s="4" t="str">
        <f>_xlfn.IFNA(IF(((INDEX(RulebookFields!D2:D1898, MATCH(D1306,RulebookFields!A2:A1898, 0))="")=TRUE),  "",  INDEX(RulebookFields!D2:D1898, MATCH(D1306,RulebookFields!A2:A1898, 0))), "")</f>
        <v>EvaluatedAt</v>
      </c>
      <c r="J1306" s="4" t="b">
        <f>_xlfn.IFNA(IF(((INDEX(RulebookFields!I2:I1898, MATCH(D1306,RulebookFields!A2:A1898, 0))="")=TRUE),  "",  INDEX(RulebookFields!I2:I1898, MATCH(D1306,RulebookFields!A2:A1898, 0))), "")</f>
        <v>0</v>
      </c>
      <c r="K1306" s="4" t="b">
        <f>AND(((F1306)=TRUE), ((J1306)=TRUE))</f>
        <v>0</v>
      </c>
      <c r="L1306" s="4" t="b">
        <f>AND(((G1306 &lt;&gt; "plain")=TRUE), ((G1306 &lt;&gt; "")=TRUE))</f>
        <v>0</v>
      </c>
      <c r="M1306" s="4" t="str">
        <f>IF(((E1306)=TRUE),  C1306 &amp; "|" &amp; H1306,  "")</f>
        <v>principal-process-steward|RequirementSatisfactions</v>
      </c>
      <c r="N1306" s="3" t="s">
        <v>10004</v>
      </c>
    </row>
    <row r="1307">
      <c r="A1307" s="3" t="s">
        <v>11309</v>
      </c>
      <c r="B1307" s="4" t="str">
        <f>C1307 &amp; " -&gt; " &amp; D1307</f>
        <v>principal-process-steward -&gt; RequirementSatisfactions.RequirementIsBlocking</v>
      </c>
      <c r="C1307" s="3" t="s">
        <v>9772</v>
      </c>
      <c r="D1307" s="3" t="s">
        <v>3782</v>
      </c>
      <c r="E1307" s="3" t="b">
        <v>1</v>
      </c>
      <c r="F1307" s="3" t="b">
        <v>0</v>
      </c>
      <c r="G1307" s="3" t="s">
        <v>10003</v>
      </c>
      <c r="H1307" s="4" t="str">
        <f>_xlfn.IFNA(IF(((INDEX(RulebookFields!C2:C1898, MATCH(D1307,RulebookFields!A2:A1898, 0))="")=TRUE),  "",  INDEX(RulebookFields!C2:C1898, MATCH(D1307,RulebookFields!A2:A1898, 0))), "")</f>
        <v>RequirementSatisfactions</v>
      </c>
      <c r="I1307" s="4" t="str">
        <f>_xlfn.IFNA(IF(((INDEX(RulebookFields!D2:D1898, MATCH(D1307,RulebookFields!A2:A1898, 0))="")=TRUE),  "",  INDEX(RulebookFields!D2:D1898, MATCH(D1307,RulebookFields!A2:A1898, 0))), "")</f>
        <v>RequirementIsBlocking</v>
      </c>
      <c r="J1307" s="4" t="b">
        <f>_xlfn.IFNA(IF(((INDEX(RulebookFields!I2:I1898, MATCH(D1307,RulebookFields!A2:A1898, 0))="")=TRUE),  "",  INDEX(RulebookFields!I2:I1898, MATCH(D1307,RulebookFields!A2:A1898, 0))), "")</f>
        <v>1</v>
      </c>
      <c r="K1307" s="4" t="b">
        <f>AND(((F1307)=TRUE), ((J1307)=TRUE))</f>
        <v>0</v>
      </c>
      <c r="L1307" s="4" t="b">
        <f>AND(((G1307 &lt;&gt; "plain")=TRUE), ((G1307 &lt;&gt; "")=TRUE))</f>
        <v>0</v>
      </c>
      <c r="M1307" s="4" t="str">
        <f>IF(((E1307)=TRUE),  C1307 &amp; "|" &amp; H1307,  "")</f>
        <v>principal-process-steward|RequirementSatisfactions</v>
      </c>
      <c r="N1307" s="3" t="s">
        <v>10004</v>
      </c>
    </row>
    <row r="1308">
      <c r="A1308" s="3" t="s">
        <v>11310</v>
      </c>
      <c r="B1308" s="4" t="str">
        <f>C1308 &amp; " -&gt; " &amp; D1308</f>
        <v>principal-process-steward -&gt; RequirementSatisfactions.IsFullySatisfied</v>
      </c>
      <c r="C1308" s="3" t="s">
        <v>9772</v>
      </c>
      <c r="D1308" s="3" t="s">
        <v>3783</v>
      </c>
      <c r="E1308" s="3" t="b">
        <v>1</v>
      </c>
      <c r="F1308" s="3" t="b">
        <v>0</v>
      </c>
      <c r="G1308" s="3" t="s">
        <v>10003</v>
      </c>
      <c r="H1308" s="4" t="str">
        <f>_xlfn.IFNA(IF(((INDEX(RulebookFields!C2:C1898, MATCH(D1308,RulebookFields!A2:A1898, 0))="")=TRUE),  "",  INDEX(RulebookFields!C2:C1898, MATCH(D1308,RulebookFields!A2:A1898, 0))), "")</f>
        <v>RequirementSatisfactions</v>
      </c>
      <c r="I1308" s="4" t="str">
        <f>_xlfn.IFNA(IF(((INDEX(RulebookFields!D2:D1898, MATCH(D1308,RulebookFields!A2:A1898, 0))="")=TRUE),  "",  INDEX(RulebookFields!D2:D1898, MATCH(D1308,RulebookFields!A2:A1898, 0))), "")</f>
        <v>IsFullySatisfied</v>
      </c>
      <c r="J1308" s="4" t="b">
        <f>_xlfn.IFNA(IF(((INDEX(RulebookFields!I2:I1898, MATCH(D1308,RulebookFields!A2:A1898, 0))="")=TRUE),  "",  INDEX(RulebookFields!I2:I1898, MATCH(D1308,RulebookFields!A2:A1898, 0))), "")</f>
        <v>1</v>
      </c>
      <c r="K1308" s="4" t="b">
        <f>AND(((F1308)=TRUE), ((J1308)=TRUE))</f>
        <v>0</v>
      </c>
      <c r="L1308" s="4" t="b">
        <f>AND(((G1308 &lt;&gt; "plain")=TRUE), ((G1308 &lt;&gt; "")=TRUE))</f>
        <v>0</v>
      </c>
      <c r="M1308" s="4" t="str">
        <f>IF(((E1308)=TRUE),  C1308 &amp; "|" &amp; H1308,  "")</f>
        <v>principal-process-steward|RequirementSatisfactions</v>
      </c>
      <c r="N1308" s="3" t="s">
        <v>10004</v>
      </c>
    </row>
    <row r="1309">
      <c r="A1309" s="3" t="s">
        <v>11311</v>
      </c>
      <c r="B1309" s="4" t="str">
        <f>C1309 &amp; " -&gt; " &amp; D1309</f>
        <v>principal-process-steward -&gt; RequirementSatisfactions.IsBlockingAndUnmet</v>
      </c>
      <c r="C1309" s="3" t="s">
        <v>9772</v>
      </c>
      <c r="D1309" s="3" t="s">
        <v>865</v>
      </c>
      <c r="E1309" s="3" t="b">
        <v>1</v>
      </c>
      <c r="F1309" s="3" t="b">
        <v>0</v>
      </c>
      <c r="G1309" s="3" t="s">
        <v>10003</v>
      </c>
      <c r="H1309" s="4" t="str">
        <f>_xlfn.IFNA(IF(((INDEX(RulebookFields!C2:C1898, MATCH(D1309,RulebookFields!A2:A1898, 0))="")=TRUE),  "",  INDEX(RulebookFields!C2:C1898, MATCH(D1309,RulebookFields!A2:A1898, 0))), "")</f>
        <v>RequirementSatisfactions</v>
      </c>
      <c r="I1309" s="4" t="str">
        <f>_xlfn.IFNA(IF(((INDEX(RulebookFields!D2:D1898, MATCH(D1309,RulebookFields!A2:A1898, 0))="")=TRUE),  "",  INDEX(RulebookFields!D2:D1898, MATCH(D1309,RulebookFields!A2:A1898, 0))), "")</f>
        <v>IsBlockingAndUnmet</v>
      </c>
      <c r="J1309" s="4" t="b">
        <f>_xlfn.IFNA(IF(((INDEX(RulebookFields!I2:I1898, MATCH(D1309,RulebookFields!A2:A1898, 0))="")=TRUE),  "",  INDEX(RulebookFields!I2:I1898, MATCH(D1309,RulebookFields!A2:A1898, 0))), "")</f>
        <v>1</v>
      </c>
      <c r="K1309" s="4" t="b">
        <f>AND(((F1309)=TRUE), ((J1309)=TRUE))</f>
        <v>0</v>
      </c>
      <c r="L1309" s="4" t="b">
        <f>AND(((G1309 &lt;&gt; "plain")=TRUE), ((G1309 &lt;&gt; "")=TRUE))</f>
        <v>0</v>
      </c>
      <c r="M1309" s="4" t="str">
        <f>IF(((E1309)=TRUE),  C1309 &amp; "|" &amp; H1309,  "")</f>
        <v>principal-process-steward|RequirementSatisfactions</v>
      </c>
      <c r="N1309" s="3" t="s">
        <v>10004</v>
      </c>
    </row>
    <row r="1310">
      <c r="A1310" s="3" t="s">
        <v>11312</v>
      </c>
      <c r="B1310" s="4" t="str">
        <f>C1310 &amp; " -&gt; " &amp; D1310</f>
        <v>principal-process-steward -&gt; RequirementSatisfactions.BlockingUnmetStepKey</v>
      </c>
      <c r="C1310" s="3" t="s">
        <v>9772</v>
      </c>
      <c r="D1310" s="3" t="s">
        <v>3786</v>
      </c>
      <c r="E1310" s="3" t="b">
        <v>1</v>
      </c>
      <c r="F1310" s="3" t="b">
        <v>0</v>
      </c>
      <c r="G1310" s="3" t="s">
        <v>10003</v>
      </c>
      <c r="H1310" s="4" t="str">
        <f>_xlfn.IFNA(IF(((INDEX(RulebookFields!C2:C1898, MATCH(D1310,RulebookFields!A2:A1898, 0))="")=TRUE),  "",  INDEX(RulebookFields!C2:C1898, MATCH(D1310,RulebookFields!A2:A1898, 0))), "")</f>
        <v>RequirementSatisfactions</v>
      </c>
      <c r="I1310" s="4" t="str">
        <f>_xlfn.IFNA(IF(((INDEX(RulebookFields!D2:D1898, MATCH(D1310,RulebookFields!A2:A1898, 0))="")=TRUE),  "",  INDEX(RulebookFields!D2:D1898, MATCH(D1310,RulebookFields!A2:A1898, 0))), "")</f>
        <v>BlockingUnmetStepKey</v>
      </c>
      <c r="J1310" s="4" t="b">
        <f>_xlfn.IFNA(IF(((INDEX(RulebookFields!I2:I1898, MATCH(D1310,RulebookFields!A2:A1898, 0))="")=TRUE),  "",  INDEX(RulebookFields!I2:I1898, MATCH(D1310,RulebookFields!A2:A1898, 0))), "")</f>
        <v>1</v>
      </c>
      <c r="K1310" s="4" t="b">
        <f>AND(((F1310)=TRUE), ((J1310)=TRUE))</f>
        <v>0</v>
      </c>
      <c r="L1310" s="4" t="b">
        <f>AND(((G1310 &lt;&gt; "plain")=TRUE), ((G1310 &lt;&gt; "")=TRUE))</f>
        <v>0</v>
      </c>
      <c r="M1310" s="4" t="str">
        <f>IF(((E1310)=TRUE),  C1310 &amp; "|" &amp; H1310,  "")</f>
        <v>principal-process-steward|RequirementSatisfactions</v>
      </c>
      <c r="N1310" s="3" t="s">
        <v>10004</v>
      </c>
    </row>
    <row r="1311">
      <c r="A1311" s="3" t="s">
        <v>11313</v>
      </c>
      <c r="B1311" s="4" t="str">
        <f>C1311 &amp; " -&gt; " &amp; D1311</f>
        <v>principal-process-steward -&gt; RequirementSatisfactions.BlockingSatisfactionStepKey</v>
      </c>
      <c r="C1311" s="3" t="s">
        <v>9772</v>
      </c>
      <c r="D1311" s="3" t="s">
        <v>3788</v>
      </c>
      <c r="E1311" s="3" t="b">
        <v>1</v>
      </c>
      <c r="F1311" s="3" t="b">
        <v>0</v>
      </c>
      <c r="G1311" s="3" t="s">
        <v>10003</v>
      </c>
      <c r="H1311" s="4" t="str">
        <f>_xlfn.IFNA(IF(((INDEX(RulebookFields!C2:C1898, MATCH(D1311,RulebookFields!A2:A1898, 0))="")=TRUE),  "",  INDEX(RulebookFields!C2:C1898, MATCH(D1311,RulebookFields!A2:A1898, 0))), "")</f>
        <v>RequirementSatisfactions</v>
      </c>
      <c r="I1311" s="4" t="str">
        <f>_xlfn.IFNA(IF(((INDEX(RulebookFields!D2:D1898, MATCH(D1311,RulebookFields!A2:A1898, 0))="")=TRUE),  "",  INDEX(RulebookFields!D2:D1898, MATCH(D1311,RulebookFields!A2:A1898, 0))), "")</f>
        <v>BlockingSatisfactionStepKey</v>
      </c>
      <c r="J1311" s="4" t="b">
        <f>_xlfn.IFNA(IF(((INDEX(RulebookFields!I2:I1898, MATCH(D1311,RulebookFields!A2:A1898, 0))="")=TRUE),  "",  INDEX(RulebookFields!I2:I1898, MATCH(D1311,RulebookFields!A2:A1898, 0))), "")</f>
        <v>1</v>
      </c>
      <c r="K1311" s="4" t="b">
        <f>AND(((F1311)=TRUE), ((J1311)=TRUE))</f>
        <v>0</v>
      </c>
      <c r="L1311" s="4" t="b">
        <f>AND(((G1311 &lt;&gt; "plain")=TRUE), ((G1311 &lt;&gt; "")=TRUE))</f>
        <v>0</v>
      </c>
      <c r="M1311" s="4" t="str">
        <f>IF(((E1311)=TRUE),  C1311 &amp; "|" &amp; H1311,  "")</f>
        <v>principal-process-steward|RequirementSatisfactions</v>
      </c>
      <c r="N1311" s="3" t="s">
        <v>10004</v>
      </c>
    </row>
    <row r="1312">
      <c r="A1312" s="3" t="s">
        <v>11314</v>
      </c>
      <c r="B1312" s="4" t="str">
        <f>C1312 &amp; " -&gt; " &amp; D1312</f>
        <v>principal-process-steward -&gt; RequirementSatisfactions.NegativeOutcomeRequirementKey</v>
      </c>
      <c r="C1312" s="3" t="s">
        <v>9772</v>
      </c>
      <c r="D1312" s="3" t="s">
        <v>3790</v>
      </c>
      <c r="E1312" s="3" t="b">
        <v>1</v>
      </c>
      <c r="F1312" s="3" t="b">
        <v>0</v>
      </c>
      <c r="G1312" s="3" t="s">
        <v>10003</v>
      </c>
      <c r="H1312" s="4" t="str">
        <f>_xlfn.IFNA(IF(((INDEX(RulebookFields!C2:C1898, MATCH(D1312,RulebookFields!A2:A1898, 0))="")=TRUE),  "",  INDEX(RulebookFields!C2:C1898, MATCH(D1312,RulebookFields!A2:A1898, 0))), "")</f>
        <v>RequirementSatisfactions</v>
      </c>
      <c r="I1312" s="4" t="str">
        <f>_xlfn.IFNA(IF(((INDEX(RulebookFields!D2:D1898, MATCH(D1312,RulebookFields!A2:A1898, 0))="")=TRUE),  "",  INDEX(RulebookFields!D2:D1898, MATCH(D1312,RulebookFields!A2:A1898, 0))), "")</f>
        <v>NegativeOutcomeRequirementKey</v>
      </c>
      <c r="J1312" s="4" t="b">
        <f>_xlfn.IFNA(IF(((INDEX(RulebookFields!I2:I1898, MATCH(D1312,RulebookFields!A2:A1898, 0))="")=TRUE),  "",  INDEX(RulebookFields!I2:I1898, MATCH(D1312,RulebookFields!A2:A1898, 0))), "")</f>
        <v>1</v>
      </c>
      <c r="K1312" s="4" t="b">
        <f>AND(((F1312)=TRUE), ((J1312)=TRUE))</f>
        <v>0</v>
      </c>
      <c r="L1312" s="4" t="b">
        <f>AND(((G1312 &lt;&gt; "plain")=TRUE), ((G1312 &lt;&gt; "")=TRUE))</f>
        <v>0</v>
      </c>
      <c r="M1312" s="4" t="str">
        <f>IF(((E1312)=TRUE),  C1312 &amp; "|" &amp; H1312,  "")</f>
        <v>principal-process-steward|RequirementSatisfactions</v>
      </c>
      <c r="N1312" s="3" t="s">
        <v>10004</v>
      </c>
    </row>
    <row r="1313">
      <c r="A1313" s="3" t="s">
        <v>11315</v>
      </c>
      <c r="B1313" s="4" t="str">
        <f>C1313 &amp; " -&gt; " &amp; D1313</f>
        <v>principal-process-steward -&gt; RequirementSatisfactions.EvaluatorAgentKind</v>
      </c>
      <c r="C1313" s="3" t="s">
        <v>9772</v>
      </c>
      <c r="D1313" s="3" t="s">
        <v>3792</v>
      </c>
      <c r="E1313" s="3" t="b">
        <v>1</v>
      </c>
      <c r="F1313" s="3" t="b">
        <v>0</v>
      </c>
      <c r="G1313" s="3" t="s">
        <v>10003</v>
      </c>
      <c r="H1313" s="4" t="str">
        <f>_xlfn.IFNA(IF(((INDEX(RulebookFields!C2:C1898, MATCH(D1313,RulebookFields!A2:A1898, 0))="")=TRUE),  "",  INDEX(RulebookFields!C2:C1898, MATCH(D1313,RulebookFields!A2:A1898, 0))), "")</f>
        <v>RequirementSatisfactions</v>
      </c>
      <c r="I1313" s="4" t="str">
        <f>_xlfn.IFNA(IF(((INDEX(RulebookFields!D2:D1898, MATCH(D1313,RulebookFields!A2:A1898, 0))="")=TRUE),  "",  INDEX(RulebookFields!D2:D1898, MATCH(D1313,RulebookFields!A2:A1898, 0))), "")</f>
        <v>EvaluatorAgentKind</v>
      </c>
      <c r="J1313" s="4" t="b">
        <f>_xlfn.IFNA(IF(((INDEX(RulebookFields!I2:I1898, MATCH(D1313,RulebookFields!A2:A1898, 0))="")=TRUE),  "",  INDEX(RulebookFields!I2:I1898, MATCH(D1313,RulebookFields!A2:A1898, 0))), "")</f>
        <v>1</v>
      </c>
      <c r="K1313" s="4" t="b">
        <f>AND(((F1313)=TRUE), ((J1313)=TRUE))</f>
        <v>0</v>
      </c>
      <c r="L1313" s="4" t="b">
        <f>AND(((G1313 &lt;&gt; "plain")=TRUE), ((G1313 &lt;&gt; "")=TRUE))</f>
        <v>0</v>
      </c>
      <c r="M1313" s="4" t="str">
        <f>IF(((E1313)=TRUE),  C1313 &amp; "|" &amp; H1313,  "")</f>
        <v>principal-process-steward|RequirementSatisfactions</v>
      </c>
      <c r="N1313" s="3" t="s">
        <v>10004</v>
      </c>
    </row>
    <row r="1314">
      <c r="A1314" s="3" t="s">
        <v>11316</v>
      </c>
      <c r="B1314" s="4" t="str">
        <f>C1314 &amp; " -&gt; " &amp; D1314</f>
        <v>principal-process-steward -&gt; RequirementSatisfactions.NonHumanEvaluatedHumanControl</v>
      </c>
      <c r="C1314" s="3" t="s">
        <v>9772</v>
      </c>
      <c r="D1314" s="3" t="s">
        <v>3794</v>
      </c>
      <c r="E1314" s="3" t="b">
        <v>1</v>
      </c>
      <c r="F1314" s="3" t="b">
        <v>0</v>
      </c>
      <c r="G1314" s="3" t="s">
        <v>10003</v>
      </c>
      <c r="H1314" s="4" t="str">
        <f>_xlfn.IFNA(IF(((INDEX(RulebookFields!C2:C1898, MATCH(D1314,RulebookFields!A2:A1898, 0))="")=TRUE),  "",  INDEX(RulebookFields!C2:C1898, MATCH(D1314,RulebookFields!A2:A1898, 0))), "")</f>
        <v>RequirementSatisfactions</v>
      </c>
      <c r="I1314" s="4" t="str">
        <f>_xlfn.IFNA(IF(((INDEX(RulebookFields!D2:D1898, MATCH(D1314,RulebookFields!A2:A1898, 0))="")=TRUE),  "",  INDEX(RulebookFields!D2:D1898, MATCH(D1314,RulebookFields!A2:A1898, 0))), "")</f>
        <v>NonHumanEvaluatedHumanControl</v>
      </c>
      <c r="J1314" s="4" t="b">
        <f>_xlfn.IFNA(IF(((INDEX(RulebookFields!I2:I1898, MATCH(D1314,RulebookFields!A2:A1898, 0))="")=TRUE),  "",  INDEX(RulebookFields!I2:I1898, MATCH(D1314,RulebookFields!A2:A1898, 0))), "")</f>
        <v>1</v>
      </c>
      <c r="K1314" s="4" t="b">
        <f>AND(((F1314)=TRUE), ((J1314)=TRUE))</f>
        <v>0</v>
      </c>
      <c r="L1314" s="4" t="b">
        <f>AND(((G1314 &lt;&gt; "plain")=TRUE), ((G1314 &lt;&gt; "")=TRUE))</f>
        <v>0</v>
      </c>
      <c r="M1314" s="4" t="str">
        <f>IF(((E1314)=TRUE),  C1314 &amp; "|" &amp; H1314,  "")</f>
        <v>principal-process-steward|RequirementSatisfactions</v>
      </c>
      <c r="N1314" s="3" t="s">
        <v>10004</v>
      </c>
    </row>
    <row r="1315">
      <c r="A1315" s="3" t="s">
        <v>11317</v>
      </c>
      <c r="B1315" s="4" t="str">
        <f>C1315 &amp; " -&gt; " &amp; D1315</f>
        <v>principal-process-steward -&gt; RequirementSatisfactions.RequirementHasComputedWitness</v>
      </c>
      <c r="C1315" s="3" t="s">
        <v>9772</v>
      </c>
      <c r="D1315" s="3" t="s">
        <v>3796</v>
      </c>
      <c r="E1315" s="3" t="b">
        <v>1</v>
      </c>
      <c r="F1315" s="3" t="b">
        <v>0</v>
      </c>
      <c r="G1315" s="3" t="s">
        <v>10003</v>
      </c>
      <c r="H1315" s="4" t="str">
        <f>_xlfn.IFNA(IF(((INDEX(RulebookFields!C2:C1898, MATCH(D1315,RulebookFields!A2:A1898, 0))="")=TRUE),  "",  INDEX(RulebookFields!C2:C1898, MATCH(D1315,RulebookFields!A2:A1898, 0))), "")</f>
        <v>RequirementSatisfactions</v>
      </c>
      <c r="I1315" s="4" t="str">
        <f>_xlfn.IFNA(IF(((INDEX(RulebookFields!D2:D1898, MATCH(D1315,RulebookFields!A2:A1898, 0))="")=TRUE),  "",  INDEX(RulebookFields!D2:D1898, MATCH(D1315,RulebookFields!A2:A1898, 0))), "")</f>
        <v>RequirementHasComputedWitness</v>
      </c>
      <c r="J1315" s="4" t="b">
        <f>_xlfn.IFNA(IF(((INDEX(RulebookFields!I2:I1898, MATCH(D1315,RulebookFields!A2:A1898, 0))="")=TRUE),  "",  INDEX(RulebookFields!I2:I1898, MATCH(D1315,RulebookFields!A2:A1898, 0))), "")</f>
        <v>1</v>
      </c>
      <c r="K1315" s="4" t="b">
        <f>AND(((F1315)=TRUE), ((J1315)=TRUE))</f>
        <v>0</v>
      </c>
      <c r="L1315" s="4" t="b">
        <f>AND(((G1315 &lt;&gt; "plain")=TRUE), ((G1315 &lt;&gt; "")=TRUE))</f>
        <v>0</v>
      </c>
      <c r="M1315" s="4" t="str">
        <f>IF(((E1315)=TRUE),  C1315 &amp; "|" &amp; H1315,  "")</f>
        <v>principal-process-steward|RequirementSatisfactions</v>
      </c>
      <c r="N1315" s="3" t="s">
        <v>10004</v>
      </c>
    </row>
    <row r="1316">
      <c r="A1316" s="3" t="s">
        <v>11318</v>
      </c>
      <c r="B1316" s="4" t="str">
        <f>C1316 &amp; " -&gt; " &amp; D1316</f>
        <v>principal-process-steward -&gt; RequirementSatisfactions.IsAssertedOnly</v>
      </c>
      <c r="C1316" s="3" t="s">
        <v>9772</v>
      </c>
      <c r="D1316" s="3" t="s">
        <v>3798</v>
      </c>
      <c r="E1316" s="3" t="b">
        <v>1</v>
      </c>
      <c r="F1316" s="3" t="b">
        <v>0</v>
      </c>
      <c r="G1316" s="3" t="s">
        <v>10003</v>
      </c>
      <c r="H1316" s="4" t="str">
        <f>_xlfn.IFNA(IF(((INDEX(RulebookFields!C2:C1898, MATCH(D1316,RulebookFields!A2:A1898, 0))="")=TRUE),  "",  INDEX(RulebookFields!C2:C1898, MATCH(D1316,RulebookFields!A2:A1898, 0))), "")</f>
        <v>RequirementSatisfactions</v>
      </c>
      <c r="I1316" s="4" t="str">
        <f>_xlfn.IFNA(IF(((INDEX(RulebookFields!D2:D1898, MATCH(D1316,RulebookFields!A2:A1898, 0))="")=TRUE),  "",  INDEX(RulebookFields!D2:D1898, MATCH(D1316,RulebookFields!A2:A1898, 0))), "")</f>
        <v>IsAssertedOnly</v>
      </c>
      <c r="J1316" s="4" t="b">
        <f>_xlfn.IFNA(IF(((INDEX(RulebookFields!I2:I1898, MATCH(D1316,RulebookFields!A2:A1898, 0))="")=TRUE),  "",  INDEX(RulebookFields!I2:I1898, MATCH(D1316,RulebookFields!A2:A1898, 0))), "")</f>
        <v>1</v>
      </c>
      <c r="K1316" s="4" t="b">
        <f>AND(((F1316)=TRUE), ((J1316)=TRUE))</f>
        <v>0</v>
      </c>
      <c r="L1316" s="4" t="b">
        <f>AND(((G1316 &lt;&gt; "plain")=TRUE), ((G1316 &lt;&gt; "")=TRUE))</f>
        <v>0</v>
      </c>
      <c r="M1316" s="4" t="str">
        <f>IF(((E1316)=TRUE),  C1316 &amp; "|" &amp; H1316,  "")</f>
        <v>principal-process-steward|RequirementSatisfactions</v>
      </c>
      <c r="N1316" s="3" t="s">
        <v>10004</v>
      </c>
    </row>
    <row r="1317">
      <c r="A1317" s="3" t="s">
        <v>11319</v>
      </c>
      <c r="B1317" s="4" t="str">
        <f>C1317 &amp; " -&gt; " &amp; D1317</f>
        <v>principal-process-steward -&gt; RequirementSatisfactions.AssertedOnlyExecutionKey</v>
      </c>
      <c r="C1317" s="3" t="s">
        <v>9772</v>
      </c>
      <c r="D1317" s="3" t="s">
        <v>3800</v>
      </c>
      <c r="E1317" s="3" t="b">
        <v>1</v>
      </c>
      <c r="F1317" s="3" t="b">
        <v>0</v>
      </c>
      <c r="G1317" s="3" t="s">
        <v>10003</v>
      </c>
      <c r="H1317" s="4" t="str">
        <f>_xlfn.IFNA(IF(((INDEX(RulebookFields!C2:C1898, MATCH(D1317,RulebookFields!A2:A1898, 0))="")=TRUE),  "",  INDEX(RulebookFields!C2:C1898, MATCH(D1317,RulebookFields!A2:A1898, 0))), "")</f>
        <v>RequirementSatisfactions</v>
      </c>
      <c r="I1317" s="4" t="str">
        <f>_xlfn.IFNA(IF(((INDEX(RulebookFields!D2:D1898, MATCH(D1317,RulebookFields!A2:A1898, 0))="")=TRUE),  "",  INDEX(RulebookFields!D2:D1898, MATCH(D1317,RulebookFields!A2:A1898, 0))), "")</f>
        <v>AssertedOnlyExecutionKey</v>
      </c>
      <c r="J1317" s="4" t="b">
        <f>_xlfn.IFNA(IF(((INDEX(RulebookFields!I2:I1898, MATCH(D1317,RulebookFields!A2:A1898, 0))="")=TRUE),  "",  INDEX(RulebookFields!I2:I1898, MATCH(D1317,RulebookFields!A2:A1898, 0))), "")</f>
        <v>1</v>
      </c>
      <c r="K1317" s="4" t="b">
        <f>AND(((F1317)=TRUE), ((J1317)=TRUE))</f>
        <v>0</v>
      </c>
      <c r="L1317" s="4" t="b">
        <f>AND(((G1317 &lt;&gt; "plain")=TRUE), ((G1317 &lt;&gt; "")=TRUE))</f>
        <v>0</v>
      </c>
      <c r="M1317" s="4" t="str">
        <f>IF(((E1317)=TRUE),  C1317 &amp; "|" &amp; H1317,  "")</f>
        <v>principal-process-steward|RequirementSatisfactions</v>
      </c>
      <c r="N1317" s="3" t="s">
        <v>10004</v>
      </c>
    </row>
    <row r="1318">
      <c r="A1318" s="3" t="s">
        <v>11320</v>
      </c>
      <c r="B1318" s="4" t="str">
        <f>C1318 &amp; " -&gt; " &amp; D1318</f>
        <v>principal-process-steward -&gt; RequirementSatisfactions.ParentProcedureExecution</v>
      </c>
      <c r="C1318" s="3" t="s">
        <v>9772</v>
      </c>
      <c r="D1318" s="3" t="s">
        <v>3802</v>
      </c>
      <c r="E1318" s="3" t="b">
        <v>1</v>
      </c>
      <c r="F1318" s="3" t="b">
        <v>0</v>
      </c>
      <c r="G1318" s="3" t="s">
        <v>10003</v>
      </c>
      <c r="H1318" s="4" t="str">
        <f>_xlfn.IFNA(IF(((INDEX(RulebookFields!C2:C1898, MATCH(D1318,RulebookFields!A2:A1898, 0))="")=TRUE),  "",  INDEX(RulebookFields!C2:C1898, MATCH(D1318,RulebookFields!A2:A1898, 0))), "")</f>
        <v>RequirementSatisfactions</v>
      </c>
      <c r="I1318" s="4" t="str">
        <f>_xlfn.IFNA(IF(((INDEX(RulebookFields!D2:D1898, MATCH(D1318,RulebookFields!A2:A1898, 0))="")=TRUE),  "",  INDEX(RulebookFields!D2:D1898, MATCH(D1318,RulebookFields!A2:A1898, 0))), "")</f>
        <v>ParentProcedureExecution</v>
      </c>
      <c r="J1318" s="4" t="b">
        <f>_xlfn.IFNA(IF(((INDEX(RulebookFields!I2:I1898, MATCH(D1318,RulebookFields!A2:A1898, 0))="")=TRUE),  "",  INDEX(RulebookFields!I2:I1898, MATCH(D1318,RulebookFields!A2:A1898, 0))), "")</f>
        <v>1</v>
      </c>
      <c r="K1318" s="4" t="b">
        <f>AND(((F1318)=TRUE), ((J1318)=TRUE))</f>
        <v>0</v>
      </c>
      <c r="L1318" s="4" t="b">
        <f>AND(((G1318 &lt;&gt; "plain")=TRUE), ((G1318 &lt;&gt; "")=TRUE))</f>
        <v>0</v>
      </c>
      <c r="M1318" s="4" t="str">
        <f>IF(((E1318)=TRUE),  C1318 &amp; "|" &amp; H1318,  "")</f>
        <v>principal-process-steward|RequirementSatisfactions</v>
      </c>
      <c r="N1318" s="3" t="s">
        <v>10004</v>
      </c>
    </row>
    <row r="1319">
      <c r="A1319" s="3" t="s">
        <v>11321</v>
      </c>
      <c r="B1319" s="4" t="str">
        <f>C1319 &amp; " -&gt; " &amp; D1319</f>
        <v>principal-process-steward -&gt; RequirementSatisfactions.StepExecutionWhenScored</v>
      </c>
      <c r="C1319" s="3" t="s">
        <v>9772</v>
      </c>
      <c r="D1319" s="3" t="s">
        <v>3804</v>
      </c>
      <c r="E1319" s="3" t="b">
        <v>1</v>
      </c>
      <c r="F1319" s="3" t="b">
        <v>0</v>
      </c>
      <c r="G1319" s="3" t="s">
        <v>10003</v>
      </c>
      <c r="H1319" s="4" t="str">
        <f>_xlfn.IFNA(IF(((INDEX(RulebookFields!C2:C1898, MATCH(D1319,RulebookFields!A2:A1898, 0))="")=TRUE),  "",  INDEX(RulebookFields!C2:C1898, MATCH(D1319,RulebookFields!A2:A1898, 0))), "")</f>
        <v>RequirementSatisfactions</v>
      </c>
      <c r="I1319" s="4" t="str">
        <f>_xlfn.IFNA(IF(((INDEX(RulebookFields!D2:D1898, MATCH(D1319,RulebookFields!A2:A1898, 0))="")=TRUE),  "",  INDEX(RulebookFields!D2:D1898, MATCH(D1319,RulebookFields!A2:A1898, 0))), "")</f>
        <v>StepExecutionWhenScored</v>
      </c>
      <c r="J1319" s="4" t="b">
        <f>_xlfn.IFNA(IF(((INDEX(RulebookFields!I2:I1898, MATCH(D1319,RulebookFields!A2:A1898, 0))="")=TRUE),  "",  INDEX(RulebookFields!I2:I1898, MATCH(D1319,RulebookFields!A2:A1898, 0))), "")</f>
        <v>1</v>
      </c>
      <c r="K1319" s="4" t="b">
        <f>AND(((F1319)=TRUE), ((J1319)=TRUE))</f>
        <v>0</v>
      </c>
      <c r="L1319" s="4" t="b">
        <f>AND(((G1319 &lt;&gt; "plain")=TRUE), ((G1319 &lt;&gt; "")=TRUE))</f>
        <v>0</v>
      </c>
      <c r="M1319" s="4" t="str">
        <f>IF(((E1319)=TRUE),  C1319 &amp; "|" &amp; H1319,  "")</f>
        <v>principal-process-steward|RequirementSatisfactions</v>
      </c>
      <c r="N1319" s="3" t="s">
        <v>10004</v>
      </c>
    </row>
    <row r="1320">
      <c r="A1320" s="3" t="s">
        <v>11322</v>
      </c>
      <c r="B1320" s="4" t="str">
        <f>C1320 &amp; " -&gt; " &amp; D1320</f>
        <v>principal-process-steward -&gt; RequirementSatisfactions.IsHumanEvaluated</v>
      </c>
      <c r="C1320" s="3" t="s">
        <v>9772</v>
      </c>
      <c r="D1320" s="3" t="s">
        <v>3806</v>
      </c>
      <c r="E1320" s="3" t="b">
        <v>1</v>
      </c>
      <c r="F1320" s="3" t="b">
        <v>0</v>
      </c>
      <c r="G1320" s="3" t="s">
        <v>10003</v>
      </c>
      <c r="H1320" s="4" t="str">
        <f>_xlfn.IFNA(IF(((INDEX(RulebookFields!C2:C1898, MATCH(D1320,RulebookFields!A2:A1898, 0))="")=TRUE),  "",  INDEX(RulebookFields!C2:C1898, MATCH(D1320,RulebookFields!A2:A1898, 0))), "")</f>
        <v>RequirementSatisfactions</v>
      </c>
      <c r="I1320" s="4" t="str">
        <f>_xlfn.IFNA(IF(((INDEX(RulebookFields!D2:D1898, MATCH(D1320,RulebookFields!A2:A1898, 0))="")=TRUE),  "",  INDEX(RulebookFields!D2:D1898, MATCH(D1320,RulebookFields!A2:A1898, 0))), "")</f>
        <v>IsHumanEvaluated</v>
      </c>
      <c r="J1320" s="4" t="b">
        <f>_xlfn.IFNA(IF(((INDEX(RulebookFields!I2:I1898, MATCH(D1320,RulebookFields!A2:A1898, 0))="")=TRUE),  "",  INDEX(RulebookFields!I2:I1898, MATCH(D1320,RulebookFields!A2:A1898, 0))), "")</f>
        <v>1</v>
      </c>
      <c r="K1320" s="4" t="b">
        <f>AND(((F1320)=TRUE), ((J1320)=TRUE))</f>
        <v>0</v>
      </c>
      <c r="L1320" s="4" t="b">
        <f>AND(((G1320 &lt;&gt; "plain")=TRUE), ((G1320 &lt;&gt; "")=TRUE))</f>
        <v>0</v>
      </c>
      <c r="M1320" s="4" t="str">
        <f>IF(((E1320)=TRUE),  C1320 &amp; "|" &amp; H1320,  "")</f>
        <v>principal-process-steward|RequirementSatisfactions</v>
      </c>
      <c r="N1320" s="3" t="s">
        <v>10004</v>
      </c>
    </row>
    <row r="1321">
      <c r="A1321" s="3" t="s">
        <v>11323</v>
      </c>
      <c r="B1321" s="4" t="str">
        <f>C1321 &amp; " -&gt; " &amp; D1321</f>
        <v>principal-process-steward -&gt; RequirementSatisfactions.RequirementIsApprovalType</v>
      </c>
      <c r="C1321" s="3" t="s">
        <v>9772</v>
      </c>
      <c r="D1321" s="3" t="s">
        <v>3808</v>
      </c>
      <c r="E1321" s="3" t="b">
        <v>1</v>
      </c>
      <c r="F1321" s="3" t="b">
        <v>0</v>
      </c>
      <c r="G1321" s="3" t="s">
        <v>10003</v>
      </c>
      <c r="H1321" s="4" t="str">
        <f>_xlfn.IFNA(IF(((INDEX(RulebookFields!C2:C1898, MATCH(D1321,RulebookFields!A2:A1898, 0))="")=TRUE),  "",  INDEX(RulebookFields!C2:C1898, MATCH(D1321,RulebookFields!A2:A1898, 0))), "")</f>
        <v>RequirementSatisfactions</v>
      </c>
      <c r="I1321" s="4" t="str">
        <f>_xlfn.IFNA(IF(((INDEX(RulebookFields!D2:D1898, MATCH(D1321,RulebookFields!A2:A1898, 0))="")=TRUE),  "",  INDEX(RulebookFields!D2:D1898, MATCH(D1321,RulebookFields!A2:A1898, 0))), "")</f>
        <v>RequirementIsApprovalType</v>
      </c>
      <c r="J1321" s="4" t="b">
        <f>_xlfn.IFNA(IF(((INDEX(RulebookFields!I2:I1898, MATCH(D1321,RulebookFields!A2:A1898, 0))="")=TRUE),  "",  INDEX(RulebookFields!I2:I1898, MATCH(D1321,RulebookFields!A2:A1898, 0))), "")</f>
        <v>1</v>
      </c>
      <c r="K1321" s="4" t="b">
        <f>AND(((F1321)=TRUE), ((J1321)=TRUE))</f>
        <v>0</v>
      </c>
      <c r="L1321" s="4" t="b">
        <f>AND(((G1321 &lt;&gt; "plain")=TRUE), ((G1321 &lt;&gt; "")=TRUE))</f>
        <v>0</v>
      </c>
      <c r="M1321" s="4" t="str">
        <f>IF(((E1321)=TRUE),  C1321 &amp; "|" &amp; H1321,  "")</f>
        <v>principal-process-steward|RequirementSatisfactions</v>
      </c>
      <c r="N1321" s="3" t="s">
        <v>10004</v>
      </c>
    </row>
    <row r="1322">
      <c r="A1322" s="3" t="s">
        <v>11324</v>
      </c>
      <c r="B1322" s="4" t="str">
        <f>C1322 &amp; " -&gt; " &amp; D1322</f>
        <v>principal-process-steward -&gt; RequirementSatisfactions.IsInvalidApproval</v>
      </c>
      <c r="C1322" s="3" t="s">
        <v>9772</v>
      </c>
      <c r="D1322" s="3" t="s">
        <v>3810</v>
      </c>
      <c r="E1322" s="3" t="b">
        <v>1</v>
      </c>
      <c r="F1322" s="3" t="b">
        <v>0</v>
      </c>
      <c r="G1322" s="3" t="s">
        <v>10003</v>
      </c>
      <c r="H1322" s="4" t="str">
        <f>_xlfn.IFNA(IF(((INDEX(RulebookFields!C2:C1898, MATCH(D1322,RulebookFields!A2:A1898, 0))="")=TRUE),  "",  INDEX(RulebookFields!C2:C1898, MATCH(D1322,RulebookFields!A2:A1898, 0))), "")</f>
        <v>RequirementSatisfactions</v>
      </c>
      <c r="I1322" s="4" t="str">
        <f>_xlfn.IFNA(IF(((INDEX(RulebookFields!D2:D1898, MATCH(D1322,RulebookFields!A2:A1898, 0))="")=TRUE),  "",  INDEX(RulebookFields!D2:D1898, MATCH(D1322,RulebookFields!A2:A1898, 0))), "")</f>
        <v>IsInvalidApproval</v>
      </c>
      <c r="J1322" s="4" t="b">
        <f>_xlfn.IFNA(IF(((INDEX(RulebookFields!I2:I1898, MATCH(D1322,RulebookFields!A2:A1898, 0))="")=TRUE),  "",  INDEX(RulebookFields!I2:I1898, MATCH(D1322,RulebookFields!A2:A1898, 0))), "")</f>
        <v>1</v>
      </c>
      <c r="K1322" s="4" t="b">
        <f>AND(((F1322)=TRUE), ((J1322)=TRUE))</f>
        <v>0</v>
      </c>
      <c r="L1322" s="4" t="b">
        <f>AND(((G1322 &lt;&gt; "plain")=TRUE), ((G1322 &lt;&gt; "")=TRUE))</f>
        <v>0</v>
      </c>
      <c r="M1322" s="4" t="str">
        <f>IF(((E1322)=TRUE),  C1322 &amp; "|" &amp; H1322,  "")</f>
        <v>principal-process-steward|RequirementSatisfactions</v>
      </c>
      <c r="N1322" s="3" t="s">
        <v>10004</v>
      </c>
    </row>
    <row r="1323">
      <c r="A1323" s="3" t="s">
        <v>11325</v>
      </c>
      <c r="B1323" s="4" t="str">
        <f>C1323 &amp; " -&gt; " &amp; D1323</f>
        <v>principal-process-steward -&gt; RequirementSatisfactions.ProcedureExecutionOfSatisfaction</v>
      </c>
      <c r="C1323" s="3" t="s">
        <v>9772</v>
      </c>
      <c r="D1323" s="3" t="s">
        <v>3812</v>
      </c>
      <c r="E1323" s="3" t="b">
        <v>1</v>
      </c>
      <c r="F1323" s="3" t="b">
        <v>0</v>
      </c>
      <c r="G1323" s="3" t="s">
        <v>10003</v>
      </c>
      <c r="H1323" s="4" t="str">
        <f>_xlfn.IFNA(IF(((INDEX(RulebookFields!C2:C1898, MATCH(D1323,RulebookFields!A2:A1898, 0))="")=TRUE),  "",  INDEX(RulebookFields!C2:C1898, MATCH(D1323,RulebookFields!A2:A1898, 0))), "")</f>
        <v>RequirementSatisfactions</v>
      </c>
      <c r="I1323" s="4" t="str">
        <f>_xlfn.IFNA(IF(((INDEX(RulebookFields!D2:D1898, MATCH(D1323,RulebookFields!A2:A1898, 0))="")=TRUE),  "",  INDEX(RulebookFields!D2:D1898, MATCH(D1323,RulebookFields!A2:A1898, 0))), "")</f>
        <v>ProcedureExecutionOfSatisfaction</v>
      </c>
      <c r="J1323" s="4" t="b">
        <f>_xlfn.IFNA(IF(((INDEX(RulebookFields!I2:I1898, MATCH(D1323,RulebookFields!A2:A1898, 0))="")=TRUE),  "",  INDEX(RulebookFields!I2:I1898, MATCH(D1323,RulebookFields!A2:A1898, 0))), "")</f>
        <v>1</v>
      </c>
      <c r="K1323" s="4" t="b">
        <f>AND(((F1323)=TRUE), ((J1323)=TRUE))</f>
        <v>0</v>
      </c>
      <c r="L1323" s="4" t="b">
        <f>AND(((G1323 &lt;&gt; "plain")=TRUE), ((G1323 &lt;&gt; "")=TRUE))</f>
        <v>0</v>
      </c>
      <c r="M1323" s="4" t="str">
        <f>IF(((E1323)=TRUE),  C1323 &amp; "|" &amp; H1323,  "")</f>
        <v>principal-process-steward|RequirementSatisfactions</v>
      </c>
      <c r="N1323" s="3" t="s">
        <v>10004</v>
      </c>
    </row>
    <row r="1324">
      <c r="A1324" s="3" t="s">
        <v>11326</v>
      </c>
      <c r="B1324" s="4" t="str">
        <f>C1324 &amp; " -&gt; " &amp; D1324</f>
        <v>principal-process-steward -&gt; RequirementSatisfactions.RunWhenInvalidApproval</v>
      </c>
      <c r="C1324" s="3" t="s">
        <v>9772</v>
      </c>
      <c r="D1324" s="3" t="s">
        <v>3813</v>
      </c>
      <c r="E1324" s="3" t="b">
        <v>1</v>
      </c>
      <c r="F1324" s="3" t="b">
        <v>0</v>
      </c>
      <c r="G1324" s="3" t="s">
        <v>10003</v>
      </c>
      <c r="H1324" s="4" t="str">
        <f>_xlfn.IFNA(IF(((INDEX(RulebookFields!C2:C1898, MATCH(D1324,RulebookFields!A2:A1898, 0))="")=TRUE),  "",  INDEX(RulebookFields!C2:C1898, MATCH(D1324,RulebookFields!A2:A1898, 0))), "")</f>
        <v>RequirementSatisfactions</v>
      </c>
      <c r="I1324" s="4" t="str">
        <f>_xlfn.IFNA(IF(((INDEX(RulebookFields!D2:D1898, MATCH(D1324,RulebookFields!A2:A1898, 0))="")=TRUE),  "",  INDEX(RulebookFields!D2:D1898, MATCH(D1324,RulebookFields!A2:A1898, 0))), "")</f>
        <v>RunWhenInvalidApproval</v>
      </c>
      <c r="J1324" s="4" t="b">
        <f>_xlfn.IFNA(IF(((INDEX(RulebookFields!I2:I1898, MATCH(D1324,RulebookFields!A2:A1898, 0))="")=TRUE),  "",  INDEX(RulebookFields!I2:I1898, MATCH(D1324,RulebookFields!A2:A1898, 0))), "")</f>
        <v>1</v>
      </c>
      <c r="K1324" s="4" t="b">
        <f>AND(((F1324)=TRUE), ((J1324)=TRUE))</f>
        <v>0</v>
      </c>
      <c r="L1324" s="4" t="b">
        <f>AND(((G1324 &lt;&gt; "plain")=TRUE), ((G1324 &lt;&gt; "")=TRUE))</f>
        <v>0</v>
      </c>
      <c r="M1324" s="4" t="str">
        <f>IF(((E1324)=TRUE),  C1324 &amp; "|" &amp; H1324,  "")</f>
        <v>principal-process-steward|RequirementSatisfactions</v>
      </c>
      <c r="N1324" s="3" t="s">
        <v>10004</v>
      </c>
    </row>
    <row r="1325">
      <c r="A1325" s="3" t="s">
        <v>11327</v>
      </c>
      <c r="B1325" s="4" t="str">
        <f>C1325 &amp; " -&gt; " &amp; D1325</f>
        <v>principal-process-steward -&gt; RequirementSatisfactions.RequirementIsUnfalsified</v>
      </c>
      <c r="C1325" s="3" t="s">
        <v>9772</v>
      </c>
      <c r="D1325" s="3" t="s">
        <v>3815</v>
      </c>
      <c r="E1325" s="3" t="b">
        <v>1</v>
      </c>
      <c r="F1325" s="3" t="b">
        <v>0</v>
      </c>
      <c r="G1325" s="3" t="s">
        <v>10003</v>
      </c>
      <c r="H1325" s="4" t="str">
        <f>_xlfn.IFNA(IF(((INDEX(RulebookFields!C2:C1898, MATCH(D1325,RulebookFields!A2:A1898, 0))="")=TRUE),  "",  INDEX(RulebookFields!C2:C1898, MATCH(D1325,RulebookFields!A2:A1898, 0))), "")</f>
        <v>RequirementSatisfactions</v>
      </c>
      <c r="I1325" s="4" t="str">
        <f>_xlfn.IFNA(IF(((INDEX(RulebookFields!D2:D1898, MATCH(D1325,RulebookFields!A2:A1898, 0))="")=TRUE),  "",  INDEX(RulebookFields!D2:D1898, MATCH(D1325,RulebookFields!A2:A1898, 0))), "")</f>
        <v>RequirementIsUnfalsified</v>
      </c>
      <c r="J1325" s="4" t="b">
        <f>_xlfn.IFNA(IF(((INDEX(RulebookFields!I2:I1898, MATCH(D1325,RulebookFields!A2:A1898, 0))="")=TRUE),  "",  INDEX(RulebookFields!I2:I1898, MATCH(D1325,RulebookFields!A2:A1898, 0))), "")</f>
        <v>1</v>
      </c>
      <c r="K1325" s="4" t="b">
        <f>AND(((F1325)=TRUE), ((J1325)=TRUE))</f>
        <v>0</v>
      </c>
      <c r="L1325" s="4" t="b">
        <f>AND(((G1325 &lt;&gt; "plain")=TRUE), ((G1325 &lt;&gt; "")=TRUE))</f>
        <v>0</v>
      </c>
      <c r="M1325" s="4" t="str">
        <f>IF(((E1325)=TRUE),  C1325 &amp; "|" &amp; H1325,  "")</f>
        <v>principal-process-steward|RequirementSatisfactions</v>
      </c>
      <c r="N1325" s="3" t="s">
        <v>10004</v>
      </c>
    </row>
    <row r="1326">
      <c r="A1326" s="3" t="s">
        <v>11328</v>
      </c>
      <c r="B1326" s="4" t="str">
        <f>C1326 &amp; " -&gt; " &amp; D1326</f>
        <v>principal-process-steward -&gt; RequirementSatisfactions.IsClearanceByUnfalsifiedControl</v>
      </c>
      <c r="C1326" s="3" t="s">
        <v>9772</v>
      </c>
      <c r="D1326" s="3" t="s">
        <v>3817</v>
      </c>
      <c r="E1326" s="3" t="b">
        <v>1</v>
      </c>
      <c r="F1326" s="3" t="b">
        <v>0</v>
      </c>
      <c r="G1326" s="3" t="s">
        <v>10003</v>
      </c>
      <c r="H1326" s="4" t="str">
        <f>_xlfn.IFNA(IF(((INDEX(RulebookFields!C2:C1898, MATCH(D1326,RulebookFields!A2:A1898, 0))="")=TRUE),  "",  INDEX(RulebookFields!C2:C1898, MATCH(D1326,RulebookFields!A2:A1898, 0))), "")</f>
        <v>RequirementSatisfactions</v>
      </c>
      <c r="I1326" s="4" t="str">
        <f>_xlfn.IFNA(IF(((INDEX(RulebookFields!D2:D1898, MATCH(D1326,RulebookFields!A2:A1898, 0))="")=TRUE),  "",  INDEX(RulebookFields!D2:D1898, MATCH(D1326,RulebookFields!A2:A1898, 0))), "")</f>
        <v>IsClearanceByUnfalsifiedControl</v>
      </c>
      <c r="J1326" s="4" t="b">
        <f>_xlfn.IFNA(IF(((INDEX(RulebookFields!I2:I1898, MATCH(D1326,RulebookFields!A2:A1898, 0))="")=TRUE),  "",  INDEX(RulebookFields!I2:I1898, MATCH(D1326,RulebookFields!A2:A1898, 0))), "")</f>
        <v>1</v>
      </c>
      <c r="K1326" s="4" t="b">
        <f>AND(((F1326)=TRUE), ((J1326)=TRUE))</f>
        <v>0</v>
      </c>
      <c r="L1326" s="4" t="b">
        <f>AND(((G1326 &lt;&gt; "plain")=TRUE), ((G1326 &lt;&gt; "")=TRUE))</f>
        <v>0</v>
      </c>
      <c r="M1326" s="4" t="str">
        <f>IF(((E1326)=TRUE),  C1326 &amp; "|" &amp; H1326,  "")</f>
        <v>principal-process-steward|RequirementSatisfactions</v>
      </c>
      <c r="N1326" s="3" t="s">
        <v>10004</v>
      </c>
    </row>
    <row r="1327">
      <c r="A1327" s="3" t="s">
        <v>11329</v>
      </c>
      <c r="B1327" s="4" t="str">
        <f>C1327 &amp; " -&gt; " &amp; D1327</f>
        <v>principal-process-steward -&gt; RequirementSatisfactions.UnfalsifiedClearanceStepKey</v>
      </c>
      <c r="C1327" s="3" t="s">
        <v>9772</v>
      </c>
      <c r="D1327" s="3" t="s">
        <v>3819</v>
      </c>
      <c r="E1327" s="3" t="b">
        <v>1</v>
      </c>
      <c r="F1327" s="3" t="b">
        <v>0</v>
      </c>
      <c r="G1327" s="3" t="s">
        <v>10003</v>
      </c>
      <c r="H1327" s="4" t="str">
        <f>_xlfn.IFNA(IF(((INDEX(RulebookFields!C2:C1898, MATCH(D1327,RulebookFields!A2:A1898, 0))="")=TRUE),  "",  INDEX(RulebookFields!C2:C1898, MATCH(D1327,RulebookFields!A2:A1898, 0))), "")</f>
        <v>RequirementSatisfactions</v>
      </c>
      <c r="I1327" s="4" t="str">
        <f>_xlfn.IFNA(IF(((INDEX(RulebookFields!D2:D1898, MATCH(D1327,RulebookFields!A2:A1898, 0))="")=TRUE),  "",  INDEX(RulebookFields!D2:D1898, MATCH(D1327,RulebookFields!A2:A1898, 0))), "")</f>
        <v>UnfalsifiedClearanceStepKey</v>
      </c>
      <c r="J1327" s="4" t="b">
        <f>_xlfn.IFNA(IF(((INDEX(RulebookFields!I2:I1898, MATCH(D1327,RulebookFields!A2:A1898, 0))="")=TRUE),  "",  INDEX(RulebookFields!I2:I1898, MATCH(D1327,RulebookFields!A2:A1898, 0))), "")</f>
        <v>1</v>
      </c>
      <c r="K1327" s="4" t="b">
        <f>AND(((F1327)=TRUE), ((J1327)=TRUE))</f>
        <v>0</v>
      </c>
      <c r="L1327" s="4" t="b">
        <f>AND(((G1327 &lt;&gt; "plain")=TRUE), ((G1327 &lt;&gt; "")=TRUE))</f>
        <v>0</v>
      </c>
      <c r="M1327" s="4" t="str">
        <f>IF(((E1327)=TRUE),  C1327 &amp; "|" &amp; H1327,  "")</f>
        <v>principal-process-steward|RequirementSatisfactions</v>
      </c>
      <c r="N1327" s="3" t="s">
        <v>10004</v>
      </c>
    </row>
    <row r="1328">
      <c r="A1328" s="3" t="s">
        <v>11330</v>
      </c>
      <c r="B1328" s="4" t="str">
        <f>C1328 &amp; " -&gt; " &amp; D1328</f>
        <v>principal-process-steward -&gt; RequirementSatisfactions.SpecStepOfExecution</v>
      </c>
      <c r="C1328" s="3" t="s">
        <v>9772</v>
      </c>
      <c r="D1328" s="3" t="s">
        <v>3821</v>
      </c>
      <c r="E1328" s="3" t="b">
        <v>1</v>
      </c>
      <c r="F1328" s="3" t="b">
        <v>0</v>
      </c>
      <c r="G1328" s="3" t="s">
        <v>10003</v>
      </c>
      <c r="H1328" s="4" t="str">
        <f>_xlfn.IFNA(IF(((INDEX(RulebookFields!C2:C1898, MATCH(D1328,RulebookFields!A2:A1898, 0))="")=TRUE),  "",  INDEX(RulebookFields!C2:C1898, MATCH(D1328,RulebookFields!A2:A1898, 0))), "")</f>
        <v>RequirementSatisfactions</v>
      </c>
      <c r="I1328" s="4" t="str">
        <f>_xlfn.IFNA(IF(((INDEX(RulebookFields!D2:D1898, MATCH(D1328,RulebookFields!A2:A1898, 0))="")=TRUE),  "",  INDEX(RulebookFields!D2:D1898, MATCH(D1328,RulebookFields!A2:A1898, 0))), "")</f>
        <v>SpecStepOfExecution</v>
      </c>
      <c r="J1328" s="4" t="b">
        <f>_xlfn.IFNA(IF(((INDEX(RulebookFields!I2:I1898, MATCH(D1328,RulebookFields!A2:A1898, 0))="")=TRUE),  "",  INDEX(RulebookFields!I2:I1898, MATCH(D1328,RulebookFields!A2:A1898, 0))), "")</f>
        <v>1</v>
      </c>
      <c r="K1328" s="4" t="b">
        <f>AND(((F1328)=TRUE), ((J1328)=TRUE))</f>
        <v>0</v>
      </c>
      <c r="L1328" s="4" t="b">
        <f>AND(((G1328 &lt;&gt; "plain")=TRUE), ((G1328 &lt;&gt; "")=TRUE))</f>
        <v>0</v>
      </c>
      <c r="M1328" s="4" t="str">
        <f>IF(((E1328)=TRUE),  C1328 &amp; "|" &amp; H1328,  "")</f>
        <v>principal-process-steward|RequirementSatisfactions</v>
      </c>
      <c r="N1328" s="3" t="s">
        <v>10004</v>
      </c>
    </row>
    <row r="1329">
      <c r="A1329" s="3" t="s">
        <v>11331</v>
      </c>
      <c r="B1329" s="4" t="str">
        <f>C1329 &amp; " -&gt; " &amp; D1329</f>
        <v>principal-process-steward -&gt; RequirementSatisfactions.BindingKey</v>
      </c>
      <c r="C1329" s="3" t="s">
        <v>9772</v>
      </c>
      <c r="D1329" s="3" t="s">
        <v>3823</v>
      </c>
      <c r="E1329" s="3" t="b">
        <v>1</v>
      </c>
      <c r="F1329" s="3" t="b">
        <v>0</v>
      </c>
      <c r="G1329" s="3" t="s">
        <v>10003</v>
      </c>
      <c r="H1329" s="4" t="str">
        <f>_xlfn.IFNA(IF(((INDEX(RulebookFields!C2:C1898, MATCH(D1329,RulebookFields!A2:A1898, 0))="")=TRUE),  "",  INDEX(RulebookFields!C2:C1898, MATCH(D1329,RulebookFields!A2:A1898, 0))), "")</f>
        <v>RequirementSatisfactions</v>
      </c>
      <c r="I1329" s="4" t="str">
        <f>_xlfn.IFNA(IF(((INDEX(RulebookFields!D2:D1898, MATCH(D1329,RulebookFields!A2:A1898, 0))="")=TRUE),  "",  INDEX(RulebookFields!D2:D1898, MATCH(D1329,RulebookFields!A2:A1898, 0))), "")</f>
        <v>BindingKey</v>
      </c>
      <c r="J1329" s="4" t="b">
        <f>_xlfn.IFNA(IF(((INDEX(RulebookFields!I2:I1898, MATCH(D1329,RulebookFields!A2:A1898, 0))="")=TRUE),  "",  INDEX(RulebookFields!I2:I1898, MATCH(D1329,RulebookFields!A2:A1898, 0))), "")</f>
        <v>1</v>
      </c>
      <c r="K1329" s="4" t="b">
        <f>AND(((F1329)=TRUE), ((J1329)=TRUE))</f>
        <v>0</v>
      </c>
      <c r="L1329" s="4" t="b">
        <f>AND(((G1329 &lt;&gt; "plain")=TRUE), ((G1329 &lt;&gt; "")=TRUE))</f>
        <v>0</v>
      </c>
      <c r="M1329" s="4" t="str">
        <f>IF(((E1329)=TRUE),  C1329 &amp; "|" &amp; H1329,  "")</f>
        <v>principal-process-steward|RequirementSatisfactions</v>
      </c>
      <c r="N1329" s="3" t="s">
        <v>10004</v>
      </c>
    </row>
    <row r="1330">
      <c r="A1330" s="3" t="s">
        <v>11332</v>
      </c>
      <c r="B1330" s="4" t="str">
        <f>C1330 &amp; " -&gt; " &amp; D1330</f>
        <v>principal-process-steward -&gt; RequirementSatisfactions.ScoredStepExecutorAgent</v>
      </c>
      <c r="C1330" s="3" t="s">
        <v>9772</v>
      </c>
      <c r="D1330" s="3" t="s">
        <v>3825</v>
      </c>
      <c r="E1330" s="3" t="b">
        <v>1</v>
      </c>
      <c r="F1330" s="3" t="b">
        <v>0</v>
      </c>
      <c r="G1330" s="3" t="s">
        <v>10003</v>
      </c>
      <c r="H1330" s="4" t="str">
        <f>_xlfn.IFNA(IF(((INDEX(RulebookFields!C2:C1898, MATCH(D1330,RulebookFields!A2:A1898, 0))="")=TRUE),  "",  INDEX(RulebookFields!C2:C1898, MATCH(D1330,RulebookFields!A2:A1898, 0))), "")</f>
        <v>RequirementSatisfactions</v>
      </c>
      <c r="I1330" s="4" t="str">
        <f>_xlfn.IFNA(IF(((INDEX(RulebookFields!D2:D1898, MATCH(D1330,RulebookFields!A2:A1898, 0))="")=TRUE),  "",  INDEX(RulebookFields!D2:D1898, MATCH(D1330,RulebookFields!A2:A1898, 0))), "")</f>
        <v>ScoredStepExecutorAgent</v>
      </c>
      <c r="J1330" s="4" t="b">
        <f>_xlfn.IFNA(IF(((INDEX(RulebookFields!I2:I1898, MATCH(D1330,RulebookFields!A2:A1898, 0))="")=TRUE),  "",  INDEX(RulebookFields!I2:I1898, MATCH(D1330,RulebookFields!A2:A1898, 0))), "")</f>
        <v>1</v>
      </c>
      <c r="K1330" s="4" t="b">
        <f>AND(((F1330)=TRUE), ((J1330)=TRUE))</f>
        <v>0</v>
      </c>
      <c r="L1330" s="4" t="b">
        <f>AND(((G1330 &lt;&gt; "plain")=TRUE), ((G1330 &lt;&gt; "")=TRUE))</f>
        <v>0</v>
      </c>
      <c r="M1330" s="4" t="str">
        <f>IF(((E1330)=TRUE),  C1330 &amp; "|" &amp; H1330,  "")</f>
        <v>principal-process-steward|RequirementSatisfactions</v>
      </c>
      <c r="N1330" s="3" t="s">
        <v>10004</v>
      </c>
    </row>
    <row r="1331">
      <c r="A1331" s="3" t="s">
        <v>11333</v>
      </c>
      <c r="B1331" s="4" t="str">
        <f>C1331 &amp; " -&gt; " &amp; D1331</f>
        <v>principal-process-steward -&gt; RequirementSatisfactions.EvaluatorIsStepExecutor</v>
      </c>
      <c r="C1331" s="3" t="s">
        <v>9772</v>
      </c>
      <c r="D1331" s="3" t="s">
        <v>3827</v>
      </c>
      <c r="E1331" s="3" t="b">
        <v>1</v>
      </c>
      <c r="F1331" s="3" t="b">
        <v>0</v>
      </c>
      <c r="G1331" s="3" t="s">
        <v>10003</v>
      </c>
      <c r="H1331" s="4" t="str">
        <f>_xlfn.IFNA(IF(((INDEX(RulebookFields!C2:C1898, MATCH(D1331,RulebookFields!A2:A1898, 0))="")=TRUE),  "",  INDEX(RulebookFields!C2:C1898, MATCH(D1331,RulebookFields!A2:A1898, 0))), "")</f>
        <v>RequirementSatisfactions</v>
      </c>
      <c r="I1331" s="4" t="str">
        <f>_xlfn.IFNA(IF(((INDEX(RulebookFields!D2:D1898, MATCH(D1331,RulebookFields!A2:A1898, 0))="")=TRUE),  "",  INDEX(RulebookFields!D2:D1898, MATCH(D1331,RulebookFields!A2:A1898, 0))), "")</f>
        <v>EvaluatorIsStepExecutor</v>
      </c>
      <c r="J1331" s="4" t="b">
        <f>_xlfn.IFNA(IF(((INDEX(RulebookFields!I2:I1898, MATCH(D1331,RulebookFields!A2:A1898, 0))="")=TRUE),  "",  INDEX(RulebookFields!I2:I1898, MATCH(D1331,RulebookFields!A2:A1898, 0))), "")</f>
        <v>1</v>
      </c>
      <c r="K1331" s="4" t="b">
        <f>AND(((F1331)=TRUE), ((J1331)=TRUE))</f>
        <v>0</v>
      </c>
      <c r="L1331" s="4" t="b">
        <f>AND(((G1331 &lt;&gt; "plain")=TRUE), ((G1331 &lt;&gt; "")=TRUE))</f>
        <v>0</v>
      </c>
      <c r="M1331" s="4" t="str">
        <f>IF(((E1331)=TRUE),  C1331 &amp; "|" &amp; H1331,  "")</f>
        <v>principal-process-steward|RequirementSatisfactions</v>
      </c>
      <c r="N1331" s="3" t="s">
        <v>10004</v>
      </c>
    </row>
    <row r="1332">
      <c r="A1332" s="3" t="s">
        <v>11334</v>
      </c>
      <c r="B1332" s="4" t="str">
        <f>C1332 &amp; " -&gt; " &amp; D1332</f>
        <v>principal-process-steward -&gt; RequirementSatisfactions.RunOwnerAgent</v>
      </c>
      <c r="C1332" s="3" t="s">
        <v>9772</v>
      </c>
      <c r="D1332" s="3" t="s">
        <v>3829</v>
      </c>
      <c r="E1332" s="3" t="b">
        <v>1</v>
      </c>
      <c r="F1332" s="3" t="b">
        <v>0</v>
      </c>
      <c r="G1332" s="3" t="s">
        <v>10003</v>
      </c>
      <c r="H1332" s="4" t="str">
        <f>_xlfn.IFNA(IF(((INDEX(RulebookFields!C2:C1898, MATCH(D1332,RulebookFields!A2:A1898, 0))="")=TRUE),  "",  INDEX(RulebookFields!C2:C1898, MATCH(D1332,RulebookFields!A2:A1898, 0))), "")</f>
        <v>RequirementSatisfactions</v>
      </c>
      <c r="I1332" s="4" t="str">
        <f>_xlfn.IFNA(IF(((INDEX(RulebookFields!D2:D1898, MATCH(D1332,RulebookFields!A2:A1898, 0))="")=TRUE),  "",  INDEX(RulebookFields!D2:D1898, MATCH(D1332,RulebookFields!A2:A1898, 0))), "")</f>
        <v>RunOwnerAgent</v>
      </c>
      <c r="J1332" s="4" t="b">
        <f>_xlfn.IFNA(IF(((INDEX(RulebookFields!I2:I1898, MATCH(D1332,RulebookFields!A2:A1898, 0))="")=TRUE),  "",  INDEX(RulebookFields!I2:I1898, MATCH(D1332,RulebookFields!A2:A1898, 0))), "")</f>
        <v>1</v>
      </c>
      <c r="K1332" s="4" t="b">
        <f>AND(((F1332)=TRUE), ((J1332)=TRUE))</f>
        <v>0</v>
      </c>
      <c r="L1332" s="4" t="b">
        <f>AND(((G1332 &lt;&gt; "plain")=TRUE), ((G1332 &lt;&gt; "")=TRUE))</f>
        <v>0</v>
      </c>
      <c r="M1332" s="4" t="str">
        <f>IF(((E1332)=TRUE),  C1332 &amp; "|" &amp; H1332,  "")</f>
        <v>principal-process-steward|RequirementSatisfactions</v>
      </c>
      <c r="N1332" s="3" t="s">
        <v>10004</v>
      </c>
    </row>
    <row r="1333">
      <c r="A1333" s="3" t="s">
        <v>11335</v>
      </c>
      <c r="B1333" s="4" t="str">
        <f>C1333 &amp; " -&gt; " &amp; D1333</f>
        <v>principal-process-steward -&gt; RequirementSatisfactions.EvaluatorOwnsTheRun</v>
      </c>
      <c r="C1333" s="3" t="s">
        <v>9772</v>
      </c>
      <c r="D1333" s="3" t="s">
        <v>3831</v>
      </c>
      <c r="E1333" s="3" t="b">
        <v>1</v>
      </c>
      <c r="F1333" s="3" t="b">
        <v>0</v>
      </c>
      <c r="G1333" s="3" t="s">
        <v>10003</v>
      </c>
      <c r="H1333" s="4" t="str">
        <f>_xlfn.IFNA(IF(((INDEX(RulebookFields!C2:C1898, MATCH(D1333,RulebookFields!A2:A1898, 0))="")=TRUE),  "",  INDEX(RulebookFields!C2:C1898, MATCH(D1333,RulebookFields!A2:A1898, 0))), "")</f>
        <v>RequirementSatisfactions</v>
      </c>
      <c r="I1333" s="4" t="str">
        <f>_xlfn.IFNA(IF(((INDEX(RulebookFields!D2:D1898, MATCH(D1333,RulebookFields!A2:A1898, 0))="")=TRUE),  "",  INDEX(RulebookFields!D2:D1898, MATCH(D1333,RulebookFields!A2:A1898, 0))), "")</f>
        <v>EvaluatorOwnsTheRun</v>
      </c>
      <c r="J1333" s="4" t="b">
        <f>_xlfn.IFNA(IF(((INDEX(RulebookFields!I2:I1898, MATCH(D1333,RulebookFields!A2:A1898, 0))="")=TRUE),  "",  INDEX(RulebookFields!I2:I1898, MATCH(D1333,RulebookFields!A2:A1898, 0))), "")</f>
        <v>1</v>
      </c>
      <c r="K1333" s="4" t="b">
        <f>AND(((F1333)=TRUE), ((J1333)=TRUE))</f>
        <v>0</v>
      </c>
      <c r="L1333" s="4" t="b">
        <f>AND(((G1333 &lt;&gt; "plain")=TRUE), ((G1333 &lt;&gt; "")=TRUE))</f>
        <v>0</v>
      </c>
      <c r="M1333" s="4" t="str">
        <f>IF(((E1333)=TRUE),  C1333 &amp; "|" &amp; H1333,  "")</f>
        <v>principal-process-steward|RequirementSatisfactions</v>
      </c>
      <c r="N1333" s="3" t="s">
        <v>10004</v>
      </c>
    </row>
    <row r="1334">
      <c r="A1334" s="3" t="s">
        <v>11336</v>
      </c>
      <c r="B1334" s="4" t="str">
        <f>C1334 &amp; " -&gt; " &amp; D1334</f>
        <v>principal-process-steward -&gt; RequirementSatisfactions.IsInterestedPartyAssertion</v>
      </c>
      <c r="C1334" s="3" t="s">
        <v>9772</v>
      </c>
      <c r="D1334" s="3" t="s">
        <v>3833</v>
      </c>
      <c r="E1334" s="3" t="b">
        <v>1</v>
      </c>
      <c r="F1334" s="3" t="b">
        <v>0</v>
      </c>
      <c r="G1334" s="3" t="s">
        <v>10003</v>
      </c>
      <c r="H1334" s="4" t="str">
        <f>_xlfn.IFNA(IF(((INDEX(RulebookFields!C2:C1898, MATCH(D1334,RulebookFields!A2:A1898, 0))="")=TRUE),  "",  INDEX(RulebookFields!C2:C1898, MATCH(D1334,RulebookFields!A2:A1898, 0))), "")</f>
        <v>RequirementSatisfactions</v>
      </c>
      <c r="I1334" s="4" t="str">
        <f>_xlfn.IFNA(IF(((INDEX(RulebookFields!D2:D1898, MATCH(D1334,RulebookFields!A2:A1898, 0))="")=TRUE),  "",  INDEX(RulebookFields!D2:D1898, MATCH(D1334,RulebookFields!A2:A1898, 0))), "")</f>
        <v>IsInterestedPartyAssertion</v>
      </c>
      <c r="J1334" s="4" t="b">
        <f>_xlfn.IFNA(IF(((INDEX(RulebookFields!I2:I1898, MATCH(D1334,RulebookFields!A2:A1898, 0))="")=TRUE),  "",  INDEX(RulebookFields!I2:I1898, MATCH(D1334,RulebookFields!A2:A1898, 0))), "")</f>
        <v>1</v>
      </c>
      <c r="K1334" s="4" t="b">
        <f>AND(((F1334)=TRUE), ((J1334)=TRUE))</f>
        <v>0</v>
      </c>
      <c r="L1334" s="4" t="b">
        <f>AND(((G1334 &lt;&gt; "plain")=TRUE), ((G1334 &lt;&gt; "")=TRUE))</f>
        <v>0</v>
      </c>
      <c r="M1334" s="4" t="str">
        <f>IF(((E1334)=TRUE),  C1334 &amp; "|" &amp; H1334,  "")</f>
        <v>principal-process-steward|RequirementSatisfactions</v>
      </c>
      <c r="N1334" s="3" t="s">
        <v>10004</v>
      </c>
    </row>
    <row r="1335">
      <c r="A1335" s="3" t="s">
        <v>11337</v>
      </c>
      <c r="B1335" s="4" t="str">
        <f>C1335 &amp; " -&gt; " &amp; D1335</f>
        <v>principal-process-steward -&gt; RequirementSatisfactions.HasWrittenEvidence</v>
      </c>
      <c r="C1335" s="3" t="s">
        <v>9772</v>
      </c>
      <c r="D1335" s="3" t="s">
        <v>3835</v>
      </c>
      <c r="E1335" s="3" t="b">
        <v>1</v>
      </c>
      <c r="F1335" s="3" t="b">
        <v>0</v>
      </c>
      <c r="G1335" s="3" t="s">
        <v>10003</v>
      </c>
      <c r="H1335" s="4" t="str">
        <f>_xlfn.IFNA(IF(((INDEX(RulebookFields!C2:C1898, MATCH(D1335,RulebookFields!A2:A1898, 0))="")=TRUE),  "",  INDEX(RulebookFields!C2:C1898, MATCH(D1335,RulebookFields!A2:A1898, 0))), "")</f>
        <v>RequirementSatisfactions</v>
      </c>
      <c r="I1335" s="4" t="str">
        <f>_xlfn.IFNA(IF(((INDEX(RulebookFields!D2:D1898, MATCH(D1335,RulebookFields!A2:A1898, 0))="")=TRUE),  "",  INDEX(RulebookFields!D2:D1898, MATCH(D1335,RulebookFields!A2:A1898, 0))), "")</f>
        <v>HasWrittenEvidence</v>
      </c>
      <c r="J1335" s="4" t="b">
        <f>_xlfn.IFNA(IF(((INDEX(RulebookFields!I2:I1898, MATCH(D1335,RulebookFields!A2:A1898, 0))="")=TRUE),  "",  INDEX(RulebookFields!I2:I1898, MATCH(D1335,RulebookFields!A2:A1898, 0))), "")</f>
        <v>1</v>
      </c>
      <c r="K1335" s="4" t="b">
        <f>AND(((F1335)=TRUE), ((J1335)=TRUE))</f>
        <v>0</v>
      </c>
      <c r="L1335" s="4" t="b">
        <f>AND(((G1335 &lt;&gt; "plain")=TRUE), ((G1335 &lt;&gt; "")=TRUE))</f>
        <v>0</v>
      </c>
      <c r="M1335" s="4" t="str">
        <f>IF(((E1335)=TRUE),  C1335 &amp; "|" &amp; H1335,  "")</f>
        <v>principal-process-steward|RequirementSatisfactions</v>
      </c>
      <c r="N1335" s="3" t="s">
        <v>10004</v>
      </c>
    </row>
    <row r="1336">
      <c r="A1336" s="3" t="s">
        <v>11338</v>
      </c>
      <c r="B1336" s="4" t="str">
        <f>C1336 &amp; " -&gt; " &amp; D1336</f>
        <v>principal-process-steward -&gt; RequirementSatisfactions.IsBareAssertion</v>
      </c>
      <c r="C1336" s="3" t="s">
        <v>9772</v>
      </c>
      <c r="D1336" s="3" t="s">
        <v>3837</v>
      </c>
      <c r="E1336" s="3" t="b">
        <v>1</v>
      </c>
      <c r="F1336" s="3" t="b">
        <v>0</v>
      </c>
      <c r="G1336" s="3" t="s">
        <v>10003</v>
      </c>
      <c r="H1336" s="4" t="str">
        <f>_xlfn.IFNA(IF(((INDEX(RulebookFields!C2:C1898, MATCH(D1336,RulebookFields!A2:A1898, 0))="")=TRUE),  "",  INDEX(RulebookFields!C2:C1898, MATCH(D1336,RulebookFields!A2:A1898, 0))), "")</f>
        <v>RequirementSatisfactions</v>
      </c>
      <c r="I1336" s="4" t="str">
        <f>_xlfn.IFNA(IF(((INDEX(RulebookFields!D2:D1898, MATCH(D1336,RulebookFields!A2:A1898, 0))="")=TRUE),  "",  INDEX(RulebookFields!D2:D1898, MATCH(D1336,RulebookFields!A2:A1898, 0))), "")</f>
        <v>IsBareAssertion</v>
      </c>
      <c r="J1336" s="4" t="b">
        <f>_xlfn.IFNA(IF(((INDEX(RulebookFields!I2:I1898, MATCH(D1336,RulebookFields!A2:A1898, 0))="")=TRUE),  "",  INDEX(RulebookFields!I2:I1898, MATCH(D1336,RulebookFields!A2:A1898, 0))), "")</f>
        <v>1</v>
      </c>
      <c r="K1336" s="4" t="b">
        <f>AND(((F1336)=TRUE), ((J1336)=TRUE))</f>
        <v>0</v>
      </c>
      <c r="L1336" s="4" t="b">
        <f>AND(((G1336 &lt;&gt; "plain")=TRUE), ((G1336 &lt;&gt; "")=TRUE))</f>
        <v>0</v>
      </c>
      <c r="M1336" s="4" t="str">
        <f>IF(((E1336)=TRUE),  C1336 &amp; "|" &amp; H1336,  "")</f>
        <v>principal-process-steward|RequirementSatisfactions</v>
      </c>
      <c r="N1336" s="3" t="s">
        <v>10004</v>
      </c>
    </row>
    <row r="1337">
      <c r="A1337" s="3" t="s">
        <v>11339</v>
      </c>
      <c r="B1337" s="4" t="str">
        <f>C1337 &amp; " -&gt; " &amp; D1337</f>
        <v>principal-process-steward -&gt; RequirementSatisfactions.InterestedAssertionExecutionKey</v>
      </c>
      <c r="C1337" s="3" t="s">
        <v>9772</v>
      </c>
      <c r="D1337" s="3" t="s">
        <v>3839</v>
      </c>
      <c r="E1337" s="3" t="b">
        <v>1</v>
      </c>
      <c r="F1337" s="3" t="b">
        <v>0</v>
      </c>
      <c r="G1337" s="3" t="s">
        <v>10003</v>
      </c>
      <c r="H1337" s="4" t="str">
        <f>_xlfn.IFNA(IF(((INDEX(RulebookFields!C2:C1898, MATCH(D1337,RulebookFields!A2:A1898, 0))="")=TRUE),  "",  INDEX(RulebookFields!C2:C1898, MATCH(D1337,RulebookFields!A2:A1898, 0))), "")</f>
        <v>RequirementSatisfactions</v>
      </c>
      <c r="I1337" s="4" t="str">
        <f>_xlfn.IFNA(IF(((INDEX(RulebookFields!D2:D1898, MATCH(D1337,RulebookFields!A2:A1898, 0))="")=TRUE),  "",  INDEX(RulebookFields!D2:D1898, MATCH(D1337,RulebookFields!A2:A1898, 0))), "")</f>
        <v>InterestedAssertionExecutionKey</v>
      </c>
      <c r="J1337" s="4" t="b">
        <f>_xlfn.IFNA(IF(((INDEX(RulebookFields!I2:I1898, MATCH(D1337,RulebookFields!A2:A1898, 0))="")=TRUE),  "",  INDEX(RulebookFields!I2:I1898, MATCH(D1337,RulebookFields!A2:A1898, 0))), "")</f>
        <v>1</v>
      </c>
      <c r="K1337" s="4" t="b">
        <f>AND(((F1337)=TRUE), ((J1337)=TRUE))</f>
        <v>0</v>
      </c>
      <c r="L1337" s="4" t="b">
        <f>AND(((G1337 &lt;&gt; "plain")=TRUE), ((G1337 &lt;&gt; "")=TRUE))</f>
        <v>0</v>
      </c>
      <c r="M1337" s="4" t="str">
        <f>IF(((E1337)=TRUE),  C1337 &amp; "|" &amp; H1337,  "")</f>
        <v>principal-process-steward|RequirementSatisfactions</v>
      </c>
      <c r="N1337" s="3" t="s">
        <v>10004</v>
      </c>
    </row>
    <row r="1338">
      <c r="A1338" s="3" t="s">
        <v>11340</v>
      </c>
      <c r="B1338" s="4" t="str">
        <f>C1338 &amp; " -&gt; " &amp; D1338</f>
        <v>principal-process-steward -&gt; RequirementSatisfactions.IsComputedlyWitnessed</v>
      </c>
      <c r="C1338" s="3" t="s">
        <v>9772</v>
      </c>
      <c r="D1338" s="3" t="s">
        <v>3841</v>
      </c>
      <c r="E1338" s="3" t="b">
        <v>1</v>
      </c>
      <c r="F1338" s="3" t="b">
        <v>0</v>
      </c>
      <c r="G1338" s="3" t="s">
        <v>10003</v>
      </c>
      <c r="H1338" s="4" t="str">
        <f>_xlfn.IFNA(IF(((INDEX(RulebookFields!C2:C1898, MATCH(D1338,RulebookFields!A2:A1898, 0))="")=TRUE),  "",  INDEX(RulebookFields!C2:C1898, MATCH(D1338,RulebookFields!A2:A1898, 0))), "")</f>
        <v>RequirementSatisfactions</v>
      </c>
      <c r="I1338" s="4" t="str">
        <f>_xlfn.IFNA(IF(((INDEX(RulebookFields!D2:D1898, MATCH(D1338,RulebookFields!A2:A1898, 0))="")=TRUE),  "",  INDEX(RulebookFields!D2:D1898, MATCH(D1338,RulebookFields!A2:A1898, 0))), "")</f>
        <v>IsComputedlyWitnessed</v>
      </c>
      <c r="J1338" s="4" t="b">
        <f>_xlfn.IFNA(IF(((INDEX(RulebookFields!I2:I1898, MATCH(D1338,RulebookFields!A2:A1898, 0))="")=TRUE),  "",  INDEX(RulebookFields!I2:I1898, MATCH(D1338,RulebookFields!A2:A1898, 0))), "")</f>
        <v>1</v>
      </c>
      <c r="K1338" s="4" t="b">
        <f>AND(((F1338)=TRUE), ((J1338)=TRUE))</f>
        <v>0</v>
      </c>
      <c r="L1338" s="4" t="b">
        <f>AND(((G1338 &lt;&gt; "plain")=TRUE), ((G1338 &lt;&gt; "")=TRUE))</f>
        <v>0</v>
      </c>
      <c r="M1338" s="4" t="str">
        <f>IF(((E1338)=TRUE),  C1338 &amp; "|" &amp; H1338,  "")</f>
        <v>principal-process-steward|RequirementSatisfactions</v>
      </c>
      <c r="N1338" s="3" t="s">
        <v>10004</v>
      </c>
    </row>
    <row r="1339">
      <c r="A1339" s="3" t="s">
        <v>11341</v>
      </c>
      <c r="B1339" s="4" t="str">
        <f>C1339 &amp; " -&gt; " &amp; D1339</f>
        <v>principal-process-steward -&gt; RequirementSatisfactions.ComputedWitnessExecutionKey</v>
      </c>
      <c r="C1339" s="3" t="s">
        <v>9772</v>
      </c>
      <c r="D1339" s="3" t="s">
        <v>3843</v>
      </c>
      <c r="E1339" s="3" t="b">
        <v>1</v>
      </c>
      <c r="F1339" s="3" t="b">
        <v>0</v>
      </c>
      <c r="G1339" s="3" t="s">
        <v>10003</v>
      </c>
      <c r="H1339" s="4" t="str">
        <f>_xlfn.IFNA(IF(((INDEX(RulebookFields!C2:C1898, MATCH(D1339,RulebookFields!A2:A1898, 0))="")=TRUE),  "",  INDEX(RulebookFields!C2:C1898, MATCH(D1339,RulebookFields!A2:A1898, 0))), "")</f>
        <v>RequirementSatisfactions</v>
      </c>
      <c r="I1339" s="4" t="str">
        <f>_xlfn.IFNA(IF(((INDEX(RulebookFields!D2:D1898, MATCH(D1339,RulebookFields!A2:A1898, 0))="")=TRUE),  "",  INDEX(RulebookFields!D2:D1898, MATCH(D1339,RulebookFields!A2:A1898, 0))), "")</f>
        <v>ComputedWitnessExecutionKey</v>
      </c>
      <c r="J1339" s="4" t="b">
        <f>_xlfn.IFNA(IF(((INDEX(RulebookFields!I2:I1898, MATCH(D1339,RulebookFields!A2:A1898, 0))="")=TRUE),  "",  INDEX(RulebookFields!I2:I1898, MATCH(D1339,RulebookFields!A2:A1898, 0))), "")</f>
        <v>1</v>
      </c>
      <c r="K1339" s="4" t="b">
        <f>AND(((F1339)=TRUE), ((J1339)=TRUE))</f>
        <v>0</v>
      </c>
      <c r="L1339" s="4" t="b">
        <f>AND(((G1339 &lt;&gt; "plain")=TRUE), ((G1339 &lt;&gt; "")=TRUE))</f>
        <v>0</v>
      </c>
      <c r="M1339" s="4" t="str">
        <f>IF(((E1339)=TRUE),  C1339 &amp; "|" &amp; H1339,  "")</f>
        <v>principal-process-steward|RequirementSatisfactions</v>
      </c>
      <c r="N1339" s="3" t="s">
        <v>10004</v>
      </c>
    </row>
    <row r="1340">
      <c r="A1340" s="3" t="s">
        <v>11342</v>
      </c>
      <c r="B1340" s="4" t="str">
        <f>C1340 &amp; " -&gt; " &amp; D1340</f>
        <v>principal-process-steward -&gt; RequirementSatisfactions.StepExecutorAgent</v>
      </c>
      <c r="C1340" s="3" t="s">
        <v>9772</v>
      </c>
      <c r="D1340" s="3" t="s">
        <v>3845</v>
      </c>
      <c r="E1340" s="3" t="b">
        <v>1</v>
      </c>
      <c r="F1340" s="3" t="b">
        <v>0</v>
      </c>
      <c r="G1340" s="3" t="s">
        <v>10003</v>
      </c>
      <c r="H1340" s="4" t="str">
        <f>_xlfn.IFNA(IF(((INDEX(RulebookFields!C2:C1898, MATCH(D1340,RulebookFields!A2:A1898, 0))="")=TRUE),  "",  INDEX(RulebookFields!C2:C1898, MATCH(D1340,RulebookFields!A2:A1898, 0))), "")</f>
        <v>RequirementSatisfactions</v>
      </c>
      <c r="I1340" s="4" t="str">
        <f>_xlfn.IFNA(IF(((INDEX(RulebookFields!D2:D1898, MATCH(D1340,RulebookFields!A2:A1898, 0))="")=TRUE),  "",  INDEX(RulebookFields!D2:D1898, MATCH(D1340,RulebookFields!A2:A1898, 0))), "")</f>
        <v>StepExecutorAgent</v>
      </c>
      <c r="J1340" s="4" t="b">
        <f>_xlfn.IFNA(IF(((INDEX(RulebookFields!I2:I1898, MATCH(D1340,RulebookFields!A2:A1898, 0))="")=TRUE),  "",  INDEX(RulebookFields!I2:I1898, MATCH(D1340,RulebookFields!A2:A1898, 0))), "")</f>
        <v>1</v>
      </c>
      <c r="K1340" s="4" t="b">
        <f>AND(((F1340)=TRUE), ((J1340)=TRUE))</f>
        <v>0</v>
      </c>
      <c r="L1340" s="4" t="b">
        <f>AND(((G1340 &lt;&gt; "plain")=TRUE), ((G1340 &lt;&gt; "")=TRUE))</f>
        <v>0</v>
      </c>
      <c r="M1340" s="4" t="str">
        <f>IF(((E1340)=TRUE),  C1340 &amp; "|" &amp; H1340,  "")</f>
        <v>principal-process-steward|RequirementSatisfactions</v>
      </c>
      <c r="N1340" s="3" t="s">
        <v>10004</v>
      </c>
    </row>
    <row r="1341">
      <c r="A1341" s="3" t="s">
        <v>11343</v>
      </c>
      <c r="B1341" s="4" t="str">
        <f>C1341 &amp; " -&gt; " &amp; D1341</f>
        <v>principal-process-steward -&gt; RequirementSatisfactions.WasScoredAfterAttestation</v>
      </c>
      <c r="C1341" s="3" t="s">
        <v>9772</v>
      </c>
      <c r="D1341" s="3" t="s">
        <v>3846</v>
      </c>
      <c r="E1341" s="3" t="b">
        <v>1</v>
      </c>
      <c r="F1341" s="3" t="b">
        <v>0</v>
      </c>
      <c r="G1341" s="3" t="s">
        <v>10003</v>
      </c>
      <c r="H1341" s="4" t="str">
        <f>_xlfn.IFNA(IF(((INDEX(RulebookFields!C2:C1898, MATCH(D1341,RulebookFields!A2:A1898, 0))="")=TRUE),  "",  INDEX(RulebookFields!C2:C1898, MATCH(D1341,RulebookFields!A2:A1898, 0))), "")</f>
        <v>RequirementSatisfactions</v>
      </c>
      <c r="I1341" s="4" t="str">
        <f>_xlfn.IFNA(IF(((INDEX(RulebookFields!D2:D1898, MATCH(D1341,RulebookFields!A2:A1898, 0))="")=TRUE),  "",  INDEX(RulebookFields!D2:D1898, MATCH(D1341,RulebookFields!A2:A1898, 0))), "")</f>
        <v>WasScoredAfterAttestation</v>
      </c>
      <c r="J1341" s="4" t="b">
        <f>_xlfn.IFNA(IF(((INDEX(RulebookFields!I2:I1898, MATCH(D1341,RulebookFields!A2:A1898, 0))="")=TRUE),  "",  INDEX(RulebookFields!I2:I1898, MATCH(D1341,RulebookFields!A2:A1898, 0))), "")</f>
        <v>1</v>
      </c>
      <c r="K1341" s="4" t="b">
        <f>AND(((F1341)=TRUE), ((J1341)=TRUE))</f>
        <v>0</v>
      </c>
      <c r="L1341" s="4" t="b">
        <f>AND(((G1341 &lt;&gt; "plain")=TRUE), ((G1341 &lt;&gt; "")=TRUE))</f>
        <v>0</v>
      </c>
      <c r="M1341" s="4" t="str">
        <f>IF(((E1341)=TRUE),  C1341 &amp; "|" &amp; H1341,  "")</f>
        <v>principal-process-steward|RequirementSatisfactions</v>
      </c>
      <c r="N1341" s="3" t="s">
        <v>10004</v>
      </c>
    </row>
    <row r="1342">
      <c r="A1342" s="3" t="s">
        <v>11344</v>
      </c>
      <c r="B1342" s="4" t="str">
        <f>C1342 &amp; " -&gt; " &amp; D1342</f>
        <v>principal-process-steward -&gt; RequirementSatisfactions.AttestationInstantForRun</v>
      </c>
      <c r="C1342" s="3" t="s">
        <v>9772</v>
      </c>
      <c r="D1342" s="3" t="s">
        <v>3848</v>
      </c>
      <c r="E1342" s="3" t="b">
        <v>1</v>
      </c>
      <c r="F1342" s="3" t="b">
        <v>0</v>
      </c>
      <c r="G1342" s="3" t="s">
        <v>10003</v>
      </c>
      <c r="H1342" s="4" t="str">
        <f>_xlfn.IFNA(IF(((INDEX(RulebookFields!C2:C1898, MATCH(D1342,RulebookFields!A2:A1898, 0))="")=TRUE),  "",  INDEX(RulebookFields!C2:C1898, MATCH(D1342,RulebookFields!A2:A1898, 0))), "")</f>
        <v>RequirementSatisfactions</v>
      </c>
      <c r="I1342" s="4" t="str">
        <f>_xlfn.IFNA(IF(((INDEX(RulebookFields!D2:D1898, MATCH(D1342,RulebookFields!A2:A1898, 0))="")=TRUE),  "",  INDEX(RulebookFields!D2:D1898, MATCH(D1342,RulebookFields!A2:A1898, 0))), "")</f>
        <v>AttestationInstantForRun</v>
      </c>
      <c r="J1342" s="4" t="b">
        <f>_xlfn.IFNA(IF(((INDEX(RulebookFields!I2:I1898, MATCH(D1342,RulebookFields!A2:A1898, 0))="")=TRUE),  "",  INDEX(RulebookFields!I2:I1898, MATCH(D1342,RulebookFields!A2:A1898, 0))), "")</f>
        <v>1</v>
      </c>
      <c r="K1342" s="4" t="b">
        <f>AND(((F1342)=TRUE), ((J1342)=TRUE))</f>
        <v>0</v>
      </c>
      <c r="L1342" s="4" t="b">
        <f>AND(((G1342 &lt;&gt; "plain")=TRUE), ((G1342 &lt;&gt; "")=TRUE))</f>
        <v>0</v>
      </c>
      <c r="M1342" s="4" t="str">
        <f>IF(((E1342)=TRUE),  C1342 &amp; "|" &amp; H1342,  "")</f>
        <v>principal-process-steward|RequirementSatisfactions</v>
      </c>
      <c r="N1342" s="3" t="s">
        <v>10004</v>
      </c>
    </row>
    <row r="1343">
      <c r="A1343" s="3" t="s">
        <v>11345</v>
      </c>
      <c r="B1343" s="4" t="str">
        <f>C1343 &amp; " -&gt; " &amp; D1343</f>
        <v>principal-process-steward -&gt; RequirementSatisfactions.PostAttestationScoreExecutionKey</v>
      </c>
      <c r="C1343" s="3" t="s">
        <v>9772</v>
      </c>
      <c r="D1343" s="3" t="s">
        <v>3850</v>
      </c>
      <c r="E1343" s="3" t="b">
        <v>1</v>
      </c>
      <c r="F1343" s="3" t="b">
        <v>0</v>
      </c>
      <c r="G1343" s="3" t="s">
        <v>10003</v>
      </c>
      <c r="H1343" s="4" t="str">
        <f>_xlfn.IFNA(IF(((INDEX(RulebookFields!C2:C1898, MATCH(D1343,RulebookFields!A2:A1898, 0))="")=TRUE),  "",  INDEX(RulebookFields!C2:C1898, MATCH(D1343,RulebookFields!A2:A1898, 0))), "")</f>
        <v>RequirementSatisfactions</v>
      </c>
      <c r="I1343" s="4" t="str">
        <f>_xlfn.IFNA(IF(((INDEX(RulebookFields!D2:D1898, MATCH(D1343,RulebookFields!A2:A1898, 0))="")=TRUE),  "",  INDEX(RulebookFields!D2:D1898, MATCH(D1343,RulebookFields!A2:A1898, 0))), "")</f>
        <v>PostAttestationScoreExecutionKey</v>
      </c>
      <c r="J1343" s="4" t="b">
        <f>_xlfn.IFNA(IF(((INDEX(RulebookFields!I2:I1898, MATCH(D1343,RulebookFields!A2:A1898, 0))="")=TRUE),  "",  INDEX(RulebookFields!I2:I1898, MATCH(D1343,RulebookFields!A2:A1898, 0))), "")</f>
        <v>1</v>
      </c>
      <c r="K1343" s="4" t="b">
        <f>AND(((F1343)=TRUE), ((J1343)=TRUE))</f>
        <v>0</v>
      </c>
      <c r="L1343" s="4" t="b">
        <f>AND(((G1343 &lt;&gt; "plain")=TRUE), ((G1343 &lt;&gt; "")=TRUE))</f>
        <v>0</v>
      </c>
      <c r="M1343" s="4" t="str">
        <f>IF(((E1343)=TRUE),  C1343 &amp; "|" &amp; H1343,  "")</f>
        <v>principal-process-steward|RequirementSatisfactions</v>
      </c>
      <c r="N1343" s="3" t="s">
        <v>10004</v>
      </c>
    </row>
    <row r="1344">
      <c r="A1344" s="3" t="s">
        <v>11346</v>
      </c>
      <c r="B1344" s="4" t="str">
        <f>C1344 &amp; " -&gt; " &amp; D1344</f>
        <v>principal-process-steward -&gt; RequirementSatisfactions.SemanticTypeIri</v>
      </c>
      <c r="C1344" s="3" t="s">
        <v>9772</v>
      </c>
      <c r="D1344" s="3" t="s">
        <v>3852</v>
      </c>
      <c r="E1344" s="3" t="b">
        <v>1</v>
      </c>
      <c r="F1344" s="3" t="b">
        <v>0</v>
      </c>
      <c r="G1344" s="3" t="s">
        <v>10003</v>
      </c>
      <c r="H1344" s="4" t="str">
        <f>_xlfn.IFNA(IF(((INDEX(RulebookFields!C2:C1898, MATCH(D1344,RulebookFields!A2:A1898, 0))="")=TRUE),  "",  INDEX(RulebookFields!C2:C1898, MATCH(D1344,RulebookFields!A2:A1898, 0))), "")</f>
        <v>RequirementSatisfactions</v>
      </c>
      <c r="I1344" s="4" t="str">
        <f>_xlfn.IFNA(IF(((INDEX(RulebookFields!D2:D1898, MATCH(D1344,RulebookFields!A2:A1898, 0))="")=TRUE),  "",  INDEX(RulebookFields!D2:D1898, MATCH(D1344,RulebookFields!A2:A1898, 0))), "")</f>
        <v>SemanticTypeIri</v>
      </c>
      <c r="J1344" s="4" t="b">
        <f>_xlfn.IFNA(IF(((INDEX(RulebookFields!I2:I1898, MATCH(D1344,RulebookFields!A2:A1898, 0))="")=TRUE),  "",  INDEX(RulebookFields!I2:I1898, MATCH(D1344,RulebookFields!A2:A1898, 0))), "")</f>
        <v>0</v>
      </c>
      <c r="K1344" s="4" t="b">
        <f>AND(((F1344)=TRUE), ((J1344)=TRUE))</f>
        <v>0</v>
      </c>
      <c r="L1344" s="4" t="b">
        <f>AND(((G1344 &lt;&gt; "plain")=TRUE), ((G1344 &lt;&gt; "")=TRUE))</f>
        <v>0</v>
      </c>
      <c r="M1344" s="4" t="str">
        <f>IF(((E1344)=TRUE),  C1344 &amp; "|" &amp; H1344,  "")</f>
        <v>principal-process-steward|RequirementSatisfactions</v>
      </c>
      <c r="N1344" s="3" t="s">
        <v>10004</v>
      </c>
    </row>
    <row r="1345">
      <c r="A1345" s="3" t="s">
        <v>11347</v>
      </c>
      <c r="B1345" s="4" t="str">
        <f>C1345 &amp; " -&gt; " &amp; D1345</f>
        <v>principal-process-steward -&gt; Requirements.RequirementId</v>
      </c>
      <c r="C1345" s="3" t="s">
        <v>9772</v>
      </c>
      <c r="D1345" s="3" t="s">
        <v>3045</v>
      </c>
      <c r="E1345" s="3" t="b">
        <v>1</v>
      </c>
      <c r="F1345" s="3" t="b">
        <v>0</v>
      </c>
      <c r="G1345" s="3" t="s">
        <v>10003</v>
      </c>
      <c r="H1345" s="4" t="str">
        <f>_xlfn.IFNA(IF(((INDEX(RulebookFields!C2:C1898, MATCH(D1345,RulebookFields!A2:A1898, 0))="")=TRUE),  "",  INDEX(RulebookFields!C2:C1898, MATCH(D1345,RulebookFields!A2:A1898, 0))), "")</f>
        <v>Requirements</v>
      </c>
      <c r="I1345" s="4" t="str">
        <f>_xlfn.IFNA(IF(((INDEX(RulebookFields!D2:D1898, MATCH(D1345,RulebookFields!A2:A1898, 0))="")=TRUE),  "",  INDEX(RulebookFields!D2:D1898, MATCH(D1345,RulebookFields!A2:A1898, 0))), "")</f>
        <v>RequirementId</v>
      </c>
      <c r="J1345" s="4" t="b">
        <f>_xlfn.IFNA(IF(((INDEX(RulebookFields!I2:I1898, MATCH(D1345,RulebookFields!A2:A1898, 0))="")=TRUE),  "",  INDEX(RulebookFields!I2:I1898, MATCH(D1345,RulebookFields!A2:A1898, 0))), "")</f>
        <v>0</v>
      </c>
      <c r="K1345" s="4" t="b">
        <f>AND(((F1345)=TRUE), ((J1345)=TRUE))</f>
        <v>0</v>
      </c>
      <c r="L1345" s="4" t="b">
        <f>AND(((G1345 &lt;&gt; "plain")=TRUE), ((G1345 &lt;&gt; "")=TRUE))</f>
        <v>0</v>
      </c>
      <c r="M1345" s="4" t="str">
        <f>IF(((E1345)=TRUE),  C1345 &amp; "|" &amp; H1345,  "")</f>
        <v>principal-process-steward|Requirements</v>
      </c>
      <c r="N1345" s="3" t="s">
        <v>10004</v>
      </c>
    </row>
    <row r="1346">
      <c r="A1346" s="3" t="s">
        <v>11348</v>
      </c>
      <c r="B1346" s="4" t="str">
        <f>C1346 &amp; " -&gt; " &amp; D1346</f>
        <v>principal-process-steward -&gt; Requirements.Name</v>
      </c>
      <c r="C1346" s="3" t="s">
        <v>9772</v>
      </c>
      <c r="D1346" s="3" t="s">
        <v>3046</v>
      </c>
      <c r="E1346" s="3" t="b">
        <v>1</v>
      </c>
      <c r="F1346" s="3" t="b">
        <v>0</v>
      </c>
      <c r="G1346" s="3" t="s">
        <v>10003</v>
      </c>
      <c r="H1346" s="4" t="str">
        <f>_xlfn.IFNA(IF(((INDEX(RulebookFields!C2:C1898, MATCH(D1346,RulebookFields!A2:A1898, 0))="")=TRUE),  "",  INDEX(RulebookFields!C2:C1898, MATCH(D1346,RulebookFields!A2:A1898, 0))), "")</f>
        <v>Requirements</v>
      </c>
      <c r="I1346" s="4" t="str">
        <f>_xlfn.IFNA(IF(((INDEX(RulebookFields!D2:D1898, MATCH(D1346,RulebookFields!A2:A1898, 0))="")=TRUE),  "",  INDEX(RulebookFields!D2:D1898, MATCH(D1346,RulebookFields!A2:A1898, 0))), "")</f>
        <v>Name</v>
      </c>
      <c r="J1346" s="4" t="b">
        <f>_xlfn.IFNA(IF(((INDEX(RulebookFields!I2:I1898, MATCH(D1346,RulebookFields!A2:A1898, 0))="")=TRUE),  "",  INDEX(RulebookFields!I2:I1898, MATCH(D1346,RulebookFields!A2:A1898, 0))), "")</f>
        <v>1</v>
      </c>
      <c r="K1346" s="4" t="b">
        <f>AND(((F1346)=TRUE), ((J1346)=TRUE))</f>
        <v>0</v>
      </c>
      <c r="L1346" s="4" t="b">
        <f>AND(((G1346 &lt;&gt; "plain")=TRUE), ((G1346 &lt;&gt; "")=TRUE))</f>
        <v>0</v>
      </c>
      <c r="M1346" s="4" t="str">
        <f>IF(((E1346)=TRUE),  C1346 &amp; "|" &amp; H1346,  "")</f>
        <v>principal-process-steward|Requirements</v>
      </c>
      <c r="N1346" s="3" t="s">
        <v>10004</v>
      </c>
    </row>
    <row r="1347">
      <c r="A1347" s="3" t="s">
        <v>11349</v>
      </c>
      <c r="B1347" s="4" t="str">
        <f>C1347 &amp; " -&gt; " &amp; D1347</f>
        <v>principal-process-steward -&gt; Requirements.Label</v>
      </c>
      <c r="C1347" s="3" t="s">
        <v>9772</v>
      </c>
      <c r="D1347" s="3" t="s">
        <v>3047</v>
      </c>
      <c r="E1347" s="3" t="b">
        <v>1</v>
      </c>
      <c r="F1347" s="3" t="b">
        <v>0</v>
      </c>
      <c r="G1347" s="3" t="s">
        <v>10003</v>
      </c>
      <c r="H1347" s="4" t="str">
        <f>_xlfn.IFNA(IF(((INDEX(RulebookFields!C2:C1898, MATCH(D1347,RulebookFields!A2:A1898, 0))="")=TRUE),  "",  INDEX(RulebookFields!C2:C1898, MATCH(D1347,RulebookFields!A2:A1898, 0))), "")</f>
        <v>Requirements</v>
      </c>
      <c r="I1347" s="4" t="str">
        <f>_xlfn.IFNA(IF(((INDEX(RulebookFields!D2:D1898, MATCH(D1347,RulebookFields!A2:A1898, 0))="")=TRUE),  "",  INDEX(RulebookFields!D2:D1898, MATCH(D1347,RulebookFields!A2:A1898, 0))), "")</f>
        <v>Label</v>
      </c>
      <c r="J1347" s="4" t="b">
        <f>_xlfn.IFNA(IF(((INDEX(RulebookFields!I2:I1898, MATCH(D1347,RulebookFields!A2:A1898, 0))="")=TRUE),  "",  INDEX(RulebookFields!I2:I1898, MATCH(D1347,RulebookFields!A2:A1898, 0))), "")</f>
        <v>0</v>
      </c>
      <c r="K1347" s="4" t="b">
        <f>AND(((F1347)=TRUE), ((J1347)=TRUE))</f>
        <v>0</v>
      </c>
      <c r="L1347" s="4" t="b">
        <f>AND(((G1347 &lt;&gt; "plain")=TRUE), ((G1347 &lt;&gt; "")=TRUE))</f>
        <v>0</v>
      </c>
      <c r="M1347" s="4" t="str">
        <f>IF(((E1347)=TRUE),  C1347 &amp; "|" &amp; H1347,  "")</f>
        <v>principal-process-steward|Requirements</v>
      </c>
      <c r="N1347" s="3" t="s">
        <v>10004</v>
      </c>
    </row>
    <row r="1348">
      <c r="A1348" s="3" t="s">
        <v>11350</v>
      </c>
      <c r="B1348" s="4" t="str">
        <f>C1348 &amp; " -&gt; " &amp; D1348</f>
        <v>principal-process-steward -&gt; Requirements.RequirementType</v>
      </c>
      <c r="C1348" s="3" t="s">
        <v>9772</v>
      </c>
      <c r="D1348" s="3" t="s">
        <v>3048</v>
      </c>
      <c r="E1348" s="3" t="b">
        <v>1</v>
      </c>
      <c r="F1348" s="3" t="b">
        <v>0</v>
      </c>
      <c r="G1348" s="3" t="s">
        <v>10003</v>
      </c>
      <c r="H1348" s="4" t="str">
        <f>_xlfn.IFNA(IF(((INDEX(RulebookFields!C2:C1898, MATCH(D1348,RulebookFields!A2:A1898, 0))="")=TRUE),  "",  INDEX(RulebookFields!C2:C1898, MATCH(D1348,RulebookFields!A2:A1898, 0))), "")</f>
        <v>Requirements</v>
      </c>
      <c r="I1348" s="4" t="str">
        <f>_xlfn.IFNA(IF(((INDEX(RulebookFields!D2:D1898, MATCH(D1348,RulebookFields!A2:A1898, 0))="")=TRUE),  "",  INDEX(RulebookFields!D2:D1898, MATCH(D1348,RulebookFields!A2:A1898, 0))), "")</f>
        <v>RequirementType</v>
      </c>
      <c r="J1348" s="4" t="b">
        <f>_xlfn.IFNA(IF(((INDEX(RulebookFields!I2:I1898, MATCH(D1348,RulebookFields!A2:A1898, 0))="")=TRUE),  "",  INDEX(RulebookFields!I2:I1898, MATCH(D1348,RulebookFields!A2:A1898, 0))), "")</f>
        <v>0</v>
      </c>
      <c r="K1348" s="4" t="b">
        <f>AND(((F1348)=TRUE), ((J1348)=TRUE))</f>
        <v>0</v>
      </c>
      <c r="L1348" s="4" t="b">
        <f>AND(((G1348 &lt;&gt; "plain")=TRUE), ((G1348 &lt;&gt; "")=TRUE))</f>
        <v>0</v>
      </c>
      <c r="M1348" s="4" t="str">
        <f>IF(((E1348)=TRUE),  C1348 &amp; "|" &amp; H1348,  "")</f>
        <v>principal-process-steward|Requirements</v>
      </c>
      <c r="N1348" s="3" t="s">
        <v>10004</v>
      </c>
    </row>
    <row r="1349">
      <c r="A1349" s="3" t="s">
        <v>11351</v>
      </c>
      <c r="B1349" s="4" t="str">
        <f>C1349 &amp; " -&gt; " &amp; D1349</f>
        <v>principal-process-steward -&gt; Requirements.Statement</v>
      </c>
      <c r="C1349" s="3" t="s">
        <v>9772</v>
      </c>
      <c r="D1349" s="3" t="s">
        <v>3049</v>
      </c>
      <c r="E1349" s="3" t="b">
        <v>1</v>
      </c>
      <c r="F1349" s="3" t="b">
        <v>0</v>
      </c>
      <c r="G1349" s="3" t="s">
        <v>10003</v>
      </c>
      <c r="H1349" s="4" t="str">
        <f>_xlfn.IFNA(IF(((INDEX(RulebookFields!C2:C1898, MATCH(D1349,RulebookFields!A2:A1898, 0))="")=TRUE),  "",  INDEX(RulebookFields!C2:C1898, MATCH(D1349,RulebookFields!A2:A1898, 0))), "")</f>
        <v>Requirements</v>
      </c>
      <c r="I1349" s="4" t="str">
        <f>_xlfn.IFNA(IF(((INDEX(RulebookFields!D2:D1898, MATCH(D1349,RulebookFields!A2:A1898, 0))="")=TRUE),  "",  INDEX(RulebookFields!D2:D1898, MATCH(D1349,RulebookFields!A2:A1898, 0))), "")</f>
        <v>Statement</v>
      </c>
      <c r="J1349" s="4" t="b">
        <f>_xlfn.IFNA(IF(((INDEX(RulebookFields!I2:I1898, MATCH(D1349,RulebookFields!A2:A1898, 0))="")=TRUE),  "",  INDEX(RulebookFields!I2:I1898, MATCH(D1349,RulebookFields!A2:A1898, 0))), "")</f>
        <v>0</v>
      </c>
      <c r="K1349" s="4" t="b">
        <f>AND(((F1349)=TRUE), ((J1349)=TRUE))</f>
        <v>0</v>
      </c>
      <c r="L1349" s="4" t="b">
        <f>AND(((G1349 &lt;&gt; "plain")=TRUE), ((G1349 &lt;&gt; "")=TRUE))</f>
        <v>0</v>
      </c>
      <c r="M1349" s="4" t="str">
        <f>IF(((E1349)=TRUE),  C1349 &amp; "|" &amp; H1349,  "")</f>
        <v>principal-process-steward|Requirements</v>
      </c>
      <c r="N1349" s="3" t="s">
        <v>10004</v>
      </c>
    </row>
    <row r="1350">
      <c r="A1350" s="3" t="s">
        <v>11352</v>
      </c>
      <c r="B1350" s="4" t="str">
        <f>C1350 &amp; " -&gt; " &amp; D1350</f>
        <v>principal-process-steward -&gt; Requirements.Rationale</v>
      </c>
      <c r="C1350" s="3" t="s">
        <v>9772</v>
      </c>
      <c r="D1350" s="3" t="s">
        <v>3050</v>
      </c>
      <c r="E1350" s="3" t="b">
        <v>1</v>
      </c>
      <c r="F1350" s="3" t="b">
        <v>0</v>
      </c>
      <c r="G1350" s="3" t="s">
        <v>10003</v>
      </c>
      <c r="H1350" s="4" t="str">
        <f>_xlfn.IFNA(IF(((INDEX(RulebookFields!C2:C1898, MATCH(D1350,RulebookFields!A2:A1898, 0))="")=TRUE),  "",  INDEX(RulebookFields!C2:C1898, MATCH(D1350,RulebookFields!A2:A1898, 0))), "")</f>
        <v>Requirements</v>
      </c>
      <c r="I1350" s="4" t="str">
        <f>_xlfn.IFNA(IF(((INDEX(RulebookFields!D2:D1898, MATCH(D1350,RulebookFields!A2:A1898, 0))="")=TRUE),  "",  INDEX(RulebookFields!D2:D1898, MATCH(D1350,RulebookFields!A2:A1898, 0))), "")</f>
        <v>Rationale</v>
      </c>
      <c r="J1350" s="4" t="b">
        <f>_xlfn.IFNA(IF(((INDEX(RulebookFields!I2:I1898, MATCH(D1350,RulebookFields!A2:A1898, 0))="")=TRUE),  "",  INDEX(RulebookFields!I2:I1898, MATCH(D1350,RulebookFields!A2:A1898, 0))), "")</f>
        <v>0</v>
      </c>
      <c r="K1350" s="4" t="b">
        <f>AND(((F1350)=TRUE), ((J1350)=TRUE))</f>
        <v>0</v>
      </c>
      <c r="L1350" s="4" t="b">
        <f>AND(((G1350 &lt;&gt; "plain")=TRUE), ((G1350 &lt;&gt; "")=TRUE))</f>
        <v>0</v>
      </c>
      <c r="M1350" s="4" t="str">
        <f>IF(((E1350)=TRUE),  C1350 &amp; "|" &amp; H1350,  "")</f>
        <v>principal-process-steward|Requirements</v>
      </c>
      <c r="N1350" s="3" t="s">
        <v>10004</v>
      </c>
    </row>
    <row r="1351">
      <c r="A1351" s="3" t="s">
        <v>11353</v>
      </c>
      <c r="B1351" s="4" t="str">
        <f>C1351 &amp; " -&gt; " &amp; D1351</f>
        <v>principal-process-steward -&gt; Requirements.IsBlocking</v>
      </c>
      <c r="C1351" s="3" t="s">
        <v>9772</v>
      </c>
      <c r="D1351" s="3" t="s">
        <v>3051</v>
      </c>
      <c r="E1351" s="3" t="b">
        <v>1</v>
      </c>
      <c r="F1351" s="3" t="b">
        <v>0</v>
      </c>
      <c r="G1351" s="3" t="s">
        <v>10003</v>
      </c>
      <c r="H1351" s="4" t="str">
        <f>_xlfn.IFNA(IF(((INDEX(RulebookFields!C2:C1898, MATCH(D1351,RulebookFields!A2:A1898, 0))="")=TRUE),  "",  INDEX(RulebookFields!C2:C1898, MATCH(D1351,RulebookFields!A2:A1898, 0))), "")</f>
        <v>Requirements</v>
      </c>
      <c r="I1351" s="4" t="str">
        <f>_xlfn.IFNA(IF(((INDEX(RulebookFields!D2:D1898, MATCH(D1351,RulebookFields!A2:A1898, 0))="")=TRUE),  "",  INDEX(RulebookFields!D2:D1898, MATCH(D1351,RulebookFields!A2:A1898, 0))), "")</f>
        <v>IsBlocking</v>
      </c>
      <c r="J1351" s="4" t="b">
        <f>_xlfn.IFNA(IF(((INDEX(RulebookFields!I2:I1898, MATCH(D1351,RulebookFields!A2:A1898, 0))="")=TRUE),  "",  INDEX(RulebookFields!I2:I1898, MATCH(D1351,RulebookFields!A2:A1898, 0))), "")</f>
        <v>0</v>
      </c>
      <c r="K1351" s="4" t="b">
        <f>AND(((F1351)=TRUE), ((J1351)=TRUE))</f>
        <v>0</v>
      </c>
      <c r="L1351" s="4" t="b">
        <f>AND(((G1351 &lt;&gt; "plain")=TRUE), ((G1351 &lt;&gt; "")=TRUE))</f>
        <v>0</v>
      </c>
      <c r="M1351" s="4" t="str">
        <f>IF(((E1351)=TRUE),  C1351 &amp; "|" &amp; H1351,  "")</f>
        <v>principal-process-steward|Requirements</v>
      </c>
      <c r="N1351" s="3" t="s">
        <v>10004</v>
      </c>
    </row>
    <row r="1352">
      <c r="A1352" s="3" t="s">
        <v>11354</v>
      </c>
      <c r="B1352" s="4" t="str">
        <f>C1352 &amp; " -&gt; " &amp; D1352</f>
        <v>principal-process-steward -&gt; Requirements.SatisfactionRecordCount</v>
      </c>
      <c r="C1352" s="3" t="s">
        <v>9772</v>
      </c>
      <c r="D1352" s="3" t="s">
        <v>3052</v>
      </c>
      <c r="E1352" s="3" t="b">
        <v>1</v>
      </c>
      <c r="F1352" s="3" t="b">
        <v>0</v>
      </c>
      <c r="G1352" s="3" t="s">
        <v>10003</v>
      </c>
      <c r="H1352" s="4" t="str">
        <f>_xlfn.IFNA(IF(((INDEX(RulebookFields!C2:C1898, MATCH(D1352,RulebookFields!A2:A1898, 0))="")=TRUE),  "",  INDEX(RulebookFields!C2:C1898, MATCH(D1352,RulebookFields!A2:A1898, 0))), "")</f>
        <v>Requirements</v>
      </c>
      <c r="I1352" s="4" t="str">
        <f>_xlfn.IFNA(IF(((INDEX(RulebookFields!D2:D1898, MATCH(D1352,RulebookFields!A2:A1898, 0))="")=TRUE),  "",  INDEX(RulebookFields!D2:D1898, MATCH(D1352,RulebookFields!A2:A1898, 0))), "")</f>
        <v>SatisfactionRecordCount</v>
      </c>
      <c r="J1352" s="4" t="b">
        <f>_xlfn.IFNA(IF(((INDEX(RulebookFields!I2:I1898, MATCH(D1352,RulebookFields!A2:A1898, 0))="")=TRUE),  "",  INDEX(RulebookFields!I2:I1898, MATCH(D1352,RulebookFields!A2:A1898, 0))), "")</f>
        <v>1</v>
      </c>
      <c r="K1352" s="4" t="b">
        <f>AND(((F1352)=TRUE), ((J1352)=TRUE))</f>
        <v>0</v>
      </c>
      <c r="L1352" s="4" t="b">
        <f>AND(((G1352 &lt;&gt; "plain")=TRUE), ((G1352 &lt;&gt; "")=TRUE))</f>
        <v>0</v>
      </c>
      <c r="M1352" s="4" t="str">
        <f>IF(((E1352)=TRUE),  C1352 &amp; "|" &amp; H1352,  "")</f>
        <v>principal-process-steward|Requirements</v>
      </c>
      <c r="N1352" s="3" t="s">
        <v>10004</v>
      </c>
    </row>
    <row r="1353">
      <c r="A1353" s="3" t="s">
        <v>11355</v>
      </c>
      <c r="B1353" s="4" t="str">
        <f>C1353 &amp; " -&gt; " &amp; D1353</f>
        <v>principal-process-steward -&gt; Requirements.StepBindingCount</v>
      </c>
      <c r="C1353" s="3" t="s">
        <v>9772</v>
      </c>
      <c r="D1353" s="3" t="s">
        <v>3054</v>
      </c>
      <c r="E1353" s="3" t="b">
        <v>1</v>
      </c>
      <c r="F1353" s="3" t="b">
        <v>0</v>
      </c>
      <c r="G1353" s="3" t="s">
        <v>10003</v>
      </c>
      <c r="H1353" s="4" t="str">
        <f>_xlfn.IFNA(IF(((INDEX(RulebookFields!C2:C1898, MATCH(D1353,RulebookFields!A2:A1898, 0))="")=TRUE),  "",  INDEX(RulebookFields!C2:C1898, MATCH(D1353,RulebookFields!A2:A1898, 0))), "")</f>
        <v>Requirements</v>
      </c>
      <c r="I1353" s="4" t="str">
        <f>_xlfn.IFNA(IF(((INDEX(RulebookFields!D2:D1898, MATCH(D1353,RulebookFields!A2:A1898, 0))="")=TRUE),  "",  INDEX(RulebookFields!D2:D1898, MATCH(D1353,RulebookFields!A2:A1898, 0))), "")</f>
        <v>StepBindingCount</v>
      </c>
      <c r="J1353" s="4" t="b">
        <f>_xlfn.IFNA(IF(((INDEX(RulebookFields!I2:I1898, MATCH(D1353,RulebookFields!A2:A1898, 0))="")=TRUE),  "",  INDEX(RulebookFields!I2:I1898, MATCH(D1353,RulebookFields!A2:A1898, 0))), "")</f>
        <v>1</v>
      </c>
      <c r="K1353" s="4" t="b">
        <f>AND(((F1353)=TRUE), ((J1353)=TRUE))</f>
        <v>0</v>
      </c>
      <c r="L1353" s="4" t="b">
        <f>AND(((G1353 &lt;&gt; "plain")=TRUE), ((G1353 &lt;&gt; "")=TRUE))</f>
        <v>0</v>
      </c>
      <c r="M1353" s="4" t="str">
        <f>IF(((E1353)=TRUE),  C1353 &amp; "|" &amp; H1353,  "")</f>
        <v>principal-process-steward|Requirements</v>
      </c>
      <c r="N1353" s="3" t="s">
        <v>10004</v>
      </c>
    </row>
    <row r="1354">
      <c r="A1354" s="3" t="s">
        <v>11356</v>
      </c>
      <c r="B1354" s="4" t="str">
        <f>C1354 &amp; " -&gt; " &amp; D1354</f>
        <v>principal-process-steward -&gt; Requirements.IsBoundToAnyStep</v>
      </c>
      <c r="C1354" s="3" t="s">
        <v>9772</v>
      </c>
      <c r="D1354" s="3" t="s">
        <v>3056</v>
      </c>
      <c r="E1354" s="3" t="b">
        <v>1</v>
      </c>
      <c r="F1354" s="3" t="b">
        <v>0</v>
      </c>
      <c r="G1354" s="3" t="s">
        <v>10003</v>
      </c>
      <c r="H1354" s="4" t="str">
        <f>_xlfn.IFNA(IF(((INDEX(RulebookFields!C2:C1898, MATCH(D1354,RulebookFields!A2:A1898, 0))="")=TRUE),  "",  INDEX(RulebookFields!C2:C1898, MATCH(D1354,RulebookFields!A2:A1898, 0))), "")</f>
        <v>Requirements</v>
      </c>
      <c r="I1354" s="4" t="str">
        <f>_xlfn.IFNA(IF(((INDEX(RulebookFields!D2:D1898, MATCH(D1354,RulebookFields!A2:A1898, 0))="")=TRUE),  "",  INDEX(RulebookFields!D2:D1898, MATCH(D1354,RulebookFields!A2:A1898, 0))), "")</f>
        <v>IsBoundToAnyStep</v>
      </c>
      <c r="J1354" s="4" t="b">
        <f>_xlfn.IFNA(IF(((INDEX(RulebookFields!I2:I1898, MATCH(D1354,RulebookFields!A2:A1898, 0))="")=TRUE),  "",  INDEX(RulebookFields!I2:I1898, MATCH(D1354,RulebookFields!A2:A1898, 0))), "")</f>
        <v>1</v>
      </c>
      <c r="K1354" s="4" t="b">
        <f>AND(((F1354)=TRUE), ((J1354)=TRUE))</f>
        <v>0</v>
      </c>
      <c r="L1354" s="4" t="b">
        <f>AND(((G1354 &lt;&gt; "plain")=TRUE), ((G1354 &lt;&gt; "")=TRUE))</f>
        <v>0</v>
      </c>
      <c r="M1354" s="4" t="str">
        <f>IF(((E1354)=TRUE),  C1354 &amp; "|" &amp; H1354,  "")</f>
        <v>principal-process-steward|Requirements</v>
      </c>
      <c r="N1354" s="3" t="s">
        <v>10004</v>
      </c>
    </row>
    <row r="1355">
      <c r="A1355" s="3" t="s">
        <v>11357</v>
      </c>
      <c r="B1355" s="4" t="str">
        <f>C1355 &amp; " -&gt; " &amp; D1355</f>
        <v>principal-process-steward -&gt; Requirements.HasEverBeenEvaluated</v>
      </c>
      <c r="C1355" s="3" t="s">
        <v>9772</v>
      </c>
      <c r="D1355" s="3" t="s">
        <v>3058</v>
      </c>
      <c r="E1355" s="3" t="b">
        <v>1</v>
      </c>
      <c r="F1355" s="3" t="b">
        <v>0</v>
      </c>
      <c r="G1355" s="3" t="s">
        <v>10003</v>
      </c>
      <c r="H1355" s="4" t="str">
        <f>_xlfn.IFNA(IF(((INDEX(RulebookFields!C2:C1898, MATCH(D1355,RulebookFields!A2:A1898, 0))="")=TRUE),  "",  INDEX(RulebookFields!C2:C1898, MATCH(D1355,RulebookFields!A2:A1898, 0))), "")</f>
        <v>Requirements</v>
      </c>
      <c r="I1355" s="4" t="str">
        <f>_xlfn.IFNA(IF(((INDEX(RulebookFields!D2:D1898, MATCH(D1355,RulebookFields!A2:A1898, 0))="")=TRUE),  "",  INDEX(RulebookFields!D2:D1898, MATCH(D1355,RulebookFields!A2:A1898, 0))), "")</f>
        <v>HasEverBeenEvaluated</v>
      </c>
      <c r="J1355" s="4" t="b">
        <f>_xlfn.IFNA(IF(((INDEX(RulebookFields!I2:I1898, MATCH(D1355,RulebookFields!A2:A1898, 0))="")=TRUE),  "",  INDEX(RulebookFields!I2:I1898, MATCH(D1355,RulebookFields!A2:A1898, 0))), "")</f>
        <v>1</v>
      </c>
      <c r="K1355" s="4" t="b">
        <f>AND(((F1355)=TRUE), ((J1355)=TRUE))</f>
        <v>0</v>
      </c>
      <c r="L1355" s="4" t="b">
        <f>AND(((G1355 &lt;&gt; "plain")=TRUE), ((G1355 &lt;&gt; "")=TRUE))</f>
        <v>0</v>
      </c>
      <c r="M1355" s="4" t="str">
        <f>IF(((E1355)=TRUE),  C1355 &amp; "|" &amp; H1355,  "")</f>
        <v>principal-process-steward|Requirements</v>
      </c>
      <c r="N1355" s="3" t="s">
        <v>10004</v>
      </c>
    </row>
    <row r="1356">
      <c r="A1356" s="3" t="s">
        <v>11358</v>
      </c>
      <c r="B1356" s="4" t="str">
        <f>C1356 &amp; " -&gt; " &amp; D1356</f>
        <v>principal-process-steward -&gt; Requirements.NegativeOutcomeCount</v>
      </c>
      <c r="C1356" s="3" t="s">
        <v>9772</v>
      </c>
      <c r="D1356" s="3" t="s">
        <v>3060</v>
      </c>
      <c r="E1356" s="3" t="b">
        <v>1</v>
      </c>
      <c r="F1356" s="3" t="b">
        <v>0</v>
      </c>
      <c r="G1356" s="3" t="s">
        <v>10003</v>
      </c>
      <c r="H1356" s="4" t="str">
        <f>_xlfn.IFNA(IF(((INDEX(RulebookFields!C2:C1898, MATCH(D1356,RulebookFields!A2:A1898, 0))="")=TRUE),  "",  INDEX(RulebookFields!C2:C1898, MATCH(D1356,RulebookFields!A2:A1898, 0))), "")</f>
        <v>Requirements</v>
      </c>
      <c r="I1356" s="4" t="str">
        <f>_xlfn.IFNA(IF(((INDEX(RulebookFields!D2:D1898, MATCH(D1356,RulebookFields!A2:A1898, 0))="")=TRUE),  "",  INDEX(RulebookFields!D2:D1898, MATCH(D1356,RulebookFields!A2:A1898, 0))), "")</f>
        <v>NegativeOutcomeCount</v>
      </c>
      <c r="J1356" s="4" t="b">
        <f>_xlfn.IFNA(IF(((INDEX(RulebookFields!I2:I1898, MATCH(D1356,RulebookFields!A2:A1898, 0))="")=TRUE),  "",  INDEX(RulebookFields!I2:I1898, MATCH(D1356,RulebookFields!A2:A1898, 0))), "")</f>
        <v>1</v>
      </c>
      <c r="K1356" s="4" t="b">
        <f>AND(((F1356)=TRUE), ((J1356)=TRUE))</f>
        <v>0</v>
      </c>
      <c r="L1356" s="4" t="b">
        <f>AND(((G1356 &lt;&gt; "plain")=TRUE), ((G1356 &lt;&gt; "")=TRUE))</f>
        <v>0</v>
      </c>
      <c r="M1356" s="4" t="str">
        <f>IF(((E1356)=TRUE),  C1356 &amp; "|" &amp; H1356,  "")</f>
        <v>principal-process-steward|Requirements</v>
      </c>
      <c r="N1356" s="3" t="s">
        <v>10004</v>
      </c>
    </row>
    <row r="1357">
      <c r="A1357" s="3" t="s">
        <v>11359</v>
      </c>
      <c r="B1357" s="4" t="str">
        <f>C1357 &amp; " -&gt; " &amp; D1357</f>
        <v>principal-process-steward -&gt; Requirements.IsInoperativeControl</v>
      </c>
      <c r="C1357" s="3" t="s">
        <v>9772</v>
      </c>
      <c r="D1357" s="3" t="s">
        <v>3062</v>
      </c>
      <c r="E1357" s="3" t="b">
        <v>1</v>
      </c>
      <c r="F1357" s="3" t="b">
        <v>0</v>
      </c>
      <c r="G1357" s="3" t="s">
        <v>10003</v>
      </c>
      <c r="H1357" s="4" t="str">
        <f>_xlfn.IFNA(IF(((INDEX(RulebookFields!C2:C1898, MATCH(D1357,RulebookFields!A2:A1898, 0))="")=TRUE),  "",  INDEX(RulebookFields!C2:C1898, MATCH(D1357,RulebookFields!A2:A1898, 0))), "")</f>
        <v>Requirements</v>
      </c>
      <c r="I1357" s="4" t="str">
        <f>_xlfn.IFNA(IF(((INDEX(RulebookFields!D2:D1898, MATCH(D1357,RulebookFields!A2:A1898, 0))="")=TRUE),  "",  INDEX(RulebookFields!D2:D1898, MATCH(D1357,RulebookFields!A2:A1898, 0))), "")</f>
        <v>IsInoperativeControl</v>
      </c>
      <c r="J1357" s="4" t="b">
        <f>_xlfn.IFNA(IF(((INDEX(RulebookFields!I2:I1898, MATCH(D1357,RulebookFields!A2:A1898, 0))="")=TRUE),  "",  INDEX(RulebookFields!I2:I1898, MATCH(D1357,RulebookFields!A2:A1898, 0))), "")</f>
        <v>1</v>
      </c>
      <c r="K1357" s="4" t="b">
        <f>AND(((F1357)=TRUE), ((J1357)=TRUE))</f>
        <v>0</v>
      </c>
      <c r="L1357" s="4" t="b">
        <f>AND(((G1357 &lt;&gt; "plain")=TRUE), ((G1357 &lt;&gt; "")=TRUE))</f>
        <v>0</v>
      </c>
      <c r="M1357" s="4" t="str">
        <f>IF(((E1357)=TRUE),  C1357 &amp; "|" &amp; H1357,  "")</f>
        <v>principal-process-steward|Requirements</v>
      </c>
      <c r="N1357" s="3" t="s">
        <v>10004</v>
      </c>
    </row>
    <row r="1358">
      <c r="A1358" s="3" t="s">
        <v>11360</v>
      </c>
      <c r="B1358" s="4" t="str">
        <f>C1358 &amp; " -&gt; " &amp; D1358</f>
        <v>principal-process-steward -&gt; Requirements.IsDecorativeControl</v>
      </c>
      <c r="C1358" s="3" t="s">
        <v>9772</v>
      </c>
      <c r="D1358" s="3" t="s">
        <v>3064</v>
      </c>
      <c r="E1358" s="3" t="b">
        <v>1</v>
      </c>
      <c r="F1358" s="3" t="b">
        <v>0</v>
      </c>
      <c r="G1358" s="3" t="s">
        <v>10003</v>
      </c>
      <c r="H1358" s="4" t="str">
        <f>_xlfn.IFNA(IF(((INDEX(RulebookFields!C2:C1898, MATCH(D1358,RulebookFields!A2:A1898, 0))="")=TRUE),  "",  INDEX(RulebookFields!C2:C1898, MATCH(D1358,RulebookFields!A2:A1898, 0))), "")</f>
        <v>Requirements</v>
      </c>
      <c r="I1358" s="4" t="str">
        <f>_xlfn.IFNA(IF(((INDEX(RulebookFields!D2:D1898, MATCH(D1358,RulebookFields!A2:A1898, 0))="")=TRUE),  "",  INDEX(RulebookFields!D2:D1898, MATCH(D1358,RulebookFields!A2:A1898, 0))), "")</f>
        <v>IsDecorativeControl</v>
      </c>
      <c r="J1358" s="4" t="b">
        <f>_xlfn.IFNA(IF(((INDEX(RulebookFields!I2:I1898, MATCH(D1358,RulebookFields!A2:A1898, 0))="")=TRUE),  "",  INDEX(RulebookFields!I2:I1898, MATCH(D1358,RulebookFields!A2:A1898, 0))), "")</f>
        <v>1</v>
      </c>
      <c r="K1358" s="4" t="b">
        <f>AND(((F1358)=TRUE), ((J1358)=TRUE))</f>
        <v>0</v>
      </c>
      <c r="L1358" s="4" t="b">
        <f>AND(((G1358 &lt;&gt; "plain")=TRUE), ((G1358 &lt;&gt; "")=TRUE))</f>
        <v>0</v>
      </c>
      <c r="M1358" s="4" t="str">
        <f>IF(((E1358)=TRUE),  C1358 &amp; "|" &amp; H1358,  "")</f>
        <v>principal-process-steward|Requirements</v>
      </c>
      <c r="N1358" s="3" t="s">
        <v>10004</v>
      </c>
    </row>
    <row r="1359">
      <c r="A1359" s="3" t="s">
        <v>11361</v>
      </c>
      <c r="B1359" s="4" t="str">
        <f>C1359 &amp; " -&gt; " &amp; D1359</f>
        <v>principal-process-steward -&gt; Requirements.HasComputedWitness</v>
      </c>
      <c r="C1359" s="3" t="s">
        <v>9772</v>
      </c>
      <c r="D1359" s="3" t="s">
        <v>3066</v>
      </c>
      <c r="E1359" s="3" t="b">
        <v>1</v>
      </c>
      <c r="F1359" s="3" t="b">
        <v>0</v>
      </c>
      <c r="G1359" s="3" t="s">
        <v>10003</v>
      </c>
      <c r="H1359" s="4" t="str">
        <f>_xlfn.IFNA(IF(((INDEX(RulebookFields!C2:C1898, MATCH(D1359,RulebookFields!A2:A1898, 0))="")=TRUE),  "",  INDEX(RulebookFields!C2:C1898, MATCH(D1359,RulebookFields!A2:A1898, 0))), "")</f>
        <v>Requirements</v>
      </c>
      <c r="I1359" s="4" t="str">
        <f>_xlfn.IFNA(IF(((INDEX(RulebookFields!D2:D1898, MATCH(D1359,RulebookFields!A2:A1898, 0))="")=TRUE),  "",  INDEX(RulebookFields!D2:D1898, MATCH(D1359,RulebookFields!A2:A1898, 0))), "")</f>
        <v>HasComputedWitness</v>
      </c>
      <c r="J1359" s="4" t="b">
        <f>_xlfn.IFNA(IF(((INDEX(RulebookFields!I2:I1898, MATCH(D1359,RulebookFields!A2:A1898, 0))="")=TRUE),  "",  INDEX(RulebookFields!I2:I1898, MATCH(D1359,RulebookFields!A2:A1898, 0))), "")</f>
        <v>0</v>
      </c>
      <c r="K1359" s="4" t="b">
        <f>AND(((F1359)=TRUE), ((J1359)=TRUE))</f>
        <v>0</v>
      </c>
      <c r="L1359" s="4" t="b">
        <f>AND(((G1359 &lt;&gt; "plain")=TRUE), ((G1359 &lt;&gt; "")=TRUE))</f>
        <v>0</v>
      </c>
      <c r="M1359" s="4" t="str">
        <f>IF(((E1359)=TRUE),  C1359 &amp; "|" &amp; H1359,  "")</f>
        <v>principal-process-steward|Requirements</v>
      </c>
      <c r="N1359" s="3" t="s">
        <v>10004</v>
      </c>
    </row>
    <row r="1360">
      <c r="A1360" s="3" t="s">
        <v>11362</v>
      </c>
      <c r="B1360" s="4" t="str">
        <f>C1360 &amp; " -&gt; " &amp; D1360</f>
        <v>principal-process-steward -&gt; Requirements.WitnessFieldName</v>
      </c>
      <c r="C1360" s="3" t="s">
        <v>9772</v>
      </c>
      <c r="D1360" s="3" t="s">
        <v>3067</v>
      </c>
      <c r="E1360" s="3" t="b">
        <v>1</v>
      </c>
      <c r="F1360" s="3" t="b">
        <v>0</v>
      </c>
      <c r="G1360" s="3" t="s">
        <v>10003</v>
      </c>
      <c r="H1360" s="4" t="str">
        <f>_xlfn.IFNA(IF(((INDEX(RulebookFields!C2:C1898, MATCH(D1360,RulebookFields!A2:A1898, 0))="")=TRUE),  "",  INDEX(RulebookFields!C2:C1898, MATCH(D1360,RulebookFields!A2:A1898, 0))), "")</f>
        <v>Requirements</v>
      </c>
      <c r="I1360" s="4" t="str">
        <f>_xlfn.IFNA(IF(((INDEX(RulebookFields!D2:D1898, MATCH(D1360,RulebookFields!A2:A1898, 0))="")=TRUE),  "",  INDEX(RulebookFields!D2:D1898, MATCH(D1360,RulebookFields!A2:A1898, 0))), "")</f>
        <v>WitnessFieldName</v>
      </c>
      <c r="J1360" s="4" t="b">
        <f>_xlfn.IFNA(IF(((INDEX(RulebookFields!I2:I1898, MATCH(D1360,RulebookFields!A2:A1898, 0))="")=TRUE),  "",  INDEX(RulebookFields!I2:I1898, MATCH(D1360,RulebookFields!A2:A1898, 0))), "")</f>
        <v>0</v>
      </c>
      <c r="K1360" s="4" t="b">
        <f>AND(((F1360)=TRUE), ((J1360)=TRUE))</f>
        <v>0</v>
      </c>
      <c r="L1360" s="4" t="b">
        <f>AND(((G1360 &lt;&gt; "plain")=TRUE), ((G1360 &lt;&gt; "")=TRUE))</f>
        <v>0</v>
      </c>
      <c r="M1360" s="4" t="str">
        <f>IF(((E1360)=TRUE),  C1360 &amp; "|" &amp; H1360,  "")</f>
        <v>principal-process-steward|Requirements</v>
      </c>
      <c r="N1360" s="3" t="s">
        <v>10004</v>
      </c>
    </row>
    <row r="1361">
      <c r="A1361" s="3" t="s">
        <v>11363</v>
      </c>
      <c r="B1361" s="4" t="str">
        <f>C1361 &amp; " -&gt; " &amp; D1361</f>
        <v>principal-process-steward -&gt; Requirements.HasEverProducedNegative</v>
      </c>
      <c r="C1361" s="3" t="s">
        <v>9772</v>
      </c>
      <c r="D1361" s="3" t="s">
        <v>3068</v>
      </c>
      <c r="E1361" s="3" t="b">
        <v>1</v>
      </c>
      <c r="F1361" s="3" t="b">
        <v>0</v>
      </c>
      <c r="G1361" s="3" t="s">
        <v>10003</v>
      </c>
      <c r="H1361" s="4" t="str">
        <f>_xlfn.IFNA(IF(((INDEX(RulebookFields!C2:C1898, MATCH(D1361,RulebookFields!A2:A1898, 0))="")=TRUE),  "",  INDEX(RulebookFields!C2:C1898, MATCH(D1361,RulebookFields!A2:A1898, 0))), "")</f>
        <v>Requirements</v>
      </c>
      <c r="I1361" s="4" t="str">
        <f>_xlfn.IFNA(IF(((INDEX(RulebookFields!D2:D1898, MATCH(D1361,RulebookFields!A2:A1898, 0))="")=TRUE),  "",  INDEX(RulebookFields!D2:D1898, MATCH(D1361,RulebookFields!A2:A1898, 0))), "")</f>
        <v>HasEverProducedNegative</v>
      </c>
      <c r="J1361" s="4" t="b">
        <f>_xlfn.IFNA(IF(((INDEX(RulebookFields!I2:I1898, MATCH(D1361,RulebookFields!A2:A1898, 0))="")=TRUE),  "",  INDEX(RulebookFields!I2:I1898, MATCH(D1361,RulebookFields!A2:A1898, 0))), "")</f>
        <v>1</v>
      </c>
      <c r="K1361" s="4" t="b">
        <f>AND(((F1361)=TRUE), ((J1361)=TRUE))</f>
        <v>0</v>
      </c>
      <c r="L1361" s="4" t="b">
        <f>AND(((G1361 &lt;&gt; "plain")=TRUE), ((G1361 &lt;&gt; "")=TRUE))</f>
        <v>0</v>
      </c>
      <c r="M1361" s="4" t="str">
        <f>IF(((E1361)=TRUE),  C1361 &amp; "|" &amp; H1361,  "")</f>
        <v>principal-process-steward|Requirements</v>
      </c>
      <c r="N1361" s="3" t="s">
        <v>10004</v>
      </c>
    </row>
    <row r="1362">
      <c r="A1362" s="3" t="s">
        <v>11364</v>
      </c>
      <c r="B1362" s="4" t="str">
        <f>C1362 &amp; " -&gt; " &amp; D1362</f>
        <v>principal-process-steward -&gt; Requirements.IsUnfalsifiedControl</v>
      </c>
      <c r="C1362" s="3" t="s">
        <v>9772</v>
      </c>
      <c r="D1362" s="3" t="s">
        <v>3070</v>
      </c>
      <c r="E1362" s="3" t="b">
        <v>1</v>
      </c>
      <c r="F1362" s="3" t="b">
        <v>0</v>
      </c>
      <c r="G1362" s="3" t="s">
        <v>10003</v>
      </c>
      <c r="H1362" s="4" t="str">
        <f>_xlfn.IFNA(IF(((INDEX(RulebookFields!C2:C1898, MATCH(D1362,RulebookFields!A2:A1898, 0))="")=TRUE),  "",  INDEX(RulebookFields!C2:C1898, MATCH(D1362,RulebookFields!A2:A1898, 0))), "")</f>
        <v>Requirements</v>
      </c>
      <c r="I1362" s="4" t="str">
        <f>_xlfn.IFNA(IF(((INDEX(RulebookFields!D2:D1898, MATCH(D1362,RulebookFields!A2:A1898, 0))="")=TRUE),  "",  INDEX(RulebookFields!D2:D1898, MATCH(D1362,RulebookFields!A2:A1898, 0))), "")</f>
        <v>IsUnfalsifiedControl</v>
      </c>
      <c r="J1362" s="4" t="b">
        <f>_xlfn.IFNA(IF(((INDEX(RulebookFields!I2:I1898, MATCH(D1362,RulebookFields!A2:A1898, 0))="")=TRUE),  "",  INDEX(RulebookFields!I2:I1898, MATCH(D1362,RulebookFields!A2:A1898, 0))), "")</f>
        <v>1</v>
      </c>
      <c r="K1362" s="4" t="b">
        <f>AND(((F1362)=TRUE), ((J1362)=TRUE))</f>
        <v>0</v>
      </c>
      <c r="L1362" s="4" t="b">
        <f>AND(((G1362 &lt;&gt; "plain")=TRUE), ((G1362 &lt;&gt; "")=TRUE))</f>
        <v>0</v>
      </c>
      <c r="M1362" s="4" t="str">
        <f>IF(((E1362)=TRUE),  C1362 &amp; "|" &amp; H1362,  "")</f>
        <v>principal-process-steward|Requirements</v>
      </c>
      <c r="N1362" s="3" t="s">
        <v>10004</v>
      </c>
    </row>
    <row r="1363">
      <c r="A1363" s="3" t="s">
        <v>11365</v>
      </c>
      <c r="B1363" s="4" t="str">
        <f>C1363 &amp; " -&gt; " &amp; D1363</f>
        <v>principal-process-steward -&gt; Requirements.ClaimsAWitnessField</v>
      </c>
      <c r="C1363" s="3" t="s">
        <v>9772</v>
      </c>
      <c r="D1363" s="3" t="s">
        <v>3072</v>
      </c>
      <c r="E1363" s="3" t="b">
        <v>1</v>
      </c>
      <c r="F1363" s="3" t="b">
        <v>0</v>
      </c>
      <c r="G1363" s="3" t="s">
        <v>10003</v>
      </c>
      <c r="H1363" s="4" t="str">
        <f>_xlfn.IFNA(IF(((INDEX(RulebookFields!C2:C1898, MATCH(D1363,RulebookFields!A2:A1898, 0))="")=TRUE),  "",  INDEX(RulebookFields!C2:C1898, MATCH(D1363,RulebookFields!A2:A1898, 0))), "")</f>
        <v>Requirements</v>
      </c>
      <c r="I1363" s="4" t="str">
        <f>_xlfn.IFNA(IF(((INDEX(RulebookFields!D2:D1898, MATCH(D1363,RulebookFields!A2:A1898, 0))="")=TRUE),  "",  INDEX(RulebookFields!D2:D1898, MATCH(D1363,RulebookFields!A2:A1898, 0))), "")</f>
        <v>ClaimsAWitnessField</v>
      </c>
      <c r="J1363" s="4" t="b">
        <f>_xlfn.IFNA(IF(((INDEX(RulebookFields!I2:I1898, MATCH(D1363,RulebookFields!A2:A1898, 0))="")=TRUE),  "",  INDEX(RulebookFields!I2:I1898, MATCH(D1363,RulebookFields!A2:A1898, 0))), "")</f>
        <v>1</v>
      </c>
      <c r="K1363" s="4" t="b">
        <f>AND(((F1363)=TRUE), ((J1363)=TRUE))</f>
        <v>0</v>
      </c>
      <c r="L1363" s="4" t="b">
        <f>AND(((G1363 &lt;&gt; "plain")=TRUE), ((G1363 &lt;&gt; "")=TRUE))</f>
        <v>0</v>
      </c>
      <c r="M1363" s="4" t="str">
        <f>IF(((E1363)=TRUE),  C1363 &amp; "|" &amp; H1363,  "")</f>
        <v>principal-process-steward|Requirements</v>
      </c>
      <c r="N1363" s="3" t="s">
        <v>10004</v>
      </c>
    </row>
    <row r="1364">
      <c r="A1364" s="3" t="s">
        <v>11366</v>
      </c>
      <c r="B1364" s="4" t="str">
        <f>C1364 &amp; " -&gt; " &amp; D1364</f>
        <v>principal-process-steward -&gt; Requirements.NamedWitnessFieldExists</v>
      </c>
      <c r="C1364" s="3" t="s">
        <v>9772</v>
      </c>
      <c r="D1364" s="3" t="s">
        <v>3074</v>
      </c>
      <c r="E1364" s="3" t="b">
        <v>1</v>
      </c>
      <c r="F1364" s="3" t="b">
        <v>0</v>
      </c>
      <c r="G1364" s="3" t="s">
        <v>10003</v>
      </c>
      <c r="H1364" s="4" t="str">
        <f>_xlfn.IFNA(IF(((INDEX(RulebookFields!C2:C1898, MATCH(D1364,RulebookFields!A2:A1898, 0))="")=TRUE),  "",  INDEX(RulebookFields!C2:C1898, MATCH(D1364,RulebookFields!A2:A1898, 0))), "")</f>
        <v>Requirements</v>
      </c>
      <c r="I1364" s="4" t="str">
        <f>_xlfn.IFNA(IF(((INDEX(RulebookFields!D2:D1898, MATCH(D1364,RulebookFields!A2:A1898, 0))="")=TRUE),  "",  INDEX(RulebookFields!D2:D1898, MATCH(D1364,RulebookFields!A2:A1898, 0))), "")</f>
        <v>NamedWitnessFieldExists</v>
      </c>
      <c r="J1364" s="4" t="b">
        <f>_xlfn.IFNA(IF(((INDEX(RulebookFields!I2:I1898, MATCH(D1364,RulebookFields!A2:A1898, 0))="")=TRUE),  "",  INDEX(RulebookFields!I2:I1898, MATCH(D1364,RulebookFields!A2:A1898, 0))), "")</f>
        <v>1</v>
      </c>
      <c r="K1364" s="4" t="b">
        <f>AND(((F1364)=TRUE), ((J1364)=TRUE))</f>
        <v>0</v>
      </c>
      <c r="L1364" s="4" t="b">
        <f>AND(((G1364 &lt;&gt; "plain")=TRUE), ((G1364 &lt;&gt; "")=TRUE))</f>
        <v>0</v>
      </c>
      <c r="M1364" s="4" t="str">
        <f>IF(((E1364)=TRUE),  C1364 &amp; "|" &amp; H1364,  "")</f>
        <v>principal-process-steward|Requirements</v>
      </c>
      <c r="N1364" s="3" t="s">
        <v>10004</v>
      </c>
    </row>
    <row r="1365">
      <c r="A1365" s="3" t="s">
        <v>11367</v>
      </c>
      <c r="B1365" s="4" t="str">
        <f>C1365 &amp; " -&gt; " &amp; D1365</f>
        <v>principal-process-steward -&gt; Requirements.DerivedHasComputedWitness</v>
      </c>
      <c r="C1365" s="3" t="s">
        <v>9772</v>
      </c>
      <c r="D1365" s="3" t="s">
        <v>3076</v>
      </c>
      <c r="E1365" s="3" t="b">
        <v>1</v>
      </c>
      <c r="F1365" s="3" t="b">
        <v>0</v>
      </c>
      <c r="G1365" s="3" t="s">
        <v>10003</v>
      </c>
      <c r="H1365" s="4" t="str">
        <f>_xlfn.IFNA(IF(((INDEX(RulebookFields!C2:C1898, MATCH(D1365,RulebookFields!A2:A1898, 0))="")=TRUE),  "",  INDEX(RulebookFields!C2:C1898, MATCH(D1365,RulebookFields!A2:A1898, 0))), "")</f>
        <v>Requirements</v>
      </c>
      <c r="I1365" s="4" t="str">
        <f>_xlfn.IFNA(IF(((INDEX(RulebookFields!D2:D1898, MATCH(D1365,RulebookFields!A2:A1898, 0))="")=TRUE),  "",  INDEX(RulebookFields!D2:D1898, MATCH(D1365,RulebookFields!A2:A1898, 0))), "")</f>
        <v>DerivedHasComputedWitness</v>
      </c>
      <c r="J1365" s="4" t="b">
        <f>_xlfn.IFNA(IF(((INDEX(RulebookFields!I2:I1898, MATCH(D1365,RulebookFields!A2:A1898, 0))="")=TRUE),  "",  INDEX(RulebookFields!I2:I1898, MATCH(D1365,RulebookFields!A2:A1898, 0))), "")</f>
        <v>1</v>
      </c>
      <c r="K1365" s="4" t="b">
        <f>AND(((F1365)=TRUE), ((J1365)=TRUE))</f>
        <v>0</v>
      </c>
      <c r="L1365" s="4" t="b">
        <f>AND(((G1365 &lt;&gt; "plain")=TRUE), ((G1365 &lt;&gt; "")=TRUE))</f>
        <v>0</v>
      </c>
      <c r="M1365" s="4" t="str">
        <f>IF(((E1365)=TRUE),  C1365 &amp; "|" &amp; H1365,  "")</f>
        <v>principal-process-steward|Requirements</v>
      </c>
      <c r="N1365" s="3" t="s">
        <v>10004</v>
      </c>
    </row>
    <row r="1366">
      <c r="A1366" s="3" t="s">
        <v>11368</v>
      </c>
      <c r="B1366" s="4" t="str">
        <f>C1366 &amp; " -&gt; " &amp; D1366</f>
        <v>principal-process-steward -&gt; Requirements.WitnessClaimIsUnverified</v>
      </c>
      <c r="C1366" s="3" t="s">
        <v>9772</v>
      </c>
      <c r="D1366" s="3" t="s">
        <v>3078</v>
      </c>
      <c r="E1366" s="3" t="b">
        <v>1</v>
      </c>
      <c r="F1366" s="3" t="b">
        <v>0</v>
      </c>
      <c r="G1366" s="3" t="s">
        <v>10003</v>
      </c>
      <c r="H1366" s="4" t="str">
        <f>_xlfn.IFNA(IF(((INDEX(RulebookFields!C2:C1898, MATCH(D1366,RulebookFields!A2:A1898, 0))="")=TRUE),  "",  INDEX(RulebookFields!C2:C1898, MATCH(D1366,RulebookFields!A2:A1898, 0))), "")</f>
        <v>Requirements</v>
      </c>
      <c r="I1366" s="4" t="str">
        <f>_xlfn.IFNA(IF(((INDEX(RulebookFields!D2:D1898, MATCH(D1366,RulebookFields!A2:A1898, 0))="")=TRUE),  "",  INDEX(RulebookFields!D2:D1898, MATCH(D1366,RulebookFields!A2:A1898, 0))), "")</f>
        <v>WitnessClaimIsUnverified</v>
      </c>
      <c r="J1366" s="4" t="b">
        <f>_xlfn.IFNA(IF(((INDEX(RulebookFields!I2:I1898, MATCH(D1366,RulebookFields!A2:A1898, 0))="")=TRUE),  "",  INDEX(RulebookFields!I2:I1898, MATCH(D1366,RulebookFields!A2:A1898, 0))), "")</f>
        <v>1</v>
      </c>
      <c r="K1366" s="4" t="b">
        <f>AND(((F1366)=TRUE), ((J1366)=TRUE))</f>
        <v>0</v>
      </c>
      <c r="L1366" s="4" t="b">
        <f>AND(((G1366 &lt;&gt; "plain")=TRUE), ((G1366 &lt;&gt; "")=TRUE))</f>
        <v>0</v>
      </c>
      <c r="M1366" s="4" t="str">
        <f>IF(((E1366)=TRUE),  C1366 &amp; "|" &amp; H1366,  "")</f>
        <v>principal-process-steward|Requirements</v>
      </c>
      <c r="N1366" s="3" t="s">
        <v>10004</v>
      </c>
    </row>
    <row r="1367">
      <c r="A1367" s="3" t="s">
        <v>11369</v>
      </c>
      <c r="B1367" s="4" t="str">
        <f>C1367 &amp; " -&gt; " &amp; D1367</f>
        <v>principal-process-steward -&gt; Requirements.IsUnwitnessedBlockingControl</v>
      </c>
      <c r="C1367" s="3" t="s">
        <v>9772</v>
      </c>
      <c r="D1367" s="3" t="s">
        <v>3080</v>
      </c>
      <c r="E1367" s="3" t="b">
        <v>1</v>
      </c>
      <c r="F1367" s="3" t="b">
        <v>0</v>
      </c>
      <c r="G1367" s="3" t="s">
        <v>10003</v>
      </c>
      <c r="H1367" s="4" t="str">
        <f>_xlfn.IFNA(IF(((INDEX(RulebookFields!C2:C1898, MATCH(D1367,RulebookFields!A2:A1898, 0))="")=TRUE),  "",  INDEX(RulebookFields!C2:C1898, MATCH(D1367,RulebookFields!A2:A1898, 0))), "")</f>
        <v>Requirements</v>
      </c>
      <c r="I1367" s="4" t="str">
        <f>_xlfn.IFNA(IF(((INDEX(RulebookFields!D2:D1898, MATCH(D1367,RulebookFields!A2:A1898, 0))="")=TRUE),  "",  INDEX(RulebookFields!D2:D1898, MATCH(D1367,RulebookFields!A2:A1898, 0))), "")</f>
        <v>IsUnwitnessedBlockingControl</v>
      </c>
      <c r="J1367" s="4" t="b">
        <f>_xlfn.IFNA(IF(((INDEX(RulebookFields!I2:I1898, MATCH(D1367,RulebookFields!A2:A1898, 0))="")=TRUE),  "",  INDEX(RulebookFields!I2:I1898, MATCH(D1367,RulebookFields!A2:A1898, 0))), "")</f>
        <v>1</v>
      </c>
      <c r="K1367" s="4" t="b">
        <f>AND(((F1367)=TRUE), ((J1367)=TRUE))</f>
        <v>0</v>
      </c>
      <c r="L1367" s="4" t="b">
        <f>AND(((G1367 &lt;&gt; "plain")=TRUE), ((G1367 &lt;&gt; "")=TRUE))</f>
        <v>0</v>
      </c>
      <c r="M1367" s="4" t="str">
        <f>IF(((E1367)=TRUE),  C1367 &amp; "|" &amp; H1367,  "")</f>
        <v>principal-process-steward|Requirements</v>
      </c>
      <c r="N1367" s="3" t="s">
        <v>10004</v>
      </c>
    </row>
    <row r="1368">
      <c r="A1368" s="3" t="s">
        <v>11370</v>
      </c>
      <c r="B1368" s="4" t="str">
        <f>C1368 &amp; " -&gt; " &amp; D1368</f>
        <v>principal-process-steward -&gt; Requirements.WitnessFireCount</v>
      </c>
      <c r="C1368" s="3" t="s">
        <v>9772</v>
      </c>
      <c r="D1368" s="3" t="s">
        <v>3082</v>
      </c>
      <c r="E1368" s="3" t="b">
        <v>1</v>
      </c>
      <c r="F1368" s="3" t="b">
        <v>0</v>
      </c>
      <c r="G1368" s="3" t="s">
        <v>10003</v>
      </c>
      <c r="H1368" s="4" t="str">
        <f>_xlfn.IFNA(IF(((INDEX(RulebookFields!C2:C1898, MATCH(D1368,RulebookFields!A2:A1898, 0))="")=TRUE),  "",  INDEX(RulebookFields!C2:C1898, MATCH(D1368,RulebookFields!A2:A1898, 0))), "")</f>
        <v>Requirements</v>
      </c>
      <c r="I1368" s="4" t="str">
        <f>_xlfn.IFNA(IF(((INDEX(RulebookFields!D2:D1898, MATCH(D1368,RulebookFields!A2:A1898, 0))="")=TRUE),  "",  INDEX(RulebookFields!D2:D1898, MATCH(D1368,RulebookFields!A2:A1898, 0))), "")</f>
        <v>WitnessFireCount</v>
      </c>
      <c r="J1368" s="4" t="b">
        <f>_xlfn.IFNA(IF(((INDEX(RulebookFields!I2:I1898, MATCH(D1368,RulebookFields!A2:A1898, 0))="")=TRUE),  "",  INDEX(RulebookFields!I2:I1898, MATCH(D1368,RulebookFields!A2:A1898, 0))), "")</f>
        <v>1</v>
      </c>
      <c r="K1368" s="4" t="b">
        <f>AND(((F1368)=TRUE), ((J1368)=TRUE))</f>
        <v>0</v>
      </c>
      <c r="L1368" s="4" t="b">
        <f>AND(((G1368 &lt;&gt; "plain")=TRUE), ((G1368 &lt;&gt; "")=TRUE))</f>
        <v>0</v>
      </c>
      <c r="M1368" s="4" t="str">
        <f>IF(((E1368)=TRUE),  C1368 &amp; "|" &amp; H1368,  "")</f>
        <v>principal-process-steward|Requirements</v>
      </c>
      <c r="N1368" s="3" t="s">
        <v>10004</v>
      </c>
    </row>
    <row r="1369">
      <c r="A1369" s="3" t="s">
        <v>11371</v>
      </c>
      <c r="B1369" s="4" t="str">
        <f>C1369 &amp; " -&gt; " &amp; D1369</f>
        <v>principal-process-steward -&gt; Requirements.WitnessHasNeverFired</v>
      </c>
      <c r="C1369" s="3" t="s">
        <v>9772</v>
      </c>
      <c r="D1369" s="3" t="s">
        <v>3084</v>
      </c>
      <c r="E1369" s="3" t="b">
        <v>1</v>
      </c>
      <c r="F1369" s="3" t="b">
        <v>0</v>
      </c>
      <c r="G1369" s="3" t="s">
        <v>10003</v>
      </c>
      <c r="H1369" s="4" t="str">
        <f>_xlfn.IFNA(IF(((INDEX(RulebookFields!C2:C1898, MATCH(D1369,RulebookFields!A2:A1898, 0))="")=TRUE),  "",  INDEX(RulebookFields!C2:C1898, MATCH(D1369,RulebookFields!A2:A1898, 0))), "")</f>
        <v>Requirements</v>
      </c>
      <c r="I1369" s="4" t="str">
        <f>_xlfn.IFNA(IF(((INDEX(RulebookFields!D2:D1898, MATCH(D1369,RulebookFields!A2:A1898, 0))="")=TRUE),  "",  INDEX(RulebookFields!D2:D1898, MATCH(D1369,RulebookFields!A2:A1898, 0))), "")</f>
        <v>WitnessHasNeverFired</v>
      </c>
      <c r="J1369" s="4" t="b">
        <f>_xlfn.IFNA(IF(((INDEX(RulebookFields!I2:I1898, MATCH(D1369,RulebookFields!A2:A1898, 0))="")=TRUE),  "",  INDEX(RulebookFields!I2:I1898, MATCH(D1369,RulebookFields!A2:A1898, 0))), "")</f>
        <v>1</v>
      </c>
      <c r="K1369" s="4" t="b">
        <f>AND(((F1369)=TRUE), ((J1369)=TRUE))</f>
        <v>0</v>
      </c>
      <c r="L1369" s="4" t="b">
        <f>AND(((G1369 &lt;&gt; "plain")=TRUE), ((G1369 &lt;&gt; "")=TRUE))</f>
        <v>0</v>
      </c>
      <c r="M1369" s="4" t="str">
        <f>IF(((E1369)=TRUE),  C1369 &amp; "|" &amp; H1369,  "")</f>
        <v>principal-process-steward|Requirements</v>
      </c>
      <c r="N1369" s="3" t="s">
        <v>10004</v>
      </c>
    </row>
    <row r="1370">
      <c r="A1370" s="3" t="s">
        <v>11372</v>
      </c>
      <c r="B1370" s="4" t="str">
        <f>C1370 &amp; " -&gt; " &amp; D1370</f>
        <v>principal-process-steward -&gt; Requirements.EvaluationSampleSize</v>
      </c>
      <c r="C1370" s="3" t="s">
        <v>9772</v>
      </c>
      <c r="D1370" s="3" t="s">
        <v>3086</v>
      </c>
      <c r="E1370" s="3" t="b">
        <v>1</v>
      </c>
      <c r="F1370" s="3" t="b">
        <v>0</v>
      </c>
      <c r="G1370" s="3" t="s">
        <v>10003</v>
      </c>
      <c r="H1370" s="4" t="str">
        <f>_xlfn.IFNA(IF(((INDEX(RulebookFields!C2:C1898, MATCH(D1370,RulebookFields!A2:A1898, 0))="")=TRUE),  "",  INDEX(RulebookFields!C2:C1898, MATCH(D1370,RulebookFields!A2:A1898, 0))), "")</f>
        <v>Requirements</v>
      </c>
      <c r="I1370" s="4" t="str">
        <f>_xlfn.IFNA(IF(((INDEX(RulebookFields!D2:D1898, MATCH(D1370,RulebookFields!A2:A1898, 0))="")=TRUE),  "",  INDEX(RulebookFields!D2:D1898, MATCH(D1370,RulebookFields!A2:A1898, 0))), "")</f>
        <v>EvaluationSampleSize</v>
      </c>
      <c r="J1370" s="4" t="b">
        <f>_xlfn.IFNA(IF(((INDEX(RulebookFields!I2:I1898, MATCH(D1370,RulebookFields!A2:A1898, 0))="")=TRUE),  "",  INDEX(RulebookFields!I2:I1898, MATCH(D1370,RulebookFields!A2:A1898, 0))), "")</f>
        <v>1</v>
      </c>
      <c r="K1370" s="4" t="b">
        <f>AND(((F1370)=TRUE), ((J1370)=TRUE))</f>
        <v>0</v>
      </c>
      <c r="L1370" s="4" t="b">
        <f>AND(((G1370 &lt;&gt; "plain")=TRUE), ((G1370 &lt;&gt; "")=TRUE))</f>
        <v>0</v>
      </c>
      <c r="M1370" s="4" t="str">
        <f>IF(((E1370)=TRUE),  C1370 &amp; "|" &amp; H1370,  "")</f>
        <v>principal-process-steward|Requirements</v>
      </c>
      <c r="N1370" s="3" t="s">
        <v>10004</v>
      </c>
    </row>
    <row r="1371">
      <c r="A1371" s="3" t="s">
        <v>11373</v>
      </c>
      <c r="B1371" s="4" t="str">
        <f>C1371 &amp; " -&gt; " &amp; D1371</f>
        <v>principal-process-steward -&gt; Requirements.HasMeaningfulSample</v>
      </c>
      <c r="C1371" s="3" t="s">
        <v>9772</v>
      </c>
      <c r="D1371" s="3" t="s">
        <v>3088</v>
      </c>
      <c r="E1371" s="3" t="b">
        <v>1</v>
      </c>
      <c r="F1371" s="3" t="b">
        <v>0</v>
      </c>
      <c r="G1371" s="3" t="s">
        <v>10003</v>
      </c>
      <c r="H1371" s="4" t="str">
        <f>_xlfn.IFNA(IF(((INDEX(RulebookFields!C2:C1898, MATCH(D1371,RulebookFields!A2:A1898, 0))="")=TRUE),  "",  INDEX(RulebookFields!C2:C1898, MATCH(D1371,RulebookFields!A2:A1898, 0))), "")</f>
        <v>Requirements</v>
      </c>
      <c r="I1371" s="4" t="str">
        <f>_xlfn.IFNA(IF(((INDEX(RulebookFields!D2:D1898, MATCH(D1371,RulebookFields!A2:A1898, 0))="")=TRUE),  "",  INDEX(RulebookFields!D2:D1898, MATCH(D1371,RulebookFields!A2:A1898, 0))), "")</f>
        <v>HasMeaningfulSample</v>
      </c>
      <c r="J1371" s="4" t="b">
        <f>_xlfn.IFNA(IF(((INDEX(RulebookFields!I2:I1898, MATCH(D1371,RulebookFields!A2:A1898, 0))="")=TRUE),  "",  INDEX(RulebookFields!I2:I1898, MATCH(D1371,RulebookFields!A2:A1898, 0))), "")</f>
        <v>1</v>
      </c>
      <c r="K1371" s="4" t="b">
        <f>AND(((F1371)=TRUE), ((J1371)=TRUE))</f>
        <v>0</v>
      </c>
      <c r="L1371" s="4" t="b">
        <f>AND(((G1371 &lt;&gt; "plain")=TRUE), ((G1371 &lt;&gt; "")=TRUE))</f>
        <v>0</v>
      </c>
      <c r="M1371" s="4" t="str">
        <f>IF(((E1371)=TRUE),  C1371 &amp; "|" &amp; H1371,  "")</f>
        <v>principal-process-steward|Requirements</v>
      </c>
      <c r="N1371" s="3" t="s">
        <v>10004</v>
      </c>
    </row>
    <row r="1372">
      <c r="A1372" s="3" t="s">
        <v>11374</v>
      </c>
      <c r="B1372" s="4" t="str">
        <f>C1372 &amp; " -&gt; " &amp; D1372</f>
        <v>principal-process-steward -&gt; Requirements.MinimumSampleForAssurance</v>
      </c>
      <c r="C1372" s="3" t="s">
        <v>9772</v>
      </c>
      <c r="D1372" s="3" t="s">
        <v>3090</v>
      </c>
      <c r="E1372" s="3" t="b">
        <v>1</v>
      </c>
      <c r="F1372" s="3" t="b">
        <v>0</v>
      </c>
      <c r="G1372" s="3" t="s">
        <v>10003</v>
      </c>
      <c r="H1372" s="4" t="str">
        <f>_xlfn.IFNA(IF(((INDEX(RulebookFields!C2:C1898, MATCH(D1372,RulebookFields!A2:A1898, 0))="")=TRUE),  "",  INDEX(RulebookFields!C2:C1898, MATCH(D1372,RulebookFields!A2:A1898, 0))), "")</f>
        <v>Requirements</v>
      </c>
      <c r="I1372" s="4" t="str">
        <f>_xlfn.IFNA(IF(((INDEX(RulebookFields!D2:D1898, MATCH(D1372,RulebookFields!A2:A1898, 0))="")=TRUE),  "",  INDEX(RulebookFields!D2:D1898, MATCH(D1372,RulebookFields!A2:A1898, 0))), "")</f>
        <v>MinimumSampleForAssurance</v>
      </c>
      <c r="J1372" s="4" t="b">
        <f>_xlfn.IFNA(IF(((INDEX(RulebookFields!I2:I1898, MATCH(D1372,RulebookFields!A2:A1898, 0))="")=TRUE),  "",  INDEX(RulebookFields!I2:I1898, MATCH(D1372,RulebookFields!A2:A1898, 0))), "")</f>
        <v>0</v>
      </c>
      <c r="K1372" s="4" t="b">
        <f>AND(((F1372)=TRUE), ((J1372)=TRUE))</f>
        <v>0</v>
      </c>
      <c r="L1372" s="4" t="b">
        <f>AND(((G1372 &lt;&gt; "plain")=TRUE), ((G1372 &lt;&gt; "")=TRUE))</f>
        <v>0</v>
      </c>
      <c r="M1372" s="4" t="str">
        <f>IF(((E1372)=TRUE),  C1372 &amp; "|" &amp; H1372,  "")</f>
        <v>principal-process-steward|Requirements</v>
      </c>
      <c r="N1372" s="3" t="s">
        <v>10004</v>
      </c>
    </row>
    <row r="1373">
      <c r="A1373" s="3" t="s">
        <v>11375</v>
      </c>
      <c r="B1373" s="4" t="str">
        <f>C1373 &amp; " -&gt; " &amp; D1373</f>
        <v>principal-process-steward -&gt; Requirements.IsUntestedWitness</v>
      </c>
      <c r="C1373" s="3" t="s">
        <v>9772</v>
      </c>
      <c r="D1373" s="3" t="s">
        <v>3091</v>
      </c>
      <c r="E1373" s="3" t="b">
        <v>1</v>
      </c>
      <c r="F1373" s="3" t="b">
        <v>0</v>
      </c>
      <c r="G1373" s="3" t="s">
        <v>10003</v>
      </c>
      <c r="H1373" s="4" t="str">
        <f>_xlfn.IFNA(IF(((INDEX(RulebookFields!C2:C1898, MATCH(D1373,RulebookFields!A2:A1898, 0))="")=TRUE),  "",  INDEX(RulebookFields!C2:C1898, MATCH(D1373,RulebookFields!A2:A1898, 0))), "")</f>
        <v>Requirements</v>
      </c>
      <c r="I1373" s="4" t="str">
        <f>_xlfn.IFNA(IF(((INDEX(RulebookFields!D2:D1898, MATCH(D1373,RulebookFields!A2:A1898, 0))="")=TRUE),  "",  INDEX(RulebookFields!D2:D1898, MATCH(D1373,RulebookFields!A2:A1898, 0))), "")</f>
        <v>IsUntestedWitness</v>
      </c>
      <c r="J1373" s="4" t="b">
        <f>_xlfn.IFNA(IF(((INDEX(RulebookFields!I2:I1898, MATCH(D1373,RulebookFields!A2:A1898, 0))="")=TRUE),  "",  INDEX(RulebookFields!I2:I1898, MATCH(D1373,RulebookFields!A2:A1898, 0))), "")</f>
        <v>1</v>
      </c>
      <c r="K1373" s="4" t="b">
        <f>AND(((F1373)=TRUE), ((J1373)=TRUE))</f>
        <v>0</v>
      </c>
      <c r="L1373" s="4" t="b">
        <f>AND(((G1373 &lt;&gt; "plain")=TRUE), ((G1373 &lt;&gt; "")=TRUE))</f>
        <v>0</v>
      </c>
      <c r="M1373" s="4" t="str">
        <f>IF(((E1373)=TRUE),  C1373 &amp; "|" &amp; H1373,  "")</f>
        <v>principal-process-steward|Requirements</v>
      </c>
      <c r="N1373" s="3" t="s">
        <v>10004</v>
      </c>
    </row>
    <row r="1374">
      <c r="A1374" s="3" t="s">
        <v>11376</v>
      </c>
      <c r="B1374" s="4" t="str">
        <f>C1374 &amp; " -&gt; " &amp; D1374</f>
        <v>principal-process-steward -&gt; Requirements.IsEvidencedHoldingControl</v>
      </c>
      <c r="C1374" s="3" t="s">
        <v>9772</v>
      </c>
      <c r="D1374" s="3" t="s">
        <v>3093</v>
      </c>
      <c r="E1374" s="3" t="b">
        <v>1</v>
      </c>
      <c r="F1374" s="3" t="b">
        <v>0</v>
      </c>
      <c r="G1374" s="3" t="s">
        <v>10003</v>
      </c>
      <c r="H1374" s="4" t="str">
        <f>_xlfn.IFNA(IF(((INDEX(RulebookFields!C2:C1898, MATCH(D1374,RulebookFields!A2:A1898, 0))="")=TRUE),  "",  INDEX(RulebookFields!C2:C1898, MATCH(D1374,RulebookFields!A2:A1898, 0))), "")</f>
        <v>Requirements</v>
      </c>
      <c r="I1374" s="4" t="str">
        <f>_xlfn.IFNA(IF(((INDEX(RulebookFields!D2:D1898, MATCH(D1374,RulebookFields!A2:A1898, 0))="")=TRUE),  "",  INDEX(RulebookFields!D2:D1898, MATCH(D1374,RulebookFields!A2:A1898, 0))), "")</f>
        <v>IsEvidencedHoldingControl</v>
      </c>
      <c r="J1374" s="4" t="b">
        <f>_xlfn.IFNA(IF(((INDEX(RulebookFields!I2:I1898, MATCH(D1374,RulebookFields!A2:A1898, 0))="")=TRUE),  "",  INDEX(RulebookFields!I2:I1898, MATCH(D1374,RulebookFields!A2:A1898, 0))), "")</f>
        <v>1</v>
      </c>
      <c r="K1374" s="4" t="b">
        <f>AND(((F1374)=TRUE), ((J1374)=TRUE))</f>
        <v>0</v>
      </c>
      <c r="L1374" s="4" t="b">
        <f>AND(((G1374 &lt;&gt; "plain")=TRUE), ((G1374 &lt;&gt; "")=TRUE))</f>
        <v>0</v>
      </c>
      <c r="M1374" s="4" t="str">
        <f>IF(((E1374)=TRUE),  C1374 &amp; "|" &amp; H1374,  "")</f>
        <v>principal-process-steward|Requirements</v>
      </c>
      <c r="N1374" s="3" t="s">
        <v>10004</v>
      </c>
    </row>
    <row r="1375">
      <c r="A1375" s="3" t="s">
        <v>11377</v>
      </c>
      <c r="B1375" s="4" t="str">
        <f>C1375 &amp; " -&gt; " &amp; D1375</f>
        <v>principal-process-steward -&gt; Requirements.ControlAssuranceState</v>
      </c>
      <c r="C1375" s="3" t="s">
        <v>9772</v>
      </c>
      <c r="D1375" s="3" t="s">
        <v>3095</v>
      </c>
      <c r="E1375" s="3" t="b">
        <v>1</v>
      </c>
      <c r="F1375" s="3" t="b">
        <v>0</v>
      </c>
      <c r="G1375" s="3" t="s">
        <v>10003</v>
      </c>
      <c r="H1375" s="4" t="str">
        <f>_xlfn.IFNA(IF(((INDEX(RulebookFields!C2:C1898, MATCH(D1375,RulebookFields!A2:A1898, 0))="")=TRUE),  "",  INDEX(RulebookFields!C2:C1898, MATCH(D1375,RulebookFields!A2:A1898, 0))), "")</f>
        <v>Requirements</v>
      </c>
      <c r="I1375" s="4" t="str">
        <f>_xlfn.IFNA(IF(((INDEX(RulebookFields!D2:D1898, MATCH(D1375,RulebookFields!A2:A1898, 0))="")=TRUE),  "",  INDEX(RulebookFields!D2:D1898, MATCH(D1375,RulebookFields!A2:A1898, 0))), "")</f>
        <v>ControlAssuranceState</v>
      </c>
      <c r="J1375" s="4" t="b">
        <f>_xlfn.IFNA(IF(((INDEX(RulebookFields!I2:I1898, MATCH(D1375,RulebookFields!A2:A1898, 0))="")=TRUE),  "",  INDEX(RulebookFields!I2:I1898, MATCH(D1375,RulebookFields!A2:A1898, 0))), "")</f>
        <v>1</v>
      </c>
      <c r="K1375" s="4" t="b">
        <f>AND(((F1375)=TRUE), ((J1375)=TRUE))</f>
        <v>0</v>
      </c>
      <c r="L1375" s="4" t="b">
        <f>AND(((G1375 &lt;&gt; "plain")=TRUE), ((G1375 &lt;&gt; "")=TRUE))</f>
        <v>0</v>
      </c>
      <c r="M1375" s="4" t="str">
        <f>IF(((E1375)=TRUE),  C1375 &amp; "|" &amp; H1375,  "")</f>
        <v>principal-process-steward|Requirements</v>
      </c>
      <c r="N1375" s="3" t="s">
        <v>10004</v>
      </c>
    </row>
    <row r="1376">
      <c r="A1376" s="3" t="s">
        <v>11378</v>
      </c>
      <c r="B1376" s="4" t="str">
        <f>C1376 &amp; " -&gt; " &amp; D1376</f>
        <v>principal-process-steward -&gt; Requirements.UnexercisedBindingCount</v>
      </c>
      <c r="C1376" s="3" t="s">
        <v>9772</v>
      </c>
      <c r="D1376" s="3" t="s">
        <v>3097</v>
      </c>
      <c r="E1376" s="3" t="b">
        <v>1</v>
      </c>
      <c r="F1376" s="3" t="b">
        <v>0</v>
      </c>
      <c r="G1376" s="3" t="s">
        <v>10003</v>
      </c>
      <c r="H1376" s="4" t="str">
        <f>_xlfn.IFNA(IF(((INDEX(RulebookFields!C2:C1898, MATCH(D1376,RulebookFields!A2:A1898, 0))="")=TRUE),  "",  INDEX(RulebookFields!C2:C1898, MATCH(D1376,RulebookFields!A2:A1898, 0))), "")</f>
        <v>Requirements</v>
      </c>
      <c r="I1376" s="4" t="str">
        <f>_xlfn.IFNA(IF(((INDEX(RulebookFields!D2:D1898, MATCH(D1376,RulebookFields!A2:A1898, 0))="")=TRUE),  "",  INDEX(RulebookFields!D2:D1898, MATCH(D1376,RulebookFields!A2:A1898, 0))), "")</f>
        <v>UnexercisedBindingCount</v>
      </c>
      <c r="J1376" s="4" t="b">
        <f>_xlfn.IFNA(IF(((INDEX(RulebookFields!I2:I1898, MATCH(D1376,RulebookFields!A2:A1898, 0))="")=TRUE),  "",  INDEX(RulebookFields!I2:I1898, MATCH(D1376,RulebookFields!A2:A1898, 0))), "")</f>
        <v>1</v>
      </c>
      <c r="K1376" s="4" t="b">
        <f>AND(((F1376)=TRUE), ((J1376)=TRUE))</f>
        <v>0</v>
      </c>
      <c r="L1376" s="4" t="b">
        <f>AND(((G1376 &lt;&gt; "plain")=TRUE), ((G1376 &lt;&gt; "")=TRUE))</f>
        <v>0</v>
      </c>
      <c r="M1376" s="4" t="str">
        <f>IF(((E1376)=TRUE),  C1376 &amp; "|" &amp; H1376,  "")</f>
        <v>principal-process-steward|Requirements</v>
      </c>
      <c r="N1376" s="3" t="s">
        <v>10004</v>
      </c>
    </row>
    <row r="1377">
      <c r="A1377" s="3" t="s">
        <v>11379</v>
      </c>
      <c r="B1377" s="4" t="str">
        <f>C1377 &amp; " -&gt; " &amp; D1377</f>
        <v>principal-process-steward -&gt; Requirements.WitnessIsPartiallyScoped</v>
      </c>
      <c r="C1377" s="3" t="s">
        <v>9772</v>
      </c>
      <c r="D1377" s="3" t="s">
        <v>3099</v>
      </c>
      <c r="E1377" s="3" t="b">
        <v>1</v>
      </c>
      <c r="F1377" s="3" t="b">
        <v>0</v>
      </c>
      <c r="G1377" s="3" t="s">
        <v>10003</v>
      </c>
      <c r="H1377" s="4" t="str">
        <f>_xlfn.IFNA(IF(((INDEX(RulebookFields!C2:C1898, MATCH(D1377,RulebookFields!A2:A1898, 0))="")=TRUE),  "",  INDEX(RulebookFields!C2:C1898, MATCH(D1377,RulebookFields!A2:A1898, 0))), "")</f>
        <v>Requirements</v>
      </c>
      <c r="I1377" s="4" t="str">
        <f>_xlfn.IFNA(IF(((INDEX(RulebookFields!D2:D1898, MATCH(D1377,RulebookFields!A2:A1898, 0))="")=TRUE),  "",  INDEX(RulebookFields!D2:D1898, MATCH(D1377,RulebookFields!A2:A1898, 0))), "")</f>
        <v>WitnessIsPartiallyScoped</v>
      </c>
      <c r="J1377" s="4" t="b">
        <f>_xlfn.IFNA(IF(((INDEX(RulebookFields!I2:I1898, MATCH(D1377,RulebookFields!A2:A1898, 0))="")=TRUE),  "",  INDEX(RulebookFields!I2:I1898, MATCH(D1377,RulebookFields!A2:A1898, 0))), "")</f>
        <v>1</v>
      </c>
      <c r="K1377" s="4" t="b">
        <f>AND(((F1377)=TRUE), ((J1377)=TRUE))</f>
        <v>0</v>
      </c>
      <c r="L1377" s="4" t="b">
        <f>AND(((G1377 &lt;&gt; "plain")=TRUE), ((G1377 &lt;&gt; "")=TRUE))</f>
        <v>0</v>
      </c>
      <c r="M1377" s="4" t="str">
        <f>IF(((E1377)=TRUE),  C1377 &amp; "|" &amp; H1377,  "")</f>
        <v>principal-process-steward|Requirements</v>
      </c>
      <c r="N1377" s="3" t="s">
        <v>10004</v>
      </c>
    </row>
    <row r="1378">
      <c r="A1378" s="3" t="s">
        <v>11380</v>
      </c>
      <c r="B1378" s="4" t="str">
        <f>C1378 &amp; " -&gt; " &amp; D1378</f>
        <v>principal-process-steward -&gt; Requirements.AccountableRole</v>
      </c>
      <c r="C1378" s="3" t="s">
        <v>9772</v>
      </c>
      <c r="D1378" s="3" t="s">
        <v>3101</v>
      </c>
      <c r="E1378" s="3" t="b">
        <v>1</v>
      </c>
      <c r="F1378" s="3" t="b">
        <v>0</v>
      </c>
      <c r="G1378" s="3" t="s">
        <v>10003</v>
      </c>
      <c r="H1378" s="4" t="str">
        <f>_xlfn.IFNA(IF(((INDEX(RulebookFields!C2:C1898, MATCH(D1378,RulebookFields!A2:A1898, 0))="")=TRUE),  "",  INDEX(RulebookFields!C2:C1898, MATCH(D1378,RulebookFields!A2:A1898, 0))), "")</f>
        <v>Requirements</v>
      </c>
      <c r="I1378" s="4" t="str">
        <f>_xlfn.IFNA(IF(((INDEX(RulebookFields!D2:D1898, MATCH(D1378,RulebookFields!A2:A1898, 0))="")=TRUE),  "",  INDEX(RulebookFields!D2:D1898, MATCH(D1378,RulebookFields!A2:A1898, 0))), "")</f>
        <v>AccountableRole</v>
      </c>
      <c r="J1378" s="4" t="b">
        <f>_xlfn.IFNA(IF(((INDEX(RulebookFields!I2:I1898, MATCH(D1378,RulebookFields!A2:A1898, 0))="")=TRUE),  "",  INDEX(RulebookFields!I2:I1898, MATCH(D1378,RulebookFields!A2:A1898, 0))), "")</f>
        <v>0</v>
      </c>
      <c r="K1378" s="4" t="b">
        <f>AND(((F1378)=TRUE), ((J1378)=TRUE))</f>
        <v>0</v>
      </c>
      <c r="L1378" s="4" t="b">
        <f>AND(((G1378 &lt;&gt; "plain")=TRUE), ((G1378 &lt;&gt; "")=TRUE))</f>
        <v>0</v>
      </c>
      <c r="M1378" s="4" t="str">
        <f>IF(((E1378)=TRUE),  C1378 &amp; "|" &amp; H1378,  "")</f>
        <v>principal-process-steward|Requirements</v>
      </c>
      <c r="N1378" s="3" t="s">
        <v>10004</v>
      </c>
    </row>
    <row r="1379">
      <c r="A1379" s="3" t="s">
        <v>11381</v>
      </c>
      <c r="B1379" s="4" t="str">
        <f>C1379 &amp; " -&gt; " &amp; D1379</f>
        <v>principal-process-steward -&gt; Requirements.AccountableAgent</v>
      </c>
      <c r="C1379" s="3" t="s">
        <v>9772</v>
      </c>
      <c r="D1379" s="3" t="s">
        <v>3102</v>
      </c>
      <c r="E1379" s="3" t="b">
        <v>1</v>
      </c>
      <c r="F1379" s="3" t="b">
        <v>0</v>
      </c>
      <c r="G1379" s="3" t="s">
        <v>10003</v>
      </c>
      <c r="H1379" s="4" t="str">
        <f>_xlfn.IFNA(IF(((INDEX(RulebookFields!C2:C1898, MATCH(D1379,RulebookFields!A2:A1898, 0))="")=TRUE),  "",  INDEX(RulebookFields!C2:C1898, MATCH(D1379,RulebookFields!A2:A1898, 0))), "")</f>
        <v>Requirements</v>
      </c>
      <c r="I1379" s="4" t="str">
        <f>_xlfn.IFNA(IF(((INDEX(RulebookFields!D2:D1898, MATCH(D1379,RulebookFields!A2:A1898, 0))="")=TRUE),  "",  INDEX(RulebookFields!D2:D1898, MATCH(D1379,RulebookFields!A2:A1898, 0))), "")</f>
        <v>AccountableAgent</v>
      </c>
      <c r="J1379" s="4" t="b">
        <f>_xlfn.IFNA(IF(((INDEX(RulebookFields!I2:I1898, MATCH(D1379,RulebookFields!A2:A1898, 0))="")=TRUE),  "",  INDEX(RulebookFields!I2:I1898, MATCH(D1379,RulebookFields!A2:A1898, 0))), "")</f>
        <v>1</v>
      </c>
      <c r="K1379" s="4" t="b">
        <f>AND(((F1379)=TRUE), ((J1379)=TRUE))</f>
        <v>0</v>
      </c>
      <c r="L1379" s="4" t="b">
        <f>AND(((G1379 &lt;&gt; "plain")=TRUE), ((G1379 &lt;&gt; "")=TRUE))</f>
        <v>0</v>
      </c>
      <c r="M1379" s="4" t="str">
        <f>IF(((E1379)=TRUE),  C1379 &amp; "|" &amp; H1379,  "")</f>
        <v>principal-process-steward|Requirements</v>
      </c>
      <c r="N1379" s="3" t="s">
        <v>10004</v>
      </c>
    </row>
    <row r="1380">
      <c r="A1380" s="3" t="s">
        <v>11382</v>
      </c>
      <c r="B1380" s="4" t="str">
        <f>C1380 &amp; " -&gt; " &amp; D1380</f>
        <v>principal-process-steward -&gt; Requirements.HasNamedOwner</v>
      </c>
      <c r="C1380" s="3" t="s">
        <v>9772</v>
      </c>
      <c r="D1380" s="3" t="s">
        <v>3104</v>
      </c>
      <c r="E1380" s="3" t="b">
        <v>1</v>
      </c>
      <c r="F1380" s="3" t="b">
        <v>0</v>
      </c>
      <c r="G1380" s="3" t="s">
        <v>10003</v>
      </c>
      <c r="H1380" s="4" t="str">
        <f>_xlfn.IFNA(IF(((INDEX(RulebookFields!C2:C1898, MATCH(D1380,RulebookFields!A2:A1898, 0))="")=TRUE),  "",  INDEX(RulebookFields!C2:C1898, MATCH(D1380,RulebookFields!A2:A1898, 0))), "")</f>
        <v>Requirements</v>
      </c>
      <c r="I1380" s="4" t="str">
        <f>_xlfn.IFNA(IF(((INDEX(RulebookFields!D2:D1898, MATCH(D1380,RulebookFields!A2:A1898, 0))="")=TRUE),  "",  INDEX(RulebookFields!D2:D1898, MATCH(D1380,RulebookFields!A2:A1898, 0))), "")</f>
        <v>HasNamedOwner</v>
      </c>
      <c r="J1380" s="4" t="b">
        <f>_xlfn.IFNA(IF(((INDEX(RulebookFields!I2:I1898, MATCH(D1380,RulebookFields!A2:A1898, 0))="")=TRUE),  "",  INDEX(RulebookFields!I2:I1898, MATCH(D1380,RulebookFields!A2:A1898, 0))), "")</f>
        <v>1</v>
      </c>
      <c r="K1380" s="4" t="b">
        <f>AND(((F1380)=TRUE), ((J1380)=TRUE))</f>
        <v>0</v>
      </c>
      <c r="L1380" s="4" t="b">
        <f>AND(((G1380 &lt;&gt; "plain")=TRUE), ((G1380 &lt;&gt; "")=TRUE))</f>
        <v>0</v>
      </c>
      <c r="M1380" s="4" t="str">
        <f>IF(((E1380)=TRUE),  C1380 &amp; "|" &amp; H1380,  "")</f>
        <v>principal-process-steward|Requirements</v>
      </c>
      <c r="N1380" s="3" t="s">
        <v>10004</v>
      </c>
    </row>
    <row r="1381">
      <c r="A1381" s="3" t="s">
        <v>11383</v>
      </c>
      <c r="B1381" s="4" t="str">
        <f>C1381 &amp; " -&gt; " &amp; D1381</f>
        <v>principal-process-steward -&gt; Requirements.IsOrphanedBlockingControl</v>
      </c>
      <c r="C1381" s="3" t="s">
        <v>9772</v>
      </c>
      <c r="D1381" s="3" t="s">
        <v>3106</v>
      </c>
      <c r="E1381" s="3" t="b">
        <v>1</v>
      </c>
      <c r="F1381" s="3" t="b">
        <v>0</v>
      </c>
      <c r="G1381" s="3" t="s">
        <v>10003</v>
      </c>
      <c r="H1381" s="4" t="str">
        <f>_xlfn.IFNA(IF(((INDEX(RulebookFields!C2:C1898, MATCH(D1381,RulebookFields!A2:A1898, 0))="")=TRUE),  "",  INDEX(RulebookFields!C2:C1898, MATCH(D1381,RulebookFields!A2:A1898, 0))), "")</f>
        <v>Requirements</v>
      </c>
      <c r="I1381" s="4" t="str">
        <f>_xlfn.IFNA(IF(((INDEX(RulebookFields!D2:D1898, MATCH(D1381,RulebookFields!A2:A1898, 0))="")=TRUE),  "",  INDEX(RulebookFields!D2:D1898, MATCH(D1381,RulebookFields!A2:A1898, 0))), "")</f>
        <v>IsOrphanedBlockingControl</v>
      </c>
      <c r="J1381" s="4" t="b">
        <f>_xlfn.IFNA(IF(((INDEX(RulebookFields!I2:I1898, MATCH(D1381,RulebookFields!A2:A1898, 0))="")=TRUE),  "",  INDEX(RulebookFields!I2:I1898, MATCH(D1381,RulebookFields!A2:A1898, 0))), "")</f>
        <v>1</v>
      </c>
      <c r="K1381" s="4" t="b">
        <f>AND(((F1381)=TRUE), ((J1381)=TRUE))</f>
        <v>0</v>
      </c>
      <c r="L1381" s="4" t="b">
        <f>AND(((G1381 &lt;&gt; "plain")=TRUE), ((G1381 &lt;&gt; "")=TRUE))</f>
        <v>0</v>
      </c>
      <c r="M1381" s="4" t="str">
        <f>IF(((E1381)=TRUE),  C1381 &amp; "|" &amp; H1381,  "")</f>
        <v>principal-process-steward|Requirements</v>
      </c>
      <c r="N1381" s="3" t="s">
        <v>10004</v>
      </c>
    </row>
    <row r="1382">
      <c r="A1382" s="3" t="s">
        <v>11384</v>
      </c>
      <c r="B1382" s="4" t="str">
        <f>C1382 &amp; " -&gt; " &amp; D1382</f>
        <v>principal-process-steward -&gt; Requirements.IsUnwatchedAndUnowned</v>
      </c>
      <c r="C1382" s="3" t="s">
        <v>9772</v>
      </c>
      <c r="D1382" s="3" t="s">
        <v>3108</v>
      </c>
      <c r="E1382" s="3" t="b">
        <v>1</v>
      </c>
      <c r="F1382" s="3" t="b">
        <v>0</v>
      </c>
      <c r="G1382" s="3" t="s">
        <v>10003</v>
      </c>
      <c r="H1382" s="4" t="str">
        <f>_xlfn.IFNA(IF(((INDEX(RulebookFields!C2:C1898, MATCH(D1382,RulebookFields!A2:A1898, 0))="")=TRUE),  "",  INDEX(RulebookFields!C2:C1898, MATCH(D1382,RulebookFields!A2:A1898, 0))), "")</f>
        <v>Requirements</v>
      </c>
      <c r="I1382" s="4" t="str">
        <f>_xlfn.IFNA(IF(((INDEX(RulebookFields!D2:D1898, MATCH(D1382,RulebookFields!A2:A1898, 0))="")=TRUE),  "",  INDEX(RulebookFields!D2:D1898, MATCH(D1382,RulebookFields!A2:A1898, 0))), "")</f>
        <v>IsUnwatchedAndUnowned</v>
      </c>
      <c r="J1382" s="4" t="b">
        <f>_xlfn.IFNA(IF(((INDEX(RulebookFields!I2:I1898, MATCH(D1382,RulebookFields!A2:A1898, 0))="")=TRUE),  "",  INDEX(RulebookFields!I2:I1898, MATCH(D1382,RulebookFields!A2:A1898, 0))), "")</f>
        <v>1</v>
      </c>
      <c r="K1382" s="4" t="b">
        <f>AND(((F1382)=TRUE), ((J1382)=TRUE))</f>
        <v>0</v>
      </c>
      <c r="L1382" s="4" t="b">
        <f>AND(((G1382 &lt;&gt; "plain")=TRUE), ((G1382 &lt;&gt; "")=TRUE))</f>
        <v>0</v>
      </c>
      <c r="M1382" s="4" t="str">
        <f>IF(((E1382)=TRUE),  C1382 &amp; "|" &amp; H1382,  "")</f>
        <v>principal-process-steward|Requirements</v>
      </c>
      <c r="N1382" s="3" t="s">
        <v>10004</v>
      </c>
    </row>
    <row r="1383">
      <c r="A1383" s="3" t="s">
        <v>11385</v>
      </c>
      <c r="B1383" s="4" t="str">
        <f>C1383 &amp; " -&gt; " &amp; D1383</f>
        <v>principal-process-steward -&gt; Requirements.AttestationExposureNote</v>
      </c>
      <c r="C1383" s="3" t="s">
        <v>9772</v>
      </c>
      <c r="D1383" s="3" t="s">
        <v>3110</v>
      </c>
      <c r="E1383" s="3" t="b">
        <v>1</v>
      </c>
      <c r="F1383" s="3" t="b">
        <v>0</v>
      </c>
      <c r="G1383" s="3" t="s">
        <v>10003</v>
      </c>
      <c r="H1383" s="4" t="str">
        <f>_xlfn.IFNA(IF(((INDEX(RulebookFields!C2:C1898, MATCH(D1383,RulebookFields!A2:A1898, 0))="")=TRUE),  "",  INDEX(RulebookFields!C2:C1898, MATCH(D1383,RulebookFields!A2:A1898, 0))), "")</f>
        <v>Requirements</v>
      </c>
      <c r="I1383" s="4" t="str">
        <f>_xlfn.IFNA(IF(((INDEX(RulebookFields!D2:D1898, MATCH(D1383,RulebookFields!A2:A1898, 0))="")=TRUE),  "",  INDEX(RulebookFields!D2:D1898, MATCH(D1383,RulebookFields!A2:A1898, 0))), "")</f>
        <v>AttestationExposureNote</v>
      </c>
      <c r="J1383" s="4" t="b">
        <f>_xlfn.IFNA(IF(((INDEX(RulebookFields!I2:I1898, MATCH(D1383,RulebookFields!A2:A1898, 0))="")=TRUE),  "",  INDEX(RulebookFields!I2:I1898, MATCH(D1383,RulebookFields!A2:A1898, 0))), "")</f>
        <v>1</v>
      </c>
      <c r="K1383" s="4" t="b">
        <f>AND(((F1383)=TRUE), ((J1383)=TRUE))</f>
        <v>0</v>
      </c>
      <c r="L1383" s="4" t="b">
        <f>AND(((G1383 &lt;&gt; "plain")=TRUE), ((G1383 &lt;&gt; "")=TRUE))</f>
        <v>0</v>
      </c>
      <c r="M1383" s="4" t="str">
        <f>IF(((E1383)=TRUE),  C1383 &amp; "|" &amp; H1383,  "")</f>
        <v>principal-process-steward|Requirements</v>
      </c>
      <c r="N1383" s="3" t="s">
        <v>10004</v>
      </c>
    </row>
    <row r="1384">
      <c r="A1384" s="3" t="s">
        <v>11386</v>
      </c>
      <c r="B1384" s="4" t="str">
        <f>C1384 &amp; " -&gt; " &amp; D1384</f>
        <v>principal-process-steward -&gt; Requirements.UnwatchedUnownedFlag</v>
      </c>
      <c r="C1384" s="3" t="s">
        <v>9772</v>
      </c>
      <c r="D1384" s="3" t="s">
        <v>3112</v>
      </c>
      <c r="E1384" s="3" t="b">
        <v>1</v>
      </c>
      <c r="F1384" s="3" t="b">
        <v>0</v>
      </c>
      <c r="G1384" s="3" t="s">
        <v>10003</v>
      </c>
      <c r="H1384" s="4" t="str">
        <f>_xlfn.IFNA(IF(((INDEX(RulebookFields!C2:C1898, MATCH(D1384,RulebookFields!A2:A1898, 0))="")=TRUE),  "",  INDEX(RulebookFields!C2:C1898, MATCH(D1384,RulebookFields!A2:A1898, 0))), "")</f>
        <v>Requirements</v>
      </c>
      <c r="I1384" s="4" t="str">
        <f>_xlfn.IFNA(IF(((INDEX(RulebookFields!D2:D1898, MATCH(D1384,RulebookFields!A2:A1898, 0))="")=TRUE),  "",  INDEX(RulebookFields!D2:D1898, MATCH(D1384,RulebookFields!A2:A1898, 0))), "")</f>
        <v>UnwatchedUnownedFlag</v>
      </c>
      <c r="J1384" s="4" t="b">
        <f>_xlfn.IFNA(IF(((INDEX(RulebookFields!I2:I1898, MATCH(D1384,RulebookFields!A2:A1898, 0))="")=TRUE),  "",  INDEX(RulebookFields!I2:I1898, MATCH(D1384,RulebookFields!A2:A1898, 0))), "")</f>
        <v>1</v>
      </c>
      <c r="K1384" s="4" t="b">
        <f>AND(((F1384)=TRUE), ((J1384)=TRUE))</f>
        <v>0</v>
      </c>
      <c r="L1384" s="4" t="b">
        <f>AND(((G1384 &lt;&gt; "plain")=TRUE), ((G1384 &lt;&gt; "")=TRUE))</f>
        <v>0</v>
      </c>
      <c r="M1384" s="4" t="str">
        <f>IF(((E1384)=TRUE),  C1384 &amp; "|" &amp; H1384,  "")</f>
        <v>principal-process-steward|Requirements</v>
      </c>
      <c r="N1384" s="3" t="s">
        <v>10004</v>
      </c>
    </row>
    <row r="1385">
      <c r="A1385" s="3" t="s">
        <v>11387</v>
      </c>
      <c r="B1385" s="4" t="str">
        <f>C1385 &amp; " -&gt; " &amp; D1385</f>
        <v>principal-process-steward -&gt; Requirements.SemanticTypeIri</v>
      </c>
      <c r="C1385" s="3" t="s">
        <v>9772</v>
      </c>
      <c r="D1385" s="3" t="s">
        <v>3117</v>
      </c>
      <c r="E1385" s="3" t="b">
        <v>1</v>
      </c>
      <c r="F1385" s="3" t="b">
        <v>0</v>
      </c>
      <c r="G1385" s="3" t="s">
        <v>10003</v>
      </c>
      <c r="H1385" s="4" t="str">
        <f>_xlfn.IFNA(IF(((INDEX(RulebookFields!C2:C1898, MATCH(D1385,RulebookFields!A2:A1898, 0))="")=TRUE),  "",  INDEX(RulebookFields!C2:C1898, MATCH(D1385,RulebookFields!A2:A1898, 0))), "")</f>
        <v>Requirements</v>
      </c>
      <c r="I1385" s="4" t="str">
        <f>_xlfn.IFNA(IF(((INDEX(RulebookFields!D2:D1898, MATCH(D1385,RulebookFields!A2:A1898, 0))="")=TRUE),  "",  INDEX(RulebookFields!D2:D1898, MATCH(D1385,RulebookFields!A2:A1898, 0))), "")</f>
        <v>SemanticTypeIri</v>
      </c>
      <c r="J1385" s="4" t="b">
        <f>_xlfn.IFNA(IF(((INDEX(RulebookFields!I2:I1898, MATCH(D1385,RulebookFields!A2:A1898, 0))="")=TRUE),  "",  INDEX(RulebookFields!I2:I1898, MATCH(D1385,RulebookFields!A2:A1898, 0))), "")</f>
        <v>0</v>
      </c>
      <c r="K1385" s="4" t="b">
        <f>AND(((F1385)=TRUE), ((J1385)=TRUE))</f>
        <v>0</v>
      </c>
      <c r="L1385" s="4" t="b">
        <f>AND(((G1385 &lt;&gt; "plain")=TRUE), ((G1385 &lt;&gt; "")=TRUE))</f>
        <v>0</v>
      </c>
      <c r="M1385" s="4" t="str">
        <f>IF(((E1385)=TRUE),  C1385 &amp; "|" &amp; H1385,  "")</f>
        <v>principal-process-steward|Requirements</v>
      </c>
      <c r="N1385" s="3" t="s">
        <v>10004</v>
      </c>
    </row>
    <row r="1386">
      <c r="A1386" s="3" t="s">
        <v>11388</v>
      </c>
      <c r="B1386" s="4" t="str">
        <f>C1386 &amp; " -&gt; " &amp; D1386</f>
        <v>principal-process-steward -&gt; Resources.ResourceId</v>
      </c>
      <c r="C1386" s="3" t="s">
        <v>9772</v>
      </c>
      <c r="D1386" s="3" t="s">
        <v>3174</v>
      </c>
      <c r="E1386" s="3" t="b">
        <v>1</v>
      </c>
      <c r="F1386" s="3" t="b">
        <v>0</v>
      </c>
      <c r="G1386" s="3" t="s">
        <v>10003</v>
      </c>
      <c r="H1386" s="4" t="str">
        <f>_xlfn.IFNA(IF(((INDEX(RulebookFields!C2:C1898, MATCH(D1386,RulebookFields!A2:A1898, 0))="")=TRUE),  "",  INDEX(RulebookFields!C2:C1898, MATCH(D1386,RulebookFields!A2:A1898, 0))), "")</f>
        <v>Resources</v>
      </c>
      <c r="I1386" s="4" t="str">
        <f>_xlfn.IFNA(IF(((INDEX(RulebookFields!D2:D1898, MATCH(D1386,RulebookFields!A2:A1898, 0))="")=TRUE),  "",  INDEX(RulebookFields!D2:D1898, MATCH(D1386,RulebookFields!A2:A1898, 0))), "")</f>
        <v>ResourceId</v>
      </c>
      <c r="J1386" s="4" t="b">
        <f>_xlfn.IFNA(IF(((INDEX(RulebookFields!I2:I1898, MATCH(D1386,RulebookFields!A2:A1898, 0))="")=TRUE),  "",  INDEX(RulebookFields!I2:I1898, MATCH(D1386,RulebookFields!A2:A1898, 0))), "")</f>
        <v>0</v>
      </c>
      <c r="K1386" s="4" t="b">
        <f>AND(((F1386)=TRUE), ((J1386)=TRUE))</f>
        <v>0</v>
      </c>
      <c r="L1386" s="4" t="b">
        <f>AND(((G1386 &lt;&gt; "plain")=TRUE), ((G1386 &lt;&gt; "")=TRUE))</f>
        <v>0</v>
      </c>
      <c r="M1386" s="4" t="str">
        <f>IF(((E1386)=TRUE),  C1386 &amp; "|" &amp; H1386,  "")</f>
        <v>principal-process-steward|Resources</v>
      </c>
      <c r="N1386" s="3" t="s">
        <v>10004</v>
      </c>
    </row>
    <row r="1387">
      <c r="A1387" s="3" t="s">
        <v>11389</v>
      </c>
      <c r="B1387" s="4" t="str">
        <f>C1387 &amp; " -&gt; " &amp; D1387</f>
        <v>principal-process-steward -&gt; Resources.Name</v>
      </c>
      <c r="C1387" s="3" t="s">
        <v>9772</v>
      </c>
      <c r="D1387" s="3" t="s">
        <v>3175</v>
      </c>
      <c r="E1387" s="3" t="b">
        <v>1</v>
      </c>
      <c r="F1387" s="3" t="b">
        <v>0</v>
      </c>
      <c r="G1387" s="3" t="s">
        <v>10003</v>
      </c>
      <c r="H1387" s="4" t="str">
        <f>_xlfn.IFNA(IF(((INDEX(RulebookFields!C2:C1898, MATCH(D1387,RulebookFields!A2:A1898, 0))="")=TRUE),  "",  INDEX(RulebookFields!C2:C1898, MATCH(D1387,RulebookFields!A2:A1898, 0))), "")</f>
        <v>Resources</v>
      </c>
      <c r="I1387" s="4" t="str">
        <f>_xlfn.IFNA(IF(((INDEX(RulebookFields!D2:D1898, MATCH(D1387,RulebookFields!A2:A1898, 0))="")=TRUE),  "",  INDEX(RulebookFields!D2:D1898, MATCH(D1387,RulebookFields!A2:A1898, 0))), "")</f>
        <v>Name</v>
      </c>
      <c r="J1387" s="4" t="b">
        <f>_xlfn.IFNA(IF(((INDEX(RulebookFields!I2:I1898, MATCH(D1387,RulebookFields!A2:A1898, 0))="")=TRUE),  "",  INDEX(RulebookFields!I2:I1898, MATCH(D1387,RulebookFields!A2:A1898, 0))), "")</f>
        <v>1</v>
      </c>
      <c r="K1387" s="4" t="b">
        <f>AND(((F1387)=TRUE), ((J1387)=TRUE))</f>
        <v>0</v>
      </c>
      <c r="L1387" s="4" t="b">
        <f>AND(((G1387 &lt;&gt; "plain")=TRUE), ((G1387 &lt;&gt; "")=TRUE))</f>
        <v>0</v>
      </c>
      <c r="M1387" s="4" t="str">
        <f>IF(((E1387)=TRUE),  C1387 &amp; "|" &amp; H1387,  "")</f>
        <v>principal-process-steward|Resources</v>
      </c>
      <c r="N1387" s="3" t="s">
        <v>10004</v>
      </c>
    </row>
    <row r="1388">
      <c r="A1388" s="3" t="s">
        <v>11390</v>
      </c>
      <c r="B1388" s="4" t="str">
        <f>C1388 &amp; " -&gt; " &amp; D1388</f>
        <v>principal-process-steward -&gt; Resources.Title</v>
      </c>
      <c r="C1388" s="3" t="s">
        <v>9772</v>
      </c>
      <c r="D1388" s="3" t="s">
        <v>3176</v>
      </c>
      <c r="E1388" s="3" t="b">
        <v>1</v>
      </c>
      <c r="F1388" s="3" t="b">
        <v>0</v>
      </c>
      <c r="G1388" s="3" t="s">
        <v>10003</v>
      </c>
      <c r="H1388" s="4" t="str">
        <f>_xlfn.IFNA(IF(((INDEX(RulebookFields!C2:C1898, MATCH(D1388,RulebookFields!A2:A1898, 0))="")=TRUE),  "",  INDEX(RulebookFields!C2:C1898, MATCH(D1388,RulebookFields!A2:A1898, 0))), "")</f>
        <v>Resources</v>
      </c>
      <c r="I1388" s="4" t="str">
        <f>_xlfn.IFNA(IF(((INDEX(RulebookFields!D2:D1898, MATCH(D1388,RulebookFields!A2:A1898, 0))="")=TRUE),  "",  INDEX(RulebookFields!D2:D1898, MATCH(D1388,RulebookFields!A2:A1898, 0))), "")</f>
        <v>Title</v>
      </c>
      <c r="J1388" s="4" t="b">
        <f>_xlfn.IFNA(IF(((INDEX(RulebookFields!I2:I1898, MATCH(D1388,RulebookFields!A2:A1898, 0))="")=TRUE),  "",  INDEX(RulebookFields!I2:I1898, MATCH(D1388,RulebookFields!A2:A1898, 0))), "")</f>
        <v>0</v>
      </c>
      <c r="K1388" s="4" t="b">
        <f>AND(((F1388)=TRUE), ((J1388)=TRUE))</f>
        <v>0</v>
      </c>
      <c r="L1388" s="4" t="b">
        <f>AND(((G1388 &lt;&gt; "plain")=TRUE), ((G1388 &lt;&gt; "")=TRUE))</f>
        <v>0</v>
      </c>
      <c r="M1388" s="4" t="str">
        <f>IF(((E1388)=TRUE),  C1388 &amp; "|" &amp; H1388,  "")</f>
        <v>principal-process-steward|Resources</v>
      </c>
      <c r="N1388" s="3" t="s">
        <v>10004</v>
      </c>
    </row>
    <row r="1389">
      <c r="A1389" s="3" t="s">
        <v>11391</v>
      </c>
      <c r="B1389" s="4" t="str">
        <f>C1389 &amp; " -&gt; " &amp; D1389</f>
        <v>principal-process-steward -&gt; Resources.ResourceKind</v>
      </c>
      <c r="C1389" s="3" t="s">
        <v>9772</v>
      </c>
      <c r="D1389" s="3" t="s">
        <v>3177</v>
      </c>
      <c r="E1389" s="3" t="b">
        <v>1</v>
      </c>
      <c r="F1389" s="3" t="b">
        <v>0</v>
      </c>
      <c r="G1389" s="3" t="s">
        <v>10003</v>
      </c>
      <c r="H1389" s="4" t="str">
        <f>_xlfn.IFNA(IF(((INDEX(RulebookFields!C2:C1898, MATCH(D1389,RulebookFields!A2:A1898, 0))="")=TRUE),  "",  INDEX(RulebookFields!C2:C1898, MATCH(D1389,RulebookFields!A2:A1898, 0))), "")</f>
        <v>Resources</v>
      </c>
      <c r="I1389" s="4" t="str">
        <f>_xlfn.IFNA(IF(((INDEX(RulebookFields!D2:D1898, MATCH(D1389,RulebookFields!A2:A1898, 0))="")=TRUE),  "",  INDEX(RulebookFields!D2:D1898, MATCH(D1389,RulebookFields!A2:A1898, 0))), "")</f>
        <v>ResourceKind</v>
      </c>
      <c r="J1389" s="4" t="b">
        <f>_xlfn.IFNA(IF(((INDEX(RulebookFields!I2:I1898, MATCH(D1389,RulebookFields!A2:A1898, 0))="")=TRUE),  "",  INDEX(RulebookFields!I2:I1898, MATCH(D1389,RulebookFields!A2:A1898, 0))), "")</f>
        <v>0</v>
      </c>
      <c r="K1389" s="4" t="b">
        <f>AND(((F1389)=TRUE), ((J1389)=TRUE))</f>
        <v>0</v>
      </c>
      <c r="L1389" s="4" t="b">
        <f>AND(((G1389 &lt;&gt; "plain")=TRUE), ((G1389 &lt;&gt; "")=TRUE))</f>
        <v>0</v>
      </c>
      <c r="M1389" s="4" t="str">
        <f>IF(((E1389)=TRUE),  C1389 &amp; "|" &amp; H1389,  "")</f>
        <v>principal-process-steward|Resources</v>
      </c>
      <c r="N1389" s="3" t="s">
        <v>10004</v>
      </c>
    </row>
    <row r="1390">
      <c r="A1390" s="3" t="s">
        <v>11392</v>
      </c>
      <c r="B1390" s="4" t="str">
        <f>C1390 &amp; " -&gt; " &amp; D1390</f>
        <v>principal-process-steward -&gt; Resources.ExternalUri</v>
      </c>
      <c r="C1390" s="3" t="s">
        <v>9772</v>
      </c>
      <c r="D1390" s="3" t="s">
        <v>3178</v>
      </c>
      <c r="E1390" s="3" t="b">
        <v>1</v>
      </c>
      <c r="F1390" s="3" t="b">
        <v>0</v>
      </c>
      <c r="G1390" s="3" t="s">
        <v>10003</v>
      </c>
      <c r="H1390" s="4" t="str">
        <f>_xlfn.IFNA(IF(((INDEX(RulebookFields!C2:C1898, MATCH(D1390,RulebookFields!A2:A1898, 0))="")=TRUE),  "",  INDEX(RulebookFields!C2:C1898, MATCH(D1390,RulebookFields!A2:A1898, 0))), "")</f>
        <v>Resources</v>
      </c>
      <c r="I1390" s="4" t="str">
        <f>_xlfn.IFNA(IF(((INDEX(RulebookFields!D2:D1898, MATCH(D1390,RulebookFields!A2:A1898, 0))="")=TRUE),  "",  INDEX(RulebookFields!D2:D1898, MATCH(D1390,RulebookFields!A2:A1898, 0))), "")</f>
        <v>ExternalUri</v>
      </c>
      <c r="J1390" s="4" t="b">
        <f>_xlfn.IFNA(IF(((INDEX(RulebookFields!I2:I1898, MATCH(D1390,RulebookFields!A2:A1898, 0))="")=TRUE),  "",  INDEX(RulebookFields!I2:I1898, MATCH(D1390,RulebookFields!A2:A1898, 0))), "")</f>
        <v>0</v>
      </c>
      <c r="K1390" s="4" t="b">
        <f>AND(((F1390)=TRUE), ((J1390)=TRUE))</f>
        <v>0</v>
      </c>
      <c r="L1390" s="4" t="b">
        <f>AND(((G1390 &lt;&gt; "plain")=TRUE), ((G1390 &lt;&gt; "")=TRUE))</f>
        <v>0</v>
      </c>
      <c r="M1390" s="4" t="str">
        <f>IF(((E1390)=TRUE),  C1390 &amp; "|" &amp; H1390,  "")</f>
        <v>principal-process-steward|Resources</v>
      </c>
      <c r="N1390" s="3" t="s">
        <v>10004</v>
      </c>
    </row>
    <row r="1391">
      <c r="A1391" s="3" t="s">
        <v>11393</v>
      </c>
      <c r="B1391" s="4" t="str">
        <f>C1391 &amp; " -&gt; " &amp; D1391</f>
        <v>principal-process-steward -&gt; Resources.CreatedAt</v>
      </c>
      <c r="C1391" s="3" t="s">
        <v>9772</v>
      </c>
      <c r="D1391" s="3" t="s">
        <v>3179</v>
      </c>
      <c r="E1391" s="3" t="b">
        <v>1</v>
      </c>
      <c r="F1391" s="3" t="b">
        <v>0</v>
      </c>
      <c r="G1391" s="3" t="s">
        <v>10003</v>
      </c>
      <c r="H1391" s="4" t="str">
        <f>_xlfn.IFNA(IF(((INDEX(RulebookFields!C2:C1898, MATCH(D1391,RulebookFields!A2:A1898, 0))="")=TRUE),  "",  INDEX(RulebookFields!C2:C1898, MATCH(D1391,RulebookFields!A2:A1898, 0))), "")</f>
        <v>Resources</v>
      </c>
      <c r="I1391" s="4" t="str">
        <f>_xlfn.IFNA(IF(((INDEX(RulebookFields!D2:D1898, MATCH(D1391,RulebookFields!A2:A1898, 0))="")=TRUE),  "",  INDEX(RulebookFields!D2:D1898, MATCH(D1391,RulebookFields!A2:A1898, 0))), "")</f>
        <v>CreatedAt</v>
      </c>
      <c r="J1391" s="4" t="b">
        <f>_xlfn.IFNA(IF(((INDEX(RulebookFields!I2:I1898, MATCH(D1391,RulebookFields!A2:A1898, 0))="")=TRUE),  "",  INDEX(RulebookFields!I2:I1898, MATCH(D1391,RulebookFields!A2:A1898, 0))), "")</f>
        <v>0</v>
      </c>
      <c r="K1391" s="4" t="b">
        <f>AND(((F1391)=TRUE), ((J1391)=TRUE))</f>
        <v>0</v>
      </c>
      <c r="L1391" s="4" t="b">
        <f>AND(((G1391 &lt;&gt; "plain")=TRUE), ((G1391 &lt;&gt; "")=TRUE))</f>
        <v>0</v>
      </c>
      <c r="M1391" s="4" t="str">
        <f>IF(((E1391)=TRUE),  C1391 &amp; "|" &amp; H1391,  "")</f>
        <v>principal-process-steward|Resources</v>
      </c>
      <c r="N1391" s="3" t="s">
        <v>10004</v>
      </c>
    </row>
    <row r="1392">
      <c r="A1392" s="3" t="s">
        <v>11394</v>
      </c>
      <c r="B1392" s="4" t="str">
        <f>C1392 &amp; " -&gt; " &amp; D1392</f>
        <v>principal-process-steward -&gt; Resources.ModifiedAt</v>
      </c>
      <c r="C1392" s="3" t="s">
        <v>9772</v>
      </c>
      <c r="D1392" s="3" t="s">
        <v>3180</v>
      </c>
      <c r="E1392" s="3" t="b">
        <v>1</v>
      </c>
      <c r="F1392" s="3" t="b">
        <v>0</v>
      </c>
      <c r="G1392" s="3" t="s">
        <v>10003</v>
      </c>
      <c r="H1392" s="4" t="str">
        <f>_xlfn.IFNA(IF(((INDEX(RulebookFields!C2:C1898, MATCH(D1392,RulebookFields!A2:A1898, 0))="")=TRUE),  "",  INDEX(RulebookFields!C2:C1898, MATCH(D1392,RulebookFields!A2:A1898, 0))), "")</f>
        <v>Resources</v>
      </c>
      <c r="I1392" s="4" t="str">
        <f>_xlfn.IFNA(IF(((INDEX(RulebookFields!D2:D1898, MATCH(D1392,RulebookFields!A2:A1898, 0))="")=TRUE),  "",  INDEX(RulebookFields!D2:D1898, MATCH(D1392,RulebookFields!A2:A1898, 0))), "")</f>
        <v>ModifiedAt</v>
      </c>
      <c r="J1392" s="4" t="b">
        <f>_xlfn.IFNA(IF(((INDEX(RulebookFields!I2:I1898, MATCH(D1392,RulebookFields!A2:A1898, 0))="")=TRUE),  "",  INDEX(RulebookFields!I2:I1898, MATCH(D1392,RulebookFields!A2:A1898, 0))), "")</f>
        <v>0</v>
      </c>
      <c r="K1392" s="4" t="b">
        <f>AND(((F1392)=TRUE), ((J1392)=TRUE))</f>
        <v>0</v>
      </c>
      <c r="L1392" s="4" t="b">
        <f>AND(((G1392 &lt;&gt; "plain")=TRUE), ((G1392 &lt;&gt; "")=TRUE))</f>
        <v>0</v>
      </c>
      <c r="M1392" s="4" t="str">
        <f>IF(((E1392)=TRUE),  C1392 &amp; "|" &amp; H1392,  "")</f>
        <v>principal-process-steward|Resources</v>
      </c>
      <c r="N1392" s="3" t="s">
        <v>10004</v>
      </c>
    </row>
    <row r="1393">
      <c r="A1393" s="3" t="s">
        <v>11395</v>
      </c>
      <c r="B1393" s="4" t="str">
        <f>C1393 &amp; " -&gt; " &amp; D1393</f>
        <v>principal-process-steward -&gt; Resources.Description</v>
      </c>
      <c r="C1393" s="3" t="s">
        <v>9772</v>
      </c>
      <c r="D1393" s="3" t="s">
        <v>3181</v>
      </c>
      <c r="E1393" s="3" t="b">
        <v>1</v>
      </c>
      <c r="F1393" s="3" t="b">
        <v>0</v>
      </c>
      <c r="G1393" s="3" t="s">
        <v>10003</v>
      </c>
      <c r="H1393" s="4" t="str">
        <f>_xlfn.IFNA(IF(((INDEX(RulebookFields!C2:C1898, MATCH(D1393,RulebookFields!A2:A1898, 0))="")=TRUE),  "",  INDEX(RulebookFields!C2:C1898, MATCH(D1393,RulebookFields!A2:A1898, 0))), "")</f>
        <v>Resources</v>
      </c>
      <c r="I1393" s="4" t="str">
        <f>_xlfn.IFNA(IF(((INDEX(RulebookFields!D2:D1898, MATCH(D1393,RulebookFields!A2:A1898, 0))="")=TRUE),  "",  INDEX(RulebookFields!D2:D1898, MATCH(D1393,RulebookFields!A2:A1898, 0))), "")</f>
        <v>Description</v>
      </c>
      <c r="J1393" s="4" t="b">
        <f>_xlfn.IFNA(IF(((INDEX(RulebookFields!I2:I1898, MATCH(D1393,RulebookFields!A2:A1898, 0))="")=TRUE),  "",  INDEX(RulebookFields!I2:I1898, MATCH(D1393,RulebookFields!A2:A1898, 0))), "")</f>
        <v>0</v>
      </c>
      <c r="K1393" s="4" t="b">
        <f>AND(((F1393)=TRUE), ((J1393)=TRUE))</f>
        <v>0</v>
      </c>
      <c r="L1393" s="4" t="b">
        <f>AND(((G1393 &lt;&gt; "plain")=TRUE), ((G1393 &lt;&gt; "")=TRUE))</f>
        <v>0</v>
      </c>
      <c r="M1393" s="4" t="str">
        <f>IF(((E1393)=TRUE),  C1393 &amp; "|" &amp; H1393,  "")</f>
        <v>principal-process-steward|Resources</v>
      </c>
      <c r="N1393" s="3" t="s">
        <v>10004</v>
      </c>
    </row>
    <row r="1394">
      <c r="A1394" s="3" t="s">
        <v>11396</v>
      </c>
      <c r="B1394" s="4" t="str">
        <f>C1394 &amp; " -&gt; " &amp; D1394</f>
        <v>principal-process-steward -&gt; Resources.ApprovalStatus</v>
      </c>
      <c r="C1394" s="3" t="s">
        <v>9772</v>
      </c>
      <c r="D1394" s="3" t="s">
        <v>3182</v>
      </c>
      <c r="E1394" s="3" t="b">
        <v>1</v>
      </c>
      <c r="F1394" s="3" t="b">
        <v>0</v>
      </c>
      <c r="G1394" s="3" t="s">
        <v>10003</v>
      </c>
      <c r="H1394" s="4" t="str">
        <f>_xlfn.IFNA(IF(((INDEX(RulebookFields!C2:C1898, MATCH(D1394,RulebookFields!A2:A1898, 0))="")=TRUE),  "",  INDEX(RulebookFields!C2:C1898, MATCH(D1394,RulebookFields!A2:A1898, 0))), "")</f>
        <v>Resources</v>
      </c>
      <c r="I1394" s="4" t="str">
        <f>_xlfn.IFNA(IF(((INDEX(RulebookFields!D2:D1898, MATCH(D1394,RulebookFields!A2:A1898, 0))="")=TRUE),  "",  INDEX(RulebookFields!D2:D1898, MATCH(D1394,RulebookFields!A2:A1898, 0))), "")</f>
        <v>ApprovalStatus</v>
      </c>
      <c r="J1394" s="4" t="b">
        <f>_xlfn.IFNA(IF(((INDEX(RulebookFields!I2:I1898, MATCH(D1394,RulebookFields!A2:A1898, 0))="")=TRUE),  "",  INDEX(RulebookFields!I2:I1898, MATCH(D1394,RulebookFields!A2:A1898, 0))), "")</f>
        <v>0</v>
      </c>
      <c r="K1394" s="4" t="b">
        <f>AND(((F1394)=TRUE), ((J1394)=TRUE))</f>
        <v>0</v>
      </c>
      <c r="L1394" s="4" t="b">
        <f>AND(((G1394 &lt;&gt; "plain")=TRUE), ((G1394 &lt;&gt; "")=TRUE))</f>
        <v>0</v>
      </c>
      <c r="M1394" s="4" t="str">
        <f>IF(((E1394)=TRUE),  C1394 &amp; "|" &amp; H1394,  "")</f>
        <v>principal-process-steward|Resources</v>
      </c>
      <c r="N1394" s="3" t="s">
        <v>10004</v>
      </c>
    </row>
    <row r="1395">
      <c r="A1395" s="3" t="s">
        <v>11397</v>
      </c>
      <c r="B1395" s="4" t="str">
        <f>C1395 &amp; " -&gt; " &amp; D1395</f>
        <v>principal-process-steward -&gt; Resources.IsApprovedSource</v>
      </c>
      <c r="C1395" s="3" t="s">
        <v>9772</v>
      </c>
      <c r="D1395" s="3" t="s">
        <v>3183</v>
      </c>
      <c r="E1395" s="3" t="b">
        <v>1</v>
      </c>
      <c r="F1395" s="3" t="b">
        <v>0</v>
      </c>
      <c r="G1395" s="3" t="s">
        <v>10003</v>
      </c>
      <c r="H1395" s="4" t="str">
        <f>_xlfn.IFNA(IF(((INDEX(RulebookFields!C2:C1898, MATCH(D1395,RulebookFields!A2:A1898, 0))="")=TRUE),  "",  INDEX(RulebookFields!C2:C1898, MATCH(D1395,RulebookFields!A2:A1898, 0))), "")</f>
        <v>Resources</v>
      </c>
      <c r="I1395" s="4" t="str">
        <f>_xlfn.IFNA(IF(((INDEX(RulebookFields!D2:D1898, MATCH(D1395,RulebookFields!A2:A1898, 0))="")=TRUE),  "",  INDEX(RulebookFields!D2:D1898, MATCH(D1395,RulebookFields!A2:A1898, 0))), "")</f>
        <v>IsApprovedSource</v>
      </c>
      <c r="J1395" s="4" t="b">
        <f>_xlfn.IFNA(IF(((INDEX(RulebookFields!I2:I1898, MATCH(D1395,RulebookFields!A2:A1898, 0))="")=TRUE),  "",  INDEX(RulebookFields!I2:I1898, MATCH(D1395,RulebookFields!A2:A1898, 0))), "")</f>
        <v>1</v>
      </c>
      <c r="K1395" s="4" t="b">
        <f>AND(((F1395)=TRUE), ((J1395)=TRUE))</f>
        <v>0</v>
      </c>
      <c r="L1395" s="4" t="b">
        <f>AND(((G1395 &lt;&gt; "plain")=TRUE), ((G1395 &lt;&gt; "")=TRUE))</f>
        <v>0</v>
      </c>
      <c r="M1395" s="4" t="str">
        <f>IF(((E1395)=TRUE),  C1395 &amp; "|" &amp; H1395,  "")</f>
        <v>principal-process-steward|Resources</v>
      </c>
      <c r="N1395" s="3" t="s">
        <v>10004</v>
      </c>
    </row>
    <row r="1396">
      <c r="A1396" s="3" t="s">
        <v>11398</v>
      </c>
      <c r="B1396" s="4" t="str">
        <f>C1396 &amp; " -&gt; " &amp; D1396</f>
        <v>principal-process-steward -&gt; Resources.SemanticTypeIri</v>
      </c>
      <c r="C1396" s="3" t="s">
        <v>9772</v>
      </c>
      <c r="D1396" s="3" t="s">
        <v>3185</v>
      </c>
      <c r="E1396" s="3" t="b">
        <v>1</v>
      </c>
      <c r="F1396" s="3" t="b">
        <v>0</v>
      </c>
      <c r="G1396" s="3" t="s">
        <v>10003</v>
      </c>
      <c r="H1396" s="4" t="str">
        <f>_xlfn.IFNA(IF(((INDEX(RulebookFields!C2:C1898, MATCH(D1396,RulebookFields!A2:A1898, 0))="")=TRUE),  "",  INDEX(RulebookFields!C2:C1898, MATCH(D1396,RulebookFields!A2:A1898, 0))), "")</f>
        <v>Resources</v>
      </c>
      <c r="I1396" s="4" t="str">
        <f>_xlfn.IFNA(IF(((INDEX(RulebookFields!D2:D1898, MATCH(D1396,RulebookFields!A2:A1898, 0))="")=TRUE),  "",  INDEX(RulebookFields!D2:D1898, MATCH(D1396,RulebookFields!A2:A1898, 0))), "")</f>
        <v>SemanticTypeIri</v>
      </c>
      <c r="J1396" s="4" t="b">
        <f>_xlfn.IFNA(IF(((INDEX(RulebookFields!I2:I1898, MATCH(D1396,RulebookFields!A2:A1898, 0))="")=TRUE),  "",  INDEX(RulebookFields!I2:I1898, MATCH(D1396,RulebookFields!A2:A1898, 0))), "")</f>
        <v>0</v>
      </c>
      <c r="K1396" s="4" t="b">
        <f>AND(((F1396)=TRUE), ((J1396)=TRUE))</f>
        <v>0</v>
      </c>
      <c r="L1396" s="4" t="b">
        <f>AND(((G1396 &lt;&gt; "plain")=TRUE), ((G1396 &lt;&gt; "")=TRUE))</f>
        <v>0</v>
      </c>
      <c r="M1396" s="4" t="str">
        <f>IF(((E1396)=TRUE),  C1396 &amp; "|" &amp; H1396,  "")</f>
        <v>principal-process-steward|Resources</v>
      </c>
      <c r="N1396" s="3" t="s">
        <v>10004</v>
      </c>
    </row>
    <row r="1397">
      <c r="A1397" s="3" t="s">
        <v>11399</v>
      </c>
      <c r="B1397" s="4" t="str">
        <f>C1397 &amp; " -&gt; " &amp; D1397</f>
        <v>principal-process-steward -&gt; ReviewEvents.ReviewEventId</v>
      </c>
      <c r="C1397" s="3" t="s">
        <v>9772</v>
      </c>
      <c r="D1397" s="3" t="s">
        <v>3987</v>
      </c>
      <c r="E1397" s="3" t="b">
        <v>1</v>
      </c>
      <c r="F1397" s="3" t="b">
        <v>0</v>
      </c>
      <c r="G1397" s="3" t="s">
        <v>10003</v>
      </c>
      <c r="H1397" s="4" t="str">
        <f>_xlfn.IFNA(IF(((INDEX(RulebookFields!C2:C1898, MATCH(D1397,RulebookFields!A2:A1898, 0))="")=TRUE),  "",  INDEX(RulebookFields!C2:C1898, MATCH(D1397,RulebookFields!A2:A1898, 0))), "")</f>
        <v>ReviewEvents</v>
      </c>
      <c r="I1397" s="4" t="str">
        <f>_xlfn.IFNA(IF(((INDEX(RulebookFields!D2:D1898, MATCH(D1397,RulebookFields!A2:A1898, 0))="")=TRUE),  "",  INDEX(RulebookFields!D2:D1898, MATCH(D1397,RulebookFields!A2:A1898, 0))), "")</f>
        <v>ReviewEventId</v>
      </c>
      <c r="J1397" s="4" t="b">
        <f>_xlfn.IFNA(IF(((INDEX(RulebookFields!I2:I1898, MATCH(D1397,RulebookFields!A2:A1898, 0))="")=TRUE),  "",  INDEX(RulebookFields!I2:I1898, MATCH(D1397,RulebookFields!A2:A1898, 0))), "")</f>
        <v>0</v>
      </c>
      <c r="K1397" s="4" t="b">
        <f>AND(((F1397)=TRUE), ((J1397)=TRUE))</f>
        <v>0</v>
      </c>
      <c r="L1397" s="4" t="b">
        <f>AND(((G1397 &lt;&gt; "plain")=TRUE), ((G1397 &lt;&gt; "")=TRUE))</f>
        <v>0</v>
      </c>
      <c r="M1397" s="4" t="str">
        <f>IF(((E1397)=TRUE),  C1397 &amp; "|" &amp; H1397,  "")</f>
        <v>principal-process-steward|ReviewEvents</v>
      </c>
      <c r="N1397" s="3" t="s">
        <v>10004</v>
      </c>
    </row>
    <row r="1398">
      <c r="A1398" s="3" t="s">
        <v>11400</v>
      </c>
      <c r="B1398" s="4" t="str">
        <f>C1398 &amp; " -&gt; " &amp; D1398</f>
        <v>principal-process-steward -&gt; ReviewEvents.Name</v>
      </c>
      <c r="C1398" s="3" t="s">
        <v>9772</v>
      </c>
      <c r="D1398" s="3" t="s">
        <v>3989</v>
      </c>
      <c r="E1398" s="3" t="b">
        <v>1</v>
      </c>
      <c r="F1398" s="3" t="b">
        <v>0</v>
      </c>
      <c r="G1398" s="3" t="s">
        <v>10003</v>
      </c>
      <c r="H1398" s="4" t="str">
        <f>_xlfn.IFNA(IF(((INDEX(RulebookFields!C2:C1898, MATCH(D1398,RulebookFields!A2:A1898, 0))="")=TRUE),  "",  INDEX(RulebookFields!C2:C1898, MATCH(D1398,RulebookFields!A2:A1898, 0))), "")</f>
        <v>ReviewEvents</v>
      </c>
      <c r="I1398" s="4" t="str">
        <f>_xlfn.IFNA(IF(((INDEX(RulebookFields!D2:D1898, MATCH(D1398,RulebookFields!A2:A1898, 0))="")=TRUE),  "",  INDEX(RulebookFields!D2:D1898, MATCH(D1398,RulebookFields!A2:A1898, 0))), "")</f>
        <v>Name</v>
      </c>
      <c r="J1398" s="4" t="b">
        <f>_xlfn.IFNA(IF(((INDEX(RulebookFields!I2:I1898, MATCH(D1398,RulebookFields!A2:A1898, 0))="")=TRUE),  "",  INDEX(RulebookFields!I2:I1898, MATCH(D1398,RulebookFields!A2:A1898, 0))), "")</f>
        <v>1</v>
      </c>
      <c r="K1398" s="4" t="b">
        <f>AND(((F1398)=TRUE), ((J1398)=TRUE))</f>
        <v>0</v>
      </c>
      <c r="L1398" s="4" t="b">
        <f>AND(((G1398 &lt;&gt; "plain")=TRUE), ((G1398 &lt;&gt; "")=TRUE))</f>
        <v>0</v>
      </c>
      <c r="M1398" s="4" t="str">
        <f>IF(((E1398)=TRUE),  C1398 &amp; "|" &amp; H1398,  "")</f>
        <v>principal-process-steward|ReviewEvents</v>
      </c>
      <c r="N1398" s="3" t="s">
        <v>10004</v>
      </c>
    </row>
    <row r="1399">
      <c r="A1399" s="3" t="s">
        <v>11401</v>
      </c>
      <c r="B1399" s="4" t="str">
        <f>C1399 &amp; " -&gt; " &amp; D1399</f>
        <v>principal-process-steward -&gt; ReviewEvents.ProcedureVersion</v>
      </c>
      <c r="C1399" s="3" t="s">
        <v>9772</v>
      </c>
      <c r="D1399" s="3" t="s">
        <v>3991</v>
      </c>
      <c r="E1399" s="3" t="b">
        <v>1</v>
      </c>
      <c r="F1399" s="3" t="b">
        <v>0</v>
      </c>
      <c r="G1399" s="3" t="s">
        <v>10003</v>
      </c>
      <c r="H1399" s="4" t="str">
        <f>_xlfn.IFNA(IF(((INDEX(RulebookFields!C2:C1898, MATCH(D1399,RulebookFields!A2:A1898, 0))="")=TRUE),  "",  INDEX(RulebookFields!C2:C1898, MATCH(D1399,RulebookFields!A2:A1898, 0))), "")</f>
        <v>ReviewEvents</v>
      </c>
      <c r="I1399" s="4" t="str">
        <f>_xlfn.IFNA(IF(((INDEX(RulebookFields!D2:D1898, MATCH(D1399,RulebookFields!A2:A1898, 0))="")=TRUE),  "",  INDEX(RulebookFields!D2:D1898, MATCH(D1399,RulebookFields!A2:A1898, 0))), "")</f>
        <v>ProcedureVersion</v>
      </c>
      <c r="J1399" s="4" t="b">
        <f>_xlfn.IFNA(IF(((INDEX(RulebookFields!I2:I1898, MATCH(D1399,RulebookFields!A2:A1898, 0))="")=TRUE),  "",  INDEX(RulebookFields!I2:I1898, MATCH(D1399,RulebookFields!A2:A1898, 0))), "")</f>
        <v>0</v>
      </c>
      <c r="K1399" s="4" t="b">
        <f>AND(((F1399)=TRUE), ((J1399)=TRUE))</f>
        <v>0</v>
      </c>
      <c r="L1399" s="4" t="b">
        <f>AND(((G1399 &lt;&gt; "plain")=TRUE), ((G1399 &lt;&gt; "")=TRUE))</f>
        <v>0</v>
      </c>
      <c r="M1399" s="4" t="str">
        <f>IF(((E1399)=TRUE),  C1399 &amp; "|" &amp; H1399,  "")</f>
        <v>principal-process-steward|ReviewEvents</v>
      </c>
      <c r="N1399" s="3" t="s">
        <v>10004</v>
      </c>
    </row>
    <row r="1400">
      <c r="A1400" s="3" t="s">
        <v>11402</v>
      </c>
      <c r="B1400" s="4" t="str">
        <f>C1400 &amp; " -&gt; " &amp; D1400</f>
        <v>principal-process-steward -&gt; ReviewEvents.ReviewKind</v>
      </c>
      <c r="C1400" s="3" t="s">
        <v>9772</v>
      </c>
      <c r="D1400" s="3" t="s">
        <v>3992</v>
      </c>
      <c r="E1400" s="3" t="b">
        <v>1</v>
      </c>
      <c r="F1400" s="3" t="b">
        <v>0</v>
      </c>
      <c r="G1400" s="3" t="s">
        <v>10003</v>
      </c>
      <c r="H1400" s="4" t="str">
        <f>_xlfn.IFNA(IF(((INDEX(RulebookFields!C2:C1898, MATCH(D1400,RulebookFields!A2:A1898, 0))="")=TRUE),  "",  INDEX(RulebookFields!C2:C1898, MATCH(D1400,RulebookFields!A2:A1898, 0))), "")</f>
        <v>ReviewEvents</v>
      </c>
      <c r="I1400" s="4" t="str">
        <f>_xlfn.IFNA(IF(((INDEX(RulebookFields!D2:D1898, MATCH(D1400,RulebookFields!A2:A1898, 0))="")=TRUE),  "",  INDEX(RulebookFields!D2:D1898, MATCH(D1400,RulebookFields!A2:A1898, 0))), "")</f>
        <v>ReviewKind</v>
      </c>
      <c r="J1400" s="4" t="b">
        <f>_xlfn.IFNA(IF(((INDEX(RulebookFields!I2:I1898, MATCH(D1400,RulebookFields!A2:A1898, 0))="")=TRUE),  "",  INDEX(RulebookFields!I2:I1898, MATCH(D1400,RulebookFields!A2:A1898, 0))), "")</f>
        <v>0</v>
      </c>
      <c r="K1400" s="4" t="b">
        <f>AND(((F1400)=TRUE), ((J1400)=TRUE))</f>
        <v>0</v>
      </c>
      <c r="L1400" s="4" t="b">
        <f>AND(((G1400 &lt;&gt; "plain")=TRUE), ((G1400 &lt;&gt; "")=TRUE))</f>
        <v>0</v>
      </c>
      <c r="M1400" s="4" t="str">
        <f>IF(((E1400)=TRUE),  C1400 &amp; "|" &amp; H1400,  "")</f>
        <v>principal-process-steward|ReviewEvents</v>
      </c>
      <c r="N1400" s="3" t="s">
        <v>10004</v>
      </c>
    </row>
    <row r="1401">
      <c r="A1401" s="3" t="s">
        <v>11403</v>
      </c>
      <c r="B1401" s="4" t="str">
        <f>C1401 &amp; " -&gt; " &amp; D1401</f>
        <v>principal-process-steward -&gt; ReviewEvents.ReviewedAt</v>
      </c>
      <c r="C1401" s="3" t="s">
        <v>9772</v>
      </c>
      <c r="D1401" s="3" t="s">
        <v>3993</v>
      </c>
      <c r="E1401" s="3" t="b">
        <v>1</v>
      </c>
      <c r="F1401" s="3" t="b">
        <v>0</v>
      </c>
      <c r="G1401" s="3" t="s">
        <v>10003</v>
      </c>
      <c r="H1401" s="4" t="str">
        <f>_xlfn.IFNA(IF(((INDEX(RulebookFields!C2:C1898, MATCH(D1401,RulebookFields!A2:A1898, 0))="")=TRUE),  "",  INDEX(RulebookFields!C2:C1898, MATCH(D1401,RulebookFields!A2:A1898, 0))), "")</f>
        <v>ReviewEvents</v>
      </c>
      <c r="I1401" s="4" t="str">
        <f>_xlfn.IFNA(IF(((INDEX(RulebookFields!D2:D1898, MATCH(D1401,RulebookFields!A2:A1898, 0))="")=TRUE),  "",  INDEX(RulebookFields!D2:D1898, MATCH(D1401,RulebookFields!A2:A1898, 0))), "")</f>
        <v>ReviewedAt</v>
      </c>
      <c r="J1401" s="4" t="b">
        <f>_xlfn.IFNA(IF(((INDEX(RulebookFields!I2:I1898, MATCH(D1401,RulebookFields!A2:A1898, 0))="")=TRUE),  "",  INDEX(RulebookFields!I2:I1898, MATCH(D1401,RulebookFields!A2:A1898, 0))), "")</f>
        <v>0</v>
      </c>
      <c r="K1401" s="4" t="b">
        <f>AND(((F1401)=TRUE), ((J1401)=TRUE))</f>
        <v>0</v>
      </c>
      <c r="L1401" s="4" t="b">
        <f>AND(((G1401 &lt;&gt; "plain")=TRUE), ((G1401 &lt;&gt; "")=TRUE))</f>
        <v>0</v>
      </c>
      <c r="M1401" s="4" t="str">
        <f>IF(((E1401)=TRUE),  C1401 &amp; "|" &amp; H1401,  "")</f>
        <v>principal-process-steward|ReviewEvents</v>
      </c>
      <c r="N1401" s="3" t="s">
        <v>10004</v>
      </c>
    </row>
    <row r="1402">
      <c r="A1402" s="3" t="s">
        <v>11404</v>
      </c>
      <c r="B1402" s="4" t="str">
        <f>C1402 &amp; " -&gt; " &amp; D1402</f>
        <v>principal-process-steward -&gt; ReviewEvents.ReviewedByAgent</v>
      </c>
      <c r="C1402" s="3" t="s">
        <v>9772</v>
      </c>
      <c r="D1402" s="3" t="s">
        <v>3994</v>
      </c>
      <c r="E1402" s="3" t="b">
        <v>1</v>
      </c>
      <c r="F1402" s="3" t="b">
        <v>0</v>
      </c>
      <c r="G1402" s="3" t="s">
        <v>10003</v>
      </c>
      <c r="H1402" s="4" t="str">
        <f>_xlfn.IFNA(IF(((INDEX(RulebookFields!C2:C1898, MATCH(D1402,RulebookFields!A2:A1898, 0))="")=TRUE),  "",  INDEX(RulebookFields!C2:C1898, MATCH(D1402,RulebookFields!A2:A1898, 0))), "")</f>
        <v>ReviewEvents</v>
      </c>
      <c r="I1402" s="4" t="str">
        <f>_xlfn.IFNA(IF(((INDEX(RulebookFields!D2:D1898, MATCH(D1402,RulebookFields!A2:A1898, 0))="")=TRUE),  "",  INDEX(RulebookFields!D2:D1898, MATCH(D1402,RulebookFields!A2:A1898, 0))), "")</f>
        <v>ReviewedByAgent</v>
      </c>
      <c r="J1402" s="4" t="b">
        <f>_xlfn.IFNA(IF(((INDEX(RulebookFields!I2:I1898, MATCH(D1402,RulebookFields!A2:A1898, 0))="")=TRUE),  "",  INDEX(RulebookFields!I2:I1898, MATCH(D1402,RulebookFields!A2:A1898, 0))), "")</f>
        <v>0</v>
      </c>
      <c r="K1402" s="4" t="b">
        <f>AND(((F1402)=TRUE), ((J1402)=TRUE))</f>
        <v>0</v>
      </c>
      <c r="L1402" s="4" t="b">
        <f>AND(((G1402 &lt;&gt; "plain")=TRUE), ((G1402 &lt;&gt; "")=TRUE))</f>
        <v>0</v>
      </c>
      <c r="M1402" s="4" t="str">
        <f>IF(((E1402)=TRUE),  C1402 &amp; "|" &amp; H1402,  "")</f>
        <v>principal-process-steward|ReviewEvents</v>
      </c>
      <c r="N1402" s="3" t="s">
        <v>10004</v>
      </c>
    </row>
    <row r="1403">
      <c r="A1403" s="3" t="s">
        <v>11405</v>
      </c>
      <c r="B1403" s="4" t="str">
        <f>C1403 &amp; " -&gt; " &amp; D1403</f>
        <v>principal-process-steward -&gt; ReviewEvents.Outcome</v>
      </c>
      <c r="C1403" s="3" t="s">
        <v>9772</v>
      </c>
      <c r="D1403" s="3" t="s">
        <v>3995</v>
      </c>
      <c r="E1403" s="3" t="b">
        <v>1</v>
      </c>
      <c r="F1403" s="3" t="b">
        <v>0</v>
      </c>
      <c r="G1403" s="3" t="s">
        <v>10003</v>
      </c>
      <c r="H1403" s="4" t="str">
        <f>_xlfn.IFNA(IF(((INDEX(RulebookFields!C2:C1898, MATCH(D1403,RulebookFields!A2:A1898, 0))="")=TRUE),  "",  INDEX(RulebookFields!C2:C1898, MATCH(D1403,RulebookFields!A2:A1898, 0))), "")</f>
        <v>ReviewEvents</v>
      </c>
      <c r="I1403" s="4" t="str">
        <f>_xlfn.IFNA(IF(((INDEX(RulebookFields!D2:D1898, MATCH(D1403,RulebookFields!A2:A1898, 0))="")=TRUE),  "",  INDEX(RulebookFields!D2:D1898, MATCH(D1403,RulebookFields!A2:A1898, 0))), "")</f>
        <v>Outcome</v>
      </c>
      <c r="J1403" s="4" t="b">
        <f>_xlfn.IFNA(IF(((INDEX(RulebookFields!I2:I1898, MATCH(D1403,RulebookFields!A2:A1898, 0))="")=TRUE),  "",  INDEX(RulebookFields!I2:I1898, MATCH(D1403,RulebookFields!A2:A1898, 0))), "")</f>
        <v>0</v>
      </c>
      <c r="K1403" s="4" t="b">
        <f>AND(((F1403)=TRUE), ((J1403)=TRUE))</f>
        <v>0</v>
      </c>
      <c r="L1403" s="4" t="b">
        <f>AND(((G1403 &lt;&gt; "plain")=TRUE), ((G1403 &lt;&gt; "")=TRUE))</f>
        <v>0</v>
      </c>
      <c r="M1403" s="4" t="str">
        <f>IF(((E1403)=TRUE),  C1403 &amp; "|" &amp; H1403,  "")</f>
        <v>principal-process-steward|ReviewEvents</v>
      </c>
      <c r="N1403" s="3" t="s">
        <v>10004</v>
      </c>
    </row>
    <row r="1404">
      <c r="A1404" s="3" t="s">
        <v>11406</v>
      </c>
      <c r="B1404" s="4" t="str">
        <f>C1404 &amp; " -&gt; " &amp; D1404</f>
        <v>principal-process-steward -&gt; ReviewEvents.RelatedChangeRequest</v>
      </c>
      <c r="C1404" s="3" t="s">
        <v>9772</v>
      </c>
      <c r="D1404" s="3" t="s">
        <v>3996</v>
      </c>
      <c r="E1404" s="3" t="b">
        <v>1</v>
      </c>
      <c r="F1404" s="3" t="b">
        <v>0</v>
      </c>
      <c r="G1404" s="3" t="s">
        <v>10003</v>
      </c>
      <c r="H1404" s="4" t="str">
        <f>_xlfn.IFNA(IF(((INDEX(RulebookFields!C2:C1898, MATCH(D1404,RulebookFields!A2:A1898, 0))="")=TRUE),  "",  INDEX(RulebookFields!C2:C1898, MATCH(D1404,RulebookFields!A2:A1898, 0))), "")</f>
        <v>ReviewEvents</v>
      </c>
      <c r="I1404" s="4" t="str">
        <f>_xlfn.IFNA(IF(((INDEX(RulebookFields!D2:D1898, MATCH(D1404,RulebookFields!A2:A1898, 0))="")=TRUE),  "",  INDEX(RulebookFields!D2:D1898, MATCH(D1404,RulebookFields!A2:A1898, 0))), "")</f>
        <v>RelatedChangeRequest</v>
      </c>
      <c r="J1404" s="4" t="b">
        <f>_xlfn.IFNA(IF(((INDEX(RulebookFields!I2:I1898, MATCH(D1404,RulebookFields!A2:A1898, 0))="")=TRUE),  "",  INDEX(RulebookFields!I2:I1898, MATCH(D1404,RulebookFields!A2:A1898, 0))), "")</f>
        <v>0</v>
      </c>
      <c r="K1404" s="4" t="b">
        <f>AND(((F1404)=TRUE), ((J1404)=TRUE))</f>
        <v>0</v>
      </c>
      <c r="L1404" s="4" t="b">
        <f>AND(((G1404 &lt;&gt; "plain")=TRUE), ((G1404 &lt;&gt; "")=TRUE))</f>
        <v>0</v>
      </c>
      <c r="M1404" s="4" t="str">
        <f>IF(((E1404)=TRUE),  C1404 &amp; "|" &amp; H1404,  "")</f>
        <v>principal-process-steward|ReviewEvents</v>
      </c>
      <c r="N1404" s="3" t="s">
        <v>10004</v>
      </c>
    </row>
    <row r="1405">
      <c r="A1405" s="3" t="s">
        <v>11407</v>
      </c>
      <c r="B1405" s="4" t="str">
        <f>C1405 &amp; " -&gt; " &amp; D1405</f>
        <v>principal-process-steward -&gt; ReviewEvents.NextReviewDue</v>
      </c>
      <c r="C1405" s="3" t="s">
        <v>9772</v>
      </c>
      <c r="D1405" s="3" t="s">
        <v>3997</v>
      </c>
      <c r="E1405" s="3" t="b">
        <v>1</v>
      </c>
      <c r="F1405" s="3" t="b">
        <v>0</v>
      </c>
      <c r="G1405" s="3" t="s">
        <v>10003</v>
      </c>
      <c r="H1405" s="4" t="str">
        <f>_xlfn.IFNA(IF(((INDEX(RulebookFields!C2:C1898, MATCH(D1405,RulebookFields!A2:A1898, 0))="")=TRUE),  "",  INDEX(RulebookFields!C2:C1898, MATCH(D1405,RulebookFields!A2:A1898, 0))), "")</f>
        <v>ReviewEvents</v>
      </c>
      <c r="I1405" s="4" t="str">
        <f>_xlfn.IFNA(IF(((INDEX(RulebookFields!D2:D1898, MATCH(D1405,RulebookFields!A2:A1898, 0))="")=TRUE),  "",  INDEX(RulebookFields!D2:D1898, MATCH(D1405,RulebookFields!A2:A1898, 0))), "")</f>
        <v>NextReviewDue</v>
      </c>
      <c r="J1405" s="4" t="b">
        <f>_xlfn.IFNA(IF(((INDEX(RulebookFields!I2:I1898, MATCH(D1405,RulebookFields!A2:A1898, 0))="")=TRUE),  "",  INDEX(RulebookFields!I2:I1898, MATCH(D1405,RulebookFields!A2:A1898, 0))), "")</f>
        <v>0</v>
      </c>
      <c r="K1405" s="4" t="b">
        <f>AND(((F1405)=TRUE), ((J1405)=TRUE))</f>
        <v>0</v>
      </c>
      <c r="L1405" s="4" t="b">
        <f>AND(((G1405 &lt;&gt; "plain")=TRUE), ((G1405 &lt;&gt; "")=TRUE))</f>
        <v>0</v>
      </c>
      <c r="M1405" s="4" t="str">
        <f>IF(((E1405)=TRUE),  C1405 &amp; "|" &amp; H1405,  "")</f>
        <v>principal-process-steward|ReviewEvents</v>
      </c>
      <c r="N1405" s="3" t="s">
        <v>10004</v>
      </c>
    </row>
    <row r="1406">
      <c r="A1406" s="3" t="s">
        <v>11408</v>
      </c>
      <c r="B1406" s="4" t="str">
        <f>C1406 &amp; " -&gt; " &amp; D1406</f>
        <v>principal-process-steward -&gt; ReviewEvents.EvaluationContext</v>
      </c>
      <c r="C1406" s="3" t="s">
        <v>9772</v>
      </c>
      <c r="D1406" s="3" t="s">
        <v>3998</v>
      </c>
      <c r="E1406" s="3" t="b">
        <v>1</v>
      </c>
      <c r="F1406" s="3" t="b">
        <v>0</v>
      </c>
      <c r="G1406" s="3" t="s">
        <v>10003</v>
      </c>
      <c r="H1406" s="4" t="str">
        <f>_xlfn.IFNA(IF(((INDEX(RulebookFields!C2:C1898, MATCH(D1406,RulebookFields!A2:A1898, 0))="")=TRUE),  "",  INDEX(RulebookFields!C2:C1898, MATCH(D1406,RulebookFields!A2:A1898, 0))), "")</f>
        <v>ReviewEvents</v>
      </c>
      <c r="I1406" s="4" t="str">
        <f>_xlfn.IFNA(IF(((INDEX(RulebookFields!D2:D1898, MATCH(D1406,RulebookFields!A2:A1898, 0))="")=TRUE),  "",  INDEX(RulebookFields!D2:D1898, MATCH(D1406,RulebookFields!A2:A1898, 0))), "")</f>
        <v>EvaluationContext</v>
      </c>
      <c r="J1406" s="4" t="b">
        <f>_xlfn.IFNA(IF(((INDEX(RulebookFields!I2:I1898, MATCH(D1406,RulebookFields!A2:A1898, 0))="")=TRUE),  "",  INDEX(RulebookFields!I2:I1898, MATCH(D1406,RulebookFields!A2:A1898, 0))), "")</f>
        <v>0</v>
      </c>
      <c r="K1406" s="4" t="b">
        <f>AND(((F1406)=TRUE), ((J1406)=TRUE))</f>
        <v>0</v>
      </c>
      <c r="L1406" s="4" t="b">
        <f>AND(((G1406 &lt;&gt; "plain")=TRUE), ((G1406 &lt;&gt; "")=TRUE))</f>
        <v>0</v>
      </c>
      <c r="M1406" s="4" t="str">
        <f>IF(((E1406)=TRUE),  C1406 &amp; "|" &amp; H1406,  "")</f>
        <v>principal-process-steward|ReviewEvents</v>
      </c>
      <c r="N1406" s="3" t="s">
        <v>10004</v>
      </c>
    </row>
    <row r="1407">
      <c r="A1407" s="3" t="s">
        <v>11409</v>
      </c>
      <c r="B1407" s="4" t="str">
        <f>C1407 &amp; " -&gt; " &amp; D1407</f>
        <v>principal-process-steward -&gt; ReviewEvents.AsOfInstant</v>
      </c>
      <c r="C1407" s="3" t="s">
        <v>9772</v>
      </c>
      <c r="D1407" s="3" t="s">
        <v>3999</v>
      </c>
      <c r="E1407" s="3" t="b">
        <v>1</v>
      </c>
      <c r="F1407" s="3" t="b">
        <v>0</v>
      </c>
      <c r="G1407" s="3" t="s">
        <v>10003</v>
      </c>
      <c r="H1407" s="4" t="str">
        <f>_xlfn.IFNA(IF(((INDEX(RulebookFields!C2:C1898, MATCH(D1407,RulebookFields!A2:A1898, 0))="")=TRUE),  "",  INDEX(RulebookFields!C2:C1898, MATCH(D1407,RulebookFields!A2:A1898, 0))), "")</f>
        <v>ReviewEvents</v>
      </c>
      <c r="I1407" s="4" t="str">
        <f>_xlfn.IFNA(IF(((INDEX(RulebookFields!D2:D1898, MATCH(D1407,RulebookFields!A2:A1898, 0))="")=TRUE),  "",  INDEX(RulebookFields!D2:D1898, MATCH(D1407,RulebookFields!A2:A1898, 0))), "")</f>
        <v>AsOfInstant</v>
      </c>
      <c r="J1407" s="4" t="b">
        <f>_xlfn.IFNA(IF(((INDEX(RulebookFields!I2:I1898, MATCH(D1407,RulebookFields!A2:A1898, 0))="")=TRUE),  "",  INDEX(RulebookFields!I2:I1898, MATCH(D1407,RulebookFields!A2:A1898, 0))), "")</f>
        <v>1</v>
      </c>
      <c r="K1407" s="4" t="b">
        <f>AND(((F1407)=TRUE), ((J1407)=TRUE))</f>
        <v>0</v>
      </c>
      <c r="L1407" s="4" t="b">
        <f>AND(((G1407 &lt;&gt; "plain")=TRUE), ((G1407 &lt;&gt; "")=TRUE))</f>
        <v>0</v>
      </c>
      <c r="M1407" s="4" t="str">
        <f>IF(((E1407)=TRUE),  C1407 &amp; "|" &amp; H1407,  "")</f>
        <v>principal-process-steward|ReviewEvents</v>
      </c>
      <c r="N1407" s="3" t="s">
        <v>10004</v>
      </c>
    </row>
    <row r="1408">
      <c r="A1408" s="3" t="s">
        <v>11410</v>
      </c>
      <c r="B1408" s="4" t="str">
        <f>C1408 &amp; " -&gt; " &amp; D1408</f>
        <v>principal-process-steward -&gt; ReviewEvents.IsOverdue</v>
      </c>
      <c r="C1408" s="3" t="s">
        <v>9772</v>
      </c>
      <c r="D1408" s="3" t="s">
        <v>4000</v>
      </c>
      <c r="E1408" s="3" t="b">
        <v>1</v>
      </c>
      <c r="F1408" s="3" t="b">
        <v>0</v>
      </c>
      <c r="G1408" s="3" t="s">
        <v>10003</v>
      </c>
      <c r="H1408" s="4" t="str">
        <f>_xlfn.IFNA(IF(((INDEX(RulebookFields!C2:C1898, MATCH(D1408,RulebookFields!A2:A1898, 0))="")=TRUE),  "",  INDEX(RulebookFields!C2:C1898, MATCH(D1408,RulebookFields!A2:A1898, 0))), "")</f>
        <v>ReviewEvents</v>
      </c>
      <c r="I1408" s="4" t="str">
        <f>_xlfn.IFNA(IF(((INDEX(RulebookFields!D2:D1898, MATCH(D1408,RulebookFields!A2:A1898, 0))="")=TRUE),  "",  INDEX(RulebookFields!D2:D1898, MATCH(D1408,RulebookFields!A2:A1898, 0))), "")</f>
        <v>IsOverdue</v>
      </c>
      <c r="J1408" s="4" t="b">
        <f>_xlfn.IFNA(IF(((INDEX(RulebookFields!I2:I1898, MATCH(D1408,RulebookFields!A2:A1898, 0))="")=TRUE),  "",  INDEX(RulebookFields!I2:I1898, MATCH(D1408,RulebookFields!A2:A1898, 0))), "")</f>
        <v>1</v>
      </c>
      <c r="K1408" s="4" t="b">
        <f>AND(((F1408)=TRUE), ((J1408)=TRUE))</f>
        <v>0</v>
      </c>
      <c r="L1408" s="4" t="b">
        <f>AND(((G1408 &lt;&gt; "plain")=TRUE), ((G1408 &lt;&gt; "")=TRUE))</f>
        <v>0</v>
      </c>
      <c r="M1408" s="4" t="str">
        <f>IF(((E1408)=TRUE),  C1408 &amp; "|" &amp; H1408,  "")</f>
        <v>principal-process-steward|ReviewEvents</v>
      </c>
      <c r="N1408" s="3" t="s">
        <v>10004</v>
      </c>
    </row>
    <row r="1409">
      <c r="A1409" s="3" t="s">
        <v>11411</v>
      </c>
      <c r="B1409" s="4" t="str">
        <f>C1409 &amp; " -&gt; " &amp; D1409</f>
        <v>principal-process-steward -&gt; ReviewEvents.OverdueVersionKey</v>
      </c>
      <c r="C1409" s="3" t="s">
        <v>9772</v>
      </c>
      <c r="D1409" s="3" t="s">
        <v>4002</v>
      </c>
      <c r="E1409" s="3" t="b">
        <v>1</v>
      </c>
      <c r="F1409" s="3" t="b">
        <v>0</v>
      </c>
      <c r="G1409" s="3" t="s">
        <v>10003</v>
      </c>
      <c r="H1409" s="4" t="str">
        <f>_xlfn.IFNA(IF(((INDEX(RulebookFields!C2:C1898, MATCH(D1409,RulebookFields!A2:A1898, 0))="")=TRUE),  "",  INDEX(RulebookFields!C2:C1898, MATCH(D1409,RulebookFields!A2:A1898, 0))), "")</f>
        <v>ReviewEvents</v>
      </c>
      <c r="I1409" s="4" t="str">
        <f>_xlfn.IFNA(IF(((INDEX(RulebookFields!D2:D1898, MATCH(D1409,RulebookFields!A2:A1898, 0))="")=TRUE),  "",  INDEX(RulebookFields!D2:D1898, MATCH(D1409,RulebookFields!A2:A1898, 0))), "")</f>
        <v>OverdueVersionKey</v>
      </c>
      <c r="J1409" s="4" t="b">
        <f>_xlfn.IFNA(IF(((INDEX(RulebookFields!I2:I1898, MATCH(D1409,RulebookFields!A2:A1898, 0))="")=TRUE),  "",  INDEX(RulebookFields!I2:I1898, MATCH(D1409,RulebookFields!A2:A1898, 0))), "")</f>
        <v>1</v>
      </c>
      <c r="K1409" s="4" t="b">
        <f>AND(((F1409)=TRUE), ((J1409)=TRUE))</f>
        <v>0</v>
      </c>
      <c r="L1409" s="4" t="b">
        <f>AND(((G1409 &lt;&gt; "plain")=TRUE), ((G1409 &lt;&gt; "")=TRUE))</f>
        <v>0</v>
      </c>
      <c r="M1409" s="4" t="str">
        <f>IF(((E1409)=TRUE),  C1409 &amp; "|" &amp; H1409,  "")</f>
        <v>principal-process-steward|ReviewEvents</v>
      </c>
      <c r="N1409" s="3" t="s">
        <v>10004</v>
      </c>
    </row>
    <row r="1410">
      <c r="A1410" s="3" t="s">
        <v>11412</v>
      </c>
      <c r="B1410" s="4" t="str">
        <f>C1410 &amp; " -&gt; " &amp; D1410</f>
        <v>principal-process-steward -&gt; ReviewEvents.PromisedCadenceDays</v>
      </c>
      <c r="C1410" s="3" t="s">
        <v>9772</v>
      </c>
      <c r="D1410" s="3" t="s">
        <v>4004</v>
      </c>
      <c r="E1410" s="3" t="b">
        <v>1</v>
      </c>
      <c r="F1410" s="3" t="b">
        <v>0</v>
      </c>
      <c r="G1410" s="3" t="s">
        <v>10003</v>
      </c>
      <c r="H1410" s="4" t="str">
        <f>_xlfn.IFNA(IF(((INDEX(RulebookFields!C2:C1898, MATCH(D1410,RulebookFields!A2:A1898, 0))="")=TRUE),  "",  INDEX(RulebookFields!C2:C1898, MATCH(D1410,RulebookFields!A2:A1898, 0))), "")</f>
        <v>ReviewEvents</v>
      </c>
      <c r="I1410" s="4" t="str">
        <f>_xlfn.IFNA(IF(((INDEX(RulebookFields!D2:D1898, MATCH(D1410,RulebookFields!A2:A1898, 0))="")=TRUE),  "",  INDEX(RulebookFields!D2:D1898, MATCH(D1410,RulebookFields!A2:A1898, 0))), "")</f>
        <v>PromisedCadenceDays</v>
      </c>
      <c r="J1410" s="4" t="b">
        <f>_xlfn.IFNA(IF(((INDEX(RulebookFields!I2:I1898, MATCH(D1410,RulebookFields!A2:A1898, 0))="")=TRUE),  "",  INDEX(RulebookFields!I2:I1898, MATCH(D1410,RulebookFields!A2:A1898, 0))), "")</f>
        <v>1</v>
      </c>
      <c r="K1410" s="4" t="b">
        <f>AND(((F1410)=TRUE), ((J1410)=TRUE))</f>
        <v>0</v>
      </c>
      <c r="L1410" s="4" t="b">
        <f>AND(((G1410 &lt;&gt; "plain")=TRUE), ((G1410 &lt;&gt; "")=TRUE))</f>
        <v>0</v>
      </c>
      <c r="M1410" s="4" t="str">
        <f>IF(((E1410)=TRUE),  C1410 &amp; "|" &amp; H1410,  "")</f>
        <v>principal-process-steward|ReviewEvents</v>
      </c>
      <c r="N1410" s="3" t="s">
        <v>10004</v>
      </c>
    </row>
    <row r="1411">
      <c r="A1411" s="3" t="s">
        <v>11413</v>
      </c>
      <c r="B1411" s="4" t="str">
        <f>C1411 &amp; " -&gt; " &amp; D1411</f>
        <v>principal-process-steward -&gt; ReviewEvents.DaysSinceReviewed</v>
      </c>
      <c r="C1411" s="3" t="s">
        <v>9772</v>
      </c>
      <c r="D1411" s="3" t="s">
        <v>4005</v>
      </c>
      <c r="E1411" s="3" t="b">
        <v>1</v>
      </c>
      <c r="F1411" s="3" t="b">
        <v>0</v>
      </c>
      <c r="G1411" s="3" t="s">
        <v>10003</v>
      </c>
      <c r="H1411" s="4" t="str">
        <f>_xlfn.IFNA(IF(((INDEX(RulebookFields!C2:C1898, MATCH(D1411,RulebookFields!A2:A1898, 0))="")=TRUE),  "",  INDEX(RulebookFields!C2:C1898, MATCH(D1411,RulebookFields!A2:A1898, 0))), "")</f>
        <v>ReviewEvents</v>
      </c>
      <c r="I1411" s="4" t="str">
        <f>_xlfn.IFNA(IF(((INDEX(RulebookFields!D2:D1898, MATCH(D1411,RulebookFields!A2:A1898, 0))="")=TRUE),  "",  INDEX(RulebookFields!D2:D1898, MATCH(D1411,RulebookFields!A2:A1898, 0))), "")</f>
        <v>DaysSinceReviewed</v>
      </c>
      <c r="J1411" s="4" t="b">
        <f>_xlfn.IFNA(IF(((INDEX(RulebookFields!I2:I1898, MATCH(D1411,RulebookFields!A2:A1898, 0))="")=TRUE),  "",  INDEX(RulebookFields!I2:I1898, MATCH(D1411,RulebookFields!A2:A1898, 0))), "")</f>
        <v>1</v>
      </c>
      <c r="K1411" s="4" t="b">
        <f>AND(((F1411)=TRUE), ((J1411)=TRUE))</f>
        <v>0</v>
      </c>
      <c r="L1411" s="4" t="b">
        <f>AND(((G1411 &lt;&gt; "plain")=TRUE), ((G1411 &lt;&gt; "")=TRUE))</f>
        <v>0</v>
      </c>
      <c r="M1411" s="4" t="str">
        <f>IF(((E1411)=TRUE),  C1411 &amp; "|" &amp; H1411,  "")</f>
        <v>principal-process-steward|ReviewEvents</v>
      </c>
      <c r="N1411" s="3" t="s">
        <v>10004</v>
      </c>
    </row>
    <row r="1412">
      <c r="A1412" s="3" t="s">
        <v>11414</v>
      </c>
      <c r="B1412" s="4" t="str">
        <f>C1412 &amp; " -&gt; " &amp; D1412</f>
        <v>principal-process-steward -&gt; ReviewEvents.ExceedsPromisedCadence</v>
      </c>
      <c r="C1412" s="3" t="s">
        <v>9772</v>
      </c>
      <c r="D1412" s="3" t="s">
        <v>4007</v>
      </c>
      <c r="E1412" s="3" t="b">
        <v>1</v>
      </c>
      <c r="F1412" s="3" t="b">
        <v>0</v>
      </c>
      <c r="G1412" s="3" t="s">
        <v>10003</v>
      </c>
      <c r="H1412" s="4" t="str">
        <f>_xlfn.IFNA(IF(((INDEX(RulebookFields!C2:C1898, MATCH(D1412,RulebookFields!A2:A1898, 0))="")=TRUE),  "",  INDEX(RulebookFields!C2:C1898, MATCH(D1412,RulebookFields!A2:A1898, 0))), "")</f>
        <v>ReviewEvents</v>
      </c>
      <c r="I1412" s="4" t="str">
        <f>_xlfn.IFNA(IF(((INDEX(RulebookFields!D2:D1898, MATCH(D1412,RulebookFields!A2:A1898, 0))="")=TRUE),  "",  INDEX(RulebookFields!D2:D1898, MATCH(D1412,RulebookFields!A2:A1898, 0))), "")</f>
        <v>ExceedsPromisedCadence</v>
      </c>
      <c r="J1412" s="4" t="b">
        <f>_xlfn.IFNA(IF(((INDEX(RulebookFields!I2:I1898, MATCH(D1412,RulebookFields!A2:A1898, 0))="")=TRUE),  "",  INDEX(RulebookFields!I2:I1898, MATCH(D1412,RulebookFields!A2:A1898, 0))), "")</f>
        <v>1</v>
      </c>
      <c r="K1412" s="4" t="b">
        <f>AND(((F1412)=TRUE), ((J1412)=TRUE))</f>
        <v>0</v>
      </c>
      <c r="L1412" s="4" t="b">
        <f>AND(((G1412 &lt;&gt; "plain")=TRUE), ((G1412 &lt;&gt; "")=TRUE))</f>
        <v>0</v>
      </c>
      <c r="M1412" s="4" t="str">
        <f>IF(((E1412)=TRUE),  C1412 &amp; "|" &amp; H1412,  "")</f>
        <v>principal-process-steward|ReviewEvents</v>
      </c>
      <c r="N1412" s="3" t="s">
        <v>10004</v>
      </c>
    </row>
    <row r="1413">
      <c r="A1413" s="3" t="s">
        <v>11415</v>
      </c>
      <c r="B1413" s="4" t="str">
        <f>C1413 &amp; " -&gt; " &amp; D1413</f>
        <v>principal-process-steward -&gt; ReviewEvents.CadenceDriftDays</v>
      </c>
      <c r="C1413" s="3" t="s">
        <v>9772</v>
      </c>
      <c r="D1413" s="3" t="s">
        <v>4009</v>
      </c>
      <c r="E1413" s="3" t="b">
        <v>1</v>
      </c>
      <c r="F1413" s="3" t="b">
        <v>0</v>
      </c>
      <c r="G1413" s="3" t="s">
        <v>10003</v>
      </c>
      <c r="H1413" s="4" t="str">
        <f>_xlfn.IFNA(IF(((INDEX(RulebookFields!C2:C1898, MATCH(D1413,RulebookFields!A2:A1898, 0))="")=TRUE),  "",  INDEX(RulebookFields!C2:C1898, MATCH(D1413,RulebookFields!A2:A1898, 0))), "")</f>
        <v>ReviewEvents</v>
      </c>
      <c r="I1413" s="4" t="str">
        <f>_xlfn.IFNA(IF(((INDEX(RulebookFields!D2:D1898, MATCH(D1413,RulebookFields!A2:A1898, 0))="")=TRUE),  "",  INDEX(RulebookFields!D2:D1898, MATCH(D1413,RulebookFields!A2:A1898, 0))), "")</f>
        <v>CadenceDriftDays</v>
      </c>
      <c r="J1413" s="4" t="b">
        <f>_xlfn.IFNA(IF(((INDEX(RulebookFields!I2:I1898, MATCH(D1413,RulebookFields!A2:A1898, 0))="")=TRUE),  "",  INDEX(RulebookFields!I2:I1898, MATCH(D1413,RulebookFields!A2:A1898, 0))), "")</f>
        <v>1</v>
      </c>
      <c r="K1413" s="4" t="b">
        <f>AND(((F1413)=TRUE), ((J1413)=TRUE))</f>
        <v>0</v>
      </c>
      <c r="L1413" s="4" t="b">
        <f>AND(((G1413 &lt;&gt; "plain")=TRUE), ((G1413 &lt;&gt; "")=TRUE))</f>
        <v>0</v>
      </c>
      <c r="M1413" s="4" t="str">
        <f>IF(((E1413)=TRUE),  C1413 &amp; "|" &amp; H1413,  "")</f>
        <v>principal-process-steward|ReviewEvents</v>
      </c>
      <c r="N1413" s="3" t="s">
        <v>10004</v>
      </c>
    </row>
    <row r="1414">
      <c r="A1414" s="3" t="s">
        <v>11416</v>
      </c>
      <c r="B1414" s="4" t="str">
        <f>C1414 &amp; " -&gt; " &amp; D1414</f>
        <v>principal-process-steward -&gt; ReviewEvents.PromiseAndBehaviorDisagree</v>
      </c>
      <c r="C1414" s="3" t="s">
        <v>9772</v>
      </c>
      <c r="D1414" s="3" t="s">
        <v>4011</v>
      </c>
      <c r="E1414" s="3" t="b">
        <v>1</v>
      </c>
      <c r="F1414" s="3" t="b">
        <v>0</v>
      </c>
      <c r="G1414" s="3" t="s">
        <v>10003</v>
      </c>
      <c r="H1414" s="4" t="str">
        <f>_xlfn.IFNA(IF(((INDEX(RulebookFields!C2:C1898, MATCH(D1414,RulebookFields!A2:A1898, 0))="")=TRUE),  "",  INDEX(RulebookFields!C2:C1898, MATCH(D1414,RulebookFields!A2:A1898, 0))), "")</f>
        <v>ReviewEvents</v>
      </c>
      <c r="I1414" s="4" t="str">
        <f>_xlfn.IFNA(IF(((INDEX(RulebookFields!D2:D1898, MATCH(D1414,RulebookFields!A2:A1898, 0))="")=TRUE),  "",  INDEX(RulebookFields!D2:D1898, MATCH(D1414,RulebookFields!A2:A1898, 0))), "")</f>
        <v>PromiseAndBehaviorDisagree</v>
      </c>
      <c r="J1414" s="4" t="b">
        <f>_xlfn.IFNA(IF(((INDEX(RulebookFields!I2:I1898, MATCH(D1414,RulebookFields!A2:A1898, 0))="")=TRUE),  "",  INDEX(RulebookFields!I2:I1898, MATCH(D1414,RulebookFields!A2:A1898, 0))), "")</f>
        <v>1</v>
      </c>
      <c r="K1414" s="4" t="b">
        <f>AND(((F1414)=TRUE), ((J1414)=TRUE))</f>
        <v>0</v>
      </c>
      <c r="L1414" s="4" t="b">
        <f>AND(((G1414 &lt;&gt; "plain")=TRUE), ((G1414 &lt;&gt; "")=TRUE))</f>
        <v>0</v>
      </c>
      <c r="M1414" s="4" t="str">
        <f>IF(((E1414)=TRUE),  C1414 &amp; "|" &amp; H1414,  "")</f>
        <v>principal-process-steward|ReviewEvents</v>
      </c>
      <c r="N1414" s="3" t="s">
        <v>10004</v>
      </c>
    </row>
    <row r="1415">
      <c r="A1415" s="3" t="s">
        <v>11417</v>
      </c>
      <c r="B1415" s="4" t="str">
        <f>C1415 &amp; " -&gt; " &amp; D1415</f>
        <v>principal-process-steward -&gt; ReviewEvents.CadenceBreachVersionKey</v>
      </c>
      <c r="C1415" s="3" t="s">
        <v>9772</v>
      </c>
      <c r="D1415" s="3" t="s">
        <v>4013</v>
      </c>
      <c r="E1415" s="3" t="b">
        <v>1</v>
      </c>
      <c r="F1415" s="3" t="b">
        <v>0</v>
      </c>
      <c r="G1415" s="3" t="s">
        <v>10003</v>
      </c>
      <c r="H1415" s="4" t="str">
        <f>_xlfn.IFNA(IF(((INDEX(RulebookFields!C2:C1898, MATCH(D1415,RulebookFields!A2:A1898, 0))="")=TRUE),  "",  INDEX(RulebookFields!C2:C1898, MATCH(D1415,RulebookFields!A2:A1898, 0))), "")</f>
        <v>ReviewEvents</v>
      </c>
      <c r="I1415" s="4" t="str">
        <f>_xlfn.IFNA(IF(((INDEX(RulebookFields!D2:D1898, MATCH(D1415,RulebookFields!A2:A1898, 0))="")=TRUE),  "",  INDEX(RulebookFields!D2:D1898, MATCH(D1415,RulebookFields!A2:A1898, 0))), "")</f>
        <v>CadenceBreachVersionKey</v>
      </c>
      <c r="J1415" s="4" t="b">
        <f>_xlfn.IFNA(IF(((INDEX(RulebookFields!I2:I1898, MATCH(D1415,RulebookFields!A2:A1898, 0))="")=TRUE),  "",  INDEX(RulebookFields!I2:I1898, MATCH(D1415,RulebookFields!A2:A1898, 0))), "")</f>
        <v>1</v>
      </c>
      <c r="K1415" s="4" t="b">
        <f>AND(((F1415)=TRUE), ((J1415)=TRUE))</f>
        <v>0</v>
      </c>
      <c r="L1415" s="4" t="b">
        <f>AND(((G1415 &lt;&gt; "plain")=TRUE), ((G1415 &lt;&gt; "")=TRUE))</f>
        <v>0</v>
      </c>
      <c r="M1415" s="4" t="str">
        <f>IF(((E1415)=TRUE),  C1415 &amp; "|" &amp; H1415,  "")</f>
        <v>principal-process-steward|ReviewEvents</v>
      </c>
      <c r="N1415" s="3" t="s">
        <v>10004</v>
      </c>
    </row>
    <row r="1416">
      <c r="A1416" s="3" t="s">
        <v>11418</v>
      </c>
      <c r="B1416" s="4" t="str">
        <f>C1416 &amp; " -&gt; " &amp; D1416</f>
        <v>principal-process-steward -&gt; ReviewEvents.SemanticTypeIri</v>
      </c>
      <c r="C1416" s="3" t="s">
        <v>9772</v>
      </c>
      <c r="D1416" s="3" t="s">
        <v>4015</v>
      </c>
      <c r="E1416" s="3" t="b">
        <v>1</v>
      </c>
      <c r="F1416" s="3" t="b">
        <v>0</v>
      </c>
      <c r="G1416" s="3" t="s">
        <v>10003</v>
      </c>
      <c r="H1416" s="4" t="str">
        <f>_xlfn.IFNA(IF(((INDEX(RulebookFields!C2:C1898, MATCH(D1416,RulebookFields!A2:A1898, 0))="")=TRUE),  "",  INDEX(RulebookFields!C2:C1898, MATCH(D1416,RulebookFields!A2:A1898, 0))), "")</f>
        <v>ReviewEvents</v>
      </c>
      <c r="I1416" s="4" t="str">
        <f>_xlfn.IFNA(IF(((INDEX(RulebookFields!D2:D1898, MATCH(D1416,RulebookFields!A2:A1898, 0))="")=TRUE),  "",  INDEX(RulebookFields!D2:D1898, MATCH(D1416,RulebookFields!A2:A1898, 0))), "")</f>
        <v>SemanticTypeIri</v>
      </c>
      <c r="J1416" s="4" t="b">
        <f>_xlfn.IFNA(IF(((INDEX(RulebookFields!I2:I1898, MATCH(D1416,RulebookFields!A2:A1898, 0))="")=TRUE),  "",  INDEX(RulebookFields!I2:I1898, MATCH(D1416,RulebookFields!A2:A1898, 0))), "")</f>
        <v>0</v>
      </c>
      <c r="K1416" s="4" t="b">
        <f>AND(((F1416)=TRUE), ((J1416)=TRUE))</f>
        <v>0</v>
      </c>
      <c r="L1416" s="4" t="b">
        <f>AND(((G1416 &lt;&gt; "plain")=TRUE), ((G1416 &lt;&gt; "")=TRUE))</f>
        <v>0</v>
      </c>
      <c r="M1416" s="4" t="str">
        <f>IF(((E1416)=TRUE),  C1416 &amp; "|" &amp; H1416,  "")</f>
        <v>principal-process-steward|ReviewEvents</v>
      </c>
      <c r="N1416" s="3" t="s">
        <v>10004</v>
      </c>
    </row>
    <row r="1417">
      <c r="A1417" s="3" t="s">
        <v>11419</v>
      </c>
      <c r="B1417" s="4" t="str">
        <f>C1417 &amp; " -&gt; " &amp; D1417</f>
        <v>principal-process-steward -&gt; RoleAssignments.RoleAssignmentId</v>
      </c>
      <c r="C1417" s="3" t="s">
        <v>9772</v>
      </c>
      <c r="D1417" s="3" t="s">
        <v>2544</v>
      </c>
      <c r="E1417" s="3" t="b">
        <v>1</v>
      </c>
      <c r="F1417" s="3" t="b">
        <v>0</v>
      </c>
      <c r="G1417" s="3" t="s">
        <v>10003</v>
      </c>
      <c r="H1417" s="4" t="str">
        <f>_xlfn.IFNA(IF(((INDEX(RulebookFields!C2:C1898, MATCH(D1417,RulebookFields!A2:A1898, 0))="")=TRUE),  "",  INDEX(RulebookFields!C2:C1898, MATCH(D1417,RulebookFields!A2:A1898, 0))), "")</f>
        <v>RoleAssignments</v>
      </c>
      <c r="I1417" s="4" t="str">
        <f>_xlfn.IFNA(IF(((INDEX(RulebookFields!D2:D1898, MATCH(D1417,RulebookFields!A2:A1898, 0))="")=TRUE),  "",  INDEX(RulebookFields!D2:D1898, MATCH(D1417,RulebookFields!A2:A1898, 0))), "")</f>
        <v>RoleAssignmentId</v>
      </c>
      <c r="J1417" s="4" t="b">
        <f>_xlfn.IFNA(IF(((INDEX(RulebookFields!I2:I1898, MATCH(D1417,RulebookFields!A2:A1898, 0))="")=TRUE),  "",  INDEX(RulebookFields!I2:I1898, MATCH(D1417,RulebookFields!A2:A1898, 0))), "")</f>
        <v>0</v>
      </c>
      <c r="K1417" s="4" t="b">
        <f>AND(((F1417)=TRUE), ((J1417)=TRUE))</f>
        <v>0</v>
      </c>
      <c r="L1417" s="4" t="b">
        <f>AND(((G1417 &lt;&gt; "plain")=TRUE), ((G1417 &lt;&gt; "")=TRUE))</f>
        <v>0</v>
      </c>
      <c r="M1417" s="4" t="str">
        <f>IF(((E1417)=TRUE),  C1417 &amp; "|" &amp; H1417,  "")</f>
        <v>principal-process-steward|RoleAssignments</v>
      </c>
      <c r="N1417" s="3" t="s">
        <v>10004</v>
      </c>
    </row>
    <row r="1418">
      <c r="A1418" s="3" t="s">
        <v>11420</v>
      </c>
      <c r="B1418" s="4" t="str">
        <f>C1418 &amp; " -&gt; " &amp; D1418</f>
        <v>principal-process-steward -&gt; RoleAssignments.Name</v>
      </c>
      <c r="C1418" s="3" t="s">
        <v>9772</v>
      </c>
      <c r="D1418" s="3" t="s">
        <v>2545</v>
      </c>
      <c r="E1418" s="3" t="b">
        <v>1</v>
      </c>
      <c r="F1418" s="3" t="b">
        <v>0</v>
      </c>
      <c r="G1418" s="3" t="s">
        <v>10003</v>
      </c>
      <c r="H1418" s="4" t="str">
        <f>_xlfn.IFNA(IF(((INDEX(RulebookFields!C2:C1898, MATCH(D1418,RulebookFields!A2:A1898, 0))="")=TRUE),  "",  INDEX(RulebookFields!C2:C1898, MATCH(D1418,RulebookFields!A2:A1898, 0))), "")</f>
        <v>RoleAssignments</v>
      </c>
      <c r="I1418" s="4" t="str">
        <f>_xlfn.IFNA(IF(((INDEX(RulebookFields!D2:D1898, MATCH(D1418,RulebookFields!A2:A1898, 0))="")=TRUE),  "",  INDEX(RulebookFields!D2:D1898, MATCH(D1418,RulebookFields!A2:A1898, 0))), "")</f>
        <v>Name</v>
      </c>
      <c r="J1418" s="4" t="b">
        <f>_xlfn.IFNA(IF(((INDEX(RulebookFields!I2:I1898, MATCH(D1418,RulebookFields!A2:A1898, 0))="")=TRUE),  "",  INDEX(RulebookFields!I2:I1898, MATCH(D1418,RulebookFields!A2:A1898, 0))), "")</f>
        <v>1</v>
      </c>
      <c r="K1418" s="4" t="b">
        <f>AND(((F1418)=TRUE), ((J1418)=TRUE))</f>
        <v>0</v>
      </c>
      <c r="L1418" s="4" t="b">
        <f>AND(((G1418 &lt;&gt; "plain")=TRUE), ((G1418 &lt;&gt; "")=TRUE))</f>
        <v>0</v>
      </c>
      <c r="M1418" s="4" t="str">
        <f>IF(((E1418)=TRUE),  C1418 &amp; "|" &amp; H1418,  "")</f>
        <v>principal-process-steward|RoleAssignments</v>
      </c>
      <c r="N1418" s="3" t="s">
        <v>10004</v>
      </c>
    </row>
    <row r="1419">
      <c r="A1419" s="3" t="s">
        <v>11421</v>
      </c>
      <c r="B1419" s="4" t="str">
        <f>C1419 &amp; " -&gt; " &amp; D1419</f>
        <v>principal-process-steward -&gt; RoleAssignments.Role</v>
      </c>
      <c r="C1419" s="3" t="s">
        <v>9772</v>
      </c>
      <c r="D1419" s="3" t="s">
        <v>2547</v>
      </c>
      <c r="E1419" s="3" t="b">
        <v>1</v>
      </c>
      <c r="F1419" s="3" t="b">
        <v>0</v>
      </c>
      <c r="G1419" s="3" t="s">
        <v>10003</v>
      </c>
      <c r="H1419" s="4" t="str">
        <f>_xlfn.IFNA(IF(((INDEX(RulebookFields!C2:C1898, MATCH(D1419,RulebookFields!A2:A1898, 0))="")=TRUE),  "",  INDEX(RulebookFields!C2:C1898, MATCH(D1419,RulebookFields!A2:A1898, 0))), "")</f>
        <v>RoleAssignments</v>
      </c>
      <c r="I1419" s="4" t="str">
        <f>_xlfn.IFNA(IF(((INDEX(RulebookFields!D2:D1898, MATCH(D1419,RulebookFields!A2:A1898, 0))="")=TRUE),  "",  INDEX(RulebookFields!D2:D1898, MATCH(D1419,RulebookFields!A2:A1898, 0))), "")</f>
        <v>Role</v>
      </c>
      <c r="J1419" s="4" t="b">
        <f>_xlfn.IFNA(IF(((INDEX(RulebookFields!I2:I1898, MATCH(D1419,RulebookFields!A2:A1898, 0))="")=TRUE),  "",  INDEX(RulebookFields!I2:I1898, MATCH(D1419,RulebookFields!A2:A1898, 0))), "")</f>
        <v>0</v>
      </c>
      <c r="K1419" s="4" t="b">
        <f>AND(((F1419)=TRUE), ((J1419)=TRUE))</f>
        <v>0</v>
      </c>
      <c r="L1419" s="4" t="b">
        <f>AND(((G1419 &lt;&gt; "plain")=TRUE), ((G1419 &lt;&gt; "")=TRUE))</f>
        <v>0</v>
      </c>
      <c r="M1419" s="4" t="str">
        <f>IF(((E1419)=TRUE),  C1419 &amp; "|" &amp; H1419,  "")</f>
        <v>principal-process-steward|RoleAssignments</v>
      </c>
      <c r="N1419" s="3" t="s">
        <v>10004</v>
      </c>
    </row>
    <row r="1420">
      <c r="A1420" s="3" t="s">
        <v>11422</v>
      </c>
      <c r="B1420" s="4" t="str">
        <f>C1420 &amp; " -&gt; " &amp; D1420</f>
        <v>principal-process-steward -&gt; RoleAssignments.Agent</v>
      </c>
      <c r="C1420" s="3" t="s">
        <v>9772</v>
      </c>
      <c r="D1420" s="3" t="s">
        <v>2548</v>
      </c>
      <c r="E1420" s="3" t="b">
        <v>1</v>
      </c>
      <c r="F1420" s="3" t="b">
        <v>0</v>
      </c>
      <c r="G1420" s="3" t="s">
        <v>10003</v>
      </c>
      <c r="H1420" s="4" t="str">
        <f>_xlfn.IFNA(IF(((INDEX(RulebookFields!C2:C1898, MATCH(D1420,RulebookFields!A2:A1898, 0))="")=TRUE),  "",  INDEX(RulebookFields!C2:C1898, MATCH(D1420,RulebookFields!A2:A1898, 0))), "")</f>
        <v>RoleAssignments</v>
      </c>
      <c r="I1420" s="4" t="str">
        <f>_xlfn.IFNA(IF(((INDEX(RulebookFields!D2:D1898, MATCH(D1420,RulebookFields!A2:A1898, 0))="")=TRUE),  "",  INDEX(RulebookFields!D2:D1898, MATCH(D1420,RulebookFields!A2:A1898, 0))), "")</f>
        <v>Agent</v>
      </c>
      <c r="J1420" s="4" t="b">
        <f>_xlfn.IFNA(IF(((INDEX(RulebookFields!I2:I1898, MATCH(D1420,RulebookFields!A2:A1898, 0))="")=TRUE),  "",  INDEX(RulebookFields!I2:I1898, MATCH(D1420,RulebookFields!A2:A1898, 0))), "")</f>
        <v>0</v>
      </c>
      <c r="K1420" s="4" t="b">
        <f>AND(((F1420)=TRUE), ((J1420)=TRUE))</f>
        <v>0</v>
      </c>
      <c r="L1420" s="4" t="b">
        <f>AND(((G1420 &lt;&gt; "plain")=TRUE), ((G1420 &lt;&gt; "")=TRUE))</f>
        <v>0</v>
      </c>
      <c r="M1420" s="4" t="str">
        <f>IF(((E1420)=TRUE),  C1420 &amp; "|" &amp; H1420,  "")</f>
        <v>principal-process-steward|RoleAssignments</v>
      </c>
      <c r="N1420" s="3" t="s">
        <v>10004</v>
      </c>
    </row>
    <row r="1421">
      <c r="A1421" s="3" t="s">
        <v>11423</v>
      </c>
      <c r="B1421" s="4" t="str">
        <f>C1421 &amp; " -&gt; " &amp; D1421</f>
        <v>principal-process-steward -&gt; RoleAssignments.ValidFrom</v>
      </c>
      <c r="C1421" s="3" t="s">
        <v>9772</v>
      </c>
      <c r="D1421" s="3" t="s">
        <v>2549</v>
      </c>
      <c r="E1421" s="3" t="b">
        <v>1</v>
      </c>
      <c r="F1421" s="3" t="b">
        <v>0</v>
      </c>
      <c r="G1421" s="3" t="s">
        <v>10003</v>
      </c>
      <c r="H1421" s="4" t="str">
        <f>_xlfn.IFNA(IF(((INDEX(RulebookFields!C2:C1898, MATCH(D1421,RulebookFields!A2:A1898, 0))="")=TRUE),  "",  INDEX(RulebookFields!C2:C1898, MATCH(D1421,RulebookFields!A2:A1898, 0))), "")</f>
        <v>RoleAssignments</v>
      </c>
      <c r="I1421" s="4" t="str">
        <f>_xlfn.IFNA(IF(((INDEX(RulebookFields!D2:D1898, MATCH(D1421,RulebookFields!A2:A1898, 0))="")=TRUE),  "",  INDEX(RulebookFields!D2:D1898, MATCH(D1421,RulebookFields!A2:A1898, 0))), "")</f>
        <v>ValidFrom</v>
      </c>
      <c r="J1421" s="4" t="b">
        <f>_xlfn.IFNA(IF(((INDEX(RulebookFields!I2:I1898, MATCH(D1421,RulebookFields!A2:A1898, 0))="")=TRUE),  "",  INDEX(RulebookFields!I2:I1898, MATCH(D1421,RulebookFields!A2:A1898, 0))), "")</f>
        <v>0</v>
      </c>
      <c r="K1421" s="4" t="b">
        <f>AND(((F1421)=TRUE), ((J1421)=TRUE))</f>
        <v>0</v>
      </c>
      <c r="L1421" s="4" t="b">
        <f>AND(((G1421 &lt;&gt; "plain")=TRUE), ((G1421 &lt;&gt; "")=TRUE))</f>
        <v>0</v>
      </c>
      <c r="M1421" s="4" t="str">
        <f>IF(((E1421)=TRUE),  C1421 &amp; "|" &amp; H1421,  "")</f>
        <v>principal-process-steward|RoleAssignments</v>
      </c>
      <c r="N1421" s="3" t="s">
        <v>10004</v>
      </c>
    </row>
    <row r="1422">
      <c r="A1422" s="3" t="s">
        <v>11424</v>
      </c>
      <c r="B1422" s="4" t="str">
        <f>C1422 &amp; " -&gt; " &amp; D1422</f>
        <v>principal-process-steward -&gt; RoleAssignments.ValidTo</v>
      </c>
      <c r="C1422" s="3" t="s">
        <v>9772</v>
      </c>
      <c r="D1422" s="3" t="s">
        <v>2550</v>
      </c>
      <c r="E1422" s="3" t="b">
        <v>1</v>
      </c>
      <c r="F1422" s="3" t="b">
        <v>0</v>
      </c>
      <c r="G1422" s="3" t="s">
        <v>10003</v>
      </c>
      <c r="H1422" s="4" t="str">
        <f>_xlfn.IFNA(IF(((INDEX(RulebookFields!C2:C1898, MATCH(D1422,RulebookFields!A2:A1898, 0))="")=TRUE),  "",  INDEX(RulebookFields!C2:C1898, MATCH(D1422,RulebookFields!A2:A1898, 0))), "")</f>
        <v>RoleAssignments</v>
      </c>
      <c r="I1422" s="4" t="str">
        <f>_xlfn.IFNA(IF(((INDEX(RulebookFields!D2:D1898, MATCH(D1422,RulebookFields!A2:A1898, 0))="")=TRUE),  "",  INDEX(RulebookFields!D2:D1898, MATCH(D1422,RulebookFields!A2:A1898, 0))), "")</f>
        <v>ValidTo</v>
      </c>
      <c r="J1422" s="4" t="b">
        <f>_xlfn.IFNA(IF(((INDEX(RulebookFields!I2:I1898, MATCH(D1422,RulebookFields!A2:A1898, 0))="")=TRUE),  "",  INDEX(RulebookFields!I2:I1898, MATCH(D1422,RulebookFields!A2:A1898, 0))), "")</f>
        <v>0</v>
      </c>
      <c r="K1422" s="4" t="b">
        <f>AND(((F1422)=TRUE), ((J1422)=TRUE))</f>
        <v>0</v>
      </c>
      <c r="L1422" s="4" t="b">
        <f>AND(((G1422 &lt;&gt; "plain")=TRUE), ((G1422 &lt;&gt; "")=TRUE))</f>
        <v>0</v>
      </c>
      <c r="M1422" s="4" t="str">
        <f>IF(((E1422)=TRUE),  C1422 &amp; "|" &amp; H1422,  "")</f>
        <v>principal-process-steward|RoleAssignments</v>
      </c>
      <c r="N1422" s="3" t="s">
        <v>10004</v>
      </c>
    </row>
    <row r="1423">
      <c r="A1423" s="3" t="s">
        <v>11425</v>
      </c>
      <c r="B1423" s="4" t="str">
        <f>C1423 &amp; " -&gt; " &amp; D1423</f>
        <v>principal-process-steward -&gt; RoleAssignments.Reason</v>
      </c>
      <c r="C1423" s="3" t="s">
        <v>9772</v>
      </c>
      <c r="D1423" s="3" t="s">
        <v>2551</v>
      </c>
      <c r="E1423" s="3" t="b">
        <v>1</v>
      </c>
      <c r="F1423" s="3" t="b">
        <v>0</v>
      </c>
      <c r="G1423" s="3" t="s">
        <v>10003</v>
      </c>
      <c r="H1423" s="4" t="str">
        <f>_xlfn.IFNA(IF(((INDEX(RulebookFields!C2:C1898, MATCH(D1423,RulebookFields!A2:A1898, 0))="")=TRUE),  "",  INDEX(RulebookFields!C2:C1898, MATCH(D1423,RulebookFields!A2:A1898, 0))), "")</f>
        <v>RoleAssignments</v>
      </c>
      <c r="I1423" s="4" t="str">
        <f>_xlfn.IFNA(IF(((INDEX(RulebookFields!D2:D1898, MATCH(D1423,RulebookFields!A2:A1898, 0))="")=TRUE),  "",  INDEX(RulebookFields!D2:D1898, MATCH(D1423,RulebookFields!A2:A1898, 0))), "")</f>
        <v>Reason</v>
      </c>
      <c r="J1423" s="4" t="b">
        <f>_xlfn.IFNA(IF(((INDEX(RulebookFields!I2:I1898, MATCH(D1423,RulebookFields!A2:A1898, 0))="")=TRUE),  "",  INDEX(RulebookFields!I2:I1898, MATCH(D1423,RulebookFields!A2:A1898, 0))), "")</f>
        <v>0</v>
      </c>
      <c r="K1423" s="4" t="b">
        <f>AND(((F1423)=TRUE), ((J1423)=TRUE))</f>
        <v>0</v>
      </c>
      <c r="L1423" s="4" t="b">
        <f>AND(((G1423 &lt;&gt; "plain")=TRUE), ((G1423 &lt;&gt; "")=TRUE))</f>
        <v>0</v>
      </c>
      <c r="M1423" s="4" t="str">
        <f>IF(((E1423)=TRUE),  C1423 &amp; "|" &amp; H1423,  "")</f>
        <v>principal-process-steward|RoleAssignments</v>
      </c>
      <c r="N1423" s="3" t="s">
        <v>10004</v>
      </c>
    </row>
    <row r="1424">
      <c r="A1424" s="3" t="s">
        <v>11426</v>
      </c>
      <c r="B1424" s="4" t="str">
        <f>C1424 &amp; " -&gt; " &amp; D1424</f>
        <v>principal-process-steward -&gt; RoleAssignments.Status</v>
      </c>
      <c r="C1424" s="3" t="s">
        <v>9772</v>
      </c>
      <c r="D1424" s="3" t="s">
        <v>2552</v>
      </c>
      <c r="E1424" s="3" t="b">
        <v>1</v>
      </c>
      <c r="F1424" s="3" t="b">
        <v>0</v>
      </c>
      <c r="G1424" s="3" t="s">
        <v>10003</v>
      </c>
      <c r="H1424" s="4" t="str">
        <f>_xlfn.IFNA(IF(((INDEX(RulebookFields!C2:C1898, MATCH(D1424,RulebookFields!A2:A1898, 0))="")=TRUE),  "",  INDEX(RulebookFields!C2:C1898, MATCH(D1424,RulebookFields!A2:A1898, 0))), "")</f>
        <v>RoleAssignments</v>
      </c>
      <c r="I1424" s="4" t="str">
        <f>_xlfn.IFNA(IF(((INDEX(RulebookFields!D2:D1898, MATCH(D1424,RulebookFields!A2:A1898, 0))="")=TRUE),  "",  INDEX(RulebookFields!D2:D1898, MATCH(D1424,RulebookFields!A2:A1898, 0))), "")</f>
        <v>Status</v>
      </c>
      <c r="J1424" s="4" t="b">
        <f>_xlfn.IFNA(IF(((INDEX(RulebookFields!I2:I1898, MATCH(D1424,RulebookFields!A2:A1898, 0))="")=TRUE),  "",  INDEX(RulebookFields!I2:I1898, MATCH(D1424,RulebookFields!A2:A1898, 0))), "")</f>
        <v>0</v>
      </c>
      <c r="K1424" s="4" t="b">
        <f>AND(((F1424)=TRUE), ((J1424)=TRUE))</f>
        <v>0</v>
      </c>
      <c r="L1424" s="4" t="b">
        <f>AND(((G1424 &lt;&gt; "plain")=TRUE), ((G1424 &lt;&gt; "")=TRUE))</f>
        <v>0</v>
      </c>
      <c r="M1424" s="4" t="str">
        <f>IF(((E1424)=TRUE),  C1424 &amp; "|" &amp; H1424,  "")</f>
        <v>principal-process-steward|RoleAssignments</v>
      </c>
      <c r="N1424" s="3" t="s">
        <v>10004</v>
      </c>
    </row>
    <row r="1425">
      <c r="A1425" s="3" t="s">
        <v>11427</v>
      </c>
      <c r="B1425" s="4" t="str">
        <f>C1425 &amp; " -&gt; " &amp; D1425</f>
        <v>principal-process-steward -&gt; RoleAssignments.EvaluationContext</v>
      </c>
      <c r="C1425" s="3" t="s">
        <v>9772</v>
      </c>
      <c r="D1425" s="3" t="s">
        <v>2553</v>
      </c>
      <c r="E1425" s="3" t="b">
        <v>1</v>
      </c>
      <c r="F1425" s="3" t="b">
        <v>0</v>
      </c>
      <c r="G1425" s="3" t="s">
        <v>10003</v>
      </c>
      <c r="H1425" s="4" t="str">
        <f>_xlfn.IFNA(IF(((INDEX(RulebookFields!C2:C1898, MATCH(D1425,RulebookFields!A2:A1898, 0))="")=TRUE),  "",  INDEX(RulebookFields!C2:C1898, MATCH(D1425,RulebookFields!A2:A1898, 0))), "")</f>
        <v>RoleAssignments</v>
      </c>
      <c r="I1425" s="4" t="str">
        <f>_xlfn.IFNA(IF(((INDEX(RulebookFields!D2:D1898, MATCH(D1425,RulebookFields!A2:A1898, 0))="")=TRUE),  "",  INDEX(RulebookFields!D2:D1898, MATCH(D1425,RulebookFields!A2:A1898, 0))), "")</f>
        <v>EvaluationContext</v>
      </c>
      <c r="J1425" s="4" t="b">
        <f>_xlfn.IFNA(IF(((INDEX(RulebookFields!I2:I1898, MATCH(D1425,RulebookFields!A2:A1898, 0))="")=TRUE),  "",  INDEX(RulebookFields!I2:I1898, MATCH(D1425,RulebookFields!A2:A1898, 0))), "")</f>
        <v>0</v>
      </c>
      <c r="K1425" s="4" t="b">
        <f>AND(((F1425)=TRUE), ((J1425)=TRUE))</f>
        <v>0</v>
      </c>
      <c r="L1425" s="4" t="b">
        <f>AND(((G1425 &lt;&gt; "plain")=TRUE), ((G1425 &lt;&gt; "")=TRUE))</f>
        <v>0</v>
      </c>
      <c r="M1425" s="4" t="str">
        <f>IF(((E1425)=TRUE),  C1425 &amp; "|" &amp; H1425,  "")</f>
        <v>principal-process-steward|RoleAssignments</v>
      </c>
      <c r="N1425" s="3" t="s">
        <v>10004</v>
      </c>
    </row>
    <row r="1426">
      <c r="A1426" s="3" t="s">
        <v>11428</v>
      </c>
      <c r="B1426" s="4" t="str">
        <f>C1426 &amp; " -&gt; " &amp; D1426</f>
        <v>principal-process-steward -&gt; RoleAssignments.AsOfInstant</v>
      </c>
      <c r="C1426" s="3" t="s">
        <v>9772</v>
      </c>
      <c r="D1426" s="3" t="s">
        <v>2554</v>
      </c>
      <c r="E1426" s="3" t="b">
        <v>1</v>
      </c>
      <c r="F1426" s="3" t="b">
        <v>0</v>
      </c>
      <c r="G1426" s="3" t="s">
        <v>10003</v>
      </c>
      <c r="H1426" s="4" t="str">
        <f>_xlfn.IFNA(IF(((INDEX(RulebookFields!C2:C1898, MATCH(D1426,RulebookFields!A2:A1898, 0))="")=TRUE),  "",  INDEX(RulebookFields!C2:C1898, MATCH(D1426,RulebookFields!A2:A1898, 0))), "")</f>
        <v>RoleAssignments</v>
      </c>
      <c r="I1426" s="4" t="str">
        <f>_xlfn.IFNA(IF(((INDEX(RulebookFields!D2:D1898, MATCH(D1426,RulebookFields!A2:A1898, 0))="")=TRUE),  "",  INDEX(RulebookFields!D2:D1898, MATCH(D1426,RulebookFields!A2:A1898, 0))), "")</f>
        <v>AsOfInstant</v>
      </c>
      <c r="J1426" s="4" t="b">
        <f>_xlfn.IFNA(IF(((INDEX(RulebookFields!I2:I1898, MATCH(D1426,RulebookFields!A2:A1898, 0))="")=TRUE),  "",  INDEX(RulebookFields!I2:I1898, MATCH(D1426,RulebookFields!A2:A1898, 0))), "")</f>
        <v>1</v>
      </c>
      <c r="K1426" s="4" t="b">
        <f>AND(((F1426)=TRUE), ((J1426)=TRUE))</f>
        <v>0</v>
      </c>
      <c r="L1426" s="4" t="b">
        <f>AND(((G1426 &lt;&gt; "plain")=TRUE), ((G1426 &lt;&gt; "")=TRUE))</f>
        <v>0</v>
      </c>
      <c r="M1426" s="4" t="str">
        <f>IF(((E1426)=TRUE),  C1426 &amp; "|" &amp; H1426,  "")</f>
        <v>principal-process-steward|RoleAssignments</v>
      </c>
      <c r="N1426" s="3" t="s">
        <v>10004</v>
      </c>
    </row>
    <row r="1427">
      <c r="A1427" s="3" t="s">
        <v>11429</v>
      </c>
      <c r="B1427" s="4" t="str">
        <f>C1427 &amp; " -&gt; " &amp; D1427</f>
        <v>principal-process-steward -&gt; RoleAssignments.IsCurrent</v>
      </c>
      <c r="C1427" s="3" t="s">
        <v>9772</v>
      </c>
      <c r="D1427" s="3" t="s">
        <v>2556</v>
      </c>
      <c r="E1427" s="3" t="b">
        <v>1</v>
      </c>
      <c r="F1427" s="3" t="b">
        <v>0</v>
      </c>
      <c r="G1427" s="3" t="s">
        <v>10003</v>
      </c>
      <c r="H1427" s="4" t="str">
        <f>_xlfn.IFNA(IF(((INDEX(RulebookFields!C2:C1898, MATCH(D1427,RulebookFields!A2:A1898, 0))="")=TRUE),  "",  INDEX(RulebookFields!C2:C1898, MATCH(D1427,RulebookFields!A2:A1898, 0))), "")</f>
        <v>RoleAssignments</v>
      </c>
      <c r="I1427" s="4" t="str">
        <f>_xlfn.IFNA(IF(((INDEX(RulebookFields!D2:D1898, MATCH(D1427,RulebookFields!A2:A1898, 0))="")=TRUE),  "",  INDEX(RulebookFields!D2:D1898, MATCH(D1427,RulebookFields!A2:A1898, 0))), "")</f>
        <v>IsCurrent</v>
      </c>
      <c r="J1427" s="4" t="b">
        <f>_xlfn.IFNA(IF(((INDEX(RulebookFields!I2:I1898, MATCH(D1427,RulebookFields!A2:A1898, 0))="")=TRUE),  "",  INDEX(RulebookFields!I2:I1898, MATCH(D1427,RulebookFields!A2:A1898, 0))), "")</f>
        <v>1</v>
      </c>
      <c r="K1427" s="4" t="b">
        <f>AND(((F1427)=TRUE), ((J1427)=TRUE))</f>
        <v>0</v>
      </c>
      <c r="L1427" s="4" t="b">
        <f>AND(((G1427 &lt;&gt; "plain")=TRUE), ((G1427 &lt;&gt; "")=TRUE))</f>
        <v>0</v>
      </c>
      <c r="M1427" s="4" t="str">
        <f>IF(((E1427)=TRUE),  C1427 &amp; "|" &amp; H1427,  "")</f>
        <v>principal-process-steward|RoleAssignments</v>
      </c>
      <c r="N1427" s="3" t="s">
        <v>10004</v>
      </c>
    </row>
    <row r="1428">
      <c r="A1428" s="3" t="s">
        <v>11430</v>
      </c>
      <c r="B1428" s="4" t="str">
        <f>C1428 &amp; " -&gt; " &amp; D1428</f>
        <v>principal-process-steward -&gt; RoleAssignments.CurrentAgentKey</v>
      </c>
      <c r="C1428" s="3" t="s">
        <v>9772</v>
      </c>
      <c r="D1428" s="3" t="s">
        <v>2558</v>
      </c>
      <c r="E1428" s="3" t="b">
        <v>1</v>
      </c>
      <c r="F1428" s="3" t="b">
        <v>0</v>
      </c>
      <c r="G1428" s="3" t="s">
        <v>10003</v>
      </c>
      <c r="H1428" s="4" t="str">
        <f>_xlfn.IFNA(IF(((INDEX(RulebookFields!C2:C1898, MATCH(D1428,RulebookFields!A2:A1898, 0))="")=TRUE),  "",  INDEX(RulebookFields!C2:C1898, MATCH(D1428,RulebookFields!A2:A1898, 0))), "")</f>
        <v>RoleAssignments</v>
      </c>
      <c r="I1428" s="4" t="str">
        <f>_xlfn.IFNA(IF(((INDEX(RulebookFields!D2:D1898, MATCH(D1428,RulebookFields!A2:A1898, 0))="")=TRUE),  "",  INDEX(RulebookFields!D2:D1898, MATCH(D1428,RulebookFields!A2:A1898, 0))), "")</f>
        <v>CurrentAgentKey</v>
      </c>
      <c r="J1428" s="4" t="b">
        <f>_xlfn.IFNA(IF(((INDEX(RulebookFields!I2:I1898, MATCH(D1428,RulebookFields!A2:A1898, 0))="")=TRUE),  "",  INDEX(RulebookFields!I2:I1898, MATCH(D1428,RulebookFields!A2:A1898, 0))), "")</f>
        <v>1</v>
      </c>
      <c r="K1428" s="4" t="b">
        <f>AND(((F1428)=TRUE), ((J1428)=TRUE))</f>
        <v>0</v>
      </c>
      <c r="L1428" s="4" t="b">
        <f>AND(((G1428 &lt;&gt; "plain")=TRUE), ((G1428 &lt;&gt; "")=TRUE))</f>
        <v>0</v>
      </c>
      <c r="M1428" s="4" t="str">
        <f>IF(((E1428)=TRUE),  C1428 &amp; "|" &amp; H1428,  "")</f>
        <v>principal-process-steward|RoleAssignments</v>
      </c>
      <c r="N1428" s="3" t="s">
        <v>10004</v>
      </c>
    </row>
    <row r="1429">
      <c r="A1429" s="3" t="s">
        <v>11431</v>
      </c>
      <c r="B1429" s="4" t="str">
        <f>C1429 &amp; " -&gt; " &amp; D1429</f>
        <v>principal-process-steward -&gt; RoleAssignments.IsCurrentlyValid</v>
      </c>
      <c r="C1429" s="3" t="s">
        <v>9772</v>
      </c>
      <c r="D1429" s="3" t="s">
        <v>2560</v>
      </c>
      <c r="E1429" s="3" t="b">
        <v>1</v>
      </c>
      <c r="F1429" s="3" t="b">
        <v>0</v>
      </c>
      <c r="G1429" s="3" t="s">
        <v>10003</v>
      </c>
      <c r="H1429" s="4" t="str">
        <f>_xlfn.IFNA(IF(((INDEX(RulebookFields!C2:C1898, MATCH(D1429,RulebookFields!A2:A1898, 0))="")=TRUE),  "",  INDEX(RulebookFields!C2:C1898, MATCH(D1429,RulebookFields!A2:A1898, 0))), "")</f>
        <v>RoleAssignments</v>
      </c>
      <c r="I1429" s="4" t="str">
        <f>_xlfn.IFNA(IF(((INDEX(RulebookFields!D2:D1898, MATCH(D1429,RulebookFields!A2:A1898, 0))="")=TRUE),  "",  INDEX(RulebookFields!D2:D1898, MATCH(D1429,RulebookFields!A2:A1898, 0))), "")</f>
        <v>IsCurrentlyValid</v>
      </c>
      <c r="J1429" s="4" t="b">
        <f>_xlfn.IFNA(IF(((INDEX(RulebookFields!I2:I1898, MATCH(D1429,RulebookFields!A2:A1898, 0))="")=TRUE),  "",  INDEX(RulebookFields!I2:I1898, MATCH(D1429,RulebookFields!A2:A1898, 0))), "")</f>
        <v>1</v>
      </c>
      <c r="K1429" s="4" t="b">
        <f>AND(((F1429)=TRUE), ((J1429)=TRUE))</f>
        <v>0</v>
      </c>
      <c r="L1429" s="4" t="b">
        <f>AND(((G1429 &lt;&gt; "plain")=TRUE), ((G1429 &lt;&gt; "")=TRUE))</f>
        <v>0</v>
      </c>
      <c r="M1429" s="4" t="str">
        <f>IF(((E1429)=TRUE),  C1429 &amp; "|" &amp; H1429,  "")</f>
        <v>principal-process-steward|RoleAssignments</v>
      </c>
      <c r="N1429" s="3" t="s">
        <v>10004</v>
      </c>
    </row>
    <row r="1430">
      <c r="A1430" s="3" t="s">
        <v>11432</v>
      </c>
      <c r="B1430" s="4" t="str">
        <f>C1430 &amp; " -&gt; " &amp; D1430</f>
        <v>principal-process-steward -&gt; RoleAssignments.AgentRoleKey</v>
      </c>
      <c r="C1430" s="3" t="s">
        <v>9772</v>
      </c>
      <c r="D1430" s="3" t="s">
        <v>2562</v>
      </c>
      <c r="E1430" s="3" t="b">
        <v>1</v>
      </c>
      <c r="F1430" s="3" t="b">
        <v>0</v>
      </c>
      <c r="G1430" s="3" t="s">
        <v>10003</v>
      </c>
      <c r="H1430" s="4" t="str">
        <f>_xlfn.IFNA(IF(((INDEX(RulebookFields!C2:C1898, MATCH(D1430,RulebookFields!A2:A1898, 0))="")=TRUE),  "",  INDEX(RulebookFields!C2:C1898, MATCH(D1430,RulebookFields!A2:A1898, 0))), "")</f>
        <v>RoleAssignments</v>
      </c>
      <c r="I1430" s="4" t="str">
        <f>_xlfn.IFNA(IF(((INDEX(RulebookFields!D2:D1898, MATCH(D1430,RulebookFields!A2:A1898, 0))="")=TRUE),  "",  INDEX(RulebookFields!D2:D1898, MATCH(D1430,RulebookFields!A2:A1898, 0))), "")</f>
        <v>AgentRoleKey</v>
      </c>
      <c r="J1430" s="4" t="b">
        <f>_xlfn.IFNA(IF(((INDEX(RulebookFields!I2:I1898, MATCH(D1430,RulebookFields!A2:A1898, 0))="")=TRUE),  "",  INDEX(RulebookFields!I2:I1898, MATCH(D1430,RulebookFields!A2:A1898, 0))), "")</f>
        <v>1</v>
      </c>
      <c r="K1430" s="4" t="b">
        <f>AND(((F1430)=TRUE), ((J1430)=TRUE))</f>
        <v>0</v>
      </c>
      <c r="L1430" s="4" t="b">
        <f>AND(((G1430 &lt;&gt; "plain")=TRUE), ((G1430 &lt;&gt; "")=TRUE))</f>
        <v>0</v>
      </c>
      <c r="M1430" s="4" t="str">
        <f>IF(((E1430)=TRUE),  C1430 &amp; "|" &amp; H1430,  "")</f>
        <v>principal-process-steward|RoleAssignments</v>
      </c>
      <c r="N1430" s="3" t="s">
        <v>10004</v>
      </c>
    </row>
    <row r="1431">
      <c r="A1431" s="3" t="s">
        <v>11433</v>
      </c>
      <c r="B1431" s="4" t="str">
        <f>C1431 &amp; " -&gt; " &amp; D1431</f>
        <v>principal-process-steward -&gt; RoleAssignments.HasDeparted</v>
      </c>
      <c r="C1431" s="3" t="s">
        <v>9772</v>
      </c>
      <c r="D1431" s="3" t="s">
        <v>2564</v>
      </c>
      <c r="E1431" s="3" t="b">
        <v>1</v>
      </c>
      <c r="F1431" s="3" t="b">
        <v>0</v>
      </c>
      <c r="G1431" s="3" t="s">
        <v>10003</v>
      </c>
      <c r="H1431" s="4" t="str">
        <f>_xlfn.IFNA(IF(((INDEX(RulebookFields!C2:C1898, MATCH(D1431,RulebookFields!A2:A1898, 0))="")=TRUE),  "",  INDEX(RulebookFields!C2:C1898, MATCH(D1431,RulebookFields!A2:A1898, 0))), "")</f>
        <v>RoleAssignments</v>
      </c>
      <c r="I1431" s="4" t="str">
        <f>_xlfn.IFNA(IF(((INDEX(RulebookFields!D2:D1898, MATCH(D1431,RulebookFields!A2:A1898, 0))="")=TRUE),  "",  INDEX(RulebookFields!D2:D1898, MATCH(D1431,RulebookFields!A2:A1898, 0))), "")</f>
        <v>HasDeparted</v>
      </c>
      <c r="J1431" s="4" t="b">
        <f>_xlfn.IFNA(IF(((INDEX(RulebookFields!I2:I1898, MATCH(D1431,RulebookFields!A2:A1898, 0))="")=TRUE),  "",  INDEX(RulebookFields!I2:I1898, MATCH(D1431,RulebookFields!A2:A1898, 0))), "")</f>
        <v>1</v>
      </c>
      <c r="K1431" s="4" t="b">
        <f>AND(((F1431)=TRUE), ((J1431)=TRUE))</f>
        <v>0</v>
      </c>
      <c r="L1431" s="4" t="b">
        <f>AND(((G1431 &lt;&gt; "plain")=TRUE), ((G1431 &lt;&gt; "")=TRUE))</f>
        <v>0</v>
      </c>
      <c r="M1431" s="4" t="str">
        <f>IF(((E1431)=TRUE),  C1431 &amp; "|" &amp; H1431,  "")</f>
        <v>principal-process-steward|RoleAssignments</v>
      </c>
      <c r="N1431" s="3" t="s">
        <v>10004</v>
      </c>
    </row>
    <row r="1432">
      <c r="A1432" s="3" t="s">
        <v>11434</v>
      </c>
      <c r="B1432" s="4" t="str">
        <f>C1432 &amp; " -&gt; " &amp; D1432</f>
        <v>principal-process-steward -&gt; RoleAssignments.CoversNow</v>
      </c>
      <c r="C1432" s="3" t="s">
        <v>9772</v>
      </c>
      <c r="D1432" s="3" t="s">
        <v>2566</v>
      </c>
      <c r="E1432" s="3" t="b">
        <v>1</v>
      </c>
      <c r="F1432" s="3" t="b">
        <v>0</v>
      </c>
      <c r="G1432" s="3" t="s">
        <v>10003</v>
      </c>
      <c r="H1432" s="4" t="str">
        <f>_xlfn.IFNA(IF(((INDEX(RulebookFields!C2:C1898, MATCH(D1432,RulebookFields!A2:A1898, 0))="")=TRUE),  "",  INDEX(RulebookFields!C2:C1898, MATCH(D1432,RulebookFields!A2:A1898, 0))), "")</f>
        <v>RoleAssignments</v>
      </c>
      <c r="I1432" s="4" t="str">
        <f>_xlfn.IFNA(IF(((INDEX(RulebookFields!D2:D1898, MATCH(D1432,RulebookFields!A2:A1898, 0))="")=TRUE),  "",  INDEX(RulebookFields!D2:D1898, MATCH(D1432,RulebookFields!A2:A1898, 0))), "")</f>
        <v>CoversNow</v>
      </c>
      <c r="J1432" s="4" t="b">
        <f>_xlfn.IFNA(IF(((INDEX(RulebookFields!I2:I1898, MATCH(D1432,RulebookFields!A2:A1898, 0))="")=TRUE),  "",  INDEX(RulebookFields!I2:I1898, MATCH(D1432,RulebookFields!A2:A1898, 0))), "")</f>
        <v>1</v>
      </c>
      <c r="K1432" s="4" t="b">
        <f>AND(((F1432)=TRUE), ((J1432)=TRUE))</f>
        <v>0</v>
      </c>
      <c r="L1432" s="4" t="b">
        <f>AND(((G1432 &lt;&gt; "plain")=TRUE), ((G1432 &lt;&gt; "")=TRUE))</f>
        <v>0</v>
      </c>
      <c r="M1432" s="4" t="str">
        <f>IF(((E1432)=TRUE),  C1432 &amp; "|" &amp; H1432,  "")</f>
        <v>principal-process-steward|RoleAssignments</v>
      </c>
      <c r="N1432" s="3" t="s">
        <v>10004</v>
      </c>
    </row>
    <row r="1433">
      <c r="A1433" s="3" t="s">
        <v>11435</v>
      </c>
      <c r="B1433" s="4" t="str">
        <f>C1433 &amp; " -&gt; " &amp; D1433</f>
        <v>principal-process-steward -&gt; RoleAssignments.RoleWhenCovering</v>
      </c>
      <c r="C1433" s="3" t="s">
        <v>9772</v>
      </c>
      <c r="D1433" s="3" t="s">
        <v>2568</v>
      </c>
      <c r="E1433" s="3" t="b">
        <v>1</v>
      </c>
      <c r="F1433" s="3" t="b">
        <v>0</v>
      </c>
      <c r="G1433" s="3" t="s">
        <v>10003</v>
      </c>
      <c r="H1433" s="4" t="str">
        <f>_xlfn.IFNA(IF(((INDEX(RulebookFields!C2:C1898, MATCH(D1433,RulebookFields!A2:A1898, 0))="")=TRUE),  "",  INDEX(RulebookFields!C2:C1898, MATCH(D1433,RulebookFields!A2:A1898, 0))), "")</f>
        <v>RoleAssignments</v>
      </c>
      <c r="I1433" s="4" t="str">
        <f>_xlfn.IFNA(IF(((INDEX(RulebookFields!D2:D1898, MATCH(D1433,RulebookFields!A2:A1898, 0))="")=TRUE),  "",  INDEX(RulebookFields!D2:D1898, MATCH(D1433,RulebookFields!A2:A1898, 0))), "")</f>
        <v>RoleWhenCovering</v>
      </c>
      <c r="J1433" s="4" t="b">
        <f>_xlfn.IFNA(IF(((INDEX(RulebookFields!I2:I1898, MATCH(D1433,RulebookFields!A2:A1898, 0))="")=TRUE),  "",  INDEX(RulebookFields!I2:I1898, MATCH(D1433,RulebookFields!A2:A1898, 0))), "")</f>
        <v>1</v>
      </c>
      <c r="K1433" s="4" t="b">
        <f>AND(((F1433)=TRUE), ((J1433)=TRUE))</f>
        <v>0</v>
      </c>
      <c r="L1433" s="4" t="b">
        <f>AND(((G1433 &lt;&gt; "plain")=TRUE), ((G1433 &lt;&gt; "")=TRUE))</f>
        <v>0</v>
      </c>
      <c r="M1433" s="4" t="str">
        <f>IF(((E1433)=TRUE),  C1433 &amp; "|" &amp; H1433,  "")</f>
        <v>principal-process-steward|RoleAssignments</v>
      </c>
      <c r="N1433" s="3" t="s">
        <v>10004</v>
      </c>
    </row>
    <row r="1434">
      <c r="A1434" s="3" t="s">
        <v>11436</v>
      </c>
      <c r="B1434" s="4" t="str">
        <f>C1434 &amp; " -&gt; " &amp; D1434</f>
        <v>principal-process-steward -&gt; RoleAssignments.AgentKind</v>
      </c>
      <c r="C1434" s="3" t="s">
        <v>9772</v>
      </c>
      <c r="D1434" s="3" t="s">
        <v>2570</v>
      </c>
      <c r="E1434" s="3" t="b">
        <v>1</v>
      </c>
      <c r="F1434" s="3" t="b">
        <v>0</v>
      </c>
      <c r="G1434" s="3" t="s">
        <v>10003</v>
      </c>
      <c r="H1434" s="4" t="str">
        <f>_xlfn.IFNA(IF(((INDEX(RulebookFields!C2:C1898, MATCH(D1434,RulebookFields!A2:A1898, 0))="")=TRUE),  "",  INDEX(RulebookFields!C2:C1898, MATCH(D1434,RulebookFields!A2:A1898, 0))), "")</f>
        <v>RoleAssignments</v>
      </c>
      <c r="I1434" s="4" t="str">
        <f>_xlfn.IFNA(IF(((INDEX(RulebookFields!D2:D1898, MATCH(D1434,RulebookFields!A2:A1898, 0))="")=TRUE),  "",  INDEX(RulebookFields!D2:D1898, MATCH(D1434,RulebookFields!A2:A1898, 0))), "")</f>
        <v>AgentKind</v>
      </c>
      <c r="J1434" s="4" t="b">
        <f>_xlfn.IFNA(IF(((INDEX(RulebookFields!I2:I1898, MATCH(D1434,RulebookFields!A2:A1898, 0))="")=TRUE),  "",  INDEX(RulebookFields!I2:I1898, MATCH(D1434,RulebookFields!A2:A1898, 0))), "")</f>
        <v>1</v>
      </c>
      <c r="K1434" s="4" t="b">
        <f>AND(((F1434)=TRUE), ((J1434)=TRUE))</f>
        <v>0</v>
      </c>
      <c r="L1434" s="4" t="b">
        <f>AND(((G1434 &lt;&gt; "plain")=TRUE), ((G1434 &lt;&gt; "")=TRUE))</f>
        <v>0</v>
      </c>
      <c r="M1434" s="4" t="str">
        <f>IF(((E1434)=TRUE),  C1434 &amp; "|" &amp; H1434,  "")</f>
        <v>principal-process-steward|RoleAssignments</v>
      </c>
      <c r="N1434" s="3" t="s">
        <v>10004</v>
      </c>
    </row>
    <row r="1435">
      <c r="A1435" s="3" t="s">
        <v>11437</v>
      </c>
      <c r="B1435" s="4" t="str">
        <f>C1435 &amp; " -&gt; " &amp; D1435</f>
        <v>principal-process-steward -&gt; RoleAssignments.IsNonHumanAssignment</v>
      </c>
      <c r="C1435" s="3" t="s">
        <v>9772</v>
      </c>
      <c r="D1435" s="3" t="s">
        <v>2572</v>
      </c>
      <c r="E1435" s="3" t="b">
        <v>1</v>
      </c>
      <c r="F1435" s="3" t="b">
        <v>0</v>
      </c>
      <c r="G1435" s="3" t="s">
        <v>10003</v>
      </c>
      <c r="H1435" s="4" t="str">
        <f>_xlfn.IFNA(IF(((INDEX(RulebookFields!C2:C1898, MATCH(D1435,RulebookFields!A2:A1898, 0))="")=TRUE),  "",  INDEX(RulebookFields!C2:C1898, MATCH(D1435,RulebookFields!A2:A1898, 0))), "")</f>
        <v>RoleAssignments</v>
      </c>
      <c r="I1435" s="4" t="str">
        <f>_xlfn.IFNA(IF(((INDEX(RulebookFields!D2:D1898, MATCH(D1435,RulebookFields!A2:A1898, 0))="")=TRUE),  "",  INDEX(RulebookFields!D2:D1898, MATCH(D1435,RulebookFields!A2:A1898, 0))), "")</f>
        <v>IsNonHumanAssignment</v>
      </c>
      <c r="J1435" s="4" t="b">
        <f>_xlfn.IFNA(IF(((INDEX(RulebookFields!I2:I1898, MATCH(D1435,RulebookFields!A2:A1898, 0))="")=TRUE),  "",  INDEX(RulebookFields!I2:I1898, MATCH(D1435,RulebookFields!A2:A1898, 0))), "")</f>
        <v>1</v>
      </c>
      <c r="K1435" s="4" t="b">
        <f>AND(((F1435)=TRUE), ((J1435)=TRUE))</f>
        <v>0</v>
      </c>
      <c r="L1435" s="4" t="b">
        <f>AND(((G1435 &lt;&gt; "plain")=TRUE), ((G1435 &lt;&gt; "")=TRUE))</f>
        <v>0</v>
      </c>
      <c r="M1435" s="4" t="str">
        <f>IF(((E1435)=TRUE),  C1435 &amp; "|" &amp; H1435,  "")</f>
        <v>principal-process-steward|RoleAssignments</v>
      </c>
      <c r="N1435" s="3" t="s">
        <v>10004</v>
      </c>
    </row>
    <row r="1436">
      <c r="A1436" s="3" t="s">
        <v>11438</v>
      </c>
      <c r="B1436" s="4" t="str">
        <f>C1436 &amp; " -&gt; " &amp; D1436</f>
        <v>principal-process-steward -&gt; RoleAssignments.SupersedesAssignment</v>
      </c>
      <c r="C1436" s="3" t="s">
        <v>9772</v>
      </c>
      <c r="D1436" s="3" t="s">
        <v>2573</v>
      </c>
      <c r="E1436" s="3" t="b">
        <v>1</v>
      </c>
      <c r="F1436" s="3" t="b">
        <v>0</v>
      </c>
      <c r="G1436" s="3" t="s">
        <v>10003</v>
      </c>
      <c r="H1436" s="4" t="str">
        <f>_xlfn.IFNA(IF(((INDEX(RulebookFields!C2:C1898, MATCH(D1436,RulebookFields!A2:A1898, 0))="")=TRUE),  "",  INDEX(RulebookFields!C2:C1898, MATCH(D1436,RulebookFields!A2:A1898, 0))), "")</f>
        <v>RoleAssignments</v>
      </c>
      <c r="I1436" s="4" t="str">
        <f>_xlfn.IFNA(IF(((INDEX(RulebookFields!D2:D1898, MATCH(D1436,RulebookFields!A2:A1898, 0))="")=TRUE),  "",  INDEX(RulebookFields!D2:D1898, MATCH(D1436,RulebookFields!A2:A1898, 0))), "")</f>
        <v>SupersedesAssignment</v>
      </c>
      <c r="J1436" s="4" t="b">
        <f>_xlfn.IFNA(IF(((INDEX(RulebookFields!I2:I1898, MATCH(D1436,RulebookFields!A2:A1898, 0))="")=TRUE),  "",  INDEX(RulebookFields!I2:I1898, MATCH(D1436,RulebookFields!A2:A1898, 0))), "")</f>
        <v>0</v>
      </c>
      <c r="K1436" s="4" t="b">
        <f>AND(((F1436)=TRUE), ((J1436)=TRUE))</f>
        <v>0</v>
      </c>
      <c r="L1436" s="4" t="b">
        <f>AND(((G1436 &lt;&gt; "plain")=TRUE), ((G1436 &lt;&gt; "")=TRUE))</f>
        <v>0</v>
      </c>
      <c r="M1436" s="4" t="str">
        <f>IF(((E1436)=TRUE),  C1436 &amp; "|" &amp; H1436,  "")</f>
        <v>principal-process-steward|RoleAssignments</v>
      </c>
      <c r="N1436" s="3" t="s">
        <v>10004</v>
      </c>
    </row>
    <row r="1437">
      <c r="A1437" s="3" t="s">
        <v>11439</v>
      </c>
      <c r="B1437" s="4" t="str">
        <f>C1437 &amp; " -&gt; " &amp; D1437</f>
        <v>principal-process-steward -&gt; RoleAssignments.PredecessorAgentKind</v>
      </c>
      <c r="C1437" s="3" t="s">
        <v>9772</v>
      </c>
      <c r="D1437" s="3" t="s">
        <v>2574</v>
      </c>
      <c r="E1437" s="3" t="b">
        <v>1</v>
      </c>
      <c r="F1437" s="3" t="b">
        <v>0</v>
      </c>
      <c r="G1437" s="3" t="s">
        <v>10003</v>
      </c>
      <c r="H1437" s="4" t="str">
        <f>_xlfn.IFNA(IF(((INDEX(RulebookFields!C2:C1898, MATCH(D1437,RulebookFields!A2:A1898, 0))="")=TRUE),  "",  INDEX(RulebookFields!C2:C1898, MATCH(D1437,RulebookFields!A2:A1898, 0))), "")</f>
        <v>RoleAssignments</v>
      </c>
      <c r="I1437" s="4" t="str">
        <f>_xlfn.IFNA(IF(((INDEX(RulebookFields!D2:D1898, MATCH(D1437,RulebookFields!A2:A1898, 0))="")=TRUE),  "",  INDEX(RulebookFields!D2:D1898, MATCH(D1437,RulebookFields!A2:A1898, 0))), "")</f>
        <v>PredecessorAgentKind</v>
      </c>
      <c r="J1437" s="4" t="b">
        <f>_xlfn.IFNA(IF(((INDEX(RulebookFields!I2:I1898, MATCH(D1437,RulebookFields!A2:A1898, 0))="")=TRUE),  "",  INDEX(RulebookFields!I2:I1898, MATCH(D1437,RulebookFields!A2:A1898, 0))), "")</f>
        <v>1</v>
      </c>
      <c r="K1437" s="4" t="b">
        <f>AND(((F1437)=TRUE), ((J1437)=TRUE))</f>
        <v>0</v>
      </c>
      <c r="L1437" s="4" t="b">
        <f>AND(((G1437 &lt;&gt; "plain")=TRUE), ((G1437 &lt;&gt; "")=TRUE))</f>
        <v>0</v>
      </c>
      <c r="M1437" s="4" t="str">
        <f>IF(((E1437)=TRUE),  C1437 &amp; "|" &amp; H1437,  "")</f>
        <v>principal-process-steward|RoleAssignments</v>
      </c>
      <c r="N1437" s="3" t="s">
        <v>10004</v>
      </c>
    </row>
    <row r="1438">
      <c r="A1438" s="3" t="s">
        <v>11440</v>
      </c>
      <c r="B1438" s="4" t="str">
        <f>C1438 &amp; " -&gt; " &amp; D1438</f>
        <v>principal-process-steward -&gt; RoleAssignments.IsHumanToNonHumanHandover</v>
      </c>
      <c r="C1438" s="3" t="s">
        <v>9772</v>
      </c>
      <c r="D1438" s="3" t="s">
        <v>2576</v>
      </c>
      <c r="E1438" s="3" t="b">
        <v>1</v>
      </c>
      <c r="F1438" s="3" t="b">
        <v>0</v>
      </c>
      <c r="G1438" s="3" t="s">
        <v>10003</v>
      </c>
      <c r="H1438" s="4" t="str">
        <f>_xlfn.IFNA(IF(((INDEX(RulebookFields!C2:C1898, MATCH(D1438,RulebookFields!A2:A1898, 0))="")=TRUE),  "",  INDEX(RulebookFields!C2:C1898, MATCH(D1438,RulebookFields!A2:A1898, 0))), "")</f>
        <v>RoleAssignments</v>
      </c>
      <c r="I1438" s="4" t="str">
        <f>_xlfn.IFNA(IF(((INDEX(RulebookFields!D2:D1898, MATCH(D1438,RulebookFields!A2:A1898, 0))="")=TRUE),  "",  INDEX(RulebookFields!D2:D1898, MATCH(D1438,RulebookFields!A2:A1898, 0))), "")</f>
        <v>IsHumanToNonHumanHandover</v>
      </c>
      <c r="J1438" s="4" t="b">
        <f>_xlfn.IFNA(IF(((INDEX(RulebookFields!I2:I1898, MATCH(D1438,RulebookFields!A2:A1898, 0))="")=TRUE),  "",  INDEX(RulebookFields!I2:I1898, MATCH(D1438,RulebookFields!A2:A1898, 0))), "")</f>
        <v>1</v>
      </c>
      <c r="K1438" s="4" t="b">
        <f>AND(((F1438)=TRUE), ((J1438)=TRUE))</f>
        <v>0</v>
      </c>
      <c r="L1438" s="4" t="b">
        <f>AND(((G1438 &lt;&gt; "plain")=TRUE), ((G1438 &lt;&gt; "")=TRUE))</f>
        <v>0</v>
      </c>
      <c r="M1438" s="4" t="str">
        <f>IF(((E1438)=TRUE),  C1438 &amp; "|" &amp; H1438,  "")</f>
        <v>principal-process-steward|RoleAssignments</v>
      </c>
      <c r="N1438" s="3" t="s">
        <v>10004</v>
      </c>
    </row>
    <row r="1439">
      <c r="A1439" s="3" t="s">
        <v>11441</v>
      </c>
      <c r="B1439" s="4" t="str">
        <f>C1439 &amp; " -&gt; " &amp; D1439</f>
        <v>principal-process-steward -&gt; RoleAssignments.ApprovingAuthorityRole</v>
      </c>
      <c r="C1439" s="3" t="s">
        <v>9772</v>
      </c>
      <c r="D1439" s="3" t="s">
        <v>2578</v>
      </c>
      <c r="E1439" s="3" t="b">
        <v>1</v>
      </c>
      <c r="F1439" s="3" t="b">
        <v>0</v>
      </c>
      <c r="G1439" s="3" t="s">
        <v>10003</v>
      </c>
      <c r="H1439" s="4" t="str">
        <f>_xlfn.IFNA(IF(((INDEX(RulebookFields!C2:C1898, MATCH(D1439,RulebookFields!A2:A1898, 0))="")=TRUE),  "",  INDEX(RulebookFields!C2:C1898, MATCH(D1439,RulebookFields!A2:A1898, 0))), "")</f>
        <v>RoleAssignments</v>
      </c>
      <c r="I1439" s="4" t="str">
        <f>_xlfn.IFNA(IF(((INDEX(RulebookFields!D2:D1898, MATCH(D1439,RulebookFields!A2:A1898, 0))="")=TRUE),  "",  INDEX(RulebookFields!D2:D1898, MATCH(D1439,RulebookFields!A2:A1898, 0))), "")</f>
        <v>ApprovingAuthorityRole</v>
      </c>
      <c r="J1439" s="4" t="b">
        <f>_xlfn.IFNA(IF(((INDEX(RulebookFields!I2:I1898, MATCH(D1439,RulebookFields!A2:A1898, 0))="")=TRUE),  "",  INDEX(RulebookFields!I2:I1898, MATCH(D1439,RulebookFields!A2:A1898, 0))), "")</f>
        <v>0</v>
      </c>
      <c r="K1439" s="4" t="b">
        <f>AND(((F1439)=TRUE), ((J1439)=TRUE))</f>
        <v>0</v>
      </c>
      <c r="L1439" s="4" t="b">
        <f>AND(((G1439 &lt;&gt; "plain")=TRUE), ((G1439 &lt;&gt; "")=TRUE))</f>
        <v>0</v>
      </c>
      <c r="M1439" s="4" t="str">
        <f>IF(((E1439)=TRUE),  C1439 &amp; "|" &amp; H1439,  "")</f>
        <v>principal-process-steward|RoleAssignments</v>
      </c>
      <c r="N1439" s="3" t="s">
        <v>10004</v>
      </c>
    </row>
    <row r="1440">
      <c r="A1440" s="3" t="s">
        <v>11442</v>
      </c>
      <c r="B1440" s="4" t="str">
        <f>C1440 &amp; " -&gt; " &amp; D1440</f>
        <v>principal-process-steward -&gt; RoleAssignments.AuthorizingChangeRequest</v>
      </c>
      <c r="C1440" s="3" t="s">
        <v>9772</v>
      </c>
      <c r="D1440" s="3" t="s">
        <v>2579</v>
      </c>
      <c r="E1440" s="3" t="b">
        <v>1</v>
      </c>
      <c r="F1440" s="3" t="b">
        <v>0</v>
      </c>
      <c r="G1440" s="3" t="s">
        <v>10003</v>
      </c>
      <c r="H1440" s="4" t="str">
        <f>_xlfn.IFNA(IF(((INDEX(RulebookFields!C2:C1898, MATCH(D1440,RulebookFields!A2:A1898, 0))="")=TRUE),  "",  INDEX(RulebookFields!C2:C1898, MATCH(D1440,RulebookFields!A2:A1898, 0))), "")</f>
        <v>RoleAssignments</v>
      </c>
      <c r="I1440" s="4" t="str">
        <f>_xlfn.IFNA(IF(((INDEX(RulebookFields!D2:D1898, MATCH(D1440,RulebookFields!A2:A1898, 0))="")=TRUE),  "",  INDEX(RulebookFields!D2:D1898, MATCH(D1440,RulebookFields!A2:A1898, 0))), "")</f>
        <v>AuthorizingChangeRequest</v>
      </c>
      <c r="J1440" s="4" t="b">
        <f>_xlfn.IFNA(IF(((INDEX(RulebookFields!I2:I1898, MATCH(D1440,RulebookFields!A2:A1898, 0))="")=TRUE),  "",  INDEX(RulebookFields!I2:I1898, MATCH(D1440,RulebookFields!A2:A1898, 0))), "")</f>
        <v>0</v>
      </c>
      <c r="K1440" s="4" t="b">
        <f>AND(((F1440)=TRUE), ((J1440)=TRUE))</f>
        <v>0</v>
      </c>
      <c r="L1440" s="4" t="b">
        <f>AND(((G1440 &lt;&gt; "plain")=TRUE), ((G1440 &lt;&gt; "")=TRUE))</f>
        <v>0</v>
      </c>
      <c r="M1440" s="4" t="str">
        <f>IF(((E1440)=TRUE),  C1440 &amp; "|" &amp; H1440,  "")</f>
        <v>principal-process-steward|RoleAssignments</v>
      </c>
      <c r="N1440" s="3" t="s">
        <v>10004</v>
      </c>
    </row>
    <row r="1441">
      <c r="A1441" s="3" t="s">
        <v>11443</v>
      </c>
      <c r="B1441" s="4" t="str">
        <f>C1441 &amp; " -&gt; " &amp; D1441</f>
        <v>principal-process-steward -&gt; RoleAssignments.IsUnauthorizedNonHumanAssignment</v>
      </c>
      <c r="C1441" s="3" t="s">
        <v>9772</v>
      </c>
      <c r="D1441" s="3" t="s">
        <v>2580</v>
      </c>
      <c r="E1441" s="3" t="b">
        <v>1</v>
      </c>
      <c r="F1441" s="3" t="b">
        <v>0</v>
      </c>
      <c r="G1441" s="3" t="s">
        <v>10003</v>
      </c>
      <c r="H1441" s="4" t="str">
        <f>_xlfn.IFNA(IF(((INDEX(RulebookFields!C2:C1898, MATCH(D1441,RulebookFields!A2:A1898, 0))="")=TRUE),  "",  INDEX(RulebookFields!C2:C1898, MATCH(D1441,RulebookFields!A2:A1898, 0))), "")</f>
        <v>RoleAssignments</v>
      </c>
      <c r="I1441" s="4" t="str">
        <f>_xlfn.IFNA(IF(((INDEX(RulebookFields!D2:D1898, MATCH(D1441,RulebookFields!A2:A1898, 0))="")=TRUE),  "",  INDEX(RulebookFields!D2:D1898, MATCH(D1441,RulebookFields!A2:A1898, 0))), "")</f>
        <v>IsUnauthorizedNonHumanAssignment</v>
      </c>
      <c r="J1441" s="4" t="b">
        <f>_xlfn.IFNA(IF(((INDEX(RulebookFields!I2:I1898, MATCH(D1441,RulebookFields!A2:A1898, 0))="")=TRUE),  "",  INDEX(RulebookFields!I2:I1898, MATCH(D1441,RulebookFields!A2:A1898, 0))), "")</f>
        <v>1</v>
      </c>
      <c r="K1441" s="4" t="b">
        <f>AND(((F1441)=TRUE), ((J1441)=TRUE))</f>
        <v>0</v>
      </c>
      <c r="L1441" s="4" t="b">
        <f>AND(((G1441 &lt;&gt; "plain")=TRUE), ((G1441 &lt;&gt; "")=TRUE))</f>
        <v>0</v>
      </c>
      <c r="M1441" s="4" t="str">
        <f>IF(((E1441)=TRUE),  C1441 &amp; "|" &amp; H1441,  "")</f>
        <v>principal-process-steward|RoleAssignments</v>
      </c>
      <c r="N1441" s="3" t="s">
        <v>10004</v>
      </c>
    </row>
    <row r="1442">
      <c r="A1442" s="3" t="s">
        <v>11444</v>
      </c>
      <c r="B1442" s="4" t="str">
        <f>C1442 &amp; " -&gt; " &amp; D1442</f>
        <v>principal-process-steward -&gt; RoleAssignments.WasAuthorizedByChangeRequest</v>
      </c>
      <c r="C1442" s="3" t="s">
        <v>9772</v>
      </c>
      <c r="D1442" s="3" t="s">
        <v>2582</v>
      </c>
      <c r="E1442" s="3" t="b">
        <v>1</v>
      </c>
      <c r="F1442" s="3" t="b">
        <v>0</v>
      </c>
      <c r="G1442" s="3" t="s">
        <v>10003</v>
      </c>
      <c r="H1442" s="4" t="str">
        <f>_xlfn.IFNA(IF(((INDEX(RulebookFields!C2:C1898, MATCH(D1442,RulebookFields!A2:A1898, 0))="")=TRUE),  "",  INDEX(RulebookFields!C2:C1898, MATCH(D1442,RulebookFields!A2:A1898, 0))), "")</f>
        <v>RoleAssignments</v>
      </c>
      <c r="I1442" s="4" t="str">
        <f>_xlfn.IFNA(IF(((INDEX(RulebookFields!D2:D1898, MATCH(D1442,RulebookFields!A2:A1898, 0))="")=TRUE),  "",  INDEX(RulebookFields!D2:D1898, MATCH(D1442,RulebookFields!A2:A1898, 0))), "")</f>
        <v>WasAuthorizedByChangeRequest</v>
      </c>
      <c r="J1442" s="4" t="b">
        <f>_xlfn.IFNA(IF(((INDEX(RulebookFields!I2:I1898, MATCH(D1442,RulebookFields!A2:A1898, 0))="")=TRUE),  "",  INDEX(RulebookFields!I2:I1898, MATCH(D1442,RulebookFields!A2:A1898, 0))), "")</f>
        <v>1</v>
      </c>
      <c r="K1442" s="4" t="b">
        <f>AND(((F1442)=TRUE), ((J1442)=TRUE))</f>
        <v>0</v>
      </c>
      <c r="L1442" s="4" t="b">
        <f>AND(((G1442 &lt;&gt; "plain")=TRUE), ((G1442 &lt;&gt; "")=TRUE))</f>
        <v>0</v>
      </c>
      <c r="M1442" s="4" t="str">
        <f>IF(((E1442)=TRUE),  C1442 &amp; "|" &amp; H1442,  "")</f>
        <v>principal-process-steward|RoleAssignments</v>
      </c>
      <c r="N1442" s="3" t="s">
        <v>10004</v>
      </c>
    </row>
    <row r="1443">
      <c r="A1443" s="3" t="s">
        <v>11445</v>
      </c>
      <c r="B1443" s="4" t="str">
        <f>C1443 &amp; " -&gt; " &amp; D1443</f>
        <v>principal-process-steward -&gt; RoleAssignments.DecisionCount</v>
      </c>
      <c r="C1443" s="3" t="s">
        <v>9772</v>
      </c>
      <c r="D1443" s="3" t="s">
        <v>2584</v>
      </c>
      <c r="E1443" s="3" t="b">
        <v>1</v>
      </c>
      <c r="F1443" s="3" t="b">
        <v>0</v>
      </c>
      <c r="G1443" s="3" t="s">
        <v>10003</v>
      </c>
      <c r="H1443" s="4" t="str">
        <f>_xlfn.IFNA(IF(((INDEX(RulebookFields!C2:C1898, MATCH(D1443,RulebookFields!A2:A1898, 0))="")=TRUE),  "",  INDEX(RulebookFields!C2:C1898, MATCH(D1443,RulebookFields!A2:A1898, 0))), "")</f>
        <v>RoleAssignments</v>
      </c>
      <c r="I1443" s="4" t="str">
        <f>_xlfn.IFNA(IF(((INDEX(RulebookFields!D2:D1898, MATCH(D1443,RulebookFields!A2:A1898, 0))="")=TRUE),  "",  INDEX(RulebookFields!D2:D1898, MATCH(D1443,RulebookFields!A2:A1898, 0))), "")</f>
        <v>DecisionCount</v>
      </c>
      <c r="J1443" s="4" t="b">
        <f>_xlfn.IFNA(IF(((INDEX(RulebookFields!I2:I1898, MATCH(D1443,RulebookFields!A2:A1898, 0))="")=TRUE),  "",  INDEX(RulebookFields!I2:I1898, MATCH(D1443,RulebookFields!A2:A1898, 0))), "")</f>
        <v>1</v>
      </c>
      <c r="K1443" s="4" t="b">
        <f>AND(((F1443)=TRUE), ((J1443)=TRUE))</f>
        <v>0</v>
      </c>
      <c r="L1443" s="4" t="b">
        <f>AND(((G1443 &lt;&gt; "plain")=TRUE), ((G1443 &lt;&gt; "")=TRUE))</f>
        <v>0</v>
      </c>
      <c r="M1443" s="4" t="str">
        <f>IF(((E1443)=TRUE),  C1443 &amp; "|" &amp; H1443,  "")</f>
        <v>principal-process-steward|RoleAssignments</v>
      </c>
      <c r="N1443" s="3" t="s">
        <v>10004</v>
      </c>
    </row>
    <row r="1444">
      <c r="A1444" s="3" t="s">
        <v>11446</v>
      </c>
      <c r="B1444" s="4" t="str">
        <f>C1444 &amp; " -&gt; " &amp; D1444</f>
        <v>principal-process-steward -&gt; RoleAssignments.OverriddenDecisionCount</v>
      </c>
      <c r="C1444" s="3" t="s">
        <v>9772</v>
      </c>
      <c r="D1444" s="3" t="s">
        <v>2586</v>
      </c>
      <c r="E1444" s="3" t="b">
        <v>1</v>
      </c>
      <c r="F1444" s="3" t="b">
        <v>0</v>
      </c>
      <c r="G1444" s="3" t="s">
        <v>10003</v>
      </c>
      <c r="H1444" s="4" t="str">
        <f>_xlfn.IFNA(IF(((INDEX(RulebookFields!C2:C1898, MATCH(D1444,RulebookFields!A2:A1898, 0))="")=TRUE),  "",  INDEX(RulebookFields!C2:C1898, MATCH(D1444,RulebookFields!A2:A1898, 0))), "")</f>
        <v>RoleAssignments</v>
      </c>
      <c r="I1444" s="4" t="str">
        <f>_xlfn.IFNA(IF(((INDEX(RulebookFields!D2:D1898, MATCH(D1444,RulebookFields!A2:A1898, 0))="")=TRUE),  "",  INDEX(RulebookFields!D2:D1898, MATCH(D1444,RulebookFields!A2:A1898, 0))), "")</f>
        <v>OverriddenDecisionCount</v>
      </c>
      <c r="J1444" s="4" t="b">
        <f>_xlfn.IFNA(IF(((INDEX(RulebookFields!I2:I1898, MATCH(D1444,RulebookFields!A2:A1898, 0))="")=TRUE),  "",  INDEX(RulebookFields!I2:I1898, MATCH(D1444,RulebookFields!A2:A1898, 0))), "")</f>
        <v>1</v>
      </c>
      <c r="K1444" s="4" t="b">
        <f>AND(((F1444)=TRUE), ((J1444)=TRUE))</f>
        <v>0</v>
      </c>
      <c r="L1444" s="4" t="b">
        <f>AND(((G1444 &lt;&gt; "plain")=TRUE), ((G1444 &lt;&gt; "")=TRUE))</f>
        <v>0</v>
      </c>
      <c r="M1444" s="4" t="str">
        <f>IF(((E1444)=TRUE),  C1444 &amp; "|" &amp; H1444,  "")</f>
        <v>principal-process-steward|RoleAssignments</v>
      </c>
      <c r="N1444" s="3" t="s">
        <v>10004</v>
      </c>
    </row>
    <row r="1445">
      <c r="A1445" s="3" t="s">
        <v>11447</v>
      </c>
      <c r="B1445" s="4" t="str">
        <f>C1445 &amp; " -&gt; " &amp; D1445</f>
        <v>principal-process-steward -&gt; RoleAssignments.OverrideRatePercent</v>
      </c>
      <c r="C1445" s="3" t="s">
        <v>9772</v>
      </c>
      <c r="D1445" s="3" t="s">
        <v>2588</v>
      </c>
      <c r="E1445" s="3" t="b">
        <v>1</v>
      </c>
      <c r="F1445" s="3" t="b">
        <v>0</v>
      </c>
      <c r="G1445" s="3" t="s">
        <v>10003</v>
      </c>
      <c r="H1445" s="4" t="str">
        <f>_xlfn.IFNA(IF(((INDEX(RulebookFields!C2:C1898, MATCH(D1445,RulebookFields!A2:A1898, 0))="")=TRUE),  "",  INDEX(RulebookFields!C2:C1898, MATCH(D1445,RulebookFields!A2:A1898, 0))), "")</f>
        <v>RoleAssignments</v>
      </c>
      <c r="I1445" s="4" t="str">
        <f>_xlfn.IFNA(IF(((INDEX(RulebookFields!D2:D1898, MATCH(D1445,RulebookFields!A2:A1898, 0))="")=TRUE),  "",  INDEX(RulebookFields!D2:D1898, MATCH(D1445,RulebookFields!A2:A1898, 0))), "")</f>
        <v>OverrideRatePercent</v>
      </c>
      <c r="J1445" s="4" t="b">
        <f>_xlfn.IFNA(IF(((INDEX(RulebookFields!I2:I1898, MATCH(D1445,RulebookFields!A2:A1898, 0))="")=TRUE),  "",  INDEX(RulebookFields!I2:I1898, MATCH(D1445,RulebookFields!A2:A1898, 0))), "")</f>
        <v>1</v>
      </c>
      <c r="K1445" s="4" t="b">
        <f>AND(((F1445)=TRUE), ((J1445)=TRUE))</f>
        <v>0</v>
      </c>
      <c r="L1445" s="4" t="b">
        <f>AND(((G1445 &lt;&gt; "plain")=TRUE), ((G1445 &lt;&gt; "")=TRUE))</f>
        <v>0</v>
      </c>
      <c r="M1445" s="4" t="str">
        <f>IF(((E1445)=TRUE),  C1445 &amp; "|" &amp; H1445,  "")</f>
        <v>principal-process-steward|RoleAssignments</v>
      </c>
      <c r="N1445" s="3" t="s">
        <v>10004</v>
      </c>
    </row>
    <row r="1446">
      <c r="A1446" s="3" t="s">
        <v>11448</v>
      </c>
      <c r="B1446" s="4" t="str">
        <f>C1446 &amp; " -&gt; " &amp; D1446</f>
        <v>principal-process-steward -&gt; RoleAssignments.PredecessorOverrideRatePercent</v>
      </c>
      <c r="C1446" s="3" t="s">
        <v>9772</v>
      </c>
      <c r="D1446" s="3" t="s">
        <v>2589</v>
      </c>
      <c r="E1446" s="3" t="b">
        <v>1</v>
      </c>
      <c r="F1446" s="3" t="b">
        <v>0</v>
      </c>
      <c r="G1446" s="3" t="s">
        <v>10003</v>
      </c>
      <c r="H1446" s="4" t="str">
        <f>_xlfn.IFNA(IF(((INDEX(RulebookFields!C2:C1898, MATCH(D1446,RulebookFields!A2:A1898, 0))="")=TRUE),  "",  INDEX(RulebookFields!C2:C1898, MATCH(D1446,RulebookFields!A2:A1898, 0))), "")</f>
        <v>RoleAssignments</v>
      </c>
      <c r="I1446" s="4" t="str">
        <f>_xlfn.IFNA(IF(((INDEX(RulebookFields!D2:D1898, MATCH(D1446,RulebookFields!A2:A1898, 0))="")=TRUE),  "",  INDEX(RulebookFields!D2:D1898, MATCH(D1446,RulebookFields!A2:A1898, 0))), "")</f>
        <v>PredecessorOverrideRatePercent</v>
      </c>
      <c r="J1446" s="4" t="b">
        <f>_xlfn.IFNA(IF(((INDEX(RulebookFields!I2:I1898, MATCH(D1446,RulebookFields!A2:A1898, 0))="")=TRUE),  "",  INDEX(RulebookFields!I2:I1898, MATCH(D1446,RulebookFields!A2:A1898, 0))), "")</f>
        <v>1</v>
      </c>
      <c r="K1446" s="4" t="b">
        <f>AND(((F1446)=TRUE), ((J1446)=TRUE))</f>
        <v>0</v>
      </c>
      <c r="L1446" s="4" t="b">
        <f>AND(((G1446 &lt;&gt; "plain")=TRUE), ((G1446 &lt;&gt; "")=TRUE))</f>
        <v>0</v>
      </c>
      <c r="M1446" s="4" t="str">
        <f>IF(((E1446)=TRUE),  C1446 &amp; "|" &amp; H1446,  "")</f>
        <v>principal-process-steward|RoleAssignments</v>
      </c>
      <c r="N1446" s="3" t="s">
        <v>10004</v>
      </c>
    </row>
    <row r="1447">
      <c r="A1447" s="3" t="s">
        <v>11449</v>
      </c>
      <c r="B1447" s="4" t="str">
        <f>C1447 &amp; " -&gt; " &amp; D1447</f>
        <v>principal-process-steward -&gt; RoleAssignments.QualityRegressedVsPredecessor</v>
      </c>
      <c r="C1447" s="3" t="s">
        <v>9772</v>
      </c>
      <c r="D1447" s="3" t="s">
        <v>2591</v>
      </c>
      <c r="E1447" s="3" t="b">
        <v>1</v>
      </c>
      <c r="F1447" s="3" t="b">
        <v>0</v>
      </c>
      <c r="G1447" s="3" t="s">
        <v>10003</v>
      </c>
      <c r="H1447" s="4" t="str">
        <f>_xlfn.IFNA(IF(((INDEX(RulebookFields!C2:C1898, MATCH(D1447,RulebookFields!A2:A1898, 0))="")=TRUE),  "",  INDEX(RulebookFields!C2:C1898, MATCH(D1447,RulebookFields!A2:A1898, 0))), "")</f>
        <v>RoleAssignments</v>
      </c>
      <c r="I1447" s="4" t="str">
        <f>_xlfn.IFNA(IF(((INDEX(RulebookFields!D2:D1898, MATCH(D1447,RulebookFields!A2:A1898, 0))="")=TRUE),  "",  INDEX(RulebookFields!D2:D1898, MATCH(D1447,RulebookFields!A2:A1898, 0))), "")</f>
        <v>QualityRegressedVsPredecessor</v>
      </c>
      <c r="J1447" s="4" t="b">
        <f>_xlfn.IFNA(IF(((INDEX(RulebookFields!I2:I1898, MATCH(D1447,RulebookFields!A2:A1898, 0))="")=TRUE),  "",  INDEX(RulebookFields!I2:I1898, MATCH(D1447,RulebookFields!A2:A1898, 0))), "")</f>
        <v>1</v>
      </c>
      <c r="K1447" s="4" t="b">
        <f>AND(((F1447)=TRUE), ((J1447)=TRUE))</f>
        <v>0</v>
      </c>
      <c r="L1447" s="4" t="b">
        <f>AND(((G1447 &lt;&gt; "plain")=TRUE), ((G1447 &lt;&gt; "")=TRUE))</f>
        <v>0</v>
      </c>
      <c r="M1447" s="4" t="str">
        <f>IF(((E1447)=TRUE),  C1447 &amp; "|" &amp; H1447,  "")</f>
        <v>principal-process-steward|RoleAssignments</v>
      </c>
      <c r="N1447" s="3" t="s">
        <v>10004</v>
      </c>
    </row>
    <row r="1448">
      <c r="A1448" s="3" t="s">
        <v>11450</v>
      </c>
      <c r="B1448" s="4" t="str">
        <f>C1448 &amp; " -&gt; " &amp; D1448</f>
        <v>principal-process-steward -&gt; RoleAssignments.DepartedRoleKey</v>
      </c>
      <c r="C1448" s="3" t="s">
        <v>9772</v>
      </c>
      <c r="D1448" s="3" t="s">
        <v>2593</v>
      </c>
      <c r="E1448" s="3" t="b">
        <v>1</v>
      </c>
      <c r="F1448" s="3" t="b">
        <v>0</v>
      </c>
      <c r="G1448" s="3" t="s">
        <v>10003</v>
      </c>
      <c r="H1448" s="4" t="str">
        <f>_xlfn.IFNA(IF(((INDEX(RulebookFields!C2:C1898, MATCH(D1448,RulebookFields!A2:A1898, 0))="")=TRUE),  "",  INDEX(RulebookFields!C2:C1898, MATCH(D1448,RulebookFields!A2:A1898, 0))), "")</f>
        <v>RoleAssignments</v>
      </c>
      <c r="I1448" s="4" t="str">
        <f>_xlfn.IFNA(IF(((INDEX(RulebookFields!D2:D1898, MATCH(D1448,RulebookFields!A2:A1898, 0))="")=TRUE),  "",  INDEX(RulebookFields!D2:D1898, MATCH(D1448,RulebookFields!A2:A1898, 0))), "")</f>
        <v>DepartedRoleKey</v>
      </c>
      <c r="J1448" s="4" t="b">
        <f>_xlfn.IFNA(IF(((INDEX(RulebookFields!I2:I1898, MATCH(D1448,RulebookFields!A2:A1898, 0))="")=TRUE),  "",  INDEX(RulebookFields!I2:I1898, MATCH(D1448,RulebookFields!A2:A1898, 0))), "")</f>
        <v>1</v>
      </c>
      <c r="K1448" s="4" t="b">
        <f>AND(((F1448)=TRUE), ((J1448)=TRUE))</f>
        <v>0</v>
      </c>
      <c r="L1448" s="4" t="b">
        <f>AND(((G1448 &lt;&gt; "plain")=TRUE), ((G1448 &lt;&gt; "")=TRUE))</f>
        <v>0</v>
      </c>
      <c r="M1448" s="4" t="str">
        <f>IF(((E1448)=TRUE),  C1448 &amp; "|" &amp; H1448,  "")</f>
        <v>principal-process-steward|RoleAssignments</v>
      </c>
      <c r="N1448" s="3" t="s">
        <v>10004</v>
      </c>
    </row>
    <row r="1449">
      <c r="A1449" s="3" t="s">
        <v>11451</v>
      </c>
      <c r="B1449" s="4" t="str">
        <f>C1449 &amp; " -&gt; " &amp; D1449</f>
        <v>principal-process-steward -&gt; RoleAssignments.MinimumDecisionsForComparison</v>
      </c>
      <c r="C1449" s="3" t="s">
        <v>9772</v>
      </c>
      <c r="D1449" s="3" t="s">
        <v>2595</v>
      </c>
      <c r="E1449" s="3" t="b">
        <v>1</v>
      </c>
      <c r="F1449" s="3" t="b">
        <v>0</v>
      </c>
      <c r="G1449" s="3" t="s">
        <v>10003</v>
      </c>
      <c r="H1449" s="4" t="str">
        <f>_xlfn.IFNA(IF(((INDEX(RulebookFields!C2:C1898, MATCH(D1449,RulebookFields!A2:A1898, 0))="")=TRUE),  "",  INDEX(RulebookFields!C2:C1898, MATCH(D1449,RulebookFields!A2:A1898, 0))), "")</f>
        <v>RoleAssignments</v>
      </c>
      <c r="I1449" s="4" t="str">
        <f>_xlfn.IFNA(IF(((INDEX(RulebookFields!D2:D1898, MATCH(D1449,RulebookFields!A2:A1898, 0))="")=TRUE),  "",  INDEX(RulebookFields!D2:D1898, MATCH(D1449,RulebookFields!A2:A1898, 0))), "")</f>
        <v>MinimumDecisionsForComparison</v>
      </c>
      <c r="J1449" s="4" t="b">
        <f>_xlfn.IFNA(IF(((INDEX(RulebookFields!I2:I1898, MATCH(D1449,RulebookFields!A2:A1898, 0))="")=TRUE),  "",  INDEX(RulebookFields!I2:I1898, MATCH(D1449,RulebookFields!A2:A1898, 0))), "")</f>
        <v>0</v>
      </c>
      <c r="K1449" s="4" t="b">
        <f>AND(((F1449)=TRUE), ((J1449)=TRUE))</f>
        <v>0</v>
      </c>
      <c r="L1449" s="4" t="b">
        <f>AND(((G1449 &lt;&gt; "plain")=TRUE), ((G1449 &lt;&gt; "")=TRUE))</f>
        <v>0</v>
      </c>
      <c r="M1449" s="4" t="str">
        <f>IF(((E1449)=TRUE),  C1449 &amp; "|" &amp; H1449,  "")</f>
        <v>principal-process-steward|RoleAssignments</v>
      </c>
      <c r="N1449" s="3" t="s">
        <v>10004</v>
      </c>
    </row>
    <row r="1450">
      <c r="A1450" s="3" t="s">
        <v>11452</v>
      </c>
      <c r="B1450" s="4" t="str">
        <f>C1450 &amp; " -&gt; " &amp; D1450</f>
        <v>principal-process-steward -&gt; RoleAssignments.PredecessorDecisionCount</v>
      </c>
      <c r="C1450" s="3" t="s">
        <v>9772</v>
      </c>
      <c r="D1450" s="3" t="s">
        <v>2596</v>
      </c>
      <c r="E1450" s="3" t="b">
        <v>1</v>
      </c>
      <c r="F1450" s="3" t="b">
        <v>0</v>
      </c>
      <c r="G1450" s="3" t="s">
        <v>10003</v>
      </c>
      <c r="H1450" s="4" t="str">
        <f>_xlfn.IFNA(IF(((INDEX(RulebookFields!C2:C1898, MATCH(D1450,RulebookFields!A2:A1898, 0))="")=TRUE),  "",  INDEX(RulebookFields!C2:C1898, MATCH(D1450,RulebookFields!A2:A1898, 0))), "")</f>
        <v>RoleAssignments</v>
      </c>
      <c r="I1450" s="4" t="str">
        <f>_xlfn.IFNA(IF(((INDEX(RulebookFields!D2:D1898, MATCH(D1450,RulebookFields!A2:A1898, 0))="")=TRUE),  "",  INDEX(RulebookFields!D2:D1898, MATCH(D1450,RulebookFields!A2:A1898, 0))), "")</f>
        <v>PredecessorDecisionCount</v>
      </c>
      <c r="J1450" s="4" t="b">
        <f>_xlfn.IFNA(IF(((INDEX(RulebookFields!I2:I1898, MATCH(D1450,RulebookFields!A2:A1898, 0))="")=TRUE),  "",  INDEX(RulebookFields!I2:I1898, MATCH(D1450,RulebookFields!A2:A1898, 0))), "")</f>
        <v>1</v>
      </c>
      <c r="K1450" s="4" t="b">
        <f>AND(((F1450)=TRUE), ((J1450)=TRUE))</f>
        <v>0</v>
      </c>
      <c r="L1450" s="4" t="b">
        <f>AND(((G1450 &lt;&gt; "plain")=TRUE), ((G1450 &lt;&gt; "")=TRUE))</f>
        <v>0</v>
      </c>
      <c r="M1450" s="4" t="str">
        <f>IF(((E1450)=TRUE),  C1450 &amp; "|" &amp; H1450,  "")</f>
        <v>principal-process-steward|RoleAssignments</v>
      </c>
      <c r="N1450" s="3" t="s">
        <v>10004</v>
      </c>
    </row>
    <row r="1451">
      <c r="A1451" s="3" t="s">
        <v>11453</v>
      </c>
      <c r="B1451" s="4" t="str">
        <f>C1451 &amp; " -&gt; " &amp; D1451</f>
        <v>principal-process-steward -&gt; RoleAssignments.HasSufficientSample</v>
      </c>
      <c r="C1451" s="3" t="s">
        <v>9772</v>
      </c>
      <c r="D1451" s="3" t="s">
        <v>2598</v>
      </c>
      <c r="E1451" s="3" t="b">
        <v>1</v>
      </c>
      <c r="F1451" s="3" t="b">
        <v>0</v>
      </c>
      <c r="G1451" s="3" t="s">
        <v>10003</v>
      </c>
      <c r="H1451" s="4" t="str">
        <f>_xlfn.IFNA(IF(((INDEX(RulebookFields!C2:C1898, MATCH(D1451,RulebookFields!A2:A1898, 0))="")=TRUE),  "",  INDEX(RulebookFields!C2:C1898, MATCH(D1451,RulebookFields!A2:A1898, 0))), "")</f>
        <v>RoleAssignments</v>
      </c>
      <c r="I1451" s="4" t="str">
        <f>_xlfn.IFNA(IF(((INDEX(RulebookFields!D2:D1898, MATCH(D1451,RulebookFields!A2:A1898, 0))="")=TRUE),  "",  INDEX(RulebookFields!D2:D1898, MATCH(D1451,RulebookFields!A2:A1898, 0))), "")</f>
        <v>HasSufficientSample</v>
      </c>
      <c r="J1451" s="4" t="b">
        <f>_xlfn.IFNA(IF(((INDEX(RulebookFields!I2:I1898, MATCH(D1451,RulebookFields!A2:A1898, 0))="")=TRUE),  "",  INDEX(RulebookFields!I2:I1898, MATCH(D1451,RulebookFields!A2:A1898, 0))), "")</f>
        <v>1</v>
      </c>
      <c r="K1451" s="4" t="b">
        <f>AND(((F1451)=TRUE), ((J1451)=TRUE))</f>
        <v>0</v>
      </c>
      <c r="L1451" s="4" t="b">
        <f>AND(((G1451 &lt;&gt; "plain")=TRUE), ((G1451 &lt;&gt; "")=TRUE))</f>
        <v>0</v>
      </c>
      <c r="M1451" s="4" t="str">
        <f>IF(((E1451)=TRUE),  C1451 &amp; "|" &amp; H1451,  "")</f>
        <v>principal-process-steward|RoleAssignments</v>
      </c>
      <c r="N1451" s="3" t="s">
        <v>10004</v>
      </c>
    </row>
    <row r="1452">
      <c r="A1452" s="3" t="s">
        <v>11454</v>
      </c>
      <c r="B1452" s="4" t="str">
        <f>C1452 &amp; " -&gt; " &amp; D1452</f>
        <v>principal-process-steward -&gt; RoleAssignments.PredecessorHasSufficientSample</v>
      </c>
      <c r="C1452" s="3" t="s">
        <v>9772</v>
      </c>
      <c r="D1452" s="3" t="s">
        <v>2600</v>
      </c>
      <c r="E1452" s="3" t="b">
        <v>1</v>
      </c>
      <c r="F1452" s="3" t="b">
        <v>0</v>
      </c>
      <c r="G1452" s="3" t="s">
        <v>10003</v>
      </c>
      <c r="H1452" s="4" t="str">
        <f>_xlfn.IFNA(IF(((INDEX(RulebookFields!C2:C1898, MATCH(D1452,RulebookFields!A2:A1898, 0))="")=TRUE),  "",  INDEX(RulebookFields!C2:C1898, MATCH(D1452,RulebookFields!A2:A1898, 0))), "")</f>
        <v>RoleAssignments</v>
      </c>
      <c r="I1452" s="4" t="str">
        <f>_xlfn.IFNA(IF(((INDEX(RulebookFields!D2:D1898, MATCH(D1452,RulebookFields!A2:A1898, 0))="")=TRUE),  "",  INDEX(RulebookFields!D2:D1898, MATCH(D1452,RulebookFields!A2:A1898, 0))), "")</f>
        <v>PredecessorHasSufficientSample</v>
      </c>
      <c r="J1452" s="4" t="b">
        <f>_xlfn.IFNA(IF(((INDEX(RulebookFields!I2:I1898, MATCH(D1452,RulebookFields!A2:A1898, 0))="")=TRUE),  "",  INDEX(RulebookFields!I2:I1898, MATCH(D1452,RulebookFields!A2:A1898, 0))), "")</f>
        <v>1</v>
      </c>
      <c r="K1452" s="4" t="b">
        <f>AND(((F1452)=TRUE), ((J1452)=TRUE))</f>
        <v>0</v>
      </c>
      <c r="L1452" s="4" t="b">
        <f>AND(((G1452 &lt;&gt; "plain")=TRUE), ((G1452 &lt;&gt; "")=TRUE))</f>
        <v>0</v>
      </c>
      <c r="M1452" s="4" t="str">
        <f>IF(((E1452)=TRUE),  C1452 &amp; "|" &amp; H1452,  "")</f>
        <v>principal-process-steward|RoleAssignments</v>
      </c>
      <c r="N1452" s="3" t="s">
        <v>10004</v>
      </c>
    </row>
    <row r="1453">
      <c r="A1453" s="3" t="s">
        <v>11455</v>
      </c>
      <c r="B1453" s="4" t="str">
        <f>C1453 &amp; " -&gt; " &amp; D1453</f>
        <v>principal-process-steward -&gt; RoleAssignments.ComparisonIsEvidentiallySound</v>
      </c>
      <c r="C1453" s="3" t="s">
        <v>9772</v>
      </c>
      <c r="D1453" s="3" t="s">
        <v>2602</v>
      </c>
      <c r="E1453" s="3" t="b">
        <v>1</v>
      </c>
      <c r="F1453" s="3" t="b">
        <v>0</v>
      </c>
      <c r="G1453" s="3" t="s">
        <v>10003</v>
      </c>
      <c r="H1453" s="4" t="str">
        <f>_xlfn.IFNA(IF(((INDEX(RulebookFields!C2:C1898, MATCH(D1453,RulebookFields!A2:A1898, 0))="")=TRUE),  "",  INDEX(RulebookFields!C2:C1898, MATCH(D1453,RulebookFields!A2:A1898, 0))), "")</f>
        <v>RoleAssignments</v>
      </c>
      <c r="I1453" s="4" t="str">
        <f>_xlfn.IFNA(IF(((INDEX(RulebookFields!D2:D1898, MATCH(D1453,RulebookFields!A2:A1898, 0))="")=TRUE),  "",  INDEX(RulebookFields!D2:D1898, MATCH(D1453,RulebookFields!A2:A1898, 0))), "")</f>
        <v>ComparisonIsEvidentiallySound</v>
      </c>
      <c r="J1453" s="4" t="b">
        <f>_xlfn.IFNA(IF(((INDEX(RulebookFields!I2:I1898, MATCH(D1453,RulebookFields!A2:A1898, 0))="")=TRUE),  "",  INDEX(RulebookFields!I2:I1898, MATCH(D1453,RulebookFields!A2:A1898, 0))), "")</f>
        <v>1</v>
      </c>
      <c r="K1453" s="4" t="b">
        <f>AND(((F1453)=TRUE), ((J1453)=TRUE))</f>
        <v>0</v>
      </c>
      <c r="L1453" s="4" t="b">
        <f>AND(((G1453 &lt;&gt; "plain")=TRUE), ((G1453 &lt;&gt; "")=TRUE))</f>
        <v>0</v>
      </c>
      <c r="M1453" s="4" t="str">
        <f>IF(((E1453)=TRUE),  C1453 &amp; "|" &amp; H1453,  "")</f>
        <v>principal-process-steward|RoleAssignments</v>
      </c>
      <c r="N1453" s="3" t="s">
        <v>10004</v>
      </c>
    </row>
    <row r="1454">
      <c r="A1454" s="3" t="s">
        <v>11456</v>
      </c>
      <c r="B1454" s="4" t="str">
        <f>C1454 &amp; " -&gt; " &amp; D1454</f>
        <v>principal-process-steward -&gt; RoleAssignments.SingleOverrideSwingPercent</v>
      </c>
      <c r="C1454" s="3" t="s">
        <v>9772</v>
      </c>
      <c r="D1454" s="3" t="s">
        <v>2604</v>
      </c>
      <c r="E1454" s="3" t="b">
        <v>1</v>
      </c>
      <c r="F1454" s="3" t="b">
        <v>0</v>
      </c>
      <c r="G1454" s="3" t="s">
        <v>10003</v>
      </c>
      <c r="H1454" s="4" t="str">
        <f>_xlfn.IFNA(IF(((INDEX(RulebookFields!C2:C1898, MATCH(D1454,RulebookFields!A2:A1898, 0))="")=TRUE),  "",  INDEX(RulebookFields!C2:C1898, MATCH(D1454,RulebookFields!A2:A1898, 0))), "")</f>
        <v>RoleAssignments</v>
      </c>
      <c r="I1454" s="4" t="str">
        <f>_xlfn.IFNA(IF(((INDEX(RulebookFields!D2:D1898, MATCH(D1454,RulebookFields!A2:A1898, 0))="")=TRUE),  "",  INDEX(RulebookFields!D2:D1898, MATCH(D1454,RulebookFields!A2:A1898, 0))), "")</f>
        <v>SingleOverrideSwingPercent</v>
      </c>
      <c r="J1454" s="4" t="b">
        <f>_xlfn.IFNA(IF(((INDEX(RulebookFields!I2:I1898, MATCH(D1454,RulebookFields!A2:A1898, 0))="")=TRUE),  "",  INDEX(RulebookFields!I2:I1898, MATCH(D1454,RulebookFields!A2:A1898, 0))), "")</f>
        <v>1</v>
      </c>
      <c r="K1454" s="4" t="b">
        <f>AND(((F1454)=TRUE), ((J1454)=TRUE))</f>
        <v>0</v>
      </c>
      <c r="L1454" s="4" t="b">
        <f>AND(((G1454 &lt;&gt; "plain")=TRUE), ((G1454 &lt;&gt; "")=TRUE))</f>
        <v>0</v>
      </c>
      <c r="M1454" s="4" t="str">
        <f>IF(((E1454)=TRUE),  C1454 &amp; "|" &amp; H1454,  "")</f>
        <v>principal-process-steward|RoleAssignments</v>
      </c>
      <c r="N1454" s="3" t="s">
        <v>10004</v>
      </c>
    </row>
    <row r="1455">
      <c r="A1455" s="3" t="s">
        <v>11457</v>
      </c>
      <c r="B1455" s="4" t="str">
        <f>C1455 &amp; " -&gt; " &amp; D1455</f>
        <v>principal-process-steward -&gt; RoleAssignments.QualityVerdictIsUnsupported</v>
      </c>
      <c r="C1455" s="3" t="s">
        <v>9772</v>
      </c>
      <c r="D1455" s="3" t="s">
        <v>2606</v>
      </c>
      <c r="E1455" s="3" t="b">
        <v>1</v>
      </c>
      <c r="F1455" s="3" t="b">
        <v>0</v>
      </c>
      <c r="G1455" s="3" t="s">
        <v>10003</v>
      </c>
      <c r="H1455" s="4" t="str">
        <f>_xlfn.IFNA(IF(((INDEX(RulebookFields!C2:C1898, MATCH(D1455,RulebookFields!A2:A1898, 0))="")=TRUE),  "",  INDEX(RulebookFields!C2:C1898, MATCH(D1455,RulebookFields!A2:A1898, 0))), "")</f>
        <v>RoleAssignments</v>
      </c>
      <c r="I1455" s="4" t="str">
        <f>_xlfn.IFNA(IF(((INDEX(RulebookFields!D2:D1898, MATCH(D1455,RulebookFields!A2:A1898, 0))="")=TRUE),  "",  INDEX(RulebookFields!D2:D1898, MATCH(D1455,RulebookFields!A2:A1898, 0))), "")</f>
        <v>QualityVerdictIsUnsupported</v>
      </c>
      <c r="J1455" s="4" t="b">
        <f>_xlfn.IFNA(IF(((INDEX(RulebookFields!I2:I1898, MATCH(D1455,RulebookFields!A2:A1898, 0))="")=TRUE),  "",  INDEX(RulebookFields!I2:I1898, MATCH(D1455,RulebookFields!A2:A1898, 0))), "")</f>
        <v>1</v>
      </c>
      <c r="K1455" s="4" t="b">
        <f>AND(((F1455)=TRUE), ((J1455)=TRUE))</f>
        <v>0</v>
      </c>
      <c r="L1455" s="4" t="b">
        <f>AND(((G1455 &lt;&gt; "plain")=TRUE), ((G1455 &lt;&gt; "")=TRUE))</f>
        <v>0</v>
      </c>
      <c r="M1455" s="4" t="str">
        <f>IF(((E1455)=TRUE),  C1455 &amp; "|" &amp; H1455,  "")</f>
        <v>principal-process-steward|RoleAssignments</v>
      </c>
      <c r="N1455" s="3" t="s">
        <v>10004</v>
      </c>
    </row>
    <row r="1456">
      <c r="A1456" s="3" t="s">
        <v>11458</v>
      </c>
      <c r="B1456" s="4" t="str">
        <f>C1456 &amp; " -&gt; " &amp; D1456</f>
        <v>principal-process-steward -&gt; RoleAssignments.IsUnmeasuredAutomationHandover</v>
      </c>
      <c r="C1456" s="3" t="s">
        <v>9772</v>
      </c>
      <c r="D1456" s="3" t="s">
        <v>2608</v>
      </c>
      <c r="E1456" s="3" t="b">
        <v>1</v>
      </c>
      <c r="F1456" s="3" t="b">
        <v>0</v>
      </c>
      <c r="G1456" s="3" t="s">
        <v>10003</v>
      </c>
      <c r="H1456" s="4" t="str">
        <f>_xlfn.IFNA(IF(((INDEX(RulebookFields!C2:C1898, MATCH(D1456,RulebookFields!A2:A1898, 0))="")=TRUE),  "",  INDEX(RulebookFields!C2:C1898, MATCH(D1456,RulebookFields!A2:A1898, 0))), "")</f>
        <v>RoleAssignments</v>
      </c>
      <c r="I1456" s="4" t="str">
        <f>_xlfn.IFNA(IF(((INDEX(RulebookFields!D2:D1898, MATCH(D1456,RulebookFields!A2:A1898, 0))="")=TRUE),  "",  INDEX(RulebookFields!D2:D1898, MATCH(D1456,RulebookFields!A2:A1898, 0))), "")</f>
        <v>IsUnmeasuredAutomationHandover</v>
      </c>
      <c r="J1456" s="4" t="b">
        <f>_xlfn.IFNA(IF(((INDEX(RulebookFields!I2:I1898, MATCH(D1456,RulebookFields!A2:A1898, 0))="")=TRUE),  "",  INDEX(RulebookFields!I2:I1898, MATCH(D1456,RulebookFields!A2:A1898, 0))), "")</f>
        <v>1</v>
      </c>
      <c r="K1456" s="4" t="b">
        <f>AND(((F1456)=TRUE), ((J1456)=TRUE))</f>
        <v>0</v>
      </c>
      <c r="L1456" s="4" t="b">
        <f>AND(((G1456 &lt;&gt; "plain")=TRUE), ((G1456 &lt;&gt; "")=TRUE))</f>
        <v>0</v>
      </c>
      <c r="M1456" s="4" t="str">
        <f>IF(((E1456)=TRUE),  C1456 &amp; "|" &amp; H1456,  "")</f>
        <v>principal-process-steward|RoleAssignments</v>
      </c>
      <c r="N1456" s="3" t="s">
        <v>10004</v>
      </c>
    </row>
    <row r="1457">
      <c r="A1457" s="3" t="s">
        <v>11459</v>
      </c>
      <c r="B1457" s="4" t="str">
        <f>C1457 &amp; " -&gt; " &amp; D1457</f>
        <v>principal-process-steward -&gt; RoleAssignments.ErrorCorrectionCount</v>
      </c>
      <c r="C1457" s="3" t="s">
        <v>9772</v>
      </c>
      <c r="D1457" s="3" t="s">
        <v>2610</v>
      </c>
      <c r="E1457" s="3" t="b">
        <v>1</v>
      </c>
      <c r="F1457" s="3" t="b">
        <v>0</v>
      </c>
      <c r="G1457" s="3" t="s">
        <v>10003</v>
      </c>
      <c r="H1457" s="4" t="str">
        <f>_xlfn.IFNA(IF(((INDEX(RulebookFields!C2:C1898, MATCH(D1457,RulebookFields!A2:A1898, 0))="")=TRUE),  "",  INDEX(RulebookFields!C2:C1898, MATCH(D1457,RulebookFields!A2:A1898, 0))), "")</f>
        <v>RoleAssignments</v>
      </c>
      <c r="I1457" s="4" t="str">
        <f>_xlfn.IFNA(IF(((INDEX(RulebookFields!D2:D1898, MATCH(D1457,RulebookFields!A2:A1898, 0))="")=TRUE),  "",  INDEX(RulebookFields!D2:D1898, MATCH(D1457,RulebookFields!A2:A1898, 0))), "")</f>
        <v>ErrorCorrectionCount</v>
      </c>
      <c r="J1457" s="4" t="b">
        <f>_xlfn.IFNA(IF(((INDEX(RulebookFields!I2:I1898, MATCH(D1457,RulebookFields!A2:A1898, 0))="")=TRUE),  "",  INDEX(RulebookFields!I2:I1898, MATCH(D1457,RulebookFields!A2:A1898, 0))), "")</f>
        <v>1</v>
      </c>
      <c r="K1457" s="4" t="b">
        <f>AND(((F1457)=TRUE), ((J1457)=TRUE))</f>
        <v>0</v>
      </c>
      <c r="L1457" s="4" t="b">
        <f>AND(((G1457 &lt;&gt; "plain")=TRUE), ((G1457 &lt;&gt; "")=TRUE))</f>
        <v>0</v>
      </c>
      <c r="M1457" s="4" t="str">
        <f>IF(((E1457)=TRUE),  C1457 &amp; "|" &amp; H1457,  "")</f>
        <v>principal-process-steward|RoleAssignments</v>
      </c>
      <c r="N1457" s="3" t="s">
        <v>10004</v>
      </c>
    </row>
    <row r="1458">
      <c r="A1458" s="3" t="s">
        <v>11460</v>
      </c>
      <c r="B1458" s="4" t="str">
        <f>C1458 &amp; " -&gt; " &amp; D1458</f>
        <v>principal-process-steward -&gt; RoleAssignments.ErrorRatePercent</v>
      </c>
      <c r="C1458" s="3" t="s">
        <v>9772</v>
      </c>
      <c r="D1458" s="3" t="s">
        <v>2612</v>
      </c>
      <c r="E1458" s="3" t="b">
        <v>1</v>
      </c>
      <c r="F1458" s="3" t="b">
        <v>0</v>
      </c>
      <c r="G1458" s="3" t="s">
        <v>10003</v>
      </c>
      <c r="H1458" s="4" t="str">
        <f>_xlfn.IFNA(IF(((INDEX(RulebookFields!C2:C1898, MATCH(D1458,RulebookFields!A2:A1898, 0))="")=TRUE),  "",  INDEX(RulebookFields!C2:C1898, MATCH(D1458,RulebookFields!A2:A1898, 0))), "")</f>
        <v>RoleAssignments</v>
      </c>
      <c r="I1458" s="4" t="str">
        <f>_xlfn.IFNA(IF(((INDEX(RulebookFields!D2:D1898, MATCH(D1458,RulebookFields!A2:A1898, 0))="")=TRUE),  "",  INDEX(RulebookFields!D2:D1898, MATCH(D1458,RulebookFields!A2:A1898, 0))), "")</f>
        <v>ErrorRatePercent</v>
      </c>
      <c r="J1458" s="4" t="b">
        <f>_xlfn.IFNA(IF(((INDEX(RulebookFields!I2:I1898, MATCH(D1458,RulebookFields!A2:A1898, 0))="")=TRUE),  "",  INDEX(RulebookFields!I2:I1898, MATCH(D1458,RulebookFields!A2:A1898, 0))), "")</f>
        <v>1</v>
      </c>
      <c r="K1458" s="4" t="b">
        <f>AND(((F1458)=TRUE), ((J1458)=TRUE))</f>
        <v>0</v>
      </c>
      <c r="L1458" s="4" t="b">
        <f>AND(((G1458 &lt;&gt; "plain")=TRUE), ((G1458 &lt;&gt; "")=TRUE))</f>
        <v>0</v>
      </c>
      <c r="M1458" s="4" t="str">
        <f>IF(((E1458)=TRUE),  C1458 &amp; "|" &amp; H1458,  "")</f>
        <v>principal-process-steward|RoleAssignments</v>
      </c>
      <c r="N1458" s="3" t="s">
        <v>10004</v>
      </c>
    </row>
    <row r="1459">
      <c r="A1459" s="3" t="s">
        <v>11461</v>
      </c>
      <c r="B1459" s="4" t="str">
        <f>C1459 &amp; " -&gt; " &amp; D1459</f>
        <v>principal-process-steward -&gt; RoleAssignments.AuthorizationDecidedAt</v>
      </c>
      <c r="C1459" s="3" t="s">
        <v>9772</v>
      </c>
      <c r="D1459" s="3" t="s">
        <v>2614</v>
      </c>
      <c r="E1459" s="3" t="b">
        <v>1</v>
      </c>
      <c r="F1459" s="3" t="b">
        <v>0</v>
      </c>
      <c r="G1459" s="3" t="s">
        <v>10003</v>
      </c>
      <c r="H1459" s="4" t="str">
        <f>_xlfn.IFNA(IF(((INDEX(RulebookFields!C2:C1898, MATCH(D1459,RulebookFields!A2:A1898, 0))="")=TRUE),  "",  INDEX(RulebookFields!C2:C1898, MATCH(D1459,RulebookFields!A2:A1898, 0))), "")</f>
        <v>RoleAssignments</v>
      </c>
      <c r="I1459" s="4" t="str">
        <f>_xlfn.IFNA(IF(((INDEX(RulebookFields!D2:D1898, MATCH(D1459,RulebookFields!A2:A1898, 0))="")=TRUE),  "",  INDEX(RulebookFields!D2:D1898, MATCH(D1459,RulebookFields!A2:A1898, 0))), "")</f>
        <v>AuthorizationDecidedAt</v>
      </c>
      <c r="J1459" s="4" t="b">
        <f>_xlfn.IFNA(IF(((INDEX(RulebookFields!I2:I1898, MATCH(D1459,RulebookFields!A2:A1898, 0))="")=TRUE),  "",  INDEX(RulebookFields!I2:I1898, MATCH(D1459,RulebookFields!A2:A1898, 0))), "")</f>
        <v>0</v>
      </c>
      <c r="K1459" s="4" t="b">
        <f>AND(((F1459)=TRUE), ((J1459)=TRUE))</f>
        <v>0</v>
      </c>
      <c r="L1459" s="4" t="b">
        <f>AND(((G1459 &lt;&gt; "plain")=TRUE), ((G1459 &lt;&gt; "")=TRUE))</f>
        <v>0</v>
      </c>
      <c r="M1459" s="4" t="str">
        <f>IF(((E1459)=TRUE),  C1459 &amp; "|" &amp; H1459,  "")</f>
        <v>principal-process-steward|RoleAssignments</v>
      </c>
      <c r="N1459" s="3" t="s">
        <v>10004</v>
      </c>
    </row>
    <row r="1460">
      <c r="A1460" s="3" t="s">
        <v>11462</v>
      </c>
      <c r="B1460" s="4" t="str">
        <f>C1460 &amp; " -&gt; " &amp; D1460</f>
        <v>principal-process-steward -&gt; RoleAssignments.AuthorizationReviewedAt</v>
      </c>
      <c r="C1460" s="3" t="s">
        <v>9772</v>
      </c>
      <c r="D1460" s="3" t="s">
        <v>2615</v>
      </c>
      <c r="E1460" s="3" t="b">
        <v>1</v>
      </c>
      <c r="F1460" s="3" t="b">
        <v>0</v>
      </c>
      <c r="G1460" s="3" t="s">
        <v>10003</v>
      </c>
      <c r="H1460" s="4" t="str">
        <f>_xlfn.IFNA(IF(((INDEX(RulebookFields!C2:C1898, MATCH(D1460,RulebookFields!A2:A1898, 0))="")=TRUE),  "",  INDEX(RulebookFields!C2:C1898, MATCH(D1460,RulebookFields!A2:A1898, 0))), "")</f>
        <v>RoleAssignments</v>
      </c>
      <c r="I1460" s="4" t="str">
        <f>_xlfn.IFNA(IF(((INDEX(RulebookFields!D2:D1898, MATCH(D1460,RulebookFields!A2:A1898, 0))="")=TRUE),  "",  INDEX(RulebookFields!D2:D1898, MATCH(D1460,RulebookFields!A2:A1898, 0))), "")</f>
        <v>AuthorizationReviewedAt</v>
      </c>
      <c r="J1460" s="4" t="b">
        <f>_xlfn.IFNA(IF(((INDEX(RulebookFields!I2:I1898, MATCH(D1460,RulebookFields!A2:A1898, 0))="")=TRUE),  "",  INDEX(RulebookFields!I2:I1898, MATCH(D1460,RulebookFields!A2:A1898, 0))), "")</f>
        <v>0</v>
      </c>
      <c r="K1460" s="4" t="b">
        <f>AND(((F1460)=TRUE), ((J1460)=TRUE))</f>
        <v>0</v>
      </c>
      <c r="L1460" s="4" t="b">
        <f>AND(((G1460 &lt;&gt; "plain")=TRUE), ((G1460 &lt;&gt; "")=TRUE))</f>
        <v>0</v>
      </c>
      <c r="M1460" s="4" t="str">
        <f>IF(((E1460)=TRUE),  C1460 &amp; "|" &amp; H1460,  "")</f>
        <v>principal-process-steward|RoleAssignments</v>
      </c>
      <c r="N1460" s="3" t="s">
        <v>10004</v>
      </c>
    </row>
    <row r="1461">
      <c r="A1461" s="3" t="s">
        <v>11463</v>
      </c>
      <c r="B1461" s="4" t="str">
        <f>C1461 &amp; " -&gt; " &amp; D1461</f>
        <v>principal-process-steward -&gt; RoleAssignments.AuthorizationReviewCadenceDays</v>
      </c>
      <c r="C1461" s="3" t="s">
        <v>9772</v>
      </c>
      <c r="D1461" s="3" t="s">
        <v>2616</v>
      </c>
      <c r="E1461" s="3" t="b">
        <v>1</v>
      </c>
      <c r="F1461" s="3" t="b">
        <v>0</v>
      </c>
      <c r="G1461" s="3" t="s">
        <v>10003</v>
      </c>
      <c r="H1461" s="4" t="str">
        <f>_xlfn.IFNA(IF(((INDEX(RulebookFields!C2:C1898, MATCH(D1461,RulebookFields!A2:A1898, 0))="")=TRUE),  "",  INDEX(RulebookFields!C2:C1898, MATCH(D1461,RulebookFields!A2:A1898, 0))), "")</f>
        <v>RoleAssignments</v>
      </c>
      <c r="I1461" s="4" t="str">
        <f>_xlfn.IFNA(IF(((INDEX(RulebookFields!D2:D1898, MATCH(D1461,RulebookFields!A2:A1898, 0))="")=TRUE),  "",  INDEX(RulebookFields!D2:D1898, MATCH(D1461,RulebookFields!A2:A1898, 0))), "")</f>
        <v>AuthorizationReviewCadenceDays</v>
      </c>
      <c r="J1461" s="4" t="b">
        <f>_xlfn.IFNA(IF(((INDEX(RulebookFields!I2:I1898, MATCH(D1461,RulebookFields!A2:A1898, 0))="")=TRUE),  "",  INDEX(RulebookFields!I2:I1898, MATCH(D1461,RulebookFields!A2:A1898, 0))), "")</f>
        <v>0</v>
      </c>
      <c r="K1461" s="4" t="b">
        <f>AND(((F1461)=TRUE), ((J1461)=TRUE))</f>
        <v>0</v>
      </c>
      <c r="L1461" s="4" t="b">
        <f>AND(((G1461 &lt;&gt; "plain")=TRUE), ((G1461 &lt;&gt; "")=TRUE))</f>
        <v>0</v>
      </c>
      <c r="M1461" s="4" t="str">
        <f>IF(((E1461)=TRUE),  C1461 &amp; "|" &amp; H1461,  "")</f>
        <v>principal-process-steward|RoleAssignments</v>
      </c>
      <c r="N1461" s="3" t="s">
        <v>10004</v>
      </c>
    </row>
    <row r="1462">
      <c r="A1462" s="3" t="s">
        <v>11464</v>
      </c>
      <c r="B1462" s="4" t="str">
        <f>C1462 &amp; " -&gt; " &amp; D1462</f>
        <v>principal-process-steward -&gt; RoleAssignments.HasDatedAuthorization</v>
      </c>
      <c r="C1462" s="3" t="s">
        <v>9772</v>
      </c>
      <c r="D1462" s="3" t="s">
        <v>2617</v>
      </c>
      <c r="E1462" s="3" t="b">
        <v>1</v>
      </c>
      <c r="F1462" s="3" t="b">
        <v>0</v>
      </c>
      <c r="G1462" s="3" t="s">
        <v>10003</v>
      </c>
      <c r="H1462" s="4" t="str">
        <f>_xlfn.IFNA(IF(((INDEX(RulebookFields!C2:C1898, MATCH(D1462,RulebookFields!A2:A1898, 0))="")=TRUE),  "",  INDEX(RulebookFields!C2:C1898, MATCH(D1462,RulebookFields!A2:A1898, 0))), "")</f>
        <v>RoleAssignments</v>
      </c>
      <c r="I1462" s="4" t="str">
        <f>_xlfn.IFNA(IF(((INDEX(RulebookFields!D2:D1898, MATCH(D1462,RulebookFields!A2:A1898, 0))="")=TRUE),  "",  INDEX(RulebookFields!D2:D1898, MATCH(D1462,RulebookFields!A2:A1898, 0))), "")</f>
        <v>HasDatedAuthorization</v>
      </c>
      <c r="J1462" s="4" t="b">
        <f>_xlfn.IFNA(IF(((INDEX(RulebookFields!I2:I1898, MATCH(D1462,RulebookFields!A2:A1898, 0))="")=TRUE),  "",  INDEX(RulebookFields!I2:I1898, MATCH(D1462,RulebookFields!A2:A1898, 0))), "")</f>
        <v>1</v>
      </c>
      <c r="K1462" s="4" t="b">
        <f>AND(((F1462)=TRUE), ((J1462)=TRUE))</f>
        <v>0</v>
      </c>
      <c r="L1462" s="4" t="b">
        <f>AND(((G1462 &lt;&gt; "plain")=TRUE), ((G1462 &lt;&gt; "")=TRUE))</f>
        <v>0</v>
      </c>
      <c r="M1462" s="4" t="str">
        <f>IF(((E1462)=TRUE),  C1462 &amp; "|" &amp; H1462,  "")</f>
        <v>principal-process-steward|RoleAssignments</v>
      </c>
      <c r="N1462" s="3" t="s">
        <v>10004</v>
      </c>
    </row>
    <row r="1463">
      <c r="A1463" s="3" t="s">
        <v>11465</v>
      </c>
      <c r="B1463" s="4" t="str">
        <f>C1463 &amp; " -&gt; " &amp; D1463</f>
        <v>principal-process-steward -&gt; RoleAssignments.DaysSinceAuthorizationReview</v>
      </c>
      <c r="C1463" s="3" t="s">
        <v>9772</v>
      </c>
      <c r="D1463" s="3" t="s">
        <v>2619</v>
      </c>
      <c r="E1463" s="3" t="b">
        <v>1</v>
      </c>
      <c r="F1463" s="3" t="b">
        <v>0</v>
      </c>
      <c r="G1463" s="3" t="s">
        <v>10003</v>
      </c>
      <c r="H1463" s="4" t="str">
        <f>_xlfn.IFNA(IF(((INDEX(RulebookFields!C2:C1898, MATCH(D1463,RulebookFields!A2:A1898, 0))="")=TRUE),  "",  INDEX(RulebookFields!C2:C1898, MATCH(D1463,RulebookFields!A2:A1898, 0))), "")</f>
        <v>RoleAssignments</v>
      </c>
      <c r="I1463" s="4" t="str">
        <f>_xlfn.IFNA(IF(((INDEX(RulebookFields!D2:D1898, MATCH(D1463,RulebookFields!A2:A1898, 0))="")=TRUE),  "",  INDEX(RulebookFields!D2:D1898, MATCH(D1463,RulebookFields!A2:A1898, 0))), "")</f>
        <v>DaysSinceAuthorizationReview</v>
      </c>
      <c r="J1463" s="4" t="b">
        <f>_xlfn.IFNA(IF(((INDEX(RulebookFields!I2:I1898, MATCH(D1463,RulebookFields!A2:A1898, 0))="")=TRUE),  "",  INDEX(RulebookFields!I2:I1898, MATCH(D1463,RulebookFields!A2:A1898, 0))), "")</f>
        <v>1</v>
      </c>
      <c r="K1463" s="4" t="b">
        <f>AND(((F1463)=TRUE), ((J1463)=TRUE))</f>
        <v>0</v>
      </c>
      <c r="L1463" s="4" t="b">
        <f>AND(((G1463 &lt;&gt; "plain")=TRUE), ((G1463 &lt;&gt; "")=TRUE))</f>
        <v>0</v>
      </c>
      <c r="M1463" s="4" t="str">
        <f>IF(((E1463)=TRUE),  C1463 &amp; "|" &amp; H1463,  "")</f>
        <v>principal-process-steward|RoleAssignments</v>
      </c>
      <c r="N1463" s="3" t="s">
        <v>10004</v>
      </c>
    </row>
    <row r="1464">
      <c r="A1464" s="3" t="s">
        <v>11466</v>
      </c>
      <c r="B1464" s="4" t="str">
        <f>C1464 &amp; " -&gt; " &amp; D1464</f>
        <v>principal-process-steward -&gt; RoleAssignments.AuthorizationIsOverdueForReview</v>
      </c>
      <c r="C1464" s="3" t="s">
        <v>9772</v>
      </c>
      <c r="D1464" s="3" t="s">
        <v>2621</v>
      </c>
      <c r="E1464" s="3" t="b">
        <v>1</v>
      </c>
      <c r="F1464" s="3" t="b">
        <v>0</v>
      </c>
      <c r="G1464" s="3" t="s">
        <v>10003</v>
      </c>
      <c r="H1464" s="4" t="str">
        <f>_xlfn.IFNA(IF(((INDEX(RulebookFields!C2:C1898, MATCH(D1464,RulebookFields!A2:A1898, 0))="")=TRUE),  "",  INDEX(RulebookFields!C2:C1898, MATCH(D1464,RulebookFields!A2:A1898, 0))), "")</f>
        <v>RoleAssignments</v>
      </c>
      <c r="I1464" s="4" t="str">
        <f>_xlfn.IFNA(IF(((INDEX(RulebookFields!D2:D1898, MATCH(D1464,RulebookFields!A2:A1898, 0))="")=TRUE),  "",  INDEX(RulebookFields!D2:D1898, MATCH(D1464,RulebookFields!A2:A1898, 0))), "")</f>
        <v>AuthorizationIsOverdueForReview</v>
      </c>
      <c r="J1464" s="4" t="b">
        <f>_xlfn.IFNA(IF(((INDEX(RulebookFields!I2:I1898, MATCH(D1464,RulebookFields!A2:A1898, 0))="")=TRUE),  "",  INDEX(RulebookFields!I2:I1898, MATCH(D1464,RulebookFields!A2:A1898, 0))), "")</f>
        <v>1</v>
      </c>
      <c r="K1464" s="4" t="b">
        <f>AND(((F1464)=TRUE), ((J1464)=TRUE))</f>
        <v>0</v>
      </c>
      <c r="L1464" s="4" t="b">
        <f>AND(((G1464 &lt;&gt; "plain")=TRUE), ((G1464 &lt;&gt; "")=TRUE))</f>
        <v>0</v>
      </c>
      <c r="M1464" s="4" t="str">
        <f>IF(((E1464)=TRUE),  C1464 &amp; "|" &amp; H1464,  "")</f>
        <v>principal-process-steward|RoleAssignments</v>
      </c>
      <c r="N1464" s="3" t="s">
        <v>10004</v>
      </c>
    </row>
    <row r="1465">
      <c r="A1465" s="3" t="s">
        <v>11467</v>
      </c>
      <c r="B1465" s="4" t="str">
        <f>C1465 &amp; " -&gt; " &amp; D1465</f>
        <v>principal-process-steward -&gt; RoleAssignments.IsStandingUnreviewedAutomation</v>
      </c>
      <c r="C1465" s="3" t="s">
        <v>9772</v>
      </c>
      <c r="D1465" s="3" t="s">
        <v>2623</v>
      </c>
      <c r="E1465" s="3" t="b">
        <v>1</v>
      </c>
      <c r="F1465" s="3" t="b">
        <v>0</v>
      </c>
      <c r="G1465" s="3" t="s">
        <v>10003</v>
      </c>
      <c r="H1465" s="4" t="str">
        <f>_xlfn.IFNA(IF(((INDEX(RulebookFields!C2:C1898, MATCH(D1465,RulebookFields!A2:A1898, 0))="")=TRUE),  "",  INDEX(RulebookFields!C2:C1898, MATCH(D1465,RulebookFields!A2:A1898, 0))), "")</f>
        <v>RoleAssignments</v>
      </c>
      <c r="I1465" s="4" t="str">
        <f>_xlfn.IFNA(IF(((INDEX(RulebookFields!D2:D1898, MATCH(D1465,RulebookFields!A2:A1898, 0))="")=TRUE),  "",  INDEX(RulebookFields!D2:D1898, MATCH(D1465,RulebookFields!A2:A1898, 0))), "")</f>
        <v>IsStandingUnreviewedAutomation</v>
      </c>
      <c r="J1465" s="4" t="b">
        <f>_xlfn.IFNA(IF(((INDEX(RulebookFields!I2:I1898, MATCH(D1465,RulebookFields!A2:A1898, 0))="")=TRUE),  "",  INDEX(RulebookFields!I2:I1898, MATCH(D1465,RulebookFields!A2:A1898, 0))), "")</f>
        <v>1</v>
      </c>
      <c r="K1465" s="4" t="b">
        <f>AND(((F1465)=TRUE), ((J1465)=TRUE))</f>
        <v>0</v>
      </c>
      <c r="L1465" s="4" t="b">
        <f>AND(((G1465 &lt;&gt; "plain")=TRUE), ((G1465 &lt;&gt; "")=TRUE))</f>
        <v>0</v>
      </c>
      <c r="M1465" s="4" t="str">
        <f>IF(((E1465)=TRUE),  C1465 &amp; "|" &amp; H1465,  "")</f>
        <v>principal-process-steward|RoleAssignments</v>
      </c>
      <c r="N1465" s="3" t="s">
        <v>10004</v>
      </c>
    </row>
    <row r="1466">
      <c r="A1466" s="3" t="s">
        <v>11468</v>
      </c>
      <c r="B1466" s="4" t="str">
        <f>C1466 &amp; " -&gt; " &amp; D1466</f>
        <v>principal-process-steward -&gt; RoleAssignments.IsUnconditionedAutomationHandover</v>
      </c>
      <c r="C1466" s="3" t="s">
        <v>9772</v>
      </c>
      <c r="D1466" s="3" t="s">
        <v>2625</v>
      </c>
      <c r="E1466" s="3" t="b">
        <v>1</v>
      </c>
      <c r="F1466" s="3" t="b">
        <v>0</v>
      </c>
      <c r="G1466" s="3" t="s">
        <v>10003</v>
      </c>
      <c r="H1466" s="4" t="str">
        <f>_xlfn.IFNA(IF(((INDEX(RulebookFields!C2:C1898, MATCH(D1466,RulebookFields!A2:A1898, 0))="")=TRUE),  "",  INDEX(RulebookFields!C2:C1898, MATCH(D1466,RulebookFields!A2:A1898, 0))), "")</f>
        <v>RoleAssignments</v>
      </c>
      <c r="I1466" s="4" t="str">
        <f>_xlfn.IFNA(IF(((INDEX(RulebookFields!D2:D1898, MATCH(D1466,RulebookFields!A2:A1898, 0))="")=TRUE),  "",  INDEX(RulebookFields!D2:D1898, MATCH(D1466,RulebookFields!A2:A1898, 0))), "")</f>
        <v>IsUnconditionedAutomationHandover</v>
      </c>
      <c r="J1466" s="4" t="b">
        <f>_xlfn.IFNA(IF(((INDEX(RulebookFields!I2:I1898, MATCH(D1466,RulebookFields!A2:A1898, 0))="")=TRUE),  "",  INDEX(RulebookFields!I2:I1898, MATCH(D1466,RulebookFields!A2:A1898, 0))), "")</f>
        <v>1</v>
      </c>
      <c r="K1466" s="4" t="b">
        <f>AND(((F1466)=TRUE), ((J1466)=TRUE))</f>
        <v>0</v>
      </c>
      <c r="L1466" s="4" t="b">
        <f>AND(((G1466 &lt;&gt; "plain")=TRUE), ((G1466 &lt;&gt; "")=TRUE))</f>
        <v>0</v>
      </c>
      <c r="M1466" s="4" t="str">
        <f>IF(((E1466)=TRUE),  C1466 &amp; "|" &amp; H1466,  "")</f>
        <v>principal-process-steward|RoleAssignments</v>
      </c>
      <c r="N1466" s="3" t="s">
        <v>10004</v>
      </c>
    </row>
    <row r="1467">
      <c r="A1467" s="3" t="s">
        <v>11469</v>
      </c>
      <c r="B1467" s="4" t="str">
        <f>C1467 &amp; " -&gt; " &amp; D1467</f>
        <v>principal-process-steward -&gt; RoleAssignments.MaxTolerableErrorRatePercent</v>
      </c>
      <c r="C1467" s="3" t="s">
        <v>9772</v>
      </c>
      <c r="D1467" s="3" t="s">
        <v>2627</v>
      </c>
      <c r="E1467" s="3" t="b">
        <v>1</v>
      </c>
      <c r="F1467" s="3" t="b">
        <v>0</v>
      </c>
      <c r="G1467" s="3" t="s">
        <v>10003</v>
      </c>
      <c r="H1467" s="4" t="str">
        <f>_xlfn.IFNA(IF(((INDEX(RulebookFields!C2:C1898, MATCH(D1467,RulebookFields!A2:A1898, 0))="")=TRUE),  "",  INDEX(RulebookFields!C2:C1898, MATCH(D1467,RulebookFields!A2:A1898, 0))), "")</f>
        <v>RoleAssignments</v>
      </c>
      <c r="I1467" s="4" t="str">
        <f>_xlfn.IFNA(IF(((INDEX(RulebookFields!D2:D1898, MATCH(D1467,RulebookFields!A2:A1898, 0))="")=TRUE),  "",  INDEX(RulebookFields!D2:D1898, MATCH(D1467,RulebookFields!A2:A1898, 0))), "")</f>
        <v>MaxTolerableErrorRatePercent</v>
      </c>
      <c r="J1467" s="4" t="b">
        <f>_xlfn.IFNA(IF(((INDEX(RulebookFields!I2:I1898, MATCH(D1467,RulebookFields!A2:A1898, 0))="")=TRUE),  "",  INDEX(RulebookFields!I2:I1898, MATCH(D1467,RulebookFields!A2:A1898, 0))), "")</f>
        <v>0</v>
      </c>
      <c r="K1467" s="4" t="b">
        <f>AND(((F1467)=TRUE), ((J1467)=TRUE))</f>
        <v>0</v>
      </c>
      <c r="L1467" s="4" t="b">
        <f>AND(((G1467 &lt;&gt; "plain")=TRUE), ((G1467 &lt;&gt; "")=TRUE))</f>
        <v>0</v>
      </c>
      <c r="M1467" s="4" t="str">
        <f>IF(((E1467)=TRUE),  C1467 &amp; "|" &amp; H1467,  "")</f>
        <v>principal-process-steward|RoleAssignments</v>
      </c>
      <c r="N1467" s="3" t="s">
        <v>10004</v>
      </c>
    </row>
    <row r="1468">
      <c r="A1468" s="3" t="s">
        <v>11470</v>
      </c>
      <c r="B1468" s="4" t="str">
        <f>C1468 &amp; " -&gt; " &amp; D1468</f>
        <v>principal-process-steward -&gt; RoleAssignments.ExceedsTolerableErrorRate</v>
      </c>
      <c r="C1468" s="3" t="s">
        <v>9772</v>
      </c>
      <c r="D1468" s="3" t="s">
        <v>2628</v>
      </c>
      <c r="E1468" s="3" t="b">
        <v>1</v>
      </c>
      <c r="F1468" s="3" t="b">
        <v>0</v>
      </c>
      <c r="G1468" s="3" t="s">
        <v>10003</v>
      </c>
      <c r="H1468" s="4" t="str">
        <f>_xlfn.IFNA(IF(((INDEX(RulebookFields!C2:C1898, MATCH(D1468,RulebookFields!A2:A1898, 0))="")=TRUE),  "",  INDEX(RulebookFields!C2:C1898, MATCH(D1468,RulebookFields!A2:A1898, 0))), "")</f>
        <v>RoleAssignments</v>
      </c>
      <c r="I1468" s="4" t="str">
        <f>_xlfn.IFNA(IF(((INDEX(RulebookFields!D2:D1898, MATCH(D1468,RulebookFields!A2:A1898, 0))="")=TRUE),  "",  INDEX(RulebookFields!D2:D1898, MATCH(D1468,RulebookFields!A2:A1898, 0))), "")</f>
        <v>ExceedsTolerableErrorRate</v>
      </c>
      <c r="J1468" s="4" t="b">
        <f>_xlfn.IFNA(IF(((INDEX(RulebookFields!I2:I1898, MATCH(D1468,RulebookFields!A2:A1898, 0))="")=TRUE),  "",  INDEX(RulebookFields!I2:I1898, MATCH(D1468,RulebookFields!A2:A1898, 0))), "")</f>
        <v>1</v>
      </c>
      <c r="K1468" s="4" t="b">
        <f>AND(((F1468)=TRUE), ((J1468)=TRUE))</f>
        <v>0</v>
      </c>
      <c r="L1468" s="4" t="b">
        <f>AND(((G1468 &lt;&gt; "plain")=TRUE), ((G1468 &lt;&gt; "")=TRUE))</f>
        <v>0</v>
      </c>
      <c r="M1468" s="4" t="str">
        <f>IF(((E1468)=TRUE),  C1468 &amp; "|" &amp; H1468,  "")</f>
        <v>principal-process-steward|RoleAssignments</v>
      </c>
      <c r="N1468" s="3" t="s">
        <v>10004</v>
      </c>
    </row>
    <row r="1469">
      <c r="A1469" s="3" t="s">
        <v>11471</v>
      </c>
      <c r="B1469" s="4" t="str">
        <f>C1469 &amp; " -&gt; " &amp; D1469</f>
        <v>principal-process-steward -&gt; RoleAssignments.BoundaryViolationCountForAssignment</v>
      </c>
      <c r="C1469" s="3" t="s">
        <v>9772</v>
      </c>
      <c r="D1469" s="3" t="s">
        <v>2630</v>
      </c>
      <c r="E1469" s="3" t="b">
        <v>1</v>
      </c>
      <c r="F1469" s="3" t="b">
        <v>0</v>
      </c>
      <c r="G1469" s="3" t="s">
        <v>10003</v>
      </c>
      <c r="H1469" s="4" t="str">
        <f>_xlfn.IFNA(IF(((INDEX(RulebookFields!C2:C1898, MATCH(D1469,RulebookFields!A2:A1898, 0))="")=TRUE),  "",  INDEX(RulebookFields!C2:C1898, MATCH(D1469,RulebookFields!A2:A1898, 0))), "")</f>
        <v>RoleAssignments</v>
      </c>
      <c r="I1469" s="4" t="str">
        <f>_xlfn.IFNA(IF(((INDEX(RulebookFields!D2:D1898, MATCH(D1469,RulebookFields!A2:A1898, 0))="")=TRUE),  "",  INDEX(RulebookFields!D2:D1898, MATCH(D1469,RulebookFields!A2:A1898, 0))), "")</f>
        <v>BoundaryViolationCountForAssignment</v>
      </c>
      <c r="J1469" s="4" t="b">
        <f>_xlfn.IFNA(IF(((INDEX(RulebookFields!I2:I1898, MATCH(D1469,RulebookFields!A2:A1898, 0))="")=TRUE),  "",  INDEX(RulebookFields!I2:I1898, MATCH(D1469,RulebookFields!A2:A1898, 0))), "")</f>
        <v>1</v>
      </c>
      <c r="K1469" s="4" t="b">
        <f>AND(((F1469)=TRUE), ((J1469)=TRUE))</f>
        <v>0</v>
      </c>
      <c r="L1469" s="4" t="b">
        <f>AND(((G1469 &lt;&gt; "plain")=TRUE), ((G1469 &lt;&gt; "")=TRUE))</f>
        <v>0</v>
      </c>
      <c r="M1469" s="4" t="str">
        <f>IF(((E1469)=TRUE),  C1469 &amp; "|" &amp; H1469,  "")</f>
        <v>principal-process-steward|RoleAssignments</v>
      </c>
      <c r="N1469" s="3" t="s">
        <v>10004</v>
      </c>
    </row>
    <row r="1470">
      <c r="A1470" s="3" t="s">
        <v>11472</v>
      </c>
      <c r="B1470" s="4" t="str">
        <f>C1470 &amp; " -&gt; " &amp; D1470</f>
        <v>principal-process-steward -&gt; RoleAssignments.HasAnyBoundaryViolation</v>
      </c>
      <c r="C1470" s="3" t="s">
        <v>9772</v>
      </c>
      <c r="D1470" s="3" t="s">
        <v>2632</v>
      </c>
      <c r="E1470" s="3" t="b">
        <v>1</v>
      </c>
      <c r="F1470" s="3" t="b">
        <v>0</v>
      </c>
      <c r="G1470" s="3" t="s">
        <v>10003</v>
      </c>
      <c r="H1470" s="4" t="str">
        <f>_xlfn.IFNA(IF(((INDEX(RulebookFields!C2:C1898, MATCH(D1470,RulebookFields!A2:A1898, 0))="")=TRUE),  "",  INDEX(RulebookFields!C2:C1898, MATCH(D1470,RulebookFields!A2:A1898, 0))), "")</f>
        <v>RoleAssignments</v>
      </c>
      <c r="I1470" s="4" t="str">
        <f>_xlfn.IFNA(IF(((INDEX(RulebookFields!D2:D1898, MATCH(D1470,RulebookFields!A2:A1898, 0))="")=TRUE),  "",  INDEX(RulebookFields!D2:D1898, MATCH(D1470,RulebookFields!A2:A1898, 0))), "")</f>
        <v>HasAnyBoundaryViolation</v>
      </c>
      <c r="J1470" s="4" t="b">
        <f>_xlfn.IFNA(IF(((INDEX(RulebookFields!I2:I1898, MATCH(D1470,RulebookFields!A2:A1898, 0))="")=TRUE),  "",  INDEX(RulebookFields!I2:I1898, MATCH(D1470,RulebookFields!A2:A1898, 0))), "")</f>
        <v>1</v>
      </c>
      <c r="K1470" s="4" t="b">
        <f>AND(((F1470)=TRUE), ((J1470)=TRUE))</f>
        <v>0</v>
      </c>
      <c r="L1470" s="4" t="b">
        <f>AND(((G1470 &lt;&gt; "plain")=TRUE), ((G1470 &lt;&gt; "")=TRUE))</f>
        <v>0</v>
      </c>
      <c r="M1470" s="4" t="str">
        <f>IF(((E1470)=TRUE),  C1470 &amp; "|" &amp; H1470,  "")</f>
        <v>principal-process-steward|RoleAssignments</v>
      </c>
      <c r="N1470" s="3" t="s">
        <v>10004</v>
      </c>
    </row>
    <row r="1471">
      <c r="A1471" s="3" t="s">
        <v>11473</v>
      </c>
      <c r="B1471" s="4" t="str">
        <f>C1471 &amp; " -&gt; " &amp; D1471</f>
        <v>principal-process-steward -&gt; RoleAssignments.HasUngroundedGoverningBoundary</v>
      </c>
      <c r="C1471" s="3" t="s">
        <v>9772</v>
      </c>
      <c r="D1471" s="3" t="s">
        <v>2634</v>
      </c>
      <c r="E1471" s="3" t="b">
        <v>1</v>
      </c>
      <c r="F1471" s="3" t="b">
        <v>0</v>
      </c>
      <c r="G1471" s="3" t="s">
        <v>10003</v>
      </c>
      <c r="H1471" s="4" t="str">
        <f>_xlfn.IFNA(IF(((INDEX(RulebookFields!C2:C1898, MATCH(D1471,RulebookFields!A2:A1898, 0))="")=TRUE),  "",  INDEX(RulebookFields!C2:C1898, MATCH(D1471,RulebookFields!A2:A1898, 0))), "")</f>
        <v>RoleAssignments</v>
      </c>
      <c r="I1471" s="4" t="str">
        <f>_xlfn.IFNA(IF(((INDEX(RulebookFields!D2:D1898, MATCH(D1471,RulebookFields!A2:A1898, 0))="")=TRUE),  "",  INDEX(RulebookFields!D2:D1898, MATCH(D1471,RulebookFields!A2:A1898, 0))), "")</f>
        <v>HasUngroundedGoverningBoundary</v>
      </c>
      <c r="J1471" s="4" t="b">
        <f>_xlfn.IFNA(IF(((INDEX(RulebookFields!I2:I1898, MATCH(D1471,RulebookFields!A2:A1898, 0))="")=TRUE),  "",  INDEX(RulebookFields!I2:I1898, MATCH(D1471,RulebookFields!A2:A1898, 0))), "")</f>
        <v>1</v>
      </c>
      <c r="K1471" s="4" t="b">
        <f>AND(((F1471)=TRUE), ((J1471)=TRUE))</f>
        <v>0</v>
      </c>
      <c r="L1471" s="4" t="b">
        <f>AND(((G1471 &lt;&gt; "plain")=TRUE), ((G1471 &lt;&gt; "")=TRUE))</f>
        <v>0</v>
      </c>
      <c r="M1471" s="4" t="str">
        <f>IF(((E1471)=TRUE),  C1471 &amp; "|" &amp; H1471,  "")</f>
        <v>principal-process-steward|RoleAssignments</v>
      </c>
      <c r="N1471" s="3" t="s">
        <v>10004</v>
      </c>
    </row>
    <row r="1472">
      <c r="A1472" s="3" t="s">
        <v>11474</v>
      </c>
      <c r="B1472" s="4" t="str">
        <f>C1472 &amp; " -&gt; " &amp; D1472</f>
        <v>principal-process-steward -&gt; RoleAssignments.SuspensionConditionMet</v>
      </c>
      <c r="C1472" s="3" t="s">
        <v>9772</v>
      </c>
      <c r="D1472" s="3" t="s">
        <v>2636</v>
      </c>
      <c r="E1472" s="3" t="b">
        <v>1</v>
      </c>
      <c r="F1472" s="3" t="b">
        <v>0</v>
      </c>
      <c r="G1472" s="3" t="s">
        <v>10003</v>
      </c>
      <c r="H1472" s="4" t="str">
        <f>_xlfn.IFNA(IF(((INDEX(RulebookFields!C2:C1898, MATCH(D1472,RulebookFields!A2:A1898, 0))="")=TRUE),  "",  INDEX(RulebookFields!C2:C1898, MATCH(D1472,RulebookFields!A2:A1898, 0))), "")</f>
        <v>RoleAssignments</v>
      </c>
      <c r="I1472" s="4" t="str">
        <f>_xlfn.IFNA(IF(((INDEX(RulebookFields!D2:D1898, MATCH(D1472,RulebookFields!A2:A1898, 0))="")=TRUE),  "",  INDEX(RulebookFields!D2:D1898, MATCH(D1472,RulebookFields!A2:A1898, 0))), "")</f>
        <v>SuspensionConditionMet</v>
      </c>
      <c r="J1472" s="4" t="b">
        <f>_xlfn.IFNA(IF(((INDEX(RulebookFields!I2:I1898, MATCH(D1472,RulebookFields!A2:A1898, 0))="")=TRUE),  "",  INDEX(RulebookFields!I2:I1898, MATCH(D1472,RulebookFields!A2:A1898, 0))), "")</f>
        <v>1</v>
      </c>
      <c r="K1472" s="4" t="b">
        <f>AND(((F1472)=TRUE), ((J1472)=TRUE))</f>
        <v>0</v>
      </c>
      <c r="L1472" s="4" t="b">
        <f>AND(((G1472 &lt;&gt; "plain")=TRUE), ((G1472 &lt;&gt; "")=TRUE))</f>
        <v>0</v>
      </c>
      <c r="M1472" s="4" t="str">
        <f>IF(((E1472)=TRUE),  C1472 &amp; "|" &amp; H1472,  "")</f>
        <v>principal-process-steward|RoleAssignments</v>
      </c>
      <c r="N1472" s="3" t="s">
        <v>10004</v>
      </c>
    </row>
    <row r="1473">
      <c r="A1473" s="3" t="s">
        <v>11475</v>
      </c>
      <c r="B1473" s="4" t="str">
        <f>C1473 &amp; " -&gt; " &amp; D1473</f>
        <v>principal-process-steward -&gt; RoleAssignments.IsOperatingUnderMetSuspensionCondition</v>
      </c>
      <c r="C1473" s="3" t="s">
        <v>9772</v>
      </c>
      <c r="D1473" s="3" t="s">
        <v>2638</v>
      </c>
      <c r="E1473" s="3" t="b">
        <v>1</v>
      </c>
      <c r="F1473" s="3" t="b">
        <v>0</v>
      </c>
      <c r="G1473" s="3" t="s">
        <v>10003</v>
      </c>
      <c r="H1473" s="4" t="str">
        <f>_xlfn.IFNA(IF(((INDEX(RulebookFields!C2:C1898, MATCH(D1473,RulebookFields!A2:A1898, 0))="")=TRUE),  "",  INDEX(RulebookFields!C2:C1898, MATCH(D1473,RulebookFields!A2:A1898, 0))), "")</f>
        <v>RoleAssignments</v>
      </c>
      <c r="I1473" s="4" t="str">
        <f>_xlfn.IFNA(IF(((INDEX(RulebookFields!D2:D1898, MATCH(D1473,RulebookFields!A2:A1898, 0))="")=TRUE),  "",  INDEX(RulebookFields!D2:D1898, MATCH(D1473,RulebookFields!A2:A1898, 0))), "")</f>
        <v>IsOperatingUnderMetSuspensionCondition</v>
      </c>
      <c r="J1473" s="4" t="b">
        <f>_xlfn.IFNA(IF(((INDEX(RulebookFields!I2:I1898, MATCH(D1473,RulebookFields!A2:A1898, 0))="")=TRUE),  "",  INDEX(RulebookFields!I2:I1898, MATCH(D1473,RulebookFields!A2:A1898, 0))), "")</f>
        <v>1</v>
      </c>
      <c r="K1473" s="4" t="b">
        <f>AND(((F1473)=TRUE), ((J1473)=TRUE))</f>
        <v>0</v>
      </c>
      <c r="L1473" s="4" t="b">
        <f>AND(((G1473 &lt;&gt; "plain")=TRUE), ((G1473 &lt;&gt; "")=TRUE))</f>
        <v>0</v>
      </c>
      <c r="M1473" s="4" t="str">
        <f>IF(((E1473)=TRUE),  C1473 &amp; "|" &amp; H1473,  "")</f>
        <v>principal-process-steward|RoleAssignments</v>
      </c>
      <c r="N1473" s="3" t="s">
        <v>10004</v>
      </c>
    </row>
    <row r="1474">
      <c r="A1474" s="3" t="s">
        <v>11476</v>
      </c>
      <c r="B1474" s="4" t="str">
        <f>C1474 &amp; " -&gt; " &amp; D1474</f>
        <v>principal-process-steward -&gt; RoleAssignments.HasDeclaredSuspensionCondition</v>
      </c>
      <c r="C1474" s="3" t="s">
        <v>9772</v>
      </c>
      <c r="D1474" s="3" t="s">
        <v>2640</v>
      </c>
      <c r="E1474" s="3" t="b">
        <v>1</v>
      </c>
      <c r="F1474" s="3" t="b">
        <v>0</v>
      </c>
      <c r="G1474" s="3" t="s">
        <v>10003</v>
      </c>
      <c r="H1474" s="4" t="str">
        <f>_xlfn.IFNA(IF(((INDEX(RulebookFields!C2:C1898, MATCH(D1474,RulebookFields!A2:A1898, 0))="")=TRUE),  "",  INDEX(RulebookFields!C2:C1898, MATCH(D1474,RulebookFields!A2:A1898, 0))), "")</f>
        <v>RoleAssignments</v>
      </c>
      <c r="I1474" s="4" t="str">
        <f>_xlfn.IFNA(IF(((INDEX(RulebookFields!D2:D1898, MATCH(D1474,RulebookFields!A2:A1898, 0))="")=TRUE),  "",  INDEX(RulebookFields!D2:D1898, MATCH(D1474,RulebookFields!A2:A1898, 0))), "")</f>
        <v>HasDeclaredSuspensionCondition</v>
      </c>
      <c r="J1474" s="4" t="b">
        <f>_xlfn.IFNA(IF(((INDEX(RulebookFields!I2:I1898, MATCH(D1474,RulebookFields!A2:A1898, 0))="")=TRUE),  "",  INDEX(RulebookFields!I2:I1898, MATCH(D1474,RulebookFields!A2:A1898, 0))), "")</f>
        <v>1</v>
      </c>
      <c r="K1474" s="4" t="b">
        <f>AND(((F1474)=TRUE), ((J1474)=TRUE))</f>
        <v>0</v>
      </c>
      <c r="L1474" s="4" t="b">
        <f>AND(((G1474 &lt;&gt; "plain")=TRUE), ((G1474 &lt;&gt; "")=TRUE))</f>
        <v>0</v>
      </c>
      <c r="M1474" s="4" t="str">
        <f>IF(((E1474)=TRUE),  C1474 &amp; "|" &amp; H1474,  "")</f>
        <v>principal-process-steward|RoleAssignments</v>
      </c>
      <c r="N1474" s="3" t="s">
        <v>10004</v>
      </c>
    </row>
    <row r="1475">
      <c r="A1475" s="3" t="s">
        <v>11477</v>
      </c>
      <c r="B1475" s="4" t="str">
        <f>C1475 &amp; " -&gt; " &amp; D1475</f>
        <v>principal-process-steward -&gt; RoleAssignments.HasApprovingAuthority</v>
      </c>
      <c r="C1475" s="3" t="s">
        <v>9772</v>
      </c>
      <c r="D1475" s="3" t="s">
        <v>2642</v>
      </c>
      <c r="E1475" s="3" t="b">
        <v>1</v>
      </c>
      <c r="F1475" s="3" t="b">
        <v>0</v>
      </c>
      <c r="G1475" s="3" t="s">
        <v>10003</v>
      </c>
      <c r="H1475" s="4" t="str">
        <f>_xlfn.IFNA(IF(((INDEX(RulebookFields!C2:C1898, MATCH(D1475,RulebookFields!A2:A1898, 0))="")=TRUE),  "",  INDEX(RulebookFields!C2:C1898, MATCH(D1475,RulebookFields!A2:A1898, 0))), "")</f>
        <v>RoleAssignments</v>
      </c>
      <c r="I1475" s="4" t="str">
        <f>_xlfn.IFNA(IF(((INDEX(RulebookFields!D2:D1898, MATCH(D1475,RulebookFields!A2:A1898, 0))="")=TRUE),  "",  INDEX(RulebookFields!D2:D1898, MATCH(D1475,RulebookFields!A2:A1898, 0))), "")</f>
        <v>HasApprovingAuthority</v>
      </c>
      <c r="J1475" s="4" t="b">
        <f>_xlfn.IFNA(IF(((INDEX(RulebookFields!I2:I1898, MATCH(D1475,RulebookFields!A2:A1898, 0))="")=TRUE),  "",  INDEX(RulebookFields!I2:I1898, MATCH(D1475,RulebookFields!A2:A1898, 0))), "")</f>
        <v>1</v>
      </c>
      <c r="K1475" s="4" t="b">
        <f>AND(((F1475)=TRUE), ((J1475)=TRUE))</f>
        <v>0</v>
      </c>
      <c r="L1475" s="4" t="b">
        <f>AND(((G1475 &lt;&gt; "plain")=TRUE), ((G1475 &lt;&gt; "")=TRUE))</f>
        <v>0</v>
      </c>
      <c r="M1475" s="4" t="str">
        <f>IF(((E1475)=TRUE),  C1475 &amp; "|" &amp; H1475,  "")</f>
        <v>principal-process-steward|RoleAssignments</v>
      </c>
      <c r="N1475" s="3" t="s">
        <v>10004</v>
      </c>
    </row>
    <row r="1476">
      <c r="A1476" s="3" t="s">
        <v>11478</v>
      </c>
      <c r="B1476" s="4" t="str">
        <f>C1476 &amp; " -&gt; " &amp; D1476</f>
        <v>principal-process-steward -&gt; RoleAssignments.HasAuthorizingChangeRequest</v>
      </c>
      <c r="C1476" s="3" t="s">
        <v>9772</v>
      </c>
      <c r="D1476" s="3" t="s">
        <v>2644</v>
      </c>
      <c r="E1476" s="3" t="b">
        <v>1</v>
      </c>
      <c r="F1476" s="3" t="b">
        <v>0</v>
      </c>
      <c r="G1476" s="3" t="s">
        <v>10003</v>
      </c>
      <c r="H1476" s="4" t="str">
        <f>_xlfn.IFNA(IF(((INDEX(RulebookFields!C2:C1898, MATCH(D1476,RulebookFields!A2:A1898, 0))="")=TRUE),  "",  INDEX(RulebookFields!C2:C1898, MATCH(D1476,RulebookFields!A2:A1898, 0))), "")</f>
        <v>RoleAssignments</v>
      </c>
      <c r="I1476" s="4" t="str">
        <f>_xlfn.IFNA(IF(((INDEX(RulebookFields!D2:D1898, MATCH(D1476,RulebookFields!A2:A1898, 0))="")=TRUE),  "",  INDEX(RulebookFields!D2:D1898, MATCH(D1476,RulebookFields!A2:A1898, 0))), "")</f>
        <v>HasAuthorizingChangeRequest</v>
      </c>
      <c r="J1476" s="4" t="b">
        <f>_xlfn.IFNA(IF(((INDEX(RulebookFields!I2:I1898, MATCH(D1476,RulebookFields!A2:A1898, 0))="")=TRUE),  "",  INDEX(RulebookFields!I2:I1898, MATCH(D1476,RulebookFields!A2:A1898, 0))), "")</f>
        <v>1</v>
      </c>
      <c r="K1476" s="4" t="b">
        <f>AND(((F1476)=TRUE), ((J1476)=TRUE))</f>
        <v>0</v>
      </c>
      <c r="L1476" s="4" t="b">
        <f>AND(((G1476 &lt;&gt; "plain")=TRUE), ((G1476 &lt;&gt; "")=TRUE))</f>
        <v>0</v>
      </c>
      <c r="M1476" s="4" t="str">
        <f>IF(((E1476)=TRUE),  C1476 &amp; "|" &amp; H1476,  "")</f>
        <v>principal-process-steward|RoleAssignments</v>
      </c>
      <c r="N1476" s="3" t="s">
        <v>10004</v>
      </c>
    </row>
    <row r="1477">
      <c r="A1477" s="3" t="s">
        <v>11479</v>
      </c>
      <c r="B1477" s="4" t="str">
        <f>C1477 &amp; " -&gt; " &amp; D1477</f>
        <v>principal-process-steward -&gt; RoleAssignments.IsEnforcementRole</v>
      </c>
      <c r="C1477" s="3" t="s">
        <v>9772</v>
      </c>
      <c r="D1477" s="3" t="s">
        <v>2646</v>
      </c>
      <c r="E1477" s="3" t="b">
        <v>1</v>
      </c>
      <c r="F1477" s="3" t="b">
        <v>0</v>
      </c>
      <c r="G1477" s="3" t="s">
        <v>10003</v>
      </c>
      <c r="H1477" s="4" t="str">
        <f>_xlfn.IFNA(IF(((INDEX(RulebookFields!C2:C1898, MATCH(D1477,RulebookFields!A2:A1898, 0))="")=TRUE),  "",  INDEX(RulebookFields!C2:C1898, MATCH(D1477,RulebookFields!A2:A1898, 0))), "")</f>
        <v>RoleAssignments</v>
      </c>
      <c r="I1477" s="4" t="str">
        <f>_xlfn.IFNA(IF(((INDEX(RulebookFields!D2:D1898, MATCH(D1477,RulebookFields!A2:A1898, 0))="")=TRUE),  "",  INDEX(RulebookFields!D2:D1898, MATCH(D1477,RulebookFields!A2:A1898, 0))), "")</f>
        <v>IsEnforcementRole</v>
      </c>
      <c r="J1477" s="4" t="b">
        <f>_xlfn.IFNA(IF(((INDEX(RulebookFields!I2:I1898, MATCH(D1477,RulebookFields!A2:A1898, 0))="")=TRUE),  "",  INDEX(RulebookFields!I2:I1898, MATCH(D1477,RulebookFields!A2:A1898, 0))), "")</f>
        <v>0</v>
      </c>
      <c r="K1477" s="4" t="b">
        <f>AND(((F1477)=TRUE), ((J1477)=TRUE))</f>
        <v>0</v>
      </c>
      <c r="L1477" s="4" t="b">
        <f>AND(((G1477 &lt;&gt; "plain")=TRUE), ((G1477 &lt;&gt; "")=TRUE))</f>
        <v>0</v>
      </c>
      <c r="M1477" s="4" t="str">
        <f>IF(((E1477)=TRUE),  C1477 &amp; "|" &amp; H1477,  "")</f>
        <v>principal-process-steward|RoleAssignments</v>
      </c>
      <c r="N1477" s="3" t="s">
        <v>10004</v>
      </c>
    </row>
    <row r="1478">
      <c r="A1478" s="3" t="s">
        <v>11480</v>
      </c>
      <c r="B1478" s="4" t="str">
        <f>C1478 &amp; " -&gt; " &amp; D1478</f>
        <v>principal-process-steward -&gt; RoleAssignments.IsUnauthorizedEnforcementAgent</v>
      </c>
      <c r="C1478" s="3" t="s">
        <v>9772</v>
      </c>
      <c r="D1478" s="3" t="s">
        <v>2647</v>
      </c>
      <c r="E1478" s="3" t="b">
        <v>1</v>
      </c>
      <c r="F1478" s="3" t="b">
        <v>0</v>
      </c>
      <c r="G1478" s="3" t="s">
        <v>10003</v>
      </c>
      <c r="H1478" s="4" t="str">
        <f>_xlfn.IFNA(IF(((INDEX(RulebookFields!C2:C1898, MATCH(D1478,RulebookFields!A2:A1898, 0))="")=TRUE),  "",  INDEX(RulebookFields!C2:C1898, MATCH(D1478,RulebookFields!A2:A1898, 0))), "")</f>
        <v>RoleAssignments</v>
      </c>
      <c r="I1478" s="4" t="str">
        <f>_xlfn.IFNA(IF(((INDEX(RulebookFields!D2:D1898, MATCH(D1478,RulebookFields!A2:A1898, 0))="")=TRUE),  "",  INDEX(RulebookFields!D2:D1898, MATCH(D1478,RulebookFields!A2:A1898, 0))), "")</f>
        <v>IsUnauthorizedEnforcementAgent</v>
      </c>
      <c r="J1478" s="4" t="b">
        <f>_xlfn.IFNA(IF(((INDEX(RulebookFields!I2:I1898, MATCH(D1478,RulebookFields!A2:A1898, 0))="")=TRUE),  "",  INDEX(RulebookFields!I2:I1898, MATCH(D1478,RulebookFields!A2:A1898, 0))), "")</f>
        <v>1</v>
      </c>
      <c r="K1478" s="4" t="b">
        <f>AND(((F1478)=TRUE), ((J1478)=TRUE))</f>
        <v>0</v>
      </c>
      <c r="L1478" s="4" t="b">
        <f>AND(((G1478 &lt;&gt; "plain")=TRUE), ((G1478 &lt;&gt; "")=TRUE))</f>
        <v>0</v>
      </c>
      <c r="M1478" s="4" t="str">
        <f>IF(((E1478)=TRUE),  C1478 &amp; "|" &amp; H1478,  "")</f>
        <v>principal-process-steward|RoleAssignments</v>
      </c>
      <c r="N1478" s="3" t="s">
        <v>10004</v>
      </c>
    </row>
    <row r="1479">
      <c r="A1479" s="3" t="s">
        <v>11481</v>
      </c>
      <c r="B1479" s="4" t="str">
        <f>C1479 &amp; " -&gt; " &amp; D1479</f>
        <v>principal-process-steward -&gt; RoleAssignments.GovernanceEvidenceCount</v>
      </c>
      <c r="C1479" s="3" t="s">
        <v>9772</v>
      </c>
      <c r="D1479" s="3" t="s">
        <v>2649</v>
      </c>
      <c r="E1479" s="3" t="b">
        <v>1</v>
      </c>
      <c r="F1479" s="3" t="b">
        <v>0</v>
      </c>
      <c r="G1479" s="3" t="s">
        <v>10003</v>
      </c>
      <c r="H1479" s="4" t="str">
        <f>_xlfn.IFNA(IF(((INDEX(RulebookFields!C2:C1898, MATCH(D1479,RulebookFields!A2:A1898, 0))="")=TRUE),  "",  INDEX(RulebookFields!C2:C1898, MATCH(D1479,RulebookFields!A2:A1898, 0))), "")</f>
        <v>RoleAssignments</v>
      </c>
      <c r="I1479" s="4" t="str">
        <f>_xlfn.IFNA(IF(((INDEX(RulebookFields!D2:D1898, MATCH(D1479,RulebookFields!A2:A1898, 0))="")=TRUE),  "",  INDEX(RulebookFields!D2:D1898, MATCH(D1479,RulebookFields!A2:A1898, 0))), "")</f>
        <v>GovernanceEvidenceCount</v>
      </c>
      <c r="J1479" s="4" t="b">
        <f>_xlfn.IFNA(IF(((INDEX(RulebookFields!I2:I1898, MATCH(D1479,RulebookFields!A2:A1898, 0))="")=TRUE),  "",  INDEX(RulebookFields!I2:I1898, MATCH(D1479,RulebookFields!A2:A1898, 0))), "")</f>
        <v>1</v>
      </c>
      <c r="K1479" s="4" t="b">
        <f>AND(((F1479)=TRUE), ((J1479)=TRUE))</f>
        <v>0</v>
      </c>
      <c r="L1479" s="4" t="b">
        <f>AND(((G1479 &lt;&gt; "plain")=TRUE), ((G1479 &lt;&gt; "")=TRUE))</f>
        <v>0</v>
      </c>
      <c r="M1479" s="4" t="str">
        <f>IF(((E1479)=TRUE),  C1479 &amp; "|" &amp; H1479,  "")</f>
        <v>principal-process-steward|RoleAssignments</v>
      </c>
      <c r="N1479" s="3" t="s">
        <v>10004</v>
      </c>
    </row>
    <row r="1480">
      <c r="A1480" s="3" t="s">
        <v>11482</v>
      </c>
      <c r="B1480" s="4" t="str">
        <f>C1480 &amp; " -&gt; " &amp; D1480</f>
        <v>principal-process-steward -&gt; RoleAssignments.UnauthorizedEnforcementRoleKey</v>
      </c>
      <c r="C1480" s="3" t="s">
        <v>9772</v>
      </c>
      <c r="D1480" s="3" t="s">
        <v>2651</v>
      </c>
      <c r="E1480" s="3" t="b">
        <v>1</v>
      </c>
      <c r="F1480" s="3" t="b">
        <v>0</v>
      </c>
      <c r="G1480" s="3" t="s">
        <v>10003</v>
      </c>
      <c r="H1480" s="4" t="str">
        <f>_xlfn.IFNA(IF(((INDEX(RulebookFields!C2:C1898, MATCH(D1480,RulebookFields!A2:A1898, 0))="")=TRUE),  "",  INDEX(RulebookFields!C2:C1898, MATCH(D1480,RulebookFields!A2:A1898, 0))), "")</f>
        <v>RoleAssignments</v>
      </c>
      <c r="I1480" s="4" t="str">
        <f>_xlfn.IFNA(IF(((INDEX(RulebookFields!D2:D1898, MATCH(D1480,RulebookFields!A2:A1898, 0))="")=TRUE),  "",  INDEX(RulebookFields!D2:D1898, MATCH(D1480,RulebookFields!A2:A1898, 0))), "")</f>
        <v>UnauthorizedEnforcementRoleKey</v>
      </c>
      <c r="J1480" s="4" t="b">
        <f>_xlfn.IFNA(IF(((INDEX(RulebookFields!I2:I1898, MATCH(D1480,RulebookFields!A2:A1898, 0))="")=TRUE),  "",  INDEX(RulebookFields!I2:I1898, MATCH(D1480,RulebookFields!A2:A1898, 0))), "")</f>
        <v>1</v>
      </c>
      <c r="K1480" s="4" t="b">
        <f>AND(((F1480)=TRUE), ((J1480)=TRUE))</f>
        <v>0</v>
      </c>
      <c r="L1480" s="4" t="b">
        <f>AND(((G1480 &lt;&gt; "plain")=TRUE), ((G1480 &lt;&gt; "")=TRUE))</f>
        <v>0</v>
      </c>
      <c r="M1480" s="4" t="str">
        <f>IF(((E1480)=TRUE),  C1480 &amp; "|" &amp; H1480,  "")</f>
        <v>principal-process-steward|RoleAssignments</v>
      </c>
      <c r="N1480" s="3" t="s">
        <v>10004</v>
      </c>
    </row>
    <row r="1481">
      <c r="A1481" s="3" t="s">
        <v>11483</v>
      </c>
      <c r="B1481" s="4" t="str">
        <f>C1481 &amp; " -&gt; " &amp; D1481</f>
        <v>principal-process-steward -&gt; RoleAssignments.SemanticTypeIri</v>
      </c>
      <c r="C1481" s="3" t="s">
        <v>9772</v>
      </c>
      <c r="D1481" s="3" t="s">
        <v>2653</v>
      </c>
      <c r="E1481" s="3" t="b">
        <v>1</v>
      </c>
      <c r="F1481" s="3" t="b">
        <v>0</v>
      </c>
      <c r="G1481" s="3" t="s">
        <v>10003</v>
      </c>
      <c r="H1481" s="4" t="str">
        <f>_xlfn.IFNA(IF(((INDEX(RulebookFields!C2:C1898, MATCH(D1481,RulebookFields!A2:A1898, 0))="")=TRUE),  "",  INDEX(RulebookFields!C2:C1898, MATCH(D1481,RulebookFields!A2:A1898, 0))), "")</f>
        <v>RoleAssignments</v>
      </c>
      <c r="I1481" s="4" t="str">
        <f>_xlfn.IFNA(IF(((INDEX(RulebookFields!D2:D1898, MATCH(D1481,RulebookFields!A2:A1898, 0))="")=TRUE),  "",  INDEX(RulebookFields!D2:D1898, MATCH(D1481,RulebookFields!A2:A1898, 0))), "")</f>
        <v>SemanticTypeIri</v>
      </c>
      <c r="J1481" s="4" t="b">
        <f>_xlfn.IFNA(IF(((INDEX(RulebookFields!I2:I1898, MATCH(D1481,RulebookFields!A2:A1898, 0))="")=TRUE),  "",  INDEX(RulebookFields!I2:I1898, MATCH(D1481,RulebookFields!A2:A1898, 0))), "")</f>
        <v>0</v>
      </c>
      <c r="K1481" s="4" t="b">
        <f>AND(((F1481)=TRUE), ((J1481)=TRUE))</f>
        <v>0</v>
      </c>
      <c r="L1481" s="4" t="b">
        <f>AND(((G1481 &lt;&gt; "plain")=TRUE), ((G1481 &lt;&gt; "")=TRUE))</f>
        <v>0</v>
      </c>
      <c r="M1481" s="4" t="str">
        <f>IF(((E1481)=TRUE),  C1481 &amp; "|" &amp; H1481,  "")</f>
        <v>principal-process-steward|RoleAssignments</v>
      </c>
      <c r="N1481" s="3" t="s">
        <v>10004</v>
      </c>
    </row>
    <row r="1482">
      <c r="A1482" s="3" t="s">
        <v>11484</v>
      </c>
      <c r="B1482" s="4" t="str">
        <f>C1482 &amp; " -&gt; " &amp; D1482</f>
        <v>principal-process-steward -&gt; RoleQuestions.RoleQuestionId</v>
      </c>
      <c r="C1482" s="3" t="s">
        <v>9772</v>
      </c>
      <c r="D1482" s="3" t="s">
        <v>4156</v>
      </c>
      <c r="E1482" s="3" t="b">
        <v>1</v>
      </c>
      <c r="F1482" s="3" t="b">
        <v>0</v>
      </c>
      <c r="G1482" s="3" t="s">
        <v>10003</v>
      </c>
      <c r="H1482" s="4" t="str">
        <f>_xlfn.IFNA(IF(((INDEX(RulebookFields!C2:C1898, MATCH(D1482,RulebookFields!A2:A1898, 0))="")=TRUE),  "",  INDEX(RulebookFields!C2:C1898, MATCH(D1482,RulebookFields!A2:A1898, 0))), "")</f>
        <v>RoleQuestions</v>
      </c>
      <c r="I1482" s="4" t="str">
        <f>_xlfn.IFNA(IF(((INDEX(RulebookFields!D2:D1898, MATCH(D1482,RulebookFields!A2:A1898, 0))="")=TRUE),  "",  INDEX(RulebookFields!D2:D1898, MATCH(D1482,RulebookFields!A2:A1898, 0))), "")</f>
        <v>RoleQuestionId</v>
      </c>
      <c r="J1482" s="4" t="b">
        <f>_xlfn.IFNA(IF(((INDEX(RulebookFields!I2:I1898, MATCH(D1482,RulebookFields!A2:A1898, 0))="")=TRUE),  "",  INDEX(RulebookFields!I2:I1898, MATCH(D1482,RulebookFields!A2:A1898, 0))), "")</f>
        <v>0</v>
      </c>
      <c r="K1482" s="4" t="b">
        <f>AND(((F1482)=TRUE), ((J1482)=TRUE))</f>
        <v>0</v>
      </c>
      <c r="L1482" s="4" t="b">
        <f>AND(((G1482 &lt;&gt; "plain")=TRUE), ((G1482 &lt;&gt; "")=TRUE))</f>
        <v>0</v>
      </c>
      <c r="M1482" s="4" t="str">
        <f>IF(((E1482)=TRUE),  C1482 &amp; "|" &amp; H1482,  "")</f>
        <v>principal-process-steward|RoleQuestions</v>
      </c>
      <c r="N1482" s="3" t="s">
        <v>10004</v>
      </c>
    </row>
    <row r="1483">
      <c r="A1483" s="3" t="s">
        <v>11485</v>
      </c>
      <c r="B1483" s="4" t="str">
        <f>C1483 &amp; " -&gt; " &amp; D1483</f>
        <v>principal-process-steward -&gt; RoleQuestions.Name</v>
      </c>
      <c r="C1483" s="3" t="s">
        <v>9772</v>
      </c>
      <c r="D1483" s="3" t="s">
        <v>4158</v>
      </c>
      <c r="E1483" s="3" t="b">
        <v>1</v>
      </c>
      <c r="F1483" s="3" t="b">
        <v>0</v>
      </c>
      <c r="G1483" s="3" t="s">
        <v>10003</v>
      </c>
      <c r="H1483" s="4" t="str">
        <f>_xlfn.IFNA(IF(((INDEX(RulebookFields!C2:C1898, MATCH(D1483,RulebookFields!A2:A1898, 0))="")=TRUE),  "",  INDEX(RulebookFields!C2:C1898, MATCH(D1483,RulebookFields!A2:A1898, 0))), "")</f>
        <v>RoleQuestions</v>
      </c>
      <c r="I1483" s="4" t="str">
        <f>_xlfn.IFNA(IF(((INDEX(RulebookFields!D2:D1898, MATCH(D1483,RulebookFields!A2:A1898, 0))="")=TRUE),  "",  INDEX(RulebookFields!D2:D1898, MATCH(D1483,RulebookFields!A2:A1898, 0))), "")</f>
        <v>Name</v>
      </c>
      <c r="J1483" s="4" t="b">
        <f>_xlfn.IFNA(IF(((INDEX(RulebookFields!I2:I1898, MATCH(D1483,RulebookFields!A2:A1898, 0))="")=TRUE),  "",  INDEX(RulebookFields!I2:I1898, MATCH(D1483,RulebookFields!A2:A1898, 0))), "")</f>
        <v>1</v>
      </c>
      <c r="K1483" s="4" t="b">
        <f>AND(((F1483)=TRUE), ((J1483)=TRUE))</f>
        <v>0</v>
      </c>
      <c r="L1483" s="4" t="b">
        <f>AND(((G1483 &lt;&gt; "plain")=TRUE), ((G1483 &lt;&gt; "")=TRUE))</f>
        <v>0</v>
      </c>
      <c r="M1483" s="4" t="str">
        <f>IF(((E1483)=TRUE),  C1483 &amp; "|" &amp; H1483,  "")</f>
        <v>principal-process-steward|RoleQuestions</v>
      </c>
      <c r="N1483" s="3" t="s">
        <v>10004</v>
      </c>
    </row>
    <row r="1484">
      <c r="A1484" s="3" t="s">
        <v>11486</v>
      </c>
      <c r="B1484" s="4" t="str">
        <f>C1484 &amp; " -&gt; " &amp; D1484</f>
        <v>principal-process-steward -&gt; RoleQuestions.AskingRole</v>
      </c>
      <c r="C1484" s="3" t="s">
        <v>9772</v>
      </c>
      <c r="D1484" s="3" t="s">
        <v>4160</v>
      </c>
      <c r="E1484" s="3" t="b">
        <v>1</v>
      </c>
      <c r="F1484" s="3" t="b">
        <v>0</v>
      </c>
      <c r="G1484" s="3" t="s">
        <v>10003</v>
      </c>
      <c r="H1484" s="4" t="str">
        <f>_xlfn.IFNA(IF(((INDEX(RulebookFields!C2:C1898, MATCH(D1484,RulebookFields!A2:A1898, 0))="")=TRUE),  "",  INDEX(RulebookFields!C2:C1898, MATCH(D1484,RulebookFields!A2:A1898, 0))), "")</f>
        <v>RoleQuestions</v>
      </c>
      <c r="I1484" s="4" t="str">
        <f>_xlfn.IFNA(IF(((INDEX(RulebookFields!D2:D1898, MATCH(D1484,RulebookFields!A2:A1898, 0))="")=TRUE),  "",  INDEX(RulebookFields!D2:D1898, MATCH(D1484,RulebookFields!A2:A1898, 0))), "")</f>
        <v>AskingRole</v>
      </c>
      <c r="J1484" s="4" t="b">
        <f>_xlfn.IFNA(IF(((INDEX(RulebookFields!I2:I1898, MATCH(D1484,RulebookFields!A2:A1898, 0))="")=TRUE),  "",  INDEX(RulebookFields!I2:I1898, MATCH(D1484,RulebookFields!A2:A1898, 0))), "")</f>
        <v>0</v>
      </c>
      <c r="K1484" s="4" t="b">
        <f>AND(((F1484)=TRUE), ((J1484)=TRUE))</f>
        <v>0</v>
      </c>
      <c r="L1484" s="4" t="b">
        <f>AND(((G1484 &lt;&gt; "plain")=TRUE), ((G1484 &lt;&gt; "")=TRUE))</f>
        <v>0</v>
      </c>
      <c r="M1484" s="4" t="str">
        <f>IF(((E1484)=TRUE),  C1484 &amp; "|" &amp; H1484,  "")</f>
        <v>principal-process-steward|RoleQuestions</v>
      </c>
      <c r="N1484" s="3" t="s">
        <v>10004</v>
      </c>
    </row>
    <row r="1485">
      <c r="A1485" s="3" t="s">
        <v>11487</v>
      </c>
      <c r="B1485" s="4" t="str">
        <f>C1485 &amp; " -&gt; " &amp; D1485</f>
        <v>principal-process-steward -&gt; RoleQuestions.WitnessLoop</v>
      </c>
      <c r="C1485" s="3" t="s">
        <v>9772</v>
      </c>
      <c r="D1485" s="3" t="s">
        <v>4161</v>
      </c>
      <c r="E1485" s="3" t="b">
        <v>1</v>
      </c>
      <c r="F1485" s="3" t="b">
        <v>0</v>
      </c>
      <c r="G1485" s="3" t="s">
        <v>10003</v>
      </c>
      <c r="H1485" s="4" t="str">
        <f>_xlfn.IFNA(IF(((INDEX(RulebookFields!C2:C1898, MATCH(D1485,RulebookFields!A2:A1898, 0))="")=TRUE),  "",  INDEX(RulebookFields!C2:C1898, MATCH(D1485,RulebookFields!A2:A1898, 0))), "")</f>
        <v>RoleQuestions</v>
      </c>
      <c r="I1485" s="4" t="str">
        <f>_xlfn.IFNA(IF(((INDEX(RulebookFields!D2:D1898, MATCH(D1485,RulebookFields!A2:A1898, 0))="")=TRUE),  "",  INDEX(RulebookFields!D2:D1898, MATCH(D1485,RulebookFields!A2:A1898, 0))), "")</f>
        <v>WitnessLoop</v>
      </c>
      <c r="J1485" s="4" t="b">
        <f>_xlfn.IFNA(IF(((INDEX(RulebookFields!I2:I1898, MATCH(D1485,RulebookFields!A2:A1898, 0))="")=TRUE),  "",  INDEX(RulebookFields!I2:I1898, MATCH(D1485,RulebookFields!A2:A1898, 0))), "")</f>
        <v>0</v>
      </c>
      <c r="K1485" s="4" t="b">
        <f>AND(((F1485)=TRUE), ((J1485)=TRUE))</f>
        <v>0</v>
      </c>
      <c r="L1485" s="4" t="b">
        <f>AND(((G1485 &lt;&gt; "plain")=TRUE), ((G1485 &lt;&gt; "")=TRUE))</f>
        <v>0</v>
      </c>
      <c r="M1485" s="4" t="str">
        <f>IF(((E1485)=TRUE),  C1485 &amp; "|" &amp; H1485,  "")</f>
        <v>principal-process-steward|RoleQuestions</v>
      </c>
      <c r="N1485" s="3" t="s">
        <v>10004</v>
      </c>
    </row>
    <row r="1486">
      <c r="A1486" s="3" t="s">
        <v>11488</v>
      </c>
      <c r="B1486" s="4" t="str">
        <f>C1486 &amp; " -&gt; " &amp; D1486</f>
        <v>principal-process-steward -&gt; RoleQuestions.QuestionText</v>
      </c>
      <c r="C1486" s="3" t="s">
        <v>9772</v>
      </c>
      <c r="D1486" s="3" t="s">
        <v>4162</v>
      </c>
      <c r="E1486" s="3" t="b">
        <v>1</v>
      </c>
      <c r="F1486" s="3" t="b">
        <v>0</v>
      </c>
      <c r="G1486" s="3" t="s">
        <v>10003</v>
      </c>
      <c r="H1486" s="4" t="str">
        <f>_xlfn.IFNA(IF(((INDEX(RulebookFields!C2:C1898, MATCH(D1486,RulebookFields!A2:A1898, 0))="")=TRUE),  "",  INDEX(RulebookFields!C2:C1898, MATCH(D1486,RulebookFields!A2:A1898, 0))), "")</f>
        <v>RoleQuestions</v>
      </c>
      <c r="I1486" s="4" t="str">
        <f>_xlfn.IFNA(IF(((INDEX(RulebookFields!D2:D1898, MATCH(D1486,RulebookFields!A2:A1898, 0))="")=TRUE),  "",  INDEX(RulebookFields!D2:D1898, MATCH(D1486,RulebookFields!A2:A1898, 0))), "")</f>
        <v>QuestionText</v>
      </c>
      <c r="J1486" s="4" t="b">
        <f>_xlfn.IFNA(IF(((INDEX(RulebookFields!I2:I1898, MATCH(D1486,RulebookFields!A2:A1898, 0))="")=TRUE),  "",  INDEX(RulebookFields!I2:I1898, MATCH(D1486,RulebookFields!A2:A1898, 0))), "")</f>
        <v>0</v>
      </c>
      <c r="K1486" s="4" t="b">
        <f>AND(((F1486)=TRUE), ((J1486)=TRUE))</f>
        <v>0</v>
      </c>
      <c r="L1486" s="4" t="b">
        <f>AND(((G1486 &lt;&gt; "plain")=TRUE), ((G1486 &lt;&gt; "")=TRUE))</f>
        <v>0</v>
      </c>
      <c r="M1486" s="4" t="str">
        <f>IF(((E1486)=TRUE),  C1486 &amp; "|" &amp; H1486,  "")</f>
        <v>principal-process-steward|RoleQuestions</v>
      </c>
      <c r="N1486" s="3" t="s">
        <v>10004</v>
      </c>
    </row>
    <row r="1487">
      <c r="A1487" s="3" t="s">
        <v>11489</v>
      </c>
      <c r="B1487" s="4" t="str">
        <f>C1487 &amp; " -&gt; " &amp; D1487</f>
        <v>principal-process-steward -&gt; RoleQuestions.WhyItMatters</v>
      </c>
      <c r="C1487" s="3" t="s">
        <v>9772</v>
      </c>
      <c r="D1487" s="3" t="s">
        <v>4163</v>
      </c>
      <c r="E1487" s="3" t="b">
        <v>1</v>
      </c>
      <c r="F1487" s="3" t="b">
        <v>0</v>
      </c>
      <c r="G1487" s="3" t="s">
        <v>10003</v>
      </c>
      <c r="H1487" s="4" t="str">
        <f>_xlfn.IFNA(IF(((INDEX(RulebookFields!C2:C1898, MATCH(D1487,RulebookFields!A2:A1898, 0))="")=TRUE),  "",  INDEX(RulebookFields!C2:C1898, MATCH(D1487,RulebookFields!A2:A1898, 0))), "")</f>
        <v>RoleQuestions</v>
      </c>
      <c r="I1487" s="4" t="str">
        <f>_xlfn.IFNA(IF(((INDEX(RulebookFields!D2:D1898, MATCH(D1487,RulebookFields!A2:A1898, 0))="")=TRUE),  "",  INDEX(RulebookFields!D2:D1898, MATCH(D1487,RulebookFields!A2:A1898, 0))), "")</f>
        <v>WhyItMatters</v>
      </c>
      <c r="J1487" s="4" t="b">
        <f>_xlfn.IFNA(IF(((INDEX(RulebookFields!I2:I1898, MATCH(D1487,RulebookFields!A2:A1898, 0))="")=TRUE),  "",  INDEX(RulebookFields!I2:I1898, MATCH(D1487,RulebookFields!A2:A1898, 0))), "")</f>
        <v>0</v>
      </c>
      <c r="K1487" s="4" t="b">
        <f>AND(((F1487)=TRUE), ((J1487)=TRUE))</f>
        <v>0</v>
      </c>
      <c r="L1487" s="4" t="b">
        <f>AND(((G1487 &lt;&gt; "plain")=TRUE), ((G1487 &lt;&gt; "")=TRUE))</f>
        <v>0</v>
      </c>
      <c r="M1487" s="4" t="str">
        <f>IF(((E1487)=TRUE),  C1487 &amp; "|" &amp; H1487,  "")</f>
        <v>principal-process-steward|RoleQuestions</v>
      </c>
      <c r="N1487" s="3" t="s">
        <v>10004</v>
      </c>
    </row>
    <row r="1488">
      <c r="A1488" s="3" t="s">
        <v>11490</v>
      </c>
      <c r="B1488" s="4" t="str">
        <f>C1488 &amp; " -&gt; " &amp; D1488</f>
        <v>principal-process-steward -&gt; RoleQuestions.AnswerableBefore</v>
      </c>
      <c r="C1488" s="3" t="s">
        <v>9772</v>
      </c>
      <c r="D1488" s="3" t="s">
        <v>4164</v>
      </c>
      <c r="E1488" s="3" t="b">
        <v>1</v>
      </c>
      <c r="F1488" s="3" t="b">
        <v>0</v>
      </c>
      <c r="G1488" s="3" t="s">
        <v>10003</v>
      </c>
      <c r="H1488" s="4" t="str">
        <f>_xlfn.IFNA(IF(((INDEX(RulebookFields!C2:C1898, MATCH(D1488,RulebookFields!A2:A1898, 0))="")=TRUE),  "",  INDEX(RulebookFields!C2:C1898, MATCH(D1488,RulebookFields!A2:A1898, 0))), "")</f>
        <v>RoleQuestions</v>
      </c>
      <c r="I1488" s="4" t="str">
        <f>_xlfn.IFNA(IF(((INDEX(RulebookFields!D2:D1898, MATCH(D1488,RulebookFields!A2:A1898, 0))="")=TRUE),  "",  INDEX(RulebookFields!D2:D1898, MATCH(D1488,RulebookFields!A2:A1898, 0))), "")</f>
        <v>AnswerableBefore</v>
      </c>
      <c r="J1488" s="4" t="b">
        <f>_xlfn.IFNA(IF(((INDEX(RulebookFields!I2:I1898, MATCH(D1488,RulebookFields!A2:A1898, 0))="")=TRUE),  "",  INDEX(RulebookFields!I2:I1898, MATCH(D1488,RulebookFields!A2:A1898, 0))), "")</f>
        <v>0</v>
      </c>
      <c r="K1488" s="4" t="b">
        <f>AND(((F1488)=TRUE), ((J1488)=TRUE))</f>
        <v>0</v>
      </c>
      <c r="L1488" s="4" t="b">
        <f>AND(((G1488 &lt;&gt; "plain")=TRUE), ((G1488 &lt;&gt; "")=TRUE))</f>
        <v>0</v>
      </c>
      <c r="M1488" s="4" t="str">
        <f>IF(((E1488)=TRUE),  C1488 &amp; "|" &amp; H1488,  "")</f>
        <v>principal-process-steward|RoleQuestions</v>
      </c>
      <c r="N1488" s="3" t="s">
        <v>10004</v>
      </c>
    </row>
    <row r="1489">
      <c r="A1489" s="3" t="s">
        <v>11491</v>
      </c>
      <c r="B1489" s="4" t="str">
        <f>C1489 &amp; " -&gt; " &amp; D1489</f>
        <v>principal-process-steward -&gt; RoleQuestions.PredicateCount</v>
      </c>
      <c r="C1489" s="3" t="s">
        <v>9772</v>
      </c>
      <c r="D1489" s="3" t="s">
        <v>4165</v>
      </c>
      <c r="E1489" s="3" t="b">
        <v>1</v>
      </c>
      <c r="F1489" s="3" t="b">
        <v>0</v>
      </c>
      <c r="G1489" s="3" t="s">
        <v>10003</v>
      </c>
      <c r="H1489" s="4" t="str">
        <f>_xlfn.IFNA(IF(((INDEX(RulebookFields!C2:C1898, MATCH(D1489,RulebookFields!A2:A1898, 0))="")=TRUE),  "",  INDEX(RulebookFields!C2:C1898, MATCH(D1489,RulebookFields!A2:A1898, 0))), "")</f>
        <v>RoleQuestions</v>
      </c>
      <c r="I1489" s="4" t="str">
        <f>_xlfn.IFNA(IF(((INDEX(RulebookFields!D2:D1898, MATCH(D1489,RulebookFields!A2:A1898, 0))="")=TRUE),  "",  INDEX(RulebookFields!D2:D1898, MATCH(D1489,RulebookFields!A2:A1898, 0))), "")</f>
        <v>PredicateCount</v>
      </c>
      <c r="J1489" s="4" t="b">
        <f>_xlfn.IFNA(IF(((INDEX(RulebookFields!I2:I1898, MATCH(D1489,RulebookFields!A2:A1898, 0))="")=TRUE),  "",  INDEX(RulebookFields!I2:I1898, MATCH(D1489,RulebookFields!A2:A1898, 0))), "")</f>
        <v>1</v>
      </c>
      <c r="K1489" s="4" t="b">
        <f>AND(((F1489)=TRUE), ((J1489)=TRUE))</f>
        <v>0</v>
      </c>
      <c r="L1489" s="4" t="b">
        <f>AND(((G1489 &lt;&gt; "plain")=TRUE), ((G1489 &lt;&gt; "")=TRUE))</f>
        <v>0</v>
      </c>
      <c r="M1489" s="4" t="str">
        <f>IF(((E1489)=TRUE),  C1489 &amp; "|" &amp; H1489,  "")</f>
        <v>principal-process-steward|RoleQuestions</v>
      </c>
      <c r="N1489" s="3" t="s">
        <v>10004</v>
      </c>
    </row>
    <row r="1490">
      <c r="A1490" s="3" t="s">
        <v>11492</v>
      </c>
      <c r="B1490" s="4" t="str">
        <f>C1490 &amp; " -&gt; " &amp; D1490</f>
        <v>principal-process-steward -&gt; RoleQuestions.IsAnswered</v>
      </c>
      <c r="C1490" s="3" t="s">
        <v>9772</v>
      </c>
      <c r="D1490" s="3" t="s">
        <v>4167</v>
      </c>
      <c r="E1490" s="3" t="b">
        <v>1</v>
      </c>
      <c r="F1490" s="3" t="b">
        <v>0</v>
      </c>
      <c r="G1490" s="3" t="s">
        <v>10003</v>
      </c>
      <c r="H1490" s="4" t="str">
        <f>_xlfn.IFNA(IF(((INDEX(RulebookFields!C2:C1898, MATCH(D1490,RulebookFields!A2:A1898, 0))="")=TRUE),  "",  INDEX(RulebookFields!C2:C1898, MATCH(D1490,RulebookFields!A2:A1898, 0))), "")</f>
        <v>RoleQuestions</v>
      </c>
      <c r="I1490" s="4" t="str">
        <f>_xlfn.IFNA(IF(((INDEX(RulebookFields!D2:D1898, MATCH(D1490,RulebookFields!A2:A1898, 0))="")=TRUE),  "",  INDEX(RulebookFields!D2:D1898, MATCH(D1490,RulebookFields!A2:A1898, 0))), "")</f>
        <v>IsAnswered</v>
      </c>
      <c r="J1490" s="4" t="b">
        <f>_xlfn.IFNA(IF(((INDEX(RulebookFields!I2:I1898, MATCH(D1490,RulebookFields!A2:A1898, 0))="")=TRUE),  "",  INDEX(RulebookFields!I2:I1898, MATCH(D1490,RulebookFields!A2:A1898, 0))), "")</f>
        <v>1</v>
      </c>
      <c r="K1490" s="4" t="b">
        <f>AND(((F1490)=TRUE), ((J1490)=TRUE))</f>
        <v>0</v>
      </c>
      <c r="L1490" s="4" t="b">
        <f>AND(((G1490 &lt;&gt; "plain")=TRUE), ((G1490 &lt;&gt; "")=TRUE))</f>
        <v>0</v>
      </c>
      <c r="M1490" s="4" t="str">
        <f>IF(((E1490)=TRUE),  C1490 &amp; "|" &amp; H1490,  "")</f>
        <v>principal-process-steward|RoleQuestions</v>
      </c>
      <c r="N1490" s="3" t="s">
        <v>10004</v>
      </c>
    </row>
    <row r="1491">
      <c r="A1491" s="3" t="s">
        <v>11493</v>
      </c>
      <c r="B1491" s="4" t="str">
        <f>C1491 &amp; " -&gt; " &amp; D1491</f>
        <v>principal-process-steward -&gt; RoleQuestions.WitnessedAnswer</v>
      </c>
      <c r="C1491" s="3" t="s">
        <v>9772</v>
      </c>
      <c r="D1491" s="3" t="s">
        <v>4169</v>
      </c>
      <c r="E1491" s="3" t="b">
        <v>1</v>
      </c>
      <c r="F1491" s="3" t="b">
        <v>0</v>
      </c>
      <c r="G1491" s="3" t="s">
        <v>10003</v>
      </c>
      <c r="H1491" s="4" t="str">
        <f>_xlfn.IFNA(IF(((INDEX(RulebookFields!C2:C1898, MATCH(D1491,RulebookFields!A2:A1898, 0))="")=TRUE),  "",  INDEX(RulebookFields!C2:C1898, MATCH(D1491,RulebookFields!A2:A1898, 0))), "")</f>
        <v>RoleQuestions</v>
      </c>
      <c r="I1491" s="4" t="str">
        <f>_xlfn.IFNA(IF(((INDEX(RulebookFields!D2:D1898, MATCH(D1491,RulebookFields!A2:A1898, 0))="")=TRUE),  "",  INDEX(RulebookFields!D2:D1898, MATCH(D1491,RulebookFields!A2:A1898, 0))), "")</f>
        <v>WitnessedAnswer</v>
      </c>
      <c r="J1491" s="4" t="b">
        <f>_xlfn.IFNA(IF(((INDEX(RulebookFields!I2:I1898, MATCH(D1491,RulebookFields!A2:A1898, 0))="")=TRUE),  "",  INDEX(RulebookFields!I2:I1898, MATCH(D1491,RulebookFields!A2:A1898, 0))), "")</f>
        <v>0</v>
      </c>
      <c r="K1491" s="4" t="b">
        <f>AND(((F1491)=TRUE), ((J1491)=TRUE))</f>
        <v>0</v>
      </c>
      <c r="L1491" s="4" t="b">
        <f>AND(((G1491 &lt;&gt; "plain")=TRUE), ((G1491 &lt;&gt; "")=TRUE))</f>
        <v>0</v>
      </c>
      <c r="M1491" s="4" t="str">
        <f>IF(((E1491)=TRUE),  C1491 &amp; "|" &amp; H1491,  "")</f>
        <v>principal-process-steward|RoleQuestions</v>
      </c>
      <c r="N1491" s="3" t="s">
        <v>10004</v>
      </c>
    </row>
    <row r="1492">
      <c r="A1492" s="3" t="s">
        <v>11494</v>
      </c>
      <c r="B1492" s="4" t="str">
        <f>C1492 &amp; " -&gt; " &amp; D1492</f>
        <v>principal-process-steward -&gt; RoleQuestions.SemanticTypeIri</v>
      </c>
      <c r="C1492" s="3" t="s">
        <v>9772</v>
      </c>
      <c r="D1492" s="3" t="s">
        <v>4170</v>
      </c>
      <c r="E1492" s="3" t="b">
        <v>1</v>
      </c>
      <c r="F1492" s="3" t="b">
        <v>0</v>
      </c>
      <c r="G1492" s="3" t="s">
        <v>10003</v>
      </c>
      <c r="H1492" s="4" t="str">
        <f>_xlfn.IFNA(IF(((INDEX(RulebookFields!C2:C1898, MATCH(D1492,RulebookFields!A2:A1898, 0))="")=TRUE),  "",  INDEX(RulebookFields!C2:C1898, MATCH(D1492,RulebookFields!A2:A1898, 0))), "")</f>
        <v>RoleQuestions</v>
      </c>
      <c r="I1492" s="4" t="str">
        <f>_xlfn.IFNA(IF(((INDEX(RulebookFields!D2:D1898, MATCH(D1492,RulebookFields!A2:A1898, 0))="")=TRUE),  "",  INDEX(RulebookFields!D2:D1898, MATCH(D1492,RulebookFields!A2:A1898, 0))), "")</f>
        <v>SemanticTypeIri</v>
      </c>
      <c r="J1492" s="4" t="b">
        <f>_xlfn.IFNA(IF(((INDEX(RulebookFields!I2:I1898, MATCH(D1492,RulebookFields!A2:A1898, 0))="")=TRUE),  "",  INDEX(RulebookFields!I2:I1898, MATCH(D1492,RulebookFields!A2:A1898, 0))), "")</f>
        <v>0</v>
      </c>
      <c r="K1492" s="4" t="b">
        <f>AND(((F1492)=TRUE), ((J1492)=TRUE))</f>
        <v>0</v>
      </c>
      <c r="L1492" s="4" t="b">
        <f>AND(((G1492 &lt;&gt; "plain")=TRUE), ((G1492 &lt;&gt; "")=TRUE))</f>
        <v>0</v>
      </c>
      <c r="M1492" s="4" t="str">
        <f>IF(((E1492)=TRUE),  C1492 &amp; "|" &amp; H1492,  "")</f>
        <v>principal-process-steward|RoleQuestions</v>
      </c>
      <c r="N1492" s="3" t="s">
        <v>10004</v>
      </c>
    </row>
    <row r="1493">
      <c r="A1493" s="3" t="s">
        <v>11495</v>
      </c>
      <c r="B1493" s="4" t="str">
        <f>C1493 &amp; " -&gt; " &amp; D1493</f>
        <v>principal-process-steward -&gt; Roles.RoleId</v>
      </c>
      <c r="C1493" s="3" t="s">
        <v>9772</v>
      </c>
      <c r="D1493" s="3" t="s">
        <v>2502</v>
      </c>
      <c r="E1493" s="3" t="b">
        <v>1</v>
      </c>
      <c r="F1493" s="3" t="b">
        <v>0</v>
      </c>
      <c r="G1493" s="3" t="s">
        <v>10003</v>
      </c>
      <c r="H1493" s="4" t="str">
        <f>_xlfn.IFNA(IF(((INDEX(RulebookFields!C2:C1898, MATCH(D1493,RulebookFields!A2:A1898, 0))="")=TRUE),  "",  INDEX(RulebookFields!C2:C1898, MATCH(D1493,RulebookFields!A2:A1898, 0))), "")</f>
        <v>Roles</v>
      </c>
      <c r="I1493" s="4" t="str">
        <f>_xlfn.IFNA(IF(((INDEX(RulebookFields!D2:D1898, MATCH(D1493,RulebookFields!A2:A1898, 0))="")=TRUE),  "",  INDEX(RulebookFields!D2:D1898, MATCH(D1493,RulebookFields!A2:A1898, 0))), "")</f>
        <v>RoleId</v>
      </c>
      <c r="J1493" s="4" t="b">
        <f>_xlfn.IFNA(IF(((INDEX(RulebookFields!I2:I1898, MATCH(D1493,RulebookFields!A2:A1898, 0))="")=TRUE),  "",  INDEX(RulebookFields!I2:I1898, MATCH(D1493,RulebookFields!A2:A1898, 0))), "")</f>
        <v>0</v>
      </c>
      <c r="K1493" s="4" t="b">
        <f>AND(((F1493)=TRUE), ((J1493)=TRUE))</f>
        <v>0</v>
      </c>
      <c r="L1493" s="4" t="b">
        <f>AND(((G1493 &lt;&gt; "plain")=TRUE), ((G1493 &lt;&gt; "")=TRUE))</f>
        <v>0</v>
      </c>
      <c r="M1493" s="4" t="str">
        <f>IF(((E1493)=TRUE),  C1493 &amp; "|" &amp; H1493,  "")</f>
        <v>principal-process-steward|Roles</v>
      </c>
      <c r="N1493" s="3" t="s">
        <v>10004</v>
      </c>
    </row>
    <row r="1494">
      <c r="A1494" s="3" t="s">
        <v>11496</v>
      </c>
      <c r="B1494" s="4" t="str">
        <f>C1494 &amp; " -&gt; " &amp; D1494</f>
        <v>principal-process-steward -&gt; Roles.Name</v>
      </c>
      <c r="C1494" s="3" t="s">
        <v>9772</v>
      </c>
      <c r="D1494" s="3" t="s">
        <v>2503</v>
      </c>
      <c r="E1494" s="3" t="b">
        <v>1</v>
      </c>
      <c r="F1494" s="3" t="b">
        <v>0</v>
      </c>
      <c r="G1494" s="3" t="s">
        <v>10003</v>
      </c>
      <c r="H1494" s="4" t="str">
        <f>_xlfn.IFNA(IF(((INDEX(RulebookFields!C2:C1898, MATCH(D1494,RulebookFields!A2:A1898, 0))="")=TRUE),  "",  INDEX(RulebookFields!C2:C1898, MATCH(D1494,RulebookFields!A2:A1898, 0))), "")</f>
        <v>Roles</v>
      </c>
      <c r="I1494" s="4" t="str">
        <f>_xlfn.IFNA(IF(((INDEX(RulebookFields!D2:D1898, MATCH(D1494,RulebookFields!A2:A1898, 0))="")=TRUE),  "",  INDEX(RulebookFields!D2:D1898, MATCH(D1494,RulebookFields!A2:A1898, 0))), "")</f>
        <v>Name</v>
      </c>
      <c r="J1494" s="4" t="b">
        <f>_xlfn.IFNA(IF(((INDEX(RulebookFields!I2:I1898, MATCH(D1494,RulebookFields!A2:A1898, 0))="")=TRUE),  "",  INDEX(RulebookFields!I2:I1898, MATCH(D1494,RulebookFields!A2:A1898, 0))), "")</f>
        <v>1</v>
      </c>
      <c r="K1494" s="4" t="b">
        <f>AND(((F1494)=TRUE), ((J1494)=TRUE))</f>
        <v>0</v>
      </c>
      <c r="L1494" s="4" t="b">
        <f>AND(((G1494 &lt;&gt; "plain")=TRUE), ((G1494 &lt;&gt; "")=TRUE))</f>
        <v>0</v>
      </c>
      <c r="M1494" s="4" t="str">
        <f>IF(((E1494)=TRUE),  C1494 &amp; "|" &amp; H1494,  "")</f>
        <v>principal-process-steward|Roles</v>
      </c>
      <c r="N1494" s="3" t="s">
        <v>10004</v>
      </c>
    </row>
    <row r="1495">
      <c r="A1495" s="3" t="s">
        <v>11497</v>
      </c>
      <c r="B1495" s="4" t="str">
        <f>C1495 &amp; " -&gt; " &amp; D1495</f>
        <v>principal-process-steward -&gt; Roles.Label</v>
      </c>
      <c r="C1495" s="3" t="s">
        <v>9772</v>
      </c>
      <c r="D1495" s="3" t="s">
        <v>2505</v>
      </c>
      <c r="E1495" s="3" t="b">
        <v>1</v>
      </c>
      <c r="F1495" s="3" t="b">
        <v>0</v>
      </c>
      <c r="G1495" s="3" t="s">
        <v>10003</v>
      </c>
      <c r="H1495" s="4" t="str">
        <f>_xlfn.IFNA(IF(((INDEX(RulebookFields!C2:C1898, MATCH(D1495,RulebookFields!A2:A1898, 0))="")=TRUE),  "",  INDEX(RulebookFields!C2:C1898, MATCH(D1495,RulebookFields!A2:A1898, 0))), "")</f>
        <v>Roles</v>
      </c>
      <c r="I1495" s="4" t="str">
        <f>_xlfn.IFNA(IF(((INDEX(RulebookFields!D2:D1898, MATCH(D1495,RulebookFields!A2:A1898, 0))="")=TRUE),  "",  INDEX(RulebookFields!D2:D1898, MATCH(D1495,RulebookFields!A2:A1898, 0))), "")</f>
        <v>Label</v>
      </c>
      <c r="J1495" s="4" t="b">
        <f>_xlfn.IFNA(IF(((INDEX(RulebookFields!I2:I1898, MATCH(D1495,RulebookFields!A2:A1898, 0))="")=TRUE),  "",  INDEX(RulebookFields!I2:I1898, MATCH(D1495,RulebookFields!A2:A1898, 0))), "")</f>
        <v>0</v>
      </c>
      <c r="K1495" s="4" t="b">
        <f>AND(((F1495)=TRUE), ((J1495)=TRUE))</f>
        <v>0</v>
      </c>
      <c r="L1495" s="4" t="b">
        <f>AND(((G1495 &lt;&gt; "plain")=TRUE), ((G1495 &lt;&gt; "")=TRUE))</f>
        <v>0</v>
      </c>
      <c r="M1495" s="4" t="str">
        <f>IF(((E1495)=TRUE),  C1495 &amp; "|" &amp; H1495,  "")</f>
        <v>principal-process-steward|Roles</v>
      </c>
      <c r="N1495" s="3" t="s">
        <v>10004</v>
      </c>
    </row>
    <row r="1496">
      <c r="A1496" s="3" t="s">
        <v>11498</v>
      </c>
      <c r="B1496" s="4" t="str">
        <f>C1496 &amp; " -&gt; " &amp; D1496</f>
        <v>principal-process-steward -&gt; Roles.Organization</v>
      </c>
      <c r="C1496" s="3" t="s">
        <v>9772</v>
      </c>
      <c r="D1496" s="3" t="s">
        <v>2506</v>
      </c>
      <c r="E1496" s="3" t="b">
        <v>1</v>
      </c>
      <c r="F1496" s="3" t="b">
        <v>0</v>
      </c>
      <c r="G1496" s="3" t="s">
        <v>10003</v>
      </c>
      <c r="H1496" s="4" t="str">
        <f>_xlfn.IFNA(IF(((INDEX(RulebookFields!C2:C1898, MATCH(D1496,RulebookFields!A2:A1898, 0))="")=TRUE),  "",  INDEX(RulebookFields!C2:C1898, MATCH(D1496,RulebookFields!A2:A1898, 0))), "")</f>
        <v>Roles</v>
      </c>
      <c r="I1496" s="4" t="str">
        <f>_xlfn.IFNA(IF(((INDEX(RulebookFields!D2:D1898, MATCH(D1496,RulebookFields!A2:A1898, 0))="")=TRUE),  "",  INDEX(RulebookFields!D2:D1898, MATCH(D1496,RulebookFields!A2:A1898, 0))), "")</f>
        <v>Organization</v>
      </c>
      <c r="J1496" s="4" t="b">
        <f>_xlfn.IFNA(IF(((INDEX(RulebookFields!I2:I1898, MATCH(D1496,RulebookFields!A2:A1898, 0))="")=TRUE),  "",  INDEX(RulebookFields!I2:I1898, MATCH(D1496,RulebookFields!A2:A1898, 0))), "")</f>
        <v>0</v>
      </c>
      <c r="K1496" s="4" t="b">
        <f>AND(((F1496)=TRUE), ((J1496)=TRUE))</f>
        <v>0</v>
      </c>
      <c r="L1496" s="4" t="b">
        <f>AND(((G1496 &lt;&gt; "plain")=TRUE), ((G1496 &lt;&gt; "")=TRUE))</f>
        <v>0</v>
      </c>
      <c r="M1496" s="4" t="str">
        <f>IF(((E1496)=TRUE),  C1496 &amp; "|" &amp; H1496,  "")</f>
        <v>principal-process-steward|Roles</v>
      </c>
      <c r="N1496" s="3" t="s">
        <v>10004</v>
      </c>
    </row>
    <row r="1497">
      <c r="A1497" s="3" t="s">
        <v>11499</v>
      </c>
      <c r="B1497" s="4" t="str">
        <f>C1497 &amp; " -&gt; " &amp; D1497</f>
        <v>principal-process-steward -&gt; Roles.CurrentAgent</v>
      </c>
      <c r="C1497" s="3" t="s">
        <v>9772</v>
      </c>
      <c r="D1497" s="3" t="s">
        <v>2507</v>
      </c>
      <c r="E1497" s="3" t="b">
        <v>1</v>
      </c>
      <c r="F1497" s="3" t="b">
        <v>0</v>
      </c>
      <c r="G1497" s="3" t="s">
        <v>10003</v>
      </c>
      <c r="H1497" s="4" t="str">
        <f>_xlfn.IFNA(IF(((INDEX(RulebookFields!C2:C1898, MATCH(D1497,RulebookFields!A2:A1898, 0))="")=TRUE),  "",  INDEX(RulebookFields!C2:C1898, MATCH(D1497,RulebookFields!A2:A1898, 0))), "")</f>
        <v>Roles</v>
      </c>
      <c r="I1497" s="4" t="str">
        <f>_xlfn.IFNA(IF(((INDEX(RulebookFields!D2:D1898, MATCH(D1497,RulebookFields!A2:A1898, 0))="")=TRUE),  "",  INDEX(RulebookFields!D2:D1898, MATCH(D1497,RulebookFields!A2:A1898, 0))), "")</f>
        <v>CurrentAgent</v>
      </c>
      <c r="J1497" s="4" t="b">
        <f>_xlfn.IFNA(IF(((INDEX(RulebookFields!I2:I1898, MATCH(D1497,RulebookFields!A2:A1898, 0))="")=TRUE),  "",  INDEX(RulebookFields!I2:I1898, MATCH(D1497,RulebookFields!A2:A1898, 0))), "")</f>
        <v>0</v>
      </c>
      <c r="K1497" s="4" t="b">
        <f>AND(((F1497)=TRUE), ((J1497)=TRUE))</f>
        <v>0</v>
      </c>
      <c r="L1497" s="4" t="b">
        <f>AND(((G1497 &lt;&gt; "plain")=TRUE), ((G1497 &lt;&gt; "")=TRUE))</f>
        <v>0</v>
      </c>
      <c r="M1497" s="4" t="str">
        <f>IF(((E1497)=TRUE),  C1497 &amp; "|" &amp; H1497,  "")</f>
        <v>principal-process-steward|Roles</v>
      </c>
      <c r="N1497" s="3" t="s">
        <v>10004</v>
      </c>
    </row>
    <row r="1498">
      <c r="A1498" s="3" t="s">
        <v>11500</v>
      </c>
      <c r="B1498" s="4" t="str">
        <f>C1498 &amp; " -&gt; " &amp; D1498</f>
        <v>principal-process-steward -&gt; Roles.CurrentAgentKind</v>
      </c>
      <c r="C1498" s="3" t="s">
        <v>9772</v>
      </c>
      <c r="D1498" s="3" t="s">
        <v>2508</v>
      </c>
      <c r="E1498" s="3" t="b">
        <v>1</v>
      </c>
      <c r="F1498" s="3" t="b">
        <v>0</v>
      </c>
      <c r="G1498" s="3" t="s">
        <v>10003</v>
      </c>
      <c r="H1498" s="4" t="str">
        <f>_xlfn.IFNA(IF(((INDEX(RulebookFields!C2:C1898, MATCH(D1498,RulebookFields!A2:A1898, 0))="")=TRUE),  "",  INDEX(RulebookFields!C2:C1898, MATCH(D1498,RulebookFields!A2:A1898, 0))), "")</f>
        <v>Roles</v>
      </c>
      <c r="I1498" s="4" t="str">
        <f>_xlfn.IFNA(IF(((INDEX(RulebookFields!D2:D1898, MATCH(D1498,RulebookFields!A2:A1898, 0))="")=TRUE),  "",  INDEX(RulebookFields!D2:D1898, MATCH(D1498,RulebookFields!A2:A1898, 0))), "")</f>
        <v>CurrentAgentKind</v>
      </c>
      <c r="J1498" s="4" t="b">
        <f>_xlfn.IFNA(IF(((INDEX(RulebookFields!I2:I1898, MATCH(D1498,RulebookFields!A2:A1898, 0))="")=TRUE),  "",  INDEX(RulebookFields!I2:I1898, MATCH(D1498,RulebookFields!A2:A1898, 0))), "")</f>
        <v>1</v>
      </c>
      <c r="K1498" s="4" t="b">
        <f>AND(((F1498)=TRUE), ((J1498)=TRUE))</f>
        <v>0</v>
      </c>
      <c r="L1498" s="4" t="b">
        <f>AND(((G1498 &lt;&gt; "plain")=TRUE), ((G1498 &lt;&gt; "")=TRUE))</f>
        <v>0</v>
      </c>
      <c r="M1498" s="4" t="str">
        <f>IF(((E1498)=TRUE),  C1498 &amp; "|" &amp; H1498,  "")</f>
        <v>principal-process-steward|Roles</v>
      </c>
      <c r="N1498" s="3" t="s">
        <v>10004</v>
      </c>
    </row>
    <row r="1499">
      <c r="A1499" s="3" t="s">
        <v>11501</v>
      </c>
      <c r="B1499" s="4" t="str">
        <f>C1499 &amp; " -&gt; " &amp; D1499</f>
        <v>principal-process-steward -&gt; Roles.Responsibility</v>
      </c>
      <c r="C1499" s="3" t="s">
        <v>9772</v>
      </c>
      <c r="D1499" s="3" t="s">
        <v>2511</v>
      </c>
      <c r="E1499" s="3" t="b">
        <v>1</v>
      </c>
      <c r="F1499" s="3" t="b">
        <v>0</v>
      </c>
      <c r="G1499" s="3" t="s">
        <v>10003</v>
      </c>
      <c r="H1499" s="4" t="str">
        <f>_xlfn.IFNA(IF(((INDEX(RulebookFields!C2:C1898, MATCH(D1499,RulebookFields!A2:A1898, 0))="")=TRUE),  "",  INDEX(RulebookFields!C2:C1898, MATCH(D1499,RulebookFields!A2:A1898, 0))), "")</f>
        <v>Roles</v>
      </c>
      <c r="I1499" s="4" t="str">
        <f>_xlfn.IFNA(IF(((INDEX(RulebookFields!D2:D1898, MATCH(D1499,RulebookFields!A2:A1898, 0))="")=TRUE),  "",  INDEX(RulebookFields!D2:D1898, MATCH(D1499,RulebookFields!A2:A1898, 0))), "")</f>
        <v>Responsibility</v>
      </c>
      <c r="J1499" s="4" t="b">
        <f>_xlfn.IFNA(IF(((INDEX(RulebookFields!I2:I1898, MATCH(D1499,RulebookFields!A2:A1898, 0))="")=TRUE),  "",  INDEX(RulebookFields!I2:I1898, MATCH(D1499,RulebookFields!A2:A1898, 0))), "")</f>
        <v>0</v>
      </c>
      <c r="K1499" s="4" t="b">
        <f>AND(((F1499)=TRUE), ((J1499)=TRUE))</f>
        <v>0</v>
      </c>
      <c r="L1499" s="4" t="b">
        <f>AND(((G1499 &lt;&gt; "plain")=TRUE), ((G1499 &lt;&gt; "")=TRUE))</f>
        <v>0</v>
      </c>
      <c r="M1499" s="4" t="str">
        <f>IF(((E1499)=TRUE),  C1499 &amp; "|" &amp; H1499,  "")</f>
        <v>principal-process-steward|Roles</v>
      </c>
      <c r="N1499" s="3" t="s">
        <v>10004</v>
      </c>
    </row>
    <row r="1500">
      <c r="A1500" s="3" t="s">
        <v>11502</v>
      </c>
      <c r="B1500" s="4" t="str">
        <f>C1500 &amp; " -&gt; " &amp; D1500</f>
        <v>principal-process-steward -&gt; Roles.ActiveAssignmentCount</v>
      </c>
      <c r="C1500" s="3" t="s">
        <v>9772</v>
      </c>
      <c r="D1500" s="3" t="s">
        <v>2512</v>
      </c>
      <c r="E1500" s="3" t="b">
        <v>1</v>
      </c>
      <c r="F1500" s="3" t="b">
        <v>0</v>
      </c>
      <c r="G1500" s="3" t="s">
        <v>10003</v>
      </c>
      <c r="H1500" s="4" t="str">
        <f>_xlfn.IFNA(IF(((INDEX(RulebookFields!C2:C1898, MATCH(D1500,RulebookFields!A2:A1898, 0))="")=TRUE),  "",  INDEX(RulebookFields!C2:C1898, MATCH(D1500,RulebookFields!A2:A1898, 0))), "")</f>
        <v>Roles</v>
      </c>
      <c r="I1500" s="4" t="str">
        <f>_xlfn.IFNA(IF(((INDEX(RulebookFields!D2:D1898, MATCH(D1500,RulebookFields!A2:A1898, 0))="")=TRUE),  "",  INDEX(RulebookFields!D2:D1898, MATCH(D1500,RulebookFields!A2:A1898, 0))), "")</f>
        <v>ActiveAssignmentCount</v>
      </c>
      <c r="J1500" s="4" t="b">
        <f>_xlfn.IFNA(IF(((INDEX(RulebookFields!I2:I1898, MATCH(D1500,RulebookFields!A2:A1898, 0))="")=TRUE),  "",  INDEX(RulebookFields!I2:I1898, MATCH(D1500,RulebookFields!A2:A1898, 0))), "")</f>
        <v>1</v>
      </c>
      <c r="K1500" s="4" t="b">
        <f>AND(((F1500)=TRUE), ((J1500)=TRUE))</f>
        <v>0</v>
      </c>
      <c r="L1500" s="4" t="b">
        <f>AND(((G1500 &lt;&gt; "plain")=TRUE), ((G1500 &lt;&gt; "")=TRUE))</f>
        <v>0</v>
      </c>
      <c r="M1500" s="4" t="str">
        <f>IF(((E1500)=TRUE),  C1500 &amp; "|" &amp; H1500,  "")</f>
        <v>principal-process-steward|Roles</v>
      </c>
      <c r="N1500" s="3" t="s">
        <v>10004</v>
      </c>
    </row>
    <row r="1501">
      <c r="A1501" s="3" t="s">
        <v>11503</v>
      </c>
      <c r="B1501" s="4" t="str">
        <f>C1501 &amp; " -&gt; " &amp; D1501</f>
        <v>principal-process-steward -&gt; Roles.CurrentlyCoveredAssignmentCount</v>
      </c>
      <c r="C1501" s="3" t="s">
        <v>9772</v>
      </c>
      <c r="D1501" s="3" t="s">
        <v>2514</v>
      </c>
      <c r="E1501" s="3" t="b">
        <v>1</v>
      </c>
      <c r="F1501" s="3" t="b">
        <v>0</v>
      </c>
      <c r="G1501" s="3" t="s">
        <v>10003</v>
      </c>
      <c r="H1501" s="4" t="str">
        <f>_xlfn.IFNA(IF(((INDEX(RulebookFields!C2:C1898, MATCH(D1501,RulebookFields!A2:A1898, 0))="")=TRUE),  "",  INDEX(RulebookFields!C2:C1898, MATCH(D1501,RulebookFields!A2:A1898, 0))), "")</f>
        <v>Roles</v>
      </c>
      <c r="I1501" s="4" t="str">
        <f>_xlfn.IFNA(IF(((INDEX(RulebookFields!D2:D1898, MATCH(D1501,RulebookFields!A2:A1898, 0))="")=TRUE),  "",  INDEX(RulebookFields!D2:D1898, MATCH(D1501,RulebookFields!A2:A1898, 0))), "")</f>
        <v>CurrentlyCoveredAssignmentCount</v>
      </c>
      <c r="J1501" s="4" t="b">
        <f>_xlfn.IFNA(IF(((INDEX(RulebookFields!I2:I1898, MATCH(D1501,RulebookFields!A2:A1898, 0))="")=TRUE),  "",  INDEX(RulebookFields!I2:I1898, MATCH(D1501,RulebookFields!A2:A1898, 0))), "")</f>
        <v>1</v>
      </c>
      <c r="K1501" s="4" t="b">
        <f>AND(((F1501)=TRUE), ((J1501)=TRUE))</f>
        <v>0</v>
      </c>
      <c r="L1501" s="4" t="b">
        <f>AND(((G1501 &lt;&gt; "plain")=TRUE), ((G1501 &lt;&gt; "")=TRUE))</f>
        <v>0</v>
      </c>
      <c r="M1501" s="4" t="str">
        <f>IF(((E1501)=TRUE),  C1501 &amp; "|" &amp; H1501,  "")</f>
        <v>principal-process-steward|Roles</v>
      </c>
      <c r="N1501" s="3" t="s">
        <v>10004</v>
      </c>
    </row>
    <row r="1502">
      <c r="A1502" s="3" t="s">
        <v>11504</v>
      </c>
      <c r="B1502" s="4" t="str">
        <f>C1502 &amp; " -&gt; " &amp; D1502</f>
        <v>principal-process-steward -&gt; Roles.HasNoCurrentHolder</v>
      </c>
      <c r="C1502" s="3" t="s">
        <v>9772</v>
      </c>
      <c r="D1502" s="3" t="s">
        <v>2516</v>
      </c>
      <c r="E1502" s="3" t="b">
        <v>1</v>
      </c>
      <c r="F1502" s="3" t="b">
        <v>0</v>
      </c>
      <c r="G1502" s="3" t="s">
        <v>10003</v>
      </c>
      <c r="H1502" s="4" t="str">
        <f>_xlfn.IFNA(IF(((INDEX(RulebookFields!C2:C1898, MATCH(D1502,RulebookFields!A2:A1898, 0))="")=TRUE),  "",  INDEX(RulebookFields!C2:C1898, MATCH(D1502,RulebookFields!A2:A1898, 0))), "")</f>
        <v>Roles</v>
      </c>
      <c r="I1502" s="4" t="str">
        <f>_xlfn.IFNA(IF(((INDEX(RulebookFields!D2:D1898, MATCH(D1502,RulebookFields!A2:A1898, 0))="")=TRUE),  "",  INDEX(RulebookFields!D2:D1898, MATCH(D1502,RulebookFields!A2:A1898, 0))), "")</f>
        <v>HasNoCurrentHolder</v>
      </c>
      <c r="J1502" s="4" t="b">
        <f>_xlfn.IFNA(IF(((INDEX(RulebookFields!I2:I1898, MATCH(D1502,RulebookFields!A2:A1898, 0))="")=TRUE),  "",  INDEX(RulebookFields!I2:I1898, MATCH(D1502,RulebookFields!A2:A1898, 0))), "")</f>
        <v>1</v>
      </c>
      <c r="K1502" s="4" t="b">
        <f>AND(((F1502)=TRUE), ((J1502)=TRUE))</f>
        <v>0</v>
      </c>
      <c r="L1502" s="4" t="b">
        <f>AND(((G1502 &lt;&gt; "plain")=TRUE), ((G1502 &lt;&gt; "")=TRUE))</f>
        <v>0</v>
      </c>
      <c r="M1502" s="4" t="str">
        <f>IF(((E1502)=TRUE),  C1502 &amp; "|" &amp; H1502,  "")</f>
        <v>principal-process-steward|Roles</v>
      </c>
      <c r="N1502" s="3" t="s">
        <v>10004</v>
      </c>
    </row>
    <row r="1503">
      <c r="A1503" s="3" t="s">
        <v>11505</v>
      </c>
      <c r="B1503" s="4" t="str">
        <f>C1503 &amp; " -&gt; " &amp; D1503</f>
        <v>principal-process-steward -&gt; Roles.CountOfAwaitedDecisions</v>
      </c>
      <c r="C1503" s="3" t="s">
        <v>9772</v>
      </c>
      <c r="D1503" s="3" t="s">
        <v>2518</v>
      </c>
      <c r="E1503" s="3" t="b">
        <v>1</v>
      </c>
      <c r="F1503" s="3" t="b">
        <v>0</v>
      </c>
      <c r="G1503" s="3" t="s">
        <v>10003</v>
      </c>
      <c r="H1503" s="4" t="str">
        <f>_xlfn.IFNA(IF(((INDEX(RulebookFields!C2:C1898, MATCH(D1503,RulebookFields!A2:A1898, 0))="")=TRUE),  "",  INDEX(RulebookFields!C2:C1898, MATCH(D1503,RulebookFields!A2:A1898, 0))), "")</f>
        <v>Roles</v>
      </c>
      <c r="I1503" s="4" t="str">
        <f>_xlfn.IFNA(IF(((INDEX(RulebookFields!D2:D1898, MATCH(D1503,RulebookFields!A2:A1898, 0))="")=TRUE),  "",  INDEX(RulebookFields!D2:D1898, MATCH(D1503,RulebookFields!A2:A1898, 0))), "")</f>
        <v>CountOfAwaitedDecisions</v>
      </c>
      <c r="J1503" s="4" t="b">
        <f>_xlfn.IFNA(IF(((INDEX(RulebookFields!I2:I1898, MATCH(D1503,RulebookFields!A2:A1898, 0))="")=TRUE),  "",  INDEX(RulebookFields!I2:I1898, MATCH(D1503,RulebookFields!A2:A1898, 0))), "")</f>
        <v>1</v>
      </c>
      <c r="K1503" s="4" t="b">
        <f>AND(((F1503)=TRUE), ((J1503)=TRUE))</f>
        <v>0</v>
      </c>
      <c r="L1503" s="4" t="b">
        <f>AND(((G1503 &lt;&gt; "plain")=TRUE), ((G1503 &lt;&gt; "")=TRUE))</f>
        <v>0</v>
      </c>
      <c r="M1503" s="4" t="str">
        <f>IF(((E1503)=TRUE),  C1503 &amp; "|" &amp; H1503,  "")</f>
        <v>principal-process-steward|Roles</v>
      </c>
      <c r="N1503" s="3" t="s">
        <v>10004</v>
      </c>
    </row>
    <row r="1504">
      <c r="A1504" s="3" t="s">
        <v>11506</v>
      </c>
      <c r="B1504" s="4" t="str">
        <f>C1504 &amp; " -&gt; " &amp; D1504</f>
        <v>principal-process-steward -&gt; Roles.CurrentAssignment</v>
      </c>
      <c r="C1504" s="3" t="s">
        <v>9772</v>
      </c>
      <c r="D1504" s="3" t="s">
        <v>2520</v>
      </c>
      <c r="E1504" s="3" t="b">
        <v>1</v>
      </c>
      <c r="F1504" s="3" t="b">
        <v>0</v>
      </c>
      <c r="G1504" s="3" t="s">
        <v>10003</v>
      </c>
      <c r="H1504" s="4" t="str">
        <f>_xlfn.IFNA(IF(((INDEX(RulebookFields!C2:C1898, MATCH(D1504,RulebookFields!A2:A1898, 0))="")=TRUE),  "",  INDEX(RulebookFields!C2:C1898, MATCH(D1504,RulebookFields!A2:A1898, 0))), "")</f>
        <v>Roles</v>
      </c>
      <c r="I1504" s="4" t="str">
        <f>_xlfn.IFNA(IF(((INDEX(RulebookFields!D2:D1898, MATCH(D1504,RulebookFields!A2:A1898, 0))="")=TRUE),  "",  INDEX(RulebookFields!D2:D1898, MATCH(D1504,RulebookFields!A2:A1898, 0))), "")</f>
        <v>CurrentAssignment</v>
      </c>
      <c r="J1504" s="4" t="b">
        <f>_xlfn.IFNA(IF(((INDEX(RulebookFields!I2:I1898, MATCH(D1504,RulebookFields!A2:A1898, 0))="")=TRUE),  "",  INDEX(RulebookFields!I2:I1898, MATCH(D1504,RulebookFields!A2:A1898, 0))), "")</f>
        <v>0</v>
      </c>
      <c r="K1504" s="4" t="b">
        <f>AND(((F1504)=TRUE), ((J1504)=TRUE))</f>
        <v>0</v>
      </c>
      <c r="L1504" s="4" t="b">
        <f>AND(((G1504 &lt;&gt; "plain")=TRUE), ((G1504 &lt;&gt; "")=TRUE))</f>
        <v>0</v>
      </c>
      <c r="M1504" s="4" t="str">
        <f>IF(((E1504)=TRUE),  C1504 &amp; "|" &amp; H1504,  "")</f>
        <v>principal-process-steward|Roles</v>
      </c>
      <c r="N1504" s="3" t="s">
        <v>10004</v>
      </c>
    </row>
    <row r="1505">
      <c r="A1505" s="3" t="s">
        <v>11507</v>
      </c>
      <c r="B1505" s="4" t="str">
        <f>C1505 &amp; " -&gt; " &amp; D1505</f>
        <v>principal-process-steward -&gt; Roles.CurrentAssignmentValidFrom</v>
      </c>
      <c r="C1505" s="3" t="s">
        <v>9772</v>
      </c>
      <c r="D1505" s="3" t="s">
        <v>2521</v>
      </c>
      <c r="E1505" s="3" t="b">
        <v>1</v>
      </c>
      <c r="F1505" s="3" t="b">
        <v>0</v>
      </c>
      <c r="G1505" s="3" t="s">
        <v>10003</v>
      </c>
      <c r="H1505" s="4" t="str">
        <f>_xlfn.IFNA(IF(((INDEX(RulebookFields!C2:C1898, MATCH(D1505,RulebookFields!A2:A1898, 0))="")=TRUE),  "",  INDEX(RulebookFields!C2:C1898, MATCH(D1505,RulebookFields!A2:A1898, 0))), "")</f>
        <v>Roles</v>
      </c>
      <c r="I1505" s="4" t="str">
        <f>_xlfn.IFNA(IF(((INDEX(RulebookFields!D2:D1898, MATCH(D1505,RulebookFields!A2:A1898, 0))="")=TRUE),  "",  INDEX(RulebookFields!D2:D1898, MATCH(D1505,RulebookFields!A2:A1898, 0))), "")</f>
        <v>CurrentAssignmentValidFrom</v>
      </c>
      <c r="J1505" s="4" t="b">
        <f>_xlfn.IFNA(IF(((INDEX(RulebookFields!I2:I1898, MATCH(D1505,RulebookFields!A2:A1898, 0))="")=TRUE),  "",  INDEX(RulebookFields!I2:I1898, MATCH(D1505,RulebookFields!A2:A1898, 0))), "")</f>
        <v>1</v>
      </c>
      <c r="K1505" s="4" t="b">
        <f>AND(((F1505)=TRUE), ((J1505)=TRUE))</f>
        <v>0</v>
      </c>
      <c r="L1505" s="4" t="b">
        <f>AND(((G1505 &lt;&gt; "plain")=TRUE), ((G1505 &lt;&gt; "")=TRUE))</f>
        <v>0</v>
      </c>
      <c r="M1505" s="4" t="str">
        <f>IF(((E1505)=TRUE),  C1505 &amp; "|" &amp; H1505,  "")</f>
        <v>principal-process-steward|Roles</v>
      </c>
      <c r="N1505" s="3" t="s">
        <v>10004</v>
      </c>
    </row>
    <row r="1506">
      <c r="A1506" s="3" t="s">
        <v>11508</v>
      </c>
      <c r="B1506" s="4" t="str">
        <f>C1506 &amp; " -&gt; " &amp; D1506</f>
        <v>principal-process-steward -&gt; Roles.IsNonHumanHeld</v>
      </c>
      <c r="C1506" s="3" t="s">
        <v>9772</v>
      </c>
      <c r="D1506" s="3" t="s">
        <v>2523</v>
      </c>
      <c r="E1506" s="3" t="b">
        <v>1</v>
      </c>
      <c r="F1506" s="3" t="b">
        <v>0</v>
      </c>
      <c r="G1506" s="3" t="s">
        <v>10003</v>
      </c>
      <c r="H1506" s="4" t="str">
        <f>_xlfn.IFNA(IF(((INDEX(RulebookFields!C2:C1898, MATCH(D1506,RulebookFields!A2:A1898, 0))="")=TRUE),  "",  INDEX(RulebookFields!C2:C1898, MATCH(D1506,RulebookFields!A2:A1898, 0))), "")</f>
        <v>Roles</v>
      </c>
      <c r="I1506" s="4" t="str">
        <f>_xlfn.IFNA(IF(((INDEX(RulebookFields!D2:D1898, MATCH(D1506,RulebookFields!A2:A1898, 0))="")=TRUE),  "",  INDEX(RulebookFields!D2:D1898, MATCH(D1506,RulebookFields!A2:A1898, 0))), "")</f>
        <v>IsNonHumanHeld</v>
      </c>
      <c r="J1506" s="4" t="b">
        <f>_xlfn.IFNA(IF(((INDEX(RulebookFields!I2:I1898, MATCH(D1506,RulebookFields!A2:A1898, 0))="")=TRUE),  "",  INDEX(RulebookFields!I2:I1898, MATCH(D1506,RulebookFields!A2:A1898, 0))), "")</f>
        <v>1</v>
      </c>
      <c r="K1506" s="4" t="b">
        <f>AND(((F1506)=TRUE), ((J1506)=TRUE))</f>
        <v>0</v>
      </c>
      <c r="L1506" s="4" t="b">
        <f>AND(((G1506 &lt;&gt; "plain")=TRUE), ((G1506 &lt;&gt; "")=TRUE))</f>
        <v>0</v>
      </c>
      <c r="M1506" s="4" t="str">
        <f>IF(((E1506)=TRUE),  C1506 &amp; "|" &amp; H1506,  "")</f>
        <v>principal-process-steward|Roles</v>
      </c>
      <c r="N1506" s="3" t="s">
        <v>10004</v>
      </c>
    </row>
    <row r="1507">
      <c r="A1507" s="3" t="s">
        <v>11509</v>
      </c>
      <c r="B1507" s="4" t="str">
        <f>C1507 &amp; " -&gt; " &amp; D1507</f>
        <v>principal-process-steward -&gt; Roles.IsUngovernedNonHumanRole</v>
      </c>
      <c r="C1507" s="3" t="s">
        <v>9772</v>
      </c>
      <c r="D1507" s="3" t="s">
        <v>2525</v>
      </c>
      <c r="E1507" s="3" t="b">
        <v>1</v>
      </c>
      <c r="F1507" s="3" t="b">
        <v>0</v>
      </c>
      <c r="G1507" s="3" t="s">
        <v>10003</v>
      </c>
      <c r="H1507" s="4" t="str">
        <f>_xlfn.IFNA(IF(((INDEX(RulebookFields!C2:C1898, MATCH(D1507,RulebookFields!A2:A1898, 0))="")=TRUE),  "",  INDEX(RulebookFields!C2:C1898, MATCH(D1507,RulebookFields!A2:A1898, 0))), "")</f>
        <v>Roles</v>
      </c>
      <c r="I1507" s="4" t="str">
        <f>_xlfn.IFNA(IF(((INDEX(RulebookFields!D2:D1898, MATCH(D1507,RulebookFields!A2:A1898, 0))="")=TRUE),  "",  INDEX(RulebookFields!D2:D1898, MATCH(D1507,RulebookFields!A2:A1898, 0))), "")</f>
        <v>IsUngovernedNonHumanRole</v>
      </c>
      <c r="J1507" s="4" t="b">
        <f>_xlfn.IFNA(IF(((INDEX(RulebookFields!I2:I1898, MATCH(D1507,RulebookFields!A2:A1898, 0))="")=TRUE),  "",  INDEX(RulebookFields!I2:I1898, MATCH(D1507,RulebookFields!A2:A1898, 0))), "")</f>
        <v>1</v>
      </c>
      <c r="K1507" s="4" t="b">
        <f>AND(((F1507)=TRUE), ((J1507)=TRUE))</f>
        <v>0</v>
      </c>
      <c r="L1507" s="4" t="b">
        <f>AND(((G1507 &lt;&gt; "plain")=TRUE), ((G1507 &lt;&gt; "")=TRUE))</f>
        <v>0</v>
      </c>
      <c r="M1507" s="4" t="str">
        <f>IF(((E1507)=TRUE),  C1507 &amp; "|" &amp; H1507,  "")</f>
        <v>principal-process-steward|Roles</v>
      </c>
      <c r="N1507" s="3" t="s">
        <v>10004</v>
      </c>
    </row>
    <row r="1508">
      <c r="A1508" s="3" t="s">
        <v>11510</v>
      </c>
      <c r="B1508" s="4" t="str">
        <f>C1508 &amp; " -&gt; " &amp; D1508</f>
        <v>principal-process-steward -&gt; Roles.DepartedAssignmentCount</v>
      </c>
      <c r="C1508" s="3" t="s">
        <v>9772</v>
      </c>
      <c r="D1508" s="3" t="s">
        <v>2527</v>
      </c>
      <c r="E1508" s="3" t="b">
        <v>1</v>
      </c>
      <c r="F1508" s="3" t="b">
        <v>0</v>
      </c>
      <c r="G1508" s="3" t="s">
        <v>10003</v>
      </c>
      <c r="H1508" s="4" t="str">
        <f>_xlfn.IFNA(IF(((INDEX(RulebookFields!C2:C1898, MATCH(D1508,RulebookFields!A2:A1898, 0))="")=TRUE),  "",  INDEX(RulebookFields!C2:C1898, MATCH(D1508,RulebookFields!A2:A1898, 0))), "")</f>
        <v>Roles</v>
      </c>
      <c r="I1508" s="4" t="str">
        <f>_xlfn.IFNA(IF(((INDEX(RulebookFields!D2:D1898, MATCH(D1508,RulebookFields!A2:A1898, 0))="")=TRUE),  "",  INDEX(RulebookFields!D2:D1898, MATCH(D1508,RulebookFields!A2:A1898, 0))), "")</f>
        <v>DepartedAssignmentCount</v>
      </c>
      <c r="J1508" s="4" t="b">
        <f>_xlfn.IFNA(IF(((INDEX(RulebookFields!I2:I1898, MATCH(D1508,RulebookFields!A2:A1898, 0))="")=TRUE),  "",  INDEX(RulebookFields!I2:I1898, MATCH(D1508,RulebookFields!A2:A1898, 0))), "")</f>
        <v>1</v>
      </c>
      <c r="K1508" s="4" t="b">
        <f>AND(((F1508)=TRUE), ((J1508)=TRUE))</f>
        <v>0</v>
      </c>
      <c r="L1508" s="4" t="b">
        <f>AND(((G1508 &lt;&gt; "plain")=TRUE), ((G1508 &lt;&gt; "")=TRUE))</f>
        <v>0</v>
      </c>
      <c r="M1508" s="4" t="str">
        <f>IF(((E1508)=TRUE),  C1508 &amp; "|" &amp; H1508,  "")</f>
        <v>principal-process-steward|Roles</v>
      </c>
      <c r="N1508" s="3" t="s">
        <v>10004</v>
      </c>
    </row>
    <row r="1509">
      <c r="A1509" s="3" t="s">
        <v>11511</v>
      </c>
      <c r="B1509" s="4" t="str">
        <f>C1509 &amp; " -&gt; " &amp; D1509</f>
        <v>principal-process-steward -&gt; Roles.HasLostAHolder</v>
      </c>
      <c r="C1509" s="3" t="s">
        <v>9772</v>
      </c>
      <c r="D1509" s="3" t="s">
        <v>2529</v>
      </c>
      <c r="E1509" s="3" t="b">
        <v>1</v>
      </c>
      <c r="F1509" s="3" t="b">
        <v>0</v>
      </c>
      <c r="G1509" s="3" t="s">
        <v>10003</v>
      </c>
      <c r="H1509" s="4" t="str">
        <f>_xlfn.IFNA(IF(((INDEX(RulebookFields!C2:C1898, MATCH(D1509,RulebookFields!A2:A1898, 0))="")=TRUE),  "",  INDEX(RulebookFields!C2:C1898, MATCH(D1509,RulebookFields!A2:A1898, 0))), "")</f>
        <v>Roles</v>
      </c>
      <c r="I1509" s="4" t="str">
        <f>_xlfn.IFNA(IF(((INDEX(RulebookFields!D2:D1898, MATCH(D1509,RulebookFields!A2:A1898, 0))="")=TRUE),  "",  INDEX(RulebookFields!D2:D1898, MATCH(D1509,RulebookFields!A2:A1898, 0))), "")</f>
        <v>HasLostAHolder</v>
      </c>
      <c r="J1509" s="4" t="b">
        <f>_xlfn.IFNA(IF(((INDEX(RulebookFields!I2:I1898, MATCH(D1509,RulebookFields!A2:A1898, 0))="")=TRUE),  "",  INDEX(RulebookFields!I2:I1898, MATCH(D1509,RulebookFields!A2:A1898, 0))), "")</f>
        <v>1</v>
      </c>
      <c r="K1509" s="4" t="b">
        <f>AND(((F1509)=TRUE), ((J1509)=TRUE))</f>
        <v>0</v>
      </c>
      <c r="L1509" s="4" t="b">
        <f>AND(((G1509 &lt;&gt; "plain")=TRUE), ((G1509 &lt;&gt; "")=TRUE))</f>
        <v>0</v>
      </c>
      <c r="M1509" s="4" t="str">
        <f>IF(((E1509)=TRUE),  C1509 &amp; "|" &amp; H1509,  "")</f>
        <v>principal-process-steward|Roles</v>
      </c>
      <c r="N1509" s="3" t="s">
        <v>10004</v>
      </c>
    </row>
    <row r="1510">
      <c r="A1510" s="3" t="s">
        <v>11512</v>
      </c>
      <c r="B1510" s="4" t="str">
        <f>C1510 &amp; " -&gt; " &amp; D1510</f>
        <v>principal-process-steward -&gt; Roles.IsVacatedRole</v>
      </c>
      <c r="C1510" s="3" t="s">
        <v>9772</v>
      </c>
      <c r="D1510" s="3" t="s">
        <v>2531</v>
      </c>
      <c r="E1510" s="3" t="b">
        <v>1</v>
      </c>
      <c r="F1510" s="3" t="b">
        <v>0</v>
      </c>
      <c r="G1510" s="3" t="s">
        <v>10003</v>
      </c>
      <c r="H1510" s="4" t="str">
        <f>_xlfn.IFNA(IF(((INDEX(RulebookFields!C2:C1898, MATCH(D1510,RulebookFields!A2:A1898, 0))="")=TRUE),  "",  INDEX(RulebookFields!C2:C1898, MATCH(D1510,RulebookFields!A2:A1898, 0))), "")</f>
        <v>Roles</v>
      </c>
      <c r="I1510" s="4" t="str">
        <f>_xlfn.IFNA(IF(((INDEX(RulebookFields!D2:D1898, MATCH(D1510,RulebookFields!A2:A1898, 0))="")=TRUE),  "",  INDEX(RulebookFields!D2:D1898, MATCH(D1510,RulebookFields!A2:A1898, 0))), "")</f>
        <v>IsVacatedRole</v>
      </c>
      <c r="J1510" s="4" t="b">
        <f>_xlfn.IFNA(IF(((INDEX(RulebookFields!I2:I1898, MATCH(D1510,RulebookFields!A2:A1898, 0))="")=TRUE),  "",  INDEX(RulebookFields!I2:I1898, MATCH(D1510,RulebookFields!A2:A1898, 0))), "")</f>
        <v>1</v>
      </c>
      <c r="K1510" s="4" t="b">
        <f>AND(((F1510)=TRUE), ((J1510)=TRUE))</f>
        <v>0</v>
      </c>
      <c r="L1510" s="4" t="b">
        <f>AND(((G1510 &lt;&gt; "plain")=TRUE), ((G1510 &lt;&gt; "")=TRUE))</f>
        <v>0</v>
      </c>
      <c r="M1510" s="4" t="str">
        <f>IF(((E1510)=TRUE),  C1510 &amp; "|" &amp; H1510,  "")</f>
        <v>principal-process-steward|Roles</v>
      </c>
      <c r="N1510" s="3" t="s">
        <v>10004</v>
      </c>
    </row>
    <row r="1511">
      <c r="A1511" s="3" t="s">
        <v>11513</v>
      </c>
      <c r="B1511" s="4" t="str">
        <f>C1511 &amp; " -&gt; " &amp; D1511</f>
        <v>principal-process-steward -&gt; Roles.UngroundedBoundaryCount</v>
      </c>
      <c r="C1511" s="3" t="s">
        <v>9772</v>
      </c>
      <c r="D1511" s="3" t="s">
        <v>2533</v>
      </c>
      <c r="E1511" s="3" t="b">
        <v>1</v>
      </c>
      <c r="F1511" s="3" t="b">
        <v>0</v>
      </c>
      <c r="G1511" s="3" t="s">
        <v>10003</v>
      </c>
      <c r="H1511" s="4" t="str">
        <f>_xlfn.IFNA(IF(((INDEX(RulebookFields!C2:C1898, MATCH(D1511,RulebookFields!A2:A1898, 0))="")=TRUE),  "",  INDEX(RulebookFields!C2:C1898, MATCH(D1511,RulebookFields!A2:A1898, 0))), "")</f>
        <v>Roles</v>
      </c>
      <c r="I1511" s="4" t="str">
        <f>_xlfn.IFNA(IF(((INDEX(RulebookFields!D2:D1898, MATCH(D1511,RulebookFields!A2:A1898, 0))="")=TRUE),  "",  INDEX(RulebookFields!D2:D1898, MATCH(D1511,RulebookFields!A2:A1898, 0))), "")</f>
        <v>UngroundedBoundaryCount</v>
      </c>
      <c r="J1511" s="4" t="b">
        <f>_xlfn.IFNA(IF(((INDEX(RulebookFields!I2:I1898, MATCH(D1511,RulebookFields!A2:A1898, 0))="")=TRUE),  "",  INDEX(RulebookFields!I2:I1898, MATCH(D1511,RulebookFields!A2:A1898, 0))), "")</f>
        <v>1</v>
      </c>
      <c r="K1511" s="4" t="b">
        <f>AND(((F1511)=TRUE), ((J1511)=TRUE))</f>
        <v>0</v>
      </c>
      <c r="L1511" s="4" t="b">
        <f>AND(((G1511 &lt;&gt; "plain")=TRUE), ((G1511 &lt;&gt; "")=TRUE))</f>
        <v>0</v>
      </c>
      <c r="M1511" s="4" t="str">
        <f>IF(((E1511)=TRUE),  C1511 &amp; "|" &amp; H1511,  "")</f>
        <v>principal-process-steward|Roles</v>
      </c>
      <c r="N1511" s="3" t="s">
        <v>10004</v>
      </c>
    </row>
    <row r="1512">
      <c r="A1512" s="3" t="s">
        <v>11514</v>
      </c>
      <c r="B1512" s="4" t="str">
        <f>C1512 &amp; " -&gt; " &amp; D1512</f>
        <v>principal-process-steward -&gt; Roles.IsGovernedByLapsedAuthority</v>
      </c>
      <c r="C1512" s="3" t="s">
        <v>9772</v>
      </c>
      <c r="D1512" s="3" t="s">
        <v>2535</v>
      </c>
      <c r="E1512" s="3" t="b">
        <v>1</v>
      </c>
      <c r="F1512" s="3" t="b">
        <v>0</v>
      </c>
      <c r="G1512" s="3" t="s">
        <v>10003</v>
      </c>
      <c r="H1512" s="4" t="str">
        <f>_xlfn.IFNA(IF(((INDEX(RulebookFields!C2:C1898, MATCH(D1512,RulebookFields!A2:A1898, 0))="")=TRUE),  "",  INDEX(RulebookFields!C2:C1898, MATCH(D1512,RulebookFields!A2:A1898, 0))), "")</f>
        <v>Roles</v>
      </c>
      <c r="I1512" s="4" t="str">
        <f>_xlfn.IFNA(IF(((INDEX(RulebookFields!D2:D1898, MATCH(D1512,RulebookFields!A2:A1898, 0))="")=TRUE),  "",  INDEX(RulebookFields!D2:D1898, MATCH(D1512,RulebookFields!A2:A1898, 0))), "")</f>
        <v>IsGovernedByLapsedAuthority</v>
      </c>
      <c r="J1512" s="4" t="b">
        <f>_xlfn.IFNA(IF(((INDEX(RulebookFields!I2:I1898, MATCH(D1512,RulebookFields!A2:A1898, 0))="")=TRUE),  "",  INDEX(RulebookFields!I2:I1898, MATCH(D1512,RulebookFields!A2:A1898, 0))), "")</f>
        <v>1</v>
      </c>
      <c r="K1512" s="4" t="b">
        <f>AND(((F1512)=TRUE), ((J1512)=TRUE))</f>
        <v>0</v>
      </c>
      <c r="L1512" s="4" t="b">
        <f>AND(((G1512 &lt;&gt; "plain")=TRUE), ((G1512 &lt;&gt; "")=TRUE))</f>
        <v>0</v>
      </c>
      <c r="M1512" s="4" t="str">
        <f>IF(((E1512)=TRUE),  C1512 &amp; "|" &amp; H1512,  "")</f>
        <v>principal-process-steward|Roles</v>
      </c>
      <c r="N1512" s="3" t="s">
        <v>10004</v>
      </c>
    </row>
    <row r="1513">
      <c r="A1513" s="3" t="s">
        <v>11515</v>
      </c>
      <c r="B1513" s="4" t="str">
        <f>C1513 &amp; " -&gt; " &amp; D1513</f>
        <v>principal-process-steward -&gt; Roles.UnescalatedRefusalCount</v>
      </c>
      <c r="C1513" s="3" t="s">
        <v>9772</v>
      </c>
      <c r="D1513" s="3" t="s">
        <v>2537</v>
      </c>
      <c r="E1513" s="3" t="b">
        <v>1</v>
      </c>
      <c r="F1513" s="3" t="b">
        <v>0</v>
      </c>
      <c r="G1513" s="3" t="s">
        <v>10003</v>
      </c>
      <c r="H1513" s="4" t="str">
        <f>_xlfn.IFNA(IF(((INDEX(RulebookFields!C2:C1898, MATCH(D1513,RulebookFields!A2:A1898, 0))="")=TRUE),  "",  INDEX(RulebookFields!C2:C1898, MATCH(D1513,RulebookFields!A2:A1898, 0))), "")</f>
        <v>Roles</v>
      </c>
      <c r="I1513" s="4" t="str">
        <f>_xlfn.IFNA(IF(((INDEX(RulebookFields!D2:D1898, MATCH(D1513,RulebookFields!A2:A1898, 0))="")=TRUE),  "",  INDEX(RulebookFields!D2:D1898, MATCH(D1513,RulebookFields!A2:A1898, 0))), "")</f>
        <v>UnescalatedRefusalCount</v>
      </c>
      <c r="J1513" s="4" t="b">
        <f>_xlfn.IFNA(IF(((INDEX(RulebookFields!I2:I1898, MATCH(D1513,RulebookFields!A2:A1898, 0))="")=TRUE),  "",  INDEX(RulebookFields!I2:I1898, MATCH(D1513,RulebookFields!A2:A1898, 0))), "")</f>
        <v>1</v>
      </c>
      <c r="K1513" s="4" t="b">
        <f>AND(((F1513)=TRUE), ((J1513)=TRUE))</f>
        <v>0</v>
      </c>
      <c r="L1513" s="4" t="b">
        <f>AND(((G1513 &lt;&gt; "plain")=TRUE), ((G1513 &lt;&gt; "")=TRUE))</f>
        <v>0</v>
      </c>
      <c r="M1513" s="4" t="str">
        <f>IF(((E1513)=TRUE),  C1513 &amp; "|" &amp; H1513,  "")</f>
        <v>principal-process-steward|Roles</v>
      </c>
      <c r="N1513" s="3" t="s">
        <v>10004</v>
      </c>
    </row>
    <row r="1514">
      <c r="A1514" s="3" t="s">
        <v>11516</v>
      </c>
      <c r="B1514" s="4" t="str">
        <f>C1514 &amp; " -&gt; " &amp; D1514</f>
        <v>principal-process-steward -&gt; Roles.UnauthorizedEnforcementAssignmentCount</v>
      </c>
      <c r="C1514" s="3" t="s">
        <v>9772</v>
      </c>
      <c r="D1514" s="3" t="s">
        <v>2539</v>
      </c>
      <c r="E1514" s="3" t="b">
        <v>1</v>
      </c>
      <c r="F1514" s="3" t="b">
        <v>0</v>
      </c>
      <c r="G1514" s="3" t="s">
        <v>10003</v>
      </c>
      <c r="H1514" s="4" t="str">
        <f>_xlfn.IFNA(IF(((INDEX(RulebookFields!C2:C1898, MATCH(D1514,RulebookFields!A2:A1898, 0))="")=TRUE),  "",  INDEX(RulebookFields!C2:C1898, MATCH(D1514,RulebookFields!A2:A1898, 0))), "")</f>
        <v>Roles</v>
      </c>
      <c r="I1514" s="4" t="str">
        <f>_xlfn.IFNA(IF(((INDEX(RulebookFields!D2:D1898, MATCH(D1514,RulebookFields!A2:A1898, 0))="")=TRUE),  "",  INDEX(RulebookFields!D2:D1898, MATCH(D1514,RulebookFields!A2:A1898, 0))), "")</f>
        <v>UnauthorizedEnforcementAssignmentCount</v>
      </c>
      <c r="J1514" s="4" t="b">
        <f>_xlfn.IFNA(IF(((INDEX(RulebookFields!I2:I1898, MATCH(D1514,RulebookFields!A2:A1898, 0))="")=TRUE),  "",  INDEX(RulebookFields!I2:I1898, MATCH(D1514,RulebookFields!A2:A1898, 0))), "")</f>
        <v>1</v>
      </c>
      <c r="K1514" s="4" t="b">
        <f>AND(((F1514)=TRUE), ((J1514)=TRUE))</f>
        <v>0</v>
      </c>
      <c r="L1514" s="4" t="b">
        <f>AND(((G1514 &lt;&gt; "plain")=TRUE), ((G1514 &lt;&gt; "")=TRUE))</f>
        <v>0</v>
      </c>
      <c r="M1514" s="4" t="str">
        <f>IF(((E1514)=TRUE),  C1514 &amp; "|" &amp; H1514,  "")</f>
        <v>principal-process-steward|Roles</v>
      </c>
      <c r="N1514" s="3" t="s">
        <v>10004</v>
      </c>
    </row>
    <row r="1515">
      <c r="A1515" s="3" t="s">
        <v>11517</v>
      </c>
      <c r="B1515" s="4" t="str">
        <f>C1515 &amp; " -&gt; " &amp; D1515</f>
        <v>principal-process-steward -&gt; Roles.IsUngovernedEnforcementRole</v>
      </c>
      <c r="C1515" s="3" t="s">
        <v>9772</v>
      </c>
      <c r="D1515" s="3" t="s">
        <v>2541</v>
      </c>
      <c r="E1515" s="3" t="b">
        <v>1</v>
      </c>
      <c r="F1515" s="3" t="b">
        <v>0</v>
      </c>
      <c r="G1515" s="3" t="s">
        <v>10003</v>
      </c>
      <c r="H1515" s="4" t="str">
        <f>_xlfn.IFNA(IF(((INDEX(RulebookFields!C2:C1898, MATCH(D1515,RulebookFields!A2:A1898, 0))="")=TRUE),  "",  INDEX(RulebookFields!C2:C1898, MATCH(D1515,RulebookFields!A2:A1898, 0))), "")</f>
        <v>Roles</v>
      </c>
      <c r="I1515" s="4" t="str">
        <f>_xlfn.IFNA(IF(((INDEX(RulebookFields!D2:D1898, MATCH(D1515,RulebookFields!A2:A1898, 0))="")=TRUE),  "",  INDEX(RulebookFields!D2:D1898, MATCH(D1515,RulebookFields!A2:A1898, 0))), "")</f>
        <v>IsUngovernedEnforcementRole</v>
      </c>
      <c r="J1515" s="4" t="b">
        <f>_xlfn.IFNA(IF(((INDEX(RulebookFields!I2:I1898, MATCH(D1515,RulebookFields!A2:A1898, 0))="")=TRUE),  "",  INDEX(RulebookFields!I2:I1898, MATCH(D1515,RulebookFields!A2:A1898, 0))), "")</f>
        <v>1</v>
      </c>
      <c r="K1515" s="4" t="b">
        <f>AND(((F1515)=TRUE), ((J1515)=TRUE))</f>
        <v>0</v>
      </c>
      <c r="L1515" s="4" t="b">
        <f>AND(((G1515 &lt;&gt; "plain")=TRUE), ((G1515 &lt;&gt; "")=TRUE))</f>
        <v>0</v>
      </c>
      <c r="M1515" s="4" t="str">
        <f>IF(((E1515)=TRUE),  C1515 &amp; "|" &amp; H1515,  "")</f>
        <v>principal-process-steward|Roles</v>
      </c>
      <c r="N1515" s="3" t="s">
        <v>10004</v>
      </c>
    </row>
    <row r="1516">
      <c r="A1516" s="3" t="s">
        <v>11518</v>
      </c>
      <c r="B1516" s="4" t="str">
        <f>C1516 &amp; " -&gt; " &amp; D1516</f>
        <v>principal-process-steward -&gt; Roles.SemanticTypeIri</v>
      </c>
      <c r="C1516" s="3" t="s">
        <v>9772</v>
      </c>
      <c r="D1516" s="3" t="s">
        <v>2543</v>
      </c>
      <c r="E1516" s="3" t="b">
        <v>1</v>
      </c>
      <c r="F1516" s="3" t="b">
        <v>0</v>
      </c>
      <c r="G1516" s="3" t="s">
        <v>10003</v>
      </c>
      <c r="H1516" s="4" t="str">
        <f>_xlfn.IFNA(IF(((INDEX(RulebookFields!C2:C1898, MATCH(D1516,RulebookFields!A2:A1898, 0))="")=TRUE),  "",  INDEX(RulebookFields!C2:C1898, MATCH(D1516,RulebookFields!A2:A1898, 0))), "")</f>
        <v>Roles</v>
      </c>
      <c r="I1516" s="4" t="str">
        <f>_xlfn.IFNA(IF(((INDEX(RulebookFields!D2:D1898, MATCH(D1516,RulebookFields!A2:A1898, 0))="")=TRUE),  "",  INDEX(RulebookFields!D2:D1898, MATCH(D1516,RulebookFields!A2:A1898, 0))), "")</f>
        <v>SemanticTypeIri</v>
      </c>
      <c r="J1516" s="4" t="b">
        <f>_xlfn.IFNA(IF(((INDEX(RulebookFields!I2:I1898, MATCH(D1516,RulebookFields!A2:A1898, 0))="")=TRUE),  "",  INDEX(RulebookFields!I2:I1898, MATCH(D1516,RulebookFields!A2:A1898, 0))), "")</f>
        <v>0</v>
      </c>
      <c r="K1516" s="4" t="b">
        <f>AND(((F1516)=TRUE), ((J1516)=TRUE))</f>
        <v>0</v>
      </c>
      <c r="L1516" s="4" t="b">
        <f>AND(((G1516 &lt;&gt; "plain")=TRUE), ((G1516 &lt;&gt; "")=TRUE))</f>
        <v>0</v>
      </c>
      <c r="M1516" s="4" t="str">
        <f>IF(((E1516)=TRUE),  C1516 &amp; "|" &amp; H1516,  "")</f>
        <v>principal-process-steward|Roles</v>
      </c>
      <c r="N1516" s="3" t="s">
        <v>10004</v>
      </c>
    </row>
    <row r="1517">
      <c r="A1517" s="3" t="s">
        <v>11519</v>
      </c>
      <c r="B1517" s="4" t="str">
        <f>C1517 &amp; " -&gt; " &amp; D1517</f>
        <v>principal-process-steward -&gt; RulebookFields.RulebookFieldId</v>
      </c>
      <c r="C1517" s="3" t="s">
        <v>9772</v>
      </c>
      <c r="D1517" s="3" t="s">
        <v>4171</v>
      </c>
      <c r="E1517" s="3" t="b">
        <v>1</v>
      </c>
      <c r="F1517" s="3" t="b">
        <v>0</v>
      </c>
      <c r="G1517" s="3" t="s">
        <v>10003</v>
      </c>
      <c r="H1517" s="4" t="str">
        <f>_xlfn.IFNA(IF(((INDEX(RulebookFields!C2:C1898, MATCH(D1517,RulebookFields!A2:A1898, 0))="")=TRUE),  "",  INDEX(RulebookFields!C2:C1898, MATCH(D1517,RulebookFields!A2:A1898, 0))), "")</f>
        <v>RulebookFields</v>
      </c>
      <c r="I1517" s="4" t="str">
        <f>_xlfn.IFNA(IF(((INDEX(RulebookFields!D2:D1898, MATCH(D1517,RulebookFields!A2:A1898, 0))="")=TRUE),  "",  INDEX(RulebookFields!D2:D1898, MATCH(D1517,RulebookFields!A2:A1898, 0))), "")</f>
        <v>RulebookFieldId</v>
      </c>
      <c r="J1517" s="4" t="b">
        <f>_xlfn.IFNA(IF(((INDEX(RulebookFields!I2:I1898, MATCH(D1517,RulebookFields!A2:A1898, 0))="")=TRUE),  "",  INDEX(RulebookFields!I2:I1898, MATCH(D1517,RulebookFields!A2:A1898, 0))), "")</f>
        <v>0</v>
      </c>
      <c r="K1517" s="4" t="b">
        <f>AND(((F1517)=TRUE), ((J1517)=TRUE))</f>
        <v>0</v>
      </c>
      <c r="L1517" s="4" t="b">
        <f>AND(((G1517 &lt;&gt; "plain")=TRUE), ((G1517 &lt;&gt; "")=TRUE))</f>
        <v>0</v>
      </c>
      <c r="M1517" s="4" t="str">
        <f>IF(((E1517)=TRUE),  C1517 &amp; "|" &amp; H1517,  "")</f>
        <v>principal-process-steward|RulebookFields</v>
      </c>
      <c r="N1517" s="3" t="s">
        <v>10004</v>
      </c>
    </row>
    <row r="1518">
      <c r="A1518" s="3" t="s">
        <v>11520</v>
      </c>
      <c r="B1518" s="4" t="str">
        <f>C1518 &amp; " -&gt; " &amp; D1518</f>
        <v>principal-process-steward -&gt; RulebookFields.Name</v>
      </c>
      <c r="C1518" s="3" t="s">
        <v>9772</v>
      </c>
      <c r="D1518" s="3" t="s">
        <v>4173</v>
      </c>
      <c r="E1518" s="3" t="b">
        <v>1</v>
      </c>
      <c r="F1518" s="3" t="b">
        <v>0</v>
      </c>
      <c r="G1518" s="3" t="s">
        <v>10003</v>
      </c>
      <c r="H1518" s="4" t="str">
        <f>_xlfn.IFNA(IF(((INDEX(RulebookFields!C2:C1898, MATCH(D1518,RulebookFields!A2:A1898, 0))="")=TRUE),  "",  INDEX(RulebookFields!C2:C1898, MATCH(D1518,RulebookFields!A2:A1898, 0))), "")</f>
        <v>RulebookFields</v>
      </c>
      <c r="I1518" s="4" t="str">
        <f>_xlfn.IFNA(IF(((INDEX(RulebookFields!D2:D1898, MATCH(D1518,RulebookFields!A2:A1898, 0))="")=TRUE),  "",  INDEX(RulebookFields!D2:D1898, MATCH(D1518,RulebookFields!A2:A1898, 0))), "")</f>
        <v>Name</v>
      </c>
      <c r="J1518" s="4" t="b">
        <f>_xlfn.IFNA(IF(((INDEX(RulebookFields!I2:I1898, MATCH(D1518,RulebookFields!A2:A1898, 0))="")=TRUE),  "",  INDEX(RulebookFields!I2:I1898, MATCH(D1518,RulebookFields!A2:A1898, 0))), "")</f>
        <v>1</v>
      </c>
      <c r="K1518" s="4" t="b">
        <f>AND(((F1518)=TRUE), ((J1518)=TRUE))</f>
        <v>0</v>
      </c>
      <c r="L1518" s="4" t="b">
        <f>AND(((G1518 &lt;&gt; "plain")=TRUE), ((G1518 &lt;&gt; "")=TRUE))</f>
        <v>0</v>
      </c>
      <c r="M1518" s="4" t="str">
        <f>IF(((E1518)=TRUE),  C1518 &amp; "|" &amp; H1518,  "")</f>
        <v>principal-process-steward|RulebookFields</v>
      </c>
      <c r="N1518" s="3" t="s">
        <v>10004</v>
      </c>
    </row>
    <row r="1519">
      <c r="A1519" s="3" t="s">
        <v>11521</v>
      </c>
      <c r="B1519" s="4" t="str">
        <f>C1519 &amp; " -&gt; " &amp; D1519</f>
        <v>principal-process-steward -&gt; RulebookFields.TargetTable</v>
      </c>
      <c r="C1519" s="3" t="s">
        <v>9772</v>
      </c>
      <c r="D1519" s="3" t="s">
        <v>4175</v>
      </c>
      <c r="E1519" s="3" t="b">
        <v>1</v>
      </c>
      <c r="F1519" s="3" t="b">
        <v>0</v>
      </c>
      <c r="G1519" s="3" t="s">
        <v>10003</v>
      </c>
      <c r="H1519" s="4" t="str">
        <f>_xlfn.IFNA(IF(((INDEX(RulebookFields!C2:C1898, MATCH(D1519,RulebookFields!A2:A1898, 0))="")=TRUE),  "",  INDEX(RulebookFields!C2:C1898, MATCH(D1519,RulebookFields!A2:A1898, 0))), "")</f>
        <v>RulebookFields</v>
      </c>
      <c r="I1519" s="4" t="str">
        <f>_xlfn.IFNA(IF(((INDEX(RulebookFields!D2:D1898, MATCH(D1519,RulebookFields!A2:A1898, 0))="")=TRUE),  "",  INDEX(RulebookFields!D2:D1898, MATCH(D1519,RulebookFields!A2:A1898, 0))), "")</f>
        <v>TargetTable</v>
      </c>
      <c r="J1519" s="4" t="b">
        <f>_xlfn.IFNA(IF(((INDEX(RulebookFields!I2:I1898, MATCH(D1519,RulebookFields!A2:A1898, 0))="")=TRUE),  "",  INDEX(RulebookFields!I2:I1898, MATCH(D1519,RulebookFields!A2:A1898, 0))), "")</f>
        <v>0</v>
      </c>
      <c r="K1519" s="4" t="b">
        <f>AND(((F1519)=TRUE), ((J1519)=TRUE))</f>
        <v>0</v>
      </c>
      <c r="L1519" s="4" t="b">
        <f>AND(((G1519 &lt;&gt; "plain")=TRUE), ((G1519 &lt;&gt; "")=TRUE))</f>
        <v>0</v>
      </c>
      <c r="M1519" s="4" t="str">
        <f>IF(((E1519)=TRUE),  C1519 &amp; "|" &amp; H1519,  "")</f>
        <v>principal-process-steward|RulebookFields</v>
      </c>
      <c r="N1519" s="3" t="s">
        <v>10004</v>
      </c>
    </row>
    <row r="1520">
      <c r="A1520" s="3" t="s">
        <v>11522</v>
      </c>
      <c r="B1520" s="4" t="str">
        <f>C1520 &amp; " -&gt; " &amp; D1520</f>
        <v>principal-process-steward -&gt; RulebookFields.FieldName</v>
      </c>
      <c r="C1520" s="3" t="s">
        <v>9772</v>
      </c>
      <c r="D1520" s="3" t="s">
        <v>4176</v>
      </c>
      <c r="E1520" s="3" t="b">
        <v>1</v>
      </c>
      <c r="F1520" s="3" t="b">
        <v>0</v>
      </c>
      <c r="G1520" s="3" t="s">
        <v>10003</v>
      </c>
      <c r="H1520" s="4" t="str">
        <f>_xlfn.IFNA(IF(((INDEX(RulebookFields!C2:C1898, MATCH(D1520,RulebookFields!A2:A1898, 0))="")=TRUE),  "",  INDEX(RulebookFields!C2:C1898, MATCH(D1520,RulebookFields!A2:A1898, 0))), "")</f>
        <v>RulebookFields</v>
      </c>
      <c r="I1520" s="4" t="str">
        <f>_xlfn.IFNA(IF(((INDEX(RulebookFields!D2:D1898, MATCH(D1520,RulebookFields!A2:A1898, 0))="")=TRUE),  "",  INDEX(RulebookFields!D2:D1898, MATCH(D1520,RulebookFields!A2:A1898, 0))), "")</f>
        <v>FieldName</v>
      </c>
      <c r="J1520" s="4" t="b">
        <f>_xlfn.IFNA(IF(((INDEX(RulebookFields!I2:I1898, MATCH(D1520,RulebookFields!A2:A1898, 0))="")=TRUE),  "",  INDEX(RulebookFields!I2:I1898, MATCH(D1520,RulebookFields!A2:A1898, 0))), "")</f>
        <v>0</v>
      </c>
      <c r="K1520" s="4" t="b">
        <f>AND(((F1520)=TRUE), ((J1520)=TRUE))</f>
        <v>0</v>
      </c>
      <c r="L1520" s="4" t="b">
        <f>AND(((G1520 &lt;&gt; "plain")=TRUE), ((G1520 &lt;&gt; "")=TRUE))</f>
        <v>0</v>
      </c>
      <c r="M1520" s="4" t="str">
        <f>IF(((E1520)=TRUE),  C1520 &amp; "|" &amp; H1520,  "")</f>
        <v>principal-process-steward|RulebookFields</v>
      </c>
      <c r="N1520" s="3" t="s">
        <v>10004</v>
      </c>
    </row>
    <row r="1521">
      <c r="A1521" s="3" t="s">
        <v>11523</v>
      </c>
      <c r="B1521" s="4" t="str">
        <f>C1521 &amp; " -&gt; " &amp; D1521</f>
        <v>principal-process-steward -&gt; RulebookFields.FieldType</v>
      </c>
      <c r="C1521" s="3" t="s">
        <v>9772</v>
      </c>
      <c r="D1521" s="3" t="s">
        <v>4177</v>
      </c>
      <c r="E1521" s="3" t="b">
        <v>1</v>
      </c>
      <c r="F1521" s="3" t="b">
        <v>0</v>
      </c>
      <c r="G1521" s="3" t="s">
        <v>10003</v>
      </c>
      <c r="H1521" s="4" t="str">
        <f>_xlfn.IFNA(IF(((INDEX(RulebookFields!C2:C1898, MATCH(D1521,RulebookFields!A2:A1898, 0))="")=TRUE),  "",  INDEX(RulebookFields!C2:C1898, MATCH(D1521,RulebookFields!A2:A1898, 0))), "")</f>
        <v>RulebookFields</v>
      </c>
      <c r="I1521" s="4" t="str">
        <f>_xlfn.IFNA(IF(((INDEX(RulebookFields!D2:D1898, MATCH(D1521,RulebookFields!A2:A1898, 0))="")=TRUE),  "",  INDEX(RulebookFields!D2:D1898, MATCH(D1521,RulebookFields!A2:A1898, 0))), "")</f>
        <v>FieldType</v>
      </c>
      <c r="J1521" s="4" t="b">
        <f>_xlfn.IFNA(IF(((INDEX(RulebookFields!I2:I1898, MATCH(D1521,RulebookFields!A2:A1898, 0))="")=TRUE),  "",  INDEX(RulebookFields!I2:I1898, MATCH(D1521,RulebookFields!A2:A1898, 0))), "")</f>
        <v>0</v>
      </c>
      <c r="K1521" s="4" t="b">
        <f>AND(((F1521)=TRUE), ((J1521)=TRUE))</f>
        <v>0</v>
      </c>
      <c r="L1521" s="4" t="b">
        <f>AND(((G1521 &lt;&gt; "plain")=TRUE), ((G1521 &lt;&gt; "")=TRUE))</f>
        <v>0</v>
      </c>
      <c r="M1521" s="4" t="str">
        <f>IF(((E1521)=TRUE),  C1521 &amp; "|" &amp; H1521,  "")</f>
        <v>principal-process-steward|RulebookFields</v>
      </c>
      <c r="N1521" s="3" t="s">
        <v>10004</v>
      </c>
    </row>
    <row r="1522">
      <c r="A1522" s="3" t="s">
        <v>11524</v>
      </c>
      <c r="B1522" s="4" t="str">
        <f>C1522 &amp; " -&gt; " &amp; D1522</f>
        <v>principal-process-steward -&gt; RulebookFields.Datatype</v>
      </c>
      <c r="C1522" s="3" t="s">
        <v>9772</v>
      </c>
      <c r="D1522" s="3" t="s">
        <v>4178</v>
      </c>
      <c r="E1522" s="3" t="b">
        <v>1</v>
      </c>
      <c r="F1522" s="3" t="b">
        <v>0</v>
      </c>
      <c r="G1522" s="3" t="s">
        <v>10003</v>
      </c>
      <c r="H1522" s="4" t="str">
        <f>_xlfn.IFNA(IF(((INDEX(RulebookFields!C2:C1898, MATCH(D1522,RulebookFields!A2:A1898, 0))="")=TRUE),  "",  INDEX(RulebookFields!C2:C1898, MATCH(D1522,RulebookFields!A2:A1898, 0))), "")</f>
        <v>RulebookFields</v>
      </c>
      <c r="I1522" s="4" t="str">
        <f>_xlfn.IFNA(IF(((INDEX(RulebookFields!D2:D1898, MATCH(D1522,RulebookFields!A2:A1898, 0))="")=TRUE),  "",  INDEX(RulebookFields!D2:D1898, MATCH(D1522,RulebookFields!A2:A1898, 0))), "")</f>
        <v>Datatype</v>
      </c>
      <c r="J1522" s="4" t="b">
        <f>_xlfn.IFNA(IF(((INDEX(RulebookFields!I2:I1898, MATCH(D1522,RulebookFields!A2:A1898, 0))="")=TRUE),  "",  INDEX(RulebookFields!I2:I1898, MATCH(D1522,RulebookFields!A2:A1898, 0))), "")</f>
        <v>0</v>
      </c>
      <c r="K1522" s="4" t="b">
        <f>AND(((F1522)=TRUE), ((J1522)=TRUE))</f>
        <v>0</v>
      </c>
      <c r="L1522" s="4" t="b">
        <f>AND(((G1522 &lt;&gt; "plain")=TRUE), ((G1522 &lt;&gt; "")=TRUE))</f>
        <v>0</v>
      </c>
      <c r="M1522" s="4" t="str">
        <f>IF(((E1522)=TRUE),  C1522 &amp; "|" &amp; H1522,  "")</f>
        <v>principal-process-steward|RulebookFields</v>
      </c>
      <c r="N1522" s="3" t="s">
        <v>10004</v>
      </c>
    </row>
    <row r="1523">
      <c r="A1523" s="3" t="s">
        <v>11525</v>
      </c>
      <c r="B1523" s="4" t="str">
        <f>C1523 &amp; " -&gt; " &amp; D1523</f>
        <v>principal-process-steward -&gt; RulebookFields.Formula</v>
      </c>
      <c r="C1523" s="3" t="s">
        <v>9772</v>
      </c>
      <c r="D1523" s="3" t="s">
        <v>4179</v>
      </c>
      <c r="E1523" s="3" t="b">
        <v>1</v>
      </c>
      <c r="F1523" s="3" t="b">
        <v>0</v>
      </c>
      <c r="G1523" s="3" t="s">
        <v>10003</v>
      </c>
      <c r="H1523" s="4" t="str">
        <f>_xlfn.IFNA(IF(((INDEX(RulebookFields!C2:C1898, MATCH(D1523,RulebookFields!A2:A1898, 0))="")=TRUE),  "",  INDEX(RulebookFields!C2:C1898, MATCH(D1523,RulebookFields!A2:A1898, 0))), "")</f>
        <v>RulebookFields</v>
      </c>
      <c r="I1523" s="4" t="str">
        <f>_xlfn.IFNA(IF(((INDEX(RulebookFields!D2:D1898, MATCH(D1523,RulebookFields!A2:A1898, 0))="")=TRUE),  "",  INDEX(RulebookFields!D2:D1898, MATCH(D1523,RulebookFields!A2:A1898, 0))), "")</f>
        <v>Formula</v>
      </c>
      <c r="J1523" s="4" t="b">
        <f>_xlfn.IFNA(IF(((INDEX(RulebookFields!I2:I1898, MATCH(D1523,RulebookFields!A2:A1898, 0))="")=TRUE),  "",  INDEX(RulebookFields!I2:I1898, MATCH(D1523,RulebookFields!A2:A1898, 0))), "")</f>
        <v>0</v>
      </c>
      <c r="K1523" s="4" t="b">
        <f>AND(((F1523)=TRUE), ((J1523)=TRUE))</f>
        <v>0</v>
      </c>
      <c r="L1523" s="4" t="b">
        <f>AND(((G1523 &lt;&gt; "plain")=TRUE), ((G1523 &lt;&gt; "")=TRUE))</f>
        <v>0</v>
      </c>
      <c r="M1523" s="4" t="str">
        <f>IF(((E1523)=TRUE),  C1523 &amp; "|" &amp; H1523,  "")</f>
        <v>principal-process-steward|RulebookFields</v>
      </c>
      <c r="N1523" s="3" t="s">
        <v>10004</v>
      </c>
    </row>
    <row r="1524">
      <c r="A1524" s="3" t="s">
        <v>11526</v>
      </c>
      <c r="B1524" s="4" t="str">
        <f>C1524 &amp; " -&gt; " &amp; D1524</f>
        <v>principal-process-steward -&gt; RulebookFields.InventedForQuestion</v>
      </c>
      <c r="C1524" s="3" t="s">
        <v>9772</v>
      </c>
      <c r="D1524" s="3" t="s">
        <v>4180</v>
      </c>
      <c r="E1524" s="3" t="b">
        <v>1</v>
      </c>
      <c r="F1524" s="3" t="b">
        <v>0</v>
      </c>
      <c r="G1524" s="3" t="s">
        <v>10003</v>
      </c>
      <c r="H1524" s="4" t="str">
        <f>_xlfn.IFNA(IF(((INDEX(RulebookFields!C2:C1898, MATCH(D1524,RulebookFields!A2:A1898, 0))="")=TRUE),  "",  INDEX(RulebookFields!C2:C1898, MATCH(D1524,RulebookFields!A2:A1898, 0))), "")</f>
        <v>RulebookFields</v>
      </c>
      <c r="I1524" s="4" t="str">
        <f>_xlfn.IFNA(IF(((INDEX(RulebookFields!D2:D1898, MATCH(D1524,RulebookFields!A2:A1898, 0))="")=TRUE),  "",  INDEX(RulebookFields!D2:D1898, MATCH(D1524,RulebookFields!A2:A1898, 0))), "")</f>
        <v>InventedForQuestion</v>
      </c>
      <c r="J1524" s="4" t="b">
        <f>_xlfn.IFNA(IF(((INDEX(RulebookFields!I2:I1898, MATCH(D1524,RulebookFields!A2:A1898, 0))="")=TRUE),  "",  INDEX(RulebookFields!I2:I1898, MATCH(D1524,RulebookFields!A2:A1898, 0))), "")</f>
        <v>0</v>
      </c>
      <c r="K1524" s="4" t="b">
        <f>AND(((F1524)=TRUE), ((J1524)=TRUE))</f>
        <v>0</v>
      </c>
      <c r="L1524" s="4" t="b">
        <f>AND(((G1524 &lt;&gt; "plain")=TRUE), ((G1524 &lt;&gt; "")=TRUE))</f>
        <v>0</v>
      </c>
      <c r="M1524" s="4" t="str">
        <f>IF(((E1524)=TRUE),  C1524 &amp; "|" &amp; H1524,  "")</f>
        <v>principal-process-steward|RulebookFields</v>
      </c>
      <c r="N1524" s="3" t="s">
        <v>10004</v>
      </c>
    </row>
    <row r="1525">
      <c r="A1525" s="3" t="s">
        <v>11527</v>
      </c>
      <c r="B1525" s="4" t="str">
        <f>C1525 &amp; " -&gt; " &amp; D1525</f>
        <v>principal-process-steward -&gt; RulebookFields.IsDerived</v>
      </c>
      <c r="C1525" s="3" t="s">
        <v>9772</v>
      </c>
      <c r="D1525" s="3" t="s">
        <v>4181</v>
      </c>
      <c r="E1525" s="3" t="b">
        <v>1</v>
      </c>
      <c r="F1525" s="3" t="b">
        <v>0</v>
      </c>
      <c r="G1525" s="3" t="s">
        <v>10003</v>
      </c>
      <c r="H1525" s="4" t="str">
        <f>_xlfn.IFNA(IF(((INDEX(RulebookFields!C2:C1898, MATCH(D1525,RulebookFields!A2:A1898, 0))="")=TRUE),  "",  INDEX(RulebookFields!C2:C1898, MATCH(D1525,RulebookFields!A2:A1898, 0))), "")</f>
        <v>RulebookFields</v>
      </c>
      <c r="I1525" s="4" t="str">
        <f>_xlfn.IFNA(IF(((INDEX(RulebookFields!D2:D1898, MATCH(D1525,RulebookFields!A2:A1898, 0))="")=TRUE),  "",  INDEX(RulebookFields!D2:D1898, MATCH(D1525,RulebookFields!A2:A1898, 0))), "")</f>
        <v>IsDerived</v>
      </c>
      <c r="J1525" s="4" t="b">
        <f>_xlfn.IFNA(IF(((INDEX(RulebookFields!I2:I1898, MATCH(D1525,RulebookFields!A2:A1898, 0))="")=TRUE),  "",  INDEX(RulebookFields!I2:I1898, MATCH(D1525,RulebookFields!A2:A1898, 0))), "")</f>
        <v>1</v>
      </c>
      <c r="K1525" s="4" t="b">
        <f>AND(((F1525)=TRUE), ((J1525)=TRUE))</f>
        <v>0</v>
      </c>
      <c r="L1525" s="4" t="b">
        <f>AND(((G1525 &lt;&gt; "plain")=TRUE), ((G1525 &lt;&gt; "")=TRUE))</f>
        <v>0</v>
      </c>
      <c r="M1525" s="4" t="str">
        <f>IF(((E1525)=TRUE),  C1525 &amp; "|" &amp; H1525,  "")</f>
        <v>principal-process-steward|RulebookFields</v>
      </c>
      <c r="N1525" s="3" t="s">
        <v>10004</v>
      </c>
    </row>
    <row r="1526">
      <c r="A1526" s="3" t="s">
        <v>11528</v>
      </c>
      <c r="B1526" s="4" t="str">
        <f>C1526 &amp; " -&gt; " &amp; D1526</f>
        <v>principal-process-steward -&gt; RulebookFields.IsWitness</v>
      </c>
      <c r="C1526" s="3" t="s">
        <v>9772</v>
      </c>
      <c r="D1526" s="3" t="s">
        <v>4183</v>
      </c>
      <c r="E1526" s="3" t="b">
        <v>1</v>
      </c>
      <c r="F1526" s="3" t="b">
        <v>0</v>
      </c>
      <c r="G1526" s="3" t="s">
        <v>10003</v>
      </c>
      <c r="H1526" s="4" t="str">
        <f>_xlfn.IFNA(IF(((INDEX(RulebookFields!C2:C1898, MATCH(D1526,RulebookFields!A2:A1898, 0))="")=TRUE),  "",  INDEX(RulebookFields!C2:C1898, MATCH(D1526,RulebookFields!A2:A1898, 0))), "")</f>
        <v>RulebookFields</v>
      </c>
      <c r="I1526" s="4" t="str">
        <f>_xlfn.IFNA(IF(((INDEX(RulebookFields!D2:D1898, MATCH(D1526,RulebookFields!A2:A1898, 0))="")=TRUE),  "",  INDEX(RulebookFields!D2:D1898, MATCH(D1526,RulebookFields!A2:A1898, 0))), "")</f>
        <v>IsWitness</v>
      </c>
      <c r="J1526" s="4" t="b">
        <f>_xlfn.IFNA(IF(((INDEX(RulebookFields!I2:I1898, MATCH(D1526,RulebookFields!A2:A1898, 0))="")=TRUE),  "",  INDEX(RulebookFields!I2:I1898, MATCH(D1526,RulebookFields!A2:A1898, 0))), "")</f>
        <v>1</v>
      </c>
      <c r="K1526" s="4" t="b">
        <f>AND(((F1526)=TRUE), ((J1526)=TRUE))</f>
        <v>0</v>
      </c>
      <c r="L1526" s="4" t="b">
        <f>AND(((G1526 &lt;&gt; "plain")=TRUE), ((G1526 &lt;&gt; "")=TRUE))</f>
        <v>0</v>
      </c>
      <c r="M1526" s="4" t="str">
        <f>IF(((E1526)=TRUE),  C1526 &amp; "|" &amp; H1526,  "")</f>
        <v>principal-process-steward|RulebookFields</v>
      </c>
      <c r="N1526" s="3" t="s">
        <v>10004</v>
      </c>
    </row>
    <row r="1527">
      <c r="A1527" s="3" t="s">
        <v>11529</v>
      </c>
      <c r="B1527" s="4" t="str">
        <f>C1527 &amp; " -&gt; " &amp; D1527</f>
        <v>principal-process-steward -&gt; RulebookFields.SemanticTypeIri</v>
      </c>
      <c r="C1527" s="3" t="s">
        <v>9772</v>
      </c>
      <c r="D1527" s="3" t="s">
        <v>4189</v>
      </c>
      <c r="E1527" s="3" t="b">
        <v>1</v>
      </c>
      <c r="F1527" s="3" t="b">
        <v>0</v>
      </c>
      <c r="G1527" s="3" t="s">
        <v>10003</v>
      </c>
      <c r="H1527" s="4" t="str">
        <f>_xlfn.IFNA(IF(((INDEX(RulebookFields!C2:C1898, MATCH(D1527,RulebookFields!A2:A1898, 0))="")=TRUE),  "",  INDEX(RulebookFields!C2:C1898, MATCH(D1527,RulebookFields!A2:A1898, 0))), "")</f>
        <v>RulebookFields</v>
      </c>
      <c r="I1527" s="4" t="str">
        <f>_xlfn.IFNA(IF(((INDEX(RulebookFields!D2:D1898, MATCH(D1527,RulebookFields!A2:A1898, 0))="")=TRUE),  "",  INDEX(RulebookFields!D2:D1898, MATCH(D1527,RulebookFields!A2:A1898, 0))), "")</f>
        <v>SemanticTypeIri</v>
      </c>
      <c r="J1527" s="4" t="b">
        <f>_xlfn.IFNA(IF(((INDEX(RulebookFields!I2:I1898, MATCH(D1527,RulebookFields!A2:A1898, 0))="")=TRUE),  "",  INDEX(RulebookFields!I2:I1898, MATCH(D1527,RulebookFields!A2:A1898, 0))), "")</f>
        <v>0</v>
      </c>
      <c r="K1527" s="4" t="b">
        <f>AND(((F1527)=TRUE), ((J1527)=TRUE))</f>
        <v>0</v>
      </c>
      <c r="L1527" s="4" t="b">
        <f>AND(((G1527 &lt;&gt; "plain")=TRUE), ((G1527 &lt;&gt; "")=TRUE))</f>
        <v>0</v>
      </c>
      <c r="M1527" s="4" t="str">
        <f>IF(((E1527)=TRUE),  C1527 &amp; "|" &amp; H1527,  "")</f>
        <v>principal-process-steward|RulebookFields</v>
      </c>
      <c r="N1527" s="3" t="s">
        <v>10004</v>
      </c>
    </row>
    <row r="1528">
      <c r="A1528" s="3" t="s">
        <v>11530</v>
      </c>
      <c r="B1528" s="4" t="str">
        <f>C1528 &amp; " -&gt; " &amp; D1528</f>
        <v>principal-process-steward -&gt; RulebookReleases.RulebookReleaseId</v>
      </c>
      <c r="C1528" s="3" t="s">
        <v>9772</v>
      </c>
      <c r="D1528" s="3" t="s">
        <v>2414</v>
      </c>
      <c r="E1528" s="3" t="b">
        <v>1</v>
      </c>
      <c r="F1528" s="3" t="b">
        <v>0</v>
      </c>
      <c r="G1528" s="3" t="s">
        <v>10003</v>
      </c>
      <c r="H1528" s="4" t="str">
        <f>_xlfn.IFNA(IF(((INDEX(RulebookFields!C2:C1898, MATCH(D1528,RulebookFields!A2:A1898, 0))="")=TRUE),  "",  INDEX(RulebookFields!C2:C1898, MATCH(D1528,RulebookFields!A2:A1898, 0))), "")</f>
        <v>RulebookReleases</v>
      </c>
      <c r="I1528" s="4" t="str">
        <f>_xlfn.IFNA(IF(((INDEX(RulebookFields!D2:D1898, MATCH(D1528,RulebookFields!A2:A1898, 0))="")=TRUE),  "",  INDEX(RulebookFields!D2:D1898, MATCH(D1528,RulebookFields!A2:A1898, 0))), "")</f>
        <v>RulebookReleaseId</v>
      </c>
      <c r="J1528" s="4" t="b">
        <f>_xlfn.IFNA(IF(((INDEX(RulebookFields!I2:I1898, MATCH(D1528,RulebookFields!A2:A1898, 0))="")=TRUE),  "",  INDEX(RulebookFields!I2:I1898, MATCH(D1528,RulebookFields!A2:A1898, 0))), "")</f>
        <v>0</v>
      </c>
      <c r="K1528" s="4" t="b">
        <f>AND(((F1528)=TRUE), ((J1528)=TRUE))</f>
        <v>0</v>
      </c>
      <c r="L1528" s="4" t="b">
        <f>AND(((G1528 &lt;&gt; "plain")=TRUE), ((G1528 &lt;&gt; "")=TRUE))</f>
        <v>0</v>
      </c>
      <c r="M1528" s="4" t="str">
        <f>IF(((E1528)=TRUE),  C1528 &amp; "|" &amp; H1528,  "")</f>
        <v>principal-process-steward|RulebookReleases</v>
      </c>
      <c r="N1528" s="3" t="s">
        <v>10004</v>
      </c>
    </row>
    <row r="1529">
      <c r="A1529" s="3" t="s">
        <v>11531</v>
      </c>
      <c r="B1529" s="4" t="str">
        <f>C1529 &amp; " -&gt; " &amp; D1529</f>
        <v>principal-process-steward -&gt; RulebookReleases.Name</v>
      </c>
      <c r="C1529" s="3" t="s">
        <v>9772</v>
      </c>
      <c r="D1529" s="3" t="s">
        <v>2419</v>
      </c>
      <c r="E1529" s="3" t="b">
        <v>1</v>
      </c>
      <c r="F1529" s="3" t="b">
        <v>0</v>
      </c>
      <c r="G1529" s="3" t="s">
        <v>10003</v>
      </c>
      <c r="H1529" s="4" t="str">
        <f>_xlfn.IFNA(IF(((INDEX(RulebookFields!C2:C1898, MATCH(D1529,RulebookFields!A2:A1898, 0))="")=TRUE),  "",  INDEX(RulebookFields!C2:C1898, MATCH(D1529,RulebookFields!A2:A1898, 0))), "")</f>
        <v>RulebookReleases</v>
      </c>
      <c r="I1529" s="4" t="str">
        <f>_xlfn.IFNA(IF(((INDEX(RulebookFields!D2:D1898, MATCH(D1529,RulebookFields!A2:A1898, 0))="")=TRUE),  "",  INDEX(RulebookFields!D2:D1898, MATCH(D1529,RulebookFields!A2:A1898, 0))), "")</f>
        <v>Name</v>
      </c>
      <c r="J1529" s="4" t="b">
        <f>_xlfn.IFNA(IF(((INDEX(RulebookFields!I2:I1898, MATCH(D1529,RulebookFields!A2:A1898, 0))="")=TRUE),  "",  INDEX(RulebookFields!I2:I1898, MATCH(D1529,RulebookFields!A2:A1898, 0))), "")</f>
        <v>1</v>
      </c>
      <c r="K1529" s="4" t="b">
        <f>AND(((F1529)=TRUE), ((J1529)=TRUE))</f>
        <v>0</v>
      </c>
      <c r="L1529" s="4" t="b">
        <f>AND(((G1529 &lt;&gt; "plain")=TRUE), ((G1529 &lt;&gt; "")=TRUE))</f>
        <v>0</v>
      </c>
      <c r="M1529" s="4" t="str">
        <f>IF(((E1529)=TRUE),  C1529 &amp; "|" &amp; H1529,  "")</f>
        <v>principal-process-steward|RulebookReleases</v>
      </c>
      <c r="N1529" s="3" t="s">
        <v>10004</v>
      </c>
    </row>
    <row r="1530">
      <c r="A1530" s="3" t="s">
        <v>11532</v>
      </c>
      <c r="B1530" s="4" t="str">
        <f>C1530 &amp; " -&gt; " &amp; D1530</f>
        <v>principal-process-steward -&gt; RulebookReleases.RulebookVersion</v>
      </c>
      <c r="C1530" s="3" t="s">
        <v>9772</v>
      </c>
      <c r="D1530" s="3" t="s">
        <v>2422</v>
      </c>
      <c r="E1530" s="3" t="b">
        <v>1</v>
      </c>
      <c r="F1530" s="3" t="b">
        <v>0</v>
      </c>
      <c r="G1530" s="3" t="s">
        <v>10003</v>
      </c>
      <c r="H1530" s="4" t="str">
        <f>_xlfn.IFNA(IF(((INDEX(RulebookFields!C2:C1898, MATCH(D1530,RulebookFields!A2:A1898, 0))="")=TRUE),  "",  INDEX(RulebookFields!C2:C1898, MATCH(D1530,RulebookFields!A2:A1898, 0))), "")</f>
        <v>RulebookReleases</v>
      </c>
      <c r="I1530" s="4" t="str">
        <f>_xlfn.IFNA(IF(((INDEX(RulebookFields!D2:D1898, MATCH(D1530,RulebookFields!A2:A1898, 0))="")=TRUE),  "",  INDEX(RulebookFields!D2:D1898, MATCH(D1530,RulebookFields!A2:A1898, 0))), "")</f>
        <v>RulebookVersion</v>
      </c>
      <c r="J1530" s="4" t="b">
        <f>_xlfn.IFNA(IF(((INDEX(RulebookFields!I2:I1898, MATCH(D1530,RulebookFields!A2:A1898, 0))="")=TRUE),  "",  INDEX(RulebookFields!I2:I1898, MATCH(D1530,RulebookFields!A2:A1898, 0))), "")</f>
        <v>0</v>
      </c>
      <c r="K1530" s="4" t="b">
        <f>AND(((F1530)=TRUE), ((J1530)=TRUE))</f>
        <v>0</v>
      </c>
      <c r="L1530" s="4" t="b">
        <f>AND(((G1530 &lt;&gt; "plain")=TRUE), ((G1530 &lt;&gt; "")=TRUE))</f>
        <v>0</v>
      </c>
      <c r="M1530" s="4" t="str">
        <f>IF(((E1530)=TRUE),  C1530 &amp; "|" &amp; H1530,  "")</f>
        <v>principal-process-steward|RulebookReleases</v>
      </c>
      <c r="N1530" s="3" t="s">
        <v>10004</v>
      </c>
    </row>
    <row r="1531">
      <c r="A1531" s="3" t="s">
        <v>11533</v>
      </c>
      <c r="B1531" s="4" t="str">
        <f>C1531 &amp; " -&gt; " &amp; D1531</f>
        <v>principal-process-steward -&gt; RulebookReleases.ProfileVersion</v>
      </c>
      <c r="C1531" s="3" t="s">
        <v>9772</v>
      </c>
      <c r="D1531" s="3" t="s">
        <v>2423</v>
      </c>
      <c r="E1531" s="3" t="b">
        <v>1</v>
      </c>
      <c r="F1531" s="3" t="b">
        <v>0</v>
      </c>
      <c r="G1531" s="3" t="s">
        <v>10003</v>
      </c>
      <c r="H1531" s="4" t="str">
        <f>_xlfn.IFNA(IF(((INDEX(RulebookFields!C2:C1898, MATCH(D1531,RulebookFields!A2:A1898, 0))="")=TRUE),  "",  INDEX(RulebookFields!C2:C1898, MATCH(D1531,RulebookFields!A2:A1898, 0))), "")</f>
        <v>RulebookReleases</v>
      </c>
      <c r="I1531" s="4" t="str">
        <f>_xlfn.IFNA(IF(((INDEX(RulebookFields!D2:D1898, MATCH(D1531,RulebookFields!A2:A1898, 0))="")=TRUE),  "",  INDEX(RulebookFields!D2:D1898, MATCH(D1531,RulebookFields!A2:A1898, 0))), "")</f>
        <v>ProfileVersion</v>
      </c>
      <c r="J1531" s="4" t="b">
        <f>_xlfn.IFNA(IF(((INDEX(RulebookFields!I2:I1898, MATCH(D1531,RulebookFields!A2:A1898, 0))="")=TRUE),  "",  INDEX(RulebookFields!I2:I1898, MATCH(D1531,RulebookFields!A2:A1898, 0))), "")</f>
        <v>0</v>
      </c>
      <c r="K1531" s="4" t="b">
        <f>AND(((F1531)=TRUE), ((J1531)=TRUE))</f>
        <v>0</v>
      </c>
      <c r="L1531" s="4" t="b">
        <f>AND(((G1531 &lt;&gt; "plain")=TRUE), ((G1531 &lt;&gt; "")=TRUE))</f>
        <v>0</v>
      </c>
      <c r="M1531" s="4" t="str">
        <f>IF(((E1531)=TRUE),  C1531 &amp; "|" &amp; H1531,  "")</f>
        <v>principal-process-steward|RulebookReleases</v>
      </c>
      <c r="N1531" s="3" t="s">
        <v>10004</v>
      </c>
    </row>
    <row r="1532">
      <c r="A1532" s="3" t="s">
        <v>11534</v>
      </c>
      <c r="B1532" s="4" t="str">
        <f>C1532 &amp; " -&gt; " &amp; D1532</f>
        <v>principal-process-steward -&gt; RulebookReleases.ProfileSchemaPath</v>
      </c>
      <c r="C1532" s="3" t="s">
        <v>9772</v>
      </c>
      <c r="D1532" s="3" t="s">
        <v>2424</v>
      </c>
      <c r="E1532" s="3" t="b">
        <v>1</v>
      </c>
      <c r="F1532" s="3" t="b">
        <v>0</v>
      </c>
      <c r="G1532" s="3" t="s">
        <v>10003</v>
      </c>
      <c r="H1532" s="4" t="str">
        <f>_xlfn.IFNA(IF(((INDEX(RulebookFields!C2:C1898, MATCH(D1532,RulebookFields!A2:A1898, 0))="")=TRUE),  "",  INDEX(RulebookFields!C2:C1898, MATCH(D1532,RulebookFields!A2:A1898, 0))), "")</f>
        <v>RulebookReleases</v>
      </c>
      <c r="I1532" s="4" t="str">
        <f>_xlfn.IFNA(IF(((INDEX(RulebookFields!D2:D1898, MATCH(D1532,RulebookFields!A2:A1898, 0))="")=TRUE),  "",  INDEX(RulebookFields!D2:D1898, MATCH(D1532,RulebookFields!A2:A1898, 0))), "")</f>
        <v>ProfileSchemaPath</v>
      </c>
      <c r="J1532" s="4" t="b">
        <f>_xlfn.IFNA(IF(((INDEX(RulebookFields!I2:I1898, MATCH(D1532,RulebookFields!A2:A1898, 0))="")=TRUE),  "",  INDEX(RulebookFields!I2:I1898, MATCH(D1532,RulebookFields!A2:A1898, 0))), "")</f>
        <v>0</v>
      </c>
      <c r="K1532" s="4" t="b">
        <f>AND(((F1532)=TRUE), ((J1532)=TRUE))</f>
        <v>0</v>
      </c>
      <c r="L1532" s="4" t="b">
        <f>AND(((G1532 &lt;&gt; "plain")=TRUE), ((G1532 &lt;&gt; "")=TRUE))</f>
        <v>0</v>
      </c>
      <c r="M1532" s="4" t="str">
        <f>IF(((E1532)=TRUE),  C1532 &amp; "|" &amp; H1532,  "")</f>
        <v>principal-process-steward|RulebookReleases</v>
      </c>
      <c r="N1532" s="3" t="s">
        <v>10004</v>
      </c>
    </row>
    <row r="1533">
      <c r="A1533" s="3" t="s">
        <v>11535</v>
      </c>
      <c r="B1533" s="4" t="str">
        <f>C1533 &amp; " -&gt; " &amp; D1533</f>
        <v>principal-process-steward -&gt; RulebookReleases.PkoCoreVersionIri</v>
      </c>
      <c r="C1533" s="3" t="s">
        <v>9772</v>
      </c>
      <c r="D1533" s="3" t="s">
        <v>2425</v>
      </c>
      <c r="E1533" s="3" t="b">
        <v>1</v>
      </c>
      <c r="F1533" s="3" t="b">
        <v>0</v>
      </c>
      <c r="G1533" s="3" t="s">
        <v>10003</v>
      </c>
      <c r="H1533" s="4" t="str">
        <f>_xlfn.IFNA(IF(((INDEX(RulebookFields!C2:C1898, MATCH(D1533,RulebookFields!A2:A1898, 0))="")=TRUE),  "",  INDEX(RulebookFields!C2:C1898, MATCH(D1533,RulebookFields!A2:A1898, 0))), "")</f>
        <v>RulebookReleases</v>
      </c>
      <c r="I1533" s="4" t="str">
        <f>_xlfn.IFNA(IF(((INDEX(RulebookFields!D2:D1898, MATCH(D1533,RulebookFields!A2:A1898, 0))="")=TRUE),  "",  INDEX(RulebookFields!D2:D1898, MATCH(D1533,RulebookFields!A2:A1898, 0))), "")</f>
        <v>PkoCoreVersionIri</v>
      </c>
      <c r="J1533" s="4" t="b">
        <f>_xlfn.IFNA(IF(((INDEX(RulebookFields!I2:I1898, MATCH(D1533,RulebookFields!A2:A1898, 0))="")=TRUE),  "",  INDEX(RulebookFields!I2:I1898, MATCH(D1533,RulebookFields!A2:A1898, 0))), "")</f>
        <v>0</v>
      </c>
      <c r="K1533" s="4" t="b">
        <f>AND(((F1533)=TRUE), ((J1533)=TRUE))</f>
        <v>0</v>
      </c>
      <c r="L1533" s="4" t="b">
        <f>AND(((G1533 &lt;&gt; "plain")=TRUE), ((G1533 &lt;&gt; "")=TRUE))</f>
        <v>0</v>
      </c>
      <c r="M1533" s="4" t="str">
        <f>IF(((E1533)=TRUE),  C1533 &amp; "|" &amp; H1533,  "")</f>
        <v>principal-process-steward|RulebookReleases</v>
      </c>
      <c r="N1533" s="3" t="s">
        <v>10004</v>
      </c>
    </row>
    <row r="1534">
      <c r="A1534" s="3" t="s">
        <v>11536</v>
      </c>
      <c r="B1534" s="4" t="str">
        <f>C1534 &amp; " -&gt; " &amp; D1534</f>
        <v>principal-process-steward -&gt; RulebookReleases.PkoIndustryVersionIri</v>
      </c>
      <c r="C1534" s="3" t="s">
        <v>9772</v>
      </c>
      <c r="D1534" s="3" t="s">
        <v>2426</v>
      </c>
      <c r="E1534" s="3" t="b">
        <v>1</v>
      </c>
      <c r="F1534" s="3" t="b">
        <v>0</v>
      </c>
      <c r="G1534" s="3" t="s">
        <v>10003</v>
      </c>
      <c r="H1534" s="4" t="str">
        <f>_xlfn.IFNA(IF(((INDEX(RulebookFields!C2:C1898, MATCH(D1534,RulebookFields!A2:A1898, 0))="")=TRUE),  "",  INDEX(RulebookFields!C2:C1898, MATCH(D1534,RulebookFields!A2:A1898, 0))), "")</f>
        <v>RulebookReleases</v>
      </c>
      <c r="I1534" s="4" t="str">
        <f>_xlfn.IFNA(IF(((INDEX(RulebookFields!D2:D1898, MATCH(D1534,RulebookFields!A2:A1898, 0))="")=TRUE),  "",  INDEX(RulebookFields!D2:D1898, MATCH(D1534,RulebookFields!A2:A1898, 0))), "")</f>
        <v>PkoIndustryVersionIri</v>
      </c>
      <c r="J1534" s="4" t="b">
        <f>_xlfn.IFNA(IF(((INDEX(RulebookFields!I2:I1898, MATCH(D1534,RulebookFields!A2:A1898, 0))="")=TRUE),  "",  INDEX(RulebookFields!I2:I1898, MATCH(D1534,RulebookFields!A2:A1898, 0))), "")</f>
        <v>0</v>
      </c>
      <c r="K1534" s="4" t="b">
        <f>AND(((F1534)=TRUE), ((J1534)=TRUE))</f>
        <v>0</v>
      </c>
      <c r="L1534" s="4" t="b">
        <f>AND(((G1534 &lt;&gt; "plain")=TRUE), ((G1534 &lt;&gt; "")=TRUE))</f>
        <v>0</v>
      </c>
      <c r="M1534" s="4" t="str">
        <f>IF(((E1534)=TRUE),  C1534 &amp; "|" &amp; H1534,  "")</f>
        <v>principal-process-steward|RulebookReleases</v>
      </c>
      <c r="N1534" s="3" t="s">
        <v>10004</v>
      </c>
    </row>
    <row r="1535">
      <c r="A1535" s="3" t="s">
        <v>11537</v>
      </c>
      <c r="B1535" s="4" t="str">
        <f>C1535 &amp; " -&gt; " &amp; D1535</f>
        <v>principal-process-steward -&gt; RulebookReleases.IssuedAt</v>
      </c>
      <c r="C1535" s="3" t="s">
        <v>9772</v>
      </c>
      <c r="D1535" s="3" t="s">
        <v>2427</v>
      </c>
      <c r="E1535" s="3" t="b">
        <v>1</v>
      </c>
      <c r="F1535" s="3" t="b">
        <v>0</v>
      </c>
      <c r="G1535" s="3" t="s">
        <v>10003</v>
      </c>
      <c r="H1535" s="4" t="str">
        <f>_xlfn.IFNA(IF(((INDEX(RulebookFields!C2:C1898, MATCH(D1535,RulebookFields!A2:A1898, 0))="")=TRUE),  "",  INDEX(RulebookFields!C2:C1898, MATCH(D1535,RulebookFields!A2:A1898, 0))), "")</f>
        <v>RulebookReleases</v>
      </c>
      <c r="I1535" s="4" t="str">
        <f>_xlfn.IFNA(IF(((INDEX(RulebookFields!D2:D1898, MATCH(D1535,RulebookFields!A2:A1898, 0))="")=TRUE),  "",  INDEX(RulebookFields!D2:D1898, MATCH(D1535,RulebookFields!A2:A1898, 0))), "")</f>
        <v>IssuedAt</v>
      </c>
      <c r="J1535" s="4" t="b">
        <f>_xlfn.IFNA(IF(((INDEX(RulebookFields!I2:I1898, MATCH(D1535,RulebookFields!A2:A1898, 0))="")=TRUE),  "",  INDEX(RulebookFields!I2:I1898, MATCH(D1535,RulebookFields!A2:A1898, 0))), "")</f>
        <v>0</v>
      </c>
      <c r="K1535" s="4" t="b">
        <f>AND(((F1535)=TRUE), ((J1535)=TRUE))</f>
        <v>0</v>
      </c>
      <c r="L1535" s="4" t="b">
        <f>AND(((G1535 &lt;&gt; "plain")=TRUE), ((G1535 &lt;&gt; "")=TRUE))</f>
        <v>0</v>
      </c>
      <c r="M1535" s="4" t="str">
        <f>IF(((E1535)=TRUE),  C1535 &amp; "|" &amp; H1535,  "")</f>
        <v>principal-process-steward|RulebookReleases</v>
      </c>
      <c r="N1535" s="3" t="s">
        <v>10004</v>
      </c>
    </row>
    <row r="1536">
      <c r="A1536" s="3" t="s">
        <v>11538</v>
      </c>
      <c r="B1536" s="4" t="str">
        <f>C1536 &amp; " -&gt; " &amp; D1536</f>
        <v>principal-process-steward -&gt; RulebookReleases.Status</v>
      </c>
      <c r="C1536" s="3" t="s">
        <v>9772</v>
      </c>
      <c r="D1536" s="3" t="s">
        <v>2429</v>
      </c>
      <c r="E1536" s="3" t="b">
        <v>1</v>
      </c>
      <c r="F1536" s="3" t="b">
        <v>0</v>
      </c>
      <c r="G1536" s="3" t="s">
        <v>10003</v>
      </c>
      <c r="H1536" s="4" t="str">
        <f>_xlfn.IFNA(IF(((INDEX(RulebookFields!C2:C1898, MATCH(D1536,RulebookFields!A2:A1898, 0))="")=TRUE),  "",  INDEX(RulebookFields!C2:C1898, MATCH(D1536,RulebookFields!A2:A1898, 0))), "")</f>
        <v>RulebookReleases</v>
      </c>
      <c r="I1536" s="4" t="str">
        <f>_xlfn.IFNA(IF(((INDEX(RulebookFields!D2:D1898, MATCH(D1536,RulebookFields!A2:A1898, 0))="")=TRUE),  "",  INDEX(RulebookFields!D2:D1898, MATCH(D1536,RulebookFields!A2:A1898, 0))), "")</f>
        <v>Status</v>
      </c>
      <c r="J1536" s="4" t="b">
        <f>_xlfn.IFNA(IF(((INDEX(RulebookFields!I2:I1898, MATCH(D1536,RulebookFields!A2:A1898, 0))="")=TRUE),  "",  INDEX(RulebookFields!I2:I1898, MATCH(D1536,RulebookFields!A2:A1898, 0))), "")</f>
        <v>0</v>
      </c>
      <c r="K1536" s="4" t="b">
        <f>AND(((F1536)=TRUE), ((J1536)=TRUE))</f>
        <v>0</v>
      </c>
      <c r="L1536" s="4" t="b">
        <f>AND(((G1536 &lt;&gt; "plain")=TRUE), ((G1536 &lt;&gt; "")=TRUE))</f>
        <v>0</v>
      </c>
      <c r="M1536" s="4" t="str">
        <f>IF(((E1536)=TRUE),  C1536 &amp; "|" &amp; H1536,  "")</f>
        <v>principal-process-steward|RulebookReleases</v>
      </c>
      <c r="N1536" s="3" t="s">
        <v>10004</v>
      </c>
    </row>
    <row r="1537">
      <c r="A1537" s="3" t="s">
        <v>11539</v>
      </c>
      <c r="B1537" s="4" t="str">
        <f>C1537 &amp; " -&gt; " &amp; D1537</f>
        <v>principal-process-steward -&gt; RulebookReleases.Changelog</v>
      </c>
      <c r="C1537" s="3" t="s">
        <v>9772</v>
      </c>
      <c r="D1537" s="3" t="s">
        <v>2430</v>
      </c>
      <c r="E1537" s="3" t="b">
        <v>1</v>
      </c>
      <c r="F1537" s="3" t="b">
        <v>0</v>
      </c>
      <c r="G1537" s="3" t="s">
        <v>10003</v>
      </c>
      <c r="H1537" s="4" t="str">
        <f>_xlfn.IFNA(IF(((INDEX(RulebookFields!C2:C1898, MATCH(D1537,RulebookFields!A2:A1898, 0))="")=TRUE),  "",  INDEX(RulebookFields!C2:C1898, MATCH(D1537,RulebookFields!A2:A1898, 0))), "")</f>
        <v>RulebookReleases</v>
      </c>
      <c r="I1537" s="4" t="str">
        <f>_xlfn.IFNA(IF(((INDEX(RulebookFields!D2:D1898, MATCH(D1537,RulebookFields!A2:A1898, 0))="")=TRUE),  "",  INDEX(RulebookFields!D2:D1898, MATCH(D1537,RulebookFields!A2:A1898, 0))), "")</f>
        <v>Changelog</v>
      </c>
      <c r="J1537" s="4" t="b">
        <f>_xlfn.IFNA(IF(((INDEX(RulebookFields!I2:I1898, MATCH(D1537,RulebookFields!A2:A1898, 0))="")=TRUE),  "",  INDEX(RulebookFields!I2:I1898, MATCH(D1537,RulebookFields!A2:A1898, 0))), "")</f>
        <v>0</v>
      </c>
      <c r="K1537" s="4" t="b">
        <f>AND(((F1537)=TRUE), ((J1537)=TRUE))</f>
        <v>0</v>
      </c>
      <c r="L1537" s="4" t="b">
        <f>AND(((G1537 &lt;&gt; "plain")=TRUE), ((G1537 &lt;&gt; "")=TRUE))</f>
        <v>0</v>
      </c>
      <c r="M1537" s="4" t="str">
        <f>IF(((E1537)=TRUE),  C1537 &amp; "|" &amp; H1537,  "")</f>
        <v>principal-process-steward|RulebookReleases</v>
      </c>
      <c r="N1537" s="3" t="s">
        <v>10004</v>
      </c>
    </row>
    <row r="1538">
      <c r="A1538" s="3" t="s">
        <v>11540</v>
      </c>
      <c r="B1538" s="4" t="str">
        <f>C1538 &amp; " -&gt; " &amp; D1538</f>
        <v>principal-process-steward -&gt; RulebookReleases.IsCurrent</v>
      </c>
      <c r="C1538" s="3" t="s">
        <v>9772</v>
      </c>
      <c r="D1538" s="3" t="s">
        <v>2431</v>
      </c>
      <c r="E1538" s="3" t="b">
        <v>1</v>
      </c>
      <c r="F1538" s="3" t="b">
        <v>0</v>
      </c>
      <c r="G1538" s="3" t="s">
        <v>10003</v>
      </c>
      <c r="H1538" s="4" t="str">
        <f>_xlfn.IFNA(IF(((INDEX(RulebookFields!C2:C1898, MATCH(D1538,RulebookFields!A2:A1898, 0))="")=TRUE),  "",  INDEX(RulebookFields!C2:C1898, MATCH(D1538,RulebookFields!A2:A1898, 0))), "")</f>
        <v>RulebookReleases</v>
      </c>
      <c r="I1538" s="4" t="str">
        <f>_xlfn.IFNA(IF(((INDEX(RulebookFields!D2:D1898, MATCH(D1538,RulebookFields!A2:A1898, 0))="")=TRUE),  "",  INDEX(RulebookFields!D2:D1898, MATCH(D1538,RulebookFields!A2:A1898, 0))), "")</f>
        <v>IsCurrent</v>
      </c>
      <c r="J1538" s="4" t="b">
        <f>_xlfn.IFNA(IF(((INDEX(RulebookFields!I2:I1898, MATCH(D1538,RulebookFields!A2:A1898, 0))="")=TRUE),  "",  INDEX(RulebookFields!I2:I1898, MATCH(D1538,RulebookFields!A2:A1898, 0))), "")</f>
        <v>0</v>
      </c>
      <c r="K1538" s="4" t="b">
        <f>AND(((F1538)=TRUE), ((J1538)=TRUE))</f>
        <v>0</v>
      </c>
      <c r="L1538" s="4" t="b">
        <f>AND(((G1538 &lt;&gt; "plain")=TRUE), ((G1538 &lt;&gt; "")=TRUE))</f>
        <v>0</v>
      </c>
      <c r="M1538" s="4" t="str">
        <f>IF(((E1538)=TRUE),  C1538 &amp; "|" &amp; H1538,  "")</f>
        <v>principal-process-steward|RulebookReleases</v>
      </c>
      <c r="N1538" s="3" t="s">
        <v>10004</v>
      </c>
    </row>
    <row r="1539">
      <c r="A1539" s="3" t="s">
        <v>11541</v>
      </c>
      <c r="B1539" s="4" t="str">
        <f>C1539 &amp; " -&gt; " &amp; D1539</f>
        <v>principal-process-steward -&gt; SemanticMappings.SemanticMappingId</v>
      </c>
      <c r="C1539" s="3" t="s">
        <v>9772</v>
      </c>
      <c r="D1539" s="3" t="s">
        <v>4129</v>
      </c>
      <c r="E1539" s="3" t="b">
        <v>1</v>
      </c>
      <c r="F1539" s="3" t="b">
        <v>0</v>
      </c>
      <c r="G1539" s="3" t="s">
        <v>10003</v>
      </c>
      <c r="H1539" s="4" t="str">
        <f>_xlfn.IFNA(IF(((INDEX(RulebookFields!C2:C1898, MATCH(D1539,RulebookFields!A2:A1898, 0))="")=TRUE),  "",  INDEX(RulebookFields!C2:C1898, MATCH(D1539,RulebookFields!A2:A1898, 0))), "")</f>
        <v>SemanticMappings</v>
      </c>
      <c r="I1539" s="4" t="str">
        <f>_xlfn.IFNA(IF(((INDEX(RulebookFields!D2:D1898, MATCH(D1539,RulebookFields!A2:A1898, 0))="")=TRUE),  "",  INDEX(RulebookFields!D2:D1898, MATCH(D1539,RulebookFields!A2:A1898, 0))), "")</f>
        <v>SemanticMappingId</v>
      </c>
      <c r="J1539" s="4" t="b">
        <f>_xlfn.IFNA(IF(((INDEX(RulebookFields!I2:I1898, MATCH(D1539,RulebookFields!A2:A1898, 0))="")=TRUE),  "",  INDEX(RulebookFields!I2:I1898, MATCH(D1539,RulebookFields!A2:A1898, 0))), "")</f>
        <v>0</v>
      </c>
      <c r="K1539" s="4" t="b">
        <f>AND(((F1539)=TRUE), ((J1539)=TRUE))</f>
        <v>0</v>
      </c>
      <c r="L1539" s="4" t="b">
        <f>AND(((G1539 &lt;&gt; "plain")=TRUE), ((G1539 &lt;&gt; "")=TRUE))</f>
        <v>0</v>
      </c>
      <c r="M1539" s="4" t="str">
        <f>IF(((E1539)=TRUE),  C1539 &amp; "|" &amp; H1539,  "")</f>
        <v>principal-process-steward|SemanticMappings</v>
      </c>
      <c r="N1539" s="3" t="s">
        <v>10004</v>
      </c>
    </row>
    <row r="1540">
      <c r="A1540" s="3" t="s">
        <v>11542</v>
      </c>
      <c r="B1540" s="4" t="str">
        <f>C1540 &amp; " -&gt; " &amp; D1540</f>
        <v>principal-process-steward -&gt; SemanticMappings.Name</v>
      </c>
      <c r="C1540" s="3" t="s">
        <v>9772</v>
      </c>
      <c r="D1540" s="3" t="s">
        <v>4131</v>
      </c>
      <c r="E1540" s="3" t="b">
        <v>1</v>
      </c>
      <c r="F1540" s="3" t="b">
        <v>0</v>
      </c>
      <c r="G1540" s="3" t="s">
        <v>10003</v>
      </c>
      <c r="H1540" s="4" t="str">
        <f>_xlfn.IFNA(IF(((INDEX(RulebookFields!C2:C1898, MATCH(D1540,RulebookFields!A2:A1898, 0))="")=TRUE),  "",  INDEX(RulebookFields!C2:C1898, MATCH(D1540,RulebookFields!A2:A1898, 0))), "")</f>
        <v>SemanticMappings</v>
      </c>
      <c r="I1540" s="4" t="str">
        <f>_xlfn.IFNA(IF(((INDEX(RulebookFields!D2:D1898, MATCH(D1540,RulebookFields!A2:A1898, 0))="")=TRUE),  "",  INDEX(RulebookFields!D2:D1898, MATCH(D1540,RulebookFields!A2:A1898, 0))), "")</f>
        <v>Name</v>
      </c>
      <c r="J1540" s="4" t="b">
        <f>_xlfn.IFNA(IF(((INDEX(RulebookFields!I2:I1898, MATCH(D1540,RulebookFields!A2:A1898, 0))="")=TRUE),  "",  INDEX(RulebookFields!I2:I1898, MATCH(D1540,RulebookFields!A2:A1898, 0))), "")</f>
        <v>1</v>
      </c>
      <c r="K1540" s="4" t="b">
        <f>AND(((F1540)=TRUE), ((J1540)=TRUE))</f>
        <v>0</v>
      </c>
      <c r="L1540" s="4" t="b">
        <f>AND(((G1540 &lt;&gt; "plain")=TRUE), ((G1540 &lt;&gt; "")=TRUE))</f>
        <v>0</v>
      </c>
      <c r="M1540" s="4" t="str">
        <f>IF(((E1540)=TRUE),  C1540 &amp; "|" &amp; H1540,  "")</f>
        <v>principal-process-steward|SemanticMappings</v>
      </c>
      <c r="N1540" s="3" t="s">
        <v>10004</v>
      </c>
    </row>
    <row r="1541">
      <c r="A1541" s="3" t="s">
        <v>11543</v>
      </c>
      <c r="B1541" s="4" t="str">
        <f>C1541 &amp; " -&gt; " &amp; D1541</f>
        <v>principal-process-steward -&gt; SemanticMappings.SourcePath</v>
      </c>
      <c r="C1541" s="3" t="s">
        <v>9772</v>
      </c>
      <c r="D1541" s="3" t="s">
        <v>4133</v>
      </c>
      <c r="E1541" s="3" t="b">
        <v>1</v>
      </c>
      <c r="F1541" s="3" t="b">
        <v>0</v>
      </c>
      <c r="G1541" s="3" t="s">
        <v>10003</v>
      </c>
      <c r="H1541" s="4" t="str">
        <f>_xlfn.IFNA(IF(((INDEX(RulebookFields!C2:C1898, MATCH(D1541,RulebookFields!A2:A1898, 0))="")=TRUE),  "",  INDEX(RulebookFields!C2:C1898, MATCH(D1541,RulebookFields!A2:A1898, 0))), "")</f>
        <v>SemanticMappings</v>
      </c>
      <c r="I1541" s="4" t="str">
        <f>_xlfn.IFNA(IF(((INDEX(RulebookFields!D2:D1898, MATCH(D1541,RulebookFields!A2:A1898, 0))="")=TRUE),  "",  INDEX(RulebookFields!D2:D1898, MATCH(D1541,RulebookFields!A2:A1898, 0))), "")</f>
        <v>SourcePath</v>
      </c>
      <c r="J1541" s="4" t="b">
        <f>_xlfn.IFNA(IF(((INDEX(RulebookFields!I2:I1898, MATCH(D1541,RulebookFields!A2:A1898, 0))="")=TRUE),  "",  INDEX(RulebookFields!I2:I1898, MATCH(D1541,RulebookFields!A2:A1898, 0))), "")</f>
        <v>0</v>
      </c>
      <c r="K1541" s="4" t="b">
        <f>AND(((F1541)=TRUE), ((J1541)=TRUE))</f>
        <v>0</v>
      </c>
      <c r="L1541" s="4" t="b">
        <f>AND(((G1541 &lt;&gt; "plain")=TRUE), ((G1541 &lt;&gt; "")=TRUE))</f>
        <v>0</v>
      </c>
      <c r="M1541" s="4" t="str">
        <f>IF(((E1541)=TRUE),  C1541 &amp; "|" &amp; H1541,  "")</f>
        <v>principal-process-steward|SemanticMappings</v>
      </c>
      <c r="N1541" s="3" t="s">
        <v>10004</v>
      </c>
    </row>
    <row r="1542">
      <c r="A1542" s="3" t="s">
        <v>11544</v>
      </c>
      <c r="B1542" s="4" t="str">
        <f>C1542 &amp; " -&gt; " &amp; D1542</f>
        <v>principal-process-steward -&gt; SemanticMappings.MappingKind</v>
      </c>
      <c r="C1542" s="3" t="s">
        <v>9772</v>
      </c>
      <c r="D1542" s="3" t="s">
        <v>4134</v>
      </c>
      <c r="E1542" s="3" t="b">
        <v>1</v>
      </c>
      <c r="F1542" s="3" t="b">
        <v>0</v>
      </c>
      <c r="G1542" s="3" t="s">
        <v>10003</v>
      </c>
      <c r="H1542" s="4" t="str">
        <f>_xlfn.IFNA(IF(((INDEX(RulebookFields!C2:C1898, MATCH(D1542,RulebookFields!A2:A1898, 0))="")=TRUE),  "",  INDEX(RulebookFields!C2:C1898, MATCH(D1542,RulebookFields!A2:A1898, 0))), "")</f>
        <v>SemanticMappings</v>
      </c>
      <c r="I1542" s="4" t="str">
        <f>_xlfn.IFNA(IF(((INDEX(RulebookFields!D2:D1898, MATCH(D1542,RulebookFields!A2:A1898, 0))="")=TRUE),  "",  INDEX(RulebookFields!D2:D1898, MATCH(D1542,RulebookFields!A2:A1898, 0))), "")</f>
        <v>MappingKind</v>
      </c>
      <c r="J1542" s="4" t="b">
        <f>_xlfn.IFNA(IF(((INDEX(RulebookFields!I2:I1898, MATCH(D1542,RulebookFields!A2:A1898, 0))="")=TRUE),  "",  INDEX(RulebookFields!I2:I1898, MATCH(D1542,RulebookFields!A2:A1898, 0))), "")</f>
        <v>0</v>
      </c>
      <c r="K1542" s="4" t="b">
        <f>AND(((F1542)=TRUE), ((J1542)=TRUE))</f>
        <v>0</v>
      </c>
      <c r="L1542" s="4" t="b">
        <f>AND(((G1542 &lt;&gt; "plain")=TRUE), ((G1542 &lt;&gt; "")=TRUE))</f>
        <v>0</v>
      </c>
      <c r="M1542" s="4" t="str">
        <f>IF(((E1542)=TRUE),  C1542 &amp; "|" &amp; H1542,  "")</f>
        <v>principal-process-steward|SemanticMappings</v>
      </c>
      <c r="N1542" s="3" t="s">
        <v>10004</v>
      </c>
    </row>
    <row r="1543">
      <c r="A1543" s="3" t="s">
        <v>11545</v>
      </c>
      <c r="B1543" s="4" t="str">
        <f>C1543 &amp; " -&gt; " &amp; D1543</f>
        <v>principal-process-steward -&gt; SemanticMappings.TargetIri</v>
      </c>
      <c r="C1543" s="3" t="s">
        <v>9772</v>
      </c>
      <c r="D1543" s="3" t="s">
        <v>4135</v>
      </c>
      <c r="E1543" s="3" t="b">
        <v>1</v>
      </c>
      <c r="F1543" s="3" t="b">
        <v>0</v>
      </c>
      <c r="G1543" s="3" t="s">
        <v>10003</v>
      </c>
      <c r="H1543" s="4" t="str">
        <f>_xlfn.IFNA(IF(((INDEX(RulebookFields!C2:C1898, MATCH(D1543,RulebookFields!A2:A1898, 0))="")=TRUE),  "",  INDEX(RulebookFields!C2:C1898, MATCH(D1543,RulebookFields!A2:A1898, 0))), "")</f>
        <v>SemanticMappings</v>
      </c>
      <c r="I1543" s="4" t="str">
        <f>_xlfn.IFNA(IF(((INDEX(RulebookFields!D2:D1898, MATCH(D1543,RulebookFields!A2:A1898, 0))="")=TRUE),  "",  INDEX(RulebookFields!D2:D1898, MATCH(D1543,RulebookFields!A2:A1898, 0))), "")</f>
        <v>TargetIri</v>
      </c>
      <c r="J1543" s="4" t="b">
        <f>_xlfn.IFNA(IF(((INDEX(RulebookFields!I2:I1898, MATCH(D1543,RulebookFields!A2:A1898, 0))="")=TRUE),  "",  INDEX(RulebookFields!I2:I1898, MATCH(D1543,RulebookFields!A2:A1898, 0))), "")</f>
        <v>0</v>
      </c>
      <c r="K1543" s="4" t="b">
        <f>AND(((F1543)=TRUE), ((J1543)=TRUE))</f>
        <v>0</v>
      </c>
      <c r="L1543" s="4" t="b">
        <f>AND(((G1543 &lt;&gt; "plain")=TRUE), ((G1543 &lt;&gt; "")=TRUE))</f>
        <v>0</v>
      </c>
      <c r="M1543" s="4" t="str">
        <f>IF(((E1543)=TRUE),  C1543 &amp; "|" &amp; H1543,  "")</f>
        <v>principal-process-steward|SemanticMappings</v>
      </c>
      <c r="N1543" s="3" t="s">
        <v>10004</v>
      </c>
    </row>
    <row r="1544">
      <c r="A1544" s="3" t="s">
        <v>11546</v>
      </c>
      <c r="B1544" s="4" t="str">
        <f>C1544 &amp; " -&gt; " &amp; D1544</f>
        <v>principal-process-steward -&gt; SemanticMappings.MappingRelation</v>
      </c>
      <c r="C1544" s="3" t="s">
        <v>9772</v>
      </c>
      <c r="D1544" s="3" t="s">
        <v>4136</v>
      </c>
      <c r="E1544" s="3" t="b">
        <v>1</v>
      </c>
      <c r="F1544" s="3" t="b">
        <v>0</v>
      </c>
      <c r="G1544" s="3" t="s">
        <v>10003</v>
      </c>
      <c r="H1544" s="4" t="str">
        <f>_xlfn.IFNA(IF(((INDEX(RulebookFields!C2:C1898, MATCH(D1544,RulebookFields!A2:A1898, 0))="")=TRUE),  "",  INDEX(RulebookFields!C2:C1898, MATCH(D1544,RulebookFields!A2:A1898, 0))), "")</f>
        <v>SemanticMappings</v>
      </c>
      <c r="I1544" s="4" t="str">
        <f>_xlfn.IFNA(IF(((INDEX(RulebookFields!D2:D1898, MATCH(D1544,RulebookFields!A2:A1898, 0))="")=TRUE),  "",  INDEX(RulebookFields!D2:D1898, MATCH(D1544,RulebookFields!A2:A1898, 0))), "")</f>
        <v>MappingRelation</v>
      </c>
      <c r="J1544" s="4" t="b">
        <f>_xlfn.IFNA(IF(((INDEX(RulebookFields!I2:I1898, MATCH(D1544,RulebookFields!A2:A1898, 0))="")=TRUE),  "",  INDEX(RulebookFields!I2:I1898, MATCH(D1544,RulebookFields!A2:A1898, 0))), "")</f>
        <v>0</v>
      </c>
      <c r="K1544" s="4" t="b">
        <f>AND(((F1544)=TRUE), ((J1544)=TRUE))</f>
        <v>0</v>
      </c>
      <c r="L1544" s="4" t="b">
        <f>AND(((G1544 &lt;&gt; "plain")=TRUE), ((G1544 &lt;&gt; "")=TRUE))</f>
        <v>0</v>
      </c>
      <c r="M1544" s="4" t="str">
        <f>IF(((E1544)=TRUE),  C1544 &amp; "|" &amp; H1544,  "")</f>
        <v>principal-process-steward|SemanticMappings</v>
      </c>
      <c r="N1544" s="3" t="s">
        <v>10004</v>
      </c>
    </row>
    <row r="1545">
      <c r="A1545" s="3" t="s">
        <v>11547</v>
      </c>
      <c r="B1545" s="4" t="str">
        <f>C1545 &amp; " -&gt; " &amp; D1545</f>
        <v>principal-process-steward -&gt; SemanticMappings.OntologyProfile</v>
      </c>
      <c r="C1545" s="3" t="s">
        <v>9772</v>
      </c>
      <c r="D1545" s="3" t="s">
        <v>4137</v>
      </c>
      <c r="E1545" s="3" t="b">
        <v>1</v>
      </c>
      <c r="F1545" s="3" t="b">
        <v>0</v>
      </c>
      <c r="G1545" s="3" t="s">
        <v>10003</v>
      </c>
      <c r="H1545" s="4" t="str">
        <f>_xlfn.IFNA(IF(((INDEX(RulebookFields!C2:C1898, MATCH(D1545,RulebookFields!A2:A1898, 0))="")=TRUE),  "",  INDEX(RulebookFields!C2:C1898, MATCH(D1545,RulebookFields!A2:A1898, 0))), "")</f>
        <v>SemanticMappings</v>
      </c>
      <c r="I1545" s="4" t="str">
        <f>_xlfn.IFNA(IF(((INDEX(RulebookFields!D2:D1898, MATCH(D1545,RulebookFields!A2:A1898, 0))="")=TRUE),  "",  INDEX(RulebookFields!D2:D1898, MATCH(D1545,RulebookFields!A2:A1898, 0))), "")</f>
        <v>OntologyProfile</v>
      </c>
      <c r="J1545" s="4" t="b">
        <f>_xlfn.IFNA(IF(((INDEX(RulebookFields!I2:I1898, MATCH(D1545,RulebookFields!A2:A1898, 0))="")=TRUE),  "",  INDEX(RulebookFields!I2:I1898, MATCH(D1545,RulebookFields!A2:A1898, 0))), "")</f>
        <v>0</v>
      </c>
      <c r="K1545" s="4" t="b">
        <f>AND(((F1545)=TRUE), ((J1545)=TRUE))</f>
        <v>0</v>
      </c>
      <c r="L1545" s="4" t="b">
        <f>AND(((G1545 &lt;&gt; "plain")=TRUE), ((G1545 &lt;&gt; "")=TRUE))</f>
        <v>0</v>
      </c>
      <c r="M1545" s="4" t="str">
        <f>IF(((E1545)=TRUE),  C1545 &amp; "|" &amp; H1545,  "")</f>
        <v>principal-process-steward|SemanticMappings</v>
      </c>
      <c r="N1545" s="3" t="s">
        <v>10004</v>
      </c>
    </row>
    <row r="1546">
      <c r="A1546" s="3" t="s">
        <v>11548</v>
      </c>
      <c r="B1546" s="4" t="str">
        <f>C1546 &amp; " -&gt; " &amp; D1546</f>
        <v>principal-process-steward -&gt; SemanticMappings.Notes</v>
      </c>
      <c r="C1546" s="3" t="s">
        <v>9772</v>
      </c>
      <c r="D1546" s="3" t="s">
        <v>4138</v>
      </c>
      <c r="E1546" s="3" t="b">
        <v>1</v>
      </c>
      <c r="F1546" s="3" t="b">
        <v>0</v>
      </c>
      <c r="G1546" s="3" t="s">
        <v>10003</v>
      </c>
      <c r="H1546" s="4" t="str">
        <f>_xlfn.IFNA(IF(((INDEX(RulebookFields!C2:C1898, MATCH(D1546,RulebookFields!A2:A1898, 0))="")=TRUE),  "",  INDEX(RulebookFields!C2:C1898, MATCH(D1546,RulebookFields!A2:A1898, 0))), "")</f>
        <v>SemanticMappings</v>
      </c>
      <c r="I1546" s="4" t="str">
        <f>_xlfn.IFNA(IF(((INDEX(RulebookFields!D2:D1898, MATCH(D1546,RulebookFields!A2:A1898, 0))="")=TRUE),  "",  INDEX(RulebookFields!D2:D1898, MATCH(D1546,RulebookFields!A2:A1898, 0))), "")</f>
        <v>Notes</v>
      </c>
      <c r="J1546" s="4" t="b">
        <f>_xlfn.IFNA(IF(((INDEX(RulebookFields!I2:I1898, MATCH(D1546,RulebookFields!A2:A1898, 0))="")=TRUE),  "",  INDEX(RulebookFields!I2:I1898, MATCH(D1546,RulebookFields!A2:A1898, 0))), "")</f>
        <v>0</v>
      </c>
      <c r="K1546" s="4" t="b">
        <f>AND(((F1546)=TRUE), ((J1546)=TRUE))</f>
        <v>0</v>
      </c>
      <c r="L1546" s="4" t="b">
        <f>AND(((G1546 &lt;&gt; "plain")=TRUE), ((G1546 &lt;&gt; "")=TRUE))</f>
        <v>0</v>
      </c>
      <c r="M1546" s="4" t="str">
        <f>IF(((E1546)=TRUE),  C1546 &amp; "|" &amp; H1546,  "")</f>
        <v>principal-process-steward|SemanticMappings</v>
      </c>
      <c r="N1546" s="3" t="s">
        <v>10004</v>
      </c>
    </row>
    <row r="1547">
      <c r="A1547" s="3" t="s">
        <v>11549</v>
      </c>
      <c r="B1547" s="4" t="str">
        <f>C1547 &amp; " -&gt; " &amp; D1547</f>
        <v>principal-process-steward -&gt; SendIntents.SendIntentId</v>
      </c>
      <c r="C1547" s="3" t="s">
        <v>9772</v>
      </c>
      <c r="D1547" s="3" t="s">
        <v>4727</v>
      </c>
      <c r="E1547" s="3" t="b">
        <v>1</v>
      </c>
      <c r="F1547" s="3" t="b">
        <v>0</v>
      </c>
      <c r="G1547" s="3" t="s">
        <v>10003</v>
      </c>
      <c r="H1547" s="4" t="str">
        <f>_xlfn.IFNA(IF(((INDEX(RulebookFields!C2:C1898, MATCH(D1547,RulebookFields!A2:A1898, 0))="")=TRUE),  "",  INDEX(RulebookFields!C2:C1898, MATCH(D1547,RulebookFields!A2:A1898, 0))), "")</f>
        <v>SendIntents</v>
      </c>
      <c r="I1547" s="4" t="str">
        <f>_xlfn.IFNA(IF(((INDEX(RulebookFields!D2:D1898, MATCH(D1547,RulebookFields!A2:A1898, 0))="")=TRUE),  "",  INDEX(RulebookFields!D2:D1898, MATCH(D1547,RulebookFields!A2:A1898, 0))), "")</f>
        <v>SendIntentId</v>
      </c>
      <c r="J1547" s="4" t="b">
        <f>_xlfn.IFNA(IF(((INDEX(RulebookFields!I2:I1898, MATCH(D1547,RulebookFields!A2:A1898, 0))="")=TRUE),  "",  INDEX(RulebookFields!I2:I1898, MATCH(D1547,RulebookFields!A2:A1898, 0))), "")</f>
        <v>0</v>
      </c>
      <c r="K1547" s="4" t="b">
        <f>AND(((F1547)=TRUE), ((J1547)=TRUE))</f>
        <v>0</v>
      </c>
      <c r="L1547" s="4" t="b">
        <f>AND(((G1547 &lt;&gt; "plain")=TRUE), ((G1547 &lt;&gt; "")=TRUE))</f>
        <v>0</v>
      </c>
      <c r="M1547" s="4" t="str">
        <f>IF(((E1547)=TRUE),  C1547 &amp; "|" &amp; H1547,  "")</f>
        <v>principal-process-steward|SendIntents</v>
      </c>
      <c r="N1547" s="3" t="s">
        <v>10004</v>
      </c>
    </row>
    <row r="1548">
      <c r="A1548" s="3" t="s">
        <v>11550</v>
      </c>
      <c r="B1548" s="4" t="str">
        <f>C1548 &amp; " -&gt; " &amp; D1548</f>
        <v>principal-process-steward -&gt; SendIntents.Name</v>
      </c>
      <c r="C1548" s="3" t="s">
        <v>9772</v>
      </c>
      <c r="D1548" s="3" t="s">
        <v>4730</v>
      </c>
      <c r="E1548" s="3" t="b">
        <v>1</v>
      </c>
      <c r="F1548" s="3" t="b">
        <v>0</v>
      </c>
      <c r="G1548" s="3" t="s">
        <v>10003</v>
      </c>
      <c r="H1548" s="4" t="str">
        <f>_xlfn.IFNA(IF(((INDEX(RulebookFields!C2:C1898, MATCH(D1548,RulebookFields!A2:A1898, 0))="")=TRUE),  "",  INDEX(RulebookFields!C2:C1898, MATCH(D1548,RulebookFields!A2:A1898, 0))), "")</f>
        <v>SendIntents</v>
      </c>
      <c r="I1548" s="4" t="str">
        <f>_xlfn.IFNA(IF(((INDEX(RulebookFields!D2:D1898, MATCH(D1548,RulebookFields!A2:A1898, 0))="")=TRUE),  "",  INDEX(RulebookFields!D2:D1898, MATCH(D1548,RulebookFields!A2:A1898, 0))), "")</f>
        <v>Name</v>
      </c>
      <c r="J1548" s="4" t="b">
        <f>_xlfn.IFNA(IF(((INDEX(RulebookFields!I2:I1898, MATCH(D1548,RulebookFields!A2:A1898, 0))="")=TRUE),  "",  INDEX(RulebookFields!I2:I1898, MATCH(D1548,RulebookFields!A2:A1898, 0))), "")</f>
        <v>1</v>
      </c>
      <c r="K1548" s="4" t="b">
        <f>AND(((F1548)=TRUE), ((J1548)=TRUE))</f>
        <v>0</v>
      </c>
      <c r="L1548" s="4" t="b">
        <f>AND(((G1548 &lt;&gt; "plain")=TRUE), ((G1548 &lt;&gt; "")=TRUE))</f>
        <v>0</v>
      </c>
      <c r="M1548" s="4" t="str">
        <f>IF(((E1548)=TRUE),  C1548 &amp; "|" &amp; H1548,  "")</f>
        <v>principal-process-steward|SendIntents</v>
      </c>
      <c r="N1548" s="3" t="s">
        <v>10004</v>
      </c>
    </row>
    <row r="1549">
      <c r="A1549" s="3" t="s">
        <v>11551</v>
      </c>
      <c r="B1549" s="4" t="str">
        <f>C1549 &amp; " -&gt; " &amp; D1549</f>
        <v>principal-process-steward -&gt; SendIntents.ProcedureExecution</v>
      </c>
      <c r="C1549" s="3" t="s">
        <v>9772</v>
      </c>
      <c r="D1549" s="3" t="s">
        <v>4732</v>
      </c>
      <c r="E1549" s="3" t="b">
        <v>1</v>
      </c>
      <c r="F1549" s="3" t="b">
        <v>0</v>
      </c>
      <c r="G1549" s="3" t="s">
        <v>10003</v>
      </c>
      <c r="H1549" s="4" t="str">
        <f>_xlfn.IFNA(IF(((INDEX(RulebookFields!C2:C1898, MATCH(D1549,RulebookFields!A2:A1898, 0))="")=TRUE),  "",  INDEX(RulebookFields!C2:C1898, MATCH(D1549,RulebookFields!A2:A1898, 0))), "")</f>
        <v>SendIntents</v>
      </c>
      <c r="I1549" s="4" t="str">
        <f>_xlfn.IFNA(IF(((INDEX(RulebookFields!D2:D1898, MATCH(D1549,RulebookFields!A2:A1898, 0))="")=TRUE),  "",  INDEX(RulebookFields!D2:D1898, MATCH(D1549,RulebookFields!A2:A1898, 0))), "")</f>
        <v>ProcedureExecution</v>
      </c>
      <c r="J1549" s="4" t="b">
        <f>_xlfn.IFNA(IF(((INDEX(RulebookFields!I2:I1898, MATCH(D1549,RulebookFields!A2:A1898, 0))="")=TRUE),  "",  INDEX(RulebookFields!I2:I1898, MATCH(D1549,RulebookFields!A2:A1898, 0))), "")</f>
        <v>0</v>
      </c>
      <c r="K1549" s="4" t="b">
        <f>AND(((F1549)=TRUE), ((J1549)=TRUE))</f>
        <v>0</v>
      </c>
      <c r="L1549" s="4" t="b">
        <f>AND(((G1549 &lt;&gt; "plain")=TRUE), ((G1549 &lt;&gt; "")=TRUE))</f>
        <v>0</v>
      </c>
      <c r="M1549" s="4" t="str">
        <f>IF(((E1549)=TRUE),  C1549 &amp; "|" &amp; H1549,  "")</f>
        <v>principal-process-steward|SendIntents</v>
      </c>
      <c r="N1549" s="3" t="s">
        <v>10004</v>
      </c>
    </row>
    <row r="1550">
      <c r="A1550" s="3" t="s">
        <v>11552</v>
      </c>
      <c r="B1550" s="4" t="str">
        <f>C1550 &amp; " -&gt; " &amp; D1550</f>
        <v>principal-process-steward -&gt; SendIntents.StepExecution</v>
      </c>
      <c r="C1550" s="3" t="s">
        <v>9772</v>
      </c>
      <c r="D1550" s="3" t="s">
        <v>4733</v>
      </c>
      <c r="E1550" s="3" t="b">
        <v>1</v>
      </c>
      <c r="F1550" s="3" t="b">
        <v>0</v>
      </c>
      <c r="G1550" s="3" t="s">
        <v>10003</v>
      </c>
      <c r="H1550" s="4" t="str">
        <f>_xlfn.IFNA(IF(((INDEX(RulebookFields!C2:C1898, MATCH(D1550,RulebookFields!A2:A1898, 0))="")=TRUE),  "",  INDEX(RulebookFields!C2:C1898, MATCH(D1550,RulebookFields!A2:A1898, 0))), "")</f>
        <v>SendIntents</v>
      </c>
      <c r="I1550" s="4" t="str">
        <f>_xlfn.IFNA(IF(((INDEX(RulebookFields!D2:D1898, MATCH(D1550,RulebookFields!A2:A1898, 0))="")=TRUE),  "",  INDEX(RulebookFields!D2:D1898, MATCH(D1550,RulebookFields!A2:A1898, 0))), "")</f>
        <v>StepExecution</v>
      </c>
      <c r="J1550" s="4" t="b">
        <f>_xlfn.IFNA(IF(((INDEX(RulebookFields!I2:I1898, MATCH(D1550,RulebookFields!A2:A1898, 0))="")=TRUE),  "",  INDEX(RulebookFields!I2:I1898, MATCH(D1550,RulebookFields!A2:A1898, 0))), "")</f>
        <v>0</v>
      </c>
      <c r="K1550" s="4" t="b">
        <f>AND(((F1550)=TRUE), ((J1550)=TRUE))</f>
        <v>0</v>
      </c>
      <c r="L1550" s="4" t="b">
        <f>AND(((G1550 &lt;&gt; "plain")=TRUE), ((G1550 &lt;&gt; "")=TRUE))</f>
        <v>0</v>
      </c>
      <c r="M1550" s="4" t="str">
        <f>IF(((E1550)=TRUE),  C1550 &amp; "|" &amp; H1550,  "")</f>
        <v>principal-process-steward|SendIntents</v>
      </c>
      <c r="N1550" s="3" t="s">
        <v>10004</v>
      </c>
    </row>
    <row r="1551">
      <c r="A1551" s="3" t="s">
        <v>11553</v>
      </c>
      <c r="B1551" s="4" t="str">
        <f>C1551 &amp; " -&gt; " &amp; D1551</f>
        <v>principal-process-steward -&gt; SendIntents.Recipient</v>
      </c>
      <c r="C1551" s="3" t="s">
        <v>9772</v>
      </c>
      <c r="D1551" s="3" t="s">
        <v>4734</v>
      </c>
      <c r="E1551" s="3" t="b">
        <v>1</v>
      </c>
      <c r="F1551" s="3" t="b">
        <v>0</v>
      </c>
      <c r="G1551" s="3" t="s">
        <v>10003</v>
      </c>
      <c r="H1551" s="4" t="str">
        <f>_xlfn.IFNA(IF(((INDEX(RulebookFields!C2:C1898, MATCH(D1551,RulebookFields!A2:A1898, 0))="")=TRUE),  "",  INDEX(RulebookFields!C2:C1898, MATCH(D1551,RulebookFields!A2:A1898, 0))), "")</f>
        <v>SendIntents</v>
      </c>
      <c r="I1551" s="4" t="str">
        <f>_xlfn.IFNA(IF(((INDEX(RulebookFields!D2:D1898, MATCH(D1551,RulebookFields!A2:A1898, 0))="")=TRUE),  "",  INDEX(RulebookFields!D2:D1898, MATCH(D1551,RulebookFields!A2:A1898, 0))), "")</f>
        <v>Recipient</v>
      </c>
      <c r="J1551" s="4" t="b">
        <f>_xlfn.IFNA(IF(((INDEX(RulebookFields!I2:I1898, MATCH(D1551,RulebookFields!A2:A1898, 0))="")=TRUE),  "",  INDEX(RulebookFields!I2:I1898, MATCH(D1551,RulebookFields!A2:A1898, 0))), "")</f>
        <v>0</v>
      </c>
      <c r="K1551" s="4" t="b">
        <f>AND(((F1551)=TRUE), ((J1551)=TRUE))</f>
        <v>0</v>
      </c>
      <c r="L1551" s="4" t="b">
        <f>AND(((G1551 &lt;&gt; "plain")=TRUE), ((G1551 &lt;&gt; "")=TRUE))</f>
        <v>0</v>
      </c>
      <c r="M1551" s="4" t="str">
        <f>IF(((E1551)=TRUE),  C1551 &amp; "|" &amp; H1551,  "")</f>
        <v>principal-process-steward|SendIntents</v>
      </c>
      <c r="N1551" s="3" t="s">
        <v>10004</v>
      </c>
    </row>
    <row r="1552">
      <c r="A1552" s="3" t="s">
        <v>11554</v>
      </c>
      <c r="B1552" s="4" t="str">
        <f>C1552 &amp; " -&gt; " &amp; D1552</f>
        <v>principal-process-steward -&gt; SendIntents.MessageTemplate</v>
      </c>
      <c r="C1552" s="3" t="s">
        <v>9772</v>
      </c>
      <c r="D1552" s="3" t="s">
        <v>4735</v>
      </c>
      <c r="E1552" s="3" t="b">
        <v>1</v>
      </c>
      <c r="F1552" s="3" t="b">
        <v>0</v>
      </c>
      <c r="G1552" s="3" t="s">
        <v>10003</v>
      </c>
      <c r="H1552" s="4" t="str">
        <f>_xlfn.IFNA(IF(((INDEX(RulebookFields!C2:C1898, MATCH(D1552,RulebookFields!A2:A1898, 0))="")=TRUE),  "",  INDEX(RulebookFields!C2:C1898, MATCH(D1552,RulebookFields!A2:A1898, 0))), "")</f>
        <v>SendIntents</v>
      </c>
      <c r="I1552" s="4" t="str">
        <f>_xlfn.IFNA(IF(((INDEX(RulebookFields!D2:D1898, MATCH(D1552,RulebookFields!A2:A1898, 0))="")=TRUE),  "",  INDEX(RulebookFields!D2:D1898, MATCH(D1552,RulebookFields!A2:A1898, 0))), "")</f>
        <v>MessageTemplate</v>
      </c>
      <c r="J1552" s="4" t="b">
        <f>_xlfn.IFNA(IF(((INDEX(RulebookFields!I2:I1898, MATCH(D1552,RulebookFields!A2:A1898, 0))="")=TRUE),  "",  INDEX(RulebookFields!I2:I1898, MATCH(D1552,RulebookFields!A2:A1898, 0))), "")</f>
        <v>0</v>
      </c>
      <c r="K1552" s="4" t="b">
        <f>AND(((F1552)=TRUE), ((J1552)=TRUE))</f>
        <v>0</v>
      </c>
      <c r="L1552" s="4" t="b">
        <f>AND(((G1552 &lt;&gt; "plain")=TRUE), ((G1552 &lt;&gt; "")=TRUE))</f>
        <v>0</v>
      </c>
      <c r="M1552" s="4" t="str">
        <f>IF(((E1552)=TRUE),  C1552 &amp; "|" &amp; H1552,  "")</f>
        <v>principal-process-steward|SendIntents</v>
      </c>
      <c r="N1552" s="3" t="s">
        <v>10004</v>
      </c>
    </row>
    <row r="1553">
      <c r="A1553" s="3" t="s">
        <v>11555</v>
      </c>
      <c r="B1553" s="4" t="str">
        <f>C1553 &amp; " -&gt; " &amp; D1553</f>
        <v>principal-process-steward -&gt; SendIntents.ProposedBody</v>
      </c>
      <c r="C1553" s="3" t="s">
        <v>9772</v>
      </c>
      <c r="D1553" s="3" t="s">
        <v>4736</v>
      </c>
      <c r="E1553" s="3" t="b">
        <v>1</v>
      </c>
      <c r="F1553" s="3" t="b">
        <v>0</v>
      </c>
      <c r="G1553" s="3" t="s">
        <v>10003</v>
      </c>
      <c r="H1553" s="4" t="str">
        <f>_xlfn.IFNA(IF(((INDEX(RulebookFields!C2:C1898, MATCH(D1553,RulebookFields!A2:A1898, 0))="")=TRUE),  "",  INDEX(RulebookFields!C2:C1898, MATCH(D1553,RulebookFields!A2:A1898, 0))), "")</f>
        <v>SendIntents</v>
      </c>
      <c r="I1553" s="4" t="str">
        <f>_xlfn.IFNA(IF(((INDEX(RulebookFields!D2:D1898, MATCH(D1553,RulebookFields!A2:A1898, 0))="")=TRUE),  "",  INDEX(RulebookFields!D2:D1898, MATCH(D1553,RulebookFields!A2:A1898, 0))), "")</f>
        <v>ProposedBody</v>
      </c>
      <c r="J1553" s="4" t="b">
        <f>_xlfn.IFNA(IF(((INDEX(RulebookFields!I2:I1898, MATCH(D1553,RulebookFields!A2:A1898, 0))="")=TRUE),  "",  INDEX(RulebookFields!I2:I1898, MATCH(D1553,RulebookFields!A2:A1898, 0))), "")</f>
        <v>0</v>
      </c>
      <c r="K1553" s="4" t="b">
        <f>AND(((F1553)=TRUE), ((J1553)=TRUE))</f>
        <v>0</v>
      </c>
      <c r="L1553" s="4" t="b">
        <f>AND(((G1553 &lt;&gt; "plain")=TRUE), ((G1553 &lt;&gt; "")=TRUE))</f>
        <v>0</v>
      </c>
      <c r="M1553" s="4" t="str">
        <f>IF(((E1553)=TRUE),  C1553 &amp; "|" &amp; H1553,  "")</f>
        <v>principal-process-steward|SendIntents</v>
      </c>
      <c r="N1553" s="3" t="s">
        <v>10004</v>
      </c>
    </row>
    <row r="1554">
      <c r="A1554" s="3" t="s">
        <v>11556</v>
      </c>
      <c r="B1554" s="4" t="str">
        <f>C1554 &amp; " -&gt; " &amp; D1554</f>
        <v>principal-process-steward -&gt; SendIntents.ProposedSendAtLocalHour</v>
      </c>
      <c r="C1554" s="3" t="s">
        <v>9772</v>
      </c>
      <c r="D1554" s="3" t="s">
        <v>4738</v>
      </c>
      <c r="E1554" s="3" t="b">
        <v>1</v>
      </c>
      <c r="F1554" s="3" t="b">
        <v>0</v>
      </c>
      <c r="G1554" s="3" t="s">
        <v>10003</v>
      </c>
      <c r="H1554" s="4" t="str">
        <f>_xlfn.IFNA(IF(((INDEX(RulebookFields!C2:C1898, MATCH(D1554,RulebookFields!A2:A1898, 0))="")=TRUE),  "",  INDEX(RulebookFields!C2:C1898, MATCH(D1554,RulebookFields!A2:A1898, 0))), "")</f>
        <v>SendIntents</v>
      </c>
      <c r="I1554" s="4" t="str">
        <f>_xlfn.IFNA(IF(((INDEX(RulebookFields!D2:D1898, MATCH(D1554,RulebookFields!A2:A1898, 0))="")=TRUE),  "",  INDEX(RulebookFields!D2:D1898, MATCH(D1554,RulebookFields!A2:A1898, 0))), "")</f>
        <v>ProposedSendAtLocalHour</v>
      </c>
      <c r="J1554" s="4" t="b">
        <f>_xlfn.IFNA(IF(((INDEX(RulebookFields!I2:I1898, MATCH(D1554,RulebookFields!A2:A1898, 0))="")=TRUE),  "",  INDEX(RulebookFields!I2:I1898, MATCH(D1554,RulebookFields!A2:A1898, 0))), "")</f>
        <v>0</v>
      </c>
      <c r="K1554" s="4" t="b">
        <f>AND(((F1554)=TRUE), ((J1554)=TRUE))</f>
        <v>0</v>
      </c>
      <c r="L1554" s="4" t="b">
        <f>AND(((G1554 &lt;&gt; "plain")=TRUE), ((G1554 &lt;&gt; "")=TRUE))</f>
        <v>0</v>
      </c>
      <c r="M1554" s="4" t="str">
        <f>IF(((E1554)=TRUE),  C1554 &amp; "|" &amp; H1554,  "")</f>
        <v>principal-process-steward|SendIntents</v>
      </c>
      <c r="N1554" s="3" t="s">
        <v>10004</v>
      </c>
    </row>
    <row r="1555">
      <c r="A1555" s="3" t="s">
        <v>11557</v>
      </c>
      <c r="B1555" s="4" t="str">
        <f>C1555 &amp; " -&gt; " &amp; D1555</f>
        <v>principal-process-steward -&gt; SendIntents.EvaluatedAt</v>
      </c>
      <c r="C1555" s="3" t="s">
        <v>9772</v>
      </c>
      <c r="D1555" s="3" t="s">
        <v>4740</v>
      </c>
      <c r="E1555" s="3" t="b">
        <v>1</v>
      </c>
      <c r="F1555" s="3" t="b">
        <v>0</v>
      </c>
      <c r="G1555" s="3" t="s">
        <v>10003</v>
      </c>
      <c r="H1555" s="4" t="str">
        <f>_xlfn.IFNA(IF(((INDEX(RulebookFields!C2:C1898, MATCH(D1555,RulebookFields!A2:A1898, 0))="")=TRUE),  "",  INDEX(RulebookFields!C2:C1898, MATCH(D1555,RulebookFields!A2:A1898, 0))), "")</f>
        <v>SendIntents</v>
      </c>
      <c r="I1555" s="4" t="str">
        <f>_xlfn.IFNA(IF(((INDEX(RulebookFields!D2:D1898, MATCH(D1555,RulebookFields!A2:A1898, 0))="")=TRUE),  "",  INDEX(RulebookFields!D2:D1898, MATCH(D1555,RulebookFields!A2:A1898, 0))), "")</f>
        <v>EvaluatedAt</v>
      </c>
      <c r="J1555" s="4" t="b">
        <f>_xlfn.IFNA(IF(((INDEX(RulebookFields!I2:I1898, MATCH(D1555,RulebookFields!A2:A1898, 0))="")=TRUE),  "",  INDEX(RulebookFields!I2:I1898, MATCH(D1555,RulebookFields!A2:A1898, 0))), "")</f>
        <v>0</v>
      </c>
      <c r="K1555" s="4" t="b">
        <f>AND(((F1555)=TRUE), ((J1555)=TRUE))</f>
        <v>0</v>
      </c>
      <c r="L1555" s="4" t="b">
        <f>AND(((G1555 &lt;&gt; "plain")=TRUE), ((G1555 &lt;&gt; "")=TRUE))</f>
        <v>0</v>
      </c>
      <c r="M1555" s="4" t="str">
        <f>IF(((E1555)=TRUE),  C1555 &amp; "|" &amp; H1555,  "")</f>
        <v>principal-process-steward|SendIntents</v>
      </c>
      <c r="N1555" s="3" t="s">
        <v>10004</v>
      </c>
    </row>
    <row r="1556">
      <c r="A1556" s="3" t="s">
        <v>11558</v>
      </c>
      <c r="B1556" s="4" t="str">
        <f>C1556 &amp; " -&gt; " &amp; D1556</f>
        <v>principal-process-steward -&gt; SendIntents.ResultingDelivery</v>
      </c>
      <c r="C1556" s="3" t="s">
        <v>9772</v>
      </c>
      <c r="D1556" s="3" t="s">
        <v>4741</v>
      </c>
      <c r="E1556" s="3" t="b">
        <v>1</v>
      </c>
      <c r="F1556" s="3" t="b">
        <v>0</v>
      </c>
      <c r="G1556" s="3" t="s">
        <v>10003</v>
      </c>
      <c r="H1556" s="4" t="str">
        <f>_xlfn.IFNA(IF(((INDEX(RulebookFields!C2:C1898, MATCH(D1556,RulebookFields!A2:A1898, 0))="")=TRUE),  "",  INDEX(RulebookFields!C2:C1898, MATCH(D1556,RulebookFields!A2:A1898, 0))), "")</f>
        <v>SendIntents</v>
      </c>
      <c r="I1556" s="4" t="str">
        <f>_xlfn.IFNA(IF(((INDEX(RulebookFields!D2:D1898, MATCH(D1556,RulebookFields!A2:A1898, 0))="")=TRUE),  "",  INDEX(RulebookFields!D2:D1898, MATCH(D1556,RulebookFields!A2:A1898, 0))), "")</f>
        <v>ResultingDelivery</v>
      </c>
      <c r="J1556" s="4" t="b">
        <f>_xlfn.IFNA(IF(((INDEX(RulebookFields!I2:I1898, MATCH(D1556,RulebookFields!A2:A1898, 0))="")=TRUE),  "",  INDEX(RulebookFields!I2:I1898, MATCH(D1556,RulebookFields!A2:A1898, 0))), "")</f>
        <v>0</v>
      </c>
      <c r="K1556" s="4" t="b">
        <f>AND(((F1556)=TRUE), ((J1556)=TRUE))</f>
        <v>0</v>
      </c>
      <c r="L1556" s="4" t="b">
        <f>AND(((G1556 &lt;&gt; "plain")=TRUE), ((G1556 &lt;&gt; "")=TRUE))</f>
        <v>0</v>
      </c>
      <c r="M1556" s="4" t="str">
        <f>IF(((E1556)=TRUE),  C1556 &amp; "|" &amp; H1556,  "")</f>
        <v>principal-process-steward|SendIntents</v>
      </c>
      <c r="N1556" s="3" t="s">
        <v>10004</v>
      </c>
    </row>
    <row r="1557">
      <c r="A1557" s="3" t="s">
        <v>11559</v>
      </c>
      <c r="B1557" s="4" t="str">
        <f>C1557 &amp; " -&gt; " &amp; D1557</f>
        <v>principal-process-steward -&gt; SendIntents.IntentPolicy</v>
      </c>
      <c r="C1557" s="3" t="s">
        <v>9772</v>
      </c>
      <c r="D1557" s="3" t="s">
        <v>4743</v>
      </c>
      <c r="E1557" s="3" t="b">
        <v>1</v>
      </c>
      <c r="F1557" s="3" t="b">
        <v>0</v>
      </c>
      <c r="G1557" s="3" t="s">
        <v>10003</v>
      </c>
      <c r="H1557" s="4" t="str">
        <f>_xlfn.IFNA(IF(((INDEX(RulebookFields!C2:C1898, MATCH(D1557,RulebookFields!A2:A1898, 0))="")=TRUE),  "",  INDEX(RulebookFields!C2:C1898, MATCH(D1557,RulebookFields!A2:A1898, 0))), "")</f>
        <v>SendIntents</v>
      </c>
      <c r="I1557" s="4" t="str">
        <f>_xlfn.IFNA(IF(((INDEX(RulebookFields!D2:D1898, MATCH(D1557,RulebookFields!A2:A1898, 0))="")=TRUE),  "",  INDEX(RulebookFields!D2:D1898, MATCH(D1557,RulebookFields!A2:A1898, 0))), "")</f>
        <v>IntentPolicy</v>
      </c>
      <c r="J1557" s="4" t="b">
        <f>_xlfn.IFNA(IF(((INDEX(RulebookFields!I2:I1898, MATCH(D1557,RulebookFields!A2:A1898, 0))="")=TRUE),  "",  INDEX(RulebookFields!I2:I1898, MATCH(D1557,RulebookFields!A2:A1898, 0))), "")</f>
        <v>1</v>
      </c>
      <c r="K1557" s="4" t="b">
        <f>AND(((F1557)=TRUE), ((J1557)=TRUE))</f>
        <v>0</v>
      </c>
      <c r="L1557" s="4" t="b">
        <f>AND(((G1557 &lt;&gt; "plain")=TRUE), ((G1557 &lt;&gt; "")=TRUE))</f>
        <v>0</v>
      </c>
      <c r="M1557" s="4" t="str">
        <f>IF(((E1557)=TRUE),  C1557 &amp; "|" &amp; H1557,  "")</f>
        <v>principal-process-steward|SendIntents</v>
      </c>
      <c r="N1557" s="3" t="s">
        <v>10004</v>
      </c>
    </row>
    <row r="1558">
      <c r="A1558" s="3" t="s">
        <v>11560</v>
      </c>
      <c r="B1558" s="4" t="str">
        <f>C1558 &amp; " -&gt; " &amp; D1558</f>
        <v>principal-process-steward -&gt; SendIntents.IntentChannel</v>
      </c>
      <c r="C1558" s="3" t="s">
        <v>9772</v>
      </c>
      <c r="D1558" s="3" t="s">
        <v>4745</v>
      </c>
      <c r="E1558" s="3" t="b">
        <v>1</v>
      </c>
      <c r="F1558" s="3" t="b">
        <v>0</v>
      </c>
      <c r="G1558" s="3" t="s">
        <v>10003</v>
      </c>
      <c r="H1558" s="4" t="str">
        <f>_xlfn.IFNA(IF(((INDEX(RulebookFields!C2:C1898, MATCH(D1558,RulebookFields!A2:A1898, 0))="")=TRUE),  "",  INDEX(RulebookFields!C2:C1898, MATCH(D1558,RulebookFields!A2:A1898, 0))), "")</f>
        <v>SendIntents</v>
      </c>
      <c r="I1558" s="4" t="str">
        <f>_xlfn.IFNA(IF(((INDEX(RulebookFields!D2:D1898, MATCH(D1558,RulebookFields!A2:A1898, 0))="")=TRUE),  "",  INDEX(RulebookFields!D2:D1898, MATCH(D1558,RulebookFields!A2:A1898, 0))), "")</f>
        <v>IntentChannel</v>
      </c>
      <c r="J1558" s="4" t="b">
        <f>_xlfn.IFNA(IF(((INDEX(RulebookFields!I2:I1898, MATCH(D1558,RulebookFields!A2:A1898, 0))="")=TRUE),  "",  INDEX(RulebookFields!I2:I1898, MATCH(D1558,RulebookFields!A2:A1898, 0))), "")</f>
        <v>1</v>
      </c>
      <c r="K1558" s="4" t="b">
        <f>AND(((F1558)=TRUE), ((J1558)=TRUE))</f>
        <v>0</v>
      </c>
      <c r="L1558" s="4" t="b">
        <f>AND(((G1558 &lt;&gt; "plain")=TRUE), ((G1558 &lt;&gt; "")=TRUE))</f>
        <v>0</v>
      </c>
      <c r="M1558" s="4" t="str">
        <f>IF(((E1558)=TRUE),  C1558 &amp; "|" &amp; H1558,  "")</f>
        <v>principal-process-steward|SendIntents</v>
      </c>
      <c r="N1558" s="3" t="s">
        <v>10004</v>
      </c>
    </row>
    <row r="1559">
      <c r="A1559" s="3" t="s">
        <v>11561</v>
      </c>
      <c r="B1559" s="4" t="str">
        <f>C1559 &amp; " -&gt; " &amp; D1559</f>
        <v>principal-process-steward -&gt; SendIntents.PolicyIsActive</v>
      </c>
      <c r="C1559" s="3" t="s">
        <v>9772</v>
      </c>
      <c r="D1559" s="3" t="s">
        <v>4748</v>
      </c>
      <c r="E1559" s="3" t="b">
        <v>1</v>
      </c>
      <c r="F1559" s="3" t="b">
        <v>0</v>
      </c>
      <c r="G1559" s="3" t="s">
        <v>10003</v>
      </c>
      <c r="H1559" s="4" t="str">
        <f>_xlfn.IFNA(IF(((INDEX(RulebookFields!C2:C1898, MATCH(D1559,RulebookFields!A2:A1898, 0))="")=TRUE),  "",  INDEX(RulebookFields!C2:C1898, MATCH(D1559,RulebookFields!A2:A1898, 0))), "")</f>
        <v>SendIntents</v>
      </c>
      <c r="I1559" s="4" t="str">
        <f>_xlfn.IFNA(IF(((INDEX(RulebookFields!D2:D1898, MATCH(D1559,RulebookFields!A2:A1898, 0))="")=TRUE),  "",  INDEX(RulebookFields!D2:D1898, MATCH(D1559,RulebookFields!A2:A1898, 0))), "")</f>
        <v>PolicyIsActive</v>
      </c>
      <c r="J1559" s="4" t="b">
        <f>_xlfn.IFNA(IF(((INDEX(RulebookFields!I2:I1898, MATCH(D1559,RulebookFields!A2:A1898, 0))="")=TRUE),  "",  INDEX(RulebookFields!I2:I1898, MATCH(D1559,RulebookFields!A2:A1898, 0))), "")</f>
        <v>1</v>
      </c>
      <c r="K1559" s="4" t="b">
        <f>AND(((F1559)=TRUE), ((J1559)=TRUE))</f>
        <v>0</v>
      </c>
      <c r="L1559" s="4" t="b">
        <f>AND(((G1559 &lt;&gt; "plain")=TRUE), ((G1559 &lt;&gt; "")=TRUE))</f>
        <v>0</v>
      </c>
      <c r="M1559" s="4" t="str">
        <f>IF(((E1559)=TRUE),  C1559 &amp; "|" &amp; H1559,  "")</f>
        <v>principal-process-steward|SendIntents</v>
      </c>
      <c r="N1559" s="3" t="s">
        <v>10004</v>
      </c>
    </row>
    <row r="1560">
      <c r="A1560" s="3" t="s">
        <v>11562</v>
      </c>
      <c r="B1560" s="4" t="str">
        <f>C1560 &amp; " -&gt; " &amp; D1560</f>
        <v>principal-process-steward -&gt; SendIntents.IntentRequiresConsent</v>
      </c>
      <c r="C1560" s="3" t="s">
        <v>9772</v>
      </c>
      <c r="D1560" s="3" t="s">
        <v>4751</v>
      </c>
      <c r="E1560" s="3" t="b">
        <v>1</v>
      </c>
      <c r="F1560" s="3" t="b">
        <v>0</v>
      </c>
      <c r="G1560" s="3" t="s">
        <v>10003</v>
      </c>
      <c r="H1560" s="4" t="str">
        <f>_xlfn.IFNA(IF(((INDEX(RulebookFields!C2:C1898, MATCH(D1560,RulebookFields!A2:A1898, 0))="")=TRUE),  "",  INDEX(RulebookFields!C2:C1898, MATCH(D1560,RulebookFields!A2:A1898, 0))), "")</f>
        <v>SendIntents</v>
      </c>
      <c r="I1560" s="4" t="str">
        <f>_xlfn.IFNA(IF(((INDEX(RulebookFields!D2:D1898, MATCH(D1560,RulebookFields!A2:A1898, 0))="")=TRUE),  "",  INDEX(RulebookFields!D2:D1898, MATCH(D1560,RulebookFields!A2:A1898, 0))), "")</f>
        <v>IntentRequiresConsent</v>
      </c>
      <c r="J1560" s="4" t="b">
        <f>_xlfn.IFNA(IF(((INDEX(RulebookFields!I2:I1898, MATCH(D1560,RulebookFields!A2:A1898, 0))="")=TRUE),  "",  INDEX(RulebookFields!I2:I1898, MATCH(D1560,RulebookFields!A2:A1898, 0))), "")</f>
        <v>1</v>
      </c>
      <c r="K1560" s="4" t="b">
        <f>AND(((F1560)=TRUE), ((J1560)=TRUE))</f>
        <v>0</v>
      </c>
      <c r="L1560" s="4" t="b">
        <f>AND(((G1560 &lt;&gt; "plain")=TRUE), ((G1560 &lt;&gt; "")=TRUE))</f>
        <v>0</v>
      </c>
      <c r="M1560" s="4" t="str">
        <f>IF(((E1560)=TRUE),  C1560 &amp; "|" &amp; H1560,  "")</f>
        <v>principal-process-steward|SendIntents</v>
      </c>
      <c r="N1560" s="3" t="s">
        <v>10004</v>
      </c>
    </row>
    <row r="1561">
      <c r="A1561" s="3" t="s">
        <v>11563</v>
      </c>
      <c r="B1561" s="4" t="str">
        <f>C1561 &amp; " -&gt; " &amp; D1561</f>
        <v>principal-process-steward -&gt; SendIntents.RecipientHasChannelConsent</v>
      </c>
      <c r="C1561" s="3" t="s">
        <v>9772</v>
      </c>
      <c r="D1561" s="3" t="s">
        <v>4754</v>
      </c>
      <c r="E1561" s="3" t="b">
        <v>1</v>
      </c>
      <c r="F1561" s="3" t="b">
        <v>0</v>
      </c>
      <c r="G1561" s="3" t="s">
        <v>10003</v>
      </c>
      <c r="H1561" s="4" t="str">
        <f>_xlfn.IFNA(IF(((INDEX(RulebookFields!C2:C1898, MATCH(D1561,RulebookFields!A2:A1898, 0))="")=TRUE),  "",  INDEX(RulebookFields!C2:C1898, MATCH(D1561,RulebookFields!A2:A1898, 0))), "")</f>
        <v>SendIntents</v>
      </c>
      <c r="I1561" s="4" t="str">
        <f>_xlfn.IFNA(IF(((INDEX(RulebookFields!D2:D1898, MATCH(D1561,RulebookFields!A2:A1898, 0))="")=TRUE),  "",  INDEX(RulebookFields!D2:D1898, MATCH(D1561,RulebookFields!A2:A1898, 0))), "")</f>
        <v>RecipientHasChannelConsent</v>
      </c>
      <c r="J1561" s="4" t="b">
        <f>_xlfn.IFNA(IF(((INDEX(RulebookFields!I2:I1898, MATCH(D1561,RulebookFields!A2:A1898, 0))="")=TRUE),  "",  INDEX(RulebookFields!I2:I1898, MATCH(D1561,RulebookFields!A2:A1898, 0))), "")</f>
        <v>1</v>
      </c>
      <c r="K1561" s="4" t="b">
        <f>AND(((F1561)=TRUE), ((J1561)=TRUE))</f>
        <v>0</v>
      </c>
      <c r="L1561" s="4" t="b">
        <f>AND(((G1561 &lt;&gt; "plain")=TRUE), ((G1561 &lt;&gt; "")=TRUE))</f>
        <v>0</v>
      </c>
      <c r="M1561" s="4" t="str">
        <f>IF(((E1561)=TRUE),  C1561 &amp; "|" &amp; H1561,  "")</f>
        <v>principal-process-steward|SendIntents</v>
      </c>
      <c r="N1561" s="3" t="s">
        <v>10004</v>
      </c>
    </row>
    <row r="1562">
      <c r="A1562" s="3" t="s">
        <v>11564</v>
      </c>
      <c r="B1562" s="4" t="str">
        <f>C1562 &amp; " -&gt; " &amp; D1562</f>
        <v>principal-process-steward -&gt; SendIntents.ConsentGatePassed</v>
      </c>
      <c r="C1562" s="3" t="s">
        <v>9772</v>
      </c>
      <c r="D1562" s="3" t="s">
        <v>4756</v>
      </c>
      <c r="E1562" s="3" t="b">
        <v>1</v>
      </c>
      <c r="F1562" s="3" t="b">
        <v>0</v>
      </c>
      <c r="G1562" s="3" t="s">
        <v>10003</v>
      </c>
      <c r="H1562" s="4" t="str">
        <f>_xlfn.IFNA(IF(((INDEX(RulebookFields!C2:C1898, MATCH(D1562,RulebookFields!A2:A1898, 0))="")=TRUE),  "",  INDEX(RulebookFields!C2:C1898, MATCH(D1562,RulebookFields!A2:A1898, 0))), "")</f>
        <v>SendIntents</v>
      </c>
      <c r="I1562" s="4" t="str">
        <f>_xlfn.IFNA(IF(((INDEX(RulebookFields!D2:D1898, MATCH(D1562,RulebookFields!A2:A1898, 0))="")=TRUE),  "",  INDEX(RulebookFields!D2:D1898, MATCH(D1562,RulebookFields!A2:A1898, 0))), "")</f>
        <v>ConsentGatePassed</v>
      </c>
      <c r="J1562" s="4" t="b">
        <f>_xlfn.IFNA(IF(((INDEX(RulebookFields!I2:I1898, MATCH(D1562,RulebookFields!A2:A1898, 0))="")=TRUE),  "",  INDEX(RulebookFields!I2:I1898, MATCH(D1562,RulebookFields!A2:A1898, 0))), "")</f>
        <v>1</v>
      </c>
      <c r="K1562" s="4" t="b">
        <f>AND(((F1562)=TRUE), ((J1562)=TRUE))</f>
        <v>0</v>
      </c>
      <c r="L1562" s="4" t="b">
        <f>AND(((G1562 &lt;&gt; "plain")=TRUE), ((G1562 &lt;&gt; "")=TRUE))</f>
        <v>0</v>
      </c>
      <c r="M1562" s="4" t="str">
        <f>IF(((E1562)=TRUE),  C1562 &amp; "|" &amp; H1562,  "")</f>
        <v>principal-process-steward|SendIntents</v>
      </c>
      <c r="N1562" s="3" t="s">
        <v>10004</v>
      </c>
    </row>
    <row r="1563">
      <c r="A1563" s="3" t="s">
        <v>11565</v>
      </c>
      <c r="B1563" s="4" t="str">
        <f>C1563 &amp; " -&gt; " &amp; D1563</f>
        <v>principal-process-steward -&gt; SendIntents.RecipientIsSmsReachable</v>
      </c>
      <c r="C1563" s="3" t="s">
        <v>9772</v>
      </c>
      <c r="D1563" s="3" t="s">
        <v>4759</v>
      </c>
      <c r="E1563" s="3" t="b">
        <v>1</v>
      </c>
      <c r="F1563" s="3" t="b">
        <v>0</v>
      </c>
      <c r="G1563" s="3" t="s">
        <v>10003</v>
      </c>
      <c r="H1563" s="4" t="str">
        <f>_xlfn.IFNA(IF(((INDEX(RulebookFields!C2:C1898, MATCH(D1563,RulebookFields!A2:A1898, 0))="")=TRUE),  "",  INDEX(RulebookFields!C2:C1898, MATCH(D1563,RulebookFields!A2:A1898, 0))), "")</f>
        <v>SendIntents</v>
      </c>
      <c r="I1563" s="4" t="str">
        <f>_xlfn.IFNA(IF(((INDEX(RulebookFields!D2:D1898, MATCH(D1563,RulebookFields!A2:A1898, 0))="")=TRUE),  "",  INDEX(RulebookFields!D2:D1898, MATCH(D1563,RulebookFields!A2:A1898, 0))), "")</f>
        <v>RecipientIsSmsReachable</v>
      </c>
      <c r="J1563" s="4" t="b">
        <f>_xlfn.IFNA(IF(((INDEX(RulebookFields!I2:I1898, MATCH(D1563,RulebookFields!A2:A1898, 0))="")=TRUE),  "",  INDEX(RulebookFields!I2:I1898, MATCH(D1563,RulebookFields!A2:A1898, 0))), "")</f>
        <v>1</v>
      </c>
      <c r="K1563" s="4" t="b">
        <f>AND(((F1563)=TRUE), ((J1563)=TRUE))</f>
        <v>0</v>
      </c>
      <c r="L1563" s="4" t="b">
        <f>AND(((G1563 &lt;&gt; "plain")=TRUE), ((G1563 &lt;&gt; "")=TRUE))</f>
        <v>0</v>
      </c>
      <c r="M1563" s="4" t="str">
        <f>IF(((E1563)=TRUE),  C1563 &amp; "|" &amp; H1563,  "")</f>
        <v>principal-process-steward|SendIntents</v>
      </c>
      <c r="N1563" s="3" t="s">
        <v>10004</v>
      </c>
    </row>
    <row r="1564">
      <c r="A1564" s="3" t="s">
        <v>11566</v>
      </c>
      <c r="B1564" s="4" t="str">
        <f>C1564 &amp; " -&gt; " &amp; D1564</f>
        <v>principal-process-steward -&gt; SendIntents.RecipientIsEmailReachable</v>
      </c>
      <c r="C1564" s="3" t="s">
        <v>9772</v>
      </c>
      <c r="D1564" s="3" t="s">
        <v>4762</v>
      </c>
      <c r="E1564" s="3" t="b">
        <v>1</v>
      </c>
      <c r="F1564" s="3" t="b">
        <v>0</v>
      </c>
      <c r="G1564" s="3" t="s">
        <v>10003</v>
      </c>
      <c r="H1564" s="4" t="str">
        <f>_xlfn.IFNA(IF(((INDEX(RulebookFields!C2:C1898, MATCH(D1564,RulebookFields!A2:A1898, 0))="")=TRUE),  "",  INDEX(RulebookFields!C2:C1898, MATCH(D1564,RulebookFields!A2:A1898, 0))), "")</f>
        <v>SendIntents</v>
      </c>
      <c r="I1564" s="4" t="str">
        <f>_xlfn.IFNA(IF(((INDEX(RulebookFields!D2:D1898, MATCH(D1564,RulebookFields!A2:A1898, 0))="")=TRUE),  "",  INDEX(RulebookFields!D2:D1898, MATCH(D1564,RulebookFields!A2:A1898, 0))), "")</f>
        <v>RecipientIsEmailReachable</v>
      </c>
      <c r="J1564" s="4" t="b">
        <f>_xlfn.IFNA(IF(((INDEX(RulebookFields!I2:I1898, MATCH(D1564,RulebookFields!A2:A1898, 0))="")=TRUE),  "",  INDEX(RulebookFields!I2:I1898, MATCH(D1564,RulebookFields!A2:A1898, 0))), "")</f>
        <v>1</v>
      </c>
      <c r="K1564" s="4" t="b">
        <f>AND(((F1564)=TRUE), ((J1564)=TRUE))</f>
        <v>0</v>
      </c>
      <c r="L1564" s="4" t="b">
        <f>AND(((G1564 &lt;&gt; "plain")=TRUE), ((G1564 &lt;&gt; "")=TRUE))</f>
        <v>0</v>
      </c>
      <c r="M1564" s="4" t="str">
        <f>IF(((E1564)=TRUE),  C1564 &amp; "|" &amp; H1564,  "")</f>
        <v>principal-process-steward|SendIntents</v>
      </c>
      <c r="N1564" s="3" t="s">
        <v>10004</v>
      </c>
    </row>
    <row r="1565">
      <c r="A1565" s="3" t="s">
        <v>11567</v>
      </c>
      <c r="B1565" s="4" t="str">
        <f>C1565 &amp; " -&gt; " &amp; D1565</f>
        <v>principal-process-steward -&gt; SendIntents.ReachabilityGatePassed</v>
      </c>
      <c r="C1565" s="3" t="s">
        <v>9772</v>
      </c>
      <c r="D1565" s="3" t="s">
        <v>4765</v>
      </c>
      <c r="E1565" s="3" t="b">
        <v>1</v>
      </c>
      <c r="F1565" s="3" t="b">
        <v>0</v>
      </c>
      <c r="G1565" s="3" t="s">
        <v>10003</v>
      </c>
      <c r="H1565" s="4" t="str">
        <f>_xlfn.IFNA(IF(((INDEX(RulebookFields!C2:C1898, MATCH(D1565,RulebookFields!A2:A1898, 0))="")=TRUE),  "",  INDEX(RulebookFields!C2:C1898, MATCH(D1565,RulebookFields!A2:A1898, 0))), "")</f>
        <v>SendIntents</v>
      </c>
      <c r="I1565" s="4" t="str">
        <f>_xlfn.IFNA(IF(((INDEX(RulebookFields!D2:D1898, MATCH(D1565,RulebookFields!A2:A1898, 0))="")=TRUE),  "",  INDEX(RulebookFields!D2:D1898, MATCH(D1565,RulebookFields!A2:A1898, 0))), "")</f>
        <v>ReachabilityGatePassed</v>
      </c>
      <c r="J1565" s="4" t="b">
        <f>_xlfn.IFNA(IF(((INDEX(RulebookFields!I2:I1898, MATCH(D1565,RulebookFields!A2:A1898, 0))="")=TRUE),  "",  INDEX(RulebookFields!I2:I1898, MATCH(D1565,RulebookFields!A2:A1898, 0))), "")</f>
        <v>1</v>
      </c>
      <c r="K1565" s="4" t="b">
        <f>AND(((F1565)=TRUE), ((J1565)=TRUE))</f>
        <v>0</v>
      </c>
      <c r="L1565" s="4" t="b">
        <f>AND(((G1565 &lt;&gt; "plain")=TRUE), ((G1565 &lt;&gt; "")=TRUE))</f>
        <v>0</v>
      </c>
      <c r="M1565" s="4" t="str">
        <f>IF(((E1565)=TRUE),  C1565 &amp; "|" &amp; H1565,  "")</f>
        <v>principal-process-steward|SendIntents</v>
      </c>
      <c r="N1565" s="3" t="s">
        <v>10004</v>
      </c>
    </row>
    <row r="1566">
      <c r="A1566" s="3" t="s">
        <v>11568</v>
      </c>
      <c r="B1566" s="4" t="str">
        <f>C1566 &amp; " -&gt; " &amp; D1566</f>
        <v>principal-process-steward -&gt; SendIntents.PermissionGatePassed</v>
      </c>
      <c r="C1566" s="3" t="s">
        <v>9772</v>
      </c>
      <c r="D1566" s="3" t="s">
        <v>4768</v>
      </c>
      <c r="E1566" s="3" t="b">
        <v>1</v>
      </c>
      <c r="F1566" s="3" t="b">
        <v>0</v>
      </c>
      <c r="G1566" s="3" t="s">
        <v>10003</v>
      </c>
      <c r="H1566" s="4" t="str">
        <f>_xlfn.IFNA(IF(((INDEX(RulebookFields!C2:C1898, MATCH(D1566,RulebookFields!A2:A1898, 0))="")=TRUE),  "",  INDEX(RulebookFields!C2:C1898, MATCH(D1566,RulebookFields!A2:A1898, 0))), "")</f>
        <v>SendIntents</v>
      </c>
      <c r="I1566" s="4" t="str">
        <f>_xlfn.IFNA(IF(((INDEX(RulebookFields!D2:D1898, MATCH(D1566,RulebookFields!A2:A1898, 0))="")=TRUE),  "",  INDEX(RulebookFields!D2:D1898, MATCH(D1566,RulebookFields!A2:A1898, 0))), "")</f>
        <v>PermissionGatePassed</v>
      </c>
      <c r="J1566" s="4" t="b">
        <f>_xlfn.IFNA(IF(((INDEX(RulebookFields!I2:I1898, MATCH(D1566,RulebookFields!A2:A1898, 0))="")=TRUE),  "",  INDEX(RulebookFields!I2:I1898, MATCH(D1566,RulebookFields!A2:A1898, 0))), "")</f>
        <v>1</v>
      </c>
      <c r="K1566" s="4" t="b">
        <f>AND(((F1566)=TRUE), ((J1566)=TRUE))</f>
        <v>0</v>
      </c>
      <c r="L1566" s="4" t="b">
        <f>AND(((G1566 &lt;&gt; "plain")=TRUE), ((G1566 &lt;&gt; "")=TRUE))</f>
        <v>0</v>
      </c>
      <c r="M1566" s="4" t="str">
        <f>IF(((E1566)=TRUE),  C1566 &amp; "|" &amp; H1566,  "")</f>
        <v>principal-process-steward|SendIntents</v>
      </c>
      <c r="N1566" s="3" t="s">
        <v>10004</v>
      </c>
    </row>
    <row r="1567">
      <c r="A1567" s="3" t="s">
        <v>11569</v>
      </c>
      <c r="B1567" s="4" t="str">
        <f>C1567 &amp; " -&gt; " &amp; D1567</f>
        <v>principal-process-steward -&gt; SendIntents.IntentQuietStartHour</v>
      </c>
      <c r="C1567" s="3" t="s">
        <v>9772</v>
      </c>
      <c r="D1567" s="3" t="s">
        <v>4771</v>
      </c>
      <c r="E1567" s="3" t="b">
        <v>1</v>
      </c>
      <c r="F1567" s="3" t="b">
        <v>0</v>
      </c>
      <c r="G1567" s="3" t="s">
        <v>10003</v>
      </c>
      <c r="H1567" s="4" t="str">
        <f>_xlfn.IFNA(IF(((INDEX(RulebookFields!C2:C1898, MATCH(D1567,RulebookFields!A2:A1898, 0))="")=TRUE),  "",  INDEX(RulebookFields!C2:C1898, MATCH(D1567,RulebookFields!A2:A1898, 0))), "")</f>
        <v>SendIntents</v>
      </c>
      <c r="I1567" s="4" t="str">
        <f>_xlfn.IFNA(IF(((INDEX(RulebookFields!D2:D1898, MATCH(D1567,RulebookFields!A2:A1898, 0))="")=TRUE),  "",  INDEX(RulebookFields!D2:D1898, MATCH(D1567,RulebookFields!A2:A1898, 0))), "")</f>
        <v>IntentQuietStartHour</v>
      </c>
      <c r="J1567" s="4" t="b">
        <f>_xlfn.IFNA(IF(((INDEX(RulebookFields!I2:I1898, MATCH(D1567,RulebookFields!A2:A1898, 0))="")=TRUE),  "",  INDEX(RulebookFields!I2:I1898, MATCH(D1567,RulebookFields!A2:A1898, 0))), "")</f>
        <v>1</v>
      </c>
      <c r="K1567" s="4" t="b">
        <f>AND(((F1567)=TRUE), ((J1567)=TRUE))</f>
        <v>0</v>
      </c>
      <c r="L1567" s="4" t="b">
        <f>AND(((G1567 &lt;&gt; "plain")=TRUE), ((G1567 &lt;&gt; "")=TRUE))</f>
        <v>0</v>
      </c>
      <c r="M1567" s="4" t="str">
        <f>IF(((E1567)=TRUE),  C1567 &amp; "|" &amp; H1567,  "")</f>
        <v>principal-process-steward|SendIntents</v>
      </c>
      <c r="N1567" s="3" t="s">
        <v>10004</v>
      </c>
    </row>
    <row r="1568">
      <c r="A1568" s="3" t="s">
        <v>11570</v>
      </c>
      <c r="B1568" s="4" t="str">
        <f>C1568 &amp; " -&gt; " &amp; D1568</f>
        <v>principal-process-steward -&gt; SendIntents.IntentQuietEndHour</v>
      </c>
      <c r="C1568" s="3" t="s">
        <v>9772</v>
      </c>
      <c r="D1568" s="3" t="s">
        <v>4774</v>
      </c>
      <c r="E1568" s="3" t="b">
        <v>1</v>
      </c>
      <c r="F1568" s="3" t="b">
        <v>0</v>
      </c>
      <c r="G1568" s="3" t="s">
        <v>10003</v>
      </c>
      <c r="H1568" s="4" t="str">
        <f>_xlfn.IFNA(IF(((INDEX(RulebookFields!C2:C1898, MATCH(D1568,RulebookFields!A2:A1898, 0))="")=TRUE),  "",  INDEX(RulebookFields!C2:C1898, MATCH(D1568,RulebookFields!A2:A1898, 0))), "")</f>
        <v>SendIntents</v>
      </c>
      <c r="I1568" s="4" t="str">
        <f>_xlfn.IFNA(IF(((INDEX(RulebookFields!D2:D1898, MATCH(D1568,RulebookFields!A2:A1898, 0))="")=TRUE),  "",  INDEX(RulebookFields!D2:D1898, MATCH(D1568,RulebookFields!A2:A1898, 0))), "")</f>
        <v>IntentQuietEndHour</v>
      </c>
      <c r="J1568" s="4" t="b">
        <f>_xlfn.IFNA(IF(((INDEX(RulebookFields!I2:I1898, MATCH(D1568,RulebookFields!A2:A1898, 0))="")=TRUE),  "",  INDEX(RulebookFields!I2:I1898, MATCH(D1568,RulebookFields!A2:A1898, 0))), "")</f>
        <v>1</v>
      </c>
      <c r="K1568" s="4" t="b">
        <f>AND(((F1568)=TRUE), ((J1568)=TRUE))</f>
        <v>0</v>
      </c>
      <c r="L1568" s="4" t="b">
        <f>AND(((G1568 &lt;&gt; "plain")=TRUE), ((G1568 &lt;&gt; "")=TRUE))</f>
        <v>0</v>
      </c>
      <c r="M1568" s="4" t="str">
        <f>IF(((E1568)=TRUE),  C1568 &amp; "|" &amp; H1568,  "")</f>
        <v>principal-process-steward|SendIntents</v>
      </c>
      <c r="N1568" s="3" t="s">
        <v>10004</v>
      </c>
    </row>
    <row r="1569">
      <c r="A1569" s="3" t="s">
        <v>11571</v>
      </c>
      <c r="B1569" s="4" t="str">
        <f>C1569 &amp; " -&gt; " &amp; D1569</f>
        <v>principal-process-steward -&gt; SendIntents.IntentPolicyHasQuietHours</v>
      </c>
      <c r="C1569" s="3" t="s">
        <v>9772</v>
      </c>
      <c r="D1569" s="3" t="s">
        <v>4777</v>
      </c>
      <c r="E1569" s="3" t="b">
        <v>1</v>
      </c>
      <c r="F1569" s="3" t="b">
        <v>0</v>
      </c>
      <c r="G1569" s="3" t="s">
        <v>10003</v>
      </c>
      <c r="H1569" s="4" t="str">
        <f>_xlfn.IFNA(IF(((INDEX(RulebookFields!C2:C1898, MATCH(D1569,RulebookFields!A2:A1898, 0))="")=TRUE),  "",  INDEX(RulebookFields!C2:C1898, MATCH(D1569,RulebookFields!A2:A1898, 0))), "")</f>
        <v>SendIntents</v>
      </c>
      <c r="I1569" s="4" t="str">
        <f>_xlfn.IFNA(IF(((INDEX(RulebookFields!D2:D1898, MATCH(D1569,RulebookFields!A2:A1898, 0))="")=TRUE),  "",  INDEX(RulebookFields!D2:D1898, MATCH(D1569,RulebookFields!A2:A1898, 0))), "")</f>
        <v>IntentPolicyHasQuietHours</v>
      </c>
      <c r="J1569" s="4" t="b">
        <f>_xlfn.IFNA(IF(((INDEX(RulebookFields!I2:I1898, MATCH(D1569,RulebookFields!A2:A1898, 0))="")=TRUE),  "",  INDEX(RulebookFields!I2:I1898, MATCH(D1569,RulebookFields!A2:A1898, 0))), "")</f>
        <v>1</v>
      </c>
      <c r="K1569" s="4" t="b">
        <f>AND(((F1569)=TRUE), ((J1569)=TRUE))</f>
        <v>0</v>
      </c>
      <c r="L1569" s="4" t="b">
        <f>AND(((G1569 &lt;&gt; "plain")=TRUE), ((G1569 &lt;&gt; "")=TRUE))</f>
        <v>0</v>
      </c>
      <c r="M1569" s="4" t="str">
        <f>IF(((E1569)=TRUE),  C1569 &amp; "|" &amp; H1569,  "")</f>
        <v>principal-process-steward|SendIntents</v>
      </c>
      <c r="N1569" s="3" t="s">
        <v>10004</v>
      </c>
    </row>
    <row r="1570">
      <c r="A1570" s="3" t="s">
        <v>11572</v>
      </c>
      <c r="B1570" s="4" t="str">
        <f>C1570 &amp; " -&gt; " &amp; D1570</f>
        <v>principal-process-steward -&gt; SendIntents.IntentQuietWindowWraps</v>
      </c>
      <c r="C1570" s="3" t="s">
        <v>9772</v>
      </c>
      <c r="D1570" s="3" t="s">
        <v>4780</v>
      </c>
      <c r="E1570" s="3" t="b">
        <v>1</v>
      </c>
      <c r="F1570" s="3" t="b">
        <v>0</v>
      </c>
      <c r="G1570" s="3" t="s">
        <v>10003</v>
      </c>
      <c r="H1570" s="4" t="str">
        <f>_xlfn.IFNA(IF(((INDEX(RulebookFields!C2:C1898, MATCH(D1570,RulebookFields!A2:A1898, 0))="")=TRUE),  "",  INDEX(RulebookFields!C2:C1898, MATCH(D1570,RulebookFields!A2:A1898, 0))), "")</f>
        <v>SendIntents</v>
      </c>
      <c r="I1570" s="4" t="str">
        <f>_xlfn.IFNA(IF(((INDEX(RulebookFields!D2:D1898, MATCH(D1570,RulebookFields!A2:A1898, 0))="")=TRUE),  "",  INDEX(RulebookFields!D2:D1898, MATCH(D1570,RulebookFields!A2:A1898, 0))), "")</f>
        <v>IntentQuietWindowWraps</v>
      </c>
      <c r="J1570" s="4" t="b">
        <f>_xlfn.IFNA(IF(((INDEX(RulebookFields!I2:I1898, MATCH(D1570,RulebookFields!A2:A1898, 0))="")=TRUE),  "",  INDEX(RulebookFields!I2:I1898, MATCH(D1570,RulebookFields!A2:A1898, 0))), "")</f>
        <v>1</v>
      </c>
      <c r="K1570" s="4" t="b">
        <f>AND(((F1570)=TRUE), ((J1570)=TRUE))</f>
        <v>0</v>
      </c>
      <c r="L1570" s="4" t="b">
        <f>AND(((G1570 &lt;&gt; "plain")=TRUE), ((G1570 &lt;&gt; "")=TRUE))</f>
        <v>0</v>
      </c>
      <c r="M1570" s="4" t="str">
        <f>IF(((E1570)=TRUE),  C1570 &amp; "|" &amp; H1570,  "")</f>
        <v>principal-process-steward|SendIntents</v>
      </c>
      <c r="N1570" s="3" t="s">
        <v>10004</v>
      </c>
    </row>
    <row r="1571">
      <c r="A1571" s="3" t="s">
        <v>11573</v>
      </c>
      <c r="B1571" s="4" t="str">
        <f>C1571 &amp; " -&gt; " &amp; D1571</f>
        <v>principal-process-steward -&gt; SendIntents.IntentIsInsideQuietWindow</v>
      </c>
      <c r="C1571" s="3" t="s">
        <v>9772</v>
      </c>
      <c r="D1571" s="3" t="s">
        <v>4783</v>
      </c>
      <c r="E1571" s="3" t="b">
        <v>1</v>
      </c>
      <c r="F1571" s="3" t="b">
        <v>0</v>
      </c>
      <c r="G1571" s="3" t="s">
        <v>10003</v>
      </c>
      <c r="H1571" s="4" t="str">
        <f>_xlfn.IFNA(IF(((INDEX(RulebookFields!C2:C1898, MATCH(D1571,RulebookFields!A2:A1898, 0))="")=TRUE),  "",  INDEX(RulebookFields!C2:C1898, MATCH(D1571,RulebookFields!A2:A1898, 0))), "")</f>
        <v>SendIntents</v>
      </c>
      <c r="I1571" s="4" t="str">
        <f>_xlfn.IFNA(IF(((INDEX(RulebookFields!D2:D1898, MATCH(D1571,RulebookFields!A2:A1898, 0))="")=TRUE),  "",  INDEX(RulebookFields!D2:D1898, MATCH(D1571,RulebookFields!A2:A1898, 0))), "")</f>
        <v>IntentIsInsideQuietWindow</v>
      </c>
      <c r="J1571" s="4" t="b">
        <f>_xlfn.IFNA(IF(((INDEX(RulebookFields!I2:I1898, MATCH(D1571,RulebookFields!A2:A1898, 0))="")=TRUE),  "",  INDEX(RulebookFields!I2:I1898, MATCH(D1571,RulebookFields!A2:A1898, 0))), "")</f>
        <v>1</v>
      </c>
      <c r="K1571" s="4" t="b">
        <f>AND(((F1571)=TRUE), ((J1571)=TRUE))</f>
        <v>0</v>
      </c>
      <c r="L1571" s="4" t="b">
        <f>AND(((G1571 &lt;&gt; "plain")=TRUE), ((G1571 &lt;&gt; "")=TRUE))</f>
        <v>0</v>
      </c>
      <c r="M1571" s="4" t="str">
        <f>IF(((E1571)=TRUE),  C1571 &amp; "|" &amp; H1571,  "")</f>
        <v>principal-process-steward|SendIntents</v>
      </c>
      <c r="N1571" s="3" t="s">
        <v>10004</v>
      </c>
    </row>
    <row r="1572">
      <c r="A1572" s="3" t="s">
        <v>11574</v>
      </c>
      <c r="B1572" s="4" t="str">
        <f>C1572 &amp; " -&gt; " &amp; D1572</f>
        <v>principal-process-steward -&gt; SendIntents.TimingGatePassed</v>
      </c>
      <c r="C1572" s="3" t="s">
        <v>9772</v>
      </c>
      <c r="D1572" s="3" t="s">
        <v>4786</v>
      </c>
      <c r="E1572" s="3" t="b">
        <v>1</v>
      </c>
      <c r="F1572" s="3" t="b">
        <v>0</v>
      </c>
      <c r="G1572" s="3" t="s">
        <v>10003</v>
      </c>
      <c r="H1572" s="4" t="str">
        <f>_xlfn.IFNA(IF(((INDEX(RulebookFields!C2:C1898, MATCH(D1572,RulebookFields!A2:A1898, 0))="")=TRUE),  "",  INDEX(RulebookFields!C2:C1898, MATCH(D1572,RulebookFields!A2:A1898, 0))), "")</f>
        <v>SendIntents</v>
      </c>
      <c r="I1572" s="4" t="str">
        <f>_xlfn.IFNA(IF(((INDEX(RulebookFields!D2:D1898, MATCH(D1572,RulebookFields!A2:A1898, 0))="")=TRUE),  "",  INDEX(RulebookFields!D2:D1898, MATCH(D1572,RulebookFields!A2:A1898, 0))), "")</f>
        <v>TimingGatePassed</v>
      </c>
      <c r="J1572" s="4" t="b">
        <f>_xlfn.IFNA(IF(((INDEX(RulebookFields!I2:I1898, MATCH(D1572,RulebookFields!A2:A1898, 0))="")=TRUE),  "",  INDEX(RulebookFields!I2:I1898, MATCH(D1572,RulebookFields!A2:A1898, 0))), "")</f>
        <v>1</v>
      </c>
      <c r="K1572" s="4" t="b">
        <f>AND(((F1572)=TRUE), ((J1572)=TRUE))</f>
        <v>0</v>
      </c>
      <c r="L1572" s="4" t="b">
        <f>AND(((G1572 &lt;&gt; "plain")=TRUE), ((G1572 &lt;&gt; "")=TRUE))</f>
        <v>0</v>
      </c>
      <c r="M1572" s="4" t="str">
        <f>IF(((E1572)=TRUE),  C1572 &amp; "|" &amp; H1572,  "")</f>
        <v>principal-process-steward|SendIntents</v>
      </c>
      <c r="N1572" s="3" t="s">
        <v>10004</v>
      </c>
    </row>
    <row r="1573">
      <c r="A1573" s="3" t="s">
        <v>11575</v>
      </c>
      <c r="B1573" s="4" t="str">
        <f>C1573 &amp; " -&gt; " &amp; D1573</f>
        <v>principal-process-steward -&gt; SendIntents.HoursUntilWindowOpens</v>
      </c>
      <c r="C1573" s="3" t="s">
        <v>9772</v>
      </c>
      <c r="D1573" s="3" t="s">
        <v>4789</v>
      </c>
      <c r="E1573" s="3" t="b">
        <v>1</v>
      </c>
      <c r="F1573" s="3" t="b">
        <v>0</v>
      </c>
      <c r="G1573" s="3" t="s">
        <v>10003</v>
      </c>
      <c r="H1573" s="4" t="str">
        <f>_xlfn.IFNA(IF(((INDEX(RulebookFields!C2:C1898, MATCH(D1573,RulebookFields!A2:A1898, 0))="")=TRUE),  "",  INDEX(RulebookFields!C2:C1898, MATCH(D1573,RulebookFields!A2:A1898, 0))), "")</f>
        <v>SendIntents</v>
      </c>
      <c r="I1573" s="4" t="str">
        <f>_xlfn.IFNA(IF(((INDEX(RulebookFields!D2:D1898, MATCH(D1573,RulebookFields!A2:A1898, 0))="")=TRUE),  "",  INDEX(RulebookFields!D2:D1898, MATCH(D1573,RulebookFields!A2:A1898, 0))), "")</f>
        <v>HoursUntilWindowOpens</v>
      </c>
      <c r="J1573" s="4" t="b">
        <f>_xlfn.IFNA(IF(((INDEX(RulebookFields!I2:I1898, MATCH(D1573,RulebookFields!A2:A1898, 0))="")=TRUE),  "",  INDEX(RulebookFields!I2:I1898, MATCH(D1573,RulebookFields!A2:A1898, 0))), "")</f>
        <v>1</v>
      </c>
      <c r="K1573" s="4" t="b">
        <f>AND(((F1573)=TRUE), ((J1573)=TRUE))</f>
        <v>0</v>
      </c>
      <c r="L1573" s="4" t="b">
        <f>AND(((G1573 &lt;&gt; "plain")=TRUE), ((G1573 &lt;&gt; "")=TRUE))</f>
        <v>0</v>
      </c>
      <c r="M1573" s="4" t="str">
        <f>IF(((E1573)=TRUE),  C1573 &amp; "|" &amp; H1573,  "")</f>
        <v>principal-process-steward|SendIntents</v>
      </c>
      <c r="N1573" s="3" t="s">
        <v>10004</v>
      </c>
    </row>
    <row r="1574">
      <c r="A1574" s="3" t="s">
        <v>11576</v>
      </c>
      <c r="B1574" s="4" t="str">
        <f>C1574 &amp; " -&gt; " &amp; D1574</f>
        <v>principal-process-steward -&gt; SendIntents.IntentMaxMessageLength</v>
      </c>
      <c r="C1574" s="3" t="s">
        <v>9772</v>
      </c>
      <c r="D1574" s="3" t="s">
        <v>4792</v>
      </c>
      <c r="E1574" s="3" t="b">
        <v>1</v>
      </c>
      <c r="F1574" s="3" t="b">
        <v>0</v>
      </c>
      <c r="G1574" s="3" t="s">
        <v>10003</v>
      </c>
      <c r="H1574" s="4" t="str">
        <f>_xlfn.IFNA(IF(((INDEX(RulebookFields!C2:C1898, MATCH(D1574,RulebookFields!A2:A1898, 0))="")=TRUE),  "",  INDEX(RulebookFields!C2:C1898, MATCH(D1574,RulebookFields!A2:A1898, 0))), "")</f>
        <v>SendIntents</v>
      </c>
      <c r="I1574" s="4" t="str">
        <f>_xlfn.IFNA(IF(((INDEX(RulebookFields!D2:D1898, MATCH(D1574,RulebookFields!A2:A1898, 0))="")=TRUE),  "",  INDEX(RulebookFields!D2:D1898, MATCH(D1574,RulebookFields!A2:A1898, 0))), "")</f>
        <v>IntentMaxMessageLength</v>
      </c>
      <c r="J1574" s="4" t="b">
        <f>_xlfn.IFNA(IF(((INDEX(RulebookFields!I2:I1898, MATCH(D1574,RulebookFields!A2:A1898, 0))="")=TRUE),  "",  INDEX(RulebookFields!I2:I1898, MATCH(D1574,RulebookFields!A2:A1898, 0))), "")</f>
        <v>1</v>
      </c>
      <c r="K1574" s="4" t="b">
        <f>AND(((F1574)=TRUE), ((J1574)=TRUE))</f>
        <v>0</v>
      </c>
      <c r="L1574" s="4" t="b">
        <f>AND(((G1574 &lt;&gt; "plain")=TRUE), ((G1574 &lt;&gt; "")=TRUE))</f>
        <v>0</v>
      </c>
      <c r="M1574" s="4" t="str">
        <f>IF(((E1574)=TRUE),  C1574 &amp; "|" &amp; H1574,  "")</f>
        <v>principal-process-steward|SendIntents</v>
      </c>
      <c r="N1574" s="3" t="s">
        <v>10004</v>
      </c>
    </row>
    <row r="1575">
      <c r="A1575" s="3" t="s">
        <v>11577</v>
      </c>
      <c r="B1575" s="4" t="str">
        <f>C1575 &amp; " -&gt; " &amp; D1575</f>
        <v>principal-process-steward -&gt; SendIntents.IntentMaxSegments</v>
      </c>
      <c r="C1575" s="3" t="s">
        <v>9772</v>
      </c>
      <c r="D1575" s="3" t="s">
        <v>4795</v>
      </c>
      <c r="E1575" s="3" t="b">
        <v>1</v>
      </c>
      <c r="F1575" s="3" t="b">
        <v>0</v>
      </c>
      <c r="G1575" s="3" t="s">
        <v>10003</v>
      </c>
      <c r="H1575" s="4" t="str">
        <f>_xlfn.IFNA(IF(((INDEX(RulebookFields!C2:C1898, MATCH(D1575,RulebookFields!A2:A1898, 0))="")=TRUE),  "",  INDEX(RulebookFields!C2:C1898, MATCH(D1575,RulebookFields!A2:A1898, 0))), "")</f>
        <v>SendIntents</v>
      </c>
      <c r="I1575" s="4" t="str">
        <f>_xlfn.IFNA(IF(((INDEX(RulebookFields!D2:D1898, MATCH(D1575,RulebookFields!A2:A1898, 0))="")=TRUE),  "",  INDEX(RulebookFields!D2:D1898, MATCH(D1575,RulebookFields!A2:A1898, 0))), "")</f>
        <v>IntentMaxSegments</v>
      </c>
      <c r="J1575" s="4" t="b">
        <f>_xlfn.IFNA(IF(((INDEX(RulebookFields!I2:I1898, MATCH(D1575,RulebookFields!A2:A1898, 0))="")=TRUE),  "",  INDEX(RulebookFields!I2:I1898, MATCH(D1575,RulebookFields!A2:A1898, 0))), "")</f>
        <v>1</v>
      </c>
      <c r="K1575" s="4" t="b">
        <f>AND(((F1575)=TRUE), ((J1575)=TRUE))</f>
        <v>0</v>
      </c>
      <c r="L1575" s="4" t="b">
        <f>AND(((G1575 &lt;&gt; "plain")=TRUE), ((G1575 &lt;&gt; "")=TRUE))</f>
        <v>0</v>
      </c>
      <c r="M1575" s="4" t="str">
        <f>IF(((E1575)=TRUE),  C1575 &amp; "|" &amp; H1575,  "")</f>
        <v>principal-process-steward|SendIntents</v>
      </c>
      <c r="N1575" s="3" t="s">
        <v>10004</v>
      </c>
    </row>
    <row r="1576">
      <c r="A1576" s="3" t="s">
        <v>11578</v>
      </c>
      <c r="B1576" s="4" t="str">
        <f>C1576 &amp; " -&gt; " &amp; D1576</f>
        <v>principal-process-steward -&gt; SendIntents.ProposedBodyLength</v>
      </c>
      <c r="C1576" s="3" t="s">
        <v>9772</v>
      </c>
      <c r="D1576" s="3" t="s">
        <v>4798</v>
      </c>
      <c r="E1576" s="3" t="b">
        <v>1</v>
      </c>
      <c r="F1576" s="3" t="b">
        <v>0</v>
      </c>
      <c r="G1576" s="3" t="s">
        <v>10003</v>
      </c>
      <c r="H1576" s="4" t="str">
        <f>_xlfn.IFNA(IF(((INDEX(RulebookFields!C2:C1898, MATCH(D1576,RulebookFields!A2:A1898, 0))="")=TRUE),  "",  INDEX(RulebookFields!C2:C1898, MATCH(D1576,RulebookFields!A2:A1898, 0))), "")</f>
        <v>SendIntents</v>
      </c>
      <c r="I1576" s="4" t="str">
        <f>_xlfn.IFNA(IF(((INDEX(RulebookFields!D2:D1898, MATCH(D1576,RulebookFields!A2:A1898, 0))="")=TRUE),  "",  INDEX(RulebookFields!D2:D1898, MATCH(D1576,RulebookFields!A2:A1898, 0))), "")</f>
        <v>ProposedBodyLength</v>
      </c>
      <c r="J1576" s="4" t="b">
        <f>_xlfn.IFNA(IF(((INDEX(RulebookFields!I2:I1898, MATCH(D1576,RulebookFields!A2:A1898, 0))="")=TRUE),  "",  INDEX(RulebookFields!I2:I1898, MATCH(D1576,RulebookFields!A2:A1898, 0))), "")</f>
        <v>0</v>
      </c>
      <c r="K1576" s="4" t="b">
        <f>AND(((F1576)=TRUE), ((J1576)=TRUE))</f>
        <v>0</v>
      </c>
      <c r="L1576" s="4" t="b">
        <f>AND(((G1576 &lt;&gt; "plain")=TRUE), ((G1576 &lt;&gt; "")=TRUE))</f>
        <v>0</v>
      </c>
      <c r="M1576" s="4" t="str">
        <f>IF(((E1576)=TRUE),  C1576 &amp; "|" &amp; H1576,  "")</f>
        <v>principal-process-steward|SendIntents</v>
      </c>
      <c r="N1576" s="3" t="s">
        <v>10004</v>
      </c>
    </row>
    <row r="1577">
      <c r="A1577" s="3" t="s">
        <v>11579</v>
      </c>
      <c r="B1577" s="4" t="str">
        <f>C1577 &amp; " -&gt; " &amp; D1577</f>
        <v>principal-process-steward -&gt; SendIntents.ProposedSegmentCount</v>
      </c>
      <c r="C1577" s="3" t="s">
        <v>9772</v>
      </c>
      <c r="D1577" s="3" t="s">
        <v>4800</v>
      </c>
      <c r="E1577" s="3" t="b">
        <v>1</v>
      </c>
      <c r="F1577" s="3" t="b">
        <v>0</v>
      </c>
      <c r="G1577" s="3" t="s">
        <v>10003</v>
      </c>
      <c r="H1577" s="4" t="str">
        <f>_xlfn.IFNA(IF(((INDEX(RulebookFields!C2:C1898, MATCH(D1577,RulebookFields!A2:A1898, 0))="")=TRUE),  "",  INDEX(RulebookFields!C2:C1898, MATCH(D1577,RulebookFields!A2:A1898, 0))), "")</f>
        <v>SendIntents</v>
      </c>
      <c r="I1577" s="4" t="str">
        <f>_xlfn.IFNA(IF(((INDEX(RulebookFields!D2:D1898, MATCH(D1577,RulebookFields!A2:A1898, 0))="")=TRUE),  "",  INDEX(RulebookFields!D2:D1898, MATCH(D1577,RulebookFields!A2:A1898, 0))), "")</f>
        <v>ProposedSegmentCount</v>
      </c>
      <c r="J1577" s="4" t="b">
        <f>_xlfn.IFNA(IF(((INDEX(RulebookFields!I2:I1898, MATCH(D1577,RulebookFields!A2:A1898, 0))="")=TRUE),  "",  INDEX(RulebookFields!I2:I1898, MATCH(D1577,RulebookFields!A2:A1898, 0))), "")</f>
        <v>0</v>
      </c>
      <c r="K1577" s="4" t="b">
        <f>AND(((F1577)=TRUE), ((J1577)=TRUE))</f>
        <v>0</v>
      </c>
      <c r="L1577" s="4" t="b">
        <f>AND(((G1577 &lt;&gt; "plain")=TRUE), ((G1577 &lt;&gt; "")=TRUE))</f>
        <v>0</v>
      </c>
      <c r="M1577" s="4" t="str">
        <f>IF(((E1577)=TRUE),  C1577 &amp; "|" &amp; H1577,  "")</f>
        <v>principal-process-steward|SendIntents</v>
      </c>
      <c r="N1577" s="3" t="s">
        <v>10004</v>
      </c>
    </row>
    <row r="1578">
      <c r="A1578" s="3" t="s">
        <v>11580</v>
      </c>
      <c r="B1578" s="4" t="str">
        <f>C1578 &amp; " -&gt; " &amp; D1578</f>
        <v>principal-process-steward -&gt; SendIntents.LengthGatePassed</v>
      </c>
      <c r="C1578" s="3" t="s">
        <v>9772</v>
      </c>
      <c r="D1578" s="3" t="s">
        <v>4802</v>
      </c>
      <c r="E1578" s="3" t="b">
        <v>1</v>
      </c>
      <c r="F1578" s="3" t="b">
        <v>0</v>
      </c>
      <c r="G1578" s="3" t="s">
        <v>10003</v>
      </c>
      <c r="H1578" s="4" t="str">
        <f>_xlfn.IFNA(IF(((INDEX(RulebookFields!C2:C1898, MATCH(D1578,RulebookFields!A2:A1898, 0))="")=TRUE),  "",  INDEX(RulebookFields!C2:C1898, MATCH(D1578,RulebookFields!A2:A1898, 0))), "")</f>
        <v>SendIntents</v>
      </c>
      <c r="I1578" s="4" t="str">
        <f>_xlfn.IFNA(IF(((INDEX(RulebookFields!D2:D1898, MATCH(D1578,RulebookFields!A2:A1898, 0))="")=TRUE),  "",  INDEX(RulebookFields!D2:D1898, MATCH(D1578,RulebookFields!A2:A1898, 0))), "")</f>
        <v>LengthGatePassed</v>
      </c>
      <c r="J1578" s="4" t="b">
        <f>_xlfn.IFNA(IF(((INDEX(RulebookFields!I2:I1898, MATCH(D1578,RulebookFields!A2:A1898, 0))="")=TRUE),  "",  INDEX(RulebookFields!I2:I1898, MATCH(D1578,RulebookFields!A2:A1898, 0))), "")</f>
        <v>1</v>
      </c>
      <c r="K1578" s="4" t="b">
        <f>AND(((F1578)=TRUE), ((J1578)=TRUE))</f>
        <v>0</v>
      </c>
      <c r="L1578" s="4" t="b">
        <f>AND(((G1578 &lt;&gt; "plain")=TRUE), ((G1578 &lt;&gt; "")=TRUE))</f>
        <v>0</v>
      </c>
      <c r="M1578" s="4" t="str">
        <f>IF(((E1578)=TRUE),  C1578 &amp; "|" &amp; H1578,  "")</f>
        <v>principal-process-steward|SendIntents</v>
      </c>
      <c r="N1578" s="3" t="s">
        <v>10004</v>
      </c>
    </row>
    <row r="1579">
      <c r="A1579" s="3" t="s">
        <v>11581</v>
      </c>
      <c r="B1579" s="4" t="str">
        <f>C1579 &amp; " -&gt; " &amp; D1579</f>
        <v>principal-process-steward -&gt; SendIntents.IntentRequiredOptOutPhrase</v>
      </c>
      <c r="C1579" s="3" t="s">
        <v>9772</v>
      </c>
      <c r="D1579" s="3" t="s">
        <v>4805</v>
      </c>
      <c r="E1579" s="3" t="b">
        <v>1</v>
      </c>
      <c r="F1579" s="3" t="b">
        <v>0</v>
      </c>
      <c r="G1579" s="3" t="s">
        <v>10003</v>
      </c>
      <c r="H1579" s="4" t="str">
        <f>_xlfn.IFNA(IF(((INDEX(RulebookFields!C2:C1898, MATCH(D1579,RulebookFields!A2:A1898, 0))="")=TRUE),  "",  INDEX(RulebookFields!C2:C1898, MATCH(D1579,RulebookFields!A2:A1898, 0))), "")</f>
        <v>SendIntents</v>
      </c>
      <c r="I1579" s="4" t="str">
        <f>_xlfn.IFNA(IF(((INDEX(RulebookFields!D2:D1898, MATCH(D1579,RulebookFields!A2:A1898, 0))="")=TRUE),  "",  INDEX(RulebookFields!D2:D1898, MATCH(D1579,RulebookFields!A2:A1898, 0))), "")</f>
        <v>IntentRequiredOptOutPhrase</v>
      </c>
      <c r="J1579" s="4" t="b">
        <f>_xlfn.IFNA(IF(((INDEX(RulebookFields!I2:I1898, MATCH(D1579,RulebookFields!A2:A1898, 0))="")=TRUE),  "",  INDEX(RulebookFields!I2:I1898, MATCH(D1579,RulebookFields!A2:A1898, 0))), "")</f>
        <v>1</v>
      </c>
      <c r="K1579" s="4" t="b">
        <f>AND(((F1579)=TRUE), ((J1579)=TRUE))</f>
        <v>0</v>
      </c>
      <c r="L1579" s="4" t="b">
        <f>AND(((G1579 &lt;&gt; "plain")=TRUE), ((G1579 &lt;&gt; "")=TRUE))</f>
        <v>0</v>
      </c>
      <c r="M1579" s="4" t="str">
        <f>IF(((E1579)=TRUE),  C1579 &amp; "|" &amp; H1579,  "")</f>
        <v>principal-process-steward|SendIntents</v>
      </c>
      <c r="N1579" s="3" t="s">
        <v>10004</v>
      </c>
    </row>
    <row r="1580">
      <c r="A1580" s="3" t="s">
        <v>11582</v>
      </c>
      <c r="B1580" s="4" t="str">
        <f>C1580 &amp; " -&gt; " &amp; D1580</f>
        <v>principal-process-steward -&gt; SendIntents.ProposedOptOutPosition</v>
      </c>
      <c r="C1580" s="3" t="s">
        <v>9772</v>
      </c>
      <c r="D1580" s="3" t="s">
        <v>4808</v>
      </c>
      <c r="E1580" s="3" t="b">
        <v>1</v>
      </c>
      <c r="F1580" s="3" t="b">
        <v>0</v>
      </c>
      <c r="G1580" s="3" t="s">
        <v>10003</v>
      </c>
      <c r="H1580" s="4" t="str">
        <f>_xlfn.IFNA(IF(((INDEX(RulebookFields!C2:C1898, MATCH(D1580,RulebookFields!A2:A1898, 0))="")=TRUE),  "",  INDEX(RulebookFields!C2:C1898, MATCH(D1580,RulebookFields!A2:A1898, 0))), "")</f>
        <v>SendIntents</v>
      </c>
      <c r="I1580" s="4" t="str">
        <f>_xlfn.IFNA(IF(((INDEX(RulebookFields!D2:D1898, MATCH(D1580,RulebookFields!A2:A1898, 0))="")=TRUE),  "",  INDEX(RulebookFields!D2:D1898, MATCH(D1580,RulebookFields!A2:A1898, 0))), "")</f>
        <v>ProposedOptOutPosition</v>
      </c>
      <c r="J1580" s="4" t="b">
        <f>_xlfn.IFNA(IF(((INDEX(RulebookFields!I2:I1898, MATCH(D1580,RulebookFields!A2:A1898, 0))="")=TRUE),  "",  INDEX(RulebookFields!I2:I1898, MATCH(D1580,RulebookFields!A2:A1898, 0))), "")</f>
        <v>0</v>
      </c>
      <c r="K1580" s="4" t="b">
        <f>AND(((F1580)=TRUE), ((J1580)=TRUE))</f>
        <v>0</v>
      </c>
      <c r="L1580" s="4" t="b">
        <f>AND(((G1580 &lt;&gt; "plain")=TRUE), ((G1580 &lt;&gt; "")=TRUE))</f>
        <v>0</v>
      </c>
      <c r="M1580" s="4" t="str">
        <f>IF(((E1580)=TRUE),  C1580 &amp; "|" &amp; H1580,  "")</f>
        <v>principal-process-steward|SendIntents</v>
      </c>
      <c r="N1580" s="3" t="s">
        <v>10004</v>
      </c>
    </row>
    <row r="1581">
      <c r="A1581" s="3" t="s">
        <v>11583</v>
      </c>
      <c r="B1581" s="4" t="str">
        <f>C1581 &amp; " -&gt; " &amp; D1581</f>
        <v>principal-process-steward -&gt; SendIntents.OptOutGatePassed</v>
      </c>
      <c r="C1581" s="3" t="s">
        <v>9772</v>
      </c>
      <c r="D1581" s="3" t="s">
        <v>4810</v>
      </c>
      <c r="E1581" s="3" t="b">
        <v>1</v>
      </c>
      <c r="F1581" s="3" t="b">
        <v>0</v>
      </c>
      <c r="G1581" s="3" t="s">
        <v>10003</v>
      </c>
      <c r="H1581" s="4" t="str">
        <f>_xlfn.IFNA(IF(((INDEX(RulebookFields!C2:C1898, MATCH(D1581,RulebookFields!A2:A1898, 0))="")=TRUE),  "",  INDEX(RulebookFields!C2:C1898, MATCH(D1581,RulebookFields!A2:A1898, 0))), "")</f>
        <v>SendIntents</v>
      </c>
      <c r="I1581" s="4" t="str">
        <f>_xlfn.IFNA(IF(((INDEX(RulebookFields!D2:D1898, MATCH(D1581,RulebookFields!A2:A1898, 0))="")=TRUE),  "",  INDEX(RulebookFields!D2:D1898, MATCH(D1581,RulebookFields!A2:A1898, 0))), "")</f>
        <v>OptOutGatePassed</v>
      </c>
      <c r="J1581" s="4" t="b">
        <f>_xlfn.IFNA(IF(((INDEX(RulebookFields!I2:I1898, MATCH(D1581,RulebookFields!A2:A1898, 0))="")=TRUE),  "",  INDEX(RulebookFields!I2:I1898, MATCH(D1581,RulebookFields!A2:A1898, 0))), "")</f>
        <v>1</v>
      </c>
      <c r="K1581" s="4" t="b">
        <f>AND(((F1581)=TRUE), ((J1581)=TRUE))</f>
        <v>0</v>
      </c>
      <c r="L1581" s="4" t="b">
        <f>AND(((G1581 &lt;&gt; "plain")=TRUE), ((G1581 &lt;&gt; "")=TRUE))</f>
        <v>0</v>
      </c>
      <c r="M1581" s="4" t="str">
        <f>IF(((E1581)=TRUE),  C1581 &amp; "|" &amp; H1581,  "")</f>
        <v>principal-process-steward|SendIntents</v>
      </c>
      <c r="N1581" s="3" t="s">
        <v>10004</v>
      </c>
    </row>
    <row r="1582">
      <c r="A1582" s="3" t="s">
        <v>11584</v>
      </c>
      <c r="B1582" s="4" t="str">
        <f>C1582 &amp; " -&gt; " &amp; D1582</f>
        <v>principal-process-steward -&gt; SendIntents.ContentGatePassed</v>
      </c>
      <c r="C1582" s="3" t="s">
        <v>9772</v>
      </c>
      <c r="D1582" s="3" t="s">
        <v>4813</v>
      </c>
      <c r="E1582" s="3" t="b">
        <v>1</v>
      </c>
      <c r="F1582" s="3" t="b">
        <v>0</v>
      </c>
      <c r="G1582" s="3" t="s">
        <v>10003</v>
      </c>
      <c r="H1582" s="4" t="str">
        <f>_xlfn.IFNA(IF(((INDEX(RulebookFields!C2:C1898, MATCH(D1582,RulebookFields!A2:A1898, 0))="")=TRUE),  "",  INDEX(RulebookFields!C2:C1898, MATCH(D1582,RulebookFields!A2:A1898, 0))), "")</f>
        <v>SendIntents</v>
      </c>
      <c r="I1582" s="4" t="str">
        <f>_xlfn.IFNA(IF(((INDEX(RulebookFields!D2:D1898, MATCH(D1582,RulebookFields!A2:A1898, 0))="")=TRUE),  "",  INDEX(RulebookFields!D2:D1898, MATCH(D1582,RulebookFields!A2:A1898, 0))), "")</f>
        <v>ContentGatePassed</v>
      </c>
      <c r="J1582" s="4" t="b">
        <f>_xlfn.IFNA(IF(((INDEX(RulebookFields!I2:I1898, MATCH(D1582,RulebookFields!A2:A1898, 0))="")=TRUE),  "",  INDEX(RulebookFields!I2:I1898, MATCH(D1582,RulebookFields!A2:A1898, 0))), "")</f>
        <v>1</v>
      </c>
      <c r="K1582" s="4" t="b">
        <f>AND(((F1582)=TRUE), ((J1582)=TRUE))</f>
        <v>0</v>
      </c>
      <c r="L1582" s="4" t="b">
        <f>AND(((G1582 &lt;&gt; "plain")=TRUE), ((G1582 &lt;&gt; "")=TRUE))</f>
        <v>0</v>
      </c>
      <c r="M1582" s="4" t="str">
        <f>IF(((E1582)=TRUE),  C1582 &amp; "|" &amp; H1582,  "")</f>
        <v>principal-process-steward|SendIntents</v>
      </c>
      <c r="N1582" s="3" t="s">
        <v>10004</v>
      </c>
    </row>
    <row r="1583">
      <c r="A1583" s="3" t="s">
        <v>11585</v>
      </c>
      <c r="B1583" s="4" t="str">
        <f>C1583 &amp; " -&gt; " &amp; D1583</f>
        <v>principal-process-steward -&gt; SendIntents.TemplateIsSendable</v>
      </c>
      <c r="C1583" s="3" t="s">
        <v>9772</v>
      </c>
      <c r="D1583" s="3" t="s">
        <v>4816</v>
      </c>
      <c r="E1583" s="3" t="b">
        <v>1</v>
      </c>
      <c r="F1583" s="3" t="b">
        <v>0</v>
      </c>
      <c r="G1583" s="3" t="s">
        <v>10003</v>
      </c>
      <c r="H1583" s="4" t="str">
        <f>_xlfn.IFNA(IF(((INDEX(RulebookFields!C2:C1898, MATCH(D1583,RulebookFields!A2:A1898, 0))="")=TRUE),  "",  INDEX(RulebookFields!C2:C1898, MATCH(D1583,RulebookFields!A2:A1898, 0))), "")</f>
        <v>SendIntents</v>
      </c>
      <c r="I1583" s="4" t="str">
        <f>_xlfn.IFNA(IF(((INDEX(RulebookFields!D2:D1898, MATCH(D1583,RulebookFields!A2:A1898, 0))="")=TRUE),  "",  INDEX(RulebookFields!D2:D1898, MATCH(D1583,RulebookFields!A2:A1898, 0))), "")</f>
        <v>TemplateIsSendable</v>
      </c>
      <c r="J1583" s="4" t="b">
        <f>_xlfn.IFNA(IF(((INDEX(RulebookFields!I2:I1898, MATCH(D1583,RulebookFields!A2:A1898, 0))="")=TRUE),  "",  INDEX(RulebookFields!I2:I1898, MATCH(D1583,RulebookFields!A2:A1898, 0))), "")</f>
        <v>1</v>
      </c>
      <c r="K1583" s="4" t="b">
        <f>AND(((F1583)=TRUE), ((J1583)=TRUE))</f>
        <v>0</v>
      </c>
      <c r="L1583" s="4" t="b">
        <f>AND(((G1583 &lt;&gt; "plain")=TRUE), ((G1583 &lt;&gt; "")=TRUE))</f>
        <v>0</v>
      </c>
      <c r="M1583" s="4" t="str">
        <f>IF(((E1583)=TRUE),  C1583 &amp; "|" &amp; H1583,  "")</f>
        <v>principal-process-steward|SendIntents</v>
      </c>
      <c r="N1583" s="3" t="s">
        <v>10004</v>
      </c>
    </row>
    <row r="1584">
      <c r="A1584" s="3" t="s">
        <v>11586</v>
      </c>
      <c r="B1584" s="4" t="str">
        <f>C1584 &amp; " -&gt; " &amp; D1584</f>
        <v>principal-process-steward -&gt; SendIntents.ExecutionHasLegalClearance</v>
      </c>
      <c r="C1584" s="3" t="s">
        <v>9772</v>
      </c>
      <c r="D1584" s="3" t="s">
        <v>4818</v>
      </c>
      <c r="E1584" s="3" t="b">
        <v>1</v>
      </c>
      <c r="F1584" s="3" t="b">
        <v>0</v>
      </c>
      <c r="G1584" s="3" t="s">
        <v>10003</v>
      </c>
      <c r="H1584" s="4" t="str">
        <f>_xlfn.IFNA(IF(((INDEX(RulebookFields!C2:C1898, MATCH(D1584,RulebookFields!A2:A1898, 0))="")=TRUE),  "",  INDEX(RulebookFields!C2:C1898, MATCH(D1584,RulebookFields!A2:A1898, 0))), "")</f>
        <v>SendIntents</v>
      </c>
      <c r="I1584" s="4" t="str">
        <f>_xlfn.IFNA(IF(((INDEX(RulebookFields!D2:D1898, MATCH(D1584,RulebookFields!A2:A1898, 0))="")=TRUE),  "",  INDEX(RulebookFields!D2:D1898, MATCH(D1584,RulebookFields!A2:A1898, 0))), "")</f>
        <v>ExecutionHasLegalClearance</v>
      </c>
      <c r="J1584" s="4" t="b">
        <f>_xlfn.IFNA(IF(((INDEX(RulebookFields!I2:I1898, MATCH(D1584,RulebookFields!A2:A1898, 0))="")=TRUE),  "",  INDEX(RulebookFields!I2:I1898, MATCH(D1584,RulebookFields!A2:A1898, 0))), "")</f>
        <v>1</v>
      </c>
      <c r="K1584" s="4" t="b">
        <f>AND(((F1584)=TRUE), ((J1584)=TRUE))</f>
        <v>0</v>
      </c>
      <c r="L1584" s="4" t="b">
        <f>AND(((G1584 &lt;&gt; "plain")=TRUE), ((G1584 &lt;&gt; "")=TRUE))</f>
        <v>0</v>
      </c>
      <c r="M1584" s="4" t="str">
        <f>IF(((E1584)=TRUE),  C1584 &amp; "|" &amp; H1584,  "")</f>
        <v>principal-process-steward|SendIntents</v>
      </c>
      <c r="N1584" s="3" t="s">
        <v>10004</v>
      </c>
    </row>
    <row r="1585">
      <c r="A1585" s="3" t="s">
        <v>11587</v>
      </c>
      <c r="B1585" s="4" t="str">
        <f>C1585 &amp; " -&gt; " &amp; D1585</f>
        <v>principal-process-steward -&gt; SendIntents.IntentApprovalRole</v>
      </c>
      <c r="C1585" s="3" t="s">
        <v>9772</v>
      </c>
      <c r="D1585" s="3" t="s">
        <v>4820</v>
      </c>
      <c r="E1585" s="3" t="b">
        <v>1</v>
      </c>
      <c r="F1585" s="3" t="b">
        <v>0</v>
      </c>
      <c r="G1585" s="3" t="s">
        <v>10003</v>
      </c>
      <c r="H1585" s="4" t="str">
        <f>_xlfn.IFNA(IF(((INDEX(RulebookFields!C2:C1898, MATCH(D1585,RulebookFields!A2:A1898, 0))="")=TRUE),  "",  INDEX(RulebookFields!C2:C1898, MATCH(D1585,RulebookFields!A2:A1898, 0))), "")</f>
        <v>SendIntents</v>
      </c>
      <c r="I1585" s="4" t="str">
        <f>_xlfn.IFNA(IF(((INDEX(RulebookFields!D2:D1898, MATCH(D1585,RulebookFields!A2:A1898, 0))="")=TRUE),  "",  INDEX(RulebookFields!D2:D1898, MATCH(D1585,RulebookFields!A2:A1898, 0))), "")</f>
        <v>IntentApprovalRole</v>
      </c>
      <c r="J1585" s="4" t="b">
        <f>_xlfn.IFNA(IF(((INDEX(RulebookFields!I2:I1898, MATCH(D1585,RulebookFields!A2:A1898, 0))="")=TRUE),  "",  INDEX(RulebookFields!I2:I1898, MATCH(D1585,RulebookFields!A2:A1898, 0))), "")</f>
        <v>1</v>
      </c>
      <c r="K1585" s="4" t="b">
        <f>AND(((F1585)=TRUE), ((J1585)=TRUE))</f>
        <v>0</v>
      </c>
      <c r="L1585" s="4" t="b">
        <f>AND(((G1585 &lt;&gt; "plain")=TRUE), ((G1585 &lt;&gt; "")=TRUE))</f>
        <v>0</v>
      </c>
      <c r="M1585" s="4" t="str">
        <f>IF(((E1585)=TRUE),  C1585 &amp; "|" &amp; H1585,  "")</f>
        <v>principal-process-steward|SendIntents</v>
      </c>
      <c r="N1585" s="3" t="s">
        <v>10004</v>
      </c>
    </row>
    <row r="1586">
      <c r="A1586" s="3" t="s">
        <v>11588</v>
      </c>
      <c r="B1586" s="4" t="str">
        <f>C1586 &amp; " -&gt; " &amp; D1586</f>
        <v>principal-process-steward -&gt; SendIntents.ApprovalRoleAgentKind</v>
      </c>
      <c r="C1586" s="3" t="s">
        <v>9772</v>
      </c>
      <c r="D1586" s="3" t="s">
        <v>4823</v>
      </c>
      <c r="E1586" s="3" t="b">
        <v>1</v>
      </c>
      <c r="F1586" s="3" t="b">
        <v>0</v>
      </c>
      <c r="G1586" s="3" t="s">
        <v>10003</v>
      </c>
      <c r="H1586" s="4" t="str">
        <f>_xlfn.IFNA(IF(((INDEX(RulebookFields!C2:C1898, MATCH(D1586,RulebookFields!A2:A1898, 0))="")=TRUE),  "",  INDEX(RulebookFields!C2:C1898, MATCH(D1586,RulebookFields!A2:A1898, 0))), "")</f>
        <v>SendIntents</v>
      </c>
      <c r="I1586" s="4" t="str">
        <f>_xlfn.IFNA(IF(((INDEX(RulebookFields!D2:D1898, MATCH(D1586,RulebookFields!A2:A1898, 0))="")=TRUE),  "",  INDEX(RulebookFields!D2:D1898, MATCH(D1586,RulebookFields!A2:A1898, 0))), "")</f>
        <v>ApprovalRoleAgentKind</v>
      </c>
      <c r="J1586" s="4" t="b">
        <f>_xlfn.IFNA(IF(((INDEX(RulebookFields!I2:I1898, MATCH(D1586,RulebookFields!A2:A1898, 0))="")=TRUE),  "",  INDEX(RulebookFields!I2:I1898, MATCH(D1586,RulebookFields!A2:A1898, 0))), "")</f>
        <v>1</v>
      </c>
      <c r="K1586" s="4" t="b">
        <f>AND(((F1586)=TRUE), ((J1586)=TRUE))</f>
        <v>0</v>
      </c>
      <c r="L1586" s="4" t="b">
        <f>AND(((G1586 &lt;&gt; "plain")=TRUE), ((G1586 &lt;&gt; "")=TRUE))</f>
        <v>0</v>
      </c>
      <c r="M1586" s="4" t="str">
        <f>IF(((E1586)=TRUE),  C1586 &amp; "|" &amp; H1586,  "")</f>
        <v>principal-process-steward|SendIntents</v>
      </c>
      <c r="N1586" s="3" t="s">
        <v>10004</v>
      </c>
    </row>
    <row r="1587">
      <c r="A1587" s="3" t="s">
        <v>11589</v>
      </c>
      <c r="B1587" s="4" t="str">
        <f>C1587 &amp; " -&gt; " &amp; D1587</f>
        <v>principal-process-steward -&gt; SendIntents.ApprovalIsHuman</v>
      </c>
      <c r="C1587" s="3" t="s">
        <v>9772</v>
      </c>
      <c r="D1587" s="3" t="s">
        <v>4826</v>
      </c>
      <c r="E1587" s="3" t="b">
        <v>1</v>
      </c>
      <c r="F1587" s="3" t="b">
        <v>0</v>
      </c>
      <c r="G1587" s="3" t="s">
        <v>10003</v>
      </c>
      <c r="H1587" s="4" t="str">
        <f>_xlfn.IFNA(IF(((INDEX(RulebookFields!C2:C1898, MATCH(D1587,RulebookFields!A2:A1898, 0))="")=TRUE),  "",  INDEX(RulebookFields!C2:C1898, MATCH(D1587,RulebookFields!A2:A1898, 0))), "")</f>
        <v>SendIntents</v>
      </c>
      <c r="I1587" s="4" t="str">
        <f>_xlfn.IFNA(IF(((INDEX(RulebookFields!D2:D1898, MATCH(D1587,RulebookFields!A2:A1898, 0))="")=TRUE),  "",  INDEX(RulebookFields!D2:D1898, MATCH(D1587,RulebookFields!A2:A1898, 0))), "")</f>
        <v>ApprovalIsHuman</v>
      </c>
      <c r="J1587" s="4" t="b">
        <f>_xlfn.IFNA(IF(((INDEX(RulebookFields!I2:I1898, MATCH(D1587,RulebookFields!A2:A1898, 0))="")=TRUE),  "",  INDEX(RulebookFields!I2:I1898, MATCH(D1587,RulebookFields!A2:A1898, 0))), "")</f>
        <v>1</v>
      </c>
      <c r="K1587" s="4" t="b">
        <f>AND(((F1587)=TRUE), ((J1587)=TRUE))</f>
        <v>0</v>
      </c>
      <c r="L1587" s="4" t="b">
        <f>AND(((G1587 &lt;&gt; "plain")=TRUE), ((G1587 &lt;&gt; "")=TRUE))</f>
        <v>0</v>
      </c>
      <c r="M1587" s="4" t="str">
        <f>IF(((E1587)=TRUE),  C1587 &amp; "|" &amp; H1587,  "")</f>
        <v>principal-process-steward|SendIntents</v>
      </c>
      <c r="N1587" s="3" t="s">
        <v>10004</v>
      </c>
    </row>
    <row r="1588">
      <c r="A1588" s="3" t="s">
        <v>11590</v>
      </c>
      <c r="B1588" s="4" t="str">
        <f>C1588 &amp; " -&gt; " &amp; D1588</f>
        <v>principal-process-steward -&gt; SendIntents.AuthorizationGatePassed</v>
      </c>
      <c r="C1588" s="3" t="s">
        <v>9772</v>
      </c>
      <c r="D1588" s="3" t="s">
        <v>4829</v>
      </c>
      <c r="E1588" s="3" t="b">
        <v>1</v>
      </c>
      <c r="F1588" s="3" t="b">
        <v>0</v>
      </c>
      <c r="G1588" s="3" t="s">
        <v>10003</v>
      </c>
      <c r="H1588" s="4" t="str">
        <f>_xlfn.IFNA(IF(((INDEX(RulebookFields!C2:C1898, MATCH(D1588,RulebookFields!A2:A1898, 0))="")=TRUE),  "",  INDEX(RulebookFields!C2:C1898, MATCH(D1588,RulebookFields!A2:A1898, 0))), "")</f>
        <v>SendIntents</v>
      </c>
      <c r="I1588" s="4" t="str">
        <f>_xlfn.IFNA(IF(((INDEX(RulebookFields!D2:D1898, MATCH(D1588,RulebookFields!A2:A1898, 0))="")=TRUE),  "",  INDEX(RulebookFields!D2:D1898, MATCH(D1588,RulebookFields!A2:A1898, 0))), "")</f>
        <v>AuthorizationGatePassed</v>
      </c>
      <c r="J1588" s="4" t="b">
        <f>_xlfn.IFNA(IF(((INDEX(RulebookFields!I2:I1898, MATCH(D1588,RulebookFields!A2:A1898, 0))="")=TRUE),  "",  INDEX(RulebookFields!I2:I1898, MATCH(D1588,RulebookFields!A2:A1898, 0))), "")</f>
        <v>1</v>
      </c>
      <c r="K1588" s="4" t="b">
        <f>AND(((F1588)=TRUE), ((J1588)=TRUE))</f>
        <v>0</v>
      </c>
      <c r="L1588" s="4" t="b">
        <f>AND(((G1588 &lt;&gt; "plain")=TRUE), ((G1588 &lt;&gt; "")=TRUE))</f>
        <v>0</v>
      </c>
      <c r="M1588" s="4" t="str">
        <f>IF(((E1588)=TRUE),  C1588 &amp; "|" &amp; H1588,  "")</f>
        <v>principal-process-steward|SendIntents</v>
      </c>
      <c r="N1588" s="3" t="s">
        <v>10004</v>
      </c>
    </row>
    <row r="1589">
      <c r="A1589" s="3" t="s">
        <v>11591</v>
      </c>
      <c r="B1589" s="4" t="str">
        <f>C1589 &amp; " -&gt; " &amp; D1589</f>
        <v>principal-process-steward -&gt; SendIntents.IsClearedToSend</v>
      </c>
      <c r="C1589" s="3" t="s">
        <v>9772</v>
      </c>
      <c r="D1589" s="3" t="s">
        <v>4832</v>
      </c>
      <c r="E1589" s="3" t="b">
        <v>1</v>
      </c>
      <c r="F1589" s="3" t="b">
        <v>0</v>
      </c>
      <c r="G1589" s="3" t="s">
        <v>10003</v>
      </c>
      <c r="H1589" s="4" t="str">
        <f>_xlfn.IFNA(IF(((INDEX(RulebookFields!C2:C1898, MATCH(D1589,RulebookFields!A2:A1898, 0))="")=TRUE),  "",  INDEX(RulebookFields!C2:C1898, MATCH(D1589,RulebookFields!A2:A1898, 0))), "")</f>
        <v>SendIntents</v>
      </c>
      <c r="I1589" s="4" t="str">
        <f>_xlfn.IFNA(IF(((INDEX(RulebookFields!D2:D1898, MATCH(D1589,RulebookFields!A2:A1898, 0))="")=TRUE),  "",  INDEX(RulebookFields!D2:D1898, MATCH(D1589,RulebookFields!A2:A1898, 0))), "")</f>
        <v>IsClearedToSend</v>
      </c>
      <c r="J1589" s="4" t="b">
        <f>_xlfn.IFNA(IF(((INDEX(RulebookFields!I2:I1898, MATCH(D1589,RulebookFields!A2:A1898, 0))="")=TRUE),  "",  INDEX(RulebookFields!I2:I1898, MATCH(D1589,RulebookFields!A2:A1898, 0))), "")</f>
        <v>1</v>
      </c>
      <c r="K1589" s="4" t="b">
        <f>AND(((F1589)=TRUE), ((J1589)=TRUE))</f>
        <v>0</v>
      </c>
      <c r="L1589" s="4" t="b">
        <f>AND(((G1589 &lt;&gt; "plain")=TRUE), ((G1589 &lt;&gt; "")=TRUE))</f>
        <v>0</v>
      </c>
      <c r="M1589" s="4" t="str">
        <f>IF(((E1589)=TRUE),  C1589 &amp; "|" &amp; H1589,  "")</f>
        <v>principal-process-steward|SendIntents</v>
      </c>
      <c r="N1589" s="3" t="s">
        <v>10004</v>
      </c>
    </row>
    <row r="1590">
      <c r="A1590" s="3" t="s">
        <v>11592</v>
      </c>
      <c r="B1590" s="4" t="str">
        <f>C1590 &amp; " -&gt; " &amp; D1590</f>
        <v>principal-process-steward -&gt; SendIntents.BlockingGateName</v>
      </c>
      <c r="C1590" s="3" t="s">
        <v>9772</v>
      </c>
      <c r="D1590" s="3" t="s">
        <v>4835</v>
      </c>
      <c r="E1590" s="3" t="b">
        <v>1</v>
      </c>
      <c r="F1590" s="3" t="b">
        <v>0</v>
      </c>
      <c r="G1590" s="3" t="s">
        <v>10003</v>
      </c>
      <c r="H1590" s="4" t="str">
        <f>_xlfn.IFNA(IF(((INDEX(RulebookFields!C2:C1898, MATCH(D1590,RulebookFields!A2:A1898, 0))="")=TRUE),  "",  INDEX(RulebookFields!C2:C1898, MATCH(D1590,RulebookFields!A2:A1898, 0))), "")</f>
        <v>SendIntents</v>
      </c>
      <c r="I1590" s="4" t="str">
        <f>_xlfn.IFNA(IF(((INDEX(RulebookFields!D2:D1898, MATCH(D1590,RulebookFields!A2:A1898, 0))="")=TRUE),  "",  INDEX(RulebookFields!D2:D1898, MATCH(D1590,RulebookFields!A2:A1898, 0))), "")</f>
        <v>BlockingGateName</v>
      </c>
      <c r="J1590" s="4" t="b">
        <f>_xlfn.IFNA(IF(((INDEX(RulebookFields!I2:I1898, MATCH(D1590,RulebookFields!A2:A1898, 0))="")=TRUE),  "",  INDEX(RulebookFields!I2:I1898, MATCH(D1590,RulebookFields!A2:A1898, 0))), "")</f>
        <v>1</v>
      </c>
      <c r="K1590" s="4" t="b">
        <f>AND(((F1590)=TRUE), ((J1590)=TRUE))</f>
        <v>0</v>
      </c>
      <c r="L1590" s="4" t="b">
        <f>AND(((G1590 &lt;&gt; "plain")=TRUE), ((G1590 &lt;&gt; "")=TRUE))</f>
        <v>0</v>
      </c>
      <c r="M1590" s="4" t="str">
        <f>IF(((E1590)=TRUE),  C1590 &amp; "|" &amp; H1590,  "")</f>
        <v>principal-process-steward|SendIntents</v>
      </c>
      <c r="N1590" s="3" t="s">
        <v>10004</v>
      </c>
    </row>
    <row r="1591">
      <c r="A1591" s="3" t="s">
        <v>11593</v>
      </c>
      <c r="B1591" s="4" t="str">
        <f>C1591 &amp; " -&gt; " &amp; D1591</f>
        <v>principal-process-steward -&gt; SendIntents.HasResultingDelivery</v>
      </c>
      <c r="C1591" s="3" t="s">
        <v>9772</v>
      </c>
      <c r="D1591" s="3" t="s">
        <v>4838</v>
      </c>
      <c r="E1591" s="3" t="b">
        <v>1</v>
      </c>
      <c r="F1591" s="3" t="b">
        <v>0</v>
      </c>
      <c r="G1591" s="3" t="s">
        <v>10003</v>
      </c>
      <c r="H1591" s="4" t="str">
        <f>_xlfn.IFNA(IF(((INDEX(RulebookFields!C2:C1898, MATCH(D1591,RulebookFields!A2:A1898, 0))="")=TRUE),  "",  INDEX(RulebookFields!C2:C1898, MATCH(D1591,RulebookFields!A2:A1898, 0))), "")</f>
        <v>SendIntents</v>
      </c>
      <c r="I1591" s="4" t="str">
        <f>_xlfn.IFNA(IF(((INDEX(RulebookFields!D2:D1898, MATCH(D1591,RulebookFields!A2:A1898, 0))="")=TRUE),  "",  INDEX(RulebookFields!D2:D1898, MATCH(D1591,RulebookFields!A2:A1898, 0))), "")</f>
        <v>HasResultingDelivery</v>
      </c>
      <c r="J1591" s="4" t="b">
        <f>_xlfn.IFNA(IF(((INDEX(RulebookFields!I2:I1898, MATCH(D1591,RulebookFields!A2:A1898, 0))="")=TRUE),  "",  INDEX(RulebookFields!I2:I1898, MATCH(D1591,RulebookFields!A2:A1898, 0))), "")</f>
        <v>1</v>
      </c>
      <c r="K1591" s="4" t="b">
        <f>AND(((F1591)=TRUE), ((J1591)=TRUE))</f>
        <v>0</v>
      </c>
      <c r="L1591" s="4" t="b">
        <f>AND(((G1591 &lt;&gt; "plain")=TRUE), ((G1591 &lt;&gt; "")=TRUE))</f>
        <v>0</v>
      </c>
      <c r="M1591" s="4" t="str">
        <f>IF(((E1591)=TRUE),  C1591 &amp; "|" &amp; H1591,  "")</f>
        <v>principal-process-steward|SendIntents</v>
      </c>
      <c r="N1591" s="3" t="s">
        <v>10004</v>
      </c>
    </row>
    <row r="1592">
      <c r="A1592" s="3" t="s">
        <v>11594</v>
      </c>
      <c r="B1592" s="4" t="str">
        <f>C1592 &amp; " -&gt; " &amp; D1592</f>
        <v>principal-process-steward -&gt; SendIntents.ResultingDeliveryWasTransmitted</v>
      </c>
      <c r="C1592" s="3" t="s">
        <v>9772</v>
      </c>
      <c r="D1592" s="3" t="s">
        <v>4841</v>
      </c>
      <c r="E1592" s="3" t="b">
        <v>1</v>
      </c>
      <c r="F1592" s="3" t="b">
        <v>0</v>
      </c>
      <c r="G1592" s="3" t="s">
        <v>10003</v>
      </c>
      <c r="H1592" s="4" t="str">
        <f>_xlfn.IFNA(IF(((INDEX(RulebookFields!C2:C1898, MATCH(D1592,RulebookFields!A2:A1898, 0))="")=TRUE),  "",  INDEX(RulebookFields!C2:C1898, MATCH(D1592,RulebookFields!A2:A1898, 0))), "")</f>
        <v>SendIntents</v>
      </c>
      <c r="I1592" s="4" t="str">
        <f>_xlfn.IFNA(IF(((INDEX(RulebookFields!D2:D1898, MATCH(D1592,RulebookFields!A2:A1898, 0))="")=TRUE),  "",  INDEX(RulebookFields!D2:D1898, MATCH(D1592,RulebookFields!A2:A1898, 0))), "")</f>
        <v>ResultingDeliveryWasTransmitted</v>
      </c>
      <c r="J1592" s="4" t="b">
        <f>_xlfn.IFNA(IF(((INDEX(RulebookFields!I2:I1898, MATCH(D1592,RulebookFields!A2:A1898, 0))="")=TRUE),  "",  INDEX(RulebookFields!I2:I1898, MATCH(D1592,RulebookFields!A2:A1898, 0))), "")</f>
        <v>1</v>
      </c>
      <c r="K1592" s="4" t="b">
        <f>AND(((F1592)=TRUE), ((J1592)=TRUE))</f>
        <v>0</v>
      </c>
      <c r="L1592" s="4" t="b">
        <f>AND(((G1592 &lt;&gt; "plain")=TRUE), ((G1592 &lt;&gt; "")=TRUE))</f>
        <v>0</v>
      </c>
      <c r="M1592" s="4" t="str">
        <f>IF(((E1592)=TRUE),  C1592 &amp; "|" &amp; H1592,  "")</f>
        <v>principal-process-steward|SendIntents</v>
      </c>
      <c r="N1592" s="3" t="s">
        <v>10004</v>
      </c>
    </row>
    <row r="1593">
      <c r="A1593" s="3" t="s">
        <v>11595</v>
      </c>
      <c r="B1593" s="4" t="str">
        <f>C1593 &amp; " -&gt; " &amp; D1593</f>
        <v>principal-process-steward -&gt; SendIntents.IsOverriddenRefusal</v>
      </c>
      <c r="C1593" s="3" t="s">
        <v>9772</v>
      </c>
      <c r="D1593" s="3" t="s">
        <v>4844</v>
      </c>
      <c r="E1593" s="3" t="b">
        <v>1</v>
      </c>
      <c r="F1593" s="3" t="b">
        <v>0</v>
      </c>
      <c r="G1593" s="3" t="s">
        <v>10003</v>
      </c>
      <c r="H1593" s="4" t="str">
        <f>_xlfn.IFNA(IF(((INDEX(RulebookFields!C2:C1898, MATCH(D1593,RulebookFields!A2:A1898, 0))="")=TRUE),  "",  INDEX(RulebookFields!C2:C1898, MATCH(D1593,RulebookFields!A2:A1898, 0))), "")</f>
        <v>SendIntents</v>
      </c>
      <c r="I1593" s="4" t="str">
        <f>_xlfn.IFNA(IF(((INDEX(RulebookFields!D2:D1898, MATCH(D1593,RulebookFields!A2:A1898, 0))="")=TRUE),  "",  INDEX(RulebookFields!D2:D1898, MATCH(D1593,RulebookFields!A2:A1898, 0))), "")</f>
        <v>IsOverriddenRefusal</v>
      </c>
      <c r="J1593" s="4" t="b">
        <f>_xlfn.IFNA(IF(((INDEX(RulebookFields!I2:I1898, MATCH(D1593,RulebookFields!A2:A1898, 0))="")=TRUE),  "",  INDEX(RulebookFields!I2:I1898, MATCH(D1593,RulebookFields!A2:A1898, 0))), "")</f>
        <v>1</v>
      </c>
      <c r="K1593" s="4" t="b">
        <f>AND(((F1593)=TRUE), ((J1593)=TRUE))</f>
        <v>0</v>
      </c>
      <c r="L1593" s="4" t="b">
        <f>AND(((G1593 &lt;&gt; "plain")=TRUE), ((G1593 &lt;&gt; "")=TRUE))</f>
        <v>0</v>
      </c>
      <c r="M1593" s="4" t="str">
        <f>IF(((E1593)=TRUE),  C1593 &amp; "|" &amp; H1593,  "")</f>
        <v>principal-process-steward|SendIntents</v>
      </c>
      <c r="N1593" s="3" t="s">
        <v>10004</v>
      </c>
    </row>
    <row r="1594">
      <c r="A1594" s="3" t="s">
        <v>11596</v>
      </c>
      <c r="B1594" s="4" t="str">
        <f>C1594 &amp; " -&gt; " &amp; D1594</f>
        <v>principal-process-steward -&gt; SendIntents.IsSilentlyDropped</v>
      </c>
      <c r="C1594" s="3" t="s">
        <v>9772</v>
      </c>
      <c r="D1594" s="3" t="s">
        <v>4847</v>
      </c>
      <c r="E1594" s="3" t="b">
        <v>1</v>
      </c>
      <c r="F1594" s="3" t="b">
        <v>0</v>
      </c>
      <c r="G1594" s="3" t="s">
        <v>10003</v>
      </c>
      <c r="H1594" s="4" t="str">
        <f>_xlfn.IFNA(IF(((INDEX(RulebookFields!C2:C1898, MATCH(D1594,RulebookFields!A2:A1898, 0))="")=TRUE),  "",  INDEX(RulebookFields!C2:C1898, MATCH(D1594,RulebookFields!A2:A1898, 0))), "")</f>
        <v>SendIntents</v>
      </c>
      <c r="I1594" s="4" t="str">
        <f>_xlfn.IFNA(IF(((INDEX(RulebookFields!D2:D1898, MATCH(D1594,RulebookFields!A2:A1898, 0))="")=TRUE),  "",  INDEX(RulebookFields!D2:D1898, MATCH(D1594,RulebookFields!A2:A1898, 0))), "")</f>
        <v>IsSilentlyDropped</v>
      </c>
      <c r="J1594" s="4" t="b">
        <f>_xlfn.IFNA(IF(((INDEX(RulebookFields!I2:I1898, MATCH(D1594,RulebookFields!A2:A1898, 0))="")=TRUE),  "",  INDEX(RulebookFields!I2:I1898, MATCH(D1594,RulebookFields!A2:A1898, 0))), "")</f>
        <v>1</v>
      </c>
      <c r="K1594" s="4" t="b">
        <f>AND(((F1594)=TRUE), ((J1594)=TRUE))</f>
        <v>0</v>
      </c>
      <c r="L1594" s="4" t="b">
        <f>AND(((G1594 &lt;&gt; "plain")=TRUE), ((G1594 &lt;&gt; "")=TRUE))</f>
        <v>0</v>
      </c>
      <c r="M1594" s="4" t="str">
        <f>IF(((E1594)=TRUE),  C1594 &amp; "|" &amp; H1594,  "")</f>
        <v>principal-process-steward|SendIntents</v>
      </c>
      <c r="N1594" s="3" t="s">
        <v>10004</v>
      </c>
    </row>
    <row r="1595">
      <c r="A1595" s="3" t="s">
        <v>11597</v>
      </c>
      <c r="B1595" s="4" t="str">
        <f>C1595 &amp; " -&gt; " &amp; D1595</f>
        <v>principal-process-steward -&gt; SendIntents.ResultingDeliveryException</v>
      </c>
      <c r="C1595" s="3" t="s">
        <v>9772</v>
      </c>
      <c r="D1595" s="3" t="s">
        <v>4850</v>
      </c>
      <c r="E1595" s="3" t="b">
        <v>1</v>
      </c>
      <c r="F1595" s="3" t="b">
        <v>0</v>
      </c>
      <c r="G1595" s="3" t="s">
        <v>10003</v>
      </c>
      <c r="H1595" s="4" t="str">
        <f>_xlfn.IFNA(IF(((INDEX(RulebookFields!C2:C1898, MATCH(D1595,RulebookFields!A2:A1898, 0))="")=TRUE),  "",  INDEX(RulebookFields!C2:C1898, MATCH(D1595,RulebookFields!A2:A1898, 0))), "")</f>
        <v>SendIntents</v>
      </c>
      <c r="I1595" s="4" t="str">
        <f>_xlfn.IFNA(IF(((INDEX(RulebookFields!D2:D1898, MATCH(D1595,RulebookFields!A2:A1898, 0))="")=TRUE),  "",  INDEX(RulebookFields!D2:D1898, MATCH(D1595,RulebookFields!A2:A1898, 0))), "")</f>
        <v>ResultingDeliveryException</v>
      </c>
      <c r="J1595" s="4" t="b">
        <f>_xlfn.IFNA(IF(((INDEX(RulebookFields!I2:I1898, MATCH(D1595,RulebookFields!A2:A1898, 0))="")=TRUE),  "",  INDEX(RulebookFields!I2:I1898, MATCH(D1595,RulebookFields!A2:A1898, 0))), "")</f>
        <v>1</v>
      </c>
      <c r="K1595" s="4" t="b">
        <f>AND(((F1595)=TRUE), ((J1595)=TRUE))</f>
        <v>0</v>
      </c>
      <c r="L1595" s="4" t="b">
        <f>AND(((G1595 &lt;&gt; "plain")=TRUE), ((G1595 &lt;&gt; "")=TRUE))</f>
        <v>0</v>
      </c>
      <c r="M1595" s="4" t="str">
        <f>IF(((E1595)=TRUE),  C1595 &amp; "|" &amp; H1595,  "")</f>
        <v>principal-process-steward|SendIntents</v>
      </c>
      <c r="N1595" s="3" t="s">
        <v>10004</v>
      </c>
    </row>
    <row r="1596">
      <c r="A1596" s="3" t="s">
        <v>11598</v>
      </c>
      <c r="B1596" s="4" t="str">
        <f>C1596 &amp; " -&gt; " &amp; D1596</f>
        <v>principal-process-steward -&gt; SendIntents.RefusalCitedAnException</v>
      </c>
      <c r="C1596" s="3" t="s">
        <v>9772</v>
      </c>
      <c r="D1596" s="3" t="s">
        <v>4853</v>
      </c>
      <c r="E1596" s="3" t="b">
        <v>1</v>
      </c>
      <c r="F1596" s="3" t="b">
        <v>0</v>
      </c>
      <c r="G1596" s="3" t="s">
        <v>10003</v>
      </c>
      <c r="H1596" s="4" t="str">
        <f>_xlfn.IFNA(IF(((INDEX(RulebookFields!C2:C1898, MATCH(D1596,RulebookFields!A2:A1898, 0))="")=TRUE),  "",  INDEX(RulebookFields!C2:C1898, MATCH(D1596,RulebookFields!A2:A1898, 0))), "")</f>
        <v>SendIntents</v>
      </c>
      <c r="I1596" s="4" t="str">
        <f>_xlfn.IFNA(IF(((INDEX(RulebookFields!D2:D1898, MATCH(D1596,RulebookFields!A2:A1898, 0))="")=TRUE),  "",  INDEX(RulebookFields!D2:D1898, MATCH(D1596,RulebookFields!A2:A1898, 0))), "")</f>
        <v>RefusalCitedAnException</v>
      </c>
      <c r="J1596" s="4" t="b">
        <f>_xlfn.IFNA(IF(((INDEX(RulebookFields!I2:I1898, MATCH(D1596,RulebookFields!A2:A1898, 0))="")=TRUE),  "",  INDEX(RulebookFields!I2:I1898, MATCH(D1596,RulebookFields!A2:A1898, 0))), "")</f>
        <v>1</v>
      </c>
      <c r="K1596" s="4" t="b">
        <f>AND(((F1596)=TRUE), ((J1596)=TRUE))</f>
        <v>0</v>
      </c>
      <c r="L1596" s="4" t="b">
        <f>AND(((G1596 &lt;&gt; "plain")=TRUE), ((G1596 &lt;&gt; "")=TRUE))</f>
        <v>0</v>
      </c>
      <c r="M1596" s="4" t="str">
        <f>IF(((E1596)=TRUE),  C1596 &amp; "|" &amp; H1596,  "")</f>
        <v>principal-process-steward|SendIntents</v>
      </c>
      <c r="N1596" s="3" t="s">
        <v>10004</v>
      </c>
    </row>
    <row r="1597">
      <c r="A1597" s="3" t="s">
        <v>11599</v>
      </c>
      <c r="B1597" s="4" t="str">
        <f>C1597 &amp; " -&gt; " &amp; D1597</f>
        <v>principal-process-steward -&gt; SendIntents.IsProperlyHandledRefusal</v>
      </c>
      <c r="C1597" s="3" t="s">
        <v>9772</v>
      </c>
      <c r="D1597" s="3" t="s">
        <v>4856</v>
      </c>
      <c r="E1597" s="3" t="b">
        <v>1</v>
      </c>
      <c r="F1597" s="3" t="b">
        <v>0</v>
      </c>
      <c r="G1597" s="3" t="s">
        <v>10003</v>
      </c>
      <c r="H1597" s="4" t="str">
        <f>_xlfn.IFNA(IF(((INDEX(RulebookFields!C2:C1898, MATCH(D1597,RulebookFields!A2:A1898, 0))="")=TRUE),  "",  INDEX(RulebookFields!C2:C1898, MATCH(D1597,RulebookFields!A2:A1898, 0))), "")</f>
        <v>SendIntents</v>
      </c>
      <c r="I1597" s="4" t="str">
        <f>_xlfn.IFNA(IF(((INDEX(RulebookFields!D2:D1898, MATCH(D1597,RulebookFields!A2:A1898, 0))="")=TRUE),  "",  INDEX(RulebookFields!D2:D1898, MATCH(D1597,RulebookFields!A2:A1898, 0))), "")</f>
        <v>IsProperlyHandledRefusal</v>
      </c>
      <c r="J1597" s="4" t="b">
        <f>_xlfn.IFNA(IF(((INDEX(RulebookFields!I2:I1898, MATCH(D1597,RulebookFields!A2:A1898, 0))="")=TRUE),  "",  INDEX(RulebookFields!I2:I1898, MATCH(D1597,RulebookFields!A2:A1898, 0))), "")</f>
        <v>1</v>
      </c>
      <c r="K1597" s="4" t="b">
        <f>AND(((F1597)=TRUE), ((J1597)=TRUE))</f>
        <v>0</v>
      </c>
      <c r="L1597" s="4" t="b">
        <f>AND(((G1597 &lt;&gt; "plain")=TRUE), ((G1597 &lt;&gt; "")=TRUE))</f>
        <v>0</v>
      </c>
      <c r="M1597" s="4" t="str">
        <f>IF(((E1597)=TRUE),  C1597 &amp; "|" &amp; H1597,  "")</f>
        <v>principal-process-steward|SendIntents</v>
      </c>
      <c r="N1597" s="3" t="s">
        <v>10004</v>
      </c>
    </row>
    <row r="1598">
      <c r="A1598" s="3" t="s">
        <v>11600</v>
      </c>
      <c r="B1598" s="4" t="str">
        <f>C1598 &amp; " -&gt; " &amp; D1598</f>
        <v>principal-process-steward -&gt; SendIntents.RefusalFailureExecutionKey</v>
      </c>
      <c r="C1598" s="3" t="s">
        <v>9772</v>
      </c>
      <c r="D1598" s="3" t="s">
        <v>4859</v>
      </c>
      <c r="E1598" s="3" t="b">
        <v>1</v>
      </c>
      <c r="F1598" s="3" t="b">
        <v>0</v>
      </c>
      <c r="G1598" s="3" t="s">
        <v>10003</v>
      </c>
      <c r="H1598" s="4" t="str">
        <f>_xlfn.IFNA(IF(((INDEX(RulebookFields!C2:C1898, MATCH(D1598,RulebookFields!A2:A1898, 0))="")=TRUE),  "",  INDEX(RulebookFields!C2:C1898, MATCH(D1598,RulebookFields!A2:A1898, 0))), "")</f>
        <v>SendIntents</v>
      </c>
      <c r="I1598" s="4" t="str">
        <f>_xlfn.IFNA(IF(((INDEX(RulebookFields!D2:D1898, MATCH(D1598,RulebookFields!A2:A1898, 0))="")=TRUE),  "",  INDEX(RulebookFields!D2:D1898, MATCH(D1598,RulebookFields!A2:A1898, 0))), "")</f>
        <v>RefusalFailureExecutionKey</v>
      </c>
      <c r="J1598" s="4" t="b">
        <f>_xlfn.IFNA(IF(((INDEX(RulebookFields!I2:I1898, MATCH(D1598,RulebookFields!A2:A1898, 0))="")=TRUE),  "",  INDEX(RulebookFields!I2:I1898, MATCH(D1598,RulebookFields!A2:A1898, 0))), "")</f>
        <v>1</v>
      </c>
      <c r="K1598" s="4" t="b">
        <f>AND(((F1598)=TRUE), ((J1598)=TRUE))</f>
        <v>0</v>
      </c>
      <c r="L1598" s="4" t="b">
        <f>AND(((G1598 &lt;&gt; "plain")=TRUE), ((G1598 &lt;&gt; "")=TRUE))</f>
        <v>0</v>
      </c>
      <c r="M1598" s="4" t="str">
        <f>IF(((E1598)=TRUE),  C1598 &amp; "|" &amp; H1598,  "")</f>
        <v>principal-process-steward|SendIntents</v>
      </c>
      <c r="N1598" s="3" t="s">
        <v>10004</v>
      </c>
    </row>
    <row r="1599">
      <c r="A1599" s="3" t="s">
        <v>11601</v>
      </c>
      <c r="B1599" s="4" t="str">
        <f>C1599 &amp; " -&gt; " &amp; D1599</f>
        <v>principal-process-steward -&gt; SendIntents.IntentExecutionKey</v>
      </c>
      <c r="C1599" s="3" t="s">
        <v>9772</v>
      </c>
      <c r="D1599" s="3" t="s">
        <v>4862</v>
      </c>
      <c r="E1599" s="3" t="b">
        <v>1</v>
      </c>
      <c r="F1599" s="3" t="b">
        <v>0</v>
      </c>
      <c r="G1599" s="3" t="s">
        <v>10003</v>
      </c>
      <c r="H1599" s="4" t="str">
        <f>_xlfn.IFNA(IF(((INDEX(RulebookFields!C2:C1898, MATCH(D1599,RulebookFields!A2:A1898, 0))="")=TRUE),  "",  INDEX(RulebookFields!C2:C1898, MATCH(D1599,RulebookFields!A2:A1898, 0))), "")</f>
        <v>SendIntents</v>
      </c>
      <c r="I1599" s="4" t="str">
        <f>_xlfn.IFNA(IF(((INDEX(RulebookFields!D2:D1898, MATCH(D1599,RulebookFields!A2:A1898, 0))="")=TRUE),  "",  INDEX(RulebookFields!D2:D1898, MATCH(D1599,RulebookFields!A2:A1898, 0))), "")</f>
        <v>IntentExecutionKey</v>
      </c>
      <c r="J1599" s="4" t="b">
        <f>_xlfn.IFNA(IF(((INDEX(RulebookFields!I2:I1898, MATCH(D1599,RulebookFields!A2:A1898, 0))="")=TRUE),  "",  INDEX(RulebookFields!I2:I1898, MATCH(D1599,RulebookFields!A2:A1898, 0))), "")</f>
        <v>1</v>
      </c>
      <c r="K1599" s="4" t="b">
        <f>AND(((F1599)=TRUE), ((J1599)=TRUE))</f>
        <v>0</v>
      </c>
      <c r="L1599" s="4" t="b">
        <f>AND(((G1599 &lt;&gt; "plain")=TRUE), ((G1599 &lt;&gt; "")=TRUE))</f>
        <v>0</v>
      </c>
      <c r="M1599" s="4" t="str">
        <f>IF(((E1599)=TRUE),  C1599 &amp; "|" &amp; H1599,  "")</f>
        <v>principal-process-steward|SendIntents</v>
      </c>
      <c r="N1599" s="3" t="s">
        <v>10004</v>
      </c>
    </row>
    <row r="1600">
      <c r="A1600" s="3" t="s">
        <v>11602</v>
      </c>
      <c r="B1600" s="4" t="str">
        <f>C1600 &amp; " -&gt; " &amp; D1600</f>
        <v>principal-process-steward -&gt; SendIntents.DeliveredIntentExecutionKey</v>
      </c>
      <c r="C1600" s="3" t="s">
        <v>9772</v>
      </c>
      <c r="D1600" s="3" t="s">
        <v>4865</v>
      </c>
      <c r="E1600" s="3" t="b">
        <v>1</v>
      </c>
      <c r="F1600" s="3" t="b">
        <v>0</v>
      </c>
      <c r="G1600" s="3" t="s">
        <v>10003</v>
      </c>
      <c r="H1600" s="4" t="str">
        <f>_xlfn.IFNA(IF(((INDEX(RulebookFields!C2:C1898, MATCH(D1600,RulebookFields!A2:A1898, 0))="")=TRUE),  "",  INDEX(RulebookFields!C2:C1898, MATCH(D1600,RulebookFields!A2:A1898, 0))), "")</f>
        <v>SendIntents</v>
      </c>
      <c r="I1600" s="4" t="str">
        <f>_xlfn.IFNA(IF(((INDEX(RulebookFields!D2:D1898, MATCH(D1600,RulebookFields!A2:A1898, 0))="")=TRUE),  "",  INDEX(RulebookFields!D2:D1898, MATCH(D1600,RulebookFields!A2:A1898, 0))), "")</f>
        <v>DeliveredIntentExecutionKey</v>
      </c>
      <c r="J1600" s="4" t="b">
        <f>_xlfn.IFNA(IF(((INDEX(RulebookFields!I2:I1898, MATCH(D1600,RulebookFields!A2:A1898, 0))="")=TRUE),  "",  INDEX(RulebookFields!I2:I1898, MATCH(D1600,RulebookFields!A2:A1898, 0))), "")</f>
        <v>1</v>
      </c>
      <c r="K1600" s="4" t="b">
        <f>AND(((F1600)=TRUE), ((J1600)=TRUE))</f>
        <v>0</v>
      </c>
      <c r="L1600" s="4" t="b">
        <f>AND(((G1600 &lt;&gt; "plain")=TRUE), ((G1600 &lt;&gt; "")=TRUE))</f>
        <v>0</v>
      </c>
      <c r="M1600" s="4" t="str">
        <f>IF(((E1600)=TRUE),  C1600 &amp; "|" &amp; H1600,  "")</f>
        <v>principal-process-steward|SendIntents</v>
      </c>
      <c r="N1600" s="3" t="s">
        <v>10004</v>
      </c>
    </row>
    <row r="1601">
      <c r="A1601" s="3" t="s">
        <v>11603</v>
      </c>
      <c r="B1601" s="4" t="str">
        <f>C1601 &amp; " -&gt; " &amp; D1601</f>
        <v>principal-process-steward -&gt; SendIntents.DroppedIntentExecutionKey</v>
      </c>
      <c r="C1601" s="3" t="s">
        <v>9772</v>
      </c>
      <c r="D1601" s="3" t="s">
        <v>4868</v>
      </c>
      <c r="E1601" s="3" t="b">
        <v>1</v>
      </c>
      <c r="F1601" s="3" t="b">
        <v>0</v>
      </c>
      <c r="G1601" s="3" t="s">
        <v>10003</v>
      </c>
      <c r="H1601" s="4" t="str">
        <f>_xlfn.IFNA(IF(((INDEX(RulebookFields!C2:C1898, MATCH(D1601,RulebookFields!A2:A1898, 0))="")=TRUE),  "",  INDEX(RulebookFields!C2:C1898, MATCH(D1601,RulebookFields!A2:A1898, 0))), "")</f>
        <v>SendIntents</v>
      </c>
      <c r="I1601" s="4" t="str">
        <f>_xlfn.IFNA(IF(((INDEX(RulebookFields!D2:D1898, MATCH(D1601,RulebookFields!A2:A1898, 0))="")=TRUE),  "",  INDEX(RulebookFields!D2:D1898, MATCH(D1601,RulebookFields!A2:A1898, 0))), "")</f>
        <v>DroppedIntentExecutionKey</v>
      </c>
      <c r="J1601" s="4" t="b">
        <f>_xlfn.IFNA(IF(((INDEX(RulebookFields!I2:I1898, MATCH(D1601,RulebookFields!A2:A1898, 0))="")=TRUE),  "",  INDEX(RulebookFields!I2:I1898, MATCH(D1601,RulebookFields!A2:A1898, 0))), "")</f>
        <v>1</v>
      </c>
      <c r="K1601" s="4" t="b">
        <f>AND(((F1601)=TRUE), ((J1601)=TRUE))</f>
        <v>0</v>
      </c>
      <c r="L1601" s="4" t="b">
        <f>AND(((G1601 &lt;&gt; "plain")=TRUE), ((G1601 &lt;&gt; "")=TRUE))</f>
        <v>0</v>
      </c>
      <c r="M1601" s="4" t="str">
        <f>IF(((E1601)=TRUE),  C1601 &amp; "|" &amp; H1601,  "")</f>
        <v>principal-process-steward|SendIntents</v>
      </c>
      <c r="N1601" s="3" t="s">
        <v>10004</v>
      </c>
    </row>
    <row r="1602">
      <c r="A1602" s="3" t="s">
        <v>11604</v>
      </c>
      <c r="B1602" s="4" t="str">
        <f>C1602 &amp; " -&gt; " &amp; D1602</f>
        <v>principal-process-steward -&gt; SendIntents.MyApprovalWasInForce</v>
      </c>
      <c r="C1602" s="3" t="s">
        <v>9772</v>
      </c>
      <c r="D1602" s="3" t="s">
        <v>4871</v>
      </c>
      <c r="E1602" s="3" t="b">
        <v>1</v>
      </c>
      <c r="F1602" s="3" t="b">
        <v>0</v>
      </c>
      <c r="G1602" s="3" t="s">
        <v>10003</v>
      </c>
      <c r="H1602" s="4" t="str">
        <f>_xlfn.IFNA(IF(((INDEX(RulebookFields!C2:C1898, MATCH(D1602,RulebookFields!A2:A1898, 0))="")=TRUE),  "",  INDEX(RulebookFields!C2:C1898, MATCH(D1602,RulebookFields!A2:A1898, 0))), "")</f>
        <v>SendIntents</v>
      </c>
      <c r="I1602" s="4" t="str">
        <f>_xlfn.IFNA(IF(((INDEX(RulebookFields!D2:D1898, MATCH(D1602,RulebookFields!A2:A1898, 0))="")=TRUE),  "",  INDEX(RulebookFields!D2:D1898, MATCH(D1602,RulebookFields!A2:A1898, 0))), "")</f>
        <v>MyApprovalWasInForce</v>
      </c>
      <c r="J1602" s="4" t="b">
        <f>_xlfn.IFNA(IF(((INDEX(RulebookFields!I2:I1898, MATCH(D1602,RulebookFields!A2:A1898, 0))="")=TRUE),  "",  INDEX(RulebookFields!I2:I1898, MATCH(D1602,RulebookFields!A2:A1898, 0))), "")</f>
        <v>1</v>
      </c>
      <c r="K1602" s="4" t="b">
        <f>AND(((F1602)=TRUE), ((J1602)=TRUE))</f>
        <v>0</v>
      </c>
      <c r="L1602" s="4" t="b">
        <f>AND(((G1602 &lt;&gt; "plain")=TRUE), ((G1602 &lt;&gt; "")=TRUE))</f>
        <v>0</v>
      </c>
      <c r="M1602" s="4" t="str">
        <f>IF(((E1602)=TRUE),  C1602 &amp; "|" &amp; H1602,  "")</f>
        <v>principal-process-steward|SendIntents</v>
      </c>
      <c r="N1602" s="3" t="s">
        <v>10004</v>
      </c>
    </row>
    <row r="1603">
      <c r="A1603" s="3" t="s">
        <v>11605</v>
      </c>
      <c r="B1603" s="4" t="str">
        <f>C1603 &amp; " -&gt; " &amp; D1603</f>
        <v>principal-process-steward -&gt; SendIntents.RefusedOnApprovedContent</v>
      </c>
      <c r="C1603" s="3" t="s">
        <v>9772</v>
      </c>
      <c r="D1603" s="3" t="s">
        <v>4874</v>
      </c>
      <c r="E1603" s="3" t="b">
        <v>1</v>
      </c>
      <c r="F1603" s="3" t="b">
        <v>0</v>
      </c>
      <c r="G1603" s="3" t="s">
        <v>10003</v>
      </c>
      <c r="H1603" s="4" t="str">
        <f>_xlfn.IFNA(IF(((INDEX(RulebookFields!C2:C1898, MATCH(D1603,RulebookFields!A2:A1898, 0))="")=TRUE),  "",  INDEX(RulebookFields!C2:C1898, MATCH(D1603,RulebookFields!A2:A1898, 0))), "")</f>
        <v>SendIntents</v>
      </c>
      <c r="I1603" s="4" t="str">
        <f>_xlfn.IFNA(IF(((INDEX(RulebookFields!D2:D1898, MATCH(D1603,RulebookFields!A2:A1898, 0))="")=TRUE),  "",  INDEX(RulebookFields!D2:D1898, MATCH(D1603,RulebookFields!A2:A1898, 0))), "")</f>
        <v>RefusedOnApprovedContent</v>
      </c>
      <c r="J1603" s="4" t="b">
        <f>_xlfn.IFNA(IF(((INDEX(RulebookFields!I2:I1898, MATCH(D1603,RulebookFields!A2:A1898, 0))="")=TRUE),  "",  INDEX(RulebookFields!I2:I1898, MATCH(D1603,RulebookFields!A2:A1898, 0))), "")</f>
        <v>1</v>
      </c>
      <c r="K1603" s="4" t="b">
        <f>AND(((F1603)=TRUE), ((J1603)=TRUE))</f>
        <v>0</v>
      </c>
      <c r="L1603" s="4" t="b">
        <f>AND(((G1603 &lt;&gt; "plain")=TRUE), ((G1603 &lt;&gt; "")=TRUE))</f>
        <v>0</v>
      </c>
      <c r="M1603" s="4" t="str">
        <f>IF(((E1603)=TRUE),  C1603 &amp; "|" &amp; H1603,  "")</f>
        <v>principal-process-steward|SendIntents</v>
      </c>
      <c r="N1603" s="3" t="s">
        <v>10004</v>
      </c>
    </row>
    <row r="1604">
      <c r="A1604" s="3" t="s">
        <v>11606</v>
      </c>
      <c r="B1604" s="4" t="str">
        <f>C1604 &amp; " -&gt; " &amp; D1604</f>
        <v>principal-process-steward -&gt; SendIntents.RefusedOnOptOutOnly</v>
      </c>
      <c r="C1604" s="3" t="s">
        <v>9772</v>
      </c>
      <c r="D1604" s="3" t="s">
        <v>4877</v>
      </c>
      <c r="E1604" s="3" t="b">
        <v>1</v>
      </c>
      <c r="F1604" s="3" t="b">
        <v>0</v>
      </c>
      <c r="G1604" s="3" t="s">
        <v>10003</v>
      </c>
      <c r="H1604" s="4" t="str">
        <f>_xlfn.IFNA(IF(((INDEX(RulebookFields!C2:C1898, MATCH(D1604,RulebookFields!A2:A1898, 0))="")=TRUE),  "",  INDEX(RulebookFields!C2:C1898, MATCH(D1604,RulebookFields!A2:A1898, 0))), "")</f>
        <v>SendIntents</v>
      </c>
      <c r="I1604" s="4" t="str">
        <f>_xlfn.IFNA(IF(((INDEX(RulebookFields!D2:D1898, MATCH(D1604,RulebookFields!A2:A1898, 0))="")=TRUE),  "",  INDEX(RulebookFields!D2:D1898, MATCH(D1604,RulebookFields!A2:A1898, 0))), "")</f>
        <v>RefusedOnOptOutOnly</v>
      </c>
      <c r="J1604" s="4" t="b">
        <f>_xlfn.IFNA(IF(((INDEX(RulebookFields!I2:I1898, MATCH(D1604,RulebookFields!A2:A1898, 0))="")=TRUE),  "",  INDEX(RulebookFields!I2:I1898, MATCH(D1604,RulebookFields!A2:A1898, 0))), "")</f>
        <v>1</v>
      </c>
      <c r="K1604" s="4" t="b">
        <f>AND(((F1604)=TRUE), ((J1604)=TRUE))</f>
        <v>0</v>
      </c>
      <c r="L1604" s="4" t="b">
        <f>AND(((G1604 &lt;&gt; "plain")=TRUE), ((G1604 &lt;&gt; "")=TRUE))</f>
        <v>0</v>
      </c>
      <c r="M1604" s="4" t="str">
        <f>IF(((E1604)=TRUE),  C1604 &amp; "|" &amp; H1604,  "")</f>
        <v>principal-process-steward|SendIntents</v>
      </c>
      <c r="N1604" s="3" t="s">
        <v>10004</v>
      </c>
    </row>
    <row r="1605">
      <c r="A1605" s="3" t="s">
        <v>11607</v>
      </c>
      <c r="B1605" s="4" t="str">
        <f>C1605 &amp; " -&gt; " &amp; D1605</f>
        <v>principal-process-steward -&gt; SendIntents.RefusalWasOnMyRules</v>
      </c>
      <c r="C1605" s="3" t="s">
        <v>9772</v>
      </c>
      <c r="D1605" s="3" t="s">
        <v>4880</v>
      </c>
      <c r="E1605" s="3" t="b">
        <v>1</v>
      </c>
      <c r="F1605" s="3" t="b">
        <v>0</v>
      </c>
      <c r="G1605" s="3" t="s">
        <v>10003</v>
      </c>
      <c r="H1605" s="4" t="str">
        <f>_xlfn.IFNA(IF(((INDEX(RulebookFields!C2:C1898, MATCH(D1605,RulebookFields!A2:A1898, 0))="")=TRUE),  "",  INDEX(RulebookFields!C2:C1898, MATCH(D1605,RulebookFields!A2:A1898, 0))), "")</f>
        <v>SendIntents</v>
      </c>
      <c r="I1605" s="4" t="str">
        <f>_xlfn.IFNA(IF(((INDEX(RulebookFields!D2:D1898, MATCH(D1605,RulebookFields!A2:A1898, 0))="")=TRUE),  "",  INDEX(RulebookFields!D2:D1898, MATCH(D1605,RulebookFields!A2:A1898, 0))), "")</f>
        <v>RefusalWasOnMyRules</v>
      </c>
      <c r="J1605" s="4" t="b">
        <f>_xlfn.IFNA(IF(((INDEX(RulebookFields!I2:I1898, MATCH(D1605,RulebookFields!A2:A1898, 0))="")=TRUE),  "",  INDEX(RulebookFields!I2:I1898, MATCH(D1605,RulebookFields!A2:A1898, 0))), "")</f>
        <v>1</v>
      </c>
      <c r="K1605" s="4" t="b">
        <f>AND(((F1605)=TRUE), ((J1605)=TRUE))</f>
        <v>0</v>
      </c>
      <c r="L1605" s="4" t="b">
        <f>AND(((G1605 &lt;&gt; "plain")=TRUE), ((G1605 &lt;&gt; "")=TRUE))</f>
        <v>0</v>
      </c>
      <c r="M1605" s="4" t="str">
        <f>IF(((E1605)=TRUE),  C1605 &amp; "|" &amp; H1605,  "")</f>
        <v>principal-process-steward|SendIntents</v>
      </c>
      <c r="N1605" s="3" t="s">
        <v>10004</v>
      </c>
    </row>
    <row r="1606">
      <c r="A1606" s="3" t="s">
        <v>11608</v>
      </c>
      <c r="B1606" s="4" t="str">
        <f>C1606 &amp; " -&gt; " &amp; D1606</f>
        <v>principal-process-steward -&gt; SendIntents.RefusalWasOutsideMyControl</v>
      </c>
      <c r="C1606" s="3" t="s">
        <v>9772</v>
      </c>
      <c r="D1606" s="3" t="s">
        <v>4883</v>
      </c>
      <c r="E1606" s="3" t="b">
        <v>1</v>
      </c>
      <c r="F1606" s="3" t="b">
        <v>0</v>
      </c>
      <c r="G1606" s="3" t="s">
        <v>10003</v>
      </c>
      <c r="H1606" s="4" t="str">
        <f>_xlfn.IFNA(IF(((INDEX(RulebookFields!C2:C1898, MATCH(D1606,RulebookFields!A2:A1898, 0))="")=TRUE),  "",  INDEX(RulebookFields!C2:C1898, MATCH(D1606,RulebookFields!A2:A1898, 0))), "")</f>
        <v>SendIntents</v>
      </c>
      <c r="I1606" s="4" t="str">
        <f>_xlfn.IFNA(IF(((INDEX(RulebookFields!D2:D1898, MATCH(D1606,RulebookFields!A2:A1898, 0))="")=TRUE),  "",  INDEX(RulebookFields!D2:D1898, MATCH(D1606,RulebookFields!A2:A1898, 0))), "")</f>
        <v>RefusalWasOutsideMyControl</v>
      </c>
      <c r="J1606" s="4" t="b">
        <f>_xlfn.IFNA(IF(((INDEX(RulebookFields!I2:I1898, MATCH(D1606,RulebookFields!A2:A1898, 0))="")=TRUE),  "",  INDEX(RulebookFields!I2:I1898, MATCH(D1606,RulebookFields!A2:A1898, 0))), "")</f>
        <v>1</v>
      </c>
      <c r="K1606" s="4" t="b">
        <f>AND(((F1606)=TRUE), ((J1606)=TRUE))</f>
        <v>0</v>
      </c>
      <c r="L1606" s="4" t="b">
        <f>AND(((G1606 &lt;&gt; "plain")=TRUE), ((G1606 &lt;&gt; "")=TRUE))</f>
        <v>0</v>
      </c>
      <c r="M1606" s="4" t="str">
        <f>IF(((E1606)=TRUE),  C1606 &amp; "|" &amp; H1606,  "")</f>
        <v>principal-process-steward|SendIntents</v>
      </c>
      <c r="N1606" s="3" t="s">
        <v>10004</v>
      </c>
    </row>
    <row r="1607">
      <c r="A1607" s="3" t="s">
        <v>11609</v>
      </c>
      <c r="B1607" s="4" t="str">
        <f>C1607 &amp; " -&gt; " &amp; D1607</f>
        <v>principal-process-steward -&gt; SendIntents.ApproverWasNotified</v>
      </c>
      <c r="C1607" s="3" t="s">
        <v>9772</v>
      </c>
      <c r="D1607" s="3" t="s">
        <v>4886</v>
      </c>
      <c r="E1607" s="3" t="b">
        <v>1</v>
      </c>
      <c r="F1607" s="3" t="b">
        <v>0</v>
      </c>
      <c r="G1607" s="3" t="s">
        <v>10003</v>
      </c>
      <c r="H1607" s="4" t="str">
        <f>_xlfn.IFNA(IF(((INDEX(RulebookFields!C2:C1898, MATCH(D1607,RulebookFields!A2:A1898, 0))="")=TRUE),  "",  INDEX(RulebookFields!C2:C1898, MATCH(D1607,RulebookFields!A2:A1898, 0))), "")</f>
        <v>SendIntents</v>
      </c>
      <c r="I1607" s="4" t="str">
        <f>_xlfn.IFNA(IF(((INDEX(RulebookFields!D2:D1898, MATCH(D1607,RulebookFields!A2:A1898, 0))="")=TRUE),  "",  INDEX(RulebookFields!D2:D1898, MATCH(D1607,RulebookFields!A2:A1898, 0))), "")</f>
        <v>ApproverWasNotified</v>
      </c>
      <c r="J1607" s="4" t="b">
        <f>_xlfn.IFNA(IF(((INDEX(RulebookFields!I2:I1898, MATCH(D1607,RulebookFields!A2:A1898, 0))="")=TRUE),  "",  INDEX(RulebookFields!I2:I1898, MATCH(D1607,RulebookFields!A2:A1898, 0))), "")</f>
        <v>0</v>
      </c>
      <c r="K1607" s="4" t="b">
        <f>AND(((F1607)=TRUE), ((J1607)=TRUE))</f>
        <v>0</v>
      </c>
      <c r="L1607" s="4" t="b">
        <f>AND(((G1607 &lt;&gt; "plain")=TRUE), ((G1607 &lt;&gt; "")=TRUE))</f>
        <v>0</v>
      </c>
      <c r="M1607" s="4" t="str">
        <f>IF(((E1607)=TRUE),  C1607 &amp; "|" &amp; H1607,  "")</f>
        <v>principal-process-steward|SendIntents</v>
      </c>
      <c r="N1607" s="3" t="s">
        <v>10004</v>
      </c>
    </row>
    <row r="1608">
      <c r="A1608" s="3" t="s">
        <v>11610</v>
      </c>
      <c r="B1608" s="4" t="str">
        <f>C1608 &amp; " -&gt; " &amp; D1608</f>
        <v>principal-process-steward -&gt; SendIntents.IsUnreportedRefusalOnMyRules</v>
      </c>
      <c r="C1608" s="3" t="s">
        <v>9772</v>
      </c>
      <c r="D1608" s="3" t="s">
        <v>4888</v>
      </c>
      <c r="E1608" s="3" t="b">
        <v>1</v>
      </c>
      <c r="F1608" s="3" t="b">
        <v>0</v>
      </c>
      <c r="G1608" s="3" t="s">
        <v>10003</v>
      </c>
      <c r="H1608" s="4" t="str">
        <f>_xlfn.IFNA(IF(((INDEX(RulebookFields!C2:C1898, MATCH(D1608,RulebookFields!A2:A1898, 0))="")=TRUE),  "",  INDEX(RulebookFields!C2:C1898, MATCH(D1608,RulebookFields!A2:A1898, 0))), "")</f>
        <v>SendIntents</v>
      </c>
      <c r="I1608" s="4" t="str">
        <f>_xlfn.IFNA(IF(((INDEX(RulebookFields!D2:D1898, MATCH(D1608,RulebookFields!A2:A1898, 0))="")=TRUE),  "",  INDEX(RulebookFields!D2:D1898, MATCH(D1608,RulebookFields!A2:A1898, 0))), "")</f>
        <v>IsUnreportedRefusalOnMyRules</v>
      </c>
      <c r="J1608" s="4" t="b">
        <f>_xlfn.IFNA(IF(((INDEX(RulebookFields!I2:I1898, MATCH(D1608,RulebookFields!A2:A1898, 0))="")=TRUE),  "",  INDEX(RulebookFields!I2:I1898, MATCH(D1608,RulebookFields!A2:A1898, 0))), "")</f>
        <v>1</v>
      </c>
      <c r="K1608" s="4" t="b">
        <f>AND(((F1608)=TRUE), ((J1608)=TRUE))</f>
        <v>0</v>
      </c>
      <c r="L1608" s="4" t="b">
        <f>AND(((G1608 &lt;&gt; "plain")=TRUE), ((G1608 &lt;&gt; "")=TRUE))</f>
        <v>0</v>
      </c>
      <c r="M1608" s="4" t="str">
        <f>IF(((E1608)=TRUE),  C1608 &amp; "|" &amp; H1608,  "")</f>
        <v>principal-process-steward|SendIntents</v>
      </c>
      <c r="N1608" s="3" t="s">
        <v>10004</v>
      </c>
    </row>
    <row r="1609">
      <c r="A1609" s="3" t="s">
        <v>11611</v>
      </c>
      <c r="B1609" s="4" t="str">
        <f>C1609 &amp; " -&gt; " &amp; D1609</f>
        <v>principal-process-steward -&gt; SendIntents.IsApprovalOverriddenSilently</v>
      </c>
      <c r="C1609" s="3" t="s">
        <v>9772</v>
      </c>
      <c r="D1609" s="3" t="s">
        <v>4891</v>
      </c>
      <c r="E1609" s="3" t="b">
        <v>1</v>
      </c>
      <c r="F1609" s="3" t="b">
        <v>0</v>
      </c>
      <c r="G1609" s="3" t="s">
        <v>10003</v>
      </c>
      <c r="H1609" s="4" t="str">
        <f>_xlfn.IFNA(IF(((INDEX(RulebookFields!C2:C1898, MATCH(D1609,RulebookFields!A2:A1898, 0))="")=TRUE),  "",  INDEX(RulebookFields!C2:C1898, MATCH(D1609,RulebookFields!A2:A1898, 0))), "")</f>
        <v>SendIntents</v>
      </c>
      <c r="I1609" s="4" t="str">
        <f>_xlfn.IFNA(IF(((INDEX(RulebookFields!D2:D1898, MATCH(D1609,RulebookFields!A2:A1898, 0))="")=TRUE),  "",  INDEX(RulebookFields!D2:D1898, MATCH(D1609,RulebookFields!A2:A1898, 0))), "")</f>
        <v>IsApprovalOverriddenSilently</v>
      </c>
      <c r="J1609" s="4" t="b">
        <f>_xlfn.IFNA(IF(((INDEX(RulebookFields!I2:I1898, MATCH(D1609,RulebookFields!A2:A1898, 0))="")=TRUE),  "",  INDEX(RulebookFields!I2:I1898, MATCH(D1609,RulebookFields!A2:A1898, 0))), "")</f>
        <v>1</v>
      </c>
      <c r="K1609" s="4" t="b">
        <f>AND(((F1609)=TRUE), ((J1609)=TRUE))</f>
        <v>0</v>
      </c>
      <c r="L1609" s="4" t="b">
        <f>AND(((G1609 &lt;&gt; "plain")=TRUE), ((G1609 &lt;&gt; "")=TRUE))</f>
        <v>0</v>
      </c>
      <c r="M1609" s="4" t="str">
        <f>IF(((E1609)=TRUE),  C1609 &amp; "|" &amp; H1609,  "")</f>
        <v>principal-process-steward|SendIntents</v>
      </c>
      <c r="N1609" s="3" t="s">
        <v>10004</v>
      </c>
    </row>
    <row r="1610">
      <c r="A1610" s="3" t="s">
        <v>11612</v>
      </c>
      <c r="B1610" s="4" t="str">
        <f>C1610 &amp; " -&gt; " &amp; D1610</f>
        <v>principal-process-steward -&gt; SendIntents.AlternateChannelIntent</v>
      </c>
      <c r="C1610" s="3" t="s">
        <v>9772</v>
      </c>
      <c r="D1610" s="3" t="s">
        <v>4894</v>
      </c>
      <c r="E1610" s="3" t="b">
        <v>1</v>
      </c>
      <c r="F1610" s="3" t="b">
        <v>0</v>
      </c>
      <c r="G1610" s="3" t="s">
        <v>10003</v>
      </c>
      <c r="H1610" s="4" t="str">
        <f>_xlfn.IFNA(IF(((INDEX(RulebookFields!C2:C1898, MATCH(D1610,RulebookFields!A2:A1898, 0))="")=TRUE),  "",  INDEX(RulebookFields!C2:C1898, MATCH(D1610,RulebookFields!A2:A1898, 0))), "")</f>
        <v>SendIntents</v>
      </c>
      <c r="I1610" s="4" t="str">
        <f>_xlfn.IFNA(IF(((INDEX(RulebookFields!D2:D1898, MATCH(D1610,RulebookFields!A2:A1898, 0))="")=TRUE),  "",  INDEX(RulebookFields!D2:D1898, MATCH(D1610,RulebookFields!A2:A1898, 0))), "")</f>
        <v>AlternateChannelIntent</v>
      </c>
      <c r="J1610" s="4" t="b">
        <f>_xlfn.IFNA(IF(((INDEX(RulebookFields!I2:I1898, MATCH(D1610,RulebookFields!A2:A1898, 0))="")=TRUE),  "",  INDEX(RulebookFields!I2:I1898, MATCH(D1610,RulebookFields!A2:A1898, 0))), "")</f>
        <v>0</v>
      </c>
      <c r="K1610" s="4" t="b">
        <f>AND(((F1610)=TRUE), ((J1610)=TRUE))</f>
        <v>0</v>
      </c>
      <c r="L1610" s="4" t="b">
        <f>AND(((G1610 &lt;&gt; "plain")=TRUE), ((G1610 &lt;&gt; "")=TRUE))</f>
        <v>0</v>
      </c>
      <c r="M1610" s="4" t="str">
        <f>IF(((E1610)=TRUE),  C1610 &amp; "|" &amp; H1610,  "")</f>
        <v>principal-process-steward|SendIntents</v>
      </c>
      <c r="N1610" s="3" t="s">
        <v>10004</v>
      </c>
    </row>
    <row r="1611">
      <c r="A1611" s="3" t="s">
        <v>11613</v>
      </c>
      <c r="B1611" s="4" t="str">
        <f>C1611 &amp; " -&gt; " &amp; D1611</f>
        <v>principal-process-steward -&gt; SendIntents.HasAlternateChannelAttempt</v>
      </c>
      <c r="C1611" s="3" t="s">
        <v>9772</v>
      </c>
      <c r="D1611" s="3" t="s">
        <v>4896</v>
      </c>
      <c r="E1611" s="3" t="b">
        <v>1</v>
      </c>
      <c r="F1611" s="3" t="b">
        <v>0</v>
      </c>
      <c r="G1611" s="3" t="s">
        <v>10003</v>
      </c>
      <c r="H1611" s="4" t="str">
        <f>_xlfn.IFNA(IF(((INDEX(RulebookFields!C2:C1898, MATCH(D1611,RulebookFields!A2:A1898, 0))="")=TRUE),  "",  INDEX(RulebookFields!C2:C1898, MATCH(D1611,RulebookFields!A2:A1898, 0))), "")</f>
        <v>SendIntents</v>
      </c>
      <c r="I1611" s="4" t="str">
        <f>_xlfn.IFNA(IF(((INDEX(RulebookFields!D2:D1898, MATCH(D1611,RulebookFields!A2:A1898, 0))="")=TRUE),  "",  INDEX(RulebookFields!D2:D1898, MATCH(D1611,RulebookFields!A2:A1898, 0))), "")</f>
        <v>HasAlternateChannelAttempt</v>
      </c>
      <c r="J1611" s="4" t="b">
        <f>_xlfn.IFNA(IF(((INDEX(RulebookFields!I2:I1898, MATCH(D1611,RulebookFields!A2:A1898, 0))="")=TRUE),  "",  INDEX(RulebookFields!I2:I1898, MATCH(D1611,RulebookFields!A2:A1898, 0))), "")</f>
        <v>1</v>
      </c>
      <c r="K1611" s="4" t="b">
        <f>AND(((F1611)=TRUE), ((J1611)=TRUE))</f>
        <v>0</v>
      </c>
      <c r="L1611" s="4" t="b">
        <f>AND(((G1611 &lt;&gt; "plain")=TRUE), ((G1611 &lt;&gt; "")=TRUE))</f>
        <v>0</v>
      </c>
      <c r="M1611" s="4" t="str">
        <f>IF(((E1611)=TRUE),  C1611 &amp; "|" &amp; H1611,  "")</f>
        <v>principal-process-steward|SendIntents</v>
      </c>
      <c r="N1611" s="3" t="s">
        <v>10004</v>
      </c>
    </row>
    <row r="1612">
      <c r="A1612" s="3" t="s">
        <v>11614</v>
      </c>
      <c r="B1612" s="4" t="str">
        <f>C1612 &amp; " -&gt; " &amp; D1612</f>
        <v>principal-process-steward -&gt; SendIntents.AlternateAttemptWasCleared</v>
      </c>
      <c r="C1612" s="3" t="s">
        <v>9772</v>
      </c>
      <c r="D1612" s="3" t="s">
        <v>4899</v>
      </c>
      <c r="E1612" s="3" t="b">
        <v>1</v>
      </c>
      <c r="F1612" s="3" t="b">
        <v>0</v>
      </c>
      <c r="G1612" s="3" t="s">
        <v>10003</v>
      </c>
      <c r="H1612" s="4" t="str">
        <f>_xlfn.IFNA(IF(((INDEX(RulebookFields!C2:C1898, MATCH(D1612,RulebookFields!A2:A1898, 0))="")=TRUE),  "",  INDEX(RulebookFields!C2:C1898, MATCH(D1612,RulebookFields!A2:A1898, 0))), "")</f>
        <v>SendIntents</v>
      </c>
      <c r="I1612" s="4" t="str">
        <f>_xlfn.IFNA(IF(((INDEX(RulebookFields!D2:D1898, MATCH(D1612,RulebookFields!A2:A1898, 0))="")=TRUE),  "",  INDEX(RulebookFields!D2:D1898, MATCH(D1612,RulebookFields!A2:A1898, 0))), "")</f>
        <v>AlternateAttemptWasCleared</v>
      </c>
      <c r="J1612" s="4" t="b">
        <f>_xlfn.IFNA(IF(((INDEX(RulebookFields!I2:I1898, MATCH(D1612,RulebookFields!A2:A1898, 0))="")=TRUE),  "",  INDEX(RulebookFields!I2:I1898, MATCH(D1612,RulebookFields!A2:A1898, 0))), "")</f>
        <v>1</v>
      </c>
      <c r="K1612" s="4" t="b">
        <f>AND(((F1612)=TRUE), ((J1612)=TRUE))</f>
        <v>0</v>
      </c>
      <c r="L1612" s="4" t="b">
        <f>AND(((G1612 &lt;&gt; "plain")=TRUE), ((G1612 &lt;&gt; "")=TRUE))</f>
        <v>0</v>
      </c>
      <c r="M1612" s="4" t="str">
        <f>IF(((E1612)=TRUE),  C1612 &amp; "|" &amp; H1612,  "")</f>
        <v>principal-process-steward|SendIntents</v>
      </c>
      <c r="N1612" s="3" t="s">
        <v>10004</v>
      </c>
    </row>
    <row r="1613">
      <c r="A1613" s="3" t="s">
        <v>11615</v>
      </c>
      <c r="B1613" s="4" t="str">
        <f>C1613 &amp; " -&gt; " &amp; D1613</f>
        <v>principal-process-steward -&gt; SendIntents.IsRefusedWithNoAlternative</v>
      </c>
      <c r="C1613" s="3" t="s">
        <v>9772</v>
      </c>
      <c r="D1613" s="3" t="s">
        <v>4902</v>
      </c>
      <c r="E1613" s="3" t="b">
        <v>1</v>
      </c>
      <c r="F1613" s="3" t="b">
        <v>0</v>
      </c>
      <c r="G1613" s="3" t="s">
        <v>10003</v>
      </c>
      <c r="H1613" s="4" t="str">
        <f>_xlfn.IFNA(IF(((INDEX(RulebookFields!C2:C1898, MATCH(D1613,RulebookFields!A2:A1898, 0))="")=TRUE),  "",  INDEX(RulebookFields!C2:C1898, MATCH(D1613,RulebookFields!A2:A1898, 0))), "")</f>
        <v>SendIntents</v>
      </c>
      <c r="I1613" s="4" t="str">
        <f>_xlfn.IFNA(IF(((INDEX(RulebookFields!D2:D1898, MATCH(D1613,RulebookFields!A2:A1898, 0))="")=TRUE),  "",  INDEX(RulebookFields!D2:D1898, MATCH(D1613,RulebookFields!A2:A1898, 0))), "")</f>
        <v>IsRefusedWithNoAlternative</v>
      </c>
      <c r="J1613" s="4" t="b">
        <f>_xlfn.IFNA(IF(((INDEX(RulebookFields!I2:I1898, MATCH(D1613,RulebookFields!A2:A1898, 0))="")=TRUE),  "",  INDEX(RulebookFields!I2:I1898, MATCH(D1613,RulebookFields!A2:A1898, 0))), "")</f>
        <v>1</v>
      </c>
      <c r="K1613" s="4" t="b">
        <f>AND(((F1613)=TRUE), ((J1613)=TRUE))</f>
        <v>0</v>
      </c>
      <c r="L1613" s="4" t="b">
        <f>AND(((G1613 &lt;&gt; "plain")=TRUE), ((G1613 &lt;&gt; "")=TRUE))</f>
        <v>0</v>
      </c>
      <c r="M1613" s="4" t="str">
        <f>IF(((E1613)=TRUE),  C1613 &amp; "|" &amp; H1613,  "")</f>
        <v>principal-process-steward|SendIntents</v>
      </c>
      <c r="N1613" s="3" t="s">
        <v>10004</v>
      </c>
    </row>
    <row r="1614">
      <c r="A1614" s="3" t="s">
        <v>11616</v>
      </c>
      <c r="B1614" s="4" t="str">
        <f>C1614 &amp; " -&gt; " &amp; D1614</f>
        <v>principal-process-steward -&gt; SendIntents.ExceptionPrescribedAnAlternative</v>
      </c>
      <c r="C1614" s="3" t="s">
        <v>9772</v>
      </c>
      <c r="D1614" s="3" t="s">
        <v>4905</v>
      </c>
      <c r="E1614" s="3" t="b">
        <v>1</v>
      </c>
      <c r="F1614" s="3" t="b">
        <v>0</v>
      </c>
      <c r="G1614" s="3" t="s">
        <v>10003</v>
      </c>
      <c r="H1614" s="4" t="str">
        <f>_xlfn.IFNA(IF(((INDEX(RulebookFields!C2:C1898, MATCH(D1614,RulebookFields!A2:A1898, 0))="")=TRUE),  "",  INDEX(RulebookFields!C2:C1898, MATCH(D1614,RulebookFields!A2:A1898, 0))), "")</f>
        <v>SendIntents</v>
      </c>
      <c r="I1614" s="4" t="str">
        <f>_xlfn.IFNA(IF(((INDEX(RulebookFields!D2:D1898, MATCH(D1614,RulebookFields!A2:A1898, 0))="")=TRUE),  "",  INDEX(RulebookFields!D2:D1898, MATCH(D1614,RulebookFields!A2:A1898, 0))), "")</f>
        <v>ExceptionPrescribedAnAlternative</v>
      </c>
      <c r="J1614" s="4" t="b">
        <f>_xlfn.IFNA(IF(((INDEX(RulebookFields!I2:I1898, MATCH(D1614,RulebookFields!A2:A1898, 0))="")=TRUE),  "",  INDEX(RulebookFields!I2:I1898, MATCH(D1614,RulebookFields!A2:A1898, 0))), "")</f>
        <v>1</v>
      </c>
      <c r="K1614" s="4" t="b">
        <f>AND(((F1614)=TRUE), ((J1614)=TRUE))</f>
        <v>0</v>
      </c>
      <c r="L1614" s="4" t="b">
        <f>AND(((G1614 &lt;&gt; "plain")=TRUE), ((G1614 &lt;&gt; "")=TRUE))</f>
        <v>0</v>
      </c>
      <c r="M1614" s="4" t="str">
        <f>IF(((E1614)=TRUE),  C1614 &amp; "|" &amp; H1614,  "")</f>
        <v>principal-process-steward|SendIntents</v>
      </c>
      <c r="N1614" s="3" t="s">
        <v>10004</v>
      </c>
    </row>
    <row r="1615">
      <c r="A1615" s="3" t="s">
        <v>11617</v>
      </c>
      <c r="B1615" s="4" t="str">
        <f>C1615 &amp; " -&gt; " &amp; D1615</f>
        <v>principal-process-steward -&gt; SendIntents.PrescribedHandlingWasPerformed</v>
      </c>
      <c r="C1615" s="3" t="s">
        <v>9772</v>
      </c>
      <c r="D1615" s="3" t="s">
        <v>4908</v>
      </c>
      <c r="E1615" s="3" t="b">
        <v>1</v>
      </c>
      <c r="F1615" s="3" t="b">
        <v>0</v>
      </c>
      <c r="G1615" s="3" t="s">
        <v>10003</v>
      </c>
      <c r="H1615" s="4" t="str">
        <f>_xlfn.IFNA(IF(((INDEX(RulebookFields!C2:C1898, MATCH(D1615,RulebookFields!A2:A1898, 0))="")=TRUE),  "",  INDEX(RulebookFields!C2:C1898, MATCH(D1615,RulebookFields!A2:A1898, 0))), "")</f>
        <v>SendIntents</v>
      </c>
      <c r="I1615" s="4" t="str">
        <f>_xlfn.IFNA(IF(((INDEX(RulebookFields!D2:D1898, MATCH(D1615,RulebookFields!A2:A1898, 0))="")=TRUE),  "",  INDEX(RulebookFields!D2:D1898, MATCH(D1615,RulebookFields!A2:A1898, 0))), "")</f>
        <v>PrescribedHandlingWasPerformed</v>
      </c>
      <c r="J1615" s="4" t="b">
        <f>_xlfn.IFNA(IF(((INDEX(RulebookFields!I2:I1898, MATCH(D1615,RulebookFields!A2:A1898, 0))="")=TRUE),  "",  INDEX(RulebookFields!I2:I1898, MATCH(D1615,RulebookFields!A2:A1898, 0))), "")</f>
        <v>1</v>
      </c>
      <c r="K1615" s="4" t="b">
        <f>AND(((F1615)=TRUE), ((J1615)=TRUE))</f>
        <v>0</v>
      </c>
      <c r="L1615" s="4" t="b">
        <f>AND(((G1615 &lt;&gt; "plain")=TRUE), ((G1615 &lt;&gt; "")=TRUE))</f>
        <v>0</v>
      </c>
      <c r="M1615" s="4" t="str">
        <f>IF(((E1615)=TRUE),  C1615 &amp; "|" &amp; H1615,  "")</f>
        <v>principal-process-steward|SendIntents</v>
      </c>
      <c r="N1615" s="3" t="s">
        <v>10004</v>
      </c>
    </row>
    <row r="1616">
      <c r="A1616" s="3" t="s">
        <v>11618</v>
      </c>
      <c r="B1616" s="4" t="str">
        <f>C1616 &amp; " -&gt; " &amp; D1616</f>
        <v>principal-process-steward -&gt; SendIntents.IsSuppressionWithoutRemedy</v>
      </c>
      <c r="C1616" s="3" t="s">
        <v>9772</v>
      </c>
      <c r="D1616" s="3" t="s">
        <v>4911</v>
      </c>
      <c r="E1616" s="3" t="b">
        <v>1</v>
      </c>
      <c r="F1616" s="3" t="b">
        <v>0</v>
      </c>
      <c r="G1616" s="3" t="s">
        <v>10003</v>
      </c>
      <c r="H1616" s="4" t="str">
        <f>_xlfn.IFNA(IF(((INDEX(RulebookFields!C2:C1898, MATCH(D1616,RulebookFields!A2:A1898, 0))="")=TRUE),  "",  INDEX(RulebookFields!C2:C1898, MATCH(D1616,RulebookFields!A2:A1898, 0))), "")</f>
        <v>SendIntents</v>
      </c>
      <c r="I1616" s="4" t="str">
        <f>_xlfn.IFNA(IF(((INDEX(RulebookFields!D2:D1898, MATCH(D1616,RulebookFields!A2:A1898, 0))="")=TRUE),  "",  INDEX(RulebookFields!D2:D1898, MATCH(D1616,RulebookFields!A2:A1898, 0))), "")</f>
        <v>IsSuppressionWithoutRemedy</v>
      </c>
      <c r="J1616" s="4" t="b">
        <f>_xlfn.IFNA(IF(((INDEX(RulebookFields!I2:I1898, MATCH(D1616,RulebookFields!A2:A1898, 0))="")=TRUE),  "",  INDEX(RulebookFields!I2:I1898, MATCH(D1616,RulebookFields!A2:A1898, 0))), "")</f>
        <v>1</v>
      </c>
      <c r="K1616" s="4" t="b">
        <f>AND(((F1616)=TRUE), ((J1616)=TRUE))</f>
        <v>0</v>
      </c>
      <c r="L1616" s="4" t="b">
        <f>AND(((G1616 &lt;&gt; "plain")=TRUE), ((G1616 &lt;&gt; "")=TRUE))</f>
        <v>0</v>
      </c>
      <c r="M1616" s="4" t="str">
        <f>IF(((E1616)=TRUE),  C1616 &amp; "|" &amp; H1616,  "")</f>
        <v>principal-process-steward|SendIntents</v>
      </c>
      <c r="N1616" s="3" t="s">
        <v>10004</v>
      </c>
    </row>
    <row r="1617">
      <c r="A1617" s="3" t="s">
        <v>11619</v>
      </c>
      <c r="B1617" s="4" t="str">
        <f>C1617 &amp; " -&gt; " &amp; D1617</f>
        <v>principal-process-steward -&gt; SendIntents.RefusalRecordedAt</v>
      </c>
      <c r="C1617" s="3" t="s">
        <v>9772</v>
      </c>
      <c r="D1617" s="3" t="s">
        <v>4914</v>
      </c>
      <c r="E1617" s="3" t="b">
        <v>1</v>
      </c>
      <c r="F1617" s="3" t="b">
        <v>0</v>
      </c>
      <c r="G1617" s="3" t="s">
        <v>10003</v>
      </c>
      <c r="H1617" s="4" t="str">
        <f>_xlfn.IFNA(IF(((INDEX(RulebookFields!C2:C1898, MATCH(D1617,RulebookFields!A2:A1898, 0))="")=TRUE),  "",  INDEX(RulebookFields!C2:C1898, MATCH(D1617,RulebookFields!A2:A1898, 0))), "")</f>
        <v>SendIntents</v>
      </c>
      <c r="I1617" s="4" t="str">
        <f>_xlfn.IFNA(IF(((INDEX(RulebookFields!D2:D1898, MATCH(D1617,RulebookFields!A2:A1898, 0))="")=TRUE),  "",  INDEX(RulebookFields!D2:D1898, MATCH(D1617,RulebookFields!A2:A1898, 0))), "")</f>
        <v>RefusalRecordedAt</v>
      </c>
      <c r="J1617" s="4" t="b">
        <f>_xlfn.IFNA(IF(((INDEX(RulebookFields!I2:I1898, MATCH(D1617,RulebookFields!A2:A1898, 0))="")=TRUE),  "",  INDEX(RulebookFields!I2:I1898, MATCH(D1617,RulebookFields!A2:A1898, 0))), "")</f>
        <v>0</v>
      </c>
      <c r="K1617" s="4" t="b">
        <f>AND(((F1617)=TRUE), ((J1617)=TRUE))</f>
        <v>0</v>
      </c>
      <c r="L1617" s="4" t="b">
        <f>AND(((G1617 &lt;&gt; "plain")=TRUE), ((G1617 &lt;&gt; "")=TRUE))</f>
        <v>0</v>
      </c>
      <c r="M1617" s="4" t="str">
        <f>IF(((E1617)=TRUE),  C1617 &amp; "|" &amp; H1617,  "")</f>
        <v>principal-process-steward|SendIntents</v>
      </c>
      <c r="N1617" s="3" t="s">
        <v>10004</v>
      </c>
    </row>
    <row r="1618">
      <c r="A1618" s="3" t="s">
        <v>11620</v>
      </c>
      <c r="B1618" s="4" t="str">
        <f>C1618 &amp; " -&gt; " &amp; D1618</f>
        <v>principal-process-steward -&gt; SendIntents.RefusalNotifiedRole</v>
      </c>
      <c r="C1618" s="3" t="s">
        <v>9772</v>
      </c>
      <c r="D1618" s="3" t="s">
        <v>4916</v>
      </c>
      <c r="E1618" s="3" t="b">
        <v>1</v>
      </c>
      <c r="F1618" s="3" t="b">
        <v>0</v>
      </c>
      <c r="G1618" s="3" t="s">
        <v>10003</v>
      </c>
      <c r="H1618" s="4" t="str">
        <f>_xlfn.IFNA(IF(((INDEX(RulebookFields!C2:C1898, MATCH(D1618,RulebookFields!A2:A1898, 0))="")=TRUE),  "",  INDEX(RulebookFields!C2:C1898, MATCH(D1618,RulebookFields!A2:A1898, 0))), "")</f>
        <v>SendIntents</v>
      </c>
      <c r="I1618" s="4" t="str">
        <f>_xlfn.IFNA(IF(((INDEX(RulebookFields!D2:D1898, MATCH(D1618,RulebookFields!A2:A1898, 0))="")=TRUE),  "",  INDEX(RulebookFields!D2:D1898, MATCH(D1618,RulebookFields!A2:A1898, 0))), "")</f>
        <v>RefusalNotifiedRole</v>
      </c>
      <c r="J1618" s="4" t="b">
        <f>_xlfn.IFNA(IF(((INDEX(RulebookFields!I2:I1898, MATCH(D1618,RulebookFields!A2:A1898, 0))="")=TRUE),  "",  INDEX(RulebookFields!I2:I1898, MATCH(D1618,RulebookFields!A2:A1898, 0))), "")</f>
        <v>0</v>
      </c>
      <c r="K1618" s="4" t="b">
        <f>AND(((F1618)=TRUE), ((J1618)=TRUE))</f>
        <v>0</v>
      </c>
      <c r="L1618" s="4" t="b">
        <f>AND(((G1618 &lt;&gt; "plain")=TRUE), ((G1618 &lt;&gt; "")=TRUE))</f>
        <v>0</v>
      </c>
      <c r="M1618" s="4" t="str">
        <f>IF(((E1618)=TRUE),  C1618 &amp; "|" &amp; H1618,  "")</f>
        <v>principal-process-steward|SendIntents</v>
      </c>
      <c r="N1618" s="3" t="s">
        <v>10004</v>
      </c>
    </row>
    <row r="1619">
      <c r="A1619" s="3" t="s">
        <v>11621</v>
      </c>
      <c r="B1619" s="4" t="str">
        <f>C1619 &amp; " -&gt; " &amp; D1619</f>
        <v>principal-process-steward -&gt; SendIntents.HasDurableRefusalRecord</v>
      </c>
      <c r="C1619" s="3" t="s">
        <v>9772</v>
      </c>
      <c r="D1619" s="3" t="s">
        <v>4918</v>
      </c>
      <c r="E1619" s="3" t="b">
        <v>1</v>
      </c>
      <c r="F1619" s="3" t="b">
        <v>0</v>
      </c>
      <c r="G1619" s="3" t="s">
        <v>10003</v>
      </c>
      <c r="H1619" s="4" t="str">
        <f>_xlfn.IFNA(IF(((INDEX(RulebookFields!C2:C1898, MATCH(D1619,RulebookFields!A2:A1898, 0))="")=TRUE),  "",  INDEX(RulebookFields!C2:C1898, MATCH(D1619,RulebookFields!A2:A1898, 0))), "")</f>
        <v>SendIntents</v>
      </c>
      <c r="I1619" s="4" t="str">
        <f>_xlfn.IFNA(IF(((INDEX(RulebookFields!D2:D1898, MATCH(D1619,RulebookFields!A2:A1898, 0))="")=TRUE),  "",  INDEX(RulebookFields!D2:D1898, MATCH(D1619,RulebookFields!A2:A1898, 0))), "")</f>
        <v>HasDurableRefusalRecord</v>
      </c>
      <c r="J1619" s="4" t="b">
        <f>_xlfn.IFNA(IF(((INDEX(RulebookFields!I2:I1898, MATCH(D1619,RulebookFields!A2:A1898, 0))="")=TRUE),  "",  INDEX(RulebookFields!I2:I1898, MATCH(D1619,RulebookFields!A2:A1898, 0))), "")</f>
        <v>1</v>
      </c>
      <c r="K1619" s="4" t="b">
        <f>AND(((F1619)=TRUE), ((J1619)=TRUE))</f>
        <v>0</v>
      </c>
      <c r="L1619" s="4" t="b">
        <f>AND(((G1619 &lt;&gt; "plain")=TRUE), ((G1619 &lt;&gt; "")=TRUE))</f>
        <v>0</v>
      </c>
      <c r="M1619" s="4" t="str">
        <f>IF(((E1619)=TRUE),  C1619 &amp; "|" &amp; H1619,  "")</f>
        <v>principal-process-steward|SendIntents</v>
      </c>
      <c r="N1619" s="3" t="s">
        <v>10004</v>
      </c>
    </row>
    <row r="1620">
      <c r="A1620" s="3" t="s">
        <v>11622</v>
      </c>
      <c r="B1620" s="4" t="str">
        <f>C1620 &amp; " -&gt; " &amp; D1620</f>
        <v>principal-process-steward -&gt; SendIntents.RefusalWasEscalated</v>
      </c>
      <c r="C1620" s="3" t="s">
        <v>9772</v>
      </c>
      <c r="D1620" s="3" t="s">
        <v>4921</v>
      </c>
      <c r="E1620" s="3" t="b">
        <v>1</v>
      </c>
      <c r="F1620" s="3" t="b">
        <v>0</v>
      </c>
      <c r="G1620" s="3" t="s">
        <v>10003</v>
      </c>
      <c r="H1620" s="4" t="str">
        <f>_xlfn.IFNA(IF(((INDEX(RulebookFields!C2:C1898, MATCH(D1620,RulebookFields!A2:A1898, 0))="")=TRUE),  "",  INDEX(RulebookFields!C2:C1898, MATCH(D1620,RulebookFields!A2:A1898, 0))), "")</f>
        <v>SendIntents</v>
      </c>
      <c r="I1620" s="4" t="str">
        <f>_xlfn.IFNA(IF(((INDEX(RulebookFields!D2:D1898, MATCH(D1620,RulebookFields!A2:A1898, 0))="")=TRUE),  "",  INDEX(RulebookFields!D2:D1898, MATCH(D1620,RulebookFields!A2:A1898, 0))), "")</f>
        <v>RefusalWasEscalated</v>
      </c>
      <c r="J1620" s="4" t="b">
        <f>_xlfn.IFNA(IF(((INDEX(RulebookFields!I2:I1898, MATCH(D1620,RulebookFields!A2:A1898, 0))="")=TRUE),  "",  INDEX(RulebookFields!I2:I1898, MATCH(D1620,RulebookFields!A2:A1898, 0))), "")</f>
        <v>1</v>
      </c>
      <c r="K1620" s="4" t="b">
        <f>AND(((F1620)=TRUE), ((J1620)=TRUE))</f>
        <v>0</v>
      </c>
      <c r="L1620" s="4" t="b">
        <f>AND(((G1620 &lt;&gt; "plain")=TRUE), ((G1620 &lt;&gt; "")=TRUE))</f>
        <v>0</v>
      </c>
      <c r="M1620" s="4" t="str">
        <f>IF(((E1620)=TRUE),  C1620 &amp; "|" &amp; H1620,  "")</f>
        <v>principal-process-steward|SendIntents</v>
      </c>
      <c r="N1620" s="3" t="s">
        <v>10004</v>
      </c>
    </row>
    <row r="1621">
      <c r="A1621" s="3" t="s">
        <v>11623</v>
      </c>
      <c r="B1621" s="4" t="str">
        <f>C1621 &amp; " -&gt; " &amp; D1621</f>
        <v>principal-process-steward -&gt; SendIntents.IsUnrecordedRefusal</v>
      </c>
      <c r="C1621" s="3" t="s">
        <v>9772</v>
      </c>
      <c r="D1621" s="3" t="s">
        <v>4924</v>
      </c>
      <c r="E1621" s="3" t="b">
        <v>1</v>
      </c>
      <c r="F1621" s="3" t="b">
        <v>0</v>
      </c>
      <c r="G1621" s="3" t="s">
        <v>10003</v>
      </c>
      <c r="H1621" s="4" t="str">
        <f>_xlfn.IFNA(IF(((INDEX(RulebookFields!C2:C1898, MATCH(D1621,RulebookFields!A2:A1898, 0))="")=TRUE),  "",  INDEX(RulebookFields!C2:C1898, MATCH(D1621,RulebookFields!A2:A1898, 0))), "")</f>
        <v>SendIntents</v>
      </c>
      <c r="I1621" s="4" t="str">
        <f>_xlfn.IFNA(IF(((INDEX(RulebookFields!D2:D1898, MATCH(D1621,RulebookFields!A2:A1898, 0))="")=TRUE),  "",  INDEX(RulebookFields!D2:D1898, MATCH(D1621,RulebookFields!A2:A1898, 0))), "")</f>
        <v>IsUnrecordedRefusal</v>
      </c>
      <c r="J1621" s="4" t="b">
        <f>_xlfn.IFNA(IF(((INDEX(RulebookFields!I2:I1898, MATCH(D1621,RulebookFields!A2:A1898, 0))="")=TRUE),  "",  INDEX(RulebookFields!I2:I1898, MATCH(D1621,RulebookFields!A2:A1898, 0))), "")</f>
        <v>1</v>
      </c>
      <c r="K1621" s="4" t="b">
        <f>AND(((F1621)=TRUE), ((J1621)=TRUE))</f>
        <v>0</v>
      </c>
      <c r="L1621" s="4" t="b">
        <f>AND(((G1621 &lt;&gt; "plain")=TRUE), ((G1621 &lt;&gt; "")=TRUE))</f>
        <v>0</v>
      </c>
      <c r="M1621" s="4" t="str">
        <f>IF(((E1621)=TRUE),  C1621 &amp; "|" &amp; H1621,  "")</f>
        <v>principal-process-steward|SendIntents</v>
      </c>
      <c r="N1621" s="3" t="s">
        <v>10004</v>
      </c>
    </row>
    <row r="1622">
      <c r="A1622" s="3" t="s">
        <v>11624</v>
      </c>
      <c r="B1622" s="4" t="str">
        <f>C1622 &amp; " -&gt; " &amp; D1622</f>
        <v>principal-process-steward -&gt; SendIntents.IsUnescalatedRefusal</v>
      </c>
      <c r="C1622" s="3" t="s">
        <v>9772</v>
      </c>
      <c r="D1622" s="3" t="s">
        <v>4927</v>
      </c>
      <c r="E1622" s="3" t="b">
        <v>1</v>
      </c>
      <c r="F1622" s="3" t="b">
        <v>0</v>
      </c>
      <c r="G1622" s="3" t="s">
        <v>10003</v>
      </c>
      <c r="H1622" s="4" t="str">
        <f>_xlfn.IFNA(IF(((INDEX(RulebookFields!C2:C1898, MATCH(D1622,RulebookFields!A2:A1898, 0))="")=TRUE),  "",  INDEX(RulebookFields!C2:C1898, MATCH(D1622,RulebookFields!A2:A1898, 0))), "")</f>
        <v>SendIntents</v>
      </c>
      <c r="I1622" s="4" t="str">
        <f>_xlfn.IFNA(IF(((INDEX(RulebookFields!D2:D1898, MATCH(D1622,RulebookFields!A2:A1898, 0))="")=TRUE),  "",  INDEX(RulebookFields!D2:D1898, MATCH(D1622,RulebookFields!A2:A1898, 0))), "")</f>
        <v>IsUnescalatedRefusal</v>
      </c>
      <c r="J1622" s="4" t="b">
        <f>_xlfn.IFNA(IF(((INDEX(RulebookFields!I2:I1898, MATCH(D1622,RulebookFields!A2:A1898, 0))="")=TRUE),  "",  INDEX(RulebookFields!I2:I1898, MATCH(D1622,RulebookFields!A2:A1898, 0))), "")</f>
        <v>1</v>
      </c>
      <c r="K1622" s="4" t="b">
        <f>AND(((F1622)=TRUE), ((J1622)=TRUE))</f>
        <v>0</v>
      </c>
      <c r="L1622" s="4" t="b">
        <f>AND(((G1622 &lt;&gt; "plain")=TRUE), ((G1622 &lt;&gt; "")=TRUE))</f>
        <v>0</v>
      </c>
      <c r="M1622" s="4" t="str">
        <f>IF(((E1622)=TRUE),  C1622 &amp; "|" &amp; H1622,  "")</f>
        <v>principal-process-steward|SendIntents</v>
      </c>
      <c r="N1622" s="3" t="s">
        <v>10004</v>
      </c>
    </row>
    <row r="1623">
      <c r="A1623" s="3" t="s">
        <v>11625</v>
      </c>
      <c r="B1623" s="4" t="str">
        <f>C1623 &amp; " -&gt; " &amp; D1623</f>
        <v>principal-process-steward -&gt; SendIntents.UnescalatedRefusalRoleKey</v>
      </c>
      <c r="C1623" s="3" t="s">
        <v>9772</v>
      </c>
      <c r="D1623" s="3" t="s">
        <v>4930</v>
      </c>
      <c r="E1623" s="3" t="b">
        <v>1</v>
      </c>
      <c r="F1623" s="3" t="b">
        <v>0</v>
      </c>
      <c r="G1623" s="3" t="s">
        <v>10003</v>
      </c>
      <c r="H1623" s="4" t="str">
        <f>_xlfn.IFNA(IF(((INDEX(RulebookFields!C2:C1898, MATCH(D1623,RulebookFields!A2:A1898, 0))="")=TRUE),  "",  INDEX(RulebookFields!C2:C1898, MATCH(D1623,RulebookFields!A2:A1898, 0))), "")</f>
        <v>SendIntents</v>
      </c>
      <c r="I1623" s="4" t="str">
        <f>_xlfn.IFNA(IF(((INDEX(RulebookFields!D2:D1898, MATCH(D1623,RulebookFields!A2:A1898, 0))="")=TRUE),  "",  INDEX(RulebookFields!D2:D1898, MATCH(D1623,RulebookFields!A2:A1898, 0))), "")</f>
        <v>UnescalatedRefusalRoleKey</v>
      </c>
      <c r="J1623" s="4" t="b">
        <f>_xlfn.IFNA(IF(((INDEX(RulebookFields!I2:I1898, MATCH(D1623,RulebookFields!A2:A1898, 0))="")=TRUE),  "",  INDEX(RulebookFields!I2:I1898, MATCH(D1623,RulebookFields!A2:A1898, 0))), "")</f>
        <v>1</v>
      </c>
      <c r="K1623" s="4" t="b">
        <f>AND(((F1623)=TRUE), ((J1623)=TRUE))</f>
        <v>0</v>
      </c>
      <c r="L1623" s="4" t="b">
        <f>AND(((G1623 &lt;&gt; "plain")=TRUE), ((G1623 &lt;&gt; "")=TRUE))</f>
        <v>0</v>
      </c>
      <c r="M1623" s="4" t="str">
        <f>IF(((E1623)=TRUE),  C1623 &amp; "|" &amp; H1623,  "")</f>
        <v>principal-process-steward|SendIntents</v>
      </c>
      <c r="N1623" s="3" t="s">
        <v>10004</v>
      </c>
    </row>
    <row r="1624">
      <c r="A1624" s="3" t="s">
        <v>11626</v>
      </c>
      <c r="B1624" s="4" t="str">
        <f>C1624 &amp; " -&gt; " &amp; D1624</f>
        <v>principal-process-steward -&gt; SendIntents.UnrecordedRefusalExecutionKey</v>
      </c>
      <c r="C1624" s="3" t="s">
        <v>9772</v>
      </c>
      <c r="D1624" s="3" t="s">
        <v>4933</v>
      </c>
      <c r="E1624" s="3" t="b">
        <v>1</v>
      </c>
      <c r="F1624" s="3" t="b">
        <v>0</v>
      </c>
      <c r="G1624" s="3" t="s">
        <v>10003</v>
      </c>
      <c r="H1624" s="4" t="str">
        <f>_xlfn.IFNA(IF(((INDEX(RulebookFields!C2:C1898, MATCH(D1624,RulebookFields!A2:A1898, 0))="")=TRUE),  "",  INDEX(RulebookFields!C2:C1898, MATCH(D1624,RulebookFields!A2:A1898, 0))), "")</f>
        <v>SendIntents</v>
      </c>
      <c r="I1624" s="4" t="str">
        <f>_xlfn.IFNA(IF(((INDEX(RulebookFields!D2:D1898, MATCH(D1624,RulebookFields!A2:A1898, 0))="")=TRUE),  "",  INDEX(RulebookFields!D2:D1898, MATCH(D1624,RulebookFields!A2:A1898, 0))), "")</f>
        <v>UnrecordedRefusalExecutionKey</v>
      </c>
      <c r="J1624" s="4" t="b">
        <f>_xlfn.IFNA(IF(((INDEX(RulebookFields!I2:I1898, MATCH(D1624,RulebookFields!A2:A1898, 0))="")=TRUE),  "",  INDEX(RulebookFields!I2:I1898, MATCH(D1624,RulebookFields!A2:A1898, 0))), "")</f>
        <v>1</v>
      </c>
      <c r="K1624" s="4" t="b">
        <f>AND(((F1624)=TRUE), ((J1624)=TRUE))</f>
        <v>0</v>
      </c>
      <c r="L1624" s="4" t="b">
        <f>AND(((G1624 &lt;&gt; "plain")=TRUE), ((G1624 &lt;&gt; "")=TRUE))</f>
        <v>0</v>
      </c>
      <c r="M1624" s="4" t="str">
        <f>IF(((E1624)=TRUE),  C1624 &amp; "|" &amp; H1624,  "")</f>
        <v>principal-process-steward|SendIntents</v>
      </c>
      <c r="N1624" s="3" t="s">
        <v>10004</v>
      </c>
    </row>
    <row r="1625">
      <c r="A1625" s="3" t="s">
        <v>11627</v>
      </c>
      <c r="B1625" s="4" t="str">
        <f>C1625 &amp; " -&gt; " &amp; D1625</f>
        <v>principal-process-steward -&gt; SendIntents.RetryIntent</v>
      </c>
      <c r="C1625" s="3" t="s">
        <v>9772</v>
      </c>
      <c r="D1625" s="3" t="s">
        <v>4936</v>
      </c>
      <c r="E1625" s="3" t="b">
        <v>1</v>
      </c>
      <c r="F1625" s="3" t="b">
        <v>0</v>
      </c>
      <c r="G1625" s="3" t="s">
        <v>10003</v>
      </c>
      <c r="H1625" s="4" t="str">
        <f>_xlfn.IFNA(IF(((INDEX(RulebookFields!C2:C1898, MATCH(D1625,RulebookFields!A2:A1898, 0))="")=TRUE),  "",  INDEX(RulebookFields!C2:C1898, MATCH(D1625,RulebookFields!A2:A1898, 0))), "")</f>
        <v>SendIntents</v>
      </c>
      <c r="I1625" s="4" t="str">
        <f>_xlfn.IFNA(IF(((INDEX(RulebookFields!D2:D1898, MATCH(D1625,RulebookFields!A2:A1898, 0))="")=TRUE),  "",  INDEX(RulebookFields!D2:D1898, MATCH(D1625,RulebookFields!A2:A1898, 0))), "")</f>
        <v>RetryIntent</v>
      </c>
      <c r="J1625" s="4" t="b">
        <f>_xlfn.IFNA(IF(((INDEX(RulebookFields!I2:I1898, MATCH(D1625,RulebookFields!A2:A1898, 0))="")=TRUE),  "",  INDEX(RulebookFields!I2:I1898, MATCH(D1625,RulebookFields!A2:A1898, 0))), "")</f>
        <v>0</v>
      </c>
      <c r="K1625" s="4" t="b">
        <f>AND(((F1625)=TRUE), ((J1625)=TRUE))</f>
        <v>0</v>
      </c>
      <c r="L1625" s="4" t="b">
        <f>AND(((G1625 &lt;&gt; "plain")=TRUE), ((G1625 &lt;&gt; "")=TRUE))</f>
        <v>0</v>
      </c>
      <c r="M1625" s="4" t="str">
        <f>IF(((E1625)=TRUE),  C1625 &amp; "|" &amp; H1625,  "")</f>
        <v>principal-process-steward|SendIntents</v>
      </c>
      <c r="N1625" s="3" t="s">
        <v>10004</v>
      </c>
    </row>
    <row r="1626">
      <c r="A1626" s="3" t="s">
        <v>11628</v>
      </c>
      <c r="B1626" s="4" t="str">
        <f>C1626 &amp; " -&gt; " &amp; D1626</f>
        <v>principal-process-steward -&gt; SendIntents.WasDeferredOnTiming</v>
      </c>
      <c r="C1626" s="3" t="s">
        <v>9772</v>
      </c>
      <c r="D1626" s="3" t="s">
        <v>4938</v>
      </c>
      <c r="E1626" s="3" t="b">
        <v>1</v>
      </c>
      <c r="F1626" s="3" t="b">
        <v>0</v>
      </c>
      <c r="G1626" s="3" t="s">
        <v>10003</v>
      </c>
      <c r="H1626" s="4" t="str">
        <f>_xlfn.IFNA(IF(((INDEX(RulebookFields!C2:C1898, MATCH(D1626,RulebookFields!A2:A1898, 0))="")=TRUE),  "",  INDEX(RulebookFields!C2:C1898, MATCH(D1626,RulebookFields!A2:A1898, 0))), "")</f>
        <v>SendIntents</v>
      </c>
      <c r="I1626" s="4" t="str">
        <f>_xlfn.IFNA(IF(((INDEX(RulebookFields!D2:D1898, MATCH(D1626,RulebookFields!A2:A1898, 0))="")=TRUE),  "",  INDEX(RulebookFields!D2:D1898, MATCH(D1626,RulebookFields!A2:A1898, 0))), "")</f>
        <v>WasDeferredOnTiming</v>
      </c>
      <c r="J1626" s="4" t="b">
        <f>_xlfn.IFNA(IF(((INDEX(RulebookFields!I2:I1898, MATCH(D1626,RulebookFields!A2:A1898, 0))="")=TRUE),  "",  INDEX(RulebookFields!I2:I1898, MATCH(D1626,RulebookFields!A2:A1898, 0))), "")</f>
        <v>1</v>
      </c>
      <c r="K1626" s="4" t="b">
        <f>AND(((F1626)=TRUE), ((J1626)=TRUE))</f>
        <v>0</v>
      </c>
      <c r="L1626" s="4" t="b">
        <f>AND(((G1626 &lt;&gt; "plain")=TRUE), ((G1626 &lt;&gt; "")=TRUE))</f>
        <v>0</v>
      </c>
      <c r="M1626" s="4" t="str">
        <f>IF(((E1626)=TRUE),  C1626 &amp; "|" &amp; H1626,  "")</f>
        <v>principal-process-steward|SendIntents</v>
      </c>
      <c r="N1626" s="3" t="s">
        <v>10004</v>
      </c>
    </row>
    <row r="1627">
      <c r="A1627" s="3" t="s">
        <v>11629</v>
      </c>
      <c r="B1627" s="4" t="str">
        <f>C1627 &amp; " -&gt; " &amp; D1627</f>
        <v>principal-process-steward -&gt; SendIntents.EvaluationContext</v>
      </c>
      <c r="C1627" s="3" t="s">
        <v>9772</v>
      </c>
      <c r="D1627" s="3" t="s">
        <v>4941</v>
      </c>
      <c r="E1627" s="3" t="b">
        <v>1</v>
      </c>
      <c r="F1627" s="3" t="b">
        <v>0</v>
      </c>
      <c r="G1627" s="3" t="s">
        <v>10003</v>
      </c>
      <c r="H1627" s="4" t="str">
        <f>_xlfn.IFNA(IF(((INDEX(RulebookFields!C2:C1898, MATCH(D1627,RulebookFields!A2:A1898, 0))="")=TRUE),  "",  INDEX(RulebookFields!C2:C1898, MATCH(D1627,RulebookFields!A2:A1898, 0))), "")</f>
        <v>SendIntents</v>
      </c>
      <c r="I1627" s="4" t="str">
        <f>_xlfn.IFNA(IF(((INDEX(RulebookFields!D2:D1898, MATCH(D1627,RulebookFields!A2:A1898, 0))="")=TRUE),  "",  INDEX(RulebookFields!D2:D1898, MATCH(D1627,RulebookFields!A2:A1898, 0))), "")</f>
        <v>EvaluationContext</v>
      </c>
      <c r="J1627" s="4" t="b">
        <f>_xlfn.IFNA(IF(((INDEX(RulebookFields!I2:I1898, MATCH(D1627,RulebookFields!A2:A1898, 0))="")=TRUE),  "",  INDEX(RulebookFields!I2:I1898, MATCH(D1627,RulebookFields!A2:A1898, 0))), "")</f>
        <v>0</v>
      </c>
      <c r="K1627" s="4" t="b">
        <f>AND(((F1627)=TRUE), ((J1627)=TRUE))</f>
        <v>0</v>
      </c>
      <c r="L1627" s="4" t="b">
        <f>AND(((G1627 &lt;&gt; "plain")=TRUE), ((G1627 &lt;&gt; "")=TRUE))</f>
        <v>0</v>
      </c>
      <c r="M1627" s="4" t="str">
        <f>IF(((E1627)=TRUE),  C1627 &amp; "|" &amp; H1627,  "")</f>
        <v>principal-process-steward|SendIntents</v>
      </c>
      <c r="N1627" s="3" t="s">
        <v>10004</v>
      </c>
    </row>
    <row r="1628">
      <c r="A1628" s="3" t="s">
        <v>11630</v>
      </c>
      <c r="B1628" s="4" t="str">
        <f>C1628 &amp; " -&gt; " &amp; D1628</f>
        <v>principal-process-steward -&gt; SendIntents.AsOfInstant</v>
      </c>
      <c r="C1628" s="3" t="s">
        <v>9772</v>
      </c>
      <c r="D1628" s="3" t="s">
        <v>4942</v>
      </c>
      <c r="E1628" s="3" t="b">
        <v>1</v>
      </c>
      <c r="F1628" s="3" t="b">
        <v>0</v>
      </c>
      <c r="G1628" s="3" t="s">
        <v>10003</v>
      </c>
      <c r="H1628" s="4" t="str">
        <f>_xlfn.IFNA(IF(((INDEX(RulebookFields!C2:C1898, MATCH(D1628,RulebookFields!A2:A1898, 0))="")=TRUE),  "",  INDEX(RulebookFields!C2:C1898, MATCH(D1628,RulebookFields!A2:A1898, 0))), "")</f>
        <v>SendIntents</v>
      </c>
      <c r="I1628" s="4" t="str">
        <f>_xlfn.IFNA(IF(((INDEX(RulebookFields!D2:D1898, MATCH(D1628,RulebookFields!A2:A1898, 0))="")=TRUE),  "",  INDEX(RulebookFields!D2:D1898, MATCH(D1628,RulebookFields!A2:A1898, 0))), "")</f>
        <v>AsOfInstant</v>
      </c>
      <c r="J1628" s="4" t="b">
        <f>_xlfn.IFNA(IF(((INDEX(RulebookFields!I2:I1898, MATCH(D1628,RulebookFields!A2:A1898, 0))="")=TRUE),  "",  INDEX(RulebookFields!I2:I1898, MATCH(D1628,RulebookFields!A2:A1898, 0))), "")</f>
        <v>1</v>
      </c>
      <c r="K1628" s="4" t="b">
        <f>AND(((F1628)=TRUE), ((J1628)=TRUE))</f>
        <v>0</v>
      </c>
      <c r="L1628" s="4" t="b">
        <f>AND(((G1628 &lt;&gt; "plain")=TRUE), ((G1628 &lt;&gt; "")=TRUE))</f>
        <v>0</v>
      </c>
      <c r="M1628" s="4" t="str">
        <f>IF(((E1628)=TRUE),  C1628 &amp; "|" &amp; H1628,  "")</f>
        <v>principal-process-steward|SendIntents</v>
      </c>
      <c r="N1628" s="3" t="s">
        <v>10004</v>
      </c>
    </row>
    <row r="1629">
      <c r="A1629" s="3" t="s">
        <v>11631</v>
      </c>
      <c r="B1629" s="4" t="str">
        <f>C1629 &amp; " -&gt; " &amp; D1629</f>
        <v>principal-process-steward -&gt; SendIntents.WindowHasSinceReopened</v>
      </c>
      <c r="C1629" s="3" t="s">
        <v>9772</v>
      </c>
      <c r="D1629" s="3" t="s">
        <v>4943</v>
      </c>
      <c r="E1629" s="3" t="b">
        <v>1</v>
      </c>
      <c r="F1629" s="3" t="b">
        <v>0</v>
      </c>
      <c r="G1629" s="3" t="s">
        <v>10003</v>
      </c>
      <c r="H1629" s="4" t="str">
        <f>_xlfn.IFNA(IF(((INDEX(RulebookFields!C2:C1898, MATCH(D1629,RulebookFields!A2:A1898, 0))="")=TRUE),  "",  INDEX(RulebookFields!C2:C1898, MATCH(D1629,RulebookFields!A2:A1898, 0))), "")</f>
        <v>SendIntents</v>
      </c>
      <c r="I1629" s="4" t="str">
        <f>_xlfn.IFNA(IF(((INDEX(RulebookFields!D2:D1898, MATCH(D1629,RulebookFields!A2:A1898, 0))="")=TRUE),  "",  INDEX(RulebookFields!D2:D1898, MATCH(D1629,RulebookFields!A2:A1898, 0))), "")</f>
        <v>WindowHasSinceReopened</v>
      </c>
      <c r="J1629" s="4" t="b">
        <f>_xlfn.IFNA(IF(((INDEX(RulebookFields!I2:I1898, MATCH(D1629,RulebookFields!A2:A1898, 0))="")=TRUE),  "",  INDEX(RulebookFields!I2:I1898, MATCH(D1629,RulebookFields!A2:A1898, 0))), "")</f>
        <v>1</v>
      </c>
      <c r="K1629" s="4" t="b">
        <f>AND(((F1629)=TRUE), ((J1629)=TRUE))</f>
        <v>0</v>
      </c>
      <c r="L1629" s="4" t="b">
        <f>AND(((G1629 &lt;&gt; "plain")=TRUE), ((G1629 &lt;&gt; "")=TRUE))</f>
        <v>0</v>
      </c>
      <c r="M1629" s="4" t="str">
        <f>IF(((E1629)=TRUE),  C1629 &amp; "|" &amp; H1629,  "")</f>
        <v>principal-process-steward|SendIntents</v>
      </c>
      <c r="N1629" s="3" t="s">
        <v>10004</v>
      </c>
    </row>
    <row r="1630">
      <c r="A1630" s="3" t="s">
        <v>11632</v>
      </c>
      <c r="B1630" s="4" t="str">
        <f>C1630 &amp; " -&gt; " &amp; D1630</f>
        <v>principal-process-steward -&gt; SendIntents.HasRetryAttempt</v>
      </c>
      <c r="C1630" s="3" t="s">
        <v>9772</v>
      </c>
      <c r="D1630" s="3" t="s">
        <v>4946</v>
      </c>
      <c r="E1630" s="3" t="b">
        <v>1</v>
      </c>
      <c r="F1630" s="3" t="b">
        <v>0</v>
      </c>
      <c r="G1630" s="3" t="s">
        <v>10003</v>
      </c>
      <c r="H1630" s="4" t="str">
        <f>_xlfn.IFNA(IF(((INDEX(RulebookFields!C2:C1898, MATCH(D1630,RulebookFields!A2:A1898, 0))="")=TRUE),  "",  INDEX(RulebookFields!C2:C1898, MATCH(D1630,RulebookFields!A2:A1898, 0))), "")</f>
        <v>SendIntents</v>
      </c>
      <c r="I1630" s="4" t="str">
        <f>_xlfn.IFNA(IF(((INDEX(RulebookFields!D2:D1898, MATCH(D1630,RulebookFields!A2:A1898, 0))="")=TRUE),  "",  INDEX(RulebookFields!D2:D1898, MATCH(D1630,RulebookFields!A2:A1898, 0))), "")</f>
        <v>HasRetryAttempt</v>
      </c>
      <c r="J1630" s="4" t="b">
        <f>_xlfn.IFNA(IF(((INDEX(RulebookFields!I2:I1898, MATCH(D1630,RulebookFields!A2:A1898, 0))="")=TRUE),  "",  INDEX(RulebookFields!I2:I1898, MATCH(D1630,RulebookFields!A2:A1898, 0))), "")</f>
        <v>1</v>
      </c>
      <c r="K1630" s="4" t="b">
        <f>AND(((F1630)=TRUE), ((J1630)=TRUE))</f>
        <v>0</v>
      </c>
      <c r="L1630" s="4" t="b">
        <f>AND(((G1630 &lt;&gt; "plain")=TRUE), ((G1630 &lt;&gt; "")=TRUE))</f>
        <v>0</v>
      </c>
      <c r="M1630" s="4" t="str">
        <f>IF(((E1630)=TRUE),  C1630 &amp; "|" &amp; H1630,  "")</f>
        <v>principal-process-steward|SendIntents</v>
      </c>
      <c r="N1630" s="3" t="s">
        <v>10004</v>
      </c>
    </row>
    <row r="1631">
      <c r="A1631" s="3" t="s">
        <v>11633</v>
      </c>
      <c r="B1631" s="4" t="str">
        <f>C1631 &amp; " -&gt; " &amp; D1631</f>
        <v>principal-process-steward -&gt; SendIntents.RetryWasCleared</v>
      </c>
      <c r="C1631" s="3" t="s">
        <v>9772</v>
      </c>
      <c r="D1631" s="3" t="s">
        <v>4949</v>
      </c>
      <c r="E1631" s="3" t="b">
        <v>1</v>
      </c>
      <c r="F1631" s="3" t="b">
        <v>0</v>
      </c>
      <c r="G1631" s="3" t="s">
        <v>10003</v>
      </c>
      <c r="H1631" s="4" t="str">
        <f>_xlfn.IFNA(IF(((INDEX(RulebookFields!C2:C1898, MATCH(D1631,RulebookFields!A2:A1898, 0))="")=TRUE),  "",  INDEX(RulebookFields!C2:C1898, MATCH(D1631,RulebookFields!A2:A1898, 0))), "")</f>
        <v>SendIntents</v>
      </c>
      <c r="I1631" s="4" t="str">
        <f>_xlfn.IFNA(IF(((INDEX(RulebookFields!D2:D1898, MATCH(D1631,RulebookFields!A2:A1898, 0))="")=TRUE),  "",  INDEX(RulebookFields!D2:D1898, MATCH(D1631,RulebookFields!A2:A1898, 0))), "")</f>
        <v>RetryWasCleared</v>
      </c>
      <c r="J1631" s="4" t="b">
        <f>_xlfn.IFNA(IF(((INDEX(RulebookFields!I2:I1898, MATCH(D1631,RulebookFields!A2:A1898, 0))="")=TRUE),  "",  INDEX(RulebookFields!I2:I1898, MATCH(D1631,RulebookFields!A2:A1898, 0))), "")</f>
        <v>1</v>
      </c>
      <c r="K1631" s="4" t="b">
        <f>AND(((F1631)=TRUE), ((J1631)=TRUE))</f>
        <v>0</v>
      </c>
      <c r="L1631" s="4" t="b">
        <f>AND(((G1631 &lt;&gt; "plain")=TRUE), ((G1631 &lt;&gt; "")=TRUE))</f>
        <v>0</v>
      </c>
      <c r="M1631" s="4" t="str">
        <f>IF(((E1631)=TRUE),  C1631 &amp; "|" &amp; H1631,  "")</f>
        <v>principal-process-steward|SendIntents</v>
      </c>
      <c r="N1631" s="3" t="s">
        <v>10004</v>
      </c>
    </row>
    <row r="1632">
      <c r="A1632" s="3" t="s">
        <v>11634</v>
      </c>
      <c r="B1632" s="4" t="str">
        <f>C1632 &amp; " -&gt; " &amp; D1632</f>
        <v>principal-process-steward -&gt; SendIntents.IsAbandonedDeferral</v>
      </c>
      <c r="C1632" s="3" t="s">
        <v>9772</v>
      </c>
      <c r="D1632" s="3" t="s">
        <v>4952</v>
      </c>
      <c r="E1632" s="3" t="b">
        <v>1</v>
      </c>
      <c r="F1632" s="3" t="b">
        <v>0</v>
      </c>
      <c r="G1632" s="3" t="s">
        <v>10003</v>
      </c>
      <c r="H1632" s="4" t="str">
        <f>_xlfn.IFNA(IF(((INDEX(RulebookFields!C2:C1898, MATCH(D1632,RulebookFields!A2:A1898, 0))="")=TRUE),  "",  INDEX(RulebookFields!C2:C1898, MATCH(D1632,RulebookFields!A2:A1898, 0))), "")</f>
        <v>SendIntents</v>
      </c>
      <c r="I1632" s="4" t="str">
        <f>_xlfn.IFNA(IF(((INDEX(RulebookFields!D2:D1898, MATCH(D1632,RulebookFields!A2:A1898, 0))="")=TRUE),  "",  INDEX(RulebookFields!D2:D1898, MATCH(D1632,RulebookFields!A2:A1898, 0))), "")</f>
        <v>IsAbandonedDeferral</v>
      </c>
      <c r="J1632" s="4" t="b">
        <f>_xlfn.IFNA(IF(((INDEX(RulebookFields!I2:I1898, MATCH(D1632,RulebookFields!A2:A1898, 0))="")=TRUE),  "",  INDEX(RulebookFields!I2:I1898, MATCH(D1632,RulebookFields!A2:A1898, 0))), "")</f>
        <v>1</v>
      </c>
      <c r="K1632" s="4" t="b">
        <f>AND(((F1632)=TRUE), ((J1632)=TRUE))</f>
        <v>0</v>
      </c>
      <c r="L1632" s="4" t="b">
        <f>AND(((G1632 &lt;&gt; "plain")=TRUE), ((G1632 &lt;&gt; "")=TRUE))</f>
        <v>0</v>
      </c>
      <c r="M1632" s="4" t="str">
        <f>IF(((E1632)=TRUE),  C1632 &amp; "|" &amp; H1632,  "")</f>
        <v>principal-process-steward|SendIntents</v>
      </c>
      <c r="N1632" s="3" t="s">
        <v>10004</v>
      </c>
    </row>
    <row r="1633">
      <c r="A1633" s="3" t="s">
        <v>11635</v>
      </c>
      <c r="B1633" s="4" t="str">
        <f>C1633 &amp; " -&gt; " &amp; D1633</f>
        <v>principal-process-steward -&gt; SendIntents.DeferralAgeHours</v>
      </c>
      <c r="C1633" s="3" t="s">
        <v>9772</v>
      </c>
      <c r="D1633" s="3" t="s">
        <v>4955</v>
      </c>
      <c r="E1633" s="3" t="b">
        <v>1</v>
      </c>
      <c r="F1633" s="3" t="b">
        <v>0</v>
      </c>
      <c r="G1633" s="3" t="s">
        <v>10003</v>
      </c>
      <c r="H1633" s="4" t="str">
        <f>_xlfn.IFNA(IF(((INDEX(RulebookFields!C2:C1898, MATCH(D1633,RulebookFields!A2:A1898, 0))="")=TRUE),  "",  INDEX(RulebookFields!C2:C1898, MATCH(D1633,RulebookFields!A2:A1898, 0))), "")</f>
        <v>SendIntents</v>
      </c>
      <c r="I1633" s="4" t="str">
        <f>_xlfn.IFNA(IF(((INDEX(RulebookFields!D2:D1898, MATCH(D1633,RulebookFields!A2:A1898, 0))="")=TRUE),  "",  INDEX(RulebookFields!D2:D1898, MATCH(D1633,RulebookFields!A2:A1898, 0))), "")</f>
        <v>DeferralAgeHours</v>
      </c>
      <c r="J1633" s="4" t="b">
        <f>_xlfn.IFNA(IF(((INDEX(RulebookFields!I2:I1898, MATCH(D1633,RulebookFields!A2:A1898, 0))="")=TRUE),  "",  INDEX(RulebookFields!I2:I1898, MATCH(D1633,RulebookFields!A2:A1898, 0))), "")</f>
        <v>1</v>
      </c>
      <c r="K1633" s="4" t="b">
        <f>AND(((F1633)=TRUE), ((J1633)=TRUE))</f>
        <v>0</v>
      </c>
      <c r="L1633" s="4" t="b">
        <f>AND(((G1633 &lt;&gt; "plain")=TRUE), ((G1633 &lt;&gt; "")=TRUE))</f>
        <v>0</v>
      </c>
      <c r="M1633" s="4" t="str">
        <f>IF(((E1633)=TRUE),  C1633 &amp; "|" &amp; H1633,  "")</f>
        <v>principal-process-steward|SendIntents</v>
      </c>
      <c r="N1633" s="3" t="s">
        <v>10004</v>
      </c>
    </row>
    <row r="1634">
      <c r="A1634" s="3" t="s">
        <v>11636</v>
      </c>
      <c r="B1634" s="4" t="str">
        <f>C1634 &amp; " -&gt; " &amp; D1634</f>
        <v>principal-process-steward -&gt; SendIntents.IsStaleDeferral</v>
      </c>
      <c r="C1634" s="3" t="s">
        <v>9772</v>
      </c>
      <c r="D1634" s="3" t="s">
        <v>4958</v>
      </c>
      <c r="E1634" s="3" t="b">
        <v>1</v>
      </c>
      <c r="F1634" s="3" t="b">
        <v>0</v>
      </c>
      <c r="G1634" s="3" t="s">
        <v>10003</v>
      </c>
      <c r="H1634" s="4" t="str">
        <f>_xlfn.IFNA(IF(((INDEX(RulebookFields!C2:C1898, MATCH(D1634,RulebookFields!A2:A1898, 0))="")=TRUE),  "",  INDEX(RulebookFields!C2:C1898, MATCH(D1634,RulebookFields!A2:A1898, 0))), "")</f>
        <v>SendIntents</v>
      </c>
      <c r="I1634" s="4" t="str">
        <f>_xlfn.IFNA(IF(((INDEX(RulebookFields!D2:D1898, MATCH(D1634,RulebookFields!A2:A1898, 0))="")=TRUE),  "",  INDEX(RulebookFields!D2:D1898, MATCH(D1634,RulebookFields!A2:A1898, 0))), "")</f>
        <v>IsStaleDeferral</v>
      </c>
      <c r="J1634" s="4" t="b">
        <f>_xlfn.IFNA(IF(((INDEX(RulebookFields!I2:I1898, MATCH(D1634,RulebookFields!A2:A1898, 0))="")=TRUE),  "",  INDEX(RulebookFields!I2:I1898, MATCH(D1634,RulebookFields!A2:A1898, 0))), "")</f>
        <v>1</v>
      </c>
      <c r="K1634" s="4" t="b">
        <f>AND(((F1634)=TRUE), ((J1634)=TRUE))</f>
        <v>0</v>
      </c>
      <c r="L1634" s="4" t="b">
        <f>AND(((G1634 &lt;&gt; "plain")=TRUE), ((G1634 &lt;&gt; "")=TRUE))</f>
        <v>0</v>
      </c>
      <c r="M1634" s="4" t="str">
        <f>IF(((E1634)=TRUE),  C1634 &amp; "|" &amp; H1634,  "")</f>
        <v>principal-process-steward|SendIntents</v>
      </c>
      <c r="N1634" s="3" t="s">
        <v>10004</v>
      </c>
    </row>
    <row r="1635">
      <c r="A1635" s="3" t="s">
        <v>11637</v>
      </c>
      <c r="B1635" s="4" t="str">
        <f>C1635 &amp; " -&gt; " &amp; D1635</f>
        <v>principal-process-steward -&gt; SendIntents.EvaluatingRoleAssignment</v>
      </c>
      <c r="C1635" s="3" t="s">
        <v>9772</v>
      </c>
      <c r="D1635" s="3" t="s">
        <v>4961</v>
      </c>
      <c r="E1635" s="3" t="b">
        <v>1</v>
      </c>
      <c r="F1635" s="3" t="b">
        <v>0</v>
      </c>
      <c r="G1635" s="3" t="s">
        <v>10003</v>
      </c>
      <c r="H1635" s="4" t="str">
        <f>_xlfn.IFNA(IF(((INDEX(RulebookFields!C2:C1898, MATCH(D1635,RulebookFields!A2:A1898, 0))="")=TRUE),  "",  INDEX(RulebookFields!C2:C1898, MATCH(D1635,RulebookFields!A2:A1898, 0))), "")</f>
        <v>SendIntents</v>
      </c>
      <c r="I1635" s="4" t="str">
        <f>_xlfn.IFNA(IF(((INDEX(RulebookFields!D2:D1898, MATCH(D1635,RulebookFields!A2:A1898, 0))="")=TRUE),  "",  INDEX(RulebookFields!D2:D1898, MATCH(D1635,RulebookFields!A2:A1898, 0))), "")</f>
        <v>EvaluatingRoleAssignment</v>
      </c>
      <c r="J1635" s="4" t="b">
        <f>_xlfn.IFNA(IF(((INDEX(RulebookFields!I2:I1898, MATCH(D1635,RulebookFields!A2:A1898, 0))="")=TRUE),  "",  INDEX(RulebookFields!I2:I1898, MATCH(D1635,RulebookFields!A2:A1898, 0))), "")</f>
        <v>0</v>
      </c>
      <c r="K1635" s="4" t="b">
        <f>AND(((F1635)=TRUE), ((J1635)=TRUE))</f>
        <v>0</v>
      </c>
      <c r="L1635" s="4" t="b">
        <f>AND(((G1635 &lt;&gt; "plain")=TRUE), ((G1635 &lt;&gt; "")=TRUE))</f>
        <v>0</v>
      </c>
      <c r="M1635" s="4" t="str">
        <f>IF(((E1635)=TRUE),  C1635 &amp; "|" &amp; H1635,  "")</f>
        <v>principal-process-steward|SendIntents</v>
      </c>
      <c r="N1635" s="3" t="s">
        <v>10004</v>
      </c>
    </row>
    <row r="1636">
      <c r="A1636" s="3" t="s">
        <v>11638</v>
      </c>
      <c r="B1636" s="4" t="str">
        <f>C1636 &amp; " -&gt; " &amp; D1636</f>
        <v>principal-process-steward -&gt; SendIntents.EnforcedByUnauthorizedAgent</v>
      </c>
      <c r="C1636" s="3" t="s">
        <v>9772</v>
      </c>
      <c r="D1636" s="3" t="s">
        <v>4963</v>
      </c>
      <c r="E1636" s="3" t="b">
        <v>1</v>
      </c>
      <c r="F1636" s="3" t="b">
        <v>0</v>
      </c>
      <c r="G1636" s="3" t="s">
        <v>10003</v>
      </c>
      <c r="H1636" s="4" t="str">
        <f>_xlfn.IFNA(IF(((INDEX(RulebookFields!C2:C1898, MATCH(D1636,RulebookFields!A2:A1898, 0))="")=TRUE),  "",  INDEX(RulebookFields!C2:C1898, MATCH(D1636,RulebookFields!A2:A1898, 0))), "")</f>
        <v>SendIntents</v>
      </c>
      <c r="I1636" s="4" t="str">
        <f>_xlfn.IFNA(IF(((INDEX(RulebookFields!D2:D1898, MATCH(D1636,RulebookFields!A2:A1898, 0))="")=TRUE),  "",  INDEX(RulebookFields!D2:D1898, MATCH(D1636,RulebookFields!A2:A1898, 0))), "")</f>
        <v>EnforcedByUnauthorizedAgent</v>
      </c>
      <c r="J1636" s="4" t="b">
        <f>_xlfn.IFNA(IF(((INDEX(RulebookFields!I2:I1898, MATCH(D1636,RulebookFields!A2:A1898, 0))="")=TRUE),  "",  INDEX(RulebookFields!I2:I1898, MATCH(D1636,RulebookFields!A2:A1898, 0))), "")</f>
        <v>1</v>
      </c>
      <c r="K1636" s="4" t="b">
        <f>AND(((F1636)=TRUE), ((J1636)=TRUE))</f>
        <v>0</v>
      </c>
      <c r="L1636" s="4" t="b">
        <f>AND(((G1636 &lt;&gt; "plain")=TRUE), ((G1636 &lt;&gt; "")=TRUE))</f>
        <v>0</v>
      </c>
      <c r="M1636" s="4" t="str">
        <f>IF(((E1636)=TRUE),  C1636 &amp; "|" &amp; H1636,  "")</f>
        <v>principal-process-steward|SendIntents</v>
      </c>
      <c r="N1636" s="3" t="s">
        <v>10004</v>
      </c>
    </row>
    <row r="1637">
      <c r="A1637" s="3" t="s">
        <v>11639</v>
      </c>
      <c r="B1637" s="4" t="str">
        <f>C1637 &amp; " -&gt; " &amp; D1637</f>
        <v>principal-process-steward -&gt; SendIntents.ConsentInputWasResolvable</v>
      </c>
      <c r="C1637" s="3" t="s">
        <v>9772</v>
      </c>
      <c r="D1637" s="3" t="s">
        <v>4966</v>
      </c>
      <c r="E1637" s="3" t="b">
        <v>1</v>
      </c>
      <c r="F1637" s="3" t="b">
        <v>0</v>
      </c>
      <c r="G1637" s="3" t="s">
        <v>10003</v>
      </c>
      <c r="H1637" s="4" t="str">
        <f>_xlfn.IFNA(IF(((INDEX(RulebookFields!C2:C1898, MATCH(D1637,RulebookFields!A2:A1898, 0))="")=TRUE),  "",  INDEX(RulebookFields!C2:C1898, MATCH(D1637,RulebookFields!A2:A1898, 0))), "")</f>
        <v>SendIntents</v>
      </c>
      <c r="I1637" s="4" t="str">
        <f>_xlfn.IFNA(IF(((INDEX(RulebookFields!D2:D1898, MATCH(D1637,RulebookFields!A2:A1898, 0))="")=TRUE),  "",  INDEX(RulebookFields!D2:D1898, MATCH(D1637,RulebookFields!A2:A1898, 0))), "")</f>
        <v>ConsentInputWasResolvable</v>
      </c>
      <c r="J1637" s="4" t="b">
        <f>_xlfn.IFNA(IF(((INDEX(RulebookFields!I2:I1898, MATCH(D1637,RulebookFields!A2:A1898, 0))="")=TRUE),  "",  INDEX(RulebookFields!I2:I1898, MATCH(D1637,RulebookFields!A2:A1898, 0))), "")</f>
        <v>1</v>
      </c>
      <c r="K1637" s="4" t="b">
        <f>AND(((F1637)=TRUE), ((J1637)=TRUE))</f>
        <v>0</v>
      </c>
      <c r="L1637" s="4" t="b">
        <f>AND(((G1637 &lt;&gt; "plain")=TRUE), ((G1637 &lt;&gt; "")=TRUE))</f>
        <v>0</v>
      </c>
      <c r="M1637" s="4" t="str">
        <f>IF(((E1637)=TRUE),  C1637 &amp; "|" &amp; H1637,  "")</f>
        <v>principal-process-steward|SendIntents</v>
      </c>
      <c r="N1637" s="3" t="s">
        <v>10004</v>
      </c>
    </row>
    <row r="1638">
      <c r="A1638" s="3" t="s">
        <v>11640</v>
      </c>
      <c r="B1638" s="4" t="str">
        <f>C1638 &amp; " -&gt; " &amp; D1638</f>
        <v>principal-process-steward -&gt; SendIntents.RecipientConsentStatusRaw</v>
      </c>
      <c r="C1638" s="3" t="s">
        <v>9772</v>
      </c>
      <c r="D1638" s="3" t="s">
        <v>4969</v>
      </c>
      <c r="E1638" s="3" t="b">
        <v>1</v>
      </c>
      <c r="F1638" s="3" t="b">
        <v>0</v>
      </c>
      <c r="G1638" s="3" t="s">
        <v>10003</v>
      </c>
      <c r="H1638" s="4" t="str">
        <f>_xlfn.IFNA(IF(((INDEX(RulebookFields!C2:C1898, MATCH(D1638,RulebookFields!A2:A1898, 0))="")=TRUE),  "",  INDEX(RulebookFields!C2:C1898, MATCH(D1638,RulebookFields!A2:A1898, 0))), "")</f>
        <v>SendIntents</v>
      </c>
      <c r="I1638" s="4" t="str">
        <f>_xlfn.IFNA(IF(((INDEX(RulebookFields!D2:D1898, MATCH(D1638,RulebookFields!A2:A1898, 0))="")=TRUE),  "",  INDEX(RulebookFields!D2:D1898, MATCH(D1638,RulebookFields!A2:A1898, 0))), "")</f>
        <v>RecipientConsentStatusRaw</v>
      </c>
      <c r="J1638" s="4" t="b">
        <f>_xlfn.IFNA(IF(((INDEX(RulebookFields!I2:I1898, MATCH(D1638,RulebookFields!A2:A1898, 0))="")=TRUE),  "",  INDEX(RulebookFields!I2:I1898, MATCH(D1638,RulebookFields!A2:A1898, 0))), "")</f>
        <v>1</v>
      </c>
      <c r="K1638" s="4" t="b">
        <f>AND(((F1638)=TRUE), ((J1638)=TRUE))</f>
        <v>0</v>
      </c>
      <c r="L1638" s="4" t="b">
        <f>AND(((G1638 &lt;&gt; "plain")=TRUE), ((G1638 &lt;&gt; "")=TRUE))</f>
        <v>0</v>
      </c>
      <c r="M1638" s="4" t="str">
        <f>IF(((E1638)=TRUE),  C1638 &amp; "|" &amp; H1638,  "")</f>
        <v>principal-process-steward|SendIntents</v>
      </c>
      <c r="N1638" s="3" t="s">
        <v>10004</v>
      </c>
    </row>
    <row r="1639">
      <c r="A1639" s="3" t="s">
        <v>11641</v>
      </c>
      <c r="B1639" s="4" t="str">
        <f>C1639 &amp; " -&gt; " &amp; D1639</f>
        <v>principal-process-steward -&gt; SendIntents.PolicyInputWasResolvable</v>
      </c>
      <c r="C1639" s="3" t="s">
        <v>9772</v>
      </c>
      <c r="D1639" s="3" t="s">
        <v>4972</v>
      </c>
      <c r="E1639" s="3" t="b">
        <v>1</v>
      </c>
      <c r="F1639" s="3" t="b">
        <v>0</v>
      </c>
      <c r="G1639" s="3" t="s">
        <v>10003</v>
      </c>
      <c r="H1639" s="4" t="str">
        <f>_xlfn.IFNA(IF(((INDEX(RulebookFields!C2:C1898, MATCH(D1639,RulebookFields!A2:A1898, 0))="")=TRUE),  "",  INDEX(RulebookFields!C2:C1898, MATCH(D1639,RulebookFields!A2:A1898, 0))), "")</f>
        <v>SendIntents</v>
      </c>
      <c r="I1639" s="4" t="str">
        <f>_xlfn.IFNA(IF(((INDEX(RulebookFields!D2:D1898, MATCH(D1639,RulebookFields!A2:A1898, 0))="")=TRUE),  "",  INDEX(RulebookFields!D2:D1898, MATCH(D1639,RulebookFields!A2:A1898, 0))), "")</f>
        <v>PolicyInputWasResolvable</v>
      </c>
      <c r="J1639" s="4" t="b">
        <f>_xlfn.IFNA(IF(((INDEX(RulebookFields!I2:I1898, MATCH(D1639,RulebookFields!A2:A1898, 0))="")=TRUE),  "",  INDEX(RulebookFields!I2:I1898, MATCH(D1639,RulebookFields!A2:A1898, 0))), "")</f>
        <v>1</v>
      </c>
      <c r="K1639" s="4" t="b">
        <f>AND(((F1639)=TRUE), ((J1639)=TRUE))</f>
        <v>0</v>
      </c>
      <c r="L1639" s="4" t="b">
        <f>AND(((G1639 &lt;&gt; "plain")=TRUE), ((G1639 &lt;&gt; "")=TRUE))</f>
        <v>0</v>
      </c>
      <c r="M1639" s="4" t="str">
        <f>IF(((E1639)=TRUE),  C1639 &amp; "|" &amp; H1639,  "")</f>
        <v>principal-process-steward|SendIntents</v>
      </c>
      <c r="N1639" s="3" t="s">
        <v>10004</v>
      </c>
    </row>
    <row r="1640">
      <c r="A1640" s="3" t="s">
        <v>11642</v>
      </c>
      <c r="B1640" s="4" t="str">
        <f>C1640 &amp; " -&gt; " &amp; D1640</f>
        <v>principal-process-steward -&gt; SendIntents.AllGateInputsResolved</v>
      </c>
      <c r="C1640" s="3" t="s">
        <v>9772</v>
      </c>
      <c r="D1640" s="3" t="s">
        <v>4975</v>
      </c>
      <c r="E1640" s="3" t="b">
        <v>1</v>
      </c>
      <c r="F1640" s="3" t="b">
        <v>0</v>
      </c>
      <c r="G1640" s="3" t="s">
        <v>10003</v>
      </c>
      <c r="H1640" s="4" t="str">
        <f>_xlfn.IFNA(IF(((INDEX(RulebookFields!C2:C1898, MATCH(D1640,RulebookFields!A2:A1898, 0))="")=TRUE),  "",  INDEX(RulebookFields!C2:C1898, MATCH(D1640,RulebookFields!A2:A1898, 0))), "")</f>
        <v>SendIntents</v>
      </c>
      <c r="I1640" s="4" t="str">
        <f>_xlfn.IFNA(IF(((INDEX(RulebookFields!D2:D1898, MATCH(D1640,RulebookFields!A2:A1898, 0))="")=TRUE),  "",  INDEX(RulebookFields!D2:D1898, MATCH(D1640,RulebookFields!A2:A1898, 0))), "")</f>
        <v>AllGateInputsResolved</v>
      </c>
      <c r="J1640" s="4" t="b">
        <f>_xlfn.IFNA(IF(((INDEX(RulebookFields!I2:I1898, MATCH(D1640,RulebookFields!A2:A1898, 0))="")=TRUE),  "",  INDEX(RulebookFields!I2:I1898, MATCH(D1640,RulebookFields!A2:A1898, 0))), "")</f>
        <v>1</v>
      </c>
      <c r="K1640" s="4" t="b">
        <f>AND(((F1640)=TRUE), ((J1640)=TRUE))</f>
        <v>0</v>
      </c>
      <c r="L1640" s="4" t="b">
        <f>AND(((G1640 &lt;&gt; "plain")=TRUE), ((G1640 &lt;&gt; "")=TRUE))</f>
        <v>0</v>
      </c>
      <c r="M1640" s="4" t="str">
        <f>IF(((E1640)=TRUE),  C1640 &amp; "|" &amp; H1640,  "")</f>
        <v>principal-process-steward|SendIntents</v>
      </c>
      <c r="N1640" s="3" t="s">
        <v>10004</v>
      </c>
    </row>
    <row r="1641">
      <c r="A1641" s="3" t="s">
        <v>11643</v>
      </c>
      <c r="B1641" s="4" t="str">
        <f>C1641 &amp; " -&gt; " &amp; D1641</f>
        <v>principal-process-steward -&gt; SendIntents.IsUnevaluableRefusal</v>
      </c>
      <c r="C1641" s="3" t="s">
        <v>9772</v>
      </c>
      <c r="D1641" s="3" t="s">
        <v>4978</v>
      </c>
      <c r="E1641" s="3" t="b">
        <v>1</v>
      </c>
      <c r="F1641" s="3" t="b">
        <v>0</v>
      </c>
      <c r="G1641" s="3" t="s">
        <v>10003</v>
      </c>
      <c r="H1641" s="4" t="str">
        <f>_xlfn.IFNA(IF(((INDEX(RulebookFields!C2:C1898, MATCH(D1641,RulebookFields!A2:A1898, 0))="")=TRUE),  "",  INDEX(RulebookFields!C2:C1898, MATCH(D1641,RulebookFields!A2:A1898, 0))), "")</f>
        <v>SendIntents</v>
      </c>
      <c r="I1641" s="4" t="str">
        <f>_xlfn.IFNA(IF(((INDEX(RulebookFields!D2:D1898, MATCH(D1641,RulebookFields!A2:A1898, 0))="")=TRUE),  "",  INDEX(RulebookFields!D2:D1898, MATCH(D1641,RulebookFields!A2:A1898, 0))), "")</f>
        <v>IsUnevaluableRefusal</v>
      </c>
      <c r="J1641" s="4" t="b">
        <f>_xlfn.IFNA(IF(((INDEX(RulebookFields!I2:I1898, MATCH(D1641,RulebookFields!A2:A1898, 0))="")=TRUE),  "",  INDEX(RulebookFields!I2:I1898, MATCH(D1641,RulebookFields!A2:A1898, 0))), "")</f>
        <v>1</v>
      </c>
      <c r="K1641" s="4" t="b">
        <f>AND(((F1641)=TRUE), ((J1641)=TRUE))</f>
        <v>0</v>
      </c>
      <c r="L1641" s="4" t="b">
        <f>AND(((G1641 &lt;&gt; "plain")=TRUE), ((G1641 &lt;&gt; "")=TRUE))</f>
        <v>0</v>
      </c>
      <c r="M1641" s="4" t="str">
        <f>IF(((E1641)=TRUE),  C1641 &amp; "|" &amp; H1641,  "")</f>
        <v>principal-process-steward|SendIntents</v>
      </c>
      <c r="N1641" s="3" t="s">
        <v>10004</v>
      </c>
    </row>
    <row r="1642">
      <c r="A1642" s="3" t="s">
        <v>11644</v>
      </c>
      <c r="B1642" s="4" t="str">
        <f>C1642 &amp; " -&gt; " &amp; D1642</f>
        <v>principal-process-steward -&gt; SendIntents.GateResultWasIndependentlyConfirmed</v>
      </c>
      <c r="C1642" s="3" t="s">
        <v>9772</v>
      </c>
      <c r="D1642" s="3" t="s">
        <v>4981</v>
      </c>
      <c r="E1642" s="3" t="b">
        <v>1</v>
      </c>
      <c r="F1642" s="3" t="b">
        <v>0</v>
      </c>
      <c r="G1642" s="3" t="s">
        <v>10003</v>
      </c>
      <c r="H1642" s="4" t="str">
        <f>_xlfn.IFNA(IF(((INDEX(RulebookFields!C2:C1898, MATCH(D1642,RulebookFields!A2:A1898, 0))="")=TRUE),  "",  INDEX(RulebookFields!C2:C1898, MATCH(D1642,RulebookFields!A2:A1898, 0))), "")</f>
        <v>SendIntents</v>
      </c>
      <c r="I1642" s="4" t="str">
        <f>_xlfn.IFNA(IF(((INDEX(RulebookFields!D2:D1898, MATCH(D1642,RulebookFields!A2:A1898, 0))="")=TRUE),  "",  INDEX(RulebookFields!D2:D1898, MATCH(D1642,RulebookFields!A2:A1898, 0))), "")</f>
        <v>GateResultWasIndependentlyConfirmed</v>
      </c>
      <c r="J1642" s="4" t="b">
        <f>_xlfn.IFNA(IF(((INDEX(RulebookFields!I2:I1898, MATCH(D1642,RulebookFields!A2:A1898, 0))="")=TRUE),  "",  INDEX(RulebookFields!I2:I1898, MATCH(D1642,RulebookFields!A2:A1898, 0))), "")</f>
        <v>0</v>
      </c>
      <c r="K1642" s="4" t="b">
        <f>AND(((F1642)=TRUE), ((J1642)=TRUE))</f>
        <v>0</v>
      </c>
      <c r="L1642" s="4" t="b">
        <f>AND(((G1642 &lt;&gt; "plain")=TRUE), ((G1642 &lt;&gt; "")=TRUE))</f>
        <v>0</v>
      </c>
      <c r="M1642" s="4" t="str">
        <f>IF(((E1642)=TRUE),  C1642 &amp; "|" &amp; H1642,  "")</f>
        <v>principal-process-steward|SendIntents</v>
      </c>
      <c r="N1642" s="3" t="s">
        <v>10004</v>
      </c>
    </row>
    <row r="1643">
      <c r="A1643" s="3" t="s">
        <v>11645</v>
      </c>
      <c r="B1643" s="4" t="str">
        <f>C1643 &amp; " -&gt; " &amp; D1643</f>
        <v>principal-process-steward -&gt; SendIntents.IsSelfWitnessedDecision</v>
      </c>
      <c r="C1643" s="3" t="s">
        <v>9772</v>
      </c>
      <c r="D1643" s="3" t="s">
        <v>4983</v>
      </c>
      <c r="E1643" s="3" t="b">
        <v>1</v>
      </c>
      <c r="F1643" s="3" t="b">
        <v>0</v>
      </c>
      <c r="G1643" s="3" t="s">
        <v>10003</v>
      </c>
      <c r="H1643" s="4" t="str">
        <f>_xlfn.IFNA(IF(((INDEX(RulebookFields!C2:C1898, MATCH(D1643,RulebookFields!A2:A1898, 0))="")=TRUE),  "",  INDEX(RulebookFields!C2:C1898, MATCH(D1643,RulebookFields!A2:A1898, 0))), "")</f>
        <v>SendIntents</v>
      </c>
      <c r="I1643" s="4" t="str">
        <f>_xlfn.IFNA(IF(((INDEX(RulebookFields!D2:D1898, MATCH(D1643,RulebookFields!A2:A1898, 0))="")=TRUE),  "",  INDEX(RulebookFields!D2:D1898, MATCH(D1643,RulebookFields!A2:A1898, 0))), "")</f>
        <v>IsSelfWitnessedDecision</v>
      </c>
      <c r="J1643" s="4" t="b">
        <f>_xlfn.IFNA(IF(((INDEX(RulebookFields!I2:I1898, MATCH(D1643,RulebookFields!A2:A1898, 0))="")=TRUE),  "",  INDEX(RulebookFields!I2:I1898, MATCH(D1643,RulebookFields!A2:A1898, 0))), "")</f>
        <v>1</v>
      </c>
      <c r="K1643" s="4" t="b">
        <f>AND(((F1643)=TRUE), ((J1643)=TRUE))</f>
        <v>0</v>
      </c>
      <c r="L1643" s="4" t="b">
        <f>AND(((G1643 &lt;&gt; "plain")=TRUE), ((G1643 &lt;&gt; "")=TRUE))</f>
        <v>0</v>
      </c>
      <c r="M1643" s="4" t="str">
        <f>IF(((E1643)=TRUE),  C1643 &amp; "|" &amp; H1643,  "")</f>
        <v>principal-process-steward|SendIntents</v>
      </c>
      <c r="N1643" s="3" t="s">
        <v>10004</v>
      </c>
    </row>
    <row r="1644">
      <c r="A1644" s="3" t="s">
        <v>11646</v>
      </c>
      <c r="B1644" s="4" t="str">
        <f>C1644 &amp; " -&gt; " &amp; D1644</f>
        <v>principal-process-steward -&gt; SendIntents.IsIndependentlyConfirmed</v>
      </c>
      <c r="C1644" s="3" t="s">
        <v>9772</v>
      </c>
      <c r="D1644" s="3" t="s">
        <v>4986</v>
      </c>
      <c r="E1644" s="3" t="b">
        <v>1</v>
      </c>
      <c r="F1644" s="3" t="b">
        <v>0</v>
      </c>
      <c r="G1644" s="3" t="s">
        <v>10003</v>
      </c>
      <c r="H1644" s="4" t="str">
        <f>_xlfn.IFNA(IF(((INDEX(RulebookFields!C2:C1898, MATCH(D1644,RulebookFields!A2:A1898, 0))="")=TRUE),  "",  INDEX(RulebookFields!C2:C1898, MATCH(D1644,RulebookFields!A2:A1898, 0))), "")</f>
        <v>SendIntents</v>
      </c>
      <c r="I1644" s="4" t="str">
        <f>_xlfn.IFNA(IF(((INDEX(RulebookFields!D2:D1898, MATCH(D1644,RulebookFields!A2:A1898, 0))="")=TRUE),  "",  INDEX(RulebookFields!D2:D1898, MATCH(D1644,RulebookFields!A2:A1898, 0))), "")</f>
        <v>IsIndependentlyConfirmed</v>
      </c>
      <c r="J1644" s="4" t="b">
        <f>_xlfn.IFNA(IF(((INDEX(RulebookFields!I2:I1898, MATCH(D1644,RulebookFields!A2:A1898, 0))="")=TRUE),  "",  INDEX(RulebookFields!I2:I1898, MATCH(D1644,RulebookFields!A2:A1898, 0))), "")</f>
        <v>1</v>
      </c>
      <c r="K1644" s="4" t="b">
        <f>AND(((F1644)=TRUE), ((J1644)=TRUE))</f>
        <v>0</v>
      </c>
      <c r="L1644" s="4" t="b">
        <f>AND(((G1644 &lt;&gt; "plain")=TRUE), ((G1644 &lt;&gt; "")=TRUE))</f>
        <v>0</v>
      </c>
      <c r="M1644" s="4" t="str">
        <f>IF(((E1644)=TRUE),  C1644 &amp; "|" &amp; H1644,  "")</f>
        <v>principal-process-steward|SendIntents</v>
      </c>
      <c r="N1644" s="3" t="s">
        <v>10004</v>
      </c>
    </row>
    <row r="1645">
      <c r="A1645" s="3" t="s">
        <v>11647</v>
      </c>
      <c r="B1645" s="4" t="str">
        <f>C1645 &amp; " -&gt; " &amp; D1645</f>
        <v>principal-process-steward -&gt; SendIntents.IndependentlyConfirmedExecutionKey</v>
      </c>
      <c r="C1645" s="3" t="s">
        <v>9772</v>
      </c>
      <c r="D1645" s="3" t="s">
        <v>4989</v>
      </c>
      <c r="E1645" s="3" t="b">
        <v>1</v>
      </c>
      <c r="F1645" s="3" t="b">
        <v>0</v>
      </c>
      <c r="G1645" s="3" t="s">
        <v>10003</v>
      </c>
      <c r="H1645" s="4" t="str">
        <f>_xlfn.IFNA(IF(((INDEX(RulebookFields!C2:C1898, MATCH(D1645,RulebookFields!A2:A1898, 0))="")=TRUE),  "",  INDEX(RulebookFields!C2:C1898, MATCH(D1645,RulebookFields!A2:A1898, 0))), "")</f>
        <v>SendIntents</v>
      </c>
      <c r="I1645" s="4" t="str">
        <f>_xlfn.IFNA(IF(((INDEX(RulebookFields!D2:D1898, MATCH(D1645,RulebookFields!A2:A1898, 0))="")=TRUE),  "",  INDEX(RulebookFields!D2:D1898, MATCH(D1645,RulebookFields!A2:A1898, 0))), "")</f>
        <v>IndependentlyConfirmedExecutionKey</v>
      </c>
      <c r="J1645" s="4" t="b">
        <f>_xlfn.IFNA(IF(((INDEX(RulebookFields!I2:I1898, MATCH(D1645,RulebookFields!A2:A1898, 0))="")=TRUE),  "",  INDEX(RulebookFields!I2:I1898, MATCH(D1645,RulebookFields!A2:A1898, 0))), "")</f>
        <v>1</v>
      </c>
      <c r="K1645" s="4" t="b">
        <f>AND(((F1645)=TRUE), ((J1645)=TRUE))</f>
        <v>0</v>
      </c>
      <c r="L1645" s="4" t="b">
        <f>AND(((G1645 &lt;&gt; "plain")=TRUE), ((G1645 &lt;&gt; "")=TRUE))</f>
        <v>0</v>
      </c>
      <c r="M1645" s="4" t="str">
        <f>IF(((E1645)=TRUE),  C1645 &amp; "|" &amp; H1645,  "")</f>
        <v>principal-process-steward|SendIntents</v>
      </c>
      <c r="N1645" s="3" t="s">
        <v>10004</v>
      </c>
    </row>
    <row r="1646">
      <c r="A1646" s="3" t="s">
        <v>11648</v>
      </c>
      <c r="B1646" s="4" t="str">
        <f>C1646 &amp; " -&gt; " &amp; D1646</f>
        <v>principal-process-steward -&gt; SendIntents.SemanticTypeIri</v>
      </c>
      <c r="C1646" s="3" t="s">
        <v>9772</v>
      </c>
      <c r="D1646" s="3" t="s">
        <v>4992</v>
      </c>
      <c r="E1646" s="3" t="b">
        <v>1</v>
      </c>
      <c r="F1646" s="3" t="b">
        <v>0</v>
      </c>
      <c r="G1646" s="3" t="s">
        <v>10003</v>
      </c>
      <c r="H1646" s="4" t="str">
        <f>_xlfn.IFNA(IF(((INDEX(RulebookFields!C2:C1898, MATCH(D1646,RulebookFields!A2:A1898, 0))="")=TRUE),  "",  INDEX(RulebookFields!C2:C1898, MATCH(D1646,RulebookFields!A2:A1898, 0))), "")</f>
        <v>SendIntents</v>
      </c>
      <c r="I1646" s="4" t="str">
        <f>_xlfn.IFNA(IF(((INDEX(RulebookFields!D2:D1898, MATCH(D1646,RulebookFields!A2:A1898, 0))="")=TRUE),  "",  INDEX(RulebookFields!D2:D1898, MATCH(D1646,RulebookFields!A2:A1898, 0))), "")</f>
        <v>SemanticTypeIri</v>
      </c>
      <c r="J1646" s="4" t="b">
        <f>_xlfn.IFNA(IF(((INDEX(RulebookFields!I2:I1898, MATCH(D1646,RulebookFields!A2:A1898, 0))="")=TRUE),  "",  INDEX(RulebookFields!I2:I1898, MATCH(D1646,RulebookFields!A2:A1898, 0))), "")</f>
        <v>0</v>
      </c>
      <c r="K1646" s="4" t="b">
        <f>AND(((F1646)=TRUE), ((J1646)=TRUE))</f>
        <v>0</v>
      </c>
      <c r="L1646" s="4" t="b">
        <f>AND(((G1646 &lt;&gt; "plain")=TRUE), ((G1646 &lt;&gt; "")=TRUE))</f>
        <v>0</v>
      </c>
      <c r="M1646" s="4" t="str">
        <f>IF(((E1646)=TRUE),  C1646 &amp; "|" &amp; H1646,  "")</f>
        <v>principal-process-steward|SendIntents</v>
      </c>
      <c r="N1646" s="3" t="s">
        <v>10004</v>
      </c>
    </row>
    <row r="1647">
      <c r="A1647" s="3" t="s">
        <v>11649</v>
      </c>
      <c r="B1647" s="4" t="str">
        <f>C1647 &amp; " -&gt; " &amp; D1647</f>
        <v>principal-process-steward -&gt; StepActions.StepActionId</v>
      </c>
      <c r="C1647" s="3" t="s">
        <v>9772</v>
      </c>
      <c r="D1647" s="3" t="s">
        <v>3027</v>
      </c>
      <c r="E1647" s="3" t="b">
        <v>1</v>
      </c>
      <c r="F1647" s="3" t="b">
        <v>0</v>
      </c>
      <c r="G1647" s="3" t="s">
        <v>10003</v>
      </c>
      <c r="H1647" s="4" t="str">
        <f>_xlfn.IFNA(IF(((INDEX(RulebookFields!C2:C1898, MATCH(D1647,RulebookFields!A2:A1898, 0))="")=TRUE),  "",  INDEX(RulebookFields!C2:C1898, MATCH(D1647,RulebookFields!A2:A1898, 0))), "")</f>
        <v>StepActions</v>
      </c>
      <c r="I1647" s="4" t="str">
        <f>_xlfn.IFNA(IF(((INDEX(RulebookFields!D2:D1898, MATCH(D1647,RulebookFields!A2:A1898, 0))="")=TRUE),  "",  INDEX(RulebookFields!D2:D1898, MATCH(D1647,RulebookFields!A2:A1898, 0))), "")</f>
        <v>StepActionId</v>
      </c>
      <c r="J1647" s="4" t="b">
        <f>_xlfn.IFNA(IF(((INDEX(RulebookFields!I2:I1898, MATCH(D1647,RulebookFields!A2:A1898, 0))="")=TRUE),  "",  INDEX(RulebookFields!I2:I1898, MATCH(D1647,RulebookFields!A2:A1898, 0))), "")</f>
        <v>0</v>
      </c>
      <c r="K1647" s="4" t="b">
        <f>AND(((F1647)=TRUE), ((J1647)=TRUE))</f>
        <v>0</v>
      </c>
      <c r="L1647" s="4" t="b">
        <f>AND(((G1647 &lt;&gt; "plain")=TRUE), ((G1647 &lt;&gt; "")=TRUE))</f>
        <v>0</v>
      </c>
      <c r="M1647" s="4" t="str">
        <f>IF(((E1647)=TRUE),  C1647 &amp; "|" &amp; H1647,  "")</f>
        <v>principal-process-steward|StepActions</v>
      </c>
      <c r="N1647" s="3" t="s">
        <v>10004</v>
      </c>
    </row>
    <row r="1648">
      <c r="A1648" s="3" t="s">
        <v>11650</v>
      </c>
      <c r="B1648" s="4" t="str">
        <f>C1648 &amp; " -&gt; " &amp; D1648</f>
        <v>principal-process-steward -&gt; StepActions.Name</v>
      </c>
      <c r="C1648" s="3" t="s">
        <v>9772</v>
      </c>
      <c r="D1648" s="3" t="s">
        <v>3029</v>
      </c>
      <c r="E1648" s="3" t="b">
        <v>1</v>
      </c>
      <c r="F1648" s="3" t="b">
        <v>0</v>
      </c>
      <c r="G1648" s="3" t="s">
        <v>10003</v>
      </c>
      <c r="H1648" s="4" t="str">
        <f>_xlfn.IFNA(IF(((INDEX(RulebookFields!C2:C1898, MATCH(D1648,RulebookFields!A2:A1898, 0))="")=TRUE),  "",  INDEX(RulebookFields!C2:C1898, MATCH(D1648,RulebookFields!A2:A1898, 0))), "")</f>
        <v>StepActions</v>
      </c>
      <c r="I1648" s="4" t="str">
        <f>_xlfn.IFNA(IF(((INDEX(RulebookFields!D2:D1898, MATCH(D1648,RulebookFields!A2:A1898, 0))="")=TRUE),  "",  INDEX(RulebookFields!D2:D1898, MATCH(D1648,RulebookFields!A2:A1898, 0))), "")</f>
        <v>Name</v>
      </c>
      <c r="J1648" s="4" t="b">
        <f>_xlfn.IFNA(IF(((INDEX(RulebookFields!I2:I1898, MATCH(D1648,RulebookFields!A2:A1898, 0))="")=TRUE),  "",  INDEX(RulebookFields!I2:I1898, MATCH(D1648,RulebookFields!A2:A1898, 0))), "")</f>
        <v>1</v>
      </c>
      <c r="K1648" s="4" t="b">
        <f>AND(((F1648)=TRUE), ((J1648)=TRUE))</f>
        <v>0</v>
      </c>
      <c r="L1648" s="4" t="b">
        <f>AND(((G1648 &lt;&gt; "plain")=TRUE), ((G1648 &lt;&gt; "")=TRUE))</f>
        <v>0</v>
      </c>
      <c r="M1648" s="4" t="str">
        <f>IF(((E1648)=TRUE),  C1648 &amp; "|" &amp; H1648,  "")</f>
        <v>principal-process-steward|StepActions</v>
      </c>
      <c r="N1648" s="3" t="s">
        <v>10004</v>
      </c>
    </row>
    <row r="1649">
      <c r="A1649" s="3" t="s">
        <v>11651</v>
      </c>
      <c r="B1649" s="4" t="str">
        <f>C1649 &amp; " -&gt; " &amp; D1649</f>
        <v>principal-process-steward -&gt; StepActions.Step</v>
      </c>
      <c r="C1649" s="3" t="s">
        <v>9772</v>
      </c>
      <c r="D1649" s="3" t="s">
        <v>3031</v>
      </c>
      <c r="E1649" s="3" t="b">
        <v>1</v>
      </c>
      <c r="F1649" s="3" t="b">
        <v>0</v>
      </c>
      <c r="G1649" s="3" t="s">
        <v>10003</v>
      </c>
      <c r="H1649" s="4" t="str">
        <f>_xlfn.IFNA(IF(((INDEX(RulebookFields!C2:C1898, MATCH(D1649,RulebookFields!A2:A1898, 0))="")=TRUE),  "",  INDEX(RulebookFields!C2:C1898, MATCH(D1649,RulebookFields!A2:A1898, 0))), "")</f>
        <v>StepActions</v>
      </c>
      <c r="I1649" s="4" t="str">
        <f>_xlfn.IFNA(IF(((INDEX(RulebookFields!D2:D1898, MATCH(D1649,RulebookFields!A2:A1898, 0))="")=TRUE),  "",  INDEX(RulebookFields!D2:D1898, MATCH(D1649,RulebookFields!A2:A1898, 0))), "")</f>
        <v>Step</v>
      </c>
      <c r="J1649" s="4" t="b">
        <f>_xlfn.IFNA(IF(((INDEX(RulebookFields!I2:I1898, MATCH(D1649,RulebookFields!A2:A1898, 0))="")=TRUE),  "",  INDEX(RulebookFields!I2:I1898, MATCH(D1649,RulebookFields!A2:A1898, 0))), "")</f>
        <v>0</v>
      </c>
      <c r="K1649" s="4" t="b">
        <f>AND(((F1649)=TRUE), ((J1649)=TRUE))</f>
        <v>0</v>
      </c>
      <c r="L1649" s="4" t="b">
        <f>AND(((G1649 &lt;&gt; "plain")=TRUE), ((G1649 &lt;&gt; "")=TRUE))</f>
        <v>0</v>
      </c>
      <c r="M1649" s="4" t="str">
        <f>IF(((E1649)=TRUE),  C1649 &amp; "|" &amp; H1649,  "")</f>
        <v>principal-process-steward|StepActions</v>
      </c>
      <c r="N1649" s="3" t="s">
        <v>10004</v>
      </c>
    </row>
    <row r="1650">
      <c r="A1650" s="3" t="s">
        <v>11652</v>
      </c>
      <c r="B1650" s="4" t="str">
        <f>C1650 &amp; " -&gt; " &amp; D1650</f>
        <v>principal-process-steward -&gt; StepActions.Action</v>
      </c>
      <c r="C1650" s="3" t="s">
        <v>9772</v>
      </c>
      <c r="D1650" s="3" t="s">
        <v>3032</v>
      </c>
      <c r="E1650" s="3" t="b">
        <v>1</v>
      </c>
      <c r="F1650" s="3" t="b">
        <v>0</v>
      </c>
      <c r="G1650" s="3" t="s">
        <v>10003</v>
      </c>
      <c r="H1650" s="4" t="str">
        <f>_xlfn.IFNA(IF(((INDEX(RulebookFields!C2:C1898, MATCH(D1650,RulebookFields!A2:A1898, 0))="")=TRUE),  "",  INDEX(RulebookFields!C2:C1898, MATCH(D1650,RulebookFields!A2:A1898, 0))), "")</f>
        <v>StepActions</v>
      </c>
      <c r="I1650" s="4" t="str">
        <f>_xlfn.IFNA(IF(((INDEX(RulebookFields!D2:D1898, MATCH(D1650,RulebookFields!A2:A1898, 0))="")=TRUE),  "",  INDEX(RulebookFields!D2:D1898, MATCH(D1650,RulebookFields!A2:A1898, 0))), "")</f>
        <v>Action</v>
      </c>
      <c r="J1650" s="4" t="b">
        <f>_xlfn.IFNA(IF(((INDEX(RulebookFields!I2:I1898, MATCH(D1650,RulebookFields!A2:A1898, 0))="")=TRUE),  "",  INDEX(RulebookFields!I2:I1898, MATCH(D1650,RulebookFields!A2:A1898, 0))), "")</f>
        <v>0</v>
      </c>
      <c r="K1650" s="4" t="b">
        <f>AND(((F1650)=TRUE), ((J1650)=TRUE))</f>
        <v>0</v>
      </c>
      <c r="L1650" s="4" t="b">
        <f>AND(((G1650 &lt;&gt; "plain")=TRUE), ((G1650 &lt;&gt; "")=TRUE))</f>
        <v>0</v>
      </c>
      <c r="M1650" s="4" t="str">
        <f>IF(((E1650)=TRUE),  C1650 &amp; "|" &amp; H1650,  "")</f>
        <v>principal-process-steward|StepActions</v>
      </c>
      <c r="N1650" s="3" t="s">
        <v>10004</v>
      </c>
    </row>
    <row r="1651">
      <c r="A1651" s="3" t="s">
        <v>11653</v>
      </c>
      <c r="B1651" s="4" t="str">
        <f>C1651 &amp; " -&gt; " &amp; D1651</f>
        <v>principal-process-steward -&gt; StepExecutions.StepExecutionId</v>
      </c>
      <c r="C1651" s="3" t="s">
        <v>9772</v>
      </c>
      <c r="D1651" s="3" t="s">
        <v>3573</v>
      </c>
      <c r="E1651" s="3" t="b">
        <v>1</v>
      </c>
      <c r="F1651" s="3" t="b">
        <v>0</v>
      </c>
      <c r="G1651" s="3" t="s">
        <v>10003</v>
      </c>
      <c r="H1651" s="4" t="str">
        <f>_xlfn.IFNA(IF(((INDEX(RulebookFields!C2:C1898, MATCH(D1651,RulebookFields!A2:A1898, 0))="")=TRUE),  "",  INDEX(RulebookFields!C2:C1898, MATCH(D1651,RulebookFields!A2:A1898, 0))), "")</f>
        <v>StepExecutions</v>
      </c>
      <c r="I1651" s="4" t="str">
        <f>_xlfn.IFNA(IF(((INDEX(RulebookFields!D2:D1898, MATCH(D1651,RulebookFields!A2:A1898, 0))="")=TRUE),  "",  INDEX(RulebookFields!D2:D1898, MATCH(D1651,RulebookFields!A2:A1898, 0))), "")</f>
        <v>StepExecutionId</v>
      </c>
      <c r="J1651" s="4" t="b">
        <f>_xlfn.IFNA(IF(((INDEX(RulebookFields!I2:I1898, MATCH(D1651,RulebookFields!A2:A1898, 0))="")=TRUE),  "",  INDEX(RulebookFields!I2:I1898, MATCH(D1651,RulebookFields!A2:A1898, 0))), "")</f>
        <v>0</v>
      </c>
      <c r="K1651" s="4" t="b">
        <f>AND(((F1651)=TRUE), ((J1651)=TRUE))</f>
        <v>0</v>
      </c>
      <c r="L1651" s="4" t="b">
        <f>AND(((G1651 &lt;&gt; "plain")=TRUE), ((G1651 &lt;&gt; "")=TRUE))</f>
        <v>0</v>
      </c>
      <c r="M1651" s="4" t="str">
        <f>IF(((E1651)=TRUE),  C1651 &amp; "|" &amp; H1651,  "")</f>
        <v>principal-process-steward|StepExecutions</v>
      </c>
      <c r="N1651" s="3" t="s">
        <v>10004</v>
      </c>
    </row>
    <row r="1652">
      <c r="A1652" s="3" t="s">
        <v>11654</v>
      </c>
      <c r="B1652" s="4" t="str">
        <f>C1652 &amp; " -&gt; " &amp; D1652</f>
        <v>principal-process-steward -&gt; StepExecutions.Name</v>
      </c>
      <c r="C1652" s="3" t="s">
        <v>9772</v>
      </c>
      <c r="D1652" s="3" t="s">
        <v>3574</v>
      </c>
      <c r="E1652" s="3" t="b">
        <v>1</v>
      </c>
      <c r="F1652" s="3" t="b">
        <v>0</v>
      </c>
      <c r="G1652" s="3" t="s">
        <v>10003</v>
      </c>
      <c r="H1652" s="4" t="str">
        <f>_xlfn.IFNA(IF(((INDEX(RulebookFields!C2:C1898, MATCH(D1652,RulebookFields!A2:A1898, 0))="")=TRUE),  "",  INDEX(RulebookFields!C2:C1898, MATCH(D1652,RulebookFields!A2:A1898, 0))), "")</f>
        <v>StepExecutions</v>
      </c>
      <c r="I1652" s="4" t="str">
        <f>_xlfn.IFNA(IF(((INDEX(RulebookFields!D2:D1898, MATCH(D1652,RulebookFields!A2:A1898, 0))="")=TRUE),  "",  INDEX(RulebookFields!D2:D1898, MATCH(D1652,RulebookFields!A2:A1898, 0))), "")</f>
        <v>Name</v>
      </c>
      <c r="J1652" s="4" t="b">
        <f>_xlfn.IFNA(IF(((INDEX(RulebookFields!I2:I1898, MATCH(D1652,RulebookFields!A2:A1898, 0))="")=TRUE),  "",  INDEX(RulebookFields!I2:I1898, MATCH(D1652,RulebookFields!A2:A1898, 0))), "")</f>
        <v>1</v>
      </c>
      <c r="K1652" s="4" t="b">
        <f>AND(((F1652)=TRUE), ((J1652)=TRUE))</f>
        <v>0</v>
      </c>
      <c r="L1652" s="4" t="b">
        <f>AND(((G1652 &lt;&gt; "plain")=TRUE), ((G1652 &lt;&gt; "")=TRUE))</f>
        <v>0</v>
      </c>
      <c r="M1652" s="4" t="str">
        <f>IF(((E1652)=TRUE),  C1652 &amp; "|" &amp; H1652,  "")</f>
        <v>principal-process-steward|StepExecutions</v>
      </c>
      <c r="N1652" s="3" t="s">
        <v>10004</v>
      </c>
    </row>
    <row r="1653">
      <c r="A1653" s="3" t="s">
        <v>11655</v>
      </c>
      <c r="B1653" s="4" t="str">
        <f>C1653 &amp; " -&gt; " &amp; D1653</f>
        <v>principal-process-steward -&gt; StepExecutions.ProcedureExecution</v>
      </c>
      <c r="C1653" s="3" t="s">
        <v>9772</v>
      </c>
      <c r="D1653" s="3" t="s">
        <v>3576</v>
      </c>
      <c r="E1653" s="3" t="b">
        <v>1</v>
      </c>
      <c r="F1653" s="3" t="b">
        <v>0</v>
      </c>
      <c r="G1653" s="3" t="s">
        <v>10003</v>
      </c>
      <c r="H1653" s="4" t="str">
        <f>_xlfn.IFNA(IF(((INDEX(RulebookFields!C2:C1898, MATCH(D1653,RulebookFields!A2:A1898, 0))="")=TRUE),  "",  INDEX(RulebookFields!C2:C1898, MATCH(D1653,RulebookFields!A2:A1898, 0))), "")</f>
        <v>StepExecutions</v>
      </c>
      <c r="I1653" s="4" t="str">
        <f>_xlfn.IFNA(IF(((INDEX(RulebookFields!D2:D1898, MATCH(D1653,RulebookFields!A2:A1898, 0))="")=TRUE),  "",  INDEX(RulebookFields!D2:D1898, MATCH(D1653,RulebookFields!A2:A1898, 0))), "")</f>
        <v>ProcedureExecution</v>
      </c>
      <c r="J1653" s="4" t="b">
        <f>_xlfn.IFNA(IF(((INDEX(RulebookFields!I2:I1898, MATCH(D1653,RulebookFields!A2:A1898, 0))="")=TRUE),  "",  INDEX(RulebookFields!I2:I1898, MATCH(D1653,RulebookFields!A2:A1898, 0))), "")</f>
        <v>0</v>
      </c>
      <c r="K1653" s="4" t="b">
        <f>AND(((F1653)=TRUE), ((J1653)=TRUE))</f>
        <v>0</v>
      </c>
      <c r="L1653" s="4" t="b">
        <f>AND(((G1653 &lt;&gt; "plain")=TRUE), ((G1653 &lt;&gt; "")=TRUE))</f>
        <v>0</v>
      </c>
      <c r="M1653" s="4" t="str">
        <f>IF(((E1653)=TRUE),  C1653 &amp; "|" &amp; H1653,  "")</f>
        <v>principal-process-steward|StepExecutions</v>
      </c>
      <c r="N1653" s="3" t="s">
        <v>10004</v>
      </c>
    </row>
    <row r="1654">
      <c r="A1654" s="3" t="s">
        <v>11656</v>
      </c>
      <c r="B1654" s="4" t="str">
        <f>C1654 &amp; " -&gt; " &amp; D1654</f>
        <v>principal-process-steward -&gt; StepExecutions.Step</v>
      </c>
      <c r="C1654" s="3" t="s">
        <v>9772</v>
      </c>
      <c r="D1654" s="3" t="s">
        <v>3577</v>
      </c>
      <c r="E1654" s="3" t="b">
        <v>1</v>
      </c>
      <c r="F1654" s="3" t="b">
        <v>0</v>
      </c>
      <c r="G1654" s="3" t="s">
        <v>10003</v>
      </c>
      <c r="H1654" s="4" t="str">
        <f>_xlfn.IFNA(IF(((INDEX(RulebookFields!C2:C1898, MATCH(D1654,RulebookFields!A2:A1898, 0))="")=TRUE),  "",  INDEX(RulebookFields!C2:C1898, MATCH(D1654,RulebookFields!A2:A1898, 0))), "")</f>
        <v>StepExecutions</v>
      </c>
      <c r="I1654" s="4" t="str">
        <f>_xlfn.IFNA(IF(((INDEX(RulebookFields!D2:D1898, MATCH(D1654,RulebookFields!A2:A1898, 0))="")=TRUE),  "",  INDEX(RulebookFields!D2:D1898, MATCH(D1654,RulebookFields!A2:A1898, 0))), "")</f>
        <v>Step</v>
      </c>
      <c r="J1654" s="4" t="b">
        <f>_xlfn.IFNA(IF(((INDEX(RulebookFields!I2:I1898, MATCH(D1654,RulebookFields!A2:A1898, 0))="")=TRUE),  "",  INDEX(RulebookFields!I2:I1898, MATCH(D1654,RulebookFields!A2:A1898, 0))), "")</f>
        <v>0</v>
      </c>
      <c r="K1654" s="4" t="b">
        <f>AND(((F1654)=TRUE), ((J1654)=TRUE))</f>
        <v>0</v>
      </c>
      <c r="L1654" s="4" t="b">
        <f>AND(((G1654 &lt;&gt; "plain")=TRUE), ((G1654 &lt;&gt; "")=TRUE))</f>
        <v>0</v>
      </c>
      <c r="M1654" s="4" t="str">
        <f>IF(((E1654)=TRUE),  C1654 &amp; "|" &amp; H1654,  "")</f>
        <v>principal-process-steward|StepExecutions</v>
      </c>
      <c r="N1654" s="3" t="s">
        <v>10004</v>
      </c>
    </row>
    <row r="1655">
      <c r="A1655" s="3" t="s">
        <v>11657</v>
      </c>
      <c r="B1655" s="4" t="str">
        <f>C1655 &amp; " -&gt; " &amp; D1655</f>
        <v>principal-process-steward -&gt; StepExecutions.ExecutedByAgent</v>
      </c>
      <c r="C1655" s="3" t="s">
        <v>9772</v>
      </c>
      <c r="D1655" s="3" t="s">
        <v>3578</v>
      </c>
      <c r="E1655" s="3" t="b">
        <v>1</v>
      </c>
      <c r="F1655" s="3" t="b">
        <v>0</v>
      </c>
      <c r="G1655" s="3" t="s">
        <v>10003</v>
      </c>
      <c r="H1655" s="4" t="str">
        <f>_xlfn.IFNA(IF(((INDEX(RulebookFields!C2:C1898, MATCH(D1655,RulebookFields!A2:A1898, 0))="")=TRUE),  "",  INDEX(RulebookFields!C2:C1898, MATCH(D1655,RulebookFields!A2:A1898, 0))), "")</f>
        <v>StepExecutions</v>
      </c>
      <c r="I1655" s="4" t="str">
        <f>_xlfn.IFNA(IF(((INDEX(RulebookFields!D2:D1898, MATCH(D1655,RulebookFields!A2:A1898, 0))="")=TRUE),  "",  INDEX(RulebookFields!D2:D1898, MATCH(D1655,RulebookFields!A2:A1898, 0))), "")</f>
        <v>ExecutedByAgent</v>
      </c>
      <c r="J1655" s="4" t="b">
        <f>_xlfn.IFNA(IF(((INDEX(RulebookFields!I2:I1898, MATCH(D1655,RulebookFields!A2:A1898, 0))="")=TRUE),  "",  INDEX(RulebookFields!I2:I1898, MATCH(D1655,RulebookFields!A2:A1898, 0))), "")</f>
        <v>0</v>
      </c>
      <c r="K1655" s="4" t="b">
        <f>AND(((F1655)=TRUE), ((J1655)=TRUE))</f>
        <v>0</v>
      </c>
      <c r="L1655" s="4" t="b">
        <f>AND(((G1655 &lt;&gt; "plain")=TRUE), ((G1655 &lt;&gt; "")=TRUE))</f>
        <v>0</v>
      </c>
      <c r="M1655" s="4" t="str">
        <f>IF(((E1655)=TRUE),  C1655 &amp; "|" &amp; H1655,  "")</f>
        <v>principal-process-steward|StepExecutions</v>
      </c>
      <c r="N1655" s="3" t="s">
        <v>10004</v>
      </c>
    </row>
    <row r="1656">
      <c r="A1656" s="3" t="s">
        <v>11658</v>
      </c>
      <c r="B1656" s="4" t="str">
        <f>C1656 &amp; " -&gt; " &amp; D1656</f>
        <v>principal-process-steward -&gt; StepExecutions.ExecutionStatus</v>
      </c>
      <c r="C1656" s="3" t="s">
        <v>9772</v>
      </c>
      <c r="D1656" s="3" t="s">
        <v>3579</v>
      </c>
      <c r="E1656" s="3" t="b">
        <v>1</v>
      </c>
      <c r="F1656" s="3" t="b">
        <v>0</v>
      </c>
      <c r="G1656" s="3" t="s">
        <v>10003</v>
      </c>
      <c r="H1656" s="4" t="str">
        <f>_xlfn.IFNA(IF(((INDEX(RulebookFields!C2:C1898, MATCH(D1656,RulebookFields!A2:A1898, 0))="")=TRUE),  "",  INDEX(RulebookFields!C2:C1898, MATCH(D1656,RulebookFields!A2:A1898, 0))), "")</f>
        <v>StepExecutions</v>
      </c>
      <c r="I1656" s="4" t="str">
        <f>_xlfn.IFNA(IF(((INDEX(RulebookFields!D2:D1898, MATCH(D1656,RulebookFields!A2:A1898, 0))="")=TRUE),  "",  INDEX(RulebookFields!D2:D1898, MATCH(D1656,RulebookFields!A2:A1898, 0))), "")</f>
        <v>ExecutionStatus</v>
      </c>
      <c r="J1656" s="4" t="b">
        <f>_xlfn.IFNA(IF(((INDEX(RulebookFields!I2:I1898, MATCH(D1656,RulebookFields!A2:A1898, 0))="")=TRUE),  "",  INDEX(RulebookFields!I2:I1898, MATCH(D1656,RulebookFields!A2:A1898, 0))), "")</f>
        <v>0</v>
      </c>
      <c r="K1656" s="4" t="b">
        <f>AND(((F1656)=TRUE), ((J1656)=TRUE))</f>
        <v>0</v>
      </c>
      <c r="L1656" s="4" t="b">
        <f>AND(((G1656 &lt;&gt; "plain")=TRUE), ((G1656 &lt;&gt; "")=TRUE))</f>
        <v>0</v>
      </c>
      <c r="M1656" s="4" t="str">
        <f>IF(((E1656)=TRUE),  C1656 &amp; "|" &amp; H1656,  "")</f>
        <v>principal-process-steward|StepExecutions</v>
      </c>
      <c r="N1656" s="3" t="s">
        <v>10004</v>
      </c>
    </row>
    <row r="1657">
      <c r="A1657" s="3" t="s">
        <v>11659</v>
      </c>
      <c r="B1657" s="4" t="str">
        <f>C1657 &amp; " -&gt; " &amp; D1657</f>
        <v>principal-process-steward -&gt; StepExecutions.StartedAt</v>
      </c>
      <c r="C1657" s="3" t="s">
        <v>9772</v>
      </c>
      <c r="D1657" s="3" t="s">
        <v>3580</v>
      </c>
      <c r="E1657" s="3" t="b">
        <v>1</v>
      </c>
      <c r="F1657" s="3" t="b">
        <v>0</v>
      </c>
      <c r="G1657" s="3" t="s">
        <v>10003</v>
      </c>
      <c r="H1657" s="4" t="str">
        <f>_xlfn.IFNA(IF(((INDEX(RulebookFields!C2:C1898, MATCH(D1657,RulebookFields!A2:A1898, 0))="")=TRUE),  "",  INDEX(RulebookFields!C2:C1898, MATCH(D1657,RulebookFields!A2:A1898, 0))), "")</f>
        <v>StepExecutions</v>
      </c>
      <c r="I1657" s="4" t="str">
        <f>_xlfn.IFNA(IF(((INDEX(RulebookFields!D2:D1898, MATCH(D1657,RulebookFields!A2:A1898, 0))="")=TRUE),  "",  INDEX(RulebookFields!D2:D1898, MATCH(D1657,RulebookFields!A2:A1898, 0))), "")</f>
        <v>StartedAt</v>
      </c>
      <c r="J1657" s="4" t="b">
        <f>_xlfn.IFNA(IF(((INDEX(RulebookFields!I2:I1898, MATCH(D1657,RulebookFields!A2:A1898, 0))="")=TRUE),  "",  INDEX(RulebookFields!I2:I1898, MATCH(D1657,RulebookFields!A2:A1898, 0))), "")</f>
        <v>0</v>
      </c>
      <c r="K1657" s="4" t="b">
        <f>AND(((F1657)=TRUE), ((J1657)=TRUE))</f>
        <v>0</v>
      </c>
      <c r="L1657" s="4" t="b">
        <f>AND(((G1657 &lt;&gt; "plain")=TRUE), ((G1657 &lt;&gt; "")=TRUE))</f>
        <v>0</v>
      </c>
      <c r="M1657" s="4" t="str">
        <f>IF(((E1657)=TRUE),  C1657 &amp; "|" &amp; H1657,  "")</f>
        <v>principal-process-steward|StepExecutions</v>
      </c>
      <c r="N1657" s="3" t="s">
        <v>10004</v>
      </c>
    </row>
    <row r="1658">
      <c r="A1658" s="3" t="s">
        <v>11660</v>
      </c>
      <c r="B1658" s="4" t="str">
        <f>C1658 &amp; " -&gt; " &amp; D1658</f>
        <v>principal-process-steward -&gt; StepExecutions.EndedAt</v>
      </c>
      <c r="C1658" s="3" t="s">
        <v>9772</v>
      </c>
      <c r="D1658" s="3" t="s">
        <v>3581</v>
      </c>
      <c r="E1658" s="3" t="b">
        <v>1</v>
      </c>
      <c r="F1658" s="3" t="b">
        <v>0</v>
      </c>
      <c r="G1658" s="3" t="s">
        <v>10003</v>
      </c>
      <c r="H1658" s="4" t="str">
        <f>_xlfn.IFNA(IF(((INDEX(RulebookFields!C2:C1898, MATCH(D1658,RulebookFields!A2:A1898, 0))="")=TRUE),  "",  INDEX(RulebookFields!C2:C1898, MATCH(D1658,RulebookFields!A2:A1898, 0))), "")</f>
        <v>StepExecutions</v>
      </c>
      <c r="I1658" s="4" t="str">
        <f>_xlfn.IFNA(IF(((INDEX(RulebookFields!D2:D1898, MATCH(D1658,RulebookFields!A2:A1898, 0))="")=TRUE),  "",  INDEX(RulebookFields!D2:D1898, MATCH(D1658,RulebookFields!A2:A1898, 0))), "")</f>
        <v>EndedAt</v>
      </c>
      <c r="J1658" s="4" t="b">
        <f>_xlfn.IFNA(IF(((INDEX(RulebookFields!I2:I1898, MATCH(D1658,RulebookFields!A2:A1898, 0))="")=TRUE),  "",  INDEX(RulebookFields!I2:I1898, MATCH(D1658,RulebookFields!A2:A1898, 0))), "")</f>
        <v>0</v>
      </c>
      <c r="K1658" s="4" t="b">
        <f>AND(((F1658)=TRUE), ((J1658)=TRUE))</f>
        <v>0</v>
      </c>
      <c r="L1658" s="4" t="b">
        <f>AND(((G1658 &lt;&gt; "plain")=TRUE), ((G1658 &lt;&gt; "")=TRUE))</f>
        <v>0</v>
      </c>
      <c r="M1658" s="4" t="str">
        <f>IF(((E1658)=TRUE),  C1658 &amp; "|" &amp; H1658,  "")</f>
        <v>principal-process-steward|StepExecutions</v>
      </c>
      <c r="N1658" s="3" t="s">
        <v>10004</v>
      </c>
    </row>
    <row r="1659">
      <c r="A1659" s="3" t="s">
        <v>11661</v>
      </c>
      <c r="B1659" s="4" t="str">
        <f>C1659 &amp; " -&gt; " &amp; D1659</f>
        <v>principal-process-steward -&gt; StepExecutions.VerificationResult</v>
      </c>
      <c r="C1659" s="3" t="s">
        <v>9772</v>
      </c>
      <c r="D1659" s="3" t="s">
        <v>3582</v>
      </c>
      <c r="E1659" s="3" t="b">
        <v>1</v>
      </c>
      <c r="F1659" s="3" t="b">
        <v>0</v>
      </c>
      <c r="G1659" s="3" t="s">
        <v>10003</v>
      </c>
      <c r="H1659" s="4" t="str">
        <f>_xlfn.IFNA(IF(((INDEX(RulebookFields!C2:C1898, MATCH(D1659,RulebookFields!A2:A1898, 0))="")=TRUE),  "",  INDEX(RulebookFields!C2:C1898, MATCH(D1659,RulebookFields!A2:A1898, 0))), "")</f>
        <v>StepExecutions</v>
      </c>
      <c r="I1659" s="4" t="str">
        <f>_xlfn.IFNA(IF(((INDEX(RulebookFields!D2:D1898, MATCH(D1659,RulebookFields!A2:A1898, 0))="")=TRUE),  "",  INDEX(RulebookFields!D2:D1898, MATCH(D1659,RulebookFields!A2:A1898, 0))), "")</f>
        <v>VerificationResult</v>
      </c>
      <c r="J1659" s="4" t="b">
        <f>_xlfn.IFNA(IF(((INDEX(RulebookFields!I2:I1898, MATCH(D1659,RulebookFields!A2:A1898, 0))="")=TRUE),  "",  INDEX(RulebookFields!I2:I1898, MATCH(D1659,RulebookFields!A2:A1898, 0))), "")</f>
        <v>0</v>
      </c>
      <c r="K1659" s="4" t="b">
        <f>AND(((F1659)=TRUE), ((J1659)=TRUE))</f>
        <v>0</v>
      </c>
      <c r="L1659" s="4" t="b">
        <f>AND(((G1659 &lt;&gt; "plain")=TRUE), ((G1659 &lt;&gt; "")=TRUE))</f>
        <v>0</v>
      </c>
      <c r="M1659" s="4" t="str">
        <f>IF(((E1659)=TRUE),  C1659 &amp; "|" &amp; H1659,  "")</f>
        <v>principal-process-steward|StepExecutions</v>
      </c>
      <c r="N1659" s="3" t="s">
        <v>10004</v>
      </c>
    </row>
    <row r="1660">
      <c r="A1660" s="3" t="s">
        <v>11662</v>
      </c>
      <c r="B1660" s="4" t="str">
        <f>C1660 &amp; " -&gt; " &amp; D1660</f>
        <v>principal-process-steward -&gt; StepExecutions.Deviation</v>
      </c>
      <c r="C1660" s="3" t="s">
        <v>9772</v>
      </c>
      <c r="D1660" s="3" t="s">
        <v>3583</v>
      </c>
      <c r="E1660" s="3" t="b">
        <v>1</v>
      </c>
      <c r="F1660" s="3" t="b">
        <v>0</v>
      </c>
      <c r="G1660" s="3" t="s">
        <v>10003</v>
      </c>
      <c r="H1660" s="4" t="str">
        <f>_xlfn.IFNA(IF(((INDEX(RulebookFields!C2:C1898, MATCH(D1660,RulebookFields!A2:A1898, 0))="")=TRUE),  "",  INDEX(RulebookFields!C2:C1898, MATCH(D1660,RulebookFields!A2:A1898, 0))), "")</f>
        <v>StepExecutions</v>
      </c>
      <c r="I1660" s="4" t="str">
        <f>_xlfn.IFNA(IF(((INDEX(RulebookFields!D2:D1898, MATCH(D1660,RulebookFields!A2:A1898, 0))="")=TRUE),  "",  INDEX(RulebookFields!D2:D1898, MATCH(D1660,RulebookFields!A2:A1898, 0))), "")</f>
        <v>Deviation</v>
      </c>
      <c r="J1660" s="4" t="b">
        <f>_xlfn.IFNA(IF(((INDEX(RulebookFields!I2:I1898, MATCH(D1660,RulebookFields!A2:A1898, 0))="")=TRUE),  "",  INDEX(RulebookFields!I2:I1898, MATCH(D1660,RulebookFields!A2:A1898, 0))), "")</f>
        <v>0</v>
      </c>
      <c r="K1660" s="4" t="b">
        <f>AND(((F1660)=TRUE), ((J1660)=TRUE))</f>
        <v>0</v>
      </c>
      <c r="L1660" s="4" t="b">
        <f>AND(((G1660 &lt;&gt; "plain")=TRUE), ((G1660 &lt;&gt; "")=TRUE))</f>
        <v>0</v>
      </c>
      <c r="M1660" s="4" t="str">
        <f>IF(((E1660)=TRUE),  C1660 &amp; "|" &amp; H1660,  "")</f>
        <v>principal-process-steward|StepExecutions</v>
      </c>
      <c r="N1660" s="3" t="s">
        <v>10004</v>
      </c>
    </row>
    <row r="1661">
      <c r="A1661" s="3" t="s">
        <v>11663</v>
      </c>
      <c r="B1661" s="4" t="str">
        <f>C1661 &amp; " -&gt; " &amp; D1661</f>
        <v>principal-process-steward -&gt; StepExecutions.ActualDurationMinutes</v>
      </c>
      <c r="C1661" s="3" t="s">
        <v>9772</v>
      </c>
      <c r="D1661" s="3" t="s">
        <v>3584</v>
      </c>
      <c r="E1661" s="3" t="b">
        <v>1</v>
      </c>
      <c r="F1661" s="3" t="b">
        <v>0</v>
      </c>
      <c r="G1661" s="3" t="s">
        <v>10003</v>
      </c>
      <c r="H1661" s="4" t="str">
        <f>_xlfn.IFNA(IF(((INDEX(RulebookFields!C2:C1898, MATCH(D1661,RulebookFields!A2:A1898, 0))="")=TRUE),  "",  INDEX(RulebookFields!C2:C1898, MATCH(D1661,RulebookFields!A2:A1898, 0))), "")</f>
        <v>StepExecutions</v>
      </c>
      <c r="I1661" s="4" t="str">
        <f>_xlfn.IFNA(IF(((INDEX(RulebookFields!D2:D1898, MATCH(D1661,RulebookFields!A2:A1898, 0))="")=TRUE),  "",  INDEX(RulebookFields!D2:D1898, MATCH(D1661,RulebookFields!A2:A1898, 0))), "")</f>
        <v>ActualDurationMinutes</v>
      </c>
      <c r="J1661" s="4" t="b">
        <f>_xlfn.IFNA(IF(((INDEX(RulebookFields!I2:I1898, MATCH(D1661,RulebookFields!A2:A1898, 0))="")=TRUE),  "",  INDEX(RulebookFields!I2:I1898, MATCH(D1661,RulebookFields!A2:A1898, 0))), "")</f>
        <v>1</v>
      </c>
      <c r="K1661" s="4" t="b">
        <f>AND(((F1661)=TRUE), ((J1661)=TRUE))</f>
        <v>0</v>
      </c>
      <c r="L1661" s="4" t="b">
        <f>AND(((G1661 &lt;&gt; "plain")=TRUE), ((G1661 &lt;&gt; "")=TRUE))</f>
        <v>0</v>
      </c>
      <c r="M1661" s="4" t="str">
        <f>IF(((E1661)=TRUE),  C1661 &amp; "|" &amp; H1661,  "")</f>
        <v>principal-process-steward|StepExecutions</v>
      </c>
      <c r="N1661" s="3" t="s">
        <v>10004</v>
      </c>
    </row>
    <row r="1662">
      <c r="A1662" s="3" t="s">
        <v>11664</v>
      </c>
      <c r="B1662" s="4" t="str">
        <f>C1662 &amp; " -&gt; " &amp; D1662</f>
        <v>principal-process-steward -&gt; StepExecutions.ExpectedDurationMinutes</v>
      </c>
      <c r="C1662" s="3" t="s">
        <v>9772</v>
      </c>
      <c r="D1662" s="3" t="s">
        <v>3586</v>
      </c>
      <c r="E1662" s="3" t="b">
        <v>1</v>
      </c>
      <c r="F1662" s="3" t="b">
        <v>0</v>
      </c>
      <c r="G1662" s="3" t="s">
        <v>10003</v>
      </c>
      <c r="H1662" s="4" t="str">
        <f>_xlfn.IFNA(IF(((INDEX(RulebookFields!C2:C1898, MATCH(D1662,RulebookFields!A2:A1898, 0))="")=TRUE),  "",  INDEX(RulebookFields!C2:C1898, MATCH(D1662,RulebookFields!A2:A1898, 0))), "")</f>
        <v>StepExecutions</v>
      </c>
      <c r="I1662" s="4" t="str">
        <f>_xlfn.IFNA(IF(((INDEX(RulebookFields!D2:D1898, MATCH(D1662,RulebookFields!A2:A1898, 0))="")=TRUE),  "",  INDEX(RulebookFields!D2:D1898, MATCH(D1662,RulebookFields!A2:A1898, 0))), "")</f>
        <v>ExpectedDurationMinutes</v>
      </c>
      <c r="J1662" s="4" t="b">
        <f>_xlfn.IFNA(IF(((INDEX(RulebookFields!I2:I1898, MATCH(D1662,RulebookFields!A2:A1898, 0))="")=TRUE),  "",  INDEX(RulebookFields!I2:I1898, MATCH(D1662,RulebookFields!A2:A1898, 0))), "")</f>
        <v>1</v>
      </c>
      <c r="K1662" s="4" t="b">
        <f>AND(((F1662)=TRUE), ((J1662)=TRUE))</f>
        <v>0</v>
      </c>
      <c r="L1662" s="4" t="b">
        <f>AND(((G1662 &lt;&gt; "plain")=TRUE), ((G1662 &lt;&gt; "")=TRUE))</f>
        <v>0</v>
      </c>
      <c r="M1662" s="4" t="str">
        <f>IF(((E1662)=TRUE),  C1662 &amp; "|" &amp; H1662,  "")</f>
        <v>principal-process-steward|StepExecutions</v>
      </c>
      <c r="N1662" s="3" t="s">
        <v>10004</v>
      </c>
    </row>
    <row r="1663">
      <c r="A1663" s="3" t="s">
        <v>11665</v>
      </c>
      <c r="B1663" s="4" t="str">
        <f>C1663 &amp; " -&gt; " &amp; D1663</f>
        <v>principal-process-steward -&gt; StepExecutions.IsLate</v>
      </c>
      <c r="C1663" s="3" t="s">
        <v>9772</v>
      </c>
      <c r="D1663" s="3" t="s">
        <v>3588</v>
      </c>
      <c r="E1663" s="3" t="b">
        <v>1</v>
      </c>
      <c r="F1663" s="3" t="b">
        <v>0</v>
      </c>
      <c r="G1663" s="3" t="s">
        <v>10003</v>
      </c>
      <c r="H1663" s="4" t="str">
        <f>_xlfn.IFNA(IF(((INDEX(RulebookFields!C2:C1898, MATCH(D1663,RulebookFields!A2:A1898, 0))="")=TRUE),  "",  INDEX(RulebookFields!C2:C1898, MATCH(D1663,RulebookFields!A2:A1898, 0))), "")</f>
        <v>StepExecutions</v>
      </c>
      <c r="I1663" s="4" t="str">
        <f>_xlfn.IFNA(IF(((INDEX(RulebookFields!D2:D1898, MATCH(D1663,RulebookFields!A2:A1898, 0))="")=TRUE),  "",  INDEX(RulebookFields!D2:D1898, MATCH(D1663,RulebookFields!A2:A1898, 0))), "")</f>
        <v>IsLate</v>
      </c>
      <c r="J1663" s="4" t="b">
        <f>_xlfn.IFNA(IF(((INDEX(RulebookFields!I2:I1898, MATCH(D1663,RulebookFields!A2:A1898, 0))="")=TRUE),  "",  INDEX(RulebookFields!I2:I1898, MATCH(D1663,RulebookFields!A2:A1898, 0))), "")</f>
        <v>1</v>
      </c>
      <c r="K1663" s="4" t="b">
        <f>AND(((F1663)=TRUE), ((J1663)=TRUE))</f>
        <v>0</v>
      </c>
      <c r="L1663" s="4" t="b">
        <f>AND(((G1663 &lt;&gt; "plain")=TRUE), ((G1663 &lt;&gt; "")=TRUE))</f>
        <v>0</v>
      </c>
      <c r="M1663" s="4" t="str">
        <f>IF(((E1663)=TRUE),  C1663 &amp; "|" &amp; H1663,  "")</f>
        <v>principal-process-steward|StepExecutions</v>
      </c>
      <c r="N1663" s="3" t="s">
        <v>10004</v>
      </c>
    </row>
    <row r="1664">
      <c r="A1664" s="3" t="s">
        <v>11666</v>
      </c>
      <c r="B1664" s="4" t="str">
        <f>C1664 &amp; " -&gt; " &amp; D1664</f>
        <v>principal-process-steward -&gt; StepExecutions.BlockingUnmetCount</v>
      </c>
      <c r="C1664" s="3" t="s">
        <v>9772</v>
      </c>
      <c r="D1664" s="3" t="s">
        <v>3590</v>
      </c>
      <c r="E1664" s="3" t="b">
        <v>1</v>
      </c>
      <c r="F1664" s="3" t="b">
        <v>0</v>
      </c>
      <c r="G1664" s="3" t="s">
        <v>10003</v>
      </c>
      <c r="H1664" s="4" t="str">
        <f>_xlfn.IFNA(IF(((INDEX(RulebookFields!C2:C1898, MATCH(D1664,RulebookFields!A2:A1898, 0))="")=TRUE),  "",  INDEX(RulebookFields!C2:C1898, MATCH(D1664,RulebookFields!A2:A1898, 0))), "")</f>
        <v>StepExecutions</v>
      </c>
      <c r="I1664" s="4" t="str">
        <f>_xlfn.IFNA(IF(((INDEX(RulebookFields!D2:D1898, MATCH(D1664,RulebookFields!A2:A1898, 0))="")=TRUE),  "",  INDEX(RulebookFields!D2:D1898, MATCH(D1664,RulebookFields!A2:A1898, 0))), "")</f>
        <v>BlockingUnmetCount</v>
      </c>
      <c r="J1664" s="4" t="b">
        <f>_xlfn.IFNA(IF(((INDEX(RulebookFields!I2:I1898, MATCH(D1664,RulebookFields!A2:A1898, 0))="")=TRUE),  "",  INDEX(RulebookFields!I2:I1898, MATCH(D1664,RulebookFields!A2:A1898, 0))), "")</f>
        <v>1</v>
      </c>
      <c r="K1664" s="4" t="b">
        <f>AND(((F1664)=TRUE), ((J1664)=TRUE))</f>
        <v>0</v>
      </c>
      <c r="L1664" s="4" t="b">
        <f>AND(((G1664 &lt;&gt; "plain")=TRUE), ((G1664 &lt;&gt; "")=TRUE))</f>
        <v>0</v>
      </c>
      <c r="M1664" s="4" t="str">
        <f>IF(((E1664)=TRUE),  C1664 &amp; "|" &amp; H1664,  "")</f>
        <v>principal-process-steward|StepExecutions</v>
      </c>
      <c r="N1664" s="3" t="s">
        <v>10004</v>
      </c>
    </row>
    <row r="1665">
      <c r="A1665" s="3" t="s">
        <v>11667</v>
      </c>
      <c r="B1665" s="4" t="str">
        <f>C1665 &amp; " -&gt; " &amp; D1665</f>
        <v>principal-process-steward -&gt; StepExecutions.BlockingUnmetCountSafe</v>
      </c>
      <c r="C1665" s="3" t="s">
        <v>9772</v>
      </c>
      <c r="D1665" s="3" t="s">
        <v>3592</v>
      </c>
      <c r="E1665" s="3" t="b">
        <v>1</v>
      </c>
      <c r="F1665" s="3" t="b">
        <v>0</v>
      </c>
      <c r="G1665" s="3" t="s">
        <v>10003</v>
      </c>
      <c r="H1665" s="4" t="str">
        <f>_xlfn.IFNA(IF(((INDEX(RulebookFields!C2:C1898, MATCH(D1665,RulebookFields!A2:A1898, 0))="")=TRUE),  "",  INDEX(RulebookFields!C2:C1898, MATCH(D1665,RulebookFields!A2:A1898, 0))), "")</f>
        <v>StepExecutions</v>
      </c>
      <c r="I1665" s="4" t="str">
        <f>_xlfn.IFNA(IF(((INDEX(RulebookFields!D2:D1898, MATCH(D1665,RulebookFields!A2:A1898, 0))="")=TRUE),  "",  INDEX(RulebookFields!D2:D1898, MATCH(D1665,RulebookFields!A2:A1898, 0))), "")</f>
        <v>BlockingUnmetCountSafe</v>
      </c>
      <c r="J1665" s="4" t="b">
        <f>_xlfn.IFNA(IF(((INDEX(RulebookFields!I2:I1898, MATCH(D1665,RulebookFields!A2:A1898, 0))="")=TRUE),  "",  INDEX(RulebookFields!I2:I1898, MATCH(D1665,RulebookFields!A2:A1898, 0))), "")</f>
        <v>1</v>
      </c>
      <c r="K1665" s="4" t="b">
        <f>AND(((F1665)=TRUE), ((J1665)=TRUE))</f>
        <v>0</v>
      </c>
      <c r="L1665" s="4" t="b">
        <f>AND(((G1665 &lt;&gt; "plain")=TRUE), ((G1665 &lt;&gt; "")=TRUE))</f>
        <v>0</v>
      </c>
      <c r="M1665" s="4" t="str">
        <f>IF(((E1665)=TRUE),  C1665 &amp; "|" &amp; H1665,  "")</f>
        <v>principal-process-steward|StepExecutions</v>
      </c>
      <c r="N1665" s="3" t="s">
        <v>10004</v>
      </c>
    </row>
    <row r="1666">
      <c r="A1666" s="3" t="s">
        <v>11668</v>
      </c>
      <c r="B1666" s="4" t="str">
        <f>C1666 &amp; " -&gt; " &amp; D1666</f>
        <v>principal-process-steward -&gt; StepExecutions.ProceededPastBlockingControl</v>
      </c>
      <c r="C1666" s="3" t="s">
        <v>9772</v>
      </c>
      <c r="D1666" s="3" t="s">
        <v>3594</v>
      </c>
      <c r="E1666" s="3" t="b">
        <v>1</v>
      </c>
      <c r="F1666" s="3" t="b">
        <v>0</v>
      </c>
      <c r="G1666" s="3" t="s">
        <v>10003</v>
      </c>
      <c r="H1666" s="4" t="str">
        <f>_xlfn.IFNA(IF(((INDEX(RulebookFields!C2:C1898, MATCH(D1666,RulebookFields!A2:A1898, 0))="")=TRUE),  "",  INDEX(RulebookFields!C2:C1898, MATCH(D1666,RulebookFields!A2:A1898, 0))), "")</f>
        <v>StepExecutions</v>
      </c>
      <c r="I1666" s="4" t="str">
        <f>_xlfn.IFNA(IF(((INDEX(RulebookFields!D2:D1898, MATCH(D1666,RulebookFields!A2:A1898, 0))="")=TRUE),  "",  INDEX(RulebookFields!D2:D1898, MATCH(D1666,RulebookFields!A2:A1898, 0))), "")</f>
        <v>ProceededPastBlockingControl</v>
      </c>
      <c r="J1666" s="4" t="b">
        <f>_xlfn.IFNA(IF(((INDEX(RulebookFields!I2:I1898, MATCH(D1666,RulebookFields!A2:A1898, 0))="")=TRUE),  "",  INDEX(RulebookFields!I2:I1898, MATCH(D1666,RulebookFields!A2:A1898, 0))), "")</f>
        <v>1</v>
      </c>
      <c r="K1666" s="4" t="b">
        <f>AND(((F1666)=TRUE), ((J1666)=TRUE))</f>
        <v>0</v>
      </c>
      <c r="L1666" s="4" t="b">
        <f>AND(((G1666 &lt;&gt; "plain")=TRUE), ((G1666 &lt;&gt; "")=TRUE))</f>
        <v>0</v>
      </c>
      <c r="M1666" s="4" t="str">
        <f>IF(((E1666)=TRUE),  C1666 &amp; "|" &amp; H1666,  "")</f>
        <v>principal-process-steward|StepExecutions</v>
      </c>
      <c r="N1666" s="3" t="s">
        <v>10004</v>
      </c>
    </row>
    <row r="1667">
      <c r="A1667" s="3" t="s">
        <v>11669</v>
      </c>
      <c r="B1667" s="4" t="str">
        <f>C1667 &amp; " -&gt; " &amp; D1667</f>
        <v>principal-process-steward -&gt; StepExecutions.ExpectedBlockingCount</v>
      </c>
      <c r="C1667" s="3" t="s">
        <v>9772</v>
      </c>
      <c r="D1667" s="3" t="s">
        <v>3596</v>
      </c>
      <c r="E1667" s="3" t="b">
        <v>1</v>
      </c>
      <c r="F1667" s="3" t="b">
        <v>0</v>
      </c>
      <c r="G1667" s="3" t="s">
        <v>10003</v>
      </c>
      <c r="H1667" s="4" t="str">
        <f>_xlfn.IFNA(IF(((INDEX(RulebookFields!C2:C1898, MATCH(D1667,RulebookFields!A2:A1898, 0))="")=TRUE),  "",  INDEX(RulebookFields!C2:C1898, MATCH(D1667,RulebookFields!A2:A1898, 0))), "")</f>
        <v>StepExecutions</v>
      </c>
      <c r="I1667" s="4" t="str">
        <f>_xlfn.IFNA(IF(((INDEX(RulebookFields!D2:D1898, MATCH(D1667,RulebookFields!A2:A1898, 0))="")=TRUE),  "",  INDEX(RulebookFields!D2:D1898, MATCH(D1667,RulebookFields!A2:A1898, 0))), "")</f>
        <v>ExpectedBlockingCount</v>
      </c>
      <c r="J1667" s="4" t="b">
        <f>_xlfn.IFNA(IF(((INDEX(RulebookFields!I2:I1898, MATCH(D1667,RulebookFields!A2:A1898, 0))="")=TRUE),  "",  INDEX(RulebookFields!I2:I1898, MATCH(D1667,RulebookFields!A2:A1898, 0))), "")</f>
        <v>1</v>
      </c>
      <c r="K1667" s="4" t="b">
        <f>AND(((F1667)=TRUE), ((J1667)=TRUE))</f>
        <v>0</v>
      </c>
      <c r="L1667" s="4" t="b">
        <f>AND(((G1667 &lt;&gt; "plain")=TRUE), ((G1667 &lt;&gt; "")=TRUE))</f>
        <v>0</v>
      </c>
      <c r="M1667" s="4" t="str">
        <f>IF(((E1667)=TRUE),  C1667 &amp; "|" &amp; H1667,  "")</f>
        <v>principal-process-steward|StepExecutions</v>
      </c>
      <c r="N1667" s="3" t="s">
        <v>10004</v>
      </c>
    </row>
    <row r="1668">
      <c r="A1668" s="3" t="s">
        <v>11670</v>
      </c>
      <c r="B1668" s="4" t="str">
        <f>C1668 &amp; " -&gt; " &amp; D1668</f>
        <v>principal-process-steward -&gt; StepExecutions.EvaluatedBlockingCount</v>
      </c>
      <c r="C1668" s="3" t="s">
        <v>9772</v>
      </c>
      <c r="D1668" s="3" t="s">
        <v>3598</v>
      </c>
      <c r="E1668" s="3" t="b">
        <v>1</v>
      </c>
      <c r="F1668" s="3" t="b">
        <v>0</v>
      </c>
      <c r="G1668" s="3" t="s">
        <v>10003</v>
      </c>
      <c r="H1668" s="4" t="str">
        <f>_xlfn.IFNA(IF(((INDEX(RulebookFields!C2:C1898, MATCH(D1668,RulebookFields!A2:A1898, 0))="")=TRUE),  "",  INDEX(RulebookFields!C2:C1898, MATCH(D1668,RulebookFields!A2:A1898, 0))), "")</f>
        <v>StepExecutions</v>
      </c>
      <c r="I1668" s="4" t="str">
        <f>_xlfn.IFNA(IF(((INDEX(RulebookFields!D2:D1898, MATCH(D1668,RulebookFields!A2:A1898, 0))="")=TRUE),  "",  INDEX(RulebookFields!D2:D1898, MATCH(D1668,RulebookFields!A2:A1898, 0))), "")</f>
        <v>EvaluatedBlockingCount</v>
      </c>
      <c r="J1668" s="4" t="b">
        <f>_xlfn.IFNA(IF(((INDEX(RulebookFields!I2:I1898, MATCH(D1668,RulebookFields!A2:A1898, 0))="")=TRUE),  "",  INDEX(RulebookFields!I2:I1898, MATCH(D1668,RulebookFields!A2:A1898, 0))), "")</f>
        <v>1</v>
      </c>
      <c r="K1668" s="4" t="b">
        <f>AND(((F1668)=TRUE), ((J1668)=TRUE))</f>
        <v>0</v>
      </c>
      <c r="L1668" s="4" t="b">
        <f>AND(((G1668 &lt;&gt; "plain")=TRUE), ((G1668 &lt;&gt; "")=TRUE))</f>
        <v>0</v>
      </c>
      <c r="M1668" s="4" t="str">
        <f>IF(((E1668)=TRUE),  C1668 &amp; "|" &amp; H1668,  "")</f>
        <v>principal-process-steward|StepExecutions</v>
      </c>
      <c r="N1668" s="3" t="s">
        <v>10004</v>
      </c>
    </row>
    <row r="1669">
      <c r="A1669" s="3" t="s">
        <v>11671</v>
      </c>
      <c r="B1669" s="4" t="str">
        <f>C1669 &amp; " -&gt; " &amp; D1669</f>
        <v>principal-process-steward -&gt; StepExecutions.UnevaluatedBlockingCount</v>
      </c>
      <c r="C1669" s="3" t="s">
        <v>9772</v>
      </c>
      <c r="D1669" s="3" t="s">
        <v>3600</v>
      </c>
      <c r="E1669" s="3" t="b">
        <v>1</v>
      </c>
      <c r="F1669" s="3" t="b">
        <v>0</v>
      </c>
      <c r="G1669" s="3" t="s">
        <v>10003</v>
      </c>
      <c r="H1669" s="4" t="str">
        <f>_xlfn.IFNA(IF(((INDEX(RulebookFields!C2:C1898, MATCH(D1669,RulebookFields!A2:A1898, 0))="")=TRUE),  "",  INDEX(RulebookFields!C2:C1898, MATCH(D1669,RulebookFields!A2:A1898, 0))), "")</f>
        <v>StepExecutions</v>
      </c>
      <c r="I1669" s="4" t="str">
        <f>_xlfn.IFNA(IF(((INDEX(RulebookFields!D2:D1898, MATCH(D1669,RulebookFields!A2:A1898, 0))="")=TRUE),  "",  INDEX(RulebookFields!D2:D1898, MATCH(D1669,RulebookFields!A2:A1898, 0))), "")</f>
        <v>UnevaluatedBlockingCount</v>
      </c>
      <c r="J1669" s="4" t="b">
        <f>_xlfn.IFNA(IF(((INDEX(RulebookFields!I2:I1898, MATCH(D1669,RulebookFields!A2:A1898, 0))="")=TRUE),  "",  INDEX(RulebookFields!I2:I1898, MATCH(D1669,RulebookFields!A2:A1898, 0))), "")</f>
        <v>1</v>
      </c>
      <c r="K1669" s="4" t="b">
        <f>AND(((F1669)=TRUE), ((J1669)=TRUE))</f>
        <v>0</v>
      </c>
      <c r="L1669" s="4" t="b">
        <f>AND(((G1669 &lt;&gt; "plain")=TRUE), ((G1669 &lt;&gt; "")=TRUE))</f>
        <v>0</v>
      </c>
      <c r="M1669" s="4" t="str">
        <f>IF(((E1669)=TRUE),  C1669 &amp; "|" &amp; H1669,  "")</f>
        <v>principal-process-steward|StepExecutions</v>
      </c>
      <c r="N1669" s="3" t="s">
        <v>10004</v>
      </c>
    </row>
    <row r="1670">
      <c r="A1670" s="3" t="s">
        <v>11672</v>
      </c>
      <c r="B1670" s="4" t="str">
        <f>C1670 &amp; " -&gt; " &amp; D1670</f>
        <v>principal-process-steward -&gt; StepExecutions.HasUnevaluatedBlockingControl</v>
      </c>
      <c r="C1670" s="3" t="s">
        <v>9772</v>
      </c>
      <c r="D1670" s="3" t="s">
        <v>3602</v>
      </c>
      <c r="E1670" s="3" t="b">
        <v>1</v>
      </c>
      <c r="F1670" s="3" t="b">
        <v>0</v>
      </c>
      <c r="G1670" s="3" t="s">
        <v>10003</v>
      </c>
      <c r="H1670" s="4" t="str">
        <f>_xlfn.IFNA(IF(((INDEX(RulebookFields!C2:C1898, MATCH(D1670,RulebookFields!A2:A1898, 0))="")=TRUE),  "",  INDEX(RulebookFields!C2:C1898, MATCH(D1670,RulebookFields!A2:A1898, 0))), "")</f>
        <v>StepExecutions</v>
      </c>
      <c r="I1670" s="4" t="str">
        <f>_xlfn.IFNA(IF(((INDEX(RulebookFields!D2:D1898, MATCH(D1670,RulebookFields!A2:A1898, 0))="")=TRUE),  "",  INDEX(RulebookFields!D2:D1898, MATCH(D1670,RulebookFields!A2:A1898, 0))), "")</f>
        <v>HasUnevaluatedBlockingControl</v>
      </c>
      <c r="J1670" s="4" t="b">
        <f>_xlfn.IFNA(IF(((INDEX(RulebookFields!I2:I1898, MATCH(D1670,RulebookFields!A2:A1898, 0))="")=TRUE),  "",  INDEX(RulebookFields!I2:I1898, MATCH(D1670,RulebookFields!A2:A1898, 0))), "")</f>
        <v>1</v>
      </c>
      <c r="K1670" s="4" t="b">
        <f>AND(((F1670)=TRUE), ((J1670)=TRUE))</f>
        <v>0</v>
      </c>
      <c r="L1670" s="4" t="b">
        <f>AND(((G1670 &lt;&gt; "plain")=TRUE), ((G1670 &lt;&gt; "")=TRUE))</f>
        <v>0</v>
      </c>
      <c r="M1670" s="4" t="str">
        <f>IF(((E1670)=TRUE),  C1670 &amp; "|" &amp; H1670,  "")</f>
        <v>principal-process-steward|StepExecutions</v>
      </c>
      <c r="N1670" s="3" t="s">
        <v>10004</v>
      </c>
    </row>
    <row r="1671">
      <c r="A1671" s="3" t="s">
        <v>11673</v>
      </c>
      <c r="B1671" s="4" t="str">
        <f>C1671 &amp; " -&gt; " &amp; D1671</f>
        <v>principal-process-steward -&gt; StepExecutions.StaleAuthoritativeSourceCount</v>
      </c>
      <c r="C1671" s="3" t="s">
        <v>9772</v>
      </c>
      <c r="D1671" s="3" t="s">
        <v>3604</v>
      </c>
      <c r="E1671" s="3" t="b">
        <v>1</v>
      </c>
      <c r="F1671" s="3" t="b">
        <v>0</v>
      </c>
      <c r="G1671" s="3" t="s">
        <v>10003</v>
      </c>
      <c r="H1671" s="4" t="str">
        <f>_xlfn.IFNA(IF(((INDEX(RulebookFields!C2:C1898, MATCH(D1671,RulebookFields!A2:A1898, 0))="")=TRUE),  "",  INDEX(RulebookFields!C2:C1898, MATCH(D1671,RulebookFields!A2:A1898, 0))), "")</f>
        <v>StepExecutions</v>
      </c>
      <c r="I1671" s="4" t="str">
        <f>_xlfn.IFNA(IF(((INDEX(RulebookFields!D2:D1898, MATCH(D1671,RulebookFields!A2:A1898, 0))="")=TRUE),  "",  INDEX(RulebookFields!D2:D1898, MATCH(D1671,RulebookFields!A2:A1898, 0))), "")</f>
        <v>StaleAuthoritativeSourceCount</v>
      </c>
      <c r="J1671" s="4" t="b">
        <f>_xlfn.IFNA(IF(((INDEX(RulebookFields!I2:I1898, MATCH(D1671,RulebookFields!A2:A1898, 0))="")=TRUE),  "",  INDEX(RulebookFields!I2:I1898, MATCH(D1671,RulebookFields!A2:A1898, 0))), "")</f>
        <v>1</v>
      </c>
      <c r="K1671" s="4" t="b">
        <f>AND(((F1671)=TRUE), ((J1671)=TRUE))</f>
        <v>0</v>
      </c>
      <c r="L1671" s="4" t="b">
        <f>AND(((G1671 &lt;&gt; "plain")=TRUE), ((G1671 &lt;&gt; "")=TRUE))</f>
        <v>0</v>
      </c>
      <c r="M1671" s="4" t="str">
        <f>IF(((E1671)=TRUE),  C1671 &amp; "|" &amp; H1671,  "")</f>
        <v>principal-process-steward|StepExecutions</v>
      </c>
      <c r="N1671" s="3" t="s">
        <v>10004</v>
      </c>
    </row>
    <row r="1672">
      <c r="A1672" s="3" t="s">
        <v>11674</v>
      </c>
      <c r="B1672" s="4" t="str">
        <f>C1672 &amp; " -&gt; " &amp; D1672</f>
        <v>principal-process-steward -&gt; StepExecutions.RanOnStaleAuthoritativeSource</v>
      </c>
      <c r="C1672" s="3" t="s">
        <v>9772</v>
      </c>
      <c r="D1672" s="3" t="s">
        <v>3606</v>
      </c>
      <c r="E1672" s="3" t="b">
        <v>1</v>
      </c>
      <c r="F1672" s="3" t="b">
        <v>0</v>
      </c>
      <c r="G1672" s="3" t="s">
        <v>10003</v>
      </c>
      <c r="H1672" s="4" t="str">
        <f>_xlfn.IFNA(IF(((INDEX(RulebookFields!C2:C1898, MATCH(D1672,RulebookFields!A2:A1898, 0))="")=TRUE),  "",  INDEX(RulebookFields!C2:C1898, MATCH(D1672,RulebookFields!A2:A1898, 0))), "")</f>
        <v>StepExecutions</v>
      </c>
      <c r="I1672" s="4" t="str">
        <f>_xlfn.IFNA(IF(((INDEX(RulebookFields!D2:D1898, MATCH(D1672,RulebookFields!A2:A1898, 0))="")=TRUE),  "",  INDEX(RulebookFields!D2:D1898, MATCH(D1672,RulebookFields!A2:A1898, 0))), "")</f>
        <v>RanOnStaleAuthoritativeSource</v>
      </c>
      <c r="J1672" s="4" t="b">
        <f>_xlfn.IFNA(IF(((INDEX(RulebookFields!I2:I1898, MATCH(D1672,RulebookFields!A2:A1898, 0))="")=TRUE),  "",  INDEX(RulebookFields!I2:I1898, MATCH(D1672,RulebookFields!A2:A1898, 0))), "")</f>
        <v>1</v>
      </c>
      <c r="K1672" s="4" t="b">
        <f>AND(((F1672)=TRUE), ((J1672)=TRUE))</f>
        <v>0</v>
      </c>
      <c r="L1672" s="4" t="b">
        <f>AND(((G1672 &lt;&gt; "plain")=TRUE), ((G1672 &lt;&gt; "")=TRUE))</f>
        <v>0</v>
      </c>
      <c r="M1672" s="4" t="str">
        <f>IF(((E1672)=TRUE),  C1672 &amp; "|" &amp; H1672,  "")</f>
        <v>principal-process-steward|StepExecutions</v>
      </c>
      <c r="N1672" s="3" t="s">
        <v>10004</v>
      </c>
    </row>
    <row r="1673">
      <c r="A1673" s="3" t="s">
        <v>11675</v>
      </c>
      <c r="B1673" s="4" t="str">
        <f>C1673 &amp; " -&gt; " &amp; D1673</f>
        <v>principal-process-steward -&gt; StepExecutions.HasDeviationNote</v>
      </c>
      <c r="C1673" s="3" t="s">
        <v>9772</v>
      </c>
      <c r="D1673" s="3" t="s">
        <v>3608</v>
      </c>
      <c r="E1673" s="3" t="b">
        <v>1</v>
      </c>
      <c r="F1673" s="3" t="b">
        <v>0</v>
      </c>
      <c r="G1673" s="3" t="s">
        <v>10003</v>
      </c>
      <c r="H1673" s="4" t="str">
        <f>_xlfn.IFNA(IF(((INDEX(RulebookFields!C2:C1898, MATCH(D1673,RulebookFields!A2:A1898, 0))="")=TRUE),  "",  INDEX(RulebookFields!C2:C1898, MATCH(D1673,RulebookFields!A2:A1898, 0))), "")</f>
        <v>StepExecutions</v>
      </c>
      <c r="I1673" s="4" t="str">
        <f>_xlfn.IFNA(IF(((INDEX(RulebookFields!D2:D1898, MATCH(D1673,RulebookFields!A2:A1898, 0))="")=TRUE),  "",  INDEX(RulebookFields!D2:D1898, MATCH(D1673,RulebookFields!A2:A1898, 0))), "")</f>
        <v>HasDeviationNote</v>
      </c>
      <c r="J1673" s="4" t="b">
        <f>_xlfn.IFNA(IF(((INDEX(RulebookFields!I2:I1898, MATCH(D1673,RulebookFields!A2:A1898, 0))="")=TRUE),  "",  INDEX(RulebookFields!I2:I1898, MATCH(D1673,RulebookFields!A2:A1898, 0))), "")</f>
        <v>1</v>
      </c>
      <c r="K1673" s="4" t="b">
        <f>AND(((F1673)=TRUE), ((J1673)=TRUE))</f>
        <v>0</v>
      </c>
      <c r="L1673" s="4" t="b">
        <f>AND(((G1673 &lt;&gt; "plain")=TRUE), ((G1673 &lt;&gt; "")=TRUE))</f>
        <v>0</v>
      </c>
      <c r="M1673" s="4" t="str">
        <f>IF(((E1673)=TRUE),  C1673 &amp; "|" &amp; H1673,  "")</f>
        <v>principal-process-steward|StepExecutions</v>
      </c>
      <c r="N1673" s="3" t="s">
        <v>10004</v>
      </c>
    </row>
    <row r="1674">
      <c r="A1674" s="3" t="s">
        <v>11676</v>
      </c>
      <c r="B1674" s="4" t="str">
        <f>C1674 &amp; " -&gt; " &amp; D1674</f>
        <v>principal-process-steward -&gt; StepExecutions.IsLateAndUnexplained</v>
      </c>
      <c r="C1674" s="3" t="s">
        <v>9772</v>
      </c>
      <c r="D1674" s="3" t="s">
        <v>3610</v>
      </c>
      <c r="E1674" s="3" t="b">
        <v>1</v>
      </c>
      <c r="F1674" s="3" t="b">
        <v>0</v>
      </c>
      <c r="G1674" s="3" t="s">
        <v>10003</v>
      </c>
      <c r="H1674" s="4" t="str">
        <f>_xlfn.IFNA(IF(((INDEX(RulebookFields!C2:C1898, MATCH(D1674,RulebookFields!A2:A1898, 0))="")=TRUE),  "",  INDEX(RulebookFields!C2:C1898, MATCH(D1674,RulebookFields!A2:A1898, 0))), "")</f>
        <v>StepExecutions</v>
      </c>
      <c r="I1674" s="4" t="str">
        <f>_xlfn.IFNA(IF(((INDEX(RulebookFields!D2:D1898, MATCH(D1674,RulebookFields!A2:A1898, 0))="")=TRUE),  "",  INDEX(RulebookFields!D2:D1898, MATCH(D1674,RulebookFields!A2:A1898, 0))), "")</f>
        <v>IsLateAndUnexplained</v>
      </c>
      <c r="J1674" s="4" t="b">
        <f>_xlfn.IFNA(IF(((INDEX(RulebookFields!I2:I1898, MATCH(D1674,RulebookFields!A2:A1898, 0))="")=TRUE),  "",  INDEX(RulebookFields!I2:I1898, MATCH(D1674,RulebookFields!A2:A1898, 0))), "")</f>
        <v>1</v>
      </c>
      <c r="K1674" s="4" t="b">
        <f>AND(((F1674)=TRUE), ((J1674)=TRUE))</f>
        <v>0</v>
      </c>
      <c r="L1674" s="4" t="b">
        <f>AND(((G1674 &lt;&gt; "plain")=TRUE), ((G1674 &lt;&gt; "")=TRUE))</f>
        <v>0</v>
      </c>
      <c r="M1674" s="4" t="str">
        <f>IF(((E1674)=TRUE),  C1674 &amp; "|" &amp; H1674,  "")</f>
        <v>principal-process-steward|StepExecutions</v>
      </c>
      <c r="N1674" s="3" t="s">
        <v>10004</v>
      </c>
    </row>
    <row r="1675">
      <c r="A1675" s="3" t="s">
        <v>11677</v>
      </c>
      <c r="B1675" s="4" t="str">
        <f>C1675 &amp; " -&gt; " &amp; D1675</f>
        <v>principal-process-steward -&gt; StepExecutions.AvailableExceptionCountForStep</v>
      </c>
      <c r="C1675" s="3" t="s">
        <v>9772</v>
      </c>
      <c r="D1675" s="3" t="s">
        <v>3612</v>
      </c>
      <c r="E1675" s="3" t="b">
        <v>1</v>
      </c>
      <c r="F1675" s="3" t="b">
        <v>0</v>
      </c>
      <c r="G1675" s="3" t="s">
        <v>10003</v>
      </c>
      <c r="H1675" s="4" t="str">
        <f>_xlfn.IFNA(IF(((INDEX(RulebookFields!C2:C1898, MATCH(D1675,RulebookFields!A2:A1898, 0))="")=TRUE),  "",  INDEX(RulebookFields!C2:C1898, MATCH(D1675,RulebookFields!A2:A1898, 0))), "")</f>
        <v>StepExecutions</v>
      </c>
      <c r="I1675" s="4" t="str">
        <f>_xlfn.IFNA(IF(((INDEX(RulebookFields!D2:D1898, MATCH(D1675,RulebookFields!A2:A1898, 0))="")=TRUE),  "",  INDEX(RulebookFields!D2:D1898, MATCH(D1675,RulebookFields!A2:A1898, 0))), "")</f>
        <v>AvailableExceptionCountForStep</v>
      </c>
      <c r="J1675" s="4" t="b">
        <f>_xlfn.IFNA(IF(((INDEX(RulebookFields!I2:I1898, MATCH(D1675,RulebookFields!A2:A1898, 0))="")=TRUE),  "",  INDEX(RulebookFields!I2:I1898, MATCH(D1675,RulebookFields!A2:A1898, 0))), "")</f>
        <v>1</v>
      </c>
      <c r="K1675" s="4" t="b">
        <f>AND(((F1675)=TRUE), ((J1675)=TRUE))</f>
        <v>0</v>
      </c>
      <c r="L1675" s="4" t="b">
        <f>AND(((G1675 &lt;&gt; "plain")=TRUE), ((G1675 &lt;&gt; "")=TRUE))</f>
        <v>0</v>
      </c>
      <c r="M1675" s="4" t="str">
        <f>IF(((E1675)=TRUE),  C1675 &amp; "|" &amp; H1675,  "")</f>
        <v>principal-process-steward|StepExecutions</v>
      </c>
      <c r="N1675" s="3" t="s">
        <v>10004</v>
      </c>
    </row>
    <row r="1676">
      <c r="A1676" s="3" t="s">
        <v>11678</v>
      </c>
      <c r="B1676" s="4" t="str">
        <f>C1676 &amp; " -&gt; " &amp; D1676</f>
        <v>principal-process-steward -&gt; StepExecutions.HadUninvokedExceptionAvailable</v>
      </c>
      <c r="C1676" s="3" t="s">
        <v>9772</v>
      </c>
      <c r="D1676" s="3" t="s">
        <v>3614</v>
      </c>
      <c r="E1676" s="3" t="b">
        <v>1</v>
      </c>
      <c r="F1676" s="3" t="b">
        <v>0</v>
      </c>
      <c r="G1676" s="3" t="s">
        <v>10003</v>
      </c>
      <c r="H1676" s="4" t="str">
        <f>_xlfn.IFNA(IF(((INDEX(RulebookFields!C2:C1898, MATCH(D1676,RulebookFields!A2:A1898, 0))="")=TRUE),  "",  INDEX(RulebookFields!C2:C1898, MATCH(D1676,RulebookFields!A2:A1898, 0))), "")</f>
        <v>StepExecutions</v>
      </c>
      <c r="I1676" s="4" t="str">
        <f>_xlfn.IFNA(IF(((INDEX(RulebookFields!D2:D1898, MATCH(D1676,RulebookFields!A2:A1898, 0))="")=TRUE),  "",  INDEX(RulebookFields!D2:D1898, MATCH(D1676,RulebookFields!A2:A1898, 0))), "")</f>
        <v>HadUninvokedExceptionAvailable</v>
      </c>
      <c r="J1676" s="4" t="b">
        <f>_xlfn.IFNA(IF(((INDEX(RulebookFields!I2:I1898, MATCH(D1676,RulebookFields!A2:A1898, 0))="")=TRUE),  "",  INDEX(RulebookFields!I2:I1898, MATCH(D1676,RulebookFields!A2:A1898, 0))), "")</f>
        <v>1</v>
      </c>
      <c r="K1676" s="4" t="b">
        <f>AND(((F1676)=TRUE), ((J1676)=TRUE))</f>
        <v>0</v>
      </c>
      <c r="L1676" s="4" t="b">
        <f>AND(((G1676 &lt;&gt; "plain")=TRUE), ((G1676 &lt;&gt; "")=TRUE))</f>
        <v>0</v>
      </c>
      <c r="M1676" s="4" t="str">
        <f>IF(((E1676)=TRUE),  C1676 &amp; "|" &amp; H1676,  "")</f>
        <v>principal-process-steward|StepExecutions</v>
      </c>
      <c r="N1676" s="3" t="s">
        <v>10004</v>
      </c>
    </row>
    <row r="1677">
      <c r="A1677" s="3" t="s">
        <v>11679</v>
      </c>
      <c r="B1677" s="4" t="str">
        <f>C1677 &amp; " -&gt; " &amp; D1677</f>
        <v>principal-process-steward -&gt; StepExecutions.ExpectedVerificationCount</v>
      </c>
      <c r="C1677" s="3" t="s">
        <v>9772</v>
      </c>
      <c r="D1677" s="3" t="s">
        <v>3616</v>
      </c>
      <c r="E1677" s="3" t="b">
        <v>1</v>
      </c>
      <c r="F1677" s="3" t="b">
        <v>0</v>
      </c>
      <c r="G1677" s="3" t="s">
        <v>10003</v>
      </c>
      <c r="H1677" s="4" t="str">
        <f>_xlfn.IFNA(IF(((INDEX(RulebookFields!C2:C1898, MATCH(D1677,RulebookFields!A2:A1898, 0))="")=TRUE),  "",  INDEX(RulebookFields!C2:C1898, MATCH(D1677,RulebookFields!A2:A1898, 0))), "")</f>
        <v>StepExecutions</v>
      </c>
      <c r="I1677" s="4" t="str">
        <f>_xlfn.IFNA(IF(((INDEX(RulebookFields!D2:D1898, MATCH(D1677,RulebookFields!A2:A1898, 0))="")=TRUE),  "",  INDEX(RulebookFields!D2:D1898, MATCH(D1677,RulebookFields!A2:A1898, 0))), "")</f>
        <v>ExpectedVerificationCount</v>
      </c>
      <c r="J1677" s="4" t="b">
        <f>_xlfn.IFNA(IF(((INDEX(RulebookFields!I2:I1898, MATCH(D1677,RulebookFields!A2:A1898, 0))="")=TRUE),  "",  INDEX(RulebookFields!I2:I1898, MATCH(D1677,RulebookFields!A2:A1898, 0))), "")</f>
        <v>1</v>
      </c>
      <c r="K1677" s="4" t="b">
        <f>AND(((F1677)=TRUE), ((J1677)=TRUE))</f>
        <v>0</v>
      </c>
      <c r="L1677" s="4" t="b">
        <f>AND(((G1677 &lt;&gt; "plain")=TRUE), ((G1677 &lt;&gt; "")=TRUE))</f>
        <v>0</v>
      </c>
      <c r="M1677" s="4" t="str">
        <f>IF(((E1677)=TRUE),  C1677 &amp; "|" &amp; H1677,  "")</f>
        <v>principal-process-steward|StepExecutions</v>
      </c>
      <c r="N1677" s="3" t="s">
        <v>10004</v>
      </c>
    </row>
    <row r="1678">
      <c r="A1678" s="3" t="s">
        <v>11680</v>
      </c>
      <c r="B1678" s="4" t="str">
        <f>C1678 &amp; " -&gt; " &amp; D1678</f>
        <v>principal-process-steward -&gt; StepExecutions.PerformedVerificationCount</v>
      </c>
      <c r="C1678" s="3" t="s">
        <v>9772</v>
      </c>
      <c r="D1678" s="3" t="s">
        <v>3618</v>
      </c>
      <c r="E1678" s="3" t="b">
        <v>1</v>
      </c>
      <c r="F1678" s="3" t="b">
        <v>0</v>
      </c>
      <c r="G1678" s="3" t="s">
        <v>10003</v>
      </c>
      <c r="H1678" s="4" t="str">
        <f>_xlfn.IFNA(IF(((INDEX(RulebookFields!C2:C1898, MATCH(D1678,RulebookFields!A2:A1898, 0))="")=TRUE),  "",  INDEX(RulebookFields!C2:C1898, MATCH(D1678,RulebookFields!A2:A1898, 0))), "")</f>
        <v>StepExecutions</v>
      </c>
      <c r="I1678" s="4" t="str">
        <f>_xlfn.IFNA(IF(((INDEX(RulebookFields!D2:D1898, MATCH(D1678,RulebookFields!A2:A1898, 0))="")=TRUE),  "",  INDEX(RulebookFields!D2:D1898, MATCH(D1678,RulebookFields!A2:A1898, 0))), "")</f>
        <v>PerformedVerificationCount</v>
      </c>
      <c r="J1678" s="4" t="b">
        <f>_xlfn.IFNA(IF(((INDEX(RulebookFields!I2:I1898, MATCH(D1678,RulebookFields!A2:A1898, 0))="")=TRUE),  "",  INDEX(RulebookFields!I2:I1898, MATCH(D1678,RulebookFields!A2:A1898, 0))), "")</f>
        <v>1</v>
      </c>
      <c r="K1678" s="4" t="b">
        <f>AND(((F1678)=TRUE), ((J1678)=TRUE))</f>
        <v>0</v>
      </c>
      <c r="L1678" s="4" t="b">
        <f>AND(((G1678 &lt;&gt; "plain")=TRUE), ((G1678 &lt;&gt; "")=TRUE))</f>
        <v>0</v>
      </c>
      <c r="M1678" s="4" t="str">
        <f>IF(((E1678)=TRUE),  C1678 &amp; "|" &amp; H1678,  "")</f>
        <v>principal-process-steward|StepExecutions</v>
      </c>
      <c r="N1678" s="3" t="s">
        <v>10004</v>
      </c>
    </row>
    <row r="1679">
      <c r="A1679" s="3" t="s">
        <v>11681</v>
      </c>
      <c r="B1679" s="4" t="str">
        <f>C1679 &amp; " -&gt; " &amp; D1679</f>
        <v>principal-process-steward -&gt; StepExecutions.SkippedVerificationCount</v>
      </c>
      <c r="C1679" s="3" t="s">
        <v>9772</v>
      </c>
      <c r="D1679" s="3" t="s">
        <v>3620</v>
      </c>
      <c r="E1679" s="3" t="b">
        <v>1</v>
      </c>
      <c r="F1679" s="3" t="b">
        <v>0</v>
      </c>
      <c r="G1679" s="3" t="s">
        <v>10003</v>
      </c>
      <c r="H1679" s="4" t="str">
        <f>_xlfn.IFNA(IF(((INDEX(RulebookFields!C2:C1898, MATCH(D1679,RulebookFields!A2:A1898, 0))="")=TRUE),  "",  INDEX(RulebookFields!C2:C1898, MATCH(D1679,RulebookFields!A2:A1898, 0))), "")</f>
        <v>StepExecutions</v>
      </c>
      <c r="I1679" s="4" t="str">
        <f>_xlfn.IFNA(IF(((INDEX(RulebookFields!D2:D1898, MATCH(D1679,RulebookFields!A2:A1898, 0))="")=TRUE),  "",  INDEX(RulebookFields!D2:D1898, MATCH(D1679,RulebookFields!A2:A1898, 0))), "")</f>
        <v>SkippedVerificationCount</v>
      </c>
      <c r="J1679" s="4" t="b">
        <f>_xlfn.IFNA(IF(((INDEX(RulebookFields!I2:I1898, MATCH(D1679,RulebookFields!A2:A1898, 0))="")=TRUE),  "",  INDEX(RulebookFields!I2:I1898, MATCH(D1679,RulebookFields!A2:A1898, 0))), "")</f>
        <v>1</v>
      </c>
      <c r="K1679" s="4" t="b">
        <f>AND(((F1679)=TRUE), ((J1679)=TRUE))</f>
        <v>0</v>
      </c>
      <c r="L1679" s="4" t="b">
        <f>AND(((G1679 &lt;&gt; "plain")=TRUE), ((G1679 &lt;&gt; "")=TRUE))</f>
        <v>0</v>
      </c>
      <c r="M1679" s="4" t="str">
        <f>IF(((E1679)=TRUE),  C1679 &amp; "|" &amp; H1679,  "")</f>
        <v>principal-process-steward|StepExecutions</v>
      </c>
      <c r="N1679" s="3" t="s">
        <v>10004</v>
      </c>
    </row>
    <row r="1680">
      <c r="A1680" s="3" t="s">
        <v>11682</v>
      </c>
      <c r="B1680" s="4" t="str">
        <f>C1680 &amp; " -&gt; " &amp; D1680</f>
        <v>principal-process-steward -&gt; StepExecutions.HasSkippedVerification</v>
      </c>
      <c r="C1680" s="3" t="s">
        <v>9772</v>
      </c>
      <c r="D1680" s="3" t="s">
        <v>3622</v>
      </c>
      <c r="E1680" s="3" t="b">
        <v>1</v>
      </c>
      <c r="F1680" s="3" t="b">
        <v>0</v>
      </c>
      <c r="G1680" s="3" t="s">
        <v>10003</v>
      </c>
      <c r="H1680" s="4" t="str">
        <f>_xlfn.IFNA(IF(((INDEX(RulebookFields!C2:C1898, MATCH(D1680,RulebookFields!A2:A1898, 0))="")=TRUE),  "",  INDEX(RulebookFields!C2:C1898, MATCH(D1680,RulebookFields!A2:A1898, 0))), "")</f>
        <v>StepExecutions</v>
      </c>
      <c r="I1680" s="4" t="str">
        <f>_xlfn.IFNA(IF(((INDEX(RulebookFields!D2:D1898, MATCH(D1680,RulebookFields!A2:A1898, 0))="")=TRUE),  "",  INDEX(RulebookFields!D2:D1898, MATCH(D1680,RulebookFields!A2:A1898, 0))), "")</f>
        <v>HasSkippedVerification</v>
      </c>
      <c r="J1680" s="4" t="b">
        <f>_xlfn.IFNA(IF(((INDEX(RulebookFields!I2:I1898, MATCH(D1680,RulebookFields!A2:A1898, 0))="")=TRUE),  "",  INDEX(RulebookFields!I2:I1898, MATCH(D1680,RulebookFields!A2:A1898, 0))), "")</f>
        <v>1</v>
      </c>
      <c r="K1680" s="4" t="b">
        <f>AND(((F1680)=TRUE), ((J1680)=TRUE))</f>
        <v>0</v>
      </c>
      <c r="L1680" s="4" t="b">
        <f>AND(((G1680 &lt;&gt; "plain")=TRUE), ((G1680 &lt;&gt; "")=TRUE))</f>
        <v>0</v>
      </c>
      <c r="M1680" s="4" t="str">
        <f>IF(((E1680)=TRUE),  C1680 &amp; "|" &amp; H1680,  "")</f>
        <v>principal-process-steward|StepExecutions</v>
      </c>
      <c r="N1680" s="3" t="s">
        <v>10004</v>
      </c>
    </row>
    <row r="1681">
      <c r="A1681" s="3" t="s">
        <v>11683</v>
      </c>
      <c r="B1681" s="4" t="str">
        <f>C1681 &amp; " -&gt; " &amp; D1681</f>
        <v>principal-process-steward -&gt; StepExecutions.ClaimsPassWithoutEvidence</v>
      </c>
      <c r="C1681" s="3" t="s">
        <v>9772</v>
      </c>
      <c r="D1681" s="3" t="s">
        <v>3624</v>
      </c>
      <c r="E1681" s="3" t="b">
        <v>1</v>
      </c>
      <c r="F1681" s="3" t="b">
        <v>0</v>
      </c>
      <c r="G1681" s="3" t="s">
        <v>10003</v>
      </c>
      <c r="H1681" s="4" t="str">
        <f>_xlfn.IFNA(IF(((INDEX(RulebookFields!C2:C1898, MATCH(D1681,RulebookFields!A2:A1898, 0))="")=TRUE),  "",  INDEX(RulebookFields!C2:C1898, MATCH(D1681,RulebookFields!A2:A1898, 0))), "")</f>
        <v>StepExecutions</v>
      </c>
      <c r="I1681" s="4" t="str">
        <f>_xlfn.IFNA(IF(((INDEX(RulebookFields!D2:D1898, MATCH(D1681,RulebookFields!A2:A1898, 0))="")=TRUE),  "",  INDEX(RulebookFields!D2:D1898, MATCH(D1681,RulebookFields!A2:A1898, 0))), "")</f>
        <v>ClaimsPassWithoutEvidence</v>
      </c>
      <c r="J1681" s="4" t="b">
        <f>_xlfn.IFNA(IF(((INDEX(RulebookFields!I2:I1898, MATCH(D1681,RulebookFields!A2:A1898, 0))="")=TRUE),  "",  INDEX(RulebookFields!I2:I1898, MATCH(D1681,RulebookFields!A2:A1898, 0))), "")</f>
        <v>1</v>
      </c>
      <c r="K1681" s="4" t="b">
        <f>AND(((F1681)=TRUE), ((J1681)=TRUE))</f>
        <v>0</v>
      </c>
      <c r="L1681" s="4" t="b">
        <f>AND(((G1681 &lt;&gt; "plain")=TRUE), ((G1681 &lt;&gt; "")=TRUE))</f>
        <v>0</v>
      </c>
      <c r="M1681" s="4" t="str">
        <f>IF(((E1681)=TRUE),  C1681 &amp; "|" &amp; H1681,  "")</f>
        <v>principal-process-steward|StepExecutions</v>
      </c>
      <c r="N1681" s="3" t="s">
        <v>10004</v>
      </c>
    </row>
    <row r="1682">
      <c r="A1682" s="3" t="s">
        <v>11684</v>
      </c>
      <c r="B1682" s="4" t="str">
        <f>C1682 &amp; " -&gt; " &amp; D1682</f>
        <v>principal-process-steward -&gt; StepExecutions.StepIsPreparation</v>
      </c>
      <c r="C1682" s="3" t="s">
        <v>9772</v>
      </c>
      <c r="D1682" s="3" t="s">
        <v>3626</v>
      </c>
      <c r="E1682" s="3" t="b">
        <v>1</v>
      </c>
      <c r="F1682" s="3" t="b">
        <v>0</v>
      </c>
      <c r="G1682" s="3" t="s">
        <v>10003</v>
      </c>
      <c r="H1682" s="4" t="str">
        <f>_xlfn.IFNA(IF(((INDEX(RulebookFields!C2:C1898, MATCH(D1682,RulebookFields!A2:A1898, 0))="")=TRUE),  "",  INDEX(RulebookFields!C2:C1898, MATCH(D1682,RulebookFields!A2:A1898, 0))), "")</f>
        <v>StepExecutions</v>
      </c>
      <c r="I1682" s="4" t="str">
        <f>_xlfn.IFNA(IF(((INDEX(RulebookFields!D2:D1898, MATCH(D1682,RulebookFields!A2:A1898, 0))="")=TRUE),  "",  INDEX(RulebookFields!D2:D1898, MATCH(D1682,RulebookFields!A2:A1898, 0))), "")</f>
        <v>StepIsPreparation</v>
      </c>
      <c r="J1682" s="4" t="b">
        <f>_xlfn.IFNA(IF(((INDEX(RulebookFields!I2:I1898, MATCH(D1682,RulebookFields!A2:A1898, 0))="")=TRUE),  "",  INDEX(RulebookFields!I2:I1898, MATCH(D1682,RulebookFields!A2:A1898, 0))), "")</f>
        <v>1</v>
      </c>
      <c r="K1682" s="4" t="b">
        <f>AND(((F1682)=TRUE), ((J1682)=TRUE))</f>
        <v>0</v>
      </c>
      <c r="L1682" s="4" t="b">
        <f>AND(((G1682 &lt;&gt; "plain")=TRUE), ((G1682 &lt;&gt; "")=TRUE))</f>
        <v>0</v>
      </c>
      <c r="M1682" s="4" t="str">
        <f>IF(((E1682)=TRUE),  C1682 &amp; "|" &amp; H1682,  "")</f>
        <v>principal-process-steward|StepExecutions</v>
      </c>
      <c r="N1682" s="3" t="s">
        <v>10004</v>
      </c>
    </row>
    <row r="1683">
      <c r="A1683" s="3" t="s">
        <v>11685</v>
      </c>
      <c r="B1683" s="4" t="str">
        <f>C1683 &amp; " -&gt; " &amp; D1683</f>
        <v>principal-process-steward -&gt; StepExecutions.StepIsApproval</v>
      </c>
      <c r="C1683" s="3" t="s">
        <v>9772</v>
      </c>
      <c r="D1683" s="3" t="s">
        <v>3628</v>
      </c>
      <c r="E1683" s="3" t="b">
        <v>1</v>
      </c>
      <c r="F1683" s="3" t="b">
        <v>0</v>
      </c>
      <c r="G1683" s="3" t="s">
        <v>10003</v>
      </c>
      <c r="H1683" s="4" t="str">
        <f>_xlfn.IFNA(IF(((INDEX(RulebookFields!C2:C1898, MATCH(D1683,RulebookFields!A2:A1898, 0))="")=TRUE),  "",  INDEX(RulebookFields!C2:C1898, MATCH(D1683,RulebookFields!A2:A1898, 0))), "")</f>
        <v>StepExecutions</v>
      </c>
      <c r="I1683" s="4" t="str">
        <f>_xlfn.IFNA(IF(((INDEX(RulebookFields!D2:D1898, MATCH(D1683,RulebookFields!A2:A1898, 0))="")=TRUE),  "",  INDEX(RulebookFields!D2:D1898, MATCH(D1683,RulebookFields!A2:A1898, 0))), "")</f>
        <v>StepIsApproval</v>
      </c>
      <c r="J1683" s="4" t="b">
        <f>_xlfn.IFNA(IF(((INDEX(RulebookFields!I2:I1898, MATCH(D1683,RulebookFields!A2:A1898, 0))="")=TRUE),  "",  INDEX(RulebookFields!I2:I1898, MATCH(D1683,RulebookFields!A2:A1898, 0))), "")</f>
        <v>1</v>
      </c>
      <c r="K1683" s="4" t="b">
        <f>AND(((F1683)=TRUE), ((J1683)=TRUE))</f>
        <v>0</v>
      </c>
      <c r="L1683" s="4" t="b">
        <f>AND(((G1683 &lt;&gt; "plain")=TRUE), ((G1683 &lt;&gt; "")=TRUE))</f>
        <v>0</v>
      </c>
      <c r="M1683" s="4" t="str">
        <f>IF(((E1683)=TRUE),  C1683 &amp; "|" &amp; H1683,  "")</f>
        <v>principal-process-steward|StepExecutions</v>
      </c>
      <c r="N1683" s="3" t="s">
        <v>10004</v>
      </c>
    </row>
    <row r="1684">
      <c r="A1684" s="3" t="s">
        <v>11686</v>
      </c>
      <c r="B1684" s="4" t="str">
        <f>C1684 &amp; " -&gt; " &amp; D1684</f>
        <v>principal-process-steward -&gt; StepExecutions.PreparerAgentKey</v>
      </c>
      <c r="C1684" s="3" t="s">
        <v>9772</v>
      </c>
      <c r="D1684" s="3" t="s">
        <v>3630</v>
      </c>
      <c r="E1684" s="3" t="b">
        <v>1</v>
      </c>
      <c r="F1684" s="3" t="b">
        <v>0</v>
      </c>
      <c r="G1684" s="3" t="s">
        <v>10003</v>
      </c>
      <c r="H1684" s="4" t="str">
        <f>_xlfn.IFNA(IF(((INDEX(RulebookFields!C2:C1898, MATCH(D1684,RulebookFields!A2:A1898, 0))="")=TRUE),  "",  INDEX(RulebookFields!C2:C1898, MATCH(D1684,RulebookFields!A2:A1898, 0))), "")</f>
        <v>StepExecutions</v>
      </c>
      <c r="I1684" s="4" t="str">
        <f>_xlfn.IFNA(IF(((INDEX(RulebookFields!D2:D1898, MATCH(D1684,RulebookFields!A2:A1898, 0))="")=TRUE),  "",  INDEX(RulebookFields!D2:D1898, MATCH(D1684,RulebookFields!A2:A1898, 0))), "")</f>
        <v>PreparerAgentKey</v>
      </c>
      <c r="J1684" s="4" t="b">
        <f>_xlfn.IFNA(IF(((INDEX(RulebookFields!I2:I1898, MATCH(D1684,RulebookFields!A2:A1898, 0))="")=TRUE),  "",  INDEX(RulebookFields!I2:I1898, MATCH(D1684,RulebookFields!A2:A1898, 0))), "")</f>
        <v>1</v>
      </c>
      <c r="K1684" s="4" t="b">
        <f>AND(((F1684)=TRUE), ((J1684)=TRUE))</f>
        <v>0</v>
      </c>
      <c r="L1684" s="4" t="b">
        <f>AND(((G1684 &lt;&gt; "plain")=TRUE), ((G1684 &lt;&gt; "")=TRUE))</f>
        <v>0</v>
      </c>
      <c r="M1684" s="4" t="str">
        <f>IF(((E1684)=TRUE),  C1684 &amp; "|" &amp; H1684,  "")</f>
        <v>principal-process-steward|StepExecutions</v>
      </c>
      <c r="N1684" s="3" t="s">
        <v>10004</v>
      </c>
    </row>
    <row r="1685">
      <c r="A1685" s="3" t="s">
        <v>11687</v>
      </c>
      <c r="B1685" s="4" t="str">
        <f>C1685 &amp; " -&gt; " &amp; D1685</f>
        <v>principal-process-steward -&gt; StepExecutions.ApproverAgentKey</v>
      </c>
      <c r="C1685" s="3" t="s">
        <v>9772</v>
      </c>
      <c r="D1685" s="3" t="s">
        <v>3632</v>
      </c>
      <c r="E1685" s="3" t="b">
        <v>1</v>
      </c>
      <c r="F1685" s="3" t="b">
        <v>0</v>
      </c>
      <c r="G1685" s="3" t="s">
        <v>10003</v>
      </c>
      <c r="H1685" s="4" t="str">
        <f>_xlfn.IFNA(IF(((INDEX(RulebookFields!C2:C1898, MATCH(D1685,RulebookFields!A2:A1898, 0))="")=TRUE),  "",  INDEX(RulebookFields!C2:C1898, MATCH(D1685,RulebookFields!A2:A1898, 0))), "")</f>
        <v>StepExecutions</v>
      </c>
      <c r="I1685" s="4" t="str">
        <f>_xlfn.IFNA(IF(((INDEX(RulebookFields!D2:D1898, MATCH(D1685,RulebookFields!A2:A1898, 0))="")=TRUE),  "",  INDEX(RulebookFields!D2:D1898, MATCH(D1685,RulebookFields!A2:A1898, 0))), "")</f>
        <v>ApproverAgentKey</v>
      </c>
      <c r="J1685" s="4" t="b">
        <f>_xlfn.IFNA(IF(((INDEX(RulebookFields!I2:I1898, MATCH(D1685,RulebookFields!A2:A1898, 0))="")=TRUE),  "",  INDEX(RulebookFields!I2:I1898, MATCH(D1685,RulebookFields!A2:A1898, 0))), "")</f>
        <v>1</v>
      </c>
      <c r="K1685" s="4" t="b">
        <f>AND(((F1685)=TRUE), ((J1685)=TRUE))</f>
        <v>0</v>
      </c>
      <c r="L1685" s="4" t="b">
        <f>AND(((G1685 &lt;&gt; "plain")=TRUE), ((G1685 &lt;&gt; "")=TRUE))</f>
        <v>0</v>
      </c>
      <c r="M1685" s="4" t="str">
        <f>IF(((E1685)=TRUE),  C1685 &amp; "|" &amp; H1685,  "")</f>
        <v>principal-process-steward|StepExecutions</v>
      </c>
      <c r="N1685" s="3" t="s">
        <v>10004</v>
      </c>
    </row>
    <row r="1686">
      <c r="A1686" s="3" t="s">
        <v>11688</v>
      </c>
      <c r="B1686" s="4" t="str">
        <f>C1686 &amp; " -&gt; " &amp; D1686</f>
        <v>principal-process-steward -&gt; StepExecutions.PreparedByThisAgentCount</v>
      </c>
      <c r="C1686" s="3" t="s">
        <v>9772</v>
      </c>
      <c r="D1686" s="3" t="s">
        <v>3634</v>
      </c>
      <c r="E1686" s="3" t="b">
        <v>1</v>
      </c>
      <c r="F1686" s="3" t="b">
        <v>0</v>
      </c>
      <c r="G1686" s="3" t="s">
        <v>10003</v>
      </c>
      <c r="H1686" s="4" t="str">
        <f>_xlfn.IFNA(IF(((INDEX(RulebookFields!C2:C1898, MATCH(D1686,RulebookFields!A2:A1898, 0))="")=TRUE),  "",  INDEX(RulebookFields!C2:C1898, MATCH(D1686,RulebookFields!A2:A1898, 0))), "")</f>
        <v>StepExecutions</v>
      </c>
      <c r="I1686" s="4" t="str">
        <f>_xlfn.IFNA(IF(((INDEX(RulebookFields!D2:D1898, MATCH(D1686,RulebookFields!A2:A1898, 0))="")=TRUE),  "",  INDEX(RulebookFields!D2:D1898, MATCH(D1686,RulebookFields!A2:A1898, 0))), "")</f>
        <v>PreparedByThisAgentCount</v>
      </c>
      <c r="J1686" s="4" t="b">
        <f>_xlfn.IFNA(IF(((INDEX(RulebookFields!I2:I1898, MATCH(D1686,RulebookFields!A2:A1898, 0))="")=TRUE),  "",  INDEX(RulebookFields!I2:I1898, MATCH(D1686,RulebookFields!A2:A1898, 0))), "")</f>
        <v>1</v>
      </c>
      <c r="K1686" s="4" t="b">
        <f>AND(((F1686)=TRUE), ((J1686)=TRUE))</f>
        <v>0</v>
      </c>
      <c r="L1686" s="4" t="b">
        <f>AND(((G1686 &lt;&gt; "plain")=TRUE), ((G1686 &lt;&gt; "")=TRUE))</f>
        <v>0</v>
      </c>
      <c r="M1686" s="4" t="str">
        <f>IF(((E1686)=TRUE),  C1686 &amp; "|" &amp; H1686,  "")</f>
        <v>principal-process-steward|StepExecutions</v>
      </c>
      <c r="N1686" s="3" t="s">
        <v>10004</v>
      </c>
    </row>
    <row r="1687">
      <c r="A1687" s="3" t="s">
        <v>11689</v>
      </c>
      <c r="B1687" s="4" t="str">
        <f>C1687 &amp; " -&gt; " &amp; D1687</f>
        <v>principal-process-steward -&gt; StepExecutions.ViolatesSeparationOfDuties</v>
      </c>
      <c r="C1687" s="3" t="s">
        <v>9772</v>
      </c>
      <c r="D1687" s="3" t="s">
        <v>858</v>
      </c>
      <c r="E1687" s="3" t="b">
        <v>1</v>
      </c>
      <c r="F1687" s="3" t="b">
        <v>0</v>
      </c>
      <c r="G1687" s="3" t="s">
        <v>10003</v>
      </c>
      <c r="H1687" s="4" t="str">
        <f>_xlfn.IFNA(IF(((INDEX(RulebookFields!C2:C1898, MATCH(D1687,RulebookFields!A2:A1898, 0))="")=TRUE),  "",  INDEX(RulebookFields!C2:C1898, MATCH(D1687,RulebookFields!A2:A1898, 0))), "")</f>
        <v>StepExecutions</v>
      </c>
      <c r="I1687" s="4" t="str">
        <f>_xlfn.IFNA(IF(((INDEX(RulebookFields!D2:D1898, MATCH(D1687,RulebookFields!A2:A1898, 0))="")=TRUE),  "",  INDEX(RulebookFields!D2:D1898, MATCH(D1687,RulebookFields!A2:A1898, 0))), "")</f>
        <v>ViolatesSeparationOfDuties</v>
      </c>
      <c r="J1687" s="4" t="b">
        <f>_xlfn.IFNA(IF(((INDEX(RulebookFields!I2:I1898, MATCH(D1687,RulebookFields!A2:A1898, 0))="")=TRUE),  "",  INDEX(RulebookFields!I2:I1898, MATCH(D1687,RulebookFields!A2:A1898, 0))), "")</f>
        <v>1</v>
      </c>
      <c r="K1687" s="4" t="b">
        <f>AND(((F1687)=TRUE), ((J1687)=TRUE))</f>
        <v>0</v>
      </c>
      <c r="L1687" s="4" t="b">
        <f>AND(((G1687 &lt;&gt; "plain")=TRUE), ((G1687 &lt;&gt; "")=TRUE))</f>
        <v>0</v>
      </c>
      <c r="M1687" s="4" t="str">
        <f>IF(((E1687)=TRUE),  C1687 &amp; "|" &amp; H1687,  "")</f>
        <v>principal-process-steward|StepExecutions</v>
      </c>
      <c r="N1687" s="3" t="s">
        <v>10004</v>
      </c>
    </row>
    <row r="1688">
      <c r="A1688" s="3" t="s">
        <v>11690</v>
      </c>
      <c r="B1688" s="4" t="str">
        <f>C1688 &amp; " -&gt; " &amp; D1688</f>
        <v>principal-process-steward -&gt; StepExecutions.RequiredRoleForStep</v>
      </c>
      <c r="C1688" s="3" t="s">
        <v>9772</v>
      </c>
      <c r="D1688" s="3" t="s">
        <v>3637</v>
      </c>
      <c r="E1688" s="3" t="b">
        <v>1</v>
      </c>
      <c r="F1688" s="3" t="b">
        <v>0</v>
      </c>
      <c r="G1688" s="3" t="s">
        <v>10003</v>
      </c>
      <c r="H1688" s="4" t="str">
        <f>_xlfn.IFNA(IF(((INDEX(RulebookFields!C2:C1898, MATCH(D1688,RulebookFields!A2:A1898, 0))="")=TRUE),  "",  INDEX(RulebookFields!C2:C1898, MATCH(D1688,RulebookFields!A2:A1898, 0))), "")</f>
        <v>StepExecutions</v>
      </c>
      <c r="I1688" s="4" t="str">
        <f>_xlfn.IFNA(IF(((INDEX(RulebookFields!D2:D1898, MATCH(D1688,RulebookFields!A2:A1898, 0))="")=TRUE),  "",  INDEX(RulebookFields!D2:D1898, MATCH(D1688,RulebookFields!A2:A1898, 0))), "")</f>
        <v>RequiredRoleForStep</v>
      </c>
      <c r="J1688" s="4" t="b">
        <f>_xlfn.IFNA(IF(((INDEX(RulebookFields!I2:I1898, MATCH(D1688,RulebookFields!A2:A1898, 0))="")=TRUE),  "",  INDEX(RulebookFields!I2:I1898, MATCH(D1688,RulebookFields!A2:A1898, 0))), "")</f>
        <v>1</v>
      </c>
      <c r="K1688" s="4" t="b">
        <f>AND(((F1688)=TRUE), ((J1688)=TRUE))</f>
        <v>0</v>
      </c>
      <c r="L1688" s="4" t="b">
        <f>AND(((G1688 &lt;&gt; "plain")=TRUE), ((G1688 &lt;&gt; "")=TRUE))</f>
        <v>0</v>
      </c>
      <c r="M1688" s="4" t="str">
        <f>IF(((E1688)=TRUE),  C1688 &amp; "|" &amp; H1688,  "")</f>
        <v>principal-process-steward|StepExecutions</v>
      </c>
      <c r="N1688" s="3" t="s">
        <v>10004</v>
      </c>
    </row>
    <row r="1689">
      <c r="A1689" s="3" t="s">
        <v>11691</v>
      </c>
      <c r="B1689" s="4" t="str">
        <f>C1689 &amp; " -&gt; " &amp; D1689</f>
        <v>principal-process-steward -&gt; StepExecutions.ExecutorRoleKey</v>
      </c>
      <c r="C1689" s="3" t="s">
        <v>9772</v>
      </c>
      <c r="D1689" s="3" t="s">
        <v>3639</v>
      </c>
      <c r="E1689" s="3" t="b">
        <v>1</v>
      </c>
      <c r="F1689" s="3" t="b">
        <v>0</v>
      </c>
      <c r="G1689" s="3" t="s">
        <v>10003</v>
      </c>
      <c r="H1689" s="4" t="str">
        <f>_xlfn.IFNA(IF(((INDEX(RulebookFields!C2:C1898, MATCH(D1689,RulebookFields!A2:A1898, 0))="")=TRUE),  "",  INDEX(RulebookFields!C2:C1898, MATCH(D1689,RulebookFields!A2:A1898, 0))), "")</f>
        <v>StepExecutions</v>
      </c>
      <c r="I1689" s="4" t="str">
        <f>_xlfn.IFNA(IF(((INDEX(RulebookFields!D2:D1898, MATCH(D1689,RulebookFields!A2:A1898, 0))="")=TRUE),  "",  INDEX(RulebookFields!D2:D1898, MATCH(D1689,RulebookFields!A2:A1898, 0))), "")</f>
        <v>ExecutorRoleKey</v>
      </c>
      <c r="J1689" s="4" t="b">
        <f>_xlfn.IFNA(IF(((INDEX(RulebookFields!I2:I1898, MATCH(D1689,RulebookFields!A2:A1898, 0))="")=TRUE),  "",  INDEX(RulebookFields!I2:I1898, MATCH(D1689,RulebookFields!A2:A1898, 0))), "")</f>
        <v>1</v>
      </c>
      <c r="K1689" s="4" t="b">
        <f>AND(((F1689)=TRUE), ((J1689)=TRUE))</f>
        <v>0</v>
      </c>
      <c r="L1689" s="4" t="b">
        <f>AND(((G1689 &lt;&gt; "plain")=TRUE), ((G1689 &lt;&gt; "")=TRUE))</f>
        <v>0</v>
      </c>
      <c r="M1689" s="4" t="str">
        <f>IF(((E1689)=TRUE),  C1689 &amp; "|" &amp; H1689,  "")</f>
        <v>principal-process-steward|StepExecutions</v>
      </c>
      <c r="N1689" s="3" t="s">
        <v>10004</v>
      </c>
    </row>
    <row r="1690">
      <c r="A1690" s="3" t="s">
        <v>11692</v>
      </c>
      <c r="B1690" s="4" t="str">
        <f>C1690 &amp; " -&gt; " &amp; D1690</f>
        <v>principal-process-steward -&gt; StepExecutions.ExecutorAuthorityCount</v>
      </c>
      <c r="C1690" s="3" t="s">
        <v>9772</v>
      </c>
      <c r="D1690" s="3" t="s">
        <v>3641</v>
      </c>
      <c r="E1690" s="3" t="b">
        <v>1</v>
      </c>
      <c r="F1690" s="3" t="b">
        <v>0</v>
      </c>
      <c r="G1690" s="3" t="s">
        <v>10003</v>
      </c>
      <c r="H1690" s="4" t="str">
        <f>_xlfn.IFNA(IF(((INDEX(RulebookFields!C2:C1898, MATCH(D1690,RulebookFields!A2:A1898, 0))="")=TRUE),  "",  INDEX(RulebookFields!C2:C1898, MATCH(D1690,RulebookFields!A2:A1898, 0))), "")</f>
        <v>StepExecutions</v>
      </c>
      <c r="I1690" s="4" t="str">
        <f>_xlfn.IFNA(IF(((INDEX(RulebookFields!D2:D1898, MATCH(D1690,RulebookFields!A2:A1898, 0))="")=TRUE),  "",  INDEX(RulebookFields!D2:D1898, MATCH(D1690,RulebookFields!A2:A1898, 0))), "")</f>
        <v>ExecutorAuthorityCount</v>
      </c>
      <c r="J1690" s="4" t="b">
        <f>_xlfn.IFNA(IF(((INDEX(RulebookFields!I2:I1898, MATCH(D1690,RulebookFields!A2:A1898, 0))="")=TRUE),  "",  INDEX(RulebookFields!I2:I1898, MATCH(D1690,RulebookFields!A2:A1898, 0))), "")</f>
        <v>1</v>
      </c>
      <c r="K1690" s="4" t="b">
        <f>AND(((F1690)=TRUE), ((J1690)=TRUE))</f>
        <v>0</v>
      </c>
      <c r="L1690" s="4" t="b">
        <f>AND(((G1690 &lt;&gt; "plain")=TRUE), ((G1690 &lt;&gt; "")=TRUE))</f>
        <v>0</v>
      </c>
      <c r="M1690" s="4" t="str">
        <f>IF(((E1690)=TRUE),  C1690 &amp; "|" &amp; H1690,  "")</f>
        <v>principal-process-steward|StepExecutions</v>
      </c>
      <c r="N1690" s="3" t="s">
        <v>10004</v>
      </c>
    </row>
    <row r="1691">
      <c r="A1691" s="3" t="s">
        <v>11693</v>
      </c>
      <c r="B1691" s="4" t="str">
        <f>C1691 &amp; " -&gt; " &amp; D1691</f>
        <v>principal-process-steward -&gt; StepExecutions.ExecutorHeldRequiredRole</v>
      </c>
      <c r="C1691" s="3" t="s">
        <v>9772</v>
      </c>
      <c r="D1691" s="3" t="s">
        <v>3643</v>
      </c>
      <c r="E1691" s="3" t="b">
        <v>1</v>
      </c>
      <c r="F1691" s="3" t="b">
        <v>0</v>
      </c>
      <c r="G1691" s="3" t="s">
        <v>10003</v>
      </c>
      <c r="H1691" s="4" t="str">
        <f>_xlfn.IFNA(IF(((INDEX(RulebookFields!C2:C1898, MATCH(D1691,RulebookFields!A2:A1898, 0))="")=TRUE),  "",  INDEX(RulebookFields!C2:C1898, MATCH(D1691,RulebookFields!A2:A1898, 0))), "")</f>
        <v>StepExecutions</v>
      </c>
      <c r="I1691" s="4" t="str">
        <f>_xlfn.IFNA(IF(((INDEX(RulebookFields!D2:D1898, MATCH(D1691,RulebookFields!A2:A1898, 0))="")=TRUE),  "",  INDEX(RulebookFields!D2:D1898, MATCH(D1691,RulebookFields!A2:A1898, 0))), "")</f>
        <v>ExecutorHeldRequiredRole</v>
      </c>
      <c r="J1691" s="4" t="b">
        <f>_xlfn.IFNA(IF(((INDEX(RulebookFields!I2:I1898, MATCH(D1691,RulebookFields!A2:A1898, 0))="")=TRUE),  "",  INDEX(RulebookFields!I2:I1898, MATCH(D1691,RulebookFields!A2:A1898, 0))), "")</f>
        <v>1</v>
      </c>
      <c r="K1691" s="4" t="b">
        <f>AND(((F1691)=TRUE), ((J1691)=TRUE))</f>
        <v>0</v>
      </c>
      <c r="L1691" s="4" t="b">
        <f>AND(((G1691 &lt;&gt; "plain")=TRUE), ((G1691 &lt;&gt; "")=TRUE))</f>
        <v>0</v>
      </c>
      <c r="M1691" s="4" t="str">
        <f>IF(((E1691)=TRUE),  C1691 &amp; "|" &amp; H1691,  "")</f>
        <v>principal-process-steward|StepExecutions</v>
      </c>
      <c r="N1691" s="3" t="s">
        <v>10004</v>
      </c>
    </row>
    <row r="1692">
      <c r="A1692" s="3" t="s">
        <v>11694</v>
      </c>
      <c r="B1692" s="4" t="str">
        <f>C1692 &amp; " -&gt; " &amp; D1692</f>
        <v>principal-process-steward -&gt; StepExecutions.IsUnauthorizedApproval</v>
      </c>
      <c r="C1692" s="3" t="s">
        <v>9772</v>
      </c>
      <c r="D1692" s="3" t="s">
        <v>3645</v>
      </c>
      <c r="E1692" s="3" t="b">
        <v>1</v>
      </c>
      <c r="F1692" s="3" t="b">
        <v>0</v>
      </c>
      <c r="G1692" s="3" t="s">
        <v>10003</v>
      </c>
      <c r="H1692" s="4" t="str">
        <f>_xlfn.IFNA(IF(((INDEX(RulebookFields!C2:C1898, MATCH(D1692,RulebookFields!A2:A1898, 0))="")=TRUE),  "",  INDEX(RulebookFields!C2:C1898, MATCH(D1692,RulebookFields!A2:A1898, 0))), "")</f>
        <v>StepExecutions</v>
      </c>
      <c r="I1692" s="4" t="str">
        <f>_xlfn.IFNA(IF(((INDEX(RulebookFields!D2:D1898, MATCH(D1692,RulebookFields!A2:A1898, 0))="")=TRUE),  "",  INDEX(RulebookFields!D2:D1898, MATCH(D1692,RulebookFields!A2:A1898, 0))), "")</f>
        <v>IsUnauthorizedApproval</v>
      </c>
      <c r="J1692" s="4" t="b">
        <f>_xlfn.IFNA(IF(((INDEX(RulebookFields!I2:I1898, MATCH(D1692,RulebookFields!A2:A1898, 0))="")=TRUE),  "",  INDEX(RulebookFields!I2:I1898, MATCH(D1692,RulebookFields!A2:A1898, 0))), "")</f>
        <v>1</v>
      </c>
      <c r="K1692" s="4" t="b">
        <f>AND(((F1692)=TRUE), ((J1692)=TRUE))</f>
        <v>0</v>
      </c>
      <c r="L1692" s="4" t="b">
        <f>AND(((G1692 &lt;&gt; "plain")=TRUE), ((G1692 &lt;&gt; "")=TRUE))</f>
        <v>0</v>
      </c>
      <c r="M1692" s="4" t="str">
        <f>IF(((E1692)=TRUE),  C1692 &amp; "|" &amp; H1692,  "")</f>
        <v>principal-process-steward|StepExecutions</v>
      </c>
      <c r="N1692" s="3" t="s">
        <v>10004</v>
      </c>
    </row>
    <row r="1693">
      <c r="A1693" s="3" t="s">
        <v>11695</v>
      </c>
      <c r="B1693" s="4" t="str">
        <f>C1693 &amp; " -&gt; " &amp; D1693</f>
        <v>principal-process-steward -&gt; StepExecutions.CompletedExecutionKey</v>
      </c>
      <c r="C1693" s="3" t="s">
        <v>9772</v>
      </c>
      <c r="D1693" s="3" t="s">
        <v>3647</v>
      </c>
      <c r="E1693" s="3" t="b">
        <v>1</v>
      </c>
      <c r="F1693" s="3" t="b">
        <v>0</v>
      </c>
      <c r="G1693" s="3" t="s">
        <v>10003</v>
      </c>
      <c r="H1693" s="4" t="str">
        <f>_xlfn.IFNA(IF(((INDEX(RulebookFields!C2:C1898, MATCH(D1693,RulebookFields!A2:A1898, 0))="")=TRUE),  "",  INDEX(RulebookFields!C2:C1898, MATCH(D1693,RulebookFields!A2:A1898, 0))), "")</f>
        <v>StepExecutions</v>
      </c>
      <c r="I1693" s="4" t="str">
        <f>_xlfn.IFNA(IF(((INDEX(RulebookFields!D2:D1898, MATCH(D1693,RulebookFields!A2:A1898, 0))="")=TRUE),  "",  INDEX(RulebookFields!D2:D1898, MATCH(D1693,RulebookFields!A2:A1898, 0))), "")</f>
        <v>CompletedExecutionKey</v>
      </c>
      <c r="J1693" s="4" t="b">
        <f>_xlfn.IFNA(IF(((INDEX(RulebookFields!I2:I1898, MATCH(D1693,RulebookFields!A2:A1898, 0))="")=TRUE),  "",  INDEX(RulebookFields!I2:I1898, MATCH(D1693,RulebookFields!A2:A1898, 0))), "")</f>
        <v>1</v>
      </c>
      <c r="K1693" s="4" t="b">
        <f>AND(((F1693)=TRUE), ((J1693)=TRUE))</f>
        <v>0</v>
      </c>
      <c r="L1693" s="4" t="b">
        <f>AND(((G1693 &lt;&gt; "plain")=TRUE), ((G1693 &lt;&gt; "")=TRUE))</f>
        <v>0</v>
      </c>
      <c r="M1693" s="4" t="str">
        <f>IF(((E1693)=TRUE),  C1693 &amp; "|" &amp; H1693,  "")</f>
        <v>principal-process-steward|StepExecutions</v>
      </c>
      <c r="N1693" s="3" t="s">
        <v>10004</v>
      </c>
    </row>
    <row r="1694">
      <c r="A1694" s="3" t="s">
        <v>11696</v>
      </c>
      <c r="B1694" s="4" t="str">
        <f>C1694 &amp; " -&gt; " &amp; D1694</f>
        <v>principal-process-steward -&gt; StepExecutions.ControlBreachExecutionKey</v>
      </c>
      <c r="C1694" s="3" t="s">
        <v>9772</v>
      </c>
      <c r="D1694" s="3" t="s">
        <v>3649</v>
      </c>
      <c r="E1694" s="3" t="b">
        <v>1</v>
      </c>
      <c r="F1694" s="3" t="b">
        <v>0</v>
      </c>
      <c r="G1694" s="3" t="s">
        <v>10003</v>
      </c>
      <c r="H1694" s="4" t="str">
        <f>_xlfn.IFNA(IF(((INDEX(RulebookFields!C2:C1898, MATCH(D1694,RulebookFields!A2:A1898, 0))="")=TRUE),  "",  INDEX(RulebookFields!C2:C1898, MATCH(D1694,RulebookFields!A2:A1898, 0))), "")</f>
        <v>StepExecutions</v>
      </c>
      <c r="I1694" s="4" t="str">
        <f>_xlfn.IFNA(IF(((INDEX(RulebookFields!D2:D1898, MATCH(D1694,RulebookFields!A2:A1898, 0))="")=TRUE),  "",  INDEX(RulebookFields!D2:D1898, MATCH(D1694,RulebookFields!A2:A1898, 0))), "")</f>
        <v>ControlBreachExecutionKey</v>
      </c>
      <c r="J1694" s="4" t="b">
        <f>_xlfn.IFNA(IF(((INDEX(RulebookFields!I2:I1898, MATCH(D1694,RulebookFields!A2:A1898, 0))="")=TRUE),  "",  INDEX(RulebookFields!I2:I1898, MATCH(D1694,RulebookFields!A2:A1898, 0))), "")</f>
        <v>1</v>
      </c>
      <c r="K1694" s="4" t="b">
        <f>AND(((F1694)=TRUE), ((J1694)=TRUE))</f>
        <v>0</v>
      </c>
      <c r="L1694" s="4" t="b">
        <f>AND(((G1694 &lt;&gt; "plain")=TRUE), ((G1694 &lt;&gt; "")=TRUE))</f>
        <v>0</v>
      </c>
      <c r="M1694" s="4" t="str">
        <f>IF(((E1694)=TRUE),  C1694 &amp; "|" &amp; H1694,  "")</f>
        <v>principal-process-steward|StepExecutions</v>
      </c>
      <c r="N1694" s="3" t="s">
        <v>10004</v>
      </c>
    </row>
    <row r="1695">
      <c r="A1695" s="3" t="s">
        <v>11697</v>
      </c>
      <c r="B1695" s="4" t="str">
        <f>C1695 &amp; " -&gt; " &amp; D1695</f>
        <v>principal-process-steward -&gt; StepExecutions.LateExecutionKey</v>
      </c>
      <c r="C1695" s="3" t="s">
        <v>9772</v>
      </c>
      <c r="D1695" s="3" t="s">
        <v>3651</v>
      </c>
      <c r="E1695" s="3" t="b">
        <v>1</v>
      </c>
      <c r="F1695" s="3" t="b">
        <v>0</v>
      </c>
      <c r="G1695" s="3" t="s">
        <v>10003</v>
      </c>
      <c r="H1695" s="4" t="str">
        <f>_xlfn.IFNA(IF(((INDEX(RulebookFields!C2:C1898, MATCH(D1695,RulebookFields!A2:A1898, 0))="")=TRUE),  "",  INDEX(RulebookFields!C2:C1898, MATCH(D1695,RulebookFields!A2:A1898, 0))), "")</f>
        <v>StepExecutions</v>
      </c>
      <c r="I1695" s="4" t="str">
        <f>_xlfn.IFNA(IF(((INDEX(RulebookFields!D2:D1898, MATCH(D1695,RulebookFields!A2:A1898, 0))="")=TRUE),  "",  INDEX(RulebookFields!D2:D1898, MATCH(D1695,RulebookFields!A2:A1898, 0))), "")</f>
        <v>LateExecutionKey</v>
      </c>
      <c r="J1695" s="4" t="b">
        <f>_xlfn.IFNA(IF(((INDEX(RulebookFields!I2:I1898, MATCH(D1695,RulebookFields!A2:A1898, 0))="")=TRUE),  "",  INDEX(RulebookFields!I2:I1898, MATCH(D1695,RulebookFields!A2:A1898, 0))), "")</f>
        <v>1</v>
      </c>
      <c r="K1695" s="4" t="b">
        <f>AND(((F1695)=TRUE), ((J1695)=TRUE))</f>
        <v>0</v>
      </c>
      <c r="L1695" s="4" t="b">
        <f>AND(((G1695 &lt;&gt; "plain")=TRUE), ((G1695 &lt;&gt; "")=TRUE))</f>
        <v>0</v>
      </c>
      <c r="M1695" s="4" t="str">
        <f>IF(((E1695)=TRUE),  C1695 &amp; "|" &amp; H1695,  "")</f>
        <v>principal-process-steward|StepExecutions</v>
      </c>
      <c r="N1695" s="3" t="s">
        <v>10004</v>
      </c>
    </row>
    <row r="1696">
      <c r="A1696" s="3" t="s">
        <v>11698</v>
      </c>
      <c r="B1696" s="4" t="str">
        <f>C1696 &amp; " -&gt; " &amp; D1696</f>
        <v>principal-process-steward -&gt; StepExecutions.ExecutorAgentKind</v>
      </c>
      <c r="C1696" s="3" t="s">
        <v>9772</v>
      </c>
      <c r="D1696" s="3" t="s">
        <v>3653</v>
      </c>
      <c r="E1696" s="3" t="b">
        <v>1</v>
      </c>
      <c r="F1696" s="3" t="b">
        <v>0</v>
      </c>
      <c r="G1696" s="3" t="s">
        <v>10003</v>
      </c>
      <c r="H1696" s="4" t="str">
        <f>_xlfn.IFNA(IF(((INDEX(RulebookFields!C2:C1898, MATCH(D1696,RulebookFields!A2:A1898, 0))="")=TRUE),  "",  INDEX(RulebookFields!C2:C1898, MATCH(D1696,RulebookFields!A2:A1898, 0))), "")</f>
        <v>StepExecutions</v>
      </c>
      <c r="I1696" s="4" t="str">
        <f>_xlfn.IFNA(IF(((INDEX(RulebookFields!D2:D1898, MATCH(D1696,RulebookFields!A2:A1898, 0))="")=TRUE),  "",  INDEX(RulebookFields!D2:D1898, MATCH(D1696,RulebookFields!A2:A1898, 0))), "")</f>
        <v>ExecutorAgentKind</v>
      </c>
      <c r="J1696" s="4" t="b">
        <f>_xlfn.IFNA(IF(((INDEX(RulebookFields!I2:I1898, MATCH(D1696,RulebookFields!A2:A1898, 0))="")=TRUE),  "",  INDEX(RulebookFields!I2:I1898, MATCH(D1696,RulebookFields!A2:A1898, 0))), "")</f>
        <v>1</v>
      </c>
      <c r="K1696" s="4" t="b">
        <f>AND(((F1696)=TRUE), ((J1696)=TRUE))</f>
        <v>0</v>
      </c>
      <c r="L1696" s="4" t="b">
        <f>AND(((G1696 &lt;&gt; "plain")=TRUE), ((G1696 &lt;&gt; "")=TRUE))</f>
        <v>0</v>
      </c>
      <c r="M1696" s="4" t="str">
        <f>IF(((E1696)=TRUE),  C1696 &amp; "|" &amp; H1696,  "")</f>
        <v>principal-process-steward|StepExecutions</v>
      </c>
      <c r="N1696" s="3" t="s">
        <v>10004</v>
      </c>
    </row>
    <row r="1697">
      <c r="A1697" s="3" t="s">
        <v>11699</v>
      </c>
      <c r="B1697" s="4" t="str">
        <f>C1697 &amp; " -&gt; " &amp; D1697</f>
        <v>principal-process-steward -&gt; StepExecutions.ExecutorIsHuman</v>
      </c>
      <c r="C1697" s="3" t="s">
        <v>9772</v>
      </c>
      <c r="D1697" s="3" t="s">
        <v>3655</v>
      </c>
      <c r="E1697" s="3" t="b">
        <v>1</v>
      </c>
      <c r="F1697" s="3" t="b">
        <v>0</v>
      </c>
      <c r="G1697" s="3" t="s">
        <v>10003</v>
      </c>
      <c r="H1697" s="4" t="str">
        <f>_xlfn.IFNA(IF(((INDEX(RulebookFields!C2:C1898, MATCH(D1697,RulebookFields!A2:A1898, 0))="")=TRUE),  "",  INDEX(RulebookFields!C2:C1898, MATCH(D1697,RulebookFields!A2:A1898, 0))), "")</f>
        <v>StepExecutions</v>
      </c>
      <c r="I1697" s="4" t="str">
        <f>_xlfn.IFNA(IF(((INDEX(RulebookFields!D2:D1898, MATCH(D1697,RulebookFields!A2:A1898, 0))="")=TRUE),  "",  INDEX(RulebookFields!D2:D1898, MATCH(D1697,RulebookFields!A2:A1898, 0))), "")</f>
        <v>ExecutorIsHuman</v>
      </c>
      <c r="J1697" s="4" t="b">
        <f>_xlfn.IFNA(IF(((INDEX(RulebookFields!I2:I1898, MATCH(D1697,RulebookFields!A2:A1898, 0))="")=TRUE),  "",  INDEX(RulebookFields!I2:I1898, MATCH(D1697,RulebookFields!A2:A1898, 0))), "")</f>
        <v>1</v>
      </c>
      <c r="K1697" s="4" t="b">
        <f>AND(((F1697)=TRUE), ((J1697)=TRUE))</f>
        <v>0</v>
      </c>
      <c r="L1697" s="4" t="b">
        <f>AND(((G1697 &lt;&gt; "plain")=TRUE), ((G1697 &lt;&gt; "")=TRUE))</f>
        <v>0</v>
      </c>
      <c r="M1697" s="4" t="str">
        <f>IF(((E1697)=TRUE),  C1697 &amp; "|" &amp; H1697,  "")</f>
        <v>principal-process-steward|StepExecutions</v>
      </c>
      <c r="N1697" s="3" t="s">
        <v>10004</v>
      </c>
    </row>
    <row r="1698">
      <c r="A1698" s="3" t="s">
        <v>11700</v>
      </c>
      <c r="B1698" s="4" t="str">
        <f>C1698 &amp; " -&gt; " &amp; D1698</f>
        <v>principal-process-steward -&gt; StepExecutions.StepRequiresHumanConfirmation</v>
      </c>
      <c r="C1698" s="3" t="s">
        <v>9772</v>
      </c>
      <c r="D1698" s="3" t="s">
        <v>3657</v>
      </c>
      <c r="E1698" s="3" t="b">
        <v>1</v>
      </c>
      <c r="F1698" s="3" t="b">
        <v>0</v>
      </c>
      <c r="G1698" s="3" t="s">
        <v>10003</v>
      </c>
      <c r="H1698" s="4" t="str">
        <f>_xlfn.IFNA(IF(((INDEX(RulebookFields!C2:C1898, MATCH(D1698,RulebookFields!A2:A1898, 0))="")=TRUE),  "",  INDEX(RulebookFields!C2:C1898, MATCH(D1698,RulebookFields!A2:A1898, 0))), "")</f>
        <v>StepExecutions</v>
      </c>
      <c r="I1698" s="4" t="str">
        <f>_xlfn.IFNA(IF(((INDEX(RulebookFields!D2:D1898, MATCH(D1698,RulebookFields!A2:A1898, 0))="")=TRUE),  "",  INDEX(RulebookFields!D2:D1898, MATCH(D1698,RulebookFields!A2:A1898, 0))), "")</f>
        <v>StepRequiresHumanConfirmation</v>
      </c>
      <c r="J1698" s="4" t="b">
        <f>_xlfn.IFNA(IF(((INDEX(RulebookFields!I2:I1898, MATCH(D1698,RulebookFields!A2:A1898, 0))="")=TRUE),  "",  INDEX(RulebookFields!I2:I1898, MATCH(D1698,RulebookFields!A2:A1898, 0))), "")</f>
        <v>1</v>
      </c>
      <c r="K1698" s="4" t="b">
        <f>AND(((F1698)=TRUE), ((J1698)=TRUE))</f>
        <v>0</v>
      </c>
      <c r="L1698" s="4" t="b">
        <f>AND(((G1698 &lt;&gt; "plain")=TRUE), ((G1698 &lt;&gt; "")=TRUE))</f>
        <v>0</v>
      </c>
      <c r="M1698" s="4" t="str">
        <f>IF(((E1698)=TRUE),  C1698 &amp; "|" &amp; H1698,  "")</f>
        <v>principal-process-steward|StepExecutions</v>
      </c>
      <c r="N1698" s="3" t="s">
        <v>10004</v>
      </c>
    </row>
    <row r="1699">
      <c r="A1699" s="3" t="s">
        <v>11701</v>
      </c>
      <c r="B1699" s="4" t="str">
        <f>C1699 &amp; " -&gt; " &amp; D1699</f>
        <v>principal-process-steward -&gt; StepExecutions.NonHumanRanHumanStep</v>
      </c>
      <c r="C1699" s="3" t="s">
        <v>9772</v>
      </c>
      <c r="D1699" s="3" t="s">
        <v>3659</v>
      </c>
      <c r="E1699" s="3" t="b">
        <v>1</v>
      </c>
      <c r="F1699" s="3" t="b">
        <v>0</v>
      </c>
      <c r="G1699" s="3" t="s">
        <v>10003</v>
      </c>
      <c r="H1699" s="4" t="str">
        <f>_xlfn.IFNA(IF(((INDEX(RulebookFields!C2:C1898, MATCH(D1699,RulebookFields!A2:A1898, 0))="")=TRUE),  "",  INDEX(RulebookFields!C2:C1898, MATCH(D1699,RulebookFields!A2:A1898, 0))), "")</f>
        <v>StepExecutions</v>
      </c>
      <c r="I1699" s="4" t="str">
        <f>_xlfn.IFNA(IF(((INDEX(RulebookFields!D2:D1898, MATCH(D1699,RulebookFields!A2:A1898, 0))="")=TRUE),  "",  INDEX(RulebookFields!D2:D1898, MATCH(D1699,RulebookFields!A2:A1898, 0))), "")</f>
        <v>NonHumanRanHumanStep</v>
      </c>
      <c r="J1699" s="4" t="b">
        <f>_xlfn.IFNA(IF(((INDEX(RulebookFields!I2:I1898, MATCH(D1699,RulebookFields!A2:A1898, 0))="")=TRUE),  "",  INDEX(RulebookFields!I2:I1898, MATCH(D1699,RulebookFields!A2:A1898, 0))), "")</f>
        <v>1</v>
      </c>
      <c r="K1699" s="4" t="b">
        <f>AND(((F1699)=TRUE), ((J1699)=TRUE))</f>
        <v>0</v>
      </c>
      <c r="L1699" s="4" t="b">
        <f>AND(((G1699 &lt;&gt; "plain")=TRUE), ((G1699 &lt;&gt; "")=TRUE))</f>
        <v>0</v>
      </c>
      <c r="M1699" s="4" t="str">
        <f>IF(((E1699)=TRUE),  C1699 &amp; "|" &amp; H1699,  "")</f>
        <v>principal-process-steward|StepExecutions</v>
      </c>
      <c r="N1699" s="3" t="s">
        <v>10004</v>
      </c>
    </row>
    <row r="1700">
      <c r="A1700" s="3" t="s">
        <v>11702</v>
      </c>
      <c r="B1700" s="4" t="str">
        <f>C1700 &amp; " -&gt; " &amp; D1700</f>
        <v>principal-process-steward -&gt; StepExecutions.NonHumanApproval</v>
      </c>
      <c r="C1700" s="3" t="s">
        <v>9772</v>
      </c>
      <c r="D1700" s="3" t="s">
        <v>3661</v>
      </c>
      <c r="E1700" s="3" t="b">
        <v>1</v>
      </c>
      <c r="F1700" s="3" t="b">
        <v>0</v>
      </c>
      <c r="G1700" s="3" t="s">
        <v>10003</v>
      </c>
      <c r="H1700" s="4" t="str">
        <f>_xlfn.IFNA(IF(((INDEX(RulebookFields!C2:C1898, MATCH(D1700,RulebookFields!A2:A1898, 0))="")=TRUE),  "",  INDEX(RulebookFields!C2:C1898, MATCH(D1700,RulebookFields!A2:A1898, 0))), "")</f>
        <v>StepExecutions</v>
      </c>
      <c r="I1700" s="4" t="str">
        <f>_xlfn.IFNA(IF(((INDEX(RulebookFields!D2:D1898, MATCH(D1700,RulebookFields!A2:A1898, 0))="")=TRUE),  "",  INDEX(RulebookFields!D2:D1898, MATCH(D1700,RulebookFields!A2:A1898, 0))), "")</f>
        <v>NonHumanApproval</v>
      </c>
      <c r="J1700" s="4" t="b">
        <f>_xlfn.IFNA(IF(((INDEX(RulebookFields!I2:I1898, MATCH(D1700,RulebookFields!A2:A1898, 0))="")=TRUE),  "",  INDEX(RulebookFields!I2:I1898, MATCH(D1700,RulebookFields!A2:A1898, 0))), "")</f>
        <v>1</v>
      </c>
      <c r="K1700" s="4" t="b">
        <f>AND(((F1700)=TRUE), ((J1700)=TRUE))</f>
        <v>0</v>
      </c>
      <c r="L1700" s="4" t="b">
        <f>AND(((G1700 &lt;&gt; "plain")=TRUE), ((G1700 &lt;&gt; "")=TRUE))</f>
        <v>0</v>
      </c>
      <c r="M1700" s="4" t="str">
        <f>IF(((E1700)=TRUE),  C1700 &amp; "|" &amp; H1700,  "")</f>
        <v>principal-process-steward|StepExecutions</v>
      </c>
      <c r="N1700" s="3" t="s">
        <v>10004</v>
      </c>
    </row>
    <row r="1701">
      <c r="A1701" s="3" t="s">
        <v>11703</v>
      </c>
      <c r="B1701" s="4" t="str">
        <f>C1701 &amp; " -&gt; " &amp; D1701</f>
        <v>principal-process-steward -&gt; StepExecutions.UnevaluatedBlockingExecutionKey</v>
      </c>
      <c r="C1701" s="3" t="s">
        <v>9772</v>
      </c>
      <c r="D1701" s="3" t="s">
        <v>3663</v>
      </c>
      <c r="E1701" s="3" t="b">
        <v>1</v>
      </c>
      <c r="F1701" s="3" t="b">
        <v>0</v>
      </c>
      <c r="G1701" s="3" t="s">
        <v>10003</v>
      </c>
      <c r="H1701" s="4" t="str">
        <f>_xlfn.IFNA(IF(((INDEX(RulebookFields!C2:C1898, MATCH(D1701,RulebookFields!A2:A1898, 0))="")=TRUE),  "",  INDEX(RulebookFields!C2:C1898, MATCH(D1701,RulebookFields!A2:A1898, 0))), "")</f>
        <v>StepExecutions</v>
      </c>
      <c r="I1701" s="4" t="str">
        <f>_xlfn.IFNA(IF(((INDEX(RulebookFields!D2:D1898, MATCH(D1701,RulebookFields!A2:A1898, 0))="")=TRUE),  "",  INDEX(RulebookFields!D2:D1898, MATCH(D1701,RulebookFields!A2:A1898, 0))), "")</f>
        <v>UnevaluatedBlockingExecutionKey</v>
      </c>
      <c r="J1701" s="4" t="b">
        <f>_xlfn.IFNA(IF(((INDEX(RulebookFields!I2:I1898, MATCH(D1701,RulebookFields!A2:A1898, 0))="")=TRUE),  "",  INDEX(RulebookFields!I2:I1898, MATCH(D1701,RulebookFields!A2:A1898, 0))), "")</f>
        <v>1</v>
      </c>
      <c r="K1701" s="4" t="b">
        <f>AND(((F1701)=TRUE), ((J1701)=TRUE))</f>
        <v>0</v>
      </c>
      <c r="L1701" s="4" t="b">
        <f>AND(((G1701 &lt;&gt; "plain")=TRUE), ((G1701 &lt;&gt; "")=TRUE))</f>
        <v>0</v>
      </c>
      <c r="M1701" s="4" t="str">
        <f>IF(((E1701)=TRUE),  C1701 &amp; "|" &amp; H1701,  "")</f>
        <v>principal-process-steward|StepExecutions</v>
      </c>
      <c r="N1701" s="3" t="s">
        <v>10004</v>
      </c>
    </row>
    <row r="1702">
      <c r="A1702" s="3" t="s">
        <v>11704</v>
      </c>
      <c r="B1702" s="4" t="str">
        <f>C1702 &amp; " -&gt; " &amp; D1702</f>
        <v>principal-process-steward -&gt; StepExecutions.SeparationViolationExecutionKey</v>
      </c>
      <c r="C1702" s="3" t="s">
        <v>9772</v>
      </c>
      <c r="D1702" s="3" t="s">
        <v>3665</v>
      </c>
      <c r="E1702" s="3" t="b">
        <v>1</v>
      </c>
      <c r="F1702" s="3" t="b">
        <v>0</v>
      </c>
      <c r="G1702" s="3" t="s">
        <v>10003</v>
      </c>
      <c r="H1702" s="4" t="str">
        <f>_xlfn.IFNA(IF(((INDEX(RulebookFields!C2:C1898, MATCH(D1702,RulebookFields!A2:A1898, 0))="")=TRUE),  "",  INDEX(RulebookFields!C2:C1898, MATCH(D1702,RulebookFields!A2:A1898, 0))), "")</f>
        <v>StepExecutions</v>
      </c>
      <c r="I1702" s="4" t="str">
        <f>_xlfn.IFNA(IF(((INDEX(RulebookFields!D2:D1898, MATCH(D1702,RulebookFields!A2:A1898, 0))="")=TRUE),  "",  INDEX(RulebookFields!D2:D1898, MATCH(D1702,RulebookFields!A2:A1898, 0))), "")</f>
        <v>SeparationViolationExecutionKey</v>
      </c>
      <c r="J1702" s="4" t="b">
        <f>_xlfn.IFNA(IF(((INDEX(RulebookFields!I2:I1898, MATCH(D1702,RulebookFields!A2:A1898, 0))="")=TRUE),  "",  INDEX(RulebookFields!I2:I1898, MATCH(D1702,RulebookFields!A2:A1898, 0))), "")</f>
        <v>1</v>
      </c>
      <c r="K1702" s="4" t="b">
        <f>AND(((F1702)=TRUE), ((J1702)=TRUE))</f>
        <v>0</v>
      </c>
      <c r="L1702" s="4" t="b">
        <f>AND(((G1702 &lt;&gt; "plain")=TRUE), ((G1702 &lt;&gt; "")=TRUE))</f>
        <v>0</v>
      </c>
      <c r="M1702" s="4" t="str">
        <f>IF(((E1702)=TRUE),  C1702 &amp; "|" &amp; H1702,  "")</f>
        <v>principal-process-steward|StepExecutions</v>
      </c>
      <c r="N1702" s="3" t="s">
        <v>10004</v>
      </c>
    </row>
    <row r="1703">
      <c r="A1703" s="3" t="s">
        <v>11705</v>
      </c>
      <c r="B1703" s="4" t="str">
        <f>C1703 &amp; " -&gt; " &amp; D1703</f>
        <v>principal-process-steward -&gt; StepExecutions.SelfWitnessedVerificationCount</v>
      </c>
      <c r="C1703" s="3" t="s">
        <v>9772</v>
      </c>
      <c r="D1703" s="3" t="s">
        <v>3667</v>
      </c>
      <c r="E1703" s="3" t="b">
        <v>1</v>
      </c>
      <c r="F1703" s="3" t="b">
        <v>0</v>
      </c>
      <c r="G1703" s="3" t="s">
        <v>10003</v>
      </c>
      <c r="H1703" s="4" t="str">
        <f>_xlfn.IFNA(IF(((INDEX(RulebookFields!C2:C1898, MATCH(D1703,RulebookFields!A2:A1898, 0))="")=TRUE),  "",  INDEX(RulebookFields!C2:C1898, MATCH(D1703,RulebookFields!A2:A1898, 0))), "")</f>
        <v>StepExecutions</v>
      </c>
      <c r="I1703" s="4" t="str">
        <f>_xlfn.IFNA(IF(((INDEX(RulebookFields!D2:D1898, MATCH(D1703,RulebookFields!A2:A1898, 0))="")=TRUE),  "",  INDEX(RulebookFields!D2:D1898, MATCH(D1703,RulebookFields!A2:A1898, 0))), "")</f>
        <v>SelfWitnessedVerificationCount</v>
      </c>
      <c r="J1703" s="4" t="b">
        <f>_xlfn.IFNA(IF(((INDEX(RulebookFields!I2:I1898, MATCH(D1703,RulebookFields!A2:A1898, 0))="")=TRUE),  "",  INDEX(RulebookFields!I2:I1898, MATCH(D1703,RulebookFields!A2:A1898, 0))), "")</f>
        <v>1</v>
      </c>
      <c r="K1703" s="4" t="b">
        <f>AND(((F1703)=TRUE), ((J1703)=TRUE))</f>
        <v>0</v>
      </c>
      <c r="L1703" s="4" t="b">
        <f>AND(((G1703 &lt;&gt; "plain")=TRUE), ((G1703 &lt;&gt; "")=TRUE))</f>
        <v>0</v>
      </c>
      <c r="M1703" s="4" t="str">
        <f>IF(((E1703)=TRUE),  C1703 &amp; "|" &amp; H1703,  "")</f>
        <v>principal-process-steward|StepExecutions</v>
      </c>
      <c r="N1703" s="3" t="s">
        <v>10004</v>
      </c>
    </row>
    <row r="1704">
      <c r="A1704" s="3" t="s">
        <v>11706</v>
      </c>
      <c r="B1704" s="4" t="str">
        <f>C1704 &amp; " -&gt; " &amp; D1704</f>
        <v>principal-process-steward -&gt; StepExecutions.UnbackedVerificationCount</v>
      </c>
      <c r="C1704" s="3" t="s">
        <v>9772</v>
      </c>
      <c r="D1704" s="3" t="s">
        <v>3669</v>
      </c>
      <c r="E1704" s="3" t="b">
        <v>1</v>
      </c>
      <c r="F1704" s="3" t="b">
        <v>0</v>
      </c>
      <c r="G1704" s="3" t="s">
        <v>10003</v>
      </c>
      <c r="H1704" s="4" t="str">
        <f>_xlfn.IFNA(IF(((INDEX(RulebookFields!C2:C1898, MATCH(D1704,RulebookFields!A2:A1898, 0))="")=TRUE),  "",  INDEX(RulebookFields!C2:C1898, MATCH(D1704,RulebookFields!A2:A1898, 0))), "")</f>
        <v>StepExecutions</v>
      </c>
      <c r="I1704" s="4" t="str">
        <f>_xlfn.IFNA(IF(((INDEX(RulebookFields!D2:D1898, MATCH(D1704,RulebookFields!A2:A1898, 0))="")=TRUE),  "",  INDEX(RulebookFields!D2:D1898, MATCH(D1704,RulebookFields!A2:A1898, 0))), "")</f>
        <v>UnbackedVerificationCount</v>
      </c>
      <c r="J1704" s="4" t="b">
        <f>_xlfn.IFNA(IF(((INDEX(RulebookFields!I2:I1898, MATCH(D1704,RulebookFields!A2:A1898, 0))="")=TRUE),  "",  INDEX(RulebookFields!I2:I1898, MATCH(D1704,RulebookFields!A2:A1898, 0))), "")</f>
        <v>1</v>
      </c>
      <c r="K1704" s="4" t="b">
        <f>AND(((F1704)=TRUE), ((J1704)=TRUE))</f>
        <v>0</v>
      </c>
      <c r="L1704" s="4" t="b">
        <f>AND(((G1704 &lt;&gt; "plain")=TRUE), ((G1704 &lt;&gt; "")=TRUE))</f>
        <v>0</v>
      </c>
      <c r="M1704" s="4" t="str">
        <f>IF(((E1704)=TRUE),  C1704 &amp; "|" &amp; H1704,  "")</f>
        <v>principal-process-steward|StepExecutions</v>
      </c>
      <c r="N1704" s="3" t="s">
        <v>10004</v>
      </c>
    </row>
    <row r="1705">
      <c r="A1705" s="3" t="s">
        <v>11707</v>
      </c>
      <c r="B1705" s="4" t="str">
        <f>C1705 &amp; " -&gt; " &amp; D1705</f>
        <v>principal-process-steward -&gt; StepExecutions.ApprovalRestsOnSelfAttestation</v>
      </c>
      <c r="C1705" s="3" t="s">
        <v>9772</v>
      </c>
      <c r="D1705" s="3" t="s">
        <v>3671</v>
      </c>
      <c r="E1705" s="3" t="b">
        <v>1</v>
      </c>
      <c r="F1705" s="3" t="b">
        <v>0</v>
      </c>
      <c r="G1705" s="3" t="s">
        <v>10003</v>
      </c>
      <c r="H1705" s="4" t="str">
        <f>_xlfn.IFNA(IF(((INDEX(RulebookFields!C2:C1898, MATCH(D1705,RulebookFields!A2:A1898, 0))="")=TRUE),  "",  INDEX(RulebookFields!C2:C1898, MATCH(D1705,RulebookFields!A2:A1898, 0))), "")</f>
        <v>StepExecutions</v>
      </c>
      <c r="I1705" s="4" t="str">
        <f>_xlfn.IFNA(IF(((INDEX(RulebookFields!D2:D1898, MATCH(D1705,RulebookFields!A2:A1898, 0))="")=TRUE),  "",  INDEX(RulebookFields!D2:D1898, MATCH(D1705,RulebookFields!A2:A1898, 0))), "")</f>
        <v>ApprovalRestsOnSelfAttestation</v>
      </c>
      <c r="J1705" s="4" t="b">
        <f>_xlfn.IFNA(IF(((INDEX(RulebookFields!I2:I1898, MATCH(D1705,RulebookFields!A2:A1898, 0))="")=TRUE),  "",  INDEX(RulebookFields!I2:I1898, MATCH(D1705,RulebookFields!A2:A1898, 0))), "")</f>
        <v>1</v>
      </c>
      <c r="K1705" s="4" t="b">
        <f>AND(((F1705)=TRUE), ((J1705)=TRUE))</f>
        <v>0</v>
      </c>
      <c r="L1705" s="4" t="b">
        <f>AND(((G1705 &lt;&gt; "plain")=TRUE), ((G1705 &lt;&gt; "")=TRUE))</f>
        <v>0</v>
      </c>
      <c r="M1705" s="4" t="str">
        <f>IF(((E1705)=TRUE),  C1705 &amp; "|" &amp; H1705,  "")</f>
        <v>principal-process-steward|StepExecutions</v>
      </c>
      <c r="N1705" s="3" t="s">
        <v>10004</v>
      </c>
    </row>
    <row r="1706">
      <c r="A1706" s="3" t="s">
        <v>11708</v>
      </c>
      <c r="B1706" s="4" t="str">
        <f>C1706 &amp; " -&gt; " &amp; D1706</f>
        <v>principal-process-steward -&gt; StepExecutions.ExceptionInvocationCount</v>
      </c>
      <c r="C1706" s="3" t="s">
        <v>9772</v>
      </c>
      <c r="D1706" s="3" t="s">
        <v>3673</v>
      </c>
      <c r="E1706" s="3" t="b">
        <v>1</v>
      </c>
      <c r="F1706" s="3" t="b">
        <v>0</v>
      </c>
      <c r="G1706" s="3" t="s">
        <v>10003</v>
      </c>
      <c r="H1706" s="4" t="str">
        <f>_xlfn.IFNA(IF(((INDEX(RulebookFields!C2:C1898, MATCH(D1706,RulebookFields!A2:A1898, 0))="")=TRUE),  "",  INDEX(RulebookFields!C2:C1898, MATCH(D1706,RulebookFields!A2:A1898, 0))), "")</f>
        <v>StepExecutions</v>
      </c>
      <c r="I1706" s="4" t="str">
        <f>_xlfn.IFNA(IF(((INDEX(RulebookFields!D2:D1898, MATCH(D1706,RulebookFields!A2:A1898, 0))="")=TRUE),  "",  INDEX(RulebookFields!D2:D1898, MATCH(D1706,RulebookFields!A2:A1898, 0))), "")</f>
        <v>ExceptionInvocationCount</v>
      </c>
      <c r="J1706" s="4" t="b">
        <f>_xlfn.IFNA(IF(((INDEX(RulebookFields!I2:I1898, MATCH(D1706,RulebookFields!A2:A1898, 0))="")=TRUE),  "",  INDEX(RulebookFields!I2:I1898, MATCH(D1706,RulebookFields!A2:A1898, 0))), "")</f>
        <v>1</v>
      </c>
      <c r="K1706" s="4" t="b">
        <f>AND(((F1706)=TRUE), ((J1706)=TRUE))</f>
        <v>0</v>
      </c>
      <c r="L1706" s="4" t="b">
        <f>AND(((G1706 &lt;&gt; "plain")=TRUE), ((G1706 &lt;&gt; "")=TRUE))</f>
        <v>0</v>
      </c>
      <c r="M1706" s="4" t="str">
        <f>IF(((E1706)=TRUE),  C1706 &amp; "|" &amp; H1706,  "")</f>
        <v>principal-process-steward|StepExecutions</v>
      </c>
      <c r="N1706" s="3" t="s">
        <v>10004</v>
      </c>
    </row>
    <row r="1707">
      <c r="A1707" s="3" t="s">
        <v>11709</v>
      </c>
      <c r="B1707" s="4" t="str">
        <f>C1707 &amp; " -&gt; " &amp; D1707</f>
        <v>principal-process-steward -&gt; StepExecutions.RanUnderException</v>
      </c>
      <c r="C1707" s="3" t="s">
        <v>9772</v>
      </c>
      <c r="D1707" s="3" t="s">
        <v>3675</v>
      </c>
      <c r="E1707" s="3" t="b">
        <v>1</v>
      </c>
      <c r="F1707" s="3" t="b">
        <v>0</v>
      </c>
      <c r="G1707" s="3" t="s">
        <v>10003</v>
      </c>
      <c r="H1707" s="4" t="str">
        <f>_xlfn.IFNA(IF(((INDEX(RulebookFields!C2:C1898, MATCH(D1707,RulebookFields!A2:A1898, 0))="")=TRUE),  "",  INDEX(RulebookFields!C2:C1898, MATCH(D1707,RulebookFields!A2:A1898, 0))), "")</f>
        <v>StepExecutions</v>
      </c>
      <c r="I1707" s="4" t="str">
        <f>_xlfn.IFNA(IF(((INDEX(RulebookFields!D2:D1898, MATCH(D1707,RulebookFields!A2:A1898, 0))="")=TRUE),  "",  INDEX(RulebookFields!D2:D1898, MATCH(D1707,RulebookFields!A2:A1898, 0))), "")</f>
        <v>RanUnderException</v>
      </c>
      <c r="J1707" s="4" t="b">
        <f>_xlfn.IFNA(IF(((INDEX(RulebookFields!I2:I1898, MATCH(D1707,RulebookFields!A2:A1898, 0))="")=TRUE),  "",  INDEX(RulebookFields!I2:I1898, MATCH(D1707,RulebookFields!A2:A1898, 0))), "")</f>
        <v>1</v>
      </c>
      <c r="K1707" s="4" t="b">
        <f>AND(((F1707)=TRUE), ((J1707)=TRUE))</f>
        <v>0</v>
      </c>
      <c r="L1707" s="4" t="b">
        <f>AND(((G1707 &lt;&gt; "plain")=TRUE), ((G1707 &lt;&gt; "")=TRUE))</f>
        <v>0</v>
      </c>
      <c r="M1707" s="4" t="str">
        <f>IF(((E1707)=TRUE),  C1707 &amp; "|" &amp; H1707,  "")</f>
        <v>principal-process-steward|StepExecutions</v>
      </c>
      <c r="N1707" s="3" t="s">
        <v>10004</v>
      </c>
    </row>
    <row r="1708">
      <c r="A1708" s="3" t="s">
        <v>11710</v>
      </c>
      <c r="B1708" s="4" t="str">
        <f>C1708 &amp; " -&gt; " &amp; D1708</f>
        <v>principal-process-steward -&gt; StepExecutions.IsCompleted</v>
      </c>
      <c r="C1708" s="3" t="s">
        <v>9772</v>
      </c>
      <c r="D1708" s="3" t="s">
        <v>3677</v>
      </c>
      <c r="E1708" s="3" t="b">
        <v>1</v>
      </c>
      <c r="F1708" s="3" t="b">
        <v>0</v>
      </c>
      <c r="G1708" s="3" t="s">
        <v>10003</v>
      </c>
      <c r="H1708" s="4" t="str">
        <f>_xlfn.IFNA(IF(((INDEX(RulebookFields!C2:C1898, MATCH(D1708,RulebookFields!A2:A1898, 0))="")=TRUE),  "",  INDEX(RulebookFields!C2:C1898, MATCH(D1708,RulebookFields!A2:A1898, 0))), "")</f>
        <v>StepExecutions</v>
      </c>
      <c r="I1708" s="4" t="str">
        <f>_xlfn.IFNA(IF(((INDEX(RulebookFields!D2:D1898, MATCH(D1708,RulebookFields!A2:A1898, 0))="")=TRUE),  "",  INDEX(RulebookFields!D2:D1898, MATCH(D1708,RulebookFields!A2:A1898, 0))), "")</f>
        <v>IsCompleted</v>
      </c>
      <c r="J1708" s="4" t="b">
        <f>_xlfn.IFNA(IF(((INDEX(RulebookFields!I2:I1898, MATCH(D1708,RulebookFields!A2:A1898, 0))="")=TRUE),  "",  INDEX(RulebookFields!I2:I1898, MATCH(D1708,RulebookFields!A2:A1898, 0))), "")</f>
        <v>1</v>
      </c>
      <c r="K1708" s="4" t="b">
        <f>AND(((F1708)=TRUE), ((J1708)=TRUE))</f>
        <v>0</v>
      </c>
      <c r="L1708" s="4" t="b">
        <f>AND(((G1708 &lt;&gt; "plain")=TRUE), ((G1708 &lt;&gt; "")=TRUE))</f>
        <v>0</v>
      </c>
      <c r="M1708" s="4" t="str">
        <f>IF(((E1708)=TRUE),  C1708 &amp; "|" &amp; H1708,  "")</f>
        <v>principal-process-steward|StepExecutions</v>
      </c>
      <c r="N1708" s="3" t="s">
        <v>10004</v>
      </c>
    </row>
    <row r="1709">
      <c r="A1709" s="3" t="s">
        <v>11711</v>
      </c>
      <c r="B1709" s="4" t="str">
        <f>C1709 &amp; " -&gt; " &amp; D1709</f>
        <v>principal-process-steward -&gt; StepExecutions.IsVerificationPassed</v>
      </c>
      <c r="C1709" s="3" t="s">
        <v>9772</v>
      </c>
      <c r="D1709" s="3" t="s">
        <v>3679</v>
      </c>
      <c r="E1709" s="3" t="b">
        <v>1</v>
      </c>
      <c r="F1709" s="3" t="b">
        <v>0</v>
      </c>
      <c r="G1709" s="3" t="s">
        <v>10003</v>
      </c>
      <c r="H1709" s="4" t="str">
        <f>_xlfn.IFNA(IF(((INDEX(RulebookFields!C2:C1898, MATCH(D1709,RulebookFields!A2:A1898, 0))="")=TRUE),  "",  INDEX(RulebookFields!C2:C1898, MATCH(D1709,RulebookFields!A2:A1898, 0))), "")</f>
        <v>StepExecutions</v>
      </c>
      <c r="I1709" s="4" t="str">
        <f>_xlfn.IFNA(IF(((INDEX(RulebookFields!D2:D1898, MATCH(D1709,RulebookFields!A2:A1898, 0))="")=TRUE),  "",  INDEX(RulebookFields!D2:D1898, MATCH(D1709,RulebookFields!A2:A1898, 0))), "")</f>
        <v>IsVerificationPassed</v>
      </c>
      <c r="J1709" s="4" t="b">
        <f>_xlfn.IFNA(IF(((INDEX(RulebookFields!I2:I1898, MATCH(D1709,RulebookFields!A2:A1898, 0))="")=TRUE),  "",  INDEX(RulebookFields!I2:I1898, MATCH(D1709,RulebookFields!A2:A1898, 0))), "")</f>
        <v>1</v>
      </c>
      <c r="K1709" s="4" t="b">
        <f>AND(((F1709)=TRUE), ((J1709)=TRUE))</f>
        <v>0</v>
      </c>
      <c r="L1709" s="4" t="b">
        <f>AND(((G1709 &lt;&gt; "plain")=TRUE), ((G1709 &lt;&gt; "")=TRUE))</f>
        <v>0</v>
      </c>
      <c r="M1709" s="4" t="str">
        <f>IF(((E1709)=TRUE),  C1709 &amp; "|" &amp; H1709,  "")</f>
        <v>principal-process-steward|StepExecutions</v>
      </c>
      <c r="N1709" s="3" t="s">
        <v>10004</v>
      </c>
    </row>
    <row r="1710">
      <c r="A1710" s="3" t="s">
        <v>11712</v>
      </c>
      <c r="B1710" s="4" t="str">
        <f>C1710 &amp; " -&gt; " &amp; D1710</f>
        <v>principal-process-steward -&gt; StepExecutions.IsLegalReviewStep</v>
      </c>
      <c r="C1710" s="3" t="s">
        <v>9772</v>
      </c>
      <c r="D1710" s="3" t="s">
        <v>3681</v>
      </c>
      <c r="E1710" s="3" t="b">
        <v>1</v>
      </c>
      <c r="F1710" s="3" t="b">
        <v>0</v>
      </c>
      <c r="G1710" s="3" t="s">
        <v>10003</v>
      </c>
      <c r="H1710" s="4" t="str">
        <f>_xlfn.IFNA(IF(((INDEX(RulebookFields!C2:C1898, MATCH(D1710,RulebookFields!A2:A1898, 0))="")=TRUE),  "",  INDEX(RulebookFields!C2:C1898, MATCH(D1710,RulebookFields!A2:A1898, 0))), "")</f>
        <v>StepExecutions</v>
      </c>
      <c r="I1710" s="4" t="str">
        <f>_xlfn.IFNA(IF(((INDEX(RulebookFields!D2:D1898, MATCH(D1710,RulebookFields!A2:A1898, 0))="")=TRUE),  "",  INDEX(RulebookFields!D2:D1898, MATCH(D1710,RulebookFields!A2:A1898, 0))), "")</f>
        <v>IsLegalReviewStep</v>
      </c>
      <c r="J1710" s="4" t="b">
        <f>_xlfn.IFNA(IF(((INDEX(RulebookFields!I2:I1898, MATCH(D1710,RulebookFields!A2:A1898, 0))="")=TRUE),  "",  INDEX(RulebookFields!I2:I1898, MATCH(D1710,RulebookFields!A2:A1898, 0))), "")</f>
        <v>1</v>
      </c>
      <c r="K1710" s="4" t="b">
        <f>AND(((F1710)=TRUE), ((J1710)=TRUE))</f>
        <v>0</v>
      </c>
      <c r="L1710" s="4" t="b">
        <f>AND(((G1710 &lt;&gt; "plain")=TRUE), ((G1710 &lt;&gt; "")=TRUE))</f>
        <v>0</v>
      </c>
      <c r="M1710" s="4" t="str">
        <f>IF(((E1710)=TRUE),  C1710 &amp; "|" &amp; H1710,  "")</f>
        <v>principal-process-steward|StepExecutions</v>
      </c>
      <c r="N1710" s="3" t="s">
        <v>10004</v>
      </c>
    </row>
    <row r="1711">
      <c r="A1711" s="3" t="s">
        <v>11713</v>
      </c>
      <c r="B1711" s="4" t="str">
        <f>C1711 &amp; " -&gt; " &amp; D1711</f>
        <v>principal-process-steward -&gt; StepExecutions.ClearedLegalReviewKey</v>
      </c>
      <c r="C1711" s="3" t="s">
        <v>9772</v>
      </c>
      <c r="D1711" s="3" t="s">
        <v>3683</v>
      </c>
      <c r="E1711" s="3" t="b">
        <v>1</v>
      </c>
      <c r="F1711" s="3" t="b">
        <v>0</v>
      </c>
      <c r="G1711" s="3" t="s">
        <v>10003</v>
      </c>
      <c r="H1711" s="4" t="str">
        <f>_xlfn.IFNA(IF(((INDEX(RulebookFields!C2:C1898, MATCH(D1711,RulebookFields!A2:A1898, 0))="")=TRUE),  "",  INDEX(RulebookFields!C2:C1898, MATCH(D1711,RulebookFields!A2:A1898, 0))), "")</f>
        <v>StepExecutions</v>
      </c>
      <c r="I1711" s="4" t="str">
        <f>_xlfn.IFNA(IF(((INDEX(RulebookFields!D2:D1898, MATCH(D1711,RulebookFields!A2:A1898, 0))="")=TRUE),  "",  INDEX(RulebookFields!D2:D1898, MATCH(D1711,RulebookFields!A2:A1898, 0))), "")</f>
        <v>ClearedLegalReviewKey</v>
      </c>
      <c r="J1711" s="4" t="b">
        <f>_xlfn.IFNA(IF(((INDEX(RulebookFields!I2:I1898, MATCH(D1711,RulebookFields!A2:A1898, 0))="")=TRUE),  "",  INDEX(RulebookFields!I2:I1898, MATCH(D1711,RulebookFields!A2:A1898, 0))), "")</f>
        <v>1</v>
      </c>
      <c r="K1711" s="4" t="b">
        <f>AND(((F1711)=TRUE), ((J1711)=TRUE))</f>
        <v>0</v>
      </c>
      <c r="L1711" s="4" t="b">
        <f>AND(((G1711 &lt;&gt; "plain")=TRUE), ((G1711 &lt;&gt; "")=TRUE))</f>
        <v>0</v>
      </c>
      <c r="M1711" s="4" t="str">
        <f>IF(((E1711)=TRUE),  C1711 &amp; "|" &amp; H1711,  "")</f>
        <v>principal-process-steward|StepExecutions</v>
      </c>
      <c r="N1711" s="3" t="s">
        <v>10004</v>
      </c>
    </row>
    <row r="1712">
      <c r="A1712" s="3" t="s">
        <v>11714</v>
      </c>
      <c r="B1712" s="4" t="str">
        <f>C1712 &amp; " -&gt; " &amp; D1712</f>
        <v>principal-process-steward -&gt; StepExecutions.AssignedRole</v>
      </c>
      <c r="C1712" s="3" t="s">
        <v>9772</v>
      </c>
      <c r="D1712" s="3" t="s">
        <v>3685</v>
      </c>
      <c r="E1712" s="3" t="b">
        <v>1</v>
      </c>
      <c r="F1712" s="3" t="b">
        <v>0</v>
      </c>
      <c r="G1712" s="3" t="s">
        <v>10003</v>
      </c>
      <c r="H1712" s="4" t="str">
        <f>_xlfn.IFNA(IF(((INDEX(RulebookFields!C2:C1898, MATCH(D1712,RulebookFields!A2:A1898, 0))="")=TRUE),  "",  INDEX(RulebookFields!C2:C1898, MATCH(D1712,RulebookFields!A2:A1898, 0))), "")</f>
        <v>StepExecutions</v>
      </c>
      <c r="I1712" s="4" t="str">
        <f>_xlfn.IFNA(IF(((INDEX(RulebookFields!D2:D1898, MATCH(D1712,RulebookFields!A2:A1898, 0))="")=TRUE),  "",  INDEX(RulebookFields!D2:D1898, MATCH(D1712,RulebookFields!A2:A1898, 0))), "")</f>
        <v>AssignedRole</v>
      </c>
      <c r="J1712" s="4" t="b">
        <f>_xlfn.IFNA(IF(((INDEX(RulebookFields!I2:I1898, MATCH(D1712,RulebookFields!A2:A1898, 0))="")=TRUE),  "",  INDEX(RulebookFields!I2:I1898, MATCH(D1712,RulebookFields!A2:A1898, 0))), "")</f>
        <v>1</v>
      </c>
      <c r="K1712" s="4" t="b">
        <f>AND(((F1712)=TRUE), ((J1712)=TRUE))</f>
        <v>0</v>
      </c>
      <c r="L1712" s="4" t="b">
        <f>AND(((G1712 &lt;&gt; "plain")=TRUE), ((G1712 &lt;&gt; "")=TRUE))</f>
        <v>0</v>
      </c>
      <c r="M1712" s="4" t="str">
        <f>IF(((E1712)=TRUE),  C1712 &amp; "|" &amp; H1712,  "")</f>
        <v>principal-process-steward|StepExecutions</v>
      </c>
      <c r="N1712" s="3" t="s">
        <v>10004</v>
      </c>
    </row>
    <row r="1713">
      <c r="A1713" s="3" t="s">
        <v>11715</v>
      </c>
      <c r="B1713" s="4" t="str">
        <f>C1713 &amp; " -&gt; " &amp; D1713</f>
        <v>principal-process-steward -&gt; StepExecutions.RoleCurrentAgent</v>
      </c>
      <c r="C1713" s="3" t="s">
        <v>9772</v>
      </c>
      <c r="D1713" s="3" t="s">
        <v>3686</v>
      </c>
      <c r="E1713" s="3" t="b">
        <v>1</v>
      </c>
      <c r="F1713" s="3" t="b">
        <v>0</v>
      </c>
      <c r="G1713" s="3" t="s">
        <v>10003</v>
      </c>
      <c r="H1713" s="4" t="str">
        <f>_xlfn.IFNA(IF(((INDEX(RulebookFields!C2:C1898, MATCH(D1713,RulebookFields!A2:A1898, 0))="")=TRUE),  "",  INDEX(RulebookFields!C2:C1898, MATCH(D1713,RulebookFields!A2:A1898, 0))), "")</f>
        <v>StepExecutions</v>
      </c>
      <c r="I1713" s="4" t="str">
        <f>_xlfn.IFNA(IF(((INDEX(RulebookFields!D2:D1898, MATCH(D1713,RulebookFields!A2:A1898, 0))="")=TRUE),  "",  INDEX(RulebookFields!D2:D1898, MATCH(D1713,RulebookFields!A2:A1898, 0))), "")</f>
        <v>RoleCurrentAgent</v>
      </c>
      <c r="J1713" s="4" t="b">
        <f>_xlfn.IFNA(IF(((INDEX(RulebookFields!I2:I1898, MATCH(D1713,RulebookFields!A2:A1898, 0))="")=TRUE),  "",  INDEX(RulebookFields!I2:I1898, MATCH(D1713,RulebookFields!A2:A1898, 0))), "")</f>
        <v>1</v>
      </c>
      <c r="K1713" s="4" t="b">
        <f>AND(((F1713)=TRUE), ((J1713)=TRUE))</f>
        <v>0</v>
      </c>
      <c r="L1713" s="4" t="b">
        <f>AND(((G1713 &lt;&gt; "plain")=TRUE), ((G1713 &lt;&gt; "")=TRUE))</f>
        <v>0</v>
      </c>
      <c r="M1713" s="4" t="str">
        <f>IF(((E1713)=TRUE),  C1713 &amp; "|" &amp; H1713,  "")</f>
        <v>principal-process-steward|StepExecutions</v>
      </c>
      <c r="N1713" s="3" t="s">
        <v>10004</v>
      </c>
    </row>
    <row r="1714">
      <c r="A1714" s="3" t="s">
        <v>11716</v>
      </c>
      <c r="B1714" s="4" t="str">
        <f>C1714 &amp; " -&gt; " &amp; D1714</f>
        <v>principal-process-steward -&gt; StepExecutions.ExecutorIsDesignatedAgent</v>
      </c>
      <c r="C1714" s="3" t="s">
        <v>9772</v>
      </c>
      <c r="D1714" s="3" t="s">
        <v>3688</v>
      </c>
      <c r="E1714" s="3" t="b">
        <v>1</v>
      </c>
      <c r="F1714" s="3" t="b">
        <v>0</v>
      </c>
      <c r="G1714" s="3" t="s">
        <v>10003</v>
      </c>
      <c r="H1714" s="4" t="str">
        <f>_xlfn.IFNA(IF(((INDEX(RulebookFields!C2:C1898, MATCH(D1714,RulebookFields!A2:A1898, 0))="")=TRUE),  "",  INDEX(RulebookFields!C2:C1898, MATCH(D1714,RulebookFields!A2:A1898, 0))), "")</f>
        <v>StepExecutions</v>
      </c>
      <c r="I1714" s="4" t="str">
        <f>_xlfn.IFNA(IF(((INDEX(RulebookFields!D2:D1898, MATCH(D1714,RulebookFields!A2:A1898, 0))="")=TRUE),  "",  INDEX(RulebookFields!D2:D1898, MATCH(D1714,RulebookFields!A2:A1898, 0))), "")</f>
        <v>ExecutorIsDesignatedAgent</v>
      </c>
      <c r="J1714" s="4" t="b">
        <f>_xlfn.IFNA(IF(((INDEX(RulebookFields!I2:I1898, MATCH(D1714,RulebookFields!A2:A1898, 0))="")=TRUE),  "",  INDEX(RulebookFields!I2:I1898, MATCH(D1714,RulebookFields!A2:A1898, 0))), "")</f>
        <v>1</v>
      </c>
      <c r="K1714" s="4" t="b">
        <f>AND(((F1714)=TRUE), ((J1714)=TRUE))</f>
        <v>0</v>
      </c>
      <c r="L1714" s="4" t="b">
        <f>AND(((G1714 &lt;&gt; "plain")=TRUE), ((G1714 &lt;&gt; "")=TRUE))</f>
        <v>0</v>
      </c>
      <c r="M1714" s="4" t="str">
        <f>IF(((E1714)=TRUE),  C1714 &amp; "|" &amp; H1714,  "")</f>
        <v>principal-process-steward|StepExecutions</v>
      </c>
      <c r="N1714" s="3" t="s">
        <v>10004</v>
      </c>
    </row>
    <row r="1715">
      <c r="A1715" s="3" t="s">
        <v>11717</v>
      </c>
      <c r="B1715" s="4" t="str">
        <f>C1715 &amp; " -&gt; " &amp; D1715</f>
        <v>principal-process-steward -&gt; StepExecutions.InputsWereFreshAtRun</v>
      </c>
      <c r="C1715" s="3" t="s">
        <v>9772</v>
      </c>
      <c r="D1715" s="3" t="s">
        <v>3690</v>
      </c>
      <c r="E1715" s="3" t="b">
        <v>1</v>
      </c>
      <c r="F1715" s="3" t="b">
        <v>0</v>
      </c>
      <c r="G1715" s="3" t="s">
        <v>10003</v>
      </c>
      <c r="H1715" s="4" t="str">
        <f>_xlfn.IFNA(IF(((INDEX(RulebookFields!C2:C1898, MATCH(D1715,RulebookFields!A2:A1898, 0))="")=TRUE),  "",  INDEX(RulebookFields!C2:C1898, MATCH(D1715,RulebookFields!A2:A1898, 0))), "")</f>
        <v>StepExecutions</v>
      </c>
      <c r="I1715" s="4" t="str">
        <f>_xlfn.IFNA(IF(((INDEX(RulebookFields!D2:D1898, MATCH(D1715,RulebookFields!A2:A1898, 0))="")=TRUE),  "",  INDEX(RulebookFields!D2:D1898, MATCH(D1715,RulebookFields!A2:A1898, 0))), "")</f>
        <v>InputsWereFreshAtRun</v>
      </c>
      <c r="J1715" s="4" t="b">
        <f>_xlfn.IFNA(IF(((INDEX(RulebookFields!I2:I1898, MATCH(D1715,RulebookFields!A2:A1898, 0))="")=TRUE),  "",  INDEX(RulebookFields!I2:I1898, MATCH(D1715,RulebookFields!A2:A1898, 0))), "")</f>
        <v>1</v>
      </c>
      <c r="K1715" s="4" t="b">
        <f>AND(((F1715)=TRUE), ((J1715)=TRUE))</f>
        <v>0</v>
      </c>
      <c r="L1715" s="4" t="b">
        <f>AND(((G1715 &lt;&gt; "plain")=TRUE), ((G1715 &lt;&gt; "")=TRUE))</f>
        <v>0</v>
      </c>
      <c r="M1715" s="4" t="str">
        <f>IF(((E1715)=TRUE),  C1715 &amp; "|" &amp; H1715,  "")</f>
        <v>principal-process-steward|StepExecutions</v>
      </c>
      <c r="N1715" s="3" t="s">
        <v>10004</v>
      </c>
    </row>
    <row r="1716">
      <c r="A1716" s="3" t="s">
        <v>11718</v>
      </c>
      <c r="B1716" s="4" t="str">
        <f>C1716 &amp; " -&gt; " &amp; D1716</f>
        <v>principal-process-steward -&gt; StepExecutions.RanOnStaleInputs</v>
      </c>
      <c r="C1716" s="3" t="s">
        <v>9772</v>
      </c>
      <c r="D1716" s="3" t="s">
        <v>3692</v>
      </c>
      <c r="E1716" s="3" t="b">
        <v>1</v>
      </c>
      <c r="F1716" s="3" t="b">
        <v>0</v>
      </c>
      <c r="G1716" s="3" t="s">
        <v>10003</v>
      </c>
      <c r="H1716" s="4" t="str">
        <f>_xlfn.IFNA(IF(((INDEX(RulebookFields!C2:C1898, MATCH(D1716,RulebookFields!A2:A1898, 0))="")=TRUE),  "",  INDEX(RulebookFields!C2:C1898, MATCH(D1716,RulebookFields!A2:A1898, 0))), "")</f>
        <v>StepExecutions</v>
      </c>
      <c r="I1716" s="4" t="str">
        <f>_xlfn.IFNA(IF(((INDEX(RulebookFields!D2:D1898, MATCH(D1716,RulebookFields!A2:A1898, 0))="")=TRUE),  "",  INDEX(RulebookFields!D2:D1898, MATCH(D1716,RulebookFields!A2:A1898, 0))), "")</f>
        <v>RanOnStaleInputs</v>
      </c>
      <c r="J1716" s="4" t="b">
        <f>_xlfn.IFNA(IF(((INDEX(RulebookFields!I2:I1898, MATCH(D1716,RulebookFields!A2:A1898, 0))="")=TRUE),  "",  INDEX(RulebookFields!I2:I1898, MATCH(D1716,RulebookFields!A2:A1898, 0))), "")</f>
        <v>1</v>
      </c>
      <c r="K1716" s="4" t="b">
        <f>AND(((F1716)=TRUE), ((J1716)=TRUE))</f>
        <v>0</v>
      </c>
      <c r="L1716" s="4" t="b">
        <f>AND(((G1716 &lt;&gt; "plain")=TRUE), ((G1716 &lt;&gt; "")=TRUE))</f>
        <v>0</v>
      </c>
      <c r="M1716" s="4" t="str">
        <f>IF(((E1716)=TRUE),  C1716 &amp; "|" &amp; H1716,  "")</f>
        <v>principal-process-steward|StepExecutions</v>
      </c>
      <c r="N1716" s="3" t="s">
        <v>10004</v>
      </c>
    </row>
    <row r="1717">
      <c r="A1717" s="3" t="s">
        <v>11719</v>
      </c>
      <c r="B1717" s="4" t="str">
        <f>C1717 &amp; " -&gt; " &amp; D1717</f>
        <v>principal-process-steward -&gt; StepExecutions.UnresolvedIssueCount</v>
      </c>
      <c r="C1717" s="3" t="s">
        <v>9772</v>
      </c>
      <c r="D1717" s="3" t="s">
        <v>3694</v>
      </c>
      <c r="E1717" s="3" t="b">
        <v>1</v>
      </c>
      <c r="F1717" s="3" t="b">
        <v>0</v>
      </c>
      <c r="G1717" s="3" t="s">
        <v>10003</v>
      </c>
      <c r="H1717" s="4" t="str">
        <f>_xlfn.IFNA(IF(((INDEX(RulebookFields!C2:C1898, MATCH(D1717,RulebookFields!A2:A1898, 0))="")=TRUE),  "",  INDEX(RulebookFields!C2:C1898, MATCH(D1717,RulebookFields!A2:A1898, 0))), "")</f>
        <v>StepExecutions</v>
      </c>
      <c r="I1717" s="4" t="str">
        <f>_xlfn.IFNA(IF(((INDEX(RulebookFields!D2:D1898, MATCH(D1717,RulebookFields!A2:A1898, 0))="")=TRUE),  "",  INDEX(RulebookFields!D2:D1898, MATCH(D1717,RulebookFields!A2:A1898, 0))), "")</f>
        <v>UnresolvedIssueCount</v>
      </c>
      <c r="J1717" s="4" t="b">
        <f>_xlfn.IFNA(IF(((INDEX(RulebookFields!I2:I1898, MATCH(D1717,RulebookFields!A2:A1898, 0))="")=TRUE),  "",  INDEX(RulebookFields!I2:I1898, MATCH(D1717,RulebookFields!A2:A1898, 0))), "")</f>
        <v>1</v>
      </c>
      <c r="K1717" s="4" t="b">
        <f>AND(((F1717)=TRUE), ((J1717)=TRUE))</f>
        <v>0</v>
      </c>
      <c r="L1717" s="4" t="b">
        <f>AND(((G1717 &lt;&gt; "plain")=TRUE), ((G1717 &lt;&gt; "")=TRUE))</f>
        <v>0</v>
      </c>
      <c r="M1717" s="4" t="str">
        <f>IF(((E1717)=TRUE),  C1717 &amp; "|" &amp; H1717,  "")</f>
        <v>principal-process-steward|StepExecutions</v>
      </c>
      <c r="N1717" s="3" t="s">
        <v>10004</v>
      </c>
    </row>
    <row r="1718">
      <c r="A1718" s="3" t="s">
        <v>11720</v>
      </c>
      <c r="B1718" s="4" t="str">
        <f>C1718 &amp; " -&gt; " &amp; D1718</f>
        <v>principal-process-steward -&gt; StepExecutions.HasDeviation</v>
      </c>
      <c r="C1718" s="3" t="s">
        <v>9772</v>
      </c>
      <c r="D1718" s="3" t="s">
        <v>3696</v>
      </c>
      <c r="E1718" s="3" t="b">
        <v>1</v>
      </c>
      <c r="F1718" s="3" t="b">
        <v>0</v>
      </c>
      <c r="G1718" s="3" t="s">
        <v>10003</v>
      </c>
      <c r="H1718" s="4" t="str">
        <f>_xlfn.IFNA(IF(((INDEX(RulebookFields!C2:C1898, MATCH(D1718,RulebookFields!A2:A1898, 0))="")=TRUE),  "",  INDEX(RulebookFields!C2:C1898, MATCH(D1718,RulebookFields!A2:A1898, 0))), "")</f>
        <v>StepExecutions</v>
      </c>
      <c r="I1718" s="4" t="str">
        <f>_xlfn.IFNA(IF(((INDEX(RulebookFields!D2:D1898, MATCH(D1718,RulebookFields!A2:A1898, 0))="")=TRUE),  "",  INDEX(RulebookFields!D2:D1898, MATCH(D1718,RulebookFields!A2:A1898, 0))), "")</f>
        <v>HasDeviation</v>
      </c>
      <c r="J1718" s="4" t="b">
        <f>_xlfn.IFNA(IF(((INDEX(RulebookFields!I2:I1898, MATCH(D1718,RulebookFields!A2:A1898, 0))="")=TRUE),  "",  INDEX(RulebookFields!I2:I1898, MATCH(D1718,RulebookFields!A2:A1898, 0))), "")</f>
        <v>1</v>
      </c>
      <c r="K1718" s="4" t="b">
        <f>AND(((F1718)=TRUE), ((J1718)=TRUE))</f>
        <v>0</v>
      </c>
      <c r="L1718" s="4" t="b">
        <f>AND(((G1718 &lt;&gt; "plain")=TRUE), ((G1718 &lt;&gt; "")=TRUE))</f>
        <v>0</v>
      </c>
      <c r="M1718" s="4" t="str">
        <f>IF(((E1718)=TRUE),  C1718 &amp; "|" &amp; H1718,  "")</f>
        <v>principal-process-steward|StepExecutions</v>
      </c>
      <c r="N1718" s="3" t="s">
        <v>10004</v>
      </c>
    </row>
    <row r="1719">
      <c r="A1719" s="3" t="s">
        <v>11721</v>
      </c>
      <c r="B1719" s="4" t="str">
        <f>C1719 &amp; " -&gt; " &amp; D1719</f>
        <v>principal-process-steward -&gt; StepExecutions.IsClean</v>
      </c>
      <c r="C1719" s="3" t="s">
        <v>9772</v>
      </c>
      <c r="D1719" s="3" t="s">
        <v>3697</v>
      </c>
      <c r="E1719" s="3" t="b">
        <v>1</v>
      </c>
      <c r="F1719" s="3" t="b">
        <v>0</v>
      </c>
      <c r="G1719" s="3" t="s">
        <v>10003</v>
      </c>
      <c r="H1719" s="4" t="str">
        <f>_xlfn.IFNA(IF(((INDEX(RulebookFields!C2:C1898, MATCH(D1719,RulebookFields!A2:A1898, 0))="")=TRUE),  "",  INDEX(RulebookFields!C2:C1898, MATCH(D1719,RulebookFields!A2:A1898, 0))), "")</f>
        <v>StepExecutions</v>
      </c>
      <c r="I1719" s="4" t="str">
        <f>_xlfn.IFNA(IF(((INDEX(RulebookFields!D2:D1898, MATCH(D1719,RulebookFields!A2:A1898, 0))="")=TRUE),  "",  INDEX(RulebookFields!D2:D1898, MATCH(D1719,RulebookFields!A2:A1898, 0))), "")</f>
        <v>IsClean</v>
      </c>
      <c r="J1719" s="4" t="b">
        <f>_xlfn.IFNA(IF(((INDEX(RulebookFields!I2:I1898, MATCH(D1719,RulebookFields!A2:A1898, 0))="")=TRUE),  "",  INDEX(RulebookFields!I2:I1898, MATCH(D1719,RulebookFields!A2:A1898, 0))), "")</f>
        <v>1</v>
      </c>
      <c r="K1719" s="4" t="b">
        <f>AND(((F1719)=TRUE), ((J1719)=TRUE))</f>
        <v>0</v>
      </c>
      <c r="L1719" s="4" t="b">
        <f>AND(((G1719 &lt;&gt; "plain")=TRUE), ((G1719 &lt;&gt; "")=TRUE))</f>
        <v>0</v>
      </c>
      <c r="M1719" s="4" t="str">
        <f>IF(((E1719)=TRUE),  C1719 &amp; "|" &amp; H1719,  "")</f>
        <v>principal-process-steward|StepExecutions</v>
      </c>
      <c r="N1719" s="3" t="s">
        <v>10004</v>
      </c>
    </row>
    <row r="1720">
      <c r="A1720" s="3" t="s">
        <v>11722</v>
      </c>
      <c r="B1720" s="4" t="str">
        <f>C1720 &amp; " -&gt; " &amp; D1720</f>
        <v>principal-process-steward -&gt; StepExecutions.ProcedureExecutionWhenUnclean</v>
      </c>
      <c r="C1720" s="3" t="s">
        <v>9772</v>
      </c>
      <c r="D1720" s="3" t="s">
        <v>3699</v>
      </c>
      <c r="E1720" s="3" t="b">
        <v>1</v>
      </c>
      <c r="F1720" s="3" t="b">
        <v>0</v>
      </c>
      <c r="G1720" s="3" t="s">
        <v>10003</v>
      </c>
      <c r="H1720" s="4" t="str">
        <f>_xlfn.IFNA(IF(((INDEX(RulebookFields!C2:C1898, MATCH(D1720,RulebookFields!A2:A1898, 0))="")=TRUE),  "",  INDEX(RulebookFields!C2:C1898, MATCH(D1720,RulebookFields!A2:A1898, 0))), "")</f>
        <v>StepExecutions</v>
      </c>
      <c r="I1720" s="4" t="str">
        <f>_xlfn.IFNA(IF(((INDEX(RulebookFields!D2:D1898, MATCH(D1720,RulebookFields!A2:A1898, 0))="")=TRUE),  "",  INDEX(RulebookFields!D2:D1898, MATCH(D1720,RulebookFields!A2:A1898, 0))), "")</f>
        <v>ProcedureExecutionWhenUnclean</v>
      </c>
      <c r="J1720" s="4" t="b">
        <f>_xlfn.IFNA(IF(((INDEX(RulebookFields!I2:I1898, MATCH(D1720,RulebookFields!A2:A1898, 0))="")=TRUE),  "",  INDEX(RulebookFields!I2:I1898, MATCH(D1720,RulebookFields!A2:A1898, 0))), "")</f>
        <v>1</v>
      </c>
      <c r="K1720" s="4" t="b">
        <f>AND(((F1720)=TRUE), ((J1720)=TRUE))</f>
        <v>0</v>
      </c>
      <c r="L1720" s="4" t="b">
        <f>AND(((G1720 &lt;&gt; "plain")=TRUE), ((G1720 &lt;&gt; "")=TRUE))</f>
        <v>0</v>
      </c>
      <c r="M1720" s="4" t="str">
        <f>IF(((E1720)=TRUE),  C1720 &amp; "|" &amp; H1720,  "")</f>
        <v>principal-process-steward|StepExecutions</v>
      </c>
      <c r="N1720" s="3" t="s">
        <v>10004</v>
      </c>
    </row>
    <row r="1721">
      <c r="A1721" s="3" t="s">
        <v>11723</v>
      </c>
      <c r="B1721" s="4" t="str">
        <f>C1721 &amp; " -&gt; " &amp; D1721</f>
        <v>principal-process-steward -&gt; StepExecutions.EvaluatedRequirementCount</v>
      </c>
      <c r="C1721" s="3" t="s">
        <v>9772</v>
      </c>
      <c r="D1721" s="3" t="s">
        <v>3701</v>
      </c>
      <c r="E1721" s="3" t="b">
        <v>1</v>
      </c>
      <c r="F1721" s="3" t="b">
        <v>0</v>
      </c>
      <c r="G1721" s="3" t="s">
        <v>10003</v>
      </c>
      <c r="H1721" s="4" t="str">
        <f>_xlfn.IFNA(IF(((INDEX(RulebookFields!C2:C1898, MATCH(D1721,RulebookFields!A2:A1898, 0))="")=TRUE),  "",  INDEX(RulebookFields!C2:C1898, MATCH(D1721,RulebookFields!A2:A1898, 0))), "")</f>
        <v>StepExecutions</v>
      </c>
      <c r="I1721" s="4" t="str">
        <f>_xlfn.IFNA(IF(((INDEX(RulebookFields!D2:D1898, MATCH(D1721,RulebookFields!A2:A1898, 0))="")=TRUE),  "",  INDEX(RulebookFields!D2:D1898, MATCH(D1721,RulebookFields!A2:A1898, 0))), "")</f>
        <v>EvaluatedRequirementCount</v>
      </c>
      <c r="J1721" s="4" t="b">
        <f>_xlfn.IFNA(IF(((INDEX(RulebookFields!I2:I1898, MATCH(D1721,RulebookFields!A2:A1898, 0))="")=TRUE),  "",  INDEX(RulebookFields!I2:I1898, MATCH(D1721,RulebookFields!A2:A1898, 0))), "")</f>
        <v>1</v>
      </c>
      <c r="K1721" s="4" t="b">
        <f>AND(((F1721)=TRUE), ((J1721)=TRUE))</f>
        <v>0</v>
      </c>
      <c r="L1721" s="4" t="b">
        <f>AND(((G1721 &lt;&gt; "plain")=TRUE), ((G1721 &lt;&gt; "")=TRUE))</f>
        <v>0</v>
      </c>
      <c r="M1721" s="4" t="str">
        <f>IF(((E1721)=TRUE),  C1721 &amp; "|" &amp; H1721,  "")</f>
        <v>principal-process-steward|StepExecutions</v>
      </c>
      <c r="N1721" s="3" t="s">
        <v>10004</v>
      </c>
    </row>
    <row r="1722">
      <c r="A1722" s="3" t="s">
        <v>11724</v>
      </c>
      <c r="B1722" s="4" t="str">
        <f>C1722 &amp; " -&gt; " &amp; D1722</f>
        <v>principal-process-steward -&gt; StepExecutions.RequiredBlockingCount</v>
      </c>
      <c r="C1722" s="3" t="s">
        <v>9772</v>
      </c>
      <c r="D1722" s="3" t="s">
        <v>3703</v>
      </c>
      <c r="E1722" s="3" t="b">
        <v>1</v>
      </c>
      <c r="F1722" s="3" t="b">
        <v>0</v>
      </c>
      <c r="G1722" s="3" t="s">
        <v>10003</v>
      </c>
      <c r="H1722" s="4" t="str">
        <f>_xlfn.IFNA(IF(((INDEX(RulebookFields!C2:C1898, MATCH(D1722,RulebookFields!A2:A1898, 0))="")=TRUE),  "",  INDEX(RulebookFields!C2:C1898, MATCH(D1722,RulebookFields!A2:A1898, 0))), "")</f>
        <v>StepExecutions</v>
      </c>
      <c r="I1722" s="4" t="str">
        <f>_xlfn.IFNA(IF(((INDEX(RulebookFields!D2:D1898, MATCH(D1722,RulebookFields!A2:A1898, 0))="")=TRUE),  "",  INDEX(RulebookFields!D2:D1898, MATCH(D1722,RulebookFields!A2:A1898, 0))), "")</f>
        <v>RequiredBlockingCount</v>
      </c>
      <c r="J1722" s="4" t="b">
        <f>_xlfn.IFNA(IF(((INDEX(RulebookFields!I2:I1898, MATCH(D1722,RulebookFields!A2:A1898, 0))="")=TRUE),  "",  INDEX(RulebookFields!I2:I1898, MATCH(D1722,RulebookFields!A2:A1898, 0))), "")</f>
        <v>1</v>
      </c>
      <c r="K1722" s="4" t="b">
        <f>AND(((F1722)=TRUE), ((J1722)=TRUE))</f>
        <v>0</v>
      </c>
      <c r="L1722" s="4" t="b">
        <f>AND(((G1722 &lt;&gt; "plain")=TRUE), ((G1722 &lt;&gt; "")=TRUE))</f>
        <v>0</v>
      </c>
      <c r="M1722" s="4" t="str">
        <f>IF(((E1722)=TRUE),  C1722 &amp; "|" &amp; H1722,  "")</f>
        <v>principal-process-steward|StepExecutions</v>
      </c>
      <c r="N1722" s="3" t="s">
        <v>10004</v>
      </c>
    </row>
    <row r="1723">
      <c r="A1723" s="3" t="s">
        <v>11725</v>
      </c>
      <c r="B1723" s="4" t="str">
        <f>C1723 &amp; " -&gt; " &amp; D1723</f>
        <v>principal-process-steward -&gt; StepExecutions.HasUnevaluatedBlockingRequirement</v>
      </c>
      <c r="C1723" s="3" t="s">
        <v>9772</v>
      </c>
      <c r="D1723" s="3" t="s">
        <v>3704</v>
      </c>
      <c r="E1723" s="3" t="b">
        <v>1</v>
      </c>
      <c r="F1723" s="3" t="b">
        <v>0</v>
      </c>
      <c r="G1723" s="3" t="s">
        <v>10003</v>
      </c>
      <c r="H1723" s="4" t="str">
        <f>_xlfn.IFNA(IF(((INDEX(RulebookFields!C2:C1898, MATCH(D1723,RulebookFields!A2:A1898, 0))="")=TRUE),  "",  INDEX(RulebookFields!C2:C1898, MATCH(D1723,RulebookFields!A2:A1898, 0))), "")</f>
        <v>StepExecutions</v>
      </c>
      <c r="I1723" s="4" t="str">
        <f>_xlfn.IFNA(IF(((INDEX(RulebookFields!D2:D1898, MATCH(D1723,RulebookFields!A2:A1898, 0))="")=TRUE),  "",  INDEX(RulebookFields!D2:D1898, MATCH(D1723,RulebookFields!A2:A1898, 0))), "")</f>
        <v>HasUnevaluatedBlockingRequirement</v>
      </c>
      <c r="J1723" s="4" t="b">
        <f>_xlfn.IFNA(IF(((INDEX(RulebookFields!I2:I1898, MATCH(D1723,RulebookFields!A2:A1898, 0))="")=TRUE),  "",  INDEX(RulebookFields!I2:I1898, MATCH(D1723,RulebookFields!A2:A1898, 0))), "")</f>
        <v>1</v>
      </c>
      <c r="K1723" s="4" t="b">
        <f>AND(((F1723)=TRUE), ((J1723)=TRUE))</f>
        <v>0</v>
      </c>
      <c r="L1723" s="4" t="b">
        <f>AND(((G1723 &lt;&gt; "plain")=TRUE), ((G1723 &lt;&gt; "")=TRUE))</f>
        <v>0</v>
      </c>
      <c r="M1723" s="4" t="str">
        <f>IF(((E1723)=TRUE),  C1723 &amp; "|" &amp; H1723,  "")</f>
        <v>principal-process-steward|StepExecutions</v>
      </c>
      <c r="N1723" s="3" t="s">
        <v>10004</v>
      </c>
    </row>
    <row r="1724">
      <c r="A1724" s="3" t="s">
        <v>11726</v>
      </c>
      <c r="B1724" s="4" t="str">
        <f>C1724 &amp; " -&gt; " &amp; D1724</f>
        <v>principal-process-steward -&gt; StepExecutions.ExecutingAgentKind</v>
      </c>
      <c r="C1724" s="3" t="s">
        <v>9772</v>
      </c>
      <c r="D1724" s="3" t="s">
        <v>3706</v>
      </c>
      <c r="E1724" s="3" t="b">
        <v>1</v>
      </c>
      <c r="F1724" s="3" t="b">
        <v>0</v>
      </c>
      <c r="G1724" s="3" t="s">
        <v>10003</v>
      </c>
      <c r="H1724" s="4" t="str">
        <f>_xlfn.IFNA(IF(((INDEX(RulebookFields!C2:C1898, MATCH(D1724,RulebookFields!A2:A1898, 0))="")=TRUE),  "",  INDEX(RulebookFields!C2:C1898, MATCH(D1724,RulebookFields!A2:A1898, 0))), "")</f>
        <v>StepExecutions</v>
      </c>
      <c r="I1724" s="4" t="str">
        <f>_xlfn.IFNA(IF(((INDEX(RulebookFields!D2:D1898, MATCH(D1724,RulebookFields!A2:A1898, 0))="")=TRUE),  "",  INDEX(RulebookFields!D2:D1898, MATCH(D1724,RulebookFields!A2:A1898, 0))), "")</f>
        <v>ExecutingAgentKind</v>
      </c>
      <c r="J1724" s="4" t="b">
        <f>_xlfn.IFNA(IF(((INDEX(RulebookFields!I2:I1898, MATCH(D1724,RulebookFields!A2:A1898, 0))="")=TRUE),  "",  INDEX(RulebookFields!I2:I1898, MATCH(D1724,RulebookFields!A2:A1898, 0))), "")</f>
        <v>1</v>
      </c>
      <c r="K1724" s="4" t="b">
        <f>AND(((F1724)=TRUE), ((J1724)=TRUE))</f>
        <v>0</v>
      </c>
      <c r="L1724" s="4" t="b">
        <f>AND(((G1724 &lt;&gt; "plain")=TRUE), ((G1724 &lt;&gt; "")=TRUE))</f>
        <v>0</v>
      </c>
      <c r="M1724" s="4" t="str">
        <f>IF(((E1724)=TRUE),  C1724 &amp; "|" &amp; H1724,  "")</f>
        <v>principal-process-steward|StepExecutions</v>
      </c>
      <c r="N1724" s="3" t="s">
        <v>10004</v>
      </c>
    </row>
    <row r="1725">
      <c r="A1725" s="3" t="s">
        <v>11727</v>
      </c>
      <c r="B1725" s="4" t="str">
        <f>C1725 &amp; " -&gt; " &amp; D1725</f>
        <v>principal-process-steward -&gt; StepExecutions.WasExecutedBySoftware</v>
      </c>
      <c r="C1725" s="3" t="s">
        <v>9772</v>
      </c>
      <c r="D1725" s="3" t="s">
        <v>3707</v>
      </c>
      <c r="E1725" s="3" t="b">
        <v>1</v>
      </c>
      <c r="F1725" s="3" t="b">
        <v>0</v>
      </c>
      <c r="G1725" s="3" t="s">
        <v>10003</v>
      </c>
      <c r="H1725" s="4" t="str">
        <f>_xlfn.IFNA(IF(((INDEX(RulebookFields!C2:C1898, MATCH(D1725,RulebookFields!A2:A1898, 0))="")=TRUE),  "",  INDEX(RulebookFields!C2:C1898, MATCH(D1725,RulebookFields!A2:A1898, 0))), "")</f>
        <v>StepExecutions</v>
      </c>
      <c r="I1725" s="4" t="str">
        <f>_xlfn.IFNA(IF(((INDEX(RulebookFields!D2:D1898, MATCH(D1725,RulebookFields!A2:A1898, 0))="")=TRUE),  "",  INDEX(RulebookFields!D2:D1898, MATCH(D1725,RulebookFields!A2:A1898, 0))), "")</f>
        <v>WasExecutedBySoftware</v>
      </c>
      <c r="J1725" s="4" t="b">
        <f>_xlfn.IFNA(IF(((INDEX(RulebookFields!I2:I1898, MATCH(D1725,RulebookFields!A2:A1898, 0))="")=TRUE),  "",  INDEX(RulebookFields!I2:I1898, MATCH(D1725,RulebookFields!A2:A1898, 0))), "")</f>
        <v>1</v>
      </c>
      <c r="K1725" s="4" t="b">
        <f>AND(((F1725)=TRUE), ((J1725)=TRUE))</f>
        <v>0</v>
      </c>
      <c r="L1725" s="4" t="b">
        <f>AND(((G1725 &lt;&gt; "plain")=TRUE), ((G1725 &lt;&gt; "")=TRUE))</f>
        <v>0</v>
      </c>
      <c r="M1725" s="4" t="str">
        <f>IF(((E1725)=TRUE),  C1725 &amp; "|" &amp; H1725,  "")</f>
        <v>principal-process-steward|StepExecutions</v>
      </c>
      <c r="N1725" s="3" t="s">
        <v>10004</v>
      </c>
    </row>
    <row r="1726">
      <c r="A1726" s="3" t="s">
        <v>11728</v>
      </c>
      <c r="B1726" s="4" t="str">
        <f>C1726 &amp; " -&gt; " &amp; D1726</f>
        <v>principal-process-steward -&gt; StepExecutions.StepIsSoftwareAssigned</v>
      </c>
      <c r="C1726" s="3" t="s">
        <v>9772</v>
      </c>
      <c r="D1726" s="3" t="s">
        <v>3709</v>
      </c>
      <c r="E1726" s="3" t="b">
        <v>1</v>
      </c>
      <c r="F1726" s="3" t="b">
        <v>0</v>
      </c>
      <c r="G1726" s="3" t="s">
        <v>10003</v>
      </c>
      <c r="H1726" s="4" t="str">
        <f>_xlfn.IFNA(IF(((INDEX(RulebookFields!C2:C1898, MATCH(D1726,RulebookFields!A2:A1898, 0))="")=TRUE),  "",  INDEX(RulebookFields!C2:C1898, MATCH(D1726,RulebookFields!A2:A1898, 0))), "")</f>
        <v>StepExecutions</v>
      </c>
      <c r="I1726" s="4" t="str">
        <f>_xlfn.IFNA(IF(((INDEX(RulebookFields!D2:D1898, MATCH(D1726,RulebookFields!A2:A1898, 0))="")=TRUE),  "",  INDEX(RulebookFields!D2:D1898, MATCH(D1726,RulebookFields!A2:A1898, 0))), "")</f>
        <v>StepIsSoftwareAssigned</v>
      </c>
      <c r="J1726" s="4" t="b">
        <f>_xlfn.IFNA(IF(((INDEX(RulebookFields!I2:I1898, MATCH(D1726,RulebookFields!A2:A1898, 0))="")=TRUE),  "",  INDEX(RulebookFields!I2:I1898, MATCH(D1726,RulebookFields!A2:A1898, 0))), "")</f>
        <v>1</v>
      </c>
      <c r="K1726" s="4" t="b">
        <f>AND(((F1726)=TRUE), ((J1726)=TRUE))</f>
        <v>0</v>
      </c>
      <c r="L1726" s="4" t="b">
        <f>AND(((G1726 &lt;&gt; "plain")=TRUE), ((G1726 &lt;&gt; "")=TRUE))</f>
        <v>0</v>
      </c>
      <c r="M1726" s="4" t="str">
        <f>IF(((E1726)=TRUE),  C1726 &amp; "|" &amp; H1726,  "")</f>
        <v>principal-process-steward|StepExecutions</v>
      </c>
      <c r="N1726" s="3" t="s">
        <v>10004</v>
      </c>
    </row>
    <row r="1727">
      <c r="A1727" s="3" t="s">
        <v>11729</v>
      </c>
      <c r="B1727" s="4" t="str">
        <f>C1727 &amp; " -&gt; " &amp; D1727</f>
        <v>principal-process-steward -&gt; StepExecutions.SoftwareDidHumanWork</v>
      </c>
      <c r="C1727" s="3" t="s">
        <v>9772</v>
      </c>
      <c r="D1727" s="3" t="s">
        <v>3710</v>
      </c>
      <c r="E1727" s="3" t="b">
        <v>1</v>
      </c>
      <c r="F1727" s="3" t="b">
        <v>0</v>
      </c>
      <c r="G1727" s="3" t="s">
        <v>10003</v>
      </c>
      <c r="H1727" s="4" t="str">
        <f>_xlfn.IFNA(IF(((INDEX(RulebookFields!C2:C1898, MATCH(D1727,RulebookFields!A2:A1898, 0))="")=TRUE),  "",  INDEX(RulebookFields!C2:C1898, MATCH(D1727,RulebookFields!A2:A1898, 0))), "")</f>
        <v>StepExecutions</v>
      </c>
      <c r="I1727" s="4" t="str">
        <f>_xlfn.IFNA(IF(((INDEX(RulebookFields!D2:D1898, MATCH(D1727,RulebookFields!A2:A1898, 0))="")=TRUE),  "",  INDEX(RulebookFields!D2:D1898, MATCH(D1727,RulebookFields!A2:A1898, 0))), "")</f>
        <v>SoftwareDidHumanWork</v>
      </c>
      <c r="J1727" s="4" t="b">
        <f>_xlfn.IFNA(IF(((INDEX(RulebookFields!I2:I1898, MATCH(D1727,RulebookFields!A2:A1898, 0))="")=TRUE),  "",  INDEX(RulebookFields!I2:I1898, MATCH(D1727,RulebookFields!A2:A1898, 0))), "")</f>
        <v>1</v>
      </c>
      <c r="K1727" s="4" t="b">
        <f>AND(((F1727)=TRUE), ((J1727)=TRUE))</f>
        <v>0</v>
      </c>
      <c r="L1727" s="4" t="b">
        <f>AND(((G1727 &lt;&gt; "plain")=TRUE), ((G1727 &lt;&gt; "")=TRUE))</f>
        <v>0</v>
      </c>
      <c r="M1727" s="4" t="str">
        <f>IF(((E1727)=TRUE),  C1727 &amp; "|" &amp; H1727,  "")</f>
        <v>principal-process-steward|StepExecutions</v>
      </c>
      <c r="N1727" s="3" t="s">
        <v>10004</v>
      </c>
    </row>
    <row r="1728">
      <c r="A1728" s="3" t="s">
        <v>11730</v>
      </c>
      <c r="B1728" s="4" t="str">
        <f>C1728 &amp; " -&gt; " &amp; D1728</f>
        <v>principal-process-steward -&gt; StepExecutions.IsApprovalExecution</v>
      </c>
      <c r="C1728" s="3" t="s">
        <v>9772</v>
      </c>
      <c r="D1728" s="3" t="s">
        <v>3712</v>
      </c>
      <c r="E1728" s="3" t="b">
        <v>1</v>
      </c>
      <c r="F1728" s="3" t="b">
        <v>0</v>
      </c>
      <c r="G1728" s="3" t="s">
        <v>10003</v>
      </c>
      <c r="H1728" s="4" t="str">
        <f>_xlfn.IFNA(IF(((INDEX(RulebookFields!C2:C1898, MATCH(D1728,RulebookFields!A2:A1898, 0))="")=TRUE),  "",  INDEX(RulebookFields!C2:C1898, MATCH(D1728,RulebookFields!A2:A1898, 0))), "")</f>
        <v>StepExecutions</v>
      </c>
      <c r="I1728" s="4" t="str">
        <f>_xlfn.IFNA(IF(((INDEX(RulebookFields!D2:D1898, MATCH(D1728,RulebookFields!A2:A1898, 0))="")=TRUE),  "",  INDEX(RulebookFields!D2:D1898, MATCH(D1728,RulebookFields!A2:A1898, 0))), "")</f>
        <v>IsApprovalExecution</v>
      </c>
      <c r="J1728" s="4" t="b">
        <f>_xlfn.IFNA(IF(((INDEX(RulebookFields!I2:I1898, MATCH(D1728,RulebookFields!A2:A1898, 0))="")=TRUE),  "",  INDEX(RulebookFields!I2:I1898, MATCH(D1728,RulebookFields!A2:A1898, 0))), "")</f>
        <v>1</v>
      </c>
      <c r="K1728" s="4" t="b">
        <f>AND(((F1728)=TRUE), ((J1728)=TRUE))</f>
        <v>0</v>
      </c>
      <c r="L1728" s="4" t="b">
        <f>AND(((G1728 &lt;&gt; "plain")=TRUE), ((G1728 &lt;&gt; "")=TRUE))</f>
        <v>0</v>
      </c>
      <c r="M1728" s="4" t="str">
        <f>IF(((E1728)=TRUE),  C1728 &amp; "|" &amp; H1728,  "")</f>
        <v>principal-process-steward|StepExecutions</v>
      </c>
      <c r="N1728" s="3" t="s">
        <v>10004</v>
      </c>
    </row>
    <row r="1729">
      <c r="A1729" s="3" t="s">
        <v>11731</v>
      </c>
      <c r="B1729" s="4" t="str">
        <f>C1729 &amp; " -&gt; " &amp; D1729</f>
        <v>principal-process-steward -&gt; StepExecutions.IsVerified</v>
      </c>
      <c r="C1729" s="3" t="s">
        <v>9772</v>
      </c>
      <c r="D1729" s="3" t="s">
        <v>3714</v>
      </c>
      <c r="E1729" s="3" t="b">
        <v>1</v>
      </c>
      <c r="F1729" s="3" t="b">
        <v>0</v>
      </c>
      <c r="G1729" s="3" t="s">
        <v>10003</v>
      </c>
      <c r="H1729" s="4" t="str">
        <f>_xlfn.IFNA(IF(((INDEX(RulebookFields!C2:C1898, MATCH(D1729,RulebookFields!A2:A1898, 0))="")=TRUE),  "",  INDEX(RulebookFields!C2:C1898, MATCH(D1729,RulebookFields!A2:A1898, 0))), "")</f>
        <v>StepExecutions</v>
      </c>
      <c r="I1729" s="4" t="str">
        <f>_xlfn.IFNA(IF(((INDEX(RulebookFields!D2:D1898, MATCH(D1729,RulebookFields!A2:A1898, 0))="")=TRUE),  "",  INDEX(RulebookFields!D2:D1898, MATCH(D1729,RulebookFields!A2:A1898, 0))), "")</f>
        <v>IsVerified</v>
      </c>
      <c r="J1729" s="4" t="b">
        <f>_xlfn.IFNA(IF(((INDEX(RulebookFields!I2:I1898, MATCH(D1729,RulebookFields!A2:A1898, 0))="")=TRUE),  "",  INDEX(RulebookFields!I2:I1898, MATCH(D1729,RulebookFields!A2:A1898, 0))), "")</f>
        <v>1</v>
      </c>
      <c r="K1729" s="4" t="b">
        <f>AND(((F1729)=TRUE), ((J1729)=TRUE))</f>
        <v>0</v>
      </c>
      <c r="L1729" s="4" t="b">
        <f>AND(((G1729 &lt;&gt; "plain")=TRUE), ((G1729 &lt;&gt; "")=TRUE))</f>
        <v>0</v>
      </c>
      <c r="M1729" s="4" t="str">
        <f>IF(((E1729)=TRUE),  C1729 &amp; "|" &amp; H1729,  "")</f>
        <v>principal-process-steward|StepExecutions</v>
      </c>
      <c r="N1729" s="3" t="s">
        <v>10004</v>
      </c>
    </row>
    <row r="1730">
      <c r="A1730" s="3" t="s">
        <v>11732</v>
      </c>
      <c r="B1730" s="4" t="str">
        <f>C1730 &amp; " -&gt; " &amp; D1730</f>
        <v>principal-process-steward -&gt; StepExecutions.UnconfirmedNonHumanDecisionCount</v>
      </c>
      <c r="C1730" s="3" t="s">
        <v>9772</v>
      </c>
      <c r="D1730" s="3" t="s">
        <v>3716</v>
      </c>
      <c r="E1730" s="3" t="b">
        <v>1</v>
      </c>
      <c r="F1730" s="3" t="b">
        <v>0</v>
      </c>
      <c r="G1730" s="3" t="s">
        <v>10003</v>
      </c>
      <c r="H1730" s="4" t="str">
        <f>_xlfn.IFNA(IF(((INDEX(RulebookFields!C2:C1898, MATCH(D1730,RulebookFields!A2:A1898, 0))="")=TRUE),  "",  INDEX(RulebookFields!C2:C1898, MATCH(D1730,RulebookFields!A2:A1898, 0))), "")</f>
        <v>StepExecutions</v>
      </c>
      <c r="I1730" s="4" t="str">
        <f>_xlfn.IFNA(IF(((INDEX(RulebookFields!D2:D1898, MATCH(D1730,RulebookFields!A2:A1898, 0))="")=TRUE),  "",  INDEX(RulebookFields!D2:D1898, MATCH(D1730,RulebookFields!A2:A1898, 0))), "")</f>
        <v>UnconfirmedNonHumanDecisionCount</v>
      </c>
      <c r="J1730" s="4" t="b">
        <f>_xlfn.IFNA(IF(((INDEX(RulebookFields!I2:I1898, MATCH(D1730,RulebookFields!A2:A1898, 0))="")=TRUE),  "",  INDEX(RulebookFields!I2:I1898, MATCH(D1730,RulebookFields!A2:A1898, 0))), "")</f>
        <v>1</v>
      </c>
      <c r="K1730" s="4" t="b">
        <f>AND(((F1730)=TRUE), ((J1730)=TRUE))</f>
        <v>0</v>
      </c>
      <c r="L1730" s="4" t="b">
        <f>AND(((G1730 &lt;&gt; "plain")=TRUE), ((G1730 &lt;&gt; "")=TRUE))</f>
        <v>0</v>
      </c>
      <c r="M1730" s="4" t="str">
        <f>IF(((E1730)=TRUE),  C1730 &amp; "|" &amp; H1730,  "")</f>
        <v>principal-process-steward|StepExecutions</v>
      </c>
      <c r="N1730" s="3" t="s">
        <v>10004</v>
      </c>
    </row>
    <row r="1731">
      <c r="A1731" s="3" t="s">
        <v>11733</v>
      </c>
      <c r="B1731" s="4" t="str">
        <f>C1731 &amp; " -&gt; " &amp; D1731</f>
        <v>principal-process-steward -&gt; StepExecutions.RequiresHumanConfirmation</v>
      </c>
      <c r="C1731" s="3" t="s">
        <v>9772</v>
      </c>
      <c r="D1731" s="3" t="s">
        <v>3718</v>
      </c>
      <c r="E1731" s="3" t="b">
        <v>1</v>
      </c>
      <c r="F1731" s="3" t="b">
        <v>0</v>
      </c>
      <c r="G1731" s="3" t="s">
        <v>10003</v>
      </c>
      <c r="H1731" s="4" t="str">
        <f>_xlfn.IFNA(IF(((INDEX(RulebookFields!C2:C1898, MATCH(D1731,RulebookFields!A2:A1898, 0))="")=TRUE),  "",  INDEX(RulebookFields!C2:C1898, MATCH(D1731,RulebookFields!A2:A1898, 0))), "")</f>
        <v>StepExecutions</v>
      </c>
      <c r="I1731" s="4" t="str">
        <f>_xlfn.IFNA(IF(((INDEX(RulebookFields!D2:D1898, MATCH(D1731,RulebookFields!A2:A1898, 0))="")=TRUE),  "",  INDEX(RulebookFields!D2:D1898, MATCH(D1731,RulebookFields!A2:A1898, 0))), "")</f>
        <v>RequiresHumanConfirmation</v>
      </c>
      <c r="J1731" s="4" t="b">
        <f>_xlfn.IFNA(IF(((INDEX(RulebookFields!I2:I1898, MATCH(D1731,RulebookFields!A2:A1898, 0))="")=TRUE),  "",  INDEX(RulebookFields!I2:I1898, MATCH(D1731,RulebookFields!A2:A1898, 0))), "")</f>
        <v>1</v>
      </c>
      <c r="K1731" s="4" t="b">
        <f>AND(((F1731)=TRUE), ((J1731)=TRUE))</f>
        <v>0</v>
      </c>
      <c r="L1731" s="4" t="b">
        <f>AND(((G1731 &lt;&gt; "plain")=TRUE), ((G1731 &lt;&gt; "")=TRUE))</f>
        <v>0</v>
      </c>
      <c r="M1731" s="4" t="str">
        <f>IF(((E1731)=TRUE),  C1731 &amp; "|" &amp; H1731,  "")</f>
        <v>principal-process-steward|StepExecutions</v>
      </c>
      <c r="N1731" s="3" t="s">
        <v>10004</v>
      </c>
    </row>
    <row r="1732">
      <c r="A1732" s="3" t="s">
        <v>11734</v>
      </c>
      <c r="B1732" s="4" t="str">
        <f>C1732 &amp; " -&gt; " &amp; D1732</f>
        <v>principal-process-steward -&gt; StepExecutions.HumanConfirmationMissing</v>
      </c>
      <c r="C1732" s="3" t="s">
        <v>9772</v>
      </c>
      <c r="D1732" s="3" t="s">
        <v>3719</v>
      </c>
      <c r="E1732" s="3" t="b">
        <v>1</v>
      </c>
      <c r="F1732" s="3" t="b">
        <v>0</v>
      </c>
      <c r="G1732" s="3" t="s">
        <v>10003</v>
      </c>
      <c r="H1732" s="4" t="str">
        <f>_xlfn.IFNA(IF(((INDEX(RulebookFields!C2:C1898, MATCH(D1732,RulebookFields!A2:A1898, 0))="")=TRUE),  "",  INDEX(RulebookFields!C2:C1898, MATCH(D1732,RulebookFields!A2:A1898, 0))), "")</f>
        <v>StepExecutions</v>
      </c>
      <c r="I1732" s="4" t="str">
        <f>_xlfn.IFNA(IF(((INDEX(RulebookFields!D2:D1898, MATCH(D1732,RulebookFields!A2:A1898, 0))="")=TRUE),  "",  INDEX(RulebookFields!D2:D1898, MATCH(D1732,RulebookFields!A2:A1898, 0))), "")</f>
        <v>HumanConfirmationMissing</v>
      </c>
      <c r="J1732" s="4" t="b">
        <f>_xlfn.IFNA(IF(((INDEX(RulebookFields!I2:I1898, MATCH(D1732,RulebookFields!A2:A1898, 0))="")=TRUE),  "",  INDEX(RulebookFields!I2:I1898, MATCH(D1732,RulebookFields!A2:A1898, 0))), "")</f>
        <v>1</v>
      </c>
      <c r="K1732" s="4" t="b">
        <f>AND(((F1732)=TRUE), ((J1732)=TRUE))</f>
        <v>0</v>
      </c>
      <c r="L1732" s="4" t="b">
        <f>AND(((G1732 &lt;&gt; "plain")=TRUE), ((G1732 &lt;&gt; "")=TRUE))</f>
        <v>0</v>
      </c>
      <c r="M1732" s="4" t="str">
        <f>IF(((E1732)=TRUE),  C1732 &amp; "|" &amp; H1732,  "")</f>
        <v>principal-process-steward|StepExecutions</v>
      </c>
      <c r="N1732" s="3" t="s">
        <v>10004</v>
      </c>
    </row>
    <row r="1733">
      <c r="A1733" s="3" t="s">
        <v>11735</v>
      </c>
      <c r="B1733" s="4" t="str">
        <f>C1733 &amp; " -&gt; " &amp; D1733</f>
        <v>principal-process-steward -&gt; StepExecutions.DraftedFromUnusableSource</v>
      </c>
      <c r="C1733" s="3" t="s">
        <v>9772</v>
      </c>
      <c r="D1733" s="3" t="s">
        <v>3721</v>
      </c>
      <c r="E1733" s="3" t="b">
        <v>1</v>
      </c>
      <c r="F1733" s="3" t="b">
        <v>0</v>
      </c>
      <c r="G1733" s="3" t="s">
        <v>10003</v>
      </c>
      <c r="H1733" s="4" t="str">
        <f>_xlfn.IFNA(IF(((INDEX(RulebookFields!C2:C1898, MATCH(D1733,RulebookFields!A2:A1898, 0))="")=TRUE),  "",  INDEX(RulebookFields!C2:C1898, MATCH(D1733,RulebookFields!A2:A1898, 0))), "")</f>
        <v>StepExecutions</v>
      </c>
      <c r="I1733" s="4" t="str">
        <f>_xlfn.IFNA(IF(((INDEX(RulebookFields!D2:D1898, MATCH(D1733,RulebookFields!A2:A1898, 0))="")=TRUE),  "",  INDEX(RulebookFields!D2:D1898, MATCH(D1733,RulebookFields!A2:A1898, 0))), "")</f>
        <v>DraftedFromUnusableSource</v>
      </c>
      <c r="J1733" s="4" t="b">
        <f>_xlfn.IFNA(IF(((INDEX(RulebookFields!I2:I1898, MATCH(D1733,RulebookFields!A2:A1898, 0))="")=TRUE),  "",  INDEX(RulebookFields!I2:I1898, MATCH(D1733,RulebookFields!A2:A1898, 0))), "")</f>
        <v>1</v>
      </c>
      <c r="K1733" s="4" t="b">
        <f>AND(((F1733)=TRUE), ((J1733)=TRUE))</f>
        <v>0</v>
      </c>
      <c r="L1733" s="4" t="b">
        <f>AND(((G1733 &lt;&gt; "plain")=TRUE), ((G1733 &lt;&gt; "")=TRUE))</f>
        <v>0</v>
      </c>
      <c r="M1733" s="4" t="str">
        <f>IF(((E1733)=TRUE),  C1733 &amp; "|" &amp; H1733,  "")</f>
        <v>principal-process-steward|StepExecutions</v>
      </c>
      <c r="N1733" s="3" t="s">
        <v>10004</v>
      </c>
    </row>
    <row r="1734">
      <c r="A1734" s="3" t="s">
        <v>11736</v>
      </c>
      <c r="B1734" s="4" t="str">
        <f>C1734 &amp; " -&gt; " &amp; D1734</f>
        <v>principal-process-steward -&gt; StepExecutions.InputsWereUsable</v>
      </c>
      <c r="C1734" s="3" t="s">
        <v>9772</v>
      </c>
      <c r="D1734" s="3" t="s">
        <v>3723</v>
      </c>
      <c r="E1734" s="3" t="b">
        <v>1</v>
      </c>
      <c r="F1734" s="3" t="b">
        <v>0</v>
      </c>
      <c r="G1734" s="3" t="s">
        <v>10003</v>
      </c>
      <c r="H1734" s="4" t="str">
        <f>_xlfn.IFNA(IF(((INDEX(RulebookFields!C2:C1898, MATCH(D1734,RulebookFields!A2:A1898, 0))="")=TRUE),  "",  INDEX(RulebookFields!C2:C1898, MATCH(D1734,RulebookFields!A2:A1898, 0))), "")</f>
        <v>StepExecutions</v>
      </c>
      <c r="I1734" s="4" t="str">
        <f>_xlfn.IFNA(IF(((INDEX(RulebookFields!D2:D1898, MATCH(D1734,RulebookFields!A2:A1898, 0))="")=TRUE),  "",  INDEX(RulebookFields!D2:D1898, MATCH(D1734,RulebookFields!A2:A1898, 0))), "")</f>
        <v>InputsWereUsable</v>
      </c>
      <c r="J1734" s="4" t="b">
        <f>_xlfn.IFNA(IF(((INDEX(RulebookFields!I2:I1898, MATCH(D1734,RulebookFields!A2:A1898, 0))="")=TRUE),  "",  INDEX(RulebookFields!I2:I1898, MATCH(D1734,RulebookFields!A2:A1898, 0))), "")</f>
        <v>1</v>
      </c>
      <c r="K1734" s="4" t="b">
        <f>AND(((F1734)=TRUE), ((J1734)=TRUE))</f>
        <v>0</v>
      </c>
      <c r="L1734" s="4" t="b">
        <f>AND(((G1734 &lt;&gt; "plain")=TRUE), ((G1734 &lt;&gt; "")=TRUE))</f>
        <v>0</v>
      </c>
      <c r="M1734" s="4" t="str">
        <f>IF(((E1734)=TRUE),  C1734 &amp; "|" &amp; H1734,  "")</f>
        <v>principal-process-steward|StepExecutions</v>
      </c>
      <c r="N1734" s="3" t="s">
        <v>10004</v>
      </c>
    </row>
    <row r="1735">
      <c r="A1735" s="3" t="s">
        <v>11737</v>
      </c>
      <c r="B1735" s="4" t="str">
        <f>C1735 &amp; " -&gt; " &amp; D1735</f>
        <v>principal-process-steward -&gt; StepExecutions.SoftwareExecutionStepKey</v>
      </c>
      <c r="C1735" s="3" t="s">
        <v>9772</v>
      </c>
      <c r="D1735" s="3" t="s">
        <v>3725</v>
      </c>
      <c r="E1735" s="3" t="b">
        <v>1</v>
      </c>
      <c r="F1735" s="3" t="b">
        <v>0</v>
      </c>
      <c r="G1735" s="3" t="s">
        <v>10003</v>
      </c>
      <c r="H1735" s="4" t="str">
        <f>_xlfn.IFNA(IF(((INDEX(RulebookFields!C2:C1898, MATCH(D1735,RulebookFields!A2:A1898, 0))="")=TRUE),  "",  INDEX(RulebookFields!C2:C1898, MATCH(D1735,RulebookFields!A2:A1898, 0))), "")</f>
        <v>StepExecutions</v>
      </c>
      <c r="I1735" s="4" t="str">
        <f>_xlfn.IFNA(IF(((INDEX(RulebookFields!D2:D1898, MATCH(D1735,RulebookFields!A2:A1898, 0))="")=TRUE),  "",  INDEX(RulebookFields!D2:D1898, MATCH(D1735,RulebookFields!A2:A1898, 0))), "")</f>
        <v>SoftwareExecutionStepKey</v>
      </c>
      <c r="J1735" s="4" t="b">
        <f>_xlfn.IFNA(IF(((INDEX(RulebookFields!I2:I1898, MATCH(D1735,RulebookFields!A2:A1898, 0))="")=TRUE),  "",  INDEX(RulebookFields!I2:I1898, MATCH(D1735,RulebookFields!A2:A1898, 0))), "")</f>
        <v>1</v>
      </c>
      <c r="K1735" s="4" t="b">
        <f>AND(((F1735)=TRUE), ((J1735)=TRUE))</f>
        <v>0</v>
      </c>
      <c r="L1735" s="4" t="b">
        <f>AND(((G1735 &lt;&gt; "plain")=TRUE), ((G1735 &lt;&gt; "")=TRUE))</f>
        <v>0</v>
      </c>
      <c r="M1735" s="4" t="str">
        <f>IF(((E1735)=TRUE),  C1735 &amp; "|" &amp; H1735,  "")</f>
        <v>principal-process-steward|StepExecutions</v>
      </c>
      <c r="N1735" s="3" t="s">
        <v>10004</v>
      </c>
    </row>
    <row r="1736">
      <c r="A1736" s="3" t="s">
        <v>11738</v>
      </c>
      <c r="B1736" s="4" t="str">
        <f>C1736 &amp; " -&gt; " &amp; D1736</f>
        <v>principal-process-steward -&gt; StepExecutions.StepControlKind</v>
      </c>
      <c r="C1736" s="3" t="s">
        <v>9772</v>
      </c>
      <c r="D1736" s="3" t="s">
        <v>3727</v>
      </c>
      <c r="E1736" s="3" t="b">
        <v>1</v>
      </c>
      <c r="F1736" s="3" t="b">
        <v>0</v>
      </c>
      <c r="G1736" s="3" t="s">
        <v>10003</v>
      </c>
      <c r="H1736" s="4" t="str">
        <f>_xlfn.IFNA(IF(((INDEX(RulebookFields!C2:C1898, MATCH(D1736,RulebookFields!A2:A1898, 0))="")=TRUE),  "",  INDEX(RulebookFields!C2:C1898, MATCH(D1736,RulebookFields!A2:A1898, 0))), "")</f>
        <v>StepExecutions</v>
      </c>
      <c r="I1736" s="4" t="str">
        <f>_xlfn.IFNA(IF(((INDEX(RulebookFields!D2:D1898, MATCH(D1736,RulebookFields!A2:A1898, 0))="")=TRUE),  "",  INDEX(RulebookFields!D2:D1898, MATCH(D1736,RulebookFields!A2:A1898, 0))), "")</f>
        <v>StepControlKind</v>
      </c>
      <c r="J1736" s="4" t="b">
        <f>_xlfn.IFNA(IF(((INDEX(RulebookFields!I2:I1898, MATCH(D1736,RulebookFields!A2:A1898, 0))="")=TRUE),  "",  INDEX(RulebookFields!I2:I1898, MATCH(D1736,RulebookFields!A2:A1898, 0))), "")</f>
        <v>1</v>
      </c>
      <c r="K1736" s="4" t="b">
        <f>AND(((F1736)=TRUE), ((J1736)=TRUE))</f>
        <v>0</v>
      </c>
      <c r="L1736" s="4" t="b">
        <f>AND(((G1736 &lt;&gt; "plain")=TRUE), ((G1736 &lt;&gt; "")=TRUE))</f>
        <v>0</v>
      </c>
      <c r="M1736" s="4" t="str">
        <f>IF(((E1736)=TRUE),  C1736 &amp; "|" &amp; H1736,  "")</f>
        <v>principal-process-steward|StepExecutions</v>
      </c>
      <c r="N1736" s="3" t="s">
        <v>10004</v>
      </c>
    </row>
    <row r="1737">
      <c r="A1737" s="3" t="s">
        <v>11739</v>
      </c>
      <c r="B1737" s="4" t="str">
        <f>C1737 &amp; " -&gt; " &amp; D1737</f>
        <v>principal-process-steward -&gt; StepExecutions.UnfalsifiedClearanceCount</v>
      </c>
      <c r="C1737" s="3" t="s">
        <v>9772</v>
      </c>
      <c r="D1737" s="3" t="s">
        <v>3729</v>
      </c>
      <c r="E1737" s="3" t="b">
        <v>1</v>
      </c>
      <c r="F1737" s="3" t="b">
        <v>0</v>
      </c>
      <c r="G1737" s="3" t="s">
        <v>10003</v>
      </c>
      <c r="H1737" s="4" t="str">
        <f>_xlfn.IFNA(IF(((INDEX(RulebookFields!C2:C1898, MATCH(D1737,RulebookFields!A2:A1898, 0))="")=TRUE),  "",  INDEX(RulebookFields!C2:C1898, MATCH(D1737,RulebookFields!A2:A1898, 0))), "")</f>
        <v>StepExecutions</v>
      </c>
      <c r="I1737" s="4" t="str">
        <f>_xlfn.IFNA(IF(((INDEX(RulebookFields!D2:D1898, MATCH(D1737,RulebookFields!A2:A1898, 0))="")=TRUE),  "",  INDEX(RulebookFields!D2:D1898, MATCH(D1737,RulebookFields!A2:A1898, 0))), "")</f>
        <v>UnfalsifiedClearanceCount</v>
      </c>
      <c r="J1737" s="4" t="b">
        <f>_xlfn.IFNA(IF(((INDEX(RulebookFields!I2:I1898, MATCH(D1737,RulebookFields!A2:A1898, 0))="")=TRUE),  "",  INDEX(RulebookFields!I2:I1898, MATCH(D1737,RulebookFields!A2:A1898, 0))), "")</f>
        <v>1</v>
      </c>
      <c r="K1737" s="4" t="b">
        <f>AND(((F1737)=TRUE), ((J1737)=TRUE))</f>
        <v>0</v>
      </c>
      <c r="L1737" s="4" t="b">
        <f>AND(((G1737 &lt;&gt; "plain")=TRUE), ((G1737 &lt;&gt; "")=TRUE))</f>
        <v>0</v>
      </c>
      <c r="M1737" s="4" t="str">
        <f>IF(((E1737)=TRUE),  C1737 &amp; "|" &amp; H1737,  "")</f>
        <v>principal-process-steward|StepExecutions</v>
      </c>
      <c r="N1737" s="3" t="s">
        <v>10004</v>
      </c>
    </row>
    <row r="1738">
      <c r="A1738" s="3" t="s">
        <v>11740</v>
      </c>
      <c r="B1738" s="4" t="str">
        <f>C1738 &amp; " -&gt; " &amp; D1738</f>
        <v>principal-process-steward -&gt; StepExecutions.AllClearancesAreUnfalsified</v>
      </c>
      <c r="C1738" s="3" t="s">
        <v>9772</v>
      </c>
      <c r="D1738" s="3" t="s">
        <v>3731</v>
      </c>
      <c r="E1738" s="3" t="b">
        <v>1</v>
      </c>
      <c r="F1738" s="3" t="b">
        <v>0</v>
      </c>
      <c r="G1738" s="3" t="s">
        <v>10003</v>
      </c>
      <c r="H1738" s="4" t="str">
        <f>_xlfn.IFNA(IF(((INDEX(RulebookFields!C2:C1898, MATCH(D1738,RulebookFields!A2:A1898, 0))="")=TRUE),  "",  INDEX(RulebookFields!C2:C1898, MATCH(D1738,RulebookFields!A2:A1898, 0))), "")</f>
        <v>StepExecutions</v>
      </c>
      <c r="I1738" s="4" t="str">
        <f>_xlfn.IFNA(IF(((INDEX(RulebookFields!D2:D1898, MATCH(D1738,RulebookFields!A2:A1898, 0))="")=TRUE),  "",  INDEX(RulebookFields!D2:D1898, MATCH(D1738,RulebookFields!A2:A1898, 0))), "")</f>
        <v>AllClearancesAreUnfalsified</v>
      </c>
      <c r="J1738" s="4" t="b">
        <f>_xlfn.IFNA(IF(((INDEX(RulebookFields!I2:I1898, MATCH(D1738,RulebookFields!A2:A1898, 0))="")=TRUE),  "",  INDEX(RulebookFields!I2:I1898, MATCH(D1738,RulebookFields!A2:A1898, 0))), "")</f>
        <v>1</v>
      </c>
      <c r="K1738" s="4" t="b">
        <f>AND(((F1738)=TRUE), ((J1738)=TRUE))</f>
        <v>0</v>
      </c>
      <c r="L1738" s="4" t="b">
        <f>AND(((G1738 &lt;&gt; "plain")=TRUE), ((G1738 &lt;&gt; "")=TRUE))</f>
        <v>0</v>
      </c>
      <c r="M1738" s="4" t="str">
        <f>IF(((E1738)=TRUE),  C1738 &amp; "|" &amp; H1738,  "")</f>
        <v>principal-process-steward|StepExecutions</v>
      </c>
      <c r="N1738" s="3" t="s">
        <v>10004</v>
      </c>
    </row>
    <row r="1739">
      <c r="A1739" s="3" t="s">
        <v>11741</v>
      </c>
      <c r="B1739" s="4" t="str">
        <f>C1739 &amp; " -&gt; " &amp; D1739</f>
        <v>principal-process-steward -&gt; StepExecutions.StaleAtRunCount</v>
      </c>
      <c r="C1739" s="3" t="s">
        <v>9772</v>
      </c>
      <c r="D1739" s="3" t="s">
        <v>3733</v>
      </c>
      <c r="E1739" s="3" t="b">
        <v>1</v>
      </c>
      <c r="F1739" s="3" t="b">
        <v>0</v>
      </c>
      <c r="G1739" s="3" t="s">
        <v>10003</v>
      </c>
      <c r="H1739" s="4" t="str">
        <f>_xlfn.IFNA(IF(((INDEX(RulebookFields!C2:C1898, MATCH(D1739,RulebookFields!A2:A1898, 0))="")=TRUE),  "",  INDEX(RulebookFields!C2:C1898, MATCH(D1739,RulebookFields!A2:A1898, 0))), "")</f>
        <v>StepExecutions</v>
      </c>
      <c r="I1739" s="4" t="str">
        <f>_xlfn.IFNA(IF(((INDEX(RulebookFields!D2:D1898, MATCH(D1739,RulebookFields!A2:A1898, 0))="")=TRUE),  "",  INDEX(RulebookFields!D2:D1898, MATCH(D1739,RulebookFields!A2:A1898, 0))), "")</f>
        <v>StaleAtRunCount</v>
      </c>
      <c r="J1739" s="4" t="b">
        <f>_xlfn.IFNA(IF(((INDEX(RulebookFields!I2:I1898, MATCH(D1739,RulebookFields!A2:A1898, 0))="")=TRUE),  "",  INDEX(RulebookFields!I2:I1898, MATCH(D1739,RulebookFields!A2:A1898, 0))), "")</f>
        <v>1</v>
      </c>
      <c r="K1739" s="4" t="b">
        <f>AND(((F1739)=TRUE), ((J1739)=TRUE))</f>
        <v>0</v>
      </c>
      <c r="L1739" s="4" t="b">
        <f>AND(((G1739 &lt;&gt; "plain")=TRUE), ((G1739 &lt;&gt; "")=TRUE))</f>
        <v>0</v>
      </c>
      <c r="M1739" s="4" t="str">
        <f>IF(((E1739)=TRUE),  C1739 &amp; "|" &amp; H1739,  "")</f>
        <v>principal-process-steward|StepExecutions</v>
      </c>
      <c r="N1739" s="3" t="s">
        <v>10004</v>
      </c>
    </row>
    <row r="1740">
      <c r="A1740" s="3" t="s">
        <v>11742</v>
      </c>
      <c r="B1740" s="4" t="str">
        <f>C1740 &amp; " -&gt; " &amp; D1740</f>
        <v>principal-process-steward -&gt; StepExecutions.WasStaleWhenIRanIt</v>
      </c>
      <c r="C1740" s="3" t="s">
        <v>9772</v>
      </c>
      <c r="D1740" s="3" t="s">
        <v>3735</v>
      </c>
      <c r="E1740" s="3" t="b">
        <v>1</v>
      </c>
      <c r="F1740" s="3" t="b">
        <v>0</v>
      </c>
      <c r="G1740" s="3" t="s">
        <v>10003</v>
      </c>
      <c r="H1740" s="4" t="str">
        <f>_xlfn.IFNA(IF(((INDEX(RulebookFields!C2:C1898, MATCH(D1740,RulebookFields!A2:A1898, 0))="")=TRUE),  "",  INDEX(RulebookFields!C2:C1898, MATCH(D1740,RulebookFields!A2:A1898, 0))), "")</f>
        <v>StepExecutions</v>
      </c>
      <c r="I1740" s="4" t="str">
        <f>_xlfn.IFNA(IF(((INDEX(RulebookFields!D2:D1898, MATCH(D1740,RulebookFields!A2:A1898, 0))="")=TRUE),  "",  INDEX(RulebookFields!D2:D1898, MATCH(D1740,RulebookFields!A2:A1898, 0))), "")</f>
        <v>WasStaleWhenIRanIt</v>
      </c>
      <c r="J1740" s="4" t="b">
        <f>_xlfn.IFNA(IF(((INDEX(RulebookFields!I2:I1898, MATCH(D1740,RulebookFields!A2:A1898, 0))="")=TRUE),  "",  INDEX(RulebookFields!I2:I1898, MATCH(D1740,RulebookFields!A2:A1898, 0))), "")</f>
        <v>1</v>
      </c>
      <c r="K1740" s="4" t="b">
        <f>AND(((F1740)=TRUE), ((J1740)=TRUE))</f>
        <v>0</v>
      </c>
      <c r="L1740" s="4" t="b">
        <f>AND(((G1740 &lt;&gt; "plain")=TRUE), ((G1740 &lt;&gt; "")=TRUE))</f>
        <v>0</v>
      </c>
      <c r="M1740" s="4" t="str">
        <f>IF(((E1740)=TRUE),  C1740 &amp; "|" &amp; H1740,  "")</f>
        <v>principal-process-steward|StepExecutions</v>
      </c>
      <c r="N1740" s="3" t="s">
        <v>10004</v>
      </c>
    </row>
    <row r="1741">
      <c r="A1741" s="3" t="s">
        <v>11743</v>
      </c>
      <c r="B1741" s="4" t="str">
        <f>C1741 &amp; " -&gt; " &amp; D1741</f>
        <v>principal-process-steward -&gt; StepExecutions.StalenessAnswerIsTenseDependent</v>
      </c>
      <c r="C1741" s="3" t="s">
        <v>9772</v>
      </c>
      <c r="D1741" s="3" t="s">
        <v>3737</v>
      </c>
      <c r="E1741" s="3" t="b">
        <v>1</v>
      </c>
      <c r="F1741" s="3" t="b">
        <v>0</v>
      </c>
      <c r="G1741" s="3" t="s">
        <v>10003</v>
      </c>
      <c r="H1741" s="4" t="str">
        <f>_xlfn.IFNA(IF(((INDEX(RulebookFields!C2:C1898, MATCH(D1741,RulebookFields!A2:A1898, 0))="")=TRUE),  "",  INDEX(RulebookFields!C2:C1898, MATCH(D1741,RulebookFields!A2:A1898, 0))), "")</f>
        <v>StepExecutions</v>
      </c>
      <c r="I1741" s="4" t="str">
        <f>_xlfn.IFNA(IF(((INDEX(RulebookFields!D2:D1898, MATCH(D1741,RulebookFields!A2:A1898, 0))="")=TRUE),  "",  INDEX(RulebookFields!D2:D1898, MATCH(D1741,RulebookFields!A2:A1898, 0))), "")</f>
        <v>StalenessAnswerIsTenseDependent</v>
      </c>
      <c r="J1741" s="4" t="b">
        <f>_xlfn.IFNA(IF(((INDEX(RulebookFields!I2:I1898, MATCH(D1741,RulebookFields!A2:A1898, 0))="")=TRUE),  "",  INDEX(RulebookFields!I2:I1898, MATCH(D1741,RulebookFields!A2:A1898, 0))), "")</f>
        <v>1</v>
      </c>
      <c r="K1741" s="4" t="b">
        <f>AND(((F1741)=TRUE), ((J1741)=TRUE))</f>
        <v>0</v>
      </c>
      <c r="L1741" s="4" t="b">
        <f>AND(((G1741 &lt;&gt; "plain")=TRUE), ((G1741 &lt;&gt; "")=TRUE))</f>
        <v>0</v>
      </c>
      <c r="M1741" s="4" t="str">
        <f>IF(((E1741)=TRUE),  C1741 &amp; "|" &amp; H1741,  "")</f>
        <v>principal-process-steward|StepExecutions</v>
      </c>
      <c r="N1741" s="3" t="s">
        <v>10004</v>
      </c>
    </row>
    <row r="1742">
      <c r="A1742" s="3" t="s">
        <v>11744</v>
      </c>
      <c r="B1742" s="4" t="str">
        <f>C1742 &amp; " -&gt; " &amp; D1742</f>
        <v>principal-process-steward -&gt; StepExecutions.HasAnyDeclaredCheck</v>
      </c>
      <c r="C1742" s="3" t="s">
        <v>9772</v>
      </c>
      <c r="D1742" s="3" t="s">
        <v>3739</v>
      </c>
      <c r="E1742" s="3" t="b">
        <v>1</v>
      </c>
      <c r="F1742" s="3" t="b">
        <v>0</v>
      </c>
      <c r="G1742" s="3" t="s">
        <v>10003</v>
      </c>
      <c r="H1742" s="4" t="str">
        <f>_xlfn.IFNA(IF(((INDEX(RulebookFields!C2:C1898, MATCH(D1742,RulebookFields!A2:A1898, 0))="")=TRUE),  "",  INDEX(RulebookFields!C2:C1898, MATCH(D1742,RulebookFields!A2:A1898, 0))), "")</f>
        <v>StepExecutions</v>
      </c>
      <c r="I1742" s="4" t="str">
        <f>_xlfn.IFNA(IF(((INDEX(RulebookFields!D2:D1898, MATCH(D1742,RulebookFields!A2:A1898, 0))="")=TRUE),  "",  INDEX(RulebookFields!D2:D1898, MATCH(D1742,RulebookFields!A2:A1898, 0))), "")</f>
        <v>HasAnyDeclaredCheck</v>
      </c>
      <c r="J1742" s="4" t="b">
        <f>_xlfn.IFNA(IF(((INDEX(RulebookFields!I2:I1898, MATCH(D1742,RulebookFields!A2:A1898, 0))="")=TRUE),  "",  INDEX(RulebookFields!I2:I1898, MATCH(D1742,RulebookFields!A2:A1898, 0))), "")</f>
        <v>1</v>
      </c>
      <c r="K1742" s="4" t="b">
        <f>AND(((F1742)=TRUE), ((J1742)=TRUE))</f>
        <v>0</v>
      </c>
      <c r="L1742" s="4" t="b">
        <f>AND(((G1742 &lt;&gt; "plain")=TRUE), ((G1742 &lt;&gt; "")=TRUE))</f>
        <v>0</v>
      </c>
      <c r="M1742" s="4" t="str">
        <f>IF(((E1742)=TRUE),  C1742 &amp; "|" &amp; H1742,  "")</f>
        <v>principal-process-steward|StepExecutions</v>
      </c>
      <c r="N1742" s="3" t="s">
        <v>10004</v>
      </c>
    </row>
    <row r="1743">
      <c r="A1743" s="3" t="s">
        <v>11745</v>
      </c>
      <c r="B1743" s="4" t="str">
        <f>C1743 &amp; " -&gt; " &amp; D1743</f>
        <v>principal-process-steward -&gt; StepExecutions.PerformedCheckCount</v>
      </c>
      <c r="C1743" s="3" t="s">
        <v>9772</v>
      </c>
      <c r="D1743" s="3" t="s">
        <v>3741</v>
      </c>
      <c r="E1743" s="3" t="b">
        <v>1</v>
      </c>
      <c r="F1743" s="3" t="b">
        <v>0</v>
      </c>
      <c r="G1743" s="3" t="s">
        <v>10003</v>
      </c>
      <c r="H1743" s="4" t="str">
        <f>_xlfn.IFNA(IF(((INDEX(RulebookFields!C2:C1898, MATCH(D1743,RulebookFields!A2:A1898, 0))="")=TRUE),  "",  INDEX(RulebookFields!C2:C1898, MATCH(D1743,RulebookFields!A2:A1898, 0))), "")</f>
        <v>StepExecutions</v>
      </c>
      <c r="I1743" s="4" t="str">
        <f>_xlfn.IFNA(IF(((INDEX(RulebookFields!D2:D1898, MATCH(D1743,RulebookFields!A2:A1898, 0))="")=TRUE),  "",  INDEX(RulebookFields!D2:D1898, MATCH(D1743,RulebookFields!A2:A1898, 0))), "")</f>
        <v>PerformedCheckCount</v>
      </c>
      <c r="J1743" s="4" t="b">
        <f>_xlfn.IFNA(IF(((INDEX(RulebookFields!I2:I1898, MATCH(D1743,RulebookFields!A2:A1898, 0))="")=TRUE),  "",  INDEX(RulebookFields!I2:I1898, MATCH(D1743,RulebookFields!A2:A1898, 0))), "")</f>
        <v>1</v>
      </c>
      <c r="K1743" s="4" t="b">
        <f>AND(((F1743)=TRUE), ((J1743)=TRUE))</f>
        <v>0</v>
      </c>
      <c r="L1743" s="4" t="b">
        <f>AND(((G1743 &lt;&gt; "plain")=TRUE), ((G1743 &lt;&gt; "")=TRUE))</f>
        <v>0</v>
      </c>
      <c r="M1743" s="4" t="str">
        <f>IF(((E1743)=TRUE),  C1743 &amp; "|" &amp; H1743,  "")</f>
        <v>principal-process-steward|StepExecutions</v>
      </c>
      <c r="N1743" s="3" t="s">
        <v>10004</v>
      </c>
    </row>
    <row r="1744">
      <c r="A1744" s="3" t="s">
        <v>11746</v>
      </c>
      <c r="B1744" s="4" t="str">
        <f>C1744 &amp; " -&gt; " &amp; D1744</f>
        <v>principal-process-steward -&gt; StepExecutions.DeclaredCheckCount</v>
      </c>
      <c r="C1744" s="3" t="s">
        <v>9772</v>
      </c>
      <c r="D1744" s="3" t="s">
        <v>3743</v>
      </c>
      <c r="E1744" s="3" t="b">
        <v>1</v>
      </c>
      <c r="F1744" s="3" t="b">
        <v>0</v>
      </c>
      <c r="G1744" s="3" t="s">
        <v>10003</v>
      </c>
      <c r="H1744" s="4" t="str">
        <f>_xlfn.IFNA(IF(((INDEX(RulebookFields!C2:C1898, MATCH(D1744,RulebookFields!A2:A1898, 0))="")=TRUE),  "",  INDEX(RulebookFields!C2:C1898, MATCH(D1744,RulebookFields!A2:A1898, 0))), "")</f>
        <v>StepExecutions</v>
      </c>
      <c r="I1744" s="4" t="str">
        <f>_xlfn.IFNA(IF(((INDEX(RulebookFields!D2:D1898, MATCH(D1744,RulebookFields!A2:A1898, 0))="")=TRUE),  "",  INDEX(RulebookFields!D2:D1898, MATCH(D1744,RulebookFields!A2:A1898, 0))), "")</f>
        <v>DeclaredCheckCount</v>
      </c>
      <c r="J1744" s="4" t="b">
        <f>_xlfn.IFNA(IF(((INDEX(RulebookFields!I2:I1898, MATCH(D1744,RulebookFields!A2:A1898, 0))="")=TRUE),  "",  INDEX(RulebookFields!I2:I1898, MATCH(D1744,RulebookFields!A2:A1898, 0))), "")</f>
        <v>1</v>
      </c>
      <c r="K1744" s="4" t="b">
        <f>AND(((F1744)=TRUE), ((J1744)=TRUE))</f>
        <v>0</v>
      </c>
      <c r="L1744" s="4" t="b">
        <f>AND(((G1744 &lt;&gt; "plain")=TRUE), ((G1744 &lt;&gt; "")=TRUE))</f>
        <v>0</v>
      </c>
      <c r="M1744" s="4" t="str">
        <f>IF(((E1744)=TRUE),  C1744 &amp; "|" &amp; H1744,  "")</f>
        <v>principal-process-steward|StepExecutions</v>
      </c>
      <c r="N1744" s="3" t="s">
        <v>10004</v>
      </c>
    </row>
    <row r="1745">
      <c r="A1745" s="3" t="s">
        <v>11747</v>
      </c>
      <c r="B1745" s="4" t="str">
        <f>C1745 &amp; " -&gt; " &amp; D1745</f>
        <v>principal-process-steward -&gt; StepExecutions.IsUncheckedByDesign</v>
      </c>
      <c r="C1745" s="3" t="s">
        <v>9772</v>
      </c>
      <c r="D1745" s="3" t="s">
        <v>3745</v>
      </c>
      <c r="E1745" s="3" t="b">
        <v>1</v>
      </c>
      <c r="F1745" s="3" t="b">
        <v>0</v>
      </c>
      <c r="G1745" s="3" t="s">
        <v>10003</v>
      </c>
      <c r="H1745" s="4" t="str">
        <f>_xlfn.IFNA(IF(((INDEX(RulebookFields!C2:C1898, MATCH(D1745,RulebookFields!A2:A1898, 0))="")=TRUE),  "",  INDEX(RulebookFields!C2:C1898, MATCH(D1745,RulebookFields!A2:A1898, 0))), "")</f>
        <v>StepExecutions</v>
      </c>
      <c r="I1745" s="4" t="str">
        <f>_xlfn.IFNA(IF(((INDEX(RulebookFields!D2:D1898, MATCH(D1745,RulebookFields!A2:A1898, 0))="")=TRUE),  "",  INDEX(RulebookFields!D2:D1898, MATCH(D1745,RulebookFields!A2:A1898, 0))), "")</f>
        <v>IsUncheckedByDesign</v>
      </c>
      <c r="J1745" s="4" t="b">
        <f>_xlfn.IFNA(IF(((INDEX(RulebookFields!I2:I1898, MATCH(D1745,RulebookFields!A2:A1898, 0))="")=TRUE),  "",  INDEX(RulebookFields!I2:I1898, MATCH(D1745,RulebookFields!A2:A1898, 0))), "")</f>
        <v>1</v>
      </c>
      <c r="K1745" s="4" t="b">
        <f>AND(((F1745)=TRUE), ((J1745)=TRUE))</f>
        <v>0</v>
      </c>
      <c r="L1745" s="4" t="b">
        <f>AND(((G1745 &lt;&gt; "plain")=TRUE), ((G1745 &lt;&gt; "")=TRUE))</f>
        <v>0</v>
      </c>
      <c r="M1745" s="4" t="str">
        <f>IF(((E1745)=TRUE),  C1745 &amp; "|" &amp; H1745,  "")</f>
        <v>principal-process-steward|StepExecutions</v>
      </c>
      <c r="N1745" s="3" t="s">
        <v>10004</v>
      </c>
    </row>
    <row r="1746">
      <c r="A1746" s="3" t="s">
        <v>11748</v>
      </c>
      <c r="B1746" s="4" t="str">
        <f>C1746 &amp; " -&gt; " &amp; D1746</f>
        <v>principal-process-steward -&gt; StepExecutions.IsVacuouslyClean</v>
      </c>
      <c r="C1746" s="3" t="s">
        <v>9772</v>
      </c>
      <c r="D1746" s="3" t="s">
        <v>3747</v>
      </c>
      <c r="E1746" s="3" t="b">
        <v>1</v>
      </c>
      <c r="F1746" s="3" t="b">
        <v>0</v>
      </c>
      <c r="G1746" s="3" t="s">
        <v>10003</v>
      </c>
      <c r="H1746" s="4" t="str">
        <f>_xlfn.IFNA(IF(((INDEX(RulebookFields!C2:C1898, MATCH(D1746,RulebookFields!A2:A1898, 0))="")=TRUE),  "",  INDEX(RulebookFields!C2:C1898, MATCH(D1746,RulebookFields!A2:A1898, 0))), "")</f>
        <v>StepExecutions</v>
      </c>
      <c r="I1746" s="4" t="str">
        <f>_xlfn.IFNA(IF(((INDEX(RulebookFields!D2:D1898, MATCH(D1746,RulebookFields!A2:A1898, 0))="")=TRUE),  "",  INDEX(RulebookFields!D2:D1898, MATCH(D1746,RulebookFields!A2:A1898, 0))), "")</f>
        <v>IsVacuouslyClean</v>
      </c>
      <c r="J1746" s="4" t="b">
        <f>_xlfn.IFNA(IF(((INDEX(RulebookFields!I2:I1898, MATCH(D1746,RulebookFields!A2:A1898, 0))="")=TRUE),  "",  INDEX(RulebookFields!I2:I1898, MATCH(D1746,RulebookFields!A2:A1898, 0))), "")</f>
        <v>1</v>
      </c>
      <c r="K1746" s="4" t="b">
        <f>AND(((F1746)=TRUE), ((J1746)=TRUE))</f>
        <v>0</v>
      </c>
      <c r="L1746" s="4" t="b">
        <f>AND(((G1746 &lt;&gt; "plain")=TRUE), ((G1746 &lt;&gt; "")=TRUE))</f>
        <v>0</v>
      </c>
      <c r="M1746" s="4" t="str">
        <f>IF(((E1746)=TRUE),  C1746 &amp; "|" &amp; H1746,  "")</f>
        <v>principal-process-steward|StepExecutions</v>
      </c>
      <c r="N1746" s="3" t="s">
        <v>10004</v>
      </c>
    </row>
    <row r="1747">
      <c r="A1747" s="3" t="s">
        <v>11749</v>
      </c>
      <c r="B1747" s="4" t="str">
        <f>C1747 &amp; " -&gt; " &amp; D1747</f>
        <v>principal-process-steward -&gt; StepExecutions.IsSubstantivelyClean</v>
      </c>
      <c r="C1747" s="3" t="s">
        <v>9772</v>
      </c>
      <c r="D1747" s="3" t="s">
        <v>3749</v>
      </c>
      <c r="E1747" s="3" t="b">
        <v>1</v>
      </c>
      <c r="F1747" s="3" t="b">
        <v>0</v>
      </c>
      <c r="G1747" s="3" t="s">
        <v>10003</v>
      </c>
      <c r="H1747" s="4" t="str">
        <f>_xlfn.IFNA(IF(((INDEX(RulebookFields!C2:C1898, MATCH(D1747,RulebookFields!A2:A1898, 0))="")=TRUE),  "",  INDEX(RulebookFields!C2:C1898, MATCH(D1747,RulebookFields!A2:A1898, 0))), "")</f>
        <v>StepExecutions</v>
      </c>
      <c r="I1747" s="4" t="str">
        <f>_xlfn.IFNA(IF(((INDEX(RulebookFields!D2:D1898, MATCH(D1747,RulebookFields!A2:A1898, 0))="")=TRUE),  "",  INDEX(RulebookFields!D2:D1898, MATCH(D1747,RulebookFields!A2:A1898, 0))), "")</f>
        <v>IsSubstantivelyClean</v>
      </c>
      <c r="J1747" s="4" t="b">
        <f>_xlfn.IFNA(IF(((INDEX(RulebookFields!I2:I1898, MATCH(D1747,RulebookFields!A2:A1898, 0))="")=TRUE),  "",  INDEX(RulebookFields!I2:I1898, MATCH(D1747,RulebookFields!A2:A1898, 0))), "")</f>
        <v>1</v>
      </c>
      <c r="K1747" s="4" t="b">
        <f>AND(((F1747)=TRUE), ((J1747)=TRUE))</f>
        <v>0</v>
      </c>
      <c r="L1747" s="4" t="b">
        <f>AND(((G1747 &lt;&gt; "plain")=TRUE), ((G1747 &lt;&gt; "")=TRUE))</f>
        <v>0</v>
      </c>
      <c r="M1747" s="4" t="str">
        <f>IF(((E1747)=TRUE),  C1747 &amp; "|" &amp; H1747,  "")</f>
        <v>principal-process-steward|StepExecutions</v>
      </c>
      <c r="N1747" s="3" t="s">
        <v>10004</v>
      </c>
    </row>
    <row r="1748">
      <c r="A1748" s="3" t="s">
        <v>11750</v>
      </c>
      <c r="B1748" s="4" t="str">
        <f>C1748 &amp; " -&gt; " &amp; D1748</f>
        <v>principal-process-steward -&gt; StepExecutions.VacuouslyCleanExecutionKey</v>
      </c>
      <c r="C1748" s="3" t="s">
        <v>9772</v>
      </c>
      <c r="D1748" s="3" t="s">
        <v>3751</v>
      </c>
      <c r="E1748" s="3" t="b">
        <v>1</v>
      </c>
      <c r="F1748" s="3" t="b">
        <v>0</v>
      </c>
      <c r="G1748" s="3" t="s">
        <v>10003</v>
      </c>
      <c r="H1748" s="4" t="str">
        <f>_xlfn.IFNA(IF(((INDEX(RulebookFields!C2:C1898, MATCH(D1748,RulebookFields!A2:A1898, 0))="")=TRUE),  "",  INDEX(RulebookFields!C2:C1898, MATCH(D1748,RulebookFields!A2:A1898, 0))), "")</f>
        <v>StepExecutions</v>
      </c>
      <c r="I1748" s="4" t="str">
        <f>_xlfn.IFNA(IF(((INDEX(RulebookFields!D2:D1898, MATCH(D1748,RulebookFields!A2:A1898, 0))="")=TRUE),  "",  INDEX(RulebookFields!D2:D1898, MATCH(D1748,RulebookFields!A2:A1898, 0))), "")</f>
        <v>VacuouslyCleanExecutionKey</v>
      </c>
      <c r="J1748" s="4" t="b">
        <f>_xlfn.IFNA(IF(((INDEX(RulebookFields!I2:I1898, MATCH(D1748,RulebookFields!A2:A1898, 0))="")=TRUE),  "",  INDEX(RulebookFields!I2:I1898, MATCH(D1748,RulebookFields!A2:A1898, 0))), "")</f>
        <v>1</v>
      </c>
      <c r="K1748" s="4" t="b">
        <f>AND(((F1748)=TRUE), ((J1748)=TRUE))</f>
        <v>0</v>
      </c>
      <c r="L1748" s="4" t="b">
        <f>AND(((G1748 &lt;&gt; "plain")=TRUE), ((G1748 &lt;&gt; "")=TRUE))</f>
        <v>0</v>
      </c>
      <c r="M1748" s="4" t="str">
        <f>IF(((E1748)=TRUE),  C1748 &amp; "|" &amp; H1748,  "")</f>
        <v>principal-process-steward|StepExecutions</v>
      </c>
      <c r="N1748" s="3" t="s">
        <v>10004</v>
      </c>
    </row>
    <row r="1749">
      <c r="A1749" s="3" t="s">
        <v>11751</v>
      </c>
      <c r="B1749" s="4" t="str">
        <f>C1749 &amp; " -&gt; " &amp; D1749</f>
        <v>principal-process-steward -&gt; StepExecutions.UncorroboratedPassCount</v>
      </c>
      <c r="C1749" s="3" t="s">
        <v>9772</v>
      </c>
      <c r="D1749" s="3" t="s">
        <v>3753</v>
      </c>
      <c r="E1749" s="3" t="b">
        <v>1</v>
      </c>
      <c r="F1749" s="3" t="b">
        <v>0</v>
      </c>
      <c r="G1749" s="3" t="s">
        <v>10003</v>
      </c>
      <c r="H1749" s="4" t="str">
        <f>_xlfn.IFNA(IF(((INDEX(RulebookFields!C2:C1898, MATCH(D1749,RulebookFields!A2:A1898, 0))="")=TRUE),  "",  INDEX(RulebookFields!C2:C1898, MATCH(D1749,RulebookFields!A2:A1898, 0))), "")</f>
        <v>StepExecutions</v>
      </c>
      <c r="I1749" s="4" t="str">
        <f>_xlfn.IFNA(IF(((INDEX(RulebookFields!D2:D1898, MATCH(D1749,RulebookFields!A2:A1898, 0))="")=TRUE),  "",  INDEX(RulebookFields!D2:D1898, MATCH(D1749,RulebookFields!A2:A1898, 0))), "")</f>
        <v>UncorroboratedPassCount</v>
      </c>
      <c r="J1749" s="4" t="b">
        <f>_xlfn.IFNA(IF(((INDEX(RulebookFields!I2:I1898, MATCH(D1749,RulebookFields!A2:A1898, 0))="")=TRUE),  "",  INDEX(RulebookFields!I2:I1898, MATCH(D1749,RulebookFields!A2:A1898, 0))), "")</f>
        <v>1</v>
      </c>
      <c r="K1749" s="4" t="b">
        <f>AND(((F1749)=TRUE), ((J1749)=TRUE))</f>
        <v>0</v>
      </c>
      <c r="L1749" s="4" t="b">
        <f>AND(((G1749 &lt;&gt; "plain")=TRUE), ((G1749 &lt;&gt; "")=TRUE))</f>
        <v>0</v>
      </c>
      <c r="M1749" s="4" t="str">
        <f>IF(((E1749)=TRUE),  C1749 &amp; "|" &amp; H1749,  "")</f>
        <v>principal-process-steward|StepExecutions</v>
      </c>
      <c r="N1749" s="3" t="s">
        <v>10004</v>
      </c>
    </row>
    <row r="1750">
      <c r="A1750" s="3" t="s">
        <v>11752</v>
      </c>
      <c r="B1750" s="4" t="str">
        <f>C1750 &amp; " -&gt; " &amp; D1750</f>
        <v>principal-process-steward -&gt; StepExecutions.EvidencePositionIsWeak</v>
      </c>
      <c r="C1750" s="3" t="s">
        <v>9772</v>
      </c>
      <c r="D1750" s="3" t="s">
        <v>3755</v>
      </c>
      <c r="E1750" s="3" t="b">
        <v>1</v>
      </c>
      <c r="F1750" s="3" t="b">
        <v>0</v>
      </c>
      <c r="G1750" s="3" t="s">
        <v>10003</v>
      </c>
      <c r="H1750" s="4" t="str">
        <f>_xlfn.IFNA(IF(((INDEX(RulebookFields!C2:C1898, MATCH(D1750,RulebookFields!A2:A1898, 0))="")=TRUE),  "",  INDEX(RulebookFields!C2:C1898, MATCH(D1750,RulebookFields!A2:A1898, 0))), "")</f>
        <v>StepExecutions</v>
      </c>
      <c r="I1750" s="4" t="str">
        <f>_xlfn.IFNA(IF(((INDEX(RulebookFields!D2:D1898, MATCH(D1750,RulebookFields!A2:A1898, 0))="")=TRUE),  "",  INDEX(RulebookFields!D2:D1898, MATCH(D1750,RulebookFields!A2:A1898, 0))), "")</f>
        <v>EvidencePositionIsWeak</v>
      </c>
      <c r="J1750" s="4" t="b">
        <f>_xlfn.IFNA(IF(((INDEX(RulebookFields!I2:I1898, MATCH(D1750,RulebookFields!A2:A1898, 0))="")=TRUE),  "",  INDEX(RulebookFields!I2:I1898, MATCH(D1750,RulebookFields!A2:A1898, 0))), "")</f>
        <v>1</v>
      </c>
      <c r="K1750" s="4" t="b">
        <f>AND(((F1750)=TRUE), ((J1750)=TRUE))</f>
        <v>0</v>
      </c>
      <c r="L1750" s="4" t="b">
        <f>AND(((G1750 &lt;&gt; "plain")=TRUE), ((G1750 &lt;&gt; "")=TRUE))</f>
        <v>0</v>
      </c>
      <c r="M1750" s="4" t="str">
        <f>IF(((E1750)=TRUE),  C1750 &amp; "|" &amp; H1750,  "")</f>
        <v>principal-process-steward|StepExecutions</v>
      </c>
      <c r="N1750" s="3" t="s">
        <v>10004</v>
      </c>
    </row>
    <row r="1751">
      <c r="A1751" s="3" t="s">
        <v>11753</v>
      </c>
      <c r="B1751" s="4" t="str">
        <f>C1751 &amp; " -&gt; " &amp; D1751</f>
        <v>principal-process-steward -&gt; StepExecutions.PreparationExecutionKey</v>
      </c>
      <c r="C1751" s="3" t="s">
        <v>9772</v>
      </c>
      <c r="D1751" s="3" t="s">
        <v>3757</v>
      </c>
      <c r="E1751" s="3" t="b">
        <v>1</v>
      </c>
      <c r="F1751" s="3" t="b">
        <v>0</v>
      </c>
      <c r="G1751" s="3" t="s">
        <v>10003</v>
      </c>
      <c r="H1751" s="4" t="str">
        <f>_xlfn.IFNA(IF(((INDEX(RulebookFields!C2:C1898, MATCH(D1751,RulebookFields!A2:A1898, 0))="")=TRUE),  "",  INDEX(RulebookFields!C2:C1898, MATCH(D1751,RulebookFields!A2:A1898, 0))), "")</f>
        <v>StepExecutions</v>
      </c>
      <c r="I1751" s="4" t="str">
        <f>_xlfn.IFNA(IF(((INDEX(RulebookFields!D2:D1898, MATCH(D1751,RulebookFields!A2:A1898, 0))="")=TRUE),  "",  INDEX(RulebookFields!D2:D1898, MATCH(D1751,RulebookFields!A2:A1898, 0))), "")</f>
        <v>PreparationExecutionKey</v>
      </c>
      <c r="J1751" s="4" t="b">
        <f>_xlfn.IFNA(IF(((INDEX(RulebookFields!I2:I1898, MATCH(D1751,RulebookFields!A2:A1898, 0))="")=TRUE),  "",  INDEX(RulebookFields!I2:I1898, MATCH(D1751,RulebookFields!A2:A1898, 0))), "")</f>
        <v>1</v>
      </c>
      <c r="K1751" s="4" t="b">
        <f>AND(((F1751)=TRUE), ((J1751)=TRUE))</f>
        <v>0</v>
      </c>
      <c r="L1751" s="4" t="b">
        <f>AND(((G1751 &lt;&gt; "plain")=TRUE), ((G1751 &lt;&gt; "")=TRUE))</f>
        <v>0</v>
      </c>
      <c r="M1751" s="4" t="str">
        <f>IF(((E1751)=TRUE),  C1751 &amp; "|" &amp; H1751,  "")</f>
        <v>principal-process-steward|StepExecutions</v>
      </c>
      <c r="N1751" s="3" t="s">
        <v>10004</v>
      </c>
    </row>
    <row r="1752">
      <c r="A1752" s="3" t="s">
        <v>11754</v>
      </c>
      <c r="B1752" s="4" t="str">
        <f>C1752 &amp; " -&gt; " &amp; D1752</f>
        <v>principal-process-steward -&gt; StepExecutions.ApprovalExecutionKey</v>
      </c>
      <c r="C1752" s="3" t="s">
        <v>9772</v>
      </c>
      <c r="D1752" s="3" t="s">
        <v>3759</v>
      </c>
      <c r="E1752" s="3" t="b">
        <v>1</v>
      </c>
      <c r="F1752" s="3" t="b">
        <v>0</v>
      </c>
      <c r="G1752" s="3" t="s">
        <v>10003</v>
      </c>
      <c r="H1752" s="4" t="str">
        <f>_xlfn.IFNA(IF(((INDEX(RulebookFields!C2:C1898, MATCH(D1752,RulebookFields!A2:A1898, 0))="")=TRUE),  "",  INDEX(RulebookFields!C2:C1898, MATCH(D1752,RulebookFields!A2:A1898, 0))), "")</f>
        <v>StepExecutions</v>
      </c>
      <c r="I1752" s="4" t="str">
        <f>_xlfn.IFNA(IF(((INDEX(RulebookFields!D2:D1898, MATCH(D1752,RulebookFields!A2:A1898, 0))="")=TRUE),  "",  INDEX(RulebookFields!D2:D1898, MATCH(D1752,RulebookFields!A2:A1898, 0))), "")</f>
        <v>ApprovalExecutionKey</v>
      </c>
      <c r="J1752" s="4" t="b">
        <f>_xlfn.IFNA(IF(((INDEX(RulebookFields!I2:I1898, MATCH(D1752,RulebookFields!A2:A1898, 0))="")=TRUE),  "",  INDEX(RulebookFields!I2:I1898, MATCH(D1752,RulebookFields!A2:A1898, 0))), "")</f>
        <v>1</v>
      </c>
      <c r="K1752" s="4" t="b">
        <f>AND(((F1752)=TRUE), ((J1752)=TRUE))</f>
        <v>0</v>
      </c>
      <c r="L1752" s="4" t="b">
        <f>AND(((G1752 &lt;&gt; "plain")=TRUE), ((G1752 &lt;&gt; "")=TRUE))</f>
        <v>0</v>
      </c>
      <c r="M1752" s="4" t="str">
        <f>IF(((E1752)=TRUE),  C1752 &amp; "|" &amp; H1752,  "")</f>
        <v>principal-process-steward|StepExecutions</v>
      </c>
      <c r="N1752" s="3" t="s">
        <v>10004</v>
      </c>
    </row>
    <row r="1753">
      <c r="A1753" s="3" t="s">
        <v>11755</v>
      </c>
      <c r="B1753" s="4" t="str">
        <f>C1753 &amp; " -&gt; " &amp; D1753</f>
        <v>principal-process-steward -&gt; StepExecutions.HasGoverningInstrument</v>
      </c>
      <c r="C1753" s="3" t="s">
        <v>9772</v>
      </c>
      <c r="D1753" s="3" t="s">
        <v>3761</v>
      </c>
      <c r="E1753" s="3" t="b">
        <v>1</v>
      </c>
      <c r="F1753" s="3" t="b">
        <v>0</v>
      </c>
      <c r="G1753" s="3" t="s">
        <v>10003</v>
      </c>
      <c r="H1753" s="4" t="str">
        <f>_xlfn.IFNA(IF(((INDEX(RulebookFields!C2:C1898, MATCH(D1753,RulebookFields!A2:A1898, 0))="")=TRUE),  "",  INDEX(RulebookFields!C2:C1898, MATCH(D1753,RulebookFields!A2:A1898, 0))), "")</f>
        <v>StepExecutions</v>
      </c>
      <c r="I1753" s="4" t="str">
        <f>_xlfn.IFNA(IF(((INDEX(RulebookFields!D2:D1898, MATCH(D1753,RulebookFields!A2:A1898, 0))="")=TRUE),  "",  INDEX(RulebookFields!D2:D1898, MATCH(D1753,RulebookFields!A2:A1898, 0))), "")</f>
        <v>HasGoverningInstrument</v>
      </c>
      <c r="J1753" s="4" t="b">
        <f>_xlfn.IFNA(IF(((INDEX(RulebookFields!I2:I1898, MATCH(D1753,RulebookFields!A2:A1898, 0))="")=TRUE),  "",  INDEX(RulebookFields!I2:I1898, MATCH(D1753,RulebookFields!A2:A1898, 0))), "")</f>
        <v>1</v>
      </c>
      <c r="K1753" s="4" t="b">
        <f>AND(((F1753)=TRUE), ((J1753)=TRUE))</f>
        <v>0</v>
      </c>
      <c r="L1753" s="4" t="b">
        <f>AND(((G1753 &lt;&gt; "plain")=TRUE), ((G1753 &lt;&gt; "")=TRUE))</f>
        <v>0</v>
      </c>
      <c r="M1753" s="4" t="str">
        <f>IF(((E1753)=TRUE),  C1753 &amp; "|" &amp; H1753,  "")</f>
        <v>principal-process-steward|StepExecutions</v>
      </c>
      <c r="N1753" s="3" t="s">
        <v>10004</v>
      </c>
    </row>
    <row r="1754">
      <c r="A1754" s="3" t="s">
        <v>11756</v>
      </c>
      <c r="B1754" s="4" t="str">
        <f>C1754 &amp; " -&gt; " &amp; D1754</f>
        <v>principal-process-steward -&gt; StepExecutions.HasApprovedChangeCoverage</v>
      </c>
      <c r="C1754" s="3" t="s">
        <v>9772</v>
      </c>
      <c r="D1754" s="3" t="s">
        <v>3763</v>
      </c>
      <c r="E1754" s="3" t="b">
        <v>1</v>
      </c>
      <c r="F1754" s="3" t="b">
        <v>0</v>
      </c>
      <c r="G1754" s="3" t="s">
        <v>10003</v>
      </c>
      <c r="H1754" s="4" t="str">
        <f>_xlfn.IFNA(IF(((INDEX(RulebookFields!C2:C1898, MATCH(D1754,RulebookFields!A2:A1898, 0))="")=TRUE),  "",  INDEX(RulebookFields!C2:C1898, MATCH(D1754,RulebookFields!A2:A1898, 0))), "")</f>
        <v>StepExecutions</v>
      </c>
      <c r="I1754" s="4" t="str">
        <f>_xlfn.IFNA(IF(((INDEX(RulebookFields!D2:D1898, MATCH(D1754,RulebookFields!A2:A1898, 0))="")=TRUE),  "",  INDEX(RulebookFields!D2:D1898, MATCH(D1754,RulebookFields!A2:A1898, 0))), "")</f>
        <v>HasApprovedChangeCoverage</v>
      </c>
      <c r="J1754" s="4" t="b">
        <f>_xlfn.IFNA(IF(((INDEX(RulebookFields!I2:I1898, MATCH(D1754,RulebookFields!A2:A1898, 0))="")=TRUE),  "",  INDEX(RulebookFields!I2:I1898, MATCH(D1754,RulebookFields!A2:A1898, 0))), "")</f>
        <v>1</v>
      </c>
      <c r="K1754" s="4" t="b">
        <f>AND(((F1754)=TRUE), ((J1754)=TRUE))</f>
        <v>0</v>
      </c>
      <c r="L1754" s="4" t="b">
        <f>AND(((G1754 &lt;&gt; "plain")=TRUE), ((G1754 &lt;&gt; "")=TRUE))</f>
        <v>0</v>
      </c>
      <c r="M1754" s="4" t="str">
        <f>IF(((E1754)=TRUE),  C1754 &amp; "|" &amp; H1754,  "")</f>
        <v>principal-process-steward|StepExecutions</v>
      </c>
      <c r="N1754" s="3" t="s">
        <v>10004</v>
      </c>
    </row>
    <row r="1755">
      <c r="A1755" s="3" t="s">
        <v>11757</v>
      </c>
      <c r="B1755" s="4" t="str">
        <f>C1755 &amp; " -&gt; " &amp; D1755</f>
        <v>principal-process-steward -&gt; StepExecutions.VersionOfStep</v>
      </c>
      <c r="C1755" s="3" t="s">
        <v>9772</v>
      </c>
      <c r="D1755" s="3" t="s">
        <v>3765</v>
      </c>
      <c r="E1755" s="3" t="b">
        <v>1</v>
      </c>
      <c r="F1755" s="3" t="b">
        <v>0</v>
      </c>
      <c r="G1755" s="3" t="s">
        <v>10003</v>
      </c>
      <c r="H1755" s="4" t="str">
        <f>_xlfn.IFNA(IF(((INDEX(RulebookFields!C2:C1898, MATCH(D1755,RulebookFields!A2:A1898, 0))="")=TRUE),  "",  INDEX(RulebookFields!C2:C1898, MATCH(D1755,RulebookFields!A2:A1898, 0))), "")</f>
        <v>StepExecutions</v>
      </c>
      <c r="I1755" s="4" t="str">
        <f>_xlfn.IFNA(IF(((INDEX(RulebookFields!D2:D1898, MATCH(D1755,RulebookFields!A2:A1898, 0))="")=TRUE),  "",  INDEX(RulebookFields!D2:D1898, MATCH(D1755,RulebookFields!A2:A1898, 0))), "")</f>
        <v>VersionOfStep</v>
      </c>
      <c r="J1755" s="4" t="b">
        <f>_xlfn.IFNA(IF(((INDEX(RulebookFields!I2:I1898, MATCH(D1755,RulebookFields!A2:A1898, 0))="")=TRUE),  "",  INDEX(RulebookFields!I2:I1898, MATCH(D1755,RulebookFields!A2:A1898, 0))), "")</f>
        <v>1</v>
      </c>
      <c r="K1755" s="4" t="b">
        <f>AND(((F1755)=TRUE), ((J1755)=TRUE))</f>
        <v>0</v>
      </c>
      <c r="L1755" s="4" t="b">
        <f>AND(((G1755 &lt;&gt; "plain")=TRUE), ((G1755 &lt;&gt; "")=TRUE))</f>
        <v>0</v>
      </c>
      <c r="M1755" s="4" t="str">
        <f>IF(((E1755)=TRUE),  C1755 &amp; "|" &amp; H1755,  "")</f>
        <v>principal-process-steward|StepExecutions</v>
      </c>
      <c r="N1755" s="3" t="s">
        <v>10004</v>
      </c>
    </row>
    <row r="1756">
      <c r="A1756" s="3" t="s">
        <v>11758</v>
      </c>
      <c r="B1756" s="4" t="str">
        <f>C1756 &amp; " -&gt; " &amp; D1756</f>
        <v>principal-process-steward -&gt; StepExecutions.IsUngovernedDivergence</v>
      </c>
      <c r="C1756" s="3" t="s">
        <v>9772</v>
      </c>
      <c r="D1756" s="3" t="s">
        <v>3766</v>
      </c>
      <c r="E1756" s="3" t="b">
        <v>1</v>
      </c>
      <c r="F1756" s="3" t="b">
        <v>0</v>
      </c>
      <c r="G1756" s="3" t="s">
        <v>10003</v>
      </c>
      <c r="H1756" s="4" t="str">
        <f>_xlfn.IFNA(IF(((INDEX(RulebookFields!C2:C1898, MATCH(D1756,RulebookFields!A2:A1898, 0))="")=TRUE),  "",  INDEX(RulebookFields!C2:C1898, MATCH(D1756,RulebookFields!A2:A1898, 0))), "")</f>
        <v>StepExecutions</v>
      </c>
      <c r="I1756" s="4" t="str">
        <f>_xlfn.IFNA(IF(((INDEX(RulebookFields!D2:D1898, MATCH(D1756,RulebookFields!A2:A1898, 0))="")=TRUE),  "",  INDEX(RulebookFields!D2:D1898, MATCH(D1756,RulebookFields!A2:A1898, 0))), "")</f>
        <v>IsUngovernedDivergence</v>
      </c>
      <c r="J1756" s="4" t="b">
        <f>_xlfn.IFNA(IF(((INDEX(RulebookFields!I2:I1898, MATCH(D1756,RulebookFields!A2:A1898, 0))="")=TRUE),  "",  INDEX(RulebookFields!I2:I1898, MATCH(D1756,RulebookFields!A2:A1898, 0))), "")</f>
        <v>1</v>
      </c>
      <c r="K1756" s="4" t="b">
        <f>AND(((F1756)=TRUE), ((J1756)=TRUE))</f>
        <v>0</v>
      </c>
      <c r="L1756" s="4" t="b">
        <f>AND(((G1756 &lt;&gt; "plain")=TRUE), ((G1756 &lt;&gt; "")=TRUE))</f>
        <v>0</v>
      </c>
      <c r="M1756" s="4" t="str">
        <f>IF(((E1756)=TRUE),  C1756 &amp; "|" &amp; H1756,  "")</f>
        <v>principal-process-steward|StepExecutions</v>
      </c>
      <c r="N1756" s="3" t="s">
        <v>10004</v>
      </c>
    </row>
    <row r="1757">
      <c r="A1757" s="3" t="s">
        <v>11759</v>
      </c>
      <c r="B1757" s="4" t="str">
        <f>C1757 &amp; " -&gt; " &amp; D1757</f>
        <v>principal-process-steward -&gt; StepExecutions.UngovernedDivergenceExecutionKey</v>
      </c>
      <c r="C1757" s="3" t="s">
        <v>9772</v>
      </c>
      <c r="D1757" s="3" t="s">
        <v>3768</v>
      </c>
      <c r="E1757" s="3" t="b">
        <v>1</v>
      </c>
      <c r="F1757" s="3" t="b">
        <v>0</v>
      </c>
      <c r="G1757" s="3" t="s">
        <v>10003</v>
      </c>
      <c r="H1757" s="4" t="str">
        <f>_xlfn.IFNA(IF(((INDEX(RulebookFields!C2:C1898, MATCH(D1757,RulebookFields!A2:A1898, 0))="")=TRUE),  "",  INDEX(RulebookFields!C2:C1898, MATCH(D1757,RulebookFields!A2:A1898, 0))), "")</f>
        <v>StepExecutions</v>
      </c>
      <c r="I1757" s="4" t="str">
        <f>_xlfn.IFNA(IF(((INDEX(RulebookFields!D2:D1898, MATCH(D1757,RulebookFields!A2:A1898, 0))="")=TRUE),  "",  INDEX(RulebookFields!D2:D1898, MATCH(D1757,RulebookFields!A2:A1898, 0))), "")</f>
        <v>UngovernedDivergenceExecutionKey</v>
      </c>
      <c r="J1757" s="4" t="b">
        <f>_xlfn.IFNA(IF(((INDEX(RulebookFields!I2:I1898, MATCH(D1757,RulebookFields!A2:A1898, 0))="")=TRUE),  "",  INDEX(RulebookFields!I2:I1898, MATCH(D1757,RulebookFields!A2:A1898, 0))), "")</f>
        <v>1</v>
      </c>
      <c r="K1757" s="4" t="b">
        <f>AND(((F1757)=TRUE), ((J1757)=TRUE))</f>
        <v>0</v>
      </c>
      <c r="L1757" s="4" t="b">
        <f>AND(((G1757 &lt;&gt; "plain")=TRUE), ((G1757 &lt;&gt; "")=TRUE))</f>
        <v>0</v>
      </c>
      <c r="M1757" s="4" t="str">
        <f>IF(((E1757)=TRUE),  C1757 &amp; "|" &amp; H1757,  "")</f>
        <v>principal-process-steward|StepExecutions</v>
      </c>
      <c r="N1757" s="3" t="s">
        <v>10004</v>
      </c>
    </row>
    <row r="1758">
      <c r="A1758" s="3" t="s">
        <v>11760</v>
      </c>
      <c r="B1758" s="4" t="str">
        <f>C1758 &amp; " -&gt; " &amp; D1758</f>
        <v>principal-process-steward -&gt; StepExecutions.SelfAttestedApprovalExecutionKey</v>
      </c>
      <c r="C1758" s="3" t="s">
        <v>9772</v>
      </c>
      <c r="D1758" s="3" t="s">
        <v>3770</v>
      </c>
      <c r="E1758" s="3" t="b">
        <v>1</v>
      </c>
      <c r="F1758" s="3" t="b">
        <v>0</v>
      </c>
      <c r="G1758" s="3" t="s">
        <v>10003</v>
      </c>
      <c r="H1758" s="4" t="str">
        <f>_xlfn.IFNA(IF(((INDEX(RulebookFields!C2:C1898, MATCH(D1758,RulebookFields!A2:A1898, 0))="")=TRUE),  "",  INDEX(RulebookFields!C2:C1898, MATCH(D1758,RulebookFields!A2:A1898, 0))), "")</f>
        <v>StepExecutions</v>
      </c>
      <c r="I1758" s="4" t="str">
        <f>_xlfn.IFNA(IF(((INDEX(RulebookFields!D2:D1898, MATCH(D1758,RulebookFields!A2:A1898, 0))="")=TRUE),  "",  INDEX(RulebookFields!D2:D1898, MATCH(D1758,RulebookFields!A2:A1898, 0))), "")</f>
        <v>SelfAttestedApprovalExecutionKey</v>
      </c>
      <c r="J1758" s="4" t="b">
        <f>_xlfn.IFNA(IF(((INDEX(RulebookFields!I2:I1898, MATCH(D1758,RulebookFields!A2:A1898, 0))="")=TRUE),  "",  INDEX(RulebookFields!I2:I1898, MATCH(D1758,RulebookFields!A2:A1898, 0))), "")</f>
        <v>1</v>
      </c>
      <c r="K1758" s="4" t="b">
        <f>AND(((F1758)=TRUE), ((J1758)=TRUE))</f>
        <v>0</v>
      </c>
      <c r="L1758" s="4" t="b">
        <f>AND(((G1758 &lt;&gt; "plain")=TRUE), ((G1758 &lt;&gt; "")=TRUE))</f>
        <v>0</v>
      </c>
      <c r="M1758" s="4" t="str">
        <f>IF(((E1758)=TRUE),  C1758 &amp; "|" &amp; H1758,  "")</f>
        <v>principal-process-steward|StepExecutions</v>
      </c>
      <c r="N1758" s="3" t="s">
        <v>10004</v>
      </c>
    </row>
    <row r="1759">
      <c r="A1759" s="3" t="s">
        <v>11761</v>
      </c>
      <c r="B1759" s="4" t="str">
        <f>C1759 &amp; " -&gt; " &amp; D1759</f>
        <v>principal-process-steward -&gt; StepExecutions.SemanticTypeIri</v>
      </c>
      <c r="C1759" s="3" t="s">
        <v>9772</v>
      </c>
      <c r="D1759" s="3" t="s">
        <v>3772</v>
      </c>
      <c r="E1759" s="3" t="b">
        <v>1</v>
      </c>
      <c r="F1759" s="3" t="b">
        <v>0</v>
      </c>
      <c r="G1759" s="3" t="s">
        <v>10003</v>
      </c>
      <c r="H1759" s="4" t="str">
        <f>_xlfn.IFNA(IF(((INDEX(RulebookFields!C2:C1898, MATCH(D1759,RulebookFields!A2:A1898, 0))="")=TRUE),  "",  INDEX(RulebookFields!C2:C1898, MATCH(D1759,RulebookFields!A2:A1898, 0))), "")</f>
        <v>StepExecutions</v>
      </c>
      <c r="I1759" s="4" t="str">
        <f>_xlfn.IFNA(IF(((INDEX(RulebookFields!D2:D1898, MATCH(D1759,RulebookFields!A2:A1898, 0))="")=TRUE),  "",  INDEX(RulebookFields!D2:D1898, MATCH(D1759,RulebookFields!A2:A1898, 0))), "")</f>
        <v>SemanticTypeIri</v>
      </c>
      <c r="J1759" s="4" t="b">
        <f>_xlfn.IFNA(IF(((INDEX(RulebookFields!I2:I1898, MATCH(D1759,RulebookFields!A2:A1898, 0))="")=TRUE),  "",  INDEX(RulebookFields!I2:I1898, MATCH(D1759,RulebookFields!A2:A1898, 0))), "")</f>
        <v>0</v>
      </c>
      <c r="K1759" s="4" t="b">
        <f>AND(((F1759)=TRUE), ((J1759)=TRUE))</f>
        <v>0</v>
      </c>
      <c r="L1759" s="4" t="b">
        <f>AND(((G1759 &lt;&gt; "plain")=TRUE), ((G1759 &lt;&gt; "")=TRUE))</f>
        <v>0</v>
      </c>
      <c r="M1759" s="4" t="str">
        <f>IF(((E1759)=TRUE),  C1759 &amp; "|" &amp; H1759,  "")</f>
        <v>principal-process-steward|StepExecutions</v>
      </c>
      <c r="N1759" s="3" t="s">
        <v>10004</v>
      </c>
    </row>
    <row r="1760">
      <c r="A1760" s="3" t="s">
        <v>11762</v>
      </c>
      <c r="B1760" s="4" t="str">
        <f>C1760 &amp; " -&gt; " &amp; D1760</f>
        <v>principal-process-steward -&gt; StepFunctions.StepFunctionId</v>
      </c>
      <c r="C1760" s="3" t="s">
        <v>9772</v>
      </c>
      <c r="D1760" s="3" t="s">
        <v>3033</v>
      </c>
      <c r="E1760" s="3" t="b">
        <v>1</v>
      </c>
      <c r="F1760" s="3" t="b">
        <v>0</v>
      </c>
      <c r="G1760" s="3" t="s">
        <v>10003</v>
      </c>
      <c r="H1760" s="4" t="str">
        <f>_xlfn.IFNA(IF(((INDEX(RulebookFields!C2:C1898, MATCH(D1760,RulebookFields!A2:A1898, 0))="")=TRUE),  "",  INDEX(RulebookFields!C2:C1898, MATCH(D1760,RulebookFields!A2:A1898, 0))), "")</f>
        <v>StepFunctions</v>
      </c>
      <c r="I1760" s="4" t="str">
        <f>_xlfn.IFNA(IF(((INDEX(RulebookFields!D2:D1898, MATCH(D1760,RulebookFields!A2:A1898, 0))="")=TRUE),  "",  INDEX(RulebookFields!D2:D1898, MATCH(D1760,RulebookFields!A2:A1898, 0))), "")</f>
        <v>StepFunctionId</v>
      </c>
      <c r="J1760" s="4" t="b">
        <f>_xlfn.IFNA(IF(((INDEX(RulebookFields!I2:I1898, MATCH(D1760,RulebookFields!A2:A1898, 0))="")=TRUE),  "",  INDEX(RulebookFields!I2:I1898, MATCH(D1760,RulebookFields!A2:A1898, 0))), "")</f>
        <v>0</v>
      </c>
      <c r="K1760" s="4" t="b">
        <f>AND(((F1760)=TRUE), ((J1760)=TRUE))</f>
        <v>0</v>
      </c>
      <c r="L1760" s="4" t="b">
        <f>AND(((G1760 &lt;&gt; "plain")=TRUE), ((G1760 &lt;&gt; "")=TRUE))</f>
        <v>0</v>
      </c>
      <c r="M1760" s="4" t="str">
        <f>IF(((E1760)=TRUE),  C1760 &amp; "|" &amp; H1760,  "")</f>
        <v>principal-process-steward|StepFunctions</v>
      </c>
      <c r="N1760" s="3" t="s">
        <v>10004</v>
      </c>
    </row>
    <row r="1761">
      <c r="A1761" s="3" t="s">
        <v>11763</v>
      </c>
      <c r="B1761" s="4" t="str">
        <f>C1761 &amp; " -&gt; " &amp; D1761</f>
        <v>principal-process-steward -&gt; StepFunctions.Name</v>
      </c>
      <c r="C1761" s="3" t="s">
        <v>9772</v>
      </c>
      <c r="D1761" s="3" t="s">
        <v>3035</v>
      </c>
      <c r="E1761" s="3" t="b">
        <v>1</v>
      </c>
      <c r="F1761" s="3" t="b">
        <v>0</v>
      </c>
      <c r="G1761" s="3" t="s">
        <v>10003</v>
      </c>
      <c r="H1761" s="4" t="str">
        <f>_xlfn.IFNA(IF(((INDEX(RulebookFields!C2:C1898, MATCH(D1761,RulebookFields!A2:A1898, 0))="")=TRUE),  "",  INDEX(RulebookFields!C2:C1898, MATCH(D1761,RulebookFields!A2:A1898, 0))), "")</f>
        <v>StepFunctions</v>
      </c>
      <c r="I1761" s="4" t="str">
        <f>_xlfn.IFNA(IF(((INDEX(RulebookFields!D2:D1898, MATCH(D1761,RulebookFields!A2:A1898, 0))="")=TRUE),  "",  INDEX(RulebookFields!D2:D1898, MATCH(D1761,RulebookFields!A2:A1898, 0))), "")</f>
        <v>Name</v>
      </c>
      <c r="J1761" s="4" t="b">
        <f>_xlfn.IFNA(IF(((INDEX(RulebookFields!I2:I1898, MATCH(D1761,RulebookFields!A2:A1898, 0))="")=TRUE),  "",  INDEX(RulebookFields!I2:I1898, MATCH(D1761,RulebookFields!A2:A1898, 0))), "")</f>
        <v>1</v>
      </c>
      <c r="K1761" s="4" t="b">
        <f>AND(((F1761)=TRUE), ((J1761)=TRUE))</f>
        <v>0</v>
      </c>
      <c r="L1761" s="4" t="b">
        <f>AND(((G1761 &lt;&gt; "plain")=TRUE), ((G1761 &lt;&gt; "")=TRUE))</f>
        <v>0</v>
      </c>
      <c r="M1761" s="4" t="str">
        <f>IF(((E1761)=TRUE),  C1761 &amp; "|" &amp; H1761,  "")</f>
        <v>principal-process-steward|StepFunctions</v>
      </c>
      <c r="N1761" s="3" t="s">
        <v>10004</v>
      </c>
    </row>
    <row r="1762">
      <c r="A1762" s="3" t="s">
        <v>11764</v>
      </c>
      <c r="B1762" s="4" t="str">
        <f>C1762 &amp; " -&gt; " &amp; D1762</f>
        <v>principal-process-steward -&gt; StepFunctions.Step</v>
      </c>
      <c r="C1762" s="3" t="s">
        <v>9772</v>
      </c>
      <c r="D1762" s="3" t="s">
        <v>3037</v>
      </c>
      <c r="E1762" s="3" t="b">
        <v>1</v>
      </c>
      <c r="F1762" s="3" t="b">
        <v>0</v>
      </c>
      <c r="G1762" s="3" t="s">
        <v>10003</v>
      </c>
      <c r="H1762" s="4" t="str">
        <f>_xlfn.IFNA(IF(((INDEX(RulebookFields!C2:C1898, MATCH(D1762,RulebookFields!A2:A1898, 0))="")=TRUE),  "",  INDEX(RulebookFields!C2:C1898, MATCH(D1762,RulebookFields!A2:A1898, 0))), "")</f>
        <v>StepFunctions</v>
      </c>
      <c r="I1762" s="4" t="str">
        <f>_xlfn.IFNA(IF(((INDEX(RulebookFields!D2:D1898, MATCH(D1762,RulebookFields!A2:A1898, 0))="")=TRUE),  "",  INDEX(RulebookFields!D2:D1898, MATCH(D1762,RulebookFields!A2:A1898, 0))), "")</f>
        <v>Step</v>
      </c>
      <c r="J1762" s="4" t="b">
        <f>_xlfn.IFNA(IF(((INDEX(RulebookFields!I2:I1898, MATCH(D1762,RulebookFields!A2:A1898, 0))="")=TRUE),  "",  INDEX(RulebookFields!I2:I1898, MATCH(D1762,RulebookFields!A2:A1898, 0))), "")</f>
        <v>0</v>
      </c>
      <c r="K1762" s="4" t="b">
        <f>AND(((F1762)=TRUE), ((J1762)=TRUE))</f>
        <v>0</v>
      </c>
      <c r="L1762" s="4" t="b">
        <f>AND(((G1762 &lt;&gt; "plain")=TRUE), ((G1762 &lt;&gt; "")=TRUE))</f>
        <v>0</v>
      </c>
      <c r="M1762" s="4" t="str">
        <f>IF(((E1762)=TRUE),  C1762 &amp; "|" &amp; H1762,  "")</f>
        <v>principal-process-steward|StepFunctions</v>
      </c>
      <c r="N1762" s="3" t="s">
        <v>10004</v>
      </c>
    </row>
    <row r="1763">
      <c r="A1763" s="3" t="s">
        <v>11765</v>
      </c>
      <c r="B1763" s="4" t="str">
        <f>C1763 &amp; " -&gt; " &amp; D1763</f>
        <v>principal-process-steward -&gt; StepFunctions.Function</v>
      </c>
      <c r="C1763" s="3" t="s">
        <v>9772</v>
      </c>
      <c r="D1763" s="3" t="s">
        <v>3038</v>
      </c>
      <c r="E1763" s="3" t="b">
        <v>1</v>
      </c>
      <c r="F1763" s="3" t="b">
        <v>0</v>
      </c>
      <c r="G1763" s="3" t="s">
        <v>10003</v>
      </c>
      <c r="H1763" s="4" t="str">
        <f>_xlfn.IFNA(IF(((INDEX(RulebookFields!C2:C1898, MATCH(D1763,RulebookFields!A2:A1898, 0))="")=TRUE),  "",  INDEX(RulebookFields!C2:C1898, MATCH(D1763,RulebookFields!A2:A1898, 0))), "")</f>
        <v>StepFunctions</v>
      </c>
      <c r="I1763" s="4" t="str">
        <f>_xlfn.IFNA(IF(((INDEX(RulebookFields!D2:D1898, MATCH(D1763,RulebookFields!A2:A1898, 0))="")=TRUE),  "",  INDEX(RulebookFields!D2:D1898, MATCH(D1763,RulebookFields!A2:A1898, 0))), "")</f>
        <v>Function</v>
      </c>
      <c r="J1763" s="4" t="b">
        <f>_xlfn.IFNA(IF(((INDEX(RulebookFields!I2:I1898, MATCH(D1763,RulebookFields!A2:A1898, 0))="")=TRUE),  "",  INDEX(RulebookFields!I2:I1898, MATCH(D1763,RulebookFields!A2:A1898, 0))), "")</f>
        <v>0</v>
      </c>
      <c r="K1763" s="4" t="b">
        <f>AND(((F1763)=TRUE), ((J1763)=TRUE))</f>
        <v>0</v>
      </c>
      <c r="L1763" s="4" t="b">
        <f>AND(((G1763 &lt;&gt; "plain")=TRUE), ((G1763 &lt;&gt; "")=TRUE))</f>
        <v>0</v>
      </c>
      <c r="M1763" s="4" t="str">
        <f>IF(((E1763)=TRUE),  C1763 &amp; "|" &amp; H1763,  "")</f>
        <v>principal-process-steward|StepFunctions</v>
      </c>
      <c r="N1763" s="3" t="s">
        <v>10004</v>
      </c>
    </row>
    <row r="1764">
      <c r="A1764" s="3" t="s">
        <v>11766</v>
      </c>
      <c r="B1764" s="4" t="str">
        <f>C1764 &amp; " -&gt; " &amp; D1764</f>
        <v>principal-process-steward -&gt; StepRequirements.StepRequirementId</v>
      </c>
      <c r="C1764" s="3" t="s">
        <v>9772</v>
      </c>
      <c r="D1764" s="3" t="s">
        <v>3118</v>
      </c>
      <c r="E1764" s="3" t="b">
        <v>1</v>
      </c>
      <c r="F1764" s="3" t="b">
        <v>0</v>
      </c>
      <c r="G1764" s="3" t="s">
        <v>10003</v>
      </c>
      <c r="H1764" s="4" t="str">
        <f>_xlfn.IFNA(IF(((INDEX(RulebookFields!C2:C1898, MATCH(D1764,RulebookFields!A2:A1898, 0))="")=TRUE),  "",  INDEX(RulebookFields!C2:C1898, MATCH(D1764,RulebookFields!A2:A1898, 0))), "")</f>
        <v>StepRequirements</v>
      </c>
      <c r="I1764" s="4" t="str">
        <f>_xlfn.IFNA(IF(((INDEX(RulebookFields!D2:D1898, MATCH(D1764,RulebookFields!A2:A1898, 0))="")=TRUE),  "",  INDEX(RulebookFields!D2:D1898, MATCH(D1764,RulebookFields!A2:A1898, 0))), "")</f>
        <v>StepRequirementId</v>
      </c>
      <c r="J1764" s="4" t="b">
        <f>_xlfn.IFNA(IF(((INDEX(RulebookFields!I2:I1898, MATCH(D1764,RulebookFields!A2:A1898, 0))="")=TRUE),  "",  INDEX(RulebookFields!I2:I1898, MATCH(D1764,RulebookFields!A2:A1898, 0))), "")</f>
        <v>0</v>
      </c>
      <c r="K1764" s="4" t="b">
        <f>AND(((F1764)=TRUE), ((J1764)=TRUE))</f>
        <v>0</v>
      </c>
      <c r="L1764" s="4" t="b">
        <f>AND(((G1764 &lt;&gt; "plain")=TRUE), ((G1764 &lt;&gt; "")=TRUE))</f>
        <v>0</v>
      </c>
      <c r="M1764" s="4" t="str">
        <f>IF(((E1764)=TRUE),  C1764 &amp; "|" &amp; H1764,  "")</f>
        <v>principal-process-steward|StepRequirements</v>
      </c>
      <c r="N1764" s="3" t="s">
        <v>10004</v>
      </c>
    </row>
    <row r="1765">
      <c r="A1765" s="3" t="s">
        <v>11767</v>
      </c>
      <c r="B1765" s="4" t="str">
        <f>C1765 &amp; " -&gt; " &amp; D1765</f>
        <v>principal-process-steward -&gt; StepRequirements.Name</v>
      </c>
      <c r="C1765" s="3" t="s">
        <v>9772</v>
      </c>
      <c r="D1765" s="3" t="s">
        <v>3120</v>
      </c>
      <c r="E1765" s="3" t="b">
        <v>1</v>
      </c>
      <c r="F1765" s="3" t="b">
        <v>0</v>
      </c>
      <c r="G1765" s="3" t="s">
        <v>10003</v>
      </c>
      <c r="H1765" s="4" t="str">
        <f>_xlfn.IFNA(IF(((INDEX(RulebookFields!C2:C1898, MATCH(D1765,RulebookFields!A2:A1898, 0))="")=TRUE),  "",  INDEX(RulebookFields!C2:C1898, MATCH(D1765,RulebookFields!A2:A1898, 0))), "")</f>
        <v>StepRequirements</v>
      </c>
      <c r="I1765" s="4" t="str">
        <f>_xlfn.IFNA(IF(((INDEX(RulebookFields!D2:D1898, MATCH(D1765,RulebookFields!A2:A1898, 0))="")=TRUE),  "",  INDEX(RulebookFields!D2:D1898, MATCH(D1765,RulebookFields!A2:A1898, 0))), "")</f>
        <v>Name</v>
      </c>
      <c r="J1765" s="4" t="b">
        <f>_xlfn.IFNA(IF(((INDEX(RulebookFields!I2:I1898, MATCH(D1765,RulebookFields!A2:A1898, 0))="")=TRUE),  "",  INDEX(RulebookFields!I2:I1898, MATCH(D1765,RulebookFields!A2:A1898, 0))), "")</f>
        <v>1</v>
      </c>
      <c r="K1765" s="4" t="b">
        <f>AND(((F1765)=TRUE), ((J1765)=TRUE))</f>
        <v>0</v>
      </c>
      <c r="L1765" s="4" t="b">
        <f>AND(((G1765 &lt;&gt; "plain")=TRUE), ((G1765 &lt;&gt; "")=TRUE))</f>
        <v>0</v>
      </c>
      <c r="M1765" s="4" t="str">
        <f>IF(((E1765)=TRUE),  C1765 &amp; "|" &amp; H1765,  "")</f>
        <v>principal-process-steward|StepRequirements</v>
      </c>
      <c r="N1765" s="3" t="s">
        <v>10004</v>
      </c>
    </row>
    <row r="1766">
      <c r="A1766" s="3" t="s">
        <v>11768</v>
      </c>
      <c r="B1766" s="4" t="str">
        <f>C1766 &amp; " -&gt; " &amp; D1766</f>
        <v>principal-process-steward -&gt; StepRequirements.Step</v>
      </c>
      <c r="C1766" s="3" t="s">
        <v>9772</v>
      </c>
      <c r="D1766" s="3" t="s">
        <v>3122</v>
      </c>
      <c r="E1766" s="3" t="b">
        <v>1</v>
      </c>
      <c r="F1766" s="3" t="b">
        <v>0</v>
      </c>
      <c r="G1766" s="3" t="s">
        <v>10003</v>
      </c>
      <c r="H1766" s="4" t="str">
        <f>_xlfn.IFNA(IF(((INDEX(RulebookFields!C2:C1898, MATCH(D1766,RulebookFields!A2:A1898, 0))="")=TRUE),  "",  INDEX(RulebookFields!C2:C1898, MATCH(D1766,RulebookFields!A2:A1898, 0))), "")</f>
        <v>StepRequirements</v>
      </c>
      <c r="I1766" s="4" t="str">
        <f>_xlfn.IFNA(IF(((INDEX(RulebookFields!D2:D1898, MATCH(D1766,RulebookFields!A2:A1898, 0))="")=TRUE),  "",  INDEX(RulebookFields!D2:D1898, MATCH(D1766,RulebookFields!A2:A1898, 0))), "")</f>
        <v>Step</v>
      </c>
      <c r="J1766" s="4" t="b">
        <f>_xlfn.IFNA(IF(((INDEX(RulebookFields!I2:I1898, MATCH(D1766,RulebookFields!A2:A1898, 0))="")=TRUE),  "",  INDEX(RulebookFields!I2:I1898, MATCH(D1766,RulebookFields!A2:A1898, 0))), "")</f>
        <v>0</v>
      </c>
      <c r="K1766" s="4" t="b">
        <f>AND(((F1766)=TRUE), ((J1766)=TRUE))</f>
        <v>0</v>
      </c>
      <c r="L1766" s="4" t="b">
        <f>AND(((G1766 &lt;&gt; "plain")=TRUE), ((G1766 &lt;&gt; "")=TRUE))</f>
        <v>0</v>
      </c>
      <c r="M1766" s="4" t="str">
        <f>IF(((E1766)=TRUE),  C1766 &amp; "|" &amp; H1766,  "")</f>
        <v>principal-process-steward|StepRequirements</v>
      </c>
      <c r="N1766" s="3" t="s">
        <v>10004</v>
      </c>
    </row>
    <row r="1767">
      <c r="A1767" s="3" t="s">
        <v>11769</v>
      </c>
      <c r="B1767" s="4" t="str">
        <f>C1767 &amp; " -&gt; " &amp; D1767</f>
        <v>principal-process-steward -&gt; StepRequirements.Requirement</v>
      </c>
      <c r="C1767" s="3" t="s">
        <v>9772</v>
      </c>
      <c r="D1767" s="3" t="s">
        <v>3123</v>
      </c>
      <c r="E1767" s="3" t="b">
        <v>1</v>
      </c>
      <c r="F1767" s="3" t="b">
        <v>0</v>
      </c>
      <c r="G1767" s="3" t="s">
        <v>10003</v>
      </c>
      <c r="H1767" s="4" t="str">
        <f>_xlfn.IFNA(IF(((INDEX(RulebookFields!C2:C1898, MATCH(D1767,RulebookFields!A2:A1898, 0))="")=TRUE),  "",  INDEX(RulebookFields!C2:C1898, MATCH(D1767,RulebookFields!A2:A1898, 0))), "")</f>
        <v>StepRequirements</v>
      </c>
      <c r="I1767" s="4" t="str">
        <f>_xlfn.IFNA(IF(((INDEX(RulebookFields!D2:D1898, MATCH(D1767,RulebookFields!A2:A1898, 0))="")=TRUE),  "",  INDEX(RulebookFields!D2:D1898, MATCH(D1767,RulebookFields!A2:A1898, 0))), "")</f>
        <v>Requirement</v>
      </c>
      <c r="J1767" s="4" t="b">
        <f>_xlfn.IFNA(IF(((INDEX(RulebookFields!I2:I1898, MATCH(D1767,RulebookFields!A2:A1898, 0))="")=TRUE),  "",  INDEX(RulebookFields!I2:I1898, MATCH(D1767,RulebookFields!A2:A1898, 0))), "")</f>
        <v>0</v>
      </c>
      <c r="K1767" s="4" t="b">
        <f>AND(((F1767)=TRUE), ((J1767)=TRUE))</f>
        <v>0</v>
      </c>
      <c r="L1767" s="4" t="b">
        <f>AND(((G1767 &lt;&gt; "plain")=TRUE), ((G1767 &lt;&gt; "")=TRUE))</f>
        <v>0</v>
      </c>
      <c r="M1767" s="4" t="str">
        <f>IF(((E1767)=TRUE),  C1767 &amp; "|" &amp; H1767,  "")</f>
        <v>principal-process-steward|StepRequirements</v>
      </c>
      <c r="N1767" s="3" t="s">
        <v>10004</v>
      </c>
    </row>
    <row r="1768">
      <c r="A1768" s="3" t="s">
        <v>11770</v>
      </c>
      <c r="B1768" s="4" t="str">
        <f>C1768 &amp; " -&gt; " &amp; D1768</f>
        <v>principal-process-steward -&gt; StepRequirements.RequirementIsBlocking</v>
      </c>
      <c r="C1768" s="3" t="s">
        <v>9772</v>
      </c>
      <c r="D1768" s="3" t="s">
        <v>3124</v>
      </c>
      <c r="E1768" s="3" t="b">
        <v>1</v>
      </c>
      <c r="F1768" s="3" t="b">
        <v>0</v>
      </c>
      <c r="G1768" s="3" t="s">
        <v>10003</v>
      </c>
      <c r="H1768" s="4" t="str">
        <f>_xlfn.IFNA(IF(((INDEX(RulebookFields!C2:C1898, MATCH(D1768,RulebookFields!A2:A1898, 0))="")=TRUE),  "",  INDEX(RulebookFields!C2:C1898, MATCH(D1768,RulebookFields!A2:A1898, 0))), "")</f>
        <v>StepRequirements</v>
      </c>
      <c r="I1768" s="4" t="str">
        <f>_xlfn.IFNA(IF(((INDEX(RulebookFields!D2:D1898, MATCH(D1768,RulebookFields!A2:A1898, 0))="")=TRUE),  "",  INDEX(RulebookFields!D2:D1898, MATCH(D1768,RulebookFields!A2:A1898, 0))), "")</f>
        <v>RequirementIsBlocking</v>
      </c>
      <c r="J1768" s="4" t="b">
        <f>_xlfn.IFNA(IF(((INDEX(RulebookFields!I2:I1898, MATCH(D1768,RulebookFields!A2:A1898, 0))="")=TRUE),  "",  INDEX(RulebookFields!I2:I1898, MATCH(D1768,RulebookFields!A2:A1898, 0))), "")</f>
        <v>1</v>
      </c>
      <c r="K1768" s="4" t="b">
        <f>AND(((F1768)=TRUE), ((J1768)=TRUE))</f>
        <v>0</v>
      </c>
      <c r="L1768" s="4" t="b">
        <f>AND(((G1768 &lt;&gt; "plain")=TRUE), ((G1768 &lt;&gt; "")=TRUE))</f>
        <v>0</v>
      </c>
      <c r="M1768" s="4" t="str">
        <f>IF(((E1768)=TRUE),  C1768 &amp; "|" &amp; H1768,  "")</f>
        <v>principal-process-steward|StepRequirements</v>
      </c>
      <c r="N1768" s="3" t="s">
        <v>10004</v>
      </c>
    </row>
    <row r="1769">
      <c r="A1769" s="3" t="s">
        <v>11771</v>
      </c>
      <c r="B1769" s="4" t="str">
        <f>C1769 &amp; " -&gt; " &amp; D1769</f>
        <v>principal-process-steward -&gt; StepRequirements.BlockingStepKey</v>
      </c>
      <c r="C1769" s="3" t="s">
        <v>9772</v>
      </c>
      <c r="D1769" s="3" t="s">
        <v>3126</v>
      </c>
      <c r="E1769" s="3" t="b">
        <v>1</v>
      </c>
      <c r="F1769" s="3" t="b">
        <v>0</v>
      </c>
      <c r="G1769" s="3" t="s">
        <v>10003</v>
      </c>
      <c r="H1769" s="4" t="str">
        <f>_xlfn.IFNA(IF(((INDEX(RulebookFields!C2:C1898, MATCH(D1769,RulebookFields!A2:A1898, 0))="")=TRUE),  "",  INDEX(RulebookFields!C2:C1898, MATCH(D1769,RulebookFields!A2:A1898, 0))), "")</f>
        <v>StepRequirements</v>
      </c>
      <c r="I1769" s="4" t="str">
        <f>_xlfn.IFNA(IF(((INDEX(RulebookFields!D2:D1898, MATCH(D1769,RulebookFields!A2:A1898, 0))="")=TRUE),  "",  INDEX(RulebookFields!D2:D1898, MATCH(D1769,RulebookFields!A2:A1898, 0))), "")</f>
        <v>BlockingStepKey</v>
      </c>
      <c r="J1769" s="4" t="b">
        <f>_xlfn.IFNA(IF(((INDEX(RulebookFields!I2:I1898, MATCH(D1769,RulebookFields!A2:A1898, 0))="")=TRUE),  "",  INDEX(RulebookFields!I2:I1898, MATCH(D1769,RulebookFields!A2:A1898, 0))), "")</f>
        <v>1</v>
      </c>
      <c r="K1769" s="4" t="b">
        <f>AND(((F1769)=TRUE), ((J1769)=TRUE))</f>
        <v>0</v>
      </c>
      <c r="L1769" s="4" t="b">
        <f>AND(((G1769 &lt;&gt; "plain")=TRUE), ((G1769 &lt;&gt; "")=TRUE))</f>
        <v>0</v>
      </c>
      <c r="M1769" s="4" t="str">
        <f>IF(((E1769)=TRUE),  C1769 &amp; "|" &amp; H1769,  "")</f>
        <v>principal-process-steward|StepRequirements</v>
      </c>
      <c r="N1769" s="3" t="s">
        <v>10004</v>
      </c>
    </row>
    <row r="1770">
      <c r="A1770" s="3" t="s">
        <v>11772</v>
      </c>
      <c r="B1770" s="4" t="str">
        <f>C1770 &amp; " -&gt; " &amp; D1770</f>
        <v>principal-process-steward -&gt; StepRequirements.StepWhenBlocking</v>
      </c>
      <c r="C1770" s="3" t="s">
        <v>9772</v>
      </c>
      <c r="D1770" s="3" t="s">
        <v>3128</v>
      </c>
      <c r="E1770" s="3" t="b">
        <v>1</v>
      </c>
      <c r="F1770" s="3" t="b">
        <v>0</v>
      </c>
      <c r="G1770" s="3" t="s">
        <v>10003</v>
      </c>
      <c r="H1770" s="4" t="str">
        <f>_xlfn.IFNA(IF(((INDEX(RulebookFields!C2:C1898, MATCH(D1770,RulebookFields!A2:A1898, 0))="")=TRUE),  "",  INDEX(RulebookFields!C2:C1898, MATCH(D1770,RulebookFields!A2:A1898, 0))), "")</f>
        <v>StepRequirements</v>
      </c>
      <c r="I1770" s="4" t="str">
        <f>_xlfn.IFNA(IF(((INDEX(RulebookFields!D2:D1898, MATCH(D1770,RulebookFields!A2:A1898, 0))="")=TRUE),  "",  INDEX(RulebookFields!D2:D1898, MATCH(D1770,RulebookFields!A2:A1898, 0))), "")</f>
        <v>StepWhenBlocking</v>
      </c>
      <c r="J1770" s="4" t="b">
        <f>_xlfn.IFNA(IF(((INDEX(RulebookFields!I2:I1898, MATCH(D1770,RulebookFields!A2:A1898, 0))="")=TRUE),  "",  INDEX(RulebookFields!I2:I1898, MATCH(D1770,RulebookFields!A2:A1898, 0))), "")</f>
        <v>1</v>
      </c>
      <c r="K1770" s="4" t="b">
        <f>AND(((F1770)=TRUE), ((J1770)=TRUE))</f>
        <v>0</v>
      </c>
      <c r="L1770" s="4" t="b">
        <f>AND(((G1770 &lt;&gt; "plain")=TRUE), ((G1770 &lt;&gt; "")=TRUE))</f>
        <v>0</v>
      </c>
      <c r="M1770" s="4" t="str">
        <f>IF(((E1770)=TRUE),  C1770 &amp; "|" &amp; H1770,  "")</f>
        <v>principal-process-steward|StepRequirements</v>
      </c>
      <c r="N1770" s="3" t="s">
        <v>10004</v>
      </c>
    </row>
    <row r="1771">
      <c r="A1771" s="3" t="s">
        <v>11773</v>
      </c>
      <c r="B1771" s="4" t="str">
        <f>C1771 &amp; " -&gt; " &amp; D1771</f>
        <v>principal-process-steward -&gt; StepRequirements.RequirementLacksWitness</v>
      </c>
      <c r="C1771" s="3" t="s">
        <v>9772</v>
      </c>
      <c r="D1771" s="3" t="s">
        <v>3129</v>
      </c>
      <c r="E1771" s="3" t="b">
        <v>1</v>
      </c>
      <c r="F1771" s="3" t="b">
        <v>0</v>
      </c>
      <c r="G1771" s="3" t="s">
        <v>10003</v>
      </c>
      <c r="H1771" s="4" t="str">
        <f>_xlfn.IFNA(IF(((INDEX(RulebookFields!C2:C1898, MATCH(D1771,RulebookFields!A2:A1898, 0))="")=TRUE),  "",  INDEX(RulebookFields!C2:C1898, MATCH(D1771,RulebookFields!A2:A1898, 0))), "")</f>
        <v>StepRequirements</v>
      </c>
      <c r="I1771" s="4" t="str">
        <f>_xlfn.IFNA(IF(((INDEX(RulebookFields!D2:D1898, MATCH(D1771,RulebookFields!A2:A1898, 0))="")=TRUE),  "",  INDEX(RulebookFields!D2:D1898, MATCH(D1771,RulebookFields!A2:A1898, 0))), "")</f>
        <v>RequirementLacksWitness</v>
      </c>
      <c r="J1771" s="4" t="b">
        <f>_xlfn.IFNA(IF(((INDEX(RulebookFields!I2:I1898, MATCH(D1771,RulebookFields!A2:A1898, 0))="")=TRUE),  "",  INDEX(RulebookFields!I2:I1898, MATCH(D1771,RulebookFields!A2:A1898, 0))), "")</f>
        <v>1</v>
      </c>
      <c r="K1771" s="4" t="b">
        <f>AND(((F1771)=TRUE), ((J1771)=TRUE))</f>
        <v>0</v>
      </c>
      <c r="L1771" s="4" t="b">
        <f>AND(((G1771 &lt;&gt; "plain")=TRUE), ((G1771 &lt;&gt; "")=TRUE))</f>
        <v>0</v>
      </c>
      <c r="M1771" s="4" t="str">
        <f>IF(((E1771)=TRUE),  C1771 &amp; "|" &amp; H1771,  "")</f>
        <v>principal-process-steward|StepRequirements</v>
      </c>
      <c r="N1771" s="3" t="s">
        <v>10004</v>
      </c>
    </row>
    <row r="1772">
      <c r="A1772" s="3" t="s">
        <v>11774</v>
      </c>
      <c r="B1772" s="4" t="str">
        <f>C1772 &amp; " -&gt; " &amp; D1772</f>
        <v>principal-process-steward -&gt; StepRequirements.UnwitnessedStepKey</v>
      </c>
      <c r="C1772" s="3" t="s">
        <v>9772</v>
      </c>
      <c r="D1772" s="3" t="s">
        <v>3131</v>
      </c>
      <c r="E1772" s="3" t="b">
        <v>1</v>
      </c>
      <c r="F1772" s="3" t="b">
        <v>0</v>
      </c>
      <c r="G1772" s="3" t="s">
        <v>10003</v>
      </c>
      <c r="H1772" s="4" t="str">
        <f>_xlfn.IFNA(IF(((INDEX(RulebookFields!C2:C1898, MATCH(D1772,RulebookFields!A2:A1898, 0))="")=TRUE),  "",  INDEX(RulebookFields!C2:C1898, MATCH(D1772,RulebookFields!A2:A1898, 0))), "")</f>
        <v>StepRequirements</v>
      </c>
      <c r="I1772" s="4" t="str">
        <f>_xlfn.IFNA(IF(((INDEX(RulebookFields!D2:D1898, MATCH(D1772,RulebookFields!A2:A1898, 0))="")=TRUE),  "",  INDEX(RulebookFields!D2:D1898, MATCH(D1772,RulebookFields!A2:A1898, 0))), "")</f>
        <v>UnwitnessedStepKey</v>
      </c>
      <c r="J1772" s="4" t="b">
        <f>_xlfn.IFNA(IF(((INDEX(RulebookFields!I2:I1898, MATCH(D1772,RulebookFields!A2:A1898, 0))="")=TRUE),  "",  INDEX(RulebookFields!I2:I1898, MATCH(D1772,RulebookFields!A2:A1898, 0))), "")</f>
        <v>1</v>
      </c>
      <c r="K1772" s="4" t="b">
        <f>AND(((F1772)=TRUE), ((J1772)=TRUE))</f>
        <v>0</v>
      </c>
      <c r="L1772" s="4" t="b">
        <f>AND(((G1772 &lt;&gt; "plain")=TRUE), ((G1772 &lt;&gt; "")=TRUE))</f>
        <v>0</v>
      </c>
      <c r="M1772" s="4" t="str">
        <f>IF(((E1772)=TRUE),  C1772 &amp; "|" &amp; H1772,  "")</f>
        <v>principal-process-steward|StepRequirements</v>
      </c>
      <c r="N1772" s="3" t="s">
        <v>10004</v>
      </c>
    </row>
    <row r="1773">
      <c r="A1773" s="3" t="s">
        <v>11775</v>
      </c>
      <c r="B1773" s="4" t="str">
        <f>C1773 &amp; " -&gt; " &amp; D1773</f>
        <v>principal-process-steward -&gt; StepRequirements.SatisfactionCountForBinding</v>
      </c>
      <c r="C1773" s="3" t="s">
        <v>9772</v>
      </c>
      <c r="D1773" s="3" t="s">
        <v>3133</v>
      </c>
      <c r="E1773" s="3" t="b">
        <v>1</v>
      </c>
      <c r="F1773" s="3" t="b">
        <v>0</v>
      </c>
      <c r="G1773" s="3" t="s">
        <v>10003</v>
      </c>
      <c r="H1773" s="4" t="str">
        <f>_xlfn.IFNA(IF(((INDEX(RulebookFields!C2:C1898, MATCH(D1773,RulebookFields!A2:A1898, 0))="")=TRUE),  "",  INDEX(RulebookFields!C2:C1898, MATCH(D1773,RulebookFields!A2:A1898, 0))), "")</f>
        <v>StepRequirements</v>
      </c>
      <c r="I1773" s="4" t="str">
        <f>_xlfn.IFNA(IF(((INDEX(RulebookFields!D2:D1898, MATCH(D1773,RulebookFields!A2:A1898, 0))="")=TRUE),  "",  INDEX(RulebookFields!D2:D1898, MATCH(D1773,RulebookFields!A2:A1898, 0))), "")</f>
        <v>SatisfactionCountForBinding</v>
      </c>
      <c r="J1773" s="4" t="b">
        <f>_xlfn.IFNA(IF(((INDEX(RulebookFields!I2:I1898, MATCH(D1773,RulebookFields!A2:A1898, 0))="")=TRUE),  "",  INDEX(RulebookFields!I2:I1898, MATCH(D1773,RulebookFields!A2:A1898, 0))), "")</f>
        <v>1</v>
      </c>
      <c r="K1773" s="4" t="b">
        <f>AND(((F1773)=TRUE), ((J1773)=TRUE))</f>
        <v>0</v>
      </c>
      <c r="L1773" s="4" t="b">
        <f>AND(((G1773 &lt;&gt; "plain")=TRUE), ((G1773 &lt;&gt; "")=TRUE))</f>
        <v>0</v>
      </c>
      <c r="M1773" s="4" t="str">
        <f>IF(((E1773)=TRUE),  C1773 &amp; "|" &amp; H1773,  "")</f>
        <v>principal-process-steward|StepRequirements</v>
      </c>
      <c r="N1773" s="3" t="s">
        <v>10004</v>
      </c>
    </row>
    <row r="1774">
      <c r="A1774" s="3" t="s">
        <v>11776</v>
      </c>
      <c r="B1774" s="4" t="str">
        <f>C1774 &amp; " -&gt; " &amp; D1774</f>
        <v>principal-process-steward -&gt; StepRequirements.BindingWasEverExercised</v>
      </c>
      <c r="C1774" s="3" t="s">
        <v>9772</v>
      </c>
      <c r="D1774" s="3" t="s">
        <v>3135</v>
      </c>
      <c r="E1774" s="3" t="b">
        <v>1</v>
      </c>
      <c r="F1774" s="3" t="b">
        <v>0</v>
      </c>
      <c r="G1774" s="3" t="s">
        <v>10003</v>
      </c>
      <c r="H1774" s="4" t="str">
        <f>_xlfn.IFNA(IF(((INDEX(RulebookFields!C2:C1898, MATCH(D1774,RulebookFields!A2:A1898, 0))="")=TRUE),  "",  INDEX(RulebookFields!C2:C1898, MATCH(D1774,RulebookFields!A2:A1898, 0))), "")</f>
        <v>StepRequirements</v>
      </c>
      <c r="I1774" s="4" t="str">
        <f>_xlfn.IFNA(IF(((INDEX(RulebookFields!D2:D1898, MATCH(D1774,RulebookFields!A2:A1898, 0))="")=TRUE),  "",  INDEX(RulebookFields!D2:D1898, MATCH(D1774,RulebookFields!A2:A1898, 0))), "")</f>
        <v>BindingWasEverExercised</v>
      </c>
      <c r="J1774" s="4" t="b">
        <f>_xlfn.IFNA(IF(((INDEX(RulebookFields!I2:I1898, MATCH(D1774,RulebookFields!A2:A1898, 0))="")=TRUE),  "",  INDEX(RulebookFields!I2:I1898, MATCH(D1774,RulebookFields!A2:A1898, 0))), "")</f>
        <v>1</v>
      </c>
      <c r="K1774" s="4" t="b">
        <f>AND(((F1774)=TRUE), ((J1774)=TRUE))</f>
        <v>0</v>
      </c>
      <c r="L1774" s="4" t="b">
        <f>AND(((G1774 &lt;&gt; "plain")=TRUE), ((G1774 &lt;&gt; "")=TRUE))</f>
        <v>0</v>
      </c>
      <c r="M1774" s="4" t="str">
        <f>IF(((E1774)=TRUE),  C1774 &amp; "|" &amp; H1774,  "")</f>
        <v>principal-process-steward|StepRequirements</v>
      </c>
      <c r="N1774" s="3" t="s">
        <v>10004</v>
      </c>
    </row>
    <row r="1775">
      <c r="A1775" s="3" t="s">
        <v>11777</v>
      </c>
      <c r="B1775" s="4" t="str">
        <f>C1775 &amp; " -&gt; " &amp; D1775</f>
        <v>principal-process-steward -&gt; StepRequirements.IsUnexercisedBlockingBinding</v>
      </c>
      <c r="C1775" s="3" t="s">
        <v>9772</v>
      </c>
      <c r="D1775" s="3" t="s">
        <v>3137</v>
      </c>
      <c r="E1775" s="3" t="b">
        <v>1</v>
      </c>
      <c r="F1775" s="3" t="b">
        <v>0</v>
      </c>
      <c r="G1775" s="3" t="s">
        <v>10003</v>
      </c>
      <c r="H1775" s="4" t="str">
        <f>_xlfn.IFNA(IF(((INDEX(RulebookFields!C2:C1898, MATCH(D1775,RulebookFields!A2:A1898, 0))="")=TRUE),  "",  INDEX(RulebookFields!C2:C1898, MATCH(D1775,RulebookFields!A2:A1898, 0))), "")</f>
        <v>StepRequirements</v>
      </c>
      <c r="I1775" s="4" t="str">
        <f>_xlfn.IFNA(IF(((INDEX(RulebookFields!D2:D1898, MATCH(D1775,RulebookFields!A2:A1898, 0))="")=TRUE),  "",  INDEX(RulebookFields!D2:D1898, MATCH(D1775,RulebookFields!A2:A1898, 0))), "")</f>
        <v>IsUnexercisedBlockingBinding</v>
      </c>
      <c r="J1775" s="4" t="b">
        <f>_xlfn.IFNA(IF(((INDEX(RulebookFields!I2:I1898, MATCH(D1775,RulebookFields!A2:A1898, 0))="")=TRUE),  "",  INDEX(RulebookFields!I2:I1898, MATCH(D1775,RulebookFields!A2:A1898, 0))), "")</f>
        <v>1</v>
      </c>
      <c r="K1775" s="4" t="b">
        <f>AND(((F1775)=TRUE), ((J1775)=TRUE))</f>
        <v>0</v>
      </c>
      <c r="L1775" s="4" t="b">
        <f>AND(((G1775 &lt;&gt; "plain")=TRUE), ((G1775 &lt;&gt; "")=TRUE))</f>
        <v>0</v>
      </c>
      <c r="M1775" s="4" t="str">
        <f>IF(((E1775)=TRUE),  C1775 &amp; "|" &amp; H1775,  "")</f>
        <v>principal-process-steward|StepRequirements</v>
      </c>
      <c r="N1775" s="3" t="s">
        <v>10004</v>
      </c>
    </row>
    <row r="1776">
      <c r="A1776" s="3" t="s">
        <v>11778</v>
      </c>
      <c r="B1776" s="4" t="str">
        <f>C1776 &amp; " -&gt; " &amp; D1776</f>
        <v>principal-process-steward -&gt; StepRequirements.UnexercisedBindingRequirementKey</v>
      </c>
      <c r="C1776" s="3" t="s">
        <v>9772</v>
      </c>
      <c r="D1776" s="3" t="s">
        <v>3139</v>
      </c>
      <c r="E1776" s="3" t="b">
        <v>1</v>
      </c>
      <c r="F1776" s="3" t="b">
        <v>0</v>
      </c>
      <c r="G1776" s="3" t="s">
        <v>10003</v>
      </c>
      <c r="H1776" s="4" t="str">
        <f>_xlfn.IFNA(IF(((INDEX(RulebookFields!C2:C1898, MATCH(D1776,RulebookFields!A2:A1898, 0))="")=TRUE),  "",  INDEX(RulebookFields!C2:C1898, MATCH(D1776,RulebookFields!A2:A1898, 0))), "")</f>
        <v>StepRequirements</v>
      </c>
      <c r="I1776" s="4" t="str">
        <f>_xlfn.IFNA(IF(((INDEX(RulebookFields!D2:D1898, MATCH(D1776,RulebookFields!A2:A1898, 0))="")=TRUE),  "",  INDEX(RulebookFields!D2:D1898, MATCH(D1776,RulebookFields!A2:A1898, 0))), "")</f>
        <v>UnexercisedBindingRequirementKey</v>
      </c>
      <c r="J1776" s="4" t="b">
        <f>_xlfn.IFNA(IF(((INDEX(RulebookFields!I2:I1898, MATCH(D1776,RulebookFields!A2:A1898, 0))="")=TRUE),  "",  INDEX(RulebookFields!I2:I1898, MATCH(D1776,RulebookFields!A2:A1898, 0))), "")</f>
        <v>1</v>
      </c>
      <c r="K1776" s="4" t="b">
        <f>AND(((F1776)=TRUE), ((J1776)=TRUE))</f>
        <v>0</v>
      </c>
      <c r="L1776" s="4" t="b">
        <f>AND(((G1776 &lt;&gt; "plain")=TRUE), ((G1776 &lt;&gt; "")=TRUE))</f>
        <v>0</v>
      </c>
      <c r="M1776" s="4" t="str">
        <f>IF(((E1776)=TRUE),  C1776 &amp; "|" &amp; H1776,  "")</f>
        <v>principal-process-steward|StepRequirements</v>
      </c>
      <c r="N1776" s="3" t="s">
        <v>10004</v>
      </c>
    </row>
    <row r="1777">
      <c r="A1777" s="3" t="s">
        <v>11779</v>
      </c>
      <c r="B1777" s="4" t="str">
        <f>C1777 &amp; " -&gt; " &amp; D1777</f>
        <v>principal-process-steward -&gt; StepTools.StepToolId</v>
      </c>
      <c r="C1777" s="3" t="s">
        <v>9772</v>
      </c>
      <c r="D1777" s="3" t="s">
        <v>3039</v>
      </c>
      <c r="E1777" s="3" t="b">
        <v>1</v>
      </c>
      <c r="F1777" s="3" t="b">
        <v>0</v>
      </c>
      <c r="G1777" s="3" t="s">
        <v>10003</v>
      </c>
      <c r="H1777" s="4" t="str">
        <f>_xlfn.IFNA(IF(((INDEX(RulebookFields!C2:C1898, MATCH(D1777,RulebookFields!A2:A1898, 0))="")=TRUE),  "",  INDEX(RulebookFields!C2:C1898, MATCH(D1777,RulebookFields!A2:A1898, 0))), "")</f>
        <v>StepTools</v>
      </c>
      <c r="I1777" s="4" t="str">
        <f>_xlfn.IFNA(IF(((INDEX(RulebookFields!D2:D1898, MATCH(D1777,RulebookFields!A2:A1898, 0))="")=TRUE),  "",  INDEX(RulebookFields!D2:D1898, MATCH(D1777,RulebookFields!A2:A1898, 0))), "")</f>
        <v>StepToolId</v>
      </c>
      <c r="J1777" s="4" t="b">
        <f>_xlfn.IFNA(IF(((INDEX(RulebookFields!I2:I1898, MATCH(D1777,RulebookFields!A2:A1898, 0))="")=TRUE),  "",  INDEX(RulebookFields!I2:I1898, MATCH(D1777,RulebookFields!A2:A1898, 0))), "")</f>
        <v>0</v>
      </c>
      <c r="K1777" s="4" t="b">
        <f>AND(((F1777)=TRUE), ((J1777)=TRUE))</f>
        <v>0</v>
      </c>
      <c r="L1777" s="4" t="b">
        <f>AND(((G1777 &lt;&gt; "plain")=TRUE), ((G1777 &lt;&gt; "")=TRUE))</f>
        <v>0</v>
      </c>
      <c r="M1777" s="4" t="str">
        <f>IF(((E1777)=TRUE),  C1777 &amp; "|" &amp; H1777,  "")</f>
        <v>principal-process-steward|StepTools</v>
      </c>
      <c r="N1777" s="3" t="s">
        <v>10004</v>
      </c>
    </row>
    <row r="1778">
      <c r="A1778" s="3" t="s">
        <v>11780</v>
      </c>
      <c r="B1778" s="4" t="str">
        <f>C1778 &amp; " -&gt; " &amp; D1778</f>
        <v>principal-process-steward -&gt; StepTools.Name</v>
      </c>
      <c r="C1778" s="3" t="s">
        <v>9772</v>
      </c>
      <c r="D1778" s="3" t="s">
        <v>3041</v>
      </c>
      <c r="E1778" s="3" t="b">
        <v>1</v>
      </c>
      <c r="F1778" s="3" t="b">
        <v>0</v>
      </c>
      <c r="G1778" s="3" t="s">
        <v>10003</v>
      </c>
      <c r="H1778" s="4" t="str">
        <f>_xlfn.IFNA(IF(((INDEX(RulebookFields!C2:C1898, MATCH(D1778,RulebookFields!A2:A1898, 0))="")=TRUE),  "",  INDEX(RulebookFields!C2:C1898, MATCH(D1778,RulebookFields!A2:A1898, 0))), "")</f>
        <v>StepTools</v>
      </c>
      <c r="I1778" s="4" t="str">
        <f>_xlfn.IFNA(IF(((INDEX(RulebookFields!D2:D1898, MATCH(D1778,RulebookFields!A2:A1898, 0))="")=TRUE),  "",  INDEX(RulebookFields!D2:D1898, MATCH(D1778,RulebookFields!A2:A1898, 0))), "")</f>
        <v>Name</v>
      </c>
      <c r="J1778" s="4" t="b">
        <f>_xlfn.IFNA(IF(((INDEX(RulebookFields!I2:I1898, MATCH(D1778,RulebookFields!A2:A1898, 0))="")=TRUE),  "",  INDEX(RulebookFields!I2:I1898, MATCH(D1778,RulebookFields!A2:A1898, 0))), "")</f>
        <v>1</v>
      </c>
      <c r="K1778" s="4" t="b">
        <f>AND(((F1778)=TRUE), ((J1778)=TRUE))</f>
        <v>0</v>
      </c>
      <c r="L1778" s="4" t="b">
        <f>AND(((G1778 &lt;&gt; "plain")=TRUE), ((G1778 &lt;&gt; "")=TRUE))</f>
        <v>0</v>
      </c>
      <c r="M1778" s="4" t="str">
        <f>IF(((E1778)=TRUE),  C1778 &amp; "|" &amp; H1778,  "")</f>
        <v>principal-process-steward|StepTools</v>
      </c>
      <c r="N1778" s="3" t="s">
        <v>10004</v>
      </c>
    </row>
    <row r="1779">
      <c r="A1779" s="3" t="s">
        <v>11781</v>
      </c>
      <c r="B1779" s="4" t="str">
        <f>C1779 &amp; " -&gt; " &amp; D1779</f>
        <v>principal-process-steward -&gt; StepTools.Step</v>
      </c>
      <c r="C1779" s="3" t="s">
        <v>9772</v>
      </c>
      <c r="D1779" s="3" t="s">
        <v>3043</v>
      </c>
      <c r="E1779" s="3" t="b">
        <v>1</v>
      </c>
      <c r="F1779" s="3" t="b">
        <v>0</v>
      </c>
      <c r="G1779" s="3" t="s">
        <v>10003</v>
      </c>
      <c r="H1779" s="4" t="str">
        <f>_xlfn.IFNA(IF(((INDEX(RulebookFields!C2:C1898, MATCH(D1779,RulebookFields!A2:A1898, 0))="")=TRUE),  "",  INDEX(RulebookFields!C2:C1898, MATCH(D1779,RulebookFields!A2:A1898, 0))), "")</f>
        <v>StepTools</v>
      </c>
      <c r="I1779" s="4" t="str">
        <f>_xlfn.IFNA(IF(((INDEX(RulebookFields!D2:D1898, MATCH(D1779,RulebookFields!A2:A1898, 0))="")=TRUE),  "",  INDEX(RulebookFields!D2:D1898, MATCH(D1779,RulebookFields!A2:A1898, 0))), "")</f>
        <v>Step</v>
      </c>
      <c r="J1779" s="4" t="b">
        <f>_xlfn.IFNA(IF(((INDEX(RulebookFields!I2:I1898, MATCH(D1779,RulebookFields!A2:A1898, 0))="")=TRUE),  "",  INDEX(RulebookFields!I2:I1898, MATCH(D1779,RulebookFields!A2:A1898, 0))), "")</f>
        <v>0</v>
      </c>
      <c r="K1779" s="4" t="b">
        <f>AND(((F1779)=TRUE), ((J1779)=TRUE))</f>
        <v>0</v>
      </c>
      <c r="L1779" s="4" t="b">
        <f>AND(((G1779 &lt;&gt; "plain")=TRUE), ((G1779 &lt;&gt; "")=TRUE))</f>
        <v>0</v>
      </c>
      <c r="M1779" s="4" t="str">
        <f>IF(((E1779)=TRUE),  C1779 &amp; "|" &amp; H1779,  "")</f>
        <v>principal-process-steward|StepTools</v>
      </c>
      <c r="N1779" s="3" t="s">
        <v>10004</v>
      </c>
    </row>
    <row r="1780">
      <c r="A1780" s="3" t="s">
        <v>11782</v>
      </c>
      <c r="B1780" s="4" t="str">
        <f>C1780 &amp; " -&gt; " &amp; D1780</f>
        <v>principal-process-steward -&gt; StepTools.Tool</v>
      </c>
      <c r="C1780" s="3" t="s">
        <v>9772</v>
      </c>
      <c r="D1780" s="3" t="s">
        <v>3044</v>
      </c>
      <c r="E1780" s="3" t="b">
        <v>1</v>
      </c>
      <c r="F1780" s="3" t="b">
        <v>0</v>
      </c>
      <c r="G1780" s="3" t="s">
        <v>10003</v>
      </c>
      <c r="H1780" s="4" t="str">
        <f>_xlfn.IFNA(IF(((INDEX(RulebookFields!C2:C1898, MATCH(D1780,RulebookFields!A2:A1898, 0))="")=TRUE),  "",  INDEX(RulebookFields!C2:C1898, MATCH(D1780,RulebookFields!A2:A1898, 0))), "")</f>
        <v>StepTools</v>
      </c>
      <c r="I1780" s="4" t="str">
        <f>_xlfn.IFNA(IF(((INDEX(RulebookFields!D2:D1898, MATCH(D1780,RulebookFields!A2:A1898, 0))="")=TRUE),  "",  INDEX(RulebookFields!D2:D1898, MATCH(D1780,RulebookFields!A2:A1898, 0))), "")</f>
        <v>Tool</v>
      </c>
      <c r="J1780" s="4" t="b">
        <f>_xlfn.IFNA(IF(((INDEX(RulebookFields!I2:I1898, MATCH(D1780,RulebookFields!A2:A1898, 0))="")=TRUE),  "",  INDEX(RulebookFields!I2:I1898, MATCH(D1780,RulebookFields!A2:A1898, 0))), "")</f>
        <v>0</v>
      </c>
      <c r="K1780" s="4" t="b">
        <f>AND(((F1780)=TRUE), ((J1780)=TRUE))</f>
        <v>0</v>
      </c>
      <c r="L1780" s="4" t="b">
        <f>AND(((G1780 &lt;&gt; "plain")=TRUE), ((G1780 &lt;&gt; "")=TRUE))</f>
        <v>0</v>
      </c>
      <c r="M1780" s="4" t="str">
        <f>IF(((E1780)=TRUE),  C1780 &amp; "|" &amp; H1780,  "")</f>
        <v>principal-process-steward|StepTools</v>
      </c>
      <c r="N1780" s="3" t="s">
        <v>10004</v>
      </c>
    </row>
    <row r="1781">
      <c r="A1781" s="3" t="s">
        <v>11783</v>
      </c>
      <c r="B1781" s="4" t="str">
        <f>C1781 &amp; " -&gt; " &amp; D1781</f>
        <v>principal-process-steward -&gt; StepTransitions.StepTransitionId</v>
      </c>
      <c r="C1781" s="3" t="s">
        <v>9772</v>
      </c>
      <c r="D1781" s="3" t="s">
        <v>2966</v>
      </c>
      <c r="E1781" s="3" t="b">
        <v>1</v>
      </c>
      <c r="F1781" s="3" t="b">
        <v>0</v>
      </c>
      <c r="G1781" s="3" t="s">
        <v>10003</v>
      </c>
      <c r="H1781" s="4" t="str">
        <f>_xlfn.IFNA(IF(((INDEX(RulebookFields!C2:C1898, MATCH(D1781,RulebookFields!A2:A1898, 0))="")=TRUE),  "",  INDEX(RulebookFields!C2:C1898, MATCH(D1781,RulebookFields!A2:A1898, 0))), "")</f>
        <v>StepTransitions</v>
      </c>
      <c r="I1781" s="4" t="str">
        <f>_xlfn.IFNA(IF(((INDEX(RulebookFields!D2:D1898, MATCH(D1781,RulebookFields!A2:A1898, 0))="")=TRUE),  "",  INDEX(RulebookFields!D2:D1898, MATCH(D1781,RulebookFields!A2:A1898, 0))), "")</f>
        <v>StepTransitionId</v>
      </c>
      <c r="J1781" s="4" t="b">
        <f>_xlfn.IFNA(IF(((INDEX(RulebookFields!I2:I1898, MATCH(D1781,RulebookFields!A2:A1898, 0))="")=TRUE),  "",  INDEX(RulebookFields!I2:I1898, MATCH(D1781,RulebookFields!A2:A1898, 0))), "")</f>
        <v>0</v>
      </c>
      <c r="K1781" s="4" t="b">
        <f>AND(((F1781)=TRUE), ((J1781)=TRUE))</f>
        <v>0</v>
      </c>
      <c r="L1781" s="4" t="b">
        <f>AND(((G1781 &lt;&gt; "plain")=TRUE), ((G1781 &lt;&gt; "")=TRUE))</f>
        <v>0</v>
      </c>
      <c r="M1781" s="4" t="str">
        <f>IF(((E1781)=TRUE),  C1781 &amp; "|" &amp; H1781,  "")</f>
        <v>principal-process-steward|StepTransitions</v>
      </c>
      <c r="N1781" s="3" t="s">
        <v>10004</v>
      </c>
    </row>
    <row r="1782">
      <c r="A1782" s="3" t="s">
        <v>11784</v>
      </c>
      <c r="B1782" s="4" t="str">
        <f>C1782 &amp; " -&gt; " &amp; D1782</f>
        <v>principal-process-steward -&gt; StepTransitions.Name</v>
      </c>
      <c r="C1782" s="3" t="s">
        <v>9772</v>
      </c>
      <c r="D1782" s="3" t="s">
        <v>2967</v>
      </c>
      <c r="E1782" s="3" t="b">
        <v>1</v>
      </c>
      <c r="F1782" s="3" t="b">
        <v>0</v>
      </c>
      <c r="G1782" s="3" t="s">
        <v>10003</v>
      </c>
      <c r="H1782" s="4" t="str">
        <f>_xlfn.IFNA(IF(((INDEX(RulebookFields!C2:C1898, MATCH(D1782,RulebookFields!A2:A1898, 0))="")=TRUE),  "",  INDEX(RulebookFields!C2:C1898, MATCH(D1782,RulebookFields!A2:A1898, 0))), "")</f>
        <v>StepTransitions</v>
      </c>
      <c r="I1782" s="4" t="str">
        <f>_xlfn.IFNA(IF(((INDEX(RulebookFields!D2:D1898, MATCH(D1782,RulebookFields!A2:A1898, 0))="")=TRUE),  "",  INDEX(RulebookFields!D2:D1898, MATCH(D1782,RulebookFields!A2:A1898, 0))), "")</f>
        <v>Name</v>
      </c>
      <c r="J1782" s="4" t="b">
        <f>_xlfn.IFNA(IF(((INDEX(RulebookFields!I2:I1898, MATCH(D1782,RulebookFields!A2:A1898, 0))="")=TRUE),  "",  INDEX(RulebookFields!I2:I1898, MATCH(D1782,RulebookFields!A2:A1898, 0))), "")</f>
        <v>1</v>
      </c>
      <c r="K1782" s="4" t="b">
        <f>AND(((F1782)=TRUE), ((J1782)=TRUE))</f>
        <v>0</v>
      </c>
      <c r="L1782" s="4" t="b">
        <f>AND(((G1782 &lt;&gt; "plain")=TRUE), ((G1782 &lt;&gt; "")=TRUE))</f>
        <v>0</v>
      </c>
      <c r="M1782" s="4" t="str">
        <f>IF(((E1782)=TRUE),  C1782 &amp; "|" &amp; H1782,  "")</f>
        <v>principal-process-steward|StepTransitions</v>
      </c>
      <c r="N1782" s="3" t="s">
        <v>10004</v>
      </c>
    </row>
    <row r="1783">
      <c r="A1783" s="3" t="s">
        <v>11785</v>
      </c>
      <c r="B1783" s="4" t="str">
        <f>C1783 &amp; " -&gt; " &amp; D1783</f>
        <v>principal-process-steward -&gt; StepTransitions.ProcedureVersion</v>
      </c>
      <c r="C1783" s="3" t="s">
        <v>9772</v>
      </c>
      <c r="D1783" s="3" t="s">
        <v>2969</v>
      </c>
      <c r="E1783" s="3" t="b">
        <v>1</v>
      </c>
      <c r="F1783" s="3" t="b">
        <v>0</v>
      </c>
      <c r="G1783" s="3" t="s">
        <v>10003</v>
      </c>
      <c r="H1783" s="4" t="str">
        <f>_xlfn.IFNA(IF(((INDEX(RulebookFields!C2:C1898, MATCH(D1783,RulebookFields!A2:A1898, 0))="")=TRUE),  "",  INDEX(RulebookFields!C2:C1898, MATCH(D1783,RulebookFields!A2:A1898, 0))), "")</f>
        <v>StepTransitions</v>
      </c>
      <c r="I1783" s="4" t="str">
        <f>_xlfn.IFNA(IF(((INDEX(RulebookFields!D2:D1898, MATCH(D1783,RulebookFields!A2:A1898, 0))="")=TRUE),  "",  INDEX(RulebookFields!D2:D1898, MATCH(D1783,RulebookFields!A2:A1898, 0))), "")</f>
        <v>ProcedureVersion</v>
      </c>
      <c r="J1783" s="4" t="b">
        <f>_xlfn.IFNA(IF(((INDEX(RulebookFields!I2:I1898, MATCH(D1783,RulebookFields!A2:A1898, 0))="")=TRUE),  "",  INDEX(RulebookFields!I2:I1898, MATCH(D1783,RulebookFields!A2:A1898, 0))), "")</f>
        <v>0</v>
      </c>
      <c r="K1783" s="4" t="b">
        <f>AND(((F1783)=TRUE), ((J1783)=TRUE))</f>
        <v>0</v>
      </c>
      <c r="L1783" s="4" t="b">
        <f>AND(((G1783 &lt;&gt; "plain")=TRUE), ((G1783 &lt;&gt; "")=TRUE))</f>
        <v>0</v>
      </c>
      <c r="M1783" s="4" t="str">
        <f>IF(((E1783)=TRUE),  C1783 &amp; "|" &amp; H1783,  "")</f>
        <v>principal-process-steward|StepTransitions</v>
      </c>
      <c r="N1783" s="3" t="s">
        <v>10004</v>
      </c>
    </row>
    <row r="1784">
      <c r="A1784" s="3" t="s">
        <v>11786</v>
      </c>
      <c r="B1784" s="4" t="str">
        <f>C1784 &amp; " -&gt; " &amp; D1784</f>
        <v>principal-process-steward -&gt; StepTransitions.FromStep</v>
      </c>
      <c r="C1784" s="3" t="s">
        <v>9772</v>
      </c>
      <c r="D1784" s="3" t="s">
        <v>1787</v>
      </c>
      <c r="E1784" s="3" t="b">
        <v>1</v>
      </c>
      <c r="F1784" s="3" t="b">
        <v>0</v>
      </c>
      <c r="G1784" s="3" t="s">
        <v>10003</v>
      </c>
      <c r="H1784" s="4" t="str">
        <f>_xlfn.IFNA(IF(((INDEX(RulebookFields!C2:C1898, MATCH(D1784,RulebookFields!A2:A1898, 0))="")=TRUE),  "",  INDEX(RulebookFields!C2:C1898, MATCH(D1784,RulebookFields!A2:A1898, 0))), "")</f>
        <v>StepTransitions</v>
      </c>
      <c r="I1784" s="4" t="str">
        <f>_xlfn.IFNA(IF(((INDEX(RulebookFields!D2:D1898, MATCH(D1784,RulebookFields!A2:A1898, 0))="")=TRUE),  "",  INDEX(RulebookFields!D2:D1898, MATCH(D1784,RulebookFields!A2:A1898, 0))), "")</f>
        <v>FromStep</v>
      </c>
      <c r="J1784" s="4" t="b">
        <f>_xlfn.IFNA(IF(((INDEX(RulebookFields!I2:I1898, MATCH(D1784,RulebookFields!A2:A1898, 0))="")=TRUE),  "",  INDEX(RulebookFields!I2:I1898, MATCH(D1784,RulebookFields!A2:A1898, 0))), "")</f>
        <v>0</v>
      </c>
      <c r="K1784" s="4" t="b">
        <f>AND(((F1784)=TRUE), ((J1784)=TRUE))</f>
        <v>0</v>
      </c>
      <c r="L1784" s="4" t="b">
        <f>AND(((G1784 &lt;&gt; "plain")=TRUE), ((G1784 &lt;&gt; "")=TRUE))</f>
        <v>0</v>
      </c>
      <c r="M1784" s="4" t="str">
        <f>IF(((E1784)=TRUE),  C1784 &amp; "|" &amp; H1784,  "")</f>
        <v>principal-process-steward|StepTransitions</v>
      </c>
      <c r="N1784" s="3" t="s">
        <v>10004</v>
      </c>
    </row>
    <row r="1785">
      <c r="A1785" s="3" t="s">
        <v>11787</v>
      </c>
      <c r="B1785" s="4" t="str">
        <f>C1785 &amp; " -&gt; " &amp; D1785</f>
        <v>principal-process-steward -&gt; StepTransitions.ToStep</v>
      </c>
      <c r="C1785" s="3" t="s">
        <v>9772</v>
      </c>
      <c r="D1785" s="3" t="s">
        <v>1792</v>
      </c>
      <c r="E1785" s="3" t="b">
        <v>1</v>
      </c>
      <c r="F1785" s="3" t="b">
        <v>0</v>
      </c>
      <c r="G1785" s="3" t="s">
        <v>10003</v>
      </c>
      <c r="H1785" s="4" t="str">
        <f>_xlfn.IFNA(IF(((INDEX(RulebookFields!C2:C1898, MATCH(D1785,RulebookFields!A2:A1898, 0))="")=TRUE),  "",  INDEX(RulebookFields!C2:C1898, MATCH(D1785,RulebookFields!A2:A1898, 0))), "")</f>
        <v>StepTransitions</v>
      </c>
      <c r="I1785" s="4" t="str">
        <f>_xlfn.IFNA(IF(((INDEX(RulebookFields!D2:D1898, MATCH(D1785,RulebookFields!A2:A1898, 0))="")=TRUE),  "",  INDEX(RulebookFields!D2:D1898, MATCH(D1785,RulebookFields!A2:A1898, 0))), "")</f>
        <v>ToStep</v>
      </c>
      <c r="J1785" s="4" t="b">
        <f>_xlfn.IFNA(IF(((INDEX(RulebookFields!I2:I1898, MATCH(D1785,RulebookFields!A2:A1898, 0))="")=TRUE),  "",  INDEX(RulebookFields!I2:I1898, MATCH(D1785,RulebookFields!A2:A1898, 0))), "")</f>
        <v>0</v>
      </c>
      <c r="K1785" s="4" t="b">
        <f>AND(((F1785)=TRUE), ((J1785)=TRUE))</f>
        <v>0</v>
      </c>
      <c r="L1785" s="4" t="b">
        <f>AND(((G1785 &lt;&gt; "plain")=TRUE), ((G1785 &lt;&gt; "")=TRUE))</f>
        <v>0</v>
      </c>
      <c r="M1785" s="4" t="str">
        <f>IF(((E1785)=TRUE),  C1785 &amp; "|" &amp; H1785,  "")</f>
        <v>principal-process-steward|StepTransitions</v>
      </c>
      <c r="N1785" s="3" t="s">
        <v>10004</v>
      </c>
    </row>
    <row r="1786">
      <c r="A1786" s="3" t="s">
        <v>11788</v>
      </c>
      <c r="B1786" s="4" t="str">
        <f>C1786 &amp; " -&gt; " &amp; D1786</f>
        <v>principal-process-steward -&gt; StepTransitions.TransitionKind</v>
      </c>
      <c r="C1786" s="3" t="s">
        <v>9772</v>
      </c>
      <c r="D1786" s="3" t="s">
        <v>2970</v>
      </c>
      <c r="E1786" s="3" t="b">
        <v>1</v>
      </c>
      <c r="F1786" s="3" t="b">
        <v>0</v>
      </c>
      <c r="G1786" s="3" t="s">
        <v>10003</v>
      </c>
      <c r="H1786" s="4" t="str">
        <f>_xlfn.IFNA(IF(((INDEX(RulebookFields!C2:C1898, MATCH(D1786,RulebookFields!A2:A1898, 0))="")=TRUE),  "",  INDEX(RulebookFields!C2:C1898, MATCH(D1786,RulebookFields!A2:A1898, 0))), "")</f>
        <v>StepTransitions</v>
      </c>
      <c r="I1786" s="4" t="str">
        <f>_xlfn.IFNA(IF(((INDEX(RulebookFields!D2:D1898, MATCH(D1786,RulebookFields!A2:A1898, 0))="")=TRUE),  "",  INDEX(RulebookFields!D2:D1898, MATCH(D1786,RulebookFields!A2:A1898, 0))), "")</f>
        <v>TransitionKind</v>
      </c>
      <c r="J1786" s="4" t="b">
        <f>_xlfn.IFNA(IF(((INDEX(RulebookFields!I2:I1898, MATCH(D1786,RulebookFields!A2:A1898, 0))="")=TRUE),  "",  INDEX(RulebookFields!I2:I1898, MATCH(D1786,RulebookFields!A2:A1898, 0))), "")</f>
        <v>0</v>
      </c>
      <c r="K1786" s="4" t="b">
        <f>AND(((F1786)=TRUE), ((J1786)=TRUE))</f>
        <v>0</v>
      </c>
      <c r="L1786" s="4" t="b">
        <f>AND(((G1786 &lt;&gt; "plain")=TRUE), ((G1786 &lt;&gt; "")=TRUE))</f>
        <v>0</v>
      </c>
      <c r="M1786" s="4" t="str">
        <f>IF(((E1786)=TRUE),  C1786 &amp; "|" &amp; H1786,  "")</f>
        <v>principal-process-steward|StepTransitions</v>
      </c>
      <c r="N1786" s="3" t="s">
        <v>10004</v>
      </c>
    </row>
    <row r="1787">
      <c r="A1787" s="3" t="s">
        <v>11789</v>
      </c>
      <c r="B1787" s="4" t="str">
        <f>C1787 &amp; " -&gt; " &amp; D1787</f>
        <v>principal-process-steward -&gt; StepTransitions.Condition</v>
      </c>
      <c r="C1787" s="3" t="s">
        <v>9772</v>
      </c>
      <c r="D1787" s="3" t="s">
        <v>2971</v>
      </c>
      <c r="E1787" s="3" t="b">
        <v>1</v>
      </c>
      <c r="F1787" s="3" t="b">
        <v>0</v>
      </c>
      <c r="G1787" s="3" t="s">
        <v>10003</v>
      </c>
      <c r="H1787" s="4" t="str">
        <f>_xlfn.IFNA(IF(((INDEX(RulebookFields!C2:C1898, MATCH(D1787,RulebookFields!A2:A1898, 0))="")=TRUE),  "",  INDEX(RulebookFields!C2:C1898, MATCH(D1787,RulebookFields!A2:A1898, 0))), "")</f>
        <v>StepTransitions</v>
      </c>
      <c r="I1787" s="4" t="str">
        <f>_xlfn.IFNA(IF(((INDEX(RulebookFields!D2:D1898, MATCH(D1787,RulebookFields!A2:A1898, 0))="")=TRUE),  "",  INDEX(RulebookFields!D2:D1898, MATCH(D1787,RulebookFields!A2:A1898, 0))), "")</f>
        <v>Condition</v>
      </c>
      <c r="J1787" s="4" t="b">
        <f>_xlfn.IFNA(IF(((INDEX(RulebookFields!I2:I1898, MATCH(D1787,RulebookFields!A2:A1898, 0))="")=TRUE),  "",  INDEX(RulebookFields!I2:I1898, MATCH(D1787,RulebookFields!A2:A1898, 0))), "")</f>
        <v>0</v>
      </c>
      <c r="K1787" s="4" t="b">
        <f>AND(((F1787)=TRUE), ((J1787)=TRUE))</f>
        <v>0</v>
      </c>
      <c r="L1787" s="4" t="b">
        <f>AND(((G1787 &lt;&gt; "plain")=TRUE), ((G1787 &lt;&gt; "")=TRUE))</f>
        <v>0</v>
      </c>
      <c r="M1787" s="4" t="str">
        <f>IF(((E1787)=TRUE),  C1787 &amp; "|" &amp; H1787,  "")</f>
        <v>principal-process-steward|StepTransitions</v>
      </c>
      <c r="N1787" s="3" t="s">
        <v>10004</v>
      </c>
    </row>
    <row r="1788">
      <c r="A1788" s="3" t="s">
        <v>11790</v>
      </c>
      <c r="B1788" s="4" t="str">
        <f>C1788 &amp; " -&gt; " &amp; D1788</f>
        <v>principal-process-steward -&gt; StepTransitions.Priority</v>
      </c>
      <c r="C1788" s="3" t="s">
        <v>9772</v>
      </c>
      <c r="D1788" s="3" t="s">
        <v>2972</v>
      </c>
      <c r="E1788" s="3" t="b">
        <v>1</v>
      </c>
      <c r="F1788" s="3" t="b">
        <v>0</v>
      </c>
      <c r="G1788" s="3" t="s">
        <v>10003</v>
      </c>
      <c r="H1788" s="4" t="str">
        <f>_xlfn.IFNA(IF(((INDEX(RulebookFields!C2:C1898, MATCH(D1788,RulebookFields!A2:A1898, 0))="")=TRUE),  "",  INDEX(RulebookFields!C2:C1898, MATCH(D1788,RulebookFields!A2:A1898, 0))), "")</f>
        <v>StepTransitions</v>
      </c>
      <c r="I1788" s="4" t="str">
        <f>_xlfn.IFNA(IF(((INDEX(RulebookFields!D2:D1898, MATCH(D1788,RulebookFields!A2:A1898, 0))="")=TRUE),  "",  INDEX(RulebookFields!D2:D1898, MATCH(D1788,RulebookFields!A2:A1898, 0))), "")</f>
        <v>Priority</v>
      </c>
      <c r="J1788" s="4" t="b">
        <f>_xlfn.IFNA(IF(((INDEX(RulebookFields!I2:I1898, MATCH(D1788,RulebookFields!A2:A1898, 0))="")=TRUE),  "",  INDEX(RulebookFields!I2:I1898, MATCH(D1788,RulebookFields!A2:A1898, 0))), "")</f>
        <v>0</v>
      </c>
      <c r="K1788" s="4" t="b">
        <f>AND(((F1788)=TRUE), ((J1788)=TRUE))</f>
        <v>0</v>
      </c>
      <c r="L1788" s="4" t="b">
        <f>AND(((G1788 &lt;&gt; "plain")=TRUE), ((G1788 &lt;&gt; "")=TRUE))</f>
        <v>0</v>
      </c>
      <c r="M1788" s="4" t="str">
        <f>IF(((E1788)=TRUE),  C1788 &amp; "|" &amp; H1788,  "")</f>
        <v>principal-process-steward|StepTransitions</v>
      </c>
      <c r="N1788" s="3" t="s">
        <v>10004</v>
      </c>
    </row>
    <row r="1789">
      <c r="A1789" s="3" t="s">
        <v>11791</v>
      </c>
      <c r="B1789" s="4" t="str">
        <f>C1789 &amp; " -&gt; " &amp; D1789</f>
        <v>principal-process-steward -&gt; StepTransitions.IsRecoveryPath</v>
      </c>
      <c r="C1789" s="3" t="s">
        <v>9772</v>
      </c>
      <c r="D1789" s="3" t="s">
        <v>2973</v>
      </c>
      <c r="E1789" s="3" t="b">
        <v>1</v>
      </c>
      <c r="F1789" s="3" t="b">
        <v>0</v>
      </c>
      <c r="G1789" s="3" t="s">
        <v>10003</v>
      </c>
      <c r="H1789" s="4" t="str">
        <f>_xlfn.IFNA(IF(((INDEX(RulebookFields!C2:C1898, MATCH(D1789,RulebookFields!A2:A1898, 0))="")=TRUE),  "",  INDEX(RulebookFields!C2:C1898, MATCH(D1789,RulebookFields!A2:A1898, 0))), "")</f>
        <v>StepTransitions</v>
      </c>
      <c r="I1789" s="4" t="str">
        <f>_xlfn.IFNA(IF(((INDEX(RulebookFields!D2:D1898, MATCH(D1789,RulebookFields!A2:A1898, 0))="")=TRUE),  "",  INDEX(RulebookFields!D2:D1898, MATCH(D1789,RulebookFields!A2:A1898, 0))), "")</f>
        <v>IsRecoveryPath</v>
      </c>
      <c r="J1789" s="4" t="b">
        <f>_xlfn.IFNA(IF(((INDEX(RulebookFields!I2:I1898, MATCH(D1789,RulebookFields!A2:A1898, 0))="")=TRUE),  "",  INDEX(RulebookFields!I2:I1898, MATCH(D1789,RulebookFields!A2:A1898, 0))), "")</f>
        <v>1</v>
      </c>
      <c r="K1789" s="4" t="b">
        <f>AND(((F1789)=TRUE), ((J1789)=TRUE))</f>
        <v>0</v>
      </c>
      <c r="L1789" s="4" t="b">
        <f>AND(((G1789 &lt;&gt; "plain")=TRUE), ((G1789 &lt;&gt; "")=TRUE))</f>
        <v>0</v>
      </c>
      <c r="M1789" s="4" t="str">
        <f>IF(((E1789)=TRUE),  C1789 &amp; "|" &amp; H1789,  "")</f>
        <v>principal-process-steward|StepTransitions</v>
      </c>
      <c r="N1789" s="3" t="s">
        <v>10004</v>
      </c>
    </row>
    <row r="1790">
      <c r="A1790" s="3" t="s">
        <v>11792</v>
      </c>
      <c r="B1790" s="4" t="str">
        <f>C1790 &amp; " -&gt; " &amp; D1790</f>
        <v>principal-process-steward -&gt; StepTransitions.CountOfFromStepExecutions</v>
      </c>
      <c r="C1790" s="3" t="s">
        <v>9772</v>
      </c>
      <c r="D1790" s="3" t="s">
        <v>2975</v>
      </c>
      <c r="E1790" s="3" t="b">
        <v>1</v>
      </c>
      <c r="F1790" s="3" t="b">
        <v>0</v>
      </c>
      <c r="G1790" s="3" t="s">
        <v>10003</v>
      </c>
      <c r="H1790" s="4" t="str">
        <f>_xlfn.IFNA(IF(((INDEX(RulebookFields!C2:C1898, MATCH(D1790,RulebookFields!A2:A1898, 0))="")=TRUE),  "",  INDEX(RulebookFields!C2:C1898, MATCH(D1790,RulebookFields!A2:A1898, 0))), "")</f>
        <v>StepTransitions</v>
      </c>
      <c r="I1790" s="4" t="str">
        <f>_xlfn.IFNA(IF(((INDEX(RulebookFields!D2:D1898, MATCH(D1790,RulebookFields!A2:A1898, 0))="")=TRUE),  "",  INDEX(RulebookFields!D2:D1898, MATCH(D1790,RulebookFields!A2:A1898, 0))), "")</f>
        <v>CountOfFromStepExecutions</v>
      </c>
      <c r="J1790" s="4" t="b">
        <f>_xlfn.IFNA(IF(((INDEX(RulebookFields!I2:I1898, MATCH(D1790,RulebookFields!A2:A1898, 0))="")=TRUE),  "",  INDEX(RulebookFields!I2:I1898, MATCH(D1790,RulebookFields!A2:A1898, 0))), "")</f>
        <v>1</v>
      </c>
      <c r="K1790" s="4" t="b">
        <f>AND(((F1790)=TRUE), ((J1790)=TRUE))</f>
        <v>0</v>
      </c>
      <c r="L1790" s="4" t="b">
        <f>AND(((G1790 &lt;&gt; "plain")=TRUE), ((G1790 &lt;&gt; "")=TRUE))</f>
        <v>0</v>
      </c>
      <c r="M1790" s="4" t="str">
        <f>IF(((E1790)=TRUE),  C1790 &amp; "|" &amp; H1790,  "")</f>
        <v>principal-process-steward|StepTransitions</v>
      </c>
      <c r="N1790" s="3" t="s">
        <v>10004</v>
      </c>
    </row>
    <row r="1791">
      <c r="A1791" s="3" t="s">
        <v>11793</v>
      </c>
      <c r="B1791" s="4" t="str">
        <f>C1791 &amp; " -&gt; " &amp; D1791</f>
        <v>principal-process-steward -&gt; StepTransitions.CountOfToStepExecutions</v>
      </c>
      <c r="C1791" s="3" t="s">
        <v>9772</v>
      </c>
      <c r="D1791" s="3" t="s">
        <v>2977</v>
      </c>
      <c r="E1791" s="3" t="b">
        <v>1</v>
      </c>
      <c r="F1791" s="3" t="b">
        <v>0</v>
      </c>
      <c r="G1791" s="3" t="s">
        <v>10003</v>
      </c>
      <c r="H1791" s="4" t="str">
        <f>_xlfn.IFNA(IF(((INDEX(RulebookFields!C2:C1898, MATCH(D1791,RulebookFields!A2:A1898, 0))="")=TRUE),  "",  INDEX(RulebookFields!C2:C1898, MATCH(D1791,RulebookFields!A2:A1898, 0))), "")</f>
        <v>StepTransitions</v>
      </c>
      <c r="I1791" s="4" t="str">
        <f>_xlfn.IFNA(IF(((INDEX(RulebookFields!D2:D1898, MATCH(D1791,RulebookFields!A2:A1898, 0))="")=TRUE),  "",  INDEX(RulebookFields!D2:D1898, MATCH(D1791,RulebookFields!A2:A1898, 0))), "")</f>
        <v>CountOfToStepExecutions</v>
      </c>
      <c r="J1791" s="4" t="b">
        <f>_xlfn.IFNA(IF(((INDEX(RulebookFields!I2:I1898, MATCH(D1791,RulebookFields!A2:A1898, 0))="")=TRUE),  "",  INDEX(RulebookFields!I2:I1898, MATCH(D1791,RulebookFields!A2:A1898, 0))), "")</f>
        <v>1</v>
      </c>
      <c r="K1791" s="4" t="b">
        <f>AND(((F1791)=TRUE), ((J1791)=TRUE))</f>
        <v>0</v>
      </c>
      <c r="L1791" s="4" t="b">
        <f>AND(((G1791 &lt;&gt; "plain")=TRUE), ((G1791 &lt;&gt; "")=TRUE))</f>
        <v>0</v>
      </c>
      <c r="M1791" s="4" t="str">
        <f>IF(((E1791)=TRUE),  C1791 &amp; "|" &amp; H1791,  "")</f>
        <v>principal-process-steward|StepTransitions</v>
      </c>
      <c r="N1791" s="3" t="s">
        <v>10004</v>
      </c>
    </row>
    <row r="1792">
      <c r="A1792" s="3" t="s">
        <v>11794</v>
      </c>
      <c r="B1792" s="4" t="str">
        <f>C1792 &amp; " -&gt; " &amp; D1792</f>
        <v>principal-process-steward -&gt; StepTransitions.HasReachableOrigin</v>
      </c>
      <c r="C1792" s="3" t="s">
        <v>9772</v>
      </c>
      <c r="D1792" s="3" t="s">
        <v>2979</v>
      </c>
      <c r="E1792" s="3" t="b">
        <v>1</v>
      </c>
      <c r="F1792" s="3" t="b">
        <v>0</v>
      </c>
      <c r="G1792" s="3" t="s">
        <v>10003</v>
      </c>
      <c r="H1792" s="4" t="str">
        <f>_xlfn.IFNA(IF(((INDEX(RulebookFields!C2:C1898, MATCH(D1792,RulebookFields!A2:A1898, 0))="")=TRUE),  "",  INDEX(RulebookFields!C2:C1898, MATCH(D1792,RulebookFields!A2:A1898, 0))), "")</f>
        <v>StepTransitions</v>
      </c>
      <c r="I1792" s="4" t="str">
        <f>_xlfn.IFNA(IF(((INDEX(RulebookFields!D2:D1898, MATCH(D1792,RulebookFields!A2:A1898, 0))="")=TRUE),  "",  INDEX(RulebookFields!D2:D1898, MATCH(D1792,RulebookFields!A2:A1898, 0))), "")</f>
        <v>HasReachableOrigin</v>
      </c>
      <c r="J1792" s="4" t="b">
        <f>_xlfn.IFNA(IF(((INDEX(RulebookFields!I2:I1898, MATCH(D1792,RulebookFields!A2:A1898, 0))="")=TRUE),  "",  INDEX(RulebookFields!I2:I1898, MATCH(D1792,RulebookFields!A2:A1898, 0))), "")</f>
        <v>1</v>
      </c>
      <c r="K1792" s="4" t="b">
        <f>AND(((F1792)=TRUE), ((J1792)=TRUE))</f>
        <v>0</v>
      </c>
      <c r="L1792" s="4" t="b">
        <f>AND(((G1792 &lt;&gt; "plain")=TRUE), ((G1792 &lt;&gt; "")=TRUE))</f>
        <v>0</v>
      </c>
      <c r="M1792" s="4" t="str">
        <f>IF(((E1792)=TRUE),  C1792 &amp; "|" &amp; H1792,  "")</f>
        <v>principal-process-steward|StepTransitions</v>
      </c>
      <c r="N1792" s="3" t="s">
        <v>10004</v>
      </c>
    </row>
    <row r="1793">
      <c r="A1793" s="3" t="s">
        <v>11795</v>
      </c>
      <c r="B1793" s="4" t="str">
        <f>C1793 &amp; " -&gt; " &amp; D1793</f>
        <v>principal-process-steward -&gt; StepTransitions.HasReachableTarget</v>
      </c>
      <c r="C1793" s="3" t="s">
        <v>9772</v>
      </c>
      <c r="D1793" s="3" t="s">
        <v>2981</v>
      </c>
      <c r="E1793" s="3" t="b">
        <v>1</v>
      </c>
      <c r="F1793" s="3" t="b">
        <v>0</v>
      </c>
      <c r="G1793" s="3" t="s">
        <v>10003</v>
      </c>
      <c r="H1793" s="4" t="str">
        <f>_xlfn.IFNA(IF(((INDEX(RulebookFields!C2:C1898, MATCH(D1793,RulebookFields!A2:A1898, 0))="")=TRUE),  "",  INDEX(RulebookFields!C2:C1898, MATCH(D1793,RulebookFields!A2:A1898, 0))), "")</f>
        <v>StepTransitions</v>
      </c>
      <c r="I1793" s="4" t="str">
        <f>_xlfn.IFNA(IF(((INDEX(RulebookFields!D2:D1898, MATCH(D1793,RulebookFields!A2:A1898, 0))="")=TRUE),  "",  INDEX(RulebookFields!D2:D1898, MATCH(D1793,RulebookFields!A2:A1898, 0))), "")</f>
        <v>HasReachableTarget</v>
      </c>
      <c r="J1793" s="4" t="b">
        <f>_xlfn.IFNA(IF(((INDEX(RulebookFields!I2:I1898, MATCH(D1793,RulebookFields!A2:A1898, 0))="")=TRUE),  "",  INDEX(RulebookFields!I2:I1898, MATCH(D1793,RulebookFields!A2:A1898, 0))), "")</f>
        <v>1</v>
      </c>
      <c r="K1793" s="4" t="b">
        <f>AND(((F1793)=TRUE), ((J1793)=TRUE))</f>
        <v>0</v>
      </c>
      <c r="L1793" s="4" t="b">
        <f>AND(((G1793 &lt;&gt; "plain")=TRUE), ((G1793 &lt;&gt; "")=TRUE))</f>
        <v>0</v>
      </c>
      <c r="M1793" s="4" t="str">
        <f>IF(((E1793)=TRUE),  C1793 &amp; "|" &amp; H1793,  "")</f>
        <v>principal-process-steward|StepTransitions</v>
      </c>
      <c r="N1793" s="3" t="s">
        <v>10004</v>
      </c>
    </row>
    <row r="1794">
      <c r="A1794" s="3" t="s">
        <v>11796</v>
      </c>
      <c r="B1794" s="4" t="str">
        <f>C1794 &amp; " -&gt; " &amp; D1794</f>
        <v>principal-process-steward -&gt; StepTransitions.IsNeverExercised</v>
      </c>
      <c r="C1794" s="3" t="s">
        <v>9772</v>
      </c>
      <c r="D1794" s="3" t="s">
        <v>2983</v>
      </c>
      <c r="E1794" s="3" t="b">
        <v>1</v>
      </c>
      <c r="F1794" s="3" t="b">
        <v>0</v>
      </c>
      <c r="G1794" s="3" t="s">
        <v>10003</v>
      </c>
      <c r="H1794" s="4" t="str">
        <f>_xlfn.IFNA(IF(((INDEX(RulebookFields!C2:C1898, MATCH(D1794,RulebookFields!A2:A1898, 0))="")=TRUE),  "",  INDEX(RulebookFields!C2:C1898, MATCH(D1794,RulebookFields!A2:A1898, 0))), "")</f>
        <v>StepTransitions</v>
      </c>
      <c r="I1794" s="4" t="str">
        <f>_xlfn.IFNA(IF(((INDEX(RulebookFields!D2:D1898, MATCH(D1794,RulebookFields!A2:A1898, 0))="")=TRUE),  "",  INDEX(RulebookFields!D2:D1898, MATCH(D1794,RulebookFields!A2:A1898, 0))), "")</f>
        <v>IsNeverExercised</v>
      </c>
      <c r="J1794" s="4" t="b">
        <f>_xlfn.IFNA(IF(((INDEX(RulebookFields!I2:I1898, MATCH(D1794,RulebookFields!A2:A1898, 0))="")=TRUE),  "",  INDEX(RulebookFields!I2:I1898, MATCH(D1794,RulebookFields!A2:A1898, 0))), "")</f>
        <v>1</v>
      </c>
      <c r="K1794" s="4" t="b">
        <f>AND(((F1794)=TRUE), ((J1794)=TRUE))</f>
        <v>0</v>
      </c>
      <c r="L1794" s="4" t="b">
        <f>AND(((G1794 &lt;&gt; "plain")=TRUE), ((G1794 &lt;&gt; "")=TRUE))</f>
        <v>0</v>
      </c>
      <c r="M1794" s="4" t="str">
        <f>IF(((E1794)=TRUE),  C1794 &amp; "|" &amp; H1794,  "")</f>
        <v>principal-process-steward|StepTransitions</v>
      </c>
      <c r="N1794" s="3" t="s">
        <v>10004</v>
      </c>
    </row>
    <row r="1795">
      <c r="A1795" s="3" t="s">
        <v>11797</v>
      </c>
      <c r="B1795" s="4" t="str">
        <f>C1795 &amp; " -&gt; " &amp; D1795</f>
        <v>principal-process-steward -&gt; StepTransitions.IsUntestedRecoveryPath</v>
      </c>
      <c r="C1795" s="3" t="s">
        <v>9772</v>
      </c>
      <c r="D1795" s="3" t="s">
        <v>2985</v>
      </c>
      <c r="E1795" s="3" t="b">
        <v>1</v>
      </c>
      <c r="F1795" s="3" t="b">
        <v>0</v>
      </c>
      <c r="G1795" s="3" t="s">
        <v>10003</v>
      </c>
      <c r="H1795" s="4" t="str">
        <f>_xlfn.IFNA(IF(((INDEX(RulebookFields!C2:C1898, MATCH(D1795,RulebookFields!A2:A1898, 0))="")=TRUE),  "",  INDEX(RulebookFields!C2:C1898, MATCH(D1795,RulebookFields!A2:A1898, 0))), "")</f>
        <v>StepTransitions</v>
      </c>
      <c r="I1795" s="4" t="str">
        <f>_xlfn.IFNA(IF(((INDEX(RulebookFields!D2:D1898, MATCH(D1795,RulebookFields!A2:A1898, 0))="")=TRUE),  "",  INDEX(RulebookFields!D2:D1898, MATCH(D1795,RulebookFields!A2:A1898, 0))), "")</f>
        <v>IsUntestedRecoveryPath</v>
      </c>
      <c r="J1795" s="4" t="b">
        <f>_xlfn.IFNA(IF(((INDEX(RulebookFields!I2:I1898, MATCH(D1795,RulebookFields!A2:A1898, 0))="")=TRUE),  "",  INDEX(RulebookFields!I2:I1898, MATCH(D1795,RulebookFields!A2:A1898, 0))), "")</f>
        <v>1</v>
      </c>
      <c r="K1795" s="4" t="b">
        <f>AND(((F1795)=TRUE), ((J1795)=TRUE))</f>
        <v>0</v>
      </c>
      <c r="L1795" s="4" t="b">
        <f>AND(((G1795 &lt;&gt; "plain")=TRUE), ((G1795 &lt;&gt; "")=TRUE))</f>
        <v>0</v>
      </c>
      <c r="M1795" s="4" t="str">
        <f>IF(((E1795)=TRUE),  C1795 &amp; "|" &amp; H1795,  "")</f>
        <v>principal-process-steward|StepTransitions</v>
      </c>
      <c r="N1795" s="3" t="s">
        <v>10004</v>
      </c>
    </row>
    <row r="1796">
      <c r="A1796" s="3" t="s">
        <v>11798</v>
      </c>
      <c r="B1796" s="4" t="str">
        <f>C1796 &amp; " -&gt; " &amp; D1796</f>
        <v>principal-process-steward -&gt; StepTransitions.CountOfObservedTraversals</v>
      </c>
      <c r="C1796" s="3" t="s">
        <v>9772</v>
      </c>
      <c r="D1796" s="3" t="s">
        <v>2987</v>
      </c>
      <c r="E1796" s="3" t="b">
        <v>1</v>
      </c>
      <c r="F1796" s="3" t="b">
        <v>0</v>
      </c>
      <c r="G1796" s="3" t="s">
        <v>10003</v>
      </c>
      <c r="H1796" s="4" t="str">
        <f>_xlfn.IFNA(IF(((INDEX(RulebookFields!C2:C1898, MATCH(D1796,RulebookFields!A2:A1898, 0))="")=TRUE),  "",  INDEX(RulebookFields!C2:C1898, MATCH(D1796,RulebookFields!A2:A1898, 0))), "")</f>
        <v>StepTransitions</v>
      </c>
      <c r="I1796" s="4" t="str">
        <f>_xlfn.IFNA(IF(((INDEX(RulebookFields!D2:D1898, MATCH(D1796,RulebookFields!A2:A1898, 0))="")=TRUE),  "",  INDEX(RulebookFields!D2:D1898, MATCH(D1796,RulebookFields!A2:A1898, 0))), "")</f>
        <v>CountOfObservedTraversals</v>
      </c>
      <c r="J1796" s="4" t="b">
        <f>_xlfn.IFNA(IF(((INDEX(RulebookFields!I2:I1898, MATCH(D1796,RulebookFields!A2:A1898, 0))="")=TRUE),  "",  INDEX(RulebookFields!I2:I1898, MATCH(D1796,RulebookFields!A2:A1898, 0))), "")</f>
        <v>1</v>
      </c>
      <c r="K1796" s="4" t="b">
        <f>AND(((F1796)=TRUE), ((J1796)=TRUE))</f>
        <v>0</v>
      </c>
      <c r="L1796" s="4" t="b">
        <f>AND(((G1796 &lt;&gt; "plain")=TRUE), ((G1796 &lt;&gt; "")=TRUE))</f>
        <v>0</v>
      </c>
      <c r="M1796" s="4" t="str">
        <f>IF(((E1796)=TRUE),  C1796 &amp; "|" &amp; H1796,  "")</f>
        <v>principal-process-steward|StepTransitions</v>
      </c>
      <c r="N1796" s="3" t="s">
        <v>10004</v>
      </c>
    </row>
    <row r="1797">
      <c r="A1797" s="3" t="s">
        <v>11799</v>
      </c>
      <c r="B1797" s="4" t="str">
        <f>C1797 &amp; " -&gt; " &amp; D1797</f>
        <v>principal-process-steward -&gt; StepTransitions.HasBeenTraversed</v>
      </c>
      <c r="C1797" s="3" t="s">
        <v>9772</v>
      </c>
      <c r="D1797" s="3" t="s">
        <v>2989</v>
      </c>
      <c r="E1797" s="3" t="b">
        <v>1</v>
      </c>
      <c r="F1797" s="3" t="b">
        <v>0</v>
      </c>
      <c r="G1797" s="3" t="s">
        <v>10003</v>
      </c>
      <c r="H1797" s="4" t="str">
        <f>_xlfn.IFNA(IF(((INDEX(RulebookFields!C2:C1898, MATCH(D1797,RulebookFields!A2:A1898, 0))="")=TRUE),  "",  INDEX(RulebookFields!C2:C1898, MATCH(D1797,RulebookFields!A2:A1898, 0))), "")</f>
        <v>StepTransitions</v>
      </c>
      <c r="I1797" s="4" t="str">
        <f>_xlfn.IFNA(IF(((INDEX(RulebookFields!D2:D1898, MATCH(D1797,RulebookFields!A2:A1898, 0))="")=TRUE),  "",  INDEX(RulebookFields!D2:D1898, MATCH(D1797,RulebookFields!A2:A1898, 0))), "")</f>
        <v>HasBeenTraversed</v>
      </c>
      <c r="J1797" s="4" t="b">
        <f>_xlfn.IFNA(IF(((INDEX(RulebookFields!I2:I1898, MATCH(D1797,RulebookFields!A2:A1898, 0))="")=TRUE),  "",  INDEX(RulebookFields!I2:I1898, MATCH(D1797,RulebookFields!A2:A1898, 0))), "")</f>
        <v>1</v>
      </c>
      <c r="K1797" s="4" t="b">
        <f>AND(((F1797)=TRUE), ((J1797)=TRUE))</f>
        <v>0</v>
      </c>
      <c r="L1797" s="4" t="b">
        <f>AND(((G1797 &lt;&gt; "plain")=TRUE), ((G1797 &lt;&gt; "")=TRUE))</f>
        <v>0</v>
      </c>
      <c r="M1797" s="4" t="str">
        <f>IF(((E1797)=TRUE),  C1797 &amp; "|" &amp; H1797,  "")</f>
        <v>principal-process-steward|StepTransitions</v>
      </c>
      <c r="N1797" s="3" t="s">
        <v>10004</v>
      </c>
    </row>
    <row r="1798">
      <c r="A1798" s="3" t="s">
        <v>11800</v>
      </c>
      <c r="B1798" s="4" t="str">
        <f>C1798 &amp; " -&gt; " &amp; D1798</f>
        <v>principal-process-steward -&gt; StepTransitions.IsUnwalkedRecoveryPath</v>
      </c>
      <c r="C1798" s="3" t="s">
        <v>9772</v>
      </c>
      <c r="D1798" s="3" t="s">
        <v>2991</v>
      </c>
      <c r="E1798" s="3" t="b">
        <v>1</v>
      </c>
      <c r="F1798" s="3" t="b">
        <v>0</v>
      </c>
      <c r="G1798" s="3" t="s">
        <v>10003</v>
      </c>
      <c r="H1798" s="4" t="str">
        <f>_xlfn.IFNA(IF(((INDEX(RulebookFields!C2:C1898, MATCH(D1798,RulebookFields!A2:A1898, 0))="")=TRUE),  "",  INDEX(RulebookFields!C2:C1898, MATCH(D1798,RulebookFields!A2:A1898, 0))), "")</f>
        <v>StepTransitions</v>
      </c>
      <c r="I1798" s="4" t="str">
        <f>_xlfn.IFNA(IF(((INDEX(RulebookFields!D2:D1898, MATCH(D1798,RulebookFields!A2:A1898, 0))="")=TRUE),  "",  INDEX(RulebookFields!D2:D1898, MATCH(D1798,RulebookFields!A2:A1898, 0))), "")</f>
        <v>IsUnwalkedRecoveryPath</v>
      </c>
      <c r="J1798" s="4" t="b">
        <f>_xlfn.IFNA(IF(((INDEX(RulebookFields!I2:I1898, MATCH(D1798,RulebookFields!A2:A1898, 0))="")=TRUE),  "",  INDEX(RulebookFields!I2:I1898, MATCH(D1798,RulebookFields!A2:A1898, 0))), "")</f>
        <v>1</v>
      </c>
      <c r="K1798" s="4" t="b">
        <f>AND(((F1798)=TRUE), ((J1798)=TRUE))</f>
        <v>0</v>
      </c>
      <c r="L1798" s="4" t="b">
        <f>AND(((G1798 &lt;&gt; "plain")=TRUE), ((G1798 &lt;&gt; "")=TRUE))</f>
        <v>0</v>
      </c>
      <c r="M1798" s="4" t="str">
        <f>IF(((E1798)=TRUE),  C1798 &amp; "|" &amp; H1798,  "")</f>
        <v>principal-process-steward|StepTransitions</v>
      </c>
      <c r="N1798" s="3" t="s">
        <v>10004</v>
      </c>
    </row>
    <row r="1799">
      <c r="A1799" s="3" t="s">
        <v>11801</v>
      </c>
      <c r="B1799" s="4" t="str">
        <f>C1799 &amp; " -&gt; " &amp; D1799</f>
        <v>principal-process-steward -&gt; StepTransitions.TargetBlockingRequirementCount</v>
      </c>
      <c r="C1799" s="3" t="s">
        <v>9772</v>
      </c>
      <c r="D1799" s="3" t="s">
        <v>2993</v>
      </c>
      <c r="E1799" s="3" t="b">
        <v>1</v>
      </c>
      <c r="F1799" s="3" t="b">
        <v>0</v>
      </c>
      <c r="G1799" s="3" t="s">
        <v>10003</v>
      </c>
      <c r="H1799" s="4" t="str">
        <f>_xlfn.IFNA(IF(((INDEX(RulebookFields!C2:C1898, MATCH(D1799,RulebookFields!A2:A1898, 0))="")=TRUE),  "",  INDEX(RulebookFields!C2:C1898, MATCH(D1799,RulebookFields!A2:A1898, 0))), "")</f>
        <v>StepTransitions</v>
      </c>
      <c r="I1799" s="4" t="str">
        <f>_xlfn.IFNA(IF(((INDEX(RulebookFields!D2:D1898, MATCH(D1799,RulebookFields!A2:A1898, 0))="")=TRUE),  "",  INDEX(RulebookFields!D2:D1898, MATCH(D1799,RulebookFields!A2:A1898, 0))), "")</f>
        <v>TargetBlockingRequirementCount</v>
      </c>
      <c r="J1799" s="4" t="b">
        <f>_xlfn.IFNA(IF(((INDEX(RulebookFields!I2:I1898, MATCH(D1799,RulebookFields!A2:A1898, 0))="")=TRUE),  "",  INDEX(RulebookFields!I2:I1898, MATCH(D1799,RulebookFields!A2:A1898, 0))), "")</f>
        <v>1</v>
      </c>
      <c r="K1799" s="4" t="b">
        <f>AND(((F1799)=TRUE), ((J1799)=TRUE))</f>
        <v>0</v>
      </c>
      <c r="L1799" s="4" t="b">
        <f>AND(((G1799 &lt;&gt; "plain")=TRUE), ((G1799 &lt;&gt; "")=TRUE))</f>
        <v>0</v>
      </c>
      <c r="M1799" s="4" t="str">
        <f>IF(((E1799)=TRUE),  C1799 &amp; "|" &amp; H1799,  "")</f>
        <v>principal-process-steward|StepTransitions</v>
      </c>
      <c r="N1799" s="3" t="s">
        <v>10004</v>
      </c>
    </row>
    <row r="1800">
      <c r="A1800" s="3" t="s">
        <v>11802</v>
      </c>
      <c r="B1800" s="4" t="str">
        <f>C1800 &amp; " -&gt; " &amp; D1800</f>
        <v>principal-process-steward -&gt; StepTransitions.TargetCarriesBlockingControl</v>
      </c>
      <c r="C1800" s="3" t="s">
        <v>9772</v>
      </c>
      <c r="D1800" s="3" t="s">
        <v>2995</v>
      </c>
      <c r="E1800" s="3" t="b">
        <v>1</v>
      </c>
      <c r="F1800" s="3" t="b">
        <v>0</v>
      </c>
      <c r="G1800" s="3" t="s">
        <v>10003</v>
      </c>
      <c r="H1800" s="4" t="str">
        <f>_xlfn.IFNA(IF(((INDEX(RulebookFields!C2:C1898, MATCH(D1800,RulebookFields!A2:A1898, 0))="")=TRUE),  "",  INDEX(RulebookFields!C2:C1898, MATCH(D1800,RulebookFields!A2:A1898, 0))), "")</f>
        <v>StepTransitions</v>
      </c>
      <c r="I1800" s="4" t="str">
        <f>_xlfn.IFNA(IF(((INDEX(RulebookFields!D2:D1898, MATCH(D1800,RulebookFields!A2:A1898, 0))="")=TRUE),  "",  INDEX(RulebookFields!D2:D1898, MATCH(D1800,RulebookFields!A2:A1898, 0))), "")</f>
        <v>TargetCarriesBlockingControl</v>
      </c>
      <c r="J1800" s="4" t="b">
        <f>_xlfn.IFNA(IF(((INDEX(RulebookFields!I2:I1898, MATCH(D1800,RulebookFields!A2:A1898, 0))="")=TRUE),  "",  INDEX(RulebookFields!I2:I1898, MATCH(D1800,RulebookFields!A2:A1898, 0))), "")</f>
        <v>1</v>
      </c>
      <c r="K1800" s="4" t="b">
        <f>AND(((F1800)=TRUE), ((J1800)=TRUE))</f>
        <v>0</v>
      </c>
      <c r="L1800" s="4" t="b">
        <f>AND(((G1800 &lt;&gt; "plain")=TRUE), ((G1800 &lt;&gt; "")=TRUE))</f>
        <v>0</v>
      </c>
      <c r="M1800" s="4" t="str">
        <f>IF(((E1800)=TRUE),  C1800 &amp; "|" &amp; H1800,  "")</f>
        <v>principal-process-steward|StepTransitions</v>
      </c>
      <c r="N1800" s="3" t="s">
        <v>10004</v>
      </c>
    </row>
    <row r="1801">
      <c r="A1801" s="3" t="s">
        <v>11803</v>
      </c>
      <c r="B1801" s="4" t="str">
        <f>C1801 &amp; " -&gt; " &amp; D1801</f>
        <v>principal-process-steward -&gt; StepTransitions.IsUnrehearsedControlEntry</v>
      </c>
      <c r="C1801" s="3" t="s">
        <v>9772</v>
      </c>
      <c r="D1801" s="3" t="s">
        <v>2997</v>
      </c>
      <c r="E1801" s="3" t="b">
        <v>1</v>
      </c>
      <c r="F1801" s="3" t="b">
        <v>0</v>
      </c>
      <c r="G1801" s="3" t="s">
        <v>10003</v>
      </c>
      <c r="H1801" s="4" t="str">
        <f>_xlfn.IFNA(IF(((INDEX(RulebookFields!C2:C1898, MATCH(D1801,RulebookFields!A2:A1898, 0))="")=TRUE),  "",  INDEX(RulebookFields!C2:C1898, MATCH(D1801,RulebookFields!A2:A1898, 0))), "")</f>
        <v>StepTransitions</v>
      </c>
      <c r="I1801" s="4" t="str">
        <f>_xlfn.IFNA(IF(((INDEX(RulebookFields!D2:D1898, MATCH(D1801,RulebookFields!A2:A1898, 0))="")=TRUE),  "",  INDEX(RulebookFields!D2:D1898, MATCH(D1801,RulebookFields!A2:A1898, 0))), "")</f>
        <v>IsUnrehearsedControlEntry</v>
      </c>
      <c r="J1801" s="4" t="b">
        <f>_xlfn.IFNA(IF(((INDEX(RulebookFields!I2:I1898, MATCH(D1801,RulebookFields!A2:A1898, 0))="")=TRUE),  "",  INDEX(RulebookFields!I2:I1898, MATCH(D1801,RulebookFields!A2:A1898, 0))), "")</f>
        <v>1</v>
      </c>
      <c r="K1801" s="4" t="b">
        <f>AND(((F1801)=TRUE), ((J1801)=TRUE))</f>
        <v>0</v>
      </c>
      <c r="L1801" s="4" t="b">
        <f>AND(((G1801 &lt;&gt; "plain")=TRUE), ((G1801 &lt;&gt; "")=TRUE))</f>
        <v>0</v>
      </c>
      <c r="M1801" s="4" t="str">
        <f>IF(((E1801)=TRUE),  C1801 &amp; "|" &amp; H1801,  "")</f>
        <v>principal-process-steward|StepTransitions</v>
      </c>
      <c r="N1801" s="3" t="s">
        <v>10004</v>
      </c>
    </row>
    <row r="1802">
      <c r="A1802" s="3" t="s">
        <v>11804</v>
      </c>
      <c r="B1802" s="4" t="str">
        <f>C1802 &amp; " -&gt; " &amp; D1802</f>
        <v>principal-process-steward -&gt; StepTransitions.UnrehearsedControlVersionKey</v>
      </c>
      <c r="C1802" s="3" t="s">
        <v>9772</v>
      </c>
      <c r="D1802" s="3" t="s">
        <v>2999</v>
      </c>
      <c r="E1802" s="3" t="b">
        <v>1</v>
      </c>
      <c r="F1802" s="3" t="b">
        <v>0</v>
      </c>
      <c r="G1802" s="3" t="s">
        <v>10003</v>
      </c>
      <c r="H1802" s="4" t="str">
        <f>_xlfn.IFNA(IF(((INDEX(RulebookFields!C2:C1898, MATCH(D1802,RulebookFields!A2:A1898, 0))="")=TRUE),  "",  INDEX(RulebookFields!C2:C1898, MATCH(D1802,RulebookFields!A2:A1898, 0))), "")</f>
        <v>StepTransitions</v>
      </c>
      <c r="I1802" s="4" t="str">
        <f>_xlfn.IFNA(IF(((INDEX(RulebookFields!D2:D1898, MATCH(D1802,RulebookFields!A2:A1898, 0))="")=TRUE),  "",  INDEX(RulebookFields!D2:D1898, MATCH(D1802,RulebookFields!A2:A1898, 0))), "")</f>
        <v>UnrehearsedControlVersionKey</v>
      </c>
      <c r="J1802" s="4" t="b">
        <f>_xlfn.IFNA(IF(((INDEX(RulebookFields!I2:I1898, MATCH(D1802,RulebookFields!A2:A1898, 0))="")=TRUE),  "",  INDEX(RulebookFields!I2:I1898, MATCH(D1802,RulebookFields!A2:A1898, 0))), "")</f>
        <v>1</v>
      </c>
      <c r="K1802" s="4" t="b">
        <f>AND(((F1802)=TRUE), ((J1802)=TRUE))</f>
        <v>0</v>
      </c>
      <c r="L1802" s="4" t="b">
        <f>AND(((G1802 &lt;&gt; "plain")=TRUE), ((G1802 &lt;&gt; "")=TRUE))</f>
        <v>0</v>
      </c>
      <c r="M1802" s="4" t="str">
        <f>IF(((E1802)=TRUE),  C1802 &amp; "|" &amp; H1802,  "")</f>
        <v>principal-process-steward|StepTransitions</v>
      </c>
      <c r="N1802" s="3" t="s">
        <v>10004</v>
      </c>
    </row>
    <row r="1803">
      <c r="A1803" s="3" t="s">
        <v>11805</v>
      </c>
      <c r="B1803" s="4" t="str">
        <f>C1803 &amp; " -&gt; " &amp; D1803</f>
        <v>principal-process-steward -&gt; StepTransitions.SemanticTypeIri</v>
      </c>
      <c r="C1803" s="3" t="s">
        <v>9772</v>
      </c>
      <c r="D1803" s="3" t="s">
        <v>3010</v>
      </c>
      <c r="E1803" s="3" t="b">
        <v>1</v>
      </c>
      <c r="F1803" s="3" t="b">
        <v>0</v>
      </c>
      <c r="G1803" s="3" t="s">
        <v>10003</v>
      </c>
      <c r="H1803" s="4" t="str">
        <f>_xlfn.IFNA(IF(((INDEX(RulebookFields!C2:C1898, MATCH(D1803,RulebookFields!A2:A1898, 0))="")=TRUE),  "",  INDEX(RulebookFields!C2:C1898, MATCH(D1803,RulebookFields!A2:A1898, 0))), "")</f>
        <v>StepTransitions</v>
      </c>
      <c r="I1803" s="4" t="str">
        <f>_xlfn.IFNA(IF(((INDEX(RulebookFields!D2:D1898, MATCH(D1803,RulebookFields!A2:A1898, 0))="")=TRUE),  "",  INDEX(RulebookFields!D2:D1898, MATCH(D1803,RulebookFields!A2:A1898, 0))), "")</f>
        <v>SemanticTypeIri</v>
      </c>
      <c r="J1803" s="4" t="b">
        <f>_xlfn.IFNA(IF(((INDEX(RulebookFields!I2:I1898, MATCH(D1803,RulebookFields!A2:A1898, 0))="")=TRUE),  "",  INDEX(RulebookFields!I2:I1898, MATCH(D1803,RulebookFields!A2:A1898, 0))), "")</f>
        <v>0</v>
      </c>
      <c r="K1803" s="4" t="b">
        <f>AND(((F1803)=TRUE), ((J1803)=TRUE))</f>
        <v>0</v>
      </c>
      <c r="L1803" s="4" t="b">
        <f>AND(((G1803 &lt;&gt; "plain")=TRUE), ((G1803 &lt;&gt; "")=TRUE))</f>
        <v>0</v>
      </c>
      <c r="M1803" s="4" t="str">
        <f>IF(((E1803)=TRUE),  C1803 &amp; "|" &amp; H1803,  "")</f>
        <v>principal-process-steward|StepTransitions</v>
      </c>
      <c r="N1803" s="3" t="s">
        <v>10004</v>
      </c>
    </row>
    <row r="1804">
      <c r="A1804" s="3" t="s">
        <v>11806</v>
      </c>
      <c r="B1804" s="4" t="str">
        <f>C1804 &amp; " -&gt; " &amp; D1804</f>
        <v>principal-process-steward -&gt; StepVerifications.StepVerificationId</v>
      </c>
      <c r="C1804" s="3" t="s">
        <v>9772</v>
      </c>
      <c r="D1804" s="3" t="s">
        <v>3141</v>
      </c>
      <c r="E1804" s="3" t="b">
        <v>1</v>
      </c>
      <c r="F1804" s="3" t="b">
        <v>0</v>
      </c>
      <c r="G1804" s="3" t="s">
        <v>10003</v>
      </c>
      <c r="H1804" s="4" t="str">
        <f>_xlfn.IFNA(IF(((INDEX(RulebookFields!C2:C1898, MATCH(D1804,RulebookFields!A2:A1898, 0))="")=TRUE),  "",  INDEX(RulebookFields!C2:C1898, MATCH(D1804,RulebookFields!A2:A1898, 0))), "")</f>
        <v>StepVerifications</v>
      </c>
      <c r="I1804" s="4" t="str">
        <f>_xlfn.IFNA(IF(((INDEX(RulebookFields!D2:D1898, MATCH(D1804,RulebookFields!A2:A1898, 0))="")=TRUE),  "",  INDEX(RulebookFields!D2:D1898, MATCH(D1804,RulebookFields!A2:A1898, 0))), "")</f>
        <v>StepVerificationId</v>
      </c>
      <c r="J1804" s="4" t="b">
        <f>_xlfn.IFNA(IF(((INDEX(RulebookFields!I2:I1898, MATCH(D1804,RulebookFields!A2:A1898, 0))="")=TRUE),  "",  INDEX(RulebookFields!I2:I1898, MATCH(D1804,RulebookFields!A2:A1898, 0))), "")</f>
        <v>0</v>
      </c>
      <c r="K1804" s="4" t="b">
        <f>AND(((F1804)=TRUE), ((J1804)=TRUE))</f>
        <v>0</v>
      </c>
      <c r="L1804" s="4" t="b">
        <f>AND(((G1804 &lt;&gt; "plain")=TRUE), ((G1804 &lt;&gt; "")=TRUE))</f>
        <v>0</v>
      </c>
      <c r="M1804" s="4" t="str">
        <f>IF(((E1804)=TRUE),  C1804 &amp; "|" &amp; H1804,  "")</f>
        <v>principal-process-steward|StepVerifications</v>
      </c>
      <c r="N1804" s="3" t="s">
        <v>10004</v>
      </c>
    </row>
    <row r="1805">
      <c r="A1805" s="3" t="s">
        <v>11807</v>
      </c>
      <c r="B1805" s="4" t="str">
        <f>C1805 &amp; " -&gt; " &amp; D1805</f>
        <v>principal-process-steward -&gt; StepVerifications.Name</v>
      </c>
      <c r="C1805" s="3" t="s">
        <v>9772</v>
      </c>
      <c r="D1805" s="3" t="s">
        <v>3142</v>
      </c>
      <c r="E1805" s="3" t="b">
        <v>1</v>
      </c>
      <c r="F1805" s="3" t="b">
        <v>0</v>
      </c>
      <c r="G1805" s="3" t="s">
        <v>10003</v>
      </c>
      <c r="H1805" s="4" t="str">
        <f>_xlfn.IFNA(IF(((INDEX(RulebookFields!C2:C1898, MATCH(D1805,RulebookFields!A2:A1898, 0))="")=TRUE),  "",  INDEX(RulebookFields!C2:C1898, MATCH(D1805,RulebookFields!A2:A1898, 0))), "")</f>
        <v>StepVerifications</v>
      </c>
      <c r="I1805" s="4" t="str">
        <f>_xlfn.IFNA(IF(((INDEX(RulebookFields!D2:D1898, MATCH(D1805,RulebookFields!A2:A1898, 0))="")=TRUE),  "",  INDEX(RulebookFields!D2:D1898, MATCH(D1805,RulebookFields!A2:A1898, 0))), "")</f>
        <v>Name</v>
      </c>
      <c r="J1805" s="4" t="b">
        <f>_xlfn.IFNA(IF(((INDEX(RulebookFields!I2:I1898, MATCH(D1805,RulebookFields!A2:A1898, 0))="")=TRUE),  "",  INDEX(RulebookFields!I2:I1898, MATCH(D1805,RulebookFields!A2:A1898, 0))), "")</f>
        <v>1</v>
      </c>
      <c r="K1805" s="4" t="b">
        <f>AND(((F1805)=TRUE), ((J1805)=TRUE))</f>
        <v>0</v>
      </c>
      <c r="L1805" s="4" t="b">
        <f>AND(((G1805 &lt;&gt; "plain")=TRUE), ((G1805 &lt;&gt; "")=TRUE))</f>
        <v>0</v>
      </c>
      <c r="M1805" s="4" t="str">
        <f>IF(((E1805)=TRUE),  C1805 &amp; "|" &amp; H1805,  "")</f>
        <v>principal-process-steward|StepVerifications</v>
      </c>
      <c r="N1805" s="3" t="s">
        <v>10004</v>
      </c>
    </row>
    <row r="1806">
      <c r="A1806" s="3" t="s">
        <v>11808</v>
      </c>
      <c r="B1806" s="4" t="str">
        <f>C1806 &amp; " -&gt; " &amp; D1806</f>
        <v>principal-process-steward -&gt; StepVerifications.Step</v>
      </c>
      <c r="C1806" s="3" t="s">
        <v>9772</v>
      </c>
      <c r="D1806" s="3" t="s">
        <v>3144</v>
      </c>
      <c r="E1806" s="3" t="b">
        <v>1</v>
      </c>
      <c r="F1806" s="3" t="b">
        <v>0</v>
      </c>
      <c r="G1806" s="3" t="s">
        <v>10003</v>
      </c>
      <c r="H1806" s="4" t="str">
        <f>_xlfn.IFNA(IF(((INDEX(RulebookFields!C2:C1898, MATCH(D1806,RulebookFields!A2:A1898, 0))="")=TRUE),  "",  INDEX(RulebookFields!C2:C1898, MATCH(D1806,RulebookFields!A2:A1898, 0))), "")</f>
        <v>StepVerifications</v>
      </c>
      <c r="I1806" s="4" t="str">
        <f>_xlfn.IFNA(IF(((INDEX(RulebookFields!D2:D1898, MATCH(D1806,RulebookFields!A2:A1898, 0))="")=TRUE),  "",  INDEX(RulebookFields!D2:D1898, MATCH(D1806,RulebookFields!A2:A1898, 0))), "")</f>
        <v>Step</v>
      </c>
      <c r="J1806" s="4" t="b">
        <f>_xlfn.IFNA(IF(((INDEX(RulebookFields!I2:I1898, MATCH(D1806,RulebookFields!A2:A1898, 0))="")=TRUE),  "",  INDEX(RulebookFields!I2:I1898, MATCH(D1806,RulebookFields!A2:A1898, 0))), "")</f>
        <v>0</v>
      </c>
      <c r="K1806" s="4" t="b">
        <f>AND(((F1806)=TRUE), ((J1806)=TRUE))</f>
        <v>0</v>
      </c>
      <c r="L1806" s="4" t="b">
        <f>AND(((G1806 &lt;&gt; "plain")=TRUE), ((G1806 &lt;&gt; "")=TRUE))</f>
        <v>0</v>
      </c>
      <c r="M1806" s="4" t="str">
        <f>IF(((E1806)=TRUE),  C1806 &amp; "|" &amp; H1806,  "")</f>
        <v>principal-process-steward|StepVerifications</v>
      </c>
      <c r="N1806" s="3" t="s">
        <v>10004</v>
      </c>
    </row>
    <row r="1807">
      <c r="A1807" s="3" t="s">
        <v>11809</v>
      </c>
      <c r="B1807" s="4" t="str">
        <f>C1807 &amp; " -&gt; " &amp; D1807</f>
        <v>principal-process-steward -&gt; StepVerifications.VerificationKind</v>
      </c>
      <c r="C1807" s="3" t="s">
        <v>9772</v>
      </c>
      <c r="D1807" s="3" t="s">
        <v>3145</v>
      </c>
      <c r="E1807" s="3" t="b">
        <v>1</v>
      </c>
      <c r="F1807" s="3" t="b">
        <v>0</v>
      </c>
      <c r="G1807" s="3" t="s">
        <v>10003</v>
      </c>
      <c r="H1807" s="4" t="str">
        <f>_xlfn.IFNA(IF(((INDEX(RulebookFields!C2:C1898, MATCH(D1807,RulebookFields!A2:A1898, 0))="")=TRUE),  "",  INDEX(RulebookFields!C2:C1898, MATCH(D1807,RulebookFields!A2:A1898, 0))), "")</f>
        <v>StepVerifications</v>
      </c>
      <c r="I1807" s="4" t="str">
        <f>_xlfn.IFNA(IF(((INDEX(RulebookFields!D2:D1898, MATCH(D1807,RulebookFields!A2:A1898, 0))="")=TRUE),  "",  INDEX(RulebookFields!D2:D1898, MATCH(D1807,RulebookFields!A2:A1898, 0))), "")</f>
        <v>VerificationKind</v>
      </c>
      <c r="J1807" s="4" t="b">
        <f>_xlfn.IFNA(IF(((INDEX(RulebookFields!I2:I1898, MATCH(D1807,RulebookFields!A2:A1898, 0))="")=TRUE),  "",  INDEX(RulebookFields!I2:I1898, MATCH(D1807,RulebookFields!A2:A1898, 0))), "")</f>
        <v>0</v>
      </c>
      <c r="K1807" s="4" t="b">
        <f>AND(((F1807)=TRUE), ((J1807)=TRUE))</f>
        <v>0</v>
      </c>
      <c r="L1807" s="4" t="b">
        <f>AND(((G1807 &lt;&gt; "plain")=TRUE), ((G1807 &lt;&gt; "")=TRUE))</f>
        <v>0</v>
      </c>
      <c r="M1807" s="4" t="str">
        <f>IF(((E1807)=TRUE),  C1807 &amp; "|" &amp; H1807,  "")</f>
        <v>principal-process-steward|StepVerifications</v>
      </c>
      <c r="N1807" s="3" t="s">
        <v>10004</v>
      </c>
    </row>
    <row r="1808">
      <c r="A1808" s="3" t="s">
        <v>11810</v>
      </c>
      <c r="B1808" s="4" t="str">
        <f>C1808 &amp; " -&gt; " &amp; D1808</f>
        <v>principal-process-steward -&gt; StepVerifications.SignalIdentifier</v>
      </c>
      <c r="C1808" s="3" t="s">
        <v>9772</v>
      </c>
      <c r="D1808" s="3" t="s">
        <v>3146</v>
      </c>
      <c r="E1808" s="3" t="b">
        <v>1</v>
      </c>
      <c r="F1808" s="3" t="b">
        <v>0</v>
      </c>
      <c r="G1808" s="3" t="s">
        <v>10003</v>
      </c>
      <c r="H1808" s="4" t="str">
        <f>_xlfn.IFNA(IF(((INDEX(RulebookFields!C2:C1898, MATCH(D1808,RulebookFields!A2:A1898, 0))="")=TRUE),  "",  INDEX(RulebookFields!C2:C1898, MATCH(D1808,RulebookFields!A2:A1898, 0))), "")</f>
        <v>StepVerifications</v>
      </c>
      <c r="I1808" s="4" t="str">
        <f>_xlfn.IFNA(IF(((INDEX(RulebookFields!D2:D1898, MATCH(D1808,RulebookFields!A2:A1898, 0))="")=TRUE),  "",  INDEX(RulebookFields!D2:D1898, MATCH(D1808,RulebookFields!A2:A1898, 0))), "")</f>
        <v>SignalIdentifier</v>
      </c>
      <c r="J1808" s="4" t="b">
        <f>_xlfn.IFNA(IF(((INDEX(RulebookFields!I2:I1898, MATCH(D1808,RulebookFields!A2:A1898, 0))="")=TRUE),  "",  INDEX(RulebookFields!I2:I1898, MATCH(D1808,RulebookFields!A2:A1898, 0))), "")</f>
        <v>0</v>
      </c>
      <c r="K1808" s="4" t="b">
        <f>AND(((F1808)=TRUE), ((J1808)=TRUE))</f>
        <v>0</v>
      </c>
      <c r="L1808" s="4" t="b">
        <f>AND(((G1808 &lt;&gt; "plain")=TRUE), ((G1808 &lt;&gt; "")=TRUE))</f>
        <v>0</v>
      </c>
      <c r="M1808" s="4" t="str">
        <f>IF(((E1808)=TRUE),  C1808 &amp; "|" &amp; H1808,  "")</f>
        <v>principal-process-steward|StepVerifications</v>
      </c>
      <c r="N1808" s="3" t="s">
        <v>10004</v>
      </c>
    </row>
    <row r="1809">
      <c r="A1809" s="3" t="s">
        <v>11811</v>
      </c>
      <c r="B1809" s="4" t="str">
        <f>C1809 &amp; " -&gt; " &amp; D1809</f>
        <v>principal-process-steward -&gt; StepVerifications.ExpectedSignalValue</v>
      </c>
      <c r="C1809" s="3" t="s">
        <v>9772</v>
      </c>
      <c r="D1809" s="3" t="s">
        <v>3147</v>
      </c>
      <c r="E1809" s="3" t="b">
        <v>1</v>
      </c>
      <c r="F1809" s="3" t="b">
        <v>0</v>
      </c>
      <c r="G1809" s="3" t="s">
        <v>10003</v>
      </c>
      <c r="H1809" s="4" t="str">
        <f>_xlfn.IFNA(IF(((INDEX(RulebookFields!C2:C1898, MATCH(D1809,RulebookFields!A2:A1898, 0))="")=TRUE),  "",  INDEX(RulebookFields!C2:C1898, MATCH(D1809,RulebookFields!A2:A1898, 0))), "")</f>
        <v>StepVerifications</v>
      </c>
      <c r="I1809" s="4" t="str">
        <f>_xlfn.IFNA(IF(((INDEX(RulebookFields!D2:D1898, MATCH(D1809,RulebookFields!A2:A1898, 0))="")=TRUE),  "",  INDEX(RulebookFields!D2:D1898, MATCH(D1809,RulebookFields!A2:A1898, 0))), "")</f>
        <v>ExpectedSignalValue</v>
      </c>
      <c r="J1809" s="4" t="b">
        <f>_xlfn.IFNA(IF(((INDEX(RulebookFields!I2:I1898, MATCH(D1809,RulebookFields!A2:A1898, 0))="")=TRUE),  "",  INDEX(RulebookFields!I2:I1898, MATCH(D1809,RulebookFields!A2:A1898, 0))), "")</f>
        <v>0</v>
      </c>
      <c r="K1809" s="4" t="b">
        <f>AND(((F1809)=TRUE), ((J1809)=TRUE))</f>
        <v>0</v>
      </c>
      <c r="L1809" s="4" t="b">
        <f>AND(((G1809 &lt;&gt; "plain")=TRUE), ((G1809 &lt;&gt; "")=TRUE))</f>
        <v>0</v>
      </c>
      <c r="M1809" s="4" t="str">
        <f>IF(((E1809)=TRUE),  C1809 &amp; "|" &amp; H1809,  "")</f>
        <v>principal-process-steward|StepVerifications</v>
      </c>
      <c r="N1809" s="3" t="s">
        <v>10004</v>
      </c>
    </row>
    <row r="1810">
      <c r="A1810" s="3" t="s">
        <v>11812</v>
      </c>
      <c r="B1810" s="4" t="str">
        <f>C1810 &amp; " -&gt; " &amp; D1810</f>
        <v>principal-process-steward -&gt; StepVerifications.Instruction</v>
      </c>
      <c r="C1810" s="3" t="s">
        <v>9772</v>
      </c>
      <c r="D1810" s="3" t="s">
        <v>3148</v>
      </c>
      <c r="E1810" s="3" t="b">
        <v>1</v>
      </c>
      <c r="F1810" s="3" t="b">
        <v>0</v>
      </c>
      <c r="G1810" s="3" t="s">
        <v>10003</v>
      </c>
      <c r="H1810" s="4" t="str">
        <f>_xlfn.IFNA(IF(((INDEX(RulebookFields!C2:C1898, MATCH(D1810,RulebookFields!A2:A1898, 0))="")=TRUE),  "",  INDEX(RulebookFields!C2:C1898, MATCH(D1810,RulebookFields!A2:A1898, 0))), "")</f>
        <v>StepVerifications</v>
      </c>
      <c r="I1810" s="4" t="str">
        <f>_xlfn.IFNA(IF(((INDEX(RulebookFields!D2:D1898, MATCH(D1810,RulebookFields!A2:A1898, 0))="")=TRUE),  "",  INDEX(RulebookFields!D2:D1898, MATCH(D1810,RulebookFields!A2:A1898, 0))), "")</f>
        <v>Instruction</v>
      </c>
      <c r="J1810" s="4" t="b">
        <f>_xlfn.IFNA(IF(((INDEX(RulebookFields!I2:I1898, MATCH(D1810,RulebookFields!A2:A1898, 0))="")=TRUE),  "",  INDEX(RulebookFields!I2:I1898, MATCH(D1810,RulebookFields!A2:A1898, 0))), "")</f>
        <v>0</v>
      </c>
      <c r="K1810" s="4" t="b">
        <f>AND(((F1810)=TRUE), ((J1810)=TRUE))</f>
        <v>0</v>
      </c>
      <c r="L1810" s="4" t="b">
        <f>AND(((G1810 &lt;&gt; "plain")=TRUE), ((G1810 &lt;&gt; "")=TRUE))</f>
        <v>0</v>
      </c>
      <c r="M1810" s="4" t="str">
        <f>IF(((E1810)=TRUE),  C1810 &amp; "|" &amp; H1810,  "")</f>
        <v>principal-process-steward|StepVerifications</v>
      </c>
      <c r="N1810" s="3" t="s">
        <v>10004</v>
      </c>
    </row>
    <row r="1811">
      <c r="A1811" s="3" t="s">
        <v>11813</v>
      </c>
      <c r="B1811" s="4" t="str">
        <f>C1811 &amp; " -&gt; " &amp; D1811</f>
        <v>principal-process-steward -&gt; StepVerifications.SemanticTypeIri</v>
      </c>
      <c r="C1811" s="3" t="s">
        <v>9772</v>
      </c>
      <c r="D1811" s="3" t="s">
        <v>3149</v>
      </c>
      <c r="E1811" s="3" t="b">
        <v>1</v>
      </c>
      <c r="F1811" s="3" t="b">
        <v>0</v>
      </c>
      <c r="G1811" s="3" t="s">
        <v>10003</v>
      </c>
      <c r="H1811" s="4" t="str">
        <f>_xlfn.IFNA(IF(((INDEX(RulebookFields!C2:C1898, MATCH(D1811,RulebookFields!A2:A1898, 0))="")=TRUE),  "",  INDEX(RulebookFields!C2:C1898, MATCH(D1811,RulebookFields!A2:A1898, 0))), "")</f>
        <v>StepVerifications</v>
      </c>
      <c r="I1811" s="4" t="str">
        <f>_xlfn.IFNA(IF(((INDEX(RulebookFields!D2:D1898, MATCH(D1811,RulebookFields!A2:A1898, 0))="")=TRUE),  "",  INDEX(RulebookFields!D2:D1898, MATCH(D1811,RulebookFields!A2:A1898, 0))), "")</f>
        <v>SemanticTypeIri</v>
      </c>
      <c r="J1811" s="4" t="b">
        <f>_xlfn.IFNA(IF(((INDEX(RulebookFields!I2:I1898, MATCH(D1811,RulebookFields!A2:A1898, 0))="")=TRUE),  "",  INDEX(RulebookFields!I2:I1898, MATCH(D1811,RulebookFields!A2:A1898, 0))), "")</f>
        <v>0</v>
      </c>
      <c r="K1811" s="4" t="b">
        <f>AND(((F1811)=TRUE), ((J1811)=TRUE))</f>
        <v>0</v>
      </c>
      <c r="L1811" s="4" t="b">
        <f>AND(((G1811 &lt;&gt; "plain")=TRUE), ((G1811 &lt;&gt; "")=TRUE))</f>
        <v>0</v>
      </c>
      <c r="M1811" s="4" t="str">
        <f>IF(((E1811)=TRUE),  C1811 &amp; "|" &amp; H1811,  "")</f>
        <v>principal-process-steward|StepVerifications</v>
      </c>
      <c r="N1811" s="3" t="s">
        <v>10004</v>
      </c>
    </row>
    <row r="1812">
      <c r="A1812" s="3" t="s">
        <v>11814</v>
      </c>
      <c r="B1812" s="4" t="str">
        <f>C1812 &amp; " -&gt; " &amp; D1812</f>
        <v>principal-process-steward -&gt; Steps.StepId</v>
      </c>
      <c r="C1812" s="3" t="s">
        <v>9772</v>
      </c>
      <c r="D1812" s="3" t="s">
        <v>2870</v>
      </c>
      <c r="E1812" s="3" t="b">
        <v>1</v>
      </c>
      <c r="F1812" s="3" t="b">
        <v>0</v>
      </c>
      <c r="G1812" s="3" t="s">
        <v>10003</v>
      </c>
      <c r="H1812" s="4" t="str">
        <f>_xlfn.IFNA(IF(((INDEX(RulebookFields!C2:C1898, MATCH(D1812,RulebookFields!A2:A1898, 0))="")=TRUE),  "",  INDEX(RulebookFields!C2:C1898, MATCH(D1812,RulebookFields!A2:A1898, 0))), "")</f>
        <v>Steps</v>
      </c>
      <c r="I1812" s="4" t="str">
        <f>_xlfn.IFNA(IF(((INDEX(RulebookFields!D2:D1898, MATCH(D1812,RulebookFields!A2:A1898, 0))="")=TRUE),  "",  INDEX(RulebookFields!D2:D1898, MATCH(D1812,RulebookFields!A2:A1898, 0))), "")</f>
        <v>StepId</v>
      </c>
      <c r="J1812" s="4" t="b">
        <f>_xlfn.IFNA(IF(((INDEX(RulebookFields!I2:I1898, MATCH(D1812,RulebookFields!A2:A1898, 0))="")=TRUE),  "",  INDEX(RulebookFields!I2:I1898, MATCH(D1812,RulebookFields!A2:A1898, 0))), "")</f>
        <v>0</v>
      </c>
      <c r="K1812" s="4" t="b">
        <f>AND(((F1812)=TRUE), ((J1812)=TRUE))</f>
        <v>0</v>
      </c>
      <c r="L1812" s="4" t="b">
        <f>AND(((G1812 &lt;&gt; "plain")=TRUE), ((G1812 &lt;&gt; "")=TRUE))</f>
        <v>0</v>
      </c>
      <c r="M1812" s="4" t="str">
        <f>IF(((E1812)=TRUE),  C1812 &amp; "|" &amp; H1812,  "")</f>
        <v>principal-process-steward|Steps</v>
      </c>
      <c r="N1812" s="3" t="s">
        <v>10004</v>
      </c>
    </row>
    <row r="1813">
      <c r="A1813" s="3" t="s">
        <v>11815</v>
      </c>
      <c r="B1813" s="4" t="str">
        <f>C1813 &amp; " -&gt; " &amp; D1813</f>
        <v>principal-process-steward -&gt; Steps.Name</v>
      </c>
      <c r="C1813" s="3" t="s">
        <v>9772</v>
      </c>
      <c r="D1813" s="3" t="s">
        <v>2871</v>
      </c>
      <c r="E1813" s="3" t="b">
        <v>1</v>
      </c>
      <c r="F1813" s="3" t="b">
        <v>0</v>
      </c>
      <c r="G1813" s="3" t="s">
        <v>10003</v>
      </c>
      <c r="H1813" s="4" t="str">
        <f>_xlfn.IFNA(IF(((INDEX(RulebookFields!C2:C1898, MATCH(D1813,RulebookFields!A2:A1898, 0))="")=TRUE),  "",  INDEX(RulebookFields!C2:C1898, MATCH(D1813,RulebookFields!A2:A1898, 0))), "")</f>
        <v>Steps</v>
      </c>
      <c r="I1813" s="4" t="str">
        <f>_xlfn.IFNA(IF(((INDEX(RulebookFields!D2:D1898, MATCH(D1813,RulebookFields!A2:A1898, 0))="")=TRUE),  "",  INDEX(RulebookFields!D2:D1898, MATCH(D1813,RulebookFields!A2:A1898, 0))), "")</f>
        <v>Name</v>
      </c>
      <c r="J1813" s="4" t="b">
        <f>_xlfn.IFNA(IF(((INDEX(RulebookFields!I2:I1898, MATCH(D1813,RulebookFields!A2:A1898, 0))="")=TRUE),  "",  INDEX(RulebookFields!I2:I1898, MATCH(D1813,RulebookFields!A2:A1898, 0))), "")</f>
        <v>1</v>
      </c>
      <c r="K1813" s="4" t="b">
        <f>AND(((F1813)=TRUE), ((J1813)=TRUE))</f>
        <v>0</v>
      </c>
      <c r="L1813" s="4" t="b">
        <f>AND(((G1813 &lt;&gt; "plain")=TRUE), ((G1813 &lt;&gt; "")=TRUE))</f>
        <v>0</v>
      </c>
      <c r="M1813" s="4" t="str">
        <f>IF(((E1813)=TRUE),  C1813 &amp; "|" &amp; H1813,  "")</f>
        <v>principal-process-steward|Steps</v>
      </c>
      <c r="N1813" s="3" t="s">
        <v>10004</v>
      </c>
    </row>
    <row r="1814">
      <c r="A1814" s="3" t="s">
        <v>11816</v>
      </c>
      <c r="B1814" s="4" t="str">
        <f>C1814 &amp; " -&gt; " &amp; D1814</f>
        <v>principal-process-steward -&gt; Steps.ProcedureVersion</v>
      </c>
      <c r="C1814" s="3" t="s">
        <v>9772</v>
      </c>
      <c r="D1814" s="3" t="s">
        <v>2873</v>
      </c>
      <c r="E1814" s="3" t="b">
        <v>1</v>
      </c>
      <c r="F1814" s="3" t="b">
        <v>0</v>
      </c>
      <c r="G1814" s="3" t="s">
        <v>10003</v>
      </c>
      <c r="H1814" s="4" t="str">
        <f>_xlfn.IFNA(IF(((INDEX(RulebookFields!C2:C1898, MATCH(D1814,RulebookFields!A2:A1898, 0))="")=TRUE),  "",  INDEX(RulebookFields!C2:C1898, MATCH(D1814,RulebookFields!A2:A1898, 0))), "")</f>
        <v>Steps</v>
      </c>
      <c r="I1814" s="4" t="str">
        <f>_xlfn.IFNA(IF(((INDEX(RulebookFields!D2:D1898, MATCH(D1814,RulebookFields!A2:A1898, 0))="")=TRUE),  "",  INDEX(RulebookFields!D2:D1898, MATCH(D1814,RulebookFields!A2:A1898, 0))), "")</f>
        <v>ProcedureVersion</v>
      </c>
      <c r="J1814" s="4" t="b">
        <f>_xlfn.IFNA(IF(((INDEX(RulebookFields!I2:I1898, MATCH(D1814,RulebookFields!A2:A1898, 0))="")=TRUE),  "",  INDEX(RulebookFields!I2:I1898, MATCH(D1814,RulebookFields!A2:A1898, 0))), "")</f>
        <v>0</v>
      </c>
      <c r="K1814" s="4" t="b">
        <f>AND(((F1814)=TRUE), ((J1814)=TRUE))</f>
        <v>0</v>
      </c>
      <c r="L1814" s="4" t="b">
        <f>AND(((G1814 &lt;&gt; "plain")=TRUE), ((G1814 &lt;&gt; "")=TRUE))</f>
        <v>0</v>
      </c>
      <c r="M1814" s="4" t="str">
        <f>IF(((E1814)=TRUE),  C1814 &amp; "|" &amp; H1814,  "")</f>
        <v>principal-process-steward|Steps</v>
      </c>
      <c r="N1814" s="3" t="s">
        <v>10004</v>
      </c>
    </row>
    <row r="1815">
      <c r="A1815" s="3" t="s">
        <v>11817</v>
      </c>
      <c r="B1815" s="4" t="str">
        <f>C1815 &amp; " -&gt; " &amp; D1815</f>
        <v>principal-process-steward -&gt; Steps.StepNumber</v>
      </c>
      <c r="C1815" s="3" t="s">
        <v>9772</v>
      </c>
      <c r="D1815" s="3" t="s">
        <v>2874</v>
      </c>
      <c r="E1815" s="3" t="b">
        <v>1</v>
      </c>
      <c r="F1815" s="3" t="b">
        <v>0</v>
      </c>
      <c r="G1815" s="3" t="s">
        <v>10003</v>
      </c>
      <c r="H1815" s="4" t="str">
        <f>_xlfn.IFNA(IF(((INDEX(RulebookFields!C2:C1898, MATCH(D1815,RulebookFields!A2:A1898, 0))="")=TRUE),  "",  INDEX(RulebookFields!C2:C1898, MATCH(D1815,RulebookFields!A2:A1898, 0))), "")</f>
        <v>Steps</v>
      </c>
      <c r="I1815" s="4" t="str">
        <f>_xlfn.IFNA(IF(((INDEX(RulebookFields!D2:D1898, MATCH(D1815,RulebookFields!A2:A1898, 0))="")=TRUE),  "",  INDEX(RulebookFields!D2:D1898, MATCH(D1815,RulebookFields!A2:A1898, 0))), "")</f>
        <v>StepNumber</v>
      </c>
      <c r="J1815" s="4" t="b">
        <f>_xlfn.IFNA(IF(((INDEX(RulebookFields!I2:I1898, MATCH(D1815,RulebookFields!A2:A1898, 0))="")=TRUE),  "",  INDEX(RulebookFields!I2:I1898, MATCH(D1815,RulebookFields!A2:A1898, 0))), "")</f>
        <v>0</v>
      </c>
      <c r="K1815" s="4" t="b">
        <f>AND(((F1815)=TRUE), ((J1815)=TRUE))</f>
        <v>0</v>
      </c>
      <c r="L1815" s="4" t="b">
        <f>AND(((G1815 &lt;&gt; "plain")=TRUE), ((G1815 &lt;&gt; "")=TRUE))</f>
        <v>0</v>
      </c>
      <c r="M1815" s="4" t="str">
        <f>IF(((E1815)=TRUE),  C1815 &amp; "|" &amp; H1815,  "")</f>
        <v>principal-process-steward|Steps</v>
      </c>
      <c r="N1815" s="3" t="s">
        <v>10004</v>
      </c>
    </row>
    <row r="1816">
      <c r="A1816" s="3" t="s">
        <v>11818</v>
      </c>
      <c r="B1816" s="4" t="str">
        <f>C1816 &amp; " -&gt; " &amp; D1816</f>
        <v>principal-process-steward -&gt; Steps.Title</v>
      </c>
      <c r="C1816" s="3" t="s">
        <v>9772</v>
      </c>
      <c r="D1816" s="3" t="s">
        <v>2875</v>
      </c>
      <c r="E1816" s="3" t="b">
        <v>1</v>
      </c>
      <c r="F1816" s="3" t="b">
        <v>0</v>
      </c>
      <c r="G1816" s="3" t="s">
        <v>10003</v>
      </c>
      <c r="H1816" s="4" t="str">
        <f>_xlfn.IFNA(IF(((INDEX(RulebookFields!C2:C1898, MATCH(D1816,RulebookFields!A2:A1898, 0))="")=TRUE),  "",  INDEX(RulebookFields!C2:C1898, MATCH(D1816,RulebookFields!A2:A1898, 0))), "")</f>
        <v>Steps</v>
      </c>
      <c r="I1816" s="4" t="str">
        <f>_xlfn.IFNA(IF(((INDEX(RulebookFields!D2:D1898, MATCH(D1816,RulebookFields!A2:A1898, 0))="")=TRUE),  "",  INDEX(RulebookFields!D2:D1898, MATCH(D1816,RulebookFields!A2:A1898, 0))), "")</f>
        <v>Title</v>
      </c>
      <c r="J1816" s="4" t="b">
        <f>_xlfn.IFNA(IF(((INDEX(RulebookFields!I2:I1898, MATCH(D1816,RulebookFields!A2:A1898, 0))="")=TRUE),  "",  INDEX(RulebookFields!I2:I1898, MATCH(D1816,RulebookFields!A2:A1898, 0))), "")</f>
        <v>0</v>
      </c>
      <c r="K1816" s="4" t="b">
        <f>AND(((F1816)=TRUE), ((J1816)=TRUE))</f>
        <v>0</v>
      </c>
      <c r="L1816" s="4" t="b">
        <f>AND(((G1816 &lt;&gt; "plain")=TRUE), ((G1816 &lt;&gt; "")=TRUE))</f>
        <v>0</v>
      </c>
      <c r="M1816" s="4" t="str">
        <f>IF(((E1816)=TRUE),  C1816 &amp; "|" &amp; H1816,  "")</f>
        <v>principal-process-steward|Steps</v>
      </c>
      <c r="N1816" s="3" t="s">
        <v>10004</v>
      </c>
    </row>
    <row r="1817">
      <c r="A1817" s="3" t="s">
        <v>11819</v>
      </c>
      <c r="B1817" s="4" t="str">
        <f>C1817 &amp; " -&gt; " &amp; D1817</f>
        <v>principal-process-steward -&gt; Steps.StepKind</v>
      </c>
      <c r="C1817" s="3" t="s">
        <v>9772</v>
      </c>
      <c r="D1817" s="3" t="s">
        <v>2876</v>
      </c>
      <c r="E1817" s="3" t="b">
        <v>1</v>
      </c>
      <c r="F1817" s="3" t="b">
        <v>0</v>
      </c>
      <c r="G1817" s="3" t="s">
        <v>10003</v>
      </c>
      <c r="H1817" s="4" t="str">
        <f>_xlfn.IFNA(IF(((INDEX(RulebookFields!C2:C1898, MATCH(D1817,RulebookFields!A2:A1898, 0))="")=TRUE),  "",  INDEX(RulebookFields!C2:C1898, MATCH(D1817,RulebookFields!A2:A1898, 0))), "")</f>
        <v>Steps</v>
      </c>
      <c r="I1817" s="4" t="str">
        <f>_xlfn.IFNA(IF(((INDEX(RulebookFields!D2:D1898, MATCH(D1817,RulebookFields!A2:A1898, 0))="")=TRUE),  "",  INDEX(RulebookFields!D2:D1898, MATCH(D1817,RulebookFields!A2:A1898, 0))), "")</f>
        <v>StepKind</v>
      </c>
      <c r="J1817" s="4" t="b">
        <f>_xlfn.IFNA(IF(((INDEX(RulebookFields!I2:I1898, MATCH(D1817,RulebookFields!A2:A1898, 0))="")=TRUE),  "",  INDEX(RulebookFields!I2:I1898, MATCH(D1817,RulebookFields!A2:A1898, 0))), "")</f>
        <v>0</v>
      </c>
      <c r="K1817" s="4" t="b">
        <f>AND(((F1817)=TRUE), ((J1817)=TRUE))</f>
        <v>0</v>
      </c>
      <c r="L1817" s="4" t="b">
        <f>AND(((G1817 &lt;&gt; "plain")=TRUE), ((G1817 &lt;&gt; "")=TRUE))</f>
        <v>0</v>
      </c>
      <c r="M1817" s="4" t="str">
        <f>IF(((E1817)=TRUE),  C1817 &amp; "|" &amp; H1817,  "")</f>
        <v>principal-process-steward|Steps</v>
      </c>
      <c r="N1817" s="3" t="s">
        <v>10004</v>
      </c>
    </row>
    <row r="1818">
      <c r="A1818" s="3" t="s">
        <v>11820</v>
      </c>
      <c r="B1818" s="4" t="str">
        <f>C1818 &amp; " -&gt; " &amp; D1818</f>
        <v>principal-process-steward -&gt; Steps.AssignedRole</v>
      </c>
      <c r="C1818" s="3" t="s">
        <v>9772</v>
      </c>
      <c r="D1818" s="3" t="s">
        <v>2877</v>
      </c>
      <c r="E1818" s="3" t="b">
        <v>1</v>
      </c>
      <c r="F1818" s="3" t="b">
        <v>0</v>
      </c>
      <c r="G1818" s="3" t="s">
        <v>10003</v>
      </c>
      <c r="H1818" s="4" t="str">
        <f>_xlfn.IFNA(IF(((INDEX(RulebookFields!C2:C1898, MATCH(D1818,RulebookFields!A2:A1898, 0))="")=TRUE),  "",  INDEX(RulebookFields!C2:C1898, MATCH(D1818,RulebookFields!A2:A1898, 0))), "")</f>
        <v>Steps</v>
      </c>
      <c r="I1818" s="4" t="str">
        <f>_xlfn.IFNA(IF(((INDEX(RulebookFields!D2:D1898, MATCH(D1818,RulebookFields!A2:A1898, 0))="")=TRUE),  "",  INDEX(RulebookFields!D2:D1898, MATCH(D1818,RulebookFields!A2:A1898, 0))), "")</f>
        <v>AssignedRole</v>
      </c>
      <c r="J1818" s="4" t="b">
        <f>_xlfn.IFNA(IF(((INDEX(RulebookFields!I2:I1898, MATCH(D1818,RulebookFields!A2:A1898, 0))="")=TRUE),  "",  INDEX(RulebookFields!I2:I1898, MATCH(D1818,RulebookFields!A2:A1898, 0))), "")</f>
        <v>0</v>
      </c>
      <c r="K1818" s="4" t="b">
        <f>AND(((F1818)=TRUE), ((J1818)=TRUE))</f>
        <v>0</v>
      </c>
      <c r="L1818" s="4" t="b">
        <f>AND(((G1818 &lt;&gt; "plain")=TRUE), ((G1818 &lt;&gt; "")=TRUE))</f>
        <v>0</v>
      </c>
      <c r="M1818" s="4" t="str">
        <f>IF(((E1818)=TRUE),  C1818 &amp; "|" &amp; H1818,  "")</f>
        <v>principal-process-steward|Steps</v>
      </c>
      <c r="N1818" s="3" t="s">
        <v>10004</v>
      </c>
    </row>
    <row r="1819">
      <c r="A1819" s="3" t="s">
        <v>11821</v>
      </c>
      <c r="B1819" s="4" t="str">
        <f>C1819 &amp; " -&gt; " &amp; D1819</f>
        <v>principal-process-steward -&gt; Steps.AssignedRoleLabel</v>
      </c>
      <c r="C1819" s="3" t="s">
        <v>9772</v>
      </c>
      <c r="D1819" s="3" t="s">
        <v>2878</v>
      </c>
      <c r="E1819" s="3" t="b">
        <v>1</v>
      </c>
      <c r="F1819" s="3" t="b">
        <v>0</v>
      </c>
      <c r="G1819" s="3" t="s">
        <v>10003</v>
      </c>
      <c r="H1819" s="4" t="str">
        <f>_xlfn.IFNA(IF(((INDEX(RulebookFields!C2:C1898, MATCH(D1819,RulebookFields!A2:A1898, 0))="")=TRUE),  "",  INDEX(RulebookFields!C2:C1898, MATCH(D1819,RulebookFields!A2:A1898, 0))), "")</f>
        <v>Steps</v>
      </c>
      <c r="I1819" s="4" t="str">
        <f>_xlfn.IFNA(IF(((INDEX(RulebookFields!D2:D1898, MATCH(D1819,RulebookFields!A2:A1898, 0))="")=TRUE),  "",  INDEX(RulebookFields!D2:D1898, MATCH(D1819,RulebookFields!A2:A1898, 0))), "")</f>
        <v>AssignedRoleLabel</v>
      </c>
      <c r="J1819" s="4" t="b">
        <f>_xlfn.IFNA(IF(((INDEX(RulebookFields!I2:I1898, MATCH(D1819,RulebookFields!A2:A1898, 0))="")=TRUE),  "",  INDEX(RulebookFields!I2:I1898, MATCH(D1819,RulebookFields!A2:A1898, 0))), "")</f>
        <v>1</v>
      </c>
      <c r="K1819" s="4" t="b">
        <f>AND(((F1819)=TRUE), ((J1819)=TRUE))</f>
        <v>0</v>
      </c>
      <c r="L1819" s="4" t="b">
        <f>AND(((G1819 &lt;&gt; "plain")=TRUE), ((G1819 &lt;&gt; "")=TRUE))</f>
        <v>0</v>
      </c>
      <c r="M1819" s="4" t="str">
        <f>IF(((E1819)=TRUE),  C1819 &amp; "|" &amp; H1819,  "")</f>
        <v>principal-process-steward|Steps</v>
      </c>
      <c r="N1819" s="3" t="s">
        <v>10004</v>
      </c>
    </row>
    <row r="1820">
      <c r="A1820" s="3" t="s">
        <v>11822</v>
      </c>
      <c r="B1820" s="4" t="str">
        <f>C1820 &amp; " -&gt; " &amp; D1820</f>
        <v>principal-process-steward -&gt; Steps.AssignedAgentKind</v>
      </c>
      <c r="C1820" s="3" t="s">
        <v>9772</v>
      </c>
      <c r="D1820" s="3" t="s">
        <v>2880</v>
      </c>
      <c r="E1820" s="3" t="b">
        <v>1</v>
      </c>
      <c r="F1820" s="3" t="b">
        <v>0</v>
      </c>
      <c r="G1820" s="3" t="s">
        <v>10003</v>
      </c>
      <c r="H1820" s="4" t="str">
        <f>_xlfn.IFNA(IF(((INDEX(RulebookFields!C2:C1898, MATCH(D1820,RulebookFields!A2:A1898, 0))="")=TRUE),  "",  INDEX(RulebookFields!C2:C1898, MATCH(D1820,RulebookFields!A2:A1898, 0))), "")</f>
        <v>Steps</v>
      </c>
      <c r="I1820" s="4" t="str">
        <f>_xlfn.IFNA(IF(((INDEX(RulebookFields!D2:D1898, MATCH(D1820,RulebookFields!A2:A1898, 0))="")=TRUE),  "",  INDEX(RulebookFields!D2:D1898, MATCH(D1820,RulebookFields!A2:A1898, 0))), "")</f>
        <v>AssignedAgentKind</v>
      </c>
      <c r="J1820" s="4" t="b">
        <f>_xlfn.IFNA(IF(((INDEX(RulebookFields!I2:I1898, MATCH(D1820,RulebookFields!A2:A1898, 0))="")=TRUE),  "",  INDEX(RulebookFields!I2:I1898, MATCH(D1820,RulebookFields!A2:A1898, 0))), "")</f>
        <v>1</v>
      </c>
      <c r="K1820" s="4" t="b">
        <f>AND(((F1820)=TRUE), ((J1820)=TRUE))</f>
        <v>0</v>
      </c>
      <c r="L1820" s="4" t="b">
        <f>AND(((G1820 &lt;&gt; "plain")=TRUE), ((G1820 &lt;&gt; "")=TRUE))</f>
        <v>0</v>
      </c>
      <c r="M1820" s="4" t="str">
        <f>IF(((E1820)=TRUE),  C1820 &amp; "|" &amp; H1820,  "")</f>
        <v>principal-process-steward|Steps</v>
      </c>
      <c r="N1820" s="3" t="s">
        <v>10004</v>
      </c>
    </row>
    <row r="1821">
      <c r="A1821" s="3" t="s">
        <v>11823</v>
      </c>
      <c r="B1821" s="4" t="str">
        <f>C1821 &amp; " -&gt; " &amp; D1821</f>
        <v>principal-process-steward -&gt; Steps.Instruction</v>
      </c>
      <c r="C1821" s="3" t="s">
        <v>9772</v>
      </c>
      <c r="D1821" s="3" t="s">
        <v>2882</v>
      </c>
      <c r="E1821" s="3" t="b">
        <v>1</v>
      </c>
      <c r="F1821" s="3" t="b">
        <v>0</v>
      </c>
      <c r="G1821" s="3" t="s">
        <v>10003</v>
      </c>
      <c r="H1821" s="4" t="str">
        <f>_xlfn.IFNA(IF(((INDEX(RulebookFields!C2:C1898, MATCH(D1821,RulebookFields!A2:A1898, 0))="")=TRUE),  "",  INDEX(RulebookFields!C2:C1898, MATCH(D1821,RulebookFields!A2:A1898, 0))), "")</f>
        <v>Steps</v>
      </c>
      <c r="I1821" s="4" t="str">
        <f>_xlfn.IFNA(IF(((INDEX(RulebookFields!D2:D1898, MATCH(D1821,RulebookFields!A2:A1898, 0))="")=TRUE),  "",  INDEX(RulebookFields!D2:D1898, MATCH(D1821,RulebookFields!A2:A1898, 0))), "")</f>
        <v>Instruction</v>
      </c>
      <c r="J1821" s="4" t="b">
        <f>_xlfn.IFNA(IF(((INDEX(RulebookFields!I2:I1898, MATCH(D1821,RulebookFields!A2:A1898, 0))="")=TRUE),  "",  INDEX(RulebookFields!I2:I1898, MATCH(D1821,RulebookFields!A2:A1898, 0))), "")</f>
        <v>0</v>
      </c>
      <c r="K1821" s="4" t="b">
        <f>AND(((F1821)=TRUE), ((J1821)=TRUE))</f>
        <v>0</v>
      </c>
      <c r="L1821" s="4" t="b">
        <f>AND(((G1821 &lt;&gt; "plain")=TRUE), ((G1821 &lt;&gt; "")=TRUE))</f>
        <v>0</v>
      </c>
      <c r="M1821" s="4" t="str">
        <f>IF(((E1821)=TRUE),  C1821 &amp; "|" &amp; H1821,  "")</f>
        <v>principal-process-steward|Steps</v>
      </c>
      <c r="N1821" s="3" t="s">
        <v>10004</v>
      </c>
    </row>
    <row r="1822">
      <c r="A1822" s="3" t="s">
        <v>11824</v>
      </c>
      <c r="B1822" s="4" t="str">
        <f>C1822 &amp; " -&gt; " &amp; D1822</f>
        <v>principal-process-steward -&gt; Steps.ExpectedDurationMinutes</v>
      </c>
      <c r="C1822" s="3" t="s">
        <v>9772</v>
      </c>
      <c r="D1822" s="3" t="s">
        <v>2883</v>
      </c>
      <c r="E1822" s="3" t="b">
        <v>1</v>
      </c>
      <c r="F1822" s="3" t="b">
        <v>0</v>
      </c>
      <c r="G1822" s="3" t="s">
        <v>10003</v>
      </c>
      <c r="H1822" s="4" t="str">
        <f>_xlfn.IFNA(IF(((INDEX(RulebookFields!C2:C1898, MATCH(D1822,RulebookFields!A2:A1898, 0))="")=TRUE),  "",  INDEX(RulebookFields!C2:C1898, MATCH(D1822,RulebookFields!A2:A1898, 0))), "")</f>
        <v>Steps</v>
      </c>
      <c r="I1822" s="4" t="str">
        <f>_xlfn.IFNA(IF(((INDEX(RulebookFields!D2:D1898, MATCH(D1822,RulebookFields!A2:A1898, 0))="")=TRUE),  "",  INDEX(RulebookFields!D2:D1898, MATCH(D1822,RulebookFields!A2:A1898, 0))), "")</f>
        <v>ExpectedDurationMinutes</v>
      </c>
      <c r="J1822" s="4" t="b">
        <f>_xlfn.IFNA(IF(((INDEX(RulebookFields!I2:I1898, MATCH(D1822,RulebookFields!A2:A1898, 0))="")=TRUE),  "",  INDEX(RulebookFields!I2:I1898, MATCH(D1822,RulebookFields!A2:A1898, 0))), "")</f>
        <v>0</v>
      </c>
      <c r="K1822" s="4" t="b">
        <f>AND(((F1822)=TRUE), ((J1822)=TRUE))</f>
        <v>0</v>
      </c>
      <c r="L1822" s="4" t="b">
        <f>AND(((G1822 &lt;&gt; "plain")=TRUE), ((G1822 &lt;&gt; "")=TRUE))</f>
        <v>0</v>
      </c>
      <c r="M1822" s="4" t="str">
        <f>IF(((E1822)=TRUE),  C1822 &amp; "|" &amp; H1822,  "")</f>
        <v>principal-process-steward|Steps</v>
      </c>
      <c r="N1822" s="3" t="s">
        <v>10004</v>
      </c>
    </row>
    <row r="1823">
      <c r="A1823" s="3" t="s">
        <v>11825</v>
      </c>
      <c r="B1823" s="4" t="str">
        <f>C1823 &amp; " -&gt; " &amp; D1823</f>
        <v>principal-process-steward -&gt; Steps.ExpertiseLevel</v>
      </c>
      <c r="C1823" s="3" t="s">
        <v>9772</v>
      </c>
      <c r="D1823" s="3" t="s">
        <v>2884</v>
      </c>
      <c r="E1823" s="3" t="b">
        <v>1</v>
      </c>
      <c r="F1823" s="3" t="b">
        <v>0</v>
      </c>
      <c r="G1823" s="3" t="s">
        <v>10003</v>
      </c>
      <c r="H1823" s="4" t="str">
        <f>_xlfn.IFNA(IF(((INDEX(RulebookFields!C2:C1898, MATCH(D1823,RulebookFields!A2:A1898, 0))="")=TRUE),  "",  INDEX(RulebookFields!C2:C1898, MATCH(D1823,RulebookFields!A2:A1898, 0))), "")</f>
        <v>Steps</v>
      </c>
      <c r="I1823" s="4" t="str">
        <f>_xlfn.IFNA(IF(((INDEX(RulebookFields!D2:D1898, MATCH(D1823,RulebookFields!A2:A1898, 0))="")=TRUE),  "",  INDEX(RulebookFields!D2:D1898, MATCH(D1823,RulebookFields!A2:A1898, 0))), "")</f>
        <v>ExpertiseLevel</v>
      </c>
      <c r="J1823" s="4" t="b">
        <f>_xlfn.IFNA(IF(((INDEX(RulebookFields!I2:I1898, MATCH(D1823,RulebookFields!A2:A1898, 0))="")=TRUE),  "",  INDEX(RulebookFields!I2:I1898, MATCH(D1823,RulebookFields!A2:A1898, 0))), "")</f>
        <v>0</v>
      </c>
      <c r="K1823" s="4" t="b">
        <f>AND(((F1823)=TRUE), ((J1823)=TRUE))</f>
        <v>0</v>
      </c>
      <c r="L1823" s="4" t="b">
        <f>AND(((G1823 &lt;&gt; "plain")=TRUE), ((G1823 &lt;&gt; "")=TRUE))</f>
        <v>0</v>
      </c>
      <c r="M1823" s="4" t="str">
        <f>IF(((E1823)=TRUE),  C1823 &amp; "|" &amp; H1823,  "")</f>
        <v>principal-process-steward|Steps</v>
      </c>
      <c r="N1823" s="3" t="s">
        <v>10004</v>
      </c>
    </row>
    <row r="1824">
      <c r="A1824" s="3" t="s">
        <v>11826</v>
      </c>
      <c r="B1824" s="4" t="str">
        <f>C1824 &amp; " -&gt; " &amp; D1824</f>
        <v>principal-process-steward -&gt; Steps.RequiresHumanConfirmation</v>
      </c>
      <c r="C1824" s="3" t="s">
        <v>9772</v>
      </c>
      <c r="D1824" s="3" t="s">
        <v>2885</v>
      </c>
      <c r="E1824" s="3" t="b">
        <v>1</v>
      </c>
      <c r="F1824" s="3" t="b">
        <v>0</v>
      </c>
      <c r="G1824" s="3" t="s">
        <v>10003</v>
      </c>
      <c r="H1824" s="4" t="str">
        <f>_xlfn.IFNA(IF(((INDEX(RulebookFields!C2:C1898, MATCH(D1824,RulebookFields!A2:A1898, 0))="")=TRUE),  "",  INDEX(RulebookFields!C2:C1898, MATCH(D1824,RulebookFields!A2:A1898, 0))), "")</f>
        <v>Steps</v>
      </c>
      <c r="I1824" s="4" t="str">
        <f>_xlfn.IFNA(IF(((INDEX(RulebookFields!D2:D1898, MATCH(D1824,RulebookFields!A2:A1898, 0))="")=TRUE),  "",  INDEX(RulebookFields!D2:D1898, MATCH(D1824,RulebookFields!A2:A1898, 0))), "")</f>
        <v>RequiresHumanConfirmation</v>
      </c>
      <c r="J1824" s="4" t="b">
        <f>_xlfn.IFNA(IF(((INDEX(RulebookFields!I2:I1898, MATCH(D1824,RulebookFields!A2:A1898, 0))="")=TRUE),  "",  INDEX(RulebookFields!I2:I1898, MATCH(D1824,RulebookFields!A2:A1898, 0))), "")</f>
        <v>0</v>
      </c>
      <c r="K1824" s="4" t="b">
        <f>AND(((F1824)=TRUE), ((J1824)=TRUE))</f>
        <v>0</v>
      </c>
      <c r="L1824" s="4" t="b">
        <f>AND(((G1824 &lt;&gt; "plain")=TRUE), ((G1824 &lt;&gt; "")=TRUE))</f>
        <v>0</v>
      </c>
      <c r="M1824" s="4" t="str">
        <f>IF(((E1824)=TRUE),  C1824 &amp; "|" &amp; H1824,  "")</f>
        <v>principal-process-steward|Steps</v>
      </c>
      <c r="N1824" s="3" t="s">
        <v>10004</v>
      </c>
    </row>
    <row r="1825">
      <c r="A1825" s="3" t="s">
        <v>11827</v>
      </c>
      <c r="B1825" s="4" t="str">
        <f>C1825 &amp; " -&gt; " &amp; D1825</f>
        <v>principal-process-steward -&gt; Steps.BlockingRequirementCount</v>
      </c>
      <c r="C1825" s="3" t="s">
        <v>9772</v>
      </c>
      <c r="D1825" s="3" t="s">
        <v>2886</v>
      </c>
      <c r="E1825" s="3" t="b">
        <v>1</v>
      </c>
      <c r="F1825" s="3" t="b">
        <v>0</v>
      </c>
      <c r="G1825" s="3" t="s">
        <v>10003</v>
      </c>
      <c r="H1825" s="4" t="str">
        <f>_xlfn.IFNA(IF(((INDEX(RulebookFields!C2:C1898, MATCH(D1825,RulebookFields!A2:A1898, 0))="")=TRUE),  "",  INDEX(RulebookFields!C2:C1898, MATCH(D1825,RulebookFields!A2:A1898, 0))), "")</f>
        <v>Steps</v>
      </c>
      <c r="I1825" s="4" t="str">
        <f>_xlfn.IFNA(IF(((INDEX(RulebookFields!D2:D1898, MATCH(D1825,RulebookFields!A2:A1898, 0))="")=TRUE),  "",  INDEX(RulebookFields!D2:D1898, MATCH(D1825,RulebookFields!A2:A1898, 0))), "")</f>
        <v>BlockingRequirementCount</v>
      </c>
      <c r="J1825" s="4" t="b">
        <f>_xlfn.IFNA(IF(((INDEX(RulebookFields!I2:I1898, MATCH(D1825,RulebookFields!A2:A1898, 0))="")=TRUE),  "",  INDEX(RulebookFields!I2:I1898, MATCH(D1825,RulebookFields!A2:A1898, 0))), "")</f>
        <v>1</v>
      </c>
      <c r="K1825" s="4" t="b">
        <f>AND(((F1825)=TRUE), ((J1825)=TRUE))</f>
        <v>0</v>
      </c>
      <c r="L1825" s="4" t="b">
        <f>AND(((G1825 &lt;&gt; "plain")=TRUE), ((G1825 &lt;&gt; "")=TRUE))</f>
        <v>0</v>
      </c>
      <c r="M1825" s="4" t="str">
        <f>IF(((E1825)=TRUE),  C1825 &amp; "|" &amp; H1825,  "")</f>
        <v>principal-process-steward|Steps</v>
      </c>
      <c r="N1825" s="3" t="s">
        <v>10004</v>
      </c>
    </row>
    <row r="1826">
      <c r="A1826" s="3" t="s">
        <v>11828</v>
      </c>
      <c r="B1826" s="4" t="str">
        <f>C1826 &amp; " -&gt; " &amp; D1826</f>
        <v>principal-process-steward -&gt; Steps.StaleBindingCount</v>
      </c>
      <c r="C1826" s="3" t="s">
        <v>9772</v>
      </c>
      <c r="D1826" s="3" t="s">
        <v>2888</v>
      </c>
      <c r="E1826" s="3" t="b">
        <v>1</v>
      </c>
      <c r="F1826" s="3" t="b">
        <v>0</v>
      </c>
      <c r="G1826" s="3" t="s">
        <v>10003</v>
      </c>
      <c r="H1826" s="4" t="str">
        <f>_xlfn.IFNA(IF(((INDEX(RulebookFields!C2:C1898, MATCH(D1826,RulebookFields!A2:A1898, 0))="")=TRUE),  "",  INDEX(RulebookFields!C2:C1898, MATCH(D1826,RulebookFields!A2:A1898, 0))), "")</f>
        <v>Steps</v>
      </c>
      <c r="I1826" s="4" t="str">
        <f>_xlfn.IFNA(IF(((INDEX(RulebookFields!D2:D1898, MATCH(D1826,RulebookFields!A2:A1898, 0))="")=TRUE),  "",  INDEX(RulebookFields!D2:D1898, MATCH(D1826,RulebookFields!A2:A1898, 0))), "")</f>
        <v>StaleBindingCount</v>
      </c>
      <c r="J1826" s="4" t="b">
        <f>_xlfn.IFNA(IF(((INDEX(RulebookFields!I2:I1898, MATCH(D1826,RulebookFields!A2:A1898, 0))="")=TRUE),  "",  INDEX(RulebookFields!I2:I1898, MATCH(D1826,RulebookFields!A2:A1898, 0))), "")</f>
        <v>1</v>
      </c>
      <c r="K1826" s="4" t="b">
        <f>AND(((F1826)=TRUE), ((J1826)=TRUE))</f>
        <v>0</v>
      </c>
      <c r="L1826" s="4" t="b">
        <f>AND(((G1826 &lt;&gt; "plain")=TRUE), ((G1826 &lt;&gt; "")=TRUE))</f>
        <v>0</v>
      </c>
      <c r="M1826" s="4" t="str">
        <f>IF(((E1826)=TRUE),  C1826 &amp; "|" &amp; H1826,  "")</f>
        <v>principal-process-steward|Steps</v>
      </c>
      <c r="N1826" s="3" t="s">
        <v>10004</v>
      </c>
    </row>
    <row r="1827">
      <c r="A1827" s="3" t="s">
        <v>11829</v>
      </c>
      <c r="B1827" s="4" t="str">
        <f>C1827 &amp; " -&gt; " &amp; D1827</f>
        <v>principal-process-steward -&gt; Steps.AuthoritativeStaleCount</v>
      </c>
      <c r="C1827" s="3" t="s">
        <v>9772</v>
      </c>
      <c r="D1827" s="3" t="s">
        <v>2890</v>
      </c>
      <c r="E1827" s="3" t="b">
        <v>1</v>
      </c>
      <c r="F1827" s="3" t="b">
        <v>0</v>
      </c>
      <c r="G1827" s="3" t="s">
        <v>10003</v>
      </c>
      <c r="H1827" s="4" t="str">
        <f>_xlfn.IFNA(IF(((INDEX(RulebookFields!C2:C1898, MATCH(D1827,RulebookFields!A2:A1898, 0))="")=TRUE),  "",  INDEX(RulebookFields!C2:C1898, MATCH(D1827,RulebookFields!A2:A1898, 0))), "")</f>
        <v>Steps</v>
      </c>
      <c r="I1827" s="4" t="str">
        <f>_xlfn.IFNA(IF(((INDEX(RulebookFields!D2:D1898, MATCH(D1827,RulebookFields!A2:A1898, 0))="")=TRUE),  "",  INDEX(RulebookFields!D2:D1898, MATCH(D1827,RulebookFields!A2:A1898, 0))), "")</f>
        <v>AuthoritativeStaleCount</v>
      </c>
      <c r="J1827" s="4" t="b">
        <f>_xlfn.IFNA(IF(((INDEX(RulebookFields!I2:I1898, MATCH(D1827,RulebookFields!A2:A1898, 0))="")=TRUE),  "",  INDEX(RulebookFields!I2:I1898, MATCH(D1827,RulebookFields!A2:A1898, 0))), "")</f>
        <v>1</v>
      </c>
      <c r="K1827" s="4" t="b">
        <f>AND(((F1827)=TRUE), ((J1827)=TRUE))</f>
        <v>0</v>
      </c>
      <c r="L1827" s="4" t="b">
        <f>AND(((G1827 &lt;&gt; "plain")=TRUE), ((G1827 &lt;&gt; "")=TRUE))</f>
        <v>0</v>
      </c>
      <c r="M1827" s="4" t="str">
        <f>IF(((E1827)=TRUE),  C1827 &amp; "|" &amp; H1827,  "")</f>
        <v>principal-process-steward|Steps</v>
      </c>
      <c r="N1827" s="3" t="s">
        <v>10004</v>
      </c>
    </row>
    <row r="1828">
      <c r="A1828" s="3" t="s">
        <v>11830</v>
      </c>
      <c r="B1828" s="4" t="str">
        <f>C1828 &amp; " -&gt; " &amp; D1828</f>
        <v>principal-process-steward -&gt; Steps.AvailableExceptionCount</v>
      </c>
      <c r="C1828" s="3" t="s">
        <v>9772</v>
      </c>
      <c r="D1828" s="3" t="s">
        <v>2892</v>
      </c>
      <c r="E1828" s="3" t="b">
        <v>1</v>
      </c>
      <c r="F1828" s="3" t="b">
        <v>0</v>
      </c>
      <c r="G1828" s="3" t="s">
        <v>10003</v>
      </c>
      <c r="H1828" s="4" t="str">
        <f>_xlfn.IFNA(IF(((INDEX(RulebookFields!C2:C1898, MATCH(D1828,RulebookFields!A2:A1898, 0))="")=TRUE),  "",  INDEX(RulebookFields!C2:C1898, MATCH(D1828,RulebookFields!A2:A1898, 0))), "")</f>
        <v>Steps</v>
      </c>
      <c r="I1828" s="4" t="str">
        <f>_xlfn.IFNA(IF(((INDEX(RulebookFields!D2:D1898, MATCH(D1828,RulebookFields!A2:A1898, 0))="")=TRUE),  "",  INDEX(RulebookFields!D2:D1898, MATCH(D1828,RulebookFields!A2:A1898, 0))), "")</f>
        <v>AvailableExceptionCount</v>
      </c>
      <c r="J1828" s="4" t="b">
        <f>_xlfn.IFNA(IF(((INDEX(RulebookFields!I2:I1898, MATCH(D1828,RulebookFields!A2:A1898, 0))="")=TRUE),  "",  INDEX(RulebookFields!I2:I1898, MATCH(D1828,RulebookFields!A2:A1898, 0))), "")</f>
        <v>1</v>
      </c>
      <c r="K1828" s="4" t="b">
        <f>AND(((F1828)=TRUE), ((J1828)=TRUE))</f>
        <v>0</v>
      </c>
      <c r="L1828" s="4" t="b">
        <f>AND(((G1828 &lt;&gt; "plain")=TRUE), ((G1828 &lt;&gt; "")=TRUE))</f>
        <v>0</v>
      </c>
      <c r="M1828" s="4" t="str">
        <f>IF(((E1828)=TRUE),  C1828 &amp; "|" &amp; H1828,  "")</f>
        <v>principal-process-steward|Steps</v>
      </c>
      <c r="N1828" s="3" t="s">
        <v>10004</v>
      </c>
    </row>
    <row r="1829">
      <c r="A1829" s="3" t="s">
        <v>11831</v>
      </c>
      <c r="B1829" s="4" t="str">
        <f>C1829 &amp; " -&gt; " &amp; D1829</f>
        <v>principal-process-steward -&gt; Steps.DeclaredVerificationCount</v>
      </c>
      <c r="C1829" s="3" t="s">
        <v>9772</v>
      </c>
      <c r="D1829" s="3" t="s">
        <v>2894</v>
      </c>
      <c r="E1829" s="3" t="b">
        <v>1</v>
      </c>
      <c r="F1829" s="3" t="b">
        <v>0</v>
      </c>
      <c r="G1829" s="3" t="s">
        <v>10003</v>
      </c>
      <c r="H1829" s="4" t="str">
        <f>_xlfn.IFNA(IF(((INDEX(RulebookFields!C2:C1898, MATCH(D1829,RulebookFields!A2:A1898, 0))="")=TRUE),  "",  INDEX(RulebookFields!C2:C1898, MATCH(D1829,RulebookFields!A2:A1898, 0))), "")</f>
        <v>Steps</v>
      </c>
      <c r="I1829" s="4" t="str">
        <f>_xlfn.IFNA(IF(((INDEX(RulebookFields!D2:D1898, MATCH(D1829,RulebookFields!A2:A1898, 0))="")=TRUE),  "",  INDEX(RulebookFields!D2:D1898, MATCH(D1829,RulebookFields!A2:A1898, 0))), "")</f>
        <v>DeclaredVerificationCount</v>
      </c>
      <c r="J1829" s="4" t="b">
        <f>_xlfn.IFNA(IF(((INDEX(RulebookFields!I2:I1898, MATCH(D1829,RulebookFields!A2:A1898, 0))="")=TRUE),  "",  INDEX(RulebookFields!I2:I1898, MATCH(D1829,RulebookFields!A2:A1898, 0))), "")</f>
        <v>1</v>
      </c>
      <c r="K1829" s="4" t="b">
        <f>AND(((F1829)=TRUE), ((J1829)=TRUE))</f>
        <v>0</v>
      </c>
      <c r="L1829" s="4" t="b">
        <f>AND(((G1829 &lt;&gt; "plain")=TRUE), ((G1829 &lt;&gt; "")=TRUE))</f>
        <v>0</v>
      </c>
      <c r="M1829" s="4" t="str">
        <f>IF(((E1829)=TRUE),  C1829 &amp; "|" &amp; H1829,  "")</f>
        <v>principal-process-steward|Steps</v>
      </c>
      <c r="N1829" s="3" t="s">
        <v>10004</v>
      </c>
    </row>
    <row r="1830">
      <c r="A1830" s="3" t="s">
        <v>11832</v>
      </c>
      <c r="B1830" s="4" t="str">
        <f>C1830 &amp; " -&gt; " &amp; D1830</f>
        <v>principal-process-steward -&gt; Steps.IsPreparationStep</v>
      </c>
      <c r="C1830" s="3" t="s">
        <v>9772</v>
      </c>
      <c r="D1830" s="3" t="s">
        <v>2896</v>
      </c>
      <c r="E1830" s="3" t="b">
        <v>1</v>
      </c>
      <c r="F1830" s="3" t="b">
        <v>0</v>
      </c>
      <c r="G1830" s="3" t="s">
        <v>10003</v>
      </c>
      <c r="H1830" s="4" t="str">
        <f>_xlfn.IFNA(IF(((INDEX(RulebookFields!C2:C1898, MATCH(D1830,RulebookFields!A2:A1898, 0))="")=TRUE),  "",  INDEX(RulebookFields!C2:C1898, MATCH(D1830,RulebookFields!A2:A1898, 0))), "")</f>
        <v>Steps</v>
      </c>
      <c r="I1830" s="4" t="str">
        <f>_xlfn.IFNA(IF(((INDEX(RulebookFields!D2:D1898, MATCH(D1830,RulebookFields!A2:A1898, 0))="")=TRUE),  "",  INDEX(RulebookFields!D2:D1898, MATCH(D1830,RulebookFields!A2:A1898, 0))), "")</f>
        <v>IsPreparationStep</v>
      </c>
      <c r="J1830" s="4" t="b">
        <f>_xlfn.IFNA(IF(((INDEX(RulebookFields!I2:I1898, MATCH(D1830,RulebookFields!A2:A1898, 0))="")=TRUE),  "",  INDEX(RulebookFields!I2:I1898, MATCH(D1830,RulebookFields!A2:A1898, 0))), "")</f>
        <v>1</v>
      </c>
      <c r="K1830" s="4" t="b">
        <f>AND(((F1830)=TRUE), ((J1830)=TRUE))</f>
        <v>0</v>
      </c>
      <c r="L1830" s="4" t="b">
        <f>AND(((G1830 &lt;&gt; "plain")=TRUE), ((G1830 &lt;&gt; "")=TRUE))</f>
        <v>0</v>
      </c>
      <c r="M1830" s="4" t="str">
        <f>IF(((E1830)=TRUE),  C1830 &amp; "|" &amp; H1830,  "")</f>
        <v>principal-process-steward|Steps</v>
      </c>
      <c r="N1830" s="3" t="s">
        <v>10004</v>
      </c>
    </row>
    <row r="1831">
      <c r="A1831" s="3" t="s">
        <v>11833</v>
      </c>
      <c r="B1831" s="4" t="str">
        <f>C1831 &amp; " -&gt; " &amp; D1831</f>
        <v>principal-process-steward -&gt; Steps.IsApprovalStep</v>
      </c>
      <c r="C1831" s="3" t="s">
        <v>9772</v>
      </c>
      <c r="D1831" s="3" t="s">
        <v>2898</v>
      </c>
      <c r="E1831" s="3" t="b">
        <v>1</v>
      </c>
      <c r="F1831" s="3" t="b">
        <v>0</v>
      </c>
      <c r="G1831" s="3" t="s">
        <v>10003</v>
      </c>
      <c r="H1831" s="4" t="str">
        <f>_xlfn.IFNA(IF(((INDEX(RulebookFields!C2:C1898, MATCH(D1831,RulebookFields!A2:A1898, 0))="")=TRUE),  "",  INDEX(RulebookFields!C2:C1898, MATCH(D1831,RulebookFields!A2:A1898, 0))), "")</f>
        <v>Steps</v>
      </c>
      <c r="I1831" s="4" t="str">
        <f>_xlfn.IFNA(IF(((INDEX(RulebookFields!D2:D1898, MATCH(D1831,RulebookFields!A2:A1898, 0))="")=TRUE),  "",  INDEX(RulebookFields!D2:D1898, MATCH(D1831,RulebookFields!A2:A1898, 0))), "")</f>
        <v>IsApprovalStep</v>
      </c>
      <c r="J1831" s="4" t="b">
        <f>_xlfn.IFNA(IF(((INDEX(RulebookFields!I2:I1898, MATCH(D1831,RulebookFields!A2:A1898, 0))="")=TRUE),  "",  INDEX(RulebookFields!I2:I1898, MATCH(D1831,RulebookFields!A2:A1898, 0))), "")</f>
        <v>1</v>
      </c>
      <c r="K1831" s="4" t="b">
        <f>AND(((F1831)=TRUE), ((J1831)=TRUE))</f>
        <v>0</v>
      </c>
      <c r="L1831" s="4" t="b">
        <f>AND(((G1831 &lt;&gt; "plain")=TRUE), ((G1831 &lt;&gt; "")=TRUE))</f>
        <v>0</v>
      </c>
      <c r="M1831" s="4" t="str">
        <f>IF(((E1831)=TRUE),  C1831 &amp; "|" &amp; H1831,  "")</f>
        <v>principal-process-steward|Steps</v>
      </c>
      <c r="N1831" s="3" t="s">
        <v>10004</v>
      </c>
    </row>
    <row r="1832">
      <c r="A1832" s="3" t="s">
        <v>11834</v>
      </c>
      <c r="B1832" s="4" t="str">
        <f>C1832 &amp; " -&gt; " &amp; D1832</f>
        <v>principal-process-steward -&gt; Steps.StaleAuthoritativeBindingCount</v>
      </c>
      <c r="C1832" s="3" t="s">
        <v>9772</v>
      </c>
      <c r="D1832" s="3" t="s">
        <v>2900</v>
      </c>
      <c r="E1832" s="3" t="b">
        <v>1</v>
      </c>
      <c r="F1832" s="3" t="b">
        <v>0</v>
      </c>
      <c r="G1832" s="3" t="s">
        <v>10003</v>
      </c>
      <c r="H1832" s="4" t="str">
        <f>_xlfn.IFNA(IF(((INDEX(RulebookFields!C2:C1898, MATCH(D1832,RulebookFields!A2:A1898, 0))="")=TRUE),  "",  INDEX(RulebookFields!C2:C1898, MATCH(D1832,RulebookFields!A2:A1898, 0))), "")</f>
        <v>Steps</v>
      </c>
      <c r="I1832" s="4" t="str">
        <f>_xlfn.IFNA(IF(((INDEX(RulebookFields!D2:D1898, MATCH(D1832,RulebookFields!A2:A1898, 0))="")=TRUE),  "",  INDEX(RulebookFields!D2:D1898, MATCH(D1832,RulebookFields!A2:A1898, 0))), "")</f>
        <v>StaleAuthoritativeBindingCount</v>
      </c>
      <c r="J1832" s="4" t="b">
        <f>_xlfn.IFNA(IF(((INDEX(RulebookFields!I2:I1898, MATCH(D1832,RulebookFields!A2:A1898, 0))="")=TRUE),  "",  INDEX(RulebookFields!I2:I1898, MATCH(D1832,RulebookFields!A2:A1898, 0))), "")</f>
        <v>1</v>
      </c>
      <c r="K1832" s="4" t="b">
        <f>AND(((F1832)=TRUE), ((J1832)=TRUE))</f>
        <v>0</v>
      </c>
      <c r="L1832" s="4" t="b">
        <f>AND(((G1832 &lt;&gt; "plain")=TRUE), ((G1832 &lt;&gt; "")=TRUE))</f>
        <v>0</v>
      </c>
      <c r="M1832" s="4" t="str">
        <f>IF(((E1832)=TRUE),  C1832 &amp; "|" &amp; H1832,  "")</f>
        <v>principal-process-steward|Steps</v>
      </c>
      <c r="N1832" s="3" t="s">
        <v>10004</v>
      </c>
    </row>
    <row r="1833">
      <c r="A1833" s="3" t="s">
        <v>11835</v>
      </c>
      <c r="B1833" s="4" t="str">
        <f>C1833 &amp; " -&gt; " &amp; D1833</f>
        <v>principal-process-steward -&gt; Steps.InputsAreFresh</v>
      </c>
      <c r="C1833" s="3" t="s">
        <v>9772</v>
      </c>
      <c r="D1833" s="3" t="s">
        <v>2902</v>
      </c>
      <c r="E1833" s="3" t="b">
        <v>1</v>
      </c>
      <c r="F1833" s="3" t="b">
        <v>0</v>
      </c>
      <c r="G1833" s="3" t="s">
        <v>10003</v>
      </c>
      <c r="H1833" s="4" t="str">
        <f>_xlfn.IFNA(IF(((INDEX(RulebookFields!C2:C1898, MATCH(D1833,RulebookFields!A2:A1898, 0))="")=TRUE),  "",  INDEX(RulebookFields!C2:C1898, MATCH(D1833,RulebookFields!A2:A1898, 0))), "")</f>
        <v>Steps</v>
      </c>
      <c r="I1833" s="4" t="str">
        <f>_xlfn.IFNA(IF(((INDEX(RulebookFields!D2:D1898, MATCH(D1833,RulebookFields!A2:A1898, 0))="")=TRUE),  "",  INDEX(RulebookFields!D2:D1898, MATCH(D1833,RulebookFields!A2:A1898, 0))), "")</f>
        <v>InputsAreFresh</v>
      </c>
      <c r="J1833" s="4" t="b">
        <f>_xlfn.IFNA(IF(((INDEX(RulebookFields!I2:I1898, MATCH(D1833,RulebookFields!A2:A1898, 0))="")=TRUE),  "",  INDEX(RulebookFields!I2:I1898, MATCH(D1833,RulebookFields!A2:A1898, 0))), "")</f>
        <v>1</v>
      </c>
      <c r="K1833" s="4" t="b">
        <f>AND(((F1833)=TRUE), ((J1833)=TRUE))</f>
        <v>0</v>
      </c>
      <c r="L1833" s="4" t="b">
        <f>AND(((G1833 &lt;&gt; "plain")=TRUE), ((G1833 &lt;&gt; "")=TRUE))</f>
        <v>0</v>
      </c>
      <c r="M1833" s="4" t="str">
        <f>IF(((E1833)=TRUE),  C1833 &amp; "|" &amp; H1833,  "")</f>
        <v>principal-process-steward|Steps</v>
      </c>
      <c r="N1833" s="3" t="s">
        <v>10004</v>
      </c>
    </row>
    <row r="1834">
      <c r="A1834" s="3" t="s">
        <v>11836</v>
      </c>
      <c r="B1834" s="4" t="str">
        <f>C1834 &amp; " -&gt; " &amp; D1834</f>
        <v>principal-process-steward -&gt; Steps.IsSoftwareAssigned</v>
      </c>
      <c r="C1834" s="3" t="s">
        <v>9772</v>
      </c>
      <c r="D1834" s="3" t="s">
        <v>2904</v>
      </c>
      <c r="E1834" s="3" t="b">
        <v>1</v>
      </c>
      <c r="F1834" s="3" t="b">
        <v>0</v>
      </c>
      <c r="G1834" s="3" t="s">
        <v>10003</v>
      </c>
      <c r="H1834" s="4" t="str">
        <f>_xlfn.IFNA(IF(((INDEX(RulebookFields!C2:C1898, MATCH(D1834,RulebookFields!A2:A1898, 0))="")=TRUE),  "",  INDEX(RulebookFields!C2:C1898, MATCH(D1834,RulebookFields!A2:A1898, 0))), "")</f>
        <v>Steps</v>
      </c>
      <c r="I1834" s="4" t="str">
        <f>_xlfn.IFNA(IF(((INDEX(RulebookFields!D2:D1898, MATCH(D1834,RulebookFields!A2:A1898, 0))="")=TRUE),  "",  INDEX(RulebookFields!D2:D1898, MATCH(D1834,RulebookFields!A2:A1898, 0))), "")</f>
        <v>IsSoftwareAssigned</v>
      </c>
      <c r="J1834" s="4" t="b">
        <f>_xlfn.IFNA(IF(((INDEX(RulebookFields!I2:I1898, MATCH(D1834,RulebookFields!A2:A1898, 0))="")=TRUE),  "",  INDEX(RulebookFields!I2:I1898, MATCH(D1834,RulebookFields!A2:A1898, 0))), "")</f>
        <v>1</v>
      </c>
      <c r="K1834" s="4" t="b">
        <f>AND(((F1834)=TRUE), ((J1834)=TRUE))</f>
        <v>0</v>
      </c>
      <c r="L1834" s="4" t="b">
        <f>AND(((G1834 &lt;&gt; "plain")=TRUE), ((G1834 &lt;&gt; "")=TRUE))</f>
        <v>0</v>
      </c>
      <c r="M1834" s="4" t="str">
        <f>IF(((E1834)=TRUE),  C1834 &amp; "|" &amp; H1834,  "")</f>
        <v>principal-process-steward|Steps</v>
      </c>
      <c r="N1834" s="3" t="s">
        <v>10004</v>
      </c>
    </row>
    <row r="1835">
      <c r="A1835" s="3" t="s">
        <v>11837</v>
      </c>
      <c r="B1835" s="4" t="str">
        <f>C1835 &amp; " -&gt; " &amp; D1835</f>
        <v>principal-process-steward -&gt; Steps.IsHumanApprovalGate</v>
      </c>
      <c r="C1835" s="3" t="s">
        <v>9772</v>
      </c>
      <c r="D1835" s="3" t="s">
        <v>2906</v>
      </c>
      <c r="E1835" s="3" t="b">
        <v>1</v>
      </c>
      <c r="F1835" s="3" t="b">
        <v>0</v>
      </c>
      <c r="G1835" s="3" t="s">
        <v>10003</v>
      </c>
      <c r="H1835" s="4" t="str">
        <f>_xlfn.IFNA(IF(((INDEX(RulebookFields!C2:C1898, MATCH(D1835,RulebookFields!A2:A1898, 0))="")=TRUE),  "",  INDEX(RulebookFields!C2:C1898, MATCH(D1835,RulebookFields!A2:A1898, 0))), "")</f>
        <v>Steps</v>
      </c>
      <c r="I1835" s="4" t="str">
        <f>_xlfn.IFNA(IF(((INDEX(RulebookFields!D2:D1898, MATCH(D1835,RulebookFields!A2:A1898, 0))="")=TRUE),  "",  INDEX(RulebookFields!D2:D1898, MATCH(D1835,RulebookFields!A2:A1898, 0))), "")</f>
        <v>IsHumanApprovalGate</v>
      </c>
      <c r="J1835" s="4" t="b">
        <f>_xlfn.IFNA(IF(((INDEX(RulebookFields!I2:I1898, MATCH(D1835,RulebookFields!A2:A1898, 0))="")=TRUE),  "",  INDEX(RulebookFields!I2:I1898, MATCH(D1835,RulebookFields!A2:A1898, 0))), "")</f>
        <v>1</v>
      </c>
      <c r="K1835" s="4" t="b">
        <f>AND(((F1835)=TRUE), ((J1835)=TRUE))</f>
        <v>0</v>
      </c>
      <c r="L1835" s="4" t="b">
        <f>AND(((G1835 &lt;&gt; "plain")=TRUE), ((G1835 &lt;&gt; "")=TRUE))</f>
        <v>0</v>
      </c>
      <c r="M1835" s="4" t="str">
        <f>IF(((E1835)=TRUE),  C1835 &amp; "|" &amp; H1835,  "")</f>
        <v>principal-process-steward|Steps</v>
      </c>
      <c r="N1835" s="3" t="s">
        <v>10004</v>
      </c>
    </row>
    <row r="1836">
      <c r="A1836" s="3" t="s">
        <v>11838</v>
      </c>
      <c r="B1836" s="4" t="str">
        <f>C1836 &amp; " -&gt; " &amp; D1836</f>
        <v>principal-process-steward -&gt; Steps.GateHeldByHuman</v>
      </c>
      <c r="C1836" s="3" t="s">
        <v>9772</v>
      </c>
      <c r="D1836" s="3" t="s">
        <v>2908</v>
      </c>
      <c r="E1836" s="3" t="b">
        <v>1</v>
      </c>
      <c r="F1836" s="3" t="b">
        <v>0</v>
      </c>
      <c r="G1836" s="3" t="s">
        <v>10003</v>
      </c>
      <c r="H1836" s="4" t="str">
        <f>_xlfn.IFNA(IF(((INDEX(RulebookFields!C2:C1898, MATCH(D1836,RulebookFields!A2:A1898, 0))="")=TRUE),  "",  INDEX(RulebookFields!C2:C1898, MATCH(D1836,RulebookFields!A2:A1898, 0))), "")</f>
        <v>Steps</v>
      </c>
      <c r="I1836" s="4" t="str">
        <f>_xlfn.IFNA(IF(((INDEX(RulebookFields!D2:D1898, MATCH(D1836,RulebookFields!A2:A1898, 0))="")=TRUE),  "",  INDEX(RulebookFields!D2:D1898, MATCH(D1836,RulebookFields!A2:A1898, 0))), "")</f>
        <v>GateHeldByHuman</v>
      </c>
      <c r="J1836" s="4" t="b">
        <f>_xlfn.IFNA(IF(((INDEX(RulebookFields!I2:I1898, MATCH(D1836,RulebookFields!A2:A1898, 0))="")=TRUE),  "",  INDEX(RulebookFields!I2:I1898, MATCH(D1836,RulebookFields!A2:A1898, 0))), "")</f>
        <v>1</v>
      </c>
      <c r="K1836" s="4" t="b">
        <f>AND(((F1836)=TRUE), ((J1836)=TRUE))</f>
        <v>0</v>
      </c>
      <c r="L1836" s="4" t="b">
        <f>AND(((G1836 &lt;&gt; "plain")=TRUE), ((G1836 &lt;&gt; "")=TRUE))</f>
        <v>0</v>
      </c>
      <c r="M1836" s="4" t="str">
        <f>IF(((E1836)=TRUE),  C1836 &amp; "|" &amp; H1836,  "")</f>
        <v>principal-process-steward|Steps</v>
      </c>
      <c r="N1836" s="3" t="s">
        <v>10004</v>
      </c>
    </row>
    <row r="1837">
      <c r="A1837" s="3" t="s">
        <v>11839</v>
      </c>
      <c r="B1837" s="4" t="str">
        <f>C1837 &amp; " -&gt; " &amp; D1837</f>
        <v>principal-process-steward -&gt; Steps.BindingBoundaryCount</v>
      </c>
      <c r="C1837" s="3" t="s">
        <v>9772</v>
      </c>
      <c r="D1837" s="3" t="s">
        <v>2910</v>
      </c>
      <c r="E1837" s="3" t="b">
        <v>1</v>
      </c>
      <c r="F1837" s="3" t="b">
        <v>0</v>
      </c>
      <c r="G1837" s="3" t="s">
        <v>10003</v>
      </c>
      <c r="H1837" s="4" t="str">
        <f>_xlfn.IFNA(IF(((INDEX(RulebookFields!C2:C1898, MATCH(D1837,RulebookFields!A2:A1898, 0))="")=TRUE),  "",  INDEX(RulebookFields!C2:C1898, MATCH(D1837,RulebookFields!A2:A1898, 0))), "")</f>
        <v>Steps</v>
      </c>
      <c r="I1837" s="4" t="str">
        <f>_xlfn.IFNA(IF(((INDEX(RulebookFields!D2:D1898, MATCH(D1837,RulebookFields!A2:A1898, 0))="")=TRUE),  "",  INDEX(RulebookFields!D2:D1898, MATCH(D1837,RulebookFields!A2:A1898, 0))), "")</f>
        <v>BindingBoundaryCount</v>
      </c>
      <c r="J1837" s="4" t="b">
        <f>_xlfn.IFNA(IF(((INDEX(RulebookFields!I2:I1898, MATCH(D1837,RulebookFields!A2:A1898, 0))="")=TRUE),  "",  INDEX(RulebookFields!I2:I1898, MATCH(D1837,RulebookFields!A2:A1898, 0))), "")</f>
        <v>1</v>
      </c>
      <c r="K1837" s="4" t="b">
        <f>AND(((F1837)=TRUE), ((J1837)=TRUE))</f>
        <v>0</v>
      </c>
      <c r="L1837" s="4" t="b">
        <f>AND(((G1837 &lt;&gt; "plain")=TRUE), ((G1837 &lt;&gt; "")=TRUE))</f>
        <v>0</v>
      </c>
      <c r="M1837" s="4" t="str">
        <f>IF(((E1837)=TRUE),  C1837 &amp; "|" &amp; H1837,  "")</f>
        <v>principal-process-steward|Steps</v>
      </c>
      <c r="N1837" s="3" t="s">
        <v>10004</v>
      </c>
    </row>
    <row r="1838">
      <c r="A1838" s="3" t="s">
        <v>11840</v>
      </c>
      <c r="B1838" s="4" t="str">
        <f>C1838 &amp; " -&gt; " &amp; D1838</f>
        <v>principal-process-steward -&gt; Steps.AssignedRoleIsUngoverned</v>
      </c>
      <c r="C1838" s="3" t="s">
        <v>9772</v>
      </c>
      <c r="D1838" s="3" t="s">
        <v>2912</v>
      </c>
      <c r="E1838" s="3" t="b">
        <v>1</v>
      </c>
      <c r="F1838" s="3" t="b">
        <v>0</v>
      </c>
      <c r="G1838" s="3" t="s">
        <v>10003</v>
      </c>
      <c r="H1838" s="4" t="str">
        <f>_xlfn.IFNA(IF(((INDEX(RulebookFields!C2:C1898, MATCH(D1838,RulebookFields!A2:A1898, 0))="")=TRUE),  "",  INDEX(RulebookFields!C2:C1898, MATCH(D1838,RulebookFields!A2:A1898, 0))), "")</f>
        <v>Steps</v>
      </c>
      <c r="I1838" s="4" t="str">
        <f>_xlfn.IFNA(IF(((INDEX(RulebookFields!D2:D1898, MATCH(D1838,RulebookFields!A2:A1898, 0))="")=TRUE),  "",  INDEX(RulebookFields!D2:D1898, MATCH(D1838,RulebookFields!A2:A1898, 0))), "")</f>
        <v>AssignedRoleIsUngoverned</v>
      </c>
      <c r="J1838" s="4" t="b">
        <f>_xlfn.IFNA(IF(((INDEX(RulebookFields!I2:I1898, MATCH(D1838,RulebookFields!A2:A1898, 0))="")=TRUE),  "",  INDEX(RulebookFields!I2:I1898, MATCH(D1838,RulebookFields!A2:A1898, 0))), "")</f>
        <v>1</v>
      </c>
      <c r="K1838" s="4" t="b">
        <f>AND(((F1838)=TRUE), ((J1838)=TRUE))</f>
        <v>0</v>
      </c>
      <c r="L1838" s="4" t="b">
        <f>AND(((G1838 &lt;&gt; "plain")=TRUE), ((G1838 &lt;&gt; "")=TRUE))</f>
        <v>0</v>
      </c>
      <c r="M1838" s="4" t="str">
        <f>IF(((E1838)=TRUE),  C1838 &amp; "|" &amp; H1838,  "")</f>
        <v>principal-process-steward|Steps</v>
      </c>
      <c r="N1838" s="3" t="s">
        <v>10004</v>
      </c>
    </row>
    <row r="1839">
      <c r="A1839" s="3" t="s">
        <v>11841</v>
      </c>
      <c r="B1839" s="4" t="str">
        <f>C1839 &amp; " -&gt; " &amp; D1839</f>
        <v>principal-process-steward -&gt; Steps.UnusableBindingCount</v>
      </c>
      <c r="C1839" s="3" t="s">
        <v>9772</v>
      </c>
      <c r="D1839" s="3" t="s">
        <v>2914</v>
      </c>
      <c r="E1839" s="3" t="b">
        <v>1</v>
      </c>
      <c r="F1839" s="3" t="b">
        <v>0</v>
      </c>
      <c r="G1839" s="3" t="s">
        <v>10003</v>
      </c>
      <c r="H1839" s="4" t="str">
        <f>_xlfn.IFNA(IF(((INDEX(RulebookFields!C2:C1898, MATCH(D1839,RulebookFields!A2:A1898, 0))="")=TRUE),  "",  INDEX(RulebookFields!C2:C1898, MATCH(D1839,RulebookFields!A2:A1898, 0))), "")</f>
        <v>Steps</v>
      </c>
      <c r="I1839" s="4" t="str">
        <f>_xlfn.IFNA(IF(((INDEX(RulebookFields!D2:D1898, MATCH(D1839,RulebookFields!A2:A1898, 0))="")=TRUE),  "",  INDEX(RulebookFields!D2:D1898, MATCH(D1839,RulebookFields!A2:A1898, 0))), "")</f>
        <v>UnusableBindingCount</v>
      </c>
      <c r="J1839" s="4" t="b">
        <f>_xlfn.IFNA(IF(((INDEX(RulebookFields!I2:I1898, MATCH(D1839,RulebookFields!A2:A1898, 0))="")=TRUE),  "",  INDEX(RulebookFields!I2:I1898, MATCH(D1839,RulebookFields!A2:A1898, 0))), "")</f>
        <v>1</v>
      </c>
      <c r="K1839" s="4" t="b">
        <f>AND(((F1839)=TRUE), ((J1839)=TRUE))</f>
        <v>0</v>
      </c>
      <c r="L1839" s="4" t="b">
        <f>AND(((G1839 &lt;&gt; "plain")=TRUE), ((G1839 &lt;&gt; "")=TRUE))</f>
        <v>0</v>
      </c>
      <c r="M1839" s="4" t="str">
        <f>IF(((E1839)=TRUE),  C1839 &amp; "|" &amp; H1839,  "")</f>
        <v>principal-process-steward|Steps</v>
      </c>
      <c r="N1839" s="3" t="s">
        <v>10004</v>
      </c>
    </row>
    <row r="1840">
      <c r="A1840" s="3" t="s">
        <v>11842</v>
      </c>
      <c r="B1840" s="4" t="str">
        <f>C1840 &amp; " -&gt; " &amp; D1840</f>
        <v>principal-process-steward -&gt; Steps.AllSourcesUsable</v>
      </c>
      <c r="C1840" s="3" t="s">
        <v>9772</v>
      </c>
      <c r="D1840" s="3" t="s">
        <v>2916</v>
      </c>
      <c r="E1840" s="3" t="b">
        <v>1</v>
      </c>
      <c r="F1840" s="3" t="b">
        <v>0</v>
      </c>
      <c r="G1840" s="3" t="s">
        <v>10003</v>
      </c>
      <c r="H1840" s="4" t="str">
        <f>_xlfn.IFNA(IF(((INDEX(RulebookFields!C2:C1898, MATCH(D1840,RulebookFields!A2:A1898, 0))="")=TRUE),  "",  INDEX(RulebookFields!C2:C1898, MATCH(D1840,RulebookFields!A2:A1898, 0))), "")</f>
        <v>Steps</v>
      </c>
      <c r="I1840" s="4" t="str">
        <f>_xlfn.IFNA(IF(((INDEX(RulebookFields!D2:D1898, MATCH(D1840,RulebookFields!A2:A1898, 0))="")=TRUE),  "",  INDEX(RulebookFields!D2:D1898, MATCH(D1840,RulebookFields!A2:A1898, 0))), "")</f>
        <v>AllSourcesUsable</v>
      </c>
      <c r="J1840" s="4" t="b">
        <f>_xlfn.IFNA(IF(((INDEX(RulebookFields!I2:I1898, MATCH(D1840,RulebookFields!A2:A1898, 0))="")=TRUE),  "",  INDEX(RulebookFields!I2:I1898, MATCH(D1840,RulebookFields!A2:A1898, 0))), "")</f>
        <v>1</v>
      </c>
      <c r="K1840" s="4" t="b">
        <f>AND(((F1840)=TRUE), ((J1840)=TRUE))</f>
        <v>0</v>
      </c>
      <c r="L1840" s="4" t="b">
        <f>AND(((G1840 &lt;&gt; "plain")=TRUE), ((G1840 &lt;&gt; "")=TRUE))</f>
        <v>0</v>
      </c>
      <c r="M1840" s="4" t="str">
        <f>IF(((E1840)=TRUE),  C1840 &amp; "|" &amp; H1840,  "")</f>
        <v>principal-process-steward|Steps</v>
      </c>
      <c r="N1840" s="3" t="s">
        <v>10004</v>
      </c>
    </row>
    <row r="1841">
      <c r="A1841" s="3" t="s">
        <v>11843</v>
      </c>
      <c r="B1841" s="4" t="str">
        <f>C1841 &amp; " -&gt; " &amp; D1841</f>
        <v>principal-process-steward -&gt; Steps.ControlKind</v>
      </c>
      <c r="C1841" s="3" t="s">
        <v>9772</v>
      </c>
      <c r="D1841" s="3" t="s">
        <v>2918</v>
      </c>
      <c r="E1841" s="3" t="b">
        <v>1</v>
      </c>
      <c r="F1841" s="3" t="b">
        <v>0</v>
      </c>
      <c r="G1841" s="3" t="s">
        <v>10003</v>
      </c>
      <c r="H1841" s="4" t="str">
        <f>_xlfn.IFNA(IF(((INDEX(RulebookFields!C2:C1898, MATCH(D1841,RulebookFields!A2:A1898, 0))="")=TRUE),  "",  INDEX(RulebookFields!C2:C1898, MATCH(D1841,RulebookFields!A2:A1898, 0))), "")</f>
        <v>Steps</v>
      </c>
      <c r="I1841" s="4" t="str">
        <f>_xlfn.IFNA(IF(((INDEX(RulebookFields!D2:D1898, MATCH(D1841,RulebookFields!A2:A1898, 0))="")=TRUE),  "",  INDEX(RulebookFields!D2:D1898, MATCH(D1841,RulebookFields!A2:A1898, 0))), "")</f>
        <v>ControlKind</v>
      </c>
      <c r="J1841" s="4" t="b">
        <f>_xlfn.IFNA(IF(((INDEX(RulebookFields!I2:I1898, MATCH(D1841,RulebookFields!A2:A1898, 0))="")=TRUE),  "",  INDEX(RulebookFields!I2:I1898, MATCH(D1841,RulebookFields!A2:A1898, 0))), "")</f>
        <v>0</v>
      </c>
      <c r="K1841" s="4" t="b">
        <f>AND(((F1841)=TRUE), ((J1841)=TRUE))</f>
        <v>0</v>
      </c>
      <c r="L1841" s="4" t="b">
        <f>AND(((G1841 &lt;&gt; "plain")=TRUE), ((G1841 &lt;&gt; "")=TRUE))</f>
        <v>0</v>
      </c>
      <c r="M1841" s="4" t="str">
        <f>IF(((E1841)=TRUE),  C1841 &amp; "|" &amp; H1841,  "")</f>
        <v>principal-process-steward|Steps</v>
      </c>
      <c r="N1841" s="3" t="s">
        <v>10004</v>
      </c>
    </row>
    <row r="1842">
      <c r="A1842" s="3" t="s">
        <v>11844</v>
      </c>
      <c r="B1842" s="4" t="str">
        <f>C1842 &amp; " -&gt; " &amp; D1842</f>
        <v>principal-process-steward -&gt; Steps.UnwarrantedBoundaryCount</v>
      </c>
      <c r="C1842" s="3" t="s">
        <v>9772</v>
      </c>
      <c r="D1842" s="3" t="s">
        <v>2919</v>
      </c>
      <c r="E1842" s="3" t="b">
        <v>1</v>
      </c>
      <c r="F1842" s="3" t="b">
        <v>0</v>
      </c>
      <c r="G1842" s="3" t="s">
        <v>10003</v>
      </c>
      <c r="H1842" s="4" t="str">
        <f>_xlfn.IFNA(IF(((INDEX(RulebookFields!C2:C1898, MATCH(D1842,RulebookFields!A2:A1898, 0))="")=TRUE),  "",  INDEX(RulebookFields!C2:C1898, MATCH(D1842,RulebookFields!A2:A1898, 0))), "")</f>
        <v>Steps</v>
      </c>
      <c r="I1842" s="4" t="str">
        <f>_xlfn.IFNA(IF(((INDEX(RulebookFields!D2:D1898, MATCH(D1842,RulebookFields!A2:A1898, 0))="")=TRUE),  "",  INDEX(RulebookFields!D2:D1898, MATCH(D1842,RulebookFields!A2:A1898, 0))), "")</f>
        <v>UnwarrantedBoundaryCount</v>
      </c>
      <c r="J1842" s="4" t="b">
        <f>_xlfn.IFNA(IF(((INDEX(RulebookFields!I2:I1898, MATCH(D1842,RulebookFields!A2:A1898, 0))="")=TRUE),  "",  INDEX(RulebookFields!I2:I1898, MATCH(D1842,RulebookFields!A2:A1898, 0))), "")</f>
        <v>1</v>
      </c>
      <c r="K1842" s="4" t="b">
        <f>AND(((F1842)=TRUE), ((J1842)=TRUE))</f>
        <v>0</v>
      </c>
      <c r="L1842" s="4" t="b">
        <f>AND(((G1842 &lt;&gt; "plain")=TRUE), ((G1842 &lt;&gt; "")=TRUE))</f>
        <v>0</v>
      </c>
      <c r="M1842" s="4" t="str">
        <f>IF(((E1842)=TRUE),  C1842 &amp; "|" &amp; H1842,  "")</f>
        <v>principal-process-steward|Steps</v>
      </c>
      <c r="N1842" s="3" t="s">
        <v>10004</v>
      </c>
    </row>
    <row r="1843">
      <c r="A1843" s="3" t="s">
        <v>11845</v>
      </c>
      <c r="B1843" s="4" t="str">
        <f>C1843 &amp; " -&gt; " &amp; D1843</f>
        <v>principal-process-steward -&gt; Steps.IsGovernedByUnwarrantedBoundary</v>
      </c>
      <c r="C1843" s="3" t="s">
        <v>9772</v>
      </c>
      <c r="D1843" s="3" t="s">
        <v>2921</v>
      </c>
      <c r="E1843" s="3" t="b">
        <v>1</v>
      </c>
      <c r="F1843" s="3" t="b">
        <v>0</v>
      </c>
      <c r="G1843" s="3" t="s">
        <v>10003</v>
      </c>
      <c r="H1843" s="4" t="str">
        <f>_xlfn.IFNA(IF(((INDEX(RulebookFields!C2:C1898, MATCH(D1843,RulebookFields!A2:A1898, 0))="")=TRUE),  "",  INDEX(RulebookFields!C2:C1898, MATCH(D1843,RulebookFields!A2:A1898, 0))), "")</f>
        <v>Steps</v>
      </c>
      <c r="I1843" s="4" t="str">
        <f>_xlfn.IFNA(IF(((INDEX(RulebookFields!D2:D1898, MATCH(D1843,RulebookFields!A2:A1898, 0))="")=TRUE),  "",  INDEX(RulebookFields!D2:D1898, MATCH(D1843,RulebookFields!A2:A1898, 0))), "")</f>
        <v>IsGovernedByUnwarrantedBoundary</v>
      </c>
      <c r="J1843" s="4" t="b">
        <f>_xlfn.IFNA(IF(((INDEX(RulebookFields!I2:I1898, MATCH(D1843,RulebookFields!A2:A1898, 0))="")=TRUE),  "",  INDEX(RulebookFields!I2:I1898, MATCH(D1843,RulebookFields!A2:A1898, 0))), "")</f>
        <v>1</v>
      </c>
      <c r="K1843" s="4" t="b">
        <f>AND(((F1843)=TRUE), ((J1843)=TRUE))</f>
        <v>0</v>
      </c>
      <c r="L1843" s="4" t="b">
        <f>AND(((G1843 &lt;&gt; "plain")=TRUE), ((G1843 &lt;&gt; "")=TRUE))</f>
        <v>0</v>
      </c>
      <c r="M1843" s="4" t="str">
        <f>IF(((E1843)=TRUE),  C1843 &amp; "|" &amp; H1843,  "")</f>
        <v>principal-process-steward|Steps</v>
      </c>
      <c r="N1843" s="3" t="s">
        <v>10004</v>
      </c>
    </row>
    <row r="1844">
      <c r="A1844" s="3" t="s">
        <v>11846</v>
      </c>
      <c r="B1844" s="4" t="str">
        <f>C1844 &amp; " -&gt; " &amp; D1844</f>
        <v>principal-process-steward -&gt; Steps.SoftwareExecutionCount</v>
      </c>
      <c r="C1844" s="3" t="s">
        <v>9772</v>
      </c>
      <c r="D1844" s="3" t="s">
        <v>2923</v>
      </c>
      <c r="E1844" s="3" t="b">
        <v>1</v>
      </c>
      <c r="F1844" s="3" t="b">
        <v>0</v>
      </c>
      <c r="G1844" s="3" t="s">
        <v>10003</v>
      </c>
      <c r="H1844" s="4" t="str">
        <f>_xlfn.IFNA(IF(((INDEX(RulebookFields!C2:C1898, MATCH(D1844,RulebookFields!A2:A1898, 0))="")=TRUE),  "",  INDEX(RulebookFields!C2:C1898, MATCH(D1844,RulebookFields!A2:A1898, 0))), "")</f>
        <v>Steps</v>
      </c>
      <c r="I1844" s="4" t="str">
        <f>_xlfn.IFNA(IF(((INDEX(RulebookFields!D2:D1898, MATCH(D1844,RulebookFields!A2:A1898, 0))="")=TRUE),  "",  INDEX(RulebookFields!D2:D1898, MATCH(D1844,RulebookFields!A2:A1898, 0))), "")</f>
        <v>SoftwareExecutionCount</v>
      </c>
      <c r="J1844" s="4" t="b">
        <f>_xlfn.IFNA(IF(((INDEX(RulebookFields!I2:I1898, MATCH(D1844,RulebookFields!A2:A1898, 0))="")=TRUE),  "",  INDEX(RulebookFields!I2:I1898, MATCH(D1844,RulebookFields!A2:A1898, 0))), "")</f>
        <v>1</v>
      </c>
      <c r="K1844" s="4" t="b">
        <f>AND(((F1844)=TRUE), ((J1844)=TRUE))</f>
        <v>0</v>
      </c>
      <c r="L1844" s="4" t="b">
        <f>AND(((G1844 &lt;&gt; "plain")=TRUE), ((G1844 &lt;&gt; "")=TRUE))</f>
        <v>0</v>
      </c>
      <c r="M1844" s="4" t="str">
        <f>IF(((E1844)=TRUE),  C1844 &amp; "|" &amp; H1844,  "")</f>
        <v>principal-process-steward|Steps</v>
      </c>
      <c r="N1844" s="3" t="s">
        <v>10004</v>
      </c>
    </row>
    <row r="1845">
      <c r="A1845" s="3" t="s">
        <v>11847</v>
      </c>
      <c r="B1845" s="4" t="str">
        <f>C1845 &amp; " -&gt; " &amp; D1845</f>
        <v>principal-process-steward -&gt; Steps.HasBeenApproachedBySoftware</v>
      </c>
      <c r="C1845" s="3" t="s">
        <v>9772</v>
      </c>
      <c r="D1845" s="3" t="s">
        <v>2925</v>
      </c>
      <c r="E1845" s="3" t="b">
        <v>1</v>
      </c>
      <c r="F1845" s="3" t="b">
        <v>0</v>
      </c>
      <c r="G1845" s="3" t="s">
        <v>10003</v>
      </c>
      <c r="H1845" s="4" t="str">
        <f>_xlfn.IFNA(IF(((INDEX(RulebookFields!C2:C1898, MATCH(D1845,RulebookFields!A2:A1898, 0))="")=TRUE),  "",  INDEX(RulebookFields!C2:C1898, MATCH(D1845,RulebookFields!A2:A1898, 0))), "")</f>
        <v>Steps</v>
      </c>
      <c r="I1845" s="4" t="str">
        <f>_xlfn.IFNA(IF(((INDEX(RulebookFields!D2:D1898, MATCH(D1845,RulebookFields!A2:A1898, 0))="")=TRUE),  "",  INDEX(RulebookFields!D2:D1898, MATCH(D1845,RulebookFields!A2:A1898, 0))), "")</f>
        <v>HasBeenApproachedBySoftware</v>
      </c>
      <c r="J1845" s="4" t="b">
        <f>_xlfn.IFNA(IF(((INDEX(RulebookFields!I2:I1898, MATCH(D1845,RulebookFields!A2:A1898, 0))="")=TRUE),  "",  INDEX(RulebookFields!I2:I1898, MATCH(D1845,RulebookFields!A2:A1898, 0))), "")</f>
        <v>1</v>
      </c>
      <c r="K1845" s="4" t="b">
        <f>AND(((F1845)=TRUE), ((J1845)=TRUE))</f>
        <v>0</v>
      </c>
      <c r="L1845" s="4" t="b">
        <f>AND(((G1845 &lt;&gt; "plain")=TRUE), ((G1845 &lt;&gt; "")=TRUE))</f>
        <v>0</v>
      </c>
      <c r="M1845" s="4" t="str">
        <f>IF(((E1845)=TRUE),  C1845 &amp; "|" &amp; H1845,  "")</f>
        <v>principal-process-steward|Steps</v>
      </c>
      <c r="N1845" s="3" t="s">
        <v>10004</v>
      </c>
    </row>
    <row r="1846">
      <c r="A1846" s="3" t="s">
        <v>11848</v>
      </c>
      <c r="B1846" s="4" t="str">
        <f>C1846 &amp; " -&gt; " &amp; D1846</f>
        <v>principal-process-steward -&gt; Steps.IsUnexercisedHumanGate</v>
      </c>
      <c r="C1846" s="3" t="s">
        <v>9772</v>
      </c>
      <c r="D1846" s="3" t="s">
        <v>2927</v>
      </c>
      <c r="E1846" s="3" t="b">
        <v>1</v>
      </c>
      <c r="F1846" s="3" t="b">
        <v>0</v>
      </c>
      <c r="G1846" s="3" t="s">
        <v>10003</v>
      </c>
      <c r="H1846" s="4" t="str">
        <f>_xlfn.IFNA(IF(((INDEX(RulebookFields!C2:C1898, MATCH(D1846,RulebookFields!A2:A1898, 0))="")=TRUE),  "",  INDEX(RulebookFields!C2:C1898, MATCH(D1846,RulebookFields!A2:A1898, 0))), "")</f>
        <v>Steps</v>
      </c>
      <c r="I1846" s="4" t="str">
        <f>_xlfn.IFNA(IF(((INDEX(RulebookFields!D2:D1898, MATCH(D1846,RulebookFields!A2:A1898, 0))="")=TRUE),  "",  INDEX(RulebookFields!D2:D1898, MATCH(D1846,RulebookFields!A2:A1898, 0))), "")</f>
        <v>IsUnexercisedHumanGate</v>
      </c>
      <c r="J1846" s="4" t="b">
        <f>_xlfn.IFNA(IF(((INDEX(RulebookFields!I2:I1898, MATCH(D1846,RulebookFields!A2:A1898, 0))="")=TRUE),  "",  INDEX(RulebookFields!I2:I1898, MATCH(D1846,RulebookFields!A2:A1898, 0))), "")</f>
        <v>1</v>
      </c>
      <c r="K1846" s="4" t="b">
        <f>AND(((F1846)=TRUE), ((J1846)=TRUE))</f>
        <v>0</v>
      </c>
      <c r="L1846" s="4" t="b">
        <f>AND(((G1846 &lt;&gt; "plain")=TRUE), ((G1846 &lt;&gt; "")=TRUE))</f>
        <v>0</v>
      </c>
      <c r="M1846" s="4" t="str">
        <f>IF(((E1846)=TRUE),  C1846 &amp; "|" &amp; H1846,  "")</f>
        <v>principal-process-steward|Steps</v>
      </c>
      <c r="N1846" s="3" t="s">
        <v>10004</v>
      </c>
    </row>
    <row r="1847">
      <c r="A1847" s="3" t="s">
        <v>11849</v>
      </c>
      <c r="B1847" s="4" t="str">
        <f>C1847 &amp; " -&gt; " &amp; D1847</f>
        <v>principal-process-steward -&gt; Steps.IsDemonstratedHumanGate</v>
      </c>
      <c r="C1847" s="3" t="s">
        <v>9772</v>
      </c>
      <c r="D1847" s="3" t="s">
        <v>2929</v>
      </c>
      <c r="E1847" s="3" t="b">
        <v>1</v>
      </c>
      <c r="F1847" s="3" t="b">
        <v>0</v>
      </c>
      <c r="G1847" s="3" t="s">
        <v>10003</v>
      </c>
      <c r="H1847" s="4" t="str">
        <f>_xlfn.IFNA(IF(((INDEX(RulebookFields!C2:C1898, MATCH(D1847,RulebookFields!A2:A1898, 0))="")=TRUE),  "",  INDEX(RulebookFields!C2:C1898, MATCH(D1847,RulebookFields!A2:A1898, 0))), "")</f>
        <v>Steps</v>
      </c>
      <c r="I1847" s="4" t="str">
        <f>_xlfn.IFNA(IF(((INDEX(RulebookFields!D2:D1898, MATCH(D1847,RulebookFields!A2:A1898, 0))="")=TRUE),  "",  INDEX(RulebookFields!D2:D1898, MATCH(D1847,RulebookFields!A2:A1898, 0))), "")</f>
        <v>IsDemonstratedHumanGate</v>
      </c>
      <c r="J1847" s="4" t="b">
        <f>_xlfn.IFNA(IF(((INDEX(RulebookFields!I2:I1898, MATCH(D1847,RulebookFields!A2:A1898, 0))="")=TRUE),  "",  INDEX(RulebookFields!I2:I1898, MATCH(D1847,RulebookFields!A2:A1898, 0))), "")</f>
        <v>1</v>
      </c>
      <c r="K1847" s="4" t="b">
        <f>AND(((F1847)=TRUE), ((J1847)=TRUE))</f>
        <v>0</v>
      </c>
      <c r="L1847" s="4" t="b">
        <f>AND(((G1847 &lt;&gt; "plain")=TRUE), ((G1847 &lt;&gt; "")=TRUE))</f>
        <v>0</v>
      </c>
      <c r="M1847" s="4" t="str">
        <f>IF(((E1847)=TRUE),  C1847 &amp; "|" &amp; H1847,  "")</f>
        <v>principal-process-steward|Steps</v>
      </c>
      <c r="N1847" s="3" t="s">
        <v>10004</v>
      </c>
    </row>
    <row r="1848">
      <c r="A1848" s="3" t="s">
        <v>11850</v>
      </c>
      <c r="B1848" s="4" t="str">
        <f>C1848 &amp; " -&gt; " &amp; D1848</f>
        <v>principal-process-steward -&gt; Steps.UnexercisedGateVersionKey</v>
      </c>
      <c r="C1848" s="3" t="s">
        <v>9772</v>
      </c>
      <c r="D1848" s="3" t="s">
        <v>2931</v>
      </c>
      <c r="E1848" s="3" t="b">
        <v>1</v>
      </c>
      <c r="F1848" s="3" t="b">
        <v>0</v>
      </c>
      <c r="G1848" s="3" t="s">
        <v>10003</v>
      </c>
      <c r="H1848" s="4" t="str">
        <f>_xlfn.IFNA(IF(((INDEX(RulebookFields!C2:C1898, MATCH(D1848,RulebookFields!A2:A1898, 0))="")=TRUE),  "",  INDEX(RulebookFields!C2:C1898, MATCH(D1848,RulebookFields!A2:A1898, 0))), "")</f>
        <v>Steps</v>
      </c>
      <c r="I1848" s="4" t="str">
        <f>_xlfn.IFNA(IF(((INDEX(RulebookFields!D2:D1898, MATCH(D1848,RulebookFields!A2:A1898, 0))="")=TRUE),  "",  INDEX(RulebookFields!D2:D1898, MATCH(D1848,RulebookFields!A2:A1898, 0))), "")</f>
        <v>UnexercisedGateVersionKey</v>
      </c>
      <c r="J1848" s="4" t="b">
        <f>_xlfn.IFNA(IF(((INDEX(RulebookFields!I2:I1898, MATCH(D1848,RulebookFields!A2:A1898, 0))="")=TRUE),  "",  INDEX(RulebookFields!I2:I1898, MATCH(D1848,RulebookFields!A2:A1898, 0))), "")</f>
        <v>1</v>
      </c>
      <c r="K1848" s="4" t="b">
        <f>AND(((F1848)=TRUE), ((J1848)=TRUE))</f>
        <v>0</v>
      </c>
      <c r="L1848" s="4" t="b">
        <f>AND(((G1848 &lt;&gt; "plain")=TRUE), ((G1848 &lt;&gt; "")=TRUE))</f>
        <v>0</v>
      </c>
      <c r="M1848" s="4" t="str">
        <f>IF(((E1848)=TRUE),  C1848 &amp; "|" &amp; H1848,  "")</f>
        <v>principal-process-steward|Steps</v>
      </c>
      <c r="N1848" s="3" t="s">
        <v>10004</v>
      </c>
    </row>
    <row r="1849">
      <c r="A1849" s="3" t="s">
        <v>11851</v>
      </c>
      <c r="B1849" s="4" t="str">
        <f>C1849 &amp; " -&gt; " &amp; D1849</f>
        <v>principal-process-steward -&gt; Steps.HasDeclaredControlKind</v>
      </c>
      <c r="C1849" s="3" t="s">
        <v>9772</v>
      </c>
      <c r="D1849" s="3" t="s">
        <v>2933</v>
      </c>
      <c r="E1849" s="3" t="b">
        <v>1</v>
      </c>
      <c r="F1849" s="3" t="b">
        <v>0</v>
      </c>
      <c r="G1849" s="3" t="s">
        <v>10003</v>
      </c>
      <c r="H1849" s="4" t="str">
        <f>_xlfn.IFNA(IF(((INDEX(RulebookFields!C2:C1898, MATCH(D1849,RulebookFields!A2:A1898, 0))="")=TRUE),  "",  INDEX(RulebookFields!C2:C1898, MATCH(D1849,RulebookFields!A2:A1898, 0))), "")</f>
        <v>Steps</v>
      </c>
      <c r="I1849" s="4" t="str">
        <f>_xlfn.IFNA(IF(((INDEX(RulebookFields!D2:D1898, MATCH(D1849,RulebookFields!A2:A1898, 0))="")=TRUE),  "",  INDEX(RulebookFields!D2:D1898, MATCH(D1849,RulebookFields!A2:A1898, 0))), "")</f>
        <v>HasDeclaredControlKind</v>
      </c>
      <c r="J1849" s="4" t="b">
        <f>_xlfn.IFNA(IF(((INDEX(RulebookFields!I2:I1898, MATCH(D1849,RulebookFields!A2:A1898, 0))="")=TRUE),  "",  INDEX(RulebookFields!I2:I1898, MATCH(D1849,RulebookFields!A2:A1898, 0))), "")</f>
        <v>1</v>
      </c>
      <c r="K1849" s="4" t="b">
        <f>AND(((F1849)=TRUE), ((J1849)=TRUE))</f>
        <v>0</v>
      </c>
      <c r="L1849" s="4" t="b">
        <f>AND(((G1849 &lt;&gt; "plain")=TRUE), ((G1849 &lt;&gt; "")=TRUE))</f>
        <v>0</v>
      </c>
      <c r="M1849" s="4" t="str">
        <f>IF(((E1849)=TRUE),  C1849 &amp; "|" &amp; H1849,  "")</f>
        <v>principal-process-steward|Steps</v>
      </c>
      <c r="N1849" s="3" t="s">
        <v>10004</v>
      </c>
    </row>
    <row r="1850">
      <c r="A1850" s="3" t="s">
        <v>11852</v>
      </c>
      <c r="B1850" s="4" t="str">
        <f>C1850 &amp; " -&gt; " &amp; D1850</f>
        <v>principal-process-steward -&gt; Steps.UndeclaredControlVersionKey</v>
      </c>
      <c r="C1850" s="3" t="s">
        <v>9772</v>
      </c>
      <c r="D1850" s="3" t="s">
        <v>2935</v>
      </c>
      <c r="E1850" s="3" t="b">
        <v>1</v>
      </c>
      <c r="F1850" s="3" t="b">
        <v>0</v>
      </c>
      <c r="G1850" s="3" t="s">
        <v>10003</v>
      </c>
      <c r="H1850" s="4" t="str">
        <f>_xlfn.IFNA(IF(((INDEX(RulebookFields!C2:C1898, MATCH(D1850,RulebookFields!A2:A1898, 0))="")=TRUE),  "",  INDEX(RulebookFields!C2:C1898, MATCH(D1850,RulebookFields!A2:A1898, 0))), "")</f>
        <v>Steps</v>
      </c>
      <c r="I1850" s="4" t="str">
        <f>_xlfn.IFNA(IF(((INDEX(RulebookFields!D2:D1898, MATCH(D1850,RulebookFields!A2:A1898, 0))="")=TRUE),  "",  INDEX(RulebookFields!D2:D1898, MATCH(D1850,RulebookFields!A2:A1898, 0))), "")</f>
        <v>UndeclaredControlVersionKey</v>
      </c>
      <c r="J1850" s="4" t="b">
        <f>_xlfn.IFNA(IF(((INDEX(RulebookFields!I2:I1898, MATCH(D1850,RulebookFields!A2:A1898, 0))="")=TRUE),  "",  INDEX(RulebookFields!I2:I1898, MATCH(D1850,RulebookFields!A2:A1898, 0))), "")</f>
        <v>1</v>
      </c>
      <c r="K1850" s="4" t="b">
        <f>AND(((F1850)=TRUE), ((J1850)=TRUE))</f>
        <v>0</v>
      </c>
      <c r="L1850" s="4" t="b">
        <f>AND(((G1850 &lt;&gt; "plain")=TRUE), ((G1850 &lt;&gt; "")=TRUE))</f>
        <v>0</v>
      </c>
      <c r="M1850" s="4" t="str">
        <f>IF(((E1850)=TRUE),  C1850 &amp; "|" &amp; H1850,  "")</f>
        <v>principal-process-steward|Steps</v>
      </c>
      <c r="N1850" s="3" t="s">
        <v>10004</v>
      </c>
    </row>
    <row r="1851">
      <c r="A1851" s="3" t="s">
        <v>11853</v>
      </c>
      <c r="B1851" s="4" t="str">
        <f>C1851 &amp; " -&gt; " &amp; D1851</f>
        <v>principal-process-steward -&gt; Steps.ApprovalStepIsSoftwareAssigned</v>
      </c>
      <c r="C1851" s="3" t="s">
        <v>9772</v>
      </c>
      <c r="D1851" s="3" t="s">
        <v>2937</v>
      </c>
      <c r="E1851" s="3" t="b">
        <v>1</v>
      </c>
      <c r="F1851" s="3" t="b">
        <v>0</v>
      </c>
      <c r="G1851" s="3" t="s">
        <v>10003</v>
      </c>
      <c r="H1851" s="4" t="str">
        <f>_xlfn.IFNA(IF(((INDEX(RulebookFields!C2:C1898, MATCH(D1851,RulebookFields!A2:A1898, 0))="")=TRUE),  "",  INDEX(RulebookFields!C2:C1898, MATCH(D1851,RulebookFields!A2:A1898, 0))), "")</f>
        <v>Steps</v>
      </c>
      <c r="I1851" s="4" t="str">
        <f>_xlfn.IFNA(IF(((INDEX(RulebookFields!D2:D1898, MATCH(D1851,RulebookFields!A2:A1898, 0))="")=TRUE),  "",  INDEX(RulebookFields!D2:D1898, MATCH(D1851,RulebookFields!A2:A1898, 0))), "")</f>
        <v>ApprovalStepIsSoftwareAssigned</v>
      </c>
      <c r="J1851" s="4" t="b">
        <f>_xlfn.IFNA(IF(((INDEX(RulebookFields!I2:I1898, MATCH(D1851,RulebookFields!A2:A1898, 0))="")=TRUE),  "",  INDEX(RulebookFields!I2:I1898, MATCH(D1851,RulebookFields!A2:A1898, 0))), "")</f>
        <v>1</v>
      </c>
      <c r="K1851" s="4" t="b">
        <f>AND(((F1851)=TRUE), ((J1851)=TRUE))</f>
        <v>0</v>
      </c>
      <c r="L1851" s="4" t="b">
        <f>AND(((G1851 &lt;&gt; "plain")=TRUE), ((G1851 &lt;&gt; "")=TRUE))</f>
        <v>0</v>
      </c>
      <c r="M1851" s="4" t="str">
        <f>IF(((E1851)=TRUE),  C1851 &amp; "|" &amp; H1851,  "")</f>
        <v>principal-process-steward|Steps</v>
      </c>
      <c r="N1851" s="3" t="s">
        <v>10004</v>
      </c>
    </row>
    <row r="1852">
      <c r="A1852" s="3" t="s">
        <v>11854</v>
      </c>
      <c r="B1852" s="4" t="str">
        <f>C1852 &amp; " -&gt; " &amp; D1852</f>
        <v>principal-process-steward -&gt; Steps.UnwitnessedBlockingCount</v>
      </c>
      <c r="C1852" s="3" t="s">
        <v>9772</v>
      </c>
      <c r="D1852" s="3" t="s">
        <v>2939</v>
      </c>
      <c r="E1852" s="3" t="b">
        <v>1</v>
      </c>
      <c r="F1852" s="3" t="b">
        <v>0</v>
      </c>
      <c r="G1852" s="3" t="s">
        <v>10003</v>
      </c>
      <c r="H1852" s="4" t="str">
        <f>_xlfn.IFNA(IF(((INDEX(RulebookFields!C2:C1898, MATCH(D1852,RulebookFields!A2:A1898, 0))="")=TRUE),  "",  INDEX(RulebookFields!C2:C1898, MATCH(D1852,RulebookFields!A2:A1898, 0))), "")</f>
        <v>Steps</v>
      </c>
      <c r="I1852" s="4" t="str">
        <f>_xlfn.IFNA(IF(((INDEX(RulebookFields!D2:D1898, MATCH(D1852,RulebookFields!A2:A1898, 0))="")=TRUE),  "",  INDEX(RulebookFields!D2:D1898, MATCH(D1852,RulebookFields!A2:A1898, 0))), "")</f>
        <v>UnwitnessedBlockingCount</v>
      </c>
      <c r="J1852" s="4" t="b">
        <f>_xlfn.IFNA(IF(((INDEX(RulebookFields!I2:I1898, MATCH(D1852,RulebookFields!A2:A1898, 0))="")=TRUE),  "",  INDEX(RulebookFields!I2:I1898, MATCH(D1852,RulebookFields!A2:A1898, 0))), "")</f>
        <v>1</v>
      </c>
      <c r="K1852" s="4" t="b">
        <f>AND(((F1852)=TRUE), ((J1852)=TRUE))</f>
        <v>0</v>
      </c>
      <c r="L1852" s="4" t="b">
        <f>AND(((G1852 &lt;&gt; "plain")=TRUE), ((G1852 &lt;&gt; "")=TRUE))</f>
        <v>0</v>
      </c>
      <c r="M1852" s="4" t="str">
        <f>IF(((E1852)=TRUE),  C1852 &amp; "|" &amp; H1852,  "")</f>
        <v>principal-process-steward|Steps</v>
      </c>
      <c r="N1852" s="3" t="s">
        <v>10004</v>
      </c>
    </row>
    <row r="1853">
      <c r="A1853" s="3" t="s">
        <v>11855</v>
      </c>
      <c r="B1853" s="4" t="str">
        <f>C1853 &amp; " -&gt; " &amp; D1853</f>
        <v>principal-process-steward -&gt; Steps.SemanticTypeIri</v>
      </c>
      <c r="C1853" s="3" t="s">
        <v>9772</v>
      </c>
      <c r="D1853" s="3" t="s">
        <v>2965</v>
      </c>
      <c r="E1853" s="3" t="b">
        <v>1</v>
      </c>
      <c r="F1853" s="3" t="b">
        <v>0</v>
      </c>
      <c r="G1853" s="3" t="s">
        <v>10003</v>
      </c>
      <c r="H1853" s="4" t="str">
        <f>_xlfn.IFNA(IF(((INDEX(RulebookFields!C2:C1898, MATCH(D1853,RulebookFields!A2:A1898, 0))="")=TRUE),  "",  INDEX(RulebookFields!C2:C1898, MATCH(D1853,RulebookFields!A2:A1898, 0))), "")</f>
        <v>Steps</v>
      </c>
      <c r="I1853" s="4" t="str">
        <f>_xlfn.IFNA(IF(((INDEX(RulebookFields!D2:D1898, MATCH(D1853,RulebookFields!A2:A1898, 0))="")=TRUE),  "",  INDEX(RulebookFields!D2:D1898, MATCH(D1853,RulebookFields!A2:A1898, 0))), "")</f>
        <v>SemanticTypeIri</v>
      </c>
      <c r="J1853" s="4" t="b">
        <f>_xlfn.IFNA(IF(((INDEX(RulebookFields!I2:I1898, MATCH(D1853,RulebookFields!A2:A1898, 0))="")=TRUE),  "",  INDEX(RulebookFields!I2:I1898, MATCH(D1853,RulebookFields!A2:A1898, 0))), "")</f>
        <v>0</v>
      </c>
      <c r="K1853" s="4" t="b">
        <f>AND(((F1853)=TRUE), ((J1853)=TRUE))</f>
        <v>0</v>
      </c>
      <c r="L1853" s="4" t="b">
        <f>AND(((G1853 &lt;&gt; "plain")=TRUE), ((G1853 &lt;&gt; "")=TRUE))</f>
        <v>0</v>
      </c>
      <c r="M1853" s="4" t="str">
        <f>IF(((E1853)=TRUE),  C1853 &amp; "|" &amp; H1853,  "")</f>
        <v>principal-process-steward|Steps</v>
      </c>
      <c r="N1853" s="3" t="s">
        <v>10004</v>
      </c>
    </row>
    <row r="1854">
      <c r="A1854" s="3" t="s">
        <v>11856</v>
      </c>
      <c r="B1854" s="4" t="str">
        <f>C1854 &amp; " -&gt; " &amp; D1854</f>
        <v>principal-process-steward -&gt; StewardshipAssignments.StewardshipAssignmentId</v>
      </c>
      <c r="C1854" s="3" t="s">
        <v>9772</v>
      </c>
      <c r="D1854" s="3" t="s">
        <v>3896</v>
      </c>
      <c r="E1854" s="3" t="b">
        <v>1</v>
      </c>
      <c r="F1854" s="3" t="b">
        <v>0</v>
      </c>
      <c r="G1854" s="3" t="s">
        <v>10003</v>
      </c>
      <c r="H1854" s="4" t="str">
        <f>_xlfn.IFNA(IF(((INDEX(RulebookFields!C2:C1898, MATCH(D1854,RulebookFields!A2:A1898, 0))="")=TRUE),  "",  INDEX(RulebookFields!C2:C1898, MATCH(D1854,RulebookFields!A2:A1898, 0))), "")</f>
        <v>StewardshipAssignments</v>
      </c>
      <c r="I1854" s="4" t="str">
        <f>_xlfn.IFNA(IF(((INDEX(RulebookFields!D2:D1898, MATCH(D1854,RulebookFields!A2:A1898, 0))="")=TRUE),  "",  INDEX(RulebookFields!D2:D1898, MATCH(D1854,RulebookFields!A2:A1898, 0))), "")</f>
        <v>StewardshipAssignmentId</v>
      </c>
      <c r="J1854" s="4" t="b">
        <f>_xlfn.IFNA(IF(((INDEX(RulebookFields!I2:I1898, MATCH(D1854,RulebookFields!A2:A1898, 0))="")=TRUE),  "",  INDEX(RulebookFields!I2:I1898, MATCH(D1854,RulebookFields!A2:A1898, 0))), "")</f>
        <v>0</v>
      </c>
      <c r="K1854" s="4" t="b">
        <f>AND(((F1854)=TRUE), ((J1854)=TRUE))</f>
        <v>0</v>
      </c>
      <c r="L1854" s="4" t="b">
        <f>AND(((G1854 &lt;&gt; "plain")=TRUE), ((G1854 &lt;&gt; "")=TRUE))</f>
        <v>0</v>
      </c>
      <c r="M1854" s="4" t="str">
        <f>IF(((E1854)=TRUE),  C1854 &amp; "|" &amp; H1854,  "")</f>
        <v>principal-process-steward|StewardshipAssignments</v>
      </c>
      <c r="N1854" s="3" t="s">
        <v>10004</v>
      </c>
    </row>
    <row r="1855">
      <c r="A1855" s="3" t="s">
        <v>11857</v>
      </c>
      <c r="B1855" s="4" t="str">
        <f>C1855 &amp; " -&gt; " &amp; D1855</f>
        <v>principal-process-steward -&gt; StewardshipAssignments.Name</v>
      </c>
      <c r="C1855" s="3" t="s">
        <v>9772</v>
      </c>
      <c r="D1855" s="3" t="s">
        <v>3897</v>
      </c>
      <c r="E1855" s="3" t="b">
        <v>1</v>
      </c>
      <c r="F1855" s="3" t="b">
        <v>0</v>
      </c>
      <c r="G1855" s="3" t="s">
        <v>10003</v>
      </c>
      <c r="H1855" s="4" t="str">
        <f>_xlfn.IFNA(IF(((INDEX(RulebookFields!C2:C1898, MATCH(D1855,RulebookFields!A2:A1898, 0))="")=TRUE),  "",  INDEX(RulebookFields!C2:C1898, MATCH(D1855,RulebookFields!A2:A1898, 0))), "")</f>
        <v>StewardshipAssignments</v>
      </c>
      <c r="I1855" s="4" t="str">
        <f>_xlfn.IFNA(IF(((INDEX(RulebookFields!D2:D1898, MATCH(D1855,RulebookFields!A2:A1898, 0))="")=TRUE),  "",  INDEX(RulebookFields!D2:D1898, MATCH(D1855,RulebookFields!A2:A1898, 0))), "")</f>
        <v>Name</v>
      </c>
      <c r="J1855" s="4" t="b">
        <f>_xlfn.IFNA(IF(((INDEX(RulebookFields!I2:I1898, MATCH(D1855,RulebookFields!A2:A1898, 0))="")=TRUE),  "",  INDEX(RulebookFields!I2:I1898, MATCH(D1855,RulebookFields!A2:A1898, 0))), "")</f>
        <v>1</v>
      </c>
      <c r="K1855" s="4" t="b">
        <f>AND(((F1855)=TRUE), ((J1855)=TRUE))</f>
        <v>0</v>
      </c>
      <c r="L1855" s="4" t="b">
        <f>AND(((G1855 &lt;&gt; "plain")=TRUE), ((G1855 &lt;&gt; "")=TRUE))</f>
        <v>0</v>
      </c>
      <c r="M1855" s="4" t="str">
        <f>IF(((E1855)=TRUE),  C1855 &amp; "|" &amp; H1855,  "")</f>
        <v>principal-process-steward|StewardshipAssignments</v>
      </c>
      <c r="N1855" s="3" t="s">
        <v>10004</v>
      </c>
    </row>
    <row r="1856">
      <c r="A1856" s="3" t="s">
        <v>11858</v>
      </c>
      <c r="B1856" s="4" t="str">
        <f>C1856 &amp; " -&gt; " &amp; D1856</f>
        <v>principal-process-steward -&gt; StewardshipAssignments.ProcedureVersion</v>
      </c>
      <c r="C1856" s="3" t="s">
        <v>9772</v>
      </c>
      <c r="D1856" s="3" t="s">
        <v>3899</v>
      </c>
      <c r="E1856" s="3" t="b">
        <v>1</v>
      </c>
      <c r="F1856" s="3" t="b">
        <v>0</v>
      </c>
      <c r="G1856" s="3" t="s">
        <v>10003</v>
      </c>
      <c r="H1856" s="4" t="str">
        <f>_xlfn.IFNA(IF(((INDEX(RulebookFields!C2:C1898, MATCH(D1856,RulebookFields!A2:A1898, 0))="")=TRUE),  "",  INDEX(RulebookFields!C2:C1898, MATCH(D1856,RulebookFields!A2:A1898, 0))), "")</f>
        <v>StewardshipAssignments</v>
      </c>
      <c r="I1856" s="4" t="str">
        <f>_xlfn.IFNA(IF(((INDEX(RulebookFields!D2:D1898, MATCH(D1856,RulebookFields!A2:A1898, 0))="")=TRUE),  "",  INDEX(RulebookFields!D2:D1898, MATCH(D1856,RulebookFields!A2:A1898, 0))), "")</f>
        <v>ProcedureVersion</v>
      </c>
      <c r="J1856" s="4" t="b">
        <f>_xlfn.IFNA(IF(((INDEX(RulebookFields!I2:I1898, MATCH(D1856,RulebookFields!A2:A1898, 0))="")=TRUE),  "",  INDEX(RulebookFields!I2:I1898, MATCH(D1856,RulebookFields!A2:A1898, 0))), "")</f>
        <v>0</v>
      </c>
      <c r="K1856" s="4" t="b">
        <f>AND(((F1856)=TRUE), ((J1856)=TRUE))</f>
        <v>0</v>
      </c>
      <c r="L1856" s="4" t="b">
        <f>AND(((G1856 &lt;&gt; "plain")=TRUE), ((G1856 &lt;&gt; "")=TRUE))</f>
        <v>0</v>
      </c>
      <c r="M1856" s="4" t="str">
        <f>IF(((E1856)=TRUE),  C1856 &amp; "|" &amp; H1856,  "")</f>
        <v>principal-process-steward|StewardshipAssignments</v>
      </c>
      <c r="N1856" s="3" t="s">
        <v>10004</v>
      </c>
    </row>
    <row r="1857">
      <c r="A1857" s="3" t="s">
        <v>11859</v>
      </c>
      <c r="B1857" s="4" t="str">
        <f>C1857 &amp; " -&gt; " &amp; D1857</f>
        <v>principal-process-steward -&gt; StewardshipAssignments.StewardRole</v>
      </c>
      <c r="C1857" s="3" t="s">
        <v>9772</v>
      </c>
      <c r="D1857" s="3" t="s">
        <v>3900</v>
      </c>
      <c r="E1857" s="3" t="b">
        <v>1</v>
      </c>
      <c r="F1857" s="3" t="b">
        <v>0</v>
      </c>
      <c r="G1857" s="3" t="s">
        <v>10003</v>
      </c>
      <c r="H1857" s="4" t="str">
        <f>_xlfn.IFNA(IF(((INDEX(RulebookFields!C2:C1898, MATCH(D1857,RulebookFields!A2:A1898, 0))="")=TRUE),  "",  INDEX(RulebookFields!C2:C1898, MATCH(D1857,RulebookFields!A2:A1898, 0))), "")</f>
        <v>StewardshipAssignments</v>
      </c>
      <c r="I1857" s="4" t="str">
        <f>_xlfn.IFNA(IF(((INDEX(RulebookFields!D2:D1898, MATCH(D1857,RulebookFields!A2:A1898, 0))="")=TRUE),  "",  INDEX(RulebookFields!D2:D1898, MATCH(D1857,RulebookFields!A2:A1898, 0))), "")</f>
        <v>StewardRole</v>
      </c>
      <c r="J1857" s="4" t="b">
        <f>_xlfn.IFNA(IF(((INDEX(RulebookFields!I2:I1898, MATCH(D1857,RulebookFields!A2:A1898, 0))="")=TRUE),  "",  INDEX(RulebookFields!I2:I1898, MATCH(D1857,RulebookFields!A2:A1898, 0))), "")</f>
        <v>0</v>
      </c>
      <c r="K1857" s="4" t="b">
        <f>AND(((F1857)=TRUE), ((J1857)=TRUE))</f>
        <v>0</v>
      </c>
      <c r="L1857" s="4" t="b">
        <f>AND(((G1857 &lt;&gt; "plain")=TRUE), ((G1857 &lt;&gt; "")=TRUE))</f>
        <v>0</v>
      </c>
      <c r="M1857" s="4" t="str">
        <f>IF(((E1857)=TRUE),  C1857 &amp; "|" &amp; H1857,  "")</f>
        <v>principal-process-steward|StewardshipAssignments</v>
      </c>
      <c r="N1857" s="3" t="s">
        <v>10004</v>
      </c>
    </row>
    <row r="1858">
      <c r="A1858" s="3" t="s">
        <v>11860</v>
      </c>
      <c r="B1858" s="4" t="str">
        <f>C1858 &amp; " -&gt; " &amp; D1858</f>
        <v>principal-process-steward -&gt; StewardshipAssignments.AuthorityRole</v>
      </c>
      <c r="C1858" s="3" t="s">
        <v>9772</v>
      </c>
      <c r="D1858" s="3" t="s">
        <v>3901</v>
      </c>
      <c r="E1858" s="3" t="b">
        <v>1</v>
      </c>
      <c r="F1858" s="3" t="b">
        <v>0</v>
      </c>
      <c r="G1858" s="3" t="s">
        <v>10003</v>
      </c>
      <c r="H1858" s="4" t="str">
        <f>_xlfn.IFNA(IF(((INDEX(RulebookFields!C2:C1898, MATCH(D1858,RulebookFields!A2:A1898, 0))="")=TRUE),  "",  INDEX(RulebookFields!C2:C1898, MATCH(D1858,RulebookFields!A2:A1898, 0))), "")</f>
        <v>StewardshipAssignments</v>
      </c>
      <c r="I1858" s="4" t="str">
        <f>_xlfn.IFNA(IF(((INDEX(RulebookFields!D2:D1898, MATCH(D1858,RulebookFields!A2:A1898, 0))="")=TRUE),  "",  INDEX(RulebookFields!D2:D1898, MATCH(D1858,RulebookFields!A2:A1898, 0))), "")</f>
        <v>AuthorityRole</v>
      </c>
      <c r="J1858" s="4" t="b">
        <f>_xlfn.IFNA(IF(((INDEX(RulebookFields!I2:I1898, MATCH(D1858,RulebookFields!A2:A1898, 0))="")=TRUE),  "",  INDEX(RulebookFields!I2:I1898, MATCH(D1858,RulebookFields!A2:A1898, 0))), "")</f>
        <v>0</v>
      </c>
      <c r="K1858" s="4" t="b">
        <f>AND(((F1858)=TRUE), ((J1858)=TRUE))</f>
        <v>0</v>
      </c>
      <c r="L1858" s="4" t="b">
        <f>AND(((G1858 &lt;&gt; "plain")=TRUE), ((G1858 &lt;&gt; "")=TRUE))</f>
        <v>0</v>
      </c>
      <c r="M1858" s="4" t="str">
        <f>IF(((E1858)=TRUE),  C1858 &amp; "|" &amp; H1858,  "")</f>
        <v>principal-process-steward|StewardshipAssignments</v>
      </c>
      <c r="N1858" s="3" t="s">
        <v>10004</v>
      </c>
    </row>
    <row r="1859">
      <c r="A1859" s="3" t="s">
        <v>11861</v>
      </c>
      <c r="B1859" s="4" t="str">
        <f>C1859 &amp; " -&gt; " &amp; D1859</f>
        <v>principal-process-steward -&gt; StewardshipAssignments.ValidFrom</v>
      </c>
      <c r="C1859" s="3" t="s">
        <v>9772</v>
      </c>
      <c r="D1859" s="3" t="s">
        <v>3902</v>
      </c>
      <c r="E1859" s="3" t="b">
        <v>1</v>
      </c>
      <c r="F1859" s="3" t="b">
        <v>0</v>
      </c>
      <c r="G1859" s="3" t="s">
        <v>10003</v>
      </c>
      <c r="H1859" s="4" t="str">
        <f>_xlfn.IFNA(IF(((INDEX(RulebookFields!C2:C1898, MATCH(D1859,RulebookFields!A2:A1898, 0))="")=TRUE),  "",  INDEX(RulebookFields!C2:C1898, MATCH(D1859,RulebookFields!A2:A1898, 0))), "")</f>
        <v>StewardshipAssignments</v>
      </c>
      <c r="I1859" s="4" t="str">
        <f>_xlfn.IFNA(IF(((INDEX(RulebookFields!D2:D1898, MATCH(D1859,RulebookFields!A2:A1898, 0))="")=TRUE),  "",  INDEX(RulebookFields!D2:D1898, MATCH(D1859,RulebookFields!A2:A1898, 0))), "")</f>
        <v>ValidFrom</v>
      </c>
      <c r="J1859" s="4" t="b">
        <f>_xlfn.IFNA(IF(((INDEX(RulebookFields!I2:I1898, MATCH(D1859,RulebookFields!A2:A1898, 0))="")=TRUE),  "",  INDEX(RulebookFields!I2:I1898, MATCH(D1859,RulebookFields!A2:A1898, 0))), "")</f>
        <v>0</v>
      </c>
      <c r="K1859" s="4" t="b">
        <f>AND(((F1859)=TRUE), ((J1859)=TRUE))</f>
        <v>0</v>
      </c>
      <c r="L1859" s="4" t="b">
        <f>AND(((G1859 &lt;&gt; "plain")=TRUE), ((G1859 &lt;&gt; "")=TRUE))</f>
        <v>0</v>
      </c>
      <c r="M1859" s="4" t="str">
        <f>IF(((E1859)=TRUE),  C1859 &amp; "|" &amp; H1859,  "")</f>
        <v>principal-process-steward|StewardshipAssignments</v>
      </c>
      <c r="N1859" s="3" t="s">
        <v>10004</v>
      </c>
    </row>
    <row r="1860">
      <c r="A1860" s="3" t="s">
        <v>11862</v>
      </c>
      <c r="B1860" s="4" t="str">
        <f>C1860 &amp; " -&gt; " &amp; D1860</f>
        <v>principal-process-steward -&gt; StewardshipAssignments.ValidTo</v>
      </c>
      <c r="C1860" s="3" t="s">
        <v>9772</v>
      </c>
      <c r="D1860" s="3" t="s">
        <v>3903</v>
      </c>
      <c r="E1860" s="3" t="b">
        <v>1</v>
      </c>
      <c r="F1860" s="3" t="b">
        <v>0</v>
      </c>
      <c r="G1860" s="3" t="s">
        <v>10003</v>
      </c>
      <c r="H1860" s="4" t="str">
        <f>_xlfn.IFNA(IF(((INDEX(RulebookFields!C2:C1898, MATCH(D1860,RulebookFields!A2:A1898, 0))="")=TRUE),  "",  INDEX(RulebookFields!C2:C1898, MATCH(D1860,RulebookFields!A2:A1898, 0))), "")</f>
        <v>StewardshipAssignments</v>
      </c>
      <c r="I1860" s="4" t="str">
        <f>_xlfn.IFNA(IF(((INDEX(RulebookFields!D2:D1898, MATCH(D1860,RulebookFields!A2:A1898, 0))="")=TRUE),  "",  INDEX(RulebookFields!D2:D1898, MATCH(D1860,RulebookFields!A2:A1898, 0))), "")</f>
        <v>ValidTo</v>
      </c>
      <c r="J1860" s="4" t="b">
        <f>_xlfn.IFNA(IF(((INDEX(RulebookFields!I2:I1898, MATCH(D1860,RulebookFields!A2:A1898, 0))="")=TRUE),  "",  INDEX(RulebookFields!I2:I1898, MATCH(D1860,RulebookFields!A2:A1898, 0))), "")</f>
        <v>0</v>
      </c>
      <c r="K1860" s="4" t="b">
        <f>AND(((F1860)=TRUE), ((J1860)=TRUE))</f>
        <v>0</v>
      </c>
      <c r="L1860" s="4" t="b">
        <f>AND(((G1860 &lt;&gt; "plain")=TRUE), ((G1860 &lt;&gt; "")=TRUE))</f>
        <v>0</v>
      </c>
      <c r="M1860" s="4" t="str">
        <f>IF(((E1860)=TRUE),  C1860 &amp; "|" &amp; H1860,  "")</f>
        <v>principal-process-steward|StewardshipAssignments</v>
      </c>
      <c r="N1860" s="3" t="s">
        <v>10004</v>
      </c>
    </row>
    <row r="1861">
      <c r="A1861" s="3" t="s">
        <v>11863</v>
      </c>
      <c r="B1861" s="4" t="str">
        <f>C1861 &amp; " -&gt; " &amp; D1861</f>
        <v>principal-process-steward -&gt; StewardshipAssignments.ReviewCadenceDays</v>
      </c>
      <c r="C1861" s="3" t="s">
        <v>9772</v>
      </c>
      <c r="D1861" s="3" t="s">
        <v>3904</v>
      </c>
      <c r="E1861" s="3" t="b">
        <v>1</v>
      </c>
      <c r="F1861" s="3" t="b">
        <v>0</v>
      </c>
      <c r="G1861" s="3" t="s">
        <v>10003</v>
      </c>
      <c r="H1861" s="4" t="str">
        <f>_xlfn.IFNA(IF(((INDEX(RulebookFields!C2:C1898, MATCH(D1861,RulebookFields!A2:A1898, 0))="")=TRUE),  "",  INDEX(RulebookFields!C2:C1898, MATCH(D1861,RulebookFields!A2:A1898, 0))), "")</f>
        <v>StewardshipAssignments</v>
      </c>
      <c r="I1861" s="4" t="str">
        <f>_xlfn.IFNA(IF(((INDEX(RulebookFields!D2:D1898, MATCH(D1861,RulebookFields!A2:A1898, 0))="")=TRUE),  "",  INDEX(RulebookFields!D2:D1898, MATCH(D1861,RulebookFields!A2:A1898, 0))), "")</f>
        <v>ReviewCadenceDays</v>
      </c>
      <c r="J1861" s="4" t="b">
        <f>_xlfn.IFNA(IF(((INDEX(RulebookFields!I2:I1898, MATCH(D1861,RulebookFields!A2:A1898, 0))="")=TRUE),  "",  INDEX(RulebookFields!I2:I1898, MATCH(D1861,RulebookFields!A2:A1898, 0))), "")</f>
        <v>0</v>
      </c>
      <c r="K1861" s="4" t="b">
        <f>AND(((F1861)=TRUE), ((J1861)=TRUE))</f>
        <v>0</v>
      </c>
      <c r="L1861" s="4" t="b">
        <f>AND(((G1861 &lt;&gt; "plain")=TRUE), ((G1861 &lt;&gt; "")=TRUE))</f>
        <v>0</v>
      </c>
      <c r="M1861" s="4" t="str">
        <f>IF(((E1861)=TRUE),  C1861 &amp; "|" &amp; H1861,  "")</f>
        <v>principal-process-steward|StewardshipAssignments</v>
      </c>
      <c r="N1861" s="3" t="s">
        <v>10004</v>
      </c>
    </row>
    <row r="1862">
      <c r="A1862" s="3" t="s">
        <v>11864</v>
      </c>
      <c r="B1862" s="4" t="str">
        <f>C1862 &amp; " -&gt; " &amp; D1862</f>
        <v>principal-process-steward -&gt; StewardshipAssignments.CountOfReviewEvents</v>
      </c>
      <c r="C1862" s="3" t="s">
        <v>9772</v>
      </c>
      <c r="D1862" s="3" t="s">
        <v>3905</v>
      </c>
      <c r="E1862" s="3" t="b">
        <v>1</v>
      </c>
      <c r="F1862" s="3" t="b">
        <v>0</v>
      </c>
      <c r="G1862" s="3" t="s">
        <v>10003</v>
      </c>
      <c r="H1862" s="4" t="str">
        <f>_xlfn.IFNA(IF(((INDEX(RulebookFields!C2:C1898, MATCH(D1862,RulebookFields!A2:A1898, 0))="")=TRUE),  "",  INDEX(RulebookFields!C2:C1898, MATCH(D1862,RulebookFields!A2:A1898, 0))), "")</f>
        <v>StewardshipAssignments</v>
      </c>
      <c r="I1862" s="4" t="str">
        <f>_xlfn.IFNA(IF(((INDEX(RulebookFields!D2:D1898, MATCH(D1862,RulebookFields!A2:A1898, 0))="")=TRUE),  "",  INDEX(RulebookFields!D2:D1898, MATCH(D1862,RulebookFields!A2:A1898, 0))), "")</f>
        <v>CountOfReviewEvents</v>
      </c>
      <c r="J1862" s="4" t="b">
        <f>_xlfn.IFNA(IF(((INDEX(RulebookFields!I2:I1898, MATCH(D1862,RulebookFields!A2:A1898, 0))="")=TRUE),  "",  INDEX(RulebookFields!I2:I1898, MATCH(D1862,RulebookFields!A2:A1898, 0))), "")</f>
        <v>1</v>
      </c>
      <c r="K1862" s="4" t="b">
        <f>AND(((F1862)=TRUE), ((J1862)=TRUE))</f>
        <v>0</v>
      </c>
      <c r="L1862" s="4" t="b">
        <f>AND(((G1862 &lt;&gt; "plain")=TRUE), ((G1862 &lt;&gt; "")=TRUE))</f>
        <v>0</v>
      </c>
      <c r="M1862" s="4" t="str">
        <f>IF(((E1862)=TRUE),  C1862 &amp; "|" &amp; H1862,  "")</f>
        <v>principal-process-steward|StewardshipAssignments</v>
      </c>
      <c r="N1862" s="3" t="s">
        <v>10004</v>
      </c>
    </row>
    <row r="1863">
      <c r="A1863" s="3" t="s">
        <v>11865</v>
      </c>
      <c r="B1863" s="4" t="str">
        <f>C1863 &amp; " -&gt; " &amp; D1863</f>
        <v>principal-process-steward -&gt; StewardshipAssignments.HasEverBeenReviewed</v>
      </c>
      <c r="C1863" s="3" t="s">
        <v>9772</v>
      </c>
      <c r="D1863" s="3" t="s">
        <v>3907</v>
      </c>
      <c r="E1863" s="3" t="b">
        <v>1</v>
      </c>
      <c r="F1863" s="3" t="b">
        <v>0</v>
      </c>
      <c r="G1863" s="3" t="s">
        <v>10003</v>
      </c>
      <c r="H1863" s="4" t="str">
        <f>_xlfn.IFNA(IF(((INDEX(RulebookFields!C2:C1898, MATCH(D1863,RulebookFields!A2:A1898, 0))="")=TRUE),  "",  INDEX(RulebookFields!C2:C1898, MATCH(D1863,RulebookFields!A2:A1898, 0))), "")</f>
        <v>StewardshipAssignments</v>
      </c>
      <c r="I1863" s="4" t="str">
        <f>_xlfn.IFNA(IF(((INDEX(RulebookFields!D2:D1898, MATCH(D1863,RulebookFields!A2:A1898, 0))="")=TRUE),  "",  INDEX(RulebookFields!D2:D1898, MATCH(D1863,RulebookFields!A2:A1898, 0))), "")</f>
        <v>HasEverBeenReviewed</v>
      </c>
      <c r="J1863" s="4" t="b">
        <f>_xlfn.IFNA(IF(((INDEX(RulebookFields!I2:I1898, MATCH(D1863,RulebookFields!A2:A1898, 0))="")=TRUE),  "",  INDEX(RulebookFields!I2:I1898, MATCH(D1863,RulebookFields!A2:A1898, 0))), "")</f>
        <v>1</v>
      </c>
      <c r="K1863" s="4" t="b">
        <f>AND(((F1863)=TRUE), ((J1863)=TRUE))</f>
        <v>0</v>
      </c>
      <c r="L1863" s="4" t="b">
        <f>AND(((G1863 &lt;&gt; "plain")=TRUE), ((G1863 &lt;&gt; "")=TRUE))</f>
        <v>0</v>
      </c>
      <c r="M1863" s="4" t="str">
        <f>IF(((E1863)=TRUE),  C1863 &amp; "|" &amp; H1863,  "")</f>
        <v>principal-process-steward|StewardshipAssignments</v>
      </c>
      <c r="N1863" s="3" t="s">
        <v>10004</v>
      </c>
    </row>
    <row r="1864">
      <c r="A1864" s="3" t="s">
        <v>11866</v>
      </c>
      <c r="B1864" s="4" t="str">
        <f>C1864 &amp; " -&gt; " &amp; D1864</f>
        <v>principal-process-steward -&gt; StewardshipAssignments.EvaluationContext</v>
      </c>
      <c r="C1864" s="3" t="s">
        <v>9772</v>
      </c>
      <c r="D1864" s="3" t="s">
        <v>3909</v>
      </c>
      <c r="E1864" s="3" t="b">
        <v>1</v>
      </c>
      <c r="F1864" s="3" t="b">
        <v>0</v>
      </c>
      <c r="G1864" s="3" t="s">
        <v>10003</v>
      </c>
      <c r="H1864" s="4" t="str">
        <f>_xlfn.IFNA(IF(((INDEX(RulebookFields!C2:C1898, MATCH(D1864,RulebookFields!A2:A1898, 0))="")=TRUE),  "",  INDEX(RulebookFields!C2:C1898, MATCH(D1864,RulebookFields!A2:A1898, 0))), "")</f>
        <v>StewardshipAssignments</v>
      </c>
      <c r="I1864" s="4" t="str">
        <f>_xlfn.IFNA(IF(((INDEX(RulebookFields!D2:D1898, MATCH(D1864,RulebookFields!A2:A1898, 0))="")=TRUE),  "",  INDEX(RulebookFields!D2:D1898, MATCH(D1864,RulebookFields!A2:A1898, 0))), "")</f>
        <v>EvaluationContext</v>
      </c>
      <c r="J1864" s="4" t="b">
        <f>_xlfn.IFNA(IF(((INDEX(RulebookFields!I2:I1898, MATCH(D1864,RulebookFields!A2:A1898, 0))="")=TRUE),  "",  INDEX(RulebookFields!I2:I1898, MATCH(D1864,RulebookFields!A2:A1898, 0))), "")</f>
        <v>0</v>
      </c>
      <c r="K1864" s="4" t="b">
        <f>AND(((F1864)=TRUE), ((J1864)=TRUE))</f>
        <v>0</v>
      </c>
      <c r="L1864" s="4" t="b">
        <f>AND(((G1864 &lt;&gt; "plain")=TRUE), ((G1864 &lt;&gt; "")=TRUE))</f>
        <v>0</v>
      </c>
      <c r="M1864" s="4" t="str">
        <f>IF(((E1864)=TRUE),  C1864 &amp; "|" &amp; H1864,  "")</f>
        <v>principal-process-steward|StewardshipAssignments</v>
      </c>
      <c r="N1864" s="3" t="s">
        <v>10004</v>
      </c>
    </row>
    <row r="1865">
      <c r="A1865" s="3" t="s">
        <v>11867</v>
      </c>
      <c r="B1865" s="4" t="str">
        <f>C1865 &amp; " -&gt; " &amp; D1865</f>
        <v>principal-process-steward -&gt; StewardshipAssignments.AsOfInstant</v>
      </c>
      <c r="C1865" s="3" t="s">
        <v>9772</v>
      </c>
      <c r="D1865" s="3" t="s">
        <v>3910</v>
      </c>
      <c r="E1865" s="3" t="b">
        <v>1</v>
      </c>
      <c r="F1865" s="3" t="b">
        <v>0</v>
      </c>
      <c r="G1865" s="3" t="s">
        <v>10003</v>
      </c>
      <c r="H1865" s="4" t="str">
        <f>_xlfn.IFNA(IF(((INDEX(RulebookFields!C2:C1898, MATCH(D1865,RulebookFields!A2:A1898, 0))="")=TRUE),  "",  INDEX(RulebookFields!C2:C1898, MATCH(D1865,RulebookFields!A2:A1898, 0))), "")</f>
        <v>StewardshipAssignments</v>
      </c>
      <c r="I1865" s="4" t="str">
        <f>_xlfn.IFNA(IF(((INDEX(RulebookFields!D2:D1898, MATCH(D1865,RulebookFields!A2:A1898, 0))="")=TRUE),  "",  INDEX(RulebookFields!D2:D1898, MATCH(D1865,RulebookFields!A2:A1898, 0))), "")</f>
        <v>AsOfInstant</v>
      </c>
      <c r="J1865" s="4" t="b">
        <f>_xlfn.IFNA(IF(((INDEX(RulebookFields!I2:I1898, MATCH(D1865,RulebookFields!A2:A1898, 0))="")=TRUE),  "",  INDEX(RulebookFields!I2:I1898, MATCH(D1865,RulebookFields!A2:A1898, 0))), "")</f>
        <v>1</v>
      </c>
      <c r="K1865" s="4" t="b">
        <f>AND(((F1865)=TRUE), ((J1865)=TRUE))</f>
        <v>0</v>
      </c>
      <c r="L1865" s="4" t="b">
        <f>AND(((G1865 &lt;&gt; "plain")=TRUE), ((G1865 &lt;&gt; "")=TRUE))</f>
        <v>0</v>
      </c>
      <c r="M1865" s="4" t="str">
        <f>IF(((E1865)=TRUE),  C1865 &amp; "|" &amp; H1865,  "")</f>
        <v>principal-process-steward|StewardshipAssignments</v>
      </c>
      <c r="N1865" s="3" t="s">
        <v>10004</v>
      </c>
    </row>
    <row r="1866">
      <c r="A1866" s="3" t="s">
        <v>11868</v>
      </c>
      <c r="B1866" s="4" t="str">
        <f>C1866 &amp; " -&gt; " &amp; D1866</f>
        <v>principal-process-steward -&gt; StewardshipAssignments.IsCurrentAssignment</v>
      </c>
      <c r="C1866" s="3" t="s">
        <v>9772</v>
      </c>
      <c r="D1866" s="3" t="s">
        <v>3911</v>
      </c>
      <c r="E1866" s="3" t="b">
        <v>1</v>
      </c>
      <c r="F1866" s="3" t="b">
        <v>0</v>
      </c>
      <c r="G1866" s="3" t="s">
        <v>10003</v>
      </c>
      <c r="H1866" s="4" t="str">
        <f>_xlfn.IFNA(IF(((INDEX(RulebookFields!C2:C1898, MATCH(D1866,RulebookFields!A2:A1898, 0))="")=TRUE),  "",  INDEX(RulebookFields!C2:C1898, MATCH(D1866,RulebookFields!A2:A1898, 0))), "")</f>
        <v>StewardshipAssignments</v>
      </c>
      <c r="I1866" s="4" t="str">
        <f>_xlfn.IFNA(IF(((INDEX(RulebookFields!D2:D1898, MATCH(D1866,RulebookFields!A2:A1898, 0))="")=TRUE),  "",  INDEX(RulebookFields!D2:D1898, MATCH(D1866,RulebookFields!A2:A1898, 0))), "")</f>
        <v>IsCurrentAssignment</v>
      </c>
      <c r="J1866" s="4" t="b">
        <f>_xlfn.IFNA(IF(((INDEX(RulebookFields!I2:I1898, MATCH(D1866,RulebookFields!A2:A1898, 0))="")=TRUE),  "",  INDEX(RulebookFields!I2:I1898, MATCH(D1866,RulebookFields!A2:A1898, 0))), "")</f>
        <v>1</v>
      </c>
      <c r="K1866" s="4" t="b">
        <f>AND(((F1866)=TRUE), ((J1866)=TRUE))</f>
        <v>0</v>
      </c>
      <c r="L1866" s="4" t="b">
        <f>AND(((G1866 &lt;&gt; "plain")=TRUE), ((G1866 &lt;&gt; "")=TRUE))</f>
        <v>0</v>
      </c>
      <c r="M1866" s="4" t="str">
        <f>IF(((E1866)=TRUE),  C1866 &amp; "|" &amp; H1866,  "")</f>
        <v>principal-process-steward|StewardshipAssignments</v>
      </c>
      <c r="N1866" s="3" t="s">
        <v>10004</v>
      </c>
    </row>
    <row r="1867">
      <c r="A1867" s="3" t="s">
        <v>11869</v>
      </c>
      <c r="B1867" s="4" t="str">
        <f>C1867 &amp; " -&gt; " &amp; D1867</f>
        <v>principal-process-steward -&gt; StewardshipAssignments.SemanticTypeIri</v>
      </c>
      <c r="C1867" s="3" t="s">
        <v>9772</v>
      </c>
      <c r="D1867" s="3" t="s">
        <v>3912</v>
      </c>
      <c r="E1867" s="3" t="b">
        <v>1</v>
      </c>
      <c r="F1867" s="3" t="b">
        <v>0</v>
      </c>
      <c r="G1867" s="3" t="s">
        <v>10003</v>
      </c>
      <c r="H1867" s="4" t="str">
        <f>_xlfn.IFNA(IF(((INDEX(RulebookFields!C2:C1898, MATCH(D1867,RulebookFields!A2:A1898, 0))="")=TRUE),  "",  INDEX(RulebookFields!C2:C1898, MATCH(D1867,RulebookFields!A2:A1898, 0))), "")</f>
        <v>StewardshipAssignments</v>
      </c>
      <c r="I1867" s="4" t="str">
        <f>_xlfn.IFNA(IF(((INDEX(RulebookFields!D2:D1898, MATCH(D1867,RulebookFields!A2:A1898, 0))="")=TRUE),  "",  INDEX(RulebookFields!D2:D1898, MATCH(D1867,RulebookFields!A2:A1898, 0))), "")</f>
        <v>SemanticTypeIri</v>
      </c>
      <c r="J1867" s="4" t="b">
        <f>_xlfn.IFNA(IF(((INDEX(RulebookFields!I2:I1898, MATCH(D1867,RulebookFields!A2:A1898, 0))="")=TRUE),  "",  INDEX(RulebookFields!I2:I1898, MATCH(D1867,RulebookFields!A2:A1898, 0))), "")</f>
        <v>0</v>
      </c>
      <c r="K1867" s="4" t="b">
        <f>AND(((F1867)=TRUE), ((J1867)=TRUE))</f>
        <v>0</v>
      </c>
      <c r="L1867" s="4" t="b">
        <f>AND(((G1867 &lt;&gt; "plain")=TRUE), ((G1867 &lt;&gt; "")=TRUE))</f>
        <v>0</v>
      </c>
      <c r="M1867" s="4" t="str">
        <f>IF(((E1867)=TRUE),  C1867 &amp; "|" &amp; H1867,  "")</f>
        <v>principal-process-steward|StewardshipAssignments</v>
      </c>
      <c r="N1867" s="3" t="s">
        <v>10004</v>
      </c>
    </row>
    <row r="1868">
      <c r="A1868" s="3" t="s">
        <v>11870</v>
      </c>
      <c r="B1868" s="4" t="str">
        <f>C1868 &amp; " -&gt; " &amp; D1868</f>
        <v>principal-process-steward -&gt; TemplateApprovals.TemplateApprovalId</v>
      </c>
      <c r="C1868" s="3" t="s">
        <v>9772</v>
      </c>
      <c r="D1868" s="3" t="s">
        <v>4697</v>
      </c>
      <c r="E1868" s="3" t="b">
        <v>1</v>
      </c>
      <c r="F1868" s="3" t="b">
        <v>0</v>
      </c>
      <c r="G1868" s="3" t="s">
        <v>10003</v>
      </c>
      <c r="H1868" s="4" t="str">
        <f>_xlfn.IFNA(IF(((INDEX(RulebookFields!C2:C1898, MATCH(D1868,RulebookFields!A2:A1898, 0))="")=TRUE),  "",  INDEX(RulebookFields!C2:C1898, MATCH(D1868,RulebookFields!A2:A1898, 0))), "")</f>
        <v>TemplateApprovals</v>
      </c>
      <c r="I1868" s="4" t="str">
        <f>_xlfn.IFNA(IF(((INDEX(RulebookFields!D2:D1898, MATCH(D1868,RulebookFields!A2:A1898, 0))="")=TRUE),  "",  INDEX(RulebookFields!D2:D1898, MATCH(D1868,RulebookFields!A2:A1898, 0))), "")</f>
        <v>TemplateApprovalId</v>
      </c>
      <c r="J1868" s="4" t="b">
        <f>_xlfn.IFNA(IF(((INDEX(RulebookFields!I2:I1898, MATCH(D1868,RulebookFields!A2:A1898, 0))="")=TRUE),  "",  INDEX(RulebookFields!I2:I1898, MATCH(D1868,RulebookFields!A2:A1898, 0))), "")</f>
        <v>0</v>
      </c>
      <c r="K1868" s="4" t="b">
        <f>AND(((F1868)=TRUE), ((J1868)=TRUE))</f>
        <v>0</v>
      </c>
      <c r="L1868" s="4" t="b">
        <f>AND(((G1868 &lt;&gt; "plain")=TRUE), ((G1868 &lt;&gt; "")=TRUE))</f>
        <v>0</v>
      </c>
      <c r="M1868" s="4" t="str">
        <f>IF(((E1868)=TRUE),  C1868 &amp; "|" &amp; H1868,  "")</f>
        <v>principal-process-steward|TemplateApprovals</v>
      </c>
      <c r="N1868" s="3" t="s">
        <v>10004</v>
      </c>
    </row>
    <row r="1869">
      <c r="A1869" s="3" t="s">
        <v>11871</v>
      </c>
      <c r="B1869" s="4" t="str">
        <f>C1869 &amp; " -&gt; " &amp; D1869</f>
        <v>principal-process-steward -&gt; TemplateApprovals.Name</v>
      </c>
      <c r="C1869" s="3" t="s">
        <v>9772</v>
      </c>
      <c r="D1869" s="3" t="s">
        <v>4700</v>
      </c>
      <c r="E1869" s="3" t="b">
        <v>1</v>
      </c>
      <c r="F1869" s="3" t="b">
        <v>0</v>
      </c>
      <c r="G1869" s="3" t="s">
        <v>10003</v>
      </c>
      <c r="H1869" s="4" t="str">
        <f>_xlfn.IFNA(IF(((INDEX(RulebookFields!C2:C1898, MATCH(D1869,RulebookFields!A2:A1898, 0))="")=TRUE),  "",  INDEX(RulebookFields!C2:C1898, MATCH(D1869,RulebookFields!A2:A1898, 0))), "")</f>
        <v>TemplateApprovals</v>
      </c>
      <c r="I1869" s="4" t="str">
        <f>_xlfn.IFNA(IF(((INDEX(RulebookFields!D2:D1898, MATCH(D1869,RulebookFields!A2:A1898, 0))="")=TRUE),  "",  INDEX(RulebookFields!D2:D1898, MATCH(D1869,RulebookFields!A2:A1898, 0))), "")</f>
        <v>Name</v>
      </c>
      <c r="J1869" s="4" t="b">
        <f>_xlfn.IFNA(IF(((INDEX(RulebookFields!I2:I1898, MATCH(D1869,RulebookFields!A2:A1898, 0))="")=TRUE),  "",  INDEX(RulebookFields!I2:I1898, MATCH(D1869,RulebookFields!A2:A1898, 0))), "")</f>
        <v>1</v>
      </c>
      <c r="K1869" s="4" t="b">
        <f>AND(((F1869)=TRUE), ((J1869)=TRUE))</f>
        <v>0</v>
      </c>
      <c r="L1869" s="4" t="b">
        <f>AND(((G1869 &lt;&gt; "plain")=TRUE), ((G1869 &lt;&gt; "")=TRUE))</f>
        <v>0</v>
      </c>
      <c r="M1869" s="4" t="str">
        <f>IF(((E1869)=TRUE),  C1869 &amp; "|" &amp; H1869,  "")</f>
        <v>principal-process-steward|TemplateApprovals</v>
      </c>
      <c r="N1869" s="3" t="s">
        <v>10004</v>
      </c>
    </row>
    <row r="1870">
      <c r="A1870" s="3" t="s">
        <v>11872</v>
      </c>
      <c r="B1870" s="4" t="str">
        <f>C1870 &amp; " -&gt; " &amp; D1870</f>
        <v>principal-process-steward -&gt; TemplateApprovals.MessageTemplate</v>
      </c>
      <c r="C1870" s="3" t="s">
        <v>9772</v>
      </c>
      <c r="D1870" s="3" t="s">
        <v>4702</v>
      </c>
      <c r="E1870" s="3" t="b">
        <v>1</v>
      </c>
      <c r="F1870" s="3" t="b">
        <v>0</v>
      </c>
      <c r="G1870" s="3" t="s">
        <v>10003</v>
      </c>
      <c r="H1870" s="4" t="str">
        <f>_xlfn.IFNA(IF(((INDEX(RulebookFields!C2:C1898, MATCH(D1870,RulebookFields!A2:A1898, 0))="")=TRUE),  "",  INDEX(RulebookFields!C2:C1898, MATCH(D1870,RulebookFields!A2:A1898, 0))), "")</f>
        <v>TemplateApprovals</v>
      </c>
      <c r="I1870" s="4" t="str">
        <f>_xlfn.IFNA(IF(((INDEX(RulebookFields!D2:D1898, MATCH(D1870,RulebookFields!A2:A1898, 0))="")=TRUE),  "",  INDEX(RulebookFields!D2:D1898, MATCH(D1870,RulebookFields!A2:A1898, 0))), "")</f>
        <v>MessageTemplate</v>
      </c>
      <c r="J1870" s="4" t="b">
        <f>_xlfn.IFNA(IF(((INDEX(RulebookFields!I2:I1898, MATCH(D1870,RulebookFields!A2:A1898, 0))="")=TRUE),  "",  INDEX(RulebookFields!I2:I1898, MATCH(D1870,RulebookFields!A2:A1898, 0))), "")</f>
        <v>0</v>
      </c>
      <c r="K1870" s="4" t="b">
        <f>AND(((F1870)=TRUE), ((J1870)=TRUE))</f>
        <v>0</v>
      </c>
      <c r="L1870" s="4" t="b">
        <f>AND(((G1870 &lt;&gt; "plain")=TRUE), ((G1870 &lt;&gt; "")=TRUE))</f>
        <v>0</v>
      </c>
      <c r="M1870" s="4" t="str">
        <f>IF(((E1870)=TRUE),  C1870 &amp; "|" &amp; H1870,  "")</f>
        <v>principal-process-steward|TemplateApprovals</v>
      </c>
      <c r="N1870" s="3" t="s">
        <v>10004</v>
      </c>
    </row>
    <row r="1871">
      <c r="A1871" s="3" t="s">
        <v>11873</v>
      </c>
      <c r="B1871" s="4" t="str">
        <f>C1871 &amp; " -&gt; " &amp; D1871</f>
        <v>principal-process-steward -&gt; TemplateApprovals.DecidedByAgent</v>
      </c>
      <c r="C1871" s="3" t="s">
        <v>9772</v>
      </c>
      <c r="D1871" s="3" t="s">
        <v>4703</v>
      </c>
      <c r="E1871" s="3" t="b">
        <v>1</v>
      </c>
      <c r="F1871" s="3" t="b">
        <v>0</v>
      </c>
      <c r="G1871" s="3" t="s">
        <v>10003</v>
      </c>
      <c r="H1871" s="4" t="str">
        <f>_xlfn.IFNA(IF(((INDEX(RulebookFields!C2:C1898, MATCH(D1871,RulebookFields!A2:A1898, 0))="")=TRUE),  "",  INDEX(RulebookFields!C2:C1898, MATCH(D1871,RulebookFields!A2:A1898, 0))), "")</f>
        <v>TemplateApprovals</v>
      </c>
      <c r="I1871" s="4" t="str">
        <f>_xlfn.IFNA(IF(((INDEX(RulebookFields!D2:D1898, MATCH(D1871,RulebookFields!A2:A1898, 0))="")=TRUE),  "",  INDEX(RulebookFields!D2:D1898, MATCH(D1871,RulebookFields!A2:A1898, 0))), "")</f>
        <v>DecidedByAgent</v>
      </c>
      <c r="J1871" s="4" t="b">
        <f>_xlfn.IFNA(IF(((INDEX(RulebookFields!I2:I1898, MATCH(D1871,RulebookFields!A2:A1898, 0))="")=TRUE),  "",  INDEX(RulebookFields!I2:I1898, MATCH(D1871,RulebookFields!A2:A1898, 0))), "")</f>
        <v>0</v>
      </c>
      <c r="K1871" s="4" t="b">
        <f>AND(((F1871)=TRUE), ((J1871)=TRUE))</f>
        <v>0</v>
      </c>
      <c r="L1871" s="4" t="b">
        <f>AND(((G1871 &lt;&gt; "plain")=TRUE), ((G1871 &lt;&gt; "")=TRUE))</f>
        <v>0</v>
      </c>
      <c r="M1871" s="4" t="str">
        <f>IF(((E1871)=TRUE),  C1871 &amp; "|" &amp; H1871,  "")</f>
        <v>principal-process-steward|TemplateApprovals</v>
      </c>
      <c r="N1871" s="3" t="s">
        <v>10004</v>
      </c>
    </row>
    <row r="1872">
      <c r="A1872" s="3" t="s">
        <v>11874</v>
      </c>
      <c r="B1872" s="4" t="str">
        <f>C1872 &amp; " -&gt; " &amp; D1872</f>
        <v>principal-process-steward -&gt; TemplateApprovals.DecidedInRole</v>
      </c>
      <c r="C1872" s="3" t="s">
        <v>9772</v>
      </c>
      <c r="D1872" s="3" t="s">
        <v>4705</v>
      </c>
      <c r="E1872" s="3" t="b">
        <v>1</v>
      </c>
      <c r="F1872" s="3" t="b">
        <v>0</v>
      </c>
      <c r="G1872" s="3" t="s">
        <v>10003</v>
      </c>
      <c r="H1872" s="4" t="str">
        <f>_xlfn.IFNA(IF(((INDEX(RulebookFields!C2:C1898, MATCH(D1872,RulebookFields!A2:A1898, 0))="")=TRUE),  "",  INDEX(RulebookFields!C2:C1898, MATCH(D1872,RulebookFields!A2:A1898, 0))), "")</f>
        <v>TemplateApprovals</v>
      </c>
      <c r="I1872" s="4" t="str">
        <f>_xlfn.IFNA(IF(((INDEX(RulebookFields!D2:D1898, MATCH(D1872,RulebookFields!A2:A1898, 0))="")=TRUE),  "",  INDEX(RulebookFields!D2:D1898, MATCH(D1872,RulebookFields!A2:A1898, 0))), "")</f>
        <v>DecidedInRole</v>
      </c>
      <c r="J1872" s="4" t="b">
        <f>_xlfn.IFNA(IF(((INDEX(RulebookFields!I2:I1898, MATCH(D1872,RulebookFields!A2:A1898, 0))="")=TRUE),  "",  INDEX(RulebookFields!I2:I1898, MATCH(D1872,RulebookFields!A2:A1898, 0))), "")</f>
        <v>0</v>
      </c>
      <c r="K1872" s="4" t="b">
        <f>AND(((F1872)=TRUE), ((J1872)=TRUE))</f>
        <v>0</v>
      </c>
      <c r="L1872" s="4" t="b">
        <f>AND(((G1872 &lt;&gt; "plain")=TRUE), ((G1872 &lt;&gt; "")=TRUE))</f>
        <v>0</v>
      </c>
      <c r="M1872" s="4" t="str">
        <f>IF(((E1872)=TRUE),  C1872 &amp; "|" &amp; H1872,  "")</f>
        <v>principal-process-steward|TemplateApprovals</v>
      </c>
      <c r="N1872" s="3" t="s">
        <v>10004</v>
      </c>
    </row>
    <row r="1873">
      <c r="A1873" s="3" t="s">
        <v>11875</v>
      </c>
      <c r="B1873" s="4" t="str">
        <f>C1873 &amp; " -&gt; " &amp; D1873</f>
        <v>principal-process-steward -&gt; TemplateApprovals.Decision</v>
      </c>
      <c r="C1873" s="3" t="s">
        <v>9772</v>
      </c>
      <c r="D1873" s="3" t="s">
        <v>4707</v>
      </c>
      <c r="E1873" s="3" t="b">
        <v>1</v>
      </c>
      <c r="F1873" s="3" t="b">
        <v>0</v>
      </c>
      <c r="G1873" s="3" t="s">
        <v>10003</v>
      </c>
      <c r="H1873" s="4" t="str">
        <f>_xlfn.IFNA(IF(((INDEX(RulebookFields!C2:C1898, MATCH(D1873,RulebookFields!A2:A1898, 0))="")=TRUE),  "",  INDEX(RulebookFields!C2:C1898, MATCH(D1873,RulebookFields!A2:A1898, 0))), "")</f>
        <v>TemplateApprovals</v>
      </c>
      <c r="I1873" s="4" t="str">
        <f>_xlfn.IFNA(IF(((INDEX(RulebookFields!D2:D1898, MATCH(D1873,RulebookFields!A2:A1898, 0))="")=TRUE),  "",  INDEX(RulebookFields!D2:D1898, MATCH(D1873,RulebookFields!A2:A1898, 0))), "")</f>
        <v>Decision</v>
      </c>
      <c r="J1873" s="4" t="b">
        <f>_xlfn.IFNA(IF(((INDEX(RulebookFields!I2:I1898, MATCH(D1873,RulebookFields!A2:A1898, 0))="")=TRUE),  "",  INDEX(RulebookFields!I2:I1898, MATCH(D1873,RulebookFields!A2:A1898, 0))), "")</f>
        <v>0</v>
      </c>
      <c r="K1873" s="4" t="b">
        <f>AND(((F1873)=TRUE), ((J1873)=TRUE))</f>
        <v>0</v>
      </c>
      <c r="L1873" s="4" t="b">
        <f>AND(((G1873 &lt;&gt; "plain")=TRUE), ((G1873 &lt;&gt; "")=TRUE))</f>
        <v>0</v>
      </c>
      <c r="M1873" s="4" t="str">
        <f>IF(((E1873)=TRUE),  C1873 &amp; "|" &amp; H1873,  "")</f>
        <v>principal-process-steward|TemplateApprovals</v>
      </c>
      <c r="N1873" s="3" t="s">
        <v>10004</v>
      </c>
    </row>
    <row r="1874">
      <c r="A1874" s="3" t="s">
        <v>11876</v>
      </c>
      <c r="B1874" s="4" t="str">
        <f>C1874 &amp; " -&gt; " &amp; D1874</f>
        <v>principal-process-steward -&gt; TemplateApprovals.DecidedAt</v>
      </c>
      <c r="C1874" s="3" t="s">
        <v>9772</v>
      </c>
      <c r="D1874" s="3" t="s">
        <v>4709</v>
      </c>
      <c r="E1874" s="3" t="b">
        <v>1</v>
      </c>
      <c r="F1874" s="3" t="b">
        <v>0</v>
      </c>
      <c r="G1874" s="3" t="s">
        <v>10003</v>
      </c>
      <c r="H1874" s="4" t="str">
        <f>_xlfn.IFNA(IF(((INDEX(RulebookFields!C2:C1898, MATCH(D1874,RulebookFields!A2:A1898, 0))="")=TRUE),  "",  INDEX(RulebookFields!C2:C1898, MATCH(D1874,RulebookFields!A2:A1898, 0))), "")</f>
        <v>TemplateApprovals</v>
      </c>
      <c r="I1874" s="4" t="str">
        <f>_xlfn.IFNA(IF(((INDEX(RulebookFields!D2:D1898, MATCH(D1874,RulebookFields!A2:A1898, 0))="")=TRUE),  "",  INDEX(RulebookFields!D2:D1898, MATCH(D1874,RulebookFields!A2:A1898, 0))), "")</f>
        <v>DecidedAt</v>
      </c>
      <c r="J1874" s="4" t="b">
        <f>_xlfn.IFNA(IF(((INDEX(RulebookFields!I2:I1898, MATCH(D1874,RulebookFields!A2:A1898, 0))="")=TRUE),  "",  INDEX(RulebookFields!I2:I1898, MATCH(D1874,RulebookFields!A2:A1898, 0))), "")</f>
        <v>0</v>
      </c>
      <c r="K1874" s="4" t="b">
        <f>AND(((F1874)=TRUE), ((J1874)=TRUE))</f>
        <v>0</v>
      </c>
      <c r="L1874" s="4" t="b">
        <f>AND(((G1874 &lt;&gt; "plain")=TRUE), ((G1874 &lt;&gt; "")=TRUE))</f>
        <v>0</v>
      </c>
      <c r="M1874" s="4" t="str">
        <f>IF(((E1874)=TRUE),  C1874 &amp; "|" &amp; H1874,  "")</f>
        <v>principal-process-steward|TemplateApprovals</v>
      </c>
      <c r="N1874" s="3" t="s">
        <v>10004</v>
      </c>
    </row>
    <row r="1875">
      <c r="A1875" s="3" t="s">
        <v>11877</v>
      </c>
      <c r="B1875" s="4" t="str">
        <f>C1875 &amp; " -&gt; " &amp; D1875</f>
        <v>principal-process-steward -&gt; TemplateApprovals.ApprovedBodyHash</v>
      </c>
      <c r="C1875" s="3" t="s">
        <v>9772</v>
      </c>
      <c r="D1875" s="3" t="s">
        <v>4710</v>
      </c>
      <c r="E1875" s="3" t="b">
        <v>1</v>
      </c>
      <c r="F1875" s="3" t="b">
        <v>0</v>
      </c>
      <c r="G1875" s="3" t="s">
        <v>10003</v>
      </c>
      <c r="H1875" s="4" t="str">
        <f>_xlfn.IFNA(IF(((INDEX(RulebookFields!C2:C1898, MATCH(D1875,RulebookFields!A2:A1898, 0))="")=TRUE),  "",  INDEX(RulebookFields!C2:C1898, MATCH(D1875,RulebookFields!A2:A1898, 0))), "")</f>
        <v>TemplateApprovals</v>
      </c>
      <c r="I1875" s="4" t="str">
        <f>_xlfn.IFNA(IF(((INDEX(RulebookFields!D2:D1898, MATCH(D1875,RulebookFields!A2:A1898, 0))="")=TRUE),  "",  INDEX(RulebookFields!D2:D1898, MATCH(D1875,RulebookFields!A2:A1898, 0))), "")</f>
        <v>ApprovedBodyHash</v>
      </c>
      <c r="J1875" s="4" t="b">
        <f>_xlfn.IFNA(IF(((INDEX(RulebookFields!I2:I1898, MATCH(D1875,RulebookFields!A2:A1898, 0))="")=TRUE),  "",  INDEX(RulebookFields!I2:I1898, MATCH(D1875,RulebookFields!A2:A1898, 0))), "")</f>
        <v>0</v>
      </c>
      <c r="K1875" s="4" t="b">
        <f>AND(((F1875)=TRUE), ((J1875)=TRUE))</f>
        <v>0</v>
      </c>
      <c r="L1875" s="4" t="b">
        <f>AND(((G1875 &lt;&gt; "plain")=TRUE), ((G1875 &lt;&gt; "")=TRUE))</f>
        <v>0</v>
      </c>
      <c r="M1875" s="4" t="str">
        <f>IF(((E1875)=TRUE),  C1875 &amp; "|" &amp; H1875,  "")</f>
        <v>principal-process-steward|TemplateApprovals</v>
      </c>
      <c r="N1875" s="3" t="s">
        <v>10004</v>
      </c>
    </row>
    <row r="1876">
      <c r="A1876" s="3" t="s">
        <v>11878</v>
      </c>
      <c r="B1876" s="4" t="str">
        <f>C1876 &amp; " -&gt; " &amp; D1876</f>
        <v>principal-process-steward -&gt; TemplateApprovals.Notes</v>
      </c>
      <c r="C1876" s="3" t="s">
        <v>9772</v>
      </c>
      <c r="D1876" s="3" t="s">
        <v>4712</v>
      </c>
      <c r="E1876" s="3" t="b">
        <v>1</v>
      </c>
      <c r="F1876" s="3" t="b">
        <v>0</v>
      </c>
      <c r="G1876" s="3" t="s">
        <v>10003</v>
      </c>
      <c r="H1876" s="4" t="str">
        <f>_xlfn.IFNA(IF(((INDEX(RulebookFields!C2:C1898, MATCH(D1876,RulebookFields!A2:A1898, 0))="")=TRUE),  "",  INDEX(RulebookFields!C2:C1898, MATCH(D1876,RulebookFields!A2:A1898, 0))), "")</f>
        <v>TemplateApprovals</v>
      </c>
      <c r="I1876" s="4" t="str">
        <f>_xlfn.IFNA(IF(((INDEX(RulebookFields!D2:D1898, MATCH(D1876,RulebookFields!A2:A1898, 0))="")=TRUE),  "",  INDEX(RulebookFields!D2:D1898, MATCH(D1876,RulebookFields!A2:A1898, 0))), "")</f>
        <v>Notes</v>
      </c>
      <c r="J1876" s="4" t="b">
        <f>_xlfn.IFNA(IF(((INDEX(RulebookFields!I2:I1898, MATCH(D1876,RulebookFields!A2:A1898, 0))="")=TRUE),  "",  INDEX(RulebookFields!I2:I1898, MATCH(D1876,RulebookFields!A2:A1898, 0))), "")</f>
        <v>0</v>
      </c>
      <c r="K1876" s="4" t="b">
        <f>AND(((F1876)=TRUE), ((J1876)=TRUE))</f>
        <v>0</v>
      </c>
      <c r="L1876" s="4" t="b">
        <f>AND(((G1876 &lt;&gt; "plain")=TRUE), ((G1876 &lt;&gt; "")=TRUE))</f>
        <v>0</v>
      </c>
      <c r="M1876" s="4" t="str">
        <f>IF(((E1876)=TRUE),  C1876 &amp; "|" &amp; H1876,  "")</f>
        <v>principal-process-steward|TemplateApprovals</v>
      </c>
      <c r="N1876" s="3" t="s">
        <v>10004</v>
      </c>
    </row>
    <row r="1877">
      <c r="A1877" s="3" t="s">
        <v>11879</v>
      </c>
      <c r="B1877" s="4" t="str">
        <f>C1877 &amp; " -&gt; " &amp; D1877</f>
        <v>principal-process-steward -&gt; TemplateApprovals.IsApprovalDecision</v>
      </c>
      <c r="C1877" s="3" t="s">
        <v>9772</v>
      </c>
      <c r="D1877" s="3" t="s">
        <v>4713</v>
      </c>
      <c r="E1877" s="3" t="b">
        <v>1</v>
      </c>
      <c r="F1877" s="3" t="b">
        <v>0</v>
      </c>
      <c r="G1877" s="3" t="s">
        <v>10003</v>
      </c>
      <c r="H1877" s="4" t="str">
        <f>_xlfn.IFNA(IF(((INDEX(RulebookFields!C2:C1898, MATCH(D1877,RulebookFields!A2:A1898, 0))="")=TRUE),  "",  INDEX(RulebookFields!C2:C1898, MATCH(D1877,RulebookFields!A2:A1898, 0))), "")</f>
        <v>TemplateApprovals</v>
      </c>
      <c r="I1877" s="4" t="str">
        <f>_xlfn.IFNA(IF(((INDEX(RulebookFields!D2:D1898, MATCH(D1877,RulebookFields!A2:A1898, 0))="")=TRUE),  "",  INDEX(RulebookFields!D2:D1898, MATCH(D1877,RulebookFields!A2:A1898, 0))), "")</f>
        <v>IsApprovalDecision</v>
      </c>
      <c r="J1877" s="4" t="b">
        <f>_xlfn.IFNA(IF(((INDEX(RulebookFields!I2:I1898, MATCH(D1877,RulebookFields!A2:A1898, 0))="")=TRUE),  "",  INDEX(RulebookFields!I2:I1898, MATCH(D1877,RulebookFields!A2:A1898, 0))), "")</f>
        <v>1</v>
      </c>
      <c r="K1877" s="4" t="b">
        <f>AND(((F1877)=TRUE), ((J1877)=TRUE))</f>
        <v>0</v>
      </c>
      <c r="L1877" s="4" t="b">
        <f>AND(((G1877 &lt;&gt; "plain")=TRUE), ((G1877 &lt;&gt; "")=TRUE))</f>
        <v>0</v>
      </c>
      <c r="M1877" s="4" t="str">
        <f>IF(((E1877)=TRUE),  C1877 &amp; "|" &amp; H1877,  "")</f>
        <v>principal-process-steward|TemplateApprovals</v>
      </c>
      <c r="N1877" s="3" t="s">
        <v>10004</v>
      </c>
    </row>
    <row r="1878">
      <c r="A1878" s="3" t="s">
        <v>11880</v>
      </c>
      <c r="B1878" s="4" t="str">
        <f>C1878 &amp; " -&gt; " &amp; D1878</f>
        <v>principal-process-steward -&gt; TemplateApprovals.TemplatePolicy</v>
      </c>
      <c r="C1878" s="3" t="s">
        <v>9772</v>
      </c>
      <c r="D1878" s="3" t="s">
        <v>4716</v>
      </c>
      <c r="E1878" s="3" t="b">
        <v>1</v>
      </c>
      <c r="F1878" s="3" t="b">
        <v>0</v>
      </c>
      <c r="G1878" s="3" t="s">
        <v>10003</v>
      </c>
      <c r="H1878" s="4" t="str">
        <f>_xlfn.IFNA(IF(((INDEX(RulebookFields!C2:C1898, MATCH(D1878,RulebookFields!A2:A1898, 0))="")=TRUE),  "",  INDEX(RulebookFields!C2:C1898, MATCH(D1878,RulebookFields!A2:A1898, 0))), "")</f>
        <v>TemplateApprovals</v>
      </c>
      <c r="I1878" s="4" t="str">
        <f>_xlfn.IFNA(IF(((INDEX(RulebookFields!D2:D1898, MATCH(D1878,RulebookFields!A2:A1898, 0))="")=TRUE),  "",  INDEX(RulebookFields!D2:D1898, MATCH(D1878,RulebookFields!A2:A1898, 0))), "")</f>
        <v>TemplatePolicy</v>
      </c>
      <c r="J1878" s="4" t="b">
        <f>_xlfn.IFNA(IF(((INDEX(RulebookFields!I2:I1898, MATCH(D1878,RulebookFields!A2:A1898, 0))="")=TRUE),  "",  INDEX(RulebookFields!I2:I1898, MATCH(D1878,RulebookFields!A2:A1898, 0))), "")</f>
        <v>1</v>
      </c>
      <c r="K1878" s="4" t="b">
        <f>AND(((F1878)=TRUE), ((J1878)=TRUE))</f>
        <v>0</v>
      </c>
      <c r="L1878" s="4" t="b">
        <f>AND(((G1878 &lt;&gt; "plain")=TRUE), ((G1878 &lt;&gt; "")=TRUE))</f>
        <v>0</v>
      </c>
      <c r="M1878" s="4" t="str">
        <f>IF(((E1878)=TRUE),  C1878 &amp; "|" &amp; H1878,  "")</f>
        <v>principal-process-steward|TemplateApprovals</v>
      </c>
      <c r="N1878" s="3" t="s">
        <v>10004</v>
      </c>
    </row>
    <row r="1879">
      <c r="A1879" s="3" t="s">
        <v>11881</v>
      </c>
      <c r="B1879" s="4" t="str">
        <f>C1879 &amp; " -&gt; " &amp; D1879</f>
        <v>principal-process-steward -&gt; TemplateApprovals.RequiredApprovalRole</v>
      </c>
      <c r="C1879" s="3" t="s">
        <v>9772</v>
      </c>
      <c r="D1879" s="3" t="s">
        <v>4718</v>
      </c>
      <c r="E1879" s="3" t="b">
        <v>1</v>
      </c>
      <c r="F1879" s="3" t="b">
        <v>0</v>
      </c>
      <c r="G1879" s="3" t="s">
        <v>10003</v>
      </c>
      <c r="H1879" s="4" t="str">
        <f>_xlfn.IFNA(IF(((INDEX(RulebookFields!C2:C1898, MATCH(D1879,RulebookFields!A2:A1898, 0))="")=TRUE),  "",  INDEX(RulebookFields!C2:C1898, MATCH(D1879,RulebookFields!A2:A1898, 0))), "")</f>
        <v>TemplateApprovals</v>
      </c>
      <c r="I1879" s="4" t="str">
        <f>_xlfn.IFNA(IF(((INDEX(RulebookFields!D2:D1898, MATCH(D1879,RulebookFields!A2:A1898, 0))="")=TRUE),  "",  INDEX(RulebookFields!D2:D1898, MATCH(D1879,RulebookFields!A2:A1898, 0))), "")</f>
        <v>RequiredApprovalRole</v>
      </c>
      <c r="J1879" s="4" t="b">
        <f>_xlfn.IFNA(IF(((INDEX(RulebookFields!I2:I1898, MATCH(D1879,RulebookFields!A2:A1898, 0))="")=TRUE),  "",  INDEX(RulebookFields!I2:I1898, MATCH(D1879,RulebookFields!A2:A1898, 0))), "")</f>
        <v>1</v>
      </c>
      <c r="K1879" s="4" t="b">
        <f>AND(((F1879)=TRUE), ((J1879)=TRUE))</f>
        <v>0</v>
      </c>
      <c r="L1879" s="4" t="b">
        <f>AND(((G1879 &lt;&gt; "plain")=TRUE), ((G1879 &lt;&gt; "")=TRUE))</f>
        <v>0</v>
      </c>
      <c r="M1879" s="4" t="str">
        <f>IF(((E1879)=TRUE),  C1879 &amp; "|" &amp; H1879,  "")</f>
        <v>principal-process-steward|TemplateApprovals</v>
      </c>
      <c r="N1879" s="3" t="s">
        <v>10004</v>
      </c>
    </row>
    <row r="1880">
      <c r="A1880" s="3" t="s">
        <v>11882</v>
      </c>
      <c r="B1880" s="4" t="str">
        <f>C1880 &amp; " -&gt; " &amp; D1880</f>
        <v>principal-process-steward -&gt; TemplateApprovals.IsDecidedByRequiredRole</v>
      </c>
      <c r="C1880" s="3" t="s">
        <v>9772</v>
      </c>
      <c r="D1880" s="3" t="s">
        <v>4720</v>
      </c>
      <c r="E1880" s="3" t="b">
        <v>1</v>
      </c>
      <c r="F1880" s="3" t="b">
        <v>0</v>
      </c>
      <c r="G1880" s="3" t="s">
        <v>10003</v>
      </c>
      <c r="H1880" s="4" t="str">
        <f>_xlfn.IFNA(IF(((INDEX(RulebookFields!C2:C1898, MATCH(D1880,RulebookFields!A2:A1898, 0))="")=TRUE),  "",  INDEX(RulebookFields!C2:C1898, MATCH(D1880,RulebookFields!A2:A1898, 0))), "")</f>
        <v>TemplateApprovals</v>
      </c>
      <c r="I1880" s="4" t="str">
        <f>_xlfn.IFNA(IF(((INDEX(RulebookFields!D2:D1898, MATCH(D1880,RulebookFields!A2:A1898, 0))="")=TRUE),  "",  INDEX(RulebookFields!D2:D1898, MATCH(D1880,RulebookFields!A2:A1898, 0))), "")</f>
        <v>IsDecidedByRequiredRole</v>
      </c>
      <c r="J1880" s="4" t="b">
        <f>_xlfn.IFNA(IF(((INDEX(RulebookFields!I2:I1898, MATCH(D1880,RulebookFields!A2:A1898, 0))="")=TRUE),  "",  INDEX(RulebookFields!I2:I1898, MATCH(D1880,RulebookFields!A2:A1898, 0))), "")</f>
        <v>1</v>
      </c>
      <c r="K1880" s="4" t="b">
        <f>AND(((F1880)=TRUE), ((J1880)=TRUE))</f>
        <v>0</v>
      </c>
      <c r="L1880" s="4" t="b">
        <f>AND(((G1880 &lt;&gt; "plain")=TRUE), ((G1880 &lt;&gt; "")=TRUE))</f>
        <v>0</v>
      </c>
      <c r="M1880" s="4" t="str">
        <f>IF(((E1880)=TRUE),  C1880 &amp; "|" &amp; H1880,  "")</f>
        <v>principal-process-steward|TemplateApprovals</v>
      </c>
      <c r="N1880" s="3" t="s">
        <v>10004</v>
      </c>
    </row>
    <row r="1881">
      <c r="A1881" s="3" t="s">
        <v>11883</v>
      </c>
      <c r="B1881" s="4" t="str">
        <f>C1881 &amp; " -&gt; " &amp; D1881</f>
        <v>principal-process-steward -&gt; TemplateApprovals.ValidApprovalTemplateKey</v>
      </c>
      <c r="C1881" s="3" t="s">
        <v>9772</v>
      </c>
      <c r="D1881" s="3" t="s">
        <v>4723</v>
      </c>
      <c r="E1881" s="3" t="b">
        <v>1</v>
      </c>
      <c r="F1881" s="3" t="b">
        <v>0</v>
      </c>
      <c r="G1881" s="3" t="s">
        <v>10003</v>
      </c>
      <c r="H1881" s="4" t="str">
        <f>_xlfn.IFNA(IF(((INDEX(RulebookFields!C2:C1898, MATCH(D1881,RulebookFields!A2:A1898, 0))="")=TRUE),  "",  INDEX(RulebookFields!C2:C1898, MATCH(D1881,RulebookFields!A2:A1898, 0))), "")</f>
        <v>TemplateApprovals</v>
      </c>
      <c r="I1881" s="4" t="str">
        <f>_xlfn.IFNA(IF(((INDEX(RulebookFields!D2:D1898, MATCH(D1881,RulebookFields!A2:A1898, 0))="")=TRUE),  "",  INDEX(RulebookFields!D2:D1898, MATCH(D1881,RulebookFields!A2:A1898, 0))), "")</f>
        <v>ValidApprovalTemplateKey</v>
      </c>
      <c r="J1881" s="4" t="b">
        <f>_xlfn.IFNA(IF(((INDEX(RulebookFields!I2:I1898, MATCH(D1881,RulebookFields!A2:A1898, 0))="")=TRUE),  "",  INDEX(RulebookFields!I2:I1898, MATCH(D1881,RulebookFields!A2:A1898, 0))), "")</f>
        <v>1</v>
      </c>
      <c r="K1881" s="4" t="b">
        <f>AND(((F1881)=TRUE), ((J1881)=TRUE))</f>
        <v>0</v>
      </c>
      <c r="L1881" s="4" t="b">
        <f>AND(((G1881 &lt;&gt; "plain")=TRUE), ((G1881 &lt;&gt; "")=TRUE))</f>
        <v>0</v>
      </c>
      <c r="M1881" s="4" t="str">
        <f>IF(((E1881)=TRUE),  C1881 &amp; "|" &amp; H1881,  "")</f>
        <v>principal-process-steward|TemplateApprovals</v>
      </c>
      <c r="N1881" s="3" t="s">
        <v>10004</v>
      </c>
    </row>
    <row r="1882">
      <c r="A1882" s="3" t="s">
        <v>11884</v>
      </c>
      <c r="B1882" s="4" t="str">
        <f>C1882 &amp; " -&gt; " &amp; D1882</f>
        <v>principal-process-steward -&gt; TemplateApprovals.SemanticTypeIri</v>
      </c>
      <c r="C1882" s="3" t="s">
        <v>9772</v>
      </c>
      <c r="D1882" s="3" t="s">
        <v>4726</v>
      </c>
      <c r="E1882" s="3" t="b">
        <v>1</v>
      </c>
      <c r="F1882" s="3" t="b">
        <v>0</v>
      </c>
      <c r="G1882" s="3" t="s">
        <v>10003</v>
      </c>
      <c r="H1882" s="4" t="str">
        <f>_xlfn.IFNA(IF(((INDEX(RulebookFields!C2:C1898, MATCH(D1882,RulebookFields!A2:A1898, 0))="")=TRUE),  "",  INDEX(RulebookFields!C2:C1898, MATCH(D1882,RulebookFields!A2:A1898, 0))), "")</f>
        <v>TemplateApprovals</v>
      </c>
      <c r="I1882" s="4" t="str">
        <f>_xlfn.IFNA(IF(((INDEX(RulebookFields!D2:D1898, MATCH(D1882,RulebookFields!A2:A1898, 0))="")=TRUE),  "",  INDEX(RulebookFields!D2:D1898, MATCH(D1882,RulebookFields!A2:A1898, 0))), "")</f>
        <v>SemanticTypeIri</v>
      </c>
      <c r="J1882" s="4" t="b">
        <f>_xlfn.IFNA(IF(((INDEX(RulebookFields!I2:I1898, MATCH(D1882,RulebookFields!A2:A1898, 0))="")=TRUE),  "",  INDEX(RulebookFields!I2:I1898, MATCH(D1882,RulebookFields!A2:A1898, 0))), "")</f>
        <v>0</v>
      </c>
      <c r="K1882" s="4" t="b">
        <f>AND(((F1882)=TRUE), ((J1882)=TRUE))</f>
        <v>0</v>
      </c>
      <c r="L1882" s="4" t="b">
        <f>AND(((G1882 &lt;&gt; "plain")=TRUE), ((G1882 &lt;&gt; "")=TRUE))</f>
        <v>0</v>
      </c>
      <c r="M1882" s="4" t="str">
        <f>IF(((E1882)=TRUE),  C1882 &amp; "|" &amp; H1882,  "")</f>
        <v>principal-process-steward|TemplateApprovals</v>
      </c>
      <c r="N1882" s="3" t="s">
        <v>10004</v>
      </c>
    </row>
    <row r="1883">
      <c r="A1883" s="3" t="s">
        <v>11885</v>
      </c>
      <c r="B1883" s="4" t="str">
        <f>C1883 &amp; " -&gt; " &amp; D1883</f>
        <v>principal-process-steward -&gt; TestCases.TestCaseId</v>
      </c>
      <c r="C1883" s="3" t="s">
        <v>9772</v>
      </c>
      <c r="D1883" s="3" t="s">
        <v>4208</v>
      </c>
      <c r="E1883" s="3" t="b">
        <v>1</v>
      </c>
      <c r="F1883" s="3" t="b">
        <v>0</v>
      </c>
      <c r="G1883" s="3" t="s">
        <v>10003</v>
      </c>
      <c r="H1883" s="4" t="str">
        <f>_xlfn.IFNA(IF(((INDEX(RulebookFields!C2:C1898, MATCH(D1883,RulebookFields!A2:A1898, 0))="")=TRUE),  "",  INDEX(RulebookFields!C2:C1898, MATCH(D1883,RulebookFields!A2:A1898, 0))), "")</f>
        <v>TestCases</v>
      </c>
      <c r="I1883" s="4" t="str">
        <f>_xlfn.IFNA(IF(((INDEX(RulebookFields!D2:D1898, MATCH(D1883,RulebookFields!A2:A1898, 0))="")=TRUE),  "",  INDEX(RulebookFields!D2:D1898, MATCH(D1883,RulebookFields!A2:A1898, 0))), "")</f>
        <v>TestCaseId</v>
      </c>
      <c r="J1883" s="4" t="b">
        <f>_xlfn.IFNA(IF(((INDEX(RulebookFields!I2:I1898, MATCH(D1883,RulebookFields!A2:A1898, 0))="")=TRUE),  "",  INDEX(RulebookFields!I2:I1898, MATCH(D1883,RulebookFields!A2:A1898, 0))), "")</f>
        <v>0</v>
      </c>
      <c r="K1883" s="4" t="b">
        <f>AND(((F1883)=TRUE), ((J1883)=TRUE))</f>
        <v>0</v>
      </c>
      <c r="L1883" s="4" t="b">
        <f>AND(((G1883 &lt;&gt; "plain")=TRUE), ((G1883 &lt;&gt; "")=TRUE))</f>
        <v>0</v>
      </c>
      <c r="M1883" s="4" t="str">
        <f>IF(((E1883)=TRUE),  C1883 &amp; "|" &amp; H1883,  "")</f>
        <v>principal-process-steward|TestCases</v>
      </c>
      <c r="N1883" s="3" t="s">
        <v>10004</v>
      </c>
    </row>
    <row r="1884">
      <c r="A1884" s="3" t="s">
        <v>11886</v>
      </c>
      <c r="B1884" s="4" t="str">
        <f>C1884 &amp; " -&gt; " &amp; D1884</f>
        <v>principal-process-steward -&gt; TestCases.Name</v>
      </c>
      <c r="C1884" s="3" t="s">
        <v>9772</v>
      </c>
      <c r="D1884" s="3" t="s">
        <v>4211</v>
      </c>
      <c r="E1884" s="3" t="b">
        <v>1</v>
      </c>
      <c r="F1884" s="3" t="b">
        <v>0</v>
      </c>
      <c r="G1884" s="3" t="s">
        <v>10003</v>
      </c>
      <c r="H1884" s="4" t="str">
        <f>_xlfn.IFNA(IF(((INDEX(RulebookFields!C2:C1898, MATCH(D1884,RulebookFields!A2:A1898, 0))="")=TRUE),  "",  INDEX(RulebookFields!C2:C1898, MATCH(D1884,RulebookFields!A2:A1898, 0))), "")</f>
        <v>TestCases</v>
      </c>
      <c r="I1884" s="4" t="str">
        <f>_xlfn.IFNA(IF(((INDEX(RulebookFields!D2:D1898, MATCH(D1884,RulebookFields!A2:A1898, 0))="")=TRUE),  "",  INDEX(RulebookFields!D2:D1898, MATCH(D1884,RulebookFields!A2:A1898, 0))), "")</f>
        <v>Name</v>
      </c>
      <c r="J1884" s="4" t="b">
        <f>_xlfn.IFNA(IF(((INDEX(RulebookFields!I2:I1898, MATCH(D1884,RulebookFields!A2:A1898, 0))="")=TRUE),  "",  INDEX(RulebookFields!I2:I1898, MATCH(D1884,RulebookFields!A2:A1898, 0))), "")</f>
        <v>1</v>
      </c>
      <c r="K1884" s="4" t="b">
        <f>AND(((F1884)=TRUE), ((J1884)=TRUE))</f>
        <v>0</v>
      </c>
      <c r="L1884" s="4" t="b">
        <f>AND(((G1884 &lt;&gt; "plain")=TRUE), ((G1884 &lt;&gt; "")=TRUE))</f>
        <v>0</v>
      </c>
      <c r="M1884" s="4" t="str">
        <f>IF(((E1884)=TRUE),  C1884 &amp; "|" &amp; H1884,  "")</f>
        <v>principal-process-steward|TestCases</v>
      </c>
      <c r="N1884" s="3" t="s">
        <v>10004</v>
      </c>
    </row>
    <row r="1885">
      <c r="A1885" s="3" t="s">
        <v>11887</v>
      </c>
      <c r="B1885" s="4" t="str">
        <f>C1885 &amp; " -&gt; " &amp; D1885</f>
        <v>principal-process-steward -&gt; TestCases.TestKind</v>
      </c>
      <c r="C1885" s="3" t="s">
        <v>9772</v>
      </c>
      <c r="D1885" s="3" t="s">
        <v>4213</v>
      </c>
      <c r="E1885" s="3" t="b">
        <v>1</v>
      </c>
      <c r="F1885" s="3" t="b">
        <v>0</v>
      </c>
      <c r="G1885" s="3" t="s">
        <v>10003</v>
      </c>
      <c r="H1885" s="4" t="str">
        <f>_xlfn.IFNA(IF(((INDEX(RulebookFields!C2:C1898, MATCH(D1885,RulebookFields!A2:A1898, 0))="")=TRUE),  "",  INDEX(RulebookFields!C2:C1898, MATCH(D1885,RulebookFields!A2:A1898, 0))), "")</f>
        <v>TestCases</v>
      </c>
      <c r="I1885" s="4" t="str">
        <f>_xlfn.IFNA(IF(((INDEX(RulebookFields!D2:D1898, MATCH(D1885,RulebookFields!A2:A1898, 0))="")=TRUE),  "",  INDEX(RulebookFields!D2:D1898, MATCH(D1885,RulebookFields!A2:A1898, 0))), "")</f>
        <v>TestKind</v>
      </c>
      <c r="J1885" s="4" t="b">
        <f>_xlfn.IFNA(IF(((INDEX(RulebookFields!I2:I1898, MATCH(D1885,RulebookFields!A2:A1898, 0))="")=TRUE),  "",  INDEX(RulebookFields!I2:I1898, MATCH(D1885,RulebookFields!A2:A1898, 0))), "")</f>
        <v>0</v>
      </c>
      <c r="K1885" s="4" t="b">
        <f>AND(((F1885)=TRUE), ((J1885)=TRUE))</f>
        <v>0</v>
      </c>
      <c r="L1885" s="4" t="b">
        <f>AND(((G1885 &lt;&gt; "plain")=TRUE), ((G1885 &lt;&gt; "")=TRUE))</f>
        <v>0</v>
      </c>
      <c r="M1885" s="4" t="str">
        <f>IF(((E1885)=TRUE),  C1885 &amp; "|" &amp; H1885,  "")</f>
        <v>principal-process-steward|TestCases</v>
      </c>
      <c r="N1885" s="3" t="s">
        <v>10004</v>
      </c>
    </row>
    <row r="1886">
      <c r="A1886" s="3" t="s">
        <v>11888</v>
      </c>
      <c r="B1886" s="4" t="str">
        <f>C1886 &amp; " -&gt; " &amp; D1886</f>
        <v>principal-process-steward -&gt; TestCases.Subject</v>
      </c>
      <c r="C1886" s="3" t="s">
        <v>9772</v>
      </c>
      <c r="D1886" s="3" t="s">
        <v>4215</v>
      </c>
      <c r="E1886" s="3" t="b">
        <v>1</v>
      </c>
      <c r="F1886" s="3" t="b">
        <v>0</v>
      </c>
      <c r="G1886" s="3" t="s">
        <v>10003</v>
      </c>
      <c r="H1886" s="4" t="str">
        <f>_xlfn.IFNA(IF(((INDEX(RulebookFields!C2:C1898, MATCH(D1886,RulebookFields!A2:A1898, 0))="")=TRUE),  "",  INDEX(RulebookFields!C2:C1898, MATCH(D1886,RulebookFields!A2:A1898, 0))), "")</f>
        <v>TestCases</v>
      </c>
      <c r="I1886" s="4" t="str">
        <f>_xlfn.IFNA(IF(((INDEX(RulebookFields!D2:D1898, MATCH(D1886,RulebookFields!A2:A1898, 0))="")=TRUE),  "",  INDEX(RulebookFields!D2:D1898, MATCH(D1886,RulebookFields!A2:A1898, 0))), "")</f>
        <v>Subject</v>
      </c>
      <c r="J1886" s="4" t="b">
        <f>_xlfn.IFNA(IF(((INDEX(RulebookFields!I2:I1898, MATCH(D1886,RulebookFields!A2:A1898, 0))="")=TRUE),  "",  INDEX(RulebookFields!I2:I1898, MATCH(D1886,RulebookFields!A2:A1898, 0))), "")</f>
        <v>0</v>
      </c>
      <c r="K1886" s="4" t="b">
        <f>AND(((F1886)=TRUE), ((J1886)=TRUE))</f>
        <v>0</v>
      </c>
      <c r="L1886" s="4" t="b">
        <f>AND(((G1886 &lt;&gt; "plain")=TRUE), ((G1886 &lt;&gt; "")=TRUE))</f>
        <v>0</v>
      </c>
      <c r="M1886" s="4" t="str">
        <f>IF(((E1886)=TRUE),  C1886 &amp; "|" &amp; H1886,  "")</f>
        <v>principal-process-steward|TestCases</v>
      </c>
      <c r="N1886" s="3" t="s">
        <v>10004</v>
      </c>
    </row>
    <row r="1887">
      <c r="A1887" s="3" t="s">
        <v>11889</v>
      </c>
      <c r="B1887" s="4" t="str">
        <f>C1887 &amp; " -&gt; " &amp; D1887</f>
        <v>principal-process-steward -&gt; TestCases.TargetTable</v>
      </c>
      <c r="C1887" s="3" t="s">
        <v>9772</v>
      </c>
      <c r="D1887" s="3" t="s">
        <v>4217</v>
      </c>
      <c r="E1887" s="3" t="b">
        <v>1</v>
      </c>
      <c r="F1887" s="3" t="b">
        <v>0</v>
      </c>
      <c r="G1887" s="3" t="s">
        <v>10003</v>
      </c>
      <c r="H1887" s="4" t="str">
        <f>_xlfn.IFNA(IF(((INDEX(RulebookFields!C2:C1898, MATCH(D1887,RulebookFields!A2:A1898, 0))="")=TRUE),  "",  INDEX(RulebookFields!C2:C1898, MATCH(D1887,RulebookFields!A2:A1898, 0))), "")</f>
        <v>TestCases</v>
      </c>
      <c r="I1887" s="4" t="str">
        <f>_xlfn.IFNA(IF(((INDEX(RulebookFields!D2:D1898, MATCH(D1887,RulebookFields!A2:A1898, 0))="")=TRUE),  "",  INDEX(RulebookFields!D2:D1898, MATCH(D1887,RulebookFields!A2:A1898, 0))), "")</f>
        <v>TargetTable</v>
      </c>
      <c r="J1887" s="4" t="b">
        <f>_xlfn.IFNA(IF(((INDEX(RulebookFields!I2:I1898, MATCH(D1887,RulebookFields!A2:A1898, 0))="")=TRUE),  "",  INDEX(RulebookFields!I2:I1898, MATCH(D1887,RulebookFields!A2:A1898, 0))), "")</f>
        <v>0</v>
      </c>
      <c r="K1887" s="4" t="b">
        <f>AND(((F1887)=TRUE), ((J1887)=TRUE))</f>
        <v>0</v>
      </c>
      <c r="L1887" s="4" t="b">
        <f>AND(((G1887 &lt;&gt; "plain")=TRUE), ((G1887 &lt;&gt; "")=TRUE))</f>
        <v>0</v>
      </c>
      <c r="M1887" s="4" t="str">
        <f>IF(((E1887)=TRUE),  C1887 &amp; "|" &amp; H1887,  "")</f>
        <v>principal-process-steward|TestCases</v>
      </c>
      <c r="N1887" s="3" t="s">
        <v>10004</v>
      </c>
    </row>
    <row r="1888">
      <c r="A1888" s="3" t="s">
        <v>11890</v>
      </c>
      <c r="B1888" s="4" t="str">
        <f>C1888 &amp; " -&gt; " &amp; D1888</f>
        <v>principal-process-steward -&gt; TestCases.TargetField</v>
      </c>
      <c r="C1888" s="3" t="s">
        <v>9772</v>
      </c>
      <c r="D1888" s="3" t="s">
        <v>4218</v>
      </c>
      <c r="E1888" s="3" t="b">
        <v>1</v>
      </c>
      <c r="F1888" s="3" t="b">
        <v>0</v>
      </c>
      <c r="G1888" s="3" t="s">
        <v>10003</v>
      </c>
      <c r="H1888" s="4" t="str">
        <f>_xlfn.IFNA(IF(((INDEX(RulebookFields!C2:C1898, MATCH(D1888,RulebookFields!A2:A1898, 0))="")=TRUE),  "",  INDEX(RulebookFields!C2:C1898, MATCH(D1888,RulebookFields!A2:A1898, 0))), "")</f>
        <v>TestCases</v>
      </c>
      <c r="I1888" s="4" t="str">
        <f>_xlfn.IFNA(IF(((INDEX(RulebookFields!D2:D1898, MATCH(D1888,RulebookFields!A2:A1898, 0))="")=TRUE),  "",  INDEX(RulebookFields!D2:D1898, MATCH(D1888,RulebookFields!A2:A1898, 0))), "")</f>
        <v>TargetField</v>
      </c>
      <c r="J1888" s="4" t="b">
        <f>_xlfn.IFNA(IF(((INDEX(RulebookFields!I2:I1898, MATCH(D1888,RulebookFields!A2:A1898, 0))="")=TRUE),  "",  INDEX(RulebookFields!I2:I1898, MATCH(D1888,RulebookFields!A2:A1898, 0))), "")</f>
        <v>0</v>
      </c>
      <c r="K1888" s="4" t="b">
        <f>AND(((F1888)=TRUE), ((J1888)=TRUE))</f>
        <v>0</v>
      </c>
      <c r="L1888" s="4" t="b">
        <f>AND(((G1888 &lt;&gt; "plain")=TRUE), ((G1888 &lt;&gt; "")=TRUE))</f>
        <v>0</v>
      </c>
      <c r="M1888" s="4" t="str">
        <f>IF(((E1888)=TRUE),  C1888 &amp; "|" &amp; H1888,  "")</f>
        <v>principal-process-steward|TestCases</v>
      </c>
      <c r="N1888" s="3" t="s">
        <v>10004</v>
      </c>
    </row>
    <row r="1889">
      <c r="A1889" s="3" t="s">
        <v>11891</v>
      </c>
      <c r="B1889" s="4" t="str">
        <f>C1889 &amp; " -&gt; " &amp; D1889</f>
        <v>principal-process-steward -&gt; TestCases.Assertion</v>
      </c>
      <c r="C1889" s="3" t="s">
        <v>9772</v>
      </c>
      <c r="D1889" s="3" t="s">
        <v>4220</v>
      </c>
      <c r="E1889" s="3" t="b">
        <v>1</v>
      </c>
      <c r="F1889" s="3" t="b">
        <v>0</v>
      </c>
      <c r="G1889" s="3" t="s">
        <v>10003</v>
      </c>
      <c r="H1889" s="4" t="str">
        <f>_xlfn.IFNA(IF(((INDEX(RulebookFields!C2:C1898, MATCH(D1889,RulebookFields!A2:A1898, 0))="")=TRUE),  "",  INDEX(RulebookFields!C2:C1898, MATCH(D1889,RulebookFields!A2:A1898, 0))), "")</f>
        <v>TestCases</v>
      </c>
      <c r="I1889" s="4" t="str">
        <f>_xlfn.IFNA(IF(((INDEX(RulebookFields!D2:D1898, MATCH(D1889,RulebookFields!A2:A1898, 0))="")=TRUE),  "",  INDEX(RulebookFields!D2:D1898, MATCH(D1889,RulebookFields!A2:A1898, 0))), "")</f>
        <v>Assertion</v>
      </c>
      <c r="J1889" s="4" t="b">
        <f>_xlfn.IFNA(IF(((INDEX(RulebookFields!I2:I1898, MATCH(D1889,RulebookFields!A2:A1898, 0))="")=TRUE),  "",  INDEX(RulebookFields!I2:I1898, MATCH(D1889,RulebookFields!A2:A1898, 0))), "")</f>
        <v>0</v>
      </c>
      <c r="K1889" s="4" t="b">
        <f>AND(((F1889)=TRUE), ((J1889)=TRUE))</f>
        <v>0</v>
      </c>
      <c r="L1889" s="4" t="b">
        <f>AND(((G1889 &lt;&gt; "plain")=TRUE), ((G1889 &lt;&gt; "")=TRUE))</f>
        <v>0</v>
      </c>
      <c r="M1889" s="4" t="str">
        <f>IF(((E1889)=TRUE),  C1889 &amp; "|" &amp; H1889,  "")</f>
        <v>principal-process-steward|TestCases</v>
      </c>
      <c r="N1889" s="3" t="s">
        <v>10004</v>
      </c>
    </row>
    <row r="1890">
      <c r="A1890" s="3" t="s">
        <v>11892</v>
      </c>
      <c r="B1890" s="4" t="str">
        <f>C1890 &amp; " -&gt; " &amp; D1890</f>
        <v>principal-process-steward -&gt; TestCases.DefendsQuestion</v>
      </c>
      <c r="C1890" s="3" t="s">
        <v>9772</v>
      </c>
      <c r="D1890" s="3" t="s">
        <v>4222</v>
      </c>
      <c r="E1890" s="3" t="b">
        <v>1</v>
      </c>
      <c r="F1890" s="3" t="b">
        <v>0</v>
      </c>
      <c r="G1890" s="3" t="s">
        <v>10003</v>
      </c>
      <c r="H1890" s="4" t="str">
        <f>_xlfn.IFNA(IF(((INDEX(RulebookFields!C2:C1898, MATCH(D1890,RulebookFields!A2:A1898, 0))="")=TRUE),  "",  INDEX(RulebookFields!C2:C1898, MATCH(D1890,RulebookFields!A2:A1898, 0))), "")</f>
        <v>TestCases</v>
      </c>
      <c r="I1890" s="4" t="str">
        <f>_xlfn.IFNA(IF(((INDEX(RulebookFields!D2:D1898, MATCH(D1890,RulebookFields!A2:A1898, 0))="")=TRUE),  "",  INDEX(RulebookFields!D2:D1898, MATCH(D1890,RulebookFields!A2:A1898, 0))), "")</f>
        <v>DefendsQuestion</v>
      </c>
      <c r="J1890" s="4" t="b">
        <f>_xlfn.IFNA(IF(((INDEX(RulebookFields!I2:I1898, MATCH(D1890,RulebookFields!A2:A1898, 0))="")=TRUE),  "",  INDEX(RulebookFields!I2:I1898, MATCH(D1890,RulebookFields!A2:A1898, 0))), "")</f>
        <v>0</v>
      </c>
      <c r="K1890" s="4" t="b">
        <f>AND(((F1890)=TRUE), ((J1890)=TRUE))</f>
        <v>0</v>
      </c>
      <c r="L1890" s="4" t="b">
        <f>AND(((G1890 &lt;&gt; "plain")=TRUE), ((G1890 &lt;&gt; "")=TRUE))</f>
        <v>0</v>
      </c>
      <c r="M1890" s="4" t="str">
        <f>IF(((E1890)=TRUE),  C1890 &amp; "|" &amp; H1890,  "")</f>
        <v>principal-process-steward|TestCases</v>
      </c>
      <c r="N1890" s="3" t="s">
        <v>10004</v>
      </c>
    </row>
    <row r="1891">
      <c r="A1891" s="3" t="s">
        <v>11893</v>
      </c>
      <c r="B1891" s="4" t="str">
        <f>C1891 &amp; " -&gt; " &amp; D1891</f>
        <v>principal-process-steward -&gt; TestCases.Suite</v>
      </c>
      <c r="C1891" s="3" t="s">
        <v>9772</v>
      </c>
      <c r="D1891" s="3" t="s">
        <v>4224</v>
      </c>
      <c r="E1891" s="3" t="b">
        <v>1</v>
      </c>
      <c r="F1891" s="3" t="b">
        <v>0</v>
      </c>
      <c r="G1891" s="3" t="s">
        <v>10003</v>
      </c>
      <c r="H1891" s="4" t="str">
        <f>_xlfn.IFNA(IF(((INDEX(RulebookFields!C2:C1898, MATCH(D1891,RulebookFields!A2:A1898, 0))="")=TRUE),  "",  INDEX(RulebookFields!C2:C1898, MATCH(D1891,RulebookFields!A2:A1898, 0))), "")</f>
        <v>TestCases</v>
      </c>
      <c r="I1891" s="4" t="str">
        <f>_xlfn.IFNA(IF(((INDEX(RulebookFields!D2:D1898, MATCH(D1891,RulebookFields!A2:A1898, 0))="")=TRUE),  "",  INDEX(RulebookFields!D2:D1898, MATCH(D1891,RulebookFields!A2:A1898, 0))), "")</f>
        <v>Suite</v>
      </c>
      <c r="J1891" s="4" t="b">
        <f>_xlfn.IFNA(IF(((INDEX(RulebookFields!I2:I1898, MATCH(D1891,RulebookFields!A2:A1898, 0))="")=TRUE),  "",  INDEX(RulebookFields!I2:I1898, MATCH(D1891,RulebookFields!A2:A1898, 0))), "")</f>
        <v>0</v>
      </c>
      <c r="K1891" s="4" t="b">
        <f>AND(((F1891)=TRUE), ((J1891)=TRUE))</f>
        <v>0</v>
      </c>
      <c r="L1891" s="4" t="b">
        <f>AND(((G1891 &lt;&gt; "plain")=TRUE), ((G1891 &lt;&gt; "")=TRUE))</f>
        <v>0</v>
      </c>
      <c r="M1891" s="4" t="str">
        <f>IF(((E1891)=TRUE),  C1891 &amp; "|" &amp; H1891,  "")</f>
        <v>principal-process-steward|TestCases</v>
      </c>
      <c r="N1891" s="3" t="s">
        <v>10004</v>
      </c>
    </row>
    <row r="1892">
      <c r="A1892" s="3" t="s">
        <v>11894</v>
      </c>
      <c r="B1892" s="4" t="str">
        <f>C1892 &amp; " -&gt; " &amp; D1892</f>
        <v>principal-process-steward -&gt; TestCases.Severity</v>
      </c>
      <c r="C1892" s="3" t="s">
        <v>9772</v>
      </c>
      <c r="D1892" s="3" t="s">
        <v>4226</v>
      </c>
      <c r="E1892" s="3" t="b">
        <v>1</v>
      </c>
      <c r="F1892" s="3" t="b">
        <v>0</v>
      </c>
      <c r="G1892" s="3" t="s">
        <v>10003</v>
      </c>
      <c r="H1892" s="4" t="str">
        <f>_xlfn.IFNA(IF(((INDEX(RulebookFields!C2:C1898, MATCH(D1892,RulebookFields!A2:A1898, 0))="")=TRUE),  "",  INDEX(RulebookFields!C2:C1898, MATCH(D1892,RulebookFields!A2:A1898, 0))), "")</f>
        <v>TestCases</v>
      </c>
      <c r="I1892" s="4" t="str">
        <f>_xlfn.IFNA(IF(((INDEX(RulebookFields!D2:D1898, MATCH(D1892,RulebookFields!A2:A1898, 0))="")=TRUE),  "",  INDEX(RulebookFields!D2:D1898, MATCH(D1892,RulebookFields!A2:A1898, 0))), "")</f>
        <v>Severity</v>
      </c>
      <c r="J1892" s="4" t="b">
        <f>_xlfn.IFNA(IF(((INDEX(RulebookFields!I2:I1898, MATCH(D1892,RulebookFields!A2:A1898, 0))="")=TRUE),  "",  INDEX(RulebookFields!I2:I1898, MATCH(D1892,RulebookFields!A2:A1898, 0))), "")</f>
        <v>0</v>
      </c>
      <c r="K1892" s="4" t="b">
        <f>AND(((F1892)=TRUE), ((J1892)=TRUE))</f>
        <v>0</v>
      </c>
      <c r="L1892" s="4" t="b">
        <f>AND(((G1892 &lt;&gt; "plain")=TRUE), ((G1892 &lt;&gt; "")=TRUE))</f>
        <v>0</v>
      </c>
      <c r="M1892" s="4" t="str">
        <f>IF(((E1892)=TRUE),  C1892 &amp; "|" &amp; H1892,  "")</f>
        <v>principal-process-steward|TestCases</v>
      </c>
      <c r="N1892" s="3" t="s">
        <v>10004</v>
      </c>
    </row>
    <row r="1893">
      <c r="A1893" s="3" t="s">
        <v>11895</v>
      </c>
      <c r="B1893" s="4" t="str">
        <f>C1893 &amp; " -&gt; " &amp; D1893</f>
        <v>principal-process-steward -&gt; TestCases.IsBlocking</v>
      </c>
      <c r="C1893" s="3" t="s">
        <v>9772</v>
      </c>
      <c r="D1893" s="3" t="s">
        <v>4227</v>
      </c>
      <c r="E1893" s="3" t="b">
        <v>1</v>
      </c>
      <c r="F1893" s="3" t="b">
        <v>0</v>
      </c>
      <c r="G1893" s="3" t="s">
        <v>10003</v>
      </c>
      <c r="H1893" s="4" t="str">
        <f>_xlfn.IFNA(IF(((INDEX(RulebookFields!C2:C1898, MATCH(D1893,RulebookFields!A2:A1898, 0))="")=TRUE),  "",  INDEX(RulebookFields!C2:C1898, MATCH(D1893,RulebookFields!A2:A1898, 0))), "")</f>
        <v>TestCases</v>
      </c>
      <c r="I1893" s="4" t="str">
        <f>_xlfn.IFNA(IF(((INDEX(RulebookFields!D2:D1898, MATCH(D1893,RulebookFields!A2:A1898, 0))="")=TRUE),  "",  INDEX(RulebookFields!D2:D1898, MATCH(D1893,RulebookFields!A2:A1898, 0))), "")</f>
        <v>IsBlocking</v>
      </c>
      <c r="J1893" s="4" t="b">
        <f>_xlfn.IFNA(IF(((INDEX(RulebookFields!I2:I1898, MATCH(D1893,RulebookFields!A2:A1898, 0))="")=TRUE),  "",  INDEX(RulebookFields!I2:I1898, MATCH(D1893,RulebookFields!A2:A1898, 0))), "")</f>
        <v>1</v>
      </c>
      <c r="K1893" s="4" t="b">
        <f>AND(((F1893)=TRUE), ((J1893)=TRUE))</f>
        <v>0</v>
      </c>
      <c r="L1893" s="4" t="b">
        <f>AND(((G1893 &lt;&gt; "plain")=TRUE), ((G1893 &lt;&gt; "")=TRUE))</f>
        <v>0</v>
      </c>
      <c r="M1893" s="4" t="str">
        <f>IF(((E1893)=TRUE),  C1893 &amp; "|" &amp; H1893,  "")</f>
        <v>principal-process-steward|TestCases</v>
      </c>
      <c r="N1893" s="3" t="s">
        <v>10004</v>
      </c>
    </row>
    <row r="1894">
      <c r="A1894" s="3" t="s">
        <v>11896</v>
      </c>
      <c r="B1894" s="4" t="str">
        <f>C1894 &amp; " -&gt; " &amp; D1894</f>
        <v>principal-process-steward -&gt; TestCases.LastOutcome</v>
      </c>
      <c r="C1894" s="3" t="s">
        <v>9772</v>
      </c>
      <c r="D1894" s="3" t="s">
        <v>4229</v>
      </c>
      <c r="E1894" s="3" t="b">
        <v>1</v>
      </c>
      <c r="F1894" s="3" t="b">
        <v>0</v>
      </c>
      <c r="G1894" s="3" t="s">
        <v>10003</v>
      </c>
      <c r="H1894" s="4" t="str">
        <f>_xlfn.IFNA(IF(((INDEX(RulebookFields!C2:C1898, MATCH(D1894,RulebookFields!A2:A1898, 0))="")=TRUE),  "",  INDEX(RulebookFields!C2:C1898, MATCH(D1894,RulebookFields!A2:A1898, 0))), "")</f>
        <v>TestCases</v>
      </c>
      <c r="I1894" s="4" t="str">
        <f>_xlfn.IFNA(IF(((INDEX(RulebookFields!D2:D1898, MATCH(D1894,RulebookFields!A2:A1898, 0))="")=TRUE),  "",  INDEX(RulebookFields!D2:D1898, MATCH(D1894,RulebookFields!A2:A1898, 0))), "")</f>
        <v>LastOutcome</v>
      </c>
      <c r="J1894" s="4" t="b">
        <f>_xlfn.IFNA(IF(((INDEX(RulebookFields!I2:I1898, MATCH(D1894,RulebookFields!A2:A1898, 0))="")=TRUE),  "",  INDEX(RulebookFields!I2:I1898, MATCH(D1894,RulebookFields!A2:A1898, 0))), "")</f>
        <v>0</v>
      </c>
      <c r="K1894" s="4" t="b">
        <f>AND(((F1894)=TRUE), ((J1894)=TRUE))</f>
        <v>0</v>
      </c>
      <c r="L1894" s="4" t="b">
        <f>AND(((G1894 &lt;&gt; "plain")=TRUE), ((G1894 &lt;&gt; "")=TRUE))</f>
        <v>0</v>
      </c>
      <c r="M1894" s="4" t="str">
        <f>IF(((E1894)=TRUE),  C1894 &amp; "|" &amp; H1894,  "")</f>
        <v>principal-process-steward|TestCases</v>
      </c>
      <c r="N1894" s="3" t="s">
        <v>10004</v>
      </c>
    </row>
    <row r="1895">
      <c r="A1895" s="3" t="s">
        <v>11897</v>
      </c>
      <c r="B1895" s="4" t="str">
        <f>C1895 &amp; " -&gt; " &amp; D1895</f>
        <v>principal-process-steward -&gt; TestCases.LastDetail</v>
      </c>
      <c r="C1895" s="3" t="s">
        <v>9772</v>
      </c>
      <c r="D1895" s="3" t="s">
        <v>4231</v>
      </c>
      <c r="E1895" s="3" t="b">
        <v>1</v>
      </c>
      <c r="F1895" s="3" t="b">
        <v>0</v>
      </c>
      <c r="G1895" s="3" t="s">
        <v>10003</v>
      </c>
      <c r="H1895" s="4" t="str">
        <f>_xlfn.IFNA(IF(((INDEX(RulebookFields!C2:C1898, MATCH(D1895,RulebookFields!A2:A1898, 0))="")=TRUE),  "",  INDEX(RulebookFields!C2:C1898, MATCH(D1895,RulebookFields!A2:A1898, 0))), "")</f>
        <v>TestCases</v>
      </c>
      <c r="I1895" s="4" t="str">
        <f>_xlfn.IFNA(IF(((INDEX(RulebookFields!D2:D1898, MATCH(D1895,RulebookFields!A2:A1898, 0))="")=TRUE),  "",  INDEX(RulebookFields!D2:D1898, MATCH(D1895,RulebookFields!A2:A1898, 0))), "")</f>
        <v>LastDetail</v>
      </c>
      <c r="J1895" s="4" t="b">
        <f>_xlfn.IFNA(IF(((INDEX(RulebookFields!I2:I1898, MATCH(D1895,RulebookFields!A2:A1898, 0))="")=TRUE),  "",  INDEX(RulebookFields!I2:I1898, MATCH(D1895,RulebookFields!A2:A1898, 0))), "")</f>
        <v>0</v>
      </c>
      <c r="K1895" s="4" t="b">
        <f>AND(((F1895)=TRUE), ((J1895)=TRUE))</f>
        <v>0</v>
      </c>
      <c r="L1895" s="4" t="b">
        <f>AND(((G1895 &lt;&gt; "plain")=TRUE), ((G1895 &lt;&gt; "")=TRUE))</f>
        <v>0</v>
      </c>
      <c r="M1895" s="4" t="str">
        <f>IF(((E1895)=TRUE),  C1895 &amp; "|" &amp; H1895,  "")</f>
        <v>principal-process-steward|TestCases</v>
      </c>
      <c r="N1895" s="3" t="s">
        <v>10004</v>
      </c>
    </row>
    <row r="1896">
      <c r="A1896" s="3" t="s">
        <v>11898</v>
      </c>
      <c r="B1896" s="4" t="str">
        <f>C1896 &amp; " -&gt; " &amp; D1896</f>
        <v>principal-process-steward -&gt; TestCases.LastRunAt</v>
      </c>
      <c r="C1896" s="3" t="s">
        <v>9772</v>
      </c>
      <c r="D1896" s="3" t="s">
        <v>4233</v>
      </c>
      <c r="E1896" s="3" t="b">
        <v>1</v>
      </c>
      <c r="F1896" s="3" t="b">
        <v>0</v>
      </c>
      <c r="G1896" s="3" t="s">
        <v>10003</v>
      </c>
      <c r="H1896" s="4" t="str">
        <f>_xlfn.IFNA(IF(((INDEX(RulebookFields!C2:C1898, MATCH(D1896,RulebookFields!A2:A1898, 0))="")=TRUE),  "",  INDEX(RulebookFields!C2:C1898, MATCH(D1896,RulebookFields!A2:A1898, 0))), "")</f>
        <v>TestCases</v>
      </c>
      <c r="I1896" s="4" t="str">
        <f>_xlfn.IFNA(IF(((INDEX(RulebookFields!D2:D1898, MATCH(D1896,RulebookFields!A2:A1898, 0))="")=TRUE),  "",  INDEX(RulebookFields!D2:D1898, MATCH(D1896,RulebookFields!A2:A1898, 0))), "")</f>
        <v>LastRunAt</v>
      </c>
      <c r="J1896" s="4" t="b">
        <f>_xlfn.IFNA(IF(((INDEX(RulebookFields!I2:I1898, MATCH(D1896,RulebookFields!A2:A1898, 0))="")=TRUE),  "",  INDEX(RulebookFields!I2:I1898, MATCH(D1896,RulebookFields!A2:A1898, 0))), "")</f>
        <v>0</v>
      </c>
      <c r="K1896" s="4" t="b">
        <f>AND(((F1896)=TRUE), ((J1896)=TRUE))</f>
        <v>0</v>
      </c>
      <c r="L1896" s="4" t="b">
        <f>AND(((G1896 &lt;&gt; "plain")=TRUE), ((G1896 &lt;&gt; "")=TRUE))</f>
        <v>0</v>
      </c>
      <c r="M1896" s="4" t="str">
        <f>IF(((E1896)=TRUE),  C1896 &amp; "|" &amp; H1896,  "")</f>
        <v>principal-process-steward|TestCases</v>
      </c>
      <c r="N1896" s="3" t="s">
        <v>10004</v>
      </c>
    </row>
    <row r="1897">
      <c r="A1897" s="3" t="s">
        <v>11899</v>
      </c>
      <c r="B1897" s="4" t="str">
        <f>C1897 &amp; " -&gt; " &amp; D1897</f>
        <v>principal-process-steward -&gt; TestCases.IsPassing</v>
      </c>
      <c r="C1897" s="3" t="s">
        <v>9772</v>
      </c>
      <c r="D1897" s="3" t="s">
        <v>4235</v>
      </c>
      <c r="E1897" s="3" t="b">
        <v>1</v>
      </c>
      <c r="F1897" s="3" t="b">
        <v>0</v>
      </c>
      <c r="G1897" s="3" t="s">
        <v>10003</v>
      </c>
      <c r="H1897" s="4" t="str">
        <f>_xlfn.IFNA(IF(((INDEX(RulebookFields!C2:C1898, MATCH(D1897,RulebookFields!A2:A1898, 0))="")=TRUE),  "",  INDEX(RulebookFields!C2:C1898, MATCH(D1897,RulebookFields!A2:A1898, 0))), "")</f>
        <v>TestCases</v>
      </c>
      <c r="I1897" s="4" t="str">
        <f>_xlfn.IFNA(IF(((INDEX(RulebookFields!D2:D1898, MATCH(D1897,RulebookFields!A2:A1898, 0))="")=TRUE),  "",  INDEX(RulebookFields!D2:D1898, MATCH(D1897,RulebookFields!A2:A1898, 0))), "")</f>
        <v>IsPassing</v>
      </c>
      <c r="J1897" s="4" t="b">
        <f>_xlfn.IFNA(IF(((INDEX(RulebookFields!I2:I1898, MATCH(D1897,RulebookFields!A2:A1898, 0))="")=TRUE),  "",  INDEX(RulebookFields!I2:I1898, MATCH(D1897,RulebookFields!A2:A1898, 0))), "")</f>
        <v>1</v>
      </c>
      <c r="K1897" s="4" t="b">
        <f>AND(((F1897)=TRUE), ((J1897)=TRUE))</f>
        <v>0</v>
      </c>
      <c r="L1897" s="4" t="b">
        <f>AND(((G1897 &lt;&gt; "plain")=TRUE), ((G1897 &lt;&gt; "")=TRUE))</f>
        <v>0</v>
      </c>
      <c r="M1897" s="4" t="str">
        <f>IF(((E1897)=TRUE),  C1897 &amp; "|" &amp; H1897,  "")</f>
        <v>principal-process-steward|TestCases</v>
      </c>
      <c r="N1897" s="3" t="s">
        <v>10004</v>
      </c>
    </row>
    <row r="1898">
      <c r="A1898" s="3" t="s">
        <v>11900</v>
      </c>
      <c r="B1898" s="4" t="str">
        <f>C1898 &amp; " -&gt; " &amp; D1898</f>
        <v>principal-process-steward -&gt; TestCases.IsFailing</v>
      </c>
      <c r="C1898" s="3" t="s">
        <v>9772</v>
      </c>
      <c r="D1898" s="3" t="s">
        <v>4238</v>
      </c>
      <c r="E1898" s="3" t="b">
        <v>1</v>
      </c>
      <c r="F1898" s="3" t="b">
        <v>0</v>
      </c>
      <c r="G1898" s="3" t="s">
        <v>10003</v>
      </c>
      <c r="H1898" s="4" t="str">
        <f>_xlfn.IFNA(IF(((INDEX(RulebookFields!C2:C1898, MATCH(D1898,RulebookFields!A2:A1898, 0))="")=TRUE),  "",  INDEX(RulebookFields!C2:C1898, MATCH(D1898,RulebookFields!A2:A1898, 0))), "")</f>
        <v>TestCases</v>
      </c>
      <c r="I1898" s="4" t="str">
        <f>_xlfn.IFNA(IF(((INDEX(RulebookFields!D2:D1898, MATCH(D1898,RulebookFields!A2:A1898, 0))="")=TRUE),  "",  INDEX(RulebookFields!D2:D1898, MATCH(D1898,RulebookFields!A2:A1898, 0))), "")</f>
        <v>IsFailing</v>
      </c>
      <c r="J1898" s="4" t="b">
        <f>_xlfn.IFNA(IF(((INDEX(RulebookFields!I2:I1898, MATCH(D1898,RulebookFields!A2:A1898, 0))="")=TRUE),  "",  INDEX(RulebookFields!I2:I1898, MATCH(D1898,RulebookFields!A2:A1898, 0))), "")</f>
        <v>1</v>
      </c>
      <c r="K1898" s="4" t="b">
        <f>AND(((F1898)=TRUE), ((J1898)=TRUE))</f>
        <v>0</v>
      </c>
      <c r="L1898" s="4" t="b">
        <f>AND(((G1898 &lt;&gt; "plain")=TRUE), ((G1898 &lt;&gt; "")=TRUE))</f>
        <v>0</v>
      </c>
      <c r="M1898" s="4" t="str">
        <f>IF(((E1898)=TRUE),  C1898 &amp; "|" &amp; H1898,  "")</f>
        <v>principal-process-steward|TestCases</v>
      </c>
      <c r="N1898" s="3" t="s">
        <v>10004</v>
      </c>
    </row>
    <row r="1899">
      <c r="A1899" s="3" t="s">
        <v>11901</v>
      </c>
      <c r="B1899" s="4" t="str">
        <f>C1899 &amp; " -&gt; " &amp; D1899</f>
        <v>principal-process-steward -&gt; TestCases.NeedsAttention</v>
      </c>
      <c r="C1899" s="3" t="s">
        <v>9772</v>
      </c>
      <c r="D1899" s="3" t="s">
        <v>4241</v>
      </c>
      <c r="E1899" s="3" t="b">
        <v>1</v>
      </c>
      <c r="F1899" s="3" t="b">
        <v>0</v>
      </c>
      <c r="G1899" s="3" t="s">
        <v>10003</v>
      </c>
      <c r="H1899" s="4" t="str">
        <f>_xlfn.IFNA(IF(((INDEX(RulebookFields!C2:C1898, MATCH(D1899,RulebookFields!A2:A1898, 0))="")=TRUE),  "",  INDEX(RulebookFields!C2:C1898, MATCH(D1899,RulebookFields!A2:A1898, 0))), "")</f>
        <v>TestCases</v>
      </c>
      <c r="I1899" s="4" t="str">
        <f>_xlfn.IFNA(IF(((INDEX(RulebookFields!D2:D1898, MATCH(D1899,RulebookFields!A2:A1898, 0))="")=TRUE),  "",  INDEX(RulebookFields!D2:D1898, MATCH(D1899,RulebookFields!A2:A1898, 0))), "")</f>
        <v>NeedsAttention</v>
      </c>
      <c r="J1899" s="4" t="b">
        <f>_xlfn.IFNA(IF(((INDEX(RulebookFields!I2:I1898, MATCH(D1899,RulebookFields!A2:A1898, 0))="")=TRUE),  "",  INDEX(RulebookFields!I2:I1898, MATCH(D1899,RulebookFields!A2:A1898, 0))), "")</f>
        <v>1</v>
      </c>
      <c r="K1899" s="4" t="b">
        <f>AND(((F1899)=TRUE), ((J1899)=TRUE))</f>
        <v>0</v>
      </c>
      <c r="L1899" s="4" t="b">
        <f>AND(((G1899 &lt;&gt; "plain")=TRUE), ((G1899 &lt;&gt; "")=TRUE))</f>
        <v>0</v>
      </c>
      <c r="M1899" s="4" t="str">
        <f>IF(((E1899)=TRUE),  C1899 &amp; "|" &amp; H1899,  "")</f>
        <v>principal-process-steward|TestCases</v>
      </c>
      <c r="N1899" s="3" t="s">
        <v>10004</v>
      </c>
    </row>
    <row r="1900">
      <c r="A1900" s="3" t="s">
        <v>11902</v>
      </c>
      <c r="B1900" s="4" t="str">
        <f>C1900 &amp; " -&gt; " &amp; D1900</f>
        <v>principal-process-steward -&gt; TestCases.PassingSuiteKey</v>
      </c>
      <c r="C1900" s="3" t="s">
        <v>9772</v>
      </c>
      <c r="D1900" s="3" t="s">
        <v>4244</v>
      </c>
      <c r="E1900" s="3" t="b">
        <v>1</v>
      </c>
      <c r="F1900" s="3" t="b">
        <v>0</v>
      </c>
      <c r="G1900" s="3" t="s">
        <v>10003</v>
      </c>
      <c r="H1900" s="4" t="str">
        <f>_xlfn.IFNA(IF(((INDEX(RulebookFields!C2:C1898, MATCH(D1900,RulebookFields!A2:A1898, 0))="")=TRUE),  "",  INDEX(RulebookFields!C2:C1898, MATCH(D1900,RulebookFields!A2:A1898, 0))), "")</f>
        <v>TestCases</v>
      </c>
      <c r="I1900" s="4" t="str">
        <f>_xlfn.IFNA(IF(((INDEX(RulebookFields!D2:D1898, MATCH(D1900,RulebookFields!A2:A1898, 0))="")=TRUE),  "",  INDEX(RulebookFields!D2:D1898, MATCH(D1900,RulebookFields!A2:A1898, 0))), "")</f>
        <v>PassingSuiteKey</v>
      </c>
      <c r="J1900" s="4" t="b">
        <f>_xlfn.IFNA(IF(((INDEX(RulebookFields!I2:I1898, MATCH(D1900,RulebookFields!A2:A1898, 0))="")=TRUE),  "",  INDEX(RulebookFields!I2:I1898, MATCH(D1900,RulebookFields!A2:A1898, 0))), "")</f>
        <v>1</v>
      </c>
      <c r="K1900" s="4" t="b">
        <f>AND(((F1900)=TRUE), ((J1900)=TRUE))</f>
        <v>0</v>
      </c>
      <c r="L1900" s="4" t="b">
        <f>AND(((G1900 &lt;&gt; "plain")=TRUE), ((G1900 &lt;&gt; "")=TRUE))</f>
        <v>0</v>
      </c>
      <c r="M1900" s="4" t="str">
        <f>IF(((E1900)=TRUE),  C1900 &amp; "|" &amp; H1900,  "")</f>
        <v>principal-process-steward|TestCases</v>
      </c>
      <c r="N1900" s="3" t="s">
        <v>10004</v>
      </c>
    </row>
    <row r="1901">
      <c r="A1901" s="3" t="s">
        <v>11903</v>
      </c>
      <c r="B1901" s="4" t="str">
        <f>C1901 &amp; " -&gt; " &amp; D1901</f>
        <v>principal-process-steward -&gt; TestCases.NeedsAttentionSuiteKey</v>
      </c>
      <c r="C1901" s="3" t="s">
        <v>9772</v>
      </c>
      <c r="D1901" s="3" t="s">
        <v>4247</v>
      </c>
      <c r="E1901" s="3" t="b">
        <v>1</v>
      </c>
      <c r="F1901" s="3" t="b">
        <v>0</v>
      </c>
      <c r="G1901" s="3" t="s">
        <v>10003</v>
      </c>
      <c r="H1901" s="4" t="str">
        <f>_xlfn.IFNA(IF(((INDEX(RulebookFields!C2:C1898, MATCH(D1901,RulebookFields!A2:A1898, 0))="")=TRUE),  "",  INDEX(RulebookFields!C2:C1898, MATCH(D1901,RulebookFields!A2:A1898, 0))), "")</f>
        <v>TestCases</v>
      </c>
      <c r="I1901" s="4" t="str">
        <f>_xlfn.IFNA(IF(((INDEX(RulebookFields!D2:D1898, MATCH(D1901,RulebookFields!A2:A1898, 0))="")=TRUE),  "",  INDEX(RulebookFields!D2:D1898, MATCH(D1901,RulebookFields!A2:A1898, 0))), "")</f>
        <v>NeedsAttentionSuiteKey</v>
      </c>
      <c r="J1901" s="4" t="b">
        <f>_xlfn.IFNA(IF(((INDEX(RulebookFields!I2:I1898, MATCH(D1901,RulebookFields!A2:A1898, 0))="")=TRUE),  "",  INDEX(RulebookFields!I2:I1898, MATCH(D1901,RulebookFields!A2:A1898, 0))), "")</f>
        <v>1</v>
      </c>
      <c r="K1901" s="4" t="b">
        <f>AND(((F1901)=TRUE), ((J1901)=TRUE))</f>
        <v>0</v>
      </c>
      <c r="L1901" s="4" t="b">
        <f>AND(((G1901 &lt;&gt; "plain")=TRUE), ((G1901 &lt;&gt; "")=TRUE))</f>
        <v>0</v>
      </c>
      <c r="M1901" s="4" t="str">
        <f>IF(((E1901)=TRUE),  C1901 &amp; "|" &amp; H1901,  "")</f>
        <v>principal-process-steward|TestCases</v>
      </c>
      <c r="N1901" s="3" t="s">
        <v>10004</v>
      </c>
    </row>
    <row r="1902">
      <c r="A1902" s="3" t="s">
        <v>11904</v>
      </c>
      <c r="B1902" s="4" t="str">
        <f>C1902 &amp; " -&gt; " &amp; D1902</f>
        <v>principal-process-steward -&gt; TestCases.SemanticTypeIri</v>
      </c>
      <c r="C1902" s="3" t="s">
        <v>9772</v>
      </c>
      <c r="D1902" s="3" t="s">
        <v>4250</v>
      </c>
      <c r="E1902" s="3" t="b">
        <v>1</v>
      </c>
      <c r="F1902" s="3" t="b">
        <v>0</v>
      </c>
      <c r="G1902" s="3" t="s">
        <v>10003</v>
      </c>
      <c r="H1902" s="4" t="str">
        <f>_xlfn.IFNA(IF(((INDEX(RulebookFields!C2:C1898, MATCH(D1902,RulebookFields!A2:A1898, 0))="")=TRUE),  "",  INDEX(RulebookFields!C2:C1898, MATCH(D1902,RulebookFields!A2:A1898, 0))), "")</f>
        <v>TestCases</v>
      </c>
      <c r="I1902" s="4" t="str">
        <f>_xlfn.IFNA(IF(((INDEX(RulebookFields!D2:D1898, MATCH(D1902,RulebookFields!A2:A1898, 0))="")=TRUE),  "",  INDEX(RulebookFields!D2:D1898, MATCH(D1902,RulebookFields!A2:A1898, 0))), "")</f>
        <v>SemanticTypeIri</v>
      </c>
      <c r="J1902" s="4" t="b">
        <f>_xlfn.IFNA(IF(((INDEX(RulebookFields!I2:I1898, MATCH(D1902,RulebookFields!A2:A1898, 0))="")=TRUE),  "",  INDEX(RulebookFields!I2:I1898, MATCH(D1902,RulebookFields!A2:A1898, 0))), "")</f>
        <v>0</v>
      </c>
      <c r="K1902" s="4" t="b">
        <f>AND(((F1902)=TRUE), ((J1902)=TRUE))</f>
        <v>0</v>
      </c>
      <c r="L1902" s="4" t="b">
        <f>AND(((G1902 &lt;&gt; "plain")=TRUE), ((G1902 &lt;&gt; "")=TRUE))</f>
        <v>0</v>
      </c>
      <c r="M1902" s="4" t="str">
        <f>IF(((E1902)=TRUE),  C1902 &amp; "|" &amp; H1902,  "")</f>
        <v>principal-process-steward|TestCases</v>
      </c>
      <c r="N1902" s="3" t="s">
        <v>10004</v>
      </c>
    </row>
    <row r="1903">
      <c r="A1903" s="3" t="s">
        <v>11905</v>
      </c>
      <c r="B1903" s="4" t="str">
        <f>C1903 &amp; " -&gt; " &amp; D1903</f>
        <v>principal-process-steward -&gt; TestSuites.TestSuiteId</v>
      </c>
      <c r="C1903" s="3" t="s">
        <v>9772</v>
      </c>
      <c r="D1903" s="3" t="s">
        <v>4190</v>
      </c>
      <c r="E1903" s="3" t="b">
        <v>1</v>
      </c>
      <c r="F1903" s="3" t="b">
        <v>0</v>
      </c>
      <c r="G1903" s="3" t="s">
        <v>10003</v>
      </c>
      <c r="H1903" s="4" t="str">
        <f>_xlfn.IFNA(IF(((INDEX(RulebookFields!C2:C1898, MATCH(D1903,RulebookFields!A2:A1898, 0))="")=TRUE),  "",  INDEX(RulebookFields!C2:C1898, MATCH(D1903,RulebookFields!A2:A1898, 0))), "")</f>
        <v>TestSuites</v>
      </c>
      <c r="I1903" s="4" t="str">
        <f>_xlfn.IFNA(IF(((INDEX(RulebookFields!D2:D1898, MATCH(D1903,RulebookFields!A2:A1898, 0))="")=TRUE),  "",  INDEX(RulebookFields!D2:D1898, MATCH(D1903,RulebookFields!A2:A1898, 0))), "")</f>
        <v>TestSuiteId</v>
      </c>
      <c r="J1903" s="4" t="b">
        <f>_xlfn.IFNA(IF(((INDEX(RulebookFields!I2:I1898, MATCH(D1903,RulebookFields!A2:A1898, 0))="")=TRUE),  "",  INDEX(RulebookFields!I2:I1898, MATCH(D1903,RulebookFields!A2:A1898, 0))), "")</f>
        <v>0</v>
      </c>
      <c r="K1903" s="4" t="b">
        <f>AND(((F1903)=TRUE), ((J1903)=TRUE))</f>
        <v>0</v>
      </c>
      <c r="L1903" s="4" t="b">
        <f>AND(((G1903 &lt;&gt; "plain")=TRUE), ((G1903 &lt;&gt; "")=TRUE))</f>
        <v>0</v>
      </c>
      <c r="M1903" s="4" t="str">
        <f>IF(((E1903)=TRUE),  C1903 &amp; "|" &amp; H1903,  "")</f>
        <v>principal-process-steward|TestSuites</v>
      </c>
      <c r="N1903" s="3" t="s">
        <v>10004</v>
      </c>
    </row>
    <row r="1904">
      <c r="A1904" s="3" t="s">
        <v>11906</v>
      </c>
      <c r="B1904" s="4" t="str">
        <f>C1904 &amp; " -&gt; " &amp; D1904</f>
        <v>principal-process-steward -&gt; TestSuites.Name</v>
      </c>
      <c r="C1904" s="3" t="s">
        <v>9772</v>
      </c>
      <c r="D1904" s="3" t="s">
        <v>4193</v>
      </c>
      <c r="E1904" s="3" t="b">
        <v>1</v>
      </c>
      <c r="F1904" s="3" t="b">
        <v>0</v>
      </c>
      <c r="G1904" s="3" t="s">
        <v>10003</v>
      </c>
      <c r="H1904" s="4" t="str">
        <f>_xlfn.IFNA(IF(((INDEX(RulebookFields!C2:C1898, MATCH(D1904,RulebookFields!A2:A1898, 0))="")=TRUE),  "",  INDEX(RulebookFields!C2:C1898, MATCH(D1904,RulebookFields!A2:A1898, 0))), "")</f>
        <v>TestSuites</v>
      </c>
      <c r="I1904" s="4" t="str">
        <f>_xlfn.IFNA(IF(((INDEX(RulebookFields!D2:D1898, MATCH(D1904,RulebookFields!A2:A1898, 0))="")=TRUE),  "",  INDEX(RulebookFields!D2:D1898, MATCH(D1904,RulebookFields!A2:A1898, 0))), "")</f>
        <v>Name</v>
      </c>
      <c r="J1904" s="4" t="b">
        <f>_xlfn.IFNA(IF(((INDEX(RulebookFields!I2:I1898, MATCH(D1904,RulebookFields!A2:A1898, 0))="")=TRUE),  "",  INDEX(RulebookFields!I2:I1898, MATCH(D1904,RulebookFields!A2:A1898, 0))), "")</f>
        <v>1</v>
      </c>
      <c r="K1904" s="4" t="b">
        <f>AND(((F1904)=TRUE), ((J1904)=TRUE))</f>
        <v>0</v>
      </c>
      <c r="L1904" s="4" t="b">
        <f>AND(((G1904 &lt;&gt; "plain")=TRUE), ((G1904 &lt;&gt; "")=TRUE))</f>
        <v>0</v>
      </c>
      <c r="M1904" s="4" t="str">
        <f>IF(((E1904)=TRUE),  C1904 &amp; "|" &amp; H1904,  "")</f>
        <v>principal-process-steward|TestSuites</v>
      </c>
      <c r="N1904" s="3" t="s">
        <v>10004</v>
      </c>
    </row>
    <row r="1905">
      <c r="A1905" s="3" t="s">
        <v>11907</v>
      </c>
      <c r="B1905" s="4" t="str">
        <f>C1905 &amp; " -&gt; " &amp; D1905</f>
        <v>principal-process-steward -&gt; TestSuites.Label</v>
      </c>
      <c r="C1905" s="3" t="s">
        <v>9772</v>
      </c>
      <c r="D1905" s="3" t="s">
        <v>4194</v>
      </c>
      <c r="E1905" s="3" t="b">
        <v>1</v>
      </c>
      <c r="F1905" s="3" t="b">
        <v>0</v>
      </c>
      <c r="G1905" s="3" t="s">
        <v>10003</v>
      </c>
      <c r="H1905" s="4" t="str">
        <f>_xlfn.IFNA(IF(((INDEX(RulebookFields!C2:C1898, MATCH(D1905,RulebookFields!A2:A1898, 0))="")=TRUE),  "",  INDEX(RulebookFields!C2:C1898, MATCH(D1905,RulebookFields!A2:A1898, 0))), "")</f>
        <v>TestSuites</v>
      </c>
      <c r="I1905" s="4" t="str">
        <f>_xlfn.IFNA(IF(((INDEX(RulebookFields!D2:D1898, MATCH(D1905,RulebookFields!A2:A1898, 0))="")=TRUE),  "",  INDEX(RulebookFields!D2:D1898, MATCH(D1905,RulebookFields!A2:A1898, 0))), "")</f>
        <v>Label</v>
      </c>
      <c r="J1905" s="4" t="b">
        <f>_xlfn.IFNA(IF(((INDEX(RulebookFields!I2:I1898, MATCH(D1905,RulebookFields!A2:A1898, 0))="")=TRUE),  "",  INDEX(RulebookFields!I2:I1898, MATCH(D1905,RulebookFields!A2:A1898, 0))), "")</f>
        <v>0</v>
      </c>
      <c r="K1905" s="4" t="b">
        <f>AND(((F1905)=TRUE), ((J1905)=TRUE))</f>
        <v>0</v>
      </c>
      <c r="L1905" s="4" t="b">
        <f>AND(((G1905 &lt;&gt; "plain")=TRUE), ((G1905 &lt;&gt; "")=TRUE))</f>
        <v>0</v>
      </c>
      <c r="M1905" s="4" t="str">
        <f>IF(((E1905)=TRUE),  C1905 &amp; "|" &amp; H1905,  "")</f>
        <v>principal-process-steward|TestSuites</v>
      </c>
      <c r="N1905" s="3" t="s">
        <v>10004</v>
      </c>
    </row>
    <row r="1906">
      <c r="A1906" s="3" t="s">
        <v>11908</v>
      </c>
      <c r="B1906" s="4" t="str">
        <f>C1906 &amp; " -&gt; " &amp; D1906</f>
        <v>principal-process-steward -&gt; TestSuites.TestCount</v>
      </c>
      <c r="C1906" s="3" t="s">
        <v>9772</v>
      </c>
      <c r="D1906" s="3" t="s">
        <v>4195</v>
      </c>
      <c r="E1906" s="3" t="b">
        <v>1</v>
      </c>
      <c r="F1906" s="3" t="b">
        <v>0</v>
      </c>
      <c r="G1906" s="3" t="s">
        <v>10003</v>
      </c>
      <c r="H1906" s="4" t="str">
        <f>_xlfn.IFNA(IF(((INDEX(RulebookFields!C2:C1898, MATCH(D1906,RulebookFields!A2:A1898, 0))="")=TRUE),  "",  INDEX(RulebookFields!C2:C1898, MATCH(D1906,RulebookFields!A2:A1898, 0))), "")</f>
        <v>TestSuites</v>
      </c>
      <c r="I1906" s="4" t="str">
        <f>_xlfn.IFNA(IF(((INDEX(RulebookFields!D2:D1898, MATCH(D1906,RulebookFields!A2:A1898, 0))="")=TRUE),  "",  INDEX(RulebookFields!D2:D1898, MATCH(D1906,RulebookFields!A2:A1898, 0))), "")</f>
        <v>TestCount</v>
      </c>
      <c r="J1906" s="4" t="b">
        <f>_xlfn.IFNA(IF(((INDEX(RulebookFields!I2:I1898, MATCH(D1906,RulebookFields!A2:A1898, 0))="")=TRUE),  "",  INDEX(RulebookFields!I2:I1898, MATCH(D1906,RulebookFields!A2:A1898, 0))), "")</f>
        <v>1</v>
      </c>
      <c r="K1906" s="4" t="b">
        <f>AND(((F1906)=TRUE), ((J1906)=TRUE))</f>
        <v>0</v>
      </c>
      <c r="L1906" s="4" t="b">
        <f>AND(((G1906 &lt;&gt; "plain")=TRUE), ((G1906 &lt;&gt; "")=TRUE))</f>
        <v>0</v>
      </c>
      <c r="M1906" s="4" t="str">
        <f>IF(((E1906)=TRUE),  C1906 &amp; "|" &amp; H1906,  "")</f>
        <v>principal-process-steward|TestSuites</v>
      </c>
      <c r="N1906" s="3" t="s">
        <v>10004</v>
      </c>
    </row>
    <row r="1907">
      <c r="A1907" s="3" t="s">
        <v>11909</v>
      </c>
      <c r="B1907" s="4" t="str">
        <f>C1907 &amp; " -&gt; " &amp; D1907</f>
        <v>principal-process-steward -&gt; TestSuites.PassCount</v>
      </c>
      <c r="C1907" s="3" t="s">
        <v>9772</v>
      </c>
      <c r="D1907" s="3" t="s">
        <v>4198</v>
      </c>
      <c r="E1907" s="3" t="b">
        <v>1</v>
      </c>
      <c r="F1907" s="3" t="b">
        <v>0</v>
      </c>
      <c r="G1907" s="3" t="s">
        <v>10003</v>
      </c>
      <c r="H1907" s="4" t="str">
        <f>_xlfn.IFNA(IF(((INDEX(RulebookFields!C2:C1898, MATCH(D1907,RulebookFields!A2:A1898, 0))="")=TRUE),  "",  INDEX(RulebookFields!C2:C1898, MATCH(D1907,RulebookFields!A2:A1898, 0))), "")</f>
        <v>TestSuites</v>
      </c>
      <c r="I1907" s="4" t="str">
        <f>_xlfn.IFNA(IF(((INDEX(RulebookFields!D2:D1898, MATCH(D1907,RulebookFields!A2:A1898, 0))="")=TRUE),  "",  INDEX(RulebookFields!D2:D1898, MATCH(D1907,RulebookFields!A2:A1898, 0))), "")</f>
        <v>PassCount</v>
      </c>
      <c r="J1907" s="4" t="b">
        <f>_xlfn.IFNA(IF(((INDEX(RulebookFields!I2:I1898, MATCH(D1907,RulebookFields!A2:A1898, 0))="")=TRUE),  "",  INDEX(RulebookFields!I2:I1898, MATCH(D1907,RulebookFields!A2:A1898, 0))), "")</f>
        <v>1</v>
      </c>
      <c r="K1907" s="4" t="b">
        <f>AND(((F1907)=TRUE), ((J1907)=TRUE))</f>
        <v>0</v>
      </c>
      <c r="L1907" s="4" t="b">
        <f>AND(((G1907 &lt;&gt; "plain")=TRUE), ((G1907 &lt;&gt; "")=TRUE))</f>
        <v>0</v>
      </c>
      <c r="M1907" s="4" t="str">
        <f>IF(((E1907)=TRUE),  C1907 &amp; "|" &amp; H1907,  "")</f>
        <v>principal-process-steward|TestSuites</v>
      </c>
      <c r="N1907" s="3" t="s">
        <v>10004</v>
      </c>
    </row>
    <row r="1908">
      <c r="A1908" s="3" t="s">
        <v>11910</v>
      </c>
      <c r="B1908" s="4" t="str">
        <f>C1908 &amp; " -&gt; " &amp; D1908</f>
        <v>principal-process-steward -&gt; TestSuites.BlockingFailCount</v>
      </c>
      <c r="C1908" s="3" t="s">
        <v>9772</v>
      </c>
      <c r="D1908" s="3" t="s">
        <v>4201</v>
      </c>
      <c r="E1908" s="3" t="b">
        <v>1</v>
      </c>
      <c r="F1908" s="3" t="b">
        <v>0</v>
      </c>
      <c r="G1908" s="3" t="s">
        <v>10003</v>
      </c>
      <c r="H1908" s="4" t="str">
        <f>_xlfn.IFNA(IF(((INDEX(RulebookFields!C2:C1898, MATCH(D1908,RulebookFields!A2:A1898, 0))="")=TRUE),  "",  INDEX(RulebookFields!C2:C1898, MATCH(D1908,RulebookFields!A2:A1898, 0))), "")</f>
        <v>TestSuites</v>
      </c>
      <c r="I1908" s="4" t="str">
        <f>_xlfn.IFNA(IF(((INDEX(RulebookFields!D2:D1898, MATCH(D1908,RulebookFields!A2:A1898, 0))="")=TRUE),  "",  INDEX(RulebookFields!D2:D1898, MATCH(D1908,RulebookFields!A2:A1898, 0))), "")</f>
        <v>BlockingFailCount</v>
      </c>
      <c r="J1908" s="4" t="b">
        <f>_xlfn.IFNA(IF(((INDEX(RulebookFields!I2:I1898, MATCH(D1908,RulebookFields!A2:A1898, 0))="")=TRUE),  "",  INDEX(RulebookFields!I2:I1898, MATCH(D1908,RulebookFields!A2:A1898, 0))), "")</f>
        <v>1</v>
      </c>
      <c r="K1908" s="4" t="b">
        <f>AND(((F1908)=TRUE), ((J1908)=TRUE))</f>
        <v>0</v>
      </c>
      <c r="L1908" s="4" t="b">
        <f>AND(((G1908 &lt;&gt; "plain")=TRUE), ((G1908 &lt;&gt; "")=TRUE))</f>
        <v>0</v>
      </c>
      <c r="M1908" s="4" t="str">
        <f>IF(((E1908)=TRUE),  C1908 &amp; "|" &amp; H1908,  "")</f>
        <v>principal-process-steward|TestSuites</v>
      </c>
      <c r="N1908" s="3" t="s">
        <v>10004</v>
      </c>
    </row>
    <row r="1909">
      <c r="A1909" s="3" t="s">
        <v>11911</v>
      </c>
      <c r="B1909" s="4" t="str">
        <f>C1909 &amp; " -&gt; " &amp; D1909</f>
        <v>principal-process-steward -&gt; TestSuites.IsGreen</v>
      </c>
      <c r="C1909" s="3" t="s">
        <v>9772</v>
      </c>
      <c r="D1909" s="3" t="s">
        <v>4204</v>
      </c>
      <c r="E1909" s="3" t="b">
        <v>1</v>
      </c>
      <c r="F1909" s="3" t="b">
        <v>0</v>
      </c>
      <c r="G1909" s="3" t="s">
        <v>10003</v>
      </c>
      <c r="H1909" s="4" t="str">
        <f>_xlfn.IFNA(IF(((INDEX(RulebookFields!C2:C1898, MATCH(D1909,RulebookFields!A2:A1898, 0))="")=TRUE),  "",  INDEX(RulebookFields!C2:C1898, MATCH(D1909,RulebookFields!A2:A1898, 0))), "")</f>
        <v>TestSuites</v>
      </c>
      <c r="I1909" s="4" t="str">
        <f>_xlfn.IFNA(IF(((INDEX(RulebookFields!D2:D1898, MATCH(D1909,RulebookFields!A2:A1898, 0))="")=TRUE),  "",  INDEX(RulebookFields!D2:D1898, MATCH(D1909,RulebookFields!A2:A1898, 0))), "")</f>
        <v>IsGreen</v>
      </c>
      <c r="J1909" s="4" t="b">
        <f>_xlfn.IFNA(IF(((INDEX(RulebookFields!I2:I1898, MATCH(D1909,RulebookFields!A2:A1898, 0))="")=TRUE),  "",  INDEX(RulebookFields!I2:I1898, MATCH(D1909,RulebookFields!A2:A1898, 0))), "")</f>
        <v>1</v>
      </c>
      <c r="K1909" s="4" t="b">
        <f>AND(((F1909)=TRUE), ((J1909)=TRUE))</f>
        <v>0</v>
      </c>
      <c r="L1909" s="4" t="b">
        <f>AND(((G1909 &lt;&gt; "plain")=TRUE), ((G1909 &lt;&gt; "")=TRUE))</f>
        <v>0</v>
      </c>
      <c r="M1909" s="4" t="str">
        <f>IF(((E1909)=TRUE),  C1909 &amp; "|" &amp; H1909,  "")</f>
        <v>principal-process-steward|TestSuites</v>
      </c>
      <c r="N1909" s="3" t="s">
        <v>10004</v>
      </c>
    </row>
    <row r="1910">
      <c r="A1910" s="3" t="s">
        <v>11912</v>
      </c>
      <c r="B1910" s="4" t="str">
        <f>C1910 &amp; " -&gt; " &amp; D1910</f>
        <v>principal-process-steward -&gt; TestSuites.SemanticTypeIri</v>
      </c>
      <c r="C1910" s="3" t="s">
        <v>9772</v>
      </c>
      <c r="D1910" s="3" t="s">
        <v>4207</v>
      </c>
      <c r="E1910" s="3" t="b">
        <v>1</v>
      </c>
      <c r="F1910" s="3" t="b">
        <v>0</v>
      </c>
      <c r="G1910" s="3" t="s">
        <v>10003</v>
      </c>
      <c r="H1910" s="4" t="str">
        <f>_xlfn.IFNA(IF(((INDEX(RulebookFields!C2:C1898, MATCH(D1910,RulebookFields!A2:A1898, 0))="")=TRUE),  "",  INDEX(RulebookFields!C2:C1898, MATCH(D1910,RulebookFields!A2:A1898, 0))), "")</f>
        <v>TestSuites</v>
      </c>
      <c r="I1910" s="4" t="str">
        <f>_xlfn.IFNA(IF(((INDEX(RulebookFields!D2:D1898, MATCH(D1910,RulebookFields!A2:A1898, 0))="")=TRUE),  "",  INDEX(RulebookFields!D2:D1898, MATCH(D1910,RulebookFields!A2:A1898, 0))), "")</f>
        <v>SemanticTypeIri</v>
      </c>
      <c r="J1910" s="4" t="b">
        <f>_xlfn.IFNA(IF(((INDEX(RulebookFields!I2:I1898, MATCH(D1910,RulebookFields!A2:A1898, 0))="")=TRUE),  "",  INDEX(RulebookFields!I2:I1898, MATCH(D1910,RulebookFields!A2:A1898, 0))), "")</f>
        <v>0</v>
      </c>
      <c r="K1910" s="4" t="b">
        <f>AND(((F1910)=TRUE), ((J1910)=TRUE))</f>
        <v>0</v>
      </c>
      <c r="L1910" s="4" t="b">
        <f>AND(((G1910 &lt;&gt; "plain")=TRUE), ((G1910 &lt;&gt; "")=TRUE))</f>
        <v>0</v>
      </c>
      <c r="M1910" s="4" t="str">
        <f>IF(((E1910)=TRUE),  C1910 &amp; "|" &amp; H1910,  "")</f>
        <v>principal-process-steward|TestSuites</v>
      </c>
      <c r="N1910" s="3" t="s">
        <v>10004</v>
      </c>
    </row>
    <row r="1911">
      <c r="A1911" s="3" t="s">
        <v>11913</v>
      </c>
      <c r="B1911" s="4" t="str">
        <f>C1911 &amp; " -&gt; " &amp; D1911</f>
        <v>principal-process-steward -&gt; Tools.ToolId</v>
      </c>
      <c r="C1911" s="3" t="s">
        <v>9772</v>
      </c>
      <c r="D1911" s="3" t="s">
        <v>3022</v>
      </c>
      <c r="E1911" s="3" t="b">
        <v>1</v>
      </c>
      <c r="F1911" s="3" t="b">
        <v>0</v>
      </c>
      <c r="G1911" s="3" t="s">
        <v>10003</v>
      </c>
      <c r="H1911" s="4" t="str">
        <f>_xlfn.IFNA(IF(((INDEX(RulebookFields!C2:C1898, MATCH(D1911,RulebookFields!A2:A1898, 0))="")=TRUE),  "",  INDEX(RulebookFields!C2:C1898, MATCH(D1911,RulebookFields!A2:A1898, 0))), "")</f>
        <v>Tools</v>
      </c>
      <c r="I1911" s="4" t="str">
        <f>_xlfn.IFNA(IF(((INDEX(RulebookFields!D2:D1898, MATCH(D1911,RulebookFields!A2:A1898, 0))="")=TRUE),  "",  INDEX(RulebookFields!D2:D1898, MATCH(D1911,RulebookFields!A2:A1898, 0))), "")</f>
        <v>ToolId</v>
      </c>
      <c r="J1911" s="4" t="b">
        <f>_xlfn.IFNA(IF(((INDEX(RulebookFields!I2:I1898, MATCH(D1911,RulebookFields!A2:A1898, 0))="")=TRUE),  "",  INDEX(RulebookFields!I2:I1898, MATCH(D1911,RulebookFields!A2:A1898, 0))), "")</f>
        <v>0</v>
      </c>
      <c r="K1911" s="4" t="b">
        <f>AND(((F1911)=TRUE), ((J1911)=TRUE))</f>
        <v>0</v>
      </c>
      <c r="L1911" s="4" t="b">
        <f>AND(((G1911 &lt;&gt; "plain")=TRUE), ((G1911 &lt;&gt; "")=TRUE))</f>
        <v>0</v>
      </c>
      <c r="M1911" s="4" t="str">
        <f>IF(((E1911)=TRUE),  C1911 &amp; "|" &amp; H1911,  "")</f>
        <v>principal-process-steward|Tools</v>
      </c>
      <c r="N1911" s="3" t="s">
        <v>10004</v>
      </c>
    </row>
    <row r="1912">
      <c r="A1912" s="3" t="s">
        <v>11914</v>
      </c>
      <c r="B1912" s="4" t="str">
        <f>C1912 &amp; " -&gt; " &amp; D1912</f>
        <v>principal-process-steward -&gt; Tools.Name</v>
      </c>
      <c r="C1912" s="3" t="s">
        <v>9772</v>
      </c>
      <c r="D1912" s="3" t="s">
        <v>3023</v>
      </c>
      <c r="E1912" s="3" t="b">
        <v>1</v>
      </c>
      <c r="F1912" s="3" t="b">
        <v>0</v>
      </c>
      <c r="G1912" s="3" t="s">
        <v>10003</v>
      </c>
      <c r="H1912" s="4" t="str">
        <f>_xlfn.IFNA(IF(((INDEX(RulebookFields!C2:C1898, MATCH(D1912,RulebookFields!A2:A1898, 0))="")=TRUE),  "",  INDEX(RulebookFields!C2:C1898, MATCH(D1912,RulebookFields!A2:A1898, 0))), "")</f>
        <v>Tools</v>
      </c>
      <c r="I1912" s="4" t="str">
        <f>_xlfn.IFNA(IF(((INDEX(RulebookFields!D2:D1898, MATCH(D1912,RulebookFields!A2:A1898, 0))="")=TRUE),  "",  INDEX(RulebookFields!D2:D1898, MATCH(D1912,RulebookFields!A2:A1898, 0))), "")</f>
        <v>Name</v>
      </c>
      <c r="J1912" s="4" t="b">
        <f>_xlfn.IFNA(IF(((INDEX(RulebookFields!I2:I1898, MATCH(D1912,RulebookFields!A2:A1898, 0))="")=TRUE),  "",  INDEX(RulebookFields!I2:I1898, MATCH(D1912,RulebookFields!A2:A1898, 0))), "")</f>
        <v>1</v>
      </c>
      <c r="K1912" s="4" t="b">
        <f>AND(((F1912)=TRUE), ((J1912)=TRUE))</f>
        <v>0</v>
      </c>
      <c r="L1912" s="4" t="b">
        <f>AND(((G1912 &lt;&gt; "plain")=TRUE), ((G1912 &lt;&gt; "")=TRUE))</f>
        <v>0</v>
      </c>
      <c r="M1912" s="4" t="str">
        <f>IF(((E1912)=TRUE),  C1912 &amp; "|" &amp; H1912,  "")</f>
        <v>principal-process-steward|Tools</v>
      </c>
      <c r="N1912" s="3" t="s">
        <v>10004</v>
      </c>
    </row>
    <row r="1913">
      <c r="A1913" s="3" t="s">
        <v>11915</v>
      </c>
      <c r="B1913" s="4" t="str">
        <f>C1913 &amp; " -&gt; " &amp; D1913</f>
        <v>principal-process-steward -&gt; Tools.Label</v>
      </c>
      <c r="C1913" s="3" t="s">
        <v>9772</v>
      </c>
      <c r="D1913" s="3" t="s">
        <v>3024</v>
      </c>
      <c r="E1913" s="3" t="b">
        <v>1</v>
      </c>
      <c r="F1913" s="3" t="b">
        <v>0</v>
      </c>
      <c r="G1913" s="3" t="s">
        <v>10003</v>
      </c>
      <c r="H1913" s="4" t="str">
        <f>_xlfn.IFNA(IF(((INDEX(RulebookFields!C2:C1898, MATCH(D1913,RulebookFields!A2:A1898, 0))="")=TRUE),  "",  INDEX(RulebookFields!C2:C1898, MATCH(D1913,RulebookFields!A2:A1898, 0))), "")</f>
        <v>Tools</v>
      </c>
      <c r="I1913" s="4" t="str">
        <f>_xlfn.IFNA(IF(((INDEX(RulebookFields!D2:D1898, MATCH(D1913,RulebookFields!A2:A1898, 0))="")=TRUE),  "",  INDEX(RulebookFields!D2:D1898, MATCH(D1913,RulebookFields!A2:A1898, 0))), "")</f>
        <v>Label</v>
      </c>
      <c r="J1913" s="4" t="b">
        <f>_xlfn.IFNA(IF(((INDEX(RulebookFields!I2:I1898, MATCH(D1913,RulebookFields!A2:A1898, 0))="")=TRUE),  "",  INDEX(RulebookFields!I2:I1898, MATCH(D1913,RulebookFields!A2:A1898, 0))), "")</f>
        <v>0</v>
      </c>
      <c r="K1913" s="4" t="b">
        <f>AND(((F1913)=TRUE), ((J1913)=TRUE))</f>
        <v>0</v>
      </c>
      <c r="L1913" s="4" t="b">
        <f>AND(((G1913 &lt;&gt; "plain")=TRUE), ((G1913 &lt;&gt; "")=TRUE))</f>
        <v>0</v>
      </c>
      <c r="M1913" s="4" t="str">
        <f>IF(((E1913)=TRUE),  C1913 &amp; "|" &amp; H1913,  "")</f>
        <v>principal-process-steward|Tools</v>
      </c>
      <c r="N1913" s="3" t="s">
        <v>10004</v>
      </c>
    </row>
    <row r="1914">
      <c r="A1914" s="3" t="s">
        <v>11916</v>
      </c>
      <c r="B1914" s="4" t="str">
        <f>C1914 &amp; " -&gt; " &amp; D1914</f>
        <v>principal-process-steward -&gt; Tools.Purpose</v>
      </c>
      <c r="C1914" s="3" t="s">
        <v>9772</v>
      </c>
      <c r="D1914" s="3" t="s">
        <v>3025</v>
      </c>
      <c r="E1914" s="3" t="b">
        <v>1</v>
      </c>
      <c r="F1914" s="3" t="b">
        <v>0</v>
      </c>
      <c r="G1914" s="3" t="s">
        <v>10003</v>
      </c>
      <c r="H1914" s="4" t="str">
        <f>_xlfn.IFNA(IF(((INDEX(RulebookFields!C2:C1898, MATCH(D1914,RulebookFields!A2:A1898, 0))="")=TRUE),  "",  INDEX(RulebookFields!C2:C1898, MATCH(D1914,RulebookFields!A2:A1898, 0))), "")</f>
        <v>Tools</v>
      </c>
      <c r="I1914" s="4" t="str">
        <f>_xlfn.IFNA(IF(((INDEX(RulebookFields!D2:D1898, MATCH(D1914,RulebookFields!A2:A1898, 0))="")=TRUE),  "",  INDEX(RulebookFields!D2:D1898, MATCH(D1914,RulebookFields!A2:A1898, 0))), "")</f>
        <v>Purpose</v>
      </c>
      <c r="J1914" s="4" t="b">
        <f>_xlfn.IFNA(IF(((INDEX(RulebookFields!I2:I1898, MATCH(D1914,RulebookFields!A2:A1898, 0))="")=TRUE),  "",  INDEX(RulebookFields!I2:I1898, MATCH(D1914,RulebookFields!A2:A1898, 0))), "")</f>
        <v>0</v>
      </c>
      <c r="K1914" s="4" t="b">
        <f>AND(((F1914)=TRUE), ((J1914)=TRUE))</f>
        <v>0</v>
      </c>
      <c r="L1914" s="4" t="b">
        <f>AND(((G1914 &lt;&gt; "plain")=TRUE), ((G1914 &lt;&gt; "")=TRUE))</f>
        <v>0</v>
      </c>
      <c r="M1914" s="4" t="str">
        <f>IF(((E1914)=TRUE),  C1914 &amp; "|" &amp; H1914,  "")</f>
        <v>principal-process-steward|Tools</v>
      </c>
      <c r="N1914" s="3" t="s">
        <v>10004</v>
      </c>
    </row>
    <row r="1915">
      <c r="A1915" s="3" t="s">
        <v>11917</v>
      </c>
      <c r="B1915" s="4" t="str">
        <f>C1915 &amp; " -&gt; " &amp; D1915</f>
        <v>principal-process-steward -&gt; Tools.SemanticTypeIri</v>
      </c>
      <c r="C1915" s="3" t="s">
        <v>9772</v>
      </c>
      <c r="D1915" s="3" t="s">
        <v>3026</v>
      </c>
      <c r="E1915" s="3" t="b">
        <v>1</v>
      </c>
      <c r="F1915" s="3" t="b">
        <v>0</v>
      </c>
      <c r="G1915" s="3" t="s">
        <v>10003</v>
      </c>
      <c r="H1915" s="4" t="str">
        <f>_xlfn.IFNA(IF(((INDEX(RulebookFields!C2:C1898, MATCH(D1915,RulebookFields!A2:A1898, 0))="")=TRUE),  "",  INDEX(RulebookFields!C2:C1898, MATCH(D1915,RulebookFields!A2:A1898, 0))), "")</f>
        <v>Tools</v>
      </c>
      <c r="I1915" s="4" t="str">
        <f>_xlfn.IFNA(IF(((INDEX(RulebookFields!D2:D1898, MATCH(D1915,RulebookFields!A2:A1898, 0))="")=TRUE),  "",  INDEX(RulebookFields!D2:D1898, MATCH(D1915,RulebookFields!A2:A1898, 0))), "")</f>
        <v>SemanticTypeIri</v>
      </c>
      <c r="J1915" s="4" t="b">
        <f>_xlfn.IFNA(IF(((INDEX(RulebookFields!I2:I1898, MATCH(D1915,RulebookFields!A2:A1898, 0))="")=TRUE),  "",  INDEX(RulebookFields!I2:I1898, MATCH(D1915,RulebookFields!A2:A1898, 0))), "")</f>
        <v>0</v>
      </c>
      <c r="K1915" s="4" t="b">
        <f>AND(((F1915)=TRUE), ((J1915)=TRUE))</f>
        <v>0</v>
      </c>
      <c r="L1915" s="4" t="b">
        <f>AND(((G1915 &lt;&gt; "plain")=TRUE), ((G1915 &lt;&gt; "")=TRUE))</f>
        <v>0</v>
      </c>
      <c r="M1915" s="4" t="str">
        <f>IF(((E1915)=TRUE),  C1915 &amp; "|" &amp; H1915,  "")</f>
        <v>principal-process-steward|Tools</v>
      </c>
      <c r="N1915" s="3" t="s">
        <v>10004</v>
      </c>
    </row>
    <row r="1916">
      <c r="A1916" s="3" t="s">
        <v>11918</v>
      </c>
      <c r="B1916" s="4" t="str">
        <f>C1916 &amp; " -&gt; " &amp; D1916</f>
        <v>principal-process-steward -&gt; UserFeedback.UserFeedbackId</v>
      </c>
      <c r="C1916" s="3" t="s">
        <v>9772</v>
      </c>
      <c r="D1916" s="3" t="s">
        <v>3886</v>
      </c>
      <c r="E1916" s="3" t="b">
        <v>1</v>
      </c>
      <c r="F1916" s="3" t="b">
        <v>0</v>
      </c>
      <c r="G1916" s="3" t="s">
        <v>10003</v>
      </c>
      <c r="H1916" s="4" t="str">
        <f>_xlfn.IFNA(IF(((INDEX(RulebookFields!C2:C1898, MATCH(D1916,RulebookFields!A2:A1898, 0))="")=TRUE),  "",  INDEX(RulebookFields!C2:C1898, MATCH(D1916,RulebookFields!A2:A1898, 0))), "")</f>
        <v>UserFeedback</v>
      </c>
      <c r="I1916" s="4" t="str">
        <f>_xlfn.IFNA(IF(((INDEX(RulebookFields!D2:D1898, MATCH(D1916,RulebookFields!A2:A1898, 0))="")=TRUE),  "",  INDEX(RulebookFields!D2:D1898, MATCH(D1916,RulebookFields!A2:A1898, 0))), "")</f>
        <v>UserFeedbackId</v>
      </c>
      <c r="J1916" s="4" t="b">
        <f>_xlfn.IFNA(IF(((INDEX(RulebookFields!I2:I1898, MATCH(D1916,RulebookFields!A2:A1898, 0))="")=TRUE),  "",  INDEX(RulebookFields!I2:I1898, MATCH(D1916,RulebookFields!A2:A1898, 0))), "")</f>
        <v>0</v>
      </c>
      <c r="K1916" s="4" t="b">
        <f>AND(((F1916)=TRUE), ((J1916)=TRUE))</f>
        <v>0</v>
      </c>
      <c r="L1916" s="4" t="b">
        <f>AND(((G1916 &lt;&gt; "plain")=TRUE), ((G1916 &lt;&gt; "")=TRUE))</f>
        <v>0</v>
      </c>
      <c r="M1916" s="4" t="str">
        <f>IF(((E1916)=TRUE),  C1916 &amp; "|" &amp; H1916,  "")</f>
        <v>principal-process-steward|UserFeedback</v>
      </c>
      <c r="N1916" s="3" t="s">
        <v>10004</v>
      </c>
    </row>
    <row r="1917">
      <c r="A1917" s="3" t="s">
        <v>11919</v>
      </c>
      <c r="B1917" s="4" t="str">
        <f>C1917 &amp; " -&gt; " &amp; D1917</f>
        <v>principal-process-steward -&gt; UserFeedback.Name</v>
      </c>
      <c r="C1917" s="3" t="s">
        <v>9772</v>
      </c>
      <c r="D1917" s="3" t="s">
        <v>3887</v>
      </c>
      <c r="E1917" s="3" t="b">
        <v>1</v>
      </c>
      <c r="F1917" s="3" t="b">
        <v>0</v>
      </c>
      <c r="G1917" s="3" t="s">
        <v>10003</v>
      </c>
      <c r="H1917" s="4" t="str">
        <f>_xlfn.IFNA(IF(((INDEX(RulebookFields!C2:C1898, MATCH(D1917,RulebookFields!A2:A1898, 0))="")=TRUE),  "",  INDEX(RulebookFields!C2:C1898, MATCH(D1917,RulebookFields!A2:A1898, 0))), "")</f>
        <v>UserFeedback</v>
      </c>
      <c r="I1917" s="4" t="str">
        <f>_xlfn.IFNA(IF(((INDEX(RulebookFields!D2:D1898, MATCH(D1917,RulebookFields!A2:A1898, 0))="")=TRUE),  "",  INDEX(RulebookFields!D2:D1898, MATCH(D1917,RulebookFields!A2:A1898, 0))), "")</f>
        <v>Name</v>
      </c>
      <c r="J1917" s="4" t="b">
        <f>_xlfn.IFNA(IF(((INDEX(RulebookFields!I2:I1898, MATCH(D1917,RulebookFields!A2:A1898, 0))="")=TRUE),  "",  INDEX(RulebookFields!I2:I1898, MATCH(D1917,RulebookFields!A2:A1898, 0))), "")</f>
        <v>1</v>
      </c>
      <c r="K1917" s="4" t="b">
        <f>AND(((F1917)=TRUE), ((J1917)=TRUE))</f>
        <v>0</v>
      </c>
      <c r="L1917" s="4" t="b">
        <f>AND(((G1917 &lt;&gt; "plain")=TRUE), ((G1917 &lt;&gt; "")=TRUE))</f>
        <v>0</v>
      </c>
      <c r="M1917" s="4" t="str">
        <f>IF(((E1917)=TRUE),  C1917 &amp; "|" &amp; H1917,  "")</f>
        <v>principal-process-steward|UserFeedback</v>
      </c>
      <c r="N1917" s="3" t="s">
        <v>10004</v>
      </c>
    </row>
    <row r="1918">
      <c r="A1918" s="3" t="s">
        <v>11920</v>
      </c>
      <c r="B1918" s="4" t="str">
        <f>C1918 &amp; " -&gt; " &amp; D1918</f>
        <v>principal-process-steward -&gt; UserFeedback.ProcedureExecution</v>
      </c>
      <c r="C1918" s="3" t="s">
        <v>9772</v>
      </c>
      <c r="D1918" s="3" t="s">
        <v>3889</v>
      </c>
      <c r="E1918" s="3" t="b">
        <v>1</v>
      </c>
      <c r="F1918" s="3" t="b">
        <v>0</v>
      </c>
      <c r="G1918" s="3" t="s">
        <v>10003</v>
      </c>
      <c r="H1918" s="4" t="str">
        <f>_xlfn.IFNA(IF(((INDEX(RulebookFields!C2:C1898, MATCH(D1918,RulebookFields!A2:A1898, 0))="")=TRUE),  "",  INDEX(RulebookFields!C2:C1898, MATCH(D1918,RulebookFields!A2:A1898, 0))), "")</f>
        <v>UserFeedback</v>
      </c>
      <c r="I1918" s="4" t="str">
        <f>_xlfn.IFNA(IF(((INDEX(RulebookFields!D2:D1898, MATCH(D1918,RulebookFields!A2:A1898, 0))="")=TRUE),  "",  INDEX(RulebookFields!D2:D1898, MATCH(D1918,RulebookFields!A2:A1898, 0))), "")</f>
        <v>ProcedureExecution</v>
      </c>
      <c r="J1918" s="4" t="b">
        <f>_xlfn.IFNA(IF(((INDEX(RulebookFields!I2:I1898, MATCH(D1918,RulebookFields!A2:A1898, 0))="")=TRUE),  "",  INDEX(RulebookFields!I2:I1898, MATCH(D1918,RulebookFields!A2:A1898, 0))), "")</f>
        <v>0</v>
      </c>
      <c r="K1918" s="4" t="b">
        <f>AND(((F1918)=TRUE), ((J1918)=TRUE))</f>
        <v>0</v>
      </c>
      <c r="L1918" s="4" t="b">
        <f>AND(((G1918 &lt;&gt; "plain")=TRUE), ((G1918 &lt;&gt; "")=TRUE))</f>
        <v>0</v>
      </c>
      <c r="M1918" s="4" t="str">
        <f>IF(((E1918)=TRUE),  C1918 &amp; "|" &amp; H1918,  "")</f>
        <v>principal-process-steward|UserFeedback</v>
      </c>
      <c r="N1918" s="3" t="s">
        <v>10004</v>
      </c>
    </row>
    <row r="1919">
      <c r="A1919" s="3" t="s">
        <v>11921</v>
      </c>
      <c r="B1919" s="4" t="str">
        <f>C1919 &amp; " -&gt; " &amp; D1919</f>
        <v>principal-process-steward -&gt; UserFeedback.ProvidedByAgent</v>
      </c>
      <c r="C1919" s="3" t="s">
        <v>9772</v>
      </c>
      <c r="D1919" s="3" t="s">
        <v>3890</v>
      </c>
      <c r="E1919" s="3" t="b">
        <v>1</v>
      </c>
      <c r="F1919" s="3" t="b">
        <v>0</v>
      </c>
      <c r="G1919" s="3" t="s">
        <v>10003</v>
      </c>
      <c r="H1919" s="4" t="str">
        <f>_xlfn.IFNA(IF(((INDEX(RulebookFields!C2:C1898, MATCH(D1919,RulebookFields!A2:A1898, 0))="")=TRUE),  "",  INDEX(RulebookFields!C2:C1898, MATCH(D1919,RulebookFields!A2:A1898, 0))), "")</f>
        <v>UserFeedback</v>
      </c>
      <c r="I1919" s="4" t="str">
        <f>_xlfn.IFNA(IF(((INDEX(RulebookFields!D2:D1898, MATCH(D1919,RulebookFields!A2:A1898, 0))="")=TRUE),  "",  INDEX(RulebookFields!D2:D1898, MATCH(D1919,RulebookFields!A2:A1898, 0))), "")</f>
        <v>ProvidedByAgent</v>
      </c>
      <c r="J1919" s="4" t="b">
        <f>_xlfn.IFNA(IF(((INDEX(RulebookFields!I2:I1898, MATCH(D1919,RulebookFields!A2:A1898, 0))="")=TRUE),  "",  INDEX(RulebookFields!I2:I1898, MATCH(D1919,RulebookFields!A2:A1898, 0))), "")</f>
        <v>0</v>
      </c>
      <c r="K1919" s="4" t="b">
        <f>AND(((F1919)=TRUE), ((J1919)=TRUE))</f>
        <v>0</v>
      </c>
      <c r="L1919" s="4" t="b">
        <f>AND(((G1919 &lt;&gt; "plain")=TRUE), ((G1919 &lt;&gt; "")=TRUE))</f>
        <v>0</v>
      </c>
      <c r="M1919" s="4" t="str">
        <f>IF(((E1919)=TRUE),  C1919 &amp; "|" &amp; H1919,  "")</f>
        <v>principal-process-steward|UserFeedback</v>
      </c>
      <c r="N1919" s="3" t="s">
        <v>10004</v>
      </c>
    </row>
    <row r="1920">
      <c r="A1920" s="3" t="s">
        <v>11922</v>
      </c>
      <c r="B1920" s="4" t="str">
        <f>C1920 &amp; " -&gt; " &amp; D1920</f>
        <v>principal-process-steward -&gt; UserFeedback.ProvidedAt</v>
      </c>
      <c r="C1920" s="3" t="s">
        <v>9772</v>
      </c>
      <c r="D1920" s="3" t="s">
        <v>3891</v>
      </c>
      <c r="E1920" s="3" t="b">
        <v>1</v>
      </c>
      <c r="F1920" s="3" t="b">
        <v>0</v>
      </c>
      <c r="G1920" s="3" t="s">
        <v>10003</v>
      </c>
      <c r="H1920" s="4" t="str">
        <f>_xlfn.IFNA(IF(((INDEX(RulebookFields!C2:C1898, MATCH(D1920,RulebookFields!A2:A1898, 0))="")=TRUE),  "",  INDEX(RulebookFields!C2:C1898, MATCH(D1920,RulebookFields!A2:A1898, 0))), "")</f>
        <v>UserFeedback</v>
      </c>
      <c r="I1920" s="4" t="str">
        <f>_xlfn.IFNA(IF(((INDEX(RulebookFields!D2:D1898, MATCH(D1920,RulebookFields!A2:A1898, 0))="")=TRUE),  "",  INDEX(RulebookFields!D2:D1898, MATCH(D1920,RulebookFields!A2:A1898, 0))), "")</f>
        <v>ProvidedAt</v>
      </c>
      <c r="J1920" s="4" t="b">
        <f>_xlfn.IFNA(IF(((INDEX(RulebookFields!I2:I1898, MATCH(D1920,RulebookFields!A2:A1898, 0))="")=TRUE),  "",  INDEX(RulebookFields!I2:I1898, MATCH(D1920,RulebookFields!A2:A1898, 0))), "")</f>
        <v>0</v>
      </c>
      <c r="K1920" s="4" t="b">
        <f>AND(((F1920)=TRUE), ((J1920)=TRUE))</f>
        <v>0</v>
      </c>
      <c r="L1920" s="4" t="b">
        <f>AND(((G1920 &lt;&gt; "plain")=TRUE), ((G1920 &lt;&gt; "")=TRUE))</f>
        <v>0</v>
      </c>
      <c r="M1920" s="4" t="str">
        <f>IF(((E1920)=TRUE),  C1920 &amp; "|" &amp; H1920,  "")</f>
        <v>principal-process-steward|UserFeedback</v>
      </c>
      <c r="N1920" s="3" t="s">
        <v>10004</v>
      </c>
    </row>
    <row r="1921">
      <c r="A1921" s="3" t="s">
        <v>11923</v>
      </c>
      <c r="B1921" s="4" t="str">
        <f>C1921 &amp; " -&gt; " &amp; D1921</f>
        <v>principal-process-steward -&gt; UserFeedback.FeedbackText</v>
      </c>
      <c r="C1921" s="3" t="s">
        <v>9772</v>
      </c>
      <c r="D1921" s="3" t="s">
        <v>3892</v>
      </c>
      <c r="E1921" s="3" t="b">
        <v>1</v>
      </c>
      <c r="F1921" s="3" t="b">
        <v>0</v>
      </c>
      <c r="G1921" s="3" t="s">
        <v>10003</v>
      </c>
      <c r="H1921" s="4" t="str">
        <f>_xlfn.IFNA(IF(((INDEX(RulebookFields!C2:C1898, MATCH(D1921,RulebookFields!A2:A1898, 0))="")=TRUE),  "",  INDEX(RulebookFields!C2:C1898, MATCH(D1921,RulebookFields!A2:A1898, 0))), "")</f>
        <v>UserFeedback</v>
      </c>
      <c r="I1921" s="4" t="str">
        <f>_xlfn.IFNA(IF(((INDEX(RulebookFields!D2:D1898, MATCH(D1921,RulebookFields!A2:A1898, 0))="")=TRUE),  "",  INDEX(RulebookFields!D2:D1898, MATCH(D1921,RulebookFields!A2:A1898, 0))), "")</f>
        <v>FeedbackText</v>
      </c>
      <c r="J1921" s="4" t="b">
        <f>_xlfn.IFNA(IF(((INDEX(RulebookFields!I2:I1898, MATCH(D1921,RulebookFields!A2:A1898, 0))="")=TRUE),  "",  INDEX(RulebookFields!I2:I1898, MATCH(D1921,RulebookFields!A2:A1898, 0))), "")</f>
        <v>0</v>
      </c>
      <c r="K1921" s="4" t="b">
        <f>AND(((F1921)=TRUE), ((J1921)=TRUE))</f>
        <v>0</v>
      </c>
      <c r="L1921" s="4" t="b">
        <f>AND(((G1921 &lt;&gt; "plain")=TRUE), ((G1921 &lt;&gt; "")=TRUE))</f>
        <v>0</v>
      </c>
      <c r="M1921" s="4" t="str">
        <f>IF(((E1921)=TRUE),  C1921 &amp; "|" &amp; H1921,  "")</f>
        <v>principal-process-steward|UserFeedback</v>
      </c>
      <c r="N1921" s="3" t="s">
        <v>10004</v>
      </c>
    </row>
    <row r="1922">
      <c r="A1922" s="3" t="s">
        <v>11924</v>
      </c>
      <c r="B1922" s="4" t="str">
        <f>C1922 &amp; " -&gt; " &amp; D1922</f>
        <v>principal-process-steward -&gt; UserFeedback.Disposition</v>
      </c>
      <c r="C1922" s="3" t="s">
        <v>9772</v>
      </c>
      <c r="D1922" s="3" t="s">
        <v>3893</v>
      </c>
      <c r="E1922" s="3" t="b">
        <v>1</v>
      </c>
      <c r="F1922" s="3" t="b">
        <v>0</v>
      </c>
      <c r="G1922" s="3" t="s">
        <v>10003</v>
      </c>
      <c r="H1922" s="4" t="str">
        <f>_xlfn.IFNA(IF(((INDEX(RulebookFields!C2:C1898, MATCH(D1922,RulebookFields!A2:A1898, 0))="")=TRUE),  "",  INDEX(RulebookFields!C2:C1898, MATCH(D1922,RulebookFields!A2:A1898, 0))), "")</f>
        <v>UserFeedback</v>
      </c>
      <c r="I1922" s="4" t="str">
        <f>_xlfn.IFNA(IF(((INDEX(RulebookFields!D2:D1898, MATCH(D1922,RulebookFields!A2:A1898, 0))="")=TRUE),  "",  INDEX(RulebookFields!D2:D1898, MATCH(D1922,RulebookFields!A2:A1898, 0))), "")</f>
        <v>Disposition</v>
      </c>
      <c r="J1922" s="4" t="b">
        <f>_xlfn.IFNA(IF(((INDEX(RulebookFields!I2:I1898, MATCH(D1922,RulebookFields!A2:A1898, 0))="")=TRUE),  "",  INDEX(RulebookFields!I2:I1898, MATCH(D1922,RulebookFields!A2:A1898, 0))), "")</f>
        <v>0</v>
      </c>
      <c r="K1922" s="4" t="b">
        <f>AND(((F1922)=TRUE), ((J1922)=TRUE))</f>
        <v>0</v>
      </c>
      <c r="L1922" s="4" t="b">
        <f>AND(((G1922 &lt;&gt; "plain")=TRUE), ((G1922 &lt;&gt; "")=TRUE))</f>
        <v>0</v>
      </c>
      <c r="M1922" s="4" t="str">
        <f>IF(((E1922)=TRUE),  C1922 &amp; "|" &amp; H1922,  "")</f>
        <v>principal-process-steward|UserFeedback</v>
      </c>
      <c r="N1922" s="3" t="s">
        <v>10004</v>
      </c>
    </row>
    <row r="1923">
      <c r="A1923" s="3" t="s">
        <v>11925</v>
      </c>
      <c r="B1923" s="4" t="str">
        <f>C1923 &amp; " -&gt; " &amp; D1923</f>
        <v>principal-process-steward -&gt; UserFeedback.ChangeRequestKey</v>
      </c>
      <c r="C1923" s="3" t="s">
        <v>9772</v>
      </c>
      <c r="D1923" s="3" t="s">
        <v>3894</v>
      </c>
      <c r="E1923" s="3" t="b">
        <v>1</v>
      </c>
      <c r="F1923" s="3" t="b">
        <v>0</v>
      </c>
      <c r="G1923" s="3" t="s">
        <v>10003</v>
      </c>
      <c r="H1923" s="4" t="str">
        <f>_xlfn.IFNA(IF(((INDEX(RulebookFields!C2:C1898, MATCH(D1923,RulebookFields!A2:A1898, 0))="")=TRUE),  "",  INDEX(RulebookFields!C2:C1898, MATCH(D1923,RulebookFields!A2:A1898, 0))), "")</f>
        <v>UserFeedback</v>
      </c>
      <c r="I1923" s="4" t="str">
        <f>_xlfn.IFNA(IF(((INDEX(RulebookFields!D2:D1898, MATCH(D1923,RulebookFields!A2:A1898, 0))="")=TRUE),  "",  INDEX(RulebookFields!D2:D1898, MATCH(D1923,RulebookFields!A2:A1898, 0))), "")</f>
        <v>ChangeRequestKey</v>
      </c>
      <c r="J1923" s="4" t="b">
        <f>_xlfn.IFNA(IF(((INDEX(RulebookFields!I2:I1898, MATCH(D1923,RulebookFields!A2:A1898, 0))="")=TRUE),  "",  INDEX(RulebookFields!I2:I1898, MATCH(D1923,RulebookFields!A2:A1898, 0))), "")</f>
        <v>0</v>
      </c>
      <c r="K1923" s="4" t="b">
        <f>AND(((F1923)=TRUE), ((J1923)=TRUE))</f>
        <v>0</v>
      </c>
      <c r="L1923" s="4" t="b">
        <f>AND(((G1923 &lt;&gt; "plain")=TRUE), ((G1923 &lt;&gt; "")=TRUE))</f>
        <v>0</v>
      </c>
      <c r="M1923" s="4" t="str">
        <f>IF(((E1923)=TRUE),  C1923 &amp; "|" &amp; H1923,  "")</f>
        <v>principal-process-steward|UserFeedback</v>
      </c>
      <c r="N1923" s="3" t="s">
        <v>10004</v>
      </c>
    </row>
    <row r="1924">
      <c r="A1924" s="3" t="s">
        <v>11926</v>
      </c>
      <c r="B1924" s="4" t="str">
        <f>C1924 &amp; " -&gt; " &amp; D1924</f>
        <v>principal-process-steward -&gt; UserFeedback.SemanticTypeIri</v>
      </c>
      <c r="C1924" s="3" t="s">
        <v>9772</v>
      </c>
      <c r="D1924" s="3" t="s">
        <v>3895</v>
      </c>
      <c r="E1924" s="3" t="b">
        <v>1</v>
      </c>
      <c r="F1924" s="3" t="b">
        <v>0</v>
      </c>
      <c r="G1924" s="3" t="s">
        <v>10003</v>
      </c>
      <c r="H1924" s="4" t="str">
        <f>_xlfn.IFNA(IF(((INDEX(RulebookFields!C2:C1898, MATCH(D1924,RulebookFields!A2:A1898, 0))="")=TRUE),  "",  INDEX(RulebookFields!C2:C1898, MATCH(D1924,RulebookFields!A2:A1898, 0))), "")</f>
        <v>UserFeedback</v>
      </c>
      <c r="I1924" s="4" t="str">
        <f>_xlfn.IFNA(IF(((INDEX(RulebookFields!D2:D1898, MATCH(D1924,RulebookFields!A2:A1898, 0))="")=TRUE),  "",  INDEX(RulebookFields!D2:D1898, MATCH(D1924,RulebookFields!A2:A1898, 0))), "")</f>
        <v>SemanticTypeIri</v>
      </c>
      <c r="J1924" s="4" t="b">
        <f>_xlfn.IFNA(IF(((INDEX(RulebookFields!I2:I1898, MATCH(D1924,RulebookFields!A2:A1898, 0))="")=TRUE),  "",  INDEX(RulebookFields!I2:I1898, MATCH(D1924,RulebookFields!A2:A1898, 0))), "")</f>
        <v>0</v>
      </c>
      <c r="K1924" s="4" t="b">
        <f>AND(((F1924)=TRUE), ((J1924)=TRUE))</f>
        <v>0</v>
      </c>
      <c r="L1924" s="4" t="b">
        <f>AND(((G1924 &lt;&gt; "plain")=TRUE), ((G1924 &lt;&gt; "")=TRUE))</f>
        <v>0</v>
      </c>
      <c r="M1924" s="4" t="str">
        <f>IF(((E1924)=TRUE),  C1924 &amp; "|" &amp; H1924,  "")</f>
        <v>principal-process-steward|UserFeedback</v>
      </c>
      <c r="N1924" s="3" t="s">
        <v>10004</v>
      </c>
    </row>
    <row r="1925">
      <c r="A1925" s="3" t="s">
        <v>11927</v>
      </c>
      <c r="B1925" s="4" t="str">
        <f>C1925 &amp; " -&gt; " &amp; D1925</f>
        <v>principal-process-steward -&gt; UserQuestions.UserQuestionId</v>
      </c>
      <c r="C1925" s="3" t="s">
        <v>9772</v>
      </c>
      <c r="D1925" s="3" t="s">
        <v>3875</v>
      </c>
      <c r="E1925" s="3" t="b">
        <v>1</v>
      </c>
      <c r="F1925" s="3" t="b">
        <v>0</v>
      </c>
      <c r="G1925" s="3" t="s">
        <v>10003</v>
      </c>
      <c r="H1925" s="4" t="str">
        <f>_xlfn.IFNA(IF(((INDEX(RulebookFields!C2:C1898, MATCH(D1925,RulebookFields!A2:A1898, 0))="")=TRUE),  "",  INDEX(RulebookFields!C2:C1898, MATCH(D1925,RulebookFields!A2:A1898, 0))), "")</f>
        <v>UserQuestions</v>
      </c>
      <c r="I1925" s="4" t="str">
        <f>_xlfn.IFNA(IF(((INDEX(RulebookFields!D2:D1898, MATCH(D1925,RulebookFields!A2:A1898, 0))="")=TRUE),  "",  INDEX(RulebookFields!D2:D1898, MATCH(D1925,RulebookFields!A2:A1898, 0))), "")</f>
        <v>UserQuestionId</v>
      </c>
      <c r="J1925" s="4" t="b">
        <f>_xlfn.IFNA(IF(((INDEX(RulebookFields!I2:I1898, MATCH(D1925,RulebookFields!A2:A1898, 0))="")=TRUE),  "",  INDEX(RulebookFields!I2:I1898, MATCH(D1925,RulebookFields!A2:A1898, 0))), "")</f>
        <v>0</v>
      </c>
      <c r="K1925" s="4" t="b">
        <f>AND(((F1925)=TRUE), ((J1925)=TRUE))</f>
        <v>0</v>
      </c>
      <c r="L1925" s="4" t="b">
        <f>AND(((G1925 &lt;&gt; "plain")=TRUE), ((G1925 &lt;&gt; "")=TRUE))</f>
        <v>0</v>
      </c>
      <c r="M1925" s="4" t="str">
        <f>IF(((E1925)=TRUE),  C1925 &amp; "|" &amp; H1925,  "")</f>
        <v>principal-process-steward|UserQuestions</v>
      </c>
      <c r="N1925" s="3" t="s">
        <v>10004</v>
      </c>
    </row>
    <row r="1926">
      <c r="A1926" s="3" t="s">
        <v>11928</v>
      </c>
      <c r="B1926" s="4" t="str">
        <f>C1926 &amp; " -&gt; " &amp; D1926</f>
        <v>principal-process-steward -&gt; UserQuestions.Name</v>
      </c>
      <c r="C1926" s="3" t="s">
        <v>9772</v>
      </c>
      <c r="D1926" s="3" t="s">
        <v>3876</v>
      </c>
      <c r="E1926" s="3" t="b">
        <v>1</v>
      </c>
      <c r="F1926" s="3" t="b">
        <v>0</v>
      </c>
      <c r="G1926" s="3" t="s">
        <v>10003</v>
      </c>
      <c r="H1926" s="4" t="str">
        <f>_xlfn.IFNA(IF(((INDEX(RulebookFields!C2:C1898, MATCH(D1926,RulebookFields!A2:A1898, 0))="")=TRUE),  "",  INDEX(RulebookFields!C2:C1898, MATCH(D1926,RulebookFields!A2:A1898, 0))), "")</f>
        <v>UserQuestions</v>
      </c>
      <c r="I1926" s="4" t="str">
        <f>_xlfn.IFNA(IF(((INDEX(RulebookFields!D2:D1898, MATCH(D1926,RulebookFields!A2:A1898, 0))="")=TRUE),  "",  INDEX(RulebookFields!D2:D1898, MATCH(D1926,RulebookFields!A2:A1898, 0))), "")</f>
        <v>Name</v>
      </c>
      <c r="J1926" s="4" t="b">
        <f>_xlfn.IFNA(IF(((INDEX(RulebookFields!I2:I1898, MATCH(D1926,RulebookFields!A2:A1898, 0))="")=TRUE),  "",  INDEX(RulebookFields!I2:I1898, MATCH(D1926,RulebookFields!A2:A1898, 0))), "")</f>
        <v>1</v>
      </c>
      <c r="K1926" s="4" t="b">
        <f>AND(((F1926)=TRUE), ((J1926)=TRUE))</f>
        <v>0</v>
      </c>
      <c r="L1926" s="4" t="b">
        <f>AND(((G1926 &lt;&gt; "plain")=TRUE), ((G1926 &lt;&gt; "")=TRUE))</f>
        <v>0</v>
      </c>
      <c r="M1926" s="4" t="str">
        <f>IF(((E1926)=TRUE),  C1926 &amp; "|" &amp; H1926,  "")</f>
        <v>principal-process-steward|UserQuestions</v>
      </c>
      <c r="N1926" s="3" t="s">
        <v>10004</v>
      </c>
    </row>
    <row r="1927">
      <c r="A1927" s="3" t="s">
        <v>11929</v>
      </c>
      <c r="B1927" s="4" t="str">
        <f>C1927 &amp; " -&gt; " &amp; D1927</f>
        <v>principal-process-steward -&gt; UserQuestions.StepExecution</v>
      </c>
      <c r="C1927" s="3" t="s">
        <v>9772</v>
      </c>
      <c r="D1927" s="3" t="s">
        <v>3878</v>
      </c>
      <c r="E1927" s="3" t="b">
        <v>1</v>
      </c>
      <c r="F1927" s="3" t="b">
        <v>0</v>
      </c>
      <c r="G1927" s="3" t="s">
        <v>10003</v>
      </c>
      <c r="H1927" s="4" t="str">
        <f>_xlfn.IFNA(IF(((INDEX(RulebookFields!C2:C1898, MATCH(D1927,RulebookFields!A2:A1898, 0))="")=TRUE),  "",  INDEX(RulebookFields!C2:C1898, MATCH(D1927,RulebookFields!A2:A1898, 0))), "")</f>
        <v>UserQuestions</v>
      </c>
      <c r="I1927" s="4" t="str">
        <f>_xlfn.IFNA(IF(((INDEX(RulebookFields!D2:D1898, MATCH(D1927,RulebookFields!A2:A1898, 0))="")=TRUE),  "",  INDEX(RulebookFields!D2:D1898, MATCH(D1927,RulebookFields!A2:A1898, 0))), "")</f>
        <v>StepExecution</v>
      </c>
      <c r="J1927" s="4" t="b">
        <f>_xlfn.IFNA(IF(((INDEX(RulebookFields!I2:I1898, MATCH(D1927,RulebookFields!A2:A1898, 0))="")=TRUE),  "",  INDEX(RulebookFields!I2:I1898, MATCH(D1927,RulebookFields!A2:A1898, 0))), "")</f>
        <v>0</v>
      </c>
      <c r="K1927" s="4" t="b">
        <f>AND(((F1927)=TRUE), ((J1927)=TRUE))</f>
        <v>0</v>
      </c>
      <c r="L1927" s="4" t="b">
        <f>AND(((G1927 &lt;&gt; "plain")=TRUE), ((G1927 &lt;&gt; "")=TRUE))</f>
        <v>0</v>
      </c>
      <c r="M1927" s="4" t="str">
        <f>IF(((E1927)=TRUE),  C1927 &amp; "|" &amp; H1927,  "")</f>
        <v>principal-process-steward|UserQuestions</v>
      </c>
      <c r="N1927" s="3" t="s">
        <v>10004</v>
      </c>
    </row>
    <row r="1928">
      <c r="A1928" s="3" t="s">
        <v>11930</v>
      </c>
      <c r="B1928" s="4" t="str">
        <f>C1928 &amp; " -&gt; " &amp; D1928</f>
        <v>principal-process-steward -&gt; UserQuestions.AskedByAgent</v>
      </c>
      <c r="C1928" s="3" t="s">
        <v>9772</v>
      </c>
      <c r="D1928" s="3" t="s">
        <v>3879</v>
      </c>
      <c r="E1928" s="3" t="b">
        <v>1</v>
      </c>
      <c r="F1928" s="3" t="b">
        <v>0</v>
      </c>
      <c r="G1928" s="3" t="s">
        <v>10003</v>
      </c>
      <c r="H1928" s="4" t="str">
        <f>_xlfn.IFNA(IF(((INDEX(RulebookFields!C2:C1898, MATCH(D1928,RulebookFields!A2:A1898, 0))="")=TRUE),  "",  INDEX(RulebookFields!C2:C1898, MATCH(D1928,RulebookFields!A2:A1898, 0))), "")</f>
        <v>UserQuestions</v>
      </c>
      <c r="I1928" s="4" t="str">
        <f>_xlfn.IFNA(IF(((INDEX(RulebookFields!D2:D1898, MATCH(D1928,RulebookFields!A2:A1898, 0))="")=TRUE),  "",  INDEX(RulebookFields!D2:D1898, MATCH(D1928,RulebookFields!A2:A1898, 0))), "")</f>
        <v>AskedByAgent</v>
      </c>
      <c r="J1928" s="4" t="b">
        <f>_xlfn.IFNA(IF(((INDEX(RulebookFields!I2:I1898, MATCH(D1928,RulebookFields!A2:A1898, 0))="")=TRUE),  "",  INDEX(RulebookFields!I2:I1898, MATCH(D1928,RulebookFields!A2:A1898, 0))), "")</f>
        <v>0</v>
      </c>
      <c r="K1928" s="4" t="b">
        <f>AND(((F1928)=TRUE), ((J1928)=TRUE))</f>
        <v>0</v>
      </c>
      <c r="L1928" s="4" t="b">
        <f>AND(((G1928 &lt;&gt; "plain")=TRUE), ((G1928 &lt;&gt; "")=TRUE))</f>
        <v>0</v>
      </c>
      <c r="M1928" s="4" t="str">
        <f>IF(((E1928)=TRUE),  C1928 &amp; "|" &amp; H1928,  "")</f>
        <v>principal-process-steward|UserQuestions</v>
      </c>
      <c r="N1928" s="3" t="s">
        <v>10004</v>
      </c>
    </row>
    <row r="1929">
      <c r="A1929" s="3" t="s">
        <v>11931</v>
      </c>
      <c r="B1929" s="4" t="str">
        <f>C1929 &amp; " -&gt; " &amp; D1929</f>
        <v>principal-process-steward -&gt; UserQuestions.AskedAt</v>
      </c>
      <c r="C1929" s="3" t="s">
        <v>9772</v>
      </c>
      <c r="D1929" s="3" t="s">
        <v>3880</v>
      </c>
      <c r="E1929" s="3" t="b">
        <v>1</v>
      </c>
      <c r="F1929" s="3" t="b">
        <v>0</v>
      </c>
      <c r="G1929" s="3" t="s">
        <v>10003</v>
      </c>
      <c r="H1929" s="4" t="str">
        <f>_xlfn.IFNA(IF(((INDEX(RulebookFields!C2:C1898, MATCH(D1929,RulebookFields!A2:A1898, 0))="")=TRUE),  "",  INDEX(RulebookFields!C2:C1898, MATCH(D1929,RulebookFields!A2:A1898, 0))), "")</f>
        <v>UserQuestions</v>
      </c>
      <c r="I1929" s="4" t="str">
        <f>_xlfn.IFNA(IF(((INDEX(RulebookFields!D2:D1898, MATCH(D1929,RulebookFields!A2:A1898, 0))="")=TRUE),  "",  INDEX(RulebookFields!D2:D1898, MATCH(D1929,RulebookFields!A2:A1898, 0))), "")</f>
        <v>AskedAt</v>
      </c>
      <c r="J1929" s="4" t="b">
        <f>_xlfn.IFNA(IF(((INDEX(RulebookFields!I2:I1898, MATCH(D1929,RulebookFields!A2:A1898, 0))="")=TRUE),  "",  INDEX(RulebookFields!I2:I1898, MATCH(D1929,RulebookFields!A2:A1898, 0))), "")</f>
        <v>0</v>
      </c>
      <c r="K1929" s="4" t="b">
        <f>AND(((F1929)=TRUE), ((J1929)=TRUE))</f>
        <v>0</v>
      </c>
      <c r="L1929" s="4" t="b">
        <f>AND(((G1929 &lt;&gt; "plain")=TRUE), ((G1929 &lt;&gt; "")=TRUE))</f>
        <v>0</v>
      </c>
      <c r="M1929" s="4" t="str">
        <f>IF(((E1929)=TRUE),  C1929 &amp; "|" &amp; H1929,  "")</f>
        <v>principal-process-steward|UserQuestions</v>
      </c>
      <c r="N1929" s="3" t="s">
        <v>10004</v>
      </c>
    </row>
    <row r="1930">
      <c r="A1930" s="3" t="s">
        <v>11932</v>
      </c>
      <c r="B1930" s="4" t="str">
        <f>C1930 &amp; " -&gt; " &amp; D1930</f>
        <v>principal-process-steward -&gt; UserQuestions.QuestionText</v>
      </c>
      <c r="C1930" s="3" t="s">
        <v>9772</v>
      </c>
      <c r="D1930" s="3" t="s">
        <v>3881</v>
      </c>
      <c r="E1930" s="3" t="b">
        <v>1</v>
      </c>
      <c r="F1930" s="3" t="b">
        <v>0</v>
      </c>
      <c r="G1930" s="3" t="s">
        <v>10003</v>
      </c>
      <c r="H1930" s="4" t="str">
        <f>_xlfn.IFNA(IF(((INDEX(RulebookFields!C2:C1898, MATCH(D1930,RulebookFields!A2:A1898, 0))="")=TRUE),  "",  INDEX(RulebookFields!C2:C1898, MATCH(D1930,RulebookFields!A2:A1898, 0))), "")</f>
        <v>UserQuestions</v>
      </c>
      <c r="I1930" s="4" t="str">
        <f>_xlfn.IFNA(IF(((INDEX(RulebookFields!D2:D1898, MATCH(D1930,RulebookFields!A2:A1898, 0))="")=TRUE),  "",  INDEX(RulebookFields!D2:D1898, MATCH(D1930,RulebookFields!A2:A1898, 0))), "")</f>
        <v>QuestionText</v>
      </c>
      <c r="J1930" s="4" t="b">
        <f>_xlfn.IFNA(IF(((INDEX(RulebookFields!I2:I1898, MATCH(D1930,RulebookFields!A2:A1898, 0))="")=TRUE),  "",  INDEX(RulebookFields!I2:I1898, MATCH(D1930,RulebookFields!A2:A1898, 0))), "")</f>
        <v>0</v>
      </c>
      <c r="K1930" s="4" t="b">
        <f>AND(((F1930)=TRUE), ((J1930)=TRUE))</f>
        <v>0</v>
      </c>
      <c r="L1930" s="4" t="b">
        <f>AND(((G1930 &lt;&gt; "plain")=TRUE), ((G1930 &lt;&gt; "")=TRUE))</f>
        <v>0</v>
      </c>
      <c r="M1930" s="4" t="str">
        <f>IF(((E1930)=TRUE),  C1930 &amp; "|" &amp; H1930,  "")</f>
        <v>principal-process-steward|UserQuestions</v>
      </c>
      <c r="N1930" s="3" t="s">
        <v>10004</v>
      </c>
    </row>
    <row r="1931">
      <c r="A1931" s="3" t="s">
        <v>11933</v>
      </c>
      <c r="B1931" s="4" t="str">
        <f>C1931 &amp; " -&gt; " &amp; D1931</f>
        <v>principal-process-steward -&gt; UserQuestions.ResolvedByFaq</v>
      </c>
      <c r="C1931" s="3" t="s">
        <v>9772</v>
      </c>
      <c r="D1931" s="3" t="s">
        <v>3882</v>
      </c>
      <c r="E1931" s="3" t="b">
        <v>1</v>
      </c>
      <c r="F1931" s="3" t="b">
        <v>0</v>
      </c>
      <c r="G1931" s="3" t="s">
        <v>10003</v>
      </c>
      <c r="H1931" s="4" t="str">
        <f>_xlfn.IFNA(IF(((INDEX(RulebookFields!C2:C1898, MATCH(D1931,RulebookFields!A2:A1898, 0))="")=TRUE),  "",  INDEX(RulebookFields!C2:C1898, MATCH(D1931,RulebookFields!A2:A1898, 0))), "")</f>
        <v>UserQuestions</v>
      </c>
      <c r="I1931" s="4" t="str">
        <f>_xlfn.IFNA(IF(((INDEX(RulebookFields!D2:D1898, MATCH(D1931,RulebookFields!A2:A1898, 0))="")=TRUE),  "",  INDEX(RulebookFields!D2:D1898, MATCH(D1931,RulebookFields!A2:A1898, 0))), "")</f>
        <v>ResolvedByFaq</v>
      </c>
      <c r="J1931" s="4" t="b">
        <f>_xlfn.IFNA(IF(((INDEX(RulebookFields!I2:I1898, MATCH(D1931,RulebookFields!A2:A1898, 0))="")=TRUE),  "",  INDEX(RulebookFields!I2:I1898, MATCH(D1931,RulebookFields!A2:A1898, 0))), "")</f>
        <v>0</v>
      </c>
      <c r="K1931" s="4" t="b">
        <f>AND(((F1931)=TRUE), ((J1931)=TRUE))</f>
        <v>0</v>
      </c>
      <c r="L1931" s="4" t="b">
        <f>AND(((G1931 &lt;&gt; "plain")=TRUE), ((G1931 &lt;&gt; "")=TRUE))</f>
        <v>0</v>
      </c>
      <c r="M1931" s="4" t="str">
        <f>IF(((E1931)=TRUE),  C1931 &amp; "|" &amp; H1931,  "")</f>
        <v>principal-process-steward|UserQuestions</v>
      </c>
      <c r="N1931" s="3" t="s">
        <v>10004</v>
      </c>
    </row>
    <row r="1932">
      <c r="A1932" s="3" t="s">
        <v>11934</v>
      </c>
      <c r="B1932" s="4" t="str">
        <f>C1932 &amp; " -&gt; " &amp; D1932</f>
        <v>principal-process-steward -&gt; UserQuestions.AddressedByResource</v>
      </c>
      <c r="C1932" s="3" t="s">
        <v>9772</v>
      </c>
      <c r="D1932" s="3" t="s">
        <v>3883</v>
      </c>
      <c r="E1932" s="3" t="b">
        <v>1</v>
      </c>
      <c r="F1932" s="3" t="b">
        <v>0</v>
      </c>
      <c r="G1932" s="3" t="s">
        <v>10003</v>
      </c>
      <c r="H1932" s="4" t="str">
        <f>_xlfn.IFNA(IF(((INDEX(RulebookFields!C2:C1898, MATCH(D1932,RulebookFields!A2:A1898, 0))="")=TRUE),  "",  INDEX(RulebookFields!C2:C1898, MATCH(D1932,RulebookFields!A2:A1898, 0))), "")</f>
        <v>UserQuestions</v>
      </c>
      <c r="I1932" s="4" t="str">
        <f>_xlfn.IFNA(IF(((INDEX(RulebookFields!D2:D1898, MATCH(D1932,RulebookFields!A2:A1898, 0))="")=TRUE),  "",  INDEX(RulebookFields!D2:D1898, MATCH(D1932,RulebookFields!A2:A1898, 0))), "")</f>
        <v>AddressedByResource</v>
      </c>
      <c r="J1932" s="4" t="b">
        <f>_xlfn.IFNA(IF(((INDEX(RulebookFields!I2:I1898, MATCH(D1932,RulebookFields!A2:A1898, 0))="")=TRUE),  "",  INDEX(RulebookFields!I2:I1898, MATCH(D1932,RulebookFields!A2:A1898, 0))), "")</f>
        <v>0</v>
      </c>
      <c r="K1932" s="4" t="b">
        <f>AND(((F1932)=TRUE), ((J1932)=TRUE))</f>
        <v>0</v>
      </c>
      <c r="L1932" s="4" t="b">
        <f>AND(((G1932 &lt;&gt; "plain")=TRUE), ((G1932 &lt;&gt; "")=TRUE))</f>
        <v>0</v>
      </c>
      <c r="M1932" s="4" t="str">
        <f>IF(((E1932)=TRUE),  C1932 &amp; "|" &amp; H1932,  "")</f>
        <v>principal-process-steward|UserQuestions</v>
      </c>
      <c r="N1932" s="3" t="s">
        <v>10004</v>
      </c>
    </row>
    <row r="1933">
      <c r="A1933" s="3" t="s">
        <v>11935</v>
      </c>
      <c r="B1933" s="4" t="str">
        <f>C1933 &amp; " -&gt; " &amp; D1933</f>
        <v>principal-process-steward -&gt; UserQuestions.Status</v>
      </c>
      <c r="C1933" s="3" t="s">
        <v>9772</v>
      </c>
      <c r="D1933" s="3" t="s">
        <v>3884</v>
      </c>
      <c r="E1933" s="3" t="b">
        <v>1</v>
      </c>
      <c r="F1933" s="3" t="b">
        <v>0</v>
      </c>
      <c r="G1933" s="3" t="s">
        <v>10003</v>
      </c>
      <c r="H1933" s="4" t="str">
        <f>_xlfn.IFNA(IF(((INDEX(RulebookFields!C2:C1898, MATCH(D1933,RulebookFields!A2:A1898, 0))="")=TRUE),  "",  INDEX(RulebookFields!C2:C1898, MATCH(D1933,RulebookFields!A2:A1898, 0))), "")</f>
        <v>UserQuestions</v>
      </c>
      <c r="I1933" s="4" t="str">
        <f>_xlfn.IFNA(IF(((INDEX(RulebookFields!D2:D1898, MATCH(D1933,RulebookFields!A2:A1898, 0))="")=TRUE),  "",  INDEX(RulebookFields!D2:D1898, MATCH(D1933,RulebookFields!A2:A1898, 0))), "")</f>
        <v>Status</v>
      </c>
      <c r="J1933" s="4" t="b">
        <f>_xlfn.IFNA(IF(((INDEX(RulebookFields!I2:I1898, MATCH(D1933,RulebookFields!A2:A1898, 0))="")=TRUE),  "",  INDEX(RulebookFields!I2:I1898, MATCH(D1933,RulebookFields!A2:A1898, 0))), "")</f>
        <v>0</v>
      </c>
      <c r="K1933" s="4" t="b">
        <f>AND(((F1933)=TRUE), ((J1933)=TRUE))</f>
        <v>0</v>
      </c>
      <c r="L1933" s="4" t="b">
        <f>AND(((G1933 &lt;&gt; "plain")=TRUE), ((G1933 &lt;&gt; "")=TRUE))</f>
        <v>0</v>
      </c>
      <c r="M1933" s="4" t="str">
        <f>IF(((E1933)=TRUE),  C1933 &amp; "|" &amp; H1933,  "")</f>
        <v>principal-process-steward|UserQuestions</v>
      </c>
      <c r="N1933" s="3" t="s">
        <v>10004</v>
      </c>
    </row>
    <row r="1934">
      <c r="A1934" s="3" t="s">
        <v>11936</v>
      </c>
      <c r="B1934" s="4" t="str">
        <f>C1934 &amp; " -&gt; " &amp; D1934</f>
        <v>principal-process-steward -&gt; UserQuestions.SemanticTypeIri</v>
      </c>
      <c r="C1934" s="3" t="s">
        <v>9772</v>
      </c>
      <c r="D1934" s="3" t="s">
        <v>3885</v>
      </c>
      <c r="E1934" s="3" t="b">
        <v>1</v>
      </c>
      <c r="F1934" s="3" t="b">
        <v>0</v>
      </c>
      <c r="G1934" s="3" t="s">
        <v>10003</v>
      </c>
      <c r="H1934" s="4" t="str">
        <f>_xlfn.IFNA(IF(((INDEX(RulebookFields!C2:C1898, MATCH(D1934,RulebookFields!A2:A1898, 0))="")=TRUE),  "",  INDEX(RulebookFields!C2:C1898, MATCH(D1934,RulebookFields!A2:A1898, 0))), "")</f>
        <v>UserQuestions</v>
      </c>
      <c r="I1934" s="4" t="str">
        <f>_xlfn.IFNA(IF(((INDEX(RulebookFields!D2:D1898, MATCH(D1934,RulebookFields!A2:A1898, 0))="")=TRUE),  "",  INDEX(RulebookFields!D2:D1898, MATCH(D1934,RulebookFields!A2:A1898, 0))), "")</f>
        <v>SemanticTypeIri</v>
      </c>
      <c r="J1934" s="4" t="b">
        <f>_xlfn.IFNA(IF(((INDEX(RulebookFields!I2:I1898, MATCH(D1934,RulebookFields!A2:A1898, 0))="")=TRUE),  "",  INDEX(RulebookFields!I2:I1898, MATCH(D1934,RulebookFields!A2:A1898, 0))), "")</f>
        <v>0</v>
      </c>
      <c r="K1934" s="4" t="b">
        <f>AND(((F1934)=TRUE), ((J1934)=TRUE))</f>
        <v>0</v>
      </c>
      <c r="L1934" s="4" t="b">
        <f>AND(((G1934 &lt;&gt; "plain")=TRUE), ((G1934 &lt;&gt; "")=TRUE))</f>
        <v>0</v>
      </c>
      <c r="M1934" s="4" t="str">
        <f>IF(((E1934)=TRUE),  C1934 &amp; "|" &amp; H1934,  "")</f>
        <v>principal-process-steward|UserQuestions</v>
      </c>
      <c r="N1934" s="3" t="s">
        <v>10004</v>
      </c>
    </row>
    <row r="1935">
      <c r="A1935" s="3" t="s">
        <v>11937</v>
      </c>
      <c r="B1935" s="4" t="str">
        <f>C1935 &amp; " -&gt; " &amp; D1935</f>
        <v>principal-process-steward -&gt; VerificationOutcomes.VerificationOutcomeId</v>
      </c>
      <c r="C1935" s="3" t="s">
        <v>9772</v>
      </c>
      <c r="D1935" s="3" t="s">
        <v>4336</v>
      </c>
      <c r="E1935" s="3" t="b">
        <v>1</v>
      </c>
      <c r="F1935" s="3" t="b">
        <v>0</v>
      </c>
      <c r="G1935" s="3" t="s">
        <v>10003</v>
      </c>
      <c r="H1935" s="4" t="str">
        <f>_xlfn.IFNA(IF(((INDEX(RulebookFields!C2:C1898, MATCH(D1935,RulebookFields!A2:A1898, 0))="")=TRUE),  "",  INDEX(RulebookFields!C2:C1898, MATCH(D1935,RulebookFields!A2:A1898, 0))), "")</f>
        <v>VerificationOutcomes</v>
      </c>
      <c r="I1935" s="4" t="str">
        <f>_xlfn.IFNA(IF(((INDEX(RulebookFields!D2:D1898, MATCH(D1935,RulebookFields!A2:A1898, 0))="")=TRUE),  "",  INDEX(RulebookFields!D2:D1898, MATCH(D1935,RulebookFields!A2:A1898, 0))), "")</f>
        <v>VerificationOutcomeId</v>
      </c>
      <c r="J1935" s="4" t="b">
        <f>_xlfn.IFNA(IF(((INDEX(RulebookFields!I2:I1898, MATCH(D1935,RulebookFields!A2:A1898, 0))="")=TRUE),  "",  INDEX(RulebookFields!I2:I1898, MATCH(D1935,RulebookFields!A2:A1898, 0))), "")</f>
        <v>0</v>
      </c>
      <c r="K1935" s="4" t="b">
        <f>AND(((F1935)=TRUE), ((J1935)=TRUE))</f>
        <v>0</v>
      </c>
      <c r="L1935" s="4" t="b">
        <f>AND(((G1935 &lt;&gt; "plain")=TRUE), ((G1935 &lt;&gt; "")=TRUE))</f>
        <v>0</v>
      </c>
      <c r="M1935" s="4" t="str">
        <f>IF(((E1935)=TRUE),  C1935 &amp; "|" &amp; H1935,  "")</f>
        <v>principal-process-steward|VerificationOutcomes</v>
      </c>
      <c r="N1935" s="3" t="s">
        <v>10004</v>
      </c>
    </row>
    <row r="1936">
      <c r="A1936" s="3" t="s">
        <v>11938</v>
      </c>
      <c r="B1936" s="4" t="str">
        <f>C1936 &amp; " -&gt; " &amp; D1936</f>
        <v>principal-process-steward -&gt; VerificationOutcomes.Name</v>
      </c>
      <c r="C1936" s="3" t="s">
        <v>9772</v>
      </c>
      <c r="D1936" s="3" t="s">
        <v>4339</v>
      </c>
      <c r="E1936" s="3" t="b">
        <v>1</v>
      </c>
      <c r="F1936" s="3" t="b">
        <v>0</v>
      </c>
      <c r="G1936" s="3" t="s">
        <v>10003</v>
      </c>
      <c r="H1936" s="4" t="str">
        <f>_xlfn.IFNA(IF(((INDEX(RulebookFields!C2:C1898, MATCH(D1936,RulebookFields!A2:A1898, 0))="")=TRUE),  "",  INDEX(RulebookFields!C2:C1898, MATCH(D1936,RulebookFields!A2:A1898, 0))), "")</f>
        <v>VerificationOutcomes</v>
      </c>
      <c r="I1936" s="4" t="str">
        <f>_xlfn.IFNA(IF(((INDEX(RulebookFields!D2:D1898, MATCH(D1936,RulebookFields!A2:A1898, 0))="")=TRUE),  "",  INDEX(RulebookFields!D2:D1898, MATCH(D1936,RulebookFields!A2:A1898, 0))), "")</f>
        <v>Name</v>
      </c>
      <c r="J1936" s="4" t="b">
        <f>_xlfn.IFNA(IF(((INDEX(RulebookFields!I2:I1898, MATCH(D1936,RulebookFields!A2:A1898, 0))="")=TRUE),  "",  INDEX(RulebookFields!I2:I1898, MATCH(D1936,RulebookFields!A2:A1898, 0))), "")</f>
        <v>1</v>
      </c>
      <c r="K1936" s="4" t="b">
        <f>AND(((F1936)=TRUE), ((J1936)=TRUE))</f>
        <v>0</v>
      </c>
      <c r="L1936" s="4" t="b">
        <f>AND(((G1936 &lt;&gt; "plain")=TRUE), ((G1936 &lt;&gt; "")=TRUE))</f>
        <v>0</v>
      </c>
      <c r="M1936" s="4" t="str">
        <f>IF(((E1936)=TRUE),  C1936 &amp; "|" &amp; H1936,  "")</f>
        <v>principal-process-steward|VerificationOutcomes</v>
      </c>
      <c r="N1936" s="3" t="s">
        <v>10004</v>
      </c>
    </row>
    <row r="1937">
      <c r="A1937" s="3" t="s">
        <v>11939</v>
      </c>
      <c r="B1937" s="4" t="str">
        <f>C1937 &amp; " -&gt; " &amp; D1937</f>
        <v>principal-process-steward -&gt; VerificationOutcomes.StepExecution</v>
      </c>
      <c r="C1937" s="3" t="s">
        <v>9772</v>
      </c>
      <c r="D1937" s="3" t="s">
        <v>4341</v>
      </c>
      <c r="E1937" s="3" t="b">
        <v>1</v>
      </c>
      <c r="F1937" s="3" t="b">
        <v>0</v>
      </c>
      <c r="G1937" s="3" t="s">
        <v>10003</v>
      </c>
      <c r="H1937" s="4" t="str">
        <f>_xlfn.IFNA(IF(((INDEX(RulebookFields!C2:C1898, MATCH(D1937,RulebookFields!A2:A1898, 0))="")=TRUE),  "",  INDEX(RulebookFields!C2:C1898, MATCH(D1937,RulebookFields!A2:A1898, 0))), "")</f>
        <v>VerificationOutcomes</v>
      </c>
      <c r="I1937" s="4" t="str">
        <f>_xlfn.IFNA(IF(((INDEX(RulebookFields!D2:D1898, MATCH(D1937,RulebookFields!A2:A1898, 0))="")=TRUE),  "",  INDEX(RulebookFields!D2:D1898, MATCH(D1937,RulebookFields!A2:A1898, 0))), "")</f>
        <v>StepExecution</v>
      </c>
      <c r="J1937" s="4" t="b">
        <f>_xlfn.IFNA(IF(((INDEX(RulebookFields!I2:I1898, MATCH(D1937,RulebookFields!A2:A1898, 0))="")=TRUE),  "",  INDEX(RulebookFields!I2:I1898, MATCH(D1937,RulebookFields!A2:A1898, 0))), "")</f>
        <v>0</v>
      </c>
      <c r="K1937" s="4" t="b">
        <f>AND(((F1937)=TRUE), ((J1937)=TRUE))</f>
        <v>0</v>
      </c>
      <c r="L1937" s="4" t="b">
        <f>AND(((G1937 &lt;&gt; "plain")=TRUE), ((G1937 &lt;&gt; "")=TRUE))</f>
        <v>0</v>
      </c>
      <c r="M1937" s="4" t="str">
        <f>IF(((E1937)=TRUE),  C1937 &amp; "|" &amp; H1937,  "")</f>
        <v>principal-process-steward|VerificationOutcomes</v>
      </c>
      <c r="N1937" s="3" t="s">
        <v>10004</v>
      </c>
    </row>
    <row r="1938">
      <c r="A1938" s="3" t="s">
        <v>11940</v>
      </c>
      <c r="B1938" s="4" t="str">
        <f>C1938 &amp; " -&gt; " &amp; D1938</f>
        <v>principal-process-steward -&gt; VerificationOutcomes.StepVerification</v>
      </c>
      <c r="C1938" s="3" t="s">
        <v>9772</v>
      </c>
      <c r="D1938" s="3" t="s">
        <v>4342</v>
      </c>
      <c r="E1938" s="3" t="b">
        <v>1</v>
      </c>
      <c r="F1938" s="3" t="b">
        <v>0</v>
      </c>
      <c r="G1938" s="3" t="s">
        <v>10003</v>
      </c>
      <c r="H1938" s="4" t="str">
        <f>_xlfn.IFNA(IF(((INDEX(RulebookFields!C2:C1898, MATCH(D1938,RulebookFields!A2:A1898, 0))="")=TRUE),  "",  INDEX(RulebookFields!C2:C1898, MATCH(D1938,RulebookFields!A2:A1898, 0))), "")</f>
        <v>VerificationOutcomes</v>
      </c>
      <c r="I1938" s="4" t="str">
        <f>_xlfn.IFNA(IF(((INDEX(RulebookFields!D2:D1898, MATCH(D1938,RulebookFields!A2:A1898, 0))="")=TRUE),  "",  INDEX(RulebookFields!D2:D1898, MATCH(D1938,RulebookFields!A2:A1898, 0))), "")</f>
        <v>StepVerification</v>
      </c>
      <c r="J1938" s="4" t="b">
        <f>_xlfn.IFNA(IF(((INDEX(RulebookFields!I2:I1898, MATCH(D1938,RulebookFields!A2:A1898, 0))="")=TRUE),  "",  INDEX(RulebookFields!I2:I1898, MATCH(D1938,RulebookFields!A2:A1898, 0))), "")</f>
        <v>0</v>
      </c>
      <c r="K1938" s="4" t="b">
        <f>AND(((F1938)=TRUE), ((J1938)=TRUE))</f>
        <v>0</v>
      </c>
      <c r="L1938" s="4" t="b">
        <f>AND(((G1938 &lt;&gt; "plain")=TRUE), ((G1938 &lt;&gt; "")=TRUE))</f>
        <v>0</v>
      </c>
      <c r="M1938" s="4" t="str">
        <f>IF(((E1938)=TRUE),  C1938 &amp; "|" &amp; H1938,  "")</f>
        <v>principal-process-steward|VerificationOutcomes</v>
      </c>
      <c r="N1938" s="3" t="s">
        <v>10004</v>
      </c>
    </row>
    <row r="1939">
      <c r="A1939" s="3" t="s">
        <v>11941</v>
      </c>
      <c r="B1939" s="4" t="str">
        <f>C1939 &amp; " -&gt; " &amp; D1939</f>
        <v>principal-process-steward -&gt; VerificationOutcomes.ObservedSignalValue</v>
      </c>
      <c r="C1939" s="3" t="s">
        <v>9772</v>
      </c>
      <c r="D1939" s="3" t="s">
        <v>4344</v>
      </c>
      <c r="E1939" s="3" t="b">
        <v>1</v>
      </c>
      <c r="F1939" s="3" t="b">
        <v>0</v>
      </c>
      <c r="G1939" s="3" t="s">
        <v>10003</v>
      </c>
      <c r="H1939" s="4" t="str">
        <f>_xlfn.IFNA(IF(((INDEX(RulebookFields!C2:C1898, MATCH(D1939,RulebookFields!A2:A1898, 0))="")=TRUE),  "",  INDEX(RulebookFields!C2:C1898, MATCH(D1939,RulebookFields!A2:A1898, 0))), "")</f>
        <v>VerificationOutcomes</v>
      </c>
      <c r="I1939" s="4" t="str">
        <f>_xlfn.IFNA(IF(((INDEX(RulebookFields!D2:D1898, MATCH(D1939,RulebookFields!A2:A1898, 0))="")=TRUE),  "",  INDEX(RulebookFields!D2:D1898, MATCH(D1939,RulebookFields!A2:A1898, 0))), "")</f>
        <v>ObservedSignalValue</v>
      </c>
      <c r="J1939" s="4" t="b">
        <f>_xlfn.IFNA(IF(((INDEX(RulebookFields!I2:I1898, MATCH(D1939,RulebookFields!A2:A1898, 0))="")=TRUE),  "",  INDEX(RulebookFields!I2:I1898, MATCH(D1939,RulebookFields!A2:A1898, 0))), "")</f>
        <v>0</v>
      </c>
      <c r="K1939" s="4" t="b">
        <f>AND(((F1939)=TRUE), ((J1939)=TRUE))</f>
        <v>0</v>
      </c>
      <c r="L1939" s="4" t="b">
        <f>AND(((G1939 &lt;&gt; "plain")=TRUE), ((G1939 &lt;&gt; "")=TRUE))</f>
        <v>0</v>
      </c>
      <c r="M1939" s="4" t="str">
        <f>IF(((E1939)=TRUE),  C1939 &amp; "|" &amp; H1939,  "")</f>
        <v>principal-process-steward|VerificationOutcomes</v>
      </c>
      <c r="N1939" s="3" t="s">
        <v>10004</v>
      </c>
    </row>
    <row r="1940">
      <c r="A1940" s="3" t="s">
        <v>11942</v>
      </c>
      <c r="B1940" s="4" t="str">
        <f>C1940 &amp; " -&gt; " &amp; D1940</f>
        <v>principal-process-steward -&gt; VerificationOutcomes.ObservedByAgent</v>
      </c>
      <c r="C1940" s="3" t="s">
        <v>9772</v>
      </c>
      <c r="D1940" s="3" t="s">
        <v>4346</v>
      </c>
      <c r="E1940" s="3" t="b">
        <v>1</v>
      </c>
      <c r="F1940" s="3" t="b">
        <v>0</v>
      </c>
      <c r="G1940" s="3" t="s">
        <v>10003</v>
      </c>
      <c r="H1940" s="4" t="str">
        <f>_xlfn.IFNA(IF(((INDEX(RulebookFields!C2:C1898, MATCH(D1940,RulebookFields!A2:A1898, 0))="")=TRUE),  "",  INDEX(RulebookFields!C2:C1898, MATCH(D1940,RulebookFields!A2:A1898, 0))), "")</f>
        <v>VerificationOutcomes</v>
      </c>
      <c r="I1940" s="4" t="str">
        <f>_xlfn.IFNA(IF(((INDEX(RulebookFields!D2:D1898, MATCH(D1940,RulebookFields!A2:A1898, 0))="")=TRUE),  "",  INDEX(RulebookFields!D2:D1898, MATCH(D1940,RulebookFields!A2:A1898, 0))), "")</f>
        <v>ObservedByAgent</v>
      </c>
      <c r="J1940" s="4" t="b">
        <f>_xlfn.IFNA(IF(((INDEX(RulebookFields!I2:I1898, MATCH(D1940,RulebookFields!A2:A1898, 0))="")=TRUE),  "",  INDEX(RulebookFields!I2:I1898, MATCH(D1940,RulebookFields!A2:A1898, 0))), "")</f>
        <v>0</v>
      </c>
      <c r="K1940" s="4" t="b">
        <f>AND(((F1940)=TRUE), ((J1940)=TRUE))</f>
        <v>0</v>
      </c>
      <c r="L1940" s="4" t="b">
        <f>AND(((G1940 &lt;&gt; "plain")=TRUE), ((G1940 &lt;&gt; "")=TRUE))</f>
        <v>0</v>
      </c>
      <c r="M1940" s="4" t="str">
        <f>IF(((E1940)=TRUE),  C1940 &amp; "|" &amp; H1940,  "")</f>
        <v>principal-process-steward|VerificationOutcomes</v>
      </c>
      <c r="N1940" s="3" t="s">
        <v>10004</v>
      </c>
    </row>
    <row r="1941">
      <c r="A1941" s="3" t="s">
        <v>11943</v>
      </c>
      <c r="B1941" s="4" t="str">
        <f>C1941 &amp; " -&gt; " &amp; D1941</f>
        <v>principal-process-steward -&gt; VerificationOutcomes.ObservedAt</v>
      </c>
      <c r="C1941" s="3" t="s">
        <v>9772</v>
      </c>
      <c r="D1941" s="3" t="s">
        <v>4348</v>
      </c>
      <c r="E1941" s="3" t="b">
        <v>1</v>
      </c>
      <c r="F1941" s="3" t="b">
        <v>0</v>
      </c>
      <c r="G1941" s="3" t="s">
        <v>10003</v>
      </c>
      <c r="H1941" s="4" t="str">
        <f>_xlfn.IFNA(IF(((INDEX(RulebookFields!C2:C1898, MATCH(D1941,RulebookFields!A2:A1898, 0))="")=TRUE),  "",  INDEX(RulebookFields!C2:C1898, MATCH(D1941,RulebookFields!A2:A1898, 0))), "")</f>
        <v>VerificationOutcomes</v>
      </c>
      <c r="I1941" s="4" t="str">
        <f>_xlfn.IFNA(IF(((INDEX(RulebookFields!D2:D1898, MATCH(D1941,RulebookFields!A2:A1898, 0))="")=TRUE),  "",  INDEX(RulebookFields!D2:D1898, MATCH(D1941,RulebookFields!A2:A1898, 0))), "")</f>
        <v>ObservedAt</v>
      </c>
      <c r="J1941" s="4" t="b">
        <f>_xlfn.IFNA(IF(((INDEX(RulebookFields!I2:I1898, MATCH(D1941,RulebookFields!A2:A1898, 0))="")=TRUE),  "",  INDEX(RulebookFields!I2:I1898, MATCH(D1941,RulebookFields!A2:A1898, 0))), "")</f>
        <v>0</v>
      </c>
      <c r="K1941" s="4" t="b">
        <f>AND(((F1941)=TRUE), ((J1941)=TRUE))</f>
        <v>0</v>
      </c>
      <c r="L1941" s="4" t="b">
        <f>AND(((G1941 &lt;&gt; "plain")=TRUE), ((G1941 &lt;&gt; "")=TRUE))</f>
        <v>0</v>
      </c>
      <c r="M1941" s="4" t="str">
        <f>IF(((E1941)=TRUE),  C1941 &amp; "|" &amp; H1941,  "")</f>
        <v>principal-process-steward|VerificationOutcomes</v>
      </c>
      <c r="N1941" s="3" t="s">
        <v>10004</v>
      </c>
    </row>
    <row r="1942">
      <c r="A1942" s="3" t="s">
        <v>11944</v>
      </c>
      <c r="B1942" s="4" t="str">
        <f>C1942 &amp; " -&gt; " &amp; D1942</f>
        <v>principal-process-steward -&gt; VerificationOutcomes.EvidenceUri</v>
      </c>
      <c r="C1942" s="3" t="s">
        <v>9772</v>
      </c>
      <c r="D1942" s="3" t="s">
        <v>4350</v>
      </c>
      <c r="E1942" s="3" t="b">
        <v>1</v>
      </c>
      <c r="F1942" s="3" t="b">
        <v>0</v>
      </c>
      <c r="G1942" s="3" t="s">
        <v>10003</v>
      </c>
      <c r="H1942" s="4" t="str">
        <f>_xlfn.IFNA(IF(((INDEX(RulebookFields!C2:C1898, MATCH(D1942,RulebookFields!A2:A1898, 0))="")=TRUE),  "",  INDEX(RulebookFields!C2:C1898, MATCH(D1942,RulebookFields!A2:A1898, 0))), "")</f>
        <v>VerificationOutcomes</v>
      </c>
      <c r="I1942" s="4" t="str">
        <f>_xlfn.IFNA(IF(((INDEX(RulebookFields!D2:D1898, MATCH(D1942,RulebookFields!A2:A1898, 0))="")=TRUE),  "",  INDEX(RulebookFields!D2:D1898, MATCH(D1942,RulebookFields!A2:A1898, 0))), "")</f>
        <v>EvidenceUri</v>
      </c>
      <c r="J1942" s="4" t="b">
        <f>_xlfn.IFNA(IF(((INDEX(RulebookFields!I2:I1898, MATCH(D1942,RulebookFields!A2:A1898, 0))="")=TRUE),  "",  INDEX(RulebookFields!I2:I1898, MATCH(D1942,RulebookFields!A2:A1898, 0))), "")</f>
        <v>0</v>
      </c>
      <c r="K1942" s="4" t="b">
        <f>AND(((F1942)=TRUE), ((J1942)=TRUE))</f>
        <v>0</v>
      </c>
      <c r="L1942" s="4" t="b">
        <f>AND(((G1942 &lt;&gt; "plain")=TRUE), ((G1942 &lt;&gt; "")=TRUE))</f>
        <v>0</v>
      </c>
      <c r="M1942" s="4" t="str">
        <f>IF(((E1942)=TRUE),  C1942 &amp; "|" &amp; H1942,  "")</f>
        <v>principal-process-steward|VerificationOutcomes</v>
      </c>
      <c r="N1942" s="3" t="s">
        <v>10004</v>
      </c>
    </row>
    <row r="1943">
      <c r="A1943" s="3" t="s">
        <v>11945</v>
      </c>
      <c r="B1943" s="4" t="str">
        <f>C1943 &amp; " -&gt; " &amp; D1943</f>
        <v>principal-process-steward -&gt; VerificationOutcomes.ExpectedSignalValue</v>
      </c>
      <c r="C1943" s="3" t="s">
        <v>9772</v>
      </c>
      <c r="D1943" s="3" t="s">
        <v>4352</v>
      </c>
      <c r="E1943" s="3" t="b">
        <v>1</v>
      </c>
      <c r="F1943" s="3" t="b">
        <v>0</v>
      </c>
      <c r="G1943" s="3" t="s">
        <v>10003</v>
      </c>
      <c r="H1943" s="4" t="str">
        <f>_xlfn.IFNA(IF(((INDEX(RulebookFields!C2:C1898, MATCH(D1943,RulebookFields!A2:A1898, 0))="")=TRUE),  "",  INDEX(RulebookFields!C2:C1898, MATCH(D1943,RulebookFields!A2:A1898, 0))), "")</f>
        <v>VerificationOutcomes</v>
      </c>
      <c r="I1943" s="4" t="str">
        <f>_xlfn.IFNA(IF(((INDEX(RulebookFields!D2:D1898, MATCH(D1943,RulebookFields!A2:A1898, 0))="")=TRUE),  "",  INDEX(RulebookFields!D2:D1898, MATCH(D1943,RulebookFields!A2:A1898, 0))), "")</f>
        <v>ExpectedSignalValue</v>
      </c>
      <c r="J1943" s="4" t="b">
        <f>_xlfn.IFNA(IF(((INDEX(RulebookFields!I2:I1898, MATCH(D1943,RulebookFields!A2:A1898, 0))="")=TRUE),  "",  INDEX(RulebookFields!I2:I1898, MATCH(D1943,RulebookFields!A2:A1898, 0))), "")</f>
        <v>1</v>
      </c>
      <c r="K1943" s="4" t="b">
        <f>AND(((F1943)=TRUE), ((J1943)=TRUE))</f>
        <v>0</v>
      </c>
      <c r="L1943" s="4" t="b">
        <f>AND(((G1943 &lt;&gt; "plain")=TRUE), ((G1943 &lt;&gt; "")=TRUE))</f>
        <v>0</v>
      </c>
      <c r="M1943" s="4" t="str">
        <f>IF(((E1943)=TRUE),  C1943 &amp; "|" &amp; H1943,  "")</f>
        <v>principal-process-steward|VerificationOutcomes</v>
      </c>
      <c r="N1943" s="3" t="s">
        <v>10004</v>
      </c>
    </row>
    <row r="1944">
      <c r="A1944" s="3" t="s">
        <v>11946</v>
      </c>
      <c r="B1944" s="4" t="str">
        <f>C1944 &amp; " -&gt; " &amp; D1944</f>
        <v>principal-process-steward -&gt; VerificationOutcomes.SignalIdentifier</v>
      </c>
      <c r="C1944" s="3" t="s">
        <v>9772</v>
      </c>
      <c r="D1944" s="3" t="s">
        <v>4354</v>
      </c>
      <c r="E1944" s="3" t="b">
        <v>1</v>
      </c>
      <c r="F1944" s="3" t="b">
        <v>0</v>
      </c>
      <c r="G1944" s="3" t="s">
        <v>10003</v>
      </c>
      <c r="H1944" s="4" t="str">
        <f>_xlfn.IFNA(IF(((INDEX(RulebookFields!C2:C1898, MATCH(D1944,RulebookFields!A2:A1898, 0))="")=TRUE),  "",  INDEX(RulebookFields!C2:C1898, MATCH(D1944,RulebookFields!A2:A1898, 0))), "")</f>
        <v>VerificationOutcomes</v>
      </c>
      <c r="I1944" s="4" t="str">
        <f>_xlfn.IFNA(IF(((INDEX(RulebookFields!D2:D1898, MATCH(D1944,RulebookFields!A2:A1898, 0))="")=TRUE),  "",  INDEX(RulebookFields!D2:D1898, MATCH(D1944,RulebookFields!A2:A1898, 0))), "")</f>
        <v>SignalIdentifier</v>
      </c>
      <c r="J1944" s="4" t="b">
        <f>_xlfn.IFNA(IF(((INDEX(RulebookFields!I2:I1898, MATCH(D1944,RulebookFields!A2:A1898, 0))="")=TRUE),  "",  INDEX(RulebookFields!I2:I1898, MATCH(D1944,RulebookFields!A2:A1898, 0))), "")</f>
        <v>1</v>
      </c>
      <c r="K1944" s="4" t="b">
        <f>AND(((F1944)=TRUE), ((J1944)=TRUE))</f>
        <v>0</v>
      </c>
      <c r="L1944" s="4" t="b">
        <f>AND(((G1944 &lt;&gt; "plain")=TRUE), ((G1944 &lt;&gt; "")=TRUE))</f>
        <v>0</v>
      </c>
      <c r="M1944" s="4" t="str">
        <f>IF(((E1944)=TRUE),  C1944 &amp; "|" &amp; H1944,  "")</f>
        <v>principal-process-steward|VerificationOutcomes</v>
      </c>
      <c r="N1944" s="3" t="s">
        <v>10004</v>
      </c>
    </row>
    <row r="1945">
      <c r="A1945" s="3" t="s">
        <v>11947</v>
      </c>
      <c r="B1945" s="4" t="str">
        <f>C1945 &amp; " -&gt; " &amp; D1945</f>
        <v>principal-process-steward -&gt; VerificationOutcomes.SignalMatchesExpected</v>
      </c>
      <c r="C1945" s="3" t="s">
        <v>9772</v>
      </c>
      <c r="D1945" s="3" t="s">
        <v>844</v>
      </c>
      <c r="E1945" s="3" t="b">
        <v>1</v>
      </c>
      <c r="F1945" s="3" t="b">
        <v>0</v>
      </c>
      <c r="G1945" s="3" t="s">
        <v>10003</v>
      </c>
      <c r="H1945" s="4" t="str">
        <f>_xlfn.IFNA(IF(((INDEX(RulebookFields!C2:C1898, MATCH(D1945,RulebookFields!A2:A1898, 0))="")=TRUE),  "",  INDEX(RulebookFields!C2:C1898, MATCH(D1945,RulebookFields!A2:A1898, 0))), "")</f>
        <v>VerificationOutcomes</v>
      </c>
      <c r="I1945" s="4" t="str">
        <f>_xlfn.IFNA(IF(((INDEX(RulebookFields!D2:D1898, MATCH(D1945,RulebookFields!A2:A1898, 0))="")=TRUE),  "",  INDEX(RulebookFields!D2:D1898, MATCH(D1945,RulebookFields!A2:A1898, 0))), "")</f>
        <v>SignalMatchesExpected</v>
      </c>
      <c r="J1945" s="4" t="b">
        <f>_xlfn.IFNA(IF(((INDEX(RulebookFields!I2:I1898, MATCH(D1945,RulebookFields!A2:A1898, 0))="")=TRUE),  "",  INDEX(RulebookFields!I2:I1898, MATCH(D1945,RulebookFields!A2:A1898, 0))), "")</f>
        <v>1</v>
      </c>
      <c r="K1945" s="4" t="b">
        <f>AND(((F1945)=TRUE), ((J1945)=TRUE))</f>
        <v>0</v>
      </c>
      <c r="L1945" s="4" t="b">
        <f>AND(((G1945 &lt;&gt; "plain")=TRUE), ((G1945 &lt;&gt; "")=TRUE))</f>
        <v>0</v>
      </c>
      <c r="M1945" s="4" t="str">
        <f>IF(((E1945)=TRUE),  C1945 &amp; "|" &amp; H1945,  "")</f>
        <v>principal-process-steward|VerificationOutcomes</v>
      </c>
      <c r="N1945" s="3" t="s">
        <v>10004</v>
      </c>
    </row>
    <row r="1946">
      <c r="A1946" s="3" t="s">
        <v>11948</v>
      </c>
      <c r="B1946" s="4" t="str">
        <f>C1946 &amp; " -&gt; " &amp; D1946</f>
        <v>principal-process-steward -&gt; VerificationOutcomes.HasEvidence</v>
      </c>
      <c r="C1946" s="3" t="s">
        <v>9772</v>
      </c>
      <c r="D1946" s="3" t="s">
        <v>4358</v>
      </c>
      <c r="E1946" s="3" t="b">
        <v>1</v>
      </c>
      <c r="F1946" s="3" t="b">
        <v>0</v>
      </c>
      <c r="G1946" s="3" t="s">
        <v>10003</v>
      </c>
      <c r="H1946" s="4" t="str">
        <f>_xlfn.IFNA(IF(((INDEX(RulebookFields!C2:C1898, MATCH(D1946,RulebookFields!A2:A1898, 0))="")=TRUE),  "",  INDEX(RulebookFields!C2:C1898, MATCH(D1946,RulebookFields!A2:A1898, 0))), "")</f>
        <v>VerificationOutcomes</v>
      </c>
      <c r="I1946" s="4" t="str">
        <f>_xlfn.IFNA(IF(((INDEX(RulebookFields!D2:D1898, MATCH(D1946,RulebookFields!A2:A1898, 0))="")=TRUE),  "",  INDEX(RulebookFields!D2:D1898, MATCH(D1946,RulebookFields!A2:A1898, 0))), "")</f>
        <v>HasEvidence</v>
      </c>
      <c r="J1946" s="4" t="b">
        <f>_xlfn.IFNA(IF(((INDEX(RulebookFields!I2:I1898, MATCH(D1946,RulebookFields!A2:A1898, 0))="")=TRUE),  "",  INDEX(RulebookFields!I2:I1898, MATCH(D1946,RulebookFields!A2:A1898, 0))), "")</f>
        <v>1</v>
      </c>
      <c r="K1946" s="4" t="b">
        <f>AND(((F1946)=TRUE), ((J1946)=TRUE))</f>
        <v>0</v>
      </c>
      <c r="L1946" s="4" t="b">
        <f>AND(((G1946 &lt;&gt; "plain")=TRUE), ((G1946 &lt;&gt; "")=TRUE))</f>
        <v>0</v>
      </c>
      <c r="M1946" s="4" t="str">
        <f>IF(((E1946)=TRUE),  C1946 &amp; "|" &amp; H1946,  "")</f>
        <v>principal-process-steward|VerificationOutcomes</v>
      </c>
      <c r="N1946" s="3" t="s">
        <v>10004</v>
      </c>
    </row>
    <row r="1947">
      <c r="A1947" s="3" t="s">
        <v>11949</v>
      </c>
      <c r="B1947" s="4" t="str">
        <f>C1947 &amp; " -&gt; " &amp; D1947</f>
        <v>principal-process-steward -&gt; VerificationOutcomes.IsUnbackedObservation</v>
      </c>
      <c r="C1947" s="3" t="s">
        <v>9772</v>
      </c>
      <c r="D1947" s="3" t="s">
        <v>851</v>
      </c>
      <c r="E1947" s="3" t="b">
        <v>1</v>
      </c>
      <c r="F1947" s="3" t="b">
        <v>0</v>
      </c>
      <c r="G1947" s="3" t="s">
        <v>10003</v>
      </c>
      <c r="H1947" s="4" t="str">
        <f>_xlfn.IFNA(IF(((INDEX(RulebookFields!C2:C1898, MATCH(D1947,RulebookFields!A2:A1898, 0))="")=TRUE),  "",  INDEX(RulebookFields!C2:C1898, MATCH(D1947,RulebookFields!A2:A1898, 0))), "")</f>
        <v>VerificationOutcomes</v>
      </c>
      <c r="I1947" s="4" t="str">
        <f>_xlfn.IFNA(IF(((INDEX(RulebookFields!D2:D1898, MATCH(D1947,RulebookFields!A2:A1898, 0))="")=TRUE),  "",  INDEX(RulebookFields!D2:D1898, MATCH(D1947,RulebookFields!A2:A1898, 0))), "")</f>
        <v>IsUnbackedObservation</v>
      </c>
      <c r="J1947" s="4" t="b">
        <f>_xlfn.IFNA(IF(((INDEX(RulebookFields!I2:I1898, MATCH(D1947,RulebookFields!A2:A1898, 0))="")=TRUE),  "",  INDEX(RulebookFields!I2:I1898, MATCH(D1947,RulebookFields!A2:A1898, 0))), "")</f>
        <v>1</v>
      </c>
      <c r="K1947" s="4" t="b">
        <f>AND(((F1947)=TRUE), ((J1947)=TRUE))</f>
        <v>0</v>
      </c>
      <c r="L1947" s="4" t="b">
        <f>AND(((G1947 &lt;&gt; "plain")=TRUE), ((G1947 &lt;&gt; "")=TRUE))</f>
        <v>0</v>
      </c>
      <c r="M1947" s="4" t="str">
        <f>IF(((E1947)=TRUE),  C1947 &amp; "|" &amp; H1947,  "")</f>
        <v>principal-process-steward|VerificationOutcomes</v>
      </c>
      <c r="N1947" s="3" t="s">
        <v>10004</v>
      </c>
    </row>
    <row r="1948">
      <c r="A1948" s="3" t="s">
        <v>11950</v>
      </c>
      <c r="B1948" s="4" t="str">
        <f>C1948 &amp; " -&gt; " &amp; D1948</f>
        <v>principal-process-steward -&gt; VerificationOutcomes.IsSelfWitnessed</v>
      </c>
      <c r="C1948" s="3" t="s">
        <v>9772</v>
      </c>
      <c r="D1948" s="3" t="s">
        <v>4363</v>
      </c>
      <c r="E1948" s="3" t="b">
        <v>1</v>
      </c>
      <c r="F1948" s="3" t="b">
        <v>0</v>
      </c>
      <c r="G1948" s="3" t="s">
        <v>10003</v>
      </c>
      <c r="H1948" s="4" t="str">
        <f>_xlfn.IFNA(IF(((INDEX(RulebookFields!C2:C1898, MATCH(D1948,RulebookFields!A2:A1898, 0))="")=TRUE),  "",  INDEX(RulebookFields!C2:C1898, MATCH(D1948,RulebookFields!A2:A1898, 0))), "")</f>
        <v>VerificationOutcomes</v>
      </c>
      <c r="I1948" s="4" t="str">
        <f>_xlfn.IFNA(IF(((INDEX(RulebookFields!D2:D1898, MATCH(D1948,RulebookFields!A2:A1898, 0))="")=TRUE),  "",  INDEX(RulebookFields!D2:D1898, MATCH(D1948,RulebookFields!A2:A1898, 0))), "")</f>
        <v>IsSelfWitnessed</v>
      </c>
      <c r="J1948" s="4" t="b">
        <f>_xlfn.IFNA(IF(((INDEX(RulebookFields!I2:I1898, MATCH(D1948,RulebookFields!A2:A1898, 0))="")=TRUE),  "",  INDEX(RulebookFields!I2:I1898, MATCH(D1948,RulebookFields!A2:A1898, 0))), "")</f>
        <v>1</v>
      </c>
      <c r="K1948" s="4" t="b">
        <f>AND(((F1948)=TRUE), ((J1948)=TRUE))</f>
        <v>0</v>
      </c>
      <c r="L1948" s="4" t="b">
        <f>AND(((G1948 &lt;&gt; "plain")=TRUE), ((G1948 &lt;&gt; "")=TRUE))</f>
        <v>0</v>
      </c>
      <c r="M1948" s="4" t="str">
        <f>IF(((E1948)=TRUE),  C1948 &amp; "|" &amp; H1948,  "")</f>
        <v>principal-process-steward|VerificationOutcomes</v>
      </c>
      <c r="N1948" s="3" t="s">
        <v>10004</v>
      </c>
    </row>
    <row r="1949">
      <c r="A1949" s="3" t="s">
        <v>11951</v>
      </c>
      <c r="B1949" s="4" t="str">
        <f>C1949 &amp; " -&gt; " &amp; D1949</f>
        <v>principal-process-steward -&gt; VerificationOutcomes.StepExecutorAgent</v>
      </c>
      <c r="C1949" s="3" t="s">
        <v>9772</v>
      </c>
      <c r="D1949" s="3" t="s">
        <v>4366</v>
      </c>
      <c r="E1949" s="3" t="b">
        <v>1</v>
      </c>
      <c r="F1949" s="3" t="b">
        <v>0</v>
      </c>
      <c r="G1949" s="3" t="s">
        <v>10003</v>
      </c>
      <c r="H1949" s="4" t="str">
        <f>_xlfn.IFNA(IF(((INDEX(RulebookFields!C2:C1898, MATCH(D1949,RulebookFields!A2:A1898, 0))="")=TRUE),  "",  INDEX(RulebookFields!C2:C1898, MATCH(D1949,RulebookFields!A2:A1898, 0))), "")</f>
        <v>VerificationOutcomes</v>
      </c>
      <c r="I1949" s="4" t="str">
        <f>_xlfn.IFNA(IF(((INDEX(RulebookFields!D2:D1898, MATCH(D1949,RulebookFields!A2:A1898, 0))="")=TRUE),  "",  INDEX(RulebookFields!D2:D1898, MATCH(D1949,RulebookFields!A2:A1898, 0))), "")</f>
        <v>StepExecutorAgent</v>
      </c>
      <c r="J1949" s="4" t="b">
        <f>_xlfn.IFNA(IF(((INDEX(RulebookFields!I2:I1898, MATCH(D1949,RulebookFields!A2:A1898, 0))="")=TRUE),  "",  INDEX(RulebookFields!I2:I1898, MATCH(D1949,RulebookFields!A2:A1898, 0))), "")</f>
        <v>1</v>
      </c>
      <c r="K1949" s="4" t="b">
        <f>AND(((F1949)=TRUE), ((J1949)=TRUE))</f>
        <v>0</v>
      </c>
      <c r="L1949" s="4" t="b">
        <f>AND(((G1949 &lt;&gt; "plain")=TRUE), ((G1949 &lt;&gt; "")=TRUE))</f>
        <v>0</v>
      </c>
      <c r="M1949" s="4" t="str">
        <f>IF(((E1949)=TRUE),  C1949 &amp; "|" &amp; H1949,  "")</f>
        <v>principal-process-steward|VerificationOutcomes</v>
      </c>
      <c r="N1949" s="3" t="s">
        <v>10004</v>
      </c>
    </row>
    <row r="1950">
      <c r="A1950" s="3" t="s">
        <v>11952</v>
      </c>
      <c r="B1950" s="4" t="str">
        <f>C1950 &amp; " -&gt; " &amp; D1950</f>
        <v>principal-process-steward -&gt; VerificationOutcomes.SelfWitnessedStepKey</v>
      </c>
      <c r="C1950" s="3" t="s">
        <v>9772</v>
      </c>
      <c r="D1950" s="3" t="s">
        <v>4367</v>
      </c>
      <c r="E1950" s="3" t="b">
        <v>1</v>
      </c>
      <c r="F1950" s="3" t="b">
        <v>0</v>
      </c>
      <c r="G1950" s="3" t="s">
        <v>10003</v>
      </c>
      <c r="H1950" s="4" t="str">
        <f>_xlfn.IFNA(IF(((INDEX(RulebookFields!C2:C1898, MATCH(D1950,RulebookFields!A2:A1898, 0))="")=TRUE),  "",  INDEX(RulebookFields!C2:C1898, MATCH(D1950,RulebookFields!A2:A1898, 0))), "")</f>
        <v>VerificationOutcomes</v>
      </c>
      <c r="I1950" s="4" t="str">
        <f>_xlfn.IFNA(IF(((INDEX(RulebookFields!D2:D1898, MATCH(D1950,RulebookFields!A2:A1898, 0))="")=TRUE),  "",  INDEX(RulebookFields!D2:D1898, MATCH(D1950,RulebookFields!A2:A1898, 0))), "")</f>
        <v>SelfWitnessedStepKey</v>
      </c>
      <c r="J1950" s="4" t="b">
        <f>_xlfn.IFNA(IF(((INDEX(RulebookFields!I2:I1898, MATCH(D1950,RulebookFields!A2:A1898, 0))="")=TRUE),  "",  INDEX(RulebookFields!I2:I1898, MATCH(D1950,RulebookFields!A2:A1898, 0))), "")</f>
        <v>1</v>
      </c>
      <c r="K1950" s="4" t="b">
        <f>AND(((F1950)=TRUE), ((J1950)=TRUE))</f>
        <v>0</v>
      </c>
      <c r="L1950" s="4" t="b">
        <f>AND(((G1950 &lt;&gt; "plain")=TRUE), ((G1950 &lt;&gt; "")=TRUE))</f>
        <v>0</v>
      </c>
      <c r="M1950" s="4" t="str">
        <f>IF(((E1950)=TRUE),  C1950 &amp; "|" &amp; H1950,  "")</f>
        <v>principal-process-steward|VerificationOutcomes</v>
      </c>
      <c r="N1950" s="3" t="s">
        <v>10004</v>
      </c>
    </row>
    <row r="1951">
      <c r="A1951" s="3" t="s">
        <v>11953</v>
      </c>
      <c r="B1951" s="4" t="str">
        <f>C1951 &amp; " -&gt; " &amp; D1951</f>
        <v>principal-process-steward -&gt; VerificationOutcomes.UnbackedStepKey</v>
      </c>
      <c r="C1951" s="3" t="s">
        <v>9772</v>
      </c>
      <c r="D1951" s="3" t="s">
        <v>4370</v>
      </c>
      <c r="E1951" s="3" t="b">
        <v>1</v>
      </c>
      <c r="F1951" s="3" t="b">
        <v>0</v>
      </c>
      <c r="G1951" s="3" t="s">
        <v>10003</v>
      </c>
      <c r="H1951" s="4" t="str">
        <f>_xlfn.IFNA(IF(((INDEX(RulebookFields!C2:C1898, MATCH(D1951,RulebookFields!A2:A1898, 0))="")=TRUE),  "",  INDEX(RulebookFields!C2:C1898, MATCH(D1951,RulebookFields!A2:A1898, 0))), "")</f>
        <v>VerificationOutcomes</v>
      </c>
      <c r="I1951" s="4" t="str">
        <f>_xlfn.IFNA(IF(((INDEX(RulebookFields!D2:D1898, MATCH(D1951,RulebookFields!A2:A1898, 0))="")=TRUE),  "",  INDEX(RulebookFields!D2:D1898, MATCH(D1951,RulebookFields!A2:A1898, 0))), "")</f>
        <v>UnbackedStepKey</v>
      </c>
      <c r="J1951" s="4" t="b">
        <f>_xlfn.IFNA(IF(((INDEX(RulebookFields!I2:I1898, MATCH(D1951,RulebookFields!A2:A1898, 0))="")=TRUE),  "",  INDEX(RulebookFields!I2:I1898, MATCH(D1951,RulebookFields!A2:A1898, 0))), "")</f>
        <v>1</v>
      </c>
      <c r="K1951" s="4" t="b">
        <f>AND(((F1951)=TRUE), ((J1951)=TRUE))</f>
        <v>0</v>
      </c>
      <c r="L1951" s="4" t="b">
        <f>AND(((G1951 &lt;&gt; "plain")=TRUE), ((G1951 &lt;&gt; "")=TRUE))</f>
        <v>0</v>
      </c>
      <c r="M1951" s="4" t="str">
        <f>IF(((E1951)=TRUE),  C1951 &amp; "|" &amp; H1951,  "")</f>
        <v>principal-process-steward|VerificationOutcomes</v>
      </c>
      <c r="N1951" s="3" t="s">
        <v>10004</v>
      </c>
    </row>
    <row r="1952">
      <c r="A1952" s="3" t="s">
        <v>11954</v>
      </c>
      <c r="B1952" s="4" t="str">
        <f>C1952 &amp; " -&gt; " &amp; D1952</f>
        <v>principal-process-steward -&gt; VerificationOutcomes.IsSelfWitnessedAndUnbacked</v>
      </c>
      <c r="C1952" s="3" t="s">
        <v>9772</v>
      </c>
      <c r="D1952" s="3" t="s">
        <v>4373</v>
      </c>
      <c r="E1952" s="3" t="b">
        <v>1</v>
      </c>
      <c r="F1952" s="3" t="b">
        <v>0</v>
      </c>
      <c r="G1952" s="3" t="s">
        <v>10003</v>
      </c>
      <c r="H1952" s="4" t="str">
        <f>_xlfn.IFNA(IF(((INDEX(RulebookFields!C2:C1898, MATCH(D1952,RulebookFields!A2:A1898, 0))="")=TRUE),  "",  INDEX(RulebookFields!C2:C1898, MATCH(D1952,RulebookFields!A2:A1898, 0))), "")</f>
        <v>VerificationOutcomes</v>
      </c>
      <c r="I1952" s="4" t="str">
        <f>_xlfn.IFNA(IF(((INDEX(RulebookFields!D2:D1898, MATCH(D1952,RulebookFields!A2:A1898, 0))="")=TRUE),  "",  INDEX(RulebookFields!D2:D1898, MATCH(D1952,RulebookFields!A2:A1898, 0))), "")</f>
        <v>IsSelfWitnessedAndUnbacked</v>
      </c>
      <c r="J1952" s="4" t="b">
        <f>_xlfn.IFNA(IF(((INDEX(RulebookFields!I2:I1898, MATCH(D1952,RulebookFields!A2:A1898, 0))="")=TRUE),  "",  INDEX(RulebookFields!I2:I1898, MATCH(D1952,RulebookFields!A2:A1898, 0))), "")</f>
        <v>1</v>
      </c>
      <c r="K1952" s="4" t="b">
        <f>AND(((F1952)=TRUE), ((J1952)=TRUE))</f>
        <v>0</v>
      </c>
      <c r="L1952" s="4" t="b">
        <f>AND(((G1952 &lt;&gt; "plain")=TRUE), ((G1952 &lt;&gt; "")=TRUE))</f>
        <v>0</v>
      </c>
      <c r="M1952" s="4" t="str">
        <f>IF(((E1952)=TRUE),  C1952 &amp; "|" &amp; H1952,  "")</f>
        <v>principal-process-steward|VerificationOutcomes</v>
      </c>
      <c r="N1952" s="3" t="s">
        <v>10004</v>
      </c>
    </row>
    <row r="1953">
      <c r="A1953" s="3" t="s">
        <v>11955</v>
      </c>
      <c r="B1953" s="4" t="str">
        <f>C1953 &amp; " -&gt; " &amp; D1953</f>
        <v>principal-process-steward -&gt; VerificationOutcomes.IsUncorroboratedPass</v>
      </c>
      <c r="C1953" s="3" t="s">
        <v>9772</v>
      </c>
      <c r="D1953" s="3" t="s">
        <v>4376</v>
      </c>
      <c r="E1953" s="3" t="b">
        <v>1</v>
      </c>
      <c r="F1953" s="3" t="b">
        <v>0</v>
      </c>
      <c r="G1953" s="3" t="s">
        <v>10003</v>
      </c>
      <c r="H1953" s="4" t="str">
        <f>_xlfn.IFNA(IF(((INDEX(RulebookFields!C2:C1898, MATCH(D1953,RulebookFields!A2:A1898, 0))="")=TRUE),  "",  INDEX(RulebookFields!C2:C1898, MATCH(D1953,RulebookFields!A2:A1898, 0))), "")</f>
        <v>VerificationOutcomes</v>
      </c>
      <c r="I1953" s="4" t="str">
        <f>_xlfn.IFNA(IF(((INDEX(RulebookFields!D2:D1898, MATCH(D1953,RulebookFields!A2:A1898, 0))="")=TRUE),  "",  INDEX(RulebookFields!D2:D1898, MATCH(D1953,RulebookFields!A2:A1898, 0))), "")</f>
        <v>IsUncorroboratedPass</v>
      </c>
      <c r="J1953" s="4" t="b">
        <f>_xlfn.IFNA(IF(((INDEX(RulebookFields!I2:I1898, MATCH(D1953,RulebookFields!A2:A1898, 0))="")=TRUE),  "",  INDEX(RulebookFields!I2:I1898, MATCH(D1953,RulebookFields!A2:A1898, 0))), "")</f>
        <v>1</v>
      </c>
      <c r="K1953" s="4" t="b">
        <f>AND(((F1953)=TRUE), ((J1953)=TRUE))</f>
        <v>0</v>
      </c>
      <c r="L1953" s="4" t="b">
        <f>AND(((G1953 &lt;&gt; "plain")=TRUE), ((G1953 &lt;&gt; "")=TRUE))</f>
        <v>0</v>
      </c>
      <c r="M1953" s="4" t="str">
        <f>IF(((E1953)=TRUE),  C1953 &amp; "|" &amp; H1953,  "")</f>
        <v>principal-process-steward|VerificationOutcomes</v>
      </c>
      <c r="N1953" s="3" t="s">
        <v>10004</v>
      </c>
    </row>
    <row r="1954">
      <c r="A1954" s="3" t="s">
        <v>11956</v>
      </c>
      <c r="B1954" s="4" t="str">
        <f>C1954 &amp; " -&gt; " &amp; D1954</f>
        <v>principal-process-steward -&gt; VerificationOutcomes.UncorroboratedPassStepKey</v>
      </c>
      <c r="C1954" s="3" t="s">
        <v>9772</v>
      </c>
      <c r="D1954" s="3" t="s">
        <v>4379</v>
      </c>
      <c r="E1954" s="3" t="b">
        <v>1</v>
      </c>
      <c r="F1954" s="3" t="b">
        <v>0</v>
      </c>
      <c r="G1954" s="3" t="s">
        <v>10003</v>
      </c>
      <c r="H1954" s="4" t="str">
        <f>_xlfn.IFNA(IF(((INDEX(RulebookFields!C2:C1898, MATCH(D1954,RulebookFields!A2:A1898, 0))="")=TRUE),  "",  INDEX(RulebookFields!C2:C1898, MATCH(D1954,RulebookFields!A2:A1898, 0))), "")</f>
        <v>VerificationOutcomes</v>
      </c>
      <c r="I1954" s="4" t="str">
        <f>_xlfn.IFNA(IF(((INDEX(RulebookFields!D2:D1898, MATCH(D1954,RulebookFields!A2:A1898, 0))="")=TRUE),  "",  INDEX(RulebookFields!D2:D1898, MATCH(D1954,RulebookFields!A2:A1898, 0))), "")</f>
        <v>UncorroboratedPassStepKey</v>
      </c>
      <c r="J1954" s="4" t="b">
        <f>_xlfn.IFNA(IF(((INDEX(RulebookFields!I2:I1898, MATCH(D1954,RulebookFields!A2:A1898, 0))="")=TRUE),  "",  INDEX(RulebookFields!I2:I1898, MATCH(D1954,RulebookFields!A2:A1898, 0))), "")</f>
        <v>1</v>
      </c>
      <c r="K1954" s="4" t="b">
        <f>AND(((F1954)=TRUE), ((J1954)=TRUE))</f>
        <v>0</v>
      </c>
      <c r="L1954" s="4" t="b">
        <f>AND(((G1954 &lt;&gt; "plain")=TRUE), ((G1954 &lt;&gt; "")=TRUE))</f>
        <v>0</v>
      </c>
      <c r="M1954" s="4" t="str">
        <f>IF(((E1954)=TRUE),  C1954 &amp; "|" &amp; H1954,  "")</f>
        <v>principal-process-steward|VerificationOutcomes</v>
      </c>
      <c r="N1954" s="3" t="s">
        <v>10004</v>
      </c>
    </row>
    <row r="1955">
      <c r="A1955" s="3" t="s">
        <v>11957</v>
      </c>
      <c r="B1955" s="4" t="str">
        <f>C1955 &amp; " -&gt; " &amp; D1955</f>
        <v>principal-process-steward -&gt; VerificationOutcomes.ObserverIsNonHuman</v>
      </c>
      <c r="C1955" s="3" t="s">
        <v>9772</v>
      </c>
      <c r="D1955" s="3" t="s">
        <v>4382</v>
      </c>
      <c r="E1955" s="3" t="b">
        <v>1</v>
      </c>
      <c r="F1955" s="3" t="b">
        <v>0</v>
      </c>
      <c r="G1955" s="3" t="s">
        <v>10003</v>
      </c>
      <c r="H1955" s="4" t="str">
        <f>_xlfn.IFNA(IF(((INDEX(RulebookFields!C2:C1898, MATCH(D1955,RulebookFields!A2:A1898, 0))="")=TRUE),  "",  INDEX(RulebookFields!C2:C1898, MATCH(D1955,RulebookFields!A2:A1898, 0))), "")</f>
        <v>VerificationOutcomes</v>
      </c>
      <c r="I1955" s="4" t="str">
        <f>_xlfn.IFNA(IF(((INDEX(RulebookFields!D2:D1898, MATCH(D1955,RulebookFields!A2:A1898, 0))="")=TRUE),  "",  INDEX(RulebookFields!D2:D1898, MATCH(D1955,RulebookFields!A2:A1898, 0))), "")</f>
        <v>ObserverIsNonHuman</v>
      </c>
      <c r="J1955" s="4" t="b">
        <f>_xlfn.IFNA(IF(((INDEX(RulebookFields!I2:I1898, MATCH(D1955,RulebookFields!A2:A1898, 0))="")=TRUE),  "",  INDEX(RulebookFields!I2:I1898, MATCH(D1955,RulebookFields!A2:A1898, 0))), "")</f>
        <v>1</v>
      </c>
      <c r="K1955" s="4" t="b">
        <f>AND(((F1955)=TRUE), ((J1955)=TRUE))</f>
        <v>0</v>
      </c>
      <c r="L1955" s="4" t="b">
        <f>AND(((G1955 &lt;&gt; "plain")=TRUE), ((G1955 &lt;&gt; "")=TRUE))</f>
        <v>0</v>
      </c>
      <c r="M1955" s="4" t="str">
        <f>IF(((E1955)=TRUE),  C1955 &amp; "|" &amp; H1955,  "")</f>
        <v>principal-process-steward|VerificationOutcomes</v>
      </c>
      <c r="N1955" s="3" t="s">
        <v>10004</v>
      </c>
    </row>
    <row r="1956">
      <c r="A1956" s="3" t="s">
        <v>11958</v>
      </c>
      <c r="B1956" s="4" t="str">
        <f>C1956 &amp; " -&gt; " &amp; D1956</f>
        <v>principal-process-steward -&gt; VerificationOutcomes.ObserverIsIndependentOfExecutor</v>
      </c>
      <c r="C1956" s="3" t="s">
        <v>9772</v>
      </c>
      <c r="D1956" s="3" t="s">
        <v>4385</v>
      </c>
      <c r="E1956" s="3" t="b">
        <v>1</v>
      </c>
      <c r="F1956" s="3" t="b">
        <v>0</v>
      </c>
      <c r="G1956" s="3" t="s">
        <v>10003</v>
      </c>
      <c r="H1956" s="4" t="str">
        <f>_xlfn.IFNA(IF(((INDEX(RulebookFields!C2:C1898, MATCH(D1956,RulebookFields!A2:A1898, 0))="")=TRUE),  "",  INDEX(RulebookFields!C2:C1898, MATCH(D1956,RulebookFields!A2:A1898, 0))), "")</f>
        <v>VerificationOutcomes</v>
      </c>
      <c r="I1956" s="4" t="str">
        <f>_xlfn.IFNA(IF(((INDEX(RulebookFields!D2:D1898, MATCH(D1956,RulebookFields!A2:A1898, 0))="")=TRUE),  "",  INDEX(RulebookFields!D2:D1898, MATCH(D1956,RulebookFields!A2:A1898, 0))), "")</f>
        <v>ObserverIsIndependentOfExecutor</v>
      </c>
      <c r="J1956" s="4" t="b">
        <f>_xlfn.IFNA(IF(((INDEX(RulebookFields!I2:I1898, MATCH(D1956,RulebookFields!A2:A1898, 0))="")=TRUE),  "",  INDEX(RulebookFields!I2:I1898, MATCH(D1956,RulebookFields!A2:A1898, 0))), "")</f>
        <v>1</v>
      </c>
      <c r="K1956" s="4" t="b">
        <f>AND(((F1956)=TRUE), ((J1956)=TRUE))</f>
        <v>0</v>
      </c>
      <c r="L1956" s="4" t="b">
        <f>AND(((G1956 &lt;&gt; "plain")=TRUE), ((G1956 &lt;&gt; "")=TRUE))</f>
        <v>0</v>
      </c>
      <c r="M1956" s="4" t="str">
        <f>IF(((E1956)=TRUE),  C1956 &amp; "|" &amp; H1956,  "")</f>
        <v>principal-process-steward|VerificationOutcomes</v>
      </c>
      <c r="N1956" s="3" t="s">
        <v>10004</v>
      </c>
    </row>
    <row r="1957">
      <c r="A1957" s="3" t="s">
        <v>11959</v>
      </c>
      <c r="B1957" s="4" t="str">
        <f>C1957 &amp; " -&gt; " &amp; D1957</f>
        <v>principal-process-steward -&gt; VerificationOutcomes.IsIndependentHumanObservation</v>
      </c>
      <c r="C1957" s="3" t="s">
        <v>9772</v>
      </c>
      <c r="D1957" s="3" t="s">
        <v>4388</v>
      </c>
      <c r="E1957" s="3" t="b">
        <v>1</v>
      </c>
      <c r="F1957" s="3" t="b">
        <v>0</v>
      </c>
      <c r="G1957" s="3" t="s">
        <v>10003</v>
      </c>
      <c r="H1957" s="4" t="str">
        <f>_xlfn.IFNA(IF(((INDEX(RulebookFields!C2:C1898, MATCH(D1957,RulebookFields!A2:A1898, 0))="")=TRUE),  "",  INDEX(RulebookFields!C2:C1898, MATCH(D1957,RulebookFields!A2:A1898, 0))), "")</f>
        <v>VerificationOutcomes</v>
      </c>
      <c r="I1957" s="4" t="str">
        <f>_xlfn.IFNA(IF(((INDEX(RulebookFields!D2:D1898, MATCH(D1957,RulebookFields!A2:A1898, 0))="")=TRUE),  "",  INDEX(RulebookFields!D2:D1898, MATCH(D1957,RulebookFields!A2:A1898, 0))), "")</f>
        <v>IsIndependentHumanObservation</v>
      </c>
      <c r="J1957" s="4" t="b">
        <f>_xlfn.IFNA(IF(((INDEX(RulebookFields!I2:I1898, MATCH(D1957,RulebookFields!A2:A1898, 0))="")=TRUE),  "",  INDEX(RulebookFields!I2:I1898, MATCH(D1957,RulebookFields!A2:A1898, 0))), "")</f>
        <v>1</v>
      </c>
      <c r="K1957" s="4" t="b">
        <f>AND(((F1957)=TRUE), ((J1957)=TRUE))</f>
        <v>0</v>
      </c>
      <c r="L1957" s="4" t="b">
        <f>AND(((G1957 &lt;&gt; "plain")=TRUE), ((G1957 &lt;&gt; "")=TRUE))</f>
        <v>0</v>
      </c>
      <c r="M1957" s="4" t="str">
        <f>IF(((E1957)=TRUE),  C1957 &amp; "|" &amp; H1957,  "")</f>
        <v>principal-process-steward|VerificationOutcomes</v>
      </c>
      <c r="N1957" s="3" t="s">
        <v>10004</v>
      </c>
    </row>
    <row r="1958">
      <c r="A1958" s="3" t="s">
        <v>11960</v>
      </c>
      <c r="B1958" s="4" t="str">
        <f>C1958 &amp; " -&gt; " &amp; D1958</f>
        <v>principal-process-steward -&gt; VerificationOutcomes.IndependentObservationExecutionKey</v>
      </c>
      <c r="C1958" s="3" t="s">
        <v>9772</v>
      </c>
      <c r="D1958" s="3" t="s">
        <v>4391</v>
      </c>
      <c r="E1958" s="3" t="b">
        <v>1</v>
      </c>
      <c r="F1958" s="3" t="b">
        <v>0</v>
      </c>
      <c r="G1958" s="3" t="s">
        <v>10003</v>
      </c>
      <c r="H1958" s="4" t="str">
        <f>_xlfn.IFNA(IF(((INDEX(RulebookFields!C2:C1898, MATCH(D1958,RulebookFields!A2:A1898, 0))="")=TRUE),  "",  INDEX(RulebookFields!C2:C1898, MATCH(D1958,RulebookFields!A2:A1898, 0))), "")</f>
        <v>VerificationOutcomes</v>
      </c>
      <c r="I1958" s="4" t="str">
        <f>_xlfn.IFNA(IF(((INDEX(RulebookFields!D2:D1898, MATCH(D1958,RulebookFields!A2:A1898, 0))="")=TRUE),  "",  INDEX(RulebookFields!D2:D1898, MATCH(D1958,RulebookFields!A2:A1898, 0))), "")</f>
        <v>IndependentObservationExecutionKey</v>
      </c>
      <c r="J1958" s="4" t="b">
        <f>_xlfn.IFNA(IF(((INDEX(RulebookFields!I2:I1898, MATCH(D1958,RulebookFields!A2:A1898, 0))="")=TRUE),  "",  INDEX(RulebookFields!I2:I1898, MATCH(D1958,RulebookFields!A2:A1898, 0))), "")</f>
        <v>1</v>
      </c>
      <c r="K1958" s="4" t="b">
        <f>AND(((F1958)=TRUE), ((J1958)=TRUE))</f>
        <v>0</v>
      </c>
      <c r="L1958" s="4" t="b">
        <f>AND(((G1958 &lt;&gt; "plain")=TRUE), ((G1958 &lt;&gt; "")=TRUE))</f>
        <v>0</v>
      </c>
      <c r="M1958" s="4" t="str">
        <f>IF(((E1958)=TRUE),  C1958 &amp; "|" &amp; H1958,  "")</f>
        <v>principal-process-steward|VerificationOutcomes</v>
      </c>
      <c r="N1958" s="3" t="s">
        <v>10004</v>
      </c>
    </row>
    <row r="1959">
      <c r="A1959" s="3" t="s">
        <v>11961</v>
      </c>
      <c r="B1959" s="4" t="str">
        <f>C1959 &amp; " -&gt; " &amp; D1959</f>
        <v>principal-process-steward -&gt; VerificationOutcomes.ParentProcedureExecutionOfOutcome</v>
      </c>
      <c r="C1959" s="3" t="s">
        <v>9772</v>
      </c>
      <c r="D1959" s="3" t="s">
        <v>4394</v>
      </c>
      <c r="E1959" s="3" t="b">
        <v>1</v>
      </c>
      <c r="F1959" s="3" t="b">
        <v>0</v>
      </c>
      <c r="G1959" s="3" t="s">
        <v>10003</v>
      </c>
      <c r="H1959" s="4" t="str">
        <f>_xlfn.IFNA(IF(((INDEX(RulebookFields!C2:C1898, MATCH(D1959,RulebookFields!A2:A1898, 0))="")=TRUE),  "",  INDEX(RulebookFields!C2:C1898, MATCH(D1959,RulebookFields!A2:A1898, 0))), "")</f>
        <v>VerificationOutcomes</v>
      </c>
      <c r="I1959" s="4" t="str">
        <f>_xlfn.IFNA(IF(((INDEX(RulebookFields!D2:D1898, MATCH(D1959,RulebookFields!A2:A1898, 0))="")=TRUE),  "",  INDEX(RulebookFields!D2:D1898, MATCH(D1959,RulebookFields!A2:A1898, 0))), "")</f>
        <v>ParentProcedureExecutionOfOutcome</v>
      </c>
      <c r="J1959" s="4" t="b">
        <f>_xlfn.IFNA(IF(((INDEX(RulebookFields!I2:I1898, MATCH(D1959,RulebookFields!A2:A1898, 0))="")=TRUE),  "",  INDEX(RulebookFields!I2:I1898, MATCH(D1959,RulebookFields!A2:A1898, 0))), "")</f>
        <v>1</v>
      </c>
      <c r="K1959" s="4" t="b">
        <f>AND(((F1959)=TRUE), ((J1959)=TRUE))</f>
        <v>0</v>
      </c>
      <c r="L1959" s="4" t="b">
        <f>AND(((G1959 &lt;&gt; "plain")=TRUE), ((G1959 &lt;&gt; "")=TRUE))</f>
        <v>0</v>
      </c>
      <c r="M1959" s="4" t="str">
        <f>IF(((E1959)=TRUE),  C1959 &amp; "|" &amp; H1959,  "")</f>
        <v>principal-process-steward|VerificationOutcomes</v>
      </c>
      <c r="N1959" s="3" t="s">
        <v>10004</v>
      </c>
    </row>
    <row r="1960">
      <c r="A1960" s="3" t="s">
        <v>11962</v>
      </c>
      <c r="B1960" s="4" t="str">
        <f>C1960 &amp; " -&gt; " &amp; D1960</f>
        <v>principal-process-steward -&gt; VerificationOutcomes.SemanticTypeIri</v>
      </c>
      <c r="C1960" s="3" t="s">
        <v>9772</v>
      </c>
      <c r="D1960" s="3" t="s">
        <v>4396</v>
      </c>
      <c r="E1960" s="3" t="b">
        <v>1</v>
      </c>
      <c r="F1960" s="3" t="b">
        <v>0</v>
      </c>
      <c r="G1960" s="3" t="s">
        <v>10003</v>
      </c>
      <c r="H1960" s="4" t="str">
        <f>_xlfn.IFNA(IF(((INDEX(RulebookFields!C2:C1898, MATCH(D1960,RulebookFields!A2:A1898, 0))="")=TRUE),  "",  INDEX(RulebookFields!C2:C1898, MATCH(D1960,RulebookFields!A2:A1898, 0))), "")</f>
        <v>VerificationOutcomes</v>
      </c>
      <c r="I1960" s="4" t="str">
        <f>_xlfn.IFNA(IF(((INDEX(RulebookFields!D2:D1898, MATCH(D1960,RulebookFields!A2:A1898, 0))="")=TRUE),  "",  INDEX(RulebookFields!D2:D1898, MATCH(D1960,RulebookFields!A2:A1898, 0))), "")</f>
        <v>SemanticTypeIri</v>
      </c>
      <c r="J1960" s="4" t="b">
        <f>_xlfn.IFNA(IF(((INDEX(RulebookFields!I2:I1898, MATCH(D1960,RulebookFields!A2:A1898, 0))="")=TRUE),  "",  INDEX(RulebookFields!I2:I1898, MATCH(D1960,RulebookFields!A2:A1898, 0))), "")</f>
        <v>0</v>
      </c>
      <c r="K1960" s="4" t="b">
        <f>AND(((F1960)=TRUE), ((J1960)=TRUE))</f>
        <v>0</v>
      </c>
      <c r="L1960" s="4" t="b">
        <f>AND(((G1960 &lt;&gt; "plain")=TRUE), ((G1960 &lt;&gt; "")=TRUE))</f>
        <v>0</v>
      </c>
      <c r="M1960" s="4" t="str">
        <f>IF(((E1960)=TRUE),  C1960 &amp; "|" &amp; H1960,  "")</f>
        <v>principal-process-steward|VerificationOutcomes</v>
      </c>
      <c r="N1960" s="3" t="s">
        <v>10004</v>
      </c>
    </row>
    <row r="1961">
      <c r="A1961" s="3" t="s">
        <v>11963</v>
      </c>
      <c r="B1961" s="4" t="str">
        <f>C1961 &amp; " -&gt; " &amp; D1961</f>
        <v>principal-process-steward -&gt; WitnessLoops.WitnessLoopId</v>
      </c>
      <c r="C1961" s="3" t="s">
        <v>9772</v>
      </c>
      <c r="D1961" s="3" t="s">
        <v>4139</v>
      </c>
      <c r="E1961" s="3" t="b">
        <v>1</v>
      </c>
      <c r="F1961" s="3" t="b">
        <v>0</v>
      </c>
      <c r="G1961" s="3" t="s">
        <v>10003</v>
      </c>
      <c r="H1961" s="4" t="str">
        <f>_xlfn.IFNA(IF(((INDEX(RulebookFields!C2:C1898, MATCH(D1961,RulebookFields!A2:A1898, 0))="")=TRUE),  "",  INDEX(RulebookFields!C2:C1898, MATCH(D1961,RulebookFields!A2:A1898, 0))), "")</f>
        <v>WitnessLoops</v>
      </c>
      <c r="I1961" s="4" t="str">
        <f>_xlfn.IFNA(IF(((INDEX(RulebookFields!D2:D1898, MATCH(D1961,RulebookFields!A2:A1898, 0))="")=TRUE),  "",  INDEX(RulebookFields!D2:D1898, MATCH(D1961,RulebookFields!A2:A1898, 0))), "")</f>
        <v>WitnessLoopId</v>
      </c>
      <c r="J1961" s="4" t="b">
        <f>_xlfn.IFNA(IF(((INDEX(RulebookFields!I2:I1898, MATCH(D1961,RulebookFields!A2:A1898, 0))="")=TRUE),  "",  INDEX(RulebookFields!I2:I1898, MATCH(D1961,RulebookFields!A2:A1898, 0))), "")</f>
        <v>0</v>
      </c>
      <c r="K1961" s="4" t="b">
        <f>AND(((F1961)=TRUE), ((J1961)=TRUE))</f>
        <v>0</v>
      </c>
      <c r="L1961" s="4" t="b">
        <f>AND(((G1961 &lt;&gt; "plain")=TRUE), ((G1961 &lt;&gt; "")=TRUE))</f>
        <v>0</v>
      </c>
      <c r="M1961" s="4" t="str">
        <f>IF(((E1961)=TRUE),  C1961 &amp; "|" &amp; H1961,  "")</f>
        <v>principal-process-steward|WitnessLoops</v>
      </c>
      <c r="N1961" s="3" t="s">
        <v>10004</v>
      </c>
    </row>
    <row r="1962">
      <c r="A1962" s="3" t="s">
        <v>11964</v>
      </c>
      <c r="B1962" s="4" t="str">
        <f>C1962 &amp; " -&gt; " &amp; D1962</f>
        <v>principal-process-steward -&gt; WitnessLoops.Name</v>
      </c>
      <c r="C1962" s="3" t="s">
        <v>9772</v>
      </c>
      <c r="D1962" s="3" t="s">
        <v>4141</v>
      </c>
      <c r="E1962" s="3" t="b">
        <v>1</v>
      </c>
      <c r="F1962" s="3" t="b">
        <v>0</v>
      </c>
      <c r="G1962" s="3" t="s">
        <v>10003</v>
      </c>
      <c r="H1962" s="4" t="str">
        <f>_xlfn.IFNA(IF(((INDEX(RulebookFields!C2:C1898, MATCH(D1962,RulebookFields!A2:A1898, 0))="")=TRUE),  "",  INDEX(RulebookFields!C2:C1898, MATCH(D1962,RulebookFields!A2:A1898, 0))), "")</f>
        <v>WitnessLoops</v>
      </c>
      <c r="I1962" s="4" t="str">
        <f>_xlfn.IFNA(IF(((INDEX(RulebookFields!D2:D1898, MATCH(D1962,RulebookFields!A2:A1898, 0))="")=TRUE),  "",  INDEX(RulebookFields!D2:D1898, MATCH(D1962,RulebookFields!A2:A1898, 0))), "")</f>
        <v>Name</v>
      </c>
      <c r="J1962" s="4" t="b">
        <f>_xlfn.IFNA(IF(((INDEX(RulebookFields!I2:I1898, MATCH(D1962,RulebookFields!A2:A1898, 0))="")=TRUE),  "",  INDEX(RulebookFields!I2:I1898, MATCH(D1962,RulebookFields!A2:A1898, 0))), "")</f>
        <v>1</v>
      </c>
      <c r="K1962" s="4" t="b">
        <f>AND(((F1962)=TRUE), ((J1962)=TRUE))</f>
        <v>0</v>
      </c>
      <c r="L1962" s="4" t="b">
        <f>AND(((G1962 &lt;&gt; "plain")=TRUE), ((G1962 &lt;&gt; "")=TRUE))</f>
        <v>0</v>
      </c>
      <c r="M1962" s="4" t="str">
        <f>IF(((E1962)=TRUE),  C1962 &amp; "|" &amp; H1962,  "")</f>
        <v>principal-process-steward|WitnessLoops</v>
      </c>
      <c r="N1962" s="3" t="s">
        <v>10004</v>
      </c>
    </row>
    <row r="1963">
      <c r="A1963" s="3" t="s">
        <v>11965</v>
      </c>
      <c r="B1963" s="4" t="str">
        <f>C1963 &amp; " -&gt; " &amp; D1963</f>
        <v>principal-process-steward -&gt; WitnessLoops.LoopNumber</v>
      </c>
      <c r="C1963" s="3" t="s">
        <v>9772</v>
      </c>
      <c r="D1963" s="3" t="s">
        <v>4143</v>
      </c>
      <c r="E1963" s="3" t="b">
        <v>1</v>
      </c>
      <c r="F1963" s="3" t="b">
        <v>0</v>
      </c>
      <c r="G1963" s="3" t="s">
        <v>10003</v>
      </c>
      <c r="H1963" s="4" t="str">
        <f>_xlfn.IFNA(IF(((INDEX(RulebookFields!C2:C1898, MATCH(D1963,RulebookFields!A2:A1898, 0))="")=TRUE),  "",  INDEX(RulebookFields!C2:C1898, MATCH(D1963,RulebookFields!A2:A1898, 0))), "")</f>
        <v>WitnessLoops</v>
      </c>
      <c r="I1963" s="4" t="str">
        <f>_xlfn.IFNA(IF(((INDEX(RulebookFields!D2:D1898, MATCH(D1963,RulebookFields!A2:A1898, 0))="")=TRUE),  "",  INDEX(RulebookFields!D2:D1898, MATCH(D1963,RulebookFields!A2:A1898, 0))), "")</f>
        <v>LoopNumber</v>
      </c>
      <c r="J1963" s="4" t="b">
        <f>_xlfn.IFNA(IF(((INDEX(RulebookFields!I2:I1898, MATCH(D1963,RulebookFields!A2:A1898, 0))="")=TRUE),  "",  INDEX(RulebookFields!I2:I1898, MATCH(D1963,RulebookFields!A2:A1898, 0))), "")</f>
        <v>0</v>
      </c>
      <c r="K1963" s="4" t="b">
        <f>AND(((F1963)=TRUE), ((J1963)=TRUE))</f>
        <v>0</v>
      </c>
      <c r="L1963" s="4" t="b">
        <f>AND(((G1963 &lt;&gt; "plain")=TRUE), ((G1963 &lt;&gt; "")=TRUE))</f>
        <v>0</v>
      </c>
      <c r="M1963" s="4" t="str">
        <f>IF(((E1963)=TRUE),  C1963 &amp; "|" &amp; H1963,  "")</f>
        <v>principal-process-steward|WitnessLoops</v>
      </c>
      <c r="N1963" s="3" t="s">
        <v>10004</v>
      </c>
    </row>
    <row r="1964">
      <c r="A1964" s="3" t="s">
        <v>11966</v>
      </c>
      <c r="B1964" s="4" t="str">
        <f>C1964 &amp; " -&gt; " &amp; D1964</f>
        <v>principal-process-steward -&gt; WitnessLoops.Title</v>
      </c>
      <c r="C1964" s="3" t="s">
        <v>9772</v>
      </c>
      <c r="D1964" s="3" t="s">
        <v>4144</v>
      </c>
      <c r="E1964" s="3" t="b">
        <v>1</v>
      </c>
      <c r="F1964" s="3" t="b">
        <v>0</v>
      </c>
      <c r="G1964" s="3" t="s">
        <v>10003</v>
      </c>
      <c r="H1964" s="4" t="str">
        <f>_xlfn.IFNA(IF(((INDEX(RulebookFields!C2:C1898, MATCH(D1964,RulebookFields!A2:A1898, 0))="")=TRUE),  "",  INDEX(RulebookFields!C2:C1898, MATCH(D1964,RulebookFields!A2:A1898, 0))), "")</f>
        <v>WitnessLoops</v>
      </c>
      <c r="I1964" s="4" t="str">
        <f>_xlfn.IFNA(IF(((INDEX(RulebookFields!D2:D1898, MATCH(D1964,RulebookFields!A2:A1898, 0))="")=TRUE),  "",  INDEX(RulebookFields!D2:D1898, MATCH(D1964,RulebookFields!A2:A1898, 0))), "")</f>
        <v>Title</v>
      </c>
      <c r="J1964" s="4" t="b">
        <f>_xlfn.IFNA(IF(((INDEX(RulebookFields!I2:I1898, MATCH(D1964,RulebookFields!A2:A1898, 0))="")=TRUE),  "",  INDEX(RulebookFields!I2:I1898, MATCH(D1964,RulebookFields!A2:A1898, 0))), "")</f>
        <v>0</v>
      </c>
      <c r="K1964" s="4" t="b">
        <f>AND(((F1964)=TRUE), ((J1964)=TRUE))</f>
        <v>0</v>
      </c>
      <c r="L1964" s="4" t="b">
        <f>AND(((G1964 &lt;&gt; "plain")=TRUE), ((G1964 &lt;&gt; "")=TRUE))</f>
        <v>0</v>
      </c>
      <c r="M1964" s="4" t="str">
        <f>IF(((E1964)=TRUE),  C1964 &amp; "|" &amp; H1964,  "")</f>
        <v>principal-process-steward|WitnessLoops</v>
      </c>
      <c r="N1964" s="3" t="s">
        <v>10004</v>
      </c>
    </row>
    <row r="1965">
      <c r="A1965" s="3" t="s">
        <v>11967</v>
      </c>
      <c r="B1965" s="4" t="str">
        <f>C1965 &amp; " -&gt; " &amp; D1965</f>
        <v>principal-process-steward -&gt; WitnessLoops.Premise</v>
      </c>
      <c r="C1965" s="3" t="s">
        <v>9772</v>
      </c>
      <c r="D1965" s="3" t="s">
        <v>4145</v>
      </c>
      <c r="E1965" s="3" t="b">
        <v>1</v>
      </c>
      <c r="F1965" s="3" t="b">
        <v>0</v>
      </c>
      <c r="G1965" s="3" t="s">
        <v>10003</v>
      </c>
      <c r="H1965" s="4" t="str">
        <f>_xlfn.IFNA(IF(((INDEX(RulebookFields!C2:C1898, MATCH(D1965,RulebookFields!A2:A1898, 0))="")=TRUE),  "",  INDEX(RulebookFields!C2:C1898, MATCH(D1965,RulebookFields!A2:A1898, 0))), "")</f>
        <v>WitnessLoops</v>
      </c>
      <c r="I1965" s="4" t="str">
        <f>_xlfn.IFNA(IF(((INDEX(RulebookFields!D2:D1898, MATCH(D1965,RulebookFields!A2:A1898, 0))="")=TRUE),  "",  INDEX(RulebookFields!D2:D1898, MATCH(D1965,RulebookFields!A2:A1898, 0))), "")</f>
        <v>Premise</v>
      </c>
      <c r="J1965" s="4" t="b">
        <f>_xlfn.IFNA(IF(((INDEX(RulebookFields!I2:I1898, MATCH(D1965,RulebookFields!A2:A1898, 0))="")=TRUE),  "",  INDEX(RulebookFields!I2:I1898, MATCH(D1965,RulebookFields!A2:A1898, 0))), "")</f>
        <v>0</v>
      </c>
      <c r="K1965" s="4" t="b">
        <f>AND(((F1965)=TRUE), ((J1965)=TRUE))</f>
        <v>0</v>
      </c>
      <c r="L1965" s="4" t="b">
        <f>AND(((G1965 &lt;&gt; "plain")=TRUE), ((G1965 &lt;&gt; "")=TRUE))</f>
        <v>0</v>
      </c>
      <c r="M1965" s="4" t="str">
        <f>IF(((E1965)=TRUE),  C1965 &amp; "|" &amp; H1965,  "")</f>
        <v>principal-process-steward|WitnessLoops</v>
      </c>
      <c r="N1965" s="3" t="s">
        <v>10004</v>
      </c>
    </row>
    <row r="1966">
      <c r="A1966" s="3" t="s">
        <v>11968</v>
      </c>
      <c r="B1966" s="4" t="str">
        <f>C1966 &amp; " -&gt; " &amp; D1966</f>
        <v>principal-process-steward -&gt; WitnessLoops.StartedAt</v>
      </c>
      <c r="C1966" s="3" t="s">
        <v>9772</v>
      </c>
      <c r="D1966" s="3" t="s">
        <v>4146</v>
      </c>
      <c r="E1966" s="3" t="b">
        <v>1</v>
      </c>
      <c r="F1966" s="3" t="b">
        <v>0</v>
      </c>
      <c r="G1966" s="3" t="s">
        <v>10003</v>
      </c>
      <c r="H1966" s="4" t="str">
        <f>_xlfn.IFNA(IF(((INDEX(RulebookFields!C2:C1898, MATCH(D1966,RulebookFields!A2:A1898, 0))="")=TRUE),  "",  INDEX(RulebookFields!C2:C1898, MATCH(D1966,RulebookFields!A2:A1898, 0))), "")</f>
        <v>WitnessLoops</v>
      </c>
      <c r="I1966" s="4" t="str">
        <f>_xlfn.IFNA(IF(((INDEX(RulebookFields!D2:D1898, MATCH(D1966,RulebookFields!A2:A1898, 0))="")=TRUE),  "",  INDEX(RulebookFields!D2:D1898, MATCH(D1966,RulebookFields!A2:A1898, 0))), "")</f>
        <v>StartedAt</v>
      </c>
      <c r="J1966" s="4" t="b">
        <f>_xlfn.IFNA(IF(((INDEX(RulebookFields!I2:I1898, MATCH(D1966,RulebookFields!A2:A1898, 0))="")=TRUE),  "",  INDEX(RulebookFields!I2:I1898, MATCH(D1966,RulebookFields!A2:A1898, 0))), "")</f>
        <v>0</v>
      </c>
      <c r="K1966" s="4" t="b">
        <f>AND(((F1966)=TRUE), ((J1966)=TRUE))</f>
        <v>0</v>
      </c>
      <c r="L1966" s="4" t="b">
        <f>AND(((G1966 &lt;&gt; "plain")=TRUE), ((G1966 &lt;&gt; "")=TRUE))</f>
        <v>0</v>
      </c>
      <c r="M1966" s="4" t="str">
        <f>IF(((E1966)=TRUE),  C1966 &amp; "|" &amp; H1966,  "")</f>
        <v>principal-process-steward|WitnessLoops</v>
      </c>
      <c r="N1966" s="3" t="s">
        <v>10004</v>
      </c>
    </row>
    <row r="1967">
      <c r="A1967" s="3" t="s">
        <v>11969</v>
      </c>
      <c r="B1967" s="4" t="str">
        <f>C1967 &amp; " -&gt; " &amp; D1967</f>
        <v>principal-process-steward -&gt; WitnessLoops.CompletedAt</v>
      </c>
      <c r="C1967" s="3" t="s">
        <v>9772</v>
      </c>
      <c r="D1967" s="3" t="s">
        <v>4147</v>
      </c>
      <c r="E1967" s="3" t="b">
        <v>1</v>
      </c>
      <c r="F1967" s="3" t="b">
        <v>0</v>
      </c>
      <c r="G1967" s="3" t="s">
        <v>10003</v>
      </c>
      <c r="H1967" s="4" t="str">
        <f>_xlfn.IFNA(IF(((INDEX(RulebookFields!C2:C1898, MATCH(D1967,RulebookFields!A2:A1898, 0))="")=TRUE),  "",  INDEX(RulebookFields!C2:C1898, MATCH(D1967,RulebookFields!A2:A1898, 0))), "")</f>
        <v>WitnessLoops</v>
      </c>
      <c r="I1967" s="4" t="str">
        <f>_xlfn.IFNA(IF(((INDEX(RulebookFields!D2:D1898, MATCH(D1967,RulebookFields!A2:A1898, 0))="")=TRUE),  "",  INDEX(RulebookFields!D2:D1898, MATCH(D1967,RulebookFields!A2:A1898, 0))), "")</f>
        <v>CompletedAt</v>
      </c>
      <c r="J1967" s="4" t="b">
        <f>_xlfn.IFNA(IF(((INDEX(RulebookFields!I2:I1898, MATCH(D1967,RulebookFields!A2:A1898, 0))="")=TRUE),  "",  INDEX(RulebookFields!I2:I1898, MATCH(D1967,RulebookFields!A2:A1898, 0))), "")</f>
        <v>0</v>
      </c>
      <c r="K1967" s="4" t="b">
        <f>AND(((F1967)=TRUE), ((J1967)=TRUE))</f>
        <v>0</v>
      </c>
      <c r="L1967" s="4" t="b">
        <f>AND(((G1967 &lt;&gt; "plain")=TRUE), ((G1967 &lt;&gt; "")=TRUE))</f>
        <v>0</v>
      </c>
      <c r="M1967" s="4" t="str">
        <f>IF(((E1967)=TRUE),  C1967 &amp; "|" &amp; H1967,  "")</f>
        <v>principal-process-steward|WitnessLoops</v>
      </c>
      <c r="N1967" s="3" t="s">
        <v>10004</v>
      </c>
    </row>
    <row r="1968">
      <c r="A1968" s="3" t="s">
        <v>11970</v>
      </c>
      <c r="B1968" s="4" t="str">
        <f>C1968 &amp; " -&gt; " &amp; D1968</f>
        <v>principal-process-steward -&gt; WitnessLoops.QuestionCount</v>
      </c>
      <c r="C1968" s="3" t="s">
        <v>9772</v>
      </c>
      <c r="D1968" s="3" t="s">
        <v>4148</v>
      </c>
      <c r="E1968" s="3" t="b">
        <v>1</v>
      </c>
      <c r="F1968" s="3" t="b">
        <v>0</v>
      </c>
      <c r="G1968" s="3" t="s">
        <v>10003</v>
      </c>
      <c r="H1968" s="4" t="str">
        <f>_xlfn.IFNA(IF(((INDEX(RulebookFields!C2:C1898, MATCH(D1968,RulebookFields!A2:A1898, 0))="")=TRUE),  "",  INDEX(RulebookFields!C2:C1898, MATCH(D1968,RulebookFields!A2:A1898, 0))), "")</f>
        <v>WitnessLoops</v>
      </c>
      <c r="I1968" s="4" t="str">
        <f>_xlfn.IFNA(IF(((INDEX(RulebookFields!D2:D1898, MATCH(D1968,RulebookFields!A2:A1898, 0))="")=TRUE),  "",  INDEX(RulebookFields!D2:D1898, MATCH(D1968,RulebookFields!A2:A1898, 0))), "")</f>
        <v>QuestionCount</v>
      </c>
      <c r="J1968" s="4" t="b">
        <f>_xlfn.IFNA(IF(((INDEX(RulebookFields!I2:I1898, MATCH(D1968,RulebookFields!A2:A1898, 0))="")=TRUE),  "",  INDEX(RulebookFields!I2:I1898, MATCH(D1968,RulebookFields!A2:A1898, 0))), "")</f>
        <v>1</v>
      </c>
      <c r="K1968" s="4" t="b">
        <f>AND(((F1968)=TRUE), ((J1968)=TRUE))</f>
        <v>0</v>
      </c>
      <c r="L1968" s="4" t="b">
        <f>AND(((G1968 &lt;&gt; "plain")=TRUE), ((G1968 &lt;&gt; "")=TRUE))</f>
        <v>0</v>
      </c>
      <c r="M1968" s="4" t="str">
        <f>IF(((E1968)=TRUE),  C1968 &amp; "|" &amp; H1968,  "")</f>
        <v>principal-process-steward|WitnessLoops</v>
      </c>
      <c r="N1968" s="3" t="s">
        <v>10004</v>
      </c>
    </row>
    <row r="1969">
      <c r="A1969" s="3" t="s">
        <v>11971</v>
      </c>
      <c r="B1969" s="4" t="str">
        <f>C1969 &amp; " -&gt; " &amp; D1969</f>
        <v>principal-process-steward -&gt; WitnessLoops.IsComplete</v>
      </c>
      <c r="C1969" s="3" t="s">
        <v>9772</v>
      </c>
      <c r="D1969" s="3" t="s">
        <v>4150</v>
      </c>
      <c r="E1969" s="3" t="b">
        <v>1</v>
      </c>
      <c r="F1969" s="3" t="b">
        <v>0</v>
      </c>
      <c r="G1969" s="3" t="s">
        <v>10003</v>
      </c>
      <c r="H1969" s="4" t="str">
        <f>_xlfn.IFNA(IF(((INDEX(RulebookFields!C2:C1898, MATCH(D1969,RulebookFields!A2:A1898, 0))="")=TRUE),  "",  INDEX(RulebookFields!C2:C1898, MATCH(D1969,RulebookFields!A2:A1898, 0))), "")</f>
        <v>WitnessLoops</v>
      </c>
      <c r="I1969" s="4" t="str">
        <f>_xlfn.IFNA(IF(((INDEX(RulebookFields!D2:D1898, MATCH(D1969,RulebookFields!A2:A1898, 0))="")=TRUE),  "",  INDEX(RulebookFields!D2:D1898, MATCH(D1969,RulebookFields!A2:A1898, 0))), "")</f>
        <v>IsComplete</v>
      </c>
      <c r="J1969" s="4" t="b">
        <f>_xlfn.IFNA(IF(((INDEX(RulebookFields!I2:I1898, MATCH(D1969,RulebookFields!A2:A1898, 0))="")=TRUE),  "",  INDEX(RulebookFields!I2:I1898, MATCH(D1969,RulebookFields!A2:A1898, 0))), "")</f>
        <v>1</v>
      </c>
      <c r="K1969" s="4" t="b">
        <f>AND(((F1969)=TRUE), ((J1969)=TRUE))</f>
        <v>0</v>
      </c>
      <c r="L1969" s="4" t="b">
        <f>AND(((G1969 &lt;&gt; "plain")=TRUE), ((G1969 &lt;&gt; "")=TRUE))</f>
        <v>0</v>
      </c>
      <c r="M1969" s="4" t="str">
        <f>IF(((E1969)=TRUE),  C1969 &amp; "|" &amp; H1969,  "")</f>
        <v>principal-process-steward|WitnessLoops</v>
      </c>
      <c r="N1969" s="3" t="s">
        <v>10004</v>
      </c>
    </row>
    <row r="1970">
      <c r="A1970" s="3" t="s">
        <v>11972</v>
      </c>
      <c r="B1970" s="4" t="str">
        <f>C1970 &amp; " -&gt; " &amp; D1970</f>
        <v>principal-process-steward -&gt; WitnessLoops.FieldsAfter</v>
      </c>
      <c r="C1970" s="3" t="s">
        <v>9772</v>
      </c>
      <c r="D1970" s="3" t="s">
        <v>4152</v>
      </c>
      <c r="E1970" s="3" t="b">
        <v>1</v>
      </c>
      <c r="F1970" s="3" t="b">
        <v>0</v>
      </c>
      <c r="G1970" s="3" t="s">
        <v>10003</v>
      </c>
      <c r="H1970" s="4" t="str">
        <f>_xlfn.IFNA(IF(((INDEX(RulebookFields!C2:C1898, MATCH(D1970,RulebookFields!A2:A1898, 0))="")=TRUE),  "",  INDEX(RulebookFields!C2:C1898, MATCH(D1970,RulebookFields!A2:A1898, 0))), "")</f>
        <v>WitnessLoops</v>
      </c>
      <c r="I1970" s="4" t="str">
        <f>_xlfn.IFNA(IF(((INDEX(RulebookFields!D2:D1898, MATCH(D1970,RulebookFields!A2:A1898, 0))="")=TRUE),  "",  INDEX(RulebookFields!D2:D1898, MATCH(D1970,RulebookFields!A2:A1898, 0))), "")</f>
        <v>FieldsAfter</v>
      </c>
      <c r="J1970" s="4" t="b">
        <f>_xlfn.IFNA(IF(((INDEX(RulebookFields!I2:I1898, MATCH(D1970,RulebookFields!A2:A1898, 0))="")=TRUE),  "",  INDEX(RulebookFields!I2:I1898, MATCH(D1970,RulebookFields!A2:A1898, 0))), "")</f>
        <v>0</v>
      </c>
      <c r="K1970" s="4" t="b">
        <f>AND(((F1970)=TRUE), ((J1970)=TRUE))</f>
        <v>0</v>
      </c>
      <c r="L1970" s="4" t="b">
        <f>AND(((G1970 &lt;&gt; "plain")=TRUE), ((G1970 &lt;&gt; "")=TRUE))</f>
        <v>0</v>
      </c>
      <c r="M1970" s="4" t="str">
        <f>IF(((E1970)=TRUE),  C1970 &amp; "|" &amp; H1970,  "")</f>
        <v>principal-process-steward|WitnessLoops</v>
      </c>
      <c r="N1970" s="3" t="s">
        <v>10004</v>
      </c>
    </row>
    <row r="1971">
      <c r="A1971" s="3" t="s">
        <v>11973</v>
      </c>
      <c r="B1971" s="4" t="str">
        <f>C1971 &amp; " -&gt; " &amp; D1971</f>
        <v>principal-process-steward -&gt; WitnessLoops.DerivedAfter</v>
      </c>
      <c r="C1971" s="3" t="s">
        <v>9772</v>
      </c>
      <c r="D1971" s="3" t="s">
        <v>4153</v>
      </c>
      <c r="E1971" s="3" t="b">
        <v>1</v>
      </c>
      <c r="F1971" s="3" t="b">
        <v>0</v>
      </c>
      <c r="G1971" s="3" t="s">
        <v>10003</v>
      </c>
      <c r="H1971" s="4" t="str">
        <f>_xlfn.IFNA(IF(((INDEX(RulebookFields!C2:C1898, MATCH(D1971,RulebookFields!A2:A1898, 0))="")=TRUE),  "",  INDEX(RulebookFields!C2:C1898, MATCH(D1971,RulebookFields!A2:A1898, 0))), "")</f>
        <v>WitnessLoops</v>
      </c>
      <c r="I1971" s="4" t="str">
        <f>_xlfn.IFNA(IF(((INDEX(RulebookFields!D2:D1898, MATCH(D1971,RulebookFields!A2:A1898, 0))="")=TRUE),  "",  INDEX(RulebookFields!D2:D1898, MATCH(D1971,RulebookFields!A2:A1898, 0))), "")</f>
        <v>DerivedAfter</v>
      </c>
      <c r="J1971" s="4" t="b">
        <f>_xlfn.IFNA(IF(((INDEX(RulebookFields!I2:I1898, MATCH(D1971,RulebookFields!A2:A1898, 0))="")=TRUE),  "",  INDEX(RulebookFields!I2:I1898, MATCH(D1971,RulebookFields!A2:A1898, 0))), "")</f>
        <v>0</v>
      </c>
      <c r="K1971" s="4" t="b">
        <f>AND(((F1971)=TRUE), ((J1971)=TRUE))</f>
        <v>0</v>
      </c>
      <c r="L1971" s="4" t="b">
        <f>AND(((G1971 &lt;&gt; "plain")=TRUE), ((G1971 &lt;&gt; "")=TRUE))</f>
        <v>0</v>
      </c>
      <c r="M1971" s="4" t="str">
        <f>IF(((E1971)=TRUE),  C1971 &amp; "|" &amp; H1971,  "")</f>
        <v>principal-process-steward|WitnessLoops</v>
      </c>
      <c r="N1971" s="3" t="s">
        <v>10004</v>
      </c>
    </row>
    <row r="1972">
      <c r="A1972" s="3" t="s">
        <v>11974</v>
      </c>
      <c r="B1972" s="4" t="str">
        <f>C1972 &amp; " -&gt; " &amp; D1972</f>
        <v>principal-process-steward -&gt; WitnessLoops.WitnessedAfter</v>
      </c>
      <c r="C1972" s="3" t="s">
        <v>9772</v>
      </c>
      <c r="D1972" s="3" t="s">
        <v>4154</v>
      </c>
      <c r="E1972" s="3" t="b">
        <v>1</v>
      </c>
      <c r="F1972" s="3" t="b">
        <v>0</v>
      </c>
      <c r="G1972" s="3" t="s">
        <v>10003</v>
      </c>
      <c r="H1972" s="4" t="str">
        <f>_xlfn.IFNA(IF(((INDEX(RulebookFields!C2:C1898, MATCH(D1972,RulebookFields!A2:A1898, 0))="")=TRUE),  "",  INDEX(RulebookFields!C2:C1898, MATCH(D1972,RulebookFields!A2:A1898, 0))), "")</f>
        <v>WitnessLoops</v>
      </c>
      <c r="I1972" s="4" t="str">
        <f>_xlfn.IFNA(IF(((INDEX(RulebookFields!D2:D1898, MATCH(D1972,RulebookFields!A2:A1898, 0))="")=TRUE),  "",  INDEX(RulebookFields!D2:D1898, MATCH(D1972,RulebookFields!A2:A1898, 0))), "")</f>
        <v>WitnessedAfter</v>
      </c>
      <c r="J1972" s="4" t="b">
        <f>_xlfn.IFNA(IF(((INDEX(RulebookFields!I2:I1898, MATCH(D1972,RulebookFields!A2:A1898, 0))="")=TRUE),  "",  INDEX(RulebookFields!I2:I1898, MATCH(D1972,RulebookFields!A2:A1898, 0))), "")</f>
        <v>0</v>
      </c>
      <c r="K1972" s="4" t="b">
        <f>AND(((F1972)=TRUE), ((J1972)=TRUE))</f>
        <v>0</v>
      </c>
      <c r="L1972" s="4" t="b">
        <f>AND(((G1972 &lt;&gt; "plain")=TRUE), ((G1972 &lt;&gt; "")=TRUE))</f>
        <v>0</v>
      </c>
      <c r="M1972" s="4" t="str">
        <f>IF(((E1972)=TRUE),  C1972 &amp; "|" &amp; H1972,  "")</f>
        <v>principal-process-steward|WitnessLoops</v>
      </c>
      <c r="N1972" s="3" t="s">
        <v>10004</v>
      </c>
    </row>
    <row r="1973">
      <c r="A1973" s="3" t="s">
        <v>11975</v>
      </c>
      <c r="B1973" s="4" t="str">
        <f>C1973 &amp; " -&gt; " &amp; D1973</f>
        <v>principal-process-steward -&gt; WitnessLoops.SemanticTypeIri</v>
      </c>
      <c r="C1973" s="3" t="s">
        <v>9772</v>
      </c>
      <c r="D1973" s="3" t="s">
        <v>4155</v>
      </c>
      <c r="E1973" s="3" t="b">
        <v>1</v>
      </c>
      <c r="F1973" s="3" t="b">
        <v>0</v>
      </c>
      <c r="G1973" s="3" t="s">
        <v>10003</v>
      </c>
      <c r="H1973" s="4" t="str">
        <f>_xlfn.IFNA(IF(((INDEX(RulebookFields!C2:C1898, MATCH(D1973,RulebookFields!A2:A1898, 0))="")=TRUE),  "",  INDEX(RulebookFields!C2:C1898, MATCH(D1973,RulebookFields!A2:A1898, 0))), "")</f>
        <v>WitnessLoops</v>
      </c>
      <c r="I1973" s="4" t="str">
        <f>_xlfn.IFNA(IF(((INDEX(RulebookFields!D2:D1898, MATCH(D1973,RulebookFields!A2:A1898, 0))="")=TRUE),  "",  INDEX(RulebookFields!D2:D1898, MATCH(D1973,RulebookFields!A2:A1898, 0))), "")</f>
        <v>SemanticTypeIri</v>
      </c>
      <c r="J1973" s="4" t="b">
        <f>_xlfn.IFNA(IF(((INDEX(RulebookFields!I2:I1898, MATCH(D1973,RulebookFields!A2:A1898, 0))="")=TRUE),  "",  INDEX(RulebookFields!I2:I1898, MATCH(D1973,RulebookFields!A2:A1898, 0))), "")</f>
        <v>0</v>
      </c>
      <c r="K1973" s="4" t="b">
        <f>AND(((F1973)=TRUE), ((J1973)=TRUE))</f>
        <v>0</v>
      </c>
      <c r="L1973" s="4" t="b">
        <f>AND(((G1973 &lt;&gt; "plain")=TRUE), ((G1973 &lt;&gt; "")=TRUE))</f>
        <v>0</v>
      </c>
      <c r="M1973" s="4" t="str">
        <f>IF(((E1973)=TRUE),  C1973 &amp; "|" &amp; H1973,  "")</f>
        <v>principal-process-steward|WitnessLoops</v>
      </c>
      <c r="N1973" s="3" t="s">
        <v>10004</v>
      </c>
    </row>
    <row r="1974">
      <c r="A1974" s="3" t="s">
        <v>11976</v>
      </c>
      <c r="B1974" s="4" t="str">
        <f>C1974 &amp; " -&gt; " &amp; D1974</f>
        <v>principal-knowledge-authority -&gt; Actions.ActionId</v>
      </c>
      <c r="C1974" s="3" t="s">
        <v>9774</v>
      </c>
      <c r="D1974" s="3" t="s">
        <v>3011</v>
      </c>
      <c r="E1974" s="3" t="b">
        <v>1</v>
      </c>
      <c r="F1974" s="3" t="b">
        <v>0</v>
      </c>
      <c r="G1974" s="3" t="s">
        <v>10003</v>
      </c>
      <c r="H1974" s="4" t="str">
        <f>_xlfn.IFNA(IF(((INDEX(RulebookFields!C2:C1898, MATCH(D1974,RulebookFields!A2:A1898, 0))="")=TRUE),  "",  INDEX(RulebookFields!C2:C1898, MATCH(D1974,RulebookFields!A2:A1898, 0))), "")</f>
        <v>Actions</v>
      </c>
      <c r="I1974" s="4" t="str">
        <f>_xlfn.IFNA(IF(((INDEX(RulebookFields!D2:D1898, MATCH(D1974,RulebookFields!A2:A1898, 0))="")=TRUE),  "",  INDEX(RulebookFields!D2:D1898, MATCH(D1974,RulebookFields!A2:A1898, 0))), "")</f>
        <v>ActionId</v>
      </c>
      <c r="J1974" s="4" t="b">
        <f>_xlfn.IFNA(IF(((INDEX(RulebookFields!I2:I1898, MATCH(D1974,RulebookFields!A2:A1898, 0))="")=TRUE),  "",  INDEX(RulebookFields!I2:I1898, MATCH(D1974,RulebookFields!A2:A1898, 0))), "")</f>
        <v>0</v>
      </c>
      <c r="K1974" s="4" t="b">
        <f>AND(((F1974)=TRUE), ((J1974)=TRUE))</f>
        <v>0</v>
      </c>
      <c r="L1974" s="4" t="b">
        <f>AND(((G1974 &lt;&gt; "plain")=TRUE), ((G1974 &lt;&gt; "")=TRUE))</f>
        <v>0</v>
      </c>
      <c r="M1974" s="4" t="str">
        <f>IF(((E1974)=TRUE),  C1974 &amp; "|" &amp; H1974,  "")</f>
        <v>principal-knowledge-authority|Actions</v>
      </c>
      <c r="N1974" s="3" t="s">
        <v>10004</v>
      </c>
    </row>
    <row r="1975">
      <c r="A1975" s="3" t="s">
        <v>11977</v>
      </c>
      <c r="B1975" s="4" t="str">
        <f>C1975 &amp; " -&gt; " &amp; D1975</f>
        <v>principal-knowledge-authority -&gt; Actions.Name</v>
      </c>
      <c r="C1975" s="3" t="s">
        <v>9774</v>
      </c>
      <c r="D1975" s="3" t="s">
        <v>3012</v>
      </c>
      <c r="E1975" s="3" t="b">
        <v>1</v>
      </c>
      <c r="F1975" s="3" t="b">
        <v>0</v>
      </c>
      <c r="G1975" s="3" t="s">
        <v>10003</v>
      </c>
      <c r="H1975" s="4" t="str">
        <f>_xlfn.IFNA(IF(((INDEX(RulebookFields!C2:C1898, MATCH(D1975,RulebookFields!A2:A1898, 0))="")=TRUE),  "",  INDEX(RulebookFields!C2:C1898, MATCH(D1975,RulebookFields!A2:A1898, 0))), "")</f>
        <v>Actions</v>
      </c>
      <c r="I1975" s="4" t="str">
        <f>_xlfn.IFNA(IF(((INDEX(RulebookFields!D2:D1898, MATCH(D1975,RulebookFields!A2:A1898, 0))="")=TRUE),  "",  INDEX(RulebookFields!D2:D1898, MATCH(D1975,RulebookFields!A2:A1898, 0))), "")</f>
        <v>Name</v>
      </c>
      <c r="J1975" s="4" t="b">
        <f>_xlfn.IFNA(IF(((INDEX(RulebookFields!I2:I1898, MATCH(D1975,RulebookFields!A2:A1898, 0))="")=TRUE),  "",  INDEX(RulebookFields!I2:I1898, MATCH(D1975,RulebookFields!A2:A1898, 0))), "")</f>
        <v>1</v>
      </c>
      <c r="K1975" s="4" t="b">
        <f>AND(((F1975)=TRUE), ((J1975)=TRUE))</f>
        <v>0</v>
      </c>
      <c r="L1975" s="4" t="b">
        <f>AND(((G1975 &lt;&gt; "plain")=TRUE), ((G1975 &lt;&gt; "")=TRUE))</f>
        <v>0</v>
      </c>
      <c r="M1975" s="4" t="str">
        <f>IF(((E1975)=TRUE),  C1975 &amp; "|" &amp; H1975,  "")</f>
        <v>principal-knowledge-authority|Actions</v>
      </c>
      <c r="N1975" s="3" t="s">
        <v>10004</v>
      </c>
    </row>
    <row r="1976">
      <c r="A1976" s="3" t="s">
        <v>11978</v>
      </c>
      <c r="B1976" s="4" t="str">
        <f>C1976 &amp; " -&gt; " &amp; D1976</f>
        <v>principal-knowledge-authority -&gt; Actions.Label</v>
      </c>
      <c r="C1976" s="3" t="s">
        <v>9774</v>
      </c>
      <c r="D1976" s="3" t="s">
        <v>3013</v>
      </c>
      <c r="E1976" s="3" t="b">
        <v>1</v>
      </c>
      <c r="F1976" s="3" t="b">
        <v>0</v>
      </c>
      <c r="G1976" s="3" t="s">
        <v>10003</v>
      </c>
      <c r="H1976" s="4" t="str">
        <f>_xlfn.IFNA(IF(((INDEX(RulebookFields!C2:C1898, MATCH(D1976,RulebookFields!A2:A1898, 0))="")=TRUE),  "",  INDEX(RulebookFields!C2:C1898, MATCH(D1976,RulebookFields!A2:A1898, 0))), "")</f>
        <v>Actions</v>
      </c>
      <c r="I1976" s="4" t="str">
        <f>_xlfn.IFNA(IF(((INDEX(RulebookFields!D2:D1898, MATCH(D1976,RulebookFields!A2:A1898, 0))="")=TRUE),  "",  INDEX(RulebookFields!D2:D1898, MATCH(D1976,RulebookFields!A2:A1898, 0))), "")</f>
        <v>Label</v>
      </c>
      <c r="J1976" s="4" t="b">
        <f>_xlfn.IFNA(IF(((INDEX(RulebookFields!I2:I1898, MATCH(D1976,RulebookFields!A2:A1898, 0))="")=TRUE),  "",  INDEX(RulebookFields!I2:I1898, MATCH(D1976,RulebookFields!A2:A1898, 0))), "")</f>
        <v>0</v>
      </c>
      <c r="K1976" s="4" t="b">
        <f>AND(((F1976)=TRUE), ((J1976)=TRUE))</f>
        <v>0</v>
      </c>
      <c r="L1976" s="4" t="b">
        <f>AND(((G1976 &lt;&gt; "plain")=TRUE), ((G1976 &lt;&gt; "")=TRUE))</f>
        <v>0</v>
      </c>
      <c r="M1976" s="4" t="str">
        <f>IF(((E1976)=TRUE),  C1976 &amp; "|" &amp; H1976,  "")</f>
        <v>principal-knowledge-authority|Actions</v>
      </c>
      <c r="N1976" s="3" t="s">
        <v>10004</v>
      </c>
    </row>
    <row r="1977">
      <c r="A1977" s="3" t="s">
        <v>11979</v>
      </c>
      <c r="B1977" s="4" t="str">
        <f>C1977 &amp; " -&gt; " &amp; D1977</f>
        <v>principal-knowledge-authority -&gt; Actions.Definition</v>
      </c>
      <c r="C1977" s="3" t="s">
        <v>9774</v>
      </c>
      <c r="D1977" s="3" t="s">
        <v>3014</v>
      </c>
      <c r="E1977" s="3" t="b">
        <v>1</v>
      </c>
      <c r="F1977" s="3" t="b">
        <v>0</v>
      </c>
      <c r="G1977" s="3" t="s">
        <v>10003</v>
      </c>
      <c r="H1977" s="4" t="str">
        <f>_xlfn.IFNA(IF(((INDEX(RulebookFields!C2:C1898, MATCH(D1977,RulebookFields!A2:A1898, 0))="")=TRUE),  "",  INDEX(RulebookFields!C2:C1898, MATCH(D1977,RulebookFields!A2:A1898, 0))), "")</f>
        <v>Actions</v>
      </c>
      <c r="I1977" s="4" t="str">
        <f>_xlfn.IFNA(IF(((INDEX(RulebookFields!D2:D1898, MATCH(D1977,RulebookFields!A2:A1898, 0))="")=TRUE),  "",  INDEX(RulebookFields!D2:D1898, MATCH(D1977,RulebookFields!A2:A1898, 0))), "")</f>
        <v>Definition</v>
      </c>
      <c r="J1977" s="4" t="b">
        <f>_xlfn.IFNA(IF(((INDEX(RulebookFields!I2:I1898, MATCH(D1977,RulebookFields!A2:A1898, 0))="")=TRUE),  "",  INDEX(RulebookFields!I2:I1898, MATCH(D1977,RulebookFields!A2:A1898, 0))), "")</f>
        <v>0</v>
      </c>
      <c r="K1977" s="4" t="b">
        <f>AND(((F1977)=TRUE), ((J1977)=TRUE))</f>
        <v>0</v>
      </c>
      <c r="L1977" s="4" t="b">
        <f>AND(((G1977 &lt;&gt; "plain")=TRUE), ((G1977 &lt;&gt; "")=TRUE))</f>
        <v>0</v>
      </c>
      <c r="M1977" s="4" t="str">
        <f>IF(((E1977)=TRUE),  C1977 &amp; "|" &amp; H1977,  "")</f>
        <v>principal-knowledge-authority|Actions</v>
      </c>
      <c r="N1977" s="3" t="s">
        <v>10004</v>
      </c>
    </row>
    <row r="1978">
      <c r="A1978" s="3" t="s">
        <v>11980</v>
      </c>
      <c r="B1978" s="4" t="str">
        <f>C1978 &amp; " -&gt; " &amp; D1978</f>
        <v>principal-knowledge-authority -&gt; Actions.SemanticTypeIri</v>
      </c>
      <c r="C1978" s="3" t="s">
        <v>9774</v>
      </c>
      <c r="D1978" s="3" t="s">
        <v>3015</v>
      </c>
      <c r="E1978" s="3" t="b">
        <v>1</v>
      </c>
      <c r="F1978" s="3" t="b">
        <v>0</v>
      </c>
      <c r="G1978" s="3" t="s">
        <v>10003</v>
      </c>
      <c r="H1978" s="4" t="str">
        <f>_xlfn.IFNA(IF(((INDEX(RulebookFields!C2:C1898, MATCH(D1978,RulebookFields!A2:A1898, 0))="")=TRUE),  "",  INDEX(RulebookFields!C2:C1898, MATCH(D1978,RulebookFields!A2:A1898, 0))), "")</f>
        <v>Actions</v>
      </c>
      <c r="I1978" s="4" t="str">
        <f>_xlfn.IFNA(IF(((INDEX(RulebookFields!D2:D1898, MATCH(D1978,RulebookFields!A2:A1898, 0))="")=TRUE),  "",  INDEX(RulebookFields!D2:D1898, MATCH(D1978,RulebookFields!A2:A1898, 0))), "")</f>
        <v>SemanticTypeIri</v>
      </c>
      <c r="J1978" s="4" t="b">
        <f>_xlfn.IFNA(IF(((INDEX(RulebookFields!I2:I1898, MATCH(D1978,RulebookFields!A2:A1898, 0))="")=TRUE),  "",  INDEX(RulebookFields!I2:I1898, MATCH(D1978,RulebookFields!A2:A1898, 0))), "")</f>
        <v>0</v>
      </c>
      <c r="K1978" s="4" t="b">
        <f>AND(((F1978)=TRUE), ((J1978)=TRUE))</f>
        <v>0</v>
      </c>
      <c r="L1978" s="4" t="b">
        <f>AND(((G1978 &lt;&gt; "plain")=TRUE), ((G1978 &lt;&gt; "")=TRUE))</f>
        <v>0</v>
      </c>
      <c r="M1978" s="4" t="str">
        <f>IF(((E1978)=TRUE),  C1978 &amp; "|" &amp; H1978,  "")</f>
        <v>principal-knowledge-authority|Actions</v>
      </c>
      <c r="N1978" s="3" t="s">
        <v>10004</v>
      </c>
    </row>
    <row r="1979">
      <c r="A1979" s="3" t="s">
        <v>11981</v>
      </c>
      <c r="B1979" s="4" t="str">
        <f>C1979 &amp; " -&gt; " &amp; D1979</f>
        <v>principal-knowledge-authority -&gt; AgentDecisionRecords.AgentDecisionRecordId</v>
      </c>
      <c r="C1979" s="3" t="s">
        <v>9774</v>
      </c>
      <c r="D1979" s="3" t="s">
        <v>4993</v>
      </c>
      <c r="E1979" s="3" t="b">
        <v>1</v>
      </c>
      <c r="F1979" s="3" t="b">
        <v>0</v>
      </c>
      <c r="G1979" s="3" t="s">
        <v>10003</v>
      </c>
      <c r="H1979" s="4" t="str">
        <f>_xlfn.IFNA(IF(((INDEX(RulebookFields!C2:C1898, MATCH(D1979,RulebookFields!A2:A1898, 0))="")=TRUE),  "",  INDEX(RulebookFields!C2:C1898, MATCH(D1979,RulebookFields!A2:A1898, 0))), "")</f>
        <v>AgentDecisionRecords</v>
      </c>
      <c r="I1979" s="4" t="str">
        <f>_xlfn.IFNA(IF(((INDEX(RulebookFields!D2:D1898, MATCH(D1979,RulebookFields!A2:A1898, 0))="")=TRUE),  "",  INDEX(RulebookFields!D2:D1898, MATCH(D1979,RulebookFields!A2:A1898, 0))), "")</f>
        <v>AgentDecisionRecordId</v>
      </c>
      <c r="J1979" s="4" t="b">
        <f>_xlfn.IFNA(IF(((INDEX(RulebookFields!I2:I1898, MATCH(D1979,RulebookFields!A2:A1898, 0))="")=TRUE),  "",  INDEX(RulebookFields!I2:I1898, MATCH(D1979,RulebookFields!A2:A1898, 0))), "")</f>
        <v>0</v>
      </c>
      <c r="K1979" s="4" t="b">
        <f>AND(((F1979)=TRUE), ((J1979)=TRUE))</f>
        <v>0</v>
      </c>
      <c r="L1979" s="4" t="b">
        <f>AND(((G1979 &lt;&gt; "plain")=TRUE), ((G1979 &lt;&gt; "")=TRUE))</f>
        <v>0</v>
      </c>
      <c r="M1979" s="4" t="str">
        <f>IF(((E1979)=TRUE),  C1979 &amp; "|" &amp; H1979,  "")</f>
        <v>principal-knowledge-authority|AgentDecisionRecords</v>
      </c>
      <c r="N1979" s="3" t="s">
        <v>10004</v>
      </c>
    </row>
    <row r="1980">
      <c r="A1980" s="3" t="s">
        <v>11982</v>
      </c>
      <c r="B1980" s="4" t="str">
        <f>C1980 &amp; " -&gt; " &amp; D1980</f>
        <v>principal-knowledge-authority -&gt; AgentDecisionRecords.Name</v>
      </c>
      <c r="C1980" s="3" t="s">
        <v>9774</v>
      </c>
      <c r="D1980" s="3" t="s">
        <v>4996</v>
      </c>
      <c r="E1980" s="3" t="b">
        <v>1</v>
      </c>
      <c r="F1980" s="3" t="b">
        <v>0</v>
      </c>
      <c r="G1980" s="3" t="s">
        <v>10003</v>
      </c>
      <c r="H1980" s="4" t="str">
        <f>_xlfn.IFNA(IF(((INDEX(RulebookFields!C2:C1898, MATCH(D1980,RulebookFields!A2:A1898, 0))="")=TRUE),  "",  INDEX(RulebookFields!C2:C1898, MATCH(D1980,RulebookFields!A2:A1898, 0))), "")</f>
        <v>AgentDecisionRecords</v>
      </c>
      <c r="I1980" s="4" t="str">
        <f>_xlfn.IFNA(IF(((INDEX(RulebookFields!D2:D1898, MATCH(D1980,RulebookFields!A2:A1898, 0))="")=TRUE),  "",  INDEX(RulebookFields!D2:D1898, MATCH(D1980,RulebookFields!A2:A1898, 0))), "")</f>
        <v>Name</v>
      </c>
      <c r="J1980" s="4" t="b">
        <f>_xlfn.IFNA(IF(((INDEX(RulebookFields!I2:I1898, MATCH(D1980,RulebookFields!A2:A1898, 0))="")=TRUE),  "",  INDEX(RulebookFields!I2:I1898, MATCH(D1980,RulebookFields!A2:A1898, 0))), "")</f>
        <v>1</v>
      </c>
      <c r="K1980" s="4" t="b">
        <f>AND(((F1980)=TRUE), ((J1980)=TRUE))</f>
        <v>0</v>
      </c>
      <c r="L1980" s="4" t="b">
        <f>AND(((G1980 &lt;&gt; "plain")=TRUE), ((G1980 &lt;&gt; "")=TRUE))</f>
        <v>0</v>
      </c>
      <c r="M1980" s="4" t="str">
        <f>IF(((E1980)=TRUE),  C1980 &amp; "|" &amp; H1980,  "")</f>
        <v>principal-knowledge-authority|AgentDecisionRecords</v>
      </c>
      <c r="N1980" s="3" t="s">
        <v>10004</v>
      </c>
    </row>
    <row r="1981">
      <c r="A1981" s="3" t="s">
        <v>11983</v>
      </c>
      <c r="B1981" s="4" t="str">
        <f>C1981 &amp; " -&gt; " &amp; D1981</f>
        <v>principal-knowledge-authority -&gt; AgentDecisionRecords.StepExecution</v>
      </c>
      <c r="C1981" s="3" t="s">
        <v>9774</v>
      </c>
      <c r="D1981" s="3" t="s">
        <v>4998</v>
      </c>
      <c r="E1981" s="3" t="b">
        <v>1</v>
      </c>
      <c r="F1981" s="3" t="b">
        <v>0</v>
      </c>
      <c r="G1981" s="3" t="s">
        <v>10003</v>
      </c>
      <c r="H1981" s="4" t="str">
        <f>_xlfn.IFNA(IF(((INDEX(RulebookFields!C2:C1898, MATCH(D1981,RulebookFields!A2:A1898, 0))="")=TRUE),  "",  INDEX(RulebookFields!C2:C1898, MATCH(D1981,RulebookFields!A2:A1898, 0))), "")</f>
        <v>AgentDecisionRecords</v>
      </c>
      <c r="I1981" s="4" t="str">
        <f>_xlfn.IFNA(IF(((INDEX(RulebookFields!D2:D1898, MATCH(D1981,RulebookFields!A2:A1898, 0))="")=TRUE),  "",  INDEX(RulebookFields!D2:D1898, MATCH(D1981,RulebookFields!A2:A1898, 0))), "")</f>
        <v>StepExecution</v>
      </c>
      <c r="J1981" s="4" t="b">
        <f>_xlfn.IFNA(IF(((INDEX(RulebookFields!I2:I1898, MATCH(D1981,RulebookFields!A2:A1898, 0))="")=TRUE),  "",  INDEX(RulebookFields!I2:I1898, MATCH(D1981,RulebookFields!A2:A1898, 0))), "")</f>
        <v>0</v>
      </c>
      <c r="K1981" s="4" t="b">
        <f>AND(((F1981)=TRUE), ((J1981)=TRUE))</f>
        <v>0</v>
      </c>
      <c r="L1981" s="4" t="b">
        <f>AND(((G1981 &lt;&gt; "plain")=TRUE), ((G1981 &lt;&gt; "")=TRUE))</f>
        <v>0</v>
      </c>
      <c r="M1981" s="4" t="str">
        <f>IF(((E1981)=TRUE),  C1981 &amp; "|" &amp; H1981,  "")</f>
        <v>principal-knowledge-authority|AgentDecisionRecords</v>
      </c>
      <c r="N1981" s="3" t="s">
        <v>10004</v>
      </c>
    </row>
    <row r="1982">
      <c r="A1982" s="3" t="s">
        <v>11984</v>
      </c>
      <c r="B1982" s="4" t="str">
        <f>C1982 &amp; " -&gt; " &amp; D1982</f>
        <v>principal-knowledge-authority -&gt; AgentDecisionRecords.DecidingAgent</v>
      </c>
      <c r="C1982" s="3" t="s">
        <v>9774</v>
      </c>
      <c r="D1982" s="3" t="s">
        <v>4999</v>
      </c>
      <c r="E1982" s="3" t="b">
        <v>1</v>
      </c>
      <c r="F1982" s="3" t="b">
        <v>0</v>
      </c>
      <c r="G1982" s="3" t="s">
        <v>10003</v>
      </c>
      <c r="H1982" s="4" t="str">
        <f>_xlfn.IFNA(IF(((INDEX(RulebookFields!C2:C1898, MATCH(D1982,RulebookFields!A2:A1898, 0))="")=TRUE),  "",  INDEX(RulebookFields!C2:C1898, MATCH(D1982,RulebookFields!A2:A1898, 0))), "")</f>
        <v>AgentDecisionRecords</v>
      </c>
      <c r="I1982" s="4" t="str">
        <f>_xlfn.IFNA(IF(((INDEX(RulebookFields!D2:D1898, MATCH(D1982,RulebookFields!A2:A1898, 0))="")=TRUE),  "",  INDEX(RulebookFields!D2:D1898, MATCH(D1982,RulebookFields!A2:A1898, 0))), "")</f>
        <v>DecidingAgent</v>
      </c>
      <c r="J1982" s="4" t="b">
        <f>_xlfn.IFNA(IF(((INDEX(RulebookFields!I2:I1898, MATCH(D1982,RulebookFields!A2:A1898, 0))="")=TRUE),  "",  INDEX(RulebookFields!I2:I1898, MATCH(D1982,RulebookFields!A2:A1898, 0))), "")</f>
        <v>0</v>
      </c>
      <c r="K1982" s="4" t="b">
        <f>AND(((F1982)=TRUE), ((J1982)=TRUE))</f>
        <v>0</v>
      </c>
      <c r="L1982" s="4" t="b">
        <f>AND(((G1982 &lt;&gt; "plain")=TRUE), ((G1982 &lt;&gt; "")=TRUE))</f>
        <v>0</v>
      </c>
      <c r="M1982" s="4" t="str">
        <f>IF(((E1982)=TRUE),  C1982 &amp; "|" &amp; H1982,  "")</f>
        <v>principal-knowledge-authority|AgentDecisionRecords</v>
      </c>
      <c r="N1982" s="3" t="s">
        <v>10004</v>
      </c>
    </row>
    <row r="1983">
      <c r="A1983" s="3" t="s">
        <v>11985</v>
      </c>
      <c r="B1983" s="4" t="str">
        <f>C1983 &amp; " -&gt; " &amp; D1983</f>
        <v>principal-knowledge-authority -&gt; AgentDecisionRecords.DecisionKind</v>
      </c>
      <c r="C1983" s="3" t="s">
        <v>9774</v>
      </c>
      <c r="D1983" s="3" t="s">
        <v>5001</v>
      </c>
      <c r="E1983" s="3" t="b">
        <v>1</v>
      </c>
      <c r="F1983" s="3" t="b">
        <v>0</v>
      </c>
      <c r="G1983" s="3" t="s">
        <v>10003</v>
      </c>
      <c r="H1983" s="4" t="str">
        <f>_xlfn.IFNA(IF(((INDEX(RulebookFields!C2:C1898, MATCH(D1983,RulebookFields!A2:A1898, 0))="")=TRUE),  "",  INDEX(RulebookFields!C2:C1898, MATCH(D1983,RulebookFields!A2:A1898, 0))), "")</f>
        <v>AgentDecisionRecords</v>
      </c>
      <c r="I1983" s="4" t="str">
        <f>_xlfn.IFNA(IF(((INDEX(RulebookFields!D2:D1898, MATCH(D1983,RulebookFields!A2:A1898, 0))="")=TRUE),  "",  INDEX(RulebookFields!D2:D1898, MATCH(D1983,RulebookFields!A2:A1898, 0))), "")</f>
        <v>DecisionKind</v>
      </c>
      <c r="J1983" s="4" t="b">
        <f>_xlfn.IFNA(IF(((INDEX(RulebookFields!I2:I1898, MATCH(D1983,RulebookFields!A2:A1898, 0))="")=TRUE),  "",  INDEX(RulebookFields!I2:I1898, MATCH(D1983,RulebookFields!A2:A1898, 0))), "")</f>
        <v>0</v>
      </c>
      <c r="K1983" s="4" t="b">
        <f>AND(((F1983)=TRUE), ((J1983)=TRUE))</f>
        <v>0</v>
      </c>
      <c r="L1983" s="4" t="b">
        <f>AND(((G1983 &lt;&gt; "plain")=TRUE), ((G1983 &lt;&gt; "")=TRUE))</f>
        <v>0</v>
      </c>
      <c r="M1983" s="4" t="str">
        <f>IF(((E1983)=TRUE),  C1983 &amp; "|" &amp; H1983,  "")</f>
        <v>principal-knowledge-authority|AgentDecisionRecords</v>
      </c>
      <c r="N1983" s="3" t="s">
        <v>10004</v>
      </c>
    </row>
    <row r="1984">
      <c r="A1984" s="3" t="s">
        <v>11986</v>
      </c>
      <c r="B1984" s="4" t="str">
        <f>C1984 &amp; " -&gt; " &amp; D1984</f>
        <v>principal-knowledge-authority -&gt; AgentDecisionRecords.DecisionSummary</v>
      </c>
      <c r="C1984" s="3" t="s">
        <v>9774</v>
      </c>
      <c r="D1984" s="3" t="s">
        <v>5003</v>
      </c>
      <c r="E1984" s="3" t="b">
        <v>1</v>
      </c>
      <c r="F1984" s="3" t="b">
        <v>0</v>
      </c>
      <c r="G1984" s="3" t="s">
        <v>10003</v>
      </c>
      <c r="H1984" s="4" t="str">
        <f>_xlfn.IFNA(IF(((INDEX(RulebookFields!C2:C1898, MATCH(D1984,RulebookFields!A2:A1898, 0))="")=TRUE),  "",  INDEX(RulebookFields!C2:C1898, MATCH(D1984,RulebookFields!A2:A1898, 0))), "")</f>
        <v>AgentDecisionRecords</v>
      </c>
      <c r="I1984" s="4" t="str">
        <f>_xlfn.IFNA(IF(((INDEX(RulebookFields!D2:D1898, MATCH(D1984,RulebookFields!A2:A1898, 0))="")=TRUE),  "",  INDEX(RulebookFields!D2:D1898, MATCH(D1984,RulebookFields!A2:A1898, 0))), "")</f>
        <v>DecisionSummary</v>
      </c>
      <c r="J1984" s="4" t="b">
        <f>_xlfn.IFNA(IF(((INDEX(RulebookFields!I2:I1898, MATCH(D1984,RulebookFields!A2:A1898, 0))="")=TRUE),  "",  INDEX(RulebookFields!I2:I1898, MATCH(D1984,RulebookFields!A2:A1898, 0))), "")</f>
        <v>0</v>
      </c>
      <c r="K1984" s="4" t="b">
        <f>AND(((F1984)=TRUE), ((J1984)=TRUE))</f>
        <v>0</v>
      </c>
      <c r="L1984" s="4" t="b">
        <f>AND(((G1984 &lt;&gt; "plain")=TRUE), ((G1984 &lt;&gt; "")=TRUE))</f>
        <v>0</v>
      </c>
      <c r="M1984" s="4" t="str">
        <f>IF(((E1984)=TRUE),  C1984 &amp; "|" &amp; H1984,  "")</f>
        <v>principal-knowledge-authority|AgentDecisionRecords</v>
      </c>
      <c r="N1984" s="3" t="s">
        <v>10004</v>
      </c>
    </row>
    <row r="1985">
      <c r="A1985" s="3" t="s">
        <v>11987</v>
      </c>
      <c r="B1985" s="4" t="str">
        <f>C1985 &amp; " -&gt; " &amp; D1985</f>
        <v>principal-knowledge-authority -&gt; AgentDecisionRecords.DecidedAt</v>
      </c>
      <c r="C1985" s="3" t="s">
        <v>9774</v>
      </c>
      <c r="D1985" s="3" t="s">
        <v>5005</v>
      </c>
      <c r="E1985" s="3" t="b">
        <v>1</v>
      </c>
      <c r="F1985" s="3" t="b">
        <v>0</v>
      </c>
      <c r="G1985" s="3" t="s">
        <v>10003</v>
      </c>
      <c r="H1985" s="4" t="str">
        <f>_xlfn.IFNA(IF(((INDEX(RulebookFields!C2:C1898, MATCH(D1985,RulebookFields!A2:A1898, 0))="")=TRUE),  "",  INDEX(RulebookFields!C2:C1898, MATCH(D1985,RulebookFields!A2:A1898, 0))), "")</f>
        <v>AgentDecisionRecords</v>
      </c>
      <c r="I1985" s="4" t="str">
        <f>_xlfn.IFNA(IF(((INDEX(RulebookFields!D2:D1898, MATCH(D1985,RulebookFields!A2:A1898, 0))="")=TRUE),  "",  INDEX(RulebookFields!D2:D1898, MATCH(D1985,RulebookFields!A2:A1898, 0))), "")</f>
        <v>DecidedAt</v>
      </c>
      <c r="J1985" s="4" t="b">
        <f>_xlfn.IFNA(IF(((INDEX(RulebookFields!I2:I1898, MATCH(D1985,RulebookFields!A2:A1898, 0))="")=TRUE),  "",  INDEX(RulebookFields!I2:I1898, MATCH(D1985,RulebookFields!A2:A1898, 0))), "")</f>
        <v>0</v>
      </c>
      <c r="K1985" s="4" t="b">
        <f>AND(((F1985)=TRUE), ((J1985)=TRUE))</f>
        <v>0</v>
      </c>
      <c r="L1985" s="4" t="b">
        <f>AND(((G1985 &lt;&gt; "plain")=TRUE), ((G1985 &lt;&gt; "")=TRUE))</f>
        <v>0</v>
      </c>
      <c r="M1985" s="4" t="str">
        <f>IF(((E1985)=TRUE),  C1985 &amp; "|" &amp; H1985,  "")</f>
        <v>principal-knowledge-authority|AgentDecisionRecords</v>
      </c>
      <c r="N1985" s="3" t="s">
        <v>10004</v>
      </c>
    </row>
    <row r="1986">
      <c r="A1986" s="3" t="s">
        <v>11988</v>
      </c>
      <c r="B1986" s="4" t="str">
        <f>C1986 &amp; " -&gt; " &amp; D1986</f>
        <v>principal-knowledge-authority -&gt; AgentDecisionRecords.MaterialityBand</v>
      </c>
      <c r="C1986" s="3" t="s">
        <v>9774</v>
      </c>
      <c r="D1986" s="3" t="s">
        <v>5006</v>
      </c>
      <c r="E1986" s="3" t="b">
        <v>1</v>
      </c>
      <c r="F1986" s="3" t="b">
        <v>0</v>
      </c>
      <c r="G1986" s="3" t="s">
        <v>10003</v>
      </c>
      <c r="H1986" s="4" t="str">
        <f>_xlfn.IFNA(IF(((INDEX(RulebookFields!C2:C1898, MATCH(D1986,RulebookFields!A2:A1898, 0))="")=TRUE),  "",  INDEX(RulebookFields!C2:C1898, MATCH(D1986,RulebookFields!A2:A1898, 0))), "")</f>
        <v>AgentDecisionRecords</v>
      </c>
      <c r="I1986" s="4" t="str">
        <f>_xlfn.IFNA(IF(((INDEX(RulebookFields!D2:D1898, MATCH(D1986,RulebookFields!A2:A1898, 0))="")=TRUE),  "",  INDEX(RulebookFields!D2:D1898, MATCH(D1986,RulebookFields!A2:A1898, 0))), "")</f>
        <v>MaterialityBand</v>
      </c>
      <c r="J1986" s="4" t="b">
        <f>_xlfn.IFNA(IF(((INDEX(RulebookFields!I2:I1898, MATCH(D1986,RulebookFields!A2:A1898, 0))="")=TRUE),  "",  INDEX(RulebookFields!I2:I1898, MATCH(D1986,RulebookFields!A2:A1898, 0))), "")</f>
        <v>0</v>
      </c>
      <c r="K1986" s="4" t="b">
        <f>AND(((F1986)=TRUE), ((J1986)=TRUE))</f>
        <v>0</v>
      </c>
      <c r="L1986" s="4" t="b">
        <f>AND(((G1986 &lt;&gt; "plain")=TRUE), ((G1986 &lt;&gt; "")=TRUE))</f>
        <v>0</v>
      </c>
      <c r="M1986" s="4" t="str">
        <f>IF(((E1986)=TRUE),  C1986 &amp; "|" &amp; H1986,  "")</f>
        <v>principal-knowledge-authority|AgentDecisionRecords</v>
      </c>
      <c r="N1986" s="3" t="s">
        <v>10004</v>
      </c>
    </row>
    <row r="1987">
      <c r="A1987" s="3" t="s">
        <v>11989</v>
      </c>
      <c r="B1987" s="4" t="str">
        <f>C1987 &amp; " -&gt; " &amp; D1987</f>
        <v>principal-knowledge-authority -&gt; AgentDecisionRecords.HumanDisposition</v>
      </c>
      <c r="C1987" s="3" t="s">
        <v>9774</v>
      </c>
      <c r="D1987" s="3" t="s">
        <v>5008</v>
      </c>
      <c r="E1987" s="3" t="b">
        <v>1</v>
      </c>
      <c r="F1987" s="3" t="b">
        <v>0</v>
      </c>
      <c r="G1987" s="3" t="s">
        <v>10003</v>
      </c>
      <c r="H1987" s="4" t="str">
        <f>_xlfn.IFNA(IF(((INDEX(RulebookFields!C2:C1898, MATCH(D1987,RulebookFields!A2:A1898, 0))="")=TRUE),  "",  INDEX(RulebookFields!C2:C1898, MATCH(D1987,RulebookFields!A2:A1898, 0))), "")</f>
        <v>AgentDecisionRecords</v>
      </c>
      <c r="I1987" s="4" t="str">
        <f>_xlfn.IFNA(IF(((INDEX(RulebookFields!D2:D1898, MATCH(D1987,RulebookFields!A2:A1898, 0))="")=TRUE),  "",  INDEX(RulebookFields!D2:D1898, MATCH(D1987,RulebookFields!A2:A1898, 0))), "")</f>
        <v>HumanDisposition</v>
      </c>
      <c r="J1987" s="4" t="b">
        <f>_xlfn.IFNA(IF(((INDEX(RulebookFields!I2:I1898, MATCH(D1987,RulebookFields!A2:A1898, 0))="")=TRUE),  "",  INDEX(RulebookFields!I2:I1898, MATCH(D1987,RulebookFields!A2:A1898, 0))), "")</f>
        <v>0</v>
      </c>
      <c r="K1987" s="4" t="b">
        <f>AND(((F1987)=TRUE), ((J1987)=TRUE))</f>
        <v>0</v>
      </c>
      <c r="L1987" s="4" t="b">
        <f>AND(((G1987 &lt;&gt; "plain")=TRUE), ((G1987 &lt;&gt; "")=TRUE))</f>
        <v>0</v>
      </c>
      <c r="M1987" s="4" t="str">
        <f>IF(((E1987)=TRUE),  C1987 &amp; "|" &amp; H1987,  "")</f>
        <v>principal-knowledge-authority|AgentDecisionRecords</v>
      </c>
      <c r="N1987" s="3" t="s">
        <v>10004</v>
      </c>
    </row>
    <row r="1988">
      <c r="A1988" s="3" t="s">
        <v>11990</v>
      </c>
      <c r="B1988" s="4" t="str">
        <f>C1988 &amp; " -&gt; " &amp; D1988</f>
        <v>principal-knowledge-authority -&gt; AgentDecisionRecords.ReviewedByAgent</v>
      </c>
      <c r="C1988" s="3" t="s">
        <v>9774</v>
      </c>
      <c r="D1988" s="3" t="s">
        <v>5010</v>
      </c>
      <c r="E1988" s="3" t="b">
        <v>1</v>
      </c>
      <c r="F1988" s="3" t="b">
        <v>0</v>
      </c>
      <c r="G1988" s="3" t="s">
        <v>10003</v>
      </c>
      <c r="H1988" s="4" t="str">
        <f>_xlfn.IFNA(IF(((INDEX(RulebookFields!C2:C1898, MATCH(D1988,RulebookFields!A2:A1898, 0))="")=TRUE),  "",  INDEX(RulebookFields!C2:C1898, MATCH(D1988,RulebookFields!A2:A1898, 0))), "")</f>
        <v>AgentDecisionRecords</v>
      </c>
      <c r="I1988" s="4" t="str">
        <f>_xlfn.IFNA(IF(((INDEX(RulebookFields!D2:D1898, MATCH(D1988,RulebookFields!A2:A1898, 0))="")=TRUE),  "",  INDEX(RulebookFields!D2:D1898, MATCH(D1988,RulebookFields!A2:A1898, 0))), "")</f>
        <v>ReviewedByAgent</v>
      </c>
      <c r="J1988" s="4" t="b">
        <f>_xlfn.IFNA(IF(((INDEX(RulebookFields!I2:I1898, MATCH(D1988,RulebookFields!A2:A1898, 0))="")=TRUE),  "",  INDEX(RulebookFields!I2:I1898, MATCH(D1988,RulebookFields!A2:A1898, 0))), "")</f>
        <v>0</v>
      </c>
      <c r="K1988" s="4" t="b">
        <f>AND(((F1988)=TRUE), ((J1988)=TRUE))</f>
        <v>0</v>
      </c>
      <c r="L1988" s="4" t="b">
        <f>AND(((G1988 &lt;&gt; "plain")=TRUE), ((G1988 &lt;&gt; "")=TRUE))</f>
        <v>0</v>
      </c>
      <c r="M1988" s="4" t="str">
        <f>IF(((E1988)=TRUE),  C1988 &amp; "|" &amp; H1988,  "")</f>
        <v>principal-knowledge-authority|AgentDecisionRecords</v>
      </c>
      <c r="N1988" s="3" t="s">
        <v>10004</v>
      </c>
    </row>
    <row r="1989">
      <c r="A1989" s="3" t="s">
        <v>11991</v>
      </c>
      <c r="B1989" s="4" t="str">
        <f>C1989 &amp; " -&gt; " &amp; D1989</f>
        <v>principal-knowledge-authority -&gt; AgentDecisionRecords.ReviewedAt</v>
      </c>
      <c r="C1989" s="3" t="s">
        <v>9774</v>
      </c>
      <c r="D1989" s="3" t="s">
        <v>5011</v>
      </c>
      <c r="E1989" s="3" t="b">
        <v>1</v>
      </c>
      <c r="F1989" s="3" t="b">
        <v>0</v>
      </c>
      <c r="G1989" s="3" t="s">
        <v>10003</v>
      </c>
      <c r="H1989" s="4" t="str">
        <f>_xlfn.IFNA(IF(((INDEX(RulebookFields!C2:C1898, MATCH(D1989,RulebookFields!A2:A1898, 0))="")=TRUE),  "",  INDEX(RulebookFields!C2:C1898, MATCH(D1989,RulebookFields!A2:A1898, 0))), "")</f>
        <v>AgentDecisionRecords</v>
      </c>
      <c r="I1989" s="4" t="str">
        <f>_xlfn.IFNA(IF(((INDEX(RulebookFields!D2:D1898, MATCH(D1989,RulebookFields!A2:A1898, 0))="")=TRUE),  "",  INDEX(RulebookFields!D2:D1898, MATCH(D1989,RulebookFields!A2:A1898, 0))), "")</f>
        <v>ReviewedAt</v>
      </c>
      <c r="J1989" s="4" t="b">
        <f>_xlfn.IFNA(IF(((INDEX(RulebookFields!I2:I1898, MATCH(D1989,RulebookFields!A2:A1898, 0))="")=TRUE),  "",  INDEX(RulebookFields!I2:I1898, MATCH(D1989,RulebookFields!A2:A1898, 0))), "")</f>
        <v>0</v>
      </c>
      <c r="K1989" s="4" t="b">
        <f>AND(((F1989)=TRUE), ((J1989)=TRUE))</f>
        <v>0</v>
      </c>
      <c r="L1989" s="4" t="b">
        <f>AND(((G1989 &lt;&gt; "plain")=TRUE), ((G1989 &lt;&gt; "")=TRUE))</f>
        <v>0</v>
      </c>
      <c r="M1989" s="4" t="str">
        <f>IF(((E1989)=TRUE),  C1989 &amp; "|" &amp; H1989,  "")</f>
        <v>principal-knowledge-authority|AgentDecisionRecords</v>
      </c>
      <c r="N1989" s="3" t="s">
        <v>10004</v>
      </c>
    </row>
    <row r="1990">
      <c r="A1990" s="3" t="s">
        <v>11992</v>
      </c>
      <c r="B1990" s="4" t="str">
        <f>C1990 &amp; " -&gt; " &amp; D1990</f>
        <v>principal-knowledge-authority -&gt; AgentDecisionRecords.WasOverridden</v>
      </c>
      <c r="C1990" s="3" t="s">
        <v>9774</v>
      </c>
      <c r="D1990" s="3" t="s">
        <v>5012</v>
      </c>
      <c r="E1990" s="3" t="b">
        <v>1</v>
      </c>
      <c r="F1990" s="3" t="b">
        <v>0</v>
      </c>
      <c r="G1990" s="3" t="s">
        <v>10003</v>
      </c>
      <c r="H1990" s="4" t="str">
        <f>_xlfn.IFNA(IF(((INDEX(RulebookFields!C2:C1898, MATCH(D1990,RulebookFields!A2:A1898, 0))="")=TRUE),  "",  INDEX(RulebookFields!C2:C1898, MATCH(D1990,RulebookFields!A2:A1898, 0))), "")</f>
        <v>AgentDecisionRecords</v>
      </c>
      <c r="I1990" s="4" t="str">
        <f>_xlfn.IFNA(IF(((INDEX(RulebookFields!D2:D1898, MATCH(D1990,RulebookFields!A2:A1898, 0))="")=TRUE),  "",  INDEX(RulebookFields!D2:D1898, MATCH(D1990,RulebookFields!A2:A1898, 0))), "")</f>
        <v>WasOverridden</v>
      </c>
      <c r="J1990" s="4" t="b">
        <f>_xlfn.IFNA(IF(((INDEX(RulebookFields!I2:I1898, MATCH(D1990,RulebookFields!A2:A1898, 0))="")=TRUE),  "",  INDEX(RulebookFields!I2:I1898, MATCH(D1990,RulebookFields!A2:A1898, 0))), "")</f>
        <v>1</v>
      </c>
      <c r="K1990" s="4" t="b">
        <f>AND(((F1990)=TRUE), ((J1990)=TRUE))</f>
        <v>0</v>
      </c>
      <c r="L1990" s="4" t="b">
        <f>AND(((G1990 &lt;&gt; "plain")=TRUE), ((G1990 &lt;&gt; "")=TRUE))</f>
        <v>0</v>
      </c>
      <c r="M1990" s="4" t="str">
        <f>IF(((E1990)=TRUE),  C1990 &amp; "|" &amp; H1990,  "")</f>
        <v>principal-knowledge-authority|AgentDecisionRecords</v>
      </c>
      <c r="N1990" s="3" t="s">
        <v>10004</v>
      </c>
    </row>
    <row r="1991">
      <c r="A1991" s="3" t="s">
        <v>11993</v>
      </c>
      <c r="B1991" s="4" t="str">
        <f>C1991 &amp; " -&gt; " &amp; D1991</f>
        <v>principal-knowledge-authority -&gt; AgentDecisionRecords.WasReviewed</v>
      </c>
      <c r="C1991" s="3" t="s">
        <v>9774</v>
      </c>
      <c r="D1991" s="3" t="s">
        <v>5015</v>
      </c>
      <c r="E1991" s="3" t="b">
        <v>1</v>
      </c>
      <c r="F1991" s="3" t="b">
        <v>0</v>
      </c>
      <c r="G1991" s="3" t="s">
        <v>10003</v>
      </c>
      <c r="H1991" s="4" t="str">
        <f>_xlfn.IFNA(IF(((INDEX(RulebookFields!C2:C1898, MATCH(D1991,RulebookFields!A2:A1898, 0))="")=TRUE),  "",  INDEX(RulebookFields!C2:C1898, MATCH(D1991,RulebookFields!A2:A1898, 0))), "")</f>
        <v>AgentDecisionRecords</v>
      </c>
      <c r="I1991" s="4" t="str">
        <f>_xlfn.IFNA(IF(((INDEX(RulebookFields!D2:D1898, MATCH(D1991,RulebookFields!A2:A1898, 0))="")=TRUE),  "",  INDEX(RulebookFields!D2:D1898, MATCH(D1991,RulebookFields!A2:A1898, 0))), "")</f>
        <v>WasReviewed</v>
      </c>
      <c r="J1991" s="4" t="b">
        <f>_xlfn.IFNA(IF(((INDEX(RulebookFields!I2:I1898, MATCH(D1991,RulebookFields!A2:A1898, 0))="")=TRUE),  "",  INDEX(RulebookFields!I2:I1898, MATCH(D1991,RulebookFields!A2:A1898, 0))), "")</f>
        <v>1</v>
      </c>
      <c r="K1991" s="4" t="b">
        <f>AND(((F1991)=TRUE), ((J1991)=TRUE))</f>
        <v>0</v>
      </c>
      <c r="L1991" s="4" t="b">
        <f>AND(((G1991 &lt;&gt; "plain")=TRUE), ((G1991 &lt;&gt; "")=TRUE))</f>
        <v>0</v>
      </c>
      <c r="M1991" s="4" t="str">
        <f>IF(((E1991)=TRUE),  C1991 &amp; "|" &amp; H1991,  "")</f>
        <v>principal-knowledge-authority|AgentDecisionRecords</v>
      </c>
      <c r="N1991" s="3" t="s">
        <v>10004</v>
      </c>
    </row>
    <row r="1992">
      <c r="A1992" s="3" t="s">
        <v>11994</v>
      </c>
      <c r="B1992" s="4" t="str">
        <f>C1992 &amp; " -&gt; " &amp; D1992</f>
        <v>principal-knowledge-authority -&gt; AgentDecisionRecords.DecidingAgentKind</v>
      </c>
      <c r="C1992" s="3" t="s">
        <v>9774</v>
      </c>
      <c r="D1992" s="3" t="s">
        <v>5018</v>
      </c>
      <c r="E1992" s="3" t="b">
        <v>1</v>
      </c>
      <c r="F1992" s="3" t="b">
        <v>0</v>
      </c>
      <c r="G1992" s="3" t="s">
        <v>10003</v>
      </c>
      <c r="H1992" s="4" t="str">
        <f>_xlfn.IFNA(IF(((INDEX(RulebookFields!C2:C1898, MATCH(D1992,RulebookFields!A2:A1898, 0))="")=TRUE),  "",  INDEX(RulebookFields!C2:C1898, MATCH(D1992,RulebookFields!A2:A1898, 0))), "")</f>
        <v>AgentDecisionRecords</v>
      </c>
      <c r="I1992" s="4" t="str">
        <f>_xlfn.IFNA(IF(((INDEX(RulebookFields!D2:D1898, MATCH(D1992,RulebookFields!A2:A1898, 0))="")=TRUE),  "",  INDEX(RulebookFields!D2:D1898, MATCH(D1992,RulebookFields!A2:A1898, 0))), "")</f>
        <v>DecidingAgentKind</v>
      </c>
      <c r="J1992" s="4" t="b">
        <f>_xlfn.IFNA(IF(((INDEX(RulebookFields!I2:I1898, MATCH(D1992,RulebookFields!A2:A1898, 0))="")=TRUE),  "",  INDEX(RulebookFields!I2:I1898, MATCH(D1992,RulebookFields!A2:A1898, 0))), "")</f>
        <v>1</v>
      </c>
      <c r="K1992" s="4" t="b">
        <f>AND(((F1992)=TRUE), ((J1992)=TRUE))</f>
        <v>0</v>
      </c>
      <c r="L1992" s="4" t="b">
        <f>AND(((G1992 &lt;&gt; "plain")=TRUE), ((G1992 &lt;&gt; "")=TRUE))</f>
        <v>0</v>
      </c>
      <c r="M1992" s="4" t="str">
        <f>IF(((E1992)=TRUE),  C1992 &amp; "|" &amp; H1992,  "")</f>
        <v>principal-knowledge-authority|AgentDecisionRecords</v>
      </c>
      <c r="N1992" s="3" t="s">
        <v>10004</v>
      </c>
    </row>
    <row r="1993">
      <c r="A1993" s="3" t="s">
        <v>11995</v>
      </c>
      <c r="B1993" s="4" t="str">
        <f>C1993 &amp; " -&gt; " &amp; D1993</f>
        <v>principal-knowledge-authority -&gt; AgentDecisionRecords.DecidingAgentWhenOverridden</v>
      </c>
      <c r="C1993" s="3" t="s">
        <v>9774</v>
      </c>
      <c r="D1993" s="3" t="s">
        <v>5021</v>
      </c>
      <c r="E1993" s="3" t="b">
        <v>1</v>
      </c>
      <c r="F1993" s="3" t="b">
        <v>0</v>
      </c>
      <c r="G1993" s="3" t="s">
        <v>10003</v>
      </c>
      <c r="H1993" s="4" t="str">
        <f>_xlfn.IFNA(IF(((INDEX(RulebookFields!C2:C1898, MATCH(D1993,RulebookFields!A2:A1898, 0))="")=TRUE),  "",  INDEX(RulebookFields!C2:C1898, MATCH(D1993,RulebookFields!A2:A1898, 0))), "")</f>
        <v>AgentDecisionRecords</v>
      </c>
      <c r="I1993" s="4" t="str">
        <f>_xlfn.IFNA(IF(((INDEX(RulebookFields!D2:D1898, MATCH(D1993,RulebookFields!A2:A1898, 0))="")=TRUE),  "",  INDEX(RulebookFields!D2:D1898, MATCH(D1993,RulebookFields!A2:A1898, 0))), "")</f>
        <v>DecidingAgentWhenOverridden</v>
      </c>
      <c r="J1993" s="4" t="b">
        <f>_xlfn.IFNA(IF(((INDEX(RulebookFields!I2:I1898, MATCH(D1993,RulebookFields!A2:A1898, 0))="")=TRUE),  "",  INDEX(RulebookFields!I2:I1898, MATCH(D1993,RulebookFields!A2:A1898, 0))), "")</f>
        <v>1</v>
      </c>
      <c r="K1993" s="4" t="b">
        <f>AND(((F1993)=TRUE), ((J1993)=TRUE))</f>
        <v>0</v>
      </c>
      <c r="L1993" s="4" t="b">
        <f>AND(((G1993 &lt;&gt; "plain")=TRUE), ((G1993 &lt;&gt; "")=TRUE))</f>
        <v>0</v>
      </c>
      <c r="M1993" s="4" t="str">
        <f>IF(((E1993)=TRUE),  C1993 &amp; "|" &amp; H1993,  "")</f>
        <v>principal-knowledge-authority|AgentDecisionRecords</v>
      </c>
      <c r="N1993" s="3" t="s">
        <v>10004</v>
      </c>
    </row>
    <row r="1994">
      <c r="A1994" s="3" t="s">
        <v>11996</v>
      </c>
      <c r="B1994" s="4" t="str">
        <f>C1994 &amp; " -&gt; " &amp; D1994</f>
        <v>principal-knowledge-authority -&gt; AgentDecisionRecords.UnderRoleAssignment</v>
      </c>
      <c r="C1994" s="3" t="s">
        <v>9774</v>
      </c>
      <c r="D1994" s="3" t="s">
        <v>5024</v>
      </c>
      <c r="E1994" s="3" t="b">
        <v>1</v>
      </c>
      <c r="F1994" s="3" t="b">
        <v>0</v>
      </c>
      <c r="G1994" s="3" t="s">
        <v>10003</v>
      </c>
      <c r="H1994" s="4" t="str">
        <f>_xlfn.IFNA(IF(((INDEX(RulebookFields!C2:C1898, MATCH(D1994,RulebookFields!A2:A1898, 0))="")=TRUE),  "",  INDEX(RulebookFields!C2:C1898, MATCH(D1994,RulebookFields!A2:A1898, 0))), "")</f>
        <v>AgentDecisionRecords</v>
      </c>
      <c r="I1994" s="4" t="str">
        <f>_xlfn.IFNA(IF(((INDEX(RulebookFields!D2:D1898, MATCH(D1994,RulebookFields!A2:A1898, 0))="")=TRUE),  "",  INDEX(RulebookFields!D2:D1898, MATCH(D1994,RulebookFields!A2:A1898, 0))), "")</f>
        <v>UnderRoleAssignment</v>
      </c>
      <c r="J1994" s="4" t="b">
        <f>_xlfn.IFNA(IF(((INDEX(RulebookFields!I2:I1898, MATCH(D1994,RulebookFields!A2:A1898, 0))="")=TRUE),  "",  INDEX(RulebookFields!I2:I1898, MATCH(D1994,RulebookFields!A2:A1898, 0))), "")</f>
        <v>0</v>
      </c>
      <c r="K1994" s="4" t="b">
        <f>AND(((F1994)=TRUE), ((J1994)=TRUE))</f>
        <v>0</v>
      </c>
      <c r="L1994" s="4" t="b">
        <f>AND(((G1994 &lt;&gt; "plain")=TRUE), ((G1994 &lt;&gt; "")=TRUE))</f>
        <v>0</v>
      </c>
      <c r="M1994" s="4" t="str">
        <f>IF(((E1994)=TRUE),  C1994 &amp; "|" &amp; H1994,  "")</f>
        <v>principal-knowledge-authority|AgentDecisionRecords</v>
      </c>
      <c r="N1994" s="3" t="s">
        <v>10004</v>
      </c>
    </row>
    <row r="1995">
      <c r="A1995" s="3" t="s">
        <v>11997</v>
      </c>
      <c r="B1995" s="4" t="str">
        <f>C1995 &amp; " -&gt; " &amp; D1995</f>
        <v>principal-knowledge-authority -&gt; AgentDecisionRecords.RoleAssignmentWhenScored</v>
      </c>
      <c r="C1995" s="3" t="s">
        <v>9774</v>
      </c>
      <c r="D1995" s="3" t="s">
        <v>5026</v>
      </c>
      <c r="E1995" s="3" t="b">
        <v>1</v>
      </c>
      <c r="F1995" s="3" t="b">
        <v>0</v>
      </c>
      <c r="G1995" s="3" t="s">
        <v>10003</v>
      </c>
      <c r="H1995" s="4" t="str">
        <f>_xlfn.IFNA(IF(((INDEX(RulebookFields!C2:C1898, MATCH(D1995,RulebookFields!A2:A1898, 0))="")=TRUE),  "",  INDEX(RulebookFields!C2:C1898, MATCH(D1995,RulebookFields!A2:A1898, 0))), "")</f>
        <v>AgentDecisionRecords</v>
      </c>
      <c r="I1995" s="4" t="str">
        <f>_xlfn.IFNA(IF(((INDEX(RulebookFields!D2:D1898, MATCH(D1995,RulebookFields!A2:A1898, 0))="")=TRUE),  "",  INDEX(RulebookFields!D2:D1898, MATCH(D1995,RulebookFields!A2:A1898, 0))), "")</f>
        <v>RoleAssignmentWhenScored</v>
      </c>
      <c r="J1995" s="4" t="b">
        <f>_xlfn.IFNA(IF(((INDEX(RulebookFields!I2:I1898, MATCH(D1995,RulebookFields!A2:A1898, 0))="")=TRUE),  "",  INDEX(RulebookFields!I2:I1898, MATCH(D1995,RulebookFields!A2:A1898, 0))), "")</f>
        <v>1</v>
      </c>
      <c r="K1995" s="4" t="b">
        <f>AND(((F1995)=TRUE), ((J1995)=TRUE))</f>
        <v>0</v>
      </c>
      <c r="L1995" s="4" t="b">
        <f>AND(((G1995 &lt;&gt; "plain")=TRUE), ((G1995 &lt;&gt; "")=TRUE))</f>
        <v>0</v>
      </c>
      <c r="M1995" s="4" t="str">
        <f>IF(((E1995)=TRUE),  C1995 &amp; "|" &amp; H1995,  "")</f>
        <v>principal-knowledge-authority|AgentDecisionRecords</v>
      </c>
      <c r="N1995" s="3" t="s">
        <v>10004</v>
      </c>
    </row>
    <row r="1996">
      <c r="A1996" s="3" t="s">
        <v>11998</v>
      </c>
      <c r="B1996" s="4" t="str">
        <f>C1996 &amp; " -&gt; " &amp; D1996</f>
        <v>principal-knowledge-authority -&gt; AgentDecisionRecords.RoleAssignmentWhenOverridden</v>
      </c>
      <c r="C1996" s="3" t="s">
        <v>9774</v>
      </c>
      <c r="D1996" s="3" t="s">
        <v>5029</v>
      </c>
      <c r="E1996" s="3" t="b">
        <v>1</v>
      </c>
      <c r="F1996" s="3" t="b">
        <v>0</v>
      </c>
      <c r="G1996" s="3" t="s">
        <v>10003</v>
      </c>
      <c r="H1996" s="4" t="str">
        <f>_xlfn.IFNA(IF(((INDEX(RulebookFields!C2:C1898, MATCH(D1996,RulebookFields!A2:A1898, 0))="")=TRUE),  "",  INDEX(RulebookFields!C2:C1898, MATCH(D1996,RulebookFields!A2:A1898, 0))), "")</f>
        <v>AgentDecisionRecords</v>
      </c>
      <c r="I1996" s="4" t="str">
        <f>_xlfn.IFNA(IF(((INDEX(RulebookFields!D2:D1898, MATCH(D1996,RulebookFields!A2:A1898, 0))="")=TRUE),  "",  INDEX(RulebookFields!D2:D1898, MATCH(D1996,RulebookFields!A2:A1898, 0))), "")</f>
        <v>RoleAssignmentWhenOverridden</v>
      </c>
      <c r="J1996" s="4" t="b">
        <f>_xlfn.IFNA(IF(((INDEX(RulebookFields!I2:I1898, MATCH(D1996,RulebookFields!A2:A1898, 0))="")=TRUE),  "",  INDEX(RulebookFields!I2:I1898, MATCH(D1996,RulebookFields!A2:A1898, 0))), "")</f>
        <v>1</v>
      </c>
      <c r="K1996" s="4" t="b">
        <f>AND(((F1996)=TRUE), ((J1996)=TRUE))</f>
        <v>0</v>
      </c>
      <c r="L1996" s="4" t="b">
        <f>AND(((G1996 &lt;&gt; "plain")=TRUE), ((G1996 &lt;&gt; "")=TRUE))</f>
        <v>0</v>
      </c>
      <c r="M1996" s="4" t="str">
        <f>IF(((E1996)=TRUE),  C1996 &amp; "|" &amp; H1996,  "")</f>
        <v>principal-knowledge-authority|AgentDecisionRecords</v>
      </c>
      <c r="N1996" s="3" t="s">
        <v>10004</v>
      </c>
    </row>
    <row r="1997">
      <c r="A1997" s="3" t="s">
        <v>11999</v>
      </c>
      <c r="B1997" s="4" t="str">
        <f>C1997 &amp; " -&gt; " &amp; D1997</f>
        <v>principal-knowledge-authority -&gt; AgentDecisionRecords.StepOfDecision</v>
      </c>
      <c r="C1997" s="3" t="s">
        <v>9774</v>
      </c>
      <c r="D1997" s="3" t="s">
        <v>5032</v>
      </c>
      <c r="E1997" s="3" t="b">
        <v>1</v>
      </c>
      <c r="F1997" s="3" t="b">
        <v>0</v>
      </c>
      <c r="G1997" s="3" t="s">
        <v>10003</v>
      </c>
      <c r="H1997" s="4" t="str">
        <f>_xlfn.IFNA(IF(((INDEX(RulebookFields!C2:C1898, MATCH(D1997,RulebookFields!A2:A1898, 0))="")=TRUE),  "",  INDEX(RulebookFields!C2:C1898, MATCH(D1997,RulebookFields!A2:A1898, 0))), "")</f>
        <v>AgentDecisionRecords</v>
      </c>
      <c r="I1997" s="4" t="str">
        <f>_xlfn.IFNA(IF(((INDEX(RulebookFields!D2:D1898, MATCH(D1997,RulebookFields!A2:A1898, 0))="")=TRUE),  "",  INDEX(RulebookFields!D2:D1898, MATCH(D1997,RulebookFields!A2:A1898, 0))), "")</f>
        <v>StepOfDecision</v>
      </c>
      <c r="J1997" s="4" t="b">
        <f>_xlfn.IFNA(IF(((INDEX(RulebookFields!I2:I1898, MATCH(D1997,RulebookFields!A2:A1898, 0))="")=TRUE),  "",  INDEX(RulebookFields!I2:I1898, MATCH(D1997,RulebookFields!A2:A1898, 0))), "")</f>
        <v>1</v>
      </c>
      <c r="K1997" s="4" t="b">
        <f>AND(((F1997)=TRUE), ((J1997)=TRUE))</f>
        <v>0</v>
      </c>
      <c r="L1997" s="4" t="b">
        <f>AND(((G1997 &lt;&gt; "plain")=TRUE), ((G1997 &lt;&gt; "")=TRUE))</f>
        <v>0</v>
      </c>
      <c r="M1997" s="4" t="str">
        <f>IF(((E1997)=TRUE),  C1997 &amp; "|" &amp; H1997,  "")</f>
        <v>principal-knowledge-authority|AgentDecisionRecords</v>
      </c>
      <c r="N1997" s="3" t="s">
        <v>10004</v>
      </c>
    </row>
    <row r="1998">
      <c r="A1998" s="3" t="s">
        <v>12000</v>
      </c>
      <c r="B1998" s="4" t="str">
        <f>C1998 &amp; " -&gt; " &amp; D1998</f>
        <v>principal-knowledge-authority -&gt; AgentDecisionRecords.BoundaryMatchKey</v>
      </c>
      <c r="C1998" s="3" t="s">
        <v>9774</v>
      </c>
      <c r="D1998" s="3" t="s">
        <v>5034</v>
      </c>
      <c r="E1998" s="3" t="b">
        <v>1</v>
      </c>
      <c r="F1998" s="3" t="b">
        <v>0</v>
      </c>
      <c r="G1998" s="3" t="s">
        <v>10003</v>
      </c>
      <c r="H1998" s="4" t="str">
        <f>_xlfn.IFNA(IF(((INDEX(RulebookFields!C2:C1898, MATCH(D1998,RulebookFields!A2:A1898, 0))="")=TRUE),  "",  INDEX(RulebookFields!C2:C1898, MATCH(D1998,RulebookFields!A2:A1898, 0))), "")</f>
        <v>AgentDecisionRecords</v>
      </c>
      <c r="I1998" s="4" t="str">
        <f>_xlfn.IFNA(IF(((INDEX(RulebookFields!D2:D1898, MATCH(D1998,RulebookFields!A2:A1898, 0))="")=TRUE),  "",  INDEX(RulebookFields!D2:D1898, MATCH(D1998,RulebookFields!A2:A1898, 0))), "")</f>
        <v>BoundaryMatchKey</v>
      </c>
      <c r="J1998" s="4" t="b">
        <f>_xlfn.IFNA(IF(((INDEX(RulebookFields!I2:I1898, MATCH(D1998,RulebookFields!A2:A1898, 0))="")=TRUE),  "",  INDEX(RulebookFields!I2:I1898, MATCH(D1998,RulebookFields!A2:A1898, 0))), "")</f>
        <v>1</v>
      </c>
      <c r="K1998" s="4" t="b">
        <f>AND(((F1998)=TRUE), ((J1998)=TRUE))</f>
        <v>0</v>
      </c>
      <c r="L1998" s="4" t="b">
        <f>AND(((G1998 &lt;&gt; "plain")=TRUE), ((G1998 &lt;&gt; "")=TRUE))</f>
        <v>0</v>
      </c>
      <c r="M1998" s="4" t="str">
        <f>IF(((E1998)=TRUE),  C1998 &amp; "|" &amp; H1998,  "")</f>
        <v>principal-knowledge-authority|AgentDecisionRecords</v>
      </c>
      <c r="N1998" s="3" t="s">
        <v>10004</v>
      </c>
    </row>
    <row r="1999">
      <c r="A1999" s="3" t="s">
        <v>12001</v>
      </c>
      <c r="B1999" s="4" t="str">
        <f>C1999 &amp; " -&gt; " &amp; D1999</f>
        <v>principal-knowledge-authority -&gt; AgentDecisionRecords.MatchingBoundaryCount</v>
      </c>
      <c r="C1999" s="3" t="s">
        <v>9774</v>
      </c>
      <c r="D1999" s="3" t="s">
        <v>5037</v>
      </c>
      <c r="E1999" s="3" t="b">
        <v>1</v>
      </c>
      <c r="F1999" s="3" t="b">
        <v>0</v>
      </c>
      <c r="G1999" s="3" t="s">
        <v>10003</v>
      </c>
      <c r="H1999" s="4" t="str">
        <f>_xlfn.IFNA(IF(((INDEX(RulebookFields!C2:C1898, MATCH(D1999,RulebookFields!A2:A1898, 0))="")=TRUE),  "",  INDEX(RulebookFields!C2:C1898, MATCH(D1999,RulebookFields!A2:A1898, 0))), "")</f>
        <v>AgentDecisionRecords</v>
      </c>
      <c r="I1999" s="4" t="str">
        <f>_xlfn.IFNA(IF(((INDEX(RulebookFields!D2:D1898, MATCH(D1999,RulebookFields!A2:A1898, 0))="")=TRUE),  "",  INDEX(RulebookFields!D2:D1898, MATCH(D1999,RulebookFields!A2:A1898, 0))), "")</f>
        <v>MatchingBoundaryCount</v>
      </c>
      <c r="J1999" s="4" t="b">
        <f>_xlfn.IFNA(IF(((INDEX(RulebookFields!I2:I1898, MATCH(D1999,RulebookFields!A2:A1898, 0))="")=TRUE),  "",  INDEX(RulebookFields!I2:I1898, MATCH(D1999,RulebookFields!A2:A1898, 0))), "")</f>
        <v>1</v>
      </c>
      <c r="K1999" s="4" t="b">
        <f>AND(((F1999)=TRUE), ((J1999)=TRUE))</f>
        <v>0</v>
      </c>
      <c r="L1999" s="4" t="b">
        <f>AND(((G1999 &lt;&gt; "plain")=TRUE), ((G1999 &lt;&gt; "")=TRUE))</f>
        <v>0</v>
      </c>
      <c r="M1999" s="4" t="str">
        <f>IF(((E1999)=TRUE),  C1999 &amp; "|" &amp; H1999,  "")</f>
        <v>principal-knowledge-authority|AgentDecisionRecords</v>
      </c>
      <c r="N1999" s="3" t="s">
        <v>10004</v>
      </c>
    </row>
    <row r="2000">
      <c r="A2000" s="3" t="s">
        <v>12002</v>
      </c>
      <c r="B2000" s="4" t="str">
        <f>C2000 &amp; " -&gt; " &amp; D2000</f>
        <v>principal-knowledge-authority -&gt; AgentDecisionRecords.ViolatedAuthorityBoundary</v>
      </c>
      <c r="C2000" s="3" t="s">
        <v>9774</v>
      </c>
      <c r="D2000" s="3" t="s">
        <v>5040</v>
      </c>
      <c r="E2000" s="3" t="b">
        <v>1</v>
      </c>
      <c r="F2000" s="3" t="b">
        <v>0</v>
      </c>
      <c r="G2000" s="3" t="s">
        <v>10003</v>
      </c>
      <c r="H2000" s="4" t="str">
        <f>_xlfn.IFNA(IF(((INDEX(RulebookFields!C2:C1898, MATCH(D2000,RulebookFields!A2:A1898, 0))="")=TRUE),  "",  INDEX(RulebookFields!C2:C1898, MATCH(D2000,RulebookFields!A2:A1898, 0))), "")</f>
        <v>AgentDecisionRecords</v>
      </c>
      <c r="I2000" s="4" t="str">
        <f>_xlfn.IFNA(IF(((INDEX(RulebookFields!D2:D1898, MATCH(D2000,RulebookFields!A2:A1898, 0))="")=TRUE),  "",  INDEX(RulebookFields!D2:D1898, MATCH(D2000,RulebookFields!A2:A1898, 0))), "")</f>
        <v>ViolatedAuthorityBoundary</v>
      </c>
      <c r="J2000" s="4" t="b">
        <f>_xlfn.IFNA(IF(((INDEX(RulebookFields!I2:I1898, MATCH(D2000,RulebookFields!A2:A1898, 0))="")=TRUE),  "",  INDEX(RulebookFields!I2:I1898, MATCH(D2000,RulebookFields!A2:A1898, 0))), "")</f>
        <v>1</v>
      </c>
      <c r="K2000" s="4" t="b">
        <f>AND(((F2000)=TRUE), ((J2000)=TRUE))</f>
        <v>0</v>
      </c>
      <c r="L2000" s="4" t="b">
        <f>AND(((G2000 &lt;&gt; "plain")=TRUE), ((G2000 &lt;&gt; "")=TRUE))</f>
        <v>0</v>
      </c>
      <c r="M2000" s="4" t="str">
        <f>IF(((E2000)=TRUE),  C2000 &amp; "|" &amp; H2000,  "")</f>
        <v>principal-knowledge-authority|AgentDecisionRecords</v>
      </c>
      <c r="N2000" s="3" t="s">
        <v>10004</v>
      </c>
    </row>
    <row r="2001">
      <c r="A2001" s="3" t="s">
        <v>12003</v>
      </c>
      <c r="B2001" s="4" t="str">
        <f>C2001 &amp; " -&gt; " &amp; D2001</f>
        <v>principal-knowledge-authority -&gt; AgentDecisionRecords.ReviewerAgentKind</v>
      </c>
      <c r="C2001" s="3" t="s">
        <v>9774</v>
      </c>
      <c r="D2001" s="3" t="s">
        <v>5043</v>
      </c>
      <c r="E2001" s="3" t="b">
        <v>1</v>
      </c>
      <c r="F2001" s="3" t="b">
        <v>0</v>
      </c>
      <c r="G2001" s="3" t="s">
        <v>10003</v>
      </c>
      <c r="H2001" s="4" t="str">
        <f>_xlfn.IFNA(IF(((INDEX(RulebookFields!C2:C1898, MATCH(D2001,RulebookFields!A2:A1898, 0))="")=TRUE),  "",  INDEX(RulebookFields!C2:C1898, MATCH(D2001,RulebookFields!A2:A1898, 0))), "")</f>
        <v>AgentDecisionRecords</v>
      </c>
      <c r="I2001" s="4" t="str">
        <f>_xlfn.IFNA(IF(((INDEX(RulebookFields!D2:D1898, MATCH(D2001,RulebookFields!A2:A1898, 0))="")=TRUE),  "",  INDEX(RulebookFields!D2:D1898, MATCH(D2001,RulebookFields!A2:A1898, 0))), "")</f>
        <v>ReviewerAgentKind</v>
      </c>
      <c r="J2001" s="4" t="b">
        <f>_xlfn.IFNA(IF(((INDEX(RulebookFields!I2:I1898, MATCH(D2001,RulebookFields!A2:A1898, 0))="")=TRUE),  "",  INDEX(RulebookFields!I2:I1898, MATCH(D2001,RulebookFields!A2:A1898, 0))), "")</f>
        <v>1</v>
      </c>
      <c r="K2001" s="4" t="b">
        <f>AND(((F2001)=TRUE), ((J2001)=TRUE))</f>
        <v>0</v>
      </c>
      <c r="L2001" s="4" t="b">
        <f>AND(((G2001 &lt;&gt; "plain")=TRUE), ((G2001 &lt;&gt; "")=TRUE))</f>
        <v>0</v>
      </c>
      <c r="M2001" s="4" t="str">
        <f>IF(((E2001)=TRUE),  C2001 &amp; "|" &amp; H2001,  "")</f>
        <v>principal-knowledge-authority|AgentDecisionRecords</v>
      </c>
      <c r="N2001" s="3" t="s">
        <v>10004</v>
      </c>
    </row>
    <row r="2002">
      <c r="A2002" s="3" t="s">
        <v>12004</v>
      </c>
      <c r="B2002" s="4" t="str">
        <f>C2002 &amp; " -&gt; " &amp; D2002</f>
        <v>principal-knowledge-authority -&gt; AgentDecisionRecords.HasHumanConfirmation</v>
      </c>
      <c r="C2002" s="3" t="s">
        <v>9774</v>
      </c>
      <c r="D2002" s="3" t="s">
        <v>5046</v>
      </c>
      <c r="E2002" s="3" t="b">
        <v>1</v>
      </c>
      <c r="F2002" s="3" t="b">
        <v>0</v>
      </c>
      <c r="G2002" s="3" t="s">
        <v>10003</v>
      </c>
      <c r="H2002" s="4" t="str">
        <f>_xlfn.IFNA(IF(((INDEX(RulebookFields!C2:C1898, MATCH(D2002,RulebookFields!A2:A1898, 0))="")=TRUE),  "",  INDEX(RulebookFields!C2:C1898, MATCH(D2002,RulebookFields!A2:A1898, 0))), "")</f>
        <v>AgentDecisionRecords</v>
      </c>
      <c r="I2002" s="4" t="str">
        <f>_xlfn.IFNA(IF(((INDEX(RulebookFields!D2:D1898, MATCH(D2002,RulebookFields!A2:A1898, 0))="")=TRUE),  "",  INDEX(RulebookFields!D2:D1898, MATCH(D2002,RulebookFields!A2:A1898, 0))), "")</f>
        <v>HasHumanConfirmation</v>
      </c>
      <c r="J2002" s="4" t="b">
        <f>_xlfn.IFNA(IF(((INDEX(RulebookFields!I2:I1898, MATCH(D2002,RulebookFields!A2:A1898, 0))="")=TRUE),  "",  INDEX(RulebookFields!I2:I1898, MATCH(D2002,RulebookFields!A2:A1898, 0))), "")</f>
        <v>1</v>
      </c>
      <c r="K2002" s="4" t="b">
        <f>AND(((F2002)=TRUE), ((J2002)=TRUE))</f>
        <v>0</v>
      </c>
      <c r="L2002" s="4" t="b">
        <f>AND(((G2002 &lt;&gt; "plain")=TRUE), ((G2002 &lt;&gt; "")=TRUE))</f>
        <v>0</v>
      </c>
      <c r="M2002" s="4" t="str">
        <f>IF(((E2002)=TRUE),  C2002 &amp; "|" &amp; H2002,  "")</f>
        <v>principal-knowledge-authority|AgentDecisionRecords</v>
      </c>
      <c r="N2002" s="3" t="s">
        <v>10004</v>
      </c>
    </row>
    <row r="2003">
      <c r="A2003" s="3" t="s">
        <v>12005</v>
      </c>
      <c r="B2003" s="4" t="str">
        <f>C2003 &amp; " -&gt; " &amp; D2003</f>
        <v>principal-knowledge-authority -&gt; AgentDecisionRecords.NeedsHumanConfirmation</v>
      </c>
      <c r="C2003" s="3" t="s">
        <v>9774</v>
      </c>
      <c r="D2003" s="3" t="s">
        <v>5049</v>
      </c>
      <c r="E2003" s="3" t="b">
        <v>1</v>
      </c>
      <c r="F2003" s="3" t="b">
        <v>0</v>
      </c>
      <c r="G2003" s="3" t="s">
        <v>10003</v>
      </c>
      <c r="H2003" s="4" t="str">
        <f>_xlfn.IFNA(IF(((INDEX(RulebookFields!C2:C1898, MATCH(D2003,RulebookFields!A2:A1898, 0))="")=TRUE),  "",  INDEX(RulebookFields!C2:C1898, MATCH(D2003,RulebookFields!A2:A1898, 0))), "")</f>
        <v>AgentDecisionRecords</v>
      </c>
      <c r="I2003" s="4" t="str">
        <f>_xlfn.IFNA(IF(((INDEX(RulebookFields!D2:D1898, MATCH(D2003,RulebookFields!A2:A1898, 0))="")=TRUE),  "",  INDEX(RulebookFields!D2:D1898, MATCH(D2003,RulebookFields!A2:A1898, 0))), "")</f>
        <v>NeedsHumanConfirmation</v>
      </c>
      <c r="J2003" s="4" t="b">
        <f>_xlfn.IFNA(IF(((INDEX(RulebookFields!I2:I1898, MATCH(D2003,RulebookFields!A2:A1898, 0))="")=TRUE),  "",  INDEX(RulebookFields!I2:I1898, MATCH(D2003,RulebookFields!A2:A1898, 0))), "")</f>
        <v>1</v>
      </c>
      <c r="K2003" s="4" t="b">
        <f>AND(((F2003)=TRUE), ((J2003)=TRUE))</f>
        <v>0</v>
      </c>
      <c r="L2003" s="4" t="b">
        <f>AND(((G2003 &lt;&gt; "plain")=TRUE), ((G2003 &lt;&gt; "")=TRUE))</f>
        <v>0</v>
      </c>
      <c r="M2003" s="4" t="str">
        <f>IF(((E2003)=TRUE),  C2003 &amp; "|" &amp; H2003,  "")</f>
        <v>principal-knowledge-authority|AgentDecisionRecords</v>
      </c>
      <c r="N2003" s="3" t="s">
        <v>10004</v>
      </c>
    </row>
    <row r="2004">
      <c r="A2004" s="3" t="s">
        <v>12006</v>
      </c>
      <c r="B2004" s="4" t="str">
        <f>C2004 &amp; " -&gt; " &amp; D2004</f>
        <v>principal-knowledge-authority -&gt; AgentDecisionRecords.IsUnconfirmedNonHumanDecision</v>
      </c>
      <c r="C2004" s="3" t="s">
        <v>9774</v>
      </c>
      <c r="D2004" s="3" t="s">
        <v>5052</v>
      </c>
      <c r="E2004" s="3" t="b">
        <v>1</v>
      </c>
      <c r="F2004" s="3" t="b">
        <v>0</v>
      </c>
      <c r="G2004" s="3" t="s">
        <v>10003</v>
      </c>
      <c r="H2004" s="4" t="str">
        <f>_xlfn.IFNA(IF(((INDEX(RulebookFields!C2:C1898, MATCH(D2004,RulebookFields!A2:A1898, 0))="")=TRUE),  "",  INDEX(RulebookFields!C2:C1898, MATCH(D2004,RulebookFields!A2:A1898, 0))), "")</f>
        <v>AgentDecisionRecords</v>
      </c>
      <c r="I2004" s="4" t="str">
        <f>_xlfn.IFNA(IF(((INDEX(RulebookFields!D2:D1898, MATCH(D2004,RulebookFields!A2:A1898, 0))="")=TRUE),  "",  INDEX(RulebookFields!D2:D1898, MATCH(D2004,RulebookFields!A2:A1898, 0))), "")</f>
        <v>IsUnconfirmedNonHumanDecision</v>
      </c>
      <c r="J2004" s="4" t="b">
        <f>_xlfn.IFNA(IF(((INDEX(RulebookFields!I2:I1898, MATCH(D2004,RulebookFields!A2:A1898, 0))="")=TRUE),  "",  INDEX(RulebookFields!I2:I1898, MATCH(D2004,RulebookFields!A2:A1898, 0))), "")</f>
        <v>1</v>
      </c>
      <c r="K2004" s="4" t="b">
        <f>AND(((F2004)=TRUE), ((J2004)=TRUE))</f>
        <v>0</v>
      </c>
      <c r="L2004" s="4" t="b">
        <f>AND(((G2004 &lt;&gt; "plain")=TRUE), ((G2004 &lt;&gt; "")=TRUE))</f>
        <v>0</v>
      </c>
      <c r="M2004" s="4" t="str">
        <f>IF(((E2004)=TRUE),  C2004 &amp; "|" &amp; H2004,  "")</f>
        <v>principal-knowledge-authority|AgentDecisionRecords</v>
      </c>
      <c r="N2004" s="3" t="s">
        <v>10004</v>
      </c>
    </row>
    <row r="2005">
      <c r="A2005" s="3" t="s">
        <v>12007</v>
      </c>
      <c r="B2005" s="4" t="str">
        <f>C2005 &amp; " -&gt; " &amp; D2005</f>
        <v>principal-knowledge-authority -&gt; AgentDecisionRecords.StepExecutionWhenUnconfirmed</v>
      </c>
      <c r="C2005" s="3" t="s">
        <v>9774</v>
      </c>
      <c r="D2005" s="3" t="s">
        <v>5055</v>
      </c>
      <c r="E2005" s="3" t="b">
        <v>1</v>
      </c>
      <c r="F2005" s="3" t="b">
        <v>0</v>
      </c>
      <c r="G2005" s="3" t="s">
        <v>10003</v>
      </c>
      <c r="H2005" s="4" t="str">
        <f>_xlfn.IFNA(IF(((INDEX(RulebookFields!C2:C1898, MATCH(D2005,RulebookFields!A2:A1898, 0))="")=TRUE),  "",  INDEX(RulebookFields!C2:C1898, MATCH(D2005,RulebookFields!A2:A1898, 0))), "")</f>
        <v>AgentDecisionRecords</v>
      </c>
      <c r="I2005" s="4" t="str">
        <f>_xlfn.IFNA(IF(((INDEX(RulebookFields!D2:D1898, MATCH(D2005,RulebookFields!A2:A1898, 0))="")=TRUE),  "",  INDEX(RulebookFields!D2:D1898, MATCH(D2005,RulebookFields!A2:A1898, 0))), "")</f>
        <v>StepExecutionWhenUnconfirmed</v>
      </c>
      <c r="J2005" s="4" t="b">
        <f>_xlfn.IFNA(IF(((INDEX(RulebookFields!I2:I1898, MATCH(D2005,RulebookFields!A2:A1898, 0))="")=TRUE),  "",  INDEX(RulebookFields!I2:I1898, MATCH(D2005,RulebookFields!A2:A1898, 0))), "")</f>
        <v>1</v>
      </c>
      <c r="K2005" s="4" t="b">
        <f>AND(((F2005)=TRUE), ((J2005)=TRUE))</f>
        <v>0</v>
      </c>
      <c r="L2005" s="4" t="b">
        <f>AND(((G2005 &lt;&gt; "plain")=TRUE), ((G2005 &lt;&gt; "")=TRUE))</f>
        <v>0</v>
      </c>
      <c r="M2005" s="4" t="str">
        <f>IF(((E2005)=TRUE),  C2005 &amp; "|" &amp; H2005,  "")</f>
        <v>principal-knowledge-authority|AgentDecisionRecords</v>
      </c>
      <c r="N2005" s="3" t="s">
        <v>10004</v>
      </c>
    </row>
    <row r="2006">
      <c r="A2006" s="3" t="s">
        <v>12008</v>
      </c>
      <c r="B2006" s="4" t="str">
        <f>C2006 &amp; " -&gt; " &amp; D2006</f>
        <v>principal-knowledge-authority -&gt; AgentDecisionRecords.AgentWhenBoundaryViolated</v>
      </c>
      <c r="C2006" s="3" t="s">
        <v>9774</v>
      </c>
      <c r="D2006" s="3" t="s">
        <v>5058</v>
      </c>
      <c r="E2006" s="3" t="b">
        <v>1</v>
      </c>
      <c r="F2006" s="3" t="b">
        <v>0</v>
      </c>
      <c r="G2006" s="3" t="s">
        <v>10003</v>
      </c>
      <c r="H2006" s="4" t="str">
        <f>_xlfn.IFNA(IF(((INDEX(RulebookFields!C2:C1898, MATCH(D2006,RulebookFields!A2:A1898, 0))="")=TRUE),  "",  INDEX(RulebookFields!C2:C1898, MATCH(D2006,RulebookFields!A2:A1898, 0))), "")</f>
        <v>AgentDecisionRecords</v>
      </c>
      <c r="I2006" s="4" t="str">
        <f>_xlfn.IFNA(IF(((INDEX(RulebookFields!D2:D1898, MATCH(D2006,RulebookFields!A2:A1898, 0))="")=TRUE),  "",  INDEX(RulebookFields!D2:D1898, MATCH(D2006,RulebookFields!A2:A1898, 0))), "")</f>
        <v>AgentWhenBoundaryViolated</v>
      </c>
      <c r="J2006" s="4" t="b">
        <f>_xlfn.IFNA(IF(((INDEX(RulebookFields!I2:I1898, MATCH(D2006,RulebookFields!A2:A1898, 0))="")=TRUE),  "",  INDEX(RulebookFields!I2:I1898, MATCH(D2006,RulebookFields!A2:A1898, 0))), "")</f>
        <v>1</v>
      </c>
      <c r="K2006" s="4" t="b">
        <f>AND(((F2006)=TRUE), ((J2006)=TRUE))</f>
        <v>0</v>
      </c>
      <c r="L2006" s="4" t="b">
        <f>AND(((G2006 &lt;&gt; "plain")=TRUE), ((G2006 &lt;&gt; "")=TRUE))</f>
        <v>0</v>
      </c>
      <c r="M2006" s="4" t="str">
        <f>IF(((E2006)=TRUE),  C2006 &amp; "|" &amp; H2006,  "")</f>
        <v>principal-knowledge-authority|AgentDecisionRecords</v>
      </c>
      <c r="N2006" s="3" t="s">
        <v>10004</v>
      </c>
    </row>
    <row r="2007">
      <c r="A2007" s="3" t="s">
        <v>12009</v>
      </c>
      <c r="B2007" s="4" t="str">
        <f>C2007 &amp; " -&gt; " &amp; D2007</f>
        <v>principal-knowledge-authority -&gt; AgentDecisionRecords.ReviewLatencyMinutes</v>
      </c>
      <c r="C2007" s="3" t="s">
        <v>9774</v>
      </c>
      <c r="D2007" s="3" t="s">
        <v>5061</v>
      </c>
      <c r="E2007" s="3" t="b">
        <v>1</v>
      </c>
      <c r="F2007" s="3" t="b">
        <v>0</v>
      </c>
      <c r="G2007" s="3" t="s">
        <v>10003</v>
      </c>
      <c r="H2007" s="4" t="str">
        <f>_xlfn.IFNA(IF(((INDEX(RulebookFields!C2:C1898, MATCH(D2007,RulebookFields!A2:A1898, 0))="")=TRUE),  "",  INDEX(RulebookFields!C2:C1898, MATCH(D2007,RulebookFields!A2:A1898, 0))), "")</f>
        <v>AgentDecisionRecords</v>
      </c>
      <c r="I2007" s="4" t="str">
        <f>_xlfn.IFNA(IF(((INDEX(RulebookFields!D2:D1898, MATCH(D2007,RulebookFields!A2:A1898, 0))="")=TRUE),  "",  INDEX(RulebookFields!D2:D1898, MATCH(D2007,RulebookFields!A2:A1898, 0))), "")</f>
        <v>ReviewLatencyMinutes</v>
      </c>
      <c r="J2007" s="4" t="b">
        <f>_xlfn.IFNA(IF(((INDEX(RulebookFields!I2:I1898, MATCH(D2007,RulebookFields!A2:A1898, 0))="")=TRUE),  "",  INDEX(RulebookFields!I2:I1898, MATCH(D2007,RulebookFields!A2:A1898, 0))), "")</f>
        <v>1</v>
      </c>
      <c r="K2007" s="4" t="b">
        <f>AND(((F2007)=TRUE), ((J2007)=TRUE))</f>
        <v>0</v>
      </c>
      <c r="L2007" s="4" t="b">
        <f>AND(((G2007 &lt;&gt; "plain")=TRUE), ((G2007 &lt;&gt; "")=TRUE))</f>
        <v>0</v>
      </c>
      <c r="M2007" s="4" t="str">
        <f>IF(((E2007)=TRUE),  C2007 &amp; "|" &amp; H2007,  "")</f>
        <v>principal-knowledge-authority|AgentDecisionRecords</v>
      </c>
      <c r="N2007" s="3" t="s">
        <v>10004</v>
      </c>
    </row>
    <row r="2008">
      <c r="A2008" s="3" t="s">
        <v>12010</v>
      </c>
      <c r="B2008" s="4" t="str">
        <f>C2008 &amp; " -&gt; " &amp; D2008</f>
        <v>principal-knowledge-authority -&gt; AgentDecisionRecords.IsDraftKind</v>
      </c>
      <c r="C2008" s="3" t="s">
        <v>9774</v>
      </c>
      <c r="D2008" s="3" t="s">
        <v>5064</v>
      </c>
      <c r="E2008" s="3" t="b">
        <v>1</v>
      </c>
      <c r="F2008" s="3" t="b">
        <v>0</v>
      </c>
      <c r="G2008" s="3" t="s">
        <v>10003</v>
      </c>
      <c r="H2008" s="4" t="str">
        <f>_xlfn.IFNA(IF(((INDEX(RulebookFields!C2:C1898, MATCH(D2008,RulebookFields!A2:A1898, 0))="")=TRUE),  "",  INDEX(RulebookFields!C2:C1898, MATCH(D2008,RulebookFields!A2:A1898, 0))), "")</f>
        <v>AgentDecisionRecords</v>
      </c>
      <c r="I2008" s="4" t="str">
        <f>_xlfn.IFNA(IF(((INDEX(RulebookFields!D2:D1898, MATCH(D2008,RulebookFields!A2:A1898, 0))="")=TRUE),  "",  INDEX(RulebookFields!D2:D1898, MATCH(D2008,RulebookFields!A2:A1898, 0))), "")</f>
        <v>IsDraftKind</v>
      </c>
      <c r="J2008" s="4" t="b">
        <f>_xlfn.IFNA(IF(((INDEX(RulebookFields!I2:I1898, MATCH(D2008,RulebookFields!A2:A1898, 0))="")=TRUE),  "",  INDEX(RulebookFields!I2:I1898, MATCH(D2008,RulebookFields!A2:A1898, 0))), "")</f>
        <v>1</v>
      </c>
      <c r="K2008" s="4" t="b">
        <f>AND(((F2008)=TRUE), ((J2008)=TRUE))</f>
        <v>0</v>
      </c>
      <c r="L2008" s="4" t="b">
        <f>AND(((G2008 &lt;&gt; "plain")=TRUE), ((G2008 &lt;&gt; "")=TRUE))</f>
        <v>0</v>
      </c>
      <c r="M2008" s="4" t="str">
        <f>IF(((E2008)=TRUE),  C2008 &amp; "|" &amp; H2008,  "")</f>
        <v>principal-knowledge-authority|AgentDecisionRecords</v>
      </c>
      <c r="N2008" s="3" t="s">
        <v>10004</v>
      </c>
    </row>
    <row r="2009">
      <c r="A2009" s="3" t="s">
        <v>12011</v>
      </c>
      <c r="B2009" s="4" t="str">
        <f>C2009 &amp; " -&gt; " &amp; D2009</f>
        <v>principal-knowledge-authority -&gt; AgentDecisionRecords.AgentWhenDraftOverridden</v>
      </c>
      <c r="C2009" s="3" t="s">
        <v>9774</v>
      </c>
      <c r="D2009" s="3" t="s">
        <v>5067</v>
      </c>
      <c r="E2009" s="3" t="b">
        <v>1</v>
      </c>
      <c r="F2009" s="3" t="b">
        <v>0</v>
      </c>
      <c r="G2009" s="3" t="s">
        <v>10003</v>
      </c>
      <c r="H2009" s="4" t="str">
        <f>_xlfn.IFNA(IF(((INDEX(RulebookFields!C2:C1898, MATCH(D2009,RulebookFields!A2:A1898, 0))="")=TRUE),  "",  INDEX(RulebookFields!C2:C1898, MATCH(D2009,RulebookFields!A2:A1898, 0))), "")</f>
        <v>AgentDecisionRecords</v>
      </c>
      <c r="I2009" s="4" t="str">
        <f>_xlfn.IFNA(IF(((INDEX(RulebookFields!D2:D1898, MATCH(D2009,RulebookFields!A2:A1898, 0))="")=TRUE),  "",  INDEX(RulebookFields!D2:D1898, MATCH(D2009,RulebookFields!A2:A1898, 0))), "")</f>
        <v>AgentWhenDraftOverridden</v>
      </c>
      <c r="J2009" s="4" t="b">
        <f>_xlfn.IFNA(IF(((INDEX(RulebookFields!I2:I1898, MATCH(D2009,RulebookFields!A2:A1898, 0))="")=TRUE),  "",  INDEX(RulebookFields!I2:I1898, MATCH(D2009,RulebookFields!A2:A1898, 0))), "")</f>
        <v>1</v>
      </c>
      <c r="K2009" s="4" t="b">
        <f>AND(((F2009)=TRUE), ((J2009)=TRUE))</f>
        <v>0</v>
      </c>
      <c r="L2009" s="4" t="b">
        <f>AND(((G2009 &lt;&gt; "plain")=TRUE), ((G2009 &lt;&gt; "")=TRUE))</f>
        <v>0</v>
      </c>
      <c r="M2009" s="4" t="str">
        <f>IF(((E2009)=TRUE),  C2009 &amp; "|" &amp; H2009,  "")</f>
        <v>principal-knowledge-authority|AgentDecisionRecords</v>
      </c>
      <c r="N2009" s="3" t="s">
        <v>10004</v>
      </c>
    </row>
    <row r="2010">
      <c r="A2010" s="3" t="s">
        <v>12012</v>
      </c>
      <c r="B2010" s="4" t="str">
        <f>C2010 &amp; " -&gt; " &amp; D2010</f>
        <v>principal-knowledge-authority -&gt; AgentDecisionRecords.AgentWhenDraft</v>
      </c>
      <c r="C2010" s="3" t="s">
        <v>9774</v>
      </c>
      <c r="D2010" s="3" t="s">
        <v>5070</v>
      </c>
      <c r="E2010" s="3" t="b">
        <v>1</v>
      </c>
      <c r="F2010" s="3" t="b">
        <v>0</v>
      </c>
      <c r="G2010" s="3" t="s">
        <v>10003</v>
      </c>
      <c r="H2010" s="4" t="str">
        <f>_xlfn.IFNA(IF(((INDEX(RulebookFields!C2:C1898, MATCH(D2010,RulebookFields!A2:A1898, 0))="")=TRUE),  "",  INDEX(RulebookFields!C2:C1898, MATCH(D2010,RulebookFields!A2:A1898, 0))), "")</f>
        <v>AgentDecisionRecords</v>
      </c>
      <c r="I2010" s="4" t="str">
        <f>_xlfn.IFNA(IF(((INDEX(RulebookFields!D2:D1898, MATCH(D2010,RulebookFields!A2:A1898, 0))="")=TRUE),  "",  INDEX(RulebookFields!D2:D1898, MATCH(D2010,RulebookFields!A2:A1898, 0))), "")</f>
        <v>AgentWhenDraft</v>
      </c>
      <c r="J2010" s="4" t="b">
        <f>_xlfn.IFNA(IF(((INDEX(RulebookFields!I2:I1898, MATCH(D2010,RulebookFields!A2:A1898, 0))="")=TRUE),  "",  INDEX(RulebookFields!I2:I1898, MATCH(D2010,RulebookFields!A2:A1898, 0))), "")</f>
        <v>1</v>
      </c>
      <c r="K2010" s="4" t="b">
        <f>AND(((F2010)=TRUE), ((J2010)=TRUE))</f>
        <v>0</v>
      </c>
      <c r="L2010" s="4" t="b">
        <f>AND(((G2010 &lt;&gt; "plain")=TRUE), ((G2010 &lt;&gt; "")=TRUE))</f>
        <v>0</v>
      </c>
      <c r="M2010" s="4" t="str">
        <f>IF(((E2010)=TRUE),  C2010 &amp; "|" &amp; H2010,  "")</f>
        <v>principal-knowledge-authority|AgentDecisionRecords</v>
      </c>
      <c r="N2010" s="3" t="s">
        <v>10004</v>
      </c>
    </row>
    <row r="2011">
      <c r="A2011" s="3" t="s">
        <v>12013</v>
      </c>
      <c r="B2011" s="4" t="str">
        <f>C2011 &amp; " -&gt; " &amp; D2011</f>
        <v>principal-knowledge-authority -&gt; AgentDecisionRecords.OverrideReasonKind</v>
      </c>
      <c r="C2011" s="3" t="s">
        <v>9774</v>
      </c>
      <c r="D2011" s="3" t="s">
        <v>5073</v>
      </c>
      <c r="E2011" s="3" t="b">
        <v>1</v>
      </c>
      <c r="F2011" s="3" t="b">
        <v>0</v>
      </c>
      <c r="G2011" s="3" t="s">
        <v>10003</v>
      </c>
      <c r="H2011" s="4" t="str">
        <f>_xlfn.IFNA(IF(((INDEX(RulebookFields!C2:C1898, MATCH(D2011,RulebookFields!A2:A1898, 0))="")=TRUE),  "",  INDEX(RulebookFields!C2:C1898, MATCH(D2011,RulebookFields!A2:A1898, 0))), "")</f>
        <v>AgentDecisionRecords</v>
      </c>
      <c r="I2011" s="4" t="str">
        <f>_xlfn.IFNA(IF(((INDEX(RulebookFields!D2:D1898, MATCH(D2011,RulebookFields!A2:A1898, 0))="")=TRUE),  "",  INDEX(RulebookFields!D2:D1898, MATCH(D2011,RulebookFields!A2:A1898, 0))), "")</f>
        <v>OverrideReasonKind</v>
      </c>
      <c r="J2011" s="4" t="b">
        <f>_xlfn.IFNA(IF(((INDEX(RulebookFields!I2:I1898, MATCH(D2011,RulebookFields!A2:A1898, 0))="")=TRUE),  "",  INDEX(RulebookFields!I2:I1898, MATCH(D2011,RulebookFields!A2:A1898, 0))), "")</f>
        <v>0</v>
      </c>
      <c r="K2011" s="4" t="b">
        <f>AND(((F2011)=TRUE), ((J2011)=TRUE))</f>
        <v>0</v>
      </c>
      <c r="L2011" s="4" t="b">
        <f>AND(((G2011 &lt;&gt; "plain")=TRUE), ((G2011 &lt;&gt; "")=TRUE))</f>
        <v>0</v>
      </c>
      <c r="M2011" s="4" t="str">
        <f>IF(((E2011)=TRUE),  C2011 &amp; "|" &amp; H2011,  "")</f>
        <v>principal-knowledge-authority|AgentDecisionRecords</v>
      </c>
      <c r="N2011" s="3" t="s">
        <v>10004</v>
      </c>
    </row>
    <row r="2012">
      <c r="A2012" s="3" t="s">
        <v>12014</v>
      </c>
      <c r="B2012" s="4" t="str">
        <f>C2012 &amp; " -&gt; " &amp; D2012</f>
        <v>principal-knowledge-authority -&gt; AgentDecisionRecords.IsErrorCorrection</v>
      </c>
      <c r="C2012" s="3" t="s">
        <v>9774</v>
      </c>
      <c r="D2012" s="3" t="s">
        <v>5075</v>
      </c>
      <c r="E2012" s="3" t="b">
        <v>1</v>
      </c>
      <c r="F2012" s="3" t="b">
        <v>0</v>
      </c>
      <c r="G2012" s="3" t="s">
        <v>10003</v>
      </c>
      <c r="H2012" s="4" t="str">
        <f>_xlfn.IFNA(IF(((INDEX(RulebookFields!C2:C1898, MATCH(D2012,RulebookFields!A2:A1898, 0))="")=TRUE),  "",  INDEX(RulebookFields!C2:C1898, MATCH(D2012,RulebookFields!A2:A1898, 0))), "")</f>
        <v>AgentDecisionRecords</v>
      </c>
      <c r="I2012" s="4" t="str">
        <f>_xlfn.IFNA(IF(((INDEX(RulebookFields!D2:D1898, MATCH(D2012,RulebookFields!A2:A1898, 0))="")=TRUE),  "",  INDEX(RulebookFields!D2:D1898, MATCH(D2012,RulebookFields!A2:A1898, 0))), "")</f>
        <v>IsErrorCorrection</v>
      </c>
      <c r="J2012" s="4" t="b">
        <f>_xlfn.IFNA(IF(((INDEX(RulebookFields!I2:I1898, MATCH(D2012,RulebookFields!A2:A1898, 0))="")=TRUE),  "",  INDEX(RulebookFields!I2:I1898, MATCH(D2012,RulebookFields!A2:A1898, 0))), "")</f>
        <v>1</v>
      </c>
      <c r="K2012" s="4" t="b">
        <f>AND(((F2012)=TRUE), ((J2012)=TRUE))</f>
        <v>0</v>
      </c>
      <c r="L2012" s="4" t="b">
        <f>AND(((G2012 &lt;&gt; "plain")=TRUE), ((G2012 &lt;&gt; "")=TRUE))</f>
        <v>0</v>
      </c>
      <c r="M2012" s="4" t="str">
        <f>IF(((E2012)=TRUE),  C2012 &amp; "|" &amp; H2012,  "")</f>
        <v>principal-knowledge-authority|AgentDecisionRecords</v>
      </c>
      <c r="N2012" s="3" t="s">
        <v>10004</v>
      </c>
    </row>
    <row r="2013">
      <c r="A2013" s="3" t="s">
        <v>12015</v>
      </c>
      <c r="B2013" s="4" t="str">
        <f>C2013 &amp; " -&gt; " &amp; D2013</f>
        <v>principal-knowledge-authority -&gt; AgentDecisionRecords.IsReservedJudgmentOverride</v>
      </c>
      <c r="C2013" s="3" t="s">
        <v>9774</v>
      </c>
      <c r="D2013" s="3" t="s">
        <v>5078</v>
      </c>
      <c r="E2013" s="3" t="b">
        <v>1</v>
      </c>
      <c r="F2013" s="3" t="b">
        <v>0</v>
      </c>
      <c r="G2013" s="3" t="s">
        <v>10003</v>
      </c>
      <c r="H2013" s="4" t="str">
        <f>_xlfn.IFNA(IF(((INDEX(RulebookFields!C2:C1898, MATCH(D2013,RulebookFields!A2:A1898, 0))="")=TRUE),  "",  INDEX(RulebookFields!C2:C1898, MATCH(D2013,RulebookFields!A2:A1898, 0))), "")</f>
        <v>AgentDecisionRecords</v>
      </c>
      <c r="I2013" s="4" t="str">
        <f>_xlfn.IFNA(IF(((INDEX(RulebookFields!D2:D1898, MATCH(D2013,RulebookFields!A2:A1898, 0))="")=TRUE),  "",  INDEX(RulebookFields!D2:D1898, MATCH(D2013,RulebookFields!A2:A1898, 0))), "")</f>
        <v>IsReservedJudgmentOverride</v>
      </c>
      <c r="J2013" s="4" t="b">
        <f>_xlfn.IFNA(IF(((INDEX(RulebookFields!I2:I1898, MATCH(D2013,RulebookFields!A2:A1898, 0))="")=TRUE),  "",  INDEX(RulebookFields!I2:I1898, MATCH(D2013,RulebookFields!A2:A1898, 0))), "")</f>
        <v>1</v>
      </c>
      <c r="K2013" s="4" t="b">
        <f>AND(((F2013)=TRUE), ((J2013)=TRUE))</f>
        <v>0</v>
      </c>
      <c r="L2013" s="4" t="b">
        <f>AND(((G2013 &lt;&gt; "plain")=TRUE), ((G2013 &lt;&gt; "")=TRUE))</f>
        <v>0</v>
      </c>
      <c r="M2013" s="4" t="str">
        <f>IF(((E2013)=TRUE),  C2013 &amp; "|" &amp; H2013,  "")</f>
        <v>principal-knowledge-authority|AgentDecisionRecords</v>
      </c>
      <c r="N2013" s="3" t="s">
        <v>10004</v>
      </c>
    </row>
    <row r="2014">
      <c r="A2014" s="3" t="s">
        <v>12016</v>
      </c>
      <c r="B2014" s="4" t="str">
        <f>C2014 &amp; " -&gt; " &amp; D2014</f>
        <v>principal-knowledge-authority -&gt; AgentDecisionRecords.OverrideReasonIsRecorded</v>
      </c>
      <c r="C2014" s="3" t="s">
        <v>9774</v>
      </c>
      <c r="D2014" s="3" t="s">
        <v>5081</v>
      </c>
      <c r="E2014" s="3" t="b">
        <v>1</v>
      </c>
      <c r="F2014" s="3" t="b">
        <v>0</v>
      </c>
      <c r="G2014" s="3" t="s">
        <v>10003</v>
      </c>
      <c r="H2014" s="4" t="str">
        <f>_xlfn.IFNA(IF(((INDEX(RulebookFields!C2:C1898, MATCH(D2014,RulebookFields!A2:A1898, 0))="")=TRUE),  "",  INDEX(RulebookFields!C2:C1898, MATCH(D2014,RulebookFields!A2:A1898, 0))), "")</f>
        <v>AgentDecisionRecords</v>
      </c>
      <c r="I2014" s="4" t="str">
        <f>_xlfn.IFNA(IF(((INDEX(RulebookFields!D2:D1898, MATCH(D2014,RulebookFields!A2:A1898, 0))="")=TRUE),  "",  INDEX(RulebookFields!D2:D1898, MATCH(D2014,RulebookFields!A2:A1898, 0))), "")</f>
        <v>OverrideReasonIsRecorded</v>
      </c>
      <c r="J2014" s="4" t="b">
        <f>_xlfn.IFNA(IF(((INDEX(RulebookFields!I2:I1898, MATCH(D2014,RulebookFields!A2:A1898, 0))="")=TRUE),  "",  INDEX(RulebookFields!I2:I1898, MATCH(D2014,RulebookFields!A2:A1898, 0))), "")</f>
        <v>1</v>
      </c>
      <c r="K2014" s="4" t="b">
        <f>AND(((F2014)=TRUE), ((J2014)=TRUE))</f>
        <v>0</v>
      </c>
      <c r="L2014" s="4" t="b">
        <f>AND(((G2014 &lt;&gt; "plain")=TRUE), ((G2014 &lt;&gt; "")=TRUE))</f>
        <v>0</v>
      </c>
      <c r="M2014" s="4" t="str">
        <f>IF(((E2014)=TRUE),  C2014 &amp; "|" &amp; H2014,  "")</f>
        <v>principal-knowledge-authority|AgentDecisionRecords</v>
      </c>
      <c r="N2014" s="3" t="s">
        <v>10004</v>
      </c>
    </row>
    <row r="2015">
      <c r="A2015" s="3" t="s">
        <v>12017</v>
      </c>
      <c r="B2015" s="4" t="str">
        <f>C2015 &amp; " -&gt; " &amp; D2015</f>
        <v>principal-knowledge-authority -&gt; AgentDecisionRecords.IsUnexplainedOverride</v>
      </c>
      <c r="C2015" s="3" t="s">
        <v>9774</v>
      </c>
      <c r="D2015" s="3" t="s">
        <v>5084</v>
      </c>
      <c r="E2015" s="3" t="b">
        <v>1</v>
      </c>
      <c r="F2015" s="3" t="b">
        <v>0</v>
      </c>
      <c r="G2015" s="3" t="s">
        <v>10003</v>
      </c>
      <c r="H2015" s="4" t="str">
        <f>_xlfn.IFNA(IF(((INDEX(RulebookFields!C2:C1898, MATCH(D2015,RulebookFields!A2:A1898, 0))="")=TRUE),  "",  INDEX(RulebookFields!C2:C1898, MATCH(D2015,RulebookFields!A2:A1898, 0))), "")</f>
        <v>AgentDecisionRecords</v>
      </c>
      <c r="I2015" s="4" t="str">
        <f>_xlfn.IFNA(IF(((INDEX(RulebookFields!D2:D1898, MATCH(D2015,RulebookFields!A2:A1898, 0))="")=TRUE),  "",  INDEX(RulebookFields!D2:D1898, MATCH(D2015,RulebookFields!A2:A1898, 0))), "")</f>
        <v>IsUnexplainedOverride</v>
      </c>
      <c r="J2015" s="4" t="b">
        <f>_xlfn.IFNA(IF(((INDEX(RulebookFields!I2:I1898, MATCH(D2015,RulebookFields!A2:A1898, 0))="")=TRUE),  "",  INDEX(RulebookFields!I2:I1898, MATCH(D2015,RulebookFields!A2:A1898, 0))), "")</f>
        <v>1</v>
      </c>
      <c r="K2015" s="4" t="b">
        <f>AND(((F2015)=TRUE), ((J2015)=TRUE))</f>
        <v>0</v>
      </c>
      <c r="L2015" s="4" t="b">
        <f>AND(((G2015 &lt;&gt; "plain")=TRUE), ((G2015 &lt;&gt; "")=TRUE))</f>
        <v>0</v>
      </c>
      <c r="M2015" s="4" t="str">
        <f>IF(((E2015)=TRUE),  C2015 &amp; "|" &amp; H2015,  "")</f>
        <v>principal-knowledge-authority|AgentDecisionRecords</v>
      </c>
      <c r="N2015" s="3" t="s">
        <v>10004</v>
      </c>
    </row>
    <row r="2016">
      <c r="A2016" s="3" t="s">
        <v>12018</v>
      </c>
      <c r="B2016" s="4" t="str">
        <f>C2016 &amp; " -&gt; " &amp; D2016</f>
        <v>principal-knowledge-authority -&gt; AgentDecisionRecords.ErrorCorrectionRoleAssignmentKey</v>
      </c>
      <c r="C2016" s="3" t="s">
        <v>9774</v>
      </c>
      <c r="D2016" s="3" t="s">
        <v>5087</v>
      </c>
      <c r="E2016" s="3" t="b">
        <v>1</v>
      </c>
      <c r="F2016" s="3" t="b">
        <v>0</v>
      </c>
      <c r="G2016" s="3" t="s">
        <v>10003</v>
      </c>
      <c r="H2016" s="4" t="str">
        <f>_xlfn.IFNA(IF(((INDEX(RulebookFields!C2:C1898, MATCH(D2016,RulebookFields!A2:A1898, 0))="")=TRUE),  "",  INDEX(RulebookFields!C2:C1898, MATCH(D2016,RulebookFields!A2:A1898, 0))), "")</f>
        <v>AgentDecisionRecords</v>
      </c>
      <c r="I2016" s="4" t="str">
        <f>_xlfn.IFNA(IF(((INDEX(RulebookFields!D2:D1898, MATCH(D2016,RulebookFields!A2:A1898, 0))="")=TRUE),  "",  INDEX(RulebookFields!D2:D1898, MATCH(D2016,RulebookFields!A2:A1898, 0))), "")</f>
        <v>ErrorCorrectionRoleAssignmentKey</v>
      </c>
      <c r="J2016" s="4" t="b">
        <f>_xlfn.IFNA(IF(((INDEX(RulebookFields!I2:I1898, MATCH(D2016,RulebookFields!A2:A1898, 0))="")=TRUE),  "",  INDEX(RulebookFields!I2:I1898, MATCH(D2016,RulebookFields!A2:A1898, 0))), "")</f>
        <v>1</v>
      </c>
      <c r="K2016" s="4" t="b">
        <f>AND(((F2016)=TRUE), ((J2016)=TRUE))</f>
        <v>0</v>
      </c>
      <c r="L2016" s="4" t="b">
        <f>AND(((G2016 &lt;&gt; "plain")=TRUE), ((G2016 &lt;&gt; "")=TRUE))</f>
        <v>0</v>
      </c>
      <c r="M2016" s="4" t="str">
        <f>IF(((E2016)=TRUE),  C2016 &amp; "|" &amp; H2016,  "")</f>
        <v>principal-knowledge-authority|AgentDecisionRecords</v>
      </c>
      <c r="N2016" s="3" t="s">
        <v>10004</v>
      </c>
    </row>
    <row r="2017">
      <c r="A2017" s="3" t="s">
        <v>12019</v>
      </c>
      <c r="B2017" s="4" t="str">
        <f>C2017 &amp; " -&gt; " &amp; D2017</f>
        <v>principal-knowledge-authority -&gt; AgentDecisionRecords.BoundaryViolationRoleAssignmentKey</v>
      </c>
      <c r="C2017" s="3" t="s">
        <v>9774</v>
      </c>
      <c r="D2017" s="3" t="s">
        <v>5090</v>
      </c>
      <c r="E2017" s="3" t="b">
        <v>1</v>
      </c>
      <c r="F2017" s="3" t="b">
        <v>0</v>
      </c>
      <c r="G2017" s="3" t="s">
        <v>10003</v>
      </c>
      <c r="H2017" s="4" t="str">
        <f>_xlfn.IFNA(IF(((INDEX(RulebookFields!C2:C1898, MATCH(D2017,RulebookFields!A2:A1898, 0))="")=TRUE),  "",  INDEX(RulebookFields!C2:C1898, MATCH(D2017,RulebookFields!A2:A1898, 0))), "")</f>
        <v>AgentDecisionRecords</v>
      </c>
      <c r="I2017" s="4" t="str">
        <f>_xlfn.IFNA(IF(((INDEX(RulebookFields!D2:D1898, MATCH(D2017,RulebookFields!A2:A1898, 0))="")=TRUE),  "",  INDEX(RulebookFields!D2:D1898, MATCH(D2017,RulebookFields!A2:A1898, 0))), "")</f>
        <v>BoundaryViolationRoleAssignmentKey</v>
      </c>
      <c r="J2017" s="4" t="b">
        <f>_xlfn.IFNA(IF(((INDEX(RulebookFields!I2:I1898, MATCH(D2017,RulebookFields!A2:A1898, 0))="")=TRUE),  "",  INDEX(RulebookFields!I2:I1898, MATCH(D2017,RulebookFields!A2:A1898, 0))), "")</f>
        <v>1</v>
      </c>
      <c r="K2017" s="4" t="b">
        <f>AND(((F2017)=TRUE), ((J2017)=TRUE))</f>
        <v>0</v>
      </c>
      <c r="L2017" s="4" t="b">
        <f>AND(((G2017 &lt;&gt; "plain")=TRUE), ((G2017 &lt;&gt; "")=TRUE))</f>
        <v>0</v>
      </c>
      <c r="M2017" s="4" t="str">
        <f>IF(((E2017)=TRUE),  C2017 &amp; "|" &amp; H2017,  "")</f>
        <v>principal-knowledge-authority|AgentDecisionRecords</v>
      </c>
      <c r="N2017" s="3" t="s">
        <v>10004</v>
      </c>
    </row>
    <row r="2018">
      <c r="A2018" s="3" t="s">
        <v>12020</v>
      </c>
      <c r="B2018" s="4" t="str">
        <f>C2018 &amp; " -&gt; " &amp; D2018</f>
        <v>principal-knowledge-authority -&gt; AgentDecisionRecords.SemanticTypeIri</v>
      </c>
      <c r="C2018" s="3" t="s">
        <v>9774</v>
      </c>
      <c r="D2018" s="3" t="s">
        <v>5093</v>
      </c>
      <c r="E2018" s="3" t="b">
        <v>1</v>
      </c>
      <c r="F2018" s="3" t="b">
        <v>0</v>
      </c>
      <c r="G2018" s="3" t="s">
        <v>10003</v>
      </c>
      <c r="H2018" s="4" t="str">
        <f>_xlfn.IFNA(IF(((INDEX(RulebookFields!C2:C1898, MATCH(D2018,RulebookFields!A2:A1898, 0))="")=TRUE),  "",  INDEX(RulebookFields!C2:C1898, MATCH(D2018,RulebookFields!A2:A1898, 0))), "")</f>
        <v>AgentDecisionRecords</v>
      </c>
      <c r="I2018" s="4" t="str">
        <f>_xlfn.IFNA(IF(((INDEX(RulebookFields!D2:D1898, MATCH(D2018,RulebookFields!A2:A1898, 0))="")=TRUE),  "",  INDEX(RulebookFields!D2:D1898, MATCH(D2018,RulebookFields!A2:A1898, 0))), "")</f>
        <v>SemanticTypeIri</v>
      </c>
      <c r="J2018" s="4" t="b">
        <f>_xlfn.IFNA(IF(((INDEX(RulebookFields!I2:I1898, MATCH(D2018,RulebookFields!A2:A1898, 0))="")=TRUE),  "",  INDEX(RulebookFields!I2:I1898, MATCH(D2018,RulebookFields!A2:A1898, 0))), "")</f>
        <v>0</v>
      </c>
      <c r="K2018" s="4" t="b">
        <f>AND(((F2018)=TRUE), ((J2018)=TRUE))</f>
        <v>0</v>
      </c>
      <c r="L2018" s="4" t="b">
        <f>AND(((G2018 &lt;&gt; "plain")=TRUE), ((G2018 &lt;&gt; "")=TRUE))</f>
        <v>0</v>
      </c>
      <c r="M2018" s="4" t="str">
        <f>IF(((E2018)=TRUE),  C2018 &amp; "|" &amp; H2018,  "")</f>
        <v>principal-knowledge-authority|AgentDecisionRecords</v>
      </c>
      <c r="N2018" s="3" t="s">
        <v>10004</v>
      </c>
    </row>
    <row r="2019">
      <c r="A2019" s="3" t="s">
        <v>12021</v>
      </c>
      <c r="B2019" s="4" t="str">
        <f>C2019 &amp; " -&gt; " &amp; D2019</f>
        <v>principal-knowledge-authority -&gt; Agents.AgentId</v>
      </c>
      <c r="C2019" s="3" t="s">
        <v>9774</v>
      </c>
      <c r="D2019" s="3" t="s">
        <v>2460</v>
      </c>
      <c r="E2019" s="3" t="b">
        <v>1</v>
      </c>
      <c r="F2019" s="3" t="b">
        <v>0</v>
      </c>
      <c r="G2019" s="3" t="s">
        <v>10003</v>
      </c>
      <c r="H2019" s="4" t="str">
        <f>_xlfn.IFNA(IF(((INDEX(RulebookFields!C2:C1898, MATCH(D2019,RulebookFields!A2:A1898, 0))="")=TRUE),  "",  INDEX(RulebookFields!C2:C1898, MATCH(D2019,RulebookFields!A2:A1898, 0))), "")</f>
        <v>Agents</v>
      </c>
      <c r="I2019" s="4" t="str">
        <f>_xlfn.IFNA(IF(((INDEX(RulebookFields!D2:D1898, MATCH(D2019,RulebookFields!A2:A1898, 0))="")=TRUE),  "",  INDEX(RulebookFields!D2:D1898, MATCH(D2019,RulebookFields!A2:A1898, 0))), "")</f>
        <v>AgentId</v>
      </c>
      <c r="J2019" s="4" t="b">
        <f>_xlfn.IFNA(IF(((INDEX(RulebookFields!I2:I1898, MATCH(D2019,RulebookFields!A2:A1898, 0))="")=TRUE),  "",  INDEX(RulebookFields!I2:I1898, MATCH(D2019,RulebookFields!A2:A1898, 0))), "")</f>
        <v>0</v>
      </c>
      <c r="K2019" s="4" t="b">
        <f>AND(((F2019)=TRUE), ((J2019)=TRUE))</f>
        <v>0</v>
      </c>
      <c r="L2019" s="4" t="b">
        <f>AND(((G2019 &lt;&gt; "plain")=TRUE), ((G2019 &lt;&gt; "")=TRUE))</f>
        <v>0</v>
      </c>
      <c r="M2019" s="4" t="str">
        <f>IF(((E2019)=TRUE),  C2019 &amp; "|" &amp; H2019,  "")</f>
        <v>principal-knowledge-authority|Agents</v>
      </c>
      <c r="N2019" s="3" t="s">
        <v>10004</v>
      </c>
    </row>
    <row r="2020">
      <c r="A2020" s="3" t="s">
        <v>12022</v>
      </c>
      <c r="B2020" s="4" t="str">
        <f>C2020 &amp; " -&gt; " &amp; D2020</f>
        <v>principal-knowledge-authority -&gt; Agents.Name</v>
      </c>
      <c r="C2020" s="3" t="s">
        <v>9774</v>
      </c>
      <c r="D2020" s="3" t="s">
        <v>2461</v>
      </c>
      <c r="E2020" s="3" t="b">
        <v>1</v>
      </c>
      <c r="F2020" s="3" t="b">
        <v>0</v>
      </c>
      <c r="G2020" s="3" t="s">
        <v>10003</v>
      </c>
      <c r="H2020" s="4" t="str">
        <f>_xlfn.IFNA(IF(((INDEX(RulebookFields!C2:C1898, MATCH(D2020,RulebookFields!A2:A1898, 0))="")=TRUE),  "",  INDEX(RulebookFields!C2:C1898, MATCH(D2020,RulebookFields!A2:A1898, 0))), "")</f>
        <v>Agents</v>
      </c>
      <c r="I2020" s="4" t="str">
        <f>_xlfn.IFNA(IF(((INDEX(RulebookFields!D2:D1898, MATCH(D2020,RulebookFields!A2:A1898, 0))="")=TRUE),  "",  INDEX(RulebookFields!D2:D1898, MATCH(D2020,RulebookFields!A2:A1898, 0))), "")</f>
        <v>Name</v>
      </c>
      <c r="J2020" s="4" t="b">
        <f>_xlfn.IFNA(IF(((INDEX(RulebookFields!I2:I1898, MATCH(D2020,RulebookFields!A2:A1898, 0))="")=TRUE),  "",  INDEX(RulebookFields!I2:I1898, MATCH(D2020,RulebookFields!A2:A1898, 0))), "")</f>
        <v>1</v>
      </c>
      <c r="K2020" s="4" t="b">
        <f>AND(((F2020)=TRUE), ((J2020)=TRUE))</f>
        <v>0</v>
      </c>
      <c r="L2020" s="4" t="b">
        <f>AND(((G2020 &lt;&gt; "plain")=TRUE), ((G2020 &lt;&gt; "")=TRUE))</f>
        <v>0</v>
      </c>
      <c r="M2020" s="4" t="str">
        <f>IF(((E2020)=TRUE),  C2020 &amp; "|" &amp; H2020,  "")</f>
        <v>principal-knowledge-authority|Agents</v>
      </c>
      <c r="N2020" s="3" t="s">
        <v>10004</v>
      </c>
    </row>
    <row r="2021">
      <c r="A2021" s="3" t="s">
        <v>12023</v>
      </c>
      <c r="B2021" s="4" t="str">
        <f>C2021 &amp; " -&gt; " &amp; D2021</f>
        <v>principal-knowledge-authority -&gt; Agents.DisplayName</v>
      </c>
      <c r="C2021" s="3" t="s">
        <v>9774</v>
      </c>
      <c r="D2021" s="3" t="s">
        <v>2462</v>
      </c>
      <c r="E2021" s="3" t="b">
        <v>1</v>
      </c>
      <c r="F2021" s="3" t="b">
        <v>0</v>
      </c>
      <c r="G2021" s="3" t="s">
        <v>10003</v>
      </c>
      <c r="H2021" s="4" t="str">
        <f>_xlfn.IFNA(IF(((INDEX(RulebookFields!C2:C1898, MATCH(D2021,RulebookFields!A2:A1898, 0))="")=TRUE),  "",  INDEX(RulebookFields!C2:C1898, MATCH(D2021,RulebookFields!A2:A1898, 0))), "")</f>
        <v>Agents</v>
      </c>
      <c r="I2021" s="4" t="str">
        <f>_xlfn.IFNA(IF(((INDEX(RulebookFields!D2:D1898, MATCH(D2021,RulebookFields!A2:A1898, 0))="")=TRUE),  "",  INDEX(RulebookFields!D2:D1898, MATCH(D2021,RulebookFields!A2:A1898, 0))), "")</f>
        <v>DisplayName</v>
      </c>
      <c r="J2021" s="4" t="b">
        <f>_xlfn.IFNA(IF(((INDEX(RulebookFields!I2:I1898, MATCH(D2021,RulebookFields!A2:A1898, 0))="")=TRUE),  "",  INDEX(RulebookFields!I2:I1898, MATCH(D2021,RulebookFields!A2:A1898, 0))), "")</f>
        <v>0</v>
      </c>
      <c r="K2021" s="4" t="b">
        <f>AND(((F2021)=TRUE), ((J2021)=TRUE))</f>
        <v>0</v>
      </c>
      <c r="L2021" s="4" t="b">
        <f>AND(((G2021 &lt;&gt; "plain")=TRUE), ((G2021 &lt;&gt; "")=TRUE))</f>
        <v>0</v>
      </c>
      <c r="M2021" s="4" t="str">
        <f>IF(((E2021)=TRUE),  C2021 &amp; "|" &amp; H2021,  "")</f>
        <v>principal-knowledge-authority|Agents</v>
      </c>
      <c r="N2021" s="3" t="s">
        <v>10004</v>
      </c>
    </row>
    <row r="2022">
      <c r="A2022" s="3" t="s">
        <v>12024</v>
      </c>
      <c r="B2022" s="4" t="str">
        <f>C2022 &amp; " -&gt; " &amp; D2022</f>
        <v>principal-knowledge-authority -&gt; Agents.AgentKind</v>
      </c>
      <c r="C2022" s="3" t="s">
        <v>9774</v>
      </c>
      <c r="D2022" s="3" t="s">
        <v>2463</v>
      </c>
      <c r="E2022" s="3" t="b">
        <v>1</v>
      </c>
      <c r="F2022" s="3" t="b">
        <v>0</v>
      </c>
      <c r="G2022" s="3" t="s">
        <v>10003</v>
      </c>
      <c r="H2022" s="4" t="str">
        <f>_xlfn.IFNA(IF(((INDEX(RulebookFields!C2:C1898, MATCH(D2022,RulebookFields!A2:A1898, 0))="")=TRUE),  "",  INDEX(RulebookFields!C2:C1898, MATCH(D2022,RulebookFields!A2:A1898, 0))), "")</f>
        <v>Agents</v>
      </c>
      <c r="I2022" s="4" t="str">
        <f>_xlfn.IFNA(IF(((INDEX(RulebookFields!D2:D1898, MATCH(D2022,RulebookFields!A2:A1898, 0))="")=TRUE),  "",  INDEX(RulebookFields!D2:D1898, MATCH(D2022,RulebookFields!A2:A1898, 0))), "")</f>
        <v>AgentKind</v>
      </c>
      <c r="J2022" s="4" t="b">
        <f>_xlfn.IFNA(IF(((INDEX(RulebookFields!I2:I1898, MATCH(D2022,RulebookFields!A2:A1898, 0))="")=TRUE),  "",  INDEX(RulebookFields!I2:I1898, MATCH(D2022,RulebookFields!A2:A1898, 0))), "")</f>
        <v>0</v>
      </c>
      <c r="K2022" s="4" t="b">
        <f>AND(((F2022)=TRUE), ((J2022)=TRUE))</f>
        <v>0</v>
      </c>
      <c r="L2022" s="4" t="b">
        <f>AND(((G2022 &lt;&gt; "plain")=TRUE), ((G2022 &lt;&gt; "")=TRUE))</f>
        <v>0</v>
      </c>
      <c r="M2022" s="4" t="str">
        <f>IF(((E2022)=TRUE),  C2022 &amp; "|" &amp; H2022,  "")</f>
        <v>principal-knowledge-authority|Agents</v>
      </c>
      <c r="N2022" s="3" t="s">
        <v>10004</v>
      </c>
    </row>
    <row r="2023">
      <c r="A2023" s="3" t="s">
        <v>12025</v>
      </c>
      <c r="B2023" s="4" t="str">
        <f>C2023 &amp; " -&gt; " &amp; D2023</f>
        <v>principal-knowledge-authority -&gt; Agents.Organization</v>
      </c>
      <c r="C2023" s="3" t="s">
        <v>9774</v>
      </c>
      <c r="D2023" s="3" t="s">
        <v>2464</v>
      </c>
      <c r="E2023" s="3" t="b">
        <v>1</v>
      </c>
      <c r="F2023" s="3" t="b">
        <v>0</v>
      </c>
      <c r="G2023" s="3" t="s">
        <v>10003</v>
      </c>
      <c r="H2023" s="4" t="str">
        <f>_xlfn.IFNA(IF(((INDEX(RulebookFields!C2:C1898, MATCH(D2023,RulebookFields!A2:A1898, 0))="")=TRUE),  "",  INDEX(RulebookFields!C2:C1898, MATCH(D2023,RulebookFields!A2:A1898, 0))), "")</f>
        <v>Agents</v>
      </c>
      <c r="I2023" s="4" t="str">
        <f>_xlfn.IFNA(IF(((INDEX(RulebookFields!D2:D1898, MATCH(D2023,RulebookFields!A2:A1898, 0))="")=TRUE),  "",  INDEX(RulebookFields!D2:D1898, MATCH(D2023,RulebookFields!A2:A1898, 0))), "")</f>
        <v>Organization</v>
      </c>
      <c r="J2023" s="4" t="b">
        <f>_xlfn.IFNA(IF(((INDEX(RulebookFields!I2:I1898, MATCH(D2023,RulebookFields!A2:A1898, 0))="")=TRUE),  "",  INDEX(RulebookFields!I2:I1898, MATCH(D2023,RulebookFields!A2:A1898, 0))), "")</f>
        <v>0</v>
      </c>
      <c r="K2023" s="4" t="b">
        <f>AND(((F2023)=TRUE), ((J2023)=TRUE))</f>
        <v>0</v>
      </c>
      <c r="L2023" s="4" t="b">
        <f>AND(((G2023 &lt;&gt; "plain")=TRUE), ((G2023 &lt;&gt; "")=TRUE))</f>
        <v>0</v>
      </c>
      <c r="M2023" s="4" t="str">
        <f>IF(((E2023)=TRUE),  C2023 &amp; "|" &amp; H2023,  "")</f>
        <v>principal-knowledge-authority|Agents</v>
      </c>
      <c r="N2023" s="3" t="s">
        <v>10004</v>
      </c>
    </row>
    <row r="2024">
      <c r="A2024" s="3" t="s">
        <v>12026</v>
      </c>
      <c r="B2024" s="4" t="str">
        <f>C2024 &amp; " -&gt; " &amp; D2024</f>
        <v>principal-knowledge-authority -&gt; Agents.ContactAddress</v>
      </c>
      <c r="C2024" s="3" t="s">
        <v>9774</v>
      </c>
      <c r="D2024" s="3" t="s">
        <v>2466</v>
      </c>
      <c r="E2024" s="3" t="b">
        <v>1</v>
      </c>
      <c r="F2024" s="3" t="b">
        <v>0</v>
      </c>
      <c r="G2024" s="3" t="s">
        <v>10003</v>
      </c>
      <c r="H2024" s="4" t="str">
        <f>_xlfn.IFNA(IF(((INDEX(RulebookFields!C2:C1898, MATCH(D2024,RulebookFields!A2:A1898, 0))="")=TRUE),  "",  INDEX(RulebookFields!C2:C1898, MATCH(D2024,RulebookFields!A2:A1898, 0))), "")</f>
        <v>Agents</v>
      </c>
      <c r="I2024" s="4" t="str">
        <f>_xlfn.IFNA(IF(((INDEX(RulebookFields!D2:D1898, MATCH(D2024,RulebookFields!A2:A1898, 0))="")=TRUE),  "",  INDEX(RulebookFields!D2:D1898, MATCH(D2024,RulebookFields!A2:A1898, 0))), "")</f>
        <v>ContactAddress</v>
      </c>
      <c r="J2024" s="4" t="b">
        <f>_xlfn.IFNA(IF(((INDEX(RulebookFields!I2:I1898, MATCH(D2024,RulebookFields!A2:A1898, 0))="")=TRUE),  "",  INDEX(RulebookFields!I2:I1898, MATCH(D2024,RulebookFields!A2:A1898, 0))), "")</f>
        <v>0</v>
      </c>
      <c r="K2024" s="4" t="b">
        <f>AND(((F2024)=TRUE), ((J2024)=TRUE))</f>
        <v>0</v>
      </c>
      <c r="L2024" s="4" t="b">
        <f>AND(((G2024 &lt;&gt; "plain")=TRUE), ((G2024 &lt;&gt; "")=TRUE))</f>
        <v>0</v>
      </c>
      <c r="M2024" s="4" t="str">
        <f>IF(((E2024)=TRUE),  C2024 &amp; "|" &amp; H2024,  "")</f>
        <v>principal-knowledge-authority|Agents</v>
      </c>
      <c r="N2024" s="3" t="s">
        <v>10004</v>
      </c>
    </row>
    <row r="2025">
      <c r="A2025" s="3" t="s">
        <v>12027</v>
      </c>
      <c r="B2025" s="4" t="str">
        <f>C2025 &amp; " -&gt; " &amp; D2025</f>
        <v>principal-knowledge-authority -&gt; Agents.VersionOrEmploymentKey</v>
      </c>
      <c r="C2025" s="3" t="s">
        <v>9774</v>
      </c>
      <c r="D2025" s="3" t="s">
        <v>2467</v>
      </c>
      <c r="E2025" s="3" t="b">
        <v>1</v>
      </c>
      <c r="F2025" s="3" t="b">
        <v>0</v>
      </c>
      <c r="G2025" s="3" t="s">
        <v>10003</v>
      </c>
      <c r="H2025" s="4" t="str">
        <f>_xlfn.IFNA(IF(((INDEX(RulebookFields!C2:C1898, MATCH(D2025,RulebookFields!A2:A1898, 0))="")=TRUE),  "",  INDEX(RulebookFields!C2:C1898, MATCH(D2025,RulebookFields!A2:A1898, 0))), "")</f>
        <v>Agents</v>
      </c>
      <c r="I2025" s="4" t="str">
        <f>_xlfn.IFNA(IF(((INDEX(RulebookFields!D2:D1898, MATCH(D2025,RulebookFields!A2:A1898, 0))="")=TRUE),  "",  INDEX(RulebookFields!D2:D1898, MATCH(D2025,RulebookFields!A2:A1898, 0))), "")</f>
        <v>VersionOrEmploymentKey</v>
      </c>
      <c r="J2025" s="4" t="b">
        <f>_xlfn.IFNA(IF(((INDEX(RulebookFields!I2:I1898, MATCH(D2025,RulebookFields!A2:A1898, 0))="")=TRUE),  "",  INDEX(RulebookFields!I2:I1898, MATCH(D2025,RulebookFields!A2:A1898, 0))), "")</f>
        <v>0</v>
      </c>
      <c r="K2025" s="4" t="b">
        <f>AND(((F2025)=TRUE), ((J2025)=TRUE))</f>
        <v>0</v>
      </c>
      <c r="L2025" s="4" t="b">
        <f>AND(((G2025 &lt;&gt; "plain")=TRUE), ((G2025 &lt;&gt; "")=TRUE))</f>
        <v>0</v>
      </c>
      <c r="M2025" s="4" t="str">
        <f>IF(((E2025)=TRUE),  C2025 &amp; "|" &amp; H2025,  "")</f>
        <v>principal-knowledge-authority|Agents</v>
      </c>
      <c r="N2025" s="3" t="s">
        <v>10004</v>
      </c>
    </row>
    <row r="2026">
      <c r="A2026" s="3" t="s">
        <v>12028</v>
      </c>
      <c r="B2026" s="4" t="str">
        <f>C2026 &amp; " -&gt; " &amp; D2026</f>
        <v>principal-knowledge-authority -&gt; Agents.CountOfCurrentRoleAssignments</v>
      </c>
      <c r="C2026" s="3" t="s">
        <v>9774</v>
      </c>
      <c r="D2026" s="3" t="s">
        <v>2468</v>
      </c>
      <c r="E2026" s="3" t="b">
        <v>1</v>
      </c>
      <c r="F2026" s="3" t="b">
        <v>0</v>
      </c>
      <c r="G2026" s="3" t="s">
        <v>10003</v>
      </c>
      <c r="H2026" s="4" t="str">
        <f>_xlfn.IFNA(IF(((INDEX(RulebookFields!C2:C1898, MATCH(D2026,RulebookFields!A2:A1898, 0))="")=TRUE),  "",  INDEX(RulebookFields!C2:C1898, MATCH(D2026,RulebookFields!A2:A1898, 0))), "")</f>
        <v>Agents</v>
      </c>
      <c r="I2026" s="4" t="str">
        <f>_xlfn.IFNA(IF(((INDEX(RulebookFields!D2:D1898, MATCH(D2026,RulebookFields!A2:A1898, 0))="")=TRUE),  "",  INDEX(RulebookFields!D2:D1898, MATCH(D2026,RulebookFields!A2:A1898, 0))), "")</f>
        <v>CountOfCurrentRoleAssignments</v>
      </c>
      <c r="J2026" s="4" t="b">
        <f>_xlfn.IFNA(IF(((INDEX(RulebookFields!I2:I1898, MATCH(D2026,RulebookFields!A2:A1898, 0))="")=TRUE),  "",  INDEX(RulebookFields!I2:I1898, MATCH(D2026,RulebookFields!A2:A1898, 0))), "")</f>
        <v>1</v>
      </c>
      <c r="K2026" s="4" t="b">
        <f>AND(((F2026)=TRUE), ((J2026)=TRUE))</f>
        <v>0</v>
      </c>
      <c r="L2026" s="4" t="b">
        <f>AND(((G2026 &lt;&gt; "plain")=TRUE), ((G2026 &lt;&gt; "")=TRUE))</f>
        <v>0</v>
      </c>
      <c r="M2026" s="4" t="str">
        <f>IF(((E2026)=TRUE),  C2026 &amp; "|" &amp; H2026,  "")</f>
        <v>principal-knowledge-authority|Agents</v>
      </c>
      <c r="N2026" s="3" t="s">
        <v>10004</v>
      </c>
    </row>
    <row r="2027">
      <c r="A2027" s="3" t="s">
        <v>12029</v>
      </c>
      <c r="B2027" s="4" t="str">
        <f>C2027 &amp; " -&gt; " &amp; D2027</f>
        <v>principal-knowledge-authority -&gt; Agents.IsStillEngaged</v>
      </c>
      <c r="C2027" s="3" t="s">
        <v>9774</v>
      </c>
      <c r="D2027" s="3" t="s">
        <v>2472</v>
      </c>
      <c r="E2027" s="3" t="b">
        <v>1</v>
      </c>
      <c r="F2027" s="3" t="b">
        <v>0</v>
      </c>
      <c r="G2027" s="3" t="s">
        <v>10003</v>
      </c>
      <c r="H2027" s="4" t="str">
        <f>_xlfn.IFNA(IF(((INDEX(RulebookFields!C2:C1898, MATCH(D2027,RulebookFields!A2:A1898, 0))="")=TRUE),  "",  INDEX(RulebookFields!C2:C1898, MATCH(D2027,RulebookFields!A2:A1898, 0))), "")</f>
        <v>Agents</v>
      </c>
      <c r="I2027" s="4" t="str">
        <f>_xlfn.IFNA(IF(((INDEX(RulebookFields!D2:D1898, MATCH(D2027,RulebookFields!A2:A1898, 0))="")=TRUE),  "",  INDEX(RulebookFields!D2:D1898, MATCH(D2027,RulebookFields!A2:A1898, 0))), "")</f>
        <v>IsStillEngaged</v>
      </c>
      <c r="J2027" s="4" t="b">
        <f>_xlfn.IFNA(IF(((INDEX(RulebookFields!I2:I1898, MATCH(D2027,RulebookFields!A2:A1898, 0))="")=TRUE),  "",  INDEX(RulebookFields!I2:I1898, MATCH(D2027,RulebookFields!A2:A1898, 0))), "")</f>
        <v>1</v>
      </c>
      <c r="K2027" s="4" t="b">
        <f>AND(((F2027)=TRUE), ((J2027)=TRUE))</f>
        <v>0</v>
      </c>
      <c r="L2027" s="4" t="b">
        <f>AND(((G2027 &lt;&gt; "plain")=TRUE), ((G2027 &lt;&gt; "")=TRUE))</f>
        <v>0</v>
      </c>
      <c r="M2027" s="4" t="str">
        <f>IF(((E2027)=TRUE),  C2027 &amp; "|" &amp; H2027,  "")</f>
        <v>principal-knowledge-authority|Agents</v>
      </c>
      <c r="N2027" s="3" t="s">
        <v>10004</v>
      </c>
    </row>
    <row r="2028">
      <c r="A2028" s="3" t="s">
        <v>12030</v>
      </c>
      <c r="B2028" s="4" t="str">
        <f>C2028 &amp; " -&gt; " &amp; D2028</f>
        <v>principal-knowledge-authority -&gt; Agents.DecisionCount</v>
      </c>
      <c r="C2028" s="3" t="s">
        <v>9774</v>
      </c>
      <c r="D2028" s="3" t="s">
        <v>2474</v>
      </c>
      <c r="E2028" s="3" t="b">
        <v>1</v>
      </c>
      <c r="F2028" s="3" t="b">
        <v>0</v>
      </c>
      <c r="G2028" s="3" t="s">
        <v>10003</v>
      </c>
      <c r="H2028" s="4" t="str">
        <f>_xlfn.IFNA(IF(((INDEX(RulebookFields!C2:C1898, MATCH(D2028,RulebookFields!A2:A1898, 0))="")=TRUE),  "",  INDEX(RulebookFields!C2:C1898, MATCH(D2028,RulebookFields!A2:A1898, 0))), "")</f>
        <v>Agents</v>
      </c>
      <c r="I2028" s="4" t="str">
        <f>_xlfn.IFNA(IF(((INDEX(RulebookFields!D2:D1898, MATCH(D2028,RulebookFields!A2:A1898, 0))="")=TRUE),  "",  INDEX(RulebookFields!D2:D1898, MATCH(D2028,RulebookFields!A2:A1898, 0))), "")</f>
        <v>DecisionCount</v>
      </c>
      <c r="J2028" s="4" t="b">
        <f>_xlfn.IFNA(IF(((INDEX(RulebookFields!I2:I1898, MATCH(D2028,RulebookFields!A2:A1898, 0))="")=TRUE),  "",  INDEX(RulebookFields!I2:I1898, MATCH(D2028,RulebookFields!A2:A1898, 0))), "")</f>
        <v>1</v>
      </c>
      <c r="K2028" s="4" t="b">
        <f>AND(((F2028)=TRUE), ((J2028)=TRUE))</f>
        <v>0</v>
      </c>
      <c r="L2028" s="4" t="b">
        <f>AND(((G2028 &lt;&gt; "plain")=TRUE), ((G2028 &lt;&gt; "")=TRUE))</f>
        <v>0</v>
      </c>
      <c r="M2028" s="4" t="str">
        <f>IF(((E2028)=TRUE),  C2028 &amp; "|" &amp; H2028,  "")</f>
        <v>principal-knowledge-authority|Agents</v>
      </c>
      <c r="N2028" s="3" t="s">
        <v>10004</v>
      </c>
    </row>
    <row r="2029">
      <c r="A2029" s="3" t="s">
        <v>12031</v>
      </c>
      <c r="B2029" s="4" t="str">
        <f>C2029 &amp; " -&gt; " &amp; D2029</f>
        <v>principal-knowledge-authority -&gt; Agents.OverriddenDecisionCount</v>
      </c>
      <c r="C2029" s="3" t="s">
        <v>9774</v>
      </c>
      <c r="D2029" s="3" t="s">
        <v>2477</v>
      </c>
      <c r="E2029" s="3" t="b">
        <v>1</v>
      </c>
      <c r="F2029" s="3" t="b">
        <v>0</v>
      </c>
      <c r="G2029" s="3" t="s">
        <v>10003</v>
      </c>
      <c r="H2029" s="4" t="str">
        <f>_xlfn.IFNA(IF(((INDEX(RulebookFields!C2:C1898, MATCH(D2029,RulebookFields!A2:A1898, 0))="")=TRUE),  "",  INDEX(RulebookFields!C2:C1898, MATCH(D2029,RulebookFields!A2:A1898, 0))), "")</f>
        <v>Agents</v>
      </c>
      <c r="I2029" s="4" t="str">
        <f>_xlfn.IFNA(IF(((INDEX(RulebookFields!D2:D1898, MATCH(D2029,RulebookFields!A2:A1898, 0))="")=TRUE),  "",  INDEX(RulebookFields!D2:D1898, MATCH(D2029,RulebookFields!A2:A1898, 0))), "")</f>
        <v>OverriddenDecisionCount</v>
      </c>
      <c r="J2029" s="4" t="b">
        <f>_xlfn.IFNA(IF(((INDEX(RulebookFields!I2:I1898, MATCH(D2029,RulebookFields!A2:A1898, 0))="")=TRUE),  "",  INDEX(RulebookFields!I2:I1898, MATCH(D2029,RulebookFields!A2:A1898, 0))), "")</f>
        <v>1</v>
      </c>
      <c r="K2029" s="4" t="b">
        <f>AND(((F2029)=TRUE), ((J2029)=TRUE))</f>
        <v>0</v>
      </c>
      <c r="L2029" s="4" t="b">
        <f>AND(((G2029 &lt;&gt; "plain")=TRUE), ((G2029 &lt;&gt; "")=TRUE))</f>
        <v>0</v>
      </c>
      <c r="M2029" s="4" t="str">
        <f>IF(((E2029)=TRUE),  C2029 &amp; "|" &amp; H2029,  "")</f>
        <v>principal-knowledge-authority|Agents</v>
      </c>
      <c r="N2029" s="3" t="s">
        <v>10004</v>
      </c>
    </row>
    <row r="2030">
      <c r="A2030" s="3" t="s">
        <v>12032</v>
      </c>
      <c r="B2030" s="4" t="str">
        <f>C2030 &amp; " -&gt; " &amp; D2030</f>
        <v>principal-knowledge-authority -&gt; Agents.OverrideRatePercent</v>
      </c>
      <c r="C2030" s="3" t="s">
        <v>9774</v>
      </c>
      <c r="D2030" s="3" t="s">
        <v>2479</v>
      </c>
      <c r="E2030" s="3" t="b">
        <v>1</v>
      </c>
      <c r="F2030" s="3" t="b">
        <v>0</v>
      </c>
      <c r="G2030" s="3" t="s">
        <v>10003</v>
      </c>
      <c r="H2030" s="4" t="str">
        <f>_xlfn.IFNA(IF(((INDEX(RulebookFields!C2:C1898, MATCH(D2030,RulebookFields!A2:A1898, 0))="")=TRUE),  "",  INDEX(RulebookFields!C2:C1898, MATCH(D2030,RulebookFields!A2:A1898, 0))), "")</f>
        <v>Agents</v>
      </c>
      <c r="I2030" s="4" t="str">
        <f>_xlfn.IFNA(IF(((INDEX(RulebookFields!D2:D1898, MATCH(D2030,RulebookFields!A2:A1898, 0))="")=TRUE),  "",  INDEX(RulebookFields!D2:D1898, MATCH(D2030,RulebookFields!A2:A1898, 0))), "")</f>
        <v>OverrideRatePercent</v>
      </c>
      <c r="J2030" s="4" t="b">
        <f>_xlfn.IFNA(IF(((INDEX(RulebookFields!I2:I1898, MATCH(D2030,RulebookFields!A2:A1898, 0))="")=TRUE),  "",  INDEX(RulebookFields!I2:I1898, MATCH(D2030,RulebookFields!A2:A1898, 0))), "")</f>
        <v>1</v>
      </c>
      <c r="K2030" s="4" t="b">
        <f>AND(((F2030)=TRUE), ((J2030)=TRUE))</f>
        <v>0</v>
      </c>
      <c r="L2030" s="4" t="b">
        <f>AND(((G2030 &lt;&gt; "plain")=TRUE), ((G2030 &lt;&gt; "")=TRUE))</f>
        <v>0</v>
      </c>
      <c r="M2030" s="4" t="str">
        <f>IF(((E2030)=TRUE),  C2030 &amp; "|" &amp; H2030,  "")</f>
        <v>principal-knowledge-authority|Agents</v>
      </c>
      <c r="N2030" s="3" t="s">
        <v>10004</v>
      </c>
    </row>
    <row r="2031">
      <c r="A2031" s="3" t="s">
        <v>12033</v>
      </c>
      <c r="B2031" s="4" t="str">
        <f>C2031 &amp; " -&gt; " &amp; D2031</f>
        <v>principal-knowledge-authority -&gt; Agents.IsNonHuman</v>
      </c>
      <c r="C2031" s="3" t="s">
        <v>9774</v>
      </c>
      <c r="D2031" s="3" t="s">
        <v>2481</v>
      </c>
      <c r="E2031" s="3" t="b">
        <v>1</v>
      </c>
      <c r="F2031" s="3" t="b">
        <v>0</v>
      </c>
      <c r="G2031" s="3" t="s">
        <v>10003</v>
      </c>
      <c r="H2031" s="4" t="str">
        <f>_xlfn.IFNA(IF(((INDEX(RulebookFields!C2:C1898, MATCH(D2031,RulebookFields!A2:A1898, 0))="")=TRUE),  "",  INDEX(RulebookFields!C2:C1898, MATCH(D2031,RulebookFields!A2:A1898, 0))), "")</f>
        <v>Agents</v>
      </c>
      <c r="I2031" s="4" t="str">
        <f>_xlfn.IFNA(IF(((INDEX(RulebookFields!D2:D1898, MATCH(D2031,RulebookFields!A2:A1898, 0))="")=TRUE),  "",  INDEX(RulebookFields!D2:D1898, MATCH(D2031,RulebookFields!A2:A1898, 0))), "")</f>
        <v>IsNonHuman</v>
      </c>
      <c r="J2031" s="4" t="b">
        <f>_xlfn.IFNA(IF(((INDEX(RulebookFields!I2:I1898, MATCH(D2031,RulebookFields!A2:A1898, 0))="")=TRUE),  "",  INDEX(RulebookFields!I2:I1898, MATCH(D2031,RulebookFields!A2:A1898, 0))), "")</f>
        <v>1</v>
      </c>
      <c r="K2031" s="4" t="b">
        <f>AND(((F2031)=TRUE), ((J2031)=TRUE))</f>
        <v>0</v>
      </c>
      <c r="L2031" s="4" t="b">
        <f>AND(((G2031 &lt;&gt; "plain")=TRUE), ((G2031 &lt;&gt; "")=TRUE))</f>
        <v>0</v>
      </c>
      <c r="M2031" s="4" t="str">
        <f>IF(((E2031)=TRUE),  C2031 &amp; "|" &amp; H2031,  "")</f>
        <v>principal-knowledge-authority|Agents</v>
      </c>
      <c r="N2031" s="3" t="s">
        <v>10004</v>
      </c>
    </row>
    <row r="2032">
      <c r="A2032" s="3" t="s">
        <v>12034</v>
      </c>
      <c r="B2032" s="4" t="str">
        <f>C2032 &amp; " -&gt; " &amp; D2032</f>
        <v>principal-knowledge-authority -&gt; Agents.BoundaryViolationCount</v>
      </c>
      <c r="C2032" s="3" t="s">
        <v>9774</v>
      </c>
      <c r="D2032" s="3" t="s">
        <v>2483</v>
      </c>
      <c r="E2032" s="3" t="b">
        <v>1</v>
      </c>
      <c r="F2032" s="3" t="b">
        <v>0</v>
      </c>
      <c r="G2032" s="3" t="s">
        <v>10003</v>
      </c>
      <c r="H2032" s="4" t="str">
        <f>_xlfn.IFNA(IF(((INDEX(RulebookFields!C2:C1898, MATCH(D2032,RulebookFields!A2:A1898, 0))="")=TRUE),  "",  INDEX(RulebookFields!C2:C1898, MATCH(D2032,RulebookFields!A2:A1898, 0))), "")</f>
        <v>Agents</v>
      </c>
      <c r="I2032" s="4" t="str">
        <f>_xlfn.IFNA(IF(((INDEX(RulebookFields!D2:D1898, MATCH(D2032,RulebookFields!A2:A1898, 0))="")=TRUE),  "",  INDEX(RulebookFields!D2:D1898, MATCH(D2032,RulebookFields!A2:A1898, 0))), "")</f>
        <v>BoundaryViolationCount</v>
      </c>
      <c r="J2032" s="4" t="b">
        <f>_xlfn.IFNA(IF(((INDEX(RulebookFields!I2:I1898, MATCH(D2032,RulebookFields!A2:A1898, 0))="")=TRUE),  "",  INDEX(RulebookFields!I2:I1898, MATCH(D2032,RulebookFields!A2:A1898, 0))), "")</f>
        <v>1</v>
      </c>
      <c r="K2032" s="4" t="b">
        <f>AND(((F2032)=TRUE), ((J2032)=TRUE))</f>
        <v>0</v>
      </c>
      <c r="L2032" s="4" t="b">
        <f>AND(((G2032 &lt;&gt; "plain")=TRUE), ((G2032 &lt;&gt; "")=TRUE))</f>
        <v>0</v>
      </c>
      <c r="M2032" s="4" t="str">
        <f>IF(((E2032)=TRUE),  C2032 &amp; "|" &amp; H2032,  "")</f>
        <v>principal-knowledge-authority|Agents</v>
      </c>
      <c r="N2032" s="3" t="s">
        <v>10004</v>
      </c>
    </row>
    <row r="2033">
      <c r="A2033" s="3" t="s">
        <v>12035</v>
      </c>
      <c r="B2033" s="4" t="str">
        <f>C2033 &amp; " -&gt; " &amp; D2033</f>
        <v>principal-knowledge-authority -&gt; Agents.IsOperatingOutsideBoundary</v>
      </c>
      <c r="C2033" s="3" t="s">
        <v>9774</v>
      </c>
      <c r="D2033" s="3" t="s">
        <v>2485</v>
      </c>
      <c r="E2033" s="3" t="b">
        <v>1</v>
      </c>
      <c r="F2033" s="3" t="b">
        <v>0</v>
      </c>
      <c r="G2033" s="3" t="s">
        <v>10003</v>
      </c>
      <c r="H2033" s="4" t="str">
        <f>_xlfn.IFNA(IF(((INDEX(RulebookFields!C2:C1898, MATCH(D2033,RulebookFields!A2:A1898, 0))="")=TRUE),  "",  INDEX(RulebookFields!C2:C1898, MATCH(D2033,RulebookFields!A2:A1898, 0))), "")</f>
        <v>Agents</v>
      </c>
      <c r="I2033" s="4" t="str">
        <f>_xlfn.IFNA(IF(((INDEX(RulebookFields!D2:D1898, MATCH(D2033,RulebookFields!A2:A1898, 0))="")=TRUE),  "",  INDEX(RulebookFields!D2:D1898, MATCH(D2033,RulebookFields!A2:A1898, 0))), "")</f>
        <v>IsOperatingOutsideBoundary</v>
      </c>
      <c r="J2033" s="4" t="b">
        <f>_xlfn.IFNA(IF(((INDEX(RulebookFields!I2:I1898, MATCH(D2033,RulebookFields!A2:A1898, 0))="")=TRUE),  "",  INDEX(RulebookFields!I2:I1898, MATCH(D2033,RulebookFields!A2:A1898, 0))), "")</f>
        <v>1</v>
      </c>
      <c r="K2033" s="4" t="b">
        <f>AND(((F2033)=TRUE), ((J2033)=TRUE))</f>
        <v>0</v>
      </c>
      <c r="L2033" s="4" t="b">
        <f>AND(((G2033 &lt;&gt; "plain")=TRUE), ((G2033 &lt;&gt; "")=TRUE))</f>
        <v>0</v>
      </c>
      <c r="M2033" s="4" t="str">
        <f>IF(((E2033)=TRUE),  C2033 &amp; "|" &amp; H2033,  "")</f>
        <v>principal-knowledge-authority|Agents</v>
      </c>
      <c r="N2033" s="3" t="s">
        <v>10004</v>
      </c>
    </row>
    <row r="2034">
      <c r="A2034" s="3" t="s">
        <v>12036</v>
      </c>
      <c r="B2034" s="4" t="str">
        <f>C2034 &amp; " -&gt; " &amp; D2034</f>
        <v>principal-knowledge-authority -&gt; Agents.DraftDecisionCount</v>
      </c>
      <c r="C2034" s="3" t="s">
        <v>9774</v>
      </c>
      <c r="D2034" s="3" t="s">
        <v>2487</v>
      </c>
      <c r="E2034" s="3" t="b">
        <v>1</v>
      </c>
      <c r="F2034" s="3" t="b">
        <v>0</v>
      </c>
      <c r="G2034" s="3" t="s">
        <v>10003</v>
      </c>
      <c r="H2034" s="4" t="str">
        <f>_xlfn.IFNA(IF(((INDEX(RulebookFields!C2:C1898, MATCH(D2034,RulebookFields!A2:A1898, 0))="")=TRUE),  "",  INDEX(RulebookFields!C2:C1898, MATCH(D2034,RulebookFields!A2:A1898, 0))), "")</f>
        <v>Agents</v>
      </c>
      <c r="I2034" s="4" t="str">
        <f>_xlfn.IFNA(IF(((INDEX(RulebookFields!D2:D1898, MATCH(D2034,RulebookFields!A2:A1898, 0))="")=TRUE),  "",  INDEX(RulebookFields!D2:D1898, MATCH(D2034,RulebookFields!A2:A1898, 0))), "")</f>
        <v>DraftDecisionCount</v>
      </c>
      <c r="J2034" s="4" t="b">
        <f>_xlfn.IFNA(IF(((INDEX(RulebookFields!I2:I1898, MATCH(D2034,RulebookFields!A2:A1898, 0))="")=TRUE),  "",  INDEX(RulebookFields!I2:I1898, MATCH(D2034,RulebookFields!A2:A1898, 0))), "")</f>
        <v>1</v>
      </c>
      <c r="K2034" s="4" t="b">
        <f>AND(((F2034)=TRUE), ((J2034)=TRUE))</f>
        <v>0</v>
      </c>
      <c r="L2034" s="4" t="b">
        <f>AND(((G2034 &lt;&gt; "plain")=TRUE), ((G2034 &lt;&gt; "")=TRUE))</f>
        <v>0</v>
      </c>
      <c r="M2034" s="4" t="str">
        <f>IF(((E2034)=TRUE),  C2034 &amp; "|" &amp; H2034,  "")</f>
        <v>principal-knowledge-authority|Agents</v>
      </c>
      <c r="N2034" s="3" t="s">
        <v>10004</v>
      </c>
    </row>
    <row r="2035">
      <c r="A2035" s="3" t="s">
        <v>12037</v>
      </c>
      <c r="B2035" s="4" t="str">
        <f>C2035 &amp; " -&gt; " &amp; D2035</f>
        <v>principal-knowledge-authority -&gt; Agents.OverriddenDraftCount</v>
      </c>
      <c r="C2035" s="3" t="s">
        <v>9774</v>
      </c>
      <c r="D2035" s="3" t="s">
        <v>2489</v>
      </c>
      <c r="E2035" s="3" t="b">
        <v>1</v>
      </c>
      <c r="F2035" s="3" t="b">
        <v>0</v>
      </c>
      <c r="G2035" s="3" t="s">
        <v>10003</v>
      </c>
      <c r="H2035" s="4" t="str">
        <f>_xlfn.IFNA(IF(((INDEX(RulebookFields!C2:C1898, MATCH(D2035,RulebookFields!A2:A1898, 0))="")=TRUE),  "",  INDEX(RulebookFields!C2:C1898, MATCH(D2035,RulebookFields!A2:A1898, 0))), "")</f>
        <v>Agents</v>
      </c>
      <c r="I2035" s="4" t="str">
        <f>_xlfn.IFNA(IF(((INDEX(RulebookFields!D2:D1898, MATCH(D2035,RulebookFields!A2:A1898, 0))="")=TRUE),  "",  INDEX(RulebookFields!D2:D1898, MATCH(D2035,RulebookFields!A2:A1898, 0))), "")</f>
        <v>OverriddenDraftCount</v>
      </c>
      <c r="J2035" s="4" t="b">
        <f>_xlfn.IFNA(IF(((INDEX(RulebookFields!I2:I1898, MATCH(D2035,RulebookFields!A2:A1898, 0))="")=TRUE),  "",  INDEX(RulebookFields!I2:I1898, MATCH(D2035,RulebookFields!A2:A1898, 0))), "")</f>
        <v>1</v>
      </c>
      <c r="K2035" s="4" t="b">
        <f>AND(((F2035)=TRUE), ((J2035)=TRUE))</f>
        <v>0</v>
      </c>
      <c r="L2035" s="4" t="b">
        <f>AND(((G2035 &lt;&gt; "plain")=TRUE), ((G2035 &lt;&gt; "")=TRUE))</f>
        <v>0</v>
      </c>
      <c r="M2035" s="4" t="str">
        <f>IF(((E2035)=TRUE),  C2035 &amp; "|" &amp; H2035,  "")</f>
        <v>principal-knowledge-authority|Agents</v>
      </c>
      <c r="N2035" s="3" t="s">
        <v>10004</v>
      </c>
    </row>
    <row r="2036">
      <c r="A2036" s="3" t="s">
        <v>12038</v>
      </c>
      <c r="B2036" s="4" t="str">
        <f>C2036 &amp; " -&gt; " &amp; D2036</f>
        <v>principal-knowledge-authority -&gt; Agents.DraftRewriteRatePercent</v>
      </c>
      <c r="C2036" s="3" t="s">
        <v>9774</v>
      </c>
      <c r="D2036" s="3" t="s">
        <v>2491</v>
      </c>
      <c r="E2036" s="3" t="b">
        <v>1</v>
      </c>
      <c r="F2036" s="3" t="b">
        <v>0</v>
      </c>
      <c r="G2036" s="3" t="s">
        <v>10003</v>
      </c>
      <c r="H2036" s="4" t="str">
        <f>_xlfn.IFNA(IF(((INDEX(RulebookFields!C2:C1898, MATCH(D2036,RulebookFields!A2:A1898, 0))="")=TRUE),  "",  INDEX(RulebookFields!C2:C1898, MATCH(D2036,RulebookFields!A2:A1898, 0))), "")</f>
        <v>Agents</v>
      </c>
      <c r="I2036" s="4" t="str">
        <f>_xlfn.IFNA(IF(((INDEX(RulebookFields!D2:D1898, MATCH(D2036,RulebookFields!A2:A1898, 0))="")=TRUE),  "",  INDEX(RulebookFields!D2:D1898, MATCH(D2036,RulebookFields!A2:A1898, 0))), "")</f>
        <v>DraftRewriteRatePercent</v>
      </c>
      <c r="J2036" s="4" t="b">
        <f>_xlfn.IFNA(IF(((INDEX(RulebookFields!I2:I1898, MATCH(D2036,RulebookFields!A2:A1898, 0))="")=TRUE),  "",  INDEX(RulebookFields!I2:I1898, MATCH(D2036,RulebookFields!A2:A1898, 0))), "")</f>
        <v>1</v>
      </c>
      <c r="K2036" s="4" t="b">
        <f>AND(((F2036)=TRUE), ((J2036)=TRUE))</f>
        <v>0</v>
      </c>
      <c r="L2036" s="4" t="b">
        <f>AND(((G2036 &lt;&gt; "plain")=TRUE), ((G2036 &lt;&gt; "")=TRUE))</f>
        <v>0</v>
      </c>
      <c r="M2036" s="4" t="str">
        <f>IF(((E2036)=TRUE),  C2036 &amp; "|" &amp; H2036,  "")</f>
        <v>principal-knowledge-authority|Agents</v>
      </c>
      <c r="N2036" s="3" t="s">
        <v>10004</v>
      </c>
    </row>
    <row r="2037">
      <c r="A2037" s="3" t="s">
        <v>12039</v>
      </c>
      <c r="B2037" s="4" t="str">
        <f>C2037 &amp; " -&gt; " &amp; D2037</f>
        <v>principal-knowledge-authority -&gt; Agents.SemanticTypeIri</v>
      </c>
      <c r="C2037" s="3" t="s">
        <v>9774</v>
      </c>
      <c r="D2037" s="3" t="s">
        <v>2501</v>
      </c>
      <c r="E2037" s="3" t="b">
        <v>1</v>
      </c>
      <c r="F2037" s="3" t="b">
        <v>0</v>
      </c>
      <c r="G2037" s="3" t="s">
        <v>10003</v>
      </c>
      <c r="H2037" s="4" t="str">
        <f>_xlfn.IFNA(IF(((INDEX(RulebookFields!C2:C1898, MATCH(D2037,RulebookFields!A2:A1898, 0))="")=TRUE),  "",  INDEX(RulebookFields!C2:C1898, MATCH(D2037,RulebookFields!A2:A1898, 0))), "")</f>
        <v>Agents</v>
      </c>
      <c r="I2037" s="4" t="str">
        <f>_xlfn.IFNA(IF(((INDEX(RulebookFields!D2:D1898, MATCH(D2037,RulebookFields!A2:A1898, 0))="")=TRUE),  "",  INDEX(RulebookFields!D2:D1898, MATCH(D2037,RulebookFields!A2:A1898, 0))), "")</f>
        <v>SemanticTypeIri</v>
      </c>
      <c r="J2037" s="4" t="b">
        <f>_xlfn.IFNA(IF(((INDEX(RulebookFields!I2:I1898, MATCH(D2037,RulebookFields!A2:A1898, 0))="")=TRUE),  "",  INDEX(RulebookFields!I2:I1898, MATCH(D2037,RulebookFields!A2:A1898, 0))), "")</f>
        <v>0</v>
      </c>
      <c r="K2037" s="4" t="b">
        <f>AND(((F2037)=TRUE), ((J2037)=TRUE))</f>
        <v>0</v>
      </c>
      <c r="L2037" s="4" t="b">
        <f>AND(((G2037 &lt;&gt; "plain")=TRUE), ((G2037 &lt;&gt; "")=TRUE))</f>
        <v>0</v>
      </c>
      <c r="M2037" s="4" t="str">
        <f>IF(((E2037)=TRUE),  C2037 &amp; "|" &amp; H2037,  "")</f>
        <v>principal-knowledge-authority|Agents</v>
      </c>
      <c r="N2037" s="3" t="s">
        <v>10004</v>
      </c>
    </row>
    <row r="2038">
      <c r="A2038" s="3" t="s">
        <v>12040</v>
      </c>
      <c r="B2038" s="4" t="str">
        <f>C2038 &amp; " -&gt; " &amp; D2038</f>
        <v>principal-knowledge-authority -&gt; AppNavGroups.AppNavGroupId</v>
      </c>
      <c r="C2038" s="3" t="s">
        <v>9774</v>
      </c>
      <c r="D2038" s="3" t="s">
        <v>5286</v>
      </c>
      <c r="E2038" s="3" t="b">
        <v>1</v>
      </c>
      <c r="F2038" s="3" t="b">
        <v>0</v>
      </c>
      <c r="G2038" s="3" t="s">
        <v>10003</v>
      </c>
      <c r="H2038" s="4" t="str">
        <f>_xlfn.IFNA(IF(((INDEX(RulebookFields!C2:C1898, MATCH(D2038,RulebookFields!A2:A1898, 0))="")=TRUE),  "",  INDEX(RulebookFields!C2:C1898, MATCH(D2038,RulebookFields!A2:A1898, 0))), "")</f>
        <v>AppNavGroups</v>
      </c>
      <c r="I2038" s="4" t="str">
        <f>_xlfn.IFNA(IF(((INDEX(RulebookFields!D2:D1898, MATCH(D2038,RulebookFields!A2:A1898, 0))="")=TRUE),  "",  INDEX(RulebookFields!D2:D1898, MATCH(D2038,RulebookFields!A2:A1898, 0))), "")</f>
        <v>AppNavGroupId</v>
      </c>
      <c r="J2038" s="4" t="b">
        <f>_xlfn.IFNA(IF(((INDEX(RulebookFields!I2:I1898, MATCH(D2038,RulebookFields!A2:A1898, 0))="")=TRUE),  "",  INDEX(RulebookFields!I2:I1898, MATCH(D2038,RulebookFields!A2:A1898, 0))), "")</f>
        <v>0</v>
      </c>
      <c r="K2038" s="4" t="b">
        <f>AND(((F2038)=TRUE), ((J2038)=TRUE))</f>
        <v>0</v>
      </c>
      <c r="L2038" s="4" t="b">
        <f>AND(((G2038 &lt;&gt; "plain")=TRUE), ((G2038 &lt;&gt; "")=TRUE))</f>
        <v>0</v>
      </c>
      <c r="M2038" s="4" t="str">
        <f>IF(((E2038)=TRUE),  C2038 &amp; "|" &amp; H2038,  "")</f>
        <v>principal-knowledge-authority|AppNavGroups</v>
      </c>
      <c r="N2038" s="3" t="s">
        <v>10004</v>
      </c>
    </row>
    <row r="2039">
      <c r="A2039" s="3" t="s">
        <v>12041</v>
      </c>
      <c r="B2039" s="4" t="str">
        <f>C2039 &amp; " -&gt; " &amp; D2039</f>
        <v>principal-knowledge-authority -&gt; AppNavGroups.Name</v>
      </c>
      <c r="C2039" s="3" t="s">
        <v>9774</v>
      </c>
      <c r="D2039" s="3" t="s">
        <v>5288</v>
      </c>
      <c r="E2039" s="3" t="b">
        <v>1</v>
      </c>
      <c r="F2039" s="3" t="b">
        <v>0</v>
      </c>
      <c r="G2039" s="3" t="s">
        <v>10003</v>
      </c>
      <c r="H2039" s="4" t="str">
        <f>_xlfn.IFNA(IF(((INDEX(RulebookFields!C2:C1898, MATCH(D2039,RulebookFields!A2:A1898, 0))="")=TRUE),  "",  INDEX(RulebookFields!C2:C1898, MATCH(D2039,RulebookFields!A2:A1898, 0))), "")</f>
        <v>AppNavGroups</v>
      </c>
      <c r="I2039" s="4" t="str">
        <f>_xlfn.IFNA(IF(((INDEX(RulebookFields!D2:D1898, MATCH(D2039,RulebookFields!A2:A1898, 0))="")=TRUE),  "",  INDEX(RulebookFields!D2:D1898, MATCH(D2039,RulebookFields!A2:A1898, 0))), "")</f>
        <v>Name</v>
      </c>
      <c r="J2039" s="4" t="b">
        <f>_xlfn.IFNA(IF(((INDEX(RulebookFields!I2:I1898, MATCH(D2039,RulebookFields!A2:A1898, 0))="")=TRUE),  "",  INDEX(RulebookFields!I2:I1898, MATCH(D2039,RulebookFields!A2:A1898, 0))), "")</f>
        <v>1</v>
      </c>
      <c r="K2039" s="4" t="b">
        <f>AND(((F2039)=TRUE), ((J2039)=TRUE))</f>
        <v>0</v>
      </c>
      <c r="L2039" s="4" t="b">
        <f>AND(((G2039 &lt;&gt; "plain")=TRUE), ((G2039 &lt;&gt; "")=TRUE))</f>
        <v>0</v>
      </c>
      <c r="M2039" s="4" t="str">
        <f>IF(((E2039)=TRUE),  C2039 &amp; "|" &amp; H2039,  "")</f>
        <v>principal-knowledge-authority|AppNavGroups</v>
      </c>
      <c r="N2039" s="3" t="s">
        <v>10004</v>
      </c>
    </row>
    <row r="2040">
      <c r="A2040" s="3" t="s">
        <v>12042</v>
      </c>
      <c r="B2040" s="4" t="str">
        <f>C2040 &amp; " -&gt; " &amp; D2040</f>
        <v>principal-knowledge-authority -&gt; AppNavGroups.GroupLabel</v>
      </c>
      <c r="C2040" s="3" t="s">
        <v>9774</v>
      </c>
      <c r="D2040" s="3" t="s">
        <v>5290</v>
      </c>
      <c r="E2040" s="3" t="b">
        <v>1</v>
      </c>
      <c r="F2040" s="3" t="b">
        <v>0</v>
      </c>
      <c r="G2040" s="3" t="s">
        <v>10003</v>
      </c>
      <c r="H2040" s="4" t="str">
        <f>_xlfn.IFNA(IF(((INDEX(RulebookFields!C2:C1898, MATCH(D2040,RulebookFields!A2:A1898, 0))="")=TRUE),  "",  INDEX(RulebookFields!C2:C1898, MATCH(D2040,RulebookFields!A2:A1898, 0))), "")</f>
        <v>AppNavGroups</v>
      </c>
      <c r="I2040" s="4" t="str">
        <f>_xlfn.IFNA(IF(((INDEX(RulebookFields!D2:D1898, MATCH(D2040,RulebookFields!A2:A1898, 0))="")=TRUE),  "",  INDEX(RulebookFields!D2:D1898, MATCH(D2040,RulebookFields!A2:A1898, 0))), "")</f>
        <v>GroupLabel</v>
      </c>
      <c r="J2040" s="4" t="b">
        <f>_xlfn.IFNA(IF(((INDEX(RulebookFields!I2:I1898, MATCH(D2040,RulebookFields!A2:A1898, 0))="")=TRUE),  "",  INDEX(RulebookFields!I2:I1898, MATCH(D2040,RulebookFields!A2:A1898, 0))), "")</f>
        <v>0</v>
      </c>
      <c r="K2040" s="4" t="b">
        <f>AND(((F2040)=TRUE), ((J2040)=TRUE))</f>
        <v>0</v>
      </c>
      <c r="L2040" s="4" t="b">
        <f>AND(((G2040 &lt;&gt; "plain")=TRUE), ((G2040 &lt;&gt; "")=TRUE))</f>
        <v>0</v>
      </c>
      <c r="M2040" s="4" t="str">
        <f>IF(((E2040)=TRUE),  C2040 &amp; "|" &amp; H2040,  "")</f>
        <v>principal-knowledge-authority|AppNavGroups</v>
      </c>
      <c r="N2040" s="3" t="s">
        <v>10004</v>
      </c>
    </row>
    <row r="2041">
      <c r="A2041" s="3" t="s">
        <v>12043</v>
      </c>
      <c r="B2041" s="4" t="str">
        <f>C2041 &amp; " -&gt; " &amp; D2041</f>
        <v>principal-knowledge-authority -&gt; AppNavGroups.RouteCount</v>
      </c>
      <c r="C2041" s="3" t="s">
        <v>9774</v>
      </c>
      <c r="D2041" s="3" t="s">
        <v>5292</v>
      </c>
      <c r="E2041" s="3" t="b">
        <v>1</v>
      </c>
      <c r="F2041" s="3" t="b">
        <v>0</v>
      </c>
      <c r="G2041" s="3" t="s">
        <v>10003</v>
      </c>
      <c r="H2041" s="4" t="str">
        <f>_xlfn.IFNA(IF(((INDEX(RulebookFields!C2:C1898, MATCH(D2041,RulebookFields!A2:A1898, 0))="")=TRUE),  "",  INDEX(RulebookFields!C2:C1898, MATCH(D2041,RulebookFields!A2:A1898, 0))), "")</f>
        <v>AppNavGroups</v>
      </c>
      <c r="I2041" s="4" t="str">
        <f>_xlfn.IFNA(IF(((INDEX(RulebookFields!D2:D1898, MATCH(D2041,RulebookFields!A2:A1898, 0))="")=TRUE),  "",  INDEX(RulebookFields!D2:D1898, MATCH(D2041,RulebookFields!A2:A1898, 0))), "")</f>
        <v>RouteCount</v>
      </c>
      <c r="J2041" s="4" t="b">
        <f>_xlfn.IFNA(IF(((INDEX(RulebookFields!I2:I1898, MATCH(D2041,RulebookFields!A2:A1898, 0))="")=TRUE),  "",  INDEX(RulebookFields!I2:I1898, MATCH(D2041,RulebookFields!A2:A1898, 0))), "")</f>
        <v>1</v>
      </c>
      <c r="K2041" s="4" t="b">
        <f>AND(((F2041)=TRUE), ((J2041)=TRUE))</f>
        <v>0</v>
      </c>
      <c r="L2041" s="4" t="b">
        <f>AND(((G2041 &lt;&gt; "plain")=TRUE), ((G2041 &lt;&gt; "")=TRUE))</f>
        <v>0</v>
      </c>
      <c r="M2041" s="4" t="str">
        <f>IF(((E2041)=TRUE),  C2041 &amp; "|" &amp; H2041,  "")</f>
        <v>principal-knowledge-authority|AppNavGroups</v>
      </c>
      <c r="N2041" s="3" t="s">
        <v>10004</v>
      </c>
    </row>
    <row r="2042">
      <c r="A2042" s="3" t="s">
        <v>12044</v>
      </c>
      <c r="B2042" s="4" t="str">
        <f>C2042 &amp; " -&gt; " &amp; D2042</f>
        <v>principal-knowledge-authority -&gt; AppNavGroups.SemanticTypeIri</v>
      </c>
      <c r="C2042" s="3" t="s">
        <v>9774</v>
      </c>
      <c r="D2042" s="3" t="s">
        <v>5294</v>
      </c>
      <c r="E2042" s="3" t="b">
        <v>1</v>
      </c>
      <c r="F2042" s="3" t="b">
        <v>0</v>
      </c>
      <c r="G2042" s="3" t="s">
        <v>10003</v>
      </c>
      <c r="H2042" s="4" t="str">
        <f>_xlfn.IFNA(IF(((INDEX(RulebookFields!C2:C1898, MATCH(D2042,RulebookFields!A2:A1898, 0))="")=TRUE),  "",  INDEX(RulebookFields!C2:C1898, MATCH(D2042,RulebookFields!A2:A1898, 0))), "")</f>
        <v>AppNavGroups</v>
      </c>
      <c r="I2042" s="4" t="str">
        <f>_xlfn.IFNA(IF(((INDEX(RulebookFields!D2:D1898, MATCH(D2042,RulebookFields!A2:A1898, 0))="")=TRUE),  "",  INDEX(RulebookFields!D2:D1898, MATCH(D2042,RulebookFields!A2:A1898, 0))), "")</f>
        <v>SemanticTypeIri</v>
      </c>
      <c r="J2042" s="4" t="b">
        <f>_xlfn.IFNA(IF(((INDEX(RulebookFields!I2:I1898, MATCH(D2042,RulebookFields!A2:A1898, 0))="")=TRUE),  "",  INDEX(RulebookFields!I2:I1898, MATCH(D2042,RulebookFields!A2:A1898, 0))), "")</f>
        <v>0</v>
      </c>
      <c r="K2042" s="4" t="b">
        <f>AND(((F2042)=TRUE), ((J2042)=TRUE))</f>
        <v>0</v>
      </c>
      <c r="L2042" s="4" t="b">
        <f>AND(((G2042 &lt;&gt; "plain")=TRUE), ((G2042 &lt;&gt; "")=TRUE))</f>
        <v>0</v>
      </c>
      <c r="M2042" s="4" t="str">
        <f>IF(((E2042)=TRUE),  C2042 &amp; "|" &amp; H2042,  "")</f>
        <v>principal-knowledge-authority|AppNavGroups</v>
      </c>
      <c r="N2042" s="3" t="s">
        <v>10004</v>
      </c>
    </row>
    <row r="2043">
      <c r="A2043" s="3" t="s">
        <v>12045</v>
      </c>
      <c r="B2043" s="4" t="str">
        <f>C2043 &amp; " -&gt; " &amp; D2043</f>
        <v>principal-knowledge-authority -&gt; AppRoleProfiles.AppRoleProfileId</v>
      </c>
      <c r="C2043" s="3" t="s">
        <v>9774</v>
      </c>
      <c r="D2043" s="3" t="s">
        <v>5263</v>
      </c>
      <c r="E2043" s="3" t="b">
        <v>1</v>
      </c>
      <c r="F2043" s="3" t="b">
        <v>0</v>
      </c>
      <c r="G2043" s="3" t="s">
        <v>10003</v>
      </c>
      <c r="H2043" s="4" t="str">
        <f>_xlfn.IFNA(IF(((INDEX(RulebookFields!C2:C1898, MATCH(D2043,RulebookFields!A2:A1898, 0))="")=TRUE),  "",  INDEX(RulebookFields!C2:C1898, MATCH(D2043,RulebookFields!A2:A1898, 0))), "")</f>
        <v>AppRoleProfiles</v>
      </c>
      <c r="I2043" s="4" t="str">
        <f>_xlfn.IFNA(IF(((INDEX(RulebookFields!D2:D1898, MATCH(D2043,RulebookFields!A2:A1898, 0))="")=TRUE),  "",  INDEX(RulebookFields!D2:D1898, MATCH(D2043,RulebookFields!A2:A1898, 0))), "")</f>
        <v>AppRoleProfileId</v>
      </c>
      <c r="J2043" s="4" t="b">
        <f>_xlfn.IFNA(IF(((INDEX(RulebookFields!I2:I1898, MATCH(D2043,RulebookFields!A2:A1898, 0))="")=TRUE),  "",  INDEX(RulebookFields!I2:I1898, MATCH(D2043,RulebookFields!A2:A1898, 0))), "")</f>
        <v>0</v>
      </c>
      <c r="K2043" s="4" t="b">
        <f>AND(((F2043)=TRUE), ((J2043)=TRUE))</f>
        <v>0</v>
      </c>
      <c r="L2043" s="4" t="b">
        <f>AND(((G2043 &lt;&gt; "plain")=TRUE), ((G2043 &lt;&gt; "")=TRUE))</f>
        <v>0</v>
      </c>
      <c r="M2043" s="4" t="str">
        <f>IF(((E2043)=TRUE),  C2043 &amp; "|" &amp; H2043,  "")</f>
        <v>principal-knowledge-authority|AppRoleProfiles</v>
      </c>
      <c r="N2043" s="3" t="s">
        <v>10004</v>
      </c>
    </row>
    <row r="2044">
      <c r="A2044" s="3" t="s">
        <v>12046</v>
      </c>
      <c r="B2044" s="4" t="str">
        <f>C2044 &amp; " -&gt; " &amp; D2044</f>
        <v>principal-knowledge-authority -&gt; AppRoleProfiles.Name</v>
      </c>
      <c r="C2044" s="3" t="s">
        <v>9774</v>
      </c>
      <c r="D2044" s="3" t="s">
        <v>5265</v>
      </c>
      <c r="E2044" s="3" t="b">
        <v>1</v>
      </c>
      <c r="F2044" s="3" t="b">
        <v>0</v>
      </c>
      <c r="G2044" s="3" t="s">
        <v>10003</v>
      </c>
      <c r="H2044" s="4" t="str">
        <f>_xlfn.IFNA(IF(((INDEX(RulebookFields!C2:C1898, MATCH(D2044,RulebookFields!A2:A1898, 0))="")=TRUE),  "",  INDEX(RulebookFields!C2:C1898, MATCH(D2044,RulebookFields!A2:A1898, 0))), "")</f>
        <v>AppRoleProfiles</v>
      </c>
      <c r="I2044" s="4" t="str">
        <f>_xlfn.IFNA(IF(((INDEX(RulebookFields!D2:D1898, MATCH(D2044,RulebookFields!A2:A1898, 0))="")=TRUE),  "",  INDEX(RulebookFields!D2:D1898, MATCH(D2044,RulebookFields!A2:A1898, 0))), "")</f>
        <v>Name</v>
      </c>
      <c r="J2044" s="4" t="b">
        <f>_xlfn.IFNA(IF(((INDEX(RulebookFields!I2:I1898, MATCH(D2044,RulebookFields!A2:A1898, 0))="")=TRUE),  "",  INDEX(RulebookFields!I2:I1898, MATCH(D2044,RulebookFields!A2:A1898, 0))), "")</f>
        <v>1</v>
      </c>
      <c r="K2044" s="4" t="b">
        <f>AND(((F2044)=TRUE), ((J2044)=TRUE))</f>
        <v>0</v>
      </c>
      <c r="L2044" s="4" t="b">
        <f>AND(((G2044 &lt;&gt; "plain")=TRUE), ((G2044 &lt;&gt; "")=TRUE))</f>
        <v>0</v>
      </c>
      <c r="M2044" s="4" t="str">
        <f>IF(((E2044)=TRUE),  C2044 &amp; "|" &amp; H2044,  "")</f>
        <v>principal-knowledge-authority|AppRoleProfiles</v>
      </c>
      <c r="N2044" s="3" t="s">
        <v>10004</v>
      </c>
    </row>
    <row r="2045">
      <c r="A2045" s="3" t="s">
        <v>12047</v>
      </c>
      <c r="B2045" s="4" t="str">
        <f>C2045 &amp; " -&gt; " &amp; D2045</f>
        <v>principal-knowledge-authority -&gt; AppRoleProfiles.Role</v>
      </c>
      <c r="C2045" s="3" t="s">
        <v>9774</v>
      </c>
      <c r="D2045" s="3" t="s">
        <v>5267</v>
      </c>
      <c r="E2045" s="3" t="b">
        <v>1</v>
      </c>
      <c r="F2045" s="3" t="b">
        <v>0</v>
      </c>
      <c r="G2045" s="3" t="s">
        <v>10003</v>
      </c>
      <c r="H2045" s="4" t="str">
        <f>_xlfn.IFNA(IF(((INDEX(RulebookFields!C2:C1898, MATCH(D2045,RulebookFields!A2:A1898, 0))="")=TRUE),  "",  INDEX(RulebookFields!C2:C1898, MATCH(D2045,RulebookFields!A2:A1898, 0))), "")</f>
        <v>AppRoleProfiles</v>
      </c>
      <c r="I2045" s="4" t="str">
        <f>_xlfn.IFNA(IF(((INDEX(RulebookFields!D2:D1898, MATCH(D2045,RulebookFields!A2:A1898, 0))="")=TRUE),  "",  INDEX(RulebookFields!D2:D1898, MATCH(D2045,RulebookFields!A2:A1898, 0))), "")</f>
        <v>Role</v>
      </c>
      <c r="J2045" s="4" t="b">
        <f>_xlfn.IFNA(IF(((INDEX(RulebookFields!I2:I1898, MATCH(D2045,RulebookFields!A2:A1898, 0))="")=TRUE),  "",  INDEX(RulebookFields!I2:I1898, MATCH(D2045,RulebookFields!A2:A1898, 0))), "")</f>
        <v>0</v>
      </c>
      <c r="K2045" s="4" t="b">
        <f>AND(((F2045)=TRUE), ((J2045)=TRUE))</f>
        <v>0</v>
      </c>
      <c r="L2045" s="4" t="b">
        <f>AND(((G2045 &lt;&gt; "plain")=TRUE), ((G2045 &lt;&gt; "")=TRUE))</f>
        <v>0</v>
      </c>
      <c r="M2045" s="4" t="str">
        <f>IF(((E2045)=TRUE),  C2045 &amp; "|" &amp; H2045,  "")</f>
        <v>principal-knowledge-authority|AppRoleProfiles</v>
      </c>
      <c r="N2045" s="3" t="s">
        <v>10004</v>
      </c>
    </row>
    <row r="2046">
      <c r="A2046" s="3" t="s">
        <v>12048</v>
      </c>
      <c r="B2046" s="4" t="str">
        <f>C2046 &amp; " -&gt; " &amp; D2046</f>
        <v>principal-knowledge-authority -&gt; AppRoleProfiles.DisplayLabel</v>
      </c>
      <c r="C2046" s="3" t="s">
        <v>9774</v>
      </c>
      <c r="D2046" s="3" t="s">
        <v>5268</v>
      </c>
      <c r="E2046" s="3" t="b">
        <v>1</v>
      </c>
      <c r="F2046" s="3" t="b">
        <v>0</v>
      </c>
      <c r="G2046" s="3" t="s">
        <v>10003</v>
      </c>
      <c r="H2046" s="4" t="str">
        <f>_xlfn.IFNA(IF(((INDEX(RulebookFields!C2:C1898, MATCH(D2046,RulebookFields!A2:A1898, 0))="")=TRUE),  "",  INDEX(RulebookFields!C2:C1898, MATCH(D2046,RulebookFields!A2:A1898, 0))), "")</f>
        <v>AppRoleProfiles</v>
      </c>
      <c r="I2046" s="4" t="str">
        <f>_xlfn.IFNA(IF(((INDEX(RulebookFields!D2:D1898, MATCH(D2046,RulebookFields!A2:A1898, 0))="")=TRUE),  "",  INDEX(RulebookFields!D2:D1898, MATCH(D2046,RulebookFields!A2:A1898, 0))), "")</f>
        <v>DisplayLabel</v>
      </c>
      <c r="J2046" s="4" t="b">
        <f>_xlfn.IFNA(IF(((INDEX(RulebookFields!I2:I1898, MATCH(D2046,RulebookFields!A2:A1898, 0))="")=TRUE),  "",  INDEX(RulebookFields!I2:I1898, MATCH(D2046,RulebookFields!A2:A1898, 0))), "")</f>
        <v>0</v>
      </c>
      <c r="K2046" s="4" t="b">
        <f>AND(((F2046)=TRUE), ((J2046)=TRUE))</f>
        <v>0</v>
      </c>
      <c r="L2046" s="4" t="b">
        <f>AND(((G2046 &lt;&gt; "plain")=TRUE), ((G2046 &lt;&gt; "")=TRUE))</f>
        <v>0</v>
      </c>
      <c r="M2046" s="4" t="str">
        <f>IF(((E2046)=TRUE),  C2046 &amp; "|" &amp; H2046,  "")</f>
        <v>principal-knowledge-authority|AppRoleProfiles</v>
      </c>
      <c r="N2046" s="3" t="s">
        <v>10004</v>
      </c>
    </row>
    <row r="2047">
      <c r="A2047" s="3" t="s">
        <v>12049</v>
      </c>
      <c r="B2047" s="4" t="str">
        <f>C2047 &amp; " -&gt; " &amp; D2047</f>
        <v>principal-knowledge-authority -&gt; AppRoleProfiles.RoleKind</v>
      </c>
      <c r="C2047" s="3" t="s">
        <v>9774</v>
      </c>
      <c r="D2047" s="3" t="s">
        <v>5270</v>
      </c>
      <c r="E2047" s="3" t="b">
        <v>1</v>
      </c>
      <c r="F2047" s="3" t="b">
        <v>0</v>
      </c>
      <c r="G2047" s="3" t="s">
        <v>10003</v>
      </c>
      <c r="H2047" s="4" t="str">
        <f>_xlfn.IFNA(IF(((INDEX(RulebookFields!C2:C1898, MATCH(D2047,RulebookFields!A2:A1898, 0))="")=TRUE),  "",  INDEX(RulebookFields!C2:C1898, MATCH(D2047,RulebookFields!A2:A1898, 0))), "")</f>
        <v>AppRoleProfiles</v>
      </c>
      <c r="I2047" s="4" t="str">
        <f>_xlfn.IFNA(IF(((INDEX(RulebookFields!D2:D1898, MATCH(D2047,RulebookFields!A2:A1898, 0))="")=TRUE),  "",  INDEX(RulebookFields!D2:D1898, MATCH(D2047,RulebookFields!A2:A1898, 0))), "")</f>
        <v>RoleKind</v>
      </c>
      <c r="J2047" s="4" t="b">
        <f>_xlfn.IFNA(IF(((INDEX(RulebookFields!I2:I1898, MATCH(D2047,RulebookFields!A2:A1898, 0))="")=TRUE),  "",  INDEX(RulebookFields!I2:I1898, MATCH(D2047,RulebookFields!A2:A1898, 0))), "")</f>
        <v>0</v>
      </c>
      <c r="K2047" s="4" t="b">
        <f>AND(((F2047)=TRUE), ((J2047)=TRUE))</f>
        <v>0</v>
      </c>
      <c r="L2047" s="4" t="b">
        <f>AND(((G2047 &lt;&gt; "plain")=TRUE), ((G2047 &lt;&gt; "")=TRUE))</f>
        <v>0</v>
      </c>
      <c r="M2047" s="4" t="str">
        <f>IF(((E2047)=TRUE),  C2047 &amp; "|" &amp; H2047,  "")</f>
        <v>principal-knowledge-authority|AppRoleProfiles</v>
      </c>
      <c r="N2047" s="3" t="s">
        <v>10004</v>
      </c>
    </row>
    <row r="2048">
      <c r="A2048" s="3" t="s">
        <v>12050</v>
      </c>
      <c r="B2048" s="4" t="str">
        <f>C2048 &amp; " -&gt; " &amp; D2048</f>
        <v>principal-knowledge-authority -&gt; AppRoleProfiles.AccentColor</v>
      </c>
      <c r="C2048" s="3" t="s">
        <v>9774</v>
      </c>
      <c r="D2048" s="3" t="s">
        <v>5272</v>
      </c>
      <c r="E2048" s="3" t="b">
        <v>1</v>
      </c>
      <c r="F2048" s="3" t="b">
        <v>0</v>
      </c>
      <c r="G2048" s="3" t="s">
        <v>10003</v>
      </c>
      <c r="H2048" s="4" t="str">
        <f>_xlfn.IFNA(IF(((INDEX(RulebookFields!C2:C1898, MATCH(D2048,RulebookFields!A2:A1898, 0))="")=TRUE),  "",  INDEX(RulebookFields!C2:C1898, MATCH(D2048,RulebookFields!A2:A1898, 0))), "")</f>
        <v>AppRoleProfiles</v>
      </c>
      <c r="I2048" s="4" t="str">
        <f>_xlfn.IFNA(IF(((INDEX(RulebookFields!D2:D1898, MATCH(D2048,RulebookFields!A2:A1898, 0))="")=TRUE),  "",  INDEX(RulebookFields!D2:D1898, MATCH(D2048,RulebookFields!A2:A1898, 0))), "")</f>
        <v>AccentColor</v>
      </c>
      <c r="J2048" s="4" t="b">
        <f>_xlfn.IFNA(IF(((INDEX(RulebookFields!I2:I1898, MATCH(D2048,RulebookFields!A2:A1898, 0))="")=TRUE),  "",  INDEX(RulebookFields!I2:I1898, MATCH(D2048,RulebookFields!A2:A1898, 0))), "")</f>
        <v>0</v>
      </c>
      <c r="K2048" s="4" t="b">
        <f>AND(((F2048)=TRUE), ((J2048)=TRUE))</f>
        <v>0</v>
      </c>
      <c r="L2048" s="4" t="b">
        <f>AND(((G2048 &lt;&gt; "plain")=TRUE), ((G2048 &lt;&gt; "")=TRUE))</f>
        <v>0</v>
      </c>
      <c r="M2048" s="4" t="str">
        <f>IF(((E2048)=TRUE),  C2048 &amp; "|" &amp; H2048,  "")</f>
        <v>principal-knowledge-authority|AppRoleProfiles</v>
      </c>
      <c r="N2048" s="3" t="s">
        <v>10004</v>
      </c>
    </row>
    <row r="2049">
      <c r="A2049" s="3" t="s">
        <v>12051</v>
      </c>
      <c r="B2049" s="4" t="str">
        <f>C2049 &amp; " -&gt; " &amp; D2049</f>
        <v>principal-knowledge-authority -&gt; AppRoleProfiles.IconMark</v>
      </c>
      <c r="C2049" s="3" t="s">
        <v>9774</v>
      </c>
      <c r="D2049" s="3" t="s">
        <v>5274</v>
      </c>
      <c r="E2049" s="3" t="b">
        <v>1</v>
      </c>
      <c r="F2049" s="3" t="b">
        <v>0</v>
      </c>
      <c r="G2049" s="3" t="s">
        <v>10003</v>
      </c>
      <c r="H2049" s="4" t="str">
        <f>_xlfn.IFNA(IF(((INDEX(RulebookFields!C2:C1898, MATCH(D2049,RulebookFields!A2:A1898, 0))="")=TRUE),  "",  INDEX(RulebookFields!C2:C1898, MATCH(D2049,RulebookFields!A2:A1898, 0))), "")</f>
        <v>AppRoleProfiles</v>
      </c>
      <c r="I2049" s="4" t="str">
        <f>_xlfn.IFNA(IF(((INDEX(RulebookFields!D2:D1898, MATCH(D2049,RulebookFields!A2:A1898, 0))="")=TRUE),  "",  INDEX(RulebookFields!D2:D1898, MATCH(D2049,RulebookFields!A2:A1898, 0))), "")</f>
        <v>IconMark</v>
      </c>
      <c r="J2049" s="4" t="b">
        <f>_xlfn.IFNA(IF(((INDEX(RulebookFields!I2:I1898, MATCH(D2049,RulebookFields!A2:A1898, 0))="")=TRUE),  "",  INDEX(RulebookFields!I2:I1898, MATCH(D2049,RulebookFields!A2:A1898, 0))), "")</f>
        <v>0</v>
      </c>
      <c r="K2049" s="4" t="b">
        <f>AND(((F2049)=TRUE), ((J2049)=TRUE))</f>
        <v>0</v>
      </c>
      <c r="L2049" s="4" t="b">
        <f>AND(((G2049 &lt;&gt; "plain")=TRUE), ((G2049 &lt;&gt; "")=TRUE))</f>
        <v>0</v>
      </c>
      <c r="M2049" s="4" t="str">
        <f>IF(((E2049)=TRUE),  C2049 &amp; "|" &amp; H2049,  "")</f>
        <v>principal-knowledge-authority|AppRoleProfiles</v>
      </c>
      <c r="N2049" s="3" t="s">
        <v>10004</v>
      </c>
    </row>
    <row r="2050">
      <c r="A2050" s="3" t="s">
        <v>12052</v>
      </c>
      <c r="B2050" s="4" t="str">
        <f>C2050 &amp; " -&gt; " &amp; D2050</f>
        <v>principal-knowledge-authority -&gt; AppRoleProfiles.IconPngBase64</v>
      </c>
      <c r="C2050" s="3" t="s">
        <v>9774</v>
      </c>
      <c r="D2050" s="3" t="s">
        <v>5276</v>
      </c>
      <c r="E2050" s="3" t="b">
        <v>1</v>
      </c>
      <c r="F2050" s="3" t="b">
        <v>0</v>
      </c>
      <c r="G2050" s="3" t="s">
        <v>10003</v>
      </c>
      <c r="H2050" s="4" t="str">
        <f>_xlfn.IFNA(IF(((INDEX(RulebookFields!C2:C1898, MATCH(D2050,RulebookFields!A2:A1898, 0))="")=TRUE),  "",  INDEX(RulebookFields!C2:C1898, MATCH(D2050,RulebookFields!A2:A1898, 0))), "")</f>
        <v>AppRoleProfiles</v>
      </c>
      <c r="I2050" s="4" t="str">
        <f>_xlfn.IFNA(IF(((INDEX(RulebookFields!D2:D1898, MATCH(D2050,RulebookFields!A2:A1898, 0))="")=TRUE),  "",  INDEX(RulebookFields!D2:D1898, MATCH(D2050,RulebookFields!A2:A1898, 0))), "")</f>
        <v>IconPngBase64</v>
      </c>
      <c r="J2050" s="4" t="b">
        <f>_xlfn.IFNA(IF(((INDEX(RulebookFields!I2:I1898, MATCH(D2050,RulebookFields!A2:A1898, 0))="")=TRUE),  "",  INDEX(RulebookFields!I2:I1898, MATCH(D2050,RulebookFields!A2:A1898, 0))), "")</f>
        <v>0</v>
      </c>
      <c r="K2050" s="4" t="b">
        <f>AND(((F2050)=TRUE), ((J2050)=TRUE))</f>
        <v>0</v>
      </c>
      <c r="L2050" s="4" t="b">
        <f>AND(((G2050 &lt;&gt; "plain")=TRUE), ((G2050 &lt;&gt; "")=TRUE))</f>
        <v>0</v>
      </c>
      <c r="M2050" s="4" t="str">
        <f>IF(((E2050)=TRUE),  C2050 &amp; "|" &amp; H2050,  "")</f>
        <v>principal-knowledge-authority|AppRoleProfiles</v>
      </c>
      <c r="N2050" s="3" t="s">
        <v>10004</v>
      </c>
    </row>
    <row r="2051">
      <c r="A2051" s="3" t="s">
        <v>12053</v>
      </c>
      <c r="B2051" s="4" t="str">
        <f>C2051 &amp; " -&gt; " &amp; D2051</f>
        <v>principal-knowledge-authority -&gt; AppRoleProfiles.Pitch</v>
      </c>
      <c r="C2051" s="3" t="s">
        <v>9774</v>
      </c>
      <c r="D2051" s="3" t="s">
        <v>5278</v>
      </c>
      <c r="E2051" s="3" t="b">
        <v>1</v>
      </c>
      <c r="F2051" s="3" t="b">
        <v>0</v>
      </c>
      <c r="G2051" s="3" t="s">
        <v>10003</v>
      </c>
      <c r="H2051" s="4" t="str">
        <f>_xlfn.IFNA(IF(((INDEX(RulebookFields!C2:C1898, MATCH(D2051,RulebookFields!A2:A1898, 0))="")=TRUE),  "",  INDEX(RulebookFields!C2:C1898, MATCH(D2051,RulebookFields!A2:A1898, 0))), "")</f>
        <v>AppRoleProfiles</v>
      </c>
      <c r="I2051" s="4" t="str">
        <f>_xlfn.IFNA(IF(((INDEX(RulebookFields!D2:D1898, MATCH(D2051,RulebookFields!A2:A1898, 0))="")=TRUE),  "",  INDEX(RulebookFields!D2:D1898, MATCH(D2051,RulebookFields!A2:A1898, 0))), "")</f>
        <v>Pitch</v>
      </c>
      <c r="J2051" s="4" t="b">
        <f>_xlfn.IFNA(IF(((INDEX(RulebookFields!I2:I1898, MATCH(D2051,RulebookFields!A2:A1898, 0))="")=TRUE),  "",  INDEX(RulebookFields!I2:I1898, MATCH(D2051,RulebookFields!A2:A1898, 0))), "")</f>
        <v>0</v>
      </c>
      <c r="K2051" s="4" t="b">
        <f>AND(((F2051)=TRUE), ((J2051)=TRUE))</f>
        <v>0</v>
      </c>
      <c r="L2051" s="4" t="b">
        <f>AND(((G2051 &lt;&gt; "plain")=TRUE), ((G2051 &lt;&gt; "")=TRUE))</f>
        <v>0</v>
      </c>
      <c r="M2051" s="4" t="str">
        <f>IF(((E2051)=TRUE),  C2051 &amp; "|" &amp; H2051,  "")</f>
        <v>principal-knowledge-authority|AppRoleProfiles</v>
      </c>
      <c r="N2051" s="3" t="s">
        <v>10004</v>
      </c>
    </row>
    <row r="2052">
      <c r="A2052" s="3" t="s">
        <v>12054</v>
      </c>
      <c r="B2052" s="4" t="str">
        <f>C2052 &amp; " -&gt; " &amp; D2052</f>
        <v>principal-knowledge-authority -&gt; AppRoleProfiles.SortOrder</v>
      </c>
      <c r="C2052" s="3" t="s">
        <v>9774</v>
      </c>
      <c r="D2052" s="3" t="s">
        <v>5280</v>
      </c>
      <c r="E2052" s="3" t="b">
        <v>1</v>
      </c>
      <c r="F2052" s="3" t="b">
        <v>0</v>
      </c>
      <c r="G2052" s="3" t="s">
        <v>10003</v>
      </c>
      <c r="H2052" s="4" t="str">
        <f>_xlfn.IFNA(IF(((INDEX(RulebookFields!C2:C1898, MATCH(D2052,RulebookFields!A2:A1898, 0))="")=TRUE),  "",  INDEX(RulebookFields!C2:C1898, MATCH(D2052,RulebookFields!A2:A1898, 0))), "")</f>
        <v>AppRoleProfiles</v>
      </c>
      <c r="I2052" s="4" t="str">
        <f>_xlfn.IFNA(IF(((INDEX(RulebookFields!D2:D1898, MATCH(D2052,RulebookFields!A2:A1898, 0))="")=TRUE),  "",  INDEX(RulebookFields!D2:D1898, MATCH(D2052,RulebookFields!A2:A1898, 0))), "")</f>
        <v>SortOrder</v>
      </c>
      <c r="J2052" s="4" t="b">
        <f>_xlfn.IFNA(IF(((INDEX(RulebookFields!I2:I1898, MATCH(D2052,RulebookFields!A2:A1898, 0))="")=TRUE),  "",  INDEX(RulebookFields!I2:I1898, MATCH(D2052,RulebookFields!A2:A1898, 0))), "")</f>
        <v>0</v>
      </c>
      <c r="K2052" s="4" t="b">
        <f>AND(((F2052)=TRUE), ((J2052)=TRUE))</f>
        <v>0</v>
      </c>
      <c r="L2052" s="4" t="b">
        <f>AND(((G2052 &lt;&gt; "plain")=TRUE), ((G2052 &lt;&gt; "")=TRUE))</f>
        <v>0</v>
      </c>
      <c r="M2052" s="4" t="str">
        <f>IF(((E2052)=TRUE),  C2052 &amp; "|" &amp; H2052,  "")</f>
        <v>principal-knowledge-authority|AppRoleProfiles</v>
      </c>
      <c r="N2052" s="3" t="s">
        <v>10004</v>
      </c>
    </row>
    <row r="2053">
      <c r="A2053" s="3" t="s">
        <v>12055</v>
      </c>
      <c r="B2053" s="4" t="str">
        <f>C2053 &amp; " -&gt; " &amp; D2053</f>
        <v>principal-knowledge-authority -&gt; AppRoleProfiles.RouteCount</v>
      </c>
      <c r="C2053" s="3" t="s">
        <v>9774</v>
      </c>
      <c r="D2053" s="3" t="s">
        <v>5282</v>
      </c>
      <c r="E2053" s="3" t="b">
        <v>1</v>
      </c>
      <c r="F2053" s="3" t="b">
        <v>0</v>
      </c>
      <c r="G2053" s="3" t="s">
        <v>10003</v>
      </c>
      <c r="H2053" s="4" t="str">
        <f>_xlfn.IFNA(IF(((INDEX(RulebookFields!C2:C1898, MATCH(D2053,RulebookFields!A2:A1898, 0))="")=TRUE),  "",  INDEX(RulebookFields!C2:C1898, MATCH(D2053,RulebookFields!A2:A1898, 0))), "")</f>
        <v>AppRoleProfiles</v>
      </c>
      <c r="I2053" s="4" t="str">
        <f>_xlfn.IFNA(IF(((INDEX(RulebookFields!D2:D1898, MATCH(D2053,RulebookFields!A2:A1898, 0))="")=TRUE),  "",  INDEX(RulebookFields!D2:D1898, MATCH(D2053,RulebookFields!A2:A1898, 0))), "")</f>
        <v>RouteCount</v>
      </c>
      <c r="J2053" s="4" t="b">
        <f>_xlfn.IFNA(IF(((INDEX(RulebookFields!I2:I1898, MATCH(D2053,RulebookFields!A2:A1898, 0))="")=TRUE),  "",  INDEX(RulebookFields!I2:I1898, MATCH(D2053,RulebookFields!A2:A1898, 0))), "")</f>
        <v>1</v>
      </c>
      <c r="K2053" s="4" t="b">
        <f>AND(((F2053)=TRUE), ((J2053)=TRUE))</f>
        <v>0</v>
      </c>
      <c r="L2053" s="4" t="b">
        <f>AND(((G2053 &lt;&gt; "plain")=TRUE), ((G2053 &lt;&gt; "")=TRUE))</f>
        <v>0</v>
      </c>
      <c r="M2053" s="4" t="str">
        <f>IF(((E2053)=TRUE),  C2053 &amp; "|" &amp; H2053,  "")</f>
        <v>principal-knowledge-authority|AppRoleProfiles</v>
      </c>
      <c r="N2053" s="3" t="s">
        <v>10004</v>
      </c>
    </row>
    <row r="2054">
      <c r="A2054" s="3" t="s">
        <v>12056</v>
      </c>
      <c r="B2054" s="4" t="str">
        <f>C2054 &amp; " -&gt; " &amp; D2054</f>
        <v>principal-knowledge-authority -&gt; AppRoleProfiles.SemanticTypeIri</v>
      </c>
      <c r="C2054" s="3" t="s">
        <v>9774</v>
      </c>
      <c r="D2054" s="3" t="s">
        <v>5285</v>
      </c>
      <c r="E2054" s="3" t="b">
        <v>1</v>
      </c>
      <c r="F2054" s="3" t="b">
        <v>0</v>
      </c>
      <c r="G2054" s="3" t="s">
        <v>10003</v>
      </c>
      <c r="H2054" s="4" t="str">
        <f>_xlfn.IFNA(IF(((INDEX(RulebookFields!C2:C1898, MATCH(D2054,RulebookFields!A2:A1898, 0))="")=TRUE),  "",  INDEX(RulebookFields!C2:C1898, MATCH(D2054,RulebookFields!A2:A1898, 0))), "")</f>
        <v>AppRoleProfiles</v>
      </c>
      <c r="I2054" s="4" t="str">
        <f>_xlfn.IFNA(IF(((INDEX(RulebookFields!D2:D1898, MATCH(D2054,RulebookFields!A2:A1898, 0))="")=TRUE),  "",  INDEX(RulebookFields!D2:D1898, MATCH(D2054,RulebookFields!A2:A1898, 0))), "")</f>
        <v>SemanticTypeIri</v>
      </c>
      <c r="J2054" s="4" t="b">
        <f>_xlfn.IFNA(IF(((INDEX(RulebookFields!I2:I1898, MATCH(D2054,RulebookFields!A2:A1898, 0))="")=TRUE),  "",  INDEX(RulebookFields!I2:I1898, MATCH(D2054,RulebookFields!A2:A1898, 0))), "")</f>
        <v>0</v>
      </c>
      <c r="K2054" s="4" t="b">
        <f>AND(((F2054)=TRUE), ((J2054)=TRUE))</f>
        <v>0</v>
      </c>
      <c r="L2054" s="4" t="b">
        <f>AND(((G2054 &lt;&gt; "plain")=TRUE), ((G2054 &lt;&gt; "")=TRUE))</f>
        <v>0</v>
      </c>
      <c r="M2054" s="4" t="str">
        <f>IF(((E2054)=TRUE),  C2054 &amp; "|" &amp; H2054,  "")</f>
        <v>principal-knowledge-authority|AppRoleProfiles</v>
      </c>
      <c r="N2054" s="3" t="s">
        <v>10004</v>
      </c>
    </row>
    <row r="2055">
      <c r="A2055" s="3" t="s">
        <v>12057</v>
      </c>
      <c r="B2055" s="4" t="str">
        <f>C2055 &amp; " -&gt; " &amp; D2055</f>
        <v>principal-knowledge-authority -&gt; AppRouteQuestions.AppRouteQuestionId</v>
      </c>
      <c r="C2055" s="3" t="s">
        <v>9774</v>
      </c>
      <c r="D2055" s="3" t="s">
        <v>5334</v>
      </c>
      <c r="E2055" s="3" t="b">
        <v>1</v>
      </c>
      <c r="F2055" s="3" t="b">
        <v>0</v>
      </c>
      <c r="G2055" s="3" t="s">
        <v>10003</v>
      </c>
      <c r="H2055" s="4" t="str">
        <f>_xlfn.IFNA(IF(((INDEX(RulebookFields!C2:C1898, MATCH(D2055,RulebookFields!A2:A1898, 0))="")=TRUE),  "",  INDEX(RulebookFields!C2:C1898, MATCH(D2055,RulebookFields!A2:A1898, 0))), "")</f>
        <v>AppRouteQuestions</v>
      </c>
      <c r="I2055" s="4" t="str">
        <f>_xlfn.IFNA(IF(((INDEX(RulebookFields!D2:D1898, MATCH(D2055,RulebookFields!A2:A1898, 0))="")=TRUE),  "",  INDEX(RulebookFields!D2:D1898, MATCH(D2055,RulebookFields!A2:A1898, 0))), "")</f>
        <v>AppRouteQuestionId</v>
      </c>
      <c r="J2055" s="4" t="b">
        <f>_xlfn.IFNA(IF(((INDEX(RulebookFields!I2:I1898, MATCH(D2055,RulebookFields!A2:A1898, 0))="")=TRUE),  "",  INDEX(RulebookFields!I2:I1898, MATCH(D2055,RulebookFields!A2:A1898, 0))), "")</f>
        <v>0</v>
      </c>
      <c r="K2055" s="4" t="b">
        <f>AND(((F2055)=TRUE), ((J2055)=TRUE))</f>
        <v>0</v>
      </c>
      <c r="L2055" s="4" t="b">
        <f>AND(((G2055 &lt;&gt; "plain")=TRUE), ((G2055 &lt;&gt; "")=TRUE))</f>
        <v>0</v>
      </c>
      <c r="M2055" s="4" t="str">
        <f>IF(((E2055)=TRUE),  C2055 &amp; "|" &amp; H2055,  "")</f>
        <v>principal-knowledge-authority|AppRouteQuestions</v>
      </c>
      <c r="N2055" s="3" t="s">
        <v>10004</v>
      </c>
    </row>
    <row r="2056">
      <c r="A2056" s="3" t="s">
        <v>12058</v>
      </c>
      <c r="B2056" s="4" t="str">
        <f>C2056 &amp; " -&gt; " &amp; D2056</f>
        <v>principal-knowledge-authority -&gt; AppRouteQuestions.Name</v>
      </c>
      <c r="C2056" s="3" t="s">
        <v>9774</v>
      </c>
      <c r="D2056" s="3" t="s">
        <v>5336</v>
      </c>
      <c r="E2056" s="3" t="b">
        <v>1</v>
      </c>
      <c r="F2056" s="3" t="b">
        <v>0</v>
      </c>
      <c r="G2056" s="3" t="s">
        <v>10003</v>
      </c>
      <c r="H2056" s="4" t="str">
        <f>_xlfn.IFNA(IF(((INDEX(RulebookFields!C2:C1898, MATCH(D2056,RulebookFields!A2:A1898, 0))="")=TRUE),  "",  INDEX(RulebookFields!C2:C1898, MATCH(D2056,RulebookFields!A2:A1898, 0))), "")</f>
        <v>AppRouteQuestions</v>
      </c>
      <c r="I2056" s="4" t="str">
        <f>_xlfn.IFNA(IF(((INDEX(RulebookFields!D2:D1898, MATCH(D2056,RulebookFields!A2:A1898, 0))="")=TRUE),  "",  INDEX(RulebookFields!D2:D1898, MATCH(D2056,RulebookFields!A2:A1898, 0))), "")</f>
        <v>Name</v>
      </c>
      <c r="J2056" s="4" t="b">
        <f>_xlfn.IFNA(IF(((INDEX(RulebookFields!I2:I1898, MATCH(D2056,RulebookFields!A2:A1898, 0))="")=TRUE),  "",  INDEX(RulebookFields!I2:I1898, MATCH(D2056,RulebookFields!A2:A1898, 0))), "")</f>
        <v>1</v>
      </c>
      <c r="K2056" s="4" t="b">
        <f>AND(((F2056)=TRUE), ((J2056)=TRUE))</f>
        <v>0</v>
      </c>
      <c r="L2056" s="4" t="b">
        <f>AND(((G2056 &lt;&gt; "plain")=TRUE), ((G2056 &lt;&gt; "")=TRUE))</f>
        <v>0</v>
      </c>
      <c r="M2056" s="4" t="str">
        <f>IF(((E2056)=TRUE),  C2056 &amp; "|" &amp; H2056,  "")</f>
        <v>principal-knowledge-authority|AppRouteQuestions</v>
      </c>
      <c r="N2056" s="3" t="s">
        <v>10004</v>
      </c>
    </row>
    <row r="2057">
      <c r="A2057" s="3" t="s">
        <v>12059</v>
      </c>
      <c r="B2057" s="4" t="str">
        <f>C2057 &amp; " -&gt; " &amp; D2057</f>
        <v>principal-knowledge-authority -&gt; AppRouteQuestions.Route</v>
      </c>
      <c r="C2057" s="3" t="s">
        <v>9774</v>
      </c>
      <c r="D2057" s="3" t="s">
        <v>5338</v>
      </c>
      <c r="E2057" s="3" t="b">
        <v>1</v>
      </c>
      <c r="F2057" s="3" t="b">
        <v>0</v>
      </c>
      <c r="G2057" s="3" t="s">
        <v>10003</v>
      </c>
      <c r="H2057" s="4" t="str">
        <f>_xlfn.IFNA(IF(((INDEX(RulebookFields!C2:C1898, MATCH(D2057,RulebookFields!A2:A1898, 0))="")=TRUE),  "",  INDEX(RulebookFields!C2:C1898, MATCH(D2057,RulebookFields!A2:A1898, 0))), "")</f>
        <v>AppRouteQuestions</v>
      </c>
      <c r="I2057" s="4" t="str">
        <f>_xlfn.IFNA(IF(((INDEX(RulebookFields!D2:D1898, MATCH(D2057,RulebookFields!A2:A1898, 0))="")=TRUE),  "",  INDEX(RulebookFields!D2:D1898, MATCH(D2057,RulebookFields!A2:A1898, 0))), "")</f>
        <v>Route</v>
      </c>
      <c r="J2057" s="4" t="b">
        <f>_xlfn.IFNA(IF(((INDEX(RulebookFields!I2:I1898, MATCH(D2057,RulebookFields!A2:A1898, 0))="")=TRUE),  "",  INDEX(RulebookFields!I2:I1898, MATCH(D2057,RulebookFields!A2:A1898, 0))), "")</f>
        <v>0</v>
      </c>
      <c r="K2057" s="4" t="b">
        <f>AND(((F2057)=TRUE), ((J2057)=TRUE))</f>
        <v>0</v>
      </c>
      <c r="L2057" s="4" t="b">
        <f>AND(((G2057 &lt;&gt; "plain")=TRUE), ((G2057 &lt;&gt; "")=TRUE))</f>
        <v>0</v>
      </c>
      <c r="M2057" s="4" t="str">
        <f>IF(((E2057)=TRUE),  C2057 &amp; "|" &amp; H2057,  "")</f>
        <v>principal-knowledge-authority|AppRouteQuestions</v>
      </c>
      <c r="N2057" s="3" t="s">
        <v>10004</v>
      </c>
    </row>
    <row r="2058">
      <c r="A2058" s="3" t="s">
        <v>12060</v>
      </c>
      <c r="B2058" s="4" t="str">
        <f>C2058 &amp; " -&gt; " &amp; D2058</f>
        <v>principal-knowledge-authority -&gt; AppRouteQuestions.Question</v>
      </c>
      <c r="C2058" s="3" t="s">
        <v>9774</v>
      </c>
      <c r="D2058" s="3" t="s">
        <v>5340</v>
      </c>
      <c r="E2058" s="3" t="b">
        <v>1</v>
      </c>
      <c r="F2058" s="3" t="b">
        <v>0</v>
      </c>
      <c r="G2058" s="3" t="s">
        <v>10003</v>
      </c>
      <c r="H2058" s="4" t="str">
        <f>_xlfn.IFNA(IF(((INDEX(RulebookFields!C2:C1898, MATCH(D2058,RulebookFields!A2:A1898, 0))="")=TRUE),  "",  INDEX(RulebookFields!C2:C1898, MATCH(D2058,RulebookFields!A2:A1898, 0))), "")</f>
        <v>AppRouteQuestions</v>
      </c>
      <c r="I2058" s="4" t="str">
        <f>_xlfn.IFNA(IF(((INDEX(RulebookFields!D2:D1898, MATCH(D2058,RulebookFields!A2:A1898, 0))="")=TRUE),  "",  INDEX(RulebookFields!D2:D1898, MATCH(D2058,RulebookFields!A2:A1898, 0))), "")</f>
        <v>Question</v>
      </c>
      <c r="J2058" s="4" t="b">
        <f>_xlfn.IFNA(IF(((INDEX(RulebookFields!I2:I1898, MATCH(D2058,RulebookFields!A2:A1898, 0))="")=TRUE),  "",  INDEX(RulebookFields!I2:I1898, MATCH(D2058,RulebookFields!A2:A1898, 0))), "")</f>
        <v>0</v>
      </c>
      <c r="K2058" s="4" t="b">
        <f>AND(((F2058)=TRUE), ((J2058)=TRUE))</f>
        <v>0</v>
      </c>
      <c r="L2058" s="4" t="b">
        <f>AND(((G2058 &lt;&gt; "plain")=TRUE), ((G2058 &lt;&gt; "")=TRUE))</f>
        <v>0</v>
      </c>
      <c r="M2058" s="4" t="str">
        <f>IF(((E2058)=TRUE),  C2058 &amp; "|" &amp; H2058,  "")</f>
        <v>principal-knowledge-authority|AppRouteQuestions</v>
      </c>
      <c r="N2058" s="3" t="s">
        <v>10004</v>
      </c>
    </row>
    <row r="2059">
      <c r="A2059" s="3" t="s">
        <v>12061</v>
      </c>
      <c r="B2059" s="4" t="str">
        <f>C2059 &amp; " -&gt; " &amp; D2059</f>
        <v>principal-knowledge-authority -&gt; AppRouteQuestions.SemanticTypeIri</v>
      </c>
      <c r="C2059" s="3" t="s">
        <v>9774</v>
      </c>
      <c r="D2059" s="3" t="s">
        <v>5341</v>
      </c>
      <c r="E2059" s="3" t="b">
        <v>1</v>
      </c>
      <c r="F2059" s="3" t="b">
        <v>0</v>
      </c>
      <c r="G2059" s="3" t="s">
        <v>10003</v>
      </c>
      <c r="H2059" s="4" t="str">
        <f>_xlfn.IFNA(IF(((INDEX(RulebookFields!C2:C1898, MATCH(D2059,RulebookFields!A2:A1898, 0))="")=TRUE),  "",  INDEX(RulebookFields!C2:C1898, MATCH(D2059,RulebookFields!A2:A1898, 0))), "")</f>
        <v>AppRouteQuestions</v>
      </c>
      <c r="I2059" s="4" t="str">
        <f>_xlfn.IFNA(IF(((INDEX(RulebookFields!D2:D1898, MATCH(D2059,RulebookFields!A2:A1898, 0))="")=TRUE),  "",  INDEX(RulebookFields!D2:D1898, MATCH(D2059,RulebookFields!A2:A1898, 0))), "")</f>
        <v>SemanticTypeIri</v>
      </c>
      <c r="J2059" s="4" t="b">
        <f>_xlfn.IFNA(IF(((INDEX(RulebookFields!I2:I1898, MATCH(D2059,RulebookFields!A2:A1898, 0))="")=TRUE),  "",  INDEX(RulebookFields!I2:I1898, MATCH(D2059,RulebookFields!A2:A1898, 0))), "")</f>
        <v>0</v>
      </c>
      <c r="K2059" s="4" t="b">
        <f>AND(((F2059)=TRUE), ((J2059)=TRUE))</f>
        <v>0</v>
      </c>
      <c r="L2059" s="4" t="b">
        <f>AND(((G2059 &lt;&gt; "plain")=TRUE), ((G2059 &lt;&gt; "")=TRUE))</f>
        <v>0</v>
      </c>
      <c r="M2059" s="4" t="str">
        <f>IF(((E2059)=TRUE),  C2059 &amp; "|" &amp; H2059,  "")</f>
        <v>principal-knowledge-authority|AppRouteQuestions</v>
      </c>
      <c r="N2059" s="3" t="s">
        <v>10004</v>
      </c>
    </row>
    <row r="2060">
      <c r="A2060" s="3" t="s">
        <v>12062</v>
      </c>
      <c r="B2060" s="4" t="str">
        <f>C2060 &amp; " -&gt; " &amp; D2060</f>
        <v>principal-knowledge-authority -&gt; AppRouteReferences.AppRouteReferenceId</v>
      </c>
      <c r="C2060" s="3" t="s">
        <v>9774</v>
      </c>
      <c r="D2060" s="3" t="s">
        <v>5342</v>
      </c>
      <c r="E2060" s="3" t="b">
        <v>1</v>
      </c>
      <c r="F2060" s="3" t="b">
        <v>0</v>
      </c>
      <c r="G2060" s="3" t="s">
        <v>10003</v>
      </c>
      <c r="H2060" s="4" t="str">
        <f>_xlfn.IFNA(IF(((INDEX(RulebookFields!C2:C1898, MATCH(D2060,RulebookFields!A2:A1898, 0))="")=TRUE),  "",  INDEX(RulebookFields!C2:C1898, MATCH(D2060,RulebookFields!A2:A1898, 0))), "")</f>
        <v>AppRouteReferences</v>
      </c>
      <c r="I2060" s="4" t="str">
        <f>_xlfn.IFNA(IF(((INDEX(RulebookFields!D2:D1898, MATCH(D2060,RulebookFields!A2:A1898, 0))="")=TRUE),  "",  INDEX(RulebookFields!D2:D1898, MATCH(D2060,RulebookFields!A2:A1898, 0))), "")</f>
        <v>AppRouteReferenceId</v>
      </c>
      <c r="J2060" s="4" t="b">
        <f>_xlfn.IFNA(IF(((INDEX(RulebookFields!I2:I1898, MATCH(D2060,RulebookFields!A2:A1898, 0))="")=TRUE),  "",  INDEX(RulebookFields!I2:I1898, MATCH(D2060,RulebookFields!A2:A1898, 0))), "")</f>
        <v>0</v>
      </c>
      <c r="K2060" s="4" t="b">
        <f>AND(((F2060)=TRUE), ((J2060)=TRUE))</f>
        <v>0</v>
      </c>
      <c r="L2060" s="4" t="b">
        <f>AND(((G2060 &lt;&gt; "plain")=TRUE), ((G2060 &lt;&gt; "")=TRUE))</f>
        <v>0</v>
      </c>
      <c r="M2060" s="4" t="str">
        <f>IF(((E2060)=TRUE),  C2060 &amp; "|" &amp; H2060,  "")</f>
        <v>principal-knowledge-authority|AppRouteReferences</v>
      </c>
      <c r="N2060" s="3" t="s">
        <v>10004</v>
      </c>
    </row>
    <row r="2061">
      <c r="A2061" s="3" t="s">
        <v>12063</v>
      </c>
      <c r="B2061" s="4" t="str">
        <f>C2061 &amp; " -&gt; " &amp; D2061</f>
        <v>principal-knowledge-authority -&gt; AppRouteReferences.Name</v>
      </c>
      <c r="C2061" s="3" t="s">
        <v>9774</v>
      </c>
      <c r="D2061" s="3" t="s">
        <v>5344</v>
      </c>
      <c r="E2061" s="3" t="b">
        <v>1</v>
      </c>
      <c r="F2061" s="3" t="b">
        <v>0</v>
      </c>
      <c r="G2061" s="3" t="s">
        <v>10003</v>
      </c>
      <c r="H2061" s="4" t="str">
        <f>_xlfn.IFNA(IF(((INDEX(RulebookFields!C2:C1898, MATCH(D2061,RulebookFields!A2:A1898, 0))="")=TRUE),  "",  INDEX(RulebookFields!C2:C1898, MATCH(D2061,RulebookFields!A2:A1898, 0))), "")</f>
        <v>AppRouteReferences</v>
      </c>
      <c r="I2061" s="4" t="str">
        <f>_xlfn.IFNA(IF(((INDEX(RulebookFields!D2:D1898, MATCH(D2061,RulebookFields!A2:A1898, 0))="")=TRUE),  "",  INDEX(RulebookFields!D2:D1898, MATCH(D2061,RulebookFields!A2:A1898, 0))), "")</f>
        <v>Name</v>
      </c>
      <c r="J2061" s="4" t="b">
        <f>_xlfn.IFNA(IF(((INDEX(RulebookFields!I2:I1898, MATCH(D2061,RulebookFields!A2:A1898, 0))="")=TRUE),  "",  INDEX(RulebookFields!I2:I1898, MATCH(D2061,RulebookFields!A2:A1898, 0))), "")</f>
        <v>1</v>
      </c>
      <c r="K2061" s="4" t="b">
        <f>AND(((F2061)=TRUE), ((J2061)=TRUE))</f>
        <v>0</v>
      </c>
      <c r="L2061" s="4" t="b">
        <f>AND(((G2061 &lt;&gt; "plain")=TRUE), ((G2061 &lt;&gt; "")=TRUE))</f>
        <v>0</v>
      </c>
      <c r="M2061" s="4" t="str">
        <f>IF(((E2061)=TRUE),  C2061 &amp; "|" &amp; H2061,  "")</f>
        <v>principal-knowledge-authority|AppRouteReferences</v>
      </c>
      <c r="N2061" s="3" t="s">
        <v>10004</v>
      </c>
    </row>
    <row r="2062">
      <c r="A2062" s="3" t="s">
        <v>12064</v>
      </c>
      <c r="B2062" s="4" t="str">
        <f>C2062 &amp; " -&gt; " &amp; D2062</f>
        <v>principal-knowledge-authority -&gt; AppRouteReferences.FromRoute</v>
      </c>
      <c r="C2062" s="3" t="s">
        <v>9774</v>
      </c>
      <c r="D2062" s="3" t="s">
        <v>5346</v>
      </c>
      <c r="E2062" s="3" t="b">
        <v>1</v>
      </c>
      <c r="F2062" s="3" t="b">
        <v>0</v>
      </c>
      <c r="G2062" s="3" t="s">
        <v>10003</v>
      </c>
      <c r="H2062" s="4" t="str">
        <f>_xlfn.IFNA(IF(((INDEX(RulebookFields!C2:C1898, MATCH(D2062,RulebookFields!A2:A1898, 0))="")=TRUE),  "",  INDEX(RulebookFields!C2:C1898, MATCH(D2062,RulebookFields!A2:A1898, 0))), "")</f>
        <v>AppRouteReferences</v>
      </c>
      <c r="I2062" s="4" t="str">
        <f>_xlfn.IFNA(IF(((INDEX(RulebookFields!D2:D1898, MATCH(D2062,RulebookFields!A2:A1898, 0))="")=TRUE),  "",  INDEX(RulebookFields!D2:D1898, MATCH(D2062,RulebookFields!A2:A1898, 0))), "")</f>
        <v>FromRoute</v>
      </c>
      <c r="J2062" s="4" t="b">
        <f>_xlfn.IFNA(IF(((INDEX(RulebookFields!I2:I1898, MATCH(D2062,RulebookFields!A2:A1898, 0))="")=TRUE),  "",  INDEX(RulebookFields!I2:I1898, MATCH(D2062,RulebookFields!A2:A1898, 0))), "")</f>
        <v>0</v>
      </c>
      <c r="K2062" s="4" t="b">
        <f>AND(((F2062)=TRUE), ((J2062)=TRUE))</f>
        <v>0</v>
      </c>
      <c r="L2062" s="4" t="b">
        <f>AND(((G2062 &lt;&gt; "plain")=TRUE), ((G2062 &lt;&gt; "")=TRUE))</f>
        <v>0</v>
      </c>
      <c r="M2062" s="4" t="str">
        <f>IF(((E2062)=TRUE),  C2062 &amp; "|" &amp; H2062,  "")</f>
        <v>principal-knowledge-authority|AppRouteReferences</v>
      </c>
      <c r="N2062" s="3" t="s">
        <v>10004</v>
      </c>
    </row>
    <row r="2063">
      <c r="A2063" s="3" t="s">
        <v>12065</v>
      </c>
      <c r="B2063" s="4" t="str">
        <f>C2063 &amp; " -&gt; " &amp; D2063</f>
        <v>principal-knowledge-authority -&gt; AppRouteReferences.ToRoute</v>
      </c>
      <c r="C2063" s="3" t="s">
        <v>9774</v>
      </c>
      <c r="D2063" s="3" t="s">
        <v>5348</v>
      </c>
      <c r="E2063" s="3" t="b">
        <v>1</v>
      </c>
      <c r="F2063" s="3" t="b">
        <v>0</v>
      </c>
      <c r="G2063" s="3" t="s">
        <v>10003</v>
      </c>
      <c r="H2063" s="4" t="str">
        <f>_xlfn.IFNA(IF(((INDEX(RulebookFields!C2:C1898, MATCH(D2063,RulebookFields!A2:A1898, 0))="")=TRUE),  "",  INDEX(RulebookFields!C2:C1898, MATCH(D2063,RulebookFields!A2:A1898, 0))), "")</f>
        <v>AppRouteReferences</v>
      </c>
      <c r="I2063" s="4" t="str">
        <f>_xlfn.IFNA(IF(((INDEX(RulebookFields!D2:D1898, MATCH(D2063,RulebookFields!A2:A1898, 0))="")=TRUE),  "",  INDEX(RulebookFields!D2:D1898, MATCH(D2063,RulebookFields!A2:A1898, 0))), "")</f>
        <v>ToRoute</v>
      </c>
      <c r="J2063" s="4" t="b">
        <f>_xlfn.IFNA(IF(((INDEX(RulebookFields!I2:I1898, MATCH(D2063,RulebookFields!A2:A1898, 0))="")=TRUE),  "",  INDEX(RulebookFields!I2:I1898, MATCH(D2063,RulebookFields!A2:A1898, 0))), "")</f>
        <v>0</v>
      </c>
      <c r="K2063" s="4" t="b">
        <f>AND(((F2063)=TRUE), ((J2063)=TRUE))</f>
        <v>0</v>
      </c>
      <c r="L2063" s="4" t="b">
        <f>AND(((G2063 &lt;&gt; "plain")=TRUE), ((G2063 &lt;&gt; "")=TRUE))</f>
        <v>0</v>
      </c>
      <c r="M2063" s="4" t="str">
        <f>IF(((E2063)=TRUE),  C2063 &amp; "|" &amp; H2063,  "")</f>
        <v>principal-knowledge-authority|AppRouteReferences</v>
      </c>
      <c r="N2063" s="3" t="s">
        <v>10004</v>
      </c>
    </row>
    <row r="2064">
      <c r="A2064" s="3" t="s">
        <v>12066</v>
      </c>
      <c r="B2064" s="4" t="str">
        <f>C2064 &amp; " -&gt; " &amp; D2064</f>
        <v>principal-knowledge-authority -&gt; AppRouteReferences.SemanticTypeIri</v>
      </c>
      <c r="C2064" s="3" t="s">
        <v>9774</v>
      </c>
      <c r="D2064" s="3" t="s">
        <v>5350</v>
      </c>
      <c r="E2064" s="3" t="b">
        <v>1</v>
      </c>
      <c r="F2064" s="3" t="b">
        <v>0</v>
      </c>
      <c r="G2064" s="3" t="s">
        <v>10003</v>
      </c>
      <c r="H2064" s="4" t="str">
        <f>_xlfn.IFNA(IF(((INDEX(RulebookFields!C2:C1898, MATCH(D2064,RulebookFields!A2:A1898, 0))="")=TRUE),  "",  INDEX(RulebookFields!C2:C1898, MATCH(D2064,RulebookFields!A2:A1898, 0))), "")</f>
        <v>AppRouteReferences</v>
      </c>
      <c r="I2064" s="4" t="str">
        <f>_xlfn.IFNA(IF(((INDEX(RulebookFields!D2:D1898, MATCH(D2064,RulebookFields!A2:A1898, 0))="")=TRUE),  "",  INDEX(RulebookFields!D2:D1898, MATCH(D2064,RulebookFields!A2:A1898, 0))), "")</f>
        <v>SemanticTypeIri</v>
      </c>
      <c r="J2064" s="4" t="b">
        <f>_xlfn.IFNA(IF(((INDEX(RulebookFields!I2:I1898, MATCH(D2064,RulebookFields!A2:A1898, 0))="")=TRUE),  "",  INDEX(RulebookFields!I2:I1898, MATCH(D2064,RulebookFields!A2:A1898, 0))), "")</f>
        <v>0</v>
      </c>
      <c r="K2064" s="4" t="b">
        <f>AND(((F2064)=TRUE), ((J2064)=TRUE))</f>
        <v>0</v>
      </c>
      <c r="L2064" s="4" t="b">
        <f>AND(((G2064 &lt;&gt; "plain")=TRUE), ((G2064 &lt;&gt; "")=TRUE))</f>
        <v>0</v>
      </c>
      <c r="M2064" s="4" t="str">
        <f>IF(((E2064)=TRUE),  C2064 &amp; "|" &amp; H2064,  "")</f>
        <v>principal-knowledge-authority|AppRouteReferences</v>
      </c>
      <c r="N2064" s="3" t="s">
        <v>10004</v>
      </c>
    </row>
    <row r="2065">
      <c r="A2065" s="3" t="s">
        <v>12067</v>
      </c>
      <c r="B2065" s="4" t="str">
        <f>C2065 &amp; " -&gt; " &amp; D2065</f>
        <v>principal-knowledge-authority -&gt; AppRoutes.AppRouteId</v>
      </c>
      <c r="C2065" s="3" t="s">
        <v>9774</v>
      </c>
      <c r="D2065" s="3" t="s">
        <v>5295</v>
      </c>
      <c r="E2065" s="3" t="b">
        <v>1</v>
      </c>
      <c r="F2065" s="3" t="b">
        <v>0</v>
      </c>
      <c r="G2065" s="3" t="s">
        <v>10003</v>
      </c>
      <c r="H2065" s="4" t="str">
        <f>_xlfn.IFNA(IF(((INDEX(RulebookFields!C2:C1898, MATCH(D2065,RulebookFields!A2:A1898, 0))="")=TRUE),  "",  INDEX(RulebookFields!C2:C1898, MATCH(D2065,RulebookFields!A2:A1898, 0))), "")</f>
        <v>AppRoutes</v>
      </c>
      <c r="I2065" s="4" t="str">
        <f>_xlfn.IFNA(IF(((INDEX(RulebookFields!D2:D1898, MATCH(D2065,RulebookFields!A2:A1898, 0))="")=TRUE),  "",  INDEX(RulebookFields!D2:D1898, MATCH(D2065,RulebookFields!A2:A1898, 0))), "")</f>
        <v>AppRouteId</v>
      </c>
      <c r="J2065" s="4" t="b">
        <f>_xlfn.IFNA(IF(((INDEX(RulebookFields!I2:I1898, MATCH(D2065,RulebookFields!A2:A1898, 0))="")=TRUE),  "",  INDEX(RulebookFields!I2:I1898, MATCH(D2065,RulebookFields!A2:A1898, 0))), "")</f>
        <v>0</v>
      </c>
      <c r="K2065" s="4" t="b">
        <f>AND(((F2065)=TRUE), ((J2065)=TRUE))</f>
        <v>0</v>
      </c>
      <c r="L2065" s="4" t="b">
        <f>AND(((G2065 &lt;&gt; "plain")=TRUE), ((G2065 &lt;&gt; "")=TRUE))</f>
        <v>0</v>
      </c>
      <c r="M2065" s="4" t="str">
        <f>IF(((E2065)=TRUE),  C2065 &amp; "|" &amp; H2065,  "")</f>
        <v>principal-knowledge-authority|AppRoutes</v>
      </c>
      <c r="N2065" s="3" t="s">
        <v>10004</v>
      </c>
    </row>
    <row r="2066">
      <c r="A2066" s="3" t="s">
        <v>12068</v>
      </c>
      <c r="B2066" s="4" t="str">
        <f>C2066 &amp; " -&gt; " &amp; D2066</f>
        <v>principal-knowledge-authority -&gt; AppRoutes.Name</v>
      </c>
      <c r="C2066" s="3" t="s">
        <v>9774</v>
      </c>
      <c r="D2066" s="3" t="s">
        <v>5297</v>
      </c>
      <c r="E2066" s="3" t="b">
        <v>1</v>
      </c>
      <c r="F2066" s="3" t="b">
        <v>0</v>
      </c>
      <c r="G2066" s="3" t="s">
        <v>10003</v>
      </c>
      <c r="H2066" s="4" t="str">
        <f>_xlfn.IFNA(IF(((INDEX(RulebookFields!C2:C1898, MATCH(D2066,RulebookFields!A2:A1898, 0))="")=TRUE),  "",  INDEX(RulebookFields!C2:C1898, MATCH(D2066,RulebookFields!A2:A1898, 0))), "")</f>
        <v>AppRoutes</v>
      </c>
      <c r="I2066" s="4" t="str">
        <f>_xlfn.IFNA(IF(((INDEX(RulebookFields!D2:D1898, MATCH(D2066,RulebookFields!A2:A1898, 0))="")=TRUE),  "",  INDEX(RulebookFields!D2:D1898, MATCH(D2066,RulebookFields!A2:A1898, 0))), "")</f>
        <v>Name</v>
      </c>
      <c r="J2066" s="4" t="b">
        <f>_xlfn.IFNA(IF(((INDEX(RulebookFields!I2:I1898, MATCH(D2066,RulebookFields!A2:A1898, 0))="")=TRUE),  "",  INDEX(RulebookFields!I2:I1898, MATCH(D2066,RulebookFields!A2:A1898, 0))), "")</f>
        <v>1</v>
      </c>
      <c r="K2066" s="4" t="b">
        <f>AND(((F2066)=TRUE), ((J2066)=TRUE))</f>
        <v>0</v>
      </c>
      <c r="L2066" s="4" t="b">
        <f>AND(((G2066 &lt;&gt; "plain")=TRUE), ((G2066 &lt;&gt; "")=TRUE))</f>
        <v>0</v>
      </c>
      <c r="M2066" s="4" t="str">
        <f>IF(((E2066)=TRUE),  C2066 &amp; "|" &amp; H2066,  "")</f>
        <v>principal-knowledge-authority|AppRoutes</v>
      </c>
      <c r="N2066" s="3" t="s">
        <v>10004</v>
      </c>
    </row>
    <row r="2067">
      <c r="A2067" s="3" t="s">
        <v>12069</v>
      </c>
      <c r="B2067" s="4" t="str">
        <f>C2067 &amp; " -&gt; " &amp; D2067</f>
        <v>principal-knowledge-authority -&gt; AppRoutes.RoutePath</v>
      </c>
      <c r="C2067" s="3" t="s">
        <v>9774</v>
      </c>
      <c r="D2067" s="3" t="s">
        <v>5299</v>
      </c>
      <c r="E2067" s="3" t="b">
        <v>1</v>
      </c>
      <c r="F2067" s="3" t="b">
        <v>0</v>
      </c>
      <c r="G2067" s="3" t="s">
        <v>10003</v>
      </c>
      <c r="H2067" s="4" t="str">
        <f>_xlfn.IFNA(IF(((INDEX(RulebookFields!C2:C1898, MATCH(D2067,RulebookFields!A2:A1898, 0))="")=TRUE),  "",  INDEX(RulebookFields!C2:C1898, MATCH(D2067,RulebookFields!A2:A1898, 0))), "")</f>
        <v>AppRoutes</v>
      </c>
      <c r="I2067" s="4" t="str">
        <f>_xlfn.IFNA(IF(((INDEX(RulebookFields!D2:D1898, MATCH(D2067,RulebookFields!A2:A1898, 0))="")=TRUE),  "",  INDEX(RulebookFields!D2:D1898, MATCH(D2067,RulebookFields!A2:A1898, 0))), "")</f>
        <v>RoutePath</v>
      </c>
      <c r="J2067" s="4" t="b">
        <f>_xlfn.IFNA(IF(((INDEX(RulebookFields!I2:I1898, MATCH(D2067,RulebookFields!A2:A1898, 0))="")=TRUE),  "",  INDEX(RulebookFields!I2:I1898, MATCH(D2067,RulebookFields!A2:A1898, 0))), "")</f>
        <v>0</v>
      </c>
      <c r="K2067" s="4" t="b">
        <f>AND(((F2067)=TRUE), ((J2067)=TRUE))</f>
        <v>0</v>
      </c>
      <c r="L2067" s="4" t="b">
        <f>AND(((G2067 &lt;&gt; "plain")=TRUE), ((G2067 &lt;&gt; "")=TRUE))</f>
        <v>0</v>
      </c>
      <c r="M2067" s="4" t="str">
        <f>IF(((E2067)=TRUE),  C2067 &amp; "|" &amp; H2067,  "")</f>
        <v>principal-knowledge-authority|AppRoutes</v>
      </c>
      <c r="N2067" s="3" t="s">
        <v>10004</v>
      </c>
    </row>
    <row r="2068">
      <c r="A2068" s="3" t="s">
        <v>12070</v>
      </c>
      <c r="B2068" s="4" t="str">
        <f>C2068 &amp; " -&gt; " &amp; D2068</f>
        <v>principal-knowledge-authority -&gt; AppRoutes.RouteName</v>
      </c>
      <c r="C2068" s="3" t="s">
        <v>9774</v>
      </c>
      <c r="D2068" s="3" t="s">
        <v>5301</v>
      </c>
      <c r="E2068" s="3" t="b">
        <v>1</v>
      </c>
      <c r="F2068" s="3" t="b">
        <v>0</v>
      </c>
      <c r="G2068" s="3" t="s">
        <v>10003</v>
      </c>
      <c r="H2068" s="4" t="str">
        <f>_xlfn.IFNA(IF(((INDEX(RulebookFields!C2:C1898, MATCH(D2068,RulebookFields!A2:A1898, 0))="")=TRUE),  "",  INDEX(RulebookFields!C2:C1898, MATCH(D2068,RulebookFields!A2:A1898, 0))), "")</f>
        <v>AppRoutes</v>
      </c>
      <c r="I2068" s="4" t="str">
        <f>_xlfn.IFNA(IF(((INDEX(RulebookFields!D2:D1898, MATCH(D2068,RulebookFields!A2:A1898, 0))="")=TRUE),  "",  INDEX(RulebookFields!D2:D1898, MATCH(D2068,RulebookFields!A2:A1898, 0))), "")</f>
        <v>RouteName</v>
      </c>
      <c r="J2068" s="4" t="b">
        <f>_xlfn.IFNA(IF(((INDEX(RulebookFields!I2:I1898, MATCH(D2068,RulebookFields!A2:A1898, 0))="")=TRUE),  "",  INDEX(RulebookFields!I2:I1898, MATCH(D2068,RulebookFields!A2:A1898, 0))), "")</f>
        <v>0</v>
      </c>
      <c r="K2068" s="4" t="b">
        <f>AND(((F2068)=TRUE), ((J2068)=TRUE))</f>
        <v>0</v>
      </c>
      <c r="L2068" s="4" t="b">
        <f>AND(((G2068 &lt;&gt; "plain")=TRUE), ((G2068 &lt;&gt; "")=TRUE))</f>
        <v>0</v>
      </c>
      <c r="M2068" s="4" t="str">
        <f>IF(((E2068)=TRUE),  C2068 &amp; "|" &amp; H2068,  "")</f>
        <v>principal-knowledge-authority|AppRoutes</v>
      </c>
      <c r="N2068" s="3" t="s">
        <v>10004</v>
      </c>
    </row>
    <row r="2069">
      <c r="A2069" s="3" t="s">
        <v>12071</v>
      </c>
      <c r="B2069" s="4" t="str">
        <f>C2069 &amp; " -&gt; " &amp; D2069</f>
        <v>principal-knowledge-authority -&gt; AppRoutes.Surface</v>
      </c>
      <c r="C2069" s="3" t="s">
        <v>9774</v>
      </c>
      <c r="D2069" s="3" t="s">
        <v>5303</v>
      </c>
      <c r="E2069" s="3" t="b">
        <v>1</v>
      </c>
      <c r="F2069" s="3" t="b">
        <v>0</v>
      </c>
      <c r="G2069" s="3" t="s">
        <v>10003</v>
      </c>
      <c r="H2069" s="4" t="str">
        <f>_xlfn.IFNA(IF(((INDEX(RulebookFields!C2:C1898, MATCH(D2069,RulebookFields!A2:A1898, 0))="")=TRUE),  "",  INDEX(RulebookFields!C2:C1898, MATCH(D2069,RulebookFields!A2:A1898, 0))), "")</f>
        <v>AppRoutes</v>
      </c>
      <c r="I2069" s="4" t="str">
        <f>_xlfn.IFNA(IF(((INDEX(RulebookFields!D2:D1898, MATCH(D2069,RulebookFields!A2:A1898, 0))="")=TRUE),  "",  INDEX(RulebookFields!D2:D1898, MATCH(D2069,RulebookFields!A2:A1898, 0))), "")</f>
        <v>Surface</v>
      </c>
      <c r="J2069" s="4" t="b">
        <f>_xlfn.IFNA(IF(((INDEX(RulebookFields!I2:I1898, MATCH(D2069,RulebookFields!A2:A1898, 0))="")=TRUE),  "",  INDEX(RulebookFields!I2:I1898, MATCH(D2069,RulebookFields!A2:A1898, 0))), "")</f>
        <v>0</v>
      </c>
      <c r="K2069" s="4" t="b">
        <f>AND(((F2069)=TRUE), ((J2069)=TRUE))</f>
        <v>0</v>
      </c>
      <c r="L2069" s="4" t="b">
        <f>AND(((G2069 &lt;&gt; "plain")=TRUE), ((G2069 &lt;&gt; "")=TRUE))</f>
        <v>0</v>
      </c>
      <c r="M2069" s="4" t="str">
        <f>IF(((E2069)=TRUE),  C2069 &amp; "|" &amp; H2069,  "")</f>
        <v>principal-knowledge-authority|AppRoutes</v>
      </c>
      <c r="N2069" s="3" t="s">
        <v>10004</v>
      </c>
    </row>
    <row r="2070">
      <c r="A2070" s="3" t="s">
        <v>12072</v>
      </c>
      <c r="B2070" s="4" t="str">
        <f>C2070 &amp; " -&gt; " &amp; D2070</f>
        <v>principal-knowledge-authority -&gt; AppRoutes.OwningRole</v>
      </c>
      <c r="C2070" s="3" t="s">
        <v>9774</v>
      </c>
      <c r="D2070" s="3" t="s">
        <v>5305</v>
      </c>
      <c r="E2070" s="3" t="b">
        <v>1</v>
      </c>
      <c r="F2070" s="3" t="b">
        <v>0</v>
      </c>
      <c r="G2070" s="3" t="s">
        <v>10003</v>
      </c>
      <c r="H2070" s="4" t="str">
        <f>_xlfn.IFNA(IF(((INDEX(RulebookFields!C2:C1898, MATCH(D2070,RulebookFields!A2:A1898, 0))="")=TRUE),  "",  INDEX(RulebookFields!C2:C1898, MATCH(D2070,RulebookFields!A2:A1898, 0))), "")</f>
        <v>AppRoutes</v>
      </c>
      <c r="I2070" s="4" t="str">
        <f>_xlfn.IFNA(IF(((INDEX(RulebookFields!D2:D1898, MATCH(D2070,RulebookFields!A2:A1898, 0))="")=TRUE),  "",  INDEX(RulebookFields!D2:D1898, MATCH(D2070,RulebookFields!A2:A1898, 0))), "")</f>
        <v>OwningRole</v>
      </c>
      <c r="J2070" s="4" t="b">
        <f>_xlfn.IFNA(IF(((INDEX(RulebookFields!I2:I1898, MATCH(D2070,RulebookFields!A2:A1898, 0))="")=TRUE),  "",  INDEX(RulebookFields!I2:I1898, MATCH(D2070,RulebookFields!A2:A1898, 0))), "")</f>
        <v>0</v>
      </c>
      <c r="K2070" s="4" t="b">
        <f>AND(((F2070)=TRUE), ((J2070)=TRUE))</f>
        <v>0</v>
      </c>
      <c r="L2070" s="4" t="b">
        <f>AND(((G2070 &lt;&gt; "plain")=TRUE), ((G2070 &lt;&gt; "")=TRUE))</f>
        <v>0</v>
      </c>
      <c r="M2070" s="4" t="str">
        <f>IF(((E2070)=TRUE),  C2070 &amp; "|" &amp; H2070,  "")</f>
        <v>principal-knowledge-authority|AppRoutes</v>
      </c>
      <c r="N2070" s="3" t="s">
        <v>10004</v>
      </c>
    </row>
    <row r="2071">
      <c r="A2071" s="3" t="s">
        <v>12073</v>
      </c>
      <c r="B2071" s="4" t="str">
        <f>C2071 &amp; " -&gt; " &amp; D2071</f>
        <v>principal-knowledge-authority -&gt; AppRoutes.NavGroup</v>
      </c>
      <c r="C2071" s="3" t="s">
        <v>9774</v>
      </c>
      <c r="D2071" s="3" t="s">
        <v>5307</v>
      </c>
      <c r="E2071" s="3" t="b">
        <v>1</v>
      </c>
      <c r="F2071" s="3" t="b">
        <v>0</v>
      </c>
      <c r="G2071" s="3" t="s">
        <v>10003</v>
      </c>
      <c r="H2071" s="4" t="str">
        <f>_xlfn.IFNA(IF(((INDEX(RulebookFields!C2:C1898, MATCH(D2071,RulebookFields!A2:A1898, 0))="")=TRUE),  "",  INDEX(RulebookFields!C2:C1898, MATCH(D2071,RulebookFields!A2:A1898, 0))), "")</f>
        <v>AppRoutes</v>
      </c>
      <c r="I2071" s="4" t="str">
        <f>_xlfn.IFNA(IF(((INDEX(RulebookFields!D2:D1898, MATCH(D2071,RulebookFields!A2:A1898, 0))="")=TRUE),  "",  INDEX(RulebookFields!D2:D1898, MATCH(D2071,RulebookFields!A2:A1898, 0))), "")</f>
        <v>NavGroup</v>
      </c>
      <c r="J2071" s="4" t="b">
        <f>_xlfn.IFNA(IF(((INDEX(RulebookFields!I2:I1898, MATCH(D2071,RulebookFields!A2:A1898, 0))="")=TRUE),  "",  INDEX(RulebookFields!I2:I1898, MATCH(D2071,RulebookFields!A2:A1898, 0))), "")</f>
        <v>0</v>
      </c>
      <c r="K2071" s="4" t="b">
        <f>AND(((F2071)=TRUE), ((J2071)=TRUE))</f>
        <v>0</v>
      </c>
      <c r="L2071" s="4" t="b">
        <f>AND(((G2071 &lt;&gt; "plain")=TRUE), ((G2071 &lt;&gt; "")=TRUE))</f>
        <v>0</v>
      </c>
      <c r="M2071" s="4" t="str">
        <f>IF(((E2071)=TRUE),  C2071 &amp; "|" &amp; H2071,  "")</f>
        <v>principal-knowledge-authority|AppRoutes</v>
      </c>
      <c r="N2071" s="3" t="s">
        <v>10004</v>
      </c>
    </row>
    <row r="2072">
      <c r="A2072" s="3" t="s">
        <v>12074</v>
      </c>
      <c r="B2072" s="4" t="str">
        <f>C2072 &amp; " -&gt; " &amp; D2072</f>
        <v>principal-knowledge-authority -&gt; AppRoutes.NavOrder</v>
      </c>
      <c r="C2072" s="3" t="s">
        <v>9774</v>
      </c>
      <c r="D2072" s="3" t="s">
        <v>5309</v>
      </c>
      <c r="E2072" s="3" t="b">
        <v>1</v>
      </c>
      <c r="F2072" s="3" t="b">
        <v>0</v>
      </c>
      <c r="G2072" s="3" t="s">
        <v>10003</v>
      </c>
      <c r="H2072" s="4" t="str">
        <f>_xlfn.IFNA(IF(((INDEX(RulebookFields!C2:C1898, MATCH(D2072,RulebookFields!A2:A1898, 0))="")=TRUE),  "",  INDEX(RulebookFields!C2:C1898, MATCH(D2072,RulebookFields!A2:A1898, 0))), "")</f>
        <v>AppRoutes</v>
      </c>
      <c r="I2072" s="4" t="str">
        <f>_xlfn.IFNA(IF(((INDEX(RulebookFields!D2:D1898, MATCH(D2072,RulebookFields!A2:A1898, 0))="")=TRUE),  "",  INDEX(RulebookFields!D2:D1898, MATCH(D2072,RulebookFields!A2:A1898, 0))), "")</f>
        <v>NavOrder</v>
      </c>
      <c r="J2072" s="4" t="b">
        <f>_xlfn.IFNA(IF(((INDEX(RulebookFields!I2:I1898, MATCH(D2072,RulebookFields!A2:A1898, 0))="")=TRUE),  "",  INDEX(RulebookFields!I2:I1898, MATCH(D2072,RulebookFields!A2:A1898, 0))), "")</f>
        <v>0</v>
      </c>
      <c r="K2072" s="4" t="b">
        <f>AND(((F2072)=TRUE), ((J2072)=TRUE))</f>
        <v>0</v>
      </c>
      <c r="L2072" s="4" t="b">
        <f>AND(((G2072 &lt;&gt; "plain")=TRUE), ((G2072 &lt;&gt; "")=TRUE))</f>
        <v>0</v>
      </c>
      <c r="M2072" s="4" t="str">
        <f>IF(((E2072)=TRUE),  C2072 &amp; "|" &amp; H2072,  "")</f>
        <v>principal-knowledge-authority|AppRoutes</v>
      </c>
      <c r="N2072" s="3" t="s">
        <v>10004</v>
      </c>
    </row>
    <row r="2073">
      <c r="A2073" s="3" t="s">
        <v>12075</v>
      </c>
      <c r="B2073" s="4" t="str">
        <f>C2073 &amp; " -&gt; " &amp; D2073</f>
        <v>principal-knowledge-authority -&gt; AppRoutes.RouteKind</v>
      </c>
      <c r="C2073" s="3" t="s">
        <v>9774</v>
      </c>
      <c r="D2073" s="3" t="s">
        <v>5311</v>
      </c>
      <c r="E2073" s="3" t="b">
        <v>1</v>
      </c>
      <c r="F2073" s="3" t="b">
        <v>0</v>
      </c>
      <c r="G2073" s="3" t="s">
        <v>10003</v>
      </c>
      <c r="H2073" s="4" t="str">
        <f>_xlfn.IFNA(IF(((INDEX(RulebookFields!C2:C1898, MATCH(D2073,RulebookFields!A2:A1898, 0))="")=TRUE),  "",  INDEX(RulebookFields!C2:C1898, MATCH(D2073,RulebookFields!A2:A1898, 0))), "")</f>
        <v>AppRoutes</v>
      </c>
      <c r="I2073" s="4" t="str">
        <f>_xlfn.IFNA(IF(((INDEX(RulebookFields!D2:D1898, MATCH(D2073,RulebookFields!A2:A1898, 0))="")=TRUE),  "",  INDEX(RulebookFields!D2:D1898, MATCH(D2073,RulebookFields!A2:A1898, 0))), "")</f>
        <v>RouteKind</v>
      </c>
      <c r="J2073" s="4" t="b">
        <f>_xlfn.IFNA(IF(((INDEX(RulebookFields!I2:I1898, MATCH(D2073,RulebookFields!A2:A1898, 0))="")=TRUE),  "",  INDEX(RulebookFields!I2:I1898, MATCH(D2073,RulebookFields!A2:A1898, 0))), "")</f>
        <v>0</v>
      </c>
      <c r="K2073" s="4" t="b">
        <f>AND(((F2073)=TRUE), ((J2073)=TRUE))</f>
        <v>0</v>
      </c>
      <c r="L2073" s="4" t="b">
        <f>AND(((G2073 &lt;&gt; "plain")=TRUE), ((G2073 &lt;&gt; "")=TRUE))</f>
        <v>0</v>
      </c>
      <c r="M2073" s="4" t="str">
        <f>IF(((E2073)=TRUE),  C2073 &amp; "|" &amp; H2073,  "")</f>
        <v>principal-knowledge-authority|AppRoutes</v>
      </c>
      <c r="N2073" s="3" t="s">
        <v>10004</v>
      </c>
    </row>
    <row r="2074">
      <c r="A2074" s="3" t="s">
        <v>12076</v>
      </c>
      <c r="B2074" s="4" t="str">
        <f>C2074 &amp; " -&gt; " &amp; D2074</f>
        <v>principal-knowledge-authority -&gt; AppRoutes.Purpose</v>
      </c>
      <c r="C2074" s="3" t="s">
        <v>9774</v>
      </c>
      <c r="D2074" s="3" t="s">
        <v>5313</v>
      </c>
      <c r="E2074" s="3" t="b">
        <v>1</v>
      </c>
      <c r="F2074" s="3" t="b">
        <v>0</v>
      </c>
      <c r="G2074" s="3" t="s">
        <v>10003</v>
      </c>
      <c r="H2074" s="4" t="str">
        <f>_xlfn.IFNA(IF(((INDEX(RulebookFields!C2:C1898, MATCH(D2074,RulebookFields!A2:A1898, 0))="")=TRUE),  "",  INDEX(RulebookFields!C2:C1898, MATCH(D2074,RulebookFields!A2:A1898, 0))), "")</f>
        <v>AppRoutes</v>
      </c>
      <c r="I2074" s="4" t="str">
        <f>_xlfn.IFNA(IF(((INDEX(RulebookFields!D2:D1898, MATCH(D2074,RulebookFields!A2:A1898, 0))="")=TRUE),  "",  INDEX(RulebookFields!D2:D1898, MATCH(D2074,RulebookFields!A2:A1898, 0))), "")</f>
        <v>Purpose</v>
      </c>
      <c r="J2074" s="4" t="b">
        <f>_xlfn.IFNA(IF(((INDEX(RulebookFields!I2:I1898, MATCH(D2074,RulebookFields!A2:A1898, 0))="")=TRUE),  "",  INDEX(RulebookFields!I2:I1898, MATCH(D2074,RulebookFields!A2:A1898, 0))), "")</f>
        <v>0</v>
      </c>
      <c r="K2074" s="4" t="b">
        <f>AND(((F2074)=TRUE), ((J2074)=TRUE))</f>
        <v>0</v>
      </c>
      <c r="L2074" s="4" t="b">
        <f>AND(((G2074 &lt;&gt; "plain")=TRUE), ((G2074 &lt;&gt; "")=TRUE))</f>
        <v>0</v>
      </c>
      <c r="M2074" s="4" t="str">
        <f>IF(((E2074)=TRUE),  C2074 &amp; "|" &amp; H2074,  "")</f>
        <v>principal-knowledge-authority|AppRoutes</v>
      </c>
      <c r="N2074" s="3" t="s">
        <v>10004</v>
      </c>
    </row>
    <row r="2075">
      <c r="A2075" s="3" t="s">
        <v>12077</v>
      </c>
      <c r="B2075" s="4" t="str">
        <f>C2075 &amp; " -&gt; " &amp; D2075</f>
        <v>principal-knowledge-authority -&gt; AppRoutes.LayoutHints</v>
      </c>
      <c r="C2075" s="3" t="s">
        <v>9774</v>
      </c>
      <c r="D2075" s="3" t="s">
        <v>5314</v>
      </c>
      <c r="E2075" s="3" t="b">
        <v>1</v>
      </c>
      <c r="F2075" s="3" t="b">
        <v>0</v>
      </c>
      <c r="G2075" s="3" t="s">
        <v>10003</v>
      </c>
      <c r="H2075" s="4" t="str">
        <f>_xlfn.IFNA(IF(((INDEX(RulebookFields!C2:C1898, MATCH(D2075,RulebookFields!A2:A1898, 0))="")=TRUE),  "",  INDEX(RulebookFields!C2:C1898, MATCH(D2075,RulebookFields!A2:A1898, 0))), "")</f>
        <v>AppRoutes</v>
      </c>
      <c r="I2075" s="4" t="str">
        <f>_xlfn.IFNA(IF(((INDEX(RulebookFields!D2:D1898, MATCH(D2075,RulebookFields!A2:A1898, 0))="")=TRUE),  "",  INDEX(RulebookFields!D2:D1898, MATCH(D2075,RulebookFields!A2:A1898, 0))), "")</f>
        <v>LayoutHints</v>
      </c>
      <c r="J2075" s="4" t="b">
        <f>_xlfn.IFNA(IF(((INDEX(RulebookFields!I2:I1898, MATCH(D2075,RulebookFields!A2:A1898, 0))="")=TRUE),  "",  INDEX(RulebookFields!I2:I1898, MATCH(D2075,RulebookFields!A2:A1898, 0))), "")</f>
        <v>0</v>
      </c>
      <c r="K2075" s="4" t="b">
        <f>AND(((F2075)=TRUE), ((J2075)=TRUE))</f>
        <v>0</v>
      </c>
      <c r="L2075" s="4" t="b">
        <f>AND(((G2075 &lt;&gt; "plain")=TRUE), ((G2075 &lt;&gt; "")=TRUE))</f>
        <v>0</v>
      </c>
      <c r="M2075" s="4" t="str">
        <f>IF(((E2075)=TRUE),  C2075 &amp; "|" &amp; H2075,  "")</f>
        <v>principal-knowledge-authority|AppRoutes</v>
      </c>
      <c r="N2075" s="3" t="s">
        <v>10004</v>
      </c>
    </row>
    <row r="2076">
      <c r="A2076" s="3" t="s">
        <v>12078</v>
      </c>
      <c r="B2076" s="4" t="str">
        <f>C2076 &amp; " -&gt; " &amp; D2076</f>
        <v>principal-knowledge-authority -&gt; AppRoutes.IsInNav</v>
      </c>
      <c r="C2076" s="3" t="s">
        <v>9774</v>
      </c>
      <c r="D2076" s="3" t="s">
        <v>5316</v>
      </c>
      <c r="E2076" s="3" t="b">
        <v>1</v>
      </c>
      <c r="F2076" s="3" t="b">
        <v>0</v>
      </c>
      <c r="G2076" s="3" t="s">
        <v>10003</v>
      </c>
      <c r="H2076" s="4" t="str">
        <f>_xlfn.IFNA(IF(((INDEX(RulebookFields!C2:C1898, MATCH(D2076,RulebookFields!A2:A1898, 0))="")=TRUE),  "",  INDEX(RulebookFields!C2:C1898, MATCH(D2076,RulebookFields!A2:A1898, 0))), "")</f>
        <v>AppRoutes</v>
      </c>
      <c r="I2076" s="4" t="str">
        <f>_xlfn.IFNA(IF(((INDEX(RulebookFields!D2:D1898, MATCH(D2076,RulebookFields!A2:A1898, 0))="")=TRUE),  "",  INDEX(RulebookFields!D2:D1898, MATCH(D2076,RulebookFields!A2:A1898, 0))), "")</f>
        <v>IsInNav</v>
      </c>
      <c r="J2076" s="4" t="b">
        <f>_xlfn.IFNA(IF(((INDEX(RulebookFields!I2:I1898, MATCH(D2076,RulebookFields!A2:A1898, 0))="")=TRUE),  "",  INDEX(RulebookFields!I2:I1898, MATCH(D2076,RulebookFields!A2:A1898, 0))), "")</f>
        <v>1</v>
      </c>
      <c r="K2076" s="4" t="b">
        <f>AND(((F2076)=TRUE), ((J2076)=TRUE))</f>
        <v>0</v>
      </c>
      <c r="L2076" s="4" t="b">
        <f>AND(((G2076 &lt;&gt; "plain")=TRUE), ((G2076 &lt;&gt; "")=TRUE))</f>
        <v>0</v>
      </c>
      <c r="M2076" s="4" t="str">
        <f>IF(((E2076)=TRUE),  C2076 &amp; "|" &amp; H2076,  "")</f>
        <v>principal-knowledge-authority|AppRoutes</v>
      </c>
      <c r="N2076" s="3" t="s">
        <v>10004</v>
      </c>
    </row>
    <row r="2077">
      <c r="A2077" s="3" t="s">
        <v>12079</v>
      </c>
      <c r="B2077" s="4" t="str">
        <f>C2077 &amp; " -&gt; " &amp; D2077</f>
        <v>principal-knowledge-authority -&gt; AppRoutes.IsShared</v>
      </c>
      <c r="C2077" s="3" t="s">
        <v>9774</v>
      </c>
      <c r="D2077" s="3" t="s">
        <v>5319</v>
      </c>
      <c r="E2077" s="3" t="b">
        <v>1</v>
      </c>
      <c r="F2077" s="3" t="b">
        <v>0</v>
      </c>
      <c r="G2077" s="3" t="s">
        <v>10003</v>
      </c>
      <c r="H2077" s="4" t="str">
        <f>_xlfn.IFNA(IF(((INDEX(RulebookFields!C2:C1898, MATCH(D2077,RulebookFields!A2:A1898, 0))="")=TRUE),  "",  INDEX(RulebookFields!C2:C1898, MATCH(D2077,RulebookFields!A2:A1898, 0))), "")</f>
        <v>AppRoutes</v>
      </c>
      <c r="I2077" s="4" t="str">
        <f>_xlfn.IFNA(IF(((INDEX(RulebookFields!D2:D1898, MATCH(D2077,RulebookFields!A2:A1898, 0))="")=TRUE),  "",  INDEX(RulebookFields!D2:D1898, MATCH(D2077,RulebookFields!A2:A1898, 0))), "")</f>
        <v>IsShared</v>
      </c>
      <c r="J2077" s="4" t="b">
        <f>_xlfn.IFNA(IF(((INDEX(RulebookFields!I2:I1898, MATCH(D2077,RulebookFields!A2:A1898, 0))="")=TRUE),  "",  INDEX(RulebookFields!I2:I1898, MATCH(D2077,RulebookFields!A2:A1898, 0))), "")</f>
        <v>1</v>
      </c>
      <c r="K2077" s="4" t="b">
        <f>AND(((F2077)=TRUE), ((J2077)=TRUE))</f>
        <v>0</v>
      </c>
      <c r="L2077" s="4" t="b">
        <f>AND(((G2077 &lt;&gt; "plain")=TRUE), ((G2077 &lt;&gt; "")=TRUE))</f>
        <v>0</v>
      </c>
      <c r="M2077" s="4" t="str">
        <f>IF(((E2077)=TRUE),  C2077 &amp; "|" &amp; H2077,  "")</f>
        <v>principal-knowledge-authority|AppRoutes</v>
      </c>
      <c r="N2077" s="3" t="s">
        <v>10004</v>
      </c>
    </row>
    <row r="2078">
      <c r="A2078" s="3" t="s">
        <v>12080</v>
      </c>
      <c r="B2078" s="4" t="str">
        <f>C2078 &amp; " -&gt; " &amp; D2078</f>
        <v>principal-knowledge-authority -&gt; AppRoutes.IsMaintainer</v>
      </c>
      <c r="C2078" s="3" t="s">
        <v>9774</v>
      </c>
      <c r="D2078" s="3" t="s">
        <v>5322</v>
      </c>
      <c r="E2078" s="3" t="b">
        <v>1</v>
      </c>
      <c r="F2078" s="3" t="b">
        <v>0</v>
      </c>
      <c r="G2078" s="3" t="s">
        <v>10003</v>
      </c>
      <c r="H2078" s="4" t="str">
        <f>_xlfn.IFNA(IF(((INDEX(RulebookFields!C2:C1898, MATCH(D2078,RulebookFields!A2:A1898, 0))="")=TRUE),  "",  INDEX(RulebookFields!C2:C1898, MATCH(D2078,RulebookFields!A2:A1898, 0))), "")</f>
        <v>AppRoutes</v>
      </c>
      <c r="I2078" s="4" t="str">
        <f>_xlfn.IFNA(IF(((INDEX(RulebookFields!D2:D1898, MATCH(D2078,RulebookFields!A2:A1898, 0))="")=TRUE),  "",  INDEX(RulebookFields!D2:D1898, MATCH(D2078,RulebookFields!A2:A1898, 0))), "")</f>
        <v>IsMaintainer</v>
      </c>
      <c r="J2078" s="4" t="b">
        <f>_xlfn.IFNA(IF(((INDEX(RulebookFields!I2:I1898, MATCH(D2078,RulebookFields!A2:A1898, 0))="")=TRUE),  "",  INDEX(RulebookFields!I2:I1898, MATCH(D2078,RulebookFields!A2:A1898, 0))), "")</f>
        <v>1</v>
      </c>
      <c r="K2078" s="4" t="b">
        <f>AND(((F2078)=TRUE), ((J2078)=TRUE))</f>
        <v>0</v>
      </c>
      <c r="L2078" s="4" t="b">
        <f>AND(((G2078 &lt;&gt; "plain")=TRUE), ((G2078 &lt;&gt; "")=TRUE))</f>
        <v>0</v>
      </c>
      <c r="M2078" s="4" t="str">
        <f>IF(((E2078)=TRUE),  C2078 &amp; "|" &amp; H2078,  "")</f>
        <v>principal-knowledge-authority|AppRoutes</v>
      </c>
      <c r="N2078" s="3" t="s">
        <v>10004</v>
      </c>
    </row>
    <row r="2079">
      <c r="A2079" s="3" t="s">
        <v>12081</v>
      </c>
      <c r="B2079" s="4" t="str">
        <f>C2079 &amp; " -&gt; " &amp; D2079</f>
        <v>principal-knowledge-authority -&gt; AppRoutes.QuestionCount</v>
      </c>
      <c r="C2079" s="3" t="s">
        <v>9774</v>
      </c>
      <c r="D2079" s="3" t="s">
        <v>5325</v>
      </c>
      <c r="E2079" s="3" t="b">
        <v>1</v>
      </c>
      <c r="F2079" s="3" t="b">
        <v>0</v>
      </c>
      <c r="G2079" s="3" t="s">
        <v>10003</v>
      </c>
      <c r="H2079" s="4" t="str">
        <f>_xlfn.IFNA(IF(((INDEX(RulebookFields!C2:C1898, MATCH(D2079,RulebookFields!A2:A1898, 0))="")=TRUE),  "",  INDEX(RulebookFields!C2:C1898, MATCH(D2079,RulebookFields!A2:A1898, 0))), "")</f>
        <v>AppRoutes</v>
      </c>
      <c r="I2079" s="4" t="str">
        <f>_xlfn.IFNA(IF(((INDEX(RulebookFields!D2:D1898, MATCH(D2079,RulebookFields!A2:A1898, 0))="")=TRUE),  "",  INDEX(RulebookFields!D2:D1898, MATCH(D2079,RulebookFields!A2:A1898, 0))), "")</f>
        <v>QuestionCount</v>
      </c>
      <c r="J2079" s="4" t="b">
        <f>_xlfn.IFNA(IF(((INDEX(RulebookFields!I2:I1898, MATCH(D2079,RulebookFields!A2:A1898, 0))="")=TRUE),  "",  INDEX(RulebookFields!I2:I1898, MATCH(D2079,RulebookFields!A2:A1898, 0))), "")</f>
        <v>1</v>
      </c>
      <c r="K2079" s="4" t="b">
        <f>AND(((F2079)=TRUE), ((J2079)=TRUE))</f>
        <v>0</v>
      </c>
      <c r="L2079" s="4" t="b">
        <f>AND(((G2079 &lt;&gt; "plain")=TRUE), ((G2079 &lt;&gt; "")=TRUE))</f>
        <v>0</v>
      </c>
      <c r="M2079" s="4" t="str">
        <f>IF(((E2079)=TRUE),  C2079 &amp; "|" &amp; H2079,  "")</f>
        <v>principal-knowledge-authority|AppRoutes</v>
      </c>
      <c r="N2079" s="3" t="s">
        <v>10004</v>
      </c>
    </row>
    <row r="2080">
      <c r="A2080" s="3" t="s">
        <v>12082</v>
      </c>
      <c r="B2080" s="4" t="str">
        <f>C2080 &amp; " -&gt; " &amp; D2080</f>
        <v>principal-knowledge-authority -&gt; AppRoutes.ReferenceCount</v>
      </c>
      <c r="C2080" s="3" t="s">
        <v>9774</v>
      </c>
      <c r="D2080" s="3" t="s">
        <v>5327</v>
      </c>
      <c r="E2080" s="3" t="b">
        <v>1</v>
      </c>
      <c r="F2080" s="3" t="b">
        <v>0</v>
      </c>
      <c r="G2080" s="3" t="s">
        <v>10003</v>
      </c>
      <c r="H2080" s="4" t="str">
        <f>_xlfn.IFNA(IF(((INDEX(RulebookFields!C2:C1898, MATCH(D2080,RulebookFields!A2:A1898, 0))="")=TRUE),  "",  INDEX(RulebookFields!C2:C1898, MATCH(D2080,RulebookFields!A2:A1898, 0))), "")</f>
        <v>AppRoutes</v>
      </c>
      <c r="I2080" s="4" t="str">
        <f>_xlfn.IFNA(IF(((INDEX(RulebookFields!D2:D1898, MATCH(D2080,RulebookFields!A2:A1898, 0))="")=TRUE),  "",  INDEX(RulebookFields!D2:D1898, MATCH(D2080,RulebookFields!A2:A1898, 0))), "")</f>
        <v>ReferenceCount</v>
      </c>
      <c r="J2080" s="4" t="b">
        <f>_xlfn.IFNA(IF(((INDEX(RulebookFields!I2:I1898, MATCH(D2080,RulebookFields!A2:A1898, 0))="")=TRUE),  "",  INDEX(RulebookFields!I2:I1898, MATCH(D2080,RulebookFields!A2:A1898, 0))), "")</f>
        <v>1</v>
      </c>
      <c r="K2080" s="4" t="b">
        <f>AND(((F2080)=TRUE), ((J2080)=TRUE))</f>
        <v>0</v>
      </c>
      <c r="L2080" s="4" t="b">
        <f>AND(((G2080 &lt;&gt; "plain")=TRUE), ((G2080 &lt;&gt; "")=TRUE))</f>
        <v>0</v>
      </c>
      <c r="M2080" s="4" t="str">
        <f>IF(((E2080)=TRUE),  C2080 &amp; "|" &amp; H2080,  "")</f>
        <v>principal-knowledge-authority|AppRoutes</v>
      </c>
      <c r="N2080" s="3" t="s">
        <v>10004</v>
      </c>
    </row>
    <row r="2081">
      <c r="A2081" s="3" t="s">
        <v>12083</v>
      </c>
      <c r="B2081" s="4" t="str">
        <f>C2081 &amp; " -&gt; " &amp; D2081</f>
        <v>principal-knowledge-authority -&gt; AppRoutes.AnswersNoQuestion</v>
      </c>
      <c r="C2081" s="3" t="s">
        <v>9774</v>
      </c>
      <c r="D2081" s="3" t="s">
        <v>5330</v>
      </c>
      <c r="E2081" s="3" t="b">
        <v>1</v>
      </c>
      <c r="F2081" s="3" t="b">
        <v>0</v>
      </c>
      <c r="G2081" s="3" t="s">
        <v>10003</v>
      </c>
      <c r="H2081" s="4" t="str">
        <f>_xlfn.IFNA(IF(((INDEX(RulebookFields!C2:C1898, MATCH(D2081,RulebookFields!A2:A1898, 0))="")=TRUE),  "",  INDEX(RulebookFields!C2:C1898, MATCH(D2081,RulebookFields!A2:A1898, 0))), "")</f>
        <v>AppRoutes</v>
      </c>
      <c r="I2081" s="4" t="str">
        <f>_xlfn.IFNA(IF(((INDEX(RulebookFields!D2:D1898, MATCH(D2081,RulebookFields!A2:A1898, 0))="")=TRUE),  "",  INDEX(RulebookFields!D2:D1898, MATCH(D2081,RulebookFields!A2:A1898, 0))), "")</f>
        <v>AnswersNoQuestion</v>
      </c>
      <c r="J2081" s="4" t="b">
        <f>_xlfn.IFNA(IF(((INDEX(RulebookFields!I2:I1898, MATCH(D2081,RulebookFields!A2:A1898, 0))="")=TRUE),  "",  INDEX(RulebookFields!I2:I1898, MATCH(D2081,RulebookFields!A2:A1898, 0))), "")</f>
        <v>1</v>
      </c>
      <c r="K2081" s="4" t="b">
        <f>AND(((F2081)=TRUE), ((J2081)=TRUE))</f>
        <v>0</v>
      </c>
      <c r="L2081" s="4" t="b">
        <f>AND(((G2081 &lt;&gt; "plain")=TRUE), ((G2081 &lt;&gt; "")=TRUE))</f>
        <v>0</v>
      </c>
      <c r="M2081" s="4" t="str">
        <f>IF(((E2081)=TRUE),  C2081 &amp; "|" &amp; H2081,  "")</f>
        <v>principal-knowledge-authority|AppRoutes</v>
      </c>
      <c r="N2081" s="3" t="s">
        <v>10004</v>
      </c>
    </row>
    <row r="2082">
      <c r="A2082" s="3" t="s">
        <v>12084</v>
      </c>
      <c r="B2082" s="4" t="str">
        <f>C2082 &amp; " -&gt; " &amp; D2082</f>
        <v>principal-knowledge-authority -&gt; AppRoutes.SemanticTypeIri</v>
      </c>
      <c r="C2082" s="3" t="s">
        <v>9774</v>
      </c>
      <c r="D2082" s="3" t="s">
        <v>5333</v>
      </c>
      <c r="E2082" s="3" t="b">
        <v>1</v>
      </c>
      <c r="F2082" s="3" t="b">
        <v>0</v>
      </c>
      <c r="G2082" s="3" t="s">
        <v>10003</v>
      </c>
      <c r="H2082" s="4" t="str">
        <f>_xlfn.IFNA(IF(((INDEX(RulebookFields!C2:C1898, MATCH(D2082,RulebookFields!A2:A1898, 0))="")=TRUE),  "",  INDEX(RulebookFields!C2:C1898, MATCH(D2082,RulebookFields!A2:A1898, 0))), "")</f>
        <v>AppRoutes</v>
      </c>
      <c r="I2082" s="4" t="str">
        <f>_xlfn.IFNA(IF(((INDEX(RulebookFields!D2:D1898, MATCH(D2082,RulebookFields!A2:A1898, 0))="")=TRUE),  "",  INDEX(RulebookFields!D2:D1898, MATCH(D2082,RulebookFields!A2:A1898, 0))), "")</f>
        <v>SemanticTypeIri</v>
      </c>
      <c r="J2082" s="4" t="b">
        <f>_xlfn.IFNA(IF(((INDEX(RulebookFields!I2:I1898, MATCH(D2082,RulebookFields!A2:A1898, 0))="")=TRUE),  "",  INDEX(RulebookFields!I2:I1898, MATCH(D2082,RulebookFields!A2:A1898, 0))), "")</f>
        <v>0</v>
      </c>
      <c r="K2082" s="4" t="b">
        <f>AND(((F2082)=TRUE), ((J2082)=TRUE))</f>
        <v>0</v>
      </c>
      <c r="L2082" s="4" t="b">
        <f>AND(((G2082 &lt;&gt; "plain")=TRUE), ((G2082 &lt;&gt; "")=TRUE))</f>
        <v>0</v>
      </c>
      <c r="M2082" s="4" t="str">
        <f>IF(((E2082)=TRUE),  C2082 &amp; "|" &amp; H2082,  "")</f>
        <v>principal-knowledge-authority|AppRoutes</v>
      </c>
      <c r="N2082" s="3" t="s">
        <v>10004</v>
      </c>
    </row>
    <row r="2083">
      <c r="A2083" s="3" t="s">
        <v>12085</v>
      </c>
      <c r="B2083" s="4" t="str">
        <f>C2083 &amp; " -&gt; " &amp; D2083</f>
        <v>principal-knowledge-authority -&gt; Attestations.AttestationId</v>
      </c>
      <c r="C2083" s="3" t="s">
        <v>9774</v>
      </c>
      <c r="D2083" s="3" t="s">
        <v>5234</v>
      </c>
      <c r="E2083" s="3" t="b">
        <v>1</v>
      </c>
      <c r="F2083" s="3" t="b">
        <v>0</v>
      </c>
      <c r="G2083" s="3" t="s">
        <v>10003</v>
      </c>
      <c r="H2083" s="4" t="str">
        <f>_xlfn.IFNA(IF(((INDEX(RulebookFields!C2:C1898, MATCH(D2083,RulebookFields!A2:A1898, 0))="")=TRUE),  "",  INDEX(RulebookFields!C2:C1898, MATCH(D2083,RulebookFields!A2:A1898, 0))), "")</f>
        <v>Attestations</v>
      </c>
      <c r="I2083" s="4" t="str">
        <f>_xlfn.IFNA(IF(((INDEX(RulebookFields!D2:D1898, MATCH(D2083,RulebookFields!A2:A1898, 0))="")=TRUE),  "",  INDEX(RulebookFields!D2:D1898, MATCH(D2083,RulebookFields!A2:A1898, 0))), "")</f>
        <v>AttestationId</v>
      </c>
      <c r="J2083" s="4" t="b">
        <f>_xlfn.IFNA(IF(((INDEX(RulebookFields!I2:I1898, MATCH(D2083,RulebookFields!A2:A1898, 0))="")=TRUE),  "",  INDEX(RulebookFields!I2:I1898, MATCH(D2083,RulebookFields!A2:A1898, 0))), "")</f>
        <v>0</v>
      </c>
      <c r="K2083" s="4" t="b">
        <f>AND(((F2083)=TRUE), ((J2083)=TRUE))</f>
        <v>0</v>
      </c>
      <c r="L2083" s="4" t="b">
        <f>AND(((G2083 &lt;&gt; "plain")=TRUE), ((G2083 &lt;&gt; "")=TRUE))</f>
        <v>0</v>
      </c>
      <c r="M2083" s="4" t="str">
        <f>IF(((E2083)=TRUE),  C2083 &amp; "|" &amp; H2083,  "")</f>
        <v>principal-knowledge-authority|Attestations</v>
      </c>
      <c r="N2083" s="3" t="s">
        <v>10004</v>
      </c>
    </row>
    <row r="2084">
      <c r="A2084" s="3" t="s">
        <v>12086</v>
      </c>
      <c r="B2084" s="4" t="str">
        <f>C2084 &amp; " -&gt; " &amp; D2084</f>
        <v>principal-knowledge-authority -&gt; Attestations.Name</v>
      </c>
      <c r="C2084" s="3" t="s">
        <v>9774</v>
      </c>
      <c r="D2084" s="3" t="s">
        <v>5237</v>
      </c>
      <c r="E2084" s="3" t="b">
        <v>1</v>
      </c>
      <c r="F2084" s="3" t="b">
        <v>0</v>
      </c>
      <c r="G2084" s="3" t="s">
        <v>10003</v>
      </c>
      <c r="H2084" s="4" t="str">
        <f>_xlfn.IFNA(IF(((INDEX(RulebookFields!C2:C1898, MATCH(D2084,RulebookFields!A2:A1898, 0))="")=TRUE),  "",  INDEX(RulebookFields!C2:C1898, MATCH(D2084,RulebookFields!A2:A1898, 0))), "")</f>
        <v>Attestations</v>
      </c>
      <c r="I2084" s="4" t="str">
        <f>_xlfn.IFNA(IF(((INDEX(RulebookFields!D2:D1898, MATCH(D2084,RulebookFields!A2:A1898, 0))="")=TRUE),  "",  INDEX(RulebookFields!D2:D1898, MATCH(D2084,RulebookFields!A2:A1898, 0))), "")</f>
        <v>Name</v>
      </c>
      <c r="J2084" s="4" t="b">
        <f>_xlfn.IFNA(IF(((INDEX(RulebookFields!I2:I1898, MATCH(D2084,RulebookFields!A2:A1898, 0))="")=TRUE),  "",  INDEX(RulebookFields!I2:I1898, MATCH(D2084,RulebookFields!A2:A1898, 0))), "")</f>
        <v>1</v>
      </c>
      <c r="K2084" s="4" t="b">
        <f>AND(((F2084)=TRUE), ((J2084)=TRUE))</f>
        <v>0</v>
      </c>
      <c r="L2084" s="4" t="b">
        <f>AND(((G2084 &lt;&gt; "plain")=TRUE), ((G2084 &lt;&gt; "")=TRUE))</f>
        <v>0</v>
      </c>
      <c r="M2084" s="4" t="str">
        <f>IF(((E2084)=TRUE),  C2084 &amp; "|" &amp; H2084,  "")</f>
        <v>principal-knowledge-authority|Attestations</v>
      </c>
      <c r="N2084" s="3" t="s">
        <v>10004</v>
      </c>
    </row>
    <row r="2085">
      <c r="A2085" s="3" t="s">
        <v>12087</v>
      </c>
      <c r="B2085" s="4" t="str">
        <f>C2085 &amp; " -&gt; " &amp; D2085</f>
        <v>principal-knowledge-authority -&gt; Attestations.ProcedureExecution</v>
      </c>
      <c r="C2085" s="3" t="s">
        <v>9774</v>
      </c>
      <c r="D2085" s="3" t="s">
        <v>5239</v>
      </c>
      <c r="E2085" s="3" t="b">
        <v>1</v>
      </c>
      <c r="F2085" s="3" t="b">
        <v>0</v>
      </c>
      <c r="G2085" s="3" t="s">
        <v>10003</v>
      </c>
      <c r="H2085" s="4" t="str">
        <f>_xlfn.IFNA(IF(((INDEX(RulebookFields!C2:C1898, MATCH(D2085,RulebookFields!A2:A1898, 0))="")=TRUE),  "",  INDEX(RulebookFields!C2:C1898, MATCH(D2085,RulebookFields!A2:A1898, 0))), "")</f>
        <v>Attestations</v>
      </c>
      <c r="I2085" s="4" t="str">
        <f>_xlfn.IFNA(IF(((INDEX(RulebookFields!D2:D1898, MATCH(D2085,RulebookFields!A2:A1898, 0))="")=TRUE),  "",  INDEX(RulebookFields!D2:D1898, MATCH(D2085,RulebookFields!A2:A1898, 0))), "")</f>
        <v>ProcedureExecution</v>
      </c>
      <c r="J2085" s="4" t="b">
        <f>_xlfn.IFNA(IF(((INDEX(RulebookFields!I2:I1898, MATCH(D2085,RulebookFields!A2:A1898, 0))="")=TRUE),  "",  INDEX(RulebookFields!I2:I1898, MATCH(D2085,RulebookFields!A2:A1898, 0))), "")</f>
        <v>0</v>
      </c>
      <c r="K2085" s="4" t="b">
        <f>AND(((F2085)=TRUE), ((J2085)=TRUE))</f>
        <v>0</v>
      </c>
      <c r="L2085" s="4" t="b">
        <f>AND(((G2085 &lt;&gt; "plain")=TRUE), ((G2085 &lt;&gt; "")=TRUE))</f>
        <v>0</v>
      </c>
      <c r="M2085" s="4" t="str">
        <f>IF(((E2085)=TRUE),  C2085 &amp; "|" &amp; H2085,  "")</f>
        <v>principal-knowledge-authority|Attestations</v>
      </c>
      <c r="N2085" s="3" t="s">
        <v>10004</v>
      </c>
    </row>
    <row r="2086">
      <c r="A2086" s="3" t="s">
        <v>12088</v>
      </c>
      <c r="B2086" s="4" t="str">
        <f>C2086 &amp; " -&gt; " &amp; D2086</f>
        <v>principal-knowledge-authority -&gt; Attestations.SignedByAgent</v>
      </c>
      <c r="C2086" s="3" t="s">
        <v>9774</v>
      </c>
      <c r="D2086" s="3" t="s">
        <v>5240</v>
      </c>
      <c r="E2086" s="3" t="b">
        <v>1</v>
      </c>
      <c r="F2086" s="3" t="b">
        <v>0</v>
      </c>
      <c r="G2086" s="3" t="s">
        <v>10003</v>
      </c>
      <c r="H2086" s="4" t="str">
        <f>_xlfn.IFNA(IF(((INDEX(RulebookFields!C2:C1898, MATCH(D2086,RulebookFields!A2:A1898, 0))="")=TRUE),  "",  INDEX(RulebookFields!C2:C1898, MATCH(D2086,RulebookFields!A2:A1898, 0))), "")</f>
        <v>Attestations</v>
      </c>
      <c r="I2086" s="4" t="str">
        <f>_xlfn.IFNA(IF(((INDEX(RulebookFields!D2:D1898, MATCH(D2086,RulebookFields!A2:A1898, 0))="")=TRUE),  "",  INDEX(RulebookFields!D2:D1898, MATCH(D2086,RulebookFields!A2:A1898, 0))), "")</f>
        <v>SignedByAgent</v>
      </c>
      <c r="J2086" s="4" t="b">
        <f>_xlfn.IFNA(IF(((INDEX(RulebookFields!I2:I1898, MATCH(D2086,RulebookFields!A2:A1898, 0))="")=TRUE),  "",  INDEX(RulebookFields!I2:I1898, MATCH(D2086,RulebookFields!A2:A1898, 0))), "")</f>
        <v>0</v>
      </c>
      <c r="K2086" s="4" t="b">
        <f>AND(((F2086)=TRUE), ((J2086)=TRUE))</f>
        <v>0</v>
      </c>
      <c r="L2086" s="4" t="b">
        <f>AND(((G2086 &lt;&gt; "plain")=TRUE), ((G2086 &lt;&gt; "")=TRUE))</f>
        <v>0</v>
      </c>
      <c r="M2086" s="4" t="str">
        <f>IF(((E2086)=TRUE),  C2086 &amp; "|" &amp; H2086,  "")</f>
        <v>principal-knowledge-authority|Attestations</v>
      </c>
      <c r="N2086" s="3" t="s">
        <v>10004</v>
      </c>
    </row>
    <row r="2087">
      <c r="A2087" s="3" t="s">
        <v>12089</v>
      </c>
      <c r="B2087" s="4" t="str">
        <f>C2087 &amp; " -&gt; " &amp; D2087</f>
        <v>principal-knowledge-authority -&gt; Attestations.SignedAt</v>
      </c>
      <c r="C2087" s="3" t="s">
        <v>9774</v>
      </c>
      <c r="D2087" s="3" t="s">
        <v>5242</v>
      </c>
      <c r="E2087" s="3" t="b">
        <v>1</v>
      </c>
      <c r="F2087" s="3" t="b">
        <v>0</v>
      </c>
      <c r="G2087" s="3" t="s">
        <v>10003</v>
      </c>
      <c r="H2087" s="4" t="str">
        <f>_xlfn.IFNA(IF(((INDEX(RulebookFields!C2:C1898, MATCH(D2087,RulebookFields!A2:A1898, 0))="")=TRUE),  "",  INDEX(RulebookFields!C2:C1898, MATCH(D2087,RulebookFields!A2:A1898, 0))), "")</f>
        <v>Attestations</v>
      </c>
      <c r="I2087" s="4" t="str">
        <f>_xlfn.IFNA(IF(((INDEX(RulebookFields!D2:D1898, MATCH(D2087,RulebookFields!A2:A1898, 0))="")=TRUE),  "",  INDEX(RulebookFields!D2:D1898, MATCH(D2087,RulebookFields!A2:A1898, 0))), "")</f>
        <v>SignedAt</v>
      </c>
      <c r="J2087" s="4" t="b">
        <f>_xlfn.IFNA(IF(((INDEX(RulebookFields!I2:I1898, MATCH(D2087,RulebookFields!A2:A1898, 0))="")=TRUE),  "",  INDEX(RulebookFields!I2:I1898, MATCH(D2087,RulebookFields!A2:A1898, 0))), "")</f>
        <v>0</v>
      </c>
      <c r="K2087" s="4" t="b">
        <f>AND(((F2087)=TRUE), ((J2087)=TRUE))</f>
        <v>0</v>
      </c>
      <c r="L2087" s="4" t="b">
        <f>AND(((G2087 &lt;&gt; "plain")=TRUE), ((G2087 &lt;&gt; "")=TRUE))</f>
        <v>0</v>
      </c>
      <c r="M2087" s="4" t="str">
        <f>IF(((E2087)=TRUE),  C2087 &amp; "|" &amp; H2087,  "")</f>
        <v>principal-knowledge-authority|Attestations</v>
      </c>
      <c r="N2087" s="3" t="s">
        <v>10004</v>
      </c>
    </row>
    <row r="2088">
      <c r="A2088" s="3" t="s">
        <v>12090</v>
      </c>
      <c r="B2088" s="4" t="str">
        <f>C2088 &amp; " -&gt; " &amp; D2088</f>
        <v>principal-knowledge-authority -&gt; Attestations.AssuranceGradeAtSigning</v>
      </c>
      <c r="C2088" s="3" t="s">
        <v>9774</v>
      </c>
      <c r="D2088" s="3" t="s">
        <v>5244</v>
      </c>
      <c r="E2088" s="3" t="b">
        <v>1</v>
      </c>
      <c r="F2088" s="3" t="b">
        <v>0</v>
      </c>
      <c r="G2088" s="3" t="s">
        <v>10003</v>
      </c>
      <c r="H2088" s="4" t="str">
        <f>_xlfn.IFNA(IF(((INDEX(RulebookFields!C2:C1898, MATCH(D2088,RulebookFields!A2:A1898, 0))="")=TRUE),  "",  INDEX(RulebookFields!C2:C1898, MATCH(D2088,RulebookFields!A2:A1898, 0))), "")</f>
        <v>Attestations</v>
      </c>
      <c r="I2088" s="4" t="str">
        <f>_xlfn.IFNA(IF(((INDEX(RulebookFields!D2:D1898, MATCH(D2088,RulebookFields!A2:A1898, 0))="")=TRUE),  "",  INDEX(RulebookFields!D2:D1898, MATCH(D2088,RulebookFields!A2:A1898, 0))), "")</f>
        <v>AssuranceGradeAtSigning</v>
      </c>
      <c r="J2088" s="4" t="b">
        <f>_xlfn.IFNA(IF(((INDEX(RulebookFields!I2:I1898, MATCH(D2088,RulebookFields!A2:A1898, 0))="")=TRUE),  "",  INDEX(RulebookFields!I2:I1898, MATCH(D2088,RulebookFields!A2:A1898, 0))), "")</f>
        <v>0</v>
      </c>
      <c r="K2088" s="4" t="b">
        <f>AND(((F2088)=TRUE), ((J2088)=TRUE))</f>
        <v>0</v>
      </c>
      <c r="L2088" s="4" t="b">
        <f>AND(((G2088 &lt;&gt; "plain")=TRUE), ((G2088 &lt;&gt; "")=TRUE))</f>
        <v>0</v>
      </c>
      <c r="M2088" s="4" t="str">
        <f>IF(((E2088)=TRUE),  C2088 &amp; "|" &amp; H2088,  "")</f>
        <v>principal-knowledge-authority|Attestations</v>
      </c>
      <c r="N2088" s="3" t="s">
        <v>10004</v>
      </c>
    </row>
    <row r="2089">
      <c r="A2089" s="3" t="s">
        <v>12091</v>
      </c>
      <c r="B2089" s="4" t="str">
        <f>C2089 &amp; " -&gt; " &amp; D2089</f>
        <v>principal-knowledge-authority -&gt; Attestations.VersionWasFitAtSigning</v>
      </c>
      <c r="C2089" s="3" t="s">
        <v>9774</v>
      </c>
      <c r="D2089" s="3" t="s">
        <v>5246</v>
      </c>
      <c r="E2089" s="3" t="b">
        <v>1</v>
      </c>
      <c r="F2089" s="3" t="b">
        <v>0</v>
      </c>
      <c r="G2089" s="3" t="s">
        <v>10003</v>
      </c>
      <c r="H2089" s="4" t="str">
        <f>_xlfn.IFNA(IF(((INDEX(RulebookFields!C2:C1898, MATCH(D2089,RulebookFields!A2:A1898, 0))="")=TRUE),  "",  INDEX(RulebookFields!C2:C1898, MATCH(D2089,RulebookFields!A2:A1898, 0))), "")</f>
        <v>Attestations</v>
      </c>
      <c r="I2089" s="4" t="str">
        <f>_xlfn.IFNA(IF(((INDEX(RulebookFields!D2:D1898, MATCH(D2089,RulebookFields!A2:A1898, 0))="")=TRUE),  "",  INDEX(RulebookFields!D2:D1898, MATCH(D2089,RulebookFields!A2:A1898, 0))), "")</f>
        <v>VersionWasFitAtSigning</v>
      </c>
      <c r="J2089" s="4" t="b">
        <f>_xlfn.IFNA(IF(((INDEX(RulebookFields!I2:I1898, MATCH(D2089,RulebookFields!A2:A1898, 0))="")=TRUE),  "",  INDEX(RulebookFields!I2:I1898, MATCH(D2089,RulebookFields!A2:A1898, 0))), "")</f>
        <v>0</v>
      </c>
      <c r="K2089" s="4" t="b">
        <f>AND(((F2089)=TRUE), ((J2089)=TRUE))</f>
        <v>0</v>
      </c>
      <c r="L2089" s="4" t="b">
        <f>AND(((G2089 &lt;&gt; "plain")=TRUE), ((G2089 &lt;&gt; "")=TRUE))</f>
        <v>0</v>
      </c>
      <c r="M2089" s="4" t="str">
        <f>IF(((E2089)=TRUE),  C2089 &amp; "|" &amp; H2089,  "")</f>
        <v>principal-knowledge-authority|Attestations</v>
      </c>
      <c r="N2089" s="3" t="s">
        <v>10004</v>
      </c>
    </row>
    <row r="2090">
      <c r="A2090" s="3" t="s">
        <v>12092</v>
      </c>
      <c r="B2090" s="4" t="str">
        <f>C2090 &amp; " -&gt; " &amp; D2090</f>
        <v>principal-knowledge-authority -&gt; Attestations.VersionIsFitNow</v>
      </c>
      <c r="C2090" s="3" t="s">
        <v>9774</v>
      </c>
      <c r="D2090" s="3" t="s">
        <v>5248</v>
      </c>
      <c r="E2090" s="3" t="b">
        <v>1</v>
      </c>
      <c r="F2090" s="3" t="b">
        <v>0</v>
      </c>
      <c r="G2090" s="3" t="s">
        <v>10003</v>
      </c>
      <c r="H2090" s="4" t="str">
        <f>_xlfn.IFNA(IF(((INDEX(RulebookFields!C2:C1898, MATCH(D2090,RulebookFields!A2:A1898, 0))="")=TRUE),  "",  INDEX(RulebookFields!C2:C1898, MATCH(D2090,RulebookFields!A2:A1898, 0))), "")</f>
        <v>Attestations</v>
      </c>
      <c r="I2090" s="4" t="str">
        <f>_xlfn.IFNA(IF(((INDEX(RulebookFields!D2:D1898, MATCH(D2090,RulebookFields!A2:A1898, 0))="")=TRUE),  "",  INDEX(RulebookFields!D2:D1898, MATCH(D2090,RulebookFields!A2:A1898, 0))), "")</f>
        <v>VersionIsFitNow</v>
      </c>
      <c r="J2090" s="4" t="b">
        <f>_xlfn.IFNA(IF(((INDEX(RulebookFields!I2:I1898, MATCH(D2090,RulebookFields!A2:A1898, 0))="")=TRUE),  "",  INDEX(RulebookFields!I2:I1898, MATCH(D2090,RulebookFields!A2:A1898, 0))), "")</f>
        <v>1</v>
      </c>
      <c r="K2090" s="4" t="b">
        <f>AND(((F2090)=TRUE), ((J2090)=TRUE))</f>
        <v>0</v>
      </c>
      <c r="L2090" s="4" t="b">
        <f>AND(((G2090 &lt;&gt; "plain")=TRUE), ((G2090 &lt;&gt; "")=TRUE))</f>
        <v>0</v>
      </c>
      <c r="M2090" s="4" t="str">
        <f>IF(((E2090)=TRUE),  C2090 &amp; "|" &amp; H2090,  "")</f>
        <v>principal-knowledge-authority|Attestations</v>
      </c>
      <c r="N2090" s="3" t="s">
        <v>10004</v>
      </c>
    </row>
    <row r="2091">
      <c r="A2091" s="3" t="s">
        <v>12093</v>
      </c>
      <c r="B2091" s="4" t="str">
        <f>C2091 &amp; " -&gt; " &amp; D2091</f>
        <v>principal-knowledge-authority -&gt; Attestations.FitnessVerdictHasDrifted</v>
      </c>
      <c r="C2091" s="3" t="s">
        <v>9774</v>
      </c>
      <c r="D2091" s="3" t="s">
        <v>5251</v>
      </c>
      <c r="E2091" s="3" t="b">
        <v>1</v>
      </c>
      <c r="F2091" s="3" t="b">
        <v>0</v>
      </c>
      <c r="G2091" s="3" t="s">
        <v>10003</v>
      </c>
      <c r="H2091" s="4" t="str">
        <f>_xlfn.IFNA(IF(((INDEX(RulebookFields!C2:C1898, MATCH(D2091,RulebookFields!A2:A1898, 0))="")=TRUE),  "",  INDEX(RulebookFields!C2:C1898, MATCH(D2091,RulebookFields!A2:A1898, 0))), "")</f>
        <v>Attestations</v>
      </c>
      <c r="I2091" s="4" t="str">
        <f>_xlfn.IFNA(IF(((INDEX(RulebookFields!D2:D1898, MATCH(D2091,RulebookFields!A2:A1898, 0))="")=TRUE),  "",  INDEX(RulebookFields!D2:D1898, MATCH(D2091,RulebookFields!A2:A1898, 0))), "")</f>
        <v>FitnessVerdictHasDrifted</v>
      </c>
      <c r="J2091" s="4" t="b">
        <f>_xlfn.IFNA(IF(((INDEX(RulebookFields!I2:I1898, MATCH(D2091,RulebookFields!A2:A1898, 0))="")=TRUE),  "",  INDEX(RulebookFields!I2:I1898, MATCH(D2091,RulebookFields!A2:A1898, 0))), "")</f>
        <v>1</v>
      </c>
      <c r="K2091" s="4" t="b">
        <f>AND(((F2091)=TRUE), ((J2091)=TRUE))</f>
        <v>0</v>
      </c>
      <c r="L2091" s="4" t="b">
        <f>AND(((G2091 &lt;&gt; "plain")=TRUE), ((G2091 &lt;&gt; "")=TRUE))</f>
        <v>0</v>
      </c>
      <c r="M2091" s="4" t="str">
        <f>IF(((E2091)=TRUE),  C2091 &amp; "|" &amp; H2091,  "")</f>
        <v>principal-knowledge-authority|Attestations</v>
      </c>
      <c r="N2091" s="3" t="s">
        <v>10004</v>
      </c>
    </row>
    <row r="2092">
      <c r="A2092" s="3" t="s">
        <v>12094</v>
      </c>
      <c r="B2092" s="4" t="str">
        <f>C2092 &amp; " -&gt; " &amp; D2092</f>
        <v>principal-knowledge-authority -&gt; Attestations.AssuranceGradeNow</v>
      </c>
      <c r="C2092" s="3" t="s">
        <v>9774</v>
      </c>
      <c r="D2092" s="3" t="s">
        <v>5254</v>
      </c>
      <c r="E2092" s="3" t="b">
        <v>1</v>
      </c>
      <c r="F2092" s="3" t="b">
        <v>0</v>
      </c>
      <c r="G2092" s="3" t="s">
        <v>10003</v>
      </c>
      <c r="H2092" s="4" t="str">
        <f>_xlfn.IFNA(IF(((INDEX(RulebookFields!C2:C1898, MATCH(D2092,RulebookFields!A2:A1898, 0))="")=TRUE),  "",  INDEX(RulebookFields!C2:C1898, MATCH(D2092,RulebookFields!A2:A1898, 0))), "")</f>
        <v>Attestations</v>
      </c>
      <c r="I2092" s="4" t="str">
        <f>_xlfn.IFNA(IF(((INDEX(RulebookFields!D2:D1898, MATCH(D2092,RulebookFields!A2:A1898, 0))="")=TRUE),  "",  INDEX(RulebookFields!D2:D1898, MATCH(D2092,RulebookFields!A2:A1898, 0))), "")</f>
        <v>AssuranceGradeNow</v>
      </c>
      <c r="J2092" s="4" t="b">
        <f>_xlfn.IFNA(IF(((INDEX(RulebookFields!I2:I1898, MATCH(D2092,RulebookFields!A2:A1898, 0))="")=TRUE),  "",  INDEX(RulebookFields!I2:I1898, MATCH(D2092,RulebookFields!A2:A1898, 0))), "")</f>
        <v>1</v>
      </c>
      <c r="K2092" s="4" t="b">
        <f>AND(((F2092)=TRUE), ((J2092)=TRUE))</f>
        <v>0</v>
      </c>
      <c r="L2092" s="4" t="b">
        <f>AND(((G2092 &lt;&gt; "plain")=TRUE), ((G2092 &lt;&gt; "")=TRUE))</f>
        <v>0</v>
      </c>
      <c r="M2092" s="4" t="str">
        <f>IF(((E2092)=TRUE),  C2092 &amp; "|" &amp; H2092,  "")</f>
        <v>principal-knowledge-authority|Attestations</v>
      </c>
      <c r="N2092" s="3" t="s">
        <v>10004</v>
      </c>
    </row>
    <row r="2093">
      <c r="A2093" s="3" t="s">
        <v>12095</v>
      </c>
      <c r="B2093" s="4" t="str">
        <f>C2093 &amp; " -&gt; " &amp; D2093</f>
        <v>principal-knowledge-authority -&gt; Attestations.AssuranceGradeHasDrifted</v>
      </c>
      <c r="C2093" s="3" t="s">
        <v>9774</v>
      </c>
      <c r="D2093" s="3" t="s">
        <v>5257</v>
      </c>
      <c r="E2093" s="3" t="b">
        <v>1</v>
      </c>
      <c r="F2093" s="3" t="b">
        <v>0</v>
      </c>
      <c r="G2093" s="3" t="s">
        <v>10003</v>
      </c>
      <c r="H2093" s="4" t="str">
        <f>_xlfn.IFNA(IF(((INDEX(RulebookFields!C2:C1898, MATCH(D2093,RulebookFields!A2:A1898, 0))="")=TRUE),  "",  INDEX(RulebookFields!C2:C1898, MATCH(D2093,RulebookFields!A2:A1898, 0))), "")</f>
        <v>Attestations</v>
      </c>
      <c r="I2093" s="4" t="str">
        <f>_xlfn.IFNA(IF(((INDEX(RulebookFields!D2:D1898, MATCH(D2093,RulebookFields!A2:A1898, 0))="")=TRUE),  "",  INDEX(RulebookFields!D2:D1898, MATCH(D2093,RulebookFields!A2:A1898, 0))), "")</f>
        <v>AssuranceGradeHasDrifted</v>
      </c>
      <c r="J2093" s="4" t="b">
        <f>_xlfn.IFNA(IF(((INDEX(RulebookFields!I2:I1898, MATCH(D2093,RulebookFields!A2:A1898, 0))="")=TRUE),  "",  INDEX(RulebookFields!I2:I1898, MATCH(D2093,RulebookFields!A2:A1898, 0))), "")</f>
        <v>1</v>
      </c>
      <c r="K2093" s="4" t="b">
        <f>AND(((F2093)=TRUE), ((J2093)=TRUE))</f>
        <v>0</v>
      </c>
      <c r="L2093" s="4" t="b">
        <f>AND(((G2093 &lt;&gt; "plain")=TRUE), ((G2093 &lt;&gt; "")=TRUE))</f>
        <v>0</v>
      </c>
      <c r="M2093" s="4" t="str">
        <f>IF(((E2093)=TRUE),  C2093 &amp; "|" &amp; H2093,  "")</f>
        <v>principal-knowledge-authority|Attestations</v>
      </c>
      <c r="N2093" s="3" t="s">
        <v>10004</v>
      </c>
    </row>
    <row r="2094">
      <c r="A2094" s="3" t="s">
        <v>12096</v>
      </c>
      <c r="B2094" s="4" t="str">
        <f>C2094 &amp; " -&gt; " &amp; D2094</f>
        <v>principal-knowledge-authority -&gt; Attestations.WouldNotSurviveRestatement</v>
      </c>
      <c r="C2094" s="3" t="s">
        <v>9774</v>
      </c>
      <c r="D2094" s="3" t="s">
        <v>5260</v>
      </c>
      <c r="E2094" s="3" t="b">
        <v>1</v>
      </c>
      <c r="F2094" s="3" t="b">
        <v>0</v>
      </c>
      <c r="G2094" s="3" t="s">
        <v>10003</v>
      </c>
      <c r="H2094" s="4" t="str">
        <f>_xlfn.IFNA(IF(((INDEX(RulebookFields!C2:C1898, MATCH(D2094,RulebookFields!A2:A1898, 0))="")=TRUE),  "",  INDEX(RulebookFields!C2:C1898, MATCH(D2094,RulebookFields!A2:A1898, 0))), "")</f>
        <v>Attestations</v>
      </c>
      <c r="I2094" s="4" t="str">
        <f>_xlfn.IFNA(IF(((INDEX(RulebookFields!D2:D1898, MATCH(D2094,RulebookFields!A2:A1898, 0))="")=TRUE),  "",  INDEX(RulebookFields!D2:D1898, MATCH(D2094,RulebookFields!A2:A1898, 0))), "")</f>
        <v>WouldNotSurviveRestatement</v>
      </c>
      <c r="J2094" s="4" t="b">
        <f>_xlfn.IFNA(IF(((INDEX(RulebookFields!I2:I1898, MATCH(D2094,RulebookFields!A2:A1898, 0))="")=TRUE),  "",  INDEX(RulebookFields!I2:I1898, MATCH(D2094,RulebookFields!A2:A1898, 0))), "")</f>
        <v>1</v>
      </c>
      <c r="K2094" s="4" t="b">
        <f>AND(((F2094)=TRUE), ((J2094)=TRUE))</f>
        <v>0</v>
      </c>
      <c r="L2094" s="4" t="b">
        <f>AND(((G2094 &lt;&gt; "plain")=TRUE), ((G2094 &lt;&gt; "")=TRUE))</f>
        <v>0</v>
      </c>
      <c r="M2094" s="4" t="str">
        <f>IF(((E2094)=TRUE),  C2094 &amp; "|" &amp; H2094,  "")</f>
        <v>principal-knowledge-authority|Attestations</v>
      </c>
      <c r="N2094" s="3" t="s">
        <v>10004</v>
      </c>
    </row>
    <row r="2095">
      <c r="A2095" s="3" t="s">
        <v>12097</v>
      </c>
      <c r="B2095" s="4" t="str">
        <f>C2095 &amp; " -&gt; " &amp; D2095</f>
        <v>principal-knowledge-authority -&gt; AuthorityBoundaries.AuthorityBoundaryId</v>
      </c>
      <c r="C2095" s="3" t="s">
        <v>9774</v>
      </c>
      <c r="D2095" s="3" t="s">
        <v>5130</v>
      </c>
      <c r="E2095" s="3" t="b">
        <v>1</v>
      </c>
      <c r="F2095" s="3" t="b">
        <v>0</v>
      </c>
      <c r="G2095" s="3" t="s">
        <v>10003</v>
      </c>
      <c r="H2095" s="4" t="str">
        <f>_xlfn.IFNA(IF(((INDEX(RulebookFields!C2:C1898, MATCH(D2095,RulebookFields!A2:A1898, 0))="")=TRUE),  "",  INDEX(RulebookFields!C2:C1898, MATCH(D2095,RulebookFields!A2:A1898, 0))), "")</f>
        <v>AuthorityBoundaries</v>
      </c>
      <c r="I2095" s="4" t="str">
        <f>_xlfn.IFNA(IF(((INDEX(RulebookFields!D2:D1898, MATCH(D2095,RulebookFields!A2:A1898, 0))="")=TRUE),  "",  INDEX(RulebookFields!D2:D1898, MATCH(D2095,RulebookFields!A2:A1898, 0))), "")</f>
        <v>AuthorityBoundaryId</v>
      </c>
      <c r="J2095" s="4" t="b">
        <f>_xlfn.IFNA(IF(((INDEX(RulebookFields!I2:I1898, MATCH(D2095,RulebookFields!A2:A1898, 0))="")=TRUE),  "",  INDEX(RulebookFields!I2:I1898, MATCH(D2095,RulebookFields!A2:A1898, 0))), "")</f>
        <v>0</v>
      </c>
      <c r="K2095" s="4" t="b">
        <f>AND(((F2095)=TRUE), ((J2095)=TRUE))</f>
        <v>0</v>
      </c>
      <c r="L2095" s="4" t="b">
        <f>AND(((G2095 &lt;&gt; "plain")=TRUE), ((G2095 &lt;&gt; "")=TRUE))</f>
        <v>0</v>
      </c>
      <c r="M2095" s="4" t="str">
        <f>IF(((E2095)=TRUE),  C2095 &amp; "|" &amp; H2095,  "")</f>
        <v>principal-knowledge-authority|AuthorityBoundaries</v>
      </c>
      <c r="N2095" s="3" t="s">
        <v>10004</v>
      </c>
    </row>
    <row r="2096">
      <c r="A2096" s="3" t="s">
        <v>12098</v>
      </c>
      <c r="B2096" s="4" t="str">
        <f>C2096 &amp; " -&gt; " &amp; D2096</f>
        <v>principal-knowledge-authority -&gt; AuthorityBoundaries.Name</v>
      </c>
      <c r="C2096" s="3" t="s">
        <v>9774</v>
      </c>
      <c r="D2096" s="3" t="s">
        <v>5133</v>
      </c>
      <c r="E2096" s="3" t="b">
        <v>1</v>
      </c>
      <c r="F2096" s="3" t="b">
        <v>0</v>
      </c>
      <c r="G2096" s="3" t="s">
        <v>10003</v>
      </c>
      <c r="H2096" s="4" t="str">
        <f>_xlfn.IFNA(IF(((INDEX(RulebookFields!C2:C1898, MATCH(D2096,RulebookFields!A2:A1898, 0))="")=TRUE),  "",  INDEX(RulebookFields!C2:C1898, MATCH(D2096,RulebookFields!A2:A1898, 0))), "")</f>
        <v>AuthorityBoundaries</v>
      </c>
      <c r="I2096" s="4" t="str">
        <f>_xlfn.IFNA(IF(((INDEX(RulebookFields!D2:D1898, MATCH(D2096,RulebookFields!A2:A1898, 0))="")=TRUE),  "",  INDEX(RulebookFields!D2:D1898, MATCH(D2096,RulebookFields!A2:A1898, 0))), "")</f>
        <v>Name</v>
      </c>
      <c r="J2096" s="4" t="b">
        <f>_xlfn.IFNA(IF(((INDEX(RulebookFields!I2:I1898, MATCH(D2096,RulebookFields!A2:A1898, 0))="")=TRUE),  "",  INDEX(RulebookFields!I2:I1898, MATCH(D2096,RulebookFields!A2:A1898, 0))), "")</f>
        <v>1</v>
      </c>
      <c r="K2096" s="4" t="b">
        <f>AND(((F2096)=TRUE), ((J2096)=TRUE))</f>
        <v>0</v>
      </c>
      <c r="L2096" s="4" t="b">
        <f>AND(((G2096 &lt;&gt; "plain")=TRUE), ((G2096 &lt;&gt; "")=TRUE))</f>
        <v>0</v>
      </c>
      <c r="M2096" s="4" t="str">
        <f>IF(((E2096)=TRUE),  C2096 &amp; "|" &amp; H2096,  "")</f>
        <v>principal-knowledge-authority|AuthorityBoundaries</v>
      </c>
      <c r="N2096" s="3" t="s">
        <v>10004</v>
      </c>
    </row>
    <row r="2097">
      <c r="A2097" s="3" t="s">
        <v>12099</v>
      </c>
      <c r="B2097" s="4" t="str">
        <f>C2097 &amp; " -&gt; " &amp; D2097</f>
        <v>principal-knowledge-authority -&gt; AuthorityBoundaries.Step</v>
      </c>
      <c r="C2097" s="3" t="s">
        <v>9774</v>
      </c>
      <c r="D2097" s="3" t="s">
        <v>5135</v>
      </c>
      <c r="E2097" s="3" t="b">
        <v>1</v>
      </c>
      <c r="F2097" s="3" t="b">
        <v>0</v>
      </c>
      <c r="G2097" s="3" t="s">
        <v>10003</v>
      </c>
      <c r="H2097" s="4" t="str">
        <f>_xlfn.IFNA(IF(((INDEX(RulebookFields!C2:C1898, MATCH(D2097,RulebookFields!A2:A1898, 0))="")=TRUE),  "",  INDEX(RulebookFields!C2:C1898, MATCH(D2097,RulebookFields!A2:A1898, 0))), "")</f>
        <v>AuthorityBoundaries</v>
      </c>
      <c r="I2097" s="4" t="str">
        <f>_xlfn.IFNA(IF(((INDEX(RulebookFields!D2:D1898, MATCH(D2097,RulebookFields!A2:A1898, 0))="")=TRUE),  "",  INDEX(RulebookFields!D2:D1898, MATCH(D2097,RulebookFields!A2:A1898, 0))), "")</f>
        <v>Step</v>
      </c>
      <c r="J2097" s="4" t="b">
        <f>_xlfn.IFNA(IF(((INDEX(RulebookFields!I2:I1898, MATCH(D2097,RulebookFields!A2:A1898, 0))="")=TRUE),  "",  INDEX(RulebookFields!I2:I1898, MATCH(D2097,RulebookFields!A2:A1898, 0))), "")</f>
        <v>0</v>
      </c>
      <c r="K2097" s="4" t="b">
        <f>AND(((F2097)=TRUE), ((J2097)=TRUE))</f>
        <v>0</v>
      </c>
      <c r="L2097" s="4" t="b">
        <f>AND(((G2097 &lt;&gt; "plain")=TRUE), ((G2097 &lt;&gt; "")=TRUE))</f>
        <v>0</v>
      </c>
      <c r="M2097" s="4" t="str">
        <f>IF(((E2097)=TRUE),  C2097 &amp; "|" &amp; H2097,  "")</f>
        <v>principal-knowledge-authority|AuthorityBoundaries</v>
      </c>
      <c r="N2097" s="3" t="s">
        <v>10004</v>
      </c>
    </row>
    <row r="2098">
      <c r="A2098" s="3" t="s">
        <v>12100</v>
      </c>
      <c r="B2098" s="4" t="str">
        <f>C2098 &amp; " -&gt; " &amp; D2098</f>
        <v>principal-knowledge-authority -&gt; AuthorityBoundaries.ForbiddenAgentKind</v>
      </c>
      <c r="C2098" s="3" t="s">
        <v>9774</v>
      </c>
      <c r="D2098" s="3" t="s">
        <v>5136</v>
      </c>
      <c r="E2098" s="3" t="b">
        <v>1</v>
      </c>
      <c r="F2098" s="3" t="b">
        <v>0</v>
      </c>
      <c r="G2098" s="3" t="s">
        <v>10003</v>
      </c>
      <c r="H2098" s="4" t="str">
        <f>_xlfn.IFNA(IF(((INDEX(RulebookFields!C2:C1898, MATCH(D2098,RulebookFields!A2:A1898, 0))="")=TRUE),  "",  INDEX(RulebookFields!C2:C1898, MATCH(D2098,RulebookFields!A2:A1898, 0))), "")</f>
        <v>AuthorityBoundaries</v>
      </c>
      <c r="I2098" s="4" t="str">
        <f>_xlfn.IFNA(IF(((INDEX(RulebookFields!D2:D1898, MATCH(D2098,RulebookFields!A2:A1898, 0))="")=TRUE),  "",  INDEX(RulebookFields!D2:D1898, MATCH(D2098,RulebookFields!A2:A1898, 0))), "")</f>
        <v>ForbiddenAgentKind</v>
      </c>
      <c r="J2098" s="4" t="b">
        <f>_xlfn.IFNA(IF(((INDEX(RulebookFields!I2:I1898, MATCH(D2098,RulebookFields!A2:A1898, 0))="")=TRUE),  "",  INDEX(RulebookFields!I2:I1898, MATCH(D2098,RulebookFields!A2:A1898, 0))), "")</f>
        <v>0</v>
      </c>
      <c r="K2098" s="4" t="b">
        <f>AND(((F2098)=TRUE), ((J2098)=TRUE))</f>
        <v>0</v>
      </c>
      <c r="L2098" s="4" t="b">
        <f>AND(((G2098 &lt;&gt; "plain")=TRUE), ((G2098 &lt;&gt; "")=TRUE))</f>
        <v>0</v>
      </c>
      <c r="M2098" s="4" t="str">
        <f>IF(((E2098)=TRUE),  C2098 &amp; "|" &amp; H2098,  "")</f>
        <v>principal-knowledge-authority|AuthorityBoundaries</v>
      </c>
      <c r="N2098" s="3" t="s">
        <v>10004</v>
      </c>
    </row>
    <row r="2099">
      <c r="A2099" s="3" t="s">
        <v>12101</v>
      </c>
      <c r="B2099" s="4" t="str">
        <f>C2099 &amp; " -&gt; " &amp; D2099</f>
        <v>principal-knowledge-authority -&gt; AuthorityBoundaries.ForbiddenDecisionKind</v>
      </c>
      <c r="C2099" s="3" t="s">
        <v>9774</v>
      </c>
      <c r="D2099" s="3" t="s">
        <v>5138</v>
      </c>
      <c r="E2099" s="3" t="b">
        <v>1</v>
      </c>
      <c r="F2099" s="3" t="b">
        <v>0</v>
      </c>
      <c r="G2099" s="3" t="s">
        <v>10003</v>
      </c>
      <c r="H2099" s="4" t="str">
        <f>_xlfn.IFNA(IF(((INDEX(RulebookFields!C2:C1898, MATCH(D2099,RulebookFields!A2:A1898, 0))="")=TRUE),  "",  INDEX(RulebookFields!C2:C1898, MATCH(D2099,RulebookFields!A2:A1898, 0))), "")</f>
        <v>AuthorityBoundaries</v>
      </c>
      <c r="I2099" s="4" t="str">
        <f>_xlfn.IFNA(IF(((INDEX(RulebookFields!D2:D1898, MATCH(D2099,RulebookFields!A2:A1898, 0))="")=TRUE),  "",  INDEX(RulebookFields!D2:D1898, MATCH(D2099,RulebookFields!A2:A1898, 0))), "")</f>
        <v>ForbiddenDecisionKind</v>
      </c>
      <c r="J2099" s="4" t="b">
        <f>_xlfn.IFNA(IF(((INDEX(RulebookFields!I2:I1898, MATCH(D2099,RulebookFields!A2:A1898, 0))="")=TRUE),  "",  INDEX(RulebookFields!I2:I1898, MATCH(D2099,RulebookFields!A2:A1898, 0))), "")</f>
        <v>0</v>
      </c>
      <c r="K2099" s="4" t="b">
        <f>AND(((F2099)=TRUE), ((J2099)=TRUE))</f>
        <v>0</v>
      </c>
      <c r="L2099" s="4" t="b">
        <f>AND(((G2099 &lt;&gt; "plain")=TRUE), ((G2099 &lt;&gt; "")=TRUE))</f>
        <v>0</v>
      </c>
      <c r="M2099" s="4" t="str">
        <f>IF(((E2099)=TRUE),  C2099 &amp; "|" &amp; H2099,  "")</f>
        <v>principal-knowledge-authority|AuthorityBoundaries</v>
      </c>
      <c r="N2099" s="3" t="s">
        <v>10004</v>
      </c>
    </row>
    <row r="2100">
      <c r="A2100" s="3" t="s">
        <v>12102</v>
      </c>
      <c r="B2100" s="4" t="str">
        <f>C2100 &amp; " -&gt; " &amp; D2100</f>
        <v>principal-knowledge-authority -&gt; AuthorityBoundaries.RatifiedByKnowledgeFragment</v>
      </c>
      <c r="C2100" s="3" t="s">
        <v>9774</v>
      </c>
      <c r="D2100" s="3" t="s">
        <v>5140</v>
      </c>
      <c r="E2100" s="3" t="b">
        <v>1</v>
      </c>
      <c r="F2100" s="3" t="b">
        <v>0</v>
      </c>
      <c r="G2100" s="3" t="s">
        <v>10003</v>
      </c>
      <c r="H2100" s="4" t="str">
        <f>_xlfn.IFNA(IF(((INDEX(RulebookFields!C2:C1898, MATCH(D2100,RulebookFields!A2:A1898, 0))="")=TRUE),  "",  INDEX(RulebookFields!C2:C1898, MATCH(D2100,RulebookFields!A2:A1898, 0))), "")</f>
        <v>AuthorityBoundaries</v>
      </c>
      <c r="I2100" s="4" t="str">
        <f>_xlfn.IFNA(IF(((INDEX(RulebookFields!D2:D1898, MATCH(D2100,RulebookFields!A2:A1898, 0))="")=TRUE),  "",  INDEX(RulebookFields!D2:D1898, MATCH(D2100,RulebookFields!A2:A1898, 0))), "")</f>
        <v>RatifiedByKnowledgeFragment</v>
      </c>
      <c r="J2100" s="4" t="b">
        <f>_xlfn.IFNA(IF(((INDEX(RulebookFields!I2:I1898, MATCH(D2100,RulebookFields!A2:A1898, 0))="")=TRUE),  "",  INDEX(RulebookFields!I2:I1898, MATCH(D2100,RulebookFields!A2:A1898, 0))), "")</f>
        <v>0</v>
      </c>
      <c r="K2100" s="4" t="b">
        <f>AND(((F2100)=TRUE), ((J2100)=TRUE))</f>
        <v>0</v>
      </c>
      <c r="L2100" s="4" t="b">
        <f>AND(((G2100 &lt;&gt; "plain")=TRUE), ((G2100 &lt;&gt; "")=TRUE))</f>
        <v>0</v>
      </c>
      <c r="M2100" s="4" t="str">
        <f>IF(((E2100)=TRUE),  C2100 &amp; "|" &amp; H2100,  "")</f>
        <v>principal-knowledge-authority|AuthorityBoundaries</v>
      </c>
      <c r="N2100" s="3" t="s">
        <v>10004</v>
      </c>
    </row>
    <row r="2101">
      <c r="A2101" s="3" t="s">
        <v>12103</v>
      </c>
      <c r="B2101" s="4" t="str">
        <f>C2101 &amp; " -&gt; " &amp; D2101</f>
        <v>principal-knowledge-authority -&gt; AuthorityBoundaries.EnforcingRequirement</v>
      </c>
      <c r="C2101" s="3" t="s">
        <v>9774</v>
      </c>
      <c r="D2101" s="3" t="s">
        <v>5142</v>
      </c>
      <c r="E2101" s="3" t="b">
        <v>1</v>
      </c>
      <c r="F2101" s="3" t="b">
        <v>0</v>
      </c>
      <c r="G2101" s="3" t="s">
        <v>10003</v>
      </c>
      <c r="H2101" s="4" t="str">
        <f>_xlfn.IFNA(IF(((INDEX(RulebookFields!C2:C1898, MATCH(D2101,RulebookFields!A2:A1898, 0))="")=TRUE),  "",  INDEX(RulebookFields!C2:C1898, MATCH(D2101,RulebookFields!A2:A1898, 0))), "")</f>
        <v>AuthorityBoundaries</v>
      </c>
      <c r="I2101" s="4" t="str">
        <f>_xlfn.IFNA(IF(((INDEX(RulebookFields!D2:D1898, MATCH(D2101,RulebookFields!A2:A1898, 0))="")=TRUE),  "",  INDEX(RulebookFields!D2:D1898, MATCH(D2101,RulebookFields!A2:A1898, 0))), "")</f>
        <v>EnforcingRequirement</v>
      </c>
      <c r="J2101" s="4" t="b">
        <f>_xlfn.IFNA(IF(((INDEX(RulebookFields!I2:I1898, MATCH(D2101,RulebookFields!A2:A1898, 0))="")=TRUE),  "",  INDEX(RulebookFields!I2:I1898, MATCH(D2101,RulebookFields!A2:A1898, 0))), "")</f>
        <v>0</v>
      </c>
      <c r="K2101" s="4" t="b">
        <f>AND(((F2101)=TRUE), ((J2101)=TRUE))</f>
        <v>0</v>
      </c>
      <c r="L2101" s="4" t="b">
        <f>AND(((G2101 &lt;&gt; "plain")=TRUE), ((G2101 &lt;&gt; "")=TRUE))</f>
        <v>0</v>
      </c>
      <c r="M2101" s="4" t="str">
        <f>IF(((E2101)=TRUE),  C2101 &amp; "|" &amp; H2101,  "")</f>
        <v>principal-knowledge-authority|AuthorityBoundaries</v>
      </c>
      <c r="N2101" s="3" t="s">
        <v>10004</v>
      </c>
    </row>
    <row r="2102">
      <c r="A2102" s="3" t="s">
        <v>12104</v>
      </c>
      <c r="B2102" s="4" t="str">
        <f>C2102 &amp; " -&gt; " &amp; D2102</f>
        <v>principal-knowledge-authority -&gt; AuthorityBoundaries.AuthorityRole</v>
      </c>
      <c r="C2102" s="3" t="s">
        <v>9774</v>
      </c>
      <c r="D2102" s="3" t="s">
        <v>5144</v>
      </c>
      <c r="E2102" s="3" t="b">
        <v>1</v>
      </c>
      <c r="F2102" s="3" t="b">
        <v>0</v>
      </c>
      <c r="G2102" s="3" t="s">
        <v>10003</v>
      </c>
      <c r="H2102" s="4" t="str">
        <f>_xlfn.IFNA(IF(((INDEX(RulebookFields!C2:C1898, MATCH(D2102,RulebookFields!A2:A1898, 0))="")=TRUE),  "",  INDEX(RulebookFields!C2:C1898, MATCH(D2102,RulebookFields!A2:A1898, 0))), "")</f>
        <v>AuthorityBoundaries</v>
      </c>
      <c r="I2102" s="4" t="str">
        <f>_xlfn.IFNA(IF(((INDEX(RulebookFields!D2:D1898, MATCH(D2102,RulebookFields!A2:A1898, 0))="")=TRUE),  "",  INDEX(RulebookFields!D2:D1898, MATCH(D2102,RulebookFields!A2:A1898, 0))), "")</f>
        <v>AuthorityRole</v>
      </c>
      <c r="J2102" s="4" t="b">
        <f>_xlfn.IFNA(IF(((INDEX(RulebookFields!I2:I1898, MATCH(D2102,RulebookFields!A2:A1898, 0))="")=TRUE),  "",  INDEX(RulebookFields!I2:I1898, MATCH(D2102,RulebookFields!A2:A1898, 0))), "")</f>
        <v>0</v>
      </c>
      <c r="K2102" s="4" t="b">
        <f>AND(((F2102)=TRUE), ((J2102)=TRUE))</f>
        <v>0</v>
      </c>
      <c r="L2102" s="4" t="b">
        <f>AND(((G2102 &lt;&gt; "plain")=TRUE), ((G2102 &lt;&gt; "")=TRUE))</f>
        <v>0</v>
      </c>
      <c r="M2102" s="4" t="str">
        <f>IF(((E2102)=TRUE),  C2102 &amp; "|" &amp; H2102,  "")</f>
        <v>principal-knowledge-authority|AuthorityBoundaries</v>
      </c>
      <c r="N2102" s="3" t="s">
        <v>10004</v>
      </c>
    </row>
    <row r="2103">
      <c r="A2103" s="3" t="s">
        <v>12105</v>
      </c>
      <c r="B2103" s="4" t="str">
        <f>C2103 &amp; " -&gt; " &amp; D2103</f>
        <v>principal-knowledge-authority -&gt; AuthorityBoundaries.ValidFrom</v>
      </c>
      <c r="C2103" s="3" t="s">
        <v>9774</v>
      </c>
      <c r="D2103" s="3" t="s">
        <v>5145</v>
      </c>
      <c r="E2103" s="3" t="b">
        <v>1</v>
      </c>
      <c r="F2103" s="3" t="b">
        <v>0</v>
      </c>
      <c r="G2103" s="3" t="s">
        <v>10003</v>
      </c>
      <c r="H2103" s="4" t="str">
        <f>_xlfn.IFNA(IF(((INDEX(RulebookFields!C2:C1898, MATCH(D2103,RulebookFields!A2:A1898, 0))="")=TRUE),  "",  INDEX(RulebookFields!C2:C1898, MATCH(D2103,RulebookFields!A2:A1898, 0))), "")</f>
        <v>AuthorityBoundaries</v>
      </c>
      <c r="I2103" s="4" t="str">
        <f>_xlfn.IFNA(IF(((INDEX(RulebookFields!D2:D1898, MATCH(D2103,RulebookFields!A2:A1898, 0))="")=TRUE),  "",  INDEX(RulebookFields!D2:D1898, MATCH(D2103,RulebookFields!A2:A1898, 0))), "")</f>
        <v>ValidFrom</v>
      </c>
      <c r="J2103" s="4" t="b">
        <f>_xlfn.IFNA(IF(((INDEX(RulebookFields!I2:I1898, MATCH(D2103,RulebookFields!A2:A1898, 0))="")=TRUE),  "",  INDEX(RulebookFields!I2:I1898, MATCH(D2103,RulebookFields!A2:A1898, 0))), "")</f>
        <v>0</v>
      </c>
      <c r="K2103" s="4" t="b">
        <f>AND(((F2103)=TRUE), ((J2103)=TRUE))</f>
        <v>0</v>
      </c>
      <c r="L2103" s="4" t="b">
        <f>AND(((G2103 &lt;&gt; "plain")=TRUE), ((G2103 &lt;&gt; "")=TRUE))</f>
        <v>0</v>
      </c>
      <c r="M2103" s="4" t="str">
        <f>IF(((E2103)=TRUE),  C2103 &amp; "|" &amp; H2103,  "")</f>
        <v>principal-knowledge-authority|AuthorityBoundaries</v>
      </c>
      <c r="N2103" s="3" t="s">
        <v>10004</v>
      </c>
    </row>
    <row r="2104">
      <c r="A2104" s="3" t="s">
        <v>12106</v>
      </c>
      <c r="B2104" s="4" t="str">
        <f>C2104 &amp; " -&gt; " &amp; D2104</f>
        <v>principal-knowledge-authority -&gt; AuthorityBoundaries.ValidTo</v>
      </c>
      <c r="C2104" s="3" t="s">
        <v>9774</v>
      </c>
      <c r="D2104" s="3" t="s">
        <v>5146</v>
      </c>
      <c r="E2104" s="3" t="b">
        <v>1</v>
      </c>
      <c r="F2104" s="3" t="b">
        <v>0</v>
      </c>
      <c r="G2104" s="3" t="s">
        <v>10003</v>
      </c>
      <c r="H2104" s="4" t="str">
        <f>_xlfn.IFNA(IF(((INDEX(RulebookFields!C2:C1898, MATCH(D2104,RulebookFields!A2:A1898, 0))="")=TRUE),  "",  INDEX(RulebookFields!C2:C1898, MATCH(D2104,RulebookFields!A2:A1898, 0))), "")</f>
        <v>AuthorityBoundaries</v>
      </c>
      <c r="I2104" s="4" t="str">
        <f>_xlfn.IFNA(IF(((INDEX(RulebookFields!D2:D1898, MATCH(D2104,RulebookFields!A2:A1898, 0))="")=TRUE),  "",  INDEX(RulebookFields!D2:D1898, MATCH(D2104,RulebookFields!A2:A1898, 0))), "")</f>
        <v>ValidTo</v>
      </c>
      <c r="J2104" s="4" t="b">
        <f>_xlfn.IFNA(IF(((INDEX(RulebookFields!I2:I1898, MATCH(D2104,RulebookFields!A2:A1898, 0))="")=TRUE),  "",  INDEX(RulebookFields!I2:I1898, MATCH(D2104,RulebookFields!A2:A1898, 0))), "")</f>
        <v>0</v>
      </c>
      <c r="K2104" s="4" t="b">
        <f>AND(((F2104)=TRUE), ((J2104)=TRUE))</f>
        <v>0</v>
      </c>
      <c r="L2104" s="4" t="b">
        <f>AND(((G2104 &lt;&gt; "plain")=TRUE), ((G2104 &lt;&gt; "")=TRUE))</f>
        <v>0</v>
      </c>
      <c r="M2104" s="4" t="str">
        <f>IF(((E2104)=TRUE),  C2104 &amp; "|" &amp; H2104,  "")</f>
        <v>principal-knowledge-authority|AuthorityBoundaries</v>
      </c>
      <c r="N2104" s="3" t="s">
        <v>10004</v>
      </c>
    </row>
    <row r="2105">
      <c r="A2105" s="3" t="s">
        <v>12107</v>
      </c>
      <c r="B2105" s="4" t="str">
        <f>C2105 &amp; " -&gt; " &amp; D2105</f>
        <v>principal-knowledge-authority -&gt; AuthorityBoundaries.Status</v>
      </c>
      <c r="C2105" s="3" t="s">
        <v>9774</v>
      </c>
      <c r="D2105" s="3" t="s">
        <v>5147</v>
      </c>
      <c r="E2105" s="3" t="b">
        <v>1</v>
      </c>
      <c r="F2105" s="3" t="b">
        <v>0</v>
      </c>
      <c r="G2105" s="3" t="s">
        <v>10003</v>
      </c>
      <c r="H2105" s="4" t="str">
        <f>_xlfn.IFNA(IF(((INDEX(RulebookFields!C2:C1898, MATCH(D2105,RulebookFields!A2:A1898, 0))="")=TRUE),  "",  INDEX(RulebookFields!C2:C1898, MATCH(D2105,RulebookFields!A2:A1898, 0))), "")</f>
        <v>AuthorityBoundaries</v>
      </c>
      <c r="I2105" s="4" t="str">
        <f>_xlfn.IFNA(IF(((INDEX(RulebookFields!D2:D1898, MATCH(D2105,RulebookFields!A2:A1898, 0))="")=TRUE),  "",  INDEX(RulebookFields!D2:D1898, MATCH(D2105,RulebookFields!A2:A1898, 0))), "")</f>
        <v>Status</v>
      </c>
      <c r="J2105" s="4" t="b">
        <f>_xlfn.IFNA(IF(((INDEX(RulebookFields!I2:I1898, MATCH(D2105,RulebookFields!A2:A1898, 0))="")=TRUE),  "",  INDEX(RulebookFields!I2:I1898, MATCH(D2105,RulebookFields!A2:A1898, 0))), "")</f>
        <v>0</v>
      </c>
      <c r="K2105" s="4" t="b">
        <f>AND(((F2105)=TRUE), ((J2105)=TRUE))</f>
        <v>0</v>
      </c>
      <c r="L2105" s="4" t="b">
        <f>AND(((G2105 &lt;&gt; "plain")=TRUE), ((G2105 &lt;&gt; "")=TRUE))</f>
        <v>0</v>
      </c>
      <c r="M2105" s="4" t="str">
        <f>IF(((E2105)=TRUE),  C2105 &amp; "|" &amp; H2105,  "")</f>
        <v>principal-knowledge-authority|AuthorityBoundaries</v>
      </c>
      <c r="N2105" s="3" t="s">
        <v>10004</v>
      </c>
    </row>
    <row r="2106">
      <c r="A2106" s="3" t="s">
        <v>12108</v>
      </c>
      <c r="B2106" s="4" t="str">
        <f>C2106 &amp; " -&gt; " &amp; D2106</f>
        <v>principal-knowledge-authority -&gt; AuthorityBoundaries.EvaluationContext</v>
      </c>
      <c r="C2106" s="3" t="s">
        <v>9774</v>
      </c>
      <c r="D2106" s="3" t="s">
        <v>5148</v>
      </c>
      <c r="E2106" s="3" t="b">
        <v>1</v>
      </c>
      <c r="F2106" s="3" t="b">
        <v>0</v>
      </c>
      <c r="G2106" s="3" t="s">
        <v>10003</v>
      </c>
      <c r="H2106" s="4" t="str">
        <f>_xlfn.IFNA(IF(((INDEX(RulebookFields!C2:C1898, MATCH(D2106,RulebookFields!A2:A1898, 0))="")=TRUE),  "",  INDEX(RulebookFields!C2:C1898, MATCH(D2106,RulebookFields!A2:A1898, 0))), "")</f>
        <v>AuthorityBoundaries</v>
      </c>
      <c r="I2106" s="4" t="str">
        <f>_xlfn.IFNA(IF(((INDEX(RulebookFields!D2:D1898, MATCH(D2106,RulebookFields!A2:A1898, 0))="")=TRUE),  "",  INDEX(RulebookFields!D2:D1898, MATCH(D2106,RulebookFields!A2:A1898, 0))), "")</f>
        <v>EvaluationContext</v>
      </c>
      <c r="J2106" s="4" t="b">
        <f>_xlfn.IFNA(IF(((INDEX(RulebookFields!I2:I1898, MATCH(D2106,RulebookFields!A2:A1898, 0))="")=TRUE),  "",  INDEX(RulebookFields!I2:I1898, MATCH(D2106,RulebookFields!A2:A1898, 0))), "")</f>
        <v>0</v>
      </c>
      <c r="K2106" s="4" t="b">
        <f>AND(((F2106)=TRUE), ((J2106)=TRUE))</f>
        <v>0</v>
      </c>
      <c r="L2106" s="4" t="b">
        <f>AND(((G2106 &lt;&gt; "plain")=TRUE), ((G2106 &lt;&gt; "")=TRUE))</f>
        <v>0</v>
      </c>
      <c r="M2106" s="4" t="str">
        <f>IF(((E2106)=TRUE),  C2106 &amp; "|" &amp; H2106,  "")</f>
        <v>principal-knowledge-authority|AuthorityBoundaries</v>
      </c>
      <c r="N2106" s="3" t="s">
        <v>10004</v>
      </c>
    </row>
    <row r="2107">
      <c r="A2107" s="3" t="s">
        <v>12109</v>
      </c>
      <c r="B2107" s="4" t="str">
        <f>C2107 &amp; " -&gt; " &amp; D2107</f>
        <v>principal-knowledge-authority -&gt; AuthorityBoundaries.AsOfInstant</v>
      </c>
      <c r="C2107" s="3" t="s">
        <v>9774</v>
      </c>
      <c r="D2107" s="3" t="s">
        <v>5149</v>
      </c>
      <c r="E2107" s="3" t="b">
        <v>1</v>
      </c>
      <c r="F2107" s="3" t="b">
        <v>0</v>
      </c>
      <c r="G2107" s="3" t="s">
        <v>10003</v>
      </c>
      <c r="H2107" s="4" t="str">
        <f>_xlfn.IFNA(IF(((INDEX(RulebookFields!C2:C1898, MATCH(D2107,RulebookFields!A2:A1898, 0))="")=TRUE),  "",  INDEX(RulebookFields!C2:C1898, MATCH(D2107,RulebookFields!A2:A1898, 0))), "")</f>
        <v>AuthorityBoundaries</v>
      </c>
      <c r="I2107" s="4" t="str">
        <f>_xlfn.IFNA(IF(((INDEX(RulebookFields!D2:D1898, MATCH(D2107,RulebookFields!A2:A1898, 0))="")=TRUE),  "",  INDEX(RulebookFields!D2:D1898, MATCH(D2107,RulebookFields!A2:A1898, 0))), "")</f>
        <v>AsOfInstant</v>
      </c>
      <c r="J2107" s="4" t="b">
        <f>_xlfn.IFNA(IF(((INDEX(RulebookFields!I2:I1898, MATCH(D2107,RulebookFields!A2:A1898, 0))="")=TRUE),  "",  INDEX(RulebookFields!I2:I1898, MATCH(D2107,RulebookFields!A2:A1898, 0))), "")</f>
        <v>1</v>
      </c>
      <c r="K2107" s="4" t="b">
        <f>AND(((F2107)=TRUE), ((J2107)=TRUE))</f>
        <v>0</v>
      </c>
      <c r="L2107" s="4" t="b">
        <f>AND(((G2107 &lt;&gt; "plain")=TRUE), ((G2107 &lt;&gt; "")=TRUE))</f>
        <v>0</v>
      </c>
      <c r="M2107" s="4" t="str">
        <f>IF(((E2107)=TRUE),  C2107 &amp; "|" &amp; H2107,  "")</f>
        <v>principal-knowledge-authority|AuthorityBoundaries</v>
      </c>
      <c r="N2107" s="3" t="s">
        <v>10004</v>
      </c>
    </row>
    <row r="2108">
      <c r="A2108" s="3" t="s">
        <v>12110</v>
      </c>
      <c r="B2108" s="4" t="str">
        <f>C2108 &amp; " -&gt; " &amp; D2108</f>
        <v>principal-knowledge-authority -&gt; AuthorityBoundaries.IsCurrentlyBinding</v>
      </c>
      <c r="C2108" s="3" t="s">
        <v>9774</v>
      </c>
      <c r="D2108" s="3" t="s">
        <v>5150</v>
      </c>
      <c r="E2108" s="3" t="b">
        <v>1</v>
      </c>
      <c r="F2108" s="3" t="b">
        <v>0</v>
      </c>
      <c r="G2108" s="3" t="s">
        <v>10003</v>
      </c>
      <c r="H2108" s="4" t="str">
        <f>_xlfn.IFNA(IF(((INDEX(RulebookFields!C2:C1898, MATCH(D2108,RulebookFields!A2:A1898, 0))="")=TRUE),  "",  INDEX(RulebookFields!C2:C1898, MATCH(D2108,RulebookFields!A2:A1898, 0))), "")</f>
        <v>AuthorityBoundaries</v>
      </c>
      <c r="I2108" s="4" t="str">
        <f>_xlfn.IFNA(IF(((INDEX(RulebookFields!D2:D1898, MATCH(D2108,RulebookFields!A2:A1898, 0))="")=TRUE),  "",  INDEX(RulebookFields!D2:D1898, MATCH(D2108,RulebookFields!A2:A1898, 0))), "")</f>
        <v>IsCurrentlyBinding</v>
      </c>
      <c r="J2108" s="4" t="b">
        <f>_xlfn.IFNA(IF(((INDEX(RulebookFields!I2:I1898, MATCH(D2108,RulebookFields!A2:A1898, 0))="")=TRUE),  "",  INDEX(RulebookFields!I2:I1898, MATCH(D2108,RulebookFields!A2:A1898, 0))), "")</f>
        <v>1</v>
      </c>
      <c r="K2108" s="4" t="b">
        <f>AND(((F2108)=TRUE), ((J2108)=TRUE))</f>
        <v>0</v>
      </c>
      <c r="L2108" s="4" t="b">
        <f>AND(((G2108 &lt;&gt; "plain")=TRUE), ((G2108 &lt;&gt; "")=TRUE))</f>
        <v>0</v>
      </c>
      <c r="M2108" s="4" t="str">
        <f>IF(((E2108)=TRUE),  C2108 &amp; "|" &amp; H2108,  "")</f>
        <v>principal-knowledge-authority|AuthorityBoundaries</v>
      </c>
      <c r="N2108" s="3" t="s">
        <v>10004</v>
      </c>
    </row>
    <row r="2109">
      <c r="A2109" s="3" t="s">
        <v>12111</v>
      </c>
      <c r="B2109" s="4" t="str">
        <f>C2109 &amp; " -&gt; " &amp; D2109</f>
        <v>principal-knowledge-authority -&gt; AuthorityBoundaries.RatifyingFragmentIsValid</v>
      </c>
      <c r="C2109" s="3" t="s">
        <v>9774</v>
      </c>
      <c r="D2109" s="3" t="s">
        <v>5153</v>
      </c>
      <c r="E2109" s="3" t="b">
        <v>1</v>
      </c>
      <c r="F2109" s="3" t="b">
        <v>0</v>
      </c>
      <c r="G2109" s="3" t="s">
        <v>10003</v>
      </c>
      <c r="H2109" s="4" t="str">
        <f>_xlfn.IFNA(IF(((INDEX(RulebookFields!C2:C1898, MATCH(D2109,RulebookFields!A2:A1898, 0))="")=TRUE),  "",  INDEX(RulebookFields!C2:C1898, MATCH(D2109,RulebookFields!A2:A1898, 0))), "")</f>
        <v>AuthorityBoundaries</v>
      </c>
      <c r="I2109" s="4" t="str">
        <f>_xlfn.IFNA(IF(((INDEX(RulebookFields!D2:D1898, MATCH(D2109,RulebookFields!A2:A1898, 0))="")=TRUE),  "",  INDEX(RulebookFields!D2:D1898, MATCH(D2109,RulebookFields!A2:A1898, 0))), "")</f>
        <v>RatifyingFragmentIsValid</v>
      </c>
      <c r="J2109" s="4" t="b">
        <f>_xlfn.IFNA(IF(((INDEX(RulebookFields!I2:I1898, MATCH(D2109,RulebookFields!A2:A1898, 0))="")=TRUE),  "",  INDEX(RulebookFields!I2:I1898, MATCH(D2109,RulebookFields!A2:A1898, 0))), "")</f>
        <v>1</v>
      </c>
      <c r="K2109" s="4" t="b">
        <f>AND(((F2109)=TRUE), ((J2109)=TRUE))</f>
        <v>0</v>
      </c>
      <c r="L2109" s="4" t="b">
        <f>AND(((G2109 &lt;&gt; "plain")=TRUE), ((G2109 &lt;&gt; "")=TRUE))</f>
        <v>0</v>
      </c>
      <c r="M2109" s="4" t="str">
        <f>IF(((E2109)=TRUE),  C2109 &amp; "|" &amp; H2109,  "")</f>
        <v>principal-knowledge-authority|AuthorityBoundaries</v>
      </c>
      <c r="N2109" s="3" t="s">
        <v>10004</v>
      </c>
    </row>
    <row r="2110">
      <c r="A2110" s="3" t="s">
        <v>12112</v>
      </c>
      <c r="B2110" s="4" t="str">
        <f>C2110 &amp; " -&gt; " &amp; D2110</f>
        <v>principal-knowledge-authority -&gt; AuthorityBoundaries.StepWhenBinding</v>
      </c>
      <c r="C2110" s="3" t="s">
        <v>9774</v>
      </c>
      <c r="D2110" s="3" t="s">
        <v>5156</v>
      </c>
      <c r="E2110" s="3" t="b">
        <v>1</v>
      </c>
      <c r="F2110" s="3" t="b">
        <v>0</v>
      </c>
      <c r="G2110" s="3" t="s">
        <v>10003</v>
      </c>
      <c r="H2110" s="4" t="str">
        <f>_xlfn.IFNA(IF(((INDEX(RulebookFields!C2:C1898, MATCH(D2110,RulebookFields!A2:A1898, 0))="")=TRUE),  "",  INDEX(RulebookFields!C2:C1898, MATCH(D2110,RulebookFields!A2:A1898, 0))), "")</f>
        <v>AuthorityBoundaries</v>
      </c>
      <c r="I2110" s="4" t="str">
        <f>_xlfn.IFNA(IF(((INDEX(RulebookFields!D2:D1898, MATCH(D2110,RulebookFields!A2:A1898, 0))="")=TRUE),  "",  INDEX(RulebookFields!D2:D1898, MATCH(D2110,RulebookFields!A2:A1898, 0))), "")</f>
        <v>StepWhenBinding</v>
      </c>
      <c r="J2110" s="4" t="b">
        <f>_xlfn.IFNA(IF(((INDEX(RulebookFields!I2:I1898, MATCH(D2110,RulebookFields!A2:A1898, 0))="")=TRUE),  "",  INDEX(RulebookFields!I2:I1898, MATCH(D2110,RulebookFields!A2:A1898, 0))), "")</f>
        <v>1</v>
      </c>
      <c r="K2110" s="4" t="b">
        <f>AND(((F2110)=TRUE), ((J2110)=TRUE))</f>
        <v>0</v>
      </c>
      <c r="L2110" s="4" t="b">
        <f>AND(((G2110 &lt;&gt; "plain")=TRUE), ((G2110 &lt;&gt; "")=TRUE))</f>
        <v>0</v>
      </c>
      <c r="M2110" s="4" t="str">
        <f>IF(((E2110)=TRUE),  C2110 &amp; "|" &amp; H2110,  "")</f>
        <v>principal-knowledge-authority|AuthorityBoundaries</v>
      </c>
      <c r="N2110" s="3" t="s">
        <v>10004</v>
      </c>
    </row>
    <row r="2111">
      <c r="A2111" s="3" t="s">
        <v>12113</v>
      </c>
      <c r="B2111" s="4" t="str">
        <f>C2111 &amp; " -&gt; " &amp; D2111</f>
        <v>principal-knowledge-authority -&gt; AuthorityBoundaries.BoundaryMatchKey</v>
      </c>
      <c r="C2111" s="3" t="s">
        <v>9774</v>
      </c>
      <c r="D2111" s="3" t="s">
        <v>5159</v>
      </c>
      <c r="E2111" s="3" t="b">
        <v>1</v>
      </c>
      <c r="F2111" s="3" t="b">
        <v>0</v>
      </c>
      <c r="G2111" s="3" t="s">
        <v>10003</v>
      </c>
      <c r="H2111" s="4" t="str">
        <f>_xlfn.IFNA(IF(((INDEX(RulebookFields!C2:C1898, MATCH(D2111,RulebookFields!A2:A1898, 0))="")=TRUE),  "",  INDEX(RulebookFields!C2:C1898, MATCH(D2111,RulebookFields!A2:A1898, 0))), "")</f>
        <v>AuthorityBoundaries</v>
      </c>
      <c r="I2111" s="4" t="str">
        <f>_xlfn.IFNA(IF(((INDEX(RulebookFields!D2:D1898, MATCH(D2111,RulebookFields!A2:A1898, 0))="")=TRUE),  "",  INDEX(RulebookFields!D2:D1898, MATCH(D2111,RulebookFields!A2:A1898, 0))), "")</f>
        <v>BoundaryMatchKey</v>
      </c>
      <c r="J2111" s="4" t="b">
        <f>_xlfn.IFNA(IF(((INDEX(RulebookFields!I2:I1898, MATCH(D2111,RulebookFields!A2:A1898, 0))="")=TRUE),  "",  INDEX(RulebookFields!I2:I1898, MATCH(D2111,RulebookFields!A2:A1898, 0))), "")</f>
        <v>1</v>
      </c>
      <c r="K2111" s="4" t="b">
        <f>AND(((F2111)=TRUE), ((J2111)=TRUE))</f>
        <v>0</v>
      </c>
      <c r="L2111" s="4" t="b">
        <f>AND(((G2111 &lt;&gt; "plain")=TRUE), ((G2111 &lt;&gt; "")=TRUE))</f>
        <v>0</v>
      </c>
      <c r="M2111" s="4" t="str">
        <f>IF(((E2111)=TRUE),  C2111 &amp; "|" &amp; H2111,  "")</f>
        <v>principal-knowledge-authority|AuthorityBoundaries</v>
      </c>
      <c r="N2111" s="3" t="s">
        <v>10004</v>
      </c>
    </row>
    <row r="2112">
      <c r="A2112" s="3" t="s">
        <v>12114</v>
      </c>
      <c r="B2112" s="4" t="str">
        <f>C2112 &amp; " -&gt; " &amp; D2112</f>
        <v>principal-knowledge-authority -&gt; AuthorityBoundaries.ViolationCount</v>
      </c>
      <c r="C2112" s="3" t="s">
        <v>9774</v>
      </c>
      <c r="D2112" s="3" t="s">
        <v>5161</v>
      </c>
      <c r="E2112" s="3" t="b">
        <v>1</v>
      </c>
      <c r="F2112" s="3" t="b">
        <v>0</v>
      </c>
      <c r="G2112" s="3" t="s">
        <v>10003</v>
      </c>
      <c r="H2112" s="4" t="str">
        <f>_xlfn.IFNA(IF(((INDEX(RulebookFields!C2:C1898, MATCH(D2112,RulebookFields!A2:A1898, 0))="")=TRUE),  "",  INDEX(RulebookFields!C2:C1898, MATCH(D2112,RulebookFields!A2:A1898, 0))), "")</f>
        <v>AuthorityBoundaries</v>
      </c>
      <c r="I2112" s="4" t="str">
        <f>_xlfn.IFNA(IF(((INDEX(RulebookFields!D2:D1898, MATCH(D2112,RulebookFields!A2:A1898, 0))="")=TRUE),  "",  INDEX(RulebookFields!D2:D1898, MATCH(D2112,RulebookFields!A2:A1898, 0))), "")</f>
        <v>ViolationCount</v>
      </c>
      <c r="J2112" s="4" t="b">
        <f>_xlfn.IFNA(IF(((INDEX(RulebookFields!I2:I1898, MATCH(D2112,RulebookFields!A2:A1898, 0))="")=TRUE),  "",  INDEX(RulebookFields!I2:I1898, MATCH(D2112,RulebookFields!A2:A1898, 0))), "")</f>
        <v>1</v>
      </c>
      <c r="K2112" s="4" t="b">
        <f>AND(((F2112)=TRUE), ((J2112)=TRUE))</f>
        <v>0</v>
      </c>
      <c r="L2112" s="4" t="b">
        <f>AND(((G2112 &lt;&gt; "plain")=TRUE), ((G2112 &lt;&gt; "")=TRUE))</f>
        <v>0</v>
      </c>
      <c r="M2112" s="4" t="str">
        <f>IF(((E2112)=TRUE),  C2112 &amp; "|" &amp; H2112,  "")</f>
        <v>principal-knowledge-authority|AuthorityBoundaries</v>
      </c>
      <c r="N2112" s="3" t="s">
        <v>10004</v>
      </c>
    </row>
    <row r="2113">
      <c r="A2113" s="3" t="s">
        <v>12115</v>
      </c>
      <c r="B2113" s="4" t="str">
        <f>C2113 &amp; " -&gt; " &amp; D2113</f>
        <v>principal-knowledge-authority -&gt; AuthorityBoundaries.IsUntested</v>
      </c>
      <c r="C2113" s="3" t="s">
        <v>9774</v>
      </c>
      <c r="D2113" s="3" t="s">
        <v>5164</v>
      </c>
      <c r="E2113" s="3" t="b">
        <v>1</v>
      </c>
      <c r="F2113" s="3" t="b">
        <v>0</v>
      </c>
      <c r="G2113" s="3" t="s">
        <v>10003</v>
      </c>
      <c r="H2113" s="4" t="str">
        <f>_xlfn.IFNA(IF(((INDEX(RulebookFields!C2:C1898, MATCH(D2113,RulebookFields!A2:A1898, 0))="")=TRUE),  "",  INDEX(RulebookFields!C2:C1898, MATCH(D2113,RulebookFields!A2:A1898, 0))), "")</f>
        <v>AuthorityBoundaries</v>
      </c>
      <c r="I2113" s="4" t="str">
        <f>_xlfn.IFNA(IF(((INDEX(RulebookFields!D2:D1898, MATCH(D2113,RulebookFields!A2:A1898, 0))="")=TRUE),  "",  INDEX(RulebookFields!D2:D1898, MATCH(D2113,RulebookFields!A2:A1898, 0))), "")</f>
        <v>IsUntested</v>
      </c>
      <c r="J2113" s="4" t="b">
        <f>_xlfn.IFNA(IF(((INDEX(RulebookFields!I2:I1898, MATCH(D2113,RulebookFields!A2:A1898, 0))="")=TRUE),  "",  INDEX(RulebookFields!I2:I1898, MATCH(D2113,RulebookFields!A2:A1898, 0))), "")</f>
        <v>1</v>
      </c>
      <c r="K2113" s="4" t="b">
        <f>AND(((F2113)=TRUE), ((J2113)=TRUE))</f>
        <v>0</v>
      </c>
      <c r="L2113" s="4" t="b">
        <f>AND(((G2113 &lt;&gt; "plain")=TRUE), ((G2113 &lt;&gt; "")=TRUE))</f>
        <v>0</v>
      </c>
      <c r="M2113" s="4" t="str">
        <f>IF(((E2113)=TRUE),  C2113 &amp; "|" &amp; H2113,  "")</f>
        <v>principal-knowledge-authority|AuthorityBoundaries</v>
      </c>
      <c r="N2113" s="3" t="s">
        <v>10004</v>
      </c>
    </row>
    <row r="2114">
      <c r="A2114" s="3" t="s">
        <v>12116</v>
      </c>
      <c r="B2114" s="4" t="str">
        <f>C2114 &amp; " -&gt; " &amp; D2114</f>
        <v>principal-knowledge-authority -&gt; AuthorityBoundaries.HasRatifyingFragment</v>
      </c>
      <c r="C2114" s="3" t="s">
        <v>9774</v>
      </c>
      <c r="D2114" s="3" t="s">
        <v>5167</v>
      </c>
      <c r="E2114" s="3" t="b">
        <v>1</v>
      </c>
      <c r="F2114" s="3" t="b">
        <v>0</v>
      </c>
      <c r="G2114" s="3" t="s">
        <v>10003</v>
      </c>
      <c r="H2114" s="4" t="str">
        <f>_xlfn.IFNA(IF(((INDEX(RulebookFields!C2:C1898, MATCH(D2114,RulebookFields!A2:A1898, 0))="")=TRUE),  "",  INDEX(RulebookFields!C2:C1898, MATCH(D2114,RulebookFields!A2:A1898, 0))), "")</f>
        <v>AuthorityBoundaries</v>
      </c>
      <c r="I2114" s="4" t="str">
        <f>_xlfn.IFNA(IF(((INDEX(RulebookFields!D2:D1898, MATCH(D2114,RulebookFields!A2:A1898, 0))="")=TRUE),  "",  INDEX(RulebookFields!D2:D1898, MATCH(D2114,RulebookFields!A2:A1898, 0))), "")</f>
        <v>HasRatifyingFragment</v>
      </c>
      <c r="J2114" s="4" t="b">
        <f>_xlfn.IFNA(IF(((INDEX(RulebookFields!I2:I1898, MATCH(D2114,RulebookFields!A2:A1898, 0))="")=TRUE),  "",  INDEX(RulebookFields!I2:I1898, MATCH(D2114,RulebookFields!A2:A1898, 0))), "")</f>
        <v>1</v>
      </c>
      <c r="K2114" s="4" t="b">
        <f>AND(((F2114)=TRUE), ((J2114)=TRUE))</f>
        <v>0</v>
      </c>
      <c r="L2114" s="4" t="b">
        <f>AND(((G2114 &lt;&gt; "plain")=TRUE), ((G2114 &lt;&gt; "")=TRUE))</f>
        <v>0</v>
      </c>
      <c r="M2114" s="4" t="str">
        <f>IF(((E2114)=TRUE),  C2114 &amp; "|" &amp; H2114,  "")</f>
        <v>principal-knowledge-authority|AuthorityBoundaries</v>
      </c>
      <c r="N2114" s="3" t="s">
        <v>10004</v>
      </c>
    </row>
    <row r="2115">
      <c r="A2115" s="3" t="s">
        <v>12117</v>
      </c>
      <c r="B2115" s="4" t="str">
        <f>C2115 &amp; " -&gt; " &amp; D2115</f>
        <v>principal-knowledge-authority -&gt; AuthorityBoundaries.IsUnwarranted</v>
      </c>
      <c r="C2115" s="3" t="s">
        <v>9774</v>
      </c>
      <c r="D2115" s="3" t="s">
        <v>5170</v>
      </c>
      <c r="E2115" s="3" t="b">
        <v>1</v>
      </c>
      <c r="F2115" s="3" t="b">
        <v>0</v>
      </c>
      <c r="G2115" s="3" t="s">
        <v>10003</v>
      </c>
      <c r="H2115" s="4" t="str">
        <f>_xlfn.IFNA(IF(((INDEX(RulebookFields!C2:C1898, MATCH(D2115,RulebookFields!A2:A1898, 0))="")=TRUE),  "",  INDEX(RulebookFields!C2:C1898, MATCH(D2115,RulebookFields!A2:A1898, 0))), "")</f>
        <v>AuthorityBoundaries</v>
      </c>
      <c r="I2115" s="4" t="str">
        <f>_xlfn.IFNA(IF(((INDEX(RulebookFields!D2:D1898, MATCH(D2115,RulebookFields!A2:A1898, 0))="")=TRUE),  "",  INDEX(RulebookFields!D2:D1898, MATCH(D2115,RulebookFields!A2:A1898, 0))), "")</f>
        <v>IsUnwarranted</v>
      </c>
      <c r="J2115" s="4" t="b">
        <f>_xlfn.IFNA(IF(((INDEX(RulebookFields!I2:I1898, MATCH(D2115,RulebookFields!A2:A1898, 0))="")=TRUE),  "",  INDEX(RulebookFields!I2:I1898, MATCH(D2115,RulebookFields!A2:A1898, 0))), "")</f>
        <v>1</v>
      </c>
      <c r="K2115" s="4" t="b">
        <f>AND(((F2115)=TRUE), ((J2115)=TRUE))</f>
        <v>0</v>
      </c>
      <c r="L2115" s="4" t="b">
        <f>AND(((G2115 &lt;&gt; "plain")=TRUE), ((G2115 &lt;&gt; "")=TRUE))</f>
        <v>0</v>
      </c>
      <c r="M2115" s="4" t="str">
        <f>IF(((E2115)=TRUE),  C2115 &amp; "|" &amp; H2115,  "")</f>
        <v>principal-knowledge-authority|AuthorityBoundaries</v>
      </c>
      <c r="N2115" s="3" t="s">
        <v>10004</v>
      </c>
    </row>
    <row r="2116">
      <c r="A2116" s="3" t="s">
        <v>12118</v>
      </c>
      <c r="B2116" s="4" t="str">
        <f>C2116 &amp; " -&gt; " &amp; D2116</f>
        <v>principal-knowledge-authority -&gt; AuthorityBoundaries.RatifyingFragmentIsOverdue</v>
      </c>
      <c r="C2116" s="3" t="s">
        <v>9774</v>
      </c>
      <c r="D2116" s="3" t="s">
        <v>5173</v>
      </c>
      <c r="E2116" s="3" t="b">
        <v>1</v>
      </c>
      <c r="F2116" s="3" t="b">
        <v>0</v>
      </c>
      <c r="G2116" s="3" t="s">
        <v>10003</v>
      </c>
      <c r="H2116" s="4" t="str">
        <f>_xlfn.IFNA(IF(((INDEX(RulebookFields!C2:C1898, MATCH(D2116,RulebookFields!A2:A1898, 0))="")=TRUE),  "",  INDEX(RulebookFields!C2:C1898, MATCH(D2116,RulebookFields!A2:A1898, 0))), "")</f>
        <v>AuthorityBoundaries</v>
      </c>
      <c r="I2116" s="4" t="str">
        <f>_xlfn.IFNA(IF(((INDEX(RulebookFields!D2:D1898, MATCH(D2116,RulebookFields!A2:A1898, 0))="")=TRUE),  "",  INDEX(RulebookFields!D2:D1898, MATCH(D2116,RulebookFields!A2:A1898, 0))), "")</f>
        <v>RatifyingFragmentIsOverdue</v>
      </c>
      <c r="J2116" s="4" t="b">
        <f>_xlfn.IFNA(IF(((INDEX(RulebookFields!I2:I1898, MATCH(D2116,RulebookFields!A2:A1898, 0))="")=TRUE),  "",  INDEX(RulebookFields!I2:I1898, MATCH(D2116,RulebookFields!A2:A1898, 0))), "")</f>
        <v>1</v>
      </c>
      <c r="K2116" s="4" t="b">
        <f>AND(((F2116)=TRUE), ((J2116)=TRUE))</f>
        <v>0</v>
      </c>
      <c r="L2116" s="4" t="b">
        <f>AND(((G2116 &lt;&gt; "plain")=TRUE), ((G2116 &lt;&gt; "")=TRUE))</f>
        <v>0</v>
      </c>
      <c r="M2116" s="4" t="str">
        <f>IF(((E2116)=TRUE),  C2116 &amp; "|" &amp; H2116,  "")</f>
        <v>principal-knowledge-authority|AuthorityBoundaries</v>
      </c>
      <c r="N2116" s="3" t="s">
        <v>10004</v>
      </c>
    </row>
    <row r="2117">
      <c r="A2117" s="3" t="s">
        <v>12119</v>
      </c>
      <c r="B2117" s="4" t="str">
        <f>C2117 &amp; " -&gt; " &amp; D2117</f>
        <v>principal-knowledge-authority -&gt; AuthorityBoundaries.RatifyingFragmentIsSingleWitness</v>
      </c>
      <c r="C2117" s="3" t="s">
        <v>9774</v>
      </c>
      <c r="D2117" s="3" t="s">
        <v>5176</v>
      </c>
      <c r="E2117" s="3" t="b">
        <v>1</v>
      </c>
      <c r="F2117" s="3" t="b">
        <v>0</v>
      </c>
      <c r="G2117" s="3" t="s">
        <v>10003</v>
      </c>
      <c r="H2117" s="4" t="str">
        <f>_xlfn.IFNA(IF(((INDEX(RulebookFields!C2:C1898, MATCH(D2117,RulebookFields!A2:A1898, 0))="")=TRUE),  "",  INDEX(RulebookFields!C2:C1898, MATCH(D2117,RulebookFields!A2:A1898, 0))), "")</f>
        <v>AuthorityBoundaries</v>
      </c>
      <c r="I2117" s="4" t="str">
        <f>_xlfn.IFNA(IF(((INDEX(RulebookFields!D2:D1898, MATCH(D2117,RulebookFields!A2:A1898, 0))="")=TRUE),  "",  INDEX(RulebookFields!D2:D1898, MATCH(D2117,RulebookFields!A2:A1898, 0))), "")</f>
        <v>RatifyingFragmentIsSingleWitness</v>
      </c>
      <c r="J2117" s="4" t="b">
        <f>_xlfn.IFNA(IF(((INDEX(RulebookFields!I2:I1898, MATCH(D2117,RulebookFields!A2:A1898, 0))="")=TRUE),  "",  INDEX(RulebookFields!I2:I1898, MATCH(D2117,RulebookFields!A2:A1898, 0))), "")</f>
        <v>1</v>
      </c>
      <c r="K2117" s="4" t="b">
        <f>AND(((F2117)=TRUE), ((J2117)=TRUE))</f>
        <v>0</v>
      </c>
      <c r="L2117" s="4" t="b">
        <f>AND(((G2117 &lt;&gt; "plain")=TRUE), ((G2117 &lt;&gt; "")=TRUE))</f>
        <v>0</v>
      </c>
      <c r="M2117" s="4" t="str">
        <f>IF(((E2117)=TRUE),  C2117 &amp; "|" &amp; H2117,  "")</f>
        <v>principal-knowledge-authority|AuthorityBoundaries</v>
      </c>
      <c r="N2117" s="3" t="s">
        <v>10004</v>
      </c>
    </row>
    <row r="2118">
      <c r="A2118" s="3" t="s">
        <v>12120</v>
      </c>
      <c r="B2118" s="4" t="str">
        <f>C2118 &amp; " -&gt; " &amp; D2118</f>
        <v>principal-knowledge-authority -&gt; AuthorityBoundaries.WarrantIsThin</v>
      </c>
      <c r="C2118" s="3" t="s">
        <v>9774</v>
      </c>
      <c r="D2118" s="3" t="s">
        <v>5179</v>
      </c>
      <c r="E2118" s="3" t="b">
        <v>1</v>
      </c>
      <c r="F2118" s="3" t="b">
        <v>0</v>
      </c>
      <c r="G2118" s="3" t="s">
        <v>10003</v>
      </c>
      <c r="H2118" s="4" t="str">
        <f>_xlfn.IFNA(IF(((INDEX(RulebookFields!C2:C1898, MATCH(D2118,RulebookFields!A2:A1898, 0))="")=TRUE),  "",  INDEX(RulebookFields!C2:C1898, MATCH(D2118,RulebookFields!A2:A1898, 0))), "")</f>
        <v>AuthorityBoundaries</v>
      </c>
      <c r="I2118" s="4" t="str">
        <f>_xlfn.IFNA(IF(((INDEX(RulebookFields!D2:D1898, MATCH(D2118,RulebookFields!A2:A1898, 0))="")=TRUE),  "",  INDEX(RulebookFields!D2:D1898, MATCH(D2118,RulebookFields!A2:A1898, 0))), "")</f>
        <v>WarrantIsThin</v>
      </c>
      <c r="J2118" s="4" t="b">
        <f>_xlfn.IFNA(IF(((INDEX(RulebookFields!I2:I1898, MATCH(D2118,RulebookFields!A2:A1898, 0))="")=TRUE),  "",  INDEX(RulebookFields!I2:I1898, MATCH(D2118,RulebookFields!A2:A1898, 0))), "")</f>
        <v>1</v>
      </c>
      <c r="K2118" s="4" t="b">
        <f>AND(((F2118)=TRUE), ((J2118)=TRUE))</f>
        <v>0</v>
      </c>
      <c r="L2118" s="4" t="b">
        <f>AND(((G2118 &lt;&gt; "plain")=TRUE), ((G2118 &lt;&gt; "")=TRUE))</f>
        <v>0</v>
      </c>
      <c r="M2118" s="4" t="str">
        <f>IF(((E2118)=TRUE),  C2118 &amp; "|" &amp; H2118,  "")</f>
        <v>principal-knowledge-authority|AuthorityBoundaries</v>
      </c>
      <c r="N2118" s="3" t="s">
        <v>10004</v>
      </c>
    </row>
    <row r="2119">
      <c r="A2119" s="3" t="s">
        <v>12121</v>
      </c>
      <c r="B2119" s="4" t="str">
        <f>C2119 &amp; " -&gt; " &amp; D2119</f>
        <v>principal-knowledge-authority -&gt; AuthorityBoundaries.IsUnwarrantedAndUntested</v>
      </c>
      <c r="C2119" s="3" t="s">
        <v>9774</v>
      </c>
      <c r="D2119" s="3" t="s">
        <v>5182</v>
      </c>
      <c r="E2119" s="3" t="b">
        <v>1</v>
      </c>
      <c r="F2119" s="3" t="b">
        <v>0</v>
      </c>
      <c r="G2119" s="3" t="s">
        <v>10003</v>
      </c>
      <c r="H2119" s="4" t="str">
        <f>_xlfn.IFNA(IF(((INDEX(RulebookFields!C2:C1898, MATCH(D2119,RulebookFields!A2:A1898, 0))="")=TRUE),  "",  INDEX(RulebookFields!C2:C1898, MATCH(D2119,RulebookFields!A2:A1898, 0))), "")</f>
        <v>AuthorityBoundaries</v>
      </c>
      <c r="I2119" s="4" t="str">
        <f>_xlfn.IFNA(IF(((INDEX(RulebookFields!D2:D1898, MATCH(D2119,RulebookFields!A2:A1898, 0))="")=TRUE),  "",  INDEX(RulebookFields!D2:D1898, MATCH(D2119,RulebookFields!A2:A1898, 0))), "")</f>
        <v>IsUnwarrantedAndUntested</v>
      </c>
      <c r="J2119" s="4" t="b">
        <f>_xlfn.IFNA(IF(((INDEX(RulebookFields!I2:I1898, MATCH(D2119,RulebookFields!A2:A1898, 0))="")=TRUE),  "",  INDEX(RulebookFields!I2:I1898, MATCH(D2119,RulebookFields!A2:A1898, 0))), "")</f>
        <v>1</v>
      </c>
      <c r="K2119" s="4" t="b">
        <f>AND(((F2119)=TRUE), ((J2119)=TRUE))</f>
        <v>0</v>
      </c>
      <c r="L2119" s="4" t="b">
        <f>AND(((G2119 &lt;&gt; "plain")=TRUE), ((G2119 &lt;&gt; "")=TRUE))</f>
        <v>0</v>
      </c>
      <c r="M2119" s="4" t="str">
        <f>IF(((E2119)=TRUE),  C2119 &amp; "|" &amp; H2119,  "")</f>
        <v>principal-knowledge-authority|AuthorityBoundaries</v>
      </c>
      <c r="N2119" s="3" t="s">
        <v>10004</v>
      </c>
    </row>
    <row r="2120">
      <c r="A2120" s="3" t="s">
        <v>12122</v>
      </c>
      <c r="B2120" s="4" t="str">
        <f>C2120 &amp; " -&gt; " &amp; D2120</f>
        <v>principal-knowledge-authority -&gt; AuthorityBoundaries.UnwarrantedBoundaryStepKey</v>
      </c>
      <c r="C2120" s="3" t="s">
        <v>9774</v>
      </c>
      <c r="D2120" s="3" t="s">
        <v>5185</v>
      </c>
      <c r="E2120" s="3" t="b">
        <v>1</v>
      </c>
      <c r="F2120" s="3" t="b">
        <v>0</v>
      </c>
      <c r="G2120" s="3" t="s">
        <v>10003</v>
      </c>
      <c r="H2120" s="4" t="str">
        <f>_xlfn.IFNA(IF(((INDEX(RulebookFields!C2:C1898, MATCH(D2120,RulebookFields!A2:A1898, 0))="")=TRUE),  "",  INDEX(RulebookFields!C2:C1898, MATCH(D2120,RulebookFields!A2:A1898, 0))), "")</f>
        <v>AuthorityBoundaries</v>
      </c>
      <c r="I2120" s="4" t="str">
        <f>_xlfn.IFNA(IF(((INDEX(RulebookFields!D2:D1898, MATCH(D2120,RulebookFields!A2:A1898, 0))="")=TRUE),  "",  INDEX(RulebookFields!D2:D1898, MATCH(D2120,RulebookFields!A2:A1898, 0))), "")</f>
        <v>UnwarrantedBoundaryStepKey</v>
      </c>
      <c r="J2120" s="4" t="b">
        <f>_xlfn.IFNA(IF(((INDEX(RulebookFields!I2:I1898, MATCH(D2120,RulebookFields!A2:A1898, 0))="")=TRUE),  "",  INDEX(RulebookFields!I2:I1898, MATCH(D2120,RulebookFields!A2:A1898, 0))), "")</f>
        <v>1</v>
      </c>
      <c r="K2120" s="4" t="b">
        <f>AND(((F2120)=TRUE), ((J2120)=TRUE))</f>
        <v>0</v>
      </c>
      <c r="L2120" s="4" t="b">
        <f>AND(((G2120 &lt;&gt; "plain")=TRUE), ((G2120 &lt;&gt; "")=TRUE))</f>
        <v>0</v>
      </c>
      <c r="M2120" s="4" t="str">
        <f>IF(((E2120)=TRUE),  C2120 &amp; "|" &amp; H2120,  "")</f>
        <v>principal-knowledge-authority|AuthorityBoundaries</v>
      </c>
      <c r="N2120" s="3" t="s">
        <v>10004</v>
      </c>
    </row>
    <row r="2121">
      <c r="A2121" s="3" t="s">
        <v>12123</v>
      </c>
      <c r="B2121" s="4" t="str">
        <f>C2121 &amp; " -&gt; " &amp; D2121</f>
        <v>principal-knowledge-authority -&gt; AuthorityBoundaries.RatifyingFragmentKey</v>
      </c>
      <c r="C2121" s="3" t="s">
        <v>9774</v>
      </c>
      <c r="D2121" s="3" t="s">
        <v>5188</v>
      </c>
      <c r="E2121" s="3" t="b">
        <v>1</v>
      </c>
      <c r="F2121" s="3" t="b">
        <v>0</v>
      </c>
      <c r="G2121" s="3" t="s">
        <v>10003</v>
      </c>
      <c r="H2121" s="4" t="str">
        <f>_xlfn.IFNA(IF(((INDEX(RulebookFields!C2:C1898, MATCH(D2121,RulebookFields!A2:A1898, 0))="")=TRUE),  "",  INDEX(RulebookFields!C2:C1898, MATCH(D2121,RulebookFields!A2:A1898, 0))), "")</f>
        <v>AuthorityBoundaries</v>
      </c>
      <c r="I2121" s="4" t="str">
        <f>_xlfn.IFNA(IF(((INDEX(RulebookFields!D2:D1898, MATCH(D2121,RulebookFields!A2:A1898, 0))="")=TRUE),  "",  INDEX(RulebookFields!D2:D1898, MATCH(D2121,RulebookFields!A2:A1898, 0))), "")</f>
        <v>RatifyingFragmentKey</v>
      </c>
      <c r="J2121" s="4" t="b">
        <f>_xlfn.IFNA(IF(((INDEX(RulebookFields!I2:I1898, MATCH(D2121,RulebookFields!A2:A1898, 0))="")=TRUE),  "",  INDEX(RulebookFields!I2:I1898, MATCH(D2121,RulebookFields!A2:A1898, 0))), "")</f>
        <v>1</v>
      </c>
      <c r="K2121" s="4" t="b">
        <f>AND(((F2121)=TRUE), ((J2121)=TRUE))</f>
        <v>0</v>
      </c>
      <c r="L2121" s="4" t="b">
        <f>AND(((G2121 &lt;&gt; "plain")=TRUE), ((G2121 &lt;&gt; "")=TRUE))</f>
        <v>0</v>
      </c>
      <c r="M2121" s="4" t="str">
        <f>IF(((E2121)=TRUE),  C2121 &amp; "|" &amp; H2121,  "")</f>
        <v>principal-knowledge-authority|AuthorityBoundaries</v>
      </c>
      <c r="N2121" s="3" t="s">
        <v>10004</v>
      </c>
    </row>
    <row r="2122">
      <c r="A2122" s="3" t="s">
        <v>12124</v>
      </c>
      <c r="B2122" s="4" t="str">
        <f>C2122 &amp; " -&gt; " &amp; D2122</f>
        <v>principal-knowledge-authority -&gt; AuthorityBoundaries.RatifyingFragmentStatus</v>
      </c>
      <c r="C2122" s="3" t="s">
        <v>9774</v>
      </c>
      <c r="D2122" s="3" t="s">
        <v>5191</v>
      </c>
      <c r="E2122" s="3" t="b">
        <v>1</v>
      </c>
      <c r="F2122" s="3" t="b">
        <v>0</v>
      </c>
      <c r="G2122" s="3" t="s">
        <v>10003</v>
      </c>
      <c r="H2122" s="4" t="str">
        <f>_xlfn.IFNA(IF(((INDEX(RulebookFields!C2:C1898, MATCH(D2122,RulebookFields!A2:A1898, 0))="")=TRUE),  "",  INDEX(RulebookFields!C2:C1898, MATCH(D2122,RulebookFields!A2:A1898, 0))), "")</f>
        <v>AuthorityBoundaries</v>
      </c>
      <c r="I2122" s="4" t="str">
        <f>_xlfn.IFNA(IF(((INDEX(RulebookFields!D2:D1898, MATCH(D2122,RulebookFields!A2:A1898, 0))="")=TRUE),  "",  INDEX(RulebookFields!D2:D1898, MATCH(D2122,RulebookFields!A2:A1898, 0))), "")</f>
        <v>RatifyingFragmentStatus</v>
      </c>
      <c r="J2122" s="4" t="b">
        <f>_xlfn.IFNA(IF(((INDEX(RulebookFields!I2:I1898, MATCH(D2122,RulebookFields!A2:A1898, 0))="")=TRUE),  "",  INDEX(RulebookFields!I2:I1898, MATCH(D2122,RulebookFields!A2:A1898, 0))), "")</f>
        <v>1</v>
      </c>
      <c r="K2122" s="4" t="b">
        <f>AND(((F2122)=TRUE), ((J2122)=TRUE))</f>
        <v>0</v>
      </c>
      <c r="L2122" s="4" t="b">
        <f>AND(((G2122 &lt;&gt; "plain")=TRUE), ((G2122 &lt;&gt; "")=TRUE))</f>
        <v>0</v>
      </c>
      <c r="M2122" s="4" t="str">
        <f>IF(((E2122)=TRUE),  C2122 &amp; "|" &amp; H2122,  "")</f>
        <v>principal-knowledge-authority|AuthorityBoundaries</v>
      </c>
      <c r="N2122" s="3" t="s">
        <v>10004</v>
      </c>
    </row>
    <row r="2123">
      <c r="A2123" s="3" t="s">
        <v>12125</v>
      </c>
      <c r="B2123" s="4" t="str">
        <f>C2123 &amp; " -&gt; " &amp; D2123</f>
        <v>principal-knowledge-authority -&gt; AuthorityBoundaries.RatificationLapsed</v>
      </c>
      <c r="C2123" s="3" t="s">
        <v>9774</v>
      </c>
      <c r="D2123" s="3" t="s">
        <v>5194</v>
      </c>
      <c r="E2123" s="3" t="b">
        <v>1</v>
      </c>
      <c r="F2123" s="3" t="b">
        <v>0</v>
      </c>
      <c r="G2123" s="3" t="s">
        <v>10003</v>
      </c>
      <c r="H2123" s="4" t="str">
        <f>_xlfn.IFNA(IF(((INDEX(RulebookFields!C2:C1898, MATCH(D2123,RulebookFields!A2:A1898, 0))="")=TRUE),  "",  INDEX(RulebookFields!C2:C1898, MATCH(D2123,RulebookFields!A2:A1898, 0))), "")</f>
        <v>AuthorityBoundaries</v>
      </c>
      <c r="I2123" s="4" t="str">
        <f>_xlfn.IFNA(IF(((INDEX(RulebookFields!D2:D1898, MATCH(D2123,RulebookFields!A2:A1898, 0))="")=TRUE),  "",  INDEX(RulebookFields!D2:D1898, MATCH(D2123,RulebookFields!A2:A1898, 0))), "")</f>
        <v>RatificationLapsed</v>
      </c>
      <c r="J2123" s="4" t="b">
        <f>_xlfn.IFNA(IF(((INDEX(RulebookFields!I2:I1898, MATCH(D2123,RulebookFields!A2:A1898, 0))="")=TRUE),  "",  INDEX(RulebookFields!I2:I1898, MATCH(D2123,RulebookFields!A2:A1898, 0))), "")</f>
        <v>1</v>
      </c>
      <c r="K2123" s="4" t="b">
        <f>AND(((F2123)=TRUE), ((J2123)=TRUE))</f>
        <v>0</v>
      </c>
      <c r="L2123" s="4" t="b">
        <f>AND(((G2123 &lt;&gt; "plain")=TRUE), ((G2123 &lt;&gt; "")=TRUE))</f>
        <v>0</v>
      </c>
      <c r="M2123" s="4" t="str">
        <f>IF(((E2123)=TRUE),  C2123 &amp; "|" &amp; H2123,  "")</f>
        <v>principal-knowledge-authority|AuthorityBoundaries</v>
      </c>
      <c r="N2123" s="3" t="s">
        <v>10004</v>
      </c>
    </row>
    <row r="2124">
      <c r="A2124" s="3" t="s">
        <v>12126</v>
      </c>
      <c r="B2124" s="4" t="str">
        <f>C2124 &amp; " -&gt; " &amp; D2124</f>
        <v>principal-knowledge-authority -&gt; AuthorityBoundaries.BindsDespiteLapsedRatification</v>
      </c>
      <c r="C2124" s="3" t="s">
        <v>9774</v>
      </c>
      <c r="D2124" s="3" t="s">
        <v>5197</v>
      </c>
      <c r="E2124" s="3" t="b">
        <v>1</v>
      </c>
      <c r="F2124" s="3" t="b">
        <v>0</v>
      </c>
      <c r="G2124" s="3" t="s">
        <v>10003</v>
      </c>
      <c r="H2124" s="4" t="str">
        <f>_xlfn.IFNA(IF(((INDEX(RulebookFields!C2:C1898, MATCH(D2124,RulebookFields!A2:A1898, 0))="")=TRUE),  "",  INDEX(RulebookFields!C2:C1898, MATCH(D2124,RulebookFields!A2:A1898, 0))), "")</f>
        <v>AuthorityBoundaries</v>
      </c>
      <c r="I2124" s="4" t="str">
        <f>_xlfn.IFNA(IF(((INDEX(RulebookFields!D2:D1898, MATCH(D2124,RulebookFields!A2:A1898, 0))="")=TRUE),  "",  INDEX(RulebookFields!D2:D1898, MATCH(D2124,RulebookFields!A2:A1898, 0))), "")</f>
        <v>BindsDespiteLapsedRatification</v>
      </c>
      <c r="J2124" s="4" t="b">
        <f>_xlfn.IFNA(IF(((INDEX(RulebookFields!I2:I1898, MATCH(D2124,RulebookFields!A2:A1898, 0))="")=TRUE),  "",  INDEX(RulebookFields!I2:I1898, MATCH(D2124,RulebookFields!A2:A1898, 0))), "")</f>
        <v>1</v>
      </c>
      <c r="K2124" s="4" t="b">
        <f>AND(((F2124)=TRUE), ((J2124)=TRUE))</f>
        <v>0</v>
      </c>
      <c r="L2124" s="4" t="b">
        <f>AND(((G2124 &lt;&gt; "plain")=TRUE), ((G2124 &lt;&gt; "")=TRUE))</f>
        <v>0</v>
      </c>
      <c r="M2124" s="4" t="str">
        <f>IF(((E2124)=TRUE),  C2124 &amp; "|" &amp; H2124,  "")</f>
        <v>principal-knowledge-authority|AuthorityBoundaries</v>
      </c>
      <c r="N2124" s="3" t="s">
        <v>10004</v>
      </c>
    </row>
    <row r="2125">
      <c r="A2125" s="3" t="s">
        <v>12127</v>
      </c>
      <c r="B2125" s="4" t="str">
        <f>C2125 &amp; " -&gt; " &amp; D2125</f>
        <v>principal-knowledge-authority -&gt; AuthorityBoundaries.IsUngroundedAndUntested</v>
      </c>
      <c r="C2125" s="3" t="s">
        <v>9774</v>
      </c>
      <c r="D2125" s="3" t="s">
        <v>5200</v>
      </c>
      <c r="E2125" s="3" t="b">
        <v>1</v>
      </c>
      <c r="F2125" s="3" t="b">
        <v>0</v>
      </c>
      <c r="G2125" s="3" t="s">
        <v>10003</v>
      </c>
      <c r="H2125" s="4" t="str">
        <f>_xlfn.IFNA(IF(((INDEX(RulebookFields!C2:C1898, MATCH(D2125,RulebookFields!A2:A1898, 0))="")=TRUE),  "",  INDEX(RulebookFields!C2:C1898, MATCH(D2125,RulebookFields!A2:A1898, 0))), "")</f>
        <v>AuthorityBoundaries</v>
      </c>
      <c r="I2125" s="4" t="str">
        <f>_xlfn.IFNA(IF(((INDEX(RulebookFields!D2:D1898, MATCH(D2125,RulebookFields!A2:A1898, 0))="")=TRUE),  "",  INDEX(RulebookFields!D2:D1898, MATCH(D2125,RulebookFields!A2:A1898, 0))), "")</f>
        <v>IsUngroundedAndUntested</v>
      </c>
      <c r="J2125" s="4" t="b">
        <f>_xlfn.IFNA(IF(((INDEX(RulebookFields!I2:I1898, MATCH(D2125,RulebookFields!A2:A1898, 0))="")=TRUE),  "",  INDEX(RulebookFields!I2:I1898, MATCH(D2125,RulebookFields!A2:A1898, 0))), "")</f>
        <v>1</v>
      </c>
      <c r="K2125" s="4" t="b">
        <f>AND(((F2125)=TRUE), ((J2125)=TRUE))</f>
        <v>0</v>
      </c>
      <c r="L2125" s="4" t="b">
        <f>AND(((G2125 &lt;&gt; "plain")=TRUE), ((G2125 &lt;&gt; "")=TRUE))</f>
        <v>0</v>
      </c>
      <c r="M2125" s="4" t="str">
        <f>IF(((E2125)=TRUE),  C2125 &amp; "|" &amp; H2125,  "")</f>
        <v>principal-knowledge-authority|AuthorityBoundaries</v>
      </c>
      <c r="N2125" s="3" t="s">
        <v>10004</v>
      </c>
    </row>
    <row r="2126">
      <c r="A2126" s="3" t="s">
        <v>12128</v>
      </c>
      <c r="B2126" s="4" t="str">
        <f>C2126 &amp; " -&gt; " &amp; D2126</f>
        <v>principal-knowledge-authority -&gt; AuthorityBoundaries.ConstrainedRoleAssignmentKey</v>
      </c>
      <c r="C2126" s="3" t="s">
        <v>9774</v>
      </c>
      <c r="D2126" s="3" t="s">
        <v>5203</v>
      </c>
      <c r="E2126" s="3" t="b">
        <v>1</v>
      </c>
      <c r="F2126" s="3" t="b">
        <v>0</v>
      </c>
      <c r="G2126" s="3" t="s">
        <v>10003</v>
      </c>
      <c r="H2126" s="4" t="str">
        <f>_xlfn.IFNA(IF(((INDEX(RulebookFields!C2:C1898, MATCH(D2126,RulebookFields!A2:A1898, 0))="")=TRUE),  "",  INDEX(RulebookFields!C2:C1898, MATCH(D2126,RulebookFields!A2:A1898, 0))), "")</f>
        <v>AuthorityBoundaries</v>
      </c>
      <c r="I2126" s="4" t="str">
        <f>_xlfn.IFNA(IF(((INDEX(RulebookFields!D2:D1898, MATCH(D2126,RulebookFields!A2:A1898, 0))="")=TRUE),  "",  INDEX(RulebookFields!D2:D1898, MATCH(D2126,RulebookFields!A2:A1898, 0))), "")</f>
        <v>ConstrainedRoleAssignmentKey</v>
      </c>
      <c r="J2126" s="4" t="b">
        <f>_xlfn.IFNA(IF(((INDEX(RulebookFields!I2:I1898, MATCH(D2126,RulebookFields!A2:A1898, 0))="")=TRUE),  "",  INDEX(RulebookFields!I2:I1898, MATCH(D2126,RulebookFields!A2:A1898, 0))), "")</f>
        <v>1</v>
      </c>
      <c r="K2126" s="4" t="b">
        <f>AND(((F2126)=TRUE), ((J2126)=TRUE))</f>
        <v>0</v>
      </c>
      <c r="L2126" s="4" t="b">
        <f>AND(((G2126 &lt;&gt; "plain")=TRUE), ((G2126 &lt;&gt; "")=TRUE))</f>
        <v>0</v>
      </c>
      <c r="M2126" s="4" t="str">
        <f>IF(((E2126)=TRUE),  C2126 &amp; "|" &amp; H2126,  "")</f>
        <v>principal-knowledge-authority|AuthorityBoundaries</v>
      </c>
      <c r="N2126" s="3" t="s">
        <v>10004</v>
      </c>
    </row>
    <row r="2127">
      <c r="A2127" s="3" t="s">
        <v>12129</v>
      </c>
      <c r="B2127" s="4" t="str">
        <f>C2127 &amp; " -&gt; " &amp; D2127</f>
        <v>principal-knowledge-authority -&gt; AuthorityBoundaries.SemanticTypeIri</v>
      </c>
      <c r="C2127" s="3" t="s">
        <v>9774</v>
      </c>
      <c r="D2127" s="3" t="s">
        <v>5206</v>
      </c>
      <c r="E2127" s="3" t="b">
        <v>1</v>
      </c>
      <c r="F2127" s="3" t="b">
        <v>0</v>
      </c>
      <c r="G2127" s="3" t="s">
        <v>10003</v>
      </c>
      <c r="H2127" s="4" t="str">
        <f>_xlfn.IFNA(IF(((INDEX(RulebookFields!C2:C1898, MATCH(D2127,RulebookFields!A2:A1898, 0))="")=TRUE),  "",  INDEX(RulebookFields!C2:C1898, MATCH(D2127,RulebookFields!A2:A1898, 0))), "")</f>
        <v>AuthorityBoundaries</v>
      </c>
      <c r="I2127" s="4" t="str">
        <f>_xlfn.IFNA(IF(((INDEX(RulebookFields!D2:D1898, MATCH(D2127,RulebookFields!A2:A1898, 0))="")=TRUE),  "",  INDEX(RulebookFields!D2:D1898, MATCH(D2127,RulebookFields!A2:A1898, 0))), "")</f>
        <v>SemanticTypeIri</v>
      </c>
      <c r="J2127" s="4" t="b">
        <f>_xlfn.IFNA(IF(((INDEX(RulebookFields!I2:I1898, MATCH(D2127,RulebookFields!A2:A1898, 0))="")=TRUE),  "",  INDEX(RulebookFields!I2:I1898, MATCH(D2127,RulebookFields!A2:A1898, 0))), "")</f>
        <v>0</v>
      </c>
      <c r="K2127" s="4" t="b">
        <f>AND(((F2127)=TRUE), ((J2127)=TRUE))</f>
        <v>0</v>
      </c>
      <c r="L2127" s="4" t="b">
        <f>AND(((G2127 &lt;&gt; "plain")=TRUE), ((G2127 &lt;&gt; "")=TRUE))</f>
        <v>0</v>
      </c>
      <c r="M2127" s="4" t="str">
        <f>IF(((E2127)=TRUE),  C2127 &amp; "|" &amp; H2127,  "")</f>
        <v>principal-knowledge-authority|AuthorityBoundaries</v>
      </c>
      <c r="N2127" s="3" t="s">
        <v>10004</v>
      </c>
    </row>
    <row r="2128">
      <c r="A2128" s="3" t="s">
        <v>12130</v>
      </c>
      <c r="B2128" s="4" t="str">
        <f>C2128 &amp; " -&gt; " &amp; D2128</f>
        <v>principal-knowledge-authority -&gt; BindingObservations.BindingObservationId</v>
      </c>
      <c r="C2128" s="3" t="s">
        <v>9774</v>
      </c>
      <c r="D2128" s="3" t="s">
        <v>5207</v>
      </c>
      <c r="E2128" s="3" t="b">
        <v>1</v>
      </c>
      <c r="F2128" s="3" t="b">
        <v>0</v>
      </c>
      <c r="G2128" s="3" t="s">
        <v>10003</v>
      </c>
      <c r="H2128" s="4" t="str">
        <f>_xlfn.IFNA(IF(((INDEX(RulebookFields!C2:C1898, MATCH(D2128,RulebookFields!A2:A1898, 0))="")=TRUE),  "",  INDEX(RulebookFields!C2:C1898, MATCH(D2128,RulebookFields!A2:A1898, 0))), "")</f>
        <v>BindingObservations</v>
      </c>
      <c r="I2128" s="4" t="str">
        <f>_xlfn.IFNA(IF(((INDEX(RulebookFields!D2:D1898, MATCH(D2128,RulebookFields!A2:A1898, 0))="")=TRUE),  "",  INDEX(RulebookFields!D2:D1898, MATCH(D2128,RulebookFields!A2:A1898, 0))), "")</f>
        <v>BindingObservationId</v>
      </c>
      <c r="J2128" s="4" t="b">
        <f>_xlfn.IFNA(IF(((INDEX(RulebookFields!I2:I1898, MATCH(D2128,RulebookFields!A2:A1898, 0))="")=TRUE),  "",  INDEX(RulebookFields!I2:I1898, MATCH(D2128,RulebookFields!A2:A1898, 0))), "")</f>
        <v>0</v>
      </c>
      <c r="K2128" s="4" t="b">
        <f>AND(((F2128)=TRUE), ((J2128)=TRUE))</f>
        <v>0</v>
      </c>
      <c r="L2128" s="4" t="b">
        <f>AND(((G2128 &lt;&gt; "plain")=TRUE), ((G2128 &lt;&gt; "")=TRUE))</f>
        <v>0</v>
      </c>
      <c r="M2128" s="4" t="str">
        <f>IF(((E2128)=TRUE),  C2128 &amp; "|" &amp; H2128,  "")</f>
        <v>principal-knowledge-authority|BindingObservations</v>
      </c>
      <c r="N2128" s="3" t="s">
        <v>10004</v>
      </c>
    </row>
    <row r="2129">
      <c r="A2129" s="3" t="s">
        <v>12131</v>
      </c>
      <c r="B2129" s="4" t="str">
        <f>C2129 &amp; " -&gt; " &amp; D2129</f>
        <v>principal-knowledge-authority -&gt; BindingObservations.Name</v>
      </c>
      <c r="C2129" s="3" t="s">
        <v>9774</v>
      </c>
      <c r="D2129" s="3" t="s">
        <v>5210</v>
      </c>
      <c r="E2129" s="3" t="b">
        <v>1</v>
      </c>
      <c r="F2129" s="3" t="b">
        <v>0</v>
      </c>
      <c r="G2129" s="3" t="s">
        <v>10003</v>
      </c>
      <c r="H2129" s="4" t="str">
        <f>_xlfn.IFNA(IF(((INDEX(RulebookFields!C2:C1898, MATCH(D2129,RulebookFields!A2:A1898, 0))="")=TRUE),  "",  INDEX(RulebookFields!C2:C1898, MATCH(D2129,RulebookFields!A2:A1898, 0))), "")</f>
        <v>BindingObservations</v>
      </c>
      <c r="I2129" s="4" t="str">
        <f>_xlfn.IFNA(IF(((INDEX(RulebookFields!D2:D1898, MATCH(D2129,RulebookFields!A2:A1898, 0))="")=TRUE),  "",  INDEX(RulebookFields!D2:D1898, MATCH(D2129,RulebookFields!A2:A1898, 0))), "")</f>
        <v>Name</v>
      </c>
      <c r="J2129" s="4" t="b">
        <f>_xlfn.IFNA(IF(((INDEX(RulebookFields!I2:I1898, MATCH(D2129,RulebookFields!A2:A1898, 0))="")=TRUE),  "",  INDEX(RulebookFields!I2:I1898, MATCH(D2129,RulebookFields!A2:A1898, 0))), "")</f>
        <v>1</v>
      </c>
      <c r="K2129" s="4" t="b">
        <f>AND(((F2129)=TRUE), ((J2129)=TRUE))</f>
        <v>0</v>
      </c>
      <c r="L2129" s="4" t="b">
        <f>AND(((G2129 &lt;&gt; "plain")=TRUE), ((G2129 &lt;&gt; "")=TRUE))</f>
        <v>0</v>
      </c>
      <c r="M2129" s="4" t="str">
        <f>IF(((E2129)=TRUE),  C2129 &amp; "|" &amp; H2129,  "")</f>
        <v>principal-knowledge-authority|BindingObservations</v>
      </c>
      <c r="N2129" s="3" t="s">
        <v>10004</v>
      </c>
    </row>
    <row r="2130">
      <c r="A2130" s="3" t="s">
        <v>12132</v>
      </c>
      <c r="B2130" s="4" t="str">
        <f>C2130 &amp; " -&gt; " &amp; D2130</f>
        <v>principal-knowledge-authority -&gt; BindingObservations.StepExecution</v>
      </c>
      <c r="C2130" s="3" t="s">
        <v>9774</v>
      </c>
      <c r="D2130" s="3" t="s">
        <v>5212</v>
      </c>
      <c r="E2130" s="3" t="b">
        <v>1</v>
      </c>
      <c r="F2130" s="3" t="b">
        <v>0</v>
      </c>
      <c r="G2130" s="3" t="s">
        <v>10003</v>
      </c>
      <c r="H2130" s="4" t="str">
        <f>_xlfn.IFNA(IF(((INDEX(RulebookFields!C2:C1898, MATCH(D2130,RulebookFields!A2:A1898, 0))="")=TRUE),  "",  INDEX(RulebookFields!C2:C1898, MATCH(D2130,RulebookFields!A2:A1898, 0))), "")</f>
        <v>BindingObservations</v>
      </c>
      <c r="I2130" s="4" t="str">
        <f>_xlfn.IFNA(IF(((INDEX(RulebookFields!D2:D1898, MATCH(D2130,RulebookFields!A2:A1898, 0))="")=TRUE),  "",  INDEX(RulebookFields!D2:D1898, MATCH(D2130,RulebookFields!A2:A1898, 0))), "")</f>
        <v>StepExecution</v>
      </c>
      <c r="J2130" s="4" t="b">
        <f>_xlfn.IFNA(IF(((INDEX(RulebookFields!I2:I1898, MATCH(D2130,RulebookFields!A2:A1898, 0))="")=TRUE),  "",  INDEX(RulebookFields!I2:I1898, MATCH(D2130,RulebookFields!A2:A1898, 0))), "")</f>
        <v>0</v>
      </c>
      <c r="K2130" s="4" t="b">
        <f>AND(((F2130)=TRUE), ((J2130)=TRUE))</f>
        <v>0</v>
      </c>
      <c r="L2130" s="4" t="b">
        <f>AND(((G2130 &lt;&gt; "plain")=TRUE), ((G2130 &lt;&gt; "")=TRUE))</f>
        <v>0</v>
      </c>
      <c r="M2130" s="4" t="str">
        <f>IF(((E2130)=TRUE),  C2130 &amp; "|" &amp; H2130,  "")</f>
        <v>principal-knowledge-authority|BindingObservations</v>
      </c>
      <c r="N2130" s="3" t="s">
        <v>10004</v>
      </c>
    </row>
    <row r="2131">
      <c r="A2131" s="3" t="s">
        <v>12133</v>
      </c>
      <c r="B2131" s="4" t="str">
        <f>C2131 &amp; " -&gt; " &amp; D2131</f>
        <v>principal-knowledge-authority -&gt; BindingObservations.OperationalBinding</v>
      </c>
      <c r="C2131" s="3" t="s">
        <v>9774</v>
      </c>
      <c r="D2131" s="3" t="s">
        <v>5213</v>
      </c>
      <c r="E2131" s="3" t="b">
        <v>1</v>
      </c>
      <c r="F2131" s="3" t="b">
        <v>0</v>
      </c>
      <c r="G2131" s="3" t="s">
        <v>10003</v>
      </c>
      <c r="H2131" s="4" t="str">
        <f>_xlfn.IFNA(IF(((INDEX(RulebookFields!C2:C1898, MATCH(D2131,RulebookFields!A2:A1898, 0))="")=TRUE),  "",  INDEX(RulebookFields!C2:C1898, MATCH(D2131,RulebookFields!A2:A1898, 0))), "")</f>
        <v>BindingObservations</v>
      </c>
      <c r="I2131" s="4" t="str">
        <f>_xlfn.IFNA(IF(((INDEX(RulebookFields!D2:D1898, MATCH(D2131,RulebookFields!A2:A1898, 0))="")=TRUE),  "",  INDEX(RulebookFields!D2:D1898, MATCH(D2131,RulebookFields!A2:A1898, 0))), "")</f>
        <v>OperationalBinding</v>
      </c>
      <c r="J2131" s="4" t="b">
        <f>_xlfn.IFNA(IF(((INDEX(RulebookFields!I2:I1898, MATCH(D2131,RulebookFields!A2:A1898, 0))="")=TRUE),  "",  INDEX(RulebookFields!I2:I1898, MATCH(D2131,RulebookFields!A2:A1898, 0))), "")</f>
        <v>0</v>
      </c>
      <c r="K2131" s="4" t="b">
        <f>AND(((F2131)=TRUE), ((J2131)=TRUE))</f>
        <v>0</v>
      </c>
      <c r="L2131" s="4" t="b">
        <f>AND(((G2131 &lt;&gt; "plain")=TRUE), ((G2131 &lt;&gt; "")=TRUE))</f>
        <v>0</v>
      </c>
      <c r="M2131" s="4" t="str">
        <f>IF(((E2131)=TRUE),  C2131 &amp; "|" &amp; H2131,  "")</f>
        <v>principal-knowledge-authority|BindingObservations</v>
      </c>
      <c r="N2131" s="3" t="s">
        <v>10004</v>
      </c>
    </row>
    <row r="2132">
      <c r="A2132" s="3" t="s">
        <v>12134</v>
      </c>
      <c r="B2132" s="4" t="str">
        <f>C2132 &amp; " -&gt; " &amp; D2132</f>
        <v>principal-knowledge-authority -&gt; BindingObservations.ObservedSourceTimestamp</v>
      </c>
      <c r="C2132" s="3" t="s">
        <v>9774</v>
      </c>
      <c r="D2132" s="3" t="s">
        <v>5215</v>
      </c>
      <c r="E2132" s="3" t="b">
        <v>1</v>
      </c>
      <c r="F2132" s="3" t="b">
        <v>0</v>
      </c>
      <c r="G2132" s="3" t="s">
        <v>10003</v>
      </c>
      <c r="H2132" s="4" t="str">
        <f>_xlfn.IFNA(IF(((INDEX(RulebookFields!C2:C1898, MATCH(D2132,RulebookFields!A2:A1898, 0))="")=TRUE),  "",  INDEX(RulebookFields!C2:C1898, MATCH(D2132,RulebookFields!A2:A1898, 0))), "")</f>
        <v>BindingObservations</v>
      </c>
      <c r="I2132" s="4" t="str">
        <f>_xlfn.IFNA(IF(((INDEX(RulebookFields!D2:D1898, MATCH(D2132,RulebookFields!A2:A1898, 0))="")=TRUE),  "",  INDEX(RulebookFields!D2:D1898, MATCH(D2132,RulebookFields!A2:A1898, 0))), "")</f>
        <v>ObservedSourceTimestamp</v>
      </c>
      <c r="J2132" s="4" t="b">
        <f>_xlfn.IFNA(IF(((INDEX(RulebookFields!I2:I1898, MATCH(D2132,RulebookFields!A2:A1898, 0))="")=TRUE),  "",  INDEX(RulebookFields!I2:I1898, MATCH(D2132,RulebookFields!A2:A1898, 0))), "")</f>
        <v>0</v>
      </c>
      <c r="K2132" s="4" t="b">
        <f>AND(((F2132)=TRUE), ((J2132)=TRUE))</f>
        <v>0</v>
      </c>
      <c r="L2132" s="4" t="b">
        <f>AND(((G2132 &lt;&gt; "plain")=TRUE), ((G2132 &lt;&gt; "")=TRUE))</f>
        <v>0</v>
      </c>
      <c r="M2132" s="4" t="str">
        <f>IF(((E2132)=TRUE),  C2132 &amp; "|" &amp; H2132,  "")</f>
        <v>principal-knowledge-authority|BindingObservations</v>
      </c>
      <c r="N2132" s="3" t="s">
        <v>10004</v>
      </c>
    </row>
    <row r="2133">
      <c r="A2133" s="3" t="s">
        <v>12135</v>
      </c>
      <c r="B2133" s="4" t="str">
        <f>C2133 &amp; " -&gt; " &amp; D2133</f>
        <v>principal-knowledge-authority -&gt; BindingObservations.ReadAt</v>
      </c>
      <c r="C2133" s="3" t="s">
        <v>9774</v>
      </c>
      <c r="D2133" s="3" t="s">
        <v>5217</v>
      </c>
      <c r="E2133" s="3" t="b">
        <v>1</v>
      </c>
      <c r="F2133" s="3" t="b">
        <v>0</v>
      </c>
      <c r="G2133" s="3" t="s">
        <v>10003</v>
      </c>
      <c r="H2133" s="4" t="str">
        <f>_xlfn.IFNA(IF(((INDEX(RulebookFields!C2:C1898, MATCH(D2133,RulebookFields!A2:A1898, 0))="")=TRUE),  "",  INDEX(RulebookFields!C2:C1898, MATCH(D2133,RulebookFields!A2:A1898, 0))), "")</f>
        <v>BindingObservations</v>
      </c>
      <c r="I2133" s="4" t="str">
        <f>_xlfn.IFNA(IF(((INDEX(RulebookFields!D2:D1898, MATCH(D2133,RulebookFields!A2:A1898, 0))="")=TRUE),  "",  INDEX(RulebookFields!D2:D1898, MATCH(D2133,RulebookFields!A2:A1898, 0))), "")</f>
        <v>ReadAt</v>
      </c>
      <c r="J2133" s="4" t="b">
        <f>_xlfn.IFNA(IF(((INDEX(RulebookFields!I2:I1898, MATCH(D2133,RulebookFields!A2:A1898, 0))="")=TRUE),  "",  INDEX(RulebookFields!I2:I1898, MATCH(D2133,RulebookFields!A2:A1898, 0))), "")</f>
        <v>0</v>
      </c>
      <c r="K2133" s="4" t="b">
        <f>AND(((F2133)=TRUE), ((J2133)=TRUE))</f>
        <v>0</v>
      </c>
      <c r="L2133" s="4" t="b">
        <f>AND(((G2133 &lt;&gt; "plain")=TRUE), ((G2133 &lt;&gt; "")=TRUE))</f>
        <v>0</v>
      </c>
      <c r="M2133" s="4" t="str">
        <f>IF(((E2133)=TRUE),  C2133 &amp; "|" &amp; H2133,  "")</f>
        <v>principal-knowledge-authority|BindingObservations</v>
      </c>
      <c r="N2133" s="3" t="s">
        <v>10004</v>
      </c>
    </row>
    <row r="2134">
      <c r="A2134" s="3" t="s">
        <v>12136</v>
      </c>
      <c r="B2134" s="4" t="str">
        <f>C2134 &amp; " -&gt; " &amp; D2134</f>
        <v>principal-knowledge-authority -&gt; BindingObservations.SlaMinutesAtRun</v>
      </c>
      <c r="C2134" s="3" t="s">
        <v>9774</v>
      </c>
      <c r="D2134" s="3" t="s">
        <v>5219</v>
      </c>
      <c r="E2134" s="3" t="b">
        <v>1</v>
      </c>
      <c r="F2134" s="3" t="b">
        <v>0</v>
      </c>
      <c r="G2134" s="3" t="s">
        <v>10003</v>
      </c>
      <c r="H2134" s="4" t="str">
        <f>_xlfn.IFNA(IF(((INDEX(RulebookFields!C2:C1898, MATCH(D2134,RulebookFields!A2:A1898, 0))="")=TRUE),  "",  INDEX(RulebookFields!C2:C1898, MATCH(D2134,RulebookFields!A2:A1898, 0))), "")</f>
        <v>BindingObservations</v>
      </c>
      <c r="I2134" s="4" t="str">
        <f>_xlfn.IFNA(IF(((INDEX(RulebookFields!D2:D1898, MATCH(D2134,RulebookFields!A2:A1898, 0))="")=TRUE),  "",  INDEX(RulebookFields!D2:D1898, MATCH(D2134,RulebookFields!A2:A1898, 0))), "")</f>
        <v>SlaMinutesAtRun</v>
      </c>
      <c r="J2134" s="4" t="b">
        <f>_xlfn.IFNA(IF(((INDEX(RulebookFields!I2:I1898, MATCH(D2134,RulebookFields!A2:A1898, 0))="")=TRUE),  "",  INDEX(RulebookFields!I2:I1898, MATCH(D2134,RulebookFields!A2:A1898, 0))), "")</f>
        <v>1</v>
      </c>
      <c r="K2134" s="4" t="b">
        <f>AND(((F2134)=TRUE), ((J2134)=TRUE))</f>
        <v>0</v>
      </c>
      <c r="L2134" s="4" t="b">
        <f>AND(((G2134 &lt;&gt; "plain")=TRUE), ((G2134 &lt;&gt; "")=TRUE))</f>
        <v>0</v>
      </c>
      <c r="M2134" s="4" t="str">
        <f>IF(((E2134)=TRUE),  C2134 &amp; "|" &amp; H2134,  "")</f>
        <v>principal-knowledge-authority|BindingObservations</v>
      </c>
      <c r="N2134" s="3" t="s">
        <v>10004</v>
      </c>
    </row>
    <row r="2135">
      <c r="A2135" s="3" t="s">
        <v>12137</v>
      </c>
      <c r="B2135" s="4" t="str">
        <f>C2135 &amp; " -&gt; " &amp; D2135</f>
        <v>principal-knowledge-authority -&gt; BindingObservations.AgeAtRunMinutes</v>
      </c>
      <c r="C2135" s="3" t="s">
        <v>9774</v>
      </c>
      <c r="D2135" s="3" t="s">
        <v>5222</v>
      </c>
      <c r="E2135" s="3" t="b">
        <v>1</v>
      </c>
      <c r="F2135" s="3" t="b">
        <v>0</v>
      </c>
      <c r="G2135" s="3" t="s">
        <v>10003</v>
      </c>
      <c r="H2135" s="4" t="str">
        <f>_xlfn.IFNA(IF(((INDEX(RulebookFields!C2:C1898, MATCH(D2135,RulebookFields!A2:A1898, 0))="")=TRUE),  "",  INDEX(RulebookFields!C2:C1898, MATCH(D2135,RulebookFields!A2:A1898, 0))), "")</f>
        <v>BindingObservations</v>
      </c>
      <c r="I2135" s="4" t="str">
        <f>_xlfn.IFNA(IF(((INDEX(RulebookFields!D2:D1898, MATCH(D2135,RulebookFields!A2:A1898, 0))="")=TRUE),  "",  INDEX(RulebookFields!D2:D1898, MATCH(D2135,RulebookFields!A2:A1898, 0))), "")</f>
        <v>AgeAtRunMinutes</v>
      </c>
      <c r="J2135" s="4" t="b">
        <f>_xlfn.IFNA(IF(((INDEX(RulebookFields!I2:I1898, MATCH(D2135,RulebookFields!A2:A1898, 0))="")=TRUE),  "",  INDEX(RulebookFields!I2:I1898, MATCH(D2135,RulebookFields!A2:A1898, 0))), "")</f>
        <v>1</v>
      </c>
      <c r="K2135" s="4" t="b">
        <f>AND(((F2135)=TRUE), ((J2135)=TRUE))</f>
        <v>0</v>
      </c>
      <c r="L2135" s="4" t="b">
        <f>AND(((G2135 &lt;&gt; "plain")=TRUE), ((G2135 &lt;&gt; "")=TRUE))</f>
        <v>0</v>
      </c>
      <c r="M2135" s="4" t="str">
        <f>IF(((E2135)=TRUE),  C2135 &amp; "|" &amp; H2135,  "")</f>
        <v>principal-knowledge-authority|BindingObservations</v>
      </c>
      <c r="N2135" s="3" t="s">
        <v>10004</v>
      </c>
    </row>
    <row r="2136">
      <c r="A2136" s="3" t="s">
        <v>12138</v>
      </c>
      <c r="B2136" s="4" t="str">
        <f>C2136 &amp; " -&gt; " &amp; D2136</f>
        <v>principal-knowledge-authority -&gt; BindingObservations.WasStaleAtRun</v>
      </c>
      <c r="C2136" s="3" t="s">
        <v>9774</v>
      </c>
      <c r="D2136" s="3" t="s">
        <v>5225</v>
      </c>
      <c r="E2136" s="3" t="b">
        <v>1</v>
      </c>
      <c r="F2136" s="3" t="b">
        <v>0</v>
      </c>
      <c r="G2136" s="3" t="s">
        <v>10003</v>
      </c>
      <c r="H2136" s="4" t="str">
        <f>_xlfn.IFNA(IF(((INDEX(RulebookFields!C2:C1898, MATCH(D2136,RulebookFields!A2:A1898, 0))="")=TRUE),  "",  INDEX(RulebookFields!C2:C1898, MATCH(D2136,RulebookFields!A2:A1898, 0))), "")</f>
        <v>BindingObservations</v>
      </c>
      <c r="I2136" s="4" t="str">
        <f>_xlfn.IFNA(IF(((INDEX(RulebookFields!D2:D1898, MATCH(D2136,RulebookFields!A2:A1898, 0))="")=TRUE),  "",  INDEX(RulebookFields!D2:D1898, MATCH(D2136,RulebookFields!A2:A1898, 0))), "")</f>
        <v>WasStaleAtRun</v>
      </c>
      <c r="J2136" s="4" t="b">
        <f>_xlfn.IFNA(IF(((INDEX(RulebookFields!I2:I1898, MATCH(D2136,RulebookFields!A2:A1898, 0))="")=TRUE),  "",  INDEX(RulebookFields!I2:I1898, MATCH(D2136,RulebookFields!A2:A1898, 0))), "")</f>
        <v>1</v>
      </c>
      <c r="K2136" s="4" t="b">
        <f>AND(((F2136)=TRUE), ((J2136)=TRUE))</f>
        <v>0</v>
      </c>
      <c r="L2136" s="4" t="b">
        <f>AND(((G2136 &lt;&gt; "plain")=TRUE), ((G2136 &lt;&gt; "")=TRUE))</f>
        <v>0</v>
      </c>
      <c r="M2136" s="4" t="str">
        <f>IF(((E2136)=TRUE),  C2136 &amp; "|" &amp; H2136,  "")</f>
        <v>principal-knowledge-authority|BindingObservations</v>
      </c>
      <c r="N2136" s="3" t="s">
        <v>10004</v>
      </c>
    </row>
    <row r="2137">
      <c r="A2137" s="3" t="s">
        <v>12139</v>
      </c>
      <c r="B2137" s="4" t="str">
        <f>C2137 &amp; " -&gt; " &amp; D2137</f>
        <v>principal-knowledge-authority -&gt; BindingObservations.IsAuthoritativeBinding</v>
      </c>
      <c r="C2137" s="3" t="s">
        <v>9774</v>
      </c>
      <c r="D2137" s="3" t="s">
        <v>5228</v>
      </c>
      <c r="E2137" s="3" t="b">
        <v>1</v>
      </c>
      <c r="F2137" s="3" t="b">
        <v>0</v>
      </c>
      <c r="G2137" s="3" t="s">
        <v>10003</v>
      </c>
      <c r="H2137" s="4" t="str">
        <f>_xlfn.IFNA(IF(((INDEX(RulebookFields!C2:C1898, MATCH(D2137,RulebookFields!A2:A1898, 0))="")=TRUE),  "",  INDEX(RulebookFields!C2:C1898, MATCH(D2137,RulebookFields!A2:A1898, 0))), "")</f>
        <v>BindingObservations</v>
      </c>
      <c r="I2137" s="4" t="str">
        <f>_xlfn.IFNA(IF(((INDEX(RulebookFields!D2:D1898, MATCH(D2137,RulebookFields!A2:A1898, 0))="")=TRUE),  "",  INDEX(RulebookFields!D2:D1898, MATCH(D2137,RulebookFields!A2:A1898, 0))), "")</f>
        <v>IsAuthoritativeBinding</v>
      </c>
      <c r="J2137" s="4" t="b">
        <f>_xlfn.IFNA(IF(((INDEX(RulebookFields!I2:I1898, MATCH(D2137,RulebookFields!A2:A1898, 0))="")=TRUE),  "",  INDEX(RulebookFields!I2:I1898, MATCH(D2137,RulebookFields!A2:A1898, 0))), "")</f>
        <v>1</v>
      </c>
      <c r="K2137" s="4" t="b">
        <f>AND(((F2137)=TRUE), ((J2137)=TRUE))</f>
        <v>0</v>
      </c>
      <c r="L2137" s="4" t="b">
        <f>AND(((G2137 &lt;&gt; "plain")=TRUE), ((G2137 &lt;&gt; "")=TRUE))</f>
        <v>0</v>
      </c>
      <c r="M2137" s="4" t="str">
        <f>IF(((E2137)=TRUE),  C2137 &amp; "|" &amp; H2137,  "")</f>
        <v>principal-knowledge-authority|BindingObservations</v>
      </c>
      <c r="N2137" s="3" t="s">
        <v>10004</v>
      </c>
    </row>
    <row r="2138">
      <c r="A2138" s="3" t="s">
        <v>12140</v>
      </c>
      <c r="B2138" s="4" t="str">
        <f>C2138 &amp; " -&gt; " &amp; D2138</f>
        <v>principal-knowledge-authority -&gt; BindingObservations.StaleAtRunStepKey</v>
      </c>
      <c r="C2138" s="3" t="s">
        <v>9774</v>
      </c>
      <c r="D2138" s="3" t="s">
        <v>5231</v>
      </c>
      <c r="E2138" s="3" t="b">
        <v>1</v>
      </c>
      <c r="F2138" s="3" t="b">
        <v>0</v>
      </c>
      <c r="G2138" s="3" t="s">
        <v>10003</v>
      </c>
      <c r="H2138" s="4" t="str">
        <f>_xlfn.IFNA(IF(((INDEX(RulebookFields!C2:C1898, MATCH(D2138,RulebookFields!A2:A1898, 0))="")=TRUE),  "",  INDEX(RulebookFields!C2:C1898, MATCH(D2138,RulebookFields!A2:A1898, 0))), "")</f>
        <v>BindingObservations</v>
      </c>
      <c r="I2138" s="4" t="str">
        <f>_xlfn.IFNA(IF(((INDEX(RulebookFields!D2:D1898, MATCH(D2138,RulebookFields!A2:A1898, 0))="")=TRUE),  "",  INDEX(RulebookFields!D2:D1898, MATCH(D2138,RulebookFields!A2:A1898, 0))), "")</f>
        <v>StaleAtRunStepKey</v>
      </c>
      <c r="J2138" s="4" t="b">
        <f>_xlfn.IFNA(IF(((INDEX(RulebookFields!I2:I1898, MATCH(D2138,RulebookFields!A2:A1898, 0))="")=TRUE),  "",  INDEX(RulebookFields!I2:I1898, MATCH(D2138,RulebookFields!A2:A1898, 0))), "")</f>
        <v>1</v>
      </c>
      <c r="K2138" s="4" t="b">
        <f>AND(((F2138)=TRUE), ((J2138)=TRUE))</f>
        <v>0</v>
      </c>
      <c r="L2138" s="4" t="b">
        <f>AND(((G2138 &lt;&gt; "plain")=TRUE), ((G2138 &lt;&gt; "")=TRUE))</f>
        <v>0</v>
      </c>
      <c r="M2138" s="4" t="str">
        <f>IF(((E2138)=TRUE),  C2138 &amp; "|" &amp; H2138,  "")</f>
        <v>principal-knowledge-authority|BindingObservations</v>
      </c>
      <c r="N2138" s="3" t="s">
        <v>10004</v>
      </c>
    </row>
    <row r="2139">
      <c r="A2139" s="3" t="s">
        <v>12141</v>
      </c>
      <c r="B2139" s="4" t="str">
        <f>C2139 &amp; " -&gt; " &amp; D2139</f>
        <v>principal-knowledge-authority -&gt; ChangeRequests.ChangeRequestId</v>
      </c>
      <c r="C2139" s="3" t="s">
        <v>9774</v>
      </c>
      <c r="D2139" s="3" t="s">
        <v>3913</v>
      </c>
      <c r="E2139" s="3" t="b">
        <v>1</v>
      </c>
      <c r="F2139" s="3" t="b">
        <v>0</v>
      </c>
      <c r="G2139" s="3" t="s">
        <v>10003</v>
      </c>
      <c r="H2139" s="4" t="str">
        <f>_xlfn.IFNA(IF(((INDEX(RulebookFields!C2:C1898, MATCH(D2139,RulebookFields!A2:A1898, 0))="")=TRUE),  "",  INDEX(RulebookFields!C2:C1898, MATCH(D2139,RulebookFields!A2:A1898, 0))), "")</f>
        <v>ChangeRequests</v>
      </c>
      <c r="I2139" s="4" t="str">
        <f>_xlfn.IFNA(IF(((INDEX(RulebookFields!D2:D1898, MATCH(D2139,RulebookFields!A2:A1898, 0))="")=TRUE),  "",  INDEX(RulebookFields!D2:D1898, MATCH(D2139,RulebookFields!A2:A1898, 0))), "")</f>
        <v>ChangeRequestId</v>
      </c>
      <c r="J2139" s="4" t="b">
        <f>_xlfn.IFNA(IF(((INDEX(RulebookFields!I2:I1898, MATCH(D2139,RulebookFields!A2:A1898, 0))="")=TRUE),  "",  INDEX(RulebookFields!I2:I1898, MATCH(D2139,RulebookFields!A2:A1898, 0))), "")</f>
        <v>0</v>
      </c>
      <c r="K2139" s="4" t="b">
        <f>AND(((F2139)=TRUE), ((J2139)=TRUE))</f>
        <v>0</v>
      </c>
      <c r="L2139" s="4" t="b">
        <f>AND(((G2139 &lt;&gt; "plain")=TRUE), ((G2139 &lt;&gt; "")=TRUE))</f>
        <v>0</v>
      </c>
      <c r="M2139" s="4" t="str">
        <f>IF(((E2139)=TRUE),  C2139 &amp; "|" &amp; H2139,  "")</f>
        <v>principal-knowledge-authority|ChangeRequests</v>
      </c>
      <c r="N2139" s="3" t="s">
        <v>10004</v>
      </c>
    </row>
    <row r="2140">
      <c r="A2140" s="3" t="s">
        <v>12142</v>
      </c>
      <c r="B2140" s="4" t="str">
        <f>C2140 &amp; " -&gt; " &amp; D2140</f>
        <v>principal-knowledge-authority -&gt; ChangeRequests.Name</v>
      </c>
      <c r="C2140" s="3" t="s">
        <v>9774</v>
      </c>
      <c r="D2140" s="3" t="s">
        <v>3915</v>
      </c>
      <c r="E2140" s="3" t="b">
        <v>1</v>
      </c>
      <c r="F2140" s="3" t="b">
        <v>0</v>
      </c>
      <c r="G2140" s="3" t="s">
        <v>10003</v>
      </c>
      <c r="H2140" s="4" t="str">
        <f>_xlfn.IFNA(IF(((INDEX(RulebookFields!C2:C1898, MATCH(D2140,RulebookFields!A2:A1898, 0))="")=TRUE),  "",  INDEX(RulebookFields!C2:C1898, MATCH(D2140,RulebookFields!A2:A1898, 0))), "")</f>
        <v>ChangeRequests</v>
      </c>
      <c r="I2140" s="4" t="str">
        <f>_xlfn.IFNA(IF(((INDEX(RulebookFields!D2:D1898, MATCH(D2140,RulebookFields!A2:A1898, 0))="")=TRUE),  "",  INDEX(RulebookFields!D2:D1898, MATCH(D2140,RulebookFields!A2:A1898, 0))), "")</f>
        <v>Name</v>
      </c>
      <c r="J2140" s="4" t="b">
        <f>_xlfn.IFNA(IF(((INDEX(RulebookFields!I2:I1898, MATCH(D2140,RulebookFields!A2:A1898, 0))="")=TRUE),  "",  INDEX(RulebookFields!I2:I1898, MATCH(D2140,RulebookFields!A2:A1898, 0))), "")</f>
        <v>1</v>
      </c>
      <c r="K2140" s="4" t="b">
        <f>AND(((F2140)=TRUE), ((J2140)=TRUE))</f>
        <v>0</v>
      </c>
      <c r="L2140" s="4" t="b">
        <f>AND(((G2140 &lt;&gt; "plain")=TRUE), ((G2140 &lt;&gt; "")=TRUE))</f>
        <v>0</v>
      </c>
      <c r="M2140" s="4" t="str">
        <f>IF(((E2140)=TRUE),  C2140 &amp; "|" &amp; H2140,  "")</f>
        <v>principal-knowledge-authority|ChangeRequests</v>
      </c>
      <c r="N2140" s="3" t="s">
        <v>10004</v>
      </c>
    </row>
    <row r="2141">
      <c r="A2141" s="3" t="s">
        <v>12143</v>
      </c>
      <c r="B2141" s="4" t="str">
        <f>C2141 &amp; " -&gt; " &amp; D2141</f>
        <v>principal-knowledge-authority -&gt; ChangeRequests.ProcedureVersion</v>
      </c>
      <c r="C2141" s="3" t="s">
        <v>9774</v>
      </c>
      <c r="D2141" s="3" t="s">
        <v>3916</v>
      </c>
      <c r="E2141" s="3" t="b">
        <v>1</v>
      </c>
      <c r="F2141" s="3" t="b">
        <v>0</v>
      </c>
      <c r="G2141" s="3" t="s">
        <v>10003</v>
      </c>
      <c r="H2141" s="4" t="str">
        <f>_xlfn.IFNA(IF(((INDEX(RulebookFields!C2:C1898, MATCH(D2141,RulebookFields!A2:A1898, 0))="")=TRUE),  "",  INDEX(RulebookFields!C2:C1898, MATCH(D2141,RulebookFields!A2:A1898, 0))), "")</f>
        <v>ChangeRequests</v>
      </c>
      <c r="I2141" s="4" t="str">
        <f>_xlfn.IFNA(IF(((INDEX(RulebookFields!D2:D1898, MATCH(D2141,RulebookFields!A2:A1898, 0))="")=TRUE),  "",  INDEX(RulebookFields!D2:D1898, MATCH(D2141,RulebookFields!A2:A1898, 0))), "")</f>
        <v>ProcedureVersion</v>
      </c>
      <c r="J2141" s="4" t="b">
        <f>_xlfn.IFNA(IF(((INDEX(RulebookFields!I2:I1898, MATCH(D2141,RulebookFields!A2:A1898, 0))="")=TRUE),  "",  INDEX(RulebookFields!I2:I1898, MATCH(D2141,RulebookFields!A2:A1898, 0))), "")</f>
        <v>0</v>
      </c>
      <c r="K2141" s="4" t="b">
        <f>AND(((F2141)=TRUE), ((J2141)=TRUE))</f>
        <v>0</v>
      </c>
      <c r="L2141" s="4" t="b">
        <f>AND(((G2141 &lt;&gt; "plain")=TRUE), ((G2141 &lt;&gt; "")=TRUE))</f>
        <v>0</v>
      </c>
      <c r="M2141" s="4" t="str">
        <f>IF(((E2141)=TRUE),  C2141 &amp; "|" &amp; H2141,  "")</f>
        <v>principal-knowledge-authority|ChangeRequests</v>
      </c>
      <c r="N2141" s="3" t="s">
        <v>10004</v>
      </c>
    </row>
    <row r="2142">
      <c r="A2142" s="3" t="s">
        <v>12144</v>
      </c>
      <c r="B2142" s="4" t="str">
        <f>C2142 &amp; " -&gt; " &amp; D2142</f>
        <v>principal-knowledge-authority -&gt; ChangeRequests.Title</v>
      </c>
      <c r="C2142" s="3" t="s">
        <v>9774</v>
      </c>
      <c r="D2142" s="3" t="s">
        <v>3917</v>
      </c>
      <c r="E2142" s="3" t="b">
        <v>1</v>
      </c>
      <c r="F2142" s="3" t="b">
        <v>0</v>
      </c>
      <c r="G2142" s="3" t="s">
        <v>10003</v>
      </c>
      <c r="H2142" s="4" t="str">
        <f>_xlfn.IFNA(IF(((INDEX(RulebookFields!C2:C1898, MATCH(D2142,RulebookFields!A2:A1898, 0))="")=TRUE),  "",  INDEX(RulebookFields!C2:C1898, MATCH(D2142,RulebookFields!A2:A1898, 0))), "")</f>
        <v>ChangeRequests</v>
      </c>
      <c r="I2142" s="4" t="str">
        <f>_xlfn.IFNA(IF(((INDEX(RulebookFields!D2:D1898, MATCH(D2142,RulebookFields!A2:A1898, 0))="")=TRUE),  "",  INDEX(RulebookFields!D2:D1898, MATCH(D2142,RulebookFields!A2:A1898, 0))), "")</f>
        <v>Title</v>
      </c>
      <c r="J2142" s="4" t="b">
        <f>_xlfn.IFNA(IF(((INDEX(RulebookFields!I2:I1898, MATCH(D2142,RulebookFields!A2:A1898, 0))="")=TRUE),  "",  INDEX(RulebookFields!I2:I1898, MATCH(D2142,RulebookFields!A2:A1898, 0))), "")</f>
        <v>0</v>
      </c>
      <c r="K2142" s="4" t="b">
        <f>AND(((F2142)=TRUE), ((J2142)=TRUE))</f>
        <v>0</v>
      </c>
      <c r="L2142" s="4" t="b">
        <f>AND(((G2142 &lt;&gt; "plain")=TRUE), ((G2142 &lt;&gt; "")=TRUE))</f>
        <v>0</v>
      </c>
      <c r="M2142" s="4" t="str">
        <f>IF(((E2142)=TRUE),  C2142 &amp; "|" &amp; H2142,  "")</f>
        <v>principal-knowledge-authority|ChangeRequests</v>
      </c>
      <c r="N2142" s="3" t="s">
        <v>10004</v>
      </c>
    </row>
    <row r="2143">
      <c r="A2143" s="3" t="s">
        <v>12145</v>
      </c>
      <c r="B2143" s="4" t="str">
        <f>C2143 &amp; " -&gt; " &amp; D2143</f>
        <v>principal-knowledge-authority -&gt; ChangeRequests.ChangeKind</v>
      </c>
      <c r="C2143" s="3" t="s">
        <v>9774</v>
      </c>
      <c r="D2143" s="3" t="s">
        <v>3918</v>
      </c>
      <c r="E2143" s="3" t="b">
        <v>1</v>
      </c>
      <c r="F2143" s="3" t="b">
        <v>0</v>
      </c>
      <c r="G2143" s="3" t="s">
        <v>10003</v>
      </c>
      <c r="H2143" s="4" t="str">
        <f>_xlfn.IFNA(IF(((INDEX(RulebookFields!C2:C1898, MATCH(D2143,RulebookFields!A2:A1898, 0))="")=TRUE),  "",  INDEX(RulebookFields!C2:C1898, MATCH(D2143,RulebookFields!A2:A1898, 0))), "")</f>
        <v>ChangeRequests</v>
      </c>
      <c r="I2143" s="4" t="str">
        <f>_xlfn.IFNA(IF(((INDEX(RulebookFields!D2:D1898, MATCH(D2143,RulebookFields!A2:A1898, 0))="")=TRUE),  "",  INDEX(RulebookFields!D2:D1898, MATCH(D2143,RulebookFields!A2:A1898, 0))), "")</f>
        <v>ChangeKind</v>
      </c>
      <c r="J2143" s="4" t="b">
        <f>_xlfn.IFNA(IF(((INDEX(RulebookFields!I2:I1898, MATCH(D2143,RulebookFields!A2:A1898, 0))="")=TRUE),  "",  INDEX(RulebookFields!I2:I1898, MATCH(D2143,RulebookFields!A2:A1898, 0))), "")</f>
        <v>0</v>
      </c>
      <c r="K2143" s="4" t="b">
        <f>AND(((F2143)=TRUE), ((J2143)=TRUE))</f>
        <v>0</v>
      </c>
      <c r="L2143" s="4" t="b">
        <f>AND(((G2143 &lt;&gt; "plain")=TRUE), ((G2143 &lt;&gt; "")=TRUE))</f>
        <v>0</v>
      </c>
      <c r="M2143" s="4" t="str">
        <f>IF(((E2143)=TRUE),  C2143 &amp; "|" &amp; H2143,  "")</f>
        <v>principal-knowledge-authority|ChangeRequests</v>
      </c>
      <c r="N2143" s="3" t="s">
        <v>10004</v>
      </c>
    </row>
    <row r="2144">
      <c r="A2144" s="3" t="s">
        <v>12146</v>
      </c>
      <c r="B2144" s="4" t="str">
        <f>C2144 &amp; " -&gt; " &amp; D2144</f>
        <v>principal-knowledge-authority -&gt; ChangeRequests.Status</v>
      </c>
      <c r="C2144" s="3" t="s">
        <v>9774</v>
      </c>
      <c r="D2144" s="3" t="s">
        <v>3919</v>
      </c>
      <c r="E2144" s="3" t="b">
        <v>1</v>
      </c>
      <c r="F2144" s="3" t="b">
        <v>0</v>
      </c>
      <c r="G2144" s="3" t="s">
        <v>10003</v>
      </c>
      <c r="H2144" s="4" t="str">
        <f>_xlfn.IFNA(IF(((INDEX(RulebookFields!C2:C1898, MATCH(D2144,RulebookFields!A2:A1898, 0))="")=TRUE),  "",  INDEX(RulebookFields!C2:C1898, MATCH(D2144,RulebookFields!A2:A1898, 0))), "")</f>
        <v>ChangeRequests</v>
      </c>
      <c r="I2144" s="4" t="str">
        <f>_xlfn.IFNA(IF(((INDEX(RulebookFields!D2:D1898, MATCH(D2144,RulebookFields!A2:A1898, 0))="")=TRUE),  "",  INDEX(RulebookFields!D2:D1898, MATCH(D2144,RulebookFields!A2:A1898, 0))), "")</f>
        <v>Status</v>
      </c>
      <c r="J2144" s="4" t="b">
        <f>_xlfn.IFNA(IF(((INDEX(RulebookFields!I2:I1898, MATCH(D2144,RulebookFields!A2:A1898, 0))="")=TRUE),  "",  INDEX(RulebookFields!I2:I1898, MATCH(D2144,RulebookFields!A2:A1898, 0))), "")</f>
        <v>0</v>
      </c>
      <c r="K2144" s="4" t="b">
        <f>AND(((F2144)=TRUE), ((J2144)=TRUE))</f>
        <v>0</v>
      </c>
      <c r="L2144" s="4" t="b">
        <f>AND(((G2144 &lt;&gt; "plain")=TRUE), ((G2144 &lt;&gt; "")=TRUE))</f>
        <v>0</v>
      </c>
      <c r="M2144" s="4" t="str">
        <f>IF(((E2144)=TRUE),  C2144 &amp; "|" &amp; H2144,  "")</f>
        <v>principal-knowledge-authority|ChangeRequests</v>
      </c>
      <c r="N2144" s="3" t="s">
        <v>10004</v>
      </c>
    </row>
    <row r="2145">
      <c r="A2145" s="3" t="s">
        <v>12147</v>
      </c>
      <c r="B2145" s="4" t="str">
        <f>C2145 &amp; " -&gt; " &amp; D2145</f>
        <v>principal-knowledge-authority -&gt; ChangeRequests.RequestedByAgent</v>
      </c>
      <c r="C2145" s="3" t="s">
        <v>9774</v>
      </c>
      <c r="D2145" s="3" t="s">
        <v>3920</v>
      </c>
      <c r="E2145" s="3" t="b">
        <v>1</v>
      </c>
      <c r="F2145" s="3" t="b">
        <v>0</v>
      </c>
      <c r="G2145" s="3" t="s">
        <v>10003</v>
      </c>
      <c r="H2145" s="4" t="str">
        <f>_xlfn.IFNA(IF(((INDEX(RulebookFields!C2:C1898, MATCH(D2145,RulebookFields!A2:A1898, 0))="")=TRUE),  "",  INDEX(RulebookFields!C2:C1898, MATCH(D2145,RulebookFields!A2:A1898, 0))), "")</f>
        <v>ChangeRequests</v>
      </c>
      <c r="I2145" s="4" t="str">
        <f>_xlfn.IFNA(IF(((INDEX(RulebookFields!D2:D1898, MATCH(D2145,RulebookFields!A2:A1898, 0))="")=TRUE),  "",  INDEX(RulebookFields!D2:D1898, MATCH(D2145,RulebookFields!A2:A1898, 0))), "")</f>
        <v>RequestedByAgent</v>
      </c>
      <c r="J2145" s="4" t="b">
        <f>_xlfn.IFNA(IF(((INDEX(RulebookFields!I2:I1898, MATCH(D2145,RulebookFields!A2:A1898, 0))="")=TRUE),  "",  INDEX(RulebookFields!I2:I1898, MATCH(D2145,RulebookFields!A2:A1898, 0))), "")</f>
        <v>0</v>
      </c>
      <c r="K2145" s="4" t="b">
        <f>AND(((F2145)=TRUE), ((J2145)=TRUE))</f>
        <v>0</v>
      </c>
      <c r="L2145" s="4" t="b">
        <f>AND(((G2145 &lt;&gt; "plain")=TRUE), ((G2145 &lt;&gt; "")=TRUE))</f>
        <v>0</v>
      </c>
      <c r="M2145" s="4" t="str">
        <f>IF(((E2145)=TRUE),  C2145 &amp; "|" &amp; H2145,  "")</f>
        <v>principal-knowledge-authority|ChangeRequests</v>
      </c>
      <c r="N2145" s="3" t="s">
        <v>10004</v>
      </c>
    </row>
    <row r="2146">
      <c r="A2146" s="3" t="s">
        <v>12148</v>
      </c>
      <c r="B2146" s="4" t="str">
        <f>C2146 &amp; " -&gt; " &amp; D2146</f>
        <v>principal-knowledge-authority -&gt; ChangeRequests.AuthorityRole</v>
      </c>
      <c r="C2146" s="3" t="s">
        <v>9774</v>
      </c>
      <c r="D2146" s="3" t="s">
        <v>3921</v>
      </c>
      <c r="E2146" s="3" t="b">
        <v>1</v>
      </c>
      <c r="F2146" s="3" t="b">
        <v>0</v>
      </c>
      <c r="G2146" s="3" t="s">
        <v>10003</v>
      </c>
      <c r="H2146" s="4" t="str">
        <f>_xlfn.IFNA(IF(((INDEX(RulebookFields!C2:C1898, MATCH(D2146,RulebookFields!A2:A1898, 0))="")=TRUE),  "",  INDEX(RulebookFields!C2:C1898, MATCH(D2146,RulebookFields!A2:A1898, 0))), "")</f>
        <v>ChangeRequests</v>
      </c>
      <c r="I2146" s="4" t="str">
        <f>_xlfn.IFNA(IF(((INDEX(RulebookFields!D2:D1898, MATCH(D2146,RulebookFields!A2:A1898, 0))="")=TRUE),  "",  INDEX(RulebookFields!D2:D1898, MATCH(D2146,RulebookFields!A2:A1898, 0))), "")</f>
        <v>AuthorityRole</v>
      </c>
      <c r="J2146" s="4" t="b">
        <f>_xlfn.IFNA(IF(((INDEX(RulebookFields!I2:I1898, MATCH(D2146,RulebookFields!A2:A1898, 0))="")=TRUE),  "",  INDEX(RulebookFields!I2:I1898, MATCH(D2146,RulebookFields!A2:A1898, 0))), "")</f>
        <v>0</v>
      </c>
      <c r="K2146" s="4" t="b">
        <f>AND(((F2146)=TRUE), ((J2146)=TRUE))</f>
        <v>0</v>
      </c>
      <c r="L2146" s="4" t="b">
        <f>AND(((G2146 &lt;&gt; "plain")=TRUE), ((G2146 &lt;&gt; "")=TRUE))</f>
        <v>0</v>
      </c>
      <c r="M2146" s="4" t="str">
        <f>IF(((E2146)=TRUE),  C2146 &amp; "|" &amp; H2146,  "")</f>
        <v>principal-knowledge-authority|ChangeRequests</v>
      </c>
      <c r="N2146" s="3" t="s">
        <v>10004</v>
      </c>
    </row>
    <row r="2147">
      <c r="A2147" s="3" t="s">
        <v>12149</v>
      </c>
      <c r="B2147" s="4" t="str">
        <f>C2147 &amp; " -&gt; " &amp; D2147</f>
        <v>principal-knowledge-authority -&gt; ChangeRequests.RequestedAt</v>
      </c>
      <c r="C2147" s="3" t="s">
        <v>9774</v>
      </c>
      <c r="D2147" s="3" t="s">
        <v>3922</v>
      </c>
      <c r="E2147" s="3" t="b">
        <v>1</v>
      </c>
      <c r="F2147" s="3" t="b">
        <v>0</v>
      </c>
      <c r="G2147" s="3" t="s">
        <v>10003</v>
      </c>
      <c r="H2147" s="4" t="str">
        <f>_xlfn.IFNA(IF(((INDEX(RulebookFields!C2:C1898, MATCH(D2147,RulebookFields!A2:A1898, 0))="")=TRUE),  "",  INDEX(RulebookFields!C2:C1898, MATCH(D2147,RulebookFields!A2:A1898, 0))), "")</f>
        <v>ChangeRequests</v>
      </c>
      <c r="I2147" s="4" t="str">
        <f>_xlfn.IFNA(IF(((INDEX(RulebookFields!D2:D1898, MATCH(D2147,RulebookFields!A2:A1898, 0))="")=TRUE),  "",  INDEX(RulebookFields!D2:D1898, MATCH(D2147,RulebookFields!A2:A1898, 0))), "")</f>
        <v>RequestedAt</v>
      </c>
      <c r="J2147" s="4" t="b">
        <f>_xlfn.IFNA(IF(((INDEX(RulebookFields!I2:I1898, MATCH(D2147,RulebookFields!A2:A1898, 0))="")=TRUE),  "",  INDEX(RulebookFields!I2:I1898, MATCH(D2147,RulebookFields!A2:A1898, 0))), "")</f>
        <v>0</v>
      </c>
      <c r="K2147" s="4" t="b">
        <f>AND(((F2147)=TRUE), ((J2147)=TRUE))</f>
        <v>0</v>
      </c>
      <c r="L2147" s="4" t="b">
        <f>AND(((G2147 &lt;&gt; "plain")=TRUE), ((G2147 &lt;&gt; "")=TRUE))</f>
        <v>0</v>
      </c>
      <c r="M2147" s="4" t="str">
        <f>IF(((E2147)=TRUE),  C2147 &amp; "|" &amp; H2147,  "")</f>
        <v>principal-knowledge-authority|ChangeRequests</v>
      </c>
      <c r="N2147" s="3" t="s">
        <v>10004</v>
      </c>
    </row>
    <row r="2148">
      <c r="A2148" s="3" t="s">
        <v>12150</v>
      </c>
      <c r="B2148" s="4" t="str">
        <f>C2148 &amp; " -&gt; " &amp; D2148</f>
        <v>principal-knowledge-authority -&gt; ChangeRequests.DecidedAt</v>
      </c>
      <c r="C2148" s="3" t="s">
        <v>9774</v>
      </c>
      <c r="D2148" s="3" t="s">
        <v>3923</v>
      </c>
      <c r="E2148" s="3" t="b">
        <v>1</v>
      </c>
      <c r="F2148" s="3" t="b">
        <v>0</v>
      </c>
      <c r="G2148" s="3" t="s">
        <v>10003</v>
      </c>
      <c r="H2148" s="4" t="str">
        <f>_xlfn.IFNA(IF(((INDEX(RulebookFields!C2:C1898, MATCH(D2148,RulebookFields!A2:A1898, 0))="")=TRUE),  "",  INDEX(RulebookFields!C2:C1898, MATCH(D2148,RulebookFields!A2:A1898, 0))), "")</f>
        <v>ChangeRequests</v>
      </c>
      <c r="I2148" s="4" t="str">
        <f>_xlfn.IFNA(IF(((INDEX(RulebookFields!D2:D1898, MATCH(D2148,RulebookFields!A2:A1898, 0))="")=TRUE),  "",  INDEX(RulebookFields!D2:D1898, MATCH(D2148,RulebookFields!A2:A1898, 0))), "")</f>
        <v>DecidedAt</v>
      </c>
      <c r="J2148" s="4" t="b">
        <f>_xlfn.IFNA(IF(((INDEX(RulebookFields!I2:I1898, MATCH(D2148,RulebookFields!A2:A1898, 0))="")=TRUE),  "",  INDEX(RulebookFields!I2:I1898, MATCH(D2148,RulebookFields!A2:A1898, 0))), "")</f>
        <v>0</v>
      </c>
      <c r="K2148" s="4" t="b">
        <f>AND(((F2148)=TRUE), ((J2148)=TRUE))</f>
        <v>0</v>
      </c>
      <c r="L2148" s="4" t="b">
        <f>AND(((G2148 &lt;&gt; "plain")=TRUE), ((G2148 &lt;&gt; "")=TRUE))</f>
        <v>0</v>
      </c>
      <c r="M2148" s="4" t="str">
        <f>IF(((E2148)=TRUE),  C2148 &amp; "|" &amp; H2148,  "")</f>
        <v>principal-knowledge-authority|ChangeRequests</v>
      </c>
      <c r="N2148" s="3" t="s">
        <v>10004</v>
      </c>
    </row>
    <row r="2149">
      <c r="A2149" s="3" t="s">
        <v>12151</v>
      </c>
      <c r="B2149" s="4" t="str">
        <f>C2149 &amp; " -&gt; " &amp; D2149</f>
        <v>principal-knowledge-authority -&gt; ChangeRequests.ImpactAssessment</v>
      </c>
      <c r="C2149" s="3" t="s">
        <v>9774</v>
      </c>
      <c r="D2149" s="3" t="s">
        <v>3924</v>
      </c>
      <c r="E2149" s="3" t="b">
        <v>1</v>
      </c>
      <c r="F2149" s="3" t="b">
        <v>0</v>
      </c>
      <c r="G2149" s="3" t="s">
        <v>10003</v>
      </c>
      <c r="H2149" s="4" t="str">
        <f>_xlfn.IFNA(IF(((INDEX(RulebookFields!C2:C1898, MATCH(D2149,RulebookFields!A2:A1898, 0))="")=TRUE),  "",  INDEX(RulebookFields!C2:C1898, MATCH(D2149,RulebookFields!A2:A1898, 0))), "")</f>
        <v>ChangeRequests</v>
      </c>
      <c r="I2149" s="4" t="str">
        <f>_xlfn.IFNA(IF(((INDEX(RulebookFields!D2:D1898, MATCH(D2149,RulebookFields!A2:A1898, 0))="")=TRUE),  "",  INDEX(RulebookFields!D2:D1898, MATCH(D2149,RulebookFields!A2:A1898, 0))), "")</f>
        <v>ImpactAssessment</v>
      </c>
      <c r="J2149" s="4" t="b">
        <f>_xlfn.IFNA(IF(((INDEX(RulebookFields!I2:I1898, MATCH(D2149,RulebookFields!A2:A1898, 0))="")=TRUE),  "",  INDEX(RulebookFields!I2:I1898, MATCH(D2149,RulebookFields!A2:A1898, 0))), "")</f>
        <v>0</v>
      </c>
      <c r="K2149" s="4" t="b">
        <f>AND(((F2149)=TRUE), ((J2149)=TRUE))</f>
        <v>0</v>
      </c>
      <c r="L2149" s="4" t="b">
        <f>AND(((G2149 &lt;&gt; "plain")=TRUE), ((G2149 &lt;&gt; "")=TRUE))</f>
        <v>0</v>
      </c>
      <c r="M2149" s="4" t="str">
        <f>IF(((E2149)=TRUE),  C2149 &amp; "|" &amp; H2149,  "")</f>
        <v>principal-knowledge-authority|ChangeRequests</v>
      </c>
      <c r="N2149" s="3" t="s">
        <v>10004</v>
      </c>
    </row>
    <row r="2150">
      <c r="A2150" s="3" t="s">
        <v>12152</v>
      </c>
      <c r="B2150" s="4" t="str">
        <f>C2150 &amp; " -&gt; " &amp; D2150</f>
        <v>principal-knowledge-authority -&gt; ChangeRequests.IsOpen</v>
      </c>
      <c r="C2150" s="3" t="s">
        <v>9774</v>
      </c>
      <c r="D2150" s="3" t="s">
        <v>3925</v>
      </c>
      <c r="E2150" s="3" t="b">
        <v>1</v>
      </c>
      <c r="F2150" s="3" t="b">
        <v>0</v>
      </c>
      <c r="G2150" s="3" t="s">
        <v>10003</v>
      </c>
      <c r="H2150" s="4" t="str">
        <f>_xlfn.IFNA(IF(((INDEX(RulebookFields!C2:C1898, MATCH(D2150,RulebookFields!A2:A1898, 0))="")=TRUE),  "",  INDEX(RulebookFields!C2:C1898, MATCH(D2150,RulebookFields!A2:A1898, 0))), "")</f>
        <v>ChangeRequests</v>
      </c>
      <c r="I2150" s="4" t="str">
        <f>_xlfn.IFNA(IF(((INDEX(RulebookFields!D2:D1898, MATCH(D2150,RulebookFields!A2:A1898, 0))="")=TRUE),  "",  INDEX(RulebookFields!D2:D1898, MATCH(D2150,RulebookFields!A2:A1898, 0))), "")</f>
        <v>IsOpen</v>
      </c>
      <c r="J2150" s="4" t="b">
        <f>_xlfn.IFNA(IF(((INDEX(RulebookFields!I2:I1898, MATCH(D2150,RulebookFields!A2:A1898, 0))="")=TRUE),  "",  INDEX(RulebookFields!I2:I1898, MATCH(D2150,RulebookFields!A2:A1898, 0))), "")</f>
        <v>1</v>
      </c>
      <c r="K2150" s="4" t="b">
        <f>AND(((F2150)=TRUE), ((J2150)=TRUE))</f>
        <v>0</v>
      </c>
      <c r="L2150" s="4" t="b">
        <f>AND(((G2150 &lt;&gt; "plain")=TRUE), ((G2150 &lt;&gt; "")=TRUE))</f>
        <v>0</v>
      </c>
      <c r="M2150" s="4" t="str">
        <f>IF(((E2150)=TRUE),  C2150 &amp; "|" &amp; H2150,  "")</f>
        <v>principal-knowledge-authority|ChangeRequests</v>
      </c>
      <c r="N2150" s="3" t="s">
        <v>10004</v>
      </c>
    </row>
    <row r="2151">
      <c r="A2151" s="3" t="s">
        <v>12153</v>
      </c>
      <c r="B2151" s="4" t="str">
        <f>C2151 &amp; " -&gt; " &amp; D2151</f>
        <v>principal-knowledge-authority -&gt; ChangeRequests.OpenChangeVersionKey</v>
      </c>
      <c r="C2151" s="3" t="s">
        <v>9774</v>
      </c>
      <c r="D2151" s="3" t="s">
        <v>3927</v>
      </c>
      <c r="E2151" s="3" t="b">
        <v>1</v>
      </c>
      <c r="F2151" s="3" t="b">
        <v>0</v>
      </c>
      <c r="G2151" s="3" t="s">
        <v>10003</v>
      </c>
      <c r="H2151" s="4" t="str">
        <f>_xlfn.IFNA(IF(((INDEX(RulebookFields!C2:C1898, MATCH(D2151,RulebookFields!A2:A1898, 0))="")=TRUE),  "",  INDEX(RulebookFields!C2:C1898, MATCH(D2151,RulebookFields!A2:A1898, 0))), "")</f>
        <v>ChangeRequests</v>
      </c>
      <c r="I2151" s="4" t="str">
        <f>_xlfn.IFNA(IF(((INDEX(RulebookFields!D2:D1898, MATCH(D2151,RulebookFields!A2:A1898, 0))="")=TRUE),  "",  INDEX(RulebookFields!D2:D1898, MATCH(D2151,RulebookFields!A2:A1898, 0))), "")</f>
        <v>OpenChangeVersionKey</v>
      </c>
      <c r="J2151" s="4" t="b">
        <f>_xlfn.IFNA(IF(((INDEX(RulebookFields!I2:I1898, MATCH(D2151,RulebookFields!A2:A1898, 0))="")=TRUE),  "",  INDEX(RulebookFields!I2:I1898, MATCH(D2151,RulebookFields!A2:A1898, 0))), "")</f>
        <v>1</v>
      </c>
      <c r="K2151" s="4" t="b">
        <f>AND(((F2151)=TRUE), ((J2151)=TRUE))</f>
        <v>0</v>
      </c>
      <c r="L2151" s="4" t="b">
        <f>AND(((G2151 &lt;&gt; "plain")=TRUE), ((G2151 &lt;&gt; "")=TRUE))</f>
        <v>0</v>
      </c>
      <c r="M2151" s="4" t="str">
        <f>IF(((E2151)=TRUE),  C2151 &amp; "|" &amp; H2151,  "")</f>
        <v>principal-knowledge-authority|ChangeRequests</v>
      </c>
      <c r="N2151" s="3" t="s">
        <v>10004</v>
      </c>
    </row>
    <row r="2152">
      <c r="A2152" s="3" t="s">
        <v>12154</v>
      </c>
      <c r="B2152" s="4" t="str">
        <f>C2152 &amp; " -&gt; " &amp; D2152</f>
        <v>principal-knowledge-authority -&gt; ChangeRequests.IsDecided</v>
      </c>
      <c r="C2152" s="3" t="s">
        <v>9774</v>
      </c>
      <c r="D2152" s="3" t="s">
        <v>3929</v>
      </c>
      <c r="E2152" s="3" t="b">
        <v>1</v>
      </c>
      <c r="F2152" s="3" t="b">
        <v>0</v>
      </c>
      <c r="G2152" s="3" t="s">
        <v>10003</v>
      </c>
      <c r="H2152" s="4" t="str">
        <f>_xlfn.IFNA(IF(((INDEX(RulebookFields!C2:C1898, MATCH(D2152,RulebookFields!A2:A1898, 0))="")=TRUE),  "",  INDEX(RulebookFields!C2:C1898, MATCH(D2152,RulebookFields!A2:A1898, 0))), "")</f>
        <v>ChangeRequests</v>
      </c>
      <c r="I2152" s="4" t="str">
        <f>_xlfn.IFNA(IF(((INDEX(RulebookFields!D2:D1898, MATCH(D2152,RulebookFields!A2:A1898, 0))="")=TRUE),  "",  INDEX(RulebookFields!D2:D1898, MATCH(D2152,RulebookFields!A2:A1898, 0))), "")</f>
        <v>IsDecided</v>
      </c>
      <c r="J2152" s="4" t="b">
        <f>_xlfn.IFNA(IF(((INDEX(RulebookFields!I2:I1898, MATCH(D2152,RulebookFields!A2:A1898, 0))="")=TRUE),  "",  INDEX(RulebookFields!I2:I1898, MATCH(D2152,RulebookFields!A2:A1898, 0))), "")</f>
        <v>1</v>
      </c>
      <c r="K2152" s="4" t="b">
        <f>AND(((F2152)=TRUE), ((J2152)=TRUE))</f>
        <v>0</v>
      </c>
      <c r="L2152" s="4" t="b">
        <f>AND(((G2152 &lt;&gt; "plain")=TRUE), ((G2152 &lt;&gt; "")=TRUE))</f>
        <v>0</v>
      </c>
      <c r="M2152" s="4" t="str">
        <f>IF(((E2152)=TRUE),  C2152 &amp; "|" &amp; H2152,  "")</f>
        <v>principal-knowledge-authority|ChangeRequests</v>
      </c>
      <c r="N2152" s="3" t="s">
        <v>10004</v>
      </c>
    </row>
    <row r="2153">
      <c r="A2153" s="3" t="s">
        <v>12155</v>
      </c>
      <c r="B2153" s="4" t="str">
        <f>C2153 &amp; " -&gt; " &amp; D2153</f>
        <v>principal-knowledge-authority -&gt; ChangeRequests.EvaluationContext</v>
      </c>
      <c r="C2153" s="3" t="s">
        <v>9774</v>
      </c>
      <c r="D2153" s="3" t="s">
        <v>3931</v>
      </c>
      <c r="E2153" s="3" t="b">
        <v>1</v>
      </c>
      <c r="F2153" s="3" t="b">
        <v>0</v>
      </c>
      <c r="G2153" s="3" t="s">
        <v>10003</v>
      </c>
      <c r="H2153" s="4" t="str">
        <f>_xlfn.IFNA(IF(((INDEX(RulebookFields!C2:C1898, MATCH(D2153,RulebookFields!A2:A1898, 0))="")=TRUE),  "",  INDEX(RulebookFields!C2:C1898, MATCH(D2153,RulebookFields!A2:A1898, 0))), "")</f>
        <v>ChangeRequests</v>
      </c>
      <c r="I2153" s="4" t="str">
        <f>_xlfn.IFNA(IF(((INDEX(RulebookFields!D2:D1898, MATCH(D2153,RulebookFields!A2:A1898, 0))="")=TRUE),  "",  INDEX(RulebookFields!D2:D1898, MATCH(D2153,RulebookFields!A2:A1898, 0))), "")</f>
        <v>EvaluationContext</v>
      </c>
      <c r="J2153" s="4" t="b">
        <f>_xlfn.IFNA(IF(((INDEX(RulebookFields!I2:I1898, MATCH(D2153,RulebookFields!A2:A1898, 0))="")=TRUE),  "",  INDEX(RulebookFields!I2:I1898, MATCH(D2153,RulebookFields!A2:A1898, 0))), "")</f>
        <v>0</v>
      </c>
      <c r="K2153" s="4" t="b">
        <f>AND(((F2153)=TRUE), ((J2153)=TRUE))</f>
        <v>0</v>
      </c>
      <c r="L2153" s="4" t="b">
        <f>AND(((G2153 &lt;&gt; "plain")=TRUE), ((G2153 &lt;&gt; "")=TRUE))</f>
        <v>0</v>
      </c>
      <c r="M2153" s="4" t="str">
        <f>IF(((E2153)=TRUE),  C2153 &amp; "|" &amp; H2153,  "")</f>
        <v>principal-knowledge-authority|ChangeRequests</v>
      </c>
      <c r="N2153" s="3" t="s">
        <v>10004</v>
      </c>
    </row>
    <row r="2154">
      <c r="A2154" s="3" t="s">
        <v>12156</v>
      </c>
      <c r="B2154" s="4" t="str">
        <f>C2154 &amp; " -&gt; " &amp; D2154</f>
        <v>principal-knowledge-authority -&gt; ChangeRequests.AsOfInstant</v>
      </c>
      <c r="C2154" s="3" t="s">
        <v>9774</v>
      </c>
      <c r="D2154" s="3" t="s">
        <v>3932</v>
      </c>
      <c r="E2154" s="3" t="b">
        <v>1</v>
      </c>
      <c r="F2154" s="3" t="b">
        <v>0</v>
      </c>
      <c r="G2154" s="3" t="s">
        <v>10003</v>
      </c>
      <c r="H2154" s="4" t="str">
        <f>_xlfn.IFNA(IF(((INDEX(RulebookFields!C2:C1898, MATCH(D2154,RulebookFields!A2:A1898, 0))="")=TRUE),  "",  INDEX(RulebookFields!C2:C1898, MATCH(D2154,RulebookFields!A2:A1898, 0))), "")</f>
        <v>ChangeRequests</v>
      </c>
      <c r="I2154" s="4" t="str">
        <f>_xlfn.IFNA(IF(((INDEX(RulebookFields!D2:D1898, MATCH(D2154,RulebookFields!A2:A1898, 0))="")=TRUE),  "",  INDEX(RulebookFields!D2:D1898, MATCH(D2154,RulebookFields!A2:A1898, 0))), "")</f>
        <v>AsOfInstant</v>
      </c>
      <c r="J2154" s="4" t="b">
        <f>_xlfn.IFNA(IF(((INDEX(RulebookFields!I2:I1898, MATCH(D2154,RulebookFields!A2:A1898, 0))="")=TRUE),  "",  INDEX(RulebookFields!I2:I1898, MATCH(D2154,RulebookFields!A2:A1898, 0))), "")</f>
        <v>1</v>
      </c>
      <c r="K2154" s="4" t="b">
        <f>AND(((F2154)=TRUE), ((J2154)=TRUE))</f>
        <v>0</v>
      </c>
      <c r="L2154" s="4" t="b">
        <f>AND(((G2154 &lt;&gt; "plain")=TRUE), ((G2154 &lt;&gt; "")=TRUE))</f>
        <v>0</v>
      </c>
      <c r="M2154" s="4" t="str">
        <f>IF(((E2154)=TRUE),  C2154 &amp; "|" &amp; H2154,  "")</f>
        <v>principal-knowledge-authority|ChangeRequests</v>
      </c>
      <c r="N2154" s="3" t="s">
        <v>10004</v>
      </c>
    </row>
    <row r="2155">
      <c r="A2155" s="3" t="s">
        <v>12157</v>
      </c>
      <c r="B2155" s="4" t="str">
        <f>C2155 &amp; " -&gt; " &amp; D2155</f>
        <v>principal-knowledge-authority -&gt; ChangeRequests.DaysPending</v>
      </c>
      <c r="C2155" s="3" t="s">
        <v>9774</v>
      </c>
      <c r="D2155" s="3" t="s">
        <v>3933</v>
      </c>
      <c r="E2155" s="3" t="b">
        <v>1</v>
      </c>
      <c r="F2155" s="3" t="b">
        <v>0</v>
      </c>
      <c r="G2155" s="3" t="s">
        <v>10003</v>
      </c>
      <c r="H2155" s="4" t="str">
        <f>_xlfn.IFNA(IF(((INDEX(RulebookFields!C2:C1898, MATCH(D2155,RulebookFields!A2:A1898, 0))="")=TRUE),  "",  INDEX(RulebookFields!C2:C1898, MATCH(D2155,RulebookFields!A2:A1898, 0))), "")</f>
        <v>ChangeRequests</v>
      </c>
      <c r="I2155" s="4" t="str">
        <f>_xlfn.IFNA(IF(((INDEX(RulebookFields!D2:D1898, MATCH(D2155,RulebookFields!A2:A1898, 0))="")=TRUE),  "",  INDEX(RulebookFields!D2:D1898, MATCH(D2155,RulebookFields!A2:A1898, 0))), "")</f>
        <v>DaysPending</v>
      </c>
      <c r="J2155" s="4" t="b">
        <f>_xlfn.IFNA(IF(((INDEX(RulebookFields!I2:I1898, MATCH(D2155,RulebookFields!A2:A1898, 0))="")=TRUE),  "",  INDEX(RulebookFields!I2:I1898, MATCH(D2155,RulebookFields!A2:A1898, 0))), "")</f>
        <v>1</v>
      </c>
      <c r="K2155" s="4" t="b">
        <f>AND(((F2155)=TRUE), ((J2155)=TRUE))</f>
        <v>0</v>
      </c>
      <c r="L2155" s="4" t="b">
        <f>AND(((G2155 &lt;&gt; "plain")=TRUE), ((G2155 &lt;&gt; "")=TRUE))</f>
        <v>0</v>
      </c>
      <c r="M2155" s="4" t="str">
        <f>IF(((E2155)=TRUE),  C2155 &amp; "|" &amp; H2155,  "")</f>
        <v>principal-knowledge-authority|ChangeRequests</v>
      </c>
      <c r="N2155" s="3" t="s">
        <v>10004</v>
      </c>
    </row>
    <row r="2156">
      <c r="A2156" s="3" t="s">
        <v>12158</v>
      </c>
      <c r="B2156" s="4" t="str">
        <f>C2156 &amp; " -&gt; " &amp; D2156</f>
        <v>principal-knowledge-authority -&gt; ChangeRequests.IsStillPending</v>
      </c>
      <c r="C2156" s="3" t="s">
        <v>9774</v>
      </c>
      <c r="D2156" s="3" t="s">
        <v>3935</v>
      </c>
      <c r="E2156" s="3" t="b">
        <v>1</v>
      </c>
      <c r="F2156" s="3" t="b">
        <v>0</v>
      </c>
      <c r="G2156" s="3" t="s">
        <v>10003</v>
      </c>
      <c r="H2156" s="4" t="str">
        <f>_xlfn.IFNA(IF(((INDEX(RulebookFields!C2:C1898, MATCH(D2156,RulebookFields!A2:A1898, 0))="")=TRUE),  "",  INDEX(RulebookFields!C2:C1898, MATCH(D2156,RulebookFields!A2:A1898, 0))), "")</f>
        <v>ChangeRequests</v>
      </c>
      <c r="I2156" s="4" t="str">
        <f>_xlfn.IFNA(IF(((INDEX(RulebookFields!D2:D1898, MATCH(D2156,RulebookFields!A2:A1898, 0))="")=TRUE),  "",  INDEX(RulebookFields!D2:D1898, MATCH(D2156,RulebookFields!A2:A1898, 0))), "")</f>
        <v>IsStillPending</v>
      </c>
      <c r="J2156" s="4" t="b">
        <f>_xlfn.IFNA(IF(((INDEX(RulebookFields!I2:I1898, MATCH(D2156,RulebookFields!A2:A1898, 0))="")=TRUE),  "",  INDEX(RulebookFields!I2:I1898, MATCH(D2156,RulebookFields!A2:A1898, 0))), "")</f>
        <v>1</v>
      </c>
      <c r="K2156" s="4" t="b">
        <f>AND(((F2156)=TRUE), ((J2156)=TRUE))</f>
        <v>0</v>
      </c>
      <c r="L2156" s="4" t="b">
        <f>AND(((G2156 &lt;&gt; "plain")=TRUE), ((G2156 &lt;&gt; "")=TRUE))</f>
        <v>0</v>
      </c>
      <c r="M2156" s="4" t="str">
        <f>IF(((E2156)=TRUE),  C2156 &amp; "|" &amp; H2156,  "")</f>
        <v>principal-knowledge-authority|ChangeRequests</v>
      </c>
      <c r="N2156" s="3" t="s">
        <v>10004</v>
      </c>
    </row>
    <row r="2157">
      <c r="A2157" s="3" t="s">
        <v>12159</v>
      </c>
      <c r="B2157" s="4" t="str">
        <f>C2157 &amp; " -&gt; " &amp; D2157</f>
        <v>principal-knowledge-authority -&gt; ChangeRequests.IsStalled</v>
      </c>
      <c r="C2157" s="3" t="s">
        <v>9774</v>
      </c>
      <c r="D2157" s="3" t="s">
        <v>3937</v>
      </c>
      <c r="E2157" s="3" t="b">
        <v>1</v>
      </c>
      <c r="F2157" s="3" t="b">
        <v>0</v>
      </c>
      <c r="G2157" s="3" t="s">
        <v>10003</v>
      </c>
      <c r="H2157" s="4" t="str">
        <f>_xlfn.IFNA(IF(((INDEX(RulebookFields!C2:C1898, MATCH(D2157,RulebookFields!A2:A1898, 0))="")=TRUE),  "",  INDEX(RulebookFields!C2:C1898, MATCH(D2157,RulebookFields!A2:A1898, 0))), "")</f>
        <v>ChangeRequests</v>
      </c>
      <c r="I2157" s="4" t="str">
        <f>_xlfn.IFNA(IF(((INDEX(RulebookFields!D2:D1898, MATCH(D2157,RulebookFields!A2:A1898, 0))="")=TRUE),  "",  INDEX(RulebookFields!D2:D1898, MATCH(D2157,RulebookFields!A2:A1898, 0))), "")</f>
        <v>IsStalled</v>
      </c>
      <c r="J2157" s="4" t="b">
        <f>_xlfn.IFNA(IF(((INDEX(RulebookFields!I2:I1898, MATCH(D2157,RulebookFields!A2:A1898, 0))="")=TRUE),  "",  INDEX(RulebookFields!I2:I1898, MATCH(D2157,RulebookFields!A2:A1898, 0))), "")</f>
        <v>1</v>
      </c>
      <c r="K2157" s="4" t="b">
        <f>AND(((F2157)=TRUE), ((J2157)=TRUE))</f>
        <v>0</v>
      </c>
      <c r="L2157" s="4" t="b">
        <f>AND(((G2157 &lt;&gt; "plain")=TRUE), ((G2157 &lt;&gt; "")=TRUE))</f>
        <v>0</v>
      </c>
      <c r="M2157" s="4" t="str">
        <f>IF(((E2157)=TRUE),  C2157 &amp; "|" &amp; H2157,  "")</f>
        <v>principal-knowledge-authority|ChangeRequests</v>
      </c>
      <c r="N2157" s="3" t="s">
        <v>10004</v>
      </c>
    </row>
    <row r="2158">
      <c r="A2158" s="3" t="s">
        <v>12160</v>
      </c>
      <c r="B2158" s="4" t="str">
        <f>C2158 &amp; " -&gt; " &amp; D2158</f>
        <v>principal-knowledge-authority -&gt; ChangeRequests.AuthorityAgent</v>
      </c>
      <c r="C2158" s="3" t="s">
        <v>9774</v>
      </c>
      <c r="D2158" s="3" t="s">
        <v>3939</v>
      </c>
      <c r="E2158" s="3" t="b">
        <v>1</v>
      </c>
      <c r="F2158" s="3" t="b">
        <v>0</v>
      </c>
      <c r="G2158" s="3" t="s">
        <v>10003</v>
      </c>
      <c r="H2158" s="4" t="str">
        <f>_xlfn.IFNA(IF(((INDEX(RulebookFields!C2:C1898, MATCH(D2158,RulebookFields!A2:A1898, 0))="")=TRUE),  "",  INDEX(RulebookFields!C2:C1898, MATCH(D2158,RulebookFields!A2:A1898, 0))), "")</f>
        <v>ChangeRequests</v>
      </c>
      <c r="I2158" s="4" t="str">
        <f>_xlfn.IFNA(IF(((INDEX(RulebookFields!D2:D1898, MATCH(D2158,RulebookFields!A2:A1898, 0))="")=TRUE),  "",  INDEX(RulebookFields!D2:D1898, MATCH(D2158,RulebookFields!A2:A1898, 0))), "")</f>
        <v>AuthorityAgent</v>
      </c>
      <c r="J2158" s="4" t="b">
        <f>_xlfn.IFNA(IF(((INDEX(RulebookFields!I2:I1898, MATCH(D2158,RulebookFields!A2:A1898, 0))="")=TRUE),  "",  INDEX(RulebookFields!I2:I1898, MATCH(D2158,RulebookFields!A2:A1898, 0))), "")</f>
        <v>1</v>
      </c>
      <c r="K2158" s="4" t="b">
        <f>AND(((F2158)=TRUE), ((J2158)=TRUE))</f>
        <v>0</v>
      </c>
      <c r="L2158" s="4" t="b">
        <f>AND(((G2158 &lt;&gt; "plain")=TRUE), ((G2158 &lt;&gt; "")=TRUE))</f>
        <v>0</v>
      </c>
      <c r="M2158" s="4" t="str">
        <f>IF(((E2158)=TRUE),  C2158 &amp; "|" &amp; H2158,  "")</f>
        <v>principal-knowledge-authority|ChangeRequests</v>
      </c>
      <c r="N2158" s="3" t="s">
        <v>10004</v>
      </c>
    </row>
    <row r="2159">
      <c r="A2159" s="3" t="s">
        <v>12161</v>
      </c>
      <c r="B2159" s="4" t="str">
        <f>C2159 &amp; " -&gt; " &amp; D2159</f>
        <v>principal-knowledge-authority -&gt; ChangeRequests.RequesterIsAuthority</v>
      </c>
      <c r="C2159" s="3" t="s">
        <v>9774</v>
      </c>
      <c r="D2159" s="3" t="s">
        <v>3941</v>
      </c>
      <c r="E2159" s="3" t="b">
        <v>1</v>
      </c>
      <c r="F2159" s="3" t="b">
        <v>0</v>
      </c>
      <c r="G2159" s="3" t="s">
        <v>10003</v>
      </c>
      <c r="H2159" s="4" t="str">
        <f>_xlfn.IFNA(IF(((INDEX(RulebookFields!C2:C1898, MATCH(D2159,RulebookFields!A2:A1898, 0))="")=TRUE),  "",  INDEX(RulebookFields!C2:C1898, MATCH(D2159,RulebookFields!A2:A1898, 0))), "")</f>
        <v>ChangeRequests</v>
      </c>
      <c r="I2159" s="4" t="str">
        <f>_xlfn.IFNA(IF(((INDEX(RulebookFields!D2:D1898, MATCH(D2159,RulebookFields!A2:A1898, 0))="")=TRUE),  "",  INDEX(RulebookFields!D2:D1898, MATCH(D2159,RulebookFields!A2:A1898, 0))), "")</f>
        <v>RequesterIsAuthority</v>
      </c>
      <c r="J2159" s="4" t="b">
        <f>_xlfn.IFNA(IF(((INDEX(RulebookFields!I2:I1898, MATCH(D2159,RulebookFields!A2:A1898, 0))="")=TRUE),  "",  INDEX(RulebookFields!I2:I1898, MATCH(D2159,RulebookFields!A2:A1898, 0))), "")</f>
        <v>1</v>
      </c>
      <c r="K2159" s="4" t="b">
        <f>AND(((F2159)=TRUE), ((J2159)=TRUE))</f>
        <v>0</v>
      </c>
      <c r="L2159" s="4" t="b">
        <f>AND(((G2159 &lt;&gt; "plain")=TRUE), ((G2159 &lt;&gt; "")=TRUE))</f>
        <v>0</v>
      </c>
      <c r="M2159" s="4" t="str">
        <f>IF(((E2159)=TRUE),  C2159 &amp; "|" &amp; H2159,  "")</f>
        <v>principal-knowledge-authority|ChangeRequests</v>
      </c>
      <c r="N2159" s="3" t="s">
        <v>10004</v>
      </c>
    </row>
    <row r="2160">
      <c r="A2160" s="3" t="s">
        <v>12162</v>
      </c>
      <c r="B2160" s="4" t="str">
        <f>C2160 &amp; " -&gt; " &amp; D2160</f>
        <v>principal-knowledge-authority -&gt; ChangeRequests.AwaitsAuthorityDecision</v>
      </c>
      <c r="C2160" s="3" t="s">
        <v>9774</v>
      </c>
      <c r="D2160" s="3" t="s">
        <v>3943</v>
      </c>
      <c r="E2160" s="3" t="b">
        <v>1</v>
      </c>
      <c r="F2160" s="3" t="b">
        <v>0</v>
      </c>
      <c r="G2160" s="3" t="s">
        <v>10003</v>
      </c>
      <c r="H2160" s="4" t="str">
        <f>_xlfn.IFNA(IF(((INDEX(RulebookFields!C2:C1898, MATCH(D2160,RulebookFields!A2:A1898, 0))="")=TRUE),  "",  INDEX(RulebookFields!C2:C1898, MATCH(D2160,RulebookFields!A2:A1898, 0))), "")</f>
        <v>ChangeRequests</v>
      </c>
      <c r="I2160" s="4" t="str">
        <f>_xlfn.IFNA(IF(((INDEX(RulebookFields!D2:D1898, MATCH(D2160,RulebookFields!A2:A1898, 0))="")=TRUE),  "",  INDEX(RulebookFields!D2:D1898, MATCH(D2160,RulebookFields!A2:A1898, 0))), "")</f>
        <v>AwaitsAuthorityDecision</v>
      </c>
      <c r="J2160" s="4" t="b">
        <f>_xlfn.IFNA(IF(((INDEX(RulebookFields!I2:I1898, MATCH(D2160,RulebookFields!A2:A1898, 0))="")=TRUE),  "",  INDEX(RulebookFields!I2:I1898, MATCH(D2160,RulebookFields!A2:A1898, 0))), "")</f>
        <v>1</v>
      </c>
      <c r="K2160" s="4" t="b">
        <f>AND(((F2160)=TRUE), ((J2160)=TRUE))</f>
        <v>0</v>
      </c>
      <c r="L2160" s="4" t="b">
        <f>AND(((G2160 &lt;&gt; "plain")=TRUE), ((G2160 &lt;&gt; "")=TRUE))</f>
        <v>0</v>
      </c>
      <c r="M2160" s="4" t="str">
        <f>IF(((E2160)=TRUE),  C2160 &amp; "|" &amp; H2160,  "")</f>
        <v>principal-knowledge-authority|ChangeRequests</v>
      </c>
      <c r="N2160" s="3" t="s">
        <v>10004</v>
      </c>
    </row>
    <row r="2161">
      <c r="A2161" s="3" t="s">
        <v>12163</v>
      </c>
      <c r="B2161" s="4" t="str">
        <f>C2161 &amp; " -&gt; " &amp; D2161</f>
        <v>principal-knowledge-authority -&gt; ChangeRequests.AuthorityRoleLabel</v>
      </c>
      <c r="C2161" s="3" t="s">
        <v>9774</v>
      </c>
      <c r="D2161" s="3" t="s">
        <v>3945</v>
      </c>
      <c r="E2161" s="3" t="b">
        <v>1</v>
      </c>
      <c r="F2161" s="3" t="b">
        <v>0</v>
      </c>
      <c r="G2161" s="3" t="s">
        <v>10003</v>
      </c>
      <c r="H2161" s="4" t="str">
        <f>_xlfn.IFNA(IF(((INDEX(RulebookFields!C2:C1898, MATCH(D2161,RulebookFields!A2:A1898, 0))="")=TRUE),  "",  INDEX(RulebookFields!C2:C1898, MATCH(D2161,RulebookFields!A2:A1898, 0))), "")</f>
        <v>ChangeRequests</v>
      </c>
      <c r="I2161" s="4" t="str">
        <f>_xlfn.IFNA(IF(((INDEX(RulebookFields!D2:D1898, MATCH(D2161,RulebookFields!A2:A1898, 0))="")=TRUE),  "",  INDEX(RulebookFields!D2:D1898, MATCH(D2161,RulebookFields!A2:A1898, 0))), "")</f>
        <v>AuthorityRoleLabel</v>
      </c>
      <c r="J2161" s="4" t="b">
        <f>_xlfn.IFNA(IF(((INDEX(RulebookFields!I2:I1898, MATCH(D2161,RulebookFields!A2:A1898, 0))="")=TRUE),  "",  INDEX(RulebookFields!I2:I1898, MATCH(D2161,RulebookFields!A2:A1898, 0))), "")</f>
        <v>1</v>
      </c>
      <c r="K2161" s="4" t="b">
        <f>AND(((F2161)=TRUE), ((J2161)=TRUE))</f>
        <v>0</v>
      </c>
      <c r="L2161" s="4" t="b">
        <f>AND(((G2161 &lt;&gt; "plain")=TRUE), ((G2161 &lt;&gt; "")=TRUE))</f>
        <v>0</v>
      </c>
      <c r="M2161" s="4" t="str">
        <f>IF(((E2161)=TRUE),  C2161 &amp; "|" &amp; H2161,  "")</f>
        <v>principal-knowledge-authority|ChangeRequests</v>
      </c>
      <c r="N2161" s="3" t="s">
        <v>10004</v>
      </c>
    </row>
    <row r="2162">
      <c r="A2162" s="3" t="s">
        <v>12164</v>
      </c>
      <c r="B2162" s="4" t="str">
        <f>C2162 &amp; " -&gt; " &amp; D2162</f>
        <v>principal-knowledge-authority -&gt; ChangeRequests.TouchesLiveVersion</v>
      </c>
      <c r="C2162" s="3" t="s">
        <v>9774</v>
      </c>
      <c r="D2162" s="3" t="s">
        <v>3947</v>
      </c>
      <c r="E2162" s="3" t="b">
        <v>1</v>
      </c>
      <c r="F2162" s="3" t="b">
        <v>0</v>
      </c>
      <c r="G2162" s="3" t="s">
        <v>10003</v>
      </c>
      <c r="H2162" s="4" t="str">
        <f>_xlfn.IFNA(IF(((INDEX(RulebookFields!C2:C1898, MATCH(D2162,RulebookFields!A2:A1898, 0))="")=TRUE),  "",  INDEX(RulebookFields!C2:C1898, MATCH(D2162,RulebookFields!A2:A1898, 0))), "")</f>
        <v>ChangeRequests</v>
      </c>
      <c r="I2162" s="4" t="str">
        <f>_xlfn.IFNA(IF(((INDEX(RulebookFields!D2:D1898, MATCH(D2162,RulebookFields!A2:A1898, 0))="")=TRUE),  "",  INDEX(RulebookFields!D2:D1898, MATCH(D2162,RulebookFields!A2:A1898, 0))), "")</f>
        <v>TouchesLiveVersion</v>
      </c>
      <c r="J2162" s="4" t="b">
        <f>_xlfn.IFNA(IF(((INDEX(RulebookFields!I2:I1898, MATCH(D2162,RulebookFields!A2:A1898, 0))="")=TRUE),  "",  INDEX(RulebookFields!I2:I1898, MATCH(D2162,RulebookFields!A2:A1898, 0))), "")</f>
        <v>1</v>
      </c>
      <c r="K2162" s="4" t="b">
        <f>AND(((F2162)=TRUE), ((J2162)=TRUE))</f>
        <v>0</v>
      </c>
      <c r="L2162" s="4" t="b">
        <f>AND(((G2162 &lt;&gt; "plain")=TRUE), ((G2162 &lt;&gt; "")=TRUE))</f>
        <v>0</v>
      </c>
      <c r="M2162" s="4" t="str">
        <f>IF(((E2162)=TRUE),  C2162 &amp; "|" &amp; H2162,  "")</f>
        <v>principal-knowledge-authority|ChangeRequests</v>
      </c>
      <c r="N2162" s="3" t="s">
        <v>10004</v>
      </c>
    </row>
    <row r="2163">
      <c r="A2163" s="3" t="s">
        <v>12165</v>
      </c>
      <c r="B2163" s="4" t="str">
        <f>C2163 &amp; " -&gt; " &amp; D2163</f>
        <v>principal-knowledge-authority -&gt; ChangeRequests.IsLiveDecisionBacklog</v>
      </c>
      <c r="C2163" s="3" t="s">
        <v>9774</v>
      </c>
      <c r="D2163" s="3" t="s">
        <v>3948</v>
      </c>
      <c r="E2163" s="3" t="b">
        <v>1</v>
      </c>
      <c r="F2163" s="3" t="b">
        <v>0</v>
      </c>
      <c r="G2163" s="3" t="s">
        <v>10003</v>
      </c>
      <c r="H2163" s="4" t="str">
        <f>_xlfn.IFNA(IF(((INDEX(RulebookFields!C2:C1898, MATCH(D2163,RulebookFields!A2:A1898, 0))="")=TRUE),  "",  INDEX(RulebookFields!C2:C1898, MATCH(D2163,RulebookFields!A2:A1898, 0))), "")</f>
        <v>ChangeRequests</v>
      </c>
      <c r="I2163" s="4" t="str">
        <f>_xlfn.IFNA(IF(((INDEX(RulebookFields!D2:D1898, MATCH(D2163,RulebookFields!A2:A1898, 0))="")=TRUE),  "",  INDEX(RulebookFields!D2:D1898, MATCH(D2163,RulebookFields!A2:A1898, 0))), "")</f>
        <v>IsLiveDecisionBacklog</v>
      </c>
      <c r="J2163" s="4" t="b">
        <f>_xlfn.IFNA(IF(((INDEX(RulebookFields!I2:I1898, MATCH(D2163,RulebookFields!A2:A1898, 0))="")=TRUE),  "",  INDEX(RulebookFields!I2:I1898, MATCH(D2163,RulebookFields!A2:A1898, 0))), "")</f>
        <v>1</v>
      </c>
      <c r="K2163" s="4" t="b">
        <f>AND(((F2163)=TRUE), ((J2163)=TRUE))</f>
        <v>0</v>
      </c>
      <c r="L2163" s="4" t="b">
        <f>AND(((G2163 &lt;&gt; "plain")=TRUE), ((G2163 &lt;&gt; "")=TRUE))</f>
        <v>0</v>
      </c>
      <c r="M2163" s="4" t="str">
        <f>IF(((E2163)=TRUE),  C2163 &amp; "|" &amp; H2163,  "")</f>
        <v>principal-knowledge-authority|ChangeRequests</v>
      </c>
      <c r="N2163" s="3" t="s">
        <v>10004</v>
      </c>
    </row>
    <row r="2164">
      <c r="A2164" s="3" t="s">
        <v>12166</v>
      </c>
      <c r="B2164" s="4" t="str">
        <f>C2164 &amp; " -&gt; " &amp; D2164</f>
        <v>principal-knowledge-authority -&gt; ChangeRequests.BlocksAnOpenGap</v>
      </c>
      <c r="C2164" s="3" t="s">
        <v>9774</v>
      </c>
      <c r="D2164" s="3" t="s">
        <v>3950</v>
      </c>
      <c r="E2164" s="3" t="b">
        <v>1</v>
      </c>
      <c r="F2164" s="3" t="b">
        <v>0</v>
      </c>
      <c r="G2164" s="3" t="s">
        <v>10003</v>
      </c>
      <c r="H2164" s="4" t="str">
        <f>_xlfn.IFNA(IF(((INDEX(RulebookFields!C2:C1898, MATCH(D2164,RulebookFields!A2:A1898, 0))="")=TRUE),  "",  INDEX(RulebookFields!C2:C1898, MATCH(D2164,RulebookFields!A2:A1898, 0))), "")</f>
        <v>ChangeRequests</v>
      </c>
      <c r="I2164" s="4" t="str">
        <f>_xlfn.IFNA(IF(((INDEX(RulebookFields!D2:D1898, MATCH(D2164,RulebookFields!A2:A1898, 0))="")=TRUE),  "",  INDEX(RulebookFields!D2:D1898, MATCH(D2164,RulebookFields!A2:A1898, 0))), "")</f>
        <v>BlocksAnOpenGap</v>
      </c>
      <c r="J2164" s="4" t="b">
        <f>_xlfn.IFNA(IF(((INDEX(RulebookFields!I2:I1898, MATCH(D2164,RulebookFields!A2:A1898, 0))="")=TRUE),  "",  INDEX(RulebookFields!I2:I1898, MATCH(D2164,RulebookFields!A2:A1898, 0))), "")</f>
        <v>1</v>
      </c>
      <c r="K2164" s="4" t="b">
        <f>AND(((F2164)=TRUE), ((J2164)=TRUE))</f>
        <v>0</v>
      </c>
      <c r="L2164" s="4" t="b">
        <f>AND(((G2164 &lt;&gt; "plain")=TRUE), ((G2164 &lt;&gt; "")=TRUE))</f>
        <v>0</v>
      </c>
      <c r="M2164" s="4" t="str">
        <f>IF(((E2164)=TRUE),  C2164 &amp; "|" &amp; H2164,  "")</f>
        <v>principal-knowledge-authority|ChangeRequests</v>
      </c>
      <c r="N2164" s="3" t="s">
        <v>10004</v>
      </c>
    </row>
    <row r="2165">
      <c r="A2165" s="3" t="s">
        <v>12167</v>
      </c>
      <c r="B2165" s="4" t="str">
        <f>C2165 &amp; " -&gt; " &amp; D2165</f>
        <v>principal-knowledge-authority -&gt; ChangeRequests.ImplementedAt</v>
      </c>
      <c r="C2165" s="3" t="s">
        <v>9774</v>
      </c>
      <c r="D2165" s="3" t="s">
        <v>3952</v>
      </c>
      <c r="E2165" s="3" t="b">
        <v>1</v>
      </c>
      <c r="F2165" s="3" t="b">
        <v>0</v>
      </c>
      <c r="G2165" s="3" t="s">
        <v>10003</v>
      </c>
      <c r="H2165" s="4" t="str">
        <f>_xlfn.IFNA(IF(((INDEX(RulebookFields!C2:C1898, MATCH(D2165,RulebookFields!A2:A1898, 0))="")=TRUE),  "",  INDEX(RulebookFields!C2:C1898, MATCH(D2165,RulebookFields!A2:A1898, 0))), "")</f>
        <v>ChangeRequests</v>
      </c>
      <c r="I2165" s="4" t="str">
        <f>_xlfn.IFNA(IF(((INDEX(RulebookFields!D2:D1898, MATCH(D2165,RulebookFields!A2:A1898, 0))="")=TRUE),  "",  INDEX(RulebookFields!D2:D1898, MATCH(D2165,RulebookFields!A2:A1898, 0))), "")</f>
        <v>ImplementedAt</v>
      </c>
      <c r="J2165" s="4" t="b">
        <f>_xlfn.IFNA(IF(((INDEX(RulebookFields!I2:I1898, MATCH(D2165,RulebookFields!A2:A1898, 0))="")=TRUE),  "",  INDEX(RulebookFields!I2:I1898, MATCH(D2165,RulebookFields!A2:A1898, 0))), "")</f>
        <v>0</v>
      </c>
      <c r="K2165" s="4" t="b">
        <f>AND(((F2165)=TRUE), ((J2165)=TRUE))</f>
        <v>0</v>
      </c>
      <c r="L2165" s="4" t="b">
        <f>AND(((G2165 &lt;&gt; "plain")=TRUE), ((G2165 &lt;&gt; "")=TRUE))</f>
        <v>0</v>
      </c>
      <c r="M2165" s="4" t="str">
        <f>IF(((E2165)=TRUE),  C2165 &amp; "|" &amp; H2165,  "")</f>
        <v>principal-knowledge-authority|ChangeRequests</v>
      </c>
      <c r="N2165" s="3" t="s">
        <v>10004</v>
      </c>
    </row>
    <row r="2166">
      <c r="A2166" s="3" t="s">
        <v>12168</v>
      </c>
      <c r="B2166" s="4" t="str">
        <f>C2166 &amp; " -&gt; " &amp; D2166</f>
        <v>principal-knowledge-authority -&gt; ChangeRequests.BacklogVersionKey</v>
      </c>
      <c r="C2166" s="3" t="s">
        <v>9774</v>
      </c>
      <c r="D2166" s="3" t="s">
        <v>3953</v>
      </c>
      <c r="E2166" s="3" t="b">
        <v>1</v>
      </c>
      <c r="F2166" s="3" t="b">
        <v>0</v>
      </c>
      <c r="G2166" s="3" t="s">
        <v>10003</v>
      </c>
      <c r="H2166" s="4" t="str">
        <f>_xlfn.IFNA(IF(((INDEX(RulebookFields!C2:C1898, MATCH(D2166,RulebookFields!A2:A1898, 0))="")=TRUE),  "",  INDEX(RulebookFields!C2:C1898, MATCH(D2166,RulebookFields!A2:A1898, 0))), "")</f>
        <v>ChangeRequests</v>
      </c>
      <c r="I2166" s="4" t="str">
        <f>_xlfn.IFNA(IF(((INDEX(RulebookFields!D2:D1898, MATCH(D2166,RulebookFields!A2:A1898, 0))="")=TRUE),  "",  INDEX(RulebookFields!D2:D1898, MATCH(D2166,RulebookFields!A2:A1898, 0))), "")</f>
        <v>BacklogVersionKey</v>
      </c>
      <c r="J2166" s="4" t="b">
        <f>_xlfn.IFNA(IF(((INDEX(RulebookFields!I2:I1898, MATCH(D2166,RulebookFields!A2:A1898, 0))="")=TRUE),  "",  INDEX(RulebookFields!I2:I1898, MATCH(D2166,RulebookFields!A2:A1898, 0))), "")</f>
        <v>1</v>
      </c>
      <c r="K2166" s="4" t="b">
        <f>AND(((F2166)=TRUE), ((J2166)=TRUE))</f>
        <v>0</v>
      </c>
      <c r="L2166" s="4" t="b">
        <f>AND(((G2166 &lt;&gt; "plain")=TRUE), ((G2166 &lt;&gt; "")=TRUE))</f>
        <v>0</v>
      </c>
      <c r="M2166" s="4" t="str">
        <f>IF(((E2166)=TRUE),  C2166 &amp; "|" &amp; H2166,  "")</f>
        <v>principal-knowledge-authority|ChangeRequests</v>
      </c>
      <c r="N2166" s="3" t="s">
        <v>10004</v>
      </c>
    </row>
    <row r="2167">
      <c r="A2167" s="3" t="s">
        <v>12169</v>
      </c>
      <c r="B2167" s="4" t="str">
        <f>C2167 &amp; " -&gt; " &amp; D2167</f>
        <v>principal-knowledge-authority -&gt; ChangeRequests.IsMyPendingDecision</v>
      </c>
      <c r="C2167" s="3" t="s">
        <v>9774</v>
      </c>
      <c r="D2167" s="3" t="s">
        <v>3955</v>
      </c>
      <c r="E2167" s="3" t="b">
        <v>1</v>
      </c>
      <c r="F2167" s="3" t="b">
        <v>0</v>
      </c>
      <c r="G2167" s="3" t="s">
        <v>10003</v>
      </c>
      <c r="H2167" s="4" t="str">
        <f>_xlfn.IFNA(IF(((INDEX(RulebookFields!C2:C1898, MATCH(D2167,RulebookFields!A2:A1898, 0))="")=TRUE),  "",  INDEX(RulebookFields!C2:C1898, MATCH(D2167,RulebookFields!A2:A1898, 0))), "")</f>
        <v>ChangeRequests</v>
      </c>
      <c r="I2167" s="4" t="str">
        <f>_xlfn.IFNA(IF(((INDEX(RulebookFields!D2:D1898, MATCH(D2167,RulebookFields!A2:A1898, 0))="")=TRUE),  "",  INDEX(RulebookFields!D2:D1898, MATCH(D2167,RulebookFields!A2:A1898, 0))), "")</f>
        <v>IsMyPendingDecision</v>
      </c>
      <c r="J2167" s="4" t="b">
        <f>_xlfn.IFNA(IF(((INDEX(RulebookFields!I2:I1898, MATCH(D2167,RulebookFields!A2:A1898, 0))="")=TRUE),  "",  INDEX(RulebookFields!I2:I1898, MATCH(D2167,RulebookFields!A2:A1898, 0))), "")</f>
        <v>1</v>
      </c>
      <c r="K2167" s="4" t="b">
        <f>AND(((F2167)=TRUE), ((J2167)=TRUE))</f>
        <v>0</v>
      </c>
      <c r="L2167" s="4" t="b">
        <f>AND(((G2167 &lt;&gt; "plain")=TRUE), ((G2167 &lt;&gt; "")=TRUE))</f>
        <v>0</v>
      </c>
      <c r="M2167" s="4" t="str">
        <f>IF(((E2167)=TRUE),  C2167 &amp; "|" &amp; H2167,  "")</f>
        <v>principal-knowledge-authority|ChangeRequests</v>
      </c>
      <c r="N2167" s="3" t="s">
        <v>10004</v>
      </c>
    </row>
    <row r="2168">
      <c r="A2168" s="3" t="s">
        <v>12170</v>
      </c>
      <c r="B2168" s="4" t="str">
        <f>C2168 &amp; " -&gt; " &amp; D2168</f>
        <v>principal-knowledge-authority -&gt; ChangeRequests.IsMyBlockingBacklog</v>
      </c>
      <c r="C2168" s="3" t="s">
        <v>9774</v>
      </c>
      <c r="D2168" s="3" t="s">
        <v>3957</v>
      </c>
      <c r="E2168" s="3" t="b">
        <v>1</v>
      </c>
      <c r="F2168" s="3" t="b">
        <v>0</v>
      </c>
      <c r="G2168" s="3" t="s">
        <v>10003</v>
      </c>
      <c r="H2168" s="4" t="str">
        <f>_xlfn.IFNA(IF(((INDEX(RulebookFields!C2:C1898, MATCH(D2168,RulebookFields!A2:A1898, 0))="")=TRUE),  "",  INDEX(RulebookFields!C2:C1898, MATCH(D2168,RulebookFields!A2:A1898, 0))), "")</f>
        <v>ChangeRequests</v>
      </c>
      <c r="I2168" s="4" t="str">
        <f>_xlfn.IFNA(IF(((INDEX(RulebookFields!D2:D1898, MATCH(D2168,RulebookFields!A2:A1898, 0))="")=TRUE),  "",  INDEX(RulebookFields!D2:D1898, MATCH(D2168,RulebookFields!A2:A1898, 0))), "")</f>
        <v>IsMyBlockingBacklog</v>
      </c>
      <c r="J2168" s="4" t="b">
        <f>_xlfn.IFNA(IF(((INDEX(RulebookFields!I2:I1898, MATCH(D2168,RulebookFields!A2:A1898, 0))="")=TRUE),  "",  INDEX(RulebookFields!I2:I1898, MATCH(D2168,RulebookFields!A2:A1898, 0))), "")</f>
        <v>1</v>
      </c>
      <c r="K2168" s="4" t="b">
        <f>AND(((F2168)=TRUE), ((J2168)=TRUE))</f>
        <v>0</v>
      </c>
      <c r="L2168" s="4" t="b">
        <f>AND(((G2168 &lt;&gt; "plain")=TRUE), ((G2168 &lt;&gt; "")=TRUE))</f>
        <v>0</v>
      </c>
      <c r="M2168" s="4" t="str">
        <f>IF(((E2168)=TRUE),  C2168 &amp; "|" &amp; H2168,  "")</f>
        <v>principal-knowledge-authority|ChangeRequests</v>
      </c>
      <c r="N2168" s="3" t="s">
        <v>10004</v>
      </c>
    </row>
    <row r="2169">
      <c r="A2169" s="3" t="s">
        <v>12171</v>
      </c>
      <c r="B2169" s="4" t="str">
        <f>C2169 &amp; " -&gt; " &amp; D2169</f>
        <v>principal-knowledge-authority -&gt; ChangeRequests.IsMyOverdueBacklog</v>
      </c>
      <c r="C2169" s="3" t="s">
        <v>9774</v>
      </c>
      <c r="D2169" s="3" t="s">
        <v>3959</v>
      </c>
      <c r="E2169" s="3" t="b">
        <v>1</v>
      </c>
      <c r="F2169" s="3" t="b">
        <v>0</v>
      </c>
      <c r="G2169" s="3" t="s">
        <v>10003</v>
      </c>
      <c r="H2169" s="4" t="str">
        <f>_xlfn.IFNA(IF(((INDEX(RulebookFields!C2:C1898, MATCH(D2169,RulebookFields!A2:A1898, 0))="")=TRUE),  "",  INDEX(RulebookFields!C2:C1898, MATCH(D2169,RulebookFields!A2:A1898, 0))), "")</f>
        <v>ChangeRequests</v>
      </c>
      <c r="I2169" s="4" t="str">
        <f>_xlfn.IFNA(IF(((INDEX(RulebookFields!D2:D1898, MATCH(D2169,RulebookFields!A2:A1898, 0))="")=TRUE),  "",  INDEX(RulebookFields!D2:D1898, MATCH(D2169,RulebookFields!A2:A1898, 0))), "")</f>
        <v>IsMyOverdueBacklog</v>
      </c>
      <c r="J2169" s="4" t="b">
        <f>_xlfn.IFNA(IF(((INDEX(RulebookFields!I2:I1898, MATCH(D2169,RulebookFields!A2:A1898, 0))="")=TRUE),  "",  INDEX(RulebookFields!I2:I1898, MATCH(D2169,RulebookFields!A2:A1898, 0))), "")</f>
        <v>1</v>
      </c>
      <c r="K2169" s="4" t="b">
        <f>AND(((F2169)=TRUE), ((J2169)=TRUE))</f>
        <v>0</v>
      </c>
      <c r="L2169" s="4" t="b">
        <f>AND(((G2169 &lt;&gt; "plain")=TRUE), ((G2169 &lt;&gt; "")=TRUE))</f>
        <v>0</v>
      </c>
      <c r="M2169" s="4" t="str">
        <f>IF(((E2169)=TRUE),  C2169 &amp; "|" &amp; H2169,  "")</f>
        <v>principal-knowledge-authority|ChangeRequests</v>
      </c>
      <c r="N2169" s="3" t="s">
        <v>10004</v>
      </c>
    </row>
    <row r="2170">
      <c r="A2170" s="3" t="s">
        <v>12172</v>
      </c>
      <c r="B2170" s="4" t="str">
        <f>C2170 &amp; " -&gt; " &amp; D2170</f>
        <v>principal-knowledge-authority -&gt; ChangeRequests.IsImplemented</v>
      </c>
      <c r="C2170" s="3" t="s">
        <v>9774</v>
      </c>
      <c r="D2170" s="3" t="s">
        <v>3961</v>
      </c>
      <c r="E2170" s="3" t="b">
        <v>1</v>
      </c>
      <c r="F2170" s="3" t="b">
        <v>0</v>
      </c>
      <c r="G2170" s="3" t="s">
        <v>10003</v>
      </c>
      <c r="H2170" s="4" t="str">
        <f>_xlfn.IFNA(IF(((INDEX(RulebookFields!C2:C1898, MATCH(D2170,RulebookFields!A2:A1898, 0))="")=TRUE),  "",  INDEX(RulebookFields!C2:C1898, MATCH(D2170,RulebookFields!A2:A1898, 0))), "")</f>
        <v>ChangeRequests</v>
      </c>
      <c r="I2170" s="4" t="str">
        <f>_xlfn.IFNA(IF(((INDEX(RulebookFields!D2:D1898, MATCH(D2170,RulebookFields!A2:A1898, 0))="")=TRUE),  "",  INDEX(RulebookFields!D2:D1898, MATCH(D2170,RulebookFields!A2:A1898, 0))), "")</f>
        <v>IsImplemented</v>
      </c>
      <c r="J2170" s="4" t="b">
        <f>_xlfn.IFNA(IF(((INDEX(RulebookFields!I2:I1898, MATCH(D2170,RulebookFields!A2:A1898, 0))="")=TRUE),  "",  INDEX(RulebookFields!I2:I1898, MATCH(D2170,RulebookFields!A2:A1898, 0))), "")</f>
        <v>1</v>
      </c>
      <c r="K2170" s="4" t="b">
        <f>AND(((F2170)=TRUE), ((J2170)=TRUE))</f>
        <v>0</v>
      </c>
      <c r="L2170" s="4" t="b">
        <f>AND(((G2170 &lt;&gt; "plain")=TRUE), ((G2170 &lt;&gt; "")=TRUE))</f>
        <v>0</v>
      </c>
      <c r="M2170" s="4" t="str">
        <f>IF(((E2170)=TRUE),  C2170 &amp; "|" &amp; H2170,  "")</f>
        <v>principal-knowledge-authority|ChangeRequests</v>
      </c>
      <c r="N2170" s="3" t="s">
        <v>10004</v>
      </c>
    </row>
    <row r="2171">
      <c r="A2171" s="3" t="s">
        <v>12173</v>
      </c>
      <c r="B2171" s="4" t="str">
        <f>C2171 &amp; " -&gt; " &amp; D2171</f>
        <v>principal-knowledge-authority -&gt; ChangeRequests.IsMyDecidedRequest</v>
      </c>
      <c r="C2171" s="3" t="s">
        <v>9774</v>
      </c>
      <c r="D2171" s="3" t="s">
        <v>3963</v>
      </c>
      <c r="E2171" s="3" t="b">
        <v>1</v>
      </c>
      <c r="F2171" s="3" t="b">
        <v>0</v>
      </c>
      <c r="G2171" s="3" t="s">
        <v>10003</v>
      </c>
      <c r="H2171" s="4" t="str">
        <f>_xlfn.IFNA(IF(((INDEX(RulebookFields!C2:C1898, MATCH(D2171,RulebookFields!A2:A1898, 0))="")=TRUE),  "",  INDEX(RulebookFields!C2:C1898, MATCH(D2171,RulebookFields!A2:A1898, 0))), "")</f>
        <v>ChangeRequests</v>
      </c>
      <c r="I2171" s="4" t="str">
        <f>_xlfn.IFNA(IF(((INDEX(RulebookFields!D2:D1898, MATCH(D2171,RulebookFields!A2:A1898, 0))="")=TRUE),  "",  INDEX(RulebookFields!D2:D1898, MATCH(D2171,RulebookFields!A2:A1898, 0))), "")</f>
        <v>IsMyDecidedRequest</v>
      </c>
      <c r="J2171" s="4" t="b">
        <f>_xlfn.IFNA(IF(((INDEX(RulebookFields!I2:I1898, MATCH(D2171,RulebookFields!A2:A1898, 0))="")=TRUE),  "",  INDEX(RulebookFields!I2:I1898, MATCH(D2171,RulebookFields!A2:A1898, 0))), "")</f>
        <v>1</v>
      </c>
      <c r="K2171" s="4" t="b">
        <f>AND(((F2171)=TRUE), ((J2171)=TRUE))</f>
        <v>0</v>
      </c>
      <c r="L2171" s="4" t="b">
        <f>AND(((G2171 &lt;&gt; "plain")=TRUE), ((G2171 &lt;&gt; "")=TRUE))</f>
        <v>0</v>
      </c>
      <c r="M2171" s="4" t="str">
        <f>IF(((E2171)=TRUE),  C2171 &amp; "|" &amp; H2171,  "")</f>
        <v>principal-knowledge-authority|ChangeRequests</v>
      </c>
      <c r="N2171" s="3" t="s">
        <v>10004</v>
      </c>
    </row>
    <row r="2172">
      <c r="A2172" s="3" t="s">
        <v>12174</v>
      </c>
      <c r="B2172" s="4" t="str">
        <f>C2172 &amp; " -&gt; " &amp; D2172</f>
        <v>principal-knowledge-authority -&gt; ChangeRequests.IsMyDecidedButUnlanded</v>
      </c>
      <c r="C2172" s="3" t="s">
        <v>9774</v>
      </c>
      <c r="D2172" s="3" t="s">
        <v>3965</v>
      </c>
      <c r="E2172" s="3" t="b">
        <v>1</v>
      </c>
      <c r="F2172" s="3" t="b">
        <v>0</v>
      </c>
      <c r="G2172" s="3" t="s">
        <v>10003</v>
      </c>
      <c r="H2172" s="4" t="str">
        <f>_xlfn.IFNA(IF(((INDEX(RulebookFields!C2:C1898, MATCH(D2172,RulebookFields!A2:A1898, 0))="")=TRUE),  "",  INDEX(RulebookFields!C2:C1898, MATCH(D2172,RulebookFields!A2:A1898, 0))), "")</f>
        <v>ChangeRequests</v>
      </c>
      <c r="I2172" s="4" t="str">
        <f>_xlfn.IFNA(IF(((INDEX(RulebookFields!D2:D1898, MATCH(D2172,RulebookFields!A2:A1898, 0))="")=TRUE),  "",  INDEX(RulebookFields!D2:D1898, MATCH(D2172,RulebookFields!A2:A1898, 0))), "")</f>
        <v>IsMyDecidedButUnlanded</v>
      </c>
      <c r="J2172" s="4" t="b">
        <f>_xlfn.IFNA(IF(((INDEX(RulebookFields!I2:I1898, MATCH(D2172,RulebookFields!A2:A1898, 0))="")=TRUE),  "",  INDEX(RulebookFields!I2:I1898, MATCH(D2172,RulebookFields!A2:A1898, 0))), "")</f>
        <v>1</v>
      </c>
      <c r="K2172" s="4" t="b">
        <f>AND(((F2172)=TRUE), ((J2172)=TRUE))</f>
        <v>0</v>
      </c>
      <c r="L2172" s="4" t="b">
        <f>AND(((G2172 &lt;&gt; "plain")=TRUE), ((G2172 &lt;&gt; "")=TRUE))</f>
        <v>0</v>
      </c>
      <c r="M2172" s="4" t="str">
        <f>IF(((E2172)=TRUE),  C2172 &amp; "|" &amp; H2172,  "")</f>
        <v>principal-knowledge-authority|ChangeRequests</v>
      </c>
      <c r="N2172" s="3" t="s">
        <v>10004</v>
      </c>
    </row>
    <row r="2173">
      <c r="A2173" s="3" t="s">
        <v>12175</v>
      </c>
      <c r="B2173" s="4" t="str">
        <f>C2173 &amp; " -&gt; " &amp; D2173</f>
        <v>principal-knowledge-authority -&gt; ChangeRequests.DecisionLatencyDays</v>
      </c>
      <c r="C2173" s="3" t="s">
        <v>9774</v>
      </c>
      <c r="D2173" s="3" t="s">
        <v>3967</v>
      </c>
      <c r="E2173" s="3" t="b">
        <v>1</v>
      </c>
      <c r="F2173" s="3" t="b">
        <v>0</v>
      </c>
      <c r="G2173" s="3" t="s">
        <v>10003</v>
      </c>
      <c r="H2173" s="4" t="str">
        <f>_xlfn.IFNA(IF(((INDEX(RulebookFields!C2:C1898, MATCH(D2173,RulebookFields!A2:A1898, 0))="")=TRUE),  "",  INDEX(RulebookFields!C2:C1898, MATCH(D2173,RulebookFields!A2:A1898, 0))), "")</f>
        <v>ChangeRequests</v>
      </c>
      <c r="I2173" s="4" t="str">
        <f>_xlfn.IFNA(IF(((INDEX(RulebookFields!D2:D1898, MATCH(D2173,RulebookFields!A2:A1898, 0))="")=TRUE),  "",  INDEX(RulebookFields!D2:D1898, MATCH(D2173,RulebookFields!A2:A1898, 0))), "")</f>
        <v>DecisionLatencyDays</v>
      </c>
      <c r="J2173" s="4" t="b">
        <f>_xlfn.IFNA(IF(((INDEX(RulebookFields!I2:I1898, MATCH(D2173,RulebookFields!A2:A1898, 0))="")=TRUE),  "",  INDEX(RulebookFields!I2:I1898, MATCH(D2173,RulebookFields!A2:A1898, 0))), "")</f>
        <v>1</v>
      </c>
      <c r="K2173" s="4" t="b">
        <f>AND(((F2173)=TRUE), ((J2173)=TRUE))</f>
        <v>0</v>
      </c>
      <c r="L2173" s="4" t="b">
        <f>AND(((G2173 &lt;&gt; "plain")=TRUE), ((G2173 &lt;&gt; "")=TRUE))</f>
        <v>0</v>
      </c>
      <c r="M2173" s="4" t="str">
        <f>IF(((E2173)=TRUE),  C2173 &amp; "|" &amp; H2173,  "")</f>
        <v>principal-knowledge-authority|ChangeRequests</v>
      </c>
      <c r="N2173" s="3" t="s">
        <v>10004</v>
      </c>
    </row>
    <row r="2174">
      <c r="A2174" s="3" t="s">
        <v>12176</v>
      </c>
      <c r="B2174" s="4" t="str">
        <f>C2174 &amp; " -&gt; " &amp; D2174</f>
        <v>principal-knowledge-authority -&gt; ChangeRequests.ImplementationLatencyDays</v>
      </c>
      <c r="C2174" s="3" t="s">
        <v>9774</v>
      </c>
      <c r="D2174" s="3" t="s">
        <v>3969</v>
      </c>
      <c r="E2174" s="3" t="b">
        <v>1</v>
      </c>
      <c r="F2174" s="3" t="b">
        <v>0</v>
      </c>
      <c r="G2174" s="3" t="s">
        <v>10003</v>
      </c>
      <c r="H2174" s="4" t="str">
        <f>_xlfn.IFNA(IF(((INDEX(RulebookFields!C2:C1898, MATCH(D2174,RulebookFields!A2:A1898, 0))="")=TRUE),  "",  INDEX(RulebookFields!C2:C1898, MATCH(D2174,RulebookFields!A2:A1898, 0))), "")</f>
        <v>ChangeRequests</v>
      </c>
      <c r="I2174" s="4" t="str">
        <f>_xlfn.IFNA(IF(((INDEX(RulebookFields!D2:D1898, MATCH(D2174,RulebookFields!A2:A1898, 0))="")=TRUE),  "",  INDEX(RulebookFields!D2:D1898, MATCH(D2174,RulebookFields!A2:A1898, 0))), "")</f>
        <v>ImplementationLatencyDays</v>
      </c>
      <c r="J2174" s="4" t="b">
        <f>_xlfn.IFNA(IF(((INDEX(RulebookFields!I2:I1898, MATCH(D2174,RulebookFields!A2:A1898, 0))="")=TRUE),  "",  INDEX(RulebookFields!I2:I1898, MATCH(D2174,RulebookFields!A2:A1898, 0))), "")</f>
        <v>1</v>
      </c>
      <c r="K2174" s="4" t="b">
        <f>AND(((F2174)=TRUE), ((J2174)=TRUE))</f>
        <v>0</v>
      </c>
      <c r="L2174" s="4" t="b">
        <f>AND(((G2174 &lt;&gt; "plain")=TRUE), ((G2174 &lt;&gt; "")=TRUE))</f>
        <v>0</v>
      </c>
      <c r="M2174" s="4" t="str">
        <f>IF(((E2174)=TRUE),  C2174 &amp; "|" &amp; H2174,  "")</f>
        <v>principal-knowledge-authority|ChangeRequests</v>
      </c>
      <c r="N2174" s="3" t="s">
        <v>10004</v>
      </c>
    </row>
    <row r="2175">
      <c r="A2175" s="3" t="s">
        <v>12177</v>
      </c>
      <c r="B2175" s="4" t="str">
        <f>C2175 &amp; " -&gt; " &amp; D2175</f>
        <v>principal-knowledge-authority -&gt; ChangeRequests.DelayIsDownstreamOfMe</v>
      </c>
      <c r="C2175" s="3" t="s">
        <v>9774</v>
      </c>
      <c r="D2175" s="3" t="s">
        <v>3971</v>
      </c>
      <c r="E2175" s="3" t="b">
        <v>1</v>
      </c>
      <c r="F2175" s="3" t="b">
        <v>0</v>
      </c>
      <c r="G2175" s="3" t="s">
        <v>10003</v>
      </c>
      <c r="H2175" s="4" t="str">
        <f>_xlfn.IFNA(IF(((INDEX(RulebookFields!C2:C1898, MATCH(D2175,RulebookFields!A2:A1898, 0))="")=TRUE),  "",  INDEX(RulebookFields!C2:C1898, MATCH(D2175,RulebookFields!A2:A1898, 0))), "")</f>
        <v>ChangeRequests</v>
      </c>
      <c r="I2175" s="4" t="str">
        <f>_xlfn.IFNA(IF(((INDEX(RulebookFields!D2:D1898, MATCH(D2175,RulebookFields!A2:A1898, 0))="")=TRUE),  "",  INDEX(RulebookFields!D2:D1898, MATCH(D2175,RulebookFields!A2:A1898, 0))), "")</f>
        <v>DelayIsDownstreamOfMe</v>
      </c>
      <c r="J2175" s="4" t="b">
        <f>_xlfn.IFNA(IF(((INDEX(RulebookFields!I2:I1898, MATCH(D2175,RulebookFields!A2:A1898, 0))="")=TRUE),  "",  INDEX(RulebookFields!I2:I1898, MATCH(D2175,RulebookFields!A2:A1898, 0))), "")</f>
        <v>1</v>
      </c>
      <c r="K2175" s="4" t="b">
        <f>AND(((F2175)=TRUE), ((J2175)=TRUE))</f>
        <v>0</v>
      </c>
      <c r="L2175" s="4" t="b">
        <f>AND(((G2175 &lt;&gt; "plain")=TRUE), ((G2175 &lt;&gt; "")=TRUE))</f>
        <v>0</v>
      </c>
      <c r="M2175" s="4" t="str">
        <f>IF(((E2175)=TRUE),  C2175 &amp; "|" &amp; H2175,  "")</f>
        <v>principal-knowledge-authority|ChangeRequests</v>
      </c>
      <c r="N2175" s="3" t="s">
        <v>10004</v>
      </c>
    </row>
    <row r="2176">
      <c r="A2176" s="3" t="s">
        <v>12178</v>
      </c>
      <c r="B2176" s="4" t="str">
        <f>C2176 &amp; " -&gt; " &amp; D2176</f>
        <v>principal-knowledge-authority -&gt; ChangeRequests.UnlandedVersionKey</v>
      </c>
      <c r="C2176" s="3" t="s">
        <v>9774</v>
      </c>
      <c r="D2176" s="3" t="s">
        <v>3973</v>
      </c>
      <c r="E2176" s="3" t="b">
        <v>1</v>
      </c>
      <c r="F2176" s="3" t="b">
        <v>0</v>
      </c>
      <c r="G2176" s="3" t="s">
        <v>10003</v>
      </c>
      <c r="H2176" s="4" t="str">
        <f>_xlfn.IFNA(IF(((INDEX(RulebookFields!C2:C1898, MATCH(D2176,RulebookFields!A2:A1898, 0))="")=TRUE),  "",  INDEX(RulebookFields!C2:C1898, MATCH(D2176,RulebookFields!A2:A1898, 0))), "")</f>
        <v>ChangeRequests</v>
      </c>
      <c r="I2176" s="4" t="str">
        <f>_xlfn.IFNA(IF(((INDEX(RulebookFields!D2:D1898, MATCH(D2176,RulebookFields!A2:A1898, 0))="")=TRUE),  "",  INDEX(RulebookFields!D2:D1898, MATCH(D2176,RulebookFields!A2:A1898, 0))), "")</f>
        <v>UnlandedVersionKey</v>
      </c>
      <c r="J2176" s="4" t="b">
        <f>_xlfn.IFNA(IF(((INDEX(RulebookFields!I2:I1898, MATCH(D2176,RulebookFields!A2:A1898, 0))="")=TRUE),  "",  INDEX(RulebookFields!I2:I1898, MATCH(D2176,RulebookFields!A2:A1898, 0))), "")</f>
        <v>1</v>
      </c>
      <c r="K2176" s="4" t="b">
        <f>AND(((F2176)=TRUE), ((J2176)=TRUE))</f>
        <v>0</v>
      </c>
      <c r="L2176" s="4" t="b">
        <f>AND(((G2176 &lt;&gt; "plain")=TRUE), ((G2176 &lt;&gt; "")=TRUE))</f>
        <v>0</v>
      </c>
      <c r="M2176" s="4" t="str">
        <f>IF(((E2176)=TRUE),  C2176 &amp; "|" &amp; H2176,  "")</f>
        <v>principal-knowledge-authority|ChangeRequests</v>
      </c>
      <c r="N2176" s="3" t="s">
        <v>10004</v>
      </c>
    </row>
    <row r="2177">
      <c r="A2177" s="3" t="s">
        <v>12179</v>
      </c>
      <c r="B2177" s="4" t="str">
        <f>C2177 &amp; " -&gt; " &amp; D2177</f>
        <v>principal-knowledge-authority -&gt; ChangeRequests.IsApprovedNotImplemented</v>
      </c>
      <c r="C2177" s="3" t="s">
        <v>9774</v>
      </c>
      <c r="D2177" s="3" t="s">
        <v>3975</v>
      </c>
      <c r="E2177" s="3" t="b">
        <v>1</v>
      </c>
      <c r="F2177" s="3" t="b">
        <v>0</v>
      </c>
      <c r="G2177" s="3" t="s">
        <v>10003</v>
      </c>
      <c r="H2177" s="4" t="str">
        <f>_xlfn.IFNA(IF(((INDEX(RulebookFields!C2:C1898, MATCH(D2177,RulebookFields!A2:A1898, 0))="")=TRUE),  "",  INDEX(RulebookFields!C2:C1898, MATCH(D2177,RulebookFields!A2:A1898, 0))), "")</f>
        <v>ChangeRequests</v>
      </c>
      <c r="I2177" s="4" t="str">
        <f>_xlfn.IFNA(IF(((INDEX(RulebookFields!D2:D1898, MATCH(D2177,RulebookFields!A2:A1898, 0))="")=TRUE),  "",  INDEX(RulebookFields!D2:D1898, MATCH(D2177,RulebookFields!A2:A1898, 0))), "")</f>
        <v>IsApprovedNotImplemented</v>
      </c>
      <c r="J2177" s="4" t="b">
        <f>_xlfn.IFNA(IF(((INDEX(RulebookFields!I2:I1898, MATCH(D2177,RulebookFields!A2:A1898, 0))="")=TRUE),  "",  INDEX(RulebookFields!I2:I1898, MATCH(D2177,RulebookFields!A2:A1898, 0))), "")</f>
        <v>1</v>
      </c>
      <c r="K2177" s="4" t="b">
        <f>AND(((F2177)=TRUE), ((J2177)=TRUE))</f>
        <v>0</v>
      </c>
      <c r="L2177" s="4" t="b">
        <f>AND(((G2177 &lt;&gt; "plain")=TRUE), ((G2177 &lt;&gt; "")=TRUE))</f>
        <v>0</v>
      </c>
      <c r="M2177" s="4" t="str">
        <f>IF(((E2177)=TRUE),  C2177 &amp; "|" &amp; H2177,  "")</f>
        <v>principal-knowledge-authority|ChangeRequests</v>
      </c>
      <c r="N2177" s="3" t="s">
        <v>10004</v>
      </c>
    </row>
    <row r="2178">
      <c r="A2178" s="3" t="s">
        <v>12180</v>
      </c>
      <c r="B2178" s="4" t="str">
        <f>C2178 &amp; " -&gt; " &amp; D2178</f>
        <v>principal-knowledge-authority -&gt; ChangeRequests.DaysSinceApproval</v>
      </c>
      <c r="C2178" s="3" t="s">
        <v>9774</v>
      </c>
      <c r="D2178" s="3" t="s">
        <v>3977</v>
      </c>
      <c r="E2178" s="3" t="b">
        <v>1</v>
      </c>
      <c r="F2178" s="3" t="b">
        <v>0</v>
      </c>
      <c r="G2178" s="3" t="s">
        <v>10003</v>
      </c>
      <c r="H2178" s="4" t="str">
        <f>_xlfn.IFNA(IF(((INDEX(RulebookFields!C2:C1898, MATCH(D2178,RulebookFields!A2:A1898, 0))="")=TRUE),  "",  INDEX(RulebookFields!C2:C1898, MATCH(D2178,RulebookFields!A2:A1898, 0))), "")</f>
        <v>ChangeRequests</v>
      </c>
      <c r="I2178" s="4" t="str">
        <f>_xlfn.IFNA(IF(((INDEX(RulebookFields!D2:D1898, MATCH(D2178,RulebookFields!A2:A1898, 0))="")=TRUE),  "",  INDEX(RulebookFields!D2:D1898, MATCH(D2178,RulebookFields!A2:A1898, 0))), "")</f>
        <v>DaysSinceApproval</v>
      </c>
      <c r="J2178" s="4" t="b">
        <f>_xlfn.IFNA(IF(((INDEX(RulebookFields!I2:I1898, MATCH(D2178,RulebookFields!A2:A1898, 0))="")=TRUE),  "",  INDEX(RulebookFields!I2:I1898, MATCH(D2178,RulebookFields!A2:A1898, 0))), "")</f>
        <v>1</v>
      </c>
      <c r="K2178" s="4" t="b">
        <f>AND(((F2178)=TRUE), ((J2178)=TRUE))</f>
        <v>0</v>
      </c>
      <c r="L2178" s="4" t="b">
        <f>AND(((G2178 &lt;&gt; "plain")=TRUE), ((G2178 &lt;&gt; "")=TRUE))</f>
        <v>0</v>
      </c>
      <c r="M2178" s="4" t="str">
        <f>IF(((E2178)=TRUE),  C2178 &amp; "|" &amp; H2178,  "")</f>
        <v>principal-knowledge-authority|ChangeRequests</v>
      </c>
      <c r="N2178" s="3" t="s">
        <v>10004</v>
      </c>
    </row>
    <row r="2179">
      <c r="A2179" s="3" t="s">
        <v>12181</v>
      </c>
      <c r="B2179" s="4" t="str">
        <f>C2179 &amp; " -&gt; " &amp; D2179</f>
        <v>principal-knowledge-authority -&gt; ChangeRequests.IsStalledImplementation</v>
      </c>
      <c r="C2179" s="3" t="s">
        <v>9774</v>
      </c>
      <c r="D2179" s="3" t="s">
        <v>3979</v>
      </c>
      <c r="E2179" s="3" t="b">
        <v>1</v>
      </c>
      <c r="F2179" s="3" t="b">
        <v>0</v>
      </c>
      <c r="G2179" s="3" t="s">
        <v>10003</v>
      </c>
      <c r="H2179" s="4" t="str">
        <f>_xlfn.IFNA(IF(((INDEX(RulebookFields!C2:C1898, MATCH(D2179,RulebookFields!A2:A1898, 0))="")=TRUE),  "",  INDEX(RulebookFields!C2:C1898, MATCH(D2179,RulebookFields!A2:A1898, 0))), "")</f>
        <v>ChangeRequests</v>
      </c>
      <c r="I2179" s="4" t="str">
        <f>_xlfn.IFNA(IF(((INDEX(RulebookFields!D2:D1898, MATCH(D2179,RulebookFields!A2:A1898, 0))="")=TRUE),  "",  INDEX(RulebookFields!D2:D1898, MATCH(D2179,RulebookFields!A2:A1898, 0))), "")</f>
        <v>IsStalledImplementation</v>
      </c>
      <c r="J2179" s="4" t="b">
        <f>_xlfn.IFNA(IF(((INDEX(RulebookFields!I2:I1898, MATCH(D2179,RulebookFields!A2:A1898, 0))="")=TRUE),  "",  INDEX(RulebookFields!I2:I1898, MATCH(D2179,RulebookFields!A2:A1898, 0))), "")</f>
        <v>1</v>
      </c>
      <c r="K2179" s="4" t="b">
        <f>AND(((F2179)=TRUE), ((J2179)=TRUE))</f>
        <v>0</v>
      </c>
      <c r="L2179" s="4" t="b">
        <f>AND(((G2179 &lt;&gt; "plain")=TRUE), ((G2179 &lt;&gt; "")=TRUE))</f>
        <v>0</v>
      </c>
      <c r="M2179" s="4" t="str">
        <f>IF(((E2179)=TRUE),  C2179 &amp; "|" &amp; H2179,  "")</f>
        <v>principal-knowledge-authority|ChangeRequests</v>
      </c>
      <c r="N2179" s="3" t="s">
        <v>10004</v>
      </c>
    </row>
    <row r="2180">
      <c r="A2180" s="3" t="s">
        <v>12182</v>
      </c>
      <c r="B2180" s="4" t="str">
        <f>C2180 &amp; " -&gt; " &amp; D2180</f>
        <v>principal-knowledge-authority -&gt; ChangeRequests.StalledImplementationVersionKey</v>
      </c>
      <c r="C2180" s="3" t="s">
        <v>9774</v>
      </c>
      <c r="D2180" s="3" t="s">
        <v>3981</v>
      </c>
      <c r="E2180" s="3" t="b">
        <v>1</v>
      </c>
      <c r="F2180" s="3" t="b">
        <v>0</v>
      </c>
      <c r="G2180" s="3" t="s">
        <v>10003</v>
      </c>
      <c r="H2180" s="4" t="str">
        <f>_xlfn.IFNA(IF(((INDEX(RulebookFields!C2:C1898, MATCH(D2180,RulebookFields!A2:A1898, 0))="")=TRUE),  "",  INDEX(RulebookFields!C2:C1898, MATCH(D2180,RulebookFields!A2:A1898, 0))), "")</f>
        <v>ChangeRequests</v>
      </c>
      <c r="I2180" s="4" t="str">
        <f>_xlfn.IFNA(IF(((INDEX(RulebookFields!D2:D1898, MATCH(D2180,RulebookFields!A2:A1898, 0))="")=TRUE),  "",  INDEX(RulebookFields!D2:D1898, MATCH(D2180,RulebookFields!A2:A1898, 0))), "")</f>
        <v>StalledImplementationVersionKey</v>
      </c>
      <c r="J2180" s="4" t="b">
        <f>_xlfn.IFNA(IF(((INDEX(RulebookFields!I2:I1898, MATCH(D2180,RulebookFields!A2:A1898, 0))="")=TRUE),  "",  INDEX(RulebookFields!I2:I1898, MATCH(D2180,RulebookFields!A2:A1898, 0))), "")</f>
        <v>1</v>
      </c>
      <c r="K2180" s="4" t="b">
        <f>AND(((F2180)=TRUE), ((J2180)=TRUE))</f>
        <v>0</v>
      </c>
      <c r="L2180" s="4" t="b">
        <f>AND(((G2180 &lt;&gt; "plain")=TRUE), ((G2180 &lt;&gt; "")=TRUE))</f>
        <v>0</v>
      </c>
      <c r="M2180" s="4" t="str">
        <f>IF(((E2180)=TRUE),  C2180 &amp; "|" &amp; H2180,  "")</f>
        <v>principal-knowledge-authority|ChangeRequests</v>
      </c>
      <c r="N2180" s="3" t="s">
        <v>10004</v>
      </c>
    </row>
    <row r="2181">
      <c r="A2181" s="3" t="s">
        <v>12183</v>
      </c>
      <c r="B2181" s="4" t="str">
        <f>C2181 &amp; " -&gt; " &amp; D2181</f>
        <v>principal-knowledge-authority -&gt; ChangeRequests.ApprovedVersionKey</v>
      </c>
      <c r="C2181" s="3" t="s">
        <v>9774</v>
      </c>
      <c r="D2181" s="3" t="s">
        <v>3983</v>
      </c>
      <c r="E2181" s="3" t="b">
        <v>1</v>
      </c>
      <c r="F2181" s="3" t="b">
        <v>0</v>
      </c>
      <c r="G2181" s="3" t="s">
        <v>10003</v>
      </c>
      <c r="H2181" s="4" t="str">
        <f>_xlfn.IFNA(IF(((INDEX(RulebookFields!C2:C1898, MATCH(D2181,RulebookFields!A2:A1898, 0))="")=TRUE),  "",  INDEX(RulebookFields!C2:C1898, MATCH(D2181,RulebookFields!A2:A1898, 0))), "")</f>
        <v>ChangeRequests</v>
      </c>
      <c r="I2181" s="4" t="str">
        <f>_xlfn.IFNA(IF(((INDEX(RulebookFields!D2:D1898, MATCH(D2181,RulebookFields!A2:A1898, 0))="")=TRUE),  "",  INDEX(RulebookFields!D2:D1898, MATCH(D2181,RulebookFields!A2:A1898, 0))), "")</f>
        <v>ApprovedVersionKey</v>
      </c>
      <c r="J2181" s="4" t="b">
        <f>_xlfn.IFNA(IF(((INDEX(RulebookFields!I2:I1898, MATCH(D2181,RulebookFields!A2:A1898, 0))="")=TRUE),  "",  INDEX(RulebookFields!I2:I1898, MATCH(D2181,RulebookFields!A2:A1898, 0))), "")</f>
        <v>1</v>
      </c>
      <c r="K2181" s="4" t="b">
        <f>AND(((F2181)=TRUE), ((J2181)=TRUE))</f>
        <v>0</v>
      </c>
      <c r="L2181" s="4" t="b">
        <f>AND(((G2181 &lt;&gt; "plain")=TRUE), ((G2181 &lt;&gt; "")=TRUE))</f>
        <v>0</v>
      </c>
      <c r="M2181" s="4" t="str">
        <f>IF(((E2181)=TRUE),  C2181 &amp; "|" &amp; H2181,  "")</f>
        <v>principal-knowledge-authority|ChangeRequests</v>
      </c>
      <c r="N2181" s="3" t="s">
        <v>10004</v>
      </c>
    </row>
    <row r="2182">
      <c r="A2182" s="3" t="s">
        <v>12184</v>
      </c>
      <c r="B2182" s="4" t="str">
        <f>C2182 &amp; " -&gt; " &amp; D2182</f>
        <v>principal-knowledge-authority -&gt; ChangeRequests.IsApprovedDecision</v>
      </c>
      <c r="C2182" s="3" t="s">
        <v>9774</v>
      </c>
      <c r="D2182" s="3" t="s">
        <v>3985</v>
      </c>
      <c r="E2182" s="3" t="b">
        <v>1</v>
      </c>
      <c r="F2182" s="3" t="b">
        <v>0</v>
      </c>
      <c r="G2182" s="3" t="s">
        <v>10003</v>
      </c>
      <c r="H2182" s="4" t="str">
        <f>_xlfn.IFNA(IF(((INDEX(RulebookFields!C2:C1898, MATCH(D2182,RulebookFields!A2:A1898, 0))="")=TRUE),  "",  INDEX(RulebookFields!C2:C1898, MATCH(D2182,RulebookFields!A2:A1898, 0))), "")</f>
        <v>ChangeRequests</v>
      </c>
      <c r="I2182" s="4" t="str">
        <f>_xlfn.IFNA(IF(((INDEX(RulebookFields!D2:D1898, MATCH(D2182,RulebookFields!A2:A1898, 0))="")=TRUE),  "",  INDEX(RulebookFields!D2:D1898, MATCH(D2182,RulebookFields!A2:A1898, 0))), "")</f>
        <v>IsApprovedDecision</v>
      </c>
      <c r="J2182" s="4" t="b">
        <f>_xlfn.IFNA(IF(((INDEX(RulebookFields!I2:I1898, MATCH(D2182,RulebookFields!A2:A1898, 0))="")=TRUE),  "",  INDEX(RulebookFields!I2:I1898, MATCH(D2182,RulebookFields!A2:A1898, 0))), "")</f>
        <v>1</v>
      </c>
      <c r="K2182" s="4" t="b">
        <f>AND(((F2182)=TRUE), ((J2182)=TRUE))</f>
        <v>0</v>
      </c>
      <c r="L2182" s="4" t="b">
        <f>AND(((G2182 &lt;&gt; "plain")=TRUE), ((G2182 &lt;&gt; "")=TRUE))</f>
        <v>0</v>
      </c>
      <c r="M2182" s="4" t="str">
        <f>IF(((E2182)=TRUE),  C2182 &amp; "|" &amp; H2182,  "")</f>
        <v>principal-knowledge-authority|ChangeRequests</v>
      </c>
      <c r="N2182" s="3" t="s">
        <v>10004</v>
      </c>
    </row>
    <row r="2183">
      <c r="A2183" s="3" t="s">
        <v>12185</v>
      </c>
      <c r="B2183" s="4" t="str">
        <f>C2183 &amp; " -&gt; " &amp; D2183</f>
        <v>principal-knowledge-authority -&gt; ChangeRequests.SemanticTypeIri</v>
      </c>
      <c r="C2183" s="3" t="s">
        <v>9774</v>
      </c>
      <c r="D2183" s="3" t="s">
        <v>3986</v>
      </c>
      <c r="E2183" s="3" t="b">
        <v>1</v>
      </c>
      <c r="F2183" s="3" t="b">
        <v>0</v>
      </c>
      <c r="G2183" s="3" t="s">
        <v>10003</v>
      </c>
      <c r="H2183" s="4" t="str">
        <f>_xlfn.IFNA(IF(((INDEX(RulebookFields!C2:C1898, MATCH(D2183,RulebookFields!A2:A1898, 0))="")=TRUE),  "",  INDEX(RulebookFields!C2:C1898, MATCH(D2183,RulebookFields!A2:A1898, 0))), "")</f>
        <v>ChangeRequests</v>
      </c>
      <c r="I2183" s="4" t="str">
        <f>_xlfn.IFNA(IF(((INDEX(RulebookFields!D2:D1898, MATCH(D2183,RulebookFields!A2:A1898, 0))="")=TRUE),  "",  INDEX(RulebookFields!D2:D1898, MATCH(D2183,RulebookFields!A2:A1898, 0))), "")</f>
        <v>SemanticTypeIri</v>
      </c>
      <c r="J2183" s="4" t="b">
        <f>_xlfn.IFNA(IF(((INDEX(RulebookFields!I2:I1898, MATCH(D2183,RulebookFields!A2:A1898, 0))="")=TRUE),  "",  INDEX(RulebookFields!I2:I1898, MATCH(D2183,RulebookFields!A2:A1898, 0))), "")</f>
        <v>0</v>
      </c>
      <c r="K2183" s="4" t="b">
        <f>AND(((F2183)=TRUE), ((J2183)=TRUE))</f>
        <v>0</v>
      </c>
      <c r="L2183" s="4" t="b">
        <f>AND(((G2183 &lt;&gt; "plain")=TRUE), ((G2183 &lt;&gt; "")=TRUE))</f>
        <v>0</v>
      </c>
      <c r="M2183" s="4" t="str">
        <f>IF(((E2183)=TRUE),  C2183 &amp; "|" &amp; H2183,  "")</f>
        <v>principal-knowledge-authority|ChangeRequests</v>
      </c>
      <c r="N2183" s="3" t="s">
        <v>10004</v>
      </c>
    </row>
    <row r="2184">
      <c r="A2184" s="3" t="s">
        <v>12186</v>
      </c>
      <c r="B2184" s="4" t="str">
        <f>C2184 &amp; " -&gt; " &amp; D2184</f>
        <v>principal-knowledge-authority -&gt; CommunicationPolicies.CommunicationPolicyId</v>
      </c>
      <c r="C2184" s="3" t="s">
        <v>9774</v>
      </c>
      <c r="D2184" s="3" t="s">
        <v>4060</v>
      </c>
      <c r="E2184" s="3" t="b">
        <v>1</v>
      </c>
      <c r="F2184" s="3" t="b">
        <v>0</v>
      </c>
      <c r="G2184" s="3" t="s">
        <v>10003</v>
      </c>
      <c r="H2184" s="4" t="str">
        <f>_xlfn.IFNA(IF(((INDEX(RulebookFields!C2:C1898, MATCH(D2184,RulebookFields!A2:A1898, 0))="")=TRUE),  "",  INDEX(RulebookFields!C2:C1898, MATCH(D2184,RulebookFields!A2:A1898, 0))), "")</f>
        <v>CommunicationPolicies</v>
      </c>
      <c r="I2184" s="4" t="str">
        <f>_xlfn.IFNA(IF(((INDEX(RulebookFields!D2:D1898, MATCH(D2184,RulebookFields!A2:A1898, 0))="")=TRUE),  "",  INDEX(RulebookFields!D2:D1898, MATCH(D2184,RulebookFields!A2:A1898, 0))), "")</f>
        <v>CommunicationPolicyId</v>
      </c>
      <c r="J2184" s="4" t="b">
        <f>_xlfn.IFNA(IF(((INDEX(RulebookFields!I2:I1898, MATCH(D2184,RulebookFields!A2:A1898, 0))="")=TRUE),  "",  INDEX(RulebookFields!I2:I1898, MATCH(D2184,RulebookFields!A2:A1898, 0))), "")</f>
        <v>0</v>
      </c>
      <c r="K2184" s="4" t="b">
        <f>AND(((F2184)=TRUE), ((J2184)=TRUE))</f>
        <v>0</v>
      </c>
      <c r="L2184" s="4" t="b">
        <f>AND(((G2184 &lt;&gt; "plain")=TRUE), ((G2184 &lt;&gt; "")=TRUE))</f>
        <v>0</v>
      </c>
      <c r="M2184" s="4" t="str">
        <f>IF(((E2184)=TRUE),  C2184 &amp; "|" &amp; H2184,  "")</f>
        <v>principal-knowledge-authority|CommunicationPolicies</v>
      </c>
      <c r="N2184" s="3" t="s">
        <v>10004</v>
      </c>
    </row>
    <row r="2185">
      <c r="A2185" s="3" t="s">
        <v>12187</v>
      </c>
      <c r="B2185" s="4" t="str">
        <f>C2185 &amp; " -&gt; " &amp; D2185</f>
        <v>principal-knowledge-authority -&gt; CommunicationPolicies.Name</v>
      </c>
      <c r="C2185" s="3" t="s">
        <v>9774</v>
      </c>
      <c r="D2185" s="3" t="s">
        <v>4061</v>
      </c>
      <c r="E2185" s="3" t="b">
        <v>1</v>
      </c>
      <c r="F2185" s="3" t="b">
        <v>0</v>
      </c>
      <c r="G2185" s="3" t="s">
        <v>10003</v>
      </c>
      <c r="H2185" s="4" t="str">
        <f>_xlfn.IFNA(IF(((INDEX(RulebookFields!C2:C1898, MATCH(D2185,RulebookFields!A2:A1898, 0))="")=TRUE),  "",  INDEX(RulebookFields!C2:C1898, MATCH(D2185,RulebookFields!A2:A1898, 0))), "")</f>
        <v>CommunicationPolicies</v>
      </c>
      <c r="I2185" s="4" t="str">
        <f>_xlfn.IFNA(IF(((INDEX(RulebookFields!D2:D1898, MATCH(D2185,RulebookFields!A2:A1898, 0))="")=TRUE),  "",  INDEX(RulebookFields!D2:D1898, MATCH(D2185,RulebookFields!A2:A1898, 0))), "")</f>
        <v>Name</v>
      </c>
      <c r="J2185" s="4" t="b">
        <f>_xlfn.IFNA(IF(((INDEX(RulebookFields!I2:I1898, MATCH(D2185,RulebookFields!A2:A1898, 0))="")=TRUE),  "",  INDEX(RulebookFields!I2:I1898, MATCH(D2185,RulebookFields!A2:A1898, 0))), "")</f>
        <v>1</v>
      </c>
      <c r="K2185" s="4" t="b">
        <f>AND(((F2185)=TRUE), ((J2185)=TRUE))</f>
        <v>0</v>
      </c>
      <c r="L2185" s="4" t="b">
        <f>AND(((G2185 &lt;&gt; "plain")=TRUE), ((G2185 &lt;&gt; "")=TRUE))</f>
        <v>0</v>
      </c>
      <c r="M2185" s="4" t="str">
        <f>IF(((E2185)=TRUE),  C2185 &amp; "|" &amp; H2185,  "")</f>
        <v>principal-knowledge-authority|CommunicationPolicies</v>
      </c>
      <c r="N2185" s="3" t="s">
        <v>10004</v>
      </c>
    </row>
    <row r="2186">
      <c r="A2186" s="3" t="s">
        <v>12188</v>
      </c>
      <c r="B2186" s="4" t="str">
        <f>C2186 &amp; " -&gt; " &amp; D2186</f>
        <v>principal-knowledge-authority -&gt; CommunicationPolicies.ProcedureVersion</v>
      </c>
      <c r="C2186" s="3" t="s">
        <v>9774</v>
      </c>
      <c r="D2186" s="3" t="s">
        <v>4063</v>
      </c>
      <c r="E2186" s="3" t="b">
        <v>1</v>
      </c>
      <c r="F2186" s="3" t="b">
        <v>0</v>
      </c>
      <c r="G2186" s="3" t="s">
        <v>10003</v>
      </c>
      <c r="H2186" s="4" t="str">
        <f>_xlfn.IFNA(IF(((INDEX(RulebookFields!C2:C1898, MATCH(D2186,RulebookFields!A2:A1898, 0))="")=TRUE),  "",  INDEX(RulebookFields!C2:C1898, MATCH(D2186,RulebookFields!A2:A1898, 0))), "")</f>
        <v>CommunicationPolicies</v>
      </c>
      <c r="I2186" s="4" t="str">
        <f>_xlfn.IFNA(IF(((INDEX(RulebookFields!D2:D1898, MATCH(D2186,RulebookFields!A2:A1898, 0))="")=TRUE),  "",  INDEX(RulebookFields!D2:D1898, MATCH(D2186,RulebookFields!A2:A1898, 0))), "")</f>
        <v>ProcedureVersion</v>
      </c>
      <c r="J2186" s="4" t="b">
        <f>_xlfn.IFNA(IF(((INDEX(RulebookFields!I2:I1898, MATCH(D2186,RulebookFields!A2:A1898, 0))="")=TRUE),  "",  INDEX(RulebookFields!I2:I1898, MATCH(D2186,RulebookFields!A2:A1898, 0))), "")</f>
        <v>0</v>
      </c>
      <c r="K2186" s="4" t="b">
        <f>AND(((F2186)=TRUE), ((J2186)=TRUE))</f>
        <v>0</v>
      </c>
      <c r="L2186" s="4" t="b">
        <f>AND(((G2186 &lt;&gt; "plain")=TRUE), ((G2186 &lt;&gt; "")=TRUE))</f>
        <v>0</v>
      </c>
      <c r="M2186" s="4" t="str">
        <f>IF(((E2186)=TRUE),  C2186 &amp; "|" &amp; H2186,  "")</f>
        <v>principal-knowledge-authority|CommunicationPolicies</v>
      </c>
      <c r="N2186" s="3" t="s">
        <v>10004</v>
      </c>
    </row>
    <row r="2187">
      <c r="A2187" s="3" t="s">
        <v>12189</v>
      </c>
      <c r="B2187" s="4" t="str">
        <f>C2187 &amp; " -&gt; " &amp; D2187</f>
        <v>principal-knowledge-authority -&gt; CommunicationPolicies.Channel</v>
      </c>
      <c r="C2187" s="3" t="s">
        <v>9774</v>
      </c>
      <c r="D2187" s="3" t="s">
        <v>4064</v>
      </c>
      <c r="E2187" s="3" t="b">
        <v>1</v>
      </c>
      <c r="F2187" s="3" t="b">
        <v>0</v>
      </c>
      <c r="G2187" s="3" t="s">
        <v>10003</v>
      </c>
      <c r="H2187" s="4" t="str">
        <f>_xlfn.IFNA(IF(((INDEX(RulebookFields!C2:C1898, MATCH(D2187,RulebookFields!A2:A1898, 0))="")=TRUE),  "",  INDEX(RulebookFields!C2:C1898, MATCH(D2187,RulebookFields!A2:A1898, 0))), "")</f>
        <v>CommunicationPolicies</v>
      </c>
      <c r="I2187" s="4" t="str">
        <f>_xlfn.IFNA(IF(((INDEX(RulebookFields!D2:D1898, MATCH(D2187,RulebookFields!A2:A1898, 0))="")=TRUE),  "",  INDEX(RulebookFields!D2:D1898, MATCH(D2187,RulebookFields!A2:A1898, 0))), "")</f>
        <v>Channel</v>
      </c>
      <c r="J2187" s="4" t="b">
        <f>_xlfn.IFNA(IF(((INDEX(RulebookFields!I2:I1898, MATCH(D2187,RulebookFields!A2:A1898, 0))="")=TRUE),  "",  INDEX(RulebookFields!I2:I1898, MATCH(D2187,RulebookFields!A2:A1898, 0))), "")</f>
        <v>0</v>
      </c>
      <c r="K2187" s="4" t="b">
        <f>AND(((F2187)=TRUE), ((J2187)=TRUE))</f>
        <v>0</v>
      </c>
      <c r="L2187" s="4" t="b">
        <f>AND(((G2187 &lt;&gt; "plain")=TRUE), ((G2187 &lt;&gt; "")=TRUE))</f>
        <v>0</v>
      </c>
      <c r="M2187" s="4" t="str">
        <f>IF(((E2187)=TRUE),  C2187 &amp; "|" &amp; H2187,  "")</f>
        <v>principal-knowledge-authority|CommunicationPolicies</v>
      </c>
      <c r="N2187" s="3" t="s">
        <v>10004</v>
      </c>
    </row>
    <row r="2188">
      <c r="A2188" s="3" t="s">
        <v>12190</v>
      </c>
      <c r="B2188" s="4" t="str">
        <f>C2188 &amp; " -&gt; " &amp; D2188</f>
        <v>principal-knowledge-authority -&gt; CommunicationPolicies.AudienceRule</v>
      </c>
      <c r="C2188" s="3" t="s">
        <v>9774</v>
      </c>
      <c r="D2188" s="3" t="s">
        <v>4065</v>
      </c>
      <c r="E2188" s="3" t="b">
        <v>1</v>
      </c>
      <c r="F2188" s="3" t="b">
        <v>0</v>
      </c>
      <c r="G2188" s="3" t="s">
        <v>10003</v>
      </c>
      <c r="H2188" s="4" t="str">
        <f>_xlfn.IFNA(IF(((INDEX(RulebookFields!C2:C1898, MATCH(D2188,RulebookFields!A2:A1898, 0))="")=TRUE),  "",  INDEX(RulebookFields!C2:C1898, MATCH(D2188,RulebookFields!A2:A1898, 0))), "")</f>
        <v>CommunicationPolicies</v>
      </c>
      <c r="I2188" s="4" t="str">
        <f>_xlfn.IFNA(IF(((INDEX(RulebookFields!D2:D1898, MATCH(D2188,RulebookFields!A2:A1898, 0))="")=TRUE),  "",  INDEX(RulebookFields!D2:D1898, MATCH(D2188,RulebookFields!A2:A1898, 0))), "")</f>
        <v>AudienceRule</v>
      </c>
      <c r="J2188" s="4" t="b">
        <f>_xlfn.IFNA(IF(((INDEX(RulebookFields!I2:I1898, MATCH(D2188,RulebookFields!A2:A1898, 0))="")=TRUE),  "",  INDEX(RulebookFields!I2:I1898, MATCH(D2188,RulebookFields!A2:A1898, 0))), "")</f>
        <v>0</v>
      </c>
      <c r="K2188" s="4" t="b">
        <f>AND(((F2188)=TRUE), ((J2188)=TRUE))</f>
        <v>0</v>
      </c>
      <c r="L2188" s="4" t="b">
        <f>AND(((G2188 &lt;&gt; "plain")=TRUE), ((G2188 &lt;&gt; "")=TRUE))</f>
        <v>0</v>
      </c>
      <c r="M2188" s="4" t="str">
        <f>IF(((E2188)=TRUE),  C2188 &amp; "|" &amp; H2188,  "")</f>
        <v>principal-knowledge-authority|CommunicationPolicies</v>
      </c>
      <c r="N2188" s="3" t="s">
        <v>10004</v>
      </c>
    </row>
    <row r="2189">
      <c r="A2189" s="3" t="s">
        <v>12191</v>
      </c>
      <c r="B2189" s="4" t="str">
        <f>C2189 &amp; " -&gt; " &amp; D2189</f>
        <v>principal-knowledge-authority -&gt; CommunicationPolicies.ConsentRequired</v>
      </c>
      <c r="C2189" s="3" t="s">
        <v>9774</v>
      </c>
      <c r="D2189" s="3" t="s">
        <v>4066</v>
      </c>
      <c r="E2189" s="3" t="b">
        <v>1</v>
      </c>
      <c r="F2189" s="3" t="b">
        <v>0</v>
      </c>
      <c r="G2189" s="3" t="s">
        <v>10003</v>
      </c>
      <c r="H2189" s="4" t="str">
        <f>_xlfn.IFNA(IF(((INDEX(RulebookFields!C2:C1898, MATCH(D2189,RulebookFields!A2:A1898, 0))="")=TRUE),  "",  INDEX(RulebookFields!C2:C1898, MATCH(D2189,RulebookFields!A2:A1898, 0))), "")</f>
        <v>CommunicationPolicies</v>
      </c>
      <c r="I2189" s="4" t="str">
        <f>_xlfn.IFNA(IF(((INDEX(RulebookFields!D2:D1898, MATCH(D2189,RulebookFields!A2:A1898, 0))="")=TRUE),  "",  INDEX(RulebookFields!D2:D1898, MATCH(D2189,RulebookFields!A2:A1898, 0))), "")</f>
        <v>ConsentRequired</v>
      </c>
      <c r="J2189" s="4" t="b">
        <f>_xlfn.IFNA(IF(((INDEX(RulebookFields!I2:I1898, MATCH(D2189,RulebookFields!A2:A1898, 0))="")=TRUE),  "",  INDEX(RulebookFields!I2:I1898, MATCH(D2189,RulebookFields!A2:A1898, 0))), "")</f>
        <v>0</v>
      </c>
      <c r="K2189" s="4" t="b">
        <f>AND(((F2189)=TRUE), ((J2189)=TRUE))</f>
        <v>0</v>
      </c>
      <c r="L2189" s="4" t="b">
        <f>AND(((G2189 &lt;&gt; "plain")=TRUE), ((G2189 &lt;&gt; "")=TRUE))</f>
        <v>0</v>
      </c>
      <c r="M2189" s="4" t="str">
        <f>IF(((E2189)=TRUE),  C2189 &amp; "|" &amp; H2189,  "")</f>
        <v>principal-knowledge-authority|CommunicationPolicies</v>
      </c>
      <c r="N2189" s="3" t="s">
        <v>10004</v>
      </c>
    </row>
    <row r="2190">
      <c r="A2190" s="3" t="s">
        <v>12192</v>
      </c>
      <c r="B2190" s="4" t="str">
        <f>C2190 &amp; " -&gt; " &amp; D2190</f>
        <v>principal-knowledge-authority -&gt; CommunicationPolicies.QuietHoursStart</v>
      </c>
      <c r="C2190" s="3" t="s">
        <v>9774</v>
      </c>
      <c r="D2190" s="3" t="s">
        <v>4067</v>
      </c>
      <c r="E2190" s="3" t="b">
        <v>1</v>
      </c>
      <c r="F2190" s="3" t="b">
        <v>0</v>
      </c>
      <c r="G2190" s="3" t="s">
        <v>10003</v>
      </c>
      <c r="H2190" s="4" t="str">
        <f>_xlfn.IFNA(IF(((INDEX(RulebookFields!C2:C1898, MATCH(D2190,RulebookFields!A2:A1898, 0))="")=TRUE),  "",  INDEX(RulebookFields!C2:C1898, MATCH(D2190,RulebookFields!A2:A1898, 0))), "")</f>
        <v>CommunicationPolicies</v>
      </c>
      <c r="I2190" s="4" t="str">
        <f>_xlfn.IFNA(IF(((INDEX(RulebookFields!D2:D1898, MATCH(D2190,RulebookFields!A2:A1898, 0))="")=TRUE),  "",  INDEX(RulebookFields!D2:D1898, MATCH(D2190,RulebookFields!A2:A1898, 0))), "")</f>
        <v>QuietHoursStart</v>
      </c>
      <c r="J2190" s="4" t="b">
        <f>_xlfn.IFNA(IF(((INDEX(RulebookFields!I2:I1898, MATCH(D2190,RulebookFields!A2:A1898, 0))="")=TRUE),  "",  INDEX(RulebookFields!I2:I1898, MATCH(D2190,RulebookFields!A2:A1898, 0))), "")</f>
        <v>0</v>
      </c>
      <c r="K2190" s="4" t="b">
        <f>AND(((F2190)=TRUE), ((J2190)=TRUE))</f>
        <v>0</v>
      </c>
      <c r="L2190" s="4" t="b">
        <f>AND(((G2190 &lt;&gt; "plain")=TRUE), ((G2190 &lt;&gt; "")=TRUE))</f>
        <v>0</v>
      </c>
      <c r="M2190" s="4" t="str">
        <f>IF(((E2190)=TRUE),  C2190 &amp; "|" &amp; H2190,  "")</f>
        <v>principal-knowledge-authority|CommunicationPolicies</v>
      </c>
      <c r="N2190" s="3" t="s">
        <v>10004</v>
      </c>
    </row>
    <row r="2191">
      <c r="A2191" s="3" t="s">
        <v>12193</v>
      </c>
      <c r="B2191" s="4" t="str">
        <f>C2191 &amp; " -&gt; " &amp; D2191</f>
        <v>principal-knowledge-authority -&gt; CommunicationPolicies.QuietHoursEnd</v>
      </c>
      <c r="C2191" s="3" t="s">
        <v>9774</v>
      </c>
      <c r="D2191" s="3" t="s">
        <v>4068</v>
      </c>
      <c r="E2191" s="3" t="b">
        <v>1</v>
      </c>
      <c r="F2191" s="3" t="b">
        <v>0</v>
      </c>
      <c r="G2191" s="3" t="s">
        <v>10003</v>
      </c>
      <c r="H2191" s="4" t="str">
        <f>_xlfn.IFNA(IF(((INDEX(RulebookFields!C2:C1898, MATCH(D2191,RulebookFields!A2:A1898, 0))="")=TRUE),  "",  INDEX(RulebookFields!C2:C1898, MATCH(D2191,RulebookFields!A2:A1898, 0))), "")</f>
        <v>CommunicationPolicies</v>
      </c>
      <c r="I2191" s="4" t="str">
        <f>_xlfn.IFNA(IF(((INDEX(RulebookFields!D2:D1898, MATCH(D2191,RulebookFields!A2:A1898, 0))="")=TRUE),  "",  INDEX(RulebookFields!D2:D1898, MATCH(D2191,RulebookFields!A2:A1898, 0))), "")</f>
        <v>QuietHoursEnd</v>
      </c>
      <c r="J2191" s="4" t="b">
        <f>_xlfn.IFNA(IF(((INDEX(RulebookFields!I2:I1898, MATCH(D2191,RulebookFields!A2:A1898, 0))="")=TRUE),  "",  INDEX(RulebookFields!I2:I1898, MATCH(D2191,RulebookFields!A2:A1898, 0))), "")</f>
        <v>0</v>
      </c>
      <c r="K2191" s="4" t="b">
        <f>AND(((F2191)=TRUE), ((J2191)=TRUE))</f>
        <v>0</v>
      </c>
      <c r="L2191" s="4" t="b">
        <f>AND(((G2191 &lt;&gt; "plain")=TRUE), ((G2191 &lt;&gt; "")=TRUE))</f>
        <v>0</v>
      </c>
      <c r="M2191" s="4" t="str">
        <f>IF(((E2191)=TRUE),  C2191 &amp; "|" &amp; H2191,  "")</f>
        <v>principal-knowledge-authority|CommunicationPolicies</v>
      </c>
      <c r="N2191" s="3" t="s">
        <v>10004</v>
      </c>
    </row>
    <row r="2192">
      <c r="A2192" s="3" t="s">
        <v>12194</v>
      </c>
      <c r="B2192" s="4" t="str">
        <f>C2192 &amp; " -&gt; " &amp; D2192</f>
        <v>principal-knowledge-authority -&gt; CommunicationPolicies.MaxMessageLength</v>
      </c>
      <c r="C2192" s="3" t="s">
        <v>9774</v>
      </c>
      <c r="D2192" s="3" t="s">
        <v>4069</v>
      </c>
      <c r="E2192" s="3" t="b">
        <v>1</v>
      </c>
      <c r="F2192" s="3" t="b">
        <v>0</v>
      </c>
      <c r="G2192" s="3" t="s">
        <v>10003</v>
      </c>
      <c r="H2192" s="4" t="str">
        <f>_xlfn.IFNA(IF(((INDEX(RulebookFields!C2:C1898, MATCH(D2192,RulebookFields!A2:A1898, 0))="")=TRUE),  "",  INDEX(RulebookFields!C2:C1898, MATCH(D2192,RulebookFields!A2:A1898, 0))), "")</f>
        <v>CommunicationPolicies</v>
      </c>
      <c r="I2192" s="4" t="str">
        <f>_xlfn.IFNA(IF(((INDEX(RulebookFields!D2:D1898, MATCH(D2192,RulebookFields!A2:A1898, 0))="")=TRUE),  "",  INDEX(RulebookFields!D2:D1898, MATCH(D2192,RulebookFields!A2:A1898, 0))), "")</f>
        <v>MaxMessageLength</v>
      </c>
      <c r="J2192" s="4" t="b">
        <f>_xlfn.IFNA(IF(((INDEX(RulebookFields!I2:I1898, MATCH(D2192,RulebookFields!A2:A1898, 0))="")=TRUE),  "",  INDEX(RulebookFields!I2:I1898, MATCH(D2192,RulebookFields!A2:A1898, 0))), "")</f>
        <v>0</v>
      </c>
      <c r="K2192" s="4" t="b">
        <f>AND(((F2192)=TRUE), ((J2192)=TRUE))</f>
        <v>0</v>
      </c>
      <c r="L2192" s="4" t="b">
        <f>AND(((G2192 &lt;&gt; "plain")=TRUE), ((G2192 &lt;&gt; "")=TRUE))</f>
        <v>0</v>
      </c>
      <c r="M2192" s="4" t="str">
        <f>IF(((E2192)=TRUE),  C2192 &amp; "|" &amp; H2192,  "")</f>
        <v>principal-knowledge-authority|CommunicationPolicies</v>
      </c>
      <c r="N2192" s="3" t="s">
        <v>10004</v>
      </c>
    </row>
    <row r="2193">
      <c r="A2193" s="3" t="s">
        <v>12195</v>
      </c>
      <c r="B2193" s="4" t="str">
        <f>C2193 &amp; " -&gt; " &amp; D2193</f>
        <v>principal-knowledge-authority -&gt; CommunicationPolicies.MaxSegments</v>
      </c>
      <c r="C2193" s="3" t="s">
        <v>9774</v>
      </c>
      <c r="D2193" s="3" t="s">
        <v>4070</v>
      </c>
      <c r="E2193" s="3" t="b">
        <v>1</v>
      </c>
      <c r="F2193" s="3" t="b">
        <v>0</v>
      </c>
      <c r="G2193" s="3" t="s">
        <v>10003</v>
      </c>
      <c r="H2193" s="4" t="str">
        <f>_xlfn.IFNA(IF(((INDEX(RulebookFields!C2:C1898, MATCH(D2193,RulebookFields!A2:A1898, 0))="")=TRUE),  "",  INDEX(RulebookFields!C2:C1898, MATCH(D2193,RulebookFields!A2:A1898, 0))), "")</f>
        <v>CommunicationPolicies</v>
      </c>
      <c r="I2193" s="4" t="str">
        <f>_xlfn.IFNA(IF(((INDEX(RulebookFields!D2:D1898, MATCH(D2193,RulebookFields!A2:A1898, 0))="")=TRUE),  "",  INDEX(RulebookFields!D2:D1898, MATCH(D2193,RulebookFields!A2:A1898, 0))), "")</f>
        <v>MaxSegments</v>
      </c>
      <c r="J2193" s="4" t="b">
        <f>_xlfn.IFNA(IF(((INDEX(RulebookFields!I2:I1898, MATCH(D2193,RulebookFields!A2:A1898, 0))="")=TRUE),  "",  INDEX(RulebookFields!I2:I1898, MATCH(D2193,RulebookFields!A2:A1898, 0))), "")</f>
        <v>0</v>
      </c>
      <c r="K2193" s="4" t="b">
        <f>AND(((F2193)=TRUE), ((J2193)=TRUE))</f>
        <v>0</v>
      </c>
      <c r="L2193" s="4" t="b">
        <f>AND(((G2193 &lt;&gt; "plain")=TRUE), ((G2193 &lt;&gt; "")=TRUE))</f>
        <v>0</v>
      </c>
      <c r="M2193" s="4" t="str">
        <f>IF(((E2193)=TRUE),  C2193 &amp; "|" &amp; H2193,  "")</f>
        <v>principal-knowledge-authority|CommunicationPolicies</v>
      </c>
      <c r="N2193" s="3" t="s">
        <v>10004</v>
      </c>
    </row>
    <row r="2194">
      <c r="A2194" s="3" t="s">
        <v>12196</v>
      </c>
      <c r="B2194" s="4" t="str">
        <f>C2194 &amp; " -&gt; " &amp; D2194</f>
        <v>principal-knowledge-authority -&gt; CommunicationPolicies.RetentionDays</v>
      </c>
      <c r="C2194" s="3" t="s">
        <v>9774</v>
      </c>
      <c r="D2194" s="3" t="s">
        <v>4071</v>
      </c>
      <c r="E2194" s="3" t="b">
        <v>1</v>
      </c>
      <c r="F2194" s="3" t="b">
        <v>0</v>
      </c>
      <c r="G2194" s="3" t="s">
        <v>10003</v>
      </c>
      <c r="H2194" s="4" t="str">
        <f>_xlfn.IFNA(IF(((INDEX(RulebookFields!C2:C1898, MATCH(D2194,RulebookFields!A2:A1898, 0))="")=TRUE),  "",  INDEX(RulebookFields!C2:C1898, MATCH(D2194,RulebookFields!A2:A1898, 0))), "")</f>
        <v>CommunicationPolicies</v>
      </c>
      <c r="I2194" s="4" t="str">
        <f>_xlfn.IFNA(IF(((INDEX(RulebookFields!D2:D1898, MATCH(D2194,RulebookFields!A2:A1898, 0))="")=TRUE),  "",  INDEX(RulebookFields!D2:D1898, MATCH(D2194,RulebookFields!A2:A1898, 0))), "")</f>
        <v>RetentionDays</v>
      </c>
      <c r="J2194" s="4" t="b">
        <f>_xlfn.IFNA(IF(((INDEX(RulebookFields!I2:I1898, MATCH(D2194,RulebookFields!A2:A1898, 0))="")=TRUE),  "",  INDEX(RulebookFields!I2:I1898, MATCH(D2194,RulebookFields!A2:A1898, 0))), "")</f>
        <v>0</v>
      </c>
      <c r="K2194" s="4" t="b">
        <f>AND(((F2194)=TRUE), ((J2194)=TRUE))</f>
        <v>0</v>
      </c>
      <c r="L2194" s="4" t="b">
        <f>AND(((G2194 &lt;&gt; "plain")=TRUE), ((G2194 &lt;&gt; "")=TRUE))</f>
        <v>0</v>
      </c>
      <c r="M2194" s="4" t="str">
        <f>IF(((E2194)=TRUE),  C2194 &amp; "|" &amp; H2194,  "")</f>
        <v>principal-knowledge-authority|CommunicationPolicies</v>
      </c>
      <c r="N2194" s="3" t="s">
        <v>10004</v>
      </c>
    </row>
    <row r="2195">
      <c r="A2195" s="3" t="s">
        <v>12197</v>
      </c>
      <c r="B2195" s="4" t="str">
        <f>C2195 &amp; " -&gt; " &amp; D2195</f>
        <v>principal-knowledge-authority -&gt; CommunicationPolicies.ApprovalRole</v>
      </c>
      <c r="C2195" s="3" t="s">
        <v>9774</v>
      </c>
      <c r="D2195" s="3" t="s">
        <v>4072</v>
      </c>
      <c r="E2195" s="3" t="b">
        <v>1</v>
      </c>
      <c r="F2195" s="3" t="b">
        <v>0</v>
      </c>
      <c r="G2195" s="3" t="s">
        <v>10003</v>
      </c>
      <c r="H2195" s="4" t="str">
        <f>_xlfn.IFNA(IF(((INDEX(RulebookFields!C2:C1898, MATCH(D2195,RulebookFields!A2:A1898, 0))="")=TRUE),  "",  INDEX(RulebookFields!C2:C1898, MATCH(D2195,RulebookFields!A2:A1898, 0))), "")</f>
        <v>CommunicationPolicies</v>
      </c>
      <c r="I2195" s="4" t="str">
        <f>_xlfn.IFNA(IF(((INDEX(RulebookFields!D2:D1898, MATCH(D2195,RulebookFields!A2:A1898, 0))="")=TRUE),  "",  INDEX(RulebookFields!D2:D1898, MATCH(D2195,RulebookFields!A2:A1898, 0))), "")</f>
        <v>ApprovalRole</v>
      </c>
      <c r="J2195" s="4" t="b">
        <f>_xlfn.IFNA(IF(((INDEX(RulebookFields!I2:I1898, MATCH(D2195,RulebookFields!A2:A1898, 0))="")=TRUE),  "",  INDEX(RulebookFields!I2:I1898, MATCH(D2195,RulebookFields!A2:A1898, 0))), "")</f>
        <v>0</v>
      </c>
      <c r="K2195" s="4" t="b">
        <f>AND(((F2195)=TRUE), ((J2195)=TRUE))</f>
        <v>0</v>
      </c>
      <c r="L2195" s="4" t="b">
        <f>AND(((G2195 &lt;&gt; "plain")=TRUE), ((G2195 &lt;&gt; "")=TRUE))</f>
        <v>0</v>
      </c>
      <c r="M2195" s="4" t="str">
        <f>IF(((E2195)=TRUE),  C2195 &amp; "|" &amp; H2195,  "")</f>
        <v>principal-knowledge-authority|CommunicationPolicies</v>
      </c>
      <c r="N2195" s="3" t="s">
        <v>10004</v>
      </c>
    </row>
    <row r="2196">
      <c r="A2196" s="3" t="s">
        <v>12198</v>
      </c>
      <c r="B2196" s="4" t="str">
        <f>C2196 &amp; " -&gt; " &amp; D2196</f>
        <v>principal-knowledge-authority -&gt; CommunicationPolicies.RequiredContent</v>
      </c>
      <c r="C2196" s="3" t="s">
        <v>9774</v>
      </c>
      <c r="D2196" s="3" t="s">
        <v>4073</v>
      </c>
      <c r="E2196" s="3" t="b">
        <v>1</v>
      </c>
      <c r="F2196" s="3" t="b">
        <v>0</v>
      </c>
      <c r="G2196" s="3" t="s">
        <v>10003</v>
      </c>
      <c r="H2196" s="4" t="str">
        <f>_xlfn.IFNA(IF(((INDEX(RulebookFields!C2:C1898, MATCH(D2196,RulebookFields!A2:A1898, 0))="")=TRUE),  "",  INDEX(RulebookFields!C2:C1898, MATCH(D2196,RulebookFields!A2:A1898, 0))), "")</f>
        <v>CommunicationPolicies</v>
      </c>
      <c r="I2196" s="4" t="str">
        <f>_xlfn.IFNA(IF(((INDEX(RulebookFields!D2:D1898, MATCH(D2196,RulebookFields!A2:A1898, 0))="")=TRUE),  "",  INDEX(RulebookFields!D2:D1898, MATCH(D2196,RulebookFields!A2:A1898, 0))), "")</f>
        <v>RequiredContent</v>
      </c>
      <c r="J2196" s="4" t="b">
        <f>_xlfn.IFNA(IF(((INDEX(RulebookFields!I2:I1898, MATCH(D2196,RulebookFields!A2:A1898, 0))="")=TRUE),  "",  INDEX(RulebookFields!I2:I1898, MATCH(D2196,RulebookFields!A2:A1898, 0))), "")</f>
        <v>0</v>
      </c>
      <c r="K2196" s="4" t="b">
        <f>AND(((F2196)=TRUE), ((J2196)=TRUE))</f>
        <v>0</v>
      </c>
      <c r="L2196" s="4" t="b">
        <f>AND(((G2196 &lt;&gt; "plain")=TRUE), ((G2196 &lt;&gt; "")=TRUE))</f>
        <v>0</v>
      </c>
      <c r="M2196" s="4" t="str">
        <f>IF(((E2196)=TRUE),  C2196 &amp; "|" &amp; H2196,  "")</f>
        <v>principal-knowledge-authority|CommunicationPolicies</v>
      </c>
      <c r="N2196" s="3" t="s">
        <v>10004</v>
      </c>
    </row>
    <row r="2197">
      <c r="A2197" s="3" t="s">
        <v>12199</v>
      </c>
      <c r="B2197" s="4" t="str">
        <f>C2197 &amp; " -&gt; " &amp; D2197</f>
        <v>principal-knowledge-authority -&gt; CommunicationPolicies.AuthorityStatement</v>
      </c>
      <c r="C2197" s="3" t="s">
        <v>9774</v>
      </c>
      <c r="D2197" s="3" t="s">
        <v>4074</v>
      </c>
      <c r="E2197" s="3" t="b">
        <v>1</v>
      </c>
      <c r="F2197" s="3" t="b">
        <v>0</v>
      </c>
      <c r="G2197" s="3" t="s">
        <v>10003</v>
      </c>
      <c r="H2197" s="4" t="str">
        <f>_xlfn.IFNA(IF(((INDEX(RulebookFields!C2:C1898, MATCH(D2197,RulebookFields!A2:A1898, 0))="")=TRUE),  "",  INDEX(RulebookFields!C2:C1898, MATCH(D2197,RulebookFields!A2:A1898, 0))), "")</f>
        <v>CommunicationPolicies</v>
      </c>
      <c r="I2197" s="4" t="str">
        <f>_xlfn.IFNA(IF(((INDEX(RulebookFields!D2:D1898, MATCH(D2197,RulebookFields!A2:A1898, 0))="")=TRUE),  "",  INDEX(RulebookFields!D2:D1898, MATCH(D2197,RulebookFields!A2:A1898, 0))), "")</f>
        <v>AuthorityStatement</v>
      </c>
      <c r="J2197" s="4" t="b">
        <f>_xlfn.IFNA(IF(((INDEX(RulebookFields!I2:I1898, MATCH(D2197,RulebookFields!A2:A1898, 0))="")=TRUE),  "",  INDEX(RulebookFields!I2:I1898, MATCH(D2197,RulebookFields!A2:A1898, 0))), "")</f>
        <v>0</v>
      </c>
      <c r="K2197" s="4" t="b">
        <f>AND(((F2197)=TRUE), ((J2197)=TRUE))</f>
        <v>0</v>
      </c>
      <c r="L2197" s="4" t="b">
        <f>AND(((G2197 &lt;&gt; "plain")=TRUE), ((G2197 &lt;&gt; "")=TRUE))</f>
        <v>0</v>
      </c>
      <c r="M2197" s="4" t="str">
        <f>IF(((E2197)=TRUE),  C2197 &amp; "|" &amp; H2197,  "")</f>
        <v>principal-knowledge-authority|CommunicationPolicies</v>
      </c>
      <c r="N2197" s="3" t="s">
        <v>10004</v>
      </c>
    </row>
    <row r="2198">
      <c r="A2198" s="3" t="s">
        <v>12200</v>
      </c>
      <c r="B2198" s="4" t="str">
        <f>C2198 &amp; " -&gt; " &amp; D2198</f>
        <v>principal-knowledge-authority -&gt; CommunicationPolicies.Status</v>
      </c>
      <c r="C2198" s="3" t="s">
        <v>9774</v>
      </c>
      <c r="D2198" s="3" t="s">
        <v>4075</v>
      </c>
      <c r="E2198" s="3" t="b">
        <v>1</v>
      </c>
      <c r="F2198" s="3" t="b">
        <v>0</v>
      </c>
      <c r="G2198" s="3" t="s">
        <v>10003</v>
      </c>
      <c r="H2198" s="4" t="str">
        <f>_xlfn.IFNA(IF(((INDEX(RulebookFields!C2:C1898, MATCH(D2198,RulebookFields!A2:A1898, 0))="")=TRUE),  "",  INDEX(RulebookFields!C2:C1898, MATCH(D2198,RulebookFields!A2:A1898, 0))), "")</f>
        <v>CommunicationPolicies</v>
      </c>
      <c r="I2198" s="4" t="str">
        <f>_xlfn.IFNA(IF(((INDEX(RulebookFields!D2:D1898, MATCH(D2198,RulebookFields!A2:A1898, 0))="")=TRUE),  "",  INDEX(RulebookFields!D2:D1898, MATCH(D2198,RulebookFields!A2:A1898, 0))), "")</f>
        <v>Status</v>
      </c>
      <c r="J2198" s="4" t="b">
        <f>_xlfn.IFNA(IF(((INDEX(RulebookFields!I2:I1898, MATCH(D2198,RulebookFields!A2:A1898, 0))="")=TRUE),  "",  INDEX(RulebookFields!I2:I1898, MATCH(D2198,RulebookFields!A2:A1898, 0))), "")</f>
        <v>0</v>
      </c>
      <c r="K2198" s="4" t="b">
        <f>AND(((F2198)=TRUE), ((J2198)=TRUE))</f>
        <v>0</v>
      </c>
      <c r="L2198" s="4" t="b">
        <f>AND(((G2198 &lt;&gt; "plain")=TRUE), ((G2198 &lt;&gt; "")=TRUE))</f>
        <v>0</v>
      </c>
      <c r="M2198" s="4" t="str">
        <f>IF(((E2198)=TRUE),  C2198 &amp; "|" &amp; H2198,  "")</f>
        <v>principal-knowledge-authority|CommunicationPolicies</v>
      </c>
      <c r="N2198" s="3" t="s">
        <v>10004</v>
      </c>
    </row>
    <row r="2199">
      <c r="A2199" s="3" t="s">
        <v>12201</v>
      </c>
      <c r="B2199" s="4" t="str">
        <f>C2199 &amp; " -&gt; " &amp; D2199</f>
        <v>principal-knowledge-authority -&gt; CommunicationPolicies.ConsentViolationCount</v>
      </c>
      <c r="C2199" s="3" t="s">
        <v>9774</v>
      </c>
      <c r="D2199" s="3" t="s">
        <v>4076</v>
      </c>
      <c r="E2199" s="3" t="b">
        <v>1</v>
      </c>
      <c r="F2199" s="3" t="b">
        <v>0</v>
      </c>
      <c r="G2199" s="3" t="s">
        <v>10003</v>
      </c>
      <c r="H2199" s="4" t="str">
        <f>_xlfn.IFNA(IF(((INDEX(RulebookFields!C2:C1898, MATCH(D2199,RulebookFields!A2:A1898, 0))="")=TRUE),  "",  INDEX(RulebookFields!C2:C1898, MATCH(D2199,RulebookFields!A2:A1898, 0))), "")</f>
        <v>CommunicationPolicies</v>
      </c>
      <c r="I2199" s="4" t="str">
        <f>_xlfn.IFNA(IF(((INDEX(RulebookFields!D2:D1898, MATCH(D2199,RulebookFields!A2:A1898, 0))="")=TRUE),  "",  INDEX(RulebookFields!D2:D1898, MATCH(D2199,RulebookFields!A2:A1898, 0))), "")</f>
        <v>ConsentViolationCount</v>
      </c>
      <c r="J2199" s="4" t="b">
        <f>_xlfn.IFNA(IF(((INDEX(RulebookFields!I2:I1898, MATCH(D2199,RulebookFields!A2:A1898, 0))="")=TRUE),  "",  INDEX(RulebookFields!I2:I1898, MATCH(D2199,RulebookFields!A2:A1898, 0))), "")</f>
        <v>1</v>
      </c>
      <c r="K2199" s="4" t="b">
        <f>AND(((F2199)=TRUE), ((J2199)=TRUE))</f>
        <v>0</v>
      </c>
      <c r="L2199" s="4" t="b">
        <f>AND(((G2199 &lt;&gt; "plain")=TRUE), ((G2199 &lt;&gt; "")=TRUE))</f>
        <v>0</v>
      </c>
      <c r="M2199" s="4" t="str">
        <f>IF(((E2199)=TRUE),  C2199 &amp; "|" &amp; H2199,  "")</f>
        <v>principal-knowledge-authority|CommunicationPolicies</v>
      </c>
      <c r="N2199" s="3" t="s">
        <v>10004</v>
      </c>
    </row>
    <row r="2200">
      <c r="A2200" s="3" t="s">
        <v>12202</v>
      </c>
      <c r="B2200" s="4" t="str">
        <f>C2200 &amp; " -&gt; " &amp; D2200</f>
        <v>principal-knowledge-authority -&gt; CommunicationPolicies.QuietHoursStartHour</v>
      </c>
      <c r="C2200" s="3" t="s">
        <v>9774</v>
      </c>
      <c r="D2200" s="3" t="s">
        <v>4078</v>
      </c>
      <c r="E2200" s="3" t="b">
        <v>1</v>
      </c>
      <c r="F2200" s="3" t="b">
        <v>0</v>
      </c>
      <c r="G2200" s="3" t="s">
        <v>10003</v>
      </c>
      <c r="H2200" s="4" t="str">
        <f>_xlfn.IFNA(IF(((INDEX(RulebookFields!C2:C1898, MATCH(D2200,RulebookFields!A2:A1898, 0))="")=TRUE),  "",  INDEX(RulebookFields!C2:C1898, MATCH(D2200,RulebookFields!A2:A1898, 0))), "")</f>
        <v>CommunicationPolicies</v>
      </c>
      <c r="I2200" s="4" t="str">
        <f>_xlfn.IFNA(IF(((INDEX(RulebookFields!D2:D1898, MATCH(D2200,RulebookFields!A2:A1898, 0))="")=TRUE),  "",  INDEX(RulebookFields!D2:D1898, MATCH(D2200,RulebookFields!A2:A1898, 0))), "")</f>
        <v>QuietHoursStartHour</v>
      </c>
      <c r="J2200" s="4" t="b">
        <f>_xlfn.IFNA(IF(((INDEX(RulebookFields!I2:I1898, MATCH(D2200,RulebookFields!A2:A1898, 0))="")=TRUE),  "",  INDEX(RulebookFields!I2:I1898, MATCH(D2200,RulebookFields!A2:A1898, 0))), "")</f>
        <v>0</v>
      </c>
      <c r="K2200" s="4" t="b">
        <f>AND(((F2200)=TRUE), ((J2200)=TRUE))</f>
        <v>0</v>
      </c>
      <c r="L2200" s="4" t="b">
        <f>AND(((G2200 &lt;&gt; "plain")=TRUE), ((G2200 &lt;&gt; "")=TRUE))</f>
        <v>0</v>
      </c>
      <c r="M2200" s="4" t="str">
        <f>IF(((E2200)=TRUE),  C2200 &amp; "|" &amp; H2200,  "")</f>
        <v>principal-knowledge-authority|CommunicationPolicies</v>
      </c>
      <c r="N2200" s="3" t="s">
        <v>10004</v>
      </c>
    </row>
    <row r="2201">
      <c r="A2201" s="3" t="s">
        <v>12203</v>
      </c>
      <c r="B2201" s="4" t="str">
        <f>C2201 &amp; " -&gt; " &amp; D2201</f>
        <v>principal-knowledge-authority -&gt; CommunicationPolicies.QuietHoursEndHour</v>
      </c>
      <c r="C2201" s="3" t="s">
        <v>9774</v>
      </c>
      <c r="D2201" s="3" t="s">
        <v>4079</v>
      </c>
      <c r="E2201" s="3" t="b">
        <v>1</v>
      </c>
      <c r="F2201" s="3" t="b">
        <v>0</v>
      </c>
      <c r="G2201" s="3" t="s">
        <v>10003</v>
      </c>
      <c r="H2201" s="4" t="str">
        <f>_xlfn.IFNA(IF(((INDEX(RulebookFields!C2:C1898, MATCH(D2201,RulebookFields!A2:A1898, 0))="")=TRUE),  "",  INDEX(RulebookFields!C2:C1898, MATCH(D2201,RulebookFields!A2:A1898, 0))), "")</f>
        <v>CommunicationPolicies</v>
      </c>
      <c r="I2201" s="4" t="str">
        <f>_xlfn.IFNA(IF(((INDEX(RulebookFields!D2:D1898, MATCH(D2201,RulebookFields!A2:A1898, 0))="")=TRUE),  "",  INDEX(RulebookFields!D2:D1898, MATCH(D2201,RulebookFields!A2:A1898, 0))), "")</f>
        <v>QuietHoursEndHour</v>
      </c>
      <c r="J2201" s="4" t="b">
        <f>_xlfn.IFNA(IF(((INDEX(RulebookFields!I2:I1898, MATCH(D2201,RulebookFields!A2:A1898, 0))="")=TRUE),  "",  INDEX(RulebookFields!I2:I1898, MATCH(D2201,RulebookFields!A2:A1898, 0))), "")</f>
        <v>0</v>
      </c>
      <c r="K2201" s="4" t="b">
        <f>AND(((F2201)=TRUE), ((J2201)=TRUE))</f>
        <v>0</v>
      </c>
      <c r="L2201" s="4" t="b">
        <f>AND(((G2201 &lt;&gt; "plain")=TRUE), ((G2201 &lt;&gt; "")=TRUE))</f>
        <v>0</v>
      </c>
      <c r="M2201" s="4" t="str">
        <f>IF(((E2201)=TRUE),  C2201 &amp; "|" &amp; H2201,  "")</f>
        <v>principal-knowledge-authority|CommunicationPolicies</v>
      </c>
      <c r="N2201" s="3" t="s">
        <v>10004</v>
      </c>
    </row>
    <row r="2202">
      <c r="A2202" s="3" t="s">
        <v>12204</v>
      </c>
      <c r="B2202" s="4" t="str">
        <f>C2202 &amp; " -&gt; " &amp; D2202</f>
        <v>principal-knowledge-authority -&gt; CommunicationPolicies.QuietHoursViolationCount</v>
      </c>
      <c r="C2202" s="3" t="s">
        <v>9774</v>
      </c>
      <c r="D2202" s="3" t="s">
        <v>4080</v>
      </c>
      <c r="E2202" s="3" t="b">
        <v>1</v>
      </c>
      <c r="F2202" s="3" t="b">
        <v>0</v>
      </c>
      <c r="G2202" s="3" t="s">
        <v>10003</v>
      </c>
      <c r="H2202" s="4" t="str">
        <f>_xlfn.IFNA(IF(((INDEX(RulebookFields!C2:C1898, MATCH(D2202,RulebookFields!A2:A1898, 0))="")=TRUE),  "",  INDEX(RulebookFields!C2:C1898, MATCH(D2202,RulebookFields!A2:A1898, 0))), "")</f>
        <v>CommunicationPolicies</v>
      </c>
      <c r="I2202" s="4" t="str">
        <f>_xlfn.IFNA(IF(((INDEX(RulebookFields!D2:D1898, MATCH(D2202,RulebookFields!A2:A1898, 0))="")=TRUE),  "",  INDEX(RulebookFields!D2:D1898, MATCH(D2202,RulebookFields!A2:A1898, 0))), "")</f>
        <v>QuietHoursViolationCount</v>
      </c>
      <c r="J2202" s="4" t="b">
        <f>_xlfn.IFNA(IF(((INDEX(RulebookFields!I2:I1898, MATCH(D2202,RulebookFields!A2:A1898, 0))="")=TRUE),  "",  INDEX(RulebookFields!I2:I1898, MATCH(D2202,RulebookFields!A2:A1898, 0))), "")</f>
        <v>1</v>
      </c>
      <c r="K2202" s="4" t="b">
        <f>AND(((F2202)=TRUE), ((J2202)=TRUE))</f>
        <v>0</v>
      </c>
      <c r="L2202" s="4" t="b">
        <f>AND(((G2202 &lt;&gt; "plain")=TRUE), ((G2202 &lt;&gt; "")=TRUE))</f>
        <v>0</v>
      </c>
      <c r="M2202" s="4" t="str">
        <f>IF(((E2202)=TRUE),  C2202 &amp; "|" &amp; H2202,  "")</f>
        <v>principal-knowledge-authority|CommunicationPolicies</v>
      </c>
      <c r="N2202" s="3" t="s">
        <v>10004</v>
      </c>
    </row>
    <row r="2203">
      <c r="A2203" s="3" t="s">
        <v>12205</v>
      </c>
      <c r="B2203" s="4" t="str">
        <f>C2203 &amp; " -&gt; " &amp; D2203</f>
        <v>principal-knowledge-authority -&gt; CommunicationPolicies.RequiredOptOutPhrase</v>
      </c>
      <c r="C2203" s="3" t="s">
        <v>9774</v>
      </c>
      <c r="D2203" s="3" t="s">
        <v>4082</v>
      </c>
      <c r="E2203" s="3" t="b">
        <v>1</v>
      </c>
      <c r="F2203" s="3" t="b">
        <v>0</v>
      </c>
      <c r="G2203" s="3" t="s">
        <v>10003</v>
      </c>
      <c r="H2203" s="4" t="str">
        <f>_xlfn.IFNA(IF(((INDEX(RulebookFields!C2:C1898, MATCH(D2203,RulebookFields!A2:A1898, 0))="")=TRUE),  "",  INDEX(RulebookFields!C2:C1898, MATCH(D2203,RulebookFields!A2:A1898, 0))), "")</f>
        <v>CommunicationPolicies</v>
      </c>
      <c r="I2203" s="4" t="str">
        <f>_xlfn.IFNA(IF(((INDEX(RulebookFields!D2:D1898, MATCH(D2203,RulebookFields!A2:A1898, 0))="")=TRUE),  "",  INDEX(RulebookFields!D2:D1898, MATCH(D2203,RulebookFields!A2:A1898, 0))), "")</f>
        <v>RequiredOptOutPhrase</v>
      </c>
      <c r="J2203" s="4" t="b">
        <f>_xlfn.IFNA(IF(((INDEX(RulebookFields!I2:I1898, MATCH(D2203,RulebookFields!A2:A1898, 0))="")=TRUE),  "",  INDEX(RulebookFields!I2:I1898, MATCH(D2203,RulebookFields!A2:A1898, 0))), "")</f>
        <v>0</v>
      </c>
      <c r="K2203" s="4" t="b">
        <f>AND(((F2203)=TRUE), ((J2203)=TRUE))</f>
        <v>0</v>
      </c>
      <c r="L2203" s="4" t="b">
        <f>AND(((G2203 &lt;&gt; "plain")=TRUE), ((G2203 &lt;&gt; "")=TRUE))</f>
        <v>0</v>
      </c>
      <c r="M2203" s="4" t="str">
        <f>IF(((E2203)=TRUE),  C2203 &amp; "|" &amp; H2203,  "")</f>
        <v>principal-knowledge-authority|CommunicationPolicies</v>
      </c>
      <c r="N2203" s="3" t="s">
        <v>10004</v>
      </c>
    </row>
    <row r="2204">
      <c r="A2204" s="3" t="s">
        <v>12206</v>
      </c>
      <c r="B2204" s="4" t="str">
        <f>C2204 &amp; " -&gt; " &amp; D2204</f>
        <v>principal-knowledge-authority -&gt; CommunicationPolicies.IsActivePolicy</v>
      </c>
      <c r="C2204" s="3" t="s">
        <v>9774</v>
      </c>
      <c r="D2204" s="3" t="s">
        <v>4083</v>
      </c>
      <c r="E2204" s="3" t="b">
        <v>1</v>
      </c>
      <c r="F2204" s="3" t="b">
        <v>0</v>
      </c>
      <c r="G2204" s="3" t="s">
        <v>10003</v>
      </c>
      <c r="H2204" s="4" t="str">
        <f>_xlfn.IFNA(IF(((INDEX(RulebookFields!C2:C1898, MATCH(D2204,RulebookFields!A2:A1898, 0))="")=TRUE),  "",  INDEX(RulebookFields!C2:C1898, MATCH(D2204,RulebookFields!A2:A1898, 0))), "")</f>
        <v>CommunicationPolicies</v>
      </c>
      <c r="I2204" s="4" t="str">
        <f>_xlfn.IFNA(IF(((INDEX(RulebookFields!D2:D1898, MATCH(D2204,RulebookFields!A2:A1898, 0))="")=TRUE),  "",  INDEX(RulebookFields!D2:D1898, MATCH(D2204,RulebookFields!A2:A1898, 0))), "")</f>
        <v>IsActivePolicy</v>
      </c>
      <c r="J2204" s="4" t="b">
        <f>_xlfn.IFNA(IF(((INDEX(RulebookFields!I2:I1898, MATCH(D2204,RulebookFields!A2:A1898, 0))="")=TRUE),  "",  INDEX(RulebookFields!I2:I1898, MATCH(D2204,RulebookFields!A2:A1898, 0))), "")</f>
        <v>1</v>
      </c>
      <c r="K2204" s="4" t="b">
        <f>AND(((F2204)=TRUE), ((J2204)=TRUE))</f>
        <v>0</v>
      </c>
      <c r="L2204" s="4" t="b">
        <f>AND(((G2204 &lt;&gt; "plain")=TRUE), ((G2204 &lt;&gt; "")=TRUE))</f>
        <v>0</v>
      </c>
      <c r="M2204" s="4" t="str">
        <f>IF(((E2204)=TRUE),  C2204 &amp; "|" &amp; H2204,  "")</f>
        <v>principal-knowledge-authority|CommunicationPolicies</v>
      </c>
      <c r="N2204" s="3" t="s">
        <v>10004</v>
      </c>
    </row>
    <row r="2205">
      <c r="A2205" s="3" t="s">
        <v>12207</v>
      </c>
      <c r="B2205" s="4" t="str">
        <f>C2205 &amp; " -&gt; " &amp; D2205</f>
        <v>principal-knowledge-authority -&gt; CommunicationPolicies.SemanticTypeIri</v>
      </c>
      <c r="C2205" s="3" t="s">
        <v>9774</v>
      </c>
      <c r="D2205" s="3" t="s">
        <v>4085</v>
      </c>
      <c r="E2205" s="3" t="b">
        <v>1</v>
      </c>
      <c r="F2205" s="3" t="b">
        <v>0</v>
      </c>
      <c r="G2205" s="3" t="s">
        <v>10003</v>
      </c>
      <c r="H2205" s="4" t="str">
        <f>_xlfn.IFNA(IF(((INDEX(RulebookFields!C2:C1898, MATCH(D2205,RulebookFields!A2:A1898, 0))="")=TRUE),  "",  INDEX(RulebookFields!C2:C1898, MATCH(D2205,RulebookFields!A2:A1898, 0))), "")</f>
        <v>CommunicationPolicies</v>
      </c>
      <c r="I2205" s="4" t="str">
        <f>_xlfn.IFNA(IF(((INDEX(RulebookFields!D2:D1898, MATCH(D2205,RulebookFields!A2:A1898, 0))="")=TRUE),  "",  INDEX(RulebookFields!D2:D1898, MATCH(D2205,RulebookFields!A2:A1898, 0))), "")</f>
        <v>SemanticTypeIri</v>
      </c>
      <c r="J2205" s="4" t="b">
        <f>_xlfn.IFNA(IF(((INDEX(RulebookFields!I2:I1898, MATCH(D2205,RulebookFields!A2:A1898, 0))="")=TRUE),  "",  INDEX(RulebookFields!I2:I1898, MATCH(D2205,RulebookFields!A2:A1898, 0))), "")</f>
        <v>0</v>
      </c>
      <c r="K2205" s="4" t="b">
        <f>AND(((F2205)=TRUE), ((J2205)=TRUE))</f>
        <v>0</v>
      </c>
      <c r="L2205" s="4" t="b">
        <f>AND(((G2205 &lt;&gt; "plain")=TRUE), ((G2205 &lt;&gt; "")=TRUE))</f>
        <v>0</v>
      </c>
      <c r="M2205" s="4" t="str">
        <f>IF(((E2205)=TRUE),  C2205 &amp; "|" &amp; H2205,  "")</f>
        <v>principal-knowledge-authority|CommunicationPolicies</v>
      </c>
      <c r="N2205" s="3" t="s">
        <v>10004</v>
      </c>
    </row>
    <row r="2206">
      <c r="A2206" s="3" t="s">
        <v>12208</v>
      </c>
      <c r="B2206" s="4" t="str">
        <f>C2206 &amp; " -&gt; " &amp; D2206</f>
        <v>principal-knowledge-authority -&gt; CommunitiesOfPractice.CommunityOfPracticeId</v>
      </c>
      <c r="C2206" s="3" t="s">
        <v>9774</v>
      </c>
      <c r="D2206" s="3" t="s">
        <v>2654</v>
      </c>
      <c r="E2206" s="3" t="b">
        <v>1</v>
      </c>
      <c r="F2206" s="3" t="b">
        <v>0</v>
      </c>
      <c r="G2206" s="3" t="s">
        <v>10003</v>
      </c>
      <c r="H2206" s="4" t="str">
        <f>_xlfn.IFNA(IF(((INDEX(RulebookFields!C2:C1898, MATCH(D2206,RulebookFields!A2:A1898, 0))="")=TRUE),  "",  INDEX(RulebookFields!C2:C1898, MATCH(D2206,RulebookFields!A2:A1898, 0))), "")</f>
        <v>CommunitiesOfPractice</v>
      </c>
      <c r="I2206" s="4" t="str">
        <f>_xlfn.IFNA(IF(((INDEX(RulebookFields!D2:D1898, MATCH(D2206,RulebookFields!A2:A1898, 0))="")=TRUE),  "",  INDEX(RulebookFields!D2:D1898, MATCH(D2206,RulebookFields!A2:A1898, 0))), "")</f>
        <v>CommunityOfPracticeId</v>
      </c>
      <c r="J2206" s="4" t="b">
        <f>_xlfn.IFNA(IF(((INDEX(RulebookFields!I2:I1898, MATCH(D2206,RulebookFields!A2:A1898, 0))="")=TRUE),  "",  INDEX(RulebookFields!I2:I1898, MATCH(D2206,RulebookFields!A2:A1898, 0))), "")</f>
        <v>0</v>
      </c>
      <c r="K2206" s="4" t="b">
        <f>AND(((F2206)=TRUE), ((J2206)=TRUE))</f>
        <v>0</v>
      </c>
      <c r="L2206" s="4" t="b">
        <f>AND(((G2206 &lt;&gt; "plain")=TRUE), ((G2206 &lt;&gt; "")=TRUE))</f>
        <v>0</v>
      </c>
      <c r="M2206" s="4" t="str">
        <f>IF(((E2206)=TRUE),  C2206 &amp; "|" &amp; H2206,  "")</f>
        <v>principal-knowledge-authority|CommunitiesOfPractice</v>
      </c>
      <c r="N2206" s="3" t="s">
        <v>10004</v>
      </c>
    </row>
    <row r="2207">
      <c r="A2207" s="3" t="s">
        <v>12209</v>
      </c>
      <c r="B2207" s="4" t="str">
        <f>C2207 &amp; " -&gt; " &amp; D2207</f>
        <v>principal-knowledge-authority -&gt; CommunitiesOfPractice.Name</v>
      </c>
      <c r="C2207" s="3" t="s">
        <v>9774</v>
      </c>
      <c r="D2207" s="3" t="s">
        <v>2656</v>
      </c>
      <c r="E2207" s="3" t="b">
        <v>1</v>
      </c>
      <c r="F2207" s="3" t="b">
        <v>0</v>
      </c>
      <c r="G2207" s="3" t="s">
        <v>10003</v>
      </c>
      <c r="H2207" s="4" t="str">
        <f>_xlfn.IFNA(IF(((INDEX(RulebookFields!C2:C1898, MATCH(D2207,RulebookFields!A2:A1898, 0))="")=TRUE),  "",  INDEX(RulebookFields!C2:C1898, MATCH(D2207,RulebookFields!A2:A1898, 0))), "")</f>
        <v>CommunitiesOfPractice</v>
      </c>
      <c r="I2207" s="4" t="str">
        <f>_xlfn.IFNA(IF(((INDEX(RulebookFields!D2:D1898, MATCH(D2207,RulebookFields!A2:A1898, 0))="")=TRUE),  "",  INDEX(RulebookFields!D2:D1898, MATCH(D2207,RulebookFields!A2:A1898, 0))), "")</f>
        <v>Name</v>
      </c>
      <c r="J2207" s="4" t="b">
        <f>_xlfn.IFNA(IF(((INDEX(RulebookFields!I2:I1898, MATCH(D2207,RulebookFields!A2:A1898, 0))="")=TRUE),  "",  INDEX(RulebookFields!I2:I1898, MATCH(D2207,RulebookFields!A2:A1898, 0))), "")</f>
        <v>1</v>
      </c>
      <c r="K2207" s="4" t="b">
        <f>AND(((F2207)=TRUE), ((J2207)=TRUE))</f>
        <v>0</v>
      </c>
      <c r="L2207" s="4" t="b">
        <f>AND(((G2207 &lt;&gt; "plain")=TRUE), ((G2207 &lt;&gt; "")=TRUE))</f>
        <v>0</v>
      </c>
      <c r="M2207" s="4" t="str">
        <f>IF(((E2207)=TRUE),  C2207 &amp; "|" &amp; H2207,  "")</f>
        <v>principal-knowledge-authority|CommunitiesOfPractice</v>
      </c>
      <c r="N2207" s="3" t="s">
        <v>10004</v>
      </c>
    </row>
    <row r="2208">
      <c r="A2208" s="3" t="s">
        <v>12210</v>
      </c>
      <c r="B2208" s="4" t="str">
        <f>C2208 &amp; " -&gt; " &amp; D2208</f>
        <v>principal-knowledge-authority -&gt; CommunitiesOfPractice.Label</v>
      </c>
      <c r="C2208" s="3" t="s">
        <v>9774</v>
      </c>
      <c r="D2208" s="3" t="s">
        <v>2657</v>
      </c>
      <c r="E2208" s="3" t="b">
        <v>1</v>
      </c>
      <c r="F2208" s="3" t="b">
        <v>0</v>
      </c>
      <c r="G2208" s="3" t="s">
        <v>10003</v>
      </c>
      <c r="H2208" s="4" t="str">
        <f>_xlfn.IFNA(IF(((INDEX(RulebookFields!C2:C1898, MATCH(D2208,RulebookFields!A2:A1898, 0))="")=TRUE),  "",  INDEX(RulebookFields!C2:C1898, MATCH(D2208,RulebookFields!A2:A1898, 0))), "")</f>
        <v>CommunitiesOfPractice</v>
      </c>
      <c r="I2208" s="4" t="str">
        <f>_xlfn.IFNA(IF(((INDEX(RulebookFields!D2:D1898, MATCH(D2208,RulebookFields!A2:A1898, 0))="")=TRUE),  "",  INDEX(RulebookFields!D2:D1898, MATCH(D2208,RulebookFields!A2:A1898, 0))), "")</f>
        <v>Label</v>
      </c>
      <c r="J2208" s="4" t="b">
        <f>_xlfn.IFNA(IF(((INDEX(RulebookFields!I2:I1898, MATCH(D2208,RulebookFields!A2:A1898, 0))="")=TRUE),  "",  INDEX(RulebookFields!I2:I1898, MATCH(D2208,RulebookFields!A2:A1898, 0))), "")</f>
        <v>0</v>
      </c>
      <c r="K2208" s="4" t="b">
        <f>AND(((F2208)=TRUE), ((J2208)=TRUE))</f>
        <v>0</v>
      </c>
      <c r="L2208" s="4" t="b">
        <f>AND(((G2208 &lt;&gt; "plain")=TRUE), ((G2208 &lt;&gt; "")=TRUE))</f>
        <v>0</v>
      </c>
      <c r="M2208" s="4" t="str">
        <f>IF(((E2208)=TRUE),  C2208 &amp; "|" &amp; H2208,  "")</f>
        <v>principal-knowledge-authority|CommunitiesOfPractice</v>
      </c>
      <c r="N2208" s="3" t="s">
        <v>10004</v>
      </c>
    </row>
    <row r="2209">
      <c r="A2209" s="3" t="s">
        <v>12211</v>
      </c>
      <c r="B2209" s="4" t="str">
        <f>C2209 &amp; " -&gt; " &amp; D2209</f>
        <v>principal-knowledge-authority -&gt; CommunitiesOfPractice.Organization</v>
      </c>
      <c r="C2209" s="3" t="s">
        <v>9774</v>
      </c>
      <c r="D2209" s="3" t="s">
        <v>2658</v>
      </c>
      <c r="E2209" s="3" t="b">
        <v>1</v>
      </c>
      <c r="F2209" s="3" t="b">
        <v>0</v>
      </c>
      <c r="G2209" s="3" t="s">
        <v>10003</v>
      </c>
      <c r="H2209" s="4" t="str">
        <f>_xlfn.IFNA(IF(((INDEX(RulebookFields!C2:C1898, MATCH(D2209,RulebookFields!A2:A1898, 0))="")=TRUE),  "",  INDEX(RulebookFields!C2:C1898, MATCH(D2209,RulebookFields!A2:A1898, 0))), "")</f>
        <v>CommunitiesOfPractice</v>
      </c>
      <c r="I2209" s="4" t="str">
        <f>_xlfn.IFNA(IF(((INDEX(RulebookFields!D2:D1898, MATCH(D2209,RulebookFields!A2:A1898, 0))="")=TRUE),  "",  INDEX(RulebookFields!D2:D1898, MATCH(D2209,RulebookFields!A2:A1898, 0))), "")</f>
        <v>Organization</v>
      </c>
      <c r="J2209" s="4" t="b">
        <f>_xlfn.IFNA(IF(((INDEX(RulebookFields!I2:I1898, MATCH(D2209,RulebookFields!A2:A1898, 0))="")=TRUE),  "",  INDEX(RulebookFields!I2:I1898, MATCH(D2209,RulebookFields!A2:A1898, 0))), "")</f>
        <v>0</v>
      </c>
      <c r="K2209" s="4" t="b">
        <f>AND(((F2209)=TRUE), ((J2209)=TRUE))</f>
        <v>0</v>
      </c>
      <c r="L2209" s="4" t="b">
        <f>AND(((G2209 &lt;&gt; "plain")=TRUE), ((G2209 &lt;&gt; "")=TRUE))</f>
        <v>0</v>
      </c>
      <c r="M2209" s="4" t="str">
        <f>IF(((E2209)=TRUE),  C2209 &amp; "|" &amp; H2209,  "")</f>
        <v>principal-knowledge-authority|CommunitiesOfPractice</v>
      </c>
      <c r="N2209" s="3" t="s">
        <v>10004</v>
      </c>
    </row>
    <row r="2210">
      <c r="A2210" s="3" t="s">
        <v>12212</v>
      </c>
      <c r="B2210" s="4" t="str">
        <f>C2210 &amp; " -&gt; " &amp; D2210</f>
        <v>principal-knowledge-authority -&gt; CommunitiesOfPractice.StewardRole</v>
      </c>
      <c r="C2210" s="3" t="s">
        <v>9774</v>
      </c>
      <c r="D2210" s="3" t="s">
        <v>2659</v>
      </c>
      <c r="E2210" s="3" t="b">
        <v>1</v>
      </c>
      <c r="F2210" s="3" t="b">
        <v>0</v>
      </c>
      <c r="G2210" s="3" t="s">
        <v>10003</v>
      </c>
      <c r="H2210" s="4" t="str">
        <f>_xlfn.IFNA(IF(((INDEX(RulebookFields!C2:C1898, MATCH(D2210,RulebookFields!A2:A1898, 0))="")=TRUE),  "",  INDEX(RulebookFields!C2:C1898, MATCH(D2210,RulebookFields!A2:A1898, 0))), "")</f>
        <v>CommunitiesOfPractice</v>
      </c>
      <c r="I2210" s="4" t="str">
        <f>_xlfn.IFNA(IF(((INDEX(RulebookFields!D2:D1898, MATCH(D2210,RulebookFields!A2:A1898, 0))="")=TRUE),  "",  INDEX(RulebookFields!D2:D1898, MATCH(D2210,RulebookFields!A2:A1898, 0))), "")</f>
        <v>StewardRole</v>
      </c>
      <c r="J2210" s="4" t="b">
        <f>_xlfn.IFNA(IF(((INDEX(RulebookFields!I2:I1898, MATCH(D2210,RulebookFields!A2:A1898, 0))="")=TRUE),  "",  INDEX(RulebookFields!I2:I1898, MATCH(D2210,RulebookFields!A2:A1898, 0))), "")</f>
        <v>0</v>
      </c>
      <c r="K2210" s="4" t="b">
        <f>AND(((F2210)=TRUE), ((J2210)=TRUE))</f>
        <v>0</v>
      </c>
      <c r="L2210" s="4" t="b">
        <f>AND(((G2210 &lt;&gt; "plain")=TRUE), ((G2210 &lt;&gt; "")=TRUE))</f>
        <v>0</v>
      </c>
      <c r="M2210" s="4" t="str">
        <f>IF(((E2210)=TRUE),  C2210 &amp; "|" &amp; H2210,  "")</f>
        <v>principal-knowledge-authority|CommunitiesOfPractice</v>
      </c>
      <c r="N2210" s="3" t="s">
        <v>10004</v>
      </c>
    </row>
    <row r="2211">
      <c r="A2211" s="3" t="s">
        <v>12213</v>
      </c>
      <c r="B2211" s="4" t="str">
        <f>C2211 &amp; " -&gt; " &amp; D2211</f>
        <v>principal-knowledge-authority -&gt; CommunitiesOfPractice.Purpose</v>
      </c>
      <c r="C2211" s="3" t="s">
        <v>9774</v>
      </c>
      <c r="D2211" s="3" t="s">
        <v>2660</v>
      </c>
      <c r="E2211" s="3" t="b">
        <v>1</v>
      </c>
      <c r="F2211" s="3" t="b">
        <v>0</v>
      </c>
      <c r="G2211" s="3" t="s">
        <v>10003</v>
      </c>
      <c r="H2211" s="4" t="str">
        <f>_xlfn.IFNA(IF(((INDEX(RulebookFields!C2:C1898, MATCH(D2211,RulebookFields!A2:A1898, 0))="")=TRUE),  "",  INDEX(RulebookFields!C2:C1898, MATCH(D2211,RulebookFields!A2:A1898, 0))), "")</f>
        <v>CommunitiesOfPractice</v>
      </c>
      <c r="I2211" s="4" t="str">
        <f>_xlfn.IFNA(IF(((INDEX(RulebookFields!D2:D1898, MATCH(D2211,RulebookFields!A2:A1898, 0))="")=TRUE),  "",  INDEX(RulebookFields!D2:D1898, MATCH(D2211,RulebookFields!A2:A1898, 0))), "")</f>
        <v>Purpose</v>
      </c>
      <c r="J2211" s="4" t="b">
        <f>_xlfn.IFNA(IF(((INDEX(RulebookFields!I2:I1898, MATCH(D2211,RulebookFields!A2:A1898, 0))="")=TRUE),  "",  INDEX(RulebookFields!I2:I1898, MATCH(D2211,RulebookFields!A2:A1898, 0))), "")</f>
        <v>0</v>
      </c>
      <c r="K2211" s="4" t="b">
        <f>AND(((F2211)=TRUE), ((J2211)=TRUE))</f>
        <v>0</v>
      </c>
      <c r="L2211" s="4" t="b">
        <f>AND(((G2211 &lt;&gt; "plain")=TRUE), ((G2211 &lt;&gt; "")=TRUE))</f>
        <v>0</v>
      </c>
      <c r="M2211" s="4" t="str">
        <f>IF(((E2211)=TRUE),  C2211 &amp; "|" &amp; H2211,  "")</f>
        <v>principal-knowledge-authority|CommunitiesOfPractice</v>
      </c>
      <c r="N2211" s="3" t="s">
        <v>10004</v>
      </c>
    </row>
    <row r="2212">
      <c r="A2212" s="3" t="s">
        <v>12214</v>
      </c>
      <c r="B2212" s="4" t="str">
        <f>C2212 &amp; " -&gt; " &amp; D2212</f>
        <v>principal-knowledge-authority -&gt; CommunitiesOfPractice.Cadence</v>
      </c>
      <c r="C2212" s="3" t="s">
        <v>9774</v>
      </c>
      <c r="D2212" s="3" t="s">
        <v>2661</v>
      </c>
      <c r="E2212" s="3" t="b">
        <v>1</v>
      </c>
      <c r="F2212" s="3" t="b">
        <v>0</v>
      </c>
      <c r="G2212" s="3" t="s">
        <v>10003</v>
      </c>
      <c r="H2212" s="4" t="str">
        <f>_xlfn.IFNA(IF(((INDEX(RulebookFields!C2:C1898, MATCH(D2212,RulebookFields!A2:A1898, 0))="")=TRUE),  "",  INDEX(RulebookFields!C2:C1898, MATCH(D2212,RulebookFields!A2:A1898, 0))), "")</f>
        <v>CommunitiesOfPractice</v>
      </c>
      <c r="I2212" s="4" t="str">
        <f>_xlfn.IFNA(IF(((INDEX(RulebookFields!D2:D1898, MATCH(D2212,RulebookFields!A2:A1898, 0))="")=TRUE),  "",  INDEX(RulebookFields!D2:D1898, MATCH(D2212,RulebookFields!A2:A1898, 0))), "")</f>
        <v>Cadence</v>
      </c>
      <c r="J2212" s="4" t="b">
        <f>_xlfn.IFNA(IF(((INDEX(RulebookFields!I2:I1898, MATCH(D2212,RulebookFields!A2:A1898, 0))="")=TRUE),  "",  INDEX(RulebookFields!I2:I1898, MATCH(D2212,RulebookFields!A2:A1898, 0))), "")</f>
        <v>0</v>
      </c>
      <c r="K2212" s="4" t="b">
        <f>AND(((F2212)=TRUE), ((J2212)=TRUE))</f>
        <v>0</v>
      </c>
      <c r="L2212" s="4" t="b">
        <f>AND(((G2212 &lt;&gt; "plain")=TRUE), ((G2212 &lt;&gt; "")=TRUE))</f>
        <v>0</v>
      </c>
      <c r="M2212" s="4" t="str">
        <f>IF(((E2212)=TRUE),  C2212 &amp; "|" &amp; H2212,  "")</f>
        <v>principal-knowledge-authority|CommunitiesOfPractice</v>
      </c>
      <c r="N2212" s="3" t="s">
        <v>10004</v>
      </c>
    </row>
    <row r="2213">
      <c r="A2213" s="3" t="s">
        <v>12215</v>
      </c>
      <c r="B2213" s="4" t="str">
        <f>C2213 &amp; " -&gt; " &amp; D2213</f>
        <v>principal-knowledge-authority -&gt; CommunitiesOfPractice.SemanticTypeIri</v>
      </c>
      <c r="C2213" s="3" t="s">
        <v>9774</v>
      </c>
      <c r="D2213" s="3" t="s">
        <v>2662</v>
      </c>
      <c r="E2213" s="3" t="b">
        <v>1</v>
      </c>
      <c r="F2213" s="3" t="b">
        <v>0</v>
      </c>
      <c r="G2213" s="3" t="s">
        <v>10003</v>
      </c>
      <c r="H2213" s="4" t="str">
        <f>_xlfn.IFNA(IF(((INDEX(RulebookFields!C2:C1898, MATCH(D2213,RulebookFields!A2:A1898, 0))="")=TRUE),  "",  INDEX(RulebookFields!C2:C1898, MATCH(D2213,RulebookFields!A2:A1898, 0))), "")</f>
        <v>CommunitiesOfPractice</v>
      </c>
      <c r="I2213" s="4" t="str">
        <f>_xlfn.IFNA(IF(((INDEX(RulebookFields!D2:D1898, MATCH(D2213,RulebookFields!A2:A1898, 0))="")=TRUE),  "",  INDEX(RulebookFields!D2:D1898, MATCH(D2213,RulebookFields!A2:A1898, 0))), "")</f>
        <v>SemanticTypeIri</v>
      </c>
      <c r="J2213" s="4" t="b">
        <f>_xlfn.IFNA(IF(((INDEX(RulebookFields!I2:I1898, MATCH(D2213,RulebookFields!A2:A1898, 0))="")=TRUE),  "",  INDEX(RulebookFields!I2:I1898, MATCH(D2213,RulebookFields!A2:A1898, 0))), "")</f>
        <v>0</v>
      </c>
      <c r="K2213" s="4" t="b">
        <f>AND(((F2213)=TRUE), ((J2213)=TRUE))</f>
        <v>0</v>
      </c>
      <c r="L2213" s="4" t="b">
        <f>AND(((G2213 &lt;&gt; "plain")=TRUE), ((G2213 &lt;&gt; "")=TRUE))</f>
        <v>0</v>
      </c>
      <c r="M2213" s="4" t="str">
        <f>IF(((E2213)=TRUE),  C2213 &amp; "|" &amp; H2213,  "")</f>
        <v>principal-knowledge-authority|CommunitiesOfPractice</v>
      </c>
      <c r="N2213" s="3" t="s">
        <v>10004</v>
      </c>
    </row>
    <row r="2214">
      <c r="A2214" s="3" t="s">
        <v>12216</v>
      </c>
      <c r="B2214" s="4" t="str">
        <f>C2214 &amp; " -&gt; " &amp; D2214</f>
        <v>principal-knowledge-authority -&gt; DeliveredCommunications.DeliveredCommunicationId</v>
      </c>
      <c r="C2214" s="3" t="s">
        <v>9774</v>
      </c>
      <c r="D2214" s="3" t="s">
        <v>5094</v>
      </c>
      <c r="E2214" s="3" t="b">
        <v>1</v>
      </c>
      <c r="F2214" s="3" t="b">
        <v>0</v>
      </c>
      <c r="G2214" s="3" t="s">
        <v>10003</v>
      </c>
      <c r="H2214" s="4" t="str">
        <f>_xlfn.IFNA(IF(((INDEX(RulebookFields!C2:C1898, MATCH(D2214,RulebookFields!A2:A1898, 0))="")=TRUE),  "",  INDEX(RulebookFields!C2:C1898, MATCH(D2214,RulebookFields!A2:A1898, 0))), "")</f>
        <v>DeliveredCommunications</v>
      </c>
      <c r="I2214" s="4" t="str">
        <f>_xlfn.IFNA(IF(((INDEX(RulebookFields!D2:D1898, MATCH(D2214,RulebookFields!A2:A1898, 0))="")=TRUE),  "",  INDEX(RulebookFields!D2:D1898, MATCH(D2214,RulebookFields!A2:A1898, 0))), "")</f>
        <v>DeliveredCommunicationId</v>
      </c>
      <c r="J2214" s="4" t="b">
        <f>_xlfn.IFNA(IF(((INDEX(RulebookFields!I2:I1898, MATCH(D2214,RulebookFields!A2:A1898, 0))="")=TRUE),  "",  INDEX(RulebookFields!I2:I1898, MATCH(D2214,RulebookFields!A2:A1898, 0))), "")</f>
        <v>0</v>
      </c>
      <c r="K2214" s="4" t="b">
        <f>AND(((F2214)=TRUE), ((J2214)=TRUE))</f>
        <v>0</v>
      </c>
      <c r="L2214" s="4" t="b">
        <f>AND(((G2214 &lt;&gt; "plain")=TRUE), ((G2214 &lt;&gt; "")=TRUE))</f>
        <v>0</v>
      </c>
      <c r="M2214" s="4" t="str">
        <f>IF(((E2214)=TRUE),  C2214 &amp; "|" &amp; H2214,  "")</f>
        <v>principal-knowledge-authority|DeliveredCommunications</v>
      </c>
      <c r="N2214" s="3" t="s">
        <v>10004</v>
      </c>
    </row>
    <row r="2215">
      <c r="A2215" s="3" t="s">
        <v>12217</v>
      </c>
      <c r="B2215" s="4" t="str">
        <f>C2215 &amp; " -&gt; " &amp; D2215</f>
        <v>principal-knowledge-authority -&gt; DeliveredCommunications.Name</v>
      </c>
      <c r="C2215" s="3" t="s">
        <v>9774</v>
      </c>
      <c r="D2215" s="3" t="s">
        <v>5097</v>
      </c>
      <c r="E2215" s="3" t="b">
        <v>1</v>
      </c>
      <c r="F2215" s="3" t="b">
        <v>0</v>
      </c>
      <c r="G2215" s="3" t="s">
        <v>10003</v>
      </c>
      <c r="H2215" s="4" t="str">
        <f>_xlfn.IFNA(IF(((INDEX(RulebookFields!C2:C1898, MATCH(D2215,RulebookFields!A2:A1898, 0))="")=TRUE),  "",  INDEX(RulebookFields!C2:C1898, MATCH(D2215,RulebookFields!A2:A1898, 0))), "")</f>
        <v>DeliveredCommunications</v>
      </c>
      <c r="I2215" s="4" t="str">
        <f>_xlfn.IFNA(IF(((INDEX(RulebookFields!D2:D1898, MATCH(D2215,RulebookFields!A2:A1898, 0))="")=TRUE),  "",  INDEX(RulebookFields!D2:D1898, MATCH(D2215,RulebookFields!A2:A1898, 0))), "")</f>
        <v>Name</v>
      </c>
      <c r="J2215" s="4" t="b">
        <f>_xlfn.IFNA(IF(((INDEX(RulebookFields!I2:I1898, MATCH(D2215,RulebookFields!A2:A1898, 0))="")=TRUE),  "",  INDEX(RulebookFields!I2:I1898, MATCH(D2215,RulebookFields!A2:A1898, 0))), "")</f>
        <v>1</v>
      </c>
      <c r="K2215" s="4" t="b">
        <f>AND(((F2215)=TRUE), ((J2215)=TRUE))</f>
        <v>0</v>
      </c>
      <c r="L2215" s="4" t="b">
        <f>AND(((G2215 &lt;&gt; "plain")=TRUE), ((G2215 &lt;&gt; "")=TRUE))</f>
        <v>0</v>
      </c>
      <c r="M2215" s="4" t="str">
        <f>IF(((E2215)=TRUE),  C2215 &amp; "|" &amp; H2215,  "")</f>
        <v>principal-knowledge-authority|DeliveredCommunications</v>
      </c>
      <c r="N2215" s="3" t="s">
        <v>10004</v>
      </c>
    </row>
    <row r="2216">
      <c r="A2216" s="3" t="s">
        <v>12218</v>
      </c>
      <c r="B2216" s="4" t="str">
        <f>C2216 &amp; " -&gt; " &amp; D2216</f>
        <v>principal-knowledge-authority -&gt; DeliveredCommunications.ProcedureExecution</v>
      </c>
      <c r="C2216" s="3" t="s">
        <v>9774</v>
      </c>
      <c r="D2216" s="3" t="s">
        <v>5099</v>
      </c>
      <c r="E2216" s="3" t="b">
        <v>1</v>
      </c>
      <c r="F2216" s="3" t="b">
        <v>0</v>
      </c>
      <c r="G2216" s="3" t="s">
        <v>10003</v>
      </c>
      <c r="H2216" s="4" t="str">
        <f>_xlfn.IFNA(IF(((INDEX(RulebookFields!C2:C1898, MATCH(D2216,RulebookFields!A2:A1898, 0))="")=TRUE),  "",  INDEX(RulebookFields!C2:C1898, MATCH(D2216,RulebookFields!A2:A1898, 0))), "")</f>
        <v>DeliveredCommunications</v>
      </c>
      <c r="I2216" s="4" t="str">
        <f>_xlfn.IFNA(IF(((INDEX(RulebookFields!D2:D1898, MATCH(D2216,RulebookFields!A2:A1898, 0))="")=TRUE),  "",  INDEX(RulebookFields!D2:D1898, MATCH(D2216,RulebookFields!A2:A1898, 0))), "")</f>
        <v>ProcedureExecution</v>
      </c>
      <c r="J2216" s="4" t="b">
        <f>_xlfn.IFNA(IF(((INDEX(RulebookFields!I2:I1898, MATCH(D2216,RulebookFields!A2:A1898, 0))="")=TRUE),  "",  INDEX(RulebookFields!I2:I1898, MATCH(D2216,RulebookFields!A2:A1898, 0))), "")</f>
        <v>0</v>
      </c>
      <c r="K2216" s="4" t="b">
        <f>AND(((F2216)=TRUE), ((J2216)=TRUE))</f>
        <v>0</v>
      </c>
      <c r="L2216" s="4" t="b">
        <f>AND(((G2216 &lt;&gt; "plain")=TRUE), ((G2216 &lt;&gt; "")=TRUE))</f>
        <v>0</v>
      </c>
      <c r="M2216" s="4" t="str">
        <f>IF(((E2216)=TRUE),  C2216 &amp; "|" &amp; H2216,  "")</f>
        <v>principal-knowledge-authority|DeliveredCommunications</v>
      </c>
      <c r="N2216" s="3" t="s">
        <v>10004</v>
      </c>
    </row>
    <row r="2217">
      <c r="A2217" s="3" t="s">
        <v>12219</v>
      </c>
      <c r="B2217" s="4" t="str">
        <f>C2217 &amp; " -&gt; " &amp; D2217</f>
        <v>principal-knowledge-authority -&gt; DeliveredCommunications.SendingStepExecution</v>
      </c>
      <c r="C2217" s="3" t="s">
        <v>9774</v>
      </c>
      <c r="D2217" s="3" t="s">
        <v>5100</v>
      </c>
      <c r="E2217" s="3" t="b">
        <v>1</v>
      </c>
      <c r="F2217" s="3" t="b">
        <v>0</v>
      </c>
      <c r="G2217" s="3" t="s">
        <v>10003</v>
      </c>
      <c r="H2217" s="4" t="str">
        <f>_xlfn.IFNA(IF(((INDEX(RulebookFields!C2:C1898, MATCH(D2217,RulebookFields!A2:A1898, 0))="")=TRUE),  "",  INDEX(RulebookFields!C2:C1898, MATCH(D2217,RulebookFields!A2:A1898, 0))), "")</f>
        <v>DeliveredCommunications</v>
      </c>
      <c r="I2217" s="4" t="str">
        <f>_xlfn.IFNA(IF(((INDEX(RulebookFields!D2:D1898, MATCH(D2217,RulebookFields!A2:A1898, 0))="")=TRUE),  "",  INDEX(RulebookFields!D2:D1898, MATCH(D2217,RulebookFields!A2:A1898, 0))), "")</f>
        <v>SendingStepExecution</v>
      </c>
      <c r="J2217" s="4" t="b">
        <f>_xlfn.IFNA(IF(((INDEX(RulebookFields!I2:I1898, MATCH(D2217,RulebookFields!A2:A1898, 0))="")=TRUE),  "",  INDEX(RulebookFields!I2:I1898, MATCH(D2217,RulebookFields!A2:A1898, 0))), "")</f>
        <v>0</v>
      </c>
      <c r="K2217" s="4" t="b">
        <f>AND(((F2217)=TRUE), ((J2217)=TRUE))</f>
        <v>0</v>
      </c>
      <c r="L2217" s="4" t="b">
        <f>AND(((G2217 &lt;&gt; "plain")=TRUE), ((G2217 &lt;&gt; "")=TRUE))</f>
        <v>0</v>
      </c>
      <c r="M2217" s="4" t="str">
        <f>IF(((E2217)=TRUE),  C2217 &amp; "|" &amp; H2217,  "")</f>
        <v>principal-knowledge-authority|DeliveredCommunications</v>
      </c>
      <c r="N2217" s="3" t="s">
        <v>10004</v>
      </c>
    </row>
    <row r="2218">
      <c r="A2218" s="3" t="s">
        <v>12220</v>
      </c>
      <c r="B2218" s="4" t="str">
        <f>C2218 &amp; " -&gt; " &amp; D2218</f>
        <v>principal-knowledge-authority -&gt; DeliveredCommunications.AuthorizingStepExecution</v>
      </c>
      <c r="C2218" s="3" t="s">
        <v>9774</v>
      </c>
      <c r="D2218" s="3" t="s">
        <v>5102</v>
      </c>
      <c r="E2218" s="3" t="b">
        <v>1</v>
      </c>
      <c r="F2218" s="3" t="b">
        <v>0</v>
      </c>
      <c r="G2218" s="3" t="s">
        <v>10003</v>
      </c>
      <c r="H2218" s="4" t="str">
        <f>_xlfn.IFNA(IF(((INDEX(RulebookFields!C2:C1898, MATCH(D2218,RulebookFields!A2:A1898, 0))="")=TRUE),  "",  INDEX(RulebookFields!C2:C1898, MATCH(D2218,RulebookFields!A2:A1898, 0))), "")</f>
        <v>DeliveredCommunications</v>
      </c>
      <c r="I2218" s="4" t="str">
        <f>_xlfn.IFNA(IF(((INDEX(RulebookFields!D2:D1898, MATCH(D2218,RulebookFields!A2:A1898, 0))="")=TRUE),  "",  INDEX(RulebookFields!D2:D1898, MATCH(D2218,RulebookFields!A2:A1898, 0))), "")</f>
        <v>AuthorizingStepExecution</v>
      </c>
      <c r="J2218" s="4" t="b">
        <f>_xlfn.IFNA(IF(((INDEX(RulebookFields!I2:I1898, MATCH(D2218,RulebookFields!A2:A1898, 0))="")=TRUE),  "",  INDEX(RulebookFields!I2:I1898, MATCH(D2218,RulebookFields!A2:A1898, 0))), "")</f>
        <v>0</v>
      </c>
      <c r="K2218" s="4" t="b">
        <f>AND(((F2218)=TRUE), ((J2218)=TRUE))</f>
        <v>0</v>
      </c>
      <c r="L2218" s="4" t="b">
        <f>AND(((G2218 &lt;&gt; "plain")=TRUE), ((G2218 &lt;&gt; "")=TRUE))</f>
        <v>0</v>
      </c>
      <c r="M2218" s="4" t="str">
        <f>IF(((E2218)=TRUE),  C2218 &amp; "|" &amp; H2218,  "")</f>
        <v>principal-knowledge-authority|DeliveredCommunications</v>
      </c>
      <c r="N2218" s="3" t="s">
        <v>10004</v>
      </c>
    </row>
    <row r="2219">
      <c r="A2219" s="3" t="s">
        <v>12221</v>
      </c>
      <c r="B2219" s="4" t="str">
        <f>C2219 &amp; " -&gt; " &amp; D2219</f>
        <v>principal-knowledge-authority -&gt; DeliveredCommunications.MessageTemplate</v>
      </c>
      <c r="C2219" s="3" t="s">
        <v>9774</v>
      </c>
      <c r="D2219" s="3" t="s">
        <v>5104</v>
      </c>
      <c r="E2219" s="3" t="b">
        <v>1</v>
      </c>
      <c r="F2219" s="3" t="b">
        <v>0</v>
      </c>
      <c r="G2219" s="3" t="s">
        <v>10003</v>
      </c>
      <c r="H2219" s="4" t="str">
        <f>_xlfn.IFNA(IF(((INDEX(RulebookFields!C2:C1898, MATCH(D2219,RulebookFields!A2:A1898, 0))="")=TRUE),  "",  INDEX(RulebookFields!C2:C1898, MATCH(D2219,RulebookFields!A2:A1898, 0))), "")</f>
        <v>DeliveredCommunications</v>
      </c>
      <c r="I2219" s="4" t="str">
        <f>_xlfn.IFNA(IF(((INDEX(RulebookFields!D2:D1898, MATCH(D2219,RulebookFields!A2:A1898, 0))="")=TRUE),  "",  INDEX(RulebookFields!D2:D1898, MATCH(D2219,RulebookFields!A2:A1898, 0))), "")</f>
        <v>MessageTemplate</v>
      </c>
      <c r="J2219" s="4" t="b">
        <f>_xlfn.IFNA(IF(((INDEX(RulebookFields!I2:I1898, MATCH(D2219,RulebookFields!A2:A1898, 0))="")=TRUE),  "",  INDEX(RulebookFields!I2:I1898, MATCH(D2219,RulebookFields!A2:A1898, 0))), "")</f>
        <v>0</v>
      </c>
      <c r="K2219" s="4" t="b">
        <f>AND(((F2219)=TRUE), ((J2219)=TRUE))</f>
        <v>0</v>
      </c>
      <c r="L2219" s="4" t="b">
        <f>AND(((G2219 &lt;&gt; "plain")=TRUE), ((G2219 &lt;&gt; "")=TRUE))</f>
        <v>0</v>
      </c>
      <c r="M2219" s="4" t="str">
        <f>IF(((E2219)=TRUE),  C2219 &amp; "|" &amp; H2219,  "")</f>
        <v>principal-knowledge-authority|DeliveredCommunications</v>
      </c>
      <c r="N2219" s="3" t="s">
        <v>10004</v>
      </c>
    </row>
    <row r="2220">
      <c r="A2220" s="3" t="s">
        <v>12222</v>
      </c>
      <c r="B2220" s="4" t="str">
        <f>C2220 &amp; " -&gt; " &amp; D2220</f>
        <v>principal-knowledge-authority -&gt; DeliveredCommunications.Channel</v>
      </c>
      <c r="C2220" s="3" t="s">
        <v>9774</v>
      </c>
      <c r="D2220" s="3" t="s">
        <v>5105</v>
      </c>
      <c r="E2220" s="3" t="b">
        <v>1</v>
      </c>
      <c r="F2220" s="3" t="b">
        <v>0</v>
      </c>
      <c r="G2220" s="3" t="s">
        <v>10003</v>
      </c>
      <c r="H2220" s="4" t="str">
        <f>_xlfn.IFNA(IF(((INDEX(RulebookFields!C2:C1898, MATCH(D2220,RulebookFields!A2:A1898, 0))="")=TRUE),  "",  INDEX(RulebookFields!C2:C1898, MATCH(D2220,RulebookFields!A2:A1898, 0))), "")</f>
        <v>DeliveredCommunications</v>
      </c>
      <c r="I2220" s="4" t="str">
        <f>_xlfn.IFNA(IF(((INDEX(RulebookFields!D2:D1898, MATCH(D2220,RulebookFields!A2:A1898, 0))="")=TRUE),  "",  INDEX(RulebookFields!D2:D1898, MATCH(D2220,RulebookFields!A2:A1898, 0))), "")</f>
        <v>Channel</v>
      </c>
      <c r="J2220" s="4" t="b">
        <f>_xlfn.IFNA(IF(((INDEX(RulebookFields!I2:I1898, MATCH(D2220,RulebookFields!A2:A1898, 0))="")=TRUE),  "",  INDEX(RulebookFields!I2:I1898, MATCH(D2220,RulebookFields!A2:A1898, 0))), "")</f>
        <v>0</v>
      </c>
      <c r="K2220" s="4" t="b">
        <f>AND(((F2220)=TRUE), ((J2220)=TRUE))</f>
        <v>0</v>
      </c>
      <c r="L2220" s="4" t="b">
        <f>AND(((G2220 &lt;&gt; "plain")=TRUE), ((G2220 &lt;&gt; "")=TRUE))</f>
        <v>0</v>
      </c>
      <c r="M2220" s="4" t="str">
        <f>IF(((E2220)=TRUE),  C2220 &amp; "|" &amp; H2220,  "")</f>
        <v>principal-knowledge-authority|DeliveredCommunications</v>
      </c>
      <c r="N2220" s="3" t="s">
        <v>10004</v>
      </c>
    </row>
    <row r="2221">
      <c r="A2221" s="3" t="s">
        <v>12223</v>
      </c>
      <c r="B2221" s="4" t="str">
        <f>C2221 &amp; " -&gt; " &amp; D2221</f>
        <v>principal-knowledge-authority -&gt; DeliveredCommunications.RecipientKey</v>
      </c>
      <c r="C2221" s="3" t="s">
        <v>9774</v>
      </c>
      <c r="D2221" s="3" t="s">
        <v>5106</v>
      </c>
      <c r="E2221" s="3" t="b">
        <v>1</v>
      </c>
      <c r="F2221" s="3" t="b">
        <v>0</v>
      </c>
      <c r="G2221" s="3" t="s">
        <v>10003</v>
      </c>
      <c r="H2221" s="4" t="str">
        <f>_xlfn.IFNA(IF(((INDEX(RulebookFields!C2:C1898, MATCH(D2221,RulebookFields!A2:A1898, 0))="")=TRUE),  "",  INDEX(RulebookFields!C2:C1898, MATCH(D2221,RulebookFields!A2:A1898, 0))), "")</f>
        <v>DeliveredCommunications</v>
      </c>
      <c r="I2221" s="4" t="str">
        <f>_xlfn.IFNA(IF(((INDEX(RulebookFields!D2:D1898, MATCH(D2221,RulebookFields!A2:A1898, 0))="")=TRUE),  "",  INDEX(RulebookFields!D2:D1898, MATCH(D2221,RulebookFields!A2:A1898, 0))), "")</f>
        <v>RecipientKey</v>
      </c>
      <c r="J2221" s="4" t="b">
        <f>_xlfn.IFNA(IF(((INDEX(RulebookFields!I2:I1898, MATCH(D2221,RulebookFields!A2:A1898, 0))="")=TRUE),  "",  INDEX(RulebookFields!I2:I1898, MATCH(D2221,RulebookFields!A2:A1898, 0))), "")</f>
        <v>0</v>
      </c>
      <c r="K2221" s="4" t="b">
        <f>AND(((F2221)=TRUE), ((J2221)=TRUE))</f>
        <v>0</v>
      </c>
      <c r="L2221" s="4" t="b">
        <f>AND(((G2221 &lt;&gt; "plain")=TRUE), ((G2221 &lt;&gt; "")=TRUE))</f>
        <v>0</v>
      </c>
      <c r="M2221" s="4" t="str">
        <f>IF(((E2221)=TRUE),  C2221 &amp; "|" &amp; H2221,  "")</f>
        <v>principal-knowledge-authority|DeliveredCommunications</v>
      </c>
      <c r="N2221" s="3" t="s">
        <v>10004</v>
      </c>
    </row>
    <row r="2222">
      <c r="A2222" s="3" t="s">
        <v>12224</v>
      </c>
      <c r="B2222" s="4" t="str">
        <f>C2222 &amp; " -&gt; " &amp; D2222</f>
        <v>principal-knowledge-authority -&gt; DeliveredCommunications.SentAt</v>
      </c>
      <c r="C2222" s="3" t="s">
        <v>9774</v>
      </c>
      <c r="D2222" s="3" t="s">
        <v>5108</v>
      </c>
      <c r="E2222" s="3" t="b">
        <v>1</v>
      </c>
      <c r="F2222" s="3" t="b">
        <v>0</v>
      </c>
      <c r="G2222" s="3" t="s">
        <v>10003</v>
      </c>
      <c r="H2222" s="4" t="str">
        <f>_xlfn.IFNA(IF(((INDEX(RulebookFields!C2:C1898, MATCH(D2222,RulebookFields!A2:A1898, 0))="")=TRUE),  "",  INDEX(RulebookFields!C2:C1898, MATCH(D2222,RulebookFields!A2:A1898, 0))), "")</f>
        <v>DeliveredCommunications</v>
      </c>
      <c r="I2222" s="4" t="str">
        <f>_xlfn.IFNA(IF(((INDEX(RulebookFields!D2:D1898, MATCH(D2222,RulebookFields!A2:A1898, 0))="")=TRUE),  "",  INDEX(RulebookFields!D2:D1898, MATCH(D2222,RulebookFields!A2:A1898, 0))), "")</f>
        <v>SentAt</v>
      </c>
      <c r="J2222" s="4" t="b">
        <f>_xlfn.IFNA(IF(((INDEX(RulebookFields!I2:I1898, MATCH(D2222,RulebookFields!A2:A1898, 0))="")=TRUE),  "",  INDEX(RulebookFields!I2:I1898, MATCH(D2222,RulebookFields!A2:A1898, 0))), "")</f>
        <v>0</v>
      </c>
      <c r="K2222" s="4" t="b">
        <f>AND(((F2222)=TRUE), ((J2222)=TRUE))</f>
        <v>0</v>
      </c>
      <c r="L2222" s="4" t="b">
        <f>AND(((G2222 &lt;&gt; "plain")=TRUE), ((G2222 &lt;&gt; "")=TRUE))</f>
        <v>0</v>
      </c>
      <c r="M2222" s="4" t="str">
        <f>IF(((E2222)=TRUE),  C2222 &amp; "|" &amp; H2222,  "")</f>
        <v>principal-knowledge-authority|DeliveredCommunications</v>
      </c>
      <c r="N2222" s="3" t="s">
        <v>10004</v>
      </c>
    </row>
    <row r="2223">
      <c r="A2223" s="3" t="s">
        <v>12225</v>
      </c>
      <c r="B2223" s="4" t="str">
        <f>C2223 &amp; " -&gt; " &amp; D2223</f>
        <v>principal-knowledge-authority -&gt; DeliveredCommunications.RenderedContentHash</v>
      </c>
      <c r="C2223" s="3" t="s">
        <v>9774</v>
      </c>
      <c r="D2223" s="3" t="s">
        <v>5109</v>
      </c>
      <c r="E2223" s="3" t="b">
        <v>1</v>
      </c>
      <c r="F2223" s="3" t="b">
        <v>0</v>
      </c>
      <c r="G2223" s="3" t="s">
        <v>10003</v>
      </c>
      <c r="H2223" s="4" t="str">
        <f>_xlfn.IFNA(IF(((INDEX(RulebookFields!C2:C1898, MATCH(D2223,RulebookFields!A2:A1898, 0))="")=TRUE),  "",  INDEX(RulebookFields!C2:C1898, MATCH(D2223,RulebookFields!A2:A1898, 0))), "")</f>
        <v>DeliveredCommunications</v>
      </c>
      <c r="I2223" s="4" t="str">
        <f>_xlfn.IFNA(IF(((INDEX(RulebookFields!D2:D1898, MATCH(D2223,RulebookFields!A2:A1898, 0))="")=TRUE),  "",  INDEX(RulebookFields!D2:D1898, MATCH(D2223,RulebookFields!A2:A1898, 0))), "")</f>
        <v>RenderedContentHash</v>
      </c>
      <c r="J2223" s="4" t="b">
        <f>_xlfn.IFNA(IF(((INDEX(RulebookFields!I2:I1898, MATCH(D2223,RulebookFields!A2:A1898, 0))="")=TRUE),  "",  INDEX(RulebookFields!I2:I1898, MATCH(D2223,RulebookFields!A2:A1898, 0))), "")</f>
        <v>0</v>
      </c>
      <c r="K2223" s="4" t="b">
        <f>AND(((F2223)=TRUE), ((J2223)=TRUE))</f>
        <v>0</v>
      </c>
      <c r="L2223" s="4" t="b">
        <f>AND(((G2223 &lt;&gt; "plain")=TRUE), ((G2223 &lt;&gt; "")=TRUE))</f>
        <v>0</v>
      </c>
      <c r="M2223" s="4" t="str">
        <f>IF(((E2223)=TRUE),  C2223 &amp; "|" &amp; H2223,  "")</f>
        <v>principal-knowledge-authority|DeliveredCommunications</v>
      </c>
      <c r="N2223" s="3" t="s">
        <v>10004</v>
      </c>
    </row>
    <row r="2224">
      <c r="A2224" s="3" t="s">
        <v>12226</v>
      </c>
      <c r="B2224" s="4" t="str">
        <f>C2224 &amp; " -&gt; " &amp; D2224</f>
        <v>principal-knowledge-authority -&gt; DeliveredCommunications.ApprovedContentHash</v>
      </c>
      <c r="C2224" s="3" t="s">
        <v>9774</v>
      </c>
      <c r="D2224" s="3" t="s">
        <v>5111</v>
      </c>
      <c r="E2224" s="3" t="b">
        <v>1</v>
      </c>
      <c r="F2224" s="3" t="b">
        <v>0</v>
      </c>
      <c r="G2224" s="3" t="s">
        <v>10003</v>
      </c>
      <c r="H2224" s="4" t="str">
        <f>_xlfn.IFNA(IF(((INDEX(RulebookFields!C2:C1898, MATCH(D2224,RulebookFields!A2:A1898, 0))="")=TRUE),  "",  INDEX(RulebookFields!C2:C1898, MATCH(D2224,RulebookFields!A2:A1898, 0))), "")</f>
        <v>DeliveredCommunications</v>
      </c>
      <c r="I2224" s="4" t="str">
        <f>_xlfn.IFNA(IF(((INDEX(RulebookFields!D2:D1898, MATCH(D2224,RulebookFields!A2:A1898, 0))="")=TRUE),  "",  INDEX(RulebookFields!D2:D1898, MATCH(D2224,RulebookFields!A2:A1898, 0))), "")</f>
        <v>ApprovedContentHash</v>
      </c>
      <c r="J2224" s="4" t="b">
        <f>_xlfn.IFNA(IF(((INDEX(RulebookFields!I2:I1898, MATCH(D2224,RulebookFields!A2:A1898, 0))="")=TRUE),  "",  INDEX(RulebookFields!I2:I1898, MATCH(D2224,RulebookFields!A2:A1898, 0))), "")</f>
        <v>0</v>
      </c>
      <c r="K2224" s="4" t="b">
        <f>AND(((F2224)=TRUE), ((J2224)=TRUE))</f>
        <v>0</v>
      </c>
      <c r="L2224" s="4" t="b">
        <f>AND(((G2224 &lt;&gt; "plain")=TRUE), ((G2224 &lt;&gt; "")=TRUE))</f>
        <v>0</v>
      </c>
      <c r="M2224" s="4" t="str">
        <f>IF(((E2224)=TRUE),  C2224 &amp; "|" &amp; H2224,  "")</f>
        <v>principal-knowledge-authority|DeliveredCommunications</v>
      </c>
      <c r="N2224" s="3" t="s">
        <v>10004</v>
      </c>
    </row>
    <row r="2225">
      <c r="A2225" s="3" t="s">
        <v>12227</v>
      </c>
      <c r="B2225" s="4" t="str">
        <f>C2225 &amp; " -&gt; " &amp; D2225</f>
        <v>principal-knowledge-authority -&gt; DeliveredCommunications.DeliveryStatus</v>
      </c>
      <c r="C2225" s="3" t="s">
        <v>9774</v>
      </c>
      <c r="D2225" s="3" t="s">
        <v>5113</v>
      </c>
      <c r="E2225" s="3" t="b">
        <v>1</v>
      </c>
      <c r="F2225" s="3" t="b">
        <v>0</v>
      </c>
      <c r="G2225" s="3" t="s">
        <v>10003</v>
      </c>
      <c r="H2225" s="4" t="str">
        <f>_xlfn.IFNA(IF(((INDEX(RulebookFields!C2:C1898, MATCH(D2225,RulebookFields!A2:A1898, 0))="")=TRUE),  "",  INDEX(RulebookFields!C2:C1898, MATCH(D2225,RulebookFields!A2:A1898, 0))), "")</f>
        <v>DeliveredCommunications</v>
      </c>
      <c r="I2225" s="4" t="str">
        <f>_xlfn.IFNA(IF(((INDEX(RulebookFields!D2:D1898, MATCH(D2225,RulebookFields!A2:A1898, 0))="")=TRUE),  "",  INDEX(RulebookFields!D2:D1898, MATCH(D2225,RulebookFields!A2:A1898, 0))), "")</f>
        <v>DeliveryStatus</v>
      </c>
      <c r="J2225" s="4" t="b">
        <f>_xlfn.IFNA(IF(((INDEX(RulebookFields!I2:I1898, MATCH(D2225,RulebookFields!A2:A1898, 0))="")=TRUE),  "",  INDEX(RulebookFields!I2:I1898, MATCH(D2225,RulebookFields!A2:A1898, 0))), "")</f>
        <v>0</v>
      </c>
      <c r="K2225" s="4" t="b">
        <f>AND(((F2225)=TRUE), ((J2225)=TRUE))</f>
        <v>0</v>
      </c>
      <c r="L2225" s="4" t="b">
        <f>AND(((G2225 &lt;&gt; "plain")=TRUE), ((G2225 &lt;&gt; "")=TRUE))</f>
        <v>0</v>
      </c>
      <c r="M2225" s="4" t="str">
        <f>IF(((E2225)=TRUE),  C2225 &amp; "|" &amp; H2225,  "")</f>
        <v>principal-knowledge-authority|DeliveredCommunications</v>
      </c>
      <c r="N2225" s="3" t="s">
        <v>10004</v>
      </c>
    </row>
    <row r="2226">
      <c r="A2226" s="3" t="s">
        <v>12228</v>
      </c>
      <c r="B2226" s="4" t="str">
        <f>C2226 &amp; " -&gt; " &amp; D2226</f>
        <v>principal-knowledge-authority -&gt; DeliveredCommunications.SemanticTypeIri</v>
      </c>
      <c r="C2226" s="3" t="s">
        <v>9774</v>
      </c>
      <c r="D2226" s="3" t="s">
        <v>5114</v>
      </c>
      <c r="E2226" s="3" t="b">
        <v>1</v>
      </c>
      <c r="F2226" s="3" t="b">
        <v>0</v>
      </c>
      <c r="G2226" s="3" t="s">
        <v>10003</v>
      </c>
      <c r="H2226" s="4" t="str">
        <f>_xlfn.IFNA(IF(((INDEX(RulebookFields!C2:C1898, MATCH(D2226,RulebookFields!A2:A1898, 0))="")=TRUE),  "",  INDEX(RulebookFields!C2:C1898, MATCH(D2226,RulebookFields!A2:A1898, 0))), "")</f>
        <v>DeliveredCommunications</v>
      </c>
      <c r="I2226" s="4" t="str">
        <f>_xlfn.IFNA(IF(((INDEX(RulebookFields!D2:D1898, MATCH(D2226,RulebookFields!A2:A1898, 0))="")=TRUE),  "",  INDEX(RulebookFields!D2:D1898, MATCH(D2226,RulebookFields!A2:A1898, 0))), "")</f>
        <v>SemanticTypeIri</v>
      </c>
      <c r="J2226" s="4" t="b">
        <f>_xlfn.IFNA(IF(((INDEX(RulebookFields!I2:I1898, MATCH(D2226,RulebookFields!A2:A1898, 0))="")=TRUE),  "",  INDEX(RulebookFields!I2:I1898, MATCH(D2226,RulebookFields!A2:A1898, 0))), "")</f>
        <v>0</v>
      </c>
      <c r="K2226" s="4" t="b">
        <f>AND(((F2226)=TRUE), ((J2226)=TRUE))</f>
        <v>0</v>
      </c>
      <c r="L2226" s="4" t="b">
        <f>AND(((G2226 &lt;&gt; "plain")=TRUE), ((G2226 &lt;&gt; "")=TRUE))</f>
        <v>0</v>
      </c>
      <c r="M2226" s="4" t="str">
        <f>IF(((E2226)=TRUE),  C2226 &amp; "|" &amp; H2226,  "")</f>
        <v>principal-knowledge-authority|DeliveredCommunications</v>
      </c>
      <c r="N2226" s="3" t="s">
        <v>10004</v>
      </c>
    </row>
    <row r="2227">
      <c r="A2227" s="3" t="s">
        <v>12229</v>
      </c>
      <c r="B2227" s="4" t="str">
        <f>C2227 &amp; " -&gt; " &amp; D2227</f>
        <v>principal-knowledge-authority -&gt; DeliveredCommunications.HasAuthorization</v>
      </c>
      <c r="C2227" s="3" t="s">
        <v>9774</v>
      </c>
      <c r="D2227" s="3" t="s">
        <v>5115</v>
      </c>
      <c r="E2227" s="3" t="b">
        <v>1</v>
      </c>
      <c r="F2227" s="3" t="b">
        <v>0</v>
      </c>
      <c r="G2227" s="3" t="s">
        <v>10003</v>
      </c>
      <c r="H2227" s="4" t="str">
        <f>_xlfn.IFNA(IF(((INDEX(RulebookFields!C2:C1898, MATCH(D2227,RulebookFields!A2:A1898, 0))="")=TRUE),  "",  INDEX(RulebookFields!C2:C1898, MATCH(D2227,RulebookFields!A2:A1898, 0))), "")</f>
        <v>DeliveredCommunications</v>
      </c>
      <c r="I2227" s="4" t="str">
        <f>_xlfn.IFNA(IF(((INDEX(RulebookFields!D2:D1898, MATCH(D2227,RulebookFields!A2:A1898, 0))="")=TRUE),  "",  INDEX(RulebookFields!D2:D1898, MATCH(D2227,RulebookFields!A2:A1898, 0))), "")</f>
        <v>HasAuthorization</v>
      </c>
      <c r="J2227" s="4" t="b">
        <f>_xlfn.IFNA(IF(((INDEX(RulebookFields!I2:I1898, MATCH(D2227,RulebookFields!A2:A1898, 0))="")=TRUE),  "",  INDEX(RulebookFields!I2:I1898, MATCH(D2227,RulebookFields!A2:A1898, 0))), "")</f>
        <v>1</v>
      </c>
      <c r="K2227" s="4" t="b">
        <f>AND(((F2227)=TRUE), ((J2227)=TRUE))</f>
        <v>0</v>
      </c>
      <c r="L2227" s="4" t="b">
        <f>AND(((G2227 &lt;&gt; "plain")=TRUE), ((G2227 &lt;&gt; "")=TRUE))</f>
        <v>0</v>
      </c>
      <c r="M2227" s="4" t="str">
        <f>IF(((E2227)=TRUE),  C2227 &amp; "|" &amp; H2227,  "")</f>
        <v>principal-knowledge-authority|DeliveredCommunications</v>
      </c>
      <c r="N2227" s="3" t="s">
        <v>10004</v>
      </c>
    </row>
    <row r="2228">
      <c r="A2228" s="3" t="s">
        <v>12230</v>
      </c>
      <c r="B2228" s="4" t="str">
        <f>C2228 &amp; " -&gt; " &amp; D2228</f>
        <v>principal-knowledge-authority -&gt; DeliveredCommunications.ContentMatchesApproval</v>
      </c>
      <c r="C2228" s="3" t="s">
        <v>9774</v>
      </c>
      <c r="D2228" s="3" t="s">
        <v>5118</v>
      </c>
      <c r="E2228" s="3" t="b">
        <v>1</v>
      </c>
      <c r="F2228" s="3" t="b">
        <v>0</v>
      </c>
      <c r="G2228" s="3" t="s">
        <v>10003</v>
      </c>
      <c r="H2228" s="4" t="str">
        <f>_xlfn.IFNA(IF(((INDEX(RulebookFields!C2:C1898, MATCH(D2228,RulebookFields!A2:A1898, 0))="")=TRUE),  "",  INDEX(RulebookFields!C2:C1898, MATCH(D2228,RulebookFields!A2:A1898, 0))), "")</f>
        <v>DeliveredCommunications</v>
      </c>
      <c r="I2228" s="4" t="str">
        <f>_xlfn.IFNA(IF(((INDEX(RulebookFields!D2:D1898, MATCH(D2228,RulebookFields!A2:A1898, 0))="")=TRUE),  "",  INDEX(RulebookFields!D2:D1898, MATCH(D2228,RulebookFields!A2:A1898, 0))), "")</f>
        <v>ContentMatchesApproval</v>
      </c>
      <c r="J2228" s="4" t="b">
        <f>_xlfn.IFNA(IF(((INDEX(RulebookFields!I2:I1898, MATCH(D2228,RulebookFields!A2:A1898, 0))="")=TRUE),  "",  INDEX(RulebookFields!I2:I1898, MATCH(D2228,RulebookFields!A2:A1898, 0))), "")</f>
        <v>1</v>
      </c>
      <c r="K2228" s="4" t="b">
        <f>AND(((F2228)=TRUE), ((J2228)=TRUE))</f>
        <v>0</v>
      </c>
      <c r="L2228" s="4" t="b">
        <f>AND(((G2228 &lt;&gt; "plain")=TRUE), ((G2228 &lt;&gt; "")=TRUE))</f>
        <v>0</v>
      </c>
      <c r="M2228" s="4" t="str">
        <f>IF(((E2228)=TRUE),  C2228 &amp; "|" &amp; H2228,  "")</f>
        <v>principal-knowledge-authority|DeliveredCommunications</v>
      </c>
      <c r="N2228" s="3" t="s">
        <v>10004</v>
      </c>
    </row>
    <row r="2229">
      <c r="A2229" s="3" t="s">
        <v>12231</v>
      </c>
      <c r="B2229" s="4" t="str">
        <f>C2229 &amp; " -&gt; " &amp; D2229</f>
        <v>principal-knowledge-authority -&gt; DeliveredCommunications.AuthorizedAt</v>
      </c>
      <c r="C2229" s="3" t="s">
        <v>9774</v>
      </c>
      <c r="D2229" s="3" t="s">
        <v>5121</v>
      </c>
      <c r="E2229" s="3" t="b">
        <v>1</v>
      </c>
      <c r="F2229" s="3" t="b">
        <v>0</v>
      </c>
      <c r="G2229" s="3" t="s">
        <v>10003</v>
      </c>
      <c r="H2229" s="4" t="str">
        <f>_xlfn.IFNA(IF(((INDEX(RulebookFields!C2:C1898, MATCH(D2229,RulebookFields!A2:A1898, 0))="")=TRUE),  "",  INDEX(RulebookFields!C2:C1898, MATCH(D2229,RulebookFields!A2:A1898, 0))), "")</f>
        <v>DeliveredCommunications</v>
      </c>
      <c r="I2229" s="4" t="str">
        <f>_xlfn.IFNA(IF(((INDEX(RulebookFields!D2:D1898, MATCH(D2229,RulebookFields!A2:A1898, 0))="")=TRUE),  "",  INDEX(RulebookFields!D2:D1898, MATCH(D2229,RulebookFields!A2:A1898, 0))), "")</f>
        <v>AuthorizedAt</v>
      </c>
      <c r="J2229" s="4" t="b">
        <f>_xlfn.IFNA(IF(((INDEX(RulebookFields!I2:I1898, MATCH(D2229,RulebookFields!A2:A1898, 0))="")=TRUE),  "",  INDEX(RulebookFields!I2:I1898, MATCH(D2229,RulebookFields!A2:A1898, 0))), "")</f>
        <v>1</v>
      </c>
      <c r="K2229" s="4" t="b">
        <f>AND(((F2229)=TRUE), ((J2229)=TRUE))</f>
        <v>0</v>
      </c>
      <c r="L2229" s="4" t="b">
        <f>AND(((G2229 &lt;&gt; "plain")=TRUE), ((G2229 &lt;&gt; "")=TRUE))</f>
        <v>0</v>
      </c>
      <c r="M2229" s="4" t="str">
        <f>IF(((E2229)=TRUE),  C2229 &amp; "|" &amp; H2229,  "")</f>
        <v>principal-knowledge-authority|DeliveredCommunications</v>
      </c>
      <c r="N2229" s="3" t="s">
        <v>10004</v>
      </c>
    </row>
    <row r="2230">
      <c r="A2230" s="3" t="s">
        <v>12232</v>
      </c>
      <c r="B2230" s="4" t="str">
        <f>C2230 &amp; " -&gt; " &amp; D2230</f>
        <v>principal-knowledge-authority -&gt; DeliveredCommunications.WasApprovedBeforeSending</v>
      </c>
      <c r="C2230" s="3" t="s">
        <v>9774</v>
      </c>
      <c r="D2230" s="3" t="s">
        <v>5124</v>
      </c>
      <c r="E2230" s="3" t="b">
        <v>1</v>
      </c>
      <c r="F2230" s="3" t="b">
        <v>0</v>
      </c>
      <c r="G2230" s="3" t="s">
        <v>10003</v>
      </c>
      <c r="H2230" s="4" t="str">
        <f>_xlfn.IFNA(IF(((INDEX(RulebookFields!C2:C1898, MATCH(D2230,RulebookFields!A2:A1898, 0))="")=TRUE),  "",  INDEX(RulebookFields!C2:C1898, MATCH(D2230,RulebookFields!A2:A1898, 0))), "")</f>
        <v>DeliveredCommunications</v>
      </c>
      <c r="I2230" s="4" t="str">
        <f>_xlfn.IFNA(IF(((INDEX(RulebookFields!D2:D1898, MATCH(D2230,RulebookFields!A2:A1898, 0))="")=TRUE),  "",  INDEX(RulebookFields!D2:D1898, MATCH(D2230,RulebookFields!A2:A1898, 0))), "")</f>
        <v>WasApprovedBeforeSending</v>
      </c>
      <c r="J2230" s="4" t="b">
        <f>_xlfn.IFNA(IF(((INDEX(RulebookFields!I2:I1898, MATCH(D2230,RulebookFields!A2:A1898, 0))="")=TRUE),  "",  INDEX(RulebookFields!I2:I1898, MATCH(D2230,RulebookFields!A2:A1898, 0))), "")</f>
        <v>1</v>
      </c>
      <c r="K2230" s="4" t="b">
        <f>AND(((F2230)=TRUE), ((J2230)=TRUE))</f>
        <v>0</v>
      </c>
      <c r="L2230" s="4" t="b">
        <f>AND(((G2230 &lt;&gt; "plain")=TRUE), ((G2230 &lt;&gt; "")=TRUE))</f>
        <v>0</v>
      </c>
      <c r="M2230" s="4" t="str">
        <f>IF(((E2230)=TRUE),  C2230 &amp; "|" &amp; H2230,  "")</f>
        <v>principal-knowledge-authority|DeliveredCommunications</v>
      </c>
      <c r="N2230" s="3" t="s">
        <v>10004</v>
      </c>
    </row>
    <row r="2231">
      <c r="A2231" s="3" t="s">
        <v>12233</v>
      </c>
      <c r="B2231" s="4" t="str">
        <f>C2231 &amp; " -&gt; " &amp; D2231</f>
        <v>principal-knowledge-authority -&gt; DeliveredCommunications.IsDefensible</v>
      </c>
      <c r="C2231" s="3" t="s">
        <v>9774</v>
      </c>
      <c r="D2231" s="3" t="s">
        <v>5127</v>
      </c>
      <c r="E2231" s="3" t="b">
        <v>1</v>
      </c>
      <c r="F2231" s="3" t="b">
        <v>0</v>
      </c>
      <c r="G2231" s="3" t="s">
        <v>10003</v>
      </c>
      <c r="H2231" s="4" t="str">
        <f>_xlfn.IFNA(IF(((INDEX(RulebookFields!C2:C1898, MATCH(D2231,RulebookFields!A2:A1898, 0))="")=TRUE),  "",  INDEX(RulebookFields!C2:C1898, MATCH(D2231,RulebookFields!A2:A1898, 0))), "")</f>
        <v>DeliveredCommunications</v>
      </c>
      <c r="I2231" s="4" t="str">
        <f>_xlfn.IFNA(IF(((INDEX(RulebookFields!D2:D1898, MATCH(D2231,RulebookFields!A2:A1898, 0))="")=TRUE),  "",  INDEX(RulebookFields!D2:D1898, MATCH(D2231,RulebookFields!A2:A1898, 0))), "")</f>
        <v>IsDefensible</v>
      </c>
      <c r="J2231" s="4" t="b">
        <f>_xlfn.IFNA(IF(((INDEX(RulebookFields!I2:I1898, MATCH(D2231,RulebookFields!A2:A1898, 0))="")=TRUE),  "",  INDEX(RulebookFields!I2:I1898, MATCH(D2231,RulebookFields!A2:A1898, 0))), "")</f>
        <v>1</v>
      </c>
      <c r="K2231" s="4" t="b">
        <f>AND(((F2231)=TRUE), ((J2231)=TRUE))</f>
        <v>0</v>
      </c>
      <c r="L2231" s="4" t="b">
        <f>AND(((G2231 &lt;&gt; "plain")=TRUE), ((G2231 &lt;&gt; "")=TRUE))</f>
        <v>0</v>
      </c>
      <c r="M2231" s="4" t="str">
        <f>IF(((E2231)=TRUE),  C2231 &amp; "|" &amp; H2231,  "")</f>
        <v>principal-knowledge-authority|DeliveredCommunications</v>
      </c>
      <c r="N2231" s="3" t="s">
        <v>10004</v>
      </c>
    </row>
    <row r="2232">
      <c r="A2232" s="3" t="s">
        <v>12234</v>
      </c>
      <c r="B2232" s="4" t="str">
        <f>C2232 &amp; " -&gt; " &amp; D2232</f>
        <v>principal-knowledge-authority -&gt; ElicitationSessions.ElicitationSessionId</v>
      </c>
      <c r="C2232" s="3" t="s">
        <v>9774</v>
      </c>
      <c r="D2232" s="3" t="s">
        <v>3195</v>
      </c>
      <c r="E2232" s="3" t="b">
        <v>1</v>
      </c>
      <c r="F2232" s="3" t="b">
        <v>0</v>
      </c>
      <c r="G2232" s="3" t="s">
        <v>10003</v>
      </c>
      <c r="H2232" s="4" t="str">
        <f>_xlfn.IFNA(IF(((INDEX(RulebookFields!C2:C1898, MATCH(D2232,RulebookFields!A2:A1898, 0))="")=TRUE),  "",  INDEX(RulebookFields!C2:C1898, MATCH(D2232,RulebookFields!A2:A1898, 0))), "")</f>
        <v>ElicitationSessions</v>
      </c>
      <c r="I2232" s="4" t="str">
        <f>_xlfn.IFNA(IF(((INDEX(RulebookFields!D2:D1898, MATCH(D2232,RulebookFields!A2:A1898, 0))="")=TRUE),  "",  INDEX(RulebookFields!D2:D1898, MATCH(D2232,RulebookFields!A2:A1898, 0))), "")</f>
        <v>ElicitationSessionId</v>
      </c>
      <c r="J2232" s="4" t="b">
        <f>_xlfn.IFNA(IF(((INDEX(RulebookFields!I2:I1898, MATCH(D2232,RulebookFields!A2:A1898, 0))="")=TRUE),  "",  INDEX(RulebookFields!I2:I1898, MATCH(D2232,RulebookFields!A2:A1898, 0))), "")</f>
        <v>0</v>
      </c>
      <c r="K2232" s="4" t="b">
        <f>AND(((F2232)=TRUE), ((J2232)=TRUE))</f>
        <v>0</v>
      </c>
      <c r="L2232" s="4" t="b">
        <f>AND(((G2232 &lt;&gt; "plain")=TRUE), ((G2232 &lt;&gt; "")=TRUE))</f>
        <v>0</v>
      </c>
      <c r="M2232" s="4" t="str">
        <f>IF(((E2232)=TRUE),  C2232 &amp; "|" &amp; H2232,  "")</f>
        <v>principal-knowledge-authority|ElicitationSessions</v>
      </c>
      <c r="N2232" s="3" t="s">
        <v>10004</v>
      </c>
    </row>
    <row r="2233">
      <c r="A2233" s="3" t="s">
        <v>12235</v>
      </c>
      <c r="B2233" s="4" t="str">
        <f>C2233 &amp; " -&gt; " &amp; D2233</f>
        <v>principal-knowledge-authority -&gt; ElicitationSessions.Name</v>
      </c>
      <c r="C2233" s="3" t="s">
        <v>9774</v>
      </c>
      <c r="D2233" s="3" t="s">
        <v>3196</v>
      </c>
      <c r="E2233" s="3" t="b">
        <v>1</v>
      </c>
      <c r="F2233" s="3" t="b">
        <v>0</v>
      </c>
      <c r="G2233" s="3" t="s">
        <v>10003</v>
      </c>
      <c r="H2233" s="4" t="str">
        <f>_xlfn.IFNA(IF(((INDEX(RulebookFields!C2:C1898, MATCH(D2233,RulebookFields!A2:A1898, 0))="")=TRUE),  "",  INDEX(RulebookFields!C2:C1898, MATCH(D2233,RulebookFields!A2:A1898, 0))), "")</f>
        <v>ElicitationSessions</v>
      </c>
      <c r="I2233" s="4" t="str">
        <f>_xlfn.IFNA(IF(((INDEX(RulebookFields!D2:D1898, MATCH(D2233,RulebookFields!A2:A1898, 0))="")=TRUE),  "",  INDEX(RulebookFields!D2:D1898, MATCH(D2233,RulebookFields!A2:A1898, 0))), "")</f>
        <v>Name</v>
      </c>
      <c r="J2233" s="4" t="b">
        <f>_xlfn.IFNA(IF(((INDEX(RulebookFields!I2:I1898, MATCH(D2233,RulebookFields!A2:A1898, 0))="")=TRUE),  "",  INDEX(RulebookFields!I2:I1898, MATCH(D2233,RulebookFields!A2:A1898, 0))), "")</f>
        <v>1</v>
      </c>
      <c r="K2233" s="4" t="b">
        <f>AND(((F2233)=TRUE), ((J2233)=TRUE))</f>
        <v>0</v>
      </c>
      <c r="L2233" s="4" t="b">
        <f>AND(((G2233 &lt;&gt; "plain")=TRUE), ((G2233 &lt;&gt; "")=TRUE))</f>
        <v>0</v>
      </c>
      <c r="M2233" s="4" t="str">
        <f>IF(((E2233)=TRUE),  C2233 &amp; "|" &amp; H2233,  "")</f>
        <v>principal-knowledge-authority|ElicitationSessions</v>
      </c>
      <c r="N2233" s="3" t="s">
        <v>10004</v>
      </c>
    </row>
    <row r="2234">
      <c r="A2234" s="3" t="s">
        <v>12236</v>
      </c>
      <c r="B2234" s="4" t="str">
        <f>C2234 &amp; " -&gt; " &amp; D2234</f>
        <v>principal-knowledge-authority -&gt; ElicitationSessions.ProcedureVersion</v>
      </c>
      <c r="C2234" s="3" t="s">
        <v>9774</v>
      </c>
      <c r="D2234" s="3" t="s">
        <v>3198</v>
      </c>
      <c r="E2234" s="3" t="b">
        <v>1</v>
      </c>
      <c r="F2234" s="3" t="b">
        <v>0</v>
      </c>
      <c r="G2234" s="3" t="s">
        <v>10003</v>
      </c>
      <c r="H2234" s="4" t="str">
        <f>_xlfn.IFNA(IF(((INDEX(RulebookFields!C2:C1898, MATCH(D2234,RulebookFields!A2:A1898, 0))="")=TRUE),  "",  INDEX(RulebookFields!C2:C1898, MATCH(D2234,RulebookFields!A2:A1898, 0))), "")</f>
        <v>ElicitationSessions</v>
      </c>
      <c r="I2234" s="4" t="str">
        <f>_xlfn.IFNA(IF(((INDEX(RulebookFields!D2:D1898, MATCH(D2234,RulebookFields!A2:A1898, 0))="")=TRUE),  "",  INDEX(RulebookFields!D2:D1898, MATCH(D2234,RulebookFields!A2:A1898, 0))), "")</f>
        <v>ProcedureVersion</v>
      </c>
      <c r="J2234" s="4" t="b">
        <f>_xlfn.IFNA(IF(((INDEX(RulebookFields!I2:I1898, MATCH(D2234,RulebookFields!A2:A1898, 0))="")=TRUE),  "",  INDEX(RulebookFields!I2:I1898, MATCH(D2234,RulebookFields!A2:A1898, 0))), "")</f>
        <v>0</v>
      </c>
      <c r="K2234" s="4" t="b">
        <f>AND(((F2234)=TRUE), ((J2234)=TRUE))</f>
        <v>0</v>
      </c>
      <c r="L2234" s="4" t="b">
        <f>AND(((G2234 &lt;&gt; "plain")=TRUE), ((G2234 &lt;&gt; "")=TRUE))</f>
        <v>0</v>
      </c>
      <c r="M2234" s="4" t="str">
        <f>IF(((E2234)=TRUE),  C2234 &amp; "|" &amp; H2234,  "")</f>
        <v>principal-knowledge-authority|ElicitationSessions</v>
      </c>
      <c r="N2234" s="3" t="s">
        <v>10004</v>
      </c>
    </row>
    <row r="2235">
      <c r="A2235" s="3" t="s">
        <v>12237</v>
      </c>
      <c r="B2235" s="4" t="str">
        <f>C2235 &amp; " -&gt; " &amp; D2235</f>
        <v>principal-knowledge-authority -&gt; ElicitationSessions.Method</v>
      </c>
      <c r="C2235" s="3" t="s">
        <v>9774</v>
      </c>
      <c r="D2235" s="3" t="s">
        <v>3199</v>
      </c>
      <c r="E2235" s="3" t="b">
        <v>1</v>
      </c>
      <c r="F2235" s="3" t="b">
        <v>0</v>
      </c>
      <c r="G2235" s="3" t="s">
        <v>10003</v>
      </c>
      <c r="H2235" s="4" t="str">
        <f>_xlfn.IFNA(IF(((INDEX(RulebookFields!C2:C1898, MATCH(D2235,RulebookFields!A2:A1898, 0))="")=TRUE),  "",  INDEX(RulebookFields!C2:C1898, MATCH(D2235,RulebookFields!A2:A1898, 0))), "")</f>
        <v>ElicitationSessions</v>
      </c>
      <c r="I2235" s="4" t="str">
        <f>_xlfn.IFNA(IF(((INDEX(RulebookFields!D2:D1898, MATCH(D2235,RulebookFields!A2:A1898, 0))="")=TRUE),  "",  INDEX(RulebookFields!D2:D1898, MATCH(D2235,RulebookFields!A2:A1898, 0))), "")</f>
        <v>Method</v>
      </c>
      <c r="J2235" s="4" t="b">
        <f>_xlfn.IFNA(IF(((INDEX(RulebookFields!I2:I1898, MATCH(D2235,RulebookFields!A2:A1898, 0))="")=TRUE),  "",  INDEX(RulebookFields!I2:I1898, MATCH(D2235,RulebookFields!A2:A1898, 0))), "")</f>
        <v>0</v>
      </c>
      <c r="K2235" s="4" t="b">
        <f>AND(((F2235)=TRUE), ((J2235)=TRUE))</f>
        <v>0</v>
      </c>
      <c r="L2235" s="4" t="b">
        <f>AND(((G2235 &lt;&gt; "plain")=TRUE), ((G2235 &lt;&gt; "")=TRUE))</f>
        <v>0</v>
      </c>
      <c r="M2235" s="4" t="str">
        <f>IF(((E2235)=TRUE),  C2235 &amp; "|" &amp; H2235,  "")</f>
        <v>principal-knowledge-authority|ElicitationSessions</v>
      </c>
      <c r="N2235" s="3" t="s">
        <v>10004</v>
      </c>
    </row>
    <row r="2236">
      <c r="A2236" s="3" t="s">
        <v>12238</v>
      </c>
      <c r="B2236" s="4" t="str">
        <f>C2236 &amp; " -&gt; " &amp; D2236</f>
        <v>principal-knowledge-authority -&gt; ElicitationSessions.StartedAt</v>
      </c>
      <c r="C2236" s="3" t="s">
        <v>9774</v>
      </c>
      <c r="D2236" s="3" t="s">
        <v>3200</v>
      </c>
      <c r="E2236" s="3" t="b">
        <v>1</v>
      </c>
      <c r="F2236" s="3" t="b">
        <v>0</v>
      </c>
      <c r="G2236" s="3" t="s">
        <v>10003</v>
      </c>
      <c r="H2236" s="4" t="str">
        <f>_xlfn.IFNA(IF(((INDEX(RulebookFields!C2:C1898, MATCH(D2236,RulebookFields!A2:A1898, 0))="")=TRUE),  "",  INDEX(RulebookFields!C2:C1898, MATCH(D2236,RulebookFields!A2:A1898, 0))), "")</f>
        <v>ElicitationSessions</v>
      </c>
      <c r="I2236" s="4" t="str">
        <f>_xlfn.IFNA(IF(((INDEX(RulebookFields!D2:D1898, MATCH(D2236,RulebookFields!A2:A1898, 0))="")=TRUE),  "",  INDEX(RulebookFields!D2:D1898, MATCH(D2236,RulebookFields!A2:A1898, 0))), "")</f>
        <v>StartedAt</v>
      </c>
      <c r="J2236" s="4" t="b">
        <f>_xlfn.IFNA(IF(((INDEX(RulebookFields!I2:I1898, MATCH(D2236,RulebookFields!A2:A1898, 0))="")=TRUE),  "",  INDEX(RulebookFields!I2:I1898, MATCH(D2236,RulebookFields!A2:A1898, 0))), "")</f>
        <v>0</v>
      </c>
      <c r="K2236" s="4" t="b">
        <f>AND(((F2236)=TRUE), ((J2236)=TRUE))</f>
        <v>0</v>
      </c>
      <c r="L2236" s="4" t="b">
        <f>AND(((G2236 &lt;&gt; "plain")=TRUE), ((G2236 &lt;&gt; "")=TRUE))</f>
        <v>0</v>
      </c>
      <c r="M2236" s="4" t="str">
        <f>IF(((E2236)=TRUE),  C2236 &amp; "|" &amp; H2236,  "")</f>
        <v>principal-knowledge-authority|ElicitationSessions</v>
      </c>
      <c r="N2236" s="3" t="s">
        <v>10004</v>
      </c>
    </row>
    <row r="2237">
      <c r="A2237" s="3" t="s">
        <v>12239</v>
      </c>
      <c r="B2237" s="4" t="str">
        <f>C2237 &amp; " -&gt; " &amp; D2237</f>
        <v>principal-knowledge-authority -&gt; ElicitationSessions.EndedAt</v>
      </c>
      <c r="C2237" s="3" t="s">
        <v>9774</v>
      </c>
      <c r="D2237" s="3" t="s">
        <v>3201</v>
      </c>
      <c r="E2237" s="3" t="b">
        <v>1</v>
      </c>
      <c r="F2237" s="3" t="b">
        <v>0</v>
      </c>
      <c r="G2237" s="3" t="s">
        <v>10003</v>
      </c>
      <c r="H2237" s="4" t="str">
        <f>_xlfn.IFNA(IF(((INDEX(RulebookFields!C2:C1898, MATCH(D2237,RulebookFields!A2:A1898, 0))="")=TRUE),  "",  INDEX(RulebookFields!C2:C1898, MATCH(D2237,RulebookFields!A2:A1898, 0))), "")</f>
        <v>ElicitationSessions</v>
      </c>
      <c r="I2237" s="4" t="str">
        <f>_xlfn.IFNA(IF(((INDEX(RulebookFields!D2:D1898, MATCH(D2237,RulebookFields!A2:A1898, 0))="")=TRUE),  "",  INDEX(RulebookFields!D2:D1898, MATCH(D2237,RulebookFields!A2:A1898, 0))), "")</f>
        <v>EndedAt</v>
      </c>
      <c r="J2237" s="4" t="b">
        <f>_xlfn.IFNA(IF(((INDEX(RulebookFields!I2:I1898, MATCH(D2237,RulebookFields!A2:A1898, 0))="")=TRUE),  "",  INDEX(RulebookFields!I2:I1898, MATCH(D2237,RulebookFields!A2:A1898, 0))), "")</f>
        <v>0</v>
      </c>
      <c r="K2237" s="4" t="b">
        <f>AND(((F2237)=TRUE), ((J2237)=TRUE))</f>
        <v>0</v>
      </c>
      <c r="L2237" s="4" t="b">
        <f>AND(((G2237 &lt;&gt; "plain")=TRUE), ((G2237 &lt;&gt; "")=TRUE))</f>
        <v>0</v>
      </c>
      <c r="M2237" s="4" t="str">
        <f>IF(((E2237)=TRUE),  C2237 &amp; "|" &amp; H2237,  "")</f>
        <v>principal-knowledge-authority|ElicitationSessions</v>
      </c>
      <c r="N2237" s="3" t="s">
        <v>10004</v>
      </c>
    </row>
    <row r="2238">
      <c r="A2238" s="3" t="s">
        <v>12240</v>
      </c>
      <c r="B2238" s="4" t="str">
        <f>C2238 &amp; " -&gt; " &amp; D2238</f>
        <v>principal-knowledge-authority -&gt; ElicitationSessions.PractitionerAgent</v>
      </c>
      <c r="C2238" s="3" t="s">
        <v>9774</v>
      </c>
      <c r="D2238" s="3" t="s">
        <v>3202</v>
      </c>
      <c r="E2238" s="3" t="b">
        <v>1</v>
      </c>
      <c r="F2238" s="3" t="b">
        <v>0</v>
      </c>
      <c r="G2238" s="3" t="s">
        <v>10003</v>
      </c>
      <c r="H2238" s="4" t="str">
        <f>_xlfn.IFNA(IF(((INDEX(RulebookFields!C2:C1898, MATCH(D2238,RulebookFields!A2:A1898, 0))="")=TRUE),  "",  INDEX(RulebookFields!C2:C1898, MATCH(D2238,RulebookFields!A2:A1898, 0))), "")</f>
        <v>ElicitationSessions</v>
      </c>
      <c r="I2238" s="4" t="str">
        <f>_xlfn.IFNA(IF(((INDEX(RulebookFields!D2:D1898, MATCH(D2238,RulebookFields!A2:A1898, 0))="")=TRUE),  "",  INDEX(RulebookFields!D2:D1898, MATCH(D2238,RulebookFields!A2:A1898, 0))), "")</f>
        <v>PractitionerAgent</v>
      </c>
      <c r="J2238" s="4" t="b">
        <f>_xlfn.IFNA(IF(((INDEX(RulebookFields!I2:I1898, MATCH(D2238,RulebookFields!A2:A1898, 0))="")=TRUE),  "",  INDEX(RulebookFields!I2:I1898, MATCH(D2238,RulebookFields!A2:A1898, 0))), "")</f>
        <v>0</v>
      </c>
      <c r="K2238" s="4" t="b">
        <f>AND(((F2238)=TRUE), ((J2238)=TRUE))</f>
        <v>0</v>
      </c>
      <c r="L2238" s="4" t="b">
        <f>AND(((G2238 &lt;&gt; "plain")=TRUE), ((G2238 &lt;&gt; "")=TRUE))</f>
        <v>0</v>
      </c>
      <c r="M2238" s="4" t="str">
        <f>IF(((E2238)=TRUE),  C2238 &amp; "|" &amp; H2238,  "")</f>
        <v>principal-knowledge-authority|ElicitationSessions</v>
      </c>
      <c r="N2238" s="3" t="s">
        <v>10004</v>
      </c>
    </row>
    <row r="2239">
      <c r="A2239" s="3" t="s">
        <v>12241</v>
      </c>
      <c r="B2239" s="4" t="str">
        <f>C2239 &amp; " -&gt; " &amp; D2239</f>
        <v>principal-knowledge-authority -&gt; ElicitationSessions.FacilitatorAgent</v>
      </c>
      <c r="C2239" s="3" t="s">
        <v>9774</v>
      </c>
      <c r="D2239" s="3" t="s">
        <v>3203</v>
      </c>
      <c r="E2239" s="3" t="b">
        <v>1</v>
      </c>
      <c r="F2239" s="3" t="b">
        <v>0</v>
      </c>
      <c r="G2239" s="3" t="s">
        <v>10003</v>
      </c>
      <c r="H2239" s="4" t="str">
        <f>_xlfn.IFNA(IF(((INDEX(RulebookFields!C2:C1898, MATCH(D2239,RulebookFields!A2:A1898, 0))="")=TRUE),  "",  INDEX(RulebookFields!C2:C1898, MATCH(D2239,RulebookFields!A2:A1898, 0))), "")</f>
        <v>ElicitationSessions</v>
      </c>
      <c r="I2239" s="4" t="str">
        <f>_xlfn.IFNA(IF(((INDEX(RulebookFields!D2:D1898, MATCH(D2239,RulebookFields!A2:A1898, 0))="")=TRUE),  "",  INDEX(RulebookFields!D2:D1898, MATCH(D2239,RulebookFields!A2:A1898, 0))), "")</f>
        <v>FacilitatorAgent</v>
      </c>
      <c r="J2239" s="4" t="b">
        <f>_xlfn.IFNA(IF(((INDEX(RulebookFields!I2:I1898, MATCH(D2239,RulebookFields!A2:A1898, 0))="")=TRUE),  "",  INDEX(RulebookFields!I2:I1898, MATCH(D2239,RulebookFields!A2:A1898, 0))), "")</f>
        <v>0</v>
      </c>
      <c r="K2239" s="4" t="b">
        <f>AND(((F2239)=TRUE), ((J2239)=TRUE))</f>
        <v>0</v>
      </c>
      <c r="L2239" s="4" t="b">
        <f>AND(((G2239 &lt;&gt; "plain")=TRUE), ((G2239 &lt;&gt; "")=TRUE))</f>
        <v>0</v>
      </c>
      <c r="M2239" s="4" t="str">
        <f>IF(((E2239)=TRUE),  C2239 &amp; "|" &amp; H2239,  "")</f>
        <v>principal-knowledge-authority|ElicitationSessions</v>
      </c>
      <c r="N2239" s="3" t="s">
        <v>10004</v>
      </c>
    </row>
    <row r="2240">
      <c r="A2240" s="3" t="s">
        <v>12242</v>
      </c>
      <c r="B2240" s="4" t="str">
        <f>C2240 &amp; " -&gt; " &amp; D2240</f>
        <v>principal-knowledge-authority -&gt; ElicitationSessions.Summary</v>
      </c>
      <c r="C2240" s="3" t="s">
        <v>9774</v>
      </c>
      <c r="D2240" s="3" t="s">
        <v>3204</v>
      </c>
      <c r="E2240" s="3" t="b">
        <v>1</v>
      </c>
      <c r="F2240" s="3" t="b">
        <v>0</v>
      </c>
      <c r="G2240" s="3" t="s">
        <v>10003</v>
      </c>
      <c r="H2240" s="4" t="str">
        <f>_xlfn.IFNA(IF(((INDEX(RulebookFields!C2:C1898, MATCH(D2240,RulebookFields!A2:A1898, 0))="")=TRUE),  "",  INDEX(RulebookFields!C2:C1898, MATCH(D2240,RulebookFields!A2:A1898, 0))), "")</f>
        <v>ElicitationSessions</v>
      </c>
      <c r="I2240" s="4" t="str">
        <f>_xlfn.IFNA(IF(((INDEX(RulebookFields!D2:D1898, MATCH(D2240,RulebookFields!A2:A1898, 0))="")=TRUE),  "",  INDEX(RulebookFields!D2:D1898, MATCH(D2240,RulebookFields!A2:A1898, 0))), "")</f>
        <v>Summary</v>
      </c>
      <c r="J2240" s="4" t="b">
        <f>_xlfn.IFNA(IF(((INDEX(RulebookFields!I2:I1898, MATCH(D2240,RulebookFields!A2:A1898, 0))="")=TRUE),  "",  INDEX(RulebookFields!I2:I1898, MATCH(D2240,RulebookFields!A2:A1898, 0))), "")</f>
        <v>0</v>
      </c>
      <c r="K2240" s="4" t="b">
        <f>AND(((F2240)=TRUE), ((J2240)=TRUE))</f>
        <v>0</v>
      </c>
      <c r="L2240" s="4" t="b">
        <f>AND(((G2240 &lt;&gt; "plain")=TRUE), ((G2240 &lt;&gt; "")=TRUE))</f>
        <v>0</v>
      </c>
      <c r="M2240" s="4" t="str">
        <f>IF(((E2240)=TRUE),  C2240 &amp; "|" &amp; H2240,  "")</f>
        <v>principal-knowledge-authority|ElicitationSessions</v>
      </c>
      <c r="N2240" s="3" t="s">
        <v>10004</v>
      </c>
    </row>
    <row r="2241">
      <c r="A2241" s="3" t="s">
        <v>12243</v>
      </c>
      <c r="B2241" s="4" t="str">
        <f>C2241 &amp; " -&gt; " &amp; D2241</f>
        <v>principal-knowledge-authority -&gt; ElicitationSessions.Status</v>
      </c>
      <c r="C2241" s="3" t="s">
        <v>9774</v>
      </c>
      <c r="D2241" s="3" t="s">
        <v>3205</v>
      </c>
      <c r="E2241" s="3" t="b">
        <v>1</v>
      </c>
      <c r="F2241" s="3" t="b">
        <v>0</v>
      </c>
      <c r="G2241" s="3" t="s">
        <v>10003</v>
      </c>
      <c r="H2241" s="4" t="str">
        <f>_xlfn.IFNA(IF(((INDEX(RulebookFields!C2:C1898, MATCH(D2241,RulebookFields!A2:A1898, 0))="")=TRUE),  "",  INDEX(RulebookFields!C2:C1898, MATCH(D2241,RulebookFields!A2:A1898, 0))), "")</f>
        <v>ElicitationSessions</v>
      </c>
      <c r="I2241" s="4" t="str">
        <f>_xlfn.IFNA(IF(((INDEX(RulebookFields!D2:D1898, MATCH(D2241,RulebookFields!A2:A1898, 0))="")=TRUE),  "",  INDEX(RulebookFields!D2:D1898, MATCH(D2241,RulebookFields!A2:A1898, 0))), "")</f>
        <v>Status</v>
      </c>
      <c r="J2241" s="4" t="b">
        <f>_xlfn.IFNA(IF(((INDEX(RulebookFields!I2:I1898, MATCH(D2241,RulebookFields!A2:A1898, 0))="")=TRUE),  "",  INDEX(RulebookFields!I2:I1898, MATCH(D2241,RulebookFields!A2:A1898, 0))), "")</f>
        <v>0</v>
      </c>
      <c r="K2241" s="4" t="b">
        <f>AND(((F2241)=TRUE), ((J2241)=TRUE))</f>
        <v>0</v>
      </c>
      <c r="L2241" s="4" t="b">
        <f>AND(((G2241 &lt;&gt; "plain")=TRUE), ((G2241 &lt;&gt; "")=TRUE))</f>
        <v>0</v>
      </c>
      <c r="M2241" s="4" t="str">
        <f>IF(((E2241)=TRUE),  C2241 &amp; "|" &amp; H2241,  "")</f>
        <v>principal-knowledge-authority|ElicitationSessions</v>
      </c>
      <c r="N2241" s="3" t="s">
        <v>10004</v>
      </c>
    </row>
    <row r="2242">
      <c r="A2242" s="3" t="s">
        <v>12244</v>
      </c>
      <c r="B2242" s="4" t="str">
        <f>C2242 &amp; " -&gt; " &amp; D2242</f>
        <v>principal-knowledge-authority -&gt; ElicitationSessions.EvaluationContext</v>
      </c>
      <c r="C2242" s="3" t="s">
        <v>9774</v>
      </c>
      <c r="D2242" s="3" t="s">
        <v>3206</v>
      </c>
      <c r="E2242" s="3" t="b">
        <v>1</v>
      </c>
      <c r="F2242" s="3" t="b">
        <v>0</v>
      </c>
      <c r="G2242" s="3" t="s">
        <v>10003</v>
      </c>
      <c r="H2242" s="4" t="str">
        <f>_xlfn.IFNA(IF(((INDEX(RulebookFields!C2:C1898, MATCH(D2242,RulebookFields!A2:A1898, 0))="")=TRUE),  "",  INDEX(RulebookFields!C2:C1898, MATCH(D2242,RulebookFields!A2:A1898, 0))), "")</f>
        <v>ElicitationSessions</v>
      </c>
      <c r="I2242" s="4" t="str">
        <f>_xlfn.IFNA(IF(((INDEX(RulebookFields!D2:D1898, MATCH(D2242,RulebookFields!A2:A1898, 0))="")=TRUE),  "",  INDEX(RulebookFields!D2:D1898, MATCH(D2242,RulebookFields!A2:A1898, 0))), "")</f>
        <v>EvaluationContext</v>
      </c>
      <c r="J2242" s="4" t="b">
        <f>_xlfn.IFNA(IF(((INDEX(RulebookFields!I2:I1898, MATCH(D2242,RulebookFields!A2:A1898, 0))="")=TRUE),  "",  INDEX(RulebookFields!I2:I1898, MATCH(D2242,RulebookFields!A2:A1898, 0))), "")</f>
        <v>0</v>
      </c>
      <c r="K2242" s="4" t="b">
        <f>AND(((F2242)=TRUE), ((J2242)=TRUE))</f>
        <v>0</v>
      </c>
      <c r="L2242" s="4" t="b">
        <f>AND(((G2242 &lt;&gt; "plain")=TRUE), ((G2242 &lt;&gt; "")=TRUE))</f>
        <v>0</v>
      </c>
      <c r="M2242" s="4" t="str">
        <f>IF(((E2242)=TRUE),  C2242 &amp; "|" &amp; H2242,  "")</f>
        <v>principal-knowledge-authority|ElicitationSessions</v>
      </c>
      <c r="N2242" s="3" t="s">
        <v>10004</v>
      </c>
    </row>
    <row r="2243">
      <c r="A2243" s="3" t="s">
        <v>12245</v>
      </c>
      <c r="B2243" s="4" t="str">
        <f>C2243 &amp; " -&gt; " &amp; D2243</f>
        <v>principal-knowledge-authority -&gt; ElicitationSessions.AsOfInstant</v>
      </c>
      <c r="C2243" s="3" t="s">
        <v>9774</v>
      </c>
      <c r="D2243" s="3" t="s">
        <v>3207</v>
      </c>
      <c r="E2243" s="3" t="b">
        <v>1</v>
      </c>
      <c r="F2243" s="3" t="b">
        <v>0</v>
      </c>
      <c r="G2243" s="3" t="s">
        <v>10003</v>
      </c>
      <c r="H2243" s="4" t="str">
        <f>_xlfn.IFNA(IF(((INDEX(RulebookFields!C2:C1898, MATCH(D2243,RulebookFields!A2:A1898, 0))="")=TRUE),  "",  INDEX(RulebookFields!C2:C1898, MATCH(D2243,RulebookFields!A2:A1898, 0))), "")</f>
        <v>ElicitationSessions</v>
      </c>
      <c r="I2243" s="4" t="str">
        <f>_xlfn.IFNA(IF(((INDEX(RulebookFields!D2:D1898, MATCH(D2243,RulebookFields!A2:A1898, 0))="")=TRUE),  "",  INDEX(RulebookFields!D2:D1898, MATCH(D2243,RulebookFields!A2:A1898, 0))), "")</f>
        <v>AsOfInstant</v>
      </c>
      <c r="J2243" s="4" t="b">
        <f>_xlfn.IFNA(IF(((INDEX(RulebookFields!I2:I1898, MATCH(D2243,RulebookFields!A2:A1898, 0))="")=TRUE),  "",  INDEX(RulebookFields!I2:I1898, MATCH(D2243,RulebookFields!A2:A1898, 0))), "")</f>
        <v>1</v>
      </c>
      <c r="K2243" s="4" t="b">
        <f>AND(((F2243)=TRUE), ((J2243)=TRUE))</f>
        <v>0</v>
      </c>
      <c r="L2243" s="4" t="b">
        <f>AND(((G2243 &lt;&gt; "plain")=TRUE), ((G2243 &lt;&gt; "")=TRUE))</f>
        <v>0</v>
      </c>
      <c r="M2243" s="4" t="str">
        <f>IF(((E2243)=TRUE),  C2243 &amp; "|" &amp; H2243,  "")</f>
        <v>principal-knowledge-authority|ElicitationSessions</v>
      </c>
      <c r="N2243" s="3" t="s">
        <v>10004</v>
      </c>
    </row>
    <row r="2244">
      <c r="A2244" s="3" t="s">
        <v>12246</v>
      </c>
      <c r="B2244" s="4" t="str">
        <f>C2244 &amp; " -&gt; " &amp; D2244</f>
        <v>principal-knowledge-authority -&gt; ElicitationSessions.DaysSinceElicited</v>
      </c>
      <c r="C2244" s="3" t="s">
        <v>9774</v>
      </c>
      <c r="D2244" s="3" t="s">
        <v>3208</v>
      </c>
      <c r="E2244" s="3" t="b">
        <v>1</v>
      </c>
      <c r="F2244" s="3" t="b">
        <v>0</v>
      </c>
      <c r="G2244" s="3" t="s">
        <v>10003</v>
      </c>
      <c r="H2244" s="4" t="str">
        <f>_xlfn.IFNA(IF(((INDEX(RulebookFields!C2:C1898, MATCH(D2244,RulebookFields!A2:A1898, 0))="")=TRUE),  "",  INDEX(RulebookFields!C2:C1898, MATCH(D2244,RulebookFields!A2:A1898, 0))), "")</f>
        <v>ElicitationSessions</v>
      </c>
      <c r="I2244" s="4" t="str">
        <f>_xlfn.IFNA(IF(((INDEX(RulebookFields!D2:D1898, MATCH(D2244,RulebookFields!A2:A1898, 0))="")=TRUE),  "",  INDEX(RulebookFields!D2:D1898, MATCH(D2244,RulebookFields!A2:A1898, 0))), "")</f>
        <v>DaysSinceElicited</v>
      </c>
      <c r="J2244" s="4" t="b">
        <f>_xlfn.IFNA(IF(((INDEX(RulebookFields!I2:I1898, MATCH(D2244,RulebookFields!A2:A1898, 0))="")=TRUE),  "",  INDEX(RulebookFields!I2:I1898, MATCH(D2244,RulebookFields!A2:A1898, 0))), "")</f>
        <v>1</v>
      </c>
      <c r="K2244" s="4" t="b">
        <f>AND(((F2244)=TRUE), ((J2244)=TRUE))</f>
        <v>0</v>
      </c>
      <c r="L2244" s="4" t="b">
        <f>AND(((G2244 &lt;&gt; "plain")=TRUE), ((G2244 &lt;&gt; "")=TRUE))</f>
        <v>0</v>
      </c>
      <c r="M2244" s="4" t="str">
        <f>IF(((E2244)=TRUE),  C2244 &amp; "|" &amp; H2244,  "")</f>
        <v>principal-knowledge-authority|ElicitationSessions</v>
      </c>
      <c r="N2244" s="3" t="s">
        <v>10004</v>
      </c>
    </row>
    <row r="2245">
      <c r="A2245" s="3" t="s">
        <v>12247</v>
      </c>
      <c r="B2245" s="4" t="str">
        <f>C2245 &amp; " -&gt; " &amp; D2245</f>
        <v>principal-knowledge-authority -&gt; ElicitationSessions.IsSingleWitnessMethod</v>
      </c>
      <c r="C2245" s="3" t="s">
        <v>9774</v>
      </c>
      <c r="D2245" s="3" t="s">
        <v>3210</v>
      </c>
      <c r="E2245" s="3" t="b">
        <v>1</v>
      </c>
      <c r="F2245" s="3" t="b">
        <v>0</v>
      </c>
      <c r="G2245" s="3" t="s">
        <v>10003</v>
      </c>
      <c r="H2245" s="4" t="str">
        <f>_xlfn.IFNA(IF(((INDEX(RulebookFields!C2:C1898, MATCH(D2245,RulebookFields!A2:A1898, 0))="")=TRUE),  "",  INDEX(RulebookFields!C2:C1898, MATCH(D2245,RulebookFields!A2:A1898, 0))), "")</f>
        <v>ElicitationSessions</v>
      </c>
      <c r="I2245" s="4" t="str">
        <f>_xlfn.IFNA(IF(((INDEX(RulebookFields!D2:D1898, MATCH(D2245,RulebookFields!A2:A1898, 0))="")=TRUE),  "",  INDEX(RulebookFields!D2:D1898, MATCH(D2245,RulebookFields!A2:A1898, 0))), "")</f>
        <v>IsSingleWitnessMethod</v>
      </c>
      <c r="J2245" s="4" t="b">
        <f>_xlfn.IFNA(IF(((INDEX(RulebookFields!I2:I1898, MATCH(D2245,RulebookFields!A2:A1898, 0))="")=TRUE),  "",  INDEX(RulebookFields!I2:I1898, MATCH(D2245,RulebookFields!A2:A1898, 0))), "")</f>
        <v>1</v>
      </c>
      <c r="K2245" s="4" t="b">
        <f>AND(((F2245)=TRUE), ((J2245)=TRUE))</f>
        <v>0</v>
      </c>
      <c r="L2245" s="4" t="b">
        <f>AND(((G2245 &lt;&gt; "plain")=TRUE), ((G2245 &lt;&gt; "")=TRUE))</f>
        <v>0</v>
      </c>
      <c r="M2245" s="4" t="str">
        <f>IF(((E2245)=TRUE),  C2245 &amp; "|" &amp; H2245,  "")</f>
        <v>principal-knowledge-authority|ElicitationSessions</v>
      </c>
      <c r="N2245" s="3" t="s">
        <v>10004</v>
      </c>
    </row>
    <row r="2246">
      <c r="A2246" s="3" t="s">
        <v>12248</v>
      </c>
      <c r="B2246" s="4" t="str">
        <f>C2246 &amp; " -&gt; " &amp; D2246</f>
        <v>principal-knowledge-authority -&gt; ElicitationSessions.PractitionerIsStillEngaged</v>
      </c>
      <c r="C2246" s="3" t="s">
        <v>9774</v>
      </c>
      <c r="D2246" s="3" t="s">
        <v>3212</v>
      </c>
      <c r="E2246" s="3" t="b">
        <v>1</v>
      </c>
      <c r="F2246" s="3" t="b">
        <v>0</v>
      </c>
      <c r="G2246" s="3" t="s">
        <v>10003</v>
      </c>
      <c r="H2246" s="4" t="str">
        <f>_xlfn.IFNA(IF(((INDEX(RulebookFields!C2:C1898, MATCH(D2246,RulebookFields!A2:A1898, 0))="")=TRUE),  "",  INDEX(RulebookFields!C2:C1898, MATCH(D2246,RulebookFields!A2:A1898, 0))), "")</f>
        <v>ElicitationSessions</v>
      </c>
      <c r="I2246" s="4" t="str">
        <f>_xlfn.IFNA(IF(((INDEX(RulebookFields!D2:D1898, MATCH(D2246,RulebookFields!A2:A1898, 0))="")=TRUE),  "",  INDEX(RulebookFields!D2:D1898, MATCH(D2246,RulebookFields!A2:A1898, 0))), "")</f>
        <v>PractitionerIsStillEngaged</v>
      </c>
      <c r="J2246" s="4" t="b">
        <f>_xlfn.IFNA(IF(((INDEX(RulebookFields!I2:I1898, MATCH(D2246,RulebookFields!A2:A1898, 0))="")=TRUE),  "",  INDEX(RulebookFields!I2:I1898, MATCH(D2246,RulebookFields!A2:A1898, 0))), "")</f>
        <v>1</v>
      </c>
      <c r="K2246" s="4" t="b">
        <f>AND(((F2246)=TRUE), ((J2246)=TRUE))</f>
        <v>0</v>
      </c>
      <c r="L2246" s="4" t="b">
        <f>AND(((G2246 &lt;&gt; "plain")=TRUE), ((G2246 &lt;&gt; "")=TRUE))</f>
        <v>0</v>
      </c>
      <c r="M2246" s="4" t="str">
        <f>IF(((E2246)=TRUE),  C2246 &amp; "|" &amp; H2246,  "")</f>
        <v>principal-knowledge-authority|ElicitationSessions</v>
      </c>
      <c r="N2246" s="3" t="s">
        <v>10004</v>
      </c>
    </row>
    <row r="2247">
      <c r="A2247" s="3" t="s">
        <v>12249</v>
      </c>
      <c r="B2247" s="4" t="str">
        <f>C2247 &amp; " -&gt; " &amp; D2247</f>
        <v>principal-knowledge-authority -&gt; ElicitationSessions.ValidFragmentsProduced</v>
      </c>
      <c r="C2247" s="3" t="s">
        <v>9774</v>
      </c>
      <c r="D2247" s="3" t="s">
        <v>3214</v>
      </c>
      <c r="E2247" s="3" t="b">
        <v>1</v>
      </c>
      <c r="F2247" s="3" t="b">
        <v>0</v>
      </c>
      <c r="G2247" s="3" t="s">
        <v>10003</v>
      </c>
      <c r="H2247" s="4" t="str">
        <f>_xlfn.IFNA(IF(((INDEX(RulebookFields!C2:C1898, MATCH(D2247,RulebookFields!A2:A1898, 0))="")=TRUE),  "",  INDEX(RulebookFields!C2:C1898, MATCH(D2247,RulebookFields!A2:A1898, 0))), "")</f>
        <v>ElicitationSessions</v>
      </c>
      <c r="I2247" s="4" t="str">
        <f>_xlfn.IFNA(IF(((INDEX(RulebookFields!D2:D1898, MATCH(D2247,RulebookFields!A2:A1898, 0))="")=TRUE),  "",  INDEX(RulebookFields!D2:D1898, MATCH(D2247,RulebookFields!A2:A1898, 0))), "")</f>
        <v>ValidFragmentsProduced</v>
      </c>
      <c r="J2247" s="4" t="b">
        <f>_xlfn.IFNA(IF(((INDEX(RulebookFields!I2:I1898, MATCH(D2247,RulebookFields!A2:A1898, 0))="")=TRUE),  "",  INDEX(RulebookFields!I2:I1898, MATCH(D2247,RulebookFields!A2:A1898, 0))), "")</f>
        <v>1</v>
      </c>
      <c r="K2247" s="4" t="b">
        <f>AND(((F2247)=TRUE), ((J2247)=TRUE))</f>
        <v>0</v>
      </c>
      <c r="L2247" s="4" t="b">
        <f>AND(((G2247 &lt;&gt; "plain")=TRUE), ((G2247 &lt;&gt; "")=TRUE))</f>
        <v>0</v>
      </c>
      <c r="M2247" s="4" t="str">
        <f>IF(((E2247)=TRUE),  C2247 &amp; "|" &amp; H2247,  "")</f>
        <v>principal-knowledge-authority|ElicitationSessions</v>
      </c>
      <c r="N2247" s="3" t="s">
        <v>10004</v>
      </c>
    </row>
    <row r="2248">
      <c r="A2248" s="3" t="s">
        <v>12250</v>
      </c>
      <c r="B2248" s="4" t="str">
        <f>C2248 &amp; " -&gt; " &amp; D2248</f>
        <v>principal-knowledge-authority -&gt; ElicitationSessions.IsHighYieldSession</v>
      </c>
      <c r="C2248" s="3" t="s">
        <v>9774</v>
      </c>
      <c r="D2248" s="3" t="s">
        <v>3216</v>
      </c>
      <c r="E2248" s="3" t="b">
        <v>1</v>
      </c>
      <c r="F2248" s="3" t="b">
        <v>0</v>
      </c>
      <c r="G2248" s="3" t="s">
        <v>10003</v>
      </c>
      <c r="H2248" s="4" t="str">
        <f>_xlfn.IFNA(IF(((INDEX(RulebookFields!C2:C1898, MATCH(D2248,RulebookFields!A2:A1898, 0))="")=TRUE),  "",  INDEX(RulebookFields!C2:C1898, MATCH(D2248,RulebookFields!A2:A1898, 0))), "")</f>
        <v>ElicitationSessions</v>
      </c>
      <c r="I2248" s="4" t="str">
        <f>_xlfn.IFNA(IF(((INDEX(RulebookFields!D2:D1898, MATCH(D2248,RulebookFields!A2:A1898, 0))="")=TRUE),  "",  INDEX(RulebookFields!D2:D1898, MATCH(D2248,RulebookFields!A2:A1898, 0))), "")</f>
        <v>IsHighYieldSession</v>
      </c>
      <c r="J2248" s="4" t="b">
        <f>_xlfn.IFNA(IF(((INDEX(RulebookFields!I2:I1898, MATCH(D2248,RulebookFields!A2:A1898, 0))="")=TRUE),  "",  INDEX(RulebookFields!I2:I1898, MATCH(D2248,RulebookFields!A2:A1898, 0))), "")</f>
        <v>1</v>
      </c>
      <c r="K2248" s="4" t="b">
        <f>AND(((F2248)=TRUE), ((J2248)=TRUE))</f>
        <v>0</v>
      </c>
      <c r="L2248" s="4" t="b">
        <f>AND(((G2248 &lt;&gt; "plain")=TRUE), ((G2248 &lt;&gt; "")=TRUE))</f>
        <v>0</v>
      </c>
      <c r="M2248" s="4" t="str">
        <f>IF(((E2248)=TRUE),  C2248 &amp; "|" &amp; H2248,  "")</f>
        <v>principal-knowledge-authority|ElicitationSessions</v>
      </c>
      <c r="N2248" s="3" t="s">
        <v>10004</v>
      </c>
    </row>
    <row r="2249">
      <c r="A2249" s="3" t="s">
        <v>12251</v>
      </c>
      <c r="B2249" s="4" t="str">
        <f>C2249 &amp; " -&gt; " &amp; D2249</f>
        <v>principal-knowledge-authority -&gt; ElicitationSessions.IsConcentratedSingleWitness</v>
      </c>
      <c r="C2249" s="3" t="s">
        <v>9774</v>
      </c>
      <c r="D2249" s="3" t="s">
        <v>3218</v>
      </c>
      <c r="E2249" s="3" t="b">
        <v>1</v>
      </c>
      <c r="F2249" s="3" t="b">
        <v>0</v>
      </c>
      <c r="G2249" s="3" t="s">
        <v>10003</v>
      </c>
      <c r="H2249" s="4" t="str">
        <f>_xlfn.IFNA(IF(((INDEX(RulebookFields!C2:C1898, MATCH(D2249,RulebookFields!A2:A1898, 0))="")=TRUE),  "",  INDEX(RulebookFields!C2:C1898, MATCH(D2249,RulebookFields!A2:A1898, 0))), "")</f>
        <v>ElicitationSessions</v>
      </c>
      <c r="I2249" s="4" t="str">
        <f>_xlfn.IFNA(IF(((INDEX(RulebookFields!D2:D1898, MATCH(D2249,RulebookFields!A2:A1898, 0))="")=TRUE),  "",  INDEX(RulebookFields!D2:D1898, MATCH(D2249,RulebookFields!A2:A1898, 0))), "")</f>
        <v>IsConcentratedSingleWitness</v>
      </c>
      <c r="J2249" s="4" t="b">
        <f>_xlfn.IFNA(IF(((INDEX(RulebookFields!I2:I1898, MATCH(D2249,RulebookFields!A2:A1898, 0))="")=TRUE),  "",  INDEX(RulebookFields!I2:I1898, MATCH(D2249,RulebookFields!A2:A1898, 0))), "")</f>
        <v>1</v>
      </c>
      <c r="K2249" s="4" t="b">
        <f>AND(((F2249)=TRUE), ((J2249)=TRUE))</f>
        <v>0</v>
      </c>
      <c r="L2249" s="4" t="b">
        <f>AND(((G2249 &lt;&gt; "plain")=TRUE), ((G2249 &lt;&gt; "")=TRUE))</f>
        <v>0</v>
      </c>
      <c r="M2249" s="4" t="str">
        <f>IF(((E2249)=TRUE),  C2249 &amp; "|" &amp; H2249,  "")</f>
        <v>principal-knowledge-authority|ElicitationSessions</v>
      </c>
      <c r="N2249" s="3" t="s">
        <v>10004</v>
      </c>
    </row>
    <row r="2250">
      <c r="A2250" s="3" t="s">
        <v>12252</v>
      </c>
      <c r="B2250" s="4" t="str">
        <f>C2250 &amp; " -&gt; " &amp; D2250</f>
        <v>principal-knowledge-authority -&gt; ElicitationSessions.IsStaleConcentratedWitness</v>
      </c>
      <c r="C2250" s="3" t="s">
        <v>9774</v>
      </c>
      <c r="D2250" s="3" t="s">
        <v>3220</v>
      </c>
      <c r="E2250" s="3" t="b">
        <v>1</v>
      </c>
      <c r="F2250" s="3" t="b">
        <v>0</v>
      </c>
      <c r="G2250" s="3" t="s">
        <v>10003</v>
      </c>
      <c r="H2250" s="4" t="str">
        <f>_xlfn.IFNA(IF(((INDEX(RulebookFields!C2:C1898, MATCH(D2250,RulebookFields!A2:A1898, 0))="")=TRUE),  "",  INDEX(RulebookFields!C2:C1898, MATCH(D2250,RulebookFields!A2:A1898, 0))), "")</f>
        <v>ElicitationSessions</v>
      </c>
      <c r="I2250" s="4" t="str">
        <f>_xlfn.IFNA(IF(((INDEX(RulebookFields!D2:D1898, MATCH(D2250,RulebookFields!A2:A1898, 0))="")=TRUE),  "",  INDEX(RulebookFields!D2:D1898, MATCH(D2250,RulebookFields!A2:A1898, 0))), "")</f>
        <v>IsStaleConcentratedWitness</v>
      </c>
      <c r="J2250" s="4" t="b">
        <f>_xlfn.IFNA(IF(((INDEX(RulebookFields!I2:I1898, MATCH(D2250,RulebookFields!A2:A1898, 0))="")=TRUE),  "",  INDEX(RulebookFields!I2:I1898, MATCH(D2250,RulebookFields!A2:A1898, 0))), "")</f>
        <v>1</v>
      </c>
      <c r="K2250" s="4" t="b">
        <f>AND(((F2250)=TRUE), ((J2250)=TRUE))</f>
        <v>0</v>
      </c>
      <c r="L2250" s="4" t="b">
        <f>AND(((G2250 &lt;&gt; "plain")=TRUE), ((G2250 &lt;&gt; "")=TRUE))</f>
        <v>0</v>
      </c>
      <c r="M2250" s="4" t="str">
        <f>IF(((E2250)=TRUE),  C2250 &amp; "|" &amp; H2250,  "")</f>
        <v>principal-knowledge-authority|ElicitationSessions</v>
      </c>
      <c r="N2250" s="3" t="s">
        <v>10004</v>
      </c>
    </row>
    <row r="2251">
      <c r="A2251" s="3" t="s">
        <v>12253</v>
      </c>
      <c r="B2251" s="4" t="str">
        <f>C2251 &amp; " -&gt; " &amp; D2251</f>
        <v>principal-knowledge-authority -&gt; ElicitationSessions.ConcentratedSessionVersionKey</v>
      </c>
      <c r="C2251" s="3" t="s">
        <v>9774</v>
      </c>
      <c r="D2251" s="3" t="s">
        <v>3222</v>
      </c>
      <c r="E2251" s="3" t="b">
        <v>1</v>
      </c>
      <c r="F2251" s="3" t="b">
        <v>0</v>
      </c>
      <c r="G2251" s="3" t="s">
        <v>10003</v>
      </c>
      <c r="H2251" s="4" t="str">
        <f>_xlfn.IFNA(IF(((INDEX(RulebookFields!C2:C1898, MATCH(D2251,RulebookFields!A2:A1898, 0))="")=TRUE),  "",  INDEX(RulebookFields!C2:C1898, MATCH(D2251,RulebookFields!A2:A1898, 0))), "")</f>
        <v>ElicitationSessions</v>
      </c>
      <c r="I2251" s="4" t="str">
        <f>_xlfn.IFNA(IF(((INDEX(RulebookFields!D2:D1898, MATCH(D2251,RulebookFields!A2:A1898, 0))="")=TRUE),  "",  INDEX(RulebookFields!D2:D1898, MATCH(D2251,RulebookFields!A2:A1898, 0))), "")</f>
        <v>ConcentratedSessionVersionKey</v>
      </c>
      <c r="J2251" s="4" t="b">
        <f>_xlfn.IFNA(IF(((INDEX(RulebookFields!I2:I1898, MATCH(D2251,RulebookFields!A2:A1898, 0))="")=TRUE),  "",  INDEX(RulebookFields!I2:I1898, MATCH(D2251,RulebookFields!A2:A1898, 0))), "")</f>
        <v>1</v>
      </c>
      <c r="K2251" s="4" t="b">
        <f>AND(((F2251)=TRUE), ((J2251)=TRUE))</f>
        <v>0</v>
      </c>
      <c r="L2251" s="4" t="b">
        <f>AND(((G2251 &lt;&gt; "plain")=TRUE), ((G2251 &lt;&gt; "")=TRUE))</f>
        <v>0</v>
      </c>
      <c r="M2251" s="4" t="str">
        <f>IF(((E2251)=TRUE),  C2251 &amp; "|" &amp; H2251,  "")</f>
        <v>principal-knowledge-authority|ElicitationSessions</v>
      </c>
      <c r="N2251" s="3" t="s">
        <v>10004</v>
      </c>
    </row>
    <row r="2252">
      <c r="A2252" s="3" t="s">
        <v>12254</v>
      </c>
      <c r="B2252" s="4" t="str">
        <f>C2252 &amp; " -&gt; " &amp; D2252</f>
        <v>principal-knowledge-authority -&gt; ElicitationSessions.SemanticTypeIri</v>
      </c>
      <c r="C2252" s="3" t="s">
        <v>9774</v>
      </c>
      <c r="D2252" s="3" t="s">
        <v>3224</v>
      </c>
      <c r="E2252" s="3" t="b">
        <v>1</v>
      </c>
      <c r="F2252" s="3" t="b">
        <v>0</v>
      </c>
      <c r="G2252" s="3" t="s">
        <v>10003</v>
      </c>
      <c r="H2252" s="4" t="str">
        <f>_xlfn.IFNA(IF(((INDEX(RulebookFields!C2:C1898, MATCH(D2252,RulebookFields!A2:A1898, 0))="")=TRUE),  "",  INDEX(RulebookFields!C2:C1898, MATCH(D2252,RulebookFields!A2:A1898, 0))), "")</f>
        <v>ElicitationSessions</v>
      </c>
      <c r="I2252" s="4" t="str">
        <f>_xlfn.IFNA(IF(((INDEX(RulebookFields!D2:D1898, MATCH(D2252,RulebookFields!A2:A1898, 0))="")=TRUE),  "",  INDEX(RulebookFields!D2:D1898, MATCH(D2252,RulebookFields!A2:A1898, 0))), "")</f>
        <v>SemanticTypeIri</v>
      </c>
      <c r="J2252" s="4" t="b">
        <f>_xlfn.IFNA(IF(((INDEX(RulebookFields!I2:I1898, MATCH(D2252,RulebookFields!A2:A1898, 0))="")=TRUE),  "",  INDEX(RulebookFields!I2:I1898, MATCH(D2252,RulebookFields!A2:A1898, 0))), "")</f>
        <v>0</v>
      </c>
      <c r="K2252" s="4" t="b">
        <f>AND(((F2252)=TRUE), ((J2252)=TRUE))</f>
        <v>0</v>
      </c>
      <c r="L2252" s="4" t="b">
        <f>AND(((G2252 &lt;&gt; "plain")=TRUE), ((G2252 &lt;&gt; "")=TRUE))</f>
        <v>0</v>
      </c>
      <c r="M2252" s="4" t="str">
        <f>IF(((E2252)=TRUE),  C2252 &amp; "|" &amp; H2252,  "")</f>
        <v>principal-knowledge-authority|ElicitationSessions</v>
      </c>
      <c r="N2252" s="3" t="s">
        <v>10004</v>
      </c>
    </row>
    <row r="2253">
      <c r="A2253" s="3" t="s">
        <v>12255</v>
      </c>
      <c r="B2253" s="4" t="str">
        <f>C2253 &amp; " -&gt; " &amp; D2253</f>
        <v>principal-knowledge-authority -&gt; Errors.ErrorId</v>
      </c>
      <c r="C2253" s="3" t="s">
        <v>9774</v>
      </c>
      <c r="D2253" s="3" t="s">
        <v>3853</v>
      </c>
      <c r="E2253" s="3" t="b">
        <v>1</v>
      </c>
      <c r="F2253" s="3" t="b">
        <v>0</v>
      </c>
      <c r="G2253" s="3" t="s">
        <v>10003</v>
      </c>
      <c r="H2253" s="4" t="str">
        <f>_xlfn.IFNA(IF(((INDEX(RulebookFields!C2:C1898, MATCH(D2253,RulebookFields!A2:A1898, 0))="")=TRUE),  "",  INDEX(RulebookFields!C2:C1898, MATCH(D2253,RulebookFields!A2:A1898, 0))), "")</f>
        <v>Errors</v>
      </c>
      <c r="I2253" s="4" t="str">
        <f>_xlfn.IFNA(IF(((INDEX(RulebookFields!D2:D1898, MATCH(D2253,RulebookFields!A2:A1898, 0))="")=TRUE),  "",  INDEX(RulebookFields!D2:D1898, MATCH(D2253,RulebookFields!A2:A1898, 0))), "")</f>
        <v>ErrorId</v>
      </c>
      <c r="J2253" s="4" t="b">
        <f>_xlfn.IFNA(IF(((INDEX(RulebookFields!I2:I1898, MATCH(D2253,RulebookFields!A2:A1898, 0))="")=TRUE),  "",  INDEX(RulebookFields!I2:I1898, MATCH(D2253,RulebookFields!A2:A1898, 0))), "")</f>
        <v>0</v>
      </c>
      <c r="K2253" s="4" t="b">
        <f>AND(((F2253)=TRUE), ((J2253)=TRUE))</f>
        <v>0</v>
      </c>
      <c r="L2253" s="4" t="b">
        <f>AND(((G2253 &lt;&gt; "plain")=TRUE), ((G2253 &lt;&gt; "")=TRUE))</f>
        <v>0</v>
      </c>
      <c r="M2253" s="4" t="str">
        <f>IF(((E2253)=TRUE),  C2253 &amp; "|" &amp; H2253,  "")</f>
        <v>principal-knowledge-authority|Errors</v>
      </c>
      <c r="N2253" s="3" t="s">
        <v>10004</v>
      </c>
    </row>
    <row r="2254">
      <c r="A2254" s="3" t="s">
        <v>12256</v>
      </c>
      <c r="B2254" s="4" t="str">
        <f>C2254 &amp; " -&gt; " &amp; D2254</f>
        <v>principal-knowledge-authority -&gt; Errors.Name</v>
      </c>
      <c r="C2254" s="3" t="s">
        <v>9774</v>
      </c>
      <c r="D2254" s="3" t="s">
        <v>3854</v>
      </c>
      <c r="E2254" s="3" t="b">
        <v>1</v>
      </c>
      <c r="F2254" s="3" t="b">
        <v>0</v>
      </c>
      <c r="G2254" s="3" t="s">
        <v>10003</v>
      </c>
      <c r="H2254" s="4" t="str">
        <f>_xlfn.IFNA(IF(((INDEX(RulebookFields!C2:C1898, MATCH(D2254,RulebookFields!A2:A1898, 0))="")=TRUE),  "",  INDEX(RulebookFields!C2:C1898, MATCH(D2254,RulebookFields!A2:A1898, 0))), "")</f>
        <v>Errors</v>
      </c>
      <c r="I2254" s="4" t="str">
        <f>_xlfn.IFNA(IF(((INDEX(RulebookFields!D2:D1898, MATCH(D2254,RulebookFields!A2:A1898, 0))="")=TRUE),  "",  INDEX(RulebookFields!D2:D1898, MATCH(D2254,RulebookFields!A2:A1898, 0))), "")</f>
        <v>Name</v>
      </c>
      <c r="J2254" s="4" t="b">
        <f>_xlfn.IFNA(IF(((INDEX(RulebookFields!I2:I1898, MATCH(D2254,RulebookFields!A2:A1898, 0))="")=TRUE),  "",  INDEX(RulebookFields!I2:I1898, MATCH(D2254,RulebookFields!A2:A1898, 0))), "")</f>
        <v>1</v>
      </c>
      <c r="K2254" s="4" t="b">
        <f>AND(((F2254)=TRUE), ((J2254)=TRUE))</f>
        <v>0</v>
      </c>
      <c r="L2254" s="4" t="b">
        <f>AND(((G2254 &lt;&gt; "plain")=TRUE), ((G2254 &lt;&gt; "")=TRUE))</f>
        <v>0</v>
      </c>
      <c r="M2254" s="4" t="str">
        <f>IF(((E2254)=TRUE),  C2254 &amp; "|" &amp; H2254,  "")</f>
        <v>principal-knowledge-authority|Errors</v>
      </c>
      <c r="N2254" s="3" t="s">
        <v>10004</v>
      </c>
    </row>
    <row r="2255">
      <c r="A2255" s="3" t="s">
        <v>12257</v>
      </c>
      <c r="B2255" s="4" t="str">
        <f>C2255 &amp; " -&gt; " &amp; D2255</f>
        <v>principal-knowledge-authority -&gt; Errors.Label</v>
      </c>
      <c r="C2255" s="3" t="s">
        <v>9774</v>
      </c>
      <c r="D2255" s="3" t="s">
        <v>3856</v>
      </c>
      <c r="E2255" s="3" t="b">
        <v>1</v>
      </c>
      <c r="F2255" s="3" t="b">
        <v>0</v>
      </c>
      <c r="G2255" s="3" t="s">
        <v>10003</v>
      </c>
      <c r="H2255" s="4" t="str">
        <f>_xlfn.IFNA(IF(((INDEX(RulebookFields!C2:C1898, MATCH(D2255,RulebookFields!A2:A1898, 0))="")=TRUE),  "",  INDEX(RulebookFields!C2:C1898, MATCH(D2255,RulebookFields!A2:A1898, 0))), "")</f>
        <v>Errors</v>
      </c>
      <c r="I2255" s="4" t="str">
        <f>_xlfn.IFNA(IF(((INDEX(RulebookFields!D2:D1898, MATCH(D2255,RulebookFields!A2:A1898, 0))="")=TRUE),  "",  INDEX(RulebookFields!D2:D1898, MATCH(D2255,RulebookFields!A2:A1898, 0))), "")</f>
        <v>Label</v>
      </c>
      <c r="J2255" s="4" t="b">
        <f>_xlfn.IFNA(IF(((INDEX(RulebookFields!I2:I1898, MATCH(D2255,RulebookFields!A2:A1898, 0))="")=TRUE),  "",  INDEX(RulebookFields!I2:I1898, MATCH(D2255,RulebookFields!A2:A1898, 0))), "")</f>
        <v>0</v>
      </c>
      <c r="K2255" s="4" t="b">
        <f>AND(((F2255)=TRUE), ((J2255)=TRUE))</f>
        <v>0</v>
      </c>
      <c r="L2255" s="4" t="b">
        <f>AND(((G2255 &lt;&gt; "plain")=TRUE), ((G2255 &lt;&gt; "")=TRUE))</f>
        <v>0</v>
      </c>
      <c r="M2255" s="4" t="str">
        <f>IF(((E2255)=TRUE),  C2255 &amp; "|" &amp; H2255,  "")</f>
        <v>principal-knowledge-authority|Errors</v>
      </c>
      <c r="N2255" s="3" t="s">
        <v>10004</v>
      </c>
    </row>
    <row r="2256">
      <c r="A2256" s="3" t="s">
        <v>12258</v>
      </c>
      <c r="B2256" s="4" t="str">
        <f>C2256 &amp; " -&gt; " &amp; D2256</f>
        <v>principal-knowledge-authority -&gt; Errors.ErrorCode</v>
      </c>
      <c r="C2256" s="3" t="s">
        <v>9774</v>
      </c>
      <c r="D2256" s="3" t="s">
        <v>3857</v>
      </c>
      <c r="E2256" s="3" t="b">
        <v>1</v>
      </c>
      <c r="F2256" s="3" t="b">
        <v>0</v>
      </c>
      <c r="G2256" s="3" t="s">
        <v>10003</v>
      </c>
      <c r="H2256" s="4" t="str">
        <f>_xlfn.IFNA(IF(((INDEX(RulebookFields!C2:C1898, MATCH(D2256,RulebookFields!A2:A1898, 0))="")=TRUE),  "",  INDEX(RulebookFields!C2:C1898, MATCH(D2256,RulebookFields!A2:A1898, 0))), "")</f>
        <v>Errors</v>
      </c>
      <c r="I2256" s="4" t="str">
        <f>_xlfn.IFNA(IF(((INDEX(RulebookFields!D2:D1898, MATCH(D2256,RulebookFields!A2:A1898, 0))="")=TRUE),  "",  INDEX(RulebookFields!D2:D1898, MATCH(D2256,RulebookFields!A2:A1898, 0))), "")</f>
        <v>ErrorCode</v>
      </c>
      <c r="J2256" s="4" t="b">
        <f>_xlfn.IFNA(IF(((INDEX(RulebookFields!I2:I1898, MATCH(D2256,RulebookFields!A2:A1898, 0))="")=TRUE),  "",  INDEX(RulebookFields!I2:I1898, MATCH(D2256,RulebookFields!A2:A1898, 0))), "")</f>
        <v>0</v>
      </c>
      <c r="K2256" s="4" t="b">
        <f>AND(((F2256)=TRUE), ((J2256)=TRUE))</f>
        <v>0</v>
      </c>
      <c r="L2256" s="4" t="b">
        <f>AND(((G2256 &lt;&gt; "plain")=TRUE), ((G2256 &lt;&gt; "")=TRUE))</f>
        <v>0</v>
      </c>
      <c r="M2256" s="4" t="str">
        <f>IF(((E2256)=TRUE),  C2256 &amp; "|" &amp; H2256,  "")</f>
        <v>principal-knowledge-authority|Errors</v>
      </c>
      <c r="N2256" s="3" t="s">
        <v>10004</v>
      </c>
    </row>
    <row r="2257">
      <c r="A2257" s="3" t="s">
        <v>12259</v>
      </c>
      <c r="B2257" s="4" t="str">
        <f>C2257 &amp; " -&gt; " &amp; D2257</f>
        <v>principal-knowledge-authority -&gt; Errors.ErrorCause</v>
      </c>
      <c r="C2257" s="3" t="s">
        <v>9774</v>
      </c>
      <c r="D2257" s="3" t="s">
        <v>3858</v>
      </c>
      <c r="E2257" s="3" t="b">
        <v>1</v>
      </c>
      <c r="F2257" s="3" t="b">
        <v>0</v>
      </c>
      <c r="G2257" s="3" t="s">
        <v>10003</v>
      </c>
      <c r="H2257" s="4" t="str">
        <f>_xlfn.IFNA(IF(((INDEX(RulebookFields!C2:C1898, MATCH(D2257,RulebookFields!A2:A1898, 0))="")=TRUE),  "",  INDEX(RulebookFields!C2:C1898, MATCH(D2257,RulebookFields!A2:A1898, 0))), "")</f>
        <v>Errors</v>
      </c>
      <c r="I2257" s="4" t="str">
        <f>_xlfn.IFNA(IF(((INDEX(RulebookFields!D2:D1898, MATCH(D2257,RulebookFields!A2:A1898, 0))="")=TRUE),  "",  INDEX(RulebookFields!D2:D1898, MATCH(D2257,RulebookFields!A2:A1898, 0))), "")</f>
        <v>ErrorCause</v>
      </c>
      <c r="J2257" s="4" t="b">
        <f>_xlfn.IFNA(IF(((INDEX(RulebookFields!I2:I1898, MATCH(D2257,RulebookFields!A2:A1898, 0))="")=TRUE),  "",  INDEX(RulebookFields!I2:I1898, MATCH(D2257,RulebookFields!A2:A1898, 0))), "")</f>
        <v>0</v>
      </c>
      <c r="K2257" s="4" t="b">
        <f>AND(((F2257)=TRUE), ((J2257)=TRUE))</f>
        <v>0</v>
      </c>
      <c r="L2257" s="4" t="b">
        <f>AND(((G2257 &lt;&gt; "plain")=TRUE), ((G2257 &lt;&gt; "")=TRUE))</f>
        <v>0</v>
      </c>
      <c r="M2257" s="4" t="str">
        <f>IF(((E2257)=TRUE),  C2257 &amp; "|" &amp; H2257,  "")</f>
        <v>principal-knowledge-authority|Errors</v>
      </c>
      <c r="N2257" s="3" t="s">
        <v>10004</v>
      </c>
    </row>
    <row r="2258">
      <c r="A2258" s="3" t="s">
        <v>12260</v>
      </c>
      <c r="B2258" s="4" t="str">
        <f>C2258 &amp; " -&gt; " &amp; D2258</f>
        <v>principal-knowledge-authority -&gt; Errors.SemanticTypeIri</v>
      </c>
      <c r="C2258" s="3" t="s">
        <v>9774</v>
      </c>
      <c r="D2258" s="3" t="s">
        <v>3859</v>
      </c>
      <c r="E2258" s="3" t="b">
        <v>1</v>
      </c>
      <c r="F2258" s="3" t="b">
        <v>0</v>
      </c>
      <c r="G2258" s="3" t="s">
        <v>10003</v>
      </c>
      <c r="H2258" s="4" t="str">
        <f>_xlfn.IFNA(IF(((INDEX(RulebookFields!C2:C1898, MATCH(D2258,RulebookFields!A2:A1898, 0))="")=TRUE),  "",  INDEX(RulebookFields!C2:C1898, MATCH(D2258,RulebookFields!A2:A1898, 0))), "")</f>
        <v>Errors</v>
      </c>
      <c r="I2258" s="4" t="str">
        <f>_xlfn.IFNA(IF(((INDEX(RulebookFields!D2:D1898, MATCH(D2258,RulebookFields!A2:A1898, 0))="")=TRUE),  "",  INDEX(RulebookFields!D2:D1898, MATCH(D2258,RulebookFields!A2:A1898, 0))), "")</f>
        <v>SemanticTypeIri</v>
      </c>
      <c r="J2258" s="4" t="b">
        <f>_xlfn.IFNA(IF(((INDEX(RulebookFields!I2:I1898, MATCH(D2258,RulebookFields!A2:A1898, 0))="")=TRUE),  "",  INDEX(RulebookFields!I2:I1898, MATCH(D2258,RulebookFields!A2:A1898, 0))), "")</f>
        <v>0</v>
      </c>
      <c r="K2258" s="4" t="b">
        <f>AND(((F2258)=TRUE), ((J2258)=TRUE))</f>
        <v>0</v>
      </c>
      <c r="L2258" s="4" t="b">
        <f>AND(((G2258 &lt;&gt; "plain")=TRUE), ((G2258 &lt;&gt; "")=TRUE))</f>
        <v>0</v>
      </c>
      <c r="M2258" s="4" t="str">
        <f>IF(((E2258)=TRUE),  C2258 &amp; "|" &amp; H2258,  "")</f>
        <v>principal-knowledge-authority|Errors</v>
      </c>
      <c r="N2258" s="3" t="s">
        <v>10004</v>
      </c>
    </row>
    <row r="2259">
      <c r="A2259" s="3" t="s">
        <v>12261</v>
      </c>
      <c r="B2259" s="4" t="str">
        <f>C2259 &amp; " -&gt; " &amp; D2259</f>
        <v>principal-knowledge-authority -&gt; EvaluationContexts.EvaluationContextId</v>
      </c>
      <c r="C2259" s="3" t="s">
        <v>9774</v>
      </c>
      <c r="D2259" s="3" t="s">
        <v>2443</v>
      </c>
      <c r="E2259" s="3" t="b">
        <v>1</v>
      </c>
      <c r="F2259" s="3" t="b">
        <v>0</v>
      </c>
      <c r="G2259" s="3" t="s">
        <v>10003</v>
      </c>
      <c r="H2259" s="4" t="str">
        <f>_xlfn.IFNA(IF(((INDEX(RulebookFields!C2:C1898, MATCH(D2259,RulebookFields!A2:A1898, 0))="")=TRUE),  "",  INDEX(RulebookFields!C2:C1898, MATCH(D2259,RulebookFields!A2:A1898, 0))), "")</f>
        <v>EvaluationContexts</v>
      </c>
      <c r="I2259" s="4" t="str">
        <f>_xlfn.IFNA(IF(((INDEX(RulebookFields!D2:D1898, MATCH(D2259,RulebookFields!A2:A1898, 0))="")=TRUE),  "",  INDEX(RulebookFields!D2:D1898, MATCH(D2259,RulebookFields!A2:A1898, 0))), "")</f>
        <v>EvaluationContextId</v>
      </c>
      <c r="J2259" s="4" t="b">
        <f>_xlfn.IFNA(IF(((INDEX(RulebookFields!I2:I1898, MATCH(D2259,RulebookFields!A2:A1898, 0))="")=TRUE),  "",  INDEX(RulebookFields!I2:I1898, MATCH(D2259,RulebookFields!A2:A1898, 0))), "")</f>
        <v>0</v>
      </c>
      <c r="K2259" s="4" t="b">
        <f>AND(((F2259)=TRUE), ((J2259)=TRUE))</f>
        <v>0</v>
      </c>
      <c r="L2259" s="4" t="b">
        <f>AND(((G2259 &lt;&gt; "plain")=TRUE), ((G2259 &lt;&gt; "")=TRUE))</f>
        <v>0</v>
      </c>
      <c r="M2259" s="4" t="str">
        <f>IF(((E2259)=TRUE),  C2259 &amp; "|" &amp; H2259,  "")</f>
        <v>principal-knowledge-authority|EvaluationContexts</v>
      </c>
      <c r="N2259" s="3" t="s">
        <v>10004</v>
      </c>
    </row>
    <row r="2260">
      <c r="A2260" s="3" t="s">
        <v>12262</v>
      </c>
      <c r="B2260" s="4" t="str">
        <f>C2260 &amp; " -&gt; " &amp; D2260</f>
        <v>principal-knowledge-authority -&gt; EvaluationContexts.Name</v>
      </c>
      <c r="C2260" s="3" t="s">
        <v>9774</v>
      </c>
      <c r="D2260" s="3" t="s">
        <v>2445</v>
      </c>
      <c r="E2260" s="3" t="b">
        <v>1</v>
      </c>
      <c r="F2260" s="3" t="b">
        <v>0</v>
      </c>
      <c r="G2260" s="3" t="s">
        <v>10003</v>
      </c>
      <c r="H2260" s="4" t="str">
        <f>_xlfn.IFNA(IF(((INDEX(RulebookFields!C2:C1898, MATCH(D2260,RulebookFields!A2:A1898, 0))="")=TRUE),  "",  INDEX(RulebookFields!C2:C1898, MATCH(D2260,RulebookFields!A2:A1898, 0))), "")</f>
        <v>EvaluationContexts</v>
      </c>
      <c r="I2260" s="4" t="str">
        <f>_xlfn.IFNA(IF(((INDEX(RulebookFields!D2:D1898, MATCH(D2260,RulebookFields!A2:A1898, 0))="")=TRUE),  "",  INDEX(RulebookFields!D2:D1898, MATCH(D2260,RulebookFields!A2:A1898, 0))), "")</f>
        <v>Name</v>
      </c>
      <c r="J2260" s="4" t="b">
        <f>_xlfn.IFNA(IF(((INDEX(RulebookFields!I2:I1898, MATCH(D2260,RulebookFields!A2:A1898, 0))="")=TRUE),  "",  INDEX(RulebookFields!I2:I1898, MATCH(D2260,RulebookFields!A2:A1898, 0))), "")</f>
        <v>1</v>
      </c>
      <c r="K2260" s="4" t="b">
        <f>AND(((F2260)=TRUE), ((J2260)=TRUE))</f>
        <v>0</v>
      </c>
      <c r="L2260" s="4" t="b">
        <f>AND(((G2260 &lt;&gt; "plain")=TRUE), ((G2260 &lt;&gt; "")=TRUE))</f>
        <v>0</v>
      </c>
      <c r="M2260" s="4" t="str">
        <f>IF(((E2260)=TRUE),  C2260 &amp; "|" &amp; H2260,  "")</f>
        <v>principal-knowledge-authority|EvaluationContexts</v>
      </c>
      <c r="N2260" s="3" t="s">
        <v>10004</v>
      </c>
    </row>
    <row r="2261">
      <c r="A2261" s="3" t="s">
        <v>12263</v>
      </c>
      <c r="B2261" s="4" t="str">
        <f>C2261 &amp; " -&gt; " &amp; D2261</f>
        <v>principal-knowledge-authority -&gt; EvaluationContexts.Label</v>
      </c>
      <c r="C2261" s="3" t="s">
        <v>9774</v>
      </c>
      <c r="D2261" s="3" t="s">
        <v>2447</v>
      </c>
      <c r="E2261" s="3" t="b">
        <v>1</v>
      </c>
      <c r="F2261" s="3" t="b">
        <v>0</v>
      </c>
      <c r="G2261" s="3" t="s">
        <v>10003</v>
      </c>
      <c r="H2261" s="4" t="str">
        <f>_xlfn.IFNA(IF(((INDEX(RulebookFields!C2:C1898, MATCH(D2261,RulebookFields!A2:A1898, 0))="")=TRUE),  "",  INDEX(RulebookFields!C2:C1898, MATCH(D2261,RulebookFields!A2:A1898, 0))), "")</f>
        <v>EvaluationContexts</v>
      </c>
      <c r="I2261" s="4" t="str">
        <f>_xlfn.IFNA(IF(((INDEX(RulebookFields!D2:D1898, MATCH(D2261,RulebookFields!A2:A1898, 0))="")=TRUE),  "",  INDEX(RulebookFields!D2:D1898, MATCH(D2261,RulebookFields!A2:A1898, 0))), "")</f>
        <v>Label</v>
      </c>
      <c r="J2261" s="4" t="b">
        <f>_xlfn.IFNA(IF(((INDEX(RulebookFields!I2:I1898, MATCH(D2261,RulebookFields!A2:A1898, 0))="")=TRUE),  "",  INDEX(RulebookFields!I2:I1898, MATCH(D2261,RulebookFields!A2:A1898, 0))), "")</f>
        <v>0</v>
      </c>
      <c r="K2261" s="4" t="b">
        <f>AND(((F2261)=TRUE), ((J2261)=TRUE))</f>
        <v>0</v>
      </c>
      <c r="L2261" s="4" t="b">
        <f>AND(((G2261 &lt;&gt; "plain")=TRUE), ((G2261 &lt;&gt; "")=TRUE))</f>
        <v>0</v>
      </c>
      <c r="M2261" s="4" t="str">
        <f>IF(((E2261)=TRUE),  C2261 &amp; "|" &amp; H2261,  "")</f>
        <v>principal-knowledge-authority|EvaluationContexts</v>
      </c>
      <c r="N2261" s="3" t="s">
        <v>10004</v>
      </c>
    </row>
    <row r="2262">
      <c r="A2262" s="3" t="s">
        <v>12264</v>
      </c>
      <c r="B2262" s="4" t="str">
        <f>C2262 &amp; " -&gt; " &amp; D2262</f>
        <v>principal-knowledge-authority -&gt; EvaluationContexts.AsOfInstant</v>
      </c>
      <c r="C2262" s="3" t="s">
        <v>9774</v>
      </c>
      <c r="D2262" s="3" t="s">
        <v>2448</v>
      </c>
      <c r="E2262" s="3" t="b">
        <v>1</v>
      </c>
      <c r="F2262" s="3" t="b">
        <v>0</v>
      </c>
      <c r="G2262" s="3" t="s">
        <v>10003</v>
      </c>
      <c r="H2262" s="4" t="str">
        <f>_xlfn.IFNA(IF(((INDEX(RulebookFields!C2:C1898, MATCH(D2262,RulebookFields!A2:A1898, 0))="")=TRUE),  "",  INDEX(RulebookFields!C2:C1898, MATCH(D2262,RulebookFields!A2:A1898, 0))), "")</f>
        <v>EvaluationContexts</v>
      </c>
      <c r="I2262" s="4" t="str">
        <f>_xlfn.IFNA(IF(((INDEX(RulebookFields!D2:D1898, MATCH(D2262,RulebookFields!A2:A1898, 0))="")=TRUE),  "",  INDEX(RulebookFields!D2:D1898, MATCH(D2262,RulebookFields!A2:A1898, 0))), "")</f>
        <v>AsOfInstant</v>
      </c>
      <c r="J2262" s="4" t="b">
        <f>_xlfn.IFNA(IF(((INDEX(RulebookFields!I2:I1898, MATCH(D2262,RulebookFields!A2:A1898, 0))="")=TRUE),  "",  INDEX(RulebookFields!I2:I1898, MATCH(D2262,RulebookFields!A2:A1898, 0))), "")</f>
        <v>0</v>
      </c>
      <c r="K2262" s="4" t="b">
        <f>AND(((F2262)=TRUE), ((J2262)=TRUE))</f>
        <v>0</v>
      </c>
      <c r="L2262" s="4" t="b">
        <f>AND(((G2262 &lt;&gt; "plain")=TRUE), ((G2262 &lt;&gt; "")=TRUE))</f>
        <v>0</v>
      </c>
      <c r="M2262" s="4" t="str">
        <f>IF(((E2262)=TRUE),  C2262 &amp; "|" &amp; H2262,  "")</f>
        <v>principal-knowledge-authority|EvaluationContexts</v>
      </c>
      <c r="N2262" s="3" t="s">
        <v>10004</v>
      </c>
    </row>
    <row r="2263">
      <c r="A2263" s="3" t="s">
        <v>12265</v>
      </c>
      <c r="B2263" s="4" t="str">
        <f>C2263 &amp; " -&gt; " &amp; D2263</f>
        <v>principal-knowledge-authority -&gt; EvaluationContexts.IsCurrent</v>
      </c>
      <c r="C2263" s="3" t="s">
        <v>9774</v>
      </c>
      <c r="D2263" s="3" t="s">
        <v>2449</v>
      </c>
      <c r="E2263" s="3" t="b">
        <v>1</v>
      </c>
      <c r="F2263" s="3" t="b">
        <v>0</v>
      </c>
      <c r="G2263" s="3" t="s">
        <v>10003</v>
      </c>
      <c r="H2263" s="4" t="str">
        <f>_xlfn.IFNA(IF(((INDEX(RulebookFields!C2:C1898, MATCH(D2263,RulebookFields!A2:A1898, 0))="")=TRUE),  "",  INDEX(RulebookFields!C2:C1898, MATCH(D2263,RulebookFields!A2:A1898, 0))), "")</f>
        <v>EvaluationContexts</v>
      </c>
      <c r="I2263" s="4" t="str">
        <f>_xlfn.IFNA(IF(((INDEX(RulebookFields!D2:D1898, MATCH(D2263,RulebookFields!A2:A1898, 0))="")=TRUE),  "",  INDEX(RulebookFields!D2:D1898, MATCH(D2263,RulebookFields!A2:A1898, 0))), "")</f>
        <v>IsCurrent</v>
      </c>
      <c r="J2263" s="4" t="b">
        <f>_xlfn.IFNA(IF(((INDEX(RulebookFields!I2:I1898, MATCH(D2263,RulebookFields!A2:A1898, 0))="")=TRUE),  "",  INDEX(RulebookFields!I2:I1898, MATCH(D2263,RulebookFields!A2:A1898, 0))), "")</f>
        <v>0</v>
      </c>
      <c r="K2263" s="4" t="b">
        <f>AND(((F2263)=TRUE), ((J2263)=TRUE))</f>
        <v>0</v>
      </c>
      <c r="L2263" s="4" t="b">
        <f>AND(((G2263 &lt;&gt; "plain")=TRUE), ((G2263 &lt;&gt; "")=TRUE))</f>
        <v>0</v>
      </c>
      <c r="M2263" s="4" t="str">
        <f>IF(((E2263)=TRUE),  C2263 &amp; "|" &amp; H2263,  "")</f>
        <v>principal-knowledge-authority|EvaluationContexts</v>
      </c>
      <c r="N2263" s="3" t="s">
        <v>10004</v>
      </c>
    </row>
    <row r="2264">
      <c r="A2264" s="3" t="s">
        <v>12266</v>
      </c>
      <c r="B2264" s="4" t="str">
        <f>C2264 &amp; " -&gt; " &amp; D2264</f>
        <v>principal-knowledge-authority -&gt; EvaluationContexts.Rationale</v>
      </c>
      <c r="C2264" s="3" t="s">
        <v>9774</v>
      </c>
      <c r="D2264" s="3" t="s">
        <v>2450</v>
      </c>
      <c r="E2264" s="3" t="b">
        <v>1</v>
      </c>
      <c r="F2264" s="3" t="b">
        <v>0</v>
      </c>
      <c r="G2264" s="3" t="s">
        <v>10003</v>
      </c>
      <c r="H2264" s="4" t="str">
        <f>_xlfn.IFNA(IF(((INDEX(RulebookFields!C2:C1898, MATCH(D2264,RulebookFields!A2:A1898, 0))="")=TRUE),  "",  INDEX(RulebookFields!C2:C1898, MATCH(D2264,RulebookFields!A2:A1898, 0))), "")</f>
        <v>EvaluationContexts</v>
      </c>
      <c r="I2264" s="4" t="str">
        <f>_xlfn.IFNA(IF(((INDEX(RulebookFields!D2:D1898, MATCH(D2264,RulebookFields!A2:A1898, 0))="")=TRUE),  "",  INDEX(RulebookFields!D2:D1898, MATCH(D2264,RulebookFields!A2:A1898, 0))), "")</f>
        <v>Rationale</v>
      </c>
      <c r="J2264" s="4" t="b">
        <f>_xlfn.IFNA(IF(((INDEX(RulebookFields!I2:I1898, MATCH(D2264,RulebookFields!A2:A1898, 0))="")=TRUE),  "",  INDEX(RulebookFields!I2:I1898, MATCH(D2264,RulebookFields!A2:A1898, 0))), "")</f>
        <v>0</v>
      </c>
      <c r="K2264" s="4" t="b">
        <f>AND(((F2264)=TRUE), ((J2264)=TRUE))</f>
        <v>0</v>
      </c>
      <c r="L2264" s="4" t="b">
        <f>AND(((G2264 &lt;&gt; "plain")=TRUE), ((G2264 &lt;&gt; "")=TRUE))</f>
        <v>0</v>
      </c>
      <c r="M2264" s="4" t="str">
        <f>IF(((E2264)=TRUE),  C2264 &amp; "|" &amp; H2264,  "")</f>
        <v>principal-knowledge-authority|EvaluationContexts</v>
      </c>
      <c r="N2264" s="3" t="s">
        <v>10004</v>
      </c>
    </row>
    <row r="2265">
      <c r="A2265" s="3" t="s">
        <v>12267</v>
      </c>
      <c r="B2265" s="4" t="str">
        <f>C2265 &amp; " -&gt; " &amp; D2265</f>
        <v>principal-knowledge-authority -&gt; EvaluationContexts.SemanticTypeIri</v>
      </c>
      <c r="C2265" s="3" t="s">
        <v>9774</v>
      </c>
      <c r="D2265" s="3" t="s">
        <v>2451</v>
      </c>
      <c r="E2265" s="3" t="b">
        <v>1</v>
      </c>
      <c r="F2265" s="3" t="b">
        <v>0</v>
      </c>
      <c r="G2265" s="3" t="s">
        <v>10003</v>
      </c>
      <c r="H2265" s="4" t="str">
        <f>_xlfn.IFNA(IF(((INDEX(RulebookFields!C2:C1898, MATCH(D2265,RulebookFields!A2:A1898, 0))="")=TRUE),  "",  INDEX(RulebookFields!C2:C1898, MATCH(D2265,RulebookFields!A2:A1898, 0))), "")</f>
        <v>EvaluationContexts</v>
      </c>
      <c r="I2265" s="4" t="str">
        <f>_xlfn.IFNA(IF(((INDEX(RulebookFields!D2:D1898, MATCH(D2265,RulebookFields!A2:A1898, 0))="")=TRUE),  "",  INDEX(RulebookFields!D2:D1898, MATCH(D2265,RulebookFields!A2:A1898, 0))), "")</f>
        <v>SemanticTypeIri</v>
      </c>
      <c r="J2265" s="4" t="b">
        <f>_xlfn.IFNA(IF(((INDEX(RulebookFields!I2:I1898, MATCH(D2265,RulebookFields!A2:A1898, 0))="")=TRUE),  "",  INDEX(RulebookFields!I2:I1898, MATCH(D2265,RulebookFields!A2:A1898, 0))), "")</f>
        <v>0</v>
      </c>
      <c r="K2265" s="4" t="b">
        <f>AND(((F2265)=TRUE), ((J2265)=TRUE))</f>
        <v>0</v>
      </c>
      <c r="L2265" s="4" t="b">
        <f>AND(((G2265 &lt;&gt; "plain")=TRUE), ((G2265 &lt;&gt; "")=TRUE))</f>
        <v>0</v>
      </c>
      <c r="M2265" s="4" t="str">
        <f>IF(((E2265)=TRUE),  C2265 &amp; "|" &amp; H2265,  "")</f>
        <v>principal-knowledge-authority|EvaluationContexts</v>
      </c>
      <c r="N2265" s="3" t="s">
        <v>10004</v>
      </c>
    </row>
    <row r="2266">
      <c r="A2266" s="3" t="s">
        <v>12268</v>
      </c>
      <c r="B2266" s="4" t="str">
        <f>C2266 &amp; " -&gt; " &amp; D2266</f>
        <v>principal-knowledge-authority -&gt; ExceptionInvocations.ExceptionInvocationId</v>
      </c>
      <c r="C2266" s="3" t="s">
        <v>9774</v>
      </c>
      <c r="D2266" s="3" t="s">
        <v>4286</v>
      </c>
      <c r="E2266" s="3" t="b">
        <v>1</v>
      </c>
      <c r="F2266" s="3" t="b">
        <v>0</v>
      </c>
      <c r="G2266" s="3" t="s">
        <v>10003</v>
      </c>
      <c r="H2266" s="4" t="str">
        <f>_xlfn.IFNA(IF(((INDEX(RulebookFields!C2:C1898, MATCH(D2266,RulebookFields!A2:A1898, 0))="")=TRUE),  "",  INDEX(RulebookFields!C2:C1898, MATCH(D2266,RulebookFields!A2:A1898, 0))), "")</f>
        <v>ExceptionInvocations</v>
      </c>
      <c r="I2266" s="4" t="str">
        <f>_xlfn.IFNA(IF(((INDEX(RulebookFields!D2:D1898, MATCH(D2266,RulebookFields!A2:A1898, 0))="")=TRUE),  "",  INDEX(RulebookFields!D2:D1898, MATCH(D2266,RulebookFields!A2:A1898, 0))), "")</f>
        <v>ExceptionInvocationId</v>
      </c>
      <c r="J2266" s="4" t="b">
        <f>_xlfn.IFNA(IF(((INDEX(RulebookFields!I2:I1898, MATCH(D2266,RulebookFields!A2:A1898, 0))="")=TRUE),  "",  INDEX(RulebookFields!I2:I1898, MATCH(D2266,RulebookFields!A2:A1898, 0))), "")</f>
        <v>0</v>
      </c>
      <c r="K2266" s="4" t="b">
        <f>AND(((F2266)=TRUE), ((J2266)=TRUE))</f>
        <v>0</v>
      </c>
      <c r="L2266" s="4" t="b">
        <f>AND(((G2266 &lt;&gt; "plain")=TRUE), ((G2266 &lt;&gt; "")=TRUE))</f>
        <v>0</v>
      </c>
      <c r="M2266" s="4" t="str">
        <f>IF(((E2266)=TRUE),  C2266 &amp; "|" &amp; H2266,  "")</f>
        <v>principal-knowledge-authority|ExceptionInvocations</v>
      </c>
      <c r="N2266" s="3" t="s">
        <v>10004</v>
      </c>
    </row>
    <row r="2267">
      <c r="A2267" s="3" t="s">
        <v>12269</v>
      </c>
      <c r="B2267" s="4" t="str">
        <f>C2267 &amp; " -&gt; " &amp; D2267</f>
        <v>principal-knowledge-authority -&gt; ExceptionInvocations.Name</v>
      </c>
      <c r="C2267" s="3" t="s">
        <v>9774</v>
      </c>
      <c r="D2267" s="3" t="s">
        <v>4289</v>
      </c>
      <c r="E2267" s="3" t="b">
        <v>1</v>
      </c>
      <c r="F2267" s="3" t="b">
        <v>0</v>
      </c>
      <c r="G2267" s="3" t="s">
        <v>10003</v>
      </c>
      <c r="H2267" s="4" t="str">
        <f>_xlfn.IFNA(IF(((INDEX(RulebookFields!C2:C1898, MATCH(D2267,RulebookFields!A2:A1898, 0))="")=TRUE),  "",  INDEX(RulebookFields!C2:C1898, MATCH(D2267,RulebookFields!A2:A1898, 0))), "")</f>
        <v>ExceptionInvocations</v>
      </c>
      <c r="I2267" s="4" t="str">
        <f>_xlfn.IFNA(IF(((INDEX(RulebookFields!D2:D1898, MATCH(D2267,RulebookFields!A2:A1898, 0))="")=TRUE),  "",  INDEX(RulebookFields!D2:D1898, MATCH(D2267,RulebookFields!A2:A1898, 0))), "")</f>
        <v>Name</v>
      </c>
      <c r="J2267" s="4" t="b">
        <f>_xlfn.IFNA(IF(((INDEX(RulebookFields!I2:I1898, MATCH(D2267,RulebookFields!A2:A1898, 0))="")=TRUE),  "",  INDEX(RulebookFields!I2:I1898, MATCH(D2267,RulebookFields!A2:A1898, 0))), "")</f>
        <v>1</v>
      </c>
      <c r="K2267" s="4" t="b">
        <f>AND(((F2267)=TRUE), ((J2267)=TRUE))</f>
        <v>0</v>
      </c>
      <c r="L2267" s="4" t="b">
        <f>AND(((G2267 &lt;&gt; "plain")=TRUE), ((G2267 &lt;&gt; "")=TRUE))</f>
        <v>0</v>
      </c>
      <c r="M2267" s="4" t="str">
        <f>IF(((E2267)=TRUE),  C2267 &amp; "|" &amp; H2267,  "")</f>
        <v>principal-knowledge-authority|ExceptionInvocations</v>
      </c>
      <c r="N2267" s="3" t="s">
        <v>10004</v>
      </c>
    </row>
    <row r="2268">
      <c r="A2268" s="3" t="s">
        <v>12270</v>
      </c>
      <c r="B2268" s="4" t="str">
        <f>C2268 &amp; " -&gt; " &amp; D2268</f>
        <v>principal-knowledge-authority -&gt; ExceptionInvocations.StepExecution</v>
      </c>
      <c r="C2268" s="3" t="s">
        <v>9774</v>
      </c>
      <c r="D2268" s="3" t="s">
        <v>4291</v>
      </c>
      <c r="E2268" s="3" t="b">
        <v>1</v>
      </c>
      <c r="F2268" s="3" t="b">
        <v>0</v>
      </c>
      <c r="G2268" s="3" t="s">
        <v>10003</v>
      </c>
      <c r="H2268" s="4" t="str">
        <f>_xlfn.IFNA(IF(((INDEX(RulebookFields!C2:C1898, MATCH(D2268,RulebookFields!A2:A1898, 0))="")=TRUE),  "",  INDEX(RulebookFields!C2:C1898, MATCH(D2268,RulebookFields!A2:A1898, 0))), "")</f>
        <v>ExceptionInvocations</v>
      </c>
      <c r="I2268" s="4" t="str">
        <f>_xlfn.IFNA(IF(((INDEX(RulebookFields!D2:D1898, MATCH(D2268,RulebookFields!A2:A1898, 0))="")=TRUE),  "",  INDEX(RulebookFields!D2:D1898, MATCH(D2268,RulebookFields!A2:A1898, 0))), "")</f>
        <v>StepExecution</v>
      </c>
      <c r="J2268" s="4" t="b">
        <f>_xlfn.IFNA(IF(((INDEX(RulebookFields!I2:I1898, MATCH(D2268,RulebookFields!A2:A1898, 0))="")=TRUE),  "",  INDEX(RulebookFields!I2:I1898, MATCH(D2268,RulebookFields!A2:A1898, 0))), "")</f>
        <v>0</v>
      </c>
      <c r="K2268" s="4" t="b">
        <f>AND(((F2268)=TRUE), ((J2268)=TRUE))</f>
        <v>0</v>
      </c>
      <c r="L2268" s="4" t="b">
        <f>AND(((G2268 &lt;&gt; "plain")=TRUE), ((G2268 &lt;&gt; "")=TRUE))</f>
        <v>0</v>
      </c>
      <c r="M2268" s="4" t="str">
        <f>IF(((E2268)=TRUE),  C2268 &amp; "|" &amp; H2268,  "")</f>
        <v>principal-knowledge-authority|ExceptionInvocations</v>
      </c>
      <c r="N2268" s="3" t="s">
        <v>10004</v>
      </c>
    </row>
    <row r="2269">
      <c r="A2269" s="3" t="s">
        <v>12271</v>
      </c>
      <c r="B2269" s="4" t="str">
        <f>C2269 &amp; " -&gt; " &amp; D2269</f>
        <v>principal-knowledge-authority -&gt; ExceptionInvocations.Exception</v>
      </c>
      <c r="C2269" s="3" t="s">
        <v>9774</v>
      </c>
      <c r="D2269" s="3" t="s">
        <v>4292</v>
      </c>
      <c r="E2269" s="3" t="b">
        <v>1</v>
      </c>
      <c r="F2269" s="3" t="b">
        <v>0</v>
      </c>
      <c r="G2269" s="3" t="s">
        <v>10003</v>
      </c>
      <c r="H2269" s="4" t="str">
        <f>_xlfn.IFNA(IF(((INDEX(RulebookFields!C2:C1898, MATCH(D2269,RulebookFields!A2:A1898, 0))="")=TRUE),  "",  INDEX(RulebookFields!C2:C1898, MATCH(D2269,RulebookFields!A2:A1898, 0))), "")</f>
        <v>ExceptionInvocations</v>
      </c>
      <c r="I2269" s="4" t="str">
        <f>_xlfn.IFNA(IF(((INDEX(RulebookFields!D2:D1898, MATCH(D2269,RulebookFields!A2:A1898, 0))="")=TRUE),  "",  INDEX(RulebookFields!D2:D1898, MATCH(D2269,RulebookFields!A2:A1898, 0))), "")</f>
        <v>Exception</v>
      </c>
      <c r="J2269" s="4" t="b">
        <f>_xlfn.IFNA(IF(((INDEX(RulebookFields!I2:I1898, MATCH(D2269,RulebookFields!A2:A1898, 0))="")=TRUE),  "",  INDEX(RulebookFields!I2:I1898, MATCH(D2269,RulebookFields!A2:A1898, 0))), "")</f>
        <v>0</v>
      </c>
      <c r="K2269" s="4" t="b">
        <f>AND(((F2269)=TRUE), ((J2269)=TRUE))</f>
        <v>0</v>
      </c>
      <c r="L2269" s="4" t="b">
        <f>AND(((G2269 &lt;&gt; "plain")=TRUE), ((G2269 &lt;&gt; "")=TRUE))</f>
        <v>0</v>
      </c>
      <c r="M2269" s="4" t="str">
        <f>IF(((E2269)=TRUE),  C2269 &amp; "|" &amp; H2269,  "")</f>
        <v>principal-knowledge-authority|ExceptionInvocations</v>
      </c>
      <c r="N2269" s="3" t="s">
        <v>10004</v>
      </c>
    </row>
    <row r="2270">
      <c r="A2270" s="3" t="s">
        <v>12272</v>
      </c>
      <c r="B2270" s="4" t="str">
        <f>C2270 &amp; " -&gt; " &amp; D2270</f>
        <v>principal-knowledge-authority -&gt; ExceptionInvocations.InvokedByAgent</v>
      </c>
      <c r="C2270" s="3" t="s">
        <v>9774</v>
      </c>
      <c r="D2270" s="3" t="s">
        <v>4294</v>
      </c>
      <c r="E2270" s="3" t="b">
        <v>1</v>
      </c>
      <c r="F2270" s="3" t="b">
        <v>0</v>
      </c>
      <c r="G2270" s="3" t="s">
        <v>10003</v>
      </c>
      <c r="H2270" s="4" t="str">
        <f>_xlfn.IFNA(IF(((INDEX(RulebookFields!C2:C1898, MATCH(D2270,RulebookFields!A2:A1898, 0))="")=TRUE),  "",  INDEX(RulebookFields!C2:C1898, MATCH(D2270,RulebookFields!A2:A1898, 0))), "")</f>
        <v>ExceptionInvocations</v>
      </c>
      <c r="I2270" s="4" t="str">
        <f>_xlfn.IFNA(IF(((INDEX(RulebookFields!D2:D1898, MATCH(D2270,RulebookFields!A2:A1898, 0))="")=TRUE),  "",  INDEX(RulebookFields!D2:D1898, MATCH(D2270,RulebookFields!A2:A1898, 0))), "")</f>
        <v>InvokedByAgent</v>
      </c>
      <c r="J2270" s="4" t="b">
        <f>_xlfn.IFNA(IF(((INDEX(RulebookFields!I2:I1898, MATCH(D2270,RulebookFields!A2:A1898, 0))="")=TRUE),  "",  INDEX(RulebookFields!I2:I1898, MATCH(D2270,RulebookFields!A2:A1898, 0))), "")</f>
        <v>0</v>
      </c>
      <c r="K2270" s="4" t="b">
        <f>AND(((F2270)=TRUE), ((J2270)=TRUE))</f>
        <v>0</v>
      </c>
      <c r="L2270" s="4" t="b">
        <f>AND(((G2270 &lt;&gt; "plain")=TRUE), ((G2270 &lt;&gt; "")=TRUE))</f>
        <v>0</v>
      </c>
      <c r="M2270" s="4" t="str">
        <f>IF(((E2270)=TRUE),  C2270 &amp; "|" &amp; H2270,  "")</f>
        <v>principal-knowledge-authority|ExceptionInvocations</v>
      </c>
      <c r="N2270" s="3" t="s">
        <v>10004</v>
      </c>
    </row>
    <row r="2271">
      <c r="A2271" s="3" t="s">
        <v>12273</v>
      </c>
      <c r="B2271" s="4" t="str">
        <f>C2271 &amp; " -&gt; " &amp; D2271</f>
        <v>principal-knowledge-authority -&gt; ExceptionInvocations.ApprovedByAgent</v>
      </c>
      <c r="C2271" s="3" t="s">
        <v>9774</v>
      </c>
      <c r="D2271" s="3" t="s">
        <v>4296</v>
      </c>
      <c r="E2271" s="3" t="b">
        <v>1</v>
      </c>
      <c r="F2271" s="3" t="b">
        <v>0</v>
      </c>
      <c r="G2271" s="3" t="s">
        <v>10003</v>
      </c>
      <c r="H2271" s="4" t="str">
        <f>_xlfn.IFNA(IF(((INDEX(RulebookFields!C2:C1898, MATCH(D2271,RulebookFields!A2:A1898, 0))="")=TRUE),  "",  INDEX(RulebookFields!C2:C1898, MATCH(D2271,RulebookFields!A2:A1898, 0))), "")</f>
        <v>ExceptionInvocations</v>
      </c>
      <c r="I2271" s="4" t="str">
        <f>_xlfn.IFNA(IF(((INDEX(RulebookFields!D2:D1898, MATCH(D2271,RulebookFields!A2:A1898, 0))="")=TRUE),  "",  INDEX(RulebookFields!D2:D1898, MATCH(D2271,RulebookFields!A2:A1898, 0))), "")</f>
        <v>ApprovedByAgent</v>
      </c>
      <c r="J2271" s="4" t="b">
        <f>_xlfn.IFNA(IF(((INDEX(RulebookFields!I2:I1898, MATCH(D2271,RulebookFields!A2:A1898, 0))="")=TRUE),  "",  INDEX(RulebookFields!I2:I1898, MATCH(D2271,RulebookFields!A2:A1898, 0))), "")</f>
        <v>0</v>
      </c>
      <c r="K2271" s="4" t="b">
        <f>AND(((F2271)=TRUE), ((J2271)=TRUE))</f>
        <v>0</v>
      </c>
      <c r="L2271" s="4" t="b">
        <f>AND(((G2271 &lt;&gt; "plain")=TRUE), ((G2271 &lt;&gt; "")=TRUE))</f>
        <v>0</v>
      </c>
      <c r="M2271" s="4" t="str">
        <f>IF(((E2271)=TRUE),  C2271 &amp; "|" &amp; H2271,  "")</f>
        <v>principal-knowledge-authority|ExceptionInvocations</v>
      </c>
      <c r="N2271" s="3" t="s">
        <v>10004</v>
      </c>
    </row>
    <row r="2272">
      <c r="A2272" s="3" t="s">
        <v>12274</v>
      </c>
      <c r="B2272" s="4" t="str">
        <f>C2272 &amp; " -&gt; " &amp; D2272</f>
        <v>principal-knowledge-authority -&gt; ExceptionInvocations.InvokedAt</v>
      </c>
      <c r="C2272" s="3" t="s">
        <v>9774</v>
      </c>
      <c r="D2272" s="3" t="s">
        <v>4298</v>
      </c>
      <c r="E2272" s="3" t="b">
        <v>1</v>
      </c>
      <c r="F2272" s="3" t="b">
        <v>0</v>
      </c>
      <c r="G2272" s="3" t="s">
        <v>10003</v>
      </c>
      <c r="H2272" s="4" t="str">
        <f>_xlfn.IFNA(IF(((INDEX(RulebookFields!C2:C1898, MATCH(D2272,RulebookFields!A2:A1898, 0))="")=TRUE),  "",  INDEX(RulebookFields!C2:C1898, MATCH(D2272,RulebookFields!A2:A1898, 0))), "")</f>
        <v>ExceptionInvocations</v>
      </c>
      <c r="I2272" s="4" t="str">
        <f>_xlfn.IFNA(IF(((INDEX(RulebookFields!D2:D1898, MATCH(D2272,RulebookFields!A2:A1898, 0))="")=TRUE),  "",  INDEX(RulebookFields!D2:D1898, MATCH(D2272,RulebookFields!A2:A1898, 0))), "")</f>
        <v>InvokedAt</v>
      </c>
      <c r="J2272" s="4" t="b">
        <f>_xlfn.IFNA(IF(((INDEX(RulebookFields!I2:I1898, MATCH(D2272,RulebookFields!A2:A1898, 0))="")=TRUE),  "",  INDEX(RulebookFields!I2:I1898, MATCH(D2272,RulebookFields!A2:A1898, 0))), "")</f>
        <v>0</v>
      </c>
      <c r="K2272" s="4" t="b">
        <f>AND(((F2272)=TRUE), ((J2272)=TRUE))</f>
        <v>0</v>
      </c>
      <c r="L2272" s="4" t="b">
        <f>AND(((G2272 &lt;&gt; "plain")=TRUE), ((G2272 &lt;&gt; "")=TRUE))</f>
        <v>0</v>
      </c>
      <c r="M2272" s="4" t="str">
        <f>IF(((E2272)=TRUE),  C2272 &amp; "|" &amp; H2272,  "")</f>
        <v>principal-knowledge-authority|ExceptionInvocations</v>
      </c>
      <c r="N2272" s="3" t="s">
        <v>10004</v>
      </c>
    </row>
    <row r="2273">
      <c r="A2273" s="3" t="s">
        <v>12275</v>
      </c>
      <c r="B2273" s="4" t="str">
        <f>C2273 &amp; " -&gt; " &amp; D2273</f>
        <v>principal-knowledge-authority -&gt; ExceptionInvocations.HandlingApplied</v>
      </c>
      <c r="C2273" s="3" t="s">
        <v>9774</v>
      </c>
      <c r="D2273" s="3" t="s">
        <v>4300</v>
      </c>
      <c r="E2273" s="3" t="b">
        <v>1</v>
      </c>
      <c r="F2273" s="3" t="b">
        <v>0</v>
      </c>
      <c r="G2273" s="3" t="s">
        <v>10003</v>
      </c>
      <c r="H2273" s="4" t="str">
        <f>_xlfn.IFNA(IF(((INDEX(RulebookFields!C2:C1898, MATCH(D2273,RulebookFields!A2:A1898, 0))="")=TRUE),  "",  INDEX(RulebookFields!C2:C1898, MATCH(D2273,RulebookFields!A2:A1898, 0))), "")</f>
        <v>ExceptionInvocations</v>
      </c>
      <c r="I2273" s="4" t="str">
        <f>_xlfn.IFNA(IF(((INDEX(RulebookFields!D2:D1898, MATCH(D2273,RulebookFields!A2:A1898, 0))="")=TRUE),  "",  INDEX(RulebookFields!D2:D1898, MATCH(D2273,RulebookFields!A2:A1898, 0))), "")</f>
        <v>HandlingApplied</v>
      </c>
      <c r="J2273" s="4" t="b">
        <f>_xlfn.IFNA(IF(((INDEX(RulebookFields!I2:I1898, MATCH(D2273,RulebookFields!A2:A1898, 0))="")=TRUE),  "",  INDEX(RulebookFields!I2:I1898, MATCH(D2273,RulebookFields!A2:A1898, 0))), "")</f>
        <v>0</v>
      </c>
      <c r="K2273" s="4" t="b">
        <f>AND(((F2273)=TRUE), ((J2273)=TRUE))</f>
        <v>0</v>
      </c>
      <c r="L2273" s="4" t="b">
        <f>AND(((G2273 &lt;&gt; "plain")=TRUE), ((G2273 &lt;&gt; "")=TRUE))</f>
        <v>0</v>
      </c>
      <c r="M2273" s="4" t="str">
        <f>IF(((E2273)=TRUE),  C2273 &amp; "|" &amp; H2273,  "")</f>
        <v>principal-knowledge-authority|ExceptionInvocations</v>
      </c>
      <c r="N2273" s="3" t="s">
        <v>10004</v>
      </c>
    </row>
    <row r="2274">
      <c r="A2274" s="3" t="s">
        <v>12276</v>
      </c>
      <c r="B2274" s="4" t="str">
        <f>C2274 &amp; " -&gt; " &amp; D2274</f>
        <v>principal-knowledge-authority -&gt; ExceptionInvocations.ExpectedHandling</v>
      </c>
      <c r="C2274" s="3" t="s">
        <v>9774</v>
      </c>
      <c r="D2274" s="3" t="s">
        <v>4302</v>
      </c>
      <c r="E2274" s="3" t="b">
        <v>1</v>
      </c>
      <c r="F2274" s="3" t="b">
        <v>0</v>
      </c>
      <c r="G2274" s="3" t="s">
        <v>10003</v>
      </c>
      <c r="H2274" s="4" t="str">
        <f>_xlfn.IFNA(IF(((INDEX(RulebookFields!C2:C1898, MATCH(D2274,RulebookFields!A2:A1898, 0))="")=TRUE),  "",  INDEX(RulebookFields!C2:C1898, MATCH(D2274,RulebookFields!A2:A1898, 0))), "")</f>
        <v>ExceptionInvocations</v>
      </c>
      <c r="I2274" s="4" t="str">
        <f>_xlfn.IFNA(IF(((INDEX(RulebookFields!D2:D1898, MATCH(D2274,RulebookFields!A2:A1898, 0))="")=TRUE),  "",  INDEX(RulebookFields!D2:D1898, MATCH(D2274,RulebookFields!A2:A1898, 0))), "")</f>
        <v>ExpectedHandling</v>
      </c>
      <c r="J2274" s="4" t="b">
        <f>_xlfn.IFNA(IF(((INDEX(RulebookFields!I2:I1898, MATCH(D2274,RulebookFields!A2:A1898, 0))="")=TRUE),  "",  INDEX(RulebookFields!I2:I1898, MATCH(D2274,RulebookFields!A2:A1898, 0))), "")</f>
        <v>1</v>
      </c>
      <c r="K2274" s="4" t="b">
        <f>AND(((F2274)=TRUE), ((J2274)=TRUE))</f>
        <v>0</v>
      </c>
      <c r="L2274" s="4" t="b">
        <f>AND(((G2274 &lt;&gt; "plain")=TRUE), ((G2274 &lt;&gt; "")=TRUE))</f>
        <v>0</v>
      </c>
      <c r="M2274" s="4" t="str">
        <f>IF(((E2274)=TRUE),  C2274 &amp; "|" &amp; H2274,  "")</f>
        <v>principal-knowledge-authority|ExceptionInvocations</v>
      </c>
      <c r="N2274" s="3" t="s">
        <v>10004</v>
      </c>
    </row>
    <row r="2275">
      <c r="A2275" s="3" t="s">
        <v>12277</v>
      </c>
      <c r="B2275" s="4" t="str">
        <f>C2275 &amp; " -&gt; " &amp; D2275</f>
        <v>principal-knowledge-authority -&gt; ExceptionInvocations.RequiredApprovalRole</v>
      </c>
      <c r="C2275" s="3" t="s">
        <v>9774</v>
      </c>
      <c r="D2275" s="3" t="s">
        <v>4305</v>
      </c>
      <c r="E2275" s="3" t="b">
        <v>1</v>
      </c>
      <c r="F2275" s="3" t="b">
        <v>0</v>
      </c>
      <c r="G2275" s="3" t="s">
        <v>10003</v>
      </c>
      <c r="H2275" s="4" t="str">
        <f>_xlfn.IFNA(IF(((INDEX(RulebookFields!C2:C1898, MATCH(D2275,RulebookFields!A2:A1898, 0))="")=TRUE),  "",  INDEX(RulebookFields!C2:C1898, MATCH(D2275,RulebookFields!A2:A1898, 0))), "")</f>
        <v>ExceptionInvocations</v>
      </c>
      <c r="I2275" s="4" t="str">
        <f>_xlfn.IFNA(IF(((INDEX(RulebookFields!D2:D1898, MATCH(D2275,RulebookFields!A2:A1898, 0))="")=TRUE),  "",  INDEX(RulebookFields!D2:D1898, MATCH(D2275,RulebookFields!A2:A1898, 0))), "")</f>
        <v>RequiredApprovalRole</v>
      </c>
      <c r="J2275" s="4" t="b">
        <f>_xlfn.IFNA(IF(((INDEX(RulebookFields!I2:I1898, MATCH(D2275,RulebookFields!A2:A1898, 0))="")=TRUE),  "",  INDEX(RulebookFields!I2:I1898, MATCH(D2275,RulebookFields!A2:A1898, 0))), "")</f>
        <v>1</v>
      </c>
      <c r="K2275" s="4" t="b">
        <f>AND(((F2275)=TRUE), ((J2275)=TRUE))</f>
        <v>0</v>
      </c>
      <c r="L2275" s="4" t="b">
        <f>AND(((G2275 &lt;&gt; "plain")=TRUE), ((G2275 &lt;&gt; "")=TRUE))</f>
        <v>0</v>
      </c>
      <c r="M2275" s="4" t="str">
        <f>IF(((E2275)=TRUE),  C2275 &amp; "|" &amp; H2275,  "")</f>
        <v>principal-knowledge-authority|ExceptionInvocations</v>
      </c>
      <c r="N2275" s="3" t="s">
        <v>10004</v>
      </c>
    </row>
    <row r="2276">
      <c r="A2276" s="3" t="s">
        <v>12278</v>
      </c>
      <c r="B2276" s="4" t="str">
        <f>C2276 &amp; " -&gt; " &amp; D2276</f>
        <v>principal-knowledge-authority -&gt; ExceptionInvocations.RequiredApprovalRoleHolder</v>
      </c>
      <c r="C2276" s="3" t="s">
        <v>9774</v>
      </c>
      <c r="D2276" s="3" t="s">
        <v>4308</v>
      </c>
      <c r="E2276" s="3" t="b">
        <v>1</v>
      </c>
      <c r="F2276" s="3" t="b">
        <v>0</v>
      </c>
      <c r="G2276" s="3" t="s">
        <v>10003</v>
      </c>
      <c r="H2276" s="4" t="str">
        <f>_xlfn.IFNA(IF(((INDEX(RulebookFields!C2:C1898, MATCH(D2276,RulebookFields!A2:A1898, 0))="")=TRUE),  "",  INDEX(RulebookFields!C2:C1898, MATCH(D2276,RulebookFields!A2:A1898, 0))), "")</f>
        <v>ExceptionInvocations</v>
      </c>
      <c r="I2276" s="4" t="str">
        <f>_xlfn.IFNA(IF(((INDEX(RulebookFields!D2:D1898, MATCH(D2276,RulebookFields!A2:A1898, 0))="")=TRUE),  "",  INDEX(RulebookFields!D2:D1898, MATCH(D2276,RulebookFields!A2:A1898, 0))), "")</f>
        <v>RequiredApprovalRoleHolder</v>
      </c>
      <c r="J2276" s="4" t="b">
        <f>_xlfn.IFNA(IF(((INDEX(RulebookFields!I2:I1898, MATCH(D2276,RulebookFields!A2:A1898, 0))="")=TRUE),  "",  INDEX(RulebookFields!I2:I1898, MATCH(D2276,RulebookFields!A2:A1898, 0))), "")</f>
        <v>1</v>
      </c>
      <c r="K2276" s="4" t="b">
        <f>AND(((F2276)=TRUE), ((J2276)=TRUE))</f>
        <v>0</v>
      </c>
      <c r="L2276" s="4" t="b">
        <f>AND(((G2276 &lt;&gt; "plain")=TRUE), ((G2276 &lt;&gt; "")=TRUE))</f>
        <v>0</v>
      </c>
      <c r="M2276" s="4" t="str">
        <f>IF(((E2276)=TRUE),  C2276 &amp; "|" &amp; H2276,  "")</f>
        <v>principal-knowledge-authority|ExceptionInvocations</v>
      </c>
      <c r="N2276" s="3" t="s">
        <v>10004</v>
      </c>
    </row>
    <row r="2277">
      <c r="A2277" s="3" t="s">
        <v>12279</v>
      </c>
      <c r="B2277" s="4" t="str">
        <f>C2277 &amp; " -&gt; " &amp; D2277</f>
        <v>principal-knowledge-authority -&gt; ExceptionInvocations.ApprovalRoleMatches</v>
      </c>
      <c r="C2277" s="3" t="s">
        <v>9774</v>
      </c>
      <c r="D2277" s="3" t="s">
        <v>4311</v>
      </c>
      <c r="E2277" s="3" t="b">
        <v>1</v>
      </c>
      <c r="F2277" s="3" t="b">
        <v>0</v>
      </c>
      <c r="G2277" s="3" t="s">
        <v>10003</v>
      </c>
      <c r="H2277" s="4" t="str">
        <f>_xlfn.IFNA(IF(((INDEX(RulebookFields!C2:C1898, MATCH(D2277,RulebookFields!A2:A1898, 0))="")=TRUE),  "",  INDEX(RulebookFields!C2:C1898, MATCH(D2277,RulebookFields!A2:A1898, 0))), "")</f>
        <v>ExceptionInvocations</v>
      </c>
      <c r="I2277" s="4" t="str">
        <f>_xlfn.IFNA(IF(((INDEX(RulebookFields!D2:D1898, MATCH(D2277,RulebookFields!A2:A1898, 0))="")=TRUE),  "",  INDEX(RulebookFields!D2:D1898, MATCH(D2277,RulebookFields!A2:A1898, 0))), "")</f>
        <v>ApprovalRoleMatches</v>
      </c>
      <c r="J2277" s="4" t="b">
        <f>_xlfn.IFNA(IF(((INDEX(RulebookFields!I2:I1898, MATCH(D2277,RulebookFields!A2:A1898, 0))="")=TRUE),  "",  INDEX(RulebookFields!I2:I1898, MATCH(D2277,RulebookFields!A2:A1898, 0))), "")</f>
        <v>1</v>
      </c>
      <c r="K2277" s="4" t="b">
        <f>AND(((F2277)=TRUE), ((J2277)=TRUE))</f>
        <v>0</v>
      </c>
      <c r="L2277" s="4" t="b">
        <f>AND(((G2277 &lt;&gt; "plain")=TRUE), ((G2277 &lt;&gt; "")=TRUE))</f>
        <v>0</v>
      </c>
      <c r="M2277" s="4" t="str">
        <f>IF(((E2277)=TRUE),  C2277 &amp; "|" &amp; H2277,  "")</f>
        <v>principal-knowledge-authority|ExceptionInvocations</v>
      </c>
      <c r="N2277" s="3" t="s">
        <v>10004</v>
      </c>
    </row>
    <row r="2278">
      <c r="A2278" s="3" t="s">
        <v>12280</v>
      </c>
      <c r="B2278" s="4" t="str">
        <f>C2278 &amp; " -&gt; " &amp; D2278</f>
        <v>principal-knowledge-authority -&gt; ExceptionInvocations.IsApproved</v>
      </c>
      <c r="C2278" s="3" t="s">
        <v>9774</v>
      </c>
      <c r="D2278" s="3" t="s">
        <v>4314</v>
      </c>
      <c r="E2278" s="3" t="b">
        <v>1</v>
      </c>
      <c r="F2278" s="3" t="b">
        <v>0</v>
      </c>
      <c r="G2278" s="3" t="s">
        <v>10003</v>
      </c>
      <c r="H2278" s="4" t="str">
        <f>_xlfn.IFNA(IF(((INDEX(RulebookFields!C2:C1898, MATCH(D2278,RulebookFields!A2:A1898, 0))="")=TRUE),  "",  INDEX(RulebookFields!C2:C1898, MATCH(D2278,RulebookFields!A2:A1898, 0))), "")</f>
        <v>ExceptionInvocations</v>
      </c>
      <c r="I2278" s="4" t="str">
        <f>_xlfn.IFNA(IF(((INDEX(RulebookFields!D2:D1898, MATCH(D2278,RulebookFields!A2:A1898, 0))="")=TRUE),  "",  INDEX(RulebookFields!D2:D1898, MATCH(D2278,RulebookFields!A2:A1898, 0))), "")</f>
        <v>IsApproved</v>
      </c>
      <c r="J2278" s="4" t="b">
        <f>_xlfn.IFNA(IF(((INDEX(RulebookFields!I2:I1898, MATCH(D2278,RulebookFields!A2:A1898, 0))="")=TRUE),  "",  INDEX(RulebookFields!I2:I1898, MATCH(D2278,RulebookFields!A2:A1898, 0))), "")</f>
        <v>1</v>
      </c>
      <c r="K2278" s="4" t="b">
        <f>AND(((F2278)=TRUE), ((J2278)=TRUE))</f>
        <v>0</v>
      </c>
      <c r="L2278" s="4" t="b">
        <f>AND(((G2278 &lt;&gt; "plain")=TRUE), ((G2278 &lt;&gt; "")=TRUE))</f>
        <v>0</v>
      </c>
      <c r="M2278" s="4" t="str">
        <f>IF(((E2278)=TRUE),  C2278 &amp; "|" &amp; H2278,  "")</f>
        <v>principal-knowledge-authority|ExceptionInvocations</v>
      </c>
      <c r="N2278" s="3" t="s">
        <v>10004</v>
      </c>
    </row>
    <row r="2279">
      <c r="A2279" s="3" t="s">
        <v>12281</v>
      </c>
      <c r="B2279" s="4" t="str">
        <f>C2279 &amp; " -&gt; " &amp; D2279</f>
        <v>principal-knowledge-authority -&gt; ExceptionInvocations.IsImproperlyApproved</v>
      </c>
      <c r="C2279" s="3" t="s">
        <v>9774</v>
      </c>
      <c r="D2279" s="3" t="s">
        <v>4316</v>
      </c>
      <c r="E2279" s="3" t="b">
        <v>1</v>
      </c>
      <c r="F2279" s="3" t="b">
        <v>0</v>
      </c>
      <c r="G2279" s="3" t="s">
        <v>10003</v>
      </c>
      <c r="H2279" s="4" t="str">
        <f>_xlfn.IFNA(IF(((INDEX(RulebookFields!C2:C1898, MATCH(D2279,RulebookFields!A2:A1898, 0))="")=TRUE),  "",  INDEX(RulebookFields!C2:C1898, MATCH(D2279,RulebookFields!A2:A1898, 0))), "")</f>
        <v>ExceptionInvocations</v>
      </c>
      <c r="I2279" s="4" t="str">
        <f>_xlfn.IFNA(IF(((INDEX(RulebookFields!D2:D1898, MATCH(D2279,RulebookFields!A2:A1898, 0))="")=TRUE),  "",  INDEX(RulebookFields!D2:D1898, MATCH(D2279,RulebookFields!A2:A1898, 0))), "")</f>
        <v>IsImproperlyApproved</v>
      </c>
      <c r="J2279" s="4" t="b">
        <f>_xlfn.IFNA(IF(((INDEX(RulebookFields!I2:I1898, MATCH(D2279,RulebookFields!A2:A1898, 0))="")=TRUE),  "",  INDEX(RulebookFields!I2:I1898, MATCH(D2279,RulebookFields!A2:A1898, 0))), "")</f>
        <v>1</v>
      </c>
      <c r="K2279" s="4" t="b">
        <f>AND(((F2279)=TRUE), ((J2279)=TRUE))</f>
        <v>0</v>
      </c>
      <c r="L2279" s="4" t="b">
        <f>AND(((G2279 &lt;&gt; "plain")=TRUE), ((G2279 &lt;&gt; "")=TRUE))</f>
        <v>0</v>
      </c>
      <c r="M2279" s="4" t="str">
        <f>IF(((E2279)=TRUE),  C2279 &amp; "|" &amp; H2279,  "")</f>
        <v>principal-knowledge-authority|ExceptionInvocations</v>
      </c>
      <c r="N2279" s="3" t="s">
        <v>10004</v>
      </c>
    </row>
    <row r="2280">
      <c r="A2280" s="3" t="s">
        <v>12282</v>
      </c>
      <c r="B2280" s="4" t="str">
        <f>C2280 &amp; " -&gt; " &amp; D2280</f>
        <v>principal-knowledge-authority -&gt; ExceptionInvocations.InvokerAgentKind</v>
      </c>
      <c r="C2280" s="3" t="s">
        <v>9774</v>
      </c>
      <c r="D2280" s="3" t="s">
        <v>4319</v>
      </c>
      <c r="E2280" s="3" t="b">
        <v>1</v>
      </c>
      <c r="F2280" s="3" t="b">
        <v>0</v>
      </c>
      <c r="G2280" s="3" t="s">
        <v>10003</v>
      </c>
      <c r="H2280" s="4" t="str">
        <f>_xlfn.IFNA(IF(((INDEX(RulebookFields!C2:C1898, MATCH(D2280,RulebookFields!A2:A1898, 0))="")=TRUE),  "",  INDEX(RulebookFields!C2:C1898, MATCH(D2280,RulebookFields!A2:A1898, 0))), "")</f>
        <v>ExceptionInvocations</v>
      </c>
      <c r="I2280" s="4" t="str">
        <f>_xlfn.IFNA(IF(((INDEX(RulebookFields!D2:D1898, MATCH(D2280,RulebookFields!A2:A1898, 0))="")=TRUE),  "",  INDEX(RulebookFields!D2:D1898, MATCH(D2280,RulebookFields!A2:A1898, 0))), "")</f>
        <v>InvokerAgentKind</v>
      </c>
      <c r="J2280" s="4" t="b">
        <f>_xlfn.IFNA(IF(((INDEX(RulebookFields!I2:I1898, MATCH(D2280,RulebookFields!A2:A1898, 0))="")=TRUE),  "",  INDEX(RulebookFields!I2:I1898, MATCH(D2280,RulebookFields!A2:A1898, 0))), "")</f>
        <v>1</v>
      </c>
      <c r="K2280" s="4" t="b">
        <f>AND(((F2280)=TRUE), ((J2280)=TRUE))</f>
        <v>0</v>
      </c>
      <c r="L2280" s="4" t="b">
        <f>AND(((G2280 &lt;&gt; "plain")=TRUE), ((G2280 &lt;&gt; "")=TRUE))</f>
        <v>0</v>
      </c>
      <c r="M2280" s="4" t="str">
        <f>IF(((E2280)=TRUE),  C2280 &amp; "|" &amp; H2280,  "")</f>
        <v>principal-knowledge-authority|ExceptionInvocations</v>
      </c>
      <c r="N2280" s="3" t="s">
        <v>10004</v>
      </c>
    </row>
    <row r="2281">
      <c r="A2281" s="3" t="s">
        <v>12283</v>
      </c>
      <c r="B2281" s="4" t="str">
        <f>C2281 &amp; " -&gt; " &amp; D2281</f>
        <v>principal-knowledge-authority -&gt; ExceptionInvocations.InvokerAlsoPreparedKey</v>
      </c>
      <c r="C2281" s="3" t="s">
        <v>9774</v>
      </c>
      <c r="D2281" s="3" t="s">
        <v>4322</v>
      </c>
      <c r="E2281" s="3" t="b">
        <v>1</v>
      </c>
      <c r="F2281" s="3" t="b">
        <v>0</v>
      </c>
      <c r="G2281" s="3" t="s">
        <v>10003</v>
      </c>
      <c r="H2281" s="4" t="str">
        <f>_xlfn.IFNA(IF(((INDEX(RulebookFields!C2:C1898, MATCH(D2281,RulebookFields!A2:A1898, 0))="")=TRUE),  "",  INDEX(RulebookFields!C2:C1898, MATCH(D2281,RulebookFields!A2:A1898, 0))), "")</f>
        <v>ExceptionInvocations</v>
      </c>
      <c r="I2281" s="4" t="str">
        <f>_xlfn.IFNA(IF(((INDEX(RulebookFields!D2:D1898, MATCH(D2281,RulebookFields!A2:A1898, 0))="")=TRUE),  "",  INDEX(RulebookFields!D2:D1898, MATCH(D2281,RulebookFields!A2:A1898, 0))), "")</f>
        <v>InvokerAlsoPreparedKey</v>
      </c>
      <c r="J2281" s="4" t="b">
        <f>_xlfn.IFNA(IF(((INDEX(RulebookFields!I2:I1898, MATCH(D2281,RulebookFields!A2:A1898, 0))="")=TRUE),  "",  INDEX(RulebookFields!I2:I1898, MATCH(D2281,RulebookFields!A2:A1898, 0))), "")</f>
        <v>1</v>
      </c>
      <c r="K2281" s="4" t="b">
        <f>AND(((F2281)=TRUE), ((J2281)=TRUE))</f>
        <v>0</v>
      </c>
      <c r="L2281" s="4" t="b">
        <f>AND(((G2281 &lt;&gt; "plain")=TRUE), ((G2281 &lt;&gt; "")=TRUE))</f>
        <v>0</v>
      </c>
      <c r="M2281" s="4" t="str">
        <f>IF(((E2281)=TRUE),  C2281 &amp; "|" &amp; H2281,  "")</f>
        <v>principal-knowledge-authority|ExceptionInvocations</v>
      </c>
      <c r="N2281" s="3" t="s">
        <v>10004</v>
      </c>
    </row>
    <row r="2282">
      <c r="A2282" s="3" t="s">
        <v>12284</v>
      </c>
      <c r="B2282" s="4" t="str">
        <f>C2282 &amp; " -&gt; " &amp; D2282</f>
        <v>principal-knowledge-authority -&gt; ExceptionInvocations.ParentProcedureExecution</v>
      </c>
      <c r="C2282" s="3" t="s">
        <v>9774</v>
      </c>
      <c r="D2282" s="3" t="s">
        <v>4325</v>
      </c>
      <c r="E2282" s="3" t="b">
        <v>1</v>
      </c>
      <c r="F2282" s="3" t="b">
        <v>0</v>
      </c>
      <c r="G2282" s="3" t="s">
        <v>10003</v>
      </c>
      <c r="H2282" s="4" t="str">
        <f>_xlfn.IFNA(IF(((INDEX(RulebookFields!C2:C1898, MATCH(D2282,RulebookFields!A2:A1898, 0))="")=TRUE),  "",  INDEX(RulebookFields!C2:C1898, MATCH(D2282,RulebookFields!A2:A1898, 0))), "")</f>
        <v>ExceptionInvocations</v>
      </c>
      <c r="I2282" s="4" t="str">
        <f>_xlfn.IFNA(IF(((INDEX(RulebookFields!D2:D1898, MATCH(D2282,RulebookFields!A2:A1898, 0))="")=TRUE),  "",  INDEX(RulebookFields!D2:D1898, MATCH(D2282,RulebookFields!A2:A1898, 0))), "")</f>
        <v>ParentProcedureExecution</v>
      </c>
      <c r="J2282" s="4" t="b">
        <f>_xlfn.IFNA(IF(((INDEX(RulebookFields!I2:I1898, MATCH(D2282,RulebookFields!A2:A1898, 0))="")=TRUE),  "",  INDEX(RulebookFields!I2:I1898, MATCH(D2282,RulebookFields!A2:A1898, 0))), "")</f>
        <v>1</v>
      </c>
      <c r="K2282" s="4" t="b">
        <f>AND(((F2282)=TRUE), ((J2282)=TRUE))</f>
        <v>0</v>
      </c>
      <c r="L2282" s="4" t="b">
        <f>AND(((G2282 &lt;&gt; "plain")=TRUE), ((G2282 &lt;&gt; "")=TRUE))</f>
        <v>0</v>
      </c>
      <c r="M2282" s="4" t="str">
        <f>IF(((E2282)=TRUE),  C2282 &amp; "|" &amp; H2282,  "")</f>
        <v>principal-knowledge-authority|ExceptionInvocations</v>
      </c>
      <c r="N2282" s="3" t="s">
        <v>10004</v>
      </c>
    </row>
    <row r="2283">
      <c r="A2283" s="3" t="s">
        <v>12285</v>
      </c>
      <c r="B2283" s="4" t="str">
        <f>C2283 &amp; " -&gt; " &amp; D2283</f>
        <v>principal-knowledge-authority -&gt; ExceptionInvocations.ApproverPreparedCount</v>
      </c>
      <c r="C2283" s="3" t="s">
        <v>9774</v>
      </c>
      <c r="D2283" s="3" t="s">
        <v>4326</v>
      </c>
      <c r="E2283" s="3" t="b">
        <v>1</v>
      </c>
      <c r="F2283" s="3" t="b">
        <v>0</v>
      </c>
      <c r="G2283" s="3" t="s">
        <v>10003</v>
      </c>
      <c r="H2283" s="4" t="str">
        <f>_xlfn.IFNA(IF(((INDEX(RulebookFields!C2:C1898, MATCH(D2283,RulebookFields!A2:A1898, 0))="")=TRUE),  "",  INDEX(RulebookFields!C2:C1898, MATCH(D2283,RulebookFields!A2:A1898, 0))), "")</f>
        <v>ExceptionInvocations</v>
      </c>
      <c r="I2283" s="4" t="str">
        <f>_xlfn.IFNA(IF(((INDEX(RulebookFields!D2:D1898, MATCH(D2283,RulebookFields!A2:A1898, 0))="")=TRUE),  "",  INDEX(RulebookFields!D2:D1898, MATCH(D2283,RulebookFields!A2:A1898, 0))), "")</f>
        <v>ApproverPreparedCount</v>
      </c>
      <c r="J2283" s="4" t="b">
        <f>_xlfn.IFNA(IF(((INDEX(RulebookFields!I2:I1898, MATCH(D2283,RulebookFields!A2:A1898, 0))="")=TRUE),  "",  INDEX(RulebookFields!I2:I1898, MATCH(D2283,RulebookFields!A2:A1898, 0))), "")</f>
        <v>1</v>
      </c>
      <c r="K2283" s="4" t="b">
        <f>AND(((F2283)=TRUE), ((J2283)=TRUE))</f>
        <v>0</v>
      </c>
      <c r="L2283" s="4" t="b">
        <f>AND(((G2283 &lt;&gt; "plain")=TRUE), ((G2283 &lt;&gt; "")=TRUE))</f>
        <v>0</v>
      </c>
      <c r="M2283" s="4" t="str">
        <f>IF(((E2283)=TRUE),  C2283 &amp; "|" &amp; H2283,  "")</f>
        <v>principal-knowledge-authority|ExceptionInvocations</v>
      </c>
      <c r="N2283" s="3" t="s">
        <v>10004</v>
      </c>
    </row>
    <row r="2284">
      <c r="A2284" s="3" t="s">
        <v>12286</v>
      </c>
      <c r="B2284" s="4" t="str">
        <f>C2284 &amp; " -&gt; " &amp; D2284</f>
        <v>principal-knowledge-authority -&gt; ExceptionInvocations.DelegatedToPreparer</v>
      </c>
      <c r="C2284" s="3" t="s">
        <v>9774</v>
      </c>
      <c r="D2284" s="3" t="s">
        <v>4329</v>
      </c>
      <c r="E2284" s="3" t="b">
        <v>1</v>
      </c>
      <c r="F2284" s="3" t="b">
        <v>0</v>
      </c>
      <c r="G2284" s="3" t="s">
        <v>10003</v>
      </c>
      <c r="H2284" s="4" t="str">
        <f>_xlfn.IFNA(IF(((INDEX(RulebookFields!C2:C1898, MATCH(D2284,RulebookFields!A2:A1898, 0))="")=TRUE),  "",  INDEX(RulebookFields!C2:C1898, MATCH(D2284,RulebookFields!A2:A1898, 0))), "")</f>
        <v>ExceptionInvocations</v>
      </c>
      <c r="I2284" s="4" t="str">
        <f>_xlfn.IFNA(IF(((INDEX(RulebookFields!D2:D1898, MATCH(D2284,RulebookFields!A2:A1898, 0))="")=TRUE),  "",  INDEX(RulebookFields!D2:D1898, MATCH(D2284,RulebookFields!A2:A1898, 0))), "")</f>
        <v>DelegatedToPreparer</v>
      </c>
      <c r="J2284" s="4" t="b">
        <f>_xlfn.IFNA(IF(((INDEX(RulebookFields!I2:I1898, MATCH(D2284,RulebookFields!A2:A1898, 0))="")=TRUE),  "",  INDEX(RulebookFields!I2:I1898, MATCH(D2284,RulebookFields!A2:A1898, 0))), "")</f>
        <v>1</v>
      </c>
      <c r="K2284" s="4" t="b">
        <f>AND(((F2284)=TRUE), ((J2284)=TRUE))</f>
        <v>0</v>
      </c>
      <c r="L2284" s="4" t="b">
        <f>AND(((G2284 &lt;&gt; "plain")=TRUE), ((G2284 &lt;&gt; "")=TRUE))</f>
        <v>0</v>
      </c>
      <c r="M2284" s="4" t="str">
        <f>IF(((E2284)=TRUE),  C2284 &amp; "|" &amp; H2284,  "")</f>
        <v>principal-knowledge-authority|ExceptionInvocations</v>
      </c>
      <c r="N2284" s="3" t="s">
        <v>10004</v>
      </c>
    </row>
    <row r="2285">
      <c r="A2285" s="3" t="s">
        <v>12287</v>
      </c>
      <c r="B2285" s="4" t="str">
        <f>C2285 &amp; " -&gt; " &amp; D2285</f>
        <v>principal-knowledge-authority -&gt; ExceptionInvocations.IsUngovernedInvocation</v>
      </c>
      <c r="C2285" s="3" t="s">
        <v>9774</v>
      </c>
      <c r="D2285" s="3" t="s">
        <v>4332</v>
      </c>
      <c r="E2285" s="3" t="b">
        <v>1</v>
      </c>
      <c r="F2285" s="3" t="b">
        <v>0</v>
      </c>
      <c r="G2285" s="3" t="s">
        <v>10003</v>
      </c>
      <c r="H2285" s="4" t="str">
        <f>_xlfn.IFNA(IF(((INDEX(RulebookFields!C2:C1898, MATCH(D2285,RulebookFields!A2:A1898, 0))="")=TRUE),  "",  INDEX(RulebookFields!C2:C1898, MATCH(D2285,RulebookFields!A2:A1898, 0))), "")</f>
        <v>ExceptionInvocations</v>
      </c>
      <c r="I2285" s="4" t="str">
        <f>_xlfn.IFNA(IF(((INDEX(RulebookFields!D2:D1898, MATCH(D2285,RulebookFields!A2:A1898, 0))="")=TRUE),  "",  INDEX(RulebookFields!D2:D1898, MATCH(D2285,RulebookFields!A2:A1898, 0))), "")</f>
        <v>IsUngovernedInvocation</v>
      </c>
      <c r="J2285" s="4" t="b">
        <f>_xlfn.IFNA(IF(((INDEX(RulebookFields!I2:I1898, MATCH(D2285,RulebookFields!A2:A1898, 0))="")=TRUE),  "",  INDEX(RulebookFields!I2:I1898, MATCH(D2285,RulebookFields!A2:A1898, 0))), "")</f>
        <v>1</v>
      </c>
      <c r="K2285" s="4" t="b">
        <f>AND(((F2285)=TRUE), ((J2285)=TRUE))</f>
        <v>0</v>
      </c>
      <c r="L2285" s="4" t="b">
        <f>AND(((G2285 &lt;&gt; "plain")=TRUE), ((G2285 &lt;&gt; "")=TRUE))</f>
        <v>0</v>
      </c>
      <c r="M2285" s="4" t="str">
        <f>IF(((E2285)=TRUE),  C2285 &amp; "|" &amp; H2285,  "")</f>
        <v>principal-knowledge-authority|ExceptionInvocations</v>
      </c>
      <c r="N2285" s="3" t="s">
        <v>10004</v>
      </c>
    </row>
    <row r="2286">
      <c r="A2286" s="3" t="s">
        <v>12288</v>
      </c>
      <c r="B2286" s="4" t="str">
        <f>C2286 &amp; " -&gt; " &amp; D2286</f>
        <v>principal-knowledge-authority -&gt; ExceptionInvocations.SemanticTypeIri</v>
      </c>
      <c r="C2286" s="3" t="s">
        <v>9774</v>
      </c>
      <c r="D2286" s="3" t="s">
        <v>4335</v>
      </c>
      <c r="E2286" s="3" t="b">
        <v>1</v>
      </c>
      <c r="F2286" s="3" t="b">
        <v>0</v>
      </c>
      <c r="G2286" s="3" t="s">
        <v>10003</v>
      </c>
      <c r="H2286" s="4" t="str">
        <f>_xlfn.IFNA(IF(((INDEX(RulebookFields!C2:C1898, MATCH(D2286,RulebookFields!A2:A1898, 0))="")=TRUE),  "",  INDEX(RulebookFields!C2:C1898, MATCH(D2286,RulebookFields!A2:A1898, 0))), "")</f>
        <v>ExceptionInvocations</v>
      </c>
      <c r="I2286" s="4" t="str">
        <f>_xlfn.IFNA(IF(((INDEX(RulebookFields!D2:D1898, MATCH(D2286,RulebookFields!A2:A1898, 0))="")=TRUE),  "",  INDEX(RulebookFields!D2:D1898, MATCH(D2286,RulebookFields!A2:A1898, 0))), "")</f>
        <v>SemanticTypeIri</v>
      </c>
      <c r="J2286" s="4" t="b">
        <f>_xlfn.IFNA(IF(((INDEX(RulebookFields!I2:I1898, MATCH(D2286,RulebookFields!A2:A1898, 0))="")=TRUE),  "",  INDEX(RulebookFields!I2:I1898, MATCH(D2286,RulebookFields!A2:A1898, 0))), "")</f>
        <v>0</v>
      </c>
      <c r="K2286" s="4" t="b">
        <f>AND(((F2286)=TRUE), ((J2286)=TRUE))</f>
        <v>0</v>
      </c>
      <c r="L2286" s="4" t="b">
        <f>AND(((G2286 &lt;&gt; "plain")=TRUE), ((G2286 &lt;&gt; "")=TRUE))</f>
        <v>0</v>
      </c>
      <c r="M2286" s="4" t="str">
        <f>IF(((E2286)=TRUE),  C2286 &amp; "|" &amp; H2286,  "")</f>
        <v>principal-knowledge-authority|ExceptionInvocations</v>
      </c>
      <c r="N2286" s="3" t="s">
        <v>10004</v>
      </c>
    </row>
    <row r="2287">
      <c r="A2287" s="3" t="s">
        <v>12289</v>
      </c>
      <c r="B2287" s="4" t="str">
        <f>C2287 &amp; " -&gt; " &amp; D2287</f>
        <v>principal-knowledge-authority -&gt; Exceptions.ExceptionId</v>
      </c>
      <c r="C2287" s="3" t="s">
        <v>9774</v>
      </c>
      <c r="D2287" s="3" t="s">
        <v>3160</v>
      </c>
      <c r="E2287" s="3" t="b">
        <v>1</v>
      </c>
      <c r="F2287" s="3" t="b">
        <v>0</v>
      </c>
      <c r="G2287" s="3" t="s">
        <v>10003</v>
      </c>
      <c r="H2287" s="4" t="str">
        <f>_xlfn.IFNA(IF(((INDEX(RulebookFields!C2:C1898, MATCH(D2287,RulebookFields!A2:A1898, 0))="")=TRUE),  "",  INDEX(RulebookFields!C2:C1898, MATCH(D2287,RulebookFields!A2:A1898, 0))), "")</f>
        <v>Exceptions</v>
      </c>
      <c r="I2287" s="4" t="str">
        <f>_xlfn.IFNA(IF(((INDEX(RulebookFields!D2:D1898, MATCH(D2287,RulebookFields!A2:A1898, 0))="")=TRUE),  "",  INDEX(RulebookFields!D2:D1898, MATCH(D2287,RulebookFields!A2:A1898, 0))), "")</f>
        <v>ExceptionId</v>
      </c>
      <c r="J2287" s="4" t="b">
        <f>_xlfn.IFNA(IF(((INDEX(RulebookFields!I2:I1898, MATCH(D2287,RulebookFields!A2:A1898, 0))="")=TRUE),  "",  INDEX(RulebookFields!I2:I1898, MATCH(D2287,RulebookFields!A2:A1898, 0))), "")</f>
        <v>0</v>
      </c>
      <c r="K2287" s="4" t="b">
        <f>AND(((F2287)=TRUE), ((J2287)=TRUE))</f>
        <v>0</v>
      </c>
      <c r="L2287" s="4" t="b">
        <f>AND(((G2287 &lt;&gt; "plain")=TRUE), ((G2287 &lt;&gt; "")=TRUE))</f>
        <v>0</v>
      </c>
      <c r="M2287" s="4" t="str">
        <f>IF(((E2287)=TRUE),  C2287 &amp; "|" &amp; H2287,  "")</f>
        <v>principal-knowledge-authority|Exceptions</v>
      </c>
      <c r="N2287" s="3" t="s">
        <v>10004</v>
      </c>
    </row>
    <row r="2288">
      <c r="A2288" s="3" t="s">
        <v>12290</v>
      </c>
      <c r="B2288" s="4" t="str">
        <f>C2288 &amp; " -&gt; " &amp; D2288</f>
        <v>principal-knowledge-authority -&gt; Exceptions.Name</v>
      </c>
      <c r="C2288" s="3" t="s">
        <v>9774</v>
      </c>
      <c r="D2288" s="3" t="s">
        <v>3162</v>
      </c>
      <c r="E2288" s="3" t="b">
        <v>1</v>
      </c>
      <c r="F2288" s="3" t="b">
        <v>0</v>
      </c>
      <c r="G2288" s="3" t="s">
        <v>10003</v>
      </c>
      <c r="H2288" s="4" t="str">
        <f>_xlfn.IFNA(IF(((INDEX(RulebookFields!C2:C1898, MATCH(D2288,RulebookFields!A2:A1898, 0))="")=TRUE),  "",  INDEX(RulebookFields!C2:C1898, MATCH(D2288,RulebookFields!A2:A1898, 0))), "")</f>
        <v>Exceptions</v>
      </c>
      <c r="I2288" s="4" t="str">
        <f>_xlfn.IFNA(IF(((INDEX(RulebookFields!D2:D1898, MATCH(D2288,RulebookFields!A2:A1898, 0))="")=TRUE),  "",  INDEX(RulebookFields!D2:D1898, MATCH(D2288,RulebookFields!A2:A1898, 0))), "")</f>
        <v>Name</v>
      </c>
      <c r="J2288" s="4" t="b">
        <f>_xlfn.IFNA(IF(((INDEX(RulebookFields!I2:I1898, MATCH(D2288,RulebookFields!A2:A1898, 0))="")=TRUE),  "",  INDEX(RulebookFields!I2:I1898, MATCH(D2288,RulebookFields!A2:A1898, 0))), "")</f>
        <v>1</v>
      </c>
      <c r="K2288" s="4" t="b">
        <f>AND(((F2288)=TRUE), ((J2288)=TRUE))</f>
        <v>0</v>
      </c>
      <c r="L2288" s="4" t="b">
        <f>AND(((G2288 &lt;&gt; "plain")=TRUE), ((G2288 &lt;&gt; "")=TRUE))</f>
        <v>0</v>
      </c>
      <c r="M2288" s="4" t="str">
        <f>IF(((E2288)=TRUE),  C2288 &amp; "|" &amp; H2288,  "")</f>
        <v>principal-knowledge-authority|Exceptions</v>
      </c>
      <c r="N2288" s="3" t="s">
        <v>10004</v>
      </c>
    </row>
    <row r="2289">
      <c r="A2289" s="3" t="s">
        <v>12291</v>
      </c>
      <c r="B2289" s="4" t="str">
        <f>C2289 &amp; " -&gt; " &amp; D2289</f>
        <v>principal-knowledge-authority -&gt; Exceptions.ProcedureVersion</v>
      </c>
      <c r="C2289" s="3" t="s">
        <v>9774</v>
      </c>
      <c r="D2289" s="3" t="s">
        <v>3164</v>
      </c>
      <c r="E2289" s="3" t="b">
        <v>1</v>
      </c>
      <c r="F2289" s="3" t="b">
        <v>0</v>
      </c>
      <c r="G2289" s="3" t="s">
        <v>10003</v>
      </c>
      <c r="H2289" s="4" t="str">
        <f>_xlfn.IFNA(IF(((INDEX(RulebookFields!C2:C1898, MATCH(D2289,RulebookFields!A2:A1898, 0))="")=TRUE),  "",  INDEX(RulebookFields!C2:C1898, MATCH(D2289,RulebookFields!A2:A1898, 0))), "")</f>
        <v>Exceptions</v>
      </c>
      <c r="I2289" s="4" t="str">
        <f>_xlfn.IFNA(IF(((INDEX(RulebookFields!D2:D1898, MATCH(D2289,RulebookFields!A2:A1898, 0))="")=TRUE),  "",  INDEX(RulebookFields!D2:D1898, MATCH(D2289,RulebookFields!A2:A1898, 0))), "")</f>
        <v>ProcedureVersion</v>
      </c>
      <c r="J2289" s="4" t="b">
        <f>_xlfn.IFNA(IF(((INDEX(RulebookFields!I2:I1898, MATCH(D2289,RulebookFields!A2:A1898, 0))="")=TRUE),  "",  INDEX(RulebookFields!I2:I1898, MATCH(D2289,RulebookFields!A2:A1898, 0))), "")</f>
        <v>0</v>
      </c>
      <c r="K2289" s="4" t="b">
        <f>AND(((F2289)=TRUE), ((J2289)=TRUE))</f>
        <v>0</v>
      </c>
      <c r="L2289" s="4" t="b">
        <f>AND(((G2289 &lt;&gt; "plain")=TRUE), ((G2289 &lt;&gt; "")=TRUE))</f>
        <v>0</v>
      </c>
      <c r="M2289" s="4" t="str">
        <f>IF(((E2289)=TRUE),  C2289 &amp; "|" &amp; H2289,  "")</f>
        <v>principal-knowledge-authority|Exceptions</v>
      </c>
      <c r="N2289" s="3" t="s">
        <v>10004</v>
      </c>
    </row>
    <row r="2290">
      <c r="A2290" s="3" t="s">
        <v>12292</v>
      </c>
      <c r="B2290" s="4" t="str">
        <f>C2290 &amp; " -&gt; " &amp; D2290</f>
        <v>principal-knowledge-authority -&gt; Exceptions.TriggerStep</v>
      </c>
      <c r="C2290" s="3" t="s">
        <v>9774</v>
      </c>
      <c r="D2290" s="3" t="s">
        <v>3165</v>
      </c>
      <c r="E2290" s="3" t="b">
        <v>1</v>
      </c>
      <c r="F2290" s="3" t="b">
        <v>0</v>
      </c>
      <c r="G2290" s="3" t="s">
        <v>10003</v>
      </c>
      <c r="H2290" s="4" t="str">
        <f>_xlfn.IFNA(IF(((INDEX(RulebookFields!C2:C1898, MATCH(D2290,RulebookFields!A2:A1898, 0))="")=TRUE),  "",  INDEX(RulebookFields!C2:C1898, MATCH(D2290,RulebookFields!A2:A1898, 0))), "")</f>
        <v>Exceptions</v>
      </c>
      <c r="I2290" s="4" t="str">
        <f>_xlfn.IFNA(IF(((INDEX(RulebookFields!D2:D1898, MATCH(D2290,RulebookFields!A2:A1898, 0))="")=TRUE),  "",  INDEX(RulebookFields!D2:D1898, MATCH(D2290,RulebookFields!A2:A1898, 0))), "")</f>
        <v>TriggerStep</v>
      </c>
      <c r="J2290" s="4" t="b">
        <f>_xlfn.IFNA(IF(((INDEX(RulebookFields!I2:I1898, MATCH(D2290,RulebookFields!A2:A1898, 0))="")=TRUE),  "",  INDEX(RulebookFields!I2:I1898, MATCH(D2290,RulebookFields!A2:A1898, 0))), "")</f>
        <v>0</v>
      </c>
      <c r="K2290" s="4" t="b">
        <f>AND(((F2290)=TRUE), ((J2290)=TRUE))</f>
        <v>0</v>
      </c>
      <c r="L2290" s="4" t="b">
        <f>AND(((G2290 &lt;&gt; "plain")=TRUE), ((G2290 &lt;&gt; "")=TRUE))</f>
        <v>0</v>
      </c>
      <c r="M2290" s="4" t="str">
        <f>IF(((E2290)=TRUE),  C2290 &amp; "|" &amp; H2290,  "")</f>
        <v>principal-knowledge-authority|Exceptions</v>
      </c>
      <c r="N2290" s="3" t="s">
        <v>10004</v>
      </c>
    </row>
    <row r="2291">
      <c r="A2291" s="3" t="s">
        <v>12293</v>
      </c>
      <c r="B2291" s="4" t="str">
        <f>C2291 &amp; " -&gt; " &amp; D2291</f>
        <v>principal-knowledge-authority -&gt; Exceptions.Condition</v>
      </c>
      <c r="C2291" s="3" t="s">
        <v>9774</v>
      </c>
      <c r="D2291" s="3" t="s">
        <v>3166</v>
      </c>
      <c r="E2291" s="3" t="b">
        <v>1</v>
      </c>
      <c r="F2291" s="3" t="b">
        <v>0</v>
      </c>
      <c r="G2291" s="3" t="s">
        <v>10003</v>
      </c>
      <c r="H2291" s="4" t="str">
        <f>_xlfn.IFNA(IF(((INDEX(RulebookFields!C2:C1898, MATCH(D2291,RulebookFields!A2:A1898, 0))="")=TRUE),  "",  INDEX(RulebookFields!C2:C1898, MATCH(D2291,RulebookFields!A2:A1898, 0))), "")</f>
        <v>Exceptions</v>
      </c>
      <c r="I2291" s="4" t="str">
        <f>_xlfn.IFNA(IF(((INDEX(RulebookFields!D2:D1898, MATCH(D2291,RulebookFields!A2:A1898, 0))="")=TRUE),  "",  INDEX(RulebookFields!D2:D1898, MATCH(D2291,RulebookFields!A2:A1898, 0))), "")</f>
        <v>Condition</v>
      </c>
      <c r="J2291" s="4" t="b">
        <f>_xlfn.IFNA(IF(((INDEX(RulebookFields!I2:I1898, MATCH(D2291,RulebookFields!A2:A1898, 0))="")=TRUE),  "",  INDEX(RulebookFields!I2:I1898, MATCH(D2291,RulebookFields!A2:A1898, 0))), "")</f>
        <v>0</v>
      </c>
      <c r="K2291" s="4" t="b">
        <f>AND(((F2291)=TRUE), ((J2291)=TRUE))</f>
        <v>0</v>
      </c>
      <c r="L2291" s="4" t="b">
        <f>AND(((G2291 &lt;&gt; "plain")=TRUE), ((G2291 &lt;&gt; "")=TRUE))</f>
        <v>0</v>
      </c>
      <c r="M2291" s="4" t="str">
        <f>IF(((E2291)=TRUE),  C2291 &amp; "|" &amp; H2291,  "")</f>
        <v>principal-knowledge-authority|Exceptions</v>
      </c>
      <c r="N2291" s="3" t="s">
        <v>10004</v>
      </c>
    </row>
    <row r="2292">
      <c r="A2292" s="3" t="s">
        <v>12294</v>
      </c>
      <c r="B2292" s="4" t="str">
        <f>C2292 &amp; " -&gt; " &amp; D2292</f>
        <v>principal-knowledge-authority -&gt; Exceptions.Handling</v>
      </c>
      <c r="C2292" s="3" t="s">
        <v>9774</v>
      </c>
      <c r="D2292" s="3" t="s">
        <v>3167</v>
      </c>
      <c r="E2292" s="3" t="b">
        <v>1</v>
      </c>
      <c r="F2292" s="3" t="b">
        <v>0</v>
      </c>
      <c r="G2292" s="3" t="s">
        <v>10003</v>
      </c>
      <c r="H2292" s="4" t="str">
        <f>_xlfn.IFNA(IF(((INDEX(RulebookFields!C2:C1898, MATCH(D2292,RulebookFields!A2:A1898, 0))="")=TRUE),  "",  INDEX(RulebookFields!C2:C1898, MATCH(D2292,RulebookFields!A2:A1898, 0))), "")</f>
        <v>Exceptions</v>
      </c>
      <c r="I2292" s="4" t="str">
        <f>_xlfn.IFNA(IF(((INDEX(RulebookFields!D2:D1898, MATCH(D2292,RulebookFields!A2:A1898, 0))="")=TRUE),  "",  INDEX(RulebookFields!D2:D1898, MATCH(D2292,RulebookFields!A2:A1898, 0))), "")</f>
        <v>Handling</v>
      </c>
      <c r="J2292" s="4" t="b">
        <f>_xlfn.IFNA(IF(((INDEX(RulebookFields!I2:I1898, MATCH(D2292,RulebookFields!A2:A1898, 0))="")=TRUE),  "",  INDEX(RulebookFields!I2:I1898, MATCH(D2292,RulebookFields!A2:A1898, 0))), "")</f>
        <v>0</v>
      </c>
      <c r="K2292" s="4" t="b">
        <f>AND(((F2292)=TRUE), ((J2292)=TRUE))</f>
        <v>0</v>
      </c>
      <c r="L2292" s="4" t="b">
        <f>AND(((G2292 &lt;&gt; "plain")=TRUE), ((G2292 &lt;&gt; "")=TRUE))</f>
        <v>0</v>
      </c>
      <c r="M2292" s="4" t="str">
        <f>IF(((E2292)=TRUE),  C2292 &amp; "|" &amp; H2292,  "")</f>
        <v>principal-knowledge-authority|Exceptions</v>
      </c>
      <c r="N2292" s="3" t="s">
        <v>10004</v>
      </c>
    </row>
    <row r="2293">
      <c r="A2293" s="3" t="s">
        <v>12295</v>
      </c>
      <c r="B2293" s="4" t="str">
        <f>C2293 &amp; " -&gt; " &amp; D2293</f>
        <v>principal-knowledge-authority -&gt; Exceptions.ApprovalRole</v>
      </c>
      <c r="C2293" s="3" t="s">
        <v>9774</v>
      </c>
      <c r="D2293" s="3" t="s">
        <v>3168</v>
      </c>
      <c r="E2293" s="3" t="b">
        <v>1</v>
      </c>
      <c r="F2293" s="3" t="b">
        <v>0</v>
      </c>
      <c r="G2293" s="3" t="s">
        <v>10003</v>
      </c>
      <c r="H2293" s="4" t="str">
        <f>_xlfn.IFNA(IF(((INDEX(RulebookFields!C2:C1898, MATCH(D2293,RulebookFields!A2:A1898, 0))="")=TRUE),  "",  INDEX(RulebookFields!C2:C1898, MATCH(D2293,RulebookFields!A2:A1898, 0))), "")</f>
        <v>Exceptions</v>
      </c>
      <c r="I2293" s="4" t="str">
        <f>_xlfn.IFNA(IF(((INDEX(RulebookFields!D2:D1898, MATCH(D2293,RulebookFields!A2:A1898, 0))="")=TRUE),  "",  INDEX(RulebookFields!D2:D1898, MATCH(D2293,RulebookFields!A2:A1898, 0))), "")</f>
        <v>ApprovalRole</v>
      </c>
      <c r="J2293" s="4" t="b">
        <f>_xlfn.IFNA(IF(((INDEX(RulebookFields!I2:I1898, MATCH(D2293,RulebookFields!A2:A1898, 0))="")=TRUE),  "",  INDEX(RulebookFields!I2:I1898, MATCH(D2293,RulebookFields!A2:A1898, 0))), "")</f>
        <v>0</v>
      </c>
      <c r="K2293" s="4" t="b">
        <f>AND(((F2293)=TRUE), ((J2293)=TRUE))</f>
        <v>0</v>
      </c>
      <c r="L2293" s="4" t="b">
        <f>AND(((G2293 &lt;&gt; "plain")=TRUE), ((G2293 &lt;&gt; "")=TRUE))</f>
        <v>0</v>
      </c>
      <c r="M2293" s="4" t="str">
        <f>IF(((E2293)=TRUE),  C2293 &amp; "|" &amp; H2293,  "")</f>
        <v>principal-knowledge-authority|Exceptions</v>
      </c>
      <c r="N2293" s="3" t="s">
        <v>10004</v>
      </c>
    </row>
    <row r="2294">
      <c r="A2294" s="3" t="s">
        <v>12296</v>
      </c>
      <c r="B2294" s="4" t="str">
        <f>C2294 &amp; " -&gt; " &amp; D2294</f>
        <v>principal-knowledge-authority -&gt; Exceptions.FallbackRole</v>
      </c>
      <c r="C2294" s="3" t="s">
        <v>9774</v>
      </c>
      <c r="D2294" s="3" t="s">
        <v>3169</v>
      </c>
      <c r="E2294" s="3" t="b">
        <v>1</v>
      </c>
      <c r="F2294" s="3" t="b">
        <v>0</v>
      </c>
      <c r="G2294" s="3" t="s">
        <v>10003</v>
      </c>
      <c r="H2294" s="4" t="str">
        <f>_xlfn.IFNA(IF(((INDEX(RulebookFields!C2:C1898, MATCH(D2294,RulebookFields!A2:A1898, 0))="")=TRUE),  "",  INDEX(RulebookFields!C2:C1898, MATCH(D2294,RulebookFields!A2:A1898, 0))), "")</f>
        <v>Exceptions</v>
      </c>
      <c r="I2294" s="4" t="str">
        <f>_xlfn.IFNA(IF(((INDEX(RulebookFields!D2:D1898, MATCH(D2294,RulebookFields!A2:A1898, 0))="")=TRUE),  "",  INDEX(RulebookFields!D2:D1898, MATCH(D2294,RulebookFields!A2:A1898, 0))), "")</f>
        <v>FallbackRole</v>
      </c>
      <c r="J2294" s="4" t="b">
        <f>_xlfn.IFNA(IF(((INDEX(RulebookFields!I2:I1898, MATCH(D2294,RulebookFields!A2:A1898, 0))="")=TRUE),  "",  INDEX(RulebookFields!I2:I1898, MATCH(D2294,RulebookFields!A2:A1898, 0))), "")</f>
        <v>0</v>
      </c>
      <c r="K2294" s="4" t="b">
        <f>AND(((F2294)=TRUE), ((J2294)=TRUE))</f>
        <v>0</v>
      </c>
      <c r="L2294" s="4" t="b">
        <f>AND(((G2294 &lt;&gt; "plain")=TRUE), ((G2294 &lt;&gt; "")=TRUE))</f>
        <v>0</v>
      </c>
      <c r="M2294" s="4" t="str">
        <f>IF(((E2294)=TRUE),  C2294 &amp; "|" &amp; H2294,  "")</f>
        <v>principal-knowledge-authority|Exceptions</v>
      </c>
      <c r="N2294" s="3" t="s">
        <v>10004</v>
      </c>
    </row>
    <row r="2295">
      <c r="A2295" s="3" t="s">
        <v>12297</v>
      </c>
      <c r="B2295" s="4" t="str">
        <f>C2295 &amp; " -&gt; " &amp; D2295</f>
        <v>principal-knowledge-authority -&gt; Exceptions.Status</v>
      </c>
      <c r="C2295" s="3" t="s">
        <v>9774</v>
      </c>
      <c r="D2295" s="3" t="s">
        <v>3170</v>
      </c>
      <c r="E2295" s="3" t="b">
        <v>1</v>
      </c>
      <c r="F2295" s="3" t="b">
        <v>0</v>
      </c>
      <c r="G2295" s="3" t="s">
        <v>10003</v>
      </c>
      <c r="H2295" s="4" t="str">
        <f>_xlfn.IFNA(IF(((INDEX(RulebookFields!C2:C1898, MATCH(D2295,RulebookFields!A2:A1898, 0))="")=TRUE),  "",  INDEX(RulebookFields!C2:C1898, MATCH(D2295,RulebookFields!A2:A1898, 0))), "")</f>
        <v>Exceptions</v>
      </c>
      <c r="I2295" s="4" t="str">
        <f>_xlfn.IFNA(IF(((INDEX(RulebookFields!D2:D1898, MATCH(D2295,RulebookFields!A2:A1898, 0))="")=TRUE),  "",  INDEX(RulebookFields!D2:D1898, MATCH(D2295,RulebookFields!A2:A1898, 0))), "")</f>
        <v>Status</v>
      </c>
      <c r="J2295" s="4" t="b">
        <f>_xlfn.IFNA(IF(((INDEX(RulebookFields!I2:I1898, MATCH(D2295,RulebookFields!A2:A1898, 0))="")=TRUE),  "",  INDEX(RulebookFields!I2:I1898, MATCH(D2295,RulebookFields!A2:A1898, 0))), "")</f>
        <v>0</v>
      </c>
      <c r="K2295" s="4" t="b">
        <f>AND(((F2295)=TRUE), ((J2295)=TRUE))</f>
        <v>0</v>
      </c>
      <c r="L2295" s="4" t="b">
        <f>AND(((G2295 &lt;&gt; "plain")=TRUE), ((G2295 &lt;&gt; "")=TRUE))</f>
        <v>0</v>
      </c>
      <c r="M2295" s="4" t="str">
        <f>IF(((E2295)=TRUE),  C2295 &amp; "|" &amp; H2295,  "")</f>
        <v>principal-knowledge-authority|Exceptions</v>
      </c>
      <c r="N2295" s="3" t="s">
        <v>10004</v>
      </c>
    </row>
    <row r="2296">
      <c r="A2296" s="3" t="s">
        <v>12298</v>
      </c>
      <c r="B2296" s="4" t="str">
        <f>C2296 &amp; " -&gt; " &amp; D2296</f>
        <v>principal-knowledge-authority -&gt; Exceptions.ActiveExceptionStepKey</v>
      </c>
      <c r="C2296" s="3" t="s">
        <v>9774</v>
      </c>
      <c r="D2296" s="3" t="s">
        <v>3171</v>
      </c>
      <c r="E2296" s="3" t="b">
        <v>1</v>
      </c>
      <c r="F2296" s="3" t="b">
        <v>0</v>
      </c>
      <c r="G2296" s="3" t="s">
        <v>10003</v>
      </c>
      <c r="H2296" s="4" t="str">
        <f>_xlfn.IFNA(IF(((INDEX(RulebookFields!C2:C1898, MATCH(D2296,RulebookFields!A2:A1898, 0))="")=TRUE),  "",  INDEX(RulebookFields!C2:C1898, MATCH(D2296,RulebookFields!A2:A1898, 0))), "")</f>
        <v>Exceptions</v>
      </c>
      <c r="I2296" s="4" t="str">
        <f>_xlfn.IFNA(IF(((INDEX(RulebookFields!D2:D1898, MATCH(D2296,RulebookFields!A2:A1898, 0))="")=TRUE),  "",  INDEX(RulebookFields!D2:D1898, MATCH(D2296,RulebookFields!A2:A1898, 0))), "")</f>
        <v>ActiveExceptionStepKey</v>
      </c>
      <c r="J2296" s="4" t="b">
        <f>_xlfn.IFNA(IF(((INDEX(RulebookFields!I2:I1898, MATCH(D2296,RulebookFields!A2:A1898, 0))="")=TRUE),  "",  INDEX(RulebookFields!I2:I1898, MATCH(D2296,RulebookFields!A2:A1898, 0))), "")</f>
        <v>1</v>
      </c>
      <c r="K2296" s="4" t="b">
        <f>AND(((F2296)=TRUE), ((J2296)=TRUE))</f>
        <v>0</v>
      </c>
      <c r="L2296" s="4" t="b">
        <f>AND(((G2296 &lt;&gt; "plain")=TRUE), ((G2296 &lt;&gt; "")=TRUE))</f>
        <v>0</v>
      </c>
      <c r="M2296" s="4" t="str">
        <f>IF(((E2296)=TRUE),  C2296 &amp; "|" &amp; H2296,  "")</f>
        <v>principal-knowledge-authority|Exceptions</v>
      </c>
      <c r="N2296" s="3" t="s">
        <v>10004</v>
      </c>
    </row>
    <row r="2297">
      <c r="A2297" s="3" t="s">
        <v>12299</v>
      </c>
      <c r="B2297" s="4" t="str">
        <f>C2297 &amp; " -&gt; " &amp; D2297</f>
        <v>principal-knowledge-authority -&gt; Exceptions.SemanticTypeIri</v>
      </c>
      <c r="C2297" s="3" t="s">
        <v>9774</v>
      </c>
      <c r="D2297" s="3" t="s">
        <v>3173</v>
      </c>
      <c r="E2297" s="3" t="b">
        <v>1</v>
      </c>
      <c r="F2297" s="3" t="b">
        <v>0</v>
      </c>
      <c r="G2297" s="3" t="s">
        <v>10003</v>
      </c>
      <c r="H2297" s="4" t="str">
        <f>_xlfn.IFNA(IF(((INDEX(RulebookFields!C2:C1898, MATCH(D2297,RulebookFields!A2:A1898, 0))="")=TRUE),  "",  INDEX(RulebookFields!C2:C1898, MATCH(D2297,RulebookFields!A2:A1898, 0))), "")</f>
        <v>Exceptions</v>
      </c>
      <c r="I2297" s="4" t="str">
        <f>_xlfn.IFNA(IF(((INDEX(RulebookFields!D2:D1898, MATCH(D2297,RulebookFields!A2:A1898, 0))="")=TRUE),  "",  INDEX(RulebookFields!D2:D1898, MATCH(D2297,RulebookFields!A2:A1898, 0))), "")</f>
        <v>SemanticTypeIri</v>
      </c>
      <c r="J2297" s="4" t="b">
        <f>_xlfn.IFNA(IF(((INDEX(RulebookFields!I2:I1898, MATCH(D2297,RulebookFields!A2:A1898, 0))="")=TRUE),  "",  INDEX(RulebookFields!I2:I1898, MATCH(D2297,RulebookFields!A2:A1898, 0))), "")</f>
        <v>0</v>
      </c>
      <c r="K2297" s="4" t="b">
        <f>AND(((F2297)=TRUE), ((J2297)=TRUE))</f>
        <v>0</v>
      </c>
      <c r="L2297" s="4" t="b">
        <f>AND(((G2297 &lt;&gt; "plain")=TRUE), ((G2297 &lt;&gt; "")=TRUE))</f>
        <v>0</v>
      </c>
      <c r="M2297" s="4" t="str">
        <f>IF(((E2297)=TRUE),  C2297 &amp; "|" &amp; H2297,  "")</f>
        <v>principal-knowledge-authority|Exceptions</v>
      </c>
      <c r="N2297" s="3" t="s">
        <v>10004</v>
      </c>
    </row>
    <row r="2298">
      <c r="A2298" s="3" t="s">
        <v>12300</v>
      </c>
      <c r="B2298" s="4" t="str">
        <f>C2298 &amp; " -&gt; " &amp; D2298</f>
        <v>principal-knowledge-authority -&gt; Explanations.ExplanationId</v>
      </c>
      <c r="C2298" s="3" t="s">
        <v>9774</v>
      </c>
      <c r="D2298" s="3" t="s">
        <v>3419</v>
      </c>
      <c r="E2298" s="3" t="b">
        <v>1</v>
      </c>
      <c r="F2298" s="3" t="b">
        <v>0</v>
      </c>
      <c r="G2298" s="3" t="s">
        <v>10003</v>
      </c>
      <c r="H2298" s="4" t="str">
        <f>_xlfn.IFNA(IF(((INDEX(RulebookFields!C2:C1898, MATCH(D2298,RulebookFields!A2:A1898, 0))="")=TRUE),  "",  INDEX(RulebookFields!C2:C1898, MATCH(D2298,RulebookFields!A2:A1898, 0))), "")</f>
        <v>Explanations</v>
      </c>
      <c r="I2298" s="4" t="str">
        <f>_xlfn.IFNA(IF(((INDEX(RulebookFields!D2:D1898, MATCH(D2298,RulebookFields!A2:A1898, 0))="")=TRUE),  "",  INDEX(RulebookFields!D2:D1898, MATCH(D2298,RulebookFields!A2:A1898, 0))), "")</f>
        <v>ExplanationId</v>
      </c>
      <c r="J2298" s="4" t="b">
        <f>_xlfn.IFNA(IF(((INDEX(RulebookFields!I2:I1898, MATCH(D2298,RulebookFields!A2:A1898, 0))="")=TRUE),  "",  INDEX(RulebookFields!I2:I1898, MATCH(D2298,RulebookFields!A2:A1898, 0))), "")</f>
        <v>0</v>
      </c>
      <c r="K2298" s="4" t="b">
        <f>AND(((F2298)=TRUE), ((J2298)=TRUE))</f>
        <v>0</v>
      </c>
      <c r="L2298" s="4" t="b">
        <f>AND(((G2298 &lt;&gt; "plain")=TRUE), ((G2298 &lt;&gt; "")=TRUE))</f>
        <v>0</v>
      </c>
      <c r="M2298" s="4" t="str">
        <f>IF(((E2298)=TRUE),  C2298 &amp; "|" &amp; H2298,  "")</f>
        <v>principal-knowledge-authority|Explanations</v>
      </c>
      <c r="N2298" s="3" t="s">
        <v>10004</v>
      </c>
    </row>
    <row r="2299">
      <c r="A2299" s="3" t="s">
        <v>12301</v>
      </c>
      <c r="B2299" s="4" t="str">
        <f>C2299 &amp; " -&gt; " &amp; D2299</f>
        <v>principal-knowledge-authority -&gt; Explanations.Name</v>
      </c>
      <c r="C2299" s="3" t="s">
        <v>9774</v>
      </c>
      <c r="D2299" s="3" t="s">
        <v>3420</v>
      </c>
      <c r="E2299" s="3" t="b">
        <v>1</v>
      </c>
      <c r="F2299" s="3" t="b">
        <v>0</v>
      </c>
      <c r="G2299" s="3" t="s">
        <v>10003</v>
      </c>
      <c r="H2299" s="4" t="str">
        <f>_xlfn.IFNA(IF(((INDEX(RulebookFields!C2:C1898, MATCH(D2299,RulebookFields!A2:A1898, 0))="")=TRUE),  "",  INDEX(RulebookFields!C2:C1898, MATCH(D2299,RulebookFields!A2:A1898, 0))), "")</f>
        <v>Explanations</v>
      </c>
      <c r="I2299" s="4" t="str">
        <f>_xlfn.IFNA(IF(((INDEX(RulebookFields!D2:D1898, MATCH(D2299,RulebookFields!A2:A1898, 0))="")=TRUE),  "",  INDEX(RulebookFields!D2:D1898, MATCH(D2299,RulebookFields!A2:A1898, 0))), "")</f>
        <v>Name</v>
      </c>
      <c r="J2299" s="4" t="b">
        <f>_xlfn.IFNA(IF(((INDEX(RulebookFields!I2:I1898, MATCH(D2299,RulebookFields!A2:A1898, 0))="")=TRUE),  "",  INDEX(RulebookFields!I2:I1898, MATCH(D2299,RulebookFields!A2:A1898, 0))), "")</f>
        <v>1</v>
      </c>
      <c r="K2299" s="4" t="b">
        <f>AND(((F2299)=TRUE), ((J2299)=TRUE))</f>
        <v>0</v>
      </c>
      <c r="L2299" s="4" t="b">
        <f>AND(((G2299 &lt;&gt; "plain")=TRUE), ((G2299 &lt;&gt; "")=TRUE))</f>
        <v>0</v>
      </c>
      <c r="M2299" s="4" t="str">
        <f>IF(((E2299)=TRUE),  C2299 &amp; "|" &amp; H2299,  "")</f>
        <v>principal-knowledge-authority|Explanations</v>
      </c>
      <c r="N2299" s="3" t="s">
        <v>10004</v>
      </c>
    </row>
    <row r="2300">
      <c r="A2300" s="3" t="s">
        <v>12302</v>
      </c>
      <c r="B2300" s="4" t="str">
        <f>C2300 &amp; " -&gt; " &amp; D2300</f>
        <v>principal-knowledge-authority -&gt; Explanations.ProcedureVersion</v>
      </c>
      <c r="C2300" s="3" t="s">
        <v>9774</v>
      </c>
      <c r="D2300" s="3" t="s">
        <v>3421</v>
      </c>
      <c r="E2300" s="3" t="b">
        <v>1</v>
      </c>
      <c r="F2300" s="3" t="b">
        <v>0</v>
      </c>
      <c r="G2300" s="3" t="s">
        <v>10003</v>
      </c>
      <c r="H2300" s="4" t="str">
        <f>_xlfn.IFNA(IF(((INDEX(RulebookFields!C2:C1898, MATCH(D2300,RulebookFields!A2:A1898, 0))="")=TRUE),  "",  INDEX(RulebookFields!C2:C1898, MATCH(D2300,RulebookFields!A2:A1898, 0))), "")</f>
        <v>Explanations</v>
      </c>
      <c r="I2300" s="4" t="str">
        <f>_xlfn.IFNA(IF(((INDEX(RulebookFields!D2:D1898, MATCH(D2300,RulebookFields!A2:A1898, 0))="")=TRUE),  "",  INDEX(RulebookFields!D2:D1898, MATCH(D2300,RulebookFields!A2:A1898, 0))), "")</f>
        <v>ProcedureVersion</v>
      </c>
      <c r="J2300" s="4" t="b">
        <f>_xlfn.IFNA(IF(((INDEX(RulebookFields!I2:I1898, MATCH(D2300,RulebookFields!A2:A1898, 0))="")=TRUE),  "",  INDEX(RulebookFields!I2:I1898, MATCH(D2300,RulebookFields!A2:A1898, 0))), "")</f>
        <v>0</v>
      </c>
      <c r="K2300" s="4" t="b">
        <f>AND(((F2300)=TRUE), ((J2300)=TRUE))</f>
        <v>0</v>
      </c>
      <c r="L2300" s="4" t="b">
        <f>AND(((G2300 &lt;&gt; "plain")=TRUE), ((G2300 &lt;&gt; "")=TRUE))</f>
        <v>0</v>
      </c>
      <c r="M2300" s="4" t="str">
        <f>IF(((E2300)=TRUE),  C2300 &amp; "|" &amp; H2300,  "")</f>
        <v>principal-knowledge-authority|Explanations</v>
      </c>
      <c r="N2300" s="3" t="s">
        <v>10004</v>
      </c>
    </row>
    <row r="2301">
      <c r="A2301" s="3" t="s">
        <v>12303</v>
      </c>
      <c r="B2301" s="4" t="str">
        <f>C2301 &amp; " -&gt; " &amp; D2301</f>
        <v>principal-knowledge-authority -&gt; Explanations.Step</v>
      </c>
      <c r="C2301" s="3" t="s">
        <v>9774</v>
      </c>
      <c r="D2301" s="3" t="s">
        <v>3422</v>
      </c>
      <c r="E2301" s="3" t="b">
        <v>1</v>
      </c>
      <c r="F2301" s="3" t="b">
        <v>0</v>
      </c>
      <c r="G2301" s="3" t="s">
        <v>10003</v>
      </c>
      <c r="H2301" s="4" t="str">
        <f>_xlfn.IFNA(IF(((INDEX(RulebookFields!C2:C1898, MATCH(D2301,RulebookFields!A2:A1898, 0))="")=TRUE),  "",  INDEX(RulebookFields!C2:C1898, MATCH(D2301,RulebookFields!A2:A1898, 0))), "")</f>
        <v>Explanations</v>
      </c>
      <c r="I2301" s="4" t="str">
        <f>_xlfn.IFNA(IF(((INDEX(RulebookFields!D2:D1898, MATCH(D2301,RulebookFields!A2:A1898, 0))="")=TRUE),  "",  INDEX(RulebookFields!D2:D1898, MATCH(D2301,RulebookFields!A2:A1898, 0))), "")</f>
        <v>Step</v>
      </c>
      <c r="J2301" s="4" t="b">
        <f>_xlfn.IFNA(IF(((INDEX(RulebookFields!I2:I1898, MATCH(D2301,RulebookFields!A2:A1898, 0))="")=TRUE),  "",  INDEX(RulebookFields!I2:I1898, MATCH(D2301,RulebookFields!A2:A1898, 0))), "")</f>
        <v>0</v>
      </c>
      <c r="K2301" s="4" t="b">
        <f>AND(((F2301)=TRUE), ((J2301)=TRUE))</f>
        <v>0</v>
      </c>
      <c r="L2301" s="4" t="b">
        <f>AND(((G2301 &lt;&gt; "plain")=TRUE), ((G2301 &lt;&gt; "")=TRUE))</f>
        <v>0</v>
      </c>
      <c r="M2301" s="4" t="str">
        <f>IF(((E2301)=TRUE),  C2301 &amp; "|" &amp; H2301,  "")</f>
        <v>principal-knowledge-authority|Explanations</v>
      </c>
      <c r="N2301" s="3" t="s">
        <v>10004</v>
      </c>
    </row>
    <row r="2302">
      <c r="A2302" s="3" t="s">
        <v>12304</v>
      </c>
      <c r="B2302" s="4" t="str">
        <f>C2302 &amp; " -&gt; " &amp; D2302</f>
        <v>principal-knowledge-authority -&gt; Explanations.Title</v>
      </c>
      <c r="C2302" s="3" t="s">
        <v>9774</v>
      </c>
      <c r="D2302" s="3" t="s">
        <v>3423</v>
      </c>
      <c r="E2302" s="3" t="b">
        <v>1</v>
      </c>
      <c r="F2302" s="3" t="b">
        <v>0</v>
      </c>
      <c r="G2302" s="3" t="s">
        <v>10003</v>
      </c>
      <c r="H2302" s="4" t="str">
        <f>_xlfn.IFNA(IF(((INDEX(RulebookFields!C2:C1898, MATCH(D2302,RulebookFields!A2:A1898, 0))="")=TRUE),  "",  INDEX(RulebookFields!C2:C1898, MATCH(D2302,RulebookFields!A2:A1898, 0))), "")</f>
        <v>Explanations</v>
      </c>
      <c r="I2302" s="4" t="str">
        <f>_xlfn.IFNA(IF(((INDEX(RulebookFields!D2:D1898, MATCH(D2302,RulebookFields!A2:A1898, 0))="")=TRUE),  "",  INDEX(RulebookFields!D2:D1898, MATCH(D2302,RulebookFields!A2:A1898, 0))), "")</f>
        <v>Title</v>
      </c>
      <c r="J2302" s="4" t="b">
        <f>_xlfn.IFNA(IF(((INDEX(RulebookFields!I2:I1898, MATCH(D2302,RulebookFields!A2:A1898, 0))="")=TRUE),  "",  INDEX(RulebookFields!I2:I1898, MATCH(D2302,RulebookFields!A2:A1898, 0))), "")</f>
        <v>0</v>
      </c>
      <c r="K2302" s="4" t="b">
        <f>AND(((F2302)=TRUE), ((J2302)=TRUE))</f>
        <v>0</v>
      </c>
      <c r="L2302" s="4" t="b">
        <f>AND(((G2302 &lt;&gt; "plain")=TRUE), ((G2302 &lt;&gt; "")=TRUE))</f>
        <v>0</v>
      </c>
      <c r="M2302" s="4" t="str">
        <f>IF(((E2302)=TRUE),  C2302 &amp; "|" &amp; H2302,  "")</f>
        <v>principal-knowledge-authority|Explanations</v>
      </c>
      <c r="N2302" s="3" t="s">
        <v>10004</v>
      </c>
    </row>
    <row r="2303">
      <c r="A2303" s="3" t="s">
        <v>12305</v>
      </c>
      <c r="B2303" s="4" t="str">
        <f>C2303 &amp; " -&gt; " &amp; D2303</f>
        <v>principal-knowledge-authority -&gt; Explanations.Description</v>
      </c>
      <c r="C2303" s="3" t="s">
        <v>9774</v>
      </c>
      <c r="D2303" s="3" t="s">
        <v>3424</v>
      </c>
      <c r="E2303" s="3" t="b">
        <v>1</v>
      </c>
      <c r="F2303" s="3" t="b">
        <v>0</v>
      </c>
      <c r="G2303" s="3" t="s">
        <v>10003</v>
      </c>
      <c r="H2303" s="4" t="str">
        <f>_xlfn.IFNA(IF(((INDEX(RulebookFields!C2:C1898, MATCH(D2303,RulebookFields!A2:A1898, 0))="")=TRUE),  "",  INDEX(RulebookFields!C2:C1898, MATCH(D2303,RulebookFields!A2:A1898, 0))), "")</f>
        <v>Explanations</v>
      </c>
      <c r="I2303" s="4" t="str">
        <f>_xlfn.IFNA(IF(((INDEX(RulebookFields!D2:D1898, MATCH(D2303,RulebookFields!A2:A1898, 0))="")=TRUE),  "",  INDEX(RulebookFields!D2:D1898, MATCH(D2303,RulebookFields!A2:A1898, 0))), "")</f>
        <v>Description</v>
      </c>
      <c r="J2303" s="4" t="b">
        <f>_xlfn.IFNA(IF(((INDEX(RulebookFields!I2:I1898, MATCH(D2303,RulebookFields!A2:A1898, 0))="")=TRUE),  "",  INDEX(RulebookFields!I2:I1898, MATCH(D2303,RulebookFields!A2:A1898, 0))), "")</f>
        <v>0</v>
      </c>
      <c r="K2303" s="4" t="b">
        <f>AND(((F2303)=TRUE), ((J2303)=TRUE))</f>
        <v>0</v>
      </c>
      <c r="L2303" s="4" t="b">
        <f>AND(((G2303 &lt;&gt; "plain")=TRUE), ((G2303 &lt;&gt; "")=TRUE))</f>
        <v>0</v>
      </c>
      <c r="M2303" s="4" t="str">
        <f>IF(((E2303)=TRUE),  C2303 &amp; "|" &amp; H2303,  "")</f>
        <v>principal-knowledge-authority|Explanations</v>
      </c>
      <c r="N2303" s="3" t="s">
        <v>10004</v>
      </c>
    </row>
    <row r="2304">
      <c r="A2304" s="3" t="s">
        <v>12306</v>
      </c>
      <c r="B2304" s="4" t="str">
        <f>C2304 &amp; " -&gt; " &amp; D2304</f>
        <v>principal-knowledge-authority -&gt; Explanations.SemanticTypeIri</v>
      </c>
      <c r="C2304" s="3" t="s">
        <v>9774</v>
      </c>
      <c r="D2304" s="3" t="s">
        <v>3425</v>
      </c>
      <c r="E2304" s="3" t="b">
        <v>1</v>
      </c>
      <c r="F2304" s="3" t="b">
        <v>0</v>
      </c>
      <c r="G2304" s="3" t="s">
        <v>10003</v>
      </c>
      <c r="H2304" s="4" t="str">
        <f>_xlfn.IFNA(IF(((INDEX(RulebookFields!C2:C1898, MATCH(D2304,RulebookFields!A2:A1898, 0))="")=TRUE),  "",  INDEX(RulebookFields!C2:C1898, MATCH(D2304,RulebookFields!A2:A1898, 0))), "")</f>
        <v>Explanations</v>
      </c>
      <c r="I2304" s="4" t="str">
        <f>_xlfn.IFNA(IF(((INDEX(RulebookFields!D2:D1898, MATCH(D2304,RulebookFields!A2:A1898, 0))="")=TRUE),  "",  INDEX(RulebookFields!D2:D1898, MATCH(D2304,RulebookFields!A2:A1898, 0))), "")</f>
        <v>SemanticTypeIri</v>
      </c>
      <c r="J2304" s="4" t="b">
        <f>_xlfn.IFNA(IF(((INDEX(RulebookFields!I2:I1898, MATCH(D2304,RulebookFields!A2:A1898, 0))="")=TRUE),  "",  INDEX(RulebookFields!I2:I1898, MATCH(D2304,RulebookFields!A2:A1898, 0))), "")</f>
        <v>0</v>
      </c>
      <c r="K2304" s="4" t="b">
        <f>AND(((F2304)=TRUE), ((J2304)=TRUE))</f>
        <v>0</v>
      </c>
      <c r="L2304" s="4" t="b">
        <f>AND(((G2304 &lt;&gt; "plain")=TRUE), ((G2304 &lt;&gt; "")=TRUE))</f>
        <v>0</v>
      </c>
      <c r="M2304" s="4" t="str">
        <f>IF(((E2304)=TRUE),  C2304 &amp; "|" &amp; H2304,  "")</f>
        <v>principal-knowledge-authority|Explanations</v>
      </c>
      <c r="N2304" s="3" t="s">
        <v>10004</v>
      </c>
    </row>
    <row r="2305">
      <c r="A2305" s="3" t="s">
        <v>12307</v>
      </c>
      <c r="B2305" s="4" t="str">
        <f>C2305 &amp; " -&gt; " &amp; D2305</f>
        <v>principal-knowledge-authority -&gt; Functions.FunctionId</v>
      </c>
      <c r="C2305" s="3" t="s">
        <v>9774</v>
      </c>
      <c r="D2305" s="3" t="s">
        <v>3016</v>
      </c>
      <c r="E2305" s="3" t="b">
        <v>1</v>
      </c>
      <c r="F2305" s="3" t="b">
        <v>0</v>
      </c>
      <c r="G2305" s="3" t="s">
        <v>10003</v>
      </c>
      <c r="H2305" s="4" t="str">
        <f>_xlfn.IFNA(IF(((INDEX(RulebookFields!C2:C1898, MATCH(D2305,RulebookFields!A2:A1898, 0))="")=TRUE),  "",  INDEX(RulebookFields!C2:C1898, MATCH(D2305,RulebookFields!A2:A1898, 0))), "")</f>
        <v>Functions</v>
      </c>
      <c r="I2305" s="4" t="str">
        <f>_xlfn.IFNA(IF(((INDEX(RulebookFields!D2:D1898, MATCH(D2305,RulebookFields!A2:A1898, 0))="")=TRUE),  "",  INDEX(RulebookFields!D2:D1898, MATCH(D2305,RulebookFields!A2:A1898, 0))), "")</f>
        <v>FunctionId</v>
      </c>
      <c r="J2305" s="4" t="b">
        <f>_xlfn.IFNA(IF(((INDEX(RulebookFields!I2:I1898, MATCH(D2305,RulebookFields!A2:A1898, 0))="")=TRUE),  "",  INDEX(RulebookFields!I2:I1898, MATCH(D2305,RulebookFields!A2:A1898, 0))), "")</f>
        <v>0</v>
      </c>
      <c r="K2305" s="4" t="b">
        <f>AND(((F2305)=TRUE), ((J2305)=TRUE))</f>
        <v>0</v>
      </c>
      <c r="L2305" s="4" t="b">
        <f>AND(((G2305 &lt;&gt; "plain")=TRUE), ((G2305 &lt;&gt; "")=TRUE))</f>
        <v>0</v>
      </c>
      <c r="M2305" s="4" t="str">
        <f>IF(((E2305)=TRUE),  C2305 &amp; "|" &amp; H2305,  "")</f>
        <v>principal-knowledge-authority|Functions</v>
      </c>
      <c r="N2305" s="3" t="s">
        <v>10004</v>
      </c>
    </row>
    <row r="2306">
      <c r="A2306" s="3" t="s">
        <v>12308</v>
      </c>
      <c r="B2306" s="4" t="str">
        <f>C2306 &amp; " -&gt; " &amp; D2306</f>
        <v>principal-knowledge-authority -&gt; Functions.Name</v>
      </c>
      <c r="C2306" s="3" t="s">
        <v>9774</v>
      </c>
      <c r="D2306" s="3" t="s">
        <v>3017</v>
      </c>
      <c r="E2306" s="3" t="b">
        <v>1</v>
      </c>
      <c r="F2306" s="3" t="b">
        <v>0</v>
      </c>
      <c r="G2306" s="3" t="s">
        <v>10003</v>
      </c>
      <c r="H2306" s="4" t="str">
        <f>_xlfn.IFNA(IF(((INDEX(RulebookFields!C2:C1898, MATCH(D2306,RulebookFields!A2:A1898, 0))="")=TRUE),  "",  INDEX(RulebookFields!C2:C1898, MATCH(D2306,RulebookFields!A2:A1898, 0))), "")</f>
        <v>Functions</v>
      </c>
      <c r="I2306" s="4" t="str">
        <f>_xlfn.IFNA(IF(((INDEX(RulebookFields!D2:D1898, MATCH(D2306,RulebookFields!A2:A1898, 0))="")=TRUE),  "",  INDEX(RulebookFields!D2:D1898, MATCH(D2306,RulebookFields!A2:A1898, 0))), "")</f>
        <v>Name</v>
      </c>
      <c r="J2306" s="4" t="b">
        <f>_xlfn.IFNA(IF(((INDEX(RulebookFields!I2:I1898, MATCH(D2306,RulebookFields!A2:A1898, 0))="")=TRUE),  "",  INDEX(RulebookFields!I2:I1898, MATCH(D2306,RulebookFields!A2:A1898, 0))), "")</f>
        <v>1</v>
      </c>
      <c r="K2306" s="4" t="b">
        <f>AND(((F2306)=TRUE), ((J2306)=TRUE))</f>
        <v>0</v>
      </c>
      <c r="L2306" s="4" t="b">
        <f>AND(((G2306 &lt;&gt; "plain")=TRUE), ((G2306 &lt;&gt; "")=TRUE))</f>
        <v>0</v>
      </c>
      <c r="M2306" s="4" t="str">
        <f>IF(((E2306)=TRUE),  C2306 &amp; "|" &amp; H2306,  "")</f>
        <v>principal-knowledge-authority|Functions</v>
      </c>
      <c r="N2306" s="3" t="s">
        <v>10004</v>
      </c>
    </row>
    <row r="2307">
      <c r="A2307" s="3" t="s">
        <v>12309</v>
      </c>
      <c r="B2307" s="4" t="str">
        <f>C2307 &amp; " -&gt; " &amp; D2307</f>
        <v>principal-knowledge-authority -&gt; Functions.Label</v>
      </c>
      <c r="C2307" s="3" t="s">
        <v>9774</v>
      </c>
      <c r="D2307" s="3" t="s">
        <v>3018</v>
      </c>
      <c r="E2307" s="3" t="b">
        <v>1</v>
      </c>
      <c r="F2307" s="3" t="b">
        <v>0</v>
      </c>
      <c r="G2307" s="3" t="s">
        <v>10003</v>
      </c>
      <c r="H2307" s="4" t="str">
        <f>_xlfn.IFNA(IF(((INDEX(RulebookFields!C2:C1898, MATCH(D2307,RulebookFields!A2:A1898, 0))="")=TRUE),  "",  INDEX(RulebookFields!C2:C1898, MATCH(D2307,RulebookFields!A2:A1898, 0))), "")</f>
        <v>Functions</v>
      </c>
      <c r="I2307" s="4" t="str">
        <f>_xlfn.IFNA(IF(((INDEX(RulebookFields!D2:D1898, MATCH(D2307,RulebookFields!A2:A1898, 0))="")=TRUE),  "",  INDEX(RulebookFields!D2:D1898, MATCH(D2307,RulebookFields!A2:A1898, 0))), "")</f>
        <v>Label</v>
      </c>
      <c r="J2307" s="4" t="b">
        <f>_xlfn.IFNA(IF(((INDEX(RulebookFields!I2:I1898, MATCH(D2307,RulebookFields!A2:A1898, 0))="")=TRUE),  "",  INDEX(RulebookFields!I2:I1898, MATCH(D2307,RulebookFields!A2:A1898, 0))), "")</f>
        <v>0</v>
      </c>
      <c r="K2307" s="4" t="b">
        <f>AND(((F2307)=TRUE), ((J2307)=TRUE))</f>
        <v>0</v>
      </c>
      <c r="L2307" s="4" t="b">
        <f>AND(((G2307 &lt;&gt; "plain")=TRUE), ((G2307 &lt;&gt; "")=TRUE))</f>
        <v>0</v>
      </c>
      <c r="M2307" s="4" t="str">
        <f>IF(((E2307)=TRUE),  C2307 &amp; "|" &amp; H2307,  "")</f>
        <v>principal-knowledge-authority|Functions</v>
      </c>
      <c r="N2307" s="3" t="s">
        <v>10004</v>
      </c>
    </row>
    <row r="2308">
      <c r="A2308" s="3" t="s">
        <v>12310</v>
      </c>
      <c r="B2308" s="4" t="str">
        <f>C2308 &amp; " -&gt; " &amp; D2308</f>
        <v>principal-knowledge-authority -&gt; Functions.Definition</v>
      </c>
      <c r="C2308" s="3" t="s">
        <v>9774</v>
      </c>
      <c r="D2308" s="3" t="s">
        <v>3019</v>
      </c>
      <c r="E2308" s="3" t="b">
        <v>1</v>
      </c>
      <c r="F2308" s="3" t="b">
        <v>0</v>
      </c>
      <c r="G2308" s="3" t="s">
        <v>10003</v>
      </c>
      <c r="H2308" s="4" t="str">
        <f>_xlfn.IFNA(IF(((INDEX(RulebookFields!C2:C1898, MATCH(D2308,RulebookFields!A2:A1898, 0))="")=TRUE),  "",  INDEX(RulebookFields!C2:C1898, MATCH(D2308,RulebookFields!A2:A1898, 0))), "")</f>
        <v>Functions</v>
      </c>
      <c r="I2308" s="4" t="str">
        <f>_xlfn.IFNA(IF(((INDEX(RulebookFields!D2:D1898, MATCH(D2308,RulebookFields!A2:A1898, 0))="")=TRUE),  "",  INDEX(RulebookFields!D2:D1898, MATCH(D2308,RulebookFields!A2:A1898, 0))), "")</f>
        <v>Definition</v>
      </c>
      <c r="J2308" s="4" t="b">
        <f>_xlfn.IFNA(IF(((INDEX(RulebookFields!I2:I1898, MATCH(D2308,RulebookFields!A2:A1898, 0))="")=TRUE),  "",  INDEX(RulebookFields!I2:I1898, MATCH(D2308,RulebookFields!A2:A1898, 0))), "")</f>
        <v>0</v>
      </c>
      <c r="K2308" s="4" t="b">
        <f>AND(((F2308)=TRUE), ((J2308)=TRUE))</f>
        <v>0</v>
      </c>
      <c r="L2308" s="4" t="b">
        <f>AND(((G2308 &lt;&gt; "plain")=TRUE), ((G2308 &lt;&gt; "")=TRUE))</f>
        <v>0</v>
      </c>
      <c r="M2308" s="4" t="str">
        <f>IF(((E2308)=TRUE),  C2308 &amp; "|" &amp; H2308,  "")</f>
        <v>principal-knowledge-authority|Functions</v>
      </c>
      <c r="N2308" s="3" t="s">
        <v>10004</v>
      </c>
    </row>
    <row r="2309">
      <c r="A2309" s="3" t="s">
        <v>12311</v>
      </c>
      <c r="B2309" s="4" t="str">
        <f>C2309 &amp; " -&gt; " &amp; D2309</f>
        <v>principal-knowledge-authority -&gt; Functions.ImplementationKey</v>
      </c>
      <c r="C2309" s="3" t="s">
        <v>9774</v>
      </c>
      <c r="D2309" s="3" t="s">
        <v>3020</v>
      </c>
      <c r="E2309" s="3" t="b">
        <v>1</v>
      </c>
      <c r="F2309" s="3" t="b">
        <v>0</v>
      </c>
      <c r="G2309" s="3" t="s">
        <v>10003</v>
      </c>
      <c r="H2309" s="4" t="str">
        <f>_xlfn.IFNA(IF(((INDEX(RulebookFields!C2:C1898, MATCH(D2309,RulebookFields!A2:A1898, 0))="")=TRUE),  "",  INDEX(RulebookFields!C2:C1898, MATCH(D2309,RulebookFields!A2:A1898, 0))), "")</f>
        <v>Functions</v>
      </c>
      <c r="I2309" s="4" t="str">
        <f>_xlfn.IFNA(IF(((INDEX(RulebookFields!D2:D1898, MATCH(D2309,RulebookFields!A2:A1898, 0))="")=TRUE),  "",  INDEX(RulebookFields!D2:D1898, MATCH(D2309,RulebookFields!A2:A1898, 0))), "")</f>
        <v>ImplementationKey</v>
      </c>
      <c r="J2309" s="4" t="b">
        <f>_xlfn.IFNA(IF(((INDEX(RulebookFields!I2:I1898, MATCH(D2309,RulebookFields!A2:A1898, 0))="")=TRUE),  "",  INDEX(RulebookFields!I2:I1898, MATCH(D2309,RulebookFields!A2:A1898, 0))), "")</f>
        <v>0</v>
      </c>
      <c r="K2309" s="4" t="b">
        <f>AND(((F2309)=TRUE), ((J2309)=TRUE))</f>
        <v>0</v>
      </c>
      <c r="L2309" s="4" t="b">
        <f>AND(((G2309 &lt;&gt; "plain")=TRUE), ((G2309 &lt;&gt; "")=TRUE))</f>
        <v>0</v>
      </c>
      <c r="M2309" s="4" t="str">
        <f>IF(((E2309)=TRUE),  C2309 &amp; "|" &amp; H2309,  "")</f>
        <v>principal-knowledge-authority|Functions</v>
      </c>
      <c r="N2309" s="3" t="s">
        <v>10004</v>
      </c>
    </row>
    <row r="2310">
      <c r="A2310" s="3" t="s">
        <v>12312</v>
      </c>
      <c r="B2310" s="4" t="str">
        <f>C2310 &amp; " -&gt; " &amp; D2310</f>
        <v>principal-knowledge-authority -&gt; Functions.SemanticTypeIri</v>
      </c>
      <c r="C2310" s="3" t="s">
        <v>9774</v>
      </c>
      <c r="D2310" s="3" t="s">
        <v>3021</v>
      </c>
      <c r="E2310" s="3" t="b">
        <v>1</v>
      </c>
      <c r="F2310" s="3" t="b">
        <v>0</v>
      </c>
      <c r="G2310" s="3" t="s">
        <v>10003</v>
      </c>
      <c r="H2310" s="4" t="str">
        <f>_xlfn.IFNA(IF(((INDEX(RulebookFields!C2:C1898, MATCH(D2310,RulebookFields!A2:A1898, 0))="")=TRUE),  "",  INDEX(RulebookFields!C2:C1898, MATCH(D2310,RulebookFields!A2:A1898, 0))), "")</f>
        <v>Functions</v>
      </c>
      <c r="I2310" s="4" t="str">
        <f>_xlfn.IFNA(IF(((INDEX(RulebookFields!D2:D1898, MATCH(D2310,RulebookFields!A2:A1898, 0))="")=TRUE),  "",  INDEX(RulebookFields!D2:D1898, MATCH(D2310,RulebookFields!A2:A1898, 0))), "")</f>
        <v>SemanticTypeIri</v>
      </c>
      <c r="J2310" s="4" t="b">
        <f>_xlfn.IFNA(IF(((INDEX(RulebookFields!I2:I1898, MATCH(D2310,RulebookFields!A2:A1898, 0))="")=TRUE),  "",  INDEX(RulebookFields!I2:I1898, MATCH(D2310,RulebookFields!A2:A1898, 0))), "")</f>
        <v>0</v>
      </c>
      <c r="K2310" s="4" t="b">
        <f>AND(((F2310)=TRUE), ((J2310)=TRUE))</f>
        <v>0</v>
      </c>
      <c r="L2310" s="4" t="b">
        <f>AND(((G2310 &lt;&gt; "plain")=TRUE), ((G2310 &lt;&gt; "")=TRUE))</f>
        <v>0</v>
      </c>
      <c r="M2310" s="4" t="str">
        <f>IF(((E2310)=TRUE),  C2310 &amp; "|" &amp; H2310,  "")</f>
        <v>principal-knowledge-authority|Functions</v>
      </c>
      <c r="N2310" s="3" t="s">
        <v>10004</v>
      </c>
    </row>
    <row r="2311">
      <c r="A2311" s="3" t="s">
        <v>12313</v>
      </c>
      <c r="B2311" s="4" t="str">
        <f>C2311 &amp; " -&gt; " &amp; D2311</f>
        <v>principal-knowledge-authority -&gt; IssueOccurrences.IssueOccurrenceId</v>
      </c>
      <c r="C2311" s="3" t="s">
        <v>9774</v>
      </c>
      <c r="D2311" s="3" t="s">
        <v>3860</v>
      </c>
      <c r="E2311" s="3" t="b">
        <v>1</v>
      </c>
      <c r="F2311" s="3" t="b">
        <v>0</v>
      </c>
      <c r="G2311" s="3" t="s">
        <v>10003</v>
      </c>
      <c r="H2311" s="4" t="str">
        <f>_xlfn.IFNA(IF(((INDEX(RulebookFields!C2:C1898, MATCH(D2311,RulebookFields!A2:A1898, 0))="")=TRUE),  "",  INDEX(RulebookFields!C2:C1898, MATCH(D2311,RulebookFields!A2:A1898, 0))), "")</f>
        <v>IssueOccurrences</v>
      </c>
      <c r="I2311" s="4" t="str">
        <f>_xlfn.IFNA(IF(((INDEX(RulebookFields!D2:D1898, MATCH(D2311,RulebookFields!A2:A1898, 0))="")=TRUE),  "",  INDEX(RulebookFields!D2:D1898, MATCH(D2311,RulebookFields!A2:A1898, 0))), "")</f>
        <v>IssueOccurrenceId</v>
      </c>
      <c r="J2311" s="4" t="b">
        <f>_xlfn.IFNA(IF(((INDEX(RulebookFields!I2:I1898, MATCH(D2311,RulebookFields!A2:A1898, 0))="")=TRUE),  "",  INDEX(RulebookFields!I2:I1898, MATCH(D2311,RulebookFields!A2:A1898, 0))), "")</f>
        <v>0</v>
      </c>
      <c r="K2311" s="4" t="b">
        <f>AND(((F2311)=TRUE), ((J2311)=TRUE))</f>
        <v>0</v>
      </c>
      <c r="L2311" s="4" t="b">
        <f>AND(((G2311 &lt;&gt; "plain")=TRUE), ((G2311 &lt;&gt; "")=TRUE))</f>
        <v>0</v>
      </c>
      <c r="M2311" s="4" t="str">
        <f>IF(((E2311)=TRUE),  C2311 &amp; "|" &amp; H2311,  "")</f>
        <v>principal-knowledge-authority|IssueOccurrences</v>
      </c>
      <c r="N2311" s="3" t="s">
        <v>10004</v>
      </c>
    </row>
    <row r="2312">
      <c r="A2312" s="3" t="s">
        <v>12314</v>
      </c>
      <c r="B2312" s="4" t="str">
        <f>C2312 &amp; " -&gt; " &amp; D2312</f>
        <v>principal-knowledge-authority -&gt; IssueOccurrences.Name</v>
      </c>
      <c r="C2312" s="3" t="s">
        <v>9774</v>
      </c>
      <c r="D2312" s="3" t="s">
        <v>3861</v>
      </c>
      <c r="E2312" s="3" t="b">
        <v>1</v>
      </c>
      <c r="F2312" s="3" t="b">
        <v>0</v>
      </c>
      <c r="G2312" s="3" t="s">
        <v>10003</v>
      </c>
      <c r="H2312" s="4" t="str">
        <f>_xlfn.IFNA(IF(((INDEX(RulebookFields!C2:C1898, MATCH(D2312,RulebookFields!A2:A1898, 0))="")=TRUE),  "",  INDEX(RulebookFields!C2:C1898, MATCH(D2312,RulebookFields!A2:A1898, 0))), "")</f>
        <v>IssueOccurrences</v>
      </c>
      <c r="I2312" s="4" t="str">
        <f>_xlfn.IFNA(IF(((INDEX(RulebookFields!D2:D1898, MATCH(D2312,RulebookFields!A2:A1898, 0))="")=TRUE),  "",  INDEX(RulebookFields!D2:D1898, MATCH(D2312,RulebookFields!A2:A1898, 0))), "")</f>
        <v>Name</v>
      </c>
      <c r="J2312" s="4" t="b">
        <f>_xlfn.IFNA(IF(((INDEX(RulebookFields!I2:I1898, MATCH(D2312,RulebookFields!A2:A1898, 0))="")=TRUE),  "",  INDEX(RulebookFields!I2:I1898, MATCH(D2312,RulebookFields!A2:A1898, 0))), "")</f>
        <v>1</v>
      </c>
      <c r="K2312" s="4" t="b">
        <f>AND(((F2312)=TRUE), ((J2312)=TRUE))</f>
        <v>0</v>
      </c>
      <c r="L2312" s="4" t="b">
        <f>AND(((G2312 &lt;&gt; "plain")=TRUE), ((G2312 &lt;&gt; "")=TRUE))</f>
        <v>0</v>
      </c>
      <c r="M2312" s="4" t="str">
        <f>IF(((E2312)=TRUE),  C2312 &amp; "|" &amp; H2312,  "")</f>
        <v>principal-knowledge-authority|IssueOccurrences</v>
      </c>
      <c r="N2312" s="3" t="s">
        <v>10004</v>
      </c>
    </row>
    <row r="2313">
      <c r="A2313" s="3" t="s">
        <v>12315</v>
      </c>
      <c r="B2313" s="4" t="str">
        <f>C2313 &amp; " -&gt; " &amp; D2313</f>
        <v>principal-knowledge-authority -&gt; IssueOccurrences.StepExecution</v>
      </c>
      <c r="C2313" s="3" t="s">
        <v>9774</v>
      </c>
      <c r="D2313" s="3" t="s">
        <v>3863</v>
      </c>
      <c r="E2313" s="3" t="b">
        <v>1</v>
      </c>
      <c r="F2313" s="3" t="b">
        <v>0</v>
      </c>
      <c r="G2313" s="3" t="s">
        <v>10003</v>
      </c>
      <c r="H2313" s="4" t="str">
        <f>_xlfn.IFNA(IF(((INDEX(RulebookFields!C2:C1898, MATCH(D2313,RulebookFields!A2:A1898, 0))="")=TRUE),  "",  INDEX(RulebookFields!C2:C1898, MATCH(D2313,RulebookFields!A2:A1898, 0))), "")</f>
        <v>IssueOccurrences</v>
      </c>
      <c r="I2313" s="4" t="str">
        <f>_xlfn.IFNA(IF(((INDEX(RulebookFields!D2:D1898, MATCH(D2313,RulebookFields!A2:A1898, 0))="")=TRUE),  "",  INDEX(RulebookFields!D2:D1898, MATCH(D2313,RulebookFields!A2:A1898, 0))), "")</f>
        <v>StepExecution</v>
      </c>
      <c r="J2313" s="4" t="b">
        <f>_xlfn.IFNA(IF(((INDEX(RulebookFields!I2:I1898, MATCH(D2313,RulebookFields!A2:A1898, 0))="")=TRUE),  "",  INDEX(RulebookFields!I2:I1898, MATCH(D2313,RulebookFields!A2:A1898, 0))), "")</f>
        <v>0</v>
      </c>
      <c r="K2313" s="4" t="b">
        <f>AND(((F2313)=TRUE), ((J2313)=TRUE))</f>
        <v>0</v>
      </c>
      <c r="L2313" s="4" t="b">
        <f>AND(((G2313 &lt;&gt; "plain")=TRUE), ((G2313 &lt;&gt; "")=TRUE))</f>
        <v>0</v>
      </c>
      <c r="M2313" s="4" t="str">
        <f>IF(((E2313)=TRUE),  C2313 &amp; "|" &amp; H2313,  "")</f>
        <v>principal-knowledge-authority|IssueOccurrences</v>
      </c>
      <c r="N2313" s="3" t="s">
        <v>10004</v>
      </c>
    </row>
    <row r="2314">
      <c r="A2314" s="3" t="s">
        <v>12316</v>
      </c>
      <c r="B2314" s="4" t="str">
        <f>C2314 &amp; " -&gt; " &amp; D2314</f>
        <v>principal-knowledge-authority -&gt; IssueOccurrences.Error</v>
      </c>
      <c r="C2314" s="3" t="s">
        <v>9774</v>
      </c>
      <c r="D2314" s="3" t="s">
        <v>3864</v>
      </c>
      <c r="E2314" s="3" t="b">
        <v>1</v>
      </c>
      <c r="F2314" s="3" t="b">
        <v>0</v>
      </c>
      <c r="G2314" s="3" t="s">
        <v>10003</v>
      </c>
      <c r="H2314" s="4" t="str">
        <f>_xlfn.IFNA(IF(((INDEX(RulebookFields!C2:C1898, MATCH(D2314,RulebookFields!A2:A1898, 0))="")=TRUE),  "",  INDEX(RulebookFields!C2:C1898, MATCH(D2314,RulebookFields!A2:A1898, 0))), "")</f>
        <v>IssueOccurrences</v>
      </c>
      <c r="I2314" s="4" t="str">
        <f>_xlfn.IFNA(IF(((INDEX(RulebookFields!D2:D1898, MATCH(D2314,RulebookFields!A2:A1898, 0))="")=TRUE),  "",  INDEX(RulebookFields!D2:D1898, MATCH(D2314,RulebookFields!A2:A1898, 0))), "")</f>
        <v>Error</v>
      </c>
      <c r="J2314" s="4" t="b">
        <f>_xlfn.IFNA(IF(((INDEX(RulebookFields!I2:I1898, MATCH(D2314,RulebookFields!A2:A1898, 0))="")=TRUE),  "",  INDEX(RulebookFields!I2:I1898, MATCH(D2314,RulebookFields!A2:A1898, 0))), "")</f>
        <v>0</v>
      </c>
      <c r="K2314" s="4" t="b">
        <f>AND(((F2314)=TRUE), ((J2314)=TRUE))</f>
        <v>0</v>
      </c>
      <c r="L2314" s="4" t="b">
        <f>AND(((G2314 &lt;&gt; "plain")=TRUE), ((G2314 &lt;&gt; "")=TRUE))</f>
        <v>0</v>
      </c>
      <c r="M2314" s="4" t="str">
        <f>IF(((E2314)=TRUE),  C2314 &amp; "|" &amp; H2314,  "")</f>
        <v>principal-knowledge-authority|IssueOccurrences</v>
      </c>
      <c r="N2314" s="3" t="s">
        <v>10004</v>
      </c>
    </row>
    <row r="2315">
      <c r="A2315" s="3" t="s">
        <v>12317</v>
      </c>
      <c r="B2315" s="4" t="str">
        <f>C2315 &amp; " -&gt; " &amp; D2315</f>
        <v>principal-knowledge-authority -&gt; IssueOccurrences.EncounteredByAgent</v>
      </c>
      <c r="C2315" s="3" t="s">
        <v>9774</v>
      </c>
      <c r="D2315" s="3" t="s">
        <v>3865</v>
      </c>
      <c r="E2315" s="3" t="b">
        <v>1</v>
      </c>
      <c r="F2315" s="3" t="b">
        <v>0</v>
      </c>
      <c r="G2315" s="3" t="s">
        <v>10003</v>
      </c>
      <c r="H2315" s="4" t="str">
        <f>_xlfn.IFNA(IF(((INDEX(RulebookFields!C2:C1898, MATCH(D2315,RulebookFields!A2:A1898, 0))="")=TRUE),  "",  INDEX(RulebookFields!C2:C1898, MATCH(D2315,RulebookFields!A2:A1898, 0))), "")</f>
        <v>IssueOccurrences</v>
      </c>
      <c r="I2315" s="4" t="str">
        <f>_xlfn.IFNA(IF(((INDEX(RulebookFields!D2:D1898, MATCH(D2315,RulebookFields!A2:A1898, 0))="")=TRUE),  "",  INDEX(RulebookFields!D2:D1898, MATCH(D2315,RulebookFields!A2:A1898, 0))), "")</f>
        <v>EncounteredByAgent</v>
      </c>
      <c r="J2315" s="4" t="b">
        <f>_xlfn.IFNA(IF(((INDEX(RulebookFields!I2:I1898, MATCH(D2315,RulebookFields!A2:A1898, 0))="")=TRUE),  "",  INDEX(RulebookFields!I2:I1898, MATCH(D2315,RulebookFields!A2:A1898, 0))), "")</f>
        <v>0</v>
      </c>
      <c r="K2315" s="4" t="b">
        <f>AND(((F2315)=TRUE), ((J2315)=TRUE))</f>
        <v>0</v>
      </c>
      <c r="L2315" s="4" t="b">
        <f>AND(((G2315 &lt;&gt; "plain")=TRUE), ((G2315 &lt;&gt; "")=TRUE))</f>
        <v>0</v>
      </c>
      <c r="M2315" s="4" t="str">
        <f>IF(((E2315)=TRUE),  C2315 &amp; "|" &amp; H2315,  "")</f>
        <v>principal-knowledge-authority|IssueOccurrences</v>
      </c>
      <c r="N2315" s="3" t="s">
        <v>10004</v>
      </c>
    </row>
    <row r="2316">
      <c r="A2316" s="3" t="s">
        <v>12318</v>
      </c>
      <c r="B2316" s="4" t="str">
        <f>C2316 &amp; " -&gt; " &amp; D2316</f>
        <v>principal-knowledge-authority -&gt; IssueOccurrences.OccurredAt</v>
      </c>
      <c r="C2316" s="3" t="s">
        <v>9774</v>
      </c>
      <c r="D2316" s="3" t="s">
        <v>3866</v>
      </c>
      <c r="E2316" s="3" t="b">
        <v>1</v>
      </c>
      <c r="F2316" s="3" t="b">
        <v>0</v>
      </c>
      <c r="G2316" s="3" t="s">
        <v>10003</v>
      </c>
      <c r="H2316" s="4" t="str">
        <f>_xlfn.IFNA(IF(((INDEX(RulebookFields!C2:C1898, MATCH(D2316,RulebookFields!A2:A1898, 0))="")=TRUE),  "",  INDEX(RulebookFields!C2:C1898, MATCH(D2316,RulebookFields!A2:A1898, 0))), "")</f>
        <v>IssueOccurrences</v>
      </c>
      <c r="I2316" s="4" t="str">
        <f>_xlfn.IFNA(IF(((INDEX(RulebookFields!D2:D1898, MATCH(D2316,RulebookFields!A2:A1898, 0))="")=TRUE),  "",  INDEX(RulebookFields!D2:D1898, MATCH(D2316,RulebookFields!A2:A1898, 0))), "")</f>
        <v>OccurredAt</v>
      </c>
      <c r="J2316" s="4" t="b">
        <f>_xlfn.IFNA(IF(((INDEX(RulebookFields!I2:I1898, MATCH(D2316,RulebookFields!A2:A1898, 0))="")=TRUE),  "",  INDEX(RulebookFields!I2:I1898, MATCH(D2316,RulebookFields!A2:A1898, 0))), "")</f>
        <v>0</v>
      </c>
      <c r="K2316" s="4" t="b">
        <f>AND(((F2316)=TRUE), ((J2316)=TRUE))</f>
        <v>0</v>
      </c>
      <c r="L2316" s="4" t="b">
        <f>AND(((G2316 &lt;&gt; "plain")=TRUE), ((G2316 &lt;&gt; "")=TRUE))</f>
        <v>0</v>
      </c>
      <c r="M2316" s="4" t="str">
        <f>IF(((E2316)=TRUE),  C2316 &amp; "|" &amp; H2316,  "")</f>
        <v>principal-knowledge-authority|IssueOccurrences</v>
      </c>
      <c r="N2316" s="3" t="s">
        <v>10004</v>
      </c>
    </row>
    <row r="2317">
      <c r="A2317" s="3" t="s">
        <v>12319</v>
      </c>
      <c r="B2317" s="4" t="str">
        <f>C2317 &amp; " -&gt; " &amp; D2317</f>
        <v>principal-knowledge-authority -&gt; IssueOccurrences.IssueCause</v>
      </c>
      <c r="C2317" s="3" t="s">
        <v>9774</v>
      </c>
      <c r="D2317" s="3" t="s">
        <v>3867</v>
      </c>
      <c r="E2317" s="3" t="b">
        <v>1</v>
      </c>
      <c r="F2317" s="3" t="b">
        <v>0</v>
      </c>
      <c r="G2317" s="3" t="s">
        <v>10003</v>
      </c>
      <c r="H2317" s="4" t="str">
        <f>_xlfn.IFNA(IF(((INDEX(RulebookFields!C2:C1898, MATCH(D2317,RulebookFields!A2:A1898, 0))="")=TRUE),  "",  INDEX(RulebookFields!C2:C1898, MATCH(D2317,RulebookFields!A2:A1898, 0))), "")</f>
        <v>IssueOccurrences</v>
      </c>
      <c r="I2317" s="4" t="str">
        <f>_xlfn.IFNA(IF(((INDEX(RulebookFields!D2:D1898, MATCH(D2317,RulebookFields!A2:A1898, 0))="")=TRUE),  "",  INDEX(RulebookFields!D2:D1898, MATCH(D2317,RulebookFields!A2:A1898, 0))), "")</f>
        <v>IssueCause</v>
      </c>
      <c r="J2317" s="4" t="b">
        <f>_xlfn.IFNA(IF(((INDEX(RulebookFields!I2:I1898, MATCH(D2317,RulebookFields!A2:A1898, 0))="")=TRUE),  "",  INDEX(RulebookFields!I2:I1898, MATCH(D2317,RulebookFields!A2:A1898, 0))), "")</f>
        <v>0</v>
      </c>
      <c r="K2317" s="4" t="b">
        <f>AND(((F2317)=TRUE), ((J2317)=TRUE))</f>
        <v>0</v>
      </c>
      <c r="L2317" s="4" t="b">
        <f>AND(((G2317 &lt;&gt; "plain")=TRUE), ((G2317 &lt;&gt; "")=TRUE))</f>
        <v>0</v>
      </c>
      <c r="M2317" s="4" t="str">
        <f>IF(((E2317)=TRUE),  C2317 &amp; "|" &amp; H2317,  "")</f>
        <v>principal-knowledge-authority|IssueOccurrences</v>
      </c>
      <c r="N2317" s="3" t="s">
        <v>10004</v>
      </c>
    </row>
    <row r="2318">
      <c r="A2318" s="3" t="s">
        <v>12320</v>
      </c>
      <c r="B2318" s="4" t="str">
        <f>C2318 &amp; " -&gt; " &amp; D2318</f>
        <v>principal-knowledge-authority -&gt; IssueOccurrences.IssueSolution</v>
      </c>
      <c r="C2318" s="3" t="s">
        <v>9774</v>
      </c>
      <c r="D2318" s="3" t="s">
        <v>3868</v>
      </c>
      <c r="E2318" s="3" t="b">
        <v>1</v>
      </c>
      <c r="F2318" s="3" t="b">
        <v>0</v>
      </c>
      <c r="G2318" s="3" t="s">
        <v>10003</v>
      </c>
      <c r="H2318" s="4" t="str">
        <f>_xlfn.IFNA(IF(((INDEX(RulebookFields!C2:C1898, MATCH(D2318,RulebookFields!A2:A1898, 0))="")=TRUE),  "",  INDEX(RulebookFields!C2:C1898, MATCH(D2318,RulebookFields!A2:A1898, 0))), "")</f>
        <v>IssueOccurrences</v>
      </c>
      <c r="I2318" s="4" t="str">
        <f>_xlfn.IFNA(IF(((INDEX(RulebookFields!D2:D1898, MATCH(D2318,RulebookFields!A2:A1898, 0))="")=TRUE),  "",  INDEX(RulebookFields!D2:D1898, MATCH(D2318,RulebookFields!A2:A1898, 0))), "")</f>
        <v>IssueSolution</v>
      </c>
      <c r="J2318" s="4" t="b">
        <f>_xlfn.IFNA(IF(((INDEX(RulebookFields!I2:I1898, MATCH(D2318,RulebookFields!A2:A1898, 0))="")=TRUE),  "",  INDEX(RulebookFields!I2:I1898, MATCH(D2318,RulebookFields!A2:A1898, 0))), "")</f>
        <v>0</v>
      </c>
      <c r="K2318" s="4" t="b">
        <f>AND(((F2318)=TRUE), ((J2318)=TRUE))</f>
        <v>0</v>
      </c>
      <c r="L2318" s="4" t="b">
        <f>AND(((G2318 &lt;&gt; "plain")=TRUE), ((G2318 &lt;&gt; "")=TRUE))</f>
        <v>0</v>
      </c>
      <c r="M2318" s="4" t="str">
        <f>IF(((E2318)=TRUE),  C2318 &amp; "|" &amp; H2318,  "")</f>
        <v>principal-knowledge-authority|IssueOccurrences</v>
      </c>
      <c r="N2318" s="3" t="s">
        <v>10004</v>
      </c>
    </row>
    <row r="2319">
      <c r="A2319" s="3" t="s">
        <v>12321</v>
      </c>
      <c r="B2319" s="4" t="str">
        <f>C2319 &amp; " -&gt; " &amp; D2319</f>
        <v>principal-knowledge-authority -&gt; IssueOccurrences.Status</v>
      </c>
      <c r="C2319" s="3" t="s">
        <v>9774</v>
      </c>
      <c r="D2319" s="3" t="s">
        <v>3869</v>
      </c>
      <c r="E2319" s="3" t="b">
        <v>1</v>
      </c>
      <c r="F2319" s="3" t="b">
        <v>0</v>
      </c>
      <c r="G2319" s="3" t="s">
        <v>10003</v>
      </c>
      <c r="H2319" s="4" t="str">
        <f>_xlfn.IFNA(IF(((INDEX(RulebookFields!C2:C1898, MATCH(D2319,RulebookFields!A2:A1898, 0))="")=TRUE),  "",  INDEX(RulebookFields!C2:C1898, MATCH(D2319,RulebookFields!A2:A1898, 0))), "")</f>
        <v>IssueOccurrences</v>
      </c>
      <c r="I2319" s="4" t="str">
        <f>_xlfn.IFNA(IF(((INDEX(RulebookFields!D2:D1898, MATCH(D2319,RulebookFields!A2:A1898, 0))="")=TRUE),  "",  INDEX(RulebookFields!D2:D1898, MATCH(D2319,RulebookFields!A2:A1898, 0))), "")</f>
        <v>Status</v>
      </c>
      <c r="J2319" s="4" t="b">
        <f>_xlfn.IFNA(IF(((INDEX(RulebookFields!I2:I1898, MATCH(D2319,RulebookFields!A2:A1898, 0))="")=TRUE),  "",  INDEX(RulebookFields!I2:I1898, MATCH(D2319,RulebookFields!A2:A1898, 0))), "")</f>
        <v>0</v>
      </c>
      <c r="K2319" s="4" t="b">
        <f>AND(((F2319)=TRUE), ((J2319)=TRUE))</f>
        <v>0</v>
      </c>
      <c r="L2319" s="4" t="b">
        <f>AND(((G2319 &lt;&gt; "plain")=TRUE), ((G2319 &lt;&gt; "")=TRUE))</f>
        <v>0</v>
      </c>
      <c r="M2319" s="4" t="str">
        <f>IF(((E2319)=TRUE),  C2319 &amp; "|" &amp; H2319,  "")</f>
        <v>principal-knowledge-authority|IssueOccurrences</v>
      </c>
      <c r="N2319" s="3" t="s">
        <v>10004</v>
      </c>
    </row>
    <row r="2320">
      <c r="A2320" s="3" t="s">
        <v>12322</v>
      </c>
      <c r="B2320" s="4" t="str">
        <f>C2320 &amp; " -&gt; " &amp; D2320</f>
        <v>principal-knowledge-authority -&gt; IssueOccurrences.IsUnresolved</v>
      </c>
      <c r="C2320" s="3" t="s">
        <v>9774</v>
      </c>
      <c r="D2320" s="3" t="s">
        <v>3870</v>
      </c>
      <c r="E2320" s="3" t="b">
        <v>1</v>
      </c>
      <c r="F2320" s="3" t="b">
        <v>0</v>
      </c>
      <c r="G2320" s="3" t="s">
        <v>10003</v>
      </c>
      <c r="H2320" s="4" t="str">
        <f>_xlfn.IFNA(IF(((INDEX(RulebookFields!C2:C1898, MATCH(D2320,RulebookFields!A2:A1898, 0))="")=TRUE),  "",  INDEX(RulebookFields!C2:C1898, MATCH(D2320,RulebookFields!A2:A1898, 0))), "")</f>
        <v>IssueOccurrences</v>
      </c>
      <c r="I2320" s="4" t="str">
        <f>_xlfn.IFNA(IF(((INDEX(RulebookFields!D2:D1898, MATCH(D2320,RulebookFields!A2:A1898, 0))="")=TRUE),  "",  INDEX(RulebookFields!D2:D1898, MATCH(D2320,RulebookFields!A2:A1898, 0))), "")</f>
        <v>IsUnresolved</v>
      </c>
      <c r="J2320" s="4" t="b">
        <f>_xlfn.IFNA(IF(((INDEX(RulebookFields!I2:I1898, MATCH(D2320,RulebookFields!A2:A1898, 0))="")=TRUE),  "",  INDEX(RulebookFields!I2:I1898, MATCH(D2320,RulebookFields!A2:A1898, 0))), "")</f>
        <v>1</v>
      </c>
      <c r="K2320" s="4" t="b">
        <f>AND(((F2320)=TRUE), ((J2320)=TRUE))</f>
        <v>0</v>
      </c>
      <c r="L2320" s="4" t="b">
        <f>AND(((G2320 &lt;&gt; "plain")=TRUE), ((G2320 &lt;&gt; "")=TRUE))</f>
        <v>0</v>
      </c>
      <c r="M2320" s="4" t="str">
        <f>IF(((E2320)=TRUE),  C2320 &amp; "|" &amp; H2320,  "")</f>
        <v>principal-knowledge-authority|IssueOccurrences</v>
      </c>
      <c r="N2320" s="3" t="s">
        <v>10004</v>
      </c>
    </row>
    <row r="2321">
      <c r="A2321" s="3" t="s">
        <v>12323</v>
      </c>
      <c r="B2321" s="4" t="str">
        <f>C2321 &amp; " -&gt; " &amp; D2321</f>
        <v>principal-knowledge-authority -&gt; IssueOccurrences.StepExecutionWhenUnresolved</v>
      </c>
      <c r="C2321" s="3" t="s">
        <v>9774</v>
      </c>
      <c r="D2321" s="3" t="s">
        <v>3872</v>
      </c>
      <c r="E2321" s="3" t="b">
        <v>1</v>
      </c>
      <c r="F2321" s="3" t="b">
        <v>0</v>
      </c>
      <c r="G2321" s="3" t="s">
        <v>10003</v>
      </c>
      <c r="H2321" s="4" t="str">
        <f>_xlfn.IFNA(IF(((INDEX(RulebookFields!C2:C1898, MATCH(D2321,RulebookFields!A2:A1898, 0))="")=TRUE),  "",  INDEX(RulebookFields!C2:C1898, MATCH(D2321,RulebookFields!A2:A1898, 0))), "")</f>
        <v>IssueOccurrences</v>
      </c>
      <c r="I2321" s="4" t="str">
        <f>_xlfn.IFNA(IF(((INDEX(RulebookFields!D2:D1898, MATCH(D2321,RulebookFields!A2:A1898, 0))="")=TRUE),  "",  INDEX(RulebookFields!D2:D1898, MATCH(D2321,RulebookFields!A2:A1898, 0))), "")</f>
        <v>StepExecutionWhenUnresolved</v>
      </c>
      <c r="J2321" s="4" t="b">
        <f>_xlfn.IFNA(IF(((INDEX(RulebookFields!I2:I1898, MATCH(D2321,RulebookFields!A2:A1898, 0))="")=TRUE),  "",  INDEX(RulebookFields!I2:I1898, MATCH(D2321,RulebookFields!A2:A1898, 0))), "")</f>
        <v>1</v>
      </c>
      <c r="K2321" s="4" t="b">
        <f>AND(((F2321)=TRUE), ((J2321)=TRUE))</f>
        <v>0</v>
      </c>
      <c r="L2321" s="4" t="b">
        <f>AND(((G2321 &lt;&gt; "plain")=TRUE), ((G2321 &lt;&gt; "")=TRUE))</f>
        <v>0</v>
      </c>
      <c r="M2321" s="4" t="str">
        <f>IF(((E2321)=TRUE),  C2321 &amp; "|" &amp; H2321,  "")</f>
        <v>principal-knowledge-authority|IssueOccurrences</v>
      </c>
      <c r="N2321" s="3" t="s">
        <v>10004</v>
      </c>
    </row>
    <row r="2322">
      <c r="A2322" s="3" t="s">
        <v>12324</v>
      </c>
      <c r="B2322" s="4" t="str">
        <f>C2322 &amp; " -&gt; " &amp; D2322</f>
        <v>principal-knowledge-authority -&gt; IssueOccurrences.SemanticTypeIri</v>
      </c>
      <c r="C2322" s="3" t="s">
        <v>9774</v>
      </c>
      <c r="D2322" s="3" t="s">
        <v>3874</v>
      </c>
      <c r="E2322" s="3" t="b">
        <v>1</v>
      </c>
      <c r="F2322" s="3" t="b">
        <v>0</v>
      </c>
      <c r="G2322" s="3" t="s">
        <v>10003</v>
      </c>
      <c r="H2322" s="4" t="str">
        <f>_xlfn.IFNA(IF(((INDEX(RulebookFields!C2:C1898, MATCH(D2322,RulebookFields!A2:A1898, 0))="")=TRUE),  "",  INDEX(RulebookFields!C2:C1898, MATCH(D2322,RulebookFields!A2:A1898, 0))), "")</f>
        <v>IssueOccurrences</v>
      </c>
      <c r="I2322" s="4" t="str">
        <f>_xlfn.IFNA(IF(((INDEX(RulebookFields!D2:D1898, MATCH(D2322,RulebookFields!A2:A1898, 0))="")=TRUE),  "",  INDEX(RulebookFields!D2:D1898, MATCH(D2322,RulebookFields!A2:A1898, 0))), "")</f>
        <v>SemanticTypeIri</v>
      </c>
      <c r="J2322" s="4" t="b">
        <f>_xlfn.IFNA(IF(((INDEX(RulebookFields!I2:I1898, MATCH(D2322,RulebookFields!A2:A1898, 0))="")=TRUE),  "",  INDEX(RulebookFields!I2:I1898, MATCH(D2322,RulebookFields!A2:A1898, 0))), "")</f>
        <v>0</v>
      </c>
      <c r="K2322" s="4" t="b">
        <f>AND(((F2322)=TRUE), ((J2322)=TRUE))</f>
        <v>0</v>
      </c>
      <c r="L2322" s="4" t="b">
        <f>AND(((G2322 &lt;&gt; "plain")=TRUE), ((G2322 &lt;&gt; "")=TRUE))</f>
        <v>0</v>
      </c>
      <c r="M2322" s="4" t="str">
        <f>IF(((E2322)=TRUE),  C2322 &amp; "|" &amp; H2322,  "")</f>
        <v>principal-knowledge-authority|IssueOccurrences</v>
      </c>
      <c r="N2322" s="3" t="s">
        <v>10004</v>
      </c>
    </row>
    <row r="2323">
      <c r="A2323" s="3" t="s">
        <v>12325</v>
      </c>
      <c r="B2323" s="4" t="str">
        <f>C2323 &amp; " -&gt; " &amp; D2323</f>
        <v>principal-knowledge-authority -&gt; KnowledgeFragments.KnowledgeFragmentId</v>
      </c>
      <c r="C2323" s="3" t="s">
        <v>9774</v>
      </c>
      <c r="D2323" s="3" t="s">
        <v>3225</v>
      </c>
      <c r="E2323" s="3" t="b">
        <v>1</v>
      </c>
      <c r="F2323" s="3" t="b">
        <v>0</v>
      </c>
      <c r="G2323" s="3" t="s">
        <v>10003</v>
      </c>
      <c r="H2323" s="4" t="str">
        <f>_xlfn.IFNA(IF(((INDEX(RulebookFields!C2:C1898, MATCH(D2323,RulebookFields!A2:A1898, 0))="")=TRUE),  "",  INDEX(RulebookFields!C2:C1898, MATCH(D2323,RulebookFields!A2:A1898, 0))), "")</f>
        <v>KnowledgeFragments</v>
      </c>
      <c r="I2323" s="4" t="str">
        <f>_xlfn.IFNA(IF(((INDEX(RulebookFields!D2:D1898, MATCH(D2323,RulebookFields!A2:A1898, 0))="")=TRUE),  "",  INDEX(RulebookFields!D2:D1898, MATCH(D2323,RulebookFields!A2:A1898, 0))), "")</f>
        <v>KnowledgeFragmentId</v>
      </c>
      <c r="J2323" s="4" t="b">
        <f>_xlfn.IFNA(IF(((INDEX(RulebookFields!I2:I1898, MATCH(D2323,RulebookFields!A2:A1898, 0))="")=TRUE),  "",  INDEX(RulebookFields!I2:I1898, MATCH(D2323,RulebookFields!A2:A1898, 0))), "")</f>
        <v>0</v>
      </c>
      <c r="K2323" s="4" t="b">
        <f>AND(((F2323)=TRUE), ((J2323)=TRUE))</f>
        <v>0</v>
      </c>
      <c r="L2323" s="4" t="b">
        <f>AND(((G2323 &lt;&gt; "plain")=TRUE), ((G2323 &lt;&gt; "")=TRUE))</f>
        <v>0</v>
      </c>
      <c r="M2323" s="4" t="str">
        <f>IF(((E2323)=TRUE),  C2323 &amp; "|" &amp; H2323,  "")</f>
        <v>principal-knowledge-authority|KnowledgeFragments</v>
      </c>
      <c r="N2323" s="3" t="s">
        <v>10004</v>
      </c>
    </row>
    <row r="2324">
      <c r="A2324" s="3" t="s">
        <v>12326</v>
      </c>
      <c r="B2324" s="4" t="str">
        <f>C2324 &amp; " -&gt; " &amp; D2324</f>
        <v>principal-knowledge-authority -&gt; KnowledgeFragments.Name</v>
      </c>
      <c r="C2324" s="3" t="s">
        <v>9774</v>
      </c>
      <c r="D2324" s="3" t="s">
        <v>3226</v>
      </c>
      <c r="E2324" s="3" t="b">
        <v>1</v>
      </c>
      <c r="F2324" s="3" t="b">
        <v>0</v>
      </c>
      <c r="G2324" s="3" t="s">
        <v>10003</v>
      </c>
      <c r="H2324" s="4" t="str">
        <f>_xlfn.IFNA(IF(((INDEX(RulebookFields!C2:C1898, MATCH(D2324,RulebookFields!A2:A1898, 0))="")=TRUE),  "",  INDEX(RulebookFields!C2:C1898, MATCH(D2324,RulebookFields!A2:A1898, 0))), "")</f>
        <v>KnowledgeFragments</v>
      </c>
      <c r="I2324" s="4" t="str">
        <f>_xlfn.IFNA(IF(((INDEX(RulebookFields!D2:D1898, MATCH(D2324,RulebookFields!A2:A1898, 0))="")=TRUE),  "",  INDEX(RulebookFields!D2:D1898, MATCH(D2324,RulebookFields!A2:A1898, 0))), "")</f>
        <v>Name</v>
      </c>
      <c r="J2324" s="4" t="b">
        <f>_xlfn.IFNA(IF(((INDEX(RulebookFields!I2:I1898, MATCH(D2324,RulebookFields!A2:A1898, 0))="")=TRUE),  "",  INDEX(RulebookFields!I2:I1898, MATCH(D2324,RulebookFields!A2:A1898, 0))), "")</f>
        <v>1</v>
      </c>
      <c r="K2324" s="4" t="b">
        <f>AND(((F2324)=TRUE), ((J2324)=TRUE))</f>
        <v>0</v>
      </c>
      <c r="L2324" s="4" t="b">
        <f>AND(((G2324 &lt;&gt; "plain")=TRUE), ((G2324 &lt;&gt; "")=TRUE))</f>
        <v>0</v>
      </c>
      <c r="M2324" s="4" t="str">
        <f>IF(((E2324)=TRUE),  C2324 &amp; "|" &amp; H2324,  "")</f>
        <v>principal-knowledge-authority|KnowledgeFragments</v>
      </c>
      <c r="N2324" s="3" t="s">
        <v>10004</v>
      </c>
    </row>
    <row r="2325">
      <c r="A2325" s="3" t="s">
        <v>12327</v>
      </c>
      <c r="B2325" s="4" t="str">
        <f>C2325 &amp; " -&gt; " &amp; D2325</f>
        <v>principal-knowledge-authority -&gt; KnowledgeFragments.ProcedureVersion</v>
      </c>
      <c r="C2325" s="3" t="s">
        <v>9774</v>
      </c>
      <c r="D2325" s="3" t="s">
        <v>3228</v>
      </c>
      <c r="E2325" s="3" t="b">
        <v>1</v>
      </c>
      <c r="F2325" s="3" t="b">
        <v>0</v>
      </c>
      <c r="G2325" s="3" t="s">
        <v>10003</v>
      </c>
      <c r="H2325" s="4" t="str">
        <f>_xlfn.IFNA(IF(((INDEX(RulebookFields!C2:C1898, MATCH(D2325,RulebookFields!A2:A1898, 0))="")=TRUE),  "",  INDEX(RulebookFields!C2:C1898, MATCH(D2325,RulebookFields!A2:A1898, 0))), "")</f>
        <v>KnowledgeFragments</v>
      </c>
      <c r="I2325" s="4" t="str">
        <f>_xlfn.IFNA(IF(((INDEX(RulebookFields!D2:D1898, MATCH(D2325,RulebookFields!A2:A1898, 0))="")=TRUE),  "",  INDEX(RulebookFields!D2:D1898, MATCH(D2325,RulebookFields!A2:A1898, 0))), "")</f>
        <v>ProcedureVersion</v>
      </c>
      <c r="J2325" s="4" t="b">
        <f>_xlfn.IFNA(IF(((INDEX(RulebookFields!I2:I1898, MATCH(D2325,RulebookFields!A2:A1898, 0))="")=TRUE),  "",  INDEX(RulebookFields!I2:I1898, MATCH(D2325,RulebookFields!A2:A1898, 0))), "")</f>
        <v>0</v>
      </c>
      <c r="K2325" s="4" t="b">
        <f>AND(((F2325)=TRUE), ((J2325)=TRUE))</f>
        <v>0</v>
      </c>
      <c r="L2325" s="4" t="b">
        <f>AND(((G2325 &lt;&gt; "plain")=TRUE), ((G2325 &lt;&gt; "")=TRUE))</f>
        <v>0</v>
      </c>
      <c r="M2325" s="4" t="str">
        <f>IF(((E2325)=TRUE),  C2325 &amp; "|" &amp; H2325,  "")</f>
        <v>principal-knowledge-authority|KnowledgeFragments</v>
      </c>
      <c r="N2325" s="3" t="s">
        <v>10004</v>
      </c>
    </row>
    <row r="2326">
      <c r="A2326" s="3" t="s">
        <v>12328</v>
      </c>
      <c r="B2326" s="4" t="str">
        <f>C2326 &amp; " -&gt; " &amp; D2326</f>
        <v>principal-knowledge-authority -&gt; KnowledgeFragments.Step</v>
      </c>
      <c r="C2326" s="3" t="s">
        <v>9774</v>
      </c>
      <c r="D2326" s="3" t="s">
        <v>3229</v>
      </c>
      <c r="E2326" s="3" t="b">
        <v>1</v>
      </c>
      <c r="F2326" s="3" t="b">
        <v>0</v>
      </c>
      <c r="G2326" s="3" t="s">
        <v>10003</v>
      </c>
      <c r="H2326" s="4" t="str">
        <f>_xlfn.IFNA(IF(((INDEX(RulebookFields!C2:C1898, MATCH(D2326,RulebookFields!A2:A1898, 0))="")=TRUE),  "",  INDEX(RulebookFields!C2:C1898, MATCH(D2326,RulebookFields!A2:A1898, 0))), "")</f>
        <v>KnowledgeFragments</v>
      </c>
      <c r="I2326" s="4" t="str">
        <f>_xlfn.IFNA(IF(((INDEX(RulebookFields!D2:D1898, MATCH(D2326,RulebookFields!A2:A1898, 0))="")=TRUE),  "",  INDEX(RulebookFields!D2:D1898, MATCH(D2326,RulebookFields!A2:A1898, 0))), "")</f>
        <v>Step</v>
      </c>
      <c r="J2326" s="4" t="b">
        <f>_xlfn.IFNA(IF(((INDEX(RulebookFields!I2:I1898, MATCH(D2326,RulebookFields!A2:A1898, 0))="")=TRUE),  "",  INDEX(RulebookFields!I2:I1898, MATCH(D2326,RulebookFields!A2:A1898, 0))), "")</f>
        <v>0</v>
      </c>
      <c r="K2326" s="4" t="b">
        <f>AND(((F2326)=TRUE), ((J2326)=TRUE))</f>
        <v>0</v>
      </c>
      <c r="L2326" s="4" t="b">
        <f>AND(((G2326 &lt;&gt; "plain")=TRUE), ((G2326 &lt;&gt; "")=TRUE))</f>
        <v>0</v>
      </c>
      <c r="M2326" s="4" t="str">
        <f>IF(((E2326)=TRUE),  C2326 &amp; "|" &amp; H2326,  "")</f>
        <v>principal-knowledge-authority|KnowledgeFragments</v>
      </c>
      <c r="N2326" s="3" t="s">
        <v>10004</v>
      </c>
    </row>
    <row r="2327">
      <c r="A2327" s="3" t="s">
        <v>12329</v>
      </c>
      <c r="B2327" s="4" t="str">
        <f>C2327 &amp; " -&gt; " &amp; D2327</f>
        <v>principal-knowledge-authority -&gt; KnowledgeFragments.KnowledgeForm</v>
      </c>
      <c r="C2327" s="3" t="s">
        <v>9774</v>
      </c>
      <c r="D2327" s="3" t="s">
        <v>3230</v>
      </c>
      <c r="E2327" s="3" t="b">
        <v>1</v>
      </c>
      <c r="F2327" s="3" t="b">
        <v>0</v>
      </c>
      <c r="G2327" s="3" t="s">
        <v>10003</v>
      </c>
      <c r="H2327" s="4" t="str">
        <f>_xlfn.IFNA(IF(((INDEX(RulebookFields!C2:C1898, MATCH(D2327,RulebookFields!A2:A1898, 0))="")=TRUE),  "",  INDEX(RulebookFields!C2:C1898, MATCH(D2327,RulebookFields!A2:A1898, 0))), "")</f>
        <v>KnowledgeFragments</v>
      </c>
      <c r="I2327" s="4" t="str">
        <f>_xlfn.IFNA(IF(((INDEX(RulebookFields!D2:D1898, MATCH(D2327,RulebookFields!A2:A1898, 0))="")=TRUE),  "",  INDEX(RulebookFields!D2:D1898, MATCH(D2327,RulebookFields!A2:A1898, 0))), "")</f>
        <v>KnowledgeForm</v>
      </c>
      <c r="J2327" s="4" t="b">
        <f>_xlfn.IFNA(IF(((INDEX(RulebookFields!I2:I1898, MATCH(D2327,RulebookFields!A2:A1898, 0))="")=TRUE),  "",  INDEX(RulebookFields!I2:I1898, MATCH(D2327,RulebookFields!A2:A1898, 0))), "")</f>
        <v>0</v>
      </c>
      <c r="K2327" s="4" t="b">
        <f>AND(((F2327)=TRUE), ((J2327)=TRUE))</f>
        <v>0</v>
      </c>
      <c r="L2327" s="4" t="b">
        <f>AND(((G2327 &lt;&gt; "plain")=TRUE), ((G2327 &lt;&gt; "")=TRUE))</f>
        <v>0</v>
      </c>
      <c r="M2327" s="4" t="str">
        <f>IF(((E2327)=TRUE),  C2327 &amp; "|" &amp; H2327,  "")</f>
        <v>principal-knowledge-authority|KnowledgeFragments</v>
      </c>
      <c r="N2327" s="3" t="s">
        <v>10004</v>
      </c>
    </row>
    <row r="2328">
      <c r="A2328" s="3" t="s">
        <v>12330</v>
      </c>
      <c r="B2328" s="4" t="str">
        <f>C2328 &amp; " -&gt; " &amp; D2328</f>
        <v>principal-knowledge-authority -&gt; KnowledgeFragments.Statement</v>
      </c>
      <c r="C2328" s="3" t="s">
        <v>9774</v>
      </c>
      <c r="D2328" s="3" t="s">
        <v>3231</v>
      </c>
      <c r="E2328" s="3" t="b">
        <v>1</v>
      </c>
      <c r="F2328" s="3" t="b">
        <v>0</v>
      </c>
      <c r="G2328" s="3" t="s">
        <v>10003</v>
      </c>
      <c r="H2328" s="4" t="str">
        <f>_xlfn.IFNA(IF(((INDEX(RulebookFields!C2:C1898, MATCH(D2328,RulebookFields!A2:A1898, 0))="")=TRUE),  "",  INDEX(RulebookFields!C2:C1898, MATCH(D2328,RulebookFields!A2:A1898, 0))), "")</f>
        <v>KnowledgeFragments</v>
      </c>
      <c r="I2328" s="4" t="str">
        <f>_xlfn.IFNA(IF(((INDEX(RulebookFields!D2:D1898, MATCH(D2328,RulebookFields!A2:A1898, 0))="")=TRUE),  "",  INDEX(RulebookFields!D2:D1898, MATCH(D2328,RulebookFields!A2:A1898, 0))), "")</f>
        <v>Statement</v>
      </c>
      <c r="J2328" s="4" t="b">
        <f>_xlfn.IFNA(IF(((INDEX(RulebookFields!I2:I1898, MATCH(D2328,RulebookFields!A2:A1898, 0))="")=TRUE),  "",  INDEX(RulebookFields!I2:I1898, MATCH(D2328,RulebookFields!A2:A1898, 0))), "")</f>
        <v>0</v>
      </c>
      <c r="K2328" s="4" t="b">
        <f>AND(((F2328)=TRUE), ((J2328)=TRUE))</f>
        <v>0</v>
      </c>
      <c r="L2328" s="4" t="b">
        <f>AND(((G2328 &lt;&gt; "plain")=TRUE), ((G2328 &lt;&gt; "")=TRUE))</f>
        <v>0</v>
      </c>
      <c r="M2328" s="4" t="str">
        <f>IF(((E2328)=TRUE),  C2328 &amp; "|" &amp; H2328,  "")</f>
        <v>principal-knowledge-authority|KnowledgeFragments</v>
      </c>
      <c r="N2328" s="3" t="s">
        <v>10004</v>
      </c>
    </row>
    <row r="2329">
      <c r="A2329" s="3" t="s">
        <v>12331</v>
      </c>
      <c r="B2329" s="4" t="str">
        <f>C2329 &amp; " -&gt; " &amp; D2329</f>
        <v>principal-knowledge-authority -&gt; KnowledgeFragments.ElicitationSession</v>
      </c>
      <c r="C2329" s="3" t="s">
        <v>9774</v>
      </c>
      <c r="D2329" s="3" t="s">
        <v>3232</v>
      </c>
      <c r="E2329" s="3" t="b">
        <v>1</v>
      </c>
      <c r="F2329" s="3" t="b">
        <v>0</v>
      </c>
      <c r="G2329" s="3" t="s">
        <v>10003</v>
      </c>
      <c r="H2329" s="4" t="str">
        <f>_xlfn.IFNA(IF(((INDEX(RulebookFields!C2:C1898, MATCH(D2329,RulebookFields!A2:A1898, 0))="")=TRUE),  "",  INDEX(RulebookFields!C2:C1898, MATCH(D2329,RulebookFields!A2:A1898, 0))), "")</f>
        <v>KnowledgeFragments</v>
      </c>
      <c r="I2329" s="4" t="str">
        <f>_xlfn.IFNA(IF(((INDEX(RulebookFields!D2:D1898, MATCH(D2329,RulebookFields!A2:A1898, 0))="")=TRUE),  "",  INDEX(RulebookFields!D2:D1898, MATCH(D2329,RulebookFields!A2:A1898, 0))), "")</f>
        <v>ElicitationSession</v>
      </c>
      <c r="J2329" s="4" t="b">
        <f>_xlfn.IFNA(IF(((INDEX(RulebookFields!I2:I1898, MATCH(D2329,RulebookFields!A2:A1898, 0))="")=TRUE),  "",  INDEX(RulebookFields!I2:I1898, MATCH(D2329,RulebookFields!A2:A1898, 0))), "")</f>
        <v>0</v>
      </c>
      <c r="K2329" s="4" t="b">
        <f>AND(((F2329)=TRUE), ((J2329)=TRUE))</f>
        <v>0</v>
      </c>
      <c r="L2329" s="4" t="b">
        <f>AND(((G2329 &lt;&gt; "plain")=TRUE), ((G2329 &lt;&gt; "")=TRUE))</f>
        <v>0</v>
      </c>
      <c r="M2329" s="4" t="str">
        <f>IF(((E2329)=TRUE),  C2329 &amp; "|" &amp; H2329,  "")</f>
        <v>principal-knowledge-authority|KnowledgeFragments</v>
      </c>
      <c r="N2329" s="3" t="s">
        <v>10004</v>
      </c>
    </row>
    <row r="2330">
      <c r="A2330" s="3" t="s">
        <v>12332</v>
      </c>
      <c r="B2330" s="4" t="str">
        <f>C2330 &amp; " -&gt; " &amp; D2330</f>
        <v>principal-knowledge-authority -&gt; KnowledgeFragments.SourceAgent</v>
      </c>
      <c r="C2330" s="3" t="s">
        <v>9774</v>
      </c>
      <c r="D2330" s="3" t="s">
        <v>3233</v>
      </c>
      <c r="E2330" s="3" t="b">
        <v>1</v>
      </c>
      <c r="F2330" s="3" t="b">
        <v>0</v>
      </c>
      <c r="G2330" s="3" t="s">
        <v>10003</v>
      </c>
      <c r="H2330" s="4" t="str">
        <f>_xlfn.IFNA(IF(((INDEX(RulebookFields!C2:C1898, MATCH(D2330,RulebookFields!A2:A1898, 0))="")=TRUE),  "",  INDEX(RulebookFields!C2:C1898, MATCH(D2330,RulebookFields!A2:A1898, 0))), "")</f>
        <v>KnowledgeFragments</v>
      </c>
      <c r="I2330" s="4" t="str">
        <f>_xlfn.IFNA(IF(((INDEX(RulebookFields!D2:D1898, MATCH(D2330,RulebookFields!A2:A1898, 0))="")=TRUE),  "",  INDEX(RulebookFields!D2:D1898, MATCH(D2330,RulebookFields!A2:A1898, 0))), "")</f>
        <v>SourceAgent</v>
      </c>
      <c r="J2330" s="4" t="b">
        <f>_xlfn.IFNA(IF(((INDEX(RulebookFields!I2:I1898, MATCH(D2330,RulebookFields!A2:A1898, 0))="")=TRUE),  "",  INDEX(RulebookFields!I2:I1898, MATCH(D2330,RulebookFields!A2:A1898, 0))), "")</f>
        <v>0</v>
      </c>
      <c r="K2330" s="4" t="b">
        <f>AND(((F2330)=TRUE), ((J2330)=TRUE))</f>
        <v>0</v>
      </c>
      <c r="L2330" s="4" t="b">
        <f>AND(((G2330 &lt;&gt; "plain")=TRUE), ((G2330 &lt;&gt; "")=TRUE))</f>
        <v>0</v>
      </c>
      <c r="M2330" s="4" t="str">
        <f>IF(((E2330)=TRUE),  C2330 &amp; "|" &amp; H2330,  "")</f>
        <v>principal-knowledge-authority|KnowledgeFragments</v>
      </c>
      <c r="N2330" s="3" t="s">
        <v>10004</v>
      </c>
    </row>
    <row r="2331">
      <c r="A2331" s="3" t="s">
        <v>12333</v>
      </c>
      <c r="B2331" s="4" t="str">
        <f>C2331 &amp; " -&gt; " &amp; D2331</f>
        <v>principal-knowledge-authority -&gt; KnowledgeFragments.Confidence</v>
      </c>
      <c r="C2331" s="3" t="s">
        <v>9774</v>
      </c>
      <c r="D2331" s="3" t="s">
        <v>3234</v>
      </c>
      <c r="E2331" s="3" t="b">
        <v>1</v>
      </c>
      <c r="F2331" s="3" t="b">
        <v>0</v>
      </c>
      <c r="G2331" s="3" t="s">
        <v>10003</v>
      </c>
      <c r="H2331" s="4" t="str">
        <f>_xlfn.IFNA(IF(((INDEX(RulebookFields!C2:C1898, MATCH(D2331,RulebookFields!A2:A1898, 0))="")=TRUE),  "",  INDEX(RulebookFields!C2:C1898, MATCH(D2331,RulebookFields!A2:A1898, 0))), "")</f>
        <v>KnowledgeFragments</v>
      </c>
      <c r="I2331" s="4" t="str">
        <f>_xlfn.IFNA(IF(((INDEX(RulebookFields!D2:D1898, MATCH(D2331,RulebookFields!A2:A1898, 0))="")=TRUE),  "",  INDEX(RulebookFields!D2:D1898, MATCH(D2331,RulebookFields!A2:A1898, 0))), "")</f>
        <v>Confidence</v>
      </c>
      <c r="J2331" s="4" t="b">
        <f>_xlfn.IFNA(IF(((INDEX(RulebookFields!I2:I1898, MATCH(D2331,RulebookFields!A2:A1898, 0))="")=TRUE),  "",  INDEX(RulebookFields!I2:I1898, MATCH(D2331,RulebookFields!A2:A1898, 0))), "")</f>
        <v>0</v>
      </c>
      <c r="K2331" s="4" t="b">
        <f>AND(((F2331)=TRUE), ((J2331)=TRUE))</f>
        <v>0</v>
      </c>
      <c r="L2331" s="4" t="b">
        <f>AND(((G2331 &lt;&gt; "plain")=TRUE), ((G2331 &lt;&gt; "")=TRUE))</f>
        <v>0</v>
      </c>
      <c r="M2331" s="4" t="str">
        <f>IF(((E2331)=TRUE),  C2331 &amp; "|" &amp; H2331,  "")</f>
        <v>principal-knowledge-authority|KnowledgeFragments</v>
      </c>
      <c r="N2331" s="3" t="s">
        <v>10004</v>
      </c>
    </row>
    <row r="2332">
      <c r="A2332" s="3" t="s">
        <v>12334</v>
      </c>
      <c r="B2332" s="4" t="str">
        <f>C2332 &amp; " -&gt; " &amp; D2332</f>
        <v>principal-knowledge-authority -&gt; KnowledgeFragments.ValidFrom</v>
      </c>
      <c r="C2332" s="3" t="s">
        <v>9774</v>
      </c>
      <c r="D2332" s="3" t="s">
        <v>3235</v>
      </c>
      <c r="E2332" s="3" t="b">
        <v>1</v>
      </c>
      <c r="F2332" s="3" t="b">
        <v>0</v>
      </c>
      <c r="G2332" s="3" t="s">
        <v>10003</v>
      </c>
      <c r="H2332" s="4" t="str">
        <f>_xlfn.IFNA(IF(((INDEX(RulebookFields!C2:C1898, MATCH(D2332,RulebookFields!A2:A1898, 0))="")=TRUE),  "",  INDEX(RulebookFields!C2:C1898, MATCH(D2332,RulebookFields!A2:A1898, 0))), "")</f>
        <v>KnowledgeFragments</v>
      </c>
      <c r="I2332" s="4" t="str">
        <f>_xlfn.IFNA(IF(((INDEX(RulebookFields!D2:D1898, MATCH(D2332,RulebookFields!A2:A1898, 0))="")=TRUE),  "",  INDEX(RulebookFields!D2:D1898, MATCH(D2332,RulebookFields!A2:A1898, 0))), "")</f>
        <v>ValidFrom</v>
      </c>
      <c r="J2332" s="4" t="b">
        <f>_xlfn.IFNA(IF(((INDEX(RulebookFields!I2:I1898, MATCH(D2332,RulebookFields!A2:A1898, 0))="")=TRUE),  "",  INDEX(RulebookFields!I2:I1898, MATCH(D2332,RulebookFields!A2:A1898, 0))), "")</f>
        <v>0</v>
      </c>
      <c r="K2332" s="4" t="b">
        <f>AND(((F2332)=TRUE), ((J2332)=TRUE))</f>
        <v>0</v>
      </c>
      <c r="L2332" s="4" t="b">
        <f>AND(((G2332 &lt;&gt; "plain")=TRUE), ((G2332 &lt;&gt; "")=TRUE))</f>
        <v>0</v>
      </c>
      <c r="M2332" s="4" t="str">
        <f>IF(((E2332)=TRUE),  C2332 &amp; "|" &amp; H2332,  "")</f>
        <v>principal-knowledge-authority|KnowledgeFragments</v>
      </c>
      <c r="N2332" s="3" t="s">
        <v>10004</v>
      </c>
    </row>
    <row r="2333">
      <c r="A2333" s="3" t="s">
        <v>12335</v>
      </c>
      <c r="B2333" s="4" t="str">
        <f>C2333 &amp; " -&gt; " &amp; D2333</f>
        <v>principal-knowledge-authority -&gt; KnowledgeFragments.ValidTo</v>
      </c>
      <c r="C2333" s="3" t="s">
        <v>9774</v>
      </c>
      <c r="D2333" s="3" t="s">
        <v>3236</v>
      </c>
      <c r="E2333" s="3" t="b">
        <v>1</v>
      </c>
      <c r="F2333" s="3" t="b">
        <v>0</v>
      </c>
      <c r="G2333" s="3" t="s">
        <v>10003</v>
      </c>
      <c r="H2333" s="4" t="str">
        <f>_xlfn.IFNA(IF(((INDEX(RulebookFields!C2:C1898, MATCH(D2333,RulebookFields!A2:A1898, 0))="")=TRUE),  "",  INDEX(RulebookFields!C2:C1898, MATCH(D2333,RulebookFields!A2:A1898, 0))), "")</f>
        <v>KnowledgeFragments</v>
      </c>
      <c r="I2333" s="4" t="str">
        <f>_xlfn.IFNA(IF(((INDEX(RulebookFields!D2:D1898, MATCH(D2333,RulebookFields!A2:A1898, 0))="")=TRUE),  "",  INDEX(RulebookFields!D2:D1898, MATCH(D2333,RulebookFields!A2:A1898, 0))), "")</f>
        <v>ValidTo</v>
      </c>
      <c r="J2333" s="4" t="b">
        <f>_xlfn.IFNA(IF(((INDEX(RulebookFields!I2:I1898, MATCH(D2333,RulebookFields!A2:A1898, 0))="")=TRUE),  "",  INDEX(RulebookFields!I2:I1898, MATCH(D2333,RulebookFields!A2:A1898, 0))), "")</f>
        <v>0</v>
      </c>
      <c r="K2333" s="4" t="b">
        <f>AND(((F2333)=TRUE), ((J2333)=TRUE))</f>
        <v>0</v>
      </c>
      <c r="L2333" s="4" t="b">
        <f>AND(((G2333 &lt;&gt; "plain")=TRUE), ((G2333 &lt;&gt; "")=TRUE))</f>
        <v>0</v>
      </c>
      <c r="M2333" s="4" t="str">
        <f>IF(((E2333)=TRUE),  C2333 &amp; "|" &amp; H2333,  "")</f>
        <v>principal-knowledge-authority|KnowledgeFragments</v>
      </c>
      <c r="N2333" s="3" t="s">
        <v>10004</v>
      </c>
    </row>
    <row r="2334">
      <c r="A2334" s="3" t="s">
        <v>12336</v>
      </c>
      <c r="B2334" s="4" t="str">
        <f>C2334 &amp; " -&gt; " &amp; D2334</f>
        <v>principal-knowledge-authority -&gt; KnowledgeFragments.Status</v>
      </c>
      <c r="C2334" s="3" t="s">
        <v>9774</v>
      </c>
      <c r="D2334" s="3" t="s">
        <v>3237</v>
      </c>
      <c r="E2334" s="3" t="b">
        <v>1</v>
      </c>
      <c r="F2334" s="3" t="b">
        <v>0</v>
      </c>
      <c r="G2334" s="3" t="s">
        <v>10003</v>
      </c>
      <c r="H2334" s="4" t="str">
        <f>_xlfn.IFNA(IF(((INDEX(RulebookFields!C2:C1898, MATCH(D2334,RulebookFields!A2:A1898, 0))="")=TRUE),  "",  INDEX(RulebookFields!C2:C1898, MATCH(D2334,RulebookFields!A2:A1898, 0))), "")</f>
        <v>KnowledgeFragments</v>
      </c>
      <c r="I2334" s="4" t="str">
        <f>_xlfn.IFNA(IF(((INDEX(RulebookFields!D2:D1898, MATCH(D2334,RulebookFields!A2:A1898, 0))="")=TRUE),  "",  INDEX(RulebookFields!D2:D1898, MATCH(D2334,RulebookFields!A2:A1898, 0))), "")</f>
        <v>Status</v>
      </c>
      <c r="J2334" s="4" t="b">
        <f>_xlfn.IFNA(IF(((INDEX(RulebookFields!I2:I1898, MATCH(D2334,RulebookFields!A2:A1898, 0))="")=TRUE),  "",  INDEX(RulebookFields!I2:I1898, MATCH(D2334,RulebookFields!A2:A1898, 0))), "")</f>
        <v>0</v>
      </c>
      <c r="K2334" s="4" t="b">
        <f>AND(((F2334)=TRUE), ((J2334)=TRUE))</f>
        <v>0</v>
      </c>
      <c r="L2334" s="4" t="b">
        <f>AND(((G2334 &lt;&gt; "plain")=TRUE), ((G2334 &lt;&gt; "")=TRUE))</f>
        <v>0</v>
      </c>
      <c r="M2334" s="4" t="str">
        <f>IF(((E2334)=TRUE),  C2334 &amp; "|" &amp; H2334,  "")</f>
        <v>principal-knowledge-authority|KnowledgeFragments</v>
      </c>
      <c r="N2334" s="3" t="s">
        <v>10004</v>
      </c>
    </row>
    <row r="2335">
      <c r="A2335" s="3" t="s">
        <v>12337</v>
      </c>
      <c r="B2335" s="4" t="str">
        <f>C2335 &amp; " -&gt; " &amp; D2335</f>
        <v>principal-knowledge-authority -&gt; KnowledgeFragments.OwnerRole</v>
      </c>
      <c r="C2335" s="3" t="s">
        <v>9774</v>
      </c>
      <c r="D2335" s="3" t="s">
        <v>3238</v>
      </c>
      <c r="E2335" s="3" t="b">
        <v>1</v>
      </c>
      <c r="F2335" s="3" t="b">
        <v>0</v>
      </c>
      <c r="G2335" s="3" t="s">
        <v>10003</v>
      </c>
      <c r="H2335" s="4" t="str">
        <f>_xlfn.IFNA(IF(((INDEX(RulebookFields!C2:C1898, MATCH(D2335,RulebookFields!A2:A1898, 0))="")=TRUE),  "",  INDEX(RulebookFields!C2:C1898, MATCH(D2335,RulebookFields!A2:A1898, 0))), "")</f>
        <v>KnowledgeFragments</v>
      </c>
      <c r="I2335" s="4" t="str">
        <f>_xlfn.IFNA(IF(((INDEX(RulebookFields!D2:D1898, MATCH(D2335,RulebookFields!A2:A1898, 0))="")=TRUE),  "",  INDEX(RulebookFields!D2:D1898, MATCH(D2335,RulebookFields!A2:A1898, 0))), "")</f>
        <v>OwnerRole</v>
      </c>
      <c r="J2335" s="4" t="b">
        <f>_xlfn.IFNA(IF(((INDEX(RulebookFields!I2:I1898, MATCH(D2335,RulebookFields!A2:A1898, 0))="")=TRUE),  "",  INDEX(RulebookFields!I2:I1898, MATCH(D2335,RulebookFields!A2:A1898, 0))), "")</f>
        <v>0</v>
      </c>
      <c r="K2335" s="4" t="b">
        <f>AND(((F2335)=TRUE), ((J2335)=TRUE))</f>
        <v>0</v>
      </c>
      <c r="L2335" s="4" t="b">
        <f>AND(((G2335 &lt;&gt; "plain")=TRUE), ((G2335 &lt;&gt; "")=TRUE))</f>
        <v>0</v>
      </c>
      <c r="M2335" s="4" t="str">
        <f>IF(((E2335)=TRUE),  C2335 &amp; "|" &amp; H2335,  "")</f>
        <v>principal-knowledge-authority|KnowledgeFragments</v>
      </c>
      <c r="N2335" s="3" t="s">
        <v>10004</v>
      </c>
    </row>
    <row r="2336">
      <c r="A2336" s="3" t="s">
        <v>12338</v>
      </c>
      <c r="B2336" s="4" t="str">
        <f>C2336 &amp; " -&gt; " &amp; D2336</f>
        <v>principal-knowledge-authority -&gt; KnowledgeFragments.EvaluationContext</v>
      </c>
      <c r="C2336" s="3" t="s">
        <v>9774</v>
      </c>
      <c r="D2336" s="3" t="s">
        <v>3239</v>
      </c>
      <c r="E2336" s="3" t="b">
        <v>1</v>
      </c>
      <c r="F2336" s="3" t="b">
        <v>0</v>
      </c>
      <c r="G2336" s="3" t="s">
        <v>10003</v>
      </c>
      <c r="H2336" s="4" t="str">
        <f>_xlfn.IFNA(IF(((INDEX(RulebookFields!C2:C1898, MATCH(D2336,RulebookFields!A2:A1898, 0))="")=TRUE),  "",  INDEX(RulebookFields!C2:C1898, MATCH(D2336,RulebookFields!A2:A1898, 0))), "")</f>
        <v>KnowledgeFragments</v>
      </c>
      <c r="I2336" s="4" t="str">
        <f>_xlfn.IFNA(IF(((INDEX(RulebookFields!D2:D1898, MATCH(D2336,RulebookFields!A2:A1898, 0))="")=TRUE),  "",  INDEX(RulebookFields!D2:D1898, MATCH(D2336,RulebookFields!A2:A1898, 0))), "")</f>
        <v>EvaluationContext</v>
      </c>
      <c r="J2336" s="4" t="b">
        <f>_xlfn.IFNA(IF(((INDEX(RulebookFields!I2:I1898, MATCH(D2336,RulebookFields!A2:A1898, 0))="")=TRUE),  "",  INDEX(RulebookFields!I2:I1898, MATCH(D2336,RulebookFields!A2:A1898, 0))), "")</f>
        <v>0</v>
      </c>
      <c r="K2336" s="4" t="b">
        <f>AND(((F2336)=TRUE), ((J2336)=TRUE))</f>
        <v>0</v>
      </c>
      <c r="L2336" s="4" t="b">
        <f>AND(((G2336 &lt;&gt; "plain")=TRUE), ((G2336 &lt;&gt; "")=TRUE))</f>
        <v>0</v>
      </c>
      <c r="M2336" s="4" t="str">
        <f>IF(((E2336)=TRUE),  C2336 &amp; "|" &amp; H2336,  "")</f>
        <v>principal-knowledge-authority|KnowledgeFragments</v>
      </c>
      <c r="N2336" s="3" t="s">
        <v>10004</v>
      </c>
    </row>
    <row r="2337">
      <c r="A2337" s="3" t="s">
        <v>12339</v>
      </c>
      <c r="B2337" s="4" t="str">
        <f>C2337 &amp; " -&gt; " &amp; D2337</f>
        <v>principal-knowledge-authority -&gt; KnowledgeFragments.AsOfInstant</v>
      </c>
      <c r="C2337" s="3" t="s">
        <v>9774</v>
      </c>
      <c r="D2337" s="3" t="s">
        <v>3240</v>
      </c>
      <c r="E2337" s="3" t="b">
        <v>1</v>
      </c>
      <c r="F2337" s="3" t="b">
        <v>0</v>
      </c>
      <c r="G2337" s="3" t="s">
        <v>10003</v>
      </c>
      <c r="H2337" s="4" t="str">
        <f>_xlfn.IFNA(IF(((INDEX(RulebookFields!C2:C1898, MATCH(D2337,RulebookFields!A2:A1898, 0))="")=TRUE),  "",  INDEX(RulebookFields!C2:C1898, MATCH(D2337,RulebookFields!A2:A1898, 0))), "")</f>
        <v>KnowledgeFragments</v>
      </c>
      <c r="I2337" s="4" t="str">
        <f>_xlfn.IFNA(IF(((INDEX(RulebookFields!D2:D1898, MATCH(D2337,RulebookFields!A2:A1898, 0))="")=TRUE),  "",  INDEX(RulebookFields!D2:D1898, MATCH(D2337,RulebookFields!A2:A1898, 0))), "")</f>
        <v>AsOfInstant</v>
      </c>
      <c r="J2337" s="4" t="b">
        <f>_xlfn.IFNA(IF(((INDEX(RulebookFields!I2:I1898, MATCH(D2337,RulebookFields!A2:A1898, 0))="")=TRUE),  "",  INDEX(RulebookFields!I2:I1898, MATCH(D2337,RulebookFields!A2:A1898, 0))), "")</f>
        <v>1</v>
      </c>
      <c r="K2337" s="4" t="b">
        <f>AND(((F2337)=TRUE), ((J2337)=TRUE))</f>
        <v>0</v>
      </c>
      <c r="L2337" s="4" t="b">
        <f>AND(((G2337 &lt;&gt; "plain")=TRUE), ((G2337 &lt;&gt; "")=TRUE))</f>
        <v>0</v>
      </c>
      <c r="M2337" s="4" t="str">
        <f>IF(((E2337)=TRUE),  C2337 &amp; "|" &amp; H2337,  "")</f>
        <v>principal-knowledge-authority|KnowledgeFragments</v>
      </c>
      <c r="N2337" s="3" t="s">
        <v>10004</v>
      </c>
    </row>
    <row r="2338">
      <c r="A2338" s="3" t="s">
        <v>12340</v>
      </c>
      <c r="B2338" s="4" t="str">
        <f>C2338 &amp; " -&gt; " &amp; D2338</f>
        <v>principal-knowledge-authority -&gt; KnowledgeFragments.IsCurrentlyValid</v>
      </c>
      <c r="C2338" s="3" t="s">
        <v>9774</v>
      </c>
      <c r="D2338" s="3" t="s">
        <v>3241</v>
      </c>
      <c r="E2338" s="3" t="b">
        <v>1</v>
      </c>
      <c r="F2338" s="3" t="b">
        <v>0</v>
      </c>
      <c r="G2338" s="3" t="s">
        <v>10003</v>
      </c>
      <c r="H2338" s="4" t="str">
        <f>_xlfn.IFNA(IF(((INDEX(RulebookFields!C2:C1898, MATCH(D2338,RulebookFields!A2:A1898, 0))="")=TRUE),  "",  INDEX(RulebookFields!C2:C1898, MATCH(D2338,RulebookFields!A2:A1898, 0))), "")</f>
        <v>KnowledgeFragments</v>
      </c>
      <c r="I2338" s="4" t="str">
        <f>_xlfn.IFNA(IF(((INDEX(RulebookFields!D2:D1898, MATCH(D2338,RulebookFields!A2:A1898, 0))="")=TRUE),  "",  INDEX(RulebookFields!D2:D1898, MATCH(D2338,RulebookFields!A2:A1898, 0))), "")</f>
        <v>IsCurrentlyValid</v>
      </c>
      <c r="J2338" s="4" t="b">
        <f>_xlfn.IFNA(IF(((INDEX(RulebookFields!I2:I1898, MATCH(D2338,RulebookFields!A2:A1898, 0))="")=TRUE),  "",  INDEX(RulebookFields!I2:I1898, MATCH(D2338,RulebookFields!A2:A1898, 0))), "")</f>
        <v>1</v>
      </c>
      <c r="K2338" s="4" t="b">
        <f>AND(((F2338)=TRUE), ((J2338)=TRUE))</f>
        <v>0</v>
      </c>
      <c r="L2338" s="4" t="b">
        <f>AND(((G2338 &lt;&gt; "plain")=TRUE), ((G2338 &lt;&gt; "")=TRUE))</f>
        <v>0</v>
      </c>
      <c r="M2338" s="4" t="str">
        <f>IF(((E2338)=TRUE),  C2338 &amp; "|" &amp; H2338,  "")</f>
        <v>principal-knowledge-authority|KnowledgeFragments</v>
      </c>
      <c r="N2338" s="3" t="s">
        <v>10004</v>
      </c>
    </row>
    <row r="2339">
      <c r="A2339" s="3" t="s">
        <v>12341</v>
      </c>
      <c r="B2339" s="4" t="str">
        <f>C2339 &amp; " -&gt; " &amp; D2339</f>
        <v>principal-knowledge-authority -&gt; KnowledgeFragments.SourceAgentIsStillEngaged</v>
      </c>
      <c r="C2339" s="3" t="s">
        <v>9774</v>
      </c>
      <c r="D2339" s="3" t="s">
        <v>3243</v>
      </c>
      <c r="E2339" s="3" t="b">
        <v>1</v>
      </c>
      <c r="F2339" s="3" t="b">
        <v>0</v>
      </c>
      <c r="G2339" s="3" t="s">
        <v>10003</v>
      </c>
      <c r="H2339" s="4" t="str">
        <f>_xlfn.IFNA(IF(((INDEX(RulebookFields!C2:C1898, MATCH(D2339,RulebookFields!A2:A1898, 0))="")=TRUE),  "",  INDEX(RulebookFields!C2:C1898, MATCH(D2339,RulebookFields!A2:A1898, 0))), "")</f>
        <v>KnowledgeFragments</v>
      </c>
      <c r="I2339" s="4" t="str">
        <f>_xlfn.IFNA(IF(((INDEX(RulebookFields!D2:D1898, MATCH(D2339,RulebookFields!A2:A1898, 0))="")=TRUE),  "",  INDEX(RulebookFields!D2:D1898, MATCH(D2339,RulebookFields!A2:A1898, 0))), "")</f>
        <v>SourceAgentIsStillEngaged</v>
      </c>
      <c r="J2339" s="4" t="b">
        <f>_xlfn.IFNA(IF(((INDEX(RulebookFields!I2:I1898, MATCH(D2339,RulebookFields!A2:A1898, 0))="")=TRUE),  "",  INDEX(RulebookFields!I2:I1898, MATCH(D2339,RulebookFields!A2:A1898, 0))), "")</f>
        <v>1</v>
      </c>
      <c r="K2339" s="4" t="b">
        <f>AND(((F2339)=TRUE), ((J2339)=TRUE))</f>
        <v>0</v>
      </c>
      <c r="L2339" s="4" t="b">
        <f>AND(((G2339 &lt;&gt; "plain")=TRUE), ((G2339 &lt;&gt; "")=TRUE))</f>
        <v>0</v>
      </c>
      <c r="M2339" s="4" t="str">
        <f>IF(((E2339)=TRUE),  C2339 &amp; "|" &amp; H2339,  "")</f>
        <v>principal-knowledge-authority|KnowledgeFragments</v>
      </c>
      <c r="N2339" s="3" t="s">
        <v>10004</v>
      </c>
    </row>
    <row r="2340">
      <c r="A2340" s="3" t="s">
        <v>12342</v>
      </c>
      <c r="B2340" s="4" t="str">
        <f>C2340 &amp; " -&gt; " &amp; D2340</f>
        <v>principal-knowledge-authority -&gt; KnowledgeFragments.SourceAgentKind</v>
      </c>
      <c r="C2340" s="3" t="s">
        <v>9774</v>
      </c>
      <c r="D2340" s="3" t="s">
        <v>3245</v>
      </c>
      <c r="E2340" s="3" t="b">
        <v>1</v>
      </c>
      <c r="F2340" s="3" t="b">
        <v>0</v>
      </c>
      <c r="G2340" s="3" t="s">
        <v>10003</v>
      </c>
      <c r="H2340" s="4" t="str">
        <f>_xlfn.IFNA(IF(((INDEX(RulebookFields!C2:C1898, MATCH(D2340,RulebookFields!A2:A1898, 0))="")=TRUE),  "",  INDEX(RulebookFields!C2:C1898, MATCH(D2340,RulebookFields!A2:A1898, 0))), "")</f>
        <v>KnowledgeFragments</v>
      </c>
      <c r="I2340" s="4" t="str">
        <f>_xlfn.IFNA(IF(((INDEX(RulebookFields!D2:D1898, MATCH(D2340,RulebookFields!A2:A1898, 0))="")=TRUE),  "",  INDEX(RulebookFields!D2:D1898, MATCH(D2340,RulebookFields!A2:A1898, 0))), "")</f>
        <v>SourceAgentKind</v>
      </c>
      <c r="J2340" s="4" t="b">
        <f>_xlfn.IFNA(IF(((INDEX(RulebookFields!I2:I1898, MATCH(D2340,RulebookFields!A2:A1898, 0))="")=TRUE),  "",  INDEX(RulebookFields!I2:I1898, MATCH(D2340,RulebookFields!A2:A1898, 0))), "")</f>
        <v>1</v>
      </c>
      <c r="K2340" s="4" t="b">
        <f>AND(((F2340)=TRUE), ((J2340)=TRUE))</f>
        <v>0</v>
      </c>
      <c r="L2340" s="4" t="b">
        <f>AND(((G2340 &lt;&gt; "plain")=TRUE), ((G2340 &lt;&gt; "")=TRUE))</f>
        <v>0</v>
      </c>
      <c r="M2340" s="4" t="str">
        <f>IF(((E2340)=TRUE),  C2340 &amp; "|" &amp; H2340,  "")</f>
        <v>principal-knowledge-authority|KnowledgeFragments</v>
      </c>
      <c r="N2340" s="3" t="s">
        <v>10004</v>
      </c>
    </row>
    <row r="2341">
      <c r="A2341" s="3" t="s">
        <v>12343</v>
      </c>
      <c r="B2341" s="4" t="str">
        <f>C2341 &amp; " -&gt; " &amp; D2341</f>
        <v>principal-knowledge-authority -&gt; KnowledgeFragments.HasHumanSource</v>
      </c>
      <c r="C2341" s="3" t="s">
        <v>9774</v>
      </c>
      <c r="D2341" s="3" t="s">
        <v>3247</v>
      </c>
      <c r="E2341" s="3" t="b">
        <v>1</v>
      </c>
      <c r="F2341" s="3" t="b">
        <v>0</v>
      </c>
      <c r="G2341" s="3" t="s">
        <v>10003</v>
      </c>
      <c r="H2341" s="4" t="str">
        <f>_xlfn.IFNA(IF(((INDEX(RulebookFields!C2:C1898, MATCH(D2341,RulebookFields!A2:A1898, 0))="")=TRUE),  "",  INDEX(RulebookFields!C2:C1898, MATCH(D2341,RulebookFields!A2:A1898, 0))), "")</f>
        <v>KnowledgeFragments</v>
      </c>
      <c r="I2341" s="4" t="str">
        <f>_xlfn.IFNA(IF(((INDEX(RulebookFields!D2:D1898, MATCH(D2341,RulebookFields!A2:A1898, 0))="")=TRUE),  "",  INDEX(RulebookFields!D2:D1898, MATCH(D2341,RulebookFields!A2:A1898, 0))), "")</f>
        <v>HasHumanSource</v>
      </c>
      <c r="J2341" s="4" t="b">
        <f>_xlfn.IFNA(IF(((INDEX(RulebookFields!I2:I1898, MATCH(D2341,RulebookFields!A2:A1898, 0))="")=TRUE),  "",  INDEX(RulebookFields!I2:I1898, MATCH(D2341,RulebookFields!A2:A1898, 0))), "")</f>
        <v>1</v>
      </c>
      <c r="K2341" s="4" t="b">
        <f>AND(((F2341)=TRUE), ((J2341)=TRUE))</f>
        <v>0</v>
      </c>
      <c r="L2341" s="4" t="b">
        <f>AND(((G2341 &lt;&gt; "plain")=TRUE), ((G2341 &lt;&gt; "")=TRUE))</f>
        <v>0</v>
      </c>
      <c r="M2341" s="4" t="str">
        <f>IF(((E2341)=TRUE),  C2341 &amp; "|" &amp; H2341,  "")</f>
        <v>principal-knowledge-authority|KnowledgeFragments</v>
      </c>
      <c r="N2341" s="3" t="s">
        <v>10004</v>
      </c>
    </row>
    <row r="2342">
      <c r="A2342" s="3" t="s">
        <v>12344</v>
      </c>
      <c r="B2342" s="4" t="str">
        <f>C2342 &amp; " -&gt; " &amp; D2342</f>
        <v>principal-knowledge-authority -&gt; KnowledgeFragments.HasOrphanedProvenance</v>
      </c>
      <c r="C2342" s="3" t="s">
        <v>9774</v>
      </c>
      <c r="D2342" s="3" t="s">
        <v>3249</v>
      </c>
      <c r="E2342" s="3" t="b">
        <v>1</v>
      </c>
      <c r="F2342" s="3" t="b">
        <v>0</v>
      </c>
      <c r="G2342" s="3" t="s">
        <v>10003</v>
      </c>
      <c r="H2342" s="4" t="str">
        <f>_xlfn.IFNA(IF(((INDEX(RulebookFields!C2:C1898, MATCH(D2342,RulebookFields!A2:A1898, 0))="")=TRUE),  "",  INDEX(RulebookFields!C2:C1898, MATCH(D2342,RulebookFields!A2:A1898, 0))), "")</f>
        <v>KnowledgeFragments</v>
      </c>
      <c r="I2342" s="4" t="str">
        <f>_xlfn.IFNA(IF(((INDEX(RulebookFields!D2:D1898, MATCH(D2342,RulebookFields!A2:A1898, 0))="")=TRUE),  "",  INDEX(RulebookFields!D2:D1898, MATCH(D2342,RulebookFields!A2:A1898, 0))), "")</f>
        <v>HasOrphanedProvenance</v>
      </c>
      <c r="J2342" s="4" t="b">
        <f>_xlfn.IFNA(IF(((INDEX(RulebookFields!I2:I1898, MATCH(D2342,RulebookFields!A2:A1898, 0))="")=TRUE),  "",  INDEX(RulebookFields!I2:I1898, MATCH(D2342,RulebookFields!A2:A1898, 0))), "")</f>
        <v>1</v>
      </c>
      <c r="K2342" s="4" t="b">
        <f>AND(((F2342)=TRUE), ((J2342)=TRUE))</f>
        <v>0</v>
      </c>
      <c r="L2342" s="4" t="b">
        <f>AND(((G2342 &lt;&gt; "plain")=TRUE), ((G2342 &lt;&gt; "")=TRUE))</f>
        <v>0</v>
      </c>
      <c r="M2342" s="4" t="str">
        <f>IF(((E2342)=TRUE),  C2342 &amp; "|" &amp; H2342,  "")</f>
        <v>principal-knowledge-authority|KnowledgeFragments</v>
      </c>
      <c r="N2342" s="3" t="s">
        <v>10004</v>
      </c>
    </row>
    <row r="2343">
      <c r="A2343" s="3" t="s">
        <v>12345</v>
      </c>
      <c r="B2343" s="4" t="str">
        <f>C2343 &amp; " -&gt; " &amp; D2343</f>
        <v>principal-knowledge-authority -&gt; KnowledgeFragments.IsUndefendableTacitClaim</v>
      </c>
      <c r="C2343" s="3" t="s">
        <v>9774</v>
      </c>
      <c r="D2343" s="3" t="s">
        <v>3251</v>
      </c>
      <c r="E2343" s="3" t="b">
        <v>1</v>
      </c>
      <c r="F2343" s="3" t="b">
        <v>0</v>
      </c>
      <c r="G2343" s="3" t="s">
        <v>10003</v>
      </c>
      <c r="H2343" s="4" t="str">
        <f>_xlfn.IFNA(IF(((INDEX(RulebookFields!C2:C1898, MATCH(D2343,RulebookFields!A2:A1898, 0))="")=TRUE),  "",  INDEX(RulebookFields!C2:C1898, MATCH(D2343,RulebookFields!A2:A1898, 0))), "")</f>
        <v>KnowledgeFragments</v>
      </c>
      <c r="I2343" s="4" t="str">
        <f>_xlfn.IFNA(IF(((INDEX(RulebookFields!D2:D1898, MATCH(D2343,RulebookFields!A2:A1898, 0))="")=TRUE),  "",  INDEX(RulebookFields!D2:D1898, MATCH(D2343,RulebookFields!A2:A1898, 0))), "")</f>
        <v>IsUndefendableTacitClaim</v>
      </c>
      <c r="J2343" s="4" t="b">
        <f>_xlfn.IFNA(IF(((INDEX(RulebookFields!I2:I1898, MATCH(D2343,RulebookFields!A2:A1898, 0))="")=TRUE),  "",  INDEX(RulebookFields!I2:I1898, MATCH(D2343,RulebookFields!A2:A1898, 0))), "")</f>
        <v>1</v>
      </c>
      <c r="K2343" s="4" t="b">
        <f>AND(((F2343)=TRUE), ((J2343)=TRUE))</f>
        <v>0</v>
      </c>
      <c r="L2343" s="4" t="b">
        <f>AND(((G2343 &lt;&gt; "plain")=TRUE), ((G2343 &lt;&gt; "")=TRUE))</f>
        <v>0</v>
      </c>
      <c r="M2343" s="4" t="str">
        <f>IF(((E2343)=TRUE),  C2343 &amp; "|" &amp; H2343,  "")</f>
        <v>principal-knowledge-authority|KnowledgeFragments</v>
      </c>
      <c r="N2343" s="3" t="s">
        <v>10004</v>
      </c>
    </row>
    <row r="2344">
      <c r="A2344" s="3" t="s">
        <v>12346</v>
      </c>
      <c r="B2344" s="4" t="str">
        <f>C2344 &amp; " -&gt; " &amp; D2344</f>
        <v>principal-knowledge-authority -&gt; KnowledgeFragments.IsApproved</v>
      </c>
      <c r="C2344" s="3" t="s">
        <v>9774</v>
      </c>
      <c r="D2344" s="3" t="s">
        <v>3253</v>
      </c>
      <c r="E2344" s="3" t="b">
        <v>1</v>
      </c>
      <c r="F2344" s="3" t="b">
        <v>0</v>
      </c>
      <c r="G2344" s="3" t="s">
        <v>10003</v>
      </c>
      <c r="H2344" s="4" t="str">
        <f>_xlfn.IFNA(IF(((INDEX(RulebookFields!C2:C1898, MATCH(D2344,RulebookFields!A2:A1898, 0))="")=TRUE),  "",  INDEX(RulebookFields!C2:C1898, MATCH(D2344,RulebookFields!A2:A1898, 0))), "")</f>
        <v>KnowledgeFragments</v>
      </c>
      <c r="I2344" s="4" t="str">
        <f>_xlfn.IFNA(IF(((INDEX(RulebookFields!D2:D1898, MATCH(D2344,RulebookFields!A2:A1898, 0))="")=TRUE),  "",  INDEX(RulebookFields!D2:D1898, MATCH(D2344,RulebookFields!A2:A1898, 0))), "")</f>
        <v>IsApproved</v>
      </c>
      <c r="J2344" s="4" t="b">
        <f>_xlfn.IFNA(IF(((INDEX(RulebookFields!I2:I1898, MATCH(D2344,RulebookFields!A2:A1898, 0))="")=TRUE),  "",  INDEX(RulebookFields!I2:I1898, MATCH(D2344,RulebookFields!A2:A1898, 0))), "")</f>
        <v>1</v>
      </c>
      <c r="K2344" s="4" t="b">
        <f>AND(((F2344)=TRUE), ((J2344)=TRUE))</f>
        <v>0</v>
      </c>
      <c r="L2344" s="4" t="b">
        <f>AND(((G2344 &lt;&gt; "plain")=TRUE), ((G2344 &lt;&gt; "")=TRUE))</f>
        <v>0</v>
      </c>
      <c r="M2344" s="4" t="str">
        <f>IF(((E2344)=TRUE),  C2344 &amp; "|" &amp; H2344,  "")</f>
        <v>principal-knowledge-authority|KnowledgeFragments</v>
      </c>
      <c r="N2344" s="3" t="s">
        <v>10004</v>
      </c>
    </row>
    <row r="2345">
      <c r="A2345" s="3" t="s">
        <v>12347</v>
      </c>
      <c r="B2345" s="4" t="str">
        <f>C2345 &amp; " -&gt; " &amp; D2345</f>
        <v>principal-knowledge-authority -&gt; KnowledgeFragments.IsWithinValidityWindow</v>
      </c>
      <c r="C2345" s="3" t="s">
        <v>9774</v>
      </c>
      <c r="D2345" s="3" t="s">
        <v>3255</v>
      </c>
      <c r="E2345" s="3" t="b">
        <v>1</v>
      </c>
      <c r="F2345" s="3" t="b">
        <v>0</v>
      </c>
      <c r="G2345" s="3" t="s">
        <v>10003</v>
      </c>
      <c r="H2345" s="4" t="str">
        <f>_xlfn.IFNA(IF(((INDEX(RulebookFields!C2:C1898, MATCH(D2345,RulebookFields!A2:A1898, 0))="")=TRUE),  "",  INDEX(RulebookFields!C2:C1898, MATCH(D2345,RulebookFields!A2:A1898, 0))), "")</f>
        <v>KnowledgeFragments</v>
      </c>
      <c r="I2345" s="4" t="str">
        <f>_xlfn.IFNA(IF(((INDEX(RulebookFields!D2:D1898, MATCH(D2345,RulebookFields!A2:A1898, 0))="")=TRUE),  "",  INDEX(RulebookFields!D2:D1898, MATCH(D2345,RulebookFields!A2:A1898, 0))), "")</f>
        <v>IsWithinValidityWindow</v>
      </c>
      <c r="J2345" s="4" t="b">
        <f>_xlfn.IFNA(IF(((INDEX(RulebookFields!I2:I1898, MATCH(D2345,RulebookFields!A2:A1898, 0))="")=TRUE),  "",  INDEX(RulebookFields!I2:I1898, MATCH(D2345,RulebookFields!A2:A1898, 0))), "")</f>
        <v>1</v>
      </c>
      <c r="K2345" s="4" t="b">
        <f>AND(((F2345)=TRUE), ((J2345)=TRUE))</f>
        <v>0</v>
      </c>
      <c r="L2345" s="4" t="b">
        <f>AND(((G2345 &lt;&gt; "plain")=TRUE), ((G2345 &lt;&gt; "")=TRUE))</f>
        <v>0</v>
      </c>
      <c r="M2345" s="4" t="str">
        <f>IF(((E2345)=TRUE),  C2345 &amp; "|" &amp; H2345,  "")</f>
        <v>principal-knowledge-authority|KnowledgeFragments</v>
      </c>
      <c r="N2345" s="3" t="s">
        <v>10004</v>
      </c>
    </row>
    <row r="2346">
      <c r="A2346" s="3" t="s">
        <v>12348</v>
      </c>
      <c r="B2346" s="4" t="str">
        <f>C2346 &amp; " -&gt; " &amp; D2346</f>
        <v>principal-knowledge-authority -&gt; KnowledgeFragments.IsReliedUpon</v>
      </c>
      <c r="C2346" s="3" t="s">
        <v>9774</v>
      </c>
      <c r="D2346" s="3" t="s">
        <v>3256</v>
      </c>
      <c r="E2346" s="3" t="b">
        <v>1</v>
      </c>
      <c r="F2346" s="3" t="b">
        <v>0</v>
      </c>
      <c r="G2346" s="3" t="s">
        <v>10003</v>
      </c>
      <c r="H2346" s="4" t="str">
        <f>_xlfn.IFNA(IF(((INDEX(RulebookFields!C2:C1898, MATCH(D2346,RulebookFields!A2:A1898, 0))="")=TRUE),  "",  INDEX(RulebookFields!C2:C1898, MATCH(D2346,RulebookFields!A2:A1898, 0))), "")</f>
        <v>KnowledgeFragments</v>
      </c>
      <c r="I2346" s="4" t="str">
        <f>_xlfn.IFNA(IF(((INDEX(RulebookFields!D2:D1898, MATCH(D2346,RulebookFields!A2:A1898, 0))="")=TRUE),  "",  INDEX(RulebookFields!D2:D1898, MATCH(D2346,RulebookFields!A2:A1898, 0))), "")</f>
        <v>IsReliedUpon</v>
      </c>
      <c r="J2346" s="4" t="b">
        <f>_xlfn.IFNA(IF(((INDEX(RulebookFields!I2:I1898, MATCH(D2346,RulebookFields!A2:A1898, 0))="")=TRUE),  "",  INDEX(RulebookFields!I2:I1898, MATCH(D2346,RulebookFields!A2:A1898, 0))), "")</f>
        <v>1</v>
      </c>
      <c r="K2346" s="4" t="b">
        <f>AND(((F2346)=TRUE), ((J2346)=TRUE))</f>
        <v>0</v>
      </c>
      <c r="L2346" s="4" t="b">
        <f>AND(((G2346 &lt;&gt; "plain")=TRUE), ((G2346 &lt;&gt; "")=TRUE))</f>
        <v>0</v>
      </c>
      <c r="M2346" s="4" t="str">
        <f>IF(((E2346)=TRUE),  C2346 &amp; "|" &amp; H2346,  "")</f>
        <v>principal-knowledge-authority|KnowledgeFragments</v>
      </c>
      <c r="N2346" s="3" t="s">
        <v>10004</v>
      </c>
    </row>
    <row r="2347">
      <c r="A2347" s="3" t="s">
        <v>12349</v>
      </c>
      <c r="B2347" s="4" t="str">
        <f>C2347 &amp; " -&gt; " &amp; D2347</f>
        <v>principal-knowledge-authority -&gt; KnowledgeFragments.StepProcedureVersionStatus</v>
      </c>
      <c r="C2347" s="3" t="s">
        <v>9774</v>
      </c>
      <c r="D2347" s="3" t="s">
        <v>3258</v>
      </c>
      <c r="E2347" s="3" t="b">
        <v>1</v>
      </c>
      <c r="F2347" s="3" t="b">
        <v>0</v>
      </c>
      <c r="G2347" s="3" t="s">
        <v>10003</v>
      </c>
      <c r="H2347" s="4" t="str">
        <f>_xlfn.IFNA(IF(((INDEX(RulebookFields!C2:C1898, MATCH(D2347,RulebookFields!A2:A1898, 0))="")=TRUE),  "",  INDEX(RulebookFields!C2:C1898, MATCH(D2347,RulebookFields!A2:A1898, 0))), "")</f>
        <v>KnowledgeFragments</v>
      </c>
      <c r="I2347" s="4" t="str">
        <f>_xlfn.IFNA(IF(((INDEX(RulebookFields!D2:D1898, MATCH(D2347,RulebookFields!A2:A1898, 0))="")=TRUE),  "",  INDEX(RulebookFields!D2:D1898, MATCH(D2347,RulebookFields!A2:A1898, 0))), "")</f>
        <v>StepProcedureVersionStatus</v>
      </c>
      <c r="J2347" s="4" t="b">
        <f>_xlfn.IFNA(IF(((INDEX(RulebookFields!I2:I1898, MATCH(D2347,RulebookFields!A2:A1898, 0))="")=TRUE),  "",  INDEX(RulebookFields!I2:I1898, MATCH(D2347,RulebookFields!A2:A1898, 0))), "")</f>
        <v>1</v>
      </c>
      <c r="K2347" s="4" t="b">
        <f>AND(((F2347)=TRUE), ((J2347)=TRUE))</f>
        <v>0</v>
      </c>
      <c r="L2347" s="4" t="b">
        <f>AND(((G2347 &lt;&gt; "plain")=TRUE), ((G2347 &lt;&gt; "")=TRUE))</f>
        <v>0</v>
      </c>
      <c r="M2347" s="4" t="str">
        <f>IF(((E2347)=TRUE),  C2347 &amp; "|" &amp; H2347,  "")</f>
        <v>principal-knowledge-authority|KnowledgeFragments</v>
      </c>
      <c r="N2347" s="3" t="s">
        <v>10004</v>
      </c>
    </row>
    <row r="2348">
      <c r="A2348" s="3" t="s">
        <v>12350</v>
      </c>
      <c r="B2348" s="4" t="str">
        <f>C2348 &amp; " -&gt; " &amp; D2348</f>
        <v>principal-knowledge-authority -&gt; KnowledgeFragments.IsAttachedToLiveVersion</v>
      </c>
      <c r="C2348" s="3" t="s">
        <v>9774</v>
      </c>
      <c r="D2348" s="3" t="s">
        <v>3260</v>
      </c>
      <c r="E2348" s="3" t="b">
        <v>1</v>
      </c>
      <c r="F2348" s="3" t="b">
        <v>0</v>
      </c>
      <c r="G2348" s="3" t="s">
        <v>10003</v>
      </c>
      <c r="H2348" s="4" t="str">
        <f>_xlfn.IFNA(IF(((INDEX(RulebookFields!C2:C1898, MATCH(D2348,RulebookFields!A2:A1898, 0))="")=TRUE),  "",  INDEX(RulebookFields!C2:C1898, MATCH(D2348,RulebookFields!A2:A1898, 0))), "")</f>
        <v>KnowledgeFragments</v>
      </c>
      <c r="I2348" s="4" t="str">
        <f>_xlfn.IFNA(IF(((INDEX(RulebookFields!D2:D1898, MATCH(D2348,RulebookFields!A2:A1898, 0))="")=TRUE),  "",  INDEX(RulebookFields!D2:D1898, MATCH(D2348,RulebookFields!A2:A1898, 0))), "")</f>
        <v>IsAttachedToLiveVersion</v>
      </c>
      <c r="J2348" s="4" t="b">
        <f>_xlfn.IFNA(IF(((INDEX(RulebookFields!I2:I1898, MATCH(D2348,RulebookFields!A2:A1898, 0))="")=TRUE),  "",  INDEX(RulebookFields!I2:I1898, MATCH(D2348,RulebookFields!A2:A1898, 0))), "")</f>
        <v>1</v>
      </c>
      <c r="K2348" s="4" t="b">
        <f>AND(((F2348)=TRUE), ((J2348)=TRUE))</f>
        <v>0</v>
      </c>
      <c r="L2348" s="4" t="b">
        <f>AND(((G2348 &lt;&gt; "plain")=TRUE), ((G2348 &lt;&gt; "")=TRUE))</f>
        <v>0</v>
      </c>
      <c r="M2348" s="4" t="str">
        <f>IF(((E2348)=TRUE),  C2348 &amp; "|" &amp; H2348,  "")</f>
        <v>principal-knowledge-authority|KnowledgeFragments</v>
      </c>
      <c r="N2348" s="3" t="s">
        <v>10004</v>
      </c>
    </row>
    <row r="2349">
      <c r="A2349" s="3" t="s">
        <v>12351</v>
      </c>
      <c r="B2349" s="4" t="str">
        <f>C2349 &amp; " -&gt; " &amp; D2349</f>
        <v>principal-knowledge-authority -&gt; KnowledgeFragments.IsUnapprovedButReliedOn</v>
      </c>
      <c r="C2349" s="3" t="s">
        <v>9774</v>
      </c>
      <c r="D2349" s="3" t="s">
        <v>3262</v>
      </c>
      <c r="E2349" s="3" t="b">
        <v>1</v>
      </c>
      <c r="F2349" s="3" t="b">
        <v>0</v>
      </c>
      <c r="G2349" s="3" t="s">
        <v>10003</v>
      </c>
      <c r="H2349" s="4" t="str">
        <f>_xlfn.IFNA(IF(((INDEX(RulebookFields!C2:C1898, MATCH(D2349,RulebookFields!A2:A1898, 0))="")=TRUE),  "",  INDEX(RulebookFields!C2:C1898, MATCH(D2349,RulebookFields!A2:A1898, 0))), "")</f>
        <v>KnowledgeFragments</v>
      </c>
      <c r="I2349" s="4" t="str">
        <f>_xlfn.IFNA(IF(((INDEX(RulebookFields!D2:D1898, MATCH(D2349,RulebookFields!A2:A1898, 0))="")=TRUE),  "",  INDEX(RulebookFields!D2:D1898, MATCH(D2349,RulebookFields!A2:A1898, 0))), "")</f>
        <v>IsUnapprovedButReliedOn</v>
      </c>
      <c r="J2349" s="4" t="b">
        <f>_xlfn.IFNA(IF(((INDEX(RulebookFields!I2:I1898, MATCH(D2349,RulebookFields!A2:A1898, 0))="")=TRUE),  "",  INDEX(RulebookFields!I2:I1898, MATCH(D2349,RulebookFields!A2:A1898, 0))), "")</f>
        <v>1</v>
      </c>
      <c r="K2349" s="4" t="b">
        <f>AND(((F2349)=TRUE), ((J2349)=TRUE))</f>
        <v>0</v>
      </c>
      <c r="L2349" s="4" t="b">
        <f>AND(((G2349 &lt;&gt; "plain")=TRUE), ((G2349 &lt;&gt; "")=TRUE))</f>
        <v>0</v>
      </c>
      <c r="M2349" s="4" t="str">
        <f>IF(((E2349)=TRUE),  C2349 &amp; "|" &amp; H2349,  "")</f>
        <v>principal-knowledge-authority|KnowledgeFragments</v>
      </c>
      <c r="N2349" s="3" t="s">
        <v>10004</v>
      </c>
    </row>
    <row r="2350">
      <c r="A2350" s="3" t="s">
        <v>12352</v>
      </c>
      <c r="B2350" s="4" t="str">
        <f>C2350 &amp; " -&gt; " &amp; D2350</f>
        <v>principal-knowledge-authority -&gt; KnowledgeFragments.EvidenceAgeDays</v>
      </c>
      <c r="C2350" s="3" t="s">
        <v>9774</v>
      </c>
      <c r="D2350" s="3" t="s">
        <v>3264</v>
      </c>
      <c r="E2350" s="3" t="b">
        <v>1</v>
      </c>
      <c r="F2350" s="3" t="b">
        <v>0</v>
      </c>
      <c r="G2350" s="3" t="s">
        <v>10003</v>
      </c>
      <c r="H2350" s="4" t="str">
        <f>_xlfn.IFNA(IF(((INDEX(RulebookFields!C2:C1898, MATCH(D2350,RulebookFields!A2:A1898, 0))="")=TRUE),  "",  INDEX(RulebookFields!C2:C1898, MATCH(D2350,RulebookFields!A2:A1898, 0))), "")</f>
        <v>KnowledgeFragments</v>
      </c>
      <c r="I2350" s="4" t="str">
        <f>_xlfn.IFNA(IF(((INDEX(RulebookFields!D2:D1898, MATCH(D2350,RulebookFields!A2:A1898, 0))="")=TRUE),  "",  INDEX(RulebookFields!D2:D1898, MATCH(D2350,RulebookFields!A2:A1898, 0))), "")</f>
        <v>EvidenceAgeDays</v>
      </c>
      <c r="J2350" s="4" t="b">
        <f>_xlfn.IFNA(IF(((INDEX(RulebookFields!I2:I1898, MATCH(D2350,RulebookFields!A2:A1898, 0))="")=TRUE),  "",  INDEX(RulebookFields!I2:I1898, MATCH(D2350,RulebookFields!A2:A1898, 0))), "")</f>
        <v>1</v>
      </c>
      <c r="K2350" s="4" t="b">
        <f>AND(((F2350)=TRUE), ((J2350)=TRUE))</f>
        <v>0</v>
      </c>
      <c r="L2350" s="4" t="b">
        <f>AND(((G2350 &lt;&gt; "plain")=TRUE), ((G2350 &lt;&gt; "")=TRUE))</f>
        <v>0</v>
      </c>
      <c r="M2350" s="4" t="str">
        <f>IF(((E2350)=TRUE),  C2350 &amp; "|" &amp; H2350,  "")</f>
        <v>principal-knowledge-authority|KnowledgeFragments</v>
      </c>
      <c r="N2350" s="3" t="s">
        <v>10004</v>
      </c>
    </row>
    <row r="2351">
      <c r="A2351" s="3" t="s">
        <v>12353</v>
      </c>
      <c r="B2351" s="4" t="str">
        <f>C2351 &amp; " -&gt; " &amp; D2351</f>
        <v>principal-knowledge-authority -&gt; KnowledgeFragments.HasRecordedElicitation</v>
      </c>
      <c r="C2351" s="3" t="s">
        <v>9774</v>
      </c>
      <c r="D2351" s="3" t="s">
        <v>3266</v>
      </c>
      <c r="E2351" s="3" t="b">
        <v>1</v>
      </c>
      <c r="F2351" s="3" t="b">
        <v>0</v>
      </c>
      <c r="G2351" s="3" t="s">
        <v>10003</v>
      </c>
      <c r="H2351" s="4" t="str">
        <f>_xlfn.IFNA(IF(((INDEX(RulebookFields!C2:C1898, MATCH(D2351,RulebookFields!A2:A1898, 0))="")=TRUE),  "",  INDEX(RulebookFields!C2:C1898, MATCH(D2351,RulebookFields!A2:A1898, 0))), "")</f>
        <v>KnowledgeFragments</v>
      </c>
      <c r="I2351" s="4" t="str">
        <f>_xlfn.IFNA(IF(((INDEX(RulebookFields!D2:D1898, MATCH(D2351,RulebookFields!A2:A1898, 0))="")=TRUE),  "",  INDEX(RulebookFields!D2:D1898, MATCH(D2351,RulebookFields!A2:A1898, 0))), "")</f>
        <v>HasRecordedElicitation</v>
      </c>
      <c r="J2351" s="4" t="b">
        <f>_xlfn.IFNA(IF(((INDEX(RulebookFields!I2:I1898, MATCH(D2351,RulebookFields!A2:A1898, 0))="")=TRUE),  "",  INDEX(RulebookFields!I2:I1898, MATCH(D2351,RulebookFields!A2:A1898, 0))), "")</f>
        <v>1</v>
      </c>
      <c r="K2351" s="4" t="b">
        <f>AND(((F2351)=TRUE), ((J2351)=TRUE))</f>
        <v>0</v>
      </c>
      <c r="L2351" s="4" t="b">
        <f>AND(((G2351 &lt;&gt; "plain")=TRUE), ((G2351 &lt;&gt; "")=TRUE))</f>
        <v>0</v>
      </c>
      <c r="M2351" s="4" t="str">
        <f>IF(((E2351)=TRUE),  C2351 &amp; "|" &amp; H2351,  "")</f>
        <v>principal-knowledge-authority|KnowledgeFragments</v>
      </c>
      <c r="N2351" s="3" t="s">
        <v>10004</v>
      </c>
    </row>
    <row r="2352">
      <c r="A2352" s="3" t="s">
        <v>12354</v>
      </c>
      <c r="B2352" s="4" t="str">
        <f>C2352 &amp; " -&gt; " &amp; D2352</f>
        <v>principal-knowledge-authority -&gt; KnowledgeFragments.IsFromSingleWitness</v>
      </c>
      <c r="C2352" s="3" t="s">
        <v>9774</v>
      </c>
      <c r="D2352" s="3" t="s">
        <v>3268</v>
      </c>
      <c r="E2352" s="3" t="b">
        <v>1</v>
      </c>
      <c r="F2352" s="3" t="b">
        <v>0</v>
      </c>
      <c r="G2352" s="3" t="s">
        <v>10003</v>
      </c>
      <c r="H2352" s="4" t="str">
        <f>_xlfn.IFNA(IF(((INDEX(RulebookFields!C2:C1898, MATCH(D2352,RulebookFields!A2:A1898, 0))="")=TRUE),  "",  INDEX(RulebookFields!C2:C1898, MATCH(D2352,RulebookFields!A2:A1898, 0))), "")</f>
        <v>KnowledgeFragments</v>
      </c>
      <c r="I2352" s="4" t="str">
        <f>_xlfn.IFNA(IF(((INDEX(RulebookFields!D2:D1898, MATCH(D2352,RulebookFields!A2:A1898, 0))="")=TRUE),  "",  INDEX(RulebookFields!D2:D1898, MATCH(D2352,RulebookFields!A2:A1898, 0))), "")</f>
        <v>IsFromSingleWitness</v>
      </c>
      <c r="J2352" s="4" t="b">
        <f>_xlfn.IFNA(IF(((INDEX(RulebookFields!I2:I1898, MATCH(D2352,RulebookFields!A2:A1898, 0))="")=TRUE),  "",  INDEX(RulebookFields!I2:I1898, MATCH(D2352,RulebookFields!A2:A1898, 0))), "")</f>
        <v>1</v>
      </c>
      <c r="K2352" s="4" t="b">
        <f>AND(((F2352)=TRUE), ((J2352)=TRUE))</f>
        <v>0</v>
      </c>
      <c r="L2352" s="4" t="b">
        <f>AND(((G2352 &lt;&gt; "plain")=TRUE), ((G2352 &lt;&gt; "")=TRUE))</f>
        <v>0</v>
      </c>
      <c r="M2352" s="4" t="str">
        <f>IF(((E2352)=TRUE),  C2352 &amp; "|" &amp; H2352,  "")</f>
        <v>principal-knowledge-authority|KnowledgeFragments</v>
      </c>
      <c r="N2352" s="3" t="s">
        <v>10004</v>
      </c>
    </row>
    <row r="2353">
      <c r="A2353" s="3" t="s">
        <v>12355</v>
      </c>
      <c r="B2353" s="4" t="str">
        <f>C2353 &amp; " -&gt; " &amp; D2353</f>
        <v>principal-knowledge-authority -&gt; KnowledgeFragments.EvidenceExpiryDays</v>
      </c>
      <c r="C2353" s="3" t="s">
        <v>9774</v>
      </c>
      <c r="D2353" s="3" t="s">
        <v>3270</v>
      </c>
      <c r="E2353" s="3" t="b">
        <v>1</v>
      </c>
      <c r="F2353" s="3" t="b">
        <v>0</v>
      </c>
      <c r="G2353" s="3" t="s">
        <v>10003</v>
      </c>
      <c r="H2353" s="4" t="str">
        <f>_xlfn.IFNA(IF(((INDEX(RulebookFields!C2:C1898, MATCH(D2353,RulebookFields!A2:A1898, 0))="")=TRUE),  "",  INDEX(RulebookFields!C2:C1898, MATCH(D2353,RulebookFields!A2:A1898, 0))), "")</f>
        <v>KnowledgeFragments</v>
      </c>
      <c r="I2353" s="4" t="str">
        <f>_xlfn.IFNA(IF(((INDEX(RulebookFields!D2:D1898, MATCH(D2353,RulebookFields!A2:A1898, 0))="")=TRUE),  "",  INDEX(RulebookFields!D2:D1898, MATCH(D2353,RulebookFields!A2:A1898, 0))), "")</f>
        <v>EvidenceExpiryDays</v>
      </c>
      <c r="J2353" s="4" t="b">
        <f>_xlfn.IFNA(IF(((INDEX(RulebookFields!I2:I1898, MATCH(D2353,RulebookFields!A2:A1898, 0))="")=TRUE),  "",  INDEX(RulebookFields!I2:I1898, MATCH(D2353,RulebookFields!A2:A1898, 0))), "")</f>
        <v>1</v>
      </c>
      <c r="K2353" s="4" t="b">
        <f>AND(((F2353)=TRUE), ((J2353)=TRUE))</f>
        <v>0</v>
      </c>
      <c r="L2353" s="4" t="b">
        <f>AND(((G2353 &lt;&gt; "plain")=TRUE), ((G2353 &lt;&gt; "")=TRUE))</f>
        <v>0</v>
      </c>
      <c r="M2353" s="4" t="str">
        <f>IF(((E2353)=TRUE),  C2353 &amp; "|" &amp; H2353,  "")</f>
        <v>principal-knowledge-authority|KnowledgeFragments</v>
      </c>
      <c r="N2353" s="3" t="s">
        <v>10004</v>
      </c>
    </row>
    <row r="2354">
      <c r="A2354" s="3" t="s">
        <v>12356</v>
      </c>
      <c r="B2354" s="4" t="str">
        <f>C2354 &amp; " -&gt; " &amp; D2354</f>
        <v>principal-knowledge-authority -&gt; KnowledgeFragments.EvidenceHasExpired</v>
      </c>
      <c r="C2354" s="3" t="s">
        <v>9774</v>
      </c>
      <c r="D2354" s="3" t="s">
        <v>3272</v>
      </c>
      <c r="E2354" s="3" t="b">
        <v>1</v>
      </c>
      <c r="F2354" s="3" t="b">
        <v>0</v>
      </c>
      <c r="G2354" s="3" t="s">
        <v>10003</v>
      </c>
      <c r="H2354" s="4" t="str">
        <f>_xlfn.IFNA(IF(((INDEX(RulebookFields!C2:C1898, MATCH(D2354,RulebookFields!A2:A1898, 0))="")=TRUE),  "",  INDEX(RulebookFields!C2:C1898, MATCH(D2354,RulebookFields!A2:A1898, 0))), "")</f>
        <v>KnowledgeFragments</v>
      </c>
      <c r="I2354" s="4" t="str">
        <f>_xlfn.IFNA(IF(((INDEX(RulebookFields!D2:D1898, MATCH(D2354,RulebookFields!A2:A1898, 0))="")=TRUE),  "",  INDEX(RulebookFields!D2:D1898, MATCH(D2354,RulebookFields!A2:A1898, 0))), "")</f>
        <v>EvidenceHasExpired</v>
      </c>
      <c r="J2354" s="4" t="b">
        <f>_xlfn.IFNA(IF(((INDEX(RulebookFields!I2:I1898, MATCH(D2354,RulebookFields!A2:A1898, 0))="")=TRUE),  "",  INDEX(RulebookFields!I2:I1898, MATCH(D2354,RulebookFields!A2:A1898, 0))), "")</f>
        <v>1</v>
      </c>
      <c r="K2354" s="4" t="b">
        <f>AND(((F2354)=TRUE), ((J2354)=TRUE))</f>
        <v>0</v>
      </c>
      <c r="L2354" s="4" t="b">
        <f>AND(((G2354 &lt;&gt; "plain")=TRUE), ((G2354 &lt;&gt; "")=TRUE))</f>
        <v>0</v>
      </c>
      <c r="M2354" s="4" t="str">
        <f>IF(((E2354)=TRUE),  C2354 &amp; "|" &amp; H2354,  "")</f>
        <v>principal-knowledge-authority|KnowledgeFragments</v>
      </c>
      <c r="N2354" s="3" t="s">
        <v>10004</v>
      </c>
    </row>
    <row r="2355">
      <c r="A2355" s="3" t="s">
        <v>12357</v>
      </c>
      <c r="B2355" s="4" t="str">
        <f>C2355 &amp; " -&gt; " &amp; D2355</f>
        <v>principal-knowledge-authority -&gt; KnowledgeFragments.OwnerAgent</v>
      </c>
      <c r="C2355" s="3" t="s">
        <v>9774</v>
      </c>
      <c r="D2355" s="3" t="s">
        <v>3274</v>
      </c>
      <c r="E2355" s="3" t="b">
        <v>1</v>
      </c>
      <c r="F2355" s="3" t="b">
        <v>0</v>
      </c>
      <c r="G2355" s="3" t="s">
        <v>10003</v>
      </c>
      <c r="H2355" s="4" t="str">
        <f>_xlfn.IFNA(IF(((INDEX(RulebookFields!C2:C1898, MATCH(D2355,RulebookFields!A2:A1898, 0))="")=TRUE),  "",  INDEX(RulebookFields!C2:C1898, MATCH(D2355,RulebookFields!A2:A1898, 0))), "")</f>
        <v>KnowledgeFragments</v>
      </c>
      <c r="I2355" s="4" t="str">
        <f>_xlfn.IFNA(IF(((INDEX(RulebookFields!D2:D1898, MATCH(D2355,RulebookFields!A2:A1898, 0))="")=TRUE),  "",  INDEX(RulebookFields!D2:D1898, MATCH(D2355,RulebookFields!A2:A1898, 0))), "")</f>
        <v>OwnerAgent</v>
      </c>
      <c r="J2355" s="4" t="b">
        <f>_xlfn.IFNA(IF(((INDEX(RulebookFields!I2:I1898, MATCH(D2355,RulebookFields!A2:A1898, 0))="")=TRUE),  "",  INDEX(RulebookFields!I2:I1898, MATCH(D2355,RulebookFields!A2:A1898, 0))), "")</f>
        <v>1</v>
      </c>
      <c r="K2355" s="4" t="b">
        <f>AND(((F2355)=TRUE), ((J2355)=TRUE))</f>
        <v>0</v>
      </c>
      <c r="L2355" s="4" t="b">
        <f>AND(((G2355 &lt;&gt; "plain")=TRUE), ((G2355 &lt;&gt; "")=TRUE))</f>
        <v>0</v>
      </c>
      <c r="M2355" s="4" t="str">
        <f>IF(((E2355)=TRUE),  C2355 &amp; "|" &amp; H2355,  "")</f>
        <v>principal-knowledge-authority|KnowledgeFragments</v>
      </c>
      <c r="N2355" s="3" t="s">
        <v>10004</v>
      </c>
    </row>
    <row r="2356">
      <c r="A2356" s="3" t="s">
        <v>12358</v>
      </c>
      <c r="B2356" s="4" t="str">
        <f>C2356 &amp; " -&gt; " &amp; D2356</f>
        <v>principal-knowledge-authority -&gt; KnowledgeFragments.IsAwaitingApproval</v>
      </c>
      <c r="C2356" s="3" t="s">
        <v>9774</v>
      </c>
      <c r="D2356" s="3" t="s">
        <v>3276</v>
      </c>
      <c r="E2356" s="3" t="b">
        <v>1</v>
      </c>
      <c r="F2356" s="3" t="b">
        <v>0</v>
      </c>
      <c r="G2356" s="3" t="s">
        <v>10003</v>
      </c>
      <c r="H2356" s="4" t="str">
        <f>_xlfn.IFNA(IF(((INDEX(RulebookFields!C2:C1898, MATCH(D2356,RulebookFields!A2:A1898, 0))="")=TRUE),  "",  INDEX(RulebookFields!C2:C1898, MATCH(D2356,RulebookFields!A2:A1898, 0))), "")</f>
        <v>KnowledgeFragments</v>
      </c>
      <c r="I2356" s="4" t="str">
        <f>_xlfn.IFNA(IF(((INDEX(RulebookFields!D2:D1898, MATCH(D2356,RulebookFields!A2:A1898, 0))="")=TRUE),  "",  INDEX(RulebookFields!D2:D1898, MATCH(D2356,RulebookFields!A2:A1898, 0))), "")</f>
        <v>IsAwaitingApproval</v>
      </c>
      <c r="J2356" s="4" t="b">
        <f>_xlfn.IFNA(IF(((INDEX(RulebookFields!I2:I1898, MATCH(D2356,RulebookFields!A2:A1898, 0))="")=TRUE),  "",  INDEX(RulebookFields!I2:I1898, MATCH(D2356,RulebookFields!A2:A1898, 0))), "")</f>
        <v>1</v>
      </c>
      <c r="K2356" s="4" t="b">
        <f>AND(((F2356)=TRUE), ((J2356)=TRUE))</f>
        <v>0</v>
      </c>
      <c r="L2356" s="4" t="b">
        <f>AND(((G2356 &lt;&gt; "plain")=TRUE), ((G2356 &lt;&gt; "")=TRUE))</f>
        <v>0</v>
      </c>
      <c r="M2356" s="4" t="str">
        <f>IF(((E2356)=TRUE),  C2356 &amp; "|" &amp; H2356,  "")</f>
        <v>principal-knowledge-authority|KnowledgeFragments</v>
      </c>
      <c r="N2356" s="3" t="s">
        <v>10004</v>
      </c>
    </row>
    <row r="2357">
      <c r="A2357" s="3" t="s">
        <v>12359</v>
      </c>
      <c r="B2357" s="4" t="str">
        <f>C2357 &amp; " -&gt; " &amp; D2357</f>
        <v>principal-knowledge-authority -&gt; KnowledgeFragments.OwnerIsMe</v>
      </c>
      <c r="C2357" s="3" t="s">
        <v>9774</v>
      </c>
      <c r="D2357" s="3" t="s">
        <v>3278</v>
      </c>
      <c r="E2357" s="3" t="b">
        <v>1</v>
      </c>
      <c r="F2357" s="3" t="b">
        <v>0</v>
      </c>
      <c r="G2357" s="3" t="s">
        <v>10003</v>
      </c>
      <c r="H2357" s="4" t="str">
        <f>_xlfn.IFNA(IF(((INDEX(RulebookFields!C2:C1898, MATCH(D2357,RulebookFields!A2:A1898, 0))="")=TRUE),  "",  INDEX(RulebookFields!C2:C1898, MATCH(D2357,RulebookFields!A2:A1898, 0))), "")</f>
        <v>KnowledgeFragments</v>
      </c>
      <c r="I2357" s="4" t="str">
        <f>_xlfn.IFNA(IF(((INDEX(RulebookFields!D2:D1898, MATCH(D2357,RulebookFields!A2:A1898, 0))="")=TRUE),  "",  INDEX(RulebookFields!D2:D1898, MATCH(D2357,RulebookFields!A2:A1898, 0))), "")</f>
        <v>OwnerIsMe</v>
      </c>
      <c r="J2357" s="4" t="b">
        <f>_xlfn.IFNA(IF(((INDEX(RulebookFields!I2:I1898, MATCH(D2357,RulebookFields!A2:A1898, 0))="")=TRUE),  "",  INDEX(RulebookFields!I2:I1898, MATCH(D2357,RulebookFields!A2:A1898, 0))), "")</f>
        <v>1</v>
      </c>
      <c r="K2357" s="4" t="b">
        <f>AND(((F2357)=TRUE), ((J2357)=TRUE))</f>
        <v>0</v>
      </c>
      <c r="L2357" s="4" t="b">
        <f>AND(((G2357 &lt;&gt; "plain")=TRUE), ((G2357 &lt;&gt; "")=TRUE))</f>
        <v>0</v>
      </c>
      <c r="M2357" s="4" t="str">
        <f>IF(((E2357)=TRUE),  C2357 &amp; "|" &amp; H2357,  "")</f>
        <v>principal-knowledge-authority|KnowledgeFragments</v>
      </c>
      <c r="N2357" s="3" t="s">
        <v>10004</v>
      </c>
    </row>
    <row r="2358">
      <c r="A2358" s="3" t="s">
        <v>12360</v>
      </c>
      <c r="B2358" s="4" t="str">
        <f>C2358 &amp; " -&gt; " &amp; D2358</f>
        <v>principal-knowledge-authority -&gt; KnowledgeFragments.IsMyUnfinishedApproval</v>
      </c>
      <c r="C2358" s="3" t="s">
        <v>9774</v>
      </c>
      <c r="D2358" s="3" t="s">
        <v>3280</v>
      </c>
      <c r="E2358" s="3" t="b">
        <v>1</v>
      </c>
      <c r="F2358" s="3" t="b">
        <v>0</v>
      </c>
      <c r="G2358" s="3" t="s">
        <v>10003</v>
      </c>
      <c r="H2358" s="4" t="str">
        <f>_xlfn.IFNA(IF(((INDEX(RulebookFields!C2:C1898, MATCH(D2358,RulebookFields!A2:A1898, 0))="")=TRUE),  "",  INDEX(RulebookFields!C2:C1898, MATCH(D2358,RulebookFields!A2:A1898, 0))), "")</f>
        <v>KnowledgeFragments</v>
      </c>
      <c r="I2358" s="4" t="str">
        <f>_xlfn.IFNA(IF(((INDEX(RulebookFields!D2:D1898, MATCH(D2358,RulebookFields!A2:A1898, 0))="")=TRUE),  "",  INDEX(RulebookFields!D2:D1898, MATCH(D2358,RulebookFields!A2:A1898, 0))), "")</f>
        <v>IsMyUnfinishedApproval</v>
      </c>
      <c r="J2358" s="4" t="b">
        <f>_xlfn.IFNA(IF(((INDEX(RulebookFields!I2:I1898, MATCH(D2358,RulebookFields!A2:A1898, 0))="")=TRUE),  "",  INDEX(RulebookFields!I2:I1898, MATCH(D2358,RulebookFields!A2:A1898, 0))), "")</f>
        <v>1</v>
      </c>
      <c r="K2358" s="4" t="b">
        <f>AND(((F2358)=TRUE), ((J2358)=TRUE))</f>
        <v>0</v>
      </c>
      <c r="L2358" s="4" t="b">
        <f>AND(((G2358 &lt;&gt; "plain")=TRUE), ((G2358 &lt;&gt; "")=TRUE))</f>
        <v>0</v>
      </c>
      <c r="M2358" s="4" t="str">
        <f>IF(((E2358)=TRUE),  C2358 &amp; "|" &amp; H2358,  "")</f>
        <v>principal-knowledge-authority|KnowledgeFragments</v>
      </c>
      <c r="N2358" s="3" t="s">
        <v>10004</v>
      </c>
    </row>
    <row r="2359">
      <c r="A2359" s="3" t="s">
        <v>12361</v>
      </c>
      <c r="B2359" s="4" t="str">
        <f>C2359 &amp; " -&gt; " &amp; D2359</f>
        <v>principal-knowledge-authority -&gt; KnowledgeFragments.IsInvokedByAnException</v>
      </c>
      <c r="C2359" s="3" t="s">
        <v>9774</v>
      </c>
      <c r="D2359" s="3" t="s">
        <v>3282</v>
      </c>
      <c r="E2359" s="3" t="b">
        <v>1</v>
      </c>
      <c r="F2359" s="3" t="b">
        <v>0</v>
      </c>
      <c r="G2359" s="3" t="s">
        <v>10003</v>
      </c>
      <c r="H2359" s="4" t="str">
        <f>_xlfn.IFNA(IF(((INDEX(RulebookFields!C2:C1898, MATCH(D2359,RulebookFields!A2:A1898, 0))="")=TRUE),  "",  INDEX(RulebookFields!C2:C1898, MATCH(D2359,RulebookFields!A2:A1898, 0))), "")</f>
        <v>KnowledgeFragments</v>
      </c>
      <c r="I2359" s="4" t="str">
        <f>_xlfn.IFNA(IF(((INDEX(RulebookFields!D2:D1898, MATCH(D2359,RulebookFields!A2:A1898, 0))="")=TRUE),  "",  INDEX(RulebookFields!D2:D1898, MATCH(D2359,RulebookFields!A2:A1898, 0))), "")</f>
        <v>IsInvokedByAnException</v>
      </c>
      <c r="J2359" s="4" t="b">
        <f>_xlfn.IFNA(IF(((INDEX(RulebookFields!I2:I1898, MATCH(D2359,RulebookFields!A2:A1898, 0))="")=TRUE),  "",  INDEX(RulebookFields!I2:I1898, MATCH(D2359,RulebookFields!A2:A1898, 0))), "")</f>
        <v>1</v>
      </c>
      <c r="K2359" s="4" t="b">
        <f>AND(((F2359)=TRUE), ((J2359)=TRUE))</f>
        <v>0</v>
      </c>
      <c r="L2359" s="4" t="b">
        <f>AND(((G2359 &lt;&gt; "plain")=TRUE), ((G2359 &lt;&gt; "")=TRUE))</f>
        <v>0</v>
      </c>
      <c r="M2359" s="4" t="str">
        <f>IF(((E2359)=TRUE),  C2359 &amp; "|" &amp; H2359,  "")</f>
        <v>principal-knowledge-authority|KnowledgeFragments</v>
      </c>
      <c r="N2359" s="3" t="s">
        <v>10004</v>
      </c>
    </row>
    <row r="2360">
      <c r="A2360" s="3" t="s">
        <v>12362</v>
      </c>
      <c r="B2360" s="4" t="str">
        <f>C2360 &amp; " -&gt; " &amp; D2360</f>
        <v>principal-knowledge-authority -&gt; KnowledgeFragments.HasOperationalReliance</v>
      </c>
      <c r="C2360" s="3" t="s">
        <v>9774</v>
      </c>
      <c r="D2360" s="3" t="s">
        <v>3284</v>
      </c>
      <c r="E2360" s="3" t="b">
        <v>1</v>
      </c>
      <c r="F2360" s="3" t="b">
        <v>0</v>
      </c>
      <c r="G2360" s="3" t="s">
        <v>10003</v>
      </c>
      <c r="H2360" s="4" t="str">
        <f>_xlfn.IFNA(IF(((INDEX(RulebookFields!C2:C1898, MATCH(D2360,RulebookFields!A2:A1898, 0))="")=TRUE),  "",  INDEX(RulebookFields!C2:C1898, MATCH(D2360,RulebookFields!A2:A1898, 0))), "")</f>
        <v>KnowledgeFragments</v>
      </c>
      <c r="I2360" s="4" t="str">
        <f>_xlfn.IFNA(IF(((INDEX(RulebookFields!D2:D1898, MATCH(D2360,RulebookFields!A2:A1898, 0))="")=TRUE),  "",  INDEX(RulebookFields!D2:D1898, MATCH(D2360,RulebookFields!A2:A1898, 0))), "")</f>
        <v>HasOperationalReliance</v>
      </c>
      <c r="J2360" s="4" t="b">
        <f>_xlfn.IFNA(IF(((INDEX(RulebookFields!I2:I1898, MATCH(D2360,RulebookFields!A2:A1898, 0))="")=TRUE),  "",  INDEX(RulebookFields!I2:I1898, MATCH(D2360,RulebookFields!A2:A1898, 0))), "")</f>
        <v>1</v>
      </c>
      <c r="K2360" s="4" t="b">
        <f>AND(((F2360)=TRUE), ((J2360)=TRUE))</f>
        <v>0</v>
      </c>
      <c r="L2360" s="4" t="b">
        <f>AND(((G2360 &lt;&gt; "plain")=TRUE), ((G2360 &lt;&gt; "")=TRUE))</f>
        <v>0</v>
      </c>
      <c r="M2360" s="4" t="str">
        <f>IF(((E2360)=TRUE),  C2360 &amp; "|" &amp; H2360,  "")</f>
        <v>principal-knowledge-authority|KnowledgeFragments</v>
      </c>
      <c r="N2360" s="3" t="s">
        <v>10004</v>
      </c>
    </row>
    <row r="2361">
      <c r="A2361" s="3" t="s">
        <v>12363</v>
      </c>
      <c r="B2361" s="4" t="str">
        <f>C2361 &amp; " -&gt; " &amp; D2361</f>
        <v>principal-knowledge-authority -&gt; KnowledgeFragments.IsUnapprovedAndOperationallyLive</v>
      </c>
      <c r="C2361" s="3" t="s">
        <v>9774</v>
      </c>
      <c r="D2361" s="3" t="s">
        <v>3286</v>
      </c>
      <c r="E2361" s="3" t="b">
        <v>1</v>
      </c>
      <c r="F2361" s="3" t="b">
        <v>0</v>
      </c>
      <c r="G2361" s="3" t="s">
        <v>10003</v>
      </c>
      <c r="H2361" s="4" t="str">
        <f>_xlfn.IFNA(IF(((INDEX(RulebookFields!C2:C1898, MATCH(D2361,RulebookFields!A2:A1898, 0))="")=TRUE),  "",  INDEX(RulebookFields!C2:C1898, MATCH(D2361,RulebookFields!A2:A1898, 0))), "")</f>
        <v>KnowledgeFragments</v>
      </c>
      <c r="I2361" s="4" t="str">
        <f>_xlfn.IFNA(IF(((INDEX(RulebookFields!D2:D1898, MATCH(D2361,RulebookFields!A2:A1898, 0))="")=TRUE),  "",  INDEX(RulebookFields!D2:D1898, MATCH(D2361,RulebookFields!A2:A1898, 0))), "")</f>
        <v>IsUnapprovedAndOperationallyLive</v>
      </c>
      <c r="J2361" s="4" t="b">
        <f>_xlfn.IFNA(IF(((INDEX(RulebookFields!I2:I1898, MATCH(D2361,RulebookFields!A2:A1898, 0))="")=TRUE),  "",  INDEX(RulebookFields!I2:I1898, MATCH(D2361,RulebookFields!A2:A1898, 0))), "")</f>
        <v>1</v>
      </c>
      <c r="K2361" s="4" t="b">
        <f>AND(((F2361)=TRUE), ((J2361)=TRUE))</f>
        <v>0</v>
      </c>
      <c r="L2361" s="4" t="b">
        <f>AND(((G2361 &lt;&gt; "plain")=TRUE), ((G2361 &lt;&gt; "")=TRUE))</f>
        <v>0</v>
      </c>
      <c r="M2361" s="4" t="str">
        <f>IF(((E2361)=TRUE),  C2361 &amp; "|" &amp; H2361,  "")</f>
        <v>principal-knowledge-authority|KnowledgeFragments</v>
      </c>
      <c r="N2361" s="3" t="s">
        <v>10004</v>
      </c>
    </row>
    <row r="2362">
      <c r="A2362" s="3" t="s">
        <v>12364</v>
      </c>
      <c r="B2362" s="4" t="str">
        <f>C2362 &amp; " -&gt; " &amp; D2362</f>
        <v>principal-knowledge-authority -&gt; KnowledgeFragments.AgeDays</v>
      </c>
      <c r="C2362" s="3" t="s">
        <v>9774</v>
      </c>
      <c r="D2362" s="3" t="s">
        <v>3288</v>
      </c>
      <c r="E2362" s="3" t="b">
        <v>1</v>
      </c>
      <c r="F2362" s="3" t="b">
        <v>0</v>
      </c>
      <c r="G2362" s="3" t="s">
        <v>10003</v>
      </c>
      <c r="H2362" s="4" t="str">
        <f>_xlfn.IFNA(IF(((INDEX(RulebookFields!C2:C1898, MATCH(D2362,RulebookFields!A2:A1898, 0))="")=TRUE),  "",  INDEX(RulebookFields!C2:C1898, MATCH(D2362,RulebookFields!A2:A1898, 0))), "")</f>
        <v>KnowledgeFragments</v>
      </c>
      <c r="I2362" s="4" t="str">
        <f>_xlfn.IFNA(IF(((INDEX(RulebookFields!D2:D1898, MATCH(D2362,RulebookFields!A2:A1898, 0))="")=TRUE),  "",  INDEX(RulebookFields!D2:D1898, MATCH(D2362,RulebookFields!A2:A1898, 0))), "")</f>
        <v>AgeDays</v>
      </c>
      <c r="J2362" s="4" t="b">
        <f>_xlfn.IFNA(IF(((INDEX(RulebookFields!I2:I1898, MATCH(D2362,RulebookFields!A2:A1898, 0))="")=TRUE),  "",  INDEX(RulebookFields!I2:I1898, MATCH(D2362,RulebookFields!A2:A1898, 0))), "")</f>
        <v>1</v>
      </c>
      <c r="K2362" s="4" t="b">
        <f>AND(((F2362)=TRUE), ((J2362)=TRUE))</f>
        <v>0</v>
      </c>
      <c r="L2362" s="4" t="b">
        <f>AND(((G2362 &lt;&gt; "plain")=TRUE), ((G2362 &lt;&gt; "")=TRUE))</f>
        <v>0</v>
      </c>
      <c r="M2362" s="4" t="str">
        <f>IF(((E2362)=TRUE),  C2362 &amp; "|" &amp; H2362,  "")</f>
        <v>principal-knowledge-authority|KnowledgeFragments</v>
      </c>
      <c r="N2362" s="3" t="s">
        <v>10004</v>
      </c>
    </row>
    <row r="2363">
      <c r="A2363" s="3" t="s">
        <v>12365</v>
      </c>
      <c r="B2363" s="4" t="str">
        <f>C2363 &amp; " -&gt; " &amp; D2363</f>
        <v>principal-knowledge-authority -&gt; KnowledgeFragments.IsLowConfidence</v>
      </c>
      <c r="C2363" s="3" t="s">
        <v>9774</v>
      </c>
      <c r="D2363" s="3" t="s">
        <v>3290</v>
      </c>
      <c r="E2363" s="3" t="b">
        <v>1</v>
      </c>
      <c r="F2363" s="3" t="b">
        <v>0</v>
      </c>
      <c r="G2363" s="3" t="s">
        <v>10003</v>
      </c>
      <c r="H2363" s="4" t="str">
        <f>_xlfn.IFNA(IF(((INDEX(RulebookFields!C2:C1898, MATCH(D2363,RulebookFields!A2:A1898, 0))="")=TRUE),  "",  INDEX(RulebookFields!C2:C1898, MATCH(D2363,RulebookFields!A2:A1898, 0))), "")</f>
        <v>KnowledgeFragments</v>
      </c>
      <c r="I2363" s="4" t="str">
        <f>_xlfn.IFNA(IF(((INDEX(RulebookFields!D2:D1898, MATCH(D2363,RulebookFields!A2:A1898, 0))="")=TRUE),  "",  INDEX(RulebookFields!D2:D1898, MATCH(D2363,RulebookFields!A2:A1898, 0))), "")</f>
        <v>IsLowConfidence</v>
      </c>
      <c r="J2363" s="4" t="b">
        <f>_xlfn.IFNA(IF(((INDEX(RulebookFields!I2:I1898, MATCH(D2363,RulebookFields!A2:A1898, 0))="")=TRUE),  "",  INDEX(RulebookFields!I2:I1898, MATCH(D2363,RulebookFields!A2:A1898, 0))), "")</f>
        <v>1</v>
      </c>
      <c r="K2363" s="4" t="b">
        <f>AND(((F2363)=TRUE), ((J2363)=TRUE))</f>
        <v>0</v>
      </c>
      <c r="L2363" s="4" t="b">
        <f>AND(((G2363 &lt;&gt; "plain")=TRUE), ((G2363 &lt;&gt; "")=TRUE))</f>
        <v>0</v>
      </c>
      <c r="M2363" s="4" t="str">
        <f>IF(((E2363)=TRUE),  C2363 &amp; "|" &amp; H2363,  "")</f>
        <v>principal-knowledge-authority|KnowledgeFragments</v>
      </c>
      <c r="N2363" s="3" t="s">
        <v>10004</v>
      </c>
    </row>
    <row r="2364">
      <c r="A2364" s="3" t="s">
        <v>12366</v>
      </c>
      <c r="B2364" s="4" t="str">
        <f>C2364 &amp; " -&gt; " &amp; D2364</f>
        <v>principal-knowledge-authority -&gt; KnowledgeFragments.OwningVersionCadenceDays</v>
      </c>
      <c r="C2364" s="3" t="s">
        <v>9774</v>
      </c>
      <c r="D2364" s="3" t="s">
        <v>3292</v>
      </c>
      <c r="E2364" s="3" t="b">
        <v>1</v>
      </c>
      <c r="F2364" s="3" t="b">
        <v>0</v>
      </c>
      <c r="G2364" s="3" t="s">
        <v>10003</v>
      </c>
      <c r="H2364" s="4" t="str">
        <f>_xlfn.IFNA(IF(((INDEX(RulebookFields!C2:C1898, MATCH(D2364,RulebookFields!A2:A1898, 0))="")=TRUE),  "",  INDEX(RulebookFields!C2:C1898, MATCH(D2364,RulebookFields!A2:A1898, 0))), "")</f>
        <v>KnowledgeFragments</v>
      </c>
      <c r="I2364" s="4" t="str">
        <f>_xlfn.IFNA(IF(((INDEX(RulebookFields!D2:D1898, MATCH(D2364,RulebookFields!A2:A1898, 0))="")=TRUE),  "",  INDEX(RulebookFields!D2:D1898, MATCH(D2364,RulebookFields!A2:A1898, 0))), "")</f>
        <v>OwningVersionCadenceDays</v>
      </c>
      <c r="J2364" s="4" t="b">
        <f>_xlfn.IFNA(IF(((INDEX(RulebookFields!I2:I1898, MATCH(D2364,RulebookFields!A2:A1898, 0))="")=TRUE),  "",  INDEX(RulebookFields!I2:I1898, MATCH(D2364,RulebookFields!A2:A1898, 0))), "")</f>
        <v>1</v>
      </c>
      <c r="K2364" s="4" t="b">
        <f>AND(((F2364)=TRUE), ((J2364)=TRUE))</f>
        <v>0</v>
      </c>
      <c r="L2364" s="4" t="b">
        <f>AND(((G2364 &lt;&gt; "plain")=TRUE), ((G2364 &lt;&gt; "")=TRUE))</f>
        <v>0</v>
      </c>
      <c r="M2364" s="4" t="str">
        <f>IF(((E2364)=TRUE),  C2364 &amp; "|" &amp; H2364,  "")</f>
        <v>principal-knowledge-authority|KnowledgeFragments</v>
      </c>
      <c r="N2364" s="3" t="s">
        <v>10004</v>
      </c>
    </row>
    <row r="2365">
      <c r="A2365" s="3" t="s">
        <v>12367</v>
      </c>
      <c r="B2365" s="4" t="str">
        <f>C2365 &amp; " -&gt; " &amp; D2365</f>
        <v>principal-knowledge-authority -&gt; KnowledgeFragments.ExceedsOwningCadence</v>
      </c>
      <c r="C2365" s="3" t="s">
        <v>9774</v>
      </c>
      <c r="D2365" s="3" t="s">
        <v>3294</v>
      </c>
      <c r="E2365" s="3" t="b">
        <v>1</v>
      </c>
      <c r="F2365" s="3" t="b">
        <v>0</v>
      </c>
      <c r="G2365" s="3" t="s">
        <v>10003</v>
      </c>
      <c r="H2365" s="4" t="str">
        <f>_xlfn.IFNA(IF(((INDEX(RulebookFields!C2:C1898, MATCH(D2365,RulebookFields!A2:A1898, 0))="")=TRUE),  "",  INDEX(RulebookFields!C2:C1898, MATCH(D2365,RulebookFields!A2:A1898, 0))), "")</f>
        <v>KnowledgeFragments</v>
      </c>
      <c r="I2365" s="4" t="str">
        <f>_xlfn.IFNA(IF(((INDEX(RulebookFields!D2:D1898, MATCH(D2365,RulebookFields!A2:A1898, 0))="")=TRUE),  "",  INDEX(RulebookFields!D2:D1898, MATCH(D2365,RulebookFields!A2:A1898, 0))), "")</f>
        <v>ExceedsOwningCadence</v>
      </c>
      <c r="J2365" s="4" t="b">
        <f>_xlfn.IFNA(IF(((INDEX(RulebookFields!I2:I1898, MATCH(D2365,RulebookFields!A2:A1898, 0))="")=TRUE),  "",  INDEX(RulebookFields!I2:I1898, MATCH(D2365,RulebookFields!A2:A1898, 0))), "")</f>
        <v>1</v>
      </c>
      <c r="K2365" s="4" t="b">
        <f>AND(((F2365)=TRUE), ((J2365)=TRUE))</f>
        <v>0</v>
      </c>
      <c r="L2365" s="4" t="b">
        <f>AND(((G2365 &lt;&gt; "plain")=TRUE), ((G2365 &lt;&gt; "")=TRUE))</f>
        <v>0</v>
      </c>
      <c r="M2365" s="4" t="str">
        <f>IF(((E2365)=TRUE),  C2365 &amp; "|" &amp; H2365,  "")</f>
        <v>principal-knowledge-authority|KnowledgeFragments</v>
      </c>
      <c r="N2365" s="3" t="s">
        <v>10004</v>
      </c>
    </row>
    <row r="2366">
      <c r="A2366" s="3" t="s">
        <v>12368</v>
      </c>
      <c r="B2366" s="4" t="str">
        <f>C2366 &amp; " -&gt; " &amp; D2366</f>
        <v>principal-knowledge-authority -&gt; KnowledgeFragments.IsAgingLowConfidenceClaim</v>
      </c>
      <c r="C2366" s="3" t="s">
        <v>9774</v>
      </c>
      <c r="D2366" s="3" t="s">
        <v>3296</v>
      </c>
      <c r="E2366" s="3" t="b">
        <v>1</v>
      </c>
      <c r="F2366" s="3" t="b">
        <v>0</v>
      </c>
      <c r="G2366" s="3" t="s">
        <v>10003</v>
      </c>
      <c r="H2366" s="4" t="str">
        <f>_xlfn.IFNA(IF(((INDEX(RulebookFields!C2:C1898, MATCH(D2366,RulebookFields!A2:A1898, 0))="")=TRUE),  "",  INDEX(RulebookFields!C2:C1898, MATCH(D2366,RulebookFields!A2:A1898, 0))), "")</f>
        <v>KnowledgeFragments</v>
      </c>
      <c r="I2366" s="4" t="str">
        <f>_xlfn.IFNA(IF(((INDEX(RulebookFields!D2:D1898, MATCH(D2366,RulebookFields!A2:A1898, 0))="")=TRUE),  "",  INDEX(RulebookFields!D2:D1898, MATCH(D2366,RulebookFields!A2:A1898, 0))), "")</f>
        <v>IsAgingLowConfidenceClaim</v>
      </c>
      <c r="J2366" s="4" t="b">
        <f>_xlfn.IFNA(IF(((INDEX(RulebookFields!I2:I1898, MATCH(D2366,RulebookFields!A2:A1898, 0))="")=TRUE),  "",  INDEX(RulebookFields!I2:I1898, MATCH(D2366,RulebookFields!A2:A1898, 0))), "")</f>
        <v>1</v>
      </c>
      <c r="K2366" s="4" t="b">
        <f>AND(((F2366)=TRUE), ((J2366)=TRUE))</f>
        <v>0</v>
      </c>
      <c r="L2366" s="4" t="b">
        <f>AND(((G2366 &lt;&gt; "plain")=TRUE), ((G2366 &lt;&gt; "")=TRUE))</f>
        <v>0</v>
      </c>
      <c r="M2366" s="4" t="str">
        <f>IF(((E2366)=TRUE),  C2366 &amp; "|" &amp; H2366,  "")</f>
        <v>principal-knowledge-authority|KnowledgeFragments</v>
      </c>
      <c r="N2366" s="3" t="s">
        <v>10004</v>
      </c>
    </row>
    <row r="2367">
      <c r="A2367" s="3" t="s">
        <v>12369</v>
      </c>
      <c r="B2367" s="4" t="str">
        <f>C2367 &amp; " -&gt; " &amp; D2367</f>
        <v>principal-knowledge-authority -&gt; KnowledgeFragments.OwnerRoleAgentKind</v>
      </c>
      <c r="C2367" s="3" t="s">
        <v>9774</v>
      </c>
      <c r="D2367" s="3" t="s">
        <v>3298</v>
      </c>
      <c r="E2367" s="3" t="b">
        <v>1</v>
      </c>
      <c r="F2367" s="3" t="b">
        <v>0</v>
      </c>
      <c r="G2367" s="3" t="s">
        <v>10003</v>
      </c>
      <c r="H2367" s="4" t="str">
        <f>_xlfn.IFNA(IF(((INDEX(RulebookFields!C2:C1898, MATCH(D2367,RulebookFields!A2:A1898, 0))="")=TRUE),  "",  INDEX(RulebookFields!C2:C1898, MATCH(D2367,RulebookFields!A2:A1898, 0))), "")</f>
        <v>KnowledgeFragments</v>
      </c>
      <c r="I2367" s="4" t="str">
        <f>_xlfn.IFNA(IF(((INDEX(RulebookFields!D2:D1898, MATCH(D2367,RulebookFields!A2:A1898, 0))="")=TRUE),  "",  INDEX(RulebookFields!D2:D1898, MATCH(D2367,RulebookFields!A2:A1898, 0))), "")</f>
        <v>OwnerRoleAgentKind</v>
      </c>
      <c r="J2367" s="4" t="b">
        <f>_xlfn.IFNA(IF(((INDEX(RulebookFields!I2:I1898, MATCH(D2367,RulebookFields!A2:A1898, 0))="")=TRUE),  "",  INDEX(RulebookFields!I2:I1898, MATCH(D2367,RulebookFields!A2:A1898, 0))), "")</f>
        <v>1</v>
      </c>
      <c r="K2367" s="4" t="b">
        <f>AND(((F2367)=TRUE), ((J2367)=TRUE))</f>
        <v>0</v>
      </c>
      <c r="L2367" s="4" t="b">
        <f>AND(((G2367 &lt;&gt; "plain")=TRUE), ((G2367 &lt;&gt; "")=TRUE))</f>
        <v>0</v>
      </c>
      <c r="M2367" s="4" t="str">
        <f>IF(((E2367)=TRUE),  C2367 &amp; "|" &amp; H2367,  "")</f>
        <v>principal-knowledge-authority|KnowledgeFragments</v>
      </c>
      <c r="N2367" s="3" t="s">
        <v>10004</v>
      </c>
    </row>
    <row r="2368">
      <c r="A2368" s="3" t="s">
        <v>12370</v>
      </c>
      <c r="B2368" s="4" t="str">
        <f>C2368 &amp; " -&gt; " &amp; D2368</f>
        <v>principal-knowledge-authority -&gt; KnowledgeFragments.IsHumanOwned</v>
      </c>
      <c r="C2368" s="3" t="s">
        <v>9774</v>
      </c>
      <c r="D2368" s="3" t="s">
        <v>3300</v>
      </c>
      <c r="E2368" s="3" t="b">
        <v>1</v>
      </c>
      <c r="F2368" s="3" t="b">
        <v>0</v>
      </c>
      <c r="G2368" s="3" t="s">
        <v>10003</v>
      </c>
      <c r="H2368" s="4" t="str">
        <f>_xlfn.IFNA(IF(((INDEX(RulebookFields!C2:C1898, MATCH(D2368,RulebookFields!A2:A1898, 0))="")=TRUE),  "",  INDEX(RulebookFields!C2:C1898, MATCH(D2368,RulebookFields!A2:A1898, 0))), "")</f>
        <v>KnowledgeFragments</v>
      </c>
      <c r="I2368" s="4" t="str">
        <f>_xlfn.IFNA(IF(((INDEX(RulebookFields!D2:D1898, MATCH(D2368,RulebookFields!A2:A1898, 0))="")=TRUE),  "",  INDEX(RulebookFields!D2:D1898, MATCH(D2368,RulebookFields!A2:A1898, 0))), "")</f>
        <v>IsHumanOwned</v>
      </c>
      <c r="J2368" s="4" t="b">
        <f>_xlfn.IFNA(IF(((INDEX(RulebookFields!I2:I1898, MATCH(D2368,RulebookFields!A2:A1898, 0))="")=TRUE),  "",  INDEX(RulebookFields!I2:I1898, MATCH(D2368,RulebookFields!A2:A1898, 0))), "")</f>
        <v>1</v>
      </c>
      <c r="K2368" s="4" t="b">
        <f>AND(((F2368)=TRUE), ((J2368)=TRUE))</f>
        <v>0</v>
      </c>
      <c r="L2368" s="4" t="b">
        <f>AND(((G2368 &lt;&gt; "plain")=TRUE), ((G2368 &lt;&gt; "")=TRUE))</f>
        <v>0</v>
      </c>
      <c r="M2368" s="4" t="str">
        <f>IF(((E2368)=TRUE),  C2368 &amp; "|" &amp; H2368,  "")</f>
        <v>principal-knowledge-authority|KnowledgeFragments</v>
      </c>
      <c r="N2368" s="3" t="s">
        <v>10004</v>
      </c>
    </row>
    <row r="2369">
      <c r="A2369" s="3" t="s">
        <v>12371</v>
      </c>
      <c r="B2369" s="4" t="str">
        <f>C2369 &amp; " -&gt; " &amp; D2369</f>
        <v>principal-knowledge-authority -&gt; KnowledgeFragments.IsAiValidatedByAi</v>
      </c>
      <c r="C2369" s="3" t="s">
        <v>9774</v>
      </c>
      <c r="D2369" s="3" t="s">
        <v>3302</v>
      </c>
      <c r="E2369" s="3" t="b">
        <v>1</v>
      </c>
      <c r="F2369" s="3" t="b">
        <v>0</v>
      </c>
      <c r="G2369" s="3" t="s">
        <v>10003</v>
      </c>
      <c r="H2369" s="4" t="str">
        <f>_xlfn.IFNA(IF(((INDEX(RulebookFields!C2:C1898, MATCH(D2369,RulebookFields!A2:A1898, 0))="")=TRUE),  "",  INDEX(RulebookFields!C2:C1898, MATCH(D2369,RulebookFields!A2:A1898, 0))), "")</f>
        <v>KnowledgeFragments</v>
      </c>
      <c r="I2369" s="4" t="str">
        <f>_xlfn.IFNA(IF(((INDEX(RulebookFields!D2:D1898, MATCH(D2369,RulebookFields!A2:A1898, 0))="")=TRUE),  "",  INDEX(RulebookFields!D2:D1898, MATCH(D2369,RulebookFields!A2:A1898, 0))), "")</f>
        <v>IsAiValidatedByAi</v>
      </c>
      <c r="J2369" s="4" t="b">
        <f>_xlfn.IFNA(IF(((INDEX(RulebookFields!I2:I1898, MATCH(D2369,RulebookFields!A2:A1898, 0))="")=TRUE),  "",  INDEX(RulebookFields!I2:I1898, MATCH(D2369,RulebookFields!A2:A1898, 0))), "")</f>
        <v>1</v>
      </c>
      <c r="K2369" s="4" t="b">
        <f>AND(((F2369)=TRUE), ((J2369)=TRUE))</f>
        <v>0</v>
      </c>
      <c r="L2369" s="4" t="b">
        <f>AND(((G2369 &lt;&gt; "plain")=TRUE), ((G2369 &lt;&gt; "")=TRUE))</f>
        <v>0</v>
      </c>
      <c r="M2369" s="4" t="str">
        <f>IF(((E2369)=TRUE),  C2369 &amp; "|" &amp; H2369,  "")</f>
        <v>principal-knowledge-authority|KnowledgeFragments</v>
      </c>
      <c r="N2369" s="3" t="s">
        <v>10004</v>
      </c>
    </row>
    <row r="2370">
      <c r="A2370" s="3" t="s">
        <v>12372</v>
      </c>
      <c r="B2370" s="4" t="str">
        <f>C2370 &amp; " -&gt; " &amp; D2370</f>
        <v>principal-knowledge-authority -&gt; KnowledgeFragments.ReviewCadenceDays</v>
      </c>
      <c r="C2370" s="3" t="s">
        <v>9774</v>
      </c>
      <c r="D2370" s="3" t="s">
        <v>3304</v>
      </c>
      <c r="E2370" s="3" t="b">
        <v>1</v>
      </c>
      <c r="F2370" s="3" t="b">
        <v>0</v>
      </c>
      <c r="G2370" s="3" t="s">
        <v>10003</v>
      </c>
      <c r="H2370" s="4" t="str">
        <f>_xlfn.IFNA(IF(((INDEX(RulebookFields!C2:C1898, MATCH(D2370,RulebookFields!A2:A1898, 0))="")=TRUE),  "",  INDEX(RulebookFields!C2:C1898, MATCH(D2370,RulebookFields!A2:A1898, 0))), "")</f>
        <v>KnowledgeFragments</v>
      </c>
      <c r="I2370" s="4" t="str">
        <f>_xlfn.IFNA(IF(((INDEX(RulebookFields!D2:D1898, MATCH(D2370,RulebookFields!A2:A1898, 0))="")=TRUE),  "",  INDEX(RulebookFields!D2:D1898, MATCH(D2370,RulebookFields!A2:A1898, 0))), "")</f>
        <v>ReviewCadenceDays</v>
      </c>
      <c r="J2370" s="4" t="b">
        <f>_xlfn.IFNA(IF(((INDEX(RulebookFields!I2:I1898, MATCH(D2370,RulebookFields!A2:A1898, 0))="")=TRUE),  "",  INDEX(RulebookFields!I2:I1898, MATCH(D2370,RulebookFields!A2:A1898, 0))), "")</f>
        <v>1</v>
      </c>
      <c r="K2370" s="4" t="b">
        <f>AND(((F2370)=TRUE), ((J2370)=TRUE))</f>
        <v>0</v>
      </c>
      <c r="L2370" s="4" t="b">
        <f>AND(((G2370 &lt;&gt; "plain")=TRUE), ((G2370 &lt;&gt; "")=TRUE))</f>
        <v>0</v>
      </c>
      <c r="M2370" s="4" t="str">
        <f>IF(((E2370)=TRUE),  C2370 &amp; "|" &amp; H2370,  "")</f>
        <v>principal-knowledge-authority|KnowledgeFragments</v>
      </c>
      <c r="N2370" s="3" t="s">
        <v>10004</v>
      </c>
    </row>
    <row r="2371">
      <c r="A2371" s="3" t="s">
        <v>12373</v>
      </c>
      <c r="B2371" s="4" t="str">
        <f>C2371 &amp; " -&gt; " &amp; D2371</f>
        <v>principal-knowledge-authority -&gt; KnowledgeFragments.IsOverdueForReview</v>
      </c>
      <c r="C2371" s="3" t="s">
        <v>9774</v>
      </c>
      <c r="D2371" s="3" t="s">
        <v>3305</v>
      </c>
      <c r="E2371" s="3" t="b">
        <v>1</v>
      </c>
      <c r="F2371" s="3" t="b">
        <v>0</v>
      </c>
      <c r="G2371" s="3" t="s">
        <v>10003</v>
      </c>
      <c r="H2371" s="4" t="str">
        <f>_xlfn.IFNA(IF(((INDEX(RulebookFields!C2:C1898, MATCH(D2371,RulebookFields!A2:A1898, 0))="")=TRUE),  "",  INDEX(RulebookFields!C2:C1898, MATCH(D2371,RulebookFields!A2:A1898, 0))), "")</f>
        <v>KnowledgeFragments</v>
      </c>
      <c r="I2371" s="4" t="str">
        <f>_xlfn.IFNA(IF(((INDEX(RulebookFields!D2:D1898, MATCH(D2371,RulebookFields!A2:A1898, 0))="")=TRUE),  "",  INDEX(RulebookFields!D2:D1898, MATCH(D2371,RulebookFields!A2:A1898, 0))), "")</f>
        <v>IsOverdueForReview</v>
      </c>
      <c r="J2371" s="4" t="b">
        <f>_xlfn.IFNA(IF(((INDEX(RulebookFields!I2:I1898, MATCH(D2371,RulebookFields!A2:A1898, 0))="")=TRUE),  "",  INDEX(RulebookFields!I2:I1898, MATCH(D2371,RulebookFields!A2:A1898, 0))), "")</f>
        <v>1</v>
      </c>
      <c r="K2371" s="4" t="b">
        <f>AND(((F2371)=TRUE), ((J2371)=TRUE))</f>
        <v>0</v>
      </c>
      <c r="L2371" s="4" t="b">
        <f>AND(((G2371 &lt;&gt; "plain")=TRUE), ((G2371 &lt;&gt; "")=TRUE))</f>
        <v>0</v>
      </c>
      <c r="M2371" s="4" t="str">
        <f>IF(((E2371)=TRUE),  C2371 &amp; "|" &amp; H2371,  "")</f>
        <v>principal-knowledge-authority|KnowledgeFragments</v>
      </c>
      <c r="N2371" s="3" t="s">
        <v>10004</v>
      </c>
    </row>
    <row r="2372">
      <c r="A2372" s="3" t="s">
        <v>12374</v>
      </c>
      <c r="B2372" s="4" t="str">
        <f>C2372 &amp; " -&gt; " &amp; D2372</f>
        <v>principal-knowledge-authority -&gt; KnowledgeFragments.PredatesCurrentRoleHolder</v>
      </c>
      <c r="C2372" s="3" t="s">
        <v>9774</v>
      </c>
      <c r="D2372" s="3" t="s">
        <v>3307</v>
      </c>
      <c r="E2372" s="3" t="b">
        <v>1</v>
      </c>
      <c r="F2372" s="3" t="b">
        <v>0</v>
      </c>
      <c r="G2372" s="3" t="s">
        <v>10003</v>
      </c>
      <c r="H2372" s="4" t="str">
        <f>_xlfn.IFNA(IF(((INDEX(RulebookFields!C2:C1898, MATCH(D2372,RulebookFields!A2:A1898, 0))="")=TRUE),  "",  INDEX(RulebookFields!C2:C1898, MATCH(D2372,RulebookFields!A2:A1898, 0))), "")</f>
        <v>KnowledgeFragments</v>
      </c>
      <c r="I2372" s="4" t="str">
        <f>_xlfn.IFNA(IF(((INDEX(RulebookFields!D2:D1898, MATCH(D2372,RulebookFields!A2:A1898, 0))="")=TRUE),  "",  INDEX(RulebookFields!D2:D1898, MATCH(D2372,RulebookFields!A2:A1898, 0))), "")</f>
        <v>PredatesCurrentRoleHolder</v>
      </c>
      <c r="J2372" s="4" t="b">
        <f>_xlfn.IFNA(IF(((INDEX(RulebookFields!I2:I1898, MATCH(D2372,RulebookFields!A2:A1898, 0))="")=TRUE),  "",  INDEX(RulebookFields!I2:I1898, MATCH(D2372,RulebookFields!A2:A1898, 0))), "")</f>
        <v>1</v>
      </c>
      <c r="K2372" s="4" t="b">
        <f>AND(((F2372)=TRUE), ((J2372)=TRUE))</f>
        <v>0</v>
      </c>
      <c r="L2372" s="4" t="b">
        <f>AND(((G2372 &lt;&gt; "plain")=TRUE), ((G2372 &lt;&gt; "")=TRUE))</f>
        <v>0</v>
      </c>
      <c r="M2372" s="4" t="str">
        <f>IF(((E2372)=TRUE),  C2372 &amp; "|" &amp; H2372,  "")</f>
        <v>principal-knowledge-authority|KnowledgeFragments</v>
      </c>
      <c r="N2372" s="3" t="s">
        <v>10004</v>
      </c>
    </row>
    <row r="2373">
      <c r="A2373" s="3" t="s">
        <v>12375</v>
      </c>
      <c r="B2373" s="4" t="str">
        <f>C2373 &amp; " -&gt; " &amp; D2373</f>
        <v>principal-knowledge-authority -&gt; KnowledgeFragments.OwnerRoleAssignmentValidFrom</v>
      </c>
      <c r="C2373" s="3" t="s">
        <v>9774</v>
      </c>
      <c r="D2373" s="3" t="s">
        <v>3309</v>
      </c>
      <c r="E2373" s="3" t="b">
        <v>1</v>
      </c>
      <c r="F2373" s="3" t="b">
        <v>0</v>
      </c>
      <c r="G2373" s="3" t="s">
        <v>10003</v>
      </c>
      <c r="H2373" s="4" t="str">
        <f>_xlfn.IFNA(IF(((INDEX(RulebookFields!C2:C1898, MATCH(D2373,RulebookFields!A2:A1898, 0))="")=TRUE),  "",  INDEX(RulebookFields!C2:C1898, MATCH(D2373,RulebookFields!A2:A1898, 0))), "")</f>
        <v>KnowledgeFragments</v>
      </c>
      <c r="I2373" s="4" t="str">
        <f>_xlfn.IFNA(IF(((INDEX(RulebookFields!D2:D1898, MATCH(D2373,RulebookFields!A2:A1898, 0))="")=TRUE),  "",  INDEX(RulebookFields!D2:D1898, MATCH(D2373,RulebookFields!A2:A1898, 0))), "")</f>
        <v>OwnerRoleAssignmentValidFrom</v>
      </c>
      <c r="J2373" s="4" t="b">
        <f>_xlfn.IFNA(IF(((INDEX(RulebookFields!I2:I1898, MATCH(D2373,RulebookFields!A2:A1898, 0))="")=TRUE),  "",  INDEX(RulebookFields!I2:I1898, MATCH(D2373,RulebookFields!A2:A1898, 0))), "")</f>
        <v>1</v>
      </c>
      <c r="K2373" s="4" t="b">
        <f>AND(((F2373)=TRUE), ((J2373)=TRUE))</f>
        <v>0</v>
      </c>
      <c r="L2373" s="4" t="b">
        <f>AND(((G2373 &lt;&gt; "plain")=TRUE), ((G2373 &lt;&gt; "")=TRUE))</f>
        <v>0</v>
      </c>
      <c r="M2373" s="4" t="str">
        <f>IF(((E2373)=TRUE),  C2373 &amp; "|" &amp; H2373,  "")</f>
        <v>principal-knowledge-authority|KnowledgeFragments</v>
      </c>
      <c r="N2373" s="3" t="s">
        <v>10004</v>
      </c>
    </row>
    <row r="2374">
      <c r="A2374" s="3" t="s">
        <v>12376</v>
      </c>
      <c r="B2374" s="4" t="str">
        <f>C2374 &amp; " -&gt; " &amp; D2374</f>
        <v>principal-knowledge-authority -&gt; KnowledgeFragments.LastReviewedAt</v>
      </c>
      <c r="C2374" s="3" t="s">
        <v>9774</v>
      </c>
      <c r="D2374" s="3" t="s">
        <v>3311</v>
      </c>
      <c r="E2374" s="3" t="b">
        <v>1</v>
      </c>
      <c r="F2374" s="3" t="b">
        <v>0</v>
      </c>
      <c r="G2374" s="3" t="s">
        <v>10003</v>
      </c>
      <c r="H2374" s="4" t="str">
        <f>_xlfn.IFNA(IF(((INDEX(RulebookFields!C2:C1898, MATCH(D2374,RulebookFields!A2:A1898, 0))="")=TRUE),  "",  INDEX(RulebookFields!C2:C1898, MATCH(D2374,RulebookFields!A2:A1898, 0))), "")</f>
        <v>KnowledgeFragments</v>
      </c>
      <c r="I2374" s="4" t="str">
        <f>_xlfn.IFNA(IF(((INDEX(RulebookFields!D2:D1898, MATCH(D2374,RulebookFields!A2:A1898, 0))="")=TRUE),  "",  INDEX(RulebookFields!D2:D1898, MATCH(D2374,RulebookFields!A2:A1898, 0))), "")</f>
        <v>LastReviewedAt</v>
      </c>
      <c r="J2374" s="4" t="b">
        <f>_xlfn.IFNA(IF(((INDEX(RulebookFields!I2:I1898, MATCH(D2374,RulebookFields!A2:A1898, 0))="")=TRUE),  "",  INDEX(RulebookFields!I2:I1898, MATCH(D2374,RulebookFields!A2:A1898, 0))), "")</f>
        <v>0</v>
      </c>
      <c r="K2374" s="4" t="b">
        <f>AND(((F2374)=TRUE), ((J2374)=TRUE))</f>
        <v>0</v>
      </c>
      <c r="L2374" s="4" t="b">
        <f>AND(((G2374 &lt;&gt; "plain")=TRUE), ((G2374 &lt;&gt; "")=TRUE))</f>
        <v>0</v>
      </c>
      <c r="M2374" s="4" t="str">
        <f>IF(((E2374)=TRUE),  C2374 &amp; "|" &amp; H2374,  "")</f>
        <v>principal-knowledge-authority|KnowledgeFragments</v>
      </c>
      <c r="N2374" s="3" t="s">
        <v>10004</v>
      </c>
    </row>
    <row r="2375">
      <c r="A2375" s="3" t="s">
        <v>12377</v>
      </c>
      <c r="B2375" s="4" t="str">
        <f>C2375 &amp; " -&gt; " &amp; D2375</f>
        <v>principal-knowledge-authority -&gt; KnowledgeFragments.FragilitySignalCount</v>
      </c>
      <c r="C2375" s="3" t="s">
        <v>9774</v>
      </c>
      <c r="D2375" s="3" t="s">
        <v>3312</v>
      </c>
      <c r="E2375" s="3" t="b">
        <v>1</v>
      </c>
      <c r="F2375" s="3" t="b">
        <v>0</v>
      </c>
      <c r="G2375" s="3" t="s">
        <v>10003</v>
      </c>
      <c r="H2375" s="4" t="str">
        <f>_xlfn.IFNA(IF(((INDEX(RulebookFields!C2:C1898, MATCH(D2375,RulebookFields!A2:A1898, 0))="")=TRUE),  "",  INDEX(RulebookFields!C2:C1898, MATCH(D2375,RulebookFields!A2:A1898, 0))), "")</f>
        <v>KnowledgeFragments</v>
      </c>
      <c r="I2375" s="4" t="str">
        <f>_xlfn.IFNA(IF(((INDEX(RulebookFields!D2:D1898, MATCH(D2375,RulebookFields!A2:A1898, 0))="")=TRUE),  "",  INDEX(RulebookFields!D2:D1898, MATCH(D2375,RulebookFields!A2:A1898, 0))), "")</f>
        <v>FragilitySignalCount</v>
      </c>
      <c r="J2375" s="4" t="b">
        <f>_xlfn.IFNA(IF(((INDEX(RulebookFields!I2:I1898, MATCH(D2375,RulebookFields!A2:A1898, 0))="")=TRUE),  "",  INDEX(RulebookFields!I2:I1898, MATCH(D2375,RulebookFields!A2:A1898, 0))), "")</f>
        <v>1</v>
      </c>
      <c r="K2375" s="4" t="b">
        <f>AND(((F2375)=TRUE), ((J2375)=TRUE))</f>
        <v>0</v>
      </c>
      <c r="L2375" s="4" t="b">
        <f>AND(((G2375 &lt;&gt; "plain")=TRUE), ((G2375 &lt;&gt; "")=TRUE))</f>
        <v>0</v>
      </c>
      <c r="M2375" s="4" t="str">
        <f>IF(((E2375)=TRUE),  C2375 &amp; "|" &amp; H2375,  "")</f>
        <v>principal-knowledge-authority|KnowledgeFragments</v>
      </c>
      <c r="N2375" s="3" t="s">
        <v>10004</v>
      </c>
    </row>
    <row r="2376">
      <c r="A2376" s="3" t="s">
        <v>12378</v>
      </c>
      <c r="B2376" s="4" t="str">
        <f>C2376 &amp; " -&gt; " &amp; D2376</f>
        <v>principal-knowledge-authority -&gt; KnowledgeFragments.IsCompoundFragile</v>
      </c>
      <c r="C2376" s="3" t="s">
        <v>9774</v>
      </c>
      <c r="D2376" s="3" t="s">
        <v>3314</v>
      </c>
      <c r="E2376" s="3" t="b">
        <v>1</v>
      </c>
      <c r="F2376" s="3" t="b">
        <v>0</v>
      </c>
      <c r="G2376" s="3" t="s">
        <v>10003</v>
      </c>
      <c r="H2376" s="4" t="str">
        <f>_xlfn.IFNA(IF(((INDEX(RulebookFields!C2:C1898, MATCH(D2376,RulebookFields!A2:A1898, 0))="")=TRUE),  "",  INDEX(RulebookFields!C2:C1898, MATCH(D2376,RulebookFields!A2:A1898, 0))), "")</f>
        <v>KnowledgeFragments</v>
      </c>
      <c r="I2376" s="4" t="str">
        <f>_xlfn.IFNA(IF(((INDEX(RulebookFields!D2:D1898, MATCH(D2376,RulebookFields!A2:A1898, 0))="")=TRUE),  "",  INDEX(RulebookFields!D2:D1898, MATCH(D2376,RulebookFields!A2:A1898, 0))), "")</f>
        <v>IsCompoundFragile</v>
      </c>
      <c r="J2376" s="4" t="b">
        <f>_xlfn.IFNA(IF(((INDEX(RulebookFields!I2:I1898, MATCH(D2376,RulebookFields!A2:A1898, 0))="")=TRUE),  "",  INDEX(RulebookFields!I2:I1898, MATCH(D2376,RulebookFields!A2:A1898, 0))), "")</f>
        <v>1</v>
      </c>
      <c r="K2376" s="4" t="b">
        <f>AND(((F2376)=TRUE), ((J2376)=TRUE))</f>
        <v>0</v>
      </c>
      <c r="L2376" s="4" t="b">
        <f>AND(((G2376 &lt;&gt; "plain")=TRUE), ((G2376 &lt;&gt; "")=TRUE))</f>
        <v>0</v>
      </c>
      <c r="M2376" s="4" t="str">
        <f>IF(((E2376)=TRUE),  C2376 &amp; "|" &amp; H2376,  "")</f>
        <v>principal-knowledge-authority|KnowledgeFragments</v>
      </c>
      <c r="N2376" s="3" t="s">
        <v>10004</v>
      </c>
    </row>
    <row r="2377">
      <c r="A2377" s="3" t="s">
        <v>12379</v>
      </c>
      <c r="B2377" s="4" t="str">
        <f>C2377 &amp; " -&gt; " &amp; D2377</f>
        <v>principal-knowledge-authority -&gt; KnowledgeFragments.IsSinglePointOfFailure</v>
      </c>
      <c r="C2377" s="3" t="s">
        <v>9774</v>
      </c>
      <c r="D2377" s="3" t="s">
        <v>3316</v>
      </c>
      <c r="E2377" s="3" t="b">
        <v>1</v>
      </c>
      <c r="F2377" s="3" t="b">
        <v>0</v>
      </c>
      <c r="G2377" s="3" t="s">
        <v>10003</v>
      </c>
      <c r="H2377" s="4" t="str">
        <f>_xlfn.IFNA(IF(((INDEX(RulebookFields!C2:C1898, MATCH(D2377,RulebookFields!A2:A1898, 0))="")=TRUE),  "",  INDEX(RulebookFields!C2:C1898, MATCH(D2377,RulebookFields!A2:A1898, 0))), "")</f>
        <v>KnowledgeFragments</v>
      </c>
      <c r="I2377" s="4" t="str">
        <f>_xlfn.IFNA(IF(((INDEX(RulebookFields!D2:D1898, MATCH(D2377,RulebookFields!A2:A1898, 0))="")=TRUE),  "",  INDEX(RulebookFields!D2:D1898, MATCH(D2377,RulebookFields!A2:A1898, 0))), "")</f>
        <v>IsSinglePointOfFailure</v>
      </c>
      <c r="J2377" s="4" t="b">
        <f>_xlfn.IFNA(IF(((INDEX(RulebookFields!I2:I1898, MATCH(D2377,RulebookFields!A2:A1898, 0))="")=TRUE),  "",  INDEX(RulebookFields!I2:I1898, MATCH(D2377,RulebookFields!A2:A1898, 0))), "")</f>
        <v>1</v>
      </c>
      <c r="K2377" s="4" t="b">
        <f>AND(((F2377)=TRUE), ((J2377)=TRUE))</f>
        <v>0</v>
      </c>
      <c r="L2377" s="4" t="b">
        <f>AND(((G2377 &lt;&gt; "plain")=TRUE), ((G2377 &lt;&gt; "")=TRUE))</f>
        <v>0</v>
      </c>
      <c r="M2377" s="4" t="str">
        <f>IF(((E2377)=TRUE),  C2377 &amp; "|" &amp; H2377,  "")</f>
        <v>principal-knowledge-authority|KnowledgeFragments</v>
      </c>
      <c r="N2377" s="3" t="s">
        <v>10004</v>
      </c>
    </row>
    <row r="2378">
      <c r="A2378" s="3" t="s">
        <v>12380</v>
      </c>
      <c r="B2378" s="4" t="str">
        <f>C2378 &amp; " -&gt; " &amp; D2378</f>
        <v>principal-knowledge-authority -&gt; KnowledgeFragments.IsExpiringSinglePointOfFailure</v>
      </c>
      <c r="C2378" s="3" t="s">
        <v>9774</v>
      </c>
      <c r="D2378" s="3" t="s">
        <v>3318</v>
      </c>
      <c r="E2378" s="3" t="b">
        <v>1</v>
      </c>
      <c r="F2378" s="3" t="b">
        <v>0</v>
      </c>
      <c r="G2378" s="3" t="s">
        <v>10003</v>
      </c>
      <c r="H2378" s="4" t="str">
        <f>_xlfn.IFNA(IF(((INDEX(RulebookFields!C2:C1898, MATCH(D2378,RulebookFields!A2:A1898, 0))="")=TRUE),  "",  INDEX(RulebookFields!C2:C1898, MATCH(D2378,RulebookFields!A2:A1898, 0))), "")</f>
        <v>KnowledgeFragments</v>
      </c>
      <c r="I2378" s="4" t="str">
        <f>_xlfn.IFNA(IF(((INDEX(RulebookFields!D2:D1898, MATCH(D2378,RulebookFields!A2:A1898, 0))="")=TRUE),  "",  INDEX(RulebookFields!D2:D1898, MATCH(D2378,RulebookFields!A2:A1898, 0))), "")</f>
        <v>IsExpiringSinglePointOfFailure</v>
      </c>
      <c r="J2378" s="4" t="b">
        <f>_xlfn.IFNA(IF(((INDEX(RulebookFields!I2:I1898, MATCH(D2378,RulebookFields!A2:A1898, 0))="")=TRUE),  "",  INDEX(RulebookFields!I2:I1898, MATCH(D2378,RulebookFields!A2:A1898, 0))), "")</f>
        <v>1</v>
      </c>
      <c r="K2378" s="4" t="b">
        <f>AND(((F2378)=TRUE), ((J2378)=TRUE))</f>
        <v>0</v>
      </c>
      <c r="L2378" s="4" t="b">
        <f>AND(((G2378 &lt;&gt; "plain")=TRUE), ((G2378 &lt;&gt; "")=TRUE))</f>
        <v>0</v>
      </c>
      <c r="M2378" s="4" t="str">
        <f>IF(((E2378)=TRUE),  C2378 &amp; "|" &amp; H2378,  "")</f>
        <v>principal-knowledge-authority|KnowledgeFragments</v>
      </c>
      <c r="N2378" s="3" t="s">
        <v>10004</v>
      </c>
    </row>
    <row r="2379">
      <c r="A2379" s="3" t="s">
        <v>12381</v>
      </c>
      <c r="B2379" s="4" t="str">
        <f>C2379 &amp; " -&gt; " &amp; D2379</f>
        <v>principal-knowledge-authority -&gt; KnowledgeFragments.CompoundFragileVersionKey</v>
      </c>
      <c r="C2379" s="3" t="s">
        <v>9774</v>
      </c>
      <c r="D2379" s="3" t="s">
        <v>3320</v>
      </c>
      <c r="E2379" s="3" t="b">
        <v>1</v>
      </c>
      <c r="F2379" s="3" t="b">
        <v>0</v>
      </c>
      <c r="G2379" s="3" t="s">
        <v>10003</v>
      </c>
      <c r="H2379" s="4" t="str">
        <f>_xlfn.IFNA(IF(((INDEX(RulebookFields!C2:C1898, MATCH(D2379,RulebookFields!A2:A1898, 0))="")=TRUE),  "",  INDEX(RulebookFields!C2:C1898, MATCH(D2379,RulebookFields!A2:A1898, 0))), "")</f>
        <v>KnowledgeFragments</v>
      </c>
      <c r="I2379" s="4" t="str">
        <f>_xlfn.IFNA(IF(((INDEX(RulebookFields!D2:D1898, MATCH(D2379,RulebookFields!A2:A1898, 0))="")=TRUE),  "",  INDEX(RulebookFields!D2:D1898, MATCH(D2379,RulebookFields!A2:A1898, 0))), "")</f>
        <v>CompoundFragileVersionKey</v>
      </c>
      <c r="J2379" s="4" t="b">
        <f>_xlfn.IFNA(IF(((INDEX(RulebookFields!I2:I1898, MATCH(D2379,RulebookFields!A2:A1898, 0))="")=TRUE),  "",  INDEX(RulebookFields!I2:I1898, MATCH(D2379,RulebookFields!A2:A1898, 0))), "")</f>
        <v>1</v>
      </c>
      <c r="K2379" s="4" t="b">
        <f>AND(((F2379)=TRUE), ((J2379)=TRUE))</f>
        <v>0</v>
      </c>
      <c r="L2379" s="4" t="b">
        <f>AND(((G2379 &lt;&gt; "plain")=TRUE), ((G2379 &lt;&gt; "")=TRUE))</f>
        <v>0</v>
      </c>
      <c r="M2379" s="4" t="str">
        <f>IF(((E2379)=TRUE),  C2379 &amp; "|" &amp; H2379,  "")</f>
        <v>principal-knowledge-authority|KnowledgeFragments</v>
      </c>
      <c r="N2379" s="3" t="s">
        <v>10004</v>
      </c>
    </row>
    <row r="2380">
      <c r="A2380" s="3" t="s">
        <v>12382</v>
      </c>
      <c r="B2380" s="4" t="str">
        <f>C2380 &amp; " -&gt; " &amp; D2380</f>
        <v>principal-knowledge-authority -&gt; KnowledgeFragments.ValidFragmentSessionKey</v>
      </c>
      <c r="C2380" s="3" t="s">
        <v>9774</v>
      </c>
      <c r="D2380" s="3" t="s">
        <v>3322</v>
      </c>
      <c r="E2380" s="3" t="b">
        <v>1</v>
      </c>
      <c r="F2380" s="3" t="b">
        <v>0</v>
      </c>
      <c r="G2380" s="3" t="s">
        <v>10003</v>
      </c>
      <c r="H2380" s="4" t="str">
        <f>_xlfn.IFNA(IF(((INDEX(RulebookFields!C2:C1898, MATCH(D2380,RulebookFields!A2:A1898, 0))="")=TRUE),  "",  INDEX(RulebookFields!C2:C1898, MATCH(D2380,RulebookFields!A2:A1898, 0))), "")</f>
        <v>KnowledgeFragments</v>
      </c>
      <c r="I2380" s="4" t="str">
        <f>_xlfn.IFNA(IF(((INDEX(RulebookFields!D2:D1898, MATCH(D2380,RulebookFields!A2:A1898, 0))="")=TRUE),  "",  INDEX(RulebookFields!D2:D1898, MATCH(D2380,RulebookFields!A2:A1898, 0))), "")</f>
        <v>ValidFragmentSessionKey</v>
      </c>
      <c r="J2380" s="4" t="b">
        <f>_xlfn.IFNA(IF(((INDEX(RulebookFields!I2:I1898, MATCH(D2380,RulebookFields!A2:A1898, 0))="")=TRUE),  "",  INDEX(RulebookFields!I2:I1898, MATCH(D2380,RulebookFields!A2:A1898, 0))), "")</f>
        <v>1</v>
      </c>
      <c r="K2380" s="4" t="b">
        <f>AND(((F2380)=TRUE), ((J2380)=TRUE))</f>
        <v>0</v>
      </c>
      <c r="L2380" s="4" t="b">
        <f>AND(((G2380 &lt;&gt; "plain")=TRUE), ((G2380 &lt;&gt; "")=TRUE))</f>
        <v>0</v>
      </c>
      <c r="M2380" s="4" t="str">
        <f>IF(((E2380)=TRUE),  C2380 &amp; "|" &amp; H2380,  "")</f>
        <v>principal-knowledge-authority|KnowledgeFragments</v>
      </c>
      <c r="N2380" s="3" t="s">
        <v>10004</v>
      </c>
    </row>
    <row r="2381">
      <c r="A2381" s="3" t="s">
        <v>12383</v>
      </c>
      <c r="B2381" s="4" t="str">
        <f>C2381 &amp; " -&gt; " &amp; D2381</f>
        <v>principal-knowledge-authority -&gt; KnowledgeFragments.ConsumingStepIsSoftwareAssigned</v>
      </c>
      <c r="C2381" s="3" t="s">
        <v>9774</v>
      </c>
      <c r="D2381" s="3" t="s">
        <v>3324</v>
      </c>
      <c r="E2381" s="3" t="b">
        <v>1</v>
      </c>
      <c r="F2381" s="3" t="b">
        <v>0</v>
      </c>
      <c r="G2381" s="3" t="s">
        <v>10003</v>
      </c>
      <c r="H2381" s="4" t="str">
        <f>_xlfn.IFNA(IF(((INDEX(RulebookFields!C2:C1898, MATCH(D2381,RulebookFields!A2:A1898, 0))="")=TRUE),  "",  INDEX(RulebookFields!C2:C1898, MATCH(D2381,RulebookFields!A2:A1898, 0))), "")</f>
        <v>KnowledgeFragments</v>
      </c>
      <c r="I2381" s="4" t="str">
        <f>_xlfn.IFNA(IF(((INDEX(RulebookFields!D2:D1898, MATCH(D2381,RulebookFields!A2:A1898, 0))="")=TRUE),  "",  INDEX(RulebookFields!D2:D1898, MATCH(D2381,RulebookFields!A2:A1898, 0))), "")</f>
        <v>ConsumingStepIsSoftwareAssigned</v>
      </c>
      <c r="J2381" s="4" t="b">
        <f>_xlfn.IFNA(IF(((INDEX(RulebookFields!I2:I1898, MATCH(D2381,RulebookFields!A2:A1898, 0))="")=TRUE),  "",  INDEX(RulebookFields!I2:I1898, MATCH(D2381,RulebookFields!A2:A1898, 0))), "")</f>
        <v>1</v>
      </c>
      <c r="K2381" s="4" t="b">
        <f>AND(((F2381)=TRUE), ((J2381)=TRUE))</f>
        <v>0</v>
      </c>
      <c r="L2381" s="4" t="b">
        <f>AND(((G2381 &lt;&gt; "plain")=TRUE), ((G2381 &lt;&gt; "")=TRUE))</f>
        <v>0</v>
      </c>
      <c r="M2381" s="4" t="str">
        <f>IF(((E2381)=TRUE),  C2381 &amp; "|" &amp; H2381,  "")</f>
        <v>principal-knowledge-authority|KnowledgeFragments</v>
      </c>
      <c r="N2381" s="3" t="s">
        <v>10004</v>
      </c>
    </row>
    <row r="2382">
      <c r="A2382" s="3" t="s">
        <v>12384</v>
      </c>
      <c r="B2382" s="4" t="str">
        <f>C2382 &amp; " -&gt; " &amp; D2382</f>
        <v>principal-knowledge-authority -&gt; KnowledgeFragments.ConsumingStepAgentKind</v>
      </c>
      <c r="C2382" s="3" t="s">
        <v>9774</v>
      </c>
      <c r="D2382" s="3" t="s">
        <v>3326</v>
      </c>
      <c r="E2382" s="3" t="b">
        <v>1</v>
      </c>
      <c r="F2382" s="3" t="b">
        <v>0</v>
      </c>
      <c r="G2382" s="3" t="s">
        <v>10003</v>
      </c>
      <c r="H2382" s="4" t="str">
        <f>_xlfn.IFNA(IF(((INDEX(RulebookFields!C2:C1898, MATCH(D2382,RulebookFields!A2:A1898, 0))="")=TRUE),  "",  INDEX(RulebookFields!C2:C1898, MATCH(D2382,RulebookFields!A2:A1898, 0))), "")</f>
        <v>KnowledgeFragments</v>
      </c>
      <c r="I2382" s="4" t="str">
        <f>_xlfn.IFNA(IF(((INDEX(RulebookFields!D2:D1898, MATCH(D2382,RulebookFields!A2:A1898, 0))="")=TRUE),  "",  INDEX(RulebookFields!D2:D1898, MATCH(D2382,RulebookFields!A2:A1898, 0))), "")</f>
        <v>ConsumingStepAgentKind</v>
      </c>
      <c r="J2382" s="4" t="b">
        <f>_xlfn.IFNA(IF(((INDEX(RulebookFields!I2:I1898, MATCH(D2382,RulebookFields!A2:A1898, 0))="")=TRUE),  "",  INDEX(RulebookFields!I2:I1898, MATCH(D2382,RulebookFields!A2:A1898, 0))), "")</f>
        <v>1</v>
      </c>
      <c r="K2382" s="4" t="b">
        <f>AND(((F2382)=TRUE), ((J2382)=TRUE))</f>
        <v>0</v>
      </c>
      <c r="L2382" s="4" t="b">
        <f>AND(((G2382 &lt;&gt; "plain")=TRUE), ((G2382 &lt;&gt; "")=TRUE))</f>
        <v>0</v>
      </c>
      <c r="M2382" s="4" t="str">
        <f>IF(((E2382)=TRUE),  C2382 &amp; "|" &amp; H2382,  "")</f>
        <v>principal-knowledge-authority|KnowledgeFragments</v>
      </c>
      <c r="N2382" s="3" t="s">
        <v>10004</v>
      </c>
    </row>
    <row r="2383">
      <c r="A2383" s="3" t="s">
        <v>12385</v>
      </c>
      <c r="B2383" s="4" t="str">
        <f>C2383 &amp; " -&gt; " &amp; D2383</f>
        <v>principal-knowledge-authority -&gt; KnowledgeFragments.IsUnapprovedAndMachineConsumed</v>
      </c>
      <c r="C2383" s="3" t="s">
        <v>9774</v>
      </c>
      <c r="D2383" s="3" t="s">
        <v>3328</v>
      </c>
      <c r="E2383" s="3" t="b">
        <v>1</v>
      </c>
      <c r="F2383" s="3" t="b">
        <v>0</v>
      </c>
      <c r="G2383" s="3" t="s">
        <v>10003</v>
      </c>
      <c r="H2383" s="4" t="str">
        <f>_xlfn.IFNA(IF(((INDEX(RulebookFields!C2:C1898, MATCH(D2383,RulebookFields!A2:A1898, 0))="")=TRUE),  "",  INDEX(RulebookFields!C2:C1898, MATCH(D2383,RulebookFields!A2:A1898, 0))), "")</f>
        <v>KnowledgeFragments</v>
      </c>
      <c r="I2383" s="4" t="str">
        <f>_xlfn.IFNA(IF(((INDEX(RulebookFields!D2:D1898, MATCH(D2383,RulebookFields!A2:A1898, 0))="")=TRUE),  "",  INDEX(RulebookFields!D2:D1898, MATCH(D2383,RulebookFields!A2:A1898, 0))), "")</f>
        <v>IsUnapprovedAndMachineConsumed</v>
      </c>
      <c r="J2383" s="4" t="b">
        <f>_xlfn.IFNA(IF(((INDEX(RulebookFields!I2:I1898, MATCH(D2383,RulebookFields!A2:A1898, 0))="")=TRUE),  "",  INDEX(RulebookFields!I2:I1898, MATCH(D2383,RulebookFields!A2:A1898, 0))), "")</f>
        <v>1</v>
      </c>
      <c r="K2383" s="4" t="b">
        <f>AND(((F2383)=TRUE), ((J2383)=TRUE))</f>
        <v>0</v>
      </c>
      <c r="L2383" s="4" t="b">
        <f>AND(((G2383 &lt;&gt; "plain")=TRUE), ((G2383 &lt;&gt; "")=TRUE))</f>
        <v>0</v>
      </c>
      <c r="M2383" s="4" t="str">
        <f>IF(((E2383)=TRUE),  C2383 &amp; "|" &amp; H2383,  "")</f>
        <v>principal-knowledge-authority|KnowledgeFragments</v>
      </c>
      <c r="N2383" s="3" t="s">
        <v>10004</v>
      </c>
    </row>
    <row r="2384">
      <c r="A2384" s="3" t="s">
        <v>12386</v>
      </c>
      <c r="B2384" s="4" t="str">
        <f>C2384 &amp; " -&gt; " &amp; D2384</f>
        <v>principal-knowledge-authority -&gt; KnowledgeFragments.IsUnapprovedAndHumanConsumed</v>
      </c>
      <c r="C2384" s="3" t="s">
        <v>9774</v>
      </c>
      <c r="D2384" s="3" t="s">
        <v>3330</v>
      </c>
      <c r="E2384" s="3" t="b">
        <v>1</v>
      </c>
      <c r="F2384" s="3" t="b">
        <v>0</v>
      </c>
      <c r="G2384" s="3" t="s">
        <v>10003</v>
      </c>
      <c r="H2384" s="4" t="str">
        <f>_xlfn.IFNA(IF(((INDEX(RulebookFields!C2:C1898, MATCH(D2384,RulebookFields!A2:A1898, 0))="")=TRUE),  "",  INDEX(RulebookFields!C2:C1898, MATCH(D2384,RulebookFields!A2:A1898, 0))), "")</f>
        <v>KnowledgeFragments</v>
      </c>
      <c r="I2384" s="4" t="str">
        <f>_xlfn.IFNA(IF(((INDEX(RulebookFields!D2:D1898, MATCH(D2384,RulebookFields!A2:A1898, 0))="")=TRUE),  "",  INDEX(RulebookFields!D2:D1898, MATCH(D2384,RulebookFields!A2:A1898, 0))), "")</f>
        <v>IsUnapprovedAndHumanConsumed</v>
      </c>
      <c r="J2384" s="4" t="b">
        <f>_xlfn.IFNA(IF(((INDEX(RulebookFields!I2:I1898, MATCH(D2384,RulebookFields!A2:A1898, 0))="")=TRUE),  "",  INDEX(RulebookFields!I2:I1898, MATCH(D2384,RulebookFields!A2:A1898, 0))), "")</f>
        <v>1</v>
      </c>
      <c r="K2384" s="4" t="b">
        <f>AND(((F2384)=TRUE), ((J2384)=TRUE))</f>
        <v>0</v>
      </c>
      <c r="L2384" s="4" t="b">
        <f>AND(((G2384 &lt;&gt; "plain")=TRUE), ((G2384 &lt;&gt; "")=TRUE))</f>
        <v>0</v>
      </c>
      <c r="M2384" s="4" t="str">
        <f>IF(((E2384)=TRUE),  C2384 &amp; "|" &amp; H2384,  "")</f>
        <v>principal-knowledge-authority|KnowledgeFragments</v>
      </c>
      <c r="N2384" s="3" t="s">
        <v>10004</v>
      </c>
    </row>
    <row r="2385">
      <c r="A2385" s="3" t="s">
        <v>12387</v>
      </c>
      <c r="B2385" s="4" t="str">
        <f>C2385 &amp; " -&gt; " &amp; D2385</f>
        <v>principal-knowledge-authority -&gt; KnowledgeFragments.MachineConsumedUnapprovedVersionKey</v>
      </c>
      <c r="C2385" s="3" t="s">
        <v>9774</v>
      </c>
      <c r="D2385" s="3" t="s">
        <v>3332</v>
      </c>
      <c r="E2385" s="3" t="b">
        <v>1</v>
      </c>
      <c r="F2385" s="3" t="b">
        <v>0</v>
      </c>
      <c r="G2385" s="3" t="s">
        <v>10003</v>
      </c>
      <c r="H2385" s="4" t="str">
        <f>_xlfn.IFNA(IF(((INDEX(RulebookFields!C2:C1898, MATCH(D2385,RulebookFields!A2:A1898, 0))="")=TRUE),  "",  INDEX(RulebookFields!C2:C1898, MATCH(D2385,RulebookFields!A2:A1898, 0))), "")</f>
        <v>KnowledgeFragments</v>
      </c>
      <c r="I2385" s="4" t="str">
        <f>_xlfn.IFNA(IF(((INDEX(RulebookFields!D2:D1898, MATCH(D2385,RulebookFields!A2:A1898, 0))="")=TRUE),  "",  INDEX(RulebookFields!D2:D1898, MATCH(D2385,RulebookFields!A2:A1898, 0))), "")</f>
        <v>MachineConsumedUnapprovedVersionKey</v>
      </c>
      <c r="J2385" s="4" t="b">
        <f>_xlfn.IFNA(IF(((INDEX(RulebookFields!I2:I1898, MATCH(D2385,RulebookFields!A2:A1898, 0))="")=TRUE),  "",  INDEX(RulebookFields!I2:I1898, MATCH(D2385,RulebookFields!A2:A1898, 0))), "")</f>
        <v>1</v>
      </c>
      <c r="K2385" s="4" t="b">
        <f>AND(((F2385)=TRUE), ((J2385)=TRUE))</f>
        <v>0</v>
      </c>
      <c r="L2385" s="4" t="b">
        <f>AND(((G2385 &lt;&gt; "plain")=TRUE), ((G2385 &lt;&gt; "")=TRUE))</f>
        <v>0</v>
      </c>
      <c r="M2385" s="4" t="str">
        <f>IF(((E2385)=TRUE),  C2385 &amp; "|" &amp; H2385,  "")</f>
        <v>principal-knowledge-authority|KnowledgeFragments</v>
      </c>
      <c r="N2385" s="3" t="s">
        <v>10004</v>
      </c>
    </row>
    <row r="2386">
      <c r="A2386" s="3" t="s">
        <v>12388</v>
      </c>
      <c r="B2386" s="4" t="str">
        <f>C2386 &amp; " -&gt; " &amp; D2386</f>
        <v>principal-knowledge-authority -&gt; KnowledgeFragments.HasReviewRecord</v>
      </c>
      <c r="C2386" s="3" t="s">
        <v>9774</v>
      </c>
      <c r="D2386" s="3" t="s">
        <v>3334</v>
      </c>
      <c r="E2386" s="3" t="b">
        <v>1</v>
      </c>
      <c r="F2386" s="3" t="b">
        <v>0</v>
      </c>
      <c r="G2386" s="3" t="s">
        <v>10003</v>
      </c>
      <c r="H2386" s="4" t="str">
        <f>_xlfn.IFNA(IF(((INDEX(RulebookFields!C2:C1898, MATCH(D2386,RulebookFields!A2:A1898, 0))="")=TRUE),  "",  INDEX(RulebookFields!C2:C1898, MATCH(D2386,RulebookFields!A2:A1898, 0))), "")</f>
        <v>KnowledgeFragments</v>
      </c>
      <c r="I2386" s="4" t="str">
        <f>_xlfn.IFNA(IF(((INDEX(RulebookFields!D2:D1898, MATCH(D2386,RulebookFields!A2:A1898, 0))="")=TRUE),  "",  INDEX(RulebookFields!D2:D1898, MATCH(D2386,RulebookFields!A2:A1898, 0))), "")</f>
        <v>HasReviewRecord</v>
      </c>
      <c r="J2386" s="4" t="b">
        <f>_xlfn.IFNA(IF(((INDEX(RulebookFields!I2:I1898, MATCH(D2386,RulebookFields!A2:A1898, 0))="")=TRUE),  "",  INDEX(RulebookFields!I2:I1898, MATCH(D2386,RulebookFields!A2:A1898, 0))), "")</f>
        <v>1</v>
      </c>
      <c r="K2386" s="4" t="b">
        <f>AND(((F2386)=TRUE), ((J2386)=TRUE))</f>
        <v>0</v>
      </c>
      <c r="L2386" s="4" t="b">
        <f>AND(((G2386 &lt;&gt; "plain")=TRUE), ((G2386 &lt;&gt; "")=TRUE))</f>
        <v>0</v>
      </c>
      <c r="M2386" s="4" t="str">
        <f>IF(((E2386)=TRUE),  C2386 &amp; "|" &amp; H2386,  "")</f>
        <v>principal-knowledge-authority|KnowledgeFragments</v>
      </c>
      <c r="N2386" s="3" t="s">
        <v>10004</v>
      </c>
    </row>
    <row r="2387">
      <c r="A2387" s="3" t="s">
        <v>12389</v>
      </c>
      <c r="B2387" s="4" t="str">
        <f>C2387 &amp; " -&gt; " &amp; D2387</f>
        <v>principal-knowledge-authority -&gt; KnowledgeFragments.DaysSinceActualReview</v>
      </c>
      <c r="C2387" s="3" t="s">
        <v>9774</v>
      </c>
      <c r="D2387" s="3" t="s">
        <v>3336</v>
      </c>
      <c r="E2387" s="3" t="b">
        <v>1</v>
      </c>
      <c r="F2387" s="3" t="b">
        <v>0</v>
      </c>
      <c r="G2387" s="3" t="s">
        <v>10003</v>
      </c>
      <c r="H2387" s="4" t="str">
        <f>_xlfn.IFNA(IF(((INDEX(RulebookFields!C2:C1898, MATCH(D2387,RulebookFields!A2:A1898, 0))="")=TRUE),  "",  INDEX(RulebookFields!C2:C1898, MATCH(D2387,RulebookFields!A2:A1898, 0))), "")</f>
        <v>KnowledgeFragments</v>
      </c>
      <c r="I2387" s="4" t="str">
        <f>_xlfn.IFNA(IF(((INDEX(RulebookFields!D2:D1898, MATCH(D2387,RulebookFields!A2:A1898, 0))="")=TRUE),  "",  INDEX(RulebookFields!D2:D1898, MATCH(D2387,RulebookFields!A2:A1898, 0))), "")</f>
        <v>DaysSinceActualReview</v>
      </c>
      <c r="J2387" s="4" t="b">
        <f>_xlfn.IFNA(IF(((INDEX(RulebookFields!I2:I1898, MATCH(D2387,RulebookFields!A2:A1898, 0))="")=TRUE),  "",  INDEX(RulebookFields!I2:I1898, MATCH(D2387,RulebookFields!A2:A1898, 0))), "")</f>
        <v>1</v>
      </c>
      <c r="K2387" s="4" t="b">
        <f>AND(((F2387)=TRUE), ((J2387)=TRUE))</f>
        <v>0</v>
      </c>
      <c r="L2387" s="4" t="b">
        <f>AND(((G2387 &lt;&gt; "plain")=TRUE), ((G2387 &lt;&gt; "")=TRUE))</f>
        <v>0</v>
      </c>
      <c r="M2387" s="4" t="str">
        <f>IF(((E2387)=TRUE),  C2387 &amp; "|" &amp; H2387,  "")</f>
        <v>principal-knowledge-authority|KnowledgeFragments</v>
      </c>
      <c r="N2387" s="3" t="s">
        <v>10004</v>
      </c>
    </row>
    <row r="2388">
      <c r="A2388" s="3" t="s">
        <v>12390</v>
      </c>
      <c r="B2388" s="4" t="str">
        <f>C2388 &amp; " -&gt; " &amp; D2388</f>
        <v>principal-knowledge-authority -&gt; KnowledgeFragments.IsUnreviewedSinceAuthoring</v>
      </c>
      <c r="C2388" s="3" t="s">
        <v>9774</v>
      </c>
      <c r="D2388" s="3" t="s">
        <v>3338</v>
      </c>
      <c r="E2388" s="3" t="b">
        <v>1</v>
      </c>
      <c r="F2388" s="3" t="b">
        <v>0</v>
      </c>
      <c r="G2388" s="3" t="s">
        <v>10003</v>
      </c>
      <c r="H2388" s="4" t="str">
        <f>_xlfn.IFNA(IF(((INDEX(RulebookFields!C2:C1898, MATCH(D2388,RulebookFields!A2:A1898, 0))="")=TRUE),  "",  INDEX(RulebookFields!C2:C1898, MATCH(D2388,RulebookFields!A2:A1898, 0))), "")</f>
        <v>KnowledgeFragments</v>
      </c>
      <c r="I2388" s="4" t="str">
        <f>_xlfn.IFNA(IF(((INDEX(RulebookFields!D2:D1898, MATCH(D2388,RulebookFields!A2:A1898, 0))="")=TRUE),  "",  INDEX(RulebookFields!D2:D1898, MATCH(D2388,RulebookFields!A2:A1898, 0))), "")</f>
        <v>IsUnreviewedSinceAuthoring</v>
      </c>
      <c r="J2388" s="4" t="b">
        <f>_xlfn.IFNA(IF(((INDEX(RulebookFields!I2:I1898, MATCH(D2388,RulebookFields!A2:A1898, 0))="")=TRUE),  "",  INDEX(RulebookFields!I2:I1898, MATCH(D2388,RulebookFields!A2:A1898, 0))), "")</f>
        <v>1</v>
      </c>
      <c r="K2388" s="4" t="b">
        <f>AND(((F2388)=TRUE), ((J2388)=TRUE))</f>
        <v>0</v>
      </c>
      <c r="L2388" s="4" t="b">
        <f>AND(((G2388 &lt;&gt; "plain")=TRUE), ((G2388 &lt;&gt; "")=TRUE))</f>
        <v>0</v>
      </c>
      <c r="M2388" s="4" t="str">
        <f>IF(((E2388)=TRUE),  C2388 &amp; "|" &amp; H2388,  "")</f>
        <v>principal-knowledge-authority|KnowledgeFragments</v>
      </c>
      <c r="N2388" s="3" t="s">
        <v>10004</v>
      </c>
    </row>
    <row r="2389">
      <c r="A2389" s="3" t="s">
        <v>12391</v>
      </c>
      <c r="B2389" s="4" t="str">
        <f>C2389 &amp; " -&gt; " &amp; D2389</f>
        <v>principal-knowledge-authority -&gt; KnowledgeFragments.IsGenuinelyOverdue</v>
      </c>
      <c r="C2389" s="3" t="s">
        <v>9774</v>
      </c>
      <c r="D2389" s="3" t="s">
        <v>3340</v>
      </c>
      <c r="E2389" s="3" t="b">
        <v>1</v>
      </c>
      <c r="F2389" s="3" t="b">
        <v>0</v>
      </c>
      <c r="G2389" s="3" t="s">
        <v>10003</v>
      </c>
      <c r="H2389" s="4" t="str">
        <f>_xlfn.IFNA(IF(((INDEX(RulebookFields!C2:C1898, MATCH(D2389,RulebookFields!A2:A1898, 0))="")=TRUE),  "",  INDEX(RulebookFields!C2:C1898, MATCH(D2389,RulebookFields!A2:A1898, 0))), "")</f>
        <v>KnowledgeFragments</v>
      </c>
      <c r="I2389" s="4" t="str">
        <f>_xlfn.IFNA(IF(((INDEX(RulebookFields!D2:D1898, MATCH(D2389,RulebookFields!A2:A1898, 0))="")=TRUE),  "",  INDEX(RulebookFields!D2:D1898, MATCH(D2389,RulebookFields!A2:A1898, 0))), "")</f>
        <v>IsGenuinelyOverdue</v>
      </c>
      <c r="J2389" s="4" t="b">
        <f>_xlfn.IFNA(IF(((INDEX(RulebookFields!I2:I1898, MATCH(D2389,RulebookFields!A2:A1898, 0))="")=TRUE),  "",  INDEX(RulebookFields!I2:I1898, MATCH(D2389,RulebookFields!A2:A1898, 0))), "")</f>
        <v>1</v>
      </c>
      <c r="K2389" s="4" t="b">
        <f>AND(((F2389)=TRUE), ((J2389)=TRUE))</f>
        <v>0</v>
      </c>
      <c r="L2389" s="4" t="b">
        <f>AND(((G2389 &lt;&gt; "plain")=TRUE), ((G2389 &lt;&gt; "")=TRUE))</f>
        <v>0</v>
      </c>
      <c r="M2389" s="4" t="str">
        <f>IF(((E2389)=TRUE),  C2389 &amp; "|" &amp; H2389,  "")</f>
        <v>principal-knowledge-authority|KnowledgeFragments</v>
      </c>
      <c r="N2389" s="3" t="s">
        <v>10004</v>
      </c>
    </row>
    <row r="2390">
      <c r="A2390" s="3" t="s">
        <v>12392</v>
      </c>
      <c r="B2390" s="4" t="str">
        <f>C2390 &amp; " -&gt; " &amp; D2390</f>
        <v>principal-knowledge-authority -&gt; KnowledgeFragments.ReviewRecencyIsInferred</v>
      </c>
      <c r="C2390" s="3" t="s">
        <v>9774</v>
      </c>
      <c r="D2390" s="3" t="s">
        <v>3342</v>
      </c>
      <c r="E2390" s="3" t="b">
        <v>1</v>
      </c>
      <c r="F2390" s="3" t="b">
        <v>0</v>
      </c>
      <c r="G2390" s="3" t="s">
        <v>10003</v>
      </c>
      <c r="H2390" s="4" t="str">
        <f>_xlfn.IFNA(IF(((INDEX(RulebookFields!C2:C1898, MATCH(D2390,RulebookFields!A2:A1898, 0))="")=TRUE),  "",  INDEX(RulebookFields!C2:C1898, MATCH(D2390,RulebookFields!A2:A1898, 0))), "")</f>
        <v>KnowledgeFragments</v>
      </c>
      <c r="I2390" s="4" t="str">
        <f>_xlfn.IFNA(IF(((INDEX(RulebookFields!D2:D1898, MATCH(D2390,RulebookFields!A2:A1898, 0))="")=TRUE),  "",  INDEX(RulebookFields!D2:D1898, MATCH(D2390,RulebookFields!A2:A1898, 0))), "")</f>
        <v>ReviewRecencyIsInferred</v>
      </c>
      <c r="J2390" s="4" t="b">
        <f>_xlfn.IFNA(IF(((INDEX(RulebookFields!I2:I1898, MATCH(D2390,RulebookFields!A2:A1898, 0))="")=TRUE),  "",  INDEX(RulebookFields!I2:I1898, MATCH(D2390,RulebookFields!A2:A1898, 0))), "")</f>
        <v>1</v>
      </c>
      <c r="K2390" s="4" t="b">
        <f>AND(((F2390)=TRUE), ((J2390)=TRUE))</f>
        <v>0</v>
      </c>
      <c r="L2390" s="4" t="b">
        <f>AND(((G2390 &lt;&gt; "plain")=TRUE), ((G2390 &lt;&gt; "")=TRUE))</f>
        <v>0</v>
      </c>
      <c r="M2390" s="4" t="str">
        <f>IF(((E2390)=TRUE),  C2390 &amp; "|" &amp; H2390,  "")</f>
        <v>principal-knowledge-authority|KnowledgeFragments</v>
      </c>
      <c r="N2390" s="3" t="s">
        <v>10004</v>
      </c>
    </row>
    <row r="2391">
      <c r="A2391" s="3" t="s">
        <v>12393</v>
      </c>
      <c r="B2391" s="4" t="str">
        <f>C2391 &amp; " -&gt; " &amp; D2391</f>
        <v>principal-knowledge-authority -&gt; KnowledgeFragments.InferenceDisagreesWithRecord</v>
      </c>
      <c r="C2391" s="3" t="s">
        <v>9774</v>
      </c>
      <c r="D2391" s="3" t="s">
        <v>3344</v>
      </c>
      <c r="E2391" s="3" t="b">
        <v>1</v>
      </c>
      <c r="F2391" s="3" t="b">
        <v>0</v>
      </c>
      <c r="G2391" s="3" t="s">
        <v>10003</v>
      </c>
      <c r="H2391" s="4" t="str">
        <f>_xlfn.IFNA(IF(((INDEX(RulebookFields!C2:C1898, MATCH(D2391,RulebookFields!A2:A1898, 0))="")=TRUE),  "",  INDEX(RulebookFields!C2:C1898, MATCH(D2391,RulebookFields!A2:A1898, 0))), "")</f>
        <v>KnowledgeFragments</v>
      </c>
      <c r="I2391" s="4" t="str">
        <f>_xlfn.IFNA(IF(((INDEX(RulebookFields!D2:D1898, MATCH(D2391,RulebookFields!A2:A1898, 0))="")=TRUE),  "",  INDEX(RulebookFields!D2:D1898, MATCH(D2391,RulebookFields!A2:A1898, 0))), "")</f>
        <v>InferenceDisagreesWithRecord</v>
      </c>
      <c r="J2391" s="4" t="b">
        <f>_xlfn.IFNA(IF(((INDEX(RulebookFields!I2:I1898, MATCH(D2391,RulebookFields!A2:A1898, 0))="")=TRUE),  "",  INDEX(RulebookFields!I2:I1898, MATCH(D2391,RulebookFields!A2:A1898, 0))), "")</f>
        <v>1</v>
      </c>
      <c r="K2391" s="4" t="b">
        <f>AND(((F2391)=TRUE), ((J2391)=TRUE))</f>
        <v>0</v>
      </c>
      <c r="L2391" s="4" t="b">
        <f>AND(((G2391 &lt;&gt; "plain")=TRUE), ((G2391 &lt;&gt; "")=TRUE))</f>
        <v>0</v>
      </c>
      <c r="M2391" s="4" t="str">
        <f>IF(((E2391)=TRUE),  C2391 &amp; "|" &amp; H2391,  "")</f>
        <v>principal-knowledge-authority|KnowledgeFragments</v>
      </c>
      <c r="N2391" s="3" t="s">
        <v>10004</v>
      </c>
    </row>
    <row r="2392">
      <c r="A2392" s="3" t="s">
        <v>12394</v>
      </c>
      <c r="B2392" s="4" t="str">
        <f>C2392 &amp; " -&gt; " &amp; D2392</f>
        <v>principal-knowledge-authority -&gt; KnowledgeFragments.GenuinelyOverdueVersionKey</v>
      </c>
      <c r="C2392" s="3" t="s">
        <v>9774</v>
      </c>
      <c r="D2392" s="3" t="s">
        <v>3346</v>
      </c>
      <c r="E2392" s="3" t="b">
        <v>1</v>
      </c>
      <c r="F2392" s="3" t="b">
        <v>0</v>
      </c>
      <c r="G2392" s="3" t="s">
        <v>10003</v>
      </c>
      <c r="H2392" s="4" t="str">
        <f>_xlfn.IFNA(IF(((INDEX(RulebookFields!C2:C1898, MATCH(D2392,RulebookFields!A2:A1898, 0))="")=TRUE),  "",  INDEX(RulebookFields!C2:C1898, MATCH(D2392,RulebookFields!A2:A1898, 0))), "")</f>
        <v>KnowledgeFragments</v>
      </c>
      <c r="I2392" s="4" t="str">
        <f>_xlfn.IFNA(IF(((INDEX(RulebookFields!D2:D1898, MATCH(D2392,RulebookFields!A2:A1898, 0))="")=TRUE),  "",  INDEX(RulebookFields!D2:D1898, MATCH(D2392,RulebookFields!A2:A1898, 0))), "")</f>
        <v>GenuinelyOverdueVersionKey</v>
      </c>
      <c r="J2392" s="4" t="b">
        <f>_xlfn.IFNA(IF(((INDEX(RulebookFields!I2:I1898, MATCH(D2392,RulebookFields!A2:A1898, 0))="")=TRUE),  "",  INDEX(RulebookFields!I2:I1898, MATCH(D2392,RulebookFields!A2:A1898, 0))), "")</f>
        <v>1</v>
      </c>
      <c r="K2392" s="4" t="b">
        <f>AND(((F2392)=TRUE), ((J2392)=TRUE))</f>
        <v>0</v>
      </c>
      <c r="L2392" s="4" t="b">
        <f>AND(((G2392 &lt;&gt; "plain")=TRUE), ((G2392 &lt;&gt; "")=TRUE))</f>
        <v>0</v>
      </c>
      <c r="M2392" s="4" t="str">
        <f>IF(((E2392)=TRUE),  C2392 &amp; "|" &amp; H2392,  "")</f>
        <v>principal-knowledge-authority|KnowledgeFragments</v>
      </c>
      <c r="N2392" s="3" t="s">
        <v>10004</v>
      </c>
    </row>
    <row r="2393">
      <c r="A2393" s="3" t="s">
        <v>12395</v>
      </c>
      <c r="B2393" s="4" t="str">
        <f>C2393 &amp; " -&gt; " &amp; D2393</f>
        <v>principal-knowledge-authority -&gt; KnowledgeFragments.RatifiedBoundaryCount</v>
      </c>
      <c r="C2393" s="3" t="s">
        <v>9774</v>
      </c>
      <c r="D2393" s="3" t="s">
        <v>3348</v>
      </c>
      <c r="E2393" s="3" t="b">
        <v>1</v>
      </c>
      <c r="F2393" s="3" t="b">
        <v>0</v>
      </c>
      <c r="G2393" s="3" t="s">
        <v>10003</v>
      </c>
      <c r="H2393" s="4" t="str">
        <f>_xlfn.IFNA(IF(((INDEX(RulebookFields!C2:C1898, MATCH(D2393,RulebookFields!A2:A1898, 0))="")=TRUE),  "",  INDEX(RulebookFields!C2:C1898, MATCH(D2393,RulebookFields!A2:A1898, 0))), "")</f>
        <v>KnowledgeFragments</v>
      </c>
      <c r="I2393" s="4" t="str">
        <f>_xlfn.IFNA(IF(((INDEX(RulebookFields!D2:D1898, MATCH(D2393,RulebookFields!A2:A1898, 0))="")=TRUE),  "",  INDEX(RulebookFields!D2:D1898, MATCH(D2393,RulebookFields!A2:A1898, 0))), "")</f>
        <v>RatifiedBoundaryCount</v>
      </c>
      <c r="J2393" s="4" t="b">
        <f>_xlfn.IFNA(IF(((INDEX(RulebookFields!I2:I1898, MATCH(D2393,RulebookFields!A2:A1898, 0))="")=TRUE),  "",  INDEX(RulebookFields!I2:I1898, MATCH(D2393,RulebookFields!A2:A1898, 0))), "")</f>
        <v>1</v>
      </c>
      <c r="K2393" s="4" t="b">
        <f>AND(((F2393)=TRUE), ((J2393)=TRUE))</f>
        <v>0</v>
      </c>
      <c r="L2393" s="4" t="b">
        <f>AND(((G2393 &lt;&gt; "plain")=TRUE), ((G2393 &lt;&gt; "")=TRUE))</f>
        <v>0</v>
      </c>
      <c r="M2393" s="4" t="str">
        <f>IF(((E2393)=TRUE),  C2393 &amp; "|" &amp; H2393,  "")</f>
        <v>principal-knowledge-authority|KnowledgeFragments</v>
      </c>
      <c r="N2393" s="3" t="s">
        <v>10004</v>
      </c>
    </row>
    <row r="2394">
      <c r="A2394" s="3" t="s">
        <v>12396</v>
      </c>
      <c r="B2394" s="4" t="str">
        <f>C2394 &amp; " -&gt; " &amp; D2394</f>
        <v>principal-knowledge-authority -&gt; KnowledgeFragments.RelianceSurfaceCount</v>
      </c>
      <c r="C2394" s="3" t="s">
        <v>9774</v>
      </c>
      <c r="D2394" s="3" t="s">
        <v>3350</v>
      </c>
      <c r="E2394" s="3" t="b">
        <v>1</v>
      </c>
      <c r="F2394" s="3" t="b">
        <v>0</v>
      </c>
      <c r="G2394" s="3" t="s">
        <v>10003</v>
      </c>
      <c r="H2394" s="4" t="str">
        <f>_xlfn.IFNA(IF(((INDEX(RulebookFields!C2:C1898, MATCH(D2394,RulebookFields!A2:A1898, 0))="")=TRUE),  "",  INDEX(RulebookFields!C2:C1898, MATCH(D2394,RulebookFields!A2:A1898, 0))), "")</f>
        <v>KnowledgeFragments</v>
      </c>
      <c r="I2394" s="4" t="str">
        <f>_xlfn.IFNA(IF(((INDEX(RulebookFields!D2:D1898, MATCH(D2394,RulebookFields!A2:A1898, 0))="")=TRUE),  "",  INDEX(RulebookFields!D2:D1898, MATCH(D2394,RulebookFields!A2:A1898, 0))), "")</f>
        <v>RelianceSurfaceCount</v>
      </c>
      <c r="J2394" s="4" t="b">
        <f>_xlfn.IFNA(IF(((INDEX(RulebookFields!I2:I1898, MATCH(D2394,RulebookFields!A2:A1898, 0))="")=TRUE),  "",  INDEX(RulebookFields!I2:I1898, MATCH(D2394,RulebookFields!A2:A1898, 0))), "")</f>
        <v>1</v>
      </c>
      <c r="K2394" s="4" t="b">
        <f>AND(((F2394)=TRUE), ((J2394)=TRUE))</f>
        <v>0</v>
      </c>
      <c r="L2394" s="4" t="b">
        <f>AND(((G2394 &lt;&gt; "plain")=TRUE), ((G2394 &lt;&gt; "")=TRUE))</f>
        <v>0</v>
      </c>
      <c r="M2394" s="4" t="str">
        <f>IF(((E2394)=TRUE),  C2394 &amp; "|" &amp; H2394,  "")</f>
        <v>principal-knowledge-authority|KnowledgeFragments</v>
      </c>
      <c r="N2394" s="3" t="s">
        <v>10004</v>
      </c>
    </row>
    <row r="2395">
      <c r="A2395" s="3" t="s">
        <v>12397</v>
      </c>
      <c r="B2395" s="4" t="str">
        <f>C2395 &amp; " -&gt; " &amp; D2395</f>
        <v>principal-knowledge-authority -&gt; KnowledgeFragments.DaysAwaitingMyApproval</v>
      </c>
      <c r="C2395" s="3" t="s">
        <v>9774</v>
      </c>
      <c r="D2395" s="3" t="s">
        <v>3352</v>
      </c>
      <c r="E2395" s="3" t="b">
        <v>1</v>
      </c>
      <c r="F2395" s="3" t="b">
        <v>0</v>
      </c>
      <c r="G2395" s="3" t="s">
        <v>10003</v>
      </c>
      <c r="H2395" s="4" t="str">
        <f>_xlfn.IFNA(IF(((INDEX(RulebookFields!C2:C1898, MATCH(D2395,RulebookFields!A2:A1898, 0))="")=TRUE),  "",  INDEX(RulebookFields!C2:C1898, MATCH(D2395,RulebookFields!A2:A1898, 0))), "")</f>
        <v>KnowledgeFragments</v>
      </c>
      <c r="I2395" s="4" t="str">
        <f>_xlfn.IFNA(IF(((INDEX(RulebookFields!D2:D1898, MATCH(D2395,RulebookFields!A2:A1898, 0))="")=TRUE),  "",  INDEX(RulebookFields!D2:D1898, MATCH(D2395,RulebookFields!A2:A1898, 0))), "")</f>
        <v>DaysAwaitingMyApproval</v>
      </c>
      <c r="J2395" s="4" t="b">
        <f>_xlfn.IFNA(IF(((INDEX(RulebookFields!I2:I1898, MATCH(D2395,RulebookFields!A2:A1898, 0))="")=TRUE),  "",  INDEX(RulebookFields!I2:I1898, MATCH(D2395,RulebookFields!A2:A1898, 0))), "")</f>
        <v>1</v>
      </c>
      <c r="K2395" s="4" t="b">
        <f>AND(((F2395)=TRUE), ((J2395)=TRUE))</f>
        <v>0</v>
      </c>
      <c r="L2395" s="4" t="b">
        <f>AND(((G2395 &lt;&gt; "plain")=TRUE), ((G2395 &lt;&gt; "")=TRUE))</f>
        <v>0</v>
      </c>
      <c r="M2395" s="4" t="str">
        <f>IF(((E2395)=TRUE),  C2395 &amp; "|" &amp; H2395,  "")</f>
        <v>principal-knowledge-authority|KnowledgeFragments</v>
      </c>
      <c r="N2395" s="3" t="s">
        <v>10004</v>
      </c>
    </row>
    <row r="2396">
      <c r="A2396" s="3" t="s">
        <v>12398</v>
      </c>
      <c r="B2396" s="4" t="str">
        <f>C2396 &amp; " -&gt; " &amp; D2396</f>
        <v>principal-knowledge-authority -&gt; KnowledgeFragments.IsHighBlastRadiusUnapproved</v>
      </c>
      <c r="C2396" s="3" t="s">
        <v>9774</v>
      </c>
      <c r="D2396" s="3" t="s">
        <v>3354</v>
      </c>
      <c r="E2396" s="3" t="b">
        <v>1</v>
      </c>
      <c r="F2396" s="3" t="b">
        <v>0</v>
      </c>
      <c r="G2396" s="3" t="s">
        <v>10003</v>
      </c>
      <c r="H2396" s="4" t="str">
        <f>_xlfn.IFNA(IF(((INDEX(RulebookFields!C2:C1898, MATCH(D2396,RulebookFields!A2:A1898, 0))="")=TRUE),  "",  INDEX(RulebookFields!C2:C1898, MATCH(D2396,RulebookFields!A2:A1898, 0))), "")</f>
        <v>KnowledgeFragments</v>
      </c>
      <c r="I2396" s="4" t="str">
        <f>_xlfn.IFNA(IF(((INDEX(RulebookFields!D2:D1898, MATCH(D2396,RulebookFields!A2:A1898, 0))="")=TRUE),  "",  INDEX(RulebookFields!D2:D1898, MATCH(D2396,RulebookFields!A2:A1898, 0))), "")</f>
        <v>IsHighBlastRadiusUnapproved</v>
      </c>
      <c r="J2396" s="4" t="b">
        <f>_xlfn.IFNA(IF(((INDEX(RulebookFields!I2:I1898, MATCH(D2396,RulebookFields!A2:A1898, 0))="")=TRUE),  "",  INDEX(RulebookFields!I2:I1898, MATCH(D2396,RulebookFields!A2:A1898, 0))), "")</f>
        <v>1</v>
      </c>
      <c r="K2396" s="4" t="b">
        <f>AND(((F2396)=TRUE), ((J2396)=TRUE))</f>
        <v>0</v>
      </c>
      <c r="L2396" s="4" t="b">
        <f>AND(((G2396 &lt;&gt; "plain")=TRUE), ((G2396 &lt;&gt; "")=TRUE))</f>
        <v>0</v>
      </c>
      <c r="M2396" s="4" t="str">
        <f>IF(((E2396)=TRUE),  C2396 &amp; "|" &amp; H2396,  "")</f>
        <v>principal-knowledge-authority|KnowledgeFragments</v>
      </c>
      <c r="N2396" s="3" t="s">
        <v>10004</v>
      </c>
    </row>
    <row r="2397">
      <c r="A2397" s="3" t="s">
        <v>12399</v>
      </c>
      <c r="B2397" s="4" t="str">
        <f>C2397 &amp; " -&gt; " &amp; D2397</f>
        <v>principal-knowledge-authority -&gt; KnowledgeFragments.IsLongUnapproved</v>
      </c>
      <c r="C2397" s="3" t="s">
        <v>9774</v>
      </c>
      <c r="D2397" s="3" t="s">
        <v>3356</v>
      </c>
      <c r="E2397" s="3" t="b">
        <v>1</v>
      </c>
      <c r="F2397" s="3" t="b">
        <v>0</v>
      </c>
      <c r="G2397" s="3" t="s">
        <v>10003</v>
      </c>
      <c r="H2397" s="4" t="str">
        <f>_xlfn.IFNA(IF(((INDEX(RulebookFields!C2:C1898, MATCH(D2397,RulebookFields!A2:A1898, 0))="")=TRUE),  "",  INDEX(RulebookFields!C2:C1898, MATCH(D2397,RulebookFields!A2:A1898, 0))), "")</f>
        <v>KnowledgeFragments</v>
      </c>
      <c r="I2397" s="4" t="str">
        <f>_xlfn.IFNA(IF(((INDEX(RulebookFields!D2:D1898, MATCH(D2397,RulebookFields!A2:A1898, 0))="")=TRUE),  "",  INDEX(RulebookFields!D2:D1898, MATCH(D2397,RulebookFields!A2:A1898, 0))), "")</f>
        <v>IsLongUnapproved</v>
      </c>
      <c r="J2397" s="4" t="b">
        <f>_xlfn.IFNA(IF(((INDEX(RulebookFields!I2:I1898, MATCH(D2397,RulebookFields!A2:A1898, 0))="")=TRUE),  "",  INDEX(RulebookFields!I2:I1898, MATCH(D2397,RulebookFields!A2:A1898, 0))), "")</f>
        <v>1</v>
      </c>
      <c r="K2397" s="4" t="b">
        <f>AND(((F2397)=TRUE), ((J2397)=TRUE))</f>
        <v>0</v>
      </c>
      <c r="L2397" s="4" t="b">
        <f>AND(((G2397 &lt;&gt; "plain")=TRUE), ((G2397 &lt;&gt; "")=TRUE))</f>
        <v>0</v>
      </c>
      <c r="M2397" s="4" t="str">
        <f>IF(((E2397)=TRUE),  C2397 &amp; "|" &amp; H2397,  "")</f>
        <v>principal-knowledge-authority|KnowledgeFragments</v>
      </c>
      <c r="N2397" s="3" t="s">
        <v>10004</v>
      </c>
    </row>
    <row r="2398">
      <c r="A2398" s="3" t="s">
        <v>12400</v>
      </c>
      <c r="B2398" s="4" t="str">
        <f>C2398 &amp; " -&gt; " &amp; D2398</f>
        <v>principal-knowledge-authority -&gt; KnowledgeFragments.UnapprovedLoadBearingVersionKey</v>
      </c>
      <c r="C2398" s="3" t="s">
        <v>9774</v>
      </c>
      <c r="D2398" s="3" t="s">
        <v>3358</v>
      </c>
      <c r="E2398" s="3" t="b">
        <v>1</v>
      </c>
      <c r="F2398" s="3" t="b">
        <v>0</v>
      </c>
      <c r="G2398" s="3" t="s">
        <v>10003</v>
      </c>
      <c r="H2398" s="4" t="str">
        <f>_xlfn.IFNA(IF(((INDEX(RulebookFields!C2:C1898, MATCH(D2398,RulebookFields!A2:A1898, 0))="")=TRUE),  "",  INDEX(RulebookFields!C2:C1898, MATCH(D2398,RulebookFields!A2:A1898, 0))), "")</f>
        <v>KnowledgeFragments</v>
      </c>
      <c r="I2398" s="4" t="str">
        <f>_xlfn.IFNA(IF(((INDEX(RulebookFields!D2:D1898, MATCH(D2398,RulebookFields!A2:A1898, 0))="")=TRUE),  "",  INDEX(RulebookFields!D2:D1898, MATCH(D2398,RulebookFields!A2:A1898, 0))), "")</f>
        <v>UnapprovedLoadBearingVersionKey</v>
      </c>
      <c r="J2398" s="4" t="b">
        <f>_xlfn.IFNA(IF(((INDEX(RulebookFields!I2:I1898, MATCH(D2398,RulebookFields!A2:A1898, 0))="")=TRUE),  "",  INDEX(RulebookFields!I2:I1898, MATCH(D2398,RulebookFields!A2:A1898, 0))), "")</f>
        <v>1</v>
      </c>
      <c r="K2398" s="4" t="b">
        <f>AND(((F2398)=TRUE), ((J2398)=TRUE))</f>
        <v>0</v>
      </c>
      <c r="L2398" s="4" t="b">
        <f>AND(((G2398 &lt;&gt; "plain")=TRUE), ((G2398 &lt;&gt; "")=TRUE))</f>
        <v>0</v>
      </c>
      <c r="M2398" s="4" t="str">
        <f>IF(((E2398)=TRUE),  C2398 &amp; "|" &amp; H2398,  "")</f>
        <v>principal-knowledge-authority|KnowledgeFragments</v>
      </c>
      <c r="N2398" s="3" t="s">
        <v>10004</v>
      </c>
    </row>
    <row r="2399">
      <c r="A2399" s="3" t="s">
        <v>12401</v>
      </c>
      <c r="B2399" s="4" t="str">
        <f>C2399 &amp; " -&gt; " &amp; D2399</f>
        <v>principal-knowledge-authority -&gt; KnowledgeFragments.OwnerRoleIsVacated</v>
      </c>
      <c r="C2399" s="3" t="s">
        <v>9774</v>
      </c>
      <c r="D2399" s="3" t="s">
        <v>3360</v>
      </c>
      <c r="E2399" s="3" t="b">
        <v>1</v>
      </c>
      <c r="F2399" s="3" t="b">
        <v>0</v>
      </c>
      <c r="G2399" s="3" t="s">
        <v>10003</v>
      </c>
      <c r="H2399" s="4" t="str">
        <f>_xlfn.IFNA(IF(((INDEX(RulebookFields!C2:C1898, MATCH(D2399,RulebookFields!A2:A1898, 0))="")=TRUE),  "",  INDEX(RulebookFields!C2:C1898, MATCH(D2399,RulebookFields!A2:A1898, 0))), "")</f>
        <v>KnowledgeFragments</v>
      </c>
      <c r="I2399" s="4" t="str">
        <f>_xlfn.IFNA(IF(((INDEX(RulebookFields!D2:D1898, MATCH(D2399,RulebookFields!A2:A1898, 0))="")=TRUE),  "",  INDEX(RulebookFields!D2:D1898, MATCH(D2399,RulebookFields!A2:A1898, 0))), "")</f>
        <v>OwnerRoleIsVacated</v>
      </c>
      <c r="J2399" s="4" t="b">
        <f>_xlfn.IFNA(IF(((INDEX(RulebookFields!I2:I1898, MATCH(D2399,RulebookFields!A2:A1898, 0))="")=TRUE),  "",  INDEX(RulebookFields!I2:I1898, MATCH(D2399,RulebookFields!A2:A1898, 0))), "")</f>
        <v>1</v>
      </c>
      <c r="K2399" s="4" t="b">
        <f>AND(((F2399)=TRUE), ((J2399)=TRUE))</f>
        <v>0</v>
      </c>
      <c r="L2399" s="4" t="b">
        <f>AND(((G2399 &lt;&gt; "plain")=TRUE), ((G2399 &lt;&gt; "")=TRUE))</f>
        <v>0</v>
      </c>
      <c r="M2399" s="4" t="str">
        <f>IF(((E2399)=TRUE),  C2399 &amp; "|" &amp; H2399,  "")</f>
        <v>principal-knowledge-authority|KnowledgeFragments</v>
      </c>
      <c r="N2399" s="3" t="s">
        <v>10004</v>
      </c>
    </row>
    <row r="2400">
      <c r="A2400" s="3" t="s">
        <v>12402</v>
      </c>
      <c r="B2400" s="4" t="str">
        <f>C2400 &amp; " -&gt; " &amp; D2400</f>
        <v>principal-knowledge-authority -&gt; KnowledgeFragments.IsOrphanedByRole</v>
      </c>
      <c r="C2400" s="3" t="s">
        <v>9774</v>
      </c>
      <c r="D2400" s="3" t="s">
        <v>3362</v>
      </c>
      <c r="E2400" s="3" t="b">
        <v>1</v>
      </c>
      <c r="F2400" s="3" t="b">
        <v>0</v>
      </c>
      <c r="G2400" s="3" t="s">
        <v>10003</v>
      </c>
      <c r="H2400" s="4" t="str">
        <f>_xlfn.IFNA(IF(((INDEX(RulebookFields!C2:C1898, MATCH(D2400,RulebookFields!A2:A1898, 0))="")=TRUE),  "",  INDEX(RulebookFields!C2:C1898, MATCH(D2400,RulebookFields!A2:A1898, 0))), "")</f>
        <v>KnowledgeFragments</v>
      </c>
      <c r="I2400" s="4" t="str">
        <f>_xlfn.IFNA(IF(((INDEX(RulebookFields!D2:D1898, MATCH(D2400,RulebookFields!A2:A1898, 0))="")=TRUE),  "",  INDEX(RulebookFields!D2:D1898, MATCH(D2400,RulebookFields!A2:A1898, 0))), "")</f>
        <v>IsOrphanedByRole</v>
      </c>
      <c r="J2400" s="4" t="b">
        <f>_xlfn.IFNA(IF(((INDEX(RulebookFields!I2:I1898, MATCH(D2400,RulebookFields!A2:A1898, 0))="")=TRUE),  "",  INDEX(RulebookFields!I2:I1898, MATCH(D2400,RulebookFields!A2:A1898, 0))), "")</f>
        <v>1</v>
      </c>
      <c r="K2400" s="4" t="b">
        <f>AND(((F2400)=TRUE), ((J2400)=TRUE))</f>
        <v>0</v>
      </c>
      <c r="L2400" s="4" t="b">
        <f>AND(((G2400 &lt;&gt; "plain")=TRUE), ((G2400 &lt;&gt; "")=TRUE))</f>
        <v>0</v>
      </c>
      <c r="M2400" s="4" t="str">
        <f>IF(((E2400)=TRUE),  C2400 &amp; "|" &amp; H2400,  "")</f>
        <v>principal-knowledge-authority|KnowledgeFragments</v>
      </c>
      <c r="N2400" s="3" t="s">
        <v>10004</v>
      </c>
    </row>
    <row r="2401">
      <c r="A2401" s="3" t="s">
        <v>12403</v>
      </c>
      <c r="B2401" s="4" t="str">
        <f>C2401 &amp; " -&gt; " &amp; D2401</f>
        <v>principal-knowledge-authority -&gt; KnowledgeFragments.ValidFragmentVersionKey</v>
      </c>
      <c r="C2401" s="3" t="s">
        <v>9774</v>
      </c>
      <c r="D2401" s="3" t="s">
        <v>3364</v>
      </c>
      <c r="E2401" s="3" t="b">
        <v>1</v>
      </c>
      <c r="F2401" s="3" t="b">
        <v>0</v>
      </c>
      <c r="G2401" s="3" t="s">
        <v>10003</v>
      </c>
      <c r="H2401" s="4" t="str">
        <f>_xlfn.IFNA(IF(((INDEX(RulebookFields!C2:C1898, MATCH(D2401,RulebookFields!A2:A1898, 0))="")=TRUE),  "",  INDEX(RulebookFields!C2:C1898, MATCH(D2401,RulebookFields!A2:A1898, 0))), "")</f>
        <v>KnowledgeFragments</v>
      </c>
      <c r="I2401" s="4" t="str">
        <f>_xlfn.IFNA(IF(((INDEX(RulebookFields!D2:D1898, MATCH(D2401,RulebookFields!A2:A1898, 0))="")=TRUE),  "",  INDEX(RulebookFields!D2:D1898, MATCH(D2401,RulebookFields!A2:A1898, 0))), "")</f>
        <v>ValidFragmentVersionKey</v>
      </c>
      <c r="J2401" s="4" t="b">
        <f>_xlfn.IFNA(IF(((INDEX(RulebookFields!I2:I1898, MATCH(D2401,RulebookFields!A2:A1898, 0))="")=TRUE),  "",  INDEX(RulebookFields!I2:I1898, MATCH(D2401,RulebookFields!A2:A1898, 0))), "")</f>
        <v>1</v>
      </c>
      <c r="K2401" s="4" t="b">
        <f>AND(((F2401)=TRUE), ((J2401)=TRUE))</f>
        <v>0</v>
      </c>
      <c r="L2401" s="4" t="b">
        <f>AND(((G2401 &lt;&gt; "plain")=TRUE), ((G2401 &lt;&gt; "")=TRUE))</f>
        <v>0</v>
      </c>
      <c r="M2401" s="4" t="str">
        <f>IF(((E2401)=TRUE),  C2401 &amp; "|" &amp; H2401,  "")</f>
        <v>principal-knowledge-authority|KnowledgeFragments</v>
      </c>
      <c r="N2401" s="3" t="s">
        <v>10004</v>
      </c>
    </row>
    <row r="2402">
      <c r="A2402" s="3" t="s">
        <v>12404</v>
      </c>
      <c r="B2402" s="4" t="str">
        <f>C2402 &amp; " -&gt; " &amp; D2402</f>
        <v>principal-knowledge-authority -&gt; KnowledgeFragments.SemanticTypeIri</v>
      </c>
      <c r="C2402" s="3" t="s">
        <v>9774</v>
      </c>
      <c r="D2402" s="3" t="s">
        <v>3366</v>
      </c>
      <c r="E2402" s="3" t="b">
        <v>1</v>
      </c>
      <c r="F2402" s="3" t="b">
        <v>0</v>
      </c>
      <c r="G2402" s="3" t="s">
        <v>10003</v>
      </c>
      <c r="H2402" s="4" t="str">
        <f>_xlfn.IFNA(IF(((INDEX(RulebookFields!C2:C1898, MATCH(D2402,RulebookFields!A2:A1898, 0))="")=TRUE),  "",  INDEX(RulebookFields!C2:C1898, MATCH(D2402,RulebookFields!A2:A1898, 0))), "")</f>
        <v>KnowledgeFragments</v>
      </c>
      <c r="I2402" s="4" t="str">
        <f>_xlfn.IFNA(IF(((INDEX(RulebookFields!D2:D1898, MATCH(D2402,RulebookFields!A2:A1898, 0))="")=TRUE),  "",  INDEX(RulebookFields!D2:D1898, MATCH(D2402,RulebookFields!A2:A1898, 0))), "")</f>
        <v>SemanticTypeIri</v>
      </c>
      <c r="J2402" s="4" t="b">
        <f>_xlfn.IFNA(IF(((INDEX(RulebookFields!I2:I1898, MATCH(D2402,RulebookFields!A2:A1898, 0))="")=TRUE),  "",  INDEX(RulebookFields!I2:I1898, MATCH(D2402,RulebookFields!A2:A1898, 0))), "")</f>
        <v>0</v>
      </c>
      <c r="K2402" s="4" t="b">
        <f>AND(((F2402)=TRUE), ((J2402)=TRUE))</f>
        <v>0</v>
      </c>
      <c r="L2402" s="4" t="b">
        <f>AND(((G2402 &lt;&gt; "plain")=TRUE), ((G2402 &lt;&gt; "")=TRUE))</f>
        <v>0</v>
      </c>
      <c r="M2402" s="4" t="str">
        <f>IF(((E2402)=TRUE),  C2402 &amp; "|" &amp; H2402,  "")</f>
        <v>principal-knowledge-authority|KnowledgeFragments</v>
      </c>
      <c r="N2402" s="3" t="s">
        <v>10004</v>
      </c>
    </row>
    <row r="2403">
      <c r="A2403" s="3" t="s">
        <v>12405</v>
      </c>
      <c r="B2403" s="4" t="str">
        <f>C2403 &amp; " -&gt; " &amp; D2403</f>
        <v>principal-knowledge-authority -&gt; KnowledgeGaps.KnowledgeGapId</v>
      </c>
      <c r="C2403" s="3" t="s">
        <v>9774</v>
      </c>
      <c r="D2403" s="3" t="s">
        <v>3367</v>
      </c>
      <c r="E2403" s="3" t="b">
        <v>1</v>
      </c>
      <c r="F2403" s="3" t="b">
        <v>0</v>
      </c>
      <c r="G2403" s="3" t="s">
        <v>10003</v>
      </c>
      <c r="H2403" s="4" t="str">
        <f>_xlfn.IFNA(IF(((INDEX(RulebookFields!C2:C1898, MATCH(D2403,RulebookFields!A2:A1898, 0))="")=TRUE),  "",  INDEX(RulebookFields!C2:C1898, MATCH(D2403,RulebookFields!A2:A1898, 0))), "")</f>
        <v>KnowledgeGaps</v>
      </c>
      <c r="I2403" s="4" t="str">
        <f>_xlfn.IFNA(IF(((INDEX(RulebookFields!D2:D1898, MATCH(D2403,RulebookFields!A2:A1898, 0))="")=TRUE),  "",  INDEX(RulebookFields!D2:D1898, MATCH(D2403,RulebookFields!A2:A1898, 0))), "")</f>
        <v>KnowledgeGapId</v>
      </c>
      <c r="J2403" s="4" t="b">
        <f>_xlfn.IFNA(IF(((INDEX(RulebookFields!I2:I1898, MATCH(D2403,RulebookFields!A2:A1898, 0))="")=TRUE),  "",  INDEX(RulebookFields!I2:I1898, MATCH(D2403,RulebookFields!A2:A1898, 0))), "")</f>
        <v>0</v>
      </c>
      <c r="K2403" s="4" t="b">
        <f>AND(((F2403)=TRUE), ((J2403)=TRUE))</f>
        <v>0</v>
      </c>
      <c r="L2403" s="4" t="b">
        <f>AND(((G2403 &lt;&gt; "plain")=TRUE), ((G2403 &lt;&gt; "")=TRUE))</f>
        <v>0</v>
      </c>
      <c r="M2403" s="4" t="str">
        <f>IF(((E2403)=TRUE),  C2403 &amp; "|" &amp; H2403,  "")</f>
        <v>principal-knowledge-authority|KnowledgeGaps</v>
      </c>
      <c r="N2403" s="3" t="s">
        <v>10004</v>
      </c>
    </row>
    <row r="2404">
      <c r="A2404" s="3" t="s">
        <v>12406</v>
      </c>
      <c r="B2404" s="4" t="str">
        <f>C2404 &amp; " -&gt; " &amp; D2404</f>
        <v>principal-knowledge-authority -&gt; KnowledgeGaps.Name</v>
      </c>
      <c r="C2404" s="3" t="s">
        <v>9774</v>
      </c>
      <c r="D2404" s="3" t="s">
        <v>3369</v>
      </c>
      <c r="E2404" s="3" t="b">
        <v>1</v>
      </c>
      <c r="F2404" s="3" t="b">
        <v>0</v>
      </c>
      <c r="G2404" s="3" t="s">
        <v>10003</v>
      </c>
      <c r="H2404" s="4" t="str">
        <f>_xlfn.IFNA(IF(((INDEX(RulebookFields!C2:C1898, MATCH(D2404,RulebookFields!A2:A1898, 0))="")=TRUE),  "",  INDEX(RulebookFields!C2:C1898, MATCH(D2404,RulebookFields!A2:A1898, 0))), "")</f>
        <v>KnowledgeGaps</v>
      </c>
      <c r="I2404" s="4" t="str">
        <f>_xlfn.IFNA(IF(((INDEX(RulebookFields!D2:D1898, MATCH(D2404,RulebookFields!A2:A1898, 0))="")=TRUE),  "",  INDEX(RulebookFields!D2:D1898, MATCH(D2404,RulebookFields!A2:A1898, 0))), "")</f>
        <v>Name</v>
      </c>
      <c r="J2404" s="4" t="b">
        <f>_xlfn.IFNA(IF(((INDEX(RulebookFields!I2:I1898, MATCH(D2404,RulebookFields!A2:A1898, 0))="")=TRUE),  "",  INDEX(RulebookFields!I2:I1898, MATCH(D2404,RulebookFields!A2:A1898, 0))), "")</f>
        <v>1</v>
      </c>
      <c r="K2404" s="4" t="b">
        <f>AND(((F2404)=TRUE), ((J2404)=TRUE))</f>
        <v>0</v>
      </c>
      <c r="L2404" s="4" t="b">
        <f>AND(((G2404 &lt;&gt; "plain")=TRUE), ((G2404 &lt;&gt; "")=TRUE))</f>
        <v>0</v>
      </c>
      <c r="M2404" s="4" t="str">
        <f>IF(((E2404)=TRUE),  C2404 &amp; "|" &amp; H2404,  "")</f>
        <v>principal-knowledge-authority|KnowledgeGaps</v>
      </c>
      <c r="N2404" s="3" t="s">
        <v>10004</v>
      </c>
    </row>
    <row r="2405">
      <c r="A2405" s="3" t="s">
        <v>12407</v>
      </c>
      <c r="B2405" s="4" t="str">
        <f>C2405 &amp; " -&gt; " &amp; D2405</f>
        <v>principal-knowledge-authority -&gt; KnowledgeGaps.ProcedureVersion</v>
      </c>
      <c r="C2405" s="3" t="s">
        <v>9774</v>
      </c>
      <c r="D2405" s="3" t="s">
        <v>3371</v>
      </c>
      <c r="E2405" s="3" t="b">
        <v>1</v>
      </c>
      <c r="F2405" s="3" t="b">
        <v>0</v>
      </c>
      <c r="G2405" s="3" t="s">
        <v>10003</v>
      </c>
      <c r="H2405" s="4" t="str">
        <f>_xlfn.IFNA(IF(((INDEX(RulebookFields!C2:C1898, MATCH(D2405,RulebookFields!A2:A1898, 0))="")=TRUE),  "",  INDEX(RulebookFields!C2:C1898, MATCH(D2405,RulebookFields!A2:A1898, 0))), "")</f>
        <v>KnowledgeGaps</v>
      </c>
      <c r="I2405" s="4" t="str">
        <f>_xlfn.IFNA(IF(((INDEX(RulebookFields!D2:D1898, MATCH(D2405,RulebookFields!A2:A1898, 0))="")=TRUE),  "",  INDEX(RulebookFields!D2:D1898, MATCH(D2405,RulebookFields!A2:A1898, 0))), "")</f>
        <v>ProcedureVersion</v>
      </c>
      <c r="J2405" s="4" t="b">
        <f>_xlfn.IFNA(IF(((INDEX(RulebookFields!I2:I1898, MATCH(D2405,RulebookFields!A2:A1898, 0))="")=TRUE),  "",  INDEX(RulebookFields!I2:I1898, MATCH(D2405,RulebookFields!A2:A1898, 0))), "")</f>
        <v>0</v>
      </c>
      <c r="K2405" s="4" t="b">
        <f>AND(((F2405)=TRUE), ((J2405)=TRUE))</f>
        <v>0</v>
      </c>
      <c r="L2405" s="4" t="b">
        <f>AND(((G2405 &lt;&gt; "plain")=TRUE), ((G2405 &lt;&gt; "")=TRUE))</f>
        <v>0</v>
      </c>
      <c r="M2405" s="4" t="str">
        <f>IF(((E2405)=TRUE),  C2405 &amp; "|" &amp; H2405,  "")</f>
        <v>principal-knowledge-authority|KnowledgeGaps</v>
      </c>
      <c r="N2405" s="3" t="s">
        <v>10004</v>
      </c>
    </row>
    <row r="2406">
      <c r="A2406" s="3" t="s">
        <v>12408</v>
      </c>
      <c r="B2406" s="4" t="str">
        <f>C2406 &amp; " -&gt; " &amp; D2406</f>
        <v>principal-knowledge-authority -&gt; KnowledgeGaps.Step</v>
      </c>
      <c r="C2406" s="3" t="s">
        <v>9774</v>
      </c>
      <c r="D2406" s="3" t="s">
        <v>3372</v>
      </c>
      <c r="E2406" s="3" t="b">
        <v>1</v>
      </c>
      <c r="F2406" s="3" t="b">
        <v>0</v>
      </c>
      <c r="G2406" s="3" t="s">
        <v>10003</v>
      </c>
      <c r="H2406" s="4" t="str">
        <f>_xlfn.IFNA(IF(((INDEX(RulebookFields!C2:C1898, MATCH(D2406,RulebookFields!A2:A1898, 0))="")=TRUE),  "",  INDEX(RulebookFields!C2:C1898, MATCH(D2406,RulebookFields!A2:A1898, 0))), "")</f>
        <v>KnowledgeGaps</v>
      </c>
      <c r="I2406" s="4" t="str">
        <f>_xlfn.IFNA(IF(((INDEX(RulebookFields!D2:D1898, MATCH(D2406,RulebookFields!A2:A1898, 0))="")=TRUE),  "",  INDEX(RulebookFields!D2:D1898, MATCH(D2406,RulebookFields!A2:A1898, 0))), "")</f>
        <v>Step</v>
      </c>
      <c r="J2406" s="4" t="b">
        <f>_xlfn.IFNA(IF(((INDEX(RulebookFields!I2:I1898, MATCH(D2406,RulebookFields!A2:A1898, 0))="")=TRUE),  "",  INDEX(RulebookFields!I2:I1898, MATCH(D2406,RulebookFields!A2:A1898, 0))), "")</f>
        <v>0</v>
      </c>
      <c r="K2406" s="4" t="b">
        <f>AND(((F2406)=TRUE), ((J2406)=TRUE))</f>
        <v>0</v>
      </c>
      <c r="L2406" s="4" t="b">
        <f>AND(((G2406 &lt;&gt; "plain")=TRUE), ((G2406 &lt;&gt; "")=TRUE))</f>
        <v>0</v>
      </c>
      <c r="M2406" s="4" t="str">
        <f>IF(((E2406)=TRUE),  C2406 &amp; "|" &amp; H2406,  "")</f>
        <v>principal-knowledge-authority|KnowledgeGaps</v>
      </c>
      <c r="N2406" s="3" t="s">
        <v>10004</v>
      </c>
    </row>
    <row r="2407">
      <c r="A2407" s="3" t="s">
        <v>12409</v>
      </c>
      <c r="B2407" s="4" t="str">
        <f>C2407 &amp; " -&gt; " &amp; D2407</f>
        <v>principal-knowledge-authority -&gt; KnowledgeGaps.Statement</v>
      </c>
      <c r="C2407" s="3" t="s">
        <v>9774</v>
      </c>
      <c r="D2407" s="3" t="s">
        <v>3373</v>
      </c>
      <c r="E2407" s="3" t="b">
        <v>1</v>
      </c>
      <c r="F2407" s="3" t="b">
        <v>0</v>
      </c>
      <c r="G2407" s="3" t="s">
        <v>10003</v>
      </c>
      <c r="H2407" s="4" t="str">
        <f>_xlfn.IFNA(IF(((INDEX(RulebookFields!C2:C1898, MATCH(D2407,RulebookFields!A2:A1898, 0))="")=TRUE),  "",  INDEX(RulebookFields!C2:C1898, MATCH(D2407,RulebookFields!A2:A1898, 0))), "")</f>
        <v>KnowledgeGaps</v>
      </c>
      <c r="I2407" s="4" t="str">
        <f>_xlfn.IFNA(IF(((INDEX(RulebookFields!D2:D1898, MATCH(D2407,RulebookFields!A2:A1898, 0))="")=TRUE),  "",  INDEX(RulebookFields!D2:D1898, MATCH(D2407,RulebookFields!A2:A1898, 0))), "")</f>
        <v>Statement</v>
      </c>
      <c r="J2407" s="4" t="b">
        <f>_xlfn.IFNA(IF(((INDEX(RulebookFields!I2:I1898, MATCH(D2407,RulebookFields!A2:A1898, 0))="")=TRUE),  "",  INDEX(RulebookFields!I2:I1898, MATCH(D2407,RulebookFields!A2:A1898, 0))), "")</f>
        <v>0</v>
      </c>
      <c r="K2407" s="4" t="b">
        <f>AND(((F2407)=TRUE), ((J2407)=TRUE))</f>
        <v>0</v>
      </c>
      <c r="L2407" s="4" t="b">
        <f>AND(((G2407 &lt;&gt; "plain")=TRUE), ((G2407 &lt;&gt; "")=TRUE))</f>
        <v>0</v>
      </c>
      <c r="M2407" s="4" t="str">
        <f>IF(((E2407)=TRUE),  C2407 &amp; "|" &amp; H2407,  "")</f>
        <v>principal-knowledge-authority|KnowledgeGaps</v>
      </c>
      <c r="N2407" s="3" t="s">
        <v>10004</v>
      </c>
    </row>
    <row r="2408">
      <c r="A2408" s="3" t="s">
        <v>12410</v>
      </c>
      <c r="B2408" s="4" t="str">
        <f>C2408 &amp; " -&gt; " &amp; D2408</f>
        <v>principal-knowledge-authority -&gt; KnowledgeGaps.Severity</v>
      </c>
      <c r="C2408" s="3" t="s">
        <v>9774</v>
      </c>
      <c r="D2408" s="3" t="s">
        <v>3374</v>
      </c>
      <c r="E2408" s="3" t="b">
        <v>1</v>
      </c>
      <c r="F2408" s="3" t="b">
        <v>0</v>
      </c>
      <c r="G2408" s="3" t="s">
        <v>10003</v>
      </c>
      <c r="H2408" s="4" t="str">
        <f>_xlfn.IFNA(IF(((INDEX(RulebookFields!C2:C1898, MATCH(D2408,RulebookFields!A2:A1898, 0))="")=TRUE),  "",  INDEX(RulebookFields!C2:C1898, MATCH(D2408,RulebookFields!A2:A1898, 0))), "")</f>
        <v>KnowledgeGaps</v>
      </c>
      <c r="I2408" s="4" t="str">
        <f>_xlfn.IFNA(IF(((INDEX(RulebookFields!D2:D1898, MATCH(D2408,RulebookFields!A2:A1898, 0))="")=TRUE),  "",  INDEX(RulebookFields!D2:D1898, MATCH(D2408,RulebookFields!A2:A1898, 0))), "")</f>
        <v>Severity</v>
      </c>
      <c r="J2408" s="4" t="b">
        <f>_xlfn.IFNA(IF(((INDEX(RulebookFields!I2:I1898, MATCH(D2408,RulebookFields!A2:A1898, 0))="")=TRUE),  "",  INDEX(RulebookFields!I2:I1898, MATCH(D2408,RulebookFields!A2:A1898, 0))), "")</f>
        <v>0</v>
      </c>
      <c r="K2408" s="4" t="b">
        <f>AND(((F2408)=TRUE), ((J2408)=TRUE))</f>
        <v>0</v>
      </c>
      <c r="L2408" s="4" t="b">
        <f>AND(((G2408 &lt;&gt; "plain")=TRUE), ((G2408 &lt;&gt; "")=TRUE))</f>
        <v>0</v>
      </c>
      <c r="M2408" s="4" t="str">
        <f>IF(((E2408)=TRUE),  C2408 &amp; "|" &amp; H2408,  "")</f>
        <v>principal-knowledge-authority|KnowledgeGaps</v>
      </c>
      <c r="N2408" s="3" t="s">
        <v>10004</v>
      </c>
    </row>
    <row r="2409">
      <c r="A2409" s="3" t="s">
        <v>12411</v>
      </c>
      <c r="B2409" s="4" t="str">
        <f>C2409 &amp; " -&gt; " &amp; D2409</f>
        <v>principal-knowledge-authority -&gt; KnowledgeGaps.BlockingKind</v>
      </c>
      <c r="C2409" s="3" t="s">
        <v>9774</v>
      </c>
      <c r="D2409" s="3" t="s">
        <v>3375</v>
      </c>
      <c r="E2409" s="3" t="b">
        <v>1</v>
      </c>
      <c r="F2409" s="3" t="b">
        <v>0</v>
      </c>
      <c r="G2409" s="3" t="s">
        <v>10003</v>
      </c>
      <c r="H2409" s="4" t="str">
        <f>_xlfn.IFNA(IF(((INDEX(RulebookFields!C2:C1898, MATCH(D2409,RulebookFields!A2:A1898, 0))="")=TRUE),  "",  INDEX(RulebookFields!C2:C1898, MATCH(D2409,RulebookFields!A2:A1898, 0))), "")</f>
        <v>KnowledgeGaps</v>
      </c>
      <c r="I2409" s="4" t="str">
        <f>_xlfn.IFNA(IF(((INDEX(RulebookFields!D2:D1898, MATCH(D2409,RulebookFields!A2:A1898, 0))="")=TRUE),  "",  INDEX(RulebookFields!D2:D1898, MATCH(D2409,RulebookFields!A2:A1898, 0))), "")</f>
        <v>BlockingKind</v>
      </c>
      <c r="J2409" s="4" t="b">
        <f>_xlfn.IFNA(IF(((INDEX(RulebookFields!I2:I1898, MATCH(D2409,RulebookFields!A2:A1898, 0))="")=TRUE),  "",  INDEX(RulebookFields!I2:I1898, MATCH(D2409,RulebookFields!A2:A1898, 0))), "")</f>
        <v>0</v>
      </c>
      <c r="K2409" s="4" t="b">
        <f>AND(((F2409)=TRUE), ((J2409)=TRUE))</f>
        <v>0</v>
      </c>
      <c r="L2409" s="4" t="b">
        <f>AND(((G2409 &lt;&gt; "plain")=TRUE), ((G2409 &lt;&gt; "")=TRUE))</f>
        <v>0</v>
      </c>
      <c r="M2409" s="4" t="str">
        <f>IF(((E2409)=TRUE),  C2409 &amp; "|" &amp; H2409,  "")</f>
        <v>principal-knowledge-authority|KnowledgeGaps</v>
      </c>
      <c r="N2409" s="3" t="s">
        <v>10004</v>
      </c>
    </row>
    <row r="2410">
      <c r="A2410" s="3" t="s">
        <v>12412</v>
      </c>
      <c r="B2410" s="4" t="str">
        <f>C2410 &amp; " -&gt; " &amp; D2410</f>
        <v>principal-knowledge-authority -&gt; KnowledgeGaps.Status</v>
      </c>
      <c r="C2410" s="3" t="s">
        <v>9774</v>
      </c>
      <c r="D2410" s="3" t="s">
        <v>3376</v>
      </c>
      <c r="E2410" s="3" t="b">
        <v>1</v>
      </c>
      <c r="F2410" s="3" t="b">
        <v>0</v>
      </c>
      <c r="G2410" s="3" t="s">
        <v>10003</v>
      </c>
      <c r="H2410" s="4" t="str">
        <f>_xlfn.IFNA(IF(((INDEX(RulebookFields!C2:C1898, MATCH(D2410,RulebookFields!A2:A1898, 0))="")=TRUE),  "",  INDEX(RulebookFields!C2:C1898, MATCH(D2410,RulebookFields!A2:A1898, 0))), "")</f>
        <v>KnowledgeGaps</v>
      </c>
      <c r="I2410" s="4" t="str">
        <f>_xlfn.IFNA(IF(((INDEX(RulebookFields!D2:D1898, MATCH(D2410,RulebookFields!A2:A1898, 0))="")=TRUE),  "",  INDEX(RulebookFields!D2:D1898, MATCH(D2410,RulebookFields!A2:A1898, 0))), "")</f>
        <v>Status</v>
      </c>
      <c r="J2410" s="4" t="b">
        <f>_xlfn.IFNA(IF(((INDEX(RulebookFields!I2:I1898, MATCH(D2410,RulebookFields!A2:A1898, 0))="")=TRUE),  "",  INDEX(RulebookFields!I2:I1898, MATCH(D2410,RulebookFields!A2:A1898, 0))), "")</f>
        <v>0</v>
      </c>
      <c r="K2410" s="4" t="b">
        <f>AND(((F2410)=TRUE), ((J2410)=TRUE))</f>
        <v>0</v>
      </c>
      <c r="L2410" s="4" t="b">
        <f>AND(((G2410 &lt;&gt; "plain")=TRUE), ((G2410 &lt;&gt; "")=TRUE))</f>
        <v>0</v>
      </c>
      <c r="M2410" s="4" t="str">
        <f>IF(((E2410)=TRUE),  C2410 &amp; "|" &amp; H2410,  "")</f>
        <v>principal-knowledge-authority|KnowledgeGaps</v>
      </c>
      <c r="N2410" s="3" t="s">
        <v>10004</v>
      </c>
    </row>
    <row r="2411">
      <c r="A2411" s="3" t="s">
        <v>12413</v>
      </c>
      <c r="B2411" s="4" t="str">
        <f>C2411 &amp; " -&gt; " &amp; D2411</f>
        <v>principal-knowledge-authority -&gt; KnowledgeGaps.OwnerRole</v>
      </c>
      <c r="C2411" s="3" t="s">
        <v>9774</v>
      </c>
      <c r="D2411" s="3" t="s">
        <v>3377</v>
      </c>
      <c r="E2411" s="3" t="b">
        <v>1</v>
      </c>
      <c r="F2411" s="3" t="b">
        <v>0</v>
      </c>
      <c r="G2411" s="3" t="s">
        <v>10003</v>
      </c>
      <c r="H2411" s="4" t="str">
        <f>_xlfn.IFNA(IF(((INDEX(RulebookFields!C2:C1898, MATCH(D2411,RulebookFields!A2:A1898, 0))="")=TRUE),  "",  INDEX(RulebookFields!C2:C1898, MATCH(D2411,RulebookFields!A2:A1898, 0))), "")</f>
        <v>KnowledgeGaps</v>
      </c>
      <c r="I2411" s="4" t="str">
        <f>_xlfn.IFNA(IF(((INDEX(RulebookFields!D2:D1898, MATCH(D2411,RulebookFields!A2:A1898, 0))="")=TRUE),  "",  INDEX(RulebookFields!D2:D1898, MATCH(D2411,RulebookFields!A2:A1898, 0))), "")</f>
        <v>OwnerRole</v>
      </c>
      <c r="J2411" s="4" t="b">
        <f>_xlfn.IFNA(IF(((INDEX(RulebookFields!I2:I1898, MATCH(D2411,RulebookFields!A2:A1898, 0))="")=TRUE),  "",  INDEX(RulebookFields!I2:I1898, MATCH(D2411,RulebookFields!A2:A1898, 0))), "")</f>
        <v>0</v>
      </c>
      <c r="K2411" s="4" t="b">
        <f>AND(((F2411)=TRUE), ((J2411)=TRUE))</f>
        <v>0</v>
      </c>
      <c r="L2411" s="4" t="b">
        <f>AND(((G2411 &lt;&gt; "plain")=TRUE), ((G2411 &lt;&gt; "")=TRUE))</f>
        <v>0</v>
      </c>
      <c r="M2411" s="4" t="str">
        <f>IF(((E2411)=TRUE),  C2411 &amp; "|" &amp; H2411,  "")</f>
        <v>principal-knowledge-authority|KnowledgeGaps</v>
      </c>
      <c r="N2411" s="3" t="s">
        <v>10004</v>
      </c>
    </row>
    <row r="2412">
      <c r="A2412" s="3" t="s">
        <v>12414</v>
      </c>
      <c r="B2412" s="4" t="str">
        <f>C2412 &amp; " -&gt; " &amp; D2412</f>
        <v>principal-knowledge-authority -&gt; KnowledgeGaps.IdentifiedAt</v>
      </c>
      <c r="C2412" s="3" t="s">
        <v>9774</v>
      </c>
      <c r="D2412" s="3" t="s">
        <v>3378</v>
      </c>
      <c r="E2412" s="3" t="b">
        <v>1</v>
      </c>
      <c r="F2412" s="3" t="b">
        <v>0</v>
      </c>
      <c r="G2412" s="3" t="s">
        <v>10003</v>
      </c>
      <c r="H2412" s="4" t="str">
        <f>_xlfn.IFNA(IF(((INDEX(RulebookFields!C2:C1898, MATCH(D2412,RulebookFields!A2:A1898, 0))="")=TRUE),  "",  INDEX(RulebookFields!C2:C1898, MATCH(D2412,RulebookFields!A2:A1898, 0))), "")</f>
        <v>KnowledgeGaps</v>
      </c>
      <c r="I2412" s="4" t="str">
        <f>_xlfn.IFNA(IF(((INDEX(RulebookFields!D2:D1898, MATCH(D2412,RulebookFields!A2:A1898, 0))="")=TRUE),  "",  INDEX(RulebookFields!D2:D1898, MATCH(D2412,RulebookFields!A2:A1898, 0))), "")</f>
        <v>IdentifiedAt</v>
      </c>
      <c r="J2412" s="4" t="b">
        <f>_xlfn.IFNA(IF(((INDEX(RulebookFields!I2:I1898, MATCH(D2412,RulebookFields!A2:A1898, 0))="")=TRUE),  "",  INDEX(RulebookFields!I2:I1898, MATCH(D2412,RulebookFields!A2:A1898, 0))), "")</f>
        <v>0</v>
      </c>
      <c r="K2412" s="4" t="b">
        <f>AND(((F2412)=TRUE), ((J2412)=TRUE))</f>
        <v>0</v>
      </c>
      <c r="L2412" s="4" t="b">
        <f>AND(((G2412 &lt;&gt; "plain")=TRUE), ((G2412 &lt;&gt; "")=TRUE))</f>
        <v>0</v>
      </c>
      <c r="M2412" s="4" t="str">
        <f>IF(((E2412)=TRUE),  C2412 &amp; "|" &amp; H2412,  "")</f>
        <v>principal-knowledge-authority|KnowledgeGaps</v>
      </c>
      <c r="N2412" s="3" t="s">
        <v>10004</v>
      </c>
    </row>
    <row r="2413">
      <c r="A2413" s="3" t="s">
        <v>12415</v>
      </c>
      <c r="B2413" s="4" t="str">
        <f>C2413 &amp; " -&gt; " &amp; D2413</f>
        <v>principal-knowledge-authority -&gt; KnowledgeGaps.ResolutionPlan</v>
      </c>
      <c r="C2413" s="3" t="s">
        <v>9774</v>
      </c>
      <c r="D2413" s="3" t="s">
        <v>3379</v>
      </c>
      <c r="E2413" s="3" t="b">
        <v>1</v>
      </c>
      <c r="F2413" s="3" t="b">
        <v>0</v>
      </c>
      <c r="G2413" s="3" t="s">
        <v>10003</v>
      </c>
      <c r="H2413" s="4" t="str">
        <f>_xlfn.IFNA(IF(((INDEX(RulebookFields!C2:C1898, MATCH(D2413,RulebookFields!A2:A1898, 0))="")=TRUE),  "",  INDEX(RulebookFields!C2:C1898, MATCH(D2413,RulebookFields!A2:A1898, 0))), "")</f>
        <v>KnowledgeGaps</v>
      </c>
      <c r="I2413" s="4" t="str">
        <f>_xlfn.IFNA(IF(((INDEX(RulebookFields!D2:D1898, MATCH(D2413,RulebookFields!A2:A1898, 0))="")=TRUE),  "",  INDEX(RulebookFields!D2:D1898, MATCH(D2413,RulebookFields!A2:A1898, 0))), "")</f>
        <v>ResolutionPlan</v>
      </c>
      <c r="J2413" s="4" t="b">
        <f>_xlfn.IFNA(IF(((INDEX(RulebookFields!I2:I1898, MATCH(D2413,RulebookFields!A2:A1898, 0))="")=TRUE),  "",  INDEX(RulebookFields!I2:I1898, MATCH(D2413,RulebookFields!A2:A1898, 0))), "")</f>
        <v>0</v>
      </c>
      <c r="K2413" s="4" t="b">
        <f>AND(((F2413)=TRUE), ((J2413)=TRUE))</f>
        <v>0</v>
      </c>
      <c r="L2413" s="4" t="b">
        <f>AND(((G2413 &lt;&gt; "plain")=TRUE), ((G2413 &lt;&gt; "")=TRUE))</f>
        <v>0</v>
      </c>
      <c r="M2413" s="4" t="str">
        <f>IF(((E2413)=TRUE),  C2413 &amp; "|" &amp; H2413,  "")</f>
        <v>principal-knowledge-authority|KnowledgeGaps</v>
      </c>
      <c r="N2413" s="3" t="s">
        <v>10004</v>
      </c>
    </row>
    <row r="2414">
      <c r="A2414" s="3" t="s">
        <v>12416</v>
      </c>
      <c r="B2414" s="4" t="str">
        <f>C2414 &amp; " -&gt; " &amp; D2414</f>
        <v>principal-knowledge-authority -&gt; KnowledgeGaps.IsOpen</v>
      </c>
      <c r="C2414" s="3" t="s">
        <v>9774</v>
      </c>
      <c r="D2414" s="3" t="s">
        <v>3380</v>
      </c>
      <c r="E2414" s="3" t="b">
        <v>1</v>
      </c>
      <c r="F2414" s="3" t="b">
        <v>0</v>
      </c>
      <c r="G2414" s="3" t="s">
        <v>10003</v>
      </c>
      <c r="H2414" s="4" t="str">
        <f>_xlfn.IFNA(IF(((INDEX(RulebookFields!C2:C1898, MATCH(D2414,RulebookFields!A2:A1898, 0))="")=TRUE),  "",  INDEX(RulebookFields!C2:C1898, MATCH(D2414,RulebookFields!A2:A1898, 0))), "")</f>
        <v>KnowledgeGaps</v>
      </c>
      <c r="I2414" s="4" t="str">
        <f>_xlfn.IFNA(IF(((INDEX(RulebookFields!D2:D1898, MATCH(D2414,RulebookFields!A2:A1898, 0))="")=TRUE),  "",  INDEX(RulebookFields!D2:D1898, MATCH(D2414,RulebookFields!A2:A1898, 0))), "")</f>
        <v>IsOpen</v>
      </c>
      <c r="J2414" s="4" t="b">
        <f>_xlfn.IFNA(IF(((INDEX(RulebookFields!I2:I1898, MATCH(D2414,RulebookFields!A2:A1898, 0))="")=TRUE),  "",  INDEX(RulebookFields!I2:I1898, MATCH(D2414,RulebookFields!A2:A1898, 0))), "")</f>
        <v>1</v>
      </c>
      <c r="K2414" s="4" t="b">
        <f>AND(((F2414)=TRUE), ((J2414)=TRUE))</f>
        <v>0</v>
      </c>
      <c r="L2414" s="4" t="b">
        <f>AND(((G2414 &lt;&gt; "plain")=TRUE), ((G2414 &lt;&gt; "")=TRUE))</f>
        <v>0</v>
      </c>
      <c r="M2414" s="4" t="str">
        <f>IF(((E2414)=TRUE),  C2414 &amp; "|" &amp; H2414,  "")</f>
        <v>principal-knowledge-authority|KnowledgeGaps</v>
      </c>
      <c r="N2414" s="3" t="s">
        <v>10004</v>
      </c>
    </row>
    <row r="2415">
      <c r="A2415" s="3" t="s">
        <v>12417</v>
      </c>
      <c r="B2415" s="4" t="str">
        <f>C2415 &amp; " -&gt; " &amp; D2415</f>
        <v>principal-knowledge-authority -&gt; KnowledgeGaps.OpenGapVersionKey</v>
      </c>
      <c r="C2415" s="3" t="s">
        <v>9774</v>
      </c>
      <c r="D2415" s="3" t="s">
        <v>3382</v>
      </c>
      <c r="E2415" s="3" t="b">
        <v>1</v>
      </c>
      <c r="F2415" s="3" t="b">
        <v>0</v>
      </c>
      <c r="G2415" s="3" t="s">
        <v>10003</v>
      </c>
      <c r="H2415" s="4" t="str">
        <f>_xlfn.IFNA(IF(((INDEX(RulebookFields!C2:C1898, MATCH(D2415,RulebookFields!A2:A1898, 0))="")=TRUE),  "",  INDEX(RulebookFields!C2:C1898, MATCH(D2415,RulebookFields!A2:A1898, 0))), "")</f>
        <v>KnowledgeGaps</v>
      </c>
      <c r="I2415" s="4" t="str">
        <f>_xlfn.IFNA(IF(((INDEX(RulebookFields!D2:D1898, MATCH(D2415,RulebookFields!A2:A1898, 0))="")=TRUE),  "",  INDEX(RulebookFields!D2:D1898, MATCH(D2415,RulebookFields!A2:A1898, 0))), "")</f>
        <v>OpenGapVersionKey</v>
      </c>
      <c r="J2415" s="4" t="b">
        <f>_xlfn.IFNA(IF(((INDEX(RulebookFields!I2:I1898, MATCH(D2415,RulebookFields!A2:A1898, 0))="")=TRUE),  "",  INDEX(RulebookFields!I2:I1898, MATCH(D2415,RulebookFields!A2:A1898, 0))), "")</f>
        <v>1</v>
      </c>
      <c r="K2415" s="4" t="b">
        <f>AND(((F2415)=TRUE), ((J2415)=TRUE))</f>
        <v>0</v>
      </c>
      <c r="L2415" s="4" t="b">
        <f>AND(((G2415 &lt;&gt; "plain")=TRUE), ((G2415 &lt;&gt; "")=TRUE))</f>
        <v>0</v>
      </c>
      <c r="M2415" s="4" t="str">
        <f>IF(((E2415)=TRUE),  C2415 &amp; "|" &amp; H2415,  "")</f>
        <v>principal-knowledge-authority|KnowledgeGaps</v>
      </c>
      <c r="N2415" s="3" t="s">
        <v>10004</v>
      </c>
    </row>
    <row r="2416">
      <c r="A2416" s="3" t="s">
        <v>12418</v>
      </c>
      <c r="B2416" s="4" t="str">
        <f>C2416 &amp; " -&gt; " &amp; D2416</f>
        <v>principal-knowledge-authority -&gt; KnowledgeGaps.IsBlocking</v>
      </c>
      <c r="C2416" s="3" t="s">
        <v>9774</v>
      </c>
      <c r="D2416" s="3" t="s">
        <v>3384</v>
      </c>
      <c r="E2416" s="3" t="b">
        <v>1</v>
      </c>
      <c r="F2416" s="3" t="b">
        <v>0</v>
      </c>
      <c r="G2416" s="3" t="s">
        <v>10003</v>
      </c>
      <c r="H2416" s="4" t="str">
        <f>_xlfn.IFNA(IF(((INDEX(RulebookFields!C2:C1898, MATCH(D2416,RulebookFields!A2:A1898, 0))="")=TRUE),  "",  INDEX(RulebookFields!C2:C1898, MATCH(D2416,RulebookFields!A2:A1898, 0))), "")</f>
        <v>KnowledgeGaps</v>
      </c>
      <c r="I2416" s="4" t="str">
        <f>_xlfn.IFNA(IF(((INDEX(RulebookFields!D2:D1898, MATCH(D2416,RulebookFields!A2:A1898, 0))="")=TRUE),  "",  INDEX(RulebookFields!D2:D1898, MATCH(D2416,RulebookFields!A2:A1898, 0))), "")</f>
        <v>IsBlocking</v>
      </c>
      <c r="J2416" s="4" t="b">
        <f>_xlfn.IFNA(IF(((INDEX(RulebookFields!I2:I1898, MATCH(D2416,RulebookFields!A2:A1898, 0))="")=TRUE),  "",  INDEX(RulebookFields!I2:I1898, MATCH(D2416,RulebookFields!A2:A1898, 0))), "")</f>
        <v>1</v>
      </c>
      <c r="K2416" s="4" t="b">
        <f>AND(((F2416)=TRUE), ((J2416)=TRUE))</f>
        <v>0</v>
      </c>
      <c r="L2416" s="4" t="b">
        <f>AND(((G2416 &lt;&gt; "plain")=TRUE), ((G2416 &lt;&gt; "")=TRUE))</f>
        <v>0</v>
      </c>
      <c r="M2416" s="4" t="str">
        <f>IF(((E2416)=TRUE),  C2416 &amp; "|" &amp; H2416,  "")</f>
        <v>principal-knowledge-authority|KnowledgeGaps</v>
      </c>
      <c r="N2416" s="3" t="s">
        <v>10004</v>
      </c>
    </row>
    <row r="2417">
      <c r="A2417" s="3" t="s">
        <v>12419</v>
      </c>
      <c r="B2417" s="4" t="str">
        <f>C2417 &amp; " -&gt; " &amp; D2417</f>
        <v>principal-knowledge-authority -&gt; KnowledgeGaps.IsOpenAndBlocking</v>
      </c>
      <c r="C2417" s="3" t="s">
        <v>9774</v>
      </c>
      <c r="D2417" s="3" t="s">
        <v>3386</v>
      </c>
      <c r="E2417" s="3" t="b">
        <v>1</v>
      </c>
      <c r="F2417" s="3" t="b">
        <v>0</v>
      </c>
      <c r="G2417" s="3" t="s">
        <v>10003</v>
      </c>
      <c r="H2417" s="4" t="str">
        <f>_xlfn.IFNA(IF(((INDEX(RulebookFields!C2:C1898, MATCH(D2417,RulebookFields!A2:A1898, 0))="")=TRUE),  "",  INDEX(RulebookFields!C2:C1898, MATCH(D2417,RulebookFields!A2:A1898, 0))), "")</f>
        <v>KnowledgeGaps</v>
      </c>
      <c r="I2417" s="4" t="str">
        <f>_xlfn.IFNA(IF(((INDEX(RulebookFields!D2:D1898, MATCH(D2417,RulebookFields!A2:A1898, 0))="")=TRUE),  "",  INDEX(RulebookFields!D2:D1898, MATCH(D2417,RulebookFields!A2:A1898, 0))), "")</f>
        <v>IsOpenAndBlocking</v>
      </c>
      <c r="J2417" s="4" t="b">
        <f>_xlfn.IFNA(IF(((INDEX(RulebookFields!I2:I1898, MATCH(D2417,RulebookFields!A2:A1898, 0))="")=TRUE),  "",  INDEX(RulebookFields!I2:I1898, MATCH(D2417,RulebookFields!A2:A1898, 0))), "")</f>
        <v>1</v>
      </c>
      <c r="K2417" s="4" t="b">
        <f>AND(((F2417)=TRUE), ((J2417)=TRUE))</f>
        <v>0</v>
      </c>
      <c r="L2417" s="4" t="b">
        <f>AND(((G2417 &lt;&gt; "plain")=TRUE), ((G2417 &lt;&gt; "")=TRUE))</f>
        <v>0</v>
      </c>
      <c r="M2417" s="4" t="str">
        <f>IF(((E2417)=TRUE),  C2417 &amp; "|" &amp; H2417,  "")</f>
        <v>principal-knowledge-authority|KnowledgeGaps</v>
      </c>
      <c r="N2417" s="3" t="s">
        <v>10004</v>
      </c>
    </row>
    <row r="2418">
      <c r="A2418" s="3" t="s">
        <v>12420</v>
      </c>
      <c r="B2418" s="4" t="str">
        <f>C2418 &amp; " -&gt; " &amp; D2418</f>
        <v>principal-knowledge-authority -&gt; KnowledgeGaps.EvaluationContext</v>
      </c>
      <c r="C2418" s="3" t="s">
        <v>9774</v>
      </c>
      <c r="D2418" s="3" t="s">
        <v>3388</v>
      </c>
      <c r="E2418" s="3" t="b">
        <v>1</v>
      </c>
      <c r="F2418" s="3" t="b">
        <v>0</v>
      </c>
      <c r="G2418" s="3" t="s">
        <v>10003</v>
      </c>
      <c r="H2418" s="4" t="str">
        <f>_xlfn.IFNA(IF(((INDEX(RulebookFields!C2:C1898, MATCH(D2418,RulebookFields!A2:A1898, 0))="")=TRUE),  "",  INDEX(RulebookFields!C2:C1898, MATCH(D2418,RulebookFields!A2:A1898, 0))), "")</f>
        <v>KnowledgeGaps</v>
      </c>
      <c r="I2418" s="4" t="str">
        <f>_xlfn.IFNA(IF(((INDEX(RulebookFields!D2:D1898, MATCH(D2418,RulebookFields!A2:A1898, 0))="")=TRUE),  "",  INDEX(RulebookFields!D2:D1898, MATCH(D2418,RulebookFields!A2:A1898, 0))), "")</f>
        <v>EvaluationContext</v>
      </c>
      <c r="J2418" s="4" t="b">
        <f>_xlfn.IFNA(IF(((INDEX(RulebookFields!I2:I1898, MATCH(D2418,RulebookFields!A2:A1898, 0))="")=TRUE),  "",  INDEX(RulebookFields!I2:I1898, MATCH(D2418,RulebookFields!A2:A1898, 0))), "")</f>
        <v>0</v>
      </c>
      <c r="K2418" s="4" t="b">
        <f>AND(((F2418)=TRUE), ((J2418)=TRUE))</f>
        <v>0</v>
      </c>
      <c r="L2418" s="4" t="b">
        <f>AND(((G2418 &lt;&gt; "plain")=TRUE), ((G2418 &lt;&gt; "")=TRUE))</f>
        <v>0</v>
      </c>
      <c r="M2418" s="4" t="str">
        <f>IF(((E2418)=TRUE),  C2418 &amp; "|" &amp; H2418,  "")</f>
        <v>principal-knowledge-authority|KnowledgeGaps</v>
      </c>
      <c r="N2418" s="3" t="s">
        <v>10004</v>
      </c>
    </row>
    <row r="2419">
      <c r="A2419" s="3" t="s">
        <v>12421</v>
      </c>
      <c r="B2419" s="4" t="str">
        <f>C2419 &amp; " -&gt; " &amp; D2419</f>
        <v>principal-knowledge-authority -&gt; KnowledgeGaps.AsOfInstant</v>
      </c>
      <c r="C2419" s="3" t="s">
        <v>9774</v>
      </c>
      <c r="D2419" s="3" t="s">
        <v>3389</v>
      </c>
      <c r="E2419" s="3" t="b">
        <v>1</v>
      </c>
      <c r="F2419" s="3" t="b">
        <v>0</v>
      </c>
      <c r="G2419" s="3" t="s">
        <v>10003</v>
      </c>
      <c r="H2419" s="4" t="str">
        <f>_xlfn.IFNA(IF(((INDEX(RulebookFields!C2:C1898, MATCH(D2419,RulebookFields!A2:A1898, 0))="")=TRUE),  "",  INDEX(RulebookFields!C2:C1898, MATCH(D2419,RulebookFields!A2:A1898, 0))), "")</f>
        <v>KnowledgeGaps</v>
      </c>
      <c r="I2419" s="4" t="str">
        <f>_xlfn.IFNA(IF(((INDEX(RulebookFields!D2:D1898, MATCH(D2419,RulebookFields!A2:A1898, 0))="")=TRUE),  "",  INDEX(RulebookFields!D2:D1898, MATCH(D2419,RulebookFields!A2:A1898, 0))), "")</f>
        <v>AsOfInstant</v>
      </c>
      <c r="J2419" s="4" t="b">
        <f>_xlfn.IFNA(IF(((INDEX(RulebookFields!I2:I1898, MATCH(D2419,RulebookFields!A2:A1898, 0))="")=TRUE),  "",  INDEX(RulebookFields!I2:I1898, MATCH(D2419,RulebookFields!A2:A1898, 0))), "")</f>
        <v>1</v>
      </c>
      <c r="K2419" s="4" t="b">
        <f>AND(((F2419)=TRUE), ((J2419)=TRUE))</f>
        <v>0</v>
      </c>
      <c r="L2419" s="4" t="b">
        <f>AND(((G2419 &lt;&gt; "plain")=TRUE), ((G2419 &lt;&gt; "")=TRUE))</f>
        <v>0</v>
      </c>
      <c r="M2419" s="4" t="str">
        <f>IF(((E2419)=TRUE),  C2419 &amp; "|" &amp; H2419,  "")</f>
        <v>principal-knowledge-authority|KnowledgeGaps</v>
      </c>
      <c r="N2419" s="3" t="s">
        <v>10004</v>
      </c>
    </row>
    <row r="2420">
      <c r="A2420" s="3" t="s">
        <v>12422</v>
      </c>
      <c r="B2420" s="4" t="str">
        <f>C2420 &amp; " -&gt; " &amp; D2420</f>
        <v>principal-knowledge-authority -&gt; KnowledgeGaps.DaysOpen</v>
      </c>
      <c r="C2420" s="3" t="s">
        <v>9774</v>
      </c>
      <c r="D2420" s="3" t="s">
        <v>3390</v>
      </c>
      <c r="E2420" s="3" t="b">
        <v>1</v>
      </c>
      <c r="F2420" s="3" t="b">
        <v>0</v>
      </c>
      <c r="G2420" s="3" t="s">
        <v>10003</v>
      </c>
      <c r="H2420" s="4" t="str">
        <f>_xlfn.IFNA(IF(((INDEX(RulebookFields!C2:C1898, MATCH(D2420,RulebookFields!A2:A1898, 0))="")=TRUE),  "",  INDEX(RulebookFields!C2:C1898, MATCH(D2420,RulebookFields!A2:A1898, 0))), "")</f>
        <v>KnowledgeGaps</v>
      </c>
      <c r="I2420" s="4" t="str">
        <f>_xlfn.IFNA(IF(((INDEX(RulebookFields!D2:D1898, MATCH(D2420,RulebookFields!A2:A1898, 0))="")=TRUE),  "",  INDEX(RulebookFields!D2:D1898, MATCH(D2420,RulebookFields!A2:A1898, 0))), "")</f>
        <v>DaysOpen</v>
      </c>
      <c r="J2420" s="4" t="b">
        <f>_xlfn.IFNA(IF(((INDEX(RulebookFields!I2:I1898, MATCH(D2420,RulebookFields!A2:A1898, 0))="")=TRUE),  "",  INDEX(RulebookFields!I2:I1898, MATCH(D2420,RulebookFields!A2:A1898, 0))), "")</f>
        <v>1</v>
      </c>
      <c r="K2420" s="4" t="b">
        <f>AND(((F2420)=TRUE), ((J2420)=TRUE))</f>
        <v>0</v>
      </c>
      <c r="L2420" s="4" t="b">
        <f>AND(((G2420 &lt;&gt; "plain")=TRUE), ((G2420 &lt;&gt; "")=TRUE))</f>
        <v>0</v>
      </c>
      <c r="M2420" s="4" t="str">
        <f>IF(((E2420)=TRUE),  C2420 &amp; "|" &amp; H2420,  "")</f>
        <v>principal-knowledge-authority|KnowledgeGaps</v>
      </c>
      <c r="N2420" s="3" t="s">
        <v>10004</v>
      </c>
    </row>
    <row r="2421">
      <c r="A2421" s="3" t="s">
        <v>12423</v>
      </c>
      <c r="B2421" s="4" t="str">
        <f>C2421 &amp; " -&gt; " &amp; D2421</f>
        <v>principal-knowledge-authority -&gt; KnowledgeGaps.ToleranceDays</v>
      </c>
      <c r="C2421" s="3" t="s">
        <v>9774</v>
      </c>
      <c r="D2421" s="3" t="s">
        <v>3392</v>
      </c>
      <c r="E2421" s="3" t="b">
        <v>1</v>
      </c>
      <c r="F2421" s="3" t="b">
        <v>0</v>
      </c>
      <c r="G2421" s="3" t="s">
        <v>10003</v>
      </c>
      <c r="H2421" s="4" t="str">
        <f>_xlfn.IFNA(IF(((INDEX(RulebookFields!C2:C1898, MATCH(D2421,RulebookFields!A2:A1898, 0))="")=TRUE),  "",  INDEX(RulebookFields!C2:C1898, MATCH(D2421,RulebookFields!A2:A1898, 0))), "")</f>
        <v>KnowledgeGaps</v>
      </c>
      <c r="I2421" s="4" t="str">
        <f>_xlfn.IFNA(IF(((INDEX(RulebookFields!D2:D1898, MATCH(D2421,RulebookFields!A2:A1898, 0))="")=TRUE),  "",  INDEX(RulebookFields!D2:D1898, MATCH(D2421,RulebookFields!A2:A1898, 0))), "")</f>
        <v>ToleranceDays</v>
      </c>
      <c r="J2421" s="4" t="b">
        <f>_xlfn.IFNA(IF(((INDEX(RulebookFields!I2:I1898, MATCH(D2421,RulebookFields!A2:A1898, 0))="")=TRUE),  "",  INDEX(RulebookFields!I2:I1898, MATCH(D2421,RulebookFields!A2:A1898, 0))), "")</f>
        <v>1</v>
      </c>
      <c r="K2421" s="4" t="b">
        <f>AND(((F2421)=TRUE), ((J2421)=TRUE))</f>
        <v>0</v>
      </c>
      <c r="L2421" s="4" t="b">
        <f>AND(((G2421 &lt;&gt; "plain")=TRUE), ((G2421 &lt;&gt; "")=TRUE))</f>
        <v>0</v>
      </c>
      <c r="M2421" s="4" t="str">
        <f>IF(((E2421)=TRUE),  C2421 &amp; "|" &amp; H2421,  "")</f>
        <v>principal-knowledge-authority|KnowledgeGaps</v>
      </c>
      <c r="N2421" s="3" t="s">
        <v>10004</v>
      </c>
    </row>
    <row r="2422">
      <c r="A2422" s="3" t="s">
        <v>12424</v>
      </c>
      <c r="B2422" s="4" t="str">
        <f>C2422 &amp; " -&gt; " &amp; D2422</f>
        <v>principal-knowledge-authority -&gt; KnowledgeGaps.IsOverdueGap</v>
      </c>
      <c r="C2422" s="3" t="s">
        <v>9774</v>
      </c>
      <c r="D2422" s="3" t="s">
        <v>3394</v>
      </c>
      <c r="E2422" s="3" t="b">
        <v>1</v>
      </c>
      <c r="F2422" s="3" t="b">
        <v>0</v>
      </c>
      <c r="G2422" s="3" t="s">
        <v>10003</v>
      </c>
      <c r="H2422" s="4" t="str">
        <f>_xlfn.IFNA(IF(((INDEX(RulebookFields!C2:C1898, MATCH(D2422,RulebookFields!A2:A1898, 0))="")=TRUE),  "",  INDEX(RulebookFields!C2:C1898, MATCH(D2422,RulebookFields!A2:A1898, 0))), "")</f>
        <v>KnowledgeGaps</v>
      </c>
      <c r="I2422" s="4" t="str">
        <f>_xlfn.IFNA(IF(((INDEX(RulebookFields!D2:D1898, MATCH(D2422,RulebookFields!A2:A1898, 0))="")=TRUE),  "",  INDEX(RulebookFields!D2:D1898, MATCH(D2422,RulebookFields!A2:A1898, 0))), "")</f>
        <v>IsOverdueGap</v>
      </c>
      <c r="J2422" s="4" t="b">
        <f>_xlfn.IFNA(IF(((INDEX(RulebookFields!I2:I1898, MATCH(D2422,RulebookFields!A2:A1898, 0))="")=TRUE),  "",  INDEX(RulebookFields!I2:I1898, MATCH(D2422,RulebookFields!A2:A1898, 0))), "")</f>
        <v>1</v>
      </c>
      <c r="K2422" s="4" t="b">
        <f>AND(((F2422)=TRUE), ((J2422)=TRUE))</f>
        <v>0</v>
      </c>
      <c r="L2422" s="4" t="b">
        <f>AND(((G2422 &lt;&gt; "plain")=TRUE), ((G2422 &lt;&gt; "")=TRUE))</f>
        <v>0</v>
      </c>
      <c r="M2422" s="4" t="str">
        <f>IF(((E2422)=TRUE),  C2422 &amp; "|" &amp; H2422,  "")</f>
        <v>principal-knowledge-authority|KnowledgeGaps</v>
      </c>
      <c r="N2422" s="3" t="s">
        <v>10004</v>
      </c>
    </row>
    <row r="2423">
      <c r="A2423" s="3" t="s">
        <v>12425</v>
      </c>
      <c r="B2423" s="4" t="str">
        <f>C2423 &amp; " -&gt; " &amp; D2423</f>
        <v>principal-knowledge-authority -&gt; KnowledgeGaps.OwnerAgent</v>
      </c>
      <c r="C2423" s="3" t="s">
        <v>9774</v>
      </c>
      <c r="D2423" s="3" t="s">
        <v>3396</v>
      </c>
      <c r="E2423" s="3" t="b">
        <v>1</v>
      </c>
      <c r="F2423" s="3" t="b">
        <v>0</v>
      </c>
      <c r="G2423" s="3" t="s">
        <v>10003</v>
      </c>
      <c r="H2423" s="4" t="str">
        <f>_xlfn.IFNA(IF(((INDEX(RulebookFields!C2:C1898, MATCH(D2423,RulebookFields!A2:A1898, 0))="")=TRUE),  "",  INDEX(RulebookFields!C2:C1898, MATCH(D2423,RulebookFields!A2:A1898, 0))), "")</f>
        <v>KnowledgeGaps</v>
      </c>
      <c r="I2423" s="4" t="str">
        <f>_xlfn.IFNA(IF(((INDEX(RulebookFields!D2:D1898, MATCH(D2423,RulebookFields!A2:A1898, 0))="")=TRUE),  "",  INDEX(RulebookFields!D2:D1898, MATCH(D2423,RulebookFields!A2:A1898, 0))), "")</f>
        <v>OwnerAgent</v>
      </c>
      <c r="J2423" s="4" t="b">
        <f>_xlfn.IFNA(IF(((INDEX(RulebookFields!I2:I1898, MATCH(D2423,RulebookFields!A2:A1898, 0))="")=TRUE),  "",  INDEX(RulebookFields!I2:I1898, MATCH(D2423,RulebookFields!A2:A1898, 0))), "")</f>
        <v>1</v>
      </c>
      <c r="K2423" s="4" t="b">
        <f>AND(((F2423)=TRUE), ((J2423)=TRUE))</f>
        <v>0</v>
      </c>
      <c r="L2423" s="4" t="b">
        <f>AND(((G2423 &lt;&gt; "plain")=TRUE), ((G2423 &lt;&gt; "")=TRUE))</f>
        <v>0</v>
      </c>
      <c r="M2423" s="4" t="str">
        <f>IF(((E2423)=TRUE),  C2423 &amp; "|" &amp; H2423,  "")</f>
        <v>principal-knowledge-authority|KnowledgeGaps</v>
      </c>
      <c r="N2423" s="3" t="s">
        <v>10004</v>
      </c>
    </row>
    <row r="2424">
      <c r="A2424" s="3" t="s">
        <v>12426</v>
      </c>
      <c r="B2424" s="4" t="str">
        <f>C2424 &amp; " -&gt; " &amp; D2424</f>
        <v>principal-knowledge-authority -&gt; KnowledgeGaps.OwnerIsStillEngaged</v>
      </c>
      <c r="C2424" s="3" t="s">
        <v>9774</v>
      </c>
      <c r="D2424" s="3" t="s">
        <v>3397</v>
      </c>
      <c r="E2424" s="3" t="b">
        <v>1</v>
      </c>
      <c r="F2424" s="3" t="b">
        <v>0</v>
      </c>
      <c r="G2424" s="3" t="s">
        <v>10003</v>
      </c>
      <c r="H2424" s="4" t="str">
        <f>_xlfn.IFNA(IF(((INDEX(RulebookFields!C2:C1898, MATCH(D2424,RulebookFields!A2:A1898, 0))="")=TRUE),  "",  INDEX(RulebookFields!C2:C1898, MATCH(D2424,RulebookFields!A2:A1898, 0))), "")</f>
        <v>KnowledgeGaps</v>
      </c>
      <c r="I2424" s="4" t="str">
        <f>_xlfn.IFNA(IF(((INDEX(RulebookFields!D2:D1898, MATCH(D2424,RulebookFields!A2:A1898, 0))="")=TRUE),  "",  INDEX(RulebookFields!D2:D1898, MATCH(D2424,RulebookFields!A2:A1898, 0))), "")</f>
        <v>OwnerIsStillEngaged</v>
      </c>
      <c r="J2424" s="4" t="b">
        <f>_xlfn.IFNA(IF(((INDEX(RulebookFields!I2:I1898, MATCH(D2424,RulebookFields!A2:A1898, 0))="")=TRUE),  "",  INDEX(RulebookFields!I2:I1898, MATCH(D2424,RulebookFields!A2:A1898, 0))), "")</f>
        <v>1</v>
      </c>
      <c r="K2424" s="4" t="b">
        <f>AND(((F2424)=TRUE), ((J2424)=TRUE))</f>
        <v>0</v>
      </c>
      <c r="L2424" s="4" t="b">
        <f>AND(((G2424 &lt;&gt; "plain")=TRUE), ((G2424 &lt;&gt; "")=TRUE))</f>
        <v>0</v>
      </c>
      <c r="M2424" s="4" t="str">
        <f>IF(((E2424)=TRUE),  C2424 &amp; "|" &amp; H2424,  "")</f>
        <v>principal-knowledge-authority|KnowledgeGaps</v>
      </c>
      <c r="N2424" s="3" t="s">
        <v>10004</v>
      </c>
    </row>
    <row r="2425">
      <c r="A2425" s="3" t="s">
        <v>12427</v>
      </c>
      <c r="B2425" s="4" t="str">
        <f>C2425 &amp; " -&gt; " &amp; D2425</f>
        <v>principal-knowledge-authority -&gt; KnowledgeGaps.HasResolutionPlan</v>
      </c>
      <c r="C2425" s="3" t="s">
        <v>9774</v>
      </c>
      <c r="D2425" s="3" t="s">
        <v>3399</v>
      </c>
      <c r="E2425" s="3" t="b">
        <v>1</v>
      </c>
      <c r="F2425" s="3" t="b">
        <v>0</v>
      </c>
      <c r="G2425" s="3" t="s">
        <v>10003</v>
      </c>
      <c r="H2425" s="4" t="str">
        <f>_xlfn.IFNA(IF(((INDEX(RulebookFields!C2:C1898, MATCH(D2425,RulebookFields!A2:A1898, 0))="")=TRUE),  "",  INDEX(RulebookFields!C2:C1898, MATCH(D2425,RulebookFields!A2:A1898, 0))), "")</f>
        <v>KnowledgeGaps</v>
      </c>
      <c r="I2425" s="4" t="str">
        <f>_xlfn.IFNA(IF(((INDEX(RulebookFields!D2:D1898, MATCH(D2425,RulebookFields!A2:A1898, 0))="")=TRUE),  "",  INDEX(RulebookFields!D2:D1898, MATCH(D2425,RulebookFields!A2:A1898, 0))), "")</f>
        <v>HasResolutionPlan</v>
      </c>
      <c r="J2425" s="4" t="b">
        <f>_xlfn.IFNA(IF(((INDEX(RulebookFields!I2:I1898, MATCH(D2425,RulebookFields!A2:A1898, 0))="")=TRUE),  "",  INDEX(RulebookFields!I2:I1898, MATCH(D2425,RulebookFields!A2:A1898, 0))), "")</f>
        <v>1</v>
      </c>
      <c r="K2425" s="4" t="b">
        <f>AND(((F2425)=TRUE), ((J2425)=TRUE))</f>
        <v>0</v>
      </c>
      <c r="L2425" s="4" t="b">
        <f>AND(((G2425 &lt;&gt; "plain")=TRUE), ((G2425 &lt;&gt; "")=TRUE))</f>
        <v>0</v>
      </c>
      <c r="M2425" s="4" t="str">
        <f>IF(((E2425)=TRUE),  C2425 &amp; "|" &amp; H2425,  "")</f>
        <v>principal-knowledge-authority|KnowledgeGaps</v>
      </c>
      <c r="N2425" s="3" t="s">
        <v>10004</v>
      </c>
    </row>
    <row r="2426">
      <c r="A2426" s="3" t="s">
        <v>12428</v>
      </c>
      <c r="B2426" s="4" t="str">
        <f>C2426 &amp; " -&gt; " &amp; D2426</f>
        <v>principal-knowledge-authority -&gt; KnowledgeGaps.IsAbandonedUnknown</v>
      </c>
      <c r="C2426" s="3" t="s">
        <v>9774</v>
      </c>
      <c r="D2426" s="3" t="s">
        <v>3401</v>
      </c>
      <c r="E2426" s="3" t="b">
        <v>1</v>
      </c>
      <c r="F2426" s="3" t="b">
        <v>0</v>
      </c>
      <c r="G2426" s="3" t="s">
        <v>10003</v>
      </c>
      <c r="H2426" s="4" t="str">
        <f>_xlfn.IFNA(IF(((INDEX(RulebookFields!C2:C1898, MATCH(D2426,RulebookFields!A2:A1898, 0))="")=TRUE),  "",  INDEX(RulebookFields!C2:C1898, MATCH(D2426,RulebookFields!A2:A1898, 0))), "")</f>
        <v>KnowledgeGaps</v>
      </c>
      <c r="I2426" s="4" t="str">
        <f>_xlfn.IFNA(IF(((INDEX(RulebookFields!D2:D1898, MATCH(D2426,RulebookFields!A2:A1898, 0))="")=TRUE),  "",  INDEX(RulebookFields!D2:D1898, MATCH(D2426,RulebookFields!A2:A1898, 0))), "")</f>
        <v>IsAbandonedUnknown</v>
      </c>
      <c r="J2426" s="4" t="b">
        <f>_xlfn.IFNA(IF(((INDEX(RulebookFields!I2:I1898, MATCH(D2426,RulebookFields!A2:A1898, 0))="")=TRUE),  "",  INDEX(RulebookFields!I2:I1898, MATCH(D2426,RulebookFields!A2:A1898, 0))), "")</f>
        <v>1</v>
      </c>
      <c r="K2426" s="4" t="b">
        <f>AND(((F2426)=TRUE), ((J2426)=TRUE))</f>
        <v>0</v>
      </c>
      <c r="L2426" s="4" t="b">
        <f>AND(((G2426 &lt;&gt; "plain")=TRUE), ((G2426 &lt;&gt; "")=TRUE))</f>
        <v>0</v>
      </c>
      <c r="M2426" s="4" t="str">
        <f>IF(((E2426)=TRUE),  C2426 &amp; "|" &amp; H2426,  "")</f>
        <v>principal-knowledge-authority|KnowledgeGaps</v>
      </c>
      <c r="N2426" s="3" t="s">
        <v>10004</v>
      </c>
    </row>
    <row r="2427">
      <c r="A2427" s="3" t="s">
        <v>12429</v>
      </c>
      <c r="B2427" s="4" t="str">
        <f>C2427 &amp; " -&gt; " &amp; D2427</f>
        <v>principal-knowledge-authority -&gt; KnowledgeGaps.OpenBlockingGapVersionKey</v>
      </c>
      <c r="C2427" s="3" t="s">
        <v>9774</v>
      </c>
      <c r="D2427" s="3" t="s">
        <v>3403</v>
      </c>
      <c r="E2427" s="3" t="b">
        <v>1</v>
      </c>
      <c r="F2427" s="3" t="b">
        <v>0</v>
      </c>
      <c r="G2427" s="3" t="s">
        <v>10003</v>
      </c>
      <c r="H2427" s="4" t="str">
        <f>_xlfn.IFNA(IF(((INDEX(RulebookFields!C2:C1898, MATCH(D2427,RulebookFields!A2:A1898, 0))="")=TRUE),  "",  INDEX(RulebookFields!C2:C1898, MATCH(D2427,RulebookFields!A2:A1898, 0))), "")</f>
        <v>KnowledgeGaps</v>
      </c>
      <c r="I2427" s="4" t="str">
        <f>_xlfn.IFNA(IF(((INDEX(RulebookFields!D2:D1898, MATCH(D2427,RulebookFields!A2:A1898, 0))="")=TRUE),  "",  INDEX(RulebookFields!D2:D1898, MATCH(D2427,RulebookFields!A2:A1898, 0))), "")</f>
        <v>OpenBlockingGapVersionKey</v>
      </c>
      <c r="J2427" s="4" t="b">
        <f>_xlfn.IFNA(IF(((INDEX(RulebookFields!I2:I1898, MATCH(D2427,RulebookFields!A2:A1898, 0))="")=TRUE),  "",  INDEX(RulebookFields!I2:I1898, MATCH(D2427,RulebookFields!A2:A1898, 0))), "")</f>
        <v>1</v>
      </c>
      <c r="K2427" s="4" t="b">
        <f>AND(((F2427)=TRUE), ((J2427)=TRUE))</f>
        <v>0</v>
      </c>
      <c r="L2427" s="4" t="b">
        <f>AND(((G2427 &lt;&gt; "plain")=TRUE), ((G2427 &lt;&gt; "")=TRUE))</f>
        <v>0</v>
      </c>
      <c r="M2427" s="4" t="str">
        <f>IF(((E2427)=TRUE),  C2427 &amp; "|" &amp; H2427,  "")</f>
        <v>principal-knowledge-authority|KnowledgeGaps</v>
      </c>
      <c r="N2427" s="3" t="s">
        <v>10004</v>
      </c>
    </row>
    <row r="2428">
      <c r="A2428" s="3" t="s">
        <v>12430</v>
      </c>
      <c r="B2428" s="4" t="str">
        <f>C2428 &amp; " -&gt; " &amp; D2428</f>
        <v>principal-knowledge-authority -&gt; KnowledgeGaps.OwnerRoleIsVacated</v>
      </c>
      <c r="C2428" s="3" t="s">
        <v>9774</v>
      </c>
      <c r="D2428" s="3" t="s">
        <v>3405</v>
      </c>
      <c r="E2428" s="3" t="b">
        <v>1</v>
      </c>
      <c r="F2428" s="3" t="b">
        <v>0</v>
      </c>
      <c r="G2428" s="3" t="s">
        <v>10003</v>
      </c>
      <c r="H2428" s="4" t="str">
        <f>_xlfn.IFNA(IF(((INDEX(RulebookFields!C2:C1898, MATCH(D2428,RulebookFields!A2:A1898, 0))="")=TRUE),  "",  INDEX(RulebookFields!C2:C1898, MATCH(D2428,RulebookFields!A2:A1898, 0))), "")</f>
        <v>KnowledgeGaps</v>
      </c>
      <c r="I2428" s="4" t="str">
        <f>_xlfn.IFNA(IF(((INDEX(RulebookFields!D2:D1898, MATCH(D2428,RulebookFields!A2:A1898, 0))="")=TRUE),  "",  INDEX(RulebookFields!D2:D1898, MATCH(D2428,RulebookFields!A2:A1898, 0))), "")</f>
        <v>OwnerRoleIsVacated</v>
      </c>
      <c r="J2428" s="4" t="b">
        <f>_xlfn.IFNA(IF(((INDEX(RulebookFields!I2:I1898, MATCH(D2428,RulebookFields!A2:A1898, 0))="")=TRUE),  "",  INDEX(RulebookFields!I2:I1898, MATCH(D2428,RulebookFields!A2:A1898, 0))), "")</f>
        <v>1</v>
      </c>
      <c r="K2428" s="4" t="b">
        <f>AND(((F2428)=TRUE), ((J2428)=TRUE))</f>
        <v>0</v>
      </c>
      <c r="L2428" s="4" t="b">
        <f>AND(((G2428 &lt;&gt; "plain")=TRUE), ((G2428 &lt;&gt; "")=TRUE))</f>
        <v>0</v>
      </c>
      <c r="M2428" s="4" t="str">
        <f>IF(((E2428)=TRUE),  C2428 &amp; "|" &amp; H2428,  "")</f>
        <v>principal-knowledge-authority|KnowledgeGaps</v>
      </c>
      <c r="N2428" s="3" t="s">
        <v>10004</v>
      </c>
    </row>
    <row r="2429">
      <c r="A2429" s="3" t="s">
        <v>12431</v>
      </c>
      <c r="B2429" s="4" t="str">
        <f>C2429 &amp; " -&gt; " &amp; D2429</f>
        <v>principal-knowledge-authority -&gt; KnowledgeGaps.IsOwnerlessOpenGap</v>
      </c>
      <c r="C2429" s="3" t="s">
        <v>9774</v>
      </c>
      <c r="D2429" s="3" t="s">
        <v>3406</v>
      </c>
      <c r="E2429" s="3" t="b">
        <v>1</v>
      </c>
      <c r="F2429" s="3" t="b">
        <v>0</v>
      </c>
      <c r="G2429" s="3" t="s">
        <v>10003</v>
      </c>
      <c r="H2429" s="4" t="str">
        <f>_xlfn.IFNA(IF(((INDEX(RulebookFields!C2:C1898, MATCH(D2429,RulebookFields!A2:A1898, 0))="")=TRUE),  "",  INDEX(RulebookFields!C2:C1898, MATCH(D2429,RulebookFields!A2:A1898, 0))), "")</f>
        <v>KnowledgeGaps</v>
      </c>
      <c r="I2429" s="4" t="str">
        <f>_xlfn.IFNA(IF(((INDEX(RulebookFields!D2:D1898, MATCH(D2429,RulebookFields!A2:A1898, 0))="")=TRUE),  "",  INDEX(RulebookFields!D2:D1898, MATCH(D2429,RulebookFields!A2:A1898, 0))), "")</f>
        <v>IsOwnerlessOpenGap</v>
      </c>
      <c r="J2429" s="4" t="b">
        <f>_xlfn.IFNA(IF(((INDEX(RulebookFields!I2:I1898, MATCH(D2429,RulebookFields!A2:A1898, 0))="")=TRUE),  "",  INDEX(RulebookFields!I2:I1898, MATCH(D2429,RulebookFields!A2:A1898, 0))), "")</f>
        <v>1</v>
      </c>
      <c r="K2429" s="4" t="b">
        <f>AND(((F2429)=TRUE), ((J2429)=TRUE))</f>
        <v>0</v>
      </c>
      <c r="L2429" s="4" t="b">
        <f>AND(((G2429 &lt;&gt; "plain")=TRUE), ((G2429 &lt;&gt; "")=TRUE))</f>
        <v>0</v>
      </c>
      <c r="M2429" s="4" t="str">
        <f>IF(((E2429)=TRUE),  C2429 &amp; "|" &amp; H2429,  "")</f>
        <v>principal-knowledge-authority|KnowledgeGaps</v>
      </c>
      <c r="N2429" s="3" t="s">
        <v>10004</v>
      </c>
    </row>
    <row r="2430">
      <c r="A2430" s="3" t="s">
        <v>12432</v>
      </c>
      <c r="B2430" s="4" t="str">
        <f>C2430 &amp; " -&gt; " &amp; D2430</f>
        <v>principal-knowledge-authority -&gt; KnowledgeGaps.SemanticTypeIri</v>
      </c>
      <c r="C2430" s="3" t="s">
        <v>9774</v>
      </c>
      <c r="D2430" s="3" t="s">
        <v>3408</v>
      </c>
      <c r="E2430" s="3" t="b">
        <v>1</v>
      </c>
      <c r="F2430" s="3" t="b">
        <v>0</v>
      </c>
      <c r="G2430" s="3" t="s">
        <v>10003</v>
      </c>
      <c r="H2430" s="4" t="str">
        <f>_xlfn.IFNA(IF(((INDEX(RulebookFields!C2:C1898, MATCH(D2430,RulebookFields!A2:A1898, 0))="")=TRUE),  "",  INDEX(RulebookFields!C2:C1898, MATCH(D2430,RulebookFields!A2:A1898, 0))), "")</f>
        <v>KnowledgeGaps</v>
      </c>
      <c r="I2430" s="4" t="str">
        <f>_xlfn.IFNA(IF(((INDEX(RulebookFields!D2:D1898, MATCH(D2430,RulebookFields!A2:A1898, 0))="")=TRUE),  "",  INDEX(RulebookFields!D2:D1898, MATCH(D2430,RulebookFields!A2:A1898, 0))), "")</f>
        <v>SemanticTypeIri</v>
      </c>
      <c r="J2430" s="4" t="b">
        <f>_xlfn.IFNA(IF(((INDEX(RulebookFields!I2:I1898, MATCH(D2430,RulebookFields!A2:A1898, 0))="")=TRUE),  "",  INDEX(RulebookFields!I2:I1898, MATCH(D2430,RulebookFields!A2:A1898, 0))), "")</f>
        <v>0</v>
      </c>
      <c r="K2430" s="4" t="b">
        <f>AND(((F2430)=TRUE), ((J2430)=TRUE))</f>
        <v>0</v>
      </c>
      <c r="L2430" s="4" t="b">
        <f>AND(((G2430 &lt;&gt; "plain")=TRUE), ((G2430 &lt;&gt; "")=TRUE))</f>
        <v>0</v>
      </c>
      <c r="M2430" s="4" t="str">
        <f>IF(((E2430)=TRUE),  C2430 &amp; "|" &amp; H2430,  "")</f>
        <v>principal-knowledge-authority|KnowledgeGaps</v>
      </c>
      <c r="N2430" s="3" t="s">
        <v>10004</v>
      </c>
    </row>
    <row r="2431">
      <c r="A2431" s="3" t="s">
        <v>12433</v>
      </c>
      <c r="B2431" s="4" t="str">
        <f>C2431 &amp; " -&gt; " &amp; D2431</f>
        <v>principal-knowledge-authority -&gt; LearningActivities.LearningActivityId</v>
      </c>
      <c r="C2431" s="3" t="s">
        <v>9774</v>
      </c>
      <c r="D2431" s="3" t="s">
        <v>4016</v>
      </c>
      <c r="E2431" s="3" t="b">
        <v>1</v>
      </c>
      <c r="F2431" s="3" t="b">
        <v>0</v>
      </c>
      <c r="G2431" s="3" t="s">
        <v>10003</v>
      </c>
      <c r="H2431" s="4" t="str">
        <f>_xlfn.IFNA(IF(((INDEX(RulebookFields!C2:C1898, MATCH(D2431,RulebookFields!A2:A1898, 0))="")=TRUE),  "",  INDEX(RulebookFields!C2:C1898, MATCH(D2431,RulebookFields!A2:A1898, 0))), "")</f>
        <v>LearningActivities</v>
      </c>
      <c r="I2431" s="4" t="str">
        <f>_xlfn.IFNA(IF(((INDEX(RulebookFields!D2:D1898, MATCH(D2431,RulebookFields!A2:A1898, 0))="")=TRUE),  "",  INDEX(RulebookFields!D2:D1898, MATCH(D2431,RulebookFields!A2:A1898, 0))), "")</f>
        <v>LearningActivityId</v>
      </c>
      <c r="J2431" s="4" t="b">
        <f>_xlfn.IFNA(IF(((INDEX(RulebookFields!I2:I1898, MATCH(D2431,RulebookFields!A2:A1898, 0))="")=TRUE),  "",  INDEX(RulebookFields!I2:I1898, MATCH(D2431,RulebookFields!A2:A1898, 0))), "")</f>
        <v>0</v>
      </c>
      <c r="K2431" s="4" t="b">
        <f>AND(((F2431)=TRUE), ((J2431)=TRUE))</f>
        <v>0</v>
      </c>
      <c r="L2431" s="4" t="b">
        <f>AND(((G2431 &lt;&gt; "plain")=TRUE), ((G2431 &lt;&gt; "")=TRUE))</f>
        <v>0</v>
      </c>
      <c r="M2431" s="4" t="str">
        <f>IF(((E2431)=TRUE),  C2431 &amp; "|" &amp; H2431,  "")</f>
        <v>principal-knowledge-authority|LearningActivities</v>
      </c>
      <c r="N2431" s="3" t="s">
        <v>10004</v>
      </c>
    </row>
    <row r="2432">
      <c r="A2432" s="3" t="s">
        <v>12434</v>
      </c>
      <c r="B2432" s="4" t="str">
        <f>C2432 &amp; " -&gt; " &amp; D2432</f>
        <v>principal-knowledge-authority -&gt; LearningActivities.Name</v>
      </c>
      <c r="C2432" s="3" t="s">
        <v>9774</v>
      </c>
      <c r="D2432" s="3" t="s">
        <v>4018</v>
      </c>
      <c r="E2432" s="3" t="b">
        <v>1</v>
      </c>
      <c r="F2432" s="3" t="b">
        <v>0</v>
      </c>
      <c r="G2432" s="3" t="s">
        <v>10003</v>
      </c>
      <c r="H2432" s="4" t="str">
        <f>_xlfn.IFNA(IF(((INDEX(RulebookFields!C2:C1898, MATCH(D2432,RulebookFields!A2:A1898, 0))="")=TRUE),  "",  INDEX(RulebookFields!C2:C1898, MATCH(D2432,RulebookFields!A2:A1898, 0))), "")</f>
        <v>LearningActivities</v>
      </c>
      <c r="I2432" s="4" t="str">
        <f>_xlfn.IFNA(IF(((INDEX(RulebookFields!D2:D1898, MATCH(D2432,RulebookFields!A2:A1898, 0))="")=TRUE),  "",  INDEX(RulebookFields!D2:D1898, MATCH(D2432,RulebookFields!A2:A1898, 0))), "")</f>
        <v>Name</v>
      </c>
      <c r="J2432" s="4" t="b">
        <f>_xlfn.IFNA(IF(((INDEX(RulebookFields!I2:I1898, MATCH(D2432,RulebookFields!A2:A1898, 0))="")=TRUE),  "",  INDEX(RulebookFields!I2:I1898, MATCH(D2432,RulebookFields!A2:A1898, 0))), "")</f>
        <v>1</v>
      </c>
      <c r="K2432" s="4" t="b">
        <f>AND(((F2432)=TRUE), ((J2432)=TRUE))</f>
        <v>0</v>
      </c>
      <c r="L2432" s="4" t="b">
        <f>AND(((G2432 &lt;&gt; "plain")=TRUE), ((G2432 &lt;&gt; "")=TRUE))</f>
        <v>0</v>
      </c>
      <c r="M2432" s="4" t="str">
        <f>IF(((E2432)=TRUE),  C2432 &amp; "|" &amp; H2432,  "")</f>
        <v>principal-knowledge-authority|LearningActivities</v>
      </c>
      <c r="N2432" s="3" t="s">
        <v>10004</v>
      </c>
    </row>
    <row r="2433">
      <c r="A2433" s="3" t="s">
        <v>12435</v>
      </c>
      <c r="B2433" s="4" t="str">
        <f>C2433 &amp; " -&gt; " &amp; D2433</f>
        <v>principal-knowledge-authority -&gt; LearningActivities.CommunityOfPractice</v>
      </c>
      <c r="C2433" s="3" t="s">
        <v>9774</v>
      </c>
      <c r="D2433" s="3" t="s">
        <v>4020</v>
      </c>
      <c r="E2433" s="3" t="b">
        <v>1</v>
      </c>
      <c r="F2433" s="3" t="b">
        <v>0</v>
      </c>
      <c r="G2433" s="3" t="s">
        <v>10003</v>
      </c>
      <c r="H2433" s="4" t="str">
        <f>_xlfn.IFNA(IF(((INDEX(RulebookFields!C2:C1898, MATCH(D2433,RulebookFields!A2:A1898, 0))="")=TRUE),  "",  INDEX(RulebookFields!C2:C1898, MATCH(D2433,RulebookFields!A2:A1898, 0))), "")</f>
        <v>LearningActivities</v>
      </c>
      <c r="I2433" s="4" t="str">
        <f>_xlfn.IFNA(IF(((INDEX(RulebookFields!D2:D1898, MATCH(D2433,RulebookFields!A2:A1898, 0))="")=TRUE),  "",  INDEX(RulebookFields!D2:D1898, MATCH(D2433,RulebookFields!A2:A1898, 0))), "")</f>
        <v>CommunityOfPractice</v>
      </c>
      <c r="J2433" s="4" t="b">
        <f>_xlfn.IFNA(IF(((INDEX(RulebookFields!I2:I1898, MATCH(D2433,RulebookFields!A2:A1898, 0))="")=TRUE),  "",  INDEX(RulebookFields!I2:I1898, MATCH(D2433,RulebookFields!A2:A1898, 0))), "")</f>
        <v>0</v>
      </c>
      <c r="K2433" s="4" t="b">
        <f>AND(((F2433)=TRUE), ((J2433)=TRUE))</f>
        <v>0</v>
      </c>
      <c r="L2433" s="4" t="b">
        <f>AND(((G2433 &lt;&gt; "plain")=TRUE), ((G2433 &lt;&gt; "")=TRUE))</f>
        <v>0</v>
      </c>
      <c r="M2433" s="4" t="str">
        <f>IF(((E2433)=TRUE),  C2433 &amp; "|" &amp; H2433,  "")</f>
        <v>principal-knowledge-authority|LearningActivities</v>
      </c>
      <c r="N2433" s="3" t="s">
        <v>10004</v>
      </c>
    </row>
    <row r="2434">
      <c r="A2434" s="3" t="s">
        <v>12436</v>
      </c>
      <c r="B2434" s="4" t="str">
        <f>C2434 &amp; " -&gt; " &amp; D2434</f>
        <v>principal-knowledge-authority -&gt; LearningActivities.ProcedureVersion</v>
      </c>
      <c r="C2434" s="3" t="s">
        <v>9774</v>
      </c>
      <c r="D2434" s="3" t="s">
        <v>4021</v>
      </c>
      <c r="E2434" s="3" t="b">
        <v>1</v>
      </c>
      <c r="F2434" s="3" t="b">
        <v>0</v>
      </c>
      <c r="G2434" s="3" t="s">
        <v>10003</v>
      </c>
      <c r="H2434" s="4" t="str">
        <f>_xlfn.IFNA(IF(((INDEX(RulebookFields!C2:C1898, MATCH(D2434,RulebookFields!A2:A1898, 0))="")=TRUE),  "",  INDEX(RulebookFields!C2:C1898, MATCH(D2434,RulebookFields!A2:A1898, 0))), "")</f>
        <v>LearningActivities</v>
      </c>
      <c r="I2434" s="4" t="str">
        <f>_xlfn.IFNA(IF(((INDEX(RulebookFields!D2:D1898, MATCH(D2434,RulebookFields!A2:A1898, 0))="")=TRUE),  "",  INDEX(RulebookFields!D2:D1898, MATCH(D2434,RulebookFields!A2:A1898, 0))), "")</f>
        <v>ProcedureVersion</v>
      </c>
      <c r="J2434" s="4" t="b">
        <f>_xlfn.IFNA(IF(((INDEX(RulebookFields!I2:I1898, MATCH(D2434,RulebookFields!A2:A1898, 0))="")=TRUE),  "",  INDEX(RulebookFields!I2:I1898, MATCH(D2434,RulebookFields!A2:A1898, 0))), "")</f>
        <v>0</v>
      </c>
      <c r="K2434" s="4" t="b">
        <f>AND(((F2434)=TRUE), ((J2434)=TRUE))</f>
        <v>0</v>
      </c>
      <c r="L2434" s="4" t="b">
        <f>AND(((G2434 &lt;&gt; "plain")=TRUE), ((G2434 &lt;&gt; "")=TRUE))</f>
        <v>0</v>
      </c>
      <c r="M2434" s="4" t="str">
        <f>IF(((E2434)=TRUE),  C2434 &amp; "|" &amp; H2434,  "")</f>
        <v>principal-knowledge-authority|LearningActivities</v>
      </c>
      <c r="N2434" s="3" t="s">
        <v>10004</v>
      </c>
    </row>
    <row r="2435">
      <c r="A2435" s="3" t="s">
        <v>12437</v>
      </c>
      <c r="B2435" s="4" t="str">
        <f>C2435 &amp; " -&gt; " &amp; D2435</f>
        <v>principal-knowledge-authority -&gt; LearningActivities.ActivityKind</v>
      </c>
      <c r="C2435" s="3" t="s">
        <v>9774</v>
      </c>
      <c r="D2435" s="3" t="s">
        <v>4022</v>
      </c>
      <c r="E2435" s="3" t="b">
        <v>1</v>
      </c>
      <c r="F2435" s="3" t="b">
        <v>0</v>
      </c>
      <c r="G2435" s="3" t="s">
        <v>10003</v>
      </c>
      <c r="H2435" s="4" t="str">
        <f>_xlfn.IFNA(IF(((INDEX(RulebookFields!C2:C1898, MATCH(D2435,RulebookFields!A2:A1898, 0))="")=TRUE),  "",  INDEX(RulebookFields!C2:C1898, MATCH(D2435,RulebookFields!A2:A1898, 0))), "")</f>
        <v>LearningActivities</v>
      </c>
      <c r="I2435" s="4" t="str">
        <f>_xlfn.IFNA(IF(((INDEX(RulebookFields!D2:D1898, MATCH(D2435,RulebookFields!A2:A1898, 0))="")=TRUE),  "",  INDEX(RulebookFields!D2:D1898, MATCH(D2435,RulebookFields!A2:A1898, 0))), "")</f>
        <v>ActivityKind</v>
      </c>
      <c r="J2435" s="4" t="b">
        <f>_xlfn.IFNA(IF(((INDEX(RulebookFields!I2:I1898, MATCH(D2435,RulebookFields!A2:A1898, 0))="")=TRUE),  "",  INDEX(RulebookFields!I2:I1898, MATCH(D2435,RulebookFields!A2:A1898, 0))), "")</f>
        <v>0</v>
      </c>
      <c r="K2435" s="4" t="b">
        <f>AND(((F2435)=TRUE), ((J2435)=TRUE))</f>
        <v>0</v>
      </c>
      <c r="L2435" s="4" t="b">
        <f>AND(((G2435 &lt;&gt; "plain")=TRUE), ((G2435 &lt;&gt; "")=TRUE))</f>
        <v>0</v>
      </c>
      <c r="M2435" s="4" t="str">
        <f>IF(((E2435)=TRUE),  C2435 &amp; "|" &amp; H2435,  "")</f>
        <v>principal-knowledge-authority|LearningActivities</v>
      </c>
      <c r="N2435" s="3" t="s">
        <v>10004</v>
      </c>
    </row>
    <row r="2436">
      <c r="A2436" s="3" t="s">
        <v>12438</v>
      </c>
      <c r="B2436" s="4" t="str">
        <f>C2436 &amp; " -&gt; " &amp; D2436</f>
        <v>principal-knowledge-authority -&gt; LearningActivities.OccurredAt</v>
      </c>
      <c r="C2436" s="3" t="s">
        <v>9774</v>
      </c>
      <c r="D2436" s="3" t="s">
        <v>4023</v>
      </c>
      <c r="E2436" s="3" t="b">
        <v>1</v>
      </c>
      <c r="F2436" s="3" t="b">
        <v>0</v>
      </c>
      <c r="G2436" s="3" t="s">
        <v>10003</v>
      </c>
      <c r="H2436" s="4" t="str">
        <f>_xlfn.IFNA(IF(((INDEX(RulebookFields!C2:C1898, MATCH(D2436,RulebookFields!A2:A1898, 0))="")=TRUE),  "",  INDEX(RulebookFields!C2:C1898, MATCH(D2436,RulebookFields!A2:A1898, 0))), "")</f>
        <v>LearningActivities</v>
      </c>
      <c r="I2436" s="4" t="str">
        <f>_xlfn.IFNA(IF(((INDEX(RulebookFields!D2:D1898, MATCH(D2436,RulebookFields!A2:A1898, 0))="")=TRUE),  "",  INDEX(RulebookFields!D2:D1898, MATCH(D2436,RulebookFields!A2:A1898, 0))), "")</f>
        <v>OccurredAt</v>
      </c>
      <c r="J2436" s="4" t="b">
        <f>_xlfn.IFNA(IF(((INDEX(RulebookFields!I2:I1898, MATCH(D2436,RulebookFields!A2:A1898, 0))="")=TRUE),  "",  INDEX(RulebookFields!I2:I1898, MATCH(D2436,RulebookFields!A2:A1898, 0))), "")</f>
        <v>0</v>
      </c>
      <c r="K2436" s="4" t="b">
        <f>AND(((F2436)=TRUE), ((J2436)=TRUE))</f>
        <v>0</v>
      </c>
      <c r="L2436" s="4" t="b">
        <f>AND(((G2436 &lt;&gt; "plain")=TRUE), ((G2436 &lt;&gt; "")=TRUE))</f>
        <v>0</v>
      </c>
      <c r="M2436" s="4" t="str">
        <f>IF(((E2436)=TRUE),  C2436 &amp; "|" &amp; H2436,  "")</f>
        <v>principal-knowledge-authority|LearningActivities</v>
      </c>
      <c r="N2436" s="3" t="s">
        <v>10004</v>
      </c>
    </row>
    <row r="2437">
      <c r="A2437" s="3" t="s">
        <v>12439</v>
      </c>
      <c r="B2437" s="4" t="str">
        <f>C2437 &amp; " -&gt; " &amp; D2437</f>
        <v>principal-knowledge-authority -&gt; LearningActivities.FacilitatorAgent</v>
      </c>
      <c r="C2437" s="3" t="s">
        <v>9774</v>
      </c>
      <c r="D2437" s="3" t="s">
        <v>4024</v>
      </c>
      <c r="E2437" s="3" t="b">
        <v>1</v>
      </c>
      <c r="F2437" s="3" t="b">
        <v>0</v>
      </c>
      <c r="G2437" s="3" t="s">
        <v>10003</v>
      </c>
      <c r="H2437" s="4" t="str">
        <f>_xlfn.IFNA(IF(((INDEX(RulebookFields!C2:C1898, MATCH(D2437,RulebookFields!A2:A1898, 0))="")=TRUE),  "",  INDEX(RulebookFields!C2:C1898, MATCH(D2437,RulebookFields!A2:A1898, 0))), "")</f>
        <v>LearningActivities</v>
      </c>
      <c r="I2437" s="4" t="str">
        <f>_xlfn.IFNA(IF(((INDEX(RulebookFields!D2:D1898, MATCH(D2437,RulebookFields!A2:A1898, 0))="")=TRUE),  "",  INDEX(RulebookFields!D2:D1898, MATCH(D2437,RulebookFields!A2:A1898, 0))), "")</f>
        <v>FacilitatorAgent</v>
      </c>
      <c r="J2437" s="4" t="b">
        <f>_xlfn.IFNA(IF(((INDEX(RulebookFields!I2:I1898, MATCH(D2437,RulebookFields!A2:A1898, 0))="")=TRUE),  "",  INDEX(RulebookFields!I2:I1898, MATCH(D2437,RulebookFields!A2:A1898, 0))), "")</f>
        <v>0</v>
      </c>
      <c r="K2437" s="4" t="b">
        <f>AND(((F2437)=TRUE), ((J2437)=TRUE))</f>
        <v>0</v>
      </c>
      <c r="L2437" s="4" t="b">
        <f>AND(((G2437 &lt;&gt; "plain")=TRUE), ((G2437 &lt;&gt; "")=TRUE))</f>
        <v>0</v>
      </c>
      <c r="M2437" s="4" t="str">
        <f>IF(((E2437)=TRUE),  C2437 &amp; "|" &amp; H2437,  "")</f>
        <v>principal-knowledge-authority|LearningActivities</v>
      </c>
      <c r="N2437" s="3" t="s">
        <v>10004</v>
      </c>
    </row>
    <row r="2438">
      <c r="A2438" s="3" t="s">
        <v>12440</v>
      </c>
      <c r="B2438" s="4" t="str">
        <f>C2438 &amp; " -&gt; " &amp; D2438</f>
        <v>principal-knowledge-authority -&gt; LearningActivities.Outcome</v>
      </c>
      <c r="C2438" s="3" t="s">
        <v>9774</v>
      </c>
      <c r="D2438" s="3" t="s">
        <v>4025</v>
      </c>
      <c r="E2438" s="3" t="b">
        <v>1</v>
      </c>
      <c r="F2438" s="3" t="b">
        <v>0</v>
      </c>
      <c r="G2438" s="3" t="s">
        <v>10003</v>
      </c>
      <c r="H2438" s="4" t="str">
        <f>_xlfn.IFNA(IF(((INDEX(RulebookFields!C2:C1898, MATCH(D2438,RulebookFields!A2:A1898, 0))="")=TRUE),  "",  INDEX(RulebookFields!C2:C1898, MATCH(D2438,RulebookFields!A2:A1898, 0))), "")</f>
        <v>LearningActivities</v>
      </c>
      <c r="I2438" s="4" t="str">
        <f>_xlfn.IFNA(IF(((INDEX(RulebookFields!D2:D1898, MATCH(D2438,RulebookFields!A2:A1898, 0))="")=TRUE),  "",  INDEX(RulebookFields!D2:D1898, MATCH(D2438,RulebookFields!A2:A1898, 0))), "")</f>
        <v>Outcome</v>
      </c>
      <c r="J2438" s="4" t="b">
        <f>_xlfn.IFNA(IF(((INDEX(RulebookFields!I2:I1898, MATCH(D2438,RulebookFields!A2:A1898, 0))="")=TRUE),  "",  INDEX(RulebookFields!I2:I1898, MATCH(D2438,RulebookFields!A2:A1898, 0))), "")</f>
        <v>0</v>
      </c>
      <c r="K2438" s="4" t="b">
        <f>AND(((F2438)=TRUE), ((J2438)=TRUE))</f>
        <v>0</v>
      </c>
      <c r="L2438" s="4" t="b">
        <f>AND(((G2438 &lt;&gt; "plain")=TRUE), ((G2438 &lt;&gt; "")=TRUE))</f>
        <v>0</v>
      </c>
      <c r="M2438" s="4" t="str">
        <f>IF(((E2438)=TRUE),  C2438 &amp; "|" &amp; H2438,  "")</f>
        <v>principal-knowledge-authority|LearningActivities</v>
      </c>
      <c r="N2438" s="3" t="s">
        <v>10004</v>
      </c>
    </row>
    <row r="2439">
      <c r="A2439" s="3" t="s">
        <v>12441</v>
      </c>
      <c r="B2439" s="4" t="str">
        <f>C2439 &amp; " -&gt; " &amp; D2439</f>
        <v>principal-knowledge-authority -&gt; LearningActivities.EvidenceResource</v>
      </c>
      <c r="C2439" s="3" t="s">
        <v>9774</v>
      </c>
      <c r="D2439" s="3" t="s">
        <v>4026</v>
      </c>
      <c r="E2439" s="3" t="b">
        <v>1</v>
      </c>
      <c r="F2439" s="3" t="b">
        <v>0</v>
      </c>
      <c r="G2439" s="3" t="s">
        <v>10003</v>
      </c>
      <c r="H2439" s="4" t="str">
        <f>_xlfn.IFNA(IF(((INDEX(RulebookFields!C2:C1898, MATCH(D2439,RulebookFields!A2:A1898, 0))="")=TRUE),  "",  INDEX(RulebookFields!C2:C1898, MATCH(D2439,RulebookFields!A2:A1898, 0))), "")</f>
        <v>LearningActivities</v>
      </c>
      <c r="I2439" s="4" t="str">
        <f>_xlfn.IFNA(IF(((INDEX(RulebookFields!D2:D1898, MATCH(D2439,RulebookFields!A2:A1898, 0))="")=TRUE),  "",  INDEX(RulebookFields!D2:D1898, MATCH(D2439,RulebookFields!A2:A1898, 0))), "")</f>
        <v>EvidenceResource</v>
      </c>
      <c r="J2439" s="4" t="b">
        <f>_xlfn.IFNA(IF(((INDEX(RulebookFields!I2:I1898, MATCH(D2439,RulebookFields!A2:A1898, 0))="")=TRUE),  "",  INDEX(RulebookFields!I2:I1898, MATCH(D2439,RulebookFields!A2:A1898, 0))), "")</f>
        <v>0</v>
      </c>
      <c r="K2439" s="4" t="b">
        <f>AND(((F2439)=TRUE), ((J2439)=TRUE))</f>
        <v>0</v>
      </c>
      <c r="L2439" s="4" t="b">
        <f>AND(((G2439 &lt;&gt; "plain")=TRUE), ((G2439 &lt;&gt; "")=TRUE))</f>
        <v>0</v>
      </c>
      <c r="M2439" s="4" t="str">
        <f>IF(((E2439)=TRUE),  C2439 &amp; "|" &amp; H2439,  "")</f>
        <v>principal-knowledge-authority|LearningActivities</v>
      </c>
      <c r="N2439" s="3" t="s">
        <v>10004</v>
      </c>
    </row>
    <row r="2440">
      <c r="A2440" s="3" t="s">
        <v>12442</v>
      </c>
      <c r="B2440" s="4" t="str">
        <f>C2440 &amp; " -&gt; " &amp; D2440</f>
        <v>principal-knowledge-authority -&gt; LearningActivities.SemanticTypeIri</v>
      </c>
      <c r="C2440" s="3" t="s">
        <v>9774</v>
      </c>
      <c r="D2440" s="3" t="s">
        <v>4027</v>
      </c>
      <c r="E2440" s="3" t="b">
        <v>1</v>
      </c>
      <c r="F2440" s="3" t="b">
        <v>0</v>
      </c>
      <c r="G2440" s="3" t="s">
        <v>10003</v>
      </c>
      <c r="H2440" s="4" t="str">
        <f>_xlfn.IFNA(IF(((INDEX(RulebookFields!C2:C1898, MATCH(D2440,RulebookFields!A2:A1898, 0))="")=TRUE),  "",  INDEX(RulebookFields!C2:C1898, MATCH(D2440,RulebookFields!A2:A1898, 0))), "")</f>
        <v>LearningActivities</v>
      </c>
      <c r="I2440" s="4" t="str">
        <f>_xlfn.IFNA(IF(((INDEX(RulebookFields!D2:D1898, MATCH(D2440,RulebookFields!A2:A1898, 0))="")=TRUE),  "",  INDEX(RulebookFields!D2:D1898, MATCH(D2440,RulebookFields!A2:A1898, 0))), "")</f>
        <v>SemanticTypeIri</v>
      </c>
      <c r="J2440" s="4" t="b">
        <f>_xlfn.IFNA(IF(((INDEX(RulebookFields!I2:I1898, MATCH(D2440,RulebookFields!A2:A1898, 0))="")=TRUE),  "",  INDEX(RulebookFields!I2:I1898, MATCH(D2440,RulebookFields!A2:A1898, 0))), "")</f>
        <v>0</v>
      </c>
      <c r="K2440" s="4" t="b">
        <f>AND(((F2440)=TRUE), ((J2440)=TRUE))</f>
        <v>0</v>
      </c>
      <c r="L2440" s="4" t="b">
        <f>AND(((G2440 &lt;&gt; "plain")=TRUE), ((G2440 &lt;&gt; "")=TRUE))</f>
        <v>0</v>
      </c>
      <c r="M2440" s="4" t="str">
        <f>IF(((E2440)=TRUE),  C2440 &amp; "|" &amp; H2440,  "")</f>
        <v>principal-knowledge-authority|LearningActivities</v>
      </c>
      <c r="N2440" s="3" t="s">
        <v>10004</v>
      </c>
    </row>
    <row r="2441">
      <c r="A2441" s="3" t="s">
        <v>12443</v>
      </c>
      <c r="B2441" s="4" t="str">
        <f>C2441 &amp; " -&gt; " &amp; D2441</f>
        <v>principal-knowledge-authority -&gt; Mentorships.MentorshipId</v>
      </c>
      <c r="C2441" s="3" t="s">
        <v>9774</v>
      </c>
      <c r="D2441" s="3" t="s">
        <v>2663</v>
      </c>
      <c r="E2441" s="3" t="b">
        <v>1</v>
      </c>
      <c r="F2441" s="3" t="b">
        <v>0</v>
      </c>
      <c r="G2441" s="3" t="s">
        <v>10003</v>
      </c>
      <c r="H2441" s="4" t="str">
        <f>_xlfn.IFNA(IF(((INDEX(RulebookFields!C2:C1898, MATCH(D2441,RulebookFields!A2:A1898, 0))="")=TRUE),  "",  INDEX(RulebookFields!C2:C1898, MATCH(D2441,RulebookFields!A2:A1898, 0))), "")</f>
        <v>Mentorships</v>
      </c>
      <c r="I2441" s="4" t="str">
        <f>_xlfn.IFNA(IF(((INDEX(RulebookFields!D2:D1898, MATCH(D2441,RulebookFields!A2:A1898, 0))="")=TRUE),  "",  INDEX(RulebookFields!D2:D1898, MATCH(D2441,RulebookFields!A2:A1898, 0))), "")</f>
        <v>MentorshipId</v>
      </c>
      <c r="J2441" s="4" t="b">
        <f>_xlfn.IFNA(IF(((INDEX(RulebookFields!I2:I1898, MATCH(D2441,RulebookFields!A2:A1898, 0))="")=TRUE),  "",  INDEX(RulebookFields!I2:I1898, MATCH(D2441,RulebookFields!A2:A1898, 0))), "")</f>
        <v>0</v>
      </c>
      <c r="K2441" s="4" t="b">
        <f>AND(((F2441)=TRUE), ((J2441)=TRUE))</f>
        <v>0</v>
      </c>
      <c r="L2441" s="4" t="b">
        <f>AND(((G2441 &lt;&gt; "plain")=TRUE), ((G2441 &lt;&gt; "")=TRUE))</f>
        <v>0</v>
      </c>
      <c r="M2441" s="4" t="str">
        <f>IF(((E2441)=TRUE),  C2441 &amp; "|" &amp; H2441,  "")</f>
        <v>principal-knowledge-authority|Mentorships</v>
      </c>
      <c r="N2441" s="3" t="s">
        <v>10004</v>
      </c>
    </row>
    <row r="2442">
      <c r="A2442" s="3" t="s">
        <v>12444</v>
      </c>
      <c r="B2442" s="4" t="str">
        <f>C2442 &amp; " -&gt; " &amp; D2442</f>
        <v>principal-knowledge-authority -&gt; Mentorships.Name</v>
      </c>
      <c r="C2442" s="3" t="s">
        <v>9774</v>
      </c>
      <c r="D2442" s="3" t="s">
        <v>2665</v>
      </c>
      <c r="E2442" s="3" t="b">
        <v>1</v>
      </c>
      <c r="F2442" s="3" t="b">
        <v>0</v>
      </c>
      <c r="G2442" s="3" t="s">
        <v>10003</v>
      </c>
      <c r="H2442" s="4" t="str">
        <f>_xlfn.IFNA(IF(((INDEX(RulebookFields!C2:C1898, MATCH(D2442,RulebookFields!A2:A1898, 0))="")=TRUE),  "",  INDEX(RulebookFields!C2:C1898, MATCH(D2442,RulebookFields!A2:A1898, 0))), "")</f>
        <v>Mentorships</v>
      </c>
      <c r="I2442" s="4" t="str">
        <f>_xlfn.IFNA(IF(((INDEX(RulebookFields!D2:D1898, MATCH(D2442,RulebookFields!A2:A1898, 0))="")=TRUE),  "",  INDEX(RulebookFields!D2:D1898, MATCH(D2442,RulebookFields!A2:A1898, 0))), "")</f>
        <v>Name</v>
      </c>
      <c r="J2442" s="4" t="b">
        <f>_xlfn.IFNA(IF(((INDEX(RulebookFields!I2:I1898, MATCH(D2442,RulebookFields!A2:A1898, 0))="")=TRUE),  "",  INDEX(RulebookFields!I2:I1898, MATCH(D2442,RulebookFields!A2:A1898, 0))), "")</f>
        <v>1</v>
      </c>
      <c r="K2442" s="4" t="b">
        <f>AND(((F2442)=TRUE), ((J2442)=TRUE))</f>
        <v>0</v>
      </c>
      <c r="L2442" s="4" t="b">
        <f>AND(((G2442 &lt;&gt; "plain")=TRUE), ((G2442 &lt;&gt; "")=TRUE))</f>
        <v>0</v>
      </c>
      <c r="M2442" s="4" t="str">
        <f>IF(((E2442)=TRUE),  C2442 &amp; "|" &amp; H2442,  "")</f>
        <v>principal-knowledge-authority|Mentorships</v>
      </c>
      <c r="N2442" s="3" t="s">
        <v>10004</v>
      </c>
    </row>
    <row r="2443">
      <c r="A2443" s="3" t="s">
        <v>12445</v>
      </c>
      <c r="B2443" s="4" t="str">
        <f>C2443 &amp; " -&gt; " &amp; D2443</f>
        <v>principal-knowledge-authority -&gt; Mentorships.CommunityOfPractice</v>
      </c>
      <c r="C2443" s="3" t="s">
        <v>9774</v>
      </c>
      <c r="D2443" s="3" t="s">
        <v>2667</v>
      </c>
      <c r="E2443" s="3" t="b">
        <v>1</v>
      </c>
      <c r="F2443" s="3" t="b">
        <v>0</v>
      </c>
      <c r="G2443" s="3" t="s">
        <v>10003</v>
      </c>
      <c r="H2443" s="4" t="str">
        <f>_xlfn.IFNA(IF(((INDEX(RulebookFields!C2:C1898, MATCH(D2443,RulebookFields!A2:A1898, 0))="")=TRUE),  "",  INDEX(RulebookFields!C2:C1898, MATCH(D2443,RulebookFields!A2:A1898, 0))), "")</f>
        <v>Mentorships</v>
      </c>
      <c r="I2443" s="4" t="str">
        <f>_xlfn.IFNA(IF(((INDEX(RulebookFields!D2:D1898, MATCH(D2443,RulebookFields!A2:A1898, 0))="")=TRUE),  "",  INDEX(RulebookFields!D2:D1898, MATCH(D2443,RulebookFields!A2:A1898, 0))), "")</f>
        <v>CommunityOfPractice</v>
      </c>
      <c r="J2443" s="4" t="b">
        <f>_xlfn.IFNA(IF(((INDEX(RulebookFields!I2:I1898, MATCH(D2443,RulebookFields!A2:A1898, 0))="")=TRUE),  "",  INDEX(RulebookFields!I2:I1898, MATCH(D2443,RulebookFields!A2:A1898, 0))), "")</f>
        <v>0</v>
      </c>
      <c r="K2443" s="4" t="b">
        <f>AND(((F2443)=TRUE), ((J2443)=TRUE))</f>
        <v>0</v>
      </c>
      <c r="L2443" s="4" t="b">
        <f>AND(((G2443 &lt;&gt; "plain")=TRUE), ((G2443 &lt;&gt; "")=TRUE))</f>
        <v>0</v>
      </c>
      <c r="M2443" s="4" t="str">
        <f>IF(((E2443)=TRUE),  C2443 &amp; "|" &amp; H2443,  "")</f>
        <v>principal-knowledge-authority|Mentorships</v>
      </c>
      <c r="N2443" s="3" t="s">
        <v>10004</v>
      </c>
    </row>
    <row r="2444">
      <c r="A2444" s="3" t="s">
        <v>12446</v>
      </c>
      <c r="B2444" s="4" t="str">
        <f>C2444 &amp; " -&gt; " &amp; D2444</f>
        <v>principal-knowledge-authority -&gt; Mentorships.MentorAgent</v>
      </c>
      <c r="C2444" s="3" t="s">
        <v>9774</v>
      </c>
      <c r="D2444" s="3" t="s">
        <v>2668</v>
      </c>
      <c r="E2444" s="3" t="b">
        <v>1</v>
      </c>
      <c r="F2444" s="3" t="b">
        <v>0</v>
      </c>
      <c r="G2444" s="3" t="s">
        <v>10003</v>
      </c>
      <c r="H2444" s="4" t="str">
        <f>_xlfn.IFNA(IF(((INDEX(RulebookFields!C2:C1898, MATCH(D2444,RulebookFields!A2:A1898, 0))="")=TRUE),  "",  INDEX(RulebookFields!C2:C1898, MATCH(D2444,RulebookFields!A2:A1898, 0))), "")</f>
        <v>Mentorships</v>
      </c>
      <c r="I2444" s="4" t="str">
        <f>_xlfn.IFNA(IF(((INDEX(RulebookFields!D2:D1898, MATCH(D2444,RulebookFields!A2:A1898, 0))="")=TRUE),  "",  INDEX(RulebookFields!D2:D1898, MATCH(D2444,RulebookFields!A2:A1898, 0))), "")</f>
        <v>MentorAgent</v>
      </c>
      <c r="J2444" s="4" t="b">
        <f>_xlfn.IFNA(IF(((INDEX(RulebookFields!I2:I1898, MATCH(D2444,RulebookFields!A2:A1898, 0))="")=TRUE),  "",  INDEX(RulebookFields!I2:I1898, MATCH(D2444,RulebookFields!A2:A1898, 0))), "")</f>
        <v>0</v>
      </c>
      <c r="K2444" s="4" t="b">
        <f>AND(((F2444)=TRUE), ((J2444)=TRUE))</f>
        <v>0</v>
      </c>
      <c r="L2444" s="4" t="b">
        <f>AND(((G2444 &lt;&gt; "plain")=TRUE), ((G2444 &lt;&gt; "")=TRUE))</f>
        <v>0</v>
      </c>
      <c r="M2444" s="4" t="str">
        <f>IF(((E2444)=TRUE),  C2444 &amp; "|" &amp; H2444,  "")</f>
        <v>principal-knowledge-authority|Mentorships</v>
      </c>
      <c r="N2444" s="3" t="s">
        <v>10004</v>
      </c>
    </row>
    <row r="2445">
      <c r="A2445" s="3" t="s">
        <v>12447</v>
      </c>
      <c r="B2445" s="4" t="str">
        <f>C2445 &amp; " -&gt; " &amp; D2445</f>
        <v>principal-knowledge-authority -&gt; Mentorships.LearnerAgent</v>
      </c>
      <c r="C2445" s="3" t="s">
        <v>9774</v>
      </c>
      <c r="D2445" s="3" t="s">
        <v>2669</v>
      </c>
      <c r="E2445" s="3" t="b">
        <v>1</v>
      </c>
      <c r="F2445" s="3" t="b">
        <v>0</v>
      </c>
      <c r="G2445" s="3" t="s">
        <v>10003</v>
      </c>
      <c r="H2445" s="4" t="str">
        <f>_xlfn.IFNA(IF(((INDEX(RulebookFields!C2:C1898, MATCH(D2445,RulebookFields!A2:A1898, 0))="")=TRUE),  "",  INDEX(RulebookFields!C2:C1898, MATCH(D2445,RulebookFields!A2:A1898, 0))), "")</f>
        <v>Mentorships</v>
      </c>
      <c r="I2445" s="4" t="str">
        <f>_xlfn.IFNA(IF(((INDEX(RulebookFields!D2:D1898, MATCH(D2445,RulebookFields!A2:A1898, 0))="")=TRUE),  "",  INDEX(RulebookFields!D2:D1898, MATCH(D2445,RulebookFields!A2:A1898, 0))), "")</f>
        <v>LearnerAgent</v>
      </c>
      <c r="J2445" s="4" t="b">
        <f>_xlfn.IFNA(IF(((INDEX(RulebookFields!I2:I1898, MATCH(D2445,RulebookFields!A2:A1898, 0))="")=TRUE),  "",  INDEX(RulebookFields!I2:I1898, MATCH(D2445,RulebookFields!A2:A1898, 0))), "")</f>
        <v>0</v>
      </c>
      <c r="K2445" s="4" t="b">
        <f>AND(((F2445)=TRUE), ((J2445)=TRUE))</f>
        <v>0</v>
      </c>
      <c r="L2445" s="4" t="b">
        <f>AND(((G2445 &lt;&gt; "plain")=TRUE), ((G2445 &lt;&gt; "")=TRUE))</f>
        <v>0</v>
      </c>
      <c r="M2445" s="4" t="str">
        <f>IF(((E2445)=TRUE),  C2445 &amp; "|" &amp; H2445,  "")</f>
        <v>principal-knowledge-authority|Mentorships</v>
      </c>
      <c r="N2445" s="3" t="s">
        <v>10004</v>
      </c>
    </row>
    <row r="2446">
      <c r="A2446" s="3" t="s">
        <v>12448</v>
      </c>
      <c r="B2446" s="4" t="str">
        <f>C2446 &amp; " -&gt; " &amp; D2446</f>
        <v>principal-knowledge-authority -&gt; Mentorships.ValidFrom</v>
      </c>
      <c r="C2446" s="3" t="s">
        <v>9774</v>
      </c>
      <c r="D2446" s="3" t="s">
        <v>2670</v>
      </c>
      <c r="E2446" s="3" t="b">
        <v>1</v>
      </c>
      <c r="F2446" s="3" t="b">
        <v>0</v>
      </c>
      <c r="G2446" s="3" t="s">
        <v>10003</v>
      </c>
      <c r="H2446" s="4" t="str">
        <f>_xlfn.IFNA(IF(((INDEX(RulebookFields!C2:C1898, MATCH(D2446,RulebookFields!A2:A1898, 0))="")=TRUE),  "",  INDEX(RulebookFields!C2:C1898, MATCH(D2446,RulebookFields!A2:A1898, 0))), "")</f>
        <v>Mentorships</v>
      </c>
      <c r="I2446" s="4" t="str">
        <f>_xlfn.IFNA(IF(((INDEX(RulebookFields!D2:D1898, MATCH(D2446,RulebookFields!A2:A1898, 0))="")=TRUE),  "",  INDEX(RulebookFields!D2:D1898, MATCH(D2446,RulebookFields!A2:A1898, 0))), "")</f>
        <v>ValidFrom</v>
      </c>
      <c r="J2446" s="4" t="b">
        <f>_xlfn.IFNA(IF(((INDEX(RulebookFields!I2:I1898, MATCH(D2446,RulebookFields!A2:A1898, 0))="")=TRUE),  "",  INDEX(RulebookFields!I2:I1898, MATCH(D2446,RulebookFields!A2:A1898, 0))), "")</f>
        <v>0</v>
      </c>
      <c r="K2446" s="4" t="b">
        <f>AND(((F2446)=TRUE), ((J2446)=TRUE))</f>
        <v>0</v>
      </c>
      <c r="L2446" s="4" t="b">
        <f>AND(((G2446 &lt;&gt; "plain")=TRUE), ((G2446 &lt;&gt; "")=TRUE))</f>
        <v>0</v>
      </c>
      <c r="M2446" s="4" t="str">
        <f>IF(((E2446)=TRUE),  C2446 &amp; "|" &amp; H2446,  "")</f>
        <v>principal-knowledge-authority|Mentorships</v>
      </c>
      <c r="N2446" s="3" t="s">
        <v>10004</v>
      </c>
    </row>
    <row r="2447">
      <c r="A2447" s="3" t="s">
        <v>12449</v>
      </c>
      <c r="B2447" s="4" t="str">
        <f>C2447 &amp; " -&gt; " &amp; D2447</f>
        <v>principal-knowledge-authority -&gt; Mentorships.ValidTo</v>
      </c>
      <c r="C2447" s="3" t="s">
        <v>9774</v>
      </c>
      <c r="D2447" s="3" t="s">
        <v>2671</v>
      </c>
      <c r="E2447" s="3" t="b">
        <v>1</v>
      </c>
      <c r="F2447" s="3" t="b">
        <v>0</v>
      </c>
      <c r="G2447" s="3" t="s">
        <v>10003</v>
      </c>
      <c r="H2447" s="4" t="str">
        <f>_xlfn.IFNA(IF(((INDEX(RulebookFields!C2:C1898, MATCH(D2447,RulebookFields!A2:A1898, 0))="")=TRUE),  "",  INDEX(RulebookFields!C2:C1898, MATCH(D2447,RulebookFields!A2:A1898, 0))), "")</f>
        <v>Mentorships</v>
      </c>
      <c r="I2447" s="4" t="str">
        <f>_xlfn.IFNA(IF(((INDEX(RulebookFields!D2:D1898, MATCH(D2447,RulebookFields!A2:A1898, 0))="")=TRUE),  "",  INDEX(RulebookFields!D2:D1898, MATCH(D2447,RulebookFields!A2:A1898, 0))), "")</f>
        <v>ValidTo</v>
      </c>
      <c r="J2447" s="4" t="b">
        <f>_xlfn.IFNA(IF(((INDEX(RulebookFields!I2:I1898, MATCH(D2447,RulebookFields!A2:A1898, 0))="")=TRUE),  "",  INDEX(RulebookFields!I2:I1898, MATCH(D2447,RulebookFields!A2:A1898, 0))), "")</f>
        <v>0</v>
      </c>
      <c r="K2447" s="4" t="b">
        <f>AND(((F2447)=TRUE), ((J2447)=TRUE))</f>
        <v>0</v>
      </c>
      <c r="L2447" s="4" t="b">
        <f>AND(((G2447 &lt;&gt; "plain")=TRUE), ((G2447 &lt;&gt; "")=TRUE))</f>
        <v>0</v>
      </c>
      <c r="M2447" s="4" t="str">
        <f>IF(((E2447)=TRUE),  C2447 &amp; "|" &amp; H2447,  "")</f>
        <v>principal-knowledge-authority|Mentorships</v>
      </c>
      <c r="N2447" s="3" t="s">
        <v>10004</v>
      </c>
    </row>
    <row r="2448">
      <c r="A2448" s="3" t="s">
        <v>12450</v>
      </c>
      <c r="B2448" s="4" t="str">
        <f>C2448 &amp; " -&gt; " &amp; D2448</f>
        <v>principal-knowledge-authority -&gt; Mentorships.LearningObjective</v>
      </c>
      <c r="C2448" s="3" t="s">
        <v>9774</v>
      </c>
      <c r="D2448" s="3" t="s">
        <v>2672</v>
      </c>
      <c r="E2448" s="3" t="b">
        <v>1</v>
      </c>
      <c r="F2448" s="3" t="b">
        <v>0</v>
      </c>
      <c r="G2448" s="3" t="s">
        <v>10003</v>
      </c>
      <c r="H2448" s="4" t="str">
        <f>_xlfn.IFNA(IF(((INDEX(RulebookFields!C2:C1898, MATCH(D2448,RulebookFields!A2:A1898, 0))="")=TRUE),  "",  INDEX(RulebookFields!C2:C1898, MATCH(D2448,RulebookFields!A2:A1898, 0))), "")</f>
        <v>Mentorships</v>
      </c>
      <c r="I2448" s="4" t="str">
        <f>_xlfn.IFNA(IF(((INDEX(RulebookFields!D2:D1898, MATCH(D2448,RulebookFields!A2:A1898, 0))="")=TRUE),  "",  INDEX(RulebookFields!D2:D1898, MATCH(D2448,RulebookFields!A2:A1898, 0))), "")</f>
        <v>LearningObjective</v>
      </c>
      <c r="J2448" s="4" t="b">
        <f>_xlfn.IFNA(IF(((INDEX(RulebookFields!I2:I1898, MATCH(D2448,RulebookFields!A2:A1898, 0))="")=TRUE),  "",  INDEX(RulebookFields!I2:I1898, MATCH(D2448,RulebookFields!A2:A1898, 0))), "")</f>
        <v>0</v>
      </c>
      <c r="K2448" s="4" t="b">
        <f>AND(((F2448)=TRUE), ((J2448)=TRUE))</f>
        <v>0</v>
      </c>
      <c r="L2448" s="4" t="b">
        <f>AND(((G2448 &lt;&gt; "plain")=TRUE), ((G2448 &lt;&gt; "")=TRUE))</f>
        <v>0</v>
      </c>
      <c r="M2448" s="4" t="str">
        <f>IF(((E2448)=TRUE),  C2448 &amp; "|" &amp; H2448,  "")</f>
        <v>principal-knowledge-authority|Mentorships</v>
      </c>
      <c r="N2448" s="3" t="s">
        <v>10004</v>
      </c>
    </row>
    <row r="2449">
      <c r="A2449" s="3" t="s">
        <v>12451</v>
      </c>
      <c r="B2449" s="4" t="str">
        <f>C2449 &amp; " -&gt; " &amp; D2449</f>
        <v>principal-knowledge-authority -&gt; Mentorships.EvidenceOfCompletion</v>
      </c>
      <c r="C2449" s="3" t="s">
        <v>9774</v>
      </c>
      <c r="D2449" s="3" t="s">
        <v>2673</v>
      </c>
      <c r="E2449" s="3" t="b">
        <v>1</v>
      </c>
      <c r="F2449" s="3" t="b">
        <v>0</v>
      </c>
      <c r="G2449" s="3" t="s">
        <v>10003</v>
      </c>
      <c r="H2449" s="4" t="str">
        <f>_xlfn.IFNA(IF(((INDEX(RulebookFields!C2:C1898, MATCH(D2449,RulebookFields!A2:A1898, 0))="")=TRUE),  "",  INDEX(RulebookFields!C2:C1898, MATCH(D2449,RulebookFields!A2:A1898, 0))), "")</f>
        <v>Mentorships</v>
      </c>
      <c r="I2449" s="4" t="str">
        <f>_xlfn.IFNA(IF(((INDEX(RulebookFields!D2:D1898, MATCH(D2449,RulebookFields!A2:A1898, 0))="")=TRUE),  "",  INDEX(RulebookFields!D2:D1898, MATCH(D2449,RulebookFields!A2:A1898, 0))), "")</f>
        <v>EvidenceOfCompletion</v>
      </c>
      <c r="J2449" s="4" t="b">
        <f>_xlfn.IFNA(IF(((INDEX(RulebookFields!I2:I1898, MATCH(D2449,RulebookFields!A2:A1898, 0))="")=TRUE),  "",  INDEX(RulebookFields!I2:I1898, MATCH(D2449,RulebookFields!A2:A1898, 0))), "")</f>
        <v>0</v>
      </c>
      <c r="K2449" s="4" t="b">
        <f>AND(((F2449)=TRUE), ((J2449)=TRUE))</f>
        <v>0</v>
      </c>
      <c r="L2449" s="4" t="b">
        <f>AND(((G2449 &lt;&gt; "plain")=TRUE), ((G2449 &lt;&gt; "")=TRUE))</f>
        <v>0</v>
      </c>
      <c r="M2449" s="4" t="str">
        <f>IF(((E2449)=TRUE),  C2449 &amp; "|" &amp; H2449,  "")</f>
        <v>principal-knowledge-authority|Mentorships</v>
      </c>
      <c r="N2449" s="3" t="s">
        <v>10004</v>
      </c>
    </row>
    <row r="2450">
      <c r="A2450" s="3" t="s">
        <v>12452</v>
      </c>
      <c r="B2450" s="4" t="str">
        <f>C2450 &amp; " -&gt; " &amp; D2450</f>
        <v>principal-knowledge-authority -&gt; Mentorships.SemanticTypeIri</v>
      </c>
      <c r="C2450" s="3" t="s">
        <v>9774</v>
      </c>
      <c r="D2450" s="3" t="s">
        <v>2674</v>
      </c>
      <c r="E2450" s="3" t="b">
        <v>1</v>
      </c>
      <c r="F2450" s="3" t="b">
        <v>0</v>
      </c>
      <c r="G2450" s="3" t="s">
        <v>10003</v>
      </c>
      <c r="H2450" s="4" t="str">
        <f>_xlfn.IFNA(IF(((INDEX(RulebookFields!C2:C1898, MATCH(D2450,RulebookFields!A2:A1898, 0))="")=TRUE),  "",  INDEX(RulebookFields!C2:C1898, MATCH(D2450,RulebookFields!A2:A1898, 0))), "")</f>
        <v>Mentorships</v>
      </c>
      <c r="I2450" s="4" t="str">
        <f>_xlfn.IFNA(IF(((INDEX(RulebookFields!D2:D1898, MATCH(D2450,RulebookFields!A2:A1898, 0))="")=TRUE),  "",  INDEX(RulebookFields!D2:D1898, MATCH(D2450,RulebookFields!A2:A1898, 0))), "")</f>
        <v>SemanticTypeIri</v>
      </c>
      <c r="J2450" s="4" t="b">
        <f>_xlfn.IFNA(IF(((INDEX(RulebookFields!I2:I1898, MATCH(D2450,RulebookFields!A2:A1898, 0))="")=TRUE),  "",  INDEX(RulebookFields!I2:I1898, MATCH(D2450,RulebookFields!A2:A1898, 0))), "")</f>
        <v>0</v>
      </c>
      <c r="K2450" s="4" t="b">
        <f>AND(((F2450)=TRUE), ((J2450)=TRUE))</f>
        <v>0</v>
      </c>
      <c r="L2450" s="4" t="b">
        <f>AND(((G2450 &lt;&gt; "plain")=TRUE), ((G2450 &lt;&gt; "")=TRUE))</f>
        <v>0</v>
      </c>
      <c r="M2450" s="4" t="str">
        <f>IF(((E2450)=TRUE),  C2450 &amp; "|" &amp; H2450,  "")</f>
        <v>principal-knowledge-authority|Mentorships</v>
      </c>
      <c r="N2450" s="3" t="s">
        <v>10004</v>
      </c>
    </row>
    <row r="2451">
      <c r="A2451" s="3" t="s">
        <v>12453</v>
      </c>
      <c r="B2451" s="4" t="str">
        <f>C2451 &amp; " -&gt; " &amp; D2451</f>
        <v>principal-knowledge-authority -&gt; MessageDeliveries.MessageDeliveryId</v>
      </c>
      <c r="C2451" s="3" t="s">
        <v>9774</v>
      </c>
      <c r="D2451" s="3" t="s">
        <v>4443</v>
      </c>
      <c r="E2451" s="3" t="b">
        <v>1</v>
      </c>
      <c r="F2451" s="3" t="b">
        <v>0</v>
      </c>
      <c r="G2451" s="3" t="s">
        <v>10003</v>
      </c>
      <c r="H2451" s="4" t="str">
        <f>_xlfn.IFNA(IF(((INDEX(RulebookFields!C2:C1898, MATCH(D2451,RulebookFields!A2:A1898, 0))="")=TRUE),  "",  INDEX(RulebookFields!C2:C1898, MATCH(D2451,RulebookFields!A2:A1898, 0))), "")</f>
        <v>MessageDeliveries</v>
      </c>
      <c r="I2451" s="4" t="str">
        <f>_xlfn.IFNA(IF(((INDEX(RulebookFields!D2:D1898, MATCH(D2451,RulebookFields!A2:A1898, 0))="")=TRUE),  "",  INDEX(RulebookFields!D2:D1898, MATCH(D2451,RulebookFields!A2:A1898, 0))), "")</f>
        <v>MessageDeliveryId</v>
      </c>
      <c r="J2451" s="4" t="b">
        <f>_xlfn.IFNA(IF(((INDEX(RulebookFields!I2:I1898, MATCH(D2451,RulebookFields!A2:A1898, 0))="")=TRUE),  "",  INDEX(RulebookFields!I2:I1898, MATCH(D2451,RulebookFields!A2:A1898, 0))), "")</f>
        <v>0</v>
      </c>
      <c r="K2451" s="4" t="b">
        <f>AND(((F2451)=TRUE), ((J2451)=TRUE))</f>
        <v>0</v>
      </c>
      <c r="L2451" s="4" t="b">
        <f>AND(((G2451 &lt;&gt; "plain")=TRUE), ((G2451 &lt;&gt; "")=TRUE))</f>
        <v>0</v>
      </c>
      <c r="M2451" s="4" t="str">
        <f>IF(((E2451)=TRUE),  C2451 &amp; "|" &amp; H2451,  "")</f>
        <v>principal-knowledge-authority|MessageDeliveries</v>
      </c>
      <c r="N2451" s="3" t="s">
        <v>10004</v>
      </c>
    </row>
    <row r="2452">
      <c r="A2452" s="3" t="s">
        <v>12454</v>
      </c>
      <c r="B2452" s="4" t="str">
        <f>C2452 &amp; " -&gt; " &amp; D2452</f>
        <v>principal-knowledge-authority -&gt; MessageDeliveries.Name</v>
      </c>
      <c r="C2452" s="3" t="s">
        <v>9774</v>
      </c>
      <c r="D2452" s="3" t="s">
        <v>4446</v>
      </c>
      <c r="E2452" s="3" t="b">
        <v>1</v>
      </c>
      <c r="F2452" s="3" t="b">
        <v>0</v>
      </c>
      <c r="G2452" s="3" t="s">
        <v>10003</v>
      </c>
      <c r="H2452" s="4" t="str">
        <f>_xlfn.IFNA(IF(((INDEX(RulebookFields!C2:C1898, MATCH(D2452,RulebookFields!A2:A1898, 0))="")=TRUE),  "",  INDEX(RulebookFields!C2:C1898, MATCH(D2452,RulebookFields!A2:A1898, 0))), "")</f>
        <v>MessageDeliveries</v>
      </c>
      <c r="I2452" s="4" t="str">
        <f>_xlfn.IFNA(IF(((INDEX(RulebookFields!D2:D1898, MATCH(D2452,RulebookFields!A2:A1898, 0))="")=TRUE),  "",  INDEX(RulebookFields!D2:D1898, MATCH(D2452,RulebookFields!A2:A1898, 0))), "")</f>
        <v>Name</v>
      </c>
      <c r="J2452" s="4" t="b">
        <f>_xlfn.IFNA(IF(((INDEX(RulebookFields!I2:I1898, MATCH(D2452,RulebookFields!A2:A1898, 0))="")=TRUE),  "",  INDEX(RulebookFields!I2:I1898, MATCH(D2452,RulebookFields!A2:A1898, 0))), "")</f>
        <v>1</v>
      </c>
      <c r="K2452" s="4" t="b">
        <f>AND(((F2452)=TRUE), ((J2452)=TRUE))</f>
        <v>0</v>
      </c>
      <c r="L2452" s="4" t="b">
        <f>AND(((G2452 &lt;&gt; "plain")=TRUE), ((G2452 &lt;&gt; "")=TRUE))</f>
        <v>0</v>
      </c>
      <c r="M2452" s="4" t="str">
        <f>IF(((E2452)=TRUE),  C2452 &amp; "|" &amp; H2452,  "")</f>
        <v>principal-knowledge-authority|MessageDeliveries</v>
      </c>
      <c r="N2452" s="3" t="s">
        <v>10004</v>
      </c>
    </row>
    <row r="2453">
      <c r="A2453" s="3" t="s">
        <v>12455</v>
      </c>
      <c r="B2453" s="4" t="str">
        <f>C2453 &amp; " -&gt; " &amp; D2453</f>
        <v>principal-knowledge-authority -&gt; MessageDeliveries.ProcedureExecution</v>
      </c>
      <c r="C2453" s="3" t="s">
        <v>9774</v>
      </c>
      <c r="D2453" s="3" t="s">
        <v>4448</v>
      </c>
      <c r="E2453" s="3" t="b">
        <v>1</v>
      </c>
      <c r="F2453" s="3" t="b">
        <v>0</v>
      </c>
      <c r="G2453" s="3" t="s">
        <v>10003</v>
      </c>
      <c r="H2453" s="4" t="str">
        <f>_xlfn.IFNA(IF(((INDEX(RulebookFields!C2:C1898, MATCH(D2453,RulebookFields!A2:A1898, 0))="")=TRUE),  "",  INDEX(RulebookFields!C2:C1898, MATCH(D2453,RulebookFields!A2:A1898, 0))), "")</f>
        <v>MessageDeliveries</v>
      </c>
      <c r="I2453" s="4" t="str">
        <f>_xlfn.IFNA(IF(((INDEX(RulebookFields!D2:D1898, MATCH(D2453,RulebookFields!A2:A1898, 0))="")=TRUE),  "",  INDEX(RulebookFields!D2:D1898, MATCH(D2453,RulebookFields!A2:A1898, 0))), "")</f>
        <v>ProcedureExecution</v>
      </c>
      <c r="J2453" s="4" t="b">
        <f>_xlfn.IFNA(IF(((INDEX(RulebookFields!I2:I1898, MATCH(D2453,RulebookFields!A2:A1898, 0))="")=TRUE),  "",  INDEX(RulebookFields!I2:I1898, MATCH(D2453,RulebookFields!A2:A1898, 0))), "")</f>
        <v>0</v>
      </c>
      <c r="K2453" s="4" t="b">
        <f>AND(((F2453)=TRUE), ((J2453)=TRUE))</f>
        <v>0</v>
      </c>
      <c r="L2453" s="4" t="b">
        <f>AND(((G2453 &lt;&gt; "plain")=TRUE), ((G2453 &lt;&gt; "")=TRUE))</f>
        <v>0</v>
      </c>
      <c r="M2453" s="4" t="str">
        <f>IF(((E2453)=TRUE),  C2453 &amp; "|" &amp; H2453,  "")</f>
        <v>principal-knowledge-authority|MessageDeliveries</v>
      </c>
      <c r="N2453" s="3" t="s">
        <v>10004</v>
      </c>
    </row>
    <row r="2454">
      <c r="A2454" s="3" t="s">
        <v>12456</v>
      </c>
      <c r="B2454" s="4" t="str">
        <f>C2454 &amp; " -&gt; " &amp; D2454</f>
        <v>principal-knowledge-authority -&gt; MessageDeliveries.StepExecution</v>
      </c>
      <c r="C2454" s="3" t="s">
        <v>9774</v>
      </c>
      <c r="D2454" s="3" t="s">
        <v>4449</v>
      </c>
      <c r="E2454" s="3" t="b">
        <v>1</v>
      </c>
      <c r="F2454" s="3" t="b">
        <v>0</v>
      </c>
      <c r="G2454" s="3" t="s">
        <v>10003</v>
      </c>
      <c r="H2454" s="4" t="str">
        <f>_xlfn.IFNA(IF(((INDEX(RulebookFields!C2:C1898, MATCH(D2454,RulebookFields!A2:A1898, 0))="")=TRUE),  "",  INDEX(RulebookFields!C2:C1898, MATCH(D2454,RulebookFields!A2:A1898, 0))), "")</f>
        <v>MessageDeliveries</v>
      </c>
      <c r="I2454" s="4" t="str">
        <f>_xlfn.IFNA(IF(((INDEX(RulebookFields!D2:D1898, MATCH(D2454,RulebookFields!A2:A1898, 0))="")=TRUE),  "",  INDEX(RulebookFields!D2:D1898, MATCH(D2454,RulebookFields!A2:A1898, 0))), "")</f>
        <v>StepExecution</v>
      </c>
      <c r="J2454" s="4" t="b">
        <f>_xlfn.IFNA(IF(((INDEX(RulebookFields!I2:I1898, MATCH(D2454,RulebookFields!A2:A1898, 0))="")=TRUE),  "",  INDEX(RulebookFields!I2:I1898, MATCH(D2454,RulebookFields!A2:A1898, 0))), "")</f>
        <v>0</v>
      </c>
      <c r="K2454" s="4" t="b">
        <f>AND(((F2454)=TRUE), ((J2454)=TRUE))</f>
        <v>0</v>
      </c>
      <c r="L2454" s="4" t="b">
        <f>AND(((G2454 &lt;&gt; "plain")=TRUE), ((G2454 &lt;&gt; "")=TRUE))</f>
        <v>0</v>
      </c>
      <c r="M2454" s="4" t="str">
        <f>IF(((E2454)=TRUE),  C2454 &amp; "|" &amp; H2454,  "")</f>
        <v>principal-knowledge-authority|MessageDeliveries</v>
      </c>
      <c r="N2454" s="3" t="s">
        <v>10004</v>
      </c>
    </row>
    <row r="2455">
      <c r="A2455" s="3" t="s">
        <v>12457</v>
      </c>
      <c r="B2455" s="4" t="str">
        <f>C2455 &amp; " -&gt; " &amp; D2455</f>
        <v>principal-knowledge-authority -&gt; MessageDeliveries.Recipient</v>
      </c>
      <c r="C2455" s="3" t="s">
        <v>9774</v>
      </c>
      <c r="D2455" s="3" t="s">
        <v>4450</v>
      </c>
      <c r="E2455" s="3" t="b">
        <v>1</v>
      </c>
      <c r="F2455" s="3" t="b">
        <v>0</v>
      </c>
      <c r="G2455" s="3" t="s">
        <v>10003</v>
      </c>
      <c r="H2455" s="4" t="str">
        <f>_xlfn.IFNA(IF(((INDEX(RulebookFields!C2:C1898, MATCH(D2455,RulebookFields!A2:A1898, 0))="")=TRUE),  "",  INDEX(RulebookFields!C2:C1898, MATCH(D2455,RulebookFields!A2:A1898, 0))), "")</f>
        <v>MessageDeliveries</v>
      </c>
      <c r="I2455" s="4" t="str">
        <f>_xlfn.IFNA(IF(((INDEX(RulebookFields!D2:D1898, MATCH(D2455,RulebookFields!A2:A1898, 0))="")=TRUE),  "",  INDEX(RulebookFields!D2:D1898, MATCH(D2455,RulebookFields!A2:A1898, 0))), "")</f>
        <v>Recipient</v>
      </c>
      <c r="J2455" s="4" t="b">
        <f>_xlfn.IFNA(IF(((INDEX(RulebookFields!I2:I1898, MATCH(D2455,RulebookFields!A2:A1898, 0))="")=TRUE),  "",  INDEX(RulebookFields!I2:I1898, MATCH(D2455,RulebookFields!A2:A1898, 0))), "")</f>
        <v>0</v>
      </c>
      <c r="K2455" s="4" t="b">
        <f>AND(((F2455)=TRUE), ((J2455)=TRUE))</f>
        <v>0</v>
      </c>
      <c r="L2455" s="4" t="b">
        <f>AND(((G2455 &lt;&gt; "plain")=TRUE), ((G2455 &lt;&gt; "")=TRUE))</f>
        <v>0</v>
      </c>
      <c r="M2455" s="4" t="str">
        <f>IF(((E2455)=TRUE),  C2455 &amp; "|" &amp; H2455,  "")</f>
        <v>principal-knowledge-authority|MessageDeliveries</v>
      </c>
      <c r="N2455" s="3" t="s">
        <v>10004</v>
      </c>
    </row>
    <row r="2456">
      <c r="A2456" s="3" t="s">
        <v>12458</v>
      </c>
      <c r="B2456" s="4" t="str">
        <f>C2456 &amp; " -&gt; " &amp; D2456</f>
        <v>principal-knowledge-authority -&gt; MessageDeliveries.MessageTemplate</v>
      </c>
      <c r="C2456" s="3" t="s">
        <v>9774</v>
      </c>
      <c r="D2456" s="3" t="s">
        <v>4452</v>
      </c>
      <c r="E2456" s="3" t="b">
        <v>1</v>
      </c>
      <c r="F2456" s="3" t="b">
        <v>0</v>
      </c>
      <c r="G2456" s="3" t="s">
        <v>10003</v>
      </c>
      <c r="H2456" s="4" t="str">
        <f>_xlfn.IFNA(IF(((INDEX(RulebookFields!C2:C1898, MATCH(D2456,RulebookFields!A2:A1898, 0))="")=TRUE),  "",  INDEX(RulebookFields!C2:C1898, MATCH(D2456,RulebookFields!A2:A1898, 0))), "")</f>
        <v>MessageDeliveries</v>
      </c>
      <c r="I2456" s="4" t="str">
        <f>_xlfn.IFNA(IF(((INDEX(RulebookFields!D2:D1898, MATCH(D2456,RulebookFields!A2:A1898, 0))="")=TRUE),  "",  INDEX(RulebookFields!D2:D1898, MATCH(D2456,RulebookFields!A2:A1898, 0))), "")</f>
        <v>MessageTemplate</v>
      </c>
      <c r="J2456" s="4" t="b">
        <f>_xlfn.IFNA(IF(((INDEX(RulebookFields!I2:I1898, MATCH(D2456,RulebookFields!A2:A1898, 0))="")=TRUE),  "",  INDEX(RulebookFields!I2:I1898, MATCH(D2456,RulebookFields!A2:A1898, 0))), "")</f>
        <v>0</v>
      </c>
      <c r="K2456" s="4" t="b">
        <f>AND(((F2456)=TRUE), ((J2456)=TRUE))</f>
        <v>0</v>
      </c>
      <c r="L2456" s="4" t="b">
        <f>AND(((G2456 &lt;&gt; "plain")=TRUE), ((G2456 &lt;&gt; "")=TRUE))</f>
        <v>0</v>
      </c>
      <c r="M2456" s="4" t="str">
        <f>IF(((E2456)=TRUE),  C2456 &amp; "|" &amp; H2456,  "")</f>
        <v>principal-knowledge-authority|MessageDeliveries</v>
      </c>
      <c r="N2456" s="3" t="s">
        <v>10004</v>
      </c>
    </row>
    <row r="2457">
      <c r="A2457" s="3" t="s">
        <v>12459</v>
      </c>
      <c r="B2457" s="4" t="str">
        <f>C2457 &amp; " -&gt; " &amp; D2457</f>
        <v>principal-knowledge-authority -&gt; MessageDeliveries.SentByAgent</v>
      </c>
      <c r="C2457" s="3" t="s">
        <v>9774</v>
      </c>
      <c r="D2457" s="3" t="s">
        <v>4454</v>
      </c>
      <c r="E2457" s="3" t="b">
        <v>1</v>
      </c>
      <c r="F2457" s="3" t="b">
        <v>0</v>
      </c>
      <c r="G2457" s="3" t="s">
        <v>10003</v>
      </c>
      <c r="H2457" s="4" t="str">
        <f>_xlfn.IFNA(IF(((INDEX(RulebookFields!C2:C1898, MATCH(D2457,RulebookFields!A2:A1898, 0))="")=TRUE),  "",  INDEX(RulebookFields!C2:C1898, MATCH(D2457,RulebookFields!A2:A1898, 0))), "")</f>
        <v>MessageDeliveries</v>
      </c>
      <c r="I2457" s="4" t="str">
        <f>_xlfn.IFNA(IF(((INDEX(RulebookFields!D2:D1898, MATCH(D2457,RulebookFields!A2:A1898, 0))="")=TRUE),  "",  INDEX(RulebookFields!D2:D1898, MATCH(D2457,RulebookFields!A2:A1898, 0))), "")</f>
        <v>SentByAgent</v>
      </c>
      <c r="J2457" s="4" t="b">
        <f>_xlfn.IFNA(IF(((INDEX(RulebookFields!I2:I1898, MATCH(D2457,RulebookFields!A2:A1898, 0))="")=TRUE),  "",  INDEX(RulebookFields!I2:I1898, MATCH(D2457,RulebookFields!A2:A1898, 0))), "")</f>
        <v>0</v>
      </c>
      <c r="K2457" s="4" t="b">
        <f>AND(((F2457)=TRUE), ((J2457)=TRUE))</f>
        <v>0</v>
      </c>
      <c r="L2457" s="4" t="b">
        <f>AND(((G2457 &lt;&gt; "plain")=TRUE), ((G2457 &lt;&gt; "")=TRUE))</f>
        <v>0</v>
      </c>
      <c r="M2457" s="4" t="str">
        <f>IF(((E2457)=TRUE),  C2457 &amp; "|" &amp; H2457,  "")</f>
        <v>principal-knowledge-authority|MessageDeliveries</v>
      </c>
      <c r="N2457" s="3" t="s">
        <v>10004</v>
      </c>
    </row>
    <row r="2458">
      <c r="A2458" s="3" t="s">
        <v>12460</v>
      </c>
      <c r="B2458" s="4" t="str">
        <f>C2458 &amp; " -&gt; " &amp; D2458</f>
        <v>principal-knowledge-authority -&gt; MessageDeliveries.RenderedBody</v>
      </c>
      <c r="C2458" s="3" t="s">
        <v>9774</v>
      </c>
      <c r="D2458" s="3" t="s">
        <v>4456</v>
      </c>
      <c r="E2458" s="3" t="b">
        <v>1</v>
      </c>
      <c r="F2458" s="3" t="b">
        <v>0</v>
      </c>
      <c r="G2458" s="3" t="s">
        <v>10003</v>
      </c>
      <c r="H2458" s="4" t="str">
        <f>_xlfn.IFNA(IF(((INDEX(RulebookFields!C2:C1898, MATCH(D2458,RulebookFields!A2:A1898, 0))="")=TRUE),  "",  INDEX(RulebookFields!C2:C1898, MATCH(D2458,RulebookFields!A2:A1898, 0))), "")</f>
        <v>MessageDeliveries</v>
      </c>
      <c r="I2458" s="4" t="str">
        <f>_xlfn.IFNA(IF(((INDEX(RulebookFields!D2:D1898, MATCH(D2458,RulebookFields!A2:A1898, 0))="")=TRUE),  "",  INDEX(RulebookFields!D2:D1898, MATCH(D2458,RulebookFields!A2:A1898, 0))), "")</f>
        <v>RenderedBody</v>
      </c>
      <c r="J2458" s="4" t="b">
        <f>_xlfn.IFNA(IF(((INDEX(RulebookFields!I2:I1898, MATCH(D2458,RulebookFields!A2:A1898, 0))="")=TRUE),  "",  INDEX(RulebookFields!I2:I1898, MATCH(D2458,RulebookFields!A2:A1898, 0))), "")</f>
        <v>0</v>
      </c>
      <c r="K2458" s="4" t="b">
        <f>AND(((F2458)=TRUE), ((J2458)=TRUE))</f>
        <v>0</v>
      </c>
      <c r="L2458" s="4" t="b">
        <f>AND(((G2458 &lt;&gt; "plain")=TRUE), ((G2458 &lt;&gt; "")=TRUE))</f>
        <v>0</v>
      </c>
      <c r="M2458" s="4" t="str">
        <f>IF(((E2458)=TRUE),  C2458 &amp; "|" &amp; H2458,  "")</f>
        <v>principal-knowledge-authority|MessageDeliveries</v>
      </c>
      <c r="N2458" s="3" t="s">
        <v>10004</v>
      </c>
    </row>
    <row r="2459">
      <c r="A2459" s="3" t="s">
        <v>12461</v>
      </c>
      <c r="B2459" s="4" t="str">
        <f>C2459 &amp; " -&gt; " &amp; D2459</f>
        <v>principal-knowledge-authority -&gt; MessageDeliveries.SentAt</v>
      </c>
      <c r="C2459" s="3" t="s">
        <v>9774</v>
      </c>
      <c r="D2459" s="3" t="s">
        <v>4458</v>
      </c>
      <c r="E2459" s="3" t="b">
        <v>1</v>
      </c>
      <c r="F2459" s="3" t="b">
        <v>0</v>
      </c>
      <c r="G2459" s="3" t="s">
        <v>10003</v>
      </c>
      <c r="H2459" s="4" t="str">
        <f>_xlfn.IFNA(IF(((INDEX(RulebookFields!C2:C1898, MATCH(D2459,RulebookFields!A2:A1898, 0))="")=TRUE),  "",  INDEX(RulebookFields!C2:C1898, MATCH(D2459,RulebookFields!A2:A1898, 0))), "")</f>
        <v>MessageDeliveries</v>
      </c>
      <c r="I2459" s="4" t="str">
        <f>_xlfn.IFNA(IF(((INDEX(RulebookFields!D2:D1898, MATCH(D2459,RulebookFields!A2:A1898, 0))="")=TRUE),  "",  INDEX(RulebookFields!D2:D1898, MATCH(D2459,RulebookFields!A2:A1898, 0))), "")</f>
        <v>SentAt</v>
      </c>
      <c r="J2459" s="4" t="b">
        <f>_xlfn.IFNA(IF(((INDEX(RulebookFields!I2:I1898, MATCH(D2459,RulebookFields!A2:A1898, 0))="")=TRUE),  "",  INDEX(RulebookFields!I2:I1898, MATCH(D2459,RulebookFields!A2:A1898, 0))), "")</f>
        <v>0</v>
      </c>
      <c r="K2459" s="4" t="b">
        <f>AND(((F2459)=TRUE), ((J2459)=TRUE))</f>
        <v>0</v>
      </c>
      <c r="L2459" s="4" t="b">
        <f>AND(((G2459 &lt;&gt; "plain")=TRUE), ((G2459 &lt;&gt; "")=TRUE))</f>
        <v>0</v>
      </c>
      <c r="M2459" s="4" t="str">
        <f>IF(((E2459)=TRUE),  C2459 &amp; "|" &amp; H2459,  "")</f>
        <v>principal-knowledge-authority|MessageDeliveries</v>
      </c>
      <c r="N2459" s="3" t="s">
        <v>10004</v>
      </c>
    </row>
    <row r="2460">
      <c r="A2460" s="3" t="s">
        <v>12462</v>
      </c>
      <c r="B2460" s="4" t="str">
        <f>C2460 &amp; " -&gt; " &amp; D2460</f>
        <v>principal-knowledge-authority -&gt; MessageDeliveries.SentAtLocalHour</v>
      </c>
      <c r="C2460" s="3" t="s">
        <v>9774</v>
      </c>
      <c r="D2460" s="3" t="s">
        <v>4460</v>
      </c>
      <c r="E2460" s="3" t="b">
        <v>1</v>
      </c>
      <c r="F2460" s="3" t="b">
        <v>0</v>
      </c>
      <c r="G2460" s="3" t="s">
        <v>10003</v>
      </c>
      <c r="H2460" s="4" t="str">
        <f>_xlfn.IFNA(IF(((INDEX(RulebookFields!C2:C1898, MATCH(D2460,RulebookFields!A2:A1898, 0))="")=TRUE),  "",  INDEX(RulebookFields!C2:C1898, MATCH(D2460,RulebookFields!A2:A1898, 0))), "")</f>
        <v>MessageDeliveries</v>
      </c>
      <c r="I2460" s="4" t="str">
        <f>_xlfn.IFNA(IF(((INDEX(RulebookFields!D2:D1898, MATCH(D2460,RulebookFields!A2:A1898, 0))="")=TRUE),  "",  INDEX(RulebookFields!D2:D1898, MATCH(D2460,RulebookFields!A2:A1898, 0))), "")</f>
        <v>SentAtLocalHour</v>
      </c>
      <c r="J2460" s="4" t="b">
        <f>_xlfn.IFNA(IF(((INDEX(RulebookFields!I2:I1898, MATCH(D2460,RulebookFields!A2:A1898, 0))="")=TRUE),  "",  INDEX(RulebookFields!I2:I1898, MATCH(D2460,RulebookFields!A2:A1898, 0))), "")</f>
        <v>0</v>
      </c>
      <c r="K2460" s="4" t="b">
        <f>AND(((F2460)=TRUE), ((J2460)=TRUE))</f>
        <v>0</v>
      </c>
      <c r="L2460" s="4" t="b">
        <f>AND(((G2460 &lt;&gt; "plain")=TRUE), ((G2460 &lt;&gt; "")=TRUE))</f>
        <v>0</v>
      </c>
      <c r="M2460" s="4" t="str">
        <f>IF(((E2460)=TRUE),  C2460 &amp; "|" &amp; H2460,  "")</f>
        <v>principal-knowledge-authority|MessageDeliveries</v>
      </c>
      <c r="N2460" s="3" t="s">
        <v>10004</v>
      </c>
    </row>
    <row r="2461">
      <c r="A2461" s="3" t="s">
        <v>12463</v>
      </c>
      <c r="B2461" s="4" t="str">
        <f>C2461 &amp; " -&gt; " &amp; D2461</f>
        <v>principal-knowledge-authority -&gt; MessageDeliveries.DeliveryStatus</v>
      </c>
      <c r="C2461" s="3" t="s">
        <v>9774</v>
      </c>
      <c r="D2461" s="3" t="s">
        <v>4462</v>
      </c>
      <c r="E2461" s="3" t="b">
        <v>1</v>
      </c>
      <c r="F2461" s="3" t="b">
        <v>0</v>
      </c>
      <c r="G2461" s="3" t="s">
        <v>10003</v>
      </c>
      <c r="H2461" s="4" t="str">
        <f>_xlfn.IFNA(IF(((INDEX(RulebookFields!C2:C1898, MATCH(D2461,RulebookFields!A2:A1898, 0))="")=TRUE),  "",  INDEX(RulebookFields!C2:C1898, MATCH(D2461,RulebookFields!A2:A1898, 0))), "")</f>
        <v>MessageDeliveries</v>
      </c>
      <c r="I2461" s="4" t="str">
        <f>_xlfn.IFNA(IF(((INDEX(RulebookFields!D2:D1898, MATCH(D2461,RulebookFields!A2:A1898, 0))="")=TRUE),  "",  INDEX(RulebookFields!D2:D1898, MATCH(D2461,RulebookFields!A2:A1898, 0))), "")</f>
        <v>DeliveryStatus</v>
      </c>
      <c r="J2461" s="4" t="b">
        <f>_xlfn.IFNA(IF(((INDEX(RulebookFields!I2:I1898, MATCH(D2461,RulebookFields!A2:A1898, 0))="")=TRUE),  "",  INDEX(RulebookFields!I2:I1898, MATCH(D2461,RulebookFields!A2:A1898, 0))), "")</f>
        <v>0</v>
      </c>
      <c r="K2461" s="4" t="b">
        <f>AND(((F2461)=TRUE), ((J2461)=TRUE))</f>
        <v>0</v>
      </c>
      <c r="L2461" s="4" t="b">
        <f>AND(((G2461 &lt;&gt; "plain")=TRUE), ((G2461 &lt;&gt; "")=TRUE))</f>
        <v>0</v>
      </c>
      <c r="M2461" s="4" t="str">
        <f>IF(((E2461)=TRUE),  C2461 &amp; "|" &amp; H2461,  "")</f>
        <v>principal-knowledge-authority|MessageDeliveries</v>
      </c>
      <c r="N2461" s="3" t="s">
        <v>10004</v>
      </c>
    </row>
    <row r="2462">
      <c r="A2462" s="3" t="s">
        <v>12464</v>
      </c>
      <c r="B2462" s="4" t="str">
        <f>C2462 &amp; " -&gt; " &amp; D2462</f>
        <v>principal-knowledge-authority -&gt; MessageDeliveries.SuppressionReason</v>
      </c>
      <c r="C2462" s="3" t="s">
        <v>9774</v>
      </c>
      <c r="D2462" s="3" t="s">
        <v>4464</v>
      </c>
      <c r="E2462" s="3" t="b">
        <v>1</v>
      </c>
      <c r="F2462" s="3" t="b">
        <v>0</v>
      </c>
      <c r="G2462" s="3" t="s">
        <v>10003</v>
      </c>
      <c r="H2462" s="4" t="str">
        <f>_xlfn.IFNA(IF(((INDEX(RulebookFields!C2:C1898, MATCH(D2462,RulebookFields!A2:A1898, 0))="")=TRUE),  "",  INDEX(RulebookFields!C2:C1898, MATCH(D2462,RulebookFields!A2:A1898, 0))), "")</f>
        <v>MessageDeliveries</v>
      </c>
      <c r="I2462" s="4" t="str">
        <f>_xlfn.IFNA(IF(((INDEX(RulebookFields!D2:D1898, MATCH(D2462,RulebookFields!A2:A1898, 0))="")=TRUE),  "",  INDEX(RulebookFields!D2:D1898, MATCH(D2462,RulebookFields!A2:A1898, 0))), "")</f>
        <v>SuppressionReason</v>
      </c>
      <c r="J2462" s="4" t="b">
        <f>_xlfn.IFNA(IF(((INDEX(RulebookFields!I2:I1898, MATCH(D2462,RulebookFields!A2:A1898, 0))="")=TRUE),  "",  INDEX(RulebookFields!I2:I1898, MATCH(D2462,RulebookFields!A2:A1898, 0))), "")</f>
        <v>0</v>
      </c>
      <c r="K2462" s="4" t="b">
        <f>AND(((F2462)=TRUE), ((J2462)=TRUE))</f>
        <v>0</v>
      </c>
      <c r="L2462" s="4" t="b">
        <f>AND(((G2462 &lt;&gt; "plain")=TRUE), ((G2462 &lt;&gt; "")=TRUE))</f>
        <v>0</v>
      </c>
      <c r="M2462" s="4" t="str">
        <f>IF(((E2462)=TRUE),  C2462 &amp; "|" &amp; H2462,  "")</f>
        <v>principal-knowledge-authority|MessageDeliveries</v>
      </c>
      <c r="N2462" s="3" t="s">
        <v>10004</v>
      </c>
    </row>
    <row r="2463">
      <c r="A2463" s="3" t="s">
        <v>12465</v>
      </c>
      <c r="B2463" s="4" t="str">
        <f>C2463 &amp; " -&gt; " &amp; D2463</f>
        <v>principal-knowledge-authority -&gt; MessageDeliveries.InvokedException</v>
      </c>
      <c r="C2463" s="3" t="s">
        <v>9774</v>
      </c>
      <c r="D2463" s="3" t="s">
        <v>4466</v>
      </c>
      <c r="E2463" s="3" t="b">
        <v>1</v>
      </c>
      <c r="F2463" s="3" t="b">
        <v>0</v>
      </c>
      <c r="G2463" s="3" t="s">
        <v>10003</v>
      </c>
      <c r="H2463" s="4" t="str">
        <f>_xlfn.IFNA(IF(((INDEX(RulebookFields!C2:C1898, MATCH(D2463,RulebookFields!A2:A1898, 0))="")=TRUE),  "",  INDEX(RulebookFields!C2:C1898, MATCH(D2463,RulebookFields!A2:A1898, 0))), "")</f>
        <v>MessageDeliveries</v>
      </c>
      <c r="I2463" s="4" t="str">
        <f>_xlfn.IFNA(IF(((INDEX(RulebookFields!D2:D1898, MATCH(D2463,RulebookFields!A2:A1898, 0))="")=TRUE),  "",  INDEX(RulebookFields!D2:D1898, MATCH(D2463,RulebookFields!A2:A1898, 0))), "")</f>
        <v>InvokedException</v>
      </c>
      <c r="J2463" s="4" t="b">
        <f>_xlfn.IFNA(IF(((INDEX(RulebookFields!I2:I1898, MATCH(D2463,RulebookFields!A2:A1898, 0))="")=TRUE),  "",  INDEX(RulebookFields!I2:I1898, MATCH(D2463,RulebookFields!A2:A1898, 0))), "")</f>
        <v>0</v>
      </c>
      <c r="K2463" s="4" t="b">
        <f>AND(((F2463)=TRUE), ((J2463)=TRUE))</f>
        <v>0</v>
      </c>
      <c r="L2463" s="4" t="b">
        <f>AND(((G2463 &lt;&gt; "plain")=TRUE), ((G2463 &lt;&gt; "")=TRUE))</f>
        <v>0</v>
      </c>
      <c r="M2463" s="4" t="str">
        <f>IF(((E2463)=TRUE),  C2463 &amp; "|" &amp; H2463,  "")</f>
        <v>principal-knowledge-authority|MessageDeliveries</v>
      </c>
      <c r="N2463" s="3" t="s">
        <v>10004</v>
      </c>
    </row>
    <row r="2464">
      <c r="A2464" s="3" t="s">
        <v>12466</v>
      </c>
      <c r="B2464" s="4" t="str">
        <f>C2464 &amp; " -&gt; " &amp; D2464</f>
        <v>principal-knowledge-authority -&gt; MessageDeliveries.AcknowledgedAt</v>
      </c>
      <c r="C2464" s="3" t="s">
        <v>9774</v>
      </c>
      <c r="D2464" s="3" t="s">
        <v>4468</v>
      </c>
      <c r="E2464" s="3" t="b">
        <v>1</v>
      </c>
      <c r="F2464" s="3" t="b">
        <v>0</v>
      </c>
      <c r="G2464" s="3" t="s">
        <v>10003</v>
      </c>
      <c r="H2464" s="4" t="str">
        <f>_xlfn.IFNA(IF(((INDEX(RulebookFields!C2:C1898, MATCH(D2464,RulebookFields!A2:A1898, 0))="")=TRUE),  "",  INDEX(RulebookFields!C2:C1898, MATCH(D2464,RulebookFields!A2:A1898, 0))), "")</f>
        <v>MessageDeliveries</v>
      </c>
      <c r="I2464" s="4" t="str">
        <f>_xlfn.IFNA(IF(((INDEX(RulebookFields!D2:D1898, MATCH(D2464,RulebookFields!A2:A1898, 0))="")=TRUE),  "",  INDEX(RulebookFields!D2:D1898, MATCH(D2464,RulebookFields!A2:A1898, 0))), "")</f>
        <v>AcknowledgedAt</v>
      </c>
      <c r="J2464" s="4" t="b">
        <f>_xlfn.IFNA(IF(((INDEX(RulebookFields!I2:I1898, MATCH(D2464,RulebookFields!A2:A1898, 0))="")=TRUE),  "",  INDEX(RulebookFields!I2:I1898, MATCH(D2464,RulebookFields!A2:A1898, 0))), "")</f>
        <v>0</v>
      </c>
      <c r="K2464" s="4" t="b">
        <f>AND(((F2464)=TRUE), ((J2464)=TRUE))</f>
        <v>0</v>
      </c>
      <c r="L2464" s="4" t="b">
        <f>AND(((G2464 &lt;&gt; "plain")=TRUE), ((G2464 &lt;&gt; "")=TRUE))</f>
        <v>0</v>
      </c>
      <c r="M2464" s="4" t="str">
        <f>IF(((E2464)=TRUE),  C2464 &amp; "|" &amp; H2464,  "")</f>
        <v>principal-knowledge-authority|MessageDeliveries</v>
      </c>
      <c r="N2464" s="3" t="s">
        <v>10004</v>
      </c>
    </row>
    <row r="2465">
      <c r="A2465" s="3" t="s">
        <v>12467</v>
      </c>
      <c r="B2465" s="4" t="str">
        <f>C2465 &amp; " -&gt; " &amp; D2465</f>
        <v>principal-knowledge-authority -&gt; MessageDeliveries.PolicyChannel</v>
      </c>
      <c r="C2465" s="3" t="s">
        <v>9774</v>
      </c>
      <c r="D2465" s="3" t="s">
        <v>4470</v>
      </c>
      <c r="E2465" s="3" t="b">
        <v>1</v>
      </c>
      <c r="F2465" s="3" t="b">
        <v>0</v>
      </c>
      <c r="G2465" s="3" t="s">
        <v>10003</v>
      </c>
      <c r="H2465" s="4" t="str">
        <f>_xlfn.IFNA(IF(((INDEX(RulebookFields!C2:C1898, MATCH(D2465,RulebookFields!A2:A1898, 0))="")=TRUE),  "",  INDEX(RulebookFields!C2:C1898, MATCH(D2465,RulebookFields!A2:A1898, 0))), "")</f>
        <v>MessageDeliveries</v>
      </c>
      <c r="I2465" s="4" t="str">
        <f>_xlfn.IFNA(IF(((INDEX(RulebookFields!D2:D1898, MATCH(D2465,RulebookFields!A2:A1898, 0))="")=TRUE),  "",  INDEX(RulebookFields!D2:D1898, MATCH(D2465,RulebookFields!A2:A1898, 0))), "")</f>
        <v>PolicyChannel</v>
      </c>
      <c r="J2465" s="4" t="b">
        <f>_xlfn.IFNA(IF(((INDEX(RulebookFields!I2:I1898, MATCH(D2465,RulebookFields!A2:A1898, 0))="")=TRUE),  "",  INDEX(RulebookFields!I2:I1898, MATCH(D2465,RulebookFields!A2:A1898, 0))), "")</f>
        <v>1</v>
      </c>
      <c r="K2465" s="4" t="b">
        <f>AND(((F2465)=TRUE), ((J2465)=TRUE))</f>
        <v>0</v>
      </c>
      <c r="L2465" s="4" t="b">
        <f>AND(((G2465 &lt;&gt; "plain")=TRUE), ((G2465 &lt;&gt; "")=TRUE))</f>
        <v>0</v>
      </c>
      <c r="M2465" s="4" t="str">
        <f>IF(((E2465)=TRUE),  C2465 &amp; "|" &amp; H2465,  "")</f>
        <v>principal-knowledge-authority|MessageDeliveries</v>
      </c>
      <c r="N2465" s="3" t="s">
        <v>10004</v>
      </c>
    </row>
    <row r="2466">
      <c r="A2466" s="3" t="s">
        <v>12468</v>
      </c>
      <c r="B2466" s="4" t="str">
        <f>C2466 &amp; " -&gt; " &amp; D2466</f>
        <v>principal-knowledge-authority -&gt; MessageDeliveries.ChannelName</v>
      </c>
      <c r="C2466" s="3" t="s">
        <v>9774</v>
      </c>
      <c r="D2466" s="3" t="s">
        <v>4473</v>
      </c>
      <c r="E2466" s="3" t="b">
        <v>1</v>
      </c>
      <c r="F2466" s="3" t="b">
        <v>0</v>
      </c>
      <c r="G2466" s="3" t="s">
        <v>10003</v>
      </c>
      <c r="H2466" s="4" t="str">
        <f>_xlfn.IFNA(IF(((INDEX(RulebookFields!C2:C1898, MATCH(D2466,RulebookFields!A2:A1898, 0))="")=TRUE),  "",  INDEX(RulebookFields!C2:C1898, MATCH(D2466,RulebookFields!A2:A1898, 0))), "")</f>
        <v>MessageDeliveries</v>
      </c>
      <c r="I2466" s="4" t="str">
        <f>_xlfn.IFNA(IF(((INDEX(RulebookFields!D2:D1898, MATCH(D2466,RulebookFields!A2:A1898, 0))="")=TRUE),  "",  INDEX(RulebookFields!D2:D1898, MATCH(D2466,RulebookFields!A2:A1898, 0))), "")</f>
        <v>ChannelName</v>
      </c>
      <c r="J2466" s="4" t="b">
        <f>_xlfn.IFNA(IF(((INDEX(RulebookFields!I2:I1898, MATCH(D2466,RulebookFields!A2:A1898, 0))="")=TRUE),  "",  INDEX(RulebookFields!I2:I1898, MATCH(D2466,RulebookFields!A2:A1898, 0))), "")</f>
        <v>1</v>
      </c>
      <c r="K2466" s="4" t="b">
        <f>AND(((F2466)=TRUE), ((J2466)=TRUE))</f>
        <v>0</v>
      </c>
      <c r="L2466" s="4" t="b">
        <f>AND(((G2466 &lt;&gt; "plain")=TRUE), ((G2466 &lt;&gt; "")=TRUE))</f>
        <v>0</v>
      </c>
      <c r="M2466" s="4" t="str">
        <f>IF(((E2466)=TRUE),  C2466 &amp; "|" &amp; H2466,  "")</f>
        <v>principal-knowledge-authority|MessageDeliveries</v>
      </c>
      <c r="N2466" s="3" t="s">
        <v>10004</v>
      </c>
    </row>
    <row r="2467">
      <c r="A2467" s="3" t="s">
        <v>12469</v>
      </c>
      <c r="B2467" s="4" t="str">
        <f>C2467 &amp; " -&gt; " &amp; D2467</f>
        <v>principal-knowledge-authority -&gt; MessageDeliveries.PolicyRequiresConsent</v>
      </c>
      <c r="C2467" s="3" t="s">
        <v>9774</v>
      </c>
      <c r="D2467" s="3" t="s">
        <v>4476</v>
      </c>
      <c r="E2467" s="3" t="b">
        <v>1</v>
      </c>
      <c r="F2467" s="3" t="b">
        <v>0</v>
      </c>
      <c r="G2467" s="3" t="s">
        <v>10003</v>
      </c>
      <c r="H2467" s="4" t="str">
        <f>_xlfn.IFNA(IF(((INDEX(RulebookFields!C2:C1898, MATCH(D2467,RulebookFields!A2:A1898, 0))="")=TRUE),  "",  INDEX(RulebookFields!C2:C1898, MATCH(D2467,RulebookFields!A2:A1898, 0))), "")</f>
        <v>MessageDeliveries</v>
      </c>
      <c r="I2467" s="4" t="str">
        <f>_xlfn.IFNA(IF(((INDEX(RulebookFields!D2:D1898, MATCH(D2467,RulebookFields!A2:A1898, 0))="")=TRUE),  "",  INDEX(RulebookFields!D2:D1898, MATCH(D2467,RulebookFields!A2:A1898, 0))), "")</f>
        <v>PolicyRequiresConsent</v>
      </c>
      <c r="J2467" s="4" t="b">
        <f>_xlfn.IFNA(IF(((INDEX(RulebookFields!I2:I1898, MATCH(D2467,RulebookFields!A2:A1898, 0))="")=TRUE),  "",  INDEX(RulebookFields!I2:I1898, MATCH(D2467,RulebookFields!A2:A1898, 0))), "")</f>
        <v>1</v>
      </c>
      <c r="K2467" s="4" t="b">
        <f>AND(((F2467)=TRUE), ((J2467)=TRUE))</f>
        <v>0</v>
      </c>
      <c r="L2467" s="4" t="b">
        <f>AND(((G2467 &lt;&gt; "plain")=TRUE), ((G2467 &lt;&gt; "")=TRUE))</f>
        <v>0</v>
      </c>
      <c r="M2467" s="4" t="str">
        <f>IF(((E2467)=TRUE),  C2467 &amp; "|" &amp; H2467,  "")</f>
        <v>principal-knowledge-authority|MessageDeliveries</v>
      </c>
      <c r="N2467" s="3" t="s">
        <v>10004</v>
      </c>
    </row>
    <row r="2468">
      <c r="A2468" s="3" t="s">
        <v>12470</v>
      </c>
      <c r="B2468" s="4" t="str">
        <f>C2468 &amp; " -&gt; " &amp; D2468</f>
        <v>principal-knowledge-authority -&gt; MessageDeliveries.RecipientHasSmsConsent</v>
      </c>
      <c r="C2468" s="3" t="s">
        <v>9774</v>
      </c>
      <c r="D2468" s="3" t="s">
        <v>4479</v>
      </c>
      <c r="E2468" s="3" t="b">
        <v>1</v>
      </c>
      <c r="F2468" s="3" t="b">
        <v>0</v>
      </c>
      <c r="G2468" s="3" t="s">
        <v>10003</v>
      </c>
      <c r="H2468" s="4" t="str">
        <f>_xlfn.IFNA(IF(((INDEX(RulebookFields!C2:C1898, MATCH(D2468,RulebookFields!A2:A1898, 0))="")=TRUE),  "",  INDEX(RulebookFields!C2:C1898, MATCH(D2468,RulebookFields!A2:A1898, 0))), "")</f>
        <v>MessageDeliveries</v>
      </c>
      <c r="I2468" s="4" t="str">
        <f>_xlfn.IFNA(IF(((INDEX(RulebookFields!D2:D1898, MATCH(D2468,RulebookFields!A2:A1898, 0))="")=TRUE),  "",  INDEX(RulebookFields!D2:D1898, MATCH(D2468,RulebookFields!A2:A1898, 0))), "")</f>
        <v>RecipientHasSmsConsent</v>
      </c>
      <c r="J2468" s="4" t="b">
        <f>_xlfn.IFNA(IF(((INDEX(RulebookFields!I2:I1898, MATCH(D2468,RulebookFields!A2:A1898, 0))="")=TRUE),  "",  INDEX(RulebookFields!I2:I1898, MATCH(D2468,RulebookFields!A2:A1898, 0))), "")</f>
        <v>1</v>
      </c>
      <c r="K2468" s="4" t="b">
        <f>AND(((F2468)=TRUE), ((J2468)=TRUE))</f>
        <v>0</v>
      </c>
      <c r="L2468" s="4" t="b">
        <f>AND(((G2468 &lt;&gt; "plain")=TRUE), ((G2468 &lt;&gt; "")=TRUE))</f>
        <v>0</v>
      </c>
      <c r="M2468" s="4" t="str">
        <f>IF(((E2468)=TRUE),  C2468 &amp; "|" &amp; H2468,  "")</f>
        <v>principal-knowledge-authority|MessageDeliveries</v>
      </c>
      <c r="N2468" s="3" t="s">
        <v>10004</v>
      </c>
    </row>
    <row r="2469">
      <c r="A2469" s="3" t="s">
        <v>12471</v>
      </c>
      <c r="B2469" s="4" t="str">
        <f>C2469 &amp; " -&gt; " &amp; D2469</f>
        <v>principal-knowledge-authority -&gt; MessageDeliveries.WasActuallyTransmitted</v>
      </c>
      <c r="C2469" s="3" t="s">
        <v>9774</v>
      </c>
      <c r="D2469" s="3" t="s">
        <v>4482</v>
      </c>
      <c r="E2469" s="3" t="b">
        <v>1</v>
      </c>
      <c r="F2469" s="3" t="b">
        <v>0</v>
      </c>
      <c r="G2469" s="3" t="s">
        <v>10003</v>
      </c>
      <c r="H2469" s="4" t="str">
        <f>_xlfn.IFNA(IF(((INDEX(RulebookFields!C2:C1898, MATCH(D2469,RulebookFields!A2:A1898, 0))="")=TRUE),  "",  INDEX(RulebookFields!C2:C1898, MATCH(D2469,RulebookFields!A2:A1898, 0))), "")</f>
        <v>MessageDeliveries</v>
      </c>
      <c r="I2469" s="4" t="str">
        <f>_xlfn.IFNA(IF(((INDEX(RulebookFields!D2:D1898, MATCH(D2469,RulebookFields!A2:A1898, 0))="")=TRUE),  "",  INDEX(RulebookFields!D2:D1898, MATCH(D2469,RulebookFields!A2:A1898, 0))), "")</f>
        <v>WasActuallyTransmitted</v>
      </c>
      <c r="J2469" s="4" t="b">
        <f>_xlfn.IFNA(IF(((INDEX(RulebookFields!I2:I1898, MATCH(D2469,RulebookFields!A2:A1898, 0))="")=TRUE),  "",  INDEX(RulebookFields!I2:I1898, MATCH(D2469,RulebookFields!A2:A1898, 0))), "")</f>
        <v>1</v>
      </c>
      <c r="K2469" s="4" t="b">
        <f>AND(((F2469)=TRUE), ((J2469)=TRUE))</f>
        <v>0</v>
      </c>
      <c r="L2469" s="4" t="b">
        <f>AND(((G2469 &lt;&gt; "plain")=TRUE), ((G2469 &lt;&gt; "")=TRUE))</f>
        <v>0</v>
      </c>
      <c r="M2469" s="4" t="str">
        <f>IF(((E2469)=TRUE),  C2469 &amp; "|" &amp; H2469,  "")</f>
        <v>principal-knowledge-authority|MessageDeliveries</v>
      </c>
      <c r="N2469" s="3" t="s">
        <v>10004</v>
      </c>
    </row>
    <row r="2470">
      <c r="A2470" s="3" t="s">
        <v>12472</v>
      </c>
      <c r="B2470" s="4" t="str">
        <f>C2470 &amp; " -&gt; " &amp; D2470</f>
        <v>principal-knowledge-authority -&gt; MessageDeliveries.IsConsentViolation</v>
      </c>
      <c r="C2470" s="3" t="s">
        <v>9774</v>
      </c>
      <c r="D2470" s="3" t="s">
        <v>4485</v>
      </c>
      <c r="E2470" s="3" t="b">
        <v>1</v>
      </c>
      <c r="F2470" s="3" t="b">
        <v>0</v>
      </c>
      <c r="G2470" s="3" t="s">
        <v>10003</v>
      </c>
      <c r="H2470" s="4" t="str">
        <f>_xlfn.IFNA(IF(((INDEX(RulebookFields!C2:C1898, MATCH(D2470,RulebookFields!A2:A1898, 0))="")=TRUE),  "",  INDEX(RulebookFields!C2:C1898, MATCH(D2470,RulebookFields!A2:A1898, 0))), "")</f>
        <v>MessageDeliveries</v>
      </c>
      <c r="I2470" s="4" t="str">
        <f>_xlfn.IFNA(IF(((INDEX(RulebookFields!D2:D1898, MATCH(D2470,RulebookFields!A2:A1898, 0))="")=TRUE),  "",  INDEX(RulebookFields!D2:D1898, MATCH(D2470,RulebookFields!A2:A1898, 0))), "")</f>
        <v>IsConsentViolation</v>
      </c>
      <c r="J2470" s="4" t="b">
        <f>_xlfn.IFNA(IF(((INDEX(RulebookFields!I2:I1898, MATCH(D2470,RulebookFields!A2:A1898, 0))="")=TRUE),  "",  INDEX(RulebookFields!I2:I1898, MATCH(D2470,RulebookFields!A2:A1898, 0))), "")</f>
        <v>1</v>
      </c>
      <c r="K2470" s="4" t="b">
        <f>AND(((F2470)=TRUE), ((J2470)=TRUE))</f>
        <v>0</v>
      </c>
      <c r="L2470" s="4" t="b">
        <f>AND(((G2470 &lt;&gt; "plain")=TRUE), ((G2470 &lt;&gt; "")=TRUE))</f>
        <v>0</v>
      </c>
      <c r="M2470" s="4" t="str">
        <f>IF(((E2470)=TRUE),  C2470 &amp; "|" &amp; H2470,  "")</f>
        <v>principal-knowledge-authority|MessageDeliveries</v>
      </c>
      <c r="N2470" s="3" t="s">
        <v>10004</v>
      </c>
    </row>
    <row r="2471">
      <c r="A2471" s="3" t="s">
        <v>12473</v>
      </c>
      <c r="B2471" s="4" t="str">
        <f>C2471 &amp; " -&gt; " &amp; D2471</f>
        <v>principal-knowledge-authority -&gt; MessageDeliveries.ConsentViolationPolicyKey</v>
      </c>
      <c r="C2471" s="3" t="s">
        <v>9774</v>
      </c>
      <c r="D2471" s="3" t="s">
        <v>4488</v>
      </c>
      <c r="E2471" s="3" t="b">
        <v>1</v>
      </c>
      <c r="F2471" s="3" t="b">
        <v>0</v>
      </c>
      <c r="G2471" s="3" t="s">
        <v>10003</v>
      </c>
      <c r="H2471" s="4" t="str">
        <f>_xlfn.IFNA(IF(((INDEX(RulebookFields!C2:C1898, MATCH(D2471,RulebookFields!A2:A1898, 0))="")=TRUE),  "",  INDEX(RulebookFields!C2:C1898, MATCH(D2471,RulebookFields!A2:A1898, 0))), "")</f>
        <v>MessageDeliveries</v>
      </c>
      <c r="I2471" s="4" t="str">
        <f>_xlfn.IFNA(IF(((INDEX(RulebookFields!D2:D1898, MATCH(D2471,RulebookFields!A2:A1898, 0))="")=TRUE),  "",  INDEX(RulebookFields!D2:D1898, MATCH(D2471,RulebookFields!A2:A1898, 0))), "")</f>
        <v>ConsentViolationPolicyKey</v>
      </c>
      <c r="J2471" s="4" t="b">
        <f>_xlfn.IFNA(IF(((INDEX(RulebookFields!I2:I1898, MATCH(D2471,RulebookFields!A2:A1898, 0))="")=TRUE),  "",  INDEX(RulebookFields!I2:I1898, MATCH(D2471,RulebookFields!A2:A1898, 0))), "")</f>
        <v>1</v>
      </c>
      <c r="K2471" s="4" t="b">
        <f>AND(((F2471)=TRUE), ((J2471)=TRUE))</f>
        <v>0</v>
      </c>
      <c r="L2471" s="4" t="b">
        <f>AND(((G2471 &lt;&gt; "plain")=TRUE), ((G2471 &lt;&gt; "")=TRUE))</f>
        <v>0</v>
      </c>
      <c r="M2471" s="4" t="str">
        <f>IF(((E2471)=TRUE),  C2471 &amp; "|" &amp; H2471,  "")</f>
        <v>principal-knowledge-authority|MessageDeliveries</v>
      </c>
      <c r="N2471" s="3" t="s">
        <v>10004</v>
      </c>
    </row>
    <row r="2472">
      <c r="A2472" s="3" t="s">
        <v>12474</v>
      </c>
      <c r="B2472" s="4" t="str">
        <f>C2472 &amp; " -&gt; " &amp; D2472</f>
        <v>principal-knowledge-authority -&gt; MessageDeliveries.PolicyQuietHoursStartHour</v>
      </c>
      <c r="C2472" s="3" t="s">
        <v>9774</v>
      </c>
      <c r="D2472" s="3" t="s">
        <v>4491</v>
      </c>
      <c r="E2472" s="3" t="b">
        <v>1</v>
      </c>
      <c r="F2472" s="3" t="b">
        <v>0</v>
      </c>
      <c r="G2472" s="3" t="s">
        <v>10003</v>
      </c>
      <c r="H2472" s="4" t="str">
        <f>_xlfn.IFNA(IF(((INDEX(RulebookFields!C2:C1898, MATCH(D2472,RulebookFields!A2:A1898, 0))="")=TRUE),  "",  INDEX(RulebookFields!C2:C1898, MATCH(D2472,RulebookFields!A2:A1898, 0))), "")</f>
        <v>MessageDeliveries</v>
      </c>
      <c r="I2472" s="4" t="str">
        <f>_xlfn.IFNA(IF(((INDEX(RulebookFields!D2:D1898, MATCH(D2472,RulebookFields!A2:A1898, 0))="")=TRUE),  "",  INDEX(RulebookFields!D2:D1898, MATCH(D2472,RulebookFields!A2:A1898, 0))), "")</f>
        <v>PolicyQuietHoursStartHour</v>
      </c>
      <c r="J2472" s="4" t="b">
        <f>_xlfn.IFNA(IF(((INDEX(RulebookFields!I2:I1898, MATCH(D2472,RulebookFields!A2:A1898, 0))="")=TRUE),  "",  INDEX(RulebookFields!I2:I1898, MATCH(D2472,RulebookFields!A2:A1898, 0))), "")</f>
        <v>1</v>
      </c>
      <c r="K2472" s="4" t="b">
        <f>AND(((F2472)=TRUE), ((J2472)=TRUE))</f>
        <v>0</v>
      </c>
      <c r="L2472" s="4" t="b">
        <f>AND(((G2472 &lt;&gt; "plain")=TRUE), ((G2472 &lt;&gt; "")=TRUE))</f>
        <v>0</v>
      </c>
      <c r="M2472" s="4" t="str">
        <f>IF(((E2472)=TRUE),  C2472 &amp; "|" &amp; H2472,  "")</f>
        <v>principal-knowledge-authority|MessageDeliveries</v>
      </c>
      <c r="N2472" s="3" t="s">
        <v>10004</v>
      </c>
    </row>
    <row r="2473">
      <c r="A2473" s="3" t="s">
        <v>12475</v>
      </c>
      <c r="B2473" s="4" t="str">
        <f>C2473 &amp; " -&gt; " &amp; D2473</f>
        <v>principal-knowledge-authority -&gt; MessageDeliveries.PolicyQuietHoursEndHour</v>
      </c>
      <c r="C2473" s="3" t="s">
        <v>9774</v>
      </c>
      <c r="D2473" s="3" t="s">
        <v>4494</v>
      </c>
      <c r="E2473" s="3" t="b">
        <v>1</v>
      </c>
      <c r="F2473" s="3" t="b">
        <v>0</v>
      </c>
      <c r="G2473" s="3" t="s">
        <v>10003</v>
      </c>
      <c r="H2473" s="4" t="str">
        <f>_xlfn.IFNA(IF(((INDEX(RulebookFields!C2:C1898, MATCH(D2473,RulebookFields!A2:A1898, 0))="")=TRUE),  "",  INDEX(RulebookFields!C2:C1898, MATCH(D2473,RulebookFields!A2:A1898, 0))), "")</f>
        <v>MessageDeliveries</v>
      </c>
      <c r="I2473" s="4" t="str">
        <f>_xlfn.IFNA(IF(((INDEX(RulebookFields!D2:D1898, MATCH(D2473,RulebookFields!A2:A1898, 0))="")=TRUE),  "",  INDEX(RulebookFields!D2:D1898, MATCH(D2473,RulebookFields!A2:A1898, 0))), "")</f>
        <v>PolicyQuietHoursEndHour</v>
      </c>
      <c r="J2473" s="4" t="b">
        <f>_xlfn.IFNA(IF(((INDEX(RulebookFields!I2:I1898, MATCH(D2473,RulebookFields!A2:A1898, 0))="")=TRUE),  "",  INDEX(RulebookFields!I2:I1898, MATCH(D2473,RulebookFields!A2:A1898, 0))), "")</f>
        <v>1</v>
      </c>
      <c r="K2473" s="4" t="b">
        <f>AND(((F2473)=TRUE), ((J2473)=TRUE))</f>
        <v>0</v>
      </c>
      <c r="L2473" s="4" t="b">
        <f>AND(((G2473 &lt;&gt; "plain")=TRUE), ((G2473 &lt;&gt; "")=TRUE))</f>
        <v>0</v>
      </c>
      <c r="M2473" s="4" t="str">
        <f>IF(((E2473)=TRUE),  C2473 &amp; "|" &amp; H2473,  "")</f>
        <v>principal-knowledge-authority|MessageDeliveries</v>
      </c>
      <c r="N2473" s="3" t="s">
        <v>10004</v>
      </c>
    </row>
    <row r="2474">
      <c r="A2474" s="3" t="s">
        <v>12476</v>
      </c>
      <c r="B2474" s="4" t="str">
        <f>C2474 &amp; " -&gt; " &amp; D2474</f>
        <v>principal-knowledge-authority -&gt; MessageDeliveries.PolicyHasQuietHours</v>
      </c>
      <c r="C2474" s="3" t="s">
        <v>9774</v>
      </c>
      <c r="D2474" s="3" t="s">
        <v>4497</v>
      </c>
      <c r="E2474" s="3" t="b">
        <v>1</v>
      </c>
      <c r="F2474" s="3" t="b">
        <v>0</v>
      </c>
      <c r="G2474" s="3" t="s">
        <v>10003</v>
      </c>
      <c r="H2474" s="4" t="str">
        <f>_xlfn.IFNA(IF(((INDEX(RulebookFields!C2:C1898, MATCH(D2474,RulebookFields!A2:A1898, 0))="")=TRUE),  "",  INDEX(RulebookFields!C2:C1898, MATCH(D2474,RulebookFields!A2:A1898, 0))), "")</f>
        <v>MessageDeliveries</v>
      </c>
      <c r="I2474" s="4" t="str">
        <f>_xlfn.IFNA(IF(((INDEX(RulebookFields!D2:D1898, MATCH(D2474,RulebookFields!A2:A1898, 0))="")=TRUE),  "",  INDEX(RulebookFields!D2:D1898, MATCH(D2474,RulebookFields!A2:A1898, 0))), "")</f>
        <v>PolicyHasQuietHours</v>
      </c>
      <c r="J2474" s="4" t="b">
        <f>_xlfn.IFNA(IF(((INDEX(RulebookFields!I2:I1898, MATCH(D2474,RulebookFields!A2:A1898, 0))="")=TRUE),  "",  INDEX(RulebookFields!I2:I1898, MATCH(D2474,RulebookFields!A2:A1898, 0))), "")</f>
        <v>1</v>
      </c>
      <c r="K2474" s="4" t="b">
        <f>AND(((F2474)=TRUE), ((J2474)=TRUE))</f>
        <v>0</v>
      </c>
      <c r="L2474" s="4" t="b">
        <f>AND(((G2474 &lt;&gt; "plain")=TRUE), ((G2474 &lt;&gt; "")=TRUE))</f>
        <v>0</v>
      </c>
      <c r="M2474" s="4" t="str">
        <f>IF(((E2474)=TRUE),  C2474 &amp; "|" &amp; H2474,  "")</f>
        <v>principal-knowledge-authority|MessageDeliveries</v>
      </c>
      <c r="N2474" s="3" t="s">
        <v>10004</v>
      </c>
    </row>
    <row r="2475">
      <c r="A2475" s="3" t="s">
        <v>12477</v>
      </c>
      <c r="B2475" s="4" t="str">
        <f>C2475 &amp; " -&gt; " &amp; D2475</f>
        <v>principal-knowledge-authority -&gt; MessageDeliveries.QuietWindowWrapsMidnight</v>
      </c>
      <c r="C2475" s="3" t="s">
        <v>9774</v>
      </c>
      <c r="D2475" s="3" t="s">
        <v>4500</v>
      </c>
      <c r="E2475" s="3" t="b">
        <v>1</v>
      </c>
      <c r="F2475" s="3" t="b">
        <v>0</v>
      </c>
      <c r="G2475" s="3" t="s">
        <v>10003</v>
      </c>
      <c r="H2475" s="4" t="str">
        <f>_xlfn.IFNA(IF(((INDEX(RulebookFields!C2:C1898, MATCH(D2475,RulebookFields!A2:A1898, 0))="")=TRUE),  "",  INDEX(RulebookFields!C2:C1898, MATCH(D2475,RulebookFields!A2:A1898, 0))), "")</f>
        <v>MessageDeliveries</v>
      </c>
      <c r="I2475" s="4" t="str">
        <f>_xlfn.IFNA(IF(((INDEX(RulebookFields!D2:D1898, MATCH(D2475,RulebookFields!A2:A1898, 0))="")=TRUE),  "",  INDEX(RulebookFields!D2:D1898, MATCH(D2475,RulebookFields!A2:A1898, 0))), "")</f>
        <v>QuietWindowWrapsMidnight</v>
      </c>
      <c r="J2475" s="4" t="b">
        <f>_xlfn.IFNA(IF(((INDEX(RulebookFields!I2:I1898, MATCH(D2475,RulebookFields!A2:A1898, 0))="")=TRUE),  "",  INDEX(RulebookFields!I2:I1898, MATCH(D2475,RulebookFields!A2:A1898, 0))), "")</f>
        <v>1</v>
      </c>
      <c r="K2475" s="4" t="b">
        <f>AND(((F2475)=TRUE), ((J2475)=TRUE))</f>
        <v>0</v>
      </c>
      <c r="L2475" s="4" t="b">
        <f>AND(((G2475 &lt;&gt; "plain")=TRUE), ((G2475 &lt;&gt; "")=TRUE))</f>
        <v>0</v>
      </c>
      <c r="M2475" s="4" t="str">
        <f>IF(((E2475)=TRUE),  C2475 &amp; "|" &amp; H2475,  "")</f>
        <v>principal-knowledge-authority|MessageDeliveries</v>
      </c>
      <c r="N2475" s="3" t="s">
        <v>10004</v>
      </c>
    </row>
    <row r="2476">
      <c r="A2476" s="3" t="s">
        <v>12478</v>
      </c>
      <c r="B2476" s="4" t="str">
        <f>C2476 &amp; " -&gt; " &amp; D2476</f>
        <v>principal-knowledge-authority -&gt; MessageDeliveries.IsInsideQuietWindow</v>
      </c>
      <c r="C2476" s="3" t="s">
        <v>9774</v>
      </c>
      <c r="D2476" s="3" t="s">
        <v>4503</v>
      </c>
      <c r="E2476" s="3" t="b">
        <v>1</v>
      </c>
      <c r="F2476" s="3" t="b">
        <v>0</v>
      </c>
      <c r="G2476" s="3" t="s">
        <v>10003</v>
      </c>
      <c r="H2476" s="4" t="str">
        <f>_xlfn.IFNA(IF(((INDEX(RulebookFields!C2:C1898, MATCH(D2476,RulebookFields!A2:A1898, 0))="")=TRUE),  "",  INDEX(RulebookFields!C2:C1898, MATCH(D2476,RulebookFields!A2:A1898, 0))), "")</f>
        <v>MessageDeliveries</v>
      </c>
      <c r="I2476" s="4" t="str">
        <f>_xlfn.IFNA(IF(((INDEX(RulebookFields!D2:D1898, MATCH(D2476,RulebookFields!A2:A1898, 0))="")=TRUE),  "",  INDEX(RulebookFields!D2:D1898, MATCH(D2476,RulebookFields!A2:A1898, 0))), "")</f>
        <v>IsInsideQuietWindow</v>
      </c>
      <c r="J2476" s="4" t="b">
        <f>_xlfn.IFNA(IF(((INDEX(RulebookFields!I2:I1898, MATCH(D2476,RulebookFields!A2:A1898, 0))="")=TRUE),  "",  INDEX(RulebookFields!I2:I1898, MATCH(D2476,RulebookFields!A2:A1898, 0))), "")</f>
        <v>1</v>
      </c>
      <c r="K2476" s="4" t="b">
        <f>AND(((F2476)=TRUE), ((J2476)=TRUE))</f>
        <v>0</v>
      </c>
      <c r="L2476" s="4" t="b">
        <f>AND(((G2476 &lt;&gt; "plain")=TRUE), ((G2476 &lt;&gt; "")=TRUE))</f>
        <v>0</v>
      </c>
      <c r="M2476" s="4" t="str">
        <f>IF(((E2476)=TRUE),  C2476 &amp; "|" &amp; H2476,  "")</f>
        <v>principal-knowledge-authority|MessageDeliveries</v>
      </c>
      <c r="N2476" s="3" t="s">
        <v>10004</v>
      </c>
    </row>
    <row r="2477">
      <c r="A2477" s="3" t="s">
        <v>12479</v>
      </c>
      <c r="B2477" s="4" t="str">
        <f>C2477 &amp; " -&gt; " &amp; D2477</f>
        <v>principal-knowledge-authority -&gt; MessageDeliveries.IsQuietHoursViolation</v>
      </c>
      <c r="C2477" s="3" t="s">
        <v>9774</v>
      </c>
      <c r="D2477" s="3" t="s">
        <v>4506</v>
      </c>
      <c r="E2477" s="3" t="b">
        <v>1</v>
      </c>
      <c r="F2477" s="3" t="b">
        <v>0</v>
      </c>
      <c r="G2477" s="3" t="s">
        <v>10003</v>
      </c>
      <c r="H2477" s="4" t="str">
        <f>_xlfn.IFNA(IF(((INDEX(RulebookFields!C2:C1898, MATCH(D2477,RulebookFields!A2:A1898, 0))="")=TRUE),  "",  INDEX(RulebookFields!C2:C1898, MATCH(D2477,RulebookFields!A2:A1898, 0))), "")</f>
        <v>MessageDeliveries</v>
      </c>
      <c r="I2477" s="4" t="str">
        <f>_xlfn.IFNA(IF(((INDEX(RulebookFields!D2:D1898, MATCH(D2477,RulebookFields!A2:A1898, 0))="")=TRUE),  "",  INDEX(RulebookFields!D2:D1898, MATCH(D2477,RulebookFields!A2:A1898, 0))), "")</f>
        <v>IsQuietHoursViolation</v>
      </c>
      <c r="J2477" s="4" t="b">
        <f>_xlfn.IFNA(IF(((INDEX(RulebookFields!I2:I1898, MATCH(D2477,RulebookFields!A2:A1898, 0))="")=TRUE),  "",  INDEX(RulebookFields!I2:I1898, MATCH(D2477,RulebookFields!A2:A1898, 0))), "")</f>
        <v>1</v>
      </c>
      <c r="K2477" s="4" t="b">
        <f>AND(((F2477)=TRUE), ((J2477)=TRUE))</f>
        <v>0</v>
      </c>
      <c r="L2477" s="4" t="b">
        <f>AND(((G2477 &lt;&gt; "plain")=TRUE), ((G2477 &lt;&gt; "")=TRUE))</f>
        <v>0</v>
      </c>
      <c r="M2477" s="4" t="str">
        <f>IF(((E2477)=TRUE),  C2477 &amp; "|" &amp; H2477,  "")</f>
        <v>principal-knowledge-authority|MessageDeliveries</v>
      </c>
      <c r="N2477" s="3" t="s">
        <v>10004</v>
      </c>
    </row>
    <row r="2478">
      <c r="A2478" s="3" t="s">
        <v>12480</v>
      </c>
      <c r="B2478" s="4" t="str">
        <f>C2478 &amp; " -&gt; " &amp; D2478</f>
        <v>principal-knowledge-authority -&gt; MessageDeliveries.QuietHoursViolationPolicyKey</v>
      </c>
      <c r="C2478" s="3" t="s">
        <v>9774</v>
      </c>
      <c r="D2478" s="3" t="s">
        <v>4509</v>
      </c>
      <c r="E2478" s="3" t="b">
        <v>1</v>
      </c>
      <c r="F2478" s="3" t="b">
        <v>0</v>
      </c>
      <c r="G2478" s="3" t="s">
        <v>10003</v>
      </c>
      <c r="H2478" s="4" t="str">
        <f>_xlfn.IFNA(IF(((INDEX(RulebookFields!C2:C1898, MATCH(D2478,RulebookFields!A2:A1898, 0))="")=TRUE),  "",  INDEX(RulebookFields!C2:C1898, MATCH(D2478,RulebookFields!A2:A1898, 0))), "")</f>
        <v>MessageDeliveries</v>
      </c>
      <c r="I2478" s="4" t="str">
        <f>_xlfn.IFNA(IF(((INDEX(RulebookFields!D2:D1898, MATCH(D2478,RulebookFields!A2:A1898, 0))="")=TRUE),  "",  INDEX(RulebookFields!D2:D1898, MATCH(D2478,RulebookFields!A2:A1898, 0))), "")</f>
        <v>QuietHoursViolationPolicyKey</v>
      </c>
      <c r="J2478" s="4" t="b">
        <f>_xlfn.IFNA(IF(((INDEX(RulebookFields!I2:I1898, MATCH(D2478,RulebookFields!A2:A1898, 0))="")=TRUE),  "",  INDEX(RulebookFields!I2:I1898, MATCH(D2478,RulebookFields!A2:A1898, 0))), "")</f>
        <v>1</v>
      </c>
      <c r="K2478" s="4" t="b">
        <f>AND(((F2478)=TRUE), ((J2478)=TRUE))</f>
        <v>0</v>
      </c>
      <c r="L2478" s="4" t="b">
        <f>AND(((G2478 &lt;&gt; "plain")=TRUE), ((G2478 &lt;&gt; "")=TRUE))</f>
        <v>0</v>
      </c>
      <c r="M2478" s="4" t="str">
        <f>IF(((E2478)=TRUE),  C2478 &amp; "|" &amp; H2478,  "")</f>
        <v>principal-knowledge-authority|MessageDeliveries</v>
      </c>
      <c r="N2478" s="3" t="s">
        <v>10004</v>
      </c>
    </row>
    <row r="2479">
      <c r="A2479" s="3" t="s">
        <v>12481</v>
      </c>
      <c r="B2479" s="4" t="str">
        <f>C2479 &amp; " -&gt; " &amp; D2479</f>
        <v>principal-knowledge-authority -&gt; MessageDeliveries.RecipientIsUnreachable</v>
      </c>
      <c r="C2479" s="3" t="s">
        <v>9774</v>
      </c>
      <c r="D2479" s="3" t="s">
        <v>4512</v>
      </c>
      <c r="E2479" s="3" t="b">
        <v>1</v>
      </c>
      <c r="F2479" s="3" t="b">
        <v>0</v>
      </c>
      <c r="G2479" s="3" t="s">
        <v>10003</v>
      </c>
      <c r="H2479" s="4" t="str">
        <f>_xlfn.IFNA(IF(((INDEX(RulebookFields!C2:C1898, MATCH(D2479,RulebookFields!A2:A1898, 0))="")=TRUE),  "",  INDEX(RulebookFields!C2:C1898, MATCH(D2479,RulebookFields!A2:A1898, 0))), "")</f>
        <v>MessageDeliveries</v>
      </c>
      <c r="I2479" s="4" t="str">
        <f>_xlfn.IFNA(IF(((INDEX(RulebookFields!D2:D1898, MATCH(D2479,RulebookFields!A2:A1898, 0))="")=TRUE),  "",  INDEX(RulebookFields!D2:D1898, MATCH(D2479,RulebookFields!A2:A1898, 0))), "")</f>
        <v>RecipientIsUnreachable</v>
      </c>
      <c r="J2479" s="4" t="b">
        <f>_xlfn.IFNA(IF(((INDEX(RulebookFields!I2:I1898, MATCH(D2479,RulebookFields!A2:A1898, 0))="")=TRUE),  "",  INDEX(RulebookFields!I2:I1898, MATCH(D2479,RulebookFields!A2:A1898, 0))), "")</f>
        <v>1</v>
      </c>
      <c r="K2479" s="4" t="b">
        <f>AND(((F2479)=TRUE), ((J2479)=TRUE))</f>
        <v>0</v>
      </c>
      <c r="L2479" s="4" t="b">
        <f>AND(((G2479 &lt;&gt; "plain")=TRUE), ((G2479 &lt;&gt; "")=TRUE))</f>
        <v>0</v>
      </c>
      <c r="M2479" s="4" t="str">
        <f>IF(((E2479)=TRUE),  C2479 &amp; "|" &amp; H2479,  "")</f>
        <v>principal-knowledge-authority|MessageDeliveries</v>
      </c>
      <c r="N2479" s="3" t="s">
        <v>10004</v>
      </c>
    </row>
    <row r="2480">
      <c r="A2480" s="3" t="s">
        <v>12482</v>
      </c>
      <c r="B2480" s="4" t="str">
        <f>C2480 &amp; " -&gt; " &amp; D2480</f>
        <v>principal-knowledge-authority -&gt; MessageDeliveries.IsAcknowledged</v>
      </c>
      <c r="C2480" s="3" t="s">
        <v>9774</v>
      </c>
      <c r="D2480" s="3" t="s">
        <v>4515</v>
      </c>
      <c r="E2480" s="3" t="b">
        <v>1</v>
      </c>
      <c r="F2480" s="3" t="b">
        <v>0</v>
      </c>
      <c r="G2480" s="3" t="s">
        <v>10003</v>
      </c>
      <c r="H2480" s="4" t="str">
        <f>_xlfn.IFNA(IF(((INDEX(RulebookFields!C2:C1898, MATCH(D2480,RulebookFields!A2:A1898, 0))="")=TRUE),  "",  INDEX(RulebookFields!C2:C1898, MATCH(D2480,RulebookFields!A2:A1898, 0))), "")</f>
        <v>MessageDeliveries</v>
      </c>
      <c r="I2480" s="4" t="str">
        <f>_xlfn.IFNA(IF(((INDEX(RulebookFields!D2:D1898, MATCH(D2480,RulebookFields!A2:A1898, 0))="")=TRUE),  "",  INDEX(RulebookFields!D2:D1898, MATCH(D2480,RulebookFields!A2:A1898, 0))), "")</f>
        <v>IsAcknowledged</v>
      </c>
      <c r="J2480" s="4" t="b">
        <f>_xlfn.IFNA(IF(((INDEX(RulebookFields!I2:I1898, MATCH(D2480,RulebookFields!A2:A1898, 0))="")=TRUE),  "",  INDEX(RulebookFields!I2:I1898, MATCH(D2480,RulebookFields!A2:A1898, 0))), "")</f>
        <v>1</v>
      </c>
      <c r="K2480" s="4" t="b">
        <f>AND(((F2480)=TRUE), ((J2480)=TRUE))</f>
        <v>0</v>
      </c>
      <c r="L2480" s="4" t="b">
        <f>AND(((G2480 &lt;&gt; "plain")=TRUE), ((G2480 &lt;&gt; "")=TRUE))</f>
        <v>0</v>
      </c>
      <c r="M2480" s="4" t="str">
        <f>IF(((E2480)=TRUE),  C2480 &amp; "|" &amp; H2480,  "")</f>
        <v>principal-knowledge-authority|MessageDeliveries</v>
      </c>
      <c r="N2480" s="3" t="s">
        <v>10004</v>
      </c>
    </row>
    <row r="2481">
      <c r="A2481" s="3" t="s">
        <v>12483</v>
      </c>
      <c r="B2481" s="4" t="str">
        <f>C2481 &amp; " -&gt; " &amp; D2481</f>
        <v>principal-knowledge-authority -&gt; MessageDeliveries.InvokedExceptionCondition</v>
      </c>
      <c r="C2481" s="3" t="s">
        <v>9774</v>
      </c>
      <c r="D2481" s="3" t="s">
        <v>4518</v>
      </c>
      <c r="E2481" s="3" t="b">
        <v>1</v>
      </c>
      <c r="F2481" s="3" t="b">
        <v>0</v>
      </c>
      <c r="G2481" s="3" t="s">
        <v>10003</v>
      </c>
      <c r="H2481" s="4" t="str">
        <f>_xlfn.IFNA(IF(((INDEX(RulebookFields!C2:C1898, MATCH(D2481,RulebookFields!A2:A1898, 0))="")=TRUE),  "",  INDEX(RulebookFields!C2:C1898, MATCH(D2481,RulebookFields!A2:A1898, 0))), "")</f>
        <v>MessageDeliveries</v>
      </c>
      <c r="I2481" s="4" t="str">
        <f>_xlfn.IFNA(IF(((INDEX(RulebookFields!D2:D1898, MATCH(D2481,RulebookFields!A2:A1898, 0))="")=TRUE),  "",  INDEX(RulebookFields!D2:D1898, MATCH(D2481,RulebookFields!A2:A1898, 0))), "")</f>
        <v>InvokedExceptionCondition</v>
      </c>
      <c r="J2481" s="4" t="b">
        <f>_xlfn.IFNA(IF(((INDEX(RulebookFields!I2:I1898, MATCH(D2481,RulebookFields!A2:A1898, 0))="")=TRUE),  "",  INDEX(RulebookFields!I2:I1898, MATCH(D2481,RulebookFields!A2:A1898, 0))), "")</f>
        <v>1</v>
      </c>
      <c r="K2481" s="4" t="b">
        <f>AND(((F2481)=TRUE), ((J2481)=TRUE))</f>
        <v>0</v>
      </c>
      <c r="L2481" s="4" t="b">
        <f>AND(((G2481 &lt;&gt; "plain")=TRUE), ((G2481 &lt;&gt; "")=TRUE))</f>
        <v>0</v>
      </c>
      <c r="M2481" s="4" t="str">
        <f>IF(((E2481)=TRUE),  C2481 &amp; "|" &amp; H2481,  "")</f>
        <v>principal-knowledge-authority|MessageDeliveries</v>
      </c>
      <c r="N2481" s="3" t="s">
        <v>10004</v>
      </c>
    </row>
    <row r="2482">
      <c r="A2482" s="3" t="s">
        <v>12484</v>
      </c>
      <c r="B2482" s="4" t="str">
        <f>C2482 &amp; " -&gt; " &amp; D2482</f>
        <v>principal-knowledge-authority -&gt; MessageDeliveries.HasUnreachableExceptionInvoked</v>
      </c>
      <c r="C2482" s="3" t="s">
        <v>9774</v>
      </c>
      <c r="D2482" s="3" t="s">
        <v>4521</v>
      </c>
      <c r="E2482" s="3" t="b">
        <v>1</v>
      </c>
      <c r="F2482" s="3" t="b">
        <v>0</v>
      </c>
      <c r="G2482" s="3" t="s">
        <v>10003</v>
      </c>
      <c r="H2482" s="4" t="str">
        <f>_xlfn.IFNA(IF(((INDEX(RulebookFields!C2:C1898, MATCH(D2482,RulebookFields!A2:A1898, 0))="")=TRUE),  "",  INDEX(RulebookFields!C2:C1898, MATCH(D2482,RulebookFields!A2:A1898, 0))), "")</f>
        <v>MessageDeliveries</v>
      </c>
      <c r="I2482" s="4" t="str">
        <f>_xlfn.IFNA(IF(((INDEX(RulebookFields!D2:D1898, MATCH(D2482,RulebookFields!A2:A1898, 0))="")=TRUE),  "",  INDEX(RulebookFields!D2:D1898, MATCH(D2482,RulebookFields!A2:A1898, 0))), "")</f>
        <v>HasUnreachableExceptionInvoked</v>
      </c>
      <c r="J2482" s="4" t="b">
        <f>_xlfn.IFNA(IF(((INDEX(RulebookFields!I2:I1898, MATCH(D2482,RulebookFields!A2:A1898, 0))="")=TRUE),  "",  INDEX(RulebookFields!I2:I1898, MATCH(D2482,RulebookFields!A2:A1898, 0))), "")</f>
        <v>1</v>
      </c>
      <c r="K2482" s="4" t="b">
        <f>AND(((F2482)=TRUE), ((J2482)=TRUE))</f>
        <v>0</v>
      </c>
      <c r="L2482" s="4" t="b">
        <f>AND(((G2482 &lt;&gt; "plain")=TRUE), ((G2482 &lt;&gt; "")=TRUE))</f>
        <v>0</v>
      </c>
      <c r="M2482" s="4" t="str">
        <f>IF(((E2482)=TRUE),  C2482 &amp; "|" &amp; H2482,  "")</f>
        <v>principal-knowledge-authority|MessageDeliveries</v>
      </c>
      <c r="N2482" s="3" t="s">
        <v>10004</v>
      </c>
    </row>
    <row r="2483">
      <c r="A2483" s="3" t="s">
        <v>12485</v>
      </c>
      <c r="B2483" s="4" t="str">
        <f>C2483 &amp; " -&gt; " &amp; D2483</f>
        <v>principal-knowledge-authority -&gt; MessageDeliveries.IsFabricatedAcknowledgement</v>
      </c>
      <c r="C2483" s="3" t="s">
        <v>9774</v>
      </c>
      <c r="D2483" s="3" t="s">
        <v>4524</v>
      </c>
      <c r="E2483" s="3" t="b">
        <v>1</v>
      </c>
      <c r="F2483" s="3" t="b">
        <v>0</v>
      </c>
      <c r="G2483" s="3" t="s">
        <v>10003</v>
      </c>
      <c r="H2483" s="4" t="str">
        <f>_xlfn.IFNA(IF(((INDEX(RulebookFields!C2:C1898, MATCH(D2483,RulebookFields!A2:A1898, 0))="")=TRUE),  "",  INDEX(RulebookFields!C2:C1898, MATCH(D2483,RulebookFields!A2:A1898, 0))), "")</f>
        <v>MessageDeliveries</v>
      </c>
      <c r="I2483" s="4" t="str">
        <f>_xlfn.IFNA(IF(((INDEX(RulebookFields!D2:D1898, MATCH(D2483,RulebookFields!A2:A1898, 0))="")=TRUE),  "",  INDEX(RulebookFields!D2:D1898, MATCH(D2483,RulebookFields!A2:A1898, 0))), "")</f>
        <v>IsFabricatedAcknowledgement</v>
      </c>
      <c r="J2483" s="4" t="b">
        <f>_xlfn.IFNA(IF(((INDEX(RulebookFields!I2:I1898, MATCH(D2483,RulebookFields!A2:A1898, 0))="")=TRUE),  "",  INDEX(RulebookFields!I2:I1898, MATCH(D2483,RulebookFields!A2:A1898, 0))), "")</f>
        <v>1</v>
      </c>
      <c r="K2483" s="4" t="b">
        <f>AND(((F2483)=TRUE), ((J2483)=TRUE))</f>
        <v>0</v>
      </c>
      <c r="L2483" s="4" t="b">
        <f>AND(((G2483 &lt;&gt; "plain")=TRUE), ((G2483 &lt;&gt; "")=TRUE))</f>
        <v>0</v>
      </c>
      <c r="M2483" s="4" t="str">
        <f>IF(((E2483)=TRUE),  C2483 &amp; "|" &amp; H2483,  "")</f>
        <v>principal-knowledge-authority|MessageDeliveries</v>
      </c>
      <c r="N2483" s="3" t="s">
        <v>10004</v>
      </c>
    </row>
    <row r="2484">
      <c r="A2484" s="3" t="s">
        <v>12486</v>
      </c>
      <c r="B2484" s="4" t="str">
        <f>C2484 &amp; " -&gt; " &amp; D2484</f>
        <v>principal-knowledge-authority -&gt; MessageDeliveries.IsUnhandledUnreachable</v>
      </c>
      <c r="C2484" s="3" t="s">
        <v>9774</v>
      </c>
      <c r="D2484" s="3" t="s">
        <v>4527</v>
      </c>
      <c r="E2484" s="3" t="b">
        <v>1</v>
      </c>
      <c r="F2484" s="3" t="b">
        <v>0</v>
      </c>
      <c r="G2484" s="3" t="s">
        <v>10003</v>
      </c>
      <c r="H2484" s="4" t="str">
        <f>_xlfn.IFNA(IF(((INDEX(RulebookFields!C2:C1898, MATCH(D2484,RulebookFields!A2:A1898, 0))="")=TRUE),  "",  INDEX(RulebookFields!C2:C1898, MATCH(D2484,RulebookFields!A2:A1898, 0))), "")</f>
        <v>MessageDeliveries</v>
      </c>
      <c r="I2484" s="4" t="str">
        <f>_xlfn.IFNA(IF(((INDEX(RulebookFields!D2:D1898, MATCH(D2484,RulebookFields!A2:A1898, 0))="")=TRUE),  "",  INDEX(RulebookFields!D2:D1898, MATCH(D2484,RulebookFields!A2:A1898, 0))), "")</f>
        <v>IsUnhandledUnreachable</v>
      </c>
      <c r="J2484" s="4" t="b">
        <f>_xlfn.IFNA(IF(((INDEX(RulebookFields!I2:I1898, MATCH(D2484,RulebookFields!A2:A1898, 0))="")=TRUE),  "",  INDEX(RulebookFields!I2:I1898, MATCH(D2484,RulebookFields!A2:A1898, 0))), "")</f>
        <v>1</v>
      </c>
      <c r="K2484" s="4" t="b">
        <f>AND(((F2484)=TRUE), ((J2484)=TRUE))</f>
        <v>0</v>
      </c>
      <c r="L2484" s="4" t="b">
        <f>AND(((G2484 &lt;&gt; "plain")=TRUE), ((G2484 &lt;&gt; "")=TRUE))</f>
        <v>0</v>
      </c>
      <c r="M2484" s="4" t="str">
        <f>IF(((E2484)=TRUE),  C2484 &amp; "|" &amp; H2484,  "")</f>
        <v>principal-knowledge-authority|MessageDeliveries</v>
      </c>
      <c r="N2484" s="3" t="s">
        <v>10004</v>
      </c>
    </row>
    <row r="2485">
      <c r="A2485" s="3" t="s">
        <v>12487</v>
      </c>
      <c r="B2485" s="4" t="str">
        <f>C2485 &amp; " -&gt; " &amp; D2485</f>
        <v>principal-knowledge-authority -&gt; MessageDeliveries.UnreachableFailureKey</v>
      </c>
      <c r="C2485" s="3" t="s">
        <v>9774</v>
      </c>
      <c r="D2485" s="3" t="s">
        <v>4530</v>
      </c>
      <c r="E2485" s="3" t="b">
        <v>1</v>
      </c>
      <c r="F2485" s="3" t="b">
        <v>0</v>
      </c>
      <c r="G2485" s="3" t="s">
        <v>10003</v>
      </c>
      <c r="H2485" s="4" t="str">
        <f>_xlfn.IFNA(IF(((INDEX(RulebookFields!C2:C1898, MATCH(D2485,RulebookFields!A2:A1898, 0))="")=TRUE),  "",  INDEX(RulebookFields!C2:C1898, MATCH(D2485,RulebookFields!A2:A1898, 0))), "")</f>
        <v>MessageDeliveries</v>
      </c>
      <c r="I2485" s="4" t="str">
        <f>_xlfn.IFNA(IF(((INDEX(RulebookFields!D2:D1898, MATCH(D2485,RulebookFields!A2:A1898, 0))="")=TRUE),  "",  INDEX(RulebookFields!D2:D1898, MATCH(D2485,RulebookFields!A2:A1898, 0))), "")</f>
        <v>UnreachableFailureKey</v>
      </c>
      <c r="J2485" s="4" t="b">
        <f>_xlfn.IFNA(IF(((INDEX(RulebookFields!I2:I1898, MATCH(D2485,RulebookFields!A2:A1898, 0))="")=TRUE),  "",  INDEX(RulebookFields!I2:I1898, MATCH(D2485,RulebookFields!A2:A1898, 0))), "")</f>
        <v>1</v>
      </c>
      <c r="K2485" s="4" t="b">
        <f>AND(((F2485)=TRUE), ((J2485)=TRUE))</f>
        <v>0</v>
      </c>
      <c r="L2485" s="4" t="b">
        <f>AND(((G2485 &lt;&gt; "plain")=TRUE), ((G2485 &lt;&gt; "")=TRUE))</f>
        <v>0</v>
      </c>
      <c r="M2485" s="4" t="str">
        <f>IF(((E2485)=TRUE),  C2485 &amp; "|" &amp; H2485,  "")</f>
        <v>principal-knowledge-authority|MessageDeliveries</v>
      </c>
      <c r="N2485" s="3" t="s">
        <v>10004</v>
      </c>
    </row>
    <row r="2486">
      <c r="A2486" s="3" t="s">
        <v>12488</v>
      </c>
      <c r="B2486" s="4" t="str">
        <f>C2486 &amp; " -&gt; " &amp; D2486</f>
        <v>principal-knowledge-authority -&gt; MessageDeliveries.PolicyRetentionDays</v>
      </c>
      <c r="C2486" s="3" t="s">
        <v>9774</v>
      </c>
      <c r="D2486" s="3" t="s">
        <v>4533</v>
      </c>
      <c r="E2486" s="3" t="b">
        <v>1</v>
      </c>
      <c r="F2486" s="3" t="b">
        <v>0</v>
      </c>
      <c r="G2486" s="3" t="s">
        <v>10003</v>
      </c>
      <c r="H2486" s="4" t="str">
        <f>_xlfn.IFNA(IF(((INDEX(RulebookFields!C2:C1898, MATCH(D2486,RulebookFields!A2:A1898, 0))="")=TRUE),  "",  INDEX(RulebookFields!C2:C1898, MATCH(D2486,RulebookFields!A2:A1898, 0))), "")</f>
        <v>MessageDeliveries</v>
      </c>
      <c r="I2486" s="4" t="str">
        <f>_xlfn.IFNA(IF(((INDEX(RulebookFields!D2:D1898, MATCH(D2486,RulebookFields!A2:A1898, 0))="")=TRUE),  "",  INDEX(RulebookFields!D2:D1898, MATCH(D2486,RulebookFields!A2:A1898, 0))), "")</f>
        <v>PolicyRetentionDays</v>
      </c>
      <c r="J2486" s="4" t="b">
        <f>_xlfn.IFNA(IF(((INDEX(RulebookFields!I2:I1898, MATCH(D2486,RulebookFields!A2:A1898, 0))="")=TRUE),  "",  INDEX(RulebookFields!I2:I1898, MATCH(D2486,RulebookFields!A2:A1898, 0))), "")</f>
        <v>1</v>
      </c>
      <c r="K2486" s="4" t="b">
        <f>AND(((F2486)=TRUE), ((J2486)=TRUE))</f>
        <v>0</v>
      </c>
      <c r="L2486" s="4" t="b">
        <f>AND(((G2486 &lt;&gt; "plain")=TRUE), ((G2486 &lt;&gt; "")=TRUE))</f>
        <v>0</v>
      </c>
      <c r="M2486" s="4" t="str">
        <f>IF(((E2486)=TRUE),  C2486 &amp; "|" &amp; H2486,  "")</f>
        <v>principal-knowledge-authority|MessageDeliveries</v>
      </c>
      <c r="N2486" s="3" t="s">
        <v>10004</v>
      </c>
    </row>
    <row r="2487">
      <c r="A2487" s="3" t="s">
        <v>12489</v>
      </c>
      <c r="B2487" s="4" t="str">
        <f>C2487 &amp; " -&gt; " &amp; D2487</f>
        <v>principal-knowledge-authority -&gt; MessageDeliveries.EvaluationContext</v>
      </c>
      <c r="C2487" s="3" t="s">
        <v>9774</v>
      </c>
      <c r="D2487" s="3" t="s">
        <v>4536</v>
      </c>
      <c r="E2487" s="3" t="b">
        <v>1</v>
      </c>
      <c r="F2487" s="3" t="b">
        <v>0</v>
      </c>
      <c r="G2487" s="3" t="s">
        <v>10003</v>
      </c>
      <c r="H2487" s="4" t="str">
        <f>_xlfn.IFNA(IF(((INDEX(RulebookFields!C2:C1898, MATCH(D2487,RulebookFields!A2:A1898, 0))="")=TRUE),  "",  INDEX(RulebookFields!C2:C1898, MATCH(D2487,RulebookFields!A2:A1898, 0))), "")</f>
        <v>MessageDeliveries</v>
      </c>
      <c r="I2487" s="4" t="str">
        <f>_xlfn.IFNA(IF(((INDEX(RulebookFields!D2:D1898, MATCH(D2487,RulebookFields!A2:A1898, 0))="")=TRUE),  "",  INDEX(RulebookFields!D2:D1898, MATCH(D2487,RulebookFields!A2:A1898, 0))), "")</f>
        <v>EvaluationContext</v>
      </c>
      <c r="J2487" s="4" t="b">
        <f>_xlfn.IFNA(IF(((INDEX(RulebookFields!I2:I1898, MATCH(D2487,RulebookFields!A2:A1898, 0))="")=TRUE),  "",  INDEX(RulebookFields!I2:I1898, MATCH(D2487,RulebookFields!A2:A1898, 0))), "")</f>
        <v>0</v>
      </c>
      <c r="K2487" s="4" t="b">
        <f>AND(((F2487)=TRUE), ((J2487)=TRUE))</f>
        <v>0</v>
      </c>
      <c r="L2487" s="4" t="b">
        <f>AND(((G2487 &lt;&gt; "plain")=TRUE), ((G2487 &lt;&gt; "")=TRUE))</f>
        <v>0</v>
      </c>
      <c r="M2487" s="4" t="str">
        <f>IF(((E2487)=TRUE),  C2487 &amp; "|" &amp; H2487,  "")</f>
        <v>principal-knowledge-authority|MessageDeliveries</v>
      </c>
      <c r="N2487" s="3" t="s">
        <v>10004</v>
      </c>
    </row>
    <row r="2488">
      <c r="A2488" s="3" t="s">
        <v>12490</v>
      </c>
      <c r="B2488" s="4" t="str">
        <f>C2488 &amp; " -&gt; " &amp; D2488</f>
        <v>principal-knowledge-authority -&gt; MessageDeliveries.AsOfInstant</v>
      </c>
      <c r="C2488" s="3" t="s">
        <v>9774</v>
      </c>
      <c r="D2488" s="3" t="s">
        <v>4537</v>
      </c>
      <c r="E2488" s="3" t="b">
        <v>1</v>
      </c>
      <c r="F2488" s="3" t="b">
        <v>0</v>
      </c>
      <c r="G2488" s="3" t="s">
        <v>10003</v>
      </c>
      <c r="H2488" s="4" t="str">
        <f>_xlfn.IFNA(IF(((INDEX(RulebookFields!C2:C1898, MATCH(D2488,RulebookFields!A2:A1898, 0))="")=TRUE),  "",  INDEX(RulebookFields!C2:C1898, MATCH(D2488,RulebookFields!A2:A1898, 0))), "")</f>
        <v>MessageDeliveries</v>
      </c>
      <c r="I2488" s="4" t="str">
        <f>_xlfn.IFNA(IF(((INDEX(RulebookFields!D2:D1898, MATCH(D2488,RulebookFields!A2:A1898, 0))="")=TRUE),  "",  INDEX(RulebookFields!D2:D1898, MATCH(D2488,RulebookFields!A2:A1898, 0))), "")</f>
        <v>AsOfInstant</v>
      </c>
      <c r="J2488" s="4" t="b">
        <f>_xlfn.IFNA(IF(((INDEX(RulebookFields!I2:I1898, MATCH(D2488,RulebookFields!A2:A1898, 0))="")=TRUE),  "",  INDEX(RulebookFields!I2:I1898, MATCH(D2488,RulebookFields!A2:A1898, 0))), "")</f>
        <v>1</v>
      </c>
      <c r="K2488" s="4" t="b">
        <f>AND(((F2488)=TRUE), ((J2488)=TRUE))</f>
        <v>0</v>
      </c>
      <c r="L2488" s="4" t="b">
        <f>AND(((G2488 &lt;&gt; "plain")=TRUE), ((G2488 &lt;&gt; "")=TRUE))</f>
        <v>0</v>
      </c>
      <c r="M2488" s="4" t="str">
        <f>IF(((E2488)=TRUE),  C2488 &amp; "|" &amp; H2488,  "")</f>
        <v>principal-knowledge-authority|MessageDeliveries</v>
      </c>
      <c r="N2488" s="3" t="s">
        <v>10004</v>
      </c>
    </row>
    <row r="2489">
      <c r="A2489" s="3" t="s">
        <v>12491</v>
      </c>
      <c r="B2489" s="4" t="str">
        <f>C2489 &amp; " -&gt; " &amp; D2489</f>
        <v>principal-knowledge-authority -&gt; MessageDeliveries.AgeDays</v>
      </c>
      <c r="C2489" s="3" t="s">
        <v>9774</v>
      </c>
      <c r="D2489" s="3" t="s">
        <v>4538</v>
      </c>
      <c r="E2489" s="3" t="b">
        <v>1</v>
      </c>
      <c r="F2489" s="3" t="b">
        <v>0</v>
      </c>
      <c r="G2489" s="3" t="s">
        <v>10003</v>
      </c>
      <c r="H2489" s="4" t="str">
        <f>_xlfn.IFNA(IF(((INDEX(RulebookFields!C2:C1898, MATCH(D2489,RulebookFields!A2:A1898, 0))="")=TRUE),  "",  INDEX(RulebookFields!C2:C1898, MATCH(D2489,RulebookFields!A2:A1898, 0))), "")</f>
        <v>MessageDeliveries</v>
      </c>
      <c r="I2489" s="4" t="str">
        <f>_xlfn.IFNA(IF(((INDEX(RulebookFields!D2:D1898, MATCH(D2489,RulebookFields!A2:A1898, 0))="")=TRUE),  "",  INDEX(RulebookFields!D2:D1898, MATCH(D2489,RulebookFields!A2:A1898, 0))), "")</f>
        <v>AgeDays</v>
      </c>
      <c r="J2489" s="4" t="b">
        <f>_xlfn.IFNA(IF(((INDEX(RulebookFields!I2:I1898, MATCH(D2489,RulebookFields!A2:A1898, 0))="")=TRUE),  "",  INDEX(RulebookFields!I2:I1898, MATCH(D2489,RulebookFields!A2:A1898, 0))), "")</f>
        <v>1</v>
      </c>
      <c r="K2489" s="4" t="b">
        <f>AND(((F2489)=TRUE), ((J2489)=TRUE))</f>
        <v>0</v>
      </c>
      <c r="L2489" s="4" t="b">
        <f>AND(((G2489 &lt;&gt; "plain")=TRUE), ((G2489 &lt;&gt; "")=TRUE))</f>
        <v>0</v>
      </c>
      <c r="M2489" s="4" t="str">
        <f>IF(((E2489)=TRUE),  C2489 &amp; "|" &amp; H2489,  "")</f>
        <v>principal-knowledge-authority|MessageDeliveries</v>
      </c>
      <c r="N2489" s="3" t="s">
        <v>10004</v>
      </c>
    </row>
    <row r="2490">
      <c r="A2490" s="3" t="s">
        <v>12492</v>
      </c>
      <c r="B2490" s="4" t="str">
        <f>C2490 &amp; " -&gt; " &amp; D2490</f>
        <v>principal-knowledge-authority -&gt; MessageDeliveries.IsWithinRetentionWindow</v>
      </c>
      <c r="C2490" s="3" t="s">
        <v>9774</v>
      </c>
      <c r="D2490" s="3" t="s">
        <v>4540</v>
      </c>
      <c r="E2490" s="3" t="b">
        <v>1</v>
      </c>
      <c r="F2490" s="3" t="b">
        <v>0</v>
      </c>
      <c r="G2490" s="3" t="s">
        <v>10003</v>
      </c>
      <c r="H2490" s="4" t="str">
        <f>_xlfn.IFNA(IF(((INDEX(RulebookFields!C2:C1898, MATCH(D2490,RulebookFields!A2:A1898, 0))="")=TRUE),  "",  INDEX(RulebookFields!C2:C1898, MATCH(D2490,RulebookFields!A2:A1898, 0))), "")</f>
        <v>MessageDeliveries</v>
      </c>
      <c r="I2490" s="4" t="str">
        <f>_xlfn.IFNA(IF(((INDEX(RulebookFields!D2:D1898, MATCH(D2490,RulebookFields!A2:A1898, 0))="")=TRUE),  "",  INDEX(RulebookFields!D2:D1898, MATCH(D2490,RulebookFields!A2:A1898, 0))), "")</f>
        <v>IsWithinRetentionWindow</v>
      </c>
      <c r="J2490" s="4" t="b">
        <f>_xlfn.IFNA(IF(((INDEX(RulebookFields!I2:I1898, MATCH(D2490,RulebookFields!A2:A1898, 0))="")=TRUE),  "",  INDEX(RulebookFields!I2:I1898, MATCH(D2490,RulebookFields!A2:A1898, 0))), "")</f>
        <v>1</v>
      </c>
      <c r="K2490" s="4" t="b">
        <f>AND(((F2490)=TRUE), ((J2490)=TRUE))</f>
        <v>0</v>
      </c>
      <c r="L2490" s="4" t="b">
        <f>AND(((G2490 &lt;&gt; "plain")=TRUE), ((G2490 &lt;&gt; "")=TRUE))</f>
        <v>0</v>
      </c>
      <c r="M2490" s="4" t="str">
        <f>IF(((E2490)=TRUE),  C2490 &amp; "|" &amp; H2490,  "")</f>
        <v>principal-knowledge-authority|MessageDeliveries</v>
      </c>
      <c r="N2490" s="3" t="s">
        <v>10004</v>
      </c>
    </row>
    <row r="2491">
      <c r="A2491" s="3" t="s">
        <v>12493</v>
      </c>
      <c r="B2491" s="4" t="str">
        <f>C2491 &amp; " -&gt; " &amp; D2491</f>
        <v>principal-knowledge-authority -&gt; MessageDeliveries.HasRenderedBody</v>
      </c>
      <c r="C2491" s="3" t="s">
        <v>9774</v>
      </c>
      <c r="D2491" s="3" t="s">
        <v>4543</v>
      </c>
      <c r="E2491" s="3" t="b">
        <v>1</v>
      </c>
      <c r="F2491" s="3" t="b">
        <v>0</v>
      </c>
      <c r="G2491" s="3" t="s">
        <v>10003</v>
      </c>
      <c r="H2491" s="4" t="str">
        <f>_xlfn.IFNA(IF(((INDEX(RulebookFields!C2:C1898, MATCH(D2491,RulebookFields!A2:A1898, 0))="")=TRUE),  "",  INDEX(RulebookFields!C2:C1898, MATCH(D2491,RulebookFields!A2:A1898, 0))), "")</f>
        <v>MessageDeliveries</v>
      </c>
      <c r="I2491" s="4" t="str">
        <f>_xlfn.IFNA(IF(((INDEX(RulebookFields!D2:D1898, MATCH(D2491,RulebookFields!A2:A1898, 0))="")=TRUE),  "",  INDEX(RulebookFields!D2:D1898, MATCH(D2491,RulebookFields!A2:A1898, 0))), "")</f>
        <v>HasRenderedBody</v>
      </c>
      <c r="J2491" s="4" t="b">
        <f>_xlfn.IFNA(IF(((INDEX(RulebookFields!I2:I1898, MATCH(D2491,RulebookFields!A2:A1898, 0))="")=TRUE),  "",  INDEX(RulebookFields!I2:I1898, MATCH(D2491,RulebookFields!A2:A1898, 0))), "")</f>
        <v>1</v>
      </c>
      <c r="K2491" s="4" t="b">
        <f>AND(((F2491)=TRUE), ((J2491)=TRUE))</f>
        <v>0</v>
      </c>
      <c r="L2491" s="4" t="b">
        <f>AND(((G2491 &lt;&gt; "plain")=TRUE), ((G2491 &lt;&gt; "")=TRUE))</f>
        <v>0</v>
      </c>
      <c r="M2491" s="4" t="str">
        <f>IF(((E2491)=TRUE),  C2491 &amp; "|" &amp; H2491,  "")</f>
        <v>principal-knowledge-authority|MessageDeliveries</v>
      </c>
      <c r="N2491" s="3" t="s">
        <v>10004</v>
      </c>
    </row>
    <row r="2492">
      <c r="A2492" s="3" t="s">
        <v>12494</v>
      </c>
      <c r="B2492" s="4" t="str">
        <f>C2492 &amp; " -&gt; " &amp; D2492</f>
        <v>principal-knowledge-authority -&gt; MessageDeliveries.IsEvidenceRequired</v>
      </c>
      <c r="C2492" s="3" t="s">
        <v>9774</v>
      </c>
      <c r="D2492" s="3" t="s">
        <v>4546</v>
      </c>
      <c r="E2492" s="3" t="b">
        <v>1</v>
      </c>
      <c r="F2492" s="3" t="b">
        <v>0</v>
      </c>
      <c r="G2492" s="3" t="s">
        <v>10003</v>
      </c>
      <c r="H2492" s="4" t="str">
        <f>_xlfn.IFNA(IF(((INDEX(RulebookFields!C2:C1898, MATCH(D2492,RulebookFields!A2:A1898, 0))="")=TRUE),  "",  INDEX(RulebookFields!C2:C1898, MATCH(D2492,RulebookFields!A2:A1898, 0))), "")</f>
        <v>MessageDeliveries</v>
      </c>
      <c r="I2492" s="4" t="str">
        <f>_xlfn.IFNA(IF(((INDEX(RulebookFields!D2:D1898, MATCH(D2492,RulebookFields!A2:A1898, 0))="")=TRUE),  "",  INDEX(RulebookFields!D2:D1898, MATCH(D2492,RulebookFields!A2:A1898, 0))), "")</f>
        <v>IsEvidenceRequired</v>
      </c>
      <c r="J2492" s="4" t="b">
        <f>_xlfn.IFNA(IF(((INDEX(RulebookFields!I2:I1898, MATCH(D2492,RulebookFields!A2:A1898, 0))="")=TRUE),  "",  INDEX(RulebookFields!I2:I1898, MATCH(D2492,RulebookFields!A2:A1898, 0))), "")</f>
        <v>1</v>
      </c>
      <c r="K2492" s="4" t="b">
        <f>AND(((F2492)=TRUE), ((J2492)=TRUE))</f>
        <v>0</v>
      </c>
      <c r="L2492" s="4" t="b">
        <f>AND(((G2492 &lt;&gt; "plain")=TRUE), ((G2492 &lt;&gt; "")=TRUE))</f>
        <v>0</v>
      </c>
      <c r="M2492" s="4" t="str">
        <f>IF(((E2492)=TRUE),  C2492 &amp; "|" &amp; H2492,  "")</f>
        <v>principal-knowledge-authority|MessageDeliveries</v>
      </c>
      <c r="N2492" s="3" t="s">
        <v>10004</v>
      </c>
    </row>
    <row r="2493">
      <c r="A2493" s="3" t="s">
        <v>12495</v>
      </c>
      <c r="B2493" s="4" t="str">
        <f>C2493 &amp; " -&gt; " &amp; D2493</f>
        <v>principal-knowledge-authority -&gt; MessageDeliveries.IsRetentionBreach</v>
      </c>
      <c r="C2493" s="3" t="s">
        <v>9774</v>
      </c>
      <c r="D2493" s="3" t="s">
        <v>4549</v>
      </c>
      <c r="E2493" s="3" t="b">
        <v>1</v>
      </c>
      <c r="F2493" s="3" t="b">
        <v>0</v>
      </c>
      <c r="G2493" s="3" t="s">
        <v>10003</v>
      </c>
      <c r="H2493" s="4" t="str">
        <f>_xlfn.IFNA(IF(((INDEX(RulebookFields!C2:C1898, MATCH(D2493,RulebookFields!A2:A1898, 0))="")=TRUE),  "",  INDEX(RulebookFields!C2:C1898, MATCH(D2493,RulebookFields!A2:A1898, 0))), "")</f>
        <v>MessageDeliveries</v>
      </c>
      <c r="I2493" s="4" t="str">
        <f>_xlfn.IFNA(IF(((INDEX(RulebookFields!D2:D1898, MATCH(D2493,RulebookFields!A2:A1898, 0))="")=TRUE),  "",  INDEX(RulebookFields!D2:D1898, MATCH(D2493,RulebookFields!A2:A1898, 0))), "")</f>
        <v>IsRetentionBreach</v>
      </c>
      <c r="J2493" s="4" t="b">
        <f>_xlfn.IFNA(IF(((INDEX(RulebookFields!I2:I1898, MATCH(D2493,RulebookFields!A2:A1898, 0))="")=TRUE),  "",  INDEX(RulebookFields!I2:I1898, MATCH(D2493,RulebookFields!A2:A1898, 0))), "")</f>
        <v>1</v>
      </c>
      <c r="K2493" s="4" t="b">
        <f>AND(((F2493)=TRUE), ((J2493)=TRUE))</f>
        <v>0</v>
      </c>
      <c r="L2493" s="4" t="b">
        <f>AND(((G2493 &lt;&gt; "plain")=TRUE), ((G2493 &lt;&gt; "")=TRUE))</f>
        <v>0</v>
      </c>
      <c r="M2493" s="4" t="str">
        <f>IF(((E2493)=TRUE),  C2493 &amp; "|" &amp; H2493,  "")</f>
        <v>principal-knowledge-authority|MessageDeliveries</v>
      </c>
      <c r="N2493" s="3" t="s">
        <v>10004</v>
      </c>
    </row>
    <row r="2494">
      <c r="A2494" s="3" t="s">
        <v>12496</v>
      </c>
      <c r="B2494" s="4" t="str">
        <f>C2494 &amp; " -&gt; " &amp; D2494</f>
        <v>principal-knowledge-authority -&gt; MessageDeliveries.RetentionBreachExecutionKey</v>
      </c>
      <c r="C2494" s="3" t="s">
        <v>9774</v>
      </c>
      <c r="D2494" s="3" t="s">
        <v>4552</v>
      </c>
      <c r="E2494" s="3" t="b">
        <v>1</v>
      </c>
      <c r="F2494" s="3" t="b">
        <v>0</v>
      </c>
      <c r="G2494" s="3" t="s">
        <v>10003</v>
      </c>
      <c r="H2494" s="4" t="str">
        <f>_xlfn.IFNA(IF(((INDEX(RulebookFields!C2:C1898, MATCH(D2494,RulebookFields!A2:A1898, 0))="")=TRUE),  "",  INDEX(RulebookFields!C2:C1898, MATCH(D2494,RulebookFields!A2:A1898, 0))), "")</f>
        <v>MessageDeliveries</v>
      </c>
      <c r="I2494" s="4" t="str">
        <f>_xlfn.IFNA(IF(((INDEX(RulebookFields!D2:D1898, MATCH(D2494,RulebookFields!A2:A1898, 0))="")=TRUE),  "",  INDEX(RulebookFields!D2:D1898, MATCH(D2494,RulebookFields!A2:A1898, 0))), "")</f>
        <v>RetentionBreachExecutionKey</v>
      </c>
      <c r="J2494" s="4" t="b">
        <f>_xlfn.IFNA(IF(((INDEX(RulebookFields!I2:I1898, MATCH(D2494,RulebookFields!A2:A1898, 0))="")=TRUE),  "",  INDEX(RulebookFields!I2:I1898, MATCH(D2494,RulebookFields!A2:A1898, 0))), "")</f>
        <v>1</v>
      </c>
      <c r="K2494" s="4" t="b">
        <f>AND(((F2494)=TRUE), ((J2494)=TRUE))</f>
        <v>0</v>
      </c>
      <c r="L2494" s="4" t="b">
        <f>AND(((G2494 &lt;&gt; "plain")=TRUE), ((G2494 &lt;&gt; "")=TRUE))</f>
        <v>0</v>
      </c>
      <c r="M2494" s="4" t="str">
        <f>IF(((E2494)=TRUE),  C2494 &amp; "|" &amp; H2494,  "")</f>
        <v>principal-knowledge-authority|MessageDeliveries</v>
      </c>
      <c r="N2494" s="3" t="s">
        <v>10004</v>
      </c>
    </row>
    <row r="2495">
      <c r="A2495" s="3" t="s">
        <v>12497</v>
      </c>
      <c r="B2495" s="4" t="str">
        <f>C2495 &amp; " -&gt; " &amp; D2495</f>
        <v>principal-knowledge-authority -&gt; MessageDeliveries.SendingStepExecutionStep</v>
      </c>
      <c r="C2495" s="3" t="s">
        <v>9774</v>
      </c>
      <c r="D2495" s="3" t="s">
        <v>4555</v>
      </c>
      <c r="E2495" s="3" t="b">
        <v>1</v>
      </c>
      <c r="F2495" s="3" t="b">
        <v>0</v>
      </c>
      <c r="G2495" s="3" t="s">
        <v>10003</v>
      </c>
      <c r="H2495" s="4" t="str">
        <f>_xlfn.IFNA(IF(((INDEX(RulebookFields!C2:C1898, MATCH(D2495,RulebookFields!A2:A1898, 0))="")=TRUE),  "",  INDEX(RulebookFields!C2:C1898, MATCH(D2495,RulebookFields!A2:A1898, 0))), "")</f>
        <v>MessageDeliveries</v>
      </c>
      <c r="I2495" s="4" t="str">
        <f>_xlfn.IFNA(IF(((INDEX(RulebookFields!D2:D1898, MATCH(D2495,RulebookFields!A2:A1898, 0))="")=TRUE),  "",  INDEX(RulebookFields!D2:D1898, MATCH(D2495,RulebookFields!A2:A1898, 0))), "")</f>
        <v>SendingStepExecutionStep</v>
      </c>
      <c r="J2495" s="4" t="b">
        <f>_xlfn.IFNA(IF(((INDEX(RulebookFields!I2:I1898, MATCH(D2495,RulebookFields!A2:A1898, 0))="")=TRUE),  "",  INDEX(RulebookFields!I2:I1898, MATCH(D2495,RulebookFields!A2:A1898, 0))), "")</f>
        <v>1</v>
      </c>
      <c r="K2495" s="4" t="b">
        <f>AND(((F2495)=TRUE), ((J2495)=TRUE))</f>
        <v>0</v>
      </c>
      <c r="L2495" s="4" t="b">
        <f>AND(((G2495 &lt;&gt; "plain")=TRUE), ((G2495 &lt;&gt; "")=TRUE))</f>
        <v>0</v>
      </c>
      <c r="M2495" s="4" t="str">
        <f>IF(((E2495)=TRUE),  C2495 &amp; "|" &amp; H2495,  "")</f>
        <v>principal-knowledge-authority|MessageDeliveries</v>
      </c>
      <c r="N2495" s="3" t="s">
        <v>10004</v>
      </c>
    </row>
    <row r="2496">
      <c r="A2496" s="3" t="s">
        <v>12498</v>
      </c>
      <c r="B2496" s="4" t="str">
        <f>C2496 &amp; " -&gt; " &amp; D2496</f>
        <v>principal-knowledge-authority -&gt; MessageDeliveries.ExecutionHasClearedLegalReview</v>
      </c>
      <c r="C2496" s="3" t="s">
        <v>9774</v>
      </c>
      <c r="D2496" s="3" t="s">
        <v>4557</v>
      </c>
      <c r="E2496" s="3" t="b">
        <v>1</v>
      </c>
      <c r="F2496" s="3" t="b">
        <v>0</v>
      </c>
      <c r="G2496" s="3" t="s">
        <v>10003</v>
      </c>
      <c r="H2496" s="4" t="str">
        <f>_xlfn.IFNA(IF(((INDEX(RulebookFields!C2:C1898, MATCH(D2496,RulebookFields!A2:A1898, 0))="")=TRUE),  "",  INDEX(RulebookFields!C2:C1898, MATCH(D2496,RulebookFields!A2:A1898, 0))), "")</f>
        <v>MessageDeliveries</v>
      </c>
      <c r="I2496" s="4" t="str">
        <f>_xlfn.IFNA(IF(((INDEX(RulebookFields!D2:D1898, MATCH(D2496,RulebookFields!A2:A1898, 0))="")=TRUE),  "",  INDEX(RulebookFields!D2:D1898, MATCH(D2496,RulebookFields!A2:A1898, 0))), "")</f>
        <v>ExecutionHasClearedLegalReview</v>
      </c>
      <c r="J2496" s="4" t="b">
        <f>_xlfn.IFNA(IF(((INDEX(RulebookFields!I2:I1898, MATCH(D2496,RulebookFields!A2:A1898, 0))="")=TRUE),  "",  INDEX(RulebookFields!I2:I1898, MATCH(D2496,RulebookFields!A2:A1898, 0))), "")</f>
        <v>1</v>
      </c>
      <c r="K2496" s="4" t="b">
        <f>AND(((F2496)=TRUE), ((J2496)=TRUE))</f>
        <v>0</v>
      </c>
      <c r="L2496" s="4" t="b">
        <f>AND(((G2496 &lt;&gt; "plain")=TRUE), ((G2496 &lt;&gt; "")=TRUE))</f>
        <v>0</v>
      </c>
      <c r="M2496" s="4" t="str">
        <f>IF(((E2496)=TRUE),  C2496 &amp; "|" &amp; H2496,  "")</f>
        <v>principal-knowledge-authority|MessageDeliveries</v>
      </c>
      <c r="N2496" s="3" t="s">
        <v>10004</v>
      </c>
    </row>
    <row r="2497">
      <c r="A2497" s="3" t="s">
        <v>12499</v>
      </c>
      <c r="B2497" s="4" t="str">
        <f>C2497 &amp; " -&gt; " &amp; D2497</f>
        <v>principal-knowledge-authority -&gt; MessageDeliveries.IsUnreviewedSend</v>
      </c>
      <c r="C2497" s="3" t="s">
        <v>9774</v>
      </c>
      <c r="D2497" s="3" t="s">
        <v>4560</v>
      </c>
      <c r="E2497" s="3" t="b">
        <v>1</v>
      </c>
      <c r="F2497" s="3" t="b">
        <v>0</v>
      </c>
      <c r="G2497" s="3" t="s">
        <v>10003</v>
      </c>
      <c r="H2497" s="4" t="str">
        <f>_xlfn.IFNA(IF(((INDEX(RulebookFields!C2:C1898, MATCH(D2497,RulebookFields!A2:A1898, 0))="")=TRUE),  "",  INDEX(RulebookFields!C2:C1898, MATCH(D2497,RulebookFields!A2:A1898, 0))), "")</f>
        <v>MessageDeliveries</v>
      </c>
      <c r="I2497" s="4" t="str">
        <f>_xlfn.IFNA(IF(((INDEX(RulebookFields!D2:D1898, MATCH(D2497,RulebookFields!A2:A1898, 0))="")=TRUE),  "",  INDEX(RulebookFields!D2:D1898, MATCH(D2497,RulebookFields!A2:A1898, 0))), "")</f>
        <v>IsUnreviewedSend</v>
      </c>
      <c r="J2497" s="4" t="b">
        <f>_xlfn.IFNA(IF(((INDEX(RulebookFields!I2:I1898, MATCH(D2497,RulebookFields!A2:A1898, 0))="")=TRUE),  "",  INDEX(RulebookFields!I2:I1898, MATCH(D2497,RulebookFields!A2:A1898, 0))), "")</f>
        <v>1</v>
      </c>
      <c r="K2497" s="4" t="b">
        <f>AND(((F2497)=TRUE), ((J2497)=TRUE))</f>
        <v>0</v>
      </c>
      <c r="L2497" s="4" t="b">
        <f>AND(((G2497 &lt;&gt; "plain")=TRUE), ((G2497 &lt;&gt; "")=TRUE))</f>
        <v>0</v>
      </c>
      <c r="M2497" s="4" t="str">
        <f>IF(((E2497)=TRUE),  C2497 &amp; "|" &amp; H2497,  "")</f>
        <v>principal-knowledge-authority|MessageDeliveries</v>
      </c>
      <c r="N2497" s="3" t="s">
        <v>10004</v>
      </c>
    </row>
    <row r="2498">
      <c r="A2498" s="3" t="s">
        <v>12500</v>
      </c>
      <c r="B2498" s="4" t="str">
        <f>C2498 &amp; " -&gt; " &amp; D2498</f>
        <v>principal-knowledge-authority -&gt; MessageDeliveries.RenderedBodyLength</v>
      </c>
      <c r="C2498" s="3" t="s">
        <v>9774</v>
      </c>
      <c r="D2498" s="3" t="s">
        <v>4563</v>
      </c>
      <c r="E2498" s="3" t="b">
        <v>1</v>
      </c>
      <c r="F2498" s="3" t="b">
        <v>0</v>
      </c>
      <c r="G2498" s="3" t="s">
        <v>10003</v>
      </c>
      <c r="H2498" s="4" t="str">
        <f>_xlfn.IFNA(IF(((INDEX(RulebookFields!C2:C1898, MATCH(D2498,RulebookFields!A2:A1898, 0))="")=TRUE),  "",  INDEX(RulebookFields!C2:C1898, MATCH(D2498,RulebookFields!A2:A1898, 0))), "")</f>
        <v>MessageDeliveries</v>
      </c>
      <c r="I2498" s="4" t="str">
        <f>_xlfn.IFNA(IF(((INDEX(RulebookFields!D2:D1898, MATCH(D2498,RulebookFields!A2:A1898, 0))="")=TRUE),  "",  INDEX(RulebookFields!D2:D1898, MATCH(D2498,RulebookFields!A2:A1898, 0))), "")</f>
        <v>RenderedBodyLength</v>
      </c>
      <c r="J2498" s="4" t="b">
        <f>_xlfn.IFNA(IF(((INDEX(RulebookFields!I2:I1898, MATCH(D2498,RulebookFields!A2:A1898, 0))="")=TRUE),  "",  INDEX(RulebookFields!I2:I1898, MATCH(D2498,RulebookFields!A2:A1898, 0))), "")</f>
        <v>1</v>
      </c>
      <c r="K2498" s="4" t="b">
        <f>AND(((F2498)=TRUE), ((J2498)=TRUE))</f>
        <v>0</v>
      </c>
      <c r="L2498" s="4" t="b">
        <f>AND(((G2498 &lt;&gt; "plain")=TRUE), ((G2498 &lt;&gt; "")=TRUE))</f>
        <v>0</v>
      </c>
      <c r="M2498" s="4" t="str">
        <f>IF(((E2498)=TRUE),  C2498 &amp; "|" &amp; H2498,  "")</f>
        <v>principal-knowledge-authority|MessageDeliveries</v>
      </c>
      <c r="N2498" s="3" t="s">
        <v>10004</v>
      </c>
    </row>
    <row r="2499">
      <c r="A2499" s="3" t="s">
        <v>12501</v>
      </c>
      <c r="B2499" s="4" t="str">
        <f>C2499 &amp; " -&gt; " &amp; D2499</f>
        <v>principal-knowledge-authority -&gt; MessageDeliveries.PolicyMaxMessageLengthAtSend</v>
      </c>
      <c r="C2499" s="3" t="s">
        <v>9774</v>
      </c>
      <c r="D2499" s="3" t="s">
        <v>4566</v>
      </c>
      <c r="E2499" s="3" t="b">
        <v>1</v>
      </c>
      <c r="F2499" s="3" t="b">
        <v>0</v>
      </c>
      <c r="G2499" s="3" t="s">
        <v>10003</v>
      </c>
      <c r="H2499" s="4" t="str">
        <f>_xlfn.IFNA(IF(((INDEX(RulebookFields!C2:C1898, MATCH(D2499,RulebookFields!A2:A1898, 0))="")=TRUE),  "",  INDEX(RulebookFields!C2:C1898, MATCH(D2499,RulebookFields!A2:A1898, 0))), "")</f>
        <v>MessageDeliveries</v>
      </c>
      <c r="I2499" s="4" t="str">
        <f>_xlfn.IFNA(IF(((INDEX(RulebookFields!D2:D1898, MATCH(D2499,RulebookFields!A2:A1898, 0))="")=TRUE),  "",  INDEX(RulebookFields!D2:D1898, MATCH(D2499,RulebookFields!A2:A1898, 0))), "")</f>
        <v>PolicyMaxMessageLengthAtSend</v>
      </c>
      <c r="J2499" s="4" t="b">
        <f>_xlfn.IFNA(IF(((INDEX(RulebookFields!I2:I1898, MATCH(D2499,RulebookFields!A2:A1898, 0))="")=TRUE),  "",  INDEX(RulebookFields!I2:I1898, MATCH(D2499,RulebookFields!A2:A1898, 0))), "")</f>
        <v>1</v>
      </c>
      <c r="K2499" s="4" t="b">
        <f>AND(((F2499)=TRUE), ((J2499)=TRUE))</f>
        <v>0</v>
      </c>
      <c r="L2499" s="4" t="b">
        <f>AND(((G2499 &lt;&gt; "plain")=TRUE), ((G2499 &lt;&gt; "")=TRUE))</f>
        <v>0</v>
      </c>
      <c r="M2499" s="4" t="str">
        <f>IF(((E2499)=TRUE),  C2499 &amp; "|" &amp; H2499,  "")</f>
        <v>principal-knowledge-authority|MessageDeliveries</v>
      </c>
      <c r="N2499" s="3" t="s">
        <v>10004</v>
      </c>
    </row>
    <row r="2500">
      <c r="A2500" s="3" t="s">
        <v>12502</v>
      </c>
      <c r="B2500" s="4" t="str">
        <f>C2500 &amp; " -&gt; " &amp; D2500</f>
        <v>principal-knowledge-authority -&gt; MessageDeliveries.SegmentCount</v>
      </c>
      <c r="C2500" s="3" t="s">
        <v>9774</v>
      </c>
      <c r="D2500" s="3" t="s">
        <v>4569</v>
      </c>
      <c r="E2500" s="3" t="b">
        <v>1</v>
      </c>
      <c r="F2500" s="3" t="b">
        <v>0</v>
      </c>
      <c r="G2500" s="3" t="s">
        <v>10003</v>
      </c>
      <c r="H2500" s="4" t="str">
        <f>_xlfn.IFNA(IF(((INDEX(RulebookFields!C2:C1898, MATCH(D2500,RulebookFields!A2:A1898, 0))="")=TRUE),  "",  INDEX(RulebookFields!C2:C1898, MATCH(D2500,RulebookFields!A2:A1898, 0))), "")</f>
        <v>MessageDeliveries</v>
      </c>
      <c r="I2500" s="4" t="str">
        <f>_xlfn.IFNA(IF(((INDEX(RulebookFields!D2:D1898, MATCH(D2500,RulebookFields!A2:A1898, 0))="")=TRUE),  "",  INDEX(RulebookFields!D2:D1898, MATCH(D2500,RulebookFields!A2:A1898, 0))), "")</f>
        <v>SegmentCount</v>
      </c>
      <c r="J2500" s="4" t="b">
        <f>_xlfn.IFNA(IF(((INDEX(RulebookFields!I2:I1898, MATCH(D2500,RulebookFields!A2:A1898, 0))="")=TRUE),  "",  INDEX(RulebookFields!I2:I1898, MATCH(D2500,RulebookFields!A2:A1898, 0))), "")</f>
        <v>1</v>
      </c>
      <c r="K2500" s="4" t="b">
        <f>AND(((F2500)=TRUE), ((J2500)=TRUE))</f>
        <v>0</v>
      </c>
      <c r="L2500" s="4" t="b">
        <f>AND(((G2500 &lt;&gt; "plain")=TRUE), ((G2500 &lt;&gt; "")=TRUE))</f>
        <v>0</v>
      </c>
      <c r="M2500" s="4" t="str">
        <f>IF(((E2500)=TRUE),  C2500 &amp; "|" &amp; H2500,  "")</f>
        <v>principal-knowledge-authority|MessageDeliveries</v>
      </c>
      <c r="N2500" s="3" t="s">
        <v>10004</v>
      </c>
    </row>
    <row r="2501">
      <c r="A2501" s="3" t="s">
        <v>12503</v>
      </c>
      <c r="B2501" s="4" t="str">
        <f>C2501 &amp; " -&gt; " &amp; D2501</f>
        <v>principal-knowledge-authority -&gt; MessageDeliveries.PolicyMaxSegmentsAtSend</v>
      </c>
      <c r="C2501" s="3" t="s">
        <v>9774</v>
      </c>
      <c r="D2501" s="3" t="s">
        <v>4572</v>
      </c>
      <c r="E2501" s="3" t="b">
        <v>1</v>
      </c>
      <c r="F2501" s="3" t="b">
        <v>0</v>
      </c>
      <c r="G2501" s="3" t="s">
        <v>10003</v>
      </c>
      <c r="H2501" s="4" t="str">
        <f>_xlfn.IFNA(IF(((INDEX(RulebookFields!C2:C1898, MATCH(D2501,RulebookFields!A2:A1898, 0))="")=TRUE),  "",  INDEX(RulebookFields!C2:C1898, MATCH(D2501,RulebookFields!A2:A1898, 0))), "")</f>
        <v>MessageDeliveries</v>
      </c>
      <c r="I2501" s="4" t="str">
        <f>_xlfn.IFNA(IF(((INDEX(RulebookFields!D2:D1898, MATCH(D2501,RulebookFields!A2:A1898, 0))="")=TRUE),  "",  INDEX(RulebookFields!D2:D1898, MATCH(D2501,RulebookFields!A2:A1898, 0))), "")</f>
        <v>PolicyMaxSegmentsAtSend</v>
      </c>
      <c r="J2501" s="4" t="b">
        <f>_xlfn.IFNA(IF(((INDEX(RulebookFields!I2:I1898, MATCH(D2501,RulebookFields!A2:A1898, 0))="")=TRUE),  "",  INDEX(RulebookFields!I2:I1898, MATCH(D2501,RulebookFields!A2:A1898, 0))), "")</f>
        <v>1</v>
      </c>
      <c r="K2501" s="4" t="b">
        <f>AND(((F2501)=TRUE), ((J2501)=TRUE))</f>
        <v>0</v>
      </c>
      <c r="L2501" s="4" t="b">
        <f>AND(((G2501 &lt;&gt; "plain")=TRUE), ((G2501 &lt;&gt; "")=TRUE))</f>
        <v>0</v>
      </c>
      <c r="M2501" s="4" t="str">
        <f>IF(((E2501)=TRUE),  C2501 &amp; "|" &amp; H2501,  "")</f>
        <v>principal-knowledge-authority|MessageDeliveries</v>
      </c>
      <c r="N2501" s="3" t="s">
        <v>10004</v>
      </c>
    </row>
    <row r="2502">
      <c r="A2502" s="3" t="s">
        <v>12504</v>
      </c>
      <c r="B2502" s="4" t="str">
        <f>C2502 &amp; " -&gt; " &amp; D2502</f>
        <v>principal-knowledge-authority -&gt; MessageDeliveries.IsOverSegmentLimit</v>
      </c>
      <c r="C2502" s="3" t="s">
        <v>9774</v>
      </c>
      <c r="D2502" s="3" t="s">
        <v>4575</v>
      </c>
      <c r="E2502" s="3" t="b">
        <v>1</v>
      </c>
      <c r="F2502" s="3" t="b">
        <v>0</v>
      </c>
      <c r="G2502" s="3" t="s">
        <v>10003</v>
      </c>
      <c r="H2502" s="4" t="str">
        <f>_xlfn.IFNA(IF(((INDEX(RulebookFields!C2:C1898, MATCH(D2502,RulebookFields!A2:A1898, 0))="")=TRUE),  "",  INDEX(RulebookFields!C2:C1898, MATCH(D2502,RulebookFields!A2:A1898, 0))), "")</f>
        <v>MessageDeliveries</v>
      </c>
      <c r="I2502" s="4" t="str">
        <f>_xlfn.IFNA(IF(((INDEX(RulebookFields!D2:D1898, MATCH(D2502,RulebookFields!A2:A1898, 0))="")=TRUE),  "",  INDEX(RulebookFields!D2:D1898, MATCH(D2502,RulebookFields!A2:A1898, 0))), "")</f>
        <v>IsOverSegmentLimit</v>
      </c>
      <c r="J2502" s="4" t="b">
        <f>_xlfn.IFNA(IF(((INDEX(RulebookFields!I2:I1898, MATCH(D2502,RulebookFields!A2:A1898, 0))="")=TRUE),  "",  INDEX(RulebookFields!I2:I1898, MATCH(D2502,RulebookFields!A2:A1898, 0))), "")</f>
        <v>1</v>
      </c>
      <c r="K2502" s="4" t="b">
        <f>AND(((F2502)=TRUE), ((J2502)=TRUE))</f>
        <v>0</v>
      </c>
      <c r="L2502" s="4" t="b">
        <f>AND(((G2502 &lt;&gt; "plain")=TRUE), ((G2502 &lt;&gt; "")=TRUE))</f>
        <v>0</v>
      </c>
      <c r="M2502" s="4" t="str">
        <f>IF(((E2502)=TRUE),  C2502 &amp; "|" &amp; H2502,  "")</f>
        <v>principal-knowledge-authority|MessageDeliveries</v>
      </c>
      <c r="N2502" s="3" t="s">
        <v>10004</v>
      </c>
    </row>
    <row r="2503">
      <c r="A2503" s="3" t="s">
        <v>12505</v>
      </c>
      <c r="B2503" s="4" t="str">
        <f>C2503 &amp; " -&gt; " &amp; D2503</f>
        <v>principal-knowledge-authority -&gt; MessageDeliveries.TemplateHasValidApproval</v>
      </c>
      <c r="C2503" s="3" t="s">
        <v>9774</v>
      </c>
      <c r="D2503" s="3" t="s">
        <v>4578</v>
      </c>
      <c r="E2503" s="3" t="b">
        <v>1</v>
      </c>
      <c r="F2503" s="3" t="b">
        <v>0</v>
      </c>
      <c r="G2503" s="3" t="s">
        <v>10003</v>
      </c>
      <c r="H2503" s="4" t="str">
        <f>_xlfn.IFNA(IF(((INDEX(RulebookFields!C2:C1898, MATCH(D2503,RulebookFields!A2:A1898, 0))="")=TRUE),  "",  INDEX(RulebookFields!C2:C1898, MATCH(D2503,RulebookFields!A2:A1898, 0))), "")</f>
        <v>MessageDeliveries</v>
      </c>
      <c r="I2503" s="4" t="str">
        <f>_xlfn.IFNA(IF(((INDEX(RulebookFields!D2:D1898, MATCH(D2503,RulebookFields!A2:A1898, 0))="")=TRUE),  "",  INDEX(RulebookFields!D2:D1898, MATCH(D2503,RulebookFields!A2:A1898, 0))), "")</f>
        <v>TemplateHasValidApproval</v>
      </c>
      <c r="J2503" s="4" t="b">
        <f>_xlfn.IFNA(IF(((INDEX(RulebookFields!I2:I1898, MATCH(D2503,RulebookFields!A2:A1898, 0))="")=TRUE),  "",  INDEX(RulebookFields!I2:I1898, MATCH(D2503,RulebookFields!A2:A1898, 0))), "")</f>
        <v>1</v>
      </c>
      <c r="K2503" s="4" t="b">
        <f>AND(((F2503)=TRUE), ((J2503)=TRUE))</f>
        <v>0</v>
      </c>
      <c r="L2503" s="4" t="b">
        <f>AND(((G2503 &lt;&gt; "plain")=TRUE), ((G2503 &lt;&gt; "")=TRUE))</f>
        <v>0</v>
      </c>
      <c r="M2503" s="4" t="str">
        <f>IF(((E2503)=TRUE),  C2503 &amp; "|" &amp; H2503,  "")</f>
        <v>principal-knowledge-authority|MessageDeliveries</v>
      </c>
      <c r="N2503" s="3" t="s">
        <v>10004</v>
      </c>
    </row>
    <row r="2504">
      <c r="A2504" s="3" t="s">
        <v>12506</v>
      </c>
      <c r="B2504" s="4" t="str">
        <f>C2504 &amp; " -&gt; " &amp; D2504</f>
        <v>principal-knowledge-authority -&gt; MessageDeliveries.IsUnapprovedSend</v>
      </c>
      <c r="C2504" s="3" t="s">
        <v>9774</v>
      </c>
      <c r="D2504" s="3" t="s">
        <v>4581</v>
      </c>
      <c r="E2504" s="3" t="b">
        <v>1</v>
      </c>
      <c r="F2504" s="3" t="b">
        <v>0</v>
      </c>
      <c r="G2504" s="3" t="s">
        <v>10003</v>
      </c>
      <c r="H2504" s="4" t="str">
        <f>_xlfn.IFNA(IF(((INDEX(RulebookFields!C2:C1898, MATCH(D2504,RulebookFields!A2:A1898, 0))="")=TRUE),  "",  INDEX(RulebookFields!C2:C1898, MATCH(D2504,RulebookFields!A2:A1898, 0))), "")</f>
        <v>MessageDeliveries</v>
      </c>
      <c r="I2504" s="4" t="str">
        <f>_xlfn.IFNA(IF(((INDEX(RulebookFields!D2:D1898, MATCH(D2504,RulebookFields!A2:A1898, 0))="")=TRUE),  "",  INDEX(RulebookFields!D2:D1898, MATCH(D2504,RulebookFields!A2:A1898, 0))), "")</f>
        <v>IsUnapprovedSend</v>
      </c>
      <c r="J2504" s="4" t="b">
        <f>_xlfn.IFNA(IF(((INDEX(RulebookFields!I2:I1898, MATCH(D2504,RulebookFields!A2:A1898, 0))="")=TRUE),  "",  INDEX(RulebookFields!I2:I1898, MATCH(D2504,RulebookFields!A2:A1898, 0))), "")</f>
        <v>1</v>
      </c>
      <c r="K2504" s="4" t="b">
        <f>AND(((F2504)=TRUE), ((J2504)=TRUE))</f>
        <v>0</v>
      </c>
      <c r="L2504" s="4" t="b">
        <f>AND(((G2504 &lt;&gt; "plain")=TRUE), ((G2504 &lt;&gt; "")=TRUE))</f>
        <v>0</v>
      </c>
      <c r="M2504" s="4" t="str">
        <f>IF(((E2504)=TRUE),  C2504 &amp; "|" &amp; H2504,  "")</f>
        <v>principal-knowledge-authority|MessageDeliveries</v>
      </c>
      <c r="N2504" s="3" t="s">
        <v>10004</v>
      </c>
    </row>
    <row r="2505">
      <c r="A2505" s="3" t="s">
        <v>12507</v>
      </c>
      <c r="B2505" s="4" t="str">
        <f>C2505 &amp; " -&gt; " &amp; D2505</f>
        <v>principal-knowledge-authority -&gt; MessageDeliveries.PolicyRequiredOptOutPhrase</v>
      </c>
      <c r="C2505" s="3" t="s">
        <v>9774</v>
      </c>
      <c r="D2505" s="3" t="s">
        <v>4584</v>
      </c>
      <c r="E2505" s="3" t="b">
        <v>1</v>
      </c>
      <c r="F2505" s="3" t="b">
        <v>0</v>
      </c>
      <c r="G2505" s="3" t="s">
        <v>10003</v>
      </c>
      <c r="H2505" s="4" t="str">
        <f>_xlfn.IFNA(IF(((INDEX(RulebookFields!C2:C1898, MATCH(D2505,RulebookFields!A2:A1898, 0))="")=TRUE),  "",  INDEX(RulebookFields!C2:C1898, MATCH(D2505,RulebookFields!A2:A1898, 0))), "")</f>
        <v>MessageDeliveries</v>
      </c>
      <c r="I2505" s="4" t="str">
        <f>_xlfn.IFNA(IF(((INDEX(RulebookFields!D2:D1898, MATCH(D2505,RulebookFields!A2:A1898, 0))="")=TRUE),  "",  INDEX(RulebookFields!D2:D1898, MATCH(D2505,RulebookFields!A2:A1898, 0))), "")</f>
        <v>PolicyRequiredOptOutPhrase</v>
      </c>
      <c r="J2505" s="4" t="b">
        <f>_xlfn.IFNA(IF(((INDEX(RulebookFields!I2:I1898, MATCH(D2505,RulebookFields!A2:A1898, 0))="")=TRUE),  "",  INDEX(RulebookFields!I2:I1898, MATCH(D2505,RulebookFields!A2:A1898, 0))), "")</f>
        <v>1</v>
      </c>
      <c r="K2505" s="4" t="b">
        <f>AND(((F2505)=TRUE), ((J2505)=TRUE))</f>
        <v>0</v>
      </c>
      <c r="L2505" s="4" t="b">
        <f>AND(((G2505 &lt;&gt; "plain")=TRUE), ((G2505 &lt;&gt; "")=TRUE))</f>
        <v>0</v>
      </c>
      <c r="M2505" s="4" t="str">
        <f>IF(((E2505)=TRUE),  C2505 &amp; "|" &amp; H2505,  "")</f>
        <v>principal-knowledge-authority|MessageDeliveries</v>
      </c>
      <c r="N2505" s="3" t="s">
        <v>10004</v>
      </c>
    </row>
    <row r="2506">
      <c r="A2506" s="3" t="s">
        <v>12508</v>
      </c>
      <c r="B2506" s="4" t="str">
        <f>C2506 &amp; " -&gt; " &amp; D2506</f>
        <v>principal-knowledge-authority -&gt; MessageDeliveries.PolicyRequiresOptOut</v>
      </c>
      <c r="C2506" s="3" t="s">
        <v>9774</v>
      </c>
      <c r="D2506" s="3" t="s">
        <v>4587</v>
      </c>
      <c r="E2506" s="3" t="b">
        <v>1</v>
      </c>
      <c r="F2506" s="3" t="b">
        <v>0</v>
      </c>
      <c r="G2506" s="3" t="s">
        <v>10003</v>
      </c>
      <c r="H2506" s="4" t="str">
        <f>_xlfn.IFNA(IF(((INDEX(RulebookFields!C2:C1898, MATCH(D2506,RulebookFields!A2:A1898, 0))="")=TRUE),  "",  INDEX(RulebookFields!C2:C1898, MATCH(D2506,RulebookFields!A2:A1898, 0))), "")</f>
        <v>MessageDeliveries</v>
      </c>
      <c r="I2506" s="4" t="str">
        <f>_xlfn.IFNA(IF(((INDEX(RulebookFields!D2:D1898, MATCH(D2506,RulebookFields!A2:A1898, 0))="")=TRUE),  "",  INDEX(RulebookFields!D2:D1898, MATCH(D2506,RulebookFields!A2:A1898, 0))), "")</f>
        <v>PolicyRequiresOptOut</v>
      </c>
      <c r="J2506" s="4" t="b">
        <f>_xlfn.IFNA(IF(((INDEX(RulebookFields!I2:I1898, MATCH(D2506,RulebookFields!A2:A1898, 0))="")=TRUE),  "",  INDEX(RulebookFields!I2:I1898, MATCH(D2506,RulebookFields!A2:A1898, 0))), "")</f>
        <v>1</v>
      </c>
      <c r="K2506" s="4" t="b">
        <f>AND(((F2506)=TRUE), ((J2506)=TRUE))</f>
        <v>0</v>
      </c>
      <c r="L2506" s="4" t="b">
        <f>AND(((G2506 &lt;&gt; "plain")=TRUE), ((G2506 &lt;&gt; "")=TRUE))</f>
        <v>0</v>
      </c>
      <c r="M2506" s="4" t="str">
        <f>IF(((E2506)=TRUE),  C2506 &amp; "|" &amp; H2506,  "")</f>
        <v>principal-knowledge-authority|MessageDeliveries</v>
      </c>
      <c r="N2506" s="3" t="s">
        <v>10004</v>
      </c>
    </row>
    <row r="2507">
      <c r="A2507" s="3" t="s">
        <v>12509</v>
      </c>
      <c r="B2507" s="4" t="str">
        <f>C2507 &amp; " -&gt; " &amp; D2507</f>
        <v>principal-knowledge-authority -&gt; MessageDeliveries.OptOutPhrasePosition</v>
      </c>
      <c r="C2507" s="3" t="s">
        <v>9774</v>
      </c>
      <c r="D2507" s="3" t="s">
        <v>4590</v>
      </c>
      <c r="E2507" s="3" t="b">
        <v>1</v>
      </c>
      <c r="F2507" s="3" t="b">
        <v>0</v>
      </c>
      <c r="G2507" s="3" t="s">
        <v>10003</v>
      </c>
      <c r="H2507" s="4" t="str">
        <f>_xlfn.IFNA(IF(((INDEX(RulebookFields!C2:C1898, MATCH(D2507,RulebookFields!A2:A1898, 0))="")=TRUE),  "",  INDEX(RulebookFields!C2:C1898, MATCH(D2507,RulebookFields!A2:A1898, 0))), "")</f>
        <v>MessageDeliveries</v>
      </c>
      <c r="I2507" s="4" t="str">
        <f>_xlfn.IFNA(IF(((INDEX(RulebookFields!D2:D1898, MATCH(D2507,RulebookFields!A2:A1898, 0))="")=TRUE),  "",  INDEX(RulebookFields!D2:D1898, MATCH(D2507,RulebookFields!A2:A1898, 0))), "")</f>
        <v>OptOutPhrasePosition</v>
      </c>
      <c r="J2507" s="4" t="b">
        <f>_xlfn.IFNA(IF(((INDEX(RulebookFields!I2:I1898, MATCH(D2507,RulebookFields!A2:A1898, 0))="")=TRUE),  "",  INDEX(RulebookFields!I2:I1898, MATCH(D2507,RulebookFields!A2:A1898, 0))), "")</f>
        <v>1</v>
      </c>
      <c r="K2507" s="4" t="b">
        <f>AND(((F2507)=TRUE), ((J2507)=TRUE))</f>
        <v>0</v>
      </c>
      <c r="L2507" s="4" t="b">
        <f>AND(((G2507 &lt;&gt; "plain")=TRUE), ((G2507 &lt;&gt; "")=TRUE))</f>
        <v>0</v>
      </c>
      <c r="M2507" s="4" t="str">
        <f>IF(((E2507)=TRUE),  C2507 &amp; "|" &amp; H2507,  "")</f>
        <v>principal-knowledge-authority|MessageDeliveries</v>
      </c>
      <c r="N2507" s="3" t="s">
        <v>10004</v>
      </c>
    </row>
    <row r="2508">
      <c r="A2508" s="3" t="s">
        <v>12510</v>
      </c>
      <c r="B2508" s="4" t="str">
        <f>C2508 &amp; " -&gt; " &amp; D2508</f>
        <v>principal-knowledge-authority -&gt; MessageDeliveries.HasOptOutPhrase</v>
      </c>
      <c r="C2508" s="3" t="s">
        <v>9774</v>
      </c>
      <c r="D2508" s="3" t="s">
        <v>4593</v>
      </c>
      <c r="E2508" s="3" t="b">
        <v>1</v>
      </c>
      <c r="F2508" s="3" t="b">
        <v>0</v>
      </c>
      <c r="G2508" s="3" t="s">
        <v>10003</v>
      </c>
      <c r="H2508" s="4" t="str">
        <f>_xlfn.IFNA(IF(((INDEX(RulebookFields!C2:C1898, MATCH(D2508,RulebookFields!A2:A1898, 0))="")=TRUE),  "",  INDEX(RulebookFields!C2:C1898, MATCH(D2508,RulebookFields!A2:A1898, 0))), "")</f>
        <v>MessageDeliveries</v>
      </c>
      <c r="I2508" s="4" t="str">
        <f>_xlfn.IFNA(IF(((INDEX(RulebookFields!D2:D1898, MATCH(D2508,RulebookFields!A2:A1898, 0))="")=TRUE),  "",  INDEX(RulebookFields!D2:D1898, MATCH(D2508,RulebookFields!A2:A1898, 0))), "")</f>
        <v>HasOptOutPhrase</v>
      </c>
      <c r="J2508" s="4" t="b">
        <f>_xlfn.IFNA(IF(((INDEX(RulebookFields!I2:I1898, MATCH(D2508,RulebookFields!A2:A1898, 0))="")=TRUE),  "",  INDEX(RulebookFields!I2:I1898, MATCH(D2508,RulebookFields!A2:A1898, 0))), "")</f>
        <v>1</v>
      </c>
      <c r="K2508" s="4" t="b">
        <f>AND(((F2508)=TRUE), ((J2508)=TRUE))</f>
        <v>0</v>
      </c>
      <c r="L2508" s="4" t="b">
        <f>AND(((G2508 &lt;&gt; "plain")=TRUE), ((G2508 &lt;&gt; "")=TRUE))</f>
        <v>0</v>
      </c>
      <c r="M2508" s="4" t="str">
        <f>IF(((E2508)=TRUE),  C2508 &amp; "|" &amp; H2508,  "")</f>
        <v>principal-knowledge-authority|MessageDeliveries</v>
      </c>
      <c r="N2508" s="3" t="s">
        <v>10004</v>
      </c>
    </row>
    <row r="2509">
      <c r="A2509" s="3" t="s">
        <v>12511</v>
      </c>
      <c r="B2509" s="4" t="str">
        <f>C2509 &amp; " -&gt; " &amp; D2509</f>
        <v>principal-knowledge-authority -&gt; MessageDeliveries.IsOptOutInFirstSegment</v>
      </c>
      <c r="C2509" s="3" t="s">
        <v>9774</v>
      </c>
      <c r="D2509" s="3" t="s">
        <v>4596</v>
      </c>
      <c r="E2509" s="3" t="b">
        <v>1</v>
      </c>
      <c r="F2509" s="3" t="b">
        <v>0</v>
      </c>
      <c r="G2509" s="3" t="s">
        <v>10003</v>
      </c>
      <c r="H2509" s="4" t="str">
        <f>_xlfn.IFNA(IF(((INDEX(RulebookFields!C2:C1898, MATCH(D2509,RulebookFields!A2:A1898, 0))="")=TRUE),  "",  INDEX(RulebookFields!C2:C1898, MATCH(D2509,RulebookFields!A2:A1898, 0))), "")</f>
        <v>MessageDeliveries</v>
      </c>
      <c r="I2509" s="4" t="str">
        <f>_xlfn.IFNA(IF(((INDEX(RulebookFields!D2:D1898, MATCH(D2509,RulebookFields!A2:A1898, 0))="")=TRUE),  "",  INDEX(RulebookFields!D2:D1898, MATCH(D2509,RulebookFields!A2:A1898, 0))), "")</f>
        <v>IsOptOutInFirstSegment</v>
      </c>
      <c r="J2509" s="4" t="b">
        <f>_xlfn.IFNA(IF(((INDEX(RulebookFields!I2:I1898, MATCH(D2509,RulebookFields!A2:A1898, 0))="")=TRUE),  "",  INDEX(RulebookFields!I2:I1898, MATCH(D2509,RulebookFields!A2:A1898, 0))), "")</f>
        <v>1</v>
      </c>
      <c r="K2509" s="4" t="b">
        <f>AND(((F2509)=TRUE), ((J2509)=TRUE))</f>
        <v>0</v>
      </c>
      <c r="L2509" s="4" t="b">
        <f>AND(((G2509 &lt;&gt; "plain")=TRUE), ((G2509 &lt;&gt; "")=TRUE))</f>
        <v>0</v>
      </c>
      <c r="M2509" s="4" t="str">
        <f>IF(((E2509)=TRUE),  C2509 &amp; "|" &amp; H2509,  "")</f>
        <v>principal-knowledge-authority|MessageDeliveries</v>
      </c>
      <c r="N2509" s="3" t="s">
        <v>10004</v>
      </c>
    </row>
    <row r="2510">
      <c r="A2510" s="3" t="s">
        <v>12512</v>
      </c>
      <c r="B2510" s="4" t="str">
        <f>C2510 &amp; " -&gt; " &amp; D2510</f>
        <v>principal-knowledge-authority -&gt; MessageDeliveries.IsMissingRequiredOptOut</v>
      </c>
      <c r="C2510" s="3" t="s">
        <v>9774</v>
      </c>
      <c r="D2510" s="3" t="s">
        <v>4599</v>
      </c>
      <c r="E2510" s="3" t="b">
        <v>1</v>
      </c>
      <c r="F2510" s="3" t="b">
        <v>0</v>
      </c>
      <c r="G2510" s="3" t="s">
        <v>10003</v>
      </c>
      <c r="H2510" s="4" t="str">
        <f>_xlfn.IFNA(IF(((INDEX(RulebookFields!C2:C1898, MATCH(D2510,RulebookFields!A2:A1898, 0))="")=TRUE),  "",  INDEX(RulebookFields!C2:C1898, MATCH(D2510,RulebookFields!A2:A1898, 0))), "")</f>
        <v>MessageDeliveries</v>
      </c>
      <c r="I2510" s="4" t="str">
        <f>_xlfn.IFNA(IF(((INDEX(RulebookFields!D2:D1898, MATCH(D2510,RulebookFields!A2:A1898, 0))="")=TRUE),  "",  INDEX(RulebookFields!D2:D1898, MATCH(D2510,RulebookFields!A2:A1898, 0))), "")</f>
        <v>IsMissingRequiredOptOut</v>
      </c>
      <c r="J2510" s="4" t="b">
        <f>_xlfn.IFNA(IF(((INDEX(RulebookFields!I2:I1898, MATCH(D2510,RulebookFields!A2:A1898, 0))="")=TRUE),  "",  INDEX(RulebookFields!I2:I1898, MATCH(D2510,RulebookFields!A2:A1898, 0))), "")</f>
        <v>1</v>
      </c>
      <c r="K2510" s="4" t="b">
        <f>AND(((F2510)=TRUE), ((J2510)=TRUE))</f>
        <v>0</v>
      </c>
      <c r="L2510" s="4" t="b">
        <f>AND(((G2510 &lt;&gt; "plain")=TRUE), ((G2510 &lt;&gt; "")=TRUE))</f>
        <v>0</v>
      </c>
      <c r="M2510" s="4" t="str">
        <f>IF(((E2510)=TRUE),  C2510 &amp; "|" &amp; H2510,  "")</f>
        <v>principal-knowledge-authority|MessageDeliveries</v>
      </c>
      <c r="N2510" s="3" t="s">
        <v>10004</v>
      </c>
    </row>
    <row r="2511">
      <c r="A2511" s="3" t="s">
        <v>12513</v>
      </c>
      <c r="B2511" s="4" t="str">
        <f>C2511 &amp; " -&gt; " &amp; D2511</f>
        <v>principal-knowledge-authority -&gt; MessageDeliveries.IsOptOutAtRiskOfTruncation</v>
      </c>
      <c r="C2511" s="3" t="s">
        <v>9774</v>
      </c>
      <c r="D2511" s="3" t="s">
        <v>4602</v>
      </c>
      <c r="E2511" s="3" t="b">
        <v>1</v>
      </c>
      <c r="F2511" s="3" t="b">
        <v>0</v>
      </c>
      <c r="G2511" s="3" t="s">
        <v>10003</v>
      </c>
      <c r="H2511" s="4" t="str">
        <f>_xlfn.IFNA(IF(((INDEX(RulebookFields!C2:C1898, MATCH(D2511,RulebookFields!A2:A1898, 0))="")=TRUE),  "",  INDEX(RulebookFields!C2:C1898, MATCH(D2511,RulebookFields!A2:A1898, 0))), "")</f>
        <v>MessageDeliveries</v>
      </c>
      <c r="I2511" s="4" t="str">
        <f>_xlfn.IFNA(IF(((INDEX(RulebookFields!D2:D1898, MATCH(D2511,RulebookFields!A2:A1898, 0))="")=TRUE),  "",  INDEX(RulebookFields!D2:D1898, MATCH(D2511,RulebookFields!A2:A1898, 0))), "")</f>
        <v>IsOptOutAtRiskOfTruncation</v>
      </c>
      <c r="J2511" s="4" t="b">
        <f>_xlfn.IFNA(IF(((INDEX(RulebookFields!I2:I1898, MATCH(D2511,RulebookFields!A2:A1898, 0))="")=TRUE),  "",  INDEX(RulebookFields!I2:I1898, MATCH(D2511,RulebookFields!A2:A1898, 0))), "")</f>
        <v>1</v>
      </c>
      <c r="K2511" s="4" t="b">
        <f>AND(((F2511)=TRUE), ((J2511)=TRUE))</f>
        <v>0</v>
      </c>
      <c r="L2511" s="4" t="b">
        <f>AND(((G2511 &lt;&gt; "plain")=TRUE), ((G2511 &lt;&gt; "")=TRUE))</f>
        <v>0</v>
      </c>
      <c r="M2511" s="4" t="str">
        <f>IF(((E2511)=TRUE),  C2511 &amp; "|" &amp; H2511,  "")</f>
        <v>principal-knowledge-authority|MessageDeliveries</v>
      </c>
      <c r="N2511" s="3" t="s">
        <v>10004</v>
      </c>
    </row>
    <row r="2512">
      <c r="A2512" s="3" t="s">
        <v>12514</v>
      </c>
      <c r="B2512" s="4" t="str">
        <f>C2512 &amp; " -&gt; " &amp; D2512</f>
        <v>principal-knowledge-authority -&gt; MessageDeliveries.IsFailedDelivery</v>
      </c>
      <c r="C2512" s="3" t="s">
        <v>9774</v>
      </c>
      <c r="D2512" s="3" t="s">
        <v>4605</v>
      </c>
      <c r="E2512" s="3" t="b">
        <v>1</v>
      </c>
      <c r="F2512" s="3" t="b">
        <v>0</v>
      </c>
      <c r="G2512" s="3" t="s">
        <v>10003</v>
      </c>
      <c r="H2512" s="4" t="str">
        <f>_xlfn.IFNA(IF(((INDEX(RulebookFields!C2:C1898, MATCH(D2512,RulebookFields!A2:A1898, 0))="")=TRUE),  "",  INDEX(RulebookFields!C2:C1898, MATCH(D2512,RulebookFields!A2:A1898, 0))), "")</f>
        <v>MessageDeliveries</v>
      </c>
      <c r="I2512" s="4" t="str">
        <f>_xlfn.IFNA(IF(((INDEX(RulebookFields!D2:D1898, MATCH(D2512,RulebookFields!A2:A1898, 0))="")=TRUE),  "",  INDEX(RulebookFields!D2:D1898, MATCH(D2512,RulebookFields!A2:A1898, 0))), "")</f>
        <v>IsFailedDelivery</v>
      </c>
      <c r="J2512" s="4" t="b">
        <f>_xlfn.IFNA(IF(((INDEX(RulebookFields!I2:I1898, MATCH(D2512,RulebookFields!A2:A1898, 0))="")=TRUE),  "",  INDEX(RulebookFields!I2:I1898, MATCH(D2512,RulebookFields!A2:A1898, 0))), "")</f>
        <v>1</v>
      </c>
      <c r="K2512" s="4" t="b">
        <f>AND(((F2512)=TRUE), ((J2512)=TRUE))</f>
        <v>0</v>
      </c>
      <c r="L2512" s="4" t="b">
        <f>AND(((G2512 &lt;&gt; "plain")=TRUE), ((G2512 &lt;&gt; "")=TRUE))</f>
        <v>0</v>
      </c>
      <c r="M2512" s="4" t="str">
        <f>IF(((E2512)=TRUE),  C2512 &amp; "|" &amp; H2512,  "")</f>
        <v>principal-knowledge-authority|MessageDeliveries</v>
      </c>
      <c r="N2512" s="3" t="s">
        <v>10004</v>
      </c>
    </row>
    <row r="2513">
      <c r="A2513" s="3" t="s">
        <v>12515</v>
      </c>
      <c r="B2513" s="4" t="str">
        <f>C2513 &amp; " -&gt; " &amp; D2513</f>
        <v>principal-knowledge-authority -&gt; MessageDeliveries.IsSuppressed</v>
      </c>
      <c r="C2513" s="3" t="s">
        <v>9774</v>
      </c>
      <c r="D2513" s="3" t="s">
        <v>4608</v>
      </c>
      <c r="E2513" s="3" t="b">
        <v>1</v>
      </c>
      <c r="F2513" s="3" t="b">
        <v>0</v>
      </c>
      <c r="G2513" s="3" t="s">
        <v>10003</v>
      </c>
      <c r="H2513" s="4" t="str">
        <f>_xlfn.IFNA(IF(((INDEX(RulebookFields!C2:C1898, MATCH(D2513,RulebookFields!A2:A1898, 0))="")=TRUE),  "",  INDEX(RulebookFields!C2:C1898, MATCH(D2513,RulebookFields!A2:A1898, 0))), "")</f>
        <v>MessageDeliveries</v>
      </c>
      <c r="I2513" s="4" t="str">
        <f>_xlfn.IFNA(IF(((INDEX(RulebookFields!D2:D1898, MATCH(D2513,RulebookFields!A2:A1898, 0))="")=TRUE),  "",  INDEX(RulebookFields!D2:D1898, MATCH(D2513,RulebookFields!A2:A1898, 0))), "")</f>
        <v>IsSuppressed</v>
      </c>
      <c r="J2513" s="4" t="b">
        <f>_xlfn.IFNA(IF(((INDEX(RulebookFields!I2:I1898, MATCH(D2513,RulebookFields!A2:A1898, 0))="")=TRUE),  "",  INDEX(RulebookFields!I2:I1898, MATCH(D2513,RulebookFields!A2:A1898, 0))), "")</f>
        <v>1</v>
      </c>
      <c r="K2513" s="4" t="b">
        <f>AND(((F2513)=TRUE), ((J2513)=TRUE))</f>
        <v>0</v>
      </c>
      <c r="L2513" s="4" t="b">
        <f>AND(((G2513 &lt;&gt; "plain")=TRUE), ((G2513 &lt;&gt; "")=TRUE))</f>
        <v>0</v>
      </c>
      <c r="M2513" s="4" t="str">
        <f>IF(((E2513)=TRUE),  C2513 &amp; "|" &amp; H2513,  "")</f>
        <v>principal-knowledge-authority|MessageDeliveries</v>
      </c>
      <c r="N2513" s="3" t="s">
        <v>10004</v>
      </c>
    </row>
    <row r="2514">
      <c r="A2514" s="3" t="s">
        <v>12516</v>
      </c>
      <c r="B2514" s="4" t="str">
        <f>C2514 &amp; " -&gt; " &amp; D2514</f>
        <v>principal-knowledge-authority -&gt; MessageDeliveries.IsTriaged</v>
      </c>
      <c r="C2514" s="3" t="s">
        <v>9774</v>
      </c>
      <c r="D2514" s="3" t="s">
        <v>4611</v>
      </c>
      <c r="E2514" s="3" t="b">
        <v>1</v>
      </c>
      <c r="F2514" s="3" t="b">
        <v>0</v>
      </c>
      <c r="G2514" s="3" t="s">
        <v>10003</v>
      </c>
      <c r="H2514" s="4" t="str">
        <f>_xlfn.IFNA(IF(((INDEX(RulebookFields!C2:C1898, MATCH(D2514,RulebookFields!A2:A1898, 0))="")=TRUE),  "",  INDEX(RulebookFields!C2:C1898, MATCH(D2514,RulebookFields!A2:A1898, 0))), "")</f>
        <v>MessageDeliveries</v>
      </c>
      <c r="I2514" s="4" t="str">
        <f>_xlfn.IFNA(IF(((INDEX(RulebookFields!D2:D1898, MATCH(D2514,RulebookFields!A2:A1898, 0))="")=TRUE),  "",  INDEX(RulebookFields!D2:D1898, MATCH(D2514,RulebookFields!A2:A1898, 0))), "")</f>
        <v>IsTriaged</v>
      </c>
      <c r="J2514" s="4" t="b">
        <f>_xlfn.IFNA(IF(((INDEX(RulebookFields!I2:I1898, MATCH(D2514,RulebookFields!A2:A1898, 0))="")=TRUE),  "",  INDEX(RulebookFields!I2:I1898, MATCH(D2514,RulebookFields!A2:A1898, 0))), "")</f>
        <v>1</v>
      </c>
      <c r="K2514" s="4" t="b">
        <f>AND(((F2514)=TRUE), ((J2514)=TRUE))</f>
        <v>0</v>
      </c>
      <c r="L2514" s="4" t="b">
        <f>AND(((G2514 &lt;&gt; "plain")=TRUE), ((G2514 &lt;&gt; "")=TRUE))</f>
        <v>0</v>
      </c>
      <c r="M2514" s="4" t="str">
        <f>IF(((E2514)=TRUE),  C2514 &amp; "|" &amp; H2514,  "")</f>
        <v>principal-knowledge-authority|MessageDeliveries</v>
      </c>
      <c r="N2514" s="3" t="s">
        <v>10004</v>
      </c>
    </row>
    <row r="2515">
      <c r="A2515" s="3" t="s">
        <v>12517</v>
      </c>
      <c r="B2515" s="4" t="str">
        <f>C2515 &amp; " -&gt; " &amp; D2515</f>
        <v>principal-knowledge-authority -&gt; MessageDeliveries.IsAbandonedFailure</v>
      </c>
      <c r="C2515" s="3" t="s">
        <v>9774</v>
      </c>
      <c r="D2515" s="3" t="s">
        <v>4614</v>
      </c>
      <c r="E2515" s="3" t="b">
        <v>1</v>
      </c>
      <c r="F2515" s="3" t="b">
        <v>0</v>
      </c>
      <c r="G2515" s="3" t="s">
        <v>10003</v>
      </c>
      <c r="H2515" s="4" t="str">
        <f>_xlfn.IFNA(IF(((INDEX(RulebookFields!C2:C1898, MATCH(D2515,RulebookFields!A2:A1898, 0))="")=TRUE),  "",  INDEX(RulebookFields!C2:C1898, MATCH(D2515,RulebookFields!A2:A1898, 0))), "")</f>
        <v>MessageDeliveries</v>
      </c>
      <c r="I2515" s="4" t="str">
        <f>_xlfn.IFNA(IF(((INDEX(RulebookFields!D2:D1898, MATCH(D2515,RulebookFields!A2:A1898, 0))="")=TRUE),  "",  INDEX(RulebookFields!D2:D1898, MATCH(D2515,RulebookFields!A2:A1898, 0))), "")</f>
        <v>IsAbandonedFailure</v>
      </c>
      <c r="J2515" s="4" t="b">
        <f>_xlfn.IFNA(IF(((INDEX(RulebookFields!I2:I1898, MATCH(D2515,RulebookFields!A2:A1898, 0))="")=TRUE),  "",  INDEX(RulebookFields!I2:I1898, MATCH(D2515,RulebookFields!A2:A1898, 0))), "")</f>
        <v>1</v>
      </c>
      <c r="K2515" s="4" t="b">
        <f>AND(((F2515)=TRUE), ((J2515)=TRUE))</f>
        <v>0</v>
      </c>
      <c r="L2515" s="4" t="b">
        <f>AND(((G2515 &lt;&gt; "plain")=TRUE), ((G2515 &lt;&gt; "")=TRUE))</f>
        <v>0</v>
      </c>
      <c r="M2515" s="4" t="str">
        <f>IF(((E2515)=TRUE),  C2515 &amp; "|" &amp; H2515,  "")</f>
        <v>principal-knowledge-authority|MessageDeliveries</v>
      </c>
      <c r="N2515" s="3" t="s">
        <v>10004</v>
      </c>
    </row>
    <row r="2516">
      <c r="A2516" s="3" t="s">
        <v>12518</v>
      </c>
      <c r="B2516" s="4" t="str">
        <f>C2516 &amp; " -&gt; " &amp; D2516</f>
        <v>principal-knowledge-authority -&gt; MessageDeliveries.AbandonedFailureExecutionKey</v>
      </c>
      <c r="C2516" s="3" t="s">
        <v>9774</v>
      </c>
      <c r="D2516" s="3" t="s">
        <v>4617</v>
      </c>
      <c r="E2516" s="3" t="b">
        <v>1</v>
      </c>
      <c r="F2516" s="3" t="b">
        <v>0</v>
      </c>
      <c r="G2516" s="3" t="s">
        <v>10003</v>
      </c>
      <c r="H2516" s="4" t="str">
        <f>_xlfn.IFNA(IF(((INDEX(RulebookFields!C2:C1898, MATCH(D2516,RulebookFields!A2:A1898, 0))="")=TRUE),  "",  INDEX(RulebookFields!C2:C1898, MATCH(D2516,RulebookFields!A2:A1898, 0))), "")</f>
        <v>MessageDeliveries</v>
      </c>
      <c r="I2516" s="4" t="str">
        <f>_xlfn.IFNA(IF(((INDEX(RulebookFields!D2:D1898, MATCH(D2516,RulebookFields!A2:A1898, 0))="")=TRUE),  "",  INDEX(RulebookFields!D2:D1898, MATCH(D2516,RulebookFields!A2:A1898, 0))), "")</f>
        <v>AbandonedFailureExecutionKey</v>
      </c>
      <c r="J2516" s="4" t="b">
        <f>_xlfn.IFNA(IF(((INDEX(RulebookFields!I2:I1898, MATCH(D2516,RulebookFields!A2:A1898, 0))="")=TRUE),  "",  INDEX(RulebookFields!I2:I1898, MATCH(D2516,RulebookFields!A2:A1898, 0))), "")</f>
        <v>1</v>
      </c>
      <c r="K2516" s="4" t="b">
        <f>AND(((F2516)=TRUE), ((J2516)=TRUE))</f>
        <v>0</v>
      </c>
      <c r="L2516" s="4" t="b">
        <f>AND(((G2516 &lt;&gt; "plain")=TRUE), ((G2516 &lt;&gt; "")=TRUE))</f>
        <v>0</v>
      </c>
      <c r="M2516" s="4" t="str">
        <f>IF(((E2516)=TRUE),  C2516 &amp; "|" &amp; H2516,  "")</f>
        <v>principal-knowledge-authority|MessageDeliveries</v>
      </c>
      <c r="N2516" s="3" t="s">
        <v>10004</v>
      </c>
    </row>
    <row r="2517">
      <c r="A2517" s="3" t="s">
        <v>12519</v>
      </c>
      <c r="B2517" s="4" t="str">
        <f>C2517 &amp; " -&gt; " &amp; D2517</f>
        <v>principal-knowledge-authority -&gt; MessageDeliveries.ReachedExecutionKey</v>
      </c>
      <c r="C2517" s="3" t="s">
        <v>9774</v>
      </c>
      <c r="D2517" s="3" t="s">
        <v>4620</v>
      </c>
      <c r="E2517" s="3" t="b">
        <v>1</v>
      </c>
      <c r="F2517" s="3" t="b">
        <v>0</v>
      </c>
      <c r="G2517" s="3" t="s">
        <v>10003</v>
      </c>
      <c r="H2517" s="4" t="str">
        <f>_xlfn.IFNA(IF(((INDEX(RulebookFields!C2:C1898, MATCH(D2517,RulebookFields!A2:A1898, 0))="")=TRUE),  "",  INDEX(RulebookFields!C2:C1898, MATCH(D2517,RulebookFields!A2:A1898, 0))), "")</f>
        <v>MessageDeliveries</v>
      </c>
      <c r="I2517" s="4" t="str">
        <f>_xlfn.IFNA(IF(((INDEX(RulebookFields!D2:D1898, MATCH(D2517,RulebookFields!A2:A1898, 0))="")=TRUE),  "",  INDEX(RulebookFields!D2:D1898, MATCH(D2517,RulebookFields!A2:A1898, 0))), "")</f>
        <v>ReachedExecutionKey</v>
      </c>
      <c r="J2517" s="4" t="b">
        <f>_xlfn.IFNA(IF(((INDEX(RulebookFields!I2:I1898, MATCH(D2517,RulebookFields!A2:A1898, 0))="")=TRUE),  "",  INDEX(RulebookFields!I2:I1898, MATCH(D2517,RulebookFields!A2:A1898, 0))), "")</f>
        <v>1</v>
      </c>
      <c r="K2517" s="4" t="b">
        <f>AND(((F2517)=TRUE), ((J2517)=TRUE))</f>
        <v>0</v>
      </c>
      <c r="L2517" s="4" t="b">
        <f>AND(((G2517 &lt;&gt; "plain")=TRUE), ((G2517 &lt;&gt; "")=TRUE))</f>
        <v>0</v>
      </c>
      <c r="M2517" s="4" t="str">
        <f>IF(((E2517)=TRUE),  C2517 &amp; "|" &amp; H2517,  "")</f>
        <v>principal-knowledge-authority|MessageDeliveries</v>
      </c>
      <c r="N2517" s="3" t="s">
        <v>10004</v>
      </c>
    </row>
    <row r="2518">
      <c r="A2518" s="3" t="s">
        <v>12520</v>
      </c>
      <c r="B2518" s="4" t="str">
        <f>C2518 &amp; " -&gt; " &amp; D2518</f>
        <v>principal-knowledge-authority -&gt; MessageDeliveries.TemplateWasSendable</v>
      </c>
      <c r="C2518" s="3" t="s">
        <v>9774</v>
      </c>
      <c r="D2518" s="3" t="s">
        <v>4623</v>
      </c>
      <c r="E2518" s="3" t="b">
        <v>1</v>
      </c>
      <c r="F2518" s="3" t="b">
        <v>0</v>
      </c>
      <c r="G2518" s="3" t="s">
        <v>10003</v>
      </c>
      <c r="H2518" s="4" t="str">
        <f>_xlfn.IFNA(IF(((INDEX(RulebookFields!C2:C1898, MATCH(D2518,RulebookFields!A2:A1898, 0))="")=TRUE),  "",  INDEX(RulebookFields!C2:C1898, MATCH(D2518,RulebookFields!A2:A1898, 0))), "")</f>
        <v>MessageDeliveries</v>
      </c>
      <c r="I2518" s="4" t="str">
        <f>_xlfn.IFNA(IF(((INDEX(RulebookFields!D2:D1898, MATCH(D2518,RulebookFields!A2:A1898, 0))="")=TRUE),  "",  INDEX(RulebookFields!D2:D1898, MATCH(D2518,RulebookFields!A2:A1898, 0))), "")</f>
        <v>TemplateWasSendable</v>
      </c>
      <c r="J2518" s="4" t="b">
        <f>_xlfn.IFNA(IF(((INDEX(RulebookFields!I2:I1898, MATCH(D2518,RulebookFields!A2:A1898, 0))="")=TRUE),  "",  INDEX(RulebookFields!I2:I1898, MATCH(D2518,RulebookFields!A2:A1898, 0))), "")</f>
        <v>1</v>
      </c>
      <c r="K2518" s="4" t="b">
        <f>AND(((F2518)=TRUE), ((J2518)=TRUE))</f>
        <v>0</v>
      </c>
      <c r="L2518" s="4" t="b">
        <f>AND(((G2518 &lt;&gt; "plain")=TRUE), ((G2518 &lt;&gt; "")=TRUE))</f>
        <v>0</v>
      </c>
      <c r="M2518" s="4" t="str">
        <f>IF(((E2518)=TRUE),  C2518 &amp; "|" &amp; H2518,  "")</f>
        <v>principal-knowledge-authority|MessageDeliveries</v>
      </c>
      <c r="N2518" s="3" t="s">
        <v>10004</v>
      </c>
    </row>
    <row r="2519">
      <c r="A2519" s="3" t="s">
        <v>12521</v>
      </c>
      <c r="B2519" s="4" t="str">
        <f>C2519 &amp; " -&gt; " &amp; D2519</f>
        <v>principal-knowledge-authority -&gt; MessageDeliveries.IsDriftedSend</v>
      </c>
      <c r="C2519" s="3" t="s">
        <v>9774</v>
      </c>
      <c r="D2519" s="3" t="s">
        <v>4626</v>
      </c>
      <c r="E2519" s="3" t="b">
        <v>1</v>
      </c>
      <c r="F2519" s="3" t="b">
        <v>0</v>
      </c>
      <c r="G2519" s="3" t="s">
        <v>10003</v>
      </c>
      <c r="H2519" s="4" t="str">
        <f>_xlfn.IFNA(IF(((INDEX(RulebookFields!C2:C1898, MATCH(D2519,RulebookFields!A2:A1898, 0))="")=TRUE),  "",  INDEX(RulebookFields!C2:C1898, MATCH(D2519,RulebookFields!A2:A1898, 0))), "")</f>
        <v>MessageDeliveries</v>
      </c>
      <c r="I2519" s="4" t="str">
        <f>_xlfn.IFNA(IF(((INDEX(RulebookFields!D2:D1898, MATCH(D2519,RulebookFields!A2:A1898, 0))="")=TRUE),  "",  INDEX(RulebookFields!D2:D1898, MATCH(D2519,RulebookFields!A2:A1898, 0))), "")</f>
        <v>IsDriftedSend</v>
      </c>
      <c r="J2519" s="4" t="b">
        <f>_xlfn.IFNA(IF(((INDEX(RulebookFields!I2:I1898, MATCH(D2519,RulebookFields!A2:A1898, 0))="")=TRUE),  "",  INDEX(RulebookFields!I2:I1898, MATCH(D2519,RulebookFields!A2:A1898, 0))), "")</f>
        <v>1</v>
      </c>
      <c r="K2519" s="4" t="b">
        <f>AND(((F2519)=TRUE), ((J2519)=TRUE))</f>
        <v>0</v>
      </c>
      <c r="L2519" s="4" t="b">
        <f>AND(((G2519 &lt;&gt; "plain")=TRUE), ((G2519 &lt;&gt; "")=TRUE))</f>
        <v>0</v>
      </c>
      <c r="M2519" s="4" t="str">
        <f>IF(((E2519)=TRUE),  C2519 &amp; "|" &amp; H2519,  "")</f>
        <v>principal-knowledge-authority|MessageDeliveries</v>
      </c>
      <c r="N2519" s="3" t="s">
        <v>10004</v>
      </c>
    </row>
    <row r="2520">
      <c r="A2520" s="3" t="s">
        <v>12522</v>
      </c>
      <c r="B2520" s="4" t="str">
        <f>C2520 &amp; " -&gt; " &amp; D2520</f>
        <v>principal-knowledge-authority -&gt; MessageDeliveries.DriftedSendTemplateKey</v>
      </c>
      <c r="C2520" s="3" t="s">
        <v>9774</v>
      </c>
      <c r="D2520" s="3" t="s">
        <v>4629</v>
      </c>
      <c r="E2520" s="3" t="b">
        <v>1</v>
      </c>
      <c r="F2520" s="3" t="b">
        <v>0</v>
      </c>
      <c r="G2520" s="3" t="s">
        <v>10003</v>
      </c>
      <c r="H2520" s="4" t="str">
        <f>_xlfn.IFNA(IF(((INDEX(RulebookFields!C2:C1898, MATCH(D2520,RulebookFields!A2:A1898, 0))="")=TRUE),  "",  INDEX(RulebookFields!C2:C1898, MATCH(D2520,RulebookFields!A2:A1898, 0))), "")</f>
        <v>MessageDeliveries</v>
      </c>
      <c r="I2520" s="4" t="str">
        <f>_xlfn.IFNA(IF(((INDEX(RulebookFields!D2:D1898, MATCH(D2520,RulebookFields!A2:A1898, 0))="")=TRUE),  "",  INDEX(RulebookFields!D2:D1898, MATCH(D2520,RulebookFields!A2:A1898, 0))), "")</f>
        <v>DriftedSendTemplateKey</v>
      </c>
      <c r="J2520" s="4" t="b">
        <f>_xlfn.IFNA(IF(((INDEX(RulebookFields!I2:I1898, MATCH(D2520,RulebookFields!A2:A1898, 0))="")=TRUE),  "",  INDEX(RulebookFields!I2:I1898, MATCH(D2520,RulebookFields!A2:A1898, 0))), "")</f>
        <v>1</v>
      </c>
      <c r="K2520" s="4" t="b">
        <f>AND(((F2520)=TRUE), ((J2520)=TRUE))</f>
        <v>0</v>
      </c>
      <c r="L2520" s="4" t="b">
        <f>AND(((G2520 &lt;&gt; "plain")=TRUE), ((G2520 &lt;&gt; "")=TRUE))</f>
        <v>0</v>
      </c>
      <c r="M2520" s="4" t="str">
        <f>IF(((E2520)=TRUE),  C2520 &amp; "|" &amp; H2520,  "")</f>
        <v>principal-knowledge-authority|MessageDeliveries</v>
      </c>
      <c r="N2520" s="3" t="s">
        <v>10004</v>
      </c>
    </row>
    <row r="2521">
      <c r="A2521" s="3" t="s">
        <v>12523</v>
      </c>
      <c r="B2521" s="4" t="str">
        <f>C2521 &amp; " -&gt; " &amp; D2521</f>
        <v>principal-knowledge-authority -&gt; MessageDeliveries.WasSentOutsideBusinessHours</v>
      </c>
      <c r="C2521" s="3" t="s">
        <v>9774</v>
      </c>
      <c r="D2521" s="3" t="s">
        <v>4632</v>
      </c>
      <c r="E2521" s="3" t="b">
        <v>1</v>
      </c>
      <c r="F2521" s="3" t="b">
        <v>0</v>
      </c>
      <c r="G2521" s="3" t="s">
        <v>10003</v>
      </c>
      <c r="H2521" s="4" t="str">
        <f>_xlfn.IFNA(IF(((INDEX(RulebookFields!C2:C1898, MATCH(D2521,RulebookFields!A2:A1898, 0))="")=TRUE),  "",  INDEX(RulebookFields!C2:C1898, MATCH(D2521,RulebookFields!A2:A1898, 0))), "")</f>
        <v>MessageDeliveries</v>
      </c>
      <c r="I2521" s="4" t="str">
        <f>_xlfn.IFNA(IF(((INDEX(RulebookFields!D2:D1898, MATCH(D2521,RulebookFields!A2:A1898, 0))="")=TRUE),  "",  INDEX(RulebookFields!D2:D1898, MATCH(D2521,RulebookFields!A2:A1898, 0))), "")</f>
        <v>WasSentOutsideBusinessHours</v>
      </c>
      <c r="J2521" s="4" t="b">
        <f>_xlfn.IFNA(IF(((INDEX(RulebookFields!I2:I1898, MATCH(D2521,RulebookFields!A2:A1898, 0))="")=TRUE),  "",  INDEX(RulebookFields!I2:I1898, MATCH(D2521,RulebookFields!A2:A1898, 0))), "")</f>
        <v>1</v>
      </c>
      <c r="K2521" s="4" t="b">
        <f>AND(((F2521)=TRUE), ((J2521)=TRUE))</f>
        <v>0</v>
      </c>
      <c r="L2521" s="4" t="b">
        <f>AND(((G2521 &lt;&gt; "plain")=TRUE), ((G2521 &lt;&gt; "")=TRUE))</f>
        <v>0</v>
      </c>
      <c r="M2521" s="4" t="str">
        <f>IF(((E2521)=TRUE),  C2521 &amp; "|" &amp; H2521,  "")</f>
        <v>principal-knowledge-authority|MessageDeliveries</v>
      </c>
      <c r="N2521" s="3" t="s">
        <v>10004</v>
      </c>
    </row>
    <row r="2522">
      <c r="A2522" s="3" t="s">
        <v>12524</v>
      </c>
      <c r="B2522" s="4" t="str">
        <f>C2522 &amp; " -&gt; " &amp; D2522</f>
        <v>principal-knowledge-authority -&gt; MessageDeliveries.WasDeliveredAndUnanswered</v>
      </c>
      <c r="C2522" s="3" t="s">
        <v>9774</v>
      </c>
      <c r="D2522" s="3" t="s">
        <v>4635</v>
      </c>
      <c r="E2522" s="3" t="b">
        <v>1</v>
      </c>
      <c r="F2522" s="3" t="b">
        <v>0</v>
      </c>
      <c r="G2522" s="3" t="s">
        <v>10003</v>
      </c>
      <c r="H2522" s="4" t="str">
        <f>_xlfn.IFNA(IF(((INDEX(RulebookFields!C2:C1898, MATCH(D2522,RulebookFields!A2:A1898, 0))="")=TRUE),  "",  INDEX(RulebookFields!C2:C1898, MATCH(D2522,RulebookFields!A2:A1898, 0))), "")</f>
        <v>MessageDeliveries</v>
      </c>
      <c r="I2522" s="4" t="str">
        <f>_xlfn.IFNA(IF(((INDEX(RulebookFields!D2:D1898, MATCH(D2522,RulebookFields!A2:A1898, 0))="")=TRUE),  "",  INDEX(RulebookFields!D2:D1898, MATCH(D2522,RulebookFields!A2:A1898, 0))), "")</f>
        <v>WasDeliveredAndUnanswered</v>
      </c>
      <c r="J2522" s="4" t="b">
        <f>_xlfn.IFNA(IF(((INDEX(RulebookFields!I2:I1898, MATCH(D2522,RulebookFields!A2:A1898, 0))="")=TRUE),  "",  INDEX(RulebookFields!I2:I1898, MATCH(D2522,RulebookFields!A2:A1898, 0))), "")</f>
        <v>1</v>
      </c>
      <c r="K2522" s="4" t="b">
        <f>AND(((F2522)=TRUE), ((J2522)=TRUE))</f>
        <v>0</v>
      </c>
      <c r="L2522" s="4" t="b">
        <f>AND(((G2522 &lt;&gt; "plain")=TRUE), ((G2522 &lt;&gt; "")=TRUE))</f>
        <v>0</v>
      </c>
      <c r="M2522" s="4" t="str">
        <f>IF(((E2522)=TRUE),  C2522 &amp; "|" &amp; H2522,  "")</f>
        <v>principal-knowledge-authority|MessageDeliveries</v>
      </c>
      <c r="N2522" s="3" t="s">
        <v>10004</v>
      </c>
    </row>
    <row r="2523">
      <c r="A2523" s="3" t="s">
        <v>12525</v>
      </c>
      <c r="B2523" s="4" t="str">
        <f>C2523 &amp; " -&gt; " &amp; D2523</f>
        <v>principal-knowledge-authority -&gt; MessageDeliveries.IsPoorlyTimedUnanswered</v>
      </c>
      <c r="C2523" s="3" t="s">
        <v>9774</v>
      </c>
      <c r="D2523" s="3" t="s">
        <v>4638</v>
      </c>
      <c r="E2523" s="3" t="b">
        <v>1</v>
      </c>
      <c r="F2523" s="3" t="b">
        <v>0</v>
      </c>
      <c r="G2523" s="3" t="s">
        <v>10003</v>
      </c>
      <c r="H2523" s="4" t="str">
        <f>_xlfn.IFNA(IF(((INDEX(RulebookFields!C2:C1898, MATCH(D2523,RulebookFields!A2:A1898, 0))="")=TRUE),  "",  INDEX(RulebookFields!C2:C1898, MATCH(D2523,RulebookFields!A2:A1898, 0))), "")</f>
        <v>MessageDeliveries</v>
      </c>
      <c r="I2523" s="4" t="str">
        <f>_xlfn.IFNA(IF(((INDEX(RulebookFields!D2:D1898, MATCH(D2523,RulebookFields!A2:A1898, 0))="")=TRUE),  "",  INDEX(RulebookFields!D2:D1898, MATCH(D2523,RulebookFields!A2:A1898, 0))), "")</f>
        <v>IsPoorlyTimedUnanswered</v>
      </c>
      <c r="J2523" s="4" t="b">
        <f>_xlfn.IFNA(IF(((INDEX(RulebookFields!I2:I1898, MATCH(D2523,RulebookFields!A2:A1898, 0))="")=TRUE),  "",  INDEX(RulebookFields!I2:I1898, MATCH(D2523,RulebookFields!A2:A1898, 0))), "")</f>
        <v>1</v>
      </c>
      <c r="K2523" s="4" t="b">
        <f>AND(((F2523)=TRUE), ((J2523)=TRUE))</f>
        <v>0</v>
      </c>
      <c r="L2523" s="4" t="b">
        <f>AND(((G2523 &lt;&gt; "plain")=TRUE), ((G2523 &lt;&gt; "")=TRUE))</f>
        <v>0</v>
      </c>
      <c r="M2523" s="4" t="str">
        <f>IF(((E2523)=TRUE),  C2523 &amp; "|" &amp; H2523,  "")</f>
        <v>principal-knowledge-authority|MessageDeliveries</v>
      </c>
      <c r="N2523" s="3" t="s">
        <v>10004</v>
      </c>
    </row>
    <row r="2524">
      <c r="A2524" s="3" t="s">
        <v>12526</v>
      </c>
      <c r="B2524" s="4" t="str">
        <f>C2524 &amp; " -&gt; " &amp; D2524</f>
        <v>principal-knowledge-authority -&gt; MessageDeliveries.IsWellTimedUnanswered</v>
      </c>
      <c r="C2524" s="3" t="s">
        <v>9774</v>
      </c>
      <c r="D2524" s="3" t="s">
        <v>4641</v>
      </c>
      <c r="E2524" s="3" t="b">
        <v>1</v>
      </c>
      <c r="F2524" s="3" t="b">
        <v>0</v>
      </c>
      <c r="G2524" s="3" t="s">
        <v>10003</v>
      </c>
      <c r="H2524" s="4" t="str">
        <f>_xlfn.IFNA(IF(((INDEX(RulebookFields!C2:C1898, MATCH(D2524,RulebookFields!A2:A1898, 0))="")=TRUE),  "",  INDEX(RulebookFields!C2:C1898, MATCH(D2524,RulebookFields!A2:A1898, 0))), "")</f>
        <v>MessageDeliveries</v>
      </c>
      <c r="I2524" s="4" t="str">
        <f>_xlfn.IFNA(IF(((INDEX(RulebookFields!D2:D1898, MATCH(D2524,RulebookFields!A2:A1898, 0))="")=TRUE),  "",  INDEX(RulebookFields!D2:D1898, MATCH(D2524,RulebookFields!A2:A1898, 0))), "")</f>
        <v>IsWellTimedUnanswered</v>
      </c>
      <c r="J2524" s="4" t="b">
        <f>_xlfn.IFNA(IF(((INDEX(RulebookFields!I2:I1898, MATCH(D2524,RulebookFields!A2:A1898, 0))="")=TRUE),  "",  INDEX(RulebookFields!I2:I1898, MATCH(D2524,RulebookFields!A2:A1898, 0))), "")</f>
        <v>1</v>
      </c>
      <c r="K2524" s="4" t="b">
        <f>AND(((F2524)=TRUE), ((J2524)=TRUE))</f>
        <v>0</v>
      </c>
      <c r="L2524" s="4" t="b">
        <f>AND(((G2524 &lt;&gt; "plain")=TRUE), ((G2524 &lt;&gt; "")=TRUE))</f>
        <v>0</v>
      </c>
      <c r="M2524" s="4" t="str">
        <f>IF(((E2524)=TRUE),  C2524 &amp; "|" &amp; H2524,  "")</f>
        <v>principal-knowledge-authority|MessageDeliveries</v>
      </c>
      <c r="N2524" s="3" t="s">
        <v>10004</v>
      </c>
    </row>
    <row r="2525">
      <c r="A2525" s="3" t="s">
        <v>12527</v>
      </c>
      <c r="B2525" s="4" t="str">
        <f>C2525 &amp; " -&gt; " &amp; D2525</f>
        <v>principal-knowledge-authority -&gt; MessageDeliveries.UnansweredTemplateKey</v>
      </c>
      <c r="C2525" s="3" t="s">
        <v>9774</v>
      </c>
      <c r="D2525" s="3" t="s">
        <v>4644</v>
      </c>
      <c r="E2525" s="3" t="b">
        <v>1</v>
      </c>
      <c r="F2525" s="3" t="b">
        <v>0</v>
      </c>
      <c r="G2525" s="3" t="s">
        <v>10003</v>
      </c>
      <c r="H2525" s="4" t="str">
        <f>_xlfn.IFNA(IF(((INDEX(RulebookFields!C2:C1898, MATCH(D2525,RulebookFields!A2:A1898, 0))="")=TRUE),  "",  INDEX(RulebookFields!C2:C1898, MATCH(D2525,RulebookFields!A2:A1898, 0))), "")</f>
        <v>MessageDeliveries</v>
      </c>
      <c r="I2525" s="4" t="str">
        <f>_xlfn.IFNA(IF(((INDEX(RulebookFields!D2:D1898, MATCH(D2525,RulebookFields!A2:A1898, 0))="")=TRUE),  "",  INDEX(RulebookFields!D2:D1898, MATCH(D2525,RulebookFields!A2:A1898, 0))), "")</f>
        <v>UnansweredTemplateKey</v>
      </c>
      <c r="J2525" s="4" t="b">
        <f>_xlfn.IFNA(IF(((INDEX(RulebookFields!I2:I1898, MATCH(D2525,RulebookFields!A2:A1898, 0))="")=TRUE),  "",  INDEX(RulebookFields!I2:I1898, MATCH(D2525,RulebookFields!A2:A1898, 0))), "")</f>
        <v>1</v>
      </c>
      <c r="K2525" s="4" t="b">
        <f>AND(((F2525)=TRUE), ((J2525)=TRUE))</f>
        <v>0</v>
      </c>
      <c r="L2525" s="4" t="b">
        <f>AND(((G2525 &lt;&gt; "plain")=TRUE), ((G2525 &lt;&gt; "")=TRUE))</f>
        <v>0</v>
      </c>
      <c r="M2525" s="4" t="str">
        <f>IF(((E2525)=TRUE),  C2525 &amp; "|" &amp; H2525,  "")</f>
        <v>principal-knowledge-authority|MessageDeliveries</v>
      </c>
      <c r="N2525" s="3" t="s">
        <v>10004</v>
      </c>
    </row>
    <row r="2526">
      <c r="A2526" s="3" t="s">
        <v>12528</v>
      </c>
      <c r="B2526" s="4" t="str">
        <f>C2526 &amp; " -&gt; " &amp; D2526</f>
        <v>principal-knowledge-authority -&gt; MessageDeliveries.TransmittedTemplateKey</v>
      </c>
      <c r="C2526" s="3" t="s">
        <v>9774</v>
      </c>
      <c r="D2526" s="3" t="s">
        <v>4647</v>
      </c>
      <c r="E2526" s="3" t="b">
        <v>1</v>
      </c>
      <c r="F2526" s="3" t="b">
        <v>0</v>
      </c>
      <c r="G2526" s="3" t="s">
        <v>10003</v>
      </c>
      <c r="H2526" s="4" t="str">
        <f>_xlfn.IFNA(IF(((INDEX(RulebookFields!C2:C1898, MATCH(D2526,RulebookFields!A2:A1898, 0))="")=TRUE),  "",  INDEX(RulebookFields!C2:C1898, MATCH(D2526,RulebookFields!A2:A1898, 0))), "")</f>
        <v>MessageDeliveries</v>
      </c>
      <c r="I2526" s="4" t="str">
        <f>_xlfn.IFNA(IF(((INDEX(RulebookFields!D2:D1898, MATCH(D2526,RulebookFields!A2:A1898, 0))="")=TRUE),  "",  INDEX(RulebookFields!D2:D1898, MATCH(D2526,RulebookFields!A2:A1898, 0))), "")</f>
        <v>TransmittedTemplateKey</v>
      </c>
      <c r="J2526" s="4" t="b">
        <f>_xlfn.IFNA(IF(((INDEX(RulebookFields!I2:I1898, MATCH(D2526,RulebookFields!A2:A1898, 0))="")=TRUE),  "",  INDEX(RulebookFields!I2:I1898, MATCH(D2526,RulebookFields!A2:A1898, 0))), "")</f>
        <v>1</v>
      </c>
      <c r="K2526" s="4" t="b">
        <f>AND(((F2526)=TRUE), ((J2526)=TRUE))</f>
        <v>0</v>
      </c>
      <c r="L2526" s="4" t="b">
        <f>AND(((G2526 &lt;&gt; "plain")=TRUE), ((G2526 &lt;&gt; "")=TRUE))</f>
        <v>0</v>
      </c>
      <c r="M2526" s="4" t="str">
        <f>IF(((E2526)=TRUE),  C2526 &amp; "|" &amp; H2526,  "")</f>
        <v>principal-knowledge-authority|MessageDeliveries</v>
      </c>
      <c r="N2526" s="3" t="s">
        <v>10004</v>
      </c>
    </row>
    <row r="2527">
      <c r="A2527" s="3" t="s">
        <v>12529</v>
      </c>
      <c r="B2527" s="4" t="str">
        <f>C2527 &amp; " -&gt; " &amp; D2527</f>
        <v>principal-knowledge-authority -&gt; MessageDeliveries.ApprovingAgentAtSend</v>
      </c>
      <c r="C2527" s="3" t="s">
        <v>9774</v>
      </c>
      <c r="D2527" s="3" t="s">
        <v>4650</v>
      </c>
      <c r="E2527" s="3" t="b">
        <v>1</v>
      </c>
      <c r="F2527" s="3" t="b">
        <v>0</v>
      </c>
      <c r="G2527" s="3" t="s">
        <v>10003</v>
      </c>
      <c r="H2527" s="4" t="str">
        <f>_xlfn.IFNA(IF(((INDEX(RulebookFields!C2:C1898, MATCH(D2527,RulebookFields!A2:A1898, 0))="")=TRUE),  "",  INDEX(RulebookFields!C2:C1898, MATCH(D2527,RulebookFields!A2:A1898, 0))), "")</f>
        <v>MessageDeliveries</v>
      </c>
      <c r="I2527" s="4" t="str">
        <f>_xlfn.IFNA(IF(((INDEX(RulebookFields!D2:D1898, MATCH(D2527,RulebookFields!A2:A1898, 0))="")=TRUE),  "",  INDEX(RulebookFields!D2:D1898, MATCH(D2527,RulebookFields!A2:A1898, 0))), "")</f>
        <v>ApprovingAgentAtSend</v>
      </c>
      <c r="J2527" s="4" t="b">
        <f>_xlfn.IFNA(IF(((INDEX(RulebookFields!I2:I1898, MATCH(D2527,RulebookFields!A2:A1898, 0))="")=TRUE),  "",  INDEX(RulebookFields!I2:I1898, MATCH(D2527,RulebookFields!A2:A1898, 0))), "")</f>
        <v>0</v>
      </c>
      <c r="K2527" s="4" t="b">
        <f>AND(((F2527)=TRUE), ((J2527)=TRUE))</f>
        <v>0</v>
      </c>
      <c r="L2527" s="4" t="b">
        <f>AND(((G2527 &lt;&gt; "plain")=TRUE), ((G2527 &lt;&gt; "")=TRUE))</f>
        <v>0</v>
      </c>
      <c r="M2527" s="4" t="str">
        <f>IF(((E2527)=TRUE),  C2527 &amp; "|" &amp; H2527,  "")</f>
        <v>principal-knowledge-authority|MessageDeliveries</v>
      </c>
      <c r="N2527" s="3" t="s">
        <v>10004</v>
      </c>
    </row>
    <row r="2528">
      <c r="A2528" s="3" t="s">
        <v>12530</v>
      </c>
      <c r="B2528" s="4" t="str">
        <f>C2528 &amp; " -&gt; " &amp; D2528</f>
        <v>principal-knowledge-authority -&gt; MessageDeliveries.ApprovingRoleAtSend</v>
      </c>
      <c r="C2528" s="3" t="s">
        <v>9774</v>
      </c>
      <c r="D2528" s="3" t="s">
        <v>4652</v>
      </c>
      <c r="E2528" s="3" t="b">
        <v>1</v>
      </c>
      <c r="F2528" s="3" t="b">
        <v>0</v>
      </c>
      <c r="G2528" s="3" t="s">
        <v>10003</v>
      </c>
      <c r="H2528" s="4" t="str">
        <f>_xlfn.IFNA(IF(((INDEX(RulebookFields!C2:C1898, MATCH(D2528,RulebookFields!A2:A1898, 0))="")=TRUE),  "",  INDEX(RulebookFields!C2:C1898, MATCH(D2528,RulebookFields!A2:A1898, 0))), "")</f>
        <v>MessageDeliveries</v>
      </c>
      <c r="I2528" s="4" t="str">
        <f>_xlfn.IFNA(IF(((INDEX(RulebookFields!D2:D1898, MATCH(D2528,RulebookFields!A2:A1898, 0))="")=TRUE),  "",  INDEX(RulebookFields!D2:D1898, MATCH(D2528,RulebookFields!A2:A1898, 0))), "")</f>
        <v>ApprovingRoleAtSend</v>
      </c>
      <c r="J2528" s="4" t="b">
        <f>_xlfn.IFNA(IF(((INDEX(RulebookFields!I2:I1898, MATCH(D2528,RulebookFields!A2:A1898, 0))="")=TRUE),  "",  INDEX(RulebookFields!I2:I1898, MATCH(D2528,RulebookFields!A2:A1898, 0))), "")</f>
        <v>0</v>
      </c>
      <c r="K2528" s="4" t="b">
        <f>AND(((F2528)=TRUE), ((J2528)=TRUE))</f>
        <v>0</v>
      </c>
      <c r="L2528" s="4" t="b">
        <f>AND(((G2528 &lt;&gt; "plain")=TRUE), ((G2528 &lt;&gt; "")=TRUE))</f>
        <v>0</v>
      </c>
      <c r="M2528" s="4" t="str">
        <f>IF(((E2528)=TRUE),  C2528 &amp; "|" &amp; H2528,  "")</f>
        <v>principal-knowledge-authority|MessageDeliveries</v>
      </c>
      <c r="N2528" s="3" t="s">
        <v>10004</v>
      </c>
    </row>
    <row r="2529">
      <c r="A2529" s="3" t="s">
        <v>12531</v>
      </c>
      <c r="B2529" s="4" t="str">
        <f>C2529 &amp; " -&gt; " &amp; D2529</f>
        <v>principal-knowledge-authority -&gt; MessageDeliveries.ApprovalDecidedAtSend</v>
      </c>
      <c r="C2529" s="3" t="s">
        <v>9774</v>
      </c>
      <c r="D2529" s="3" t="s">
        <v>4654</v>
      </c>
      <c r="E2529" s="3" t="b">
        <v>1</v>
      </c>
      <c r="F2529" s="3" t="b">
        <v>0</v>
      </c>
      <c r="G2529" s="3" t="s">
        <v>10003</v>
      </c>
      <c r="H2529" s="4" t="str">
        <f>_xlfn.IFNA(IF(((INDEX(RulebookFields!C2:C1898, MATCH(D2529,RulebookFields!A2:A1898, 0))="")=TRUE),  "",  INDEX(RulebookFields!C2:C1898, MATCH(D2529,RulebookFields!A2:A1898, 0))), "")</f>
        <v>MessageDeliveries</v>
      </c>
      <c r="I2529" s="4" t="str">
        <f>_xlfn.IFNA(IF(((INDEX(RulebookFields!D2:D1898, MATCH(D2529,RulebookFields!A2:A1898, 0))="")=TRUE),  "",  INDEX(RulebookFields!D2:D1898, MATCH(D2529,RulebookFields!A2:A1898, 0))), "")</f>
        <v>ApprovalDecidedAtSend</v>
      </c>
      <c r="J2529" s="4" t="b">
        <f>_xlfn.IFNA(IF(((INDEX(RulebookFields!I2:I1898, MATCH(D2529,RulebookFields!A2:A1898, 0))="")=TRUE),  "",  INDEX(RulebookFields!I2:I1898, MATCH(D2529,RulebookFields!A2:A1898, 0))), "")</f>
        <v>0</v>
      </c>
      <c r="K2529" s="4" t="b">
        <f>AND(((F2529)=TRUE), ((J2529)=TRUE))</f>
        <v>0</v>
      </c>
      <c r="L2529" s="4" t="b">
        <f>AND(((G2529 &lt;&gt; "plain")=TRUE), ((G2529 &lt;&gt; "")=TRUE))</f>
        <v>0</v>
      </c>
      <c r="M2529" s="4" t="str">
        <f>IF(((E2529)=TRUE),  C2529 &amp; "|" &amp; H2529,  "")</f>
        <v>principal-knowledge-authority|MessageDeliveries</v>
      </c>
      <c r="N2529" s="3" t="s">
        <v>10004</v>
      </c>
    </row>
    <row r="2530">
      <c r="A2530" s="3" t="s">
        <v>12532</v>
      </c>
      <c r="B2530" s="4" t="str">
        <f>C2530 &amp; " -&gt; " &amp; D2530</f>
        <v>principal-knowledge-authority -&gt; MessageDeliveries.ApprovalPrecededSend</v>
      </c>
      <c r="C2530" s="3" t="s">
        <v>9774</v>
      </c>
      <c r="D2530" s="3" t="s">
        <v>4656</v>
      </c>
      <c r="E2530" s="3" t="b">
        <v>1</v>
      </c>
      <c r="F2530" s="3" t="b">
        <v>0</v>
      </c>
      <c r="G2530" s="3" t="s">
        <v>10003</v>
      </c>
      <c r="H2530" s="4" t="str">
        <f>_xlfn.IFNA(IF(((INDEX(RulebookFields!C2:C1898, MATCH(D2530,RulebookFields!A2:A1898, 0))="")=TRUE),  "",  INDEX(RulebookFields!C2:C1898, MATCH(D2530,RulebookFields!A2:A1898, 0))), "")</f>
        <v>MessageDeliveries</v>
      </c>
      <c r="I2530" s="4" t="str">
        <f>_xlfn.IFNA(IF(((INDEX(RulebookFields!D2:D1898, MATCH(D2530,RulebookFields!A2:A1898, 0))="")=TRUE),  "",  INDEX(RulebookFields!D2:D1898, MATCH(D2530,RulebookFields!A2:A1898, 0))), "")</f>
        <v>ApprovalPrecededSend</v>
      </c>
      <c r="J2530" s="4" t="b">
        <f>_xlfn.IFNA(IF(((INDEX(RulebookFields!I2:I1898, MATCH(D2530,RulebookFields!A2:A1898, 0))="")=TRUE),  "",  INDEX(RulebookFields!I2:I1898, MATCH(D2530,RulebookFields!A2:A1898, 0))), "")</f>
        <v>1</v>
      </c>
      <c r="K2530" s="4" t="b">
        <f>AND(((F2530)=TRUE), ((J2530)=TRUE))</f>
        <v>0</v>
      </c>
      <c r="L2530" s="4" t="b">
        <f>AND(((G2530 &lt;&gt; "plain")=TRUE), ((G2530 &lt;&gt; "")=TRUE))</f>
        <v>0</v>
      </c>
      <c r="M2530" s="4" t="str">
        <f>IF(((E2530)=TRUE),  C2530 &amp; "|" &amp; H2530,  "")</f>
        <v>principal-knowledge-authority|MessageDeliveries</v>
      </c>
      <c r="N2530" s="3" t="s">
        <v>10004</v>
      </c>
    </row>
    <row r="2531">
      <c r="A2531" s="3" t="s">
        <v>12533</v>
      </c>
      <c r="B2531" s="4" t="str">
        <f>C2531 &amp; " -&gt; " &amp; D2531</f>
        <v>principal-knowledge-authority -&gt; MessageDeliveries.HasFrozenApprovalEvidence</v>
      </c>
      <c r="C2531" s="3" t="s">
        <v>9774</v>
      </c>
      <c r="D2531" s="3" t="s">
        <v>4659</v>
      </c>
      <c r="E2531" s="3" t="b">
        <v>1</v>
      </c>
      <c r="F2531" s="3" t="b">
        <v>0</v>
      </c>
      <c r="G2531" s="3" t="s">
        <v>10003</v>
      </c>
      <c r="H2531" s="4" t="str">
        <f>_xlfn.IFNA(IF(((INDEX(RulebookFields!C2:C1898, MATCH(D2531,RulebookFields!A2:A1898, 0))="")=TRUE),  "",  INDEX(RulebookFields!C2:C1898, MATCH(D2531,RulebookFields!A2:A1898, 0))), "")</f>
        <v>MessageDeliveries</v>
      </c>
      <c r="I2531" s="4" t="str">
        <f>_xlfn.IFNA(IF(((INDEX(RulebookFields!D2:D1898, MATCH(D2531,RulebookFields!A2:A1898, 0))="")=TRUE),  "",  INDEX(RulebookFields!D2:D1898, MATCH(D2531,RulebookFields!A2:A1898, 0))), "")</f>
        <v>HasFrozenApprovalEvidence</v>
      </c>
      <c r="J2531" s="4" t="b">
        <f>_xlfn.IFNA(IF(((INDEX(RulebookFields!I2:I1898, MATCH(D2531,RulebookFields!A2:A1898, 0))="")=TRUE),  "",  INDEX(RulebookFields!I2:I1898, MATCH(D2531,RulebookFields!A2:A1898, 0))), "")</f>
        <v>1</v>
      </c>
      <c r="K2531" s="4" t="b">
        <f>AND(((F2531)=TRUE), ((J2531)=TRUE))</f>
        <v>0</v>
      </c>
      <c r="L2531" s="4" t="b">
        <f>AND(((G2531 &lt;&gt; "plain")=TRUE), ((G2531 &lt;&gt; "")=TRUE))</f>
        <v>0</v>
      </c>
      <c r="M2531" s="4" t="str">
        <f>IF(((E2531)=TRUE),  C2531 &amp; "|" &amp; H2531,  "")</f>
        <v>principal-knowledge-authority|MessageDeliveries</v>
      </c>
      <c r="N2531" s="3" t="s">
        <v>10004</v>
      </c>
    </row>
    <row r="2532">
      <c r="A2532" s="3" t="s">
        <v>12534</v>
      </c>
      <c r="B2532" s="4" t="str">
        <f>C2532 &amp; " -&gt; " &amp; D2532</f>
        <v>principal-knowledge-authority -&gt; MessageDeliveries.ProvenanceIsLiveDerived</v>
      </c>
      <c r="C2532" s="3" t="s">
        <v>9774</v>
      </c>
      <c r="D2532" s="3" t="s">
        <v>4662</v>
      </c>
      <c r="E2532" s="3" t="b">
        <v>1</v>
      </c>
      <c r="F2532" s="3" t="b">
        <v>0</v>
      </c>
      <c r="G2532" s="3" t="s">
        <v>10003</v>
      </c>
      <c r="H2532" s="4" t="str">
        <f>_xlfn.IFNA(IF(((INDEX(RulebookFields!C2:C1898, MATCH(D2532,RulebookFields!A2:A1898, 0))="")=TRUE),  "",  INDEX(RulebookFields!C2:C1898, MATCH(D2532,RulebookFields!A2:A1898, 0))), "")</f>
        <v>MessageDeliveries</v>
      </c>
      <c r="I2532" s="4" t="str">
        <f>_xlfn.IFNA(IF(((INDEX(RulebookFields!D2:D1898, MATCH(D2532,RulebookFields!A2:A1898, 0))="")=TRUE),  "",  INDEX(RulebookFields!D2:D1898, MATCH(D2532,RulebookFields!A2:A1898, 0))), "")</f>
        <v>ProvenanceIsLiveDerived</v>
      </c>
      <c r="J2532" s="4" t="b">
        <f>_xlfn.IFNA(IF(((INDEX(RulebookFields!I2:I1898, MATCH(D2532,RulebookFields!A2:A1898, 0))="")=TRUE),  "",  INDEX(RulebookFields!I2:I1898, MATCH(D2532,RulebookFields!A2:A1898, 0))), "")</f>
        <v>1</v>
      </c>
      <c r="K2532" s="4" t="b">
        <f>AND(((F2532)=TRUE), ((J2532)=TRUE))</f>
        <v>0</v>
      </c>
      <c r="L2532" s="4" t="b">
        <f>AND(((G2532 &lt;&gt; "plain")=TRUE), ((G2532 &lt;&gt; "")=TRUE))</f>
        <v>0</v>
      </c>
      <c r="M2532" s="4" t="str">
        <f>IF(((E2532)=TRUE),  C2532 &amp; "|" &amp; H2532,  "")</f>
        <v>principal-knowledge-authority|MessageDeliveries</v>
      </c>
      <c r="N2532" s="3" t="s">
        <v>10004</v>
      </c>
    </row>
    <row r="2533">
      <c r="A2533" s="3" t="s">
        <v>12535</v>
      </c>
      <c r="B2533" s="4" t="str">
        <f>C2533 &amp; " -&gt; " &amp; D2533</f>
        <v>principal-knowledge-authority -&gt; MessageDeliveries.CurrentLastApprovalAt</v>
      </c>
      <c r="C2533" s="3" t="s">
        <v>9774</v>
      </c>
      <c r="D2533" s="3" t="s">
        <v>4665</v>
      </c>
      <c r="E2533" s="3" t="b">
        <v>1</v>
      </c>
      <c r="F2533" s="3" t="b">
        <v>0</v>
      </c>
      <c r="G2533" s="3" t="s">
        <v>10003</v>
      </c>
      <c r="H2533" s="4" t="str">
        <f>_xlfn.IFNA(IF(((INDEX(RulebookFields!C2:C1898, MATCH(D2533,RulebookFields!A2:A1898, 0))="")=TRUE),  "",  INDEX(RulebookFields!C2:C1898, MATCH(D2533,RulebookFields!A2:A1898, 0))), "")</f>
        <v>MessageDeliveries</v>
      </c>
      <c r="I2533" s="4" t="str">
        <f>_xlfn.IFNA(IF(((INDEX(RulebookFields!D2:D1898, MATCH(D2533,RulebookFields!A2:A1898, 0))="")=TRUE),  "",  INDEX(RulebookFields!D2:D1898, MATCH(D2533,RulebookFields!A2:A1898, 0))), "")</f>
        <v>CurrentLastApprovalAt</v>
      </c>
      <c r="J2533" s="4" t="b">
        <f>_xlfn.IFNA(IF(((INDEX(RulebookFields!I2:I1898, MATCH(D2533,RulebookFields!A2:A1898, 0))="")=TRUE),  "",  INDEX(RulebookFields!I2:I1898, MATCH(D2533,RulebookFields!A2:A1898, 0))), "")</f>
        <v>1</v>
      </c>
      <c r="K2533" s="4" t="b">
        <f>AND(((F2533)=TRUE), ((J2533)=TRUE))</f>
        <v>0</v>
      </c>
      <c r="L2533" s="4" t="b">
        <f>AND(((G2533 &lt;&gt; "plain")=TRUE), ((G2533 &lt;&gt; "")=TRUE))</f>
        <v>0</v>
      </c>
      <c r="M2533" s="4" t="str">
        <f>IF(((E2533)=TRUE),  C2533 &amp; "|" &amp; H2533,  "")</f>
        <v>principal-knowledge-authority|MessageDeliveries</v>
      </c>
      <c r="N2533" s="3" t="s">
        <v>10004</v>
      </c>
    </row>
    <row r="2534">
      <c r="A2534" s="3" t="s">
        <v>12536</v>
      </c>
      <c r="B2534" s="4" t="str">
        <f>C2534 &amp; " -&gt; " &amp; D2534</f>
        <v>principal-knowledge-authority -&gt; MessageDeliveries.TemplateReapprovedSinceSend</v>
      </c>
      <c r="C2534" s="3" t="s">
        <v>9774</v>
      </c>
      <c r="D2534" s="3" t="s">
        <v>4668</v>
      </c>
      <c r="E2534" s="3" t="b">
        <v>1</v>
      </c>
      <c r="F2534" s="3" t="b">
        <v>0</v>
      </c>
      <c r="G2534" s="3" t="s">
        <v>10003</v>
      </c>
      <c r="H2534" s="4" t="str">
        <f>_xlfn.IFNA(IF(((INDEX(RulebookFields!C2:C1898, MATCH(D2534,RulebookFields!A2:A1898, 0))="")=TRUE),  "",  INDEX(RulebookFields!C2:C1898, MATCH(D2534,RulebookFields!A2:A1898, 0))), "")</f>
        <v>MessageDeliveries</v>
      </c>
      <c r="I2534" s="4" t="str">
        <f>_xlfn.IFNA(IF(((INDEX(RulebookFields!D2:D1898, MATCH(D2534,RulebookFields!A2:A1898, 0))="")=TRUE),  "",  INDEX(RulebookFields!D2:D1898, MATCH(D2534,RulebookFields!A2:A1898, 0))), "")</f>
        <v>TemplateReapprovedSinceSend</v>
      </c>
      <c r="J2534" s="4" t="b">
        <f>_xlfn.IFNA(IF(((INDEX(RulebookFields!I2:I1898, MATCH(D2534,RulebookFields!A2:A1898, 0))="")=TRUE),  "",  INDEX(RulebookFields!I2:I1898, MATCH(D2534,RulebookFields!A2:A1898, 0))), "")</f>
        <v>1</v>
      </c>
      <c r="K2534" s="4" t="b">
        <f>AND(((F2534)=TRUE), ((J2534)=TRUE))</f>
        <v>0</v>
      </c>
      <c r="L2534" s="4" t="b">
        <f>AND(((G2534 &lt;&gt; "plain")=TRUE), ((G2534 &lt;&gt; "")=TRUE))</f>
        <v>0</v>
      </c>
      <c r="M2534" s="4" t="str">
        <f>IF(((E2534)=TRUE),  C2534 &amp; "|" &amp; H2534,  "")</f>
        <v>principal-knowledge-authority|MessageDeliveries</v>
      </c>
      <c r="N2534" s="3" t="s">
        <v>10004</v>
      </c>
    </row>
    <row r="2535">
      <c r="A2535" s="3" t="s">
        <v>12537</v>
      </c>
      <c r="B2535" s="4" t="str">
        <f>C2535 &amp; " -&gt; " &amp; D2535</f>
        <v>principal-knowledge-authority -&gt; MessageDeliveries.IsUnprovableApprovalClaim</v>
      </c>
      <c r="C2535" s="3" t="s">
        <v>9774</v>
      </c>
      <c r="D2535" s="3" t="s">
        <v>4671</v>
      </c>
      <c r="E2535" s="3" t="b">
        <v>1</v>
      </c>
      <c r="F2535" s="3" t="b">
        <v>0</v>
      </c>
      <c r="G2535" s="3" t="s">
        <v>10003</v>
      </c>
      <c r="H2535" s="4" t="str">
        <f>_xlfn.IFNA(IF(((INDEX(RulebookFields!C2:C1898, MATCH(D2535,RulebookFields!A2:A1898, 0))="")=TRUE),  "",  INDEX(RulebookFields!C2:C1898, MATCH(D2535,RulebookFields!A2:A1898, 0))), "")</f>
        <v>MessageDeliveries</v>
      </c>
      <c r="I2535" s="4" t="str">
        <f>_xlfn.IFNA(IF(((INDEX(RulebookFields!D2:D1898, MATCH(D2535,RulebookFields!A2:A1898, 0))="")=TRUE),  "",  INDEX(RulebookFields!D2:D1898, MATCH(D2535,RulebookFields!A2:A1898, 0))), "")</f>
        <v>IsUnprovableApprovalClaim</v>
      </c>
      <c r="J2535" s="4" t="b">
        <f>_xlfn.IFNA(IF(((INDEX(RulebookFields!I2:I1898, MATCH(D2535,RulebookFields!A2:A1898, 0))="")=TRUE),  "",  INDEX(RulebookFields!I2:I1898, MATCH(D2535,RulebookFields!A2:A1898, 0))), "")</f>
        <v>1</v>
      </c>
      <c r="K2535" s="4" t="b">
        <f>AND(((F2535)=TRUE), ((J2535)=TRUE))</f>
        <v>0</v>
      </c>
      <c r="L2535" s="4" t="b">
        <f>AND(((G2535 &lt;&gt; "plain")=TRUE), ((G2535 &lt;&gt; "")=TRUE))</f>
        <v>0</v>
      </c>
      <c r="M2535" s="4" t="str">
        <f>IF(((E2535)=TRUE),  C2535 &amp; "|" &amp; H2535,  "")</f>
        <v>principal-knowledge-authority|MessageDeliveries</v>
      </c>
      <c r="N2535" s="3" t="s">
        <v>10004</v>
      </c>
    </row>
    <row r="2536">
      <c r="A2536" s="3" t="s">
        <v>12538</v>
      </c>
      <c r="B2536" s="4" t="str">
        <f>C2536 &amp; " -&gt; " &amp; D2536</f>
        <v>principal-knowledge-authority -&gt; MessageDeliveries.ReminderSentAt</v>
      </c>
      <c r="C2536" s="3" t="s">
        <v>9774</v>
      </c>
      <c r="D2536" s="3" t="s">
        <v>4674</v>
      </c>
      <c r="E2536" s="3" t="b">
        <v>1</v>
      </c>
      <c r="F2536" s="3" t="b">
        <v>0</v>
      </c>
      <c r="G2536" s="3" t="s">
        <v>10003</v>
      </c>
      <c r="H2536" s="4" t="str">
        <f>_xlfn.IFNA(IF(((INDEX(RulebookFields!C2:C1898, MATCH(D2536,RulebookFields!A2:A1898, 0))="")=TRUE),  "",  INDEX(RulebookFields!C2:C1898, MATCH(D2536,RulebookFields!A2:A1898, 0))), "")</f>
        <v>MessageDeliveries</v>
      </c>
      <c r="I2536" s="4" t="str">
        <f>_xlfn.IFNA(IF(((INDEX(RulebookFields!D2:D1898, MATCH(D2536,RulebookFields!A2:A1898, 0))="")=TRUE),  "",  INDEX(RulebookFields!D2:D1898, MATCH(D2536,RulebookFields!A2:A1898, 0))), "")</f>
        <v>ReminderSentAt</v>
      </c>
      <c r="J2536" s="4" t="b">
        <f>_xlfn.IFNA(IF(((INDEX(RulebookFields!I2:I1898, MATCH(D2536,RulebookFields!A2:A1898, 0))="")=TRUE),  "",  INDEX(RulebookFields!I2:I1898, MATCH(D2536,RulebookFields!A2:A1898, 0))), "")</f>
        <v>0</v>
      </c>
      <c r="K2536" s="4" t="b">
        <f>AND(((F2536)=TRUE), ((J2536)=TRUE))</f>
        <v>0</v>
      </c>
      <c r="L2536" s="4" t="b">
        <f>AND(((G2536 &lt;&gt; "plain")=TRUE), ((G2536 &lt;&gt; "")=TRUE))</f>
        <v>0</v>
      </c>
      <c r="M2536" s="4" t="str">
        <f>IF(((E2536)=TRUE),  C2536 &amp; "|" &amp; H2536,  "")</f>
        <v>principal-knowledge-authority|MessageDeliveries</v>
      </c>
      <c r="N2536" s="3" t="s">
        <v>10004</v>
      </c>
    </row>
    <row r="2537">
      <c r="A2537" s="3" t="s">
        <v>12539</v>
      </c>
      <c r="B2537" s="4" t="str">
        <f>C2537 &amp; " -&gt; " &amp; D2537</f>
        <v>principal-knowledge-authority -&gt; MessageDeliveries.ReminderCount</v>
      </c>
      <c r="C2537" s="3" t="s">
        <v>9774</v>
      </c>
      <c r="D2537" s="3" t="s">
        <v>4676</v>
      </c>
      <c r="E2537" s="3" t="b">
        <v>1</v>
      </c>
      <c r="F2537" s="3" t="b">
        <v>0</v>
      </c>
      <c r="G2537" s="3" t="s">
        <v>10003</v>
      </c>
      <c r="H2537" s="4" t="str">
        <f>_xlfn.IFNA(IF(((INDEX(RulebookFields!C2:C1898, MATCH(D2537,RulebookFields!A2:A1898, 0))="")=TRUE),  "",  INDEX(RulebookFields!C2:C1898, MATCH(D2537,RulebookFields!A2:A1898, 0))), "")</f>
        <v>MessageDeliveries</v>
      </c>
      <c r="I2537" s="4" t="str">
        <f>_xlfn.IFNA(IF(((INDEX(RulebookFields!D2:D1898, MATCH(D2537,RulebookFields!A2:A1898, 0))="")=TRUE),  "",  INDEX(RulebookFields!D2:D1898, MATCH(D2537,RulebookFields!A2:A1898, 0))), "")</f>
        <v>ReminderCount</v>
      </c>
      <c r="J2537" s="4" t="b">
        <f>_xlfn.IFNA(IF(((INDEX(RulebookFields!I2:I1898, MATCH(D2537,RulebookFields!A2:A1898, 0))="")=TRUE),  "",  INDEX(RulebookFields!I2:I1898, MATCH(D2537,RulebookFields!A2:A1898, 0))), "")</f>
        <v>0</v>
      </c>
      <c r="K2537" s="4" t="b">
        <f>AND(((F2537)=TRUE), ((J2537)=TRUE))</f>
        <v>0</v>
      </c>
      <c r="L2537" s="4" t="b">
        <f>AND(((G2537 &lt;&gt; "plain")=TRUE), ((G2537 &lt;&gt; "")=TRUE))</f>
        <v>0</v>
      </c>
      <c r="M2537" s="4" t="str">
        <f>IF(((E2537)=TRUE),  C2537 &amp; "|" &amp; H2537,  "")</f>
        <v>principal-knowledge-authority|MessageDeliveries</v>
      </c>
      <c r="N2537" s="3" t="s">
        <v>10004</v>
      </c>
    </row>
    <row r="2538">
      <c r="A2538" s="3" t="s">
        <v>12540</v>
      </c>
      <c r="B2538" s="4" t="str">
        <f>C2538 &amp; " -&gt; " &amp; D2538</f>
        <v>principal-knowledge-authority -&gt; MessageDeliveries.HasSentReminder</v>
      </c>
      <c r="C2538" s="3" t="s">
        <v>9774</v>
      </c>
      <c r="D2538" s="3" t="s">
        <v>4678</v>
      </c>
      <c r="E2538" s="3" t="b">
        <v>1</v>
      </c>
      <c r="F2538" s="3" t="b">
        <v>0</v>
      </c>
      <c r="G2538" s="3" t="s">
        <v>10003</v>
      </c>
      <c r="H2538" s="4" t="str">
        <f>_xlfn.IFNA(IF(((INDEX(RulebookFields!C2:C1898, MATCH(D2538,RulebookFields!A2:A1898, 0))="")=TRUE),  "",  INDEX(RulebookFields!C2:C1898, MATCH(D2538,RulebookFields!A2:A1898, 0))), "")</f>
        <v>MessageDeliveries</v>
      </c>
      <c r="I2538" s="4" t="str">
        <f>_xlfn.IFNA(IF(((INDEX(RulebookFields!D2:D1898, MATCH(D2538,RulebookFields!A2:A1898, 0))="")=TRUE),  "",  INDEX(RulebookFields!D2:D1898, MATCH(D2538,RulebookFields!A2:A1898, 0))), "")</f>
        <v>HasSentReminder</v>
      </c>
      <c r="J2538" s="4" t="b">
        <f>_xlfn.IFNA(IF(((INDEX(RulebookFields!I2:I1898, MATCH(D2538,RulebookFields!A2:A1898, 0))="")=TRUE),  "",  INDEX(RulebookFields!I2:I1898, MATCH(D2538,RulebookFields!A2:A1898, 0))), "")</f>
        <v>1</v>
      </c>
      <c r="K2538" s="4" t="b">
        <f>AND(((F2538)=TRUE), ((J2538)=TRUE))</f>
        <v>0</v>
      </c>
      <c r="L2538" s="4" t="b">
        <f>AND(((G2538 &lt;&gt; "plain")=TRUE), ((G2538 &lt;&gt; "")=TRUE))</f>
        <v>0</v>
      </c>
      <c r="M2538" s="4" t="str">
        <f>IF(((E2538)=TRUE),  C2538 &amp; "|" &amp; H2538,  "")</f>
        <v>principal-knowledge-authority|MessageDeliveries</v>
      </c>
      <c r="N2538" s="3" t="s">
        <v>10004</v>
      </c>
    </row>
    <row r="2539">
      <c r="A2539" s="3" t="s">
        <v>12541</v>
      </c>
      <c r="B2539" s="4" t="str">
        <f>C2539 &amp; " -&gt; " &amp; D2539</f>
        <v>principal-knowledge-authority -&gt; MessageDeliveries.AcknowledgementIsOutstanding</v>
      </c>
      <c r="C2539" s="3" t="s">
        <v>9774</v>
      </c>
      <c r="D2539" s="3" t="s">
        <v>4681</v>
      </c>
      <c r="E2539" s="3" t="b">
        <v>1</v>
      </c>
      <c r="F2539" s="3" t="b">
        <v>0</v>
      </c>
      <c r="G2539" s="3" t="s">
        <v>10003</v>
      </c>
      <c r="H2539" s="4" t="str">
        <f>_xlfn.IFNA(IF(((INDEX(RulebookFields!C2:C1898, MATCH(D2539,RulebookFields!A2:A1898, 0))="")=TRUE),  "",  INDEX(RulebookFields!C2:C1898, MATCH(D2539,RulebookFields!A2:A1898, 0))), "")</f>
        <v>MessageDeliveries</v>
      </c>
      <c r="I2539" s="4" t="str">
        <f>_xlfn.IFNA(IF(((INDEX(RulebookFields!D2:D1898, MATCH(D2539,RulebookFields!A2:A1898, 0))="")=TRUE),  "",  INDEX(RulebookFields!D2:D1898, MATCH(D2539,RulebookFields!A2:A1898, 0))), "")</f>
        <v>AcknowledgementIsOutstanding</v>
      </c>
      <c r="J2539" s="4" t="b">
        <f>_xlfn.IFNA(IF(((INDEX(RulebookFields!I2:I1898, MATCH(D2539,RulebookFields!A2:A1898, 0))="")=TRUE),  "",  INDEX(RulebookFields!I2:I1898, MATCH(D2539,RulebookFields!A2:A1898, 0))), "")</f>
        <v>1</v>
      </c>
      <c r="K2539" s="4" t="b">
        <f>AND(((F2539)=TRUE), ((J2539)=TRUE))</f>
        <v>0</v>
      </c>
      <c r="L2539" s="4" t="b">
        <f>AND(((G2539 &lt;&gt; "plain")=TRUE), ((G2539 &lt;&gt; "")=TRUE))</f>
        <v>0</v>
      </c>
      <c r="M2539" s="4" t="str">
        <f>IF(((E2539)=TRUE),  C2539 &amp; "|" &amp; H2539,  "")</f>
        <v>principal-knowledge-authority|MessageDeliveries</v>
      </c>
      <c r="N2539" s="3" t="s">
        <v>10004</v>
      </c>
    </row>
    <row r="2540">
      <c r="A2540" s="3" t="s">
        <v>12542</v>
      </c>
      <c r="B2540" s="4" t="str">
        <f>C2540 &amp; " -&gt; " &amp; D2540</f>
        <v>principal-knowledge-authority -&gt; MessageDeliveries.OutstandingAgeDays</v>
      </c>
      <c r="C2540" s="3" t="s">
        <v>9774</v>
      </c>
      <c r="D2540" s="3" t="s">
        <v>4684</v>
      </c>
      <c r="E2540" s="3" t="b">
        <v>1</v>
      </c>
      <c r="F2540" s="3" t="b">
        <v>0</v>
      </c>
      <c r="G2540" s="3" t="s">
        <v>10003</v>
      </c>
      <c r="H2540" s="4" t="str">
        <f>_xlfn.IFNA(IF(((INDEX(RulebookFields!C2:C1898, MATCH(D2540,RulebookFields!A2:A1898, 0))="")=TRUE),  "",  INDEX(RulebookFields!C2:C1898, MATCH(D2540,RulebookFields!A2:A1898, 0))), "")</f>
        <v>MessageDeliveries</v>
      </c>
      <c r="I2540" s="4" t="str">
        <f>_xlfn.IFNA(IF(((INDEX(RulebookFields!D2:D1898, MATCH(D2540,RulebookFields!A2:A1898, 0))="")=TRUE),  "",  INDEX(RulebookFields!D2:D1898, MATCH(D2540,RulebookFields!A2:A1898, 0))), "")</f>
        <v>OutstandingAgeDays</v>
      </c>
      <c r="J2540" s="4" t="b">
        <f>_xlfn.IFNA(IF(((INDEX(RulebookFields!I2:I1898, MATCH(D2540,RulebookFields!A2:A1898, 0))="")=TRUE),  "",  INDEX(RulebookFields!I2:I1898, MATCH(D2540,RulebookFields!A2:A1898, 0))), "")</f>
        <v>1</v>
      </c>
      <c r="K2540" s="4" t="b">
        <f>AND(((F2540)=TRUE), ((J2540)=TRUE))</f>
        <v>0</v>
      </c>
      <c r="L2540" s="4" t="b">
        <f>AND(((G2540 &lt;&gt; "plain")=TRUE), ((G2540 &lt;&gt; "")=TRUE))</f>
        <v>0</v>
      </c>
      <c r="M2540" s="4" t="str">
        <f>IF(((E2540)=TRUE),  C2540 &amp; "|" &amp; H2540,  "")</f>
        <v>principal-knowledge-authority|MessageDeliveries</v>
      </c>
      <c r="N2540" s="3" t="s">
        <v>10004</v>
      </c>
    </row>
    <row r="2541">
      <c r="A2541" s="3" t="s">
        <v>12543</v>
      </c>
      <c r="B2541" s="4" t="str">
        <f>C2541 &amp; " -&gt; " &amp; D2541</f>
        <v>principal-knowledge-authority -&gt; MessageDeliveries.IsUnchasedAcknowledgement</v>
      </c>
      <c r="C2541" s="3" t="s">
        <v>9774</v>
      </c>
      <c r="D2541" s="3" t="s">
        <v>4687</v>
      </c>
      <c r="E2541" s="3" t="b">
        <v>1</v>
      </c>
      <c r="F2541" s="3" t="b">
        <v>0</v>
      </c>
      <c r="G2541" s="3" t="s">
        <v>10003</v>
      </c>
      <c r="H2541" s="4" t="str">
        <f>_xlfn.IFNA(IF(((INDEX(RulebookFields!C2:C1898, MATCH(D2541,RulebookFields!A2:A1898, 0))="")=TRUE),  "",  INDEX(RulebookFields!C2:C1898, MATCH(D2541,RulebookFields!A2:A1898, 0))), "")</f>
        <v>MessageDeliveries</v>
      </c>
      <c r="I2541" s="4" t="str">
        <f>_xlfn.IFNA(IF(((INDEX(RulebookFields!D2:D1898, MATCH(D2541,RulebookFields!A2:A1898, 0))="")=TRUE),  "",  INDEX(RulebookFields!D2:D1898, MATCH(D2541,RulebookFields!A2:A1898, 0))), "")</f>
        <v>IsUnchasedAcknowledgement</v>
      </c>
      <c r="J2541" s="4" t="b">
        <f>_xlfn.IFNA(IF(((INDEX(RulebookFields!I2:I1898, MATCH(D2541,RulebookFields!A2:A1898, 0))="")=TRUE),  "",  INDEX(RulebookFields!I2:I1898, MATCH(D2541,RulebookFields!A2:A1898, 0))), "")</f>
        <v>1</v>
      </c>
      <c r="K2541" s="4" t="b">
        <f>AND(((F2541)=TRUE), ((J2541)=TRUE))</f>
        <v>0</v>
      </c>
      <c r="L2541" s="4" t="b">
        <f>AND(((G2541 &lt;&gt; "plain")=TRUE), ((G2541 &lt;&gt; "")=TRUE))</f>
        <v>0</v>
      </c>
      <c r="M2541" s="4" t="str">
        <f>IF(((E2541)=TRUE),  C2541 &amp; "|" &amp; H2541,  "")</f>
        <v>principal-knowledge-authority|MessageDeliveries</v>
      </c>
      <c r="N2541" s="3" t="s">
        <v>10004</v>
      </c>
    </row>
    <row r="2542">
      <c r="A2542" s="3" t="s">
        <v>12544</v>
      </c>
      <c r="B2542" s="4" t="str">
        <f>C2542 &amp; " -&gt; " &amp; D2542</f>
        <v>principal-knowledge-authority -&gt; MessageDeliveries.IsExhaustedFollowUp</v>
      </c>
      <c r="C2542" s="3" t="s">
        <v>9774</v>
      </c>
      <c r="D2542" s="3" t="s">
        <v>4690</v>
      </c>
      <c r="E2542" s="3" t="b">
        <v>1</v>
      </c>
      <c r="F2542" s="3" t="b">
        <v>0</v>
      </c>
      <c r="G2542" s="3" t="s">
        <v>10003</v>
      </c>
      <c r="H2542" s="4" t="str">
        <f>_xlfn.IFNA(IF(((INDEX(RulebookFields!C2:C1898, MATCH(D2542,RulebookFields!A2:A1898, 0))="")=TRUE),  "",  INDEX(RulebookFields!C2:C1898, MATCH(D2542,RulebookFields!A2:A1898, 0))), "")</f>
        <v>MessageDeliveries</v>
      </c>
      <c r="I2542" s="4" t="str">
        <f>_xlfn.IFNA(IF(((INDEX(RulebookFields!D2:D1898, MATCH(D2542,RulebookFields!A2:A1898, 0))="")=TRUE),  "",  INDEX(RulebookFields!D2:D1898, MATCH(D2542,RulebookFields!A2:A1898, 0))), "")</f>
        <v>IsExhaustedFollowUp</v>
      </c>
      <c r="J2542" s="4" t="b">
        <f>_xlfn.IFNA(IF(((INDEX(RulebookFields!I2:I1898, MATCH(D2542,RulebookFields!A2:A1898, 0))="")=TRUE),  "",  INDEX(RulebookFields!I2:I1898, MATCH(D2542,RulebookFields!A2:A1898, 0))), "")</f>
        <v>1</v>
      </c>
      <c r="K2542" s="4" t="b">
        <f>AND(((F2542)=TRUE), ((J2542)=TRUE))</f>
        <v>0</v>
      </c>
      <c r="L2542" s="4" t="b">
        <f>AND(((G2542 &lt;&gt; "plain")=TRUE), ((G2542 &lt;&gt; "")=TRUE))</f>
        <v>0</v>
      </c>
      <c r="M2542" s="4" t="str">
        <f>IF(((E2542)=TRUE),  C2542 &amp; "|" &amp; H2542,  "")</f>
        <v>principal-knowledge-authority|MessageDeliveries</v>
      </c>
      <c r="N2542" s="3" t="s">
        <v>10004</v>
      </c>
    </row>
    <row r="2543">
      <c r="A2543" s="3" t="s">
        <v>12545</v>
      </c>
      <c r="B2543" s="4" t="str">
        <f>C2543 &amp; " -&gt; " &amp; D2543</f>
        <v>principal-knowledge-authority -&gt; MessageDeliveries.NeedsHumanEscalation</v>
      </c>
      <c r="C2543" s="3" t="s">
        <v>9774</v>
      </c>
      <c r="D2543" s="3" t="s">
        <v>4693</v>
      </c>
      <c r="E2543" s="3" t="b">
        <v>1</v>
      </c>
      <c r="F2543" s="3" t="b">
        <v>0</v>
      </c>
      <c r="G2543" s="3" t="s">
        <v>10003</v>
      </c>
      <c r="H2543" s="4" t="str">
        <f>_xlfn.IFNA(IF(((INDEX(RulebookFields!C2:C1898, MATCH(D2543,RulebookFields!A2:A1898, 0))="")=TRUE),  "",  INDEX(RulebookFields!C2:C1898, MATCH(D2543,RulebookFields!A2:A1898, 0))), "")</f>
        <v>MessageDeliveries</v>
      </c>
      <c r="I2543" s="4" t="str">
        <f>_xlfn.IFNA(IF(((INDEX(RulebookFields!D2:D1898, MATCH(D2543,RulebookFields!A2:A1898, 0))="")=TRUE),  "",  INDEX(RulebookFields!D2:D1898, MATCH(D2543,RulebookFields!A2:A1898, 0))), "")</f>
        <v>NeedsHumanEscalation</v>
      </c>
      <c r="J2543" s="4" t="b">
        <f>_xlfn.IFNA(IF(((INDEX(RulebookFields!I2:I1898, MATCH(D2543,RulebookFields!A2:A1898, 0))="")=TRUE),  "",  INDEX(RulebookFields!I2:I1898, MATCH(D2543,RulebookFields!A2:A1898, 0))), "")</f>
        <v>1</v>
      </c>
      <c r="K2543" s="4" t="b">
        <f>AND(((F2543)=TRUE), ((J2543)=TRUE))</f>
        <v>0</v>
      </c>
      <c r="L2543" s="4" t="b">
        <f>AND(((G2543 &lt;&gt; "plain")=TRUE), ((G2543 &lt;&gt; "")=TRUE))</f>
        <v>0</v>
      </c>
      <c r="M2543" s="4" t="str">
        <f>IF(((E2543)=TRUE),  C2543 &amp; "|" &amp; H2543,  "")</f>
        <v>principal-knowledge-authority|MessageDeliveries</v>
      </c>
      <c r="N2543" s="3" t="s">
        <v>10004</v>
      </c>
    </row>
    <row r="2544">
      <c r="A2544" s="3" t="s">
        <v>12546</v>
      </c>
      <c r="B2544" s="4" t="str">
        <f>C2544 &amp; " -&gt; " &amp; D2544</f>
        <v>principal-knowledge-authority -&gt; MessageDeliveries.SemanticTypeIri</v>
      </c>
      <c r="C2544" s="3" t="s">
        <v>9774</v>
      </c>
      <c r="D2544" s="3" t="s">
        <v>4696</v>
      </c>
      <c r="E2544" s="3" t="b">
        <v>1</v>
      </c>
      <c r="F2544" s="3" t="b">
        <v>0</v>
      </c>
      <c r="G2544" s="3" t="s">
        <v>10003</v>
      </c>
      <c r="H2544" s="4" t="str">
        <f>_xlfn.IFNA(IF(((INDEX(RulebookFields!C2:C1898, MATCH(D2544,RulebookFields!A2:A1898, 0))="")=TRUE),  "",  INDEX(RulebookFields!C2:C1898, MATCH(D2544,RulebookFields!A2:A1898, 0))), "")</f>
        <v>MessageDeliveries</v>
      </c>
      <c r="I2544" s="4" t="str">
        <f>_xlfn.IFNA(IF(((INDEX(RulebookFields!D2:D1898, MATCH(D2544,RulebookFields!A2:A1898, 0))="")=TRUE),  "",  INDEX(RulebookFields!D2:D1898, MATCH(D2544,RulebookFields!A2:A1898, 0))), "")</f>
        <v>SemanticTypeIri</v>
      </c>
      <c r="J2544" s="4" t="b">
        <f>_xlfn.IFNA(IF(((INDEX(RulebookFields!I2:I1898, MATCH(D2544,RulebookFields!A2:A1898, 0))="")=TRUE),  "",  INDEX(RulebookFields!I2:I1898, MATCH(D2544,RulebookFields!A2:A1898, 0))), "")</f>
        <v>0</v>
      </c>
      <c r="K2544" s="4" t="b">
        <f>AND(((F2544)=TRUE), ((J2544)=TRUE))</f>
        <v>0</v>
      </c>
      <c r="L2544" s="4" t="b">
        <f>AND(((G2544 &lt;&gt; "plain")=TRUE), ((G2544 &lt;&gt; "")=TRUE))</f>
        <v>0</v>
      </c>
      <c r="M2544" s="4" t="str">
        <f>IF(((E2544)=TRUE),  C2544 &amp; "|" &amp; H2544,  "")</f>
        <v>principal-knowledge-authority|MessageDeliveries</v>
      </c>
      <c r="N2544" s="3" t="s">
        <v>10004</v>
      </c>
    </row>
    <row r="2545">
      <c r="A2545" s="3" t="s">
        <v>12547</v>
      </c>
      <c r="B2545" s="4" t="str">
        <f>C2545 &amp; " -&gt; " &amp; D2545</f>
        <v>principal-knowledge-authority -&gt; MessageTemplates.MessageTemplateId</v>
      </c>
      <c r="C2545" s="3" t="s">
        <v>9774</v>
      </c>
      <c r="D2545" s="3" t="s">
        <v>4086</v>
      </c>
      <c r="E2545" s="3" t="b">
        <v>1</v>
      </c>
      <c r="F2545" s="3" t="b">
        <v>0</v>
      </c>
      <c r="G2545" s="3" t="s">
        <v>10003</v>
      </c>
      <c r="H2545" s="4" t="str">
        <f>_xlfn.IFNA(IF(((INDEX(RulebookFields!C2:C1898, MATCH(D2545,RulebookFields!A2:A1898, 0))="")=TRUE),  "",  INDEX(RulebookFields!C2:C1898, MATCH(D2545,RulebookFields!A2:A1898, 0))), "")</f>
        <v>MessageTemplates</v>
      </c>
      <c r="I2545" s="4" t="str">
        <f>_xlfn.IFNA(IF(((INDEX(RulebookFields!D2:D1898, MATCH(D2545,RulebookFields!A2:A1898, 0))="")=TRUE),  "",  INDEX(RulebookFields!D2:D1898, MATCH(D2545,RulebookFields!A2:A1898, 0))), "")</f>
        <v>MessageTemplateId</v>
      </c>
      <c r="J2545" s="4" t="b">
        <f>_xlfn.IFNA(IF(((INDEX(RulebookFields!I2:I1898, MATCH(D2545,RulebookFields!A2:A1898, 0))="")=TRUE),  "",  INDEX(RulebookFields!I2:I1898, MATCH(D2545,RulebookFields!A2:A1898, 0))), "")</f>
        <v>0</v>
      </c>
      <c r="K2545" s="4" t="b">
        <f>AND(((F2545)=TRUE), ((J2545)=TRUE))</f>
        <v>0</v>
      </c>
      <c r="L2545" s="4" t="b">
        <f>AND(((G2545 &lt;&gt; "plain")=TRUE), ((G2545 &lt;&gt; "")=TRUE))</f>
        <v>0</v>
      </c>
      <c r="M2545" s="4" t="str">
        <f>IF(((E2545)=TRUE),  C2545 &amp; "|" &amp; H2545,  "")</f>
        <v>principal-knowledge-authority|MessageTemplates</v>
      </c>
      <c r="N2545" s="3" t="s">
        <v>10004</v>
      </c>
    </row>
    <row r="2546">
      <c r="A2546" s="3" t="s">
        <v>12548</v>
      </c>
      <c r="B2546" s="4" t="str">
        <f>C2546 &amp; " -&gt; " &amp; D2546</f>
        <v>principal-knowledge-authority -&gt; MessageTemplates.Name</v>
      </c>
      <c r="C2546" s="3" t="s">
        <v>9774</v>
      </c>
      <c r="D2546" s="3" t="s">
        <v>4088</v>
      </c>
      <c r="E2546" s="3" t="b">
        <v>1</v>
      </c>
      <c r="F2546" s="3" t="b">
        <v>0</v>
      </c>
      <c r="G2546" s="3" t="s">
        <v>10003</v>
      </c>
      <c r="H2546" s="4" t="str">
        <f>_xlfn.IFNA(IF(((INDEX(RulebookFields!C2:C1898, MATCH(D2546,RulebookFields!A2:A1898, 0))="")=TRUE),  "",  INDEX(RulebookFields!C2:C1898, MATCH(D2546,RulebookFields!A2:A1898, 0))), "")</f>
        <v>MessageTemplates</v>
      </c>
      <c r="I2546" s="4" t="str">
        <f>_xlfn.IFNA(IF(((INDEX(RulebookFields!D2:D1898, MATCH(D2546,RulebookFields!A2:A1898, 0))="")=TRUE),  "",  INDEX(RulebookFields!D2:D1898, MATCH(D2546,RulebookFields!A2:A1898, 0))), "")</f>
        <v>Name</v>
      </c>
      <c r="J2546" s="4" t="b">
        <f>_xlfn.IFNA(IF(((INDEX(RulebookFields!I2:I1898, MATCH(D2546,RulebookFields!A2:A1898, 0))="")=TRUE),  "",  INDEX(RulebookFields!I2:I1898, MATCH(D2546,RulebookFields!A2:A1898, 0))), "")</f>
        <v>1</v>
      </c>
      <c r="K2546" s="4" t="b">
        <f>AND(((F2546)=TRUE), ((J2546)=TRUE))</f>
        <v>0</v>
      </c>
      <c r="L2546" s="4" t="b">
        <f>AND(((G2546 &lt;&gt; "plain")=TRUE), ((G2546 &lt;&gt; "")=TRUE))</f>
        <v>0</v>
      </c>
      <c r="M2546" s="4" t="str">
        <f>IF(((E2546)=TRUE),  C2546 &amp; "|" &amp; H2546,  "")</f>
        <v>principal-knowledge-authority|MessageTemplates</v>
      </c>
      <c r="N2546" s="3" t="s">
        <v>10004</v>
      </c>
    </row>
    <row r="2547">
      <c r="A2547" s="3" t="s">
        <v>12549</v>
      </c>
      <c r="B2547" s="4" t="str">
        <f>C2547 &amp; " -&gt; " &amp; D2547</f>
        <v>principal-knowledge-authority -&gt; MessageTemplates.CommunicationPolicy</v>
      </c>
      <c r="C2547" s="3" t="s">
        <v>9774</v>
      </c>
      <c r="D2547" s="3" t="s">
        <v>4090</v>
      </c>
      <c r="E2547" s="3" t="b">
        <v>1</v>
      </c>
      <c r="F2547" s="3" t="b">
        <v>0</v>
      </c>
      <c r="G2547" s="3" t="s">
        <v>10003</v>
      </c>
      <c r="H2547" s="4" t="str">
        <f>_xlfn.IFNA(IF(((INDEX(RulebookFields!C2:C1898, MATCH(D2547,RulebookFields!A2:A1898, 0))="")=TRUE),  "",  INDEX(RulebookFields!C2:C1898, MATCH(D2547,RulebookFields!A2:A1898, 0))), "")</f>
        <v>MessageTemplates</v>
      </c>
      <c r="I2547" s="4" t="str">
        <f>_xlfn.IFNA(IF(((INDEX(RulebookFields!D2:D1898, MATCH(D2547,RulebookFields!A2:A1898, 0))="")=TRUE),  "",  INDEX(RulebookFields!D2:D1898, MATCH(D2547,RulebookFields!A2:A1898, 0))), "")</f>
        <v>CommunicationPolicy</v>
      </c>
      <c r="J2547" s="4" t="b">
        <f>_xlfn.IFNA(IF(((INDEX(RulebookFields!I2:I1898, MATCH(D2547,RulebookFields!A2:A1898, 0))="")=TRUE),  "",  INDEX(RulebookFields!I2:I1898, MATCH(D2547,RulebookFields!A2:A1898, 0))), "")</f>
        <v>0</v>
      </c>
      <c r="K2547" s="4" t="b">
        <f>AND(((F2547)=TRUE), ((J2547)=TRUE))</f>
        <v>0</v>
      </c>
      <c r="L2547" s="4" t="b">
        <f>AND(((G2547 &lt;&gt; "plain")=TRUE), ((G2547 &lt;&gt; "")=TRUE))</f>
        <v>0</v>
      </c>
      <c r="M2547" s="4" t="str">
        <f>IF(((E2547)=TRUE),  C2547 &amp; "|" &amp; H2547,  "")</f>
        <v>principal-knowledge-authority|MessageTemplates</v>
      </c>
      <c r="N2547" s="3" t="s">
        <v>10004</v>
      </c>
    </row>
    <row r="2548">
      <c r="A2548" s="3" t="s">
        <v>12550</v>
      </c>
      <c r="B2548" s="4" t="str">
        <f>C2548 &amp; " -&gt; " &amp; D2548</f>
        <v>principal-knowledge-authority -&gt; MessageTemplates.Resource</v>
      </c>
      <c r="C2548" s="3" t="s">
        <v>9774</v>
      </c>
      <c r="D2548" s="3" t="s">
        <v>4091</v>
      </c>
      <c r="E2548" s="3" t="b">
        <v>1</v>
      </c>
      <c r="F2548" s="3" t="b">
        <v>0</v>
      </c>
      <c r="G2548" s="3" t="s">
        <v>10003</v>
      </c>
      <c r="H2548" s="4" t="str">
        <f>_xlfn.IFNA(IF(((INDEX(RulebookFields!C2:C1898, MATCH(D2548,RulebookFields!A2:A1898, 0))="")=TRUE),  "",  INDEX(RulebookFields!C2:C1898, MATCH(D2548,RulebookFields!A2:A1898, 0))), "")</f>
        <v>MessageTemplates</v>
      </c>
      <c r="I2548" s="4" t="str">
        <f>_xlfn.IFNA(IF(((INDEX(RulebookFields!D2:D1898, MATCH(D2548,RulebookFields!A2:A1898, 0))="")=TRUE),  "",  INDEX(RulebookFields!D2:D1898, MATCH(D2548,RulebookFields!A2:A1898, 0))), "")</f>
        <v>Resource</v>
      </c>
      <c r="J2548" s="4" t="b">
        <f>_xlfn.IFNA(IF(((INDEX(RulebookFields!I2:I1898, MATCH(D2548,RulebookFields!A2:A1898, 0))="")=TRUE),  "",  INDEX(RulebookFields!I2:I1898, MATCH(D2548,RulebookFields!A2:A1898, 0))), "")</f>
        <v>0</v>
      </c>
      <c r="K2548" s="4" t="b">
        <f>AND(((F2548)=TRUE), ((J2548)=TRUE))</f>
        <v>0</v>
      </c>
      <c r="L2548" s="4" t="b">
        <f>AND(((G2548 &lt;&gt; "plain")=TRUE), ((G2548 &lt;&gt; "")=TRUE))</f>
        <v>0</v>
      </c>
      <c r="M2548" s="4" t="str">
        <f>IF(((E2548)=TRUE),  C2548 &amp; "|" &amp; H2548,  "")</f>
        <v>principal-knowledge-authority|MessageTemplates</v>
      </c>
      <c r="N2548" s="3" t="s">
        <v>10004</v>
      </c>
    </row>
    <row r="2549">
      <c r="A2549" s="3" t="s">
        <v>12551</v>
      </c>
      <c r="B2549" s="4" t="str">
        <f>C2549 &amp; " -&gt; " &amp; D2549</f>
        <v>principal-knowledge-authority -&gt; MessageTemplates.SubjectTemplate</v>
      </c>
      <c r="C2549" s="3" t="s">
        <v>9774</v>
      </c>
      <c r="D2549" s="3" t="s">
        <v>4092</v>
      </c>
      <c r="E2549" s="3" t="b">
        <v>1</v>
      </c>
      <c r="F2549" s="3" t="b">
        <v>0</v>
      </c>
      <c r="G2549" s="3" t="s">
        <v>10003</v>
      </c>
      <c r="H2549" s="4" t="str">
        <f>_xlfn.IFNA(IF(((INDEX(RulebookFields!C2:C1898, MATCH(D2549,RulebookFields!A2:A1898, 0))="")=TRUE),  "",  INDEX(RulebookFields!C2:C1898, MATCH(D2549,RulebookFields!A2:A1898, 0))), "")</f>
        <v>MessageTemplates</v>
      </c>
      <c r="I2549" s="4" t="str">
        <f>_xlfn.IFNA(IF(((INDEX(RulebookFields!D2:D1898, MATCH(D2549,RulebookFields!A2:A1898, 0))="")=TRUE),  "",  INDEX(RulebookFields!D2:D1898, MATCH(D2549,RulebookFields!A2:A1898, 0))), "")</f>
        <v>SubjectTemplate</v>
      </c>
      <c r="J2549" s="4" t="b">
        <f>_xlfn.IFNA(IF(((INDEX(RulebookFields!I2:I1898, MATCH(D2549,RulebookFields!A2:A1898, 0))="")=TRUE),  "",  INDEX(RulebookFields!I2:I1898, MATCH(D2549,RulebookFields!A2:A1898, 0))), "")</f>
        <v>0</v>
      </c>
      <c r="K2549" s="4" t="b">
        <f>AND(((F2549)=TRUE), ((J2549)=TRUE))</f>
        <v>0</v>
      </c>
      <c r="L2549" s="4" t="b">
        <f>AND(((G2549 &lt;&gt; "plain")=TRUE), ((G2549 &lt;&gt; "")=TRUE))</f>
        <v>0</v>
      </c>
      <c r="M2549" s="4" t="str">
        <f>IF(((E2549)=TRUE),  C2549 &amp; "|" &amp; H2549,  "")</f>
        <v>principal-knowledge-authority|MessageTemplates</v>
      </c>
      <c r="N2549" s="3" t="s">
        <v>10004</v>
      </c>
    </row>
    <row r="2550">
      <c r="A2550" s="3" t="s">
        <v>12552</v>
      </c>
      <c r="B2550" s="4" t="str">
        <f>C2550 &amp; " -&gt; " &amp; D2550</f>
        <v>principal-knowledge-authority -&gt; MessageTemplates.BodyTemplate</v>
      </c>
      <c r="C2550" s="3" t="s">
        <v>9774</v>
      </c>
      <c r="D2550" s="3" t="s">
        <v>4093</v>
      </c>
      <c r="E2550" s="3" t="b">
        <v>1</v>
      </c>
      <c r="F2550" s="3" t="b">
        <v>0</v>
      </c>
      <c r="G2550" s="3" t="s">
        <v>10003</v>
      </c>
      <c r="H2550" s="4" t="str">
        <f>_xlfn.IFNA(IF(((INDEX(RulebookFields!C2:C1898, MATCH(D2550,RulebookFields!A2:A1898, 0))="")=TRUE),  "",  INDEX(RulebookFields!C2:C1898, MATCH(D2550,RulebookFields!A2:A1898, 0))), "")</f>
        <v>MessageTemplates</v>
      </c>
      <c r="I2550" s="4" t="str">
        <f>_xlfn.IFNA(IF(((INDEX(RulebookFields!D2:D1898, MATCH(D2550,RulebookFields!A2:A1898, 0))="")=TRUE),  "",  INDEX(RulebookFields!D2:D1898, MATCH(D2550,RulebookFields!A2:A1898, 0))), "")</f>
        <v>BodyTemplate</v>
      </c>
      <c r="J2550" s="4" t="b">
        <f>_xlfn.IFNA(IF(((INDEX(RulebookFields!I2:I1898, MATCH(D2550,RulebookFields!A2:A1898, 0))="")=TRUE),  "",  INDEX(RulebookFields!I2:I1898, MATCH(D2550,RulebookFields!A2:A1898, 0))), "")</f>
        <v>0</v>
      </c>
      <c r="K2550" s="4" t="b">
        <f>AND(((F2550)=TRUE), ((J2550)=TRUE))</f>
        <v>0</v>
      </c>
      <c r="L2550" s="4" t="b">
        <f>AND(((G2550 &lt;&gt; "plain")=TRUE), ((G2550 &lt;&gt; "")=TRUE))</f>
        <v>0</v>
      </c>
      <c r="M2550" s="4" t="str">
        <f>IF(((E2550)=TRUE),  C2550 &amp; "|" &amp; H2550,  "")</f>
        <v>principal-knowledge-authority|MessageTemplates</v>
      </c>
      <c r="N2550" s="3" t="s">
        <v>10004</v>
      </c>
    </row>
    <row r="2551">
      <c r="A2551" s="3" t="s">
        <v>12553</v>
      </c>
      <c r="B2551" s="4" t="str">
        <f>C2551 &amp; " -&gt; " &amp; D2551</f>
        <v>principal-knowledge-authority -&gt; MessageTemplates.Locale</v>
      </c>
      <c r="C2551" s="3" t="s">
        <v>9774</v>
      </c>
      <c r="D2551" s="3" t="s">
        <v>4094</v>
      </c>
      <c r="E2551" s="3" t="b">
        <v>1</v>
      </c>
      <c r="F2551" s="3" t="b">
        <v>0</v>
      </c>
      <c r="G2551" s="3" t="s">
        <v>10003</v>
      </c>
      <c r="H2551" s="4" t="str">
        <f>_xlfn.IFNA(IF(((INDEX(RulebookFields!C2:C1898, MATCH(D2551,RulebookFields!A2:A1898, 0))="")=TRUE),  "",  INDEX(RulebookFields!C2:C1898, MATCH(D2551,RulebookFields!A2:A1898, 0))), "")</f>
        <v>MessageTemplates</v>
      </c>
      <c r="I2551" s="4" t="str">
        <f>_xlfn.IFNA(IF(((INDEX(RulebookFields!D2:D1898, MATCH(D2551,RulebookFields!A2:A1898, 0))="")=TRUE),  "",  INDEX(RulebookFields!D2:D1898, MATCH(D2551,RulebookFields!A2:A1898, 0))), "")</f>
        <v>Locale</v>
      </c>
      <c r="J2551" s="4" t="b">
        <f>_xlfn.IFNA(IF(((INDEX(RulebookFields!I2:I1898, MATCH(D2551,RulebookFields!A2:A1898, 0))="")=TRUE),  "",  INDEX(RulebookFields!I2:I1898, MATCH(D2551,RulebookFields!A2:A1898, 0))), "")</f>
        <v>0</v>
      </c>
      <c r="K2551" s="4" t="b">
        <f>AND(((F2551)=TRUE), ((J2551)=TRUE))</f>
        <v>0</v>
      </c>
      <c r="L2551" s="4" t="b">
        <f>AND(((G2551 &lt;&gt; "plain")=TRUE), ((G2551 &lt;&gt; "")=TRUE))</f>
        <v>0</v>
      </c>
      <c r="M2551" s="4" t="str">
        <f>IF(((E2551)=TRUE),  C2551 &amp; "|" &amp; H2551,  "")</f>
        <v>principal-knowledge-authority|MessageTemplates</v>
      </c>
      <c r="N2551" s="3" t="s">
        <v>10004</v>
      </c>
    </row>
    <row r="2552">
      <c r="A2552" s="3" t="s">
        <v>12554</v>
      </c>
      <c r="B2552" s="4" t="str">
        <f>C2552 &amp; " -&gt; " &amp; D2552</f>
        <v>principal-knowledge-authority -&gt; MessageTemplates.Status</v>
      </c>
      <c r="C2552" s="3" t="s">
        <v>9774</v>
      </c>
      <c r="D2552" s="3" t="s">
        <v>4095</v>
      </c>
      <c r="E2552" s="3" t="b">
        <v>1</v>
      </c>
      <c r="F2552" s="3" t="b">
        <v>0</v>
      </c>
      <c r="G2552" s="3" t="s">
        <v>10003</v>
      </c>
      <c r="H2552" s="4" t="str">
        <f>_xlfn.IFNA(IF(((INDEX(RulebookFields!C2:C1898, MATCH(D2552,RulebookFields!A2:A1898, 0))="")=TRUE),  "",  INDEX(RulebookFields!C2:C1898, MATCH(D2552,RulebookFields!A2:A1898, 0))), "")</f>
        <v>MessageTemplates</v>
      </c>
      <c r="I2552" s="4" t="str">
        <f>_xlfn.IFNA(IF(((INDEX(RulebookFields!D2:D1898, MATCH(D2552,RulebookFields!A2:A1898, 0))="")=TRUE),  "",  INDEX(RulebookFields!D2:D1898, MATCH(D2552,RulebookFields!A2:A1898, 0))), "")</f>
        <v>Status</v>
      </c>
      <c r="J2552" s="4" t="b">
        <f>_xlfn.IFNA(IF(((INDEX(RulebookFields!I2:I1898, MATCH(D2552,RulebookFields!A2:A1898, 0))="")=TRUE),  "",  INDEX(RulebookFields!I2:I1898, MATCH(D2552,RulebookFields!A2:A1898, 0))), "")</f>
        <v>0</v>
      </c>
      <c r="K2552" s="4" t="b">
        <f>AND(((F2552)=TRUE), ((J2552)=TRUE))</f>
        <v>0</v>
      </c>
      <c r="L2552" s="4" t="b">
        <f>AND(((G2552 &lt;&gt; "plain")=TRUE), ((G2552 &lt;&gt; "")=TRUE))</f>
        <v>0</v>
      </c>
      <c r="M2552" s="4" t="str">
        <f>IF(((E2552)=TRUE),  C2552 &amp; "|" &amp; H2552,  "")</f>
        <v>principal-knowledge-authority|MessageTemplates</v>
      </c>
      <c r="N2552" s="3" t="s">
        <v>10004</v>
      </c>
    </row>
    <row r="2553">
      <c r="A2553" s="3" t="s">
        <v>12555</v>
      </c>
      <c r="B2553" s="4" t="str">
        <f>C2553 &amp; " -&gt; " &amp; D2553</f>
        <v>principal-knowledge-authority -&gt; MessageTemplates.PolicyMaxMessageLength</v>
      </c>
      <c r="C2553" s="3" t="s">
        <v>9774</v>
      </c>
      <c r="D2553" s="3" t="s">
        <v>4096</v>
      </c>
      <c r="E2553" s="3" t="b">
        <v>1</v>
      </c>
      <c r="F2553" s="3" t="b">
        <v>0</v>
      </c>
      <c r="G2553" s="3" t="s">
        <v>10003</v>
      </c>
      <c r="H2553" s="4" t="str">
        <f>_xlfn.IFNA(IF(((INDEX(RulebookFields!C2:C1898, MATCH(D2553,RulebookFields!A2:A1898, 0))="")=TRUE),  "",  INDEX(RulebookFields!C2:C1898, MATCH(D2553,RulebookFields!A2:A1898, 0))), "")</f>
        <v>MessageTemplates</v>
      </c>
      <c r="I2553" s="4" t="str">
        <f>_xlfn.IFNA(IF(((INDEX(RulebookFields!D2:D1898, MATCH(D2553,RulebookFields!A2:A1898, 0))="")=TRUE),  "",  INDEX(RulebookFields!D2:D1898, MATCH(D2553,RulebookFields!A2:A1898, 0))), "")</f>
        <v>PolicyMaxMessageLength</v>
      </c>
      <c r="J2553" s="4" t="b">
        <f>_xlfn.IFNA(IF(((INDEX(RulebookFields!I2:I1898, MATCH(D2553,RulebookFields!A2:A1898, 0))="")=TRUE),  "",  INDEX(RulebookFields!I2:I1898, MATCH(D2553,RulebookFields!A2:A1898, 0))), "")</f>
        <v>1</v>
      </c>
      <c r="K2553" s="4" t="b">
        <f>AND(((F2553)=TRUE), ((J2553)=TRUE))</f>
        <v>0</v>
      </c>
      <c r="L2553" s="4" t="b">
        <f>AND(((G2553 &lt;&gt; "plain")=TRUE), ((G2553 &lt;&gt; "")=TRUE))</f>
        <v>0</v>
      </c>
      <c r="M2553" s="4" t="str">
        <f>IF(((E2553)=TRUE),  C2553 &amp; "|" &amp; H2553,  "")</f>
        <v>principal-knowledge-authority|MessageTemplates</v>
      </c>
      <c r="N2553" s="3" t="s">
        <v>10004</v>
      </c>
    </row>
    <row r="2554">
      <c r="A2554" s="3" t="s">
        <v>12556</v>
      </c>
      <c r="B2554" s="4" t="str">
        <f>C2554 &amp; " -&gt; " &amp; D2554</f>
        <v>principal-knowledge-authority -&gt; MessageTemplates.PolicyMaxSegments</v>
      </c>
      <c r="C2554" s="3" t="s">
        <v>9774</v>
      </c>
      <c r="D2554" s="3" t="s">
        <v>4098</v>
      </c>
      <c r="E2554" s="3" t="b">
        <v>1</v>
      </c>
      <c r="F2554" s="3" t="b">
        <v>0</v>
      </c>
      <c r="G2554" s="3" t="s">
        <v>10003</v>
      </c>
      <c r="H2554" s="4" t="str">
        <f>_xlfn.IFNA(IF(((INDEX(RulebookFields!C2:C1898, MATCH(D2554,RulebookFields!A2:A1898, 0))="")=TRUE),  "",  INDEX(RulebookFields!C2:C1898, MATCH(D2554,RulebookFields!A2:A1898, 0))), "")</f>
        <v>MessageTemplates</v>
      </c>
      <c r="I2554" s="4" t="str">
        <f>_xlfn.IFNA(IF(((INDEX(RulebookFields!D2:D1898, MATCH(D2554,RulebookFields!A2:A1898, 0))="")=TRUE),  "",  INDEX(RulebookFields!D2:D1898, MATCH(D2554,RulebookFields!A2:A1898, 0))), "")</f>
        <v>PolicyMaxSegments</v>
      </c>
      <c r="J2554" s="4" t="b">
        <f>_xlfn.IFNA(IF(((INDEX(RulebookFields!I2:I1898, MATCH(D2554,RulebookFields!A2:A1898, 0))="")=TRUE),  "",  INDEX(RulebookFields!I2:I1898, MATCH(D2554,RulebookFields!A2:A1898, 0))), "")</f>
        <v>1</v>
      </c>
      <c r="K2554" s="4" t="b">
        <f>AND(((F2554)=TRUE), ((J2554)=TRUE))</f>
        <v>0</v>
      </c>
      <c r="L2554" s="4" t="b">
        <f>AND(((G2554 &lt;&gt; "plain")=TRUE), ((G2554 &lt;&gt; "")=TRUE))</f>
        <v>0</v>
      </c>
      <c r="M2554" s="4" t="str">
        <f>IF(((E2554)=TRUE),  C2554 &amp; "|" &amp; H2554,  "")</f>
        <v>principal-knowledge-authority|MessageTemplates</v>
      </c>
      <c r="N2554" s="3" t="s">
        <v>10004</v>
      </c>
    </row>
    <row r="2555">
      <c r="A2555" s="3" t="s">
        <v>12557</v>
      </c>
      <c r="B2555" s="4" t="str">
        <f>C2555 &amp; " -&gt; " &amp; D2555</f>
        <v>principal-knowledge-authority -&gt; MessageTemplates.BodyTemplateLength</v>
      </c>
      <c r="C2555" s="3" t="s">
        <v>9774</v>
      </c>
      <c r="D2555" s="3" t="s">
        <v>4100</v>
      </c>
      <c r="E2555" s="3" t="b">
        <v>1</v>
      </c>
      <c r="F2555" s="3" t="b">
        <v>0</v>
      </c>
      <c r="G2555" s="3" t="s">
        <v>10003</v>
      </c>
      <c r="H2555" s="4" t="str">
        <f>_xlfn.IFNA(IF(((INDEX(RulebookFields!C2:C1898, MATCH(D2555,RulebookFields!A2:A1898, 0))="")=TRUE),  "",  INDEX(RulebookFields!C2:C1898, MATCH(D2555,RulebookFields!A2:A1898, 0))), "")</f>
        <v>MessageTemplates</v>
      </c>
      <c r="I2555" s="4" t="str">
        <f>_xlfn.IFNA(IF(((INDEX(RulebookFields!D2:D1898, MATCH(D2555,RulebookFields!A2:A1898, 0))="")=TRUE),  "",  INDEX(RulebookFields!D2:D1898, MATCH(D2555,RulebookFields!A2:A1898, 0))), "")</f>
        <v>BodyTemplateLength</v>
      </c>
      <c r="J2555" s="4" t="b">
        <f>_xlfn.IFNA(IF(((INDEX(RulebookFields!I2:I1898, MATCH(D2555,RulebookFields!A2:A1898, 0))="")=TRUE),  "",  INDEX(RulebookFields!I2:I1898, MATCH(D2555,RulebookFields!A2:A1898, 0))), "")</f>
        <v>1</v>
      </c>
      <c r="K2555" s="4" t="b">
        <f>AND(((F2555)=TRUE), ((J2555)=TRUE))</f>
        <v>0</v>
      </c>
      <c r="L2555" s="4" t="b">
        <f>AND(((G2555 &lt;&gt; "plain")=TRUE), ((G2555 &lt;&gt; "")=TRUE))</f>
        <v>0</v>
      </c>
      <c r="M2555" s="4" t="str">
        <f>IF(((E2555)=TRUE),  C2555 &amp; "|" &amp; H2555,  "")</f>
        <v>principal-knowledge-authority|MessageTemplates</v>
      </c>
      <c r="N2555" s="3" t="s">
        <v>10004</v>
      </c>
    </row>
    <row r="2556">
      <c r="A2556" s="3" t="s">
        <v>12558</v>
      </c>
      <c r="B2556" s="4" t="str">
        <f>C2556 &amp; " -&gt; " &amp; D2556</f>
        <v>principal-knowledge-authority -&gt; MessageTemplates.IsTemplateOverLength</v>
      </c>
      <c r="C2556" s="3" t="s">
        <v>9774</v>
      </c>
      <c r="D2556" s="3" t="s">
        <v>4102</v>
      </c>
      <c r="E2556" s="3" t="b">
        <v>1</v>
      </c>
      <c r="F2556" s="3" t="b">
        <v>0</v>
      </c>
      <c r="G2556" s="3" t="s">
        <v>10003</v>
      </c>
      <c r="H2556" s="4" t="str">
        <f>_xlfn.IFNA(IF(((INDEX(RulebookFields!C2:C1898, MATCH(D2556,RulebookFields!A2:A1898, 0))="")=TRUE),  "",  INDEX(RulebookFields!C2:C1898, MATCH(D2556,RulebookFields!A2:A1898, 0))), "")</f>
        <v>MessageTemplates</v>
      </c>
      <c r="I2556" s="4" t="str">
        <f>_xlfn.IFNA(IF(((INDEX(RulebookFields!D2:D1898, MATCH(D2556,RulebookFields!A2:A1898, 0))="")=TRUE),  "",  INDEX(RulebookFields!D2:D1898, MATCH(D2556,RulebookFields!A2:A1898, 0))), "")</f>
        <v>IsTemplateOverLength</v>
      </c>
      <c r="J2556" s="4" t="b">
        <f>_xlfn.IFNA(IF(((INDEX(RulebookFields!I2:I1898, MATCH(D2556,RulebookFields!A2:A1898, 0))="")=TRUE),  "",  INDEX(RulebookFields!I2:I1898, MATCH(D2556,RulebookFields!A2:A1898, 0))), "")</f>
        <v>1</v>
      </c>
      <c r="K2556" s="4" t="b">
        <f>AND(((F2556)=TRUE), ((J2556)=TRUE))</f>
        <v>0</v>
      </c>
      <c r="L2556" s="4" t="b">
        <f>AND(((G2556 &lt;&gt; "plain")=TRUE), ((G2556 &lt;&gt; "")=TRUE))</f>
        <v>0</v>
      </c>
      <c r="M2556" s="4" t="str">
        <f>IF(((E2556)=TRUE),  C2556 &amp; "|" &amp; H2556,  "")</f>
        <v>principal-knowledge-authority|MessageTemplates</v>
      </c>
      <c r="N2556" s="3" t="s">
        <v>10004</v>
      </c>
    </row>
    <row r="2557">
      <c r="A2557" s="3" t="s">
        <v>12559</v>
      </c>
      <c r="B2557" s="4" t="str">
        <f>C2557 &amp; " -&gt; " &amp; D2557</f>
        <v>principal-knowledge-authority -&gt; MessageTemplates.ValidApprovalCount</v>
      </c>
      <c r="C2557" s="3" t="s">
        <v>9774</v>
      </c>
      <c r="D2557" s="3" t="s">
        <v>4104</v>
      </c>
      <c r="E2557" s="3" t="b">
        <v>1</v>
      </c>
      <c r="F2557" s="3" t="b">
        <v>0</v>
      </c>
      <c r="G2557" s="3" t="s">
        <v>10003</v>
      </c>
      <c r="H2557" s="4" t="str">
        <f>_xlfn.IFNA(IF(((INDEX(RulebookFields!C2:C1898, MATCH(D2557,RulebookFields!A2:A1898, 0))="")=TRUE),  "",  INDEX(RulebookFields!C2:C1898, MATCH(D2557,RulebookFields!A2:A1898, 0))), "")</f>
        <v>MessageTemplates</v>
      </c>
      <c r="I2557" s="4" t="str">
        <f>_xlfn.IFNA(IF(((INDEX(RulebookFields!D2:D1898, MATCH(D2557,RulebookFields!A2:A1898, 0))="")=TRUE),  "",  INDEX(RulebookFields!D2:D1898, MATCH(D2557,RulebookFields!A2:A1898, 0))), "")</f>
        <v>ValidApprovalCount</v>
      </c>
      <c r="J2557" s="4" t="b">
        <f>_xlfn.IFNA(IF(((INDEX(RulebookFields!I2:I1898, MATCH(D2557,RulebookFields!A2:A1898, 0))="")=TRUE),  "",  INDEX(RulebookFields!I2:I1898, MATCH(D2557,RulebookFields!A2:A1898, 0))), "")</f>
        <v>1</v>
      </c>
      <c r="K2557" s="4" t="b">
        <f>AND(((F2557)=TRUE), ((J2557)=TRUE))</f>
        <v>0</v>
      </c>
      <c r="L2557" s="4" t="b">
        <f>AND(((G2557 &lt;&gt; "plain")=TRUE), ((G2557 &lt;&gt; "")=TRUE))</f>
        <v>0</v>
      </c>
      <c r="M2557" s="4" t="str">
        <f>IF(((E2557)=TRUE),  C2557 &amp; "|" &amp; H2557,  "")</f>
        <v>principal-knowledge-authority|MessageTemplates</v>
      </c>
      <c r="N2557" s="3" t="s">
        <v>10004</v>
      </c>
    </row>
    <row r="2558">
      <c r="A2558" s="3" t="s">
        <v>12560</v>
      </c>
      <c r="B2558" s="4" t="str">
        <f>C2558 &amp; " -&gt; " &amp; D2558</f>
        <v>principal-knowledge-authority -&gt; MessageTemplates.HasValidApproval</v>
      </c>
      <c r="C2558" s="3" t="s">
        <v>9774</v>
      </c>
      <c r="D2558" s="3" t="s">
        <v>4106</v>
      </c>
      <c r="E2558" s="3" t="b">
        <v>1</v>
      </c>
      <c r="F2558" s="3" t="b">
        <v>0</v>
      </c>
      <c r="G2558" s="3" t="s">
        <v>10003</v>
      </c>
      <c r="H2558" s="4" t="str">
        <f>_xlfn.IFNA(IF(((INDEX(RulebookFields!C2:C1898, MATCH(D2558,RulebookFields!A2:A1898, 0))="")=TRUE),  "",  INDEX(RulebookFields!C2:C1898, MATCH(D2558,RulebookFields!A2:A1898, 0))), "")</f>
        <v>MessageTemplates</v>
      </c>
      <c r="I2558" s="4" t="str">
        <f>_xlfn.IFNA(IF(((INDEX(RulebookFields!D2:D1898, MATCH(D2558,RulebookFields!A2:A1898, 0))="")=TRUE),  "",  INDEX(RulebookFields!D2:D1898, MATCH(D2558,RulebookFields!A2:A1898, 0))), "")</f>
        <v>HasValidApproval</v>
      </c>
      <c r="J2558" s="4" t="b">
        <f>_xlfn.IFNA(IF(((INDEX(RulebookFields!I2:I1898, MATCH(D2558,RulebookFields!A2:A1898, 0))="")=TRUE),  "",  INDEX(RulebookFields!I2:I1898, MATCH(D2558,RulebookFields!A2:A1898, 0))), "")</f>
        <v>1</v>
      </c>
      <c r="K2558" s="4" t="b">
        <f>AND(((F2558)=TRUE), ((J2558)=TRUE))</f>
        <v>0</v>
      </c>
      <c r="L2558" s="4" t="b">
        <f>AND(((G2558 &lt;&gt; "plain")=TRUE), ((G2558 &lt;&gt; "")=TRUE))</f>
        <v>0</v>
      </c>
      <c r="M2558" s="4" t="str">
        <f>IF(((E2558)=TRUE),  C2558 &amp; "|" &amp; H2558,  "")</f>
        <v>principal-knowledge-authority|MessageTemplates</v>
      </c>
      <c r="N2558" s="3" t="s">
        <v>10004</v>
      </c>
    </row>
    <row r="2559">
      <c r="A2559" s="3" t="s">
        <v>12561</v>
      </c>
      <c r="B2559" s="4" t="str">
        <f>C2559 &amp; " -&gt; " &amp; D2559</f>
        <v>principal-knowledge-authority -&gt; MessageTemplates.IsClaimingUnbackedApproval</v>
      </c>
      <c r="C2559" s="3" t="s">
        <v>9774</v>
      </c>
      <c r="D2559" s="3" t="s">
        <v>4108</v>
      </c>
      <c r="E2559" s="3" t="b">
        <v>1</v>
      </c>
      <c r="F2559" s="3" t="b">
        <v>0</v>
      </c>
      <c r="G2559" s="3" t="s">
        <v>10003</v>
      </c>
      <c r="H2559" s="4" t="str">
        <f>_xlfn.IFNA(IF(((INDEX(RulebookFields!C2:C1898, MATCH(D2559,RulebookFields!A2:A1898, 0))="")=TRUE),  "",  INDEX(RulebookFields!C2:C1898, MATCH(D2559,RulebookFields!A2:A1898, 0))), "")</f>
        <v>MessageTemplates</v>
      </c>
      <c r="I2559" s="4" t="str">
        <f>_xlfn.IFNA(IF(((INDEX(RulebookFields!D2:D1898, MATCH(D2559,RulebookFields!A2:A1898, 0))="")=TRUE),  "",  INDEX(RulebookFields!D2:D1898, MATCH(D2559,RulebookFields!A2:A1898, 0))), "")</f>
        <v>IsClaimingUnbackedApproval</v>
      </c>
      <c r="J2559" s="4" t="b">
        <f>_xlfn.IFNA(IF(((INDEX(RulebookFields!I2:I1898, MATCH(D2559,RulebookFields!A2:A1898, 0))="")=TRUE),  "",  INDEX(RulebookFields!I2:I1898, MATCH(D2559,RulebookFields!A2:A1898, 0))), "")</f>
        <v>1</v>
      </c>
      <c r="K2559" s="4" t="b">
        <f>AND(((F2559)=TRUE), ((J2559)=TRUE))</f>
        <v>0</v>
      </c>
      <c r="L2559" s="4" t="b">
        <f>AND(((G2559 &lt;&gt; "plain")=TRUE), ((G2559 &lt;&gt; "")=TRUE))</f>
        <v>0</v>
      </c>
      <c r="M2559" s="4" t="str">
        <f>IF(((E2559)=TRUE),  C2559 &amp; "|" &amp; H2559,  "")</f>
        <v>principal-knowledge-authority|MessageTemplates</v>
      </c>
      <c r="N2559" s="3" t="s">
        <v>10004</v>
      </c>
    </row>
    <row r="2560">
      <c r="A2560" s="3" t="s">
        <v>12562</v>
      </c>
      <c r="B2560" s="4" t="str">
        <f>C2560 &amp; " -&gt; " &amp; D2560</f>
        <v>principal-knowledge-authority -&gt; MessageTemplates.CurrentBodyHash</v>
      </c>
      <c r="C2560" s="3" t="s">
        <v>9774</v>
      </c>
      <c r="D2560" s="3" t="s">
        <v>4110</v>
      </c>
      <c r="E2560" s="3" t="b">
        <v>1</v>
      </c>
      <c r="F2560" s="3" t="b">
        <v>0</v>
      </c>
      <c r="G2560" s="3" t="s">
        <v>10003</v>
      </c>
      <c r="H2560" s="4" t="str">
        <f>_xlfn.IFNA(IF(((INDEX(RulebookFields!C2:C1898, MATCH(D2560,RulebookFields!A2:A1898, 0))="")=TRUE),  "",  INDEX(RulebookFields!C2:C1898, MATCH(D2560,RulebookFields!A2:A1898, 0))), "")</f>
        <v>MessageTemplates</v>
      </c>
      <c r="I2560" s="4" t="str">
        <f>_xlfn.IFNA(IF(((INDEX(RulebookFields!D2:D1898, MATCH(D2560,RulebookFields!A2:A1898, 0))="")=TRUE),  "",  INDEX(RulebookFields!D2:D1898, MATCH(D2560,RulebookFields!A2:A1898, 0))), "")</f>
        <v>CurrentBodyHash</v>
      </c>
      <c r="J2560" s="4" t="b">
        <f>_xlfn.IFNA(IF(((INDEX(RulebookFields!I2:I1898, MATCH(D2560,RulebookFields!A2:A1898, 0))="")=TRUE),  "",  INDEX(RulebookFields!I2:I1898, MATCH(D2560,RulebookFields!A2:A1898, 0))), "")</f>
        <v>0</v>
      </c>
      <c r="K2560" s="4" t="b">
        <f>AND(((F2560)=TRUE), ((J2560)=TRUE))</f>
        <v>0</v>
      </c>
      <c r="L2560" s="4" t="b">
        <f>AND(((G2560 &lt;&gt; "plain")=TRUE), ((G2560 &lt;&gt; "")=TRUE))</f>
        <v>0</v>
      </c>
      <c r="M2560" s="4" t="str">
        <f>IF(((E2560)=TRUE),  C2560 &amp; "|" &amp; H2560,  "")</f>
        <v>principal-knowledge-authority|MessageTemplates</v>
      </c>
      <c r="N2560" s="3" t="s">
        <v>10004</v>
      </c>
    </row>
    <row r="2561">
      <c r="A2561" s="3" t="s">
        <v>12563</v>
      </c>
      <c r="B2561" s="4" t="str">
        <f>C2561 &amp; " -&gt; " &amp; D2561</f>
        <v>principal-knowledge-authority -&gt; MessageTemplates.LastApprovedBodyHash</v>
      </c>
      <c r="C2561" s="3" t="s">
        <v>9774</v>
      </c>
      <c r="D2561" s="3" t="s">
        <v>4111</v>
      </c>
      <c r="E2561" s="3" t="b">
        <v>1</v>
      </c>
      <c r="F2561" s="3" t="b">
        <v>0</v>
      </c>
      <c r="G2561" s="3" t="s">
        <v>10003</v>
      </c>
      <c r="H2561" s="4" t="str">
        <f>_xlfn.IFNA(IF(((INDEX(RulebookFields!C2:C1898, MATCH(D2561,RulebookFields!A2:A1898, 0))="")=TRUE),  "",  INDEX(RulebookFields!C2:C1898, MATCH(D2561,RulebookFields!A2:A1898, 0))), "")</f>
        <v>MessageTemplates</v>
      </c>
      <c r="I2561" s="4" t="str">
        <f>_xlfn.IFNA(IF(((INDEX(RulebookFields!D2:D1898, MATCH(D2561,RulebookFields!A2:A1898, 0))="")=TRUE),  "",  INDEX(RulebookFields!D2:D1898, MATCH(D2561,RulebookFields!A2:A1898, 0))), "")</f>
        <v>LastApprovedBodyHash</v>
      </c>
      <c r="J2561" s="4" t="b">
        <f>_xlfn.IFNA(IF(((INDEX(RulebookFields!I2:I1898, MATCH(D2561,RulebookFields!A2:A1898, 0))="")=TRUE),  "",  INDEX(RulebookFields!I2:I1898, MATCH(D2561,RulebookFields!A2:A1898, 0))), "")</f>
        <v>1</v>
      </c>
      <c r="K2561" s="4" t="b">
        <f>AND(((F2561)=TRUE), ((J2561)=TRUE))</f>
        <v>0</v>
      </c>
      <c r="L2561" s="4" t="b">
        <f>AND(((G2561 &lt;&gt; "plain")=TRUE), ((G2561 &lt;&gt; "")=TRUE))</f>
        <v>0</v>
      </c>
      <c r="M2561" s="4" t="str">
        <f>IF(((E2561)=TRUE),  C2561 &amp; "|" &amp; H2561,  "")</f>
        <v>principal-knowledge-authority|MessageTemplates</v>
      </c>
      <c r="N2561" s="3" t="s">
        <v>10004</v>
      </c>
    </row>
    <row r="2562">
      <c r="A2562" s="3" t="s">
        <v>12564</v>
      </c>
      <c r="B2562" s="4" t="str">
        <f>C2562 &amp; " -&gt; " &amp; D2562</f>
        <v>principal-knowledge-authority -&gt; MessageTemplates.LastValidApproval</v>
      </c>
      <c r="C2562" s="3" t="s">
        <v>9774</v>
      </c>
      <c r="D2562" s="3" t="s">
        <v>4113</v>
      </c>
      <c r="E2562" s="3" t="b">
        <v>1</v>
      </c>
      <c r="F2562" s="3" t="b">
        <v>0</v>
      </c>
      <c r="G2562" s="3" t="s">
        <v>10003</v>
      </c>
      <c r="H2562" s="4" t="str">
        <f>_xlfn.IFNA(IF(((INDEX(RulebookFields!C2:C1898, MATCH(D2562,RulebookFields!A2:A1898, 0))="")=TRUE),  "",  INDEX(RulebookFields!C2:C1898, MATCH(D2562,RulebookFields!A2:A1898, 0))), "")</f>
        <v>MessageTemplates</v>
      </c>
      <c r="I2562" s="4" t="str">
        <f>_xlfn.IFNA(IF(((INDEX(RulebookFields!D2:D1898, MATCH(D2562,RulebookFields!A2:A1898, 0))="")=TRUE),  "",  INDEX(RulebookFields!D2:D1898, MATCH(D2562,RulebookFields!A2:A1898, 0))), "")</f>
        <v>LastValidApproval</v>
      </c>
      <c r="J2562" s="4" t="b">
        <f>_xlfn.IFNA(IF(((INDEX(RulebookFields!I2:I1898, MATCH(D2562,RulebookFields!A2:A1898, 0))="")=TRUE),  "",  INDEX(RulebookFields!I2:I1898, MATCH(D2562,RulebookFields!A2:A1898, 0))), "")</f>
        <v>0</v>
      </c>
      <c r="K2562" s="4" t="b">
        <f>AND(((F2562)=TRUE), ((J2562)=TRUE))</f>
        <v>0</v>
      </c>
      <c r="L2562" s="4" t="b">
        <f>AND(((G2562 &lt;&gt; "plain")=TRUE), ((G2562 &lt;&gt; "")=TRUE))</f>
        <v>0</v>
      </c>
      <c r="M2562" s="4" t="str">
        <f>IF(((E2562)=TRUE),  C2562 &amp; "|" &amp; H2562,  "")</f>
        <v>principal-knowledge-authority|MessageTemplates</v>
      </c>
      <c r="N2562" s="3" t="s">
        <v>10004</v>
      </c>
    </row>
    <row r="2563">
      <c r="A2563" s="3" t="s">
        <v>12565</v>
      </c>
      <c r="B2563" s="4" t="str">
        <f>C2563 &amp; " -&gt; " &amp; D2563</f>
        <v>principal-knowledge-authority -&gt; MessageTemplates.HasBodyDrifted</v>
      </c>
      <c r="C2563" s="3" t="s">
        <v>9774</v>
      </c>
      <c r="D2563" s="3" t="s">
        <v>4114</v>
      </c>
      <c r="E2563" s="3" t="b">
        <v>1</v>
      </c>
      <c r="F2563" s="3" t="b">
        <v>0</v>
      </c>
      <c r="G2563" s="3" t="s">
        <v>10003</v>
      </c>
      <c r="H2563" s="4" t="str">
        <f>_xlfn.IFNA(IF(((INDEX(RulebookFields!C2:C1898, MATCH(D2563,RulebookFields!A2:A1898, 0))="")=TRUE),  "",  INDEX(RulebookFields!C2:C1898, MATCH(D2563,RulebookFields!A2:A1898, 0))), "")</f>
        <v>MessageTemplates</v>
      </c>
      <c r="I2563" s="4" t="str">
        <f>_xlfn.IFNA(IF(((INDEX(RulebookFields!D2:D1898, MATCH(D2563,RulebookFields!A2:A1898, 0))="")=TRUE),  "",  INDEX(RulebookFields!D2:D1898, MATCH(D2563,RulebookFields!A2:A1898, 0))), "")</f>
        <v>HasBodyDrifted</v>
      </c>
      <c r="J2563" s="4" t="b">
        <f>_xlfn.IFNA(IF(((INDEX(RulebookFields!I2:I1898, MATCH(D2563,RulebookFields!A2:A1898, 0))="")=TRUE),  "",  INDEX(RulebookFields!I2:I1898, MATCH(D2563,RulebookFields!A2:A1898, 0))), "")</f>
        <v>1</v>
      </c>
      <c r="K2563" s="4" t="b">
        <f>AND(((F2563)=TRUE), ((J2563)=TRUE))</f>
        <v>0</v>
      </c>
      <c r="L2563" s="4" t="b">
        <f>AND(((G2563 &lt;&gt; "plain")=TRUE), ((G2563 &lt;&gt; "")=TRUE))</f>
        <v>0</v>
      </c>
      <c r="M2563" s="4" t="str">
        <f>IF(((E2563)=TRUE),  C2563 &amp; "|" &amp; H2563,  "")</f>
        <v>principal-knowledge-authority|MessageTemplates</v>
      </c>
      <c r="N2563" s="3" t="s">
        <v>10004</v>
      </c>
    </row>
    <row r="2564">
      <c r="A2564" s="3" t="s">
        <v>12566</v>
      </c>
      <c r="B2564" s="4" t="str">
        <f>C2564 &amp; " -&gt; " &amp; D2564</f>
        <v>principal-knowledge-authority -&gt; MessageTemplates.IsSendableUnderApproval</v>
      </c>
      <c r="C2564" s="3" t="s">
        <v>9774</v>
      </c>
      <c r="D2564" s="3" t="s">
        <v>4116</v>
      </c>
      <c r="E2564" s="3" t="b">
        <v>1</v>
      </c>
      <c r="F2564" s="3" t="b">
        <v>0</v>
      </c>
      <c r="G2564" s="3" t="s">
        <v>10003</v>
      </c>
      <c r="H2564" s="4" t="str">
        <f>_xlfn.IFNA(IF(((INDEX(RulebookFields!C2:C1898, MATCH(D2564,RulebookFields!A2:A1898, 0))="")=TRUE),  "",  INDEX(RulebookFields!C2:C1898, MATCH(D2564,RulebookFields!A2:A1898, 0))), "")</f>
        <v>MessageTemplates</v>
      </c>
      <c r="I2564" s="4" t="str">
        <f>_xlfn.IFNA(IF(((INDEX(RulebookFields!D2:D1898, MATCH(D2564,RulebookFields!A2:A1898, 0))="")=TRUE),  "",  INDEX(RulebookFields!D2:D1898, MATCH(D2564,RulebookFields!A2:A1898, 0))), "")</f>
        <v>IsSendableUnderApproval</v>
      </c>
      <c r="J2564" s="4" t="b">
        <f>_xlfn.IFNA(IF(((INDEX(RulebookFields!I2:I1898, MATCH(D2564,RulebookFields!A2:A1898, 0))="")=TRUE),  "",  INDEX(RulebookFields!I2:I1898, MATCH(D2564,RulebookFields!A2:A1898, 0))), "")</f>
        <v>1</v>
      </c>
      <c r="K2564" s="4" t="b">
        <f>AND(((F2564)=TRUE), ((J2564)=TRUE))</f>
        <v>0</v>
      </c>
      <c r="L2564" s="4" t="b">
        <f>AND(((G2564 &lt;&gt; "plain")=TRUE), ((G2564 &lt;&gt; "")=TRUE))</f>
        <v>0</v>
      </c>
      <c r="M2564" s="4" t="str">
        <f>IF(((E2564)=TRUE),  C2564 &amp; "|" &amp; H2564,  "")</f>
        <v>principal-knowledge-authority|MessageTemplates</v>
      </c>
      <c r="N2564" s="3" t="s">
        <v>10004</v>
      </c>
    </row>
    <row r="2565">
      <c r="A2565" s="3" t="s">
        <v>12567</v>
      </c>
      <c r="B2565" s="4" t="str">
        <f>C2565 &amp; " -&gt; " &amp; D2565</f>
        <v>principal-knowledge-authority -&gt; MessageTemplates.DriftedSendCount</v>
      </c>
      <c r="C2565" s="3" t="s">
        <v>9774</v>
      </c>
      <c r="D2565" s="3" t="s">
        <v>4118</v>
      </c>
      <c r="E2565" s="3" t="b">
        <v>1</v>
      </c>
      <c r="F2565" s="3" t="b">
        <v>0</v>
      </c>
      <c r="G2565" s="3" t="s">
        <v>10003</v>
      </c>
      <c r="H2565" s="4" t="str">
        <f>_xlfn.IFNA(IF(((INDEX(RulebookFields!C2:C1898, MATCH(D2565,RulebookFields!A2:A1898, 0))="")=TRUE),  "",  INDEX(RulebookFields!C2:C1898, MATCH(D2565,RulebookFields!A2:A1898, 0))), "")</f>
        <v>MessageTemplates</v>
      </c>
      <c r="I2565" s="4" t="str">
        <f>_xlfn.IFNA(IF(((INDEX(RulebookFields!D2:D1898, MATCH(D2565,RulebookFields!A2:A1898, 0))="")=TRUE),  "",  INDEX(RulebookFields!D2:D1898, MATCH(D2565,RulebookFields!A2:A1898, 0))), "")</f>
        <v>DriftedSendCount</v>
      </c>
      <c r="J2565" s="4" t="b">
        <f>_xlfn.IFNA(IF(((INDEX(RulebookFields!I2:I1898, MATCH(D2565,RulebookFields!A2:A1898, 0))="")=TRUE),  "",  INDEX(RulebookFields!I2:I1898, MATCH(D2565,RulebookFields!A2:A1898, 0))), "")</f>
        <v>1</v>
      </c>
      <c r="K2565" s="4" t="b">
        <f>AND(((F2565)=TRUE), ((J2565)=TRUE))</f>
        <v>0</v>
      </c>
      <c r="L2565" s="4" t="b">
        <f>AND(((G2565 &lt;&gt; "plain")=TRUE), ((G2565 &lt;&gt; "")=TRUE))</f>
        <v>0</v>
      </c>
      <c r="M2565" s="4" t="str">
        <f>IF(((E2565)=TRUE),  C2565 &amp; "|" &amp; H2565,  "")</f>
        <v>principal-knowledge-authority|MessageTemplates</v>
      </c>
      <c r="N2565" s="3" t="s">
        <v>10004</v>
      </c>
    </row>
    <row r="2566">
      <c r="A2566" s="3" t="s">
        <v>12568</v>
      </c>
      <c r="B2566" s="4" t="str">
        <f>C2566 &amp; " -&gt; " &amp; D2566</f>
        <v>principal-knowledge-authority -&gt; MessageTemplates.UnansweredDeliveryCount</v>
      </c>
      <c r="C2566" s="3" t="s">
        <v>9774</v>
      </c>
      <c r="D2566" s="3" t="s">
        <v>4120</v>
      </c>
      <c r="E2566" s="3" t="b">
        <v>1</v>
      </c>
      <c r="F2566" s="3" t="b">
        <v>0</v>
      </c>
      <c r="G2566" s="3" t="s">
        <v>10003</v>
      </c>
      <c r="H2566" s="4" t="str">
        <f>_xlfn.IFNA(IF(((INDEX(RulebookFields!C2:C1898, MATCH(D2566,RulebookFields!A2:A1898, 0))="")=TRUE),  "",  INDEX(RulebookFields!C2:C1898, MATCH(D2566,RulebookFields!A2:A1898, 0))), "")</f>
        <v>MessageTemplates</v>
      </c>
      <c r="I2566" s="4" t="str">
        <f>_xlfn.IFNA(IF(((INDEX(RulebookFields!D2:D1898, MATCH(D2566,RulebookFields!A2:A1898, 0))="")=TRUE),  "",  INDEX(RulebookFields!D2:D1898, MATCH(D2566,RulebookFields!A2:A1898, 0))), "")</f>
        <v>UnansweredDeliveryCount</v>
      </c>
      <c r="J2566" s="4" t="b">
        <f>_xlfn.IFNA(IF(((INDEX(RulebookFields!I2:I1898, MATCH(D2566,RulebookFields!A2:A1898, 0))="")=TRUE),  "",  INDEX(RulebookFields!I2:I1898, MATCH(D2566,RulebookFields!A2:A1898, 0))), "")</f>
        <v>1</v>
      </c>
      <c r="K2566" s="4" t="b">
        <f>AND(((F2566)=TRUE), ((J2566)=TRUE))</f>
        <v>0</v>
      </c>
      <c r="L2566" s="4" t="b">
        <f>AND(((G2566 &lt;&gt; "plain")=TRUE), ((G2566 &lt;&gt; "")=TRUE))</f>
        <v>0</v>
      </c>
      <c r="M2566" s="4" t="str">
        <f>IF(((E2566)=TRUE),  C2566 &amp; "|" &amp; H2566,  "")</f>
        <v>principal-knowledge-authority|MessageTemplates</v>
      </c>
      <c r="N2566" s="3" t="s">
        <v>10004</v>
      </c>
    </row>
    <row r="2567">
      <c r="A2567" s="3" t="s">
        <v>12569</v>
      </c>
      <c r="B2567" s="4" t="str">
        <f>C2567 &amp; " -&gt; " &amp; D2567</f>
        <v>principal-knowledge-authority -&gt; MessageTemplates.TransmittedDeliveryCount</v>
      </c>
      <c r="C2567" s="3" t="s">
        <v>9774</v>
      </c>
      <c r="D2567" s="3" t="s">
        <v>4122</v>
      </c>
      <c r="E2567" s="3" t="b">
        <v>1</v>
      </c>
      <c r="F2567" s="3" t="b">
        <v>0</v>
      </c>
      <c r="G2567" s="3" t="s">
        <v>10003</v>
      </c>
      <c r="H2567" s="4" t="str">
        <f>_xlfn.IFNA(IF(((INDEX(RulebookFields!C2:C1898, MATCH(D2567,RulebookFields!A2:A1898, 0))="")=TRUE),  "",  INDEX(RulebookFields!C2:C1898, MATCH(D2567,RulebookFields!A2:A1898, 0))), "")</f>
        <v>MessageTemplates</v>
      </c>
      <c r="I2567" s="4" t="str">
        <f>_xlfn.IFNA(IF(((INDEX(RulebookFields!D2:D1898, MATCH(D2567,RulebookFields!A2:A1898, 0))="")=TRUE),  "",  INDEX(RulebookFields!D2:D1898, MATCH(D2567,RulebookFields!A2:A1898, 0))), "")</f>
        <v>TransmittedDeliveryCount</v>
      </c>
      <c r="J2567" s="4" t="b">
        <f>_xlfn.IFNA(IF(((INDEX(RulebookFields!I2:I1898, MATCH(D2567,RulebookFields!A2:A1898, 0))="")=TRUE),  "",  INDEX(RulebookFields!I2:I1898, MATCH(D2567,RulebookFields!A2:A1898, 0))), "")</f>
        <v>1</v>
      </c>
      <c r="K2567" s="4" t="b">
        <f>AND(((F2567)=TRUE), ((J2567)=TRUE))</f>
        <v>0</v>
      </c>
      <c r="L2567" s="4" t="b">
        <f>AND(((G2567 &lt;&gt; "plain")=TRUE), ((G2567 &lt;&gt; "")=TRUE))</f>
        <v>0</v>
      </c>
      <c r="M2567" s="4" t="str">
        <f>IF(((E2567)=TRUE),  C2567 &amp; "|" &amp; H2567,  "")</f>
        <v>principal-knowledge-authority|MessageTemplates</v>
      </c>
      <c r="N2567" s="3" t="s">
        <v>10004</v>
      </c>
    </row>
    <row r="2568">
      <c r="A2568" s="3" t="s">
        <v>12570</v>
      </c>
      <c r="B2568" s="4" t="str">
        <f>C2568 &amp; " -&gt; " &amp; D2568</f>
        <v>principal-knowledge-authority -&gt; MessageTemplates.TemplateDrawsNoResponse</v>
      </c>
      <c r="C2568" s="3" t="s">
        <v>9774</v>
      </c>
      <c r="D2568" s="3" t="s">
        <v>4124</v>
      </c>
      <c r="E2568" s="3" t="b">
        <v>1</v>
      </c>
      <c r="F2568" s="3" t="b">
        <v>0</v>
      </c>
      <c r="G2568" s="3" t="s">
        <v>10003</v>
      </c>
      <c r="H2568" s="4" t="str">
        <f>_xlfn.IFNA(IF(((INDEX(RulebookFields!C2:C1898, MATCH(D2568,RulebookFields!A2:A1898, 0))="")=TRUE),  "",  INDEX(RulebookFields!C2:C1898, MATCH(D2568,RulebookFields!A2:A1898, 0))), "")</f>
        <v>MessageTemplates</v>
      </c>
      <c r="I2568" s="4" t="str">
        <f>_xlfn.IFNA(IF(((INDEX(RulebookFields!D2:D1898, MATCH(D2568,RulebookFields!A2:A1898, 0))="")=TRUE),  "",  INDEX(RulebookFields!D2:D1898, MATCH(D2568,RulebookFields!A2:A1898, 0))), "")</f>
        <v>TemplateDrawsNoResponse</v>
      </c>
      <c r="J2568" s="4" t="b">
        <f>_xlfn.IFNA(IF(((INDEX(RulebookFields!I2:I1898, MATCH(D2568,RulebookFields!A2:A1898, 0))="")=TRUE),  "",  INDEX(RulebookFields!I2:I1898, MATCH(D2568,RulebookFields!A2:A1898, 0))), "")</f>
        <v>1</v>
      </c>
      <c r="K2568" s="4" t="b">
        <f>AND(((F2568)=TRUE), ((J2568)=TRUE))</f>
        <v>0</v>
      </c>
      <c r="L2568" s="4" t="b">
        <f>AND(((G2568 &lt;&gt; "plain")=TRUE), ((G2568 &lt;&gt; "")=TRUE))</f>
        <v>0</v>
      </c>
      <c r="M2568" s="4" t="str">
        <f>IF(((E2568)=TRUE),  C2568 &amp; "|" &amp; H2568,  "")</f>
        <v>principal-knowledge-authority|MessageTemplates</v>
      </c>
      <c r="N2568" s="3" t="s">
        <v>10004</v>
      </c>
    </row>
    <row r="2569">
      <c r="A2569" s="3" t="s">
        <v>12571</v>
      </c>
      <c r="B2569" s="4" t="str">
        <f>C2569 &amp; " -&gt; " &amp; D2569</f>
        <v>principal-knowledge-authority -&gt; MessageTemplates.LastApprovalAt</v>
      </c>
      <c r="C2569" s="3" t="s">
        <v>9774</v>
      </c>
      <c r="D2569" s="3" t="s">
        <v>4126</v>
      </c>
      <c r="E2569" s="3" t="b">
        <v>1</v>
      </c>
      <c r="F2569" s="3" t="b">
        <v>0</v>
      </c>
      <c r="G2569" s="3" t="s">
        <v>10003</v>
      </c>
      <c r="H2569" s="4" t="str">
        <f>_xlfn.IFNA(IF(((INDEX(RulebookFields!C2:C1898, MATCH(D2569,RulebookFields!A2:A1898, 0))="")=TRUE),  "",  INDEX(RulebookFields!C2:C1898, MATCH(D2569,RulebookFields!A2:A1898, 0))), "")</f>
        <v>MessageTemplates</v>
      </c>
      <c r="I2569" s="4" t="str">
        <f>_xlfn.IFNA(IF(((INDEX(RulebookFields!D2:D1898, MATCH(D2569,RulebookFields!A2:A1898, 0))="")=TRUE),  "",  INDEX(RulebookFields!D2:D1898, MATCH(D2569,RulebookFields!A2:A1898, 0))), "")</f>
        <v>LastApprovalAt</v>
      </c>
      <c r="J2569" s="4" t="b">
        <f>_xlfn.IFNA(IF(((INDEX(RulebookFields!I2:I1898, MATCH(D2569,RulebookFields!A2:A1898, 0))="")=TRUE),  "",  INDEX(RulebookFields!I2:I1898, MATCH(D2569,RulebookFields!A2:A1898, 0))), "")</f>
        <v>1</v>
      </c>
      <c r="K2569" s="4" t="b">
        <f>AND(((F2569)=TRUE), ((J2569)=TRUE))</f>
        <v>0</v>
      </c>
      <c r="L2569" s="4" t="b">
        <f>AND(((G2569 &lt;&gt; "plain")=TRUE), ((G2569 &lt;&gt; "")=TRUE))</f>
        <v>0</v>
      </c>
      <c r="M2569" s="4" t="str">
        <f>IF(((E2569)=TRUE),  C2569 &amp; "|" &amp; H2569,  "")</f>
        <v>principal-knowledge-authority|MessageTemplates</v>
      </c>
      <c r="N2569" s="3" t="s">
        <v>10004</v>
      </c>
    </row>
    <row r="2570">
      <c r="A2570" s="3" t="s">
        <v>12572</v>
      </c>
      <c r="B2570" s="4" t="str">
        <f>C2570 &amp; " -&gt; " &amp; D2570</f>
        <v>principal-knowledge-authority -&gt; MessageTemplates.SemanticTypeIri</v>
      </c>
      <c r="C2570" s="3" t="s">
        <v>9774</v>
      </c>
      <c r="D2570" s="3" t="s">
        <v>4128</v>
      </c>
      <c r="E2570" s="3" t="b">
        <v>1</v>
      </c>
      <c r="F2570" s="3" t="b">
        <v>0</v>
      </c>
      <c r="G2570" s="3" t="s">
        <v>10003</v>
      </c>
      <c r="H2570" s="4" t="str">
        <f>_xlfn.IFNA(IF(((INDEX(RulebookFields!C2:C1898, MATCH(D2570,RulebookFields!A2:A1898, 0))="")=TRUE),  "",  INDEX(RulebookFields!C2:C1898, MATCH(D2570,RulebookFields!A2:A1898, 0))), "")</f>
        <v>MessageTemplates</v>
      </c>
      <c r="I2570" s="4" t="str">
        <f>_xlfn.IFNA(IF(((INDEX(RulebookFields!D2:D1898, MATCH(D2570,RulebookFields!A2:A1898, 0))="")=TRUE),  "",  INDEX(RulebookFields!D2:D1898, MATCH(D2570,RulebookFields!A2:A1898, 0))), "")</f>
        <v>SemanticTypeIri</v>
      </c>
      <c r="J2570" s="4" t="b">
        <f>_xlfn.IFNA(IF(((INDEX(RulebookFields!I2:I1898, MATCH(D2570,RulebookFields!A2:A1898, 0))="")=TRUE),  "",  INDEX(RulebookFields!I2:I1898, MATCH(D2570,RulebookFields!A2:A1898, 0))), "")</f>
        <v>0</v>
      </c>
      <c r="K2570" s="4" t="b">
        <f>AND(((F2570)=TRUE), ((J2570)=TRUE))</f>
        <v>0</v>
      </c>
      <c r="L2570" s="4" t="b">
        <f>AND(((G2570 &lt;&gt; "plain")=TRUE), ((G2570 &lt;&gt; "")=TRUE))</f>
        <v>0</v>
      </c>
      <c r="M2570" s="4" t="str">
        <f>IF(((E2570)=TRUE),  C2570 &amp; "|" &amp; H2570,  "")</f>
        <v>principal-knowledge-authority|MessageTemplates</v>
      </c>
      <c r="N2570" s="3" t="s">
        <v>10004</v>
      </c>
    </row>
    <row r="2571">
      <c r="A2571" s="3" t="s">
        <v>12573</v>
      </c>
      <c r="B2571" s="4" t="str">
        <f>C2571 &amp; " -&gt; " &amp; D2571</f>
        <v>principal-knowledge-authority -&gt; ObservedTransitions.ObservedTransitionId</v>
      </c>
      <c r="C2571" s="3" t="s">
        <v>9774</v>
      </c>
      <c r="D2571" s="3" t="s">
        <v>4397</v>
      </c>
      <c r="E2571" s="3" t="b">
        <v>1</v>
      </c>
      <c r="F2571" s="3" t="b">
        <v>0</v>
      </c>
      <c r="G2571" s="3" t="s">
        <v>10003</v>
      </c>
      <c r="H2571" s="4" t="str">
        <f>_xlfn.IFNA(IF(((INDEX(RulebookFields!C2:C1898, MATCH(D2571,RulebookFields!A2:A1898, 0))="")=TRUE),  "",  INDEX(RulebookFields!C2:C1898, MATCH(D2571,RulebookFields!A2:A1898, 0))), "")</f>
        <v>ObservedTransitions</v>
      </c>
      <c r="I2571" s="4" t="str">
        <f>_xlfn.IFNA(IF(((INDEX(RulebookFields!D2:D1898, MATCH(D2571,RulebookFields!A2:A1898, 0))="")=TRUE),  "",  INDEX(RulebookFields!D2:D1898, MATCH(D2571,RulebookFields!A2:A1898, 0))), "")</f>
        <v>ObservedTransitionId</v>
      </c>
      <c r="J2571" s="4" t="b">
        <f>_xlfn.IFNA(IF(((INDEX(RulebookFields!I2:I1898, MATCH(D2571,RulebookFields!A2:A1898, 0))="")=TRUE),  "",  INDEX(RulebookFields!I2:I1898, MATCH(D2571,RulebookFields!A2:A1898, 0))), "")</f>
        <v>0</v>
      </c>
      <c r="K2571" s="4" t="b">
        <f>AND(((F2571)=TRUE), ((J2571)=TRUE))</f>
        <v>0</v>
      </c>
      <c r="L2571" s="4" t="b">
        <f>AND(((G2571 &lt;&gt; "plain")=TRUE), ((G2571 &lt;&gt; "")=TRUE))</f>
        <v>0</v>
      </c>
      <c r="M2571" s="4" t="str">
        <f>IF(((E2571)=TRUE),  C2571 &amp; "|" &amp; H2571,  "")</f>
        <v>principal-knowledge-authority|ObservedTransitions</v>
      </c>
      <c r="N2571" s="3" t="s">
        <v>10004</v>
      </c>
    </row>
    <row r="2572">
      <c r="A2572" s="3" t="s">
        <v>12574</v>
      </c>
      <c r="B2572" s="4" t="str">
        <f>C2572 &amp; " -&gt; " &amp; D2572</f>
        <v>principal-knowledge-authority -&gt; ObservedTransitions.Name</v>
      </c>
      <c r="C2572" s="3" t="s">
        <v>9774</v>
      </c>
      <c r="D2572" s="3" t="s">
        <v>4400</v>
      </c>
      <c r="E2572" s="3" t="b">
        <v>1</v>
      </c>
      <c r="F2572" s="3" t="b">
        <v>0</v>
      </c>
      <c r="G2572" s="3" t="s">
        <v>10003</v>
      </c>
      <c r="H2572" s="4" t="str">
        <f>_xlfn.IFNA(IF(((INDEX(RulebookFields!C2:C1898, MATCH(D2572,RulebookFields!A2:A1898, 0))="")=TRUE),  "",  INDEX(RulebookFields!C2:C1898, MATCH(D2572,RulebookFields!A2:A1898, 0))), "")</f>
        <v>ObservedTransitions</v>
      </c>
      <c r="I2572" s="4" t="str">
        <f>_xlfn.IFNA(IF(((INDEX(RulebookFields!D2:D1898, MATCH(D2572,RulebookFields!A2:A1898, 0))="")=TRUE),  "",  INDEX(RulebookFields!D2:D1898, MATCH(D2572,RulebookFields!A2:A1898, 0))), "")</f>
        <v>Name</v>
      </c>
      <c r="J2572" s="4" t="b">
        <f>_xlfn.IFNA(IF(((INDEX(RulebookFields!I2:I1898, MATCH(D2572,RulebookFields!A2:A1898, 0))="")=TRUE),  "",  INDEX(RulebookFields!I2:I1898, MATCH(D2572,RulebookFields!A2:A1898, 0))), "")</f>
        <v>1</v>
      </c>
      <c r="K2572" s="4" t="b">
        <f>AND(((F2572)=TRUE), ((J2572)=TRUE))</f>
        <v>0</v>
      </c>
      <c r="L2572" s="4" t="b">
        <f>AND(((G2572 &lt;&gt; "plain")=TRUE), ((G2572 &lt;&gt; "")=TRUE))</f>
        <v>0</v>
      </c>
      <c r="M2572" s="4" t="str">
        <f>IF(((E2572)=TRUE),  C2572 &amp; "|" &amp; H2572,  "")</f>
        <v>principal-knowledge-authority|ObservedTransitions</v>
      </c>
      <c r="N2572" s="3" t="s">
        <v>10004</v>
      </c>
    </row>
    <row r="2573">
      <c r="A2573" s="3" t="s">
        <v>12575</v>
      </c>
      <c r="B2573" s="4" t="str">
        <f>C2573 &amp; " -&gt; " &amp; D2573</f>
        <v>principal-knowledge-authority -&gt; ObservedTransitions.ProcedureExecution</v>
      </c>
      <c r="C2573" s="3" t="s">
        <v>9774</v>
      </c>
      <c r="D2573" s="3" t="s">
        <v>4402</v>
      </c>
      <c r="E2573" s="3" t="b">
        <v>1</v>
      </c>
      <c r="F2573" s="3" t="b">
        <v>0</v>
      </c>
      <c r="G2573" s="3" t="s">
        <v>10003</v>
      </c>
      <c r="H2573" s="4" t="str">
        <f>_xlfn.IFNA(IF(((INDEX(RulebookFields!C2:C1898, MATCH(D2573,RulebookFields!A2:A1898, 0))="")=TRUE),  "",  INDEX(RulebookFields!C2:C1898, MATCH(D2573,RulebookFields!A2:A1898, 0))), "")</f>
        <v>ObservedTransitions</v>
      </c>
      <c r="I2573" s="4" t="str">
        <f>_xlfn.IFNA(IF(((INDEX(RulebookFields!D2:D1898, MATCH(D2573,RulebookFields!A2:A1898, 0))="")=TRUE),  "",  INDEX(RulebookFields!D2:D1898, MATCH(D2573,RulebookFields!A2:A1898, 0))), "")</f>
        <v>ProcedureExecution</v>
      </c>
      <c r="J2573" s="4" t="b">
        <f>_xlfn.IFNA(IF(((INDEX(RulebookFields!I2:I1898, MATCH(D2573,RulebookFields!A2:A1898, 0))="")=TRUE),  "",  INDEX(RulebookFields!I2:I1898, MATCH(D2573,RulebookFields!A2:A1898, 0))), "")</f>
        <v>0</v>
      </c>
      <c r="K2573" s="4" t="b">
        <f>AND(((F2573)=TRUE), ((J2573)=TRUE))</f>
        <v>0</v>
      </c>
      <c r="L2573" s="4" t="b">
        <f>AND(((G2573 &lt;&gt; "plain")=TRUE), ((G2573 &lt;&gt; "")=TRUE))</f>
        <v>0</v>
      </c>
      <c r="M2573" s="4" t="str">
        <f>IF(((E2573)=TRUE),  C2573 &amp; "|" &amp; H2573,  "")</f>
        <v>principal-knowledge-authority|ObservedTransitions</v>
      </c>
      <c r="N2573" s="3" t="s">
        <v>10004</v>
      </c>
    </row>
    <row r="2574">
      <c r="A2574" s="3" t="s">
        <v>12576</v>
      </c>
      <c r="B2574" s="4" t="str">
        <f>C2574 &amp; " -&gt; " &amp; D2574</f>
        <v>principal-knowledge-authority -&gt; ObservedTransitions.StepTransition</v>
      </c>
      <c r="C2574" s="3" t="s">
        <v>9774</v>
      </c>
      <c r="D2574" s="3" t="s">
        <v>4403</v>
      </c>
      <c r="E2574" s="3" t="b">
        <v>1</v>
      </c>
      <c r="F2574" s="3" t="b">
        <v>0</v>
      </c>
      <c r="G2574" s="3" t="s">
        <v>10003</v>
      </c>
      <c r="H2574" s="4" t="str">
        <f>_xlfn.IFNA(IF(((INDEX(RulebookFields!C2:C1898, MATCH(D2574,RulebookFields!A2:A1898, 0))="")=TRUE),  "",  INDEX(RulebookFields!C2:C1898, MATCH(D2574,RulebookFields!A2:A1898, 0))), "")</f>
        <v>ObservedTransitions</v>
      </c>
      <c r="I2574" s="4" t="str">
        <f>_xlfn.IFNA(IF(((INDEX(RulebookFields!D2:D1898, MATCH(D2574,RulebookFields!A2:A1898, 0))="")=TRUE),  "",  INDEX(RulebookFields!D2:D1898, MATCH(D2574,RulebookFields!A2:A1898, 0))), "")</f>
        <v>StepTransition</v>
      </c>
      <c r="J2574" s="4" t="b">
        <f>_xlfn.IFNA(IF(((INDEX(RulebookFields!I2:I1898, MATCH(D2574,RulebookFields!A2:A1898, 0))="")=TRUE),  "",  INDEX(RulebookFields!I2:I1898, MATCH(D2574,RulebookFields!A2:A1898, 0))), "")</f>
        <v>0</v>
      </c>
      <c r="K2574" s="4" t="b">
        <f>AND(((F2574)=TRUE), ((J2574)=TRUE))</f>
        <v>0</v>
      </c>
      <c r="L2574" s="4" t="b">
        <f>AND(((G2574 &lt;&gt; "plain")=TRUE), ((G2574 &lt;&gt; "")=TRUE))</f>
        <v>0</v>
      </c>
      <c r="M2574" s="4" t="str">
        <f>IF(((E2574)=TRUE),  C2574 &amp; "|" &amp; H2574,  "")</f>
        <v>principal-knowledge-authority|ObservedTransitions</v>
      </c>
      <c r="N2574" s="3" t="s">
        <v>10004</v>
      </c>
    </row>
    <row r="2575">
      <c r="A2575" s="3" t="s">
        <v>12577</v>
      </c>
      <c r="B2575" s="4" t="str">
        <f>C2575 &amp; " -&gt; " &amp; D2575</f>
        <v>principal-knowledge-authority -&gt; ObservedTransitions.ArrivingStepExecution</v>
      </c>
      <c r="C2575" s="3" t="s">
        <v>9774</v>
      </c>
      <c r="D2575" s="3" t="s">
        <v>4405</v>
      </c>
      <c r="E2575" s="3" t="b">
        <v>1</v>
      </c>
      <c r="F2575" s="3" t="b">
        <v>0</v>
      </c>
      <c r="G2575" s="3" t="s">
        <v>10003</v>
      </c>
      <c r="H2575" s="4" t="str">
        <f>_xlfn.IFNA(IF(((INDEX(RulebookFields!C2:C1898, MATCH(D2575,RulebookFields!A2:A1898, 0))="")=TRUE),  "",  INDEX(RulebookFields!C2:C1898, MATCH(D2575,RulebookFields!A2:A1898, 0))), "")</f>
        <v>ObservedTransitions</v>
      </c>
      <c r="I2575" s="4" t="str">
        <f>_xlfn.IFNA(IF(((INDEX(RulebookFields!D2:D1898, MATCH(D2575,RulebookFields!A2:A1898, 0))="")=TRUE),  "",  INDEX(RulebookFields!D2:D1898, MATCH(D2575,RulebookFields!A2:A1898, 0))), "")</f>
        <v>ArrivingStepExecution</v>
      </c>
      <c r="J2575" s="4" t="b">
        <f>_xlfn.IFNA(IF(((INDEX(RulebookFields!I2:I1898, MATCH(D2575,RulebookFields!A2:A1898, 0))="")=TRUE),  "",  INDEX(RulebookFields!I2:I1898, MATCH(D2575,RulebookFields!A2:A1898, 0))), "")</f>
        <v>0</v>
      </c>
      <c r="K2575" s="4" t="b">
        <f>AND(((F2575)=TRUE), ((J2575)=TRUE))</f>
        <v>0</v>
      </c>
      <c r="L2575" s="4" t="b">
        <f>AND(((G2575 &lt;&gt; "plain")=TRUE), ((G2575 &lt;&gt; "")=TRUE))</f>
        <v>0</v>
      </c>
      <c r="M2575" s="4" t="str">
        <f>IF(((E2575)=TRUE),  C2575 &amp; "|" &amp; H2575,  "")</f>
        <v>principal-knowledge-authority|ObservedTransitions</v>
      </c>
      <c r="N2575" s="3" t="s">
        <v>10004</v>
      </c>
    </row>
    <row r="2576">
      <c r="A2576" s="3" t="s">
        <v>12578</v>
      </c>
      <c r="B2576" s="4" t="str">
        <f>C2576 &amp; " -&gt; " &amp; D2576</f>
        <v>principal-knowledge-authority -&gt; ObservedTransitions.ObservedAt</v>
      </c>
      <c r="C2576" s="3" t="s">
        <v>9774</v>
      </c>
      <c r="D2576" s="3" t="s">
        <v>4407</v>
      </c>
      <c r="E2576" s="3" t="b">
        <v>1</v>
      </c>
      <c r="F2576" s="3" t="b">
        <v>0</v>
      </c>
      <c r="G2576" s="3" t="s">
        <v>10003</v>
      </c>
      <c r="H2576" s="4" t="str">
        <f>_xlfn.IFNA(IF(((INDEX(RulebookFields!C2:C1898, MATCH(D2576,RulebookFields!A2:A1898, 0))="")=TRUE),  "",  INDEX(RulebookFields!C2:C1898, MATCH(D2576,RulebookFields!A2:A1898, 0))), "")</f>
        <v>ObservedTransitions</v>
      </c>
      <c r="I2576" s="4" t="str">
        <f>_xlfn.IFNA(IF(((INDEX(RulebookFields!D2:D1898, MATCH(D2576,RulebookFields!A2:A1898, 0))="")=TRUE),  "",  INDEX(RulebookFields!D2:D1898, MATCH(D2576,RulebookFields!A2:A1898, 0))), "")</f>
        <v>ObservedAt</v>
      </c>
      <c r="J2576" s="4" t="b">
        <f>_xlfn.IFNA(IF(((INDEX(RulebookFields!I2:I1898, MATCH(D2576,RulebookFields!A2:A1898, 0))="")=TRUE),  "",  INDEX(RulebookFields!I2:I1898, MATCH(D2576,RulebookFields!A2:A1898, 0))), "")</f>
        <v>0</v>
      </c>
      <c r="K2576" s="4" t="b">
        <f>AND(((F2576)=TRUE), ((J2576)=TRUE))</f>
        <v>0</v>
      </c>
      <c r="L2576" s="4" t="b">
        <f>AND(((G2576 &lt;&gt; "plain")=TRUE), ((G2576 &lt;&gt; "")=TRUE))</f>
        <v>0</v>
      </c>
      <c r="M2576" s="4" t="str">
        <f>IF(((E2576)=TRUE),  C2576 &amp; "|" &amp; H2576,  "")</f>
        <v>principal-knowledge-authority|ObservedTransitions</v>
      </c>
      <c r="N2576" s="3" t="s">
        <v>10004</v>
      </c>
    </row>
    <row r="2577">
      <c r="A2577" s="3" t="s">
        <v>12579</v>
      </c>
      <c r="B2577" s="4" t="str">
        <f>C2577 &amp; " -&gt; " &amp; D2577</f>
        <v>principal-knowledge-authority -&gt; ObservedTransitions.TriggerReason</v>
      </c>
      <c r="C2577" s="3" t="s">
        <v>9774</v>
      </c>
      <c r="D2577" s="3" t="s">
        <v>4408</v>
      </c>
      <c r="E2577" s="3" t="b">
        <v>1</v>
      </c>
      <c r="F2577" s="3" t="b">
        <v>0</v>
      </c>
      <c r="G2577" s="3" t="s">
        <v>10003</v>
      </c>
      <c r="H2577" s="4" t="str">
        <f>_xlfn.IFNA(IF(((INDEX(RulebookFields!C2:C1898, MATCH(D2577,RulebookFields!A2:A1898, 0))="")=TRUE),  "",  INDEX(RulebookFields!C2:C1898, MATCH(D2577,RulebookFields!A2:A1898, 0))), "")</f>
        <v>ObservedTransitions</v>
      </c>
      <c r="I2577" s="4" t="str">
        <f>_xlfn.IFNA(IF(((INDEX(RulebookFields!D2:D1898, MATCH(D2577,RulebookFields!A2:A1898, 0))="")=TRUE),  "",  INDEX(RulebookFields!D2:D1898, MATCH(D2577,RulebookFields!A2:A1898, 0))), "")</f>
        <v>TriggerReason</v>
      </c>
      <c r="J2577" s="4" t="b">
        <f>_xlfn.IFNA(IF(((INDEX(RulebookFields!I2:I1898, MATCH(D2577,RulebookFields!A2:A1898, 0))="")=TRUE),  "",  INDEX(RulebookFields!I2:I1898, MATCH(D2577,RulebookFields!A2:A1898, 0))), "")</f>
        <v>0</v>
      </c>
      <c r="K2577" s="4" t="b">
        <f>AND(((F2577)=TRUE), ((J2577)=TRUE))</f>
        <v>0</v>
      </c>
      <c r="L2577" s="4" t="b">
        <f>AND(((G2577 &lt;&gt; "plain")=TRUE), ((G2577 &lt;&gt; "")=TRUE))</f>
        <v>0</v>
      </c>
      <c r="M2577" s="4" t="str">
        <f>IF(((E2577)=TRUE),  C2577 &amp; "|" &amp; H2577,  "")</f>
        <v>principal-knowledge-authority|ObservedTransitions</v>
      </c>
      <c r="N2577" s="3" t="s">
        <v>10004</v>
      </c>
    </row>
    <row r="2578">
      <c r="A2578" s="3" t="s">
        <v>12580</v>
      </c>
      <c r="B2578" s="4" t="str">
        <f>C2578 &amp; " -&gt; " &amp; D2578</f>
        <v>principal-knowledge-authority -&gt; ObservedTransitions.SemanticTypeIri</v>
      </c>
      <c r="C2578" s="3" t="s">
        <v>9774</v>
      </c>
      <c r="D2578" s="3" t="s">
        <v>4410</v>
      </c>
      <c r="E2578" s="3" t="b">
        <v>1</v>
      </c>
      <c r="F2578" s="3" t="b">
        <v>0</v>
      </c>
      <c r="G2578" s="3" t="s">
        <v>10003</v>
      </c>
      <c r="H2578" s="4" t="str">
        <f>_xlfn.IFNA(IF(((INDEX(RulebookFields!C2:C1898, MATCH(D2578,RulebookFields!A2:A1898, 0))="")=TRUE),  "",  INDEX(RulebookFields!C2:C1898, MATCH(D2578,RulebookFields!A2:A1898, 0))), "")</f>
        <v>ObservedTransitions</v>
      </c>
      <c r="I2578" s="4" t="str">
        <f>_xlfn.IFNA(IF(((INDEX(RulebookFields!D2:D1898, MATCH(D2578,RulebookFields!A2:A1898, 0))="")=TRUE),  "",  INDEX(RulebookFields!D2:D1898, MATCH(D2578,RulebookFields!A2:A1898, 0))), "")</f>
        <v>SemanticTypeIri</v>
      </c>
      <c r="J2578" s="4" t="b">
        <f>_xlfn.IFNA(IF(((INDEX(RulebookFields!I2:I1898, MATCH(D2578,RulebookFields!A2:A1898, 0))="")=TRUE),  "",  INDEX(RulebookFields!I2:I1898, MATCH(D2578,RulebookFields!A2:A1898, 0))), "")</f>
        <v>0</v>
      </c>
      <c r="K2578" s="4" t="b">
        <f>AND(((F2578)=TRUE), ((J2578)=TRUE))</f>
        <v>0</v>
      </c>
      <c r="L2578" s="4" t="b">
        <f>AND(((G2578 &lt;&gt; "plain")=TRUE), ((G2578 &lt;&gt; "")=TRUE))</f>
        <v>0</v>
      </c>
      <c r="M2578" s="4" t="str">
        <f>IF(((E2578)=TRUE),  C2578 &amp; "|" &amp; H2578,  "")</f>
        <v>principal-knowledge-authority|ObservedTransitions</v>
      </c>
      <c r="N2578" s="3" t="s">
        <v>10004</v>
      </c>
    </row>
    <row r="2579">
      <c r="A2579" s="3" t="s">
        <v>12581</v>
      </c>
      <c r="B2579" s="4" t="str">
        <f>C2579 &amp; " -&gt; " &amp; D2579</f>
        <v>principal-knowledge-authority -&gt; OntologyProfiles.OntologyProfileId</v>
      </c>
      <c r="C2579" s="3" t="s">
        <v>9774</v>
      </c>
      <c r="D2579" s="3" t="s">
        <v>2433</v>
      </c>
      <c r="E2579" s="3" t="b">
        <v>1</v>
      </c>
      <c r="F2579" s="3" t="b">
        <v>0</v>
      </c>
      <c r="G2579" s="3" t="s">
        <v>10003</v>
      </c>
      <c r="H2579" s="4" t="str">
        <f>_xlfn.IFNA(IF(((INDEX(RulebookFields!C2:C1898, MATCH(D2579,RulebookFields!A2:A1898, 0))="")=TRUE),  "",  INDEX(RulebookFields!C2:C1898, MATCH(D2579,RulebookFields!A2:A1898, 0))), "")</f>
        <v>OntologyProfiles</v>
      </c>
      <c r="I2579" s="4" t="str">
        <f>_xlfn.IFNA(IF(((INDEX(RulebookFields!D2:D1898, MATCH(D2579,RulebookFields!A2:A1898, 0))="")=TRUE),  "",  INDEX(RulebookFields!D2:D1898, MATCH(D2579,RulebookFields!A2:A1898, 0))), "")</f>
        <v>OntologyProfileId</v>
      </c>
      <c r="J2579" s="4" t="b">
        <f>_xlfn.IFNA(IF(((INDEX(RulebookFields!I2:I1898, MATCH(D2579,RulebookFields!A2:A1898, 0))="")=TRUE),  "",  INDEX(RulebookFields!I2:I1898, MATCH(D2579,RulebookFields!A2:A1898, 0))), "")</f>
        <v>0</v>
      </c>
      <c r="K2579" s="4" t="b">
        <f>AND(((F2579)=TRUE), ((J2579)=TRUE))</f>
        <v>0</v>
      </c>
      <c r="L2579" s="4" t="b">
        <f>AND(((G2579 &lt;&gt; "plain")=TRUE), ((G2579 &lt;&gt; "")=TRUE))</f>
        <v>0</v>
      </c>
      <c r="M2579" s="4" t="str">
        <f>IF(((E2579)=TRUE),  C2579 &amp; "|" &amp; H2579,  "")</f>
        <v>principal-knowledge-authority|OntologyProfiles</v>
      </c>
      <c r="N2579" s="3" t="s">
        <v>10004</v>
      </c>
    </row>
    <row r="2580">
      <c r="A2580" s="3" t="s">
        <v>12582</v>
      </c>
      <c r="B2580" s="4" t="str">
        <f>C2580 &amp; " -&gt; " &amp; D2580</f>
        <v>principal-knowledge-authority -&gt; OntologyProfiles.Name</v>
      </c>
      <c r="C2580" s="3" t="s">
        <v>9774</v>
      </c>
      <c r="D2580" s="3" t="s">
        <v>2435</v>
      </c>
      <c r="E2580" s="3" t="b">
        <v>1</v>
      </c>
      <c r="F2580" s="3" t="b">
        <v>0</v>
      </c>
      <c r="G2580" s="3" t="s">
        <v>10003</v>
      </c>
      <c r="H2580" s="4" t="str">
        <f>_xlfn.IFNA(IF(((INDEX(RulebookFields!C2:C1898, MATCH(D2580,RulebookFields!A2:A1898, 0))="")=TRUE),  "",  INDEX(RulebookFields!C2:C1898, MATCH(D2580,RulebookFields!A2:A1898, 0))), "")</f>
        <v>OntologyProfiles</v>
      </c>
      <c r="I2580" s="4" t="str">
        <f>_xlfn.IFNA(IF(((INDEX(RulebookFields!D2:D1898, MATCH(D2580,RulebookFields!A2:A1898, 0))="")=TRUE),  "",  INDEX(RulebookFields!D2:D1898, MATCH(D2580,RulebookFields!A2:A1898, 0))), "")</f>
        <v>Name</v>
      </c>
      <c r="J2580" s="4" t="b">
        <f>_xlfn.IFNA(IF(((INDEX(RulebookFields!I2:I1898, MATCH(D2580,RulebookFields!A2:A1898, 0))="")=TRUE),  "",  INDEX(RulebookFields!I2:I1898, MATCH(D2580,RulebookFields!A2:A1898, 0))), "")</f>
        <v>1</v>
      </c>
      <c r="K2580" s="4" t="b">
        <f>AND(((F2580)=TRUE), ((J2580)=TRUE))</f>
        <v>0</v>
      </c>
      <c r="L2580" s="4" t="b">
        <f>AND(((G2580 &lt;&gt; "plain")=TRUE), ((G2580 &lt;&gt; "")=TRUE))</f>
        <v>0</v>
      </c>
      <c r="M2580" s="4" t="str">
        <f>IF(((E2580)=TRUE),  C2580 &amp; "|" &amp; H2580,  "")</f>
        <v>principal-knowledge-authority|OntologyProfiles</v>
      </c>
      <c r="N2580" s="3" t="s">
        <v>10004</v>
      </c>
    </row>
    <row r="2581">
      <c r="A2581" s="3" t="s">
        <v>12583</v>
      </c>
      <c r="B2581" s="4" t="str">
        <f>C2581 &amp; " -&gt; " &amp; D2581</f>
        <v>principal-knowledge-authority -&gt; OntologyProfiles.Label</v>
      </c>
      <c r="C2581" s="3" t="s">
        <v>9774</v>
      </c>
      <c r="D2581" s="3" t="s">
        <v>2437</v>
      </c>
      <c r="E2581" s="3" t="b">
        <v>1</v>
      </c>
      <c r="F2581" s="3" t="b">
        <v>0</v>
      </c>
      <c r="G2581" s="3" t="s">
        <v>10003</v>
      </c>
      <c r="H2581" s="4" t="str">
        <f>_xlfn.IFNA(IF(((INDEX(RulebookFields!C2:C1898, MATCH(D2581,RulebookFields!A2:A1898, 0))="")=TRUE),  "",  INDEX(RulebookFields!C2:C1898, MATCH(D2581,RulebookFields!A2:A1898, 0))), "")</f>
        <v>OntologyProfiles</v>
      </c>
      <c r="I2581" s="4" t="str">
        <f>_xlfn.IFNA(IF(((INDEX(RulebookFields!D2:D1898, MATCH(D2581,RulebookFields!A2:A1898, 0))="")=TRUE),  "",  INDEX(RulebookFields!D2:D1898, MATCH(D2581,RulebookFields!A2:A1898, 0))), "")</f>
        <v>Label</v>
      </c>
      <c r="J2581" s="4" t="b">
        <f>_xlfn.IFNA(IF(((INDEX(RulebookFields!I2:I1898, MATCH(D2581,RulebookFields!A2:A1898, 0))="")=TRUE),  "",  INDEX(RulebookFields!I2:I1898, MATCH(D2581,RulebookFields!A2:A1898, 0))), "")</f>
        <v>0</v>
      </c>
      <c r="K2581" s="4" t="b">
        <f>AND(((F2581)=TRUE), ((J2581)=TRUE))</f>
        <v>0</v>
      </c>
      <c r="L2581" s="4" t="b">
        <f>AND(((G2581 &lt;&gt; "plain")=TRUE), ((G2581 &lt;&gt; "")=TRUE))</f>
        <v>0</v>
      </c>
      <c r="M2581" s="4" t="str">
        <f>IF(((E2581)=TRUE),  C2581 &amp; "|" &amp; H2581,  "")</f>
        <v>principal-knowledge-authority|OntologyProfiles</v>
      </c>
      <c r="N2581" s="3" t="s">
        <v>10004</v>
      </c>
    </row>
    <row r="2582">
      <c r="A2582" s="3" t="s">
        <v>12584</v>
      </c>
      <c r="B2582" s="4" t="str">
        <f>C2582 &amp; " -&gt; " &amp; D2582</f>
        <v>principal-knowledge-authority -&gt; OntologyProfiles.Version</v>
      </c>
      <c r="C2582" s="3" t="s">
        <v>9774</v>
      </c>
      <c r="D2582" s="3" t="s">
        <v>2438</v>
      </c>
      <c r="E2582" s="3" t="b">
        <v>1</v>
      </c>
      <c r="F2582" s="3" t="b">
        <v>0</v>
      </c>
      <c r="G2582" s="3" t="s">
        <v>10003</v>
      </c>
      <c r="H2582" s="4" t="str">
        <f>_xlfn.IFNA(IF(((INDEX(RulebookFields!C2:C1898, MATCH(D2582,RulebookFields!A2:A1898, 0))="")=TRUE),  "",  INDEX(RulebookFields!C2:C1898, MATCH(D2582,RulebookFields!A2:A1898, 0))), "")</f>
        <v>OntologyProfiles</v>
      </c>
      <c r="I2582" s="4" t="str">
        <f>_xlfn.IFNA(IF(((INDEX(RulebookFields!D2:D1898, MATCH(D2582,RulebookFields!A2:A1898, 0))="")=TRUE),  "",  INDEX(RulebookFields!D2:D1898, MATCH(D2582,RulebookFields!A2:A1898, 0))), "")</f>
        <v>Version</v>
      </c>
      <c r="J2582" s="4" t="b">
        <f>_xlfn.IFNA(IF(((INDEX(RulebookFields!I2:I1898, MATCH(D2582,RulebookFields!A2:A1898, 0))="")=TRUE),  "",  INDEX(RulebookFields!I2:I1898, MATCH(D2582,RulebookFields!A2:A1898, 0))), "")</f>
        <v>0</v>
      </c>
      <c r="K2582" s="4" t="b">
        <f>AND(((F2582)=TRUE), ((J2582)=TRUE))</f>
        <v>0</v>
      </c>
      <c r="L2582" s="4" t="b">
        <f>AND(((G2582 &lt;&gt; "plain")=TRUE), ((G2582 &lt;&gt; "")=TRUE))</f>
        <v>0</v>
      </c>
      <c r="M2582" s="4" t="str">
        <f>IF(((E2582)=TRUE),  C2582 &amp; "|" &amp; H2582,  "")</f>
        <v>principal-knowledge-authority|OntologyProfiles</v>
      </c>
      <c r="N2582" s="3" t="s">
        <v>10004</v>
      </c>
    </row>
    <row r="2583">
      <c r="A2583" s="3" t="s">
        <v>12585</v>
      </c>
      <c r="B2583" s="4" t="str">
        <f>C2583 &amp; " -&gt; " &amp; D2583</f>
        <v>principal-knowledge-authority -&gt; OntologyProfiles.VersionIri</v>
      </c>
      <c r="C2583" s="3" t="s">
        <v>9774</v>
      </c>
      <c r="D2583" s="3" t="s">
        <v>2439</v>
      </c>
      <c r="E2583" s="3" t="b">
        <v>1</v>
      </c>
      <c r="F2583" s="3" t="b">
        <v>0</v>
      </c>
      <c r="G2583" s="3" t="s">
        <v>10003</v>
      </c>
      <c r="H2583" s="4" t="str">
        <f>_xlfn.IFNA(IF(((INDEX(RulebookFields!C2:C1898, MATCH(D2583,RulebookFields!A2:A1898, 0))="")=TRUE),  "",  INDEX(RulebookFields!C2:C1898, MATCH(D2583,RulebookFields!A2:A1898, 0))), "")</f>
        <v>OntologyProfiles</v>
      </c>
      <c r="I2583" s="4" t="str">
        <f>_xlfn.IFNA(IF(((INDEX(RulebookFields!D2:D1898, MATCH(D2583,RulebookFields!A2:A1898, 0))="")=TRUE),  "",  INDEX(RulebookFields!D2:D1898, MATCH(D2583,RulebookFields!A2:A1898, 0))), "")</f>
        <v>VersionIri</v>
      </c>
      <c r="J2583" s="4" t="b">
        <f>_xlfn.IFNA(IF(((INDEX(RulebookFields!I2:I1898, MATCH(D2583,RulebookFields!A2:A1898, 0))="")=TRUE),  "",  INDEX(RulebookFields!I2:I1898, MATCH(D2583,RulebookFields!A2:A1898, 0))), "")</f>
        <v>0</v>
      </c>
      <c r="K2583" s="4" t="b">
        <f>AND(((F2583)=TRUE), ((J2583)=TRUE))</f>
        <v>0</v>
      </c>
      <c r="L2583" s="4" t="b">
        <f>AND(((G2583 &lt;&gt; "plain")=TRUE), ((G2583 &lt;&gt; "")=TRUE))</f>
        <v>0</v>
      </c>
      <c r="M2583" s="4" t="str">
        <f>IF(((E2583)=TRUE),  C2583 &amp; "|" &amp; H2583,  "")</f>
        <v>principal-knowledge-authority|OntologyProfiles</v>
      </c>
      <c r="N2583" s="3" t="s">
        <v>10004</v>
      </c>
    </row>
    <row r="2584">
      <c r="A2584" s="3" t="s">
        <v>12586</v>
      </c>
      <c r="B2584" s="4" t="str">
        <f>C2584 &amp; " -&gt; " &amp; D2584</f>
        <v>principal-knowledge-authority -&gt; OntologyProfiles.NamespaceIri</v>
      </c>
      <c r="C2584" s="3" t="s">
        <v>9774</v>
      </c>
      <c r="D2584" s="3" t="s">
        <v>2440</v>
      </c>
      <c r="E2584" s="3" t="b">
        <v>1</v>
      </c>
      <c r="F2584" s="3" t="b">
        <v>0</v>
      </c>
      <c r="G2584" s="3" t="s">
        <v>10003</v>
      </c>
      <c r="H2584" s="4" t="str">
        <f>_xlfn.IFNA(IF(((INDEX(RulebookFields!C2:C1898, MATCH(D2584,RulebookFields!A2:A1898, 0))="")=TRUE),  "",  INDEX(RulebookFields!C2:C1898, MATCH(D2584,RulebookFields!A2:A1898, 0))), "")</f>
        <v>OntologyProfiles</v>
      </c>
      <c r="I2584" s="4" t="str">
        <f>_xlfn.IFNA(IF(((INDEX(RulebookFields!D2:D1898, MATCH(D2584,RulebookFields!A2:A1898, 0))="")=TRUE),  "",  INDEX(RulebookFields!D2:D1898, MATCH(D2584,RulebookFields!A2:A1898, 0))), "")</f>
        <v>NamespaceIri</v>
      </c>
      <c r="J2584" s="4" t="b">
        <f>_xlfn.IFNA(IF(((INDEX(RulebookFields!I2:I1898, MATCH(D2584,RulebookFields!A2:A1898, 0))="")=TRUE),  "",  INDEX(RulebookFields!I2:I1898, MATCH(D2584,RulebookFields!A2:A1898, 0))), "")</f>
        <v>0</v>
      </c>
      <c r="K2584" s="4" t="b">
        <f>AND(((F2584)=TRUE), ((J2584)=TRUE))</f>
        <v>0</v>
      </c>
      <c r="L2584" s="4" t="b">
        <f>AND(((G2584 &lt;&gt; "plain")=TRUE), ((G2584 &lt;&gt; "")=TRUE))</f>
        <v>0</v>
      </c>
      <c r="M2584" s="4" t="str">
        <f>IF(((E2584)=TRUE),  C2584 &amp; "|" &amp; H2584,  "")</f>
        <v>principal-knowledge-authority|OntologyProfiles</v>
      </c>
      <c r="N2584" s="3" t="s">
        <v>10004</v>
      </c>
    </row>
    <row r="2585">
      <c r="A2585" s="3" t="s">
        <v>12587</v>
      </c>
      <c r="B2585" s="4" t="str">
        <f>C2585 &amp; " -&gt; " &amp; D2585</f>
        <v>principal-knowledge-authority -&gt; OntologyProfiles.License</v>
      </c>
      <c r="C2585" s="3" t="s">
        <v>9774</v>
      </c>
      <c r="D2585" s="3" t="s">
        <v>2441</v>
      </c>
      <c r="E2585" s="3" t="b">
        <v>1</v>
      </c>
      <c r="F2585" s="3" t="b">
        <v>0</v>
      </c>
      <c r="G2585" s="3" t="s">
        <v>10003</v>
      </c>
      <c r="H2585" s="4" t="str">
        <f>_xlfn.IFNA(IF(((INDEX(RulebookFields!C2:C1898, MATCH(D2585,RulebookFields!A2:A1898, 0))="")=TRUE),  "",  INDEX(RulebookFields!C2:C1898, MATCH(D2585,RulebookFields!A2:A1898, 0))), "")</f>
        <v>OntologyProfiles</v>
      </c>
      <c r="I2585" s="4" t="str">
        <f>_xlfn.IFNA(IF(((INDEX(RulebookFields!D2:D1898, MATCH(D2585,RulebookFields!A2:A1898, 0))="")=TRUE),  "",  INDEX(RulebookFields!D2:D1898, MATCH(D2585,RulebookFields!A2:A1898, 0))), "")</f>
        <v>License</v>
      </c>
      <c r="J2585" s="4" t="b">
        <f>_xlfn.IFNA(IF(((INDEX(RulebookFields!I2:I1898, MATCH(D2585,RulebookFields!A2:A1898, 0))="")=TRUE),  "",  INDEX(RulebookFields!I2:I1898, MATCH(D2585,RulebookFields!A2:A1898, 0))), "")</f>
        <v>0</v>
      </c>
      <c r="K2585" s="4" t="b">
        <f>AND(((F2585)=TRUE), ((J2585)=TRUE))</f>
        <v>0</v>
      </c>
      <c r="L2585" s="4" t="b">
        <f>AND(((G2585 &lt;&gt; "plain")=TRUE), ((G2585 &lt;&gt; "")=TRUE))</f>
        <v>0</v>
      </c>
      <c r="M2585" s="4" t="str">
        <f>IF(((E2585)=TRUE),  C2585 &amp; "|" &amp; H2585,  "")</f>
        <v>principal-knowledge-authority|OntologyProfiles</v>
      </c>
      <c r="N2585" s="3" t="s">
        <v>10004</v>
      </c>
    </row>
    <row r="2586">
      <c r="A2586" s="3" t="s">
        <v>12588</v>
      </c>
      <c r="B2586" s="4" t="str">
        <f>C2586 &amp; " -&gt; " &amp; D2586</f>
        <v>principal-knowledge-authority -&gt; OntologyProfiles.Scope</v>
      </c>
      <c r="C2586" s="3" t="s">
        <v>9774</v>
      </c>
      <c r="D2586" s="3" t="s">
        <v>2442</v>
      </c>
      <c r="E2586" s="3" t="b">
        <v>1</v>
      </c>
      <c r="F2586" s="3" t="b">
        <v>0</v>
      </c>
      <c r="G2586" s="3" t="s">
        <v>10003</v>
      </c>
      <c r="H2586" s="4" t="str">
        <f>_xlfn.IFNA(IF(((INDEX(RulebookFields!C2:C1898, MATCH(D2586,RulebookFields!A2:A1898, 0))="")=TRUE),  "",  INDEX(RulebookFields!C2:C1898, MATCH(D2586,RulebookFields!A2:A1898, 0))), "")</f>
        <v>OntologyProfiles</v>
      </c>
      <c r="I2586" s="4" t="str">
        <f>_xlfn.IFNA(IF(((INDEX(RulebookFields!D2:D1898, MATCH(D2586,RulebookFields!A2:A1898, 0))="")=TRUE),  "",  INDEX(RulebookFields!D2:D1898, MATCH(D2586,RulebookFields!A2:A1898, 0))), "")</f>
        <v>Scope</v>
      </c>
      <c r="J2586" s="4" t="b">
        <f>_xlfn.IFNA(IF(((INDEX(RulebookFields!I2:I1898, MATCH(D2586,RulebookFields!A2:A1898, 0))="")=TRUE),  "",  INDEX(RulebookFields!I2:I1898, MATCH(D2586,RulebookFields!A2:A1898, 0))), "")</f>
        <v>0</v>
      </c>
      <c r="K2586" s="4" t="b">
        <f>AND(((F2586)=TRUE), ((J2586)=TRUE))</f>
        <v>0</v>
      </c>
      <c r="L2586" s="4" t="b">
        <f>AND(((G2586 &lt;&gt; "plain")=TRUE), ((G2586 &lt;&gt; "")=TRUE))</f>
        <v>0</v>
      </c>
      <c r="M2586" s="4" t="str">
        <f>IF(((E2586)=TRUE),  C2586 &amp; "|" &amp; H2586,  "")</f>
        <v>principal-knowledge-authority|OntologyProfiles</v>
      </c>
      <c r="N2586" s="3" t="s">
        <v>10004</v>
      </c>
    </row>
    <row r="2587">
      <c r="A2587" s="3" t="s">
        <v>12589</v>
      </c>
      <c r="B2587" s="4" t="str">
        <f>C2587 &amp; " -&gt; " &amp; D2587</f>
        <v>principal-knowledge-authority -&gt; OperationalBindings.OperationalBindingId</v>
      </c>
      <c r="C2587" s="3" t="s">
        <v>9774</v>
      </c>
      <c r="D2587" s="3" t="s">
        <v>4028</v>
      </c>
      <c r="E2587" s="3" t="b">
        <v>1</v>
      </c>
      <c r="F2587" s="3" t="b">
        <v>0</v>
      </c>
      <c r="G2587" s="3" t="s">
        <v>10003</v>
      </c>
      <c r="H2587" s="4" t="str">
        <f>_xlfn.IFNA(IF(((INDEX(RulebookFields!C2:C1898, MATCH(D2587,RulebookFields!A2:A1898, 0))="")=TRUE),  "",  INDEX(RulebookFields!C2:C1898, MATCH(D2587,RulebookFields!A2:A1898, 0))), "")</f>
        <v>OperationalBindings</v>
      </c>
      <c r="I2587" s="4" t="str">
        <f>_xlfn.IFNA(IF(((INDEX(RulebookFields!D2:D1898, MATCH(D2587,RulebookFields!A2:A1898, 0))="")=TRUE),  "",  INDEX(RulebookFields!D2:D1898, MATCH(D2587,RulebookFields!A2:A1898, 0))), "")</f>
        <v>OperationalBindingId</v>
      </c>
      <c r="J2587" s="4" t="b">
        <f>_xlfn.IFNA(IF(((INDEX(RulebookFields!I2:I1898, MATCH(D2587,RulebookFields!A2:A1898, 0))="")=TRUE),  "",  INDEX(RulebookFields!I2:I1898, MATCH(D2587,RulebookFields!A2:A1898, 0))), "")</f>
        <v>0</v>
      </c>
      <c r="K2587" s="4" t="b">
        <f>AND(((F2587)=TRUE), ((J2587)=TRUE))</f>
        <v>0</v>
      </c>
      <c r="L2587" s="4" t="b">
        <f>AND(((G2587 &lt;&gt; "plain")=TRUE), ((G2587 &lt;&gt; "")=TRUE))</f>
        <v>0</v>
      </c>
      <c r="M2587" s="4" t="str">
        <f>IF(((E2587)=TRUE),  C2587 &amp; "|" &amp; H2587,  "")</f>
        <v>principal-knowledge-authority|OperationalBindings</v>
      </c>
      <c r="N2587" s="3" t="s">
        <v>10004</v>
      </c>
    </row>
    <row r="2588">
      <c r="A2588" s="3" t="s">
        <v>12590</v>
      </c>
      <c r="B2588" s="4" t="str">
        <f>C2588 &amp; " -&gt; " &amp; D2588</f>
        <v>principal-knowledge-authority -&gt; OperationalBindings.Name</v>
      </c>
      <c r="C2588" s="3" t="s">
        <v>9774</v>
      </c>
      <c r="D2588" s="3" t="s">
        <v>4029</v>
      </c>
      <c r="E2588" s="3" t="b">
        <v>1</v>
      </c>
      <c r="F2588" s="3" t="b">
        <v>0</v>
      </c>
      <c r="G2588" s="3" t="s">
        <v>10003</v>
      </c>
      <c r="H2588" s="4" t="str">
        <f>_xlfn.IFNA(IF(((INDEX(RulebookFields!C2:C1898, MATCH(D2588,RulebookFields!A2:A1898, 0))="")=TRUE),  "",  INDEX(RulebookFields!C2:C1898, MATCH(D2588,RulebookFields!A2:A1898, 0))), "")</f>
        <v>OperationalBindings</v>
      </c>
      <c r="I2588" s="4" t="str">
        <f>_xlfn.IFNA(IF(((INDEX(RulebookFields!D2:D1898, MATCH(D2588,RulebookFields!A2:A1898, 0))="")=TRUE),  "",  INDEX(RulebookFields!D2:D1898, MATCH(D2588,RulebookFields!A2:A1898, 0))), "")</f>
        <v>Name</v>
      </c>
      <c r="J2588" s="4" t="b">
        <f>_xlfn.IFNA(IF(((INDEX(RulebookFields!I2:I1898, MATCH(D2588,RulebookFields!A2:A1898, 0))="")=TRUE),  "",  INDEX(RulebookFields!I2:I1898, MATCH(D2588,RulebookFields!A2:A1898, 0))), "")</f>
        <v>1</v>
      </c>
      <c r="K2588" s="4" t="b">
        <f>AND(((F2588)=TRUE), ((J2588)=TRUE))</f>
        <v>0</v>
      </c>
      <c r="L2588" s="4" t="b">
        <f>AND(((G2588 &lt;&gt; "plain")=TRUE), ((G2588 &lt;&gt; "")=TRUE))</f>
        <v>0</v>
      </c>
      <c r="M2588" s="4" t="str">
        <f>IF(((E2588)=TRUE),  C2588 &amp; "|" &amp; H2588,  "")</f>
        <v>principal-knowledge-authority|OperationalBindings</v>
      </c>
      <c r="N2588" s="3" t="s">
        <v>10004</v>
      </c>
    </row>
    <row r="2589">
      <c r="A2589" s="3" t="s">
        <v>12591</v>
      </c>
      <c r="B2589" s="4" t="str">
        <f>C2589 &amp; " -&gt; " &amp; D2589</f>
        <v>principal-knowledge-authority -&gt; OperationalBindings.ProcedureVersion</v>
      </c>
      <c r="C2589" s="3" t="s">
        <v>9774</v>
      </c>
      <c r="D2589" s="3" t="s">
        <v>4031</v>
      </c>
      <c r="E2589" s="3" t="b">
        <v>1</v>
      </c>
      <c r="F2589" s="3" t="b">
        <v>0</v>
      </c>
      <c r="G2589" s="3" t="s">
        <v>10003</v>
      </c>
      <c r="H2589" s="4" t="str">
        <f>_xlfn.IFNA(IF(((INDEX(RulebookFields!C2:C1898, MATCH(D2589,RulebookFields!A2:A1898, 0))="")=TRUE),  "",  INDEX(RulebookFields!C2:C1898, MATCH(D2589,RulebookFields!A2:A1898, 0))), "")</f>
        <v>OperationalBindings</v>
      </c>
      <c r="I2589" s="4" t="str">
        <f>_xlfn.IFNA(IF(((INDEX(RulebookFields!D2:D1898, MATCH(D2589,RulebookFields!A2:A1898, 0))="")=TRUE),  "",  INDEX(RulebookFields!D2:D1898, MATCH(D2589,RulebookFields!A2:A1898, 0))), "")</f>
        <v>ProcedureVersion</v>
      </c>
      <c r="J2589" s="4" t="b">
        <f>_xlfn.IFNA(IF(((INDEX(RulebookFields!I2:I1898, MATCH(D2589,RulebookFields!A2:A1898, 0))="")=TRUE),  "",  INDEX(RulebookFields!I2:I1898, MATCH(D2589,RulebookFields!A2:A1898, 0))), "")</f>
        <v>0</v>
      </c>
      <c r="K2589" s="4" t="b">
        <f>AND(((F2589)=TRUE), ((J2589)=TRUE))</f>
        <v>0</v>
      </c>
      <c r="L2589" s="4" t="b">
        <f>AND(((G2589 &lt;&gt; "plain")=TRUE), ((G2589 &lt;&gt; "")=TRUE))</f>
        <v>0</v>
      </c>
      <c r="M2589" s="4" t="str">
        <f>IF(((E2589)=TRUE),  C2589 &amp; "|" &amp; H2589,  "")</f>
        <v>principal-knowledge-authority|OperationalBindings</v>
      </c>
      <c r="N2589" s="3" t="s">
        <v>10004</v>
      </c>
    </row>
    <row r="2590">
      <c r="A2590" s="3" t="s">
        <v>12592</v>
      </c>
      <c r="B2590" s="4" t="str">
        <f>C2590 &amp; " -&gt; " &amp; D2590</f>
        <v>principal-knowledge-authority -&gt; OperationalBindings.Step</v>
      </c>
      <c r="C2590" s="3" t="s">
        <v>9774</v>
      </c>
      <c r="D2590" s="3" t="s">
        <v>4032</v>
      </c>
      <c r="E2590" s="3" t="b">
        <v>1</v>
      </c>
      <c r="F2590" s="3" t="b">
        <v>0</v>
      </c>
      <c r="G2590" s="3" t="s">
        <v>10003</v>
      </c>
      <c r="H2590" s="4" t="str">
        <f>_xlfn.IFNA(IF(((INDEX(RulebookFields!C2:C1898, MATCH(D2590,RulebookFields!A2:A1898, 0))="")=TRUE),  "",  INDEX(RulebookFields!C2:C1898, MATCH(D2590,RulebookFields!A2:A1898, 0))), "")</f>
        <v>OperationalBindings</v>
      </c>
      <c r="I2590" s="4" t="str">
        <f>_xlfn.IFNA(IF(((INDEX(RulebookFields!D2:D1898, MATCH(D2590,RulebookFields!A2:A1898, 0))="")=TRUE),  "",  INDEX(RulebookFields!D2:D1898, MATCH(D2590,RulebookFields!A2:A1898, 0))), "")</f>
        <v>Step</v>
      </c>
      <c r="J2590" s="4" t="b">
        <f>_xlfn.IFNA(IF(((INDEX(RulebookFields!I2:I1898, MATCH(D2590,RulebookFields!A2:A1898, 0))="")=TRUE),  "",  INDEX(RulebookFields!I2:I1898, MATCH(D2590,RulebookFields!A2:A1898, 0))), "")</f>
        <v>0</v>
      </c>
      <c r="K2590" s="4" t="b">
        <f>AND(((F2590)=TRUE), ((J2590)=TRUE))</f>
        <v>0</v>
      </c>
      <c r="L2590" s="4" t="b">
        <f>AND(((G2590 &lt;&gt; "plain")=TRUE), ((G2590 &lt;&gt; "")=TRUE))</f>
        <v>0</v>
      </c>
      <c r="M2590" s="4" t="str">
        <f>IF(((E2590)=TRUE),  C2590 &amp; "|" &amp; H2590,  "")</f>
        <v>principal-knowledge-authority|OperationalBindings</v>
      </c>
      <c r="N2590" s="3" t="s">
        <v>10004</v>
      </c>
    </row>
    <row r="2591">
      <c r="A2591" s="3" t="s">
        <v>12593</v>
      </c>
      <c r="B2591" s="4" t="str">
        <f>C2591 &amp; " -&gt; " &amp; D2591</f>
        <v>principal-knowledge-authority -&gt; OperationalBindings.Resource</v>
      </c>
      <c r="C2591" s="3" t="s">
        <v>9774</v>
      </c>
      <c r="D2591" s="3" t="s">
        <v>4033</v>
      </c>
      <c r="E2591" s="3" t="b">
        <v>1</v>
      </c>
      <c r="F2591" s="3" t="b">
        <v>0</v>
      </c>
      <c r="G2591" s="3" t="s">
        <v>10003</v>
      </c>
      <c r="H2591" s="4" t="str">
        <f>_xlfn.IFNA(IF(((INDEX(RulebookFields!C2:C1898, MATCH(D2591,RulebookFields!A2:A1898, 0))="")=TRUE),  "",  INDEX(RulebookFields!C2:C1898, MATCH(D2591,RulebookFields!A2:A1898, 0))), "")</f>
        <v>OperationalBindings</v>
      </c>
      <c r="I2591" s="4" t="str">
        <f>_xlfn.IFNA(IF(((INDEX(RulebookFields!D2:D1898, MATCH(D2591,RulebookFields!A2:A1898, 0))="")=TRUE),  "",  INDEX(RulebookFields!D2:D1898, MATCH(D2591,RulebookFields!A2:A1898, 0))), "")</f>
        <v>Resource</v>
      </c>
      <c r="J2591" s="4" t="b">
        <f>_xlfn.IFNA(IF(((INDEX(RulebookFields!I2:I1898, MATCH(D2591,RulebookFields!A2:A1898, 0))="")=TRUE),  "",  INDEX(RulebookFields!I2:I1898, MATCH(D2591,RulebookFields!A2:A1898, 0))), "")</f>
        <v>0</v>
      </c>
      <c r="K2591" s="4" t="b">
        <f>AND(((F2591)=TRUE), ((J2591)=TRUE))</f>
        <v>0</v>
      </c>
      <c r="L2591" s="4" t="b">
        <f>AND(((G2591 &lt;&gt; "plain")=TRUE), ((G2591 &lt;&gt; "")=TRUE))</f>
        <v>0</v>
      </c>
      <c r="M2591" s="4" t="str">
        <f>IF(((E2591)=TRUE),  C2591 &amp; "|" &amp; H2591,  "")</f>
        <v>principal-knowledge-authority|OperationalBindings</v>
      </c>
      <c r="N2591" s="3" t="s">
        <v>10004</v>
      </c>
    </row>
    <row r="2592">
      <c r="A2592" s="3" t="s">
        <v>12594</v>
      </c>
      <c r="B2592" s="4" t="str">
        <f>C2592 &amp; " -&gt; " &amp; D2592</f>
        <v>principal-knowledge-authority -&gt; OperationalBindings.AccessMode</v>
      </c>
      <c r="C2592" s="3" t="s">
        <v>9774</v>
      </c>
      <c r="D2592" s="3" t="s">
        <v>4034</v>
      </c>
      <c r="E2592" s="3" t="b">
        <v>1</v>
      </c>
      <c r="F2592" s="3" t="b">
        <v>0</v>
      </c>
      <c r="G2592" s="3" t="s">
        <v>10003</v>
      </c>
      <c r="H2592" s="4" t="str">
        <f>_xlfn.IFNA(IF(((INDEX(RulebookFields!C2:C1898, MATCH(D2592,RulebookFields!A2:A1898, 0))="")=TRUE),  "",  INDEX(RulebookFields!C2:C1898, MATCH(D2592,RulebookFields!A2:A1898, 0))), "")</f>
        <v>OperationalBindings</v>
      </c>
      <c r="I2592" s="4" t="str">
        <f>_xlfn.IFNA(IF(((INDEX(RulebookFields!D2:D1898, MATCH(D2592,RulebookFields!A2:A1898, 0))="")=TRUE),  "",  INDEX(RulebookFields!D2:D1898, MATCH(D2592,RulebookFields!A2:A1898, 0))), "")</f>
        <v>AccessMode</v>
      </c>
      <c r="J2592" s="4" t="b">
        <f>_xlfn.IFNA(IF(((INDEX(RulebookFields!I2:I1898, MATCH(D2592,RulebookFields!A2:A1898, 0))="")=TRUE),  "",  INDEX(RulebookFields!I2:I1898, MATCH(D2592,RulebookFields!A2:A1898, 0))), "")</f>
        <v>0</v>
      </c>
      <c r="K2592" s="4" t="b">
        <f>AND(((F2592)=TRUE), ((J2592)=TRUE))</f>
        <v>0</v>
      </c>
      <c r="L2592" s="4" t="b">
        <f>AND(((G2592 &lt;&gt; "plain")=TRUE), ((G2592 &lt;&gt; "")=TRUE))</f>
        <v>0</v>
      </c>
      <c r="M2592" s="4" t="str">
        <f>IF(((E2592)=TRUE),  C2592 &amp; "|" &amp; H2592,  "")</f>
        <v>principal-knowledge-authority|OperationalBindings</v>
      </c>
      <c r="N2592" s="3" t="s">
        <v>10004</v>
      </c>
    </row>
    <row r="2593">
      <c r="A2593" s="3" t="s">
        <v>12595</v>
      </c>
      <c r="B2593" s="4" t="str">
        <f>C2593 &amp; " -&gt; " &amp; D2593</f>
        <v>principal-knowledge-authority -&gt; OperationalBindings.RecordOrSchemaKey</v>
      </c>
      <c r="C2593" s="3" t="s">
        <v>9774</v>
      </c>
      <c r="D2593" s="3" t="s">
        <v>4035</v>
      </c>
      <c r="E2593" s="3" t="b">
        <v>1</v>
      </c>
      <c r="F2593" s="3" t="b">
        <v>0</v>
      </c>
      <c r="G2593" s="3" t="s">
        <v>10003</v>
      </c>
      <c r="H2593" s="4" t="str">
        <f>_xlfn.IFNA(IF(((INDEX(RulebookFields!C2:C1898, MATCH(D2593,RulebookFields!A2:A1898, 0))="")=TRUE),  "",  INDEX(RulebookFields!C2:C1898, MATCH(D2593,RulebookFields!A2:A1898, 0))), "")</f>
        <v>OperationalBindings</v>
      </c>
      <c r="I2593" s="4" t="str">
        <f>_xlfn.IFNA(IF(((INDEX(RulebookFields!D2:D1898, MATCH(D2593,RulebookFields!A2:A1898, 0))="")=TRUE),  "",  INDEX(RulebookFields!D2:D1898, MATCH(D2593,RulebookFields!A2:A1898, 0))), "")</f>
        <v>RecordOrSchemaKey</v>
      </c>
      <c r="J2593" s="4" t="b">
        <f>_xlfn.IFNA(IF(((INDEX(RulebookFields!I2:I1898, MATCH(D2593,RulebookFields!A2:A1898, 0))="")=TRUE),  "",  INDEX(RulebookFields!I2:I1898, MATCH(D2593,RulebookFields!A2:A1898, 0))), "")</f>
        <v>0</v>
      </c>
      <c r="K2593" s="4" t="b">
        <f>AND(((F2593)=TRUE), ((J2593)=TRUE))</f>
        <v>0</v>
      </c>
      <c r="L2593" s="4" t="b">
        <f>AND(((G2593 &lt;&gt; "plain")=TRUE), ((G2593 &lt;&gt; "")=TRUE))</f>
        <v>0</v>
      </c>
      <c r="M2593" s="4" t="str">
        <f>IF(((E2593)=TRUE),  C2593 &amp; "|" &amp; H2593,  "")</f>
        <v>principal-knowledge-authority|OperationalBindings</v>
      </c>
      <c r="N2593" s="3" t="s">
        <v>10004</v>
      </c>
    </row>
    <row r="2594">
      <c r="A2594" s="3" t="s">
        <v>12596</v>
      </c>
      <c r="B2594" s="4" t="str">
        <f>C2594 &amp; " -&gt; " &amp; D2594</f>
        <v>principal-knowledge-authority -&gt; OperationalBindings.LastObservedAt</v>
      </c>
      <c r="C2594" s="3" t="s">
        <v>9774</v>
      </c>
      <c r="D2594" s="3" t="s">
        <v>4036</v>
      </c>
      <c r="E2594" s="3" t="b">
        <v>1</v>
      </c>
      <c r="F2594" s="3" t="b">
        <v>0</v>
      </c>
      <c r="G2594" s="3" t="s">
        <v>10003</v>
      </c>
      <c r="H2594" s="4" t="str">
        <f>_xlfn.IFNA(IF(((INDEX(RulebookFields!C2:C1898, MATCH(D2594,RulebookFields!A2:A1898, 0))="")=TRUE),  "",  INDEX(RulebookFields!C2:C1898, MATCH(D2594,RulebookFields!A2:A1898, 0))), "")</f>
        <v>OperationalBindings</v>
      </c>
      <c r="I2594" s="4" t="str">
        <f>_xlfn.IFNA(IF(((INDEX(RulebookFields!D2:D1898, MATCH(D2594,RulebookFields!A2:A1898, 0))="")=TRUE),  "",  INDEX(RulebookFields!D2:D1898, MATCH(D2594,RulebookFields!A2:A1898, 0))), "")</f>
        <v>LastObservedAt</v>
      </c>
      <c r="J2594" s="4" t="b">
        <f>_xlfn.IFNA(IF(((INDEX(RulebookFields!I2:I1898, MATCH(D2594,RulebookFields!A2:A1898, 0))="")=TRUE),  "",  INDEX(RulebookFields!I2:I1898, MATCH(D2594,RulebookFields!A2:A1898, 0))), "")</f>
        <v>0</v>
      </c>
      <c r="K2594" s="4" t="b">
        <f>AND(((F2594)=TRUE), ((J2594)=TRUE))</f>
        <v>0</v>
      </c>
      <c r="L2594" s="4" t="b">
        <f>AND(((G2594 &lt;&gt; "plain")=TRUE), ((G2594 &lt;&gt; "")=TRUE))</f>
        <v>0</v>
      </c>
      <c r="M2594" s="4" t="str">
        <f>IF(((E2594)=TRUE),  C2594 &amp; "|" &amp; H2594,  "")</f>
        <v>principal-knowledge-authority|OperationalBindings</v>
      </c>
      <c r="N2594" s="3" t="s">
        <v>10004</v>
      </c>
    </row>
    <row r="2595">
      <c r="A2595" s="3" t="s">
        <v>12597</v>
      </c>
      <c r="B2595" s="4" t="str">
        <f>C2595 &amp; " -&gt; " &amp; D2595</f>
        <v>principal-knowledge-authority -&gt; OperationalBindings.FreshnessSlaMinutes</v>
      </c>
      <c r="C2595" s="3" t="s">
        <v>9774</v>
      </c>
      <c r="D2595" s="3" t="s">
        <v>4037</v>
      </c>
      <c r="E2595" s="3" t="b">
        <v>1</v>
      </c>
      <c r="F2595" s="3" t="b">
        <v>0</v>
      </c>
      <c r="G2595" s="3" t="s">
        <v>10003</v>
      </c>
      <c r="H2595" s="4" t="str">
        <f>_xlfn.IFNA(IF(((INDEX(RulebookFields!C2:C1898, MATCH(D2595,RulebookFields!A2:A1898, 0))="")=TRUE),  "",  INDEX(RulebookFields!C2:C1898, MATCH(D2595,RulebookFields!A2:A1898, 0))), "")</f>
        <v>OperationalBindings</v>
      </c>
      <c r="I2595" s="4" t="str">
        <f>_xlfn.IFNA(IF(((INDEX(RulebookFields!D2:D1898, MATCH(D2595,RulebookFields!A2:A1898, 0))="")=TRUE),  "",  INDEX(RulebookFields!D2:D1898, MATCH(D2595,RulebookFields!A2:A1898, 0))), "")</f>
        <v>FreshnessSlaMinutes</v>
      </c>
      <c r="J2595" s="4" t="b">
        <f>_xlfn.IFNA(IF(((INDEX(RulebookFields!I2:I1898, MATCH(D2595,RulebookFields!A2:A1898, 0))="")=TRUE),  "",  INDEX(RulebookFields!I2:I1898, MATCH(D2595,RulebookFields!A2:A1898, 0))), "")</f>
        <v>0</v>
      </c>
      <c r="K2595" s="4" t="b">
        <f>AND(((F2595)=TRUE), ((J2595)=TRUE))</f>
        <v>0</v>
      </c>
      <c r="L2595" s="4" t="b">
        <f>AND(((G2595 &lt;&gt; "plain")=TRUE), ((G2595 &lt;&gt; "")=TRUE))</f>
        <v>0</v>
      </c>
      <c r="M2595" s="4" t="str">
        <f>IF(((E2595)=TRUE),  C2595 &amp; "|" &amp; H2595,  "")</f>
        <v>principal-knowledge-authority|OperationalBindings</v>
      </c>
      <c r="N2595" s="3" t="s">
        <v>10004</v>
      </c>
    </row>
    <row r="2596">
      <c r="A2596" s="3" t="s">
        <v>12598</v>
      </c>
      <c r="B2596" s="4" t="str">
        <f>C2596 &amp; " -&gt; " &amp; D2596</f>
        <v>principal-knowledge-authority -&gt; OperationalBindings.IsAuthoritative</v>
      </c>
      <c r="C2596" s="3" t="s">
        <v>9774</v>
      </c>
      <c r="D2596" s="3" t="s">
        <v>4038</v>
      </c>
      <c r="E2596" s="3" t="b">
        <v>1</v>
      </c>
      <c r="F2596" s="3" t="b">
        <v>0</v>
      </c>
      <c r="G2596" s="3" t="s">
        <v>10003</v>
      </c>
      <c r="H2596" s="4" t="str">
        <f>_xlfn.IFNA(IF(((INDEX(RulebookFields!C2:C1898, MATCH(D2596,RulebookFields!A2:A1898, 0))="")=TRUE),  "",  INDEX(RulebookFields!C2:C1898, MATCH(D2596,RulebookFields!A2:A1898, 0))), "")</f>
        <v>OperationalBindings</v>
      </c>
      <c r="I2596" s="4" t="str">
        <f>_xlfn.IFNA(IF(((INDEX(RulebookFields!D2:D1898, MATCH(D2596,RulebookFields!A2:A1898, 0))="")=TRUE),  "",  INDEX(RulebookFields!D2:D1898, MATCH(D2596,RulebookFields!A2:A1898, 0))), "")</f>
        <v>IsAuthoritative</v>
      </c>
      <c r="J2596" s="4" t="b">
        <f>_xlfn.IFNA(IF(((INDEX(RulebookFields!I2:I1898, MATCH(D2596,RulebookFields!A2:A1898, 0))="")=TRUE),  "",  INDEX(RulebookFields!I2:I1898, MATCH(D2596,RulebookFields!A2:A1898, 0))), "")</f>
        <v>0</v>
      </c>
      <c r="K2596" s="4" t="b">
        <f>AND(((F2596)=TRUE), ((J2596)=TRUE))</f>
        <v>0</v>
      </c>
      <c r="L2596" s="4" t="b">
        <f>AND(((G2596 &lt;&gt; "plain")=TRUE), ((G2596 &lt;&gt; "")=TRUE))</f>
        <v>0</v>
      </c>
      <c r="M2596" s="4" t="str">
        <f>IF(((E2596)=TRUE),  C2596 &amp; "|" &amp; H2596,  "")</f>
        <v>principal-knowledge-authority|OperationalBindings</v>
      </c>
      <c r="N2596" s="3" t="s">
        <v>10004</v>
      </c>
    </row>
    <row r="2597">
      <c r="A2597" s="3" t="s">
        <v>12599</v>
      </c>
      <c r="B2597" s="4" t="str">
        <f>C2597 &amp; " -&gt; " &amp; D2597</f>
        <v>principal-knowledge-authority -&gt; OperationalBindings.EvaluationContext</v>
      </c>
      <c r="C2597" s="3" t="s">
        <v>9774</v>
      </c>
      <c r="D2597" s="3" t="s">
        <v>4039</v>
      </c>
      <c r="E2597" s="3" t="b">
        <v>1</v>
      </c>
      <c r="F2597" s="3" t="b">
        <v>0</v>
      </c>
      <c r="G2597" s="3" t="s">
        <v>10003</v>
      </c>
      <c r="H2597" s="4" t="str">
        <f>_xlfn.IFNA(IF(((INDEX(RulebookFields!C2:C1898, MATCH(D2597,RulebookFields!A2:A1898, 0))="")=TRUE),  "",  INDEX(RulebookFields!C2:C1898, MATCH(D2597,RulebookFields!A2:A1898, 0))), "")</f>
        <v>OperationalBindings</v>
      </c>
      <c r="I2597" s="4" t="str">
        <f>_xlfn.IFNA(IF(((INDEX(RulebookFields!D2:D1898, MATCH(D2597,RulebookFields!A2:A1898, 0))="")=TRUE),  "",  INDEX(RulebookFields!D2:D1898, MATCH(D2597,RulebookFields!A2:A1898, 0))), "")</f>
        <v>EvaluationContext</v>
      </c>
      <c r="J2597" s="4" t="b">
        <f>_xlfn.IFNA(IF(((INDEX(RulebookFields!I2:I1898, MATCH(D2597,RulebookFields!A2:A1898, 0))="")=TRUE),  "",  INDEX(RulebookFields!I2:I1898, MATCH(D2597,RulebookFields!A2:A1898, 0))), "")</f>
        <v>0</v>
      </c>
      <c r="K2597" s="4" t="b">
        <f>AND(((F2597)=TRUE), ((J2597)=TRUE))</f>
        <v>0</v>
      </c>
      <c r="L2597" s="4" t="b">
        <f>AND(((G2597 &lt;&gt; "plain")=TRUE), ((G2597 &lt;&gt; "")=TRUE))</f>
        <v>0</v>
      </c>
      <c r="M2597" s="4" t="str">
        <f>IF(((E2597)=TRUE),  C2597 &amp; "|" &amp; H2597,  "")</f>
        <v>principal-knowledge-authority|OperationalBindings</v>
      </c>
      <c r="N2597" s="3" t="s">
        <v>10004</v>
      </c>
    </row>
    <row r="2598">
      <c r="A2598" s="3" t="s">
        <v>12600</v>
      </c>
      <c r="B2598" s="4" t="str">
        <f>C2598 &amp; " -&gt; " &amp; D2598</f>
        <v>principal-knowledge-authority -&gt; OperationalBindings.AsOfInstant</v>
      </c>
      <c r="C2598" s="3" t="s">
        <v>9774</v>
      </c>
      <c r="D2598" s="3" t="s">
        <v>4040</v>
      </c>
      <c r="E2598" s="3" t="b">
        <v>1</v>
      </c>
      <c r="F2598" s="3" t="b">
        <v>0</v>
      </c>
      <c r="G2598" s="3" t="s">
        <v>10003</v>
      </c>
      <c r="H2598" s="4" t="str">
        <f>_xlfn.IFNA(IF(((INDEX(RulebookFields!C2:C1898, MATCH(D2598,RulebookFields!A2:A1898, 0))="")=TRUE),  "",  INDEX(RulebookFields!C2:C1898, MATCH(D2598,RulebookFields!A2:A1898, 0))), "")</f>
        <v>OperationalBindings</v>
      </c>
      <c r="I2598" s="4" t="str">
        <f>_xlfn.IFNA(IF(((INDEX(RulebookFields!D2:D1898, MATCH(D2598,RulebookFields!A2:A1898, 0))="")=TRUE),  "",  INDEX(RulebookFields!D2:D1898, MATCH(D2598,RulebookFields!A2:A1898, 0))), "")</f>
        <v>AsOfInstant</v>
      </c>
      <c r="J2598" s="4" t="b">
        <f>_xlfn.IFNA(IF(((INDEX(RulebookFields!I2:I1898, MATCH(D2598,RulebookFields!A2:A1898, 0))="")=TRUE),  "",  INDEX(RulebookFields!I2:I1898, MATCH(D2598,RulebookFields!A2:A1898, 0))), "")</f>
        <v>1</v>
      </c>
      <c r="K2598" s="4" t="b">
        <f>AND(((F2598)=TRUE), ((J2598)=TRUE))</f>
        <v>0</v>
      </c>
      <c r="L2598" s="4" t="b">
        <f>AND(((G2598 &lt;&gt; "plain")=TRUE), ((G2598 &lt;&gt; "")=TRUE))</f>
        <v>0</v>
      </c>
      <c r="M2598" s="4" t="str">
        <f>IF(((E2598)=TRUE),  C2598 &amp; "|" &amp; H2598,  "")</f>
        <v>principal-knowledge-authority|OperationalBindings</v>
      </c>
      <c r="N2598" s="3" t="s">
        <v>10004</v>
      </c>
    </row>
    <row r="2599">
      <c r="A2599" s="3" t="s">
        <v>12601</v>
      </c>
      <c r="B2599" s="4" t="str">
        <f>C2599 &amp; " -&gt; " &amp; D2599</f>
        <v>principal-knowledge-authority -&gt; OperationalBindings.AgeMinutes</v>
      </c>
      <c r="C2599" s="3" t="s">
        <v>9774</v>
      </c>
      <c r="D2599" s="3" t="s">
        <v>4041</v>
      </c>
      <c r="E2599" s="3" t="b">
        <v>1</v>
      </c>
      <c r="F2599" s="3" t="b">
        <v>0</v>
      </c>
      <c r="G2599" s="3" t="s">
        <v>10003</v>
      </c>
      <c r="H2599" s="4" t="str">
        <f>_xlfn.IFNA(IF(((INDEX(RulebookFields!C2:C1898, MATCH(D2599,RulebookFields!A2:A1898, 0))="")=TRUE),  "",  INDEX(RulebookFields!C2:C1898, MATCH(D2599,RulebookFields!A2:A1898, 0))), "")</f>
        <v>OperationalBindings</v>
      </c>
      <c r="I2599" s="4" t="str">
        <f>_xlfn.IFNA(IF(((INDEX(RulebookFields!D2:D1898, MATCH(D2599,RulebookFields!A2:A1898, 0))="")=TRUE),  "",  INDEX(RulebookFields!D2:D1898, MATCH(D2599,RulebookFields!A2:A1898, 0))), "")</f>
        <v>AgeMinutes</v>
      </c>
      <c r="J2599" s="4" t="b">
        <f>_xlfn.IFNA(IF(((INDEX(RulebookFields!I2:I1898, MATCH(D2599,RulebookFields!A2:A1898, 0))="")=TRUE),  "",  INDEX(RulebookFields!I2:I1898, MATCH(D2599,RulebookFields!A2:A1898, 0))), "")</f>
        <v>1</v>
      </c>
      <c r="K2599" s="4" t="b">
        <f>AND(((F2599)=TRUE), ((J2599)=TRUE))</f>
        <v>0</v>
      </c>
      <c r="L2599" s="4" t="b">
        <f>AND(((G2599 &lt;&gt; "plain")=TRUE), ((G2599 &lt;&gt; "")=TRUE))</f>
        <v>0</v>
      </c>
      <c r="M2599" s="4" t="str">
        <f>IF(((E2599)=TRUE),  C2599 &amp; "|" &amp; H2599,  "")</f>
        <v>principal-knowledge-authority|OperationalBindings</v>
      </c>
      <c r="N2599" s="3" t="s">
        <v>10004</v>
      </c>
    </row>
    <row r="2600">
      <c r="A2600" s="3" t="s">
        <v>12602</v>
      </c>
      <c r="B2600" s="4" t="str">
        <f>C2600 &amp; " -&gt; " &amp; D2600</f>
        <v>principal-knowledge-authority -&gt; OperationalBindings.IsFresh</v>
      </c>
      <c r="C2600" s="3" t="s">
        <v>9774</v>
      </c>
      <c r="D2600" s="3" t="s">
        <v>4043</v>
      </c>
      <c r="E2600" s="3" t="b">
        <v>1</v>
      </c>
      <c r="F2600" s="3" t="b">
        <v>0</v>
      </c>
      <c r="G2600" s="3" t="s">
        <v>10003</v>
      </c>
      <c r="H2600" s="4" t="str">
        <f>_xlfn.IFNA(IF(((INDEX(RulebookFields!C2:C1898, MATCH(D2600,RulebookFields!A2:A1898, 0))="")=TRUE),  "",  INDEX(RulebookFields!C2:C1898, MATCH(D2600,RulebookFields!A2:A1898, 0))), "")</f>
        <v>OperationalBindings</v>
      </c>
      <c r="I2600" s="4" t="str">
        <f>_xlfn.IFNA(IF(((INDEX(RulebookFields!D2:D1898, MATCH(D2600,RulebookFields!A2:A1898, 0))="")=TRUE),  "",  INDEX(RulebookFields!D2:D1898, MATCH(D2600,RulebookFields!A2:A1898, 0))), "")</f>
        <v>IsFresh</v>
      </c>
      <c r="J2600" s="4" t="b">
        <f>_xlfn.IFNA(IF(((INDEX(RulebookFields!I2:I1898, MATCH(D2600,RulebookFields!A2:A1898, 0))="")=TRUE),  "",  INDEX(RulebookFields!I2:I1898, MATCH(D2600,RulebookFields!A2:A1898, 0))), "")</f>
        <v>1</v>
      </c>
      <c r="K2600" s="4" t="b">
        <f>AND(((F2600)=TRUE), ((J2600)=TRUE))</f>
        <v>0</v>
      </c>
      <c r="L2600" s="4" t="b">
        <f>AND(((G2600 &lt;&gt; "plain")=TRUE), ((G2600 &lt;&gt; "")=TRUE))</f>
        <v>0</v>
      </c>
      <c r="M2600" s="4" t="str">
        <f>IF(((E2600)=TRUE),  C2600 &amp; "|" &amp; H2600,  "")</f>
        <v>principal-knowledge-authority|OperationalBindings</v>
      </c>
      <c r="N2600" s="3" t="s">
        <v>10004</v>
      </c>
    </row>
    <row r="2601">
      <c r="A2601" s="3" t="s">
        <v>12603</v>
      </c>
      <c r="B2601" s="4" t="str">
        <f>C2601 &amp; " -&gt; " &amp; D2601</f>
        <v>principal-knowledge-authority -&gt; OperationalBindings.StaleBindingStepKey</v>
      </c>
      <c r="C2601" s="3" t="s">
        <v>9774</v>
      </c>
      <c r="D2601" s="3" t="s">
        <v>4045</v>
      </c>
      <c r="E2601" s="3" t="b">
        <v>1</v>
      </c>
      <c r="F2601" s="3" t="b">
        <v>0</v>
      </c>
      <c r="G2601" s="3" t="s">
        <v>10003</v>
      </c>
      <c r="H2601" s="4" t="str">
        <f>_xlfn.IFNA(IF(((INDEX(RulebookFields!C2:C1898, MATCH(D2601,RulebookFields!A2:A1898, 0))="")=TRUE),  "",  INDEX(RulebookFields!C2:C1898, MATCH(D2601,RulebookFields!A2:A1898, 0))), "")</f>
        <v>OperationalBindings</v>
      </c>
      <c r="I2601" s="4" t="str">
        <f>_xlfn.IFNA(IF(((INDEX(RulebookFields!D2:D1898, MATCH(D2601,RulebookFields!A2:A1898, 0))="")=TRUE),  "",  INDEX(RulebookFields!D2:D1898, MATCH(D2601,RulebookFields!A2:A1898, 0))), "")</f>
        <v>StaleBindingStepKey</v>
      </c>
      <c r="J2601" s="4" t="b">
        <f>_xlfn.IFNA(IF(((INDEX(RulebookFields!I2:I1898, MATCH(D2601,RulebookFields!A2:A1898, 0))="")=TRUE),  "",  INDEX(RulebookFields!I2:I1898, MATCH(D2601,RulebookFields!A2:A1898, 0))), "")</f>
        <v>1</v>
      </c>
      <c r="K2601" s="4" t="b">
        <f>AND(((F2601)=TRUE), ((J2601)=TRUE))</f>
        <v>0</v>
      </c>
      <c r="L2601" s="4" t="b">
        <f>AND(((G2601 &lt;&gt; "plain")=TRUE), ((G2601 &lt;&gt; "")=TRUE))</f>
        <v>0</v>
      </c>
      <c r="M2601" s="4" t="str">
        <f>IF(((E2601)=TRUE),  C2601 &amp; "|" &amp; H2601,  "")</f>
        <v>principal-knowledge-authority|OperationalBindings</v>
      </c>
      <c r="N2601" s="3" t="s">
        <v>10004</v>
      </c>
    </row>
    <row r="2602">
      <c r="A2602" s="3" t="s">
        <v>12604</v>
      </c>
      <c r="B2602" s="4" t="str">
        <f>C2602 &amp; " -&gt; " &amp; D2602</f>
        <v>principal-knowledge-authority -&gt; OperationalBindings.AuthoritativeStaleStepKey</v>
      </c>
      <c r="C2602" s="3" t="s">
        <v>9774</v>
      </c>
      <c r="D2602" s="3" t="s">
        <v>4047</v>
      </c>
      <c r="E2602" s="3" t="b">
        <v>1</v>
      </c>
      <c r="F2602" s="3" t="b">
        <v>0</v>
      </c>
      <c r="G2602" s="3" t="s">
        <v>10003</v>
      </c>
      <c r="H2602" s="4" t="str">
        <f>_xlfn.IFNA(IF(((INDEX(RulebookFields!C2:C1898, MATCH(D2602,RulebookFields!A2:A1898, 0))="")=TRUE),  "",  INDEX(RulebookFields!C2:C1898, MATCH(D2602,RulebookFields!A2:A1898, 0))), "")</f>
        <v>OperationalBindings</v>
      </c>
      <c r="I2602" s="4" t="str">
        <f>_xlfn.IFNA(IF(((INDEX(RulebookFields!D2:D1898, MATCH(D2602,RulebookFields!A2:A1898, 0))="")=TRUE),  "",  INDEX(RulebookFields!D2:D1898, MATCH(D2602,RulebookFields!A2:A1898, 0))), "")</f>
        <v>AuthoritativeStaleStepKey</v>
      </c>
      <c r="J2602" s="4" t="b">
        <f>_xlfn.IFNA(IF(((INDEX(RulebookFields!I2:I1898, MATCH(D2602,RulebookFields!A2:A1898, 0))="")=TRUE),  "",  INDEX(RulebookFields!I2:I1898, MATCH(D2602,RulebookFields!A2:A1898, 0))), "")</f>
        <v>1</v>
      </c>
      <c r="K2602" s="4" t="b">
        <f>AND(((F2602)=TRUE), ((J2602)=TRUE))</f>
        <v>0</v>
      </c>
      <c r="L2602" s="4" t="b">
        <f>AND(((G2602 &lt;&gt; "plain")=TRUE), ((G2602 &lt;&gt; "")=TRUE))</f>
        <v>0</v>
      </c>
      <c r="M2602" s="4" t="str">
        <f>IF(((E2602)=TRUE),  C2602 &amp; "|" &amp; H2602,  "")</f>
        <v>principal-knowledge-authority|OperationalBindings</v>
      </c>
      <c r="N2602" s="3" t="s">
        <v>10004</v>
      </c>
    </row>
    <row r="2603">
      <c r="A2603" s="3" t="s">
        <v>12605</v>
      </c>
      <c r="B2603" s="4" t="str">
        <f>C2603 &amp; " -&gt; " &amp; D2603</f>
        <v>principal-knowledge-authority -&gt; OperationalBindings.IsStaleAndAuthoritative</v>
      </c>
      <c r="C2603" s="3" t="s">
        <v>9774</v>
      </c>
      <c r="D2603" s="3" t="s">
        <v>4049</v>
      </c>
      <c r="E2603" s="3" t="b">
        <v>1</v>
      </c>
      <c r="F2603" s="3" t="b">
        <v>0</v>
      </c>
      <c r="G2603" s="3" t="s">
        <v>10003</v>
      </c>
      <c r="H2603" s="4" t="str">
        <f>_xlfn.IFNA(IF(((INDEX(RulebookFields!C2:C1898, MATCH(D2603,RulebookFields!A2:A1898, 0))="")=TRUE),  "",  INDEX(RulebookFields!C2:C1898, MATCH(D2603,RulebookFields!A2:A1898, 0))), "")</f>
        <v>OperationalBindings</v>
      </c>
      <c r="I2603" s="4" t="str">
        <f>_xlfn.IFNA(IF(((INDEX(RulebookFields!D2:D1898, MATCH(D2603,RulebookFields!A2:A1898, 0))="")=TRUE),  "",  INDEX(RulebookFields!D2:D1898, MATCH(D2603,RulebookFields!A2:A1898, 0))), "")</f>
        <v>IsStaleAndAuthoritative</v>
      </c>
      <c r="J2603" s="4" t="b">
        <f>_xlfn.IFNA(IF(((INDEX(RulebookFields!I2:I1898, MATCH(D2603,RulebookFields!A2:A1898, 0))="")=TRUE),  "",  INDEX(RulebookFields!I2:I1898, MATCH(D2603,RulebookFields!A2:A1898, 0))), "")</f>
        <v>1</v>
      </c>
      <c r="K2603" s="4" t="b">
        <f>AND(((F2603)=TRUE), ((J2603)=TRUE))</f>
        <v>0</v>
      </c>
      <c r="L2603" s="4" t="b">
        <f>AND(((G2603 &lt;&gt; "plain")=TRUE), ((G2603 &lt;&gt; "")=TRUE))</f>
        <v>0</v>
      </c>
      <c r="M2603" s="4" t="str">
        <f>IF(((E2603)=TRUE),  C2603 &amp; "|" &amp; H2603,  "")</f>
        <v>principal-knowledge-authority|OperationalBindings</v>
      </c>
      <c r="N2603" s="3" t="s">
        <v>10004</v>
      </c>
    </row>
    <row r="2604">
      <c r="A2604" s="3" t="s">
        <v>12606</v>
      </c>
      <c r="B2604" s="4" t="str">
        <f>C2604 &amp; " -&gt; " &amp; D2604</f>
        <v>principal-knowledge-authority -&gt; OperationalBindings.StepWhenStale</v>
      </c>
      <c r="C2604" s="3" t="s">
        <v>9774</v>
      </c>
      <c r="D2604" s="3" t="s">
        <v>4051</v>
      </c>
      <c r="E2604" s="3" t="b">
        <v>1</v>
      </c>
      <c r="F2604" s="3" t="b">
        <v>0</v>
      </c>
      <c r="G2604" s="3" t="s">
        <v>10003</v>
      </c>
      <c r="H2604" s="4" t="str">
        <f>_xlfn.IFNA(IF(((INDEX(RulebookFields!C2:C1898, MATCH(D2604,RulebookFields!A2:A1898, 0))="")=TRUE),  "",  INDEX(RulebookFields!C2:C1898, MATCH(D2604,RulebookFields!A2:A1898, 0))), "")</f>
        <v>OperationalBindings</v>
      </c>
      <c r="I2604" s="4" t="str">
        <f>_xlfn.IFNA(IF(((INDEX(RulebookFields!D2:D1898, MATCH(D2604,RulebookFields!A2:A1898, 0))="")=TRUE),  "",  INDEX(RulebookFields!D2:D1898, MATCH(D2604,RulebookFields!A2:A1898, 0))), "")</f>
        <v>StepWhenStale</v>
      </c>
      <c r="J2604" s="4" t="b">
        <f>_xlfn.IFNA(IF(((INDEX(RulebookFields!I2:I1898, MATCH(D2604,RulebookFields!A2:A1898, 0))="")=TRUE),  "",  INDEX(RulebookFields!I2:I1898, MATCH(D2604,RulebookFields!A2:A1898, 0))), "")</f>
        <v>1</v>
      </c>
      <c r="K2604" s="4" t="b">
        <f>AND(((F2604)=TRUE), ((J2604)=TRUE))</f>
        <v>0</v>
      </c>
      <c r="L2604" s="4" t="b">
        <f>AND(((G2604 &lt;&gt; "plain")=TRUE), ((G2604 &lt;&gt; "")=TRUE))</f>
        <v>0</v>
      </c>
      <c r="M2604" s="4" t="str">
        <f>IF(((E2604)=TRUE),  C2604 &amp; "|" &amp; H2604,  "")</f>
        <v>principal-knowledge-authority|OperationalBindings</v>
      </c>
      <c r="N2604" s="3" t="s">
        <v>10004</v>
      </c>
    </row>
    <row r="2605">
      <c r="A2605" s="3" t="s">
        <v>12607</v>
      </c>
      <c r="B2605" s="4" t="str">
        <f>C2605 &amp; " -&gt; " &amp; D2605</f>
        <v>principal-knowledge-authority -&gt; OperationalBindings.ResourceIsApproved</v>
      </c>
      <c r="C2605" s="3" t="s">
        <v>9774</v>
      </c>
      <c r="D2605" s="3" t="s">
        <v>4053</v>
      </c>
      <c r="E2605" s="3" t="b">
        <v>1</v>
      </c>
      <c r="F2605" s="3" t="b">
        <v>0</v>
      </c>
      <c r="G2605" s="3" t="s">
        <v>10003</v>
      </c>
      <c r="H2605" s="4" t="str">
        <f>_xlfn.IFNA(IF(((INDEX(RulebookFields!C2:C1898, MATCH(D2605,RulebookFields!A2:A1898, 0))="")=TRUE),  "",  INDEX(RulebookFields!C2:C1898, MATCH(D2605,RulebookFields!A2:A1898, 0))), "")</f>
        <v>OperationalBindings</v>
      </c>
      <c r="I2605" s="4" t="str">
        <f>_xlfn.IFNA(IF(((INDEX(RulebookFields!D2:D1898, MATCH(D2605,RulebookFields!A2:A1898, 0))="")=TRUE),  "",  INDEX(RulebookFields!D2:D1898, MATCH(D2605,RulebookFields!A2:A1898, 0))), "")</f>
        <v>ResourceIsApproved</v>
      </c>
      <c r="J2605" s="4" t="b">
        <f>_xlfn.IFNA(IF(((INDEX(RulebookFields!I2:I1898, MATCH(D2605,RulebookFields!A2:A1898, 0))="")=TRUE),  "",  INDEX(RulebookFields!I2:I1898, MATCH(D2605,RulebookFields!A2:A1898, 0))), "")</f>
        <v>1</v>
      </c>
      <c r="K2605" s="4" t="b">
        <f>AND(((F2605)=TRUE), ((J2605)=TRUE))</f>
        <v>0</v>
      </c>
      <c r="L2605" s="4" t="b">
        <f>AND(((G2605 &lt;&gt; "plain")=TRUE), ((G2605 &lt;&gt; "")=TRUE))</f>
        <v>0</v>
      </c>
      <c r="M2605" s="4" t="str">
        <f>IF(((E2605)=TRUE),  C2605 &amp; "|" &amp; H2605,  "")</f>
        <v>principal-knowledge-authority|OperationalBindings</v>
      </c>
      <c r="N2605" s="3" t="s">
        <v>10004</v>
      </c>
    </row>
    <row r="2606">
      <c r="A2606" s="3" t="s">
        <v>12608</v>
      </c>
      <c r="B2606" s="4" t="str">
        <f>C2606 &amp; " -&gt; " &amp; D2606</f>
        <v>principal-knowledge-authority -&gt; OperationalBindings.IsUsableForDrafting</v>
      </c>
      <c r="C2606" s="3" t="s">
        <v>9774</v>
      </c>
      <c r="D2606" s="3" t="s">
        <v>4055</v>
      </c>
      <c r="E2606" s="3" t="b">
        <v>1</v>
      </c>
      <c r="F2606" s="3" t="b">
        <v>0</v>
      </c>
      <c r="G2606" s="3" t="s">
        <v>10003</v>
      </c>
      <c r="H2606" s="4" t="str">
        <f>_xlfn.IFNA(IF(((INDEX(RulebookFields!C2:C1898, MATCH(D2606,RulebookFields!A2:A1898, 0))="")=TRUE),  "",  INDEX(RulebookFields!C2:C1898, MATCH(D2606,RulebookFields!A2:A1898, 0))), "")</f>
        <v>OperationalBindings</v>
      </c>
      <c r="I2606" s="4" t="str">
        <f>_xlfn.IFNA(IF(((INDEX(RulebookFields!D2:D1898, MATCH(D2606,RulebookFields!A2:A1898, 0))="")=TRUE),  "",  INDEX(RulebookFields!D2:D1898, MATCH(D2606,RulebookFields!A2:A1898, 0))), "")</f>
        <v>IsUsableForDrafting</v>
      </c>
      <c r="J2606" s="4" t="b">
        <f>_xlfn.IFNA(IF(((INDEX(RulebookFields!I2:I1898, MATCH(D2606,RulebookFields!A2:A1898, 0))="")=TRUE),  "",  INDEX(RulebookFields!I2:I1898, MATCH(D2606,RulebookFields!A2:A1898, 0))), "")</f>
        <v>1</v>
      </c>
      <c r="K2606" s="4" t="b">
        <f>AND(((F2606)=TRUE), ((J2606)=TRUE))</f>
        <v>0</v>
      </c>
      <c r="L2606" s="4" t="b">
        <f>AND(((G2606 &lt;&gt; "plain")=TRUE), ((G2606 &lt;&gt; "")=TRUE))</f>
        <v>0</v>
      </c>
      <c r="M2606" s="4" t="str">
        <f>IF(((E2606)=TRUE),  C2606 &amp; "|" &amp; H2606,  "")</f>
        <v>principal-knowledge-authority|OperationalBindings</v>
      </c>
      <c r="N2606" s="3" t="s">
        <v>10004</v>
      </c>
    </row>
    <row r="2607">
      <c r="A2607" s="3" t="s">
        <v>12609</v>
      </c>
      <c r="B2607" s="4" t="str">
        <f>C2607 &amp; " -&gt; " &amp; D2607</f>
        <v>principal-knowledge-authority -&gt; OperationalBindings.StepWhenUnusable</v>
      </c>
      <c r="C2607" s="3" t="s">
        <v>9774</v>
      </c>
      <c r="D2607" s="3" t="s">
        <v>4057</v>
      </c>
      <c r="E2607" s="3" t="b">
        <v>1</v>
      </c>
      <c r="F2607" s="3" t="b">
        <v>0</v>
      </c>
      <c r="G2607" s="3" t="s">
        <v>10003</v>
      </c>
      <c r="H2607" s="4" t="str">
        <f>_xlfn.IFNA(IF(((INDEX(RulebookFields!C2:C1898, MATCH(D2607,RulebookFields!A2:A1898, 0))="")=TRUE),  "",  INDEX(RulebookFields!C2:C1898, MATCH(D2607,RulebookFields!A2:A1898, 0))), "")</f>
        <v>OperationalBindings</v>
      </c>
      <c r="I2607" s="4" t="str">
        <f>_xlfn.IFNA(IF(((INDEX(RulebookFields!D2:D1898, MATCH(D2607,RulebookFields!A2:A1898, 0))="")=TRUE),  "",  INDEX(RulebookFields!D2:D1898, MATCH(D2607,RulebookFields!A2:A1898, 0))), "")</f>
        <v>StepWhenUnusable</v>
      </c>
      <c r="J2607" s="4" t="b">
        <f>_xlfn.IFNA(IF(((INDEX(RulebookFields!I2:I1898, MATCH(D2607,RulebookFields!A2:A1898, 0))="")=TRUE),  "",  INDEX(RulebookFields!I2:I1898, MATCH(D2607,RulebookFields!A2:A1898, 0))), "")</f>
        <v>1</v>
      </c>
      <c r="K2607" s="4" t="b">
        <f>AND(((F2607)=TRUE), ((J2607)=TRUE))</f>
        <v>0</v>
      </c>
      <c r="L2607" s="4" t="b">
        <f>AND(((G2607 &lt;&gt; "plain")=TRUE), ((G2607 &lt;&gt; "")=TRUE))</f>
        <v>0</v>
      </c>
      <c r="M2607" s="4" t="str">
        <f>IF(((E2607)=TRUE),  C2607 &amp; "|" &amp; H2607,  "")</f>
        <v>principal-knowledge-authority|OperationalBindings</v>
      </c>
      <c r="N2607" s="3" t="s">
        <v>10004</v>
      </c>
    </row>
    <row r="2608">
      <c r="A2608" s="3" t="s">
        <v>12610</v>
      </c>
      <c r="B2608" s="4" t="str">
        <f>C2608 &amp; " -&gt; " &amp; D2608</f>
        <v>principal-knowledge-authority -&gt; OperationalBindings.SemanticTypeIri</v>
      </c>
      <c r="C2608" s="3" t="s">
        <v>9774</v>
      </c>
      <c r="D2608" s="3" t="s">
        <v>4059</v>
      </c>
      <c r="E2608" s="3" t="b">
        <v>1</v>
      </c>
      <c r="F2608" s="3" t="b">
        <v>0</v>
      </c>
      <c r="G2608" s="3" t="s">
        <v>10003</v>
      </c>
      <c r="H2608" s="4" t="str">
        <f>_xlfn.IFNA(IF(((INDEX(RulebookFields!C2:C1898, MATCH(D2608,RulebookFields!A2:A1898, 0))="")=TRUE),  "",  INDEX(RulebookFields!C2:C1898, MATCH(D2608,RulebookFields!A2:A1898, 0))), "")</f>
        <v>OperationalBindings</v>
      </c>
      <c r="I2608" s="4" t="str">
        <f>_xlfn.IFNA(IF(((INDEX(RulebookFields!D2:D1898, MATCH(D2608,RulebookFields!A2:A1898, 0))="")=TRUE),  "",  INDEX(RulebookFields!D2:D1898, MATCH(D2608,RulebookFields!A2:A1898, 0))), "")</f>
        <v>SemanticTypeIri</v>
      </c>
      <c r="J2608" s="4" t="b">
        <f>_xlfn.IFNA(IF(((INDEX(RulebookFields!I2:I1898, MATCH(D2608,RulebookFields!A2:A1898, 0))="")=TRUE),  "",  INDEX(RulebookFields!I2:I1898, MATCH(D2608,RulebookFields!A2:A1898, 0))), "")</f>
        <v>0</v>
      </c>
      <c r="K2608" s="4" t="b">
        <f>AND(((F2608)=TRUE), ((J2608)=TRUE))</f>
        <v>0</v>
      </c>
      <c r="L2608" s="4" t="b">
        <f>AND(((G2608 &lt;&gt; "plain")=TRUE), ((G2608 &lt;&gt; "")=TRUE))</f>
        <v>0</v>
      </c>
      <c r="M2608" s="4" t="str">
        <f>IF(((E2608)=TRUE),  C2608 &amp; "|" &amp; H2608,  "")</f>
        <v>principal-knowledge-authority|OperationalBindings</v>
      </c>
      <c r="N2608" s="3" t="s">
        <v>10004</v>
      </c>
    </row>
    <row r="2609">
      <c r="A2609" s="3" t="s">
        <v>12611</v>
      </c>
      <c r="B2609" s="4" t="str">
        <f>C2609 &amp; " -&gt; " &amp; D2609</f>
        <v>principal-knowledge-authority -&gt; Organizations.OrganizationId</v>
      </c>
      <c r="C2609" s="3" t="s">
        <v>9774</v>
      </c>
      <c r="D2609" s="3" t="s">
        <v>2452</v>
      </c>
      <c r="E2609" s="3" t="b">
        <v>1</v>
      </c>
      <c r="F2609" s="3" t="b">
        <v>0</v>
      </c>
      <c r="G2609" s="3" t="s">
        <v>10003</v>
      </c>
      <c r="H2609" s="4" t="str">
        <f>_xlfn.IFNA(IF(((INDEX(RulebookFields!C2:C1898, MATCH(D2609,RulebookFields!A2:A1898, 0))="")=TRUE),  "",  INDEX(RulebookFields!C2:C1898, MATCH(D2609,RulebookFields!A2:A1898, 0))), "")</f>
        <v>Organizations</v>
      </c>
      <c r="I2609" s="4" t="str">
        <f>_xlfn.IFNA(IF(((INDEX(RulebookFields!D2:D1898, MATCH(D2609,RulebookFields!A2:A1898, 0))="")=TRUE),  "",  INDEX(RulebookFields!D2:D1898, MATCH(D2609,RulebookFields!A2:A1898, 0))), "")</f>
        <v>OrganizationId</v>
      </c>
      <c r="J2609" s="4" t="b">
        <f>_xlfn.IFNA(IF(((INDEX(RulebookFields!I2:I1898, MATCH(D2609,RulebookFields!A2:A1898, 0))="")=TRUE),  "",  INDEX(RulebookFields!I2:I1898, MATCH(D2609,RulebookFields!A2:A1898, 0))), "")</f>
        <v>0</v>
      </c>
      <c r="K2609" s="4" t="b">
        <f>AND(((F2609)=TRUE), ((J2609)=TRUE))</f>
        <v>0</v>
      </c>
      <c r="L2609" s="4" t="b">
        <f>AND(((G2609 &lt;&gt; "plain")=TRUE), ((G2609 &lt;&gt; "")=TRUE))</f>
        <v>0</v>
      </c>
      <c r="M2609" s="4" t="str">
        <f>IF(((E2609)=TRUE),  C2609 &amp; "|" &amp; H2609,  "")</f>
        <v>principal-knowledge-authority|Organizations</v>
      </c>
      <c r="N2609" s="3" t="s">
        <v>10004</v>
      </c>
    </row>
    <row r="2610">
      <c r="A2610" s="3" t="s">
        <v>12612</v>
      </c>
      <c r="B2610" s="4" t="str">
        <f>C2610 &amp; " -&gt; " &amp; D2610</f>
        <v>principal-knowledge-authority -&gt; Organizations.Name</v>
      </c>
      <c r="C2610" s="3" t="s">
        <v>9774</v>
      </c>
      <c r="D2610" s="3" t="s">
        <v>2454</v>
      </c>
      <c r="E2610" s="3" t="b">
        <v>1</v>
      </c>
      <c r="F2610" s="3" t="b">
        <v>0</v>
      </c>
      <c r="G2610" s="3" t="s">
        <v>10003</v>
      </c>
      <c r="H2610" s="4" t="str">
        <f>_xlfn.IFNA(IF(((INDEX(RulebookFields!C2:C1898, MATCH(D2610,RulebookFields!A2:A1898, 0))="")=TRUE),  "",  INDEX(RulebookFields!C2:C1898, MATCH(D2610,RulebookFields!A2:A1898, 0))), "")</f>
        <v>Organizations</v>
      </c>
      <c r="I2610" s="4" t="str">
        <f>_xlfn.IFNA(IF(((INDEX(RulebookFields!D2:D1898, MATCH(D2610,RulebookFields!A2:A1898, 0))="")=TRUE),  "",  INDEX(RulebookFields!D2:D1898, MATCH(D2610,RulebookFields!A2:A1898, 0))), "")</f>
        <v>Name</v>
      </c>
      <c r="J2610" s="4" t="b">
        <f>_xlfn.IFNA(IF(((INDEX(RulebookFields!I2:I1898, MATCH(D2610,RulebookFields!A2:A1898, 0))="")=TRUE),  "",  INDEX(RulebookFields!I2:I1898, MATCH(D2610,RulebookFields!A2:A1898, 0))), "")</f>
        <v>1</v>
      </c>
      <c r="K2610" s="4" t="b">
        <f>AND(((F2610)=TRUE), ((J2610)=TRUE))</f>
        <v>0</v>
      </c>
      <c r="L2610" s="4" t="b">
        <f>AND(((G2610 &lt;&gt; "plain")=TRUE), ((G2610 &lt;&gt; "")=TRUE))</f>
        <v>0</v>
      </c>
      <c r="M2610" s="4" t="str">
        <f>IF(((E2610)=TRUE),  C2610 &amp; "|" &amp; H2610,  "")</f>
        <v>principal-knowledge-authority|Organizations</v>
      </c>
      <c r="N2610" s="3" t="s">
        <v>10004</v>
      </c>
    </row>
    <row r="2611">
      <c r="A2611" s="3" t="s">
        <v>12613</v>
      </c>
      <c r="B2611" s="4" t="str">
        <f>C2611 &amp; " -&gt; " &amp; D2611</f>
        <v>principal-knowledge-authority -&gt; Organizations.DisplayName</v>
      </c>
      <c r="C2611" s="3" t="s">
        <v>9774</v>
      </c>
      <c r="D2611" s="3" t="s">
        <v>2456</v>
      </c>
      <c r="E2611" s="3" t="b">
        <v>1</v>
      </c>
      <c r="F2611" s="3" t="b">
        <v>0</v>
      </c>
      <c r="G2611" s="3" t="s">
        <v>10003</v>
      </c>
      <c r="H2611" s="4" t="str">
        <f>_xlfn.IFNA(IF(((INDEX(RulebookFields!C2:C1898, MATCH(D2611,RulebookFields!A2:A1898, 0))="")=TRUE),  "",  INDEX(RulebookFields!C2:C1898, MATCH(D2611,RulebookFields!A2:A1898, 0))), "")</f>
        <v>Organizations</v>
      </c>
      <c r="I2611" s="4" t="str">
        <f>_xlfn.IFNA(IF(((INDEX(RulebookFields!D2:D1898, MATCH(D2611,RulebookFields!A2:A1898, 0))="")=TRUE),  "",  INDEX(RulebookFields!D2:D1898, MATCH(D2611,RulebookFields!A2:A1898, 0))), "")</f>
        <v>DisplayName</v>
      </c>
      <c r="J2611" s="4" t="b">
        <f>_xlfn.IFNA(IF(((INDEX(RulebookFields!I2:I1898, MATCH(D2611,RulebookFields!A2:A1898, 0))="")=TRUE),  "",  INDEX(RulebookFields!I2:I1898, MATCH(D2611,RulebookFields!A2:A1898, 0))), "")</f>
        <v>0</v>
      </c>
      <c r="K2611" s="4" t="b">
        <f>AND(((F2611)=TRUE), ((J2611)=TRUE))</f>
        <v>0</v>
      </c>
      <c r="L2611" s="4" t="b">
        <f>AND(((G2611 &lt;&gt; "plain")=TRUE), ((G2611 &lt;&gt; "")=TRUE))</f>
        <v>0</v>
      </c>
      <c r="M2611" s="4" t="str">
        <f>IF(((E2611)=TRUE),  C2611 &amp; "|" &amp; H2611,  "")</f>
        <v>principal-knowledge-authority|Organizations</v>
      </c>
      <c r="N2611" s="3" t="s">
        <v>10004</v>
      </c>
    </row>
    <row r="2612">
      <c r="A2612" s="3" t="s">
        <v>12614</v>
      </c>
      <c r="B2612" s="4" t="str">
        <f>C2612 &amp; " -&gt; " &amp; D2612</f>
        <v>principal-knowledge-authority -&gt; Organizations.OrganizationType</v>
      </c>
      <c r="C2612" s="3" t="s">
        <v>9774</v>
      </c>
      <c r="D2612" s="3" t="s">
        <v>2457</v>
      </c>
      <c r="E2612" s="3" t="b">
        <v>1</v>
      </c>
      <c r="F2612" s="3" t="b">
        <v>0</v>
      </c>
      <c r="G2612" s="3" t="s">
        <v>10003</v>
      </c>
      <c r="H2612" s="4" t="str">
        <f>_xlfn.IFNA(IF(((INDEX(RulebookFields!C2:C1898, MATCH(D2612,RulebookFields!A2:A1898, 0))="")=TRUE),  "",  INDEX(RulebookFields!C2:C1898, MATCH(D2612,RulebookFields!A2:A1898, 0))), "")</f>
        <v>Organizations</v>
      </c>
      <c r="I2612" s="4" t="str">
        <f>_xlfn.IFNA(IF(((INDEX(RulebookFields!D2:D1898, MATCH(D2612,RulebookFields!A2:A1898, 0))="")=TRUE),  "",  INDEX(RulebookFields!D2:D1898, MATCH(D2612,RulebookFields!A2:A1898, 0))), "")</f>
        <v>OrganizationType</v>
      </c>
      <c r="J2612" s="4" t="b">
        <f>_xlfn.IFNA(IF(((INDEX(RulebookFields!I2:I1898, MATCH(D2612,RulebookFields!A2:A1898, 0))="")=TRUE),  "",  INDEX(RulebookFields!I2:I1898, MATCH(D2612,RulebookFields!A2:A1898, 0))), "")</f>
        <v>0</v>
      </c>
      <c r="K2612" s="4" t="b">
        <f>AND(((F2612)=TRUE), ((J2612)=TRUE))</f>
        <v>0</v>
      </c>
      <c r="L2612" s="4" t="b">
        <f>AND(((G2612 &lt;&gt; "plain")=TRUE), ((G2612 &lt;&gt; "")=TRUE))</f>
        <v>0</v>
      </c>
      <c r="M2612" s="4" t="str">
        <f>IF(((E2612)=TRUE),  C2612 &amp; "|" &amp; H2612,  "")</f>
        <v>principal-knowledge-authority|Organizations</v>
      </c>
      <c r="N2612" s="3" t="s">
        <v>10004</v>
      </c>
    </row>
    <row r="2613">
      <c r="A2613" s="3" t="s">
        <v>12615</v>
      </c>
      <c r="B2613" s="4" t="str">
        <f>C2613 &amp; " -&gt; " &amp; D2613</f>
        <v>principal-knowledge-authority -&gt; Organizations.ExternalIdentifier</v>
      </c>
      <c r="C2613" s="3" t="s">
        <v>9774</v>
      </c>
      <c r="D2613" s="3" t="s">
        <v>2458</v>
      </c>
      <c r="E2613" s="3" t="b">
        <v>1</v>
      </c>
      <c r="F2613" s="3" t="b">
        <v>0</v>
      </c>
      <c r="G2613" s="3" t="s">
        <v>10003</v>
      </c>
      <c r="H2613" s="4" t="str">
        <f>_xlfn.IFNA(IF(((INDEX(RulebookFields!C2:C1898, MATCH(D2613,RulebookFields!A2:A1898, 0))="")=TRUE),  "",  INDEX(RulebookFields!C2:C1898, MATCH(D2613,RulebookFields!A2:A1898, 0))), "")</f>
        <v>Organizations</v>
      </c>
      <c r="I2613" s="4" t="str">
        <f>_xlfn.IFNA(IF(((INDEX(RulebookFields!D2:D1898, MATCH(D2613,RulebookFields!A2:A1898, 0))="")=TRUE),  "",  INDEX(RulebookFields!D2:D1898, MATCH(D2613,RulebookFields!A2:A1898, 0))), "")</f>
        <v>ExternalIdentifier</v>
      </c>
      <c r="J2613" s="4" t="b">
        <f>_xlfn.IFNA(IF(((INDEX(RulebookFields!I2:I1898, MATCH(D2613,RulebookFields!A2:A1898, 0))="")=TRUE),  "",  INDEX(RulebookFields!I2:I1898, MATCH(D2613,RulebookFields!A2:A1898, 0))), "")</f>
        <v>0</v>
      </c>
      <c r="K2613" s="4" t="b">
        <f>AND(((F2613)=TRUE), ((J2613)=TRUE))</f>
        <v>0</v>
      </c>
      <c r="L2613" s="4" t="b">
        <f>AND(((G2613 &lt;&gt; "plain")=TRUE), ((G2613 &lt;&gt; "")=TRUE))</f>
        <v>0</v>
      </c>
      <c r="M2613" s="4" t="str">
        <f>IF(((E2613)=TRUE),  C2613 &amp; "|" &amp; H2613,  "")</f>
        <v>principal-knowledge-authority|Organizations</v>
      </c>
      <c r="N2613" s="3" t="s">
        <v>10004</v>
      </c>
    </row>
    <row r="2614">
      <c r="A2614" s="3" t="s">
        <v>12616</v>
      </c>
      <c r="B2614" s="4" t="str">
        <f>C2614 &amp; " -&gt; " &amp; D2614</f>
        <v>principal-knowledge-authority -&gt; Organizations.SemanticTypeIri</v>
      </c>
      <c r="C2614" s="3" t="s">
        <v>9774</v>
      </c>
      <c r="D2614" s="3" t="s">
        <v>2459</v>
      </c>
      <c r="E2614" s="3" t="b">
        <v>1</v>
      </c>
      <c r="F2614" s="3" t="b">
        <v>0</v>
      </c>
      <c r="G2614" s="3" t="s">
        <v>10003</v>
      </c>
      <c r="H2614" s="4" t="str">
        <f>_xlfn.IFNA(IF(((INDEX(RulebookFields!C2:C1898, MATCH(D2614,RulebookFields!A2:A1898, 0))="")=TRUE),  "",  INDEX(RulebookFields!C2:C1898, MATCH(D2614,RulebookFields!A2:A1898, 0))), "")</f>
        <v>Organizations</v>
      </c>
      <c r="I2614" s="4" t="str">
        <f>_xlfn.IFNA(IF(((INDEX(RulebookFields!D2:D1898, MATCH(D2614,RulebookFields!A2:A1898, 0))="")=TRUE),  "",  INDEX(RulebookFields!D2:D1898, MATCH(D2614,RulebookFields!A2:A1898, 0))), "")</f>
        <v>SemanticTypeIri</v>
      </c>
      <c r="J2614" s="4" t="b">
        <f>_xlfn.IFNA(IF(((INDEX(RulebookFields!I2:I1898, MATCH(D2614,RulebookFields!A2:A1898, 0))="")=TRUE),  "",  INDEX(RulebookFields!I2:I1898, MATCH(D2614,RulebookFields!A2:A1898, 0))), "")</f>
        <v>0</v>
      </c>
      <c r="K2614" s="4" t="b">
        <f>AND(((F2614)=TRUE), ((J2614)=TRUE))</f>
        <v>0</v>
      </c>
      <c r="L2614" s="4" t="b">
        <f>AND(((G2614 &lt;&gt; "plain")=TRUE), ((G2614 &lt;&gt; "")=TRUE))</f>
        <v>0</v>
      </c>
      <c r="M2614" s="4" t="str">
        <f>IF(((E2614)=TRUE),  C2614 &amp; "|" &amp; H2614,  "")</f>
        <v>principal-knowledge-authority|Organizations</v>
      </c>
      <c r="N2614" s="3" t="s">
        <v>10004</v>
      </c>
    </row>
    <row r="2615">
      <c r="A2615" s="3" t="s">
        <v>12617</v>
      </c>
      <c r="B2615" s="4" t="str">
        <f>C2615 &amp; " -&gt; " &amp; D2615</f>
        <v>principal-knowledge-authority -&gt; ProcedureExecutions.ProcedureExecutionId</v>
      </c>
      <c r="C2615" s="3" t="s">
        <v>9774</v>
      </c>
      <c r="D2615" s="3" t="s">
        <v>3426</v>
      </c>
      <c r="E2615" s="3" t="b">
        <v>1</v>
      </c>
      <c r="F2615" s="3" t="b">
        <v>0</v>
      </c>
      <c r="G2615" s="3" t="s">
        <v>10003</v>
      </c>
      <c r="H2615" s="4" t="str">
        <f>_xlfn.IFNA(IF(((INDEX(RulebookFields!C2:C1898, MATCH(D2615,RulebookFields!A2:A1898, 0))="")=TRUE),  "",  INDEX(RulebookFields!C2:C1898, MATCH(D2615,RulebookFields!A2:A1898, 0))), "")</f>
        <v>ProcedureExecutions</v>
      </c>
      <c r="I2615" s="4" t="str">
        <f>_xlfn.IFNA(IF(((INDEX(RulebookFields!D2:D1898, MATCH(D2615,RulebookFields!A2:A1898, 0))="")=TRUE),  "",  INDEX(RulebookFields!D2:D1898, MATCH(D2615,RulebookFields!A2:A1898, 0))), "")</f>
        <v>ProcedureExecutionId</v>
      </c>
      <c r="J2615" s="4" t="b">
        <f>_xlfn.IFNA(IF(((INDEX(RulebookFields!I2:I1898, MATCH(D2615,RulebookFields!A2:A1898, 0))="")=TRUE),  "",  INDEX(RulebookFields!I2:I1898, MATCH(D2615,RulebookFields!A2:A1898, 0))), "")</f>
        <v>0</v>
      </c>
      <c r="K2615" s="4" t="b">
        <f>AND(((F2615)=TRUE), ((J2615)=TRUE))</f>
        <v>0</v>
      </c>
      <c r="L2615" s="4" t="b">
        <f>AND(((G2615 &lt;&gt; "plain")=TRUE), ((G2615 &lt;&gt; "")=TRUE))</f>
        <v>0</v>
      </c>
      <c r="M2615" s="4" t="str">
        <f>IF(((E2615)=TRUE),  C2615 &amp; "|" &amp; H2615,  "")</f>
        <v>principal-knowledge-authority|ProcedureExecutions</v>
      </c>
      <c r="N2615" s="3" t="s">
        <v>10004</v>
      </c>
    </row>
    <row r="2616">
      <c r="A2616" s="3" t="s">
        <v>12618</v>
      </c>
      <c r="B2616" s="4" t="str">
        <f>C2616 &amp; " -&gt; " &amp; D2616</f>
        <v>principal-knowledge-authority -&gt; ProcedureExecutions.Name</v>
      </c>
      <c r="C2616" s="3" t="s">
        <v>9774</v>
      </c>
      <c r="D2616" s="3" t="s">
        <v>3427</v>
      </c>
      <c r="E2616" s="3" t="b">
        <v>1</v>
      </c>
      <c r="F2616" s="3" t="b">
        <v>0</v>
      </c>
      <c r="G2616" s="3" t="s">
        <v>10003</v>
      </c>
      <c r="H2616" s="4" t="str">
        <f>_xlfn.IFNA(IF(((INDEX(RulebookFields!C2:C1898, MATCH(D2616,RulebookFields!A2:A1898, 0))="")=TRUE),  "",  INDEX(RulebookFields!C2:C1898, MATCH(D2616,RulebookFields!A2:A1898, 0))), "")</f>
        <v>ProcedureExecutions</v>
      </c>
      <c r="I2616" s="4" t="str">
        <f>_xlfn.IFNA(IF(((INDEX(RulebookFields!D2:D1898, MATCH(D2616,RulebookFields!A2:A1898, 0))="")=TRUE),  "",  INDEX(RulebookFields!D2:D1898, MATCH(D2616,RulebookFields!A2:A1898, 0))), "")</f>
        <v>Name</v>
      </c>
      <c r="J2616" s="4" t="b">
        <f>_xlfn.IFNA(IF(((INDEX(RulebookFields!I2:I1898, MATCH(D2616,RulebookFields!A2:A1898, 0))="")=TRUE),  "",  INDEX(RulebookFields!I2:I1898, MATCH(D2616,RulebookFields!A2:A1898, 0))), "")</f>
        <v>1</v>
      </c>
      <c r="K2616" s="4" t="b">
        <f>AND(((F2616)=TRUE), ((J2616)=TRUE))</f>
        <v>0</v>
      </c>
      <c r="L2616" s="4" t="b">
        <f>AND(((G2616 &lt;&gt; "plain")=TRUE), ((G2616 &lt;&gt; "")=TRUE))</f>
        <v>0</v>
      </c>
      <c r="M2616" s="4" t="str">
        <f>IF(((E2616)=TRUE),  C2616 &amp; "|" &amp; H2616,  "")</f>
        <v>principal-knowledge-authority|ProcedureExecutions</v>
      </c>
      <c r="N2616" s="3" t="s">
        <v>10004</v>
      </c>
    </row>
    <row r="2617">
      <c r="A2617" s="3" t="s">
        <v>12619</v>
      </c>
      <c r="B2617" s="4" t="str">
        <f>C2617 &amp; " -&gt; " &amp; D2617</f>
        <v>principal-knowledge-authority -&gt; ProcedureExecutions.ProcedureVersion</v>
      </c>
      <c r="C2617" s="3" t="s">
        <v>9774</v>
      </c>
      <c r="D2617" s="3" t="s">
        <v>3429</v>
      </c>
      <c r="E2617" s="3" t="b">
        <v>1</v>
      </c>
      <c r="F2617" s="3" t="b">
        <v>0</v>
      </c>
      <c r="G2617" s="3" t="s">
        <v>10003</v>
      </c>
      <c r="H2617" s="4" t="str">
        <f>_xlfn.IFNA(IF(((INDEX(RulebookFields!C2:C1898, MATCH(D2617,RulebookFields!A2:A1898, 0))="")=TRUE),  "",  INDEX(RulebookFields!C2:C1898, MATCH(D2617,RulebookFields!A2:A1898, 0))), "")</f>
        <v>ProcedureExecutions</v>
      </c>
      <c r="I2617" s="4" t="str">
        <f>_xlfn.IFNA(IF(((INDEX(RulebookFields!D2:D1898, MATCH(D2617,RulebookFields!A2:A1898, 0))="")=TRUE),  "",  INDEX(RulebookFields!D2:D1898, MATCH(D2617,RulebookFields!A2:A1898, 0))), "")</f>
        <v>ProcedureVersion</v>
      </c>
      <c r="J2617" s="4" t="b">
        <f>_xlfn.IFNA(IF(((INDEX(RulebookFields!I2:I1898, MATCH(D2617,RulebookFields!A2:A1898, 0))="")=TRUE),  "",  INDEX(RulebookFields!I2:I1898, MATCH(D2617,RulebookFields!A2:A1898, 0))), "")</f>
        <v>0</v>
      </c>
      <c r="K2617" s="4" t="b">
        <f>AND(((F2617)=TRUE), ((J2617)=TRUE))</f>
        <v>0</v>
      </c>
      <c r="L2617" s="4" t="b">
        <f>AND(((G2617 &lt;&gt; "plain")=TRUE), ((G2617 &lt;&gt; "")=TRUE))</f>
        <v>0</v>
      </c>
      <c r="M2617" s="4" t="str">
        <f>IF(((E2617)=TRUE),  C2617 &amp; "|" &amp; H2617,  "")</f>
        <v>principal-knowledge-authority|ProcedureExecutions</v>
      </c>
      <c r="N2617" s="3" t="s">
        <v>10004</v>
      </c>
    </row>
    <row r="2618">
      <c r="A2618" s="3" t="s">
        <v>12620</v>
      </c>
      <c r="B2618" s="4" t="str">
        <f>C2618 &amp; " -&gt; " &amp; D2618</f>
        <v>principal-knowledge-authority -&gt; ProcedureExecutions.ExecutionStatus</v>
      </c>
      <c r="C2618" s="3" t="s">
        <v>9774</v>
      </c>
      <c r="D2618" s="3" t="s">
        <v>3430</v>
      </c>
      <c r="E2618" s="3" t="b">
        <v>1</v>
      </c>
      <c r="F2618" s="3" t="b">
        <v>0</v>
      </c>
      <c r="G2618" s="3" t="s">
        <v>10003</v>
      </c>
      <c r="H2618" s="4" t="str">
        <f>_xlfn.IFNA(IF(((INDEX(RulebookFields!C2:C1898, MATCH(D2618,RulebookFields!A2:A1898, 0))="")=TRUE),  "",  INDEX(RulebookFields!C2:C1898, MATCH(D2618,RulebookFields!A2:A1898, 0))), "")</f>
        <v>ProcedureExecutions</v>
      </c>
      <c r="I2618" s="4" t="str">
        <f>_xlfn.IFNA(IF(((INDEX(RulebookFields!D2:D1898, MATCH(D2618,RulebookFields!A2:A1898, 0))="")=TRUE),  "",  INDEX(RulebookFields!D2:D1898, MATCH(D2618,RulebookFields!A2:A1898, 0))), "")</f>
        <v>ExecutionStatus</v>
      </c>
      <c r="J2618" s="4" t="b">
        <f>_xlfn.IFNA(IF(((INDEX(RulebookFields!I2:I1898, MATCH(D2618,RulebookFields!A2:A1898, 0))="")=TRUE),  "",  INDEX(RulebookFields!I2:I1898, MATCH(D2618,RulebookFields!A2:A1898, 0))), "")</f>
        <v>0</v>
      </c>
      <c r="K2618" s="4" t="b">
        <f>AND(((F2618)=TRUE), ((J2618)=TRUE))</f>
        <v>0</v>
      </c>
      <c r="L2618" s="4" t="b">
        <f>AND(((G2618 &lt;&gt; "plain")=TRUE), ((G2618 &lt;&gt; "")=TRUE))</f>
        <v>0</v>
      </c>
      <c r="M2618" s="4" t="str">
        <f>IF(((E2618)=TRUE),  C2618 &amp; "|" &amp; H2618,  "")</f>
        <v>principal-knowledge-authority|ProcedureExecutions</v>
      </c>
      <c r="N2618" s="3" t="s">
        <v>10004</v>
      </c>
    </row>
    <row r="2619">
      <c r="A2619" s="3" t="s">
        <v>12621</v>
      </c>
      <c r="B2619" s="4" t="str">
        <f>C2619 &amp; " -&gt; " &amp; D2619</f>
        <v>principal-knowledge-authority -&gt; ProcedureExecutions.StartedAt</v>
      </c>
      <c r="C2619" s="3" t="s">
        <v>9774</v>
      </c>
      <c r="D2619" s="3" t="s">
        <v>3431</v>
      </c>
      <c r="E2619" s="3" t="b">
        <v>1</v>
      </c>
      <c r="F2619" s="3" t="b">
        <v>0</v>
      </c>
      <c r="G2619" s="3" t="s">
        <v>10003</v>
      </c>
      <c r="H2619" s="4" t="str">
        <f>_xlfn.IFNA(IF(((INDEX(RulebookFields!C2:C1898, MATCH(D2619,RulebookFields!A2:A1898, 0))="")=TRUE),  "",  INDEX(RulebookFields!C2:C1898, MATCH(D2619,RulebookFields!A2:A1898, 0))), "")</f>
        <v>ProcedureExecutions</v>
      </c>
      <c r="I2619" s="4" t="str">
        <f>_xlfn.IFNA(IF(((INDEX(RulebookFields!D2:D1898, MATCH(D2619,RulebookFields!A2:A1898, 0))="")=TRUE),  "",  INDEX(RulebookFields!D2:D1898, MATCH(D2619,RulebookFields!A2:A1898, 0))), "")</f>
        <v>StartedAt</v>
      </c>
      <c r="J2619" s="4" t="b">
        <f>_xlfn.IFNA(IF(((INDEX(RulebookFields!I2:I1898, MATCH(D2619,RulebookFields!A2:A1898, 0))="")=TRUE),  "",  INDEX(RulebookFields!I2:I1898, MATCH(D2619,RulebookFields!A2:A1898, 0))), "")</f>
        <v>0</v>
      </c>
      <c r="K2619" s="4" t="b">
        <f>AND(((F2619)=TRUE), ((J2619)=TRUE))</f>
        <v>0</v>
      </c>
      <c r="L2619" s="4" t="b">
        <f>AND(((G2619 &lt;&gt; "plain")=TRUE), ((G2619 &lt;&gt; "")=TRUE))</f>
        <v>0</v>
      </c>
      <c r="M2619" s="4" t="str">
        <f>IF(((E2619)=TRUE),  C2619 &amp; "|" &amp; H2619,  "")</f>
        <v>principal-knowledge-authority|ProcedureExecutions</v>
      </c>
      <c r="N2619" s="3" t="s">
        <v>10004</v>
      </c>
    </row>
    <row r="2620">
      <c r="A2620" s="3" t="s">
        <v>12622</v>
      </c>
      <c r="B2620" s="4" t="str">
        <f>C2620 &amp; " -&gt; " &amp; D2620</f>
        <v>principal-knowledge-authority -&gt; ProcedureExecutions.EndedAt</v>
      </c>
      <c r="C2620" s="3" t="s">
        <v>9774</v>
      </c>
      <c r="D2620" s="3" t="s">
        <v>3432</v>
      </c>
      <c r="E2620" s="3" t="b">
        <v>1</v>
      </c>
      <c r="F2620" s="3" t="b">
        <v>0</v>
      </c>
      <c r="G2620" s="3" t="s">
        <v>10003</v>
      </c>
      <c r="H2620" s="4" t="str">
        <f>_xlfn.IFNA(IF(((INDEX(RulebookFields!C2:C1898, MATCH(D2620,RulebookFields!A2:A1898, 0))="")=TRUE),  "",  INDEX(RulebookFields!C2:C1898, MATCH(D2620,RulebookFields!A2:A1898, 0))), "")</f>
        <v>ProcedureExecutions</v>
      </c>
      <c r="I2620" s="4" t="str">
        <f>_xlfn.IFNA(IF(((INDEX(RulebookFields!D2:D1898, MATCH(D2620,RulebookFields!A2:A1898, 0))="")=TRUE),  "",  INDEX(RulebookFields!D2:D1898, MATCH(D2620,RulebookFields!A2:A1898, 0))), "")</f>
        <v>EndedAt</v>
      </c>
      <c r="J2620" s="4" t="b">
        <f>_xlfn.IFNA(IF(((INDEX(RulebookFields!I2:I1898, MATCH(D2620,RulebookFields!A2:A1898, 0))="")=TRUE),  "",  INDEX(RulebookFields!I2:I1898, MATCH(D2620,RulebookFields!A2:A1898, 0))), "")</f>
        <v>0</v>
      </c>
      <c r="K2620" s="4" t="b">
        <f>AND(((F2620)=TRUE), ((J2620)=TRUE))</f>
        <v>0</v>
      </c>
      <c r="L2620" s="4" t="b">
        <f>AND(((G2620 &lt;&gt; "plain")=TRUE), ((G2620 &lt;&gt; "")=TRUE))</f>
        <v>0</v>
      </c>
      <c r="M2620" s="4" t="str">
        <f>IF(((E2620)=TRUE),  C2620 &amp; "|" &amp; H2620,  "")</f>
        <v>principal-knowledge-authority|ProcedureExecutions</v>
      </c>
      <c r="N2620" s="3" t="s">
        <v>10004</v>
      </c>
    </row>
    <row r="2621">
      <c r="A2621" s="3" t="s">
        <v>12623</v>
      </c>
      <c r="B2621" s="4" t="str">
        <f>C2621 &amp; " -&gt; " &amp; D2621</f>
        <v>principal-knowledge-authority -&gt; ProcedureExecutions.ExecutedByAgent</v>
      </c>
      <c r="C2621" s="3" t="s">
        <v>9774</v>
      </c>
      <c r="D2621" s="3" t="s">
        <v>3433</v>
      </c>
      <c r="E2621" s="3" t="b">
        <v>1</v>
      </c>
      <c r="F2621" s="3" t="b">
        <v>0</v>
      </c>
      <c r="G2621" s="3" t="s">
        <v>10003</v>
      </c>
      <c r="H2621" s="4" t="str">
        <f>_xlfn.IFNA(IF(((INDEX(RulebookFields!C2:C1898, MATCH(D2621,RulebookFields!A2:A1898, 0))="")=TRUE),  "",  INDEX(RulebookFields!C2:C1898, MATCH(D2621,RulebookFields!A2:A1898, 0))), "")</f>
        <v>ProcedureExecutions</v>
      </c>
      <c r="I2621" s="4" t="str">
        <f>_xlfn.IFNA(IF(((INDEX(RulebookFields!D2:D1898, MATCH(D2621,RulebookFields!A2:A1898, 0))="")=TRUE),  "",  INDEX(RulebookFields!D2:D1898, MATCH(D2621,RulebookFields!A2:A1898, 0))), "")</f>
        <v>ExecutedByAgent</v>
      </c>
      <c r="J2621" s="4" t="b">
        <f>_xlfn.IFNA(IF(((INDEX(RulebookFields!I2:I1898, MATCH(D2621,RulebookFields!A2:A1898, 0))="")=TRUE),  "",  INDEX(RulebookFields!I2:I1898, MATCH(D2621,RulebookFields!A2:A1898, 0))), "")</f>
        <v>0</v>
      </c>
      <c r="K2621" s="4" t="b">
        <f>AND(((F2621)=TRUE), ((J2621)=TRUE))</f>
        <v>0</v>
      </c>
      <c r="L2621" s="4" t="b">
        <f>AND(((G2621 &lt;&gt; "plain")=TRUE), ((G2621 &lt;&gt; "")=TRUE))</f>
        <v>0</v>
      </c>
      <c r="M2621" s="4" t="str">
        <f>IF(((E2621)=TRUE),  C2621 &amp; "|" &amp; H2621,  "")</f>
        <v>principal-knowledge-authority|ProcedureExecutions</v>
      </c>
      <c r="N2621" s="3" t="s">
        <v>10004</v>
      </c>
    </row>
    <row r="2622">
      <c r="A2622" s="3" t="s">
        <v>12624</v>
      </c>
      <c r="B2622" s="4" t="str">
        <f>C2622 &amp; " -&gt; " &amp; D2622</f>
        <v>principal-knowledge-authority -&gt; ProcedureExecutions.Context</v>
      </c>
      <c r="C2622" s="3" t="s">
        <v>9774</v>
      </c>
      <c r="D2622" s="3" t="s">
        <v>3434</v>
      </c>
      <c r="E2622" s="3" t="b">
        <v>1</v>
      </c>
      <c r="F2622" s="3" t="b">
        <v>0</v>
      </c>
      <c r="G2622" s="3" t="s">
        <v>10003</v>
      </c>
      <c r="H2622" s="4" t="str">
        <f>_xlfn.IFNA(IF(((INDEX(RulebookFields!C2:C1898, MATCH(D2622,RulebookFields!A2:A1898, 0))="")=TRUE),  "",  INDEX(RulebookFields!C2:C1898, MATCH(D2622,RulebookFields!A2:A1898, 0))), "")</f>
        <v>ProcedureExecutions</v>
      </c>
      <c r="I2622" s="4" t="str">
        <f>_xlfn.IFNA(IF(((INDEX(RulebookFields!D2:D1898, MATCH(D2622,RulebookFields!A2:A1898, 0))="")=TRUE),  "",  INDEX(RulebookFields!D2:D1898, MATCH(D2622,RulebookFields!A2:A1898, 0))), "")</f>
        <v>Context</v>
      </c>
      <c r="J2622" s="4" t="b">
        <f>_xlfn.IFNA(IF(((INDEX(RulebookFields!I2:I1898, MATCH(D2622,RulebookFields!A2:A1898, 0))="")=TRUE),  "",  INDEX(RulebookFields!I2:I1898, MATCH(D2622,RulebookFields!A2:A1898, 0))), "")</f>
        <v>0</v>
      </c>
      <c r="K2622" s="4" t="b">
        <f>AND(((F2622)=TRUE), ((J2622)=TRUE))</f>
        <v>0</v>
      </c>
      <c r="L2622" s="4" t="b">
        <f>AND(((G2622 &lt;&gt; "plain")=TRUE), ((G2622 &lt;&gt; "")=TRUE))</f>
        <v>0</v>
      </c>
      <c r="M2622" s="4" t="str">
        <f>IF(((E2622)=TRUE),  C2622 &amp; "|" &amp; H2622,  "")</f>
        <v>principal-knowledge-authority|ProcedureExecutions</v>
      </c>
      <c r="N2622" s="3" t="s">
        <v>10004</v>
      </c>
    </row>
    <row r="2623">
      <c r="A2623" s="3" t="s">
        <v>12625</v>
      </c>
      <c r="B2623" s="4" t="str">
        <f>C2623 &amp; " -&gt; " &amp; D2623</f>
        <v>principal-knowledge-authority -&gt; ProcedureExecutions.OperationalRecordUri</v>
      </c>
      <c r="C2623" s="3" t="s">
        <v>9774</v>
      </c>
      <c r="D2623" s="3" t="s">
        <v>3435</v>
      </c>
      <c r="E2623" s="3" t="b">
        <v>1</v>
      </c>
      <c r="F2623" s="3" t="b">
        <v>0</v>
      </c>
      <c r="G2623" s="3" t="s">
        <v>10003</v>
      </c>
      <c r="H2623" s="4" t="str">
        <f>_xlfn.IFNA(IF(((INDEX(RulebookFields!C2:C1898, MATCH(D2623,RulebookFields!A2:A1898, 0))="")=TRUE),  "",  INDEX(RulebookFields!C2:C1898, MATCH(D2623,RulebookFields!A2:A1898, 0))), "")</f>
        <v>ProcedureExecutions</v>
      </c>
      <c r="I2623" s="4" t="str">
        <f>_xlfn.IFNA(IF(((INDEX(RulebookFields!D2:D1898, MATCH(D2623,RulebookFields!A2:A1898, 0))="")=TRUE),  "",  INDEX(RulebookFields!D2:D1898, MATCH(D2623,RulebookFields!A2:A1898, 0))), "")</f>
        <v>OperationalRecordUri</v>
      </c>
      <c r="J2623" s="4" t="b">
        <f>_xlfn.IFNA(IF(((INDEX(RulebookFields!I2:I1898, MATCH(D2623,RulebookFields!A2:A1898, 0))="")=TRUE),  "",  INDEX(RulebookFields!I2:I1898, MATCH(D2623,RulebookFields!A2:A1898, 0))), "")</f>
        <v>0</v>
      </c>
      <c r="K2623" s="4" t="b">
        <f>AND(((F2623)=TRUE), ((J2623)=TRUE))</f>
        <v>0</v>
      </c>
      <c r="L2623" s="4" t="b">
        <f>AND(((G2623 &lt;&gt; "plain")=TRUE), ((G2623 &lt;&gt; "")=TRUE))</f>
        <v>0</v>
      </c>
      <c r="M2623" s="4" t="str">
        <f>IF(((E2623)=TRUE),  C2623 &amp; "|" &amp; H2623,  "")</f>
        <v>principal-knowledge-authority|ProcedureExecutions</v>
      </c>
      <c r="N2623" s="3" t="s">
        <v>10004</v>
      </c>
    </row>
    <row r="2624">
      <c r="A2624" s="3" t="s">
        <v>12626</v>
      </c>
      <c r="B2624" s="4" t="str">
        <f>C2624 &amp; " -&gt; " &amp; D2624</f>
        <v>principal-knowledge-authority -&gt; ProcedureExecutions.ExpectedStepCount</v>
      </c>
      <c r="C2624" s="3" t="s">
        <v>9774</v>
      </c>
      <c r="D2624" s="3" t="s">
        <v>3436</v>
      </c>
      <c r="E2624" s="3" t="b">
        <v>1</v>
      </c>
      <c r="F2624" s="3" t="b">
        <v>0</v>
      </c>
      <c r="G2624" s="3" t="s">
        <v>10003</v>
      </c>
      <c r="H2624" s="4" t="str">
        <f>_xlfn.IFNA(IF(((INDEX(RulebookFields!C2:C1898, MATCH(D2624,RulebookFields!A2:A1898, 0))="")=TRUE),  "",  INDEX(RulebookFields!C2:C1898, MATCH(D2624,RulebookFields!A2:A1898, 0))), "")</f>
        <v>ProcedureExecutions</v>
      </c>
      <c r="I2624" s="4" t="str">
        <f>_xlfn.IFNA(IF(((INDEX(RulebookFields!D2:D1898, MATCH(D2624,RulebookFields!A2:A1898, 0))="")=TRUE),  "",  INDEX(RulebookFields!D2:D1898, MATCH(D2624,RulebookFields!A2:A1898, 0))), "")</f>
        <v>ExpectedStepCount</v>
      </c>
      <c r="J2624" s="4" t="b">
        <f>_xlfn.IFNA(IF(((INDEX(RulebookFields!I2:I1898, MATCH(D2624,RulebookFields!A2:A1898, 0))="")=TRUE),  "",  INDEX(RulebookFields!I2:I1898, MATCH(D2624,RulebookFields!A2:A1898, 0))), "")</f>
        <v>1</v>
      </c>
      <c r="K2624" s="4" t="b">
        <f>AND(((F2624)=TRUE), ((J2624)=TRUE))</f>
        <v>0</v>
      </c>
      <c r="L2624" s="4" t="b">
        <f>AND(((G2624 &lt;&gt; "plain")=TRUE), ((G2624 &lt;&gt; "")=TRUE))</f>
        <v>0</v>
      </c>
      <c r="M2624" s="4" t="str">
        <f>IF(((E2624)=TRUE),  C2624 &amp; "|" &amp; H2624,  "")</f>
        <v>principal-knowledge-authority|ProcedureExecutions</v>
      </c>
      <c r="N2624" s="3" t="s">
        <v>10004</v>
      </c>
    </row>
    <row r="2625">
      <c r="A2625" s="3" t="s">
        <v>12627</v>
      </c>
      <c r="B2625" s="4" t="str">
        <f>C2625 &amp; " -&gt; " &amp; D2625</f>
        <v>principal-knowledge-authority -&gt; ProcedureExecutions.CompletedStepCount</v>
      </c>
      <c r="C2625" s="3" t="s">
        <v>9774</v>
      </c>
      <c r="D2625" s="3" t="s">
        <v>3438</v>
      </c>
      <c r="E2625" s="3" t="b">
        <v>1</v>
      </c>
      <c r="F2625" s="3" t="b">
        <v>0</v>
      </c>
      <c r="G2625" s="3" t="s">
        <v>10003</v>
      </c>
      <c r="H2625" s="4" t="str">
        <f>_xlfn.IFNA(IF(((INDEX(RulebookFields!C2:C1898, MATCH(D2625,RulebookFields!A2:A1898, 0))="")=TRUE),  "",  INDEX(RulebookFields!C2:C1898, MATCH(D2625,RulebookFields!A2:A1898, 0))), "")</f>
        <v>ProcedureExecutions</v>
      </c>
      <c r="I2625" s="4" t="str">
        <f>_xlfn.IFNA(IF(((INDEX(RulebookFields!D2:D1898, MATCH(D2625,RulebookFields!A2:A1898, 0))="")=TRUE),  "",  INDEX(RulebookFields!D2:D1898, MATCH(D2625,RulebookFields!A2:A1898, 0))), "")</f>
        <v>CompletedStepCount</v>
      </c>
      <c r="J2625" s="4" t="b">
        <f>_xlfn.IFNA(IF(((INDEX(RulebookFields!I2:I1898, MATCH(D2625,RulebookFields!A2:A1898, 0))="")=TRUE),  "",  INDEX(RulebookFields!I2:I1898, MATCH(D2625,RulebookFields!A2:A1898, 0))), "")</f>
        <v>1</v>
      </c>
      <c r="K2625" s="4" t="b">
        <f>AND(((F2625)=TRUE), ((J2625)=TRUE))</f>
        <v>0</v>
      </c>
      <c r="L2625" s="4" t="b">
        <f>AND(((G2625 &lt;&gt; "plain")=TRUE), ((G2625 &lt;&gt; "")=TRUE))</f>
        <v>0</v>
      </c>
      <c r="M2625" s="4" t="str">
        <f>IF(((E2625)=TRUE),  C2625 &amp; "|" &amp; H2625,  "")</f>
        <v>principal-knowledge-authority|ProcedureExecutions</v>
      </c>
      <c r="N2625" s="3" t="s">
        <v>10004</v>
      </c>
    </row>
    <row r="2626">
      <c r="A2626" s="3" t="s">
        <v>12628</v>
      </c>
      <c r="B2626" s="4" t="str">
        <f>C2626 &amp; " -&gt; " &amp; D2626</f>
        <v>principal-knowledge-authority -&gt; ProcedureExecutions.ControlBreachCount</v>
      </c>
      <c r="C2626" s="3" t="s">
        <v>9774</v>
      </c>
      <c r="D2626" s="3" t="s">
        <v>3440</v>
      </c>
      <c r="E2626" s="3" t="b">
        <v>1</v>
      </c>
      <c r="F2626" s="3" t="b">
        <v>0</v>
      </c>
      <c r="G2626" s="3" t="s">
        <v>10003</v>
      </c>
      <c r="H2626" s="4" t="str">
        <f>_xlfn.IFNA(IF(((INDEX(RulebookFields!C2:C1898, MATCH(D2626,RulebookFields!A2:A1898, 0))="")=TRUE),  "",  INDEX(RulebookFields!C2:C1898, MATCH(D2626,RulebookFields!A2:A1898, 0))), "")</f>
        <v>ProcedureExecutions</v>
      </c>
      <c r="I2626" s="4" t="str">
        <f>_xlfn.IFNA(IF(((INDEX(RulebookFields!D2:D1898, MATCH(D2626,RulebookFields!A2:A1898, 0))="")=TRUE),  "",  INDEX(RulebookFields!D2:D1898, MATCH(D2626,RulebookFields!A2:A1898, 0))), "")</f>
        <v>ControlBreachCount</v>
      </c>
      <c r="J2626" s="4" t="b">
        <f>_xlfn.IFNA(IF(((INDEX(RulebookFields!I2:I1898, MATCH(D2626,RulebookFields!A2:A1898, 0))="")=TRUE),  "",  INDEX(RulebookFields!I2:I1898, MATCH(D2626,RulebookFields!A2:A1898, 0))), "")</f>
        <v>1</v>
      </c>
      <c r="K2626" s="4" t="b">
        <f>AND(((F2626)=TRUE), ((J2626)=TRUE))</f>
        <v>0</v>
      </c>
      <c r="L2626" s="4" t="b">
        <f>AND(((G2626 &lt;&gt; "plain")=TRUE), ((G2626 &lt;&gt; "")=TRUE))</f>
        <v>0</v>
      </c>
      <c r="M2626" s="4" t="str">
        <f>IF(((E2626)=TRUE),  C2626 &amp; "|" &amp; H2626,  "")</f>
        <v>principal-knowledge-authority|ProcedureExecutions</v>
      </c>
      <c r="N2626" s="3" t="s">
        <v>10004</v>
      </c>
    </row>
    <row r="2627">
      <c r="A2627" s="3" t="s">
        <v>12629</v>
      </c>
      <c r="B2627" s="4" t="str">
        <f>C2627 &amp; " -&gt; " &amp; D2627</f>
        <v>principal-knowledge-authority -&gt; ProcedureExecutions.LateStepCount</v>
      </c>
      <c r="C2627" s="3" t="s">
        <v>9774</v>
      </c>
      <c r="D2627" s="3" t="s">
        <v>3442</v>
      </c>
      <c r="E2627" s="3" t="b">
        <v>1</v>
      </c>
      <c r="F2627" s="3" t="b">
        <v>0</v>
      </c>
      <c r="G2627" s="3" t="s">
        <v>10003</v>
      </c>
      <c r="H2627" s="4" t="str">
        <f>_xlfn.IFNA(IF(((INDEX(RulebookFields!C2:C1898, MATCH(D2627,RulebookFields!A2:A1898, 0))="")=TRUE),  "",  INDEX(RulebookFields!C2:C1898, MATCH(D2627,RulebookFields!A2:A1898, 0))), "")</f>
        <v>ProcedureExecutions</v>
      </c>
      <c r="I2627" s="4" t="str">
        <f>_xlfn.IFNA(IF(((INDEX(RulebookFields!D2:D1898, MATCH(D2627,RulebookFields!A2:A1898, 0))="")=TRUE),  "",  INDEX(RulebookFields!D2:D1898, MATCH(D2627,RulebookFields!A2:A1898, 0))), "")</f>
        <v>LateStepCount</v>
      </c>
      <c r="J2627" s="4" t="b">
        <f>_xlfn.IFNA(IF(((INDEX(RulebookFields!I2:I1898, MATCH(D2627,RulebookFields!A2:A1898, 0))="")=TRUE),  "",  INDEX(RulebookFields!I2:I1898, MATCH(D2627,RulebookFields!A2:A1898, 0))), "")</f>
        <v>1</v>
      </c>
      <c r="K2627" s="4" t="b">
        <f>AND(((F2627)=TRUE), ((J2627)=TRUE))</f>
        <v>0</v>
      </c>
      <c r="L2627" s="4" t="b">
        <f>AND(((G2627 &lt;&gt; "plain")=TRUE), ((G2627 &lt;&gt; "")=TRUE))</f>
        <v>0</v>
      </c>
      <c r="M2627" s="4" t="str">
        <f>IF(((E2627)=TRUE),  C2627 &amp; "|" &amp; H2627,  "")</f>
        <v>principal-knowledge-authority|ProcedureExecutions</v>
      </c>
      <c r="N2627" s="3" t="s">
        <v>10004</v>
      </c>
    </row>
    <row r="2628">
      <c r="A2628" s="3" t="s">
        <v>12630</v>
      </c>
      <c r="B2628" s="4" t="str">
        <f>C2628 &amp; " -&gt; " &amp; D2628</f>
        <v>principal-knowledge-authority -&gt; ProcedureExecutions.IsStructurallyComplete</v>
      </c>
      <c r="C2628" s="3" t="s">
        <v>9774</v>
      </c>
      <c r="D2628" s="3" t="s">
        <v>3444</v>
      </c>
      <c r="E2628" s="3" t="b">
        <v>1</v>
      </c>
      <c r="F2628" s="3" t="b">
        <v>0</v>
      </c>
      <c r="G2628" s="3" t="s">
        <v>10003</v>
      </c>
      <c r="H2628" s="4" t="str">
        <f>_xlfn.IFNA(IF(((INDEX(RulebookFields!C2:C1898, MATCH(D2628,RulebookFields!A2:A1898, 0))="")=TRUE),  "",  INDEX(RulebookFields!C2:C1898, MATCH(D2628,RulebookFields!A2:A1898, 0))), "")</f>
        <v>ProcedureExecutions</v>
      </c>
      <c r="I2628" s="4" t="str">
        <f>_xlfn.IFNA(IF(((INDEX(RulebookFields!D2:D1898, MATCH(D2628,RulebookFields!A2:A1898, 0))="")=TRUE),  "",  INDEX(RulebookFields!D2:D1898, MATCH(D2628,RulebookFields!A2:A1898, 0))), "")</f>
        <v>IsStructurallyComplete</v>
      </c>
      <c r="J2628" s="4" t="b">
        <f>_xlfn.IFNA(IF(((INDEX(RulebookFields!I2:I1898, MATCH(D2628,RulebookFields!A2:A1898, 0))="")=TRUE),  "",  INDEX(RulebookFields!I2:I1898, MATCH(D2628,RulebookFields!A2:A1898, 0))), "")</f>
        <v>1</v>
      </c>
      <c r="K2628" s="4" t="b">
        <f>AND(((F2628)=TRUE), ((J2628)=TRUE))</f>
        <v>0</v>
      </c>
      <c r="L2628" s="4" t="b">
        <f>AND(((G2628 &lt;&gt; "plain")=TRUE), ((G2628 &lt;&gt; "")=TRUE))</f>
        <v>0</v>
      </c>
      <c r="M2628" s="4" t="str">
        <f>IF(((E2628)=TRUE),  C2628 &amp; "|" &amp; H2628,  "")</f>
        <v>principal-knowledge-authority|ProcedureExecutions</v>
      </c>
      <c r="N2628" s="3" t="s">
        <v>10004</v>
      </c>
    </row>
    <row r="2629">
      <c r="A2629" s="3" t="s">
        <v>12631</v>
      </c>
      <c r="B2629" s="4" t="str">
        <f>C2629 &amp; " -&gt; " &amp; D2629</f>
        <v>principal-knowledge-authority -&gt; ProcedureExecutions.DivergedFromSpecification</v>
      </c>
      <c r="C2629" s="3" t="s">
        <v>9774</v>
      </c>
      <c r="D2629" s="3" t="s">
        <v>3446</v>
      </c>
      <c r="E2629" s="3" t="b">
        <v>1</v>
      </c>
      <c r="F2629" s="3" t="b">
        <v>0</v>
      </c>
      <c r="G2629" s="3" t="s">
        <v>10003</v>
      </c>
      <c r="H2629" s="4" t="str">
        <f>_xlfn.IFNA(IF(((INDEX(RulebookFields!C2:C1898, MATCH(D2629,RulebookFields!A2:A1898, 0))="")=TRUE),  "",  INDEX(RulebookFields!C2:C1898, MATCH(D2629,RulebookFields!A2:A1898, 0))), "")</f>
        <v>ProcedureExecutions</v>
      </c>
      <c r="I2629" s="4" t="str">
        <f>_xlfn.IFNA(IF(((INDEX(RulebookFields!D2:D1898, MATCH(D2629,RulebookFields!A2:A1898, 0))="")=TRUE),  "",  INDEX(RulebookFields!D2:D1898, MATCH(D2629,RulebookFields!A2:A1898, 0))), "")</f>
        <v>DivergedFromSpecification</v>
      </c>
      <c r="J2629" s="4" t="b">
        <f>_xlfn.IFNA(IF(((INDEX(RulebookFields!I2:I1898, MATCH(D2629,RulebookFields!A2:A1898, 0))="")=TRUE),  "",  INDEX(RulebookFields!I2:I1898, MATCH(D2629,RulebookFields!A2:A1898, 0))), "")</f>
        <v>1</v>
      </c>
      <c r="K2629" s="4" t="b">
        <f>AND(((F2629)=TRUE), ((J2629)=TRUE))</f>
        <v>0</v>
      </c>
      <c r="L2629" s="4" t="b">
        <f>AND(((G2629 &lt;&gt; "plain")=TRUE), ((G2629 &lt;&gt; "")=TRUE))</f>
        <v>0</v>
      </c>
      <c r="M2629" s="4" t="str">
        <f>IF(((E2629)=TRUE),  C2629 &amp; "|" &amp; H2629,  "")</f>
        <v>principal-knowledge-authority|ProcedureExecutions</v>
      </c>
      <c r="N2629" s="3" t="s">
        <v>10004</v>
      </c>
    </row>
    <row r="2630">
      <c r="A2630" s="3" t="s">
        <v>12632</v>
      </c>
      <c r="B2630" s="4" t="str">
        <f>C2630 &amp; " -&gt; " &amp; D2630</f>
        <v>principal-knowledge-authority -&gt; ProcedureExecutions.AllBlockingControlsEvaluated</v>
      </c>
      <c r="C2630" s="3" t="s">
        <v>9774</v>
      </c>
      <c r="D2630" s="3" t="s">
        <v>3448</v>
      </c>
      <c r="E2630" s="3" t="b">
        <v>1</v>
      </c>
      <c r="F2630" s="3" t="b">
        <v>0</v>
      </c>
      <c r="G2630" s="3" t="s">
        <v>10003</v>
      </c>
      <c r="H2630" s="4" t="str">
        <f>_xlfn.IFNA(IF(((INDEX(RulebookFields!C2:C1898, MATCH(D2630,RulebookFields!A2:A1898, 0))="")=TRUE),  "",  INDEX(RulebookFields!C2:C1898, MATCH(D2630,RulebookFields!A2:A1898, 0))), "")</f>
        <v>ProcedureExecutions</v>
      </c>
      <c r="I2630" s="4" t="str">
        <f>_xlfn.IFNA(IF(((INDEX(RulebookFields!D2:D1898, MATCH(D2630,RulebookFields!A2:A1898, 0))="")=TRUE),  "",  INDEX(RulebookFields!D2:D1898, MATCH(D2630,RulebookFields!A2:A1898, 0))), "")</f>
        <v>AllBlockingControlsEvaluated</v>
      </c>
      <c r="J2630" s="4" t="b">
        <f>_xlfn.IFNA(IF(((INDEX(RulebookFields!I2:I1898, MATCH(D2630,RulebookFields!A2:A1898, 0))="")=TRUE),  "",  INDEX(RulebookFields!I2:I1898, MATCH(D2630,RulebookFields!A2:A1898, 0))), "")</f>
        <v>1</v>
      </c>
      <c r="K2630" s="4" t="b">
        <f>AND(((F2630)=TRUE), ((J2630)=TRUE))</f>
        <v>0</v>
      </c>
      <c r="L2630" s="4" t="b">
        <f>AND(((G2630 &lt;&gt; "plain")=TRUE), ((G2630 &lt;&gt; "")=TRUE))</f>
        <v>0</v>
      </c>
      <c r="M2630" s="4" t="str">
        <f>IF(((E2630)=TRUE),  C2630 &amp; "|" &amp; H2630,  "")</f>
        <v>principal-knowledge-authority|ProcedureExecutions</v>
      </c>
      <c r="N2630" s="3" t="s">
        <v>10004</v>
      </c>
    </row>
    <row r="2631">
      <c r="A2631" s="3" t="s">
        <v>12633</v>
      </c>
      <c r="B2631" s="4" t="str">
        <f>C2631 &amp; " -&gt; " &amp; D2631</f>
        <v>principal-knowledge-authority -&gt; ProcedureExecutions.UnevaluatedBlockingTotal</v>
      </c>
      <c r="C2631" s="3" t="s">
        <v>9774</v>
      </c>
      <c r="D2631" s="3" t="s">
        <v>3450</v>
      </c>
      <c r="E2631" s="3" t="b">
        <v>1</v>
      </c>
      <c r="F2631" s="3" t="b">
        <v>0</v>
      </c>
      <c r="G2631" s="3" t="s">
        <v>10003</v>
      </c>
      <c r="H2631" s="4" t="str">
        <f>_xlfn.IFNA(IF(((INDEX(RulebookFields!C2:C1898, MATCH(D2631,RulebookFields!A2:A1898, 0))="")=TRUE),  "",  INDEX(RulebookFields!C2:C1898, MATCH(D2631,RulebookFields!A2:A1898, 0))), "")</f>
        <v>ProcedureExecutions</v>
      </c>
      <c r="I2631" s="4" t="str">
        <f>_xlfn.IFNA(IF(((INDEX(RulebookFields!D2:D1898, MATCH(D2631,RulebookFields!A2:A1898, 0))="")=TRUE),  "",  INDEX(RulebookFields!D2:D1898, MATCH(D2631,RulebookFields!A2:A1898, 0))), "")</f>
        <v>UnevaluatedBlockingTotal</v>
      </c>
      <c r="J2631" s="4" t="b">
        <f>_xlfn.IFNA(IF(((INDEX(RulebookFields!I2:I1898, MATCH(D2631,RulebookFields!A2:A1898, 0))="")=TRUE),  "",  INDEX(RulebookFields!I2:I1898, MATCH(D2631,RulebookFields!A2:A1898, 0))), "")</f>
        <v>1</v>
      </c>
      <c r="K2631" s="4" t="b">
        <f>AND(((F2631)=TRUE), ((J2631)=TRUE))</f>
        <v>0</v>
      </c>
      <c r="L2631" s="4" t="b">
        <f>AND(((G2631 &lt;&gt; "plain")=TRUE), ((G2631 &lt;&gt; "")=TRUE))</f>
        <v>0</v>
      </c>
      <c r="M2631" s="4" t="str">
        <f>IF(((E2631)=TRUE),  C2631 &amp; "|" &amp; H2631,  "")</f>
        <v>principal-knowledge-authority|ProcedureExecutions</v>
      </c>
      <c r="N2631" s="3" t="s">
        <v>10004</v>
      </c>
    </row>
    <row r="2632">
      <c r="A2632" s="3" t="s">
        <v>12634</v>
      </c>
      <c r="B2632" s="4" t="str">
        <f>C2632 &amp; " -&gt; " &amp; D2632</f>
        <v>principal-knowledge-authority -&gt; ProcedureExecutions.SeparationOfDutiesHeld</v>
      </c>
      <c r="C2632" s="3" t="s">
        <v>9774</v>
      </c>
      <c r="D2632" s="3" t="s">
        <v>3452</v>
      </c>
      <c r="E2632" s="3" t="b">
        <v>1</v>
      </c>
      <c r="F2632" s="3" t="b">
        <v>0</v>
      </c>
      <c r="G2632" s="3" t="s">
        <v>10003</v>
      </c>
      <c r="H2632" s="4" t="str">
        <f>_xlfn.IFNA(IF(((INDEX(RulebookFields!C2:C1898, MATCH(D2632,RulebookFields!A2:A1898, 0))="")=TRUE),  "",  INDEX(RulebookFields!C2:C1898, MATCH(D2632,RulebookFields!A2:A1898, 0))), "")</f>
        <v>ProcedureExecutions</v>
      </c>
      <c r="I2632" s="4" t="str">
        <f>_xlfn.IFNA(IF(((INDEX(RulebookFields!D2:D1898, MATCH(D2632,RulebookFields!A2:A1898, 0))="")=TRUE),  "",  INDEX(RulebookFields!D2:D1898, MATCH(D2632,RulebookFields!A2:A1898, 0))), "")</f>
        <v>SeparationOfDutiesHeld</v>
      </c>
      <c r="J2632" s="4" t="b">
        <f>_xlfn.IFNA(IF(((INDEX(RulebookFields!I2:I1898, MATCH(D2632,RulebookFields!A2:A1898, 0))="")=TRUE),  "",  INDEX(RulebookFields!I2:I1898, MATCH(D2632,RulebookFields!A2:A1898, 0))), "")</f>
        <v>1</v>
      </c>
      <c r="K2632" s="4" t="b">
        <f>AND(((F2632)=TRUE), ((J2632)=TRUE))</f>
        <v>0</v>
      </c>
      <c r="L2632" s="4" t="b">
        <f>AND(((G2632 &lt;&gt; "plain")=TRUE), ((G2632 &lt;&gt; "")=TRUE))</f>
        <v>0</v>
      </c>
      <c r="M2632" s="4" t="str">
        <f>IF(((E2632)=TRUE),  C2632 &amp; "|" &amp; H2632,  "")</f>
        <v>principal-knowledge-authority|ProcedureExecutions</v>
      </c>
      <c r="N2632" s="3" t="s">
        <v>10004</v>
      </c>
    </row>
    <row r="2633">
      <c r="A2633" s="3" t="s">
        <v>12635</v>
      </c>
      <c r="B2633" s="4" t="str">
        <f>C2633 &amp; " -&gt; " &amp; D2633</f>
        <v>principal-knowledge-authority -&gt; ProcedureExecutions.SeparationViolationCount</v>
      </c>
      <c r="C2633" s="3" t="s">
        <v>9774</v>
      </c>
      <c r="D2633" s="3" t="s">
        <v>3454</v>
      </c>
      <c r="E2633" s="3" t="b">
        <v>1</v>
      </c>
      <c r="F2633" s="3" t="b">
        <v>0</v>
      </c>
      <c r="G2633" s="3" t="s">
        <v>10003</v>
      </c>
      <c r="H2633" s="4" t="str">
        <f>_xlfn.IFNA(IF(((INDEX(RulebookFields!C2:C1898, MATCH(D2633,RulebookFields!A2:A1898, 0))="")=TRUE),  "",  INDEX(RulebookFields!C2:C1898, MATCH(D2633,RulebookFields!A2:A1898, 0))), "")</f>
        <v>ProcedureExecutions</v>
      </c>
      <c r="I2633" s="4" t="str">
        <f>_xlfn.IFNA(IF(((INDEX(RulebookFields!D2:D1898, MATCH(D2633,RulebookFields!A2:A1898, 0))="")=TRUE),  "",  INDEX(RulebookFields!D2:D1898, MATCH(D2633,RulebookFields!A2:A1898, 0))), "")</f>
        <v>SeparationViolationCount</v>
      </c>
      <c r="J2633" s="4" t="b">
        <f>_xlfn.IFNA(IF(((INDEX(RulebookFields!I2:I1898, MATCH(D2633,RulebookFields!A2:A1898, 0))="")=TRUE),  "",  INDEX(RulebookFields!I2:I1898, MATCH(D2633,RulebookFields!A2:A1898, 0))), "")</f>
        <v>1</v>
      </c>
      <c r="K2633" s="4" t="b">
        <f>AND(((F2633)=TRUE), ((J2633)=TRUE))</f>
        <v>0</v>
      </c>
      <c r="L2633" s="4" t="b">
        <f>AND(((G2633 &lt;&gt; "plain")=TRUE), ((G2633 &lt;&gt; "")=TRUE))</f>
        <v>0</v>
      </c>
      <c r="M2633" s="4" t="str">
        <f>IF(((E2633)=TRUE),  C2633 &amp; "|" &amp; H2633,  "")</f>
        <v>principal-knowledge-authority|ProcedureExecutions</v>
      </c>
      <c r="N2633" s="3" t="s">
        <v>10004</v>
      </c>
    </row>
    <row r="2634">
      <c r="A2634" s="3" t="s">
        <v>12636</v>
      </c>
      <c r="B2634" s="4" t="str">
        <f>C2634 &amp; " -&gt; " &amp; D2634</f>
        <v>principal-knowledge-authority -&gt; ProcedureExecutions.IsAttestationReady</v>
      </c>
      <c r="C2634" s="3" t="s">
        <v>9774</v>
      </c>
      <c r="D2634" s="3" t="s">
        <v>3456</v>
      </c>
      <c r="E2634" s="3" t="b">
        <v>1</v>
      </c>
      <c r="F2634" s="3" t="b">
        <v>0</v>
      </c>
      <c r="G2634" s="3" t="s">
        <v>10003</v>
      </c>
      <c r="H2634" s="4" t="str">
        <f>_xlfn.IFNA(IF(((INDEX(RulebookFields!C2:C1898, MATCH(D2634,RulebookFields!A2:A1898, 0))="")=TRUE),  "",  INDEX(RulebookFields!C2:C1898, MATCH(D2634,RulebookFields!A2:A1898, 0))), "")</f>
        <v>ProcedureExecutions</v>
      </c>
      <c r="I2634" s="4" t="str">
        <f>_xlfn.IFNA(IF(((INDEX(RulebookFields!D2:D1898, MATCH(D2634,RulebookFields!A2:A1898, 0))="")=TRUE),  "",  INDEX(RulebookFields!D2:D1898, MATCH(D2634,RulebookFields!A2:A1898, 0))), "")</f>
        <v>IsAttestationReady</v>
      </c>
      <c r="J2634" s="4" t="b">
        <f>_xlfn.IFNA(IF(((INDEX(RulebookFields!I2:I1898, MATCH(D2634,RulebookFields!A2:A1898, 0))="")=TRUE),  "",  INDEX(RulebookFields!I2:I1898, MATCH(D2634,RulebookFields!A2:A1898, 0))), "")</f>
        <v>1</v>
      </c>
      <c r="K2634" s="4" t="b">
        <f>AND(((F2634)=TRUE), ((J2634)=TRUE))</f>
        <v>0</v>
      </c>
      <c r="L2634" s="4" t="b">
        <f>AND(((G2634 &lt;&gt; "plain")=TRUE), ((G2634 &lt;&gt; "")=TRUE))</f>
        <v>0</v>
      </c>
      <c r="M2634" s="4" t="str">
        <f>IF(((E2634)=TRUE),  C2634 &amp; "|" &amp; H2634,  "")</f>
        <v>principal-knowledge-authority|ProcedureExecutions</v>
      </c>
      <c r="N2634" s="3" t="s">
        <v>10004</v>
      </c>
    </row>
    <row r="2635">
      <c r="A2635" s="3" t="s">
        <v>12637</v>
      </c>
      <c r="B2635" s="4" t="str">
        <f>C2635 &amp; " -&gt; " &amp; D2635</f>
        <v>principal-knowledge-authority -&gt; ProcedureExecutions.AttestationBlockerSummary</v>
      </c>
      <c r="C2635" s="3" t="s">
        <v>9774</v>
      </c>
      <c r="D2635" s="3" t="s">
        <v>3458</v>
      </c>
      <c r="E2635" s="3" t="b">
        <v>1</v>
      </c>
      <c r="F2635" s="3" t="b">
        <v>0</v>
      </c>
      <c r="G2635" s="3" t="s">
        <v>10003</v>
      </c>
      <c r="H2635" s="4" t="str">
        <f>_xlfn.IFNA(IF(((INDEX(RulebookFields!C2:C1898, MATCH(D2635,RulebookFields!A2:A1898, 0))="")=TRUE),  "",  INDEX(RulebookFields!C2:C1898, MATCH(D2635,RulebookFields!A2:A1898, 0))), "")</f>
        <v>ProcedureExecutions</v>
      </c>
      <c r="I2635" s="4" t="str">
        <f>_xlfn.IFNA(IF(((INDEX(RulebookFields!D2:D1898, MATCH(D2635,RulebookFields!A2:A1898, 0))="")=TRUE),  "",  INDEX(RulebookFields!D2:D1898, MATCH(D2635,RulebookFields!A2:A1898, 0))), "")</f>
        <v>AttestationBlockerSummary</v>
      </c>
      <c r="J2635" s="4" t="b">
        <f>_xlfn.IFNA(IF(((INDEX(RulebookFields!I2:I1898, MATCH(D2635,RulebookFields!A2:A1898, 0))="")=TRUE),  "",  INDEX(RulebookFields!I2:I1898, MATCH(D2635,RulebookFields!A2:A1898, 0))), "")</f>
        <v>1</v>
      </c>
      <c r="K2635" s="4" t="b">
        <f>AND(((F2635)=TRUE), ((J2635)=TRUE))</f>
        <v>0</v>
      </c>
      <c r="L2635" s="4" t="b">
        <f>AND(((G2635 &lt;&gt; "plain")=TRUE), ((G2635 &lt;&gt; "")=TRUE))</f>
        <v>0</v>
      </c>
      <c r="M2635" s="4" t="str">
        <f>IF(((E2635)=TRUE),  C2635 &amp; "|" &amp; H2635,  "")</f>
        <v>principal-knowledge-authority|ProcedureExecutions</v>
      </c>
      <c r="N2635" s="3" t="s">
        <v>10004</v>
      </c>
    </row>
    <row r="2636">
      <c r="A2636" s="3" t="s">
        <v>12638</v>
      </c>
      <c r="B2636" s="4" t="str">
        <f>C2636 &amp; " -&gt; " &amp; D2636</f>
        <v>principal-knowledge-authority -&gt; ProcedureExecutions.ExecutedVersionIsFit</v>
      </c>
      <c r="C2636" s="3" t="s">
        <v>9774</v>
      </c>
      <c r="D2636" s="3" t="s">
        <v>3460</v>
      </c>
      <c r="E2636" s="3" t="b">
        <v>1</v>
      </c>
      <c r="F2636" s="3" t="b">
        <v>0</v>
      </c>
      <c r="G2636" s="3" t="s">
        <v>10003</v>
      </c>
      <c r="H2636" s="4" t="str">
        <f>_xlfn.IFNA(IF(((INDEX(RulebookFields!C2:C1898, MATCH(D2636,RulebookFields!A2:A1898, 0))="")=TRUE),  "",  INDEX(RulebookFields!C2:C1898, MATCH(D2636,RulebookFields!A2:A1898, 0))), "")</f>
        <v>ProcedureExecutions</v>
      </c>
      <c r="I2636" s="4" t="str">
        <f>_xlfn.IFNA(IF(((INDEX(RulebookFields!D2:D1898, MATCH(D2636,RulebookFields!A2:A1898, 0))="")=TRUE),  "",  INDEX(RulebookFields!D2:D1898, MATCH(D2636,RulebookFields!A2:A1898, 0))), "")</f>
        <v>ExecutedVersionIsFit</v>
      </c>
      <c r="J2636" s="4" t="b">
        <f>_xlfn.IFNA(IF(((INDEX(RulebookFields!I2:I1898, MATCH(D2636,RulebookFields!A2:A1898, 0))="")=TRUE),  "",  INDEX(RulebookFields!I2:I1898, MATCH(D2636,RulebookFields!A2:A1898, 0))), "")</f>
        <v>1</v>
      </c>
      <c r="K2636" s="4" t="b">
        <f>AND(((F2636)=TRUE), ((J2636)=TRUE))</f>
        <v>0</v>
      </c>
      <c r="L2636" s="4" t="b">
        <f>AND(((G2636 &lt;&gt; "plain")=TRUE), ((G2636 &lt;&gt; "")=TRUE))</f>
        <v>0</v>
      </c>
      <c r="M2636" s="4" t="str">
        <f>IF(((E2636)=TRUE),  C2636 &amp; "|" &amp; H2636,  "")</f>
        <v>principal-knowledge-authority|ProcedureExecutions</v>
      </c>
      <c r="N2636" s="3" t="s">
        <v>10004</v>
      </c>
    </row>
    <row r="2637">
      <c r="A2637" s="3" t="s">
        <v>12639</v>
      </c>
      <c r="B2637" s="4" t="str">
        <f>C2637 &amp; " -&gt; " &amp; D2637</f>
        <v>principal-knowledge-authority -&gt; ProcedureExecutions.SignedAgainstUnfitVersion</v>
      </c>
      <c r="C2637" s="3" t="s">
        <v>9774</v>
      </c>
      <c r="D2637" s="3" t="s">
        <v>3462</v>
      </c>
      <c r="E2637" s="3" t="b">
        <v>1</v>
      </c>
      <c r="F2637" s="3" t="b">
        <v>0</v>
      </c>
      <c r="G2637" s="3" t="s">
        <v>10003</v>
      </c>
      <c r="H2637" s="4" t="str">
        <f>_xlfn.IFNA(IF(((INDEX(RulebookFields!C2:C1898, MATCH(D2637,RulebookFields!A2:A1898, 0))="")=TRUE),  "",  INDEX(RulebookFields!C2:C1898, MATCH(D2637,RulebookFields!A2:A1898, 0))), "")</f>
        <v>ProcedureExecutions</v>
      </c>
      <c r="I2637" s="4" t="str">
        <f>_xlfn.IFNA(IF(((INDEX(RulebookFields!D2:D1898, MATCH(D2637,RulebookFields!A2:A1898, 0))="")=TRUE),  "",  INDEX(RulebookFields!D2:D1898, MATCH(D2637,RulebookFields!A2:A1898, 0))), "")</f>
        <v>SignedAgainstUnfitVersion</v>
      </c>
      <c r="J2637" s="4" t="b">
        <f>_xlfn.IFNA(IF(((INDEX(RulebookFields!I2:I1898, MATCH(D2637,RulebookFields!A2:A1898, 0))="")=TRUE),  "",  INDEX(RulebookFields!I2:I1898, MATCH(D2637,RulebookFields!A2:A1898, 0))), "")</f>
        <v>1</v>
      </c>
      <c r="K2637" s="4" t="b">
        <f>AND(((F2637)=TRUE), ((J2637)=TRUE))</f>
        <v>0</v>
      </c>
      <c r="L2637" s="4" t="b">
        <f>AND(((G2637 &lt;&gt; "plain")=TRUE), ((G2637 &lt;&gt; "")=TRUE))</f>
        <v>0</v>
      </c>
      <c r="M2637" s="4" t="str">
        <f>IF(((E2637)=TRUE),  C2637 &amp; "|" &amp; H2637,  "")</f>
        <v>principal-knowledge-authority|ProcedureExecutions</v>
      </c>
      <c r="N2637" s="3" t="s">
        <v>10004</v>
      </c>
    </row>
    <row r="2638">
      <c r="A2638" s="3" t="s">
        <v>12640</v>
      </c>
      <c r="B2638" s="4" t="str">
        <f>C2638 &amp; " -&gt; " &amp; D2638</f>
        <v>principal-knowledge-authority -&gt; ProcedureExecutions.AssertedOnlyControlCount</v>
      </c>
      <c r="C2638" s="3" t="s">
        <v>9774</v>
      </c>
      <c r="D2638" s="3" t="s">
        <v>3464</v>
      </c>
      <c r="E2638" s="3" t="b">
        <v>1</v>
      </c>
      <c r="F2638" s="3" t="b">
        <v>0</v>
      </c>
      <c r="G2638" s="3" t="s">
        <v>10003</v>
      </c>
      <c r="H2638" s="4" t="str">
        <f>_xlfn.IFNA(IF(((INDEX(RulebookFields!C2:C1898, MATCH(D2638,RulebookFields!A2:A1898, 0))="")=TRUE),  "",  INDEX(RulebookFields!C2:C1898, MATCH(D2638,RulebookFields!A2:A1898, 0))), "")</f>
        <v>ProcedureExecutions</v>
      </c>
      <c r="I2638" s="4" t="str">
        <f>_xlfn.IFNA(IF(((INDEX(RulebookFields!D2:D1898, MATCH(D2638,RulebookFields!A2:A1898, 0))="")=TRUE),  "",  INDEX(RulebookFields!D2:D1898, MATCH(D2638,RulebookFields!A2:A1898, 0))), "")</f>
        <v>AssertedOnlyControlCount</v>
      </c>
      <c r="J2638" s="4" t="b">
        <f>_xlfn.IFNA(IF(((INDEX(RulebookFields!I2:I1898, MATCH(D2638,RulebookFields!A2:A1898, 0))="")=TRUE),  "",  INDEX(RulebookFields!I2:I1898, MATCH(D2638,RulebookFields!A2:A1898, 0))), "")</f>
        <v>1</v>
      </c>
      <c r="K2638" s="4" t="b">
        <f>AND(((F2638)=TRUE), ((J2638)=TRUE))</f>
        <v>0</v>
      </c>
      <c r="L2638" s="4" t="b">
        <f>AND(((G2638 &lt;&gt; "plain")=TRUE), ((G2638 &lt;&gt; "")=TRUE))</f>
        <v>0</v>
      </c>
      <c r="M2638" s="4" t="str">
        <f>IF(((E2638)=TRUE),  C2638 &amp; "|" &amp; H2638,  "")</f>
        <v>principal-knowledge-authority|ProcedureExecutions</v>
      </c>
      <c r="N2638" s="3" t="s">
        <v>10004</v>
      </c>
    </row>
    <row r="2639">
      <c r="A2639" s="3" t="s">
        <v>12641</v>
      </c>
      <c r="B2639" s="4" t="str">
        <f>C2639 &amp; " -&gt; " &amp; D2639</f>
        <v>principal-knowledge-authority -&gt; ProcedureExecutions.AssuranceIsMostlyAsserted</v>
      </c>
      <c r="C2639" s="3" t="s">
        <v>9774</v>
      </c>
      <c r="D2639" s="3" t="s">
        <v>3466</v>
      </c>
      <c r="E2639" s="3" t="b">
        <v>1</v>
      </c>
      <c r="F2639" s="3" t="b">
        <v>0</v>
      </c>
      <c r="G2639" s="3" t="s">
        <v>10003</v>
      </c>
      <c r="H2639" s="4" t="str">
        <f>_xlfn.IFNA(IF(((INDEX(RulebookFields!C2:C1898, MATCH(D2639,RulebookFields!A2:A1898, 0))="")=TRUE),  "",  INDEX(RulebookFields!C2:C1898, MATCH(D2639,RulebookFields!A2:A1898, 0))), "")</f>
        <v>ProcedureExecutions</v>
      </c>
      <c r="I2639" s="4" t="str">
        <f>_xlfn.IFNA(IF(((INDEX(RulebookFields!D2:D1898, MATCH(D2639,RulebookFields!A2:A1898, 0))="")=TRUE),  "",  INDEX(RulebookFields!D2:D1898, MATCH(D2639,RulebookFields!A2:A1898, 0))), "")</f>
        <v>AssuranceIsMostlyAsserted</v>
      </c>
      <c r="J2639" s="4" t="b">
        <f>_xlfn.IFNA(IF(((INDEX(RulebookFields!I2:I1898, MATCH(D2639,RulebookFields!A2:A1898, 0))="")=TRUE),  "",  INDEX(RulebookFields!I2:I1898, MATCH(D2639,RulebookFields!A2:A1898, 0))), "")</f>
        <v>1</v>
      </c>
      <c r="K2639" s="4" t="b">
        <f>AND(((F2639)=TRUE), ((J2639)=TRUE))</f>
        <v>0</v>
      </c>
      <c r="L2639" s="4" t="b">
        <f>AND(((G2639 &lt;&gt; "plain")=TRUE), ((G2639 &lt;&gt; "")=TRUE))</f>
        <v>0</v>
      </c>
      <c r="M2639" s="4" t="str">
        <f>IF(((E2639)=TRUE),  C2639 &amp; "|" &amp; H2639,  "")</f>
        <v>principal-knowledge-authority|ProcedureExecutions</v>
      </c>
      <c r="N2639" s="3" t="s">
        <v>10004</v>
      </c>
    </row>
    <row r="2640">
      <c r="A2640" s="3" t="s">
        <v>12642</v>
      </c>
      <c r="B2640" s="4" t="str">
        <f>C2640 &amp; " -&gt; " &amp; D2640</f>
        <v>principal-knowledge-authority -&gt; ProcedureExecutions.UnreachableHandlingFailureCount</v>
      </c>
      <c r="C2640" s="3" t="s">
        <v>9774</v>
      </c>
      <c r="D2640" s="3" t="s">
        <v>3468</v>
      </c>
      <c r="E2640" s="3" t="b">
        <v>1</v>
      </c>
      <c r="F2640" s="3" t="b">
        <v>0</v>
      </c>
      <c r="G2640" s="3" t="s">
        <v>10003</v>
      </c>
      <c r="H2640" s="4" t="str">
        <f>_xlfn.IFNA(IF(((INDEX(RulebookFields!C2:C1898, MATCH(D2640,RulebookFields!A2:A1898, 0))="")=TRUE),  "",  INDEX(RulebookFields!C2:C1898, MATCH(D2640,RulebookFields!A2:A1898, 0))), "")</f>
        <v>ProcedureExecutions</v>
      </c>
      <c r="I2640" s="4" t="str">
        <f>_xlfn.IFNA(IF(((INDEX(RulebookFields!D2:D1898, MATCH(D2640,RulebookFields!A2:A1898, 0))="")=TRUE),  "",  INDEX(RulebookFields!D2:D1898, MATCH(D2640,RulebookFields!A2:A1898, 0))), "")</f>
        <v>UnreachableHandlingFailureCount</v>
      </c>
      <c r="J2640" s="4" t="b">
        <f>_xlfn.IFNA(IF(((INDEX(RulebookFields!I2:I1898, MATCH(D2640,RulebookFields!A2:A1898, 0))="")=TRUE),  "",  INDEX(RulebookFields!I2:I1898, MATCH(D2640,RulebookFields!A2:A1898, 0))), "")</f>
        <v>1</v>
      </c>
      <c r="K2640" s="4" t="b">
        <f>AND(((F2640)=TRUE), ((J2640)=TRUE))</f>
        <v>0</v>
      </c>
      <c r="L2640" s="4" t="b">
        <f>AND(((G2640 &lt;&gt; "plain")=TRUE), ((G2640 &lt;&gt; "")=TRUE))</f>
        <v>0</v>
      </c>
      <c r="M2640" s="4" t="str">
        <f>IF(((E2640)=TRUE),  C2640 &amp; "|" &amp; H2640,  "")</f>
        <v>principal-knowledge-authority|ProcedureExecutions</v>
      </c>
      <c r="N2640" s="3" t="s">
        <v>10004</v>
      </c>
    </row>
    <row r="2641">
      <c r="A2641" s="3" t="s">
        <v>12643</v>
      </c>
      <c r="B2641" s="4" t="str">
        <f>C2641 &amp; " -&gt; " &amp; D2641</f>
        <v>principal-knowledge-authority -&gt; ProcedureExecutions.RetentionBreachCount</v>
      </c>
      <c r="C2641" s="3" t="s">
        <v>9774</v>
      </c>
      <c r="D2641" s="3" t="s">
        <v>3470</v>
      </c>
      <c r="E2641" s="3" t="b">
        <v>1</v>
      </c>
      <c r="F2641" s="3" t="b">
        <v>0</v>
      </c>
      <c r="G2641" s="3" t="s">
        <v>10003</v>
      </c>
      <c r="H2641" s="4" t="str">
        <f>_xlfn.IFNA(IF(((INDEX(RulebookFields!C2:C1898, MATCH(D2641,RulebookFields!A2:A1898, 0))="")=TRUE),  "",  INDEX(RulebookFields!C2:C1898, MATCH(D2641,RulebookFields!A2:A1898, 0))), "")</f>
        <v>ProcedureExecutions</v>
      </c>
      <c r="I2641" s="4" t="str">
        <f>_xlfn.IFNA(IF(((INDEX(RulebookFields!D2:D1898, MATCH(D2641,RulebookFields!A2:A1898, 0))="")=TRUE),  "",  INDEX(RulebookFields!D2:D1898, MATCH(D2641,RulebookFields!A2:A1898, 0))), "")</f>
        <v>RetentionBreachCount</v>
      </c>
      <c r="J2641" s="4" t="b">
        <f>_xlfn.IFNA(IF(((INDEX(RulebookFields!I2:I1898, MATCH(D2641,RulebookFields!A2:A1898, 0))="")=TRUE),  "",  INDEX(RulebookFields!I2:I1898, MATCH(D2641,RulebookFields!A2:A1898, 0))), "")</f>
        <v>1</v>
      </c>
      <c r="K2641" s="4" t="b">
        <f>AND(((F2641)=TRUE), ((J2641)=TRUE))</f>
        <v>0</v>
      </c>
      <c r="L2641" s="4" t="b">
        <f>AND(((G2641 &lt;&gt; "plain")=TRUE), ((G2641 &lt;&gt; "")=TRUE))</f>
        <v>0</v>
      </c>
      <c r="M2641" s="4" t="str">
        <f>IF(((E2641)=TRUE),  C2641 &amp; "|" &amp; H2641,  "")</f>
        <v>principal-knowledge-authority|ProcedureExecutions</v>
      </c>
      <c r="N2641" s="3" t="s">
        <v>10004</v>
      </c>
    </row>
    <row r="2642">
      <c r="A2642" s="3" t="s">
        <v>12644</v>
      </c>
      <c r="B2642" s="4" t="str">
        <f>C2642 &amp; " -&gt; " &amp; D2642</f>
        <v>principal-knowledge-authority -&gt; ProcedureExecutions.ClearedLegalReviewCount</v>
      </c>
      <c r="C2642" s="3" t="s">
        <v>9774</v>
      </c>
      <c r="D2642" s="3" t="s">
        <v>3472</v>
      </c>
      <c r="E2642" s="3" t="b">
        <v>1</v>
      </c>
      <c r="F2642" s="3" t="b">
        <v>0</v>
      </c>
      <c r="G2642" s="3" t="s">
        <v>10003</v>
      </c>
      <c r="H2642" s="4" t="str">
        <f>_xlfn.IFNA(IF(((INDEX(RulebookFields!C2:C1898, MATCH(D2642,RulebookFields!A2:A1898, 0))="")=TRUE),  "",  INDEX(RulebookFields!C2:C1898, MATCH(D2642,RulebookFields!A2:A1898, 0))), "")</f>
        <v>ProcedureExecutions</v>
      </c>
      <c r="I2642" s="4" t="str">
        <f>_xlfn.IFNA(IF(((INDEX(RulebookFields!D2:D1898, MATCH(D2642,RulebookFields!A2:A1898, 0))="")=TRUE),  "",  INDEX(RulebookFields!D2:D1898, MATCH(D2642,RulebookFields!A2:A1898, 0))), "")</f>
        <v>ClearedLegalReviewCount</v>
      </c>
      <c r="J2642" s="4" t="b">
        <f>_xlfn.IFNA(IF(((INDEX(RulebookFields!I2:I1898, MATCH(D2642,RulebookFields!A2:A1898, 0))="")=TRUE),  "",  INDEX(RulebookFields!I2:I1898, MATCH(D2642,RulebookFields!A2:A1898, 0))), "")</f>
        <v>1</v>
      </c>
      <c r="K2642" s="4" t="b">
        <f>AND(((F2642)=TRUE), ((J2642)=TRUE))</f>
        <v>0</v>
      </c>
      <c r="L2642" s="4" t="b">
        <f>AND(((G2642 &lt;&gt; "plain")=TRUE), ((G2642 &lt;&gt; "")=TRUE))</f>
        <v>0</v>
      </c>
      <c r="M2642" s="4" t="str">
        <f>IF(((E2642)=TRUE),  C2642 &amp; "|" &amp; H2642,  "")</f>
        <v>principal-knowledge-authority|ProcedureExecutions</v>
      </c>
      <c r="N2642" s="3" t="s">
        <v>10004</v>
      </c>
    </row>
    <row r="2643">
      <c r="A2643" s="3" t="s">
        <v>12645</v>
      </c>
      <c r="B2643" s="4" t="str">
        <f>C2643 &amp; " -&gt; " &amp; D2643</f>
        <v>principal-knowledge-authority -&gt; ProcedureExecutions.HasClearedLegalReview</v>
      </c>
      <c r="C2643" s="3" t="s">
        <v>9774</v>
      </c>
      <c r="D2643" s="3" t="s">
        <v>3474</v>
      </c>
      <c r="E2643" s="3" t="b">
        <v>1</v>
      </c>
      <c r="F2643" s="3" t="b">
        <v>0</v>
      </c>
      <c r="G2643" s="3" t="s">
        <v>10003</v>
      </c>
      <c r="H2643" s="4" t="str">
        <f>_xlfn.IFNA(IF(((INDEX(RulebookFields!C2:C1898, MATCH(D2643,RulebookFields!A2:A1898, 0))="")=TRUE),  "",  INDEX(RulebookFields!C2:C1898, MATCH(D2643,RulebookFields!A2:A1898, 0))), "")</f>
        <v>ProcedureExecutions</v>
      </c>
      <c r="I2643" s="4" t="str">
        <f>_xlfn.IFNA(IF(((INDEX(RulebookFields!D2:D1898, MATCH(D2643,RulebookFields!A2:A1898, 0))="")=TRUE),  "",  INDEX(RulebookFields!D2:D1898, MATCH(D2643,RulebookFields!A2:A1898, 0))), "")</f>
        <v>HasClearedLegalReview</v>
      </c>
      <c r="J2643" s="4" t="b">
        <f>_xlfn.IFNA(IF(((INDEX(RulebookFields!I2:I1898, MATCH(D2643,RulebookFields!A2:A1898, 0))="")=TRUE),  "",  INDEX(RulebookFields!I2:I1898, MATCH(D2643,RulebookFields!A2:A1898, 0))), "")</f>
        <v>1</v>
      </c>
      <c r="K2643" s="4" t="b">
        <f>AND(((F2643)=TRUE), ((J2643)=TRUE))</f>
        <v>0</v>
      </c>
      <c r="L2643" s="4" t="b">
        <f>AND(((G2643 &lt;&gt; "plain")=TRUE), ((G2643 &lt;&gt; "")=TRUE))</f>
        <v>0</v>
      </c>
      <c r="M2643" s="4" t="str">
        <f>IF(((E2643)=TRUE),  C2643 &amp; "|" &amp; H2643,  "")</f>
        <v>principal-knowledge-authority|ProcedureExecutions</v>
      </c>
      <c r="N2643" s="3" t="s">
        <v>10004</v>
      </c>
    </row>
    <row r="2644">
      <c r="A2644" s="3" t="s">
        <v>12646</v>
      </c>
      <c r="B2644" s="4" t="str">
        <f>C2644 &amp; " -&gt; " &amp; D2644</f>
        <v>principal-knowledge-authority -&gt; ProcedureExecutions.AbandonedFailureCount</v>
      </c>
      <c r="C2644" s="3" t="s">
        <v>9774</v>
      </c>
      <c r="D2644" s="3" t="s">
        <v>3476</v>
      </c>
      <c r="E2644" s="3" t="b">
        <v>1</v>
      </c>
      <c r="F2644" s="3" t="b">
        <v>0</v>
      </c>
      <c r="G2644" s="3" t="s">
        <v>10003</v>
      </c>
      <c r="H2644" s="4" t="str">
        <f>_xlfn.IFNA(IF(((INDEX(RulebookFields!C2:C1898, MATCH(D2644,RulebookFields!A2:A1898, 0))="")=TRUE),  "",  INDEX(RulebookFields!C2:C1898, MATCH(D2644,RulebookFields!A2:A1898, 0))), "")</f>
        <v>ProcedureExecutions</v>
      </c>
      <c r="I2644" s="4" t="str">
        <f>_xlfn.IFNA(IF(((INDEX(RulebookFields!D2:D1898, MATCH(D2644,RulebookFields!A2:A1898, 0))="")=TRUE),  "",  INDEX(RulebookFields!D2:D1898, MATCH(D2644,RulebookFields!A2:A1898, 0))), "")</f>
        <v>AbandonedFailureCount</v>
      </c>
      <c r="J2644" s="4" t="b">
        <f>_xlfn.IFNA(IF(((INDEX(RulebookFields!I2:I1898, MATCH(D2644,RulebookFields!A2:A1898, 0))="")=TRUE),  "",  INDEX(RulebookFields!I2:I1898, MATCH(D2644,RulebookFields!A2:A1898, 0))), "")</f>
        <v>1</v>
      </c>
      <c r="K2644" s="4" t="b">
        <f>AND(((F2644)=TRUE), ((J2644)=TRUE))</f>
        <v>0</v>
      </c>
      <c r="L2644" s="4" t="b">
        <f>AND(((G2644 &lt;&gt; "plain")=TRUE), ((G2644 &lt;&gt; "")=TRUE))</f>
        <v>0</v>
      </c>
      <c r="M2644" s="4" t="str">
        <f>IF(((E2644)=TRUE),  C2644 &amp; "|" &amp; H2644,  "")</f>
        <v>principal-knowledge-authority|ProcedureExecutions</v>
      </c>
      <c r="N2644" s="3" t="s">
        <v>10004</v>
      </c>
    </row>
    <row r="2645">
      <c r="A2645" s="3" t="s">
        <v>12647</v>
      </c>
      <c r="B2645" s="4" t="str">
        <f>C2645 &amp; " -&gt; " &amp; D2645</f>
        <v>principal-knowledge-authority -&gt; ProcedureExecutions.DeliveredCount</v>
      </c>
      <c r="C2645" s="3" t="s">
        <v>9774</v>
      </c>
      <c r="D2645" s="3" t="s">
        <v>3478</v>
      </c>
      <c r="E2645" s="3" t="b">
        <v>1</v>
      </c>
      <c r="F2645" s="3" t="b">
        <v>0</v>
      </c>
      <c r="G2645" s="3" t="s">
        <v>10003</v>
      </c>
      <c r="H2645" s="4" t="str">
        <f>_xlfn.IFNA(IF(((INDEX(RulebookFields!C2:C1898, MATCH(D2645,RulebookFields!A2:A1898, 0))="")=TRUE),  "",  INDEX(RulebookFields!C2:C1898, MATCH(D2645,RulebookFields!A2:A1898, 0))), "")</f>
        <v>ProcedureExecutions</v>
      </c>
      <c r="I2645" s="4" t="str">
        <f>_xlfn.IFNA(IF(((INDEX(RulebookFields!D2:D1898, MATCH(D2645,RulebookFields!A2:A1898, 0))="")=TRUE),  "",  INDEX(RulebookFields!D2:D1898, MATCH(D2645,RulebookFields!A2:A1898, 0))), "")</f>
        <v>DeliveredCount</v>
      </c>
      <c r="J2645" s="4" t="b">
        <f>_xlfn.IFNA(IF(((INDEX(RulebookFields!I2:I1898, MATCH(D2645,RulebookFields!A2:A1898, 0))="")=TRUE),  "",  INDEX(RulebookFields!I2:I1898, MATCH(D2645,RulebookFields!A2:A1898, 0))), "")</f>
        <v>1</v>
      </c>
      <c r="K2645" s="4" t="b">
        <f>AND(((F2645)=TRUE), ((J2645)=TRUE))</f>
        <v>0</v>
      </c>
      <c r="L2645" s="4" t="b">
        <f>AND(((G2645 &lt;&gt; "plain")=TRUE), ((G2645 &lt;&gt; "")=TRUE))</f>
        <v>0</v>
      </c>
      <c r="M2645" s="4" t="str">
        <f>IF(((E2645)=TRUE),  C2645 &amp; "|" &amp; H2645,  "")</f>
        <v>principal-knowledge-authority|ProcedureExecutions</v>
      </c>
      <c r="N2645" s="3" t="s">
        <v>10004</v>
      </c>
    </row>
    <row r="2646">
      <c r="A2646" s="3" t="s">
        <v>12648</v>
      </c>
      <c r="B2646" s="4" t="str">
        <f>C2646 &amp; " -&gt; " &amp; D2646</f>
        <v>principal-knowledge-authority -&gt; ProcedureExecutions.TotalDeliveryAttemptCount</v>
      </c>
      <c r="C2646" s="3" t="s">
        <v>9774</v>
      </c>
      <c r="D2646" s="3" t="s">
        <v>3480</v>
      </c>
      <c r="E2646" s="3" t="b">
        <v>1</v>
      </c>
      <c r="F2646" s="3" t="b">
        <v>0</v>
      </c>
      <c r="G2646" s="3" t="s">
        <v>10003</v>
      </c>
      <c r="H2646" s="4" t="str">
        <f>_xlfn.IFNA(IF(((INDEX(RulebookFields!C2:C1898, MATCH(D2646,RulebookFields!A2:A1898, 0))="")=TRUE),  "",  INDEX(RulebookFields!C2:C1898, MATCH(D2646,RulebookFields!A2:A1898, 0))), "")</f>
        <v>ProcedureExecutions</v>
      </c>
      <c r="I2646" s="4" t="str">
        <f>_xlfn.IFNA(IF(((INDEX(RulebookFields!D2:D1898, MATCH(D2646,RulebookFields!A2:A1898, 0))="")=TRUE),  "",  INDEX(RulebookFields!D2:D1898, MATCH(D2646,RulebookFields!A2:A1898, 0))), "")</f>
        <v>TotalDeliveryAttemptCount</v>
      </c>
      <c r="J2646" s="4" t="b">
        <f>_xlfn.IFNA(IF(((INDEX(RulebookFields!I2:I1898, MATCH(D2646,RulebookFields!A2:A1898, 0))="")=TRUE),  "",  INDEX(RulebookFields!I2:I1898, MATCH(D2646,RulebookFields!A2:A1898, 0))), "")</f>
        <v>1</v>
      </c>
      <c r="K2646" s="4" t="b">
        <f>AND(((F2646)=TRUE), ((J2646)=TRUE))</f>
        <v>0</v>
      </c>
      <c r="L2646" s="4" t="b">
        <f>AND(((G2646 &lt;&gt; "plain")=TRUE), ((G2646 &lt;&gt; "")=TRUE))</f>
        <v>0</v>
      </c>
      <c r="M2646" s="4" t="str">
        <f>IF(((E2646)=TRUE),  C2646 &amp; "|" &amp; H2646,  "")</f>
        <v>principal-knowledge-authority|ProcedureExecutions</v>
      </c>
      <c r="N2646" s="3" t="s">
        <v>10004</v>
      </c>
    </row>
    <row r="2647">
      <c r="A2647" s="3" t="s">
        <v>12649</v>
      </c>
      <c r="B2647" s="4" t="str">
        <f>C2647 &amp; " -&gt; " &amp; D2647</f>
        <v>principal-knowledge-authority -&gt; ProcedureExecutions.HasAbandonedFailures</v>
      </c>
      <c r="C2647" s="3" t="s">
        <v>9774</v>
      </c>
      <c r="D2647" s="3" t="s">
        <v>3482</v>
      </c>
      <c r="E2647" s="3" t="b">
        <v>1</v>
      </c>
      <c r="F2647" s="3" t="b">
        <v>0</v>
      </c>
      <c r="G2647" s="3" t="s">
        <v>10003</v>
      </c>
      <c r="H2647" s="4" t="str">
        <f>_xlfn.IFNA(IF(((INDEX(RulebookFields!C2:C1898, MATCH(D2647,RulebookFields!A2:A1898, 0))="")=TRUE),  "",  INDEX(RulebookFields!C2:C1898, MATCH(D2647,RulebookFields!A2:A1898, 0))), "")</f>
        <v>ProcedureExecutions</v>
      </c>
      <c r="I2647" s="4" t="str">
        <f>_xlfn.IFNA(IF(((INDEX(RulebookFields!D2:D1898, MATCH(D2647,RulebookFields!A2:A1898, 0))="")=TRUE),  "",  INDEX(RulebookFields!D2:D1898, MATCH(D2647,RulebookFields!A2:A1898, 0))), "")</f>
        <v>HasAbandonedFailures</v>
      </c>
      <c r="J2647" s="4" t="b">
        <f>_xlfn.IFNA(IF(((INDEX(RulebookFields!I2:I1898, MATCH(D2647,RulebookFields!A2:A1898, 0))="")=TRUE),  "",  INDEX(RulebookFields!I2:I1898, MATCH(D2647,RulebookFields!A2:A1898, 0))), "")</f>
        <v>1</v>
      </c>
      <c r="K2647" s="4" t="b">
        <f>AND(((F2647)=TRUE), ((J2647)=TRUE))</f>
        <v>0</v>
      </c>
      <c r="L2647" s="4" t="b">
        <f>AND(((G2647 &lt;&gt; "plain")=TRUE), ((G2647 &lt;&gt; "")=TRUE))</f>
        <v>0</v>
      </c>
      <c r="M2647" s="4" t="str">
        <f>IF(((E2647)=TRUE),  C2647 &amp; "|" &amp; H2647,  "")</f>
        <v>principal-knowledge-authority|ProcedureExecutions</v>
      </c>
      <c r="N2647" s="3" t="s">
        <v>10004</v>
      </c>
    </row>
    <row r="2648">
      <c r="A2648" s="3" t="s">
        <v>12650</v>
      </c>
      <c r="B2648" s="4" t="str">
        <f>C2648 &amp; " -&gt; " &amp; D2648</f>
        <v>principal-knowledge-authority -&gt; ProcedureExecutions.MishandledRefusalCount</v>
      </c>
      <c r="C2648" s="3" t="s">
        <v>9774</v>
      </c>
      <c r="D2648" s="3" t="s">
        <v>3484</v>
      </c>
      <c r="E2648" s="3" t="b">
        <v>1</v>
      </c>
      <c r="F2648" s="3" t="b">
        <v>0</v>
      </c>
      <c r="G2648" s="3" t="s">
        <v>10003</v>
      </c>
      <c r="H2648" s="4" t="str">
        <f>_xlfn.IFNA(IF(((INDEX(RulebookFields!C2:C1898, MATCH(D2648,RulebookFields!A2:A1898, 0))="")=TRUE),  "",  INDEX(RulebookFields!C2:C1898, MATCH(D2648,RulebookFields!A2:A1898, 0))), "")</f>
        <v>ProcedureExecutions</v>
      </c>
      <c r="I2648" s="4" t="str">
        <f>_xlfn.IFNA(IF(((INDEX(RulebookFields!D2:D1898, MATCH(D2648,RulebookFields!A2:A1898, 0))="")=TRUE),  "",  INDEX(RulebookFields!D2:D1898, MATCH(D2648,RulebookFields!A2:A1898, 0))), "")</f>
        <v>MishandledRefusalCount</v>
      </c>
      <c r="J2648" s="4" t="b">
        <f>_xlfn.IFNA(IF(((INDEX(RulebookFields!I2:I1898, MATCH(D2648,RulebookFields!A2:A1898, 0))="")=TRUE),  "",  INDEX(RulebookFields!I2:I1898, MATCH(D2648,RulebookFields!A2:A1898, 0))), "")</f>
        <v>1</v>
      </c>
      <c r="K2648" s="4" t="b">
        <f>AND(((F2648)=TRUE), ((J2648)=TRUE))</f>
        <v>0</v>
      </c>
      <c r="L2648" s="4" t="b">
        <f>AND(((G2648 &lt;&gt; "plain")=TRUE), ((G2648 &lt;&gt; "")=TRUE))</f>
        <v>0</v>
      </c>
      <c r="M2648" s="4" t="str">
        <f>IF(((E2648)=TRUE),  C2648 &amp; "|" &amp; H2648,  "")</f>
        <v>principal-knowledge-authority|ProcedureExecutions</v>
      </c>
      <c r="N2648" s="3" t="s">
        <v>10004</v>
      </c>
    </row>
    <row r="2649">
      <c r="A2649" s="3" t="s">
        <v>12651</v>
      </c>
      <c r="B2649" s="4" t="str">
        <f>C2649 &amp; " -&gt; " &amp; D2649</f>
        <v>principal-knowledge-authority -&gt; ProcedureExecutions.UncleanStepCount</v>
      </c>
      <c r="C2649" s="3" t="s">
        <v>9774</v>
      </c>
      <c r="D2649" s="3" t="s">
        <v>3486</v>
      </c>
      <c r="E2649" s="3" t="b">
        <v>1</v>
      </c>
      <c r="F2649" s="3" t="b">
        <v>0</v>
      </c>
      <c r="G2649" s="3" t="s">
        <v>10003</v>
      </c>
      <c r="H2649" s="4" t="str">
        <f>_xlfn.IFNA(IF(((INDEX(RulebookFields!C2:C1898, MATCH(D2649,RulebookFields!A2:A1898, 0))="")=TRUE),  "",  INDEX(RulebookFields!C2:C1898, MATCH(D2649,RulebookFields!A2:A1898, 0))), "")</f>
        <v>ProcedureExecutions</v>
      </c>
      <c r="I2649" s="4" t="str">
        <f>_xlfn.IFNA(IF(((INDEX(RulebookFields!D2:D1898, MATCH(D2649,RulebookFields!A2:A1898, 0))="")=TRUE),  "",  INDEX(RulebookFields!D2:D1898, MATCH(D2649,RulebookFields!A2:A1898, 0))), "")</f>
        <v>UncleanStepCount</v>
      </c>
      <c r="J2649" s="4" t="b">
        <f>_xlfn.IFNA(IF(((INDEX(RulebookFields!I2:I1898, MATCH(D2649,RulebookFields!A2:A1898, 0))="")=TRUE),  "",  INDEX(RulebookFields!I2:I1898, MATCH(D2649,RulebookFields!A2:A1898, 0))), "")</f>
        <v>1</v>
      </c>
      <c r="K2649" s="4" t="b">
        <f>AND(((F2649)=TRUE), ((J2649)=TRUE))</f>
        <v>0</v>
      </c>
      <c r="L2649" s="4" t="b">
        <f>AND(((G2649 &lt;&gt; "plain")=TRUE), ((G2649 &lt;&gt; "")=TRUE))</f>
        <v>0</v>
      </c>
      <c r="M2649" s="4" t="str">
        <f>IF(((E2649)=TRUE),  C2649 &amp; "|" &amp; H2649,  "")</f>
        <v>principal-knowledge-authority|ProcedureExecutions</v>
      </c>
      <c r="N2649" s="3" t="s">
        <v>10004</v>
      </c>
    </row>
    <row r="2650">
      <c r="A2650" s="3" t="s">
        <v>12652</v>
      </c>
      <c r="B2650" s="4" t="str">
        <f>C2650 &amp; " -&gt; " &amp; D2650</f>
        <v>principal-knowledge-authority -&gt; ProcedureExecutions.RanClean</v>
      </c>
      <c r="C2650" s="3" t="s">
        <v>9774</v>
      </c>
      <c r="D2650" s="3" t="s">
        <v>3488</v>
      </c>
      <c r="E2650" s="3" t="b">
        <v>1</v>
      </c>
      <c r="F2650" s="3" t="b">
        <v>0</v>
      </c>
      <c r="G2650" s="3" t="s">
        <v>10003</v>
      </c>
      <c r="H2650" s="4" t="str">
        <f>_xlfn.IFNA(IF(((INDEX(RulebookFields!C2:C1898, MATCH(D2650,RulebookFields!A2:A1898, 0))="")=TRUE),  "",  INDEX(RulebookFields!C2:C1898, MATCH(D2650,RulebookFields!A2:A1898, 0))), "")</f>
        <v>ProcedureExecutions</v>
      </c>
      <c r="I2650" s="4" t="str">
        <f>_xlfn.IFNA(IF(((INDEX(RulebookFields!D2:D1898, MATCH(D2650,RulebookFields!A2:A1898, 0))="")=TRUE),  "",  INDEX(RulebookFields!D2:D1898, MATCH(D2650,RulebookFields!A2:A1898, 0))), "")</f>
        <v>RanClean</v>
      </c>
      <c r="J2650" s="4" t="b">
        <f>_xlfn.IFNA(IF(((INDEX(RulebookFields!I2:I1898, MATCH(D2650,RulebookFields!A2:A1898, 0))="")=TRUE),  "",  INDEX(RulebookFields!I2:I1898, MATCH(D2650,RulebookFields!A2:A1898, 0))), "")</f>
        <v>1</v>
      </c>
      <c r="K2650" s="4" t="b">
        <f>AND(((F2650)=TRUE), ((J2650)=TRUE))</f>
        <v>0</v>
      </c>
      <c r="L2650" s="4" t="b">
        <f>AND(((G2650 &lt;&gt; "plain")=TRUE), ((G2650 &lt;&gt; "")=TRUE))</f>
        <v>0</v>
      </c>
      <c r="M2650" s="4" t="str">
        <f>IF(((E2650)=TRUE),  C2650 &amp; "|" &amp; H2650,  "")</f>
        <v>principal-knowledge-authority|ProcedureExecutions</v>
      </c>
      <c r="N2650" s="3" t="s">
        <v>10004</v>
      </c>
    </row>
    <row r="2651">
      <c r="A2651" s="3" t="s">
        <v>12653</v>
      </c>
      <c r="B2651" s="4" t="str">
        <f>C2651 &amp; " -&gt; " &amp; D2651</f>
        <v>principal-knowledge-authority -&gt; ProcedureExecutions.CountOfApprovalExecutions</v>
      </c>
      <c r="C2651" s="3" t="s">
        <v>9774</v>
      </c>
      <c r="D2651" s="3" t="s">
        <v>3490</v>
      </c>
      <c r="E2651" s="3" t="b">
        <v>1</v>
      </c>
      <c r="F2651" s="3" t="b">
        <v>0</v>
      </c>
      <c r="G2651" s="3" t="s">
        <v>10003</v>
      </c>
      <c r="H2651" s="4" t="str">
        <f>_xlfn.IFNA(IF(((INDEX(RulebookFields!C2:C1898, MATCH(D2651,RulebookFields!A2:A1898, 0))="")=TRUE),  "",  INDEX(RulebookFields!C2:C1898, MATCH(D2651,RulebookFields!A2:A1898, 0))), "")</f>
        <v>ProcedureExecutions</v>
      </c>
      <c r="I2651" s="4" t="str">
        <f>_xlfn.IFNA(IF(((INDEX(RulebookFields!D2:D1898, MATCH(D2651,RulebookFields!A2:A1898, 0))="")=TRUE),  "",  INDEX(RulebookFields!D2:D1898, MATCH(D2651,RulebookFields!A2:A1898, 0))), "")</f>
        <v>CountOfApprovalExecutions</v>
      </c>
      <c r="J2651" s="4" t="b">
        <f>_xlfn.IFNA(IF(((INDEX(RulebookFields!I2:I1898, MATCH(D2651,RulebookFields!A2:A1898, 0))="")=TRUE),  "",  INDEX(RulebookFields!I2:I1898, MATCH(D2651,RulebookFields!A2:A1898, 0))), "")</f>
        <v>1</v>
      </c>
      <c r="K2651" s="4" t="b">
        <f>AND(((F2651)=TRUE), ((J2651)=TRUE))</f>
        <v>0</v>
      </c>
      <c r="L2651" s="4" t="b">
        <f>AND(((G2651 &lt;&gt; "plain")=TRUE), ((G2651 &lt;&gt; "")=TRUE))</f>
        <v>0</v>
      </c>
      <c r="M2651" s="4" t="str">
        <f>IF(((E2651)=TRUE),  C2651 &amp; "|" &amp; H2651,  "")</f>
        <v>principal-knowledge-authority|ProcedureExecutions</v>
      </c>
      <c r="N2651" s="3" t="s">
        <v>10004</v>
      </c>
    </row>
    <row r="2652">
      <c r="A2652" s="3" t="s">
        <v>12654</v>
      </c>
      <c r="B2652" s="4" t="str">
        <f>C2652 &amp; " -&gt; " &amp; D2652</f>
        <v>principal-knowledge-authority -&gt; ProcedureExecutions.HasHumanApproval</v>
      </c>
      <c r="C2652" s="3" t="s">
        <v>9774</v>
      </c>
      <c r="D2652" s="3" t="s">
        <v>3492</v>
      </c>
      <c r="E2652" s="3" t="b">
        <v>1</v>
      </c>
      <c r="F2652" s="3" t="b">
        <v>0</v>
      </c>
      <c r="G2652" s="3" t="s">
        <v>10003</v>
      </c>
      <c r="H2652" s="4" t="str">
        <f>_xlfn.IFNA(IF(((INDEX(RulebookFields!C2:C1898, MATCH(D2652,RulebookFields!A2:A1898, 0))="")=TRUE),  "",  INDEX(RulebookFields!C2:C1898, MATCH(D2652,RulebookFields!A2:A1898, 0))), "")</f>
        <v>ProcedureExecutions</v>
      </c>
      <c r="I2652" s="4" t="str">
        <f>_xlfn.IFNA(IF(((INDEX(RulebookFields!D2:D1898, MATCH(D2652,RulebookFields!A2:A1898, 0))="")=TRUE),  "",  INDEX(RulebookFields!D2:D1898, MATCH(D2652,RulebookFields!A2:A1898, 0))), "")</f>
        <v>HasHumanApproval</v>
      </c>
      <c r="J2652" s="4" t="b">
        <f>_xlfn.IFNA(IF(((INDEX(RulebookFields!I2:I1898, MATCH(D2652,RulebookFields!A2:A1898, 0))="")=TRUE),  "",  INDEX(RulebookFields!I2:I1898, MATCH(D2652,RulebookFields!A2:A1898, 0))), "")</f>
        <v>1</v>
      </c>
      <c r="K2652" s="4" t="b">
        <f>AND(((F2652)=TRUE), ((J2652)=TRUE))</f>
        <v>0</v>
      </c>
      <c r="L2652" s="4" t="b">
        <f>AND(((G2652 &lt;&gt; "plain")=TRUE), ((G2652 &lt;&gt; "")=TRUE))</f>
        <v>0</v>
      </c>
      <c r="M2652" s="4" t="str">
        <f>IF(((E2652)=TRUE),  C2652 &amp; "|" &amp; H2652,  "")</f>
        <v>principal-knowledge-authority|ProcedureExecutions</v>
      </c>
      <c r="N2652" s="3" t="s">
        <v>10004</v>
      </c>
    </row>
    <row r="2653">
      <c r="A2653" s="3" t="s">
        <v>12655</v>
      </c>
      <c r="B2653" s="4" t="str">
        <f>C2653 &amp; " -&gt; " &amp; D2653</f>
        <v>principal-knowledge-authority -&gt; ProcedureExecutions.CountOfDeliveryExecutions</v>
      </c>
      <c r="C2653" s="3" t="s">
        <v>9774</v>
      </c>
      <c r="D2653" s="3" t="s">
        <v>3494</v>
      </c>
      <c r="E2653" s="3" t="b">
        <v>1</v>
      </c>
      <c r="F2653" s="3" t="b">
        <v>0</v>
      </c>
      <c r="G2653" s="3" t="s">
        <v>10003</v>
      </c>
      <c r="H2653" s="4" t="str">
        <f>_xlfn.IFNA(IF(((INDEX(RulebookFields!C2:C1898, MATCH(D2653,RulebookFields!A2:A1898, 0))="")=TRUE),  "",  INDEX(RulebookFields!C2:C1898, MATCH(D2653,RulebookFields!A2:A1898, 0))), "")</f>
        <v>ProcedureExecutions</v>
      </c>
      <c r="I2653" s="4" t="str">
        <f>_xlfn.IFNA(IF(((INDEX(RulebookFields!D2:D1898, MATCH(D2653,RulebookFields!A2:A1898, 0))="")=TRUE),  "",  INDEX(RulebookFields!D2:D1898, MATCH(D2653,RulebookFields!A2:A1898, 0))), "")</f>
        <v>CountOfDeliveryExecutions</v>
      </c>
      <c r="J2653" s="4" t="b">
        <f>_xlfn.IFNA(IF(((INDEX(RulebookFields!I2:I1898, MATCH(D2653,RulebookFields!A2:A1898, 0))="")=TRUE),  "",  INDEX(RulebookFields!I2:I1898, MATCH(D2653,RulebookFields!A2:A1898, 0))), "")</f>
        <v>1</v>
      </c>
      <c r="K2653" s="4" t="b">
        <f>AND(((F2653)=TRUE), ((J2653)=TRUE))</f>
        <v>0</v>
      </c>
      <c r="L2653" s="4" t="b">
        <f>AND(((G2653 &lt;&gt; "plain")=TRUE), ((G2653 &lt;&gt; "")=TRUE))</f>
        <v>0</v>
      </c>
      <c r="M2653" s="4" t="str">
        <f>IF(((E2653)=TRUE),  C2653 &amp; "|" &amp; H2653,  "")</f>
        <v>principal-knowledge-authority|ProcedureExecutions</v>
      </c>
      <c r="N2653" s="3" t="s">
        <v>10004</v>
      </c>
    </row>
    <row r="2654">
      <c r="A2654" s="3" t="s">
        <v>12656</v>
      </c>
      <c r="B2654" s="4" t="str">
        <f>C2654 &amp; " -&gt; " &amp; D2654</f>
        <v>principal-knowledge-authority -&gt; ProcedureExecutions.HasDelivered</v>
      </c>
      <c r="C2654" s="3" t="s">
        <v>9774</v>
      </c>
      <c r="D2654" s="3" t="s">
        <v>3496</v>
      </c>
      <c r="E2654" s="3" t="b">
        <v>1</v>
      </c>
      <c r="F2654" s="3" t="b">
        <v>0</v>
      </c>
      <c r="G2654" s="3" t="s">
        <v>10003</v>
      </c>
      <c r="H2654" s="4" t="str">
        <f>_xlfn.IFNA(IF(((INDEX(RulebookFields!C2:C1898, MATCH(D2654,RulebookFields!A2:A1898, 0))="")=TRUE),  "",  INDEX(RulebookFields!C2:C1898, MATCH(D2654,RulebookFields!A2:A1898, 0))), "")</f>
        <v>ProcedureExecutions</v>
      </c>
      <c r="I2654" s="4" t="str">
        <f>_xlfn.IFNA(IF(((INDEX(RulebookFields!D2:D1898, MATCH(D2654,RulebookFields!A2:A1898, 0))="")=TRUE),  "",  INDEX(RulebookFields!D2:D1898, MATCH(D2654,RulebookFields!A2:A1898, 0))), "")</f>
        <v>HasDelivered</v>
      </c>
      <c r="J2654" s="4" t="b">
        <f>_xlfn.IFNA(IF(((INDEX(RulebookFields!I2:I1898, MATCH(D2654,RulebookFields!A2:A1898, 0))="")=TRUE),  "",  INDEX(RulebookFields!I2:I1898, MATCH(D2654,RulebookFields!A2:A1898, 0))), "")</f>
        <v>1</v>
      </c>
      <c r="K2654" s="4" t="b">
        <f>AND(((F2654)=TRUE), ((J2654)=TRUE))</f>
        <v>0</v>
      </c>
      <c r="L2654" s="4" t="b">
        <f>AND(((G2654 &lt;&gt; "plain")=TRUE), ((G2654 &lt;&gt; "")=TRUE))</f>
        <v>0</v>
      </c>
      <c r="M2654" s="4" t="str">
        <f>IF(((E2654)=TRUE),  C2654 &amp; "|" &amp; H2654,  "")</f>
        <v>principal-knowledge-authority|ProcedureExecutions</v>
      </c>
      <c r="N2654" s="3" t="s">
        <v>10004</v>
      </c>
    </row>
    <row r="2655">
      <c r="A2655" s="3" t="s">
        <v>12657</v>
      </c>
      <c r="B2655" s="4" t="str">
        <f>C2655 &amp; " -&gt; " &amp; D2655</f>
        <v>principal-knowledge-authority -&gt; ProcedureExecutions.DeliveredWithoutApproval</v>
      </c>
      <c r="C2655" s="3" t="s">
        <v>9774</v>
      </c>
      <c r="D2655" s="3" t="s">
        <v>3498</v>
      </c>
      <c r="E2655" s="3" t="b">
        <v>1</v>
      </c>
      <c r="F2655" s="3" t="b">
        <v>0</v>
      </c>
      <c r="G2655" s="3" t="s">
        <v>10003</v>
      </c>
      <c r="H2655" s="4" t="str">
        <f>_xlfn.IFNA(IF(((INDEX(RulebookFields!C2:C1898, MATCH(D2655,RulebookFields!A2:A1898, 0))="")=TRUE),  "",  INDEX(RulebookFields!C2:C1898, MATCH(D2655,RulebookFields!A2:A1898, 0))), "")</f>
        <v>ProcedureExecutions</v>
      </c>
      <c r="I2655" s="4" t="str">
        <f>_xlfn.IFNA(IF(((INDEX(RulebookFields!D2:D1898, MATCH(D2655,RulebookFields!A2:A1898, 0))="")=TRUE),  "",  INDEX(RulebookFields!D2:D1898, MATCH(D2655,RulebookFields!A2:A1898, 0))), "")</f>
        <v>DeliveredWithoutApproval</v>
      </c>
      <c r="J2655" s="4" t="b">
        <f>_xlfn.IFNA(IF(((INDEX(RulebookFields!I2:I1898, MATCH(D2655,RulebookFields!A2:A1898, 0))="")=TRUE),  "",  INDEX(RulebookFields!I2:I1898, MATCH(D2655,RulebookFields!A2:A1898, 0))), "")</f>
        <v>1</v>
      </c>
      <c r="K2655" s="4" t="b">
        <f>AND(((F2655)=TRUE), ((J2655)=TRUE))</f>
        <v>0</v>
      </c>
      <c r="L2655" s="4" t="b">
        <f>AND(((G2655 &lt;&gt; "plain")=TRUE), ((G2655 &lt;&gt; "")=TRUE))</f>
        <v>0</v>
      </c>
      <c r="M2655" s="4" t="str">
        <f>IF(((E2655)=TRUE),  C2655 &amp; "|" &amp; H2655,  "")</f>
        <v>principal-knowledge-authority|ProcedureExecutions</v>
      </c>
      <c r="N2655" s="3" t="s">
        <v>10004</v>
      </c>
    </row>
    <row r="2656">
      <c r="A2656" s="3" t="s">
        <v>12658</v>
      </c>
      <c r="B2656" s="4" t="str">
        <f>C2656 &amp; " -&gt; " &amp; D2656</f>
        <v>principal-knowledge-authority -&gt; ProcedureExecutions.InvalidApprovalCount</v>
      </c>
      <c r="C2656" s="3" t="s">
        <v>9774</v>
      </c>
      <c r="D2656" s="3" t="s">
        <v>3500</v>
      </c>
      <c r="E2656" s="3" t="b">
        <v>1</v>
      </c>
      <c r="F2656" s="3" t="b">
        <v>0</v>
      </c>
      <c r="G2656" s="3" t="s">
        <v>10003</v>
      </c>
      <c r="H2656" s="4" t="str">
        <f>_xlfn.IFNA(IF(((INDEX(RulebookFields!C2:C1898, MATCH(D2656,RulebookFields!A2:A1898, 0))="")=TRUE),  "",  INDEX(RulebookFields!C2:C1898, MATCH(D2656,RulebookFields!A2:A1898, 0))), "")</f>
        <v>ProcedureExecutions</v>
      </c>
      <c r="I2656" s="4" t="str">
        <f>_xlfn.IFNA(IF(((INDEX(RulebookFields!D2:D1898, MATCH(D2656,RulebookFields!A2:A1898, 0))="")=TRUE),  "",  INDEX(RulebookFields!D2:D1898, MATCH(D2656,RulebookFields!A2:A1898, 0))), "")</f>
        <v>InvalidApprovalCount</v>
      </c>
      <c r="J2656" s="4" t="b">
        <f>_xlfn.IFNA(IF(((INDEX(RulebookFields!I2:I1898, MATCH(D2656,RulebookFields!A2:A1898, 0))="")=TRUE),  "",  INDEX(RulebookFields!I2:I1898, MATCH(D2656,RulebookFields!A2:A1898, 0))), "")</f>
        <v>1</v>
      </c>
      <c r="K2656" s="4" t="b">
        <f>AND(((F2656)=TRUE), ((J2656)=TRUE))</f>
        <v>0</v>
      </c>
      <c r="L2656" s="4" t="b">
        <f>AND(((G2656 &lt;&gt; "plain")=TRUE), ((G2656 &lt;&gt; "")=TRUE))</f>
        <v>0</v>
      </c>
      <c r="M2656" s="4" t="str">
        <f>IF(((E2656)=TRUE),  C2656 &amp; "|" &amp; H2656,  "")</f>
        <v>principal-knowledge-authority|ProcedureExecutions</v>
      </c>
      <c r="N2656" s="3" t="s">
        <v>10004</v>
      </c>
    </row>
    <row r="2657">
      <c r="A2657" s="3" t="s">
        <v>12659</v>
      </c>
      <c r="B2657" s="4" t="str">
        <f>C2657 &amp; " -&gt; " &amp; D2657</f>
        <v>principal-knowledge-authority -&gt; ProcedureExecutions.ApprovalChainIsComplete</v>
      </c>
      <c r="C2657" s="3" t="s">
        <v>9774</v>
      </c>
      <c r="D2657" s="3" t="s">
        <v>3502</v>
      </c>
      <c r="E2657" s="3" t="b">
        <v>1</v>
      </c>
      <c r="F2657" s="3" t="b">
        <v>0</v>
      </c>
      <c r="G2657" s="3" t="s">
        <v>10003</v>
      </c>
      <c r="H2657" s="4" t="str">
        <f>_xlfn.IFNA(IF(((INDEX(RulebookFields!C2:C1898, MATCH(D2657,RulebookFields!A2:A1898, 0))="")=TRUE),  "",  INDEX(RulebookFields!C2:C1898, MATCH(D2657,RulebookFields!A2:A1898, 0))), "")</f>
        <v>ProcedureExecutions</v>
      </c>
      <c r="I2657" s="4" t="str">
        <f>_xlfn.IFNA(IF(((INDEX(RulebookFields!D2:D1898, MATCH(D2657,RulebookFields!A2:A1898, 0))="")=TRUE),  "",  INDEX(RulebookFields!D2:D1898, MATCH(D2657,RulebookFields!A2:A1898, 0))), "")</f>
        <v>ApprovalChainIsComplete</v>
      </c>
      <c r="J2657" s="4" t="b">
        <f>_xlfn.IFNA(IF(((INDEX(RulebookFields!I2:I1898, MATCH(D2657,RulebookFields!A2:A1898, 0))="")=TRUE),  "",  INDEX(RulebookFields!I2:I1898, MATCH(D2657,RulebookFields!A2:A1898, 0))), "")</f>
        <v>1</v>
      </c>
      <c r="K2657" s="4" t="b">
        <f>AND(((F2657)=TRUE), ((J2657)=TRUE))</f>
        <v>0</v>
      </c>
      <c r="L2657" s="4" t="b">
        <f>AND(((G2657 &lt;&gt; "plain")=TRUE), ((G2657 &lt;&gt; "")=TRUE))</f>
        <v>0</v>
      </c>
      <c r="M2657" s="4" t="str">
        <f>IF(((E2657)=TRUE),  C2657 &amp; "|" &amp; H2657,  "")</f>
        <v>principal-knowledge-authority|ProcedureExecutions</v>
      </c>
      <c r="N2657" s="3" t="s">
        <v>10004</v>
      </c>
    </row>
    <row r="2658">
      <c r="A2658" s="3" t="s">
        <v>12660</v>
      </c>
      <c r="B2658" s="4" t="str">
        <f>C2658 &amp; " -&gt; " &amp; D2658</f>
        <v>principal-knowledge-authority -&gt; ProcedureExecutions.VacuouslyCleanStepCount</v>
      </c>
      <c r="C2658" s="3" t="s">
        <v>9774</v>
      </c>
      <c r="D2658" s="3" t="s">
        <v>3504</v>
      </c>
      <c r="E2658" s="3" t="b">
        <v>1</v>
      </c>
      <c r="F2658" s="3" t="b">
        <v>0</v>
      </c>
      <c r="G2658" s="3" t="s">
        <v>10003</v>
      </c>
      <c r="H2658" s="4" t="str">
        <f>_xlfn.IFNA(IF(((INDEX(RulebookFields!C2:C1898, MATCH(D2658,RulebookFields!A2:A1898, 0))="")=TRUE),  "",  INDEX(RulebookFields!C2:C1898, MATCH(D2658,RulebookFields!A2:A1898, 0))), "")</f>
        <v>ProcedureExecutions</v>
      </c>
      <c r="I2658" s="4" t="str">
        <f>_xlfn.IFNA(IF(((INDEX(RulebookFields!D2:D1898, MATCH(D2658,RulebookFields!A2:A1898, 0))="")=TRUE),  "",  INDEX(RulebookFields!D2:D1898, MATCH(D2658,RulebookFields!A2:A1898, 0))), "")</f>
        <v>VacuouslyCleanStepCount</v>
      </c>
      <c r="J2658" s="4" t="b">
        <f>_xlfn.IFNA(IF(((INDEX(RulebookFields!I2:I1898, MATCH(D2658,RulebookFields!A2:A1898, 0))="")=TRUE),  "",  INDEX(RulebookFields!I2:I1898, MATCH(D2658,RulebookFields!A2:A1898, 0))), "")</f>
        <v>1</v>
      </c>
      <c r="K2658" s="4" t="b">
        <f>AND(((F2658)=TRUE), ((J2658)=TRUE))</f>
        <v>0</v>
      </c>
      <c r="L2658" s="4" t="b">
        <f>AND(((G2658 &lt;&gt; "plain")=TRUE), ((G2658 &lt;&gt; "")=TRUE))</f>
        <v>0</v>
      </c>
      <c r="M2658" s="4" t="str">
        <f>IF(((E2658)=TRUE),  C2658 &amp; "|" &amp; H2658,  "")</f>
        <v>principal-knowledge-authority|ProcedureExecutions</v>
      </c>
      <c r="N2658" s="3" t="s">
        <v>10004</v>
      </c>
    </row>
    <row r="2659">
      <c r="A2659" s="3" t="s">
        <v>12661</v>
      </c>
      <c r="B2659" s="4" t="str">
        <f>C2659 &amp; " -&gt; " &amp; D2659</f>
        <v>principal-knowledge-authority -&gt; ProcedureExecutions.PreparationStepCount</v>
      </c>
      <c r="C2659" s="3" t="s">
        <v>9774</v>
      </c>
      <c r="D2659" s="3" t="s">
        <v>3506</v>
      </c>
      <c r="E2659" s="3" t="b">
        <v>1</v>
      </c>
      <c r="F2659" s="3" t="b">
        <v>0</v>
      </c>
      <c r="G2659" s="3" t="s">
        <v>10003</v>
      </c>
      <c r="H2659" s="4" t="str">
        <f>_xlfn.IFNA(IF(((INDEX(RulebookFields!C2:C1898, MATCH(D2659,RulebookFields!A2:A1898, 0))="")=TRUE),  "",  INDEX(RulebookFields!C2:C1898, MATCH(D2659,RulebookFields!A2:A1898, 0))), "")</f>
        <v>ProcedureExecutions</v>
      </c>
      <c r="I2659" s="4" t="str">
        <f>_xlfn.IFNA(IF(((INDEX(RulebookFields!D2:D1898, MATCH(D2659,RulebookFields!A2:A1898, 0))="")=TRUE),  "",  INDEX(RulebookFields!D2:D1898, MATCH(D2659,RulebookFields!A2:A1898, 0))), "")</f>
        <v>PreparationStepCount</v>
      </c>
      <c r="J2659" s="4" t="b">
        <f>_xlfn.IFNA(IF(((INDEX(RulebookFields!I2:I1898, MATCH(D2659,RulebookFields!A2:A1898, 0))="")=TRUE),  "",  INDEX(RulebookFields!I2:I1898, MATCH(D2659,RulebookFields!A2:A1898, 0))), "")</f>
        <v>1</v>
      </c>
      <c r="K2659" s="4" t="b">
        <f>AND(((F2659)=TRUE), ((J2659)=TRUE))</f>
        <v>0</v>
      </c>
      <c r="L2659" s="4" t="b">
        <f>AND(((G2659 &lt;&gt; "plain")=TRUE), ((G2659 &lt;&gt; "")=TRUE))</f>
        <v>0</v>
      </c>
      <c r="M2659" s="4" t="str">
        <f>IF(((E2659)=TRUE),  C2659 &amp; "|" &amp; H2659,  "")</f>
        <v>principal-knowledge-authority|ProcedureExecutions</v>
      </c>
      <c r="N2659" s="3" t="s">
        <v>10004</v>
      </c>
    </row>
    <row r="2660">
      <c r="A2660" s="3" t="s">
        <v>12662</v>
      </c>
      <c r="B2660" s="4" t="str">
        <f>C2660 &amp; " -&gt; " &amp; D2660</f>
        <v>principal-knowledge-authority -&gt; ProcedureExecutions.ApprovalStepCount</v>
      </c>
      <c r="C2660" s="3" t="s">
        <v>9774</v>
      </c>
      <c r="D2660" s="3" t="s">
        <v>3508</v>
      </c>
      <c r="E2660" s="3" t="b">
        <v>1</v>
      </c>
      <c r="F2660" s="3" t="b">
        <v>0</v>
      </c>
      <c r="G2660" s="3" t="s">
        <v>10003</v>
      </c>
      <c r="H2660" s="4" t="str">
        <f>_xlfn.IFNA(IF(((INDEX(RulebookFields!C2:C1898, MATCH(D2660,RulebookFields!A2:A1898, 0))="")=TRUE),  "",  INDEX(RulebookFields!C2:C1898, MATCH(D2660,RulebookFields!A2:A1898, 0))), "")</f>
        <v>ProcedureExecutions</v>
      </c>
      <c r="I2660" s="4" t="str">
        <f>_xlfn.IFNA(IF(((INDEX(RulebookFields!D2:D1898, MATCH(D2660,RulebookFields!A2:A1898, 0))="")=TRUE),  "",  INDEX(RulebookFields!D2:D1898, MATCH(D2660,RulebookFields!A2:A1898, 0))), "")</f>
        <v>ApprovalStepCount</v>
      </c>
      <c r="J2660" s="4" t="b">
        <f>_xlfn.IFNA(IF(((INDEX(RulebookFields!I2:I1898, MATCH(D2660,RulebookFields!A2:A1898, 0))="")=TRUE),  "",  INDEX(RulebookFields!I2:I1898, MATCH(D2660,RulebookFields!A2:A1898, 0))), "")</f>
        <v>1</v>
      </c>
      <c r="K2660" s="4" t="b">
        <f>AND(((F2660)=TRUE), ((J2660)=TRUE))</f>
        <v>0</v>
      </c>
      <c r="L2660" s="4" t="b">
        <f>AND(((G2660 &lt;&gt; "plain")=TRUE), ((G2660 &lt;&gt; "")=TRUE))</f>
        <v>0</v>
      </c>
      <c r="M2660" s="4" t="str">
        <f>IF(((E2660)=TRUE),  C2660 &amp; "|" &amp; H2660,  "")</f>
        <v>principal-knowledge-authority|ProcedureExecutions</v>
      </c>
      <c r="N2660" s="3" t="s">
        <v>10004</v>
      </c>
    </row>
    <row r="2661">
      <c r="A2661" s="3" t="s">
        <v>12663</v>
      </c>
      <c r="B2661" s="4" t="str">
        <f>C2661 &amp; " -&gt; " &amp; D2661</f>
        <v>principal-knowledge-authority -&gt; ProcedureExecutions.SeparationWasTestable</v>
      </c>
      <c r="C2661" s="3" t="s">
        <v>9774</v>
      </c>
      <c r="D2661" s="3" t="s">
        <v>3510</v>
      </c>
      <c r="E2661" s="3" t="b">
        <v>1</v>
      </c>
      <c r="F2661" s="3" t="b">
        <v>0</v>
      </c>
      <c r="G2661" s="3" t="s">
        <v>10003</v>
      </c>
      <c r="H2661" s="4" t="str">
        <f>_xlfn.IFNA(IF(((INDEX(RulebookFields!C2:C1898, MATCH(D2661,RulebookFields!A2:A1898, 0))="")=TRUE),  "",  INDEX(RulebookFields!C2:C1898, MATCH(D2661,RulebookFields!A2:A1898, 0))), "")</f>
        <v>ProcedureExecutions</v>
      </c>
      <c r="I2661" s="4" t="str">
        <f>_xlfn.IFNA(IF(((INDEX(RulebookFields!D2:D1898, MATCH(D2661,RulebookFields!A2:A1898, 0))="")=TRUE),  "",  INDEX(RulebookFields!D2:D1898, MATCH(D2661,RulebookFields!A2:A1898, 0))), "")</f>
        <v>SeparationWasTestable</v>
      </c>
      <c r="J2661" s="4" t="b">
        <f>_xlfn.IFNA(IF(((INDEX(RulebookFields!I2:I1898, MATCH(D2661,RulebookFields!A2:A1898, 0))="")=TRUE),  "",  INDEX(RulebookFields!I2:I1898, MATCH(D2661,RulebookFields!A2:A1898, 0))), "")</f>
        <v>1</v>
      </c>
      <c r="K2661" s="4" t="b">
        <f>AND(((F2661)=TRUE), ((J2661)=TRUE))</f>
        <v>0</v>
      </c>
      <c r="L2661" s="4" t="b">
        <f>AND(((G2661 &lt;&gt; "plain")=TRUE), ((G2661 &lt;&gt; "")=TRUE))</f>
        <v>0</v>
      </c>
      <c r="M2661" s="4" t="str">
        <f>IF(((E2661)=TRUE),  C2661 &amp; "|" &amp; H2661,  "")</f>
        <v>principal-knowledge-authority|ProcedureExecutions</v>
      </c>
      <c r="N2661" s="3" t="s">
        <v>10004</v>
      </c>
    </row>
    <row r="2662">
      <c r="A2662" s="3" t="s">
        <v>12664</v>
      </c>
      <c r="B2662" s="4" t="str">
        <f>C2662 &amp; " -&gt; " &amp; D2662</f>
        <v>principal-knowledge-authority -&gt; ProcedureExecutions.SeparationHeldUnderTest</v>
      </c>
      <c r="C2662" s="3" t="s">
        <v>9774</v>
      </c>
      <c r="D2662" s="3" t="s">
        <v>3512</v>
      </c>
      <c r="E2662" s="3" t="b">
        <v>1</v>
      </c>
      <c r="F2662" s="3" t="b">
        <v>0</v>
      </c>
      <c r="G2662" s="3" t="s">
        <v>10003</v>
      </c>
      <c r="H2662" s="4" t="str">
        <f>_xlfn.IFNA(IF(((INDEX(RulebookFields!C2:C1898, MATCH(D2662,RulebookFields!A2:A1898, 0))="")=TRUE),  "",  INDEX(RulebookFields!C2:C1898, MATCH(D2662,RulebookFields!A2:A1898, 0))), "")</f>
        <v>ProcedureExecutions</v>
      </c>
      <c r="I2662" s="4" t="str">
        <f>_xlfn.IFNA(IF(((INDEX(RulebookFields!D2:D1898, MATCH(D2662,RulebookFields!A2:A1898, 0))="")=TRUE),  "",  INDEX(RulebookFields!D2:D1898, MATCH(D2662,RulebookFields!A2:A1898, 0))), "")</f>
        <v>SeparationHeldUnderTest</v>
      </c>
      <c r="J2662" s="4" t="b">
        <f>_xlfn.IFNA(IF(((INDEX(RulebookFields!I2:I1898, MATCH(D2662,RulebookFields!A2:A1898, 0))="")=TRUE),  "",  INDEX(RulebookFields!I2:I1898, MATCH(D2662,RulebookFields!A2:A1898, 0))), "")</f>
        <v>1</v>
      </c>
      <c r="K2662" s="4" t="b">
        <f>AND(((F2662)=TRUE), ((J2662)=TRUE))</f>
        <v>0</v>
      </c>
      <c r="L2662" s="4" t="b">
        <f>AND(((G2662 &lt;&gt; "plain")=TRUE), ((G2662 &lt;&gt; "")=TRUE))</f>
        <v>0</v>
      </c>
      <c r="M2662" s="4" t="str">
        <f>IF(((E2662)=TRUE),  C2662 &amp; "|" &amp; H2662,  "")</f>
        <v>principal-knowledge-authority|ProcedureExecutions</v>
      </c>
      <c r="N2662" s="3" t="s">
        <v>10004</v>
      </c>
    </row>
    <row r="2663">
      <c r="A2663" s="3" t="s">
        <v>12665</v>
      </c>
      <c r="B2663" s="4" t="str">
        <f>C2663 &amp; " -&gt; " &amp; D2663</f>
        <v>principal-knowledge-authority -&gt; ProcedureExecutions.SeparationIsVacuouslyGreen</v>
      </c>
      <c r="C2663" s="3" t="s">
        <v>9774</v>
      </c>
      <c r="D2663" s="3" t="s">
        <v>3514</v>
      </c>
      <c r="E2663" s="3" t="b">
        <v>1</v>
      </c>
      <c r="F2663" s="3" t="b">
        <v>0</v>
      </c>
      <c r="G2663" s="3" t="s">
        <v>10003</v>
      </c>
      <c r="H2663" s="4" t="str">
        <f>_xlfn.IFNA(IF(((INDEX(RulebookFields!C2:C1898, MATCH(D2663,RulebookFields!A2:A1898, 0))="")=TRUE),  "",  INDEX(RulebookFields!C2:C1898, MATCH(D2663,RulebookFields!A2:A1898, 0))), "")</f>
        <v>ProcedureExecutions</v>
      </c>
      <c r="I2663" s="4" t="str">
        <f>_xlfn.IFNA(IF(((INDEX(RulebookFields!D2:D1898, MATCH(D2663,RulebookFields!A2:A1898, 0))="")=TRUE),  "",  INDEX(RulebookFields!D2:D1898, MATCH(D2663,RulebookFields!A2:A1898, 0))), "")</f>
        <v>SeparationIsVacuouslyGreen</v>
      </c>
      <c r="J2663" s="4" t="b">
        <f>_xlfn.IFNA(IF(((INDEX(RulebookFields!I2:I1898, MATCH(D2663,RulebookFields!A2:A1898, 0))="")=TRUE),  "",  INDEX(RulebookFields!I2:I1898, MATCH(D2663,RulebookFields!A2:A1898, 0))), "")</f>
        <v>1</v>
      </c>
      <c r="K2663" s="4" t="b">
        <f>AND(((F2663)=TRUE), ((J2663)=TRUE))</f>
        <v>0</v>
      </c>
      <c r="L2663" s="4" t="b">
        <f>AND(((G2663 &lt;&gt; "plain")=TRUE), ((G2663 &lt;&gt; "")=TRUE))</f>
        <v>0</v>
      </c>
      <c r="M2663" s="4" t="str">
        <f>IF(((E2663)=TRUE),  C2663 &amp; "|" &amp; H2663,  "")</f>
        <v>principal-knowledge-authority|ProcedureExecutions</v>
      </c>
      <c r="N2663" s="3" t="s">
        <v>10004</v>
      </c>
    </row>
    <row r="2664">
      <c r="A2664" s="3" t="s">
        <v>12666</v>
      </c>
      <c r="B2664" s="4" t="str">
        <f>C2664 &amp; " -&gt; " &amp; D2664</f>
        <v>principal-knowledge-authority -&gt; ProcedureExecutions.SeparationAssuranceNote</v>
      </c>
      <c r="C2664" s="3" t="s">
        <v>9774</v>
      </c>
      <c r="D2664" s="3" t="s">
        <v>3516</v>
      </c>
      <c r="E2664" s="3" t="b">
        <v>1</v>
      </c>
      <c r="F2664" s="3" t="b">
        <v>0</v>
      </c>
      <c r="G2664" s="3" t="s">
        <v>10003</v>
      </c>
      <c r="H2664" s="4" t="str">
        <f>_xlfn.IFNA(IF(((INDEX(RulebookFields!C2:C1898, MATCH(D2664,RulebookFields!A2:A1898, 0))="")=TRUE),  "",  INDEX(RulebookFields!C2:C1898, MATCH(D2664,RulebookFields!A2:A1898, 0))), "")</f>
        <v>ProcedureExecutions</v>
      </c>
      <c r="I2664" s="4" t="str">
        <f>_xlfn.IFNA(IF(((INDEX(RulebookFields!D2:D1898, MATCH(D2664,RulebookFields!A2:A1898, 0))="")=TRUE),  "",  INDEX(RulebookFields!D2:D1898, MATCH(D2664,RulebookFields!A2:A1898, 0))), "")</f>
        <v>SeparationAssuranceNote</v>
      </c>
      <c r="J2664" s="4" t="b">
        <f>_xlfn.IFNA(IF(((INDEX(RulebookFields!I2:I1898, MATCH(D2664,RulebookFields!A2:A1898, 0))="")=TRUE),  "",  INDEX(RulebookFields!I2:I1898, MATCH(D2664,RulebookFields!A2:A1898, 0))), "")</f>
        <v>1</v>
      </c>
      <c r="K2664" s="4" t="b">
        <f>AND(((F2664)=TRUE), ((J2664)=TRUE))</f>
        <v>0</v>
      </c>
      <c r="L2664" s="4" t="b">
        <f>AND(((G2664 &lt;&gt; "plain")=TRUE), ((G2664 &lt;&gt; "")=TRUE))</f>
        <v>0</v>
      </c>
      <c r="M2664" s="4" t="str">
        <f>IF(((E2664)=TRUE),  C2664 &amp; "|" &amp; H2664,  "")</f>
        <v>principal-knowledge-authority|ProcedureExecutions</v>
      </c>
      <c r="N2664" s="3" t="s">
        <v>10004</v>
      </c>
    </row>
    <row r="2665">
      <c r="A2665" s="3" t="s">
        <v>12667</v>
      </c>
      <c r="B2665" s="4" t="str">
        <f>C2665 &amp; " -&gt; " &amp; D2665</f>
        <v>principal-knowledge-authority -&gt; ProcedureExecutions.UngovernedDivergenceCount</v>
      </c>
      <c r="C2665" s="3" t="s">
        <v>9774</v>
      </c>
      <c r="D2665" s="3" t="s">
        <v>3518</v>
      </c>
      <c r="E2665" s="3" t="b">
        <v>1</v>
      </c>
      <c r="F2665" s="3" t="b">
        <v>0</v>
      </c>
      <c r="G2665" s="3" t="s">
        <v>10003</v>
      </c>
      <c r="H2665" s="4" t="str">
        <f>_xlfn.IFNA(IF(((INDEX(RulebookFields!C2:C1898, MATCH(D2665,RulebookFields!A2:A1898, 0))="")=TRUE),  "",  INDEX(RulebookFields!C2:C1898, MATCH(D2665,RulebookFields!A2:A1898, 0))), "")</f>
        <v>ProcedureExecutions</v>
      </c>
      <c r="I2665" s="4" t="str">
        <f>_xlfn.IFNA(IF(((INDEX(RulebookFields!D2:D1898, MATCH(D2665,RulebookFields!A2:A1898, 0))="")=TRUE),  "",  INDEX(RulebookFields!D2:D1898, MATCH(D2665,RulebookFields!A2:A1898, 0))), "")</f>
        <v>UngovernedDivergenceCount</v>
      </c>
      <c r="J2665" s="4" t="b">
        <f>_xlfn.IFNA(IF(((INDEX(RulebookFields!I2:I1898, MATCH(D2665,RulebookFields!A2:A1898, 0))="")=TRUE),  "",  INDEX(RulebookFields!I2:I1898, MATCH(D2665,RulebookFields!A2:A1898, 0))), "")</f>
        <v>1</v>
      </c>
      <c r="K2665" s="4" t="b">
        <f>AND(((F2665)=TRUE), ((J2665)=TRUE))</f>
        <v>0</v>
      </c>
      <c r="L2665" s="4" t="b">
        <f>AND(((G2665 &lt;&gt; "plain")=TRUE), ((G2665 &lt;&gt; "")=TRUE))</f>
        <v>0</v>
      </c>
      <c r="M2665" s="4" t="str">
        <f>IF(((E2665)=TRUE),  C2665 &amp; "|" &amp; H2665,  "")</f>
        <v>principal-knowledge-authority|ProcedureExecutions</v>
      </c>
      <c r="N2665" s="3" t="s">
        <v>10004</v>
      </c>
    </row>
    <row r="2666">
      <c r="A2666" s="3" t="s">
        <v>12668</v>
      </c>
      <c r="B2666" s="4" t="str">
        <f>C2666 &amp; " -&gt; " &amp; D2666</f>
        <v>principal-knowledge-authority -&gt; ProcedureExecutions.DivergenceWasFullyGoverned</v>
      </c>
      <c r="C2666" s="3" t="s">
        <v>9774</v>
      </c>
      <c r="D2666" s="3" t="s">
        <v>3520</v>
      </c>
      <c r="E2666" s="3" t="b">
        <v>1</v>
      </c>
      <c r="F2666" s="3" t="b">
        <v>0</v>
      </c>
      <c r="G2666" s="3" t="s">
        <v>10003</v>
      </c>
      <c r="H2666" s="4" t="str">
        <f>_xlfn.IFNA(IF(((INDEX(RulebookFields!C2:C1898, MATCH(D2666,RulebookFields!A2:A1898, 0))="")=TRUE),  "",  INDEX(RulebookFields!C2:C1898, MATCH(D2666,RulebookFields!A2:A1898, 0))), "")</f>
        <v>ProcedureExecutions</v>
      </c>
      <c r="I2666" s="4" t="str">
        <f>_xlfn.IFNA(IF(((INDEX(RulebookFields!D2:D1898, MATCH(D2666,RulebookFields!A2:A1898, 0))="")=TRUE),  "",  INDEX(RulebookFields!D2:D1898, MATCH(D2666,RulebookFields!A2:A1898, 0))), "")</f>
        <v>DivergenceWasFullyGoverned</v>
      </c>
      <c r="J2666" s="4" t="b">
        <f>_xlfn.IFNA(IF(((INDEX(RulebookFields!I2:I1898, MATCH(D2666,RulebookFields!A2:A1898, 0))="")=TRUE),  "",  INDEX(RulebookFields!I2:I1898, MATCH(D2666,RulebookFields!A2:A1898, 0))), "")</f>
        <v>1</v>
      </c>
      <c r="K2666" s="4" t="b">
        <f>AND(((F2666)=TRUE), ((J2666)=TRUE))</f>
        <v>0</v>
      </c>
      <c r="L2666" s="4" t="b">
        <f>AND(((G2666 &lt;&gt; "plain")=TRUE), ((G2666 &lt;&gt; "")=TRUE))</f>
        <v>0</v>
      </c>
      <c r="M2666" s="4" t="str">
        <f>IF(((E2666)=TRUE),  C2666 &amp; "|" &amp; H2666,  "")</f>
        <v>principal-knowledge-authority|ProcedureExecutions</v>
      </c>
      <c r="N2666" s="3" t="s">
        <v>10004</v>
      </c>
    </row>
    <row r="2667">
      <c r="A2667" s="3" t="s">
        <v>12669</v>
      </c>
      <c r="B2667" s="4" t="str">
        <f>C2667 &amp; " -&gt; " &amp; D2667</f>
        <v>principal-knowledge-authority -&gt; ProcedureExecutions.ComputedlyWitnessedControlCount</v>
      </c>
      <c r="C2667" s="3" t="s">
        <v>9774</v>
      </c>
      <c r="D2667" s="3" t="s">
        <v>3522</v>
      </c>
      <c r="E2667" s="3" t="b">
        <v>1</v>
      </c>
      <c r="F2667" s="3" t="b">
        <v>0</v>
      </c>
      <c r="G2667" s="3" t="s">
        <v>10003</v>
      </c>
      <c r="H2667" s="4" t="str">
        <f>_xlfn.IFNA(IF(((INDEX(RulebookFields!C2:C1898, MATCH(D2667,RulebookFields!A2:A1898, 0))="")=TRUE),  "",  INDEX(RulebookFields!C2:C1898, MATCH(D2667,RulebookFields!A2:A1898, 0))), "")</f>
        <v>ProcedureExecutions</v>
      </c>
      <c r="I2667" s="4" t="str">
        <f>_xlfn.IFNA(IF(((INDEX(RulebookFields!D2:D1898, MATCH(D2667,RulebookFields!A2:A1898, 0))="")=TRUE),  "",  INDEX(RulebookFields!D2:D1898, MATCH(D2667,RulebookFields!A2:A1898, 0))), "")</f>
        <v>ComputedlyWitnessedControlCount</v>
      </c>
      <c r="J2667" s="4" t="b">
        <f>_xlfn.IFNA(IF(((INDEX(RulebookFields!I2:I1898, MATCH(D2667,RulebookFields!A2:A1898, 0))="")=TRUE),  "",  INDEX(RulebookFields!I2:I1898, MATCH(D2667,RulebookFields!A2:A1898, 0))), "")</f>
        <v>1</v>
      </c>
      <c r="K2667" s="4" t="b">
        <f>AND(((F2667)=TRUE), ((J2667)=TRUE))</f>
        <v>0</v>
      </c>
      <c r="L2667" s="4" t="b">
        <f>AND(((G2667 &lt;&gt; "plain")=TRUE), ((G2667 &lt;&gt; "")=TRUE))</f>
        <v>0</v>
      </c>
      <c r="M2667" s="4" t="str">
        <f>IF(((E2667)=TRUE),  C2667 &amp; "|" &amp; H2667,  "")</f>
        <v>principal-knowledge-authority|ProcedureExecutions</v>
      </c>
      <c r="N2667" s="3" t="s">
        <v>10004</v>
      </c>
    </row>
    <row r="2668">
      <c r="A2668" s="3" t="s">
        <v>12670</v>
      </c>
      <c r="B2668" s="4" t="str">
        <f>C2668 &amp; " -&gt; " &amp; D2668</f>
        <v>principal-knowledge-authority -&gt; ProcedureExecutions.EvaluatedControlCount</v>
      </c>
      <c r="C2668" s="3" t="s">
        <v>9774</v>
      </c>
      <c r="D2668" s="3" t="s">
        <v>3524</v>
      </c>
      <c r="E2668" s="3" t="b">
        <v>1</v>
      </c>
      <c r="F2668" s="3" t="b">
        <v>0</v>
      </c>
      <c r="G2668" s="3" t="s">
        <v>10003</v>
      </c>
      <c r="H2668" s="4" t="str">
        <f>_xlfn.IFNA(IF(((INDEX(RulebookFields!C2:C1898, MATCH(D2668,RulebookFields!A2:A1898, 0))="")=TRUE),  "",  INDEX(RulebookFields!C2:C1898, MATCH(D2668,RulebookFields!A2:A1898, 0))), "")</f>
        <v>ProcedureExecutions</v>
      </c>
      <c r="I2668" s="4" t="str">
        <f>_xlfn.IFNA(IF(((INDEX(RulebookFields!D2:D1898, MATCH(D2668,RulebookFields!A2:A1898, 0))="")=TRUE),  "",  INDEX(RulebookFields!D2:D1898, MATCH(D2668,RulebookFields!A2:A1898, 0))), "")</f>
        <v>EvaluatedControlCount</v>
      </c>
      <c r="J2668" s="4" t="b">
        <f>_xlfn.IFNA(IF(((INDEX(RulebookFields!I2:I1898, MATCH(D2668,RulebookFields!A2:A1898, 0))="")=TRUE),  "",  INDEX(RulebookFields!I2:I1898, MATCH(D2668,RulebookFields!A2:A1898, 0))), "")</f>
        <v>1</v>
      </c>
      <c r="K2668" s="4" t="b">
        <f>AND(((F2668)=TRUE), ((J2668)=TRUE))</f>
        <v>0</v>
      </c>
      <c r="L2668" s="4" t="b">
        <f>AND(((G2668 &lt;&gt; "plain")=TRUE), ((G2668 &lt;&gt; "")=TRUE))</f>
        <v>0</v>
      </c>
      <c r="M2668" s="4" t="str">
        <f>IF(((E2668)=TRUE),  C2668 &amp; "|" &amp; H2668,  "")</f>
        <v>principal-knowledge-authority|ProcedureExecutions</v>
      </c>
      <c r="N2668" s="3" t="s">
        <v>10004</v>
      </c>
    </row>
    <row r="2669">
      <c r="A2669" s="3" t="s">
        <v>12671</v>
      </c>
      <c r="B2669" s="4" t="str">
        <f>C2669 &amp; " -&gt; " &amp; D2669</f>
        <v>principal-knowledge-authority -&gt; ProcedureExecutions.ComputedAssuranceRatio</v>
      </c>
      <c r="C2669" s="3" t="s">
        <v>9774</v>
      </c>
      <c r="D2669" s="3" t="s">
        <v>3526</v>
      </c>
      <c r="E2669" s="3" t="b">
        <v>1</v>
      </c>
      <c r="F2669" s="3" t="b">
        <v>0</v>
      </c>
      <c r="G2669" s="3" t="s">
        <v>10003</v>
      </c>
      <c r="H2669" s="4" t="str">
        <f>_xlfn.IFNA(IF(((INDEX(RulebookFields!C2:C1898, MATCH(D2669,RulebookFields!A2:A1898, 0))="")=TRUE),  "",  INDEX(RulebookFields!C2:C1898, MATCH(D2669,RulebookFields!A2:A1898, 0))), "")</f>
        <v>ProcedureExecutions</v>
      </c>
      <c r="I2669" s="4" t="str">
        <f>_xlfn.IFNA(IF(((INDEX(RulebookFields!D2:D1898, MATCH(D2669,RulebookFields!A2:A1898, 0))="")=TRUE),  "",  INDEX(RulebookFields!D2:D1898, MATCH(D2669,RulebookFields!A2:A1898, 0))), "")</f>
        <v>ComputedAssuranceRatio</v>
      </c>
      <c r="J2669" s="4" t="b">
        <f>_xlfn.IFNA(IF(((INDEX(RulebookFields!I2:I1898, MATCH(D2669,RulebookFields!A2:A1898, 0))="")=TRUE),  "",  INDEX(RulebookFields!I2:I1898, MATCH(D2669,RulebookFields!A2:A1898, 0))), "")</f>
        <v>1</v>
      </c>
      <c r="K2669" s="4" t="b">
        <f>AND(((F2669)=TRUE), ((J2669)=TRUE))</f>
        <v>0</v>
      </c>
      <c r="L2669" s="4" t="b">
        <f>AND(((G2669 &lt;&gt; "plain")=TRUE), ((G2669 &lt;&gt; "")=TRUE))</f>
        <v>0</v>
      </c>
      <c r="M2669" s="4" t="str">
        <f>IF(((E2669)=TRUE),  C2669 &amp; "|" &amp; H2669,  "")</f>
        <v>principal-knowledge-authority|ProcedureExecutions</v>
      </c>
      <c r="N2669" s="3" t="s">
        <v>10004</v>
      </c>
    </row>
    <row r="2670">
      <c r="A2670" s="3" t="s">
        <v>12672</v>
      </c>
      <c r="B2670" s="4" t="str">
        <f>C2670 &amp; " -&gt; " &amp; D2670</f>
        <v>principal-knowledge-authority -&gt; ProcedureExecutions.InterestedPartyAssertionCount</v>
      </c>
      <c r="C2670" s="3" t="s">
        <v>9774</v>
      </c>
      <c r="D2670" s="3" t="s">
        <v>3528</v>
      </c>
      <c r="E2670" s="3" t="b">
        <v>1</v>
      </c>
      <c r="F2670" s="3" t="b">
        <v>0</v>
      </c>
      <c r="G2670" s="3" t="s">
        <v>10003</v>
      </c>
      <c r="H2670" s="4" t="str">
        <f>_xlfn.IFNA(IF(((INDEX(RulebookFields!C2:C1898, MATCH(D2670,RulebookFields!A2:A1898, 0))="")=TRUE),  "",  INDEX(RulebookFields!C2:C1898, MATCH(D2670,RulebookFields!A2:A1898, 0))), "")</f>
        <v>ProcedureExecutions</v>
      </c>
      <c r="I2670" s="4" t="str">
        <f>_xlfn.IFNA(IF(((INDEX(RulebookFields!D2:D1898, MATCH(D2670,RulebookFields!A2:A1898, 0))="")=TRUE),  "",  INDEX(RulebookFields!D2:D1898, MATCH(D2670,RulebookFields!A2:A1898, 0))), "")</f>
        <v>InterestedPartyAssertionCount</v>
      </c>
      <c r="J2670" s="4" t="b">
        <f>_xlfn.IFNA(IF(((INDEX(RulebookFields!I2:I1898, MATCH(D2670,RulebookFields!A2:A1898, 0))="")=TRUE),  "",  INDEX(RulebookFields!I2:I1898, MATCH(D2670,RulebookFields!A2:A1898, 0))), "")</f>
        <v>1</v>
      </c>
      <c r="K2670" s="4" t="b">
        <f>AND(((F2670)=TRUE), ((J2670)=TRUE))</f>
        <v>0</v>
      </c>
      <c r="L2670" s="4" t="b">
        <f>AND(((G2670 &lt;&gt; "plain")=TRUE), ((G2670 &lt;&gt; "")=TRUE))</f>
        <v>0</v>
      </c>
      <c r="M2670" s="4" t="str">
        <f>IF(((E2670)=TRUE),  C2670 &amp; "|" &amp; H2670,  "")</f>
        <v>principal-knowledge-authority|ProcedureExecutions</v>
      </c>
      <c r="N2670" s="3" t="s">
        <v>10004</v>
      </c>
    </row>
    <row r="2671">
      <c r="A2671" s="3" t="s">
        <v>12673</v>
      </c>
      <c r="B2671" s="4" t="str">
        <f>C2671 &amp; " -&gt; " &amp; D2671</f>
        <v>principal-knowledge-authority -&gt; ProcedureExecutions.AssuranceGrade</v>
      </c>
      <c r="C2671" s="3" t="s">
        <v>9774</v>
      </c>
      <c r="D2671" s="3" t="s">
        <v>3530</v>
      </c>
      <c r="E2671" s="3" t="b">
        <v>1</v>
      </c>
      <c r="F2671" s="3" t="b">
        <v>0</v>
      </c>
      <c r="G2671" s="3" t="s">
        <v>10003</v>
      </c>
      <c r="H2671" s="4" t="str">
        <f>_xlfn.IFNA(IF(((INDEX(RulebookFields!C2:C1898, MATCH(D2671,RulebookFields!A2:A1898, 0))="")=TRUE),  "",  INDEX(RulebookFields!C2:C1898, MATCH(D2671,RulebookFields!A2:A1898, 0))), "")</f>
        <v>ProcedureExecutions</v>
      </c>
      <c r="I2671" s="4" t="str">
        <f>_xlfn.IFNA(IF(((INDEX(RulebookFields!D2:D1898, MATCH(D2671,RulebookFields!A2:A1898, 0))="")=TRUE),  "",  INDEX(RulebookFields!D2:D1898, MATCH(D2671,RulebookFields!A2:A1898, 0))), "")</f>
        <v>AssuranceGrade</v>
      </c>
      <c r="J2671" s="4" t="b">
        <f>_xlfn.IFNA(IF(((INDEX(RulebookFields!I2:I1898, MATCH(D2671,RulebookFields!A2:A1898, 0))="")=TRUE),  "",  INDEX(RulebookFields!I2:I1898, MATCH(D2671,RulebookFields!A2:A1898, 0))), "")</f>
        <v>1</v>
      </c>
      <c r="K2671" s="4" t="b">
        <f>AND(((F2671)=TRUE), ((J2671)=TRUE))</f>
        <v>0</v>
      </c>
      <c r="L2671" s="4" t="b">
        <f>AND(((G2671 &lt;&gt; "plain")=TRUE), ((G2671 &lt;&gt; "")=TRUE))</f>
        <v>0</v>
      </c>
      <c r="M2671" s="4" t="str">
        <f>IF(((E2671)=TRUE),  C2671 &amp; "|" &amp; H2671,  "")</f>
        <v>principal-knowledge-authority|ProcedureExecutions</v>
      </c>
      <c r="N2671" s="3" t="s">
        <v>10004</v>
      </c>
    </row>
    <row r="2672">
      <c r="A2672" s="3" t="s">
        <v>12674</v>
      </c>
      <c r="B2672" s="4" t="str">
        <f>C2672 &amp; " -&gt; " &amp; D2672</f>
        <v>principal-knowledge-authority -&gt; ProcedureExecutions.AttestationWouldBeWeaklyBased</v>
      </c>
      <c r="C2672" s="3" t="s">
        <v>9774</v>
      </c>
      <c r="D2672" s="3" t="s">
        <v>3532</v>
      </c>
      <c r="E2672" s="3" t="b">
        <v>1</v>
      </c>
      <c r="F2672" s="3" t="b">
        <v>0</v>
      </c>
      <c r="G2672" s="3" t="s">
        <v>10003</v>
      </c>
      <c r="H2672" s="4" t="str">
        <f>_xlfn.IFNA(IF(((INDEX(RulebookFields!C2:C1898, MATCH(D2672,RulebookFields!A2:A1898, 0))="")=TRUE),  "",  INDEX(RulebookFields!C2:C1898, MATCH(D2672,RulebookFields!A2:A1898, 0))), "")</f>
        <v>ProcedureExecutions</v>
      </c>
      <c r="I2672" s="4" t="str">
        <f>_xlfn.IFNA(IF(((INDEX(RulebookFields!D2:D1898, MATCH(D2672,RulebookFields!A2:A1898, 0))="")=TRUE),  "",  INDEX(RulebookFields!D2:D1898, MATCH(D2672,RulebookFields!A2:A1898, 0))), "")</f>
        <v>AttestationWouldBeWeaklyBased</v>
      </c>
      <c r="J2672" s="4" t="b">
        <f>_xlfn.IFNA(IF(((INDEX(RulebookFields!I2:I1898, MATCH(D2672,RulebookFields!A2:A1898, 0))="")=TRUE),  "",  INDEX(RulebookFields!I2:I1898, MATCH(D2672,RulebookFields!A2:A1898, 0))), "")</f>
        <v>1</v>
      </c>
      <c r="K2672" s="4" t="b">
        <f>AND(((F2672)=TRUE), ((J2672)=TRUE))</f>
        <v>0</v>
      </c>
      <c r="L2672" s="4" t="b">
        <f>AND(((G2672 &lt;&gt; "plain")=TRUE), ((G2672 &lt;&gt; "")=TRUE))</f>
        <v>0</v>
      </c>
      <c r="M2672" s="4" t="str">
        <f>IF(((E2672)=TRUE),  C2672 &amp; "|" &amp; H2672,  "")</f>
        <v>principal-knowledge-authority|ProcedureExecutions</v>
      </c>
      <c r="N2672" s="3" t="s">
        <v>10004</v>
      </c>
    </row>
    <row r="2673">
      <c r="A2673" s="3" t="s">
        <v>12675</v>
      </c>
      <c r="B2673" s="4" t="str">
        <f>C2673 &amp; " -&gt; " &amp; D2673</f>
        <v>principal-knowledge-authority -&gt; ProcedureExecutions.IndependentHumanObservationCount</v>
      </c>
      <c r="C2673" s="3" t="s">
        <v>9774</v>
      </c>
      <c r="D2673" s="3" t="s">
        <v>3534</v>
      </c>
      <c r="E2673" s="3" t="b">
        <v>1</v>
      </c>
      <c r="F2673" s="3" t="b">
        <v>0</v>
      </c>
      <c r="G2673" s="3" t="s">
        <v>10003</v>
      </c>
      <c r="H2673" s="4" t="str">
        <f>_xlfn.IFNA(IF(((INDEX(RulebookFields!C2:C1898, MATCH(D2673,RulebookFields!A2:A1898, 0))="")=TRUE),  "",  INDEX(RulebookFields!C2:C1898, MATCH(D2673,RulebookFields!A2:A1898, 0))), "")</f>
        <v>ProcedureExecutions</v>
      </c>
      <c r="I2673" s="4" t="str">
        <f>_xlfn.IFNA(IF(((INDEX(RulebookFields!D2:D1898, MATCH(D2673,RulebookFields!A2:A1898, 0))="")=TRUE),  "",  INDEX(RulebookFields!D2:D1898, MATCH(D2673,RulebookFields!A2:A1898, 0))), "")</f>
        <v>IndependentHumanObservationCount</v>
      </c>
      <c r="J2673" s="4" t="b">
        <f>_xlfn.IFNA(IF(((INDEX(RulebookFields!I2:I1898, MATCH(D2673,RulebookFields!A2:A1898, 0))="")=TRUE),  "",  INDEX(RulebookFields!I2:I1898, MATCH(D2673,RulebookFields!A2:A1898, 0))), "")</f>
        <v>1</v>
      </c>
      <c r="K2673" s="4" t="b">
        <f>AND(((F2673)=TRUE), ((J2673)=TRUE))</f>
        <v>0</v>
      </c>
      <c r="L2673" s="4" t="b">
        <f>AND(((G2673 &lt;&gt; "plain")=TRUE), ((G2673 &lt;&gt; "")=TRUE))</f>
        <v>0</v>
      </c>
      <c r="M2673" s="4" t="str">
        <f>IF(((E2673)=TRUE),  C2673 &amp; "|" &amp; H2673,  "")</f>
        <v>principal-knowledge-authority|ProcedureExecutions</v>
      </c>
      <c r="N2673" s="3" t="s">
        <v>10004</v>
      </c>
    </row>
    <row r="2674">
      <c r="A2674" s="3" t="s">
        <v>12676</v>
      </c>
      <c r="B2674" s="4" t="str">
        <f>C2674 &amp; " -&gt; " &amp; D2674</f>
        <v>principal-knowledge-authority -&gt; ProcedureExecutions.HasAnyIndependentObservation</v>
      </c>
      <c r="C2674" s="3" t="s">
        <v>9774</v>
      </c>
      <c r="D2674" s="3" t="s">
        <v>3536</v>
      </c>
      <c r="E2674" s="3" t="b">
        <v>1</v>
      </c>
      <c r="F2674" s="3" t="b">
        <v>0</v>
      </c>
      <c r="G2674" s="3" t="s">
        <v>10003</v>
      </c>
      <c r="H2674" s="4" t="str">
        <f>_xlfn.IFNA(IF(((INDEX(RulebookFields!C2:C1898, MATCH(D2674,RulebookFields!A2:A1898, 0))="")=TRUE),  "",  INDEX(RulebookFields!C2:C1898, MATCH(D2674,RulebookFields!A2:A1898, 0))), "")</f>
        <v>ProcedureExecutions</v>
      </c>
      <c r="I2674" s="4" t="str">
        <f>_xlfn.IFNA(IF(((INDEX(RulebookFields!D2:D1898, MATCH(D2674,RulebookFields!A2:A1898, 0))="")=TRUE),  "",  INDEX(RulebookFields!D2:D1898, MATCH(D2674,RulebookFields!A2:A1898, 0))), "")</f>
        <v>HasAnyIndependentObservation</v>
      </c>
      <c r="J2674" s="4" t="b">
        <f>_xlfn.IFNA(IF(((INDEX(RulebookFields!I2:I1898, MATCH(D2674,RulebookFields!A2:A1898, 0))="")=TRUE),  "",  INDEX(RulebookFields!I2:I1898, MATCH(D2674,RulebookFields!A2:A1898, 0))), "")</f>
        <v>1</v>
      </c>
      <c r="K2674" s="4" t="b">
        <f>AND(((F2674)=TRUE), ((J2674)=TRUE))</f>
        <v>0</v>
      </c>
      <c r="L2674" s="4" t="b">
        <f>AND(((G2674 &lt;&gt; "plain")=TRUE), ((G2674 &lt;&gt; "")=TRUE))</f>
        <v>0</v>
      </c>
      <c r="M2674" s="4" t="str">
        <f>IF(((E2674)=TRUE),  C2674 &amp; "|" &amp; H2674,  "")</f>
        <v>principal-knowledge-authority|ProcedureExecutions</v>
      </c>
      <c r="N2674" s="3" t="s">
        <v>10004</v>
      </c>
    </row>
    <row r="2675">
      <c r="A2675" s="3" t="s">
        <v>12677</v>
      </c>
      <c r="B2675" s="4" t="str">
        <f>C2675 &amp; " -&gt; " &amp; D2675</f>
        <v>principal-knowledge-authority -&gt; ProcedureExecutions.SelfAttestedApprovalCount</v>
      </c>
      <c r="C2675" s="3" t="s">
        <v>9774</v>
      </c>
      <c r="D2675" s="3" t="s">
        <v>3538</v>
      </c>
      <c r="E2675" s="3" t="b">
        <v>1</v>
      </c>
      <c r="F2675" s="3" t="b">
        <v>0</v>
      </c>
      <c r="G2675" s="3" t="s">
        <v>10003</v>
      </c>
      <c r="H2675" s="4" t="str">
        <f>_xlfn.IFNA(IF(((INDEX(RulebookFields!C2:C1898, MATCH(D2675,RulebookFields!A2:A1898, 0))="")=TRUE),  "",  INDEX(RulebookFields!C2:C1898, MATCH(D2675,RulebookFields!A2:A1898, 0))), "")</f>
        <v>ProcedureExecutions</v>
      </c>
      <c r="I2675" s="4" t="str">
        <f>_xlfn.IFNA(IF(((INDEX(RulebookFields!D2:D1898, MATCH(D2675,RulebookFields!A2:A1898, 0))="")=TRUE),  "",  INDEX(RulebookFields!D2:D1898, MATCH(D2675,RulebookFields!A2:A1898, 0))), "")</f>
        <v>SelfAttestedApprovalCount</v>
      </c>
      <c r="J2675" s="4" t="b">
        <f>_xlfn.IFNA(IF(((INDEX(RulebookFields!I2:I1898, MATCH(D2675,RulebookFields!A2:A1898, 0))="")=TRUE),  "",  INDEX(RulebookFields!I2:I1898, MATCH(D2675,RulebookFields!A2:A1898, 0))), "")</f>
        <v>1</v>
      </c>
      <c r="K2675" s="4" t="b">
        <f>AND(((F2675)=TRUE), ((J2675)=TRUE))</f>
        <v>0</v>
      </c>
      <c r="L2675" s="4" t="b">
        <f>AND(((G2675 &lt;&gt; "plain")=TRUE), ((G2675 &lt;&gt; "")=TRUE))</f>
        <v>0</v>
      </c>
      <c r="M2675" s="4" t="str">
        <f>IF(((E2675)=TRUE),  C2675 &amp; "|" &amp; H2675,  "")</f>
        <v>principal-knowledge-authority|ProcedureExecutions</v>
      </c>
      <c r="N2675" s="3" t="s">
        <v>10004</v>
      </c>
    </row>
    <row r="2676">
      <c r="A2676" s="3" t="s">
        <v>12678</v>
      </c>
      <c r="B2676" s="4" t="str">
        <f>C2676 &amp; " -&gt; " &amp; D2676</f>
        <v>principal-knowledge-authority -&gt; ProcedureExecutions.AssuranceChainIsCircular</v>
      </c>
      <c r="C2676" s="3" t="s">
        <v>9774</v>
      </c>
      <c r="D2676" s="3" t="s">
        <v>3540</v>
      </c>
      <c r="E2676" s="3" t="b">
        <v>1</v>
      </c>
      <c r="F2676" s="3" t="b">
        <v>0</v>
      </c>
      <c r="G2676" s="3" t="s">
        <v>10003</v>
      </c>
      <c r="H2676" s="4" t="str">
        <f>_xlfn.IFNA(IF(((INDEX(RulebookFields!C2:C1898, MATCH(D2676,RulebookFields!A2:A1898, 0))="")=TRUE),  "",  INDEX(RulebookFields!C2:C1898, MATCH(D2676,RulebookFields!A2:A1898, 0))), "")</f>
        <v>ProcedureExecutions</v>
      </c>
      <c r="I2676" s="4" t="str">
        <f>_xlfn.IFNA(IF(((INDEX(RulebookFields!D2:D1898, MATCH(D2676,RulebookFields!A2:A1898, 0))="")=TRUE),  "",  INDEX(RulebookFields!D2:D1898, MATCH(D2676,RulebookFields!A2:A1898, 0))), "")</f>
        <v>AssuranceChainIsCircular</v>
      </c>
      <c r="J2676" s="4" t="b">
        <f>_xlfn.IFNA(IF(((INDEX(RulebookFields!I2:I1898, MATCH(D2676,RulebookFields!A2:A1898, 0))="")=TRUE),  "",  INDEX(RulebookFields!I2:I1898, MATCH(D2676,RulebookFields!A2:A1898, 0))), "")</f>
        <v>1</v>
      </c>
      <c r="K2676" s="4" t="b">
        <f>AND(((F2676)=TRUE), ((J2676)=TRUE))</f>
        <v>0</v>
      </c>
      <c r="L2676" s="4" t="b">
        <f>AND(((G2676 &lt;&gt; "plain")=TRUE), ((G2676 &lt;&gt; "")=TRUE))</f>
        <v>0</v>
      </c>
      <c r="M2676" s="4" t="str">
        <f>IF(((E2676)=TRUE),  C2676 &amp; "|" &amp; H2676,  "")</f>
        <v>principal-knowledge-authority|ProcedureExecutions</v>
      </c>
      <c r="N2676" s="3" t="s">
        <v>10004</v>
      </c>
    </row>
    <row r="2677">
      <c r="A2677" s="3" t="s">
        <v>12679</v>
      </c>
      <c r="B2677" s="4" t="str">
        <f>C2677 &amp; " -&gt; " &amp; D2677</f>
        <v>principal-knowledge-authority -&gt; ProcedureExecutions.LatestAttestationInstant</v>
      </c>
      <c r="C2677" s="3" t="s">
        <v>9774</v>
      </c>
      <c r="D2677" s="3" t="s">
        <v>3542</v>
      </c>
      <c r="E2677" s="3" t="b">
        <v>1</v>
      </c>
      <c r="F2677" s="3" t="b">
        <v>0</v>
      </c>
      <c r="G2677" s="3" t="s">
        <v>10003</v>
      </c>
      <c r="H2677" s="4" t="str">
        <f>_xlfn.IFNA(IF(((INDEX(RulebookFields!C2:C1898, MATCH(D2677,RulebookFields!A2:A1898, 0))="")=TRUE),  "",  INDEX(RulebookFields!C2:C1898, MATCH(D2677,RulebookFields!A2:A1898, 0))), "")</f>
        <v>ProcedureExecutions</v>
      </c>
      <c r="I2677" s="4" t="str">
        <f>_xlfn.IFNA(IF(((INDEX(RulebookFields!D2:D1898, MATCH(D2677,RulebookFields!A2:A1898, 0))="")=TRUE),  "",  INDEX(RulebookFields!D2:D1898, MATCH(D2677,RulebookFields!A2:A1898, 0))), "")</f>
        <v>LatestAttestationInstant</v>
      </c>
      <c r="J2677" s="4" t="b">
        <f>_xlfn.IFNA(IF(((INDEX(RulebookFields!I2:I1898, MATCH(D2677,RulebookFields!A2:A1898, 0))="")=TRUE),  "",  INDEX(RulebookFields!I2:I1898, MATCH(D2677,RulebookFields!A2:A1898, 0))), "")</f>
        <v>1</v>
      </c>
      <c r="K2677" s="4" t="b">
        <f>AND(((F2677)=TRUE), ((J2677)=TRUE))</f>
        <v>0</v>
      </c>
      <c r="L2677" s="4" t="b">
        <f>AND(((G2677 &lt;&gt; "plain")=TRUE), ((G2677 &lt;&gt; "")=TRUE))</f>
        <v>0</v>
      </c>
      <c r="M2677" s="4" t="str">
        <f>IF(((E2677)=TRUE),  C2677 &amp; "|" &amp; H2677,  "")</f>
        <v>principal-knowledge-authority|ProcedureExecutions</v>
      </c>
      <c r="N2677" s="3" t="s">
        <v>10004</v>
      </c>
    </row>
    <row r="2678">
      <c r="A2678" s="3" t="s">
        <v>12680</v>
      </c>
      <c r="B2678" s="4" t="str">
        <f>C2678 &amp; " -&gt; " &amp; D2678</f>
        <v>principal-knowledge-authority -&gt; ProcedureExecutions.HasBeenAttested</v>
      </c>
      <c r="C2678" s="3" t="s">
        <v>9774</v>
      </c>
      <c r="D2678" s="3" t="s">
        <v>3544</v>
      </c>
      <c r="E2678" s="3" t="b">
        <v>1</v>
      </c>
      <c r="F2678" s="3" t="b">
        <v>0</v>
      </c>
      <c r="G2678" s="3" t="s">
        <v>10003</v>
      </c>
      <c r="H2678" s="4" t="str">
        <f>_xlfn.IFNA(IF(((INDEX(RulebookFields!C2:C1898, MATCH(D2678,RulebookFields!A2:A1898, 0))="")=TRUE),  "",  INDEX(RulebookFields!C2:C1898, MATCH(D2678,RulebookFields!A2:A1898, 0))), "")</f>
        <v>ProcedureExecutions</v>
      </c>
      <c r="I2678" s="4" t="str">
        <f>_xlfn.IFNA(IF(((INDEX(RulebookFields!D2:D1898, MATCH(D2678,RulebookFields!A2:A1898, 0))="")=TRUE),  "",  INDEX(RulebookFields!D2:D1898, MATCH(D2678,RulebookFields!A2:A1898, 0))), "")</f>
        <v>HasBeenAttested</v>
      </c>
      <c r="J2678" s="4" t="b">
        <f>_xlfn.IFNA(IF(((INDEX(RulebookFields!I2:I1898, MATCH(D2678,RulebookFields!A2:A1898, 0))="")=TRUE),  "",  INDEX(RulebookFields!I2:I1898, MATCH(D2678,RulebookFields!A2:A1898, 0))), "")</f>
        <v>1</v>
      </c>
      <c r="K2678" s="4" t="b">
        <f>AND(((F2678)=TRUE), ((J2678)=TRUE))</f>
        <v>0</v>
      </c>
      <c r="L2678" s="4" t="b">
        <f>AND(((G2678 &lt;&gt; "plain")=TRUE), ((G2678 &lt;&gt; "")=TRUE))</f>
        <v>0</v>
      </c>
      <c r="M2678" s="4" t="str">
        <f>IF(((E2678)=TRUE),  C2678 &amp; "|" &amp; H2678,  "")</f>
        <v>principal-knowledge-authority|ProcedureExecutions</v>
      </c>
      <c r="N2678" s="3" t="s">
        <v>10004</v>
      </c>
    </row>
    <row r="2679">
      <c r="A2679" s="3" t="s">
        <v>12681</v>
      </c>
      <c r="B2679" s="4" t="str">
        <f>C2679 &amp; " -&gt; " &amp; D2679</f>
        <v>principal-knowledge-authority -&gt; ProcedureExecutions.AttestationCount</v>
      </c>
      <c r="C2679" s="3" t="s">
        <v>9774</v>
      </c>
      <c r="D2679" s="3" t="s">
        <v>3546</v>
      </c>
      <c r="E2679" s="3" t="b">
        <v>1</v>
      </c>
      <c r="F2679" s="3" t="b">
        <v>0</v>
      </c>
      <c r="G2679" s="3" t="s">
        <v>10003</v>
      </c>
      <c r="H2679" s="4" t="str">
        <f>_xlfn.IFNA(IF(((INDEX(RulebookFields!C2:C1898, MATCH(D2679,RulebookFields!A2:A1898, 0))="")=TRUE),  "",  INDEX(RulebookFields!C2:C1898, MATCH(D2679,RulebookFields!A2:A1898, 0))), "")</f>
        <v>ProcedureExecutions</v>
      </c>
      <c r="I2679" s="4" t="str">
        <f>_xlfn.IFNA(IF(((INDEX(RulebookFields!D2:D1898, MATCH(D2679,RulebookFields!A2:A1898, 0))="")=TRUE),  "",  INDEX(RulebookFields!D2:D1898, MATCH(D2679,RulebookFields!A2:A1898, 0))), "")</f>
        <v>AttestationCount</v>
      </c>
      <c r="J2679" s="4" t="b">
        <f>_xlfn.IFNA(IF(((INDEX(RulebookFields!I2:I1898, MATCH(D2679,RulebookFields!A2:A1898, 0))="")=TRUE),  "",  INDEX(RulebookFields!I2:I1898, MATCH(D2679,RulebookFields!A2:A1898, 0))), "")</f>
        <v>1</v>
      </c>
      <c r="K2679" s="4" t="b">
        <f>AND(((F2679)=TRUE), ((J2679)=TRUE))</f>
        <v>0</v>
      </c>
      <c r="L2679" s="4" t="b">
        <f>AND(((G2679 &lt;&gt; "plain")=TRUE), ((G2679 &lt;&gt; "")=TRUE))</f>
        <v>0</v>
      </c>
      <c r="M2679" s="4" t="str">
        <f>IF(((E2679)=TRUE),  C2679 &amp; "|" &amp; H2679,  "")</f>
        <v>principal-knowledge-authority|ProcedureExecutions</v>
      </c>
      <c r="N2679" s="3" t="s">
        <v>10004</v>
      </c>
    </row>
    <row r="2680">
      <c r="A2680" s="3" t="s">
        <v>12682</v>
      </c>
      <c r="B2680" s="4" t="str">
        <f>C2680 &amp; " -&gt; " &amp; D2680</f>
        <v>principal-knowledge-authority -&gt; ProcedureExecutions.PostAttestationScoreCount</v>
      </c>
      <c r="C2680" s="3" t="s">
        <v>9774</v>
      </c>
      <c r="D2680" s="3" t="s">
        <v>3548</v>
      </c>
      <c r="E2680" s="3" t="b">
        <v>1</v>
      </c>
      <c r="F2680" s="3" t="b">
        <v>0</v>
      </c>
      <c r="G2680" s="3" t="s">
        <v>10003</v>
      </c>
      <c r="H2680" s="4" t="str">
        <f>_xlfn.IFNA(IF(((INDEX(RulebookFields!C2:C1898, MATCH(D2680,RulebookFields!A2:A1898, 0))="")=TRUE),  "",  INDEX(RulebookFields!C2:C1898, MATCH(D2680,RulebookFields!A2:A1898, 0))), "")</f>
        <v>ProcedureExecutions</v>
      </c>
      <c r="I2680" s="4" t="str">
        <f>_xlfn.IFNA(IF(((INDEX(RulebookFields!D2:D1898, MATCH(D2680,RulebookFields!A2:A1898, 0))="")=TRUE),  "",  INDEX(RulebookFields!D2:D1898, MATCH(D2680,RulebookFields!A2:A1898, 0))), "")</f>
        <v>PostAttestationScoreCount</v>
      </c>
      <c r="J2680" s="4" t="b">
        <f>_xlfn.IFNA(IF(((INDEX(RulebookFields!I2:I1898, MATCH(D2680,RulebookFields!A2:A1898, 0))="")=TRUE),  "",  INDEX(RulebookFields!I2:I1898, MATCH(D2680,RulebookFields!A2:A1898, 0))), "")</f>
        <v>1</v>
      </c>
      <c r="K2680" s="4" t="b">
        <f>AND(((F2680)=TRUE), ((J2680)=TRUE))</f>
        <v>0</v>
      </c>
      <c r="L2680" s="4" t="b">
        <f>AND(((G2680 &lt;&gt; "plain")=TRUE), ((G2680 &lt;&gt; "")=TRUE))</f>
        <v>0</v>
      </c>
      <c r="M2680" s="4" t="str">
        <f>IF(((E2680)=TRUE),  C2680 &amp; "|" &amp; H2680,  "")</f>
        <v>principal-knowledge-authority|ProcedureExecutions</v>
      </c>
      <c r="N2680" s="3" t="s">
        <v>10004</v>
      </c>
    </row>
    <row r="2681">
      <c r="A2681" s="3" t="s">
        <v>12683</v>
      </c>
      <c r="B2681" s="4" t="str">
        <f>C2681 &amp; " -&gt; " &amp; D2681</f>
        <v>principal-knowledge-authority -&gt; ProcedureExecutions.BasisChangedAfterSignature</v>
      </c>
      <c r="C2681" s="3" t="s">
        <v>9774</v>
      </c>
      <c r="D2681" s="3" t="s">
        <v>3550</v>
      </c>
      <c r="E2681" s="3" t="b">
        <v>1</v>
      </c>
      <c r="F2681" s="3" t="b">
        <v>0</v>
      </c>
      <c r="G2681" s="3" t="s">
        <v>10003</v>
      </c>
      <c r="H2681" s="4" t="str">
        <f>_xlfn.IFNA(IF(((INDEX(RulebookFields!C2:C1898, MATCH(D2681,RulebookFields!A2:A1898, 0))="")=TRUE),  "",  INDEX(RulebookFields!C2:C1898, MATCH(D2681,RulebookFields!A2:A1898, 0))), "")</f>
        <v>ProcedureExecutions</v>
      </c>
      <c r="I2681" s="4" t="str">
        <f>_xlfn.IFNA(IF(((INDEX(RulebookFields!D2:D1898, MATCH(D2681,RulebookFields!A2:A1898, 0))="")=TRUE),  "",  INDEX(RulebookFields!D2:D1898, MATCH(D2681,RulebookFields!A2:A1898, 0))), "")</f>
        <v>BasisChangedAfterSignature</v>
      </c>
      <c r="J2681" s="4" t="b">
        <f>_xlfn.IFNA(IF(((INDEX(RulebookFields!I2:I1898, MATCH(D2681,RulebookFields!A2:A1898, 0))="")=TRUE),  "",  INDEX(RulebookFields!I2:I1898, MATCH(D2681,RulebookFields!A2:A1898, 0))), "")</f>
        <v>1</v>
      </c>
      <c r="K2681" s="4" t="b">
        <f>AND(((F2681)=TRUE), ((J2681)=TRUE))</f>
        <v>0</v>
      </c>
      <c r="L2681" s="4" t="b">
        <f>AND(((G2681 &lt;&gt; "plain")=TRUE), ((G2681 &lt;&gt; "")=TRUE))</f>
        <v>0</v>
      </c>
      <c r="M2681" s="4" t="str">
        <f>IF(((E2681)=TRUE),  C2681 &amp; "|" &amp; H2681,  "")</f>
        <v>principal-knowledge-authority|ProcedureExecutions</v>
      </c>
      <c r="N2681" s="3" t="s">
        <v>10004</v>
      </c>
    </row>
    <row r="2682">
      <c r="A2682" s="3" t="s">
        <v>12684</v>
      </c>
      <c r="B2682" s="4" t="str">
        <f>C2682 &amp; " -&gt; " &amp; D2682</f>
        <v>principal-knowledge-authority -&gt; ProcedureExecutions.RequiresReAttestation</v>
      </c>
      <c r="C2682" s="3" t="s">
        <v>9774</v>
      </c>
      <c r="D2682" s="3" t="s">
        <v>3552</v>
      </c>
      <c r="E2682" s="3" t="b">
        <v>1</v>
      </c>
      <c r="F2682" s="3" t="b">
        <v>0</v>
      </c>
      <c r="G2682" s="3" t="s">
        <v>10003</v>
      </c>
      <c r="H2682" s="4" t="str">
        <f>_xlfn.IFNA(IF(((INDEX(RulebookFields!C2:C1898, MATCH(D2682,RulebookFields!A2:A1898, 0))="")=TRUE),  "",  INDEX(RulebookFields!C2:C1898, MATCH(D2682,RulebookFields!A2:A1898, 0))), "")</f>
        <v>ProcedureExecutions</v>
      </c>
      <c r="I2682" s="4" t="str">
        <f>_xlfn.IFNA(IF(((INDEX(RulebookFields!D2:D1898, MATCH(D2682,RulebookFields!A2:A1898, 0))="")=TRUE),  "",  INDEX(RulebookFields!D2:D1898, MATCH(D2682,RulebookFields!A2:A1898, 0))), "")</f>
        <v>RequiresReAttestation</v>
      </c>
      <c r="J2682" s="4" t="b">
        <f>_xlfn.IFNA(IF(((INDEX(RulebookFields!I2:I1898, MATCH(D2682,RulebookFields!A2:A1898, 0))="")=TRUE),  "",  INDEX(RulebookFields!I2:I1898, MATCH(D2682,RulebookFields!A2:A1898, 0))), "")</f>
        <v>1</v>
      </c>
      <c r="K2682" s="4" t="b">
        <f>AND(((F2682)=TRUE), ((J2682)=TRUE))</f>
        <v>0</v>
      </c>
      <c r="L2682" s="4" t="b">
        <f>AND(((G2682 &lt;&gt; "plain")=TRUE), ((G2682 &lt;&gt; "")=TRUE))</f>
        <v>0</v>
      </c>
      <c r="M2682" s="4" t="str">
        <f>IF(((E2682)=TRUE),  C2682 &amp; "|" &amp; H2682,  "")</f>
        <v>principal-knowledge-authority|ProcedureExecutions</v>
      </c>
      <c r="N2682" s="3" t="s">
        <v>10004</v>
      </c>
    </row>
    <row r="2683">
      <c r="A2683" s="3" t="s">
        <v>12685</v>
      </c>
      <c r="B2683" s="4" t="str">
        <f>C2683 &amp; " -&gt; " &amp; D2683</f>
        <v>principal-knowledge-authority -&gt; ProcedureExecutions.IntendedRecipientCount</v>
      </c>
      <c r="C2683" s="3" t="s">
        <v>9774</v>
      </c>
      <c r="D2683" s="3" t="s">
        <v>3554</v>
      </c>
      <c r="E2683" s="3" t="b">
        <v>1</v>
      </c>
      <c r="F2683" s="3" t="b">
        <v>0</v>
      </c>
      <c r="G2683" s="3" t="s">
        <v>10003</v>
      </c>
      <c r="H2683" s="4" t="str">
        <f>_xlfn.IFNA(IF(((INDEX(RulebookFields!C2:C1898, MATCH(D2683,RulebookFields!A2:A1898, 0))="")=TRUE),  "",  INDEX(RulebookFields!C2:C1898, MATCH(D2683,RulebookFields!A2:A1898, 0))), "")</f>
        <v>ProcedureExecutions</v>
      </c>
      <c r="I2683" s="4" t="str">
        <f>_xlfn.IFNA(IF(((INDEX(RulebookFields!D2:D1898, MATCH(D2683,RulebookFields!A2:A1898, 0))="")=TRUE),  "",  INDEX(RulebookFields!D2:D1898, MATCH(D2683,RulebookFields!A2:A1898, 0))), "")</f>
        <v>IntendedRecipientCount</v>
      </c>
      <c r="J2683" s="4" t="b">
        <f>_xlfn.IFNA(IF(((INDEX(RulebookFields!I2:I1898, MATCH(D2683,RulebookFields!A2:A1898, 0))="")=TRUE),  "",  INDEX(RulebookFields!I2:I1898, MATCH(D2683,RulebookFields!A2:A1898, 0))), "")</f>
        <v>1</v>
      </c>
      <c r="K2683" s="4" t="b">
        <f>AND(((F2683)=TRUE), ((J2683)=TRUE))</f>
        <v>0</v>
      </c>
      <c r="L2683" s="4" t="b">
        <f>AND(((G2683 &lt;&gt; "plain")=TRUE), ((G2683 &lt;&gt; "")=TRUE))</f>
        <v>0</v>
      </c>
      <c r="M2683" s="4" t="str">
        <f>IF(((E2683)=TRUE),  C2683 &amp; "|" &amp; H2683,  "")</f>
        <v>principal-knowledge-authority|ProcedureExecutions</v>
      </c>
      <c r="N2683" s="3" t="s">
        <v>10004</v>
      </c>
    </row>
    <row r="2684">
      <c r="A2684" s="3" t="s">
        <v>12686</v>
      </c>
      <c r="B2684" s="4" t="str">
        <f>C2684 &amp; " -&gt; " &amp; D2684</f>
        <v>principal-knowledge-authority -&gt; ProcedureExecutions.ReachedRecipientCount</v>
      </c>
      <c r="C2684" s="3" t="s">
        <v>9774</v>
      </c>
      <c r="D2684" s="3" t="s">
        <v>3556</v>
      </c>
      <c r="E2684" s="3" t="b">
        <v>1</v>
      </c>
      <c r="F2684" s="3" t="b">
        <v>0</v>
      </c>
      <c r="G2684" s="3" t="s">
        <v>10003</v>
      </c>
      <c r="H2684" s="4" t="str">
        <f>_xlfn.IFNA(IF(((INDEX(RulebookFields!C2:C1898, MATCH(D2684,RulebookFields!A2:A1898, 0))="")=TRUE),  "",  INDEX(RulebookFields!C2:C1898, MATCH(D2684,RulebookFields!A2:A1898, 0))), "")</f>
        <v>ProcedureExecutions</v>
      </c>
      <c r="I2684" s="4" t="str">
        <f>_xlfn.IFNA(IF(((INDEX(RulebookFields!D2:D1898, MATCH(D2684,RulebookFields!A2:A1898, 0))="")=TRUE),  "",  INDEX(RulebookFields!D2:D1898, MATCH(D2684,RulebookFields!A2:A1898, 0))), "")</f>
        <v>ReachedRecipientCount</v>
      </c>
      <c r="J2684" s="4" t="b">
        <f>_xlfn.IFNA(IF(((INDEX(RulebookFields!I2:I1898, MATCH(D2684,RulebookFields!A2:A1898, 0))="")=TRUE),  "",  INDEX(RulebookFields!I2:I1898, MATCH(D2684,RulebookFields!A2:A1898, 0))), "")</f>
        <v>1</v>
      </c>
      <c r="K2684" s="4" t="b">
        <f>AND(((F2684)=TRUE), ((J2684)=TRUE))</f>
        <v>0</v>
      </c>
      <c r="L2684" s="4" t="b">
        <f>AND(((G2684 &lt;&gt; "plain")=TRUE), ((G2684 &lt;&gt; "")=TRUE))</f>
        <v>0</v>
      </c>
      <c r="M2684" s="4" t="str">
        <f>IF(((E2684)=TRUE),  C2684 &amp; "|" &amp; H2684,  "")</f>
        <v>principal-knowledge-authority|ProcedureExecutions</v>
      </c>
      <c r="N2684" s="3" t="s">
        <v>10004</v>
      </c>
    </row>
    <row r="2685">
      <c r="A2685" s="3" t="s">
        <v>12687</v>
      </c>
      <c r="B2685" s="4" t="str">
        <f>C2685 &amp; " -&gt; " &amp; D2685</f>
        <v>principal-knowledge-authority -&gt; ProcedureExecutions.SilentlyDroppedCount</v>
      </c>
      <c r="C2685" s="3" t="s">
        <v>9774</v>
      </c>
      <c r="D2685" s="3" t="s">
        <v>3558</v>
      </c>
      <c r="E2685" s="3" t="b">
        <v>1</v>
      </c>
      <c r="F2685" s="3" t="b">
        <v>0</v>
      </c>
      <c r="G2685" s="3" t="s">
        <v>10003</v>
      </c>
      <c r="H2685" s="4" t="str">
        <f>_xlfn.IFNA(IF(((INDEX(RulebookFields!C2:C1898, MATCH(D2685,RulebookFields!A2:A1898, 0))="")=TRUE),  "",  INDEX(RulebookFields!C2:C1898, MATCH(D2685,RulebookFields!A2:A1898, 0))), "")</f>
        <v>ProcedureExecutions</v>
      </c>
      <c r="I2685" s="4" t="str">
        <f>_xlfn.IFNA(IF(((INDEX(RulebookFields!D2:D1898, MATCH(D2685,RulebookFields!A2:A1898, 0))="")=TRUE),  "",  INDEX(RulebookFields!D2:D1898, MATCH(D2685,RulebookFields!A2:A1898, 0))), "")</f>
        <v>SilentlyDroppedCount</v>
      </c>
      <c r="J2685" s="4" t="b">
        <f>_xlfn.IFNA(IF(((INDEX(RulebookFields!I2:I1898, MATCH(D2685,RulebookFields!A2:A1898, 0))="")=TRUE),  "",  INDEX(RulebookFields!I2:I1898, MATCH(D2685,RulebookFields!A2:A1898, 0))), "")</f>
        <v>1</v>
      </c>
      <c r="K2685" s="4" t="b">
        <f>AND(((F2685)=TRUE), ((J2685)=TRUE))</f>
        <v>0</v>
      </c>
      <c r="L2685" s="4" t="b">
        <f>AND(((G2685 &lt;&gt; "plain")=TRUE), ((G2685 &lt;&gt; "")=TRUE))</f>
        <v>0</v>
      </c>
      <c r="M2685" s="4" t="str">
        <f>IF(((E2685)=TRUE),  C2685 &amp; "|" &amp; H2685,  "")</f>
        <v>principal-knowledge-authority|ProcedureExecutions</v>
      </c>
      <c r="N2685" s="3" t="s">
        <v>10004</v>
      </c>
    </row>
    <row r="2686">
      <c r="A2686" s="3" t="s">
        <v>12688</v>
      </c>
      <c r="B2686" s="4" t="str">
        <f>C2686 &amp; " -&gt; " &amp; D2686</f>
        <v>principal-knowledge-authority -&gt; ProcedureExecutions.DeliveryYieldPercent</v>
      </c>
      <c r="C2686" s="3" t="s">
        <v>9774</v>
      </c>
      <c r="D2686" s="3" t="s">
        <v>3560</v>
      </c>
      <c r="E2686" s="3" t="b">
        <v>1</v>
      </c>
      <c r="F2686" s="3" t="b">
        <v>0</v>
      </c>
      <c r="G2686" s="3" t="s">
        <v>10003</v>
      </c>
      <c r="H2686" s="4" t="str">
        <f>_xlfn.IFNA(IF(((INDEX(RulebookFields!C2:C1898, MATCH(D2686,RulebookFields!A2:A1898, 0))="")=TRUE),  "",  INDEX(RulebookFields!C2:C1898, MATCH(D2686,RulebookFields!A2:A1898, 0))), "")</f>
        <v>ProcedureExecutions</v>
      </c>
      <c r="I2686" s="4" t="str">
        <f>_xlfn.IFNA(IF(((INDEX(RulebookFields!D2:D1898, MATCH(D2686,RulebookFields!A2:A1898, 0))="")=TRUE),  "",  INDEX(RulebookFields!D2:D1898, MATCH(D2686,RulebookFields!A2:A1898, 0))), "")</f>
        <v>DeliveryYieldPercent</v>
      </c>
      <c r="J2686" s="4" t="b">
        <f>_xlfn.IFNA(IF(((INDEX(RulebookFields!I2:I1898, MATCH(D2686,RulebookFields!A2:A1898, 0))="")=TRUE),  "",  INDEX(RulebookFields!I2:I1898, MATCH(D2686,RulebookFields!A2:A1898, 0))), "")</f>
        <v>1</v>
      </c>
      <c r="K2686" s="4" t="b">
        <f>AND(((F2686)=TRUE), ((J2686)=TRUE))</f>
        <v>0</v>
      </c>
      <c r="L2686" s="4" t="b">
        <f>AND(((G2686 &lt;&gt; "plain")=TRUE), ((G2686 &lt;&gt; "")=TRUE))</f>
        <v>0</v>
      </c>
      <c r="M2686" s="4" t="str">
        <f>IF(((E2686)=TRUE),  C2686 &amp; "|" &amp; H2686,  "")</f>
        <v>principal-knowledge-authority|ProcedureExecutions</v>
      </c>
      <c r="N2686" s="3" t="s">
        <v>10004</v>
      </c>
    </row>
    <row r="2687">
      <c r="A2687" s="3" t="s">
        <v>12689</v>
      </c>
      <c r="B2687" s="4" t="str">
        <f>C2687 &amp; " -&gt; " &amp; D2687</f>
        <v>principal-knowledge-authority -&gt; ProcedureExecutions.CampaignSilentlyLostAudience</v>
      </c>
      <c r="C2687" s="3" t="s">
        <v>9774</v>
      </c>
      <c r="D2687" s="3" t="s">
        <v>3562</v>
      </c>
      <c r="E2687" s="3" t="b">
        <v>1</v>
      </c>
      <c r="F2687" s="3" t="b">
        <v>0</v>
      </c>
      <c r="G2687" s="3" t="s">
        <v>10003</v>
      </c>
      <c r="H2687" s="4" t="str">
        <f>_xlfn.IFNA(IF(((INDEX(RulebookFields!C2:C1898, MATCH(D2687,RulebookFields!A2:A1898, 0))="")=TRUE),  "",  INDEX(RulebookFields!C2:C1898, MATCH(D2687,RulebookFields!A2:A1898, 0))), "")</f>
        <v>ProcedureExecutions</v>
      </c>
      <c r="I2687" s="4" t="str">
        <f>_xlfn.IFNA(IF(((INDEX(RulebookFields!D2:D1898, MATCH(D2687,RulebookFields!A2:A1898, 0))="")=TRUE),  "",  INDEX(RulebookFields!D2:D1898, MATCH(D2687,RulebookFields!A2:A1898, 0))), "")</f>
        <v>CampaignSilentlyLostAudience</v>
      </c>
      <c r="J2687" s="4" t="b">
        <f>_xlfn.IFNA(IF(((INDEX(RulebookFields!I2:I1898, MATCH(D2687,RulebookFields!A2:A1898, 0))="")=TRUE),  "",  INDEX(RulebookFields!I2:I1898, MATCH(D2687,RulebookFields!A2:A1898, 0))), "")</f>
        <v>1</v>
      </c>
      <c r="K2687" s="4" t="b">
        <f>AND(((F2687)=TRUE), ((J2687)=TRUE))</f>
        <v>0</v>
      </c>
      <c r="L2687" s="4" t="b">
        <f>AND(((G2687 &lt;&gt; "plain")=TRUE), ((G2687 &lt;&gt; "")=TRUE))</f>
        <v>0</v>
      </c>
      <c r="M2687" s="4" t="str">
        <f>IF(((E2687)=TRUE),  C2687 &amp; "|" &amp; H2687,  "")</f>
        <v>principal-knowledge-authority|ProcedureExecutions</v>
      </c>
      <c r="N2687" s="3" t="s">
        <v>10004</v>
      </c>
    </row>
    <row r="2688">
      <c r="A2688" s="3" t="s">
        <v>12690</v>
      </c>
      <c r="B2688" s="4" t="str">
        <f>C2688 &amp; " -&gt; " &amp; D2688</f>
        <v>principal-knowledge-authority -&gt; ProcedureExecutions.UnrecordedRefusalCount</v>
      </c>
      <c r="C2688" s="3" t="s">
        <v>9774</v>
      </c>
      <c r="D2688" s="3" t="s">
        <v>3564</v>
      </c>
      <c r="E2688" s="3" t="b">
        <v>1</v>
      </c>
      <c r="F2688" s="3" t="b">
        <v>0</v>
      </c>
      <c r="G2688" s="3" t="s">
        <v>10003</v>
      </c>
      <c r="H2688" s="4" t="str">
        <f>_xlfn.IFNA(IF(((INDEX(RulebookFields!C2:C1898, MATCH(D2688,RulebookFields!A2:A1898, 0))="")=TRUE),  "",  INDEX(RulebookFields!C2:C1898, MATCH(D2688,RulebookFields!A2:A1898, 0))), "")</f>
        <v>ProcedureExecutions</v>
      </c>
      <c r="I2688" s="4" t="str">
        <f>_xlfn.IFNA(IF(((INDEX(RulebookFields!D2:D1898, MATCH(D2688,RulebookFields!A2:A1898, 0))="")=TRUE),  "",  INDEX(RulebookFields!D2:D1898, MATCH(D2688,RulebookFields!A2:A1898, 0))), "")</f>
        <v>UnrecordedRefusalCount</v>
      </c>
      <c r="J2688" s="4" t="b">
        <f>_xlfn.IFNA(IF(((INDEX(RulebookFields!I2:I1898, MATCH(D2688,RulebookFields!A2:A1898, 0))="")=TRUE),  "",  INDEX(RulebookFields!I2:I1898, MATCH(D2688,RulebookFields!A2:A1898, 0))), "")</f>
        <v>1</v>
      </c>
      <c r="K2688" s="4" t="b">
        <f>AND(((F2688)=TRUE), ((J2688)=TRUE))</f>
        <v>0</v>
      </c>
      <c r="L2688" s="4" t="b">
        <f>AND(((G2688 &lt;&gt; "plain")=TRUE), ((G2688 &lt;&gt; "")=TRUE))</f>
        <v>0</v>
      </c>
      <c r="M2688" s="4" t="str">
        <f>IF(((E2688)=TRUE),  C2688 &amp; "|" &amp; H2688,  "")</f>
        <v>principal-knowledge-authority|ProcedureExecutions</v>
      </c>
      <c r="N2688" s="3" t="s">
        <v>10004</v>
      </c>
    </row>
    <row r="2689">
      <c r="A2689" s="3" t="s">
        <v>12691</v>
      </c>
      <c r="B2689" s="4" t="str">
        <f>C2689 &amp; " -&gt; " &amp; D2689</f>
        <v>principal-knowledge-authority -&gt; ProcedureExecutions.HasUnrecordedRefusals</v>
      </c>
      <c r="C2689" s="3" t="s">
        <v>9774</v>
      </c>
      <c r="D2689" s="3" t="s">
        <v>3566</v>
      </c>
      <c r="E2689" s="3" t="b">
        <v>1</v>
      </c>
      <c r="F2689" s="3" t="b">
        <v>0</v>
      </c>
      <c r="G2689" s="3" t="s">
        <v>10003</v>
      </c>
      <c r="H2689" s="4" t="str">
        <f>_xlfn.IFNA(IF(((INDEX(RulebookFields!C2:C1898, MATCH(D2689,RulebookFields!A2:A1898, 0))="")=TRUE),  "",  INDEX(RulebookFields!C2:C1898, MATCH(D2689,RulebookFields!A2:A1898, 0))), "")</f>
        <v>ProcedureExecutions</v>
      </c>
      <c r="I2689" s="4" t="str">
        <f>_xlfn.IFNA(IF(((INDEX(RulebookFields!D2:D1898, MATCH(D2689,RulebookFields!A2:A1898, 0))="")=TRUE),  "",  INDEX(RulebookFields!D2:D1898, MATCH(D2689,RulebookFields!A2:A1898, 0))), "")</f>
        <v>HasUnrecordedRefusals</v>
      </c>
      <c r="J2689" s="4" t="b">
        <f>_xlfn.IFNA(IF(((INDEX(RulebookFields!I2:I1898, MATCH(D2689,RulebookFields!A2:A1898, 0))="")=TRUE),  "",  INDEX(RulebookFields!I2:I1898, MATCH(D2689,RulebookFields!A2:A1898, 0))), "")</f>
        <v>1</v>
      </c>
      <c r="K2689" s="4" t="b">
        <f>AND(((F2689)=TRUE), ((J2689)=TRUE))</f>
        <v>0</v>
      </c>
      <c r="L2689" s="4" t="b">
        <f>AND(((G2689 &lt;&gt; "plain")=TRUE), ((G2689 &lt;&gt; "")=TRUE))</f>
        <v>0</v>
      </c>
      <c r="M2689" s="4" t="str">
        <f>IF(((E2689)=TRUE),  C2689 &amp; "|" &amp; H2689,  "")</f>
        <v>principal-knowledge-authority|ProcedureExecutions</v>
      </c>
      <c r="N2689" s="3" t="s">
        <v>10004</v>
      </c>
    </row>
    <row r="2690">
      <c r="A2690" s="3" t="s">
        <v>12692</v>
      </c>
      <c r="B2690" s="4" t="str">
        <f>C2690 &amp; " -&gt; " &amp; D2690</f>
        <v>principal-knowledge-authority -&gt; ProcedureExecutions.IndependentlyConfirmedIntentCount</v>
      </c>
      <c r="C2690" s="3" t="s">
        <v>9774</v>
      </c>
      <c r="D2690" s="3" t="s">
        <v>3568</v>
      </c>
      <c r="E2690" s="3" t="b">
        <v>1</v>
      </c>
      <c r="F2690" s="3" t="b">
        <v>0</v>
      </c>
      <c r="G2690" s="3" t="s">
        <v>10003</v>
      </c>
      <c r="H2690" s="4" t="str">
        <f>_xlfn.IFNA(IF(((INDEX(RulebookFields!C2:C1898, MATCH(D2690,RulebookFields!A2:A1898, 0))="")=TRUE),  "",  INDEX(RulebookFields!C2:C1898, MATCH(D2690,RulebookFields!A2:A1898, 0))), "")</f>
        <v>ProcedureExecutions</v>
      </c>
      <c r="I2690" s="4" t="str">
        <f>_xlfn.IFNA(IF(((INDEX(RulebookFields!D2:D1898, MATCH(D2690,RulebookFields!A2:A1898, 0))="")=TRUE),  "",  INDEX(RulebookFields!D2:D1898, MATCH(D2690,RulebookFields!A2:A1898, 0))), "")</f>
        <v>IndependentlyConfirmedIntentCount</v>
      </c>
      <c r="J2690" s="4" t="b">
        <f>_xlfn.IFNA(IF(((INDEX(RulebookFields!I2:I1898, MATCH(D2690,RulebookFields!A2:A1898, 0))="")=TRUE),  "",  INDEX(RulebookFields!I2:I1898, MATCH(D2690,RulebookFields!A2:A1898, 0))), "")</f>
        <v>1</v>
      </c>
      <c r="K2690" s="4" t="b">
        <f>AND(((F2690)=TRUE), ((J2690)=TRUE))</f>
        <v>0</v>
      </c>
      <c r="L2690" s="4" t="b">
        <f>AND(((G2690 &lt;&gt; "plain")=TRUE), ((G2690 &lt;&gt; "")=TRUE))</f>
        <v>0</v>
      </c>
      <c r="M2690" s="4" t="str">
        <f>IF(((E2690)=TRUE),  C2690 &amp; "|" &amp; H2690,  "")</f>
        <v>principal-knowledge-authority|ProcedureExecutions</v>
      </c>
      <c r="N2690" s="3" t="s">
        <v>10004</v>
      </c>
    </row>
    <row r="2691">
      <c r="A2691" s="3" t="s">
        <v>12693</v>
      </c>
      <c r="B2691" s="4" t="str">
        <f>C2691 &amp; " -&gt; " &amp; D2691</f>
        <v>principal-knowledge-authority -&gt; ProcedureExecutions.SendDecisionsAreEntirelySelfWitnessed</v>
      </c>
      <c r="C2691" s="3" t="s">
        <v>9774</v>
      </c>
      <c r="D2691" s="3" t="s">
        <v>3570</v>
      </c>
      <c r="E2691" s="3" t="b">
        <v>1</v>
      </c>
      <c r="F2691" s="3" t="b">
        <v>0</v>
      </c>
      <c r="G2691" s="3" t="s">
        <v>10003</v>
      </c>
      <c r="H2691" s="4" t="str">
        <f>_xlfn.IFNA(IF(((INDEX(RulebookFields!C2:C1898, MATCH(D2691,RulebookFields!A2:A1898, 0))="")=TRUE),  "",  INDEX(RulebookFields!C2:C1898, MATCH(D2691,RulebookFields!A2:A1898, 0))), "")</f>
        <v>ProcedureExecutions</v>
      </c>
      <c r="I2691" s="4" t="str">
        <f>_xlfn.IFNA(IF(((INDEX(RulebookFields!D2:D1898, MATCH(D2691,RulebookFields!A2:A1898, 0))="")=TRUE),  "",  INDEX(RulebookFields!D2:D1898, MATCH(D2691,RulebookFields!A2:A1898, 0))), "")</f>
        <v>SendDecisionsAreEntirelySelfWitnessed</v>
      </c>
      <c r="J2691" s="4" t="b">
        <f>_xlfn.IFNA(IF(((INDEX(RulebookFields!I2:I1898, MATCH(D2691,RulebookFields!A2:A1898, 0))="")=TRUE),  "",  INDEX(RulebookFields!I2:I1898, MATCH(D2691,RulebookFields!A2:A1898, 0))), "")</f>
        <v>1</v>
      </c>
      <c r="K2691" s="4" t="b">
        <f>AND(((F2691)=TRUE), ((J2691)=TRUE))</f>
        <v>0</v>
      </c>
      <c r="L2691" s="4" t="b">
        <f>AND(((G2691 &lt;&gt; "plain")=TRUE), ((G2691 &lt;&gt; "")=TRUE))</f>
        <v>0</v>
      </c>
      <c r="M2691" s="4" t="str">
        <f>IF(((E2691)=TRUE),  C2691 &amp; "|" &amp; H2691,  "")</f>
        <v>principal-knowledge-authority|ProcedureExecutions</v>
      </c>
      <c r="N2691" s="3" t="s">
        <v>10004</v>
      </c>
    </row>
    <row r="2692">
      <c r="A2692" s="3" t="s">
        <v>12694</v>
      </c>
      <c r="B2692" s="4" t="str">
        <f>C2692 &amp; " -&gt; " &amp; D2692</f>
        <v>principal-knowledge-authority -&gt; ProcedureExecutions.SemanticTypeIri</v>
      </c>
      <c r="C2692" s="3" t="s">
        <v>9774</v>
      </c>
      <c r="D2692" s="3" t="s">
        <v>3572</v>
      </c>
      <c r="E2692" s="3" t="b">
        <v>1</v>
      </c>
      <c r="F2692" s="3" t="b">
        <v>0</v>
      </c>
      <c r="G2692" s="3" t="s">
        <v>10003</v>
      </c>
      <c r="H2692" s="4" t="str">
        <f>_xlfn.IFNA(IF(((INDEX(RulebookFields!C2:C1898, MATCH(D2692,RulebookFields!A2:A1898, 0))="")=TRUE),  "",  INDEX(RulebookFields!C2:C1898, MATCH(D2692,RulebookFields!A2:A1898, 0))), "")</f>
        <v>ProcedureExecutions</v>
      </c>
      <c r="I2692" s="4" t="str">
        <f>_xlfn.IFNA(IF(((INDEX(RulebookFields!D2:D1898, MATCH(D2692,RulebookFields!A2:A1898, 0))="")=TRUE),  "",  INDEX(RulebookFields!D2:D1898, MATCH(D2692,RulebookFields!A2:A1898, 0))), "")</f>
        <v>SemanticTypeIri</v>
      </c>
      <c r="J2692" s="4" t="b">
        <f>_xlfn.IFNA(IF(((INDEX(RulebookFields!I2:I1898, MATCH(D2692,RulebookFields!A2:A1898, 0))="")=TRUE),  "",  INDEX(RulebookFields!I2:I1898, MATCH(D2692,RulebookFields!A2:A1898, 0))), "")</f>
        <v>0</v>
      </c>
      <c r="K2692" s="4" t="b">
        <f>AND(((F2692)=TRUE), ((J2692)=TRUE))</f>
        <v>0</v>
      </c>
      <c r="L2692" s="4" t="b">
        <f>AND(((G2692 &lt;&gt; "plain")=TRUE), ((G2692 &lt;&gt; "")=TRUE))</f>
        <v>0</v>
      </c>
      <c r="M2692" s="4" t="str">
        <f>IF(((E2692)=TRUE),  C2692 &amp; "|" &amp; H2692,  "")</f>
        <v>principal-knowledge-authority|ProcedureExecutions</v>
      </c>
      <c r="N2692" s="3" t="s">
        <v>10004</v>
      </c>
    </row>
    <row r="2693">
      <c r="A2693" s="3" t="s">
        <v>12695</v>
      </c>
      <c r="B2693" s="4" t="str">
        <f>C2693 &amp; " -&gt; " &amp; D2693</f>
        <v>principal-knowledge-authority -&gt; ProcedureResources.ProcedureResourceId</v>
      </c>
      <c r="C2693" s="3" t="s">
        <v>9774</v>
      </c>
      <c r="D2693" s="3" t="s">
        <v>3186</v>
      </c>
      <c r="E2693" s="3" t="b">
        <v>1</v>
      </c>
      <c r="F2693" s="3" t="b">
        <v>0</v>
      </c>
      <c r="G2693" s="3" t="s">
        <v>10003</v>
      </c>
      <c r="H2693" s="4" t="str">
        <f>_xlfn.IFNA(IF(((INDEX(RulebookFields!C2:C1898, MATCH(D2693,RulebookFields!A2:A1898, 0))="")=TRUE),  "",  INDEX(RulebookFields!C2:C1898, MATCH(D2693,RulebookFields!A2:A1898, 0))), "")</f>
        <v>ProcedureResources</v>
      </c>
      <c r="I2693" s="4" t="str">
        <f>_xlfn.IFNA(IF(((INDEX(RulebookFields!D2:D1898, MATCH(D2693,RulebookFields!A2:A1898, 0))="")=TRUE),  "",  INDEX(RulebookFields!D2:D1898, MATCH(D2693,RulebookFields!A2:A1898, 0))), "")</f>
        <v>ProcedureResourceId</v>
      </c>
      <c r="J2693" s="4" t="b">
        <f>_xlfn.IFNA(IF(((INDEX(RulebookFields!I2:I1898, MATCH(D2693,RulebookFields!A2:A1898, 0))="")=TRUE),  "",  INDEX(RulebookFields!I2:I1898, MATCH(D2693,RulebookFields!A2:A1898, 0))), "")</f>
        <v>0</v>
      </c>
      <c r="K2693" s="4" t="b">
        <f>AND(((F2693)=TRUE), ((J2693)=TRUE))</f>
        <v>0</v>
      </c>
      <c r="L2693" s="4" t="b">
        <f>AND(((G2693 &lt;&gt; "plain")=TRUE), ((G2693 &lt;&gt; "")=TRUE))</f>
        <v>0</v>
      </c>
      <c r="M2693" s="4" t="str">
        <f>IF(((E2693)=TRUE),  C2693 &amp; "|" &amp; H2693,  "")</f>
        <v>principal-knowledge-authority|ProcedureResources</v>
      </c>
      <c r="N2693" s="3" t="s">
        <v>10004</v>
      </c>
    </row>
    <row r="2694">
      <c r="A2694" s="3" t="s">
        <v>12696</v>
      </c>
      <c r="B2694" s="4" t="str">
        <f>C2694 &amp; " -&gt; " &amp; D2694</f>
        <v>principal-knowledge-authority -&gt; ProcedureResources.Name</v>
      </c>
      <c r="C2694" s="3" t="s">
        <v>9774</v>
      </c>
      <c r="D2694" s="3" t="s">
        <v>3188</v>
      </c>
      <c r="E2694" s="3" t="b">
        <v>1</v>
      </c>
      <c r="F2694" s="3" t="b">
        <v>0</v>
      </c>
      <c r="G2694" s="3" t="s">
        <v>10003</v>
      </c>
      <c r="H2694" s="4" t="str">
        <f>_xlfn.IFNA(IF(((INDEX(RulebookFields!C2:C1898, MATCH(D2694,RulebookFields!A2:A1898, 0))="")=TRUE),  "",  INDEX(RulebookFields!C2:C1898, MATCH(D2694,RulebookFields!A2:A1898, 0))), "")</f>
        <v>ProcedureResources</v>
      </c>
      <c r="I2694" s="4" t="str">
        <f>_xlfn.IFNA(IF(((INDEX(RulebookFields!D2:D1898, MATCH(D2694,RulebookFields!A2:A1898, 0))="")=TRUE),  "",  INDEX(RulebookFields!D2:D1898, MATCH(D2694,RulebookFields!A2:A1898, 0))), "")</f>
        <v>Name</v>
      </c>
      <c r="J2694" s="4" t="b">
        <f>_xlfn.IFNA(IF(((INDEX(RulebookFields!I2:I1898, MATCH(D2694,RulebookFields!A2:A1898, 0))="")=TRUE),  "",  INDEX(RulebookFields!I2:I1898, MATCH(D2694,RulebookFields!A2:A1898, 0))), "")</f>
        <v>1</v>
      </c>
      <c r="K2694" s="4" t="b">
        <f>AND(((F2694)=TRUE), ((J2694)=TRUE))</f>
        <v>0</v>
      </c>
      <c r="L2694" s="4" t="b">
        <f>AND(((G2694 &lt;&gt; "plain")=TRUE), ((G2694 &lt;&gt; "")=TRUE))</f>
        <v>0</v>
      </c>
      <c r="M2694" s="4" t="str">
        <f>IF(((E2694)=TRUE),  C2694 &amp; "|" &amp; H2694,  "")</f>
        <v>principal-knowledge-authority|ProcedureResources</v>
      </c>
      <c r="N2694" s="3" t="s">
        <v>10004</v>
      </c>
    </row>
    <row r="2695">
      <c r="A2695" s="3" t="s">
        <v>12697</v>
      </c>
      <c r="B2695" s="4" t="str">
        <f>C2695 &amp; " -&gt; " &amp; D2695</f>
        <v>principal-knowledge-authority -&gt; ProcedureResources.ProcedureVersion</v>
      </c>
      <c r="C2695" s="3" t="s">
        <v>9774</v>
      </c>
      <c r="D2695" s="3" t="s">
        <v>3190</v>
      </c>
      <c r="E2695" s="3" t="b">
        <v>1</v>
      </c>
      <c r="F2695" s="3" t="b">
        <v>0</v>
      </c>
      <c r="G2695" s="3" t="s">
        <v>10003</v>
      </c>
      <c r="H2695" s="4" t="str">
        <f>_xlfn.IFNA(IF(((INDEX(RulebookFields!C2:C1898, MATCH(D2695,RulebookFields!A2:A1898, 0))="")=TRUE),  "",  INDEX(RulebookFields!C2:C1898, MATCH(D2695,RulebookFields!A2:A1898, 0))), "")</f>
        <v>ProcedureResources</v>
      </c>
      <c r="I2695" s="4" t="str">
        <f>_xlfn.IFNA(IF(((INDEX(RulebookFields!D2:D1898, MATCH(D2695,RulebookFields!A2:A1898, 0))="")=TRUE),  "",  INDEX(RulebookFields!D2:D1898, MATCH(D2695,RulebookFields!A2:A1898, 0))), "")</f>
        <v>ProcedureVersion</v>
      </c>
      <c r="J2695" s="4" t="b">
        <f>_xlfn.IFNA(IF(((INDEX(RulebookFields!I2:I1898, MATCH(D2695,RulebookFields!A2:A1898, 0))="")=TRUE),  "",  INDEX(RulebookFields!I2:I1898, MATCH(D2695,RulebookFields!A2:A1898, 0))), "")</f>
        <v>0</v>
      </c>
      <c r="K2695" s="4" t="b">
        <f>AND(((F2695)=TRUE), ((J2695)=TRUE))</f>
        <v>0</v>
      </c>
      <c r="L2695" s="4" t="b">
        <f>AND(((G2695 &lt;&gt; "plain")=TRUE), ((G2695 &lt;&gt; "")=TRUE))</f>
        <v>0</v>
      </c>
      <c r="M2695" s="4" t="str">
        <f>IF(((E2695)=TRUE),  C2695 &amp; "|" &amp; H2695,  "")</f>
        <v>principal-knowledge-authority|ProcedureResources</v>
      </c>
      <c r="N2695" s="3" t="s">
        <v>10004</v>
      </c>
    </row>
    <row r="2696">
      <c r="A2696" s="3" t="s">
        <v>12698</v>
      </c>
      <c r="B2696" s="4" t="str">
        <f>C2696 &amp; " -&gt; " &amp; D2696</f>
        <v>principal-knowledge-authority -&gt; ProcedureResources.Resource</v>
      </c>
      <c r="C2696" s="3" t="s">
        <v>9774</v>
      </c>
      <c r="D2696" s="3" t="s">
        <v>3191</v>
      </c>
      <c r="E2696" s="3" t="b">
        <v>1</v>
      </c>
      <c r="F2696" s="3" t="b">
        <v>0</v>
      </c>
      <c r="G2696" s="3" t="s">
        <v>10003</v>
      </c>
      <c r="H2696" s="4" t="str">
        <f>_xlfn.IFNA(IF(((INDEX(RulebookFields!C2:C1898, MATCH(D2696,RulebookFields!A2:A1898, 0))="")=TRUE),  "",  INDEX(RulebookFields!C2:C1898, MATCH(D2696,RulebookFields!A2:A1898, 0))), "")</f>
        <v>ProcedureResources</v>
      </c>
      <c r="I2696" s="4" t="str">
        <f>_xlfn.IFNA(IF(((INDEX(RulebookFields!D2:D1898, MATCH(D2696,RulebookFields!A2:A1898, 0))="")=TRUE),  "",  INDEX(RulebookFields!D2:D1898, MATCH(D2696,RulebookFields!A2:A1898, 0))), "")</f>
        <v>Resource</v>
      </c>
      <c r="J2696" s="4" t="b">
        <f>_xlfn.IFNA(IF(((INDEX(RulebookFields!I2:I1898, MATCH(D2696,RulebookFields!A2:A1898, 0))="")=TRUE),  "",  INDEX(RulebookFields!I2:I1898, MATCH(D2696,RulebookFields!A2:A1898, 0))), "")</f>
        <v>0</v>
      </c>
      <c r="K2696" s="4" t="b">
        <f>AND(((F2696)=TRUE), ((J2696)=TRUE))</f>
        <v>0</v>
      </c>
      <c r="L2696" s="4" t="b">
        <f>AND(((G2696 &lt;&gt; "plain")=TRUE), ((G2696 &lt;&gt; "")=TRUE))</f>
        <v>0</v>
      </c>
      <c r="M2696" s="4" t="str">
        <f>IF(((E2696)=TRUE),  C2696 &amp; "|" &amp; H2696,  "")</f>
        <v>principal-knowledge-authority|ProcedureResources</v>
      </c>
      <c r="N2696" s="3" t="s">
        <v>10004</v>
      </c>
    </row>
    <row r="2697">
      <c r="A2697" s="3" t="s">
        <v>12699</v>
      </c>
      <c r="B2697" s="4" t="str">
        <f>C2697 &amp; " -&gt; " &amp; D2697</f>
        <v>principal-knowledge-authority -&gt; ProcedureResources.Relation</v>
      </c>
      <c r="C2697" s="3" t="s">
        <v>9774</v>
      </c>
      <c r="D2697" s="3" t="s">
        <v>3192</v>
      </c>
      <c r="E2697" s="3" t="b">
        <v>1</v>
      </c>
      <c r="F2697" s="3" t="b">
        <v>0</v>
      </c>
      <c r="G2697" s="3" t="s">
        <v>10003</v>
      </c>
      <c r="H2697" s="4" t="str">
        <f>_xlfn.IFNA(IF(((INDEX(RulebookFields!C2:C1898, MATCH(D2697,RulebookFields!A2:A1898, 0))="")=TRUE),  "",  INDEX(RulebookFields!C2:C1898, MATCH(D2697,RulebookFields!A2:A1898, 0))), "")</f>
        <v>ProcedureResources</v>
      </c>
      <c r="I2697" s="4" t="str">
        <f>_xlfn.IFNA(IF(((INDEX(RulebookFields!D2:D1898, MATCH(D2697,RulebookFields!A2:A1898, 0))="")=TRUE),  "",  INDEX(RulebookFields!D2:D1898, MATCH(D2697,RulebookFields!A2:A1898, 0))), "")</f>
        <v>Relation</v>
      </c>
      <c r="J2697" s="4" t="b">
        <f>_xlfn.IFNA(IF(((INDEX(RulebookFields!I2:I1898, MATCH(D2697,RulebookFields!A2:A1898, 0))="")=TRUE),  "",  INDEX(RulebookFields!I2:I1898, MATCH(D2697,RulebookFields!A2:A1898, 0))), "")</f>
        <v>0</v>
      </c>
      <c r="K2697" s="4" t="b">
        <f>AND(((F2697)=TRUE), ((J2697)=TRUE))</f>
        <v>0</v>
      </c>
      <c r="L2697" s="4" t="b">
        <f>AND(((G2697 &lt;&gt; "plain")=TRUE), ((G2697 &lt;&gt; "")=TRUE))</f>
        <v>0</v>
      </c>
      <c r="M2697" s="4" t="str">
        <f>IF(((E2697)=TRUE),  C2697 &amp; "|" &amp; H2697,  "")</f>
        <v>principal-knowledge-authority|ProcedureResources</v>
      </c>
      <c r="N2697" s="3" t="s">
        <v>10004</v>
      </c>
    </row>
    <row r="2698">
      <c r="A2698" s="3" t="s">
        <v>12700</v>
      </c>
      <c r="B2698" s="4" t="str">
        <f>C2698 &amp; " -&gt; " &amp; D2698</f>
        <v>principal-knowledge-authority -&gt; ProcedureResources.RelationIri</v>
      </c>
      <c r="C2698" s="3" t="s">
        <v>9774</v>
      </c>
      <c r="D2698" s="3" t="s">
        <v>3193</v>
      </c>
      <c r="E2698" s="3" t="b">
        <v>1</v>
      </c>
      <c r="F2698" s="3" t="b">
        <v>0</v>
      </c>
      <c r="G2698" s="3" t="s">
        <v>10003</v>
      </c>
      <c r="H2698" s="4" t="str">
        <f>_xlfn.IFNA(IF(((INDEX(RulebookFields!C2:C1898, MATCH(D2698,RulebookFields!A2:A1898, 0))="")=TRUE),  "",  INDEX(RulebookFields!C2:C1898, MATCH(D2698,RulebookFields!A2:A1898, 0))), "")</f>
        <v>ProcedureResources</v>
      </c>
      <c r="I2698" s="4" t="str">
        <f>_xlfn.IFNA(IF(((INDEX(RulebookFields!D2:D1898, MATCH(D2698,RulebookFields!A2:A1898, 0))="")=TRUE),  "",  INDEX(RulebookFields!D2:D1898, MATCH(D2698,RulebookFields!A2:A1898, 0))), "")</f>
        <v>RelationIri</v>
      </c>
      <c r="J2698" s="4" t="b">
        <f>_xlfn.IFNA(IF(((INDEX(RulebookFields!I2:I1898, MATCH(D2698,RulebookFields!A2:A1898, 0))="")=TRUE),  "",  INDEX(RulebookFields!I2:I1898, MATCH(D2698,RulebookFields!A2:A1898, 0))), "")</f>
        <v>1</v>
      </c>
      <c r="K2698" s="4" t="b">
        <f>AND(((F2698)=TRUE), ((J2698)=TRUE))</f>
        <v>0</v>
      </c>
      <c r="L2698" s="4" t="b">
        <f>AND(((G2698 &lt;&gt; "plain")=TRUE), ((G2698 &lt;&gt; "")=TRUE))</f>
        <v>0</v>
      </c>
      <c r="M2698" s="4" t="str">
        <f>IF(((E2698)=TRUE),  C2698 &amp; "|" &amp; H2698,  "")</f>
        <v>principal-knowledge-authority|ProcedureResources</v>
      </c>
      <c r="N2698" s="3" t="s">
        <v>10004</v>
      </c>
    </row>
    <row r="2699">
      <c r="A2699" s="3" t="s">
        <v>12701</v>
      </c>
      <c r="B2699" s="4" t="str">
        <f>C2699 &amp; " -&gt; " &amp; D2699</f>
        <v>principal-knowledge-authority -&gt; ProcedureStatusChanges.ProcedureStatusChangeId</v>
      </c>
      <c r="C2699" s="3" t="s">
        <v>9774</v>
      </c>
      <c r="D2699" s="3" t="s">
        <v>2860</v>
      </c>
      <c r="E2699" s="3" t="b">
        <v>1</v>
      </c>
      <c r="F2699" s="3" t="b">
        <v>0</v>
      </c>
      <c r="G2699" s="3" t="s">
        <v>10003</v>
      </c>
      <c r="H2699" s="4" t="str">
        <f>_xlfn.IFNA(IF(((INDEX(RulebookFields!C2:C1898, MATCH(D2699,RulebookFields!A2:A1898, 0))="")=TRUE),  "",  INDEX(RulebookFields!C2:C1898, MATCH(D2699,RulebookFields!A2:A1898, 0))), "")</f>
        <v>ProcedureStatusChanges</v>
      </c>
      <c r="I2699" s="4" t="str">
        <f>_xlfn.IFNA(IF(((INDEX(RulebookFields!D2:D1898, MATCH(D2699,RulebookFields!A2:A1898, 0))="")=TRUE),  "",  INDEX(RulebookFields!D2:D1898, MATCH(D2699,RulebookFields!A2:A1898, 0))), "")</f>
        <v>ProcedureStatusChangeId</v>
      </c>
      <c r="J2699" s="4" t="b">
        <f>_xlfn.IFNA(IF(((INDEX(RulebookFields!I2:I1898, MATCH(D2699,RulebookFields!A2:A1898, 0))="")=TRUE),  "",  INDEX(RulebookFields!I2:I1898, MATCH(D2699,RulebookFields!A2:A1898, 0))), "")</f>
        <v>0</v>
      </c>
      <c r="K2699" s="4" t="b">
        <f>AND(((F2699)=TRUE), ((J2699)=TRUE))</f>
        <v>0</v>
      </c>
      <c r="L2699" s="4" t="b">
        <f>AND(((G2699 &lt;&gt; "plain")=TRUE), ((G2699 &lt;&gt; "")=TRUE))</f>
        <v>0</v>
      </c>
      <c r="M2699" s="4" t="str">
        <f>IF(((E2699)=TRUE),  C2699 &amp; "|" &amp; H2699,  "")</f>
        <v>principal-knowledge-authority|ProcedureStatusChanges</v>
      </c>
      <c r="N2699" s="3" t="s">
        <v>10004</v>
      </c>
    </row>
    <row r="2700">
      <c r="A2700" s="3" t="s">
        <v>12702</v>
      </c>
      <c r="B2700" s="4" t="str">
        <f>C2700 &amp; " -&gt; " &amp; D2700</f>
        <v>principal-knowledge-authority -&gt; ProcedureStatusChanges.Name</v>
      </c>
      <c r="C2700" s="3" t="s">
        <v>9774</v>
      </c>
      <c r="D2700" s="3" t="s">
        <v>2861</v>
      </c>
      <c r="E2700" s="3" t="b">
        <v>1</v>
      </c>
      <c r="F2700" s="3" t="b">
        <v>0</v>
      </c>
      <c r="G2700" s="3" t="s">
        <v>10003</v>
      </c>
      <c r="H2700" s="4" t="str">
        <f>_xlfn.IFNA(IF(((INDEX(RulebookFields!C2:C1898, MATCH(D2700,RulebookFields!A2:A1898, 0))="")=TRUE),  "",  INDEX(RulebookFields!C2:C1898, MATCH(D2700,RulebookFields!A2:A1898, 0))), "")</f>
        <v>ProcedureStatusChanges</v>
      </c>
      <c r="I2700" s="4" t="str">
        <f>_xlfn.IFNA(IF(((INDEX(RulebookFields!D2:D1898, MATCH(D2700,RulebookFields!A2:A1898, 0))="")=TRUE),  "",  INDEX(RulebookFields!D2:D1898, MATCH(D2700,RulebookFields!A2:A1898, 0))), "")</f>
        <v>Name</v>
      </c>
      <c r="J2700" s="4" t="b">
        <f>_xlfn.IFNA(IF(((INDEX(RulebookFields!I2:I1898, MATCH(D2700,RulebookFields!A2:A1898, 0))="")=TRUE),  "",  INDEX(RulebookFields!I2:I1898, MATCH(D2700,RulebookFields!A2:A1898, 0))), "")</f>
        <v>1</v>
      </c>
      <c r="K2700" s="4" t="b">
        <f>AND(((F2700)=TRUE), ((J2700)=TRUE))</f>
        <v>0</v>
      </c>
      <c r="L2700" s="4" t="b">
        <f>AND(((G2700 &lt;&gt; "plain")=TRUE), ((G2700 &lt;&gt; "")=TRUE))</f>
        <v>0</v>
      </c>
      <c r="M2700" s="4" t="str">
        <f>IF(((E2700)=TRUE),  C2700 &amp; "|" &amp; H2700,  "")</f>
        <v>principal-knowledge-authority|ProcedureStatusChanges</v>
      </c>
      <c r="N2700" s="3" t="s">
        <v>10004</v>
      </c>
    </row>
    <row r="2701">
      <c r="A2701" s="3" t="s">
        <v>12703</v>
      </c>
      <c r="B2701" s="4" t="str">
        <f>C2701 &amp; " -&gt; " &amp; D2701</f>
        <v>principal-knowledge-authority -&gt; ProcedureStatusChanges.ProcedureVersion</v>
      </c>
      <c r="C2701" s="3" t="s">
        <v>9774</v>
      </c>
      <c r="D2701" s="3" t="s">
        <v>2863</v>
      </c>
      <c r="E2701" s="3" t="b">
        <v>1</v>
      </c>
      <c r="F2701" s="3" t="b">
        <v>0</v>
      </c>
      <c r="G2701" s="3" t="s">
        <v>10003</v>
      </c>
      <c r="H2701" s="4" t="str">
        <f>_xlfn.IFNA(IF(((INDEX(RulebookFields!C2:C1898, MATCH(D2701,RulebookFields!A2:A1898, 0))="")=TRUE),  "",  INDEX(RulebookFields!C2:C1898, MATCH(D2701,RulebookFields!A2:A1898, 0))), "")</f>
        <v>ProcedureStatusChanges</v>
      </c>
      <c r="I2701" s="4" t="str">
        <f>_xlfn.IFNA(IF(((INDEX(RulebookFields!D2:D1898, MATCH(D2701,RulebookFields!A2:A1898, 0))="")=TRUE),  "",  INDEX(RulebookFields!D2:D1898, MATCH(D2701,RulebookFields!A2:A1898, 0))), "")</f>
        <v>ProcedureVersion</v>
      </c>
      <c r="J2701" s="4" t="b">
        <f>_xlfn.IFNA(IF(((INDEX(RulebookFields!I2:I1898, MATCH(D2701,RulebookFields!A2:A1898, 0))="")=TRUE),  "",  INDEX(RulebookFields!I2:I1898, MATCH(D2701,RulebookFields!A2:A1898, 0))), "")</f>
        <v>0</v>
      </c>
      <c r="K2701" s="4" t="b">
        <f>AND(((F2701)=TRUE), ((J2701)=TRUE))</f>
        <v>0</v>
      </c>
      <c r="L2701" s="4" t="b">
        <f>AND(((G2701 &lt;&gt; "plain")=TRUE), ((G2701 &lt;&gt; "")=TRUE))</f>
        <v>0</v>
      </c>
      <c r="M2701" s="4" t="str">
        <f>IF(((E2701)=TRUE),  C2701 &amp; "|" &amp; H2701,  "")</f>
        <v>principal-knowledge-authority|ProcedureStatusChanges</v>
      </c>
      <c r="N2701" s="3" t="s">
        <v>10004</v>
      </c>
    </row>
    <row r="2702">
      <c r="A2702" s="3" t="s">
        <v>12704</v>
      </c>
      <c r="B2702" s="4" t="str">
        <f>C2702 &amp; " -&gt; " &amp; D2702</f>
        <v>principal-knowledge-authority -&gt; ProcedureStatusChanges.FromStatus</v>
      </c>
      <c r="C2702" s="3" t="s">
        <v>9774</v>
      </c>
      <c r="D2702" s="3" t="s">
        <v>2864</v>
      </c>
      <c r="E2702" s="3" t="b">
        <v>1</v>
      </c>
      <c r="F2702" s="3" t="b">
        <v>0</v>
      </c>
      <c r="G2702" s="3" t="s">
        <v>10003</v>
      </c>
      <c r="H2702" s="4" t="str">
        <f>_xlfn.IFNA(IF(((INDEX(RulebookFields!C2:C1898, MATCH(D2702,RulebookFields!A2:A1898, 0))="")=TRUE),  "",  INDEX(RulebookFields!C2:C1898, MATCH(D2702,RulebookFields!A2:A1898, 0))), "")</f>
        <v>ProcedureStatusChanges</v>
      </c>
      <c r="I2702" s="4" t="str">
        <f>_xlfn.IFNA(IF(((INDEX(RulebookFields!D2:D1898, MATCH(D2702,RulebookFields!A2:A1898, 0))="")=TRUE),  "",  INDEX(RulebookFields!D2:D1898, MATCH(D2702,RulebookFields!A2:A1898, 0))), "")</f>
        <v>FromStatus</v>
      </c>
      <c r="J2702" s="4" t="b">
        <f>_xlfn.IFNA(IF(((INDEX(RulebookFields!I2:I1898, MATCH(D2702,RulebookFields!A2:A1898, 0))="")=TRUE),  "",  INDEX(RulebookFields!I2:I1898, MATCH(D2702,RulebookFields!A2:A1898, 0))), "")</f>
        <v>0</v>
      </c>
      <c r="K2702" s="4" t="b">
        <f>AND(((F2702)=TRUE), ((J2702)=TRUE))</f>
        <v>0</v>
      </c>
      <c r="L2702" s="4" t="b">
        <f>AND(((G2702 &lt;&gt; "plain")=TRUE), ((G2702 &lt;&gt; "")=TRUE))</f>
        <v>0</v>
      </c>
      <c r="M2702" s="4" t="str">
        <f>IF(((E2702)=TRUE),  C2702 &amp; "|" &amp; H2702,  "")</f>
        <v>principal-knowledge-authority|ProcedureStatusChanges</v>
      </c>
      <c r="N2702" s="3" t="s">
        <v>10004</v>
      </c>
    </row>
    <row r="2703">
      <c r="A2703" s="3" t="s">
        <v>12705</v>
      </c>
      <c r="B2703" s="4" t="str">
        <f>C2703 &amp; " -&gt; " &amp; D2703</f>
        <v>principal-knowledge-authority -&gt; ProcedureStatusChanges.ToStatus</v>
      </c>
      <c r="C2703" s="3" t="s">
        <v>9774</v>
      </c>
      <c r="D2703" s="3" t="s">
        <v>2865</v>
      </c>
      <c r="E2703" s="3" t="b">
        <v>1</v>
      </c>
      <c r="F2703" s="3" t="b">
        <v>0</v>
      </c>
      <c r="G2703" s="3" t="s">
        <v>10003</v>
      </c>
      <c r="H2703" s="4" t="str">
        <f>_xlfn.IFNA(IF(((INDEX(RulebookFields!C2:C1898, MATCH(D2703,RulebookFields!A2:A1898, 0))="")=TRUE),  "",  INDEX(RulebookFields!C2:C1898, MATCH(D2703,RulebookFields!A2:A1898, 0))), "")</f>
        <v>ProcedureStatusChanges</v>
      </c>
      <c r="I2703" s="4" t="str">
        <f>_xlfn.IFNA(IF(((INDEX(RulebookFields!D2:D1898, MATCH(D2703,RulebookFields!A2:A1898, 0))="")=TRUE),  "",  INDEX(RulebookFields!D2:D1898, MATCH(D2703,RulebookFields!A2:A1898, 0))), "")</f>
        <v>ToStatus</v>
      </c>
      <c r="J2703" s="4" t="b">
        <f>_xlfn.IFNA(IF(((INDEX(RulebookFields!I2:I1898, MATCH(D2703,RulebookFields!A2:A1898, 0))="")=TRUE),  "",  INDEX(RulebookFields!I2:I1898, MATCH(D2703,RulebookFields!A2:A1898, 0))), "")</f>
        <v>0</v>
      </c>
      <c r="K2703" s="4" t="b">
        <f>AND(((F2703)=TRUE), ((J2703)=TRUE))</f>
        <v>0</v>
      </c>
      <c r="L2703" s="4" t="b">
        <f>AND(((G2703 &lt;&gt; "plain")=TRUE), ((G2703 &lt;&gt; "")=TRUE))</f>
        <v>0</v>
      </c>
      <c r="M2703" s="4" t="str">
        <f>IF(((E2703)=TRUE),  C2703 &amp; "|" &amp; H2703,  "")</f>
        <v>principal-knowledge-authority|ProcedureStatusChanges</v>
      </c>
      <c r="N2703" s="3" t="s">
        <v>10004</v>
      </c>
    </row>
    <row r="2704">
      <c r="A2704" s="3" t="s">
        <v>12706</v>
      </c>
      <c r="B2704" s="4" t="str">
        <f>C2704 &amp; " -&gt; " &amp; D2704</f>
        <v>principal-knowledge-authority -&gt; ProcedureStatusChanges.ChangedAt</v>
      </c>
      <c r="C2704" s="3" t="s">
        <v>9774</v>
      </c>
      <c r="D2704" s="3" t="s">
        <v>2866</v>
      </c>
      <c r="E2704" s="3" t="b">
        <v>1</v>
      </c>
      <c r="F2704" s="3" t="b">
        <v>0</v>
      </c>
      <c r="G2704" s="3" t="s">
        <v>10003</v>
      </c>
      <c r="H2704" s="4" t="str">
        <f>_xlfn.IFNA(IF(((INDEX(RulebookFields!C2:C1898, MATCH(D2704,RulebookFields!A2:A1898, 0))="")=TRUE),  "",  INDEX(RulebookFields!C2:C1898, MATCH(D2704,RulebookFields!A2:A1898, 0))), "")</f>
        <v>ProcedureStatusChanges</v>
      </c>
      <c r="I2704" s="4" t="str">
        <f>_xlfn.IFNA(IF(((INDEX(RulebookFields!D2:D1898, MATCH(D2704,RulebookFields!A2:A1898, 0))="")=TRUE),  "",  INDEX(RulebookFields!D2:D1898, MATCH(D2704,RulebookFields!A2:A1898, 0))), "")</f>
        <v>ChangedAt</v>
      </c>
      <c r="J2704" s="4" t="b">
        <f>_xlfn.IFNA(IF(((INDEX(RulebookFields!I2:I1898, MATCH(D2704,RulebookFields!A2:A1898, 0))="")=TRUE),  "",  INDEX(RulebookFields!I2:I1898, MATCH(D2704,RulebookFields!A2:A1898, 0))), "")</f>
        <v>0</v>
      </c>
      <c r="K2704" s="4" t="b">
        <f>AND(((F2704)=TRUE), ((J2704)=TRUE))</f>
        <v>0</v>
      </c>
      <c r="L2704" s="4" t="b">
        <f>AND(((G2704 &lt;&gt; "plain")=TRUE), ((G2704 &lt;&gt; "")=TRUE))</f>
        <v>0</v>
      </c>
      <c r="M2704" s="4" t="str">
        <f>IF(((E2704)=TRUE),  C2704 &amp; "|" &amp; H2704,  "")</f>
        <v>principal-knowledge-authority|ProcedureStatusChanges</v>
      </c>
      <c r="N2704" s="3" t="s">
        <v>10004</v>
      </c>
    </row>
    <row r="2705">
      <c r="A2705" s="3" t="s">
        <v>12707</v>
      </c>
      <c r="B2705" s="4" t="str">
        <f>C2705 &amp; " -&gt; " &amp; D2705</f>
        <v>principal-knowledge-authority -&gt; ProcedureStatusChanges.ChangedByAgent</v>
      </c>
      <c r="C2705" s="3" t="s">
        <v>9774</v>
      </c>
      <c r="D2705" s="3" t="s">
        <v>2867</v>
      </c>
      <c r="E2705" s="3" t="b">
        <v>1</v>
      </c>
      <c r="F2705" s="3" t="b">
        <v>0</v>
      </c>
      <c r="G2705" s="3" t="s">
        <v>10003</v>
      </c>
      <c r="H2705" s="4" t="str">
        <f>_xlfn.IFNA(IF(((INDEX(RulebookFields!C2:C1898, MATCH(D2705,RulebookFields!A2:A1898, 0))="")=TRUE),  "",  INDEX(RulebookFields!C2:C1898, MATCH(D2705,RulebookFields!A2:A1898, 0))), "")</f>
        <v>ProcedureStatusChanges</v>
      </c>
      <c r="I2705" s="4" t="str">
        <f>_xlfn.IFNA(IF(((INDEX(RulebookFields!D2:D1898, MATCH(D2705,RulebookFields!A2:A1898, 0))="")=TRUE),  "",  INDEX(RulebookFields!D2:D1898, MATCH(D2705,RulebookFields!A2:A1898, 0))), "")</f>
        <v>ChangedByAgent</v>
      </c>
      <c r="J2705" s="4" t="b">
        <f>_xlfn.IFNA(IF(((INDEX(RulebookFields!I2:I1898, MATCH(D2705,RulebookFields!A2:A1898, 0))="")=TRUE),  "",  INDEX(RulebookFields!I2:I1898, MATCH(D2705,RulebookFields!A2:A1898, 0))), "")</f>
        <v>0</v>
      </c>
      <c r="K2705" s="4" t="b">
        <f>AND(((F2705)=TRUE), ((J2705)=TRUE))</f>
        <v>0</v>
      </c>
      <c r="L2705" s="4" t="b">
        <f>AND(((G2705 &lt;&gt; "plain")=TRUE), ((G2705 &lt;&gt; "")=TRUE))</f>
        <v>0</v>
      </c>
      <c r="M2705" s="4" t="str">
        <f>IF(((E2705)=TRUE),  C2705 &amp; "|" &amp; H2705,  "")</f>
        <v>principal-knowledge-authority|ProcedureStatusChanges</v>
      </c>
      <c r="N2705" s="3" t="s">
        <v>10004</v>
      </c>
    </row>
    <row r="2706">
      <c r="A2706" s="3" t="s">
        <v>12708</v>
      </c>
      <c r="B2706" s="4" t="str">
        <f>C2706 &amp; " -&gt; " &amp; D2706</f>
        <v>principal-knowledge-authority -&gt; ProcedureStatusChanges.Motivation</v>
      </c>
      <c r="C2706" s="3" t="s">
        <v>9774</v>
      </c>
      <c r="D2706" s="3" t="s">
        <v>2868</v>
      </c>
      <c r="E2706" s="3" t="b">
        <v>1</v>
      </c>
      <c r="F2706" s="3" t="b">
        <v>0</v>
      </c>
      <c r="G2706" s="3" t="s">
        <v>10003</v>
      </c>
      <c r="H2706" s="4" t="str">
        <f>_xlfn.IFNA(IF(((INDEX(RulebookFields!C2:C1898, MATCH(D2706,RulebookFields!A2:A1898, 0))="")=TRUE),  "",  INDEX(RulebookFields!C2:C1898, MATCH(D2706,RulebookFields!A2:A1898, 0))), "")</f>
        <v>ProcedureStatusChanges</v>
      </c>
      <c r="I2706" s="4" t="str">
        <f>_xlfn.IFNA(IF(((INDEX(RulebookFields!D2:D1898, MATCH(D2706,RulebookFields!A2:A1898, 0))="")=TRUE),  "",  INDEX(RulebookFields!D2:D1898, MATCH(D2706,RulebookFields!A2:A1898, 0))), "")</f>
        <v>Motivation</v>
      </c>
      <c r="J2706" s="4" t="b">
        <f>_xlfn.IFNA(IF(((INDEX(RulebookFields!I2:I1898, MATCH(D2706,RulebookFields!A2:A1898, 0))="")=TRUE),  "",  INDEX(RulebookFields!I2:I1898, MATCH(D2706,RulebookFields!A2:A1898, 0))), "")</f>
        <v>0</v>
      </c>
      <c r="K2706" s="4" t="b">
        <f>AND(((F2706)=TRUE), ((J2706)=TRUE))</f>
        <v>0</v>
      </c>
      <c r="L2706" s="4" t="b">
        <f>AND(((G2706 &lt;&gt; "plain")=TRUE), ((G2706 &lt;&gt; "")=TRUE))</f>
        <v>0</v>
      </c>
      <c r="M2706" s="4" t="str">
        <f>IF(((E2706)=TRUE),  C2706 &amp; "|" &amp; H2706,  "")</f>
        <v>principal-knowledge-authority|ProcedureStatusChanges</v>
      </c>
      <c r="N2706" s="3" t="s">
        <v>10004</v>
      </c>
    </row>
    <row r="2707">
      <c r="A2707" s="3" t="s">
        <v>12709</v>
      </c>
      <c r="B2707" s="4" t="str">
        <f>C2707 &amp; " -&gt; " &amp; D2707</f>
        <v>principal-knowledge-authority -&gt; ProcedureStatusChanges.SemanticTypeIri</v>
      </c>
      <c r="C2707" s="3" t="s">
        <v>9774</v>
      </c>
      <c r="D2707" s="3" t="s">
        <v>2869</v>
      </c>
      <c r="E2707" s="3" t="b">
        <v>1</v>
      </c>
      <c r="F2707" s="3" t="b">
        <v>0</v>
      </c>
      <c r="G2707" s="3" t="s">
        <v>10003</v>
      </c>
      <c r="H2707" s="4" t="str">
        <f>_xlfn.IFNA(IF(((INDEX(RulebookFields!C2:C1898, MATCH(D2707,RulebookFields!A2:A1898, 0))="")=TRUE),  "",  INDEX(RulebookFields!C2:C1898, MATCH(D2707,RulebookFields!A2:A1898, 0))), "")</f>
        <v>ProcedureStatusChanges</v>
      </c>
      <c r="I2707" s="4" t="str">
        <f>_xlfn.IFNA(IF(((INDEX(RulebookFields!D2:D1898, MATCH(D2707,RulebookFields!A2:A1898, 0))="")=TRUE),  "",  INDEX(RulebookFields!D2:D1898, MATCH(D2707,RulebookFields!A2:A1898, 0))), "")</f>
        <v>SemanticTypeIri</v>
      </c>
      <c r="J2707" s="4" t="b">
        <f>_xlfn.IFNA(IF(((INDEX(RulebookFields!I2:I1898, MATCH(D2707,RulebookFields!A2:A1898, 0))="")=TRUE),  "",  INDEX(RulebookFields!I2:I1898, MATCH(D2707,RulebookFields!A2:A1898, 0))), "")</f>
        <v>0</v>
      </c>
      <c r="K2707" s="4" t="b">
        <f>AND(((F2707)=TRUE), ((J2707)=TRUE))</f>
        <v>0</v>
      </c>
      <c r="L2707" s="4" t="b">
        <f>AND(((G2707 &lt;&gt; "plain")=TRUE), ((G2707 &lt;&gt; "")=TRUE))</f>
        <v>0</v>
      </c>
      <c r="M2707" s="4" t="str">
        <f>IF(((E2707)=TRUE),  C2707 &amp; "|" &amp; H2707,  "")</f>
        <v>principal-knowledge-authority|ProcedureStatusChanges</v>
      </c>
      <c r="N2707" s="3" t="s">
        <v>10004</v>
      </c>
    </row>
    <row r="2708">
      <c r="A2708" s="3" t="s">
        <v>12710</v>
      </c>
      <c r="B2708" s="4" t="str">
        <f>C2708 &amp; " -&gt; " &amp; D2708</f>
        <v>principal-knowledge-authority -&gt; ProcedureTypes.ProcedureTypeId</v>
      </c>
      <c r="C2708" s="3" t="s">
        <v>9774</v>
      </c>
      <c r="D2708" s="3" t="s">
        <v>2675</v>
      </c>
      <c r="E2708" s="3" t="b">
        <v>1</v>
      </c>
      <c r="F2708" s="3" t="b">
        <v>0</v>
      </c>
      <c r="G2708" s="3" t="s">
        <v>10003</v>
      </c>
      <c r="H2708" s="4" t="str">
        <f>_xlfn.IFNA(IF(((INDEX(RulebookFields!C2:C1898, MATCH(D2708,RulebookFields!A2:A1898, 0))="")=TRUE),  "",  INDEX(RulebookFields!C2:C1898, MATCH(D2708,RulebookFields!A2:A1898, 0))), "")</f>
        <v>ProcedureTypes</v>
      </c>
      <c r="I2708" s="4" t="str">
        <f>_xlfn.IFNA(IF(((INDEX(RulebookFields!D2:D1898, MATCH(D2708,RulebookFields!A2:A1898, 0))="")=TRUE),  "",  INDEX(RulebookFields!D2:D1898, MATCH(D2708,RulebookFields!A2:A1898, 0))), "")</f>
        <v>ProcedureTypeId</v>
      </c>
      <c r="J2708" s="4" t="b">
        <f>_xlfn.IFNA(IF(((INDEX(RulebookFields!I2:I1898, MATCH(D2708,RulebookFields!A2:A1898, 0))="")=TRUE),  "",  INDEX(RulebookFields!I2:I1898, MATCH(D2708,RulebookFields!A2:A1898, 0))), "")</f>
        <v>0</v>
      </c>
      <c r="K2708" s="4" t="b">
        <f>AND(((F2708)=TRUE), ((J2708)=TRUE))</f>
        <v>0</v>
      </c>
      <c r="L2708" s="4" t="b">
        <f>AND(((G2708 &lt;&gt; "plain")=TRUE), ((G2708 &lt;&gt; "")=TRUE))</f>
        <v>0</v>
      </c>
      <c r="M2708" s="4" t="str">
        <f>IF(((E2708)=TRUE),  C2708 &amp; "|" &amp; H2708,  "")</f>
        <v>principal-knowledge-authority|ProcedureTypes</v>
      </c>
      <c r="N2708" s="3" t="s">
        <v>10004</v>
      </c>
    </row>
    <row r="2709">
      <c r="A2709" s="3" t="s">
        <v>12711</v>
      </c>
      <c r="B2709" s="4" t="str">
        <f>C2709 &amp; " -&gt; " &amp; D2709</f>
        <v>principal-knowledge-authority -&gt; ProcedureTypes.Name</v>
      </c>
      <c r="C2709" s="3" t="s">
        <v>9774</v>
      </c>
      <c r="D2709" s="3" t="s">
        <v>2677</v>
      </c>
      <c r="E2709" s="3" t="b">
        <v>1</v>
      </c>
      <c r="F2709" s="3" t="b">
        <v>0</v>
      </c>
      <c r="G2709" s="3" t="s">
        <v>10003</v>
      </c>
      <c r="H2709" s="4" t="str">
        <f>_xlfn.IFNA(IF(((INDEX(RulebookFields!C2:C1898, MATCH(D2709,RulebookFields!A2:A1898, 0))="")=TRUE),  "",  INDEX(RulebookFields!C2:C1898, MATCH(D2709,RulebookFields!A2:A1898, 0))), "")</f>
        <v>ProcedureTypes</v>
      </c>
      <c r="I2709" s="4" t="str">
        <f>_xlfn.IFNA(IF(((INDEX(RulebookFields!D2:D1898, MATCH(D2709,RulebookFields!A2:A1898, 0))="")=TRUE),  "",  INDEX(RulebookFields!D2:D1898, MATCH(D2709,RulebookFields!A2:A1898, 0))), "")</f>
        <v>Name</v>
      </c>
      <c r="J2709" s="4" t="b">
        <f>_xlfn.IFNA(IF(((INDEX(RulebookFields!I2:I1898, MATCH(D2709,RulebookFields!A2:A1898, 0))="")=TRUE),  "",  INDEX(RulebookFields!I2:I1898, MATCH(D2709,RulebookFields!A2:A1898, 0))), "")</f>
        <v>1</v>
      </c>
      <c r="K2709" s="4" t="b">
        <f>AND(((F2709)=TRUE), ((J2709)=TRUE))</f>
        <v>0</v>
      </c>
      <c r="L2709" s="4" t="b">
        <f>AND(((G2709 &lt;&gt; "plain")=TRUE), ((G2709 &lt;&gt; "")=TRUE))</f>
        <v>0</v>
      </c>
      <c r="M2709" s="4" t="str">
        <f>IF(((E2709)=TRUE),  C2709 &amp; "|" &amp; H2709,  "")</f>
        <v>principal-knowledge-authority|ProcedureTypes</v>
      </c>
      <c r="N2709" s="3" t="s">
        <v>10004</v>
      </c>
    </row>
    <row r="2710">
      <c r="A2710" s="3" t="s">
        <v>12712</v>
      </c>
      <c r="B2710" s="4" t="str">
        <f>C2710 &amp; " -&gt; " &amp; D2710</f>
        <v>principal-knowledge-authority -&gt; ProcedureTypes.Label</v>
      </c>
      <c r="C2710" s="3" t="s">
        <v>9774</v>
      </c>
      <c r="D2710" s="3" t="s">
        <v>2678</v>
      </c>
      <c r="E2710" s="3" t="b">
        <v>1</v>
      </c>
      <c r="F2710" s="3" t="b">
        <v>0</v>
      </c>
      <c r="G2710" s="3" t="s">
        <v>10003</v>
      </c>
      <c r="H2710" s="4" t="str">
        <f>_xlfn.IFNA(IF(((INDEX(RulebookFields!C2:C1898, MATCH(D2710,RulebookFields!A2:A1898, 0))="")=TRUE),  "",  INDEX(RulebookFields!C2:C1898, MATCH(D2710,RulebookFields!A2:A1898, 0))), "")</f>
        <v>ProcedureTypes</v>
      </c>
      <c r="I2710" s="4" t="str">
        <f>_xlfn.IFNA(IF(((INDEX(RulebookFields!D2:D1898, MATCH(D2710,RulebookFields!A2:A1898, 0))="")=TRUE),  "",  INDEX(RulebookFields!D2:D1898, MATCH(D2710,RulebookFields!A2:A1898, 0))), "")</f>
        <v>Label</v>
      </c>
      <c r="J2710" s="4" t="b">
        <f>_xlfn.IFNA(IF(((INDEX(RulebookFields!I2:I1898, MATCH(D2710,RulebookFields!A2:A1898, 0))="")=TRUE),  "",  INDEX(RulebookFields!I2:I1898, MATCH(D2710,RulebookFields!A2:A1898, 0))), "")</f>
        <v>0</v>
      </c>
      <c r="K2710" s="4" t="b">
        <f>AND(((F2710)=TRUE), ((J2710)=TRUE))</f>
        <v>0</v>
      </c>
      <c r="L2710" s="4" t="b">
        <f>AND(((G2710 &lt;&gt; "plain")=TRUE), ((G2710 &lt;&gt; "")=TRUE))</f>
        <v>0</v>
      </c>
      <c r="M2710" s="4" t="str">
        <f>IF(((E2710)=TRUE),  C2710 &amp; "|" &amp; H2710,  "")</f>
        <v>principal-knowledge-authority|ProcedureTypes</v>
      </c>
      <c r="N2710" s="3" t="s">
        <v>10004</v>
      </c>
    </row>
    <row r="2711">
      <c r="A2711" s="3" t="s">
        <v>12713</v>
      </c>
      <c r="B2711" s="4" t="str">
        <f>C2711 &amp; " -&gt; " &amp; D2711</f>
        <v>principal-knowledge-authority -&gt; ProcedureTypes.Definition</v>
      </c>
      <c r="C2711" s="3" t="s">
        <v>9774</v>
      </c>
      <c r="D2711" s="3" t="s">
        <v>2679</v>
      </c>
      <c r="E2711" s="3" t="b">
        <v>1</v>
      </c>
      <c r="F2711" s="3" t="b">
        <v>0</v>
      </c>
      <c r="G2711" s="3" t="s">
        <v>10003</v>
      </c>
      <c r="H2711" s="4" t="str">
        <f>_xlfn.IFNA(IF(((INDEX(RulebookFields!C2:C1898, MATCH(D2711,RulebookFields!A2:A1898, 0))="")=TRUE),  "",  INDEX(RulebookFields!C2:C1898, MATCH(D2711,RulebookFields!A2:A1898, 0))), "")</f>
        <v>ProcedureTypes</v>
      </c>
      <c r="I2711" s="4" t="str">
        <f>_xlfn.IFNA(IF(((INDEX(RulebookFields!D2:D1898, MATCH(D2711,RulebookFields!A2:A1898, 0))="")=TRUE),  "",  INDEX(RulebookFields!D2:D1898, MATCH(D2711,RulebookFields!A2:A1898, 0))), "")</f>
        <v>Definition</v>
      </c>
      <c r="J2711" s="4" t="b">
        <f>_xlfn.IFNA(IF(((INDEX(RulebookFields!I2:I1898, MATCH(D2711,RulebookFields!A2:A1898, 0))="")=TRUE),  "",  INDEX(RulebookFields!I2:I1898, MATCH(D2711,RulebookFields!A2:A1898, 0))), "")</f>
        <v>0</v>
      </c>
      <c r="K2711" s="4" t="b">
        <f>AND(((F2711)=TRUE), ((J2711)=TRUE))</f>
        <v>0</v>
      </c>
      <c r="L2711" s="4" t="b">
        <f>AND(((G2711 &lt;&gt; "plain")=TRUE), ((G2711 &lt;&gt; "")=TRUE))</f>
        <v>0</v>
      </c>
      <c r="M2711" s="4" t="str">
        <f>IF(((E2711)=TRUE),  C2711 &amp; "|" &amp; H2711,  "")</f>
        <v>principal-knowledge-authority|ProcedureTypes</v>
      </c>
      <c r="N2711" s="3" t="s">
        <v>10004</v>
      </c>
    </row>
    <row r="2712">
      <c r="A2712" s="3" t="s">
        <v>12714</v>
      </c>
      <c r="B2712" s="4" t="str">
        <f>C2712 &amp; " -&gt; " &amp; D2712</f>
        <v>principal-knowledge-authority -&gt; ProcedureTypes.SemanticTypeIri</v>
      </c>
      <c r="C2712" s="3" t="s">
        <v>9774</v>
      </c>
      <c r="D2712" s="3" t="s">
        <v>2680</v>
      </c>
      <c r="E2712" s="3" t="b">
        <v>1</v>
      </c>
      <c r="F2712" s="3" t="b">
        <v>0</v>
      </c>
      <c r="G2712" s="3" t="s">
        <v>10003</v>
      </c>
      <c r="H2712" s="4" t="str">
        <f>_xlfn.IFNA(IF(((INDEX(RulebookFields!C2:C1898, MATCH(D2712,RulebookFields!A2:A1898, 0))="")=TRUE),  "",  INDEX(RulebookFields!C2:C1898, MATCH(D2712,RulebookFields!A2:A1898, 0))), "")</f>
        <v>ProcedureTypes</v>
      </c>
      <c r="I2712" s="4" t="str">
        <f>_xlfn.IFNA(IF(((INDEX(RulebookFields!D2:D1898, MATCH(D2712,RulebookFields!A2:A1898, 0))="")=TRUE),  "",  INDEX(RulebookFields!D2:D1898, MATCH(D2712,RulebookFields!A2:A1898, 0))), "")</f>
        <v>SemanticTypeIri</v>
      </c>
      <c r="J2712" s="4" t="b">
        <f>_xlfn.IFNA(IF(((INDEX(RulebookFields!I2:I1898, MATCH(D2712,RulebookFields!A2:A1898, 0))="")=TRUE),  "",  INDEX(RulebookFields!I2:I1898, MATCH(D2712,RulebookFields!A2:A1898, 0))), "")</f>
        <v>0</v>
      </c>
      <c r="K2712" s="4" t="b">
        <f>AND(((F2712)=TRUE), ((J2712)=TRUE))</f>
        <v>0</v>
      </c>
      <c r="L2712" s="4" t="b">
        <f>AND(((G2712 &lt;&gt; "plain")=TRUE), ((G2712 &lt;&gt; "")=TRUE))</f>
        <v>0</v>
      </c>
      <c r="M2712" s="4" t="str">
        <f>IF(((E2712)=TRUE),  C2712 &amp; "|" &amp; H2712,  "")</f>
        <v>principal-knowledge-authority|ProcedureTypes</v>
      </c>
      <c r="N2712" s="3" t="s">
        <v>10004</v>
      </c>
    </row>
    <row r="2713">
      <c r="A2713" s="3" t="s">
        <v>12715</v>
      </c>
      <c r="B2713" s="4" t="str">
        <f>C2713 &amp; " -&gt; " &amp; D2713</f>
        <v>principal-knowledge-authority -&gt; ProcedureVersionLinks.ProcedureVersionLinkId</v>
      </c>
      <c r="C2713" s="3" t="s">
        <v>9774</v>
      </c>
      <c r="D2713" s="3" t="s">
        <v>2850</v>
      </c>
      <c r="E2713" s="3" t="b">
        <v>1</v>
      </c>
      <c r="F2713" s="3" t="b">
        <v>0</v>
      </c>
      <c r="G2713" s="3" t="s">
        <v>10003</v>
      </c>
      <c r="H2713" s="4" t="str">
        <f>_xlfn.IFNA(IF(((INDEX(RulebookFields!C2:C1898, MATCH(D2713,RulebookFields!A2:A1898, 0))="")=TRUE),  "",  INDEX(RulebookFields!C2:C1898, MATCH(D2713,RulebookFields!A2:A1898, 0))), "")</f>
        <v>ProcedureVersionLinks</v>
      </c>
      <c r="I2713" s="4" t="str">
        <f>_xlfn.IFNA(IF(((INDEX(RulebookFields!D2:D1898, MATCH(D2713,RulebookFields!A2:A1898, 0))="")=TRUE),  "",  INDEX(RulebookFields!D2:D1898, MATCH(D2713,RulebookFields!A2:A1898, 0))), "")</f>
        <v>ProcedureVersionLinkId</v>
      </c>
      <c r="J2713" s="4" t="b">
        <f>_xlfn.IFNA(IF(((INDEX(RulebookFields!I2:I1898, MATCH(D2713,RulebookFields!A2:A1898, 0))="")=TRUE),  "",  INDEX(RulebookFields!I2:I1898, MATCH(D2713,RulebookFields!A2:A1898, 0))), "")</f>
        <v>0</v>
      </c>
      <c r="K2713" s="4" t="b">
        <f>AND(((F2713)=TRUE), ((J2713)=TRUE))</f>
        <v>0</v>
      </c>
      <c r="L2713" s="4" t="b">
        <f>AND(((G2713 &lt;&gt; "plain")=TRUE), ((G2713 &lt;&gt; "")=TRUE))</f>
        <v>0</v>
      </c>
      <c r="M2713" s="4" t="str">
        <f>IF(((E2713)=TRUE),  C2713 &amp; "|" &amp; H2713,  "")</f>
        <v>principal-knowledge-authority|ProcedureVersionLinks</v>
      </c>
      <c r="N2713" s="3" t="s">
        <v>10004</v>
      </c>
    </row>
    <row r="2714">
      <c r="A2714" s="3" t="s">
        <v>12716</v>
      </c>
      <c r="B2714" s="4" t="str">
        <f>C2714 &amp; " -&gt; " &amp; D2714</f>
        <v>principal-knowledge-authority -&gt; ProcedureVersionLinks.Name</v>
      </c>
      <c r="C2714" s="3" t="s">
        <v>9774</v>
      </c>
      <c r="D2714" s="3" t="s">
        <v>2852</v>
      </c>
      <c r="E2714" s="3" t="b">
        <v>1</v>
      </c>
      <c r="F2714" s="3" t="b">
        <v>0</v>
      </c>
      <c r="G2714" s="3" t="s">
        <v>10003</v>
      </c>
      <c r="H2714" s="4" t="str">
        <f>_xlfn.IFNA(IF(((INDEX(RulebookFields!C2:C1898, MATCH(D2714,RulebookFields!A2:A1898, 0))="")=TRUE),  "",  INDEX(RulebookFields!C2:C1898, MATCH(D2714,RulebookFields!A2:A1898, 0))), "")</f>
        <v>ProcedureVersionLinks</v>
      </c>
      <c r="I2714" s="4" t="str">
        <f>_xlfn.IFNA(IF(((INDEX(RulebookFields!D2:D1898, MATCH(D2714,RulebookFields!A2:A1898, 0))="")=TRUE),  "",  INDEX(RulebookFields!D2:D1898, MATCH(D2714,RulebookFields!A2:A1898, 0))), "")</f>
        <v>Name</v>
      </c>
      <c r="J2714" s="4" t="b">
        <f>_xlfn.IFNA(IF(((INDEX(RulebookFields!I2:I1898, MATCH(D2714,RulebookFields!A2:A1898, 0))="")=TRUE),  "",  INDEX(RulebookFields!I2:I1898, MATCH(D2714,RulebookFields!A2:A1898, 0))), "")</f>
        <v>1</v>
      </c>
      <c r="K2714" s="4" t="b">
        <f>AND(((F2714)=TRUE), ((J2714)=TRUE))</f>
        <v>0</v>
      </c>
      <c r="L2714" s="4" t="b">
        <f>AND(((G2714 &lt;&gt; "plain")=TRUE), ((G2714 &lt;&gt; "")=TRUE))</f>
        <v>0</v>
      </c>
      <c r="M2714" s="4" t="str">
        <f>IF(((E2714)=TRUE),  C2714 &amp; "|" &amp; H2714,  "")</f>
        <v>principal-knowledge-authority|ProcedureVersionLinks</v>
      </c>
      <c r="N2714" s="3" t="s">
        <v>10004</v>
      </c>
    </row>
    <row r="2715">
      <c r="A2715" s="3" t="s">
        <v>12717</v>
      </c>
      <c r="B2715" s="4" t="str">
        <f>C2715 &amp; " -&gt; " &amp; D2715</f>
        <v>principal-knowledge-authority -&gt; ProcedureVersionLinks.PreviousProcedureVersion</v>
      </c>
      <c r="C2715" s="3" t="s">
        <v>9774</v>
      </c>
      <c r="D2715" s="3" t="s">
        <v>2854</v>
      </c>
      <c r="E2715" s="3" t="b">
        <v>1</v>
      </c>
      <c r="F2715" s="3" t="b">
        <v>0</v>
      </c>
      <c r="G2715" s="3" t="s">
        <v>10003</v>
      </c>
      <c r="H2715" s="4" t="str">
        <f>_xlfn.IFNA(IF(((INDEX(RulebookFields!C2:C1898, MATCH(D2715,RulebookFields!A2:A1898, 0))="")=TRUE),  "",  INDEX(RulebookFields!C2:C1898, MATCH(D2715,RulebookFields!A2:A1898, 0))), "")</f>
        <v>ProcedureVersionLinks</v>
      </c>
      <c r="I2715" s="4" t="str">
        <f>_xlfn.IFNA(IF(((INDEX(RulebookFields!D2:D1898, MATCH(D2715,RulebookFields!A2:A1898, 0))="")=TRUE),  "",  INDEX(RulebookFields!D2:D1898, MATCH(D2715,RulebookFields!A2:A1898, 0))), "")</f>
        <v>PreviousProcedureVersion</v>
      </c>
      <c r="J2715" s="4" t="b">
        <f>_xlfn.IFNA(IF(((INDEX(RulebookFields!I2:I1898, MATCH(D2715,RulebookFields!A2:A1898, 0))="")=TRUE),  "",  INDEX(RulebookFields!I2:I1898, MATCH(D2715,RulebookFields!A2:A1898, 0))), "")</f>
        <v>0</v>
      </c>
      <c r="K2715" s="4" t="b">
        <f>AND(((F2715)=TRUE), ((J2715)=TRUE))</f>
        <v>0</v>
      </c>
      <c r="L2715" s="4" t="b">
        <f>AND(((G2715 &lt;&gt; "plain")=TRUE), ((G2715 &lt;&gt; "")=TRUE))</f>
        <v>0</v>
      </c>
      <c r="M2715" s="4" t="str">
        <f>IF(((E2715)=TRUE),  C2715 &amp; "|" &amp; H2715,  "")</f>
        <v>principal-knowledge-authority|ProcedureVersionLinks</v>
      </c>
      <c r="N2715" s="3" t="s">
        <v>10004</v>
      </c>
    </row>
    <row r="2716">
      <c r="A2716" s="3" t="s">
        <v>12718</v>
      </c>
      <c r="B2716" s="4" t="str">
        <f>C2716 &amp; " -&gt; " &amp; D2716</f>
        <v>principal-knowledge-authority -&gt; ProcedureVersionLinks.NextProcedureVersion</v>
      </c>
      <c r="C2716" s="3" t="s">
        <v>9774</v>
      </c>
      <c r="D2716" s="3" t="s">
        <v>2855</v>
      </c>
      <c r="E2716" s="3" t="b">
        <v>1</v>
      </c>
      <c r="F2716" s="3" t="b">
        <v>0</v>
      </c>
      <c r="G2716" s="3" t="s">
        <v>10003</v>
      </c>
      <c r="H2716" s="4" t="str">
        <f>_xlfn.IFNA(IF(((INDEX(RulebookFields!C2:C1898, MATCH(D2716,RulebookFields!A2:A1898, 0))="")=TRUE),  "",  INDEX(RulebookFields!C2:C1898, MATCH(D2716,RulebookFields!A2:A1898, 0))), "")</f>
        <v>ProcedureVersionLinks</v>
      </c>
      <c r="I2716" s="4" t="str">
        <f>_xlfn.IFNA(IF(((INDEX(RulebookFields!D2:D1898, MATCH(D2716,RulebookFields!A2:A1898, 0))="")=TRUE),  "",  INDEX(RulebookFields!D2:D1898, MATCH(D2716,RulebookFields!A2:A1898, 0))), "")</f>
        <v>NextProcedureVersion</v>
      </c>
      <c r="J2716" s="4" t="b">
        <f>_xlfn.IFNA(IF(((INDEX(RulebookFields!I2:I1898, MATCH(D2716,RulebookFields!A2:A1898, 0))="")=TRUE),  "",  INDEX(RulebookFields!I2:I1898, MATCH(D2716,RulebookFields!A2:A1898, 0))), "")</f>
        <v>0</v>
      </c>
      <c r="K2716" s="4" t="b">
        <f>AND(((F2716)=TRUE), ((J2716)=TRUE))</f>
        <v>0</v>
      </c>
      <c r="L2716" s="4" t="b">
        <f>AND(((G2716 &lt;&gt; "plain")=TRUE), ((G2716 &lt;&gt; "")=TRUE))</f>
        <v>0</v>
      </c>
      <c r="M2716" s="4" t="str">
        <f>IF(((E2716)=TRUE),  C2716 &amp; "|" &amp; H2716,  "")</f>
        <v>principal-knowledge-authority|ProcedureVersionLinks</v>
      </c>
      <c r="N2716" s="3" t="s">
        <v>10004</v>
      </c>
    </row>
    <row r="2717">
      <c r="A2717" s="3" t="s">
        <v>12719</v>
      </c>
      <c r="B2717" s="4" t="str">
        <f>C2717 &amp; " -&gt; " &amp; D2717</f>
        <v>principal-knowledge-authority -&gt; ProcedureVersionLinks.RelationIri</v>
      </c>
      <c r="C2717" s="3" t="s">
        <v>9774</v>
      </c>
      <c r="D2717" s="3" t="s">
        <v>2856</v>
      </c>
      <c r="E2717" s="3" t="b">
        <v>1</v>
      </c>
      <c r="F2717" s="3" t="b">
        <v>0</v>
      </c>
      <c r="G2717" s="3" t="s">
        <v>10003</v>
      </c>
      <c r="H2717" s="4" t="str">
        <f>_xlfn.IFNA(IF(((INDEX(RulebookFields!C2:C1898, MATCH(D2717,RulebookFields!A2:A1898, 0))="")=TRUE),  "",  INDEX(RulebookFields!C2:C1898, MATCH(D2717,RulebookFields!A2:A1898, 0))), "")</f>
        <v>ProcedureVersionLinks</v>
      </c>
      <c r="I2717" s="4" t="str">
        <f>_xlfn.IFNA(IF(((INDEX(RulebookFields!D2:D1898, MATCH(D2717,RulebookFields!A2:A1898, 0))="")=TRUE),  "",  INDEX(RulebookFields!D2:D1898, MATCH(D2717,RulebookFields!A2:A1898, 0))), "")</f>
        <v>RelationIri</v>
      </c>
      <c r="J2717" s="4" t="b">
        <f>_xlfn.IFNA(IF(((INDEX(RulebookFields!I2:I1898, MATCH(D2717,RulebookFields!A2:A1898, 0))="")=TRUE),  "",  INDEX(RulebookFields!I2:I1898, MATCH(D2717,RulebookFields!A2:A1898, 0))), "")</f>
        <v>0</v>
      </c>
      <c r="K2717" s="4" t="b">
        <f>AND(((F2717)=TRUE), ((J2717)=TRUE))</f>
        <v>0</v>
      </c>
      <c r="L2717" s="4" t="b">
        <f>AND(((G2717 &lt;&gt; "plain")=TRUE), ((G2717 &lt;&gt; "")=TRUE))</f>
        <v>0</v>
      </c>
      <c r="M2717" s="4" t="str">
        <f>IF(((E2717)=TRUE),  C2717 &amp; "|" &amp; H2717,  "")</f>
        <v>principal-knowledge-authority|ProcedureVersionLinks</v>
      </c>
      <c r="N2717" s="3" t="s">
        <v>10004</v>
      </c>
    </row>
    <row r="2718">
      <c r="A2718" s="3" t="s">
        <v>12720</v>
      </c>
      <c r="B2718" s="4" t="str">
        <f>C2718 &amp; " -&gt; " &amp; D2718</f>
        <v>principal-knowledge-authority -&gt; ProcedureVersionLinks.ChangeSummary</v>
      </c>
      <c r="C2718" s="3" t="s">
        <v>9774</v>
      </c>
      <c r="D2718" s="3" t="s">
        <v>2857</v>
      </c>
      <c r="E2718" s="3" t="b">
        <v>1</v>
      </c>
      <c r="F2718" s="3" t="b">
        <v>0</v>
      </c>
      <c r="G2718" s="3" t="s">
        <v>10003</v>
      </c>
      <c r="H2718" s="4" t="str">
        <f>_xlfn.IFNA(IF(((INDEX(RulebookFields!C2:C1898, MATCH(D2718,RulebookFields!A2:A1898, 0))="")=TRUE),  "",  INDEX(RulebookFields!C2:C1898, MATCH(D2718,RulebookFields!A2:A1898, 0))), "")</f>
        <v>ProcedureVersionLinks</v>
      </c>
      <c r="I2718" s="4" t="str">
        <f>_xlfn.IFNA(IF(((INDEX(RulebookFields!D2:D1898, MATCH(D2718,RulebookFields!A2:A1898, 0))="")=TRUE),  "",  INDEX(RulebookFields!D2:D1898, MATCH(D2718,RulebookFields!A2:A1898, 0))), "")</f>
        <v>ChangeSummary</v>
      </c>
      <c r="J2718" s="4" t="b">
        <f>_xlfn.IFNA(IF(((INDEX(RulebookFields!I2:I1898, MATCH(D2718,RulebookFields!A2:A1898, 0))="")=TRUE),  "",  INDEX(RulebookFields!I2:I1898, MATCH(D2718,RulebookFields!A2:A1898, 0))), "")</f>
        <v>0</v>
      </c>
      <c r="K2718" s="4" t="b">
        <f>AND(((F2718)=TRUE), ((J2718)=TRUE))</f>
        <v>0</v>
      </c>
      <c r="L2718" s="4" t="b">
        <f>AND(((G2718 &lt;&gt; "plain")=TRUE), ((G2718 &lt;&gt; "")=TRUE))</f>
        <v>0</v>
      </c>
      <c r="M2718" s="4" t="str">
        <f>IF(((E2718)=TRUE),  C2718 &amp; "|" &amp; H2718,  "")</f>
        <v>principal-knowledge-authority|ProcedureVersionLinks</v>
      </c>
      <c r="N2718" s="3" t="s">
        <v>10004</v>
      </c>
    </row>
    <row r="2719">
      <c r="A2719" s="3" t="s">
        <v>12721</v>
      </c>
      <c r="B2719" s="4" t="str">
        <f>C2719 &amp; " -&gt; " &amp; D2719</f>
        <v>principal-knowledge-authority -&gt; ProcedureVersionLinks.SupersededVersionKey</v>
      </c>
      <c r="C2719" s="3" t="s">
        <v>9774</v>
      </c>
      <c r="D2719" s="3" t="s">
        <v>2858</v>
      </c>
      <c r="E2719" s="3" t="b">
        <v>1</v>
      </c>
      <c r="F2719" s="3" t="b">
        <v>0</v>
      </c>
      <c r="G2719" s="3" t="s">
        <v>10003</v>
      </c>
      <c r="H2719" s="4" t="str">
        <f>_xlfn.IFNA(IF(((INDEX(RulebookFields!C2:C1898, MATCH(D2719,RulebookFields!A2:A1898, 0))="")=TRUE),  "",  INDEX(RulebookFields!C2:C1898, MATCH(D2719,RulebookFields!A2:A1898, 0))), "")</f>
        <v>ProcedureVersionLinks</v>
      </c>
      <c r="I2719" s="4" t="str">
        <f>_xlfn.IFNA(IF(((INDEX(RulebookFields!D2:D1898, MATCH(D2719,RulebookFields!A2:A1898, 0))="")=TRUE),  "",  INDEX(RulebookFields!D2:D1898, MATCH(D2719,RulebookFields!A2:A1898, 0))), "")</f>
        <v>SupersededVersionKey</v>
      </c>
      <c r="J2719" s="4" t="b">
        <f>_xlfn.IFNA(IF(((INDEX(RulebookFields!I2:I1898, MATCH(D2719,RulebookFields!A2:A1898, 0))="")=TRUE),  "",  INDEX(RulebookFields!I2:I1898, MATCH(D2719,RulebookFields!A2:A1898, 0))), "")</f>
        <v>1</v>
      </c>
      <c r="K2719" s="4" t="b">
        <f>AND(((F2719)=TRUE), ((J2719)=TRUE))</f>
        <v>0</v>
      </c>
      <c r="L2719" s="4" t="b">
        <f>AND(((G2719 &lt;&gt; "plain")=TRUE), ((G2719 &lt;&gt; "")=TRUE))</f>
        <v>0</v>
      </c>
      <c r="M2719" s="4" t="str">
        <f>IF(((E2719)=TRUE),  C2719 &amp; "|" &amp; H2719,  "")</f>
        <v>principal-knowledge-authority|ProcedureVersionLinks</v>
      </c>
      <c r="N2719" s="3" t="s">
        <v>10004</v>
      </c>
    </row>
    <row r="2720">
      <c r="A2720" s="3" t="s">
        <v>12722</v>
      </c>
      <c r="B2720" s="4" t="str">
        <f>C2720 &amp; " -&gt; " &amp; D2720</f>
        <v>principal-knowledge-authority -&gt; ProcedureVersions.ProcedureVersionId</v>
      </c>
      <c r="C2720" s="3" t="s">
        <v>9774</v>
      </c>
      <c r="D2720" s="3" t="s">
        <v>2693</v>
      </c>
      <c r="E2720" s="3" t="b">
        <v>1</v>
      </c>
      <c r="F2720" s="3" t="b">
        <v>0</v>
      </c>
      <c r="G2720" s="3" t="s">
        <v>10003</v>
      </c>
      <c r="H2720" s="4" t="str">
        <f>_xlfn.IFNA(IF(((INDEX(RulebookFields!C2:C1898, MATCH(D2720,RulebookFields!A2:A1898, 0))="")=TRUE),  "",  INDEX(RulebookFields!C2:C1898, MATCH(D2720,RulebookFields!A2:A1898, 0))), "")</f>
        <v>ProcedureVersions</v>
      </c>
      <c r="I2720" s="4" t="str">
        <f>_xlfn.IFNA(IF(((INDEX(RulebookFields!D2:D1898, MATCH(D2720,RulebookFields!A2:A1898, 0))="")=TRUE),  "",  INDEX(RulebookFields!D2:D1898, MATCH(D2720,RulebookFields!A2:A1898, 0))), "")</f>
        <v>ProcedureVersionId</v>
      </c>
      <c r="J2720" s="4" t="b">
        <f>_xlfn.IFNA(IF(((INDEX(RulebookFields!I2:I1898, MATCH(D2720,RulebookFields!A2:A1898, 0))="")=TRUE),  "",  INDEX(RulebookFields!I2:I1898, MATCH(D2720,RulebookFields!A2:A1898, 0))), "")</f>
        <v>0</v>
      </c>
      <c r="K2720" s="4" t="b">
        <f>AND(((F2720)=TRUE), ((J2720)=TRUE))</f>
        <v>0</v>
      </c>
      <c r="L2720" s="4" t="b">
        <f>AND(((G2720 &lt;&gt; "plain")=TRUE), ((G2720 &lt;&gt; "")=TRUE))</f>
        <v>0</v>
      </c>
      <c r="M2720" s="4" t="str">
        <f>IF(((E2720)=TRUE),  C2720 &amp; "|" &amp; H2720,  "")</f>
        <v>principal-knowledge-authority|ProcedureVersions</v>
      </c>
      <c r="N2720" s="3" t="s">
        <v>10004</v>
      </c>
    </row>
    <row r="2721">
      <c r="A2721" s="3" t="s">
        <v>12723</v>
      </c>
      <c r="B2721" s="4" t="str">
        <f>C2721 &amp; " -&gt; " &amp; D2721</f>
        <v>principal-knowledge-authority -&gt; ProcedureVersions.Name</v>
      </c>
      <c r="C2721" s="3" t="s">
        <v>9774</v>
      </c>
      <c r="D2721" s="3" t="s">
        <v>2694</v>
      </c>
      <c r="E2721" s="3" t="b">
        <v>1</v>
      </c>
      <c r="F2721" s="3" t="b">
        <v>0</v>
      </c>
      <c r="G2721" s="3" t="s">
        <v>10003</v>
      </c>
      <c r="H2721" s="4" t="str">
        <f>_xlfn.IFNA(IF(((INDEX(RulebookFields!C2:C1898, MATCH(D2721,RulebookFields!A2:A1898, 0))="")=TRUE),  "",  INDEX(RulebookFields!C2:C1898, MATCH(D2721,RulebookFields!A2:A1898, 0))), "")</f>
        <v>ProcedureVersions</v>
      </c>
      <c r="I2721" s="4" t="str">
        <f>_xlfn.IFNA(IF(((INDEX(RulebookFields!D2:D1898, MATCH(D2721,RulebookFields!A2:A1898, 0))="")=TRUE),  "",  INDEX(RulebookFields!D2:D1898, MATCH(D2721,RulebookFields!A2:A1898, 0))), "")</f>
        <v>Name</v>
      </c>
      <c r="J2721" s="4" t="b">
        <f>_xlfn.IFNA(IF(((INDEX(RulebookFields!I2:I1898, MATCH(D2721,RulebookFields!A2:A1898, 0))="")=TRUE),  "",  INDEX(RulebookFields!I2:I1898, MATCH(D2721,RulebookFields!A2:A1898, 0))), "")</f>
        <v>1</v>
      </c>
      <c r="K2721" s="4" t="b">
        <f>AND(((F2721)=TRUE), ((J2721)=TRUE))</f>
        <v>0</v>
      </c>
      <c r="L2721" s="4" t="b">
        <f>AND(((G2721 &lt;&gt; "plain")=TRUE), ((G2721 &lt;&gt; "")=TRUE))</f>
        <v>0</v>
      </c>
      <c r="M2721" s="4" t="str">
        <f>IF(((E2721)=TRUE),  C2721 &amp; "|" &amp; H2721,  "")</f>
        <v>principal-knowledge-authority|ProcedureVersions</v>
      </c>
      <c r="N2721" s="3" t="s">
        <v>10004</v>
      </c>
    </row>
    <row r="2722">
      <c r="A2722" s="3" t="s">
        <v>12724</v>
      </c>
      <c r="B2722" s="4" t="str">
        <f>C2722 &amp; " -&gt; " &amp; D2722</f>
        <v>principal-knowledge-authority -&gt; ProcedureVersions.Procedure</v>
      </c>
      <c r="C2722" s="3" t="s">
        <v>9774</v>
      </c>
      <c r="D2722" s="3" t="s">
        <v>2695</v>
      </c>
      <c r="E2722" s="3" t="b">
        <v>1</v>
      </c>
      <c r="F2722" s="3" t="b">
        <v>0</v>
      </c>
      <c r="G2722" s="3" t="s">
        <v>10003</v>
      </c>
      <c r="H2722" s="4" t="str">
        <f>_xlfn.IFNA(IF(((INDEX(RulebookFields!C2:C1898, MATCH(D2722,RulebookFields!A2:A1898, 0))="")=TRUE),  "",  INDEX(RulebookFields!C2:C1898, MATCH(D2722,RulebookFields!A2:A1898, 0))), "")</f>
        <v>ProcedureVersions</v>
      </c>
      <c r="I2722" s="4" t="str">
        <f>_xlfn.IFNA(IF(((INDEX(RulebookFields!D2:D1898, MATCH(D2722,RulebookFields!A2:A1898, 0))="")=TRUE),  "",  INDEX(RulebookFields!D2:D1898, MATCH(D2722,RulebookFields!A2:A1898, 0))), "")</f>
        <v>Procedure</v>
      </c>
      <c r="J2722" s="4" t="b">
        <f>_xlfn.IFNA(IF(((INDEX(RulebookFields!I2:I1898, MATCH(D2722,RulebookFields!A2:A1898, 0))="")=TRUE),  "",  INDEX(RulebookFields!I2:I1898, MATCH(D2722,RulebookFields!A2:A1898, 0))), "")</f>
        <v>0</v>
      </c>
      <c r="K2722" s="4" t="b">
        <f>AND(((F2722)=TRUE), ((J2722)=TRUE))</f>
        <v>0</v>
      </c>
      <c r="L2722" s="4" t="b">
        <f>AND(((G2722 &lt;&gt; "plain")=TRUE), ((G2722 &lt;&gt; "")=TRUE))</f>
        <v>0</v>
      </c>
      <c r="M2722" s="4" t="str">
        <f>IF(((E2722)=TRUE),  C2722 &amp; "|" &amp; H2722,  "")</f>
        <v>principal-knowledge-authority|ProcedureVersions</v>
      </c>
      <c r="N2722" s="3" t="s">
        <v>10004</v>
      </c>
    </row>
    <row r="2723">
      <c r="A2723" s="3" t="s">
        <v>12725</v>
      </c>
      <c r="B2723" s="4" t="str">
        <f>C2723 &amp; " -&gt; " &amp; D2723</f>
        <v>principal-knowledge-authority -&gt; ProcedureVersions.VersionNumber</v>
      </c>
      <c r="C2723" s="3" t="s">
        <v>9774</v>
      </c>
      <c r="D2723" s="3" t="s">
        <v>1770</v>
      </c>
      <c r="E2723" s="3" t="b">
        <v>1</v>
      </c>
      <c r="F2723" s="3" t="b">
        <v>0</v>
      </c>
      <c r="G2723" s="3" t="s">
        <v>10003</v>
      </c>
      <c r="H2723" s="4" t="str">
        <f>_xlfn.IFNA(IF(((INDEX(RulebookFields!C2:C1898, MATCH(D2723,RulebookFields!A2:A1898, 0))="")=TRUE),  "",  INDEX(RulebookFields!C2:C1898, MATCH(D2723,RulebookFields!A2:A1898, 0))), "")</f>
        <v>ProcedureVersions</v>
      </c>
      <c r="I2723" s="4" t="str">
        <f>_xlfn.IFNA(IF(((INDEX(RulebookFields!D2:D1898, MATCH(D2723,RulebookFields!A2:A1898, 0))="")=TRUE),  "",  INDEX(RulebookFields!D2:D1898, MATCH(D2723,RulebookFields!A2:A1898, 0))), "")</f>
        <v>VersionNumber</v>
      </c>
      <c r="J2723" s="4" t="b">
        <f>_xlfn.IFNA(IF(((INDEX(RulebookFields!I2:I1898, MATCH(D2723,RulebookFields!A2:A1898, 0))="")=TRUE),  "",  INDEX(RulebookFields!I2:I1898, MATCH(D2723,RulebookFields!A2:A1898, 0))), "")</f>
        <v>0</v>
      </c>
      <c r="K2723" s="4" t="b">
        <f>AND(((F2723)=TRUE), ((J2723)=TRUE))</f>
        <v>0</v>
      </c>
      <c r="L2723" s="4" t="b">
        <f>AND(((G2723 &lt;&gt; "plain")=TRUE), ((G2723 &lt;&gt; "")=TRUE))</f>
        <v>0</v>
      </c>
      <c r="M2723" s="4" t="str">
        <f>IF(((E2723)=TRUE),  C2723 &amp; "|" &amp; H2723,  "")</f>
        <v>principal-knowledge-authority|ProcedureVersions</v>
      </c>
      <c r="N2723" s="3" t="s">
        <v>10004</v>
      </c>
    </row>
    <row r="2724">
      <c r="A2724" s="3" t="s">
        <v>12726</v>
      </c>
      <c r="B2724" s="4" t="str">
        <f>C2724 &amp; " -&gt; " &amp; D2724</f>
        <v>principal-knowledge-authority -&gt; ProcedureVersions.Title</v>
      </c>
      <c r="C2724" s="3" t="s">
        <v>9774</v>
      </c>
      <c r="D2724" s="3" t="s">
        <v>2696</v>
      </c>
      <c r="E2724" s="3" t="b">
        <v>1</v>
      </c>
      <c r="F2724" s="3" t="b">
        <v>0</v>
      </c>
      <c r="G2724" s="3" t="s">
        <v>10003</v>
      </c>
      <c r="H2724" s="4" t="str">
        <f>_xlfn.IFNA(IF(((INDEX(RulebookFields!C2:C1898, MATCH(D2724,RulebookFields!A2:A1898, 0))="")=TRUE),  "",  INDEX(RulebookFields!C2:C1898, MATCH(D2724,RulebookFields!A2:A1898, 0))), "")</f>
        <v>ProcedureVersions</v>
      </c>
      <c r="I2724" s="4" t="str">
        <f>_xlfn.IFNA(IF(((INDEX(RulebookFields!D2:D1898, MATCH(D2724,RulebookFields!A2:A1898, 0))="")=TRUE),  "",  INDEX(RulebookFields!D2:D1898, MATCH(D2724,RulebookFields!A2:A1898, 0))), "")</f>
        <v>Title</v>
      </c>
      <c r="J2724" s="4" t="b">
        <f>_xlfn.IFNA(IF(((INDEX(RulebookFields!I2:I1898, MATCH(D2724,RulebookFields!A2:A1898, 0))="")=TRUE),  "",  INDEX(RulebookFields!I2:I1898, MATCH(D2724,RulebookFields!A2:A1898, 0))), "")</f>
        <v>0</v>
      </c>
      <c r="K2724" s="4" t="b">
        <f>AND(((F2724)=TRUE), ((J2724)=TRUE))</f>
        <v>0</v>
      </c>
      <c r="L2724" s="4" t="b">
        <f>AND(((G2724 &lt;&gt; "plain")=TRUE), ((G2724 &lt;&gt; "")=TRUE))</f>
        <v>0</v>
      </c>
      <c r="M2724" s="4" t="str">
        <f>IF(((E2724)=TRUE),  C2724 &amp; "|" &amp; H2724,  "")</f>
        <v>principal-knowledge-authority|ProcedureVersions</v>
      </c>
      <c r="N2724" s="3" t="s">
        <v>10004</v>
      </c>
    </row>
    <row r="2725">
      <c r="A2725" s="3" t="s">
        <v>12727</v>
      </c>
      <c r="B2725" s="4" t="str">
        <f>C2725 &amp; " -&gt; " &amp; D2725</f>
        <v>principal-knowledge-authority -&gt; ProcedureVersions.Status</v>
      </c>
      <c r="C2725" s="3" t="s">
        <v>9774</v>
      </c>
      <c r="D2725" s="3" t="s">
        <v>2697</v>
      </c>
      <c r="E2725" s="3" t="b">
        <v>1</v>
      </c>
      <c r="F2725" s="3" t="b">
        <v>0</v>
      </c>
      <c r="G2725" s="3" t="s">
        <v>10003</v>
      </c>
      <c r="H2725" s="4" t="str">
        <f>_xlfn.IFNA(IF(((INDEX(RulebookFields!C2:C1898, MATCH(D2725,RulebookFields!A2:A1898, 0))="")=TRUE),  "",  INDEX(RulebookFields!C2:C1898, MATCH(D2725,RulebookFields!A2:A1898, 0))), "")</f>
        <v>ProcedureVersions</v>
      </c>
      <c r="I2725" s="4" t="str">
        <f>_xlfn.IFNA(IF(((INDEX(RulebookFields!D2:D1898, MATCH(D2725,RulebookFields!A2:A1898, 0))="")=TRUE),  "",  INDEX(RulebookFields!D2:D1898, MATCH(D2725,RulebookFields!A2:A1898, 0))), "")</f>
        <v>Status</v>
      </c>
      <c r="J2725" s="4" t="b">
        <f>_xlfn.IFNA(IF(((INDEX(RulebookFields!I2:I1898, MATCH(D2725,RulebookFields!A2:A1898, 0))="")=TRUE),  "",  INDEX(RulebookFields!I2:I1898, MATCH(D2725,RulebookFields!A2:A1898, 0))), "")</f>
        <v>0</v>
      </c>
      <c r="K2725" s="4" t="b">
        <f>AND(((F2725)=TRUE), ((J2725)=TRUE))</f>
        <v>0</v>
      </c>
      <c r="L2725" s="4" t="b">
        <f>AND(((G2725 &lt;&gt; "plain")=TRUE), ((G2725 &lt;&gt; "")=TRUE))</f>
        <v>0</v>
      </c>
      <c r="M2725" s="4" t="str">
        <f>IF(((E2725)=TRUE),  C2725 &amp; "|" &amp; H2725,  "")</f>
        <v>principal-knowledge-authority|ProcedureVersions</v>
      </c>
      <c r="N2725" s="3" t="s">
        <v>10004</v>
      </c>
    </row>
    <row r="2726">
      <c r="A2726" s="3" t="s">
        <v>12728</v>
      </c>
      <c r="B2726" s="4" t="str">
        <f>C2726 &amp; " -&gt; " &amp; D2726</f>
        <v>principal-knowledge-authority -&gt; ProcedureVersions.IssuedAt</v>
      </c>
      <c r="C2726" s="3" t="s">
        <v>9774</v>
      </c>
      <c r="D2726" s="3" t="s">
        <v>2698</v>
      </c>
      <c r="E2726" s="3" t="b">
        <v>1</v>
      </c>
      <c r="F2726" s="3" t="b">
        <v>0</v>
      </c>
      <c r="G2726" s="3" t="s">
        <v>10003</v>
      </c>
      <c r="H2726" s="4" t="str">
        <f>_xlfn.IFNA(IF(((INDEX(RulebookFields!C2:C1898, MATCH(D2726,RulebookFields!A2:A1898, 0))="")=TRUE),  "",  INDEX(RulebookFields!C2:C1898, MATCH(D2726,RulebookFields!A2:A1898, 0))), "")</f>
        <v>ProcedureVersions</v>
      </c>
      <c r="I2726" s="4" t="str">
        <f>_xlfn.IFNA(IF(((INDEX(RulebookFields!D2:D1898, MATCH(D2726,RulebookFields!A2:A1898, 0))="")=TRUE),  "",  INDEX(RulebookFields!D2:D1898, MATCH(D2726,RulebookFields!A2:A1898, 0))), "")</f>
        <v>IssuedAt</v>
      </c>
      <c r="J2726" s="4" t="b">
        <f>_xlfn.IFNA(IF(((INDEX(RulebookFields!I2:I1898, MATCH(D2726,RulebookFields!A2:A1898, 0))="")=TRUE),  "",  INDEX(RulebookFields!I2:I1898, MATCH(D2726,RulebookFields!A2:A1898, 0))), "")</f>
        <v>0</v>
      </c>
      <c r="K2726" s="4" t="b">
        <f>AND(((F2726)=TRUE), ((J2726)=TRUE))</f>
        <v>0</v>
      </c>
      <c r="L2726" s="4" t="b">
        <f>AND(((G2726 &lt;&gt; "plain")=TRUE), ((G2726 &lt;&gt; "")=TRUE))</f>
        <v>0</v>
      </c>
      <c r="M2726" s="4" t="str">
        <f>IF(((E2726)=TRUE),  C2726 &amp; "|" &amp; H2726,  "")</f>
        <v>principal-knowledge-authority|ProcedureVersions</v>
      </c>
      <c r="N2726" s="3" t="s">
        <v>10004</v>
      </c>
    </row>
    <row r="2727">
      <c r="A2727" s="3" t="s">
        <v>12729</v>
      </c>
      <c r="B2727" s="4" t="str">
        <f>C2727 &amp; " -&gt; " &amp; D2727</f>
        <v>principal-knowledge-authority -&gt; ProcedureVersions.ModifiedAt</v>
      </c>
      <c r="C2727" s="3" t="s">
        <v>9774</v>
      </c>
      <c r="D2727" s="3" t="s">
        <v>2699</v>
      </c>
      <c r="E2727" s="3" t="b">
        <v>1</v>
      </c>
      <c r="F2727" s="3" t="b">
        <v>0</v>
      </c>
      <c r="G2727" s="3" t="s">
        <v>10003</v>
      </c>
      <c r="H2727" s="4" t="str">
        <f>_xlfn.IFNA(IF(((INDEX(RulebookFields!C2:C1898, MATCH(D2727,RulebookFields!A2:A1898, 0))="")=TRUE),  "",  INDEX(RulebookFields!C2:C1898, MATCH(D2727,RulebookFields!A2:A1898, 0))), "")</f>
        <v>ProcedureVersions</v>
      </c>
      <c r="I2727" s="4" t="str">
        <f>_xlfn.IFNA(IF(((INDEX(RulebookFields!D2:D1898, MATCH(D2727,RulebookFields!A2:A1898, 0))="")=TRUE),  "",  INDEX(RulebookFields!D2:D1898, MATCH(D2727,RulebookFields!A2:A1898, 0))), "")</f>
        <v>ModifiedAt</v>
      </c>
      <c r="J2727" s="4" t="b">
        <f>_xlfn.IFNA(IF(((INDEX(RulebookFields!I2:I1898, MATCH(D2727,RulebookFields!A2:A1898, 0))="")=TRUE),  "",  INDEX(RulebookFields!I2:I1898, MATCH(D2727,RulebookFields!A2:A1898, 0))), "")</f>
        <v>0</v>
      </c>
      <c r="K2727" s="4" t="b">
        <f>AND(((F2727)=TRUE), ((J2727)=TRUE))</f>
        <v>0</v>
      </c>
      <c r="L2727" s="4" t="b">
        <f>AND(((G2727 &lt;&gt; "plain")=TRUE), ((G2727 &lt;&gt; "")=TRUE))</f>
        <v>0</v>
      </c>
      <c r="M2727" s="4" t="str">
        <f>IF(((E2727)=TRUE),  C2727 &amp; "|" &amp; H2727,  "")</f>
        <v>principal-knowledge-authority|ProcedureVersions</v>
      </c>
      <c r="N2727" s="3" t="s">
        <v>10004</v>
      </c>
    </row>
    <row r="2728">
      <c r="A2728" s="3" t="s">
        <v>12730</v>
      </c>
      <c r="B2728" s="4" t="str">
        <f>C2728 &amp; " -&gt; " &amp; D2728</f>
        <v>principal-knowledge-authority -&gt; ProcedureVersions.CreatedByAgent</v>
      </c>
      <c r="C2728" s="3" t="s">
        <v>9774</v>
      </c>
      <c r="D2728" s="3" t="s">
        <v>2700</v>
      </c>
      <c r="E2728" s="3" t="b">
        <v>1</v>
      </c>
      <c r="F2728" s="3" t="b">
        <v>0</v>
      </c>
      <c r="G2728" s="3" t="s">
        <v>10003</v>
      </c>
      <c r="H2728" s="4" t="str">
        <f>_xlfn.IFNA(IF(((INDEX(RulebookFields!C2:C1898, MATCH(D2728,RulebookFields!A2:A1898, 0))="")=TRUE),  "",  INDEX(RulebookFields!C2:C1898, MATCH(D2728,RulebookFields!A2:A1898, 0))), "")</f>
        <v>ProcedureVersions</v>
      </c>
      <c r="I2728" s="4" t="str">
        <f>_xlfn.IFNA(IF(((INDEX(RulebookFields!D2:D1898, MATCH(D2728,RulebookFields!A2:A1898, 0))="")=TRUE),  "",  INDEX(RulebookFields!D2:D1898, MATCH(D2728,RulebookFields!A2:A1898, 0))), "")</f>
        <v>CreatedByAgent</v>
      </c>
      <c r="J2728" s="4" t="b">
        <f>_xlfn.IFNA(IF(((INDEX(RulebookFields!I2:I1898, MATCH(D2728,RulebookFields!A2:A1898, 0))="")=TRUE),  "",  INDEX(RulebookFields!I2:I1898, MATCH(D2728,RulebookFields!A2:A1898, 0))), "")</f>
        <v>0</v>
      </c>
      <c r="K2728" s="4" t="b">
        <f>AND(((F2728)=TRUE), ((J2728)=TRUE))</f>
        <v>0</v>
      </c>
      <c r="L2728" s="4" t="b">
        <f>AND(((G2728 &lt;&gt; "plain")=TRUE), ((G2728 &lt;&gt; "")=TRUE))</f>
        <v>0</v>
      </c>
      <c r="M2728" s="4" t="str">
        <f>IF(((E2728)=TRUE),  C2728 &amp; "|" &amp; H2728,  "")</f>
        <v>principal-knowledge-authority|ProcedureVersions</v>
      </c>
      <c r="N2728" s="3" t="s">
        <v>10004</v>
      </c>
    </row>
    <row r="2729">
      <c r="A2729" s="3" t="s">
        <v>12731</v>
      </c>
      <c r="B2729" s="4" t="str">
        <f>C2729 &amp; " -&gt; " &amp; D2729</f>
        <v>principal-knowledge-authority -&gt; ProcedureVersions.ModifiedByAgent</v>
      </c>
      <c r="C2729" s="3" t="s">
        <v>9774</v>
      </c>
      <c r="D2729" s="3" t="s">
        <v>2701</v>
      </c>
      <c r="E2729" s="3" t="b">
        <v>1</v>
      </c>
      <c r="F2729" s="3" t="b">
        <v>0</v>
      </c>
      <c r="G2729" s="3" t="s">
        <v>10003</v>
      </c>
      <c r="H2729" s="4" t="str">
        <f>_xlfn.IFNA(IF(((INDEX(RulebookFields!C2:C1898, MATCH(D2729,RulebookFields!A2:A1898, 0))="")=TRUE),  "",  INDEX(RulebookFields!C2:C1898, MATCH(D2729,RulebookFields!A2:A1898, 0))), "")</f>
        <v>ProcedureVersions</v>
      </c>
      <c r="I2729" s="4" t="str">
        <f>_xlfn.IFNA(IF(((INDEX(RulebookFields!D2:D1898, MATCH(D2729,RulebookFields!A2:A1898, 0))="")=TRUE),  "",  INDEX(RulebookFields!D2:D1898, MATCH(D2729,RulebookFields!A2:A1898, 0))), "")</f>
        <v>ModifiedByAgent</v>
      </c>
      <c r="J2729" s="4" t="b">
        <f>_xlfn.IFNA(IF(((INDEX(RulebookFields!I2:I1898, MATCH(D2729,RulebookFields!A2:A1898, 0))="")=TRUE),  "",  INDEX(RulebookFields!I2:I1898, MATCH(D2729,RulebookFields!A2:A1898, 0))), "")</f>
        <v>0</v>
      </c>
      <c r="K2729" s="4" t="b">
        <f>AND(((F2729)=TRUE), ((J2729)=TRUE))</f>
        <v>0</v>
      </c>
      <c r="L2729" s="4" t="b">
        <f>AND(((G2729 &lt;&gt; "plain")=TRUE), ((G2729 &lt;&gt; "")=TRUE))</f>
        <v>0</v>
      </c>
      <c r="M2729" s="4" t="str">
        <f>IF(((E2729)=TRUE),  C2729 &amp; "|" &amp; H2729,  "")</f>
        <v>principal-knowledge-authority|ProcedureVersions</v>
      </c>
      <c r="N2729" s="3" t="s">
        <v>10004</v>
      </c>
    </row>
    <row r="2730">
      <c r="A2730" s="3" t="s">
        <v>12732</v>
      </c>
      <c r="B2730" s="4" t="str">
        <f>C2730 &amp; " -&gt; " &amp; D2730</f>
        <v>principal-knowledge-authority -&gt; ProcedureVersions.NewVersionMotivation</v>
      </c>
      <c r="C2730" s="3" t="s">
        <v>9774</v>
      </c>
      <c r="D2730" s="3" t="s">
        <v>2702</v>
      </c>
      <c r="E2730" s="3" t="b">
        <v>1</v>
      </c>
      <c r="F2730" s="3" t="b">
        <v>0</v>
      </c>
      <c r="G2730" s="3" t="s">
        <v>10003</v>
      </c>
      <c r="H2730" s="4" t="str">
        <f>_xlfn.IFNA(IF(((INDEX(RulebookFields!C2:C1898, MATCH(D2730,RulebookFields!A2:A1898, 0))="")=TRUE),  "",  INDEX(RulebookFields!C2:C1898, MATCH(D2730,RulebookFields!A2:A1898, 0))), "")</f>
        <v>ProcedureVersions</v>
      </c>
      <c r="I2730" s="4" t="str">
        <f>_xlfn.IFNA(IF(((INDEX(RulebookFields!D2:D1898, MATCH(D2730,RulebookFields!A2:A1898, 0))="")=TRUE),  "",  INDEX(RulebookFields!D2:D1898, MATCH(D2730,RulebookFields!A2:A1898, 0))), "")</f>
        <v>NewVersionMotivation</v>
      </c>
      <c r="J2730" s="4" t="b">
        <f>_xlfn.IFNA(IF(((INDEX(RulebookFields!I2:I1898, MATCH(D2730,RulebookFields!A2:A1898, 0))="")=TRUE),  "",  INDEX(RulebookFields!I2:I1898, MATCH(D2730,RulebookFields!A2:A1898, 0))), "")</f>
        <v>0</v>
      </c>
      <c r="K2730" s="4" t="b">
        <f>AND(((F2730)=TRUE), ((J2730)=TRUE))</f>
        <v>0</v>
      </c>
      <c r="L2730" s="4" t="b">
        <f>AND(((G2730 &lt;&gt; "plain")=TRUE), ((G2730 &lt;&gt; "")=TRUE))</f>
        <v>0</v>
      </c>
      <c r="M2730" s="4" t="str">
        <f>IF(((E2730)=TRUE),  C2730 &amp; "|" &amp; H2730,  "")</f>
        <v>principal-knowledge-authority|ProcedureVersions</v>
      </c>
      <c r="N2730" s="3" t="s">
        <v>10004</v>
      </c>
    </row>
    <row r="2731">
      <c r="A2731" s="3" t="s">
        <v>12733</v>
      </c>
      <c r="B2731" s="4" t="str">
        <f>C2731 &amp; " -&gt; " &amp; D2731</f>
        <v>principal-knowledge-authority -&gt; ProcedureVersions.ChangelogDescription</v>
      </c>
      <c r="C2731" s="3" t="s">
        <v>9774</v>
      </c>
      <c r="D2731" s="3" t="s">
        <v>2703</v>
      </c>
      <c r="E2731" s="3" t="b">
        <v>1</v>
      </c>
      <c r="F2731" s="3" t="b">
        <v>0</v>
      </c>
      <c r="G2731" s="3" t="s">
        <v>10003</v>
      </c>
      <c r="H2731" s="4" t="str">
        <f>_xlfn.IFNA(IF(((INDEX(RulebookFields!C2:C1898, MATCH(D2731,RulebookFields!A2:A1898, 0))="")=TRUE),  "",  INDEX(RulebookFields!C2:C1898, MATCH(D2731,RulebookFields!A2:A1898, 0))), "")</f>
        <v>ProcedureVersions</v>
      </c>
      <c r="I2731" s="4" t="str">
        <f>_xlfn.IFNA(IF(((INDEX(RulebookFields!D2:D1898, MATCH(D2731,RulebookFields!A2:A1898, 0))="")=TRUE),  "",  INDEX(RulebookFields!D2:D1898, MATCH(D2731,RulebookFields!A2:A1898, 0))), "")</f>
        <v>ChangelogDescription</v>
      </c>
      <c r="J2731" s="4" t="b">
        <f>_xlfn.IFNA(IF(((INDEX(RulebookFields!I2:I1898, MATCH(D2731,RulebookFields!A2:A1898, 0))="")=TRUE),  "",  INDEX(RulebookFields!I2:I1898, MATCH(D2731,RulebookFields!A2:A1898, 0))), "")</f>
        <v>0</v>
      </c>
      <c r="K2731" s="4" t="b">
        <f>AND(((F2731)=TRUE), ((J2731)=TRUE))</f>
        <v>0</v>
      </c>
      <c r="L2731" s="4" t="b">
        <f>AND(((G2731 &lt;&gt; "plain")=TRUE), ((G2731 &lt;&gt; "")=TRUE))</f>
        <v>0</v>
      </c>
      <c r="M2731" s="4" t="str">
        <f>IF(((E2731)=TRUE),  C2731 &amp; "|" &amp; H2731,  "")</f>
        <v>principal-knowledge-authority|ProcedureVersions</v>
      </c>
      <c r="N2731" s="3" t="s">
        <v>10004</v>
      </c>
    </row>
    <row r="2732">
      <c r="A2732" s="3" t="s">
        <v>12734</v>
      </c>
      <c r="B2732" s="4" t="str">
        <f>C2732 &amp; " -&gt; " &amp; D2732</f>
        <v>principal-knowledge-authority -&gt; ProcedureVersions.IsCurrent</v>
      </c>
      <c r="C2732" s="3" t="s">
        <v>9774</v>
      </c>
      <c r="D2732" s="3" t="s">
        <v>2704</v>
      </c>
      <c r="E2732" s="3" t="b">
        <v>1</v>
      </c>
      <c r="F2732" s="3" t="b">
        <v>0</v>
      </c>
      <c r="G2732" s="3" t="s">
        <v>10003</v>
      </c>
      <c r="H2732" s="4" t="str">
        <f>_xlfn.IFNA(IF(((INDEX(RulebookFields!C2:C1898, MATCH(D2732,RulebookFields!A2:A1898, 0))="")=TRUE),  "",  INDEX(RulebookFields!C2:C1898, MATCH(D2732,RulebookFields!A2:A1898, 0))), "")</f>
        <v>ProcedureVersions</v>
      </c>
      <c r="I2732" s="4" t="str">
        <f>_xlfn.IFNA(IF(((INDEX(RulebookFields!D2:D1898, MATCH(D2732,RulebookFields!A2:A1898, 0))="")=TRUE),  "",  INDEX(RulebookFields!D2:D1898, MATCH(D2732,RulebookFields!A2:A1898, 0))), "")</f>
        <v>IsCurrent</v>
      </c>
      <c r="J2732" s="4" t="b">
        <f>_xlfn.IFNA(IF(((INDEX(RulebookFields!I2:I1898, MATCH(D2732,RulebookFields!A2:A1898, 0))="")=TRUE),  "",  INDEX(RulebookFields!I2:I1898, MATCH(D2732,RulebookFields!A2:A1898, 0))), "")</f>
        <v>0</v>
      </c>
      <c r="K2732" s="4" t="b">
        <f>AND(((F2732)=TRUE), ((J2732)=TRUE))</f>
        <v>0</v>
      </c>
      <c r="L2732" s="4" t="b">
        <f>AND(((G2732 &lt;&gt; "plain")=TRUE), ((G2732 &lt;&gt; "")=TRUE))</f>
        <v>0</v>
      </c>
      <c r="M2732" s="4" t="str">
        <f>IF(((E2732)=TRUE),  C2732 &amp; "|" &amp; H2732,  "")</f>
        <v>principal-knowledge-authority|ProcedureVersions</v>
      </c>
      <c r="N2732" s="3" t="s">
        <v>10004</v>
      </c>
    </row>
    <row r="2733">
      <c r="A2733" s="3" t="s">
        <v>12735</v>
      </c>
      <c r="B2733" s="4" t="str">
        <f>C2733 &amp; " -&gt; " &amp; D2733</f>
        <v>principal-knowledge-authority -&gt; ProcedureVersions.CountOfSteps</v>
      </c>
      <c r="C2733" s="3" t="s">
        <v>9774</v>
      </c>
      <c r="D2733" s="3" t="s">
        <v>2705</v>
      </c>
      <c r="E2733" s="3" t="b">
        <v>1</v>
      </c>
      <c r="F2733" s="3" t="b">
        <v>0</v>
      </c>
      <c r="G2733" s="3" t="s">
        <v>10003</v>
      </c>
      <c r="H2733" s="4" t="str">
        <f>_xlfn.IFNA(IF(((INDEX(RulebookFields!C2:C1898, MATCH(D2733,RulebookFields!A2:A1898, 0))="")=TRUE),  "",  INDEX(RulebookFields!C2:C1898, MATCH(D2733,RulebookFields!A2:A1898, 0))), "")</f>
        <v>ProcedureVersions</v>
      </c>
      <c r="I2733" s="4" t="str">
        <f>_xlfn.IFNA(IF(((INDEX(RulebookFields!D2:D1898, MATCH(D2733,RulebookFields!A2:A1898, 0))="")=TRUE),  "",  INDEX(RulebookFields!D2:D1898, MATCH(D2733,RulebookFields!A2:A1898, 0))), "")</f>
        <v>CountOfSteps</v>
      </c>
      <c r="J2733" s="4" t="b">
        <f>_xlfn.IFNA(IF(((INDEX(RulebookFields!I2:I1898, MATCH(D2733,RulebookFields!A2:A1898, 0))="")=TRUE),  "",  INDEX(RulebookFields!I2:I1898, MATCH(D2733,RulebookFields!A2:A1898, 0))), "")</f>
        <v>1</v>
      </c>
      <c r="K2733" s="4" t="b">
        <f>AND(((F2733)=TRUE), ((J2733)=TRUE))</f>
        <v>0</v>
      </c>
      <c r="L2733" s="4" t="b">
        <f>AND(((G2733 &lt;&gt; "plain")=TRUE), ((G2733 &lt;&gt; "")=TRUE))</f>
        <v>0</v>
      </c>
      <c r="M2733" s="4" t="str">
        <f>IF(((E2733)=TRUE),  C2733 &amp; "|" &amp; H2733,  "")</f>
        <v>principal-knowledge-authority|ProcedureVersions</v>
      </c>
      <c r="N2733" s="3" t="s">
        <v>10004</v>
      </c>
    </row>
    <row r="2734">
      <c r="A2734" s="3" t="s">
        <v>12736</v>
      </c>
      <c r="B2734" s="4" t="str">
        <f>C2734 &amp; " -&gt; " &amp; D2734</f>
        <v>principal-knowledge-authority -&gt; ProcedureVersions.CountOfOpenKnowledgeGaps</v>
      </c>
      <c r="C2734" s="3" t="s">
        <v>9774</v>
      </c>
      <c r="D2734" s="3" t="s">
        <v>2707</v>
      </c>
      <c r="E2734" s="3" t="b">
        <v>1</v>
      </c>
      <c r="F2734" s="3" t="b">
        <v>0</v>
      </c>
      <c r="G2734" s="3" t="s">
        <v>10003</v>
      </c>
      <c r="H2734" s="4" t="str">
        <f>_xlfn.IFNA(IF(((INDEX(RulebookFields!C2:C1898, MATCH(D2734,RulebookFields!A2:A1898, 0))="")=TRUE),  "",  INDEX(RulebookFields!C2:C1898, MATCH(D2734,RulebookFields!A2:A1898, 0))), "")</f>
        <v>ProcedureVersions</v>
      </c>
      <c r="I2734" s="4" t="str">
        <f>_xlfn.IFNA(IF(((INDEX(RulebookFields!D2:D1898, MATCH(D2734,RulebookFields!A2:A1898, 0))="")=TRUE),  "",  INDEX(RulebookFields!D2:D1898, MATCH(D2734,RulebookFields!A2:A1898, 0))), "")</f>
        <v>CountOfOpenKnowledgeGaps</v>
      </c>
      <c r="J2734" s="4" t="b">
        <f>_xlfn.IFNA(IF(((INDEX(RulebookFields!I2:I1898, MATCH(D2734,RulebookFields!A2:A1898, 0))="")=TRUE),  "",  INDEX(RulebookFields!I2:I1898, MATCH(D2734,RulebookFields!A2:A1898, 0))), "")</f>
        <v>1</v>
      </c>
      <c r="K2734" s="4" t="b">
        <f>AND(((F2734)=TRUE), ((J2734)=TRUE))</f>
        <v>0</v>
      </c>
      <c r="L2734" s="4" t="b">
        <f>AND(((G2734 &lt;&gt; "plain")=TRUE), ((G2734 &lt;&gt; "")=TRUE))</f>
        <v>0</v>
      </c>
      <c r="M2734" s="4" t="str">
        <f>IF(((E2734)=TRUE),  C2734 &amp; "|" &amp; H2734,  "")</f>
        <v>principal-knowledge-authority|ProcedureVersions</v>
      </c>
      <c r="N2734" s="3" t="s">
        <v>10004</v>
      </c>
    </row>
    <row r="2735">
      <c r="A2735" s="3" t="s">
        <v>12737</v>
      </c>
      <c r="B2735" s="4" t="str">
        <f>C2735 &amp; " -&gt; " &amp; D2735</f>
        <v>principal-knowledge-authority -&gt; ProcedureVersions.IsReadyForExecution</v>
      </c>
      <c r="C2735" s="3" t="s">
        <v>9774</v>
      </c>
      <c r="D2735" s="3" t="s">
        <v>2709</v>
      </c>
      <c r="E2735" s="3" t="b">
        <v>1</v>
      </c>
      <c r="F2735" s="3" t="b">
        <v>0</v>
      </c>
      <c r="G2735" s="3" t="s">
        <v>10003</v>
      </c>
      <c r="H2735" s="4" t="str">
        <f>_xlfn.IFNA(IF(((INDEX(RulebookFields!C2:C1898, MATCH(D2735,RulebookFields!A2:A1898, 0))="")=TRUE),  "",  INDEX(RulebookFields!C2:C1898, MATCH(D2735,RulebookFields!A2:A1898, 0))), "")</f>
        <v>ProcedureVersions</v>
      </c>
      <c r="I2735" s="4" t="str">
        <f>_xlfn.IFNA(IF(((INDEX(RulebookFields!D2:D1898, MATCH(D2735,RulebookFields!A2:A1898, 0))="")=TRUE),  "",  INDEX(RulebookFields!D2:D1898, MATCH(D2735,RulebookFields!A2:A1898, 0))), "")</f>
        <v>IsReadyForExecution</v>
      </c>
      <c r="J2735" s="4" t="b">
        <f>_xlfn.IFNA(IF(((INDEX(RulebookFields!I2:I1898, MATCH(D2735,RulebookFields!A2:A1898, 0))="")=TRUE),  "",  INDEX(RulebookFields!I2:I1898, MATCH(D2735,RulebookFields!A2:A1898, 0))), "")</f>
        <v>1</v>
      </c>
      <c r="K2735" s="4" t="b">
        <f>AND(((F2735)=TRUE), ((J2735)=TRUE))</f>
        <v>0</v>
      </c>
      <c r="L2735" s="4" t="b">
        <f>AND(((G2735 &lt;&gt; "plain")=TRUE), ((G2735 &lt;&gt; "")=TRUE))</f>
        <v>0</v>
      </c>
      <c r="M2735" s="4" t="str">
        <f>IF(((E2735)=TRUE),  C2735 &amp; "|" &amp; H2735,  "")</f>
        <v>principal-knowledge-authority|ProcedureVersions</v>
      </c>
      <c r="N2735" s="3" t="s">
        <v>10004</v>
      </c>
    </row>
    <row r="2736">
      <c r="A2736" s="3" t="s">
        <v>12738</v>
      </c>
      <c r="B2736" s="4" t="str">
        <f>C2736 &amp; " -&gt; " &amp; D2736</f>
        <v>principal-knowledge-authority -&gt; ProcedureVersions.SpecifiedStepCount</v>
      </c>
      <c r="C2736" s="3" t="s">
        <v>9774</v>
      </c>
      <c r="D2736" s="3" t="s">
        <v>2711</v>
      </c>
      <c r="E2736" s="3" t="b">
        <v>1</v>
      </c>
      <c r="F2736" s="3" t="b">
        <v>0</v>
      </c>
      <c r="G2736" s="3" t="s">
        <v>10003</v>
      </c>
      <c r="H2736" s="4" t="str">
        <f>_xlfn.IFNA(IF(((INDEX(RulebookFields!C2:C1898, MATCH(D2736,RulebookFields!A2:A1898, 0))="")=TRUE),  "",  INDEX(RulebookFields!C2:C1898, MATCH(D2736,RulebookFields!A2:A1898, 0))), "")</f>
        <v>ProcedureVersions</v>
      </c>
      <c r="I2736" s="4" t="str">
        <f>_xlfn.IFNA(IF(((INDEX(RulebookFields!D2:D1898, MATCH(D2736,RulebookFields!A2:A1898, 0))="")=TRUE),  "",  INDEX(RulebookFields!D2:D1898, MATCH(D2736,RulebookFields!A2:A1898, 0))), "")</f>
        <v>SpecifiedStepCount</v>
      </c>
      <c r="J2736" s="4" t="b">
        <f>_xlfn.IFNA(IF(((INDEX(RulebookFields!I2:I1898, MATCH(D2736,RulebookFields!A2:A1898, 0))="")=TRUE),  "",  INDEX(RulebookFields!I2:I1898, MATCH(D2736,RulebookFields!A2:A1898, 0))), "")</f>
        <v>1</v>
      </c>
      <c r="K2736" s="4" t="b">
        <f>AND(((F2736)=TRUE), ((J2736)=TRUE))</f>
        <v>0</v>
      </c>
      <c r="L2736" s="4" t="b">
        <f>AND(((G2736 &lt;&gt; "plain")=TRUE), ((G2736 &lt;&gt; "")=TRUE))</f>
        <v>0</v>
      </c>
      <c r="M2736" s="4" t="str">
        <f>IF(((E2736)=TRUE),  C2736 &amp; "|" &amp; H2736,  "")</f>
        <v>principal-knowledge-authority|ProcedureVersions</v>
      </c>
      <c r="N2736" s="3" t="s">
        <v>10004</v>
      </c>
    </row>
    <row r="2737">
      <c r="A2737" s="3" t="s">
        <v>12739</v>
      </c>
      <c r="B2737" s="4" t="str">
        <f>C2737 &amp; " -&gt; " &amp; D2737</f>
        <v>principal-knowledge-authority -&gt; ProcedureVersions.OverdueReviewCount</v>
      </c>
      <c r="C2737" s="3" t="s">
        <v>9774</v>
      </c>
      <c r="D2737" s="3" t="s">
        <v>2713</v>
      </c>
      <c r="E2737" s="3" t="b">
        <v>1</v>
      </c>
      <c r="F2737" s="3" t="b">
        <v>0</v>
      </c>
      <c r="G2737" s="3" t="s">
        <v>10003</v>
      </c>
      <c r="H2737" s="4" t="str">
        <f>_xlfn.IFNA(IF(((INDEX(RulebookFields!C2:C1898, MATCH(D2737,RulebookFields!A2:A1898, 0))="")=TRUE),  "",  INDEX(RulebookFields!C2:C1898, MATCH(D2737,RulebookFields!A2:A1898, 0))), "")</f>
        <v>ProcedureVersions</v>
      </c>
      <c r="I2737" s="4" t="str">
        <f>_xlfn.IFNA(IF(((INDEX(RulebookFields!D2:D1898, MATCH(D2737,RulebookFields!A2:A1898, 0))="")=TRUE),  "",  INDEX(RulebookFields!D2:D1898, MATCH(D2737,RulebookFields!A2:A1898, 0))), "")</f>
        <v>OverdueReviewCount</v>
      </c>
      <c r="J2737" s="4" t="b">
        <f>_xlfn.IFNA(IF(((INDEX(RulebookFields!I2:I1898, MATCH(D2737,RulebookFields!A2:A1898, 0))="")=TRUE),  "",  INDEX(RulebookFields!I2:I1898, MATCH(D2737,RulebookFields!A2:A1898, 0))), "")</f>
        <v>1</v>
      </c>
      <c r="K2737" s="4" t="b">
        <f>AND(((F2737)=TRUE), ((J2737)=TRUE))</f>
        <v>0</v>
      </c>
      <c r="L2737" s="4" t="b">
        <f>AND(((G2737 &lt;&gt; "plain")=TRUE), ((G2737 &lt;&gt; "")=TRUE))</f>
        <v>0</v>
      </c>
      <c r="M2737" s="4" t="str">
        <f>IF(((E2737)=TRUE),  C2737 &amp; "|" &amp; H2737,  "")</f>
        <v>principal-knowledge-authority|ProcedureVersions</v>
      </c>
      <c r="N2737" s="3" t="s">
        <v>10004</v>
      </c>
    </row>
    <row r="2738">
      <c r="A2738" s="3" t="s">
        <v>12740</v>
      </c>
      <c r="B2738" s="4" t="str">
        <f>C2738 &amp; " -&gt; " &amp; D2738</f>
        <v>principal-knowledge-authority -&gt; ProcedureVersions.OpenChangeRequestCount</v>
      </c>
      <c r="C2738" s="3" t="s">
        <v>9774</v>
      </c>
      <c r="D2738" s="3" t="s">
        <v>2715</v>
      </c>
      <c r="E2738" s="3" t="b">
        <v>1</v>
      </c>
      <c r="F2738" s="3" t="b">
        <v>0</v>
      </c>
      <c r="G2738" s="3" t="s">
        <v>10003</v>
      </c>
      <c r="H2738" s="4" t="str">
        <f>_xlfn.IFNA(IF(((INDEX(RulebookFields!C2:C1898, MATCH(D2738,RulebookFields!A2:A1898, 0))="")=TRUE),  "",  INDEX(RulebookFields!C2:C1898, MATCH(D2738,RulebookFields!A2:A1898, 0))), "")</f>
        <v>ProcedureVersions</v>
      </c>
      <c r="I2738" s="4" t="str">
        <f>_xlfn.IFNA(IF(((INDEX(RulebookFields!D2:D1898, MATCH(D2738,RulebookFields!A2:A1898, 0))="")=TRUE),  "",  INDEX(RulebookFields!D2:D1898, MATCH(D2738,RulebookFields!A2:A1898, 0))), "")</f>
        <v>OpenChangeRequestCount</v>
      </c>
      <c r="J2738" s="4" t="b">
        <f>_xlfn.IFNA(IF(((INDEX(RulebookFields!I2:I1898, MATCH(D2738,RulebookFields!A2:A1898, 0))="")=TRUE),  "",  INDEX(RulebookFields!I2:I1898, MATCH(D2738,RulebookFields!A2:A1898, 0))), "")</f>
        <v>1</v>
      </c>
      <c r="K2738" s="4" t="b">
        <f>AND(((F2738)=TRUE), ((J2738)=TRUE))</f>
        <v>0</v>
      </c>
      <c r="L2738" s="4" t="b">
        <f>AND(((G2738 &lt;&gt; "plain")=TRUE), ((G2738 &lt;&gt; "")=TRUE))</f>
        <v>0</v>
      </c>
      <c r="M2738" s="4" t="str">
        <f>IF(((E2738)=TRUE),  C2738 &amp; "|" &amp; H2738,  "")</f>
        <v>principal-knowledge-authority|ProcedureVersions</v>
      </c>
      <c r="N2738" s="3" t="s">
        <v>10004</v>
      </c>
    </row>
    <row r="2739">
      <c r="A2739" s="3" t="s">
        <v>12741</v>
      </c>
      <c r="B2739" s="4" t="str">
        <f>C2739 &amp; " -&gt; " &amp; D2739</f>
        <v>principal-knowledge-authority -&gt; ProcedureVersions.OpenHighSeverityGapCount</v>
      </c>
      <c r="C2739" s="3" t="s">
        <v>9774</v>
      </c>
      <c r="D2739" s="3" t="s">
        <v>2717</v>
      </c>
      <c r="E2739" s="3" t="b">
        <v>1</v>
      </c>
      <c r="F2739" s="3" t="b">
        <v>0</v>
      </c>
      <c r="G2739" s="3" t="s">
        <v>10003</v>
      </c>
      <c r="H2739" s="4" t="str">
        <f>_xlfn.IFNA(IF(((INDEX(RulebookFields!C2:C1898, MATCH(D2739,RulebookFields!A2:A1898, 0))="")=TRUE),  "",  INDEX(RulebookFields!C2:C1898, MATCH(D2739,RulebookFields!A2:A1898, 0))), "")</f>
        <v>ProcedureVersions</v>
      </c>
      <c r="I2739" s="4" t="str">
        <f>_xlfn.IFNA(IF(((INDEX(RulebookFields!D2:D1898, MATCH(D2739,RulebookFields!A2:A1898, 0))="")=TRUE),  "",  INDEX(RulebookFields!D2:D1898, MATCH(D2739,RulebookFields!A2:A1898, 0))), "")</f>
        <v>OpenHighSeverityGapCount</v>
      </c>
      <c r="J2739" s="4" t="b">
        <f>_xlfn.IFNA(IF(((INDEX(RulebookFields!I2:I1898, MATCH(D2739,RulebookFields!A2:A1898, 0))="")=TRUE),  "",  INDEX(RulebookFields!I2:I1898, MATCH(D2739,RulebookFields!A2:A1898, 0))), "")</f>
        <v>1</v>
      </c>
      <c r="K2739" s="4" t="b">
        <f>AND(((F2739)=TRUE), ((J2739)=TRUE))</f>
        <v>0</v>
      </c>
      <c r="L2739" s="4" t="b">
        <f>AND(((G2739 &lt;&gt; "plain")=TRUE), ((G2739 &lt;&gt; "")=TRUE))</f>
        <v>0</v>
      </c>
      <c r="M2739" s="4" t="str">
        <f>IF(((E2739)=TRUE),  C2739 &amp; "|" &amp; H2739,  "")</f>
        <v>principal-knowledge-authority|ProcedureVersions</v>
      </c>
      <c r="N2739" s="3" t="s">
        <v>10004</v>
      </c>
    </row>
    <row r="2740">
      <c r="A2740" s="3" t="s">
        <v>12742</v>
      </c>
      <c r="B2740" s="4" t="str">
        <f>C2740 &amp; " -&gt; " &amp; D2740</f>
        <v>principal-knowledge-authority -&gt; ProcedureVersions.IsFitToExecute</v>
      </c>
      <c r="C2740" s="3" t="s">
        <v>9774</v>
      </c>
      <c r="D2740" s="3" t="s">
        <v>2719</v>
      </c>
      <c r="E2740" s="3" t="b">
        <v>1</v>
      </c>
      <c r="F2740" s="3" t="b">
        <v>0</v>
      </c>
      <c r="G2740" s="3" t="s">
        <v>10003</v>
      </c>
      <c r="H2740" s="4" t="str">
        <f>_xlfn.IFNA(IF(((INDEX(RulebookFields!C2:C1898, MATCH(D2740,RulebookFields!A2:A1898, 0))="")=TRUE),  "",  INDEX(RulebookFields!C2:C1898, MATCH(D2740,RulebookFields!A2:A1898, 0))), "")</f>
        <v>ProcedureVersions</v>
      </c>
      <c r="I2740" s="4" t="str">
        <f>_xlfn.IFNA(IF(((INDEX(RulebookFields!D2:D1898, MATCH(D2740,RulebookFields!A2:A1898, 0))="")=TRUE),  "",  INDEX(RulebookFields!D2:D1898, MATCH(D2740,RulebookFields!A2:A1898, 0))), "")</f>
        <v>IsFitToExecute</v>
      </c>
      <c r="J2740" s="4" t="b">
        <f>_xlfn.IFNA(IF(((INDEX(RulebookFields!I2:I1898, MATCH(D2740,RulebookFields!A2:A1898, 0))="")=TRUE),  "",  INDEX(RulebookFields!I2:I1898, MATCH(D2740,RulebookFields!A2:A1898, 0))), "")</f>
        <v>1</v>
      </c>
      <c r="K2740" s="4" t="b">
        <f>AND(((F2740)=TRUE), ((J2740)=TRUE))</f>
        <v>0</v>
      </c>
      <c r="L2740" s="4" t="b">
        <f>AND(((G2740 &lt;&gt; "plain")=TRUE), ((G2740 &lt;&gt; "")=TRUE))</f>
        <v>0</v>
      </c>
      <c r="M2740" s="4" t="str">
        <f>IF(((E2740)=TRUE),  C2740 &amp; "|" &amp; H2740,  "")</f>
        <v>principal-knowledge-authority|ProcedureVersions</v>
      </c>
      <c r="N2740" s="3" t="s">
        <v>10004</v>
      </c>
    </row>
    <row r="2741">
      <c r="A2741" s="3" t="s">
        <v>12743</v>
      </c>
      <c r="B2741" s="4" t="str">
        <f>C2741 &amp; " -&gt; " &amp; D2741</f>
        <v>principal-knowledge-authority -&gt; ProcedureVersions.StewardReviewCadenceDays</v>
      </c>
      <c r="C2741" s="3" t="s">
        <v>9774</v>
      </c>
      <c r="D2741" s="3" t="s">
        <v>2721</v>
      </c>
      <c r="E2741" s="3" t="b">
        <v>1</v>
      </c>
      <c r="F2741" s="3" t="b">
        <v>0</v>
      </c>
      <c r="G2741" s="3" t="s">
        <v>10003</v>
      </c>
      <c r="H2741" s="4" t="str">
        <f>_xlfn.IFNA(IF(((INDEX(RulebookFields!C2:C1898, MATCH(D2741,RulebookFields!A2:A1898, 0))="")=TRUE),  "",  INDEX(RulebookFields!C2:C1898, MATCH(D2741,RulebookFields!A2:A1898, 0))), "")</f>
        <v>ProcedureVersions</v>
      </c>
      <c r="I2741" s="4" t="str">
        <f>_xlfn.IFNA(IF(((INDEX(RulebookFields!D2:D1898, MATCH(D2741,RulebookFields!A2:A1898, 0))="")=TRUE),  "",  INDEX(RulebookFields!D2:D1898, MATCH(D2741,RulebookFields!A2:A1898, 0))), "")</f>
        <v>StewardReviewCadenceDays</v>
      </c>
      <c r="J2741" s="4" t="b">
        <f>_xlfn.IFNA(IF(((INDEX(RulebookFields!I2:I1898, MATCH(D2741,RulebookFields!A2:A1898, 0))="")=TRUE),  "",  INDEX(RulebookFields!I2:I1898, MATCH(D2741,RulebookFields!A2:A1898, 0))), "")</f>
        <v>1</v>
      </c>
      <c r="K2741" s="4" t="b">
        <f>AND(((F2741)=TRUE), ((J2741)=TRUE))</f>
        <v>0</v>
      </c>
      <c r="L2741" s="4" t="b">
        <f>AND(((G2741 &lt;&gt; "plain")=TRUE), ((G2741 &lt;&gt; "")=TRUE))</f>
        <v>0</v>
      </c>
      <c r="M2741" s="4" t="str">
        <f>IF(((E2741)=TRUE),  C2741 &amp; "|" &amp; H2741,  "")</f>
        <v>principal-knowledge-authority|ProcedureVersions</v>
      </c>
      <c r="N2741" s="3" t="s">
        <v>10004</v>
      </c>
    </row>
    <row r="2742">
      <c r="A2742" s="3" t="s">
        <v>12744</v>
      </c>
      <c r="B2742" s="4" t="str">
        <f>C2742 &amp; " -&gt; " &amp; D2742</f>
        <v>principal-knowledge-authority -&gt; ProcedureVersions.CountOfStewardshipAssignments</v>
      </c>
      <c r="C2742" s="3" t="s">
        <v>9774</v>
      </c>
      <c r="D2742" s="3" t="s">
        <v>2723</v>
      </c>
      <c r="E2742" s="3" t="b">
        <v>1</v>
      </c>
      <c r="F2742" s="3" t="b">
        <v>0</v>
      </c>
      <c r="G2742" s="3" t="s">
        <v>10003</v>
      </c>
      <c r="H2742" s="4" t="str">
        <f>_xlfn.IFNA(IF(((INDEX(RulebookFields!C2:C1898, MATCH(D2742,RulebookFields!A2:A1898, 0))="")=TRUE),  "",  INDEX(RulebookFields!C2:C1898, MATCH(D2742,RulebookFields!A2:A1898, 0))), "")</f>
        <v>ProcedureVersions</v>
      </c>
      <c r="I2742" s="4" t="str">
        <f>_xlfn.IFNA(IF(((INDEX(RulebookFields!D2:D1898, MATCH(D2742,RulebookFields!A2:A1898, 0))="")=TRUE),  "",  INDEX(RulebookFields!D2:D1898, MATCH(D2742,RulebookFields!A2:A1898, 0))), "")</f>
        <v>CountOfStewardshipAssignments</v>
      </c>
      <c r="J2742" s="4" t="b">
        <f>_xlfn.IFNA(IF(((INDEX(RulebookFields!I2:I1898, MATCH(D2742,RulebookFields!A2:A1898, 0))="")=TRUE),  "",  INDEX(RulebookFields!I2:I1898, MATCH(D2742,RulebookFields!A2:A1898, 0))), "")</f>
        <v>1</v>
      </c>
      <c r="K2742" s="4" t="b">
        <f>AND(((F2742)=TRUE), ((J2742)=TRUE))</f>
        <v>0</v>
      </c>
      <c r="L2742" s="4" t="b">
        <f>AND(((G2742 &lt;&gt; "plain")=TRUE), ((G2742 &lt;&gt; "")=TRUE))</f>
        <v>0</v>
      </c>
      <c r="M2742" s="4" t="str">
        <f>IF(((E2742)=TRUE),  C2742 &amp; "|" &amp; H2742,  "")</f>
        <v>principal-knowledge-authority|ProcedureVersions</v>
      </c>
      <c r="N2742" s="3" t="s">
        <v>10004</v>
      </c>
    </row>
    <row r="2743">
      <c r="A2743" s="3" t="s">
        <v>12745</v>
      </c>
      <c r="B2743" s="4" t="str">
        <f>C2743 &amp; " -&gt; " &amp; D2743</f>
        <v>principal-knowledge-authority -&gt; ProcedureVersions.HasAnySteward</v>
      </c>
      <c r="C2743" s="3" t="s">
        <v>9774</v>
      </c>
      <c r="D2743" s="3" t="s">
        <v>2725</v>
      </c>
      <c r="E2743" s="3" t="b">
        <v>1</v>
      </c>
      <c r="F2743" s="3" t="b">
        <v>0</v>
      </c>
      <c r="G2743" s="3" t="s">
        <v>10003</v>
      </c>
      <c r="H2743" s="4" t="str">
        <f>_xlfn.IFNA(IF(((INDEX(RulebookFields!C2:C1898, MATCH(D2743,RulebookFields!A2:A1898, 0))="")=TRUE),  "",  INDEX(RulebookFields!C2:C1898, MATCH(D2743,RulebookFields!A2:A1898, 0))), "")</f>
        <v>ProcedureVersions</v>
      </c>
      <c r="I2743" s="4" t="str">
        <f>_xlfn.IFNA(IF(((INDEX(RulebookFields!D2:D1898, MATCH(D2743,RulebookFields!A2:A1898, 0))="")=TRUE),  "",  INDEX(RulebookFields!D2:D1898, MATCH(D2743,RulebookFields!A2:A1898, 0))), "")</f>
        <v>HasAnySteward</v>
      </c>
      <c r="J2743" s="4" t="b">
        <f>_xlfn.IFNA(IF(((INDEX(RulebookFields!I2:I1898, MATCH(D2743,RulebookFields!A2:A1898, 0))="")=TRUE),  "",  INDEX(RulebookFields!I2:I1898, MATCH(D2743,RulebookFields!A2:A1898, 0))), "")</f>
        <v>1</v>
      </c>
      <c r="K2743" s="4" t="b">
        <f>AND(((F2743)=TRUE), ((J2743)=TRUE))</f>
        <v>0</v>
      </c>
      <c r="L2743" s="4" t="b">
        <f>AND(((G2743 &lt;&gt; "plain")=TRUE), ((G2743 &lt;&gt; "")=TRUE))</f>
        <v>0</v>
      </c>
      <c r="M2743" s="4" t="str">
        <f>IF(((E2743)=TRUE),  C2743 &amp; "|" &amp; H2743,  "")</f>
        <v>principal-knowledge-authority|ProcedureVersions</v>
      </c>
      <c r="N2743" s="3" t="s">
        <v>10004</v>
      </c>
    </row>
    <row r="2744">
      <c r="A2744" s="3" t="s">
        <v>12746</v>
      </c>
      <c r="B2744" s="4" t="str">
        <f>C2744 &amp; " -&gt; " &amp; D2744</f>
        <v>principal-knowledge-authority -&gt; ProcedureVersions.IsLive</v>
      </c>
      <c r="C2744" s="3" t="s">
        <v>9774</v>
      </c>
      <c r="D2744" s="3" t="s">
        <v>2727</v>
      </c>
      <c r="E2744" s="3" t="b">
        <v>1</v>
      </c>
      <c r="F2744" s="3" t="b">
        <v>0</v>
      </c>
      <c r="G2744" s="3" t="s">
        <v>10003</v>
      </c>
      <c r="H2744" s="4" t="str">
        <f>_xlfn.IFNA(IF(((INDEX(RulebookFields!C2:C1898, MATCH(D2744,RulebookFields!A2:A1898, 0))="")=TRUE),  "",  INDEX(RulebookFields!C2:C1898, MATCH(D2744,RulebookFields!A2:A1898, 0))), "")</f>
        <v>ProcedureVersions</v>
      </c>
      <c r="I2744" s="4" t="str">
        <f>_xlfn.IFNA(IF(((INDEX(RulebookFields!D2:D1898, MATCH(D2744,RulebookFields!A2:A1898, 0))="")=TRUE),  "",  INDEX(RulebookFields!D2:D1898, MATCH(D2744,RulebookFields!A2:A1898, 0))), "")</f>
        <v>IsLive</v>
      </c>
      <c r="J2744" s="4" t="b">
        <f>_xlfn.IFNA(IF(((INDEX(RulebookFields!I2:I1898, MATCH(D2744,RulebookFields!A2:A1898, 0))="")=TRUE),  "",  INDEX(RulebookFields!I2:I1898, MATCH(D2744,RulebookFields!A2:A1898, 0))), "")</f>
        <v>1</v>
      </c>
      <c r="K2744" s="4" t="b">
        <f>AND(((F2744)=TRUE), ((J2744)=TRUE))</f>
        <v>0</v>
      </c>
      <c r="L2744" s="4" t="b">
        <f>AND(((G2744 &lt;&gt; "plain")=TRUE), ((G2744 &lt;&gt; "")=TRUE))</f>
        <v>0</v>
      </c>
      <c r="M2744" s="4" t="str">
        <f>IF(((E2744)=TRUE),  C2744 &amp; "|" &amp; H2744,  "")</f>
        <v>principal-knowledge-authority|ProcedureVersions</v>
      </c>
      <c r="N2744" s="3" t="s">
        <v>10004</v>
      </c>
    </row>
    <row r="2745">
      <c r="A2745" s="3" t="s">
        <v>12747</v>
      </c>
      <c r="B2745" s="4" t="str">
        <f>C2745 &amp; " -&gt; " &amp; D2745</f>
        <v>principal-knowledge-authority -&gt; ProcedureVersions.IsUnstewarded</v>
      </c>
      <c r="C2745" s="3" t="s">
        <v>9774</v>
      </c>
      <c r="D2745" s="3" t="s">
        <v>2729</v>
      </c>
      <c r="E2745" s="3" t="b">
        <v>1</v>
      </c>
      <c r="F2745" s="3" t="b">
        <v>0</v>
      </c>
      <c r="G2745" s="3" t="s">
        <v>10003</v>
      </c>
      <c r="H2745" s="4" t="str">
        <f>_xlfn.IFNA(IF(((INDEX(RulebookFields!C2:C1898, MATCH(D2745,RulebookFields!A2:A1898, 0))="")=TRUE),  "",  INDEX(RulebookFields!C2:C1898, MATCH(D2745,RulebookFields!A2:A1898, 0))), "")</f>
        <v>ProcedureVersions</v>
      </c>
      <c r="I2745" s="4" t="str">
        <f>_xlfn.IFNA(IF(((INDEX(RulebookFields!D2:D1898, MATCH(D2745,RulebookFields!A2:A1898, 0))="")=TRUE),  "",  INDEX(RulebookFields!D2:D1898, MATCH(D2745,RulebookFields!A2:A1898, 0))), "")</f>
        <v>IsUnstewarded</v>
      </c>
      <c r="J2745" s="4" t="b">
        <f>_xlfn.IFNA(IF(((INDEX(RulebookFields!I2:I1898, MATCH(D2745,RulebookFields!A2:A1898, 0))="")=TRUE),  "",  INDEX(RulebookFields!I2:I1898, MATCH(D2745,RulebookFields!A2:A1898, 0))), "")</f>
        <v>1</v>
      </c>
      <c r="K2745" s="4" t="b">
        <f>AND(((F2745)=TRUE), ((J2745)=TRUE))</f>
        <v>0</v>
      </c>
      <c r="L2745" s="4" t="b">
        <f>AND(((G2745 &lt;&gt; "plain")=TRUE), ((G2745 &lt;&gt; "")=TRUE))</f>
        <v>0</v>
      </c>
      <c r="M2745" s="4" t="str">
        <f>IF(((E2745)=TRUE),  C2745 &amp; "|" &amp; H2745,  "")</f>
        <v>principal-knowledge-authority|ProcedureVersions</v>
      </c>
      <c r="N2745" s="3" t="s">
        <v>10004</v>
      </c>
    </row>
    <row r="2746">
      <c r="A2746" s="3" t="s">
        <v>12748</v>
      </c>
      <c r="B2746" s="4" t="str">
        <f>C2746 &amp; " -&gt; " &amp; D2746</f>
        <v>principal-knowledge-authority -&gt; ProcedureVersions.IsLiveAndUnstewarded</v>
      </c>
      <c r="C2746" s="3" t="s">
        <v>9774</v>
      </c>
      <c r="D2746" s="3" t="s">
        <v>2731</v>
      </c>
      <c r="E2746" s="3" t="b">
        <v>1</v>
      </c>
      <c r="F2746" s="3" t="b">
        <v>0</v>
      </c>
      <c r="G2746" s="3" t="s">
        <v>10003</v>
      </c>
      <c r="H2746" s="4" t="str">
        <f>_xlfn.IFNA(IF(((INDEX(RulebookFields!C2:C1898, MATCH(D2746,RulebookFields!A2:A1898, 0))="")=TRUE),  "",  INDEX(RulebookFields!C2:C1898, MATCH(D2746,RulebookFields!A2:A1898, 0))), "")</f>
        <v>ProcedureVersions</v>
      </c>
      <c r="I2746" s="4" t="str">
        <f>_xlfn.IFNA(IF(((INDEX(RulebookFields!D2:D1898, MATCH(D2746,RulebookFields!A2:A1898, 0))="")=TRUE),  "",  INDEX(RulebookFields!D2:D1898, MATCH(D2746,RulebookFields!A2:A1898, 0))), "")</f>
        <v>IsLiveAndUnstewarded</v>
      </c>
      <c r="J2746" s="4" t="b">
        <f>_xlfn.IFNA(IF(((INDEX(RulebookFields!I2:I1898, MATCH(D2746,RulebookFields!A2:A1898, 0))="")=TRUE),  "",  INDEX(RulebookFields!I2:I1898, MATCH(D2746,RulebookFields!A2:A1898, 0))), "")</f>
        <v>1</v>
      </c>
      <c r="K2746" s="4" t="b">
        <f>AND(((F2746)=TRUE), ((J2746)=TRUE))</f>
        <v>0</v>
      </c>
      <c r="L2746" s="4" t="b">
        <f>AND(((G2746 &lt;&gt; "plain")=TRUE), ((G2746 &lt;&gt; "")=TRUE))</f>
        <v>0</v>
      </c>
      <c r="M2746" s="4" t="str">
        <f>IF(((E2746)=TRUE),  C2746 &amp; "|" &amp; H2746,  "")</f>
        <v>principal-knowledge-authority|ProcedureVersions</v>
      </c>
      <c r="N2746" s="3" t="s">
        <v>10004</v>
      </c>
    </row>
    <row r="2747">
      <c r="A2747" s="3" t="s">
        <v>12749</v>
      </c>
      <c r="B2747" s="4" t="str">
        <f>C2747 &amp; " -&gt; " &amp; D2747</f>
        <v>principal-knowledge-authority -&gt; ProcedureVersions.CountOfOpenBlockingGaps</v>
      </c>
      <c r="C2747" s="3" t="s">
        <v>9774</v>
      </c>
      <c r="D2747" s="3" t="s">
        <v>2733</v>
      </c>
      <c r="E2747" s="3" t="b">
        <v>1</v>
      </c>
      <c r="F2747" s="3" t="b">
        <v>0</v>
      </c>
      <c r="G2747" s="3" t="s">
        <v>10003</v>
      </c>
      <c r="H2747" s="4" t="str">
        <f>_xlfn.IFNA(IF(((INDEX(RulebookFields!C2:C1898, MATCH(D2747,RulebookFields!A2:A1898, 0))="")=TRUE),  "",  INDEX(RulebookFields!C2:C1898, MATCH(D2747,RulebookFields!A2:A1898, 0))), "")</f>
        <v>ProcedureVersions</v>
      </c>
      <c r="I2747" s="4" t="str">
        <f>_xlfn.IFNA(IF(((INDEX(RulebookFields!D2:D1898, MATCH(D2747,RulebookFields!A2:A1898, 0))="")=TRUE),  "",  INDEX(RulebookFields!D2:D1898, MATCH(D2747,RulebookFields!A2:A1898, 0))), "")</f>
        <v>CountOfOpenBlockingGaps</v>
      </c>
      <c r="J2747" s="4" t="b">
        <f>_xlfn.IFNA(IF(((INDEX(RulebookFields!I2:I1898, MATCH(D2747,RulebookFields!A2:A1898, 0))="")=TRUE),  "",  INDEX(RulebookFields!I2:I1898, MATCH(D2747,RulebookFields!A2:A1898, 0))), "")</f>
        <v>1</v>
      </c>
      <c r="K2747" s="4" t="b">
        <f>AND(((F2747)=TRUE), ((J2747)=TRUE))</f>
        <v>0</v>
      </c>
      <c r="L2747" s="4" t="b">
        <f>AND(((G2747 &lt;&gt; "plain")=TRUE), ((G2747 &lt;&gt; "")=TRUE))</f>
        <v>0</v>
      </c>
      <c r="M2747" s="4" t="str">
        <f>IF(((E2747)=TRUE),  C2747 &amp; "|" &amp; H2747,  "")</f>
        <v>principal-knowledge-authority|ProcedureVersions</v>
      </c>
      <c r="N2747" s="3" t="s">
        <v>10004</v>
      </c>
    </row>
    <row r="2748">
      <c r="A2748" s="3" t="s">
        <v>12750</v>
      </c>
      <c r="B2748" s="4" t="str">
        <f>C2748 &amp; " -&gt; " &amp; D2748</f>
        <v>principal-knowledge-authority -&gt; ProcedureVersions.HasOpenBlockingGap</v>
      </c>
      <c r="C2748" s="3" t="s">
        <v>9774</v>
      </c>
      <c r="D2748" s="3" t="s">
        <v>2735</v>
      </c>
      <c r="E2748" s="3" t="b">
        <v>1</v>
      </c>
      <c r="F2748" s="3" t="b">
        <v>0</v>
      </c>
      <c r="G2748" s="3" t="s">
        <v>10003</v>
      </c>
      <c r="H2748" s="4" t="str">
        <f>_xlfn.IFNA(IF(((INDEX(RulebookFields!C2:C1898, MATCH(D2748,RulebookFields!A2:A1898, 0))="")=TRUE),  "",  INDEX(RulebookFields!C2:C1898, MATCH(D2748,RulebookFields!A2:A1898, 0))), "")</f>
        <v>ProcedureVersions</v>
      </c>
      <c r="I2748" s="4" t="str">
        <f>_xlfn.IFNA(IF(((INDEX(RulebookFields!D2:D1898, MATCH(D2748,RulebookFields!A2:A1898, 0))="")=TRUE),  "",  INDEX(RulebookFields!D2:D1898, MATCH(D2748,RulebookFields!A2:A1898, 0))), "")</f>
        <v>HasOpenBlockingGap</v>
      </c>
      <c r="J2748" s="4" t="b">
        <f>_xlfn.IFNA(IF(((INDEX(RulebookFields!I2:I1898, MATCH(D2748,RulebookFields!A2:A1898, 0))="")=TRUE),  "",  INDEX(RulebookFields!I2:I1898, MATCH(D2748,RulebookFields!A2:A1898, 0))), "")</f>
        <v>1</v>
      </c>
      <c r="K2748" s="4" t="b">
        <f>AND(((F2748)=TRUE), ((J2748)=TRUE))</f>
        <v>0</v>
      </c>
      <c r="L2748" s="4" t="b">
        <f>AND(((G2748 &lt;&gt; "plain")=TRUE), ((G2748 &lt;&gt; "")=TRUE))</f>
        <v>0</v>
      </c>
      <c r="M2748" s="4" t="str">
        <f>IF(((E2748)=TRUE),  C2748 &amp; "|" &amp; H2748,  "")</f>
        <v>principal-knowledge-authority|ProcedureVersions</v>
      </c>
      <c r="N2748" s="3" t="s">
        <v>10004</v>
      </c>
    </row>
    <row r="2749">
      <c r="A2749" s="3" t="s">
        <v>12751</v>
      </c>
      <c r="B2749" s="4" t="str">
        <f>C2749 &amp; " -&gt; " &amp; D2749</f>
        <v>principal-knowledge-authority -&gt; ProcedureVersions.IsLiveWithBlockingGap</v>
      </c>
      <c r="C2749" s="3" t="s">
        <v>9774</v>
      </c>
      <c r="D2749" s="3" t="s">
        <v>2737</v>
      </c>
      <c r="E2749" s="3" t="b">
        <v>1</v>
      </c>
      <c r="F2749" s="3" t="b">
        <v>0</v>
      </c>
      <c r="G2749" s="3" t="s">
        <v>10003</v>
      </c>
      <c r="H2749" s="4" t="str">
        <f>_xlfn.IFNA(IF(((INDEX(RulebookFields!C2:C1898, MATCH(D2749,RulebookFields!A2:A1898, 0))="")=TRUE),  "",  INDEX(RulebookFields!C2:C1898, MATCH(D2749,RulebookFields!A2:A1898, 0))), "")</f>
        <v>ProcedureVersions</v>
      </c>
      <c r="I2749" s="4" t="str">
        <f>_xlfn.IFNA(IF(((INDEX(RulebookFields!D2:D1898, MATCH(D2749,RulebookFields!A2:A1898, 0))="")=TRUE),  "",  INDEX(RulebookFields!D2:D1898, MATCH(D2749,RulebookFields!A2:A1898, 0))), "")</f>
        <v>IsLiveWithBlockingGap</v>
      </c>
      <c r="J2749" s="4" t="b">
        <f>_xlfn.IFNA(IF(((INDEX(RulebookFields!I2:I1898, MATCH(D2749,RulebookFields!A2:A1898, 0))="")=TRUE),  "",  INDEX(RulebookFields!I2:I1898, MATCH(D2749,RulebookFields!A2:A1898, 0))), "")</f>
        <v>1</v>
      </c>
      <c r="K2749" s="4" t="b">
        <f>AND(((F2749)=TRUE), ((J2749)=TRUE))</f>
        <v>0</v>
      </c>
      <c r="L2749" s="4" t="b">
        <f>AND(((G2749 &lt;&gt; "plain")=TRUE), ((G2749 &lt;&gt; "")=TRUE))</f>
        <v>0</v>
      </c>
      <c r="M2749" s="4" t="str">
        <f>IF(((E2749)=TRUE),  C2749 &amp; "|" &amp; H2749,  "")</f>
        <v>principal-knowledge-authority|ProcedureVersions</v>
      </c>
      <c r="N2749" s="3" t="s">
        <v>10004</v>
      </c>
    </row>
    <row r="2750">
      <c r="A2750" s="3" t="s">
        <v>12752</v>
      </c>
      <c r="B2750" s="4" t="str">
        <f>C2750 &amp; " -&gt; " &amp; D2750</f>
        <v>principal-knowledge-authority -&gt; ProcedureVersions.ShouldNotBeExecutable</v>
      </c>
      <c r="C2750" s="3" t="s">
        <v>9774</v>
      </c>
      <c r="D2750" s="3" t="s">
        <v>2739</v>
      </c>
      <c r="E2750" s="3" t="b">
        <v>1</v>
      </c>
      <c r="F2750" s="3" t="b">
        <v>0</v>
      </c>
      <c r="G2750" s="3" t="s">
        <v>10003</v>
      </c>
      <c r="H2750" s="4" t="str">
        <f>_xlfn.IFNA(IF(((INDEX(RulebookFields!C2:C1898, MATCH(D2750,RulebookFields!A2:A1898, 0))="")=TRUE),  "",  INDEX(RulebookFields!C2:C1898, MATCH(D2750,RulebookFields!A2:A1898, 0))), "")</f>
        <v>ProcedureVersions</v>
      </c>
      <c r="I2750" s="4" t="str">
        <f>_xlfn.IFNA(IF(((INDEX(RulebookFields!D2:D1898, MATCH(D2750,RulebookFields!A2:A1898, 0))="")=TRUE),  "",  INDEX(RulebookFields!D2:D1898, MATCH(D2750,RulebookFields!A2:A1898, 0))), "")</f>
        <v>ShouldNotBeExecutable</v>
      </c>
      <c r="J2750" s="4" t="b">
        <f>_xlfn.IFNA(IF(((INDEX(RulebookFields!I2:I1898, MATCH(D2750,RulebookFields!A2:A1898, 0))="")=TRUE),  "",  INDEX(RulebookFields!I2:I1898, MATCH(D2750,RulebookFields!A2:A1898, 0))), "")</f>
        <v>1</v>
      </c>
      <c r="K2750" s="4" t="b">
        <f>AND(((F2750)=TRUE), ((J2750)=TRUE))</f>
        <v>0</v>
      </c>
      <c r="L2750" s="4" t="b">
        <f>AND(((G2750 &lt;&gt; "plain")=TRUE), ((G2750 &lt;&gt; "")=TRUE))</f>
        <v>0</v>
      </c>
      <c r="M2750" s="4" t="str">
        <f>IF(((E2750)=TRUE),  C2750 &amp; "|" &amp; H2750,  "")</f>
        <v>principal-knowledge-authority|ProcedureVersions</v>
      </c>
      <c r="N2750" s="3" t="s">
        <v>10004</v>
      </c>
    </row>
    <row r="2751">
      <c r="A2751" s="3" t="s">
        <v>12753</v>
      </c>
      <c r="B2751" s="4" t="str">
        <f>C2751 &amp; " -&gt; " &amp; D2751</f>
        <v>principal-knowledge-authority -&gt; ProcedureVersions.CountOfUnapprovedRelianceFragments</v>
      </c>
      <c r="C2751" s="3" t="s">
        <v>9774</v>
      </c>
      <c r="D2751" s="3" t="s">
        <v>2741</v>
      </c>
      <c r="E2751" s="3" t="b">
        <v>1</v>
      </c>
      <c r="F2751" s="3" t="b">
        <v>0</v>
      </c>
      <c r="G2751" s="3" t="s">
        <v>10003</v>
      </c>
      <c r="H2751" s="4" t="str">
        <f>_xlfn.IFNA(IF(((INDEX(RulebookFields!C2:C1898, MATCH(D2751,RulebookFields!A2:A1898, 0))="")=TRUE),  "",  INDEX(RulebookFields!C2:C1898, MATCH(D2751,RulebookFields!A2:A1898, 0))), "")</f>
        <v>ProcedureVersions</v>
      </c>
      <c r="I2751" s="4" t="str">
        <f>_xlfn.IFNA(IF(((INDEX(RulebookFields!D2:D1898, MATCH(D2751,RulebookFields!A2:A1898, 0))="")=TRUE),  "",  INDEX(RulebookFields!D2:D1898, MATCH(D2751,RulebookFields!A2:A1898, 0))), "")</f>
        <v>CountOfUnapprovedRelianceFragments</v>
      </c>
      <c r="J2751" s="4" t="b">
        <f>_xlfn.IFNA(IF(((INDEX(RulebookFields!I2:I1898, MATCH(D2751,RulebookFields!A2:A1898, 0))="")=TRUE),  "",  INDEX(RulebookFields!I2:I1898, MATCH(D2751,RulebookFields!A2:A1898, 0))), "")</f>
        <v>1</v>
      </c>
      <c r="K2751" s="4" t="b">
        <f>AND(((F2751)=TRUE), ((J2751)=TRUE))</f>
        <v>0</v>
      </c>
      <c r="L2751" s="4" t="b">
        <f>AND(((G2751 &lt;&gt; "plain")=TRUE), ((G2751 &lt;&gt; "")=TRUE))</f>
        <v>0</v>
      </c>
      <c r="M2751" s="4" t="str">
        <f>IF(((E2751)=TRUE),  C2751 &amp; "|" &amp; H2751,  "")</f>
        <v>principal-knowledge-authority|ProcedureVersions</v>
      </c>
      <c r="N2751" s="3" t="s">
        <v>10004</v>
      </c>
    </row>
    <row r="2752">
      <c r="A2752" s="3" t="s">
        <v>12754</v>
      </c>
      <c r="B2752" s="4" t="str">
        <f>C2752 &amp; " -&gt; " &amp; D2752</f>
        <v>principal-knowledge-authority -&gt; ProcedureVersions.RunsOnUnapprovedKnowledge</v>
      </c>
      <c r="C2752" s="3" t="s">
        <v>9774</v>
      </c>
      <c r="D2752" s="3" t="s">
        <v>2743</v>
      </c>
      <c r="E2752" s="3" t="b">
        <v>1</v>
      </c>
      <c r="F2752" s="3" t="b">
        <v>0</v>
      </c>
      <c r="G2752" s="3" t="s">
        <v>10003</v>
      </c>
      <c r="H2752" s="4" t="str">
        <f>_xlfn.IFNA(IF(((INDEX(RulebookFields!C2:C1898, MATCH(D2752,RulebookFields!A2:A1898, 0))="")=TRUE),  "",  INDEX(RulebookFields!C2:C1898, MATCH(D2752,RulebookFields!A2:A1898, 0))), "")</f>
        <v>ProcedureVersions</v>
      </c>
      <c r="I2752" s="4" t="str">
        <f>_xlfn.IFNA(IF(((INDEX(RulebookFields!D2:D1898, MATCH(D2752,RulebookFields!A2:A1898, 0))="")=TRUE),  "",  INDEX(RulebookFields!D2:D1898, MATCH(D2752,RulebookFields!A2:A1898, 0))), "")</f>
        <v>RunsOnUnapprovedKnowledge</v>
      </c>
      <c r="J2752" s="4" t="b">
        <f>_xlfn.IFNA(IF(((INDEX(RulebookFields!I2:I1898, MATCH(D2752,RulebookFields!A2:A1898, 0))="")=TRUE),  "",  INDEX(RulebookFields!I2:I1898, MATCH(D2752,RulebookFields!A2:A1898, 0))), "")</f>
        <v>1</v>
      </c>
      <c r="K2752" s="4" t="b">
        <f>AND(((F2752)=TRUE), ((J2752)=TRUE))</f>
        <v>0</v>
      </c>
      <c r="L2752" s="4" t="b">
        <f>AND(((G2752 &lt;&gt; "plain")=TRUE), ((G2752 &lt;&gt; "")=TRUE))</f>
        <v>0</v>
      </c>
      <c r="M2752" s="4" t="str">
        <f>IF(((E2752)=TRUE),  C2752 &amp; "|" &amp; H2752,  "")</f>
        <v>principal-knowledge-authority|ProcedureVersions</v>
      </c>
      <c r="N2752" s="3" t="s">
        <v>10004</v>
      </c>
    </row>
    <row r="2753">
      <c r="A2753" s="3" t="s">
        <v>12755</v>
      </c>
      <c r="B2753" s="4" t="str">
        <f>C2753 &amp; " -&gt; " &amp; D2753</f>
        <v>principal-knowledge-authority -&gt; ProcedureVersions.CountOfOverdueGaps</v>
      </c>
      <c r="C2753" s="3" t="s">
        <v>9774</v>
      </c>
      <c r="D2753" s="3" t="s">
        <v>2745</v>
      </c>
      <c r="E2753" s="3" t="b">
        <v>1</v>
      </c>
      <c r="F2753" s="3" t="b">
        <v>0</v>
      </c>
      <c r="G2753" s="3" t="s">
        <v>10003</v>
      </c>
      <c r="H2753" s="4" t="str">
        <f>_xlfn.IFNA(IF(((INDEX(RulebookFields!C2:C1898, MATCH(D2753,RulebookFields!A2:A1898, 0))="")=TRUE),  "",  INDEX(RulebookFields!C2:C1898, MATCH(D2753,RulebookFields!A2:A1898, 0))), "")</f>
        <v>ProcedureVersions</v>
      </c>
      <c r="I2753" s="4" t="str">
        <f>_xlfn.IFNA(IF(((INDEX(RulebookFields!D2:D1898, MATCH(D2753,RulebookFields!A2:A1898, 0))="")=TRUE),  "",  INDEX(RulebookFields!D2:D1898, MATCH(D2753,RulebookFields!A2:A1898, 0))), "")</f>
        <v>CountOfOverdueGaps</v>
      </c>
      <c r="J2753" s="4" t="b">
        <f>_xlfn.IFNA(IF(((INDEX(RulebookFields!I2:I1898, MATCH(D2753,RulebookFields!A2:A1898, 0))="")=TRUE),  "",  INDEX(RulebookFields!I2:I1898, MATCH(D2753,RulebookFields!A2:A1898, 0))), "")</f>
        <v>1</v>
      </c>
      <c r="K2753" s="4" t="b">
        <f>AND(((F2753)=TRUE), ((J2753)=TRUE))</f>
        <v>0</v>
      </c>
      <c r="L2753" s="4" t="b">
        <f>AND(((G2753 &lt;&gt; "plain")=TRUE), ((G2753 &lt;&gt; "")=TRUE))</f>
        <v>0</v>
      </c>
      <c r="M2753" s="4" t="str">
        <f>IF(((E2753)=TRUE),  C2753 &amp; "|" &amp; H2753,  "")</f>
        <v>principal-knowledge-authority|ProcedureVersions</v>
      </c>
      <c r="N2753" s="3" t="s">
        <v>10004</v>
      </c>
    </row>
    <row r="2754">
      <c r="A2754" s="3" t="s">
        <v>12756</v>
      </c>
      <c r="B2754" s="4" t="str">
        <f>C2754 &amp; " -&gt; " &amp; D2754</f>
        <v>principal-knowledge-authority -&gt; ProcedureVersions.CountOfChangeRequests</v>
      </c>
      <c r="C2754" s="3" t="s">
        <v>9774</v>
      </c>
      <c r="D2754" s="3" t="s">
        <v>2747</v>
      </c>
      <c r="E2754" s="3" t="b">
        <v>1</v>
      </c>
      <c r="F2754" s="3" t="b">
        <v>0</v>
      </c>
      <c r="G2754" s="3" t="s">
        <v>10003</v>
      </c>
      <c r="H2754" s="4" t="str">
        <f>_xlfn.IFNA(IF(((INDEX(RulebookFields!C2:C1898, MATCH(D2754,RulebookFields!A2:A1898, 0))="")=TRUE),  "",  INDEX(RulebookFields!C2:C1898, MATCH(D2754,RulebookFields!A2:A1898, 0))), "")</f>
        <v>ProcedureVersions</v>
      </c>
      <c r="I2754" s="4" t="str">
        <f>_xlfn.IFNA(IF(((INDEX(RulebookFields!D2:D1898, MATCH(D2754,RulebookFields!A2:A1898, 0))="")=TRUE),  "",  INDEX(RulebookFields!D2:D1898, MATCH(D2754,RulebookFields!A2:A1898, 0))), "")</f>
        <v>CountOfChangeRequests</v>
      </c>
      <c r="J2754" s="4" t="b">
        <f>_xlfn.IFNA(IF(((INDEX(RulebookFields!I2:I1898, MATCH(D2754,RulebookFields!A2:A1898, 0))="")=TRUE),  "",  INDEX(RulebookFields!I2:I1898, MATCH(D2754,RulebookFields!A2:A1898, 0))), "")</f>
        <v>1</v>
      </c>
      <c r="K2754" s="4" t="b">
        <f>AND(((F2754)=TRUE), ((J2754)=TRUE))</f>
        <v>0</v>
      </c>
      <c r="L2754" s="4" t="b">
        <f>AND(((G2754 &lt;&gt; "plain")=TRUE), ((G2754 &lt;&gt; "")=TRUE))</f>
        <v>0</v>
      </c>
      <c r="M2754" s="4" t="str">
        <f>IF(((E2754)=TRUE),  C2754 &amp; "|" &amp; H2754,  "")</f>
        <v>principal-knowledge-authority|ProcedureVersions</v>
      </c>
      <c r="N2754" s="3" t="s">
        <v>10004</v>
      </c>
    </row>
    <row r="2755">
      <c r="A2755" s="3" t="s">
        <v>12757</v>
      </c>
      <c r="B2755" s="4" t="str">
        <f>C2755 &amp; " -&gt; " &amp; D2755</f>
        <v>principal-knowledge-authority -&gt; ProcedureVersions.CountOfReviewEvents</v>
      </c>
      <c r="C2755" s="3" t="s">
        <v>9774</v>
      </c>
      <c r="D2755" s="3" t="s">
        <v>2749</v>
      </c>
      <c r="E2755" s="3" t="b">
        <v>1</v>
      </c>
      <c r="F2755" s="3" t="b">
        <v>0</v>
      </c>
      <c r="G2755" s="3" t="s">
        <v>10003</v>
      </c>
      <c r="H2755" s="4" t="str">
        <f>_xlfn.IFNA(IF(((INDEX(RulebookFields!C2:C1898, MATCH(D2755,RulebookFields!A2:A1898, 0))="")=TRUE),  "",  INDEX(RulebookFields!C2:C1898, MATCH(D2755,RulebookFields!A2:A1898, 0))), "")</f>
        <v>ProcedureVersions</v>
      </c>
      <c r="I2755" s="4" t="str">
        <f>_xlfn.IFNA(IF(((INDEX(RulebookFields!D2:D1898, MATCH(D2755,RulebookFields!A2:A1898, 0))="")=TRUE),  "",  INDEX(RulebookFields!D2:D1898, MATCH(D2755,RulebookFields!A2:A1898, 0))), "")</f>
        <v>CountOfReviewEvents</v>
      </c>
      <c r="J2755" s="4" t="b">
        <f>_xlfn.IFNA(IF(((INDEX(RulebookFields!I2:I1898, MATCH(D2755,RulebookFields!A2:A1898, 0))="")=TRUE),  "",  INDEX(RulebookFields!I2:I1898, MATCH(D2755,RulebookFields!A2:A1898, 0))), "")</f>
        <v>1</v>
      </c>
      <c r="K2755" s="4" t="b">
        <f>AND(((F2755)=TRUE), ((J2755)=TRUE))</f>
        <v>0</v>
      </c>
      <c r="L2755" s="4" t="b">
        <f>AND(((G2755 &lt;&gt; "plain")=TRUE), ((G2755 &lt;&gt; "")=TRUE))</f>
        <v>0</v>
      </c>
      <c r="M2755" s="4" t="str">
        <f>IF(((E2755)=TRUE),  C2755 &amp; "|" &amp; H2755,  "")</f>
        <v>principal-knowledge-authority|ProcedureVersions</v>
      </c>
      <c r="N2755" s="3" t="s">
        <v>10004</v>
      </c>
    </row>
    <row r="2756">
      <c r="A2756" s="3" t="s">
        <v>12758</v>
      </c>
      <c r="B2756" s="4" t="str">
        <f>C2756 &amp; " -&gt; " &amp; D2756</f>
        <v>principal-knowledge-authority -&gt; ProcedureVersions.HasGovernanceRecord</v>
      </c>
      <c r="C2756" s="3" t="s">
        <v>9774</v>
      </c>
      <c r="D2756" s="3" t="s">
        <v>2751</v>
      </c>
      <c r="E2756" s="3" t="b">
        <v>1</v>
      </c>
      <c r="F2756" s="3" t="b">
        <v>0</v>
      </c>
      <c r="G2756" s="3" t="s">
        <v>10003</v>
      </c>
      <c r="H2756" s="4" t="str">
        <f>_xlfn.IFNA(IF(((INDEX(RulebookFields!C2:C1898, MATCH(D2756,RulebookFields!A2:A1898, 0))="")=TRUE),  "",  INDEX(RulebookFields!C2:C1898, MATCH(D2756,RulebookFields!A2:A1898, 0))), "")</f>
        <v>ProcedureVersions</v>
      </c>
      <c r="I2756" s="4" t="str">
        <f>_xlfn.IFNA(IF(((INDEX(RulebookFields!D2:D1898, MATCH(D2756,RulebookFields!A2:A1898, 0))="")=TRUE),  "",  INDEX(RulebookFields!D2:D1898, MATCH(D2756,RulebookFields!A2:A1898, 0))), "")</f>
        <v>HasGovernanceRecord</v>
      </c>
      <c r="J2756" s="4" t="b">
        <f>_xlfn.IFNA(IF(((INDEX(RulebookFields!I2:I1898, MATCH(D2756,RulebookFields!A2:A1898, 0))="")=TRUE),  "",  INDEX(RulebookFields!I2:I1898, MATCH(D2756,RulebookFields!A2:A1898, 0))), "")</f>
        <v>1</v>
      </c>
      <c r="K2756" s="4" t="b">
        <f>AND(((F2756)=TRUE), ((J2756)=TRUE))</f>
        <v>0</v>
      </c>
      <c r="L2756" s="4" t="b">
        <f>AND(((G2756 &lt;&gt; "plain")=TRUE), ((G2756 &lt;&gt; "")=TRUE))</f>
        <v>0</v>
      </c>
      <c r="M2756" s="4" t="str">
        <f>IF(((E2756)=TRUE),  C2756 &amp; "|" &amp; H2756,  "")</f>
        <v>principal-knowledge-authority|ProcedureVersions</v>
      </c>
      <c r="N2756" s="3" t="s">
        <v>10004</v>
      </c>
    </row>
    <row r="2757">
      <c r="A2757" s="3" t="s">
        <v>12759</v>
      </c>
      <c r="B2757" s="4" t="str">
        <f>C2757 &amp; " -&gt; " &amp; D2757</f>
        <v>principal-knowledge-authority -&gt; ProcedureVersions.EvaluationContext</v>
      </c>
      <c r="C2757" s="3" t="s">
        <v>9774</v>
      </c>
      <c r="D2757" s="3" t="s">
        <v>2753</v>
      </c>
      <c r="E2757" s="3" t="b">
        <v>1</v>
      </c>
      <c r="F2757" s="3" t="b">
        <v>0</v>
      </c>
      <c r="G2757" s="3" t="s">
        <v>10003</v>
      </c>
      <c r="H2757" s="4" t="str">
        <f>_xlfn.IFNA(IF(((INDEX(RulebookFields!C2:C1898, MATCH(D2757,RulebookFields!A2:A1898, 0))="")=TRUE),  "",  INDEX(RulebookFields!C2:C1898, MATCH(D2757,RulebookFields!A2:A1898, 0))), "")</f>
        <v>ProcedureVersions</v>
      </c>
      <c r="I2757" s="4" t="str">
        <f>_xlfn.IFNA(IF(((INDEX(RulebookFields!D2:D1898, MATCH(D2757,RulebookFields!A2:A1898, 0))="")=TRUE),  "",  INDEX(RulebookFields!D2:D1898, MATCH(D2757,RulebookFields!A2:A1898, 0))), "")</f>
        <v>EvaluationContext</v>
      </c>
      <c r="J2757" s="4" t="b">
        <f>_xlfn.IFNA(IF(((INDEX(RulebookFields!I2:I1898, MATCH(D2757,RulebookFields!A2:A1898, 0))="")=TRUE),  "",  INDEX(RulebookFields!I2:I1898, MATCH(D2757,RulebookFields!A2:A1898, 0))), "")</f>
        <v>0</v>
      </c>
      <c r="K2757" s="4" t="b">
        <f>AND(((F2757)=TRUE), ((J2757)=TRUE))</f>
        <v>0</v>
      </c>
      <c r="L2757" s="4" t="b">
        <f>AND(((G2757 &lt;&gt; "plain")=TRUE), ((G2757 &lt;&gt; "")=TRUE))</f>
        <v>0</v>
      </c>
      <c r="M2757" s="4" t="str">
        <f>IF(((E2757)=TRUE),  C2757 &amp; "|" &amp; H2757,  "")</f>
        <v>principal-knowledge-authority|ProcedureVersions</v>
      </c>
      <c r="N2757" s="3" t="s">
        <v>10004</v>
      </c>
    </row>
    <row r="2758">
      <c r="A2758" s="3" t="s">
        <v>12760</v>
      </c>
      <c r="B2758" s="4" t="str">
        <f>C2758 &amp; " -&gt; " &amp; D2758</f>
        <v>principal-knowledge-authority -&gt; ProcedureVersions.AsOfInstant</v>
      </c>
      <c r="C2758" s="3" t="s">
        <v>9774</v>
      </c>
      <c r="D2758" s="3" t="s">
        <v>2754</v>
      </c>
      <c r="E2758" s="3" t="b">
        <v>1</v>
      </c>
      <c r="F2758" s="3" t="b">
        <v>0</v>
      </c>
      <c r="G2758" s="3" t="s">
        <v>10003</v>
      </c>
      <c r="H2758" s="4" t="str">
        <f>_xlfn.IFNA(IF(((INDEX(RulebookFields!C2:C1898, MATCH(D2758,RulebookFields!A2:A1898, 0))="")=TRUE),  "",  INDEX(RulebookFields!C2:C1898, MATCH(D2758,RulebookFields!A2:A1898, 0))), "")</f>
        <v>ProcedureVersions</v>
      </c>
      <c r="I2758" s="4" t="str">
        <f>_xlfn.IFNA(IF(((INDEX(RulebookFields!D2:D1898, MATCH(D2758,RulebookFields!A2:A1898, 0))="")=TRUE),  "",  INDEX(RulebookFields!D2:D1898, MATCH(D2758,RulebookFields!A2:A1898, 0))), "")</f>
        <v>AsOfInstant</v>
      </c>
      <c r="J2758" s="4" t="b">
        <f>_xlfn.IFNA(IF(((INDEX(RulebookFields!I2:I1898, MATCH(D2758,RulebookFields!A2:A1898, 0))="")=TRUE),  "",  INDEX(RulebookFields!I2:I1898, MATCH(D2758,RulebookFields!A2:A1898, 0))), "")</f>
        <v>1</v>
      </c>
      <c r="K2758" s="4" t="b">
        <f>AND(((F2758)=TRUE), ((J2758)=TRUE))</f>
        <v>0</v>
      </c>
      <c r="L2758" s="4" t="b">
        <f>AND(((G2758 &lt;&gt; "plain")=TRUE), ((G2758 &lt;&gt; "")=TRUE))</f>
        <v>0</v>
      </c>
      <c r="M2758" s="4" t="str">
        <f>IF(((E2758)=TRUE),  C2758 &amp; "|" &amp; H2758,  "")</f>
        <v>principal-knowledge-authority|ProcedureVersions</v>
      </c>
      <c r="N2758" s="3" t="s">
        <v>10004</v>
      </c>
    </row>
    <row r="2759">
      <c r="A2759" s="3" t="s">
        <v>12761</v>
      </c>
      <c r="B2759" s="4" t="str">
        <f>C2759 &amp; " -&gt; " &amp; D2759</f>
        <v>principal-knowledge-authority -&gt; ProcedureVersions.DaysSinceModified</v>
      </c>
      <c r="C2759" s="3" t="s">
        <v>9774</v>
      </c>
      <c r="D2759" s="3" t="s">
        <v>2755</v>
      </c>
      <c r="E2759" s="3" t="b">
        <v>1</v>
      </c>
      <c r="F2759" s="3" t="b">
        <v>0</v>
      </c>
      <c r="G2759" s="3" t="s">
        <v>10003</v>
      </c>
      <c r="H2759" s="4" t="str">
        <f>_xlfn.IFNA(IF(((INDEX(RulebookFields!C2:C1898, MATCH(D2759,RulebookFields!A2:A1898, 0))="")=TRUE),  "",  INDEX(RulebookFields!C2:C1898, MATCH(D2759,RulebookFields!A2:A1898, 0))), "")</f>
        <v>ProcedureVersions</v>
      </c>
      <c r="I2759" s="4" t="str">
        <f>_xlfn.IFNA(IF(((INDEX(RulebookFields!D2:D1898, MATCH(D2759,RulebookFields!A2:A1898, 0))="")=TRUE),  "",  INDEX(RulebookFields!D2:D1898, MATCH(D2759,RulebookFields!A2:A1898, 0))), "")</f>
        <v>DaysSinceModified</v>
      </c>
      <c r="J2759" s="4" t="b">
        <f>_xlfn.IFNA(IF(((INDEX(RulebookFields!I2:I1898, MATCH(D2759,RulebookFields!A2:A1898, 0))="")=TRUE),  "",  INDEX(RulebookFields!I2:I1898, MATCH(D2759,RulebookFields!A2:A1898, 0))), "")</f>
        <v>1</v>
      </c>
      <c r="K2759" s="4" t="b">
        <f>AND(((F2759)=TRUE), ((J2759)=TRUE))</f>
        <v>0</v>
      </c>
      <c r="L2759" s="4" t="b">
        <f>AND(((G2759 &lt;&gt; "plain")=TRUE), ((G2759 &lt;&gt; "")=TRUE))</f>
        <v>0</v>
      </c>
      <c r="M2759" s="4" t="str">
        <f>IF(((E2759)=TRUE),  C2759 &amp; "|" &amp; H2759,  "")</f>
        <v>principal-knowledge-authority|ProcedureVersions</v>
      </c>
      <c r="N2759" s="3" t="s">
        <v>10004</v>
      </c>
    </row>
    <row r="2760">
      <c r="A2760" s="3" t="s">
        <v>12762</v>
      </c>
      <c r="B2760" s="4" t="str">
        <f>C2760 &amp; " -&gt; " &amp; D2760</f>
        <v>principal-knowledge-authority -&gt; ProcedureVersions.DaysSinceLastReview</v>
      </c>
      <c r="C2760" s="3" t="s">
        <v>9774</v>
      </c>
      <c r="D2760" s="3" t="s">
        <v>2757</v>
      </c>
      <c r="E2760" s="3" t="b">
        <v>1</v>
      </c>
      <c r="F2760" s="3" t="b">
        <v>0</v>
      </c>
      <c r="G2760" s="3" t="s">
        <v>10003</v>
      </c>
      <c r="H2760" s="4" t="str">
        <f>_xlfn.IFNA(IF(((INDEX(RulebookFields!C2:C1898, MATCH(D2760,RulebookFields!A2:A1898, 0))="")=TRUE),  "",  INDEX(RulebookFields!C2:C1898, MATCH(D2760,RulebookFields!A2:A1898, 0))), "")</f>
        <v>ProcedureVersions</v>
      </c>
      <c r="I2760" s="4" t="str">
        <f>_xlfn.IFNA(IF(((INDEX(RulebookFields!D2:D1898, MATCH(D2760,RulebookFields!A2:A1898, 0))="")=TRUE),  "",  INDEX(RulebookFields!D2:D1898, MATCH(D2760,RulebookFields!A2:A1898, 0))), "")</f>
        <v>DaysSinceLastReview</v>
      </c>
      <c r="J2760" s="4" t="b">
        <f>_xlfn.IFNA(IF(((INDEX(RulebookFields!I2:I1898, MATCH(D2760,RulebookFields!A2:A1898, 0))="")=TRUE),  "",  INDEX(RulebookFields!I2:I1898, MATCH(D2760,RulebookFields!A2:A1898, 0))), "")</f>
        <v>1</v>
      </c>
      <c r="K2760" s="4" t="b">
        <f>AND(((F2760)=TRUE), ((J2760)=TRUE))</f>
        <v>0</v>
      </c>
      <c r="L2760" s="4" t="b">
        <f>AND(((G2760 &lt;&gt; "plain")=TRUE), ((G2760 &lt;&gt; "")=TRUE))</f>
        <v>0</v>
      </c>
      <c r="M2760" s="4" t="str">
        <f>IF(((E2760)=TRUE),  C2760 &amp; "|" &amp; H2760,  "")</f>
        <v>principal-knowledge-authority|ProcedureVersions</v>
      </c>
      <c r="N2760" s="3" t="s">
        <v>10004</v>
      </c>
    </row>
    <row r="2761">
      <c r="A2761" s="3" t="s">
        <v>12763</v>
      </c>
      <c r="B2761" s="4" t="str">
        <f>C2761 &amp; " -&gt; " &amp; D2761</f>
        <v>principal-knowledge-authority -&gt; ProcedureVersions.WasModifiedSinceLastReview</v>
      </c>
      <c r="C2761" s="3" t="s">
        <v>9774</v>
      </c>
      <c r="D2761" s="3" t="s">
        <v>2759</v>
      </c>
      <c r="E2761" s="3" t="b">
        <v>1</v>
      </c>
      <c r="F2761" s="3" t="b">
        <v>0</v>
      </c>
      <c r="G2761" s="3" t="s">
        <v>10003</v>
      </c>
      <c r="H2761" s="4" t="str">
        <f>_xlfn.IFNA(IF(((INDEX(RulebookFields!C2:C1898, MATCH(D2761,RulebookFields!A2:A1898, 0))="")=TRUE),  "",  INDEX(RulebookFields!C2:C1898, MATCH(D2761,RulebookFields!A2:A1898, 0))), "")</f>
        <v>ProcedureVersions</v>
      </c>
      <c r="I2761" s="4" t="str">
        <f>_xlfn.IFNA(IF(((INDEX(RulebookFields!D2:D1898, MATCH(D2761,RulebookFields!A2:A1898, 0))="")=TRUE),  "",  INDEX(RulebookFields!D2:D1898, MATCH(D2761,RulebookFields!A2:A1898, 0))), "")</f>
        <v>WasModifiedSinceLastReview</v>
      </c>
      <c r="J2761" s="4" t="b">
        <f>_xlfn.IFNA(IF(((INDEX(RulebookFields!I2:I1898, MATCH(D2761,RulebookFields!A2:A1898, 0))="")=TRUE),  "",  INDEX(RulebookFields!I2:I1898, MATCH(D2761,RulebookFields!A2:A1898, 0))), "")</f>
        <v>1</v>
      </c>
      <c r="K2761" s="4" t="b">
        <f>AND(((F2761)=TRUE), ((J2761)=TRUE))</f>
        <v>0</v>
      </c>
      <c r="L2761" s="4" t="b">
        <f>AND(((G2761 &lt;&gt; "plain")=TRUE), ((G2761 &lt;&gt; "")=TRUE))</f>
        <v>0</v>
      </c>
      <c r="M2761" s="4" t="str">
        <f>IF(((E2761)=TRUE),  C2761 &amp; "|" &amp; H2761,  "")</f>
        <v>principal-knowledge-authority|ProcedureVersions</v>
      </c>
      <c r="N2761" s="3" t="s">
        <v>10004</v>
      </c>
    </row>
    <row r="2762">
      <c r="A2762" s="3" t="s">
        <v>12764</v>
      </c>
      <c r="B2762" s="4" t="str">
        <f>C2762 &amp; " -&gt; " &amp; D2762</f>
        <v>principal-knowledge-authority -&gt; ProcedureVersions.ModifierIsAuthority</v>
      </c>
      <c r="C2762" s="3" t="s">
        <v>9774</v>
      </c>
      <c r="D2762" s="3" t="s">
        <v>2761</v>
      </c>
      <c r="E2762" s="3" t="b">
        <v>1</v>
      </c>
      <c r="F2762" s="3" t="b">
        <v>0</v>
      </c>
      <c r="G2762" s="3" t="s">
        <v>10003</v>
      </c>
      <c r="H2762" s="4" t="str">
        <f>_xlfn.IFNA(IF(((INDEX(RulebookFields!C2:C1898, MATCH(D2762,RulebookFields!A2:A1898, 0))="")=TRUE),  "",  INDEX(RulebookFields!C2:C1898, MATCH(D2762,RulebookFields!A2:A1898, 0))), "")</f>
        <v>ProcedureVersions</v>
      </c>
      <c r="I2762" s="4" t="str">
        <f>_xlfn.IFNA(IF(((INDEX(RulebookFields!D2:D1898, MATCH(D2762,RulebookFields!A2:A1898, 0))="")=TRUE),  "",  INDEX(RulebookFields!D2:D1898, MATCH(D2762,RulebookFields!A2:A1898, 0))), "")</f>
        <v>ModifierIsAuthority</v>
      </c>
      <c r="J2762" s="4" t="b">
        <f>_xlfn.IFNA(IF(((INDEX(RulebookFields!I2:I1898, MATCH(D2762,RulebookFields!A2:A1898, 0))="")=TRUE),  "",  INDEX(RulebookFields!I2:I1898, MATCH(D2762,RulebookFields!A2:A1898, 0))), "")</f>
        <v>1</v>
      </c>
      <c r="K2762" s="4" t="b">
        <f>AND(((F2762)=TRUE), ((J2762)=TRUE))</f>
        <v>0</v>
      </c>
      <c r="L2762" s="4" t="b">
        <f>AND(((G2762 &lt;&gt; "plain")=TRUE), ((G2762 &lt;&gt; "")=TRUE))</f>
        <v>0</v>
      </c>
      <c r="M2762" s="4" t="str">
        <f>IF(((E2762)=TRUE),  C2762 &amp; "|" &amp; H2762,  "")</f>
        <v>principal-knowledge-authority|ProcedureVersions</v>
      </c>
      <c r="N2762" s="3" t="s">
        <v>10004</v>
      </c>
    </row>
    <row r="2763">
      <c r="A2763" s="3" t="s">
        <v>12765</v>
      </c>
      <c r="B2763" s="4" t="str">
        <f>C2763 &amp; " -&gt; " &amp; D2763</f>
        <v>principal-knowledge-authority -&gt; ProcedureVersions.HasUnwitnessedChange</v>
      </c>
      <c r="C2763" s="3" t="s">
        <v>9774</v>
      </c>
      <c r="D2763" s="3" t="s">
        <v>2763</v>
      </c>
      <c r="E2763" s="3" t="b">
        <v>1</v>
      </c>
      <c r="F2763" s="3" t="b">
        <v>0</v>
      </c>
      <c r="G2763" s="3" t="s">
        <v>10003</v>
      </c>
      <c r="H2763" s="4" t="str">
        <f>_xlfn.IFNA(IF(((INDEX(RulebookFields!C2:C1898, MATCH(D2763,RulebookFields!A2:A1898, 0))="")=TRUE),  "",  INDEX(RulebookFields!C2:C1898, MATCH(D2763,RulebookFields!A2:A1898, 0))), "")</f>
        <v>ProcedureVersions</v>
      </c>
      <c r="I2763" s="4" t="str">
        <f>_xlfn.IFNA(IF(((INDEX(RulebookFields!D2:D1898, MATCH(D2763,RulebookFields!A2:A1898, 0))="")=TRUE),  "",  INDEX(RulebookFields!D2:D1898, MATCH(D2763,RulebookFields!A2:A1898, 0))), "")</f>
        <v>HasUnwitnessedChange</v>
      </c>
      <c r="J2763" s="4" t="b">
        <f>_xlfn.IFNA(IF(((INDEX(RulebookFields!I2:I1898, MATCH(D2763,RulebookFields!A2:A1898, 0))="")=TRUE),  "",  INDEX(RulebookFields!I2:I1898, MATCH(D2763,RulebookFields!A2:A1898, 0))), "")</f>
        <v>1</v>
      </c>
      <c r="K2763" s="4" t="b">
        <f>AND(((F2763)=TRUE), ((J2763)=TRUE))</f>
        <v>0</v>
      </c>
      <c r="L2763" s="4" t="b">
        <f>AND(((G2763 &lt;&gt; "plain")=TRUE), ((G2763 &lt;&gt; "")=TRUE))</f>
        <v>0</v>
      </c>
      <c r="M2763" s="4" t="str">
        <f>IF(((E2763)=TRUE),  C2763 &amp; "|" &amp; H2763,  "")</f>
        <v>principal-knowledge-authority|ProcedureVersions</v>
      </c>
      <c r="N2763" s="3" t="s">
        <v>10004</v>
      </c>
    </row>
    <row r="2764">
      <c r="A2764" s="3" t="s">
        <v>12766</v>
      </c>
      <c r="B2764" s="4" t="str">
        <f>C2764 &amp; " -&gt; " &amp; D2764</f>
        <v>principal-knowledge-authority -&gt; ProcedureVersions.CountOfStaleFragments</v>
      </c>
      <c r="C2764" s="3" t="s">
        <v>9774</v>
      </c>
      <c r="D2764" s="3" t="s">
        <v>2765</v>
      </c>
      <c r="E2764" s="3" t="b">
        <v>1</v>
      </c>
      <c r="F2764" s="3" t="b">
        <v>0</v>
      </c>
      <c r="G2764" s="3" t="s">
        <v>10003</v>
      </c>
      <c r="H2764" s="4" t="str">
        <f>_xlfn.IFNA(IF(((INDEX(RulebookFields!C2:C1898, MATCH(D2764,RulebookFields!A2:A1898, 0))="")=TRUE),  "",  INDEX(RulebookFields!C2:C1898, MATCH(D2764,RulebookFields!A2:A1898, 0))), "")</f>
        <v>ProcedureVersions</v>
      </c>
      <c r="I2764" s="4" t="str">
        <f>_xlfn.IFNA(IF(((INDEX(RulebookFields!D2:D1898, MATCH(D2764,RulebookFields!A2:A1898, 0))="")=TRUE),  "",  INDEX(RulebookFields!D2:D1898, MATCH(D2764,RulebookFields!A2:A1898, 0))), "")</f>
        <v>CountOfStaleFragments</v>
      </c>
      <c r="J2764" s="4" t="b">
        <f>_xlfn.IFNA(IF(((INDEX(RulebookFields!I2:I1898, MATCH(D2764,RulebookFields!A2:A1898, 0))="")=TRUE),  "",  INDEX(RulebookFields!I2:I1898, MATCH(D2764,RulebookFields!A2:A1898, 0))), "")</f>
        <v>1</v>
      </c>
      <c r="K2764" s="4" t="b">
        <f>AND(((F2764)=TRUE), ((J2764)=TRUE))</f>
        <v>0</v>
      </c>
      <c r="L2764" s="4" t="b">
        <f>AND(((G2764 &lt;&gt; "plain")=TRUE), ((G2764 &lt;&gt; "")=TRUE))</f>
        <v>0</v>
      </c>
      <c r="M2764" s="4" t="str">
        <f>IF(((E2764)=TRUE),  C2764 &amp; "|" &amp; H2764,  "")</f>
        <v>principal-knowledge-authority|ProcedureVersions</v>
      </c>
      <c r="N2764" s="3" t="s">
        <v>10004</v>
      </c>
    </row>
    <row r="2765">
      <c r="A2765" s="3" t="s">
        <v>12767</v>
      </c>
      <c r="B2765" s="4" t="str">
        <f>C2765 &amp; " -&gt; " &amp; D2765</f>
        <v>principal-knowledge-authority -&gt; ProcedureVersions.KnowledgeIsStalerThanCadence</v>
      </c>
      <c r="C2765" s="3" t="s">
        <v>9774</v>
      </c>
      <c r="D2765" s="3" t="s">
        <v>2767</v>
      </c>
      <c r="E2765" s="3" t="b">
        <v>1</v>
      </c>
      <c r="F2765" s="3" t="b">
        <v>0</v>
      </c>
      <c r="G2765" s="3" t="s">
        <v>10003</v>
      </c>
      <c r="H2765" s="4" t="str">
        <f>_xlfn.IFNA(IF(((INDEX(RulebookFields!C2:C1898, MATCH(D2765,RulebookFields!A2:A1898, 0))="")=TRUE),  "",  INDEX(RulebookFields!C2:C1898, MATCH(D2765,RulebookFields!A2:A1898, 0))), "")</f>
        <v>ProcedureVersions</v>
      </c>
      <c r="I2765" s="4" t="str">
        <f>_xlfn.IFNA(IF(((INDEX(RulebookFields!D2:D1898, MATCH(D2765,RulebookFields!A2:A1898, 0))="")=TRUE),  "",  INDEX(RulebookFields!D2:D1898, MATCH(D2765,RulebookFields!A2:A1898, 0))), "")</f>
        <v>KnowledgeIsStalerThanCadence</v>
      </c>
      <c r="J2765" s="4" t="b">
        <f>_xlfn.IFNA(IF(((INDEX(RulebookFields!I2:I1898, MATCH(D2765,RulebookFields!A2:A1898, 0))="")=TRUE),  "",  INDEX(RulebookFields!I2:I1898, MATCH(D2765,RulebookFields!A2:A1898, 0))), "")</f>
        <v>1</v>
      </c>
      <c r="K2765" s="4" t="b">
        <f>AND(((F2765)=TRUE), ((J2765)=TRUE))</f>
        <v>0</v>
      </c>
      <c r="L2765" s="4" t="b">
        <f>AND(((G2765 &lt;&gt; "plain")=TRUE), ((G2765 &lt;&gt; "")=TRUE))</f>
        <v>0</v>
      </c>
      <c r="M2765" s="4" t="str">
        <f>IF(((E2765)=TRUE),  C2765 &amp; "|" &amp; H2765,  "")</f>
        <v>principal-knowledge-authority|ProcedureVersions</v>
      </c>
      <c r="N2765" s="3" t="s">
        <v>10004</v>
      </c>
    </row>
    <row r="2766">
      <c r="A2766" s="3" t="s">
        <v>12768</v>
      </c>
      <c r="B2766" s="4" t="str">
        <f>C2766 &amp; " -&gt; " &amp; D2766</f>
        <v>principal-knowledge-authority -&gt; ProcedureVersions.CompoundFragileFragmentCount</v>
      </c>
      <c r="C2766" s="3" t="s">
        <v>9774</v>
      </c>
      <c r="D2766" s="3" t="s">
        <v>2769</v>
      </c>
      <c r="E2766" s="3" t="b">
        <v>1</v>
      </c>
      <c r="F2766" s="3" t="b">
        <v>0</v>
      </c>
      <c r="G2766" s="3" t="s">
        <v>10003</v>
      </c>
      <c r="H2766" s="4" t="str">
        <f>_xlfn.IFNA(IF(((INDEX(RulebookFields!C2:C1898, MATCH(D2766,RulebookFields!A2:A1898, 0))="")=TRUE),  "",  INDEX(RulebookFields!C2:C1898, MATCH(D2766,RulebookFields!A2:A1898, 0))), "")</f>
        <v>ProcedureVersions</v>
      </c>
      <c r="I2766" s="4" t="str">
        <f>_xlfn.IFNA(IF(((INDEX(RulebookFields!D2:D1898, MATCH(D2766,RulebookFields!A2:A1898, 0))="")=TRUE),  "",  INDEX(RulebookFields!D2:D1898, MATCH(D2766,RulebookFields!A2:A1898, 0))), "")</f>
        <v>CompoundFragileFragmentCount</v>
      </c>
      <c r="J2766" s="4" t="b">
        <f>_xlfn.IFNA(IF(((INDEX(RulebookFields!I2:I1898, MATCH(D2766,RulebookFields!A2:A1898, 0))="")=TRUE),  "",  INDEX(RulebookFields!I2:I1898, MATCH(D2766,RulebookFields!A2:A1898, 0))), "")</f>
        <v>1</v>
      </c>
      <c r="K2766" s="4" t="b">
        <f>AND(((F2766)=TRUE), ((J2766)=TRUE))</f>
        <v>0</v>
      </c>
      <c r="L2766" s="4" t="b">
        <f>AND(((G2766 &lt;&gt; "plain")=TRUE), ((G2766 &lt;&gt; "")=TRUE))</f>
        <v>0</v>
      </c>
      <c r="M2766" s="4" t="str">
        <f>IF(((E2766)=TRUE),  C2766 &amp; "|" &amp; H2766,  "")</f>
        <v>principal-knowledge-authority|ProcedureVersions</v>
      </c>
      <c r="N2766" s="3" t="s">
        <v>10004</v>
      </c>
    </row>
    <row r="2767">
      <c r="A2767" s="3" t="s">
        <v>12769</v>
      </c>
      <c r="B2767" s="4" t="str">
        <f>C2767 &amp; " -&gt; " &amp; D2767</f>
        <v>principal-knowledge-authority -&gt; ProcedureVersions.RestsOnCompoundFragileKnowledge</v>
      </c>
      <c r="C2767" s="3" t="s">
        <v>9774</v>
      </c>
      <c r="D2767" s="3" t="s">
        <v>2771</v>
      </c>
      <c r="E2767" s="3" t="b">
        <v>1</v>
      </c>
      <c r="F2767" s="3" t="b">
        <v>0</v>
      </c>
      <c r="G2767" s="3" t="s">
        <v>10003</v>
      </c>
      <c r="H2767" s="4" t="str">
        <f>_xlfn.IFNA(IF(((INDEX(RulebookFields!C2:C1898, MATCH(D2767,RulebookFields!A2:A1898, 0))="")=TRUE),  "",  INDEX(RulebookFields!C2:C1898, MATCH(D2767,RulebookFields!A2:A1898, 0))), "")</f>
        <v>ProcedureVersions</v>
      </c>
      <c r="I2767" s="4" t="str">
        <f>_xlfn.IFNA(IF(((INDEX(RulebookFields!D2:D1898, MATCH(D2767,RulebookFields!A2:A1898, 0))="")=TRUE),  "",  INDEX(RulebookFields!D2:D1898, MATCH(D2767,RulebookFields!A2:A1898, 0))), "")</f>
        <v>RestsOnCompoundFragileKnowledge</v>
      </c>
      <c r="J2767" s="4" t="b">
        <f>_xlfn.IFNA(IF(((INDEX(RulebookFields!I2:I1898, MATCH(D2767,RulebookFields!A2:A1898, 0))="")=TRUE),  "",  INDEX(RulebookFields!I2:I1898, MATCH(D2767,RulebookFields!A2:A1898, 0))), "")</f>
        <v>1</v>
      </c>
      <c r="K2767" s="4" t="b">
        <f>AND(((F2767)=TRUE), ((J2767)=TRUE))</f>
        <v>0</v>
      </c>
      <c r="L2767" s="4" t="b">
        <f>AND(((G2767 &lt;&gt; "plain")=TRUE), ((G2767 &lt;&gt; "")=TRUE))</f>
        <v>0</v>
      </c>
      <c r="M2767" s="4" t="str">
        <f>IF(((E2767)=TRUE),  C2767 &amp; "|" &amp; H2767,  "")</f>
        <v>principal-knowledge-authority|ProcedureVersions</v>
      </c>
      <c r="N2767" s="3" t="s">
        <v>10004</v>
      </c>
    </row>
    <row r="2768">
      <c r="A2768" s="3" t="s">
        <v>12770</v>
      </c>
      <c r="B2768" s="4" t="str">
        <f>C2768 &amp; " -&gt; " &amp; D2768</f>
        <v>principal-knowledge-authority -&gt; ProcedureVersions.ConcentratedWitnessSessionCount</v>
      </c>
      <c r="C2768" s="3" t="s">
        <v>9774</v>
      </c>
      <c r="D2768" s="3" t="s">
        <v>2773</v>
      </c>
      <c r="E2768" s="3" t="b">
        <v>1</v>
      </c>
      <c r="F2768" s="3" t="b">
        <v>0</v>
      </c>
      <c r="G2768" s="3" t="s">
        <v>10003</v>
      </c>
      <c r="H2768" s="4" t="str">
        <f>_xlfn.IFNA(IF(((INDEX(RulebookFields!C2:C1898, MATCH(D2768,RulebookFields!A2:A1898, 0))="")=TRUE),  "",  INDEX(RulebookFields!C2:C1898, MATCH(D2768,RulebookFields!A2:A1898, 0))), "")</f>
        <v>ProcedureVersions</v>
      </c>
      <c r="I2768" s="4" t="str">
        <f>_xlfn.IFNA(IF(((INDEX(RulebookFields!D2:D1898, MATCH(D2768,RulebookFields!A2:A1898, 0))="")=TRUE),  "",  INDEX(RulebookFields!D2:D1898, MATCH(D2768,RulebookFields!A2:A1898, 0))), "")</f>
        <v>ConcentratedWitnessSessionCount</v>
      </c>
      <c r="J2768" s="4" t="b">
        <f>_xlfn.IFNA(IF(((INDEX(RulebookFields!I2:I1898, MATCH(D2768,RulebookFields!A2:A1898, 0))="")=TRUE),  "",  INDEX(RulebookFields!I2:I1898, MATCH(D2768,RulebookFields!A2:A1898, 0))), "")</f>
        <v>1</v>
      </c>
      <c r="K2768" s="4" t="b">
        <f>AND(((F2768)=TRUE), ((J2768)=TRUE))</f>
        <v>0</v>
      </c>
      <c r="L2768" s="4" t="b">
        <f>AND(((G2768 &lt;&gt; "plain")=TRUE), ((G2768 &lt;&gt; "")=TRUE))</f>
        <v>0</v>
      </c>
      <c r="M2768" s="4" t="str">
        <f>IF(((E2768)=TRUE),  C2768 &amp; "|" &amp; H2768,  "")</f>
        <v>principal-knowledge-authority|ProcedureVersions</v>
      </c>
      <c r="N2768" s="3" t="s">
        <v>10004</v>
      </c>
    </row>
    <row r="2769">
      <c r="A2769" s="3" t="s">
        <v>12771</v>
      </c>
      <c r="B2769" s="4" t="str">
        <f>C2769 &amp; " -&gt; " &amp; D2769</f>
        <v>principal-knowledge-authority -&gt; ProcedureVersions.KnowledgeBaseIsConcentrated</v>
      </c>
      <c r="C2769" s="3" t="s">
        <v>9774</v>
      </c>
      <c r="D2769" s="3" t="s">
        <v>2775</v>
      </c>
      <c r="E2769" s="3" t="b">
        <v>1</v>
      </c>
      <c r="F2769" s="3" t="b">
        <v>0</v>
      </c>
      <c r="G2769" s="3" t="s">
        <v>10003</v>
      </c>
      <c r="H2769" s="4" t="str">
        <f>_xlfn.IFNA(IF(((INDEX(RulebookFields!C2:C1898, MATCH(D2769,RulebookFields!A2:A1898, 0))="")=TRUE),  "",  INDEX(RulebookFields!C2:C1898, MATCH(D2769,RulebookFields!A2:A1898, 0))), "")</f>
        <v>ProcedureVersions</v>
      </c>
      <c r="I2769" s="4" t="str">
        <f>_xlfn.IFNA(IF(((INDEX(RulebookFields!D2:D1898, MATCH(D2769,RulebookFields!A2:A1898, 0))="")=TRUE),  "",  INDEX(RulebookFields!D2:D1898, MATCH(D2769,RulebookFields!A2:A1898, 0))), "")</f>
        <v>KnowledgeBaseIsConcentrated</v>
      </c>
      <c r="J2769" s="4" t="b">
        <f>_xlfn.IFNA(IF(((INDEX(RulebookFields!I2:I1898, MATCH(D2769,RulebookFields!A2:A1898, 0))="")=TRUE),  "",  INDEX(RulebookFields!I2:I1898, MATCH(D2769,RulebookFields!A2:A1898, 0))), "")</f>
        <v>1</v>
      </c>
      <c r="K2769" s="4" t="b">
        <f>AND(((F2769)=TRUE), ((J2769)=TRUE))</f>
        <v>0</v>
      </c>
      <c r="L2769" s="4" t="b">
        <f>AND(((G2769 &lt;&gt; "plain")=TRUE), ((G2769 &lt;&gt; "")=TRUE))</f>
        <v>0</v>
      </c>
      <c r="M2769" s="4" t="str">
        <f>IF(((E2769)=TRUE),  C2769 &amp; "|" &amp; H2769,  "")</f>
        <v>principal-knowledge-authority|ProcedureVersions</v>
      </c>
      <c r="N2769" s="3" t="s">
        <v>10004</v>
      </c>
    </row>
    <row r="2770">
      <c r="A2770" s="3" t="s">
        <v>12772</v>
      </c>
      <c r="B2770" s="4" t="str">
        <f>C2770 &amp; " -&gt; " &amp; D2770</f>
        <v>principal-knowledge-authority -&gt; ProcedureVersions.MachineConsumedUnapprovedCount</v>
      </c>
      <c r="C2770" s="3" t="s">
        <v>9774</v>
      </c>
      <c r="D2770" s="3" t="s">
        <v>2777</v>
      </c>
      <c r="E2770" s="3" t="b">
        <v>1</v>
      </c>
      <c r="F2770" s="3" t="b">
        <v>0</v>
      </c>
      <c r="G2770" s="3" t="s">
        <v>10003</v>
      </c>
      <c r="H2770" s="4" t="str">
        <f>_xlfn.IFNA(IF(((INDEX(RulebookFields!C2:C1898, MATCH(D2770,RulebookFields!A2:A1898, 0))="")=TRUE),  "",  INDEX(RulebookFields!C2:C1898, MATCH(D2770,RulebookFields!A2:A1898, 0))), "")</f>
        <v>ProcedureVersions</v>
      </c>
      <c r="I2770" s="4" t="str">
        <f>_xlfn.IFNA(IF(((INDEX(RulebookFields!D2:D1898, MATCH(D2770,RulebookFields!A2:A1898, 0))="")=TRUE),  "",  INDEX(RulebookFields!D2:D1898, MATCH(D2770,RulebookFields!A2:A1898, 0))), "")</f>
        <v>MachineConsumedUnapprovedCount</v>
      </c>
      <c r="J2770" s="4" t="b">
        <f>_xlfn.IFNA(IF(((INDEX(RulebookFields!I2:I1898, MATCH(D2770,RulebookFields!A2:A1898, 0))="")=TRUE),  "",  INDEX(RulebookFields!I2:I1898, MATCH(D2770,RulebookFields!A2:A1898, 0))), "")</f>
        <v>1</v>
      </c>
      <c r="K2770" s="4" t="b">
        <f>AND(((F2770)=TRUE), ((J2770)=TRUE))</f>
        <v>0</v>
      </c>
      <c r="L2770" s="4" t="b">
        <f>AND(((G2770 &lt;&gt; "plain")=TRUE), ((G2770 &lt;&gt; "")=TRUE))</f>
        <v>0</v>
      </c>
      <c r="M2770" s="4" t="str">
        <f>IF(((E2770)=TRUE),  C2770 &amp; "|" &amp; H2770,  "")</f>
        <v>principal-knowledge-authority|ProcedureVersions</v>
      </c>
      <c r="N2770" s="3" t="s">
        <v>10004</v>
      </c>
    </row>
    <row r="2771">
      <c r="A2771" s="3" t="s">
        <v>12773</v>
      </c>
      <c r="B2771" s="4" t="str">
        <f>C2771 &amp; " -&gt; " &amp; D2771</f>
        <v>principal-knowledge-authority -&gt; ProcedureVersions.FeedsUnapprovedKnowledgeToMachines</v>
      </c>
      <c r="C2771" s="3" t="s">
        <v>9774</v>
      </c>
      <c r="D2771" s="3" t="s">
        <v>2779</v>
      </c>
      <c r="E2771" s="3" t="b">
        <v>1</v>
      </c>
      <c r="F2771" s="3" t="b">
        <v>0</v>
      </c>
      <c r="G2771" s="3" t="s">
        <v>10003</v>
      </c>
      <c r="H2771" s="4" t="str">
        <f>_xlfn.IFNA(IF(((INDEX(RulebookFields!C2:C1898, MATCH(D2771,RulebookFields!A2:A1898, 0))="")=TRUE),  "",  INDEX(RulebookFields!C2:C1898, MATCH(D2771,RulebookFields!A2:A1898, 0))), "")</f>
        <v>ProcedureVersions</v>
      </c>
      <c r="I2771" s="4" t="str">
        <f>_xlfn.IFNA(IF(((INDEX(RulebookFields!D2:D1898, MATCH(D2771,RulebookFields!A2:A1898, 0))="")=TRUE),  "",  INDEX(RulebookFields!D2:D1898, MATCH(D2771,RulebookFields!A2:A1898, 0))), "")</f>
        <v>FeedsUnapprovedKnowledgeToMachines</v>
      </c>
      <c r="J2771" s="4" t="b">
        <f>_xlfn.IFNA(IF(((INDEX(RulebookFields!I2:I1898, MATCH(D2771,RulebookFields!A2:A1898, 0))="")=TRUE),  "",  INDEX(RulebookFields!I2:I1898, MATCH(D2771,RulebookFields!A2:A1898, 0))), "")</f>
        <v>1</v>
      </c>
      <c r="K2771" s="4" t="b">
        <f>AND(((F2771)=TRUE), ((J2771)=TRUE))</f>
        <v>0</v>
      </c>
      <c r="L2771" s="4" t="b">
        <f>AND(((G2771 &lt;&gt; "plain")=TRUE), ((G2771 &lt;&gt; "")=TRUE))</f>
        <v>0</v>
      </c>
      <c r="M2771" s="4" t="str">
        <f>IF(((E2771)=TRUE),  C2771 &amp; "|" &amp; H2771,  "")</f>
        <v>principal-knowledge-authority|ProcedureVersions</v>
      </c>
      <c r="N2771" s="3" t="s">
        <v>10004</v>
      </c>
    </row>
    <row r="2772">
      <c r="A2772" s="3" t="s">
        <v>12774</v>
      </c>
      <c r="B2772" s="4" t="str">
        <f>C2772 &amp; " -&gt; " &amp; D2772</f>
        <v>principal-knowledge-authority -&gt; ProcedureVersions.GenuinelyOverdueFragmentCount</v>
      </c>
      <c r="C2772" s="3" t="s">
        <v>9774</v>
      </c>
      <c r="D2772" s="3" t="s">
        <v>2781</v>
      </c>
      <c r="E2772" s="3" t="b">
        <v>1</v>
      </c>
      <c r="F2772" s="3" t="b">
        <v>0</v>
      </c>
      <c r="G2772" s="3" t="s">
        <v>10003</v>
      </c>
      <c r="H2772" s="4" t="str">
        <f>_xlfn.IFNA(IF(((INDEX(RulebookFields!C2:C1898, MATCH(D2772,RulebookFields!A2:A1898, 0))="")=TRUE),  "",  INDEX(RulebookFields!C2:C1898, MATCH(D2772,RulebookFields!A2:A1898, 0))), "")</f>
        <v>ProcedureVersions</v>
      </c>
      <c r="I2772" s="4" t="str">
        <f>_xlfn.IFNA(IF(((INDEX(RulebookFields!D2:D1898, MATCH(D2772,RulebookFields!A2:A1898, 0))="")=TRUE),  "",  INDEX(RulebookFields!D2:D1898, MATCH(D2772,RulebookFields!A2:A1898, 0))), "")</f>
        <v>GenuinelyOverdueFragmentCount</v>
      </c>
      <c r="J2772" s="4" t="b">
        <f>_xlfn.IFNA(IF(((INDEX(RulebookFields!I2:I1898, MATCH(D2772,RulebookFields!A2:A1898, 0))="")=TRUE),  "",  INDEX(RulebookFields!I2:I1898, MATCH(D2772,RulebookFields!A2:A1898, 0))), "")</f>
        <v>1</v>
      </c>
      <c r="K2772" s="4" t="b">
        <f>AND(((F2772)=TRUE), ((J2772)=TRUE))</f>
        <v>0</v>
      </c>
      <c r="L2772" s="4" t="b">
        <f>AND(((G2772 &lt;&gt; "plain")=TRUE), ((G2772 &lt;&gt; "")=TRUE))</f>
        <v>0</v>
      </c>
      <c r="M2772" s="4" t="str">
        <f>IF(((E2772)=TRUE),  C2772 &amp; "|" &amp; H2772,  "")</f>
        <v>principal-knowledge-authority|ProcedureVersions</v>
      </c>
      <c r="N2772" s="3" t="s">
        <v>10004</v>
      </c>
    </row>
    <row r="2773">
      <c r="A2773" s="3" t="s">
        <v>12775</v>
      </c>
      <c r="B2773" s="4" t="str">
        <f>C2773 &amp; " -&gt; " &amp; D2773</f>
        <v>principal-knowledge-authority -&gt; ProcedureVersions.AwaitedDecisionCount</v>
      </c>
      <c r="C2773" s="3" t="s">
        <v>9774</v>
      </c>
      <c r="D2773" s="3" t="s">
        <v>2783</v>
      </c>
      <c r="E2773" s="3" t="b">
        <v>1</v>
      </c>
      <c r="F2773" s="3" t="b">
        <v>0</v>
      </c>
      <c r="G2773" s="3" t="s">
        <v>10003</v>
      </c>
      <c r="H2773" s="4" t="str">
        <f>_xlfn.IFNA(IF(((INDEX(RulebookFields!C2:C1898, MATCH(D2773,RulebookFields!A2:A1898, 0))="")=TRUE),  "",  INDEX(RulebookFields!C2:C1898, MATCH(D2773,RulebookFields!A2:A1898, 0))), "")</f>
        <v>ProcedureVersions</v>
      </c>
      <c r="I2773" s="4" t="str">
        <f>_xlfn.IFNA(IF(((INDEX(RulebookFields!D2:D1898, MATCH(D2773,RulebookFields!A2:A1898, 0))="")=TRUE),  "",  INDEX(RulebookFields!D2:D1898, MATCH(D2773,RulebookFields!A2:A1898, 0))), "")</f>
        <v>AwaitedDecisionCount</v>
      </c>
      <c r="J2773" s="4" t="b">
        <f>_xlfn.IFNA(IF(((INDEX(RulebookFields!I2:I1898, MATCH(D2773,RulebookFields!A2:A1898, 0))="")=TRUE),  "",  INDEX(RulebookFields!I2:I1898, MATCH(D2773,RulebookFields!A2:A1898, 0))), "")</f>
        <v>1</v>
      </c>
      <c r="K2773" s="4" t="b">
        <f>AND(((F2773)=TRUE), ((J2773)=TRUE))</f>
        <v>0</v>
      </c>
      <c r="L2773" s="4" t="b">
        <f>AND(((G2773 &lt;&gt; "plain")=TRUE), ((G2773 &lt;&gt; "")=TRUE))</f>
        <v>0</v>
      </c>
      <c r="M2773" s="4" t="str">
        <f>IF(((E2773)=TRUE),  C2773 &amp; "|" &amp; H2773,  "")</f>
        <v>principal-knowledge-authority|ProcedureVersions</v>
      </c>
      <c r="N2773" s="3" t="s">
        <v>10004</v>
      </c>
    </row>
    <row r="2774">
      <c r="A2774" s="3" t="s">
        <v>12776</v>
      </c>
      <c r="B2774" s="4" t="str">
        <f>C2774 &amp; " -&gt; " &amp; D2774</f>
        <v>principal-knowledge-authority -&gt; ProcedureVersions.ScopedOpenBlockingGapCount</v>
      </c>
      <c r="C2774" s="3" t="s">
        <v>9774</v>
      </c>
      <c r="D2774" s="3" t="s">
        <v>2785</v>
      </c>
      <c r="E2774" s="3" t="b">
        <v>1</v>
      </c>
      <c r="F2774" s="3" t="b">
        <v>0</v>
      </c>
      <c r="G2774" s="3" t="s">
        <v>10003</v>
      </c>
      <c r="H2774" s="4" t="str">
        <f>_xlfn.IFNA(IF(((INDEX(RulebookFields!C2:C1898, MATCH(D2774,RulebookFields!A2:A1898, 0))="")=TRUE),  "",  INDEX(RulebookFields!C2:C1898, MATCH(D2774,RulebookFields!A2:A1898, 0))), "")</f>
        <v>ProcedureVersions</v>
      </c>
      <c r="I2774" s="4" t="str">
        <f>_xlfn.IFNA(IF(((INDEX(RulebookFields!D2:D1898, MATCH(D2774,RulebookFields!A2:A1898, 0))="")=TRUE),  "",  INDEX(RulebookFields!D2:D1898, MATCH(D2774,RulebookFields!A2:A1898, 0))), "")</f>
        <v>ScopedOpenBlockingGapCount</v>
      </c>
      <c r="J2774" s="4" t="b">
        <f>_xlfn.IFNA(IF(((INDEX(RulebookFields!I2:I1898, MATCH(D2774,RulebookFields!A2:A1898, 0))="")=TRUE),  "",  INDEX(RulebookFields!I2:I1898, MATCH(D2774,RulebookFields!A2:A1898, 0))), "")</f>
        <v>1</v>
      </c>
      <c r="K2774" s="4" t="b">
        <f>AND(((F2774)=TRUE), ((J2774)=TRUE))</f>
        <v>0</v>
      </c>
      <c r="L2774" s="4" t="b">
        <f>AND(((G2774 &lt;&gt; "plain")=TRUE), ((G2774 &lt;&gt; "")=TRUE))</f>
        <v>0</v>
      </c>
      <c r="M2774" s="4" t="str">
        <f>IF(((E2774)=TRUE),  C2774 &amp; "|" &amp; H2774,  "")</f>
        <v>principal-knowledge-authority|ProcedureVersions</v>
      </c>
      <c r="N2774" s="3" t="s">
        <v>10004</v>
      </c>
    </row>
    <row r="2775">
      <c r="A2775" s="3" t="s">
        <v>12777</v>
      </c>
      <c r="B2775" s="4" t="str">
        <f>C2775 &amp; " -&gt; " &amp; D2775</f>
        <v>principal-knowledge-authority -&gt; ProcedureVersions.IsBlockedOnPendingDecision</v>
      </c>
      <c r="C2775" s="3" t="s">
        <v>9774</v>
      </c>
      <c r="D2775" s="3" t="s">
        <v>2787</v>
      </c>
      <c r="E2775" s="3" t="b">
        <v>1</v>
      </c>
      <c r="F2775" s="3" t="b">
        <v>0</v>
      </c>
      <c r="G2775" s="3" t="s">
        <v>10003</v>
      </c>
      <c r="H2775" s="4" t="str">
        <f>_xlfn.IFNA(IF(((INDEX(RulebookFields!C2:C1898, MATCH(D2775,RulebookFields!A2:A1898, 0))="")=TRUE),  "",  INDEX(RulebookFields!C2:C1898, MATCH(D2775,RulebookFields!A2:A1898, 0))), "")</f>
        <v>ProcedureVersions</v>
      </c>
      <c r="I2775" s="4" t="str">
        <f>_xlfn.IFNA(IF(((INDEX(RulebookFields!D2:D1898, MATCH(D2775,RulebookFields!A2:A1898, 0))="")=TRUE),  "",  INDEX(RulebookFields!D2:D1898, MATCH(D2775,RulebookFields!A2:A1898, 0))), "")</f>
        <v>IsBlockedOnPendingDecision</v>
      </c>
      <c r="J2775" s="4" t="b">
        <f>_xlfn.IFNA(IF(((INDEX(RulebookFields!I2:I1898, MATCH(D2775,RulebookFields!A2:A1898, 0))="")=TRUE),  "",  INDEX(RulebookFields!I2:I1898, MATCH(D2775,RulebookFields!A2:A1898, 0))), "")</f>
        <v>1</v>
      </c>
      <c r="K2775" s="4" t="b">
        <f>AND(((F2775)=TRUE), ((J2775)=TRUE))</f>
        <v>0</v>
      </c>
      <c r="L2775" s="4" t="b">
        <f>AND(((G2775 &lt;&gt; "plain")=TRUE), ((G2775 &lt;&gt; "")=TRUE))</f>
        <v>0</v>
      </c>
      <c r="M2775" s="4" t="str">
        <f>IF(((E2775)=TRUE),  C2775 &amp; "|" &amp; H2775,  "")</f>
        <v>principal-knowledge-authority|ProcedureVersions</v>
      </c>
      <c r="N2775" s="3" t="s">
        <v>10004</v>
      </c>
    </row>
    <row r="2776">
      <c r="A2776" s="3" t="s">
        <v>12778</v>
      </c>
      <c r="B2776" s="4" t="str">
        <f>C2776 &amp; " -&gt; " &amp; D2776</f>
        <v>principal-knowledge-authority -&gt; ProcedureVersions.UnexercisedHumanGateCount</v>
      </c>
      <c r="C2776" s="3" t="s">
        <v>9774</v>
      </c>
      <c r="D2776" s="3" t="s">
        <v>2789</v>
      </c>
      <c r="E2776" s="3" t="b">
        <v>1</v>
      </c>
      <c r="F2776" s="3" t="b">
        <v>0</v>
      </c>
      <c r="G2776" s="3" t="s">
        <v>10003</v>
      </c>
      <c r="H2776" s="4" t="str">
        <f>_xlfn.IFNA(IF(((INDEX(RulebookFields!C2:C1898, MATCH(D2776,RulebookFields!A2:A1898, 0))="")=TRUE),  "",  INDEX(RulebookFields!C2:C1898, MATCH(D2776,RulebookFields!A2:A1898, 0))), "")</f>
        <v>ProcedureVersions</v>
      </c>
      <c r="I2776" s="4" t="str">
        <f>_xlfn.IFNA(IF(((INDEX(RulebookFields!D2:D1898, MATCH(D2776,RulebookFields!A2:A1898, 0))="")=TRUE),  "",  INDEX(RulebookFields!D2:D1898, MATCH(D2776,RulebookFields!A2:A1898, 0))), "")</f>
        <v>UnexercisedHumanGateCount</v>
      </c>
      <c r="J2776" s="4" t="b">
        <f>_xlfn.IFNA(IF(((INDEX(RulebookFields!I2:I1898, MATCH(D2776,RulebookFields!A2:A1898, 0))="")=TRUE),  "",  INDEX(RulebookFields!I2:I1898, MATCH(D2776,RulebookFields!A2:A1898, 0))), "")</f>
        <v>1</v>
      </c>
      <c r="K2776" s="4" t="b">
        <f>AND(((F2776)=TRUE), ((J2776)=TRUE))</f>
        <v>0</v>
      </c>
      <c r="L2776" s="4" t="b">
        <f>AND(((G2776 &lt;&gt; "plain")=TRUE), ((G2776 &lt;&gt; "")=TRUE))</f>
        <v>0</v>
      </c>
      <c r="M2776" s="4" t="str">
        <f>IF(((E2776)=TRUE),  C2776 &amp; "|" &amp; H2776,  "")</f>
        <v>principal-knowledge-authority|ProcedureVersions</v>
      </c>
      <c r="N2776" s="3" t="s">
        <v>10004</v>
      </c>
    </row>
    <row r="2777">
      <c r="A2777" s="3" t="s">
        <v>12779</v>
      </c>
      <c r="B2777" s="4" t="str">
        <f>C2777 &amp; " -&gt; " &amp; D2777</f>
        <v>principal-knowledge-authority -&gt; ProcedureVersions.AiBoundaryIsUnevidenced</v>
      </c>
      <c r="C2777" s="3" t="s">
        <v>9774</v>
      </c>
      <c r="D2777" s="3" t="s">
        <v>2791</v>
      </c>
      <c r="E2777" s="3" t="b">
        <v>1</v>
      </c>
      <c r="F2777" s="3" t="b">
        <v>0</v>
      </c>
      <c r="G2777" s="3" t="s">
        <v>10003</v>
      </c>
      <c r="H2777" s="4" t="str">
        <f>_xlfn.IFNA(IF(((INDEX(RulebookFields!C2:C1898, MATCH(D2777,RulebookFields!A2:A1898, 0))="")=TRUE),  "",  INDEX(RulebookFields!C2:C1898, MATCH(D2777,RulebookFields!A2:A1898, 0))), "")</f>
        <v>ProcedureVersions</v>
      </c>
      <c r="I2777" s="4" t="str">
        <f>_xlfn.IFNA(IF(((INDEX(RulebookFields!D2:D1898, MATCH(D2777,RulebookFields!A2:A1898, 0))="")=TRUE),  "",  INDEX(RulebookFields!D2:D1898, MATCH(D2777,RulebookFields!A2:A1898, 0))), "")</f>
        <v>AiBoundaryIsUnevidenced</v>
      </c>
      <c r="J2777" s="4" t="b">
        <f>_xlfn.IFNA(IF(((INDEX(RulebookFields!I2:I1898, MATCH(D2777,RulebookFields!A2:A1898, 0))="")=TRUE),  "",  INDEX(RulebookFields!I2:I1898, MATCH(D2777,RulebookFields!A2:A1898, 0))), "")</f>
        <v>1</v>
      </c>
      <c r="K2777" s="4" t="b">
        <f>AND(((F2777)=TRUE), ((J2777)=TRUE))</f>
        <v>0</v>
      </c>
      <c r="L2777" s="4" t="b">
        <f>AND(((G2777 &lt;&gt; "plain")=TRUE), ((G2777 &lt;&gt; "")=TRUE))</f>
        <v>0</v>
      </c>
      <c r="M2777" s="4" t="str">
        <f>IF(((E2777)=TRUE),  C2777 &amp; "|" &amp; H2777,  "")</f>
        <v>principal-knowledge-authority|ProcedureVersions</v>
      </c>
      <c r="N2777" s="3" t="s">
        <v>10004</v>
      </c>
    </row>
    <row r="2778">
      <c r="A2778" s="3" t="s">
        <v>12780</v>
      </c>
      <c r="B2778" s="4" t="str">
        <f>C2778 &amp; " -&gt; " &amp; D2778</f>
        <v>principal-knowledge-authority -&gt; ProcedureVersions.LoadBearingUnapprovedCount</v>
      </c>
      <c r="C2778" s="3" t="s">
        <v>9774</v>
      </c>
      <c r="D2778" s="3" t="s">
        <v>2793</v>
      </c>
      <c r="E2778" s="3" t="b">
        <v>1</v>
      </c>
      <c r="F2778" s="3" t="b">
        <v>0</v>
      </c>
      <c r="G2778" s="3" t="s">
        <v>10003</v>
      </c>
      <c r="H2778" s="4" t="str">
        <f>_xlfn.IFNA(IF(((INDEX(RulebookFields!C2:C1898, MATCH(D2778,RulebookFields!A2:A1898, 0))="")=TRUE),  "",  INDEX(RulebookFields!C2:C1898, MATCH(D2778,RulebookFields!A2:A1898, 0))), "")</f>
        <v>ProcedureVersions</v>
      </c>
      <c r="I2778" s="4" t="str">
        <f>_xlfn.IFNA(IF(((INDEX(RulebookFields!D2:D1898, MATCH(D2778,RulebookFields!A2:A1898, 0))="")=TRUE),  "",  INDEX(RulebookFields!D2:D1898, MATCH(D2778,RulebookFields!A2:A1898, 0))), "")</f>
        <v>LoadBearingUnapprovedCount</v>
      </c>
      <c r="J2778" s="4" t="b">
        <f>_xlfn.IFNA(IF(((INDEX(RulebookFields!I2:I1898, MATCH(D2778,RulebookFields!A2:A1898, 0))="")=TRUE),  "",  INDEX(RulebookFields!I2:I1898, MATCH(D2778,RulebookFields!A2:A1898, 0))), "")</f>
        <v>1</v>
      </c>
      <c r="K2778" s="4" t="b">
        <f>AND(((F2778)=TRUE), ((J2778)=TRUE))</f>
        <v>0</v>
      </c>
      <c r="L2778" s="4" t="b">
        <f>AND(((G2778 &lt;&gt; "plain")=TRUE), ((G2778 &lt;&gt; "")=TRUE))</f>
        <v>0</v>
      </c>
      <c r="M2778" s="4" t="str">
        <f>IF(((E2778)=TRUE),  C2778 &amp; "|" &amp; H2778,  "")</f>
        <v>principal-knowledge-authority|ProcedureVersions</v>
      </c>
      <c r="N2778" s="3" t="s">
        <v>10004</v>
      </c>
    </row>
    <row r="2779">
      <c r="A2779" s="3" t="s">
        <v>12781</v>
      </c>
      <c r="B2779" s="4" t="str">
        <f>C2779 &amp; " -&gt; " &amp; D2779</f>
        <v>principal-knowledge-authority -&gt; ProcedureVersions.UnlandedDecisionCount</v>
      </c>
      <c r="C2779" s="3" t="s">
        <v>9774</v>
      </c>
      <c r="D2779" s="3" t="s">
        <v>2795</v>
      </c>
      <c r="E2779" s="3" t="b">
        <v>1</v>
      </c>
      <c r="F2779" s="3" t="b">
        <v>0</v>
      </c>
      <c r="G2779" s="3" t="s">
        <v>10003</v>
      </c>
      <c r="H2779" s="4" t="str">
        <f>_xlfn.IFNA(IF(((INDEX(RulebookFields!C2:C1898, MATCH(D2779,RulebookFields!A2:A1898, 0))="")=TRUE),  "",  INDEX(RulebookFields!C2:C1898, MATCH(D2779,RulebookFields!A2:A1898, 0))), "")</f>
        <v>ProcedureVersions</v>
      </c>
      <c r="I2779" s="4" t="str">
        <f>_xlfn.IFNA(IF(((INDEX(RulebookFields!D2:D1898, MATCH(D2779,RulebookFields!A2:A1898, 0))="")=TRUE),  "",  INDEX(RulebookFields!D2:D1898, MATCH(D2779,RulebookFields!A2:A1898, 0))), "")</f>
        <v>UnlandedDecisionCount</v>
      </c>
      <c r="J2779" s="4" t="b">
        <f>_xlfn.IFNA(IF(((INDEX(RulebookFields!I2:I1898, MATCH(D2779,RulebookFields!A2:A1898, 0))="")=TRUE),  "",  INDEX(RulebookFields!I2:I1898, MATCH(D2779,RulebookFields!A2:A1898, 0))), "")</f>
        <v>1</v>
      </c>
      <c r="K2779" s="4" t="b">
        <f>AND(((F2779)=TRUE), ((J2779)=TRUE))</f>
        <v>0</v>
      </c>
      <c r="L2779" s="4" t="b">
        <f>AND(((G2779 &lt;&gt; "plain")=TRUE), ((G2779 &lt;&gt; "")=TRUE))</f>
        <v>0</v>
      </c>
      <c r="M2779" s="4" t="str">
        <f>IF(((E2779)=TRUE),  C2779 &amp; "|" &amp; H2779,  "")</f>
        <v>principal-knowledge-authority|ProcedureVersions</v>
      </c>
      <c r="N2779" s="3" t="s">
        <v>10004</v>
      </c>
    </row>
    <row r="2780">
      <c r="A2780" s="3" t="s">
        <v>12782</v>
      </c>
      <c r="B2780" s="4" t="str">
        <f>C2780 &amp; " -&gt; " &amp; D2780</f>
        <v>principal-knowledge-authority -&gt; ProcedureVersions.UnrehearsedControlEntryCount</v>
      </c>
      <c r="C2780" s="3" t="s">
        <v>9774</v>
      </c>
      <c r="D2780" s="3" t="s">
        <v>2797</v>
      </c>
      <c r="E2780" s="3" t="b">
        <v>1</v>
      </c>
      <c r="F2780" s="3" t="b">
        <v>0</v>
      </c>
      <c r="G2780" s="3" t="s">
        <v>10003</v>
      </c>
      <c r="H2780" s="4" t="str">
        <f>_xlfn.IFNA(IF(((INDEX(RulebookFields!C2:C1898, MATCH(D2780,RulebookFields!A2:A1898, 0))="")=TRUE),  "",  INDEX(RulebookFields!C2:C1898, MATCH(D2780,RulebookFields!A2:A1898, 0))), "")</f>
        <v>ProcedureVersions</v>
      </c>
      <c r="I2780" s="4" t="str">
        <f>_xlfn.IFNA(IF(((INDEX(RulebookFields!D2:D1898, MATCH(D2780,RulebookFields!A2:A1898, 0))="")=TRUE),  "",  INDEX(RulebookFields!D2:D1898, MATCH(D2780,RulebookFields!A2:A1898, 0))), "")</f>
        <v>UnrehearsedControlEntryCount</v>
      </c>
      <c r="J2780" s="4" t="b">
        <f>_xlfn.IFNA(IF(((INDEX(RulebookFields!I2:I1898, MATCH(D2780,RulebookFields!A2:A1898, 0))="")=TRUE),  "",  INDEX(RulebookFields!I2:I1898, MATCH(D2780,RulebookFields!A2:A1898, 0))), "")</f>
        <v>1</v>
      </c>
      <c r="K2780" s="4" t="b">
        <f>AND(((F2780)=TRUE), ((J2780)=TRUE))</f>
        <v>0</v>
      </c>
      <c r="L2780" s="4" t="b">
        <f>AND(((G2780 &lt;&gt; "plain")=TRUE), ((G2780 &lt;&gt; "")=TRUE))</f>
        <v>0</v>
      </c>
      <c r="M2780" s="4" t="str">
        <f>IF(((E2780)=TRUE),  C2780 &amp; "|" &amp; H2780,  "")</f>
        <v>principal-knowledge-authority|ProcedureVersions</v>
      </c>
      <c r="N2780" s="3" t="s">
        <v>10004</v>
      </c>
    </row>
    <row r="2781">
      <c r="A2781" s="3" t="s">
        <v>12783</v>
      </c>
      <c r="B2781" s="4" t="str">
        <f>C2781 &amp; " -&gt; " &amp; D2781</f>
        <v>principal-knowledge-authority -&gt; ProcedureVersions.HasUnrehearsedControlEntry</v>
      </c>
      <c r="C2781" s="3" t="s">
        <v>9774</v>
      </c>
      <c r="D2781" s="3" t="s">
        <v>2799</v>
      </c>
      <c r="E2781" s="3" t="b">
        <v>1</v>
      </c>
      <c r="F2781" s="3" t="b">
        <v>0</v>
      </c>
      <c r="G2781" s="3" t="s">
        <v>10003</v>
      </c>
      <c r="H2781" s="4" t="str">
        <f>_xlfn.IFNA(IF(((INDEX(RulebookFields!C2:C1898, MATCH(D2781,RulebookFields!A2:A1898, 0))="")=TRUE),  "",  INDEX(RulebookFields!C2:C1898, MATCH(D2781,RulebookFields!A2:A1898, 0))), "")</f>
        <v>ProcedureVersions</v>
      </c>
      <c r="I2781" s="4" t="str">
        <f>_xlfn.IFNA(IF(((INDEX(RulebookFields!D2:D1898, MATCH(D2781,RulebookFields!A2:A1898, 0))="")=TRUE),  "",  INDEX(RulebookFields!D2:D1898, MATCH(D2781,RulebookFields!A2:A1898, 0))), "")</f>
        <v>HasUnrehearsedControlEntry</v>
      </c>
      <c r="J2781" s="4" t="b">
        <f>_xlfn.IFNA(IF(((INDEX(RulebookFields!I2:I1898, MATCH(D2781,RulebookFields!A2:A1898, 0))="")=TRUE),  "",  INDEX(RulebookFields!I2:I1898, MATCH(D2781,RulebookFields!A2:A1898, 0))), "")</f>
        <v>1</v>
      </c>
      <c r="K2781" s="4" t="b">
        <f>AND(((F2781)=TRUE), ((J2781)=TRUE))</f>
        <v>0</v>
      </c>
      <c r="L2781" s="4" t="b">
        <f>AND(((G2781 &lt;&gt; "plain")=TRUE), ((G2781 &lt;&gt; "")=TRUE))</f>
        <v>0</v>
      </c>
      <c r="M2781" s="4" t="str">
        <f>IF(((E2781)=TRUE),  C2781 &amp; "|" &amp; H2781,  "")</f>
        <v>principal-knowledge-authority|ProcedureVersions</v>
      </c>
      <c r="N2781" s="3" t="s">
        <v>10004</v>
      </c>
    </row>
    <row r="2782">
      <c r="A2782" s="3" t="s">
        <v>12784</v>
      </c>
      <c r="B2782" s="4" t="str">
        <f>C2782 &amp; " -&gt; " &amp; D2782</f>
        <v>principal-knowledge-authority -&gt; ProcedureVersions.IsLiveWithUnrehearsedControl</v>
      </c>
      <c r="C2782" s="3" t="s">
        <v>9774</v>
      </c>
      <c r="D2782" s="3" t="s">
        <v>2801</v>
      </c>
      <c r="E2782" s="3" t="b">
        <v>1</v>
      </c>
      <c r="F2782" s="3" t="b">
        <v>0</v>
      </c>
      <c r="G2782" s="3" t="s">
        <v>10003</v>
      </c>
      <c r="H2782" s="4" t="str">
        <f>_xlfn.IFNA(IF(((INDEX(RulebookFields!C2:C1898, MATCH(D2782,RulebookFields!A2:A1898, 0))="")=TRUE),  "",  INDEX(RulebookFields!C2:C1898, MATCH(D2782,RulebookFields!A2:A1898, 0))), "")</f>
        <v>ProcedureVersions</v>
      </c>
      <c r="I2782" s="4" t="str">
        <f>_xlfn.IFNA(IF(((INDEX(RulebookFields!D2:D1898, MATCH(D2782,RulebookFields!A2:A1898, 0))="")=TRUE),  "",  INDEX(RulebookFields!D2:D1898, MATCH(D2782,RulebookFields!A2:A1898, 0))), "")</f>
        <v>IsLiveWithUnrehearsedControl</v>
      </c>
      <c r="J2782" s="4" t="b">
        <f>_xlfn.IFNA(IF(((INDEX(RulebookFields!I2:I1898, MATCH(D2782,RulebookFields!A2:A1898, 0))="")=TRUE),  "",  INDEX(RulebookFields!I2:I1898, MATCH(D2782,RulebookFields!A2:A1898, 0))), "")</f>
        <v>1</v>
      </c>
      <c r="K2782" s="4" t="b">
        <f>AND(((F2782)=TRUE), ((J2782)=TRUE))</f>
        <v>0</v>
      </c>
      <c r="L2782" s="4" t="b">
        <f>AND(((G2782 &lt;&gt; "plain")=TRUE), ((G2782 &lt;&gt; "")=TRUE))</f>
        <v>0</v>
      </c>
      <c r="M2782" s="4" t="str">
        <f>IF(((E2782)=TRUE),  C2782 &amp; "|" &amp; H2782,  "")</f>
        <v>principal-knowledge-authority|ProcedureVersions</v>
      </c>
      <c r="N2782" s="3" t="s">
        <v>10004</v>
      </c>
    </row>
    <row r="2783">
      <c r="A2783" s="3" t="s">
        <v>12785</v>
      </c>
      <c r="B2783" s="4" t="str">
        <f>C2783 &amp; " -&gt; " &amp; D2783</f>
        <v>principal-knowledge-authority -&gt; ProcedureVersions.CadenceBreachCount</v>
      </c>
      <c r="C2783" s="3" t="s">
        <v>9774</v>
      </c>
      <c r="D2783" s="3" t="s">
        <v>2803</v>
      </c>
      <c r="E2783" s="3" t="b">
        <v>1</v>
      </c>
      <c r="F2783" s="3" t="b">
        <v>0</v>
      </c>
      <c r="G2783" s="3" t="s">
        <v>10003</v>
      </c>
      <c r="H2783" s="4" t="str">
        <f>_xlfn.IFNA(IF(((INDEX(RulebookFields!C2:C1898, MATCH(D2783,RulebookFields!A2:A1898, 0))="")=TRUE),  "",  INDEX(RulebookFields!C2:C1898, MATCH(D2783,RulebookFields!A2:A1898, 0))), "")</f>
        <v>ProcedureVersions</v>
      </c>
      <c r="I2783" s="4" t="str">
        <f>_xlfn.IFNA(IF(((INDEX(RulebookFields!D2:D1898, MATCH(D2783,RulebookFields!A2:A1898, 0))="")=TRUE),  "",  INDEX(RulebookFields!D2:D1898, MATCH(D2783,RulebookFields!A2:A1898, 0))), "")</f>
        <v>CadenceBreachCount</v>
      </c>
      <c r="J2783" s="4" t="b">
        <f>_xlfn.IFNA(IF(((INDEX(RulebookFields!I2:I1898, MATCH(D2783,RulebookFields!A2:A1898, 0))="")=TRUE),  "",  INDEX(RulebookFields!I2:I1898, MATCH(D2783,RulebookFields!A2:A1898, 0))), "")</f>
        <v>1</v>
      </c>
      <c r="K2783" s="4" t="b">
        <f>AND(((F2783)=TRUE), ((J2783)=TRUE))</f>
        <v>0</v>
      </c>
      <c r="L2783" s="4" t="b">
        <f>AND(((G2783 &lt;&gt; "plain")=TRUE), ((G2783 &lt;&gt; "")=TRUE))</f>
        <v>0</v>
      </c>
      <c r="M2783" s="4" t="str">
        <f>IF(((E2783)=TRUE),  C2783 &amp; "|" &amp; H2783,  "")</f>
        <v>principal-knowledge-authority|ProcedureVersions</v>
      </c>
      <c r="N2783" s="3" t="s">
        <v>10004</v>
      </c>
    </row>
    <row r="2784">
      <c r="A2784" s="3" t="s">
        <v>12786</v>
      </c>
      <c r="B2784" s="4" t="str">
        <f>C2784 &amp; " -&gt; " &amp; D2784</f>
        <v>principal-knowledge-authority -&gt; ProcedureVersions.IsInCadenceBreach</v>
      </c>
      <c r="C2784" s="3" t="s">
        <v>9774</v>
      </c>
      <c r="D2784" s="3" t="s">
        <v>2805</v>
      </c>
      <c r="E2784" s="3" t="b">
        <v>1</v>
      </c>
      <c r="F2784" s="3" t="b">
        <v>0</v>
      </c>
      <c r="G2784" s="3" t="s">
        <v>10003</v>
      </c>
      <c r="H2784" s="4" t="str">
        <f>_xlfn.IFNA(IF(((INDEX(RulebookFields!C2:C1898, MATCH(D2784,RulebookFields!A2:A1898, 0))="")=TRUE),  "",  INDEX(RulebookFields!C2:C1898, MATCH(D2784,RulebookFields!A2:A1898, 0))), "")</f>
        <v>ProcedureVersions</v>
      </c>
      <c r="I2784" s="4" t="str">
        <f>_xlfn.IFNA(IF(((INDEX(RulebookFields!D2:D1898, MATCH(D2784,RulebookFields!A2:A1898, 0))="")=TRUE),  "",  INDEX(RulebookFields!D2:D1898, MATCH(D2784,RulebookFields!A2:A1898, 0))), "")</f>
        <v>IsInCadenceBreach</v>
      </c>
      <c r="J2784" s="4" t="b">
        <f>_xlfn.IFNA(IF(((INDEX(RulebookFields!I2:I1898, MATCH(D2784,RulebookFields!A2:A1898, 0))="")=TRUE),  "",  INDEX(RulebookFields!I2:I1898, MATCH(D2784,RulebookFields!A2:A1898, 0))), "")</f>
        <v>1</v>
      </c>
      <c r="K2784" s="4" t="b">
        <f>AND(((F2784)=TRUE), ((J2784)=TRUE))</f>
        <v>0</v>
      </c>
      <c r="L2784" s="4" t="b">
        <f>AND(((G2784 &lt;&gt; "plain")=TRUE), ((G2784 &lt;&gt; "")=TRUE))</f>
        <v>0</v>
      </c>
      <c r="M2784" s="4" t="str">
        <f>IF(((E2784)=TRUE),  C2784 &amp; "|" &amp; H2784,  "")</f>
        <v>principal-knowledge-authority|ProcedureVersions</v>
      </c>
      <c r="N2784" s="3" t="s">
        <v>10004</v>
      </c>
    </row>
    <row r="2785">
      <c r="A2785" s="3" t="s">
        <v>12787</v>
      </c>
      <c r="B2785" s="4" t="str">
        <f>C2785 &amp; " -&gt; " &amp; D2785</f>
        <v>principal-knowledge-authority -&gt; ProcedureVersions.HasDecisionInFlight</v>
      </c>
      <c r="C2785" s="3" t="s">
        <v>9774</v>
      </c>
      <c r="D2785" s="3" t="s">
        <v>2807</v>
      </c>
      <c r="E2785" s="3" t="b">
        <v>1</v>
      </c>
      <c r="F2785" s="3" t="b">
        <v>0</v>
      </c>
      <c r="G2785" s="3" t="s">
        <v>10003</v>
      </c>
      <c r="H2785" s="4" t="str">
        <f>_xlfn.IFNA(IF(((INDEX(RulebookFields!C2:C1898, MATCH(D2785,RulebookFields!A2:A1898, 0))="")=TRUE),  "",  INDEX(RulebookFields!C2:C1898, MATCH(D2785,RulebookFields!A2:A1898, 0))), "")</f>
        <v>ProcedureVersions</v>
      </c>
      <c r="I2785" s="4" t="str">
        <f>_xlfn.IFNA(IF(((INDEX(RulebookFields!D2:D1898, MATCH(D2785,RulebookFields!A2:A1898, 0))="")=TRUE),  "",  INDEX(RulebookFields!D2:D1898, MATCH(D2785,RulebookFields!A2:A1898, 0))), "")</f>
        <v>HasDecisionInFlight</v>
      </c>
      <c r="J2785" s="4" t="b">
        <f>_xlfn.IFNA(IF(((INDEX(RulebookFields!I2:I1898, MATCH(D2785,RulebookFields!A2:A1898, 0))="")=TRUE),  "",  INDEX(RulebookFields!I2:I1898, MATCH(D2785,RulebookFields!A2:A1898, 0))), "")</f>
        <v>1</v>
      </c>
      <c r="K2785" s="4" t="b">
        <f>AND(((F2785)=TRUE), ((J2785)=TRUE))</f>
        <v>0</v>
      </c>
      <c r="L2785" s="4" t="b">
        <f>AND(((G2785 &lt;&gt; "plain")=TRUE), ((G2785 &lt;&gt; "")=TRUE))</f>
        <v>0</v>
      </c>
      <c r="M2785" s="4" t="str">
        <f>IF(((E2785)=TRUE),  C2785 &amp; "|" &amp; H2785,  "")</f>
        <v>principal-knowledge-authority|ProcedureVersions</v>
      </c>
      <c r="N2785" s="3" t="s">
        <v>10004</v>
      </c>
    </row>
    <row r="2786">
      <c r="A2786" s="3" t="s">
        <v>12788</v>
      </c>
      <c r="B2786" s="4" t="str">
        <f>C2786 &amp; " -&gt; " &amp; D2786</f>
        <v>principal-knowledge-authority -&gt; ProcedureVersions.IsUnremediatedCadenceBreach</v>
      </c>
      <c r="C2786" s="3" t="s">
        <v>9774</v>
      </c>
      <c r="D2786" s="3" t="s">
        <v>2809</v>
      </c>
      <c r="E2786" s="3" t="b">
        <v>1</v>
      </c>
      <c r="F2786" s="3" t="b">
        <v>0</v>
      </c>
      <c r="G2786" s="3" t="s">
        <v>10003</v>
      </c>
      <c r="H2786" s="4" t="str">
        <f>_xlfn.IFNA(IF(((INDEX(RulebookFields!C2:C1898, MATCH(D2786,RulebookFields!A2:A1898, 0))="")=TRUE),  "",  INDEX(RulebookFields!C2:C1898, MATCH(D2786,RulebookFields!A2:A1898, 0))), "")</f>
        <v>ProcedureVersions</v>
      </c>
      <c r="I2786" s="4" t="str">
        <f>_xlfn.IFNA(IF(((INDEX(RulebookFields!D2:D1898, MATCH(D2786,RulebookFields!A2:A1898, 0))="")=TRUE),  "",  INDEX(RulebookFields!D2:D1898, MATCH(D2786,RulebookFields!A2:A1898, 0))), "")</f>
        <v>IsUnremediatedCadenceBreach</v>
      </c>
      <c r="J2786" s="4" t="b">
        <f>_xlfn.IFNA(IF(((INDEX(RulebookFields!I2:I1898, MATCH(D2786,RulebookFields!A2:A1898, 0))="")=TRUE),  "",  INDEX(RulebookFields!I2:I1898, MATCH(D2786,RulebookFields!A2:A1898, 0))), "")</f>
        <v>1</v>
      </c>
      <c r="K2786" s="4" t="b">
        <f>AND(((F2786)=TRUE), ((J2786)=TRUE))</f>
        <v>0</v>
      </c>
      <c r="L2786" s="4" t="b">
        <f>AND(((G2786 &lt;&gt; "plain")=TRUE), ((G2786 &lt;&gt; "")=TRUE))</f>
        <v>0</v>
      </c>
      <c r="M2786" s="4" t="str">
        <f>IF(((E2786)=TRUE),  C2786 &amp; "|" &amp; H2786,  "")</f>
        <v>principal-knowledge-authority|ProcedureVersions</v>
      </c>
      <c r="N2786" s="3" t="s">
        <v>10004</v>
      </c>
    </row>
    <row r="2787">
      <c r="A2787" s="3" t="s">
        <v>12789</v>
      </c>
      <c r="B2787" s="4" t="str">
        <f>C2787 &amp; " -&gt; " &amp; D2787</f>
        <v>principal-knowledge-authority -&gt; ProcedureVersions.IsManagedCadenceBreach</v>
      </c>
      <c r="C2787" s="3" t="s">
        <v>9774</v>
      </c>
      <c r="D2787" s="3" t="s">
        <v>2811</v>
      </c>
      <c r="E2787" s="3" t="b">
        <v>1</v>
      </c>
      <c r="F2787" s="3" t="b">
        <v>0</v>
      </c>
      <c r="G2787" s="3" t="s">
        <v>10003</v>
      </c>
      <c r="H2787" s="4" t="str">
        <f>_xlfn.IFNA(IF(((INDEX(RulebookFields!C2:C1898, MATCH(D2787,RulebookFields!A2:A1898, 0))="")=TRUE),  "",  INDEX(RulebookFields!C2:C1898, MATCH(D2787,RulebookFields!A2:A1898, 0))), "")</f>
        <v>ProcedureVersions</v>
      </c>
      <c r="I2787" s="4" t="str">
        <f>_xlfn.IFNA(IF(((INDEX(RulebookFields!D2:D1898, MATCH(D2787,RulebookFields!A2:A1898, 0))="")=TRUE),  "",  INDEX(RulebookFields!D2:D1898, MATCH(D2787,RulebookFields!A2:A1898, 0))), "")</f>
        <v>IsManagedCadenceBreach</v>
      </c>
      <c r="J2787" s="4" t="b">
        <f>_xlfn.IFNA(IF(((INDEX(RulebookFields!I2:I1898, MATCH(D2787,RulebookFields!A2:A1898, 0))="")=TRUE),  "",  INDEX(RulebookFields!I2:I1898, MATCH(D2787,RulebookFields!A2:A1898, 0))), "")</f>
        <v>1</v>
      </c>
      <c r="K2787" s="4" t="b">
        <f>AND(((F2787)=TRUE), ((J2787)=TRUE))</f>
        <v>0</v>
      </c>
      <c r="L2787" s="4" t="b">
        <f>AND(((G2787 &lt;&gt; "plain")=TRUE), ((G2787 &lt;&gt; "")=TRUE))</f>
        <v>0</v>
      </c>
      <c r="M2787" s="4" t="str">
        <f>IF(((E2787)=TRUE),  C2787 &amp; "|" &amp; H2787,  "")</f>
        <v>principal-knowledge-authority|ProcedureVersions</v>
      </c>
      <c r="N2787" s="3" t="s">
        <v>10004</v>
      </c>
    </row>
    <row r="2788">
      <c r="A2788" s="3" t="s">
        <v>12790</v>
      </c>
      <c r="B2788" s="4" t="str">
        <f>C2788 &amp; " -&gt; " &amp; D2788</f>
        <v>principal-knowledge-authority -&gt; ProcedureVersions.GovernanceIsSilent</v>
      </c>
      <c r="C2788" s="3" t="s">
        <v>9774</v>
      </c>
      <c r="D2788" s="3" t="s">
        <v>2813</v>
      </c>
      <c r="E2788" s="3" t="b">
        <v>1</v>
      </c>
      <c r="F2788" s="3" t="b">
        <v>0</v>
      </c>
      <c r="G2788" s="3" t="s">
        <v>10003</v>
      </c>
      <c r="H2788" s="4" t="str">
        <f>_xlfn.IFNA(IF(((INDEX(RulebookFields!C2:C1898, MATCH(D2788,RulebookFields!A2:A1898, 0))="")=TRUE),  "",  INDEX(RulebookFields!C2:C1898, MATCH(D2788,RulebookFields!A2:A1898, 0))), "")</f>
        <v>ProcedureVersions</v>
      </c>
      <c r="I2788" s="4" t="str">
        <f>_xlfn.IFNA(IF(((INDEX(RulebookFields!D2:D1898, MATCH(D2788,RulebookFields!A2:A1898, 0))="")=TRUE),  "",  INDEX(RulebookFields!D2:D1898, MATCH(D2788,RulebookFields!A2:A1898, 0))), "")</f>
        <v>GovernanceIsSilent</v>
      </c>
      <c r="J2788" s="4" t="b">
        <f>_xlfn.IFNA(IF(((INDEX(RulebookFields!I2:I1898, MATCH(D2788,RulebookFields!A2:A1898, 0))="")=TRUE),  "",  INDEX(RulebookFields!I2:I1898, MATCH(D2788,RulebookFields!A2:A1898, 0))), "")</f>
        <v>1</v>
      </c>
      <c r="K2788" s="4" t="b">
        <f>AND(((F2788)=TRUE), ((J2788)=TRUE))</f>
        <v>0</v>
      </c>
      <c r="L2788" s="4" t="b">
        <f>AND(((G2788 &lt;&gt; "plain")=TRUE), ((G2788 &lt;&gt; "")=TRUE))</f>
        <v>0</v>
      </c>
      <c r="M2788" s="4" t="str">
        <f>IF(((E2788)=TRUE),  C2788 &amp; "|" &amp; H2788,  "")</f>
        <v>principal-knowledge-authority|ProcedureVersions</v>
      </c>
      <c r="N2788" s="3" t="s">
        <v>10004</v>
      </c>
    </row>
    <row r="2789">
      <c r="A2789" s="3" t="s">
        <v>12791</v>
      </c>
      <c r="B2789" s="4" t="str">
        <f>C2789 &amp; " -&gt; " &amp; D2789</f>
        <v>principal-knowledge-authority -&gt; ProcedureVersions.ValidFragmentCount</v>
      </c>
      <c r="C2789" s="3" t="s">
        <v>9774</v>
      </c>
      <c r="D2789" s="3" t="s">
        <v>2815</v>
      </c>
      <c r="E2789" s="3" t="b">
        <v>1</v>
      </c>
      <c r="F2789" s="3" t="b">
        <v>0</v>
      </c>
      <c r="G2789" s="3" t="s">
        <v>10003</v>
      </c>
      <c r="H2789" s="4" t="str">
        <f>_xlfn.IFNA(IF(((INDEX(RulebookFields!C2:C1898, MATCH(D2789,RulebookFields!A2:A1898, 0))="")=TRUE),  "",  INDEX(RulebookFields!C2:C1898, MATCH(D2789,RulebookFields!A2:A1898, 0))), "")</f>
        <v>ProcedureVersions</v>
      </c>
      <c r="I2789" s="4" t="str">
        <f>_xlfn.IFNA(IF(((INDEX(RulebookFields!D2:D1898, MATCH(D2789,RulebookFields!A2:A1898, 0))="")=TRUE),  "",  INDEX(RulebookFields!D2:D1898, MATCH(D2789,RulebookFields!A2:A1898, 0))), "")</f>
        <v>ValidFragmentCount</v>
      </c>
      <c r="J2789" s="4" t="b">
        <f>_xlfn.IFNA(IF(((INDEX(RulebookFields!I2:I1898, MATCH(D2789,RulebookFields!A2:A1898, 0))="")=TRUE),  "",  INDEX(RulebookFields!I2:I1898, MATCH(D2789,RulebookFields!A2:A1898, 0))), "")</f>
        <v>1</v>
      </c>
      <c r="K2789" s="4" t="b">
        <f>AND(((F2789)=TRUE), ((J2789)=TRUE))</f>
        <v>0</v>
      </c>
      <c r="L2789" s="4" t="b">
        <f>AND(((G2789 &lt;&gt; "plain")=TRUE), ((G2789 &lt;&gt; "")=TRUE))</f>
        <v>0</v>
      </c>
      <c r="M2789" s="4" t="str">
        <f>IF(((E2789)=TRUE),  C2789 &amp; "|" &amp; H2789,  "")</f>
        <v>principal-knowledge-authority|ProcedureVersions</v>
      </c>
      <c r="N2789" s="3" t="s">
        <v>10004</v>
      </c>
    </row>
    <row r="2790">
      <c r="A2790" s="3" t="s">
        <v>12792</v>
      </c>
      <c r="B2790" s="4" t="str">
        <f>C2790 &amp; " -&gt; " &amp; D2790</f>
        <v>principal-knowledge-authority -&gt; ProcedureVersions.StillOwnsValidKnowledge</v>
      </c>
      <c r="C2790" s="3" t="s">
        <v>9774</v>
      </c>
      <c r="D2790" s="3" t="s">
        <v>2817</v>
      </c>
      <c r="E2790" s="3" t="b">
        <v>1</v>
      </c>
      <c r="F2790" s="3" t="b">
        <v>0</v>
      </c>
      <c r="G2790" s="3" t="s">
        <v>10003</v>
      </c>
      <c r="H2790" s="4" t="str">
        <f>_xlfn.IFNA(IF(((INDEX(RulebookFields!C2:C1898, MATCH(D2790,RulebookFields!A2:A1898, 0))="")=TRUE),  "",  INDEX(RulebookFields!C2:C1898, MATCH(D2790,RulebookFields!A2:A1898, 0))), "")</f>
        <v>ProcedureVersions</v>
      </c>
      <c r="I2790" s="4" t="str">
        <f>_xlfn.IFNA(IF(((INDEX(RulebookFields!D2:D1898, MATCH(D2790,RulebookFields!A2:A1898, 0))="")=TRUE),  "",  INDEX(RulebookFields!D2:D1898, MATCH(D2790,RulebookFields!A2:A1898, 0))), "")</f>
        <v>StillOwnsValidKnowledge</v>
      </c>
      <c r="J2790" s="4" t="b">
        <f>_xlfn.IFNA(IF(((INDEX(RulebookFields!I2:I1898, MATCH(D2790,RulebookFields!A2:A1898, 0))="")=TRUE),  "",  INDEX(RulebookFields!I2:I1898, MATCH(D2790,RulebookFields!A2:A1898, 0))), "")</f>
        <v>1</v>
      </c>
      <c r="K2790" s="4" t="b">
        <f>AND(((F2790)=TRUE), ((J2790)=TRUE))</f>
        <v>0</v>
      </c>
      <c r="L2790" s="4" t="b">
        <f>AND(((G2790 &lt;&gt; "plain")=TRUE), ((G2790 &lt;&gt; "")=TRUE))</f>
        <v>0</v>
      </c>
      <c r="M2790" s="4" t="str">
        <f>IF(((E2790)=TRUE),  C2790 &amp; "|" &amp; H2790,  "")</f>
        <v>principal-knowledge-authority|ProcedureVersions</v>
      </c>
      <c r="N2790" s="3" t="s">
        <v>10004</v>
      </c>
    </row>
    <row r="2791">
      <c r="A2791" s="3" t="s">
        <v>12793</v>
      </c>
      <c r="B2791" s="4" t="str">
        <f>C2791 &amp; " -&gt; " &amp; D2791</f>
        <v>principal-knowledge-authority -&gt; ProcedureVersions.IncomingSupersessionCount</v>
      </c>
      <c r="C2791" s="3" t="s">
        <v>9774</v>
      </c>
      <c r="D2791" s="3" t="s">
        <v>2819</v>
      </c>
      <c r="E2791" s="3" t="b">
        <v>1</v>
      </c>
      <c r="F2791" s="3" t="b">
        <v>0</v>
      </c>
      <c r="G2791" s="3" t="s">
        <v>10003</v>
      </c>
      <c r="H2791" s="4" t="str">
        <f>_xlfn.IFNA(IF(((INDEX(RulebookFields!C2:C1898, MATCH(D2791,RulebookFields!A2:A1898, 0))="")=TRUE),  "",  INDEX(RulebookFields!C2:C1898, MATCH(D2791,RulebookFields!A2:A1898, 0))), "")</f>
        <v>ProcedureVersions</v>
      </c>
      <c r="I2791" s="4" t="str">
        <f>_xlfn.IFNA(IF(((INDEX(RulebookFields!D2:D1898, MATCH(D2791,RulebookFields!A2:A1898, 0))="")=TRUE),  "",  INDEX(RulebookFields!D2:D1898, MATCH(D2791,RulebookFields!A2:A1898, 0))), "")</f>
        <v>IncomingSupersessionCount</v>
      </c>
      <c r="J2791" s="4" t="b">
        <f>_xlfn.IFNA(IF(((INDEX(RulebookFields!I2:I1898, MATCH(D2791,RulebookFields!A2:A1898, 0))="")=TRUE),  "",  INDEX(RulebookFields!I2:I1898, MATCH(D2791,RulebookFields!A2:A1898, 0))), "")</f>
        <v>1</v>
      </c>
      <c r="K2791" s="4" t="b">
        <f>AND(((F2791)=TRUE), ((J2791)=TRUE))</f>
        <v>0</v>
      </c>
      <c r="L2791" s="4" t="b">
        <f>AND(((G2791 &lt;&gt; "plain")=TRUE), ((G2791 &lt;&gt; "")=TRUE))</f>
        <v>0</v>
      </c>
      <c r="M2791" s="4" t="str">
        <f>IF(((E2791)=TRUE),  C2791 &amp; "|" &amp; H2791,  "")</f>
        <v>principal-knowledge-authority|ProcedureVersions</v>
      </c>
      <c r="N2791" s="3" t="s">
        <v>10004</v>
      </c>
    </row>
    <row r="2792">
      <c r="A2792" s="3" t="s">
        <v>12794</v>
      </c>
      <c r="B2792" s="4" t="str">
        <f>C2792 &amp; " -&gt; " &amp; D2792</f>
        <v>principal-knowledge-authority -&gt; ProcedureVersions.IsStillReferenced</v>
      </c>
      <c r="C2792" s="3" t="s">
        <v>9774</v>
      </c>
      <c r="D2792" s="3" t="s">
        <v>2821</v>
      </c>
      <c r="E2792" s="3" t="b">
        <v>1</v>
      </c>
      <c r="F2792" s="3" t="b">
        <v>0</v>
      </c>
      <c r="G2792" s="3" t="s">
        <v>10003</v>
      </c>
      <c r="H2792" s="4" t="str">
        <f>_xlfn.IFNA(IF(((INDEX(RulebookFields!C2:C1898, MATCH(D2792,RulebookFields!A2:A1898, 0))="")=TRUE),  "",  INDEX(RulebookFields!C2:C1898, MATCH(D2792,RulebookFields!A2:A1898, 0))), "")</f>
        <v>ProcedureVersions</v>
      </c>
      <c r="I2792" s="4" t="str">
        <f>_xlfn.IFNA(IF(((INDEX(RulebookFields!D2:D1898, MATCH(D2792,RulebookFields!A2:A1898, 0))="")=TRUE),  "",  INDEX(RulebookFields!D2:D1898, MATCH(D2792,RulebookFields!A2:A1898, 0))), "")</f>
        <v>IsStillReferenced</v>
      </c>
      <c r="J2792" s="4" t="b">
        <f>_xlfn.IFNA(IF(((INDEX(RulebookFields!I2:I1898, MATCH(D2792,RulebookFields!A2:A1898, 0))="")=TRUE),  "",  INDEX(RulebookFields!I2:I1898, MATCH(D2792,RulebookFields!A2:A1898, 0))), "")</f>
        <v>1</v>
      </c>
      <c r="K2792" s="4" t="b">
        <f>AND(((F2792)=TRUE), ((J2792)=TRUE))</f>
        <v>0</v>
      </c>
      <c r="L2792" s="4" t="b">
        <f>AND(((G2792 &lt;&gt; "plain")=TRUE), ((G2792 &lt;&gt; "")=TRUE))</f>
        <v>0</v>
      </c>
      <c r="M2792" s="4" t="str">
        <f>IF(((E2792)=TRUE),  C2792 &amp; "|" &amp; H2792,  "")</f>
        <v>principal-knowledge-authority|ProcedureVersions</v>
      </c>
      <c r="N2792" s="3" t="s">
        <v>10004</v>
      </c>
    </row>
    <row r="2793">
      <c r="A2793" s="3" t="s">
        <v>12795</v>
      </c>
      <c r="B2793" s="4" t="str">
        <f>C2793 &amp; " -&gt; " &amp; D2793</f>
        <v>principal-knowledge-authority -&gt; ProcedureVersions.IsLoadBearingOrphan</v>
      </c>
      <c r="C2793" s="3" t="s">
        <v>9774</v>
      </c>
      <c r="D2793" s="3" t="s">
        <v>2823</v>
      </c>
      <c r="E2793" s="3" t="b">
        <v>1</v>
      </c>
      <c r="F2793" s="3" t="b">
        <v>0</v>
      </c>
      <c r="G2793" s="3" t="s">
        <v>10003</v>
      </c>
      <c r="H2793" s="4" t="str">
        <f>_xlfn.IFNA(IF(((INDEX(RulebookFields!C2:C1898, MATCH(D2793,RulebookFields!A2:A1898, 0))="")=TRUE),  "",  INDEX(RulebookFields!C2:C1898, MATCH(D2793,RulebookFields!A2:A1898, 0))), "")</f>
        <v>ProcedureVersions</v>
      </c>
      <c r="I2793" s="4" t="str">
        <f>_xlfn.IFNA(IF(((INDEX(RulebookFields!D2:D1898, MATCH(D2793,RulebookFields!A2:A1898, 0))="")=TRUE),  "",  INDEX(RulebookFields!D2:D1898, MATCH(D2793,RulebookFields!A2:A1898, 0))), "")</f>
        <v>IsLoadBearingOrphan</v>
      </c>
      <c r="J2793" s="4" t="b">
        <f>_xlfn.IFNA(IF(((INDEX(RulebookFields!I2:I1898, MATCH(D2793,RulebookFields!A2:A1898, 0))="")=TRUE),  "",  INDEX(RulebookFields!I2:I1898, MATCH(D2793,RulebookFields!A2:A1898, 0))), "")</f>
        <v>1</v>
      </c>
      <c r="K2793" s="4" t="b">
        <f>AND(((F2793)=TRUE), ((J2793)=TRUE))</f>
        <v>0</v>
      </c>
      <c r="L2793" s="4" t="b">
        <f>AND(((G2793 &lt;&gt; "plain")=TRUE), ((G2793 &lt;&gt; "")=TRUE))</f>
        <v>0</v>
      </c>
      <c r="M2793" s="4" t="str">
        <f>IF(((E2793)=TRUE),  C2793 &amp; "|" &amp; H2793,  "")</f>
        <v>principal-knowledge-authority|ProcedureVersions</v>
      </c>
      <c r="N2793" s="3" t="s">
        <v>10004</v>
      </c>
    </row>
    <row r="2794">
      <c r="A2794" s="3" t="s">
        <v>12796</v>
      </c>
      <c r="B2794" s="4" t="str">
        <f>C2794 &amp; " -&gt; " &amp; D2794</f>
        <v>principal-knowledge-authority -&gt; ProcedureVersions.IsCleanlyRetired</v>
      </c>
      <c r="C2794" s="3" t="s">
        <v>9774</v>
      </c>
      <c r="D2794" s="3" t="s">
        <v>2825</v>
      </c>
      <c r="E2794" s="3" t="b">
        <v>1</v>
      </c>
      <c r="F2794" s="3" t="b">
        <v>0</v>
      </c>
      <c r="G2794" s="3" t="s">
        <v>10003</v>
      </c>
      <c r="H2794" s="4" t="str">
        <f>_xlfn.IFNA(IF(((INDEX(RulebookFields!C2:C1898, MATCH(D2794,RulebookFields!A2:A1898, 0))="")=TRUE),  "",  INDEX(RulebookFields!C2:C1898, MATCH(D2794,RulebookFields!A2:A1898, 0))), "")</f>
        <v>ProcedureVersions</v>
      </c>
      <c r="I2794" s="4" t="str">
        <f>_xlfn.IFNA(IF(((INDEX(RulebookFields!D2:D1898, MATCH(D2794,RulebookFields!A2:A1898, 0))="")=TRUE),  "",  INDEX(RulebookFields!D2:D1898, MATCH(D2794,RulebookFields!A2:A1898, 0))), "")</f>
        <v>IsCleanlyRetired</v>
      </c>
      <c r="J2794" s="4" t="b">
        <f>_xlfn.IFNA(IF(((INDEX(RulebookFields!I2:I1898, MATCH(D2794,RulebookFields!A2:A1898, 0))="")=TRUE),  "",  INDEX(RulebookFields!I2:I1898, MATCH(D2794,RulebookFields!A2:A1898, 0))), "")</f>
        <v>1</v>
      </c>
      <c r="K2794" s="4" t="b">
        <f>AND(((F2794)=TRUE), ((J2794)=TRUE))</f>
        <v>0</v>
      </c>
      <c r="L2794" s="4" t="b">
        <f>AND(((G2794 &lt;&gt; "plain")=TRUE), ((G2794 &lt;&gt; "")=TRUE))</f>
        <v>0</v>
      </c>
      <c r="M2794" s="4" t="str">
        <f>IF(((E2794)=TRUE),  C2794 &amp; "|" &amp; H2794,  "")</f>
        <v>principal-knowledge-authority|ProcedureVersions</v>
      </c>
      <c r="N2794" s="3" t="s">
        <v>10004</v>
      </c>
    </row>
    <row r="2795">
      <c r="A2795" s="3" t="s">
        <v>12797</v>
      </c>
      <c r="B2795" s="4" t="str">
        <f>C2795 &amp; " -&gt; " &amp; D2795</f>
        <v>principal-knowledge-authority -&gt; ProcedureVersions.StalledImplementationCount</v>
      </c>
      <c r="C2795" s="3" t="s">
        <v>9774</v>
      </c>
      <c r="D2795" s="3" t="s">
        <v>2827</v>
      </c>
      <c r="E2795" s="3" t="b">
        <v>1</v>
      </c>
      <c r="F2795" s="3" t="b">
        <v>0</v>
      </c>
      <c r="G2795" s="3" t="s">
        <v>10003</v>
      </c>
      <c r="H2795" s="4" t="str">
        <f>_xlfn.IFNA(IF(((INDEX(RulebookFields!C2:C1898, MATCH(D2795,RulebookFields!A2:A1898, 0))="")=TRUE),  "",  INDEX(RulebookFields!C2:C1898, MATCH(D2795,RulebookFields!A2:A1898, 0))), "")</f>
        <v>ProcedureVersions</v>
      </c>
      <c r="I2795" s="4" t="str">
        <f>_xlfn.IFNA(IF(((INDEX(RulebookFields!D2:D1898, MATCH(D2795,RulebookFields!A2:A1898, 0))="")=TRUE),  "",  INDEX(RulebookFields!D2:D1898, MATCH(D2795,RulebookFields!A2:A1898, 0))), "")</f>
        <v>StalledImplementationCount</v>
      </c>
      <c r="J2795" s="4" t="b">
        <f>_xlfn.IFNA(IF(((INDEX(RulebookFields!I2:I1898, MATCH(D2795,RulebookFields!A2:A1898, 0))="")=TRUE),  "",  INDEX(RulebookFields!I2:I1898, MATCH(D2795,RulebookFields!A2:A1898, 0))), "")</f>
        <v>1</v>
      </c>
      <c r="K2795" s="4" t="b">
        <f>AND(((F2795)=TRUE), ((J2795)=TRUE))</f>
        <v>0</v>
      </c>
      <c r="L2795" s="4" t="b">
        <f>AND(((G2795 &lt;&gt; "plain")=TRUE), ((G2795 &lt;&gt; "")=TRUE))</f>
        <v>0</v>
      </c>
      <c r="M2795" s="4" t="str">
        <f>IF(((E2795)=TRUE),  C2795 &amp; "|" &amp; H2795,  "")</f>
        <v>principal-knowledge-authority|ProcedureVersions</v>
      </c>
      <c r="N2795" s="3" t="s">
        <v>10004</v>
      </c>
    </row>
    <row r="2796">
      <c r="A2796" s="3" t="s">
        <v>12798</v>
      </c>
      <c r="B2796" s="4" t="str">
        <f>C2796 &amp; " -&gt; " &amp; D2796</f>
        <v>principal-knowledge-authority -&gt; ProcedureVersions.IsHeldUnfitByLandedDecisions</v>
      </c>
      <c r="C2796" s="3" t="s">
        <v>9774</v>
      </c>
      <c r="D2796" s="3" t="s">
        <v>2829</v>
      </c>
      <c r="E2796" s="3" t="b">
        <v>1</v>
      </c>
      <c r="F2796" s="3" t="b">
        <v>0</v>
      </c>
      <c r="G2796" s="3" t="s">
        <v>10003</v>
      </c>
      <c r="H2796" s="4" t="str">
        <f>_xlfn.IFNA(IF(((INDEX(RulebookFields!C2:C1898, MATCH(D2796,RulebookFields!A2:A1898, 0))="")=TRUE),  "",  INDEX(RulebookFields!C2:C1898, MATCH(D2796,RulebookFields!A2:A1898, 0))), "")</f>
        <v>ProcedureVersions</v>
      </c>
      <c r="I2796" s="4" t="str">
        <f>_xlfn.IFNA(IF(((INDEX(RulebookFields!D2:D1898, MATCH(D2796,RulebookFields!A2:A1898, 0))="")=TRUE),  "",  INDEX(RulebookFields!D2:D1898, MATCH(D2796,RulebookFields!A2:A1898, 0))), "")</f>
        <v>IsHeldUnfitByLandedDecisions</v>
      </c>
      <c r="J2796" s="4" t="b">
        <f>_xlfn.IFNA(IF(((INDEX(RulebookFields!I2:I1898, MATCH(D2796,RulebookFields!A2:A1898, 0))="")=TRUE),  "",  INDEX(RulebookFields!I2:I1898, MATCH(D2796,RulebookFields!A2:A1898, 0))), "")</f>
        <v>1</v>
      </c>
      <c r="K2796" s="4" t="b">
        <f>AND(((F2796)=TRUE), ((J2796)=TRUE))</f>
        <v>0</v>
      </c>
      <c r="L2796" s="4" t="b">
        <f>AND(((G2796 &lt;&gt; "plain")=TRUE), ((G2796 &lt;&gt; "")=TRUE))</f>
        <v>0</v>
      </c>
      <c r="M2796" s="4" t="str">
        <f>IF(((E2796)=TRUE),  C2796 &amp; "|" &amp; H2796,  "")</f>
        <v>principal-knowledge-authority|ProcedureVersions</v>
      </c>
      <c r="N2796" s="3" t="s">
        <v>10004</v>
      </c>
    </row>
    <row r="2797">
      <c r="A2797" s="3" t="s">
        <v>12799</v>
      </c>
      <c r="B2797" s="4" t="str">
        <f>C2797 &amp; " -&gt; " &amp; D2797</f>
        <v>principal-knowledge-authority -&gt; ProcedureVersions.UndeclaredControlKindCount</v>
      </c>
      <c r="C2797" s="3" t="s">
        <v>9774</v>
      </c>
      <c r="D2797" s="3" t="s">
        <v>2831</v>
      </c>
      <c r="E2797" s="3" t="b">
        <v>1</v>
      </c>
      <c r="F2797" s="3" t="b">
        <v>0</v>
      </c>
      <c r="G2797" s="3" t="s">
        <v>10003</v>
      </c>
      <c r="H2797" s="4" t="str">
        <f>_xlfn.IFNA(IF(((INDEX(RulebookFields!C2:C1898, MATCH(D2797,RulebookFields!A2:A1898, 0))="")=TRUE),  "",  INDEX(RulebookFields!C2:C1898, MATCH(D2797,RulebookFields!A2:A1898, 0))), "")</f>
        <v>ProcedureVersions</v>
      </c>
      <c r="I2797" s="4" t="str">
        <f>_xlfn.IFNA(IF(((INDEX(RulebookFields!D2:D1898, MATCH(D2797,RulebookFields!A2:A1898, 0))="")=TRUE),  "",  INDEX(RulebookFields!D2:D1898, MATCH(D2797,RulebookFields!A2:A1898, 0))), "")</f>
        <v>UndeclaredControlKindCount</v>
      </c>
      <c r="J2797" s="4" t="b">
        <f>_xlfn.IFNA(IF(((INDEX(RulebookFields!I2:I1898, MATCH(D2797,RulebookFields!A2:A1898, 0))="")=TRUE),  "",  INDEX(RulebookFields!I2:I1898, MATCH(D2797,RulebookFields!A2:A1898, 0))), "")</f>
        <v>1</v>
      </c>
      <c r="K2797" s="4" t="b">
        <f>AND(((F2797)=TRUE), ((J2797)=TRUE))</f>
        <v>0</v>
      </c>
      <c r="L2797" s="4" t="b">
        <f>AND(((G2797 &lt;&gt; "plain")=TRUE), ((G2797 &lt;&gt; "")=TRUE))</f>
        <v>0</v>
      </c>
      <c r="M2797" s="4" t="str">
        <f>IF(((E2797)=TRUE),  C2797 &amp; "|" &amp; H2797,  "")</f>
        <v>principal-knowledge-authority|ProcedureVersions</v>
      </c>
      <c r="N2797" s="3" t="s">
        <v>10004</v>
      </c>
    </row>
    <row r="2798">
      <c r="A2798" s="3" t="s">
        <v>12800</v>
      </c>
      <c r="B2798" s="4" t="str">
        <f>C2798 &amp; " -&gt; " &amp; D2798</f>
        <v>principal-knowledge-authority -&gt; ProcedureVersions.ControlTaxonomyIsIncomplete</v>
      </c>
      <c r="C2798" s="3" t="s">
        <v>9774</v>
      </c>
      <c r="D2798" s="3" t="s">
        <v>2833</v>
      </c>
      <c r="E2798" s="3" t="b">
        <v>1</v>
      </c>
      <c r="F2798" s="3" t="b">
        <v>0</v>
      </c>
      <c r="G2798" s="3" t="s">
        <v>10003</v>
      </c>
      <c r="H2798" s="4" t="str">
        <f>_xlfn.IFNA(IF(((INDEX(RulebookFields!C2:C1898, MATCH(D2798,RulebookFields!A2:A1898, 0))="")=TRUE),  "",  INDEX(RulebookFields!C2:C1898, MATCH(D2798,RulebookFields!A2:A1898, 0))), "")</f>
        <v>ProcedureVersions</v>
      </c>
      <c r="I2798" s="4" t="str">
        <f>_xlfn.IFNA(IF(((INDEX(RulebookFields!D2:D1898, MATCH(D2798,RulebookFields!A2:A1898, 0))="")=TRUE),  "",  INDEX(RulebookFields!D2:D1898, MATCH(D2798,RulebookFields!A2:A1898, 0))), "")</f>
        <v>ControlTaxonomyIsIncomplete</v>
      </c>
      <c r="J2798" s="4" t="b">
        <f>_xlfn.IFNA(IF(((INDEX(RulebookFields!I2:I1898, MATCH(D2798,RulebookFields!A2:A1898, 0))="")=TRUE),  "",  INDEX(RulebookFields!I2:I1898, MATCH(D2798,RulebookFields!A2:A1898, 0))), "")</f>
        <v>1</v>
      </c>
      <c r="K2798" s="4" t="b">
        <f>AND(((F2798)=TRUE), ((J2798)=TRUE))</f>
        <v>0</v>
      </c>
      <c r="L2798" s="4" t="b">
        <f>AND(((G2798 &lt;&gt; "plain")=TRUE), ((G2798 &lt;&gt; "")=TRUE))</f>
        <v>0</v>
      </c>
      <c r="M2798" s="4" t="str">
        <f>IF(((E2798)=TRUE),  C2798 &amp; "|" &amp; H2798,  "")</f>
        <v>principal-knowledge-authority|ProcedureVersions</v>
      </c>
      <c r="N2798" s="3" t="s">
        <v>10004</v>
      </c>
    </row>
    <row r="2799">
      <c r="A2799" s="3" t="s">
        <v>12801</v>
      </c>
      <c r="B2799" s="4" t="str">
        <f>C2799 &amp; " -&gt; " &amp; D2799</f>
        <v>principal-knowledge-authority -&gt; ProcedureVersions.HasApprovedChangeRequest</v>
      </c>
      <c r="C2799" s="3" t="s">
        <v>9774</v>
      </c>
      <c r="D2799" s="3" t="s">
        <v>2835</v>
      </c>
      <c r="E2799" s="3" t="b">
        <v>1</v>
      </c>
      <c r="F2799" s="3" t="b">
        <v>0</v>
      </c>
      <c r="G2799" s="3" t="s">
        <v>10003</v>
      </c>
      <c r="H2799" s="4" t="str">
        <f>_xlfn.IFNA(IF(((INDEX(RulebookFields!C2:C1898, MATCH(D2799,RulebookFields!A2:A1898, 0))="")=TRUE),  "",  INDEX(RulebookFields!C2:C1898, MATCH(D2799,RulebookFields!A2:A1898, 0))), "")</f>
        <v>ProcedureVersions</v>
      </c>
      <c r="I2799" s="4" t="str">
        <f>_xlfn.IFNA(IF(((INDEX(RulebookFields!D2:D1898, MATCH(D2799,RulebookFields!A2:A1898, 0))="")=TRUE),  "",  INDEX(RulebookFields!D2:D1898, MATCH(D2799,RulebookFields!A2:A1898, 0))), "")</f>
        <v>HasApprovedChangeRequest</v>
      </c>
      <c r="J2799" s="4" t="b">
        <f>_xlfn.IFNA(IF(((INDEX(RulebookFields!I2:I1898, MATCH(D2799,RulebookFields!A2:A1898, 0))="")=TRUE),  "",  INDEX(RulebookFields!I2:I1898, MATCH(D2799,RulebookFields!A2:A1898, 0))), "")</f>
        <v>1</v>
      </c>
      <c r="K2799" s="4" t="b">
        <f>AND(((F2799)=TRUE), ((J2799)=TRUE))</f>
        <v>0</v>
      </c>
      <c r="L2799" s="4" t="b">
        <f>AND(((G2799 &lt;&gt; "plain")=TRUE), ((G2799 &lt;&gt; "")=TRUE))</f>
        <v>0</v>
      </c>
      <c r="M2799" s="4" t="str">
        <f>IF(((E2799)=TRUE),  C2799 &amp; "|" &amp; H2799,  "")</f>
        <v>principal-knowledge-authority|ProcedureVersions</v>
      </c>
      <c r="N2799" s="3" t="s">
        <v>10004</v>
      </c>
    </row>
    <row r="2800">
      <c r="A2800" s="3" t="s">
        <v>12802</v>
      </c>
      <c r="B2800" s="4" t="str">
        <f>C2800 &amp; " -&gt; " &amp; D2800</f>
        <v>principal-knowledge-authority -&gt; ProcedureVersions.ApprovedChangeRequestCount</v>
      </c>
      <c r="C2800" s="3" t="s">
        <v>9774</v>
      </c>
      <c r="D2800" s="3" t="s">
        <v>2837</v>
      </c>
      <c r="E2800" s="3" t="b">
        <v>1</v>
      </c>
      <c r="F2800" s="3" t="b">
        <v>0</v>
      </c>
      <c r="G2800" s="3" t="s">
        <v>10003</v>
      </c>
      <c r="H2800" s="4" t="str">
        <f>_xlfn.IFNA(IF(((INDEX(RulebookFields!C2:C1898, MATCH(D2800,RulebookFields!A2:A1898, 0))="")=TRUE),  "",  INDEX(RulebookFields!C2:C1898, MATCH(D2800,RulebookFields!A2:A1898, 0))), "")</f>
        <v>ProcedureVersions</v>
      </c>
      <c r="I2800" s="4" t="str">
        <f>_xlfn.IFNA(IF(((INDEX(RulebookFields!D2:D1898, MATCH(D2800,RulebookFields!A2:A1898, 0))="")=TRUE),  "",  INDEX(RulebookFields!D2:D1898, MATCH(D2800,RulebookFields!A2:A1898, 0))), "")</f>
        <v>ApprovedChangeRequestCount</v>
      </c>
      <c r="J2800" s="4" t="b">
        <f>_xlfn.IFNA(IF(((INDEX(RulebookFields!I2:I1898, MATCH(D2800,RulebookFields!A2:A1898, 0))="")=TRUE),  "",  INDEX(RulebookFields!I2:I1898, MATCH(D2800,RulebookFields!A2:A1898, 0))), "")</f>
        <v>1</v>
      </c>
      <c r="K2800" s="4" t="b">
        <f>AND(((F2800)=TRUE), ((J2800)=TRUE))</f>
        <v>0</v>
      </c>
      <c r="L2800" s="4" t="b">
        <f>AND(((G2800 &lt;&gt; "plain")=TRUE), ((G2800 &lt;&gt; "")=TRUE))</f>
        <v>0</v>
      </c>
      <c r="M2800" s="4" t="str">
        <f>IF(((E2800)=TRUE),  C2800 &amp; "|" &amp; H2800,  "")</f>
        <v>principal-knowledge-authority|ProcedureVersions</v>
      </c>
      <c r="N2800" s="3" t="s">
        <v>10004</v>
      </c>
    </row>
    <row r="2801">
      <c r="A2801" s="3" t="s">
        <v>12803</v>
      </c>
      <c r="B2801" s="4" t="str">
        <f>C2801 &amp; " -&gt; " &amp; D2801</f>
        <v>principal-knowledge-authority -&gt; ProcedureVersions.UnwatchedUnownedControlCount</v>
      </c>
      <c r="C2801" s="3" t="s">
        <v>9774</v>
      </c>
      <c r="D2801" s="3" t="s">
        <v>2839</v>
      </c>
      <c r="E2801" s="3" t="b">
        <v>1</v>
      </c>
      <c r="F2801" s="3" t="b">
        <v>0</v>
      </c>
      <c r="G2801" s="3" t="s">
        <v>10003</v>
      </c>
      <c r="H2801" s="4" t="str">
        <f>_xlfn.IFNA(IF(((INDEX(RulebookFields!C2:C1898, MATCH(D2801,RulebookFields!A2:A1898, 0))="")=TRUE),  "",  INDEX(RulebookFields!C2:C1898, MATCH(D2801,RulebookFields!A2:A1898, 0))), "")</f>
        <v>ProcedureVersions</v>
      </c>
      <c r="I2801" s="4" t="str">
        <f>_xlfn.IFNA(IF(((INDEX(RulebookFields!D2:D1898, MATCH(D2801,RulebookFields!A2:A1898, 0))="")=TRUE),  "",  INDEX(RulebookFields!D2:D1898, MATCH(D2801,RulebookFields!A2:A1898, 0))), "")</f>
        <v>UnwatchedUnownedControlCount</v>
      </c>
      <c r="J2801" s="4" t="b">
        <f>_xlfn.IFNA(IF(((INDEX(RulebookFields!I2:I1898, MATCH(D2801,RulebookFields!A2:A1898, 0))="")=TRUE),  "",  INDEX(RulebookFields!I2:I1898, MATCH(D2801,RulebookFields!A2:A1898, 0))), "")</f>
        <v>1</v>
      </c>
      <c r="K2801" s="4" t="b">
        <f>AND(((F2801)=TRUE), ((J2801)=TRUE))</f>
        <v>0</v>
      </c>
      <c r="L2801" s="4" t="b">
        <f>AND(((G2801 &lt;&gt; "plain")=TRUE), ((G2801 &lt;&gt; "")=TRUE))</f>
        <v>0</v>
      </c>
      <c r="M2801" s="4" t="str">
        <f>IF(((E2801)=TRUE),  C2801 &amp; "|" &amp; H2801,  "")</f>
        <v>principal-knowledge-authority|ProcedureVersions</v>
      </c>
      <c r="N2801" s="3" t="s">
        <v>10004</v>
      </c>
    </row>
    <row r="2802">
      <c r="A2802" s="3" t="s">
        <v>12804</v>
      </c>
      <c r="B2802" s="4" t="str">
        <f>C2802 &amp; " -&gt; " &amp; D2802</f>
        <v>principal-knowledge-authority -&gt; ProcedureVersions.SemanticTypeIri</v>
      </c>
      <c r="C2802" s="3" t="s">
        <v>9774</v>
      </c>
      <c r="D2802" s="3" t="s">
        <v>2849</v>
      </c>
      <c r="E2802" s="3" t="b">
        <v>1</v>
      </c>
      <c r="F2802" s="3" t="b">
        <v>0</v>
      </c>
      <c r="G2802" s="3" t="s">
        <v>10003</v>
      </c>
      <c r="H2802" s="4" t="str">
        <f>_xlfn.IFNA(IF(((INDEX(RulebookFields!C2:C1898, MATCH(D2802,RulebookFields!A2:A1898, 0))="")=TRUE),  "",  INDEX(RulebookFields!C2:C1898, MATCH(D2802,RulebookFields!A2:A1898, 0))), "")</f>
        <v>ProcedureVersions</v>
      </c>
      <c r="I2802" s="4" t="str">
        <f>_xlfn.IFNA(IF(((INDEX(RulebookFields!D2:D1898, MATCH(D2802,RulebookFields!A2:A1898, 0))="")=TRUE),  "",  INDEX(RulebookFields!D2:D1898, MATCH(D2802,RulebookFields!A2:A1898, 0))), "")</f>
        <v>SemanticTypeIri</v>
      </c>
      <c r="J2802" s="4" t="b">
        <f>_xlfn.IFNA(IF(((INDEX(RulebookFields!I2:I1898, MATCH(D2802,RulebookFields!A2:A1898, 0))="")=TRUE),  "",  INDEX(RulebookFields!I2:I1898, MATCH(D2802,RulebookFields!A2:A1898, 0))), "")</f>
        <v>0</v>
      </c>
      <c r="K2802" s="4" t="b">
        <f>AND(((F2802)=TRUE), ((J2802)=TRUE))</f>
        <v>0</v>
      </c>
      <c r="L2802" s="4" t="b">
        <f>AND(((G2802 &lt;&gt; "plain")=TRUE), ((G2802 &lt;&gt; "")=TRUE))</f>
        <v>0</v>
      </c>
      <c r="M2802" s="4" t="str">
        <f>IF(((E2802)=TRUE),  C2802 &amp; "|" &amp; H2802,  "")</f>
        <v>principal-knowledge-authority|ProcedureVersions</v>
      </c>
      <c r="N2802" s="3" t="s">
        <v>10004</v>
      </c>
    </row>
    <row r="2803">
      <c r="A2803" s="3" t="s">
        <v>12805</v>
      </c>
      <c r="B2803" s="4" t="str">
        <f>C2803 &amp; " -&gt; " &amp; D2803</f>
        <v>principal-knowledge-authority -&gt; Procedures.ProcedureId</v>
      </c>
      <c r="C2803" s="3" t="s">
        <v>9774</v>
      </c>
      <c r="D2803" s="3" t="s">
        <v>2681</v>
      </c>
      <c r="E2803" s="3" t="b">
        <v>1</v>
      </c>
      <c r="F2803" s="3" t="b">
        <v>0</v>
      </c>
      <c r="G2803" s="3" t="s">
        <v>10003</v>
      </c>
      <c r="H2803" s="4" t="str">
        <f>_xlfn.IFNA(IF(((INDEX(RulebookFields!C2:C1898, MATCH(D2803,RulebookFields!A2:A1898, 0))="")=TRUE),  "",  INDEX(RulebookFields!C2:C1898, MATCH(D2803,RulebookFields!A2:A1898, 0))), "")</f>
        <v>Procedures</v>
      </c>
      <c r="I2803" s="4" t="str">
        <f>_xlfn.IFNA(IF(((INDEX(RulebookFields!D2:D1898, MATCH(D2803,RulebookFields!A2:A1898, 0))="")=TRUE),  "",  INDEX(RulebookFields!D2:D1898, MATCH(D2803,RulebookFields!A2:A1898, 0))), "")</f>
        <v>ProcedureId</v>
      </c>
      <c r="J2803" s="4" t="b">
        <f>_xlfn.IFNA(IF(((INDEX(RulebookFields!I2:I1898, MATCH(D2803,RulebookFields!A2:A1898, 0))="")=TRUE),  "",  INDEX(RulebookFields!I2:I1898, MATCH(D2803,RulebookFields!A2:A1898, 0))), "")</f>
        <v>0</v>
      </c>
      <c r="K2803" s="4" t="b">
        <f>AND(((F2803)=TRUE), ((J2803)=TRUE))</f>
        <v>0</v>
      </c>
      <c r="L2803" s="4" t="b">
        <f>AND(((G2803 &lt;&gt; "plain")=TRUE), ((G2803 &lt;&gt; "")=TRUE))</f>
        <v>0</v>
      </c>
      <c r="M2803" s="4" t="str">
        <f>IF(((E2803)=TRUE),  C2803 &amp; "|" &amp; H2803,  "")</f>
        <v>principal-knowledge-authority|Procedures</v>
      </c>
      <c r="N2803" s="3" t="s">
        <v>10004</v>
      </c>
    </row>
    <row r="2804">
      <c r="A2804" s="3" t="s">
        <v>12806</v>
      </c>
      <c r="B2804" s="4" t="str">
        <f>C2804 &amp; " -&gt; " &amp; D2804</f>
        <v>principal-knowledge-authority -&gt; Procedures.Name</v>
      </c>
      <c r="C2804" s="3" t="s">
        <v>9774</v>
      </c>
      <c r="D2804" s="3" t="s">
        <v>2682</v>
      </c>
      <c r="E2804" s="3" t="b">
        <v>1</v>
      </c>
      <c r="F2804" s="3" t="b">
        <v>0</v>
      </c>
      <c r="G2804" s="3" t="s">
        <v>10003</v>
      </c>
      <c r="H2804" s="4" t="str">
        <f>_xlfn.IFNA(IF(((INDEX(RulebookFields!C2:C1898, MATCH(D2804,RulebookFields!A2:A1898, 0))="")=TRUE),  "",  INDEX(RulebookFields!C2:C1898, MATCH(D2804,RulebookFields!A2:A1898, 0))), "")</f>
        <v>Procedures</v>
      </c>
      <c r="I2804" s="4" t="str">
        <f>_xlfn.IFNA(IF(((INDEX(RulebookFields!D2:D1898, MATCH(D2804,RulebookFields!A2:A1898, 0))="")=TRUE),  "",  INDEX(RulebookFields!D2:D1898, MATCH(D2804,RulebookFields!A2:A1898, 0))), "")</f>
        <v>Name</v>
      </c>
      <c r="J2804" s="4" t="b">
        <f>_xlfn.IFNA(IF(((INDEX(RulebookFields!I2:I1898, MATCH(D2804,RulebookFields!A2:A1898, 0))="")=TRUE),  "",  INDEX(RulebookFields!I2:I1898, MATCH(D2804,RulebookFields!A2:A1898, 0))), "")</f>
        <v>1</v>
      </c>
      <c r="K2804" s="4" t="b">
        <f>AND(((F2804)=TRUE), ((J2804)=TRUE))</f>
        <v>0</v>
      </c>
      <c r="L2804" s="4" t="b">
        <f>AND(((G2804 &lt;&gt; "plain")=TRUE), ((G2804 &lt;&gt; "")=TRUE))</f>
        <v>0</v>
      </c>
      <c r="M2804" s="4" t="str">
        <f>IF(((E2804)=TRUE),  C2804 &amp; "|" &amp; H2804,  "")</f>
        <v>principal-knowledge-authority|Procedures</v>
      </c>
      <c r="N2804" s="3" t="s">
        <v>10004</v>
      </c>
    </row>
    <row r="2805">
      <c r="A2805" s="3" t="s">
        <v>12807</v>
      </c>
      <c r="B2805" s="4" t="str">
        <f>C2805 &amp; " -&gt; " &amp; D2805</f>
        <v>principal-knowledge-authority -&gt; Procedures.Title</v>
      </c>
      <c r="C2805" s="3" t="s">
        <v>9774</v>
      </c>
      <c r="D2805" s="3" t="s">
        <v>2684</v>
      </c>
      <c r="E2805" s="3" t="b">
        <v>1</v>
      </c>
      <c r="F2805" s="3" t="b">
        <v>0</v>
      </c>
      <c r="G2805" s="3" t="s">
        <v>10003</v>
      </c>
      <c r="H2805" s="4" t="str">
        <f>_xlfn.IFNA(IF(((INDEX(RulebookFields!C2:C1898, MATCH(D2805,RulebookFields!A2:A1898, 0))="")=TRUE),  "",  INDEX(RulebookFields!C2:C1898, MATCH(D2805,RulebookFields!A2:A1898, 0))), "")</f>
        <v>Procedures</v>
      </c>
      <c r="I2805" s="4" t="str">
        <f>_xlfn.IFNA(IF(((INDEX(RulebookFields!D2:D1898, MATCH(D2805,RulebookFields!A2:A1898, 0))="")=TRUE),  "",  INDEX(RulebookFields!D2:D1898, MATCH(D2805,RulebookFields!A2:A1898, 0))), "")</f>
        <v>Title</v>
      </c>
      <c r="J2805" s="4" t="b">
        <f>_xlfn.IFNA(IF(((INDEX(RulebookFields!I2:I1898, MATCH(D2805,RulebookFields!A2:A1898, 0))="")=TRUE),  "",  INDEX(RulebookFields!I2:I1898, MATCH(D2805,RulebookFields!A2:A1898, 0))), "")</f>
        <v>0</v>
      </c>
      <c r="K2805" s="4" t="b">
        <f>AND(((F2805)=TRUE), ((J2805)=TRUE))</f>
        <v>0</v>
      </c>
      <c r="L2805" s="4" t="b">
        <f>AND(((G2805 &lt;&gt; "plain")=TRUE), ((G2805 &lt;&gt; "")=TRUE))</f>
        <v>0</v>
      </c>
      <c r="M2805" s="4" t="str">
        <f>IF(((E2805)=TRUE),  C2805 &amp; "|" &amp; H2805,  "")</f>
        <v>principal-knowledge-authority|Procedures</v>
      </c>
      <c r="N2805" s="3" t="s">
        <v>10004</v>
      </c>
    </row>
    <row r="2806">
      <c r="A2806" s="3" t="s">
        <v>12808</v>
      </c>
      <c r="B2806" s="4" t="str">
        <f>C2806 &amp; " -&gt; " &amp; D2806</f>
        <v>principal-knowledge-authority -&gt; Procedures.ProcedureType</v>
      </c>
      <c r="C2806" s="3" t="s">
        <v>9774</v>
      </c>
      <c r="D2806" s="3" t="s">
        <v>2685</v>
      </c>
      <c r="E2806" s="3" t="b">
        <v>1</v>
      </c>
      <c r="F2806" s="3" t="b">
        <v>0</v>
      </c>
      <c r="G2806" s="3" t="s">
        <v>10003</v>
      </c>
      <c r="H2806" s="4" t="str">
        <f>_xlfn.IFNA(IF(((INDEX(RulebookFields!C2:C1898, MATCH(D2806,RulebookFields!A2:A1898, 0))="")=TRUE),  "",  INDEX(RulebookFields!C2:C1898, MATCH(D2806,RulebookFields!A2:A1898, 0))), "")</f>
        <v>Procedures</v>
      </c>
      <c r="I2806" s="4" t="str">
        <f>_xlfn.IFNA(IF(((INDEX(RulebookFields!D2:D1898, MATCH(D2806,RulebookFields!A2:A1898, 0))="")=TRUE),  "",  INDEX(RulebookFields!D2:D1898, MATCH(D2806,RulebookFields!A2:A1898, 0))), "")</f>
        <v>ProcedureType</v>
      </c>
      <c r="J2806" s="4" t="b">
        <f>_xlfn.IFNA(IF(((INDEX(RulebookFields!I2:I1898, MATCH(D2806,RulebookFields!A2:A1898, 0))="")=TRUE),  "",  INDEX(RulebookFields!I2:I1898, MATCH(D2806,RulebookFields!A2:A1898, 0))), "")</f>
        <v>0</v>
      </c>
      <c r="K2806" s="4" t="b">
        <f>AND(((F2806)=TRUE), ((J2806)=TRUE))</f>
        <v>0</v>
      </c>
      <c r="L2806" s="4" t="b">
        <f>AND(((G2806 &lt;&gt; "plain")=TRUE), ((G2806 &lt;&gt; "")=TRUE))</f>
        <v>0</v>
      </c>
      <c r="M2806" s="4" t="str">
        <f>IF(((E2806)=TRUE),  C2806 &amp; "|" &amp; H2806,  "")</f>
        <v>principal-knowledge-authority|Procedures</v>
      </c>
      <c r="N2806" s="3" t="s">
        <v>10004</v>
      </c>
    </row>
    <row r="2807">
      <c r="A2807" s="3" t="s">
        <v>12809</v>
      </c>
      <c r="B2807" s="4" t="str">
        <f>C2807 &amp; " -&gt; " &amp; D2807</f>
        <v>principal-knowledge-authority -&gt; Procedures.OwnerOrganization</v>
      </c>
      <c r="C2807" s="3" t="s">
        <v>9774</v>
      </c>
      <c r="D2807" s="3" t="s">
        <v>2686</v>
      </c>
      <c r="E2807" s="3" t="b">
        <v>1</v>
      </c>
      <c r="F2807" s="3" t="b">
        <v>0</v>
      </c>
      <c r="G2807" s="3" t="s">
        <v>10003</v>
      </c>
      <c r="H2807" s="4" t="str">
        <f>_xlfn.IFNA(IF(((INDEX(RulebookFields!C2:C1898, MATCH(D2807,RulebookFields!A2:A1898, 0))="")=TRUE),  "",  INDEX(RulebookFields!C2:C1898, MATCH(D2807,RulebookFields!A2:A1898, 0))), "")</f>
        <v>Procedures</v>
      </c>
      <c r="I2807" s="4" t="str">
        <f>_xlfn.IFNA(IF(((INDEX(RulebookFields!D2:D1898, MATCH(D2807,RulebookFields!A2:A1898, 0))="")=TRUE),  "",  INDEX(RulebookFields!D2:D1898, MATCH(D2807,RulebookFields!A2:A1898, 0))), "")</f>
        <v>OwnerOrganization</v>
      </c>
      <c r="J2807" s="4" t="b">
        <f>_xlfn.IFNA(IF(((INDEX(RulebookFields!I2:I1898, MATCH(D2807,RulebookFields!A2:A1898, 0))="")=TRUE),  "",  INDEX(RulebookFields!I2:I1898, MATCH(D2807,RulebookFields!A2:A1898, 0))), "")</f>
        <v>0</v>
      </c>
      <c r="K2807" s="4" t="b">
        <f>AND(((F2807)=TRUE), ((J2807)=TRUE))</f>
        <v>0</v>
      </c>
      <c r="L2807" s="4" t="b">
        <f>AND(((G2807 &lt;&gt; "plain")=TRUE), ((G2807 &lt;&gt; "")=TRUE))</f>
        <v>0</v>
      </c>
      <c r="M2807" s="4" t="str">
        <f>IF(((E2807)=TRUE),  C2807 &amp; "|" &amp; H2807,  "")</f>
        <v>principal-knowledge-authority|Procedures</v>
      </c>
      <c r="N2807" s="3" t="s">
        <v>10004</v>
      </c>
    </row>
    <row r="2808">
      <c r="A2808" s="3" t="s">
        <v>12810</v>
      </c>
      <c r="B2808" s="4" t="str">
        <f>C2808 &amp; " -&gt; " &amp; D2808</f>
        <v>principal-knowledge-authority -&gt; Procedures.AdoptedByOrganization</v>
      </c>
      <c r="C2808" s="3" t="s">
        <v>9774</v>
      </c>
      <c r="D2808" s="3" t="s">
        <v>2687</v>
      </c>
      <c r="E2808" s="3" t="b">
        <v>1</v>
      </c>
      <c r="F2808" s="3" t="b">
        <v>0</v>
      </c>
      <c r="G2808" s="3" t="s">
        <v>10003</v>
      </c>
      <c r="H2808" s="4" t="str">
        <f>_xlfn.IFNA(IF(((INDEX(RulebookFields!C2:C1898, MATCH(D2808,RulebookFields!A2:A1898, 0))="")=TRUE),  "",  INDEX(RulebookFields!C2:C1898, MATCH(D2808,RulebookFields!A2:A1898, 0))), "")</f>
        <v>Procedures</v>
      </c>
      <c r="I2808" s="4" t="str">
        <f>_xlfn.IFNA(IF(((INDEX(RulebookFields!D2:D1898, MATCH(D2808,RulebookFields!A2:A1898, 0))="")=TRUE),  "",  INDEX(RulebookFields!D2:D1898, MATCH(D2808,RulebookFields!A2:A1898, 0))), "")</f>
        <v>AdoptedByOrganization</v>
      </c>
      <c r="J2808" s="4" t="b">
        <f>_xlfn.IFNA(IF(((INDEX(RulebookFields!I2:I1898, MATCH(D2808,RulebookFields!A2:A1898, 0))="")=TRUE),  "",  INDEX(RulebookFields!I2:I1898, MATCH(D2808,RulebookFields!A2:A1898, 0))), "")</f>
        <v>0</v>
      </c>
      <c r="K2808" s="4" t="b">
        <f>AND(((F2808)=TRUE), ((J2808)=TRUE))</f>
        <v>0</v>
      </c>
      <c r="L2808" s="4" t="b">
        <f>AND(((G2808 &lt;&gt; "plain")=TRUE), ((G2808 &lt;&gt; "")=TRUE))</f>
        <v>0</v>
      </c>
      <c r="M2808" s="4" t="str">
        <f>IF(((E2808)=TRUE),  C2808 &amp; "|" &amp; H2808,  "")</f>
        <v>principal-knowledge-authority|Procedures</v>
      </c>
      <c r="N2808" s="3" t="s">
        <v>10004</v>
      </c>
    </row>
    <row r="2809">
      <c r="A2809" s="3" t="s">
        <v>12811</v>
      </c>
      <c r="B2809" s="4" t="str">
        <f>C2809 &amp; " -&gt; " &amp; D2809</f>
        <v>principal-knowledge-authority -&gt; Procedures.Purpose</v>
      </c>
      <c r="C2809" s="3" t="s">
        <v>9774</v>
      </c>
      <c r="D2809" s="3" t="s">
        <v>2688</v>
      </c>
      <c r="E2809" s="3" t="b">
        <v>1</v>
      </c>
      <c r="F2809" s="3" t="b">
        <v>0</v>
      </c>
      <c r="G2809" s="3" t="s">
        <v>10003</v>
      </c>
      <c r="H2809" s="4" t="str">
        <f>_xlfn.IFNA(IF(((INDEX(RulebookFields!C2:C1898, MATCH(D2809,RulebookFields!A2:A1898, 0))="")=TRUE),  "",  INDEX(RulebookFields!C2:C1898, MATCH(D2809,RulebookFields!A2:A1898, 0))), "")</f>
        <v>Procedures</v>
      </c>
      <c r="I2809" s="4" t="str">
        <f>_xlfn.IFNA(IF(((INDEX(RulebookFields!D2:D1898, MATCH(D2809,RulebookFields!A2:A1898, 0))="")=TRUE),  "",  INDEX(RulebookFields!D2:D1898, MATCH(D2809,RulebookFields!A2:A1898, 0))), "")</f>
        <v>Purpose</v>
      </c>
      <c r="J2809" s="4" t="b">
        <f>_xlfn.IFNA(IF(((INDEX(RulebookFields!I2:I1898, MATCH(D2809,RulebookFields!A2:A1898, 0))="")=TRUE),  "",  INDEX(RulebookFields!I2:I1898, MATCH(D2809,RulebookFields!A2:A1898, 0))), "")</f>
        <v>0</v>
      </c>
      <c r="K2809" s="4" t="b">
        <f>AND(((F2809)=TRUE), ((J2809)=TRUE))</f>
        <v>0</v>
      </c>
      <c r="L2809" s="4" t="b">
        <f>AND(((G2809 &lt;&gt; "plain")=TRUE), ((G2809 &lt;&gt; "")=TRUE))</f>
        <v>0</v>
      </c>
      <c r="M2809" s="4" t="str">
        <f>IF(((E2809)=TRUE),  C2809 &amp; "|" &amp; H2809,  "")</f>
        <v>principal-knowledge-authority|Procedures</v>
      </c>
      <c r="N2809" s="3" t="s">
        <v>10004</v>
      </c>
    </row>
    <row r="2810">
      <c r="A2810" s="3" t="s">
        <v>12812</v>
      </c>
      <c r="B2810" s="4" t="str">
        <f>C2810 &amp; " -&gt; " &amp; D2810</f>
        <v>principal-knowledge-authority -&gt; Procedures.Target</v>
      </c>
      <c r="C2810" s="3" t="s">
        <v>9774</v>
      </c>
      <c r="D2810" s="3" t="s">
        <v>2689</v>
      </c>
      <c r="E2810" s="3" t="b">
        <v>1</v>
      </c>
      <c r="F2810" s="3" t="b">
        <v>0</v>
      </c>
      <c r="G2810" s="3" t="s">
        <v>10003</v>
      </c>
      <c r="H2810" s="4" t="str">
        <f>_xlfn.IFNA(IF(((INDEX(RulebookFields!C2:C1898, MATCH(D2810,RulebookFields!A2:A1898, 0))="")=TRUE),  "",  INDEX(RulebookFields!C2:C1898, MATCH(D2810,RulebookFields!A2:A1898, 0))), "")</f>
        <v>Procedures</v>
      </c>
      <c r="I2810" s="4" t="str">
        <f>_xlfn.IFNA(IF(((INDEX(RulebookFields!D2:D1898, MATCH(D2810,RulebookFields!A2:A1898, 0))="")=TRUE),  "",  INDEX(RulebookFields!D2:D1898, MATCH(D2810,RulebookFields!A2:A1898, 0))), "")</f>
        <v>Target</v>
      </c>
      <c r="J2810" s="4" t="b">
        <f>_xlfn.IFNA(IF(((INDEX(RulebookFields!I2:I1898, MATCH(D2810,RulebookFields!A2:A1898, 0))="")=TRUE),  "",  INDEX(RulebookFields!I2:I1898, MATCH(D2810,RulebookFields!A2:A1898, 0))), "")</f>
        <v>0</v>
      </c>
      <c r="K2810" s="4" t="b">
        <f>AND(((F2810)=TRUE), ((J2810)=TRUE))</f>
        <v>0</v>
      </c>
      <c r="L2810" s="4" t="b">
        <f>AND(((G2810 &lt;&gt; "plain")=TRUE), ((G2810 &lt;&gt; "")=TRUE))</f>
        <v>0</v>
      </c>
      <c r="M2810" s="4" t="str">
        <f>IF(((E2810)=TRUE),  C2810 &amp; "|" &amp; H2810,  "")</f>
        <v>principal-knowledge-authority|Procedures</v>
      </c>
      <c r="N2810" s="3" t="s">
        <v>10004</v>
      </c>
    </row>
    <row r="2811">
      <c r="A2811" s="3" t="s">
        <v>12813</v>
      </c>
      <c r="B2811" s="4" t="str">
        <f>C2811 &amp; " -&gt; " &amp; D2811</f>
        <v>principal-knowledge-authority -&gt; Procedures.IsTemplate</v>
      </c>
      <c r="C2811" s="3" t="s">
        <v>9774</v>
      </c>
      <c r="D2811" s="3" t="s">
        <v>2690</v>
      </c>
      <c r="E2811" s="3" t="b">
        <v>1</v>
      </c>
      <c r="F2811" s="3" t="b">
        <v>0</v>
      </c>
      <c r="G2811" s="3" t="s">
        <v>10003</v>
      </c>
      <c r="H2811" s="4" t="str">
        <f>_xlfn.IFNA(IF(((INDEX(RulebookFields!C2:C1898, MATCH(D2811,RulebookFields!A2:A1898, 0))="")=TRUE),  "",  INDEX(RulebookFields!C2:C1898, MATCH(D2811,RulebookFields!A2:A1898, 0))), "")</f>
        <v>Procedures</v>
      </c>
      <c r="I2811" s="4" t="str">
        <f>_xlfn.IFNA(IF(((INDEX(RulebookFields!D2:D1898, MATCH(D2811,RulebookFields!A2:A1898, 0))="")=TRUE),  "",  INDEX(RulebookFields!D2:D1898, MATCH(D2811,RulebookFields!A2:A1898, 0))), "")</f>
        <v>IsTemplate</v>
      </c>
      <c r="J2811" s="4" t="b">
        <f>_xlfn.IFNA(IF(((INDEX(RulebookFields!I2:I1898, MATCH(D2811,RulebookFields!A2:A1898, 0))="")=TRUE),  "",  INDEX(RulebookFields!I2:I1898, MATCH(D2811,RulebookFields!A2:A1898, 0))), "")</f>
        <v>0</v>
      </c>
      <c r="K2811" s="4" t="b">
        <f>AND(((F2811)=TRUE), ((J2811)=TRUE))</f>
        <v>0</v>
      </c>
      <c r="L2811" s="4" t="b">
        <f>AND(((G2811 &lt;&gt; "plain")=TRUE), ((G2811 &lt;&gt; "")=TRUE))</f>
        <v>0</v>
      </c>
      <c r="M2811" s="4" t="str">
        <f>IF(((E2811)=TRUE),  C2811 &amp; "|" &amp; H2811,  "")</f>
        <v>principal-knowledge-authority|Procedures</v>
      </c>
      <c r="N2811" s="3" t="s">
        <v>10004</v>
      </c>
    </row>
    <row r="2812">
      <c r="A2812" s="3" t="s">
        <v>12814</v>
      </c>
      <c r="B2812" s="4" t="str">
        <f>C2812 &amp; " -&gt; " &amp; D2812</f>
        <v>principal-knowledge-authority -&gt; Procedures.CurrentVersionKey</v>
      </c>
      <c r="C2812" s="3" t="s">
        <v>9774</v>
      </c>
      <c r="D2812" s="3" t="s">
        <v>2691</v>
      </c>
      <c r="E2812" s="3" t="b">
        <v>1</v>
      </c>
      <c r="F2812" s="3" t="b">
        <v>0</v>
      </c>
      <c r="G2812" s="3" t="s">
        <v>10003</v>
      </c>
      <c r="H2812" s="4" t="str">
        <f>_xlfn.IFNA(IF(((INDEX(RulebookFields!C2:C1898, MATCH(D2812,RulebookFields!A2:A1898, 0))="")=TRUE),  "",  INDEX(RulebookFields!C2:C1898, MATCH(D2812,RulebookFields!A2:A1898, 0))), "")</f>
        <v>Procedures</v>
      </c>
      <c r="I2812" s="4" t="str">
        <f>_xlfn.IFNA(IF(((INDEX(RulebookFields!D2:D1898, MATCH(D2812,RulebookFields!A2:A1898, 0))="")=TRUE),  "",  INDEX(RulebookFields!D2:D1898, MATCH(D2812,RulebookFields!A2:A1898, 0))), "")</f>
        <v>CurrentVersionKey</v>
      </c>
      <c r="J2812" s="4" t="b">
        <f>_xlfn.IFNA(IF(((INDEX(RulebookFields!I2:I1898, MATCH(D2812,RulebookFields!A2:A1898, 0))="")=TRUE),  "",  INDEX(RulebookFields!I2:I1898, MATCH(D2812,RulebookFields!A2:A1898, 0))), "")</f>
        <v>0</v>
      </c>
      <c r="K2812" s="4" t="b">
        <f>AND(((F2812)=TRUE), ((J2812)=TRUE))</f>
        <v>0</v>
      </c>
      <c r="L2812" s="4" t="b">
        <f>AND(((G2812 &lt;&gt; "plain")=TRUE), ((G2812 &lt;&gt; "")=TRUE))</f>
        <v>0</v>
      </c>
      <c r="M2812" s="4" t="str">
        <f>IF(((E2812)=TRUE),  C2812 &amp; "|" &amp; H2812,  "")</f>
        <v>principal-knowledge-authority|Procedures</v>
      </c>
      <c r="N2812" s="3" t="s">
        <v>10004</v>
      </c>
    </row>
    <row r="2813">
      <c r="A2813" s="3" t="s">
        <v>12815</v>
      </c>
      <c r="B2813" s="4" t="str">
        <f>C2813 &amp; " -&gt; " &amp; D2813</f>
        <v>principal-knowledge-authority -&gt; Procedures.SemanticTypeIri</v>
      </c>
      <c r="C2813" s="3" t="s">
        <v>9774</v>
      </c>
      <c r="D2813" s="3" t="s">
        <v>2692</v>
      </c>
      <c r="E2813" s="3" t="b">
        <v>1</v>
      </c>
      <c r="F2813" s="3" t="b">
        <v>0</v>
      </c>
      <c r="G2813" s="3" t="s">
        <v>10003</v>
      </c>
      <c r="H2813" s="4" t="str">
        <f>_xlfn.IFNA(IF(((INDEX(RulebookFields!C2:C1898, MATCH(D2813,RulebookFields!A2:A1898, 0))="")=TRUE),  "",  INDEX(RulebookFields!C2:C1898, MATCH(D2813,RulebookFields!A2:A1898, 0))), "")</f>
        <v>Procedures</v>
      </c>
      <c r="I2813" s="4" t="str">
        <f>_xlfn.IFNA(IF(((INDEX(RulebookFields!D2:D1898, MATCH(D2813,RulebookFields!A2:A1898, 0))="")=TRUE),  "",  INDEX(RulebookFields!D2:D1898, MATCH(D2813,RulebookFields!A2:A1898, 0))), "")</f>
        <v>SemanticTypeIri</v>
      </c>
      <c r="J2813" s="4" t="b">
        <f>_xlfn.IFNA(IF(((INDEX(RulebookFields!I2:I1898, MATCH(D2813,RulebookFields!A2:A1898, 0))="")=TRUE),  "",  INDEX(RulebookFields!I2:I1898, MATCH(D2813,RulebookFields!A2:A1898, 0))), "")</f>
        <v>0</v>
      </c>
      <c r="K2813" s="4" t="b">
        <f>AND(((F2813)=TRUE), ((J2813)=TRUE))</f>
        <v>0</v>
      </c>
      <c r="L2813" s="4" t="b">
        <f>AND(((G2813 &lt;&gt; "plain")=TRUE), ((G2813 &lt;&gt; "")=TRUE))</f>
        <v>0</v>
      </c>
      <c r="M2813" s="4" t="str">
        <f>IF(((E2813)=TRUE),  C2813 &amp; "|" &amp; H2813,  "")</f>
        <v>principal-knowledge-authority|Procedures</v>
      </c>
      <c r="N2813" s="3" t="s">
        <v>10004</v>
      </c>
    </row>
    <row r="2814">
      <c r="A2814" s="3" t="s">
        <v>12816</v>
      </c>
      <c r="B2814" s="4" t="str">
        <f>C2814 &amp; " -&gt; " &amp; D2814</f>
        <v>principal-knowledge-authority -&gt; Rationales.RationaleId</v>
      </c>
      <c r="C2814" s="3" t="s">
        <v>9774</v>
      </c>
      <c r="D2814" s="3" t="s">
        <v>3150</v>
      </c>
      <c r="E2814" s="3" t="b">
        <v>1</v>
      </c>
      <c r="F2814" s="3" t="b">
        <v>0</v>
      </c>
      <c r="G2814" s="3" t="s">
        <v>10003</v>
      </c>
      <c r="H2814" s="4" t="str">
        <f>_xlfn.IFNA(IF(((INDEX(RulebookFields!C2:C1898, MATCH(D2814,RulebookFields!A2:A1898, 0))="")=TRUE),  "",  INDEX(RulebookFields!C2:C1898, MATCH(D2814,RulebookFields!A2:A1898, 0))), "")</f>
        <v>Rationales</v>
      </c>
      <c r="I2814" s="4" t="str">
        <f>_xlfn.IFNA(IF(((INDEX(RulebookFields!D2:D1898, MATCH(D2814,RulebookFields!A2:A1898, 0))="")=TRUE),  "",  INDEX(RulebookFields!D2:D1898, MATCH(D2814,RulebookFields!A2:A1898, 0))), "")</f>
        <v>RationaleId</v>
      </c>
      <c r="J2814" s="4" t="b">
        <f>_xlfn.IFNA(IF(((INDEX(RulebookFields!I2:I1898, MATCH(D2814,RulebookFields!A2:A1898, 0))="")=TRUE),  "",  INDEX(RulebookFields!I2:I1898, MATCH(D2814,RulebookFields!A2:A1898, 0))), "")</f>
        <v>0</v>
      </c>
      <c r="K2814" s="4" t="b">
        <f>AND(((F2814)=TRUE), ((J2814)=TRUE))</f>
        <v>0</v>
      </c>
      <c r="L2814" s="4" t="b">
        <f>AND(((G2814 &lt;&gt; "plain")=TRUE), ((G2814 &lt;&gt; "")=TRUE))</f>
        <v>0</v>
      </c>
      <c r="M2814" s="4" t="str">
        <f>IF(((E2814)=TRUE),  C2814 &amp; "|" &amp; H2814,  "")</f>
        <v>principal-knowledge-authority|Rationales</v>
      </c>
      <c r="N2814" s="3" t="s">
        <v>10004</v>
      </c>
    </row>
    <row r="2815">
      <c r="A2815" s="3" t="s">
        <v>12817</v>
      </c>
      <c r="B2815" s="4" t="str">
        <f>C2815 &amp; " -&gt; " &amp; D2815</f>
        <v>principal-knowledge-authority -&gt; Rationales.Name</v>
      </c>
      <c r="C2815" s="3" t="s">
        <v>9774</v>
      </c>
      <c r="D2815" s="3" t="s">
        <v>3152</v>
      </c>
      <c r="E2815" s="3" t="b">
        <v>1</v>
      </c>
      <c r="F2815" s="3" t="b">
        <v>0</v>
      </c>
      <c r="G2815" s="3" t="s">
        <v>10003</v>
      </c>
      <c r="H2815" s="4" t="str">
        <f>_xlfn.IFNA(IF(((INDEX(RulebookFields!C2:C1898, MATCH(D2815,RulebookFields!A2:A1898, 0))="")=TRUE),  "",  INDEX(RulebookFields!C2:C1898, MATCH(D2815,RulebookFields!A2:A1898, 0))), "")</f>
        <v>Rationales</v>
      </c>
      <c r="I2815" s="4" t="str">
        <f>_xlfn.IFNA(IF(((INDEX(RulebookFields!D2:D1898, MATCH(D2815,RulebookFields!A2:A1898, 0))="")=TRUE),  "",  INDEX(RulebookFields!D2:D1898, MATCH(D2815,RulebookFields!A2:A1898, 0))), "")</f>
        <v>Name</v>
      </c>
      <c r="J2815" s="4" t="b">
        <f>_xlfn.IFNA(IF(((INDEX(RulebookFields!I2:I1898, MATCH(D2815,RulebookFields!A2:A1898, 0))="")=TRUE),  "",  INDEX(RulebookFields!I2:I1898, MATCH(D2815,RulebookFields!A2:A1898, 0))), "")</f>
        <v>1</v>
      </c>
      <c r="K2815" s="4" t="b">
        <f>AND(((F2815)=TRUE), ((J2815)=TRUE))</f>
        <v>0</v>
      </c>
      <c r="L2815" s="4" t="b">
        <f>AND(((G2815 &lt;&gt; "plain")=TRUE), ((G2815 &lt;&gt; "")=TRUE))</f>
        <v>0</v>
      </c>
      <c r="M2815" s="4" t="str">
        <f>IF(((E2815)=TRUE),  C2815 &amp; "|" &amp; H2815,  "")</f>
        <v>principal-knowledge-authority|Rationales</v>
      </c>
      <c r="N2815" s="3" t="s">
        <v>10004</v>
      </c>
    </row>
    <row r="2816">
      <c r="A2816" s="3" t="s">
        <v>12818</v>
      </c>
      <c r="B2816" s="4" t="str">
        <f>C2816 &amp; " -&gt; " &amp; D2816</f>
        <v>principal-knowledge-authority -&gt; Rationales.ProcedureVersion</v>
      </c>
      <c r="C2816" s="3" t="s">
        <v>9774</v>
      </c>
      <c r="D2816" s="3" t="s">
        <v>3153</v>
      </c>
      <c r="E2816" s="3" t="b">
        <v>1</v>
      </c>
      <c r="F2816" s="3" t="b">
        <v>0</v>
      </c>
      <c r="G2816" s="3" t="s">
        <v>10003</v>
      </c>
      <c r="H2816" s="4" t="str">
        <f>_xlfn.IFNA(IF(((INDEX(RulebookFields!C2:C1898, MATCH(D2816,RulebookFields!A2:A1898, 0))="")=TRUE),  "",  INDEX(RulebookFields!C2:C1898, MATCH(D2816,RulebookFields!A2:A1898, 0))), "")</f>
        <v>Rationales</v>
      </c>
      <c r="I2816" s="4" t="str">
        <f>_xlfn.IFNA(IF(((INDEX(RulebookFields!D2:D1898, MATCH(D2816,RulebookFields!A2:A1898, 0))="")=TRUE),  "",  INDEX(RulebookFields!D2:D1898, MATCH(D2816,RulebookFields!A2:A1898, 0))), "")</f>
        <v>ProcedureVersion</v>
      </c>
      <c r="J2816" s="4" t="b">
        <f>_xlfn.IFNA(IF(((INDEX(RulebookFields!I2:I1898, MATCH(D2816,RulebookFields!A2:A1898, 0))="")=TRUE),  "",  INDEX(RulebookFields!I2:I1898, MATCH(D2816,RulebookFields!A2:A1898, 0))), "")</f>
        <v>0</v>
      </c>
      <c r="K2816" s="4" t="b">
        <f>AND(((F2816)=TRUE), ((J2816)=TRUE))</f>
        <v>0</v>
      </c>
      <c r="L2816" s="4" t="b">
        <f>AND(((G2816 &lt;&gt; "plain")=TRUE), ((G2816 &lt;&gt; "")=TRUE))</f>
        <v>0</v>
      </c>
      <c r="M2816" s="4" t="str">
        <f>IF(((E2816)=TRUE),  C2816 &amp; "|" &amp; H2816,  "")</f>
        <v>principal-knowledge-authority|Rationales</v>
      </c>
      <c r="N2816" s="3" t="s">
        <v>10004</v>
      </c>
    </row>
    <row r="2817">
      <c r="A2817" s="3" t="s">
        <v>12819</v>
      </c>
      <c r="B2817" s="4" t="str">
        <f>C2817 &amp; " -&gt; " &amp; D2817</f>
        <v>principal-knowledge-authority -&gt; Rationales.Step</v>
      </c>
      <c r="C2817" s="3" t="s">
        <v>9774</v>
      </c>
      <c r="D2817" s="3" t="s">
        <v>3154</v>
      </c>
      <c r="E2817" s="3" t="b">
        <v>1</v>
      </c>
      <c r="F2817" s="3" t="b">
        <v>0</v>
      </c>
      <c r="G2817" s="3" t="s">
        <v>10003</v>
      </c>
      <c r="H2817" s="4" t="str">
        <f>_xlfn.IFNA(IF(((INDEX(RulebookFields!C2:C1898, MATCH(D2817,RulebookFields!A2:A1898, 0))="")=TRUE),  "",  INDEX(RulebookFields!C2:C1898, MATCH(D2817,RulebookFields!A2:A1898, 0))), "")</f>
        <v>Rationales</v>
      </c>
      <c r="I2817" s="4" t="str">
        <f>_xlfn.IFNA(IF(((INDEX(RulebookFields!D2:D1898, MATCH(D2817,RulebookFields!A2:A1898, 0))="")=TRUE),  "",  INDEX(RulebookFields!D2:D1898, MATCH(D2817,RulebookFields!A2:A1898, 0))), "")</f>
        <v>Step</v>
      </c>
      <c r="J2817" s="4" t="b">
        <f>_xlfn.IFNA(IF(((INDEX(RulebookFields!I2:I1898, MATCH(D2817,RulebookFields!A2:A1898, 0))="")=TRUE),  "",  INDEX(RulebookFields!I2:I1898, MATCH(D2817,RulebookFields!A2:A1898, 0))), "")</f>
        <v>0</v>
      </c>
      <c r="K2817" s="4" t="b">
        <f>AND(((F2817)=TRUE), ((J2817)=TRUE))</f>
        <v>0</v>
      </c>
      <c r="L2817" s="4" t="b">
        <f>AND(((G2817 &lt;&gt; "plain")=TRUE), ((G2817 &lt;&gt; "")=TRUE))</f>
        <v>0</v>
      </c>
      <c r="M2817" s="4" t="str">
        <f>IF(((E2817)=TRUE),  C2817 &amp; "|" &amp; H2817,  "")</f>
        <v>principal-knowledge-authority|Rationales</v>
      </c>
      <c r="N2817" s="3" t="s">
        <v>10004</v>
      </c>
    </row>
    <row r="2818">
      <c r="A2818" s="3" t="s">
        <v>12820</v>
      </c>
      <c r="B2818" s="4" t="str">
        <f>C2818 &amp; " -&gt; " &amp; D2818</f>
        <v>principal-knowledge-authority -&gt; Rationales.Title</v>
      </c>
      <c r="C2818" s="3" t="s">
        <v>9774</v>
      </c>
      <c r="D2818" s="3" t="s">
        <v>3155</v>
      </c>
      <c r="E2818" s="3" t="b">
        <v>1</v>
      </c>
      <c r="F2818" s="3" t="b">
        <v>0</v>
      </c>
      <c r="G2818" s="3" t="s">
        <v>10003</v>
      </c>
      <c r="H2818" s="4" t="str">
        <f>_xlfn.IFNA(IF(((INDEX(RulebookFields!C2:C1898, MATCH(D2818,RulebookFields!A2:A1898, 0))="")=TRUE),  "",  INDEX(RulebookFields!C2:C1898, MATCH(D2818,RulebookFields!A2:A1898, 0))), "")</f>
        <v>Rationales</v>
      </c>
      <c r="I2818" s="4" t="str">
        <f>_xlfn.IFNA(IF(((INDEX(RulebookFields!D2:D1898, MATCH(D2818,RulebookFields!A2:A1898, 0))="")=TRUE),  "",  INDEX(RulebookFields!D2:D1898, MATCH(D2818,RulebookFields!A2:A1898, 0))), "")</f>
        <v>Title</v>
      </c>
      <c r="J2818" s="4" t="b">
        <f>_xlfn.IFNA(IF(((INDEX(RulebookFields!I2:I1898, MATCH(D2818,RulebookFields!A2:A1898, 0))="")=TRUE),  "",  INDEX(RulebookFields!I2:I1898, MATCH(D2818,RulebookFields!A2:A1898, 0))), "")</f>
        <v>0</v>
      </c>
      <c r="K2818" s="4" t="b">
        <f>AND(((F2818)=TRUE), ((J2818)=TRUE))</f>
        <v>0</v>
      </c>
      <c r="L2818" s="4" t="b">
        <f>AND(((G2818 &lt;&gt; "plain")=TRUE), ((G2818 &lt;&gt; "")=TRUE))</f>
        <v>0</v>
      </c>
      <c r="M2818" s="4" t="str">
        <f>IF(((E2818)=TRUE),  C2818 &amp; "|" &amp; H2818,  "")</f>
        <v>principal-knowledge-authority|Rationales</v>
      </c>
      <c r="N2818" s="3" t="s">
        <v>10004</v>
      </c>
    </row>
    <row r="2819">
      <c r="A2819" s="3" t="s">
        <v>12821</v>
      </c>
      <c r="B2819" s="4" t="str">
        <f>C2819 &amp; " -&gt; " &amp; D2819</f>
        <v>principal-knowledge-authority -&gt; Rationales.Statement</v>
      </c>
      <c r="C2819" s="3" t="s">
        <v>9774</v>
      </c>
      <c r="D2819" s="3" t="s">
        <v>3156</v>
      </c>
      <c r="E2819" s="3" t="b">
        <v>1</v>
      </c>
      <c r="F2819" s="3" t="b">
        <v>0</v>
      </c>
      <c r="G2819" s="3" t="s">
        <v>10003</v>
      </c>
      <c r="H2819" s="4" t="str">
        <f>_xlfn.IFNA(IF(((INDEX(RulebookFields!C2:C1898, MATCH(D2819,RulebookFields!A2:A1898, 0))="")=TRUE),  "",  INDEX(RulebookFields!C2:C1898, MATCH(D2819,RulebookFields!A2:A1898, 0))), "")</f>
        <v>Rationales</v>
      </c>
      <c r="I2819" s="4" t="str">
        <f>_xlfn.IFNA(IF(((INDEX(RulebookFields!D2:D1898, MATCH(D2819,RulebookFields!A2:A1898, 0))="")=TRUE),  "",  INDEX(RulebookFields!D2:D1898, MATCH(D2819,RulebookFields!A2:A1898, 0))), "")</f>
        <v>Statement</v>
      </c>
      <c r="J2819" s="4" t="b">
        <f>_xlfn.IFNA(IF(((INDEX(RulebookFields!I2:I1898, MATCH(D2819,RulebookFields!A2:A1898, 0))="")=TRUE),  "",  INDEX(RulebookFields!I2:I1898, MATCH(D2819,RulebookFields!A2:A1898, 0))), "")</f>
        <v>0</v>
      </c>
      <c r="K2819" s="4" t="b">
        <f>AND(((F2819)=TRUE), ((J2819)=TRUE))</f>
        <v>0</v>
      </c>
      <c r="L2819" s="4" t="b">
        <f>AND(((G2819 &lt;&gt; "plain")=TRUE), ((G2819 &lt;&gt; "")=TRUE))</f>
        <v>0</v>
      </c>
      <c r="M2819" s="4" t="str">
        <f>IF(((E2819)=TRUE),  C2819 &amp; "|" &amp; H2819,  "")</f>
        <v>principal-knowledge-authority|Rationales</v>
      </c>
      <c r="N2819" s="3" t="s">
        <v>10004</v>
      </c>
    </row>
    <row r="2820">
      <c r="A2820" s="3" t="s">
        <v>12822</v>
      </c>
      <c r="B2820" s="4" t="str">
        <f>C2820 &amp; " -&gt; " &amp; D2820</f>
        <v>principal-knowledge-authority -&gt; Rationales.Status</v>
      </c>
      <c r="C2820" s="3" t="s">
        <v>9774</v>
      </c>
      <c r="D2820" s="3" t="s">
        <v>3157</v>
      </c>
      <c r="E2820" s="3" t="b">
        <v>1</v>
      </c>
      <c r="F2820" s="3" t="b">
        <v>0</v>
      </c>
      <c r="G2820" s="3" t="s">
        <v>10003</v>
      </c>
      <c r="H2820" s="4" t="str">
        <f>_xlfn.IFNA(IF(((INDEX(RulebookFields!C2:C1898, MATCH(D2820,RulebookFields!A2:A1898, 0))="")=TRUE),  "",  INDEX(RulebookFields!C2:C1898, MATCH(D2820,RulebookFields!A2:A1898, 0))), "")</f>
        <v>Rationales</v>
      </c>
      <c r="I2820" s="4" t="str">
        <f>_xlfn.IFNA(IF(((INDEX(RulebookFields!D2:D1898, MATCH(D2820,RulebookFields!A2:A1898, 0))="")=TRUE),  "",  INDEX(RulebookFields!D2:D1898, MATCH(D2820,RulebookFields!A2:A1898, 0))), "")</f>
        <v>Status</v>
      </c>
      <c r="J2820" s="4" t="b">
        <f>_xlfn.IFNA(IF(((INDEX(RulebookFields!I2:I1898, MATCH(D2820,RulebookFields!A2:A1898, 0))="")=TRUE),  "",  INDEX(RulebookFields!I2:I1898, MATCH(D2820,RulebookFields!A2:A1898, 0))), "")</f>
        <v>0</v>
      </c>
      <c r="K2820" s="4" t="b">
        <f>AND(((F2820)=TRUE), ((J2820)=TRUE))</f>
        <v>0</v>
      </c>
      <c r="L2820" s="4" t="b">
        <f>AND(((G2820 &lt;&gt; "plain")=TRUE), ((G2820 &lt;&gt; "")=TRUE))</f>
        <v>0</v>
      </c>
      <c r="M2820" s="4" t="str">
        <f>IF(((E2820)=TRUE),  C2820 &amp; "|" &amp; H2820,  "")</f>
        <v>principal-knowledge-authority|Rationales</v>
      </c>
      <c r="N2820" s="3" t="s">
        <v>10004</v>
      </c>
    </row>
    <row r="2821">
      <c r="A2821" s="3" t="s">
        <v>12823</v>
      </c>
      <c r="B2821" s="4" t="str">
        <f>C2821 &amp; " -&gt; " &amp; D2821</f>
        <v>principal-knowledge-authority -&gt; Rationales.AuthorityRole</v>
      </c>
      <c r="C2821" s="3" t="s">
        <v>9774</v>
      </c>
      <c r="D2821" s="3" t="s">
        <v>3158</v>
      </c>
      <c r="E2821" s="3" t="b">
        <v>1</v>
      </c>
      <c r="F2821" s="3" t="b">
        <v>0</v>
      </c>
      <c r="G2821" s="3" t="s">
        <v>10003</v>
      </c>
      <c r="H2821" s="4" t="str">
        <f>_xlfn.IFNA(IF(((INDEX(RulebookFields!C2:C1898, MATCH(D2821,RulebookFields!A2:A1898, 0))="")=TRUE),  "",  INDEX(RulebookFields!C2:C1898, MATCH(D2821,RulebookFields!A2:A1898, 0))), "")</f>
        <v>Rationales</v>
      </c>
      <c r="I2821" s="4" t="str">
        <f>_xlfn.IFNA(IF(((INDEX(RulebookFields!D2:D1898, MATCH(D2821,RulebookFields!A2:A1898, 0))="")=TRUE),  "",  INDEX(RulebookFields!D2:D1898, MATCH(D2821,RulebookFields!A2:A1898, 0))), "")</f>
        <v>AuthorityRole</v>
      </c>
      <c r="J2821" s="4" t="b">
        <f>_xlfn.IFNA(IF(((INDEX(RulebookFields!I2:I1898, MATCH(D2821,RulebookFields!A2:A1898, 0))="")=TRUE),  "",  INDEX(RulebookFields!I2:I1898, MATCH(D2821,RulebookFields!A2:A1898, 0))), "")</f>
        <v>0</v>
      </c>
      <c r="K2821" s="4" t="b">
        <f>AND(((F2821)=TRUE), ((J2821)=TRUE))</f>
        <v>0</v>
      </c>
      <c r="L2821" s="4" t="b">
        <f>AND(((G2821 &lt;&gt; "plain")=TRUE), ((G2821 &lt;&gt; "")=TRUE))</f>
        <v>0</v>
      </c>
      <c r="M2821" s="4" t="str">
        <f>IF(((E2821)=TRUE),  C2821 &amp; "|" &amp; H2821,  "")</f>
        <v>principal-knowledge-authority|Rationales</v>
      </c>
      <c r="N2821" s="3" t="s">
        <v>10004</v>
      </c>
    </row>
    <row r="2822">
      <c r="A2822" s="3" t="s">
        <v>12824</v>
      </c>
      <c r="B2822" s="4" t="str">
        <f>C2822 &amp; " -&gt; " &amp; D2822</f>
        <v>principal-knowledge-authority -&gt; Rationales.SemanticTypeIri</v>
      </c>
      <c r="C2822" s="3" t="s">
        <v>9774</v>
      </c>
      <c r="D2822" s="3" t="s">
        <v>3159</v>
      </c>
      <c r="E2822" s="3" t="b">
        <v>1</v>
      </c>
      <c r="F2822" s="3" t="b">
        <v>0</v>
      </c>
      <c r="G2822" s="3" t="s">
        <v>10003</v>
      </c>
      <c r="H2822" s="4" t="str">
        <f>_xlfn.IFNA(IF(((INDEX(RulebookFields!C2:C1898, MATCH(D2822,RulebookFields!A2:A1898, 0))="")=TRUE),  "",  INDEX(RulebookFields!C2:C1898, MATCH(D2822,RulebookFields!A2:A1898, 0))), "")</f>
        <v>Rationales</v>
      </c>
      <c r="I2822" s="4" t="str">
        <f>_xlfn.IFNA(IF(((INDEX(RulebookFields!D2:D1898, MATCH(D2822,RulebookFields!A2:A1898, 0))="")=TRUE),  "",  INDEX(RulebookFields!D2:D1898, MATCH(D2822,RulebookFields!A2:A1898, 0))), "")</f>
        <v>SemanticTypeIri</v>
      </c>
      <c r="J2822" s="4" t="b">
        <f>_xlfn.IFNA(IF(((INDEX(RulebookFields!I2:I1898, MATCH(D2822,RulebookFields!A2:A1898, 0))="")=TRUE),  "",  INDEX(RulebookFields!I2:I1898, MATCH(D2822,RulebookFields!A2:A1898, 0))), "")</f>
        <v>0</v>
      </c>
      <c r="K2822" s="4" t="b">
        <f>AND(((F2822)=TRUE), ((J2822)=TRUE))</f>
        <v>0</v>
      </c>
      <c r="L2822" s="4" t="b">
        <f>AND(((G2822 &lt;&gt; "plain")=TRUE), ((G2822 &lt;&gt; "")=TRUE))</f>
        <v>0</v>
      </c>
      <c r="M2822" s="4" t="str">
        <f>IF(((E2822)=TRUE),  C2822 &amp; "|" &amp; H2822,  "")</f>
        <v>principal-knowledge-authority|Rationales</v>
      </c>
      <c r="N2822" s="3" t="s">
        <v>10004</v>
      </c>
    </row>
    <row r="2823">
      <c r="A2823" s="3" t="s">
        <v>12825</v>
      </c>
      <c r="B2823" s="4" t="str">
        <f>C2823 &amp; " -&gt; " &amp; D2823</f>
        <v>principal-knowledge-authority -&gt; Recipients.RecipientId</v>
      </c>
      <c r="C2823" s="3" t="s">
        <v>9774</v>
      </c>
      <c r="D2823" s="3" t="s">
        <v>4411</v>
      </c>
      <c r="E2823" s="3" t="b">
        <v>1</v>
      </c>
      <c r="F2823" s="3" t="b">
        <v>0</v>
      </c>
      <c r="G2823" s="3" t="s">
        <v>10003</v>
      </c>
      <c r="H2823" s="4" t="str">
        <f>_xlfn.IFNA(IF(((INDEX(RulebookFields!C2:C1898, MATCH(D2823,RulebookFields!A2:A1898, 0))="")=TRUE),  "",  INDEX(RulebookFields!C2:C1898, MATCH(D2823,RulebookFields!A2:A1898, 0))), "")</f>
        <v>Recipients</v>
      </c>
      <c r="I2823" s="4" t="str">
        <f>_xlfn.IFNA(IF(((INDEX(RulebookFields!D2:D1898, MATCH(D2823,RulebookFields!A2:A1898, 0))="")=TRUE),  "",  INDEX(RulebookFields!D2:D1898, MATCH(D2823,RulebookFields!A2:A1898, 0))), "")</f>
        <v>RecipientId</v>
      </c>
      <c r="J2823" s="4" t="b">
        <f>_xlfn.IFNA(IF(((INDEX(RulebookFields!I2:I1898, MATCH(D2823,RulebookFields!A2:A1898, 0))="")=TRUE),  "",  INDEX(RulebookFields!I2:I1898, MATCH(D2823,RulebookFields!A2:A1898, 0))), "")</f>
        <v>0</v>
      </c>
      <c r="K2823" s="4" t="b">
        <f>AND(((F2823)=TRUE), ((J2823)=TRUE))</f>
        <v>0</v>
      </c>
      <c r="L2823" s="4" t="b">
        <f>AND(((G2823 &lt;&gt; "plain")=TRUE), ((G2823 &lt;&gt; "")=TRUE))</f>
        <v>0</v>
      </c>
      <c r="M2823" s="4" t="str">
        <f>IF(((E2823)=TRUE),  C2823 &amp; "|" &amp; H2823,  "")</f>
        <v>principal-knowledge-authority|Recipients</v>
      </c>
      <c r="N2823" s="3" t="s">
        <v>10004</v>
      </c>
    </row>
    <row r="2824">
      <c r="A2824" s="3" t="s">
        <v>12826</v>
      </c>
      <c r="B2824" s="4" t="str">
        <f>C2824 &amp; " -&gt; " &amp; D2824</f>
        <v>principal-knowledge-authority -&gt; Recipients.Name</v>
      </c>
      <c r="C2824" s="3" t="s">
        <v>9774</v>
      </c>
      <c r="D2824" s="3" t="s">
        <v>4414</v>
      </c>
      <c r="E2824" s="3" t="b">
        <v>1</v>
      </c>
      <c r="F2824" s="3" t="b">
        <v>0</v>
      </c>
      <c r="G2824" s="3" t="s">
        <v>10003</v>
      </c>
      <c r="H2824" s="4" t="str">
        <f>_xlfn.IFNA(IF(((INDEX(RulebookFields!C2:C1898, MATCH(D2824,RulebookFields!A2:A1898, 0))="")=TRUE),  "",  INDEX(RulebookFields!C2:C1898, MATCH(D2824,RulebookFields!A2:A1898, 0))), "")</f>
        <v>Recipients</v>
      </c>
      <c r="I2824" s="4" t="str">
        <f>_xlfn.IFNA(IF(((INDEX(RulebookFields!D2:D1898, MATCH(D2824,RulebookFields!A2:A1898, 0))="")=TRUE),  "",  INDEX(RulebookFields!D2:D1898, MATCH(D2824,RulebookFields!A2:A1898, 0))), "")</f>
        <v>Name</v>
      </c>
      <c r="J2824" s="4" t="b">
        <f>_xlfn.IFNA(IF(((INDEX(RulebookFields!I2:I1898, MATCH(D2824,RulebookFields!A2:A1898, 0))="")=TRUE),  "",  INDEX(RulebookFields!I2:I1898, MATCH(D2824,RulebookFields!A2:A1898, 0))), "")</f>
        <v>1</v>
      </c>
      <c r="K2824" s="4" t="b">
        <f>AND(((F2824)=TRUE), ((J2824)=TRUE))</f>
        <v>0</v>
      </c>
      <c r="L2824" s="4" t="b">
        <f>AND(((G2824 &lt;&gt; "plain")=TRUE), ((G2824 &lt;&gt; "")=TRUE))</f>
        <v>0</v>
      </c>
      <c r="M2824" s="4" t="str">
        <f>IF(((E2824)=TRUE),  C2824 &amp; "|" &amp; H2824,  "")</f>
        <v>principal-knowledge-authority|Recipients</v>
      </c>
      <c r="N2824" s="3" t="s">
        <v>10004</v>
      </c>
    </row>
    <row r="2825">
      <c r="A2825" s="3" t="s">
        <v>12827</v>
      </c>
      <c r="B2825" s="4" t="str">
        <f>C2825 &amp; " -&gt; " &amp; D2825</f>
        <v>principal-knowledge-authority -&gt; Recipients.DisplayName</v>
      </c>
      <c r="C2825" s="3" t="s">
        <v>9774</v>
      </c>
      <c r="D2825" s="3" t="s">
        <v>4415</v>
      </c>
      <c r="E2825" s="3" t="b">
        <v>1</v>
      </c>
      <c r="F2825" s="3" t="b">
        <v>0</v>
      </c>
      <c r="G2825" s="3" t="s">
        <v>10003</v>
      </c>
      <c r="H2825" s="4" t="str">
        <f>_xlfn.IFNA(IF(((INDEX(RulebookFields!C2:C1898, MATCH(D2825,RulebookFields!A2:A1898, 0))="")=TRUE),  "",  INDEX(RulebookFields!C2:C1898, MATCH(D2825,RulebookFields!A2:A1898, 0))), "")</f>
        <v>Recipients</v>
      </c>
      <c r="I2825" s="4" t="str">
        <f>_xlfn.IFNA(IF(((INDEX(RulebookFields!D2:D1898, MATCH(D2825,RulebookFields!A2:A1898, 0))="")=TRUE),  "",  INDEX(RulebookFields!D2:D1898, MATCH(D2825,RulebookFields!A2:A1898, 0))), "")</f>
        <v>DisplayName</v>
      </c>
      <c r="J2825" s="4" t="b">
        <f>_xlfn.IFNA(IF(((INDEX(RulebookFields!I2:I1898, MATCH(D2825,RulebookFields!A2:A1898, 0))="")=TRUE),  "",  INDEX(RulebookFields!I2:I1898, MATCH(D2825,RulebookFields!A2:A1898, 0))), "")</f>
        <v>0</v>
      </c>
      <c r="K2825" s="4" t="b">
        <f>AND(((F2825)=TRUE), ((J2825)=TRUE))</f>
        <v>0</v>
      </c>
      <c r="L2825" s="4" t="b">
        <f>AND(((G2825 &lt;&gt; "plain")=TRUE), ((G2825 &lt;&gt; "")=TRUE))</f>
        <v>0</v>
      </c>
      <c r="M2825" s="4" t="str">
        <f>IF(((E2825)=TRUE),  C2825 &amp; "|" &amp; H2825,  "")</f>
        <v>principal-knowledge-authority|Recipients</v>
      </c>
      <c r="N2825" s="3" t="s">
        <v>10004</v>
      </c>
    </row>
    <row r="2826">
      <c r="A2826" s="3" t="s">
        <v>12828</v>
      </c>
      <c r="B2826" s="4" t="str">
        <f>C2826 &amp; " -&gt; " &amp; D2826</f>
        <v>principal-knowledge-authority -&gt; Recipients.Organization</v>
      </c>
      <c r="C2826" s="3" t="s">
        <v>9774</v>
      </c>
      <c r="D2826" s="3" t="s">
        <v>4416</v>
      </c>
      <c r="E2826" s="3" t="b">
        <v>1</v>
      </c>
      <c r="F2826" s="3" t="b">
        <v>0</v>
      </c>
      <c r="G2826" s="3" t="s">
        <v>10003</v>
      </c>
      <c r="H2826" s="4" t="str">
        <f>_xlfn.IFNA(IF(((INDEX(RulebookFields!C2:C1898, MATCH(D2826,RulebookFields!A2:A1898, 0))="")=TRUE),  "",  INDEX(RulebookFields!C2:C1898, MATCH(D2826,RulebookFields!A2:A1898, 0))), "")</f>
        <v>Recipients</v>
      </c>
      <c r="I2826" s="4" t="str">
        <f>_xlfn.IFNA(IF(((INDEX(RulebookFields!D2:D1898, MATCH(D2826,RulebookFields!A2:A1898, 0))="")=TRUE),  "",  INDEX(RulebookFields!D2:D1898, MATCH(D2826,RulebookFields!A2:A1898, 0))), "")</f>
        <v>Organization</v>
      </c>
      <c r="J2826" s="4" t="b">
        <f>_xlfn.IFNA(IF(((INDEX(RulebookFields!I2:I1898, MATCH(D2826,RulebookFields!A2:A1898, 0))="")=TRUE),  "",  INDEX(RulebookFields!I2:I1898, MATCH(D2826,RulebookFields!A2:A1898, 0))), "")</f>
        <v>0</v>
      </c>
      <c r="K2826" s="4" t="b">
        <f>AND(((F2826)=TRUE), ((J2826)=TRUE))</f>
        <v>0</v>
      </c>
      <c r="L2826" s="4" t="b">
        <f>AND(((G2826 &lt;&gt; "plain")=TRUE), ((G2826 &lt;&gt; "")=TRUE))</f>
        <v>0</v>
      </c>
      <c r="M2826" s="4" t="str">
        <f>IF(((E2826)=TRUE),  C2826 &amp; "|" &amp; H2826,  "")</f>
        <v>principal-knowledge-authority|Recipients</v>
      </c>
      <c r="N2826" s="3" t="s">
        <v>10004</v>
      </c>
    </row>
    <row r="2827">
      <c r="A2827" s="3" t="s">
        <v>12829</v>
      </c>
      <c r="B2827" s="4" t="str">
        <f>C2827 &amp; " -&gt; " &amp; D2827</f>
        <v>principal-knowledge-authority -&gt; Recipients.EmailAddress</v>
      </c>
      <c r="C2827" s="3" t="s">
        <v>9774</v>
      </c>
      <c r="D2827" s="3" t="s">
        <v>4417</v>
      </c>
      <c r="E2827" s="3" t="b">
        <v>1</v>
      </c>
      <c r="F2827" s="3" t="b">
        <v>0</v>
      </c>
      <c r="G2827" s="3" t="s">
        <v>10003</v>
      </c>
      <c r="H2827" s="4" t="str">
        <f>_xlfn.IFNA(IF(((INDEX(RulebookFields!C2:C1898, MATCH(D2827,RulebookFields!A2:A1898, 0))="")=TRUE),  "",  INDEX(RulebookFields!C2:C1898, MATCH(D2827,RulebookFields!A2:A1898, 0))), "")</f>
        <v>Recipients</v>
      </c>
      <c r="I2827" s="4" t="str">
        <f>_xlfn.IFNA(IF(((INDEX(RulebookFields!D2:D1898, MATCH(D2827,RulebookFields!A2:A1898, 0))="")=TRUE),  "",  INDEX(RulebookFields!D2:D1898, MATCH(D2827,RulebookFields!A2:A1898, 0))), "")</f>
        <v>EmailAddress</v>
      </c>
      <c r="J2827" s="4" t="b">
        <f>_xlfn.IFNA(IF(((INDEX(RulebookFields!I2:I1898, MATCH(D2827,RulebookFields!A2:A1898, 0))="")=TRUE),  "",  INDEX(RulebookFields!I2:I1898, MATCH(D2827,RulebookFields!A2:A1898, 0))), "")</f>
        <v>0</v>
      </c>
      <c r="K2827" s="4" t="b">
        <f>AND(((F2827)=TRUE), ((J2827)=TRUE))</f>
        <v>0</v>
      </c>
      <c r="L2827" s="4" t="b">
        <f>AND(((G2827 &lt;&gt; "plain")=TRUE), ((G2827 &lt;&gt; "")=TRUE))</f>
        <v>0</v>
      </c>
      <c r="M2827" s="4" t="str">
        <f>IF(((E2827)=TRUE),  C2827 &amp; "|" &amp; H2827,  "")</f>
        <v>principal-knowledge-authority|Recipients</v>
      </c>
      <c r="N2827" s="3" t="s">
        <v>10004</v>
      </c>
    </row>
    <row r="2828">
      <c r="A2828" s="3" t="s">
        <v>12830</v>
      </c>
      <c r="B2828" s="4" t="str">
        <f>C2828 &amp; " -&gt; " &amp; D2828</f>
        <v>principal-knowledge-authority -&gt; Recipients.MobileNumber</v>
      </c>
      <c r="C2828" s="3" t="s">
        <v>9774</v>
      </c>
      <c r="D2828" s="3" t="s">
        <v>4419</v>
      </c>
      <c r="E2828" s="3" t="b">
        <v>1</v>
      </c>
      <c r="F2828" s="3" t="b">
        <v>0</v>
      </c>
      <c r="G2828" s="3" t="s">
        <v>10003</v>
      </c>
      <c r="H2828" s="4" t="str">
        <f>_xlfn.IFNA(IF(((INDEX(RulebookFields!C2:C1898, MATCH(D2828,RulebookFields!A2:A1898, 0))="")=TRUE),  "",  INDEX(RulebookFields!C2:C1898, MATCH(D2828,RulebookFields!A2:A1898, 0))), "")</f>
        <v>Recipients</v>
      </c>
      <c r="I2828" s="4" t="str">
        <f>_xlfn.IFNA(IF(((INDEX(RulebookFields!D2:D1898, MATCH(D2828,RulebookFields!A2:A1898, 0))="")=TRUE),  "",  INDEX(RulebookFields!D2:D1898, MATCH(D2828,RulebookFields!A2:A1898, 0))), "")</f>
        <v>MobileNumber</v>
      </c>
      <c r="J2828" s="4" t="b">
        <f>_xlfn.IFNA(IF(((INDEX(RulebookFields!I2:I1898, MATCH(D2828,RulebookFields!A2:A1898, 0))="")=TRUE),  "",  INDEX(RulebookFields!I2:I1898, MATCH(D2828,RulebookFields!A2:A1898, 0))), "")</f>
        <v>0</v>
      </c>
      <c r="K2828" s="4" t="b">
        <f>AND(((F2828)=TRUE), ((J2828)=TRUE))</f>
        <v>0</v>
      </c>
      <c r="L2828" s="4" t="b">
        <f>AND(((G2828 &lt;&gt; "plain")=TRUE), ((G2828 &lt;&gt; "")=TRUE))</f>
        <v>0</v>
      </c>
      <c r="M2828" s="4" t="str">
        <f>IF(((E2828)=TRUE),  C2828 &amp; "|" &amp; H2828,  "")</f>
        <v>principal-knowledge-authority|Recipients</v>
      </c>
      <c r="N2828" s="3" t="s">
        <v>10004</v>
      </c>
    </row>
    <row r="2829">
      <c r="A2829" s="3" t="s">
        <v>12831</v>
      </c>
      <c r="B2829" s="4" t="str">
        <f>C2829 &amp; " -&gt; " &amp; D2829</f>
        <v>principal-knowledge-authority -&gt; Recipients.SmsConsentStatus</v>
      </c>
      <c r="C2829" s="3" t="s">
        <v>9774</v>
      </c>
      <c r="D2829" s="3" t="s">
        <v>4421</v>
      </c>
      <c r="E2829" s="3" t="b">
        <v>1</v>
      </c>
      <c r="F2829" s="3" t="b">
        <v>0</v>
      </c>
      <c r="G2829" s="3" t="s">
        <v>10003</v>
      </c>
      <c r="H2829" s="4" t="str">
        <f>_xlfn.IFNA(IF(((INDEX(RulebookFields!C2:C1898, MATCH(D2829,RulebookFields!A2:A1898, 0))="")=TRUE),  "",  INDEX(RulebookFields!C2:C1898, MATCH(D2829,RulebookFields!A2:A1898, 0))), "")</f>
        <v>Recipients</v>
      </c>
      <c r="I2829" s="4" t="str">
        <f>_xlfn.IFNA(IF(((INDEX(RulebookFields!D2:D1898, MATCH(D2829,RulebookFields!A2:A1898, 0))="")=TRUE),  "",  INDEX(RulebookFields!D2:D1898, MATCH(D2829,RulebookFields!A2:A1898, 0))), "")</f>
        <v>SmsConsentStatus</v>
      </c>
      <c r="J2829" s="4" t="b">
        <f>_xlfn.IFNA(IF(((INDEX(RulebookFields!I2:I1898, MATCH(D2829,RulebookFields!A2:A1898, 0))="")=TRUE),  "",  INDEX(RulebookFields!I2:I1898, MATCH(D2829,RulebookFields!A2:A1898, 0))), "")</f>
        <v>0</v>
      </c>
      <c r="K2829" s="4" t="b">
        <f>AND(((F2829)=TRUE), ((J2829)=TRUE))</f>
        <v>0</v>
      </c>
      <c r="L2829" s="4" t="b">
        <f>AND(((G2829 &lt;&gt; "plain")=TRUE), ((G2829 &lt;&gt; "")=TRUE))</f>
        <v>0</v>
      </c>
      <c r="M2829" s="4" t="str">
        <f>IF(((E2829)=TRUE),  C2829 &amp; "|" &amp; H2829,  "")</f>
        <v>principal-knowledge-authority|Recipients</v>
      </c>
      <c r="N2829" s="3" t="s">
        <v>10004</v>
      </c>
    </row>
    <row r="2830">
      <c r="A2830" s="3" t="s">
        <v>12832</v>
      </c>
      <c r="B2830" s="4" t="str">
        <f>C2830 &amp; " -&gt; " &amp; D2830</f>
        <v>principal-knowledge-authority -&gt; Recipients.SmsConsentAt</v>
      </c>
      <c r="C2830" s="3" t="s">
        <v>9774</v>
      </c>
      <c r="D2830" s="3" t="s">
        <v>4423</v>
      </c>
      <c r="E2830" s="3" t="b">
        <v>1</v>
      </c>
      <c r="F2830" s="3" t="b">
        <v>0</v>
      </c>
      <c r="G2830" s="3" t="s">
        <v>10003</v>
      </c>
      <c r="H2830" s="4" t="str">
        <f>_xlfn.IFNA(IF(((INDEX(RulebookFields!C2:C1898, MATCH(D2830,RulebookFields!A2:A1898, 0))="")=TRUE),  "",  INDEX(RulebookFields!C2:C1898, MATCH(D2830,RulebookFields!A2:A1898, 0))), "")</f>
        <v>Recipients</v>
      </c>
      <c r="I2830" s="4" t="str">
        <f>_xlfn.IFNA(IF(((INDEX(RulebookFields!D2:D1898, MATCH(D2830,RulebookFields!A2:A1898, 0))="")=TRUE),  "",  INDEX(RulebookFields!D2:D1898, MATCH(D2830,RulebookFields!A2:A1898, 0))), "")</f>
        <v>SmsConsentAt</v>
      </c>
      <c r="J2830" s="4" t="b">
        <f>_xlfn.IFNA(IF(((INDEX(RulebookFields!I2:I1898, MATCH(D2830,RulebookFields!A2:A1898, 0))="")=TRUE),  "",  INDEX(RulebookFields!I2:I1898, MATCH(D2830,RulebookFields!A2:A1898, 0))), "")</f>
        <v>0</v>
      </c>
      <c r="K2830" s="4" t="b">
        <f>AND(((F2830)=TRUE), ((J2830)=TRUE))</f>
        <v>0</v>
      </c>
      <c r="L2830" s="4" t="b">
        <f>AND(((G2830 &lt;&gt; "plain")=TRUE), ((G2830 &lt;&gt; "")=TRUE))</f>
        <v>0</v>
      </c>
      <c r="M2830" s="4" t="str">
        <f>IF(((E2830)=TRUE),  C2830 &amp; "|" &amp; H2830,  "")</f>
        <v>principal-knowledge-authority|Recipients</v>
      </c>
      <c r="N2830" s="3" t="s">
        <v>10004</v>
      </c>
    </row>
    <row r="2831">
      <c r="A2831" s="3" t="s">
        <v>12833</v>
      </c>
      <c r="B2831" s="4" t="str">
        <f>C2831 &amp; " -&gt; " &amp; D2831</f>
        <v>principal-knowledge-authority -&gt; Recipients.ConsentBinding</v>
      </c>
      <c r="C2831" s="3" t="s">
        <v>9774</v>
      </c>
      <c r="D2831" s="3" t="s">
        <v>4425</v>
      </c>
      <c r="E2831" s="3" t="b">
        <v>1</v>
      </c>
      <c r="F2831" s="3" t="b">
        <v>0</v>
      </c>
      <c r="G2831" s="3" t="s">
        <v>10003</v>
      </c>
      <c r="H2831" s="4" t="str">
        <f>_xlfn.IFNA(IF(((INDEX(RulebookFields!C2:C1898, MATCH(D2831,RulebookFields!A2:A1898, 0))="")=TRUE),  "",  INDEX(RulebookFields!C2:C1898, MATCH(D2831,RulebookFields!A2:A1898, 0))), "")</f>
        <v>Recipients</v>
      </c>
      <c r="I2831" s="4" t="str">
        <f>_xlfn.IFNA(IF(((INDEX(RulebookFields!D2:D1898, MATCH(D2831,RulebookFields!A2:A1898, 0))="")=TRUE),  "",  INDEX(RulebookFields!D2:D1898, MATCH(D2831,RulebookFields!A2:A1898, 0))), "")</f>
        <v>ConsentBinding</v>
      </c>
      <c r="J2831" s="4" t="b">
        <f>_xlfn.IFNA(IF(((INDEX(RulebookFields!I2:I1898, MATCH(D2831,RulebookFields!A2:A1898, 0))="")=TRUE),  "",  INDEX(RulebookFields!I2:I1898, MATCH(D2831,RulebookFields!A2:A1898, 0))), "")</f>
        <v>0</v>
      </c>
      <c r="K2831" s="4" t="b">
        <f>AND(((F2831)=TRUE), ((J2831)=TRUE))</f>
        <v>0</v>
      </c>
      <c r="L2831" s="4" t="b">
        <f>AND(((G2831 &lt;&gt; "plain")=TRUE), ((G2831 &lt;&gt; "")=TRUE))</f>
        <v>0</v>
      </c>
      <c r="M2831" s="4" t="str">
        <f>IF(((E2831)=TRUE),  C2831 &amp; "|" &amp; H2831,  "")</f>
        <v>principal-knowledge-authority|Recipients</v>
      </c>
      <c r="N2831" s="3" t="s">
        <v>10004</v>
      </c>
    </row>
    <row r="2832">
      <c r="A2832" s="3" t="s">
        <v>12834</v>
      </c>
      <c r="B2832" s="4" t="str">
        <f>C2832 &amp; " -&gt; " &amp; D2832</f>
        <v>principal-knowledge-authority -&gt; Recipients.HasSmsConsent</v>
      </c>
      <c r="C2832" s="3" t="s">
        <v>9774</v>
      </c>
      <c r="D2832" s="3" t="s">
        <v>4427</v>
      </c>
      <c r="E2832" s="3" t="b">
        <v>1</v>
      </c>
      <c r="F2832" s="3" t="b">
        <v>0</v>
      </c>
      <c r="G2832" s="3" t="s">
        <v>10003</v>
      </c>
      <c r="H2832" s="4" t="str">
        <f>_xlfn.IFNA(IF(((INDEX(RulebookFields!C2:C1898, MATCH(D2832,RulebookFields!A2:A1898, 0))="")=TRUE),  "",  INDEX(RulebookFields!C2:C1898, MATCH(D2832,RulebookFields!A2:A1898, 0))), "")</f>
        <v>Recipients</v>
      </c>
      <c r="I2832" s="4" t="str">
        <f>_xlfn.IFNA(IF(((INDEX(RulebookFields!D2:D1898, MATCH(D2832,RulebookFields!A2:A1898, 0))="")=TRUE),  "",  INDEX(RulebookFields!D2:D1898, MATCH(D2832,RulebookFields!A2:A1898, 0))), "")</f>
        <v>HasSmsConsent</v>
      </c>
      <c r="J2832" s="4" t="b">
        <f>_xlfn.IFNA(IF(((INDEX(RulebookFields!I2:I1898, MATCH(D2832,RulebookFields!A2:A1898, 0))="")=TRUE),  "",  INDEX(RulebookFields!I2:I1898, MATCH(D2832,RulebookFields!A2:A1898, 0))), "")</f>
        <v>1</v>
      </c>
      <c r="K2832" s="4" t="b">
        <f>AND(((F2832)=TRUE), ((J2832)=TRUE))</f>
        <v>0</v>
      </c>
      <c r="L2832" s="4" t="b">
        <f>AND(((G2832 &lt;&gt; "plain")=TRUE), ((G2832 &lt;&gt; "")=TRUE))</f>
        <v>0</v>
      </c>
      <c r="M2832" s="4" t="str">
        <f>IF(((E2832)=TRUE),  C2832 &amp; "|" &amp; H2832,  "")</f>
        <v>principal-knowledge-authority|Recipients</v>
      </c>
      <c r="N2832" s="3" t="s">
        <v>10004</v>
      </c>
    </row>
    <row r="2833">
      <c r="A2833" s="3" t="s">
        <v>12835</v>
      </c>
      <c r="B2833" s="4" t="str">
        <f>C2833 &amp; " -&gt; " &amp; D2833</f>
        <v>principal-knowledge-authority -&gt; Recipients.IsEmailReachable</v>
      </c>
      <c r="C2833" s="3" t="s">
        <v>9774</v>
      </c>
      <c r="D2833" s="3" t="s">
        <v>4430</v>
      </c>
      <c r="E2833" s="3" t="b">
        <v>1</v>
      </c>
      <c r="F2833" s="3" t="b">
        <v>0</v>
      </c>
      <c r="G2833" s="3" t="s">
        <v>10003</v>
      </c>
      <c r="H2833" s="4" t="str">
        <f>_xlfn.IFNA(IF(((INDEX(RulebookFields!C2:C1898, MATCH(D2833,RulebookFields!A2:A1898, 0))="")=TRUE),  "",  INDEX(RulebookFields!C2:C1898, MATCH(D2833,RulebookFields!A2:A1898, 0))), "")</f>
        <v>Recipients</v>
      </c>
      <c r="I2833" s="4" t="str">
        <f>_xlfn.IFNA(IF(((INDEX(RulebookFields!D2:D1898, MATCH(D2833,RulebookFields!A2:A1898, 0))="")=TRUE),  "",  INDEX(RulebookFields!D2:D1898, MATCH(D2833,RulebookFields!A2:A1898, 0))), "")</f>
        <v>IsEmailReachable</v>
      </c>
      <c r="J2833" s="4" t="b">
        <f>_xlfn.IFNA(IF(((INDEX(RulebookFields!I2:I1898, MATCH(D2833,RulebookFields!A2:A1898, 0))="")=TRUE),  "",  INDEX(RulebookFields!I2:I1898, MATCH(D2833,RulebookFields!A2:A1898, 0))), "")</f>
        <v>1</v>
      </c>
      <c r="K2833" s="4" t="b">
        <f>AND(((F2833)=TRUE), ((J2833)=TRUE))</f>
        <v>0</v>
      </c>
      <c r="L2833" s="4" t="b">
        <f>AND(((G2833 &lt;&gt; "plain")=TRUE), ((G2833 &lt;&gt; "")=TRUE))</f>
        <v>0</v>
      </c>
      <c r="M2833" s="4" t="str">
        <f>IF(((E2833)=TRUE),  C2833 &amp; "|" &amp; H2833,  "")</f>
        <v>principal-knowledge-authority|Recipients</v>
      </c>
      <c r="N2833" s="3" t="s">
        <v>10004</v>
      </c>
    </row>
    <row r="2834">
      <c r="A2834" s="3" t="s">
        <v>12836</v>
      </c>
      <c r="B2834" s="4" t="str">
        <f>C2834 &amp; " -&gt; " &amp; D2834</f>
        <v>principal-knowledge-authority -&gt; Recipients.IsSmsReachable</v>
      </c>
      <c r="C2834" s="3" t="s">
        <v>9774</v>
      </c>
      <c r="D2834" s="3" t="s">
        <v>4433</v>
      </c>
      <c r="E2834" s="3" t="b">
        <v>1</v>
      </c>
      <c r="F2834" s="3" t="b">
        <v>0</v>
      </c>
      <c r="G2834" s="3" t="s">
        <v>10003</v>
      </c>
      <c r="H2834" s="4" t="str">
        <f>_xlfn.IFNA(IF(((INDEX(RulebookFields!C2:C1898, MATCH(D2834,RulebookFields!A2:A1898, 0))="")=TRUE),  "",  INDEX(RulebookFields!C2:C1898, MATCH(D2834,RulebookFields!A2:A1898, 0))), "")</f>
        <v>Recipients</v>
      </c>
      <c r="I2834" s="4" t="str">
        <f>_xlfn.IFNA(IF(((INDEX(RulebookFields!D2:D1898, MATCH(D2834,RulebookFields!A2:A1898, 0))="")=TRUE),  "",  INDEX(RulebookFields!D2:D1898, MATCH(D2834,RulebookFields!A2:A1898, 0))), "")</f>
        <v>IsSmsReachable</v>
      </c>
      <c r="J2834" s="4" t="b">
        <f>_xlfn.IFNA(IF(((INDEX(RulebookFields!I2:I1898, MATCH(D2834,RulebookFields!A2:A1898, 0))="")=TRUE),  "",  INDEX(RulebookFields!I2:I1898, MATCH(D2834,RulebookFields!A2:A1898, 0))), "")</f>
        <v>1</v>
      </c>
      <c r="K2834" s="4" t="b">
        <f>AND(((F2834)=TRUE), ((J2834)=TRUE))</f>
        <v>0</v>
      </c>
      <c r="L2834" s="4" t="b">
        <f>AND(((G2834 &lt;&gt; "plain")=TRUE), ((G2834 &lt;&gt; "")=TRUE))</f>
        <v>0</v>
      </c>
      <c r="M2834" s="4" t="str">
        <f>IF(((E2834)=TRUE),  C2834 &amp; "|" &amp; H2834,  "")</f>
        <v>principal-knowledge-authority|Recipients</v>
      </c>
      <c r="N2834" s="3" t="s">
        <v>10004</v>
      </c>
    </row>
    <row r="2835">
      <c r="A2835" s="3" t="s">
        <v>12837</v>
      </c>
      <c r="B2835" s="4" t="str">
        <f>C2835 &amp; " -&gt; " &amp; D2835</f>
        <v>principal-knowledge-authority -&gt; Recipients.IsUnreachable</v>
      </c>
      <c r="C2835" s="3" t="s">
        <v>9774</v>
      </c>
      <c r="D2835" s="3" t="s">
        <v>4436</v>
      </c>
      <c r="E2835" s="3" t="b">
        <v>1</v>
      </c>
      <c r="F2835" s="3" t="b">
        <v>0</v>
      </c>
      <c r="G2835" s="3" t="s">
        <v>10003</v>
      </c>
      <c r="H2835" s="4" t="str">
        <f>_xlfn.IFNA(IF(((INDEX(RulebookFields!C2:C1898, MATCH(D2835,RulebookFields!A2:A1898, 0))="")=TRUE),  "",  INDEX(RulebookFields!C2:C1898, MATCH(D2835,RulebookFields!A2:A1898, 0))), "")</f>
        <v>Recipients</v>
      </c>
      <c r="I2835" s="4" t="str">
        <f>_xlfn.IFNA(IF(((INDEX(RulebookFields!D2:D1898, MATCH(D2835,RulebookFields!A2:A1898, 0))="")=TRUE),  "",  INDEX(RulebookFields!D2:D1898, MATCH(D2835,RulebookFields!A2:A1898, 0))), "")</f>
        <v>IsUnreachable</v>
      </c>
      <c r="J2835" s="4" t="b">
        <f>_xlfn.IFNA(IF(((INDEX(RulebookFields!I2:I1898, MATCH(D2835,RulebookFields!A2:A1898, 0))="")=TRUE),  "",  INDEX(RulebookFields!I2:I1898, MATCH(D2835,RulebookFields!A2:A1898, 0))), "")</f>
        <v>1</v>
      </c>
      <c r="K2835" s="4" t="b">
        <f>AND(((F2835)=TRUE), ((J2835)=TRUE))</f>
        <v>0</v>
      </c>
      <c r="L2835" s="4" t="b">
        <f>AND(((G2835 &lt;&gt; "plain")=TRUE), ((G2835 &lt;&gt; "")=TRUE))</f>
        <v>0</v>
      </c>
      <c r="M2835" s="4" t="str">
        <f>IF(((E2835)=TRUE),  C2835 &amp; "|" &amp; H2835,  "")</f>
        <v>principal-knowledge-authority|Recipients</v>
      </c>
      <c r="N2835" s="3" t="s">
        <v>10004</v>
      </c>
    </row>
    <row r="2836">
      <c r="A2836" s="3" t="s">
        <v>12838</v>
      </c>
      <c r="B2836" s="4" t="str">
        <f>C2836 &amp; " -&gt; " &amp; D2836</f>
        <v>principal-knowledge-authority -&gt; Recipients.IsCommunicationallyStranded</v>
      </c>
      <c r="C2836" s="3" t="s">
        <v>9774</v>
      </c>
      <c r="D2836" s="3" t="s">
        <v>4439</v>
      </c>
      <c r="E2836" s="3" t="b">
        <v>1</v>
      </c>
      <c r="F2836" s="3" t="b">
        <v>0</v>
      </c>
      <c r="G2836" s="3" t="s">
        <v>10003</v>
      </c>
      <c r="H2836" s="4" t="str">
        <f>_xlfn.IFNA(IF(((INDEX(RulebookFields!C2:C1898, MATCH(D2836,RulebookFields!A2:A1898, 0))="")=TRUE),  "",  INDEX(RulebookFields!C2:C1898, MATCH(D2836,RulebookFields!A2:A1898, 0))), "")</f>
        <v>Recipients</v>
      </c>
      <c r="I2836" s="4" t="str">
        <f>_xlfn.IFNA(IF(((INDEX(RulebookFields!D2:D1898, MATCH(D2836,RulebookFields!A2:A1898, 0))="")=TRUE),  "",  INDEX(RulebookFields!D2:D1898, MATCH(D2836,RulebookFields!A2:A1898, 0))), "")</f>
        <v>IsCommunicationallyStranded</v>
      </c>
      <c r="J2836" s="4" t="b">
        <f>_xlfn.IFNA(IF(((INDEX(RulebookFields!I2:I1898, MATCH(D2836,RulebookFields!A2:A1898, 0))="")=TRUE),  "",  INDEX(RulebookFields!I2:I1898, MATCH(D2836,RulebookFields!A2:A1898, 0))), "")</f>
        <v>1</v>
      </c>
      <c r="K2836" s="4" t="b">
        <f>AND(((F2836)=TRUE), ((J2836)=TRUE))</f>
        <v>0</v>
      </c>
      <c r="L2836" s="4" t="b">
        <f>AND(((G2836 &lt;&gt; "plain")=TRUE), ((G2836 &lt;&gt; "")=TRUE))</f>
        <v>0</v>
      </c>
      <c r="M2836" s="4" t="str">
        <f>IF(((E2836)=TRUE),  C2836 &amp; "|" &amp; H2836,  "")</f>
        <v>principal-knowledge-authority|Recipients</v>
      </c>
      <c r="N2836" s="3" t="s">
        <v>10004</v>
      </c>
    </row>
    <row r="2837">
      <c r="A2837" s="3" t="s">
        <v>12839</v>
      </c>
      <c r="B2837" s="4" t="str">
        <f>C2837 &amp; " -&gt; " &amp; D2837</f>
        <v>principal-knowledge-authority -&gt; Recipients.SemanticTypeIri</v>
      </c>
      <c r="C2837" s="3" t="s">
        <v>9774</v>
      </c>
      <c r="D2837" s="3" t="s">
        <v>4442</v>
      </c>
      <c r="E2837" s="3" t="b">
        <v>1</v>
      </c>
      <c r="F2837" s="3" t="b">
        <v>0</v>
      </c>
      <c r="G2837" s="3" t="s">
        <v>10003</v>
      </c>
      <c r="H2837" s="4" t="str">
        <f>_xlfn.IFNA(IF(((INDEX(RulebookFields!C2:C1898, MATCH(D2837,RulebookFields!A2:A1898, 0))="")=TRUE),  "",  INDEX(RulebookFields!C2:C1898, MATCH(D2837,RulebookFields!A2:A1898, 0))), "")</f>
        <v>Recipients</v>
      </c>
      <c r="I2837" s="4" t="str">
        <f>_xlfn.IFNA(IF(((INDEX(RulebookFields!D2:D1898, MATCH(D2837,RulebookFields!A2:A1898, 0))="")=TRUE),  "",  INDEX(RulebookFields!D2:D1898, MATCH(D2837,RulebookFields!A2:A1898, 0))), "")</f>
        <v>SemanticTypeIri</v>
      </c>
      <c r="J2837" s="4" t="b">
        <f>_xlfn.IFNA(IF(((INDEX(RulebookFields!I2:I1898, MATCH(D2837,RulebookFields!A2:A1898, 0))="")=TRUE),  "",  INDEX(RulebookFields!I2:I1898, MATCH(D2837,RulebookFields!A2:A1898, 0))), "")</f>
        <v>0</v>
      </c>
      <c r="K2837" s="4" t="b">
        <f>AND(((F2837)=TRUE), ((J2837)=TRUE))</f>
        <v>0</v>
      </c>
      <c r="L2837" s="4" t="b">
        <f>AND(((G2837 &lt;&gt; "plain")=TRUE), ((G2837 &lt;&gt; "")=TRUE))</f>
        <v>0</v>
      </c>
      <c r="M2837" s="4" t="str">
        <f>IF(((E2837)=TRUE),  C2837 &amp; "|" &amp; H2837,  "")</f>
        <v>principal-knowledge-authority|Recipients</v>
      </c>
      <c r="N2837" s="3" t="s">
        <v>10004</v>
      </c>
    </row>
    <row r="2838">
      <c r="A2838" s="3" t="s">
        <v>12840</v>
      </c>
      <c r="B2838" s="4" t="str">
        <f>C2838 &amp; " -&gt; " &amp; D2838</f>
        <v>principal-knowledge-authority -&gt; RequirementSatisfactions.RequirementSatisfactionId</v>
      </c>
      <c r="C2838" s="3" t="s">
        <v>9774</v>
      </c>
      <c r="D2838" s="3" t="s">
        <v>3773</v>
      </c>
      <c r="E2838" s="3" t="b">
        <v>1</v>
      </c>
      <c r="F2838" s="3" t="b">
        <v>0</v>
      </c>
      <c r="G2838" s="3" t="s">
        <v>10003</v>
      </c>
      <c r="H2838" s="4" t="str">
        <f>_xlfn.IFNA(IF(((INDEX(RulebookFields!C2:C1898, MATCH(D2838,RulebookFields!A2:A1898, 0))="")=TRUE),  "",  INDEX(RulebookFields!C2:C1898, MATCH(D2838,RulebookFields!A2:A1898, 0))), "")</f>
        <v>RequirementSatisfactions</v>
      </c>
      <c r="I2838" s="4" t="str">
        <f>_xlfn.IFNA(IF(((INDEX(RulebookFields!D2:D1898, MATCH(D2838,RulebookFields!A2:A1898, 0))="")=TRUE),  "",  INDEX(RulebookFields!D2:D1898, MATCH(D2838,RulebookFields!A2:A1898, 0))), "")</f>
        <v>RequirementSatisfactionId</v>
      </c>
      <c r="J2838" s="4" t="b">
        <f>_xlfn.IFNA(IF(((INDEX(RulebookFields!I2:I1898, MATCH(D2838,RulebookFields!A2:A1898, 0))="")=TRUE),  "",  INDEX(RulebookFields!I2:I1898, MATCH(D2838,RulebookFields!A2:A1898, 0))), "")</f>
        <v>0</v>
      </c>
      <c r="K2838" s="4" t="b">
        <f>AND(((F2838)=TRUE), ((J2838)=TRUE))</f>
        <v>0</v>
      </c>
      <c r="L2838" s="4" t="b">
        <f>AND(((G2838 &lt;&gt; "plain")=TRUE), ((G2838 &lt;&gt; "")=TRUE))</f>
        <v>0</v>
      </c>
      <c r="M2838" s="4" t="str">
        <f>IF(((E2838)=TRUE),  C2838 &amp; "|" &amp; H2838,  "")</f>
        <v>principal-knowledge-authority|RequirementSatisfactions</v>
      </c>
      <c r="N2838" s="3" t="s">
        <v>10004</v>
      </c>
    </row>
    <row r="2839">
      <c r="A2839" s="3" t="s">
        <v>12841</v>
      </c>
      <c r="B2839" s="4" t="str">
        <f>C2839 &amp; " -&gt; " &amp; D2839</f>
        <v>principal-knowledge-authority -&gt; RequirementSatisfactions.Name</v>
      </c>
      <c r="C2839" s="3" t="s">
        <v>9774</v>
      </c>
      <c r="D2839" s="3" t="s">
        <v>3774</v>
      </c>
      <c r="E2839" s="3" t="b">
        <v>1</v>
      </c>
      <c r="F2839" s="3" t="b">
        <v>0</v>
      </c>
      <c r="G2839" s="3" t="s">
        <v>10003</v>
      </c>
      <c r="H2839" s="4" t="str">
        <f>_xlfn.IFNA(IF(((INDEX(RulebookFields!C2:C1898, MATCH(D2839,RulebookFields!A2:A1898, 0))="")=TRUE),  "",  INDEX(RulebookFields!C2:C1898, MATCH(D2839,RulebookFields!A2:A1898, 0))), "")</f>
        <v>RequirementSatisfactions</v>
      </c>
      <c r="I2839" s="4" t="str">
        <f>_xlfn.IFNA(IF(((INDEX(RulebookFields!D2:D1898, MATCH(D2839,RulebookFields!A2:A1898, 0))="")=TRUE),  "",  INDEX(RulebookFields!D2:D1898, MATCH(D2839,RulebookFields!A2:A1898, 0))), "")</f>
        <v>Name</v>
      </c>
      <c r="J2839" s="4" t="b">
        <f>_xlfn.IFNA(IF(((INDEX(RulebookFields!I2:I1898, MATCH(D2839,RulebookFields!A2:A1898, 0))="")=TRUE),  "",  INDEX(RulebookFields!I2:I1898, MATCH(D2839,RulebookFields!A2:A1898, 0))), "")</f>
        <v>1</v>
      </c>
      <c r="K2839" s="4" t="b">
        <f>AND(((F2839)=TRUE), ((J2839)=TRUE))</f>
        <v>0</v>
      </c>
      <c r="L2839" s="4" t="b">
        <f>AND(((G2839 &lt;&gt; "plain")=TRUE), ((G2839 &lt;&gt; "")=TRUE))</f>
        <v>0</v>
      </c>
      <c r="M2839" s="4" t="str">
        <f>IF(((E2839)=TRUE),  C2839 &amp; "|" &amp; H2839,  "")</f>
        <v>principal-knowledge-authority|RequirementSatisfactions</v>
      </c>
      <c r="N2839" s="3" t="s">
        <v>10004</v>
      </c>
    </row>
    <row r="2840">
      <c r="A2840" s="3" t="s">
        <v>12842</v>
      </c>
      <c r="B2840" s="4" t="str">
        <f>C2840 &amp; " -&gt; " &amp; D2840</f>
        <v>principal-knowledge-authority -&gt; RequirementSatisfactions.StepExecution</v>
      </c>
      <c r="C2840" s="3" t="s">
        <v>9774</v>
      </c>
      <c r="D2840" s="3" t="s">
        <v>3776</v>
      </c>
      <c r="E2840" s="3" t="b">
        <v>1</v>
      </c>
      <c r="F2840" s="3" t="b">
        <v>0</v>
      </c>
      <c r="G2840" s="3" t="s">
        <v>10003</v>
      </c>
      <c r="H2840" s="4" t="str">
        <f>_xlfn.IFNA(IF(((INDEX(RulebookFields!C2:C1898, MATCH(D2840,RulebookFields!A2:A1898, 0))="")=TRUE),  "",  INDEX(RulebookFields!C2:C1898, MATCH(D2840,RulebookFields!A2:A1898, 0))), "")</f>
        <v>RequirementSatisfactions</v>
      </c>
      <c r="I2840" s="4" t="str">
        <f>_xlfn.IFNA(IF(((INDEX(RulebookFields!D2:D1898, MATCH(D2840,RulebookFields!A2:A1898, 0))="")=TRUE),  "",  INDEX(RulebookFields!D2:D1898, MATCH(D2840,RulebookFields!A2:A1898, 0))), "")</f>
        <v>StepExecution</v>
      </c>
      <c r="J2840" s="4" t="b">
        <f>_xlfn.IFNA(IF(((INDEX(RulebookFields!I2:I1898, MATCH(D2840,RulebookFields!A2:A1898, 0))="")=TRUE),  "",  INDEX(RulebookFields!I2:I1898, MATCH(D2840,RulebookFields!A2:A1898, 0))), "")</f>
        <v>0</v>
      </c>
      <c r="K2840" s="4" t="b">
        <f>AND(((F2840)=TRUE), ((J2840)=TRUE))</f>
        <v>0</v>
      </c>
      <c r="L2840" s="4" t="b">
        <f>AND(((G2840 &lt;&gt; "plain")=TRUE), ((G2840 &lt;&gt; "")=TRUE))</f>
        <v>0</v>
      </c>
      <c r="M2840" s="4" t="str">
        <f>IF(((E2840)=TRUE),  C2840 &amp; "|" &amp; H2840,  "")</f>
        <v>principal-knowledge-authority|RequirementSatisfactions</v>
      </c>
      <c r="N2840" s="3" t="s">
        <v>10004</v>
      </c>
    </row>
    <row r="2841">
      <c r="A2841" s="3" t="s">
        <v>12843</v>
      </c>
      <c r="B2841" s="4" t="str">
        <f>C2841 &amp; " -&gt; " &amp; D2841</f>
        <v>principal-knowledge-authority -&gt; RequirementSatisfactions.Requirement</v>
      </c>
      <c r="C2841" s="3" t="s">
        <v>9774</v>
      </c>
      <c r="D2841" s="3" t="s">
        <v>3777</v>
      </c>
      <c r="E2841" s="3" t="b">
        <v>1</v>
      </c>
      <c r="F2841" s="3" t="b">
        <v>0</v>
      </c>
      <c r="G2841" s="3" t="s">
        <v>10003</v>
      </c>
      <c r="H2841" s="4" t="str">
        <f>_xlfn.IFNA(IF(((INDEX(RulebookFields!C2:C1898, MATCH(D2841,RulebookFields!A2:A1898, 0))="")=TRUE),  "",  INDEX(RulebookFields!C2:C1898, MATCH(D2841,RulebookFields!A2:A1898, 0))), "")</f>
        <v>RequirementSatisfactions</v>
      </c>
      <c r="I2841" s="4" t="str">
        <f>_xlfn.IFNA(IF(((INDEX(RulebookFields!D2:D1898, MATCH(D2841,RulebookFields!A2:A1898, 0))="")=TRUE),  "",  INDEX(RulebookFields!D2:D1898, MATCH(D2841,RulebookFields!A2:A1898, 0))), "")</f>
        <v>Requirement</v>
      </c>
      <c r="J2841" s="4" t="b">
        <f>_xlfn.IFNA(IF(((INDEX(RulebookFields!I2:I1898, MATCH(D2841,RulebookFields!A2:A1898, 0))="")=TRUE),  "",  INDEX(RulebookFields!I2:I1898, MATCH(D2841,RulebookFields!A2:A1898, 0))), "")</f>
        <v>0</v>
      </c>
      <c r="K2841" s="4" t="b">
        <f>AND(((F2841)=TRUE), ((J2841)=TRUE))</f>
        <v>0</v>
      </c>
      <c r="L2841" s="4" t="b">
        <f>AND(((G2841 &lt;&gt; "plain")=TRUE), ((G2841 &lt;&gt; "")=TRUE))</f>
        <v>0</v>
      </c>
      <c r="M2841" s="4" t="str">
        <f>IF(((E2841)=TRUE),  C2841 &amp; "|" &amp; H2841,  "")</f>
        <v>principal-knowledge-authority|RequirementSatisfactions</v>
      </c>
      <c r="N2841" s="3" t="s">
        <v>10004</v>
      </c>
    </row>
    <row r="2842">
      <c r="A2842" s="3" t="s">
        <v>12844</v>
      </c>
      <c r="B2842" s="4" t="str">
        <f>C2842 &amp; " -&gt; " &amp; D2842</f>
        <v>principal-knowledge-authority -&gt; RequirementSatisfactions.SatisfactionLevel</v>
      </c>
      <c r="C2842" s="3" t="s">
        <v>9774</v>
      </c>
      <c r="D2842" s="3" t="s">
        <v>3778</v>
      </c>
      <c r="E2842" s="3" t="b">
        <v>1</v>
      </c>
      <c r="F2842" s="3" t="b">
        <v>0</v>
      </c>
      <c r="G2842" s="3" t="s">
        <v>10003</v>
      </c>
      <c r="H2842" s="4" t="str">
        <f>_xlfn.IFNA(IF(((INDEX(RulebookFields!C2:C1898, MATCH(D2842,RulebookFields!A2:A1898, 0))="")=TRUE),  "",  INDEX(RulebookFields!C2:C1898, MATCH(D2842,RulebookFields!A2:A1898, 0))), "")</f>
        <v>RequirementSatisfactions</v>
      </c>
      <c r="I2842" s="4" t="str">
        <f>_xlfn.IFNA(IF(((INDEX(RulebookFields!D2:D1898, MATCH(D2842,RulebookFields!A2:A1898, 0))="")=TRUE),  "",  INDEX(RulebookFields!D2:D1898, MATCH(D2842,RulebookFields!A2:A1898, 0))), "")</f>
        <v>SatisfactionLevel</v>
      </c>
      <c r="J2842" s="4" t="b">
        <f>_xlfn.IFNA(IF(((INDEX(RulebookFields!I2:I1898, MATCH(D2842,RulebookFields!A2:A1898, 0))="")=TRUE),  "",  INDEX(RulebookFields!I2:I1898, MATCH(D2842,RulebookFields!A2:A1898, 0))), "")</f>
        <v>0</v>
      </c>
      <c r="K2842" s="4" t="b">
        <f>AND(((F2842)=TRUE), ((J2842)=TRUE))</f>
        <v>0</v>
      </c>
      <c r="L2842" s="4" t="b">
        <f>AND(((G2842 &lt;&gt; "plain")=TRUE), ((G2842 &lt;&gt; "")=TRUE))</f>
        <v>0</v>
      </c>
      <c r="M2842" s="4" t="str">
        <f>IF(((E2842)=TRUE),  C2842 &amp; "|" &amp; H2842,  "")</f>
        <v>principal-knowledge-authority|RequirementSatisfactions</v>
      </c>
      <c r="N2842" s="3" t="s">
        <v>10004</v>
      </c>
    </row>
    <row r="2843">
      <c r="A2843" s="3" t="s">
        <v>12845</v>
      </c>
      <c r="B2843" s="4" t="str">
        <f>C2843 &amp; " -&gt; " &amp; D2843</f>
        <v>principal-knowledge-authority -&gt; RequirementSatisfactions.Evidence</v>
      </c>
      <c r="C2843" s="3" t="s">
        <v>9774</v>
      </c>
      <c r="D2843" s="3" t="s">
        <v>3779</v>
      </c>
      <c r="E2843" s="3" t="b">
        <v>1</v>
      </c>
      <c r="F2843" s="3" t="b">
        <v>0</v>
      </c>
      <c r="G2843" s="3" t="s">
        <v>10003</v>
      </c>
      <c r="H2843" s="4" t="str">
        <f>_xlfn.IFNA(IF(((INDEX(RulebookFields!C2:C1898, MATCH(D2843,RulebookFields!A2:A1898, 0))="")=TRUE),  "",  INDEX(RulebookFields!C2:C1898, MATCH(D2843,RulebookFields!A2:A1898, 0))), "")</f>
        <v>RequirementSatisfactions</v>
      </c>
      <c r="I2843" s="4" t="str">
        <f>_xlfn.IFNA(IF(((INDEX(RulebookFields!D2:D1898, MATCH(D2843,RulebookFields!A2:A1898, 0))="")=TRUE),  "",  INDEX(RulebookFields!D2:D1898, MATCH(D2843,RulebookFields!A2:A1898, 0))), "")</f>
        <v>Evidence</v>
      </c>
      <c r="J2843" s="4" t="b">
        <f>_xlfn.IFNA(IF(((INDEX(RulebookFields!I2:I1898, MATCH(D2843,RulebookFields!A2:A1898, 0))="")=TRUE),  "",  INDEX(RulebookFields!I2:I1898, MATCH(D2843,RulebookFields!A2:A1898, 0))), "")</f>
        <v>0</v>
      </c>
      <c r="K2843" s="4" t="b">
        <f>AND(((F2843)=TRUE), ((J2843)=TRUE))</f>
        <v>0</v>
      </c>
      <c r="L2843" s="4" t="b">
        <f>AND(((G2843 &lt;&gt; "plain")=TRUE), ((G2843 &lt;&gt; "")=TRUE))</f>
        <v>0</v>
      </c>
      <c r="M2843" s="4" t="str">
        <f>IF(((E2843)=TRUE),  C2843 &amp; "|" &amp; H2843,  "")</f>
        <v>principal-knowledge-authority|RequirementSatisfactions</v>
      </c>
      <c r="N2843" s="3" t="s">
        <v>10004</v>
      </c>
    </row>
    <row r="2844">
      <c r="A2844" s="3" t="s">
        <v>12846</v>
      </c>
      <c r="B2844" s="4" t="str">
        <f>C2844 &amp; " -&gt; " &amp; D2844</f>
        <v>principal-knowledge-authority -&gt; RequirementSatisfactions.EvaluatedByAgent</v>
      </c>
      <c r="C2844" s="3" t="s">
        <v>9774</v>
      </c>
      <c r="D2844" s="3" t="s">
        <v>3780</v>
      </c>
      <c r="E2844" s="3" t="b">
        <v>1</v>
      </c>
      <c r="F2844" s="3" t="b">
        <v>0</v>
      </c>
      <c r="G2844" s="3" t="s">
        <v>10003</v>
      </c>
      <c r="H2844" s="4" t="str">
        <f>_xlfn.IFNA(IF(((INDEX(RulebookFields!C2:C1898, MATCH(D2844,RulebookFields!A2:A1898, 0))="")=TRUE),  "",  INDEX(RulebookFields!C2:C1898, MATCH(D2844,RulebookFields!A2:A1898, 0))), "")</f>
        <v>RequirementSatisfactions</v>
      </c>
      <c r="I2844" s="4" t="str">
        <f>_xlfn.IFNA(IF(((INDEX(RulebookFields!D2:D1898, MATCH(D2844,RulebookFields!A2:A1898, 0))="")=TRUE),  "",  INDEX(RulebookFields!D2:D1898, MATCH(D2844,RulebookFields!A2:A1898, 0))), "")</f>
        <v>EvaluatedByAgent</v>
      </c>
      <c r="J2844" s="4" t="b">
        <f>_xlfn.IFNA(IF(((INDEX(RulebookFields!I2:I1898, MATCH(D2844,RulebookFields!A2:A1898, 0))="")=TRUE),  "",  INDEX(RulebookFields!I2:I1898, MATCH(D2844,RulebookFields!A2:A1898, 0))), "")</f>
        <v>0</v>
      </c>
      <c r="K2844" s="4" t="b">
        <f>AND(((F2844)=TRUE), ((J2844)=TRUE))</f>
        <v>0</v>
      </c>
      <c r="L2844" s="4" t="b">
        <f>AND(((G2844 &lt;&gt; "plain")=TRUE), ((G2844 &lt;&gt; "")=TRUE))</f>
        <v>0</v>
      </c>
      <c r="M2844" s="4" t="str">
        <f>IF(((E2844)=TRUE),  C2844 &amp; "|" &amp; H2844,  "")</f>
        <v>principal-knowledge-authority|RequirementSatisfactions</v>
      </c>
      <c r="N2844" s="3" t="s">
        <v>10004</v>
      </c>
    </row>
    <row r="2845">
      <c r="A2845" s="3" t="s">
        <v>12847</v>
      </c>
      <c r="B2845" s="4" t="str">
        <f>C2845 &amp; " -&gt; " &amp; D2845</f>
        <v>principal-knowledge-authority -&gt; RequirementSatisfactions.EvaluatedAt</v>
      </c>
      <c r="C2845" s="3" t="s">
        <v>9774</v>
      </c>
      <c r="D2845" s="3" t="s">
        <v>3781</v>
      </c>
      <c r="E2845" s="3" t="b">
        <v>1</v>
      </c>
      <c r="F2845" s="3" t="b">
        <v>0</v>
      </c>
      <c r="G2845" s="3" t="s">
        <v>10003</v>
      </c>
      <c r="H2845" s="4" t="str">
        <f>_xlfn.IFNA(IF(((INDEX(RulebookFields!C2:C1898, MATCH(D2845,RulebookFields!A2:A1898, 0))="")=TRUE),  "",  INDEX(RulebookFields!C2:C1898, MATCH(D2845,RulebookFields!A2:A1898, 0))), "")</f>
        <v>RequirementSatisfactions</v>
      </c>
      <c r="I2845" s="4" t="str">
        <f>_xlfn.IFNA(IF(((INDEX(RulebookFields!D2:D1898, MATCH(D2845,RulebookFields!A2:A1898, 0))="")=TRUE),  "",  INDEX(RulebookFields!D2:D1898, MATCH(D2845,RulebookFields!A2:A1898, 0))), "")</f>
        <v>EvaluatedAt</v>
      </c>
      <c r="J2845" s="4" t="b">
        <f>_xlfn.IFNA(IF(((INDEX(RulebookFields!I2:I1898, MATCH(D2845,RulebookFields!A2:A1898, 0))="")=TRUE),  "",  INDEX(RulebookFields!I2:I1898, MATCH(D2845,RulebookFields!A2:A1898, 0))), "")</f>
        <v>0</v>
      </c>
      <c r="K2845" s="4" t="b">
        <f>AND(((F2845)=TRUE), ((J2845)=TRUE))</f>
        <v>0</v>
      </c>
      <c r="L2845" s="4" t="b">
        <f>AND(((G2845 &lt;&gt; "plain")=TRUE), ((G2845 &lt;&gt; "")=TRUE))</f>
        <v>0</v>
      </c>
      <c r="M2845" s="4" t="str">
        <f>IF(((E2845)=TRUE),  C2845 &amp; "|" &amp; H2845,  "")</f>
        <v>principal-knowledge-authority|RequirementSatisfactions</v>
      </c>
      <c r="N2845" s="3" t="s">
        <v>10004</v>
      </c>
    </row>
    <row r="2846">
      <c r="A2846" s="3" t="s">
        <v>12848</v>
      </c>
      <c r="B2846" s="4" t="str">
        <f>C2846 &amp; " -&gt; " &amp; D2846</f>
        <v>principal-knowledge-authority -&gt; RequirementSatisfactions.RequirementIsBlocking</v>
      </c>
      <c r="C2846" s="3" t="s">
        <v>9774</v>
      </c>
      <c r="D2846" s="3" t="s">
        <v>3782</v>
      </c>
      <c r="E2846" s="3" t="b">
        <v>1</v>
      </c>
      <c r="F2846" s="3" t="b">
        <v>0</v>
      </c>
      <c r="G2846" s="3" t="s">
        <v>10003</v>
      </c>
      <c r="H2846" s="4" t="str">
        <f>_xlfn.IFNA(IF(((INDEX(RulebookFields!C2:C1898, MATCH(D2846,RulebookFields!A2:A1898, 0))="")=TRUE),  "",  INDEX(RulebookFields!C2:C1898, MATCH(D2846,RulebookFields!A2:A1898, 0))), "")</f>
        <v>RequirementSatisfactions</v>
      </c>
      <c r="I2846" s="4" t="str">
        <f>_xlfn.IFNA(IF(((INDEX(RulebookFields!D2:D1898, MATCH(D2846,RulebookFields!A2:A1898, 0))="")=TRUE),  "",  INDEX(RulebookFields!D2:D1898, MATCH(D2846,RulebookFields!A2:A1898, 0))), "")</f>
        <v>RequirementIsBlocking</v>
      </c>
      <c r="J2846" s="4" t="b">
        <f>_xlfn.IFNA(IF(((INDEX(RulebookFields!I2:I1898, MATCH(D2846,RulebookFields!A2:A1898, 0))="")=TRUE),  "",  INDEX(RulebookFields!I2:I1898, MATCH(D2846,RulebookFields!A2:A1898, 0))), "")</f>
        <v>1</v>
      </c>
      <c r="K2846" s="4" t="b">
        <f>AND(((F2846)=TRUE), ((J2846)=TRUE))</f>
        <v>0</v>
      </c>
      <c r="L2846" s="4" t="b">
        <f>AND(((G2846 &lt;&gt; "plain")=TRUE), ((G2846 &lt;&gt; "")=TRUE))</f>
        <v>0</v>
      </c>
      <c r="M2846" s="4" t="str">
        <f>IF(((E2846)=TRUE),  C2846 &amp; "|" &amp; H2846,  "")</f>
        <v>principal-knowledge-authority|RequirementSatisfactions</v>
      </c>
      <c r="N2846" s="3" t="s">
        <v>10004</v>
      </c>
    </row>
    <row r="2847">
      <c r="A2847" s="3" t="s">
        <v>12849</v>
      </c>
      <c r="B2847" s="4" t="str">
        <f>C2847 &amp; " -&gt; " &amp; D2847</f>
        <v>principal-knowledge-authority -&gt; RequirementSatisfactions.IsFullySatisfied</v>
      </c>
      <c r="C2847" s="3" t="s">
        <v>9774</v>
      </c>
      <c r="D2847" s="3" t="s">
        <v>3783</v>
      </c>
      <c r="E2847" s="3" t="b">
        <v>1</v>
      </c>
      <c r="F2847" s="3" t="b">
        <v>0</v>
      </c>
      <c r="G2847" s="3" t="s">
        <v>10003</v>
      </c>
      <c r="H2847" s="4" t="str">
        <f>_xlfn.IFNA(IF(((INDEX(RulebookFields!C2:C1898, MATCH(D2847,RulebookFields!A2:A1898, 0))="")=TRUE),  "",  INDEX(RulebookFields!C2:C1898, MATCH(D2847,RulebookFields!A2:A1898, 0))), "")</f>
        <v>RequirementSatisfactions</v>
      </c>
      <c r="I2847" s="4" t="str">
        <f>_xlfn.IFNA(IF(((INDEX(RulebookFields!D2:D1898, MATCH(D2847,RulebookFields!A2:A1898, 0))="")=TRUE),  "",  INDEX(RulebookFields!D2:D1898, MATCH(D2847,RulebookFields!A2:A1898, 0))), "")</f>
        <v>IsFullySatisfied</v>
      </c>
      <c r="J2847" s="4" t="b">
        <f>_xlfn.IFNA(IF(((INDEX(RulebookFields!I2:I1898, MATCH(D2847,RulebookFields!A2:A1898, 0))="")=TRUE),  "",  INDEX(RulebookFields!I2:I1898, MATCH(D2847,RulebookFields!A2:A1898, 0))), "")</f>
        <v>1</v>
      </c>
      <c r="K2847" s="4" t="b">
        <f>AND(((F2847)=TRUE), ((J2847)=TRUE))</f>
        <v>0</v>
      </c>
      <c r="L2847" s="4" t="b">
        <f>AND(((G2847 &lt;&gt; "plain")=TRUE), ((G2847 &lt;&gt; "")=TRUE))</f>
        <v>0</v>
      </c>
      <c r="M2847" s="4" t="str">
        <f>IF(((E2847)=TRUE),  C2847 &amp; "|" &amp; H2847,  "")</f>
        <v>principal-knowledge-authority|RequirementSatisfactions</v>
      </c>
      <c r="N2847" s="3" t="s">
        <v>10004</v>
      </c>
    </row>
    <row r="2848">
      <c r="A2848" s="3" t="s">
        <v>12850</v>
      </c>
      <c r="B2848" s="4" t="str">
        <f>C2848 &amp; " -&gt; " &amp; D2848</f>
        <v>principal-knowledge-authority -&gt; RequirementSatisfactions.IsBlockingAndUnmet</v>
      </c>
      <c r="C2848" s="3" t="s">
        <v>9774</v>
      </c>
      <c r="D2848" s="3" t="s">
        <v>865</v>
      </c>
      <c r="E2848" s="3" t="b">
        <v>1</v>
      </c>
      <c r="F2848" s="3" t="b">
        <v>0</v>
      </c>
      <c r="G2848" s="3" t="s">
        <v>10003</v>
      </c>
      <c r="H2848" s="4" t="str">
        <f>_xlfn.IFNA(IF(((INDEX(RulebookFields!C2:C1898, MATCH(D2848,RulebookFields!A2:A1898, 0))="")=TRUE),  "",  INDEX(RulebookFields!C2:C1898, MATCH(D2848,RulebookFields!A2:A1898, 0))), "")</f>
        <v>RequirementSatisfactions</v>
      </c>
      <c r="I2848" s="4" t="str">
        <f>_xlfn.IFNA(IF(((INDEX(RulebookFields!D2:D1898, MATCH(D2848,RulebookFields!A2:A1898, 0))="")=TRUE),  "",  INDEX(RulebookFields!D2:D1898, MATCH(D2848,RulebookFields!A2:A1898, 0))), "")</f>
        <v>IsBlockingAndUnmet</v>
      </c>
      <c r="J2848" s="4" t="b">
        <f>_xlfn.IFNA(IF(((INDEX(RulebookFields!I2:I1898, MATCH(D2848,RulebookFields!A2:A1898, 0))="")=TRUE),  "",  INDEX(RulebookFields!I2:I1898, MATCH(D2848,RulebookFields!A2:A1898, 0))), "")</f>
        <v>1</v>
      </c>
      <c r="K2848" s="4" t="b">
        <f>AND(((F2848)=TRUE), ((J2848)=TRUE))</f>
        <v>0</v>
      </c>
      <c r="L2848" s="4" t="b">
        <f>AND(((G2848 &lt;&gt; "plain")=TRUE), ((G2848 &lt;&gt; "")=TRUE))</f>
        <v>0</v>
      </c>
      <c r="M2848" s="4" t="str">
        <f>IF(((E2848)=TRUE),  C2848 &amp; "|" &amp; H2848,  "")</f>
        <v>principal-knowledge-authority|RequirementSatisfactions</v>
      </c>
      <c r="N2848" s="3" t="s">
        <v>10004</v>
      </c>
    </row>
    <row r="2849">
      <c r="A2849" s="3" t="s">
        <v>12851</v>
      </c>
      <c r="B2849" s="4" t="str">
        <f>C2849 &amp; " -&gt; " &amp; D2849</f>
        <v>principal-knowledge-authority -&gt; RequirementSatisfactions.BlockingUnmetStepKey</v>
      </c>
      <c r="C2849" s="3" t="s">
        <v>9774</v>
      </c>
      <c r="D2849" s="3" t="s">
        <v>3786</v>
      </c>
      <c r="E2849" s="3" t="b">
        <v>1</v>
      </c>
      <c r="F2849" s="3" t="b">
        <v>0</v>
      </c>
      <c r="G2849" s="3" t="s">
        <v>10003</v>
      </c>
      <c r="H2849" s="4" t="str">
        <f>_xlfn.IFNA(IF(((INDEX(RulebookFields!C2:C1898, MATCH(D2849,RulebookFields!A2:A1898, 0))="")=TRUE),  "",  INDEX(RulebookFields!C2:C1898, MATCH(D2849,RulebookFields!A2:A1898, 0))), "")</f>
        <v>RequirementSatisfactions</v>
      </c>
      <c r="I2849" s="4" t="str">
        <f>_xlfn.IFNA(IF(((INDEX(RulebookFields!D2:D1898, MATCH(D2849,RulebookFields!A2:A1898, 0))="")=TRUE),  "",  INDEX(RulebookFields!D2:D1898, MATCH(D2849,RulebookFields!A2:A1898, 0))), "")</f>
        <v>BlockingUnmetStepKey</v>
      </c>
      <c r="J2849" s="4" t="b">
        <f>_xlfn.IFNA(IF(((INDEX(RulebookFields!I2:I1898, MATCH(D2849,RulebookFields!A2:A1898, 0))="")=TRUE),  "",  INDEX(RulebookFields!I2:I1898, MATCH(D2849,RulebookFields!A2:A1898, 0))), "")</f>
        <v>1</v>
      </c>
      <c r="K2849" s="4" t="b">
        <f>AND(((F2849)=TRUE), ((J2849)=TRUE))</f>
        <v>0</v>
      </c>
      <c r="L2849" s="4" t="b">
        <f>AND(((G2849 &lt;&gt; "plain")=TRUE), ((G2849 &lt;&gt; "")=TRUE))</f>
        <v>0</v>
      </c>
      <c r="M2849" s="4" t="str">
        <f>IF(((E2849)=TRUE),  C2849 &amp; "|" &amp; H2849,  "")</f>
        <v>principal-knowledge-authority|RequirementSatisfactions</v>
      </c>
      <c r="N2849" s="3" t="s">
        <v>10004</v>
      </c>
    </row>
    <row r="2850">
      <c r="A2850" s="3" t="s">
        <v>12852</v>
      </c>
      <c r="B2850" s="4" t="str">
        <f>C2850 &amp; " -&gt; " &amp; D2850</f>
        <v>principal-knowledge-authority -&gt; RequirementSatisfactions.BlockingSatisfactionStepKey</v>
      </c>
      <c r="C2850" s="3" t="s">
        <v>9774</v>
      </c>
      <c r="D2850" s="3" t="s">
        <v>3788</v>
      </c>
      <c r="E2850" s="3" t="b">
        <v>1</v>
      </c>
      <c r="F2850" s="3" t="b">
        <v>0</v>
      </c>
      <c r="G2850" s="3" t="s">
        <v>10003</v>
      </c>
      <c r="H2850" s="4" t="str">
        <f>_xlfn.IFNA(IF(((INDEX(RulebookFields!C2:C1898, MATCH(D2850,RulebookFields!A2:A1898, 0))="")=TRUE),  "",  INDEX(RulebookFields!C2:C1898, MATCH(D2850,RulebookFields!A2:A1898, 0))), "")</f>
        <v>RequirementSatisfactions</v>
      </c>
      <c r="I2850" s="4" t="str">
        <f>_xlfn.IFNA(IF(((INDEX(RulebookFields!D2:D1898, MATCH(D2850,RulebookFields!A2:A1898, 0))="")=TRUE),  "",  INDEX(RulebookFields!D2:D1898, MATCH(D2850,RulebookFields!A2:A1898, 0))), "")</f>
        <v>BlockingSatisfactionStepKey</v>
      </c>
      <c r="J2850" s="4" t="b">
        <f>_xlfn.IFNA(IF(((INDEX(RulebookFields!I2:I1898, MATCH(D2850,RulebookFields!A2:A1898, 0))="")=TRUE),  "",  INDEX(RulebookFields!I2:I1898, MATCH(D2850,RulebookFields!A2:A1898, 0))), "")</f>
        <v>1</v>
      </c>
      <c r="K2850" s="4" t="b">
        <f>AND(((F2850)=TRUE), ((J2850)=TRUE))</f>
        <v>0</v>
      </c>
      <c r="L2850" s="4" t="b">
        <f>AND(((G2850 &lt;&gt; "plain")=TRUE), ((G2850 &lt;&gt; "")=TRUE))</f>
        <v>0</v>
      </c>
      <c r="M2850" s="4" t="str">
        <f>IF(((E2850)=TRUE),  C2850 &amp; "|" &amp; H2850,  "")</f>
        <v>principal-knowledge-authority|RequirementSatisfactions</v>
      </c>
      <c r="N2850" s="3" t="s">
        <v>10004</v>
      </c>
    </row>
    <row r="2851">
      <c r="A2851" s="3" t="s">
        <v>12853</v>
      </c>
      <c r="B2851" s="4" t="str">
        <f>C2851 &amp; " -&gt; " &amp; D2851</f>
        <v>principal-knowledge-authority -&gt; RequirementSatisfactions.NegativeOutcomeRequirementKey</v>
      </c>
      <c r="C2851" s="3" t="s">
        <v>9774</v>
      </c>
      <c r="D2851" s="3" t="s">
        <v>3790</v>
      </c>
      <c r="E2851" s="3" t="b">
        <v>1</v>
      </c>
      <c r="F2851" s="3" t="b">
        <v>0</v>
      </c>
      <c r="G2851" s="3" t="s">
        <v>10003</v>
      </c>
      <c r="H2851" s="4" t="str">
        <f>_xlfn.IFNA(IF(((INDEX(RulebookFields!C2:C1898, MATCH(D2851,RulebookFields!A2:A1898, 0))="")=TRUE),  "",  INDEX(RulebookFields!C2:C1898, MATCH(D2851,RulebookFields!A2:A1898, 0))), "")</f>
        <v>RequirementSatisfactions</v>
      </c>
      <c r="I2851" s="4" t="str">
        <f>_xlfn.IFNA(IF(((INDEX(RulebookFields!D2:D1898, MATCH(D2851,RulebookFields!A2:A1898, 0))="")=TRUE),  "",  INDEX(RulebookFields!D2:D1898, MATCH(D2851,RulebookFields!A2:A1898, 0))), "")</f>
        <v>NegativeOutcomeRequirementKey</v>
      </c>
      <c r="J2851" s="4" t="b">
        <f>_xlfn.IFNA(IF(((INDEX(RulebookFields!I2:I1898, MATCH(D2851,RulebookFields!A2:A1898, 0))="")=TRUE),  "",  INDEX(RulebookFields!I2:I1898, MATCH(D2851,RulebookFields!A2:A1898, 0))), "")</f>
        <v>1</v>
      </c>
      <c r="K2851" s="4" t="b">
        <f>AND(((F2851)=TRUE), ((J2851)=TRUE))</f>
        <v>0</v>
      </c>
      <c r="L2851" s="4" t="b">
        <f>AND(((G2851 &lt;&gt; "plain")=TRUE), ((G2851 &lt;&gt; "")=TRUE))</f>
        <v>0</v>
      </c>
      <c r="M2851" s="4" t="str">
        <f>IF(((E2851)=TRUE),  C2851 &amp; "|" &amp; H2851,  "")</f>
        <v>principal-knowledge-authority|RequirementSatisfactions</v>
      </c>
      <c r="N2851" s="3" t="s">
        <v>10004</v>
      </c>
    </row>
    <row r="2852">
      <c r="A2852" s="3" t="s">
        <v>12854</v>
      </c>
      <c r="B2852" s="4" t="str">
        <f>C2852 &amp; " -&gt; " &amp; D2852</f>
        <v>principal-knowledge-authority -&gt; RequirementSatisfactions.EvaluatorAgentKind</v>
      </c>
      <c r="C2852" s="3" t="s">
        <v>9774</v>
      </c>
      <c r="D2852" s="3" t="s">
        <v>3792</v>
      </c>
      <c r="E2852" s="3" t="b">
        <v>1</v>
      </c>
      <c r="F2852" s="3" t="b">
        <v>0</v>
      </c>
      <c r="G2852" s="3" t="s">
        <v>10003</v>
      </c>
      <c r="H2852" s="4" t="str">
        <f>_xlfn.IFNA(IF(((INDEX(RulebookFields!C2:C1898, MATCH(D2852,RulebookFields!A2:A1898, 0))="")=TRUE),  "",  INDEX(RulebookFields!C2:C1898, MATCH(D2852,RulebookFields!A2:A1898, 0))), "")</f>
        <v>RequirementSatisfactions</v>
      </c>
      <c r="I2852" s="4" t="str">
        <f>_xlfn.IFNA(IF(((INDEX(RulebookFields!D2:D1898, MATCH(D2852,RulebookFields!A2:A1898, 0))="")=TRUE),  "",  INDEX(RulebookFields!D2:D1898, MATCH(D2852,RulebookFields!A2:A1898, 0))), "")</f>
        <v>EvaluatorAgentKind</v>
      </c>
      <c r="J2852" s="4" t="b">
        <f>_xlfn.IFNA(IF(((INDEX(RulebookFields!I2:I1898, MATCH(D2852,RulebookFields!A2:A1898, 0))="")=TRUE),  "",  INDEX(RulebookFields!I2:I1898, MATCH(D2852,RulebookFields!A2:A1898, 0))), "")</f>
        <v>1</v>
      </c>
      <c r="K2852" s="4" t="b">
        <f>AND(((F2852)=TRUE), ((J2852)=TRUE))</f>
        <v>0</v>
      </c>
      <c r="L2852" s="4" t="b">
        <f>AND(((G2852 &lt;&gt; "plain")=TRUE), ((G2852 &lt;&gt; "")=TRUE))</f>
        <v>0</v>
      </c>
      <c r="M2852" s="4" t="str">
        <f>IF(((E2852)=TRUE),  C2852 &amp; "|" &amp; H2852,  "")</f>
        <v>principal-knowledge-authority|RequirementSatisfactions</v>
      </c>
      <c r="N2852" s="3" t="s">
        <v>10004</v>
      </c>
    </row>
    <row r="2853">
      <c r="A2853" s="3" t="s">
        <v>12855</v>
      </c>
      <c r="B2853" s="4" t="str">
        <f>C2853 &amp; " -&gt; " &amp; D2853</f>
        <v>principal-knowledge-authority -&gt; RequirementSatisfactions.NonHumanEvaluatedHumanControl</v>
      </c>
      <c r="C2853" s="3" t="s">
        <v>9774</v>
      </c>
      <c r="D2853" s="3" t="s">
        <v>3794</v>
      </c>
      <c r="E2853" s="3" t="b">
        <v>1</v>
      </c>
      <c r="F2853" s="3" t="b">
        <v>0</v>
      </c>
      <c r="G2853" s="3" t="s">
        <v>10003</v>
      </c>
      <c r="H2853" s="4" t="str">
        <f>_xlfn.IFNA(IF(((INDEX(RulebookFields!C2:C1898, MATCH(D2853,RulebookFields!A2:A1898, 0))="")=TRUE),  "",  INDEX(RulebookFields!C2:C1898, MATCH(D2853,RulebookFields!A2:A1898, 0))), "")</f>
        <v>RequirementSatisfactions</v>
      </c>
      <c r="I2853" s="4" t="str">
        <f>_xlfn.IFNA(IF(((INDEX(RulebookFields!D2:D1898, MATCH(D2853,RulebookFields!A2:A1898, 0))="")=TRUE),  "",  INDEX(RulebookFields!D2:D1898, MATCH(D2853,RulebookFields!A2:A1898, 0))), "")</f>
        <v>NonHumanEvaluatedHumanControl</v>
      </c>
      <c r="J2853" s="4" t="b">
        <f>_xlfn.IFNA(IF(((INDEX(RulebookFields!I2:I1898, MATCH(D2853,RulebookFields!A2:A1898, 0))="")=TRUE),  "",  INDEX(RulebookFields!I2:I1898, MATCH(D2853,RulebookFields!A2:A1898, 0))), "")</f>
        <v>1</v>
      </c>
      <c r="K2853" s="4" t="b">
        <f>AND(((F2853)=TRUE), ((J2853)=TRUE))</f>
        <v>0</v>
      </c>
      <c r="L2853" s="4" t="b">
        <f>AND(((G2853 &lt;&gt; "plain")=TRUE), ((G2853 &lt;&gt; "")=TRUE))</f>
        <v>0</v>
      </c>
      <c r="M2853" s="4" t="str">
        <f>IF(((E2853)=TRUE),  C2853 &amp; "|" &amp; H2853,  "")</f>
        <v>principal-knowledge-authority|RequirementSatisfactions</v>
      </c>
      <c r="N2853" s="3" t="s">
        <v>10004</v>
      </c>
    </row>
    <row r="2854">
      <c r="A2854" s="3" t="s">
        <v>12856</v>
      </c>
      <c r="B2854" s="4" t="str">
        <f>C2854 &amp; " -&gt; " &amp; D2854</f>
        <v>principal-knowledge-authority -&gt; RequirementSatisfactions.RequirementHasComputedWitness</v>
      </c>
      <c r="C2854" s="3" t="s">
        <v>9774</v>
      </c>
      <c r="D2854" s="3" t="s">
        <v>3796</v>
      </c>
      <c r="E2854" s="3" t="b">
        <v>1</v>
      </c>
      <c r="F2854" s="3" t="b">
        <v>0</v>
      </c>
      <c r="G2854" s="3" t="s">
        <v>10003</v>
      </c>
      <c r="H2854" s="4" t="str">
        <f>_xlfn.IFNA(IF(((INDEX(RulebookFields!C2:C1898, MATCH(D2854,RulebookFields!A2:A1898, 0))="")=TRUE),  "",  INDEX(RulebookFields!C2:C1898, MATCH(D2854,RulebookFields!A2:A1898, 0))), "")</f>
        <v>RequirementSatisfactions</v>
      </c>
      <c r="I2854" s="4" t="str">
        <f>_xlfn.IFNA(IF(((INDEX(RulebookFields!D2:D1898, MATCH(D2854,RulebookFields!A2:A1898, 0))="")=TRUE),  "",  INDEX(RulebookFields!D2:D1898, MATCH(D2854,RulebookFields!A2:A1898, 0))), "")</f>
        <v>RequirementHasComputedWitness</v>
      </c>
      <c r="J2854" s="4" t="b">
        <f>_xlfn.IFNA(IF(((INDEX(RulebookFields!I2:I1898, MATCH(D2854,RulebookFields!A2:A1898, 0))="")=TRUE),  "",  INDEX(RulebookFields!I2:I1898, MATCH(D2854,RulebookFields!A2:A1898, 0))), "")</f>
        <v>1</v>
      </c>
      <c r="K2854" s="4" t="b">
        <f>AND(((F2854)=TRUE), ((J2854)=TRUE))</f>
        <v>0</v>
      </c>
      <c r="L2854" s="4" t="b">
        <f>AND(((G2854 &lt;&gt; "plain")=TRUE), ((G2854 &lt;&gt; "")=TRUE))</f>
        <v>0</v>
      </c>
      <c r="M2854" s="4" t="str">
        <f>IF(((E2854)=TRUE),  C2854 &amp; "|" &amp; H2854,  "")</f>
        <v>principal-knowledge-authority|RequirementSatisfactions</v>
      </c>
      <c r="N2854" s="3" t="s">
        <v>10004</v>
      </c>
    </row>
    <row r="2855">
      <c r="A2855" s="3" t="s">
        <v>12857</v>
      </c>
      <c r="B2855" s="4" t="str">
        <f>C2855 &amp; " -&gt; " &amp; D2855</f>
        <v>principal-knowledge-authority -&gt; RequirementSatisfactions.IsAssertedOnly</v>
      </c>
      <c r="C2855" s="3" t="s">
        <v>9774</v>
      </c>
      <c r="D2855" s="3" t="s">
        <v>3798</v>
      </c>
      <c r="E2855" s="3" t="b">
        <v>1</v>
      </c>
      <c r="F2855" s="3" t="b">
        <v>0</v>
      </c>
      <c r="G2855" s="3" t="s">
        <v>10003</v>
      </c>
      <c r="H2855" s="4" t="str">
        <f>_xlfn.IFNA(IF(((INDEX(RulebookFields!C2:C1898, MATCH(D2855,RulebookFields!A2:A1898, 0))="")=TRUE),  "",  INDEX(RulebookFields!C2:C1898, MATCH(D2855,RulebookFields!A2:A1898, 0))), "")</f>
        <v>RequirementSatisfactions</v>
      </c>
      <c r="I2855" s="4" t="str">
        <f>_xlfn.IFNA(IF(((INDEX(RulebookFields!D2:D1898, MATCH(D2855,RulebookFields!A2:A1898, 0))="")=TRUE),  "",  INDEX(RulebookFields!D2:D1898, MATCH(D2855,RulebookFields!A2:A1898, 0))), "")</f>
        <v>IsAssertedOnly</v>
      </c>
      <c r="J2855" s="4" t="b">
        <f>_xlfn.IFNA(IF(((INDEX(RulebookFields!I2:I1898, MATCH(D2855,RulebookFields!A2:A1898, 0))="")=TRUE),  "",  INDEX(RulebookFields!I2:I1898, MATCH(D2855,RulebookFields!A2:A1898, 0))), "")</f>
        <v>1</v>
      </c>
      <c r="K2855" s="4" t="b">
        <f>AND(((F2855)=TRUE), ((J2855)=TRUE))</f>
        <v>0</v>
      </c>
      <c r="L2855" s="4" t="b">
        <f>AND(((G2855 &lt;&gt; "plain")=TRUE), ((G2855 &lt;&gt; "")=TRUE))</f>
        <v>0</v>
      </c>
      <c r="M2855" s="4" t="str">
        <f>IF(((E2855)=TRUE),  C2855 &amp; "|" &amp; H2855,  "")</f>
        <v>principal-knowledge-authority|RequirementSatisfactions</v>
      </c>
      <c r="N2855" s="3" t="s">
        <v>10004</v>
      </c>
    </row>
    <row r="2856">
      <c r="A2856" s="3" t="s">
        <v>12858</v>
      </c>
      <c r="B2856" s="4" t="str">
        <f>C2856 &amp; " -&gt; " &amp; D2856</f>
        <v>principal-knowledge-authority -&gt; RequirementSatisfactions.AssertedOnlyExecutionKey</v>
      </c>
      <c r="C2856" s="3" t="s">
        <v>9774</v>
      </c>
      <c r="D2856" s="3" t="s">
        <v>3800</v>
      </c>
      <c r="E2856" s="3" t="b">
        <v>1</v>
      </c>
      <c r="F2856" s="3" t="b">
        <v>0</v>
      </c>
      <c r="G2856" s="3" t="s">
        <v>10003</v>
      </c>
      <c r="H2856" s="4" t="str">
        <f>_xlfn.IFNA(IF(((INDEX(RulebookFields!C2:C1898, MATCH(D2856,RulebookFields!A2:A1898, 0))="")=TRUE),  "",  INDEX(RulebookFields!C2:C1898, MATCH(D2856,RulebookFields!A2:A1898, 0))), "")</f>
        <v>RequirementSatisfactions</v>
      </c>
      <c r="I2856" s="4" t="str">
        <f>_xlfn.IFNA(IF(((INDEX(RulebookFields!D2:D1898, MATCH(D2856,RulebookFields!A2:A1898, 0))="")=TRUE),  "",  INDEX(RulebookFields!D2:D1898, MATCH(D2856,RulebookFields!A2:A1898, 0))), "")</f>
        <v>AssertedOnlyExecutionKey</v>
      </c>
      <c r="J2856" s="4" t="b">
        <f>_xlfn.IFNA(IF(((INDEX(RulebookFields!I2:I1898, MATCH(D2856,RulebookFields!A2:A1898, 0))="")=TRUE),  "",  INDEX(RulebookFields!I2:I1898, MATCH(D2856,RulebookFields!A2:A1898, 0))), "")</f>
        <v>1</v>
      </c>
      <c r="K2856" s="4" t="b">
        <f>AND(((F2856)=TRUE), ((J2856)=TRUE))</f>
        <v>0</v>
      </c>
      <c r="L2856" s="4" t="b">
        <f>AND(((G2856 &lt;&gt; "plain")=TRUE), ((G2856 &lt;&gt; "")=TRUE))</f>
        <v>0</v>
      </c>
      <c r="M2856" s="4" t="str">
        <f>IF(((E2856)=TRUE),  C2856 &amp; "|" &amp; H2856,  "")</f>
        <v>principal-knowledge-authority|RequirementSatisfactions</v>
      </c>
      <c r="N2856" s="3" t="s">
        <v>10004</v>
      </c>
    </row>
    <row r="2857">
      <c r="A2857" s="3" t="s">
        <v>12859</v>
      </c>
      <c r="B2857" s="4" t="str">
        <f>C2857 &amp; " -&gt; " &amp; D2857</f>
        <v>principal-knowledge-authority -&gt; RequirementSatisfactions.ParentProcedureExecution</v>
      </c>
      <c r="C2857" s="3" t="s">
        <v>9774</v>
      </c>
      <c r="D2857" s="3" t="s">
        <v>3802</v>
      </c>
      <c r="E2857" s="3" t="b">
        <v>1</v>
      </c>
      <c r="F2857" s="3" t="b">
        <v>0</v>
      </c>
      <c r="G2857" s="3" t="s">
        <v>10003</v>
      </c>
      <c r="H2857" s="4" t="str">
        <f>_xlfn.IFNA(IF(((INDEX(RulebookFields!C2:C1898, MATCH(D2857,RulebookFields!A2:A1898, 0))="")=TRUE),  "",  INDEX(RulebookFields!C2:C1898, MATCH(D2857,RulebookFields!A2:A1898, 0))), "")</f>
        <v>RequirementSatisfactions</v>
      </c>
      <c r="I2857" s="4" t="str">
        <f>_xlfn.IFNA(IF(((INDEX(RulebookFields!D2:D1898, MATCH(D2857,RulebookFields!A2:A1898, 0))="")=TRUE),  "",  INDEX(RulebookFields!D2:D1898, MATCH(D2857,RulebookFields!A2:A1898, 0))), "")</f>
        <v>ParentProcedureExecution</v>
      </c>
      <c r="J2857" s="4" t="b">
        <f>_xlfn.IFNA(IF(((INDEX(RulebookFields!I2:I1898, MATCH(D2857,RulebookFields!A2:A1898, 0))="")=TRUE),  "",  INDEX(RulebookFields!I2:I1898, MATCH(D2857,RulebookFields!A2:A1898, 0))), "")</f>
        <v>1</v>
      </c>
      <c r="K2857" s="4" t="b">
        <f>AND(((F2857)=TRUE), ((J2857)=TRUE))</f>
        <v>0</v>
      </c>
      <c r="L2857" s="4" t="b">
        <f>AND(((G2857 &lt;&gt; "plain")=TRUE), ((G2857 &lt;&gt; "")=TRUE))</f>
        <v>0</v>
      </c>
      <c r="M2857" s="4" t="str">
        <f>IF(((E2857)=TRUE),  C2857 &amp; "|" &amp; H2857,  "")</f>
        <v>principal-knowledge-authority|RequirementSatisfactions</v>
      </c>
      <c r="N2857" s="3" t="s">
        <v>10004</v>
      </c>
    </row>
    <row r="2858">
      <c r="A2858" s="3" t="s">
        <v>12860</v>
      </c>
      <c r="B2858" s="4" t="str">
        <f>C2858 &amp; " -&gt; " &amp; D2858</f>
        <v>principal-knowledge-authority -&gt; RequirementSatisfactions.StepExecutionWhenScored</v>
      </c>
      <c r="C2858" s="3" t="s">
        <v>9774</v>
      </c>
      <c r="D2858" s="3" t="s">
        <v>3804</v>
      </c>
      <c r="E2858" s="3" t="b">
        <v>1</v>
      </c>
      <c r="F2858" s="3" t="b">
        <v>0</v>
      </c>
      <c r="G2858" s="3" t="s">
        <v>10003</v>
      </c>
      <c r="H2858" s="4" t="str">
        <f>_xlfn.IFNA(IF(((INDEX(RulebookFields!C2:C1898, MATCH(D2858,RulebookFields!A2:A1898, 0))="")=TRUE),  "",  INDEX(RulebookFields!C2:C1898, MATCH(D2858,RulebookFields!A2:A1898, 0))), "")</f>
        <v>RequirementSatisfactions</v>
      </c>
      <c r="I2858" s="4" t="str">
        <f>_xlfn.IFNA(IF(((INDEX(RulebookFields!D2:D1898, MATCH(D2858,RulebookFields!A2:A1898, 0))="")=TRUE),  "",  INDEX(RulebookFields!D2:D1898, MATCH(D2858,RulebookFields!A2:A1898, 0))), "")</f>
        <v>StepExecutionWhenScored</v>
      </c>
      <c r="J2858" s="4" t="b">
        <f>_xlfn.IFNA(IF(((INDEX(RulebookFields!I2:I1898, MATCH(D2858,RulebookFields!A2:A1898, 0))="")=TRUE),  "",  INDEX(RulebookFields!I2:I1898, MATCH(D2858,RulebookFields!A2:A1898, 0))), "")</f>
        <v>1</v>
      </c>
      <c r="K2858" s="4" t="b">
        <f>AND(((F2858)=TRUE), ((J2858)=TRUE))</f>
        <v>0</v>
      </c>
      <c r="L2858" s="4" t="b">
        <f>AND(((G2858 &lt;&gt; "plain")=TRUE), ((G2858 &lt;&gt; "")=TRUE))</f>
        <v>0</v>
      </c>
      <c r="M2858" s="4" t="str">
        <f>IF(((E2858)=TRUE),  C2858 &amp; "|" &amp; H2858,  "")</f>
        <v>principal-knowledge-authority|RequirementSatisfactions</v>
      </c>
      <c r="N2858" s="3" t="s">
        <v>10004</v>
      </c>
    </row>
    <row r="2859">
      <c r="A2859" s="3" t="s">
        <v>12861</v>
      </c>
      <c r="B2859" s="4" t="str">
        <f>C2859 &amp; " -&gt; " &amp; D2859</f>
        <v>principal-knowledge-authority -&gt; RequirementSatisfactions.IsHumanEvaluated</v>
      </c>
      <c r="C2859" s="3" t="s">
        <v>9774</v>
      </c>
      <c r="D2859" s="3" t="s">
        <v>3806</v>
      </c>
      <c r="E2859" s="3" t="b">
        <v>1</v>
      </c>
      <c r="F2859" s="3" t="b">
        <v>0</v>
      </c>
      <c r="G2859" s="3" t="s">
        <v>10003</v>
      </c>
      <c r="H2859" s="4" t="str">
        <f>_xlfn.IFNA(IF(((INDEX(RulebookFields!C2:C1898, MATCH(D2859,RulebookFields!A2:A1898, 0))="")=TRUE),  "",  INDEX(RulebookFields!C2:C1898, MATCH(D2859,RulebookFields!A2:A1898, 0))), "")</f>
        <v>RequirementSatisfactions</v>
      </c>
      <c r="I2859" s="4" t="str">
        <f>_xlfn.IFNA(IF(((INDEX(RulebookFields!D2:D1898, MATCH(D2859,RulebookFields!A2:A1898, 0))="")=TRUE),  "",  INDEX(RulebookFields!D2:D1898, MATCH(D2859,RulebookFields!A2:A1898, 0))), "")</f>
        <v>IsHumanEvaluated</v>
      </c>
      <c r="J2859" s="4" t="b">
        <f>_xlfn.IFNA(IF(((INDEX(RulebookFields!I2:I1898, MATCH(D2859,RulebookFields!A2:A1898, 0))="")=TRUE),  "",  INDEX(RulebookFields!I2:I1898, MATCH(D2859,RulebookFields!A2:A1898, 0))), "")</f>
        <v>1</v>
      </c>
      <c r="K2859" s="4" t="b">
        <f>AND(((F2859)=TRUE), ((J2859)=TRUE))</f>
        <v>0</v>
      </c>
      <c r="L2859" s="4" t="b">
        <f>AND(((G2859 &lt;&gt; "plain")=TRUE), ((G2859 &lt;&gt; "")=TRUE))</f>
        <v>0</v>
      </c>
      <c r="M2859" s="4" t="str">
        <f>IF(((E2859)=TRUE),  C2859 &amp; "|" &amp; H2859,  "")</f>
        <v>principal-knowledge-authority|RequirementSatisfactions</v>
      </c>
      <c r="N2859" s="3" t="s">
        <v>10004</v>
      </c>
    </row>
    <row r="2860">
      <c r="A2860" s="3" t="s">
        <v>12862</v>
      </c>
      <c r="B2860" s="4" t="str">
        <f>C2860 &amp; " -&gt; " &amp; D2860</f>
        <v>principal-knowledge-authority -&gt; RequirementSatisfactions.RequirementIsApprovalType</v>
      </c>
      <c r="C2860" s="3" t="s">
        <v>9774</v>
      </c>
      <c r="D2860" s="3" t="s">
        <v>3808</v>
      </c>
      <c r="E2860" s="3" t="b">
        <v>1</v>
      </c>
      <c r="F2860" s="3" t="b">
        <v>0</v>
      </c>
      <c r="G2860" s="3" t="s">
        <v>10003</v>
      </c>
      <c r="H2860" s="4" t="str">
        <f>_xlfn.IFNA(IF(((INDEX(RulebookFields!C2:C1898, MATCH(D2860,RulebookFields!A2:A1898, 0))="")=TRUE),  "",  INDEX(RulebookFields!C2:C1898, MATCH(D2860,RulebookFields!A2:A1898, 0))), "")</f>
        <v>RequirementSatisfactions</v>
      </c>
      <c r="I2860" s="4" t="str">
        <f>_xlfn.IFNA(IF(((INDEX(RulebookFields!D2:D1898, MATCH(D2860,RulebookFields!A2:A1898, 0))="")=TRUE),  "",  INDEX(RulebookFields!D2:D1898, MATCH(D2860,RulebookFields!A2:A1898, 0))), "")</f>
        <v>RequirementIsApprovalType</v>
      </c>
      <c r="J2860" s="4" t="b">
        <f>_xlfn.IFNA(IF(((INDEX(RulebookFields!I2:I1898, MATCH(D2860,RulebookFields!A2:A1898, 0))="")=TRUE),  "",  INDEX(RulebookFields!I2:I1898, MATCH(D2860,RulebookFields!A2:A1898, 0))), "")</f>
        <v>1</v>
      </c>
      <c r="K2860" s="4" t="b">
        <f>AND(((F2860)=TRUE), ((J2860)=TRUE))</f>
        <v>0</v>
      </c>
      <c r="L2860" s="4" t="b">
        <f>AND(((G2860 &lt;&gt; "plain")=TRUE), ((G2860 &lt;&gt; "")=TRUE))</f>
        <v>0</v>
      </c>
      <c r="M2860" s="4" t="str">
        <f>IF(((E2860)=TRUE),  C2860 &amp; "|" &amp; H2860,  "")</f>
        <v>principal-knowledge-authority|RequirementSatisfactions</v>
      </c>
      <c r="N2860" s="3" t="s">
        <v>10004</v>
      </c>
    </row>
    <row r="2861">
      <c r="A2861" s="3" t="s">
        <v>12863</v>
      </c>
      <c r="B2861" s="4" t="str">
        <f>C2861 &amp; " -&gt; " &amp; D2861</f>
        <v>principal-knowledge-authority -&gt; RequirementSatisfactions.IsInvalidApproval</v>
      </c>
      <c r="C2861" s="3" t="s">
        <v>9774</v>
      </c>
      <c r="D2861" s="3" t="s">
        <v>3810</v>
      </c>
      <c r="E2861" s="3" t="b">
        <v>1</v>
      </c>
      <c r="F2861" s="3" t="b">
        <v>0</v>
      </c>
      <c r="G2861" s="3" t="s">
        <v>10003</v>
      </c>
      <c r="H2861" s="4" t="str">
        <f>_xlfn.IFNA(IF(((INDEX(RulebookFields!C2:C1898, MATCH(D2861,RulebookFields!A2:A1898, 0))="")=TRUE),  "",  INDEX(RulebookFields!C2:C1898, MATCH(D2861,RulebookFields!A2:A1898, 0))), "")</f>
        <v>RequirementSatisfactions</v>
      </c>
      <c r="I2861" s="4" t="str">
        <f>_xlfn.IFNA(IF(((INDEX(RulebookFields!D2:D1898, MATCH(D2861,RulebookFields!A2:A1898, 0))="")=TRUE),  "",  INDEX(RulebookFields!D2:D1898, MATCH(D2861,RulebookFields!A2:A1898, 0))), "")</f>
        <v>IsInvalidApproval</v>
      </c>
      <c r="J2861" s="4" t="b">
        <f>_xlfn.IFNA(IF(((INDEX(RulebookFields!I2:I1898, MATCH(D2861,RulebookFields!A2:A1898, 0))="")=TRUE),  "",  INDEX(RulebookFields!I2:I1898, MATCH(D2861,RulebookFields!A2:A1898, 0))), "")</f>
        <v>1</v>
      </c>
      <c r="K2861" s="4" t="b">
        <f>AND(((F2861)=TRUE), ((J2861)=TRUE))</f>
        <v>0</v>
      </c>
      <c r="L2861" s="4" t="b">
        <f>AND(((G2861 &lt;&gt; "plain")=TRUE), ((G2861 &lt;&gt; "")=TRUE))</f>
        <v>0</v>
      </c>
      <c r="M2861" s="4" t="str">
        <f>IF(((E2861)=TRUE),  C2861 &amp; "|" &amp; H2861,  "")</f>
        <v>principal-knowledge-authority|RequirementSatisfactions</v>
      </c>
      <c r="N2861" s="3" t="s">
        <v>10004</v>
      </c>
    </row>
    <row r="2862">
      <c r="A2862" s="3" t="s">
        <v>12864</v>
      </c>
      <c r="B2862" s="4" t="str">
        <f>C2862 &amp; " -&gt; " &amp; D2862</f>
        <v>principal-knowledge-authority -&gt; RequirementSatisfactions.ProcedureExecutionOfSatisfaction</v>
      </c>
      <c r="C2862" s="3" t="s">
        <v>9774</v>
      </c>
      <c r="D2862" s="3" t="s">
        <v>3812</v>
      </c>
      <c r="E2862" s="3" t="b">
        <v>1</v>
      </c>
      <c r="F2862" s="3" t="b">
        <v>0</v>
      </c>
      <c r="G2862" s="3" t="s">
        <v>10003</v>
      </c>
      <c r="H2862" s="4" t="str">
        <f>_xlfn.IFNA(IF(((INDEX(RulebookFields!C2:C1898, MATCH(D2862,RulebookFields!A2:A1898, 0))="")=TRUE),  "",  INDEX(RulebookFields!C2:C1898, MATCH(D2862,RulebookFields!A2:A1898, 0))), "")</f>
        <v>RequirementSatisfactions</v>
      </c>
      <c r="I2862" s="4" t="str">
        <f>_xlfn.IFNA(IF(((INDEX(RulebookFields!D2:D1898, MATCH(D2862,RulebookFields!A2:A1898, 0))="")=TRUE),  "",  INDEX(RulebookFields!D2:D1898, MATCH(D2862,RulebookFields!A2:A1898, 0))), "")</f>
        <v>ProcedureExecutionOfSatisfaction</v>
      </c>
      <c r="J2862" s="4" t="b">
        <f>_xlfn.IFNA(IF(((INDEX(RulebookFields!I2:I1898, MATCH(D2862,RulebookFields!A2:A1898, 0))="")=TRUE),  "",  INDEX(RulebookFields!I2:I1898, MATCH(D2862,RulebookFields!A2:A1898, 0))), "")</f>
        <v>1</v>
      </c>
      <c r="K2862" s="4" t="b">
        <f>AND(((F2862)=TRUE), ((J2862)=TRUE))</f>
        <v>0</v>
      </c>
      <c r="L2862" s="4" t="b">
        <f>AND(((G2862 &lt;&gt; "plain")=TRUE), ((G2862 &lt;&gt; "")=TRUE))</f>
        <v>0</v>
      </c>
      <c r="M2862" s="4" t="str">
        <f>IF(((E2862)=TRUE),  C2862 &amp; "|" &amp; H2862,  "")</f>
        <v>principal-knowledge-authority|RequirementSatisfactions</v>
      </c>
      <c r="N2862" s="3" t="s">
        <v>10004</v>
      </c>
    </row>
    <row r="2863">
      <c r="A2863" s="3" t="s">
        <v>12865</v>
      </c>
      <c r="B2863" s="4" t="str">
        <f>C2863 &amp; " -&gt; " &amp; D2863</f>
        <v>principal-knowledge-authority -&gt; RequirementSatisfactions.RunWhenInvalidApproval</v>
      </c>
      <c r="C2863" s="3" t="s">
        <v>9774</v>
      </c>
      <c r="D2863" s="3" t="s">
        <v>3813</v>
      </c>
      <c r="E2863" s="3" t="b">
        <v>1</v>
      </c>
      <c r="F2863" s="3" t="b">
        <v>0</v>
      </c>
      <c r="G2863" s="3" t="s">
        <v>10003</v>
      </c>
      <c r="H2863" s="4" t="str">
        <f>_xlfn.IFNA(IF(((INDEX(RulebookFields!C2:C1898, MATCH(D2863,RulebookFields!A2:A1898, 0))="")=TRUE),  "",  INDEX(RulebookFields!C2:C1898, MATCH(D2863,RulebookFields!A2:A1898, 0))), "")</f>
        <v>RequirementSatisfactions</v>
      </c>
      <c r="I2863" s="4" t="str">
        <f>_xlfn.IFNA(IF(((INDEX(RulebookFields!D2:D1898, MATCH(D2863,RulebookFields!A2:A1898, 0))="")=TRUE),  "",  INDEX(RulebookFields!D2:D1898, MATCH(D2863,RulebookFields!A2:A1898, 0))), "")</f>
        <v>RunWhenInvalidApproval</v>
      </c>
      <c r="J2863" s="4" t="b">
        <f>_xlfn.IFNA(IF(((INDEX(RulebookFields!I2:I1898, MATCH(D2863,RulebookFields!A2:A1898, 0))="")=TRUE),  "",  INDEX(RulebookFields!I2:I1898, MATCH(D2863,RulebookFields!A2:A1898, 0))), "")</f>
        <v>1</v>
      </c>
      <c r="K2863" s="4" t="b">
        <f>AND(((F2863)=TRUE), ((J2863)=TRUE))</f>
        <v>0</v>
      </c>
      <c r="L2863" s="4" t="b">
        <f>AND(((G2863 &lt;&gt; "plain")=TRUE), ((G2863 &lt;&gt; "")=TRUE))</f>
        <v>0</v>
      </c>
      <c r="M2863" s="4" t="str">
        <f>IF(((E2863)=TRUE),  C2863 &amp; "|" &amp; H2863,  "")</f>
        <v>principal-knowledge-authority|RequirementSatisfactions</v>
      </c>
      <c r="N2863" s="3" t="s">
        <v>10004</v>
      </c>
    </row>
    <row r="2864">
      <c r="A2864" s="3" t="s">
        <v>12866</v>
      </c>
      <c r="B2864" s="4" t="str">
        <f>C2864 &amp; " -&gt; " &amp; D2864</f>
        <v>principal-knowledge-authority -&gt; RequirementSatisfactions.RequirementIsUnfalsified</v>
      </c>
      <c r="C2864" s="3" t="s">
        <v>9774</v>
      </c>
      <c r="D2864" s="3" t="s">
        <v>3815</v>
      </c>
      <c r="E2864" s="3" t="b">
        <v>1</v>
      </c>
      <c r="F2864" s="3" t="b">
        <v>0</v>
      </c>
      <c r="G2864" s="3" t="s">
        <v>10003</v>
      </c>
      <c r="H2864" s="4" t="str">
        <f>_xlfn.IFNA(IF(((INDEX(RulebookFields!C2:C1898, MATCH(D2864,RulebookFields!A2:A1898, 0))="")=TRUE),  "",  INDEX(RulebookFields!C2:C1898, MATCH(D2864,RulebookFields!A2:A1898, 0))), "")</f>
        <v>RequirementSatisfactions</v>
      </c>
      <c r="I2864" s="4" t="str">
        <f>_xlfn.IFNA(IF(((INDEX(RulebookFields!D2:D1898, MATCH(D2864,RulebookFields!A2:A1898, 0))="")=TRUE),  "",  INDEX(RulebookFields!D2:D1898, MATCH(D2864,RulebookFields!A2:A1898, 0))), "")</f>
        <v>RequirementIsUnfalsified</v>
      </c>
      <c r="J2864" s="4" t="b">
        <f>_xlfn.IFNA(IF(((INDEX(RulebookFields!I2:I1898, MATCH(D2864,RulebookFields!A2:A1898, 0))="")=TRUE),  "",  INDEX(RulebookFields!I2:I1898, MATCH(D2864,RulebookFields!A2:A1898, 0))), "")</f>
        <v>1</v>
      </c>
      <c r="K2864" s="4" t="b">
        <f>AND(((F2864)=TRUE), ((J2864)=TRUE))</f>
        <v>0</v>
      </c>
      <c r="L2864" s="4" t="b">
        <f>AND(((G2864 &lt;&gt; "plain")=TRUE), ((G2864 &lt;&gt; "")=TRUE))</f>
        <v>0</v>
      </c>
      <c r="M2864" s="4" t="str">
        <f>IF(((E2864)=TRUE),  C2864 &amp; "|" &amp; H2864,  "")</f>
        <v>principal-knowledge-authority|RequirementSatisfactions</v>
      </c>
      <c r="N2864" s="3" t="s">
        <v>10004</v>
      </c>
    </row>
    <row r="2865">
      <c r="A2865" s="3" t="s">
        <v>12867</v>
      </c>
      <c r="B2865" s="4" t="str">
        <f>C2865 &amp; " -&gt; " &amp; D2865</f>
        <v>principal-knowledge-authority -&gt; RequirementSatisfactions.IsClearanceByUnfalsifiedControl</v>
      </c>
      <c r="C2865" s="3" t="s">
        <v>9774</v>
      </c>
      <c r="D2865" s="3" t="s">
        <v>3817</v>
      </c>
      <c r="E2865" s="3" t="b">
        <v>1</v>
      </c>
      <c r="F2865" s="3" t="b">
        <v>0</v>
      </c>
      <c r="G2865" s="3" t="s">
        <v>10003</v>
      </c>
      <c r="H2865" s="4" t="str">
        <f>_xlfn.IFNA(IF(((INDEX(RulebookFields!C2:C1898, MATCH(D2865,RulebookFields!A2:A1898, 0))="")=TRUE),  "",  INDEX(RulebookFields!C2:C1898, MATCH(D2865,RulebookFields!A2:A1898, 0))), "")</f>
        <v>RequirementSatisfactions</v>
      </c>
      <c r="I2865" s="4" t="str">
        <f>_xlfn.IFNA(IF(((INDEX(RulebookFields!D2:D1898, MATCH(D2865,RulebookFields!A2:A1898, 0))="")=TRUE),  "",  INDEX(RulebookFields!D2:D1898, MATCH(D2865,RulebookFields!A2:A1898, 0))), "")</f>
        <v>IsClearanceByUnfalsifiedControl</v>
      </c>
      <c r="J2865" s="4" t="b">
        <f>_xlfn.IFNA(IF(((INDEX(RulebookFields!I2:I1898, MATCH(D2865,RulebookFields!A2:A1898, 0))="")=TRUE),  "",  INDEX(RulebookFields!I2:I1898, MATCH(D2865,RulebookFields!A2:A1898, 0))), "")</f>
        <v>1</v>
      </c>
      <c r="K2865" s="4" t="b">
        <f>AND(((F2865)=TRUE), ((J2865)=TRUE))</f>
        <v>0</v>
      </c>
      <c r="L2865" s="4" t="b">
        <f>AND(((G2865 &lt;&gt; "plain")=TRUE), ((G2865 &lt;&gt; "")=TRUE))</f>
        <v>0</v>
      </c>
      <c r="M2865" s="4" t="str">
        <f>IF(((E2865)=TRUE),  C2865 &amp; "|" &amp; H2865,  "")</f>
        <v>principal-knowledge-authority|RequirementSatisfactions</v>
      </c>
      <c r="N2865" s="3" t="s">
        <v>10004</v>
      </c>
    </row>
    <row r="2866">
      <c r="A2866" s="3" t="s">
        <v>12868</v>
      </c>
      <c r="B2866" s="4" t="str">
        <f>C2866 &amp; " -&gt; " &amp; D2866</f>
        <v>principal-knowledge-authority -&gt; RequirementSatisfactions.UnfalsifiedClearanceStepKey</v>
      </c>
      <c r="C2866" s="3" t="s">
        <v>9774</v>
      </c>
      <c r="D2866" s="3" t="s">
        <v>3819</v>
      </c>
      <c r="E2866" s="3" t="b">
        <v>1</v>
      </c>
      <c r="F2866" s="3" t="b">
        <v>0</v>
      </c>
      <c r="G2866" s="3" t="s">
        <v>10003</v>
      </c>
      <c r="H2866" s="4" t="str">
        <f>_xlfn.IFNA(IF(((INDEX(RulebookFields!C2:C1898, MATCH(D2866,RulebookFields!A2:A1898, 0))="")=TRUE),  "",  INDEX(RulebookFields!C2:C1898, MATCH(D2866,RulebookFields!A2:A1898, 0))), "")</f>
        <v>RequirementSatisfactions</v>
      </c>
      <c r="I2866" s="4" t="str">
        <f>_xlfn.IFNA(IF(((INDEX(RulebookFields!D2:D1898, MATCH(D2866,RulebookFields!A2:A1898, 0))="")=TRUE),  "",  INDEX(RulebookFields!D2:D1898, MATCH(D2866,RulebookFields!A2:A1898, 0))), "")</f>
        <v>UnfalsifiedClearanceStepKey</v>
      </c>
      <c r="J2866" s="4" t="b">
        <f>_xlfn.IFNA(IF(((INDEX(RulebookFields!I2:I1898, MATCH(D2866,RulebookFields!A2:A1898, 0))="")=TRUE),  "",  INDEX(RulebookFields!I2:I1898, MATCH(D2866,RulebookFields!A2:A1898, 0))), "")</f>
        <v>1</v>
      </c>
      <c r="K2866" s="4" t="b">
        <f>AND(((F2866)=TRUE), ((J2866)=TRUE))</f>
        <v>0</v>
      </c>
      <c r="L2866" s="4" t="b">
        <f>AND(((G2866 &lt;&gt; "plain")=TRUE), ((G2866 &lt;&gt; "")=TRUE))</f>
        <v>0</v>
      </c>
      <c r="M2866" s="4" t="str">
        <f>IF(((E2866)=TRUE),  C2866 &amp; "|" &amp; H2866,  "")</f>
        <v>principal-knowledge-authority|RequirementSatisfactions</v>
      </c>
      <c r="N2866" s="3" t="s">
        <v>10004</v>
      </c>
    </row>
    <row r="2867">
      <c r="A2867" s="3" t="s">
        <v>12869</v>
      </c>
      <c r="B2867" s="4" t="str">
        <f>C2867 &amp; " -&gt; " &amp; D2867</f>
        <v>principal-knowledge-authority -&gt; RequirementSatisfactions.SpecStepOfExecution</v>
      </c>
      <c r="C2867" s="3" t="s">
        <v>9774</v>
      </c>
      <c r="D2867" s="3" t="s">
        <v>3821</v>
      </c>
      <c r="E2867" s="3" t="b">
        <v>1</v>
      </c>
      <c r="F2867" s="3" t="b">
        <v>0</v>
      </c>
      <c r="G2867" s="3" t="s">
        <v>10003</v>
      </c>
      <c r="H2867" s="4" t="str">
        <f>_xlfn.IFNA(IF(((INDEX(RulebookFields!C2:C1898, MATCH(D2867,RulebookFields!A2:A1898, 0))="")=TRUE),  "",  INDEX(RulebookFields!C2:C1898, MATCH(D2867,RulebookFields!A2:A1898, 0))), "")</f>
        <v>RequirementSatisfactions</v>
      </c>
      <c r="I2867" s="4" t="str">
        <f>_xlfn.IFNA(IF(((INDEX(RulebookFields!D2:D1898, MATCH(D2867,RulebookFields!A2:A1898, 0))="")=TRUE),  "",  INDEX(RulebookFields!D2:D1898, MATCH(D2867,RulebookFields!A2:A1898, 0))), "")</f>
        <v>SpecStepOfExecution</v>
      </c>
      <c r="J2867" s="4" t="b">
        <f>_xlfn.IFNA(IF(((INDEX(RulebookFields!I2:I1898, MATCH(D2867,RulebookFields!A2:A1898, 0))="")=TRUE),  "",  INDEX(RulebookFields!I2:I1898, MATCH(D2867,RulebookFields!A2:A1898, 0))), "")</f>
        <v>1</v>
      </c>
      <c r="K2867" s="4" t="b">
        <f>AND(((F2867)=TRUE), ((J2867)=TRUE))</f>
        <v>0</v>
      </c>
      <c r="L2867" s="4" t="b">
        <f>AND(((G2867 &lt;&gt; "plain")=TRUE), ((G2867 &lt;&gt; "")=TRUE))</f>
        <v>0</v>
      </c>
      <c r="M2867" s="4" t="str">
        <f>IF(((E2867)=TRUE),  C2867 &amp; "|" &amp; H2867,  "")</f>
        <v>principal-knowledge-authority|RequirementSatisfactions</v>
      </c>
      <c r="N2867" s="3" t="s">
        <v>10004</v>
      </c>
    </row>
    <row r="2868">
      <c r="A2868" s="3" t="s">
        <v>12870</v>
      </c>
      <c r="B2868" s="4" t="str">
        <f>C2868 &amp; " -&gt; " &amp; D2868</f>
        <v>principal-knowledge-authority -&gt; RequirementSatisfactions.BindingKey</v>
      </c>
      <c r="C2868" s="3" t="s">
        <v>9774</v>
      </c>
      <c r="D2868" s="3" t="s">
        <v>3823</v>
      </c>
      <c r="E2868" s="3" t="b">
        <v>1</v>
      </c>
      <c r="F2868" s="3" t="b">
        <v>0</v>
      </c>
      <c r="G2868" s="3" t="s">
        <v>10003</v>
      </c>
      <c r="H2868" s="4" t="str">
        <f>_xlfn.IFNA(IF(((INDEX(RulebookFields!C2:C1898, MATCH(D2868,RulebookFields!A2:A1898, 0))="")=TRUE),  "",  INDEX(RulebookFields!C2:C1898, MATCH(D2868,RulebookFields!A2:A1898, 0))), "")</f>
        <v>RequirementSatisfactions</v>
      </c>
      <c r="I2868" s="4" t="str">
        <f>_xlfn.IFNA(IF(((INDEX(RulebookFields!D2:D1898, MATCH(D2868,RulebookFields!A2:A1898, 0))="")=TRUE),  "",  INDEX(RulebookFields!D2:D1898, MATCH(D2868,RulebookFields!A2:A1898, 0))), "")</f>
        <v>BindingKey</v>
      </c>
      <c r="J2868" s="4" t="b">
        <f>_xlfn.IFNA(IF(((INDEX(RulebookFields!I2:I1898, MATCH(D2868,RulebookFields!A2:A1898, 0))="")=TRUE),  "",  INDEX(RulebookFields!I2:I1898, MATCH(D2868,RulebookFields!A2:A1898, 0))), "")</f>
        <v>1</v>
      </c>
      <c r="K2868" s="4" t="b">
        <f>AND(((F2868)=TRUE), ((J2868)=TRUE))</f>
        <v>0</v>
      </c>
      <c r="L2868" s="4" t="b">
        <f>AND(((G2868 &lt;&gt; "plain")=TRUE), ((G2868 &lt;&gt; "")=TRUE))</f>
        <v>0</v>
      </c>
      <c r="M2868" s="4" t="str">
        <f>IF(((E2868)=TRUE),  C2868 &amp; "|" &amp; H2868,  "")</f>
        <v>principal-knowledge-authority|RequirementSatisfactions</v>
      </c>
      <c r="N2868" s="3" t="s">
        <v>10004</v>
      </c>
    </row>
    <row r="2869">
      <c r="A2869" s="3" t="s">
        <v>12871</v>
      </c>
      <c r="B2869" s="4" t="str">
        <f>C2869 &amp; " -&gt; " &amp; D2869</f>
        <v>principal-knowledge-authority -&gt; RequirementSatisfactions.ScoredStepExecutorAgent</v>
      </c>
      <c r="C2869" s="3" t="s">
        <v>9774</v>
      </c>
      <c r="D2869" s="3" t="s">
        <v>3825</v>
      </c>
      <c r="E2869" s="3" t="b">
        <v>1</v>
      </c>
      <c r="F2869" s="3" t="b">
        <v>0</v>
      </c>
      <c r="G2869" s="3" t="s">
        <v>10003</v>
      </c>
      <c r="H2869" s="4" t="str">
        <f>_xlfn.IFNA(IF(((INDEX(RulebookFields!C2:C1898, MATCH(D2869,RulebookFields!A2:A1898, 0))="")=TRUE),  "",  INDEX(RulebookFields!C2:C1898, MATCH(D2869,RulebookFields!A2:A1898, 0))), "")</f>
        <v>RequirementSatisfactions</v>
      </c>
      <c r="I2869" s="4" t="str">
        <f>_xlfn.IFNA(IF(((INDEX(RulebookFields!D2:D1898, MATCH(D2869,RulebookFields!A2:A1898, 0))="")=TRUE),  "",  INDEX(RulebookFields!D2:D1898, MATCH(D2869,RulebookFields!A2:A1898, 0))), "")</f>
        <v>ScoredStepExecutorAgent</v>
      </c>
      <c r="J2869" s="4" t="b">
        <f>_xlfn.IFNA(IF(((INDEX(RulebookFields!I2:I1898, MATCH(D2869,RulebookFields!A2:A1898, 0))="")=TRUE),  "",  INDEX(RulebookFields!I2:I1898, MATCH(D2869,RulebookFields!A2:A1898, 0))), "")</f>
        <v>1</v>
      </c>
      <c r="K2869" s="4" t="b">
        <f>AND(((F2869)=TRUE), ((J2869)=TRUE))</f>
        <v>0</v>
      </c>
      <c r="L2869" s="4" t="b">
        <f>AND(((G2869 &lt;&gt; "plain")=TRUE), ((G2869 &lt;&gt; "")=TRUE))</f>
        <v>0</v>
      </c>
      <c r="M2869" s="4" t="str">
        <f>IF(((E2869)=TRUE),  C2869 &amp; "|" &amp; H2869,  "")</f>
        <v>principal-knowledge-authority|RequirementSatisfactions</v>
      </c>
      <c r="N2869" s="3" t="s">
        <v>10004</v>
      </c>
    </row>
    <row r="2870">
      <c r="A2870" s="3" t="s">
        <v>12872</v>
      </c>
      <c r="B2870" s="4" t="str">
        <f>C2870 &amp; " -&gt; " &amp; D2870</f>
        <v>principal-knowledge-authority -&gt; RequirementSatisfactions.EvaluatorIsStepExecutor</v>
      </c>
      <c r="C2870" s="3" t="s">
        <v>9774</v>
      </c>
      <c r="D2870" s="3" t="s">
        <v>3827</v>
      </c>
      <c r="E2870" s="3" t="b">
        <v>1</v>
      </c>
      <c r="F2870" s="3" t="b">
        <v>0</v>
      </c>
      <c r="G2870" s="3" t="s">
        <v>10003</v>
      </c>
      <c r="H2870" s="4" t="str">
        <f>_xlfn.IFNA(IF(((INDEX(RulebookFields!C2:C1898, MATCH(D2870,RulebookFields!A2:A1898, 0))="")=TRUE),  "",  INDEX(RulebookFields!C2:C1898, MATCH(D2870,RulebookFields!A2:A1898, 0))), "")</f>
        <v>RequirementSatisfactions</v>
      </c>
      <c r="I2870" s="4" t="str">
        <f>_xlfn.IFNA(IF(((INDEX(RulebookFields!D2:D1898, MATCH(D2870,RulebookFields!A2:A1898, 0))="")=TRUE),  "",  INDEX(RulebookFields!D2:D1898, MATCH(D2870,RulebookFields!A2:A1898, 0))), "")</f>
        <v>EvaluatorIsStepExecutor</v>
      </c>
      <c r="J2870" s="4" t="b">
        <f>_xlfn.IFNA(IF(((INDEX(RulebookFields!I2:I1898, MATCH(D2870,RulebookFields!A2:A1898, 0))="")=TRUE),  "",  INDEX(RulebookFields!I2:I1898, MATCH(D2870,RulebookFields!A2:A1898, 0))), "")</f>
        <v>1</v>
      </c>
      <c r="K2870" s="4" t="b">
        <f>AND(((F2870)=TRUE), ((J2870)=TRUE))</f>
        <v>0</v>
      </c>
      <c r="L2870" s="4" t="b">
        <f>AND(((G2870 &lt;&gt; "plain")=TRUE), ((G2870 &lt;&gt; "")=TRUE))</f>
        <v>0</v>
      </c>
      <c r="M2870" s="4" t="str">
        <f>IF(((E2870)=TRUE),  C2870 &amp; "|" &amp; H2870,  "")</f>
        <v>principal-knowledge-authority|RequirementSatisfactions</v>
      </c>
      <c r="N2870" s="3" t="s">
        <v>10004</v>
      </c>
    </row>
    <row r="2871">
      <c r="A2871" s="3" t="s">
        <v>12873</v>
      </c>
      <c r="B2871" s="4" t="str">
        <f>C2871 &amp; " -&gt; " &amp; D2871</f>
        <v>principal-knowledge-authority -&gt; RequirementSatisfactions.RunOwnerAgent</v>
      </c>
      <c r="C2871" s="3" t="s">
        <v>9774</v>
      </c>
      <c r="D2871" s="3" t="s">
        <v>3829</v>
      </c>
      <c r="E2871" s="3" t="b">
        <v>1</v>
      </c>
      <c r="F2871" s="3" t="b">
        <v>0</v>
      </c>
      <c r="G2871" s="3" t="s">
        <v>10003</v>
      </c>
      <c r="H2871" s="4" t="str">
        <f>_xlfn.IFNA(IF(((INDEX(RulebookFields!C2:C1898, MATCH(D2871,RulebookFields!A2:A1898, 0))="")=TRUE),  "",  INDEX(RulebookFields!C2:C1898, MATCH(D2871,RulebookFields!A2:A1898, 0))), "")</f>
        <v>RequirementSatisfactions</v>
      </c>
      <c r="I2871" s="4" t="str">
        <f>_xlfn.IFNA(IF(((INDEX(RulebookFields!D2:D1898, MATCH(D2871,RulebookFields!A2:A1898, 0))="")=TRUE),  "",  INDEX(RulebookFields!D2:D1898, MATCH(D2871,RulebookFields!A2:A1898, 0))), "")</f>
        <v>RunOwnerAgent</v>
      </c>
      <c r="J2871" s="4" t="b">
        <f>_xlfn.IFNA(IF(((INDEX(RulebookFields!I2:I1898, MATCH(D2871,RulebookFields!A2:A1898, 0))="")=TRUE),  "",  INDEX(RulebookFields!I2:I1898, MATCH(D2871,RulebookFields!A2:A1898, 0))), "")</f>
        <v>1</v>
      </c>
      <c r="K2871" s="4" t="b">
        <f>AND(((F2871)=TRUE), ((J2871)=TRUE))</f>
        <v>0</v>
      </c>
      <c r="L2871" s="4" t="b">
        <f>AND(((G2871 &lt;&gt; "plain")=TRUE), ((G2871 &lt;&gt; "")=TRUE))</f>
        <v>0</v>
      </c>
      <c r="M2871" s="4" t="str">
        <f>IF(((E2871)=TRUE),  C2871 &amp; "|" &amp; H2871,  "")</f>
        <v>principal-knowledge-authority|RequirementSatisfactions</v>
      </c>
      <c r="N2871" s="3" t="s">
        <v>10004</v>
      </c>
    </row>
    <row r="2872">
      <c r="A2872" s="3" t="s">
        <v>12874</v>
      </c>
      <c r="B2872" s="4" t="str">
        <f>C2872 &amp; " -&gt; " &amp; D2872</f>
        <v>principal-knowledge-authority -&gt; RequirementSatisfactions.EvaluatorOwnsTheRun</v>
      </c>
      <c r="C2872" s="3" t="s">
        <v>9774</v>
      </c>
      <c r="D2872" s="3" t="s">
        <v>3831</v>
      </c>
      <c r="E2872" s="3" t="b">
        <v>1</v>
      </c>
      <c r="F2872" s="3" t="b">
        <v>0</v>
      </c>
      <c r="G2872" s="3" t="s">
        <v>10003</v>
      </c>
      <c r="H2872" s="4" t="str">
        <f>_xlfn.IFNA(IF(((INDEX(RulebookFields!C2:C1898, MATCH(D2872,RulebookFields!A2:A1898, 0))="")=TRUE),  "",  INDEX(RulebookFields!C2:C1898, MATCH(D2872,RulebookFields!A2:A1898, 0))), "")</f>
        <v>RequirementSatisfactions</v>
      </c>
      <c r="I2872" s="4" t="str">
        <f>_xlfn.IFNA(IF(((INDEX(RulebookFields!D2:D1898, MATCH(D2872,RulebookFields!A2:A1898, 0))="")=TRUE),  "",  INDEX(RulebookFields!D2:D1898, MATCH(D2872,RulebookFields!A2:A1898, 0))), "")</f>
        <v>EvaluatorOwnsTheRun</v>
      </c>
      <c r="J2872" s="4" t="b">
        <f>_xlfn.IFNA(IF(((INDEX(RulebookFields!I2:I1898, MATCH(D2872,RulebookFields!A2:A1898, 0))="")=TRUE),  "",  INDEX(RulebookFields!I2:I1898, MATCH(D2872,RulebookFields!A2:A1898, 0))), "")</f>
        <v>1</v>
      </c>
      <c r="K2872" s="4" t="b">
        <f>AND(((F2872)=TRUE), ((J2872)=TRUE))</f>
        <v>0</v>
      </c>
      <c r="L2872" s="4" t="b">
        <f>AND(((G2872 &lt;&gt; "plain")=TRUE), ((G2872 &lt;&gt; "")=TRUE))</f>
        <v>0</v>
      </c>
      <c r="M2872" s="4" t="str">
        <f>IF(((E2872)=TRUE),  C2872 &amp; "|" &amp; H2872,  "")</f>
        <v>principal-knowledge-authority|RequirementSatisfactions</v>
      </c>
      <c r="N2872" s="3" t="s">
        <v>10004</v>
      </c>
    </row>
    <row r="2873">
      <c r="A2873" s="3" t="s">
        <v>12875</v>
      </c>
      <c r="B2873" s="4" t="str">
        <f>C2873 &amp; " -&gt; " &amp; D2873</f>
        <v>principal-knowledge-authority -&gt; RequirementSatisfactions.IsInterestedPartyAssertion</v>
      </c>
      <c r="C2873" s="3" t="s">
        <v>9774</v>
      </c>
      <c r="D2873" s="3" t="s">
        <v>3833</v>
      </c>
      <c r="E2873" s="3" t="b">
        <v>1</v>
      </c>
      <c r="F2873" s="3" t="b">
        <v>0</v>
      </c>
      <c r="G2873" s="3" t="s">
        <v>10003</v>
      </c>
      <c r="H2873" s="4" t="str">
        <f>_xlfn.IFNA(IF(((INDEX(RulebookFields!C2:C1898, MATCH(D2873,RulebookFields!A2:A1898, 0))="")=TRUE),  "",  INDEX(RulebookFields!C2:C1898, MATCH(D2873,RulebookFields!A2:A1898, 0))), "")</f>
        <v>RequirementSatisfactions</v>
      </c>
      <c r="I2873" s="4" t="str">
        <f>_xlfn.IFNA(IF(((INDEX(RulebookFields!D2:D1898, MATCH(D2873,RulebookFields!A2:A1898, 0))="")=TRUE),  "",  INDEX(RulebookFields!D2:D1898, MATCH(D2873,RulebookFields!A2:A1898, 0))), "")</f>
        <v>IsInterestedPartyAssertion</v>
      </c>
      <c r="J2873" s="4" t="b">
        <f>_xlfn.IFNA(IF(((INDEX(RulebookFields!I2:I1898, MATCH(D2873,RulebookFields!A2:A1898, 0))="")=TRUE),  "",  INDEX(RulebookFields!I2:I1898, MATCH(D2873,RulebookFields!A2:A1898, 0))), "")</f>
        <v>1</v>
      </c>
      <c r="K2873" s="4" t="b">
        <f>AND(((F2873)=TRUE), ((J2873)=TRUE))</f>
        <v>0</v>
      </c>
      <c r="L2873" s="4" t="b">
        <f>AND(((G2873 &lt;&gt; "plain")=TRUE), ((G2873 &lt;&gt; "")=TRUE))</f>
        <v>0</v>
      </c>
      <c r="M2873" s="4" t="str">
        <f>IF(((E2873)=TRUE),  C2873 &amp; "|" &amp; H2873,  "")</f>
        <v>principal-knowledge-authority|RequirementSatisfactions</v>
      </c>
      <c r="N2873" s="3" t="s">
        <v>10004</v>
      </c>
    </row>
    <row r="2874">
      <c r="A2874" s="3" t="s">
        <v>12876</v>
      </c>
      <c r="B2874" s="4" t="str">
        <f>C2874 &amp; " -&gt; " &amp; D2874</f>
        <v>principal-knowledge-authority -&gt; RequirementSatisfactions.HasWrittenEvidence</v>
      </c>
      <c r="C2874" s="3" t="s">
        <v>9774</v>
      </c>
      <c r="D2874" s="3" t="s">
        <v>3835</v>
      </c>
      <c r="E2874" s="3" t="b">
        <v>1</v>
      </c>
      <c r="F2874" s="3" t="b">
        <v>0</v>
      </c>
      <c r="G2874" s="3" t="s">
        <v>10003</v>
      </c>
      <c r="H2874" s="4" t="str">
        <f>_xlfn.IFNA(IF(((INDEX(RulebookFields!C2:C1898, MATCH(D2874,RulebookFields!A2:A1898, 0))="")=TRUE),  "",  INDEX(RulebookFields!C2:C1898, MATCH(D2874,RulebookFields!A2:A1898, 0))), "")</f>
        <v>RequirementSatisfactions</v>
      </c>
      <c r="I2874" s="4" t="str">
        <f>_xlfn.IFNA(IF(((INDEX(RulebookFields!D2:D1898, MATCH(D2874,RulebookFields!A2:A1898, 0))="")=TRUE),  "",  INDEX(RulebookFields!D2:D1898, MATCH(D2874,RulebookFields!A2:A1898, 0))), "")</f>
        <v>HasWrittenEvidence</v>
      </c>
      <c r="J2874" s="4" t="b">
        <f>_xlfn.IFNA(IF(((INDEX(RulebookFields!I2:I1898, MATCH(D2874,RulebookFields!A2:A1898, 0))="")=TRUE),  "",  INDEX(RulebookFields!I2:I1898, MATCH(D2874,RulebookFields!A2:A1898, 0))), "")</f>
        <v>1</v>
      </c>
      <c r="K2874" s="4" t="b">
        <f>AND(((F2874)=TRUE), ((J2874)=TRUE))</f>
        <v>0</v>
      </c>
      <c r="L2874" s="4" t="b">
        <f>AND(((G2874 &lt;&gt; "plain")=TRUE), ((G2874 &lt;&gt; "")=TRUE))</f>
        <v>0</v>
      </c>
      <c r="M2874" s="4" t="str">
        <f>IF(((E2874)=TRUE),  C2874 &amp; "|" &amp; H2874,  "")</f>
        <v>principal-knowledge-authority|RequirementSatisfactions</v>
      </c>
      <c r="N2874" s="3" t="s">
        <v>10004</v>
      </c>
    </row>
    <row r="2875">
      <c r="A2875" s="3" t="s">
        <v>12877</v>
      </c>
      <c r="B2875" s="4" t="str">
        <f>C2875 &amp; " -&gt; " &amp; D2875</f>
        <v>principal-knowledge-authority -&gt; RequirementSatisfactions.IsBareAssertion</v>
      </c>
      <c r="C2875" s="3" t="s">
        <v>9774</v>
      </c>
      <c r="D2875" s="3" t="s">
        <v>3837</v>
      </c>
      <c r="E2875" s="3" t="b">
        <v>1</v>
      </c>
      <c r="F2875" s="3" t="b">
        <v>0</v>
      </c>
      <c r="G2875" s="3" t="s">
        <v>10003</v>
      </c>
      <c r="H2875" s="4" t="str">
        <f>_xlfn.IFNA(IF(((INDEX(RulebookFields!C2:C1898, MATCH(D2875,RulebookFields!A2:A1898, 0))="")=TRUE),  "",  INDEX(RulebookFields!C2:C1898, MATCH(D2875,RulebookFields!A2:A1898, 0))), "")</f>
        <v>RequirementSatisfactions</v>
      </c>
      <c r="I2875" s="4" t="str">
        <f>_xlfn.IFNA(IF(((INDEX(RulebookFields!D2:D1898, MATCH(D2875,RulebookFields!A2:A1898, 0))="")=TRUE),  "",  INDEX(RulebookFields!D2:D1898, MATCH(D2875,RulebookFields!A2:A1898, 0))), "")</f>
        <v>IsBareAssertion</v>
      </c>
      <c r="J2875" s="4" t="b">
        <f>_xlfn.IFNA(IF(((INDEX(RulebookFields!I2:I1898, MATCH(D2875,RulebookFields!A2:A1898, 0))="")=TRUE),  "",  INDEX(RulebookFields!I2:I1898, MATCH(D2875,RulebookFields!A2:A1898, 0))), "")</f>
        <v>1</v>
      </c>
      <c r="K2875" s="4" t="b">
        <f>AND(((F2875)=TRUE), ((J2875)=TRUE))</f>
        <v>0</v>
      </c>
      <c r="L2875" s="4" t="b">
        <f>AND(((G2875 &lt;&gt; "plain")=TRUE), ((G2875 &lt;&gt; "")=TRUE))</f>
        <v>0</v>
      </c>
      <c r="M2875" s="4" t="str">
        <f>IF(((E2875)=TRUE),  C2875 &amp; "|" &amp; H2875,  "")</f>
        <v>principal-knowledge-authority|RequirementSatisfactions</v>
      </c>
      <c r="N2875" s="3" t="s">
        <v>10004</v>
      </c>
    </row>
    <row r="2876">
      <c r="A2876" s="3" t="s">
        <v>12878</v>
      </c>
      <c r="B2876" s="4" t="str">
        <f>C2876 &amp; " -&gt; " &amp; D2876</f>
        <v>principal-knowledge-authority -&gt; RequirementSatisfactions.InterestedAssertionExecutionKey</v>
      </c>
      <c r="C2876" s="3" t="s">
        <v>9774</v>
      </c>
      <c r="D2876" s="3" t="s">
        <v>3839</v>
      </c>
      <c r="E2876" s="3" t="b">
        <v>1</v>
      </c>
      <c r="F2876" s="3" t="b">
        <v>0</v>
      </c>
      <c r="G2876" s="3" t="s">
        <v>10003</v>
      </c>
      <c r="H2876" s="4" t="str">
        <f>_xlfn.IFNA(IF(((INDEX(RulebookFields!C2:C1898, MATCH(D2876,RulebookFields!A2:A1898, 0))="")=TRUE),  "",  INDEX(RulebookFields!C2:C1898, MATCH(D2876,RulebookFields!A2:A1898, 0))), "")</f>
        <v>RequirementSatisfactions</v>
      </c>
      <c r="I2876" s="4" t="str">
        <f>_xlfn.IFNA(IF(((INDEX(RulebookFields!D2:D1898, MATCH(D2876,RulebookFields!A2:A1898, 0))="")=TRUE),  "",  INDEX(RulebookFields!D2:D1898, MATCH(D2876,RulebookFields!A2:A1898, 0))), "")</f>
        <v>InterestedAssertionExecutionKey</v>
      </c>
      <c r="J2876" s="4" t="b">
        <f>_xlfn.IFNA(IF(((INDEX(RulebookFields!I2:I1898, MATCH(D2876,RulebookFields!A2:A1898, 0))="")=TRUE),  "",  INDEX(RulebookFields!I2:I1898, MATCH(D2876,RulebookFields!A2:A1898, 0))), "")</f>
        <v>1</v>
      </c>
      <c r="K2876" s="4" t="b">
        <f>AND(((F2876)=TRUE), ((J2876)=TRUE))</f>
        <v>0</v>
      </c>
      <c r="L2876" s="4" t="b">
        <f>AND(((G2876 &lt;&gt; "plain")=TRUE), ((G2876 &lt;&gt; "")=TRUE))</f>
        <v>0</v>
      </c>
      <c r="M2876" s="4" t="str">
        <f>IF(((E2876)=TRUE),  C2876 &amp; "|" &amp; H2876,  "")</f>
        <v>principal-knowledge-authority|RequirementSatisfactions</v>
      </c>
      <c r="N2876" s="3" t="s">
        <v>10004</v>
      </c>
    </row>
    <row r="2877">
      <c r="A2877" s="3" t="s">
        <v>12879</v>
      </c>
      <c r="B2877" s="4" t="str">
        <f>C2877 &amp; " -&gt; " &amp; D2877</f>
        <v>principal-knowledge-authority -&gt; RequirementSatisfactions.IsComputedlyWitnessed</v>
      </c>
      <c r="C2877" s="3" t="s">
        <v>9774</v>
      </c>
      <c r="D2877" s="3" t="s">
        <v>3841</v>
      </c>
      <c r="E2877" s="3" t="b">
        <v>1</v>
      </c>
      <c r="F2877" s="3" t="b">
        <v>0</v>
      </c>
      <c r="G2877" s="3" t="s">
        <v>10003</v>
      </c>
      <c r="H2877" s="4" t="str">
        <f>_xlfn.IFNA(IF(((INDEX(RulebookFields!C2:C1898, MATCH(D2877,RulebookFields!A2:A1898, 0))="")=TRUE),  "",  INDEX(RulebookFields!C2:C1898, MATCH(D2877,RulebookFields!A2:A1898, 0))), "")</f>
        <v>RequirementSatisfactions</v>
      </c>
      <c r="I2877" s="4" t="str">
        <f>_xlfn.IFNA(IF(((INDEX(RulebookFields!D2:D1898, MATCH(D2877,RulebookFields!A2:A1898, 0))="")=TRUE),  "",  INDEX(RulebookFields!D2:D1898, MATCH(D2877,RulebookFields!A2:A1898, 0))), "")</f>
        <v>IsComputedlyWitnessed</v>
      </c>
      <c r="J2877" s="4" t="b">
        <f>_xlfn.IFNA(IF(((INDEX(RulebookFields!I2:I1898, MATCH(D2877,RulebookFields!A2:A1898, 0))="")=TRUE),  "",  INDEX(RulebookFields!I2:I1898, MATCH(D2877,RulebookFields!A2:A1898, 0))), "")</f>
        <v>1</v>
      </c>
      <c r="K2877" s="4" t="b">
        <f>AND(((F2877)=TRUE), ((J2877)=TRUE))</f>
        <v>0</v>
      </c>
      <c r="L2877" s="4" t="b">
        <f>AND(((G2877 &lt;&gt; "plain")=TRUE), ((G2877 &lt;&gt; "")=TRUE))</f>
        <v>0</v>
      </c>
      <c r="M2877" s="4" t="str">
        <f>IF(((E2877)=TRUE),  C2877 &amp; "|" &amp; H2877,  "")</f>
        <v>principal-knowledge-authority|RequirementSatisfactions</v>
      </c>
      <c r="N2877" s="3" t="s">
        <v>10004</v>
      </c>
    </row>
    <row r="2878">
      <c r="A2878" s="3" t="s">
        <v>12880</v>
      </c>
      <c r="B2878" s="4" t="str">
        <f>C2878 &amp; " -&gt; " &amp; D2878</f>
        <v>principal-knowledge-authority -&gt; RequirementSatisfactions.ComputedWitnessExecutionKey</v>
      </c>
      <c r="C2878" s="3" t="s">
        <v>9774</v>
      </c>
      <c r="D2878" s="3" t="s">
        <v>3843</v>
      </c>
      <c r="E2878" s="3" t="b">
        <v>1</v>
      </c>
      <c r="F2878" s="3" t="b">
        <v>0</v>
      </c>
      <c r="G2878" s="3" t="s">
        <v>10003</v>
      </c>
      <c r="H2878" s="4" t="str">
        <f>_xlfn.IFNA(IF(((INDEX(RulebookFields!C2:C1898, MATCH(D2878,RulebookFields!A2:A1898, 0))="")=TRUE),  "",  INDEX(RulebookFields!C2:C1898, MATCH(D2878,RulebookFields!A2:A1898, 0))), "")</f>
        <v>RequirementSatisfactions</v>
      </c>
      <c r="I2878" s="4" t="str">
        <f>_xlfn.IFNA(IF(((INDEX(RulebookFields!D2:D1898, MATCH(D2878,RulebookFields!A2:A1898, 0))="")=TRUE),  "",  INDEX(RulebookFields!D2:D1898, MATCH(D2878,RulebookFields!A2:A1898, 0))), "")</f>
        <v>ComputedWitnessExecutionKey</v>
      </c>
      <c r="J2878" s="4" t="b">
        <f>_xlfn.IFNA(IF(((INDEX(RulebookFields!I2:I1898, MATCH(D2878,RulebookFields!A2:A1898, 0))="")=TRUE),  "",  INDEX(RulebookFields!I2:I1898, MATCH(D2878,RulebookFields!A2:A1898, 0))), "")</f>
        <v>1</v>
      </c>
      <c r="K2878" s="4" t="b">
        <f>AND(((F2878)=TRUE), ((J2878)=TRUE))</f>
        <v>0</v>
      </c>
      <c r="L2878" s="4" t="b">
        <f>AND(((G2878 &lt;&gt; "plain")=TRUE), ((G2878 &lt;&gt; "")=TRUE))</f>
        <v>0</v>
      </c>
      <c r="M2878" s="4" t="str">
        <f>IF(((E2878)=TRUE),  C2878 &amp; "|" &amp; H2878,  "")</f>
        <v>principal-knowledge-authority|RequirementSatisfactions</v>
      </c>
      <c r="N2878" s="3" t="s">
        <v>10004</v>
      </c>
    </row>
    <row r="2879">
      <c r="A2879" s="3" t="s">
        <v>12881</v>
      </c>
      <c r="B2879" s="4" t="str">
        <f>C2879 &amp; " -&gt; " &amp; D2879</f>
        <v>principal-knowledge-authority -&gt; RequirementSatisfactions.StepExecutorAgent</v>
      </c>
      <c r="C2879" s="3" t="s">
        <v>9774</v>
      </c>
      <c r="D2879" s="3" t="s">
        <v>3845</v>
      </c>
      <c r="E2879" s="3" t="b">
        <v>1</v>
      </c>
      <c r="F2879" s="3" t="b">
        <v>0</v>
      </c>
      <c r="G2879" s="3" t="s">
        <v>10003</v>
      </c>
      <c r="H2879" s="4" t="str">
        <f>_xlfn.IFNA(IF(((INDEX(RulebookFields!C2:C1898, MATCH(D2879,RulebookFields!A2:A1898, 0))="")=TRUE),  "",  INDEX(RulebookFields!C2:C1898, MATCH(D2879,RulebookFields!A2:A1898, 0))), "")</f>
        <v>RequirementSatisfactions</v>
      </c>
      <c r="I2879" s="4" t="str">
        <f>_xlfn.IFNA(IF(((INDEX(RulebookFields!D2:D1898, MATCH(D2879,RulebookFields!A2:A1898, 0))="")=TRUE),  "",  INDEX(RulebookFields!D2:D1898, MATCH(D2879,RulebookFields!A2:A1898, 0))), "")</f>
        <v>StepExecutorAgent</v>
      </c>
      <c r="J2879" s="4" t="b">
        <f>_xlfn.IFNA(IF(((INDEX(RulebookFields!I2:I1898, MATCH(D2879,RulebookFields!A2:A1898, 0))="")=TRUE),  "",  INDEX(RulebookFields!I2:I1898, MATCH(D2879,RulebookFields!A2:A1898, 0))), "")</f>
        <v>1</v>
      </c>
      <c r="K2879" s="4" t="b">
        <f>AND(((F2879)=TRUE), ((J2879)=TRUE))</f>
        <v>0</v>
      </c>
      <c r="L2879" s="4" t="b">
        <f>AND(((G2879 &lt;&gt; "plain")=TRUE), ((G2879 &lt;&gt; "")=TRUE))</f>
        <v>0</v>
      </c>
      <c r="M2879" s="4" t="str">
        <f>IF(((E2879)=TRUE),  C2879 &amp; "|" &amp; H2879,  "")</f>
        <v>principal-knowledge-authority|RequirementSatisfactions</v>
      </c>
      <c r="N2879" s="3" t="s">
        <v>10004</v>
      </c>
    </row>
    <row r="2880">
      <c r="A2880" s="3" t="s">
        <v>12882</v>
      </c>
      <c r="B2880" s="4" t="str">
        <f>C2880 &amp; " -&gt; " &amp; D2880</f>
        <v>principal-knowledge-authority -&gt; RequirementSatisfactions.WasScoredAfterAttestation</v>
      </c>
      <c r="C2880" s="3" t="s">
        <v>9774</v>
      </c>
      <c r="D2880" s="3" t="s">
        <v>3846</v>
      </c>
      <c r="E2880" s="3" t="b">
        <v>1</v>
      </c>
      <c r="F2880" s="3" t="b">
        <v>0</v>
      </c>
      <c r="G2880" s="3" t="s">
        <v>10003</v>
      </c>
      <c r="H2880" s="4" t="str">
        <f>_xlfn.IFNA(IF(((INDEX(RulebookFields!C2:C1898, MATCH(D2880,RulebookFields!A2:A1898, 0))="")=TRUE),  "",  INDEX(RulebookFields!C2:C1898, MATCH(D2880,RulebookFields!A2:A1898, 0))), "")</f>
        <v>RequirementSatisfactions</v>
      </c>
      <c r="I2880" s="4" t="str">
        <f>_xlfn.IFNA(IF(((INDEX(RulebookFields!D2:D1898, MATCH(D2880,RulebookFields!A2:A1898, 0))="")=TRUE),  "",  INDEX(RulebookFields!D2:D1898, MATCH(D2880,RulebookFields!A2:A1898, 0))), "")</f>
        <v>WasScoredAfterAttestation</v>
      </c>
      <c r="J2880" s="4" t="b">
        <f>_xlfn.IFNA(IF(((INDEX(RulebookFields!I2:I1898, MATCH(D2880,RulebookFields!A2:A1898, 0))="")=TRUE),  "",  INDEX(RulebookFields!I2:I1898, MATCH(D2880,RulebookFields!A2:A1898, 0))), "")</f>
        <v>1</v>
      </c>
      <c r="K2880" s="4" t="b">
        <f>AND(((F2880)=TRUE), ((J2880)=TRUE))</f>
        <v>0</v>
      </c>
      <c r="L2880" s="4" t="b">
        <f>AND(((G2880 &lt;&gt; "plain")=TRUE), ((G2880 &lt;&gt; "")=TRUE))</f>
        <v>0</v>
      </c>
      <c r="M2880" s="4" t="str">
        <f>IF(((E2880)=TRUE),  C2880 &amp; "|" &amp; H2880,  "")</f>
        <v>principal-knowledge-authority|RequirementSatisfactions</v>
      </c>
      <c r="N2880" s="3" t="s">
        <v>10004</v>
      </c>
    </row>
    <row r="2881">
      <c r="A2881" s="3" t="s">
        <v>12883</v>
      </c>
      <c r="B2881" s="4" t="str">
        <f>C2881 &amp; " -&gt; " &amp; D2881</f>
        <v>principal-knowledge-authority -&gt; RequirementSatisfactions.AttestationInstantForRun</v>
      </c>
      <c r="C2881" s="3" t="s">
        <v>9774</v>
      </c>
      <c r="D2881" s="3" t="s">
        <v>3848</v>
      </c>
      <c r="E2881" s="3" t="b">
        <v>1</v>
      </c>
      <c r="F2881" s="3" t="b">
        <v>0</v>
      </c>
      <c r="G2881" s="3" t="s">
        <v>10003</v>
      </c>
      <c r="H2881" s="4" t="str">
        <f>_xlfn.IFNA(IF(((INDEX(RulebookFields!C2:C1898, MATCH(D2881,RulebookFields!A2:A1898, 0))="")=TRUE),  "",  INDEX(RulebookFields!C2:C1898, MATCH(D2881,RulebookFields!A2:A1898, 0))), "")</f>
        <v>RequirementSatisfactions</v>
      </c>
      <c r="I2881" s="4" t="str">
        <f>_xlfn.IFNA(IF(((INDEX(RulebookFields!D2:D1898, MATCH(D2881,RulebookFields!A2:A1898, 0))="")=TRUE),  "",  INDEX(RulebookFields!D2:D1898, MATCH(D2881,RulebookFields!A2:A1898, 0))), "")</f>
        <v>AttestationInstantForRun</v>
      </c>
      <c r="J2881" s="4" t="b">
        <f>_xlfn.IFNA(IF(((INDEX(RulebookFields!I2:I1898, MATCH(D2881,RulebookFields!A2:A1898, 0))="")=TRUE),  "",  INDEX(RulebookFields!I2:I1898, MATCH(D2881,RulebookFields!A2:A1898, 0))), "")</f>
        <v>1</v>
      </c>
      <c r="K2881" s="4" t="b">
        <f>AND(((F2881)=TRUE), ((J2881)=TRUE))</f>
        <v>0</v>
      </c>
      <c r="L2881" s="4" t="b">
        <f>AND(((G2881 &lt;&gt; "plain")=TRUE), ((G2881 &lt;&gt; "")=TRUE))</f>
        <v>0</v>
      </c>
      <c r="M2881" s="4" t="str">
        <f>IF(((E2881)=TRUE),  C2881 &amp; "|" &amp; H2881,  "")</f>
        <v>principal-knowledge-authority|RequirementSatisfactions</v>
      </c>
      <c r="N2881" s="3" t="s">
        <v>10004</v>
      </c>
    </row>
    <row r="2882">
      <c r="A2882" s="3" t="s">
        <v>12884</v>
      </c>
      <c r="B2882" s="4" t="str">
        <f>C2882 &amp; " -&gt; " &amp; D2882</f>
        <v>principal-knowledge-authority -&gt; RequirementSatisfactions.PostAttestationScoreExecutionKey</v>
      </c>
      <c r="C2882" s="3" t="s">
        <v>9774</v>
      </c>
      <c r="D2882" s="3" t="s">
        <v>3850</v>
      </c>
      <c r="E2882" s="3" t="b">
        <v>1</v>
      </c>
      <c r="F2882" s="3" t="b">
        <v>0</v>
      </c>
      <c r="G2882" s="3" t="s">
        <v>10003</v>
      </c>
      <c r="H2882" s="4" t="str">
        <f>_xlfn.IFNA(IF(((INDEX(RulebookFields!C2:C1898, MATCH(D2882,RulebookFields!A2:A1898, 0))="")=TRUE),  "",  INDEX(RulebookFields!C2:C1898, MATCH(D2882,RulebookFields!A2:A1898, 0))), "")</f>
        <v>RequirementSatisfactions</v>
      </c>
      <c r="I2882" s="4" t="str">
        <f>_xlfn.IFNA(IF(((INDEX(RulebookFields!D2:D1898, MATCH(D2882,RulebookFields!A2:A1898, 0))="")=TRUE),  "",  INDEX(RulebookFields!D2:D1898, MATCH(D2882,RulebookFields!A2:A1898, 0))), "")</f>
        <v>PostAttestationScoreExecutionKey</v>
      </c>
      <c r="J2882" s="4" t="b">
        <f>_xlfn.IFNA(IF(((INDEX(RulebookFields!I2:I1898, MATCH(D2882,RulebookFields!A2:A1898, 0))="")=TRUE),  "",  INDEX(RulebookFields!I2:I1898, MATCH(D2882,RulebookFields!A2:A1898, 0))), "")</f>
        <v>1</v>
      </c>
      <c r="K2882" s="4" t="b">
        <f>AND(((F2882)=TRUE), ((J2882)=TRUE))</f>
        <v>0</v>
      </c>
      <c r="L2882" s="4" t="b">
        <f>AND(((G2882 &lt;&gt; "plain")=TRUE), ((G2882 &lt;&gt; "")=TRUE))</f>
        <v>0</v>
      </c>
      <c r="M2882" s="4" t="str">
        <f>IF(((E2882)=TRUE),  C2882 &amp; "|" &amp; H2882,  "")</f>
        <v>principal-knowledge-authority|RequirementSatisfactions</v>
      </c>
      <c r="N2882" s="3" t="s">
        <v>10004</v>
      </c>
    </row>
    <row r="2883">
      <c r="A2883" s="3" t="s">
        <v>12885</v>
      </c>
      <c r="B2883" s="4" t="str">
        <f>C2883 &amp; " -&gt; " &amp; D2883</f>
        <v>principal-knowledge-authority -&gt; RequirementSatisfactions.SemanticTypeIri</v>
      </c>
      <c r="C2883" s="3" t="s">
        <v>9774</v>
      </c>
      <c r="D2883" s="3" t="s">
        <v>3852</v>
      </c>
      <c r="E2883" s="3" t="b">
        <v>1</v>
      </c>
      <c r="F2883" s="3" t="b">
        <v>0</v>
      </c>
      <c r="G2883" s="3" t="s">
        <v>10003</v>
      </c>
      <c r="H2883" s="4" t="str">
        <f>_xlfn.IFNA(IF(((INDEX(RulebookFields!C2:C1898, MATCH(D2883,RulebookFields!A2:A1898, 0))="")=TRUE),  "",  INDEX(RulebookFields!C2:C1898, MATCH(D2883,RulebookFields!A2:A1898, 0))), "")</f>
        <v>RequirementSatisfactions</v>
      </c>
      <c r="I2883" s="4" t="str">
        <f>_xlfn.IFNA(IF(((INDEX(RulebookFields!D2:D1898, MATCH(D2883,RulebookFields!A2:A1898, 0))="")=TRUE),  "",  INDEX(RulebookFields!D2:D1898, MATCH(D2883,RulebookFields!A2:A1898, 0))), "")</f>
        <v>SemanticTypeIri</v>
      </c>
      <c r="J2883" s="4" t="b">
        <f>_xlfn.IFNA(IF(((INDEX(RulebookFields!I2:I1898, MATCH(D2883,RulebookFields!A2:A1898, 0))="")=TRUE),  "",  INDEX(RulebookFields!I2:I1898, MATCH(D2883,RulebookFields!A2:A1898, 0))), "")</f>
        <v>0</v>
      </c>
      <c r="K2883" s="4" t="b">
        <f>AND(((F2883)=TRUE), ((J2883)=TRUE))</f>
        <v>0</v>
      </c>
      <c r="L2883" s="4" t="b">
        <f>AND(((G2883 &lt;&gt; "plain")=TRUE), ((G2883 &lt;&gt; "")=TRUE))</f>
        <v>0</v>
      </c>
      <c r="M2883" s="4" t="str">
        <f>IF(((E2883)=TRUE),  C2883 &amp; "|" &amp; H2883,  "")</f>
        <v>principal-knowledge-authority|RequirementSatisfactions</v>
      </c>
      <c r="N2883" s="3" t="s">
        <v>10004</v>
      </c>
    </row>
    <row r="2884">
      <c r="A2884" s="3" t="s">
        <v>12886</v>
      </c>
      <c r="B2884" s="4" t="str">
        <f>C2884 &amp; " -&gt; " &amp; D2884</f>
        <v>principal-knowledge-authority -&gt; Requirements.RequirementId</v>
      </c>
      <c r="C2884" s="3" t="s">
        <v>9774</v>
      </c>
      <c r="D2884" s="3" t="s">
        <v>3045</v>
      </c>
      <c r="E2884" s="3" t="b">
        <v>1</v>
      </c>
      <c r="F2884" s="3" t="b">
        <v>0</v>
      </c>
      <c r="G2884" s="3" t="s">
        <v>10003</v>
      </c>
      <c r="H2884" s="4" t="str">
        <f>_xlfn.IFNA(IF(((INDEX(RulebookFields!C2:C1898, MATCH(D2884,RulebookFields!A2:A1898, 0))="")=TRUE),  "",  INDEX(RulebookFields!C2:C1898, MATCH(D2884,RulebookFields!A2:A1898, 0))), "")</f>
        <v>Requirements</v>
      </c>
      <c r="I2884" s="4" t="str">
        <f>_xlfn.IFNA(IF(((INDEX(RulebookFields!D2:D1898, MATCH(D2884,RulebookFields!A2:A1898, 0))="")=TRUE),  "",  INDEX(RulebookFields!D2:D1898, MATCH(D2884,RulebookFields!A2:A1898, 0))), "")</f>
        <v>RequirementId</v>
      </c>
      <c r="J2884" s="4" t="b">
        <f>_xlfn.IFNA(IF(((INDEX(RulebookFields!I2:I1898, MATCH(D2884,RulebookFields!A2:A1898, 0))="")=TRUE),  "",  INDEX(RulebookFields!I2:I1898, MATCH(D2884,RulebookFields!A2:A1898, 0))), "")</f>
        <v>0</v>
      </c>
      <c r="K2884" s="4" t="b">
        <f>AND(((F2884)=TRUE), ((J2884)=TRUE))</f>
        <v>0</v>
      </c>
      <c r="L2884" s="4" t="b">
        <f>AND(((G2884 &lt;&gt; "plain")=TRUE), ((G2884 &lt;&gt; "")=TRUE))</f>
        <v>0</v>
      </c>
      <c r="M2884" s="4" t="str">
        <f>IF(((E2884)=TRUE),  C2884 &amp; "|" &amp; H2884,  "")</f>
        <v>principal-knowledge-authority|Requirements</v>
      </c>
      <c r="N2884" s="3" t="s">
        <v>10004</v>
      </c>
    </row>
    <row r="2885">
      <c r="A2885" s="3" t="s">
        <v>12887</v>
      </c>
      <c r="B2885" s="4" t="str">
        <f>C2885 &amp; " -&gt; " &amp; D2885</f>
        <v>principal-knowledge-authority -&gt; Requirements.Name</v>
      </c>
      <c r="C2885" s="3" t="s">
        <v>9774</v>
      </c>
      <c r="D2885" s="3" t="s">
        <v>3046</v>
      </c>
      <c r="E2885" s="3" t="b">
        <v>1</v>
      </c>
      <c r="F2885" s="3" t="b">
        <v>0</v>
      </c>
      <c r="G2885" s="3" t="s">
        <v>10003</v>
      </c>
      <c r="H2885" s="4" t="str">
        <f>_xlfn.IFNA(IF(((INDEX(RulebookFields!C2:C1898, MATCH(D2885,RulebookFields!A2:A1898, 0))="")=TRUE),  "",  INDEX(RulebookFields!C2:C1898, MATCH(D2885,RulebookFields!A2:A1898, 0))), "")</f>
        <v>Requirements</v>
      </c>
      <c r="I2885" s="4" t="str">
        <f>_xlfn.IFNA(IF(((INDEX(RulebookFields!D2:D1898, MATCH(D2885,RulebookFields!A2:A1898, 0))="")=TRUE),  "",  INDEX(RulebookFields!D2:D1898, MATCH(D2885,RulebookFields!A2:A1898, 0))), "")</f>
        <v>Name</v>
      </c>
      <c r="J2885" s="4" t="b">
        <f>_xlfn.IFNA(IF(((INDEX(RulebookFields!I2:I1898, MATCH(D2885,RulebookFields!A2:A1898, 0))="")=TRUE),  "",  INDEX(RulebookFields!I2:I1898, MATCH(D2885,RulebookFields!A2:A1898, 0))), "")</f>
        <v>1</v>
      </c>
      <c r="K2885" s="4" t="b">
        <f>AND(((F2885)=TRUE), ((J2885)=TRUE))</f>
        <v>0</v>
      </c>
      <c r="L2885" s="4" t="b">
        <f>AND(((G2885 &lt;&gt; "plain")=TRUE), ((G2885 &lt;&gt; "")=TRUE))</f>
        <v>0</v>
      </c>
      <c r="M2885" s="4" t="str">
        <f>IF(((E2885)=TRUE),  C2885 &amp; "|" &amp; H2885,  "")</f>
        <v>principal-knowledge-authority|Requirements</v>
      </c>
      <c r="N2885" s="3" t="s">
        <v>10004</v>
      </c>
    </row>
    <row r="2886">
      <c r="A2886" s="3" t="s">
        <v>12888</v>
      </c>
      <c r="B2886" s="4" t="str">
        <f>C2886 &amp; " -&gt; " &amp; D2886</f>
        <v>principal-knowledge-authority -&gt; Requirements.Label</v>
      </c>
      <c r="C2886" s="3" t="s">
        <v>9774</v>
      </c>
      <c r="D2886" s="3" t="s">
        <v>3047</v>
      </c>
      <c r="E2886" s="3" t="b">
        <v>1</v>
      </c>
      <c r="F2886" s="3" t="b">
        <v>0</v>
      </c>
      <c r="G2886" s="3" t="s">
        <v>10003</v>
      </c>
      <c r="H2886" s="4" t="str">
        <f>_xlfn.IFNA(IF(((INDEX(RulebookFields!C2:C1898, MATCH(D2886,RulebookFields!A2:A1898, 0))="")=TRUE),  "",  INDEX(RulebookFields!C2:C1898, MATCH(D2886,RulebookFields!A2:A1898, 0))), "")</f>
        <v>Requirements</v>
      </c>
      <c r="I2886" s="4" t="str">
        <f>_xlfn.IFNA(IF(((INDEX(RulebookFields!D2:D1898, MATCH(D2886,RulebookFields!A2:A1898, 0))="")=TRUE),  "",  INDEX(RulebookFields!D2:D1898, MATCH(D2886,RulebookFields!A2:A1898, 0))), "")</f>
        <v>Label</v>
      </c>
      <c r="J2886" s="4" t="b">
        <f>_xlfn.IFNA(IF(((INDEX(RulebookFields!I2:I1898, MATCH(D2886,RulebookFields!A2:A1898, 0))="")=TRUE),  "",  INDEX(RulebookFields!I2:I1898, MATCH(D2886,RulebookFields!A2:A1898, 0))), "")</f>
        <v>0</v>
      </c>
      <c r="K2886" s="4" t="b">
        <f>AND(((F2886)=TRUE), ((J2886)=TRUE))</f>
        <v>0</v>
      </c>
      <c r="L2886" s="4" t="b">
        <f>AND(((G2886 &lt;&gt; "plain")=TRUE), ((G2886 &lt;&gt; "")=TRUE))</f>
        <v>0</v>
      </c>
      <c r="M2886" s="4" t="str">
        <f>IF(((E2886)=TRUE),  C2886 &amp; "|" &amp; H2886,  "")</f>
        <v>principal-knowledge-authority|Requirements</v>
      </c>
      <c r="N2886" s="3" t="s">
        <v>10004</v>
      </c>
    </row>
    <row r="2887">
      <c r="A2887" s="3" t="s">
        <v>12889</v>
      </c>
      <c r="B2887" s="4" t="str">
        <f>C2887 &amp; " -&gt; " &amp; D2887</f>
        <v>principal-knowledge-authority -&gt; Requirements.RequirementType</v>
      </c>
      <c r="C2887" s="3" t="s">
        <v>9774</v>
      </c>
      <c r="D2887" s="3" t="s">
        <v>3048</v>
      </c>
      <c r="E2887" s="3" t="b">
        <v>1</v>
      </c>
      <c r="F2887" s="3" t="b">
        <v>0</v>
      </c>
      <c r="G2887" s="3" t="s">
        <v>10003</v>
      </c>
      <c r="H2887" s="4" t="str">
        <f>_xlfn.IFNA(IF(((INDEX(RulebookFields!C2:C1898, MATCH(D2887,RulebookFields!A2:A1898, 0))="")=TRUE),  "",  INDEX(RulebookFields!C2:C1898, MATCH(D2887,RulebookFields!A2:A1898, 0))), "")</f>
        <v>Requirements</v>
      </c>
      <c r="I2887" s="4" t="str">
        <f>_xlfn.IFNA(IF(((INDEX(RulebookFields!D2:D1898, MATCH(D2887,RulebookFields!A2:A1898, 0))="")=TRUE),  "",  INDEX(RulebookFields!D2:D1898, MATCH(D2887,RulebookFields!A2:A1898, 0))), "")</f>
        <v>RequirementType</v>
      </c>
      <c r="J2887" s="4" t="b">
        <f>_xlfn.IFNA(IF(((INDEX(RulebookFields!I2:I1898, MATCH(D2887,RulebookFields!A2:A1898, 0))="")=TRUE),  "",  INDEX(RulebookFields!I2:I1898, MATCH(D2887,RulebookFields!A2:A1898, 0))), "")</f>
        <v>0</v>
      </c>
      <c r="K2887" s="4" t="b">
        <f>AND(((F2887)=TRUE), ((J2887)=TRUE))</f>
        <v>0</v>
      </c>
      <c r="L2887" s="4" t="b">
        <f>AND(((G2887 &lt;&gt; "plain")=TRUE), ((G2887 &lt;&gt; "")=TRUE))</f>
        <v>0</v>
      </c>
      <c r="M2887" s="4" t="str">
        <f>IF(((E2887)=TRUE),  C2887 &amp; "|" &amp; H2887,  "")</f>
        <v>principal-knowledge-authority|Requirements</v>
      </c>
      <c r="N2887" s="3" t="s">
        <v>10004</v>
      </c>
    </row>
    <row r="2888">
      <c r="A2888" s="3" t="s">
        <v>12890</v>
      </c>
      <c r="B2888" s="4" t="str">
        <f>C2888 &amp; " -&gt; " &amp; D2888</f>
        <v>principal-knowledge-authority -&gt; Requirements.Statement</v>
      </c>
      <c r="C2888" s="3" t="s">
        <v>9774</v>
      </c>
      <c r="D2888" s="3" t="s">
        <v>3049</v>
      </c>
      <c r="E2888" s="3" t="b">
        <v>1</v>
      </c>
      <c r="F2888" s="3" t="b">
        <v>0</v>
      </c>
      <c r="G2888" s="3" t="s">
        <v>10003</v>
      </c>
      <c r="H2888" s="4" t="str">
        <f>_xlfn.IFNA(IF(((INDEX(RulebookFields!C2:C1898, MATCH(D2888,RulebookFields!A2:A1898, 0))="")=TRUE),  "",  INDEX(RulebookFields!C2:C1898, MATCH(D2888,RulebookFields!A2:A1898, 0))), "")</f>
        <v>Requirements</v>
      </c>
      <c r="I2888" s="4" t="str">
        <f>_xlfn.IFNA(IF(((INDEX(RulebookFields!D2:D1898, MATCH(D2888,RulebookFields!A2:A1898, 0))="")=TRUE),  "",  INDEX(RulebookFields!D2:D1898, MATCH(D2888,RulebookFields!A2:A1898, 0))), "")</f>
        <v>Statement</v>
      </c>
      <c r="J2888" s="4" t="b">
        <f>_xlfn.IFNA(IF(((INDEX(RulebookFields!I2:I1898, MATCH(D2888,RulebookFields!A2:A1898, 0))="")=TRUE),  "",  INDEX(RulebookFields!I2:I1898, MATCH(D2888,RulebookFields!A2:A1898, 0))), "")</f>
        <v>0</v>
      </c>
      <c r="K2888" s="4" t="b">
        <f>AND(((F2888)=TRUE), ((J2888)=TRUE))</f>
        <v>0</v>
      </c>
      <c r="L2888" s="4" t="b">
        <f>AND(((G2888 &lt;&gt; "plain")=TRUE), ((G2888 &lt;&gt; "")=TRUE))</f>
        <v>0</v>
      </c>
      <c r="M2888" s="4" t="str">
        <f>IF(((E2888)=TRUE),  C2888 &amp; "|" &amp; H2888,  "")</f>
        <v>principal-knowledge-authority|Requirements</v>
      </c>
      <c r="N2888" s="3" t="s">
        <v>10004</v>
      </c>
    </row>
    <row r="2889">
      <c r="A2889" s="3" t="s">
        <v>12891</v>
      </c>
      <c r="B2889" s="4" t="str">
        <f>C2889 &amp; " -&gt; " &amp; D2889</f>
        <v>principal-knowledge-authority -&gt; Requirements.Rationale</v>
      </c>
      <c r="C2889" s="3" t="s">
        <v>9774</v>
      </c>
      <c r="D2889" s="3" t="s">
        <v>3050</v>
      </c>
      <c r="E2889" s="3" t="b">
        <v>1</v>
      </c>
      <c r="F2889" s="3" t="b">
        <v>0</v>
      </c>
      <c r="G2889" s="3" t="s">
        <v>10003</v>
      </c>
      <c r="H2889" s="4" t="str">
        <f>_xlfn.IFNA(IF(((INDEX(RulebookFields!C2:C1898, MATCH(D2889,RulebookFields!A2:A1898, 0))="")=TRUE),  "",  INDEX(RulebookFields!C2:C1898, MATCH(D2889,RulebookFields!A2:A1898, 0))), "")</f>
        <v>Requirements</v>
      </c>
      <c r="I2889" s="4" t="str">
        <f>_xlfn.IFNA(IF(((INDEX(RulebookFields!D2:D1898, MATCH(D2889,RulebookFields!A2:A1898, 0))="")=TRUE),  "",  INDEX(RulebookFields!D2:D1898, MATCH(D2889,RulebookFields!A2:A1898, 0))), "")</f>
        <v>Rationale</v>
      </c>
      <c r="J2889" s="4" t="b">
        <f>_xlfn.IFNA(IF(((INDEX(RulebookFields!I2:I1898, MATCH(D2889,RulebookFields!A2:A1898, 0))="")=TRUE),  "",  INDEX(RulebookFields!I2:I1898, MATCH(D2889,RulebookFields!A2:A1898, 0))), "")</f>
        <v>0</v>
      </c>
      <c r="K2889" s="4" t="b">
        <f>AND(((F2889)=TRUE), ((J2889)=TRUE))</f>
        <v>0</v>
      </c>
      <c r="L2889" s="4" t="b">
        <f>AND(((G2889 &lt;&gt; "plain")=TRUE), ((G2889 &lt;&gt; "")=TRUE))</f>
        <v>0</v>
      </c>
      <c r="M2889" s="4" t="str">
        <f>IF(((E2889)=TRUE),  C2889 &amp; "|" &amp; H2889,  "")</f>
        <v>principal-knowledge-authority|Requirements</v>
      </c>
      <c r="N2889" s="3" t="s">
        <v>10004</v>
      </c>
    </row>
    <row r="2890">
      <c r="A2890" s="3" t="s">
        <v>12892</v>
      </c>
      <c r="B2890" s="4" t="str">
        <f>C2890 &amp; " -&gt; " &amp; D2890</f>
        <v>principal-knowledge-authority -&gt; Requirements.IsBlocking</v>
      </c>
      <c r="C2890" s="3" t="s">
        <v>9774</v>
      </c>
      <c r="D2890" s="3" t="s">
        <v>3051</v>
      </c>
      <c r="E2890" s="3" t="b">
        <v>1</v>
      </c>
      <c r="F2890" s="3" t="b">
        <v>0</v>
      </c>
      <c r="G2890" s="3" t="s">
        <v>10003</v>
      </c>
      <c r="H2890" s="4" t="str">
        <f>_xlfn.IFNA(IF(((INDEX(RulebookFields!C2:C1898, MATCH(D2890,RulebookFields!A2:A1898, 0))="")=TRUE),  "",  INDEX(RulebookFields!C2:C1898, MATCH(D2890,RulebookFields!A2:A1898, 0))), "")</f>
        <v>Requirements</v>
      </c>
      <c r="I2890" s="4" t="str">
        <f>_xlfn.IFNA(IF(((INDEX(RulebookFields!D2:D1898, MATCH(D2890,RulebookFields!A2:A1898, 0))="")=TRUE),  "",  INDEX(RulebookFields!D2:D1898, MATCH(D2890,RulebookFields!A2:A1898, 0))), "")</f>
        <v>IsBlocking</v>
      </c>
      <c r="J2890" s="4" t="b">
        <f>_xlfn.IFNA(IF(((INDEX(RulebookFields!I2:I1898, MATCH(D2890,RulebookFields!A2:A1898, 0))="")=TRUE),  "",  INDEX(RulebookFields!I2:I1898, MATCH(D2890,RulebookFields!A2:A1898, 0))), "")</f>
        <v>0</v>
      </c>
      <c r="K2890" s="4" t="b">
        <f>AND(((F2890)=TRUE), ((J2890)=TRUE))</f>
        <v>0</v>
      </c>
      <c r="L2890" s="4" t="b">
        <f>AND(((G2890 &lt;&gt; "plain")=TRUE), ((G2890 &lt;&gt; "")=TRUE))</f>
        <v>0</v>
      </c>
      <c r="M2890" s="4" t="str">
        <f>IF(((E2890)=TRUE),  C2890 &amp; "|" &amp; H2890,  "")</f>
        <v>principal-knowledge-authority|Requirements</v>
      </c>
      <c r="N2890" s="3" t="s">
        <v>10004</v>
      </c>
    </row>
    <row r="2891">
      <c r="A2891" s="3" t="s">
        <v>12893</v>
      </c>
      <c r="B2891" s="4" t="str">
        <f>C2891 &amp; " -&gt; " &amp; D2891</f>
        <v>principal-knowledge-authority -&gt; Requirements.SatisfactionRecordCount</v>
      </c>
      <c r="C2891" s="3" t="s">
        <v>9774</v>
      </c>
      <c r="D2891" s="3" t="s">
        <v>3052</v>
      </c>
      <c r="E2891" s="3" t="b">
        <v>1</v>
      </c>
      <c r="F2891" s="3" t="b">
        <v>0</v>
      </c>
      <c r="G2891" s="3" t="s">
        <v>10003</v>
      </c>
      <c r="H2891" s="4" t="str">
        <f>_xlfn.IFNA(IF(((INDEX(RulebookFields!C2:C1898, MATCH(D2891,RulebookFields!A2:A1898, 0))="")=TRUE),  "",  INDEX(RulebookFields!C2:C1898, MATCH(D2891,RulebookFields!A2:A1898, 0))), "")</f>
        <v>Requirements</v>
      </c>
      <c r="I2891" s="4" t="str">
        <f>_xlfn.IFNA(IF(((INDEX(RulebookFields!D2:D1898, MATCH(D2891,RulebookFields!A2:A1898, 0))="")=TRUE),  "",  INDEX(RulebookFields!D2:D1898, MATCH(D2891,RulebookFields!A2:A1898, 0))), "")</f>
        <v>SatisfactionRecordCount</v>
      </c>
      <c r="J2891" s="4" t="b">
        <f>_xlfn.IFNA(IF(((INDEX(RulebookFields!I2:I1898, MATCH(D2891,RulebookFields!A2:A1898, 0))="")=TRUE),  "",  INDEX(RulebookFields!I2:I1898, MATCH(D2891,RulebookFields!A2:A1898, 0))), "")</f>
        <v>1</v>
      </c>
      <c r="K2891" s="4" t="b">
        <f>AND(((F2891)=TRUE), ((J2891)=TRUE))</f>
        <v>0</v>
      </c>
      <c r="L2891" s="4" t="b">
        <f>AND(((G2891 &lt;&gt; "plain")=TRUE), ((G2891 &lt;&gt; "")=TRUE))</f>
        <v>0</v>
      </c>
      <c r="M2891" s="4" t="str">
        <f>IF(((E2891)=TRUE),  C2891 &amp; "|" &amp; H2891,  "")</f>
        <v>principal-knowledge-authority|Requirements</v>
      </c>
      <c r="N2891" s="3" t="s">
        <v>10004</v>
      </c>
    </row>
    <row r="2892">
      <c r="A2892" s="3" t="s">
        <v>12894</v>
      </c>
      <c r="B2892" s="4" t="str">
        <f>C2892 &amp; " -&gt; " &amp; D2892</f>
        <v>principal-knowledge-authority -&gt; Requirements.StepBindingCount</v>
      </c>
      <c r="C2892" s="3" t="s">
        <v>9774</v>
      </c>
      <c r="D2892" s="3" t="s">
        <v>3054</v>
      </c>
      <c r="E2892" s="3" t="b">
        <v>1</v>
      </c>
      <c r="F2892" s="3" t="b">
        <v>0</v>
      </c>
      <c r="G2892" s="3" t="s">
        <v>10003</v>
      </c>
      <c r="H2892" s="4" t="str">
        <f>_xlfn.IFNA(IF(((INDEX(RulebookFields!C2:C1898, MATCH(D2892,RulebookFields!A2:A1898, 0))="")=TRUE),  "",  INDEX(RulebookFields!C2:C1898, MATCH(D2892,RulebookFields!A2:A1898, 0))), "")</f>
        <v>Requirements</v>
      </c>
      <c r="I2892" s="4" t="str">
        <f>_xlfn.IFNA(IF(((INDEX(RulebookFields!D2:D1898, MATCH(D2892,RulebookFields!A2:A1898, 0))="")=TRUE),  "",  INDEX(RulebookFields!D2:D1898, MATCH(D2892,RulebookFields!A2:A1898, 0))), "")</f>
        <v>StepBindingCount</v>
      </c>
      <c r="J2892" s="4" t="b">
        <f>_xlfn.IFNA(IF(((INDEX(RulebookFields!I2:I1898, MATCH(D2892,RulebookFields!A2:A1898, 0))="")=TRUE),  "",  INDEX(RulebookFields!I2:I1898, MATCH(D2892,RulebookFields!A2:A1898, 0))), "")</f>
        <v>1</v>
      </c>
      <c r="K2892" s="4" t="b">
        <f>AND(((F2892)=TRUE), ((J2892)=TRUE))</f>
        <v>0</v>
      </c>
      <c r="L2892" s="4" t="b">
        <f>AND(((G2892 &lt;&gt; "plain")=TRUE), ((G2892 &lt;&gt; "")=TRUE))</f>
        <v>0</v>
      </c>
      <c r="M2892" s="4" t="str">
        <f>IF(((E2892)=TRUE),  C2892 &amp; "|" &amp; H2892,  "")</f>
        <v>principal-knowledge-authority|Requirements</v>
      </c>
      <c r="N2892" s="3" t="s">
        <v>10004</v>
      </c>
    </row>
    <row r="2893">
      <c r="A2893" s="3" t="s">
        <v>12895</v>
      </c>
      <c r="B2893" s="4" t="str">
        <f>C2893 &amp; " -&gt; " &amp; D2893</f>
        <v>principal-knowledge-authority -&gt; Requirements.IsBoundToAnyStep</v>
      </c>
      <c r="C2893" s="3" t="s">
        <v>9774</v>
      </c>
      <c r="D2893" s="3" t="s">
        <v>3056</v>
      </c>
      <c r="E2893" s="3" t="b">
        <v>1</v>
      </c>
      <c r="F2893" s="3" t="b">
        <v>0</v>
      </c>
      <c r="G2893" s="3" t="s">
        <v>10003</v>
      </c>
      <c r="H2893" s="4" t="str">
        <f>_xlfn.IFNA(IF(((INDEX(RulebookFields!C2:C1898, MATCH(D2893,RulebookFields!A2:A1898, 0))="")=TRUE),  "",  INDEX(RulebookFields!C2:C1898, MATCH(D2893,RulebookFields!A2:A1898, 0))), "")</f>
        <v>Requirements</v>
      </c>
      <c r="I2893" s="4" t="str">
        <f>_xlfn.IFNA(IF(((INDEX(RulebookFields!D2:D1898, MATCH(D2893,RulebookFields!A2:A1898, 0))="")=TRUE),  "",  INDEX(RulebookFields!D2:D1898, MATCH(D2893,RulebookFields!A2:A1898, 0))), "")</f>
        <v>IsBoundToAnyStep</v>
      </c>
      <c r="J2893" s="4" t="b">
        <f>_xlfn.IFNA(IF(((INDEX(RulebookFields!I2:I1898, MATCH(D2893,RulebookFields!A2:A1898, 0))="")=TRUE),  "",  INDEX(RulebookFields!I2:I1898, MATCH(D2893,RulebookFields!A2:A1898, 0))), "")</f>
        <v>1</v>
      </c>
      <c r="K2893" s="4" t="b">
        <f>AND(((F2893)=TRUE), ((J2893)=TRUE))</f>
        <v>0</v>
      </c>
      <c r="L2893" s="4" t="b">
        <f>AND(((G2893 &lt;&gt; "plain")=TRUE), ((G2893 &lt;&gt; "")=TRUE))</f>
        <v>0</v>
      </c>
      <c r="M2893" s="4" t="str">
        <f>IF(((E2893)=TRUE),  C2893 &amp; "|" &amp; H2893,  "")</f>
        <v>principal-knowledge-authority|Requirements</v>
      </c>
      <c r="N2893" s="3" t="s">
        <v>10004</v>
      </c>
    </row>
    <row r="2894">
      <c r="A2894" s="3" t="s">
        <v>12896</v>
      </c>
      <c r="B2894" s="4" t="str">
        <f>C2894 &amp; " -&gt; " &amp; D2894</f>
        <v>principal-knowledge-authority -&gt; Requirements.HasEverBeenEvaluated</v>
      </c>
      <c r="C2894" s="3" t="s">
        <v>9774</v>
      </c>
      <c r="D2894" s="3" t="s">
        <v>3058</v>
      </c>
      <c r="E2894" s="3" t="b">
        <v>1</v>
      </c>
      <c r="F2894" s="3" t="b">
        <v>0</v>
      </c>
      <c r="G2894" s="3" t="s">
        <v>10003</v>
      </c>
      <c r="H2894" s="4" t="str">
        <f>_xlfn.IFNA(IF(((INDEX(RulebookFields!C2:C1898, MATCH(D2894,RulebookFields!A2:A1898, 0))="")=TRUE),  "",  INDEX(RulebookFields!C2:C1898, MATCH(D2894,RulebookFields!A2:A1898, 0))), "")</f>
        <v>Requirements</v>
      </c>
      <c r="I2894" s="4" t="str">
        <f>_xlfn.IFNA(IF(((INDEX(RulebookFields!D2:D1898, MATCH(D2894,RulebookFields!A2:A1898, 0))="")=TRUE),  "",  INDEX(RulebookFields!D2:D1898, MATCH(D2894,RulebookFields!A2:A1898, 0))), "")</f>
        <v>HasEverBeenEvaluated</v>
      </c>
      <c r="J2894" s="4" t="b">
        <f>_xlfn.IFNA(IF(((INDEX(RulebookFields!I2:I1898, MATCH(D2894,RulebookFields!A2:A1898, 0))="")=TRUE),  "",  INDEX(RulebookFields!I2:I1898, MATCH(D2894,RulebookFields!A2:A1898, 0))), "")</f>
        <v>1</v>
      </c>
      <c r="K2894" s="4" t="b">
        <f>AND(((F2894)=TRUE), ((J2894)=TRUE))</f>
        <v>0</v>
      </c>
      <c r="L2894" s="4" t="b">
        <f>AND(((G2894 &lt;&gt; "plain")=TRUE), ((G2894 &lt;&gt; "")=TRUE))</f>
        <v>0</v>
      </c>
      <c r="M2894" s="4" t="str">
        <f>IF(((E2894)=TRUE),  C2894 &amp; "|" &amp; H2894,  "")</f>
        <v>principal-knowledge-authority|Requirements</v>
      </c>
      <c r="N2894" s="3" t="s">
        <v>10004</v>
      </c>
    </row>
    <row r="2895">
      <c r="A2895" s="3" t="s">
        <v>12897</v>
      </c>
      <c r="B2895" s="4" t="str">
        <f>C2895 &amp; " -&gt; " &amp; D2895</f>
        <v>principal-knowledge-authority -&gt; Requirements.NegativeOutcomeCount</v>
      </c>
      <c r="C2895" s="3" t="s">
        <v>9774</v>
      </c>
      <c r="D2895" s="3" t="s">
        <v>3060</v>
      </c>
      <c r="E2895" s="3" t="b">
        <v>1</v>
      </c>
      <c r="F2895" s="3" t="b">
        <v>0</v>
      </c>
      <c r="G2895" s="3" t="s">
        <v>10003</v>
      </c>
      <c r="H2895" s="4" t="str">
        <f>_xlfn.IFNA(IF(((INDEX(RulebookFields!C2:C1898, MATCH(D2895,RulebookFields!A2:A1898, 0))="")=TRUE),  "",  INDEX(RulebookFields!C2:C1898, MATCH(D2895,RulebookFields!A2:A1898, 0))), "")</f>
        <v>Requirements</v>
      </c>
      <c r="I2895" s="4" t="str">
        <f>_xlfn.IFNA(IF(((INDEX(RulebookFields!D2:D1898, MATCH(D2895,RulebookFields!A2:A1898, 0))="")=TRUE),  "",  INDEX(RulebookFields!D2:D1898, MATCH(D2895,RulebookFields!A2:A1898, 0))), "")</f>
        <v>NegativeOutcomeCount</v>
      </c>
      <c r="J2895" s="4" t="b">
        <f>_xlfn.IFNA(IF(((INDEX(RulebookFields!I2:I1898, MATCH(D2895,RulebookFields!A2:A1898, 0))="")=TRUE),  "",  INDEX(RulebookFields!I2:I1898, MATCH(D2895,RulebookFields!A2:A1898, 0))), "")</f>
        <v>1</v>
      </c>
      <c r="K2895" s="4" t="b">
        <f>AND(((F2895)=TRUE), ((J2895)=TRUE))</f>
        <v>0</v>
      </c>
      <c r="L2895" s="4" t="b">
        <f>AND(((G2895 &lt;&gt; "plain")=TRUE), ((G2895 &lt;&gt; "")=TRUE))</f>
        <v>0</v>
      </c>
      <c r="M2895" s="4" t="str">
        <f>IF(((E2895)=TRUE),  C2895 &amp; "|" &amp; H2895,  "")</f>
        <v>principal-knowledge-authority|Requirements</v>
      </c>
      <c r="N2895" s="3" t="s">
        <v>10004</v>
      </c>
    </row>
    <row r="2896">
      <c r="A2896" s="3" t="s">
        <v>12898</v>
      </c>
      <c r="B2896" s="4" t="str">
        <f>C2896 &amp; " -&gt; " &amp; D2896</f>
        <v>principal-knowledge-authority -&gt; Requirements.IsInoperativeControl</v>
      </c>
      <c r="C2896" s="3" t="s">
        <v>9774</v>
      </c>
      <c r="D2896" s="3" t="s">
        <v>3062</v>
      </c>
      <c r="E2896" s="3" t="b">
        <v>1</v>
      </c>
      <c r="F2896" s="3" t="b">
        <v>0</v>
      </c>
      <c r="G2896" s="3" t="s">
        <v>10003</v>
      </c>
      <c r="H2896" s="4" t="str">
        <f>_xlfn.IFNA(IF(((INDEX(RulebookFields!C2:C1898, MATCH(D2896,RulebookFields!A2:A1898, 0))="")=TRUE),  "",  INDEX(RulebookFields!C2:C1898, MATCH(D2896,RulebookFields!A2:A1898, 0))), "")</f>
        <v>Requirements</v>
      </c>
      <c r="I2896" s="4" t="str">
        <f>_xlfn.IFNA(IF(((INDEX(RulebookFields!D2:D1898, MATCH(D2896,RulebookFields!A2:A1898, 0))="")=TRUE),  "",  INDEX(RulebookFields!D2:D1898, MATCH(D2896,RulebookFields!A2:A1898, 0))), "")</f>
        <v>IsInoperativeControl</v>
      </c>
      <c r="J2896" s="4" t="b">
        <f>_xlfn.IFNA(IF(((INDEX(RulebookFields!I2:I1898, MATCH(D2896,RulebookFields!A2:A1898, 0))="")=TRUE),  "",  INDEX(RulebookFields!I2:I1898, MATCH(D2896,RulebookFields!A2:A1898, 0))), "")</f>
        <v>1</v>
      </c>
      <c r="K2896" s="4" t="b">
        <f>AND(((F2896)=TRUE), ((J2896)=TRUE))</f>
        <v>0</v>
      </c>
      <c r="L2896" s="4" t="b">
        <f>AND(((G2896 &lt;&gt; "plain")=TRUE), ((G2896 &lt;&gt; "")=TRUE))</f>
        <v>0</v>
      </c>
      <c r="M2896" s="4" t="str">
        <f>IF(((E2896)=TRUE),  C2896 &amp; "|" &amp; H2896,  "")</f>
        <v>principal-knowledge-authority|Requirements</v>
      </c>
      <c r="N2896" s="3" t="s">
        <v>10004</v>
      </c>
    </row>
    <row r="2897">
      <c r="A2897" s="3" t="s">
        <v>12899</v>
      </c>
      <c r="B2897" s="4" t="str">
        <f>C2897 &amp; " -&gt; " &amp; D2897</f>
        <v>principal-knowledge-authority -&gt; Requirements.IsDecorativeControl</v>
      </c>
      <c r="C2897" s="3" t="s">
        <v>9774</v>
      </c>
      <c r="D2897" s="3" t="s">
        <v>3064</v>
      </c>
      <c r="E2897" s="3" t="b">
        <v>1</v>
      </c>
      <c r="F2897" s="3" t="b">
        <v>0</v>
      </c>
      <c r="G2897" s="3" t="s">
        <v>10003</v>
      </c>
      <c r="H2897" s="4" t="str">
        <f>_xlfn.IFNA(IF(((INDEX(RulebookFields!C2:C1898, MATCH(D2897,RulebookFields!A2:A1898, 0))="")=TRUE),  "",  INDEX(RulebookFields!C2:C1898, MATCH(D2897,RulebookFields!A2:A1898, 0))), "")</f>
        <v>Requirements</v>
      </c>
      <c r="I2897" s="4" t="str">
        <f>_xlfn.IFNA(IF(((INDEX(RulebookFields!D2:D1898, MATCH(D2897,RulebookFields!A2:A1898, 0))="")=TRUE),  "",  INDEX(RulebookFields!D2:D1898, MATCH(D2897,RulebookFields!A2:A1898, 0))), "")</f>
        <v>IsDecorativeControl</v>
      </c>
      <c r="J2897" s="4" t="b">
        <f>_xlfn.IFNA(IF(((INDEX(RulebookFields!I2:I1898, MATCH(D2897,RulebookFields!A2:A1898, 0))="")=TRUE),  "",  INDEX(RulebookFields!I2:I1898, MATCH(D2897,RulebookFields!A2:A1898, 0))), "")</f>
        <v>1</v>
      </c>
      <c r="K2897" s="4" t="b">
        <f>AND(((F2897)=TRUE), ((J2897)=TRUE))</f>
        <v>0</v>
      </c>
      <c r="L2897" s="4" t="b">
        <f>AND(((G2897 &lt;&gt; "plain")=TRUE), ((G2897 &lt;&gt; "")=TRUE))</f>
        <v>0</v>
      </c>
      <c r="M2897" s="4" t="str">
        <f>IF(((E2897)=TRUE),  C2897 &amp; "|" &amp; H2897,  "")</f>
        <v>principal-knowledge-authority|Requirements</v>
      </c>
      <c r="N2897" s="3" t="s">
        <v>10004</v>
      </c>
    </row>
    <row r="2898">
      <c r="A2898" s="3" t="s">
        <v>12900</v>
      </c>
      <c r="B2898" s="4" t="str">
        <f>C2898 &amp; " -&gt; " &amp; D2898</f>
        <v>principal-knowledge-authority -&gt; Requirements.HasComputedWitness</v>
      </c>
      <c r="C2898" s="3" t="s">
        <v>9774</v>
      </c>
      <c r="D2898" s="3" t="s">
        <v>3066</v>
      </c>
      <c r="E2898" s="3" t="b">
        <v>1</v>
      </c>
      <c r="F2898" s="3" t="b">
        <v>0</v>
      </c>
      <c r="G2898" s="3" t="s">
        <v>10003</v>
      </c>
      <c r="H2898" s="4" t="str">
        <f>_xlfn.IFNA(IF(((INDEX(RulebookFields!C2:C1898, MATCH(D2898,RulebookFields!A2:A1898, 0))="")=TRUE),  "",  INDEX(RulebookFields!C2:C1898, MATCH(D2898,RulebookFields!A2:A1898, 0))), "")</f>
        <v>Requirements</v>
      </c>
      <c r="I2898" s="4" t="str">
        <f>_xlfn.IFNA(IF(((INDEX(RulebookFields!D2:D1898, MATCH(D2898,RulebookFields!A2:A1898, 0))="")=TRUE),  "",  INDEX(RulebookFields!D2:D1898, MATCH(D2898,RulebookFields!A2:A1898, 0))), "")</f>
        <v>HasComputedWitness</v>
      </c>
      <c r="J2898" s="4" t="b">
        <f>_xlfn.IFNA(IF(((INDEX(RulebookFields!I2:I1898, MATCH(D2898,RulebookFields!A2:A1898, 0))="")=TRUE),  "",  INDEX(RulebookFields!I2:I1898, MATCH(D2898,RulebookFields!A2:A1898, 0))), "")</f>
        <v>0</v>
      </c>
      <c r="K2898" s="4" t="b">
        <f>AND(((F2898)=TRUE), ((J2898)=TRUE))</f>
        <v>0</v>
      </c>
      <c r="L2898" s="4" t="b">
        <f>AND(((G2898 &lt;&gt; "plain")=TRUE), ((G2898 &lt;&gt; "")=TRUE))</f>
        <v>0</v>
      </c>
      <c r="M2898" s="4" t="str">
        <f>IF(((E2898)=TRUE),  C2898 &amp; "|" &amp; H2898,  "")</f>
        <v>principal-knowledge-authority|Requirements</v>
      </c>
      <c r="N2898" s="3" t="s">
        <v>10004</v>
      </c>
    </row>
    <row r="2899">
      <c r="A2899" s="3" t="s">
        <v>12901</v>
      </c>
      <c r="B2899" s="4" t="str">
        <f>C2899 &amp; " -&gt; " &amp; D2899</f>
        <v>principal-knowledge-authority -&gt; Requirements.WitnessFieldName</v>
      </c>
      <c r="C2899" s="3" t="s">
        <v>9774</v>
      </c>
      <c r="D2899" s="3" t="s">
        <v>3067</v>
      </c>
      <c r="E2899" s="3" t="b">
        <v>1</v>
      </c>
      <c r="F2899" s="3" t="b">
        <v>0</v>
      </c>
      <c r="G2899" s="3" t="s">
        <v>10003</v>
      </c>
      <c r="H2899" s="4" t="str">
        <f>_xlfn.IFNA(IF(((INDEX(RulebookFields!C2:C1898, MATCH(D2899,RulebookFields!A2:A1898, 0))="")=TRUE),  "",  INDEX(RulebookFields!C2:C1898, MATCH(D2899,RulebookFields!A2:A1898, 0))), "")</f>
        <v>Requirements</v>
      </c>
      <c r="I2899" s="4" t="str">
        <f>_xlfn.IFNA(IF(((INDEX(RulebookFields!D2:D1898, MATCH(D2899,RulebookFields!A2:A1898, 0))="")=TRUE),  "",  INDEX(RulebookFields!D2:D1898, MATCH(D2899,RulebookFields!A2:A1898, 0))), "")</f>
        <v>WitnessFieldName</v>
      </c>
      <c r="J2899" s="4" t="b">
        <f>_xlfn.IFNA(IF(((INDEX(RulebookFields!I2:I1898, MATCH(D2899,RulebookFields!A2:A1898, 0))="")=TRUE),  "",  INDEX(RulebookFields!I2:I1898, MATCH(D2899,RulebookFields!A2:A1898, 0))), "")</f>
        <v>0</v>
      </c>
      <c r="K2899" s="4" t="b">
        <f>AND(((F2899)=TRUE), ((J2899)=TRUE))</f>
        <v>0</v>
      </c>
      <c r="L2899" s="4" t="b">
        <f>AND(((G2899 &lt;&gt; "plain")=TRUE), ((G2899 &lt;&gt; "")=TRUE))</f>
        <v>0</v>
      </c>
      <c r="M2899" s="4" t="str">
        <f>IF(((E2899)=TRUE),  C2899 &amp; "|" &amp; H2899,  "")</f>
        <v>principal-knowledge-authority|Requirements</v>
      </c>
      <c r="N2899" s="3" t="s">
        <v>10004</v>
      </c>
    </row>
    <row r="2900">
      <c r="A2900" s="3" t="s">
        <v>12902</v>
      </c>
      <c r="B2900" s="4" t="str">
        <f>C2900 &amp; " -&gt; " &amp; D2900</f>
        <v>principal-knowledge-authority -&gt; Requirements.HasEverProducedNegative</v>
      </c>
      <c r="C2900" s="3" t="s">
        <v>9774</v>
      </c>
      <c r="D2900" s="3" t="s">
        <v>3068</v>
      </c>
      <c r="E2900" s="3" t="b">
        <v>1</v>
      </c>
      <c r="F2900" s="3" t="b">
        <v>0</v>
      </c>
      <c r="G2900" s="3" t="s">
        <v>10003</v>
      </c>
      <c r="H2900" s="4" t="str">
        <f>_xlfn.IFNA(IF(((INDEX(RulebookFields!C2:C1898, MATCH(D2900,RulebookFields!A2:A1898, 0))="")=TRUE),  "",  INDEX(RulebookFields!C2:C1898, MATCH(D2900,RulebookFields!A2:A1898, 0))), "")</f>
        <v>Requirements</v>
      </c>
      <c r="I2900" s="4" t="str">
        <f>_xlfn.IFNA(IF(((INDEX(RulebookFields!D2:D1898, MATCH(D2900,RulebookFields!A2:A1898, 0))="")=TRUE),  "",  INDEX(RulebookFields!D2:D1898, MATCH(D2900,RulebookFields!A2:A1898, 0))), "")</f>
        <v>HasEverProducedNegative</v>
      </c>
      <c r="J2900" s="4" t="b">
        <f>_xlfn.IFNA(IF(((INDEX(RulebookFields!I2:I1898, MATCH(D2900,RulebookFields!A2:A1898, 0))="")=TRUE),  "",  INDEX(RulebookFields!I2:I1898, MATCH(D2900,RulebookFields!A2:A1898, 0))), "")</f>
        <v>1</v>
      </c>
      <c r="K2900" s="4" t="b">
        <f>AND(((F2900)=TRUE), ((J2900)=TRUE))</f>
        <v>0</v>
      </c>
      <c r="L2900" s="4" t="b">
        <f>AND(((G2900 &lt;&gt; "plain")=TRUE), ((G2900 &lt;&gt; "")=TRUE))</f>
        <v>0</v>
      </c>
      <c r="M2900" s="4" t="str">
        <f>IF(((E2900)=TRUE),  C2900 &amp; "|" &amp; H2900,  "")</f>
        <v>principal-knowledge-authority|Requirements</v>
      </c>
      <c r="N2900" s="3" t="s">
        <v>10004</v>
      </c>
    </row>
    <row r="2901">
      <c r="A2901" s="3" t="s">
        <v>12903</v>
      </c>
      <c r="B2901" s="4" t="str">
        <f>C2901 &amp; " -&gt; " &amp; D2901</f>
        <v>principal-knowledge-authority -&gt; Requirements.IsUnfalsifiedControl</v>
      </c>
      <c r="C2901" s="3" t="s">
        <v>9774</v>
      </c>
      <c r="D2901" s="3" t="s">
        <v>3070</v>
      </c>
      <c r="E2901" s="3" t="b">
        <v>1</v>
      </c>
      <c r="F2901" s="3" t="b">
        <v>0</v>
      </c>
      <c r="G2901" s="3" t="s">
        <v>10003</v>
      </c>
      <c r="H2901" s="4" t="str">
        <f>_xlfn.IFNA(IF(((INDEX(RulebookFields!C2:C1898, MATCH(D2901,RulebookFields!A2:A1898, 0))="")=TRUE),  "",  INDEX(RulebookFields!C2:C1898, MATCH(D2901,RulebookFields!A2:A1898, 0))), "")</f>
        <v>Requirements</v>
      </c>
      <c r="I2901" s="4" t="str">
        <f>_xlfn.IFNA(IF(((INDEX(RulebookFields!D2:D1898, MATCH(D2901,RulebookFields!A2:A1898, 0))="")=TRUE),  "",  INDEX(RulebookFields!D2:D1898, MATCH(D2901,RulebookFields!A2:A1898, 0))), "")</f>
        <v>IsUnfalsifiedControl</v>
      </c>
      <c r="J2901" s="4" t="b">
        <f>_xlfn.IFNA(IF(((INDEX(RulebookFields!I2:I1898, MATCH(D2901,RulebookFields!A2:A1898, 0))="")=TRUE),  "",  INDEX(RulebookFields!I2:I1898, MATCH(D2901,RulebookFields!A2:A1898, 0))), "")</f>
        <v>1</v>
      </c>
      <c r="K2901" s="4" t="b">
        <f>AND(((F2901)=TRUE), ((J2901)=TRUE))</f>
        <v>0</v>
      </c>
      <c r="L2901" s="4" t="b">
        <f>AND(((G2901 &lt;&gt; "plain")=TRUE), ((G2901 &lt;&gt; "")=TRUE))</f>
        <v>0</v>
      </c>
      <c r="M2901" s="4" t="str">
        <f>IF(((E2901)=TRUE),  C2901 &amp; "|" &amp; H2901,  "")</f>
        <v>principal-knowledge-authority|Requirements</v>
      </c>
      <c r="N2901" s="3" t="s">
        <v>10004</v>
      </c>
    </row>
    <row r="2902">
      <c r="A2902" s="3" t="s">
        <v>12904</v>
      </c>
      <c r="B2902" s="4" t="str">
        <f>C2902 &amp; " -&gt; " &amp; D2902</f>
        <v>principal-knowledge-authority -&gt; Requirements.ClaimsAWitnessField</v>
      </c>
      <c r="C2902" s="3" t="s">
        <v>9774</v>
      </c>
      <c r="D2902" s="3" t="s">
        <v>3072</v>
      </c>
      <c r="E2902" s="3" t="b">
        <v>1</v>
      </c>
      <c r="F2902" s="3" t="b">
        <v>0</v>
      </c>
      <c r="G2902" s="3" t="s">
        <v>10003</v>
      </c>
      <c r="H2902" s="4" t="str">
        <f>_xlfn.IFNA(IF(((INDEX(RulebookFields!C2:C1898, MATCH(D2902,RulebookFields!A2:A1898, 0))="")=TRUE),  "",  INDEX(RulebookFields!C2:C1898, MATCH(D2902,RulebookFields!A2:A1898, 0))), "")</f>
        <v>Requirements</v>
      </c>
      <c r="I2902" s="4" t="str">
        <f>_xlfn.IFNA(IF(((INDEX(RulebookFields!D2:D1898, MATCH(D2902,RulebookFields!A2:A1898, 0))="")=TRUE),  "",  INDEX(RulebookFields!D2:D1898, MATCH(D2902,RulebookFields!A2:A1898, 0))), "")</f>
        <v>ClaimsAWitnessField</v>
      </c>
      <c r="J2902" s="4" t="b">
        <f>_xlfn.IFNA(IF(((INDEX(RulebookFields!I2:I1898, MATCH(D2902,RulebookFields!A2:A1898, 0))="")=TRUE),  "",  INDEX(RulebookFields!I2:I1898, MATCH(D2902,RulebookFields!A2:A1898, 0))), "")</f>
        <v>1</v>
      </c>
      <c r="K2902" s="4" t="b">
        <f>AND(((F2902)=TRUE), ((J2902)=TRUE))</f>
        <v>0</v>
      </c>
      <c r="L2902" s="4" t="b">
        <f>AND(((G2902 &lt;&gt; "plain")=TRUE), ((G2902 &lt;&gt; "")=TRUE))</f>
        <v>0</v>
      </c>
      <c r="M2902" s="4" t="str">
        <f>IF(((E2902)=TRUE),  C2902 &amp; "|" &amp; H2902,  "")</f>
        <v>principal-knowledge-authority|Requirements</v>
      </c>
      <c r="N2902" s="3" t="s">
        <v>10004</v>
      </c>
    </row>
    <row r="2903">
      <c r="A2903" s="3" t="s">
        <v>12905</v>
      </c>
      <c r="B2903" s="4" t="str">
        <f>C2903 &amp; " -&gt; " &amp; D2903</f>
        <v>principal-knowledge-authority -&gt; Requirements.NamedWitnessFieldExists</v>
      </c>
      <c r="C2903" s="3" t="s">
        <v>9774</v>
      </c>
      <c r="D2903" s="3" t="s">
        <v>3074</v>
      </c>
      <c r="E2903" s="3" t="b">
        <v>1</v>
      </c>
      <c r="F2903" s="3" t="b">
        <v>0</v>
      </c>
      <c r="G2903" s="3" t="s">
        <v>10003</v>
      </c>
      <c r="H2903" s="4" t="str">
        <f>_xlfn.IFNA(IF(((INDEX(RulebookFields!C2:C1898, MATCH(D2903,RulebookFields!A2:A1898, 0))="")=TRUE),  "",  INDEX(RulebookFields!C2:C1898, MATCH(D2903,RulebookFields!A2:A1898, 0))), "")</f>
        <v>Requirements</v>
      </c>
      <c r="I2903" s="4" t="str">
        <f>_xlfn.IFNA(IF(((INDEX(RulebookFields!D2:D1898, MATCH(D2903,RulebookFields!A2:A1898, 0))="")=TRUE),  "",  INDEX(RulebookFields!D2:D1898, MATCH(D2903,RulebookFields!A2:A1898, 0))), "")</f>
        <v>NamedWitnessFieldExists</v>
      </c>
      <c r="J2903" s="4" t="b">
        <f>_xlfn.IFNA(IF(((INDEX(RulebookFields!I2:I1898, MATCH(D2903,RulebookFields!A2:A1898, 0))="")=TRUE),  "",  INDEX(RulebookFields!I2:I1898, MATCH(D2903,RulebookFields!A2:A1898, 0))), "")</f>
        <v>1</v>
      </c>
      <c r="K2903" s="4" t="b">
        <f>AND(((F2903)=TRUE), ((J2903)=TRUE))</f>
        <v>0</v>
      </c>
      <c r="L2903" s="4" t="b">
        <f>AND(((G2903 &lt;&gt; "plain")=TRUE), ((G2903 &lt;&gt; "")=TRUE))</f>
        <v>0</v>
      </c>
      <c r="M2903" s="4" t="str">
        <f>IF(((E2903)=TRUE),  C2903 &amp; "|" &amp; H2903,  "")</f>
        <v>principal-knowledge-authority|Requirements</v>
      </c>
      <c r="N2903" s="3" t="s">
        <v>10004</v>
      </c>
    </row>
    <row r="2904">
      <c r="A2904" s="3" t="s">
        <v>12906</v>
      </c>
      <c r="B2904" s="4" t="str">
        <f>C2904 &amp; " -&gt; " &amp; D2904</f>
        <v>principal-knowledge-authority -&gt; Requirements.DerivedHasComputedWitness</v>
      </c>
      <c r="C2904" s="3" t="s">
        <v>9774</v>
      </c>
      <c r="D2904" s="3" t="s">
        <v>3076</v>
      </c>
      <c r="E2904" s="3" t="b">
        <v>1</v>
      </c>
      <c r="F2904" s="3" t="b">
        <v>0</v>
      </c>
      <c r="G2904" s="3" t="s">
        <v>10003</v>
      </c>
      <c r="H2904" s="4" t="str">
        <f>_xlfn.IFNA(IF(((INDEX(RulebookFields!C2:C1898, MATCH(D2904,RulebookFields!A2:A1898, 0))="")=TRUE),  "",  INDEX(RulebookFields!C2:C1898, MATCH(D2904,RulebookFields!A2:A1898, 0))), "")</f>
        <v>Requirements</v>
      </c>
      <c r="I2904" s="4" t="str">
        <f>_xlfn.IFNA(IF(((INDEX(RulebookFields!D2:D1898, MATCH(D2904,RulebookFields!A2:A1898, 0))="")=TRUE),  "",  INDEX(RulebookFields!D2:D1898, MATCH(D2904,RulebookFields!A2:A1898, 0))), "")</f>
        <v>DerivedHasComputedWitness</v>
      </c>
      <c r="J2904" s="4" t="b">
        <f>_xlfn.IFNA(IF(((INDEX(RulebookFields!I2:I1898, MATCH(D2904,RulebookFields!A2:A1898, 0))="")=TRUE),  "",  INDEX(RulebookFields!I2:I1898, MATCH(D2904,RulebookFields!A2:A1898, 0))), "")</f>
        <v>1</v>
      </c>
      <c r="K2904" s="4" t="b">
        <f>AND(((F2904)=TRUE), ((J2904)=TRUE))</f>
        <v>0</v>
      </c>
      <c r="L2904" s="4" t="b">
        <f>AND(((G2904 &lt;&gt; "plain")=TRUE), ((G2904 &lt;&gt; "")=TRUE))</f>
        <v>0</v>
      </c>
      <c r="M2904" s="4" t="str">
        <f>IF(((E2904)=TRUE),  C2904 &amp; "|" &amp; H2904,  "")</f>
        <v>principal-knowledge-authority|Requirements</v>
      </c>
      <c r="N2904" s="3" t="s">
        <v>10004</v>
      </c>
    </row>
    <row r="2905">
      <c r="A2905" s="3" t="s">
        <v>12907</v>
      </c>
      <c r="B2905" s="4" t="str">
        <f>C2905 &amp; " -&gt; " &amp; D2905</f>
        <v>principal-knowledge-authority -&gt; Requirements.WitnessClaimIsUnverified</v>
      </c>
      <c r="C2905" s="3" t="s">
        <v>9774</v>
      </c>
      <c r="D2905" s="3" t="s">
        <v>3078</v>
      </c>
      <c r="E2905" s="3" t="b">
        <v>1</v>
      </c>
      <c r="F2905" s="3" t="b">
        <v>0</v>
      </c>
      <c r="G2905" s="3" t="s">
        <v>10003</v>
      </c>
      <c r="H2905" s="4" t="str">
        <f>_xlfn.IFNA(IF(((INDEX(RulebookFields!C2:C1898, MATCH(D2905,RulebookFields!A2:A1898, 0))="")=TRUE),  "",  INDEX(RulebookFields!C2:C1898, MATCH(D2905,RulebookFields!A2:A1898, 0))), "")</f>
        <v>Requirements</v>
      </c>
      <c r="I2905" s="4" t="str">
        <f>_xlfn.IFNA(IF(((INDEX(RulebookFields!D2:D1898, MATCH(D2905,RulebookFields!A2:A1898, 0))="")=TRUE),  "",  INDEX(RulebookFields!D2:D1898, MATCH(D2905,RulebookFields!A2:A1898, 0))), "")</f>
        <v>WitnessClaimIsUnverified</v>
      </c>
      <c r="J2905" s="4" t="b">
        <f>_xlfn.IFNA(IF(((INDEX(RulebookFields!I2:I1898, MATCH(D2905,RulebookFields!A2:A1898, 0))="")=TRUE),  "",  INDEX(RulebookFields!I2:I1898, MATCH(D2905,RulebookFields!A2:A1898, 0))), "")</f>
        <v>1</v>
      </c>
      <c r="K2905" s="4" t="b">
        <f>AND(((F2905)=TRUE), ((J2905)=TRUE))</f>
        <v>0</v>
      </c>
      <c r="L2905" s="4" t="b">
        <f>AND(((G2905 &lt;&gt; "plain")=TRUE), ((G2905 &lt;&gt; "")=TRUE))</f>
        <v>0</v>
      </c>
      <c r="M2905" s="4" t="str">
        <f>IF(((E2905)=TRUE),  C2905 &amp; "|" &amp; H2905,  "")</f>
        <v>principal-knowledge-authority|Requirements</v>
      </c>
      <c r="N2905" s="3" t="s">
        <v>10004</v>
      </c>
    </row>
    <row r="2906">
      <c r="A2906" s="3" t="s">
        <v>12908</v>
      </c>
      <c r="B2906" s="4" t="str">
        <f>C2906 &amp; " -&gt; " &amp; D2906</f>
        <v>principal-knowledge-authority -&gt; Requirements.IsUnwitnessedBlockingControl</v>
      </c>
      <c r="C2906" s="3" t="s">
        <v>9774</v>
      </c>
      <c r="D2906" s="3" t="s">
        <v>3080</v>
      </c>
      <c r="E2906" s="3" t="b">
        <v>1</v>
      </c>
      <c r="F2906" s="3" t="b">
        <v>0</v>
      </c>
      <c r="G2906" s="3" t="s">
        <v>10003</v>
      </c>
      <c r="H2906" s="4" t="str">
        <f>_xlfn.IFNA(IF(((INDEX(RulebookFields!C2:C1898, MATCH(D2906,RulebookFields!A2:A1898, 0))="")=TRUE),  "",  INDEX(RulebookFields!C2:C1898, MATCH(D2906,RulebookFields!A2:A1898, 0))), "")</f>
        <v>Requirements</v>
      </c>
      <c r="I2906" s="4" t="str">
        <f>_xlfn.IFNA(IF(((INDEX(RulebookFields!D2:D1898, MATCH(D2906,RulebookFields!A2:A1898, 0))="")=TRUE),  "",  INDEX(RulebookFields!D2:D1898, MATCH(D2906,RulebookFields!A2:A1898, 0))), "")</f>
        <v>IsUnwitnessedBlockingControl</v>
      </c>
      <c r="J2906" s="4" t="b">
        <f>_xlfn.IFNA(IF(((INDEX(RulebookFields!I2:I1898, MATCH(D2906,RulebookFields!A2:A1898, 0))="")=TRUE),  "",  INDEX(RulebookFields!I2:I1898, MATCH(D2906,RulebookFields!A2:A1898, 0))), "")</f>
        <v>1</v>
      </c>
      <c r="K2906" s="4" t="b">
        <f>AND(((F2906)=TRUE), ((J2906)=TRUE))</f>
        <v>0</v>
      </c>
      <c r="L2906" s="4" t="b">
        <f>AND(((G2906 &lt;&gt; "plain")=TRUE), ((G2906 &lt;&gt; "")=TRUE))</f>
        <v>0</v>
      </c>
      <c r="M2906" s="4" t="str">
        <f>IF(((E2906)=TRUE),  C2906 &amp; "|" &amp; H2906,  "")</f>
        <v>principal-knowledge-authority|Requirements</v>
      </c>
      <c r="N2906" s="3" t="s">
        <v>10004</v>
      </c>
    </row>
    <row r="2907">
      <c r="A2907" s="3" t="s">
        <v>12909</v>
      </c>
      <c r="B2907" s="4" t="str">
        <f>C2907 &amp; " -&gt; " &amp; D2907</f>
        <v>principal-knowledge-authority -&gt; Requirements.WitnessFireCount</v>
      </c>
      <c r="C2907" s="3" t="s">
        <v>9774</v>
      </c>
      <c r="D2907" s="3" t="s">
        <v>3082</v>
      </c>
      <c r="E2907" s="3" t="b">
        <v>1</v>
      </c>
      <c r="F2907" s="3" t="b">
        <v>0</v>
      </c>
      <c r="G2907" s="3" t="s">
        <v>10003</v>
      </c>
      <c r="H2907" s="4" t="str">
        <f>_xlfn.IFNA(IF(((INDEX(RulebookFields!C2:C1898, MATCH(D2907,RulebookFields!A2:A1898, 0))="")=TRUE),  "",  INDEX(RulebookFields!C2:C1898, MATCH(D2907,RulebookFields!A2:A1898, 0))), "")</f>
        <v>Requirements</v>
      </c>
      <c r="I2907" s="4" t="str">
        <f>_xlfn.IFNA(IF(((INDEX(RulebookFields!D2:D1898, MATCH(D2907,RulebookFields!A2:A1898, 0))="")=TRUE),  "",  INDEX(RulebookFields!D2:D1898, MATCH(D2907,RulebookFields!A2:A1898, 0))), "")</f>
        <v>WitnessFireCount</v>
      </c>
      <c r="J2907" s="4" t="b">
        <f>_xlfn.IFNA(IF(((INDEX(RulebookFields!I2:I1898, MATCH(D2907,RulebookFields!A2:A1898, 0))="")=TRUE),  "",  INDEX(RulebookFields!I2:I1898, MATCH(D2907,RulebookFields!A2:A1898, 0))), "")</f>
        <v>1</v>
      </c>
      <c r="K2907" s="4" t="b">
        <f>AND(((F2907)=TRUE), ((J2907)=TRUE))</f>
        <v>0</v>
      </c>
      <c r="L2907" s="4" t="b">
        <f>AND(((G2907 &lt;&gt; "plain")=TRUE), ((G2907 &lt;&gt; "")=TRUE))</f>
        <v>0</v>
      </c>
      <c r="M2907" s="4" t="str">
        <f>IF(((E2907)=TRUE),  C2907 &amp; "|" &amp; H2907,  "")</f>
        <v>principal-knowledge-authority|Requirements</v>
      </c>
      <c r="N2907" s="3" t="s">
        <v>10004</v>
      </c>
    </row>
    <row r="2908">
      <c r="A2908" s="3" t="s">
        <v>12910</v>
      </c>
      <c r="B2908" s="4" t="str">
        <f>C2908 &amp; " -&gt; " &amp; D2908</f>
        <v>principal-knowledge-authority -&gt; Requirements.WitnessHasNeverFired</v>
      </c>
      <c r="C2908" s="3" t="s">
        <v>9774</v>
      </c>
      <c r="D2908" s="3" t="s">
        <v>3084</v>
      </c>
      <c r="E2908" s="3" t="b">
        <v>1</v>
      </c>
      <c r="F2908" s="3" t="b">
        <v>0</v>
      </c>
      <c r="G2908" s="3" t="s">
        <v>10003</v>
      </c>
      <c r="H2908" s="4" t="str">
        <f>_xlfn.IFNA(IF(((INDEX(RulebookFields!C2:C1898, MATCH(D2908,RulebookFields!A2:A1898, 0))="")=TRUE),  "",  INDEX(RulebookFields!C2:C1898, MATCH(D2908,RulebookFields!A2:A1898, 0))), "")</f>
        <v>Requirements</v>
      </c>
      <c r="I2908" s="4" t="str">
        <f>_xlfn.IFNA(IF(((INDEX(RulebookFields!D2:D1898, MATCH(D2908,RulebookFields!A2:A1898, 0))="")=TRUE),  "",  INDEX(RulebookFields!D2:D1898, MATCH(D2908,RulebookFields!A2:A1898, 0))), "")</f>
        <v>WitnessHasNeverFired</v>
      </c>
      <c r="J2908" s="4" t="b">
        <f>_xlfn.IFNA(IF(((INDEX(RulebookFields!I2:I1898, MATCH(D2908,RulebookFields!A2:A1898, 0))="")=TRUE),  "",  INDEX(RulebookFields!I2:I1898, MATCH(D2908,RulebookFields!A2:A1898, 0))), "")</f>
        <v>1</v>
      </c>
      <c r="K2908" s="4" t="b">
        <f>AND(((F2908)=TRUE), ((J2908)=TRUE))</f>
        <v>0</v>
      </c>
      <c r="L2908" s="4" t="b">
        <f>AND(((G2908 &lt;&gt; "plain")=TRUE), ((G2908 &lt;&gt; "")=TRUE))</f>
        <v>0</v>
      </c>
      <c r="M2908" s="4" t="str">
        <f>IF(((E2908)=TRUE),  C2908 &amp; "|" &amp; H2908,  "")</f>
        <v>principal-knowledge-authority|Requirements</v>
      </c>
      <c r="N2908" s="3" t="s">
        <v>10004</v>
      </c>
    </row>
    <row r="2909">
      <c r="A2909" s="3" t="s">
        <v>12911</v>
      </c>
      <c r="B2909" s="4" t="str">
        <f>C2909 &amp; " -&gt; " &amp; D2909</f>
        <v>principal-knowledge-authority -&gt; Requirements.EvaluationSampleSize</v>
      </c>
      <c r="C2909" s="3" t="s">
        <v>9774</v>
      </c>
      <c r="D2909" s="3" t="s">
        <v>3086</v>
      </c>
      <c r="E2909" s="3" t="b">
        <v>1</v>
      </c>
      <c r="F2909" s="3" t="b">
        <v>0</v>
      </c>
      <c r="G2909" s="3" t="s">
        <v>10003</v>
      </c>
      <c r="H2909" s="4" t="str">
        <f>_xlfn.IFNA(IF(((INDEX(RulebookFields!C2:C1898, MATCH(D2909,RulebookFields!A2:A1898, 0))="")=TRUE),  "",  INDEX(RulebookFields!C2:C1898, MATCH(D2909,RulebookFields!A2:A1898, 0))), "")</f>
        <v>Requirements</v>
      </c>
      <c r="I2909" s="4" t="str">
        <f>_xlfn.IFNA(IF(((INDEX(RulebookFields!D2:D1898, MATCH(D2909,RulebookFields!A2:A1898, 0))="")=TRUE),  "",  INDEX(RulebookFields!D2:D1898, MATCH(D2909,RulebookFields!A2:A1898, 0))), "")</f>
        <v>EvaluationSampleSize</v>
      </c>
      <c r="J2909" s="4" t="b">
        <f>_xlfn.IFNA(IF(((INDEX(RulebookFields!I2:I1898, MATCH(D2909,RulebookFields!A2:A1898, 0))="")=TRUE),  "",  INDEX(RulebookFields!I2:I1898, MATCH(D2909,RulebookFields!A2:A1898, 0))), "")</f>
        <v>1</v>
      </c>
      <c r="K2909" s="4" t="b">
        <f>AND(((F2909)=TRUE), ((J2909)=TRUE))</f>
        <v>0</v>
      </c>
      <c r="L2909" s="4" t="b">
        <f>AND(((G2909 &lt;&gt; "plain")=TRUE), ((G2909 &lt;&gt; "")=TRUE))</f>
        <v>0</v>
      </c>
      <c r="M2909" s="4" t="str">
        <f>IF(((E2909)=TRUE),  C2909 &amp; "|" &amp; H2909,  "")</f>
        <v>principal-knowledge-authority|Requirements</v>
      </c>
      <c r="N2909" s="3" t="s">
        <v>10004</v>
      </c>
    </row>
    <row r="2910">
      <c r="A2910" s="3" t="s">
        <v>12912</v>
      </c>
      <c r="B2910" s="4" t="str">
        <f>C2910 &amp; " -&gt; " &amp; D2910</f>
        <v>principal-knowledge-authority -&gt; Requirements.HasMeaningfulSample</v>
      </c>
      <c r="C2910" s="3" t="s">
        <v>9774</v>
      </c>
      <c r="D2910" s="3" t="s">
        <v>3088</v>
      </c>
      <c r="E2910" s="3" t="b">
        <v>1</v>
      </c>
      <c r="F2910" s="3" t="b">
        <v>0</v>
      </c>
      <c r="G2910" s="3" t="s">
        <v>10003</v>
      </c>
      <c r="H2910" s="4" t="str">
        <f>_xlfn.IFNA(IF(((INDEX(RulebookFields!C2:C1898, MATCH(D2910,RulebookFields!A2:A1898, 0))="")=TRUE),  "",  INDEX(RulebookFields!C2:C1898, MATCH(D2910,RulebookFields!A2:A1898, 0))), "")</f>
        <v>Requirements</v>
      </c>
      <c r="I2910" s="4" t="str">
        <f>_xlfn.IFNA(IF(((INDEX(RulebookFields!D2:D1898, MATCH(D2910,RulebookFields!A2:A1898, 0))="")=TRUE),  "",  INDEX(RulebookFields!D2:D1898, MATCH(D2910,RulebookFields!A2:A1898, 0))), "")</f>
        <v>HasMeaningfulSample</v>
      </c>
      <c r="J2910" s="4" t="b">
        <f>_xlfn.IFNA(IF(((INDEX(RulebookFields!I2:I1898, MATCH(D2910,RulebookFields!A2:A1898, 0))="")=TRUE),  "",  INDEX(RulebookFields!I2:I1898, MATCH(D2910,RulebookFields!A2:A1898, 0))), "")</f>
        <v>1</v>
      </c>
      <c r="K2910" s="4" t="b">
        <f>AND(((F2910)=TRUE), ((J2910)=TRUE))</f>
        <v>0</v>
      </c>
      <c r="L2910" s="4" t="b">
        <f>AND(((G2910 &lt;&gt; "plain")=TRUE), ((G2910 &lt;&gt; "")=TRUE))</f>
        <v>0</v>
      </c>
      <c r="M2910" s="4" t="str">
        <f>IF(((E2910)=TRUE),  C2910 &amp; "|" &amp; H2910,  "")</f>
        <v>principal-knowledge-authority|Requirements</v>
      </c>
      <c r="N2910" s="3" t="s">
        <v>10004</v>
      </c>
    </row>
    <row r="2911">
      <c r="A2911" s="3" t="s">
        <v>12913</v>
      </c>
      <c r="B2911" s="4" t="str">
        <f>C2911 &amp; " -&gt; " &amp; D2911</f>
        <v>principal-knowledge-authority -&gt; Requirements.MinimumSampleForAssurance</v>
      </c>
      <c r="C2911" s="3" t="s">
        <v>9774</v>
      </c>
      <c r="D2911" s="3" t="s">
        <v>3090</v>
      </c>
      <c r="E2911" s="3" t="b">
        <v>1</v>
      </c>
      <c r="F2911" s="3" t="b">
        <v>0</v>
      </c>
      <c r="G2911" s="3" t="s">
        <v>10003</v>
      </c>
      <c r="H2911" s="4" t="str">
        <f>_xlfn.IFNA(IF(((INDEX(RulebookFields!C2:C1898, MATCH(D2911,RulebookFields!A2:A1898, 0))="")=TRUE),  "",  INDEX(RulebookFields!C2:C1898, MATCH(D2911,RulebookFields!A2:A1898, 0))), "")</f>
        <v>Requirements</v>
      </c>
      <c r="I2911" s="4" t="str">
        <f>_xlfn.IFNA(IF(((INDEX(RulebookFields!D2:D1898, MATCH(D2911,RulebookFields!A2:A1898, 0))="")=TRUE),  "",  INDEX(RulebookFields!D2:D1898, MATCH(D2911,RulebookFields!A2:A1898, 0))), "")</f>
        <v>MinimumSampleForAssurance</v>
      </c>
      <c r="J2911" s="4" t="b">
        <f>_xlfn.IFNA(IF(((INDEX(RulebookFields!I2:I1898, MATCH(D2911,RulebookFields!A2:A1898, 0))="")=TRUE),  "",  INDEX(RulebookFields!I2:I1898, MATCH(D2911,RulebookFields!A2:A1898, 0))), "")</f>
        <v>0</v>
      </c>
      <c r="K2911" s="4" t="b">
        <f>AND(((F2911)=TRUE), ((J2911)=TRUE))</f>
        <v>0</v>
      </c>
      <c r="L2911" s="4" t="b">
        <f>AND(((G2911 &lt;&gt; "plain")=TRUE), ((G2911 &lt;&gt; "")=TRUE))</f>
        <v>0</v>
      </c>
      <c r="M2911" s="4" t="str">
        <f>IF(((E2911)=TRUE),  C2911 &amp; "|" &amp; H2911,  "")</f>
        <v>principal-knowledge-authority|Requirements</v>
      </c>
      <c r="N2911" s="3" t="s">
        <v>10004</v>
      </c>
    </row>
    <row r="2912">
      <c r="A2912" s="3" t="s">
        <v>12914</v>
      </c>
      <c r="B2912" s="4" t="str">
        <f>C2912 &amp; " -&gt; " &amp; D2912</f>
        <v>principal-knowledge-authority -&gt; Requirements.IsUntestedWitness</v>
      </c>
      <c r="C2912" s="3" t="s">
        <v>9774</v>
      </c>
      <c r="D2912" s="3" t="s">
        <v>3091</v>
      </c>
      <c r="E2912" s="3" t="b">
        <v>1</v>
      </c>
      <c r="F2912" s="3" t="b">
        <v>0</v>
      </c>
      <c r="G2912" s="3" t="s">
        <v>10003</v>
      </c>
      <c r="H2912" s="4" t="str">
        <f>_xlfn.IFNA(IF(((INDEX(RulebookFields!C2:C1898, MATCH(D2912,RulebookFields!A2:A1898, 0))="")=TRUE),  "",  INDEX(RulebookFields!C2:C1898, MATCH(D2912,RulebookFields!A2:A1898, 0))), "")</f>
        <v>Requirements</v>
      </c>
      <c r="I2912" s="4" t="str">
        <f>_xlfn.IFNA(IF(((INDEX(RulebookFields!D2:D1898, MATCH(D2912,RulebookFields!A2:A1898, 0))="")=TRUE),  "",  INDEX(RulebookFields!D2:D1898, MATCH(D2912,RulebookFields!A2:A1898, 0))), "")</f>
        <v>IsUntestedWitness</v>
      </c>
      <c r="J2912" s="4" t="b">
        <f>_xlfn.IFNA(IF(((INDEX(RulebookFields!I2:I1898, MATCH(D2912,RulebookFields!A2:A1898, 0))="")=TRUE),  "",  INDEX(RulebookFields!I2:I1898, MATCH(D2912,RulebookFields!A2:A1898, 0))), "")</f>
        <v>1</v>
      </c>
      <c r="K2912" s="4" t="b">
        <f>AND(((F2912)=TRUE), ((J2912)=TRUE))</f>
        <v>0</v>
      </c>
      <c r="L2912" s="4" t="b">
        <f>AND(((G2912 &lt;&gt; "plain")=TRUE), ((G2912 &lt;&gt; "")=TRUE))</f>
        <v>0</v>
      </c>
      <c r="M2912" s="4" t="str">
        <f>IF(((E2912)=TRUE),  C2912 &amp; "|" &amp; H2912,  "")</f>
        <v>principal-knowledge-authority|Requirements</v>
      </c>
      <c r="N2912" s="3" t="s">
        <v>10004</v>
      </c>
    </row>
    <row r="2913">
      <c r="A2913" s="3" t="s">
        <v>12915</v>
      </c>
      <c r="B2913" s="4" t="str">
        <f>C2913 &amp; " -&gt; " &amp; D2913</f>
        <v>principal-knowledge-authority -&gt; Requirements.IsEvidencedHoldingControl</v>
      </c>
      <c r="C2913" s="3" t="s">
        <v>9774</v>
      </c>
      <c r="D2913" s="3" t="s">
        <v>3093</v>
      </c>
      <c r="E2913" s="3" t="b">
        <v>1</v>
      </c>
      <c r="F2913" s="3" t="b">
        <v>0</v>
      </c>
      <c r="G2913" s="3" t="s">
        <v>10003</v>
      </c>
      <c r="H2913" s="4" t="str">
        <f>_xlfn.IFNA(IF(((INDEX(RulebookFields!C2:C1898, MATCH(D2913,RulebookFields!A2:A1898, 0))="")=TRUE),  "",  INDEX(RulebookFields!C2:C1898, MATCH(D2913,RulebookFields!A2:A1898, 0))), "")</f>
        <v>Requirements</v>
      </c>
      <c r="I2913" s="4" t="str">
        <f>_xlfn.IFNA(IF(((INDEX(RulebookFields!D2:D1898, MATCH(D2913,RulebookFields!A2:A1898, 0))="")=TRUE),  "",  INDEX(RulebookFields!D2:D1898, MATCH(D2913,RulebookFields!A2:A1898, 0))), "")</f>
        <v>IsEvidencedHoldingControl</v>
      </c>
      <c r="J2913" s="4" t="b">
        <f>_xlfn.IFNA(IF(((INDEX(RulebookFields!I2:I1898, MATCH(D2913,RulebookFields!A2:A1898, 0))="")=TRUE),  "",  INDEX(RulebookFields!I2:I1898, MATCH(D2913,RulebookFields!A2:A1898, 0))), "")</f>
        <v>1</v>
      </c>
      <c r="K2913" s="4" t="b">
        <f>AND(((F2913)=TRUE), ((J2913)=TRUE))</f>
        <v>0</v>
      </c>
      <c r="L2913" s="4" t="b">
        <f>AND(((G2913 &lt;&gt; "plain")=TRUE), ((G2913 &lt;&gt; "")=TRUE))</f>
        <v>0</v>
      </c>
      <c r="M2913" s="4" t="str">
        <f>IF(((E2913)=TRUE),  C2913 &amp; "|" &amp; H2913,  "")</f>
        <v>principal-knowledge-authority|Requirements</v>
      </c>
      <c r="N2913" s="3" t="s">
        <v>10004</v>
      </c>
    </row>
    <row r="2914">
      <c r="A2914" s="3" t="s">
        <v>12916</v>
      </c>
      <c r="B2914" s="4" t="str">
        <f>C2914 &amp; " -&gt; " &amp; D2914</f>
        <v>principal-knowledge-authority -&gt; Requirements.ControlAssuranceState</v>
      </c>
      <c r="C2914" s="3" t="s">
        <v>9774</v>
      </c>
      <c r="D2914" s="3" t="s">
        <v>3095</v>
      </c>
      <c r="E2914" s="3" t="b">
        <v>1</v>
      </c>
      <c r="F2914" s="3" t="b">
        <v>0</v>
      </c>
      <c r="G2914" s="3" t="s">
        <v>10003</v>
      </c>
      <c r="H2914" s="4" t="str">
        <f>_xlfn.IFNA(IF(((INDEX(RulebookFields!C2:C1898, MATCH(D2914,RulebookFields!A2:A1898, 0))="")=TRUE),  "",  INDEX(RulebookFields!C2:C1898, MATCH(D2914,RulebookFields!A2:A1898, 0))), "")</f>
        <v>Requirements</v>
      </c>
      <c r="I2914" s="4" t="str">
        <f>_xlfn.IFNA(IF(((INDEX(RulebookFields!D2:D1898, MATCH(D2914,RulebookFields!A2:A1898, 0))="")=TRUE),  "",  INDEX(RulebookFields!D2:D1898, MATCH(D2914,RulebookFields!A2:A1898, 0))), "")</f>
        <v>ControlAssuranceState</v>
      </c>
      <c r="J2914" s="4" t="b">
        <f>_xlfn.IFNA(IF(((INDEX(RulebookFields!I2:I1898, MATCH(D2914,RulebookFields!A2:A1898, 0))="")=TRUE),  "",  INDEX(RulebookFields!I2:I1898, MATCH(D2914,RulebookFields!A2:A1898, 0))), "")</f>
        <v>1</v>
      </c>
      <c r="K2914" s="4" t="b">
        <f>AND(((F2914)=TRUE), ((J2914)=TRUE))</f>
        <v>0</v>
      </c>
      <c r="L2914" s="4" t="b">
        <f>AND(((G2914 &lt;&gt; "plain")=TRUE), ((G2914 &lt;&gt; "")=TRUE))</f>
        <v>0</v>
      </c>
      <c r="M2914" s="4" t="str">
        <f>IF(((E2914)=TRUE),  C2914 &amp; "|" &amp; H2914,  "")</f>
        <v>principal-knowledge-authority|Requirements</v>
      </c>
      <c r="N2914" s="3" t="s">
        <v>10004</v>
      </c>
    </row>
    <row r="2915">
      <c r="A2915" s="3" t="s">
        <v>12917</v>
      </c>
      <c r="B2915" s="4" t="str">
        <f>C2915 &amp; " -&gt; " &amp; D2915</f>
        <v>principal-knowledge-authority -&gt; Requirements.UnexercisedBindingCount</v>
      </c>
      <c r="C2915" s="3" t="s">
        <v>9774</v>
      </c>
      <c r="D2915" s="3" t="s">
        <v>3097</v>
      </c>
      <c r="E2915" s="3" t="b">
        <v>1</v>
      </c>
      <c r="F2915" s="3" t="b">
        <v>0</v>
      </c>
      <c r="G2915" s="3" t="s">
        <v>10003</v>
      </c>
      <c r="H2915" s="4" t="str">
        <f>_xlfn.IFNA(IF(((INDEX(RulebookFields!C2:C1898, MATCH(D2915,RulebookFields!A2:A1898, 0))="")=TRUE),  "",  INDEX(RulebookFields!C2:C1898, MATCH(D2915,RulebookFields!A2:A1898, 0))), "")</f>
        <v>Requirements</v>
      </c>
      <c r="I2915" s="4" t="str">
        <f>_xlfn.IFNA(IF(((INDEX(RulebookFields!D2:D1898, MATCH(D2915,RulebookFields!A2:A1898, 0))="")=TRUE),  "",  INDEX(RulebookFields!D2:D1898, MATCH(D2915,RulebookFields!A2:A1898, 0))), "")</f>
        <v>UnexercisedBindingCount</v>
      </c>
      <c r="J2915" s="4" t="b">
        <f>_xlfn.IFNA(IF(((INDEX(RulebookFields!I2:I1898, MATCH(D2915,RulebookFields!A2:A1898, 0))="")=TRUE),  "",  INDEX(RulebookFields!I2:I1898, MATCH(D2915,RulebookFields!A2:A1898, 0))), "")</f>
        <v>1</v>
      </c>
      <c r="K2915" s="4" t="b">
        <f>AND(((F2915)=TRUE), ((J2915)=TRUE))</f>
        <v>0</v>
      </c>
      <c r="L2915" s="4" t="b">
        <f>AND(((G2915 &lt;&gt; "plain")=TRUE), ((G2915 &lt;&gt; "")=TRUE))</f>
        <v>0</v>
      </c>
      <c r="M2915" s="4" t="str">
        <f>IF(((E2915)=TRUE),  C2915 &amp; "|" &amp; H2915,  "")</f>
        <v>principal-knowledge-authority|Requirements</v>
      </c>
      <c r="N2915" s="3" t="s">
        <v>10004</v>
      </c>
    </row>
    <row r="2916">
      <c r="A2916" s="3" t="s">
        <v>12918</v>
      </c>
      <c r="B2916" s="4" t="str">
        <f>C2916 &amp; " -&gt; " &amp; D2916</f>
        <v>principal-knowledge-authority -&gt; Requirements.WitnessIsPartiallyScoped</v>
      </c>
      <c r="C2916" s="3" t="s">
        <v>9774</v>
      </c>
      <c r="D2916" s="3" t="s">
        <v>3099</v>
      </c>
      <c r="E2916" s="3" t="b">
        <v>1</v>
      </c>
      <c r="F2916" s="3" t="b">
        <v>0</v>
      </c>
      <c r="G2916" s="3" t="s">
        <v>10003</v>
      </c>
      <c r="H2916" s="4" t="str">
        <f>_xlfn.IFNA(IF(((INDEX(RulebookFields!C2:C1898, MATCH(D2916,RulebookFields!A2:A1898, 0))="")=TRUE),  "",  INDEX(RulebookFields!C2:C1898, MATCH(D2916,RulebookFields!A2:A1898, 0))), "")</f>
        <v>Requirements</v>
      </c>
      <c r="I2916" s="4" t="str">
        <f>_xlfn.IFNA(IF(((INDEX(RulebookFields!D2:D1898, MATCH(D2916,RulebookFields!A2:A1898, 0))="")=TRUE),  "",  INDEX(RulebookFields!D2:D1898, MATCH(D2916,RulebookFields!A2:A1898, 0))), "")</f>
        <v>WitnessIsPartiallyScoped</v>
      </c>
      <c r="J2916" s="4" t="b">
        <f>_xlfn.IFNA(IF(((INDEX(RulebookFields!I2:I1898, MATCH(D2916,RulebookFields!A2:A1898, 0))="")=TRUE),  "",  INDEX(RulebookFields!I2:I1898, MATCH(D2916,RulebookFields!A2:A1898, 0))), "")</f>
        <v>1</v>
      </c>
      <c r="K2916" s="4" t="b">
        <f>AND(((F2916)=TRUE), ((J2916)=TRUE))</f>
        <v>0</v>
      </c>
      <c r="L2916" s="4" t="b">
        <f>AND(((G2916 &lt;&gt; "plain")=TRUE), ((G2916 &lt;&gt; "")=TRUE))</f>
        <v>0</v>
      </c>
      <c r="M2916" s="4" t="str">
        <f>IF(((E2916)=TRUE),  C2916 &amp; "|" &amp; H2916,  "")</f>
        <v>principal-knowledge-authority|Requirements</v>
      </c>
      <c r="N2916" s="3" t="s">
        <v>10004</v>
      </c>
    </row>
    <row r="2917">
      <c r="A2917" s="3" t="s">
        <v>12919</v>
      </c>
      <c r="B2917" s="4" t="str">
        <f>C2917 &amp; " -&gt; " &amp; D2917</f>
        <v>principal-knowledge-authority -&gt; Requirements.AccountableRole</v>
      </c>
      <c r="C2917" s="3" t="s">
        <v>9774</v>
      </c>
      <c r="D2917" s="3" t="s">
        <v>3101</v>
      </c>
      <c r="E2917" s="3" t="b">
        <v>1</v>
      </c>
      <c r="F2917" s="3" t="b">
        <v>0</v>
      </c>
      <c r="G2917" s="3" t="s">
        <v>10003</v>
      </c>
      <c r="H2917" s="4" t="str">
        <f>_xlfn.IFNA(IF(((INDEX(RulebookFields!C2:C1898, MATCH(D2917,RulebookFields!A2:A1898, 0))="")=TRUE),  "",  INDEX(RulebookFields!C2:C1898, MATCH(D2917,RulebookFields!A2:A1898, 0))), "")</f>
        <v>Requirements</v>
      </c>
      <c r="I2917" s="4" t="str">
        <f>_xlfn.IFNA(IF(((INDEX(RulebookFields!D2:D1898, MATCH(D2917,RulebookFields!A2:A1898, 0))="")=TRUE),  "",  INDEX(RulebookFields!D2:D1898, MATCH(D2917,RulebookFields!A2:A1898, 0))), "")</f>
        <v>AccountableRole</v>
      </c>
      <c r="J2917" s="4" t="b">
        <f>_xlfn.IFNA(IF(((INDEX(RulebookFields!I2:I1898, MATCH(D2917,RulebookFields!A2:A1898, 0))="")=TRUE),  "",  INDEX(RulebookFields!I2:I1898, MATCH(D2917,RulebookFields!A2:A1898, 0))), "")</f>
        <v>0</v>
      </c>
      <c r="K2917" s="4" t="b">
        <f>AND(((F2917)=TRUE), ((J2917)=TRUE))</f>
        <v>0</v>
      </c>
      <c r="L2917" s="4" t="b">
        <f>AND(((G2917 &lt;&gt; "plain")=TRUE), ((G2917 &lt;&gt; "")=TRUE))</f>
        <v>0</v>
      </c>
      <c r="M2917" s="4" t="str">
        <f>IF(((E2917)=TRUE),  C2917 &amp; "|" &amp; H2917,  "")</f>
        <v>principal-knowledge-authority|Requirements</v>
      </c>
      <c r="N2917" s="3" t="s">
        <v>10004</v>
      </c>
    </row>
    <row r="2918">
      <c r="A2918" s="3" t="s">
        <v>12920</v>
      </c>
      <c r="B2918" s="4" t="str">
        <f>C2918 &amp; " -&gt; " &amp; D2918</f>
        <v>principal-knowledge-authority -&gt; Requirements.AccountableAgent</v>
      </c>
      <c r="C2918" s="3" t="s">
        <v>9774</v>
      </c>
      <c r="D2918" s="3" t="s">
        <v>3102</v>
      </c>
      <c r="E2918" s="3" t="b">
        <v>1</v>
      </c>
      <c r="F2918" s="3" t="b">
        <v>0</v>
      </c>
      <c r="G2918" s="3" t="s">
        <v>10003</v>
      </c>
      <c r="H2918" s="4" t="str">
        <f>_xlfn.IFNA(IF(((INDEX(RulebookFields!C2:C1898, MATCH(D2918,RulebookFields!A2:A1898, 0))="")=TRUE),  "",  INDEX(RulebookFields!C2:C1898, MATCH(D2918,RulebookFields!A2:A1898, 0))), "")</f>
        <v>Requirements</v>
      </c>
      <c r="I2918" s="4" t="str">
        <f>_xlfn.IFNA(IF(((INDEX(RulebookFields!D2:D1898, MATCH(D2918,RulebookFields!A2:A1898, 0))="")=TRUE),  "",  INDEX(RulebookFields!D2:D1898, MATCH(D2918,RulebookFields!A2:A1898, 0))), "")</f>
        <v>AccountableAgent</v>
      </c>
      <c r="J2918" s="4" t="b">
        <f>_xlfn.IFNA(IF(((INDEX(RulebookFields!I2:I1898, MATCH(D2918,RulebookFields!A2:A1898, 0))="")=TRUE),  "",  INDEX(RulebookFields!I2:I1898, MATCH(D2918,RulebookFields!A2:A1898, 0))), "")</f>
        <v>1</v>
      </c>
      <c r="K2918" s="4" t="b">
        <f>AND(((F2918)=TRUE), ((J2918)=TRUE))</f>
        <v>0</v>
      </c>
      <c r="L2918" s="4" t="b">
        <f>AND(((G2918 &lt;&gt; "plain")=TRUE), ((G2918 &lt;&gt; "")=TRUE))</f>
        <v>0</v>
      </c>
      <c r="M2918" s="4" t="str">
        <f>IF(((E2918)=TRUE),  C2918 &amp; "|" &amp; H2918,  "")</f>
        <v>principal-knowledge-authority|Requirements</v>
      </c>
      <c r="N2918" s="3" t="s">
        <v>10004</v>
      </c>
    </row>
    <row r="2919">
      <c r="A2919" s="3" t="s">
        <v>12921</v>
      </c>
      <c r="B2919" s="4" t="str">
        <f>C2919 &amp; " -&gt; " &amp; D2919</f>
        <v>principal-knowledge-authority -&gt; Requirements.HasNamedOwner</v>
      </c>
      <c r="C2919" s="3" t="s">
        <v>9774</v>
      </c>
      <c r="D2919" s="3" t="s">
        <v>3104</v>
      </c>
      <c r="E2919" s="3" t="b">
        <v>1</v>
      </c>
      <c r="F2919" s="3" t="b">
        <v>0</v>
      </c>
      <c r="G2919" s="3" t="s">
        <v>10003</v>
      </c>
      <c r="H2919" s="4" t="str">
        <f>_xlfn.IFNA(IF(((INDEX(RulebookFields!C2:C1898, MATCH(D2919,RulebookFields!A2:A1898, 0))="")=TRUE),  "",  INDEX(RulebookFields!C2:C1898, MATCH(D2919,RulebookFields!A2:A1898, 0))), "")</f>
        <v>Requirements</v>
      </c>
      <c r="I2919" s="4" t="str">
        <f>_xlfn.IFNA(IF(((INDEX(RulebookFields!D2:D1898, MATCH(D2919,RulebookFields!A2:A1898, 0))="")=TRUE),  "",  INDEX(RulebookFields!D2:D1898, MATCH(D2919,RulebookFields!A2:A1898, 0))), "")</f>
        <v>HasNamedOwner</v>
      </c>
      <c r="J2919" s="4" t="b">
        <f>_xlfn.IFNA(IF(((INDEX(RulebookFields!I2:I1898, MATCH(D2919,RulebookFields!A2:A1898, 0))="")=TRUE),  "",  INDEX(RulebookFields!I2:I1898, MATCH(D2919,RulebookFields!A2:A1898, 0))), "")</f>
        <v>1</v>
      </c>
      <c r="K2919" s="4" t="b">
        <f>AND(((F2919)=TRUE), ((J2919)=TRUE))</f>
        <v>0</v>
      </c>
      <c r="L2919" s="4" t="b">
        <f>AND(((G2919 &lt;&gt; "plain")=TRUE), ((G2919 &lt;&gt; "")=TRUE))</f>
        <v>0</v>
      </c>
      <c r="M2919" s="4" t="str">
        <f>IF(((E2919)=TRUE),  C2919 &amp; "|" &amp; H2919,  "")</f>
        <v>principal-knowledge-authority|Requirements</v>
      </c>
      <c r="N2919" s="3" t="s">
        <v>10004</v>
      </c>
    </row>
    <row r="2920">
      <c r="A2920" s="3" t="s">
        <v>12922</v>
      </c>
      <c r="B2920" s="4" t="str">
        <f>C2920 &amp; " -&gt; " &amp; D2920</f>
        <v>principal-knowledge-authority -&gt; Requirements.IsOrphanedBlockingControl</v>
      </c>
      <c r="C2920" s="3" t="s">
        <v>9774</v>
      </c>
      <c r="D2920" s="3" t="s">
        <v>3106</v>
      </c>
      <c r="E2920" s="3" t="b">
        <v>1</v>
      </c>
      <c r="F2920" s="3" t="b">
        <v>0</v>
      </c>
      <c r="G2920" s="3" t="s">
        <v>10003</v>
      </c>
      <c r="H2920" s="4" t="str">
        <f>_xlfn.IFNA(IF(((INDEX(RulebookFields!C2:C1898, MATCH(D2920,RulebookFields!A2:A1898, 0))="")=TRUE),  "",  INDEX(RulebookFields!C2:C1898, MATCH(D2920,RulebookFields!A2:A1898, 0))), "")</f>
        <v>Requirements</v>
      </c>
      <c r="I2920" s="4" t="str">
        <f>_xlfn.IFNA(IF(((INDEX(RulebookFields!D2:D1898, MATCH(D2920,RulebookFields!A2:A1898, 0))="")=TRUE),  "",  INDEX(RulebookFields!D2:D1898, MATCH(D2920,RulebookFields!A2:A1898, 0))), "")</f>
        <v>IsOrphanedBlockingControl</v>
      </c>
      <c r="J2920" s="4" t="b">
        <f>_xlfn.IFNA(IF(((INDEX(RulebookFields!I2:I1898, MATCH(D2920,RulebookFields!A2:A1898, 0))="")=TRUE),  "",  INDEX(RulebookFields!I2:I1898, MATCH(D2920,RulebookFields!A2:A1898, 0))), "")</f>
        <v>1</v>
      </c>
      <c r="K2920" s="4" t="b">
        <f>AND(((F2920)=TRUE), ((J2920)=TRUE))</f>
        <v>0</v>
      </c>
      <c r="L2920" s="4" t="b">
        <f>AND(((G2920 &lt;&gt; "plain")=TRUE), ((G2920 &lt;&gt; "")=TRUE))</f>
        <v>0</v>
      </c>
      <c r="M2920" s="4" t="str">
        <f>IF(((E2920)=TRUE),  C2920 &amp; "|" &amp; H2920,  "")</f>
        <v>principal-knowledge-authority|Requirements</v>
      </c>
      <c r="N2920" s="3" t="s">
        <v>10004</v>
      </c>
    </row>
    <row r="2921">
      <c r="A2921" s="3" t="s">
        <v>12923</v>
      </c>
      <c r="B2921" s="4" t="str">
        <f>C2921 &amp; " -&gt; " &amp; D2921</f>
        <v>principal-knowledge-authority -&gt; Requirements.IsUnwatchedAndUnowned</v>
      </c>
      <c r="C2921" s="3" t="s">
        <v>9774</v>
      </c>
      <c r="D2921" s="3" t="s">
        <v>3108</v>
      </c>
      <c r="E2921" s="3" t="b">
        <v>1</v>
      </c>
      <c r="F2921" s="3" t="b">
        <v>0</v>
      </c>
      <c r="G2921" s="3" t="s">
        <v>10003</v>
      </c>
      <c r="H2921" s="4" t="str">
        <f>_xlfn.IFNA(IF(((INDEX(RulebookFields!C2:C1898, MATCH(D2921,RulebookFields!A2:A1898, 0))="")=TRUE),  "",  INDEX(RulebookFields!C2:C1898, MATCH(D2921,RulebookFields!A2:A1898, 0))), "")</f>
        <v>Requirements</v>
      </c>
      <c r="I2921" s="4" t="str">
        <f>_xlfn.IFNA(IF(((INDEX(RulebookFields!D2:D1898, MATCH(D2921,RulebookFields!A2:A1898, 0))="")=TRUE),  "",  INDEX(RulebookFields!D2:D1898, MATCH(D2921,RulebookFields!A2:A1898, 0))), "")</f>
        <v>IsUnwatchedAndUnowned</v>
      </c>
      <c r="J2921" s="4" t="b">
        <f>_xlfn.IFNA(IF(((INDEX(RulebookFields!I2:I1898, MATCH(D2921,RulebookFields!A2:A1898, 0))="")=TRUE),  "",  INDEX(RulebookFields!I2:I1898, MATCH(D2921,RulebookFields!A2:A1898, 0))), "")</f>
        <v>1</v>
      </c>
      <c r="K2921" s="4" t="b">
        <f>AND(((F2921)=TRUE), ((J2921)=TRUE))</f>
        <v>0</v>
      </c>
      <c r="L2921" s="4" t="b">
        <f>AND(((G2921 &lt;&gt; "plain")=TRUE), ((G2921 &lt;&gt; "")=TRUE))</f>
        <v>0</v>
      </c>
      <c r="M2921" s="4" t="str">
        <f>IF(((E2921)=TRUE),  C2921 &amp; "|" &amp; H2921,  "")</f>
        <v>principal-knowledge-authority|Requirements</v>
      </c>
      <c r="N2921" s="3" t="s">
        <v>10004</v>
      </c>
    </row>
    <row r="2922">
      <c r="A2922" s="3" t="s">
        <v>12924</v>
      </c>
      <c r="B2922" s="4" t="str">
        <f>C2922 &amp; " -&gt; " &amp; D2922</f>
        <v>principal-knowledge-authority -&gt; Requirements.AttestationExposureNote</v>
      </c>
      <c r="C2922" s="3" t="s">
        <v>9774</v>
      </c>
      <c r="D2922" s="3" t="s">
        <v>3110</v>
      </c>
      <c r="E2922" s="3" t="b">
        <v>1</v>
      </c>
      <c r="F2922" s="3" t="b">
        <v>0</v>
      </c>
      <c r="G2922" s="3" t="s">
        <v>10003</v>
      </c>
      <c r="H2922" s="4" t="str">
        <f>_xlfn.IFNA(IF(((INDEX(RulebookFields!C2:C1898, MATCH(D2922,RulebookFields!A2:A1898, 0))="")=TRUE),  "",  INDEX(RulebookFields!C2:C1898, MATCH(D2922,RulebookFields!A2:A1898, 0))), "")</f>
        <v>Requirements</v>
      </c>
      <c r="I2922" s="4" t="str">
        <f>_xlfn.IFNA(IF(((INDEX(RulebookFields!D2:D1898, MATCH(D2922,RulebookFields!A2:A1898, 0))="")=TRUE),  "",  INDEX(RulebookFields!D2:D1898, MATCH(D2922,RulebookFields!A2:A1898, 0))), "")</f>
        <v>AttestationExposureNote</v>
      </c>
      <c r="J2922" s="4" t="b">
        <f>_xlfn.IFNA(IF(((INDEX(RulebookFields!I2:I1898, MATCH(D2922,RulebookFields!A2:A1898, 0))="")=TRUE),  "",  INDEX(RulebookFields!I2:I1898, MATCH(D2922,RulebookFields!A2:A1898, 0))), "")</f>
        <v>1</v>
      </c>
      <c r="K2922" s="4" t="b">
        <f>AND(((F2922)=TRUE), ((J2922)=TRUE))</f>
        <v>0</v>
      </c>
      <c r="L2922" s="4" t="b">
        <f>AND(((G2922 &lt;&gt; "plain")=TRUE), ((G2922 &lt;&gt; "")=TRUE))</f>
        <v>0</v>
      </c>
      <c r="M2922" s="4" t="str">
        <f>IF(((E2922)=TRUE),  C2922 &amp; "|" &amp; H2922,  "")</f>
        <v>principal-knowledge-authority|Requirements</v>
      </c>
      <c r="N2922" s="3" t="s">
        <v>10004</v>
      </c>
    </row>
    <row r="2923">
      <c r="A2923" s="3" t="s">
        <v>12925</v>
      </c>
      <c r="B2923" s="4" t="str">
        <f>C2923 &amp; " -&gt; " &amp; D2923</f>
        <v>principal-knowledge-authority -&gt; Requirements.UnwatchedUnownedFlag</v>
      </c>
      <c r="C2923" s="3" t="s">
        <v>9774</v>
      </c>
      <c r="D2923" s="3" t="s">
        <v>3112</v>
      </c>
      <c r="E2923" s="3" t="b">
        <v>1</v>
      </c>
      <c r="F2923" s="3" t="b">
        <v>0</v>
      </c>
      <c r="G2923" s="3" t="s">
        <v>10003</v>
      </c>
      <c r="H2923" s="4" t="str">
        <f>_xlfn.IFNA(IF(((INDEX(RulebookFields!C2:C1898, MATCH(D2923,RulebookFields!A2:A1898, 0))="")=TRUE),  "",  INDEX(RulebookFields!C2:C1898, MATCH(D2923,RulebookFields!A2:A1898, 0))), "")</f>
        <v>Requirements</v>
      </c>
      <c r="I2923" s="4" t="str">
        <f>_xlfn.IFNA(IF(((INDEX(RulebookFields!D2:D1898, MATCH(D2923,RulebookFields!A2:A1898, 0))="")=TRUE),  "",  INDEX(RulebookFields!D2:D1898, MATCH(D2923,RulebookFields!A2:A1898, 0))), "")</f>
        <v>UnwatchedUnownedFlag</v>
      </c>
      <c r="J2923" s="4" t="b">
        <f>_xlfn.IFNA(IF(((INDEX(RulebookFields!I2:I1898, MATCH(D2923,RulebookFields!A2:A1898, 0))="")=TRUE),  "",  INDEX(RulebookFields!I2:I1898, MATCH(D2923,RulebookFields!A2:A1898, 0))), "")</f>
        <v>1</v>
      </c>
      <c r="K2923" s="4" t="b">
        <f>AND(((F2923)=TRUE), ((J2923)=TRUE))</f>
        <v>0</v>
      </c>
      <c r="L2923" s="4" t="b">
        <f>AND(((G2923 &lt;&gt; "plain")=TRUE), ((G2923 &lt;&gt; "")=TRUE))</f>
        <v>0</v>
      </c>
      <c r="M2923" s="4" t="str">
        <f>IF(((E2923)=TRUE),  C2923 &amp; "|" &amp; H2923,  "")</f>
        <v>principal-knowledge-authority|Requirements</v>
      </c>
      <c r="N2923" s="3" t="s">
        <v>10004</v>
      </c>
    </row>
    <row r="2924">
      <c r="A2924" s="3" t="s">
        <v>12926</v>
      </c>
      <c r="B2924" s="4" t="str">
        <f>C2924 &amp; " -&gt; " &amp; D2924</f>
        <v>principal-knowledge-authority -&gt; Requirements.SemanticTypeIri</v>
      </c>
      <c r="C2924" s="3" t="s">
        <v>9774</v>
      </c>
      <c r="D2924" s="3" t="s">
        <v>3117</v>
      </c>
      <c r="E2924" s="3" t="b">
        <v>1</v>
      </c>
      <c r="F2924" s="3" t="b">
        <v>0</v>
      </c>
      <c r="G2924" s="3" t="s">
        <v>10003</v>
      </c>
      <c r="H2924" s="4" t="str">
        <f>_xlfn.IFNA(IF(((INDEX(RulebookFields!C2:C1898, MATCH(D2924,RulebookFields!A2:A1898, 0))="")=TRUE),  "",  INDEX(RulebookFields!C2:C1898, MATCH(D2924,RulebookFields!A2:A1898, 0))), "")</f>
        <v>Requirements</v>
      </c>
      <c r="I2924" s="4" t="str">
        <f>_xlfn.IFNA(IF(((INDEX(RulebookFields!D2:D1898, MATCH(D2924,RulebookFields!A2:A1898, 0))="")=TRUE),  "",  INDEX(RulebookFields!D2:D1898, MATCH(D2924,RulebookFields!A2:A1898, 0))), "")</f>
        <v>SemanticTypeIri</v>
      </c>
      <c r="J2924" s="4" t="b">
        <f>_xlfn.IFNA(IF(((INDEX(RulebookFields!I2:I1898, MATCH(D2924,RulebookFields!A2:A1898, 0))="")=TRUE),  "",  INDEX(RulebookFields!I2:I1898, MATCH(D2924,RulebookFields!A2:A1898, 0))), "")</f>
        <v>0</v>
      </c>
      <c r="K2924" s="4" t="b">
        <f>AND(((F2924)=TRUE), ((J2924)=TRUE))</f>
        <v>0</v>
      </c>
      <c r="L2924" s="4" t="b">
        <f>AND(((G2924 &lt;&gt; "plain")=TRUE), ((G2924 &lt;&gt; "")=TRUE))</f>
        <v>0</v>
      </c>
      <c r="M2924" s="4" t="str">
        <f>IF(((E2924)=TRUE),  C2924 &amp; "|" &amp; H2924,  "")</f>
        <v>principal-knowledge-authority|Requirements</v>
      </c>
      <c r="N2924" s="3" t="s">
        <v>10004</v>
      </c>
    </row>
    <row r="2925">
      <c r="A2925" s="3" t="s">
        <v>12927</v>
      </c>
      <c r="B2925" s="4" t="str">
        <f>C2925 &amp; " -&gt; " &amp; D2925</f>
        <v>principal-knowledge-authority -&gt; Resources.ResourceId</v>
      </c>
      <c r="C2925" s="3" t="s">
        <v>9774</v>
      </c>
      <c r="D2925" s="3" t="s">
        <v>3174</v>
      </c>
      <c r="E2925" s="3" t="b">
        <v>1</v>
      </c>
      <c r="F2925" s="3" t="b">
        <v>0</v>
      </c>
      <c r="G2925" s="3" t="s">
        <v>10003</v>
      </c>
      <c r="H2925" s="4" t="str">
        <f>_xlfn.IFNA(IF(((INDEX(RulebookFields!C2:C1898, MATCH(D2925,RulebookFields!A2:A1898, 0))="")=TRUE),  "",  INDEX(RulebookFields!C2:C1898, MATCH(D2925,RulebookFields!A2:A1898, 0))), "")</f>
        <v>Resources</v>
      </c>
      <c r="I2925" s="4" t="str">
        <f>_xlfn.IFNA(IF(((INDEX(RulebookFields!D2:D1898, MATCH(D2925,RulebookFields!A2:A1898, 0))="")=TRUE),  "",  INDEX(RulebookFields!D2:D1898, MATCH(D2925,RulebookFields!A2:A1898, 0))), "")</f>
        <v>ResourceId</v>
      </c>
      <c r="J2925" s="4" t="b">
        <f>_xlfn.IFNA(IF(((INDEX(RulebookFields!I2:I1898, MATCH(D2925,RulebookFields!A2:A1898, 0))="")=TRUE),  "",  INDEX(RulebookFields!I2:I1898, MATCH(D2925,RulebookFields!A2:A1898, 0))), "")</f>
        <v>0</v>
      </c>
      <c r="K2925" s="4" t="b">
        <f>AND(((F2925)=TRUE), ((J2925)=TRUE))</f>
        <v>0</v>
      </c>
      <c r="L2925" s="4" t="b">
        <f>AND(((G2925 &lt;&gt; "plain")=TRUE), ((G2925 &lt;&gt; "")=TRUE))</f>
        <v>0</v>
      </c>
      <c r="M2925" s="4" t="str">
        <f>IF(((E2925)=TRUE),  C2925 &amp; "|" &amp; H2925,  "")</f>
        <v>principal-knowledge-authority|Resources</v>
      </c>
      <c r="N2925" s="3" t="s">
        <v>10004</v>
      </c>
    </row>
    <row r="2926">
      <c r="A2926" s="3" t="s">
        <v>12928</v>
      </c>
      <c r="B2926" s="4" t="str">
        <f>C2926 &amp; " -&gt; " &amp; D2926</f>
        <v>principal-knowledge-authority -&gt; Resources.Name</v>
      </c>
      <c r="C2926" s="3" t="s">
        <v>9774</v>
      </c>
      <c r="D2926" s="3" t="s">
        <v>3175</v>
      </c>
      <c r="E2926" s="3" t="b">
        <v>1</v>
      </c>
      <c r="F2926" s="3" t="b">
        <v>0</v>
      </c>
      <c r="G2926" s="3" t="s">
        <v>10003</v>
      </c>
      <c r="H2926" s="4" t="str">
        <f>_xlfn.IFNA(IF(((INDEX(RulebookFields!C2:C1898, MATCH(D2926,RulebookFields!A2:A1898, 0))="")=TRUE),  "",  INDEX(RulebookFields!C2:C1898, MATCH(D2926,RulebookFields!A2:A1898, 0))), "")</f>
        <v>Resources</v>
      </c>
      <c r="I2926" s="4" t="str">
        <f>_xlfn.IFNA(IF(((INDEX(RulebookFields!D2:D1898, MATCH(D2926,RulebookFields!A2:A1898, 0))="")=TRUE),  "",  INDEX(RulebookFields!D2:D1898, MATCH(D2926,RulebookFields!A2:A1898, 0))), "")</f>
        <v>Name</v>
      </c>
      <c r="J2926" s="4" t="b">
        <f>_xlfn.IFNA(IF(((INDEX(RulebookFields!I2:I1898, MATCH(D2926,RulebookFields!A2:A1898, 0))="")=TRUE),  "",  INDEX(RulebookFields!I2:I1898, MATCH(D2926,RulebookFields!A2:A1898, 0))), "")</f>
        <v>1</v>
      </c>
      <c r="K2926" s="4" t="b">
        <f>AND(((F2926)=TRUE), ((J2926)=TRUE))</f>
        <v>0</v>
      </c>
      <c r="L2926" s="4" t="b">
        <f>AND(((G2926 &lt;&gt; "plain")=TRUE), ((G2926 &lt;&gt; "")=TRUE))</f>
        <v>0</v>
      </c>
      <c r="M2926" s="4" t="str">
        <f>IF(((E2926)=TRUE),  C2926 &amp; "|" &amp; H2926,  "")</f>
        <v>principal-knowledge-authority|Resources</v>
      </c>
      <c r="N2926" s="3" t="s">
        <v>10004</v>
      </c>
    </row>
    <row r="2927">
      <c r="A2927" s="3" t="s">
        <v>12929</v>
      </c>
      <c r="B2927" s="4" t="str">
        <f>C2927 &amp; " -&gt; " &amp; D2927</f>
        <v>principal-knowledge-authority -&gt; Resources.Title</v>
      </c>
      <c r="C2927" s="3" t="s">
        <v>9774</v>
      </c>
      <c r="D2927" s="3" t="s">
        <v>3176</v>
      </c>
      <c r="E2927" s="3" t="b">
        <v>1</v>
      </c>
      <c r="F2927" s="3" t="b">
        <v>0</v>
      </c>
      <c r="G2927" s="3" t="s">
        <v>10003</v>
      </c>
      <c r="H2927" s="4" t="str">
        <f>_xlfn.IFNA(IF(((INDEX(RulebookFields!C2:C1898, MATCH(D2927,RulebookFields!A2:A1898, 0))="")=TRUE),  "",  INDEX(RulebookFields!C2:C1898, MATCH(D2927,RulebookFields!A2:A1898, 0))), "")</f>
        <v>Resources</v>
      </c>
      <c r="I2927" s="4" t="str">
        <f>_xlfn.IFNA(IF(((INDEX(RulebookFields!D2:D1898, MATCH(D2927,RulebookFields!A2:A1898, 0))="")=TRUE),  "",  INDEX(RulebookFields!D2:D1898, MATCH(D2927,RulebookFields!A2:A1898, 0))), "")</f>
        <v>Title</v>
      </c>
      <c r="J2927" s="4" t="b">
        <f>_xlfn.IFNA(IF(((INDEX(RulebookFields!I2:I1898, MATCH(D2927,RulebookFields!A2:A1898, 0))="")=TRUE),  "",  INDEX(RulebookFields!I2:I1898, MATCH(D2927,RulebookFields!A2:A1898, 0))), "")</f>
        <v>0</v>
      </c>
      <c r="K2927" s="4" t="b">
        <f>AND(((F2927)=TRUE), ((J2927)=TRUE))</f>
        <v>0</v>
      </c>
      <c r="L2927" s="4" t="b">
        <f>AND(((G2927 &lt;&gt; "plain")=TRUE), ((G2927 &lt;&gt; "")=TRUE))</f>
        <v>0</v>
      </c>
      <c r="M2927" s="4" t="str">
        <f>IF(((E2927)=TRUE),  C2927 &amp; "|" &amp; H2927,  "")</f>
        <v>principal-knowledge-authority|Resources</v>
      </c>
      <c r="N2927" s="3" t="s">
        <v>10004</v>
      </c>
    </row>
    <row r="2928">
      <c r="A2928" s="3" t="s">
        <v>12930</v>
      </c>
      <c r="B2928" s="4" t="str">
        <f>C2928 &amp; " -&gt; " &amp; D2928</f>
        <v>principal-knowledge-authority -&gt; Resources.ResourceKind</v>
      </c>
      <c r="C2928" s="3" t="s">
        <v>9774</v>
      </c>
      <c r="D2928" s="3" t="s">
        <v>3177</v>
      </c>
      <c r="E2928" s="3" t="b">
        <v>1</v>
      </c>
      <c r="F2928" s="3" t="b">
        <v>0</v>
      </c>
      <c r="G2928" s="3" t="s">
        <v>10003</v>
      </c>
      <c r="H2928" s="4" t="str">
        <f>_xlfn.IFNA(IF(((INDEX(RulebookFields!C2:C1898, MATCH(D2928,RulebookFields!A2:A1898, 0))="")=TRUE),  "",  INDEX(RulebookFields!C2:C1898, MATCH(D2928,RulebookFields!A2:A1898, 0))), "")</f>
        <v>Resources</v>
      </c>
      <c r="I2928" s="4" t="str">
        <f>_xlfn.IFNA(IF(((INDEX(RulebookFields!D2:D1898, MATCH(D2928,RulebookFields!A2:A1898, 0))="")=TRUE),  "",  INDEX(RulebookFields!D2:D1898, MATCH(D2928,RulebookFields!A2:A1898, 0))), "")</f>
        <v>ResourceKind</v>
      </c>
      <c r="J2928" s="4" t="b">
        <f>_xlfn.IFNA(IF(((INDEX(RulebookFields!I2:I1898, MATCH(D2928,RulebookFields!A2:A1898, 0))="")=TRUE),  "",  INDEX(RulebookFields!I2:I1898, MATCH(D2928,RulebookFields!A2:A1898, 0))), "")</f>
        <v>0</v>
      </c>
      <c r="K2928" s="4" t="b">
        <f>AND(((F2928)=TRUE), ((J2928)=TRUE))</f>
        <v>0</v>
      </c>
      <c r="L2928" s="4" t="b">
        <f>AND(((G2928 &lt;&gt; "plain")=TRUE), ((G2928 &lt;&gt; "")=TRUE))</f>
        <v>0</v>
      </c>
      <c r="M2928" s="4" t="str">
        <f>IF(((E2928)=TRUE),  C2928 &amp; "|" &amp; H2928,  "")</f>
        <v>principal-knowledge-authority|Resources</v>
      </c>
      <c r="N2928" s="3" t="s">
        <v>10004</v>
      </c>
    </row>
    <row r="2929">
      <c r="A2929" s="3" t="s">
        <v>12931</v>
      </c>
      <c r="B2929" s="4" t="str">
        <f>C2929 &amp; " -&gt; " &amp; D2929</f>
        <v>principal-knowledge-authority -&gt; Resources.ExternalUri</v>
      </c>
      <c r="C2929" s="3" t="s">
        <v>9774</v>
      </c>
      <c r="D2929" s="3" t="s">
        <v>3178</v>
      </c>
      <c r="E2929" s="3" t="b">
        <v>1</v>
      </c>
      <c r="F2929" s="3" t="b">
        <v>0</v>
      </c>
      <c r="G2929" s="3" t="s">
        <v>10003</v>
      </c>
      <c r="H2929" s="4" t="str">
        <f>_xlfn.IFNA(IF(((INDEX(RulebookFields!C2:C1898, MATCH(D2929,RulebookFields!A2:A1898, 0))="")=TRUE),  "",  INDEX(RulebookFields!C2:C1898, MATCH(D2929,RulebookFields!A2:A1898, 0))), "")</f>
        <v>Resources</v>
      </c>
      <c r="I2929" s="4" t="str">
        <f>_xlfn.IFNA(IF(((INDEX(RulebookFields!D2:D1898, MATCH(D2929,RulebookFields!A2:A1898, 0))="")=TRUE),  "",  INDEX(RulebookFields!D2:D1898, MATCH(D2929,RulebookFields!A2:A1898, 0))), "")</f>
        <v>ExternalUri</v>
      </c>
      <c r="J2929" s="4" t="b">
        <f>_xlfn.IFNA(IF(((INDEX(RulebookFields!I2:I1898, MATCH(D2929,RulebookFields!A2:A1898, 0))="")=TRUE),  "",  INDEX(RulebookFields!I2:I1898, MATCH(D2929,RulebookFields!A2:A1898, 0))), "")</f>
        <v>0</v>
      </c>
      <c r="K2929" s="4" t="b">
        <f>AND(((F2929)=TRUE), ((J2929)=TRUE))</f>
        <v>0</v>
      </c>
      <c r="L2929" s="4" t="b">
        <f>AND(((G2929 &lt;&gt; "plain")=TRUE), ((G2929 &lt;&gt; "")=TRUE))</f>
        <v>0</v>
      </c>
      <c r="M2929" s="4" t="str">
        <f>IF(((E2929)=TRUE),  C2929 &amp; "|" &amp; H2929,  "")</f>
        <v>principal-knowledge-authority|Resources</v>
      </c>
      <c r="N2929" s="3" t="s">
        <v>10004</v>
      </c>
    </row>
    <row r="2930">
      <c r="A2930" s="3" t="s">
        <v>12932</v>
      </c>
      <c r="B2930" s="4" t="str">
        <f>C2930 &amp; " -&gt; " &amp; D2930</f>
        <v>principal-knowledge-authority -&gt; Resources.CreatedAt</v>
      </c>
      <c r="C2930" s="3" t="s">
        <v>9774</v>
      </c>
      <c r="D2930" s="3" t="s">
        <v>3179</v>
      </c>
      <c r="E2930" s="3" t="b">
        <v>1</v>
      </c>
      <c r="F2930" s="3" t="b">
        <v>0</v>
      </c>
      <c r="G2930" s="3" t="s">
        <v>10003</v>
      </c>
      <c r="H2930" s="4" t="str">
        <f>_xlfn.IFNA(IF(((INDEX(RulebookFields!C2:C1898, MATCH(D2930,RulebookFields!A2:A1898, 0))="")=TRUE),  "",  INDEX(RulebookFields!C2:C1898, MATCH(D2930,RulebookFields!A2:A1898, 0))), "")</f>
        <v>Resources</v>
      </c>
      <c r="I2930" s="4" t="str">
        <f>_xlfn.IFNA(IF(((INDEX(RulebookFields!D2:D1898, MATCH(D2930,RulebookFields!A2:A1898, 0))="")=TRUE),  "",  INDEX(RulebookFields!D2:D1898, MATCH(D2930,RulebookFields!A2:A1898, 0))), "")</f>
        <v>CreatedAt</v>
      </c>
      <c r="J2930" s="4" t="b">
        <f>_xlfn.IFNA(IF(((INDEX(RulebookFields!I2:I1898, MATCH(D2930,RulebookFields!A2:A1898, 0))="")=TRUE),  "",  INDEX(RulebookFields!I2:I1898, MATCH(D2930,RulebookFields!A2:A1898, 0))), "")</f>
        <v>0</v>
      </c>
      <c r="K2930" s="4" t="b">
        <f>AND(((F2930)=TRUE), ((J2930)=TRUE))</f>
        <v>0</v>
      </c>
      <c r="L2930" s="4" t="b">
        <f>AND(((G2930 &lt;&gt; "plain")=TRUE), ((G2930 &lt;&gt; "")=TRUE))</f>
        <v>0</v>
      </c>
      <c r="M2930" s="4" t="str">
        <f>IF(((E2930)=TRUE),  C2930 &amp; "|" &amp; H2930,  "")</f>
        <v>principal-knowledge-authority|Resources</v>
      </c>
      <c r="N2930" s="3" t="s">
        <v>10004</v>
      </c>
    </row>
    <row r="2931">
      <c r="A2931" s="3" t="s">
        <v>12933</v>
      </c>
      <c r="B2931" s="4" t="str">
        <f>C2931 &amp; " -&gt; " &amp; D2931</f>
        <v>principal-knowledge-authority -&gt; Resources.ModifiedAt</v>
      </c>
      <c r="C2931" s="3" t="s">
        <v>9774</v>
      </c>
      <c r="D2931" s="3" t="s">
        <v>3180</v>
      </c>
      <c r="E2931" s="3" t="b">
        <v>1</v>
      </c>
      <c r="F2931" s="3" t="b">
        <v>0</v>
      </c>
      <c r="G2931" s="3" t="s">
        <v>10003</v>
      </c>
      <c r="H2931" s="4" t="str">
        <f>_xlfn.IFNA(IF(((INDEX(RulebookFields!C2:C1898, MATCH(D2931,RulebookFields!A2:A1898, 0))="")=TRUE),  "",  INDEX(RulebookFields!C2:C1898, MATCH(D2931,RulebookFields!A2:A1898, 0))), "")</f>
        <v>Resources</v>
      </c>
      <c r="I2931" s="4" t="str">
        <f>_xlfn.IFNA(IF(((INDEX(RulebookFields!D2:D1898, MATCH(D2931,RulebookFields!A2:A1898, 0))="")=TRUE),  "",  INDEX(RulebookFields!D2:D1898, MATCH(D2931,RulebookFields!A2:A1898, 0))), "")</f>
        <v>ModifiedAt</v>
      </c>
      <c r="J2931" s="4" t="b">
        <f>_xlfn.IFNA(IF(((INDEX(RulebookFields!I2:I1898, MATCH(D2931,RulebookFields!A2:A1898, 0))="")=TRUE),  "",  INDEX(RulebookFields!I2:I1898, MATCH(D2931,RulebookFields!A2:A1898, 0))), "")</f>
        <v>0</v>
      </c>
      <c r="K2931" s="4" t="b">
        <f>AND(((F2931)=TRUE), ((J2931)=TRUE))</f>
        <v>0</v>
      </c>
      <c r="L2931" s="4" t="b">
        <f>AND(((G2931 &lt;&gt; "plain")=TRUE), ((G2931 &lt;&gt; "")=TRUE))</f>
        <v>0</v>
      </c>
      <c r="M2931" s="4" t="str">
        <f>IF(((E2931)=TRUE),  C2931 &amp; "|" &amp; H2931,  "")</f>
        <v>principal-knowledge-authority|Resources</v>
      </c>
      <c r="N2931" s="3" t="s">
        <v>10004</v>
      </c>
    </row>
    <row r="2932">
      <c r="A2932" s="3" t="s">
        <v>12934</v>
      </c>
      <c r="B2932" s="4" t="str">
        <f>C2932 &amp; " -&gt; " &amp; D2932</f>
        <v>principal-knowledge-authority -&gt; Resources.Description</v>
      </c>
      <c r="C2932" s="3" t="s">
        <v>9774</v>
      </c>
      <c r="D2932" s="3" t="s">
        <v>3181</v>
      </c>
      <c r="E2932" s="3" t="b">
        <v>1</v>
      </c>
      <c r="F2932" s="3" t="b">
        <v>0</v>
      </c>
      <c r="G2932" s="3" t="s">
        <v>10003</v>
      </c>
      <c r="H2932" s="4" t="str">
        <f>_xlfn.IFNA(IF(((INDEX(RulebookFields!C2:C1898, MATCH(D2932,RulebookFields!A2:A1898, 0))="")=TRUE),  "",  INDEX(RulebookFields!C2:C1898, MATCH(D2932,RulebookFields!A2:A1898, 0))), "")</f>
        <v>Resources</v>
      </c>
      <c r="I2932" s="4" t="str">
        <f>_xlfn.IFNA(IF(((INDEX(RulebookFields!D2:D1898, MATCH(D2932,RulebookFields!A2:A1898, 0))="")=TRUE),  "",  INDEX(RulebookFields!D2:D1898, MATCH(D2932,RulebookFields!A2:A1898, 0))), "")</f>
        <v>Description</v>
      </c>
      <c r="J2932" s="4" t="b">
        <f>_xlfn.IFNA(IF(((INDEX(RulebookFields!I2:I1898, MATCH(D2932,RulebookFields!A2:A1898, 0))="")=TRUE),  "",  INDEX(RulebookFields!I2:I1898, MATCH(D2932,RulebookFields!A2:A1898, 0))), "")</f>
        <v>0</v>
      </c>
      <c r="K2932" s="4" t="b">
        <f>AND(((F2932)=TRUE), ((J2932)=TRUE))</f>
        <v>0</v>
      </c>
      <c r="L2932" s="4" t="b">
        <f>AND(((G2932 &lt;&gt; "plain")=TRUE), ((G2932 &lt;&gt; "")=TRUE))</f>
        <v>0</v>
      </c>
      <c r="M2932" s="4" t="str">
        <f>IF(((E2932)=TRUE),  C2932 &amp; "|" &amp; H2932,  "")</f>
        <v>principal-knowledge-authority|Resources</v>
      </c>
      <c r="N2932" s="3" t="s">
        <v>10004</v>
      </c>
    </row>
    <row r="2933">
      <c r="A2933" s="3" t="s">
        <v>12935</v>
      </c>
      <c r="B2933" s="4" t="str">
        <f>C2933 &amp; " -&gt; " &amp; D2933</f>
        <v>principal-knowledge-authority -&gt; Resources.ApprovalStatus</v>
      </c>
      <c r="C2933" s="3" t="s">
        <v>9774</v>
      </c>
      <c r="D2933" s="3" t="s">
        <v>3182</v>
      </c>
      <c r="E2933" s="3" t="b">
        <v>1</v>
      </c>
      <c r="F2933" s="3" t="b">
        <v>0</v>
      </c>
      <c r="G2933" s="3" t="s">
        <v>10003</v>
      </c>
      <c r="H2933" s="4" t="str">
        <f>_xlfn.IFNA(IF(((INDEX(RulebookFields!C2:C1898, MATCH(D2933,RulebookFields!A2:A1898, 0))="")=TRUE),  "",  INDEX(RulebookFields!C2:C1898, MATCH(D2933,RulebookFields!A2:A1898, 0))), "")</f>
        <v>Resources</v>
      </c>
      <c r="I2933" s="4" t="str">
        <f>_xlfn.IFNA(IF(((INDEX(RulebookFields!D2:D1898, MATCH(D2933,RulebookFields!A2:A1898, 0))="")=TRUE),  "",  INDEX(RulebookFields!D2:D1898, MATCH(D2933,RulebookFields!A2:A1898, 0))), "")</f>
        <v>ApprovalStatus</v>
      </c>
      <c r="J2933" s="4" t="b">
        <f>_xlfn.IFNA(IF(((INDEX(RulebookFields!I2:I1898, MATCH(D2933,RulebookFields!A2:A1898, 0))="")=TRUE),  "",  INDEX(RulebookFields!I2:I1898, MATCH(D2933,RulebookFields!A2:A1898, 0))), "")</f>
        <v>0</v>
      </c>
      <c r="K2933" s="4" t="b">
        <f>AND(((F2933)=TRUE), ((J2933)=TRUE))</f>
        <v>0</v>
      </c>
      <c r="L2933" s="4" t="b">
        <f>AND(((G2933 &lt;&gt; "plain")=TRUE), ((G2933 &lt;&gt; "")=TRUE))</f>
        <v>0</v>
      </c>
      <c r="M2933" s="4" t="str">
        <f>IF(((E2933)=TRUE),  C2933 &amp; "|" &amp; H2933,  "")</f>
        <v>principal-knowledge-authority|Resources</v>
      </c>
      <c r="N2933" s="3" t="s">
        <v>10004</v>
      </c>
    </row>
    <row r="2934">
      <c r="A2934" s="3" t="s">
        <v>12936</v>
      </c>
      <c r="B2934" s="4" t="str">
        <f>C2934 &amp; " -&gt; " &amp; D2934</f>
        <v>principal-knowledge-authority -&gt; Resources.IsApprovedSource</v>
      </c>
      <c r="C2934" s="3" t="s">
        <v>9774</v>
      </c>
      <c r="D2934" s="3" t="s">
        <v>3183</v>
      </c>
      <c r="E2934" s="3" t="b">
        <v>1</v>
      </c>
      <c r="F2934" s="3" t="b">
        <v>0</v>
      </c>
      <c r="G2934" s="3" t="s">
        <v>10003</v>
      </c>
      <c r="H2934" s="4" t="str">
        <f>_xlfn.IFNA(IF(((INDEX(RulebookFields!C2:C1898, MATCH(D2934,RulebookFields!A2:A1898, 0))="")=TRUE),  "",  INDEX(RulebookFields!C2:C1898, MATCH(D2934,RulebookFields!A2:A1898, 0))), "")</f>
        <v>Resources</v>
      </c>
      <c r="I2934" s="4" t="str">
        <f>_xlfn.IFNA(IF(((INDEX(RulebookFields!D2:D1898, MATCH(D2934,RulebookFields!A2:A1898, 0))="")=TRUE),  "",  INDEX(RulebookFields!D2:D1898, MATCH(D2934,RulebookFields!A2:A1898, 0))), "")</f>
        <v>IsApprovedSource</v>
      </c>
      <c r="J2934" s="4" t="b">
        <f>_xlfn.IFNA(IF(((INDEX(RulebookFields!I2:I1898, MATCH(D2934,RulebookFields!A2:A1898, 0))="")=TRUE),  "",  INDEX(RulebookFields!I2:I1898, MATCH(D2934,RulebookFields!A2:A1898, 0))), "")</f>
        <v>1</v>
      </c>
      <c r="K2934" s="4" t="b">
        <f>AND(((F2934)=TRUE), ((J2934)=TRUE))</f>
        <v>0</v>
      </c>
      <c r="L2934" s="4" t="b">
        <f>AND(((G2934 &lt;&gt; "plain")=TRUE), ((G2934 &lt;&gt; "")=TRUE))</f>
        <v>0</v>
      </c>
      <c r="M2934" s="4" t="str">
        <f>IF(((E2934)=TRUE),  C2934 &amp; "|" &amp; H2934,  "")</f>
        <v>principal-knowledge-authority|Resources</v>
      </c>
      <c r="N2934" s="3" t="s">
        <v>10004</v>
      </c>
    </row>
    <row r="2935">
      <c r="A2935" s="3" t="s">
        <v>12937</v>
      </c>
      <c r="B2935" s="4" t="str">
        <f>C2935 &amp; " -&gt; " &amp; D2935</f>
        <v>principal-knowledge-authority -&gt; Resources.SemanticTypeIri</v>
      </c>
      <c r="C2935" s="3" t="s">
        <v>9774</v>
      </c>
      <c r="D2935" s="3" t="s">
        <v>3185</v>
      </c>
      <c r="E2935" s="3" t="b">
        <v>1</v>
      </c>
      <c r="F2935" s="3" t="b">
        <v>0</v>
      </c>
      <c r="G2935" s="3" t="s">
        <v>10003</v>
      </c>
      <c r="H2935" s="4" t="str">
        <f>_xlfn.IFNA(IF(((INDEX(RulebookFields!C2:C1898, MATCH(D2935,RulebookFields!A2:A1898, 0))="")=TRUE),  "",  INDEX(RulebookFields!C2:C1898, MATCH(D2935,RulebookFields!A2:A1898, 0))), "")</f>
        <v>Resources</v>
      </c>
      <c r="I2935" s="4" t="str">
        <f>_xlfn.IFNA(IF(((INDEX(RulebookFields!D2:D1898, MATCH(D2935,RulebookFields!A2:A1898, 0))="")=TRUE),  "",  INDEX(RulebookFields!D2:D1898, MATCH(D2935,RulebookFields!A2:A1898, 0))), "")</f>
        <v>SemanticTypeIri</v>
      </c>
      <c r="J2935" s="4" t="b">
        <f>_xlfn.IFNA(IF(((INDEX(RulebookFields!I2:I1898, MATCH(D2935,RulebookFields!A2:A1898, 0))="")=TRUE),  "",  INDEX(RulebookFields!I2:I1898, MATCH(D2935,RulebookFields!A2:A1898, 0))), "")</f>
        <v>0</v>
      </c>
      <c r="K2935" s="4" t="b">
        <f>AND(((F2935)=TRUE), ((J2935)=TRUE))</f>
        <v>0</v>
      </c>
      <c r="L2935" s="4" t="b">
        <f>AND(((G2935 &lt;&gt; "plain")=TRUE), ((G2935 &lt;&gt; "")=TRUE))</f>
        <v>0</v>
      </c>
      <c r="M2935" s="4" t="str">
        <f>IF(((E2935)=TRUE),  C2935 &amp; "|" &amp; H2935,  "")</f>
        <v>principal-knowledge-authority|Resources</v>
      </c>
      <c r="N2935" s="3" t="s">
        <v>10004</v>
      </c>
    </row>
    <row r="2936">
      <c r="A2936" s="3" t="s">
        <v>12938</v>
      </c>
      <c r="B2936" s="4" t="str">
        <f>C2936 &amp; " -&gt; " &amp; D2936</f>
        <v>principal-knowledge-authority -&gt; ReviewEvents.ReviewEventId</v>
      </c>
      <c r="C2936" s="3" t="s">
        <v>9774</v>
      </c>
      <c r="D2936" s="3" t="s">
        <v>3987</v>
      </c>
      <c r="E2936" s="3" t="b">
        <v>1</v>
      </c>
      <c r="F2936" s="3" t="b">
        <v>0</v>
      </c>
      <c r="G2936" s="3" t="s">
        <v>10003</v>
      </c>
      <c r="H2936" s="4" t="str">
        <f>_xlfn.IFNA(IF(((INDEX(RulebookFields!C2:C1898, MATCH(D2936,RulebookFields!A2:A1898, 0))="")=TRUE),  "",  INDEX(RulebookFields!C2:C1898, MATCH(D2936,RulebookFields!A2:A1898, 0))), "")</f>
        <v>ReviewEvents</v>
      </c>
      <c r="I2936" s="4" t="str">
        <f>_xlfn.IFNA(IF(((INDEX(RulebookFields!D2:D1898, MATCH(D2936,RulebookFields!A2:A1898, 0))="")=TRUE),  "",  INDEX(RulebookFields!D2:D1898, MATCH(D2936,RulebookFields!A2:A1898, 0))), "")</f>
        <v>ReviewEventId</v>
      </c>
      <c r="J2936" s="4" t="b">
        <f>_xlfn.IFNA(IF(((INDEX(RulebookFields!I2:I1898, MATCH(D2936,RulebookFields!A2:A1898, 0))="")=TRUE),  "",  INDEX(RulebookFields!I2:I1898, MATCH(D2936,RulebookFields!A2:A1898, 0))), "")</f>
        <v>0</v>
      </c>
      <c r="K2936" s="4" t="b">
        <f>AND(((F2936)=TRUE), ((J2936)=TRUE))</f>
        <v>0</v>
      </c>
      <c r="L2936" s="4" t="b">
        <f>AND(((G2936 &lt;&gt; "plain")=TRUE), ((G2936 &lt;&gt; "")=TRUE))</f>
        <v>0</v>
      </c>
      <c r="M2936" s="4" t="str">
        <f>IF(((E2936)=TRUE),  C2936 &amp; "|" &amp; H2936,  "")</f>
        <v>principal-knowledge-authority|ReviewEvents</v>
      </c>
      <c r="N2936" s="3" t="s">
        <v>10004</v>
      </c>
    </row>
    <row r="2937">
      <c r="A2937" s="3" t="s">
        <v>12939</v>
      </c>
      <c r="B2937" s="4" t="str">
        <f>C2937 &amp; " -&gt; " &amp; D2937</f>
        <v>principal-knowledge-authority -&gt; ReviewEvents.Name</v>
      </c>
      <c r="C2937" s="3" t="s">
        <v>9774</v>
      </c>
      <c r="D2937" s="3" t="s">
        <v>3989</v>
      </c>
      <c r="E2937" s="3" t="b">
        <v>1</v>
      </c>
      <c r="F2937" s="3" t="b">
        <v>0</v>
      </c>
      <c r="G2937" s="3" t="s">
        <v>10003</v>
      </c>
      <c r="H2937" s="4" t="str">
        <f>_xlfn.IFNA(IF(((INDEX(RulebookFields!C2:C1898, MATCH(D2937,RulebookFields!A2:A1898, 0))="")=TRUE),  "",  INDEX(RulebookFields!C2:C1898, MATCH(D2937,RulebookFields!A2:A1898, 0))), "")</f>
        <v>ReviewEvents</v>
      </c>
      <c r="I2937" s="4" t="str">
        <f>_xlfn.IFNA(IF(((INDEX(RulebookFields!D2:D1898, MATCH(D2937,RulebookFields!A2:A1898, 0))="")=TRUE),  "",  INDEX(RulebookFields!D2:D1898, MATCH(D2937,RulebookFields!A2:A1898, 0))), "")</f>
        <v>Name</v>
      </c>
      <c r="J2937" s="4" t="b">
        <f>_xlfn.IFNA(IF(((INDEX(RulebookFields!I2:I1898, MATCH(D2937,RulebookFields!A2:A1898, 0))="")=TRUE),  "",  INDEX(RulebookFields!I2:I1898, MATCH(D2937,RulebookFields!A2:A1898, 0))), "")</f>
        <v>1</v>
      </c>
      <c r="K2937" s="4" t="b">
        <f>AND(((F2937)=TRUE), ((J2937)=TRUE))</f>
        <v>0</v>
      </c>
      <c r="L2937" s="4" t="b">
        <f>AND(((G2937 &lt;&gt; "plain")=TRUE), ((G2937 &lt;&gt; "")=TRUE))</f>
        <v>0</v>
      </c>
      <c r="M2937" s="4" t="str">
        <f>IF(((E2937)=TRUE),  C2937 &amp; "|" &amp; H2937,  "")</f>
        <v>principal-knowledge-authority|ReviewEvents</v>
      </c>
      <c r="N2937" s="3" t="s">
        <v>10004</v>
      </c>
    </row>
    <row r="2938">
      <c r="A2938" s="3" t="s">
        <v>12940</v>
      </c>
      <c r="B2938" s="4" t="str">
        <f>C2938 &amp; " -&gt; " &amp; D2938</f>
        <v>principal-knowledge-authority -&gt; ReviewEvents.ProcedureVersion</v>
      </c>
      <c r="C2938" s="3" t="s">
        <v>9774</v>
      </c>
      <c r="D2938" s="3" t="s">
        <v>3991</v>
      </c>
      <c r="E2938" s="3" t="b">
        <v>1</v>
      </c>
      <c r="F2938" s="3" t="b">
        <v>0</v>
      </c>
      <c r="G2938" s="3" t="s">
        <v>10003</v>
      </c>
      <c r="H2938" s="4" t="str">
        <f>_xlfn.IFNA(IF(((INDEX(RulebookFields!C2:C1898, MATCH(D2938,RulebookFields!A2:A1898, 0))="")=TRUE),  "",  INDEX(RulebookFields!C2:C1898, MATCH(D2938,RulebookFields!A2:A1898, 0))), "")</f>
        <v>ReviewEvents</v>
      </c>
      <c r="I2938" s="4" t="str">
        <f>_xlfn.IFNA(IF(((INDEX(RulebookFields!D2:D1898, MATCH(D2938,RulebookFields!A2:A1898, 0))="")=TRUE),  "",  INDEX(RulebookFields!D2:D1898, MATCH(D2938,RulebookFields!A2:A1898, 0))), "")</f>
        <v>ProcedureVersion</v>
      </c>
      <c r="J2938" s="4" t="b">
        <f>_xlfn.IFNA(IF(((INDEX(RulebookFields!I2:I1898, MATCH(D2938,RulebookFields!A2:A1898, 0))="")=TRUE),  "",  INDEX(RulebookFields!I2:I1898, MATCH(D2938,RulebookFields!A2:A1898, 0))), "")</f>
        <v>0</v>
      </c>
      <c r="K2938" s="4" t="b">
        <f>AND(((F2938)=TRUE), ((J2938)=TRUE))</f>
        <v>0</v>
      </c>
      <c r="L2938" s="4" t="b">
        <f>AND(((G2938 &lt;&gt; "plain")=TRUE), ((G2938 &lt;&gt; "")=TRUE))</f>
        <v>0</v>
      </c>
      <c r="M2938" s="4" t="str">
        <f>IF(((E2938)=TRUE),  C2938 &amp; "|" &amp; H2938,  "")</f>
        <v>principal-knowledge-authority|ReviewEvents</v>
      </c>
      <c r="N2938" s="3" t="s">
        <v>10004</v>
      </c>
    </row>
    <row r="2939">
      <c r="A2939" s="3" t="s">
        <v>12941</v>
      </c>
      <c r="B2939" s="4" t="str">
        <f>C2939 &amp; " -&gt; " &amp; D2939</f>
        <v>principal-knowledge-authority -&gt; ReviewEvents.ReviewKind</v>
      </c>
      <c r="C2939" s="3" t="s">
        <v>9774</v>
      </c>
      <c r="D2939" s="3" t="s">
        <v>3992</v>
      </c>
      <c r="E2939" s="3" t="b">
        <v>1</v>
      </c>
      <c r="F2939" s="3" t="b">
        <v>0</v>
      </c>
      <c r="G2939" s="3" t="s">
        <v>10003</v>
      </c>
      <c r="H2939" s="4" t="str">
        <f>_xlfn.IFNA(IF(((INDEX(RulebookFields!C2:C1898, MATCH(D2939,RulebookFields!A2:A1898, 0))="")=TRUE),  "",  INDEX(RulebookFields!C2:C1898, MATCH(D2939,RulebookFields!A2:A1898, 0))), "")</f>
        <v>ReviewEvents</v>
      </c>
      <c r="I2939" s="4" t="str">
        <f>_xlfn.IFNA(IF(((INDEX(RulebookFields!D2:D1898, MATCH(D2939,RulebookFields!A2:A1898, 0))="")=TRUE),  "",  INDEX(RulebookFields!D2:D1898, MATCH(D2939,RulebookFields!A2:A1898, 0))), "")</f>
        <v>ReviewKind</v>
      </c>
      <c r="J2939" s="4" t="b">
        <f>_xlfn.IFNA(IF(((INDEX(RulebookFields!I2:I1898, MATCH(D2939,RulebookFields!A2:A1898, 0))="")=TRUE),  "",  INDEX(RulebookFields!I2:I1898, MATCH(D2939,RulebookFields!A2:A1898, 0))), "")</f>
        <v>0</v>
      </c>
      <c r="K2939" s="4" t="b">
        <f>AND(((F2939)=TRUE), ((J2939)=TRUE))</f>
        <v>0</v>
      </c>
      <c r="L2939" s="4" t="b">
        <f>AND(((G2939 &lt;&gt; "plain")=TRUE), ((G2939 &lt;&gt; "")=TRUE))</f>
        <v>0</v>
      </c>
      <c r="M2939" s="4" t="str">
        <f>IF(((E2939)=TRUE),  C2939 &amp; "|" &amp; H2939,  "")</f>
        <v>principal-knowledge-authority|ReviewEvents</v>
      </c>
      <c r="N2939" s="3" t="s">
        <v>10004</v>
      </c>
    </row>
    <row r="2940">
      <c r="A2940" s="3" t="s">
        <v>12942</v>
      </c>
      <c r="B2940" s="4" t="str">
        <f>C2940 &amp; " -&gt; " &amp; D2940</f>
        <v>principal-knowledge-authority -&gt; ReviewEvents.ReviewedAt</v>
      </c>
      <c r="C2940" s="3" t="s">
        <v>9774</v>
      </c>
      <c r="D2940" s="3" t="s">
        <v>3993</v>
      </c>
      <c r="E2940" s="3" t="b">
        <v>1</v>
      </c>
      <c r="F2940" s="3" t="b">
        <v>0</v>
      </c>
      <c r="G2940" s="3" t="s">
        <v>10003</v>
      </c>
      <c r="H2940" s="4" t="str">
        <f>_xlfn.IFNA(IF(((INDEX(RulebookFields!C2:C1898, MATCH(D2940,RulebookFields!A2:A1898, 0))="")=TRUE),  "",  INDEX(RulebookFields!C2:C1898, MATCH(D2940,RulebookFields!A2:A1898, 0))), "")</f>
        <v>ReviewEvents</v>
      </c>
      <c r="I2940" s="4" t="str">
        <f>_xlfn.IFNA(IF(((INDEX(RulebookFields!D2:D1898, MATCH(D2940,RulebookFields!A2:A1898, 0))="")=TRUE),  "",  INDEX(RulebookFields!D2:D1898, MATCH(D2940,RulebookFields!A2:A1898, 0))), "")</f>
        <v>ReviewedAt</v>
      </c>
      <c r="J2940" s="4" t="b">
        <f>_xlfn.IFNA(IF(((INDEX(RulebookFields!I2:I1898, MATCH(D2940,RulebookFields!A2:A1898, 0))="")=TRUE),  "",  INDEX(RulebookFields!I2:I1898, MATCH(D2940,RulebookFields!A2:A1898, 0))), "")</f>
        <v>0</v>
      </c>
      <c r="K2940" s="4" t="b">
        <f>AND(((F2940)=TRUE), ((J2940)=TRUE))</f>
        <v>0</v>
      </c>
      <c r="L2940" s="4" t="b">
        <f>AND(((G2940 &lt;&gt; "plain")=TRUE), ((G2940 &lt;&gt; "")=TRUE))</f>
        <v>0</v>
      </c>
      <c r="M2940" s="4" t="str">
        <f>IF(((E2940)=TRUE),  C2940 &amp; "|" &amp; H2940,  "")</f>
        <v>principal-knowledge-authority|ReviewEvents</v>
      </c>
      <c r="N2940" s="3" t="s">
        <v>10004</v>
      </c>
    </row>
    <row r="2941">
      <c r="A2941" s="3" t="s">
        <v>12943</v>
      </c>
      <c r="B2941" s="4" t="str">
        <f>C2941 &amp; " -&gt; " &amp; D2941</f>
        <v>principal-knowledge-authority -&gt; ReviewEvents.ReviewedByAgent</v>
      </c>
      <c r="C2941" s="3" t="s">
        <v>9774</v>
      </c>
      <c r="D2941" s="3" t="s">
        <v>3994</v>
      </c>
      <c r="E2941" s="3" t="b">
        <v>1</v>
      </c>
      <c r="F2941" s="3" t="b">
        <v>0</v>
      </c>
      <c r="G2941" s="3" t="s">
        <v>10003</v>
      </c>
      <c r="H2941" s="4" t="str">
        <f>_xlfn.IFNA(IF(((INDEX(RulebookFields!C2:C1898, MATCH(D2941,RulebookFields!A2:A1898, 0))="")=TRUE),  "",  INDEX(RulebookFields!C2:C1898, MATCH(D2941,RulebookFields!A2:A1898, 0))), "")</f>
        <v>ReviewEvents</v>
      </c>
      <c r="I2941" s="4" t="str">
        <f>_xlfn.IFNA(IF(((INDEX(RulebookFields!D2:D1898, MATCH(D2941,RulebookFields!A2:A1898, 0))="")=TRUE),  "",  INDEX(RulebookFields!D2:D1898, MATCH(D2941,RulebookFields!A2:A1898, 0))), "")</f>
        <v>ReviewedByAgent</v>
      </c>
      <c r="J2941" s="4" t="b">
        <f>_xlfn.IFNA(IF(((INDEX(RulebookFields!I2:I1898, MATCH(D2941,RulebookFields!A2:A1898, 0))="")=TRUE),  "",  INDEX(RulebookFields!I2:I1898, MATCH(D2941,RulebookFields!A2:A1898, 0))), "")</f>
        <v>0</v>
      </c>
      <c r="K2941" s="4" t="b">
        <f>AND(((F2941)=TRUE), ((J2941)=TRUE))</f>
        <v>0</v>
      </c>
      <c r="L2941" s="4" t="b">
        <f>AND(((G2941 &lt;&gt; "plain")=TRUE), ((G2941 &lt;&gt; "")=TRUE))</f>
        <v>0</v>
      </c>
      <c r="M2941" s="4" t="str">
        <f>IF(((E2941)=TRUE),  C2941 &amp; "|" &amp; H2941,  "")</f>
        <v>principal-knowledge-authority|ReviewEvents</v>
      </c>
      <c r="N2941" s="3" t="s">
        <v>10004</v>
      </c>
    </row>
    <row r="2942">
      <c r="A2942" s="3" t="s">
        <v>12944</v>
      </c>
      <c r="B2942" s="4" t="str">
        <f>C2942 &amp; " -&gt; " &amp; D2942</f>
        <v>principal-knowledge-authority -&gt; ReviewEvents.Outcome</v>
      </c>
      <c r="C2942" s="3" t="s">
        <v>9774</v>
      </c>
      <c r="D2942" s="3" t="s">
        <v>3995</v>
      </c>
      <c r="E2942" s="3" t="b">
        <v>1</v>
      </c>
      <c r="F2942" s="3" t="b">
        <v>0</v>
      </c>
      <c r="G2942" s="3" t="s">
        <v>10003</v>
      </c>
      <c r="H2942" s="4" t="str">
        <f>_xlfn.IFNA(IF(((INDEX(RulebookFields!C2:C1898, MATCH(D2942,RulebookFields!A2:A1898, 0))="")=TRUE),  "",  INDEX(RulebookFields!C2:C1898, MATCH(D2942,RulebookFields!A2:A1898, 0))), "")</f>
        <v>ReviewEvents</v>
      </c>
      <c r="I2942" s="4" t="str">
        <f>_xlfn.IFNA(IF(((INDEX(RulebookFields!D2:D1898, MATCH(D2942,RulebookFields!A2:A1898, 0))="")=TRUE),  "",  INDEX(RulebookFields!D2:D1898, MATCH(D2942,RulebookFields!A2:A1898, 0))), "")</f>
        <v>Outcome</v>
      </c>
      <c r="J2942" s="4" t="b">
        <f>_xlfn.IFNA(IF(((INDEX(RulebookFields!I2:I1898, MATCH(D2942,RulebookFields!A2:A1898, 0))="")=TRUE),  "",  INDEX(RulebookFields!I2:I1898, MATCH(D2942,RulebookFields!A2:A1898, 0))), "")</f>
        <v>0</v>
      </c>
      <c r="K2942" s="4" t="b">
        <f>AND(((F2942)=TRUE), ((J2942)=TRUE))</f>
        <v>0</v>
      </c>
      <c r="L2942" s="4" t="b">
        <f>AND(((G2942 &lt;&gt; "plain")=TRUE), ((G2942 &lt;&gt; "")=TRUE))</f>
        <v>0</v>
      </c>
      <c r="M2942" s="4" t="str">
        <f>IF(((E2942)=TRUE),  C2942 &amp; "|" &amp; H2942,  "")</f>
        <v>principal-knowledge-authority|ReviewEvents</v>
      </c>
      <c r="N2942" s="3" t="s">
        <v>10004</v>
      </c>
    </row>
    <row r="2943">
      <c r="A2943" s="3" t="s">
        <v>12945</v>
      </c>
      <c r="B2943" s="4" t="str">
        <f>C2943 &amp; " -&gt; " &amp; D2943</f>
        <v>principal-knowledge-authority -&gt; ReviewEvents.RelatedChangeRequest</v>
      </c>
      <c r="C2943" s="3" t="s">
        <v>9774</v>
      </c>
      <c r="D2943" s="3" t="s">
        <v>3996</v>
      </c>
      <c r="E2943" s="3" t="b">
        <v>1</v>
      </c>
      <c r="F2943" s="3" t="b">
        <v>0</v>
      </c>
      <c r="G2943" s="3" t="s">
        <v>10003</v>
      </c>
      <c r="H2943" s="4" t="str">
        <f>_xlfn.IFNA(IF(((INDEX(RulebookFields!C2:C1898, MATCH(D2943,RulebookFields!A2:A1898, 0))="")=TRUE),  "",  INDEX(RulebookFields!C2:C1898, MATCH(D2943,RulebookFields!A2:A1898, 0))), "")</f>
        <v>ReviewEvents</v>
      </c>
      <c r="I2943" s="4" t="str">
        <f>_xlfn.IFNA(IF(((INDEX(RulebookFields!D2:D1898, MATCH(D2943,RulebookFields!A2:A1898, 0))="")=TRUE),  "",  INDEX(RulebookFields!D2:D1898, MATCH(D2943,RulebookFields!A2:A1898, 0))), "")</f>
        <v>RelatedChangeRequest</v>
      </c>
      <c r="J2943" s="4" t="b">
        <f>_xlfn.IFNA(IF(((INDEX(RulebookFields!I2:I1898, MATCH(D2943,RulebookFields!A2:A1898, 0))="")=TRUE),  "",  INDEX(RulebookFields!I2:I1898, MATCH(D2943,RulebookFields!A2:A1898, 0))), "")</f>
        <v>0</v>
      </c>
      <c r="K2943" s="4" t="b">
        <f>AND(((F2943)=TRUE), ((J2943)=TRUE))</f>
        <v>0</v>
      </c>
      <c r="L2943" s="4" t="b">
        <f>AND(((G2943 &lt;&gt; "plain")=TRUE), ((G2943 &lt;&gt; "")=TRUE))</f>
        <v>0</v>
      </c>
      <c r="M2943" s="4" t="str">
        <f>IF(((E2943)=TRUE),  C2943 &amp; "|" &amp; H2943,  "")</f>
        <v>principal-knowledge-authority|ReviewEvents</v>
      </c>
      <c r="N2943" s="3" t="s">
        <v>10004</v>
      </c>
    </row>
    <row r="2944">
      <c r="A2944" s="3" t="s">
        <v>12946</v>
      </c>
      <c r="B2944" s="4" t="str">
        <f>C2944 &amp; " -&gt; " &amp; D2944</f>
        <v>principal-knowledge-authority -&gt; ReviewEvents.NextReviewDue</v>
      </c>
      <c r="C2944" s="3" t="s">
        <v>9774</v>
      </c>
      <c r="D2944" s="3" t="s">
        <v>3997</v>
      </c>
      <c r="E2944" s="3" t="b">
        <v>1</v>
      </c>
      <c r="F2944" s="3" t="b">
        <v>0</v>
      </c>
      <c r="G2944" s="3" t="s">
        <v>10003</v>
      </c>
      <c r="H2944" s="4" t="str">
        <f>_xlfn.IFNA(IF(((INDEX(RulebookFields!C2:C1898, MATCH(D2944,RulebookFields!A2:A1898, 0))="")=TRUE),  "",  INDEX(RulebookFields!C2:C1898, MATCH(D2944,RulebookFields!A2:A1898, 0))), "")</f>
        <v>ReviewEvents</v>
      </c>
      <c r="I2944" s="4" t="str">
        <f>_xlfn.IFNA(IF(((INDEX(RulebookFields!D2:D1898, MATCH(D2944,RulebookFields!A2:A1898, 0))="")=TRUE),  "",  INDEX(RulebookFields!D2:D1898, MATCH(D2944,RulebookFields!A2:A1898, 0))), "")</f>
        <v>NextReviewDue</v>
      </c>
      <c r="J2944" s="4" t="b">
        <f>_xlfn.IFNA(IF(((INDEX(RulebookFields!I2:I1898, MATCH(D2944,RulebookFields!A2:A1898, 0))="")=TRUE),  "",  INDEX(RulebookFields!I2:I1898, MATCH(D2944,RulebookFields!A2:A1898, 0))), "")</f>
        <v>0</v>
      </c>
      <c r="K2944" s="4" t="b">
        <f>AND(((F2944)=TRUE), ((J2944)=TRUE))</f>
        <v>0</v>
      </c>
      <c r="L2944" s="4" t="b">
        <f>AND(((G2944 &lt;&gt; "plain")=TRUE), ((G2944 &lt;&gt; "")=TRUE))</f>
        <v>0</v>
      </c>
      <c r="M2944" s="4" t="str">
        <f>IF(((E2944)=TRUE),  C2944 &amp; "|" &amp; H2944,  "")</f>
        <v>principal-knowledge-authority|ReviewEvents</v>
      </c>
      <c r="N2944" s="3" t="s">
        <v>10004</v>
      </c>
    </row>
    <row r="2945">
      <c r="A2945" s="3" t="s">
        <v>12947</v>
      </c>
      <c r="B2945" s="4" t="str">
        <f>C2945 &amp; " -&gt; " &amp; D2945</f>
        <v>principal-knowledge-authority -&gt; ReviewEvents.EvaluationContext</v>
      </c>
      <c r="C2945" s="3" t="s">
        <v>9774</v>
      </c>
      <c r="D2945" s="3" t="s">
        <v>3998</v>
      </c>
      <c r="E2945" s="3" t="b">
        <v>1</v>
      </c>
      <c r="F2945" s="3" t="b">
        <v>0</v>
      </c>
      <c r="G2945" s="3" t="s">
        <v>10003</v>
      </c>
      <c r="H2945" s="4" t="str">
        <f>_xlfn.IFNA(IF(((INDEX(RulebookFields!C2:C1898, MATCH(D2945,RulebookFields!A2:A1898, 0))="")=TRUE),  "",  INDEX(RulebookFields!C2:C1898, MATCH(D2945,RulebookFields!A2:A1898, 0))), "")</f>
        <v>ReviewEvents</v>
      </c>
      <c r="I2945" s="4" t="str">
        <f>_xlfn.IFNA(IF(((INDEX(RulebookFields!D2:D1898, MATCH(D2945,RulebookFields!A2:A1898, 0))="")=TRUE),  "",  INDEX(RulebookFields!D2:D1898, MATCH(D2945,RulebookFields!A2:A1898, 0))), "")</f>
        <v>EvaluationContext</v>
      </c>
      <c r="J2945" s="4" t="b">
        <f>_xlfn.IFNA(IF(((INDEX(RulebookFields!I2:I1898, MATCH(D2945,RulebookFields!A2:A1898, 0))="")=TRUE),  "",  INDEX(RulebookFields!I2:I1898, MATCH(D2945,RulebookFields!A2:A1898, 0))), "")</f>
        <v>0</v>
      </c>
      <c r="K2945" s="4" t="b">
        <f>AND(((F2945)=TRUE), ((J2945)=TRUE))</f>
        <v>0</v>
      </c>
      <c r="L2945" s="4" t="b">
        <f>AND(((G2945 &lt;&gt; "plain")=TRUE), ((G2945 &lt;&gt; "")=TRUE))</f>
        <v>0</v>
      </c>
      <c r="M2945" s="4" t="str">
        <f>IF(((E2945)=TRUE),  C2945 &amp; "|" &amp; H2945,  "")</f>
        <v>principal-knowledge-authority|ReviewEvents</v>
      </c>
      <c r="N2945" s="3" t="s">
        <v>10004</v>
      </c>
    </row>
    <row r="2946">
      <c r="A2946" s="3" t="s">
        <v>12948</v>
      </c>
      <c r="B2946" s="4" t="str">
        <f>C2946 &amp; " -&gt; " &amp; D2946</f>
        <v>principal-knowledge-authority -&gt; ReviewEvents.AsOfInstant</v>
      </c>
      <c r="C2946" s="3" t="s">
        <v>9774</v>
      </c>
      <c r="D2946" s="3" t="s">
        <v>3999</v>
      </c>
      <c r="E2946" s="3" t="b">
        <v>1</v>
      </c>
      <c r="F2946" s="3" t="b">
        <v>0</v>
      </c>
      <c r="G2946" s="3" t="s">
        <v>10003</v>
      </c>
      <c r="H2946" s="4" t="str">
        <f>_xlfn.IFNA(IF(((INDEX(RulebookFields!C2:C1898, MATCH(D2946,RulebookFields!A2:A1898, 0))="")=TRUE),  "",  INDEX(RulebookFields!C2:C1898, MATCH(D2946,RulebookFields!A2:A1898, 0))), "")</f>
        <v>ReviewEvents</v>
      </c>
      <c r="I2946" s="4" t="str">
        <f>_xlfn.IFNA(IF(((INDEX(RulebookFields!D2:D1898, MATCH(D2946,RulebookFields!A2:A1898, 0))="")=TRUE),  "",  INDEX(RulebookFields!D2:D1898, MATCH(D2946,RulebookFields!A2:A1898, 0))), "")</f>
        <v>AsOfInstant</v>
      </c>
      <c r="J2946" s="4" t="b">
        <f>_xlfn.IFNA(IF(((INDEX(RulebookFields!I2:I1898, MATCH(D2946,RulebookFields!A2:A1898, 0))="")=TRUE),  "",  INDEX(RulebookFields!I2:I1898, MATCH(D2946,RulebookFields!A2:A1898, 0))), "")</f>
        <v>1</v>
      </c>
      <c r="K2946" s="4" t="b">
        <f>AND(((F2946)=TRUE), ((J2946)=TRUE))</f>
        <v>0</v>
      </c>
      <c r="L2946" s="4" t="b">
        <f>AND(((G2946 &lt;&gt; "plain")=TRUE), ((G2946 &lt;&gt; "")=TRUE))</f>
        <v>0</v>
      </c>
      <c r="M2946" s="4" t="str">
        <f>IF(((E2946)=TRUE),  C2946 &amp; "|" &amp; H2946,  "")</f>
        <v>principal-knowledge-authority|ReviewEvents</v>
      </c>
      <c r="N2946" s="3" t="s">
        <v>10004</v>
      </c>
    </row>
    <row r="2947">
      <c r="A2947" s="3" t="s">
        <v>12949</v>
      </c>
      <c r="B2947" s="4" t="str">
        <f>C2947 &amp; " -&gt; " &amp; D2947</f>
        <v>principal-knowledge-authority -&gt; ReviewEvents.IsOverdue</v>
      </c>
      <c r="C2947" s="3" t="s">
        <v>9774</v>
      </c>
      <c r="D2947" s="3" t="s">
        <v>4000</v>
      </c>
      <c r="E2947" s="3" t="b">
        <v>1</v>
      </c>
      <c r="F2947" s="3" t="b">
        <v>0</v>
      </c>
      <c r="G2947" s="3" t="s">
        <v>10003</v>
      </c>
      <c r="H2947" s="4" t="str">
        <f>_xlfn.IFNA(IF(((INDEX(RulebookFields!C2:C1898, MATCH(D2947,RulebookFields!A2:A1898, 0))="")=TRUE),  "",  INDEX(RulebookFields!C2:C1898, MATCH(D2947,RulebookFields!A2:A1898, 0))), "")</f>
        <v>ReviewEvents</v>
      </c>
      <c r="I2947" s="4" t="str">
        <f>_xlfn.IFNA(IF(((INDEX(RulebookFields!D2:D1898, MATCH(D2947,RulebookFields!A2:A1898, 0))="")=TRUE),  "",  INDEX(RulebookFields!D2:D1898, MATCH(D2947,RulebookFields!A2:A1898, 0))), "")</f>
        <v>IsOverdue</v>
      </c>
      <c r="J2947" s="4" t="b">
        <f>_xlfn.IFNA(IF(((INDEX(RulebookFields!I2:I1898, MATCH(D2947,RulebookFields!A2:A1898, 0))="")=TRUE),  "",  INDEX(RulebookFields!I2:I1898, MATCH(D2947,RulebookFields!A2:A1898, 0))), "")</f>
        <v>1</v>
      </c>
      <c r="K2947" s="4" t="b">
        <f>AND(((F2947)=TRUE), ((J2947)=TRUE))</f>
        <v>0</v>
      </c>
      <c r="L2947" s="4" t="b">
        <f>AND(((G2947 &lt;&gt; "plain")=TRUE), ((G2947 &lt;&gt; "")=TRUE))</f>
        <v>0</v>
      </c>
      <c r="M2947" s="4" t="str">
        <f>IF(((E2947)=TRUE),  C2947 &amp; "|" &amp; H2947,  "")</f>
        <v>principal-knowledge-authority|ReviewEvents</v>
      </c>
      <c r="N2947" s="3" t="s">
        <v>10004</v>
      </c>
    </row>
    <row r="2948">
      <c r="A2948" s="3" t="s">
        <v>12950</v>
      </c>
      <c r="B2948" s="4" t="str">
        <f>C2948 &amp; " -&gt; " &amp; D2948</f>
        <v>principal-knowledge-authority -&gt; ReviewEvents.OverdueVersionKey</v>
      </c>
      <c r="C2948" s="3" t="s">
        <v>9774</v>
      </c>
      <c r="D2948" s="3" t="s">
        <v>4002</v>
      </c>
      <c r="E2948" s="3" t="b">
        <v>1</v>
      </c>
      <c r="F2948" s="3" t="b">
        <v>0</v>
      </c>
      <c r="G2948" s="3" t="s">
        <v>10003</v>
      </c>
      <c r="H2948" s="4" t="str">
        <f>_xlfn.IFNA(IF(((INDEX(RulebookFields!C2:C1898, MATCH(D2948,RulebookFields!A2:A1898, 0))="")=TRUE),  "",  INDEX(RulebookFields!C2:C1898, MATCH(D2948,RulebookFields!A2:A1898, 0))), "")</f>
        <v>ReviewEvents</v>
      </c>
      <c r="I2948" s="4" t="str">
        <f>_xlfn.IFNA(IF(((INDEX(RulebookFields!D2:D1898, MATCH(D2948,RulebookFields!A2:A1898, 0))="")=TRUE),  "",  INDEX(RulebookFields!D2:D1898, MATCH(D2948,RulebookFields!A2:A1898, 0))), "")</f>
        <v>OverdueVersionKey</v>
      </c>
      <c r="J2948" s="4" t="b">
        <f>_xlfn.IFNA(IF(((INDEX(RulebookFields!I2:I1898, MATCH(D2948,RulebookFields!A2:A1898, 0))="")=TRUE),  "",  INDEX(RulebookFields!I2:I1898, MATCH(D2948,RulebookFields!A2:A1898, 0))), "")</f>
        <v>1</v>
      </c>
      <c r="K2948" s="4" t="b">
        <f>AND(((F2948)=TRUE), ((J2948)=TRUE))</f>
        <v>0</v>
      </c>
      <c r="L2948" s="4" t="b">
        <f>AND(((G2948 &lt;&gt; "plain")=TRUE), ((G2948 &lt;&gt; "")=TRUE))</f>
        <v>0</v>
      </c>
      <c r="M2948" s="4" t="str">
        <f>IF(((E2948)=TRUE),  C2948 &amp; "|" &amp; H2948,  "")</f>
        <v>principal-knowledge-authority|ReviewEvents</v>
      </c>
      <c r="N2948" s="3" t="s">
        <v>10004</v>
      </c>
    </row>
    <row r="2949">
      <c r="A2949" s="3" t="s">
        <v>12951</v>
      </c>
      <c r="B2949" s="4" t="str">
        <f>C2949 &amp; " -&gt; " &amp; D2949</f>
        <v>principal-knowledge-authority -&gt; ReviewEvents.PromisedCadenceDays</v>
      </c>
      <c r="C2949" s="3" t="s">
        <v>9774</v>
      </c>
      <c r="D2949" s="3" t="s">
        <v>4004</v>
      </c>
      <c r="E2949" s="3" t="b">
        <v>1</v>
      </c>
      <c r="F2949" s="3" t="b">
        <v>0</v>
      </c>
      <c r="G2949" s="3" t="s">
        <v>10003</v>
      </c>
      <c r="H2949" s="4" t="str">
        <f>_xlfn.IFNA(IF(((INDEX(RulebookFields!C2:C1898, MATCH(D2949,RulebookFields!A2:A1898, 0))="")=TRUE),  "",  INDEX(RulebookFields!C2:C1898, MATCH(D2949,RulebookFields!A2:A1898, 0))), "")</f>
        <v>ReviewEvents</v>
      </c>
      <c r="I2949" s="4" t="str">
        <f>_xlfn.IFNA(IF(((INDEX(RulebookFields!D2:D1898, MATCH(D2949,RulebookFields!A2:A1898, 0))="")=TRUE),  "",  INDEX(RulebookFields!D2:D1898, MATCH(D2949,RulebookFields!A2:A1898, 0))), "")</f>
        <v>PromisedCadenceDays</v>
      </c>
      <c r="J2949" s="4" t="b">
        <f>_xlfn.IFNA(IF(((INDEX(RulebookFields!I2:I1898, MATCH(D2949,RulebookFields!A2:A1898, 0))="")=TRUE),  "",  INDEX(RulebookFields!I2:I1898, MATCH(D2949,RulebookFields!A2:A1898, 0))), "")</f>
        <v>1</v>
      </c>
      <c r="K2949" s="4" t="b">
        <f>AND(((F2949)=TRUE), ((J2949)=TRUE))</f>
        <v>0</v>
      </c>
      <c r="L2949" s="4" t="b">
        <f>AND(((G2949 &lt;&gt; "plain")=TRUE), ((G2949 &lt;&gt; "")=TRUE))</f>
        <v>0</v>
      </c>
      <c r="M2949" s="4" t="str">
        <f>IF(((E2949)=TRUE),  C2949 &amp; "|" &amp; H2949,  "")</f>
        <v>principal-knowledge-authority|ReviewEvents</v>
      </c>
      <c r="N2949" s="3" t="s">
        <v>10004</v>
      </c>
    </row>
    <row r="2950">
      <c r="A2950" s="3" t="s">
        <v>12952</v>
      </c>
      <c r="B2950" s="4" t="str">
        <f>C2950 &amp; " -&gt; " &amp; D2950</f>
        <v>principal-knowledge-authority -&gt; ReviewEvents.DaysSinceReviewed</v>
      </c>
      <c r="C2950" s="3" t="s">
        <v>9774</v>
      </c>
      <c r="D2950" s="3" t="s">
        <v>4005</v>
      </c>
      <c r="E2950" s="3" t="b">
        <v>1</v>
      </c>
      <c r="F2950" s="3" t="b">
        <v>0</v>
      </c>
      <c r="G2950" s="3" t="s">
        <v>10003</v>
      </c>
      <c r="H2950" s="4" t="str">
        <f>_xlfn.IFNA(IF(((INDEX(RulebookFields!C2:C1898, MATCH(D2950,RulebookFields!A2:A1898, 0))="")=TRUE),  "",  INDEX(RulebookFields!C2:C1898, MATCH(D2950,RulebookFields!A2:A1898, 0))), "")</f>
        <v>ReviewEvents</v>
      </c>
      <c r="I2950" s="4" t="str">
        <f>_xlfn.IFNA(IF(((INDEX(RulebookFields!D2:D1898, MATCH(D2950,RulebookFields!A2:A1898, 0))="")=TRUE),  "",  INDEX(RulebookFields!D2:D1898, MATCH(D2950,RulebookFields!A2:A1898, 0))), "")</f>
        <v>DaysSinceReviewed</v>
      </c>
      <c r="J2950" s="4" t="b">
        <f>_xlfn.IFNA(IF(((INDEX(RulebookFields!I2:I1898, MATCH(D2950,RulebookFields!A2:A1898, 0))="")=TRUE),  "",  INDEX(RulebookFields!I2:I1898, MATCH(D2950,RulebookFields!A2:A1898, 0))), "")</f>
        <v>1</v>
      </c>
      <c r="K2950" s="4" t="b">
        <f>AND(((F2950)=TRUE), ((J2950)=TRUE))</f>
        <v>0</v>
      </c>
      <c r="L2950" s="4" t="b">
        <f>AND(((G2950 &lt;&gt; "plain")=TRUE), ((G2950 &lt;&gt; "")=TRUE))</f>
        <v>0</v>
      </c>
      <c r="M2950" s="4" t="str">
        <f>IF(((E2950)=TRUE),  C2950 &amp; "|" &amp; H2950,  "")</f>
        <v>principal-knowledge-authority|ReviewEvents</v>
      </c>
      <c r="N2950" s="3" t="s">
        <v>10004</v>
      </c>
    </row>
    <row r="2951">
      <c r="A2951" s="3" t="s">
        <v>12953</v>
      </c>
      <c r="B2951" s="4" t="str">
        <f>C2951 &amp; " -&gt; " &amp; D2951</f>
        <v>principal-knowledge-authority -&gt; ReviewEvents.ExceedsPromisedCadence</v>
      </c>
      <c r="C2951" s="3" t="s">
        <v>9774</v>
      </c>
      <c r="D2951" s="3" t="s">
        <v>4007</v>
      </c>
      <c r="E2951" s="3" t="b">
        <v>1</v>
      </c>
      <c r="F2951" s="3" t="b">
        <v>0</v>
      </c>
      <c r="G2951" s="3" t="s">
        <v>10003</v>
      </c>
      <c r="H2951" s="4" t="str">
        <f>_xlfn.IFNA(IF(((INDEX(RulebookFields!C2:C1898, MATCH(D2951,RulebookFields!A2:A1898, 0))="")=TRUE),  "",  INDEX(RulebookFields!C2:C1898, MATCH(D2951,RulebookFields!A2:A1898, 0))), "")</f>
        <v>ReviewEvents</v>
      </c>
      <c r="I2951" s="4" t="str">
        <f>_xlfn.IFNA(IF(((INDEX(RulebookFields!D2:D1898, MATCH(D2951,RulebookFields!A2:A1898, 0))="")=TRUE),  "",  INDEX(RulebookFields!D2:D1898, MATCH(D2951,RulebookFields!A2:A1898, 0))), "")</f>
        <v>ExceedsPromisedCadence</v>
      </c>
      <c r="J2951" s="4" t="b">
        <f>_xlfn.IFNA(IF(((INDEX(RulebookFields!I2:I1898, MATCH(D2951,RulebookFields!A2:A1898, 0))="")=TRUE),  "",  INDEX(RulebookFields!I2:I1898, MATCH(D2951,RulebookFields!A2:A1898, 0))), "")</f>
        <v>1</v>
      </c>
      <c r="K2951" s="4" t="b">
        <f>AND(((F2951)=TRUE), ((J2951)=TRUE))</f>
        <v>0</v>
      </c>
      <c r="L2951" s="4" t="b">
        <f>AND(((G2951 &lt;&gt; "plain")=TRUE), ((G2951 &lt;&gt; "")=TRUE))</f>
        <v>0</v>
      </c>
      <c r="M2951" s="4" t="str">
        <f>IF(((E2951)=TRUE),  C2951 &amp; "|" &amp; H2951,  "")</f>
        <v>principal-knowledge-authority|ReviewEvents</v>
      </c>
      <c r="N2951" s="3" t="s">
        <v>10004</v>
      </c>
    </row>
    <row r="2952">
      <c r="A2952" s="3" t="s">
        <v>12954</v>
      </c>
      <c r="B2952" s="4" t="str">
        <f>C2952 &amp; " -&gt; " &amp; D2952</f>
        <v>principal-knowledge-authority -&gt; ReviewEvents.CadenceDriftDays</v>
      </c>
      <c r="C2952" s="3" t="s">
        <v>9774</v>
      </c>
      <c r="D2952" s="3" t="s">
        <v>4009</v>
      </c>
      <c r="E2952" s="3" t="b">
        <v>1</v>
      </c>
      <c r="F2952" s="3" t="b">
        <v>0</v>
      </c>
      <c r="G2952" s="3" t="s">
        <v>10003</v>
      </c>
      <c r="H2952" s="4" t="str">
        <f>_xlfn.IFNA(IF(((INDEX(RulebookFields!C2:C1898, MATCH(D2952,RulebookFields!A2:A1898, 0))="")=TRUE),  "",  INDEX(RulebookFields!C2:C1898, MATCH(D2952,RulebookFields!A2:A1898, 0))), "")</f>
        <v>ReviewEvents</v>
      </c>
      <c r="I2952" s="4" t="str">
        <f>_xlfn.IFNA(IF(((INDEX(RulebookFields!D2:D1898, MATCH(D2952,RulebookFields!A2:A1898, 0))="")=TRUE),  "",  INDEX(RulebookFields!D2:D1898, MATCH(D2952,RulebookFields!A2:A1898, 0))), "")</f>
        <v>CadenceDriftDays</v>
      </c>
      <c r="J2952" s="4" t="b">
        <f>_xlfn.IFNA(IF(((INDEX(RulebookFields!I2:I1898, MATCH(D2952,RulebookFields!A2:A1898, 0))="")=TRUE),  "",  INDEX(RulebookFields!I2:I1898, MATCH(D2952,RulebookFields!A2:A1898, 0))), "")</f>
        <v>1</v>
      </c>
      <c r="K2952" s="4" t="b">
        <f>AND(((F2952)=TRUE), ((J2952)=TRUE))</f>
        <v>0</v>
      </c>
      <c r="L2952" s="4" t="b">
        <f>AND(((G2952 &lt;&gt; "plain")=TRUE), ((G2952 &lt;&gt; "")=TRUE))</f>
        <v>0</v>
      </c>
      <c r="M2952" s="4" t="str">
        <f>IF(((E2952)=TRUE),  C2952 &amp; "|" &amp; H2952,  "")</f>
        <v>principal-knowledge-authority|ReviewEvents</v>
      </c>
      <c r="N2952" s="3" t="s">
        <v>10004</v>
      </c>
    </row>
    <row r="2953">
      <c r="A2953" s="3" t="s">
        <v>12955</v>
      </c>
      <c r="B2953" s="4" t="str">
        <f>C2953 &amp; " -&gt; " &amp; D2953</f>
        <v>principal-knowledge-authority -&gt; ReviewEvents.PromiseAndBehaviorDisagree</v>
      </c>
      <c r="C2953" s="3" t="s">
        <v>9774</v>
      </c>
      <c r="D2953" s="3" t="s">
        <v>4011</v>
      </c>
      <c r="E2953" s="3" t="b">
        <v>1</v>
      </c>
      <c r="F2953" s="3" t="b">
        <v>0</v>
      </c>
      <c r="G2953" s="3" t="s">
        <v>10003</v>
      </c>
      <c r="H2953" s="4" t="str">
        <f>_xlfn.IFNA(IF(((INDEX(RulebookFields!C2:C1898, MATCH(D2953,RulebookFields!A2:A1898, 0))="")=TRUE),  "",  INDEX(RulebookFields!C2:C1898, MATCH(D2953,RulebookFields!A2:A1898, 0))), "")</f>
        <v>ReviewEvents</v>
      </c>
      <c r="I2953" s="4" t="str">
        <f>_xlfn.IFNA(IF(((INDEX(RulebookFields!D2:D1898, MATCH(D2953,RulebookFields!A2:A1898, 0))="")=TRUE),  "",  INDEX(RulebookFields!D2:D1898, MATCH(D2953,RulebookFields!A2:A1898, 0))), "")</f>
        <v>PromiseAndBehaviorDisagree</v>
      </c>
      <c r="J2953" s="4" t="b">
        <f>_xlfn.IFNA(IF(((INDEX(RulebookFields!I2:I1898, MATCH(D2953,RulebookFields!A2:A1898, 0))="")=TRUE),  "",  INDEX(RulebookFields!I2:I1898, MATCH(D2953,RulebookFields!A2:A1898, 0))), "")</f>
        <v>1</v>
      </c>
      <c r="K2953" s="4" t="b">
        <f>AND(((F2953)=TRUE), ((J2953)=TRUE))</f>
        <v>0</v>
      </c>
      <c r="L2953" s="4" t="b">
        <f>AND(((G2953 &lt;&gt; "plain")=TRUE), ((G2953 &lt;&gt; "")=TRUE))</f>
        <v>0</v>
      </c>
      <c r="M2953" s="4" t="str">
        <f>IF(((E2953)=TRUE),  C2953 &amp; "|" &amp; H2953,  "")</f>
        <v>principal-knowledge-authority|ReviewEvents</v>
      </c>
      <c r="N2953" s="3" t="s">
        <v>10004</v>
      </c>
    </row>
    <row r="2954">
      <c r="A2954" s="3" t="s">
        <v>12956</v>
      </c>
      <c r="B2954" s="4" t="str">
        <f>C2954 &amp; " -&gt; " &amp; D2954</f>
        <v>principal-knowledge-authority -&gt; ReviewEvents.CadenceBreachVersionKey</v>
      </c>
      <c r="C2954" s="3" t="s">
        <v>9774</v>
      </c>
      <c r="D2954" s="3" t="s">
        <v>4013</v>
      </c>
      <c r="E2954" s="3" t="b">
        <v>1</v>
      </c>
      <c r="F2954" s="3" t="b">
        <v>0</v>
      </c>
      <c r="G2954" s="3" t="s">
        <v>10003</v>
      </c>
      <c r="H2954" s="4" t="str">
        <f>_xlfn.IFNA(IF(((INDEX(RulebookFields!C2:C1898, MATCH(D2954,RulebookFields!A2:A1898, 0))="")=TRUE),  "",  INDEX(RulebookFields!C2:C1898, MATCH(D2954,RulebookFields!A2:A1898, 0))), "")</f>
        <v>ReviewEvents</v>
      </c>
      <c r="I2954" s="4" t="str">
        <f>_xlfn.IFNA(IF(((INDEX(RulebookFields!D2:D1898, MATCH(D2954,RulebookFields!A2:A1898, 0))="")=TRUE),  "",  INDEX(RulebookFields!D2:D1898, MATCH(D2954,RulebookFields!A2:A1898, 0))), "")</f>
        <v>CadenceBreachVersionKey</v>
      </c>
      <c r="J2954" s="4" t="b">
        <f>_xlfn.IFNA(IF(((INDEX(RulebookFields!I2:I1898, MATCH(D2954,RulebookFields!A2:A1898, 0))="")=TRUE),  "",  INDEX(RulebookFields!I2:I1898, MATCH(D2954,RulebookFields!A2:A1898, 0))), "")</f>
        <v>1</v>
      </c>
      <c r="K2954" s="4" t="b">
        <f>AND(((F2954)=TRUE), ((J2954)=TRUE))</f>
        <v>0</v>
      </c>
      <c r="L2954" s="4" t="b">
        <f>AND(((G2954 &lt;&gt; "plain")=TRUE), ((G2954 &lt;&gt; "")=TRUE))</f>
        <v>0</v>
      </c>
      <c r="M2954" s="4" t="str">
        <f>IF(((E2954)=TRUE),  C2954 &amp; "|" &amp; H2954,  "")</f>
        <v>principal-knowledge-authority|ReviewEvents</v>
      </c>
      <c r="N2954" s="3" t="s">
        <v>10004</v>
      </c>
    </row>
    <row r="2955">
      <c r="A2955" s="3" t="s">
        <v>12957</v>
      </c>
      <c r="B2955" s="4" t="str">
        <f>C2955 &amp; " -&gt; " &amp; D2955</f>
        <v>principal-knowledge-authority -&gt; ReviewEvents.SemanticTypeIri</v>
      </c>
      <c r="C2955" s="3" t="s">
        <v>9774</v>
      </c>
      <c r="D2955" s="3" t="s">
        <v>4015</v>
      </c>
      <c r="E2955" s="3" t="b">
        <v>1</v>
      </c>
      <c r="F2955" s="3" t="b">
        <v>0</v>
      </c>
      <c r="G2955" s="3" t="s">
        <v>10003</v>
      </c>
      <c r="H2955" s="4" t="str">
        <f>_xlfn.IFNA(IF(((INDEX(RulebookFields!C2:C1898, MATCH(D2955,RulebookFields!A2:A1898, 0))="")=TRUE),  "",  INDEX(RulebookFields!C2:C1898, MATCH(D2955,RulebookFields!A2:A1898, 0))), "")</f>
        <v>ReviewEvents</v>
      </c>
      <c r="I2955" s="4" t="str">
        <f>_xlfn.IFNA(IF(((INDEX(RulebookFields!D2:D1898, MATCH(D2955,RulebookFields!A2:A1898, 0))="")=TRUE),  "",  INDEX(RulebookFields!D2:D1898, MATCH(D2955,RulebookFields!A2:A1898, 0))), "")</f>
        <v>SemanticTypeIri</v>
      </c>
      <c r="J2955" s="4" t="b">
        <f>_xlfn.IFNA(IF(((INDEX(RulebookFields!I2:I1898, MATCH(D2955,RulebookFields!A2:A1898, 0))="")=TRUE),  "",  INDEX(RulebookFields!I2:I1898, MATCH(D2955,RulebookFields!A2:A1898, 0))), "")</f>
        <v>0</v>
      </c>
      <c r="K2955" s="4" t="b">
        <f>AND(((F2955)=TRUE), ((J2955)=TRUE))</f>
        <v>0</v>
      </c>
      <c r="L2955" s="4" t="b">
        <f>AND(((G2955 &lt;&gt; "plain")=TRUE), ((G2955 &lt;&gt; "")=TRUE))</f>
        <v>0</v>
      </c>
      <c r="M2955" s="4" t="str">
        <f>IF(((E2955)=TRUE),  C2955 &amp; "|" &amp; H2955,  "")</f>
        <v>principal-knowledge-authority|ReviewEvents</v>
      </c>
      <c r="N2955" s="3" t="s">
        <v>10004</v>
      </c>
    </row>
    <row r="2956">
      <c r="A2956" s="3" t="s">
        <v>12958</v>
      </c>
      <c r="B2956" s="4" t="str">
        <f>C2956 &amp; " -&gt; " &amp; D2956</f>
        <v>principal-knowledge-authority -&gt; RoleAssignments.RoleAssignmentId</v>
      </c>
      <c r="C2956" s="3" t="s">
        <v>9774</v>
      </c>
      <c r="D2956" s="3" t="s">
        <v>2544</v>
      </c>
      <c r="E2956" s="3" t="b">
        <v>1</v>
      </c>
      <c r="F2956" s="3" t="b">
        <v>0</v>
      </c>
      <c r="G2956" s="3" t="s">
        <v>10003</v>
      </c>
      <c r="H2956" s="4" t="str">
        <f>_xlfn.IFNA(IF(((INDEX(RulebookFields!C2:C1898, MATCH(D2956,RulebookFields!A2:A1898, 0))="")=TRUE),  "",  INDEX(RulebookFields!C2:C1898, MATCH(D2956,RulebookFields!A2:A1898, 0))), "")</f>
        <v>RoleAssignments</v>
      </c>
      <c r="I2956" s="4" t="str">
        <f>_xlfn.IFNA(IF(((INDEX(RulebookFields!D2:D1898, MATCH(D2956,RulebookFields!A2:A1898, 0))="")=TRUE),  "",  INDEX(RulebookFields!D2:D1898, MATCH(D2956,RulebookFields!A2:A1898, 0))), "")</f>
        <v>RoleAssignmentId</v>
      </c>
      <c r="J2956" s="4" t="b">
        <f>_xlfn.IFNA(IF(((INDEX(RulebookFields!I2:I1898, MATCH(D2956,RulebookFields!A2:A1898, 0))="")=TRUE),  "",  INDEX(RulebookFields!I2:I1898, MATCH(D2956,RulebookFields!A2:A1898, 0))), "")</f>
        <v>0</v>
      </c>
      <c r="K2956" s="4" t="b">
        <f>AND(((F2956)=TRUE), ((J2956)=TRUE))</f>
        <v>0</v>
      </c>
      <c r="L2956" s="4" t="b">
        <f>AND(((G2956 &lt;&gt; "plain")=TRUE), ((G2956 &lt;&gt; "")=TRUE))</f>
        <v>0</v>
      </c>
      <c r="M2956" s="4" t="str">
        <f>IF(((E2956)=TRUE),  C2956 &amp; "|" &amp; H2956,  "")</f>
        <v>principal-knowledge-authority|RoleAssignments</v>
      </c>
      <c r="N2956" s="3" t="s">
        <v>10004</v>
      </c>
    </row>
    <row r="2957">
      <c r="A2957" s="3" t="s">
        <v>12959</v>
      </c>
      <c r="B2957" s="4" t="str">
        <f>C2957 &amp; " -&gt; " &amp; D2957</f>
        <v>principal-knowledge-authority -&gt; RoleAssignments.Name</v>
      </c>
      <c r="C2957" s="3" t="s">
        <v>9774</v>
      </c>
      <c r="D2957" s="3" t="s">
        <v>2545</v>
      </c>
      <c r="E2957" s="3" t="b">
        <v>1</v>
      </c>
      <c r="F2957" s="3" t="b">
        <v>0</v>
      </c>
      <c r="G2957" s="3" t="s">
        <v>10003</v>
      </c>
      <c r="H2957" s="4" t="str">
        <f>_xlfn.IFNA(IF(((INDEX(RulebookFields!C2:C1898, MATCH(D2957,RulebookFields!A2:A1898, 0))="")=TRUE),  "",  INDEX(RulebookFields!C2:C1898, MATCH(D2957,RulebookFields!A2:A1898, 0))), "")</f>
        <v>RoleAssignments</v>
      </c>
      <c r="I2957" s="4" t="str">
        <f>_xlfn.IFNA(IF(((INDEX(RulebookFields!D2:D1898, MATCH(D2957,RulebookFields!A2:A1898, 0))="")=TRUE),  "",  INDEX(RulebookFields!D2:D1898, MATCH(D2957,RulebookFields!A2:A1898, 0))), "")</f>
        <v>Name</v>
      </c>
      <c r="J2957" s="4" t="b">
        <f>_xlfn.IFNA(IF(((INDEX(RulebookFields!I2:I1898, MATCH(D2957,RulebookFields!A2:A1898, 0))="")=TRUE),  "",  INDEX(RulebookFields!I2:I1898, MATCH(D2957,RulebookFields!A2:A1898, 0))), "")</f>
        <v>1</v>
      </c>
      <c r="K2957" s="4" t="b">
        <f>AND(((F2957)=TRUE), ((J2957)=TRUE))</f>
        <v>0</v>
      </c>
      <c r="L2957" s="4" t="b">
        <f>AND(((G2957 &lt;&gt; "plain")=TRUE), ((G2957 &lt;&gt; "")=TRUE))</f>
        <v>0</v>
      </c>
      <c r="M2957" s="4" t="str">
        <f>IF(((E2957)=TRUE),  C2957 &amp; "|" &amp; H2957,  "")</f>
        <v>principal-knowledge-authority|RoleAssignments</v>
      </c>
      <c r="N2957" s="3" t="s">
        <v>10004</v>
      </c>
    </row>
    <row r="2958">
      <c r="A2958" s="3" t="s">
        <v>12960</v>
      </c>
      <c r="B2958" s="4" t="str">
        <f>C2958 &amp; " -&gt; " &amp; D2958</f>
        <v>principal-knowledge-authority -&gt; RoleAssignments.Role</v>
      </c>
      <c r="C2958" s="3" t="s">
        <v>9774</v>
      </c>
      <c r="D2958" s="3" t="s">
        <v>2547</v>
      </c>
      <c r="E2958" s="3" t="b">
        <v>1</v>
      </c>
      <c r="F2958" s="3" t="b">
        <v>0</v>
      </c>
      <c r="G2958" s="3" t="s">
        <v>10003</v>
      </c>
      <c r="H2958" s="4" t="str">
        <f>_xlfn.IFNA(IF(((INDEX(RulebookFields!C2:C1898, MATCH(D2958,RulebookFields!A2:A1898, 0))="")=TRUE),  "",  INDEX(RulebookFields!C2:C1898, MATCH(D2958,RulebookFields!A2:A1898, 0))), "")</f>
        <v>RoleAssignments</v>
      </c>
      <c r="I2958" s="4" t="str">
        <f>_xlfn.IFNA(IF(((INDEX(RulebookFields!D2:D1898, MATCH(D2958,RulebookFields!A2:A1898, 0))="")=TRUE),  "",  INDEX(RulebookFields!D2:D1898, MATCH(D2958,RulebookFields!A2:A1898, 0))), "")</f>
        <v>Role</v>
      </c>
      <c r="J2958" s="4" t="b">
        <f>_xlfn.IFNA(IF(((INDEX(RulebookFields!I2:I1898, MATCH(D2958,RulebookFields!A2:A1898, 0))="")=TRUE),  "",  INDEX(RulebookFields!I2:I1898, MATCH(D2958,RulebookFields!A2:A1898, 0))), "")</f>
        <v>0</v>
      </c>
      <c r="K2958" s="4" t="b">
        <f>AND(((F2958)=TRUE), ((J2958)=TRUE))</f>
        <v>0</v>
      </c>
      <c r="L2958" s="4" t="b">
        <f>AND(((G2958 &lt;&gt; "plain")=TRUE), ((G2958 &lt;&gt; "")=TRUE))</f>
        <v>0</v>
      </c>
      <c r="M2958" s="4" t="str">
        <f>IF(((E2958)=TRUE),  C2958 &amp; "|" &amp; H2958,  "")</f>
        <v>principal-knowledge-authority|RoleAssignments</v>
      </c>
      <c r="N2958" s="3" t="s">
        <v>10004</v>
      </c>
    </row>
    <row r="2959">
      <c r="A2959" s="3" t="s">
        <v>12961</v>
      </c>
      <c r="B2959" s="4" t="str">
        <f>C2959 &amp; " -&gt; " &amp; D2959</f>
        <v>principal-knowledge-authority -&gt; RoleAssignments.Agent</v>
      </c>
      <c r="C2959" s="3" t="s">
        <v>9774</v>
      </c>
      <c r="D2959" s="3" t="s">
        <v>2548</v>
      </c>
      <c r="E2959" s="3" t="b">
        <v>1</v>
      </c>
      <c r="F2959" s="3" t="b">
        <v>0</v>
      </c>
      <c r="G2959" s="3" t="s">
        <v>10003</v>
      </c>
      <c r="H2959" s="4" t="str">
        <f>_xlfn.IFNA(IF(((INDEX(RulebookFields!C2:C1898, MATCH(D2959,RulebookFields!A2:A1898, 0))="")=TRUE),  "",  INDEX(RulebookFields!C2:C1898, MATCH(D2959,RulebookFields!A2:A1898, 0))), "")</f>
        <v>RoleAssignments</v>
      </c>
      <c r="I2959" s="4" t="str">
        <f>_xlfn.IFNA(IF(((INDEX(RulebookFields!D2:D1898, MATCH(D2959,RulebookFields!A2:A1898, 0))="")=TRUE),  "",  INDEX(RulebookFields!D2:D1898, MATCH(D2959,RulebookFields!A2:A1898, 0))), "")</f>
        <v>Agent</v>
      </c>
      <c r="J2959" s="4" t="b">
        <f>_xlfn.IFNA(IF(((INDEX(RulebookFields!I2:I1898, MATCH(D2959,RulebookFields!A2:A1898, 0))="")=TRUE),  "",  INDEX(RulebookFields!I2:I1898, MATCH(D2959,RulebookFields!A2:A1898, 0))), "")</f>
        <v>0</v>
      </c>
      <c r="K2959" s="4" t="b">
        <f>AND(((F2959)=TRUE), ((J2959)=TRUE))</f>
        <v>0</v>
      </c>
      <c r="L2959" s="4" t="b">
        <f>AND(((G2959 &lt;&gt; "plain")=TRUE), ((G2959 &lt;&gt; "")=TRUE))</f>
        <v>0</v>
      </c>
      <c r="M2959" s="4" t="str">
        <f>IF(((E2959)=TRUE),  C2959 &amp; "|" &amp; H2959,  "")</f>
        <v>principal-knowledge-authority|RoleAssignments</v>
      </c>
      <c r="N2959" s="3" t="s">
        <v>10004</v>
      </c>
    </row>
    <row r="2960">
      <c r="A2960" s="3" t="s">
        <v>12962</v>
      </c>
      <c r="B2960" s="4" t="str">
        <f>C2960 &amp; " -&gt; " &amp; D2960</f>
        <v>principal-knowledge-authority -&gt; RoleAssignments.ValidFrom</v>
      </c>
      <c r="C2960" s="3" t="s">
        <v>9774</v>
      </c>
      <c r="D2960" s="3" t="s">
        <v>2549</v>
      </c>
      <c r="E2960" s="3" t="b">
        <v>1</v>
      </c>
      <c r="F2960" s="3" t="b">
        <v>0</v>
      </c>
      <c r="G2960" s="3" t="s">
        <v>10003</v>
      </c>
      <c r="H2960" s="4" t="str">
        <f>_xlfn.IFNA(IF(((INDEX(RulebookFields!C2:C1898, MATCH(D2960,RulebookFields!A2:A1898, 0))="")=TRUE),  "",  INDEX(RulebookFields!C2:C1898, MATCH(D2960,RulebookFields!A2:A1898, 0))), "")</f>
        <v>RoleAssignments</v>
      </c>
      <c r="I2960" s="4" t="str">
        <f>_xlfn.IFNA(IF(((INDEX(RulebookFields!D2:D1898, MATCH(D2960,RulebookFields!A2:A1898, 0))="")=TRUE),  "",  INDEX(RulebookFields!D2:D1898, MATCH(D2960,RulebookFields!A2:A1898, 0))), "")</f>
        <v>ValidFrom</v>
      </c>
      <c r="J2960" s="4" t="b">
        <f>_xlfn.IFNA(IF(((INDEX(RulebookFields!I2:I1898, MATCH(D2960,RulebookFields!A2:A1898, 0))="")=TRUE),  "",  INDEX(RulebookFields!I2:I1898, MATCH(D2960,RulebookFields!A2:A1898, 0))), "")</f>
        <v>0</v>
      </c>
      <c r="K2960" s="4" t="b">
        <f>AND(((F2960)=TRUE), ((J2960)=TRUE))</f>
        <v>0</v>
      </c>
      <c r="L2960" s="4" t="b">
        <f>AND(((G2960 &lt;&gt; "plain")=TRUE), ((G2960 &lt;&gt; "")=TRUE))</f>
        <v>0</v>
      </c>
      <c r="M2960" s="4" t="str">
        <f>IF(((E2960)=TRUE),  C2960 &amp; "|" &amp; H2960,  "")</f>
        <v>principal-knowledge-authority|RoleAssignments</v>
      </c>
      <c r="N2960" s="3" t="s">
        <v>10004</v>
      </c>
    </row>
    <row r="2961">
      <c r="A2961" s="3" t="s">
        <v>12963</v>
      </c>
      <c r="B2961" s="4" t="str">
        <f>C2961 &amp; " -&gt; " &amp; D2961</f>
        <v>principal-knowledge-authority -&gt; RoleAssignments.ValidTo</v>
      </c>
      <c r="C2961" s="3" t="s">
        <v>9774</v>
      </c>
      <c r="D2961" s="3" t="s">
        <v>2550</v>
      </c>
      <c r="E2961" s="3" t="b">
        <v>1</v>
      </c>
      <c r="F2961" s="3" t="b">
        <v>0</v>
      </c>
      <c r="G2961" s="3" t="s">
        <v>10003</v>
      </c>
      <c r="H2961" s="4" t="str">
        <f>_xlfn.IFNA(IF(((INDEX(RulebookFields!C2:C1898, MATCH(D2961,RulebookFields!A2:A1898, 0))="")=TRUE),  "",  INDEX(RulebookFields!C2:C1898, MATCH(D2961,RulebookFields!A2:A1898, 0))), "")</f>
        <v>RoleAssignments</v>
      </c>
      <c r="I2961" s="4" t="str">
        <f>_xlfn.IFNA(IF(((INDEX(RulebookFields!D2:D1898, MATCH(D2961,RulebookFields!A2:A1898, 0))="")=TRUE),  "",  INDEX(RulebookFields!D2:D1898, MATCH(D2961,RulebookFields!A2:A1898, 0))), "")</f>
        <v>ValidTo</v>
      </c>
      <c r="J2961" s="4" t="b">
        <f>_xlfn.IFNA(IF(((INDEX(RulebookFields!I2:I1898, MATCH(D2961,RulebookFields!A2:A1898, 0))="")=TRUE),  "",  INDEX(RulebookFields!I2:I1898, MATCH(D2961,RulebookFields!A2:A1898, 0))), "")</f>
        <v>0</v>
      </c>
      <c r="K2961" s="4" t="b">
        <f>AND(((F2961)=TRUE), ((J2961)=TRUE))</f>
        <v>0</v>
      </c>
      <c r="L2961" s="4" t="b">
        <f>AND(((G2961 &lt;&gt; "plain")=TRUE), ((G2961 &lt;&gt; "")=TRUE))</f>
        <v>0</v>
      </c>
      <c r="M2961" s="4" t="str">
        <f>IF(((E2961)=TRUE),  C2961 &amp; "|" &amp; H2961,  "")</f>
        <v>principal-knowledge-authority|RoleAssignments</v>
      </c>
      <c r="N2961" s="3" t="s">
        <v>10004</v>
      </c>
    </row>
    <row r="2962">
      <c r="A2962" s="3" t="s">
        <v>12964</v>
      </c>
      <c r="B2962" s="4" t="str">
        <f>C2962 &amp; " -&gt; " &amp; D2962</f>
        <v>principal-knowledge-authority -&gt; RoleAssignments.Reason</v>
      </c>
      <c r="C2962" s="3" t="s">
        <v>9774</v>
      </c>
      <c r="D2962" s="3" t="s">
        <v>2551</v>
      </c>
      <c r="E2962" s="3" t="b">
        <v>1</v>
      </c>
      <c r="F2962" s="3" t="b">
        <v>0</v>
      </c>
      <c r="G2962" s="3" t="s">
        <v>10003</v>
      </c>
      <c r="H2962" s="4" t="str">
        <f>_xlfn.IFNA(IF(((INDEX(RulebookFields!C2:C1898, MATCH(D2962,RulebookFields!A2:A1898, 0))="")=TRUE),  "",  INDEX(RulebookFields!C2:C1898, MATCH(D2962,RulebookFields!A2:A1898, 0))), "")</f>
        <v>RoleAssignments</v>
      </c>
      <c r="I2962" s="4" t="str">
        <f>_xlfn.IFNA(IF(((INDEX(RulebookFields!D2:D1898, MATCH(D2962,RulebookFields!A2:A1898, 0))="")=TRUE),  "",  INDEX(RulebookFields!D2:D1898, MATCH(D2962,RulebookFields!A2:A1898, 0))), "")</f>
        <v>Reason</v>
      </c>
      <c r="J2962" s="4" t="b">
        <f>_xlfn.IFNA(IF(((INDEX(RulebookFields!I2:I1898, MATCH(D2962,RulebookFields!A2:A1898, 0))="")=TRUE),  "",  INDEX(RulebookFields!I2:I1898, MATCH(D2962,RulebookFields!A2:A1898, 0))), "")</f>
        <v>0</v>
      </c>
      <c r="K2962" s="4" t="b">
        <f>AND(((F2962)=TRUE), ((J2962)=TRUE))</f>
        <v>0</v>
      </c>
      <c r="L2962" s="4" t="b">
        <f>AND(((G2962 &lt;&gt; "plain")=TRUE), ((G2962 &lt;&gt; "")=TRUE))</f>
        <v>0</v>
      </c>
      <c r="M2962" s="4" t="str">
        <f>IF(((E2962)=TRUE),  C2962 &amp; "|" &amp; H2962,  "")</f>
        <v>principal-knowledge-authority|RoleAssignments</v>
      </c>
      <c r="N2962" s="3" t="s">
        <v>10004</v>
      </c>
    </row>
    <row r="2963">
      <c r="A2963" s="3" t="s">
        <v>12965</v>
      </c>
      <c r="B2963" s="4" t="str">
        <f>C2963 &amp; " -&gt; " &amp; D2963</f>
        <v>principal-knowledge-authority -&gt; RoleAssignments.Status</v>
      </c>
      <c r="C2963" s="3" t="s">
        <v>9774</v>
      </c>
      <c r="D2963" s="3" t="s">
        <v>2552</v>
      </c>
      <c r="E2963" s="3" t="b">
        <v>1</v>
      </c>
      <c r="F2963" s="3" t="b">
        <v>0</v>
      </c>
      <c r="G2963" s="3" t="s">
        <v>10003</v>
      </c>
      <c r="H2963" s="4" t="str">
        <f>_xlfn.IFNA(IF(((INDEX(RulebookFields!C2:C1898, MATCH(D2963,RulebookFields!A2:A1898, 0))="")=TRUE),  "",  INDEX(RulebookFields!C2:C1898, MATCH(D2963,RulebookFields!A2:A1898, 0))), "")</f>
        <v>RoleAssignments</v>
      </c>
      <c r="I2963" s="4" t="str">
        <f>_xlfn.IFNA(IF(((INDEX(RulebookFields!D2:D1898, MATCH(D2963,RulebookFields!A2:A1898, 0))="")=TRUE),  "",  INDEX(RulebookFields!D2:D1898, MATCH(D2963,RulebookFields!A2:A1898, 0))), "")</f>
        <v>Status</v>
      </c>
      <c r="J2963" s="4" t="b">
        <f>_xlfn.IFNA(IF(((INDEX(RulebookFields!I2:I1898, MATCH(D2963,RulebookFields!A2:A1898, 0))="")=TRUE),  "",  INDEX(RulebookFields!I2:I1898, MATCH(D2963,RulebookFields!A2:A1898, 0))), "")</f>
        <v>0</v>
      </c>
      <c r="K2963" s="4" t="b">
        <f>AND(((F2963)=TRUE), ((J2963)=TRUE))</f>
        <v>0</v>
      </c>
      <c r="L2963" s="4" t="b">
        <f>AND(((G2963 &lt;&gt; "plain")=TRUE), ((G2963 &lt;&gt; "")=TRUE))</f>
        <v>0</v>
      </c>
      <c r="M2963" s="4" t="str">
        <f>IF(((E2963)=TRUE),  C2963 &amp; "|" &amp; H2963,  "")</f>
        <v>principal-knowledge-authority|RoleAssignments</v>
      </c>
      <c r="N2963" s="3" t="s">
        <v>10004</v>
      </c>
    </row>
    <row r="2964">
      <c r="A2964" s="3" t="s">
        <v>12966</v>
      </c>
      <c r="B2964" s="4" t="str">
        <f>C2964 &amp; " -&gt; " &amp; D2964</f>
        <v>principal-knowledge-authority -&gt; RoleAssignments.EvaluationContext</v>
      </c>
      <c r="C2964" s="3" t="s">
        <v>9774</v>
      </c>
      <c r="D2964" s="3" t="s">
        <v>2553</v>
      </c>
      <c r="E2964" s="3" t="b">
        <v>1</v>
      </c>
      <c r="F2964" s="3" t="b">
        <v>0</v>
      </c>
      <c r="G2964" s="3" t="s">
        <v>10003</v>
      </c>
      <c r="H2964" s="4" t="str">
        <f>_xlfn.IFNA(IF(((INDEX(RulebookFields!C2:C1898, MATCH(D2964,RulebookFields!A2:A1898, 0))="")=TRUE),  "",  INDEX(RulebookFields!C2:C1898, MATCH(D2964,RulebookFields!A2:A1898, 0))), "")</f>
        <v>RoleAssignments</v>
      </c>
      <c r="I2964" s="4" t="str">
        <f>_xlfn.IFNA(IF(((INDEX(RulebookFields!D2:D1898, MATCH(D2964,RulebookFields!A2:A1898, 0))="")=TRUE),  "",  INDEX(RulebookFields!D2:D1898, MATCH(D2964,RulebookFields!A2:A1898, 0))), "")</f>
        <v>EvaluationContext</v>
      </c>
      <c r="J2964" s="4" t="b">
        <f>_xlfn.IFNA(IF(((INDEX(RulebookFields!I2:I1898, MATCH(D2964,RulebookFields!A2:A1898, 0))="")=TRUE),  "",  INDEX(RulebookFields!I2:I1898, MATCH(D2964,RulebookFields!A2:A1898, 0))), "")</f>
        <v>0</v>
      </c>
      <c r="K2964" s="4" t="b">
        <f>AND(((F2964)=TRUE), ((J2964)=TRUE))</f>
        <v>0</v>
      </c>
      <c r="L2964" s="4" t="b">
        <f>AND(((G2964 &lt;&gt; "plain")=TRUE), ((G2964 &lt;&gt; "")=TRUE))</f>
        <v>0</v>
      </c>
      <c r="M2964" s="4" t="str">
        <f>IF(((E2964)=TRUE),  C2964 &amp; "|" &amp; H2964,  "")</f>
        <v>principal-knowledge-authority|RoleAssignments</v>
      </c>
      <c r="N2964" s="3" t="s">
        <v>10004</v>
      </c>
    </row>
    <row r="2965">
      <c r="A2965" s="3" t="s">
        <v>12967</v>
      </c>
      <c r="B2965" s="4" t="str">
        <f>C2965 &amp; " -&gt; " &amp; D2965</f>
        <v>principal-knowledge-authority -&gt; RoleAssignments.AsOfInstant</v>
      </c>
      <c r="C2965" s="3" t="s">
        <v>9774</v>
      </c>
      <c r="D2965" s="3" t="s">
        <v>2554</v>
      </c>
      <c r="E2965" s="3" t="b">
        <v>1</v>
      </c>
      <c r="F2965" s="3" t="b">
        <v>0</v>
      </c>
      <c r="G2965" s="3" t="s">
        <v>10003</v>
      </c>
      <c r="H2965" s="4" t="str">
        <f>_xlfn.IFNA(IF(((INDEX(RulebookFields!C2:C1898, MATCH(D2965,RulebookFields!A2:A1898, 0))="")=TRUE),  "",  INDEX(RulebookFields!C2:C1898, MATCH(D2965,RulebookFields!A2:A1898, 0))), "")</f>
        <v>RoleAssignments</v>
      </c>
      <c r="I2965" s="4" t="str">
        <f>_xlfn.IFNA(IF(((INDEX(RulebookFields!D2:D1898, MATCH(D2965,RulebookFields!A2:A1898, 0))="")=TRUE),  "",  INDEX(RulebookFields!D2:D1898, MATCH(D2965,RulebookFields!A2:A1898, 0))), "")</f>
        <v>AsOfInstant</v>
      </c>
      <c r="J2965" s="4" t="b">
        <f>_xlfn.IFNA(IF(((INDEX(RulebookFields!I2:I1898, MATCH(D2965,RulebookFields!A2:A1898, 0))="")=TRUE),  "",  INDEX(RulebookFields!I2:I1898, MATCH(D2965,RulebookFields!A2:A1898, 0))), "")</f>
        <v>1</v>
      </c>
      <c r="K2965" s="4" t="b">
        <f>AND(((F2965)=TRUE), ((J2965)=TRUE))</f>
        <v>0</v>
      </c>
      <c r="L2965" s="4" t="b">
        <f>AND(((G2965 &lt;&gt; "plain")=TRUE), ((G2965 &lt;&gt; "")=TRUE))</f>
        <v>0</v>
      </c>
      <c r="M2965" s="4" t="str">
        <f>IF(((E2965)=TRUE),  C2965 &amp; "|" &amp; H2965,  "")</f>
        <v>principal-knowledge-authority|RoleAssignments</v>
      </c>
      <c r="N2965" s="3" t="s">
        <v>10004</v>
      </c>
    </row>
    <row r="2966">
      <c r="A2966" s="3" t="s">
        <v>12968</v>
      </c>
      <c r="B2966" s="4" t="str">
        <f>C2966 &amp; " -&gt; " &amp; D2966</f>
        <v>principal-knowledge-authority -&gt; RoleAssignments.IsCurrent</v>
      </c>
      <c r="C2966" s="3" t="s">
        <v>9774</v>
      </c>
      <c r="D2966" s="3" t="s">
        <v>2556</v>
      </c>
      <c r="E2966" s="3" t="b">
        <v>1</v>
      </c>
      <c r="F2966" s="3" t="b">
        <v>0</v>
      </c>
      <c r="G2966" s="3" t="s">
        <v>10003</v>
      </c>
      <c r="H2966" s="4" t="str">
        <f>_xlfn.IFNA(IF(((INDEX(RulebookFields!C2:C1898, MATCH(D2966,RulebookFields!A2:A1898, 0))="")=TRUE),  "",  INDEX(RulebookFields!C2:C1898, MATCH(D2966,RulebookFields!A2:A1898, 0))), "")</f>
        <v>RoleAssignments</v>
      </c>
      <c r="I2966" s="4" t="str">
        <f>_xlfn.IFNA(IF(((INDEX(RulebookFields!D2:D1898, MATCH(D2966,RulebookFields!A2:A1898, 0))="")=TRUE),  "",  INDEX(RulebookFields!D2:D1898, MATCH(D2966,RulebookFields!A2:A1898, 0))), "")</f>
        <v>IsCurrent</v>
      </c>
      <c r="J2966" s="4" t="b">
        <f>_xlfn.IFNA(IF(((INDEX(RulebookFields!I2:I1898, MATCH(D2966,RulebookFields!A2:A1898, 0))="")=TRUE),  "",  INDEX(RulebookFields!I2:I1898, MATCH(D2966,RulebookFields!A2:A1898, 0))), "")</f>
        <v>1</v>
      </c>
      <c r="K2966" s="4" t="b">
        <f>AND(((F2966)=TRUE), ((J2966)=TRUE))</f>
        <v>0</v>
      </c>
      <c r="L2966" s="4" t="b">
        <f>AND(((G2966 &lt;&gt; "plain")=TRUE), ((G2966 &lt;&gt; "")=TRUE))</f>
        <v>0</v>
      </c>
      <c r="M2966" s="4" t="str">
        <f>IF(((E2966)=TRUE),  C2966 &amp; "|" &amp; H2966,  "")</f>
        <v>principal-knowledge-authority|RoleAssignments</v>
      </c>
      <c r="N2966" s="3" t="s">
        <v>10004</v>
      </c>
    </row>
    <row r="2967">
      <c r="A2967" s="3" t="s">
        <v>12969</v>
      </c>
      <c r="B2967" s="4" t="str">
        <f>C2967 &amp; " -&gt; " &amp; D2967</f>
        <v>principal-knowledge-authority -&gt; RoleAssignments.CurrentAgentKey</v>
      </c>
      <c r="C2967" s="3" t="s">
        <v>9774</v>
      </c>
      <c r="D2967" s="3" t="s">
        <v>2558</v>
      </c>
      <c r="E2967" s="3" t="b">
        <v>1</v>
      </c>
      <c r="F2967" s="3" t="b">
        <v>0</v>
      </c>
      <c r="G2967" s="3" t="s">
        <v>10003</v>
      </c>
      <c r="H2967" s="4" t="str">
        <f>_xlfn.IFNA(IF(((INDEX(RulebookFields!C2:C1898, MATCH(D2967,RulebookFields!A2:A1898, 0))="")=TRUE),  "",  INDEX(RulebookFields!C2:C1898, MATCH(D2967,RulebookFields!A2:A1898, 0))), "")</f>
        <v>RoleAssignments</v>
      </c>
      <c r="I2967" s="4" t="str">
        <f>_xlfn.IFNA(IF(((INDEX(RulebookFields!D2:D1898, MATCH(D2967,RulebookFields!A2:A1898, 0))="")=TRUE),  "",  INDEX(RulebookFields!D2:D1898, MATCH(D2967,RulebookFields!A2:A1898, 0))), "")</f>
        <v>CurrentAgentKey</v>
      </c>
      <c r="J2967" s="4" t="b">
        <f>_xlfn.IFNA(IF(((INDEX(RulebookFields!I2:I1898, MATCH(D2967,RulebookFields!A2:A1898, 0))="")=TRUE),  "",  INDEX(RulebookFields!I2:I1898, MATCH(D2967,RulebookFields!A2:A1898, 0))), "")</f>
        <v>1</v>
      </c>
      <c r="K2967" s="4" t="b">
        <f>AND(((F2967)=TRUE), ((J2967)=TRUE))</f>
        <v>0</v>
      </c>
      <c r="L2967" s="4" t="b">
        <f>AND(((G2967 &lt;&gt; "plain")=TRUE), ((G2967 &lt;&gt; "")=TRUE))</f>
        <v>0</v>
      </c>
      <c r="M2967" s="4" t="str">
        <f>IF(((E2967)=TRUE),  C2967 &amp; "|" &amp; H2967,  "")</f>
        <v>principal-knowledge-authority|RoleAssignments</v>
      </c>
      <c r="N2967" s="3" t="s">
        <v>10004</v>
      </c>
    </row>
    <row r="2968">
      <c r="A2968" s="3" t="s">
        <v>12970</v>
      </c>
      <c r="B2968" s="4" t="str">
        <f>C2968 &amp; " -&gt; " &amp; D2968</f>
        <v>principal-knowledge-authority -&gt; RoleAssignments.IsCurrentlyValid</v>
      </c>
      <c r="C2968" s="3" t="s">
        <v>9774</v>
      </c>
      <c r="D2968" s="3" t="s">
        <v>2560</v>
      </c>
      <c r="E2968" s="3" t="b">
        <v>1</v>
      </c>
      <c r="F2968" s="3" t="b">
        <v>0</v>
      </c>
      <c r="G2968" s="3" t="s">
        <v>10003</v>
      </c>
      <c r="H2968" s="4" t="str">
        <f>_xlfn.IFNA(IF(((INDEX(RulebookFields!C2:C1898, MATCH(D2968,RulebookFields!A2:A1898, 0))="")=TRUE),  "",  INDEX(RulebookFields!C2:C1898, MATCH(D2968,RulebookFields!A2:A1898, 0))), "")</f>
        <v>RoleAssignments</v>
      </c>
      <c r="I2968" s="4" t="str">
        <f>_xlfn.IFNA(IF(((INDEX(RulebookFields!D2:D1898, MATCH(D2968,RulebookFields!A2:A1898, 0))="")=TRUE),  "",  INDEX(RulebookFields!D2:D1898, MATCH(D2968,RulebookFields!A2:A1898, 0))), "")</f>
        <v>IsCurrentlyValid</v>
      </c>
      <c r="J2968" s="4" t="b">
        <f>_xlfn.IFNA(IF(((INDEX(RulebookFields!I2:I1898, MATCH(D2968,RulebookFields!A2:A1898, 0))="")=TRUE),  "",  INDEX(RulebookFields!I2:I1898, MATCH(D2968,RulebookFields!A2:A1898, 0))), "")</f>
        <v>1</v>
      </c>
      <c r="K2968" s="4" t="b">
        <f>AND(((F2968)=TRUE), ((J2968)=TRUE))</f>
        <v>0</v>
      </c>
      <c r="L2968" s="4" t="b">
        <f>AND(((G2968 &lt;&gt; "plain")=TRUE), ((G2968 &lt;&gt; "")=TRUE))</f>
        <v>0</v>
      </c>
      <c r="M2968" s="4" t="str">
        <f>IF(((E2968)=TRUE),  C2968 &amp; "|" &amp; H2968,  "")</f>
        <v>principal-knowledge-authority|RoleAssignments</v>
      </c>
      <c r="N2968" s="3" t="s">
        <v>10004</v>
      </c>
    </row>
    <row r="2969">
      <c r="A2969" s="3" t="s">
        <v>12971</v>
      </c>
      <c r="B2969" s="4" t="str">
        <f>C2969 &amp; " -&gt; " &amp; D2969</f>
        <v>principal-knowledge-authority -&gt; RoleAssignments.AgentRoleKey</v>
      </c>
      <c r="C2969" s="3" t="s">
        <v>9774</v>
      </c>
      <c r="D2969" s="3" t="s">
        <v>2562</v>
      </c>
      <c r="E2969" s="3" t="b">
        <v>1</v>
      </c>
      <c r="F2969" s="3" t="b">
        <v>0</v>
      </c>
      <c r="G2969" s="3" t="s">
        <v>10003</v>
      </c>
      <c r="H2969" s="4" t="str">
        <f>_xlfn.IFNA(IF(((INDEX(RulebookFields!C2:C1898, MATCH(D2969,RulebookFields!A2:A1898, 0))="")=TRUE),  "",  INDEX(RulebookFields!C2:C1898, MATCH(D2969,RulebookFields!A2:A1898, 0))), "")</f>
        <v>RoleAssignments</v>
      </c>
      <c r="I2969" s="4" t="str">
        <f>_xlfn.IFNA(IF(((INDEX(RulebookFields!D2:D1898, MATCH(D2969,RulebookFields!A2:A1898, 0))="")=TRUE),  "",  INDEX(RulebookFields!D2:D1898, MATCH(D2969,RulebookFields!A2:A1898, 0))), "")</f>
        <v>AgentRoleKey</v>
      </c>
      <c r="J2969" s="4" t="b">
        <f>_xlfn.IFNA(IF(((INDEX(RulebookFields!I2:I1898, MATCH(D2969,RulebookFields!A2:A1898, 0))="")=TRUE),  "",  INDEX(RulebookFields!I2:I1898, MATCH(D2969,RulebookFields!A2:A1898, 0))), "")</f>
        <v>1</v>
      </c>
      <c r="K2969" s="4" t="b">
        <f>AND(((F2969)=TRUE), ((J2969)=TRUE))</f>
        <v>0</v>
      </c>
      <c r="L2969" s="4" t="b">
        <f>AND(((G2969 &lt;&gt; "plain")=TRUE), ((G2969 &lt;&gt; "")=TRUE))</f>
        <v>0</v>
      </c>
      <c r="M2969" s="4" t="str">
        <f>IF(((E2969)=TRUE),  C2969 &amp; "|" &amp; H2969,  "")</f>
        <v>principal-knowledge-authority|RoleAssignments</v>
      </c>
      <c r="N2969" s="3" t="s">
        <v>10004</v>
      </c>
    </row>
    <row r="2970">
      <c r="A2970" s="3" t="s">
        <v>12972</v>
      </c>
      <c r="B2970" s="4" t="str">
        <f>C2970 &amp; " -&gt; " &amp; D2970</f>
        <v>principal-knowledge-authority -&gt; RoleAssignments.HasDeparted</v>
      </c>
      <c r="C2970" s="3" t="s">
        <v>9774</v>
      </c>
      <c r="D2970" s="3" t="s">
        <v>2564</v>
      </c>
      <c r="E2970" s="3" t="b">
        <v>1</v>
      </c>
      <c r="F2970" s="3" t="b">
        <v>0</v>
      </c>
      <c r="G2970" s="3" t="s">
        <v>10003</v>
      </c>
      <c r="H2970" s="4" t="str">
        <f>_xlfn.IFNA(IF(((INDEX(RulebookFields!C2:C1898, MATCH(D2970,RulebookFields!A2:A1898, 0))="")=TRUE),  "",  INDEX(RulebookFields!C2:C1898, MATCH(D2970,RulebookFields!A2:A1898, 0))), "")</f>
        <v>RoleAssignments</v>
      </c>
      <c r="I2970" s="4" t="str">
        <f>_xlfn.IFNA(IF(((INDEX(RulebookFields!D2:D1898, MATCH(D2970,RulebookFields!A2:A1898, 0))="")=TRUE),  "",  INDEX(RulebookFields!D2:D1898, MATCH(D2970,RulebookFields!A2:A1898, 0))), "")</f>
        <v>HasDeparted</v>
      </c>
      <c r="J2970" s="4" t="b">
        <f>_xlfn.IFNA(IF(((INDEX(RulebookFields!I2:I1898, MATCH(D2970,RulebookFields!A2:A1898, 0))="")=TRUE),  "",  INDEX(RulebookFields!I2:I1898, MATCH(D2970,RulebookFields!A2:A1898, 0))), "")</f>
        <v>1</v>
      </c>
      <c r="K2970" s="4" t="b">
        <f>AND(((F2970)=TRUE), ((J2970)=TRUE))</f>
        <v>0</v>
      </c>
      <c r="L2970" s="4" t="b">
        <f>AND(((G2970 &lt;&gt; "plain")=TRUE), ((G2970 &lt;&gt; "")=TRUE))</f>
        <v>0</v>
      </c>
      <c r="M2970" s="4" t="str">
        <f>IF(((E2970)=TRUE),  C2970 &amp; "|" &amp; H2970,  "")</f>
        <v>principal-knowledge-authority|RoleAssignments</v>
      </c>
      <c r="N2970" s="3" t="s">
        <v>10004</v>
      </c>
    </row>
    <row r="2971">
      <c r="A2971" s="3" t="s">
        <v>12973</v>
      </c>
      <c r="B2971" s="4" t="str">
        <f>C2971 &amp; " -&gt; " &amp; D2971</f>
        <v>principal-knowledge-authority -&gt; RoleAssignments.CoversNow</v>
      </c>
      <c r="C2971" s="3" t="s">
        <v>9774</v>
      </c>
      <c r="D2971" s="3" t="s">
        <v>2566</v>
      </c>
      <c r="E2971" s="3" t="b">
        <v>1</v>
      </c>
      <c r="F2971" s="3" t="b">
        <v>0</v>
      </c>
      <c r="G2971" s="3" t="s">
        <v>10003</v>
      </c>
      <c r="H2971" s="4" t="str">
        <f>_xlfn.IFNA(IF(((INDEX(RulebookFields!C2:C1898, MATCH(D2971,RulebookFields!A2:A1898, 0))="")=TRUE),  "",  INDEX(RulebookFields!C2:C1898, MATCH(D2971,RulebookFields!A2:A1898, 0))), "")</f>
        <v>RoleAssignments</v>
      </c>
      <c r="I2971" s="4" t="str">
        <f>_xlfn.IFNA(IF(((INDEX(RulebookFields!D2:D1898, MATCH(D2971,RulebookFields!A2:A1898, 0))="")=TRUE),  "",  INDEX(RulebookFields!D2:D1898, MATCH(D2971,RulebookFields!A2:A1898, 0))), "")</f>
        <v>CoversNow</v>
      </c>
      <c r="J2971" s="4" t="b">
        <f>_xlfn.IFNA(IF(((INDEX(RulebookFields!I2:I1898, MATCH(D2971,RulebookFields!A2:A1898, 0))="")=TRUE),  "",  INDEX(RulebookFields!I2:I1898, MATCH(D2971,RulebookFields!A2:A1898, 0))), "")</f>
        <v>1</v>
      </c>
      <c r="K2971" s="4" t="b">
        <f>AND(((F2971)=TRUE), ((J2971)=TRUE))</f>
        <v>0</v>
      </c>
      <c r="L2971" s="4" t="b">
        <f>AND(((G2971 &lt;&gt; "plain")=TRUE), ((G2971 &lt;&gt; "")=TRUE))</f>
        <v>0</v>
      </c>
      <c r="M2971" s="4" t="str">
        <f>IF(((E2971)=TRUE),  C2971 &amp; "|" &amp; H2971,  "")</f>
        <v>principal-knowledge-authority|RoleAssignments</v>
      </c>
      <c r="N2971" s="3" t="s">
        <v>10004</v>
      </c>
    </row>
    <row r="2972">
      <c r="A2972" s="3" t="s">
        <v>12974</v>
      </c>
      <c r="B2972" s="4" t="str">
        <f>C2972 &amp; " -&gt; " &amp; D2972</f>
        <v>principal-knowledge-authority -&gt; RoleAssignments.RoleWhenCovering</v>
      </c>
      <c r="C2972" s="3" t="s">
        <v>9774</v>
      </c>
      <c r="D2972" s="3" t="s">
        <v>2568</v>
      </c>
      <c r="E2972" s="3" t="b">
        <v>1</v>
      </c>
      <c r="F2972" s="3" t="b">
        <v>0</v>
      </c>
      <c r="G2972" s="3" t="s">
        <v>10003</v>
      </c>
      <c r="H2972" s="4" t="str">
        <f>_xlfn.IFNA(IF(((INDEX(RulebookFields!C2:C1898, MATCH(D2972,RulebookFields!A2:A1898, 0))="")=TRUE),  "",  INDEX(RulebookFields!C2:C1898, MATCH(D2972,RulebookFields!A2:A1898, 0))), "")</f>
        <v>RoleAssignments</v>
      </c>
      <c r="I2972" s="4" t="str">
        <f>_xlfn.IFNA(IF(((INDEX(RulebookFields!D2:D1898, MATCH(D2972,RulebookFields!A2:A1898, 0))="")=TRUE),  "",  INDEX(RulebookFields!D2:D1898, MATCH(D2972,RulebookFields!A2:A1898, 0))), "")</f>
        <v>RoleWhenCovering</v>
      </c>
      <c r="J2972" s="4" t="b">
        <f>_xlfn.IFNA(IF(((INDEX(RulebookFields!I2:I1898, MATCH(D2972,RulebookFields!A2:A1898, 0))="")=TRUE),  "",  INDEX(RulebookFields!I2:I1898, MATCH(D2972,RulebookFields!A2:A1898, 0))), "")</f>
        <v>1</v>
      </c>
      <c r="K2972" s="4" t="b">
        <f>AND(((F2972)=TRUE), ((J2972)=TRUE))</f>
        <v>0</v>
      </c>
      <c r="L2972" s="4" t="b">
        <f>AND(((G2972 &lt;&gt; "plain")=TRUE), ((G2972 &lt;&gt; "")=TRUE))</f>
        <v>0</v>
      </c>
      <c r="M2972" s="4" t="str">
        <f>IF(((E2972)=TRUE),  C2972 &amp; "|" &amp; H2972,  "")</f>
        <v>principal-knowledge-authority|RoleAssignments</v>
      </c>
      <c r="N2972" s="3" t="s">
        <v>10004</v>
      </c>
    </row>
    <row r="2973">
      <c r="A2973" s="3" t="s">
        <v>12975</v>
      </c>
      <c r="B2973" s="4" t="str">
        <f>C2973 &amp; " -&gt; " &amp; D2973</f>
        <v>principal-knowledge-authority -&gt; RoleAssignments.AgentKind</v>
      </c>
      <c r="C2973" s="3" t="s">
        <v>9774</v>
      </c>
      <c r="D2973" s="3" t="s">
        <v>2570</v>
      </c>
      <c r="E2973" s="3" t="b">
        <v>1</v>
      </c>
      <c r="F2973" s="3" t="b">
        <v>0</v>
      </c>
      <c r="G2973" s="3" t="s">
        <v>10003</v>
      </c>
      <c r="H2973" s="4" t="str">
        <f>_xlfn.IFNA(IF(((INDEX(RulebookFields!C2:C1898, MATCH(D2973,RulebookFields!A2:A1898, 0))="")=TRUE),  "",  INDEX(RulebookFields!C2:C1898, MATCH(D2973,RulebookFields!A2:A1898, 0))), "")</f>
        <v>RoleAssignments</v>
      </c>
      <c r="I2973" s="4" t="str">
        <f>_xlfn.IFNA(IF(((INDEX(RulebookFields!D2:D1898, MATCH(D2973,RulebookFields!A2:A1898, 0))="")=TRUE),  "",  INDEX(RulebookFields!D2:D1898, MATCH(D2973,RulebookFields!A2:A1898, 0))), "")</f>
        <v>AgentKind</v>
      </c>
      <c r="J2973" s="4" t="b">
        <f>_xlfn.IFNA(IF(((INDEX(RulebookFields!I2:I1898, MATCH(D2973,RulebookFields!A2:A1898, 0))="")=TRUE),  "",  INDEX(RulebookFields!I2:I1898, MATCH(D2973,RulebookFields!A2:A1898, 0))), "")</f>
        <v>1</v>
      </c>
      <c r="K2973" s="4" t="b">
        <f>AND(((F2973)=TRUE), ((J2973)=TRUE))</f>
        <v>0</v>
      </c>
      <c r="L2973" s="4" t="b">
        <f>AND(((G2973 &lt;&gt; "plain")=TRUE), ((G2973 &lt;&gt; "")=TRUE))</f>
        <v>0</v>
      </c>
      <c r="M2973" s="4" t="str">
        <f>IF(((E2973)=TRUE),  C2973 &amp; "|" &amp; H2973,  "")</f>
        <v>principal-knowledge-authority|RoleAssignments</v>
      </c>
      <c r="N2973" s="3" t="s">
        <v>10004</v>
      </c>
    </row>
    <row r="2974">
      <c r="A2974" s="3" t="s">
        <v>12976</v>
      </c>
      <c r="B2974" s="4" t="str">
        <f>C2974 &amp; " -&gt; " &amp; D2974</f>
        <v>principal-knowledge-authority -&gt; RoleAssignments.IsNonHumanAssignment</v>
      </c>
      <c r="C2974" s="3" t="s">
        <v>9774</v>
      </c>
      <c r="D2974" s="3" t="s">
        <v>2572</v>
      </c>
      <c r="E2974" s="3" t="b">
        <v>1</v>
      </c>
      <c r="F2974" s="3" t="b">
        <v>0</v>
      </c>
      <c r="G2974" s="3" t="s">
        <v>10003</v>
      </c>
      <c r="H2974" s="4" t="str">
        <f>_xlfn.IFNA(IF(((INDEX(RulebookFields!C2:C1898, MATCH(D2974,RulebookFields!A2:A1898, 0))="")=TRUE),  "",  INDEX(RulebookFields!C2:C1898, MATCH(D2974,RulebookFields!A2:A1898, 0))), "")</f>
        <v>RoleAssignments</v>
      </c>
      <c r="I2974" s="4" t="str">
        <f>_xlfn.IFNA(IF(((INDEX(RulebookFields!D2:D1898, MATCH(D2974,RulebookFields!A2:A1898, 0))="")=TRUE),  "",  INDEX(RulebookFields!D2:D1898, MATCH(D2974,RulebookFields!A2:A1898, 0))), "")</f>
        <v>IsNonHumanAssignment</v>
      </c>
      <c r="J2974" s="4" t="b">
        <f>_xlfn.IFNA(IF(((INDEX(RulebookFields!I2:I1898, MATCH(D2974,RulebookFields!A2:A1898, 0))="")=TRUE),  "",  INDEX(RulebookFields!I2:I1898, MATCH(D2974,RulebookFields!A2:A1898, 0))), "")</f>
        <v>1</v>
      </c>
      <c r="K2974" s="4" t="b">
        <f>AND(((F2974)=TRUE), ((J2974)=TRUE))</f>
        <v>0</v>
      </c>
      <c r="L2974" s="4" t="b">
        <f>AND(((G2974 &lt;&gt; "plain")=TRUE), ((G2974 &lt;&gt; "")=TRUE))</f>
        <v>0</v>
      </c>
      <c r="M2974" s="4" t="str">
        <f>IF(((E2974)=TRUE),  C2974 &amp; "|" &amp; H2974,  "")</f>
        <v>principal-knowledge-authority|RoleAssignments</v>
      </c>
      <c r="N2974" s="3" t="s">
        <v>10004</v>
      </c>
    </row>
    <row r="2975">
      <c r="A2975" s="3" t="s">
        <v>12977</v>
      </c>
      <c r="B2975" s="4" t="str">
        <f>C2975 &amp; " -&gt; " &amp; D2975</f>
        <v>principal-knowledge-authority -&gt; RoleAssignments.SupersedesAssignment</v>
      </c>
      <c r="C2975" s="3" t="s">
        <v>9774</v>
      </c>
      <c r="D2975" s="3" t="s">
        <v>2573</v>
      </c>
      <c r="E2975" s="3" t="b">
        <v>1</v>
      </c>
      <c r="F2975" s="3" t="b">
        <v>0</v>
      </c>
      <c r="G2975" s="3" t="s">
        <v>10003</v>
      </c>
      <c r="H2975" s="4" t="str">
        <f>_xlfn.IFNA(IF(((INDEX(RulebookFields!C2:C1898, MATCH(D2975,RulebookFields!A2:A1898, 0))="")=TRUE),  "",  INDEX(RulebookFields!C2:C1898, MATCH(D2975,RulebookFields!A2:A1898, 0))), "")</f>
        <v>RoleAssignments</v>
      </c>
      <c r="I2975" s="4" t="str">
        <f>_xlfn.IFNA(IF(((INDEX(RulebookFields!D2:D1898, MATCH(D2975,RulebookFields!A2:A1898, 0))="")=TRUE),  "",  INDEX(RulebookFields!D2:D1898, MATCH(D2975,RulebookFields!A2:A1898, 0))), "")</f>
        <v>SupersedesAssignment</v>
      </c>
      <c r="J2975" s="4" t="b">
        <f>_xlfn.IFNA(IF(((INDEX(RulebookFields!I2:I1898, MATCH(D2975,RulebookFields!A2:A1898, 0))="")=TRUE),  "",  INDEX(RulebookFields!I2:I1898, MATCH(D2975,RulebookFields!A2:A1898, 0))), "")</f>
        <v>0</v>
      </c>
      <c r="K2975" s="4" t="b">
        <f>AND(((F2975)=TRUE), ((J2975)=TRUE))</f>
        <v>0</v>
      </c>
      <c r="L2975" s="4" t="b">
        <f>AND(((G2975 &lt;&gt; "plain")=TRUE), ((G2975 &lt;&gt; "")=TRUE))</f>
        <v>0</v>
      </c>
      <c r="M2975" s="4" t="str">
        <f>IF(((E2975)=TRUE),  C2975 &amp; "|" &amp; H2975,  "")</f>
        <v>principal-knowledge-authority|RoleAssignments</v>
      </c>
      <c r="N2975" s="3" t="s">
        <v>10004</v>
      </c>
    </row>
    <row r="2976">
      <c r="A2976" s="3" t="s">
        <v>12978</v>
      </c>
      <c r="B2976" s="4" t="str">
        <f>C2976 &amp; " -&gt; " &amp; D2976</f>
        <v>principal-knowledge-authority -&gt; RoleAssignments.PredecessorAgentKind</v>
      </c>
      <c r="C2976" s="3" t="s">
        <v>9774</v>
      </c>
      <c r="D2976" s="3" t="s">
        <v>2574</v>
      </c>
      <c r="E2976" s="3" t="b">
        <v>1</v>
      </c>
      <c r="F2976" s="3" t="b">
        <v>0</v>
      </c>
      <c r="G2976" s="3" t="s">
        <v>10003</v>
      </c>
      <c r="H2976" s="4" t="str">
        <f>_xlfn.IFNA(IF(((INDEX(RulebookFields!C2:C1898, MATCH(D2976,RulebookFields!A2:A1898, 0))="")=TRUE),  "",  INDEX(RulebookFields!C2:C1898, MATCH(D2976,RulebookFields!A2:A1898, 0))), "")</f>
        <v>RoleAssignments</v>
      </c>
      <c r="I2976" s="4" t="str">
        <f>_xlfn.IFNA(IF(((INDEX(RulebookFields!D2:D1898, MATCH(D2976,RulebookFields!A2:A1898, 0))="")=TRUE),  "",  INDEX(RulebookFields!D2:D1898, MATCH(D2976,RulebookFields!A2:A1898, 0))), "")</f>
        <v>PredecessorAgentKind</v>
      </c>
      <c r="J2976" s="4" t="b">
        <f>_xlfn.IFNA(IF(((INDEX(RulebookFields!I2:I1898, MATCH(D2976,RulebookFields!A2:A1898, 0))="")=TRUE),  "",  INDEX(RulebookFields!I2:I1898, MATCH(D2976,RulebookFields!A2:A1898, 0))), "")</f>
        <v>1</v>
      </c>
      <c r="K2976" s="4" t="b">
        <f>AND(((F2976)=TRUE), ((J2976)=TRUE))</f>
        <v>0</v>
      </c>
      <c r="L2976" s="4" t="b">
        <f>AND(((G2976 &lt;&gt; "plain")=TRUE), ((G2976 &lt;&gt; "")=TRUE))</f>
        <v>0</v>
      </c>
      <c r="M2976" s="4" t="str">
        <f>IF(((E2976)=TRUE),  C2976 &amp; "|" &amp; H2976,  "")</f>
        <v>principal-knowledge-authority|RoleAssignments</v>
      </c>
      <c r="N2976" s="3" t="s">
        <v>10004</v>
      </c>
    </row>
    <row r="2977">
      <c r="A2977" s="3" t="s">
        <v>12979</v>
      </c>
      <c r="B2977" s="4" t="str">
        <f>C2977 &amp; " -&gt; " &amp; D2977</f>
        <v>principal-knowledge-authority -&gt; RoleAssignments.IsHumanToNonHumanHandover</v>
      </c>
      <c r="C2977" s="3" t="s">
        <v>9774</v>
      </c>
      <c r="D2977" s="3" t="s">
        <v>2576</v>
      </c>
      <c r="E2977" s="3" t="b">
        <v>1</v>
      </c>
      <c r="F2977" s="3" t="b">
        <v>0</v>
      </c>
      <c r="G2977" s="3" t="s">
        <v>10003</v>
      </c>
      <c r="H2977" s="4" t="str">
        <f>_xlfn.IFNA(IF(((INDEX(RulebookFields!C2:C1898, MATCH(D2977,RulebookFields!A2:A1898, 0))="")=TRUE),  "",  INDEX(RulebookFields!C2:C1898, MATCH(D2977,RulebookFields!A2:A1898, 0))), "")</f>
        <v>RoleAssignments</v>
      </c>
      <c r="I2977" s="4" t="str">
        <f>_xlfn.IFNA(IF(((INDEX(RulebookFields!D2:D1898, MATCH(D2977,RulebookFields!A2:A1898, 0))="")=TRUE),  "",  INDEX(RulebookFields!D2:D1898, MATCH(D2977,RulebookFields!A2:A1898, 0))), "")</f>
        <v>IsHumanToNonHumanHandover</v>
      </c>
      <c r="J2977" s="4" t="b">
        <f>_xlfn.IFNA(IF(((INDEX(RulebookFields!I2:I1898, MATCH(D2977,RulebookFields!A2:A1898, 0))="")=TRUE),  "",  INDEX(RulebookFields!I2:I1898, MATCH(D2977,RulebookFields!A2:A1898, 0))), "")</f>
        <v>1</v>
      </c>
      <c r="K2977" s="4" t="b">
        <f>AND(((F2977)=TRUE), ((J2977)=TRUE))</f>
        <v>0</v>
      </c>
      <c r="L2977" s="4" t="b">
        <f>AND(((G2977 &lt;&gt; "plain")=TRUE), ((G2977 &lt;&gt; "")=TRUE))</f>
        <v>0</v>
      </c>
      <c r="M2977" s="4" t="str">
        <f>IF(((E2977)=TRUE),  C2977 &amp; "|" &amp; H2977,  "")</f>
        <v>principal-knowledge-authority|RoleAssignments</v>
      </c>
      <c r="N2977" s="3" t="s">
        <v>10004</v>
      </c>
    </row>
    <row r="2978">
      <c r="A2978" s="3" t="s">
        <v>12980</v>
      </c>
      <c r="B2978" s="4" t="str">
        <f>C2978 &amp; " -&gt; " &amp; D2978</f>
        <v>principal-knowledge-authority -&gt; RoleAssignments.ApprovingAuthorityRole</v>
      </c>
      <c r="C2978" s="3" t="s">
        <v>9774</v>
      </c>
      <c r="D2978" s="3" t="s">
        <v>2578</v>
      </c>
      <c r="E2978" s="3" t="b">
        <v>1</v>
      </c>
      <c r="F2978" s="3" t="b">
        <v>0</v>
      </c>
      <c r="G2978" s="3" t="s">
        <v>10003</v>
      </c>
      <c r="H2978" s="4" t="str">
        <f>_xlfn.IFNA(IF(((INDEX(RulebookFields!C2:C1898, MATCH(D2978,RulebookFields!A2:A1898, 0))="")=TRUE),  "",  INDEX(RulebookFields!C2:C1898, MATCH(D2978,RulebookFields!A2:A1898, 0))), "")</f>
        <v>RoleAssignments</v>
      </c>
      <c r="I2978" s="4" t="str">
        <f>_xlfn.IFNA(IF(((INDEX(RulebookFields!D2:D1898, MATCH(D2978,RulebookFields!A2:A1898, 0))="")=TRUE),  "",  INDEX(RulebookFields!D2:D1898, MATCH(D2978,RulebookFields!A2:A1898, 0))), "")</f>
        <v>ApprovingAuthorityRole</v>
      </c>
      <c r="J2978" s="4" t="b">
        <f>_xlfn.IFNA(IF(((INDEX(RulebookFields!I2:I1898, MATCH(D2978,RulebookFields!A2:A1898, 0))="")=TRUE),  "",  INDEX(RulebookFields!I2:I1898, MATCH(D2978,RulebookFields!A2:A1898, 0))), "")</f>
        <v>0</v>
      </c>
      <c r="K2978" s="4" t="b">
        <f>AND(((F2978)=TRUE), ((J2978)=TRUE))</f>
        <v>0</v>
      </c>
      <c r="L2978" s="4" t="b">
        <f>AND(((G2978 &lt;&gt; "plain")=TRUE), ((G2978 &lt;&gt; "")=TRUE))</f>
        <v>0</v>
      </c>
      <c r="M2978" s="4" t="str">
        <f>IF(((E2978)=TRUE),  C2978 &amp; "|" &amp; H2978,  "")</f>
        <v>principal-knowledge-authority|RoleAssignments</v>
      </c>
      <c r="N2978" s="3" t="s">
        <v>10004</v>
      </c>
    </row>
    <row r="2979">
      <c r="A2979" s="3" t="s">
        <v>12981</v>
      </c>
      <c r="B2979" s="4" t="str">
        <f>C2979 &amp; " -&gt; " &amp; D2979</f>
        <v>principal-knowledge-authority -&gt; RoleAssignments.AuthorizingChangeRequest</v>
      </c>
      <c r="C2979" s="3" t="s">
        <v>9774</v>
      </c>
      <c r="D2979" s="3" t="s">
        <v>2579</v>
      </c>
      <c r="E2979" s="3" t="b">
        <v>1</v>
      </c>
      <c r="F2979" s="3" t="b">
        <v>0</v>
      </c>
      <c r="G2979" s="3" t="s">
        <v>10003</v>
      </c>
      <c r="H2979" s="4" t="str">
        <f>_xlfn.IFNA(IF(((INDEX(RulebookFields!C2:C1898, MATCH(D2979,RulebookFields!A2:A1898, 0))="")=TRUE),  "",  INDEX(RulebookFields!C2:C1898, MATCH(D2979,RulebookFields!A2:A1898, 0))), "")</f>
        <v>RoleAssignments</v>
      </c>
      <c r="I2979" s="4" t="str">
        <f>_xlfn.IFNA(IF(((INDEX(RulebookFields!D2:D1898, MATCH(D2979,RulebookFields!A2:A1898, 0))="")=TRUE),  "",  INDEX(RulebookFields!D2:D1898, MATCH(D2979,RulebookFields!A2:A1898, 0))), "")</f>
        <v>AuthorizingChangeRequest</v>
      </c>
      <c r="J2979" s="4" t="b">
        <f>_xlfn.IFNA(IF(((INDEX(RulebookFields!I2:I1898, MATCH(D2979,RulebookFields!A2:A1898, 0))="")=TRUE),  "",  INDEX(RulebookFields!I2:I1898, MATCH(D2979,RulebookFields!A2:A1898, 0))), "")</f>
        <v>0</v>
      </c>
      <c r="K2979" s="4" t="b">
        <f>AND(((F2979)=TRUE), ((J2979)=TRUE))</f>
        <v>0</v>
      </c>
      <c r="L2979" s="4" t="b">
        <f>AND(((G2979 &lt;&gt; "plain")=TRUE), ((G2979 &lt;&gt; "")=TRUE))</f>
        <v>0</v>
      </c>
      <c r="M2979" s="4" t="str">
        <f>IF(((E2979)=TRUE),  C2979 &amp; "|" &amp; H2979,  "")</f>
        <v>principal-knowledge-authority|RoleAssignments</v>
      </c>
      <c r="N2979" s="3" t="s">
        <v>10004</v>
      </c>
    </row>
    <row r="2980">
      <c r="A2980" s="3" t="s">
        <v>12982</v>
      </c>
      <c r="B2980" s="4" t="str">
        <f>C2980 &amp; " -&gt; " &amp; D2980</f>
        <v>principal-knowledge-authority -&gt; RoleAssignments.IsUnauthorizedNonHumanAssignment</v>
      </c>
      <c r="C2980" s="3" t="s">
        <v>9774</v>
      </c>
      <c r="D2980" s="3" t="s">
        <v>2580</v>
      </c>
      <c r="E2980" s="3" t="b">
        <v>1</v>
      </c>
      <c r="F2980" s="3" t="b">
        <v>0</v>
      </c>
      <c r="G2980" s="3" t="s">
        <v>10003</v>
      </c>
      <c r="H2980" s="4" t="str">
        <f>_xlfn.IFNA(IF(((INDEX(RulebookFields!C2:C1898, MATCH(D2980,RulebookFields!A2:A1898, 0))="")=TRUE),  "",  INDEX(RulebookFields!C2:C1898, MATCH(D2980,RulebookFields!A2:A1898, 0))), "")</f>
        <v>RoleAssignments</v>
      </c>
      <c r="I2980" s="4" t="str">
        <f>_xlfn.IFNA(IF(((INDEX(RulebookFields!D2:D1898, MATCH(D2980,RulebookFields!A2:A1898, 0))="")=TRUE),  "",  INDEX(RulebookFields!D2:D1898, MATCH(D2980,RulebookFields!A2:A1898, 0))), "")</f>
        <v>IsUnauthorizedNonHumanAssignment</v>
      </c>
      <c r="J2980" s="4" t="b">
        <f>_xlfn.IFNA(IF(((INDEX(RulebookFields!I2:I1898, MATCH(D2980,RulebookFields!A2:A1898, 0))="")=TRUE),  "",  INDEX(RulebookFields!I2:I1898, MATCH(D2980,RulebookFields!A2:A1898, 0))), "")</f>
        <v>1</v>
      </c>
      <c r="K2980" s="4" t="b">
        <f>AND(((F2980)=TRUE), ((J2980)=TRUE))</f>
        <v>0</v>
      </c>
      <c r="L2980" s="4" t="b">
        <f>AND(((G2980 &lt;&gt; "plain")=TRUE), ((G2980 &lt;&gt; "")=TRUE))</f>
        <v>0</v>
      </c>
      <c r="M2980" s="4" t="str">
        <f>IF(((E2980)=TRUE),  C2980 &amp; "|" &amp; H2980,  "")</f>
        <v>principal-knowledge-authority|RoleAssignments</v>
      </c>
      <c r="N2980" s="3" t="s">
        <v>10004</v>
      </c>
    </row>
    <row r="2981">
      <c r="A2981" s="3" t="s">
        <v>12983</v>
      </c>
      <c r="B2981" s="4" t="str">
        <f>C2981 &amp; " -&gt; " &amp; D2981</f>
        <v>principal-knowledge-authority -&gt; RoleAssignments.WasAuthorizedByChangeRequest</v>
      </c>
      <c r="C2981" s="3" t="s">
        <v>9774</v>
      </c>
      <c r="D2981" s="3" t="s">
        <v>2582</v>
      </c>
      <c r="E2981" s="3" t="b">
        <v>1</v>
      </c>
      <c r="F2981" s="3" t="b">
        <v>0</v>
      </c>
      <c r="G2981" s="3" t="s">
        <v>10003</v>
      </c>
      <c r="H2981" s="4" t="str">
        <f>_xlfn.IFNA(IF(((INDEX(RulebookFields!C2:C1898, MATCH(D2981,RulebookFields!A2:A1898, 0))="")=TRUE),  "",  INDEX(RulebookFields!C2:C1898, MATCH(D2981,RulebookFields!A2:A1898, 0))), "")</f>
        <v>RoleAssignments</v>
      </c>
      <c r="I2981" s="4" t="str">
        <f>_xlfn.IFNA(IF(((INDEX(RulebookFields!D2:D1898, MATCH(D2981,RulebookFields!A2:A1898, 0))="")=TRUE),  "",  INDEX(RulebookFields!D2:D1898, MATCH(D2981,RulebookFields!A2:A1898, 0))), "")</f>
        <v>WasAuthorizedByChangeRequest</v>
      </c>
      <c r="J2981" s="4" t="b">
        <f>_xlfn.IFNA(IF(((INDEX(RulebookFields!I2:I1898, MATCH(D2981,RulebookFields!A2:A1898, 0))="")=TRUE),  "",  INDEX(RulebookFields!I2:I1898, MATCH(D2981,RulebookFields!A2:A1898, 0))), "")</f>
        <v>1</v>
      </c>
      <c r="K2981" s="4" t="b">
        <f>AND(((F2981)=TRUE), ((J2981)=TRUE))</f>
        <v>0</v>
      </c>
      <c r="L2981" s="4" t="b">
        <f>AND(((G2981 &lt;&gt; "plain")=TRUE), ((G2981 &lt;&gt; "")=TRUE))</f>
        <v>0</v>
      </c>
      <c r="M2981" s="4" t="str">
        <f>IF(((E2981)=TRUE),  C2981 &amp; "|" &amp; H2981,  "")</f>
        <v>principal-knowledge-authority|RoleAssignments</v>
      </c>
      <c r="N2981" s="3" t="s">
        <v>10004</v>
      </c>
    </row>
    <row r="2982">
      <c r="A2982" s="3" t="s">
        <v>12984</v>
      </c>
      <c r="B2982" s="4" t="str">
        <f>C2982 &amp; " -&gt; " &amp; D2982</f>
        <v>principal-knowledge-authority -&gt; RoleAssignments.DecisionCount</v>
      </c>
      <c r="C2982" s="3" t="s">
        <v>9774</v>
      </c>
      <c r="D2982" s="3" t="s">
        <v>2584</v>
      </c>
      <c r="E2982" s="3" t="b">
        <v>1</v>
      </c>
      <c r="F2982" s="3" t="b">
        <v>0</v>
      </c>
      <c r="G2982" s="3" t="s">
        <v>10003</v>
      </c>
      <c r="H2982" s="4" t="str">
        <f>_xlfn.IFNA(IF(((INDEX(RulebookFields!C2:C1898, MATCH(D2982,RulebookFields!A2:A1898, 0))="")=TRUE),  "",  INDEX(RulebookFields!C2:C1898, MATCH(D2982,RulebookFields!A2:A1898, 0))), "")</f>
        <v>RoleAssignments</v>
      </c>
      <c r="I2982" s="4" t="str">
        <f>_xlfn.IFNA(IF(((INDEX(RulebookFields!D2:D1898, MATCH(D2982,RulebookFields!A2:A1898, 0))="")=TRUE),  "",  INDEX(RulebookFields!D2:D1898, MATCH(D2982,RulebookFields!A2:A1898, 0))), "")</f>
        <v>DecisionCount</v>
      </c>
      <c r="J2982" s="4" t="b">
        <f>_xlfn.IFNA(IF(((INDEX(RulebookFields!I2:I1898, MATCH(D2982,RulebookFields!A2:A1898, 0))="")=TRUE),  "",  INDEX(RulebookFields!I2:I1898, MATCH(D2982,RulebookFields!A2:A1898, 0))), "")</f>
        <v>1</v>
      </c>
      <c r="K2982" s="4" t="b">
        <f>AND(((F2982)=TRUE), ((J2982)=TRUE))</f>
        <v>0</v>
      </c>
      <c r="L2982" s="4" t="b">
        <f>AND(((G2982 &lt;&gt; "plain")=TRUE), ((G2982 &lt;&gt; "")=TRUE))</f>
        <v>0</v>
      </c>
      <c r="M2982" s="4" t="str">
        <f>IF(((E2982)=TRUE),  C2982 &amp; "|" &amp; H2982,  "")</f>
        <v>principal-knowledge-authority|RoleAssignments</v>
      </c>
      <c r="N2982" s="3" t="s">
        <v>10004</v>
      </c>
    </row>
    <row r="2983">
      <c r="A2983" s="3" t="s">
        <v>12985</v>
      </c>
      <c r="B2983" s="4" t="str">
        <f>C2983 &amp; " -&gt; " &amp; D2983</f>
        <v>principal-knowledge-authority -&gt; RoleAssignments.OverriddenDecisionCount</v>
      </c>
      <c r="C2983" s="3" t="s">
        <v>9774</v>
      </c>
      <c r="D2983" s="3" t="s">
        <v>2586</v>
      </c>
      <c r="E2983" s="3" t="b">
        <v>1</v>
      </c>
      <c r="F2983" s="3" t="b">
        <v>0</v>
      </c>
      <c r="G2983" s="3" t="s">
        <v>10003</v>
      </c>
      <c r="H2983" s="4" t="str">
        <f>_xlfn.IFNA(IF(((INDEX(RulebookFields!C2:C1898, MATCH(D2983,RulebookFields!A2:A1898, 0))="")=TRUE),  "",  INDEX(RulebookFields!C2:C1898, MATCH(D2983,RulebookFields!A2:A1898, 0))), "")</f>
        <v>RoleAssignments</v>
      </c>
      <c r="I2983" s="4" t="str">
        <f>_xlfn.IFNA(IF(((INDEX(RulebookFields!D2:D1898, MATCH(D2983,RulebookFields!A2:A1898, 0))="")=TRUE),  "",  INDEX(RulebookFields!D2:D1898, MATCH(D2983,RulebookFields!A2:A1898, 0))), "")</f>
        <v>OverriddenDecisionCount</v>
      </c>
      <c r="J2983" s="4" t="b">
        <f>_xlfn.IFNA(IF(((INDEX(RulebookFields!I2:I1898, MATCH(D2983,RulebookFields!A2:A1898, 0))="")=TRUE),  "",  INDEX(RulebookFields!I2:I1898, MATCH(D2983,RulebookFields!A2:A1898, 0))), "")</f>
        <v>1</v>
      </c>
      <c r="K2983" s="4" t="b">
        <f>AND(((F2983)=TRUE), ((J2983)=TRUE))</f>
        <v>0</v>
      </c>
      <c r="L2983" s="4" t="b">
        <f>AND(((G2983 &lt;&gt; "plain")=TRUE), ((G2983 &lt;&gt; "")=TRUE))</f>
        <v>0</v>
      </c>
      <c r="M2983" s="4" t="str">
        <f>IF(((E2983)=TRUE),  C2983 &amp; "|" &amp; H2983,  "")</f>
        <v>principal-knowledge-authority|RoleAssignments</v>
      </c>
      <c r="N2983" s="3" t="s">
        <v>10004</v>
      </c>
    </row>
    <row r="2984">
      <c r="A2984" s="3" t="s">
        <v>12986</v>
      </c>
      <c r="B2984" s="4" t="str">
        <f>C2984 &amp; " -&gt; " &amp; D2984</f>
        <v>principal-knowledge-authority -&gt; RoleAssignments.OverrideRatePercent</v>
      </c>
      <c r="C2984" s="3" t="s">
        <v>9774</v>
      </c>
      <c r="D2984" s="3" t="s">
        <v>2588</v>
      </c>
      <c r="E2984" s="3" t="b">
        <v>1</v>
      </c>
      <c r="F2984" s="3" t="b">
        <v>0</v>
      </c>
      <c r="G2984" s="3" t="s">
        <v>10003</v>
      </c>
      <c r="H2984" s="4" t="str">
        <f>_xlfn.IFNA(IF(((INDEX(RulebookFields!C2:C1898, MATCH(D2984,RulebookFields!A2:A1898, 0))="")=TRUE),  "",  INDEX(RulebookFields!C2:C1898, MATCH(D2984,RulebookFields!A2:A1898, 0))), "")</f>
        <v>RoleAssignments</v>
      </c>
      <c r="I2984" s="4" t="str">
        <f>_xlfn.IFNA(IF(((INDEX(RulebookFields!D2:D1898, MATCH(D2984,RulebookFields!A2:A1898, 0))="")=TRUE),  "",  INDEX(RulebookFields!D2:D1898, MATCH(D2984,RulebookFields!A2:A1898, 0))), "")</f>
        <v>OverrideRatePercent</v>
      </c>
      <c r="J2984" s="4" t="b">
        <f>_xlfn.IFNA(IF(((INDEX(RulebookFields!I2:I1898, MATCH(D2984,RulebookFields!A2:A1898, 0))="")=TRUE),  "",  INDEX(RulebookFields!I2:I1898, MATCH(D2984,RulebookFields!A2:A1898, 0))), "")</f>
        <v>1</v>
      </c>
      <c r="K2984" s="4" t="b">
        <f>AND(((F2984)=TRUE), ((J2984)=TRUE))</f>
        <v>0</v>
      </c>
      <c r="L2984" s="4" t="b">
        <f>AND(((G2984 &lt;&gt; "plain")=TRUE), ((G2984 &lt;&gt; "")=TRUE))</f>
        <v>0</v>
      </c>
      <c r="M2984" s="4" t="str">
        <f>IF(((E2984)=TRUE),  C2984 &amp; "|" &amp; H2984,  "")</f>
        <v>principal-knowledge-authority|RoleAssignments</v>
      </c>
      <c r="N2984" s="3" t="s">
        <v>10004</v>
      </c>
    </row>
    <row r="2985">
      <c r="A2985" s="3" t="s">
        <v>12987</v>
      </c>
      <c r="B2985" s="4" t="str">
        <f>C2985 &amp; " -&gt; " &amp; D2985</f>
        <v>principal-knowledge-authority -&gt; RoleAssignments.PredecessorOverrideRatePercent</v>
      </c>
      <c r="C2985" s="3" t="s">
        <v>9774</v>
      </c>
      <c r="D2985" s="3" t="s">
        <v>2589</v>
      </c>
      <c r="E2985" s="3" t="b">
        <v>1</v>
      </c>
      <c r="F2985" s="3" t="b">
        <v>0</v>
      </c>
      <c r="G2985" s="3" t="s">
        <v>10003</v>
      </c>
      <c r="H2985" s="4" t="str">
        <f>_xlfn.IFNA(IF(((INDEX(RulebookFields!C2:C1898, MATCH(D2985,RulebookFields!A2:A1898, 0))="")=TRUE),  "",  INDEX(RulebookFields!C2:C1898, MATCH(D2985,RulebookFields!A2:A1898, 0))), "")</f>
        <v>RoleAssignments</v>
      </c>
      <c r="I2985" s="4" t="str">
        <f>_xlfn.IFNA(IF(((INDEX(RulebookFields!D2:D1898, MATCH(D2985,RulebookFields!A2:A1898, 0))="")=TRUE),  "",  INDEX(RulebookFields!D2:D1898, MATCH(D2985,RulebookFields!A2:A1898, 0))), "")</f>
        <v>PredecessorOverrideRatePercent</v>
      </c>
      <c r="J2985" s="4" t="b">
        <f>_xlfn.IFNA(IF(((INDEX(RulebookFields!I2:I1898, MATCH(D2985,RulebookFields!A2:A1898, 0))="")=TRUE),  "",  INDEX(RulebookFields!I2:I1898, MATCH(D2985,RulebookFields!A2:A1898, 0))), "")</f>
        <v>1</v>
      </c>
      <c r="K2985" s="4" t="b">
        <f>AND(((F2985)=TRUE), ((J2985)=TRUE))</f>
        <v>0</v>
      </c>
      <c r="L2985" s="4" t="b">
        <f>AND(((G2985 &lt;&gt; "plain")=TRUE), ((G2985 &lt;&gt; "")=TRUE))</f>
        <v>0</v>
      </c>
      <c r="M2985" s="4" t="str">
        <f>IF(((E2985)=TRUE),  C2985 &amp; "|" &amp; H2985,  "")</f>
        <v>principal-knowledge-authority|RoleAssignments</v>
      </c>
      <c r="N2985" s="3" t="s">
        <v>10004</v>
      </c>
    </row>
    <row r="2986">
      <c r="A2986" s="3" t="s">
        <v>12988</v>
      </c>
      <c r="B2986" s="4" t="str">
        <f>C2986 &amp; " -&gt; " &amp; D2986</f>
        <v>principal-knowledge-authority -&gt; RoleAssignments.QualityRegressedVsPredecessor</v>
      </c>
      <c r="C2986" s="3" t="s">
        <v>9774</v>
      </c>
      <c r="D2986" s="3" t="s">
        <v>2591</v>
      </c>
      <c r="E2986" s="3" t="b">
        <v>1</v>
      </c>
      <c r="F2986" s="3" t="b">
        <v>0</v>
      </c>
      <c r="G2986" s="3" t="s">
        <v>10003</v>
      </c>
      <c r="H2986" s="4" t="str">
        <f>_xlfn.IFNA(IF(((INDEX(RulebookFields!C2:C1898, MATCH(D2986,RulebookFields!A2:A1898, 0))="")=TRUE),  "",  INDEX(RulebookFields!C2:C1898, MATCH(D2986,RulebookFields!A2:A1898, 0))), "")</f>
        <v>RoleAssignments</v>
      </c>
      <c r="I2986" s="4" t="str">
        <f>_xlfn.IFNA(IF(((INDEX(RulebookFields!D2:D1898, MATCH(D2986,RulebookFields!A2:A1898, 0))="")=TRUE),  "",  INDEX(RulebookFields!D2:D1898, MATCH(D2986,RulebookFields!A2:A1898, 0))), "")</f>
        <v>QualityRegressedVsPredecessor</v>
      </c>
      <c r="J2986" s="4" t="b">
        <f>_xlfn.IFNA(IF(((INDEX(RulebookFields!I2:I1898, MATCH(D2986,RulebookFields!A2:A1898, 0))="")=TRUE),  "",  INDEX(RulebookFields!I2:I1898, MATCH(D2986,RulebookFields!A2:A1898, 0))), "")</f>
        <v>1</v>
      </c>
      <c r="K2986" s="4" t="b">
        <f>AND(((F2986)=TRUE), ((J2986)=TRUE))</f>
        <v>0</v>
      </c>
      <c r="L2986" s="4" t="b">
        <f>AND(((G2986 &lt;&gt; "plain")=TRUE), ((G2986 &lt;&gt; "")=TRUE))</f>
        <v>0</v>
      </c>
      <c r="M2986" s="4" t="str">
        <f>IF(((E2986)=TRUE),  C2986 &amp; "|" &amp; H2986,  "")</f>
        <v>principal-knowledge-authority|RoleAssignments</v>
      </c>
      <c r="N2986" s="3" t="s">
        <v>10004</v>
      </c>
    </row>
    <row r="2987">
      <c r="A2987" s="3" t="s">
        <v>12989</v>
      </c>
      <c r="B2987" s="4" t="str">
        <f>C2987 &amp; " -&gt; " &amp; D2987</f>
        <v>principal-knowledge-authority -&gt; RoleAssignments.DepartedRoleKey</v>
      </c>
      <c r="C2987" s="3" t="s">
        <v>9774</v>
      </c>
      <c r="D2987" s="3" t="s">
        <v>2593</v>
      </c>
      <c r="E2987" s="3" t="b">
        <v>1</v>
      </c>
      <c r="F2987" s="3" t="b">
        <v>0</v>
      </c>
      <c r="G2987" s="3" t="s">
        <v>10003</v>
      </c>
      <c r="H2987" s="4" t="str">
        <f>_xlfn.IFNA(IF(((INDEX(RulebookFields!C2:C1898, MATCH(D2987,RulebookFields!A2:A1898, 0))="")=TRUE),  "",  INDEX(RulebookFields!C2:C1898, MATCH(D2987,RulebookFields!A2:A1898, 0))), "")</f>
        <v>RoleAssignments</v>
      </c>
      <c r="I2987" s="4" t="str">
        <f>_xlfn.IFNA(IF(((INDEX(RulebookFields!D2:D1898, MATCH(D2987,RulebookFields!A2:A1898, 0))="")=TRUE),  "",  INDEX(RulebookFields!D2:D1898, MATCH(D2987,RulebookFields!A2:A1898, 0))), "")</f>
        <v>DepartedRoleKey</v>
      </c>
      <c r="J2987" s="4" t="b">
        <f>_xlfn.IFNA(IF(((INDEX(RulebookFields!I2:I1898, MATCH(D2987,RulebookFields!A2:A1898, 0))="")=TRUE),  "",  INDEX(RulebookFields!I2:I1898, MATCH(D2987,RulebookFields!A2:A1898, 0))), "")</f>
        <v>1</v>
      </c>
      <c r="K2987" s="4" t="b">
        <f>AND(((F2987)=TRUE), ((J2987)=TRUE))</f>
        <v>0</v>
      </c>
      <c r="L2987" s="4" t="b">
        <f>AND(((G2987 &lt;&gt; "plain")=TRUE), ((G2987 &lt;&gt; "")=TRUE))</f>
        <v>0</v>
      </c>
      <c r="M2987" s="4" t="str">
        <f>IF(((E2987)=TRUE),  C2987 &amp; "|" &amp; H2987,  "")</f>
        <v>principal-knowledge-authority|RoleAssignments</v>
      </c>
      <c r="N2987" s="3" t="s">
        <v>10004</v>
      </c>
    </row>
    <row r="2988">
      <c r="A2988" s="3" t="s">
        <v>12990</v>
      </c>
      <c r="B2988" s="4" t="str">
        <f>C2988 &amp; " -&gt; " &amp; D2988</f>
        <v>principal-knowledge-authority -&gt; RoleAssignments.MinimumDecisionsForComparison</v>
      </c>
      <c r="C2988" s="3" t="s">
        <v>9774</v>
      </c>
      <c r="D2988" s="3" t="s">
        <v>2595</v>
      </c>
      <c r="E2988" s="3" t="b">
        <v>1</v>
      </c>
      <c r="F2988" s="3" t="b">
        <v>0</v>
      </c>
      <c r="G2988" s="3" t="s">
        <v>10003</v>
      </c>
      <c r="H2988" s="4" t="str">
        <f>_xlfn.IFNA(IF(((INDEX(RulebookFields!C2:C1898, MATCH(D2988,RulebookFields!A2:A1898, 0))="")=TRUE),  "",  INDEX(RulebookFields!C2:C1898, MATCH(D2988,RulebookFields!A2:A1898, 0))), "")</f>
        <v>RoleAssignments</v>
      </c>
      <c r="I2988" s="4" t="str">
        <f>_xlfn.IFNA(IF(((INDEX(RulebookFields!D2:D1898, MATCH(D2988,RulebookFields!A2:A1898, 0))="")=TRUE),  "",  INDEX(RulebookFields!D2:D1898, MATCH(D2988,RulebookFields!A2:A1898, 0))), "")</f>
        <v>MinimumDecisionsForComparison</v>
      </c>
      <c r="J2988" s="4" t="b">
        <f>_xlfn.IFNA(IF(((INDEX(RulebookFields!I2:I1898, MATCH(D2988,RulebookFields!A2:A1898, 0))="")=TRUE),  "",  INDEX(RulebookFields!I2:I1898, MATCH(D2988,RulebookFields!A2:A1898, 0))), "")</f>
        <v>0</v>
      </c>
      <c r="K2988" s="4" t="b">
        <f>AND(((F2988)=TRUE), ((J2988)=TRUE))</f>
        <v>0</v>
      </c>
      <c r="L2988" s="4" t="b">
        <f>AND(((G2988 &lt;&gt; "plain")=TRUE), ((G2988 &lt;&gt; "")=TRUE))</f>
        <v>0</v>
      </c>
      <c r="M2988" s="4" t="str">
        <f>IF(((E2988)=TRUE),  C2988 &amp; "|" &amp; H2988,  "")</f>
        <v>principal-knowledge-authority|RoleAssignments</v>
      </c>
      <c r="N2988" s="3" t="s">
        <v>10004</v>
      </c>
    </row>
    <row r="2989">
      <c r="A2989" s="3" t="s">
        <v>12991</v>
      </c>
      <c r="B2989" s="4" t="str">
        <f>C2989 &amp; " -&gt; " &amp; D2989</f>
        <v>principal-knowledge-authority -&gt; RoleAssignments.PredecessorDecisionCount</v>
      </c>
      <c r="C2989" s="3" t="s">
        <v>9774</v>
      </c>
      <c r="D2989" s="3" t="s">
        <v>2596</v>
      </c>
      <c r="E2989" s="3" t="b">
        <v>1</v>
      </c>
      <c r="F2989" s="3" t="b">
        <v>0</v>
      </c>
      <c r="G2989" s="3" t="s">
        <v>10003</v>
      </c>
      <c r="H2989" s="4" t="str">
        <f>_xlfn.IFNA(IF(((INDEX(RulebookFields!C2:C1898, MATCH(D2989,RulebookFields!A2:A1898, 0))="")=TRUE),  "",  INDEX(RulebookFields!C2:C1898, MATCH(D2989,RulebookFields!A2:A1898, 0))), "")</f>
        <v>RoleAssignments</v>
      </c>
      <c r="I2989" s="4" t="str">
        <f>_xlfn.IFNA(IF(((INDEX(RulebookFields!D2:D1898, MATCH(D2989,RulebookFields!A2:A1898, 0))="")=TRUE),  "",  INDEX(RulebookFields!D2:D1898, MATCH(D2989,RulebookFields!A2:A1898, 0))), "")</f>
        <v>PredecessorDecisionCount</v>
      </c>
      <c r="J2989" s="4" t="b">
        <f>_xlfn.IFNA(IF(((INDEX(RulebookFields!I2:I1898, MATCH(D2989,RulebookFields!A2:A1898, 0))="")=TRUE),  "",  INDEX(RulebookFields!I2:I1898, MATCH(D2989,RulebookFields!A2:A1898, 0))), "")</f>
        <v>1</v>
      </c>
      <c r="K2989" s="4" t="b">
        <f>AND(((F2989)=TRUE), ((J2989)=TRUE))</f>
        <v>0</v>
      </c>
      <c r="L2989" s="4" t="b">
        <f>AND(((G2989 &lt;&gt; "plain")=TRUE), ((G2989 &lt;&gt; "")=TRUE))</f>
        <v>0</v>
      </c>
      <c r="M2989" s="4" t="str">
        <f>IF(((E2989)=TRUE),  C2989 &amp; "|" &amp; H2989,  "")</f>
        <v>principal-knowledge-authority|RoleAssignments</v>
      </c>
      <c r="N2989" s="3" t="s">
        <v>10004</v>
      </c>
    </row>
    <row r="2990">
      <c r="A2990" s="3" t="s">
        <v>12992</v>
      </c>
      <c r="B2990" s="4" t="str">
        <f>C2990 &amp; " -&gt; " &amp; D2990</f>
        <v>principal-knowledge-authority -&gt; RoleAssignments.HasSufficientSample</v>
      </c>
      <c r="C2990" s="3" t="s">
        <v>9774</v>
      </c>
      <c r="D2990" s="3" t="s">
        <v>2598</v>
      </c>
      <c r="E2990" s="3" t="b">
        <v>1</v>
      </c>
      <c r="F2990" s="3" t="b">
        <v>0</v>
      </c>
      <c r="G2990" s="3" t="s">
        <v>10003</v>
      </c>
      <c r="H2990" s="4" t="str">
        <f>_xlfn.IFNA(IF(((INDEX(RulebookFields!C2:C1898, MATCH(D2990,RulebookFields!A2:A1898, 0))="")=TRUE),  "",  INDEX(RulebookFields!C2:C1898, MATCH(D2990,RulebookFields!A2:A1898, 0))), "")</f>
        <v>RoleAssignments</v>
      </c>
      <c r="I2990" s="4" t="str">
        <f>_xlfn.IFNA(IF(((INDEX(RulebookFields!D2:D1898, MATCH(D2990,RulebookFields!A2:A1898, 0))="")=TRUE),  "",  INDEX(RulebookFields!D2:D1898, MATCH(D2990,RulebookFields!A2:A1898, 0))), "")</f>
        <v>HasSufficientSample</v>
      </c>
      <c r="J2990" s="4" t="b">
        <f>_xlfn.IFNA(IF(((INDEX(RulebookFields!I2:I1898, MATCH(D2990,RulebookFields!A2:A1898, 0))="")=TRUE),  "",  INDEX(RulebookFields!I2:I1898, MATCH(D2990,RulebookFields!A2:A1898, 0))), "")</f>
        <v>1</v>
      </c>
      <c r="K2990" s="4" t="b">
        <f>AND(((F2990)=TRUE), ((J2990)=TRUE))</f>
        <v>0</v>
      </c>
      <c r="L2990" s="4" t="b">
        <f>AND(((G2990 &lt;&gt; "plain")=TRUE), ((G2990 &lt;&gt; "")=TRUE))</f>
        <v>0</v>
      </c>
      <c r="M2990" s="4" t="str">
        <f>IF(((E2990)=TRUE),  C2990 &amp; "|" &amp; H2990,  "")</f>
        <v>principal-knowledge-authority|RoleAssignments</v>
      </c>
      <c r="N2990" s="3" t="s">
        <v>10004</v>
      </c>
    </row>
    <row r="2991">
      <c r="A2991" s="3" t="s">
        <v>12993</v>
      </c>
      <c r="B2991" s="4" t="str">
        <f>C2991 &amp; " -&gt; " &amp; D2991</f>
        <v>principal-knowledge-authority -&gt; RoleAssignments.PredecessorHasSufficientSample</v>
      </c>
      <c r="C2991" s="3" t="s">
        <v>9774</v>
      </c>
      <c r="D2991" s="3" t="s">
        <v>2600</v>
      </c>
      <c r="E2991" s="3" t="b">
        <v>1</v>
      </c>
      <c r="F2991" s="3" t="b">
        <v>0</v>
      </c>
      <c r="G2991" s="3" t="s">
        <v>10003</v>
      </c>
      <c r="H2991" s="4" t="str">
        <f>_xlfn.IFNA(IF(((INDEX(RulebookFields!C2:C1898, MATCH(D2991,RulebookFields!A2:A1898, 0))="")=TRUE),  "",  INDEX(RulebookFields!C2:C1898, MATCH(D2991,RulebookFields!A2:A1898, 0))), "")</f>
        <v>RoleAssignments</v>
      </c>
      <c r="I2991" s="4" t="str">
        <f>_xlfn.IFNA(IF(((INDEX(RulebookFields!D2:D1898, MATCH(D2991,RulebookFields!A2:A1898, 0))="")=TRUE),  "",  INDEX(RulebookFields!D2:D1898, MATCH(D2991,RulebookFields!A2:A1898, 0))), "")</f>
        <v>PredecessorHasSufficientSample</v>
      </c>
      <c r="J2991" s="4" t="b">
        <f>_xlfn.IFNA(IF(((INDEX(RulebookFields!I2:I1898, MATCH(D2991,RulebookFields!A2:A1898, 0))="")=TRUE),  "",  INDEX(RulebookFields!I2:I1898, MATCH(D2991,RulebookFields!A2:A1898, 0))), "")</f>
        <v>1</v>
      </c>
      <c r="K2991" s="4" t="b">
        <f>AND(((F2991)=TRUE), ((J2991)=TRUE))</f>
        <v>0</v>
      </c>
      <c r="L2991" s="4" t="b">
        <f>AND(((G2991 &lt;&gt; "plain")=TRUE), ((G2991 &lt;&gt; "")=TRUE))</f>
        <v>0</v>
      </c>
      <c r="M2991" s="4" t="str">
        <f>IF(((E2991)=TRUE),  C2991 &amp; "|" &amp; H2991,  "")</f>
        <v>principal-knowledge-authority|RoleAssignments</v>
      </c>
      <c r="N2991" s="3" t="s">
        <v>10004</v>
      </c>
    </row>
    <row r="2992">
      <c r="A2992" s="3" t="s">
        <v>12994</v>
      </c>
      <c r="B2992" s="4" t="str">
        <f>C2992 &amp; " -&gt; " &amp; D2992</f>
        <v>principal-knowledge-authority -&gt; RoleAssignments.ComparisonIsEvidentiallySound</v>
      </c>
      <c r="C2992" s="3" t="s">
        <v>9774</v>
      </c>
      <c r="D2992" s="3" t="s">
        <v>2602</v>
      </c>
      <c r="E2992" s="3" t="b">
        <v>1</v>
      </c>
      <c r="F2992" s="3" t="b">
        <v>0</v>
      </c>
      <c r="G2992" s="3" t="s">
        <v>10003</v>
      </c>
      <c r="H2992" s="4" t="str">
        <f>_xlfn.IFNA(IF(((INDEX(RulebookFields!C2:C1898, MATCH(D2992,RulebookFields!A2:A1898, 0))="")=TRUE),  "",  INDEX(RulebookFields!C2:C1898, MATCH(D2992,RulebookFields!A2:A1898, 0))), "")</f>
        <v>RoleAssignments</v>
      </c>
      <c r="I2992" s="4" t="str">
        <f>_xlfn.IFNA(IF(((INDEX(RulebookFields!D2:D1898, MATCH(D2992,RulebookFields!A2:A1898, 0))="")=TRUE),  "",  INDEX(RulebookFields!D2:D1898, MATCH(D2992,RulebookFields!A2:A1898, 0))), "")</f>
        <v>ComparisonIsEvidentiallySound</v>
      </c>
      <c r="J2992" s="4" t="b">
        <f>_xlfn.IFNA(IF(((INDEX(RulebookFields!I2:I1898, MATCH(D2992,RulebookFields!A2:A1898, 0))="")=TRUE),  "",  INDEX(RulebookFields!I2:I1898, MATCH(D2992,RulebookFields!A2:A1898, 0))), "")</f>
        <v>1</v>
      </c>
      <c r="K2992" s="4" t="b">
        <f>AND(((F2992)=TRUE), ((J2992)=TRUE))</f>
        <v>0</v>
      </c>
      <c r="L2992" s="4" t="b">
        <f>AND(((G2992 &lt;&gt; "plain")=TRUE), ((G2992 &lt;&gt; "")=TRUE))</f>
        <v>0</v>
      </c>
      <c r="M2992" s="4" t="str">
        <f>IF(((E2992)=TRUE),  C2992 &amp; "|" &amp; H2992,  "")</f>
        <v>principal-knowledge-authority|RoleAssignments</v>
      </c>
      <c r="N2992" s="3" t="s">
        <v>10004</v>
      </c>
    </row>
    <row r="2993">
      <c r="A2993" s="3" t="s">
        <v>12995</v>
      </c>
      <c r="B2993" s="4" t="str">
        <f>C2993 &amp; " -&gt; " &amp; D2993</f>
        <v>principal-knowledge-authority -&gt; RoleAssignments.SingleOverrideSwingPercent</v>
      </c>
      <c r="C2993" s="3" t="s">
        <v>9774</v>
      </c>
      <c r="D2993" s="3" t="s">
        <v>2604</v>
      </c>
      <c r="E2993" s="3" t="b">
        <v>1</v>
      </c>
      <c r="F2993" s="3" t="b">
        <v>0</v>
      </c>
      <c r="G2993" s="3" t="s">
        <v>10003</v>
      </c>
      <c r="H2993" s="4" t="str">
        <f>_xlfn.IFNA(IF(((INDEX(RulebookFields!C2:C1898, MATCH(D2993,RulebookFields!A2:A1898, 0))="")=TRUE),  "",  INDEX(RulebookFields!C2:C1898, MATCH(D2993,RulebookFields!A2:A1898, 0))), "")</f>
        <v>RoleAssignments</v>
      </c>
      <c r="I2993" s="4" t="str">
        <f>_xlfn.IFNA(IF(((INDEX(RulebookFields!D2:D1898, MATCH(D2993,RulebookFields!A2:A1898, 0))="")=TRUE),  "",  INDEX(RulebookFields!D2:D1898, MATCH(D2993,RulebookFields!A2:A1898, 0))), "")</f>
        <v>SingleOverrideSwingPercent</v>
      </c>
      <c r="J2993" s="4" t="b">
        <f>_xlfn.IFNA(IF(((INDEX(RulebookFields!I2:I1898, MATCH(D2993,RulebookFields!A2:A1898, 0))="")=TRUE),  "",  INDEX(RulebookFields!I2:I1898, MATCH(D2993,RulebookFields!A2:A1898, 0))), "")</f>
        <v>1</v>
      </c>
      <c r="K2993" s="4" t="b">
        <f>AND(((F2993)=TRUE), ((J2993)=TRUE))</f>
        <v>0</v>
      </c>
      <c r="L2993" s="4" t="b">
        <f>AND(((G2993 &lt;&gt; "plain")=TRUE), ((G2993 &lt;&gt; "")=TRUE))</f>
        <v>0</v>
      </c>
      <c r="M2993" s="4" t="str">
        <f>IF(((E2993)=TRUE),  C2993 &amp; "|" &amp; H2993,  "")</f>
        <v>principal-knowledge-authority|RoleAssignments</v>
      </c>
      <c r="N2993" s="3" t="s">
        <v>10004</v>
      </c>
    </row>
    <row r="2994">
      <c r="A2994" s="3" t="s">
        <v>12996</v>
      </c>
      <c r="B2994" s="4" t="str">
        <f>C2994 &amp; " -&gt; " &amp; D2994</f>
        <v>principal-knowledge-authority -&gt; RoleAssignments.QualityVerdictIsUnsupported</v>
      </c>
      <c r="C2994" s="3" t="s">
        <v>9774</v>
      </c>
      <c r="D2994" s="3" t="s">
        <v>2606</v>
      </c>
      <c r="E2994" s="3" t="b">
        <v>1</v>
      </c>
      <c r="F2994" s="3" t="b">
        <v>0</v>
      </c>
      <c r="G2994" s="3" t="s">
        <v>10003</v>
      </c>
      <c r="H2994" s="4" t="str">
        <f>_xlfn.IFNA(IF(((INDEX(RulebookFields!C2:C1898, MATCH(D2994,RulebookFields!A2:A1898, 0))="")=TRUE),  "",  INDEX(RulebookFields!C2:C1898, MATCH(D2994,RulebookFields!A2:A1898, 0))), "")</f>
        <v>RoleAssignments</v>
      </c>
      <c r="I2994" s="4" t="str">
        <f>_xlfn.IFNA(IF(((INDEX(RulebookFields!D2:D1898, MATCH(D2994,RulebookFields!A2:A1898, 0))="")=TRUE),  "",  INDEX(RulebookFields!D2:D1898, MATCH(D2994,RulebookFields!A2:A1898, 0))), "")</f>
        <v>QualityVerdictIsUnsupported</v>
      </c>
      <c r="J2994" s="4" t="b">
        <f>_xlfn.IFNA(IF(((INDEX(RulebookFields!I2:I1898, MATCH(D2994,RulebookFields!A2:A1898, 0))="")=TRUE),  "",  INDEX(RulebookFields!I2:I1898, MATCH(D2994,RulebookFields!A2:A1898, 0))), "")</f>
        <v>1</v>
      </c>
      <c r="K2994" s="4" t="b">
        <f>AND(((F2994)=TRUE), ((J2994)=TRUE))</f>
        <v>0</v>
      </c>
      <c r="L2994" s="4" t="b">
        <f>AND(((G2994 &lt;&gt; "plain")=TRUE), ((G2994 &lt;&gt; "")=TRUE))</f>
        <v>0</v>
      </c>
      <c r="M2994" s="4" t="str">
        <f>IF(((E2994)=TRUE),  C2994 &amp; "|" &amp; H2994,  "")</f>
        <v>principal-knowledge-authority|RoleAssignments</v>
      </c>
      <c r="N2994" s="3" t="s">
        <v>10004</v>
      </c>
    </row>
    <row r="2995">
      <c r="A2995" s="3" t="s">
        <v>12997</v>
      </c>
      <c r="B2995" s="4" t="str">
        <f>C2995 &amp; " -&gt; " &amp; D2995</f>
        <v>principal-knowledge-authority -&gt; RoleAssignments.IsUnmeasuredAutomationHandover</v>
      </c>
      <c r="C2995" s="3" t="s">
        <v>9774</v>
      </c>
      <c r="D2995" s="3" t="s">
        <v>2608</v>
      </c>
      <c r="E2995" s="3" t="b">
        <v>1</v>
      </c>
      <c r="F2995" s="3" t="b">
        <v>0</v>
      </c>
      <c r="G2995" s="3" t="s">
        <v>10003</v>
      </c>
      <c r="H2995" s="4" t="str">
        <f>_xlfn.IFNA(IF(((INDEX(RulebookFields!C2:C1898, MATCH(D2995,RulebookFields!A2:A1898, 0))="")=TRUE),  "",  INDEX(RulebookFields!C2:C1898, MATCH(D2995,RulebookFields!A2:A1898, 0))), "")</f>
        <v>RoleAssignments</v>
      </c>
      <c r="I2995" s="4" t="str">
        <f>_xlfn.IFNA(IF(((INDEX(RulebookFields!D2:D1898, MATCH(D2995,RulebookFields!A2:A1898, 0))="")=TRUE),  "",  INDEX(RulebookFields!D2:D1898, MATCH(D2995,RulebookFields!A2:A1898, 0))), "")</f>
        <v>IsUnmeasuredAutomationHandover</v>
      </c>
      <c r="J2995" s="4" t="b">
        <f>_xlfn.IFNA(IF(((INDEX(RulebookFields!I2:I1898, MATCH(D2995,RulebookFields!A2:A1898, 0))="")=TRUE),  "",  INDEX(RulebookFields!I2:I1898, MATCH(D2995,RulebookFields!A2:A1898, 0))), "")</f>
        <v>1</v>
      </c>
      <c r="K2995" s="4" t="b">
        <f>AND(((F2995)=TRUE), ((J2995)=TRUE))</f>
        <v>0</v>
      </c>
      <c r="L2995" s="4" t="b">
        <f>AND(((G2995 &lt;&gt; "plain")=TRUE), ((G2995 &lt;&gt; "")=TRUE))</f>
        <v>0</v>
      </c>
      <c r="M2995" s="4" t="str">
        <f>IF(((E2995)=TRUE),  C2995 &amp; "|" &amp; H2995,  "")</f>
        <v>principal-knowledge-authority|RoleAssignments</v>
      </c>
      <c r="N2995" s="3" t="s">
        <v>10004</v>
      </c>
    </row>
    <row r="2996">
      <c r="A2996" s="3" t="s">
        <v>12998</v>
      </c>
      <c r="B2996" s="4" t="str">
        <f>C2996 &amp; " -&gt; " &amp; D2996</f>
        <v>principal-knowledge-authority -&gt; RoleAssignments.ErrorCorrectionCount</v>
      </c>
      <c r="C2996" s="3" t="s">
        <v>9774</v>
      </c>
      <c r="D2996" s="3" t="s">
        <v>2610</v>
      </c>
      <c r="E2996" s="3" t="b">
        <v>1</v>
      </c>
      <c r="F2996" s="3" t="b">
        <v>0</v>
      </c>
      <c r="G2996" s="3" t="s">
        <v>10003</v>
      </c>
      <c r="H2996" s="4" t="str">
        <f>_xlfn.IFNA(IF(((INDEX(RulebookFields!C2:C1898, MATCH(D2996,RulebookFields!A2:A1898, 0))="")=TRUE),  "",  INDEX(RulebookFields!C2:C1898, MATCH(D2996,RulebookFields!A2:A1898, 0))), "")</f>
        <v>RoleAssignments</v>
      </c>
      <c r="I2996" s="4" t="str">
        <f>_xlfn.IFNA(IF(((INDEX(RulebookFields!D2:D1898, MATCH(D2996,RulebookFields!A2:A1898, 0))="")=TRUE),  "",  INDEX(RulebookFields!D2:D1898, MATCH(D2996,RulebookFields!A2:A1898, 0))), "")</f>
        <v>ErrorCorrectionCount</v>
      </c>
      <c r="J2996" s="4" t="b">
        <f>_xlfn.IFNA(IF(((INDEX(RulebookFields!I2:I1898, MATCH(D2996,RulebookFields!A2:A1898, 0))="")=TRUE),  "",  INDEX(RulebookFields!I2:I1898, MATCH(D2996,RulebookFields!A2:A1898, 0))), "")</f>
        <v>1</v>
      </c>
      <c r="K2996" s="4" t="b">
        <f>AND(((F2996)=TRUE), ((J2996)=TRUE))</f>
        <v>0</v>
      </c>
      <c r="L2996" s="4" t="b">
        <f>AND(((G2996 &lt;&gt; "plain")=TRUE), ((G2996 &lt;&gt; "")=TRUE))</f>
        <v>0</v>
      </c>
      <c r="M2996" s="4" t="str">
        <f>IF(((E2996)=TRUE),  C2996 &amp; "|" &amp; H2996,  "")</f>
        <v>principal-knowledge-authority|RoleAssignments</v>
      </c>
      <c r="N2996" s="3" t="s">
        <v>10004</v>
      </c>
    </row>
    <row r="2997">
      <c r="A2997" s="3" t="s">
        <v>12999</v>
      </c>
      <c r="B2997" s="4" t="str">
        <f>C2997 &amp; " -&gt; " &amp; D2997</f>
        <v>principal-knowledge-authority -&gt; RoleAssignments.ErrorRatePercent</v>
      </c>
      <c r="C2997" s="3" t="s">
        <v>9774</v>
      </c>
      <c r="D2997" s="3" t="s">
        <v>2612</v>
      </c>
      <c r="E2997" s="3" t="b">
        <v>1</v>
      </c>
      <c r="F2997" s="3" t="b">
        <v>0</v>
      </c>
      <c r="G2997" s="3" t="s">
        <v>10003</v>
      </c>
      <c r="H2997" s="4" t="str">
        <f>_xlfn.IFNA(IF(((INDEX(RulebookFields!C2:C1898, MATCH(D2997,RulebookFields!A2:A1898, 0))="")=TRUE),  "",  INDEX(RulebookFields!C2:C1898, MATCH(D2997,RulebookFields!A2:A1898, 0))), "")</f>
        <v>RoleAssignments</v>
      </c>
      <c r="I2997" s="4" t="str">
        <f>_xlfn.IFNA(IF(((INDEX(RulebookFields!D2:D1898, MATCH(D2997,RulebookFields!A2:A1898, 0))="")=TRUE),  "",  INDEX(RulebookFields!D2:D1898, MATCH(D2997,RulebookFields!A2:A1898, 0))), "")</f>
        <v>ErrorRatePercent</v>
      </c>
      <c r="J2997" s="4" t="b">
        <f>_xlfn.IFNA(IF(((INDEX(RulebookFields!I2:I1898, MATCH(D2997,RulebookFields!A2:A1898, 0))="")=TRUE),  "",  INDEX(RulebookFields!I2:I1898, MATCH(D2997,RulebookFields!A2:A1898, 0))), "")</f>
        <v>1</v>
      </c>
      <c r="K2997" s="4" t="b">
        <f>AND(((F2997)=TRUE), ((J2997)=TRUE))</f>
        <v>0</v>
      </c>
      <c r="L2997" s="4" t="b">
        <f>AND(((G2997 &lt;&gt; "plain")=TRUE), ((G2997 &lt;&gt; "")=TRUE))</f>
        <v>0</v>
      </c>
      <c r="M2997" s="4" t="str">
        <f>IF(((E2997)=TRUE),  C2997 &amp; "|" &amp; H2997,  "")</f>
        <v>principal-knowledge-authority|RoleAssignments</v>
      </c>
      <c r="N2997" s="3" t="s">
        <v>10004</v>
      </c>
    </row>
    <row r="2998">
      <c r="A2998" s="3" t="s">
        <v>13000</v>
      </c>
      <c r="B2998" s="4" t="str">
        <f>C2998 &amp; " -&gt; " &amp; D2998</f>
        <v>principal-knowledge-authority -&gt; RoleAssignments.AuthorizationDecidedAt</v>
      </c>
      <c r="C2998" s="3" t="s">
        <v>9774</v>
      </c>
      <c r="D2998" s="3" t="s">
        <v>2614</v>
      </c>
      <c r="E2998" s="3" t="b">
        <v>1</v>
      </c>
      <c r="F2998" s="3" t="b">
        <v>0</v>
      </c>
      <c r="G2998" s="3" t="s">
        <v>10003</v>
      </c>
      <c r="H2998" s="4" t="str">
        <f>_xlfn.IFNA(IF(((INDEX(RulebookFields!C2:C1898, MATCH(D2998,RulebookFields!A2:A1898, 0))="")=TRUE),  "",  INDEX(RulebookFields!C2:C1898, MATCH(D2998,RulebookFields!A2:A1898, 0))), "")</f>
        <v>RoleAssignments</v>
      </c>
      <c r="I2998" s="4" t="str">
        <f>_xlfn.IFNA(IF(((INDEX(RulebookFields!D2:D1898, MATCH(D2998,RulebookFields!A2:A1898, 0))="")=TRUE),  "",  INDEX(RulebookFields!D2:D1898, MATCH(D2998,RulebookFields!A2:A1898, 0))), "")</f>
        <v>AuthorizationDecidedAt</v>
      </c>
      <c r="J2998" s="4" t="b">
        <f>_xlfn.IFNA(IF(((INDEX(RulebookFields!I2:I1898, MATCH(D2998,RulebookFields!A2:A1898, 0))="")=TRUE),  "",  INDEX(RulebookFields!I2:I1898, MATCH(D2998,RulebookFields!A2:A1898, 0))), "")</f>
        <v>0</v>
      </c>
      <c r="K2998" s="4" t="b">
        <f>AND(((F2998)=TRUE), ((J2998)=TRUE))</f>
        <v>0</v>
      </c>
      <c r="L2998" s="4" t="b">
        <f>AND(((G2998 &lt;&gt; "plain")=TRUE), ((G2998 &lt;&gt; "")=TRUE))</f>
        <v>0</v>
      </c>
      <c r="M2998" s="4" t="str">
        <f>IF(((E2998)=TRUE),  C2998 &amp; "|" &amp; H2998,  "")</f>
        <v>principal-knowledge-authority|RoleAssignments</v>
      </c>
      <c r="N2998" s="3" t="s">
        <v>10004</v>
      </c>
    </row>
    <row r="2999">
      <c r="A2999" s="3" t="s">
        <v>13001</v>
      </c>
      <c r="B2999" s="4" t="str">
        <f>C2999 &amp; " -&gt; " &amp; D2999</f>
        <v>principal-knowledge-authority -&gt; RoleAssignments.AuthorizationReviewedAt</v>
      </c>
      <c r="C2999" s="3" t="s">
        <v>9774</v>
      </c>
      <c r="D2999" s="3" t="s">
        <v>2615</v>
      </c>
      <c r="E2999" s="3" t="b">
        <v>1</v>
      </c>
      <c r="F2999" s="3" t="b">
        <v>0</v>
      </c>
      <c r="G2999" s="3" t="s">
        <v>10003</v>
      </c>
      <c r="H2999" s="4" t="str">
        <f>_xlfn.IFNA(IF(((INDEX(RulebookFields!C2:C1898, MATCH(D2999,RulebookFields!A2:A1898, 0))="")=TRUE),  "",  INDEX(RulebookFields!C2:C1898, MATCH(D2999,RulebookFields!A2:A1898, 0))), "")</f>
        <v>RoleAssignments</v>
      </c>
      <c r="I2999" s="4" t="str">
        <f>_xlfn.IFNA(IF(((INDEX(RulebookFields!D2:D1898, MATCH(D2999,RulebookFields!A2:A1898, 0))="")=TRUE),  "",  INDEX(RulebookFields!D2:D1898, MATCH(D2999,RulebookFields!A2:A1898, 0))), "")</f>
        <v>AuthorizationReviewedAt</v>
      </c>
      <c r="J2999" s="4" t="b">
        <f>_xlfn.IFNA(IF(((INDEX(RulebookFields!I2:I1898, MATCH(D2999,RulebookFields!A2:A1898, 0))="")=TRUE),  "",  INDEX(RulebookFields!I2:I1898, MATCH(D2999,RulebookFields!A2:A1898, 0))), "")</f>
        <v>0</v>
      </c>
      <c r="K2999" s="4" t="b">
        <f>AND(((F2999)=TRUE), ((J2999)=TRUE))</f>
        <v>0</v>
      </c>
      <c r="L2999" s="4" t="b">
        <f>AND(((G2999 &lt;&gt; "plain")=TRUE), ((G2999 &lt;&gt; "")=TRUE))</f>
        <v>0</v>
      </c>
      <c r="M2999" s="4" t="str">
        <f>IF(((E2999)=TRUE),  C2999 &amp; "|" &amp; H2999,  "")</f>
        <v>principal-knowledge-authority|RoleAssignments</v>
      </c>
      <c r="N2999" s="3" t="s">
        <v>10004</v>
      </c>
    </row>
    <row r="3000">
      <c r="A3000" s="3" t="s">
        <v>13002</v>
      </c>
      <c r="B3000" s="4" t="str">
        <f>C3000 &amp; " -&gt; " &amp; D3000</f>
        <v>principal-knowledge-authority -&gt; RoleAssignments.AuthorizationReviewCadenceDays</v>
      </c>
      <c r="C3000" s="3" t="s">
        <v>9774</v>
      </c>
      <c r="D3000" s="3" t="s">
        <v>2616</v>
      </c>
      <c r="E3000" s="3" t="b">
        <v>1</v>
      </c>
      <c r="F3000" s="3" t="b">
        <v>0</v>
      </c>
      <c r="G3000" s="3" t="s">
        <v>10003</v>
      </c>
      <c r="H3000" s="4" t="str">
        <f>_xlfn.IFNA(IF(((INDEX(RulebookFields!C2:C1898, MATCH(D3000,RulebookFields!A2:A1898, 0))="")=TRUE),  "",  INDEX(RulebookFields!C2:C1898, MATCH(D3000,RulebookFields!A2:A1898, 0))), "")</f>
        <v>RoleAssignments</v>
      </c>
      <c r="I3000" s="4" t="str">
        <f>_xlfn.IFNA(IF(((INDEX(RulebookFields!D2:D1898, MATCH(D3000,RulebookFields!A2:A1898, 0))="")=TRUE),  "",  INDEX(RulebookFields!D2:D1898, MATCH(D3000,RulebookFields!A2:A1898, 0))), "")</f>
        <v>AuthorizationReviewCadenceDays</v>
      </c>
      <c r="J3000" s="4" t="b">
        <f>_xlfn.IFNA(IF(((INDEX(RulebookFields!I2:I1898, MATCH(D3000,RulebookFields!A2:A1898, 0))="")=TRUE),  "",  INDEX(RulebookFields!I2:I1898, MATCH(D3000,RulebookFields!A2:A1898, 0))), "")</f>
        <v>0</v>
      </c>
      <c r="K3000" s="4" t="b">
        <f>AND(((F3000)=TRUE), ((J3000)=TRUE))</f>
        <v>0</v>
      </c>
      <c r="L3000" s="4" t="b">
        <f>AND(((G3000 &lt;&gt; "plain")=TRUE), ((G3000 &lt;&gt; "")=TRUE))</f>
        <v>0</v>
      </c>
      <c r="M3000" s="4" t="str">
        <f>IF(((E3000)=TRUE),  C3000 &amp; "|" &amp; H3000,  "")</f>
        <v>principal-knowledge-authority|RoleAssignments</v>
      </c>
      <c r="N3000" s="3" t="s">
        <v>10004</v>
      </c>
    </row>
    <row r="3001">
      <c r="A3001" s="3" t="s">
        <v>13003</v>
      </c>
      <c r="B3001" s="4" t="str">
        <f>C3001 &amp; " -&gt; " &amp; D3001</f>
        <v>principal-knowledge-authority -&gt; RoleAssignments.HasDatedAuthorization</v>
      </c>
      <c r="C3001" s="3" t="s">
        <v>9774</v>
      </c>
      <c r="D3001" s="3" t="s">
        <v>2617</v>
      </c>
      <c r="E3001" s="3" t="b">
        <v>1</v>
      </c>
      <c r="F3001" s="3" t="b">
        <v>0</v>
      </c>
      <c r="G3001" s="3" t="s">
        <v>10003</v>
      </c>
      <c r="H3001" s="4" t="str">
        <f>_xlfn.IFNA(IF(((INDEX(RulebookFields!C2:C1898, MATCH(D3001,RulebookFields!A2:A1898, 0))="")=TRUE),  "",  INDEX(RulebookFields!C2:C1898, MATCH(D3001,RulebookFields!A2:A1898, 0))), "")</f>
        <v>RoleAssignments</v>
      </c>
      <c r="I3001" s="4" t="str">
        <f>_xlfn.IFNA(IF(((INDEX(RulebookFields!D2:D1898, MATCH(D3001,RulebookFields!A2:A1898, 0))="")=TRUE),  "",  INDEX(RulebookFields!D2:D1898, MATCH(D3001,RulebookFields!A2:A1898, 0))), "")</f>
        <v>HasDatedAuthorization</v>
      </c>
      <c r="J3001" s="4" t="b">
        <f>_xlfn.IFNA(IF(((INDEX(RulebookFields!I2:I1898, MATCH(D3001,RulebookFields!A2:A1898, 0))="")=TRUE),  "",  INDEX(RulebookFields!I2:I1898, MATCH(D3001,RulebookFields!A2:A1898, 0))), "")</f>
        <v>1</v>
      </c>
      <c r="K3001" s="4" t="b">
        <f>AND(((F3001)=TRUE), ((J3001)=TRUE))</f>
        <v>0</v>
      </c>
      <c r="L3001" s="4" t="b">
        <f>AND(((G3001 &lt;&gt; "plain")=TRUE), ((G3001 &lt;&gt; "")=TRUE))</f>
        <v>0</v>
      </c>
      <c r="M3001" s="4" t="str">
        <f>IF(((E3001)=TRUE),  C3001 &amp; "|" &amp; H3001,  "")</f>
        <v>principal-knowledge-authority|RoleAssignments</v>
      </c>
      <c r="N3001" s="3" t="s">
        <v>10004</v>
      </c>
    </row>
    <row r="3002">
      <c r="A3002" s="3" t="s">
        <v>13004</v>
      </c>
      <c r="B3002" s="4" t="str">
        <f>C3002 &amp; " -&gt; " &amp; D3002</f>
        <v>principal-knowledge-authority -&gt; RoleAssignments.DaysSinceAuthorizationReview</v>
      </c>
      <c r="C3002" s="3" t="s">
        <v>9774</v>
      </c>
      <c r="D3002" s="3" t="s">
        <v>2619</v>
      </c>
      <c r="E3002" s="3" t="b">
        <v>1</v>
      </c>
      <c r="F3002" s="3" t="b">
        <v>0</v>
      </c>
      <c r="G3002" s="3" t="s">
        <v>10003</v>
      </c>
      <c r="H3002" s="4" t="str">
        <f>_xlfn.IFNA(IF(((INDEX(RulebookFields!C2:C1898, MATCH(D3002,RulebookFields!A2:A1898, 0))="")=TRUE),  "",  INDEX(RulebookFields!C2:C1898, MATCH(D3002,RulebookFields!A2:A1898, 0))), "")</f>
        <v>RoleAssignments</v>
      </c>
      <c r="I3002" s="4" t="str">
        <f>_xlfn.IFNA(IF(((INDEX(RulebookFields!D2:D1898, MATCH(D3002,RulebookFields!A2:A1898, 0))="")=TRUE),  "",  INDEX(RulebookFields!D2:D1898, MATCH(D3002,RulebookFields!A2:A1898, 0))), "")</f>
        <v>DaysSinceAuthorizationReview</v>
      </c>
      <c r="J3002" s="4" t="b">
        <f>_xlfn.IFNA(IF(((INDEX(RulebookFields!I2:I1898, MATCH(D3002,RulebookFields!A2:A1898, 0))="")=TRUE),  "",  INDEX(RulebookFields!I2:I1898, MATCH(D3002,RulebookFields!A2:A1898, 0))), "")</f>
        <v>1</v>
      </c>
      <c r="K3002" s="4" t="b">
        <f>AND(((F3002)=TRUE), ((J3002)=TRUE))</f>
        <v>0</v>
      </c>
      <c r="L3002" s="4" t="b">
        <f>AND(((G3002 &lt;&gt; "plain")=TRUE), ((G3002 &lt;&gt; "")=TRUE))</f>
        <v>0</v>
      </c>
      <c r="M3002" s="4" t="str">
        <f>IF(((E3002)=TRUE),  C3002 &amp; "|" &amp; H3002,  "")</f>
        <v>principal-knowledge-authority|RoleAssignments</v>
      </c>
      <c r="N3002" s="3" t="s">
        <v>10004</v>
      </c>
    </row>
    <row r="3003">
      <c r="A3003" s="3" t="s">
        <v>13005</v>
      </c>
      <c r="B3003" s="4" t="str">
        <f>C3003 &amp; " -&gt; " &amp; D3003</f>
        <v>principal-knowledge-authority -&gt; RoleAssignments.AuthorizationIsOverdueForReview</v>
      </c>
      <c r="C3003" s="3" t="s">
        <v>9774</v>
      </c>
      <c r="D3003" s="3" t="s">
        <v>2621</v>
      </c>
      <c r="E3003" s="3" t="b">
        <v>1</v>
      </c>
      <c r="F3003" s="3" t="b">
        <v>0</v>
      </c>
      <c r="G3003" s="3" t="s">
        <v>10003</v>
      </c>
      <c r="H3003" s="4" t="str">
        <f>_xlfn.IFNA(IF(((INDEX(RulebookFields!C2:C1898, MATCH(D3003,RulebookFields!A2:A1898, 0))="")=TRUE),  "",  INDEX(RulebookFields!C2:C1898, MATCH(D3003,RulebookFields!A2:A1898, 0))), "")</f>
        <v>RoleAssignments</v>
      </c>
      <c r="I3003" s="4" t="str">
        <f>_xlfn.IFNA(IF(((INDEX(RulebookFields!D2:D1898, MATCH(D3003,RulebookFields!A2:A1898, 0))="")=TRUE),  "",  INDEX(RulebookFields!D2:D1898, MATCH(D3003,RulebookFields!A2:A1898, 0))), "")</f>
        <v>AuthorizationIsOverdueForReview</v>
      </c>
      <c r="J3003" s="4" t="b">
        <f>_xlfn.IFNA(IF(((INDEX(RulebookFields!I2:I1898, MATCH(D3003,RulebookFields!A2:A1898, 0))="")=TRUE),  "",  INDEX(RulebookFields!I2:I1898, MATCH(D3003,RulebookFields!A2:A1898, 0))), "")</f>
        <v>1</v>
      </c>
      <c r="K3003" s="4" t="b">
        <f>AND(((F3003)=TRUE), ((J3003)=TRUE))</f>
        <v>0</v>
      </c>
      <c r="L3003" s="4" t="b">
        <f>AND(((G3003 &lt;&gt; "plain")=TRUE), ((G3003 &lt;&gt; "")=TRUE))</f>
        <v>0</v>
      </c>
      <c r="M3003" s="4" t="str">
        <f>IF(((E3003)=TRUE),  C3003 &amp; "|" &amp; H3003,  "")</f>
        <v>principal-knowledge-authority|RoleAssignments</v>
      </c>
      <c r="N3003" s="3" t="s">
        <v>10004</v>
      </c>
    </row>
    <row r="3004">
      <c r="A3004" s="3" t="s">
        <v>13006</v>
      </c>
      <c r="B3004" s="4" t="str">
        <f>C3004 &amp; " -&gt; " &amp; D3004</f>
        <v>principal-knowledge-authority -&gt; RoleAssignments.IsStandingUnreviewedAutomation</v>
      </c>
      <c r="C3004" s="3" t="s">
        <v>9774</v>
      </c>
      <c r="D3004" s="3" t="s">
        <v>2623</v>
      </c>
      <c r="E3004" s="3" t="b">
        <v>1</v>
      </c>
      <c r="F3004" s="3" t="b">
        <v>0</v>
      </c>
      <c r="G3004" s="3" t="s">
        <v>10003</v>
      </c>
      <c r="H3004" s="4" t="str">
        <f>_xlfn.IFNA(IF(((INDEX(RulebookFields!C2:C1898, MATCH(D3004,RulebookFields!A2:A1898, 0))="")=TRUE),  "",  INDEX(RulebookFields!C2:C1898, MATCH(D3004,RulebookFields!A2:A1898, 0))), "")</f>
        <v>RoleAssignments</v>
      </c>
      <c r="I3004" s="4" t="str">
        <f>_xlfn.IFNA(IF(((INDEX(RulebookFields!D2:D1898, MATCH(D3004,RulebookFields!A2:A1898, 0))="")=TRUE),  "",  INDEX(RulebookFields!D2:D1898, MATCH(D3004,RulebookFields!A2:A1898, 0))), "")</f>
        <v>IsStandingUnreviewedAutomation</v>
      </c>
      <c r="J3004" s="4" t="b">
        <f>_xlfn.IFNA(IF(((INDEX(RulebookFields!I2:I1898, MATCH(D3004,RulebookFields!A2:A1898, 0))="")=TRUE),  "",  INDEX(RulebookFields!I2:I1898, MATCH(D3004,RulebookFields!A2:A1898, 0))), "")</f>
        <v>1</v>
      </c>
      <c r="K3004" s="4" t="b">
        <f>AND(((F3004)=TRUE), ((J3004)=TRUE))</f>
        <v>0</v>
      </c>
      <c r="L3004" s="4" t="b">
        <f>AND(((G3004 &lt;&gt; "plain")=TRUE), ((G3004 &lt;&gt; "")=TRUE))</f>
        <v>0</v>
      </c>
      <c r="M3004" s="4" t="str">
        <f>IF(((E3004)=TRUE),  C3004 &amp; "|" &amp; H3004,  "")</f>
        <v>principal-knowledge-authority|RoleAssignments</v>
      </c>
      <c r="N3004" s="3" t="s">
        <v>10004</v>
      </c>
    </row>
    <row r="3005">
      <c r="A3005" s="3" t="s">
        <v>13007</v>
      </c>
      <c r="B3005" s="4" t="str">
        <f>C3005 &amp; " -&gt; " &amp; D3005</f>
        <v>principal-knowledge-authority -&gt; RoleAssignments.IsUnconditionedAutomationHandover</v>
      </c>
      <c r="C3005" s="3" t="s">
        <v>9774</v>
      </c>
      <c r="D3005" s="3" t="s">
        <v>2625</v>
      </c>
      <c r="E3005" s="3" t="b">
        <v>1</v>
      </c>
      <c r="F3005" s="3" t="b">
        <v>0</v>
      </c>
      <c r="G3005" s="3" t="s">
        <v>10003</v>
      </c>
      <c r="H3005" s="4" t="str">
        <f>_xlfn.IFNA(IF(((INDEX(RulebookFields!C2:C1898, MATCH(D3005,RulebookFields!A2:A1898, 0))="")=TRUE),  "",  INDEX(RulebookFields!C2:C1898, MATCH(D3005,RulebookFields!A2:A1898, 0))), "")</f>
        <v>RoleAssignments</v>
      </c>
      <c r="I3005" s="4" t="str">
        <f>_xlfn.IFNA(IF(((INDEX(RulebookFields!D2:D1898, MATCH(D3005,RulebookFields!A2:A1898, 0))="")=TRUE),  "",  INDEX(RulebookFields!D2:D1898, MATCH(D3005,RulebookFields!A2:A1898, 0))), "")</f>
        <v>IsUnconditionedAutomationHandover</v>
      </c>
      <c r="J3005" s="4" t="b">
        <f>_xlfn.IFNA(IF(((INDEX(RulebookFields!I2:I1898, MATCH(D3005,RulebookFields!A2:A1898, 0))="")=TRUE),  "",  INDEX(RulebookFields!I2:I1898, MATCH(D3005,RulebookFields!A2:A1898, 0))), "")</f>
        <v>1</v>
      </c>
      <c r="K3005" s="4" t="b">
        <f>AND(((F3005)=TRUE), ((J3005)=TRUE))</f>
        <v>0</v>
      </c>
      <c r="L3005" s="4" t="b">
        <f>AND(((G3005 &lt;&gt; "plain")=TRUE), ((G3005 &lt;&gt; "")=TRUE))</f>
        <v>0</v>
      </c>
      <c r="M3005" s="4" t="str">
        <f>IF(((E3005)=TRUE),  C3005 &amp; "|" &amp; H3005,  "")</f>
        <v>principal-knowledge-authority|RoleAssignments</v>
      </c>
      <c r="N3005" s="3" t="s">
        <v>10004</v>
      </c>
    </row>
    <row r="3006">
      <c r="A3006" s="3" t="s">
        <v>13008</v>
      </c>
      <c r="B3006" s="4" t="str">
        <f>C3006 &amp; " -&gt; " &amp; D3006</f>
        <v>principal-knowledge-authority -&gt; RoleAssignments.MaxTolerableErrorRatePercent</v>
      </c>
      <c r="C3006" s="3" t="s">
        <v>9774</v>
      </c>
      <c r="D3006" s="3" t="s">
        <v>2627</v>
      </c>
      <c r="E3006" s="3" t="b">
        <v>1</v>
      </c>
      <c r="F3006" s="3" t="b">
        <v>0</v>
      </c>
      <c r="G3006" s="3" t="s">
        <v>10003</v>
      </c>
      <c r="H3006" s="4" t="str">
        <f>_xlfn.IFNA(IF(((INDEX(RulebookFields!C2:C1898, MATCH(D3006,RulebookFields!A2:A1898, 0))="")=TRUE),  "",  INDEX(RulebookFields!C2:C1898, MATCH(D3006,RulebookFields!A2:A1898, 0))), "")</f>
        <v>RoleAssignments</v>
      </c>
      <c r="I3006" s="4" t="str">
        <f>_xlfn.IFNA(IF(((INDEX(RulebookFields!D2:D1898, MATCH(D3006,RulebookFields!A2:A1898, 0))="")=TRUE),  "",  INDEX(RulebookFields!D2:D1898, MATCH(D3006,RulebookFields!A2:A1898, 0))), "")</f>
        <v>MaxTolerableErrorRatePercent</v>
      </c>
      <c r="J3006" s="4" t="b">
        <f>_xlfn.IFNA(IF(((INDEX(RulebookFields!I2:I1898, MATCH(D3006,RulebookFields!A2:A1898, 0))="")=TRUE),  "",  INDEX(RulebookFields!I2:I1898, MATCH(D3006,RulebookFields!A2:A1898, 0))), "")</f>
        <v>0</v>
      </c>
      <c r="K3006" s="4" t="b">
        <f>AND(((F3006)=TRUE), ((J3006)=TRUE))</f>
        <v>0</v>
      </c>
      <c r="L3006" s="4" t="b">
        <f>AND(((G3006 &lt;&gt; "plain")=TRUE), ((G3006 &lt;&gt; "")=TRUE))</f>
        <v>0</v>
      </c>
      <c r="M3006" s="4" t="str">
        <f>IF(((E3006)=TRUE),  C3006 &amp; "|" &amp; H3006,  "")</f>
        <v>principal-knowledge-authority|RoleAssignments</v>
      </c>
      <c r="N3006" s="3" t="s">
        <v>10004</v>
      </c>
    </row>
    <row r="3007">
      <c r="A3007" s="3" t="s">
        <v>13009</v>
      </c>
      <c r="B3007" s="4" t="str">
        <f>C3007 &amp; " -&gt; " &amp; D3007</f>
        <v>principal-knowledge-authority -&gt; RoleAssignments.ExceedsTolerableErrorRate</v>
      </c>
      <c r="C3007" s="3" t="s">
        <v>9774</v>
      </c>
      <c r="D3007" s="3" t="s">
        <v>2628</v>
      </c>
      <c r="E3007" s="3" t="b">
        <v>1</v>
      </c>
      <c r="F3007" s="3" t="b">
        <v>0</v>
      </c>
      <c r="G3007" s="3" t="s">
        <v>10003</v>
      </c>
      <c r="H3007" s="4" t="str">
        <f>_xlfn.IFNA(IF(((INDEX(RulebookFields!C2:C1898, MATCH(D3007,RulebookFields!A2:A1898, 0))="")=TRUE),  "",  INDEX(RulebookFields!C2:C1898, MATCH(D3007,RulebookFields!A2:A1898, 0))), "")</f>
        <v>RoleAssignments</v>
      </c>
      <c r="I3007" s="4" t="str">
        <f>_xlfn.IFNA(IF(((INDEX(RulebookFields!D2:D1898, MATCH(D3007,RulebookFields!A2:A1898, 0))="")=TRUE),  "",  INDEX(RulebookFields!D2:D1898, MATCH(D3007,RulebookFields!A2:A1898, 0))), "")</f>
        <v>ExceedsTolerableErrorRate</v>
      </c>
      <c r="J3007" s="4" t="b">
        <f>_xlfn.IFNA(IF(((INDEX(RulebookFields!I2:I1898, MATCH(D3007,RulebookFields!A2:A1898, 0))="")=TRUE),  "",  INDEX(RulebookFields!I2:I1898, MATCH(D3007,RulebookFields!A2:A1898, 0))), "")</f>
        <v>1</v>
      </c>
      <c r="K3007" s="4" t="b">
        <f>AND(((F3007)=TRUE), ((J3007)=TRUE))</f>
        <v>0</v>
      </c>
      <c r="L3007" s="4" t="b">
        <f>AND(((G3007 &lt;&gt; "plain")=TRUE), ((G3007 &lt;&gt; "")=TRUE))</f>
        <v>0</v>
      </c>
      <c r="M3007" s="4" t="str">
        <f>IF(((E3007)=TRUE),  C3007 &amp; "|" &amp; H3007,  "")</f>
        <v>principal-knowledge-authority|RoleAssignments</v>
      </c>
      <c r="N3007" s="3" t="s">
        <v>10004</v>
      </c>
    </row>
    <row r="3008">
      <c r="A3008" s="3" t="s">
        <v>13010</v>
      </c>
      <c r="B3008" s="4" t="str">
        <f>C3008 &amp; " -&gt; " &amp; D3008</f>
        <v>principal-knowledge-authority -&gt; RoleAssignments.BoundaryViolationCountForAssignment</v>
      </c>
      <c r="C3008" s="3" t="s">
        <v>9774</v>
      </c>
      <c r="D3008" s="3" t="s">
        <v>2630</v>
      </c>
      <c r="E3008" s="3" t="b">
        <v>1</v>
      </c>
      <c r="F3008" s="3" t="b">
        <v>0</v>
      </c>
      <c r="G3008" s="3" t="s">
        <v>10003</v>
      </c>
      <c r="H3008" s="4" t="str">
        <f>_xlfn.IFNA(IF(((INDEX(RulebookFields!C2:C1898, MATCH(D3008,RulebookFields!A2:A1898, 0))="")=TRUE),  "",  INDEX(RulebookFields!C2:C1898, MATCH(D3008,RulebookFields!A2:A1898, 0))), "")</f>
        <v>RoleAssignments</v>
      </c>
      <c r="I3008" s="4" t="str">
        <f>_xlfn.IFNA(IF(((INDEX(RulebookFields!D2:D1898, MATCH(D3008,RulebookFields!A2:A1898, 0))="")=TRUE),  "",  INDEX(RulebookFields!D2:D1898, MATCH(D3008,RulebookFields!A2:A1898, 0))), "")</f>
        <v>BoundaryViolationCountForAssignment</v>
      </c>
      <c r="J3008" s="4" t="b">
        <f>_xlfn.IFNA(IF(((INDEX(RulebookFields!I2:I1898, MATCH(D3008,RulebookFields!A2:A1898, 0))="")=TRUE),  "",  INDEX(RulebookFields!I2:I1898, MATCH(D3008,RulebookFields!A2:A1898, 0))), "")</f>
        <v>1</v>
      </c>
      <c r="K3008" s="4" t="b">
        <f>AND(((F3008)=TRUE), ((J3008)=TRUE))</f>
        <v>0</v>
      </c>
      <c r="L3008" s="4" t="b">
        <f>AND(((G3008 &lt;&gt; "plain")=TRUE), ((G3008 &lt;&gt; "")=TRUE))</f>
        <v>0</v>
      </c>
      <c r="M3008" s="4" t="str">
        <f>IF(((E3008)=TRUE),  C3008 &amp; "|" &amp; H3008,  "")</f>
        <v>principal-knowledge-authority|RoleAssignments</v>
      </c>
      <c r="N3008" s="3" t="s">
        <v>10004</v>
      </c>
    </row>
    <row r="3009">
      <c r="A3009" s="3" t="s">
        <v>13011</v>
      </c>
      <c r="B3009" s="4" t="str">
        <f>C3009 &amp; " -&gt; " &amp; D3009</f>
        <v>principal-knowledge-authority -&gt; RoleAssignments.HasAnyBoundaryViolation</v>
      </c>
      <c r="C3009" s="3" t="s">
        <v>9774</v>
      </c>
      <c r="D3009" s="3" t="s">
        <v>2632</v>
      </c>
      <c r="E3009" s="3" t="b">
        <v>1</v>
      </c>
      <c r="F3009" s="3" t="b">
        <v>0</v>
      </c>
      <c r="G3009" s="3" t="s">
        <v>10003</v>
      </c>
      <c r="H3009" s="4" t="str">
        <f>_xlfn.IFNA(IF(((INDEX(RulebookFields!C2:C1898, MATCH(D3009,RulebookFields!A2:A1898, 0))="")=TRUE),  "",  INDEX(RulebookFields!C2:C1898, MATCH(D3009,RulebookFields!A2:A1898, 0))), "")</f>
        <v>RoleAssignments</v>
      </c>
      <c r="I3009" s="4" t="str">
        <f>_xlfn.IFNA(IF(((INDEX(RulebookFields!D2:D1898, MATCH(D3009,RulebookFields!A2:A1898, 0))="")=TRUE),  "",  INDEX(RulebookFields!D2:D1898, MATCH(D3009,RulebookFields!A2:A1898, 0))), "")</f>
        <v>HasAnyBoundaryViolation</v>
      </c>
      <c r="J3009" s="4" t="b">
        <f>_xlfn.IFNA(IF(((INDEX(RulebookFields!I2:I1898, MATCH(D3009,RulebookFields!A2:A1898, 0))="")=TRUE),  "",  INDEX(RulebookFields!I2:I1898, MATCH(D3009,RulebookFields!A2:A1898, 0))), "")</f>
        <v>1</v>
      </c>
      <c r="K3009" s="4" t="b">
        <f>AND(((F3009)=TRUE), ((J3009)=TRUE))</f>
        <v>0</v>
      </c>
      <c r="L3009" s="4" t="b">
        <f>AND(((G3009 &lt;&gt; "plain")=TRUE), ((G3009 &lt;&gt; "")=TRUE))</f>
        <v>0</v>
      </c>
      <c r="M3009" s="4" t="str">
        <f>IF(((E3009)=TRUE),  C3009 &amp; "|" &amp; H3009,  "")</f>
        <v>principal-knowledge-authority|RoleAssignments</v>
      </c>
      <c r="N3009" s="3" t="s">
        <v>10004</v>
      </c>
    </row>
    <row r="3010">
      <c r="A3010" s="3" t="s">
        <v>13012</v>
      </c>
      <c r="B3010" s="4" t="str">
        <f>C3010 &amp; " -&gt; " &amp; D3010</f>
        <v>principal-knowledge-authority -&gt; RoleAssignments.HasUngroundedGoverningBoundary</v>
      </c>
      <c r="C3010" s="3" t="s">
        <v>9774</v>
      </c>
      <c r="D3010" s="3" t="s">
        <v>2634</v>
      </c>
      <c r="E3010" s="3" t="b">
        <v>1</v>
      </c>
      <c r="F3010" s="3" t="b">
        <v>0</v>
      </c>
      <c r="G3010" s="3" t="s">
        <v>10003</v>
      </c>
      <c r="H3010" s="4" t="str">
        <f>_xlfn.IFNA(IF(((INDEX(RulebookFields!C2:C1898, MATCH(D3010,RulebookFields!A2:A1898, 0))="")=TRUE),  "",  INDEX(RulebookFields!C2:C1898, MATCH(D3010,RulebookFields!A2:A1898, 0))), "")</f>
        <v>RoleAssignments</v>
      </c>
      <c r="I3010" s="4" t="str">
        <f>_xlfn.IFNA(IF(((INDEX(RulebookFields!D2:D1898, MATCH(D3010,RulebookFields!A2:A1898, 0))="")=TRUE),  "",  INDEX(RulebookFields!D2:D1898, MATCH(D3010,RulebookFields!A2:A1898, 0))), "")</f>
        <v>HasUngroundedGoverningBoundary</v>
      </c>
      <c r="J3010" s="4" t="b">
        <f>_xlfn.IFNA(IF(((INDEX(RulebookFields!I2:I1898, MATCH(D3010,RulebookFields!A2:A1898, 0))="")=TRUE),  "",  INDEX(RulebookFields!I2:I1898, MATCH(D3010,RulebookFields!A2:A1898, 0))), "")</f>
        <v>1</v>
      </c>
      <c r="K3010" s="4" t="b">
        <f>AND(((F3010)=TRUE), ((J3010)=TRUE))</f>
        <v>0</v>
      </c>
      <c r="L3010" s="4" t="b">
        <f>AND(((G3010 &lt;&gt; "plain")=TRUE), ((G3010 &lt;&gt; "")=TRUE))</f>
        <v>0</v>
      </c>
      <c r="M3010" s="4" t="str">
        <f>IF(((E3010)=TRUE),  C3010 &amp; "|" &amp; H3010,  "")</f>
        <v>principal-knowledge-authority|RoleAssignments</v>
      </c>
      <c r="N3010" s="3" t="s">
        <v>10004</v>
      </c>
    </row>
    <row r="3011">
      <c r="A3011" s="3" t="s">
        <v>13013</v>
      </c>
      <c r="B3011" s="4" t="str">
        <f>C3011 &amp; " -&gt; " &amp; D3011</f>
        <v>principal-knowledge-authority -&gt; RoleAssignments.SuspensionConditionMet</v>
      </c>
      <c r="C3011" s="3" t="s">
        <v>9774</v>
      </c>
      <c r="D3011" s="3" t="s">
        <v>2636</v>
      </c>
      <c r="E3011" s="3" t="b">
        <v>1</v>
      </c>
      <c r="F3011" s="3" t="b">
        <v>0</v>
      </c>
      <c r="G3011" s="3" t="s">
        <v>10003</v>
      </c>
      <c r="H3011" s="4" t="str">
        <f>_xlfn.IFNA(IF(((INDEX(RulebookFields!C2:C1898, MATCH(D3011,RulebookFields!A2:A1898, 0))="")=TRUE),  "",  INDEX(RulebookFields!C2:C1898, MATCH(D3011,RulebookFields!A2:A1898, 0))), "")</f>
        <v>RoleAssignments</v>
      </c>
      <c r="I3011" s="4" t="str">
        <f>_xlfn.IFNA(IF(((INDEX(RulebookFields!D2:D1898, MATCH(D3011,RulebookFields!A2:A1898, 0))="")=TRUE),  "",  INDEX(RulebookFields!D2:D1898, MATCH(D3011,RulebookFields!A2:A1898, 0))), "")</f>
        <v>SuspensionConditionMet</v>
      </c>
      <c r="J3011" s="4" t="b">
        <f>_xlfn.IFNA(IF(((INDEX(RulebookFields!I2:I1898, MATCH(D3011,RulebookFields!A2:A1898, 0))="")=TRUE),  "",  INDEX(RulebookFields!I2:I1898, MATCH(D3011,RulebookFields!A2:A1898, 0))), "")</f>
        <v>1</v>
      </c>
      <c r="K3011" s="4" t="b">
        <f>AND(((F3011)=TRUE), ((J3011)=TRUE))</f>
        <v>0</v>
      </c>
      <c r="L3011" s="4" t="b">
        <f>AND(((G3011 &lt;&gt; "plain")=TRUE), ((G3011 &lt;&gt; "")=TRUE))</f>
        <v>0</v>
      </c>
      <c r="M3011" s="4" t="str">
        <f>IF(((E3011)=TRUE),  C3011 &amp; "|" &amp; H3011,  "")</f>
        <v>principal-knowledge-authority|RoleAssignments</v>
      </c>
      <c r="N3011" s="3" t="s">
        <v>10004</v>
      </c>
    </row>
    <row r="3012">
      <c r="A3012" s="3" t="s">
        <v>13014</v>
      </c>
      <c r="B3012" s="4" t="str">
        <f>C3012 &amp; " -&gt; " &amp; D3012</f>
        <v>principal-knowledge-authority -&gt; RoleAssignments.IsOperatingUnderMetSuspensionCondition</v>
      </c>
      <c r="C3012" s="3" t="s">
        <v>9774</v>
      </c>
      <c r="D3012" s="3" t="s">
        <v>2638</v>
      </c>
      <c r="E3012" s="3" t="b">
        <v>1</v>
      </c>
      <c r="F3012" s="3" t="b">
        <v>0</v>
      </c>
      <c r="G3012" s="3" t="s">
        <v>10003</v>
      </c>
      <c r="H3012" s="4" t="str">
        <f>_xlfn.IFNA(IF(((INDEX(RulebookFields!C2:C1898, MATCH(D3012,RulebookFields!A2:A1898, 0))="")=TRUE),  "",  INDEX(RulebookFields!C2:C1898, MATCH(D3012,RulebookFields!A2:A1898, 0))), "")</f>
        <v>RoleAssignments</v>
      </c>
      <c r="I3012" s="4" t="str">
        <f>_xlfn.IFNA(IF(((INDEX(RulebookFields!D2:D1898, MATCH(D3012,RulebookFields!A2:A1898, 0))="")=TRUE),  "",  INDEX(RulebookFields!D2:D1898, MATCH(D3012,RulebookFields!A2:A1898, 0))), "")</f>
        <v>IsOperatingUnderMetSuspensionCondition</v>
      </c>
      <c r="J3012" s="4" t="b">
        <f>_xlfn.IFNA(IF(((INDEX(RulebookFields!I2:I1898, MATCH(D3012,RulebookFields!A2:A1898, 0))="")=TRUE),  "",  INDEX(RulebookFields!I2:I1898, MATCH(D3012,RulebookFields!A2:A1898, 0))), "")</f>
        <v>1</v>
      </c>
      <c r="K3012" s="4" t="b">
        <f>AND(((F3012)=TRUE), ((J3012)=TRUE))</f>
        <v>0</v>
      </c>
      <c r="L3012" s="4" t="b">
        <f>AND(((G3012 &lt;&gt; "plain")=TRUE), ((G3012 &lt;&gt; "")=TRUE))</f>
        <v>0</v>
      </c>
      <c r="M3012" s="4" t="str">
        <f>IF(((E3012)=TRUE),  C3012 &amp; "|" &amp; H3012,  "")</f>
        <v>principal-knowledge-authority|RoleAssignments</v>
      </c>
      <c r="N3012" s="3" t="s">
        <v>10004</v>
      </c>
    </row>
    <row r="3013">
      <c r="A3013" s="3" t="s">
        <v>13015</v>
      </c>
      <c r="B3013" s="4" t="str">
        <f>C3013 &amp; " -&gt; " &amp; D3013</f>
        <v>principal-knowledge-authority -&gt; RoleAssignments.HasDeclaredSuspensionCondition</v>
      </c>
      <c r="C3013" s="3" t="s">
        <v>9774</v>
      </c>
      <c r="D3013" s="3" t="s">
        <v>2640</v>
      </c>
      <c r="E3013" s="3" t="b">
        <v>1</v>
      </c>
      <c r="F3013" s="3" t="b">
        <v>0</v>
      </c>
      <c r="G3013" s="3" t="s">
        <v>10003</v>
      </c>
      <c r="H3013" s="4" t="str">
        <f>_xlfn.IFNA(IF(((INDEX(RulebookFields!C2:C1898, MATCH(D3013,RulebookFields!A2:A1898, 0))="")=TRUE),  "",  INDEX(RulebookFields!C2:C1898, MATCH(D3013,RulebookFields!A2:A1898, 0))), "")</f>
        <v>RoleAssignments</v>
      </c>
      <c r="I3013" s="4" t="str">
        <f>_xlfn.IFNA(IF(((INDEX(RulebookFields!D2:D1898, MATCH(D3013,RulebookFields!A2:A1898, 0))="")=TRUE),  "",  INDEX(RulebookFields!D2:D1898, MATCH(D3013,RulebookFields!A2:A1898, 0))), "")</f>
        <v>HasDeclaredSuspensionCondition</v>
      </c>
      <c r="J3013" s="4" t="b">
        <f>_xlfn.IFNA(IF(((INDEX(RulebookFields!I2:I1898, MATCH(D3013,RulebookFields!A2:A1898, 0))="")=TRUE),  "",  INDEX(RulebookFields!I2:I1898, MATCH(D3013,RulebookFields!A2:A1898, 0))), "")</f>
        <v>1</v>
      </c>
      <c r="K3013" s="4" t="b">
        <f>AND(((F3013)=TRUE), ((J3013)=TRUE))</f>
        <v>0</v>
      </c>
      <c r="L3013" s="4" t="b">
        <f>AND(((G3013 &lt;&gt; "plain")=TRUE), ((G3013 &lt;&gt; "")=TRUE))</f>
        <v>0</v>
      </c>
      <c r="M3013" s="4" t="str">
        <f>IF(((E3013)=TRUE),  C3013 &amp; "|" &amp; H3013,  "")</f>
        <v>principal-knowledge-authority|RoleAssignments</v>
      </c>
      <c r="N3013" s="3" t="s">
        <v>10004</v>
      </c>
    </row>
    <row r="3014">
      <c r="A3014" s="3" t="s">
        <v>13016</v>
      </c>
      <c r="B3014" s="4" t="str">
        <f>C3014 &amp; " -&gt; " &amp; D3014</f>
        <v>principal-knowledge-authority -&gt; RoleAssignments.HasApprovingAuthority</v>
      </c>
      <c r="C3014" s="3" t="s">
        <v>9774</v>
      </c>
      <c r="D3014" s="3" t="s">
        <v>2642</v>
      </c>
      <c r="E3014" s="3" t="b">
        <v>1</v>
      </c>
      <c r="F3014" s="3" t="b">
        <v>0</v>
      </c>
      <c r="G3014" s="3" t="s">
        <v>10003</v>
      </c>
      <c r="H3014" s="4" t="str">
        <f>_xlfn.IFNA(IF(((INDEX(RulebookFields!C2:C1898, MATCH(D3014,RulebookFields!A2:A1898, 0))="")=TRUE),  "",  INDEX(RulebookFields!C2:C1898, MATCH(D3014,RulebookFields!A2:A1898, 0))), "")</f>
        <v>RoleAssignments</v>
      </c>
      <c r="I3014" s="4" t="str">
        <f>_xlfn.IFNA(IF(((INDEX(RulebookFields!D2:D1898, MATCH(D3014,RulebookFields!A2:A1898, 0))="")=TRUE),  "",  INDEX(RulebookFields!D2:D1898, MATCH(D3014,RulebookFields!A2:A1898, 0))), "")</f>
        <v>HasApprovingAuthority</v>
      </c>
      <c r="J3014" s="4" t="b">
        <f>_xlfn.IFNA(IF(((INDEX(RulebookFields!I2:I1898, MATCH(D3014,RulebookFields!A2:A1898, 0))="")=TRUE),  "",  INDEX(RulebookFields!I2:I1898, MATCH(D3014,RulebookFields!A2:A1898, 0))), "")</f>
        <v>1</v>
      </c>
      <c r="K3014" s="4" t="b">
        <f>AND(((F3014)=TRUE), ((J3014)=TRUE))</f>
        <v>0</v>
      </c>
      <c r="L3014" s="4" t="b">
        <f>AND(((G3014 &lt;&gt; "plain")=TRUE), ((G3014 &lt;&gt; "")=TRUE))</f>
        <v>0</v>
      </c>
      <c r="M3014" s="4" t="str">
        <f>IF(((E3014)=TRUE),  C3014 &amp; "|" &amp; H3014,  "")</f>
        <v>principal-knowledge-authority|RoleAssignments</v>
      </c>
      <c r="N3014" s="3" t="s">
        <v>10004</v>
      </c>
    </row>
    <row r="3015">
      <c r="A3015" s="3" t="s">
        <v>13017</v>
      </c>
      <c r="B3015" s="4" t="str">
        <f>C3015 &amp; " -&gt; " &amp; D3015</f>
        <v>principal-knowledge-authority -&gt; RoleAssignments.HasAuthorizingChangeRequest</v>
      </c>
      <c r="C3015" s="3" t="s">
        <v>9774</v>
      </c>
      <c r="D3015" s="3" t="s">
        <v>2644</v>
      </c>
      <c r="E3015" s="3" t="b">
        <v>1</v>
      </c>
      <c r="F3015" s="3" t="b">
        <v>0</v>
      </c>
      <c r="G3015" s="3" t="s">
        <v>10003</v>
      </c>
      <c r="H3015" s="4" t="str">
        <f>_xlfn.IFNA(IF(((INDEX(RulebookFields!C2:C1898, MATCH(D3015,RulebookFields!A2:A1898, 0))="")=TRUE),  "",  INDEX(RulebookFields!C2:C1898, MATCH(D3015,RulebookFields!A2:A1898, 0))), "")</f>
        <v>RoleAssignments</v>
      </c>
      <c r="I3015" s="4" t="str">
        <f>_xlfn.IFNA(IF(((INDEX(RulebookFields!D2:D1898, MATCH(D3015,RulebookFields!A2:A1898, 0))="")=TRUE),  "",  INDEX(RulebookFields!D2:D1898, MATCH(D3015,RulebookFields!A2:A1898, 0))), "")</f>
        <v>HasAuthorizingChangeRequest</v>
      </c>
      <c r="J3015" s="4" t="b">
        <f>_xlfn.IFNA(IF(((INDEX(RulebookFields!I2:I1898, MATCH(D3015,RulebookFields!A2:A1898, 0))="")=TRUE),  "",  INDEX(RulebookFields!I2:I1898, MATCH(D3015,RulebookFields!A2:A1898, 0))), "")</f>
        <v>1</v>
      </c>
      <c r="K3015" s="4" t="b">
        <f>AND(((F3015)=TRUE), ((J3015)=TRUE))</f>
        <v>0</v>
      </c>
      <c r="L3015" s="4" t="b">
        <f>AND(((G3015 &lt;&gt; "plain")=TRUE), ((G3015 &lt;&gt; "")=TRUE))</f>
        <v>0</v>
      </c>
      <c r="M3015" s="4" t="str">
        <f>IF(((E3015)=TRUE),  C3015 &amp; "|" &amp; H3015,  "")</f>
        <v>principal-knowledge-authority|RoleAssignments</v>
      </c>
      <c r="N3015" s="3" t="s">
        <v>10004</v>
      </c>
    </row>
    <row r="3016">
      <c r="A3016" s="3" t="s">
        <v>13018</v>
      </c>
      <c r="B3016" s="4" t="str">
        <f>C3016 &amp; " -&gt; " &amp; D3016</f>
        <v>principal-knowledge-authority -&gt; RoleAssignments.IsEnforcementRole</v>
      </c>
      <c r="C3016" s="3" t="s">
        <v>9774</v>
      </c>
      <c r="D3016" s="3" t="s">
        <v>2646</v>
      </c>
      <c r="E3016" s="3" t="b">
        <v>1</v>
      </c>
      <c r="F3016" s="3" t="b">
        <v>0</v>
      </c>
      <c r="G3016" s="3" t="s">
        <v>10003</v>
      </c>
      <c r="H3016" s="4" t="str">
        <f>_xlfn.IFNA(IF(((INDEX(RulebookFields!C2:C1898, MATCH(D3016,RulebookFields!A2:A1898, 0))="")=TRUE),  "",  INDEX(RulebookFields!C2:C1898, MATCH(D3016,RulebookFields!A2:A1898, 0))), "")</f>
        <v>RoleAssignments</v>
      </c>
      <c r="I3016" s="4" t="str">
        <f>_xlfn.IFNA(IF(((INDEX(RulebookFields!D2:D1898, MATCH(D3016,RulebookFields!A2:A1898, 0))="")=TRUE),  "",  INDEX(RulebookFields!D2:D1898, MATCH(D3016,RulebookFields!A2:A1898, 0))), "")</f>
        <v>IsEnforcementRole</v>
      </c>
      <c r="J3016" s="4" t="b">
        <f>_xlfn.IFNA(IF(((INDEX(RulebookFields!I2:I1898, MATCH(D3016,RulebookFields!A2:A1898, 0))="")=TRUE),  "",  INDEX(RulebookFields!I2:I1898, MATCH(D3016,RulebookFields!A2:A1898, 0))), "")</f>
        <v>0</v>
      </c>
      <c r="K3016" s="4" t="b">
        <f>AND(((F3016)=TRUE), ((J3016)=TRUE))</f>
        <v>0</v>
      </c>
      <c r="L3016" s="4" t="b">
        <f>AND(((G3016 &lt;&gt; "plain")=TRUE), ((G3016 &lt;&gt; "")=TRUE))</f>
        <v>0</v>
      </c>
      <c r="M3016" s="4" t="str">
        <f>IF(((E3016)=TRUE),  C3016 &amp; "|" &amp; H3016,  "")</f>
        <v>principal-knowledge-authority|RoleAssignments</v>
      </c>
      <c r="N3016" s="3" t="s">
        <v>10004</v>
      </c>
    </row>
    <row r="3017">
      <c r="A3017" s="3" t="s">
        <v>13019</v>
      </c>
      <c r="B3017" s="4" t="str">
        <f>C3017 &amp; " -&gt; " &amp; D3017</f>
        <v>principal-knowledge-authority -&gt; RoleAssignments.IsUnauthorizedEnforcementAgent</v>
      </c>
      <c r="C3017" s="3" t="s">
        <v>9774</v>
      </c>
      <c r="D3017" s="3" t="s">
        <v>2647</v>
      </c>
      <c r="E3017" s="3" t="b">
        <v>1</v>
      </c>
      <c r="F3017" s="3" t="b">
        <v>0</v>
      </c>
      <c r="G3017" s="3" t="s">
        <v>10003</v>
      </c>
      <c r="H3017" s="4" t="str">
        <f>_xlfn.IFNA(IF(((INDEX(RulebookFields!C2:C1898, MATCH(D3017,RulebookFields!A2:A1898, 0))="")=TRUE),  "",  INDEX(RulebookFields!C2:C1898, MATCH(D3017,RulebookFields!A2:A1898, 0))), "")</f>
        <v>RoleAssignments</v>
      </c>
      <c r="I3017" s="4" t="str">
        <f>_xlfn.IFNA(IF(((INDEX(RulebookFields!D2:D1898, MATCH(D3017,RulebookFields!A2:A1898, 0))="")=TRUE),  "",  INDEX(RulebookFields!D2:D1898, MATCH(D3017,RulebookFields!A2:A1898, 0))), "")</f>
        <v>IsUnauthorizedEnforcementAgent</v>
      </c>
      <c r="J3017" s="4" t="b">
        <f>_xlfn.IFNA(IF(((INDEX(RulebookFields!I2:I1898, MATCH(D3017,RulebookFields!A2:A1898, 0))="")=TRUE),  "",  INDEX(RulebookFields!I2:I1898, MATCH(D3017,RulebookFields!A2:A1898, 0))), "")</f>
        <v>1</v>
      </c>
      <c r="K3017" s="4" t="b">
        <f>AND(((F3017)=TRUE), ((J3017)=TRUE))</f>
        <v>0</v>
      </c>
      <c r="L3017" s="4" t="b">
        <f>AND(((G3017 &lt;&gt; "plain")=TRUE), ((G3017 &lt;&gt; "")=TRUE))</f>
        <v>0</v>
      </c>
      <c r="M3017" s="4" t="str">
        <f>IF(((E3017)=TRUE),  C3017 &amp; "|" &amp; H3017,  "")</f>
        <v>principal-knowledge-authority|RoleAssignments</v>
      </c>
      <c r="N3017" s="3" t="s">
        <v>10004</v>
      </c>
    </row>
    <row r="3018">
      <c r="A3018" s="3" t="s">
        <v>13020</v>
      </c>
      <c r="B3018" s="4" t="str">
        <f>C3018 &amp; " -&gt; " &amp; D3018</f>
        <v>principal-knowledge-authority -&gt; RoleAssignments.GovernanceEvidenceCount</v>
      </c>
      <c r="C3018" s="3" t="s">
        <v>9774</v>
      </c>
      <c r="D3018" s="3" t="s">
        <v>2649</v>
      </c>
      <c r="E3018" s="3" t="b">
        <v>1</v>
      </c>
      <c r="F3018" s="3" t="b">
        <v>0</v>
      </c>
      <c r="G3018" s="3" t="s">
        <v>10003</v>
      </c>
      <c r="H3018" s="4" t="str">
        <f>_xlfn.IFNA(IF(((INDEX(RulebookFields!C2:C1898, MATCH(D3018,RulebookFields!A2:A1898, 0))="")=TRUE),  "",  INDEX(RulebookFields!C2:C1898, MATCH(D3018,RulebookFields!A2:A1898, 0))), "")</f>
        <v>RoleAssignments</v>
      </c>
      <c r="I3018" s="4" t="str">
        <f>_xlfn.IFNA(IF(((INDEX(RulebookFields!D2:D1898, MATCH(D3018,RulebookFields!A2:A1898, 0))="")=TRUE),  "",  INDEX(RulebookFields!D2:D1898, MATCH(D3018,RulebookFields!A2:A1898, 0))), "")</f>
        <v>GovernanceEvidenceCount</v>
      </c>
      <c r="J3018" s="4" t="b">
        <f>_xlfn.IFNA(IF(((INDEX(RulebookFields!I2:I1898, MATCH(D3018,RulebookFields!A2:A1898, 0))="")=TRUE),  "",  INDEX(RulebookFields!I2:I1898, MATCH(D3018,RulebookFields!A2:A1898, 0))), "")</f>
        <v>1</v>
      </c>
      <c r="K3018" s="4" t="b">
        <f>AND(((F3018)=TRUE), ((J3018)=TRUE))</f>
        <v>0</v>
      </c>
      <c r="L3018" s="4" t="b">
        <f>AND(((G3018 &lt;&gt; "plain")=TRUE), ((G3018 &lt;&gt; "")=TRUE))</f>
        <v>0</v>
      </c>
      <c r="M3018" s="4" t="str">
        <f>IF(((E3018)=TRUE),  C3018 &amp; "|" &amp; H3018,  "")</f>
        <v>principal-knowledge-authority|RoleAssignments</v>
      </c>
      <c r="N3018" s="3" t="s">
        <v>10004</v>
      </c>
    </row>
    <row r="3019">
      <c r="A3019" s="3" t="s">
        <v>13021</v>
      </c>
      <c r="B3019" s="4" t="str">
        <f>C3019 &amp; " -&gt; " &amp; D3019</f>
        <v>principal-knowledge-authority -&gt; RoleAssignments.UnauthorizedEnforcementRoleKey</v>
      </c>
      <c r="C3019" s="3" t="s">
        <v>9774</v>
      </c>
      <c r="D3019" s="3" t="s">
        <v>2651</v>
      </c>
      <c r="E3019" s="3" t="b">
        <v>1</v>
      </c>
      <c r="F3019" s="3" t="b">
        <v>0</v>
      </c>
      <c r="G3019" s="3" t="s">
        <v>10003</v>
      </c>
      <c r="H3019" s="4" t="str">
        <f>_xlfn.IFNA(IF(((INDEX(RulebookFields!C2:C1898, MATCH(D3019,RulebookFields!A2:A1898, 0))="")=TRUE),  "",  INDEX(RulebookFields!C2:C1898, MATCH(D3019,RulebookFields!A2:A1898, 0))), "")</f>
        <v>RoleAssignments</v>
      </c>
      <c r="I3019" s="4" t="str">
        <f>_xlfn.IFNA(IF(((INDEX(RulebookFields!D2:D1898, MATCH(D3019,RulebookFields!A2:A1898, 0))="")=TRUE),  "",  INDEX(RulebookFields!D2:D1898, MATCH(D3019,RulebookFields!A2:A1898, 0))), "")</f>
        <v>UnauthorizedEnforcementRoleKey</v>
      </c>
      <c r="J3019" s="4" t="b">
        <f>_xlfn.IFNA(IF(((INDEX(RulebookFields!I2:I1898, MATCH(D3019,RulebookFields!A2:A1898, 0))="")=TRUE),  "",  INDEX(RulebookFields!I2:I1898, MATCH(D3019,RulebookFields!A2:A1898, 0))), "")</f>
        <v>1</v>
      </c>
      <c r="K3019" s="4" t="b">
        <f>AND(((F3019)=TRUE), ((J3019)=TRUE))</f>
        <v>0</v>
      </c>
      <c r="L3019" s="4" t="b">
        <f>AND(((G3019 &lt;&gt; "plain")=TRUE), ((G3019 &lt;&gt; "")=TRUE))</f>
        <v>0</v>
      </c>
      <c r="M3019" s="4" t="str">
        <f>IF(((E3019)=TRUE),  C3019 &amp; "|" &amp; H3019,  "")</f>
        <v>principal-knowledge-authority|RoleAssignments</v>
      </c>
      <c r="N3019" s="3" t="s">
        <v>10004</v>
      </c>
    </row>
    <row r="3020">
      <c r="A3020" s="3" t="s">
        <v>13022</v>
      </c>
      <c r="B3020" s="4" t="str">
        <f>C3020 &amp; " -&gt; " &amp; D3020</f>
        <v>principal-knowledge-authority -&gt; RoleAssignments.SemanticTypeIri</v>
      </c>
      <c r="C3020" s="3" t="s">
        <v>9774</v>
      </c>
      <c r="D3020" s="3" t="s">
        <v>2653</v>
      </c>
      <c r="E3020" s="3" t="b">
        <v>1</v>
      </c>
      <c r="F3020" s="3" t="b">
        <v>0</v>
      </c>
      <c r="G3020" s="3" t="s">
        <v>10003</v>
      </c>
      <c r="H3020" s="4" t="str">
        <f>_xlfn.IFNA(IF(((INDEX(RulebookFields!C2:C1898, MATCH(D3020,RulebookFields!A2:A1898, 0))="")=TRUE),  "",  INDEX(RulebookFields!C2:C1898, MATCH(D3020,RulebookFields!A2:A1898, 0))), "")</f>
        <v>RoleAssignments</v>
      </c>
      <c r="I3020" s="4" t="str">
        <f>_xlfn.IFNA(IF(((INDEX(RulebookFields!D2:D1898, MATCH(D3020,RulebookFields!A2:A1898, 0))="")=TRUE),  "",  INDEX(RulebookFields!D2:D1898, MATCH(D3020,RulebookFields!A2:A1898, 0))), "")</f>
        <v>SemanticTypeIri</v>
      </c>
      <c r="J3020" s="4" t="b">
        <f>_xlfn.IFNA(IF(((INDEX(RulebookFields!I2:I1898, MATCH(D3020,RulebookFields!A2:A1898, 0))="")=TRUE),  "",  INDEX(RulebookFields!I2:I1898, MATCH(D3020,RulebookFields!A2:A1898, 0))), "")</f>
        <v>0</v>
      </c>
      <c r="K3020" s="4" t="b">
        <f>AND(((F3020)=TRUE), ((J3020)=TRUE))</f>
        <v>0</v>
      </c>
      <c r="L3020" s="4" t="b">
        <f>AND(((G3020 &lt;&gt; "plain")=TRUE), ((G3020 &lt;&gt; "")=TRUE))</f>
        <v>0</v>
      </c>
      <c r="M3020" s="4" t="str">
        <f>IF(((E3020)=TRUE),  C3020 &amp; "|" &amp; H3020,  "")</f>
        <v>principal-knowledge-authority|RoleAssignments</v>
      </c>
      <c r="N3020" s="3" t="s">
        <v>10004</v>
      </c>
    </row>
    <row r="3021">
      <c r="A3021" s="3" t="s">
        <v>13023</v>
      </c>
      <c r="B3021" s="4" t="str">
        <f>C3021 &amp; " -&gt; " &amp; D3021</f>
        <v>principal-knowledge-authority -&gt; RoleQuestions.RoleQuestionId</v>
      </c>
      <c r="C3021" s="3" t="s">
        <v>9774</v>
      </c>
      <c r="D3021" s="3" t="s">
        <v>4156</v>
      </c>
      <c r="E3021" s="3" t="b">
        <v>1</v>
      </c>
      <c r="F3021" s="3" t="b">
        <v>0</v>
      </c>
      <c r="G3021" s="3" t="s">
        <v>10003</v>
      </c>
      <c r="H3021" s="4" t="str">
        <f>_xlfn.IFNA(IF(((INDEX(RulebookFields!C2:C1898, MATCH(D3021,RulebookFields!A2:A1898, 0))="")=TRUE),  "",  INDEX(RulebookFields!C2:C1898, MATCH(D3021,RulebookFields!A2:A1898, 0))), "")</f>
        <v>RoleQuestions</v>
      </c>
      <c r="I3021" s="4" t="str">
        <f>_xlfn.IFNA(IF(((INDEX(RulebookFields!D2:D1898, MATCH(D3021,RulebookFields!A2:A1898, 0))="")=TRUE),  "",  INDEX(RulebookFields!D2:D1898, MATCH(D3021,RulebookFields!A2:A1898, 0))), "")</f>
        <v>RoleQuestionId</v>
      </c>
      <c r="J3021" s="4" t="b">
        <f>_xlfn.IFNA(IF(((INDEX(RulebookFields!I2:I1898, MATCH(D3021,RulebookFields!A2:A1898, 0))="")=TRUE),  "",  INDEX(RulebookFields!I2:I1898, MATCH(D3021,RulebookFields!A2:A1898, 0))), "")</f>
        <v>0</v>
      </c>
      <c r="K3021" s="4" t="b">
        <f>AND(((F3021)=TRUE), ((J3021)=TRUE))</f>
        <v>0</v>
      </c>
      <c r="L3021" s="4" t="b">
        <f>AND(((G3021 &lt;&gt; "plain")=TRUE), ((G3021 &lt;&gt; "")=TRUE))</f>
        <v>0</v>
      </c>
      <c r="M3021" s="4" t="str">
        <f>IF(((E3021)=TRUE),  C3021 &amp; "|" &amp; H3021,  "")</f>
        <v>principal-knowledge-authority|RoleQuestions</v>
      </c>
      <c r="N3021" s="3" t="s">
        <v>10004</v>
      </c>
    </row>
    <row r="3022">
      <c r="A3022" s="3" t="s">
        <v>13024</v>
      </c>
      <c r="B3022" s="4" t="str">
        <f>C3022 &amp; " -&gt; " &amp; D3022</f>
        <v>principal-knowledge-authority -&gt; RoleQuestions.Name</v>
      </c>
      <c r="C3022" s="3" t="s">
        <v>9774</v>
      </c>
      <c r="D3022" s="3" t="s">
        <v>4158</v>
      </c>
      <c r="E3022" s="3" t="b">
        <v>1</v>
      </c>
      <c r="F3022" s="3" t="b">
        <v>0</v>
      </c>
      <c r="G3022" s="3" t="s">
        <v>10003</v>
      </c>
      <c r="H3022" s="4" t="str">
        <f>_xlfn.IFNA(IF(((INDEX(RulebookFields!C2:C1898, MATCH(D3022,RulebookFields!A2:A1898, 0))="")=TRUE),  "",  INDEX(RulebookFields!C2:C1898, MATCH(D3022,RulebookFields!A2:A1898, 0))), "")</f>
        <v>RoleQuestions</v>
      </c>
      <c r="I3022" s="4" t="str">
        <f>_xlfn.IFNA(IF(((INDEX(RulebookFields!D2:D1898, MATCH(D3022,RulebookFields!A2:A1898, 0))="")=TRUE),  "",  INDEX(RulebookFields!D2:D1898, MATCH(D3022,RulebookFields!A2:A1898, 0))), "")</f>
        <v>Name</v>
      </c>
      <c r="J3022" s="4" t="b">
        <f>_xlfn.IFNA(IF(((INDEX(RulebookFields!I2:I1898, MATCH(D3022,RulebookFields!A2:A1898, 0))="")=TRUE),  "",  INDEX(RulebookFields!I2:I1898, MATCH(D3022,RulebookFields!A2:A1898, 0))), "")</f>
        <v>1</v>
      </c>
      <c r="K3022" s="4" t="b">
        <f>AND(((F3022)=TRUE), ((J3022)=TRUE))</f>
        <v>0</v>
      </c>
      <c r="L3022" s="4" t="b">
        <f>AND(((G3022 &lt;&gt; "plain")=TRUE), ((G3022 &lt;&gt; "")=TRUE))</f>
        <v>0</v>
      </c>
      <c r="M3022" s="4" t="str">
        <f>IF(((E3022)=TRUE),  C3022 &amp; "|" &amp; H3022,  "")</f>
        <v>principal-knowledge-authority|RoleQuestions</v>
      </c>
      <c r="N3022" s="3" t="s">
        <v>10004</v>
      </c>
    </row>
    <row r="3023">
      <c r="A3023" s="3" t="s">
        <v>13025</v>
      </c>
      <c r="B3023" s="4" t="str">
        <f>C3023 &amp; " -&gt; " &amp; D3023</f>
        <v>principal-knowledge-authority -&gt; RoleQuestions.AskingRole</v>
      </c>
      <c r="C3023" s="3" t="s">
        <v>9774</v>
      </c>
      <c r="D3023" s="3" t="s">
        <v>4160</v>
      </c>
      <c r="E3023" s="3" t="b">
        <v>1</v>
      </c>
      <c r="F3023" s="3" t="b">
        <v>0</v>
      </c>
      <c r="G3023" s="3" t="s">
        <v>10003</v>
      </c>
      <c r="H3023" s="4" t="str">
        <f>_xlfn.IFNA(IF(((INDEX(RulebookFields!C2:C1898, MATCH(D3023,RulebookFields!A2:A1898, 0))="")=TRUE),  "",  INDEX(RulebookFields!C2:C1898, MATCH(D3023,RulebookFields!A2:A1898, 0))), "")</f>
        <v>RoleQuestions</v>
      </c>
      <c r="I3023" s="4" t="str">
        <f>_xlfn.IFNA(IF(((INDEX(RulebookFields!D2:D1898, MATCH(D3023,RulebookFields!A2:A1898, 0))="")=TRUE),  "",  INDEX(RulebookFields!D2:D1898, MATCH(D3023,RulebookFields!A2:A1898, 0))), "")</f>
        <v>AskingRole</v>
      </c>
      <c r="J3023" s="4" t="b">
        <f>_xlfn.IFNA(IF(((INDEX(RulebookFields!I2:I1898, MATCH(D3023,RulebookFields!A2:A1898, 0))="")=TRUE),  "",  INDEX(RulebookFields!I2:I1898, MATCH(D3023,RulebookFields!A2:A1898, 0))), "")</f>
        <v>0</v>
      </c>
      <c r="K3023" s="4" t="b">
        <f>AND(((F3023)=TRUE), ((J3023)=TRUE))</f>
        <v>0</v>
      </c>
      <c r="L3023" s="4" t="b">
        <f>AND(((G3023 &lt;&gt; "plain")=TRUE), ((G3023 &lt;&gt; "")=TRUE))</f>
        <v>0</v>
      </c>
      <c r="M3023" s="4" t="str">
        <f>IF(((E3023)=TRUE),  C3023 &amp; "|" &amp; H3023,  "")</f>
        <v>principal-knowledge-authority|RoleQuestions</v>
      </c>
      <c r="N3023" s="3" t="s">
        <v>10004</v>
      </c>
    </row>
    <row r="3024">
      <c r="A3024" s="3" t="s">
        <v>13026</v>
      </c>
      <c r="B3024" s="4" t="str">
        <f>C3024 &amp; " -&gt; " &amp; D3024</f>
        <v>principal-knowledge-authority -&gt; RoleQuestions.WitnessLoop</v>
      </c>
      <c r="C3024" s="3" t="s">
        <v>9774</v>
      </c>
      <c r="D3024" s="3" t="s">
        <v>4161</v>
      </c>
      <c r="E3024" s="3" t="b">
        <v>1</v>
      </c>
      <c r="F3024" s="3" t="b">
        <v>0</v>
      </c>
      <c r="G3024" s="3" t="s">
        <v>10003</v>
      </c>
      <c r="H3024" s="4" t="str">
        <f>_xlfn.IFNA(IF(((INDEX(RulebookFields!C2:C1898, MATCH(D3024,RulebookFields!A2:A1898, 0))="")=TRUE),  "",  INDEX(RulebookFields!C2:C1898, MATCH(D3024,RulebookFields!A2:A1898, 0))), "")</f>
        <v>RoleQuestions</v>
      </c>
      <c r="I3024" s="4" t="str">
        <f>_xlfn.IFNA(IF(((INDEX(RulebookFields!D2:D1898, MATCH(D3024,RulebookFields!A2:A1898, 0))="")=TRUE),  "",  INDEX(RulebookFields!D2:D1898, MATCH(D3024,RulebookFields!A2:A1898, 0))), "")</f>
        <v>WitnessLoop</v>
      </c>
      <c r="J3024" s="4" t="b">
        <f>_xlfn.IFNA(IF(((INDEX(RulebookFields!I2:I1898, MATCH(D3024,RulebookFields!A2:A1898, 0))="")=TRUE),  "",  INDEX(RulebookFields!I2:I1898, MATCH(D3024,RulebookFields!A2:A1898, 0))), "")</f>
        <v>0</v>
      </c>
      <c r="K3024" s="4" t="b">
        <f>AND(((F3024)=TRUE), ((J3024)=TRUE))</f>
        <v>0</v>
      </c>
      <c r="L3024" s="4" t="b">
        <f>AND(((G3024 &lt;&gt; "plain")=TRUE), ((G3024 &lt;&gt; "")=TRUE))</f>
        <v>0</v>
      </c>
      <c r="M3024" s="4" t="str">
        <f>IF(((E3024)=TRUE),  C3024 &amp; "|" &amp; H3024,  "")</f>
        <v>principal-knowledge-authority|RoleQuestions</v>
      </c>
      <c r="N3024" s="3" t="s">
        <v>10004</v>
      </c>
    </row>
    <row r="3025">
      <c r="A3025" s="3" t="s">
        <v>13027</v>
      </c>
      <c r="B3025" s="4" t="str">
        <f>C3025 &amp; " -&gt; " &amp; D3025</f>
        <v>principal-knowledge-authority -&gt; RoleQuestions.QuestionText</v>
      </c>
      <c r="C3025" s="3" t="s">
        <v>9774</v>
      </c>
      <c r="D3025" s="3" t="s">
        <v>4162</v>
      </c>
      <c r="E3025" s="3" t="b">
        <v>1</v>
      </c>
      <c r="F3025" s="3" t="b">
        <v>0</v>
      </c>
      <c r="G3025" s="3" t="s">
        <v>10003</v>
      </c>
      <c r="H3025" s="4" t="str">
        <f>_xlfn.IFNA(IF(((INDEX(RulebookFields!C2:C1898, MATCH(D3025,RulebookFields!A2:A1898, 0))="")=TRUE),  "",  INDEX(RulebookFields!C2:C1898, MATCH(D3025,RulebookFields!A2:A1898, 0))), "")</f>
        <v>RoleQuestions</v>
      </c>
      <c r="I3025" s="4" t="str">
        <f>_xlfn.IFNA(IF(((INDEX(RulebookFields!D2:D1898, MATCH(D3025,RulebookFields!A2:A1898, 0))="")=TRUE),  "",  INDEX(RulebookFields!D2:D1898, MATCH(D3025,RulebookFields!A2:A1898, 0))), "")</f>
        <v>QuestionText</v>
      </c>
      <c r="J3025" s="4" t="b">
        <f>_xlfn.IFNA(IF(((INDEX(RulebookFields!I2:I1898, MATCH(D3025,RulebookFields!A2:A1898, 0))="")=TRUE),  "",  INDEX(RulebookFields!I2:I1898, MATCH(D3025,RulebookFields!A2:A1898, 0))), "")</f>
        <v>0</v>
      </c>
      <c r="K3025" s="4" t="b">
        <f>AND(((F3025)=TRUE), ((J3025)=TRUE))</f>
        <v>0</v>
      </c>
      <c r="L3025" s="4" t="b">
        <f>AND(((G3025 &lt;&gt; "plain")=TRUE), ((G3025 &lt;&gt; "")=TRUE))</f>
        <v>0</v>
      </c>
      <c r="M3025" s="4" t="str">
        <f>IF(((E3025)=TRUE),  C3025 &amp; "|" &amp; H3025,  "")</f>
        <v>principal-knowledge-authority|RoleQuestions</v>
      </c>
      <c r="N3025" s="3" t="s">
        <v>10004</v>
      </c>
    </row>
    <row r="3026">
      <c r="A3026" s="3" t="s">
        <v>13028</v>
      </c>
      <c r="B3026" s="4" t="str">
        <f>C3026 &amp; " -&gt; " &amp; D3026</f>
        <v>principal-knowledge-authority -&gt; RoleQuestions.WhyItMatters</v>
      </c>
      <c r="C3026" s="3" t="s">
        <v>9774</v>
      </c>
      <c r="D3026" s="3" t="s">
        <v>4163</v>
      </c>
      <c r="E3026" s="3" t="b">
        <v>1</v>
      </c>
      <c r="F3026" s="3" t="b">
        <v>0</v>
      </c>
      <c r="G3026" s="3" t="s">
        <v>10003</v>
      </c>
      <c r="H3026" s="4" t="str">
        <f>_xlfn.IFNA(IF(((INDEX(RulebookFields!C2:C1898, MATCH(D3026,RulebookFields!A2:A1898, 0))="")=TRUE),  "",  INDEX(RulebookFields!C2:C1898, MATCH(D3026,RulebookFields!A2:A1898, 0))), "")</f>
        <v>RoleQuestions</v>
      </c>
      <c r="I3026" s="4" t="str">
        <f>_xlfn.IFNA(IF(((INDEX(RulebookFields!D2:D1898, MATCH(D3026,RulebookFields!A2:A1898, 0))="")=TRUE),  "",  INDEX(RulebookFields!D2:D1898, MATCH(D3026,RulebookFields!A2:A1898, 0))), "")</f>
        <v>WhyItMatters</v>
      </c>
      <c r="J3026" s="4" t="b">
        <f>_xlfn.IFNA(IF(((INDEX(RulebookFields!I2:I1898, MATCH(D3026,RulebookFields!A2:A1898, 0))="")=TRUE),  "",  INDEX(RulebookFields!I2:I1898, MATCH(D3026,RulebookFields!A2:A1898, 0))), "")</f>
        <v>0</v>
      </c>
      <c r="K3026" s="4" t="b">
        <f>AND(((F3026)=TRUE), ((J3026)=TRUE))</f>
        <v>0</v>
      </c>
      <c r="L3026" s="4" t="b">
        <f>AND(((G3026 &lt;&gt; "plain")=TRUE), ((G3026 &lt;&gt; "")=TRUE))</f>
        <v>0</v>
      </c>
      <c r="M3026" s="4" t="str">
        <f>IF(((E3026)=TRUE),  C3026 &amp; "|" &amp; H3026,  "")</f>
        <v>principal-knowledge-authority|RoleQuestions</v>
      </c>
      <c r="N3026" s="3" t="s">
        <v>10004</v>
      </c>
    </row>
    <row r="3027">
      <c r="A3027" s="3" t="s">
        <v>13029</v>
      </c>
      <c r="B3027" s="4" t="str">
        <f>C3027 &amp; " -&gt; " &amp; D3027</f>
        <v>principal-knowledge-authority -&gt; RoleQuestions.AnswerableBefore</v>
      </c>
      <c r="C3027" s="3" t="s">
        <v>9774</v>
      </c>
      <c r="D3027" s="3" t="s">
        <v>4164</v>
      </c>
      <c r="E3027" s="3" t="b">
        <v>1</v>
      </c>
      <c r="F3027" s="3" t="b">
        <v>0</v>
      </c>
      <c r="G3027" s="3" t="s">
        <v>10003</v>
      </c>
      <c r="H3027" s="4" t="str">
        <f>_xlfn.IFNA(IF(((INDEX(RulebookFields!C2:C1898, MATCH(D3027,RulebookFields!A2:A1898, 0))="")=TRUE),  "",  INDEX(RulebookFields!C2:C1898, MATCH(D3027,RulebookFields!A2:A1898, 0))), "")</f>
        <v>RoleQuestions</v>
      </c>
      <c r="I3027" s="4" t="str">
        <f>_xlfn.IFNA(IF(((INDEX(RulebookFields!D2:D1898, MATCH(D3027,RulebookFields!A2:A1898, 0))="")=TRUE),  "",  INDEX(RulebookFields!D2:D1898, MATCH(D3027,RulebookFields!A2:A1898, 0))), "")</f>
        <v>AnswerableBefore</v>
      </c>
      <c r="J3027" s="4" t="b">
        <f>_xlfn.IFNA(IF(((INDEX(RulebookFields!I2:I1898, MATCH(D3027,RulebookFields!A2:A1898, 0))="")=TRUE),  "",  INDEX(RulebookFields!I2:I1898, MATCH(D3027,RulebookFields!A2:A1898, 0))), "")</f>
        <v>0</v>
      </c>
      <c r="K3027" s="4" t="b">
        <f>AND(((F3027)=TRUE), ((J3027)=TRUE))</f>
        <v>0</v>
      </c>
      <c r="L3027" s="4" t="b">
        <f>AND(((G3027 &lt;&gt; "plain")=TRUE), ((G3027 &lt;&gt; "")=TRUE))</f>
        <v>0</v>
      </c>
      <c r="M3027" s="4" t="str">
        <f>IF(((E3027)=TRUE),  C3027 &amp; "|" &amp; H3027,  "")</f>
        <v>principal-knowledge-authority|RoleQuestions</v>
      </c>
      <c r="N3027" s="3" t="s">
        <v>10004</v>
      </c>
    </row>
    <row r="3028">
      <c r="A3028" s="3" t="s">
        <v>13030</v>
      </c>
      <c r="B3028" s="4" t="str">
        <f>C3028 &amp; " -&gt; " &amp; D3028</f>
        <v>principal-knowledge-authority -&gt; RoleQuestions.PredicateCount</v>
      </c>
      <c r="C3028" s="3" t="s">
        <v>9774</v>
      </c>
      <c r="D3028" s="3" t="s">
        <v>4165</v>
      </c>
      <c r="E3028" s="3" t="b">
        <v>1</v>
      </c>
      <c r="F3028" s="3" t="b">
        <v>0</v>
      </c>
      <c r="G3028" s="3" t="s">
        <v>10003</v>
      </c>
      <c r="H3028" s="4" t="str">
        <f>_xlfn.IFNA(IF(((INDEX(RulebookFields!C2:C1898, MATCH(D3028,RulebookFields!A2:A1898, 0))="")=TRUE),  "",  INDEX(RulebookFields!C2:C1898, MATCH(D3028,RulebookFields!A2:A1898, 0))), "")</f>
        <v>RoleQuestions</v>
      </c>
      <c r="I3028" s="4" t="str">
        <f>_xlfn.IFNA(IF(((INDEX(RulebookFields!D2:D1898, MATCH(D3028,RulebookFields!A2:A1898, 0))="")=TRUE),  "",  INDEX(RulebookFields!D2:D1898, MATCH(D3028,RulebookFields!A2:A1898, 0))), "")</f>
        <v>PredicateCount</v>
      </c>
      <c r="J3028" s="4" t="b">
        <f>_xlfn.IFNA(IF(((INDEX(RulebookFields!I2:I1898, MATCH(D3028,RulebookFields!A2:A1898, 0))="")=TRUE),  "",  INDEX(RulebookFields!I2:I1898, MATCH(D3028,RulebookFields!A2:A1898, 0))), "")</f>
        <v>1</v>
      </c>
      <c r="K3028" s="4" t="b">
        <f>AND(((F3028)=TRUE), ((J3028)=TRUE))</f>
        <v>0</v>
      </c>
      <c r="L3028" s="4" t="b">
        <f>AND(((G3028 &lt;&gt; "plain")=TRUE), ((G3028 &lt;&gt; "")=TRUE))</f>
        <v>0</v>
      </c>
      <c r="M3028" s="4" t="str">
        <f>IF(((E3028)=TRUE),  C3028 &amp; "|" &amp; H3028,  "")</f>
        <v>principal-knowledge-authority|RoleQuestions</v>
      </c>
      <c r="N3028" s="3" t="s">
        <v>10004</v>
      </c>
    </row>
    <row r="3029">
      <c r="A3029" s="3" t="s">
        <v>13031</v>
      </c>
      <c r="B3029" s="4" t="str">
        <f>C3029 &amp; " -&gt; " &amp; D3029</f>
        <v>principal-knowledge-authority -&gt; RoleQuestions.IsAnswered</v>
      </c>
      <c r="C3029" s="3" t="s">
        <v>9774</v>
      </c>
      <c r="D3029" s="3" t="s">
        <v>4167</v>
      </c>
      <c r="E3029" s="3" t="b">
        <v>1</v>
      </c>
      <c r="F3029" s="3" t="b">
        <v>0</v>
      </c>
      <c r="G3029" s="3" t="s">
        <v>10003</v>
      </c>
      <c r="H3029" s="4" t="str">
        <f>_xlfn.IFNA(IF(((INDEX(RulebookFields!C2:C1898, MATCH(D3029,RulebookFields!A2:A1898, 0))="")=TRUE),  "",  INDEX(RulebookFields!C2:C1898, MATCH(D3029,RulebookFields!A2:A1898, 0))), "")</f>
        <v>RoleQuestions</v>
      </c>
      <c r="I3029" s="4" t="str">
        <f>_xlfn.IFNA(IF(((INDEX(RulebookFields!D2:D1898, MATCH(D3029,RulebookFields!A2:A1898, 0))="")=TRUE),  "",  INDEX(RulebookFields!D2:D1898, MATCH(D3029,RulebookFields!A2:A1898, 0))), "")</f>
        <v>IsAnswered</v>
      </c>
      <c r="J3029" s="4" t="b">
        <f>_xlfn.IFNA(IF(((INDEX(RulebookFields!I2:I1898, MATCH(D3029,RulebookFields!A2:A1898, 0))="")=TRUE),  "",  INDEX(RulebookFields!I2:I1898, MATCH(D3029,RulebookFields!A2:A1898, 0))), "")</f>
        <v>1</v>
      </c>
      <c r="K3029" s="4" t="b">
        <f>AND(((F3029)=TRUE), ((J3029)=TRUE))</f>
        <v>0</v>
      </c>
      <c r="L3029" s="4" t="b">
        <f>AND(((G3029 &lt;&gt; "plain")=TRUE), ((G3029 &lt;&gt; "")=TRUE))</f>
        <v>0</v>
      </c>
      <c r="M3029" s="4" t="str">
        <f>IF(((E3029)=TRUE),  C3029 &amp; "|" &amp; H3029,  "")</f>
        <v>principal-knowledge-authority|RoleQuestions</v>
      </c>
      <c r="N3029" s="3" t="s">
        <v>10004</v>
      </c>
    </row>
    <row r="3030">
      <c r="A3030" s="3" t="s">
        <v>13032</v>
      </c>
      <c r="B3030" s="4" t="str">
        <f>C3030 &amp; " -&gt; " &amp; D3030</f>
        <v>principal-knowledge-authority -&gt; RoleQuestions.WitnessedAnswer</v>
      </c>
      <c r="C3030" s="3" t="s">
        <v>9774</v>
      </c>
      <c r="D3030" s="3" t="s">
        <v>4169</v>
      </c>
      <c r="E3030" s="3" t="b">
        <v>1</v>
      </c>
      <c r="F3030" s="3" t="b">
        <v>0</v>
      </c>
      <c r="G3030" s="3" t="s">
        <v>10003</v>
      </c>
      <c r="H3030" s="4" t="str">
        <f>_xlfn.IFNA(IF(((INDEX(RulebookFields!C2:C1898, MATCH(D3030,RulebookFields!A2:A1898, 0))="")=TRUE),  "",  INDEX(RulebookFields!C2:C1898, MATCH(D3030,RulebookFields!A2:A1898, 0))), "")</f>
        <v>RoleQuestions</v>
      </c>
      <c r="I3030" s="4" t="str">
        <f>_xlfn.IFNA(IF(((INDEX(RulebookFields!D2:D1898, MATCH(D3030,RulebookFields!A2:A1898, 0))="")=TRUE),  "",  INDEX(RulebookFields!D2:D1898, MATCH(D3030,RulebookFields!A2:A1898, 0))), "")</f>
        <v>WitnessedAnswer</v>
      </c>
      <c r="J3030" s="4" t="b">
        <f>_xlfn.IFNA(IF(((INDEX(RulebookFields!I2:I1898, MATCH(D3030,RulebookFields!A2:A1898, 0))="")=TRUE),  "",  INDEX(RulebookFields!I2:I1898, MATCH(D3030,RulebookFields!A2:A1898, 0))), "")</f>
        <v>0</v>
      </c>
      <c r="K3030" s="4" t="b">
        <f>AND(((F3030)=TRUE), ((J3030)=TRUE))</f>
        <v>0</v>
      </c>
      <c r="L3030" s="4" t="b">
        <f>AND(((G3030 &lt;&gt; "plain")=TRUE), ((G3030 &lt;&gt; "")=TRUE))</f>
        <v>0</v>
      </c>
      <c r="M3030" s="4" t="str">
        <f>IF(((E3030)=TRUE),  C3030 &amp; "|" &amp; H3030,  "")</f>
        <v>principal-knowledge-authority|RoleQuestions</v>
      </c>
      <c r="N3030" s="3" t="s">
        <v>10004</v>
      </c>
    </row>
    <row r="3031">
      <c r="A3031" s="3" t="s">
        <v>13033</v>
      </c>
      <c r="B3031" s="4" t="str">
        <f>C3031 &amp; " -&gt; " &amp; D3031</f>
        <v>principal-knowledge-authority -&gt; RoleQuestions.SemanticTypeIri</v>
      </c>
      <c r="C3031" s="3" t="s">
        <v>9774</v>
      </c>
      <c r="D3031" s="3" t="s">
        <v>4170</v>
      </c>
      <c r="E3031" s="3" t="b">
        <v>1</v>
      </c>
      <c r="F3031" s="3" t="b">
        <v>0</v>
      </c>
      <c r="G3031" s="3" t="s">
        <v>10003</v>
      </c>
      <c r="H3031" s="4" t="str">
        <f>_xlfn.IFNA(IF(((INDEX(RulebookFields!C2:C1898, MATCH(D3031,RulebookFields!A2:A1898, 0))="")=TRUE),  "",  INDEX(RulebookFields!C2:C1898, MATCH(D3031,RulebookFields!A2:A1898, 0))), "")</f>
        <v>RoleQuestions</v>
      </c>
      <c r="I3031" s="4" t="str">
        <f>_xlfn.IFNA(IF(((INDEX(RulebookFields!D2:D1898, MATCH(D3031,RulebookFields!A2:A1898, 0))="")=TRUE),  "",  INDEX(RulebookFields!D2:D1898, MATCH(D3031,RulebookFields!A2:A1898, 0))), "")</f>
        <v>SemanticTypeIri</v>
      </c>
      <c r="J3031" s="4" t="b">
        <f>_xlfn.IFNA(IF(((INDEX(RulebookFields!I2:I1898, MATCH(D3031,RulebookFields!A2:A1898, 0))="")=TRUE),  "",  INDEX(RulebookFields!I2:I1898, MATCH(D3031,RulebookFields!A2:A1898, 0))), "")</f>
        <v>0</v>
      </c>
      <c r="K3031" s="4" t="b">
        <f>AND(((F3031)=TRUE), ((J3031)=TRUE))</f>
        <v>0</v>
      </c>
      <c r="L3031" s="4" t="b">
        <f>AND(((G3031 &lt;&gt; "plain")=TRUE), ((G3031 &lt;&gt; "")=TRUE))</f>
        <v>0</v>
      </c>
      <c r="M3031" s="4" t="str">
        <f>IF(((E3031)=TRUE),  C3031 &amp; "|" &amp; H3031,  "")</f>
        <v>principal-knowledge-authority|RoleQuestions</v>
      </c>
      <c r="N3031" s="3" t="s">
        <v>10004</v>
      </c>
    </row>
    <row r="3032">
      <c r="A3032" s="3" t="s">
        <v>13034</v>
      </c>
      <c r="B3032" s="4" t="str">
        <f>C3032 &amp; " -&gt; " &amp; D3032</f>
        <v>principal-knowledge-authority -&gt; Roles.RoleId</v>
      </c>
      <c r="C3032" s="3" t="s">
        <v>9774</v>
      </c>
      <c r="D3032" s="3" t="s">
        <v>2502</v>
      </c>
      <c r="E3032" s="3" t="b">
        <v>1</v>
      </c>
      <c r="F3032" s="3" t="b">
        <v>0</v>
      </c>
      <c r="G3032" s="3" t="s">
        <v>10003</v>
      </c>
      <c r="H3032" s="4" t="str">
        <f>_xlfn.IFNA(IF(((INDEX(RulebookFields!C2:C1898, MATCH(D3032,RulebookFields!A2:A1898, 0))="")=TRUE),  "",  INDEX(RulebookFields!C2:C1898, MATCH(D3032,RulebookFields!A2:A1898, 0))), "")</f>
        <v>Roles</v>
      </c>
      <c r="I3032" s="4" t="str">
        <f>_xlfn.IFNA(IF(((INDEX(RulebookFields!D2:D1898, MATCH(D3032,RulebookFields!A2:A1898, 0))="")=TRUE),  "",  INDEX(RulebookFields!D2:D1898, MATCH(D3032,RulebookFields!A2:A1898, 0))), "")</f>
        <v>RoleId</v>
      </c>
      <c r="J3032" s="4" t="b">
        <f>_xlfn.IFNA(IF(((INDEX(RulebookFields!I2:I1898, MATCH(D3032,RulebookFields!A2:A1898, 0))="")=TRUE),  "",  INDEX(RulebookFields!I2:I1898, MATCH(D3032,RulebookFields!A2:A1898, 0))), "")</f>
        <v>0</v>
      </c>
      <c r="K3032" s="4" t="b">
        <f>AND(((F3032)=TRUE), ((J3032)=TRUE))</f>
        <v>0</v>
      </c>
      <c r="L3032" s="4" t="b">
        <f>AND(((G3032 &lt;&gt; "plain")=TRUE), ((G3032 &lt;&gt; "")=TRUE))</f>
        <v>0</v>
      </c>
      <c r="M3032" s="4" t="str">
        <f>IF(((E3032)=TRUE),  C3032 &amp; "|" &amp; H3032,  "")</f>
        <v>principal-knowledge-authority|Roles</v>
      </c>
      <c r="N3032" s="3" t="s">
        <v>10004</v>
      </c>
    </row>
    <row r="3033">
      <c r="A3033" s="3" t="s">
        <v>13035</v>
      </c>
      <c r="B3033" s="4" t="str">
        <f>C3033 &amp; " -&gt; " &amp; D3033</f>
        <v>principal-knowledge-authority -&gt; Roles.Name</v>
      </c>
      <c r="C3033" s="3" t="s">
        <v>9774</v>
      </c>
      <c r="D3033" s="3" t="s">
        <v>2503</v>
      </c>
      <c r="E3033" s="3" t="b">
        <v>1</v>
      </c>
      <c r="F3033" s="3" t="b">
        <v>0</v>
      </c>
      <c r="G3033" s="3" t="s">
        <v>10003</v>
      </c>
      <c r="H3033" s="4" t="str">
        <f>_xlfn.IFNA(IF(((INDEX(RulebookFields!C2:C1898, MATCH(D3033,RulebookFields!A2:A1898, 0))="")=TRUE),  "",  INDEX(RulebookFields!C2:C1898, MATCH(D3033,RulebookFields!A2:A1898, 0))), "")</f>
        <v>Roles</v>
      </c>
      <c r="I3033" s="4" t="str">
        <f>_xlfn.IFNA(IF(((INDEX(RulebookFields!D2:D1898, MATCH(D3033,RulebookFields!A2:A1898, 0))="")=TRUE),  "",  INDEX(RulebookFields!D2:D1898, MATCH(D3033,RulebookFields!A2:A1898, 0))), "")</f>
        <v>Name</v>
      </c>
      <c r="J3033" s="4" t="b">
        <f>_xlfn.IFNA(IF(((INDEX(RulebookFields!I2:I1898, MATCH(D3033,RulebookFields!A2:A1898, 0))="")=TRUE),  "",  INDEX(RulebookFields!I2:I1898, MATCH(D3033,RulebookFields!A2:A1898, 0))), "")</f>
        <v>1</v>
      </c>
      <c r="K3033" s="4" t="b">
        <f>AND(((F3033)=TRUE), ((J3033)=TRUE))</f>
        <v>0</v>
      </c>
      <c r="L3033" s="4" t="b">
        <f>AND(((G3033 &lt;&gt; "plain")=TRUE), ((G3033 &lt;&gt; "")=TRUE))</f>
        <v>0</v>
      </c>
      <c r="M3033" s="4" t="str">
        <f>IF(((E3033)=TRUE),  C3033 &amp; "|" &amp; H3033,  "")</f>
        <v>principal-knowledge-authority|Roles</v>
      </c>
      <c r="N3033" s="3" t="s">
        <v>10004</v>
      </c>
    </row>
    <row r="3034">
      <c r="A3034" s="3" t="s">
        <v>13036</v>
      </c>
      <c r="B3034" s="4" t="str">
        <f>C3034 &amp; " -&gt; " &amp; D3034</f>
        <v>principal-knowledge-authority -&gt; Roles.Label</v>
      </c>
      <c r="C3034" s="3" t="s">
        <v>9774</v>
      </c>
      <c r="D3034" s="3" t="s">
        <v>2505</v>
      </c>
      <c r="E3034" s="3" t="b">
        <v>1</v>
      </c>
      <c r="F3034" s="3" t="b">
        <v>0</v>
      </c>
      <c r="G3034" s="3" t="s">
        <v>10003</v>
      </c>
      <c r="H3034" s="4" t="str">
        <f>_xlfn.IFNA(IF(((INDEX(RulebookFields!C2:C1898, MATCH(D3034,RulebookFields!A2:A1898, 0))="")=TRUE),  "",  INDEX(RulebookFields!C2:C1898, MATCH(D3034,RulebookFields!A2:A1898, 0))), "")</f>
        <v>Roles</v>
      </c>
      <c r="I3034" s="4" t="str">
        <f>_xlfn.IFNA(IF(((INDEX(RulebookFields!D2:D1898, MATCH(D3034,RulebookFields!A2:A1898, 0))="")=TRUE),  "",  INDEX(RulebookFields!D2:D1898, MATCH(D3034,RulebookFields!A2:A1898, 0))), "")</f>
        <v>Label</v>
      </c>
      <c r="J3034" s="4" t="b">
        <f>_xlfn.IFNA(IF(((INDEX(RulebookFields!I2:I1898, MATCH(D3034,RulebookFields!A2:A1898, 0))="")=TRUE),  "",  INDEX(RulebookFields!I2:I1898, MATCH(D3034,RulebookFields!A2:A1898, 0))), "")</f>
        <v>0</v>
      </c>
      <c r="K3034" s="4" t="b">
        <f>AND(((F3034)=TRUE), ((J3034)=TRUE))</f>
        <v>0</v>
      </c>
      <c r="L3034" s="4" t="b">
        <f>AND(((G3034 &lt;&gt; "plain")=TRUE), ((G3034 &lt;&gt; "")=TRUE))</f>
        <v>0</v>
      </c>
      <c r="M3034" s="4" t="str">
        <f>IF(((E3034)=TRUE),  C3034 &amp; "|" &amp; H3034,  "")</f>
        <v>principal-knowledge-authority|Roles</v>
      </c>
      <c r="N3034" s="3" t="s">
        <v>10004</v>
      </c>
    </row>
    <row r="3035">
      <c r="A3035" s="3" t="s">
        <v>13037</v>
      </c>
      <c r="B3035" s="4" t="str">
        <f>C3035 &amp; " -&gt; " &amp; D3035</f>
        <v>principal-knowledge-authority -&gt; Roles.Organization</v>
      </c>
      <c r="C3035" s="3" t="s">
        <v>9774</v>
      </c>
      <c r="D3035" s="3" t="s">
        <v>2506</v>
      </c>
      <c r="E3035" s="3" t="b">
        <v>1</v>
      </c>
      <c r="F3035" s="3" t="b">
        <v>0</v>
      </c>
      <c r="G3035" s="3" t="s">
        <v>10003</v>
      </c>
      <c r="H3035" s="4" t="str">
        <f>_xlfn.IFNA(IF(((INDEX(RulebookFields!C2:C1898, MATCH(D3035,RulebookFields!A2:A1898, 0))="")=TRUE),  "",  INDEX(RulebookFields!C2:C1898, MATCH(D3035,RulebookFields!A2:A1898, 0))), "")</f>
        <v>Roles</v>
      </c>
      <c r="I3035" s="4" t="str">
        <f>_xlfn.IFNA(IF(((INDEX(RulebookFields!D2:D1898, MATCH(D3035,RulebookFields!A2:A1898, 0))="")=TRUE),  "",  INDEX(RulebookFields!D2:D1898, MATCH(D3035,RulebookFields!A2:A1898, 0))), "")</f>
        <v>Organization</v>
      </c>
      <c r="J3035" s="4" t="b">
        <f>_xlfn.IFNA(IF(((INDEX(RulebookFields!I2:I1898, MATCH(D3035,RulebookFields!A2:A1898, 0))="")=TRUE),  "",  INDEX(RulebookFields!I2:I1898, MATCH(D3035,RulebookFields!A2:A1898, 0))), "")</f>
        <v>0</v>
      </c>
      <c r="K3035" s="4" t="b">
        <f>AND(((F3035)=TRUE), ((J3035)=TRUE))</f>
        <v>0</v>
      </c>
      <c r="L3035" s="4" t="b">
        <f>AND(((G3035 &lt;&gt; "plain")=TRUE), ((G3035 &lt;&gt; "")=TRUE))</f>
        <v>0</v>
      </c>
      <c r="M3035" s="4" t="str">
        <f>IF(((E3035)=TRUE),  C3035 &amp; "|" &amp; H3035,  "")</f>
        <v>principal-knowledge-authority|Roles</v>
      </c>
      <c r="N3035" s="3" t="s">
        <v>10004</v>
      </c>
    </row>
    <row r="3036">
      <c r="A3036" s="3" t="s">
        <v>13038</v>
      </c>
      <c r="B3036" s="4" t="str">
        <f>C3036 &amp; " -&gt; " &amp; D3036</f>
        <v>principal-knowledge-authority -&gt; Roles.CurrentAgent</v>
      </c>
      <c r="C3036" s="3" t="s">
        <v>9774</v>
      </c>
      <c r="D3036" s="3" t="s">
        <v>2507</v>
      </c>
      <c r="E3036" s="3" t="b">
        <v>1</v>
      </c>
      <c r="F3036" s="3" t="b">
        <v>0</v>
      </c>
      <c r="G3036" s="3" t="s">
        <v>10003</v>
      </c>
      <c r="H3036" s="4" t="str">
        <f>_xlfn.IFNA(IF(((INDEX(RulebookFields!C2:C1898, MATCH(D3036,RulebookFields!A2:A1898, 0))="")=TRUE),  "",  INDEX(RulebookFields!C2:C1898, MATCH(D3036,RulebookFields!A2:A1898, 0))), "")</f>
        <v>Roles</v>
      </c>
      <c r="I3036" s="4" t="str">
        <f>_xlfn.IFNA(IF(((INDEX(RulebookFields!D2:D1898, MATCH(D3036,RulebookFields!A2:A1898, 0))="")=TRUE),  "",  INDEX(RulebookFields!D2:D1898, MATCH(D3036,RulebookFields!A2:A1898, 0))), "")</f>
        <v>CurrentAgent</v>
      </c>
      <c r="J3036" s="4" t="b">
        <f>_xlfn.IFNA(IF(((INDEX(RulebookFields!I2:I1898, MATCH(D3036,RulebookFields!A2:A1898, 0))="")=TRUE),  "",  INDEX(RulebookFields!I2:I1898, MATCH(D3036,RulebookFields!A2:A1898, 0))), "")</f>
        <v>0</v>
      </c>
      <c r="K3036" s="4" t="b">
        <f>AND(((F3036)=TRUE), ((J3036)=TRUE))</f>
        <v>0</v>
      </c>
      <c r="L3036" s="4" t="b">
        <f>AND(((G3036 &lt;&gt; "plain")=TRUE), ((G3036 &lt;&gt; "")=TRUE))</f>
        <v>0</v>
      </c>
      <c r="M3036" s="4" t="str">
        <f>IF(((E3036)=TRUE),  C3036 &amp; "|" &amp; H3036,  "")</f>
        <v>principal-knowledge-authority|Roles</v>
      </c>
      <c r="N3036" s="3" t="s">
        <v>10004</v>
      </c>
    </row>
    <row r="3037">
      <c r="A3037" s="3" t="s">
        <v>13039</v>
      </c>
      <c r="B3037" s="4" t="str">
        <f>C3037 &amp; " -&gt; " &amp; D3037</f>
        <v>principal-knowledge-authority -&gt; Roles.CurrentAgentKind</v>
      </c>
      <c r="C3037" s="3" t="s">
        <v>9774</v>
      </c>
      <c r="D3037" s="3" t="s">
        <v>2508</v>
      </c>
      <c r="E3037" s="3" t="b">
        <v>1</v>
      </c>
      <c r="F3037" s="3" t="b">
        <v>0</v>
      </c>
      <c r="G3037" s="3" t="s">
        <v>10003</v>
      </c>
      <c r="H3037" s="4" t="str">
        <f>_xlfn.IFNA(IF(((INDEX(RulebookFields!C2:C1898, MATCH(D3037,RulebookFields!A2:A1898, 0))="")=TRUE),  "",  INDEX(RulebookFields!C2:C1898, MATCH(D3037,RulebookFields!A2:A1898, 0))), "")</f>
        <v>Roles</v>
      </c>
      <c r="I3037" s="4" t="str">
        <f>_xlfn.IFNA(IF(((INDEX(RulebookFields!D2:D1898, MATCH(D3037,RulebookFields!A2:A1898, 0))="")=TRUE),  "",  INDEX(RulebookFields!D2:D1898, MATCH(D3037,RulebookFields!A2:A1898, 0))), "")</f>
        <v>CurrentAgentKind</v>
      </c>
      <c r="J3037" s="4" t="b">
        <f>_xlfn.IFNA(IF(((INDEX(RulebookFields!I2:I1898, MATCH(D3037,RulebookFields!A2:A1898, 0))="")=TRUE),  "",  INDEX(RulebookFields!I2:I1898, MATCH(D3037,RulebookFields!A2:A1898, 0))), "")</f>
        <v>1</v>
      </c>
      <c r="K3037" s="4" t="b">
        <f>AND(((F3037)=TRUE), ((J3037)=TRUE))</f>
        <v>0</v>
      </c>
      <c r="L3037" s="4" t="b">
        <f>AND(((G3037 &lt;&gt; "plain")=TRUE), ((G3037 &lt;&gt; "")=TRUE))</f>
        <v>0</v>
      </c>
      <c r="M3037" s="4" t="str">
        <f>IF(((E3037)=TRUE),  C3037 &amp; "|" &amp; H3037,  "")</f>
        <v>principal-knowledge-authority|Roles</v>
      </c>
      <c r="N3037" s="3" t="s">
        <v>10004</v>
      </c>
    </row>
    <row r="3038">
      <c r="A3038" s="3" t="s">
        <v>13040</v>
      </c>
      <c r="B3038" s="4" t="str">
        <f>C3038 &amp; " -&gt; " &amp; D3038</f>
        <v>principal-knowledge-authority -&gt; Roles.Responsibility</v>
      </c>
      <c r="C3038" s="3" t="s">
        <v>9774</v>
      </c>
      <c r="D3038" s="3" t="s">
        <v>2511</v>
      </c>
      <c r="E3038" s="3" t="b">
        <v>1</v>
      </c>
      <c r="F3038" s="3" t="b">
        <v>0</v>
      </c>
      <c r="G3038" s="3" t="s">
        <v>10003</v>
      </c>
      <c r="H3038" s="4" t="str">
        <f>_xlfn.IFNA(IF(((INDEX(RulebookFields!C2:C1898, MATCH(D3038,RulebookFields!A2:A1898, 0))="")=TRUE),  "",  INDEX(RulebookFields!C2:C1898, MATCH(D3038,RulebookFields!A2:A1898, 0))), "")</f>
        <v>Roles</v>
      </c>
      <c r="I3038" s="4" t="str">
        <f>_xlfn.IFNA(IF(((INDEX(RulebookFields!D2:D1898, MATCH(D3038,RulebookFields!A2:A1898, 0))="")=TRUE),  "",  INDEX(RulebookFields!D2:D1898, MATCH(D3038,RulebookFields!A2:A1898, 0))), "")</f>
        <v>Responsibility</v>
      </c>
      <c r="J3038" s="4" t="b">
        <f>_xlfn.IFNA(IF(((INDEX(RulebookFields!I2:I1898, MATCH(D3038,RulebookFields!A2:A1898, 0))="")=TRUE),  "",  INDEX(RulebookFields!I2:I1898, MATCH(D3038,RulebookFields!A2:A1898, 0))), "")</f>
        <v>0</v>
      </c>
      <c r="K3038" s="4" t="b">
        <f>AND(((F3038)=TRUE), ((J3038)=TRUE))</f>
        <v>0</v>
      </c>
      <c r="L3038" s="4" t="b">
        <f>AND(((G3038 &lt;&gt; "plain")=TRUE), ((G3038 &lt;&gt; "")=TRUE))</f>
        <v>0</v>
      </c>
      <c r="M3038" s="4" t="str">
        <f>IF(((E3038)=TRUE),  C3038 &amp; "|" &amp; H3038,  "")</f>
        <v>principal-knowledge-authority|Roles</v>
      </c>
      <c r="N3038" s="3" t="s">
        <v>10004</v>
      </c>
    </row>
    <row r="3039">
      <c r="A3039" s="3" t="s">
        <v>13041</v>
      </c>
      <c r="B3039" s="4" t="str">
        <f>C3039 &amp; " -&gt; " &amp; D3039</f>
        <v>principal-knowledge-authority -&gt; Roles.ActiveAssignmentCount</v>
      </c>
      <c r="C3039" s="3" t="s">
        <v>9774</v>
      </c>
      <c r="D3039" s="3" t="s">
        <v>2512</v>
      </c>
      <c r="E3039" s="3" t="b">
        <v>1</v>
      </c>
      <c r="F3039" s="3" t="b">
        <v>0</v>
      </c>
      <c r="G3039" s="3" t="s">
        <v>10003</v>
      </c>
      <c r="H3039" s="4" t="str">
        <f>_xlfn.IFNA(IF(((INDEX(RulebookFields!C2:C1898, MATCH(D3039,RulebookFields!A2:A1898, 0))="")=TRUE),  "",  INDEX(RulebookFields!C2:C1898, MATCH(D3039,RulebookFields!A2:A1898, 0))), "")</f>
        <v>Roles</v>
      </c>
      <c r="I3039" s="4" t="str">
        <f>_xlfn.IFNA(IF(((INDEX(RulebookFields!D2:D1898, MATCH(D3039,RulebookFields!A2:A1898, 0))="")=TRUE),  "",  INDEX(RulebookFields!D2:D1898, MATCH(D3039,RulebookFields!A2:A1898, 0))), "")</f>
        <v>ActiveAssignmentCount</v>
      </c>
      <c r="J3039" s="4" t="b">
        <f>_xlfn.IFNA(IF(((INDEX(RulebookFields!I2:I1898, MATCH(D3039,RulebookFields!A2:A1898, 0))="")=TRUE),  "",  INDEX(RulebookFields!I2:I1898, MATCH(D3039,RulebookFields!A2:A1898, 0))), "")</f>
        <v>1</v>
      </c>
      <c r="K3039" s="4" t="b">
        <f>AND(((F3039)=TRUE), ((J3039)=TRUE))</f>
        <v>0</v>
      </c>
      <c r="L3039" s="4" t="b">
        <f>AND(((G3039 &lt;&gt; "plain")=TRUE), ((G3039 &lt;&gt; "")=TRUE))</f>
        <v>0</v>
      </c>
      <c r="M3039" s="4" t="str">
        <f>IF(((E3039)=TRUE),  C3039 &amp; "|" &amp; H3039,  "")</f>
        <v>principal-knowledge-authority|Roles</v>
      </c>
      <c r="N3039" s="3" t="s">
        <v>10004</v>
      </c>
    </row>
    <row r="3040">
      <c r="A3040" s="3" t="s">
        <v>13042</v>
      </c>
      <c r="B3040" s="4" t="str">
        <f>C3040 &amp; " -&gt; " &amp; D3040</f>
        <v>principal-knowledge-authority -&gt; Roles.CurrentlyCoveredAssignmentCount</v>
      </c>
      <c r="C3040" s="3" t="s">
        <v>9774</v>
      </c>
      <c r="D3040" s="3" t="s">
        <v>2514</v>
      </c>
      <c r="E3040" s="3" t="b">
        <v>1</v>
      </c>
      <c r="F3040" s="3" t="b">
        <v>0</v>
      </c>
      <c r="G3040" s="3" t="s">
        <v>10003</v>
      </c>
      <c r="H3040" s="4" t="str">
        <f>_xlfn.IFNA(IF(((INDEX(RulebookFields!C2:C1898, MATCH(D3040,RulebookFields!A2:A1898, 0))="")=TRUE),  "",  INDEX(RulebookFields!C2:C1898, MATCH(D3040,RulebookFields!A2:A1898, 0))), "")</f>
        <v>Roles</v>
      </c>
      <c r="I3040" s="4" t="str">
        <f>_xlfn.IFNA(IF(((INDEX(RulebookFields!D2:D1898, MATCH(D3040,RulebookFields!A2:A1898, 0))="")=TRUE),  "",  INDEX(RulebookFields!D2:D1898, MATCH(D3040,RulebookFields!A2:A1898, 0))), "")</f>
        <v>CurrentlyCoveredAssignmentCount</v>
      </c>
      <c r="J3040" s="4" t="b">
        <f>_xlfn.IFNA(IF(((INDEX(RulebookFields!I2:I1898, MATCH(D3040,RulebookFields!A2:A1898, 0))="")=TRUE),  "",  INDEX(RulebookFields!I2:I1898, MATCH(D3040,RulebookFields!A2:A1898, 0))), "")</f>
        <v>1</v>
      </c>
      <c r="K3040" s="4" t="b">
        <f>AND(((F3040)=TRUE), ((J3040)=TRUE))</f>
        <v>0</v>
      </c>
      <c r="L3040" s="4" t="b">
        <f>AND(((G3040 &lt;&gt; "plain")=TRUE), ((G3040 &lt;&gt; "")=TRUE))</f>
        <v>0</v>
      </c>
      <c r="M3040" s="4" t="str">
        <f>IF(((E3040)=TRUE),  C3040 &amp; "|" &amp; H3040,  "")</f>
        <v>principal-knowledge-authority|Roles</v>
      </c>
      <c r="N3040" s="3" t="s">
        <v>10004</v>
      </c>
    </row>
    <row r="3041">
      <c r="A3041" s="3" t="s">
        <v>13043</v>
      </c>
      <c r="B3041" s="4" t="str">
        <f>C3041 &amp; " -&gt; " &amp; D3041</f>
        <v>principal-knowledge-authority -&gt; Roles.HasNoCurrentHolder</v>
      </c>
      <c r="C3041" s="3" t="s">
        <v>9774</v>
      </c>
      <c r="D3041" s="3" t="s">
        <v>2516</v>
      </c>
      <c r="E3041" s="3" t="b">
        <v>1</v>
      </c>
      <c r="F3041" s="3" t="b">
        <v>0</v>
      </c>
      <c r="G3041" s="3" t="s">
        <v>10003</v>
      </c>
      <c r="H3041" s="4" t="str">
        <f>_xlfn.IFNA(IF(((INDEX(RulebookFields!C2:C1898, MATCH(D3041,RulebookFields!A2:A1898, 0))="")=TRUE),  "",  INDEX(RulebookFields!C2:C1898, MATCH(D3041,RulebookFields!A2:A1898, 0))), "")</f>
        <v>Roles</v>
      </c>
      <c r="I3041" s="4" t="str">
        <f>_xlfn.IFNA(IF(((INDEX(RulebookFields!D2:D1898, MATCH(D3041,RulebookFields!A2:A1898, 0))="")=TRUE),  "",  INDEX(RulebookFields!D2:D1898, MATCH(D3041,RulebookFields!A2:A1898, 0))), "")</f>
        <v>HasNoCurrentHolder</v>
      </c>
      <c r="J3041" s="4" t="b">
        <f>_xlfn.IFNA(IF(((INDEX(RulebookFields!I2:I1898, MATCH(D3041,RulebookFields!A2:A1898, 0))="")=TRUE),  "",  INDEX(RulebookFields!I2:I1898, MATCH(D3041,RulebookFields!A2:A1898, 0))), "")</f>
        <v>1</v>
      </c>
      <c r="K3041" s="4" t="b">
        <f>AND(((F3041)=TRUE), ((J3041)=TRUE))</f>
        <v>0</v>
      </c>
      <c r="L3041" s="4" t="b">
        <f>AND(((G3041 &lt;&gt; "plain")=TRUE), ((G3041 &lt;&gt; "")=TRUE))</f>
        <v>0</v>
      </c>
      <c r="M3041" s="4" t="str">
        <f>IF(((E3041)=TRUE),  C3041 &amp; "|" &amp; H3041,  "")</f>
        <v>principal-knowledge-authority|Roles</v>
      </c>
      <c r="N3041" s="3" t="s">
        <v>10004</v>
      </c>
    </row>
    <row r="3042">
      <c r="A3042" s="3" t="s">
        <v>13044</v>
      </c>
      <c r="B3042" s="4" t="str">
        <f>C3042 &amp; " -&gt; " &amp; D3042</f>
        <v>principal-knowledge-authority -&gt; Roles.CountOfAwaitedDecisions</v>
      </c>
      <c r="C3042" s="3" t="s">
        <v>9774</v>
      </c>
      <c r="D3042" s="3" t="s">
        <v>2518</v>
      </c>
      <c r="E3042" s="3" t="b">
        <v>1</v>
      </c>
      <c r="F3042" s="3" t="b">
        <v>0</v>
      </c>
      <c r="G3042" s="3" t="s">
        <v>10003</v>
      </c>
      <c r="H3042" s="4" t="str">
        <f>_xlfn.IFNA(IF(((INDEX(RulebookFields!C2:C1898, MATCH(D3042,RulebookFields!A2:A1898, 0))="")=TRUE),  "",  INDEX(RulebookFields!C2:C1898, MATCH(D3042,RulebookFields!A2:A1898, 0))), "")</f>
        <v>Roles</v>
      </c>
      <c r="I3042" s="4" t="str">
        <f>_xlfn.IFNA(IF(((INDEX(RulebookFields!D2:D1898, MATCH(D3042,RulebookFields!A2:A1898, 0))="")=TRUE),  "",  INDEX(RulebookFields!D2:D1898, MATCH(D3042,RulebookFields!A2:A1898, 0))), "")</f>
        <v>CountOfAwaitedDecisions</v>
      </c>
      <c r="J3042" s="4" t="b">
        <f>_xlfn.IFNA(IF(((INDEX(RulebookFields!I2:I1898, MATCH(D3042,RulebookFields!A2:A1898, 0))="")=TRUE),  "",  INDEX(RulebookFields!I2:I1898, MATCH(D3042,RulebookFields!A2:A1898, 0))), "")</f>
        <v>1</v>
      </c>
      <c r="K3042" s="4" t="b">
        <f>AND(((F3042)=TRUE), ((J3042)=TRUE))</f>
        <v>0</v>
      </c>
      <c r="L3042" s="4" t="b">
        <f>AND(((G3042 &lt;&gt; "plain")=TRUE), ((G3042 &lt;&gt; "")=TRUE))</f>
        <v>0</v>
      </c>
      <c r="M3042" s="4" t="str">
        <f>IF(((E3042)=TRUE),  C3042 &amp; "|" &amp; H3042,  "")</f>
        <v>principal-knowledge-authority|Roles</v>
      </c>
      <c r="N3042" s="3" t="s">
        <v>10004</v>
      </c>
    </row>
    <row r="3043">
      <c r="A3043" s="3" t="s">
        <v>13045</v>
      </c>
      <c r="B3043" s="4" t="str">
        <f>C3043 &amp; " -&gt; " &amp; D3043</f>
        <v>principal-knowledge-authority -&gt; Roles.CurrentAssignment</v>
      </c>
      <c r="C3043" s="3" t="s">
        <v>9774</v>
      </c>
      <c r="D3043" s="3" t="s">
        <v>2520</v>
      </c>
      <c r="E3043" s="3" t="b">
        <v>1</v>
      </c>
      <c r="F3043" s="3" t="b">
        <v>0</v>
      </c>
      <c r="G3043" s="3" t="s">
        <v>10003</v>
      </c>
      <c r="H3043" s="4" t="str">
        <f>_xlfn.IFNA(IF(((INDEX(RulebookFields!C2:C1898, MATCH(D3043,RulebookFields!A2:A1898, 0))="")=TRUE),  "",  INDEX(RulebookFields!C2:C1898, MATCH(D3043,RulebookFields!A2:A1898, 0))), "")</f>
        <v>Roles</v>
      </c>
      <c r="I3043" s="4" t="str">
        <f>_xlfn.IFNA(IF(((INDEX(RulebookFields!D2:D1898, MATCH(D3043,RulebookFields!A2:A1898, 0))="")=TRUE),  "",  INDEX(RulebookFields!D2:D1898, MATCH(D3043,RulebookFields!A2:A1898, 0))), "")</f>
        <v>CurrentAssignment</v>
      </c>
      <c r="J3043" s="4" t="b">
        <f>_xlfn.IFNA(IF(((INDEX(RulebookFields!I2:I1898, MATCH(D3043,RulebookFields!A2:A1898, 0))="")=TRUE),  "",  INDEX(RulebookFields!I2:I1898, MATCH(D3043,RulebookFields!A2:A1898, 0))), "")</f>
        <v>0</v>
      </c>
      <c r="K3043" s="4" t="b">
        <f>AND(((F3043)=TRUE), ((J3043)=TRUE))</f>
        <v>0</v>
      </c>
      <c r="L3043" s="4" t="b">
        <f>AND(((G3043 &lt;&gt; "plain")=TRUE), ((G3043 &lt;&gt; "")=TRUE))</f>
        <v>0</v>
      </c>
      <c r="M3043" s="4" t="str">
        <f>IF(((E3043)=TRUE),  C3043 &amp; "|" &amp; H3043,  "")</f>
        <v>principal-knowledge-authority|Roles</v>
      </c>
      <c r="N3043" s="3" t="s">
        <v>10004</v>
      </c>
    </row>
    <row r="3044">
      <c r="A3044" s="3" t="s">
        <v>13046</v>
      </c>
      <c r="B3044" s="4" t="str">
        <f>C3044 &amp; " -&gt; " &amp; D3044</f>
        <v>principal-knowledge-authority -&gt; Roles.CurrentAssignmentValidFrom</v>
      </c>
      <c r="C3044" s="3" t="s">
        <v>9774</v>
      </c>
      <c r="D3044" s="3" t="s">
        <v>2521</v>
      </c>
      <c r="E3044" s="3" t="b">
        <v>1</v>
      </c>
      <c r="F3044" s="3" t="b">
        <v>0</v>
      </c>
      <c r="G3044" s="3" t="s">
        <v>10003</v>
      </c>
      <c r="H3044" s="4" t="str">
        <f>_xlfn.IFNA(IF(((INDEX(RulebookFields!C2:C1898, MATCH(D3044,RulebookFields!A2:A1898, 0))="")=TRUE),  "",  INDEX(RulebookFields!C2:C1898, MATCH(D3044,RulebookFields!A2:A1898, 0))), "")</f>
        <v>Roles</v>
      </c>
      <c r="I3044" s="4" t="str">
        <f>_xlfn.IFNA(IF(((INDEX(RulebookFields!D2:D1898, MATCH(D3044,RulebookFields!A2:A1898, 0))="")=TRUE),  "",  INDEX(RulebookFields!D2:D1898, MATCH(D3044,RulebookFields!A2:A1898, 0))), "")</f>
        <v>CurrentAssignmentValidFrom</v>
      </c>
      <c r="J3044" s="4" t="b">
        <f>_xlfn.IFNA(IF(((INDEX(RulebookFields!I2:I1898, MATCH(D3044,RulebookFields!A2:A1898, 0))="")=TRUE),  "",  INDEX(RulebookFields!I2:I1898, MATCH(D3044,RulebookFields!A2:A1898, 0))), "")</f>
        <v>1</v>
      </c>
      <c r="K3044" s="4" t="b">
        <f>AND(((F3044)=TRUE), ((J3044)=TRUE))</f>
        <v>0</v>
      </c>
      <c r="L3044" s="4" t="b">
        <f>AND(((G3044 &lt;&gt; "plain")=TRUE), ((G3044 &lt;&gt; "")=TRUE))</f>
        <v>0</v>
      </c>
      <c r="M3044" s="4" t="str">
        <f>IF(((E3044)=TRUE),  C3044 &amp; "|" &amp; H3044,  "")</f>
        <v>principal-knowledge-authority|Roles</v>
      </c>
      <c r="N3044" s="3" t="s">
        <v>10004</v>
      </c>
    </row>
    <row r="3045">
      <c r="A3045" s="3" t="s">
        <v>13047</v>
      </c>
      <c r="B3045" s="4" t="str">
        <f>C3045 &amp; " -&gt; " &amp; D3045</f>
        <v>principal-knowledge-authority -&gt; Roles.IsNonHumanHeld</v>
      </c>
      <c r="C3045" s="3" t="s">
        <v>9774</v>
      </c>
      <c r="D3045" s="3" t="s">
        <v>2523</v>
      </c>
      <c r="E3045" s="3" t="b">
        <v>1</v>
      </c>
      <c r="F3045" s="3" t="b">
        <v>0</v>
      </c>
      <c r="G3045" s="3" t="s">
        <v>10003</v>
      </c>
      <c r="H3045" s="4" t="str">
        <f>_xlfn.IFNA(IF(((INDEX(RulebookFields!C2:C1898, MATCH(D3045,RulebookFields!A2:A1898, 0))="")=TRUE),  "",  INDEX(RulebookFields!C2:C1898, MATCH(D3045,RulebookFields!A2:A1898, 0))), "")</f>
        <v>Roles</v>
      </c>
      <c r="I3045" s="4" t="str">
        <f>_xlfn.IFNA(IF(((INDEX(RulebookFields!D2:D1898, MATCH(D3045,RulebookFields!A2:A1898, 0))="")=TRUE),  "",  INDEX(RulebookFields!D2:D1898, MATCH(D3045,RulebookFields!A2:A1898, 0))), "")</f>
        <v>IsNonHumanHeld</v>
      </c>
      <c r="J3045" s="4" t="b">
        <f>_xlfn.IFNA(IF(((INDEX(RulebookFields!I2:I1898, MATCH(D3045,RulebookFields!A2:A1898, 0))="")=TRUE),  "",  INDEX(RulebookFields!I2:I1898, MATCH(D3045,RulebookFields!A2:A1898, 0))), "")</f>
        <v>1</v>
      </c>
      <c r="K3045" s="4" t="b">
        <f>AND(((F3045)=TRUE), ((J3045)=TRUE))</f>
        <v>0</v>
      </c>
      <c r="L3045" s="4" t="b">
        <f>AND(((G3045 &lt;&gt; "plain")=TRUE), ((G3045 &lt;&gt; "")=TRUE))</f>
        <v>0</v>
      </c>
      <c r="M3045" s="4" t="str">
        <f>IF(((E3045)=TRUE),  C3045 &amp; "|" &amp; H3045,  "")</f>
        <v>principal-knowledge-authority|Roles</v>
      </c>
      <c r="N3045" s="3" t="s">
        <v>10004</v>
      </c>
    </row>
    <row r="3046">
      <c r="A3046" s="3" t="s">
        <v>13048</v>
      </c>
      <c r="B3046" s="4" t="str">
        <f>C3046 &amp; " -&gt; " &amp; D3046</f>
        <v>principal-knowledge-authority -&gt; Roles.IsUngovernedNonHumanRole</v>
      </c>
      <c r="C3046" s="3" t="s">
        <v>9774</v>
      </c>
      <c r="D3046" s="3" t="s">
        <v>2525</v>
      </c>
      <c r="E3046" s="3" t="b">
        <v>1</v>
      </c>
      <c r="F3046" s="3" t="b">
        <v>0</v>
      </c>
      <c r="G3046" s="3" t="s">
        <v>10003</v>
      </c>
      <c r="H3046" s="4" t="str">
        <f>_xlfn.IFNA(IF(((INDEX(RulebookFields!C2:C1898, MATCH(D3046,RulebookFields!A2:A1898, 0))="")=TRUE),  "",  INDEX(RulebookFields!C2:C1898, MATCH(D3046,RulebookFields!A2:A1898, 0))), "")</f>
        <v>Roles</v>
      </c>
      <c r="I3046" s="4" t="str">
        <f>_xlfn.IFNA(IF(((INDEX(RulebookFields!D2:D1898, MATCH(D3046,RulebookFields!A2:A1898, 0))="")=TRUE),  "",  INDEX(RulebookFields!D2:D1898, MATCH(D3046,RulebookFields!A2:A1898, 0))), "")</f>
        <v>IsUngovernedNonHumanRole</v>
      </c>
      <c r="J3046" s="4" t="b">
        <f>_xlfn.IFNA(IF(((INDEX(RulebookFields!I2:I1898, MATCH(D3046,RulebookFields!A2:A1898, 0))="")=TRUE),  "",  INDEX(RulebookFields!I2:I1898, MATCH(D3046,RulebookFields!A2:A1898, 0))), "")</f>
        <v>1</v>
      </c>
      <c r="K3046" s="4" t="b">
        <f>AND(((F3046)=TRUE), ((J3046)=TRUE))</f>
        <v>0</v>
      </c>
      <c r="L3046" s="4" t="b">
        <f>AND(((G3046 &lt;&gt; "plain")=TRUE), ((G3046 &lt;&gt; "")=TRUE))</f>
        <v>0</v>
      </c>
      <c r="M3046" s="4" t="str">
        <f>IF(((E3046)=TRUE),  C3046 &amp; "|" &amp; H3046,  "")</f>
        <v>principal-knowledge-authority|Roles</v>
      </c>
      <c r="N3046" s="3" t="s">
        <v>10004</v>
      </c>
    </row>
    <row r="3047">
      <c r="A3047" s="3" t="s">
        <v>13049</v>
      </c>
      <c r="B3047" s="4" t="str">
        <f>C3047 &amp; " -&gt; " &amp; D3047</f>
        <v>principal-knowledge-authority -&gt; Roles.DepartedAssignmentCount</v>
      </c>
      <c r="C3047" s="3" t="s">
        <v>9774</v>
      </c>
      <c r="D3047" s="3" t="s">
        <v>2527</v>
      </c>
      <c r="E3047" s="3" t="b">
        <v>1</v>
      </c>
      <c r="F3047" s="3" t="b">
        <v>0</v>
      </c>
      <c r="G3047" s="3" t="s">
        <v>10003</v>
      </c>
      <c r="H3047" s="4" t="str">
        <f>_xlfn.IFNA(IF(((INDEX(RulebookFields!C2:C1898, MATCH(D3047,RulebookFields!A2:A1898, 0))="")=TRUE),  "",  INDEX(RulebookFields!C2:C1898, MATCH(D3047,RulebookFields!A2:A1898, 0))), "")</f>
        <v>Roles</v>
      </c>
      <c r="I3047" s="4" t="str">
        <f>_xlfn.IFNA(IF(((INDEX(RulebookFields!D2:D1898, MATCH(D3047,RulebookFields!A2:A1898, 0))="")=TRUE),  "",  INDEX(RulebookFields!D2:D1898, MATCH(D3047,RulebookFields!A2:A1898, 0))), "")</f>
        <v>DepartedAssignmentCount</v>
      </c>
      <c r="J3047" s="4" t="b">
        <f>_xlfn.IFNA(IF(((INDEX(RulebookFields!I2:I1898, MATCH(D3047,RulebookFields!A2:A1898, 0))="")=TRUE),  "",  INDEX(RulebookFields!I2:I1898, MATCH(D3047,RulebookFields!A2:A1898, 0))), "")</f>
        <v>1</v>
      </c>
      <c r="K3047" s="4" t="b">
        <f>AND(((F3047)=TRUE), ((J3047)=TRUE))</f>
        <v>0</v>
      </c>
      <c r="L3047" s="4" t="b">
        <f>AND(((G3047 &lt;&gt; "plain")=TRUE), ((G3047 &lt;&gt; "")=TRUE))</f>
        <v>0</v>
      </c>
      <c r="M3047" s="4" t="str">
        <f>IF(((E3047)=TRUE),  C3047 &amp; "|" &amp; H3047,  "")</f>
        <v>principal-knowledge-authority|Roles</v>
      </c>
      <c r="N3047" s="3" t="s">
        <v>10004</v>
      </c>
    </row>
    <row r="3048">
      <c r="A3048" s="3" t="s">
        <v>13050</v>
      </c>
      <c r="B3048" s="4" t="str">
        <f>C3048 &amp; " -&gt; " &amp; D3048</f>
        <v>principal-knowledge-authority -&gt; Roles.HasLostAHolder</v>
      </c>
      <c r="C3048" s="3" t="s">
        <v>9774</v>
      </c>
      <c r="D3048" s="3" t="s">
        <v>2529</v>
      </c>
      <c r="E3048" s="3" t="b">
        <v>1</v>
      </c>
      <c r="F3048" s="3" t="b">
        <v>0</v>
      </c>
      <c r="G3048" s="3" t="s">
        <v>10003</v>
      </c>
      <c r="H3048" s="4" t="str">
        <f>_xlfn.IFNA(IF(((INDEX(RulebookFields!C2:C1898, MATCH(D3048,RulebookFields!A2:A1898, 0))="")=TRUE),  "",  INDEX(RulebookFields!C2:C1898, MATCH(D3048,RulebookFields!A2:A1898, 0))), "")</f>
        <v>Roles</v>
      </c>
      <c r="I3048" s="4" t="str">
        <f>_xlfn.IFNA(IF(((INDEX(RulebookFields!D2:D1898, MATCH(D3048,RulebookFields!A2:A1898, 0))="")=TRUE),  "",  INDEX(RulebookFields!D2:D1898, MATCH(D3048,RulebookFields!A2:A1898, 0))), "")</f>
        <v>HasLostAHolder</v>
      </c>
      <c r="J3048" s="4" t="b">
        <f>_xlfn.IFNA(IF(((INDEX(RulebookFields!I2:I1898, MATCH(D3048,RulebookFields!A2:A1898, 0))="")=TRUE),  "",  INDEX(RulebookFields!I2:I1898, MATCH(D3048,RulebookFields!A2:A1898, 0))), "")</f>
        <v>1</v>
      </c>
      <c r="K3048" s="4" t="b">
        <f>AND(((F3048)=TRUE), ((J3048)=TRUE))</f>
        <v>0</v>
      </c>
      <c r="L3048" s="4" t="b">
        <f>AND(((G3048 &lt;&gt; "plain")=TRUE), ((G3048 &lt;&gt; "")=TRUE))</f>
        <v>0</v>
      </c>
      <c r="M3048" s="4" t="str">
        <f>IF(((E3048)=TRUE),  C3048 &amp; "|" &amp; H3048,  "")</f>
        <v>principal-knowledge-authority|Roles</v>
      </c>
      <c r="N3048" s="3" t="s">
        <v>10004</v>
      </c>
    </row>
    <row r="3049">
      <c r="A3049" s="3" t="s">
        <v>13051</v>
      </c>
      <c r="B3049" s="4" t="str">
        <f>C3049 &amp; " -&gt; " &amp; D3049</f>
        <v>principal-knowledge-authority -&gt; Roles.IsVacatedRole</v>
      </c>
      <c r="C3049" s="3" t="s">
        <v>9774</v>
      </c>
      <c r="D3049" s="3" t="s">
        <v>2531</v>
      </c>
      <c r="E3049" s="3" t="b">
        <v>1</v>
      </c>
      <c r="F3049" s="3" t="b">
        <v>0</v>
      </c>
      <c r="G3049" s="3" t="s">
        <v>10003</v>
      </c>
      <c r="H3049" s="4" t="str">
        <f>_xlfn.IFNA(IF(((INDEX(RulebookFields!C2:C1898, MATCH(D3049,RulebookFields!A2:A1898, 0))="")=TRUE),  "",  INDEX(RulebookFields!C2:C1898, MATCH(D3049,RulebookFields!A2:A1898, 0))), "")</f>
        <v>Roles</v>
      </c>
      <c r="I3049" s="4" t="str">
        <f>_xlfn.IFNA(IF(((INDEX(RulebookFields!D2:D1898, MATCH(D3049,RulebookFields!A2:A1898, 0))="")=TRUE),  "",  INDEX(RulebookFields!D2:D1898, MATCH(D3049,RulebookFields!A2:A1898, 0))), "")</f>
        <v>IsVacatedRole</v>
      </c>
      <c r="J3049" s="4" t="b">
        <f>_xlfn.IFNA(IF(((INDEX(RulebookFields!I2:I1898, MATCH(D3049,RulebookFields!A2:A1898, 0))="")=TRUE),  "",  INDEX(RulebookFields!I2:I1898, MATCH(D3049,RulebookFields!A2:A1898, 0))), "")</f>
        <v>1</v>
      </c>
      <c r="K3049" s="4" t="b">
        <f>AND(((F3049)=TRUE), ((J3049)=TRUE))</f>
        <v>0</v>
      </c>
      <c r="L3049" s="4" t="b">
        <f>AND(((G3049 &lt;&gt; "plain")=TRUE), ((G3049 &lt;&gt; "")=TRUE))</f>
        <v>0</v>
      </c>
      <c r="M3049" s="4" t="str">
        <f>IF(((E3049)=TRUE),  C3049 &amp; "|" &amp; H3049,  "")</f>
        <v>principal-knowledge-authority|Roles</v>
      </c>
      <c r="N3049" s="3" t="s">
        <v>10004</v>
      </c>
    </row>
    <row r="3050">
      <c r="A3050" s="3" t="s">
        <v>13052</v>
      </c>
      <c r="B3050" s="4" t="str">
        <f>C3050 &amp; " -&gt; " &amp; D3050</f>
        <v>principal-knowledge-authority -&gt; Roles.UngroundedBoundaryCount</v>
      </c>
      <c r="C3050" s="3" t="s">
        <v>9774</v>
      </c>
      <c r="D3050" s="3" t="s">
        <v>2533</v>
      </c>
      <c r="E3050" s="3" t="b">
        <v>1</v>
      </c>
      <c r="F3050" s="3" t="b">
        <v>0</v>
      </c>
      <c r="G3050" s="3" t="s">
        <v>10003</v>
      </c>
      <c r="H3050" s="4" t="str">
        <f>_xlfn.IFNA(IF(((INDEX(RulebookFields!C2:C1898, MATCH(D3050,RulebookFields!A2:A1898, 0))="")=TRUE),  "",  INDEX(RulebookFields!C2:C1898, MATCH(D3050,RulebookFields!A2:A1898, 0))), "")</f>
        <v>Roles</v>
      </c>
      <c r="I3050" s="4" t="str">
        <f>_xlfn.IFNA(IF(((INDEX(RulebookFields!D2:D1898, MATCH(D3050,RulebookFields!A2:A1898, 0))="")=TRUE),  "",  INDEX(RulebookFields!D2:D1898, MATCH(D3050,RulebookFields!A2:A1898, 0))), "")</f>
        <v>UngroundedBoundaryCount</v>
      </c>
      <c r="J3050" s="4" t="b">
        <f>_xlfn.IFNA(IF(((INDEX(RulebookFields!I2:I1898, MATCH(D3050,RulebookFields!A2:A1898, 0))="")=TRUE),  "",  INDEX(RulebookFields!I2:I1898, MATCH(D3050,RulebookFields!A2:A1898, 0))), "")</f>
        <v>1</v>
      </c>
      <c r="K3050" s="4" t="b">
        <f>AND(((F3050)=TRUE), ((J3050)=TRUE))</f>
        <v>0</v>
      </c>
      <c r="L3050" s="4" t="b">
        <f>AND(((G3050 &lt;&gt; "plain")=TRUE), ((G3050 &lt;&gt; "")=TRUE))</f>
        <v>0</v>
      </c>
      <c r="M3050" s="4" t="str">
        <f>IF(((E3050)=TRUE),  C3050 &amp; "|" &amp; H3050,  "")</f>
        <v>principal-knowledge-authority|Roles</v>
      </c>
      <c r="N3050" s="3" t="s">
        <v>10004</v>
      </c>
    </row>
    <row r="3051">
      <c r="A3051" s="3" t="s">
        <v>13053</v>
      </c>
      <c r="B3051" s="4" t="str">
        <f>C3051 &amp; " -&gt; " &amp; D3051</f>
        <v>principal-knowledge-authority -&gt; Roles.IsGovernedByLapsedAuthority</v>
      </c>
      <c r="C3051" s="3" t="s">
        <v>9774</v>
      </c>
      <c r="D3051" s="3" t="s">
        <v>2535</v>
      </c>
      <c r="E3051" s="3" t="b">
        <v>1</v>
      </c>
      <c r="F3051" s="3" t="b">
        <v>0</v>
      </c>
      <c r="G3051" s="3" t="s">
        <v>10003</v>
      </c>
      <c r="H3051" s="4" t="str">
        <f>_xlfn.IFNA(IF(((INDEX(RulebookFields!C2:C1898, MATCH(D3051,RulebookFields!A2:A1898, 0))="")=TRUE),  "",  INDEX(RulebookFields!C2:C1898, MATCH(D3051,RulebookFields!A2:A1898, 0))), "")</f>
        <v>Roles</v>
      </c>
      <c r="I3051" s="4" t="str">
        <f>_xlfn.IFNA(IF(((INDEX(RulebookFields!D2:D1898, MATCH(D3051,RulebookFields!A2:A1898, 0))="")=TRUE),  "",  INDEX(RulebookFields!D2:D1898, MATCH(D3051,RulebookFields!A2:A1898, 0))), "")</f>
        <v>IsGovernedByLapsedAuthority</v>
      </c>
      <c r="J3051" s="4" t="b">
        <f>_xlfn.IFNA(IF(((INDEX(RulebookFields!I2:I1898, MATCH(D3051,RulebookFields!A2:A1898, 0))="")=TRUE),  "",  INDEX(RulebookFields!I2:I1898, MATCH(D3051,RulebookFields!A2:A1898, 0))), "")</f>
        <v>1</v>
      </c>
      <c r="K3051" s="4" t="b">
        <f>AND(((F3051)=TRUE), ((J3051)=TRUE))</f>
        <v>0</v>
      </c>
      <c r="L3051" s="4" t="b">
        <f>AND(((G3051 &lt;&gt; "plain")=TRUE), ((G3051 &lt;&gt; "")=TRUE))</f>
        <v>0</v>
      </c>
      <c r="M3051" s="4" t="str">
        <f>IF(((E3051)=TRUE),  C3051 &amp; "|" &amp; H3051,  "")</f>
        <v>principal-knowledge-authority|Roles</v>
      </c>
      <c r="N3051" s="3" t="s">
        <v>10004</v>
      </c>
    </row>
    <row r="3052">
      <c r="A3052" s="3" t="s">
        <v>13054</v>
      </c>
      <c r="B3052" s="4" t="str">
        <f>C3052 &amp; " -&gt; " &amp; D3052</f>
        <v>principal-knowledge-authority -&gt; Roles.UnescalatedRefusalCount</v>
      </c>
      <c r="C3052" s="3" t="s">
        <v>9774</v>
      </c>
      <c r="D3052" s="3" t="s">
        <v>2537</v>
      </c>
      <c r="E3052" s="3" t="b">
        <v>1</v>
      </c>
      <c r="F3052" s="3" t="b">
        <v>0</v>
      </c>
      <c r="G3052" s="3" t="s">
        <v>10003</v>
      </c>
      <c r="H3052" s="4" t="str">
        <f>_xlfn.IFNA(IF(((INDEX(RulebookFields!C2:C1898, MATCH(D3052,RulebookFields!A2:A1898, 0))="")=TRUE),  "",  INDEX(RulebookFields!C2:C1898, MATCH(D3052,RulebookFields!A2:A1898, 0))), "")</f>
        <v>Roles</v>
      </c>
      <c r="I3052" s="4" t="str">
        <f>_xlfn.IFNA(IF(((INDEX(RulebookFields!D2:D1898, MATCH(D3052,RulebookFields!A2:A1898, 0))="")=TRUE),  "",  INDEX(RulebookFields!D2:D1898, MATCH(D3052,RulebookFields!A2:A1898, 0))), "")</f>
        <v>UnescalatedRefusalCount</v>
      </c>
      <c r="J3052" s="4" t="b">
        <f>_xlfn.IFNA(IF(((INDEX(RulebookFields!I2:I1898, MATCH(D3052,RulebookFields!A2:A1898, 0))="")=TRUE),  "",  INDEX(RulebookFields!I2:I1898, MATCH(D3052,RulebookFields!A2:A1898, 0))), "")</f>
        <v>1</v>
      </c>
      <c r="K3052" s="4" t="b">
        <f>AND(((F3052)=TRUE), ((J3052)=TRUE))</f>
        <v>0</v>
      </c>
      <c r="L3052" s="4" t="b">
        <f>AND(((G3052 &lt;&gt; "plain")=TRUE), ((G3052 &lt;&gt; "")=TRUE))</f>
        <v>0</v>
      </c>
      <c r="M3052" s="4" t="str">
        <f>IF(((E3052)=TRUE),  C3052 &amp; "|" &amp; H3052,  "")</f>
        <v>principal-knowledge-authority|Roles</v>
      </c>
      <c r="N3052" s="3" t="s">
        <v>10004</v>
      </c>
    </row>
    <row r="3053">
      <c r="A3053" s="3" t="s">
        <v>13055</v>
      </c>
      <c r="B3053" s="4" t="str">
        <f>C3053 &amp; " -&gt; " &amp; D3053</f>
        <v>principal-knowledge-authority -&gt; Roles.UnauthorizedEnforcementAssignmentCount</v>
      </c>
      <c r="C3053" s="3" t="s">
        <v>9774</v>
      </c>
      <c r="D3053" s="3" t="s">
        <v>2539</v>
      </c>
      <c r="E3053" s="3" t="b">
        <v>1</v>
      </c>
      <c r="F3053" s="3" t="b">
        <v>0</v>
      </c>
      <c r="G3053" s="3" t="s">
        <v>10003</v>
      </c>
      <c r="H3053" s="4" t="str">
        <f>_xlfn.IFNA(IF(((INDEX(RulebookFields!C2:C1898, MATCH(D3053,RulebookFields!A2:A1898, 0))="")=TRUE),  "",  INDEX(RulebookFields!C2:C1898, MATCH(D3053,RulebookFields!A2:A1898, 0))), "")</f>
        <v>Roles</v>
      </c>
      <c r="I3053" s="4" t="str">
        <f>_xlfn.IFNA(IF(((INDEX(RulebookFields!D2:D1898, MATCH(D3053,RulebookFields!A2:A1898, 0))="")=TRUE),  "",  INDEX(RulebookFields!D2:D1898, MATCH(D3053,RulebookFields!A2:A1898, 0))), "")</f>
        <v>UnauthorizedEnforcementAssignmentCount</v>
      </c>
      <c r="J3053" s="4" t="b">
        <f>_xlfn.IFNA(IF(((INDEX(RulebookFields!I2:I1898, MATCH(D3053,RulebookFields!A2:A1898, 0))="")=TRUE),  "",  INDEX(RulebookFields!I2:I1898, MATCH(D3053,RulebookFields!A2:A1898, 0))), "")</f>
        <v>1</v>
      </c>
      <c r="K3053" s="4" t="b">
        <f>AND(((F3053)=TRUE), ((J3053)=TRUE))</f>
        <v>0</v>
      </c>
      <c r="L3053" s="4" t="b">
        <f>AND(((G3053 &lt;&gt; "plain")=TRUE), ((G3053 &lt;&gt; "")=TRUE))</f>
        <v>0</v>
      </c>
      <c r="M3053" s="4" t="str">
        <f>IF(((E3053)=TRUE),  C3053 &amp; "|" &amp; H3053,  "")</f>
        <v>principal-knowledge-authority|Roles</v>
      </c>
      <c r="N3053" s="3" t="s">
        <v>10004</v>
      </c>
    </row>
    <row r="3054">
      <c r="A3054" s="3" t="s">
        <v>13056</v>
      </c>
      <c r="B3054" s="4" t="str">
        <f>C3054 &amp; " -&gt; " &amp; D3054</f>
        <v>principal-knowledge-authority -&gt; Roles.IsUngovernedEnforcementRole</v>
      </c>
      <c r="C3054" s="3" t="s">
        <v>9774</v>
      </c>
      <c r="D3054" s="3" t="s">
        <v>2541</v>
      </c>
      <c r="E3054" s="3" t="b">
        <v>1</v>
      </c>
      <c r="F3054" s="3" t="b">
        <v>0</v>
      </c>
      <c r="G3054" s="3" t="s">
        <v>10003</v>
      </c>
      <c r="H3054" s="4" t="str">
        <f>_xlfn.IFNA(IF(((INDEX(RulebookFields!C2:C1898, MATCH(D3054,RulebookFields!A2:A1898, 0))="")=TRUE),  "",  INDEX(RulebookFields!C2:C1898, MATCH(D3054,RulebookFields!A2:A1898, 0))), "")</f>
        <v>Roles</v>
      </c>
      <c r="I3054" s="4" t="str">
        <f>_xlfn.IFNA(IF(((INDEX(RulebookFields!D2:D1898, MATCH(D3054,RulebookFields!A2:A1898, 0))="")=TRUE),  "",  INDEX(RulebookFields!D2:D1898, MATCH(D3054,RulebookFields!A2:A1898, 0))), "")</f>
        <v>IsUngovernedEnforcementRole</v>
      </c>
      <c r="J3054" s="4" t="b">
        <f>_xlfn.IFNA(IF(((INDEX(RulebookFields!I2:I1898, MATCH(D3054,RulebookFields!A2:A1898, 0))="")=TRUE),  "",  INDEX(RulebookFields!I2:I1898, MATCH(D3054,RulebookFields!A2:A1898, 0))), "")</f>
        <v>1</v>
      </c>
      <c r="K3054" s="4" t="b">
        <f>AND(((F3054)=TRUE), ((J3054)=TRUE))</f>
        <v>0</v>
      </c>
      <c r="L3054" s="4" t="b">
        <f>AND(((G3054 &lt;&gt; "plain")=TRUE), ((G3054 &lt;&gt; "")=TRUE))</f>
        <v>0</v>
      </c>
      <c r="M3054" s="4" t="str">
        <f>IF(((E3054)=TRUE),  C3054 &amp; "|" &amp; H3054,  "")</f>
        <v>principal-knowledge-authority|Roles</v>
      </c>
      <c r="N3054" s="3" t="s">
        <v>10004</v>
      </c>
    </row>
    <row r="3055">
      <c r="A3055" s="3" t="s">
        <v>13057</v>
      </c>
      <c r="B3055" s="4" t="str">
        <f>C3055 &amp; " -&gt; " &amp; D3055</f>
        <v>principal-knowledge-authority -&gt; Roles.SemanticTypeIri</v>
      </c>
      <c r="C3055" s="3" t="s">
        <v>9774</v>
      </c>
      <c r="D3055" s="3" t="s">
        <v>2543</v>
      </c>
      <c r="E3055" s="3" t="b">
        <v>1</v>
      </c>
      <c r="F3055" s="3" t="b">
        <v>0</v>
      </c>
      <c r="G3055" s="3" t="s">
        <v>10003</v>
      </c>
      <c r="H3055" s="4" t="str">
        <f>_xlfn.IFNA(IF(((INDEX(RulebookFields!C2:C1898, MATCH(D3055,RulebookFields!A2:A1898, 0))="")=TRUE),  "",  INDEX(RulebookFields!C2:C1898, MATCH(D3055,RulebookFields!A2:A1898, 0))), "")</f>
        <v>Roles</v>
      </c>
      <c r="I3055" s="4" t="str">
        <f>_xlfn.IFNA(IF(((INDEX(RulebookFields!D2:D1898, MATCH(D3055,RulebookFields!A2:A1898, 0))="")=TRUE),  "",  INDEX(RulebookFields!D2:D1898, MATCH(D3055,RulebookFields!A2:A1898, 0))), "")</f>
        <v>SemanticTypeIri</v>
      </c>
      <c r="J3055" s="4" t="b">
        <f>_xlfn.IFNA(IF(((INDEX(RulebookFields!I2:I1898, MATCH(D3055,RulebookFields!A2:A1898, 0))="")=TRUE),  "",  INDEX(RulebookFields!I2:I1898, MATCH(D3055,RulebookFields!A2:A1898, 0))), "")</f>
        <v>0</v>
      </c>
      <c r="K3055" s="4" t="b">
        <f>AND(((F3055)=TRUE), ((J3055)=TRUE))</f>
        <v>0</v>
      </c>
      <c r="L3055" s="4" t="b">
        <f>AND(((G3055 &lt;&gt; "plain")=TRUE), ((G3055 &lt;&gt; "")=TRUE))</f>
        <v>0</v>
      </c>
      <c r="M3055" s="4" t="str">
        <f>IF(((E3055)=TRUE),  C3055 &amp; "|" &amp; H3055,  "")</f>
        <v>principal-knowledge-authority|Roles</v>
      </c>
      <c r="N3055" s="3" t="s">
        <v>10004</v>
      </c>
    </row>
    <row r="3056">
      <c r="A3056" s="3" t="s">
        <v>13058</v>
      </c>
      <c r="B3056" s="4" t="str">
        <f>C3056 &amp; " -&gt; " &amp; D3056</f>
        <v>principal-knowledge-authority -&gt; RulebookFields.RulebookFieldId</v>
      </c>
      <c r="C3056" s="3" t="s">
        <v>9774</v>
      </c>
      <c r="D3056" s="3" t="s">
        <v>4171</v>
      </c>
      <c r="E3056" s="3" t="b">
        <v>1</v>
      </c>
      <c r="F3056" s="3" t="b">
        <v>0</v>
      </c>
      <c r="G3056" s="3" t="s">
        <v>10003</v>
      </c>
      <c r="H3056" s="4" t="str">
        <f>_xlfn.IFNA(IF(((INDEX(RulebookFields!C2:C1898, MATCH(D3056,RulebookFields!A2:A1898, 0))="")=TRUE),  "",  INDEX(RulebookFields!C2:C1898, MATCH(D3056,RulebookFields!A2:A1898, 0))), "")</f>
        <v>RulebookFields</v>
      </c>
      <c r="I3056" s="4" t="str">
        <f>_xlfn.IFNA(IF(((INDEX(RulebookFields!D2:D1898, MATCH(D3056,RulebookFields!A2:A1898, 0))="")=TRUE),  "",  INDEX(RulebookFields!D2:D1898, MATCH(D3056,RulebookFields!A2:A1898, 0))), "")</f>
        <v>RulebookFieldId</v>
      </c>
      <c r="J3056" s="4" t="b">
        <f>_xlfn.IFNA(IF(((INDEX(RulebookFields!I2:I1898, MATCH(D3056,RulebookFields!A2:A1898, 0))="")=TRUE),  "",  INDEX(RulebookFields!I2:I1898, MATCH(D3056,RulebookFields!A2:A1898, 0))), "")</f>
        <v>0</v>
      </c>
      <c r="K3056" s="4" t="b">
        <f>AND(((F3056)=TRUE), ((J3056)=TRUE))</f>
        <v>0</v>
      </c>
      <c r="L3056" s="4" t="b">
        <f>AND(((G3056 &lt;&gt; "plain")=TRUE), ((G3056 &lt;&gt; "")=TRUE))</f>
        <v>0</v>
      </c>
      <c r="M3056" s="4" t="str">
        <f>IF(((E3056)=TRUE),  C3056 &amp; "|" &amp; H3056,  "")</f>
        <v>principal-knowledge-authority|RulebookFields</v>
      </c>
      <c r="N3056" s="3" t="s">
        <v>10004</v>
      </c>
    </row>
    <row r="3057">
      <c r="A3057" s="3" t="s">
        <v>13059</v>
      </c>
      <c r="B3057" s="4" t="str">
        <f>C3057 &amp; " -&gt; " &amp; D3057</f>
        <v>principal-knowledge-authority -&gt; RulebookFields.Name</v>
      </c>
      <c r="C3057" s="3" t="s">
        <v>9774</v>
      </c>
      <c r="D3057" s="3" t="s">
        <v>4173</v>
      </c>
      <c r="E3057" s="3" t="b">
        <v>1</v>
      </c>
      <c r="F3057" s="3" t="b">
        <v>0</v>
      </c>
      <c r="G3057" s="3" t="s">
        <v>10003</v>
      </c>
      <c r="H3057" s="4" t="str">
        <f>_xlfn.IFNA(IF(((INDEX(RulebookFields!C2:C1898, MATCH(D3057,RulebookFields!A2:A1898, 0))="")=TRUE),  "",  INDEX(RulebookFields!C2:C1898, MATCH(D3057,RulebookFields!A2:A1898, 0))), "")</f>
        <v>RulebookFields</v>
      </c>
      <c r="I3057" s="4" t="str">
        <f>_xlfn.IFNA(IF(((INDEX(RulebookFields!D2:D1898, MATCH(D3057,RulebookFields!A2:A1898, 0))="")=TRUE),  "",  INDEX(RulebookFields!D2:D1898, MATCH(D3057,RulebookFields!A2:A1898, 0))), "")</f>
        <v>Name</v>
      </c>
      <c r="J3057" s="4" t="b">
        <f>_xlfn.IFNA(IF(((INDEX(RulebookFields!I2:I1898, MATCH(D3057,RulebookFields!A2:A1898, 0))="")=TRUE),  "",  INDEX(RulebookFields!I2:I1898, MATCH(D3057,RulebookFields!A2:A1898, 0))), "")</f>
        <v>1</v>
      </c>
      <c r="K3057" s="4" t="b">
        <f>AND(((F3057)=TRUE), ((J3057)=TRUE))</f>
        <v>0</v>
      </c>
      <c r="L3057" s="4" t="b">
        <f>AND(((G3057 &lt;&gt; "plain")=TRUE), ((G3057 &lt;&gt; "")=TRUE))</f>
        <v>0</v>
      </c>
      <c r="M3057" s="4" t="str">
        <f>IF(((E3057)=TRUE),  C3057 &amp; "|" &amp; H3057,  "")</f>
        <v>principal-knowledge-authority|RulebookFields</v>
      </c>
      <c r="N3057" s="3" t="s">
        <v>10004</v>
      </c>
    </row>
    <row r="3058">
      <c r="A3058" s="3" t="s">
        <v>13060</v>
      </c>
      <c r="B3058" s="4" t="str">
        <f>C3058 &amp; " -&gt; " &amp; D3058</f>
        <v>principal-knowledge-authority -&gt; RulebookFields.TargetTable</v>
      </c>
      <c r="C3058" s="3" t="s">
        <v>9774</v>
      </c>
      <c r="D3058" s="3" t="s">
        <v>4175</v>
      </c>
      <c r="E3058" s="3" t="b">
        <v>1</v>
      </c>
      <c r="F3058" s="3" t="b">
        <v>0</v>
      </c>
      <c r="G3058" s="3" t="s">
        <v>10003</v>
      </c>
      <c r="H3058" s="4" t="str">
        <f>_xlfn.IFNA(IF(((INDEX(RulebookFields!C2:C1898, MATCH(D3058,RulebookFields!A2:A1898, 0))="")=TRUE),  "",  INDEX(RulebookFields!C2:C1898, MATCH(D3058,RulebookFields!A2:A1898, 0))), "")</f>
        <v>RulebookFields</v>
      </c>
      <c r="I3058" s="4" t="str">
        <f>_xlfn.IFNA(IF(((INDEX(RulebookFields!D2:D1898, MATCH(D3058,RulebookFields!A2:A1898, 0))="")=TRUE),  "",  INDEX(RulebookFields!D2:D1898, MATCH(D3058,RulebookFields!A2:A1898, 0))), "")</f>
        <v>TargetTable</v>
      </c>
      <c r="J3058" s="4" t="b">
        <f>_xlfn.IFNA(IF(((INDEX(RulebookFields!I2:I1898, MATCH(D3058,RulebookFields!A2:A1898, 0))="")=TRUE),  "",  INDEX(RulebookFields!I2:I1898, MATCH(D3058,RulebookFields!A2:A1898, 0))), "")</f>
        <v>0</v>
      </c>
      <c r="K3058" s="4" t="b">
        <f>AND(((F3058)=TRUE), ((J3058)=TRUE))</f>
        <v>0</v>
      </c>
      <c r="L3058" s="4" t="b">
        <f>AND(((G3058 &lt;&gt; "plain")=TRUE), ((G3058 &lt;&gt; "")=TRUE))</f>
        <v>0</v>
      </c>
      <c r="M3058" s="4" t="str">
        <f>IF(((E3058)=TRUE),  C3058 &amp; "|" &amp; H3058,  "")</f>
        <v>principal-knowledge-authority|RulebookFields</v>
      </c>
      <c r="N3058" s="3" t="s">
        <v>10004</v>
      </c>
    </row>
    <row r="3059">
      <c r="A3059" s="3" t="s">
        <v>13061</v>
      </c>
      <c r="B3059" s="4" t="str">
        <f>C3059 &amp; " -&gt; " &amp; D3059</f>
        <v>principal-knowledge-authority -&gt; RulebookFields.FieldName</v>
      </c>
      <c r="C3059" s="3" t="s">
        <v>9774</v>
      </c>
      <c r="D3059" s="3" t="s">
        <v>4176</v>
      </c>
      <c r="E3059" s="3" t="b">
        <v>1</v>
      </c>
      <c r="F3059" s="3" t="b">
        <v>0</v>
      </c>
      <c r="G3059" s="3" t="s">
        <v>10003</v>
      </c>
      <c r="H3059" s="4" t="str">
        <f>_xlfn.IFNA(IF(((INDEX(RulebookFields!C2:C1898, MATCH(D3059,RulebookFields!A2:A1898, 0))="")=TRUE),  "",  INDEX(RulebookFields!C2:C1898, MATCH(D3059,RulebookFields!A2:A1898, 0))), "")</f>
        <v>RulebookFields</v>
      </c>
      <c r="I3059" s="4" t="str">
        <f>_xlfn.IFNA(IF(((INDEX(RulebookFields!D2:D1898, MATCH(D3059,RulebookFields!A2:A1898, 0))="")=TRUE),  "",  INDEX(RulebookFields!D2:D1898, MATCH(D3059,RulebookFields!A2:A1898, 0))), "")</f>
        <v>FieldName</v>
      </c>
      <c r="J3059" s="4" t="b">
        <f>_xlfn.IFNA(IF(((INDEX(RulebookFields!I2:I1898, MATCH(D3059,RulebookFields!A2:A1898, 0))="")=TRUE),  "",  INDEX(RulebookFields!I2:I1898, MATCH(D3059,RulebookFields!A2:A1898, 0))), "")</f>
        <v>0</v>
      </c>
      <c r="K3059" s="4" t="b">
        <f>AND(((F3059)=TRUE), ((J3059)=TRUE))</f>
        <v>0</v>
      </c>
      <c r="L3059" s="4" t="b">
        <f>AND(((G3059 &lt;&gt; "plain")=TRUE), ((G3059 &lt;&gt; "")=TRUE))</f>
        <v>0</v>
      </c>
      <c r="M3059" s="4" t="str">
        <f>IF(((E3059)=TRUE),  C3059 &amp; "|" &amp; H3059,  "")</f>
        <v>principal-knowledge-authority|RulebookFields</v>
      </c>
      <c r="N3059" s="3" t="s">
        <v>10004</v>
      </c>
    </row>
    <row r="3060">
      <c r="A3060" s="3" t="s">
        <v>13062</v>
      </c>
      <c r="B3060" s="4" t="str">
        <f>C3060 &amp; " -&gt; " &amp; D3060</f>
        <v>principal-knowledge-authority -&gt; RulebookFields.FieldType</v>
      </c>
      <c r="C3060" s="3" t="s">
        <v>9774</v>
      </c>
      <c r="D3060" s="3" t="s">
        <v>4177</v>
      </c>
      <c r="E3060" s="3" t="b">
        <v>1</v>
      </c>
      <c r="F3060" s="3" t="b">
        <v>0</v>
      </c>
      <c r="G3060" s="3" t="s">
        <v>10003</v>
      </c>
      <c r="H3060" s="4" t="str">
        <f>_xlfn.IFNA(IF(((INDEX(RulebookFields!C2:C1898, MATCH(D3060,RulebookFields!A2:A1898, 0))="")=TRUE),  "",  INDEX(RulebookFields!C2:C1898, MATCH(D3060,RulebookFields!A2:A1898, 0))), "")</f>
        <v>RulebookFields</v>
      </c>
      <c r="I3060" s="4" t="str">
        <f>_xlfn.IFNA(IF(((INDEX(RulebookFields!D2:D1898, MATCH(D3060,RulebookFields!A2:A1898, 0))="")=TRUE),  "",  INDEX(RulebookFields!D2:D1898, MATCH(D3060,RulebookFields!A2:A1898, 0))), "")</f>
        <v>FieldType</v>
      </c>
      <c r="J3060" s="4" t="b">
        <f>_xlfn.IFNA(IF(((INDEX(RulebookFields!I2:I1898, MATCH(D3060,RulebookFields!A2:A1898, 0))="")=TRUE),  "",  INDEX(RulebookFields!I2:I1898, MATCH(D3060,RulebookFields!A2:A1898, 0))), "")</f>
        <v>0</v>
      </c>
      <c r="K3060" s="4" t="b">
        <f>AND(((F3060)=TRUE), ((J3060)=TRUE))</f>
        <v>0</v>
      </c>
      <c r="L3060" s="4" t="b">
        <f>AND(((G3060 &lt;&gt; "plain")=TRUE), ((G3060 &lt;&gt; "")=TRUE))</f>
        <v>0</v>
      </c>
      <c r="M3060" s="4" t="str">
        <f>IF(((E3060)=TRUE),  C3060 &amp; "|" &amp; H3060,  "")</f>
        <v>principal-knowledge-authority|RulebookFields</v>
      </c>
      <c r="N3060" s="3" t="s">
        <v>10004</v>
      </c>
    </row>
    <row r="3061">
      <c r="A3061" s="3" t="s">
        <v>13063</v>
      </c>
      <c r="B3061" s="4" t="str">
        <f>C3061 &amp; " -&gt; " &amp; D3061</f>
        <v>principal-knowledge-authority -&gt; RulebookFields.Datatype</v>
      </c>
      <c r="C3061" s="3" t="s">
        <v>9774</v>
      </c>
      <c r="D3061" s="3" t="s">
        <v>4178</v>
      </c>
      <c r="E3061" s="3" t="b">
        <v>1</v>
      </c>
      <c r="F3061" s="3" t="b">
        <v>0</v>
      </c>
      <c r="G3061" s="3" t="s">
        <v>10003</v>
      </c>
      <c r="H3061" s="4" t="str">
        <f>_xlfn.IFNA(IF(((INDEX(RulebookFields!C2:C1898, MATCH(D3061,RulebookFields!A2:A1898, 0))="")=TRUE),  "",  INDEX(RulebookFields!C2:C1898, MATCH(D3061,RulebookFields!A2:A1898, 0))), "")</f>
        <v>RulebookFields</v>
      </c>
      <c r="I3061" s="4" t="str">
        <f>_xlfn.IFNA(IF(((INDEX(RulebookFields!D2:D1898, MATCH(D3061,RulebookFields!A2:A1898, 0))="")=TRUE),  "",  INDEX(RulebookFields!D2:D1898, MATCH(D3061,RulebookFields!A2:A1898, 0))), "")</f>
        <v>Datatype</v>
      </c>
      <c r="J3061" s="4" t="b">
        <f>_xlfn.IFNA(IF(((INDEX(RulebookFields!I2:I1898, MATCH(D3061,RulebookFields!A2:A1898, 0))="")=TRUE),  "",  INDEX(RulebookFields!I2:I1898, MATCH(D3061,RulebookFields!A2:A1898, 0))), "")</f>
        <v>0</v>
      </c>
      <c r="K3061" s="4" t="b">
        <f>AND(((F3061)=TRUE), ((J3061)=TRUE))</f>
        <v>0</v>
      </c>
      <c r="L3061" s="4" t="b">
        <f>AND(((G3061 &lt;&gt; "plain")=TRUE), ((G3061 &lt;&gt; "")=TRUE))</f>
        <v>0</v>
      </c>
      <c r="M3061" s="4" t="str">
        <f>IF(((E3061)=TRUE),  C3061 &amp; "|" &amp; H3061,  "")</f>
        <v>principal-knowledge-authority|RulebookFields</v>
      </c>
      <c r="N3061" s="3" t="s">
        <v>10004</v>
      </c>
    </row>
    <row r="3062">
      <c r="A3062" s="3" t="s">
        <v>13064</v>
      </c>
      <c r="B3062" s="4" t="str">
        <f>C3062 &amp; " -&gt; " &amp; D3062</f>
        <v>principal-knowledge-authority -&gt; RulebookFields.Formula</v>
      </c>
      <c r="C3062" s="3" t="s">
        <v>9774</v>
      </c>
      <c r="D3062" s="3" t="s">
        <v>4179</v>
      </c>
      <c r="E3062" s="3" t="b">
        <v>1</v>
      </c>
      <c r="F3062" s="3" t="b">
        <v>0</v>
      </c>
      <c r="G3062" s="3" t="s">
        <v>10003</v>
      </c>
      <c r="H3062" s="4" t="str">
        <f>_xlfn.IFNA(IF(((INDEX(RulebookFields!C2:C1898, MATCH(D3062,RulebookFields!A2:A1898, 0))="")=TRUE),  "",  INDEX(RulebookFields!C2:C1898, MATCH(D3062,RulebookFields!A2:A1898, 0))), "")</f>
        <v>RulebookFields</v>
      </c>
      <c r="I3062" s="4" t="str">
        <f>_xlfn.IFNA(IF(((INDEX(RulebookFields!D2:D1898, MATCH(D3062,RulebookFields!A2:A1898, 0))="")=TRUE),  "",  INDEX(RulebookFields!D2:D1898, MATCH(D3062,RulebookFields!A2:A1898, 0))), "")</f>
        <v>Formula</v>
      </c>
      <c r="J3062" s="4" t="b">
        <f>_xlfn.IFNA(IF(((INDEX(RulebookFields!I2:I1898, MATCH(D3062,RulebookFields!A2:A1898, 0))="")=TRUE),  "",  INDEX(RulebookFields!I2:I1898, MATCH(D3062,RulebookFields!A2:A1898, 0))), "")</f>
        <v>0</v>
      </c>
      <c r="K3062" s="4" t="b">
        <f>AND(((F3062)=TRUE), ((J3062)=TRUE))</f>
        <v>0</v>
      </c>
      <c r="L3062" s="4" t="b">
        <f>AND(((G3062 &lt;&gt; "plain")=TRUE), ((G3062 &lt;&gt; "")=TRUE))</f>
        <v>0</v>
      </c>
      <c r="M3062" s="4" t="str">
        <f>IF(((E3062)=TRUE),  C3062 &amp; "|" &amp; H3062,  "")</f>
        <v>principal-knowledge-authority|RulebookFields</v>
      </c>
      <c r="N3062" s="3" t="s">
        <v>10004</v>
      </c>
    </row>
    <row r="3063">
      <c r="A3063" s="3" t="s">
        <v>13065</v>
      </c>
      <c r="B3063" s="4" t="str">
        <f>C3063 &amp; " -&gt; " &amp; D3063</f>
        <v>principal-knowledge-authority -&gt; RulebookFields.InventedForQuestion</v>
      </c>
      <c r="C3063" s="3" t="s">
        <v>9774</v>
      </c>
      <c r="D3063" s="3" t="s">
        <v>4180</v>
      </c>
      <c r="E3063" s="3" t="b">
        <v>1</v>
      </c>
      <c r="F3063" s="3" t="b">
        <v>0</v>
      </c>
      <c r="G3063" s="3" t="s">
        <v>10003</v>
      </c>
      <c r="H3063" s="4" t="str">
        <f>_xlfn.IFNA(IF(((INDEX(RulebookFields!C2:C1898, MATCH(D3063,RulebookFields!A2:A1898, 0))="")=TRUE),  "",  INDEX(RulebookFields!C2:C1898, MATCH(D3063,RulebookFields!A2:A1898, 0))), "")</f>
        <v>RulebookFields</v>
      </c>
      <c r="I3063" s="4" t="str">
        <f>_xlfn.IFNA(IF(((INDEX(RulebookFields!D2:D1898, MATCH(D3063,RulebookFields!A2:A1898, 0))="")=TRUE),  "",  INDEX(RulebookFields!D2:D1898, MATCH(D3063,RulebookFields!A2:A1898, 0))), "")</f>
        <v>InventedForQuestion</v>
      </c>
      <c r="J3063" s="4" t="b">
        <f>_xlfn.IFNA(IF(((INDEX(RulebookFields!I2:I1898, MATCH(D3063,RulebookFields!A2:A1898, 0))="")=TRUE),  "",  INDEX(RulebookFields!I2:I1898, MATCH(D3063,RulebookFields!A2:A1898, 0))), "")</f>
        <v>0</v>
      </c>
      <c r="K3063" s="4" t="b">
        <f>AND(((F3063)=TRUE), ((J3063)=TRUE))</f>
        <v>0</v>
      </c>
      <c r="L3063" s="4" t="b">
        <f>AND(((G3063 &lt;&gt; "plain")=TRUE), ((G3063 &lt;&gt; "")=TRUE))</f>
        <v>0</v>
      </c>
      <c r="M3063" s="4" t="str">
        <f>IF(((E3063)=TRUE),  C3063 &amp; "|" &amp; H3063,  "")</f>
        <v>principal-knowledge-authority|RulebookFields</v>
      </c>
      <c r="N3063" s="3" t="s">
        <v>10004</v>
      </c>
    </row>
    <row r="3064">
      <c r="A3064" s="3" t="s">
        <v>13066</v>
      </c>
      <c r="B3064" s="4" t="str">
        <f>C3064 &amp; " -&gt; " &amp; D3064</f>
        <v>principal-knowledge-authority -&gt; RulebookFields.IsDerived</v>
      </c>
      <c r="C3064" s="3" t="s">
        <v>9774</v>
      </c>
      <c r="D3064" s="3" t="s">
        <v>4181</v>
      </c>
      <c r="E3064" s="3" t="b">
        <v>1</v>
      </c>
      <c r="F3064" s="3" t="b">
        <v>0</v>
      </c>
      <c r="G3064" s="3" t="s">
        <v>10003</v>
      </c>
      <c r="H3064" s="4" t="str">
        <f>_xlfn.IFNA(IF(((INDEX(RulebookFields!C2:C1898, MATCH(D3064,RulebookFields!A2:A1898, 0))="")=TRUE),  "",  INDEX(RulebookFields!C2:C1898, MATCH(D3064,RulebookFields!A2:A1898, 0))), "")</f>
        <v>RulebookFields</v>
      </c>
      <c r="I3064" s="4" t="str">
        <f>_xlfn.IFNA(IF(((INDEX(RulebookFields!D2:D1898, MATCH(D3064,RulebookFields!A2:A1898, 0))="")=TRUE),  "",  INDEX(RulebookFields!D2:D1898, MATCH(D3064,RulebookFields!A2:A1898, 0))), "")</f>
        <v>IsDerived</v>
      </c>
      <c r="J3064" s="4" t="b">
        <f>_xlfn.IFNA(IF(((INDEX(RulebookFields!I2:I1898, MATCH(D3064,RulebookFields!A2:A1898, 0))="")=TRUE),  "",  INDEX(RulebookFields!I2:I1898, MATCH(D3064,RulebookFields!A2:A1898, 0))), "")</f>
        <v>1</v>
      </c>
      <c r="K3064" s="4" t="b">
        <f>AND(((F3064)=TRUE), ((J3064)=TRUE))</f>
        <v>0</v>
      </c>
      <c r="L3064" s="4" t="b">
        <f>AND(((G3064 &lt;&gt; "plain")=TRUE), ((G3064 &lt;&gt; "")=TRUE))</f>
        <v>0</v>
      </c>
      <c r="M3064" s="4" t="str">
        <f>IF(((E3064)=TRUE),  C3064 &amp; "|" &amp; H3064,  "")</f>
        <v>principal-knowledge-authority|RulebookFields</v>
      </c>
      <c r="N3064" s="3" t="s">
        <v>10004</v>
      </c>
    </row>
    <row r="3065">
      <c r="A3065" s="3" t="s">
        <v>13067</v>
      </c>
      <c r="B3065" s="4" t="str">
        <f>C3065 &amp; " -&gt; " &amp; D3065</f>
        <v>principal-knowledge-authority -&gt; RulebookFields.IsWitness</v>
      </c>
      <c r="C3065" s="3" t="s">
        <v>9774</v>
      </c>
      <c r="D3065" s="3" t="s">
        <v>4183</v>
      </c>
      <c r="E3065" s="3" t="b">
        <v>1</v>
      </c>
      <c r="F3065" s="3" t="b">
        <v>0</v>
      </c>
      <c r="G3065" s="3" t="s">
        <v>10003</v>
      </c>
      <c r="H3065" s="4" t="str">
        <f>_xlfn.IFNA(IF(((INDEX(RulebookFields!C2:C1898, MATCH(D3065,RulebookFields!A2:A1898, 0))="")=TRUE),  "",  INDEX(RulebookFields!C2:C1898, MATCH(D3065,RulebookFields!A2:A1898, 0))), "")</f>
        <v>RulebookFields</v>
      </c>
      <c r="I3065" s="4" t="str">
        <f>_xlfn.IFNA(IF(((INDEX(RulebookFields!D2:D1898, MATCH(D3065,RulebookFields!A2:A1898, 0))="")=TRUE),  "",  INDEX(RulebookFields!D2:D1898, MATCH(D3065,RulebookFields!A2:A1898, 0))), "")</f>
        <v>IsWitness</v>
      </c>
      <c r="J3065" s="4" t="b">
        <f>_xlfn.IFNA(IF(((INDEX(RulebookFields!I2:I1898, MATCH(D3065,RulebookFields!A2:A1898, 0))="")=TRUE),  "",  INDEX(RulebookFields!I2:I1898, MATCH(D3065,RulebookFields!A2:A1898, 0))), "")</f>
        <v>1</v>
      </c>
      <c r="K3065" s="4" t="b">
        <f>AND(((F3065)=TRUE), ((J3065)=TRUE))</f>
        <v>0</v>
      </c>
      <c r="L3065" s="4" t="b">
        <f>AND(((G3065 &lt;&gt; "plain")=TRUE), ((G3065 &lt;&gt; "")=TRUE))</f>
        <v>0</v>
      </c>
      <c r="M3065" s="4" t="str">
        <f>IF(((E3065)=TRUE),  C3065 &amp; "|" &amp; H3065,  "")</f>
        <v>principal-knowledge-authority|RulebookFields</v>
      </c>
      <c r="N3065" s="3" t="s">
        <v>10004</v>
      </c>
    </row>
    <row r="3066">
      <c r="A3066" s="3" t="s">
        <v>13068</v>
      </c>
      <c r="B3066" s="4" t="str">
        <f>C3066 &amp; " -&gt; " &amp; D3066</f>
        <v>principal-knowledge-authority -&gt; RulebookFields.SemanticTypeIri</v>
      </c>
      <c r="C3066" s="3" t="s">
        <v>9774</v>
      </c>
      <c r="D3066" s="3" t="s">
        <v>4189</v>
      </c>
      <c r="E3066" s="3" t="b">
        <v>1</v>
      </c>
      <c r="F3066" s="3" t="b">
        <v>0</v>
      </c>
      <c r="G3066" s="3" t="s">
        <v>10003</v>
      </c>
      <c r="H3066" s="4" t="str">
        <f>_xlfn.IFNA(IF(((INDEX(RulebookFields!C2:C1898, MATCH(D3066,RulebookFields!A2:A1898, 0))="")=TRUE),  "",  INDEX(RulebookFields!C2:C1898, MATCH(D3066,RulebookFields!A2:A1898, 0))), "")</f>
        <v>RulebookFields</v>
      </c>
      <c r="I3066" s="4" t="str">
        <f>_xlfn.IFNA(IF(((INDEX(RulebookFields!D2:D1898, MATCH(D3066,RulebookFields!A2:A1898, 0))="")=TRUE),  "",  INDEX(RulebookFields!D2:D1898, MATCH(D3066,RulebookFields!A2:A1898, 0))), "")</f>
        <v>SemanticTypeIri</v>
      </c>
      <c r="J3066" s="4" t="b">
        <f>_xlfn.IFNA(IF(((INDEX(RulebookFields!I2:I1898, MATCH(D3066,RulebookFields!A2:A1898, 0))="")=TRUE),  "",  INDEX(RulebookFields!I2:I1898, MATCH(D3066,RulebookFields!A2:A1898, 0))), "")</f>
        <v>0</v>
      </c>
      <c r="K3066" s="4" t="b">
        <f>AND(((F3066)=TRUE), ((J3066)=TRUE))</f>
        <v>0</v>
      </c>
      <c r="L3066" s="4" t="b">
        <f>AND(((G3066 &lt;&gt; "plain")=TRUE), ((G3066 &lt;&gt; "")=TRUE))</f>
        <v>0</v>
      </c>
      <c r="M3066" s="4" t="str">
        <f>IF(((E3066)=TRUE),  C3066 &amp; "|" &amp; H3066,  "")</f>
        <v>principal-knowledge-authority|RulebookFields</v>
      </c>
      <c r="N3066" s="3" t="s">
        <v>10004</v>
      </c>
    </row>
    <row r="3067">
      <c r="A3067" s="3" t="s">
        <v>13069</v>
      </c>
      <c r="B3067" s="4" t="str">
        <f>C3067 &amp; " -&gt; " &amp; D3067</f>
        <v>principal-knowledge-authority -&gt; RulebookReleases.RulebookReleaseId</v>
      </c>
      <c r="C3067" s="3" t="s">
        <v>9774</v>
      </c>
      <c r="D3067" s="3" t="s">
        <v>2414</v>
      </c>
      <c r="E3067" s="3" t="b">
        <v>1</v>
      </c>
      <c r="F3067" s="3" t="b">
        <v>0</v>
      </c>
      <c r="G3067" s="3" t="s">
        <v>10003</v>
      </c>
      <c r="H3067" s="4" t="str">
        <f>_xlfn.IFNA(IF(((INDEX(RulebookFields!C2:C1898, MATCH(D3067,RulebookFields!A2:A1898, 0))="")=TRUE),  "",  INDEX(RulebookFields!C2:C1898, MATCH(D3067,RulebookFields!A2:A1898, 0))), "")</f>
        <v>RulebookReleases</v>
      </c>
      <c r="I3067" s="4" t="str">
        <f>_xlfn.IFNA(IF(((INDEX(RulebookFields!D2:D1898, MATCH(D3067,RulebookFields!A2:A1898, 0))="")=TRUE),  "",  INDEX(RulebookFields!D2:D1898, MATCH(D3067,RulebookFields!A2:A1898, 0))), "")</f>
        <v>RulebookReleaseId</v>
      </c>
      <c r="J3067" s="4" t="b">
        <f>_xlfn.IFNA(IF(((INDEX(RulebookFields!I2:I1898, MATCH(D3067,RulebookFields!A2:A1898, 0))="")=TRUE),  "",  INDEX(RulebookFields!I2:I1898, MATCH(D3067,RulebookFields!A2:A1898, 0))), "")</f>
        <v>0</v>
      </c>
      <c r="K3067" s="4" t="b">
        <f>AND(((F3067)=TRUE), ((J3067)=TRUE))</f>
        <v>0</v>
      </c>
      <c r="L3067" s="4" t="b">
        <f>AND(((G3067 &lt;&gt; "plain")=TRUE), ((G3067 &lt;&gt; "")=TRUE))</f>
        <v>0</v>
      </c>
      <c r="M3067" s="4" t="str">
        <f>IF(((E3067)=TRUE),  C3067 &amp; "|" &amp; H3067,  "")</f>
        <v>principal-knowledge-authority|RulebookReleases</v>
      </c>
      <c r="N3067" s="3" t="s">
        <v>10004</v>
      </c>
    </row>
    <row r="3068">
      <c r="A3068" s="3" t="s">
        <v>13070</v>
      </c>
      <c r="B3068" s="4" t="str">
        <f>C3068 &amp; " -&gt; " &amp; D3068</f>
        <v>principal-knowledge-authority -&gt; RulebookReleases.Name</v>
      </c>
      <c r="C3068" s="3" t="s">
        <v>9774</v>
      </c>
      <c r="D3068" s="3" t="s">
        <v>2419</v>
      </c>
      <c r="E3068" s="3" t="b">
        <v>1</v>
      </c>
      <c r="F3068" s="3" t="b">
        <v>0</v>
      </c>
      <c r="G3068" s="3" t="s">
        <v>10003</v>
      </c>
      <c r="H3068" s="4" t="str">
        <f>_xlfn.IFNA(IF(((INDEX(RulebookFields!C2:C1898, MATCH(D3068,RulebookFields!A2:A1898, 0))="")=TRUE),  "",  INDEX(RulebookFields!C2:C1898, MATCH(D3068,RulebookFields!A2:A1898, 0))), "")</f>
        <v>RulebookReleases</v>
      </c>
      <c r="I3068" s="4" t="str">
        <f>_xlfn.IFNA(IF(((INDEX(RulebookFields!D2:D1898, MATCH(D3068,RulebookFields!A2:A1898, 0))="")=TRUE),  "",  INDEX(RulebookFields!D2:D1898, MATCH(D3068,RulebookFields!A2:A1898, 0))), "")</f>
        <v>Name</v>
      </c>
      <c r="J3068" s="4" t="b">
        <f>_xlfn.IFNA(IF(((INDEX(RulebookFields!I2:I1898, MATCH(D3068,RulebookFields!A2:A1898, 0))="")=TRUE),  "",  INDEX(RulebookFields!I2:I1898, MATCH(D3068,RulebookFields!A2:A1898, 0))), "")</f>
        <v>1</v>
      </c>
      <c r="K3068" s="4" t="b">
        <f>AND(((F3068)=TRUE), ((J3068)=TRUE))</f>
        <v>0</v>
      </c>
      <c r="L3068" s="4" t="b">
        <f>AND(((G3068 &lt;&gt; "plain")=TRUE), ((G3068 &lt;&gt; "")=TRUE))</f>
        <v>0</v>
      </c>
      <c r="M3068" s="4" t="str">
        <f>IF(((E3068)=TRUE),  C3068 &amp; "|" &amp; H3068,  "")</f>
        <v>principal-knowledge-authority|RulebookReleases</v>
      </c>
      <c r="N3068" s="3" t="s">
        <v>10004</v>
      </c>
    </row>
    <row r="3069">
      <c r="A3069" s="3" t="s">
        <v>13071</v>
      </c>
      <c r="B3069" s="4" t="str">
        <f>C3069 &amp; " -&gt; " &amp; D3069</f>
        <v>principal-knowledge-authority -&gt; RulebookReleases.RulebookVersion</v>
      </c>
      <c r="C3069" s="3" t="s">
        <v>9774</v>
      </c>
      <c r="D3069" s="3" t="s">
        <v>2422</v>
      </c>
      <c r="E3069" s="3" t="b">
        <v>1</v>
      </c>
      <c r="F3069" s="3" t="b">
        <v>0</v>
      </c>
      <c r="G3069" s="3" t="s">
        <v>10003</v>
      </c>
      <c r="H3069" s="4" t="str">
        <f>_xlfn.IFNA(IF(((INDEX(RulebookFields!C2:C1898, MATCH(D3069,RulebookFields!A2:A1898, 0))="")=TRUE),  "",  INDEX(RulebookFields!C2:C1898, MATCH(D3069,RulebookFields!A2:A1898, 0))), "")</f>
        <v>RulebookReleases</v>
      </c>
      <c r="I3069" s="4" t="str">
        <f>_xlfn.IFNA(IF(((INDEX(RulebookFields!D2:D1898, MATCH(D3069,RulebookFields!A2:A1898, 0))="")=TRUE),  "",  INDEX(RulebookFields!D2:D1898, MATCH(D3069,RulebookFields!A2:A1898, 0))), "")</f>
        <v>RulebookVersion</v>
      </c>
      <c r="J3069" s="4" t="b">
        <f>_xlfn.IFNA(IF(((INDEX(RulebookFields!I2:I1898, MATCH(D3069,RulebookFields!A2:A1898, 0))="")=TRUE),  "",  INDEX(RulebookFields!I2:I1898, MATCH(D3069,RulebookFields!A2:A1898, 0))), "")</f>
        <v>0</v>
      </c>
      <c r="K3069" s="4" t="b">
        <f>AND(((F3069)=TRUE), ((J3069)=TRUE))</f>
        <v>0</v>
      </c>
      <c r="L3069" s="4" t="b">
        <f>AND(((G3069 &lt;&gt; "plain")=TRUE), ((G3069 &lt;&gt; "")=TRUE))</f>
        <v>0</v>
      </c>
      <c r="M3069" s="4" t="str">
        <f>IF(((E3069)=TRUE),  C3069 &amp; "|" &amp; H3069,  "")</f>
        <v>principal-knowledge-authority|RulebookReleases</v>
      </c>
      <c r="N3069" s="3" t="s">
        <v>10004</v>
      </c>
    </row>
    <row r="3070">
      <c r="A3070" s="3" t="s">
        <v>13072</v>
      </c>
      <c r="B3070" s="4" t="str">
        <f>C3070 &amp; " -&gt; " &amp; D3070</f>
        <v>principal-knowledge-authority -&gt; RulebookReleases.ProfileVersion</v>
      </c>
      <c r="C3070" s="3" t="s">
        <v>9774</v>
      </c>
      <c r="D3070" s="3" t="s">
        <v>2423</v>
      </c>
      <c r="E3070" s="3" t="b">
        <v>1</v>
      </c>
      <c r="F3070" s="3" t="b">
        <v>0</v>
      </c>
      <c r="G3070" s="3" t="s">
        <v>10003</v>
      </c>
      <c r="H3070" s="4" t="str">
        <f>_xlfn.IFNA(IF(((INDEX(RulebookFields!C2:C1898, MATCH(D3070,RulebookFields!A2:A1898, 0))="")=TRUE),  "",  INDEX(RulebookFields!C2:C1898, MATCH(D3070,RulebookFields!A2:A1898, 0))), "")</f>
        <v>RulebookReleases</v>
      </c>
      <c r="I3070" s="4" t="str">
        <f>_xlfn.IFNA(IF(((INDEX(RulebookFields!D2:D1898, MATCH(D3070,RulebookFields!A2:A1898, 0))="")=TRUE),  "",  INDEX(RulebookFields!D2:D1898, MATCH(D3070,RulebookFields!A2:A1898, 0))), "")</f>
        <v>ProfileVersion</v>
      </c>
      <c r="J3070" s="4" t="b">
        <f>_xlfn.IFNA(IF(((INDEX(RulebookFields!I2:I1898, MATCH(D3070,RulebookFields!A2:A1898, 0))="")=TRUE),  "",  INDEX(RulebookFields!I2:I1898, MATCH(D3070,RulebookFields!A2:A1898, 0))), "")</f>
        <v>0</v>
      </c>
      <c r="K3070" s="4" t="b">
        <f>AND(((F3070)=TRUE), ((J3070)=TRUE))</f>
        <v>0</v>
      </c>
      <c r="L3070" s="4" t="b">
        <f>AND(((G3070 &lt;&gt; "plain")=TRUE), ((G3070 &lt;&gt; "")=TRUE))</f>
        <v>0</v>
      </c>
      <c r="M3070" s="4" t="str">
        <f>IF(((E3070)=TRUE),  C3070 &amp; "|" &amp; H3070,  "")</f>
        <v>principal-knowledge-authority|RulebookReleases</v>
      </c>
      <c r="N3070" s="3" t="s">
        <v>10004</v>
      </c>
    </row>
    <row r="3071">
      <c r="A3071" s="3" t="s">
        <v>13073</v>
      </c>
      <c r="B3071" s="4" t="str">
        <f>C3071 &amp; " -&gt; " &amp; D3071</f>
        <v>principal-knowledge-authority -&gt; RulebookReleases.ProfileSchemaPath</v>
      </c>
      <c r="C3071" s="3" t="s">
        <v>9774</v>
      </c>
      <c r="D3071" s="3" t="s">
        <v>2424</v>
      </c>
      <c r="E3071" s="3" t="b">
        <v>1</v>
      </c>
      <c r="F3071" s="3" t="b">
        <v>0</v>
      </c>
      <c r="G3071" s="3" t="s">
        <v>10003</v>
      </c>
      <c r="H3071" s="4" t="str">
        <f>_xlfn.IFNA(IF(((INDEX(RulebookFields!C2:C1898, MATCH(D3071,RulebookFields!A2:A1898, 0))="")=TRUE),  "",  INDEX(RulebookFields!C2:C1898, MATCH(D3071,RulebookFields!A2:A1898, 0))), "")</f>
        <v>RulebookReleases</v>
      </c>
      <c r="I3071" s="4" t="str">
        <f>_xlfn.IFNA(IF(((INDEX(RulebookFields!D2:D1898, MATCH(D3071,RulebookFields!A2:A1898, 0))="")=TRUE),  "",  INDEX(RulebookFields!D2:D1898, MATCH(D3071,RulebookFields!A2:A1898, 0))), "")</f>
        <v>ProfileSchemaPath</v>
      </c>
      <c r="J3071" s="4" t="b">
        <f>_xlfn.IFNA(IF(((INDEX(RulebookFields!I2:I1898, MATCH(D3071,RulebookFields!A2:A1898, 0))="")=TRUE),  "",  INDEX(RulebookFields!I2:I1898, MATCH(D3071,RulebookFields!A2:A1898, 0))), "")</f>
        <v>0</v>
      </c>
      <c r="K3071" s="4" t="b">
        <f>AND(((F3071)=TRUE), ((J3071)=TRUE))</f>
        <v>0</v>
      </c>
      <c r="L3071" s="4" t="b">
        <f>AND(((G3071 &lt;&gt; "plain")=TRUE), ((G3071 &lt;&gt; "")=TRUE))</f>
        <v>0</v>
      </c>
      <c r="M3071" s="4" t="str">
        <f>IF(((E3071)=TRUE),  C3071 &amp; "|" &amp; H3071,  "")</f>
        <v>principal-knowledge-authority|RulebookReleases</v>
      </c>
      <c r="N3071" s="3" t="s">
        <v>10004</v>
      </c>
    </row>
    <row r="3072">
      <c r="A3072" s="3" t="s">
        <v>13074</v>
      </c>
      <c r="B3072" s="4" t="str">
        <f>C3072 &amp; " -&gt; " &amp; D3072</f>
        <v>principal-knowledge-authority -&gt; RulebookReleases.PkoCoreVersionIri</v>
      </c>
      <c r="C3072" s="3" t="s">
        <v>9774</v>
      </c>
      <c r="D3072" s="3" t="s">
        <v>2425</v>
      </c>
      <c r="E3072" s="3" t="b">
        <v>1</v>
      </c>
      <c r="F3072" s="3" t="b">
        <v>0</v>
      </c>
      <c r="G3072" s="3" t="s">
        <v>10003</v>
      </c>
      <c r="H3072" s="4" t="str">
        <f>_xlfn.IFNA(IF(((INDEX(RulebookFields!C2:C1898, MATCH(D3072,RulebookFields!A2:A1898, 0))="")=TRUE),  "",  INDEX(RulebookFields!C2:C1898, MATCH(D3072,RulebookFields!A2:A1898, 0))), "")</f>
        <v>RulebookReleases</v>
      </c>
      <c r="I3072" s="4" t="str">
        <f>_xlfn.IFNA(IF(((INDEX(RulebookFields!D2:D1898, MATCH(D3072,RulebookFields!A2:A1898, 0))="")=TRUE),  "",  INDEX(RulebookFields!D2:D1898, MATCH(D3072,RulebookFields!A2:A1898, 0))), "")</f>
        <v>PkoCoreVersionIri</v>
      </c>
      <c r="J3072" s="4" t="b">
        <f>_xlfn.IFNA(IF(((INDEX(RulebookFields!I2:I1898, MATCH(D3072,RulebookFields!A2:A1898, 0))="")=TRUE),  "",  INDEX(RulebookFields!I2:I1898, MATCH(D3072,RulebookFields!A2:A1898, 0))), "")</f>
        <v>0</v>
      </c>
      <c r="K3072" s="4" t="b">
        <f>AND(((F3072)=TRUE), ((J3072)=TRUE))</f>
        <v>0</v>
      </c>
      <c r="L3072" s="4" t="b">
        <f>AND(((G3072 &lt;&gt; "plain")=TRUE), ((G3072 &lt;&gt; "")=TRUE))</f>
        <v>0</v>
      </c>
      <c r="M3072" s="4" t="str">
        <f>IF(((E3072)=TRUE),  C3072 &amp; "|" &amp; H3072,  "")</f>
        <v>principal-knowledge-authority|RulebookReleases</v>
      </c>
      <c r="N3072" s="3" t="s">
        <v>10004</v>
      </c>
    </row>
    <row r="3073">
      <c r="A3073" s="3" t="s">
        <v>13075</v>
      </c>
      <c r="B3073" s="4" t="str">
        <f>C3073 &amp; " -&gt; " &amp; D3073</f>
        <v>principal-knowledge-authority -&gt; RulebookReleases.PkoIndustryVersionIri</v>
      </c>
      <c r="C3073" s="3" t="s">
        <v>9774</v>
      </c>
      <c r="D3073" s="3" t="s">
        <v>2426</v>
      </c>
      <c r="E3073" s="3" t="b">
        <v>1</v>
      </c>
      <c r="F3073" s="3" t="b">
        <v>0</v>
      </c>
      <c r="G3073" s="3" t="s">
        <v>10003</v>
      </c>
      <c r="H3073" s="4" t="str">
        <f>_xlfn.IFNA(IF(((INDEX(RulebookFields!C2:C1898, MATCH(D3073,RulebookFields!A2:A1898, 0))="")=TRUE),  "",  INDEX(RulebookFields!C2:C1898, MATCH(D3073,RulebookFields!A2:A1898, 0))), "")</f>
        <v>RulebookReleases</v>
      </c>
      <c r="I3073" s="4" t="str">
        <f>_xlfn.IFNA(IF(((INDEX(RulebookFields!D2:D1898, MATCH(D3073,RulebookFields!A2:A1898, 0))="")=TRUE),  "",  INDEX(RulebookFields!D2:D1898, MATCH(D3073,RulebookFields!A2:A1898, 0))), "")</f>
        <v>PkoIndustryVersionIri</v>
      </c>
      <c r="J3073" s="4" t="b">
        <f>_xlfn.IFNA(IF(((INDEX(RulebookFields!I2:I1898, MATCH(D3073,RulebookFields!A2:A1898, 0))="")=TRUE),  "",  INDEX(RulebookFields!I2:I1898, MATCH(D3073,RulebookFields!A2:A1898, 0))), "")</f>
        <v>0</v>
      </c>
      <c r="K3073" s="4" t="b">
        <f>AND(((F3073)=TRUE), ((J3073)=TRUE))</f>
        <v>0</v>
      </c>
      <c r="L3073" s="4" t="b">
        <f>AND(((G3073 &lt;&gt; "plain")=TRUE), ((G3073 &lt;&gt; "")=TRUE))</f>
        <v>0</v>
      </c>
      <c r="M3073" s="4" t="str">
        <f>IF(((E3073)=TRUE),  C3073 &amp; "|" &amp; H3073,  "")</f>
        <v>principal-knowledge-authority|RulebookReleases</v>
      </c>
      <c r="N3073" s="3" t="s">
        <v>10004</v>
      </c>
    </row>
    <row r="3074">
      <c r="A3074" s="3" t="s">
        <v>13076</v>
      </c>
      <c r="B3074" s="4" t="str">
        <f>C3074 &amp; " -&gt; " &amp; D3074</f>
        <v>principal-knowledge-authority -&gt; RulebookReleases.IssuedAt</v>
      </c>
      <c r="C3074" s="3" t="s">
        <v>9774</v>
      </c>
      <c r="D3074" s="3" t="s">
        <v>2427</v>
      </c>
      <c r="E3074" s="3" t="b">
        <v>1</v>
      </c>
      <c r="F3074" s="3" t="b">
        <v>0</v>
      </c>
      <c r="G3074" s="3" t="s">
        <v>10003</v>
      </c>
      <c r="H3074" s="4" t="str">
        <f>_xlfn.IFNA(IF(((INDEX(RulebookFields!C2:C1898, MATCH(D3074,RulebookFields!A2:A1898, 0))="")=TRUE),  "",  INDEX(RulebookFields!C2:C1898, MATCH(D3074,RulebookFields!A2:A1898, 0))), "")</f>
        <v>RulebookReleases</v>
      </c>
      <c r="I3074" s="4" t="str">
        <f>_xlfn.IFNA(IF(((INDEX(RulebookFields!D2:D1898, MATCH(D3074,RulebookFields!A2:A1898, 0))="")=TRUE),  "",  INDEX(RulebookFields!D2:D1898, MATCH(D3074,RulebookFields!A2:A1898, 0))), "")</f>
        <v>IssuedAt</v>
      </c>
      <c r="J3074" s="4" t="b">
        <f>_xlfn.IFNA(IF(((INDEX(RulebookFields!I2:I1898, MATCH(D3074,RulebookFields!A2:A1898, 0))="")=TRUE),  "",  INDEX(RulebookFields!I2:I1898, MATCH(D3074,RulebookFields!A2:A1898, 0))), "")</f>
        <v>0</v>
      </c>
      <c r="K3074" s="4" t="b">
        <f>AND(((F3074)=TRUE), ((J3074)=TRUE))</f>
        <v>0</v>
      </c>
      <c r="L3074" s="4" t="b">
        <f>AND(((G3074 &lt;&gt; "plain")=TRUE), ((G3074 &lt;&gt; "")=TRUE))</f>
        <v>0</v>
      </c>
      <c r="M3074" s="4" t="str">
        <f>IF(((E3074)=TRUE),  C3074 &amp; "|" &amp; H3074,  "")</f>
        <v>principal-knowledge-authority|RulebookReleases</v>
      </c>
      <c r="N3074" s="3" t="s">
        <v>10004</v>
      </c>
    </row>
    <row r="3075">
      <c r="A3075" s="3" t="s">
        <v>13077</v>
      </c>
      <c r="B3075" s="4" t="str">
        <f>C3075 &amp; " -&gt; " &amp; D3075</f>
        <v>principal-knowledge-authority -&gt; RulebookReleases.Status</v>
      </c>
      <c r="C3075" s="3" t="s">
        <v>9774</v>
      </c>
      <c r="D3075" s="3" t="s">
        <v>2429</v>
      </c>
      <c r="E3075" s="3" t="b">
        <v>1</v>
      </c>
      <c r="F3075" s="3" t="b">
        <v>0</v>
      </c>
      <c r="G3075" s="3" t="s">
        <v>10003</v>
      </c>
      <c r="H3075" s="4" t="str">
        <f>_xlfn.IFNA(IF(((INDEX(RulebookFields!C2:C1898, MATCH(D3075,RulebookFields!A2:A1898, 0))="")=TRUE),  "",  INDEX(RulebookFields!C2:C1898, MATCH(D3075,RulebookFields!A2:A1898, 0))), "")</f>
        <v>RulebookReleases</v>
      </c>
      <c r="I3075" s="4" t="str">
        <f>_xlfn.IFNA(IF(((INDEX(RulebookFields!D2:D1898, MATCH(D3075,RulebookFields!A2:A1898, 0))="")=TRUE),  "",  INDEX(RulebookFields!D2:D1898, MATCH(D3075,RulebookFields!A2:A1898, 0))), "")</f>
        <v>Status</v>
      </c>
      <c r="J3075" s="4" t="b">
        <f>_xlfn.IFNA(IF(((INDEX(RulebookFields!I2:I1898, MATCH(D3075,RulebookFields!A2:A1898, 0))="")=TRUE),  "",  INDEX(RulebookFields!I2:I1898, MATCH(D3075,RulebookFields!A2:A1898, 0))), "")</f>
        <v>0</v>
      </c>
      <c r="K3075" s="4" t="b">
        <f>AND(((F3075)=TRUE), ((J3075)=TRUE))</f>
        <v>0</v>
      </c>
      <c r="L3075" s="4" t="b">
        <f>AND(((G3075 &lt;&gt; "plain")=TRUE), ((G3075 &lt;&gt; "")=TRUE))</f>
        <v>0</v>
      </c>
      <c r="M3075" s="4" t="str">
        <f>IF(((E3075)=TRUE),  C3075 &amp; "|" &amp; H3075,  "")</f>
        <v>principal-knowledge-authority|RulebookReleases</v>
      </c>
      <c r="N3075" s="3" t="s">
        <v>10004</v>
      </c>
    </row>
    <row r="3076">
      <c r="A3076" s="3" t="s">
        <v>13078</v>
      </c>
      <c r="B3076" s="4" t="str">
        <f>C3076 &amp; " -&gt; " &amp; D3076</f>
        <v>principal-knowledge-authority -&gt; RulebookReleases.Changelog</v>
      </c>
      <c r="C3076" s="3" t="s">
        <v>9774</v>
      </c>
      <c r="D3076" s="3" t="s">
        <v>2430</v>
      </c>
      <c r="E3076" s="3" t="b">
        <v>1</v>
      </c>
      <c r="F3076" s="3" t="b">
        <v>0</v>
      </c>
      <c r="G3076" s="3" t="s">
        <v>10003</v>
      </c>
      <c r="H3076" s="4" t="str">
        <f>_xlfn.IFNA(IF(((INDEX(RulebookFields!C2:C1898, MATCH(D3076,RulebookFields!A2:A1898, 0))="")=TRUE),  "",  INDEX(RulebookFields!C2:C1898, MATCH(D3076,RulebookFields!A2:A1898, 0))), "")</f>
        <v>RulebookReleases</v>
      </c>
      <c r="I3076" s="4" t="str">
        <f>_xlfn.IFNA(IF(((INDEX(RulebookFields!D2:D1898, MATCH(D3076,RulebookFields!A2:A1898, 0))="")=TRUE),  "",  INDEX(RulebookFields!D2:D1898, MATCH(D3076,RulebookFields!A2:A1898, 0))), "")</f>
        <v>Changelog</v>
      </c>
      <c r="J3076" s="4" t="b">
        <f>_xlfn.IFNA(IF(((INDEX(RulebookFields!I2:I1898, MATCH(D3076,RulebookFields!A2:A1898, 0))="")=TRUE),  "",  INDEX(RulebookFields!I2:I1898, MATCH(D3076,RulebookFields!A2:A1898, 0))), "")</f>
        <v>0</v>
      </c>
      <c r="K3076" s="4" t="b">
        <f>AND(((F3076)=TRUE), ((J3076)=TRUE))</f>
        <v>0</v>
      </c>
      <c r="L3076" s="4" t="b">
        <f>AND(((G3076 &lt;&gt; "plain")=TRUE), ((G3076 &lt;&gt; "")=TRUE))</f>
        <v>0</v>
      </c>
      <c r="M3076" s="4" t="str">
        <f>IF(((E3076)=TRUE),  C3076 &amp; "|" &amp; H3076,  "")</f>
        <v>principal-knowledge-authority|RulebookReleases</v>
      </c>
      <c r="N3076" s="3" t="s">
        <v>10004</v>
      </c>
    </row>
    <row r="3077">
      <c r="A3077" s="3" t="s">
        <v>13079</v>
      </c>
      <c r="B3077" s="4" t="str">
        <f>C3077 &amp; " -&gt; " &amp; D3077</f>
        <v>principal-knowledge-authority -&gt; RulebookReleases.IsCurrent</v>
      </c>
      <c r="C3077" s="3" t="s">
        <v>9774</v>
      </c>
      <c r="D3077" s="3" t="s">
        <v>2431</v>
      </c>
      <c r="E3077" s="3" t="b">
        <v>1</v>
      </c>
      <c r="F3077" s="3" t="b">
        <v>0</v>
      </c>
      <c r="G3077" s="3" t="s">
        <v>10003</v>
      </c>
      <c r="H3077" s="4" t="str">
        <f>_xlfn.IFNA(IF(((INDEX(RulebookFields!C2:C1898, MATCH(D3077,RulebookFields!A2:A1898, 0))="")=TRUE),  "",  INDEX(RulebookFields!C2:C1898, MATCH(D3077,RulebookFields!A2:A1898, 0))), "")</f>
        <v>RulebookReleases</v>
      </c>
      <c r="I3077" s="4" t="str">
        <f>_xlfn.IFNA(IF(((INDEX(RulebookFields!D2:D1898, MATCH(D3077,RulebookFields!A2:A1898, 0))="")=TRUE),  "",  INDEX(RulebookFields!D2:D1898, MATCH(D3077,RulebookFields!A2:A1898, 0))), "")</f>
        <v>IsCurrent</v>
      </c>
      <c r="J3077" s="4" t="b">
        <f>_xlfn.IFNA(IF(((INDEX(RulebookFields!I2:I1898, MATCH(D3077,RulebookFields!A2:A1898, 0))="")=TRUE),  "",  INDEX(RulebookFields!I2:I1898, MATCH(D3077,RulebookFields!A2:A1898, 0))), "")</f>
        <v>0</v>
      </c>
      <c r="K3077" s="4" t="b">
        <f>AND(((F3077)=TRUE), ((J3077)=TRUE))</f>
        <v>0</v>
      </c>
      <c r="L3077" s="4" t="b">
        <f>AND(((G3077 &lt;&gt; "plain")=TRUE), ((G3077 &lt;&gt; "")=TRUE))</f>
        <v>0</v>
      </c>
      <c r="M3077" s="4" t="str">
        <f>IF(((E3077)=TRUE),  C3077 &amp; "|" &amp; H3077,  "")</f>
        <v>principal-knowledge-authority|RulebookReleases</v>
      </c>
      <c r="N3077" s="3" t="s">
        <v>10004</v>
      </c>
    </row>
    <row r="3078">
      <c r="A3078" s="3" t="s">
        <v>13080</v>
      </c>
      <c r="B3078" s="4" t="str">
        <f>C3078 &amp; " -&gt; " &amp; D3078</f>
        <v>principal-knowledge-authority -&gt; SemanticMappings.SemanticMappingId</v>
      </c>
      <c r="C3078" s="3" t="s">
        <v>9774</v>
      </c>
      <c r="D3078" s="3" t="s">
        <v>4129</v>
      </c>
      <c r="E3078" s="3" t="b">
        <v>1</v>
      </c>
      <c r="F3078" s="3" t="b">
        <v>0</v>
      </c>
      <c r="G3078" s="3" t="s">
        <v>10003</v>
      </c>
      <c r="H3078" s="4" t="str">
        <f>_xlfn.IFNA(IF(((INDEX(RulebookFields!C2:C1898, MATCH(D3078,RulebookFields!A2:A1898, 0))="")=TRUE),  "",  INDEX(RulebookFields!C2:C1898, MATCH(D3078,RulebookFields!A2:A1898, 0))), "")</f>
        <v>SemanticMappings</v>
      </c>
      <c r="I3078" s="4" t="str">
        <f>_xlfn.IFNA(IF(((INDEX(RulebookFields!D2:D1898, MATCH(D3078,RulebookFields!A2:A1898, 0))="")=TRUE),  "",  INDEX(RulebookFields!D2:D1898, MATCH(D3078,RulebookFields!A2:A1898, 0))), "")</f>
        <v>SemanticMappingId</v>
      </c>
      <c r="J3078" s="4" t="b">
        <f>_xlfn.IFNA(IF(((INDEX(RulebookFields!I2:I1898, MATCH(D3078,RulebookFields!A2:A1898, 0))="")=TRUE),  "",  INDEX(RulebookFields!I2:I1898, MATCH(D3078,RulebookFields!A2:A1898, 0))), "")</f>
        <v>0</v>
      </c>
      <c r="K3078" s="4" t="b">
        <f>AND(((F3078)=TRUE), ((J3078)=TRUE))</f>
        <v>0</v>
      </c>
      <c r="L3078" s="4" t="b">
        <f>AND(((G3078 &lt;&gt; "plain")=TRUE), ((G3078 &lt;&gt; "")=TRUE))</f>
        <v>0</v>
      </c>
      <c r="M3078" s="4" t="str">
        <f>IF(((E3078)=TRUE),  C3078 &amp; "|" &amp; H3078,  "")</f>
        <v>principal-knowledge-authority|SemanticMappings</v>
      </c>
      <c r="N3078" s="3" t="s">
        <v>10004</v>
      </c>
    </row>
    <row r="3079">
      <c r="A3079" s="3" t="s">
        <v>13081</v>
      </c>
      <c r="B3079" s="4" t="str">
        <f>C3079 &amp; " -&gt; " &amp; D3079</f>
        <v>principal-knowledge-authority -&gt; SemanticMappings.Name</v>
      </c>
      <c r="C3079" s="3" t="s">
        <v>9774</v>
      </c>
      <c r="D3079" s="3" t="s">
        <v>4131</v>
      </c>
      <c r="E3079" s="3" t="b">
        <v>1</v>
      </c>
      <c r="F3079" s="3" t="b">
        <v>0</v>
      </c>
      <c r="G3079" s="3" t="s">
        <v>10003</v>
      </c>
      <c r="H3079" s="4" t="str">
        <f>_xlfn.IFNA(IF(((INDEX(RulebookFields!C2:C1898, MATCH(D3079,RulebookFields!A2:A1898, 0))="")=TRUE),  "",  INDEX(RulebookFields!C2:C1898, MATCH(D3079,RulebookFields!A2:A1898, 0))), "")</f>
        <v>SemanticMappings</v>
      </c>
      <c r="I3079" s="4" t="str">
        <f>_xlfn.IFNA(IF(((INDEX(RulebookFields!D2:D1898, MATCH(D3079,RulebookFields!A2:A1898, 0))="")=TRUE),  "",  INDEX(RulebookFields!D2:D1898, MATCH(D3079,RulebookFields!A2:A1898, 0))), "")</f>
        <v>Name</v>
      </c>
      <c r="J3079" s="4" t="b">
        <f>_xlfn.IFNA(IF(((INDEX(RulebookFields!I2:I1898, MATCH(D3079,RulebookFields!A2:A1898, 0))="")=TRUE),  "",  INDEX(RulebookFields!I2:I1898, MATCH(D3079,RulebookFields!A2:A1898, 0))), "")</f>
        <v>1</v>
      </c>
      <c r="K3079" s="4" t="b">
        <f>AND(((F3079)=TRUE), ((J3079)=TRUE))</f>
        <v>0</v>
      </c>
      <c r="L3079" s="4" t="b">
        <f>AND(((G3079 &lt;&gt; "plain")=TRUE), ((G3079 &lt;&gt; "")=TRUE))</f>
        <v>0</v>
      </c>
      <c r="M3079" s="4" t="str">
        <f>IF(((E3079)=TRUE),  C3079 &amp; "|" &amp; H3079,  "")</f>
        <v>principal-knowledge-authority|SemanticMappings</v>
      </c>
      <c r="N3079" s="3" t="s">
        <v>10004</v>
      </c>
    </row>
    <row r="3080">
      <c r="A3080" s="3" t="s">
        <v>13082</v>
      </c>
      <c r="B3080" s="4" t="str">
        <f>C3080 &amp; " -&gt; " &amp; D3080</f>
        <v>principal-knowledge-authority -&gt; SemanticMappings.SourcePath</v>
      </c>
      <c r="C3080" s="3" t="s">
        <v>9774</v>
      </c>
      <c r="D3080" s="3" t="s">
        <v>4133</v>
      </c>
      <c r="E3080" s="3" t="b">
        <v>1</v>
      </c>
      <c r="F3080" s="3" t="b">
        <v>0</v>
      </c>
      <c r="G3080" s="3" t="s">
        <v>10003</v>
      </c>
      <c r="H3080" s="4" t="str">
        <f>_xlfn.IFNA(IF(((INDEX(RulebookFields!C2:C1898, MATCH(D3080,RulebookFields!A2:A1898, 0))="")=TRUE),  "",  INDEX(RulebookFields!C2:C1898, MATCH(D3080,RulebookFields!A2:A1898, 0))), "")</f>
        <v>SemanticMappings</v>
      </c>
      <c r="I3080" s="4" t="str">
        <f>_xlfn.IFNA(IF(((INDEX(RulebookFields!D2:D1898, MATCH(D3080,RulebookFields!A2:A1898, 0))="")=TRUE),  "",  INDEX(RulebookFields!D2:D1898, MATCH(D3080,RulebookFields!A2:A1898, 0))), "")</f>
        <v>SourcePath</v>
      </c>
      <c r="J3080" s="4" t="b">
        <f>_xlfn.IFNA(IF(((INDEX(RulebookFields!I2:I1898, MATCH(D3080,RulebookFields!A2:A1898, 0))="")=TRUE),  "",  INDEX(RulebookFields!I2:I1898, MATCH(D3080,RulebookFields!A2:A1898, 0))), "")</f>
        <v>0</v>
      </c>
      <c r="K3080" s="4" t="b">
        <f>AND(((F3080)=TRUE), ((J3080)=TRUE))</f>
        <v>0</v>
      </c>
      <c r="L3080" s="4" t="b">
        <f>AND(((G3080 &lt;&gt; "plain")=TRUE), ((G3080 &lt;&gt; "")=TRUE))</f>
        <v>0</v>
      </c>
      <c r="M3080" s="4" t="str">
        <f>IF(((E3080)=TRUE),  C3080 &amp; "|" &amp; H3080,  "")</f>
        <v>principal-knowledge-authority|SemanticMappings</v>
      </c>
      <c r="N3080" s="3" t="s">
        <v>10004</v>
      </c>
    </row>
    <row r="3081">
      <c r="A3081" s="3" t="s">
        <v>13083</v>
      </c>
      <c r="B3081" s="4" t="str">
        <f>C3081 &amp; " -&gt; " &amp; D3081</f>
        <v>principal-knowledge-authority -&gt; SemanticMappings.MappingKind</v>
      </c>
      <c r="C3081" s="3" t="s">
        <v>9774</v>
      </c>
      <c r="D3081" s="3" t="s">
        <v>4134</v>
      </c>
      <c r="E3081" s="3" t="b">
        <v>1</v>
      </c>
      <c r="F3081" s="3" t="b">
        <v>0</v>
      </c>
      <c r="G3081" s="3" t="s">
        <v>10003</v>
      </c>
      <c r="H3081" s="4" t="str">
        <f>_xlfn.IFNA(IF(((INDEX(RulebookFields!C2:C1898, MATCH(D3081,RulebookFields!A2:A1898, 0))="")=TRUE),  "",  INDEX(RulebookFields!C2:C1898, MATCH(D3081,RulebookFields!A2:A1898, 0))), "")</f>
        <v>SemanticMappings</v>
      </c>
      <c r="I3081" s="4" t="str">
        <f>_xlfn.IFNA(IF(((INDEX(RulebookFields!D2:D1898, MATCH(D3081,RulebookFields!A2:A1898, 0))="")=TRUE),  "",  INDEX(RulebookFields!D2:D1898, MATCH(D3081,RulebookFields!A2:A1898, 0))), "")</f>
        <v>MappingKind</v>
      </c>
      <c r="J3081" s="4" t="b">
        <f>_xlfn.IFNA(IF(((INDEX(RulebookFields!I2:I1898, MATCH(D3081,RulebookFields!A2:A1898, 0))="")=TRUE),  "",  INDEX(RulebookFields!I2:I1898, MATCH(D3081,RulebookFields!A2:A1898, 0))), "")</f>
        <v>0</v>
      </c>
      <c r="K3081" s="4" t="b">
        <f>AND(((F3081)=TRUE), ((J3081)=TRUE))</f>
        <v>0</v>
      </c>
      <c r="L3081" s="4" t="b">
        <f>AND(((G3081 &lt;&gt; "plain")=TRUE), ((G3081 &lt;&gt; "")=TRUE))</f>
        <v>0</v>
      </c>
      <c r="M3081" s="4" t="str">
        <f>IF(((E3081)=TRUE),  C3081 &amp; "|" &amp; H3081,  "")</f>
        <v>principal-knowledge-authority|SemanticMappings</v>
      </c>
      <c r="N3081" s="3" t="s">
        <v>10004</v>
      </c>
    </row>
    <row r="3082">
      <c r="A3082" s="3" t="s">
        <v>13084</v>
      </c>
      <c r="B3082" s="4" t="str">
        <f>C3082 &amp; " -&gt; " &amp; D3082</f>
        <v>principal-knowledge-authority -&gt; SemanticMappings.TargetIri</v>
      </c>
      <c r="C3082" s="3" t="s">
        <v>9774</v>
      </c>
      <c r="D3082" s="3" t="s">
        <v>4135</v>
      </c>
      <c r="E3082" s="3" t="b">
        <v>1</v>
      </c>
      <c r="F3082" s="3" t="b">
        <v>0</v>
      </c>
      <c r="G3082" s="3" t="s">
        <v>10003</v>
      </c>
      <c r="H3082" s="4" t="str">
        <f>_xlfn.IFNA(IF(((INDEX(RulebookFields!C2:C1898, MATCH(D3082,RulebookFields!A2:A1898, 0))="")=TRUE),  "",  INDEX(RulebookFields!C2:C1898, MATCH(D3082,RulebookFields!A2:A1898, 0))), "")</f>
        <v>SemanticMappings</v>
      </c>
      <c r="I3082" s="4" t="str">
        <f>_xlfn.IFNA(IF(((INDEX(RulebookFields!D2:D1898, MATCH(D3082,RulebookFields!A2:A1898, 0))="")=TRUE),  "",  INDEX(RulebookFields!D2:D1898, MATCH(D3082,RulebookFields!A2:A1898, 0))), "")</f>
        <v>TargetIri</v>
      </c>
      <c r="J3082" s="4" t="b">
        <f>_xlfn.IFNA(IF(((INDEX(RulebookFields!I2:I1898, MATCH(D3082,RulebookFields!A2:A1898, 0))="")=TRUE),  "",  INDEX(RulebookFields!I2:I1898, MATCH(D3082,RulebookFields!A2:A1898, 0))), "")</f>
        <v>0</v>
      </c>
      <c r="K3082" s="4" t="b">
        <f>AND(((F3082)=TRUE), ((J3082)=TRUE))</f>
        <v>0</v>
      </c>
      <c r="L3082" s="4" t="b">
        <f>AND(((G3082 &lt;&gt; "plain")=TRUE), ((G3082 &lt;&gt; "")=TRUE))</f>
        <v>0</v>
      </c>
      <c r="M3082" s="4" t="str">
        <f>IF(((E3082)=TRUE),  C3082 &amp; "|" &amp; H3082,  "")</f>
        <v>principal-knowledge-authority|SemanticMappings</v>
      </c>
      <c r="N3082" s="3" t="s">
        <v>10004</v>
      </c>
    </row>
    <row r="3083">
      <c r="A3083" s="3" t="s">
        <v>13085</v>
      </c>
      <c r="B3083" s="4" t="str">
        <f>C3083 &amp; " -&gt; " &amp; D3083</f>
        <v>principal-knowledge-authority -&gt; SemanticMappings.MappingRelation</v>
      </c>
      <c r="C3083" s="3" t="s">
        <v>9774</v>
      </c>
      <c r="D3083" s="3" t="s">
        <v>4136</v>
      </c>
      <c r="E3083" s="3" t="b">
        <v>1</v>
      </c>
      <c r="F3083" s="3" t="b">
        <v>0</v>
      </c>
      <c r="G3083" s="3" t="s">
        <v>10003</v>
      </c>
      <c r="H3083" s="4" t="str">
        <f>_xlfn.IFNA(IF(((INDEX(RulebookFields!C2:C1898, MATCH(D3083,RulebookFields!A2:A1898, 0))="")=TRUE),  "",  INDEX(RulebookFields!C2:C1898, MATCH(D3083,RulebookFields!A2:A1898, 0))), "")</f>
        <v>SemanticMappings</v>
      </c>
      <c r="I3083" s="4" t="str">
        <f>_xlfn.IFNA(IF(((INDEX(RulebookFields!D2:D1898, MATCH(D3083,RulebookFields!A2:A1898, 0))="")=TRUE),  "",  INDEX(RulebookFields!D2:D1898, MATCH(D3083,RulebookFields!A2:A1898, 0))), "")</f>
        <v>MappingRelation</v>
      </c>
      <c r="J3083" s="4" t="b">
        <f>_xlfn.IFNA(IF(((INDEX(RulebookFields!I2:I1898, MATCH(D3083,RulebookFields!A2:A1898, 0))="")=TRUE),  "",  INDEX(RulebookFields!I2:I1898, MATCH(D3083,RulebookFields!A2:A1898, 0))), "")</f>
        <v>0</v>
      </c>
      <c r="K3083" s="4" t="b">
        <f>AND(((F3083)=TRUE), ((J3083)=TRUE))</f>
        <v>0</v>
      </c>
      <c r="L3083" s="4" t="b">
        <f>AND(((G3083 &lt;&gt; "plain")=TRUE), ((G3083 &lt;&gt; "")=TRUE))</f>
        <v>0</v>
      </c>
      <c r="M3083" s="4" t="str">
        <f>IF(((E3083)=TRUE),  C3083 &amp; "|" &amp; H3083,  "")</f>
        <v>principal-knowledge-authority|SemanticMappings</v>
      </c>
      <c r="N3083" s="3" t="s">
        <v>10004</v>
      </c>
    </row>
    <row r="3084">
      <c r="A3084" s="3" t="s">
        <v>13086</v>
      </c>
      <c r="B3084" s="4" t="str">
        <f>C3084 &amp; " -&gt; " &amp; D3084</f>
        <v>principal-knowledge-authority -&gt; SemanticMappings.OntologyProfile</v>
      </c>
      <c r="C3084" s="3" t="s">
        <v>9774</v>
      </c>
      <c r="D3084" s="3" t="s">
        <v>4137</v>
      </c>
      <c r="E3084" s="3" t="b">
        <v>1</v>
      </c>
      <c r="F3084" s="3" t="b">
        <v>0</v>
      </c>
      <c r="G3084" s="3" t="s">
        <v>10003</v>
      </c>
      <c r="H3084" s="4" t="str">
        <f>_xlfn.IFNA(IF(((INDEX(RulebookFields!C2:C1898, MATCH(D3084,RulebookFields!A2:A1898, 0))="")=TRUE),  "",  INDEX(RulebookFields!C2:C1898, MATCH(D3084,RulebookFields!A2:A1898, 0))), "")</f>
        <v>SemanticMappings</v>
      </c>
      <c r="I3084" s="4" t="str">
        <f>_xlfn.IFNA(IF(((INDEX(RulebookFields!D2:D1898, MATCH(D3084,RulebookFields!A2:A1898, 0))="")=TRUE),  "",  INDEX(RulebookFields!D2:D1898, MATCH(D3084,RulebookFields!A2:A1898, 0))), "")</f>
        <v>OntologyProfile</v>
      </c>
      <c r="J3084" s="4" t="b">
        <f>_xlfn.IFNA(IF(((INDEX(RulebookFields!I2:I1898, MATCH(D3084,RulebookFields!A2:A1898, 0))="")=TRUE),  "",  INDEX(RulebookFields!I2:I1898, MATCH(D3084,RulebookFields!A2:A1898, 0))), "")</f>
        <v>0</v>
      </c>
      <c r="K3084" s="4" t="b">
        <f>AND(((F3084)=TRUE), ((J3084)=TRUE))</f>
        <v>0</v>
      </c>
      <c r="L3084" s="4" t="b">
        <f>AND(((G3084 &lt;&gt; "plain")=TRUE), ((G3084 &lt;&gt; "")=TRUE))</f>
        <v>0</v>
      </c>
      <c r="M3084" s="4" t="str">
        <f>IF(((E3084)=TRUE),  C3084 &amp; "|" &amp; H3084,  "")</f>
        <v>principal-knowledge-authority|SemanticMappings</v>
      </c>
      <c r="N3084" s="3" t="s">
        <v>10004</v>
      </c>
    </row>
    <row r="3085">
      <c r="A3085" s="3" t="s">
        <v>13087</v>
      </c>
      <c r="B3085" s="4" t="str">
        <f>C3085 &amp; " -&gt; " &amp; D3085</f>
        <v>principal-knowledge-authority -&gt; SemanticMappings.Notes</v>
      </c>
      <c r="C3085" s="3" t="s">
        <v>9774</v>
      </c>
      <c r="D3085" s="3" t="s">
        <v>4138</v>
      </c>
      <c r="E3085" s="3" t="b">
        <v>1</v>
      </c>
      <c r="F3085" s="3" t="b">
        <v>0</v>
      </c>
      <c r="G3085" s="3" t="s">
        <v>10003</v>
      </c>
      <c r="H3085" s="4" t="str">
        <f>_xlfn.IFNA(IF(((INDEX(RulebookFields!C2:C1898, MATCH(D3085,RulebookFields!A2:A1898, 0))="")=TRUE),  "",  INDEX(RulebookFields!C2:C1898, MATCH(D3085,RulebookFields!A2:A1898, 0))), "")</f>
        <v>SemanticMappings</v>
      </c>
      <c r="I3085" s="4" t="str">
        <f>_xlfn.IFNA(IF(((INDEX(RulebookFields!D2:D1898, MATCH(D3085,RulebookFields!A2:A1898, 0))="")=TRUE),  "",  INDEX(RulebookFields!D2:D1898, MATCH(D3085,RulebookFields!A2:A1898, 0))), "")</f>
        <v>Notes</v>
      </c>
      <c r="J3085" s="4" t="b">
        <f>_xlfn.IFNA(IF(((INDEX(RulebookFields!I2:I1898, MATCH(D3085,RulebookFields!A2:A1898, 0))="")=TRUE),  "",  INDEX(RulebookFields!I2:I1898, MATCH(D3085,RulebookFields!A2:A1898, 0))), "")</f>
        <v>0</v>
      </c>
      <c r="K3085" s="4" t="b">
        <f>AND(((F3085)=TRUE), ((J3085)=TRUE))</f>
        <v>0</v>
      </c>
      <c r="L3085" s="4" t="b">
        <f>AND(((G3085 &lt;&gt; "plain")=TRUE), ((G3085 &lt;&gt; "")=TRUE))</f>
        <v>0</v>
      </c>
      <c r="M3085" s="4" t="str">
        <f>IF(((E3085)=TRUE),  C3085 &amp; "|" &amp; H3085,  "")</f>
        <v>principal-knowledge-authority|SemanticMappings</v>
      </c>
      <c r="N3085" s="3" t="s">
        <v>10004</v>
      </c>
    </row>
    <row r="3086">
      <c r="A3086" s="3" t="s">
        <v>13088</v>
      </c>
      <c r="B3086" s="4" t="str">
        <f>C3086 &amp; " -&gt; " &amp; D3086</f>
        <v>principal-knowledge-authority -&gt; SendIntents.SendIntentId</v>
      </c>
      <c r="C3086" s="3" t="s">
        <v>9774</v>
      </c>
      <c r="D3086" s="3" t="s">
        <v>4727</v>
      </c>
      <c r="E3086" s="3" t="b">
        <v>1</v>
      </c>
      <c r="F3086" s="3" t="b">
        <v>0</v>
      </c>
      <c r="G3086" s="3" t="s">
        <v>10003</v>
      </c>
      <c r="H3086" s="4" t="str">
        <f>_xlfn.IFNA(IF(((INDEX(RulebookFields!C2:C1898, MATCH(D3086,RulebookFields!A2:A1898, 0))="")=TRUE),  "",  INDEX(RulebookFields!C2:C1898, MATCH(D3086,RulebookFields!A2:A1898, 0))), "")</f>
        <v>SendIntents</v>
      </c>
      <c r="I3086" s="4" t="str">
        <f>_xlfn.IFNA(IF(((INDEX(RulebookFields!D2:D1898, MATCH(D3086,RulebookFields!A2:A1898, 0))="")=TRUE),  "",  INDEX(RulebookFields!D2:D1898, MATCH(D3086,RulebookFields!A2:A1898, 0))), "")</f>
        <v>SendIntentId</v>
      </c>
      <c r="J3086" s="4" t="b">
        <f>_xlfn.IFNA(IF(((INDEX(RulebookFields!I2:I1898, MATCH(D3086,RulebookFields!A2:A1898, 0))="")=TRUE),  "",  INDEX(RulebookFields!I2:I1898, MATCH(D3086,RulebookFields!A2:A1898, 0))), "")</f>
        <v>0</v>
      </c>
      <c r="K3086" s="4" t="b">
        <f>AND(((F3086)=TRUE), ((J3086)=TRUE))</f>
        <v>0</v>
      </c>
      <c r="L3086" s="4" t="b">
        <f>AND(((G3086 &lt;&gt; "plain")=TRUE), ((G3086 &lt;&gt; "")=TRUE))</f>
        <v>0</v>
      </c>
      <c r="M3086" s="4" t="str">
        <f>IF(((E3086)=TRUE),  C3086 &amp; "|" &amp; H3086,  "")</f>
        <v>principal-knowledge-authority|SendIntents</v>
      </c>
      <c r="N3086" s="3" t="s">
        <v>10004</v>
      </c>
    </row>
    <row r="3087">
      <c r="A3087" s="3" t="s">
        <v>13089</v>
      </c>
      <c r="B3087" s="4" t="str">
        <f>C3087 &amp; " -&gt; " &amp; D3087</f>
        <v>principal-knowledge-authority -&gt; SendIntents.Name</v>
      </c>
      <c r="C3087" s="3" t="s">
        <v>9774</v>
      </c>
      <c r="D3087" s="3" t="s">
        <v>4730</v>
      </c>
      <c r="E3087" s="3" t="b">
        <v>1</v>
      </c>
      <c r="F3087" s="3" t="b">
        <v>0</v>
      </c>
      <c r="G3087" s="3" t="s">
        <v>10003</v>
      </c>
      <c r="H3087" s="4" t="str">
        <f>_xlfn.IFNA(IF(((INDEX(RulebookFields!C2:C1898, MATCH(D3087,RulebookFields!A2:A1898, 0))="")=TRUE),  "",  INDEX(RulebookFields!C2:C1898, MATCH(D3087,RulebookFields!A2:A1898, 0))), "")</f>
        <v>SendIntents</v>
      </c>
      <c r="I3087" s="4" t="str">
        <f>_xlfn.IFNA(IF(((INDEX(RulebookFields!D2:D1898, MATCH(D3087,RulebookFields!A2:A1898, 0))="")=TRUE),  "",  INDEX(RulebookFields!D2:D1898, MATCH(D3087,RulebookFields!A2:A1898, 0))), "")</f>
        <v>Name</v>
      </c>
      <c r="J3087" s="4" t="b">
        <f>_xlfn.IFNA(IF(((INDEX(RulebookFields!I2:I1898, MATCH(D3087,RulebookFields!A2:A1898, 0))="")=TRUE),  "",  INDEX(RulebookFields!I2:I1898, MATCH(D3087,RulebookFields!A2:A1898, 0))), "")</f>
        <v>1</v>
      </c>
      <c r="K3087" s="4" t="b">
        <f>AND(((F3087)=TRUE), ((J3087)=TRUE))</f>
        <v>0</v>
      </c>
      <c r="L3087" s="4" t="b">
        <f>AND(((G3087 &lt;&gt; "plain")=TRUE), ((G3087 &lt;&gt; "")=TRUE))</f>
        <v>0</v>
      </c>
      <c r="M3087" s="4" t="str">
        <f>IF(((E3087)=TRUE),  C3087 &amp; "|" &amp; H3087,  "")</f>
        <v>principal-knowledge-authority|SendIntents</v>
      </c>
      <c r="N3087" s="3" t="s">
        <v>10004</v>
      </c>
    </row>
    <row r="3088">
      <c r="A3088" s="3" t="s">
        <v>13090</v>
      </c>
      <c r="B3088" s="4" t="str">
        <f>C3088 &amp; " -&gt; " &amp; D3088</f>
        <v>principal-knowledge-authority -&gt; SendIntents.ProcedureExecution</v>
      </c>
      <c r="C3088" s="3" t="s">
        <v>9774</v>
      </c>
      <c r="D3088" s="3" t="s">
        <v>4732</v>
      </c>
      <c r="E3088" s="3" t="b">
        <v>1</v>
      </c>
      <c r="F3088" s="3" t="b">
        <v>0</v>
      </c>
      <c r="G3088" s="3" t="s">
        <v>10003</v>
      </c>
      <c r="H3088" s="4" t="str">
        <f>_xlfn.IFNA(IF(((INDEX(RulebookFields!C2:C1898, MATCH(D3088,RulebookFields!A2:A1898, 0))="")=TRUE),  "",  INDEX(RulebookFields!C2:C1898, MATCH(D3088,RulebookFields!A2:A1898, 0))), "")</f>
        <v>SendIntents</v>
      </c>
      <c r="I3088" s="4" t="str">
        <f>_xlfn.IFNA(IF(((INDEX(RulebookFields!D2:D1898, MATCH(D3088,RulebookFields!A2:A1898, 0))="")=TRUE),  "",  INDEX(RulebookFields!D2:D1898, MATCH(D3088,RulebookFields!A2:A1898, 0))), "")</f>
        <v>ProcedureExecution</v>
      </c>
      <c r="J3088" s="4" t="b">
        <f>_xlfn.IFNA(IF(((INDEX(RulebookFields!I2:I1898, MATCH(D3088,RulebookFields!A2:A1898, 0))="")=TRUE),  "",  INDEX(RulebookFields!I2:I1898, MATCH(D3088,RulebookFields!A2:A1898, 0))), "")</f>
        <v>0</v>
      </c>
      <c r="K3088" s="4" t="b">
        <f>AND(((F3088)=TRUE), ((J3088)=TRUE))</f>
        <v>0</v>
      </c>
      <c r="L3088" s="4" t="b">
        <f>AND(((G3088 &lt;&gt; "plain")=TRUE), ((G3088 &lt;&gt; "")=TRUE))</f>
        <v>0</v>
      </c>
      <c r="M3088" s="4" t="str">
        <f>IF(((E3088)=TRUE),  C3088 &amp; "|" &amp; H3088,  "")</f>
        <v>principal-knowledge-authority|SendIntents</v>
      </c>
      <c r="N3088" s="3" t="s">
        <v>10004</v>
      </c>
    </row>
    <row r="3089">
      <c r="A3089" s="3" t="s">
        <v>13091</v>
      </c>
      <c r="B3089" s="4" t="str">
        <f>C3089 &amp; " -&gt; " &amp; D3089</f>
        <v>principal-knowledge-authority -&gt; SendIntents.StepExecution</v>
      </c>
      <c r="C3089" s="3" t="s">
        <v>9774</v>
      </c>
      <c r="D3089" s="3" t="s">
        <v>4733</v>
      </c>
      <c r="E3089" s="3" t="b">
        <v>1</v>
      </c>
      <c r="F3089" s="3" t="b">
        <v>0</v>
      </c>
      <c r="G3089" s="3" t="s">
        <v>10003</v>
      </c>
      <c r="H3089" s="4" t="str">
        <f>_xlfn.IFNA(IF(((INDEX(RulebookFields!C2:C1898, MATCH(D3089,RulebookFields!A2:A1898, 0))="")=TRUE),  "",  INDEX(RulebookFields!C2:C1898, MATCH(D3089,RulebookFields!A2:A1898, 0))), "")</f>
        <v>SendIntents</v>
      </c>
      <c r="I3089" s="4" t="str">
        <f>_xlfn.IFNA(IF(((INDEX(RulebookFields!D2:D1898, MATCH(D3089,RulebookFields!A2:A1898, 0))="")=TRUE),  "",  INDEX(RulebookFields!D2:D1898, MATCH(D3089,RulebookFields!A2:A1898, 0))), "")</f>
        <v>StepExecution</v>
      </c>
      <c r="J3089" s="4" t="b">
        <f>_xlfn.IFNA(IF(((INDEX(RulebookFields!I2:I1898, MATCH(D3089,RulebookFields!A2:A1898, 0))="")=TRUE),  "",  INDEX(RulebookFields!I2:I1898, MATCH(D3089,RulebookFields!A2:A1898, 0))), "")</f>
        <v>0</v>
      </c>
      <c r="K3089" s="4" t="b">
        <f>AND(((F3089)=TRUE), ((J3089)=TRUE))</f>
        <v>0</v>
      </c>
      <c r="L3089" s="4" t="b">
        <f>AND(((G3089 &lt;&gt; "plain")=TRUE), ((G3089 &lt;&gt; "")=TRUE))</f>
        <v>0</v>
      </c>
      <c r="M3089" s="4" t="str">
        <f>IF(((E3089)=TRUE),  C3089 &amp; "|" &amp; H3089,  "")</f>
        <v>principal-knowledge-authority|SendIntents</v>
      </c>
      <c r="N3089" s="3" t="s">
        <v>10004</v>
      </c>
    </row>
    <row r="3090">
      <c r="A3090" s="3" t="s">
        <v>13092</v>
      </c>
      <c r="B3090" s="4" t="str">
        <f>C3090 &amp; " -&gt; " &amp; D3090</f>
        <v>principal-knowledge-authority -&gt; SendIntents.Recipient</v>
      </c>
      <c r="C3090" s="3" t="s">
        <v>9774</v>
      </c>
      <c r="D3090" s="3" t="s">
        <v>4734</v>
      </c>
      <c r="E3090" s="3" t="b">
        <v>1</v>
      </c>
      <c r="F3090" s="3" t="b">
        <v>0</v>
      </c>
      <c r="G3090" s="3" t="s">
        <v>10003</v>
      </c>
      <c r="H3090" s="4" t="str">
        <f>_xlfn.IFNA(IF(((INDEX(RulebookFields!C2:C1898, MATCH(D3090,RulebookFields!A2:A1898, 0))="")=TRUE),  "",  INDEX(RulebookFields!C2:C1898, MATCH(D3090,RulebookFields!A2:A1898, 0))), "")</f>
        <v>SendIntents</v>
      </c>
      <c r="I3090" s="4" t="str">
        <f>_xlfn.IFNA(IF(((INDEX(RulebookFields!D2:D1898, MATCH(D3090,RulebookFields!A2:A1898, 0))="")=TRUE),  "",  INDEX(RulebookFields!D2:D1898, MATCH(D3090,RulebookFields!A2:A1898, 0))), "")</f>
        <v>Recipient</v>
      </c>
      <c r="J3090" s="4" t="b">
        <f>_xlfn.IFNA(IF(((INDEX(RulebookFields!I2:I1898, MATCH(D3090,RulebookFields!A2:A1898, 0))="")=TRUE),  "",  INDEX(RulebookFields!I2:I1898, MATCH(D3090,RulebookFields!A2:A1898, 0))), "")</f>
        <v>0</v>
      </c>
      <c r="K3090" s="4" t="b">
        <f>AND(((F3090)=TRUE), ((J3090)=TRUE))</f>
        <v>0</v>
      </c>
      <c r="L3090" s="4" t="b">
        <f>AND(((G3090 &lt;&gt; "plain")=TRUE), ((G3090 &lt;&gt; "")=TRUE))</f>
        <v>0</v>
      </c>
      <c r="M3090" s="4" t="str">
        <f>IF(((E3090)=TRUE),  C3090 &amp; "|" &amp; H3090,  "")</f>
        <v>principal-knowledge-authority|SendIntents</v>
      </c>
      <c r="N3090" s="3" t="s">
        <v>10004</v>
      </c>
    </row>
    <row r="3091">
      <c r="A3091" s="3" t="s">
        <v>13093</v>
      </c>
      <c r="B3091" s="4" t="str">
        <f>C3091 &amp; " -&gt; " &amp; D3091</f>
        <v>principal-knowledge-authority -&gt; SendIntents.MessageTemplate</v>
      </c>
      <c r="C3091" s="3" t="s">
        <v>9774</v>
      </c>
      <c r="D3091" s="3" t="s">
        <v>4735</v>
      </c>
      <c r="E3091" s="3" t="b">
        <v>1</v>
      </c>
      <c r="F3091" s="3" t="b">
        <v>0</v>
      </c>
      <c r="G3091" s="3" t="s">
        <v>10003</v>
      </c>
      <c r="H3091" s="4" t="str">
        <f>_xlfn.IFNA(IF(((INDEX(RulebookFields!C2:C1898, MATCH(D3091,RulebookFields!A2:A1898, 0))="")=TRUE),  "",  INDEX(RulebookFields!C2:C1898, MATCH(D3091,RulebookFields!A2:A1898, 0))), "")</f>
        <v>SendIntents</v>
      </c>
      <c r="I3091" s="4" t="str">
        <f>_xlfn.IFNA(IF(((INDEX(RulebookFields!D2:D1898, MATCH(D3091,RulebookFields!A2:A1898, 0))="")=TRUE),  "",  INDEX(RulebookFields!D2:D1898, MATCH(D3091,RulebookFields!A2:A1898, 0))), "")</f>
        <v>MessageTemplate</v>
      </c>
      <c r="J3091" s="4" t="b">
        <f>_xlfn.IFNA(IF(((INDEX(RulebookFields!I2:I1898, MATCH(D3091,RulebookFields!A2:A1898, 0))="")=TRUE),  "",  INDEX(RulebookFields!I2:I1898, MATCH(D3091,RulebookFields!A2:A1898, 0))), "")</f>
        <v>0</v>
      </c>
      <c r="K3091" s="4" t="b">
        <f>AND(((F3091)=TRUE), ((J3091)=TRUE))</f>
        <v>0</v>
      </c>
      <c r="L3091" s="4" t="b">
        <f>AND(((G3091 &lt;&gt; "plain")=TRUE), ((G3091 &lt;&gt; "")=TRUE))</f>
        <v>0</v>
      </c>
      <c r="M3091" s="4" t="str">
        <f>IF(((E3091)=TRUE),  C3091 &amp; "|" &amp; H3091,  "")</f>
        <v>principal-knowledge-authority|SendIntents</v>
      </c>
      <c r="N3091" s="3" t="s">
        <v>10004</v>
      </c>
    </row>
    <row r="3092">
      <c r="A3092" s="3" t="s">
        <v>13094</v>
      </c>
      <c r="B3092" s="4" t="str">
        <f>C3092 &amp; " -&gt; " &amp; D3092</f>
        <v>principal-knowledge-authority -&gt; SendIntents.ProposedBody</v>
      </c>
      <c r="C3092" s="3" t="s">
        <v>9774</v>
      </c>
      <c r="D3092" s="3" t="s">
        <v>4736</v>
      </c>
      <c r="E3092" s="3" t="b">
        <v>1</v>
      </c>
      <c r="F3092" s="3" t="b">
        <v>0</v>
      </c>
      <c r="G3092" s="3" t="s">
        <v>10003</v>
      </c>
      <c r="H3092" s="4" t="str">
        <f>_xlfn.IFNA(IF(((INDEX(RulebookFields!C2:C1898, MATCH(D3092,RulebookFields!A2:A1898, 0))="")=TRUE),  "",  INDEX(RulebookFields!C2:C1898, MATCH(D3092,RulebookFields!A2:A1898, 0))), "")</f>
        <v>SendIntents</v>
      </c>
      <c r="I3092" s="4" t="str">
        <f>_xlfn.IFNA(IF(((INDEX(RulebookFields!D2:D1898, MATCH(D3092,RulebookFields!A2:A1898, 0))="")=TRUE),  "",  INDEX(RulebookFields!D2:D1898, MATCH(D3092,RulebookFields!A2:A1898, 0))), "")</f>
        <v>ProposedBody</v>
      </c>
      <c r="J3092" s="4" t="b">
        <f>_xlfn.IFNA(IF(((INDEX(RulebookFields!I2:I1898, MATCH(D3092,RulebookFields!A2:A1898, 0))="")=TRUE),  "",  INDEX(RulebookFields!I2:I1898, MATCH(D3092,RulebookFields!A2:A1898, 0))), "")</f>
        <v>0</v>
      </c>
      <c r="K3092" s="4" t="b">
        <f>AND(((F3092)=TRUE), ((J3092)=TRUE))</f>
        <v>0</v>
      </c>
      <c r="L3092" s="4" t="b">
        <f>AND(((G3092 &lt;&gt; "plain")=TRUE), ((G3092 &lt;&gt; "")=TRUE))</f>
        <v>0</v>
      </c>
      <c r="M3092" s="4" t="str">
        <f>IF(((E3092)=TRUE),  C3092 &amp; "|" &amp; H3092,  "")</f>
        <v>principal-knowledge-authority|SendIntents</v>
      </c>
      <c r="N3092" s="3" t="s">
        <v>10004</v>
      </c>
    </row>
    <row r="3093">
      <c r="A3093" s="3" t="s">
        <v>13095</v>
      </c>
      <c r="B3093" s="4" t="str">
        <f>C3093 &amp; " -&gt; " &amp; D3093</f>
        <v>principal-knowledge-authority -&gt; SendIntents.ProposedSendAtLocalHour</v>
      </c>
      <c r="C3093" s="3" t="s">
        <v>9774</v>
      </c>
      <c r="D3093" s="3" t="s">
        <v>4738</v>
      </c>
      <c r="E3093" s="3" t="b">
        <v>1</v>
      </c>
      <c r="F3093" s="3" t="b">
        <v>0</v>
      </c>
      <c r="G3093" s="3" t="s">
        <v>10003</v>
      </c>
      <c r="H3093" s="4" t="str">
        <f>_xlfn.IFNA(IF(((INDEX(RulebookFields!C2:C1898, MATCH(D3093,RulebookFields!A2:A1898, 0))="")=TRUE),  "",  INDEX(RulebookFields!C2:C1898, MATCH(D3093,RulebookFields!A2:A1898, 0))), "")</f>
        <v>SendIntents</v>
      </c>
      <c r="I3093" s="4" t="str">
        <f>_xlfn.IFNA(IF(((INDEX(RulebookFields!D2:D1898, MATCH(D3093,RulebookFields!A2:A1898, 0))="")=TRUE),  "",  INDEX(RulebookFields!D2:D1898, MATCH(D3093,RulebookFields!A2:A1898, 0))), "")</f>
        <v>ProposedSendAtLocalHour</v>
      </c>
      <c r="J3093" s="4" t="b">
        <f>_xlfn.IFNA(IF(((INDEX(RulebookFields!I2:I1898, MATCH(D3093,RulebookFields!A2:A1898, 0))="")=TRUE),  "",  INDEX(RulebookFields!I2:I1898, MATCH(D3093,RulebookFields!A2:A1898, 0))), "")</f>
        <v>0</v>
      </c>
      <c r="K3093" s="4" t="b">
        <f>AND(((F3093)=TRUE), ((J3093)=TRUE))</f>
        <v>0</v>
      </c>
      <c r="L3093" s="4" t="b">
        <f>AND(((G3093 &lt;&gt; "plain")=TRUE), ((G3093 &lt;&gt; "")=TRUE))</f>
        <v>0</v>
      </c>
      <c r="M3093" s="4" t="str">
        <f>IF(((E3093)=TRUE),  C3093 &amp; "|" &amp; H3093,  "")</f>
        <v>principal-knowledge-authority|SendIntents</v>
      </c>
      <c r="N3093" s="3" t="s">
        <v>10004</v>
      </c>
    </row>
    <row r="3094">
      <c r="A3094" s="3" t="s">
        <v>13096</v>
      </c>
      <c r="B3094" s="4" t="str">
        <f>C3094 &amp; " -&gt; " &amp; D3094</f>
        <v>principal-knowledge-authority -&gt; SendIntents.EvaluatedAt</v>
      </c>
      <c r="C3094" s="3" t="s">
        <v>9774</v>
      </c>
      <c r="D3094" s="3" t="s">
        <v>4740</v>
      </c>
      <c r="E3094" s="3" t="b">
        <v>1</v>
      </c>
      <c r="F3094" s="3" t="b">
        <v>0</v>
      </c>
      <c r="G3094" s="3" t="s">
        <v>10003</v>
      </c>
      <c r="H3094" s="4" t="str">
        <f>_xlfn.IFNA(IF(((INDEX(RulebookFields!C2:C1898, MATCH(D3094,RulebookFields!A2:A1898, 0))="")=TRUE),  "",  INDEX(RulebookFields!C2:C1898, MATCH(D3094,RulebookFields!A2:A1898, 0))), "")</f>
        <v>SendIntents</v>
      </c>
      <c r="I3094" s="4" t="str">
        <f>_xlfn.IFNA(IF(((INDEX(RulebookFields!D2:D1898, MATCH(D3094,RulebookFields!A2:A1898, 0))="")=TRUE),  "",  INDEX(RulebookFields!D2:D1898, MATCH(D3094,RulebookFields!A2:A1898, 0))), "")</f>
        <v>EvaluatedAt</v>
      </c>
      <c r="J3094" s="4" t="b">
        <f>_xlfn.IFNA(IF(((INDEX(RulebookFields!I2:I1898, MATCH(D3094,RulebookFields!A2:A1898, 0))="")=TRUE),  "",  INDEX(RulebookFields!I2:I1898, MATCH(D3094,RulebookFields!A2:A1898, 0))), "")</f>
        <v>0</v>
      </c>
      <c r="K3094" s="4" t="b">
        <f>AND(((F3094)=TRUE), ((J3094)=TRUE))</f>
        <v>0</v>
      </c>
      <c r="L3094" s="4" t="b">
        <f>AND(((G3094 &lt;&gt; "plain")=TRUE), ((G3094 &lt;&gt; "")=TRUE))</f>
        <v>0</v>
      </c>
      <c r="M3094" s="4" t="str">
        <f>IF(((E3094)=TRUE),  C3094 &amp; "|" &amp; H3094,  "")</f>
        <v>principal-knowledge-authority|SendIntents</v>
      </c>
      <c r="N3094" s="3" t="s">
        <v>10004</v>
      </c>
    </row>
    <row r="3095">
      <c r="A3095" s="3" t="s">
        <v>13097</v>
      </c>
      <c r="B3095" s="4" t="str">
        <f>C3095 &amp; " -&gt; " &amp; D3095</f>
        <v>principal-knowledge-authority -&gt; SendIntents.ResultingDelivery</v>
      </c>
      <c r="C3095" s="3" t="s">
        <v>9774</v>
      </c>
      <c r="D3095" s="3" t="s">
        <v>4741</v>
      </c>
      <c r="E3095" s="3" t="b">
        <v>1</v>
      </c>
      <c r="F3095" s="3" t="b">
        <v>0</v>
      </c>
      <c r="G3095" s="3" t="s">
        <v>10003</v>
      </c>
      <c r="H3095" s="4" t="str">
        <f>_xlfn.IFNA(IF(((INDEX(RulebookFields!C2:C1898, MATCH(D3095,RulebookFields!A2:A1898, 0))="")=TRUE),  "",  INDEX(RulebookFields!C2:C1898, MATCH(D3095,RulebookFields!A2:A1898, 0))), "")</f>
        <v>SendIntents</v>
      </c>
      <c r="I3095" s="4" t="str">
        <f>_xlfn.IFNA(IF(((INDEX(RulebookFields!D2:D1898, MATCH(D3095,RulebookFields!A2:A1898, 0))="")=TRUE),  "",  INDEX(RulebookFields!D2:D1898, MATCH(D3095,RulebookFields!A2:A1898, 0))), "")</f>
        <v>ResultingDelivery</v>
      </c>
      <c r="J3095" s="4" t="b">
        <f>_xlfn.IFNA(IF(((INDEX(RulebookFields!I2:I1898, MATCH(D3095,RulebookFields!A2:A1898, 0))="")=TRUE),  "",  INDEX(RulebookFields!I2:I1898, MATCH(D3095,RulebookFields!A2:A1898, 0))), "")</f>
        <v>0</v>
      </c>
      <c r="K3095" s="4" t="b">
        <f>AND(((F3095)=TRUE), ((J3095)=TRUE))</f>
        <v>0</v>
      </c>
      <c r="L3095" s="4" t="b">
        <f>AND(((G3095 &lt;&gt; "plain")=TRUE), ((G3095 &lt;&gt; "")=TRUE))</f>
        <v>0</v>
      </c>
      <c r="M3095" s="4" t="str">
        <f>IF(((E3095)=TRUE),  C3095 &amp; "|" &amp; H3095,  "")</f>
        <v>principal-knowledge-authority|SendIntents</v>
      </c>
      <c r="N3095" s="3" t="s">
        <v>10004</v>
      </c>
    </row>
    <row r="3096">
      <c r="A3096" s="3" t="s">
        <v>13098</v>
      </c>
      <c r="B3096" s="4" t="str">
        <f>C3096 &amp; " -&gt; " &amp; D3096</f>
        <v>principal-knowledge-authority -&gt; SendIntents.IntentPolicy</v>
      </c>
      <c r="C3096" s="3" t="s">
        <v>9774</v>
      </c>
      <c r="D3096" s="3" t="s">
        <v>4743</v>
      </c>
      <c r="E3096" s="3" t="b">
        <v>1</v>
      </c>
      <c r="F3096" s="3" t="b">
        <v>0</v>
      </c>
      <c r="G3096" s="3" t="s">
        <v>10003</v>
      </c>
      <c r="H3096" s="4" t="str">
        <f>_xlfn.IFNA(IF(((INDEX(RulebookFields!C2:C1898, MATCH(D3096,RulebookFields!A2:A1898, 0))="")=TRUE),  "",  INDEX(RulebookFields!C2:C1898, MATCH(D3096,RulebookFields!A2:A1898, 0))), "")</f>
        <v>SendIntents</v>
      </c>
      <c r="I3096" s="4" t="str">
        <f>_xlfn.IFNA(IF(((INDEX(RulebookFields!D2:D1898, MATCH(D3096,RulebookFields!A2:A1898, 0))="")=TRUE),  "",  INDEX(RulebookFields!D2:D1898, MATCH(D3096,RulebookFields!A2:A1898, 0))), "")</f>
        <v>IntentPolicy</v>
      </c>
      <c r="J3096" s="4" t="b">
        <f>_xlfn.IFNA(IF(((INDEX(RulebookFields!I2:I1898, MATCH(D3096,RulebookFields!A2:A1898, 0))="")=TRUE),  "",  INDEX(RulebookFields!I2:I1898, MATCH(D3096,RulebookFields!A2:A1898, 0))), "")</f>
        <v>1</v>
      </c>
      <c r="K3096" s="4" t="b">
        <f>AND(((F3096)=TRUE), ((J3096)=TRUE))</f>
        <v>0</v>
      </c>
      <c r="L3096" s="4" t="b">
        <f>AND(((G3096 &lt;&gt; "plain")=TRUE), ((G3096 &lt;&gt; "")=TRUE))</f>
        <v>0</v>
      </c>
      <c r="M3096" s="4" t="str">
        <f>IF(((E3096)=TRUE),  C3096 &amp; "|" &amp; H3096,  "")</f>
        <v>principal-knowledge-authority|SendIntents</v>
      </c>
      <c r="N3096" s="3" t="s">
        <v>10004</v>
      </c>
    </row>
    <row r="3097">
      <c r="A3097" s="3" t="s">
        <v>13099</v>
      </c>
      <c r="B3097" s="4" t="str">
        <f>C3097 &amp; " -&gt; " &amp; D3097</f>
        <v>principal-knowledge-authority -&gt; SendIntents.IntentChannel</v>
      </c>
      <c r="C3097" s="3" t="s">
        <v>9774</v>
      </c>
      <c r="D3097" s="3" t="s">
        <v>4745</v>
      </c>
      <c r="E3097" s="3" t="b">
        <v>1</v>
      </c>
      <c r="F3097" s="3" t="b">
        <v>0</v>
      </c>
      <c r="G3097" s="3" t="s">
        <v>10003</v>
      </c>
      <c r="H3097" s="4" t="str">
        <f>_xlfn.IFNA(IF(((INDEX(RulebookFields!C2:C1898, MATCH(D3097,RulebookFields!A2:A1898, 0))="")=TRUE),  "",  INDEX(RulebookFields!C2:C1898, MATCH(D3097,RulebookFields!A2:A1898, 0))), "")</f>
        <v>SendIntents</v>
      </c>
      <c r="I3097" s="4" t="str">
        <f>_xlfn.IFNA(IF(((INDEX(RulebookFields!D2:D1898, MATCH(D3097,RulebookFields!A2:A1898, 0))="")=TRUE),  "",  INDEX(RulebookFields!D2:D1898, MATCH(D3097,RulebookFields!A2:A1898, 0))), "")</f>
        <v>IntentChannel</v>
      </c>
      <c r="J3097" s="4" t="b">
        <f>_xlfn.IFNA(IF(((INDEX(RulebookFields!I2:I1898, MATCH(D3097,RulebookFields!A2:A1898, 0))="")=TRUE),  "",  INDEX(RulebookFields!I2:I1898, MATCH(D3097,RulebookFields!A2:A1898, 0))), "")</f>
        <v>1</v>
      </c>
      <c r="K3097" s="4" t="b">
        <f>AND(((F3097)=TRUE), ((J3097)=TRUE))</f>
        <v>0</v>
      </c>
      <c r="L3097" s="4" t="b">
        <f>AND(((G3097 &lt;&gt; "plain")=TRUE), ((G3097 &lt;&gt; "")=TRUE))</f>
        <v>0</v>
      </c>
      <c r="M3097" s="4" t="str">
        <f>IF(((E3097)=TRUE),  C3097 &amp; "|" &amp; H3097,  "")</f>
        <v>principal-knowledge-authority|SendIntents</v>
      </c>
      <c r="N3097" s="3" t="s">
        <v>10004</v>
      </c>
    </row>
    <row r="3098">
      <c r="A3098" s="3" t="s">
        <v>13100</v>
      </c>
      <c r="B3098" s="4" t="str">
        <f>C3098 &amp; " -&gt; " &amp; D3098</f>
        <v>principal-knowledge-authority -&gt; SendIntents.PolicyIsActive</v>
      </c>
      <c r="C3098" s="3" t="s">
        <v>9774</v>
      </c>
      <c r="D3098" s="3" t="s">
        <v>4748</v>
      </c>
      <c r="E3098" s="3" t="b">
        <v>1</v>
      </c>
      <c r="F3098" s="3" t="b">
        <v>0</v>
      </c>
      <c r="G3098" s="3" t="s">
        <v>10003</v>
      </c>
      <c r="H3098" s="4" t="str">
        <f>_xlfn.IFNA(IF(((INDEX(RulebookFields!C2:C1898, MATCH(D3098,RulebookFields!A2:A1898, 0))="")=TRUE),  "",  INDEX(RulebookFields!C2:C1898, MATCH(D3098,RulebookFields!A2:A1898, 0))), "")</f>
        <v>SendIntents</v>
      </c>
      <c r="I3098" s="4" t="str">
        <f>_xlfn.IFNA(IF(((INDEX(RulebookFields!D2:D1898, MATCH(D3098,RulebookFields!A2:A1898, 0))="")=TRUE),  "",  INDEX(RulebookFields!D2:D1898, MATCH(D3098,RulebookFields!A2:A1898, 0))), "")</f>
        <v>PolicyIsActive</v>
      </c>
      <c r="J3098" s="4" t="b">
        <f>_xlfn.IFNA(IF(((INDEX(RulebookFields!I2:I1898, MATCH(D3098,RulebookFields!A2:A1898, 0))="")=TRUE),  "",  INDEX(RulebookFields!I2:I1898, MATCH(D3098,RulebookFields!A2:A1898, 0))), "")</f>
        <v>1</v>
      </c>
      <c r="K3098" s="4" t="b">
        <f>AND(((F3098)=TRUE), ((J3098)=TRUE))</f>
        <v>0</v>
      </c>
      <c r="L3098" s="4" t="b">
        <f>AND(((G3098 &lt;&gt; "plain")=TRUE), ((G3098 &lt;&gt; "")=TRUE))</f>
        <v>0</v>
      </c>
      <c r="M3098" s="4" t="str">
        <f>IF(((E3098)=TRUE),  C3098 &amp; "|" &amp; H3098,  "")</f>
        <v>principal-knowledge-authority|SendIntents</v>
      </c>
      <c r="N3098" s="3" t="s">
        <v>10004</v>
      </c>
    </row>
    <row r="3099">
      <c r="A3099" s="3" t="s">
        <v>13101</v>
      </c>
      <c r="B3099" s="4" t="str">
        <f>C3099 &amp; " -&gt; " &amp; D3099</f>
        <v>principal-knowledge-authority -&gt; SendIntents.IntentRequiresConsent</v>
      </c>
      <c r="C3099" s="3" t="s">
        <v>9774</v>
      </c>
      <c r="D3099" s="3" t="s">
        <v>4751</v>
      </c>
      <c r="E3099" s="3" t="b">
        <v>1</v>
      </c>
      <c r="F3099" s="3" t="b">
        <v>0</v>
      </c>
      <c r="G3099" s="3" t="s">
        <v>10003</v>
      </c>
      <c r="H3099" s="4" t="str">
        <f>_xlfn.IFNA(IF(((INDEX(RulebookFields!C2:C1898, MATCH(D3099,RulebookFields!A2:A1898, 0))="")=TRUE),  "",  INDEX(RulebookFields!C2:C1898, MATCH(D3099,RulebookFields!A2:A1898, 0))), "")</f>
        <v>SendIntents</v>
      </c>
      <c r="I3099" s="4" t="str">
        <f>_xlfn.IFNA(IF(((INDEX(RulebookFields!D2:D1898, MATCH(D3099,RulebookFields!A2:A1898, 0))="")=TRUE),  "",  INDEX(RulebookFields!D2:D1898, MATCH(D3099,RulebookFields!A2:A1898, 0))), "")</f>
        <v>IntentRequiresConsent</v>
      </c>
      <c r="J3099" s="4" t="b">
        <f>_xlfn.IFNA(IF(((INDEX(RulebookFields!I2:I1898, MATCH(D3099,RulebookFields!A2:A1898, 0))="")=TRUE),  "",  INDEX(RulebookFields!I2:I1898, MATCH(D3099,RulebookFields!A2:A1898, 0))), "")</f>
        <v>1</v>
      </c>
      <c r="K3099" s="4" t="b">
        <f>AND(((F3099)=TRUE), ((J3099)=TRUE))</f>
        <v>0</v>
      </c>
      <c r="L3099" s="4" t="b">
        <f>AND(((G3099 &lt;&gt; "plain")=TRUE), ((G3099 &lt;&gt; "")=TRUE))</f>
        <v>0</v>
      </c>
      <c r="M3099" s="4" t="str">
        <f>IF(((E3099)=TRUE),  C3099 &amp; "|" &amp; H3099,  "")</f>
        <v>principal-knowledge-authority|SendIntents</v>
      </c>
      <c r="N3099" s="3" t="s">
        <v>10004</v>
      </c>
    </row>
    <row r="3100">
      <c r="A3100" s="3" t="s">
        <v>13102</v>
      </c>
      <c r="B3100" s="4" t="str">
        <f>C3100 &amp; " -&gt; " &amp; D3100</f>
        <v>principal-knowledge-authority -&gt; SendIntents.RecipientHasChannelConsent</v>
      </c>
      <c r="C3100" s="3" t="s">
        <v>9774</v>
      </c>
      <c r="D3100" s="3" t="s">
        <v>4754</v>
      </c>
      <c r="E3100" s="3" t="b">
        <v>1</v>
      </c>
      <c r="F3100" s="3" t="b">
        <v>0</v>
      </c>
      <c r="G3100" s="3" t="s">
        <v>10003</v>
      </c>
      <c r="H3100" s="4" t="str">
        <f>_xlfn.IFNA(IF(((INDEX(RulebookFields!C2:C1898, MATCH(D3100,RulebookFields!A2:A1898, 0))="")=TRUE),  "",  INDEX(RulebookFields!C2:C1898, MATCH(D3100,RulebookFields!A2:A1898, 0))), "")</f>
        <v>SendIntents</v>
      </c>
      <c r="I3100" s="4" t="str">
        <f>_xlfn.IFNA(IF(((INDEX(RulebookFields!D2:D1898, MATCH(D3100,RulebookFields!A2:A1898, 0))="")=TRUE),  "",  INDEX(RulebookFields!D2:D1898, MATCH(D3100,RulebookFields!A2:A1898, 0))), "")</f>
        <v>RecipientHasChannelConsent</v>
      </c>
      <c r="J3100" s="4" t="b">
        <f>_xlfn.IFNA(IF(((INDEX(RulebookFields!I2:I1898, MATCH(D3100,RulebookFields!A2:A1898, 0))="")=TRUE),  "",  INDEX(RulebookFields!I2:I1898, MATCH(D3100,RulebookFields!A2:A1898, 0))), "")</f>
        <v>1</v>
      </c>
      <c r="K3100" s="4" t="b">
        <f>AND(((F3100)=TRUE), ((J3100)=TRUE))</f>
        <v>0</v>
      </c>
      <c r="L3100" s="4" t="b">
        <f>AND(((G3100 &lt;&gt; "plain")=TRUE), ((G3100 &lt;&gt; "")=TRUE))</f>
        <v>0</v>
      </c>
      <c r="M3100" s="4" t="str">
        <f>IF(((E3100)=TRUE),  C3100 &amp; "|" &amp; H3100,  "")</f>
        <v>principal-knowledge-authority|SendIntents</v>
      </c>
      <c r="N3100" s="3" t="s">
        <v>10004</v>
      </c>
    </row>
    <row r="3101">
      <c r="A3101" s="3" t="s">
        <v>13103</v>
      </c>
      <c r="B3101" s="4" t="str">
        <f>C3101 &amp; " -&gt; " &amp; D3101</f>
        <v>principal-knowledge-authority -&gt; SendIntents.ConsentGatePassed</v>
      </c>
      <c r="C3101" s="3" t="s">
        <v>9774</v>
      </c>
      <c r="D3101" s="3" t="s">
        <v>4756</v>
      </c>
      <c r="E3101" s="3" t="b">
        <v>1</v>
      </c>
      <c r="F3101" s="3" t="b">
        <v>0</v>
      </c>
      <c r="G3101" s="3" t="s">
        <v>10003</v>
      </c>
      <c r="H3101" s="4" t="str">
        <f>_xlfn.IFNA(IF(((INDEX(RulebookFields!C2:C1898, MATCH(D3101,RulebookFields!A2:A1898, 0))="")=TRUE),  "",  INDEX(RulebookFields!C2:C1898, MATCH(D3101,RulebookFields!A2:A1898, 0))), "")</f>
        <v>SendIntents</v>
      </c>
      <c r="I3101" s="4" t="str">
        <f>_xlfn.IFNA(IF(((INDEX(RulebookFields!D2:D1898, MATCH(D3101,RulebookFields!A2:A1898, 0))="")=TRUE),  "",  INDEX(RulebookFields!D2:D1898, MATCH(D3101,RulebookFields!A2:A1898, 0))), "")</f>
        <v>ConsentGatePassed</v>
      </c>
      <c r="J3101" s="4" t="b">
        <f>_xlfn.IFNA(IF(((INDEX(RulebookFields!I2:I1898, MATCH(D3101,RulebookFields!A2:A1898, 0))="")=TRUE),  "",  INDEX(RulebookFields!I2:I1898, MATCH(D3101,RulebookFields!A2:A1898, 0))), "")</f>
        <v>1</v>
      </c>
      <c r="K3101" s="4" t="b">
        <f>AND(((F3101)=TRUE), ((J3101)=TRUE))</f>
        <v>0</v>
      </c>
      <c r="L3101" s="4" t="b">
        <f>AND(((G3101 &lt;&gt; "plain")=TRUE), ((G3101 &lt;&gt; "")=TRUE))</f>
        <v>0</v>
      </c>
      <c r="M3101" s="4" t="str">
        <f>IF(((E3101)=TRUE),  C3101 &amp; "|" &amp; H3101,  "")</f>
        <v>principal-knowledge-authority|SendIntents</v>
      </c>
      <c r="N3101" s="3" t="s">
        <v>10004</v>
      </c>
    </row>
    <row r="3102">
      <c r="A3102" s="3" t="s">
        <v>13104</v>
      </c>
      <c r="B3102" s="4" t="str">
        <f>C3102 &amp; " -&gt; " &amp; D3102</f>
        <v>principal-knowledge-authority -&gt; SendIntents.RecipientIsSmsReachable</v>
      </c>
      <c r="C3102" s="3" t="s">
        <v>9774</v>
      </c>
      <c r="D3102" s="3" t="s">
        <v>4759</v>
      </c>
      <c r="E3102" s="3" t="b">
        <v>1</v>
      </c>
      <c r="F3102" s="3" t="b">
        <v>0</v>
      </c>
      <c r="G3102" s="3" t="s">
        <v>10003</v>
      </c>
      <c r="H3102" s="4" t="str">
        <f>_xlfn.IFNA(IF(((INDEX(RulebookFields!C2:C1898, MATCH(D3102,RulebookFields!A2:A1898, 0))="")=TRUE),  "",  INDEX(RulebookFields!C2:C1898, MATCH(D3102,RulebookFields!A2:A1898, 0))), "")</f>
        <v>SendIntents</v>
      </c>
      <c r="I3102" s="4" t="str">
        <f>_xlfn.IFNA(IF(((INDEX(RulebookFields!D2:D1898, MATCH(D3102,RulebookFields!A2:A1898, 0))="")=TRUE),  "",  INDEX(RulebookFields!D2:D1898, MATCH(D3102,RulebookFields!A2:A1898, 0))), "")</f>
        <v>RecipientIsSmsReachable</v>
      </c>
      <c r="J3102" s="4" t="b">
        <f>_xlfn.IFNA(IF(((INDEX(RulebookFields!I2:I1898, MATCH(D3102,RulebookFields!A2:A1898, 0))="")=TRUE),  "",  INDEX(RulebookFields!I2:I1898, MATCH(D3102,RulebookFields!A2:A1898, 0))), "")</f>
        <v>1</v>
      </c>
      <c r="K3102" s="4" t="b">
        <f>AND(((F3102)=TRUE), ((J3102)=TRUE))</f>
        <v>0</v>
      </c>
      <c r="L3102" s="4" t="b">
        <f>AND(((G3102 &lt;&gt; "plain")=TRUE), ((G3102 &lt;&gt; "")=TRUE))</f>
        <v>0</v>
      </c>
      <c r="M3102" s="4" t="str">
        <f>IF(((E3102)=TRUE),  C3102 &amp; "|" &amp; H3102,  "")</f>
        <v>principal-knowledge-authority|SendIntents</v>
      </c>
      <c r="N3102" s="3" t="s">
        <v>10004</v>
      </c>
    </row>
    <row r="3103">
      <c r="A3103" s="3" t="s">
        <v>13105</v>
      </c>
      <c r="B3103" s="4" t="str">
        <f>C3103 &amp; " -&gt; " &amp; D3103</f>
        <v>principal-knowledge-authority -&gt; SendIntents.RecipientIsEmailReachable</v>
      </c>
      <c r="C3103" s="3" t="s">
        <v>9774</v>
      </c>
      <c r="D3103" s="3" t="s">
        <v>4762</v>
      </c>
      <c r="E3103" s="3" t="b">
        <v>1</v>
      </c>
      <c r="F3103" s="3" t="b">
        <v>0</v>
      </c>
      <c r="G3103" s="3" t="s">
        <v>10003</v>
      </c>
      <c r="H3103" s="4" t="str">
        <f>_xlfn.IFNA(IF(((INDEX(RulebookFields!C2:C1898, MATCH(D3103,RulebookFields!A2:A1898, 0))="")=TRUE),  "",  INDEX(RulebookFields!C2:C1898, MATCH(D3103,RulebookFields!A2:A1898, 0))), "")</f>
        <v>SendIntents</v>
      </c>
      <c r="I3103" s="4" t="str">
        <f>_xlfn.IFNA(IF(((INDEX(RulebookFields!D2:D1898, MATCH(D3103,RulebookFields!A2:A1898, 0))="")=TRUE),  "",  INDEX(RulebookFields!D2:D1898, MATCH(D3103,RulebookFields!A2:A1898, 0))), "")</f>
        <v>RecipientIsEmailReachable</v>
      </c>
      <c r="J3103" s="4" t="b">
        <f>_xlfn.IFNA(IF(((INDEX(RulebookFields!I2:I1898, MATCH(D3103,RulebookFields!A2:A1898, 0))="")=TRUE),  "",  INDEX(RulebookFields!I2:I1898, MATCH(D3103,RulebookFields!A2:A1898, 0))), "")</f>
        <v>1</v>
      </c>
      <c r="K3103" s="4" t="b">
        <f>AND(((F3103)=TRUE), ((J3103)=TRUE))</f>
        <v>0</v>
      </c>
      <c r="L3103" s="4" t="b">
        <f>AND(((G3103 &lt;&gt; "plain")=TRUE), ((G3103 &lt;&gt; "")=TRUE))</f>
        <v>0</v>
      </c>
      <c r="M3103" s="4" t="str">
        <f>IF(((E3103)=TRUE),  C3103 &amp; "|" &amp; H3103,  "")</f>
        <v>principal-knowledge-authority|SendIntents</v>
      </c>
      <c r="N3103" s="3" t="s">
        <v>10004</v>
      </c>
    </row>
    <row r="3104">
      <c r="A3104" s="3" t="s">
        <v>13106</v>
      </c>
      <c r="B3104" s="4" t="str">
        <f>C3104 &amp; " -&gt; " &amp; D3104</f>
        <v>principal-knowledge-authority -&gt; SendIntents.ReachabilityGatePassed</v>
      </c>
      <c r="C3104" s="3" t="s">
        <v>9774</v>
      </c>
      <c r="D3104" s="3" t="s">
        <v>4765</v>
      </c>
      <c r="E3104" s="3" t="b">
        <v>1</v>
      </c>
      <c r="F3104" s="3" t="b">
        <v>0</v>
      </c>
      <c r="G3104" s="3" t="s">
        <v>10003</v>
      </c>
      <c r="H3104" s="4" t="str">
        <f>_xlfn.IFNA(IF(((INDEX(RulebookFields!C2:C1898, MATCH(D3104,RulebookFields!A2:A1898, 0))="")=TRUE),  "",  INDEX(RulebookFields!C2:C1898, MATCH(D3104,RulebookFields!A2:A1898, 0))), "")</f>
        <v>SendIntents</v>
      </c>
      <c r="I3104" s="4" t="str">
        <f>_xlfn.IFNA(IF(((INDEX(RulebookFields!D2:D1898, MATCH(D3104,RulebookFields!A2:A1898, 0))="")=TRUE),  "",  INDEX(RulebookFields!D2:D1898, MATCH(D3104,RulebookFields!A2:A1898, 0))), "")</f>
        <v>ReachabilityGatePassed</v>
      </c>
      <c r="J3104" s="4" t="b">
        <f>_xlfn.IFNA(IF(((INDEX(RulebookFields!I2:I1898, MATCH(D3104,RulebookFields!A2:A1898, 0))="")=TRUE),  "",  INDEX(RulebookFields!I2:I1898, MATCH(D3104,RulebookFields!A2:A1898, 0))), "")</f>
        <v>1</v>
      </c>
      <c r="K3104" s="4" t="b">
        <f>AND(((F3104)=TRUE), ((J3104)=TRUE))</f>
        <v>0</v>
      </c>
      <c r="L3104" s="4" t="b">
        <f>AND(((G3104 &lt;&gt; "plain")=TRUE), ((G3104 &lt;&gt; "")=TRUE))</f>
        <v>0</v>
      </c>
      <c r="M3104" s="4" t="str">
        <f>IF(((E3104)=TRUE),  C3104 &amp; "|" &amp; H3104,  "")</f>
        <v>principal-knowledge-authority|SendIntents</v>
      </c>
      <c r="N3104" s="3" t="s">
        <v>10004</v>
      </c>
    </row>
    <row r="3105">
      <c r="A3105" s="3" t="s">
        <v>13107</v>
      </c>
      <c r="B3105" s="4" t="str">
        <f>C3105 &amp; " -&gt; " &amp; D3105</f>
        <v>principal-knowledge-authority -&gt; SendIntents.PermissionGatePassed</v>
      </c>
      <c r="C3105" s="3" t="s">
        <v>9774</v>
      </c>
      <c r="D3105" s="3" t="s">
        <v>4768</v>
      </c>
      <c r="E3105" s="3" t="b">
        <v>1</v>
      </c>
      <c r="F3105" s="3" t="b">
        <v>0</v>
      </c>
      <c r="G3105" s="3" t="s">
        <v>10003</v>
      </c>
      <c r="H3105" s="4" t="str">
        <f>_xlfn.IFNA(IF(((INDEX(RulebookFields!C2:C1898, MATCH(D3105,RulebookFields!A2:A1898, 0))="")=TRUE),  "",  INDEX(RulebookFields!C2:C1898, MATCH(D3105,RulebookFields!A2:A1898, 0))), "")</f>
        <v>SendIntents</v>
      </c>
      <c r="I3105" s="4" t="str">
        <f>_xlfn.IFNA(IF(((INDEX(RulebookFields!D2:D1898, MATCH(D3105,RulebookFields!A2:A1898, 0))="")=TRUE),  "",  INDEX(RulebookFields!D2:D1898, MATCH(D3105,RulebookFields!A2:A1898, 0))), "")</f>
        <v>PermissionGatePassed</v>
      </c>
      <c r="J3105" s="4" t="b">
        <f>_xlfn.IFNA(IF(((INDEX(RulebookFields!I2:I1898, MATCH(D3105,RulebookFields!A2:A1898, 0))="")=TRUE),  "",  INDEX(RulebookFields!I2:I1898, MATCH(D3105,RulebookFields!A2:A1898, 0))), "")</f>
        <v>1</v>
      </c>
      <c r="K3105" s="4" t="b">
        <f>AND(((F3105)=TRUE), ((J3105)=TRUE))</f>
        <v>0</v>
      </c>
      <c r="L3105" s="4" t="b">
        <f>AND(((G3105 &lt;&gt; "plain")=TRUE), ((G3105 &lt;&gt; "")=TRUE))</f>
        <v>0</v>
      </c>
      <c r="M3105" s="4" t="str">
        <f>IF(((E3105)=TRUE),  C3105 &amp; "|" &amp; H3105,  "")</f>
        <v>principal-knowledge-authority|SendIntents</v>
      </c>
      <c r="N3105" s="3" t="s">
        <v>10004</v>
      </c>
    </row>
    <row r="3106">
      <c r="A3106" s="3" t="s">
        <v>13108</v>
      </c>
      <c r="B3106" s="4" t="str">
        <f>C3106 &amp; " -&gt; " &amp; D3106</f>
        <v>principal-knowledge-authority -&gt; SendIntents.IntentQuietStartHour</v>
      </c>
      <c r="C3106" s="3" t="s">
        <v>9774</v>
      </c>
      <c r="D3106" s="3" t="s">
        <v>4771</v>
      </c>
      <c r="E3106" s="3" t="b">
        <v>1</v>
      </c>
      <c r="F3106" s="3" t="b">
        <v>0</v>
      </c>
      <c r="G3106" s="3" t="s">
        <v>10003</v>
      </c>
      <c r="H3106" s="4" t="str">
        <f>_xlfn.IFNA(IF(((INDEX(RulebookFields!C2:C1898, MATCH(D3106,RulebookFields!A2:A1898, 0))="")=TRUE),  "",  INDEX(RulebookFields!C2:C1898, MATCH(D3106,RulebookFields!A2:A1898, 0))), "")</f>
        <v>SendIntents</v>
      </c>
      <c r="I3106" s="4" t="str">
        <f>_xlfn.IFNA(IF(((INDEX(RulebookFields!D2:D1898, MATCH(D3106,RulebookFields!A2:A1898, 0))="")=TRUE),  "",  INDEX(RulebookFields!D2:D1898, MATCH(D3106,RulebookFields!A2:A1898, 0))), "")</f>
        <v>IntentQuietStartHour</v>
      </c>
      <c r="J3106" s="4" t="b">
        <f>_xlfn.IFNA(IF(((INDEX(RulebookFields!I2:I1898, MATCH(D3106,RulebookFields!A2:A1898, 0))="")=TRUE),  "",  INDEX(RulebookFields!I2:I1898, MATCH(D3106,RulebookFields!A2:A1898, 0))), "")</f>
        <v>1</v>
      </c>
      <c r="K3106" s="4" t="b">
        <f>AND(((F3106)=TRUE), ((J3106)=TRUE))</f>
        <v>0</v>
      </c>
      <c r="L3106" s="4" t="b">
        <f>AND(((G3106 &lt;&gt; "plain")=TRUE), ((G3106 &lt;&gt; "")=TRUE))</f>
        <v>0</v>
      </c>
      <c r="M3106" s="4" t="str">
        <f>IF(((E3106)=TRUE),  C3106 &amp; "|" &amp; H3106,  "")</f>
        <v>principal-knowledge-authority|SendIntents</v>
      </c>
      <c r="N3106" s="3" t="s">
        <v>10004</v>
      </c>
    </row>
    <row r="3107">
      <c r="A3107" s="3" t="s">
        <v>13109</v>
      </c>
      <c r="B3107" s="4" t="str">
        <f>C3107 &amp; " -&gt; " &amp; D3107</f>
        <v>principal-knowledge-authority -&gt; SendIntents.IntentQuietEndHour</v>
      </c>
      <c r="C3107" s="3" t="s">
        <v>9774</v>
      </c>
      <c r="D3107" s="3" t="s">
        <v>4774</v>
      </c>
      <c r="E3107" s="3" t="b">
        <v>1</v>
      </c>
      <c r="F3107" s="3" t="b">
        <v>0</v>
      </c>
      <c r="G3107" s="3" t="s">
        <v>10003</v>
      </c>
      <c r="H3107" s="4" t="str">
        <f>_xlfn.IFNA(IF(((INDEX(RulebookFields!C2:C1898, MATCH(D3107,RulebookFields!A2:A1898, 0))="")=TRUE),  "",  INDEX(RulebookFields!C2:C1898, MATCH(D3107,RulebookFields!A2:A1898, 0))), "")</f>
        <v>SendIntents</v>
      </c>
      <c r="I3107" s="4" t="str">
        <f>_xlfn.IFNA(IF(((INDEX(RulebookFields!D2:D1898, MATCH(D3107,RulebookFields!A2:A1898, 0))="")=TRUE),  "",  INDEX(RulebookFields!D2:D1898, MATCH(D3107,RulebookFields!A2:A1898, 0))), "")</f>
        <v>IntentQuietEndHour</v>
      </c>
      <c r="J3107" s="4" t="b">
        <f>_xlfn.IFNA(IF(((INDEX(RulebookFields!I2:I1898, MATCH(D3107,RulebookFields!A2:A1898, 0))="")=TRUE),  "",  INDEX(RulebookFields!I2:I1898, MATCH(D3107,RulebookFields!A2:A1898, 0))), "")</f>
        <v>1</v>
      </c>
      <c r="K3107" s="4" t="b">
        <f>AND(((F3107)=TRUE), ((J3107)=TRUE))</f>
        <v>0</v>
      </c>
      <c r="L3107" s="4" t="b">
        <f>AND(((G3107 &lt;&gt; "plain")=TRUE), ((G3107 &lt;&gt; "")=TRUE))</f>
        <v>0</v>
      </c>
      <c r="M3107" s="4" t="str">
        <f>IF(((E3107)=TRUE),  C3107 &amp; "|" &amp; H3107,  "")</f>
        <v>principal-knowledge-authority|SendIntents</v>
      </c>
      <c r="N3107" s="3" t="s">
        <v>10004</v>
      </c>
    </row>
    <row r="3108">
      <c r="A3108" s="3" t="s">
        <v>13110</v>
      </c>
      <c r="B3108" s="4" t="str">
        <f>C3108 &amp; " -&gt; " &amp; D3108</f>
        <v>principal-knowledge-authority -&gt; SendIntents.IntentPolicyHasQuietHours</v>
      </c>
      <c r="C3108" s="3" t="s">
        <v>9774</v>
      </c>
      <c r="D3108" s="3" t="s">
        <v>4777</v>
      </c>
      <c r="E3108" s="3" t="b">
        <v>1</v>
      </c>
      <c r="F3108" s="3" t="b">
        <v>0</v>
      </c>
      <c r="G3108" s="3" t="s">
        <v>10003</v>
      </c>
      <c r="H3108" s="4" t="str">
        <f>_xlfn.IFNA(IF(((INDEX(RulebookFields!C2:C1898, MATCH(D3108,RulebookFields!A2:A1898, 0))="")=TRUE),  "",  INDEX(RulebookFields!C2:C1898, MATCH(D3108,RulebookFields!A2:A1898, 0))), "")</f>
        <v>SendIntents</v>
      </c>
      <c r="I3108" s="4" t="str">
        <f>_xlfn.IFNA(IF(((INDEX(RulebookFields!D2:D1898, MATCH(D3108,RulebookFields!A2:A1898, 0))="")=TRUE),  "",  INDEX(RulebookFields!D2:D1898, MATCH(D3108,RulebookFields!A2:A1898, 0))), "")</f>
        <v>IntentPolicyHasQuietHours</v>
      </c>
      <c r="J3108" s="4" t="b">
        <f>_xlfn.IFNA(IF(((INDEX(RulebookFields!I2:I1898, MATCH(D3108,RulebookFields!A2:A1898, 0))="")=TRUE),  "",  INDEX(RulebookFields!I2:I1898, MATCH(D3108,RulebookFields!A2:A1898, 0))), "")</f>
        <v>1</v>
      </c>
      <c r="K3108" s="4" t="b">
        <f>AND(((F3108)=TRUE), ((J3108)=TRUE))</f>
        <v>0</v>
      </c>
      <c r="L3108" s="4" t="b">
        <f>AND(((G3108 &lt;&gt; "plain")=TRUE), ((G3108 &lt;&gt; "")=TRUE))</f>
        <v>0</v>
      </c>
      <c r="M3108" s="4" t="str">
        <f>IF(((E3108)=TRUE),  C3108 &amp; "|" &amp; H3108,  "")</f>
        <v>principal-knowledge-authority|SendIntents</v>
      </c>
      <c r="N3108" s="3" t="s">
        <v>10004</v>
      </c>
    </row>
    <row r="3109">
      <c r="A3109" s="3" t="s">
        <v>13111</v>
      </c>
      <c r="B3109" s="4" t="str">
        <f>C3109 &amp; " -&gt; " &amp; D3109</f>
        <v>principal-knowledge-authority -&gt; SendIntents.IntentQuietWindowWraps</v>
      </c>
      <c r="C3109" s="3" t="s">
        <v>9774</v>
      </c>
      <c r="D3109" s="3" t="s">
        <v>4780</v>
      </c>
      <c r="E3109" s="3" t="b">
        <v>1</v>
      </c>
      <c r="F3109" s="3" t="b">
        <v>0</v>
      </c>
      <c r="G3109" s="3" t="s">
        <v>10003</v>
      </c>
      <c r="H3109" s="4" t="str">
        <f>_xlfn.IFNA(IF(((INDEX(RulebookFields!C2:C1898, MATCH(D3109,RulebookFields!A2:A1898, 0))="")=TRUE),  "",  INDEX(RulebookFields!C2:C1898, MATCH(D3109,RulebookFields!A2:A1898, 0))), "")</f>
        <v>SendIntents</v>
      </c>
      <c r="I3109" s="4" t="str">
        <f>_xlfn.IFNA(IF(((INDEX(RulebookFields!D2:D1898, MATCH(D3109,RulebookFields!A2:A1898, 0))="")=TRUE),  "",  INDEX(RulebookFields!D2:D1898, MATCH(D3109,RulebookFields!A2:A1898, 0))), "")</f>
        <v>IntentQuietWindowWraps</v>
      </c>
      <c r="J3109" s="4" t="b">
        <f>_xlfn.IFNA(IF(((INDEX(RulebookFields!I2:I1898, MATCH(D3109,RulebookFields!A2:A1898, 0))="")=TRUE),  "",  INDEX(RulebookFields!I2:I1898, MATCH(D3109,RulebookFields!A2:A1898, 0))), "")</f>
        <v>1</v>
      </c>
      <c r="K3109" s="4" t="b">
        <f>AND(((F3109)=TRUE), ((J3109)=TRUE))</f>
        <v>0</v>
      </c>
      <c r="L3109" s="4" t="b">
        <f>AND(((G3109 &lt;&gt; "plain")=TRUE), ((G3109 &lt;&gt; "")=TRUE))</f>
        <v>0</v>
      </c>
      <c r="M3109" s="4" t="str">
        <f>IF(((E3109)=TRUE),  C3109 &amp; "|" &amp; H3109,  "")</f>
        <v>principal-knowledge-authority|SendIntents</v>
      </c>
      <c r="N3109" s="3" t="s">
        <v>10004</v>
      </c>
    </row>
    <row r="3110">
      <c r="A3110" s="3" t="s">
        <v>13112</v>
      </c>
      <c r="B3110" s="4" t="str">
        <f>C3110 &amp; " -&gt; " &amp; D3110</f>
        <v>principal-knowledge-authority -&gt; SendIntents.IntentIsInsideQuietWindow</v>
      </c>
      <c r="C3110" s="3" t="s">
        <v>9774</v>
      </c>
      <c r="D3110" s="3" t="s">
        <v>4783</v>
      </c>
      <c r="E3110" s="3" t="b">
        <v>1</v>
      </c>
      <c r="F3110" s="3" t="b">
        <v>0</v>
      </c>
      <c r="G3110" s="3" t="s">
        <v>10003</v>
      </c>
      <c r="H3110" s="4" t="str">
        <f>_xlfn.IFNA(IF(((INDEX(RulebookFields!C2:C1898, MATCH(D3110,RulebookFields!A2:A1898, 0))="")=TRUE),  "",  INDEX(RulebookFields!C2:C1898, MATCH(D3110,RulebookFields!A2:A1898, 0))), "")</f>
        <v>SendIntents</v>
      </c>
      <c r="I3110" s="4" t="str">
        <f>_xlfn.IFNA(IF(((INDEX(RulebookFields!D2:D1898, MATCH(D3110,RulebookFields!A2:A1898, 0))="")=TRUE),  "",  INDEX(RulebookFields!D2:D1898, MATCH(D3110,RulebookFields!A2:A1898, 0))), "")</f>
        <v>IntentIsInsideQuietWindow</v>
      </c>
      <c r="J3110" s="4" t="b">
        <f>_xlfn.IFNA(IF(((INDEX(RulebookFields!I2:I1898, MATCH(D3110,RulebookFields!A2:A1898, 0))="")=TRUE),  "",  INDEX(RulebookFields!I2:I1898, MATCH(D3110,RulebookFields!A2:A1898, 0))), "")</f>
        <v>1</v>
      </c>
      <c r="K3110" s="4" t="b">
        <f>AND(((F3110)=TRUE), ((J3110)=TRUE))</f>
        <v>0</v>
      </c>
      <c r="L3110" s="4" t="b">
        <f>AND(((G3110 &lt;&gt; "plain")=TRUE), ((G3110 &lt;&gt; "")=TRUE))</f>
        <v>0</v>
      </c>
      <c r="M3110" s="4" t="str">
        <f>IF(((E3110)=TRUE),  C3110 &amp; "|" &amp; H3110,  "")</f>
        <v>principal-knowledge-authority|SendIntents</v>
      </c>
      <c r="N3110" s="3" t="s">
        <v>10004</v>
      </c>
    </row>
    <row r="3111">
      <c r="A3111" s="3" t="s">
        <v>13113</v>
      </c>
      <c r="B3111" s="4" t="str">
        <f>C3111 &amp; " -&gt; " &amp; D3111</f>
        <v>principal-knowledge-authority -&gt; SendIntents.TimingGatePassed</v>
      </c>
      <c r="C3111" s="3" t="s">
        <v>9774</v>
      </c>
      <c r="D3111" s="3" t="s">
        <v>4786</v>
      </c>
      <c r="E3111" s="3" t="b">
        <v>1</v>
      </c>
      <c r="F3111" s="3" t="b">
        <v>0</v>
      </c>
      <c r="G3111" s="3" t="s">
        <v>10003</v>
      </c>
      <c r="H3111" s="4" t="str">
        <f>_xlfn.IFNA(IF(((INDEX(RulebookFields!C2:C1898, MATCH(D3111,RulebookFields!A2:A1898, 0))="")=TRUE),  "",  INDEX(RulebookFields!C2:C1898, MATCH(D3111,RulebookFields!A2:A1898, 0))), "")</f>
        <v>SendIntents</v>
      </c>
      <c r="I3111" s="4" t="str">
        <f>_xlfn.IFNA(IF(((INDEX(RulebookFields!D2:D1898, MATCH(D3111,RulebookFields!A2:A1898, 0))="")=TRUE),  "",  INDEX(RulebookFields!D2:D1898, MATCH(D3111,RulebookFields!A2:A1898, 0))), "")</f>
        <v>TimingGatePassed</v>
      </c>
      <c r="J3111" s="4" t="b">
        <f>_xlfn.IFNA(IF(((INDEX(RulebookFields!I2:I1898, MATCH(D3111,RulebookFields!A2:A1898, 0))="")=TRUE),  "",  INDEX(RulebookFields!I2:I1898, MATCH(D3111,RulebookFields!A2:A1898, 0))), "")</f>
        <v>1</v>
      </c>
      <c r="K3111" s="4" t="b">
        <f>AND(((F3111)=TRUE), ((J3111)=TRUE))</f>
        <v>0</v>
      </c>
      <c r="L3111" s="4" t="b">
        <f>AND(((G3111 &lt;&gt; "plain")=TRUE), ((G3111 &lt;&gt; "")=TRUE))</f>
        <v>0</v>
      </c>
      <c r="M3111" s="4" t="str">
        <f>IF(((E3111)=TRUE),  C3111 &amp; "|" &amp; H3111,  "")</f>
        <v>principal-knowledge-authority|SendIntents</v>
      </c>
      <c r="N3111" s="3" t="s">
        <v>10004</v>
      </c>
    </row>
    <row r="3112">
      <c r="A3112" s="3" t="s">
        <v>13114</v>
      </c>
      <c r="B3112" s="4" t="str">
        <f>C3112 &amp; " -&gt; " &amp; D3112</f>
        <v>principal-knowledge-authority -&gt; SendIntents.HoursUntilWindowOpens</v>
      </c>
      <c r="C3112" s="3" t="s">
        <v>9774</v>
      </c>
      <c r="D3112" s="3" t="s">
        <v>4789</v>
      </c>
      <c r="E3112" s="3" t="b">
        <v>1</v>
      </c>
      <c r="F3112" s="3" t="b">
        <v>0</v>
      </c>
      <c r="G3112" s="3" t="s">
        <v>10003</v>
      </c>
      <c r="H3112" s="4" t="str">
        <f>_xlfn.IFNA(IF(((INDEX(RulebookFields!C2:C1898, MATCH(D3112,RulebookFields!A2:A1898, 0))="")=TRUE),  "",  INDEX(RulebookFields!C2:C1898, MATCH(D3112,RulebookFields!A2:A1898, 0))), "")</f>
        <v>SendIntents</v>
      </c>
      <c r="I3112" s="4" t="str">
        <f>_xlfn.IFNA(IF(((INDEX(RulebookFields!D2:D1898, MATCH(D3112,RulebookFields!A2:A1898, 0))="")=TRUE),  "",  INDEX(RulebookFields!D2:D1898, MATCH(D3112,RulebookFields!A2:A1898, 0))), "")</f>
        <v>HoursUntilWindowOpens</v>
      </c>
      <c r="J3112" s="4" t="b">
        <f>_xlfn.IFNA(IF(((INDEX(RulebookFields!I2:I1898, MATCH(D3112,RulebookFields!A2:A1898, 0))="")=TRUE),  "",  INDEX(RulebookFields!I2:I1898, MATCH(D3112,RulebookFields!A2:A1898, 0))), "")</f>
        <v>1</v>
      </c>
      <c r="K3112" s="4" t="b">
        <f>AND(((F3112)=TRUE), ((J3112)=TRUE))</f>
        <v>0</v>
      </c>
      <c r="L3112" s="4" t="b">
        <f>AND(((G3112 &lt;&gt; "plain")=TRUE), ((G3112 &lt;&gt; "")=TRUE))</f>
        <v>0</v>
      </c>
      <c r="M3112" s="4" t="str">
        <f>IF(((E3112)=TRUE),  C3112 &amp; "|" &amp; H3112,  "")</f>
        <v>principal-knowledge-authority|SendIntents</v>
      </c>
      <c r="N3112" s="3" t="s">
        <v>10004</v>
      </c>
    </row>
    <row r="3113">
      <c r="A3113" s="3" t="s">
        <v>13115</v>
      </c>
      <c r="B3113" s="4" t="str">
        <f>C3113 &amp; " -&gt; " &amp; D3113</f>
        <v>principal-knowledge-authority -&gt; SendIntents.IntentMaxMessageLength</v>
      </c>
      <c r="C3113" s="3" t="s">
        <v>9774</v>
      </c>
      <c r="D3113" s="3" t="s">
        <v>4792</v>
      </c>
      <c r="E3113" s="3" t="b">
        <v>1</v>
      </c>
      <c r="F3113" s="3" t="b">
        <v>0</v>
      </c>
      <c r="G3113" s="3" t="s">
        <v>10003</v>
      </c>
      <c r="H3113" s="4" t="str">
        <f>_xlfn.IFNA(IF(((INDEX(RulebookFields!C2:C1898, MATCH(D3113,RulebookFields!A2:A1898, 0))="")=TRUE),  "",  INDEX(RulebookFields!C2:C1898, MATCH(D3113,RulebookFields!A2:A1898, 0))), "")</f>
        <v>SendIntents</v>
      </c>
      <c r="I3113" s="4" t="str">
        <f>_xlfn.IFNA(IF(((INDEX(RulebookFields!D2:D1898, MATCH(D3113,RulebookFields!A2:A1898, 0))="")=TRUE),  "",  INDEX(RulebookFields!D2:D1898, MATCH(D3113,RulebookFields!A2:A1898, 0))), "")</f>
        <v>IntentMaxMessageLength</v>
      </c>
      <c r="J3113" s="4" t="b">
        <f>_xlfn.IFNA(IF(((INDEX(RulebookFields!I2:I1898, MATCH(D3113,RulebookFields!A2:A1898, 0))="")=TRUE),  "",  INDEX(RulebookFields!I2:I1898, MATCH(D3113,RulebookFields!A2:A1898, 0))), "")</f>
        <v>1</v>
      </c>
      <c r="K3113" s="4" t="b">
        <f>AND(((F3113)=TRUE), ((J3113)=TRUE))</f>
        <v>0</v>
      </c>
      <c r="L3113" s="4" t="b">
        <f>AND(((G3113 &lt;&gt; "plain")=TRUE), ((G3113 &lt;&gt; "")=TRUE))</f>
        <v>0</v>
      </c>
      <c r="M3113" s="4" t="str">
        <f>IF(((E3113)=TRUE),  C3113 &amp; "|" &amp; H3113,  "")</f>
        <v>principal-knowledge-authority|SendIntents</v>
      </c>
      <c r="N3113" s="3" t="s">
        <v>10004</v>
      </c>
    </row>
    <row r="3114">
      <c r="A3114" s="3" t="s">
        <v>13116</v>
      </c>
      <c r="B3114" s="4" t="str">
        <f>C3114 &amp; " -&gt; " &amp; D3114</f>
        <v>principal-knowledge-authority -&gt; SendIntents.IntentMaxSegments</v>
      </c>
      <c r="C3114" s="3" t="s">
        <v>9774</v>
      </c>
      <c r="D3114" s="3" t="s">
        <v>4795</v>
      </c>
      <c r="E3114" s="3" t="b">
        <v>1</v>
      </c>
      <c r="F3114" s="3" t="b">
        <v>0</v>
      </c>
      <c r="G3114" s="3" t="s">
        <v>10003</v>
      </c>
      <c r="H3114" s="4" t="str">
        <f>_xlfn.IFNA(IF(((INDEX(RulebookFields!C2:C1898, MATCH(D3114,RulebookFields!A2:A1898, 0))="")=TRUE),  "",  INDEX(RulebookFields!C2:C1898, MATCH(D3114,RulebookFields!A2:A1898, 0))), "")</f>
        <v>SendIntents</v>
      </c>
      <c r="I3114" s="4" t="str">
        <f>_xlfn.IFNA(IF(((INDEX(RulebookFields!D2:D1898, MATCH(D3114,RulebookFields!A2:A1898, 0))="")=TRUE),  "",  INDEX(RulebookFields!D2:D1898, MATCH(D3114,RulebookFields!A2:A1898, 0))), "")</f>
        <v>IntentMaxSegments</v>
      </c>
      <c r="J3114" s="4" t="b">
        <f>_xlfn.IFNA(IF(((INDEX(RulebookFields!I2:I1898, MATCH(D3114,RulebookFields!A2:A1898, 0))="")=TRUE),  "",  INDEX(RulebookFields!I2:I1898, MATCH(D3114,RulebookFields!A2:A1898, 0))), "")</f>
        <v>1</v>
      </c>
      <c r="K3114" s="4" t="b">
        <f>AND(((F3114)=TRUE), ((J3114)=TRUE))</f>
        <v>0</v>
      </c>
      <c r="L3114" s="4" t="b">
        <f>AND(((G3114 &lt;&gt; "plain")=TRUE), ((G3114 &lt;&gt; "")=TRUE))</f>
        <v>0</v>
      </c>
      <c r="M3114" s="4" t="str">
        <f>IF(((E3114)=TRUE),  C3114 &amp; "|" &amp; H3114,  "")</f>
        <v>principal-knowledge-authority|SendIntents</v>
      </c>
      <c r="N3114" s="3" t="s">
        <v>10004</v>
      </c>
    </row>
    <row r="3115">
      <c r="A3115" s="3" t="s">
        <v>13117</v>
      </c>
      <c r="B3115" s="4" t="str">
        <f>C3115 &amp; " -&gt; " &amp; D3115</f>
        <v>principal-knowledge-authority -&gt; SendIntents.ProposedBodyLength</v>
      </c>
      <c r="C3115" s="3" t="s">
        <v>9774</v>
      </c>
      <c r="D3115" s="3" t="s">
        <v>4798</v>
      </c>
      <c r="E3115" s="3" t="b">
        <v>1</v>
      </c>
      <c r="F3115" s="3" t="b">
        <v>0</v>
      </c>
      <c r="G3115" s="3" t="s">
        <v>10003</v>
      </c>
      <c r="H3115" s="4" t="str">
        <f>_xlfn.IFNA(IF(((INDEX(RulebookFields!C2:C1898, MATCH(D3115,RulebookFields!A2:A1898, 0))="")=TRUE),  "",  INDEX(RulebookFields!C2:C1898, MATCH(D3115,RulebookFields!A2:A1898, 0))), "")</f>
        <v>SendIntents</v>
      </c>
      <c r="I3115" s="4" t="str">
        <f>_xlfn.IFNA(IF(((INDEX(RulebookFields!D2:D1898, MATCH(D3115,RulebookFields!A2:A1898, 0))="")=TRUE),  "",  INDEX(RulebookFields!D2:D1898, MATCH(D3115,RulebookFields!A2:A1898, 0))), "")</f>
        <v>ProposedBodyLength</v>
      </c>
      <c r="J3115" s="4" t="b">
        <f>_xlfn.IFNA(IF(((INDEX(RulebookFields!I2:I1898, MATCH(D3115,RulebookFields!A2:A1898, 0))="")=TRUE),  "",  INDEX(RulebookFields!I2:I1898, MATCH(D3115,RulebookFields!A2:A1898, 0))), "")</f>
        <v>0</v>
      </c>
      <c r="K3115" s="4" t="b">
        <f>AND(((F3115)=TRUE), ((J3115)=TRUE))</f>
        <v>0</v>
      </c>
      <c r="L3115" s="4" t="b">
        <f>AND(((G3115 &lt;&gt; "plain")=TRUE), ((G3115 &lt;&gt; "")=TRUE))</f>
        <v>0</v>
      </c>
      <c r="M3115" s="4" t="str">
        <f>IF(((E3115)=TRUE),  C3115 &amp; "|" &amp; H3115,  "")</f>
        <v>principal-knowledge-authority|SendIntents</v>
      </c>
      <c r="N3115" s="3" t="s">
        <v>10004</v>
      </c>
    </row>
    <row r="3116">
      <c r="A3116" s="3" t="s">
        <v>13118</v>
      </c>
      <c r="B3116" s="4" t="str">
        <f>C3116 &amp; " -&gt; " &amp; D3116</f>
        <v>principal-knowledge-authority -&gt; SendIntents.ProposedSegmentCount</v>
      </c>
      <c r="C3116" s="3" t="s">
        <v>9774</v>
      </c>
      <c r="D3116" s="3" t="s">
        <v>4800</v>
      </c>
      <c r="E3116" s="3" t="b">
        <v>1</v>
      </c>
      <c r="F3116" s="3" t="b">
        <v>0</v>
      </c>
      <c r="G3116" s="3" t="s">
        <v>10003</v>
      </c>
      <c r="H3116" s="4" t="str">
        <f>_xlfn.IFNA(IF(((INDEX(RulebookFields!C2:C1898, MATCH(D3116,RulebookFields!A2:A1898, 0))="")=TRUE),  "",  INDEX(RulebookFields!C2:C1898, MATCH(D3116,RulebookFields!A2:A1898, 0))), "")</f>
        <v>SendIntents</v>
      </c>
      <c r="I3116" s="4" t="str">
        <f>_xlfn.IFNA(IF(((INDEX(RulebookFields!D2:D1898, MATCH(D3116,RulebookFields!A2:A1898, 0))="")=TRUE),  "",  INDEX(RulebookFields!D2:D1898, MATCH(D3116,RulebookFields!A2:A1898, 0))), "")</f>
        <v>ProposedSegmentCount</v>
      </c>
      <c r="J3116" s="4" t="b">
        <f>_xlfn.IFNA(IF(((INDEX(RulebookFields!I2:I1898, MATCH(D3116,RulebookFields!A2:A1898, 0))="")=TRUE),  "",  INDEX(RulebookFields!I2:I1898, MATCH(D3116,RulebookFields!A2:A1898, 0))), "")</f>
        <v>0</v>
      </c>
      <c r="K3116" s="4" t="b">
        <f>AND(((F3116)=TRUE), ((J3116)=TRUE))</f>
        <v>0</v>
      </c>
      <c r="L3116" s="4" t="b">
        <f>AND(((G3116 &lt;&gt; "plain")=TRUE), ((G3116 &lt;&gt; "")=TRUE))</f>
        <v>0</v>
      </c>
      <c r="M3116" s="4" t="str">
        <f>IF(((E3116)=TRUE),  C3116 &amp; "|" &amp; H3116,  "")</f>
        <v>principal-knowledge-authority|SendIntents</v>
      </c>
      <c r="N3116" s="3" t="s">
        <v>10004</v>
      </c>
    </row>
    <row r="3117">
      <c r="A3117" s="3" t="s">
        <v>13119</v>
      </c>
      <c r="B3117" s="4" t="str">
        <f>C3117 &amp; " -&gt; " &amp; D3117</f>
        <v>principal-knowledge-authority -&gt; SendIntents.LengthGatePassed</v>
      </c>
      <c r="C3117" s="3" t="s">
        <v>9774</v>
      </c>
      <c r="D3117" s="3" t="s">
        <v>4802</v>
      </c>
      <c r="E3117" s="3" t="b">
        <v>1</v>
      </c>
      <c r="F3117" s="3" t="b">
        <v>0</v>
      </c>
      <c r="G3117" s="3" t="s">
        <v>10003</v>
      </c>
      <c r="H3117" s="4" t="str">
        <f>_xlfn.IFNA(IF(((INDEX(RulebookFields!C2:C1898, MATCH(D3117,RulebookFields!A2:A1898, 0))="")=TRUE),  "",  INDEX(RulebookFields!C2:C1898, MATCH(D3117,RulebookFields!A2:A1898, 0))), "")</f>
        <v>SendIntents</v>
      </c>
      <c r="I3117" s="4" t="str">
        <f>_xlfn.IFNA(IF(((INDEX(RulebookFields!D2:D1898, MATCH(D3117,RulebookFields!A2:A1898, 0))="")=TRUE),  "",  INDEX(RulebookFields!D2:D1898, MATCH(D3117,RulebookFields!A2:A1898, 0))), "")</f>
        <v>LengthGatePassed</v>
      </c>
      <c r="J3117" s="4" t="b">
        <f>_xlfn.IFNA(IF(((INDEX(RulebookFields!I2:I1898, MATCH(D3117,RulebookFields!A2:A1898, 0))="")=TRUE),  "",  INDEX(RulebookFields!I2:I1898, MATCH(D3117,RulebookFields!A2:A1898, 0))), "")</f>
        <v>1</v>
      </c>
      <c r="K3117" s="4" t="b">
        <f>AND(((F3117)=TRUE), ((J3117)=TRUE))</f>
        <v>0</v>
      </c>
      <c r="L3117" s="4" t="b">
        <f>AND(((G3117 &lt;&gt; "plain")=TRUE), ((G3117 &lt;&gt; "")=TRUE))</f>
        <v>0</v>
      </c>
      <c r="M3117" s="4" t="str">
        <f>IF(((E3117)=TRUE),  C3117 &amp; "|" &amp; H3117,  "")</f>
        <v>principal-knowledge-authority|SendIntents</v>
      </c>
      <c r="N3117" s="3" t="s">
        <v>10004</v>
      </c>
    </row>
    <row r="3118">
      <c r="A3118" s="3" t="s">
        <v>13120</v>
      </c>
      <c r="B3118" s="4" t="str">
        <f>C3118 &amp; " -&gt; " &amp; D3118</f>
        <v>principal-knowledge-authority -&gt; SendIntents.IntentRequiredOptOutPhrase</v>
      </c>
      <c r="C3118" s="3" t="s">
        <v>9774</v>
      </c>
      <c r="D3118" s="3" t="s">
        <v>4805</v>
      </c>
      <c r="E3118" s="3" t="b">
        <v>1</v>
      </c>
      <c r="F3118" s="3" t="b">
        <v>0</v>
      </c>
      <c r="G3118" s="3" t="s">
        <v>10003</v>
      </c>
      <c r="H3118" s="4" t="str">
        <f>_xlfn.IFNA(IF(((INDEX(RulebookFields!C2:C1898, MATCH(D3118,RulebookFields!A2:A1898, 0))="")=TRUE),  "",  INDEX(RulebookFields!C2:C1898, MATCH(D3118,RulebookFields!A2:A1898, 0))), "")</f>
        <v>SendIntents</v>
      </c>
      <c r="I3118" s="4" t="str">
        <f>_xlfn.IFNA(IF(((INDEX(RulebookFields!D2:D1898, MATCH(D3118,RulebookFields!A2:A1898, 0))="")=TRUE),  "",  INDEX(RulebookFields!D2:D1898, MATCH(D3118,RulebookFields!A2:A1898, 0))), "")</f>
        <v>IntentRequiredOptOutPhrase</v>
      </c>
      <c r="J3118" s="4" t="b">
        <f>_xlfn.IFNA(IF(((INDEX(RulebookFields!I2:I1898, MATCH(D3118,RulebookFields!A2:A1898, 0))="")=TRUE),  "",  INDEX(RulebookFields!I2:I1898, MATCH(D3118,RulebookFields!A2:A1898, 0))), "")</f>
        <v>1</v>
      </c>
      <c r="K3118" s="4" t="b">
        <f>AND(((F3118)=TRUE), ((J3118)=TRUE))</f>
        <v>0</v>
      </c>
      <c r="L3118" s="4" t="b">
        <f>AND(((G3118 &lt;&gt; "plain")=TRUE), ((G3118 &lt;&gt; "")=TRUE))</f>
        <v>0</v>
      </c>
      <c r="M3118" s="4" t="str">
        <f>IF(((E3118)=TRUE),  C3118 &amp; "|" &amp; H3118,  "")</f>
        <v>principal-knowledge-authority|SendIntents</v>
      </c>
      <c r="N3118" s="3" t="s">
        <v>10004</v>
      </c>
    </row>
    <row r="3119">
      <c r="A3119" s="3" t="s">
        <v>13121</v>
      </c>
      <c r="B3119" s="4" t="str">
        <f>C3119 &amp; " -&gt; " &amp; D3119</f>
        <v>principal-knowledge-authority -&gt; SendIntents.ProposedOptOutPosition</v>
      </c>
      <c r="C3119" s="3" t="s">
        <v>9774</v>
      </c>
      <c r="D3119" s="3" t="s">
        <v>4808</v>
      </c>
      <c r="E3119" s="3" t="b">
        <v>1</v>
      </c>
      <c r="F3119" s="3" t="b">
        <v>0</v>
      </c>
      <c r="G3119" s="3" t="s">
        <v>10003</v>
      </c>
      <c r="H3119" s="4" t="str">
        <f>_xlfn.IFNA(IF(((INDEX(RulebookFields!C2:C1898, MATCH(D3119,RulebookFields!A2:A1898, 0))="")=TRUE),  "",  INDEX(RulebookFields!C2:C1898, MATCH(D3119,RulebookFields!A2:A1898, 0))), "")</f>
        <v>SendIntents</v>
      </c>
      <c r="I3119" s="4" t="str">
        <f>_xlfn.IFNA(IF(((INDEX(RulebookFields!D2:D1898, MATCH(D3119,RulebookFields!A2:A1898, 0))="")=TRUE),  "",  INDEX(RulebookFields!D2:D1898, MATCH(D3119,RulebookFields!A2:A1898, 0))), "")</f>
        <v>ProposedOptOutPosition</v>
      </c>
      <c r="J3119" s="4" t="b">
        <f>_xlfn.IFNA(IF(((INDEX(RulebookFields!I2:I1898, MATCH(D3119,RulebookFields!A2:A1898, 0))="")=TRUE),  "",  INDEX(RulebookFields!I2:I1898, MATCH(D3119,RulebookFields!A2:A1898, 0))), "")</f>
        <v>0</v>
      </c>
      <c r="K3119" s="4" t="b">
        <f>AND(((F3119)=TRUE), ((J3119)=TRUE))</f>
        <v>0</v>
      </c>
      <c r="L3119" s="4" t="b">
        <f>AND(((G3119 &lt;&gt; "plain")=TRUE), ((G3119 &lt;&gt; "")=TRUE))</f>
        <v>0</v>
      </c>
      <c r="M3119" s="4" t="str">
        <f>IF(((E3119)=TRUE),  C3119 &amp; "|" &amp; H3119,  "")</f>
        <v>principal-knowledge-authority|SendIntents</v>
      </c>
      <c r="N3119" s="3" t="s">
        <v>10004</v>
      </c>
    </row>
    <row r="3120">
      <c r="A3120" s="3" t="s">
        <v>13122</v>
      </c>
      <c r="B3120" s="4" t="str">
        <f>C3120 &amp; " -&gt; " &amp; D3120</f>
        <v>principal-knowledge-authority -&gt; SendIntents.OptOutGatePassed</v>
      </c>
      <c r="C3120" s="3" t="s">
        <v>9774</v>
      </c>
      <c r="D3120" s="3" t="s">
        <v>4810</v>
      </c>
      <c r="E3120" s="3" t="b">
        <v>1</v>
      </c>
      <c r="F3120" s="3" t="b">
        <v>0</v>
      </c>
      <c r="G3120" s="3" t="s">
        <v>10003</v>
      </c>
      <c r="H3120" s="4" t="str">
        <f>_xlfn.IFNA(IF(((INDEX(RulebookFields!C2:C1898, MATCH(D3120,RulebookFields!A2:A1898, 0))="")=TRUE),  "",  INDEX(RulebookFields!C2:C1898, MATCH(D3120,RulebookFields!A2:A1898, 0))), "")</f>
        <v>SendIntents</v>
      </c>
      <c r="I3120" s="4" t="str">
        <f>_xlfn.IFNA(IF(((INDEX(RulebookFields!D2:D1898, MATCH(D3120,RulebookFields!A2:A1898, 0))="")=TRUE),  "",  INDEX(RulebookFields!D2:D1898, MATCH(D3120,RulebookFields!A2:A1898, 0))), "")</f>
        <v>OptOutGatePassed</v>
      </c>
      <c r="J3120" s="4" t="b">
        <f>_xlfn.IFNA(IF(((INDEX(RulebookFields!I2:I1898, MATCH(D3120,RulebookFields!A2:A1898, 0))="")=TRUE),  "",  INDEX(RulebookFields!I2:I1898, MATCH(D3120,RulebookFields!A2:A1898, 0))), "")</f>
        <v>1</v>
      </c>
      <c r="K3120" s="4" t="b">
        <f>AND(((F3120)=TRUE), ((J3120)=TRUE))</f>
        <v>0</v>
      </c>
      <c r="L3120" s="4" t="b">
        <f>AND(((G3120 &lt;&gt; "plain")=TRUE), ((G3120 &lt;&gt; "")=TRUE))</f>
        <v>0</v>
      </c>
      <c r="M3120" s="4" t="str">
        <f>IF(((E3120)=TRUE),  C3120 &amp; "|" &amp; H3120,  "")</f>
        <v>principal-knowledge-authority|SendIntents</v>
      </c>
      <c r="N3120" s="3" t="s">
        <v>10004</v>
      </c>
    </row>
    <row r="3121">
      <c r="A3121" s="3" t="s">
        <v>13123</v>
      </c>
      <c r="B3121" s="4" t="str">
        <f>C3121 &amp; " -&gt; " &amp; D3121</f>
        <v>principal-knowledge-authority -&gt; SendIntents.ContentGatePassed</v>
      </c>
      <c r="C3121" s="3" t="s">
        <v>9774</v>
      </c>
      <c r="D3121" s="3" t="s">
        <v>4813</v>
      </c>
      <c r="E3121" s="3" t="b">
        <v>1</v>
      </c>
      <c r="F3121" s="3" t="b">
        <v>0</v>
      </c>
      <c r="G3121" s="3" t="s">
        <v>10003</v>
      </c>
      <c r="H3121" s="4" t="str">
        <f>_xlfn.IFNA(IF(((INDEX(RulebookFields!C2:C1898, MATCH(D3121,RulebookFields!A2:A1898, 0))="")=TRUE),  "",  INDEX(RulebookFields!C2:C1898, MATCH(D3121,RulebookFields!A2:A1898, 0))), "")</f>
        <v>SendIntents</v>
      </c>
      <c r="I3121" s="4" t="str">
        <f>_xlfn.IFNA(IF(((INDEX(RulebookFields!D2:D1898, MATCH(D3121,RulebookFields!A2:A1898, 0))="")=TRUE),  "",  INDEX(RulebookFields!D2:D1898, MATCH(D3121,RulebookFields!A2:A1898, 0))), "")</f>
        <v>ContentGatePassed</v>
      </c>
      <c r="J3121" s="4" t="b">
        <f>_xlfn.IFNA(IF(((INDEX(RulebookFields!I2:I1898, MATCH(D3121,RulebookFields!A2:A1898, 0))="")=TRUE),  "",  INDEX(RulebookFields!I2:I1898, MATCH(D3121,RulebookFields!A2:A1898, 0))), "")</f>
        <v>1</v>
      </c>
      <c r="K3121" s="4" t="b">
        <f>AND(((F3121)=TRUE), ((J3121)=TRUE))</f>
        <v>0</v>
      </c>
      <c r="L3121" s="4" t="b">
        <f>AND(((G3121 &lt;&gt; "plain")=TRUE), ((G3121 &lt;&gt; "")=TRUE))</f>
        <v>0</v>
      </c>
      <c r="M3121" s="4" t="str">
        <f>IF(((E3121)=TRUE),  C3121 &amp; "|" &amp; H3121,  "")</f>
        <v>principal-knowledge-authority|SendIntents</v>
      </c>
      <c r="N3121" s="3" t="s">
        <v>10004</v>
      </c>
    </row>
    <row r="3122">
      <c r="A3122" s="3" t="s">
        <v>13124</v>
      </c>
      <c r="B3122" s="4" t="str">
        <f>C3122 &amp; " -&gt; " &amp; D3122</f>
        <v>principal-knowledge-authority -&gt; SendIntents.TemplateIsSendable</v>
      </c>
      <c r="C3122" s="3" t="s">
        <v>9774</v>
      </c>
      <c r="D3122" s="3" t="s">
        <v>4816</v>
      </c>
      <c r="E3122" s="3" t="b">
        <v>1</v>
      </c>
      <c r="F3122" s="3" t="b">
        <v>0</v>
      </c>
      <c r="G3122" s="3" t="s">
        <v>10003</v>
      </c>
      <c r="H3122" s="4" t="str">
        <f>_xlfn.IFNA(IF(((INDEX(RulebookFields!C2:C1898, MATCH(D3122,RulebookFields!A2:A1898, 0))="")=TRUE),  "",  INDEX(RulebookFields!C2:C1898, MATCH(D3122,RulebookFields!A2:A1898, 0))), "")</f>
        <v>SendIntents</v>
      </c>
      <c r="I3122" s="4" t="str">
        <f>_xlfn.IFNA(IF(((INDEX(RulebookFields!D2:D1898, MATCH(D3122,RulebookFields!A2:A1898, 0))="")=TRUE),  "",  INDEX(RulebookFields!D2:D1898, MATCH(D3122,RulebookFields!A2:A1898, 0))), "")</f>
        <v>TemplateIsSendable</v>
      </c>
      <c r="J3122" s="4" t="b">
        <f>_xlfn.IFNA(IF(((INDEX(RulebookFields!I2:I1898, MATCH(D3122,RulebookFields!A2:A1898, 0))="")=TRUE),  "",  INDEX(RulebookFields!I2:I1898, MATCH(D3122,RulebookFields!A2:A1898, 0))), "")</f>
        <v>1</v>
      </c>
      <c r="K3122" s="4" t="b">
        <f>AND(((F3122)=TRUE), ((J3122)=TRUE))</f>
        <v>0</v>
      </c>
      <c r="L3122" s="4" t="b">
        <f>AND(((G3122 &lt;&gt; "plain")=TRUE), ((G3122 &lt;&gt; "")=TRUE))</f>
        <v>0</v>
      </c>
      <c r="M3122" s="4" t="str">
        <f>IF(((E3122)=TRUE),  C3122 &amp; "|" &amp; H3122,  "")</f>
        <v>principal-knowledge-authority|SendIntents</v>
      </c>
      <c r="N3122" s="3" t="s">
        <v>10004</v>
      </c>
    </row>
    <row r="3123">
      <c r="A3123" s="3" t="s">
        <v>13125</v>
      </c>
      <c r="B3123" s="4" t="str">
        <f>C3123 &amp; " -&gt; " &amp; D3123</f>
        <v>principal-knowledge-authority -&gt; SendIntents.ExecutionHasLegalClearance</v>
      </c>
      <c r="C3123" s="3" t="s">
        <v>9774</v>
      </c>
      <c r="D3123" s="3" t="s">
        <v>4818</v>
      </c>
      <c r="E3123" s="3" t="b">
        <v>1</v>
      </c>
      <c r="F3123" s="3" t="b">
        <v>0</v>
      </c>
      <c r="G3123" s="3" t="s">
        <v>10003</v>
      </c>
      <c r="H3123" s="4" t="str">
        <f>_xlfn.IFNA(IF(((INDEX(RulebookFields!C2:C1898, MATCH(D3123,RulebookFields!A2:A1898, 0))="")=TRUE),  "",  INDEX(RulebookFields!C2:C1898, MATCH(D3123,RulebookFields!A2:A1898, 0))), "")</f>
        <v>SendIntents</v>
      </c>
      <c r="I3123" s="4" t="str">
        <f>_xlfn.IFNA(IF(((INDEX(RulebookFields!D2:D1898, MATCH(D3123,RulebookFields!A2:A1898, 0))="")=TRUE),  "",  INDEX(RulebookFields!D2:D1898, MATCH(D3123,RulebookFields!A2:A1898, 0))), "")</f>
        <v>ExecutionHasLegalClearance</v>
      </c>
      <c r="J3123" s="4" t="b">
        <f>_xlfn.IFNA(IF(((INDEX(RulebookFields!I2:I1898, MATCH(D3123,RulebookFields!A2:A1898, 0))="")=TRUE),  "",  INDEX(RulebookFields!I2:I1898, MATCH(D3123,RulebookFields!A2:A1898, 0))), "")</f>
        <v>1</v>
      </c>
      <c r="K3123" s="4" t="b">
        <f>AND(((F3123)=TRUE), ((J3123)=TRUE))</f>
        <v>0</v>
      </c>
      <c r="L3123" s="4" t="b">
        <f>AND(((G3123 &lt;&gt; "plain")=TRUE), ((G3123 &lt;&gt; "")=TRUE))</f>
        <v>0</v>
      </c>
      <c r="M3123" s="4" t="str">
        <f>IF(((E3123)=TRUE),  C3123 &amp; "|" &amp; H3123,  "")</f>
        <v>principal-knowledge-authority|SendIntents</v>
      </c>
      <c r="N3123" s="3" t="s">
        <v>10004</v>
      </c>
    </row>
    <row r="3124">
      <c r="A3124" s="3" t="s">
        <v>13126</v>
      </c>
      <c r="B3124" s="4" t="str">
        <f>C3124 &amp; " -&gt; " &amp; D3124</f>
        <v>principal-knowledge-authority -&gt; SendIntents.IntentApprovalRole</v>
      </c>
      <c r="C3124" s="3" t="s">
        <v>9774</v>
      </c>
      <c r="D3124" s="3" t="s">
        <v>4820</v>
      </c>
      <c r="E3124" s="3" t="b">
        <v>1</v>
      </c>
      <c r="F3124" s="3" t="b">
        <v>0</v>
      </c>
      <c r="G3124" s="3" t="s">
        <v>10003</v>
      </c>
      <c r="H3124" s="4" t="str">
        <f>_xlfn.IFNA(IF(((INDEX(RulebookFields!C2:C1898, MATCH(D3124,RulebookFields!A2:A1898, 0))="")=TRUE),  "",  INDEX(RulebookFields!C2:C1898, MATCH(D3124,RulebookFields!A2:A1898, 0))), "")</f>
        <v>SendIntents</v>
      </c>
      <c r="I3124" s="4" t="str">
        <f>_xlfn.IFNA(IF(((INDEX(RulebookFields!D2:D1898, MATCH(D3124,RulebookFields!A2:A1898, 0))="")=TRUE),  "",  INDEX(RulebookFields!D2:D1898, MATCH(D3124,RulebookFields!A2:A1898, 0))), "")</f>
        <v>IntentApprovalRole</v>
      </c>
      <c r="J3124" s="4" t="b">
        <f>_xlfn.IFNA(IF(((INDEX(RulebookFields!I2:I1898, MATCH(D3124,RulebookFields!A2:A1898, 0))="")=TRUE),  "",  INDEX(RulebookFields!I2:I1898, MATCH(D3124,RulebookFields!A2:A1898, 0))), "")</f>
        <v>1</v>
      </c>
      <c r="K3124" s="4" t="b">
        <f>AND(((F3124)=TRUE), ((J3124)=TRUE))</f>
        <v>0</v>
      </c>
      <c r="L3124" s="4" t="b">
        <f>AND(((G3124 &lt;&gt; "plain")=TRUE), ((G3124 &lt;&gt; "")=TRUE))</f>
        <v>0</v>
      </c>
      <c r="M3124" s="4" t="str">
        <f>IF(((E3124)=TRUE),  C3124 &amp; "|" &amp; H3124,  "")</f>
        <v>principal-knowledge-authority|SendIntents</v>
      </c>
      <c r="N3124" s="3" t="s">
        <v>10004</v>
      </c>
    </row>
    <row r="3125">
      <c r="A3125" s="3" t="s">
        <v>13127</v>
      </c>
      <c r="B3125" s="4" t="str">
        <f>C3125 &amp; " -&gt; " &amp; D3125</f>
        <v>principal-knowledge-authority -&gt; SendIntents.ApprovalRoleAgentKind</v>
      </c>
      <c r="C3125" s="3" t="s">
        <v>9774</v>
      </c>
      <c r="D3125" s="3" t="s">
        <v>4823</v>
      </c>
      <c r="E3125" s="3" t="b">
        <v>1</v>
      </c>
      <c r="F3125" s="3" t="b">
        <v>0</v>
      </c>
      <c r="G3125" s="3" t="s">
        <v>10003</v>
      </c>
      <c r="H3125" s="4" t="str">
        <f>_xlfn.IFNA(IF(((INDEX(RulebookFields!C2:C1898, MATCH(D3125,RulebookFields!A2:A1898, 0))="")=TRUE),  "",  INDEX(RulebookFields!C2:C1898, MATCH(D3125,RulebookFields!A2:A1898, 0))), "")</f>
        <v>SendIntents</v>
      </c>
      <c r="I3125" s="4" t="str">
        <f>_xlfn.IFNA(IF(((INDEX(RulebookFields!D2:D1898, MATCH(D3125,RulebookFields!A2:A1898, 0))="")=TRUE),  "",  INDEX(RulebookFields!D2:D1898, MATCH(D3125,RulebookFields!A2:A1898, 0))), "")</f>
        <v>ApprovalRoleAgentKind</v>
      </c>
      <c r="J3125" s="4" t="b">
        <f>_xlfn.IFNA(IF(((INDEX(RulebookFields!I2:I1898, MATCH(D3125,RulebookFields!A2:A1898, 0))="")=TRUE),  "",  INDEX(RulebookFields!I2:I1898, MATCH(D3125,RulebookFields!A2:A1898, 0))), "")</f>
        <v>1</v>
      </c>
      <c r="K3125" s="4" t="b">
        <f>AND(((F3125)=TRUE), ((J3125)=TRUE))</f>
        <v>0</v>
      </c>
      <c r="L3125" s="4" t="b">
        <f>AND(((G3125 &lt;&gt; "plain")=TRUE), ((G3125 &lt;&gt; "")=TRUE))</f>
        <v>0</v>
      </c>
      <c r="M3125" s="4" t="str">
        <f>IF(((E3125)=TRUE),  C3125 &amp; "|" &amp; H3125,  "")</f>
        <v>principal-knowledge-authority|SendIntents</v>
      </c>
      <c r="N3125" s="3" t="s">
        <v>10004</v>
      </c>
    </row>
    <row r="3126">
      <c r="A3126" s="3" t="s">
        <v>13128</v>
      </c>
      <c r="B3126" s="4" t="str">
        <f>C3126 &amp; " -&gt; " &amp; D3126</f>
        <v>principal-knowledge-authority -&gt; SendIntents.ApprovalIsHuman</v>
      </c>
      <c r="C3126" s="3" t="s">
        <v>9774</v>
      </c>
      <c r="D3126" s="3" t="s">
        <v>4826</v>
      </c>
      <c r="E3126" s="3" t="b">
        <v>1</v>
      </c>
      <c r="F3126" s="3" t="b">
        <v>0</v>
      </c>
      <c r="G3126" s="3" t="s">
        <v>10003</v>
      </c>
      <c r="H3126" s="4" t="str">
        <f>_xlfn.IFNA(IF(((INDEX(RulebookFields!C2:C1898, MATCH(D3126,RulebookFields!A2:A1898, 0))="")=TRUE),  "",  INDEX(RulebookFields!C2:C1898, MATCH(D3126,RulebookFields!A2:A1898, 0))), "")</f>
        <v>SendIntents</v>
      </c>
      <c r="I3126" s="4" t="str">
        <f>_xlfn.IFNA(IF(((INDEX(RulebookFields!D2:D1898, MATCH(D3126,RulebookFields!A2:A1898, 0))="")=TRUE),  "",  INDEX(RulebookFields!D2:D1898, MATCH(D3126,RulebookFields!A2:A1898, 0))), "")</f>
        <v>ApprovalIsHuman</v>
      </c>
      <c r="J3126" s="4" t="b">
        <f>_xlfn.IFNA(IF(((INDEX(RulebookFields!I2:I1898, MATCH(D3126,RulebookFields!A2:A1898, 0))="")=TRUE),  "",  INDEX(RulebookFields!I2:I1898, MATCH(D3126,RulebookFields!A2:A1898, 0))), "")</f>
        <v>1</v>
      </c>
      <c r="K3126" s="4" t="b">
        <f>AND(((F3126)=TRUE), ((J3126)=TRUE))</f>
        <v>0</v>
      </c>
      <c r="L3126" s="4" t="b">
        <f>AND(((G3126 &lt;&gt; "plain")=TRUE), ((G3126 &lt;&gt; "")=TRUE))</f>
        <v>0</v>
      </c>
      <c r="M3126" s="4" t="str">
        <f>IF(((E3126)=TRUE),  C3126 &amp; "|" &amp; H3126,  "")</f>
        <v>principal-knowledge-authority|SendIntents</v>
      </c>
      <c r="N3126" s="3" t="s">
        <v>10004</v>
      </c>
    </row>
    <row r="3127">
      <c r="A3127" s="3" t="s">
        <v>13129</v>
      </c>
      <c r="B3127" s="4" t="str">
        <f>C3127 &amp; " -&gt; " &amp; D3127</f>
        <v>principal-knowledge-authority -&gt; SendIntents.AuthorizationGatePassed</v>
      </c>
      <c r="C3127" s="3" t="s">
        <v>9774</v>
      </c>
      <c r="D3127" s="3" t="s">
        <v>4829</v>
      </c>
      <c r="E3127" s="3" t="b">
        <v>1</v>
      </c>
      <c r="F3127" s="3" t="b">
        <v>0</v>
      </c>
      <c r="G3127" s="3" t="s">
        <v>10003</v>
      </c>
      <c r="H3127" s="4" t="str">
        <f>_xlfn.IFNA(IF(((INDEX(RulebookFields!C2:C1898, MATCH(D3127,RulebookFields!A2:A1898, 0))="")=TRUE),  "",  INDEX(RulebookFields!C2:C1898, MATCH(D3127,RulebookFields!A2:A1898, 0))), "")</f>
        <v>SendIntents</v>
      </c>
      <c r="I3127" s="4" t="str">
        <f>_xlfn.IFNA(IF(((INDEX(RulebookFields!D2:D1898, MATCH(D3127,RulebookFields!A2:A1898, 0))="")=TRUE),  "",  INDEX(RulebookFields!D2:D1898, MATCH(D3127,RulebookFields!A2:A1898, 0))), "")</f>
        <v>AuthorizationGatePassed</v>
      </c>
      <c r="J3127" s="4" t="b">
        <f>_xlfn.IFNA(IF(((INDEX(RulebookFields!I2:I1898, MATCH(D3127,RulebookFields!A2:A1898, 0))="")=TRUE),  "",  INDEX(RulebookFields!I2:I1898, MATCH(D3127,RulebookFields!A2:A1898, 0))), "")</f>
        <v>1</v>
      </c>
      <c r="K3127" s="4" t="b">
        <f>AND(((F3127)=TRUE), ((J3127)=TRUE))</f>
        <v>0</v>
      </c>
      <c r="L3127" s="4" t="b">
        <f>AND(((G3127 &lt;&gt; "plain")=TRUE), ((G3127 &lt;&gt; "")=TRUE))</f>
        <v>0</v>
      </c>
      <c r="M3127" s="4" t="str">
        <f>IF(((E3127)=TRUE),  C3127 &amp; "|" &amp; H3127,  "")</f>
        <v>principal-knowledge-authority|SendIntents</v>
      </c>
      <c r="N3127" s="3" t="s">
        <v>10004</v>
      </c>
    </row>
    <row r="3128">
      <c r="A3128" s="3" t="s">
        <v>13130</v>
      </c>
      <c r="B3128" s="4" t="str">
        <f>C3128 &amp; " -&gt; " &amp; D3128</f>
        <v>principal-knowledge-authority -&gt; SendIntents.IsClearedToSend</v>
      </c>
      <c r="C3128" s="3" t="s">
        <v>9774</v>
      </c>
      <c r="D3128" s="3" t="s">
        <v>4832</v>
      </c>
      <c r="E3128" s="3" t="b">
        <v>1</v>
      </c>
      <c r="F3128" s="3" t="b">
        <v>0</v>
      </c>
      <c r="G3128" s="3" t="s">
        <v>10003</v>
      </c>
      <c r="H3128" s="4" t="str">
        <f>_xlfn.IFNA(IF(((INDEX(RulebookFields!C2:C1898, MATCH(D3128,RulebookFields!A2:A1898, 0))="")=TRUE),  "",  INDEX(RulebookFields!C2:C1898, MATCH(D3128,RulebookFields!A2:A1898, 0))), "")</f>
        <v>SendIntents</v>
      </c>
      <c r="I3128" s="4" t="str">
        <f>_xlfn.IFNA(IF(((INDEX(RulebookFields!D2:D1898, MATCH(D3128,RulebookFields!A2:A1898, 0))="")=TRUE),  "",  INDEX(RulebookFields!D2:D1898, MATCH(D3128,RulebookFields!A2:A1898, 0))), "")</f>
        <v>IsClearedToSend</v>
      </c>
      <c r="J3128" s="4" t="b">
        <f>_xlfn.IFNA(IF(((INDEX(RulebookFields!I2:I1898, MATCH(D3128,RulebookFields!A2:A1898, 0))="")=TRUE),  "",  INDEX(RulebookFields!I2:I1898, MATCH(D3128,RulebookFields!A2:A1898, 0))), "")</f>
        <v>1</v>
      </c>
      <c r="K3128" s="4" t="b">
        <f>AND(((F3128)=TRUE), ((J3128)=TRUE))</f>
        <v>0</v>
      </c>
      <c r="L3128" s="4" t="b">
        <f>AND(((G3128 &lt;&gt; "plain")=TRUE), ((G3128 &lt;&gt; "")=TRUE))</f>
        <v>0</v>
      </c>
      <c r="M3128" s="4" t="str">
        <f>IF(((E3128)=TRUE),  C3128 &amp; "|" &amp; H3128,  "")</f>
        <v>principal-knowledge-authority|SendIntents</v>
      </c>
      <c r="N3128" s="3" t="s">
        <v>10004</v>
      </c>
    </row>
    <row r="3129">
      <c r="A3129" s="3" t="s">
        <v>13131</v>
      </c>
      <c r="B3129" s="4" t="str">
        <f>C3129 &amp; " -&gt; " &amp; D3129</f>
        <v>principal-knowledge-authority -&gt; SendIntents.BlockingGateName</v>
      </c>
      <c r="C3129" s="3" t="s">
        <v>9774</v>
      </c>
      <c r="D3129" s="3" t="s">
        <v>4835</v>
      </c>
      <c r="E3129" s="3" t="b">
        <v>1</v>
      </c>
      <c r="F3129" s="3" t="b">
        <v>0</v>
      </c>
      <c r="G3129" s="3" t="s">
        <v>10003</v>
      </c>
      <c r="H3129" s="4" t="str">
        <f>_xlfn.IFNA(IF(((INDEX(RulebookFields!C2:C1898, MATCH(D3129,RulebookFields!A2:A1898, 0))="")=TRUE),  "",  INDEX(RulebookFields!C2:C1898, MATCH(D3129,RulebookFields!A2:A1898, 0))), "")</f>
        <v>SendIntents</v>
      </c>
      <c r="I3129" s="4" t="str">
        <f>_xlfn.IFNA(IF(((INDEX(RulebookFields!D2:D1898, MATCH(D3129,RulebookFields!A2:A1898, 0))="")=TRUE),  "",  INDEX(RulebookFields!D2:D1898, MATCH(D3129,RulebookFields!A2:A1898, 0))), "")</f>
        <v>BlockingGateName</v>
      </c>
      <c r="J3129" s="4" t="b">
        <f>_xlfn.IFNA(IF(((INDEX(RulebookFields!I2:I1898, MATCH(D3129,RulebookFields!A2:A1898, 0))="")=TRUE),  "",  INDEX(RulebookFields!I2:I1898, MATCH(D3129,RulebookFields!A2:A1898, 0))), "")</f>
        <v>1</v>
      </c>
      <c r="K3129" s="4" t="b">
        <f>AND(((F3129)=TRUE), ((J3129)=TRUE))</f>
        <v>0</v>
      </c>
      <c r="L3129" s="4" t="b">
        <f>AND(((G3129 &lt;&gt; "plain")=TRUE), ((G3129 &lt;&gt; "")=TRUE))</f>
        <v>0</v>
      </c>
      <c r="M3129" s="4" t="str">
        <f>IF(((E3129)=TRUE),  C3129 &amp; "|" &amp; H3129,  "")</f>
        <v>principal-knowledge-authority|SendIntents</v>
      </c>
      <c r="N3129" s="3" t="s">
        <v>10004</v>
      </c>
    </row>
    <row r="3130">
      <c r="A3130" s="3" t="s">
        <v>13132</v>
      </c>
      <c r="B3130" s="4" t="str">
        <f>C3130 &amp; " -&gt; " &amp; D3130</f>
        <v>principal-knowledge-authority -&gt; SendIntents.HasResultingDelivery</v>
      </c>
      <c r="C3130" s="3" t="s">
        <v>9774</v>
      </c>
      <c r="D3130" s="3" t="s">
        <v>4838</v>
      </c>
      <c r="E3130" s="3" t="b">
        <v>1</v>
      </c>
      <c r="F3130" s="3" t="b">
        <v>0</v>
      </c>
      <c r="G3130" s="3" t="s">
        <v>10003</v>
      </c>
      <c r="H3130" s="4" t="str">
        <f>_xlfn.IFNA(IF(((INDEX(RulebookFields!C2:C1898, MATCH(D3130,RulebookFields!A2:A1898, 0))="")=TRUE),  "",  INDEX(RulebookFields!C2:C1898, MATCH(D3130,RulebookFields!A2:A1898, 0))), "")</f>
        <v>SendIntents</v>
      </c>
      <c r="I3130" s="4" t="str">
        <f>_xlfn.IFNA(IF(((INDEX(RulebookFields!D2:D1898, MATCH(D3130,RulebookFields!A2:A1898, 0))="")=TRUE),  "",  INDEX(RulebookFields!D2:D1898, MATCH(D3130,RulebookFields!A2:A1898, 0))), "")</f>
        <v>HasResultingDelivery</v>
      </c>
      <c r="J3130" s="4" t="b">
        <f>_xlfn.IFNA(IF(((INDEX(RulebookFields!I2:I1898, MATCH(D3130,RulebookFields!A2:A1898, 0))="")=TRUE),  "",  INDEX(RulebookFields!I2:I1898, MATCH(D3130,RulebookFields!A2:A1898, 0))), "")</f>
        <v>1</v>
      </c>
      <c r="K3130" s="4" t="b">
        <f>AND(((F3130)=TRUE), ((J3130)=TRUE))</f>
        <v>0</v>
      </c>
      <c r="L3130" s="4" t="b">
        <f>AND(((G3130 &lt;&gt; "plain")=TRUE), ((G3130 &lt;&gt; "")=TRUE))</f>
        <v>0</v>
      </c>
      <c r="M3130" s="4" t="str">
        <f>IF(((E3130)=TRUE),  C3130 &amp; "|" &amp; H3130,  "")</f>
        <v>principal-knowledge-authority|SendIntents</v>
      </c>
      <c r="N3130" s="3" t="s">
        <v>10004</v>
      </c>
    </row>
    <row r="3131">
      <c r="A3131" s="3" t="s">
        <v>13133</v>
      </c>
      <c r="B3131" s="4" t="str">
        <f>C3131 &amp; " -&gt; " &amp; D3131</f>
        <v>principal-knowledge-authority -&gt; SendIntents.ResultingDeliveryWasTransmitted</v>
      </c>
      <c r="C3131" s="3" t="s">
        <v>9774</v>
      </c>
      <c r="D3131" s="3" t="s">
        <v>4841</v>
      </c>
      <c r="E3131" s="3" t="b">
        <v>1</v>
      </c>
      <c r="F3131" s="3" t="b">
        <v>0</v>
      </c>
      <c r="G3131" s="3" t="s">
        <v>10003</v>
      </c>
      <c r="H3131" s="4" t="str">
        <f>_xlfn.IFNA(IF(((INDEX(RulebookFields!C2:C1898, MATCH(D3131,RulebookFields!A2:A1898, 0))="")=TRUE),  "",  INDEX(RulebookFields!C2:C1898, MATCH(D3131,RulebookFields!A2:A1898, 0))), "")</f>
        <v>SendIntents</v>
      </c>
      <c r="I3131" s="4" t="str">
        <f>_xlfn.IFNA(IF(((INDEX(RulebookFields!D2:D1898, MATCH(D3131,RulebookFields!A2:A1898, 0))="")=TRUE),  "",  INDEX(RulebookFields!D2:D1898, MATCH(D3131,RulebookFields!A2:A1898, 0))), "")</f>
        <v>ResultingDeliveryWasTransmitted</v>
      </c>
      <c r="J3131" s="4" t="b">
        <f>_xlfn.IFNA(IF(((INDEX(RulebookFields!I2:I1898, MATCH(D3131,RulebookFields!A2:A1898, 0))="")=TRUE),  "",  INDEX(RulebookFields!I2:I1898, MATCH(D3131,RulebookFields!A2:A1898, 0))), "")</f>
        <v>1</v>
      </c>
      <c r="K3131" s="4" t="b">
        <f>AND(((F3131)=TRUE), ((J3131)=TRUE))</f>
        <v>0</v>
      </c>
      <c r="L3131" s="4" t="b">
        <f>AND(((G3131 &lt;&gt; "plain")=TRUE), ((G3131 &lt;&gt; "")=TRUE))</f>
        <v>0</v>
      </c>
      <c r="M3131" s="4" t="str">
        <f>IF(((E3131)=TRUE),  C3131 &amp; "|" &amp; H3131,  "")</f>
        <v>principal-knowledge-authority|SendIntents</v>
      </c>
      <c r="N3131" s="3" t="s">
        <v>10004</v>
      </c>
    </row>
    <row r="3132">
      <c r="A3132" s="3" t="s">
        <v>13134</v>
      </c>
      <c r="B3132" s="4" t="str">
        <f>C3132 &amp; " -&gt; " &amp; D3132</f>
        <v>principal-knowledge-authority -&gt; SendIntents.IsOverriddenRefusal</v>
      </c>
      <c r="C3132" s="3" t="s">
        <v>9774</v>
      </c>
      <c r="D3132" s="3" t="s">
        <v>4844</v>
      </c>
      <c r="E3132" s="3" t="b">
        <v>1</v>
      </c>
      <c r="F3132" s="3" t="b">
        <v>0</v>
      </c>
      <c r="G3132" s="3" t="s">
        <v>10003</v>
      </c>
      <c r="H3132" s="4" t="str">
        <f>_xlfn.IFNA(IF(((INDEX(RulebookFields!C2:C1898, MATCH(D3132,RulebookFields!A2:A1898, 0))="")=TRUE),  "",  INDEX(RulebookFields!C2:C1898, MATCH(D3132,RulebookFields!A2:A1898, 0))), "")</f>
        <v>SendIntents</v>
      </c>
      <c r="I3132" s="4" t="str">
        <f>_xlfn.IFNA(IF(((INDEX(RulebookFields!D2:D1898, MATCH(D3132,RulebookFields!A2:A1898, 0))="")=TRUE),  "",  INDEX(RulebookFields!D2:D1898, MATCH(D3132,RulebookFields!A2:A1898, 0))), "")</f>
        <v>IsOverriddenRefusal</v>
      </c>
      <c r="J3132" s="4" t="b">
        <f>_xlfn.IFNA(IF(((INDEX(RulebookFields!I2:I1898, MATCH(D3132,RulebookFields!A2:A1898, 0))="")=TRUE),  "",  INDEX(RulebookFields!I2:I1898, MATCH(D3132,RulebookFields!A2:A1898, 0))), "")</f>
        <v>1</v>
      </c>
      <c r="K3132" s="4" t="b">
        <f>AND(((F3132)=TRUE), ((J3132)=TRUE))</f>
        <v>0</v>
      </c>
      <c r="L3132" s="4" t="b">
        <f>AND(((G3132 &lt;&gt; "plain")=TRUE), ((G3132 &lt;&gt; "")=TRUE))</f>
        <v>0</v>
      </c>
      <c r="M3132" s="4" t="str">
        <f>IF(((E3132)=TRUE),  C3132 &amp; "|" &amp; H3132,  "")</f>
        <v>principal-knowledge-authority|SendIntents</v>
      </c>
      <c r="N3132" s="3" t="s">
        <v>10004</v>
      </c>
    </row>
    <row r="3133">
      <c r="A3133" s="3" t="s">
        <v>13135</v>
      </c>
      <c r="B3133" s="4" t="str">
        <f>C3133 &amp; " -&gt; " &amp; D3133</f>
        <v>principal-knowledge-authority -&gt; SendIntents.IsSilentlyDropped</v>
      </c>
      <c r="C3133" s="3" t="s">
        <v>9774</v>
      </c>
      <c r="D3133" s="3" t="s">
        <v>4847</v>
      </c>
      <c r="E3133" s="3" t="b">
        <v>1</v>
      </c>
      <c r="F3133" s="3" t="b">
        <v>0</v>
      </c>
      <c r="G3133" s="3" t="s">
        <v>10003</v>
      </c>
      <c r="H3133" s="4" t="str">
        <f>_xlfn.IFNA(IF(((INDEX(RulebookFields!C2:C1898, MATCH(D3133,RulebookFields!A2:A1898, 0))="")=TRUE),  "",  INDEX(RulebookFields!C2:C1898, MATCH(D3133,RulebookFields!A2:A1898, 0))), "")</f>
        <v>SendIntents</v>
      </c>
      <c r="I3133" s="4" t="str">
        <f>_xlfn.IFNA(IF(((INDEX(RulebookFields!D2:D1898, MATCH(D3133,RulebookFields!A2:A1898, 0))="")=TRUE),  "",  INDEX(RulebookFields!D2:D1898, MATCH(D3133,RulebookFields!A2:A1898, 0))), "")</f>
        <v>IsSilentlyDropped</v>
      </c>
      <c r="J3133" s="4" t="b">
        <f>_xlfn.IFNA(IF(((INDEX(RulebookFields!I2:I1898, MATCH(D3133,RulebookFields!A2:A1898, 0))="")=TRUE),  "",  INDEX(RulebookFields!I2:I1898, MATCH(D3133,RulebookFields!A2:A1898, 0))), "")</f>
        <v>1</v>
      </c>
      <c r="K3133" s="4" t="b">
        <f>AND(((F3133)=TRUE), ((J3133)=TRUE))</f>
        <v>0</v>
      </c>
      <c r="L3133" s="4" t="b">
        <f>AND(((G3133 &lt;&gt; "plain")=TRUE), ((G3133 &lt;&gt; "")=TRUE))</f>
        <v>0</v>
      </c>
      <c r="M3133" s="4" t="str">
        <f>IF(((E3133)=TRUE),  C3133 &amp; "|" &amp; H3133,  "")</f>
        <v>principal-knowledge-authority|SendIntents</v>
      </c>
      <c r="N3133" s="3" t="s">
        <v>10004</v>
      </c>
    </row>
    <row r="3134">
      <c r="A3134" s="3" t="s">
        <v>13136</v>
      </c>
      <c r="B3134" s="4" t="str">
        <f>C3134 &amp; " -&gt; " &amp; D3134</f>
        <v>principal-knowledge-authority -&gt; SendIntents.ResultingDeliveryException</v>
      </c>
      <c r="C3134" s="3" t="s">
        <v>9774</v>
      </c>
      <c r="D3134" s="3" t="s">
        <v>4850</v>
      </c>
      <c r="E3134" s="3" t="b">
        <v>1</v>
      </c>
      <c r="F3134" s="3" t="b">
        <v>0</v>
      </c>
      <c r="G3134" s="3" t="s">
        <v>10003</v>
      </c>
      <c r="H3134" s="4" t="str">
        <f>_xlfn.IFNA(IF(((INDEX(RulebookFields!C2:C1898, MATCH(D3134,RulebookFields!A2:A1898, 0))="")=TRUE),  "",  INDEX(RulebookFields!C2:C1898, MATCH(D3134,RulebookFields!A2:A1898, 0))), "")</f>
        <v>SendIntents</v>
      </c>
      <c r="I3134" s="4" t="str">
        <f>_xlfn.IFNA(IF(((INDEX(RulebookFields!D2:D1898, MATCH(D3134,RulebookFields!A2:A1898, 0))="")=TRUE),  "",  INDEX(RulebookFields!D2:D1898, MATCH(D3134,RulebookFields!A2:A1898, 0))), "")</f>
        <v>ResultingDeliveryException</v>
      </c>
      <c r="J3134" s="4" t="b">
        <f>_xlfn.IFNA(IF(((INDEX(RulebookFields!I2:I1898, MATCH(D3134,RulebookFields!A2:A1898, 0))="")=TRUE),  "",  INDEX(RulebookFields!I2:I1898, MATCH(D3134,RulebookFields!A2:A1898, 0))), "")</f>
        <v>1</v>
      </c>
      <c r="K3134" s="4" t="b">
        <f>AND(((F3134)=TRUE), ((J3134)=TRUE))</f>
        <v>0</v>
      </c>
      <c r="L3134" s="4" t="b">
        <f>AND(((G3134 &lt;&gt; "plain")=TRUE), ((G3134 &lt;&gt; "")=TRUE))</f>
        <v>0</v>
      </c>
      <c r="M3134" s="4" t="str">
        <f>IF(((E3134)=TRUE),  C3134 &amp; "|" &amp; H3134,  "")</f>
        <v>principal-knowledge-authority|SendIntents</v>
      </c>
      <c r="N3134" s="3" t="s">
        <v>10004</v>
      </c>
    </row>
    <row r="3135">
      <c r="A3135" s="3" t="s">
        <v>13137</v>
      </c>
      <c r="B3135" s="4" t="str">
        <f>C3135 &amp; " -&gt; " &amp; D3135</f>
        <v>principal-knowledge-authority -&gt; SendIntents.RefusalCitedAnException</v>
      </c>
      <c r="C3135" s="3" t="s">
        <v>9774</v>
      </c>
      <c r="D3135" s="3" t="s">
        <v>4853</v>
      </c>
      <c r="E3135" s="3" t="b">
        <v>1</v>
      </c>
      <c r="F3135" s="3" t="b">
        <v>0</v>
      </c>
      <c r="G3135" s="3" t="s">
        <v>10003</v>
      </c>
      <c r="H3135" s="4" t="str">
        <f>_xlfn.IFNA(IF(((INDEX(RulebookFields!C2:C1898, MATCH(D3135,RulebookFields!A2:A1898, 0))="")=TRUE),  "",  INDEX(RulebookFields!C2:C1898, MATCH(D3135,RulebookFields!A2:A1898, 0))), "")</f>
        <v>SendIntents</v>
      </c>
      <c r="I3135" s="4" t="str">
        <f>_xlfn.IFNA(IF(((INDEX(RulebookFields!D2:D1898, MATCH(D3135,RulebookFields!A2:A1898, 0))="")=TRUE),  "",  INDEX(RulebookFields!D2:D1898, MATCH(D3135,RulebookFields!A2:A1898, 0))), "")</f>
        <v>RefusalCitedAnException</v>
      </c>
      <c r="J3135" s="4" t="b">
        <f>_xlfn.IFNA(IF(((INDEX(RulebookFields!I2:I1898, MATCH(D3135,RulebookFields!A2:A1898, 0))="")=TRUE),  "",  INDEX(RulebookFields!I2:I1898, MATCH(D3135,RulebookFields!A2:A1898, 0))), "")</f>
        <v>1</v>
      </c>
      <c r="K3135" s="4" t="b">
        <f>AND(((F3135)=TRUE), ((J3135)=TRUE))</f>
        <v>0</v>
      </c>
      <c r="L3135" s="4" t="b">
        <f>AND(((G3135 &lt;&gt; "plain")=TRUE), ((G3135 &lt;&gt; "")=TRUE))</f>
        <v>0</v>
      </c>
      <c r="M3135" s="4" t="str">
        <f>IF(((E3135)=TRUE),  C3135 &amp; "|" &amp; H3135,  "")</f>
        <v>principal-knowledge-authority|SendIntents</v>
      </c>
      <c r="N3135" s="3" t="s">
        <v>10004</v>
      </c>
    </row>
    <row r="3136">
      <c r="A3136" s="3" t="s">
        <v>13138</v>
      </c>
      <c r="B3136" s="4" t="str">
        <f>C3136 &amp; " -&gt; " &amp; D3136</f>
        <v>principal-knowledge-authority -&gt; SendIntents.IsProperlyHandledRefusal</v>
      </c>
      <c r="C3136" s="3" t="s">
        <v>9774</v>
      </c>
      <c r="D3136" s="3" t="s">
        <v>4856</v>
      </c>
      <c r="E3136" s="3" t="b">
        <v>1</v>
      </c>
      <c r="F3136" s="3" t="b">
        <v>0</v>
      </c>
      <c r="G3136" s="3" t="s">
        <v>10003</v>
      </c>
      <c r="H3136" s="4" t="str">
        <f>_xlfn.IFNA(IF(((INDEX(RulebookFields!C2:C1898, MATCH(D3136,RulebookFields!A2:A1898, 0))="")=TRUE),  "",  INDEX(RulebookFields!C2:C1898, MATCH(D3136,RulebookFields!A2:A1898, 0))), "")</f>
        <v>SendIntents</v>
      </c>
      <c r="I3136" s="4" t="str">
        <f>_xlfn.IFNA(IF(((INDEX(RulebookFields!D2:D1898, MATCH(D3136,RulebookFields!A2:A1898, 0))="")=TRUE),  "",  INDEX(RulebookFields!D2:D1898, MATCH(D3136,RulebookFields!A2:A1898, 0))), "")</f>
        <v>IsProperlyHandledRefusal</v>
      </c>
      <c r="J3136" s="4" t="b">
        <f>_xlfn.IFNA(IF(((INDEX(RulebookFields!I2:I1898, MATCH(D3136,RulebookFields!A2:A1898, 0))="")=TRUE),  "",  INDEX(RulebookFields!I2:I1898, MATCH(D3136,RulebookFields!A2:A1898, 0))), "")</f>
        <v>1</v>
      </c>
      <c r="K3136" s="4" t="b">
        <f>AND(((F3136)=TRUE), ((J3136)=TRUE))</f>
        <v>0</v>
      </c>
      <c r="L3136" s="4" t="b">
        <f>AND(((G3136 &lt;&gt; "plain")=TRUE), ((G3136 &lt;&gt; "")=TRUE))</f>
        <v>0</v>
      </c>
      <c r="M3136" s="4" t="str">
        <f>IF(((E3136)=TRUE),  C3136 &amp; "|" &amp; H3136,  "")</f>
        <v>principal-knowledge-authority|SendIntents</v>
      </c>
      <c r="N3136" s="3" t="s">
        <v>10004</v>
      </c>
    </row>
    <row r="3137">
      <c r="A3137" s="3" t="s">
        <v>13139</v>
      </c>
      <c r="B3137" s="4" t="str">
        <f>C3137 &amp; " -&gt; " &amp; D3137</f>
        <v>principal-knowledge-authority -&gt; SendIntents.RefusalFailureExecutionKey</v>
      </c>
      <c r="C3137" s="3" t="s">
        <v>9774</v>
      </c>
      <c r="D3137" s="3" t="s">
        <v>4859</v>
      </c>
      <c r="E3137" s="3" t="b">
        <v>1</v>
      </c>
      <c r="F3137" s="3" t="b">
        <v>0</v>
      </c>
      <c r="G3137" s="3" t="s">
        <v>10003</v>
      </c>
      <c r="H3137" s="4" t="str">
        <f>_xlfn.IFNA(IF(((INDEX(RulebookFields!C2:C1898, MATCH(D3137,RulebookFields!A2:A1898, 0))="")=TRUE),  "",  INDEX(RulebookFields!C2:C1898, MATCH(D3137,RulebookFields!A2:A1898, 0))), "")</f>
        <v>SendIntents</v>
      </c>
      <c r="I3137" s="4" t="str">
        <f>_xlfn.IFNA(IF(((INDEX(RulebookFields!D2:D1898, MATCH(D3137,RulebookFields!A2:A1898, 0))="")=TRUE),  "",  INDEX(RulebookFields!D2:D1898, MATCH(D3137,RulebookFields!A2:A1898, 0))), "")</f>
        <v>RefusalFailureExecutionKey</v>
      </c>
      <c r="J3137" s="4" t="b">
        <f>_xlfn.IFNA(IF(((INDEX(RulebookFields!I2:I1898, MATCH(D3137,RulebookFields!A2:A1898, 0))="")=TRUE),  "",  INDEX(RulebookFields!I2:I1898, MATCH(D3137,RulebookFields!A2:A1898, 0))), "")</f>
        <v>1</v>
      </c>
      <c r="K3137" s="4" t="b">
        <f>AND(((F3137)=TRUE), ((J3137)=TRUE))</f>
        <v>0</v>
      </c>
      <c r="L3137" s="4" t="b">
        <f>AND(((G3137 &lt;&gt; "plain")=TRUE), ((G3137 &lt;&gt; "")=TRUE))</f>
        <v>0</v>
      </c>
      <c r="M3137" s="4" t="str">
        <f>IF(((E3137)=TRUE),  C3137 &amp; "|" &amp; H3137,  "")</f>
        <v>principal-knowledge-authority|SendIntents</v>
      </c>
      <c r="N3137" s="3" t="s">
        <v>10004</v>
      </c>
    </row>
    <row r="3138">
      <c r="A3138" s="3" t="s">
        <v>13140</v>
      </c>
      <c r="B3138" s="4" t="str">
        <f>C3138 &amp; " -&gt; " &amp; D3138</f>
        <v>principal-knowledge-authority -&gt; SendIntents.IntentExecutionKey</v>
      </c>
      <c r="C3138" s="3" t="s">
        <v>9774</v>
      </c>
      <c r="D3138" s="3" t="s">
        <v>4862</v>
      </c>
      <c r="E3138" s="3" t="b">
        <v>1</v>
      </c>
      <c r="F3138" s="3" t="b">
        <v>0</v>
      </c>
      <c r="G3138" s="3" t="s">
        <v>10003</v>
      </c>
      <c r="H3138" s="4" t="str">
        <f>_xlfn.IFNA(IF(((INDEX(RulebookFields!C2:C1898, MATCH(D3138,RulebookFields!A2:A1898, 0))="")=TRUE),  "",  INDEX(RulebookFields!C2:C1898, MATCH(D3138,RulebookFields!A2:A1898, 0))), "")</f>
        <v>SendIntents</v>
      </c>
      <c r="I3138" s="4" t="str">
        <f>_xlfn.IFNA(IF(((INDEX(RulebookFields!D2:D1898, MATCH(D3138,RulebookFields!A2:A1898, 0))="")=TRUE),  "",  INDEX(RulebookFields!D2:D1898, MATCH(D3138,RulebookFields!A2:A1898, 0))), "")</f>
        <v>IntentExecutionKey</v>
      </c>
      <c r="J3138" s="4" t="b">
        <f>_xlfn.IFNA(IF(((INDEX(RulebookFields!I2:I1898, MATCH(D3138,RulebookFields!A2:A1898, 0))="")=TRUE),  "",  INDEX(RulebookFields!I2:I1898, MATCH(D3138,RulebookFields!A2:A1898, 0))), "")</f>
        <v>1</v>
      </c>
      <c r="K3138" s="4" t="b">
        <f>AND(((F3138)=TRUE), ((J3138)=TRUE))</f>
        <v>0</v>
      </c>
      <c r="L3138" s="4" t="b">
        <f>AND(((G3138 &lt;&gt; "plain")=TRUE), ((G3138 &lt;&gt; "")=TRUE))</f>
        <v>0</v>
      </c>
      <c r="M3138" s="4" t="str">
        <f>IF(((E3138)=TRUE),  C3138 &amp; "|" &amp; H3138,  "")</f>
        <v>principal-knowledge-authority|SendIntents</v>
      </c>
      <c r="N3138" s="3" t="s">
        <v>10004</v>
      </c>
    </row>
    <row r="3139">
      <c r="A3139" s="3" t="s">
        <v>13141</v>
      </c>
      <c r="B3139" s="4" t="str">
        <f>C3139 &amp; " -&gt; " &amp; D3139</f>
        <v>principal-knowledge-authority -&gt; SendIntents.DeliveredIntentExecutionKey</v>
      </c>
      <c r="C3139" s="3" t="s">
        <v>9774</v>
      </c>
      <c r="D3139" s="3" t="s">
        <v>4865</v>
      </c>
      <c r="E3139" s="3" t="b">
        <v>1</v>
      </c>
      <c r="F3139" s="3" t="b">
        <v>0</v>
      </c>
      <c r="G3139" s="3" t="s">
        <v>10003</v>
      </c>
      <c r="H3139" s="4" t="str">
        <f>_xlfn.IFNA(IF(((INDEX(RulebookFields!C2:C1898, MATCH(D3139,RulebookFields!A2:A1898, 0))="")=TRUE),  "",  INDEX(RulebookFields!C2:C1898, MATCH(D3139,RulebookFields!A2:A1898, 0))), "")</f>
        <v>SendIntents</v>
      </c>
      <c r="I3139" s="4" t="str">
        <f>_xlfn.IFNA(IF(((INDEX(RulebookFields!D2:D1898, MATCH(D3139,RulebookFields!A2:A1898, 0))="")=TRUE),  "",  INDEX(RulebookFields!D2:D1898, MATCH(D3139,RulebookFields!A2:A1898, 0))), "")</f>
        <v>DeliveredIntentExecutionKey</v>
      </c>
      <c r="J3139" s="4" t="b">
        <f>_xlfn.IFNA(IF(((INDEX(RulebookFields!I2:I1898, MATCH(D3139,RulebookFields!A2:A1898, 0))="")=TRUE),  "",  INDEX(RulebookFields!I2:I1898, MATCH(D3139,RulebookFields!A2:A1898, 0))), "")</f>
        <v>1</v>
      </c>
      <c r="K3139" s="4" t="b">
        <f>AND(((F3139)=TRUE), ((J3139)=TRUE))</f>
        <v>0</v>
      </c>
      <c r="L3139" s="4" t="b">
        <f>AND(((G3139 &lt;&gt; "plain")=TRUE), ((G3139 &lt;&gt; "")=TRUE))</f>
        <v>0</v>
      </c>
      <c r="M3139" s="4" t="str">
        <f>IF(((E3139)=TRUE),  C3139 &amp; "|" &amp; H3139,  "")</f>
        <v>principal-knowledge-authority|SendIntents</v>
      </c>
      <c r="N3139" s="3" t="s">
        <v>10004</v>
      </c>
    </row>
    <row r="3140">
      <c r="A3140" s="3" t="s">
        <v>13142</v>
      </c>
      <c r="B3140" s="4" t="str">
        <f>C3140 &amp; " -&gt; " &amp; D3140</f>
        <v>principal-knowledge-authority -&gt; SendIntents.DroppedIntentExecutionKey</v>
      </c>
      <c r="C3140" s="3" t="s">
        <v>9774</v>
      </c>
      <c r="D3140" s="3" t="s">
        <v>4868</v>
      </c>
      <c r="E3140" s="3" t="b">
        <v>1</v>
      </c>
      <c r="F3140" s="3" t="b">
        <v>0</v>
      </c>
      <c r="G3140" s="3" t="s">
        <v>10003</v>
      </c>
      <c r="H3140" s="4" t="str">
        <f>_xlfn.IFNA(IF(((INDEX(RulebookFields!C2:C1898, MATCH(D3140,RulebookFields!A2:A1898, 0))="")=TRUE),  "",  INDEX(RulebookFields!C2:C1898, MATCH(D3140,RulebookFields!A2:A1898, 0))), "")</f>
        <v>SendIntents</v>
      </c>
      <c r="I3140" s="4" t="str">
        <f>_xlfn.IFNA(IF(((INDEX(RulebookFields!D2:D1898, MATCH(D3140,RulebookFields!A2:A1898, 0))="")=TRUE),  "",  INDEX(RulebookFields!D2:D1898, MATCH(D3140,RulebookFields!A2:A1898, 0))), "")</f>
        <v>DroppedIntentExecutionKey</v>
      </c>
      <c r="J3140" s="4" t="b">
        <f>_xlfn.IFNA(IF(((INDEX(RulebookFields!I2:I1898, MATCH(D3140,RulebookFields!A2:A1898, 0))="")=TRUE),  "",  INDEX(RulebookFields!I2:I1898, MATCH(D3140,RulebookFields!A2:A1898, 0))), "")</f>
        <v>1</v>
      </c>
      <c r="K3140" s="4" t="b">
        <f>AND(((F3140)=TRUE), ((J3140)=TRUE))</f>
        <v>0</v>
      </c>
      <c r="L3140" s="4" t="b">
        <f>AND(((G3140 &lt;&gt; "plain")=TRUE), ((G3140 &lt;&gt; "")=TRUE))</f>
        <v>0</v>
      </c>
      <c r="M3140" s="4" t="str">
        <f>IF(((E3140)=TRUE),  C3140 &amp; "|" &amp; H3140,  "")</f>
        <v>principal-knowledge-authority|SendIntents</v>
      </c>
      <c r="N3140" s="3" t="s">
        <v>10004</v>
      </c>
    </row>
    <row r="3141">
      <c r="A3141" s="3" t="s">
        <v>13143</v>
      </c>
      <c r="B3141" s="4" t="str">
        <f>C3141 &amp; " -&gt; " &amp; D3141</f>
        <v>principal-knowledge-authority -&gt; SendIntents.MyApprovalWasInForce</v>
      </c>
      <c r="C3141" s="3" t="s">
        <v>9774</v>
      </c>
      <c r="D3141" s="3" t="s">
        <v>4871</v>
      </c>
      <c r="E3141" s="3" t="b">
        <v>1</v>
      </c>
      <c r="F3141" s="3" t="b">
        <v>0</v>
      </c>
      <c r="G3141" s="3" t="s">
        <v>10003</v>
      </c>
      <c r="H3141" s="4" t="str">
        <f>_xlfn.IFNA(IF(((INDEX(RulebookFields!C2:C1898, MATCH(D3141,RulebookFields!A2:A1898, 0))="")=TRUE),  "",  INDEX(RulebookFields!C2:C1898, MATCH(D3141,RulebookFields!A2:A1898, 0))), "")</f>
        <v>SendIntents</v>
      </c>
      <c r="I3141" s="4" t="str">
        <f>_xlfn.IFNA(IF(((INDEX(RulebookFields!D2:D1898, MATCH(D3141,RulebookFields!A2:A1898, 0))="")=TRUE),  "",  INDEX(RulebookFields!D2:D1898, MATCH(D3141,RulebookFields!A2:A1898, 0))), "")</f>
        <v>MyApprovalWasInForce</v>
      </c>
      <c r="J3141" s="4" t="b">
        <f>_xlfn.IFNA(IF(((INDEX(RulebookFields!I2:I1898, MATCH(D3141,RulebookFields!A2:A1898, 0))="")=TRUE),  "",  INDEX(RulebookFields!I2:I1898, MATCH(D3141,RulebookFields!A2:A1898, 0))), "")</f>
        <v>1</v>
      </c>
      <c r="K3141" s="4" t="b">
        <f>AND(((F3141)=TRUE), ((J3141)=TRUE))</f>
        <v>0</v>
      </c>
      <c r="L3141" s="4" t="b">
        <f>AND(((G3141 &lt;&gt; "plain")=TRUE), ((G3141 &lt;&gt; "")=TRUE))</f>
        <v>0</v>
      </c>
      <c r="M3141" s="4" t="str">
        <f>IF(((E3141)=TRUE),  C3141 &amp; "|" &amp; H3141,  "")</f>
        <v>principal-knowledge-authority|SendIntents</v>
      </c>
      <c r="N3141" s="3" t="s">
        <v>10004</v>
      </c>
    </row>
    <row r="3142">
      <c r="A3142" s="3" t="s">
        <v>13144</v>
      </c>
      <c r="B3142" s="4" t="str">
        <f>C3142 &amp; " -&gt; " &amp; D3142</f>
        <v>principal-knowledge-authority -&gt; SendIntents.RefusedOnApprovedContent</v>
      </c>
      <c r="C3142" s="3" t="s">
        <v>9774</v>
      </c>
      <c r="D3142" s="3" t="s">
        <v>4874</v>
      </c>
      <c r="E3142" s="3" t="b">
        <v>1</v>
      </c>
      <c r="F3142" s="3" t="b">
        <v>0</v>
      </c>
      <c r="G3142" s="3" t="s">
        <v>10003</v>
      </c>
      <c r="H3142" s="4" t="str">
        <f>_xlfn.IFNA(IF(((INDEX(RulebookFields!C2:C1898, MATCH(D3142,RulebookFields!A2:A1898, 0))="")=TRUE),  "",  INDEX(RulebookFields!C2:C1898, MATCH(D3142,RulebookFields!A2:A1898, 0))), "")</f>
        <v>SendIntents</v>
      </c>
      <c r="I3142" s="4" t="str">
        <f>_xlfn.IFNA(IF(((INDEX(RulebookFields!D2:D1898, MATCH(D3142,RulebookFields!A2:A1898, 0))="")=TRUE),  "",  INDEX(RulebookFields!D2:D1898, MATCH(D3142,RulebookFields!A2:A1898, 0))), "")</f>
        <v>RefusedOnApprovedContent</v>
      </c>
      <c r="J3142" s="4" t="b">
        <f>_xlfn.IFNA(IF(((INDEX(RulebookFields!I2:I1898, MATCH(D3142,RulebookFields!A2:A1898, 0))="")=TRUE),  "",  INDEX(RulebookFields!I2:I1898, MATCH(D3142,RulebookFields!A2:A1898, 0))), "")</f>
        <v>1</v>
      </c>
      <c r="K3142" s="4" t="b">
        <f>AND(((F3142)=TRUE), ((J3142)=TRUE))</f>
        <v>0</v>
      </c>
      <c r="L3142" s="4" t="b">
        <f>AND(((G3142 &lt;&gt; "plain")=TRUE), ((G3142 &lt;&gt; "")=TRUE))</f>
        <v>0</v>
      </c>
      <c r="M3142" s="4" t="str">
        <f>IF(((E3142)=TRUE),  C3142 &amp; "|" &amp; H3142,  "")</f>
        <v>principal-knowledge-authority|SendIntents</v>
      </c>
      <c r="N3142" s="3" t="s">
        <v>10004</v>
      </c>
    </row>
    <row r="3143">
      <c r="A3143" s="3" t="s">
        <v>13145</v>
      </c>
      <c r="B3143" s="4" t="str">
        <f>C3143 &amp; " -&gt; " &amp; D3143</f>
        <v>principal-knowledge-authority -&gt; SendIntents.RefusedOnOptOutOnly</v>
      </c>
      <c r="C3143" s="3" t="s">
        <v>9774</v>
      </c>
      <c r="D3143" s="3" t="s">
        <v>4877</v>
      </c>
      <c r="E3143" s="3" t="b">
        <v>1</v>
      </c>
      <c r="F3143" s="3" t="b">
        <v>0</v>
      </c>
      <c r="G3143" s="3" t="s">
        <v>10003</v>
      </c>
      <c r="H3143" s="4" t="str">
        <f>_xlfn.IFNA(IF(((INDEX(RulebookFields!C2:C1898, MATCH(D3143,RulebookFields!A2:A1898, 0))="")=TRUE),  "",  INDEX(RulebookFields!C2:C1898, MATCH(D3143,RulebookFields!A2:A1898, 0))), "")</f>
        <v>SendIntents</v>
      </c>
      <c r="I3143" s="4" t="str">
        <f>_xlfn.IFNA(IF(((INDEX(RulebookFields!D2:D1898, MATCH(D3143,RulebookFields!A2:A1898, 0))="")=TRUE),  "",  INDEX(RulebookFields!D2:D1898, MATCH(D3143,RulebookFields!A2:A1898, 0))), "")</f>
        <v>RefusedOnOptOutOnly</v>
      </c>
      <c r="J3143" s="4" t="b">
        <f>_xlfn.IFNA(IF(((INDEX(RulebookFields!I2:I1898, MATCH(D3143,RulebookFields!A2:A1898, 0))="")=TRUE),  "",  INDEX(RulebookFields!I2:I1898, MATCH(D3143,RulebookFields!A2:A1898, 0))), "")</f>
        <v>1</v>
      </c>
      <c r="K3143" s="4" t="b">
        <f>AND(((F3143)=TRUE), ((J3143)=TRUE))</f>
        <v>0</v>
      </c>
      <c r="L3143" s="4" t="b">
        <f>AND(((G3143 &lt;&gt; "plain")=TRUE), ((G3143 &lt;&gt; "")=TRUE))</f>
        <v>0</v>
      </c>
      <c r="M3143" s="4" t="str">
        <f>IF(((E3143)=TRUE),  C3143 &amp; "|" &amp; H3143,  "")</f>
        <v>principal-knowledge-authority|SendIntents</v>
      </c>
      <c r="N3143" s="3" t="s">
        <v>10004</v>
      </c>
    </row>
    <row r="3144">
      <c r="A3144" s="3" t="s">
        <v>13146</v>
      </c>
      <c r="B3144" s="4" t="str">
        <f>C3144 &amp; " -&gt; " &amp; D3144</f>
        <v>principal-knowledge-authority -&gt; SendIntents.RefusalWasOnMyRules</v>
      </c>
      <c r="C3144" s="3" t="s">
        <v>9774</v>
      </c>
      <c r="D3144" s="3" t="s">
        <v>4880</v>
      </c>
      <c r="E3144" s="3" t="b">
        <v>1</v>
      </c>
      <c r="F3144" s="3" t="b">
        <v>0</v>
      </c>
      <c r="G3144" s="3" t="s">
        <v>10003</v>
      </c>
      <c r="H3144" s="4" t="str">
        <f>_xlfn.IFNA(IF(((INDEX(RulebookFields!C2:C1898, MATCH(D3144,RulebookFields!A2:A1898, 0))="")=TRUE),  "",  INDEX(RulebookFields!C2:C1898, MATCH(D3144,RulebookFields!A2:A1898, 0))), "")</f>
        <v>SendIntents</v>
      </c>
      <c r="I3144" s="4" t="str">
        <f>_xlfn.IFNA(IF(((INDEX(RulebookFields!D2:D1898, MATCH(D3144,RulebookFields!A2:A1898, 0))="")=TRUE),  "",  INDEX(RulebookFields!D2:D1898, MATCH(D3144,RulebookFields!A2:A1898, 0))), "")</f>
        <v>RefusalWasOnMyRules</v>
      </c>
      <c r="J3144" s="4" t="b">
        <f>_xlfn.IFNA(IF(((INDEX(RulebookFields!I2:I1898, MATCH(D3144,RulebookFields!A2:A1898, 0))="")=TRUE),  "",  INDEX(RulebookFields!I2:I1898, MATCH(D3144,RulebookFields!A2:A1898, 0))), "")</f>
        <v>1</v>
      </c>
      <c r="K3144" s="4" t="b">
        <f>AND(((F3144)=TRUE), ((J3144)=TRUE))</f>
        <v>0</v>
      </c>
      <c r="L3144" s="4" t="b">
        <f>AND(((G3144 &lt;&gt; "plain")=TRUE), ((G3144 &lt;&gt; "")=TRUE))</f>
        <v>0</v>
      </c>
      <c r="M3144" s="4" t="str">
        <f>IF(((E3144)=TRUE),  C3144 &amp; "|" &amp; H3144,  "")</f>
        <v>principal-knowledge-authority|SendIntents</v>
      </c>
      <c r="N3144" s="3" t="s">
        <v>10004</v>
      </c>
    </row>
    <row r="3145">
      <c r="A3145" s="3" t="s">
        <v>13147</v>
      </c>
      <c r="B3145" s="4" t="str">
        <f>C3145 &amp; " -&gt; " &amp; D3145</f>
        <v>principal-knowledge-authority -&gt; SendIntents.RefusalWasOutsideMyControl</v>
      </c>
      <c r="C3145" s="3" t="s">
        <v>9774</v>
      </c>
      <c r="D3145" s="3" t="s">
        <v>4883</v>
      </c>
      <c r="E3145" s="3" t="b">
        <v>1</v>
      </c>
      <c r="F3145" s="3" t="b">
        <v>0</v>
      </c>
      <c r="G3145" s="3" t="s">
        <v>10003</v>
      </c>
      <c r="H3145" s="4" t="str">
        <f>_xlfn.IFNA(IF(((INDEX(RulebookFields!C2:C1898, MATCH(D3145,RulebookFields!A2:A1898, 0))="")=TRUE),  "",  INDEX(RulebookFields!C2:C1898, MATCH(D3145,RulebookFields!A2:A1898, 0))), "")</f>
        <v>SendIntents</v>
      </c>
      <c r="I3145" s="4" t="str">
        <f>_xlfn.IFNA(IF(((INDEX(RulebookFields!D2:D1898, MATCH(D3145,RulebookFields!A2:A1898, 0))="")=TRUE),  "",  INDEX(RulebookFields!D2:D1898, MATCH(D3145,RulebookFields!A2:A1898, 0))), "")</f>
        <v>RefusalWasOutsideMyControl</v>
      </c>
      <c r="J3145" s="4" t="b">
        <f>_xlfn.IFNA(IF(((INDEX(RulebookFields!I2:I1898, MATCH(D3145,RulebookFields!A2:A1898, 0))="")=TRUE),  "",  INDEX(RulebookFields!I2:I1898, MATCH(D3145,RulebookFields!A2:A1898, 0))), "")</f>
        <v>1</v>
      </c>
      <c r="K3145" s="4" t="b">
        <f>AND(((F3145)=TRUE), ((J3145)=TRUE))</f>
        <v>0</v>
      </c>
      <c r="L3145" s="4" t="b">
        <f>AND(((G3145 &lt;&gt; "plain")=TRUE), ((G3145 &lt;&gt; "")=TRUE))</f>
        <v>0</v>
      </c>
      <c r="M3145" s="4" t="str">
        <f>IF(((E3145)=TRUE),  C3145 &amp; "|" &amp; H3145,  "")</f>
        <v>principal-knowledge-authority|SendIntents</v>
      </c>
      <c r="N3145" s="3" t="s">
        <v>10004</v>
      </c>
    </row>
    <row r="3146">
      <c r="A3146" s="3" t="s">
        <v>13148</v>
      </c>
      <c r="B3146" s="4" t="str">
        <f>C3146 &amp; " -&gt; " &amp; D3146</f>
        <v>principal-knowledge-authority -&gt; SendIntents.ApproverWasNotified</v>
      </c>
      <c r="C3146" s="3" t="s">
        <v>9774</v>
      </c>
      <c r="D3146" s="3" t="s">
        <v>4886</v>
      </c>
      <c r="E3146" s="3" t="b">
        <v>1</v>
      </c>
      <c r="F3146" s="3" t="b">
        <v>0</v>
      </c>
      <c r="G3146" s="3" t="s">
        <v>10003</v>
      </c>
      <c r="H3146" s="4" t="str">
        <f>_xlfn.IFNA(IF(((INDEX(RulebookFields!C2:C1898, MATCH(D3146,RulebookFields!A2:A1898, 0))="")=TRUE),  "",  INDEX(RulebookFields!C2:C1898, MATCH(D3146,RulebookFields!A2:A1898, 0))), "")</f>
        <v>SendIntents</v>
      </c>
      <c r="I3146" s="4" t="str">
        <f>_xlfn.IFNA(IF(((INDEX(RulebookFields!D2:D1898, MATCH(D3146,RulebookFields!A2:A1898, 0))="")=TRUE),  "",  INDEX(RulebookFields!D2:D1898, MATCH(D3146,RulebookFields!A2:A1898, 0))), "")</f>
        <v>ApproverWasNotified</v>
      </c>
      <c r="J3146" s="4" t="b">
        <f>_xlfn.IFNA(IF(((INDEX(RulebookFields!I2:I1898, MATCH(D3146,RulebookFields!A2:A1898, 0))="")=TRUE),  "",  INDEX(RulebookFields!I2:I1898, MATCH(D3146,RulebookFields!A2:A1898, 0))), "")</f>
        <v>0</v>
      </c>
      <c r="K3146" s="4" t="b">
        <f>AND(((F3146)=TRUE), ((J3146)=TRUE))</f>
        <v>0</v>
      </c>
      <c r="L3146" s="4" t="b">
        <f>AND(((G3146 &lt;&gt; "plain")=TRUE), ((G3146 &lt;&gt; "")=TRUE))</f>
        <v>0</v>
      </c>
      <c r="M3146" s="4" t="str">
        <f>IF(((E3146)=TRUE),  C3146 &amp; "|" &amp; H3146,  "")</f>
        <v>principal-knowledge-authority|SendIntents</v>
      </c>
      <c r="N3146" s="3" t="s">
        <v>10004</v>
      </c>
    </row>
    <row r="3147">
      <c r="A3147" s="3" t="s">
        <v>13149</v>
      </c>
      <c r="B3147" s="4" t="str">
        <f>C3147 &amp; " -&gt; " &amp; D3147</f>
        <v>principal-knowledge-authority -&gt; SendIntents.IsUnreportedRefusalOnMyRules</v>
      </c>
      <c r="C3147" s="3" t="s">
        <v>9774</v>
      </c>
      <c r="D3147" s="3" t="s">
        <v>4888</v>
      </c>
      <c r="E3147" s="3" t="b">
        <v>1</v>
      </c>
      <c r="F3147" s="3" t="b">
        <v>0</v>
      </c>
      <c r="G3147" s="3" t="s">
        <v>10003</v>
      </c>
      <c r="H3147" s="4" t="str">
        <f>_xlfn.IFNA(IF(((INDEX(RulebookFields!C2:C1898, MATCH(D3147,RulebookFields!A2:A1898, 0))="")=TRUE),  "",  INDEX(RulebookFields!C2:C1898, MATCH(D3147,RulebookFields!A2:A1898, 0))), "")</f>
        <v>SendIntents</v>
      </c>
      <c r="I3147" s="4" t="str">
        <f>_xlfn.IFNA(IF(((INDEX(RulebookFields!D2:D1898, MATCH(D3147,RulebookFields!A2:A1898, 0))="")=TRUE),  "",  INDEX(RulebookFields!D2:D1898, MATCH(D3147,RulebookFields!A2:A1898, 0))), "")</f>
        <v>IsUnreportedRefusalOnMyRules</v>
      </c>
      <c r="J3147" s="4" t="b">
        <f>_xlfn.IFNA(IF(((INDEX(RulebookFields!I2:I1898, MATCH(D3147,RulebookFields!A2:A1898, 0))="")=TRUE),  "",  INDEX(RulebookFields!I2:I1898, MATCH(D3147,RulebookFields!A2:A1898, 0))), "")</f>
        <v>1</v>
      </c>
      <c r="K3147" s="4" t="b">
        <f>AND(((F3147)=TRUE), ((J3147)=TRUE))</f>
        <v>0</v>
      </c>
      <c r="L3147" s="4" t="b">
        <f>AND(((G3147 &lt;&gt; "plain")=TRUE), ((G3147 &lt;&gt; "")=TRUE))</f>
        <v>0</v>
      </c>
      <c r="M3147" s="4" t="str">
        <f>IF(((E3147)=TRUE),  C3147 &amp; "|" &amp; H3147,  "")</f>
        <v>principal-knowledge-authority|SendIntents</v>
      </c>
      <c r="N3147" s="3" t="s">
        <v>10004</v>
      </c>
    </row>
    <row r="3148">
      <c r="A3148" s="3" t="s">
        <v>13150</v>
      </c>
      <c r="B3148" s="4" t="str">
        <f>C3148 &amp; " -&gt; " &amp; D3148</f>
        <v>principal-knowledge-authority -&gt; SendIntents.IsApprovalOverriddenSilently</v>
      </c>
      <c r="C3148" s="3" t="s">
        <v>9774</v>
      </c>
      <c r="D3148" s="3" t="s">
        <v>4891</v>
      </c>
      <c r="E3148" s="3" t="b">
        <v>1</v>
      </c>
      <c r="F3148" s="3" t="b">
        <v>0</v>
      </c>
      <c r="G3148" s="3" t="s">
        <v>10003</v>
      </c>
      <c r="H3148" s="4" t="str">
        <f>_xlfn.IFNA(IF(((INDEX(RulebookFields!C2:C1898, MATCH(D3148,RulebookFields!A2:A1898, 0))="")=TRUE),  "",  INDEX(RulebookFields!C2:C1898, MATCH(D3148,RulebookFields!A2:A1898, 0))), "")</f>
        <v>SendIntents</v>
      </c>
      <c r="I3148" s="4" t="str">
        <f>_xlfn.IFNA(IF(((INDEX(RulebookFields!D2:D1898, MATCH(D3148,RulebookFields!A2:A1898, 0))="")=TRUE),  "",  INDEX(RulebookFields!D2:D1898, MATCH(D3148,RulebookFields!A2:A1898, 0))), "")</f>
        <v>IsApprovalOverriddenSilently</v>
      </c>
      <c r="J3148" s="4" t="b">
        <f>_xlfn.IFNA(IF(((INDEX(RulebookFields!I2:I1898, MATCH(D3148,RulebookFields!A2:A1898, 0))="")=TRUE),  "",  INDEX(RulebookFields!I2:I1898, MATCH(D3148,RulebookFields!A2:A1898, 0))), "")</f>
        <v>1</v>
      </c>
      <c r="K3148" s="4" t="b">
        <f>AND(((F3148)=TRUE), ((J3148)=TRUE))</f>
        <v>0</v>
      </c>
      <c r="L3148" s="4" t="b">
        <f>AND(((G3148 &lt;&gt; "plain")=TRUE), ((G3148 &lt;&gt; "")=TRUE))</f>
        <v>0</v>
      </c>
      <c r="M3148" s="4" t="str">
        <f>IF(((E3148)=TRUE),  C3148 &amp; "|" &amp; H3148,  "")</f>
        <v>principal-knowledge-authority|SendIntents</v>
      </c>
      <c r="N3148" s="3" t="s">
        <v>10004</v>
      </c>
    </row>
    <row r="3149">
      <c r="A3149" s="3" t="s">
        <v>13151</v>
      </c>
      <c r="B3149" s="4" t="str">
        <f>C3149 &amp; " -&gt; " &amp; D3149</f>
        <v>principal-knowledge-authority -&gt; SendIntents.AlternateChannelIntent</v>
      </c>
      <c r="C3149" s="3" t="s">
        <v>9774</v>
      </c>
      <c r="D3149" s="3" t="s">
        <v>4894</v>
      </c>
      <c r="E3149" s="3" t="b">
        <v>1</v>
      </c>
      <c r="F3149" s="3" t="b">
        <v>0</v>
      </c>
      <c r="G3149" s="3" t="s">
        <v>10003</v>
      </c>
      <c r="H3149" s="4" t="str">
        <f>_xlfn.IFNA(IF(((INDEX(RulebookFields!C2:C1898, MATCH(D3149,RulebookFields!A2:A1898, 0))="")=TRUE),  "",  INDEX(RulebookFields!C2:C1898, MATCH(D3149,RulebookFields!A2:A1898, 0))), "")</f>
        <v>SendIntents</v>
      </c>
      <c r="I3149" s="4" t="str">
        <f>_xlfn.IFNA(IF(((INDEX(RulebookFields!D2:D1898, MATCH(D3149,RulebookFields!A2:A1898, 0))="")=TRUE),  "",  INDEX(RulebookFields!D2:D1898, MATCH(D3149,RulebookFields!A2:A1898, 0))), "")</f>
        <v>AlternateChannelIntent</v>
      </c>
      <c r="J3149" s="4" t="b">
        <f>_xlfn.IFNA(IF(((INDEX(RulebookFields!I2:I1898, MATCH(D3149,RulebookFields!A2:A1898, 0))="")=TRUE),  "",  INDEX(RulebookFields!I2:I1898, MATCH(D3149,RulebookFields!A2:A1898, 0))), "")</f>
        <v>0</v>
      </c>
      <c r="K3149" s="4" t="b">
        <f>AND(((F3149)=TRUE), ((J3149)=TRUE))</f>
        <v>0</v>
      </c>
      <c r="L3149" s="4" t="b">
        <f>AND(((G3149 &lt;&gt; "plain")=TRUE), ((G3149 &lt;&gt; "")=TRUE))</f>
        <v>0</v>
      </c>
      <c r="M3149" s="4" t="str">
        <f>IF(((E3149)=TRUE),  C3149 &amp; "|" &amp; H3149,  "")</f>
        <v>principal-knowledge-authority|SendIntents</v>
      </c>
      <c r="N3149" s="3" t="s">
        <v>10004</v>
      </c>
    </row>
    <row r="3150">
      <c r="A3150" s="3" t="s">
        <v>13152</v>
      </c>
      <c r="B3150" s="4" t="str">
        <f>C3150 &amp; " -&gt; " &amp; D3150</f>
        <v>principal-knowledge-authority -&gt; SendIntents.HasAlternateChannelAttempt</v>
      </c>
      <c r="C3150" s="3" t="s">
        <v>9774</v>
      </c>
      <c r="D3150" s="3" t="s">
        <v>4896</v>
      </c>
      <c r="E3150" s="3" t="b">
        <v>1</v>
      </c>
      <c r="F3150" s="3" t="b">
        <v>0</v>
      </c>
      <c r="G3150" s="3" t="s">
        <v>10003</v>
      </c>
      <c r="H3150" s="4" t="str">
        <f>_xlfn.IFNA(IF(((INDEX(RulebookFields!C2:C1898, MATCH(D3150,RulebookFields!A2:A1898, 0))="")=TRUE),  "",  INDEX(RulebookFields!C2:C1898, MATCH(D3150,RulebookFields!A2:A1898, 0))), "")</f>
        <v>SendIntents</v>
      </c>
      <c r="I3150" s="4" t="str">
        <f>_xlfn.IFNA(IF(((INDEX(RulebookFields!D2:D1898, MATCH(D3150,RulebookFields!A2:A1898, 0))="")=TRUE),  "",  INDEX(RulebookFields!D2:D1898, MATCH(D3150,RulebookFields!A2:A1898, 0))), "")</f>
        <v>HasAlternateChannelAttempt</v>
      </c>
      <c r="J3150" s="4" t="b">
        <f>_xlfn.IFNA(IF(((INDEX(RulebookFields!I2:I1898, MATCH(D3150,RulebookFields!A2:A1898, 0))="")=TRUE),  "",  INDEX(RulebookFields!I2:I1898, MATCH(D3150,RulebookFields!A2:A1898, 0))), "")</f>
        <v>1</v>
      </c>
      <c r="K3150" s="4" t="b">
        <f>AND(((F3150)=TRUE), ((J3150)=TRUE))</f>
        <v>0</v>
      </c>
      <c r="L3150" s="4" t="b">
        <f>AND(((G3150 &lt;&gt; "plain")=TRUE), ((G3150 &lt;&gt; "")=TRUE))</f>
        <v>0</v>
      </c>
      <c r="M3150" s="4" t="str">
        <f>IF(((E3150)=TRUE),  C3150 &amp; "|" &amp; H3150,  "")</f>
        <v>principal-knowledge-authority|SendIntents</v>
      </c>
      <c r="N3150" s="3" t="s">
        <v>10004</v>
      </c>
    </row>
    <row r="3151">
      <c r="A3151" s="3" t="s">
        <v>13153</v>
      </c>
      <c r="B3151" s="4" t="str">
        <f>C3151 &amp; " -&gt; " &amp; D3151</f>
        <v>principal-knowledge-authority -&gt; SendIntents.AlternateAttemptWasCleared</v>
      </c>
      <c r="C3151" s="3" t="s">
        <v>9774</v>
      </c>
      <c r="D3151" s="3" t="s">
        <v>4899</v>
      </c>
      <c r="E3151" s="3" t="b">
        <v>1</v>
      </c>
      <c r="F3151" s="3" t="b">
        <v>0</v>
      </c>
      <c r="G3151" s="3" t="s">
        <v>10003</v>
      </c>
      <c r="H3151" s="4" t="str">
        <f>_xlfn.IFNA(IF(((INDEX(RulebookFields!C2:C1898, MATCH(D3151,RulebookFields!A2:A1898, 0))="")=TRUE),  "",  INDEX(RulebookFields!C2:C1898, MATCH(D3151,RulebookFields!A2:A1898, 0))), "")</f>
        <v>SendIntents</v>
      </c>
      <c r="I3151" s="4" t="str">
        <f>_xlfn.IFNA(IF(((INDEX(RulebookFields!D2:D1898, MATCH(D3151,RulebookFields!A2:A1898, 0))="")=TRUE),  "",  INDEX(RulebookFields!D2:D1898, MATCH(D3151,RulebookFields!A2:A1898, 0))), "")</f>
        <v>AlternateAttemptWasCleared</v>
      </c>
      <c r="J3151" s="4" t="b">
        <f>_xlfn.IFNA(IF(((INDEX(RulebookFields!I2:I1898, MATCH(D3151,RulebookFields!A2:A1898, 0))="")=TRUE),  "",  INDEX(RulebookFields!I2:I1898, MATCH(D3151,RulebookFields!A2:A1898, 0))), "")</f>
        <v>1</v>
      </c>
      <c r="K3151" s="4" t="b">
        <f>AND(((F3151)=TRUE), ((J3151)=TRUE))</f>
        <v>0</v>
      </c>
      <c r="L3151" s="4" t="b">
        <f>AND(((G3151 &lt;&gt; "plain")=TRUE), ((G3151 &lt;&gt; "")=TRUE))</f>
        <v>0</v>
      </c>
      <c r="M3151" s="4" t="str">
        <f>IF(((E3151)=TRUE),  C3151 &amp; "|" &amp; H3151,  "")</f>
        <v>principal-knowledge-authority|SendIntents</v>
      </c>
      <c r="N3151" s="3" t="s">
        <v>10004</v>
      </c>
    </row>
    <row r="3152">
      <c r="A3152" s="3" t="s">
        <v>13154</v>
      </c>
      <c r="B3152" s="4" t="str">
        <f>C3152 &amp; " -&gt; " &amp; D3152</f>
        <v>principal-knowledge-authority -&gt; SendIntents.IsRefusedWithNoAlternative</v>
      </c>
      <c r="C3152" s="3" t="s">
        <v>9774</v>
      </c>
      <c r="D3152" s="3" t="s">
        <v>4902</v>
      </c>
      <c r="E3152" s="3" t="b">
        <v>1</v>
      </c>
      <c r="F3152" s="3" t="b">
        <v>0</v>
      </c>
      <c r="G3152" s="3" t="s">
        <v>10003</v>
      </c>
      <c r="H3152" s="4" t="str">
        <f>_xlfn.IFNA(IF(((INDEX(RulebookFields!C2:C1898, MATCH(D3152,RulebookFields!A2:A1898, 0))="")=TRUE),  "",  INDEX(RulebookFields!C2:C1898, MATCH(D3152,RulebookFields!A2:A1898, 0))), "")</f>
        <v>SendIntents</v>
      </c>
      <c r="I3152" s="4" t="str">
        <f>_xlfn.IFNA(IF(((INDEX(RulebookFields!D2:D1898, MATCH(D3152,RulebookFields!A2:A1898, 0))="")=TRUE),  "",  INDEX(RulebookFields!D2:D1898, MATCH(D3152,RulebookFields!A2:A1898, 0))), "")</f>
        <v>IsRefusedWithNoAlternative</v>
      </c>
      <c r="J3152" s="4" t="b">
        <f>_xlfn.IFNA(IF(((INDEX(RulebookFields!I2:I1898, MATCH(D3152,RulebookFields!A2:A1898, 0))="")=TRUE),  "",  INDEX(RulebookFields!I2:I1898, MATCH(D3152,RulebookFields!A2:A1898, 0))), "")</f>
        <v>1</v>
      </c>
      <c r="K3152" s="4" t="b">
        <f>AND(((F3152)=TRUE), ((J3152)=TRUE))</f>
        <v>0</v>
      </c>
      <c r="L3152" s="4" t="b">
        <f>AND(((G3152 &lt;&gt; "plain")=TRUE), ((G3152 &lt;&gt; "")=TRUE))</f>
        <v>0</v>
      </c>
      <c r="M3152" s="4" t="str">
        <f>IF(((E3152)=TRUE),  C3152 &amp; "|" &amp; H3152,  "")</f>
        <v>principal-knowledge-authority|SendIntents</v>
      </c>
      <c r="N3152" s="3" t="s">
        <v>10004</v>
      </c>
    </row>
    <row r="3153">
      <c r="A3153" s="3" t="s">
        <v>13155</v>
      </c>
      <c r="B3153" s="4" t="str">
        <f>C3153 &amp; " -&gt; " &amp; D3153</f>
        <v>principal-knowledge-authority -&gt; SendIntents.ExceptionPrescribedAnAlternative</v>
      </c>
      <c r="C3153" s="3" t="s">
        <v>9774</v>
      </c>
      <c r="D3153" s="3" t="s">
        <v>4905</v>
      </c>
      <c r="E3153" s="3" t="b">
        <v>1</v>
      </c>
      <c r="F3153" s="3" t="b">
        <v>0</v>
      </c>
      <c r="G3153" s="3" t="s">
        <v>10003</v>
      </c>
      <c r="H3153" s="4" t="str">
        <f>_xlfn.IFNA(IF(((INDEX(RulebookFields!C2:C1898, MATCH(D3153,RulebookFields!A2:A1898, 0))="")=TRUE),  "",  INDEX(RulebookFields!C2:C1898, MATCH(D3153,RulebookFields!A2:A1898, 0))), "")</f>
        <v>SendIntents</v>
      </c>
      <c r="I3153" s="4" t="str">
        <f>_xlfn.IFNA(IF(((INDEX(RulebookFields!D2:D1898, MATCH(D3153,RulebookFields!A2:A1898, 0))="")=TRUE),  "",  INDEX(RulebookFields!D2:D1898, MATCH(D3153,RulebookFields!A2:A1898, 0))), "")</f>
        <v>ExceptionPrescribedAnAlternative</v>
      </c>
      <c r="J3153" s="4" t="b">
        <f>_xlfn.IFNA(IF(((INDEX(RulebookFields!I2:I1898, MATCH(D3153,RulebookFields!A2:A1898, 0))="")=TRUE),  "",  INDEX(RulebookFields!I2:I1898, MATCH(D3153,RulebookFields!A2:A1898, 0))), "")</f>
        <v>1</v>
      </c>
      <c r="K3153" s="4" t="b">
        <f>AND(((F3153)=TRUE), ((J3153)=TRUE))</f>
        <v>0</v>
      </c>
      <c r="L3153" s="4" t="b">
        <f>AND(((G3153 &lt;&gt; "plain")=TRUE), ((G3153 &lt;&gt; "")=TRUE))</f>
        <v>0</v>
      </c>
      <c r="M3153" s="4" t="str">
        <f>IF(((E3153)=TRUE),  C3153 &amp; "|" &amp; H3153,  "")</f>
        <v>principal-knowledge-authority|SendIntents</v>
      </c>
      <c r="N3153" s="3" t="s">
        <v>10004</v>
      </c>
    </row>
    <row r="3154">
      <c r="A3154" s="3" t="s">
        <v>13156</v>
      </c>
      <c r="B3154" s="4" t="str">
        <f>C3154 &amp; " -&gt; " &amp; D3154</f>
        <v>principal-knowledge-authority -&gt; SendIntents.PrescribedHandlingWasPerformed</v>
      </c>
      <c r="C3154" s="3" t="s">
        <v>9774</v>
      </c>
      <c r="D3154" s="3" t="s">
        <v>4908</v>
      </c>
      <c r="E3154" s="3" t="b">
        <v>1</v>
      </c>
      <c r="F3154" s="3" t="b">
        <v>0</v>
      </c>
      <c r="G3154" s="3" t="s">
        <v>10003</v>
      </c>
      <c r="H3154" s="4" t="str">
        <f>_xlfn.IFNA(IF(((INDEX(RulebookFields!C2:C1898, MATCH(D3154,RulebookFields!A2:A1898, 0))="")=TRUE),  "",  INDEX(RulebookFields!C2:C1898, MATCH(D3154,RulebookFields!A2:A1898, 0))), "")</f>
        <v>SendIntents</v>
      </c>
      <c r="I3154" s="4" t="str">
        <f>_xlfn.IFNA(IF(((INDEX(RulebookFields!D2:D1898, MATCH(D3154,RulebookFields!A2:A1898, 0))="")=TRUE),  "",  INDEX(RulebookFields!D2:D1898, MATCH(D3154,RulebookFields!A2:A1898, 0))), "")</f>
        <v>PrescribedHandlingWasPerformed</v>
      </c>
      <c r="J3154" s="4" t="b">
        <f>_xlfn.IFNA(IF(((INDEX(RulebookFields!I2:I1898, MATCH(D3154,RulebookFields!A2:A1898, 0))="")=TRUE),  "",  INDEX(RulebookFields!I2:I1898, MATCH(D3154,RulebookFields!A2:A1898, 0))), "")</f>
        <v>1</v>
      </c>
      <c r="K3154" s="4" t="b">
        <f>AND(((F3154)=TRUE), ((J3154)=TRUE))</f>
        <v>0</v>
      </c>
      <c r="L3154" s="4" t="b">
        <f>AND(((G3154 &lt;&gt; "plain")=TRUE), ((G3154 &lt;&gt; "")=TRUE))</f>
        <v>0</v>
      </c>
      <c r="M3154" s="4" t="str">
        <f>IF(((E3154)=TRUE),  C3154 &amp; "|" &amp; H3154,  "")</f>
        <v>principal-knowledge-authority|SendIntents</v>
      </c>
      <c r="N3154" s="3" t="s">
        <v>10004</v>
      </c>
    </row>
    <row r="3155">
      <c r="A3155" s="3" t="s">
        <v>13157</v>
      </c>
      <c r="B3155" s="4" t="str">
        <f>C3155 &amp; " -&gt; " &amp; D3155</f>
        <v>principal-knowledge-authority -&gt; SendIntents.IsSuppressionWithoutRemedy</v>
      </c>
      <c r="C3155" s="3" t="s">
        <v>9774</v>
      </c>
      <c r="D3155" s="3" t="s">
        <v>4911</v>
      </c>
      <c r="E3155" s="3" t="b">
        <v>1</v>
      </c>
      <c r="F3155" s="3" t="b">
        <v>0</v>
      </c>
      <c r="G3155" s="3" t="s">
        <v>10003</v>
      </c>
      <c r="H3155" s="4" t="str">
        <f>_xlfn.IFNA(IF(((INDEX(RulebookFields!C2:C1898, MATCH(D3155,RulebookFields!A2:A1898, 0))="")=TRUE),  "",  INDEX(RulebookFields!C2:C1898, MATCH(D3155,RulebookFields!A2:A1898, 0))), "")</f>
        <v>SendIntents</v>
      </c>
      <c r="I3155" s="4" t="str">
        <f>_xlfn.IFNA(IF(((INDEX(RulebookFields!D2:D1898, MATCH(D3155,RulebookFields!A2:A1898, 0))="")=TRUE),  "",  INDEX(RulebookFields!D2:D1898, MATCH(D3155,RulebookFields!A2:A1898, 0))), "")</f>
        <v>IsSuppressionWithoutRemedy</v>
      </c>
      <c r="J3155" s="4" t="b">
        <f>_xlfn.IFNA(IF(((INDEX(RulebookFields!I2:I1898, MATCH(D3155,RulebookFields!A2:A1898, 0))="")=TRUE),  "",  INDEX(RulebookFields!I2:I1898, MATCH(D3155,RulebookFields!A2:A1898, 0))), "")</f>
        <v>1</v>
      </c>
      <c r="K3155" s="4" t="b">
        <f>AND(((F3155)=TRUE), ((J3155)=TRUE))</f>
        <v>0</v>
      </c>
      <c r="L3155" s="4" t="b">
        <f>AND(((G3155 &lt;&gt; "plain")=TRUE), ((G3155 &lt;&gt; "")=TRUE))</f>
        <v>0</v>
      </c>
      <c r="M3155" s="4" t="str">
        <f>IF(((E3155)=TRUE),  C3155 &amp; "|" &amp; H3155,  "")</f>
        <v>principal-knowledge-authority|SendIntents</v>
      </c>
      <c r="N3155" s="3" t="s">
        <v>10004</v>
      </c>
    </row>
    <row r="3156">
      <c r="A3156" s="3" t="s">
        <v>13158</v>
      </c>
      <c r="B3156" s="4" t="str">
        <f>C3156 &amp; " -&gt; " &amp; D3156</f>
        <v>principal-knowledge-authority -&gt; SendIntents.RefusalRecordedAt</v>
      </c>
      <c r="C3156" s="3" t="s">
        <v>9774</v>
      </c>
      <c r="D3156" s="3" t="s">
        <v>4914</v>
      </c>
      <c r="E3156" s="3" t="b">
        <v>1</v>
      </c>
      <c r="F3156" s="3" t="b">
        <v>0</v>
      </c>
      <c r="G3156" s="3" t="s">
        <v>10003</v>
      </c>
      <c r="H3156" s="4" t="str">
        <f>_xlfn.IFNA(IF(((INDEX(RulebookFields!C2:C1898, MATCH(D3156,RulebookFields!A2:A1898, 0))="")=TRUE),  "",  INDEX(RulebookFields!C2:C1898, MATCH(D3156,RulebookFields!A2:A1898, 0))), "")</f>
        <v>SendIntents</v>
      </c>
      <c r="I3156" s="4" t="str">
        <f>_xlfn.IFNA(IF(((INDEX(RulebookFields!D2:D1898, MATCH(D3156,RulebookFields!A2:A1898, 0))="")=TRUE),  "",  INDEX(RulebookFields!D2:D1898, MATCH(D3156,RulebookFields!A2:A1898, 0))), "")</f>
        <v>RefusalRecordedAt</v>
      </c>
      <c r="J3156" s="4" t="b">
        <f>_xlfn.IFNA(IF(((INDEX(RulebookFields!I2:I1898, MATCH(D3156,RulebookFields!A2:A1898, 0))="")=TRUE),  "",  INDEX(RulebookFields!I2:I1898, MATCH(D3156,RulebookFields!A2:A1898, 0))), "")</f>
        <v>0</v>
      </c>
      <c r="K3156" s="4" t="b">
        <f>AND(((F3156)=TRUE), ((J3156)=TRUE))</f>
        <v>0</v>
      </c>
      <c r="L3156" s="4" t="b">
        <f>AND(((G3156 &lt;&gt; "plain")=TRUE), ((G3156 &lt;&gt; "")=TRUE))</f>
        <v>0</v>
      </c>
      <c r="M3156" s="4" t="str">
        <f>IF(((E3156)=TRUE),  C3156 &amp; "|" &amp; H3156,  "")</f>
        <v>principal-knowledge-authority|SendIntents</v>
      </c>
      <c r="N3156" s="3" t="s">
        <v>10004</v>
      </c>
    </row>
    <row r="3157">
      <c r="A3157" s="3" t="s">
        <v>13159</v>
      </c>
      <c r="B3157" s="4" t="str">
        <f>C3157 &amp; " -&gt; " &amp; D3157</f>
        <v>principal-knowledge-authority -&gt; SendIntents.RefusalNotifiedRole</v>
      </c>
      <c r="C3157" s="3" t="s">
        <v>9774</v>
      </c>
      <c r="D3157" s="3" t="s">
        <v>4916</v>
      </c>
      <c r="E3157" s="3" t="b">
        <v>1</v>
      </c>
      <c r="F3157" s="3" t="b">
        <v>0</v>
      </c>
      <c r="G3157" s="3" t="s">
        <v>10003</v>
      </c>
      <c r="H3157" s="4" t="str">
        <f>_xlfn.IFNA(IF(((INDEX(RulebookFields!C2:C1898, MATCH(D3157,RulebookFields!A2:A1898, 0))="")=TRUE),  "",  INDEX(RulebookFields!C2:C1898, MATCH(D3157,RulebookFields!A2:A1898, 0))), "")</f>
        <v>SendIntents</v>
      </c>
      <c r="I3157" s="4" t="str">
        <f>_xlfn.IFNA(IF(((INDEX(RulebookFields!D2:D1898, MATCH(D3157,RulebookFields!A2:A1898, 0))="")=TRUE),  "",  INDEX(RulebookFields!D2:D1898, MATCH(D3157,RulebookFields!A2:A1898, 0))), "")</f>
        <v>RefusalNotifiedRole</v>
      </c>
      <c r="J3157" s="4" t="b">
        <f>_xlfn.IFNA(IF(((INDEX(RulebookFields!I2:I1898, MATCH(D3157,RulebookFields!A2:A1898, 0))="")=TRUE),  "",  INDEX(RulebookFields!I2:I1898, MATCH(D3157,RulebookFields!A2:A1898, 0))), "")</f>
        <v>0</v>
      </c>
      <c r="K3157" s="4" t="b">
        <f>AND(((F3157)=TRUE), ((J3157)=TRUE))</f>
        <v>0</v>
      </c>
      <c r="L3157" s="4" t="b">
        <f>AND(((G3157 &lt;&gt; "plain")=TRUE), ((G3157 &lt;&gt; "")=TRUE))</f>
        <v>0</v>
      </c>
      <c r="M3157" s="4" t="str">
        <f>IF(((E3157)=TRUE),  C3157 &amp; "|" &amp; H3157,  "")</f>
        <v>principal-knowledge-authority|SendIntents</v>
      </c>
      <c r="N3157" s="3" t="s">
        <v>10004</v>
      </c>
    </row>
    <row r="3158">
      <c r="A3158" s="3" t="s">
        <v>13160</v>
      </c>
      <c r="B3158" s="4" t="str">
        <f>C3158 &amp; " -&gt; " &amp; D3158</f>
        <v>principal-knowledge-authority -&gt; SendIntents.HasDurableRefusalRecord</v>
      </c>
      <c r="C3158" s="3" t="s">
        <v>9774</v>
      </c>
      <c r="D3158" s="3" t="s">
        <v>4918</v>
      </c>
      <c r="E3158" s="3" t="b">
        <v>1</v>
      </c>
      <c r="F3158" s="3" t="b">
        <v>0</v>
      </c>
      <c r="G3158" s="3" t="s">
        <v>10003</v>
      </c>
      <c r="H3158" s="4" t="str">
        <f>_xlfn.IFNA(IF(((INDEX(RulebookFields!C2:C1898, MATCH(D3158,RulebookFields!A2:A1898, 0))="")=TRUE),  "",  INDEX(RulebookFields!C2:C1898, MATCH(D3158,RulebookFields!A2:A1898, 0))), "")</f>
        <v>SendIntents</v>
      </c>
      <c r="I3158" s="4" t="str">
        <f>_xlfn.IFNA(IF(((INDEX(RulebookFields!D2:D1898, MATCH(D3158,RulebookFields!A2:A1898, 0))="")=TRUE),  "",  INDEX(RulebookFields!D2:D1898, MATCH(D3158,RulebookFields!A2:A1898, 0))), "")</f>
        <v>HasDurableRefusalRecord</v>
      </c>
      <c r="J3158" s="4" t="b">
        <f>_xlfn.IFNA(IF(((INDEX(RulebookFields!I2:I1898, MATCH(D3158,RulebookFields!A2:A1898, 0))="")=TRUE),  "",  INDEX(RulebookFields!I2:I1898, MATCH(D3158,RulebookFields!A2:A1898, 0))), "")</f>
        <v>1</v>
      </c>
      <c r="K3158" s="4" t="b">
        <f>AND(((F3158)=TRUE), ((J3158)=TRUE))</f>
        <v>0</v>
      </c>
      <c r="L3158" s="4" t="b">
        <f>AND(((G3158 &lt;&gt; "plain")=TRUE), ((G3158 &lt;&gt; "")=TRUE))</f>
        <v>0</v>
      </c>
      <c r="M3158" s="4" t="str">
        <f>IF(((E3158)=TRUE),  C3158 &amp; "|" &amp; H3158,  "")</f>
        <v>principal-knowledge-authority|SendIntents</v>
      </c>
      <c r="N3158" s="3" t="s">
        <v>10004</v>
      </c>
    </row>
    <row r="3159">
      <c r="A3159" s="3" t="s">
        <v>13161</v>
      </c>
      <c r="B3159" s="4" t="str">
        <f>C3159 &amp; " -&gt; " &amp; D3159</f>
        <v>principal-knowledge-authority -&gt; SendIntents.RefusalWasEscalated</v>
      </c>
      <c r="C3159" s="3" t="s">
        <v>9774</v>
      </c>
      <c r="D3159" s="3" t="s">
        <v>4921</v>
      </c>
      <c r="E3159" s="3" t="b">
        <v>1</v>
      </c>
      <c r="F3159" s="3" t="b">
        <v>0</v>
      </c>
      <c r="G3159" s="3" t="s">
        <v>10003</v>
      </c>
      <c r="H3159" s="4" t="str">
        <f>_xlfn.IFNA(IF(((INDEX(RulebookFields!C2:C1898, MATCH(D3159,RulebookFields!A2:A1898, 0))="")=TRUE),  "",  INDEX(RulebookFields!C2:C1898, MATCH(D3159,RulebookFields!A2:A1898, 0))), "")</f>
        <v>SendIntents</v>
      </c>
      <c r="I3159" s="4" t="str">
        <f>_xlfn.IFNA(IF(((INDEX(RulebookFields!D2:D1898, MATCH(D3159,RulebookFields!A2:A1898, 0))="")=TRUE),  "",  INDEX(RulebookFields!D2:D1898, MATCH(D3159,RulebookFields!A2:A1898, 0))), "")</f>
        <v>RefusalWasEscalated</v>
      </c>
      <c r="J3159" s="4" t="b">
        <f>_xlfn.IFNA(IF(((INDEX(RulebookFields!I2:I1898, MATCH(D3159,RulebookFields!A2:A1898, 0))="")=TRUE),  "",  INDEX(RulebookFields!I2:I1898, MATCH(D3159,RulebookFields!A2:A1898, 0))), "")</f>
        <v>1</v>
      </c>
      <c r="K3159" s="4" t="b">
        <f>AND(((F3159)=TRUE), ((J3159)=TRUE))</f>
        <v>0</v>
      </c>
      <c r="L3159" s="4" t="b">
        <f>AND(((G3159 &lt;&gt; "plain")=TRUE), ((G3159 &lt;&gt; "")=TRUE))</f>
        <v>0</v>
      </c>
      <c r="M3159" s="4" t="str">
        <f>IF(((E3159)=TRUE),  C3159 &amp; "|" &amp; H3159,  "")</f>
        <v>principal-knowledge-authority|SendIntents</v>
      </c>
      <c r="N3159" s="3" t="s">
        <v>10004</v>
      </c>
    </row>
    <row r="3160">
      <c r="A3160" s="3" t="s">
        <v>13162</v>
      </c>
      <c r="B3160" s="4" t="str">
        <f>C3160 &amp; " -&gt; " &amp; D3160</f>
        <v>principal-knowledge-authority -&gt; SendIntents.IsUnrecordedRefusal</v>
      </c>
      <c r="C3160" s="3" t="s">
        <v>9774</v>
      </c>
      <c r="D3160" s="3" t="s">
        <v>4924</v>
      </c>
      <c r="E3160" s="3" t="b">
        <v>1</v>
      </c>
      <c r="F3160" s="3" t="b">
        <v>0</v>
      </c>
      <c r="G3160" s="3" t="s">
        <v>10003</v>
      </c>
      <c r="H3160" s="4" t="str">
        <f>_xlfn.IFNA(IF(((INDEX(RulebookFields!C2:C1898, MATCH(D3160,RulebookFields!A2:A1898, 0))="")=TRUE),  "",  INDEX(RulebookFields!C2:C1898, MATCH(D3160,RulebookFields!A2:A1898, 0))), "")</f>
        <v>SendIntents</v>
      </c>
      <c r="I3160" s="4" t="str">
        <f>_xlfn.IFNA(IF(((INDEX(RulebookFields!D2:D1898, MATCH(D3160,RulebookFields!A2:A1898, 0))="")=TRUE),  "",  INDEX(RulebookFields!D2:D1898, MATCH(D3160,RulebookFields!A2:A1898, 0))), "")</f>
        <v>IsUnrecordedRefusal</v>
      </c>
      <c r="J3160" s="4" t="b">
        <f>_xlfn.IFNA(IF(((INDEX(RulebookFields!I2:I1898, MATCH(D3160,RulebookFields!A2:A1898, 0))="")=TRUE),  "",  INDEX(RulebookFields!I2:I1898, MATCH(D3160,RulebookFields!A2:A1898, 0))), "")</f>
        <v>1</v>
      </c>
      <c r="K3160" s="4" t="b">
        <f>AND(((F3160)=TRUE), ((J3160)=TRUE))</f>
        <v>0</v>
      </c>
      <c r="L3160" s="4" t="b">
        <f>AND(((G3160 &lt;&gt; "plain")=TRUE), ((G3160 &lt;&gt; "")=TRUE))</f>
        <v>0</v>
      </c>
      <c r="M3160" s="4" t="str">
        <f>IF(((E3160)=TRUE),  C3160 &amp; "|" &amp; H3160,  "")</f>
        <v>principal-knowledge-authority|SendIntents</v>
      </c>
      <c r="N3160" s="3" t="s">
        <v>10004</v>
      </c>
    </row>
    <row r="3161">
      <c r="A3161" s="3" t="s">
        <v>13163</v>
      </c>
      <c r="B3161" s="4" t="str">
        <f>C3161 &amp; " -&gt; " &amp; D3161</f>
        <v>principal-knowledge-authority -&gt; SendIntents.IsUnescalatedRefusal</v>
      </c>
      <c r="C3161" s="3" t="s">
        <v>9774</v>
      </c>
      <c r="D3161" s="3" t="s">
        <v>4927</v>
      </c>
      <c r="E3161" s="3" t="b">
        <v>1</v>
      </c>
      <c r="F3161" s="3" t="b">
        <v>0</v>
      </c>
      <c r="G3161" s="3" t="s">
        <v>10003</v>
      </c>
      <c r="H3161" s="4" t="str">
        <f>_xlfn.IFNA(IF(((INDEX(RulebookFields!C2:C1898, MATCH(D3161,RulebookFields!A2:A1898, 0))="")=TRUE),  "",  INDEX(RulebookFields!C2:C1898, MATCH(D3161,RulebookFields!A2:A1898, 0))), "")</f>
        <v>SendIntents</v>
      </c>
      <c r="I3161" s="4" t="str">
        <f>_xlfn.IFNA(IF(((INDEX(RulebookFields!D2:D1898, MATCH(D3161,RulebookFields!A2:A1898, 0))="")=TRUE),  "",  INDEX(RulebookFields!D2:D1898, MATCH(D3161,RulebookFields!A2:A1898, 0))), "")</f>
        <v>IsUnescalatedRefusal</v>
      </c>
      <c r="J3161" s="4" t="b">
        <f>_xlfn.IFNA(IF(((INDEX(RulebookFields!I2:I1898, MATCH(D3161,RulebookFields!A2:A1898, 0))="")=TRUE),  "",  INDEX(RulebookFields!I2:I1898, MATCH(D3161,RulebookFields!A2:A1898, 0))), "")</f>
        <v>1</v>
      </c>
      <c r="K3161" s="4" t="b">
        <f>AND(((F3161)=TRUE), ((J3161)=TRUE))</f>
        <v>0</v>
      </c>
      <c r="L3161" s="4" t="b">
        <f>AND(((G3161 &lt;&gt; "plain")=TRUE), ((G3161 &lt;&gt; "")=TRUE))</f>
        <v>0</v>
      </c>
      <c r="M3161" s="4" t="str">
        <f>IF(((E3161)=TRUE),  C3161 &amp; "|" &amp; H3161,  "")</f>
        <v>principal-knowledge-authority|SendIntents</v>
      </c>
      <c r="N3161" s="3" t="s">
        <v>10004</v>
      </c>
    </row>
    <row r="3162">
      <c r="A3162" s="3" t="s">
        <v>13164</v>
      </c>
      <c r="B3162" s="4" t="str">
        <f>C3162 &amp; " -&gt; " &amp; D3162</f>
        <v>principal-knowledge-authority -&gt; SendIntents.UnescalatedRefusalRoleKey</v>
      </c>
      <c r="C3162" s="3" t="s">
        <v>9774</v>
      </c>
      <c r="D3162" s="3" t="s">
        <v>4930</v>
      </c>
      <c r="E3162" s="3" t="b">
        <v>1</v>
      </c>
      <c r="F3162" s="3" t="b">
        <v>0</v>
      </c>
      <c r="G3162" s="3" t="s">
        <v>10003</v>
      </c>
      <c r="H3162" s="4" t="str">
        <f>_xlfn.IFNA(IF(((INDEX(RulebookFields!C2:C1898, MATCH(D3162,RulebookFields!A2:A1898, 0))="")=TRUE),  "",  INDEX(RulebookFields!C2:C1898, MATCH(D3162,RulebookFields!A2:A1898, 0))), "")</f>
        <v>SendIntents</v>
      </c>
      <c r="I3162" s="4" t="str">
        <f>_xlfn.IFNA(IF(((INDEX(RulebookFields!D2:D1898, MATCH(D3162,RulebookFields!A2:A1898, 0))="")=TRUE),  "",  INDEX(RulebookFields!D2:D1898, MATCH(D3162,RulebookFields!A2:A1898, 0))), "")</f>
        <v>UnescalatedRefusalRoleKey</v>
      </c>
      <c r="J3162" s="4" t="b">
        <f>_xlfn.IFNA(IF(((INDEX(RulebookFields!I2:I1898, MATCH(D3162,RulebookFields!A2:A1898, 0))="")=TRUE),  "",  INDEX(RulebookFields!I2:I1898, MATCH(D3162,RulebookFields!A2:A1898, 0))), "")</f>
        <v>1</v>
      </c>
      <c r="K3162" s="4" t="b">
        <f>AND(((F3162)=TRUE), ((J3162)=TRUE))</f>
        <v>0</v>
      </c>
      <c r="L3162" s="4" t="b">
        <f>AND(((G3162 &lt;&gt; "plain")=TRUE), ((G3162 &lt;&gt; "")=TRUE))</f>
        <v>0</v>
      </c>
      <c r="M3162" s="4" t="str">
        <f>IF(((E3162)=TRUE),  C3162 &amp; "|" &amp; H3162,  "")</f>
        <v>principal-knowledge-authority|SendIntents</v>
      </c>
      <c r="N3162" s="3" t="s">
        <v>10004</v>
      </c>
    </row>
    <row r="3163">
      <c r="A3163" s="3" t="s">
        <v>13165</v>
      </c>
      <c r="B3163" s="4" t="str">
        <f>C3163 &amp; " -&gt; " &amp; D3163</f>
        <v>principal-knowledge-authority -&gt; SendIntents.UnrecordedRefusalExecutionKey</v>
      </c>
      <c r="C3163" s="3" t="s">
        <v>9774</v>
      </c>
      <c r="D3163" s="3" t="s">
        <v>4933</v>
      </c>
      <c r="E3163" s="3" t="b">
        <v>1</v>
      </c>
      <c r="F3163" s="3" t="b">
        <v>0</v>
      </c>
      <c r="G3163" s="3" t="s">
        <v>10003</v>
      </c>
      <c r="H3163" s="4" t="str">
        <f>_xlfn.IFNA(IF(((INDEX(RulebookFields!C2:C1898, MATCH(D3163,RulebookFields!A2:A1898, 0))="")=TRUE),  "",  INDEX(RulebookFields!C2:C1898, MATCH(D3163,RulebookFields!A2:A1898, 0))), "")</f>
        <v>SendIntents</v>
      </c>
      <c r="I3163" s="4" t="str">
        <f>_xlfn.IFNA(IF(((INDEX(RulebookFields!D2:D1898, MATCH(D3163,RulebookFields!A2:A1898, 0))="")=TRUE),  "",  INDEX(RulebookFields!D2:D1898, MATCH(D3163,RulebookFields!A2:A1898, 0))), "")</f>
        <v>UnrecordedRefusalExecutionKey</v>
      </c>
      <c r="J3163" s="4" t="b">
        <f>_xlfn.IFNA(IF(((INDEX(RulebookFields!I2:I1898, MATCH(D3163,RulebookFields!A2:A1898, 0))="")=TRUE),  "",  INDEX(RulebookFields!I2:I1898, MATCH(D3163,RulebookFields!A2:A1898, 0))), "")</f>
        <v>1</v>
      </c>
      <c r="K3163" s="4" t="b">
        <f>AND(((F3163)=TRUE), ((J3163)=TRUE))</f>
        <v>0</v>
      </c>
      <c r="L3163" s="4" t="b">
        <f>AND(((G3163 &lt;&gt; "plain")=TRUE), ((G3163 &lt;&gt; "")=TRUE))</f>
        <v>0</v>
      </c>
      <c r="M3163" s="4" t="str">
        <f>IF(((E3163)=TRUE),  C3163 &amp; "|" &amp; H3163,  "")</f>
        <v>principal-knowledge-authority|SendIntents</v>
      </c>
      <c r="N3163" s="3" t="s">
        <v>10004</v>
      </c>
    </row>
    <row r="3164">
      <c r="A3164" s="3" t="s">
        <v>13166</v>
      </c>
      <c r="B3164" s="4" t="str">
        <f>C3164 &amp; " -&gt; " &amp; D3164</f>
        <v>principal-knowledge-authority -&gt; SendIntents.RetryIntent</v>
      </c>
      <c r="C3164" s="3" t="s">
        <v>9774</v>
      </c>
      <c r="D3164" s="3" t="s">
        <v>4936</v>
      </c>
      <c r="E3164" s="3" t="b">
        <v>1</v>
      </c>
      <c r="F3164" s="3" t="b">
        <v>0</v>
      </c>
      <c r="G3164" s="3" t="s">
        <v>10003</v>
      </c>
      <c r="H3164" s="4" t="str">
        <f>_xlfn.IFNA(IF(((INDEX(RulebookFields!C2:C1898, MATCH(D3164,RulebookFields!A2:A1898, 0))="")=TRUE),  "",  INDEX(RulebookFields!C2:C1898, MATCH(D3164,RulebookFields!A2:A1898, 0))), "")</f>
        <v>SendIntents</v>
      </c>
      <c r="I3164" s="4" t="str">
        <f>_xlfn.IFNA(IF(((INDEX(RulebookFields!D2:D1898, MATCH(D3164,RulebookFields!A2:A1898, 0))="")=TRUE),  "",  INDEX(RulebookFields!D2:D1898, MATCH(D3164,RulebookFields!A2:A1898, 0))), "")</f>
        <v>RetryIntent</v>
      </c>
      <c r="J3164" s="4" t="b">
        <f>_xlfn.IFNA(IF(((INDEX(RulebookFields!I2:I1898, MATCH(D3164,RulebookFields!A2:A1898, 0))="")=TRUE),  "",  INDEX(RulebookFields!I2:I1898, MATCH(D3164,RulebookFields!A2:A1898, 0))), "")</f>
        <v>0</v>
      </c>
      <c r="K3164" s="4" t="b">
        <f>AND(((F3164)=TRUE), ((J3164)=TRUE))</f>
        <v>0</v>
      </c>
      <c r="L3164" s="4" t="b">
        <f>AND(((G3164 &lt;&gt; "plain")=TRUE), ((G3164 &lt;&gt; "")=TRUE))</f>
        <v>0</v>
      </c>
      <c r="M3164" s="4" t="str">
        <f>IF(((E3164)=TRUE),  C3164 &amp; "|" &amp; H3164,  "")</f>
        <v>principal-knowledge-authority|SendIntents</v>
      </c>
      <c r="N3164" s="3" t="s">
        <v>10004</v>
      </c>
    </row>
    <row r="3165">
      <c r="A3165" s="3" t="s">
        <v>13167</v>
      </c>
      <c r="B3165" s="4" t="str">
        <f>C3165 &amp; " -&gt; " &amp; D3165</f>
        <v>principal-knowledge-authority -&gt; SendIntents.WasDeferredOnTiming</v>
      </c>
      <c r="C3165" s="3" t="s">
        <v>9774</v>
      </c>
      <c r="D3165" s="3" t="s">
        <v>4938</v>
      </c>
      <c r="E3165" s="3" t="b">
        <v>1</v>
      </c>
      <c r="F3165" s="3" t="b">
        <v>0</v>
      </c>
      <c r="G3165" s="3" t="s">
        <v>10003</v>
      </c>
      <c r="H3165" s="4" t="str">
        <f>_xlfn.IFNA(IF(((INDEX(RulebookFields!C2:C1898, MATCH(D3165,RulebookFields!A2:A1898, 0))="")=TRUE),  "",  INDEX(RulebookFields!C2:C1898, MATCH(D3165,RulebookFields!A2:A1898, 0))), "")</f>
        <v>SendIntents</v>
      </c>
      <c r="I3165" s="4" t="str">
        <f>_xlfn.IFNA(IF(((INDEX(RulebookFields!D2:D1898, MATCH(D3165,RulebookFields!A2:A1898, 0))="")=TRUE),  "",  INDEX(RulebookFields!D2:D1898, MATCH(D3165,RulebookFields!A2:A1898, 0))), "")</f>
        <v>WasDeferredOnTiming</v>
      </c>
      <c r="J3165" s="4" t="b">
        <f>_xlfn.IFNA(IF(((INDEX(RulebookFields!I2:I1898, MATCH(D3165,RulebookFields!A2:A1898, 0))="")=TRUE),  "",  INDEX(RulebookFields!I2:I1898, MATCH(D3165,RulebookFields!A2:A1898, 0))), "")</f>
        <v>1</v>
      </c>
      <c r="K3165" s="4" t="b">
        <f>AND(((F3165)=TRUE), ((J3165)=TRUE))</f>
        <v>0</v>
      </c>
      <c r="L3165" s="4" t="b">
        <f>AND(((G3165 &lt;&gt; "plain")=TRUE), ((G3165 &lt;&gt; "")=TRUE))</f>
        <v>0</v>
      </c>
      <c r="M3165" s="4" t="str">
        <f>IF(((E3165)=TRUE),  C3165 &amp; "|" &amp; H3165,  "")</f>
        <v>principal-knowledge-authority|SendIntents</v>
      </c>
      <c r="N3165" s="3" t="s">
        <v>10004</v>
      </c>
    </row>
    <row r="3166">
      <c r="A3166" s="3" t="s">
        <v>13168</v>
      </c>
      <c r="B3166" s="4" t="str">
        <f>C3166 &amp; " -&gt; " &amp; D3166</f>
        <v>principal-knowledge-authority -&gt; SendIntents.EvaluationContext</v>
      </c>
      <c r="C3166" s="3" t="s">
        <v>9774</v>
      </c>
      <c r="D3166" s="3" t="s">
        <v>4941</v>
      </c>
      <c r="E3166" s="3" t="b">
        <v>1</v>
      </c>
      <c r="F3166" s="3" t="b">
        <v>0</v>
      </c>
      <c r="G3166" s="3" t="s">
        <v>10003</v>
      </c>
      <c r="H3166" s="4" t="str">
        <f>_xlfn.IFNA(IF(((INDEX(RulebookFields!C2:C1898, MATCH(D3166,RulebookFields!A2:A1898, 0))="")=TRUE),  "",  INDEX(RulebookFields!C2:C1898, MATCH(D3166,RulebookFields!A2:A1898, 0))), "")</f>
        <v>SendIntents</v>
      </c>
      <c r="I3166" s="4" t="str">
        <f>_xlfn.IFNA(IF(((INDEX(RulebookFields!D2:D1898, MATCH(D3166,RulebookFields!A2:A1898, 0))="")=TRUE),  "",  INDEX(RulebookFields!D2:D1898, MATCH(D3166,RulebookFields!A2:A1898, 0))), "")</f>
        <v>EvaluationContext</v>
      </c>
      <c r="J3166" s="4" t="b">
        <f>_xlfn.IFNA(IF(((INDEX(RulebookFields!I2:I1898, MATCH(D3166,RulebookFields!A2:A1898, 0))="")=TRUE),  "",  INDEX(RulebookFields!I2:I1898, MATCH(D3166,RulebookFields!A2:A1898, 0))), "")</f>
        <v>0</v>
      </c>
      <c r="K3166" s="4" t="b">
        <f>AND(((F3166)=TRUE), ((J3166)=TRUE))</f>
        <v>0</v>
      </c>
      <c r="L3166" s="4" t="b">
        <f>AND(((G3166 &lt;&gt; "plain")=TRUE), ((G3166 &lt;&gt; "")=TRUE))</f>
        <v>0</v>
      </c>
      <c r="M3166" s="4" t="str">
        <f>IF(((E3166)=TRUE),  C3166 &amp; "|" &amp; H3166,  "")</f>
        <v>principal-knowledge-authority|SendIntents</v>
      </c>
      <c r="N3166" s="3" t="s">
        <v>10004</v>
      </c>
    </row>
    <row r="3167">
      <c r="A3167" s="3" t="s">
        <v>13169</v>
      </c>
      <c r="B3167" s="4" t="str">
        <f>C3167 &amp; " -&gt; " &amp; D3167</f>
        <v>principal-knowledge-authority -&gt; SendIntents.AsOfInstant</v>
      </c>
      <c r="C3167" s="3" t="s">
        <v>9774</v>
      </c>
      <c r="D3167" s="3" t="s">
        <v>4942</v>
      </c>
      <c r="E3167" s="3" t="b">
        <v>1</v>
      </c>
      <c r="F3167" s="3" t="b">
        <v>0</v>
      </c>
      <c r="G3167" s="3" t="s">
        <v>10003</v>
      </c>
      <c r="H3167" s="4" t="str">
        <f>_xlfn.IFNA(IF(((INDEX(RulebookFields!C2:C1898, MATCH(D3167,RulebookFields!A2:A1898, 0))="")=TRUE),  "",  INDEX(RulebookFields!C2:C1898, MATCH(D3167,RulebookFields!A2:A1898, 0))), "")</f>
        <v>SendIntents</v>
      </c>
      <c r="I3167" s="4" t="str">
        <f>_xlfn.IFNA(IF(((INDEX(RulebookFields!D2:D1898, MATCH(D3167,RulebookFields!A2:A1898, 0))="")=TRUE),  "",  INDEX(RulebookFields!D2:D1898, MATCH(D3167,RulebookFields!A2:A1898, 0))), "")</f>
        <v>AsOfInstant</v>
      </c>
      <c r="J3167" s="4" t="b">
        <f>_xlfn.IFNA(IF(((INDEX(RulebookFields!I2:I1898, MATCH(D3167,RulebookFields!A2:A1898, 0))="")=TRUE),  "",  INDEX(RulebookFields!I2:I1898, MATCH(D3167,RulebookFields!A2:A1898, 0))), "")</f>
        <v>1</v>
      </c>
      <c r="K3167" s="4" t="b">
        <f>AND(((F3167)=TRUE), ((J3167)=TRUE))</f>
        <v>0</v>
      </c>
      <c r="L3167" s="4" t="b">
        <f>AND(((G3167 &lt;&gt; "plain")=TRUE), ((G3167 &lt;&gt; "")=TRUE))</f>
        <v>0</v>
      </c>
      <c r="M3167" s="4" t="str">
        <f>IF(((E3167)=TRUE),  C3167 &amp; "|" &amp; H3167,  "")</f>
        <v>principal-knowledge-authority|SendIntents</v>
      </c>
      <c r="N3167" s="3" t="s">
        <v>10004</v>
      </c>
    </row>
    <row r="3168">
      <c r="A3168" s="3" t="s">
        <v>13170</v>
      </c>
      <c r="B3168" s="4" t="str">
        <f>C3168 &amp; " -&gt; " &amp; D3168</f>
        <v>principal-knowledge-authority -&gt; SendIntents.WindowHasSinceReopened</v>
      </c>
      <c r="C3168" s="3" t="s">
        <v>9774</v>
      </c>
      <c r="D3168" s="3" t="s">
        <v>4943</v>
      </c>
      <c r="E3168" s="3" t="b">
        <v>1</v>
      </c>
      <c r="F3168" s="3" t="b">
        <v>0</v>
      </c>
      <c r="G3168" s="3" t="s">
        <v>10003</v>
      </c>
      <c r="H3168" s="4" t="str">
        <f>_xlfn.IFNA(IF(((INDEX(RulebookFields!C2:C1898, MATCH(D3168,RulebookFields!A2:A1898, 0))="")=TRUE),  "",  INDEX(RulebookFields!C2:C1898, MATCH(D3168,RulebookFields!A2:A1898, 0))), "")</f>
        <v>SendIntents</v>
      </c>
      <c r="I3168" s="4" t="str">
        <f>_xlfn.IFNA(IF(((INDEX(RulebookFields!D2:D1898, MATCH(D3168,RulebookFields!A2:A1898, 0))="")=TRUE),  "",  INDEX(RulebookFields!D2:D1898, MATCH(D3168,RulebookFields!A2:A1898, 0))), "")</f>
        <v>WindowHasSinceReopened</v>
      </c>
      <c r="J3168" s="4" t="b">
        <f>_xlfn.IFNA(IF(((INDEX(RulebookFields!I2:I1898, MATCH(D3168,RulebookFields!A2:A1898, 0))="")=TRUE),  "",  INDEX(RulebookFields!I2:I1898, MATCH(D3168,RulebookFields!A2:A1898, 0))), "")</f>
        <v>1</v>
      </c>
      <c r="K3168" s="4" t="b">
        <f>AND(((F3168)=TRUE), ((J3168)=TRUE))</f>
        <v>0</v>
      </c>
      <c r="L3168" s="4" t="b">
        <f>AND(((G3168 &lt;&gt; "plain")=TRUE), ((G3168 &lt;&gt; "")=TRUE))</f>
        <v>0</v>
      </c>
      <c r="M3168" s="4" t="str">
        <f>IF(((E3168)=TRUE),  C3168 &amp; "|" &amp; H3168,  "")</f>
        <v>principal-knowledge-authority|SendIntents</v>
      </c>
      <c r="N3168" s="3" t="s">
        <v>10004</v>
      </c>
    </row>
    <row r="3169">
      <c r="A3169" s="3" t="s">
        <v>13171</v>
      </c>
      <c r="B3169" s="4" t="str">
        <f>C3169 &amp; " -&gt; " &amp; D3169</f>
        <v>principal-knowledge-authority -&gt; SendIntents.HasRetryAttempt</v>
      </c>
      <c r="C3169" s="3" t="s">
        <v>9774</v>
      </c>
      <c r="D3169" s="3" t="s">
        <v>4946</v>
      </c>
      <c r="E3169" s="3" t="b">
        <v>1</v>
      </c>
      <c r="F3169" s="3" t="b">
        <v>0</v>
      </c>
      <c r="G3169" s="3" t="s">
        <v>10003</v>
      </c>
      <c r="H3169" s="4" t="str">
        <f>_xlfn.IFNA(IF(((INDEX(RulebookFields!C2:C1898, MATCH(D3169,RulebookFields!A2:A1898, 0))="")=TRUE),  "",  INDEX(RulebookFields!C2:C1898, MATCH(D3169,RulebookFields!A2:A1898, 0))), "")</f>
        <v>SendIntents</v>
      </c>
      <c r="I3169" s="4" t="str">
        <f>_xlfn.IFNA(IF(((INDEX(RulebookFields!D2:D1898, MATCH(D3169,RulebookFields!A2:A1898, 0))="")=TRUE),  "",  INDEX(RulebookFields!D2:D1898, MATCH(D3169,RulebookFields!A2:A1898, 0))), "")</f>
        <v>HasRetryAttempt</v>
      </c>
      <c r="J3169" s="4" t="b">
        <f>_xlfn.IFNA(IF(((INDEX(RulebookFields!I2:I1898, MATCH(D3169,RulebookFields!A2:A1898, 0))="")=TRUE),  "",  INDEX(RulebookFields!I2:I1898, MATCH(D3169,RulebookFields!A2:A1898, 0))), "")</f>
        <v>1</v>
      </c>
      <c r="K3169" s="4" t="b">
        <f>AND(((F3169)=TRUE), ((J3169)=TRUE))</f>
        <v>0</v>
      </c>
      <c r="L3169" s="4" t="b">
        <f>AND(((G3169 &lt;&gt; "plain")=TRUE), ((G3169 &lt;&gt; "")=TRUE))</f>
        <v>0</v>
      </c>
      <c r="M3169" s="4" t="str">
        <f>IF(((E3169)=TRUE),  C3169 &amp; "|" &amp; H3169,  "")</f>
        <v>principal-knowledge-authority|SendIntents</v>
      </c>
      <c r="N3169" s="3" t="s">
        <v>10004</v>
      </c>
    </row>
    <row r="3170">
      <c r="A3170" s="3" t="s">
        <v>13172</v>
      </c>
      <c r="B3170" s="4" t="str">
        <f>C3170 &amp; " -&gt; " &amp; D3170</f>
        <v>principal-knowledge-authority -&gt; SendIntents.RetryWasCleared</v>
      </c>
      <c r="C3170" s="3" t="s">
        <v>9774</v>
      </c>
      <c r="D3170" s="3" t="s">
        <v>4949</v>
      </c>
      <c r="E3170" s="3" t="b">
        <v>1</v>
      </c>
      <c r="F3170" s="3" t="b">
        <v>0</v>
      </c>
      <c r="G3170" s="3" t="s">
        <v>10003</v>
      </c>
      <c r="H3170" s="4" t="str">
        <f>_xlfn.IFNA(IF(((INDEX(RulebookFields!C2:C1898, MATCH(D3170,RulebookFields!A2:A1898, 0))="")=TRUE),  "",  INDEX(RulebookFields!C2:C1898, MATCH(D3170,RulebookFields!A2:A1898, 0))), "")</f>
        <v>SendIntents</v>
      </c>
      <c r="I3170" s="4" t="str">
        <f>_xlfn.IFNA(IF(((INDEX(RulebookFields!D2:D1898, MATCH(D3170,RulebookFields!A2:A1898, 0))="")=TRUE),  "",  INDEX(RulebookFields!D2:D1898, MATCH(D3170,RulebookFields!A2:A1898, 0))), "")</f>
        <v>RetryWasCleared</v>
      </c>
      <c r="J3170" s="4" t="b">
        <f>_xlfn.IFNA(IF(((INDEX(RulebookFields!I2:I1898, MATCH(D3170,RulebookFields!A2:A1898, 0))="")=TRUE),  "",  INDEX(RulebookFields!I2:I1898, MATCH(D3170,RulebookFields!A2:A1898, 0))), "")</f>
        <v>1</v>
      </c>
      <c r="K3170" s="4" t="b">
        <f>AND(((F3170)=TRUE), ((J3170)=TRUE))</f>
        <v>0</v>
      </c>
      <c r="L3170" s="4" t="b">
        <f>AND(((G3170 &lt;&gt; "plain")=TRUE), ((G3170 &lt;&gt; "")=TRUE))</f>
        <v>0</v>
      </c>
      <c r="M3170" s="4" t="str">
        <f>IF(((E3170)=TRUE),  C3170 &amp; "|" &amp; H3170,  "")</f>
        <v>principal-knowledge-authority|SendIntents</v>
      </c>
      <c r="N3170" s="3" t="s">
        <v>10004</v>
      </c>
    </row>
    <row r="3171">
      <c r="A3171" s="3" t="s">
        <v>13173</v>
      </c>
      <c r="B3171" s="4" t="str">
        <f>C3171 &amp; " -&gt; " &amp; D3171</f>
        <v>principal-knowledge-authority -&gt; SendIntents.IsAbandonedDeferral</v>
      </c>
      <c r="C3171" s="3" t="s">
        <v>9774</v>
      </c>
      <c r="D3171" s="3" t="s">
        <v>4952</v>
      </c>
      <c r="E3171" s="3" t="b">
        <v>1</v>
      </c>
      <c r="F3171" s="3" t="b">
        <v>0</v>
      </c>
      <c r="G3171" s="3" t="s">
        <v>10003</v>
      </c>
      <c r="H3171" s="4" t="str">
        <f>_xlfn.IFNA(IF(((INDEX(RulebookFields!C2:C1898, MATCH(D3171,RulebookFields!A2:A1898, 0))="")=TRUE),  "",  INDEX(RulebookFields!C2:C1898, MATCH(D3171,RulebookFields!A2:A1898, 0))), "")</f>
        <v>SendIntents</v>
      </c>
      <c r="I3171" s="4" t="str">
        <f>_xlfn.IFNA(IF(((INDEX(RulebookFields!D2:D1898, MATCH(D3171,RulebookFields!A2:A1898, 0))="")=TRUE),  "",  INDEX(RulebookFields!D2:D1898, MATCH(D3171,RulebookFields!A2:A1898, 0))), "")</f>
        <v>IsAbandonedDeferral</v>
      </c>
      <c r="J3171" s="4" t="b">
        <f>_xlfn.IFNA(IF(((INDEX(RulebookFields!I2:I1898, MATCH(D3171,RulebookFields!A2:A1898, 0))="")=TRUE),  "",  INDEX(RulebookFields!I2:I1898, MATCH(D3171,RulebookFields!A2:A1898, 0))), "")</f>
        <v>1</v>
      </c>
      <c r="K3171" s="4" t="b">
        <f>AND(((F3171)=TRUE), ((J3171)=TRUE))</f>
        <v>0</v>
      </c>
      <c r="L3171" s="4" t="b">
        <f>AND(((G3171 &lt;&gt; "plain")=TRUE), ((G3171 &lt;&gt; "")=TRUE))</f>
        <v>0</v>
      </c>
      <c r="M3171" s="4" t="str">
        <f>IF(((E3171)=TRUE),  C3171 &amp; "|" &amp; H3171,  "")</f>
        <v>principal-knowledge-authority|SendIntents</v>
      </c>
      <c r="N3171" s="3" t="s">
        <v>10004</v>
      </c>
    </row>
    <row r="3172">
      <c r="A3172" s="3" t="s">
        <v>13174</v>
      </c>
      <c r="B3172" s="4" t="str">
        <f>C3172 &amp; " -&gt; " &amp; D3172</f>
        <v>principal-knowledge-authority -&gt; SendIntents.DeferralAgeHours</v>
      </c>
      <c r="C3172" s="3" t="s">
        <v>9774</v>
      </c>
      <c r="D3172" s="3" t="s">
        <v>4955</v>
      </c>
      <c r="E3172" s="3" t="b">
        <v>1</v>
      </c>
      <c r="F3172" s="3" t="b">
        <v>0</v>
      </c>
      <c r="G3172" s="3" t="s">
        <v>10003</v>
      </c>
      <c r="H3172" s="4" t="str">
        <f>_xlfn.IFNA(IF(((INDEX(RulebookFields!C2:C1898, MATCH(D3172,RulebookFields!A2:A1898, 0))="")=TRUE),  "",  INDEX(RulebookFields!C2:C1898, MATCH(D3172,RulebookFields!A2:A1898, 0))), "")</f>
        <v>SendIntents</v>
      </c>
      <c r="I3172" s="4" t="str">
        <f>_xlfn.IFNA(IF(((INDEX(RulebookFields!D2:D1898, MATCH(D3172,RulebookFields!A2:A1898, 0))="")=TRUE),  "",  INDEX(RulebookFields!D2:D1898, MATCH(D3172,RulebookFields!A2:A1898, 0))), "")</f>
        <v>DeferralAgeHours</v>
      </c>
      <c r="J3172" s="4" t="b">
        <f>_xlfn.IFNA(IF(((INDEX(RulebookFields!I2:I1898, MATCH(D3172,RulebookFields!A2:A1898, 0))="")=TRUE),  "",  INDEX(RulebookFields!I2:I1898, MATCH(D3172,RulebookFields!A2:A1898, 0))), "")</f>
        <v>1</v>
      </c>
      <c r="K3172" s="4" t="b">
        <f>AND(((F3172)=TRUE), ((J3172)=TRUE))</f>
        <v>0</v>
      </c>
      <c r="L3172" s="4" t="b">
        <f>AND(((G3172 &lt;&gt; "plain")=TRUE), ((G3172 &lt;&gt; "")=TRUE))</f>
        <v>0</v>
      </c>
      <c r="M3172" s="4" t="str">
        <f>IF(((E3172)=TRUE),  C3172 &amp; "|" &amp; H3172,  "")</f>
        <v>principal-knowledge-authority|SendIntents</v>
      </c>
      <c r="N3172" s="3" t="s">
        <v>10004</v>
      </c>
    </row>
    <row r="3173">
      <c r="A3173" s="3" t="s">
        <v>13175</v>
      </c>
      <c r="B3173" s="4" t="str">
        <f>C3173 &amp; " -&gt; " &amp; D3173</f>
        <v>principal-knowledge-authority -&gt; SendIntents.IsStaleDeferral</v>
      </c>
      <c r="C3173" s="3" t="s">
        <v>9774</v>
      </c>
      <c r="D3173" s="3" t="s">
        <v>4958</v>
      </c>
      <c r="E3173" s="3" t="b">
        <v>1</v>
      </c>
      <c r="F3173" s="3" t="b">
        <v>0</v>
      </c>
      <c r="G3173" s="3" t="s">
        <v>10003</v>
      </c>
      <c r="H3173" s="4" t="str">
        <f>_xlfn.IFNA(IF(((INDEX(RulebookFields!C2:C1898, MATCH(D3173,RulebookFields!A2:A1898, 0))="")=TRUE),  "",  INDEX(RulebookFields!C2:C1898, MATCH(D3173,RulebookFields!A2:A1898, 0))), "")</f>
        <v>SendIntents</v>
      </c>
      <c r="I3173" s="4" t="str">
        <f>_xlfn.IFNA(IF(((INDEX(RulebookFields!D2:D1898, MATCH(D3173,RulebookFields!A2:A1898, 0))="")=TRUE),  "",  INDEX(RulebookFields!D2:D1898, MATCH(D3173,RulebookFields!A2:A1898, 0))), "")</f>
        <v>IsStaleDeferral</v>
      </c>
      <c r="J3173" s="4" t="b">
        <f>_xlfn.IFNA(IF(((INDEX(RulebookFields!I2:I1898, MATCH(D3173,RulebookFields!A2:A1898, 0))="")=TRUE),  "",  INDEX(RulebookFields!I2:I1898, MATCH(D3173,RulebookFields!A2:A1898, 0))), "")</f>
        <v>1</v>
      </c>
      <c r="K3173" s="4" t="b">
        <f>AND(((F3173)=TRUE), ((J3173)=TRUE))</f>
        <v>0</v>
      </c>
      <c r="L3173" s="4" t="b">
        <f>AND(((G3173 &lt;&gt; "plain")=TRUE), ((G3173 &lt;&gt; "")=TRUE))</f>
        <v>0</v>
      </c>
      <c r="M3173" s="4" t="str">
        <f>IF(((E3173)=TRUE),  C3173 &amp; "|" &amp; H3173,  "")</f>
        <v>principal-knowledge-authority|SendIntents</v>
      </c>
      <c r="N3173" s="3" t="s">
        <v>10004</v>
      </c>
    </row>
    <row r="3174">
      <c r="A3174" s="3" t="s">
        <v>13176</v>
      </c>
      <c r="B3174" s="4" t="str">
        <f>C3174 &amp; " -&gt; " &amp; D3174</f>
        <v>principal-knowledge-authority -&gt; SendIntents.EvaluatingRoleAssignment</v>
      </c>
      <c r="C3174" s="3" t="s">
        <v>9774</v>
      </c>
      <c r="D3174" s="3" t="s">
        <v>4961</v>
      </c>
      <c r="E3174" s="3" t="b">
        <v>1</v>
      </c>
      <c r="F3174" s="3" t="b">
        <v>0</v>
      </c>
      <c r="G3174" s="3" t="s">
        <v>10003</v>
      </c>
      <c r="H3174" s="4" t="str">
        <f>_xlfn.IFNA(IF(((INDEX(RulebookFields!C2:C1898, MATCH(D3174,RulebookFields!A2:A1898, 0))="")=TRUE),  "",  INDEX(RulebookFields!C2:C1898, MATCH(D3174,RulebookFields!A2:A1898, 0))), "")</f>
        <v>SendIntents</v>
      </c>
      <c r="I3174" s="4" t="str">
        <f>_xlfn.IFNA(IF(((INDEX(RulebookFields!D2:D1898, MATCH(D3174,RulebookFields!A2:A1898, 0))="")=TRUE),  "",  INDEX(RulebookFields!D2:D1898, MATCH(D3174,RulebookFields!A2:A1898, 0))), "")</f>
        <v>EvaluatingRoleAssignment</v>
      </c>
      <c r="J3174" s="4" t="b">
        <f>_xlfn.IFNA(IF(((INDEX(RulebookFields!I2:I1898, MATCH(D3174,RulebookFields!A2:A1898, 0))="")=TRUE),  "",  INDEX(RulebookFields!I2:I1898, MATCH(D3174,RulebookFields!A2:A1898, 0))), "")</f>
        <v>0</v>
      </c>
      <c r="K3174" s="4" t="b">
        <f>AND(((F3174)=TRUE), ((J3174)=TRUE))</f>
        <v>0</v>
      </c>
      <c r="L3174" s="4" t="b">
        <f>AND(((G3174 &lt;&gt; "plain")=TRUE), ((G3174 &lt;&gt; "")=TRUE))</f>
        <v>0</v>
      </c>
      <c r="M3174" s="4" t="str">
        <f>IF(((E3174)=TRUE),  C3174 &amp; "|" &amp; H3174,  "")</f>
        <v>principal-knowledge-authority|SendIntents</v>
      </c>
      <c r="N3174" s="3" t="s">
        <v>10004</v>
      </c>
    </row>
    <row r="3175">
      <c r="A3175" s="3" t="s">
        <v>13177</v>
      </c>
      <c r="B3175" s="4" t="str">
        <f>C3175 &amp; " -&gt; " &amp; D3175</f>
        <v>principal-knowledge-authority -&gt; SendIntents.EnforcedByUnauthorizedAgent</v>
      </c>
      <c r="C3175" s="3" t="s">
        <v>9774</v>
      </c>
      <c r="D3175" s="3" t="s">
        <v>4963</v>
      </c>
      <c r="E3175" s="3" t="b">
        <v>1</v>
      </c>
      <c r="F3175" s="3" t="b">
        <v>0</v>
      </c>
      <c r="G3175" s="3" t="s">
        <v>10003</v>
      </c>
      <c r="H3175" s="4" t="str">
        <f>_xlfn.IFNA(IF(((INDEX(RulebookFields!C2:C1898, MATCH(D3175,RulebookFields!A2:A1898, 0))="")=TRUE),  "",  INDEX(RulebookFields!C2:C1898, MATCH(D3175,RulebookFields!A2:A1898, 0))), "")</f>
        <v>SendIntents</v>
      </c>
      <c r="I3175" s="4" t="str">
        <f>_xlfn.IFNA(IF(((INDEX(RulebookFields!D2:D1898, MATCH(D3175,RulebookFields!A2:A1898, 0))="")=TRUE),  "",  INDEX(RulebookFields!D2:D1898, MATCH(D3175,RulebookFields!A2:A1898, 0))), "")</f>
        <v>EnforcedByUnauthorizedAgent</v>
      </c>
      <c r="J3175" s="4" t="b">
        <f>_xlfn.IFNA(IF(((INDEX(RulebookFields!I2:I1898, MATCH(D3175,RulebookFields!A2:A1898, 0))="")=TRUE),  "",  INDEX(RulebookFields!I2:I1898, MATCH(D3175,RulebookFields!A2:A1898, 0))), "")</f>
        <v>1</v>
      </c>
      <c r="K3175" s="4" t="b">
        <f>AND(((F3175)=TRUE), ((J3175)=TRUE))</f>
        <v>0</v>
      </c>
      <c r="L3175" s="4" t="b">
        <f>AND(((G3175 &lt;&gt; "plain")=TRUE), ((G3175 &lt;&gt; "")=TRUE))</f>
        <v>0</v>
      </c>
      <c r="M3175" s="4" t="str">
        <f>IF(((E3175)=TRUE),  C3175 &amp; "|" &amp; H3175,  "")</f>
        <v>principal-knowledge-authority|SendIntents</v>
      </c>
      <c r="N3175" s="3" t="s">
        <v>10004</v>
      </c>
    </row>
    <row r="3176">
      <c r="A3176" s="3" t="s">
        <v>13178</v>
      </c>
      <c r="B3176" s="4" t="str">
        <f>C3176 &amp; " -&gt; " &amp; D3176</f>
        <v>principal-knowledge-authority -&gt; SendIntents.ConsentInputWasResolvable</v>
      </c>
      <c r="C3176" s="3" t="s">
        <v>9774</v>
      </c>
      <c r="D3176" s="3" t="s">
        <v>4966</v>
      </c>
      <c r="E3176" s="3" t="b">
        <v>1</v>
      </c>
      <c r="F3176" s="3" t="b">
        <v>0</v>
      </c>
      <c r="G3176" s="3" t="s">
        <v>10003</v>
      </c>
      <c r="H3176" s="4" t="str">
        <f>_xlfn.IFNA(IF(((INDEX(RulebookFields!C2:C1898, MATCH(D3176,RulebookFields!A2:A1898, 0))="")=TRUE),  "",  INDEX(RulebookFields!C2:C1898, MATCH(D3176,RulebookFields!A2:A1898, 0))), "")</f>
        <v>SendIntents</v>
      </c>
      <c r="I3176" s="4" t="str">
        <f>_xlfn.IFNA(IF(((INDEX(RulebookFields!D2:D1898, MATCH(D3176,RulebookFields!A2:A1898, 0))="")=TRUE),  "",  INDEX(RulebookFields!D2:D1898, MATCH(D3176,RulebookFields!A2:A1898, 0))), "")</f>
        <v>ConsentInputWasResolvable</v>
      </c>
      <c r="J3176" s="4" t="b">
        <f>_xlfn.IFNA(IF(((INDEX(RulebookFields!I2:I1898, MATCH(D3176,RulebookFields!A2:A1898, 0))="")=TRUE),  "",  INDEX(RulebookFields!I2:I1898, MATCH(D3176,RulebookFields!A2:A1898, 0))), "")</f>
        <v>1</v>
      </c>
      <c r="K3176" s="4" t="b">
        <f>AND(((F3176)=TRUE), ((J3176)=TRUE))</f>
        <v>0</v>
      </c>
      <c r="L3176" s="4" t="b">
        <f>AND(((G3176 &lt;&gt; "plain")=TRUE), ((G3176 &lt;&gt; "")=TRUE))</f>
        <v>0</v>
      </c>
      <c r="M3176" s="4" t="str">
        <f>IF(((E3176)=TRUE),  C3176 &amp; "|" &amp; H3176,  "")</f>
        <v>principal-knowledge-authority|SendIntents</v>
      </c>
      <c r="N3176" s="3" t="s">
        <v>10004</v>
      </c>
    </row>
    <row r="3177">
      <c r="A3177" s="3" t="s">
        <v>13179</v>
      </c>
      <c r="B3177" s="4" t="str">
        <f>C3177 &amp; " -&gt; " &amp; D3177</f>
        <v>principal-knowledge-authority -&gt; SendIntents.RecipientConsentStatusRaw</v>
      </c>
      <c r="C3177" s="3" t="s">
        <v>9774</v>
      </c>
      <c r="D3177" s="3" t="s">
        <v>4969</v>
      </c>
      <c r="E3177" s="3" t="b">
        <v>1</v>
      </c>
      <c r="F3177" s="3" t="b">
        <v>0</v>
      </c>
      <c r="G3177" s="3" t="s">
        <v>10003</v>
      </c>
      <c r="H3177" s="4" t="str">
        <f>_xlfn.IFNA(IF(((INDEX(RulebookFields!C2:C1898, MATCH(D3177,RulebookFields!A2:A1898, 0))="")=TRUE),  "",  INDEX(RulebookFields!C2:C1898, MATCH(D3177,RulebookFields!A2:A1898, 0))), "")</f>
        <v>SendIntents</v>
      </c>
      <c r="I3177" s="4" t="str">
        <f>_xlfn.IFNA(IF(((INDEX(RulebookFields!D2:D1898, MATCH(D3177,RulebookFields!A2:A1898, 0))="")=TRUE),  "",  INDEX(RulebookFields!D2:D1898, MATCH(D3177,RulebookFields!A2:A1898, 0))), "")</f>
        <v>RecipientConsentStatusRaw</v>
      </c>
      <c r="J3177" s="4" t="b">
        <f>_xlfn.IFNA(IF(((INDEX(RulebookFields!I2:I1898, MATCH(D3177,RulebookFields!A2:A1898, 0))="")=TRUE),  "",  INDEX(RulebookFields!I2:I1898, MATCH(D3177,RulebookFields!A2:A1898, 0))), "")</f>
        <v>1</v>
      </c>
      <c r="K3177" s="4" t="b">
        <f>AND(((F3177)=TRUE), ((J3177)=TRUE))</f>
        <v>0</v>
      </c>
      <c r="L3177" s="4" t="b">
        <f>AND(((G3177 &lt;&gt; "plain")=TRUE), ((G3177 &lt;&gt; "")=TRUE))</f>
        <v>0</v>
      </c>
      <c r="M3177" s="4" t="str">
        <f>IF(((E3177)=TRUE),  C3177 &amp; "|" &amp; H3177,  "")</f>
        <v>principal-knowledge-authority|SendIntents</v>
      </c>
      <c r="N3177" s="3" t="s">
        <v>10004</v>
      </c>
    </row>
    <row r="3178">
      <c r="A3178" s="3" t="s">
        <v>13180</v>
      </c>
      <c r="B3178" s="4" t="str">
        <f>C3178 &amp; " -&gt; " &amp; D3178</f>
        <v>principal-knowledge-authority -&gt; SendIntents.PolicyInputWasResolvable</v>
      </c>
      <c r="C3178" s="3" t="s">
        <v>9774</v>
      </c>
      <c r="D3178" s="3" t="s">
        <v>4972</v>
      </c>
      <c r="E3178" s="3" t="b">
        <v>1</v>
      </c>
      <c r="F3178" s="3" t="b">
        <v>0</v>
      </c>
      <c r="G3178" s="3" t="s">
        <v>10003</v>
      </c>
      <c r="H3178" s="4" t="str">
        <f>_xlfn.IFNA(IF(((INDEX(RulebookFields!C2:C1898, MATCH(D3178,RulebookFields!A2:A1898, 0))="")=TRUE),  "",  INDEX(RulebookFields!C2:C1898, MATCH(D3178,RulebookFields!A2:A1898, 0))), "")</f>
        <v>SendIntents</v>
      </c>
      <c r="I3178" s="4" t="str">
        <f>_xlfn.IFNA(IF(((INDEX(RulebookFields!D2:D1898, MATCH(D3178,RulebookFields!A2:A1898, 0))="")=TRUE),  "",  INDEX(RulebookFields!D2:D1898, MATCH(D3178,RulebookFields!A2:A1898, 0))), "")</f>
        <v>PolicyInputWasResolvable</v>
      </c>
      <c r="J3178" s="4" t="b">
        <f>_xlfn.IFNA(IF(((INDEX(RulebookFields!I2:I1898, MATCH(D3178,RulebookFields!A2:A1898, 0))="")=TRUE),  "",  INDEX(RulebookFields!I2:I1898, MATCH(D3178,RulebookFields!A2:A1898, 0))), "")</f>
        <v>1</v>
      </c>
      <c r="K3178" s="4" t="b">
        <f>AND(((F3178)=TRUE), ((J3178)=TRUE))</f>
        <v>0</v>
      </c>
      <c r="L3178" s="4" t="b">
        <f>AND(((G3178 &lt;&gt; "plain")=TRUE), ((G3178 &lt;&gt; "")=TRUE))</f>
        <v>0</v>
      </c>
      <c r="M3178" s="4" t="str">
        <f>IF(((E3178)=TRUE),  C3178 &amp; "|" &amp; H3178,  "")</f>
        <v>principal-knowledge-authority|SendIntents</v>
      </c>
      <c r="N3178" s="3" t="s">
        <v>10004</v>
      </c>
    </row>
    <row r="3179">
      <c r="A3179" s="3" t="s">
        <v>13181</v>
      </c>
      <c r="B3179" s="4" t="str">
        <f>C3179 &amp; " -&gt; " &amp; D3179</f>
        <v>principal-knowledge-authority -&gt; SendIntents.AllGateInputsResolved</v>
      </c>
      <c r="C3179" s="3" t="s">
        <v>9774</v>
      </c>
      <c r="D3179" s="3" t="s">
        <v>4975</v>
      </c>
      <c r="E3179" s="3" t="b">
        <v>1</v>
      </c>
      <c r="F3179" s="3" t="b">
        <v>0</v>
      </c>
      <c r="G3179" s="3" t="s">
        <v>10003</v>
      </c>
      <c r="H3179" s="4" t="str">
        <f>_xlfn.IFNA(IF(((INDEX(RulebookFields!C2:C1898, MATCH(D3179,RulebookFields!A2:A1898, 0))="")=TRUE),  "",  INDEX(RulebookFields!C2:C1898, MATCH(D3179,RulebookFields!A2:A1898, 0))), "")</f>
        <v>SendIntents</v>
      </c>
      <c r="I3179" s="4" t="str">
        <f>_xlfn.IFNA(IF(((INDEX(RulebookFields!D2:D1898, MATCH(D3179,RulebookFields!A2:A1898, 0))="")=TRUE),  "",  INDEX(RulebookFields!D2:D1898, MATCH(D3179,RulebookFields!A2:A1898, 0))), "")</f>
        <v>AllGateInputsResolved</v>
      </c>
      <c r="J3179" s="4" t="b">
        <f>_xlfn.IFNA(IF(((INDEX(RulebookFields!I2:I1898, MATCH(D3179,RulebookFields!A2:A1898, 0))="")=TRUE),  "",  INDEX(RulebookFields!I2:I1898, MATCH(D3179,RulebookFields!A2:A1898, 0))), "")</f>
        <v>1</v>
      </c>
      <c r="K3179" s="4" t="b">
        <f>AND(((F3179)=TRUE), ((J3179)=TRUE))</f>
        <v>0</v>
      </c>
      <c r="L3179" s="4" t="b">
        <f>AND(((G3179 &lt;&gt; "plain")=TRUE), ((G3179 &lt;&gt; "")=TRUE))</f>
        <v>0</v>
      </c>
      <c r="M3179" s="4" t="str">
        <f>IF(((E3179)=TRUE),  C3179 &amp; "|" &amp; H3179,  "")</f>
        <v>principal-knowledge-authority|SendIntents</v>
      </c>
      <c r="N3179" s="3" t="s">
        <v>10004</v>
      </c>
    </row>
    <row r="3180">
      <c r="A3180" s="3" t="s">
        <v>13182</v>
      </c>
      <c r="B3180" s="4" t="str">
        <f>C3180 &amp; " -&gt; " &amp; D3180</f>
        <v>principal-knowledge-authority -&gt; SendIntents.IsUnevaluableRefusal</v>
      </c>
      <c r="C3180" s="3" t="s">
        <v>9774</v>
      </c>
      <c r="D3180" s="3" t="s">
        <v>4978</v>
      </c>
      <c r="E3180" s="3" t="b">
        <v>1</v>
      </c>
      <c r="F3180" s="3" t="b">
        <v>0</v>
      </c>
      <c r="G3180" s="3" t="s">
        <v>10003</v>
      </c>
      <c r="H3180" s="4" t="str">
        <f>_xlfn.IFNA(IF(((INDEX(RulebookFields!C2:C1898, MATCH(D3180,RulebookFields!A2:A1898, 0))="")=TRUE),  "",  INDEX(RulebookFields!C2:C1898, MATCH(D3180,RulebookFields!A2:A1898, 0))), "")</f>
        <v>SendIntents</v>
      </c>
      <c r="I3180" s="4" t="str">
        <f>_xlfn.IFNA(IF(((INDEX(RulebookFields!D2:D1898, MATCH(D3180,RulebookFields!A2:A1898, 0))="")=TRUE),  "",  INDEX(RulebookFields!D2:D1898, MATCH(D3180,RulebookFields!A2:A1898, 0))), "")</f>
        <v>IsUnevaluableRefusal</v>
      </c>
      <c r="J3180" s="4" t="b">
        <f>_xlfn.IFNA(IF(((INDEX(RulebookFields!I2:I1898, MATCH(D3180,RulebookFields!A2:A1898, 0))="")=TRUE),  "",  INDEX(RulebookFields!I2:I1898, MATCH(D3180,RulebookFields!A2:A1898, 0))), "")</f>
        <v>1</v>
      </c>
      <c r="K3180" s="4" t="b">
        <f>AND(((F3180)=TRUE), ((J3180)=TRUE))</f>
        <v>0</v>
      </c>
      <c r="L3180" s="4" t="b">
        <f>AND(((G3180 &lt;&gt; "plain")=TRUE), ((G3180 &lt;&gt; "")=TRUE))</f>
        <v>0</v>
      </c>
      <c r="M3180" s="4" t="str">
        <f>IF(((E3180)=TRUE),  C3180 &amp; "|" &amp; H3180,  "")</f>
        <v>principal-knowledge-authority|SendIntents</v>
      </c>
      <c r="N3180" s="3" t="s">
        <v>10004</v>
      </c>
    </row>
    <row r="3181">
      <c r="A3181" s="3" t="s">
        <v>13183</v>
      </c>
      <c r="B3181" s="4" t="str">
        <f>C3181 &amp; " -&gt; " &amp; D3181</f>
        <v>principal-knowledge-authority -&gt; SendIntents.GateResultWasIndependentlyConfirmed</v>
      </c>
      <c r="C3181" s="3" t="s">
        <v>9774</v>
      </c>
      <c r="D3181" s="3" t="s">
        <v>4981</v>
      </c>
      <c r="E3181" s="3" t="b">
        <v>1</v>
      </c>
      <c r="F3181" s="3" t="b">
        <v>0</v>
      </c>
      <c r="G3181" s="3" t="s">
        <v>10003</v>
      </c>
      <c r="H3181" s="4" t="str">
        <f>_xlfn.IFNA(IF(((INDEX(RulebookFields!C2:C1898, MATCH(D3181,RulebookFields!A2:A1898, 0))="")=TRUE),  "",  INDEX(RulebookFields!C2:C1898, MATCH(D3181,RulebookFields!A2:A1898, 0))), "")</f>
        <v>SendIntents</v>
      </c>
      <c r="I3181" s="4" t="str">
        <f>_xlfn.IFNA(IF(((INDEX(RulebookFields!D2:D1898, MATCH(D3181,RulebookFields!A2:A1898, 0))="")=TRUE),  "",  INDEX(RulebookFields!D2:D1898, MATCH(D3181,RulebookFields!A2:A1898, 0))), "")</f>
        <v>GateResultWasIndependentlyConfirmed</v>
      </c>
      <c r="J3181" s="4" t="b">
        <f>_xlfn.IFNA(IF(((INDEX(RulebookFields!I2:I1898, MATCH(D3181,RulebookFields!A2:A1898, 0))="")=TRUE),  "",  INDEX(RulebookFields!I2:I1898, MATCH(D3181,RulebookFields!A2:A1898, 0))), "")</f>
        <v>0</v>
      </c>
      <c r="K3181" s="4" t="b">
        <f>AND(((F3181)=TRUE), ((J3181)=TRUE))</f>
        <v>0</v>
      </c>
      <c r="L3181" s="4" t="b">
        <f>AND(((G3181 &lt;&gt; "plain")=TRUE), ((G3181 &lt;&gt; "")=TRUE))</f>
        <v>0</v>
      </c>
      <c r="M3181" s="4" t="str">
        <f>IF(((E3181)=TRUE),  C3181 &amp; "|" &amp; H3181,  "")</f>
        <v>principal-knowledge-authority|SendIntents</v>
      </c>
      <c r="N3181" s="3" t="s">
        <v>10004</v>
      </c>
    </row>
    <row r="3182">
      <c r="A3182" s="3" t="s">
        <v>13184</v>
      </c>
      <c r="B3182" s="4" t="str">
        <f>C3182 &amp; " -&gt; " &amp; D3182</f>
        <v>principal-knowledge-authority -&gt; SendIntents.IsSelfWitnessedDecision</v>
      </c>
      <c r="C3182" s="3" t="s">
        <v>9774</v>
      </c>
      <c r="D3182" s="3" t="s">
        <v>4983</v>
      </c>
      <c r="E3182" s="3" t="b">
        <v>1</v>
      </c>
      <c r="F3182" s="3" t="b">
        <v>0</v>
      </c>
      <c r="G3182" s="3" t="s">
        <v>10003</v>
      </c>
      <c r="H3182" s="4" t="str">
        <f>_xlfn.IFNA(IF(((INDEX(RulebookFields!C2:C1898, MATCH(D3182,RulebookFields!A2:A1898, 0))="")=TRUE),  "",  INDEX(RulebookFields!C2:C1898, MATCH(D3182,RulebookFields!A2:A1898, 0))), "")</f>
        <v>SendIntents</v>
      </c>
      <c r="I3182" s="4" t="str">
        <f>_xlfn.IFNA(IF(((INDEX(RulebookFields!D2:D1898, MATCH(D3182,RulebookFields!A2:A1898, 0))="")=TRUE),  "",  INDEX(RulebookFields!D2:D1898, MATCH(D3182,RulebookFields!A2:A1898, 0))), "")</f>
        <v>IsSelfWitnessedDecision</v>
      </c>
      <c r="J3182" s="4" t="b">
        <f>_xlfn.IFNA(IF(((INDEX(RulebookFields!I2:I1898, MATCH(D3182,RulebookFields!A2:A1898, 0))="")=TRUE),  "",  INDEX(RulebookFields!I2:I1898, MATCH(D3182,RulebookFields!A2:A1898, 0))), "")</f>
        <v>1</v>
      </c>
      <c r="K3182" s="4" t="b">
        <f>AND(((F3182)=TRUE), ((J3182)=TRUE))</f>
        <v>0</v>
      </c>
      <c r="L3182" s="4" t="b">
        <f>AND(((G3182 &lt;&gt; "plain")=TRUE), ((G3182 &lt;&gt; "")=TRUE))</f>
        <v>0</v>
      </c>
      <c r="M3182" s="4" t="str">
        <f>IF(((E3182)=TRUE),  C3182 &amp; "|" &amp; H3182,  "")</f>
        <v>principal-knowledge-authority|SendIntents</v>
      </c>
      <c r="N3182" s="3" t="s">
        <v>10004</v>
      </c>
    </row>
    <row r="3183">
      <c r="A3183" s="3" t="s">
        <v>13185</v>
      </c>
      <c r="B3183" s="4" t="str">
        <f>C3183 &amp; " -&gt; " &amp; D3183</f>
        <v>principal-knowledge-authority -&gt; SendIntents.IsIndependentlyConfirmed</v>
      </c>
      <c r="C3183" s="3" t="s">
        <v>9774</v>
      </c>
      <c r="D3183" s="3" t="s">
        <v>4986</v>
      </c>
      <c r="E3183" s="3" t="b">
        <v>1</v>
      </c>
      <c r="F3183" s="3" t="b">
        <v>0</v>
      </c>
      <c r="G3183" s="3" t="s">
        <v>10003</v>
      </c>
      <c r="H3183" s="4" t="str">
        <f>_xlfn.IFNA(IF(((INDEX(RulebookFields!C2:C1898, MATCH(D3183,RulebookFields!A2:A1898, 0))="")=TRUE),  "",  INDEX(RulebookFields!C2:C1898, MATCH(D3183,RulebookFields!A2:A1898, 0))), "")</f>
        <v>SendIntents</v>
      </c>
      <c r="I3183" s="4" t="str">
        <f>_xlfn.IFNA(IF(((INDEX(RulebookFields!D2:D1898, MATCH(D3183,RulebookFields!A2:A1898, 0))="")=TRUE),  "",  INDEX(RulebookFields!D2:D1898, MATCH(D3183,RulebookFields!A2:A1898, 0))), "")</f>
        <v>IsIndependentlyConfirmed</v>
      </c>
      <c r="J3183" s="4" t="b">
        <f>_xlfn.IFNA(IF(((INDEX(RulebookFields!I2:I1898, MATCH(D3183,RulebookFields!A2:A1898, 0))="")=TRUE),  "",  INDEX(RulebookFields!I2:I1898, MATCH(D3183,RulebookFields!A2:A1898, 0))), "")</f>
        <v>1</v>
      </c>
      <c r="K3183" s="4" t="b">
        <f>AND(((F3183)=TRUE), ((J3183)=TRUE))</f>
        <v>0</v>
      </c>
      <c r="L3183" s="4" t="b">
        <f>AND(((G3183 &lt;&gt; "plain")=TRUE), ((G3183 &lt;&gt; "")=TRUE))</f>
        <v>0</v>
      </c>
      <c r="M3183" s="4" t="str">
        <f>IF(((E3183)=TRUE),  C3183 &amp; "|" &amp; H3183,  "")</f>
        <v>principal-knowledge-authority|SendIntents</v>
      </c>
      <c r="N3183" s="3" t="s">
        <v>10004</v>
      </c>
    </row>
    <row r="3184">
      <c r="A3184" s="3" t="s">
        <v>13186</v>
      </c>
      <c r="B3184" s="4" t="str">
        <f>C3184 &amp; " -&gt; " &amp; D3184</f>
        <v>principal-knowledge-authority -&gt; SendIntents.IndependentlyConfirmedExecutionKey</v>
      </c>
      <c r="C3184" s="3" t="s">
        <v>9774</v>
      </c>
      <c r="D3184" s="3" t="s">
        <v>4989</v>
      </c>
      <c r="E3184" s="3" t="b">
        <v>1</v>
      </c>
      <c r="F3184" s="3" t="b">
        <v>0</v>
      </c>
      <c r="G3184" s="3" t="s">
        <v>10003</v>
      </c>
      <c r="H3184" s="4" t="str">
        <f>_xlfn.IFNA(IF(((INDEX(RulebookFields!C2:C1898, MATCH(D3184,RulebookFields!A2:A1898, 0))="")=TRUE),  "",  INDEX(RulebookFields!C2:C1898, MATCH(D3184,RulebookFields!A2:A1898, 0))), "")</f>
        <v>SendIntents</v>
      </c>
      <c r="I3184" s="4" t="str">
        <f>_xlfn.IFNA(IF(((INDEX(RulebookFields!D2:D1898, MATCH(D3184,RulebookFields!A2:A1898, 0))="")=TRUE),  "",  INDEX(RulebookFields!D2:D1898, MATCH(D3184,RulebookFields!A2:A1898, 0))), "")</f>
        <v>IndependentlyConfirmedExecutionKey</v>
      </c>
      <c r="J3184" s="4" t="b">
        <f>_xlfn.IFNA(IF(((INDEX(RulebookFields!I2:I1898, MATCH(D3184,RulebookFields!A2:A1898, 0))="")=TRUE),  "",  INDEX(RulebookFields!I2:I1898, MATCH(D3184,RulebookFields!A2:A1898, 0))), "")</f>
        <v>1</v>
      </c>
      <c r="K3184" s="4" t="b">
        <f>AND(((F3184)=TRUE), ((J3184)=TRUE))</f>
        <v>0</v>
      </c>
      <c r="L3184" s="4" t="b">
        <f>AND(((G3184 &lt;&gt; "plain")=TRUE), ((G3184 &lt;&gt; "")=TRUE))</f>
        <v>0</v>
      </c>
      <c r="M3184" s="4" t="str">
        <f>IF(((E3184)=TRUE),  C3184 &amp; "|" &amp; H3184,  "")</f>
        <v>principal-knowledge-authority|SendIntents</v>
      </c>
      <c r="N3184" s="3" t="s">
        <v>10004</v>
      </c>
    </row>
    <row r="3185">
      <c r="A3185" s="3" t="s">
        <v>13187</v>
      </c>
      <c r="B3185" s="4" t="str">
        <f>C3185 &amp; " -&gt; " &amp; D3185</f>
        <v>principal-knowledge-authority -&gt; SendIntents.SemanticTypeIri</v>
      </c>
      <c r="C3185" s="3" t="s">
        <v>9774</v>
      </c>
      <c r="D3185" s="3" t="s">
        <v>4992</v>
      </c>
      <c r="E3185" s="3" t="b">
        <v>1</v>
      </c>
      <c r="F3185" s="3" t="b">
        <v>0</v>
      </c>
      <c r="G3185" s="3" t="s">
        <v>10003</v>
      </c>
      <c r="H3185" s="4" t="str">
        <f>_xlfn.IFNA(IF(((INDEX(RulebookFields!C2:C1898, MATCH(D3185,RulebookFields!A2:A1898, 0))="")=TRUE),  "",  INDEX(RulebookFields!C2:C1898, MATCH(D3185,RulebookFields!A2:A1898, 0))), "")</f>
        <v>SendIntents</v>
      </c>
      <c r="I3185" s="4" t="str">
        <f>_xlfn.IFNA(IF(((INDEX(RulebookFields!D2:D1898, MATCH(D3185,RulebookFields!A2:A1898, 0))="")=TRUE),  "",  INDEX(RulebookFields!D2:D1898, MATCH(D3185,RulebookFields!A2:A1898, 0))), "")</f>
        <v>SemanticTypeIri</v>
      </c>
      <c r="J3185" s="4" t="b">
        <f>_xlfn.IFNA(IF(((INDEX(RulebookFields!I2:I1898, MATCH(D3185,RulebookFields!A2:A1898, 0))="")=TRUE),  "",  INDEX(RulebookFields!I2:I1898, MATCH(D3185,RulebookFields!A2:A1898, 0))), "")</f>
        <v>0</v>
      </c>
      <c r="K3185" s="4" t="b">
        <f>AND(((F3185)=TRUE), ((J3185)=TRUE))</f>
        <v>0</v>
      </c>
      <c r="L3185" s="4" t="b">
        <f>AND(((G3185 &lt;&gt; "plain")=TRUE), ((G3185 &lt;&gt; "")=TRUE))</f>
        <v>0</v>
      </c>
      <c r="M3185" s="4" t="str">
        <f>IF(((E3185)=TRUE),  C3185 &amp; "|" &amp; H3185,  "")</f>
        <v>principal-knowledge-authority|SendIntents</v>
      </c>
      <c r="N3185" s="3" t="s">
        <v>10004</v>
      </c>
    </row>
    <row r="3186">
      <c r="A3186" s="3" t="s">
        <v>13188</v>
      </c>
      <c r="B3186" s="4" t="str">
        <f>C3186 &amp; " -&gt; " &amp; D3186</f>
        <v>principal-knowledge-authority -&gt; StepActions.StepActionId</v>
      </c>
      <c r="C3186" s="3" t="s">
        <v>9774</v>
      </c>
      <c r="D3186" s="3" t="s">
        <v>3027</v>
      </c>
      <c r="E3186" s="3" t="b">
        <v>1</v>
      </c>
      <c r="F3186" s="3" t="b">
        <v>0</v>
      </c>
      <c r="G3186" s="3" t="s">
        <v>10003</v>
      </c>
      <c r="H3186" s="4" t="str">
        <f>_xlfn.IFNA(IF(((INDEX(RulebookFields!C2:C1898, MATCH(D3186,RulebookFields!A2:A1898, 0))="")=TRUE),  "",  INDEX(RulebookFields!C2:C1898, MATCH(D3186,RulebookFields!A2:A1898, 0))), "")</f>
        <v>StepActions</v>
      </c>
      <c r="I3186" s="4" t="str">
        <f>_xlfn.IFNA(IF(((INDEX(RulebookFields!D2:D1898, MATCH(D3186,RulebookFields!A2:A1898, 0))="")=TRUE),  "",  INDEX(RulebookFields!D2:D1898, MATCH(D3186,RulebookFields!A2:A1898, 0))), "")</f>
        <v>StepActionId</v>
      </c>
      <c r="J3186" s="4" t="b">
        <f>_xlfn.IFNA(IF(((INDEX(RulebookFields!I2:I1898, MATCH(D3186,RulebookFields!A2:A1898, 0))="")=TRUE),  "",  INDEX(RulebookFields!I2:I1898, MATCH(D3186,RulebookFields!A2:A1898, 0))), "")</f>
        <v>0</v>
      </c>
      <c r="K3186" s="4" t="b">
        <f>AND(((F3186)=TRUE), ((J3186)=TRUE))</f>
        <v>0</v>
      </c>
      <c r="L3186" s="4" t="b">
        <f>AND(((G3186 &lt;&gt; "plain")=TRUE), ((G3186 &lt;&gt; "")=TRUE))</f>
        <v>0</v>
      </c>
      <c r="M3186" s="4" t="str">
        <f>IF(((E3186)=TRUE),  C3186 &amp; "|" &amp; H3186,  "")</f>
        <v>principal-knowledge-authority|StepActions</v>
      </c>
      <c r="N3186" s="3" t="s">
        <v>10004</v>
      </c>
    </row>
    <row r="3187">
      <c r="A3187" s="3" t="s">
        <v>13189</v>
      </c>
      <c r="B3187" s="4" t="str">
        <f>C3187 &amp; " -&gt; " &amp; D3187</f>
        <v>principal-knowledge-authority -&gt; StepActions.Name</v>
      </c>
      <c r="C3187" s="3" t="s">
        <v>9774</v>
      </c>
      <c r="D3187" s="3" t="s">
        <v>3029</v>
      </c>
      <c r="E3187" s="3" t="b">
        <v>1</v>
      </c>
      <c r="F3187" s="3" t="b">
        <v>0</v>
      </c>
      <c r="G3187" s="3" t="s">
        <v>10003</v>
      </c>
      <c r="H3187" s="4" t="str">
        <f>_xlfn.IFNA(IF(((INDEX(RulebookFields!C2:C1898, MATCH(D3187,RulebookFields!A2:A1898, 0))="")=TRUE),  "",  INDEX(RulebookFields!C2:C1898, MATCH(D3187,RulebookFields!A2:A1898, 0))), "")</f>
        <v>StepActions</v>
      </c>
      <c r="I3187" s="4" t="str">
        <f>_xlfn.IFNA(IF(((INDEX(RulebookFields!D2:D1898, MATCH(D3187,RulebookFields!A2:A1898, 0))="")=TRUE),  "",  INDEX(RulebookFields!D2:D1898, MATCH(D3187,RulebookFields!A2:A1898, 0))), "")</f>
        <v>Name</v>
      </c>
      <c r="J3187" s="4" t="b">
        <f>_xlfn.IFNA(IF(((INDEX(RulebookFields!I2:I1898, MATCH(D3187,RulebookFields!A2:A1898, 0))="")=TRUE),  "",  INDEX(RulebookFields!I2:I1898, MATCH(D3187,RulebookFields!A2:A1898, 0))), "")</f>
        <v>1</v>
      </c>
      <c r="K3187" s="4" t="b">
        <f>AND(((F3187)=TRUE), ((J3187)=TRUE))</f>
        <v>0</v>
      </c>
      <c r="L3187" s="4" t="b">
        <f>AND(((G3187 &lt;&gt; "plain")=TRUE), ((G3187 &lt;&gt; "")=TRUE))</f>
        <v>0</v>
      </c>
      <c r="M3187" s="4" t="str">
        <f>IF(((E3187)=TRUE),  C3187 &amp; "|" &amp; H3187,  "")</f>
        <v>principal-knowledge-authority|StepActions</v>
      </c>
      <c r="N3187" s="3" t="s">
        <v>10004</v>
      </c>
    </row>
    <row r="3188">
      <c r="A3188" s="3" t="s">
        <v>13190</v>
      </c>
      <c r="B3188" s="4" t="str">
        <f>C3188 &amp; " -&gt; " &amp; D3188</f>
        <v>principal-knowledge-authority -&gt; StepActions.Step</v>
      </c>
      <c r="C3188" s="3" t="s">
        <v>9774</v>
      </c>
      <c r="D3188" s="3" t="s">
        <v>3031</v>
      </c>
      <c r="E3188" s="3" t="b">
        <v>1</v>
      </c>
      <c r="F3188" s="3" t="b">
        <v>0</v>
      </c>
      <c r="G3188" s="3" t="s">
        <v>10003</v>
      </c>
      <c r="H3188" s="4" t="str">
        <f>_xlfn.IFNA(IF(((INDEX(RulebookFields!C2:C1898, MATCH(D3188,RulebookFields!A2:A1898, 0))="")=TRUE),  "",  INDEX(RulebookFields!C2:C1898, MATCH(D3188,RulebookFields!A2:A1898, 0))), "")</f>
        <v>StepActions</v>
      </c>
      <c r="I3188" s="4" t="str">
        <f>_xlfn.IFNA(IF(((INDEX(RulebookFields!D2:D1898, MATCH(D3188,RulebookFields!A2:A1898, 0))="")=TRUE),  "",  INDEX(RulebookFields!D2:D1898, MATCH(D3188,RulebookFields!A2:A1898, 0))), "")</f>
        <v>Step</v>
      </c>
      <c r="J3188" s="4" t="b">
        <f>_xlfn.IFNA(IF(((INDEX(RulebookFields!I2:I1898, MATCH(D3188,RulebookFields!A2:A1898, 0))="")=TRUE),  "",  INDEX(RulebookFields!I2:I1898, MATCH(D3188,RulebookFields!A2:A1898, 0))), "")</f>
        <v>0</v>
      </c>
      <c r="K3188" s="4" t="b">
        <f>AND(((F3188)=TRUE), ((J3188)=TRUE))</f>
        <v>0</v>
      </c>
      <c r="L3188" s="4" t="b">
        <f>AND(((G3188 &lt;&gt; "plain")=TRUE), ((G3188 &lt;&gt; "")=TRUE))</f>
        <v>0</v>
      </c>
      <c r="M3188" s="4" t="str">
        <f>IF(((E3188)=TRUE),  C3188 &amp; "|" &amp; H3188,  "")</f>
        <v>principal-knowledge-authority|StepActions</v>
      </c>
      <c r="N3188" s="3" t="s">
        <v>10004</v>
      </c>
    </row>
    <row r="3189">
      <c r="A3189" s="3" t="s">
        <v>13191</v>
      </c>
      <c r="B3189" s="4" t="str">
        <f>C3189 &amp; " -&gt; " &amp; D3189</f>
        <v>principal-knowledge-authority -&gt; StepActions.Action</v>
      </c>
      <c r="C3189" s="3" t="s">
        <v>9774</v>
      </c>
      <c r="D3189" s="3" t="s">
        <v>3032</v>
      </c>
      <c r="E3189" s="3" t="b">
        <v>1</v>
      </c>
      <c r="F3189" s="3" t="b">
        <v>0</v>
      </c>
      <c r="G3189" s="3" t="s">
        <v>10003</v>
      </c>
      <c r="H3189" s="4" t="str">
        <f>_xlfn.IFNA(IF(((INDEX(RulebookFields!C2:C1898, MATCH(D3189,RulebookFields!A2:A1898, 0))="")=TRUE),  "",  INDEX(RulebookFields!C2:C1898, MATCH(D3189,RulebookFields!A2:A1898, 0))), "")</f>
        <v>StepActions</v>
      </c>
      <c r="I3189" s="4" t="str">
        <f>_xlfn.IFNA(IF(((INDEX(RulebookFields!D2:D1898, MATCH(D3189,RulebookFields!A2:A1898, 0))="")=TRUE),  "",  INDEX(RulebookFields!D2:D1898, MATCH(D3189,RulebookFields!A2:A1898, 0))), "")</f>
        <v>Action</v>
      </c>
      <c r="J3189" s="4" t="b">
        <f>_xlfn.IFNA(IF(((INDEX(RulebookFields!I2:I1898, MATCH(D3189,RulebookFields!A2:A1898, 0))="")=TRUE),  "",  INDEX(RulebookFields!I2:I1898, MATCH(D3189,RulebookFields!A2:A1898, 0))), "")</f>
        <v>0</v>
      </c>
      <c r="K3189" s="4" t="b">
        <f>AND(((F3189)=TRUE), ((J3189)=TRUE))</f>
        <v>0</v>
      </c>
      <c r="L3189" s="4" t="b">
        <f>AND(((G3189 &lt;&gt; "plain")=TRUE), ((G3189 &lt;&gt; "")=TRUE))</f>
        <v>0</v>
      </c>
      <c r="M3189" s="4" t="str">
        <f>IF(((E3189)=TRUE),  C3189 &amp; "|" &amp; H3189,  "")</f>
        <v>principal-knowledge-authority|StepActions</v>
      </c>
      <c r="N3189" s="3" t="s">
        <v>10004</v>
      </c>
    </row>
    <row r="3190">
      <c r="A3190" s="3" t="s">
        <v>13192</v>
      </c>
      <c r="B3190" s="4" t="str">
        <f>C3190 &amp; " -&gt; " &amp; D3190</f>
        <v>principal-knowledge-authority -&gt; StepExecutions.StepExecutionId</v>
      </c>
      <c r="C3190" s="3" t="s">
        <v>9774</v>
      </c>
      <c r="D3190" s="3" t="s">
        <v>3573</v>
      </c>
      <c r="E3190" s="3" t="b">
        <v>1</v>
      </c>
      <c r="F3190" s="3" t="b">
        <v>0</v>
      </c>
      <c r="G3190" s="3" t="s">
        <v>10003</v>
      </c>
      <c r="H3190" s="4" t="str">
        <f>_xlfn.IFNA(IF(((INDEX(RulebookFields!C2:C1898, MATCH(D3190,RulebookFields!A2:A1898, 0))="")=TRUE),  "",  INDEX(RulebookFields!C2:C1898, MATCH(D3190,RulebookFields!A2:A1898, 0))), "")</f>
        <v>StepExecutions</v>
      </c>
      <c r="I3190" s="4" t="str">
        <f>_xlfn.IFNA(IF(((INDEX(RulebookFields!D2:D1898, MATCH(D3190,RulebookFields!A2:A1898, 0))="")=TRUE),  "",  INDEX(RulebookFields!D2:D1898, MATCH(D3190,RulebookFields!A2:A1898, 0))), "")</f>
        <v>StepExecutionId</v>
      </c>
      <c r="J3190" s="4" t="b">
        <f>_xlfn.IFNA(IF(((INDEX(RulebookFields!I2:I1898, MATCH(D3190,RulebookFields!A2:A1898, 0))="")=TRUE),  "",  INDEX(RulebookFields!I2:I1898, MATCH(D3190,RulebookFields!A2:A1898, 0))), "")</f>
        <v>0</v>
      </c>
      <c r="K3190" s="4" t="b">
        <f>AND(((F3190)=TRUE), ((J3190)=TRUE))</f>
        <v>0</v>
      </c>
      <c r="L3190" s="4" t="b">
        <f>AND(((G3190 &lt;&gt; "plain")=TRUE), ((G3190 &lt;&gt; "")=TRUE))</f>
        <v>0</v>
      </c>
      <c r="M3190" s="4" t="str">
        <f>IF(((E3190)=TRUE),  C3190 &amp; "|" &amp; H3190,  "")</f>
        <v>principal-knowledge-authority|StepExecutions</v>
      </c>
      <c r="N3190" s="3" t="s">
        <v>10004</v>
      </c>
    </row>
    <row r="3191">
      <c r="A3191" s="3" t="s">
        <v>13193</v>
      </c>
      <c r="B3191" s="4" t="str">
        <f>C3191 &amp; " -&gt; " &amp; D3191</f>
        <v>principal-knowledge-authority -&gt; StepExecutions.Name</v>
      </c>
      <c r="C3191" s="3" t="s">
        <v>9774</v>
      </c>
      <c r="D3191" s="3" t="s">
        <v>3574</v>
      </c>
      <c r="E3191" s="3" t="b">
        <v>1</v>
      </c>
      <c r="F3191" s="3" t="b">
        <v>0</v>
      </c>
      <c r="G3191" s="3" t="s">
        <v>10003</v>
      </c>
      <c r="H3191" s="4" t="str">
        <f>_xlfn.IFNA(IF(((INDEX(RulebookFields!C2:C1898, MATCH(D3191,RulebookFields!A2:A1898, 0))="")=TRUE),  "",  INDEX(RulebookFields!C2:C1898, MATCH(D3191,RulebookFields!A2:A1898, 0))), "")</f>
        <v>StepExecutions</v>
      </c>
      <c r="I3191" s="4" t="str">
        <f>_xlfn.IFNA(IF(((INDEX(RulebookFields!D2:D1898, MATCH(D3191,RulebookFields!A2:A1898, 0))="")=TRUE),  "",  INDEX(RulebookFields!D2:D1898, MATCH(D3191,RulebookFields!A2:A1898, 0))), "")</f>
        <v>Name</v>
      </c>
      <c r="J3191" s="4" t="b">
        <f>_xlfn.IFNA(IF(((INDEX(RulebookFields!I2:I1898, MATCH(D3191,RulebookFields!A2:A1898, 0))="")=TRUE),  "",  INDEX(RulebookFields!I2:I1898, MATCH(D3191,RulebookFields!A2:A1898, 0))), "")</f>
        <v>1</v>
      </c>
      <c r="K3191" s="4" t="b">
        <f>AND(((F3191)=TRUE), ((J3191)=TRUE))</f>
        <v>0</v>
      </c>
      <c r="L3191" s="4" t="b">
        <f>AND(((G3191 &lt;&gt; "plain")=TRUE), ((G3191 &lt;&gt; "")=TRUE))</f>
        <v>0</v>
      </c>
      <c r="M3191" s="4" t="str">
        <f>IF(((E3191)=TRUE),  C3191 &amp; "|" &amp; H3191,  "")</f>
        <v>principal-knowledge-authority|StepExecutions</v>
      </c>
      <c r="N3191" s="3" t="s">
        <v>10004</v>
      </c>
    </row>
    <row r="3192">
      <c r="A3192" s="3" t="s">
        <v>13194</v>
      </c>
      <c r="B3192" s="4" t="str">
        <f>C3192 &amp; " -&gt; " &amp; D3192</f>
        <v>principal-knowledge-authority -&gt; StepExecutions.ProcedureExecution</v>
      </c>
      <c r="C3192" s="3" t="s">
        <v>9774</v>
      </c>
      <c r="D3192" s="3" t="s">
        <v>3576</v>
      </c>
      <c r="E3192" s="3" t="b">
        <v>1</v>
      </c>
      <c r="F3192" s="3" t="b">
        <v>0</v>
      </c>
      <c r="G3192" s="3" t="s">
        <v>10003</v>
      </c>
      <c r="H3192" s="4" t="str">
        <f>_xlfn.IFNA(IF(((INDEX(RulebookFields!C2:C1898, MATCH(D3192,RulebookFields!A2:A1898, 0))="")=TRUE),  "",  INDEX(RulebookFields!C2:C1898, MATCH(D3192,RulebookFields!A2:A1898, 0))), "")</f>
        <v>StepExecutions</v>
      </c>
      <c r="I3192" s="4" t="str">
        <f>_xlfn.IFNA(IF(((INDEX(RulebookFields!D2:D1898, MATCH(D3192,RulebookFields!A2:A1898, 0))="")=TRUE),  "",  INDEX(RulebookFields!D2:D1898, MATCH(D3192,RulebookFields!A2:A1898, 0))), "")</f>
        <v>ProcedureExecution</v>
      </c>
      <c r="J3192" s="4" t="b">
        <f>_xlfn.IFNA(IF(((INDEX(RulebookFields!I2:I1898, MATCH(D3192,RulebookFields!A2:A1898, 0))="")=TRUE),  "",  INDEX(RulebookFields!I2:I1898, MATCH(D3192,RulebookFields!A2:A1898, 0))), "")</f>
        <v>0</v>
      </c>
      <c r="K3192" s="4" t="b">
        <f>AND(((F3192)=TRUE), ((J3192)=TRUE))</f>
        <v>0</v>
      </c>
      <c r="L3192" s="4" t="b">
        <f>AND(((G3192 &lt;&gt; "plain")=TRUE), ((G3192 &lt;&gt; "")=TRUE))</f>
        <v>0</v>
      </c>
      <c r="M3192" s="4" t="str">
        <f>IF(((E3192)=TRUE),  C3192 &amp; "|" &amp; H3192,  "")</f>
        <v>principal-knowledge-authority|StepExecutions</v>
      </c>
      <c r="N3192" s="3" t="s">
        <v>10004</v>
      </c>
    </row>
    <row r="3193">
      <c r="A3193" s="3" t="s">
        <v>13195</v>
      </c>
      <c r="B3193" s="4" t="str">
        <f>C3193 &amp; " -&gt; " &amp; D3193</f>
        <v>principal-knowledge-authority -&gt; StepExecutions.Step</v>
      </c>
      <c r="C3193" s="3" t="s">
        <v>9774</v>
      </c>
      <c r="D3193" s="3" t="s">
        <v>3577</v>
      </c>
      <c r="E3193" s="3" t="b">
        <v>1</v>
      </c>
      <c r="F3193" s="3" t="b">
        <v>0</v>
      </c>
      <c r="G3193" s="3" t="s">
        <v>10003</v>
      </c>
      <c r="H3193" s="4" t="str">
        <f>_xlfn.IFNA(IF(((INDEX(RulebookFields!C2:C1898, MATCH(D3193,RulebookFields!A2:A1898, 0))="")=TRUE),  "",  INDEX(RulebookFields!C2:C1898, MATCH(D3193,RulebookFields!A2:A1898, 0))), "")</f>
        <v>StepExecutions</v>
      </c>
      <c r="I3193" s="4" t="str">
        <f>_xlfn.IFNA(IF(((INDEX(RulebookFields!D2:D1898, MATCH(D3193,RulebookFields!A2:A1898, 0))="")=TRUE),  "",  INDEX(RulebookFields!D2:D1898, MATCH(D3193,RulebookFields!A2:A1898, 0))), "")</f>
        <v>Step</v>
      </c>
      <c r="J3193" s="4" t="b">
        <f>_xlfn.IFNA(IF(((INDEX(RulebookFields!I2:I1898, MATCH(D3193,RulebookFields!A2:A1898, 0))="")=TRUE),  "",  INDEX(RulebookFields!I2:I1898, MATCH(D3193,RulebookFields!A2:A1898, 0))), "")</f>
        <v>0</v>
      </c>
      <c r="K3193" s="4" t="b">
        <f>AND(((F3193)=TRUE), ((J3193)=TRUE))</f>
        <v>0</v>
      </c>
      <c r="L3193" s="4" t="b">
        <f>AND(((G3193 &lt;&gt; "plain")=TRUE), ((G3193 &lt;&gt; "")=TRUE))</f>
        <v>0</v>
      </c>
      <c r="M3193" s="4" t="str">
        <f>IF(((E3193)=TRUE),  C3193 &amp; "|" &amp; H3193,  "")</f>
        <v>principal-knowledge-authority|StepExecutions</v>
      </c>
      <c r="N3193" s="3" t="s">
        <v>10004</v>
      </c>
    </row>
    <row r="3194">
      <c r="A3194" s="3" t="s">
        <v>13196</v>
      </c>
      <c r="B3194" s="4" t="str">
        <f>C3194 &amp; " -&gt; " &amp; D3194</f>
        <v>principal-knowledge-authority -&gt; StepExecutions.ExecutedByAgent</v>
      </c>
      <c r="C3194" s="3" t="s">
        <v>9774</v>
      </c>
      <c r="D3194" s="3" t="s">
        <v>3578</v>
      </c>
      <c r="E3194" s="3" t="b">
        <v>1</v>
      </c>
      <c r="F3194" s="3" t="b">
        <v>0</v>
      </c>
      <c r="G3194" s="3" t="s">
        <v>10003</v>
      </c>
      <c r="H3194" s="4" t="str">
        <f>_xlfn.IFNA(IF(((INDEX(RulebookFields!C2:C1898, MATCH(D3194,RulebookFields!A2:A1898, 0))="")=TRUE),  "",  INDEX(RulebookFields!C2:C1898, MATCH(D3194,RulebookFields!A2:A1898, 0))), "")</f>
        <v>StepExecutions</v>
      </c>
      <c r="I3194" s="4" t="str">
        <f>_xlfn.IFNA(IF(((INDEX(RulebookFields!D2:D1898, MATCH(D3194,RulebookFields!A2:A1898, 0))="")=TRUE),  "",  INDEX(RulebookFields!D2:D1898, MATCH(D3194,RulebookFields!A2:A1898, 0))), "")</f>
        <v>ExecutedByAgent</v>
      </c>
      <c r="J3194" s="4" t="b">
        <f>_xlfn.IFNA(IF(((INDEX(RulebookFields!I2:I1898, MATCH(D3194,RulebookFields!A2:A1898, 0))="")=TRUE),  "",  INDEX(RulebookFields!I2:I1898, MATCH(D3194,RulebookFields!A2:A1898, 0))), "")</f>
        <v>0</v>
      </c>
      <c r="K3194" s="4" t="b">
        <f>AND(((F3194)=TRUE), ((J3194)=TRUE))</f>
        <v>0</v>
      </c>
      <c r="L3194" s="4" t="b">
        <f>AND(((G3194 &lt;&gt; "plain")=TRUE), ((G3194 &lt;&gt; "")=TRUE))</f>
        <v>0</v>
      </c>
      <c r="M3194" s="4" t="str">
        <f>IF(((E3194)=TRUE),  C3194 &amp; "|" &amp; H3194,  "")</f>
        <v>principal-knowledge-authority|StepExecutions</v>
      </c>
      <c r="N3194" s="3" t="s">
        <v>10004</v>
      </c>
    </row>
    <row r="3195">
      <c r="A3195" s="3" t="s">
        <v>13197</v>
      </c>
      <c r="B3195" s="4" t="str">
        <f>C3195 &amp; " -&gt; " &amp; D3195</f>
        <v>principal-knowledge-authority -&gt; StepExecutions.ExecutionStatus</v>
      </c>
      <c r="C3195" s="3" t="s">
        <v>9774</v>
      </c>
      <c r="D3195" s="3" t="s">
        <v>3579</v>
      </c>
      <c r="E3195" s="3" t="b">
        <v>1</v>
      </c>
      <c r="F3195" s="3" t="b">
        <v>0</v>
      </c>
      <c r="G3195" s="3" t="s">
        <v>10003</v>
      </c>
      <c r="H3195" s="4" t="str">
        <f>_xlfn.IFNA(IF(((INDEX(RulebookFields!C2:C1898, MATCH(D3195,RulebookFields!A2:A1898, 0))="")=TRUE),  "",  INDEX(RulebookFields!C2:C1898, MATCH(D3195,RulebookFields!A2:A1898, 0))), "")</f>
        <v>StepExecutions</v>
      </c>
      <c r="I3195" s="4" t="str">
        <f>_xlfn.IFNA(IF(((INDEX(RulebookFields!D2:D1898, MATCH(D3195,RulebookFields!A2:A1898, 0))="")=TRUE),  "",  INDEX(RulebookFields!D2:D1898, MATCH(D3195,RulebookFields!A2:A1898, 0))), "")</f>
        <v>ExecutionStatus</v>
      </c>
      <c r="J3195" s="4" t="b">
        <f>_xlfn.IFNA(IF(((INDEX(RulebookFields!I2:I1898, MATCH(D3195,RulebookFields!A2:A1898, 0))="")=TRUE),  "",  INDEX(RulebookFields!I2:I1898, MATCH(D3195,RulebookFields!A2:A1898, 0))), "")</f>
        <v>0</v>
      </c>
      <c r="K3195" s="4" t="b">
        <f>AND(((F3195)=TRUE), ((J3195)=TRUE))</f>
        <v>0</v>
      </c>
      <c r="L3195" s="4" t="b">
        <f>AND(((G3195 &lt;&gt; "plain")=TRUE), ((G3195 &lt;&gt; "")=TRUE))</f>
        <v>0</v>
      </c>
      <c r="M3195" s="4" t="str">
        <f>IF(((E3195)=TRUE),  C3195 &amp; "|" &amp; H3195,  "")</f>
        <v>principal-knowledge-authority|StepExecutions</v>
      </c>
      <c r="N3195" s="3" t="s">
        <v>10004</v>
      </c>
    </row>
    <row r="3196">
      <c r="A3196" s="3" t="s">
        <v>13198</v>
      </c>
      <c r="B3196" s="4" t="str">
        <f>C3196 &amp; " -&gt; " &amp; D3196</f>
        <v>principal-knowledge-authority -&gt; StepExecutions.StartedAt</v>
      </c>
      <c r="C3196" s="3" t="s">
        <v>9774</v>
      </c>
      <c r="D3196" s="3" t="s">
        <v>3580</v>
      </c>
      <c r="E3196" s="3" t="b">
        <v>1</v>
      </c>
      <c r="F3196" s="3" t="b">
        <v>0</v>
      </c>
      <c r="G3196" s="3" t="s">
        <v>10003</v>
      </c>
      <c r="H3196" s="4" t="str">
        <f>_xlfn.IFNA(IF(((INDEX(RulebookFields!C2:C1898, MATCH(D3196,RulebookFields!A2:A1898, 0))="")=TRUE),  "",  INDEX(RulebookFields!C2:C1898, MATCH(D3196,RulebookFields!A2:A1898, 0))), "")</f>
        <v>StepExecutions</v>
      </c>
      <c r="I3196" s="4" t="str">
        <f>_xlfn.IFNA(IF(((INDEX(RulebookFields!D2:D1898, MATCH(D3196,RulebookFields!A2:A1898, 0))="")=TRUE),  "",  INDEX(RulebookFields!D2:D1898, MATCH(D3196,RulebookFields!A2:A1898, 0))), "")</f>
        <v>StartedAt</v>
      </c>
      <c r="J3196" s="4" t="b">
        <f>_xlfn.IFNA(IF(((INDEX(RulebookFields!I2:I1898, MATCH(D3196,RulebookFields!A2:A1898, 0))="")=TRUE),  "",  INDEX(RulebookFields!I2:I1898, MATCH(D3196,RulebookFields!A2:A1898, 0))), "")</f>
        <v>0</v>
      </c>
      <c r="K3196" s="4" t="b">
        <f>AND(((F3196)=TRUE), ((J3196)=TRUE))</f>
        <v>0</v>
      </c>
      <c r="L3196" s="4" t="b">
        <f>AND(((G3196 &lt;&gt; "plain")=TRUE), ((G3196 &lt;&gt; "")=TRUE))</f>
        <v>0</v>
      </c>
      <c r="M3196" s="4" t="str">
        <f>IF(((E3196)=TRUE),  C3196 &amp; "|" &amp; H3196,  "")</f>
        <v>principal-knowledge-authority|StepExecutions</v>
      </c>
      <c r="N3196" s="3" t="s">
        <v>10004</v>
      </c>
    </row>
    <row r="3197">
      <c r="A3197" s="3" t="s">
        <v>13199</v>
      </c>
      <c r="B3197" s="4" t="str">
        <f>C3197 &amp; " -&gt; " &amp; D3197</f>
        <v>principal-knowledge-authority -&gt; StepExecutions.EndedAt</v>
      </c>
      <c r="C3197" s="3" t="s">
        <v>9774</v>
      </c>
      <c r="D3197" s="3" t="s">
        <v>3581</v>
      </c>
      <c r="E3197" s="3" t="b">
        <v>1</v>
      </c>
      <c r="F3197" s="3" t="b">
        <v>0</v>
      </c>
      <c r="G3197" s="3" t="s">
        <v>10003</v>
      </c>
      <c r="H3197" s="4" t="str">
        <f>_xlfn.IFNA(IF(((INDEX(RulebookFields!C2:C1898, MATCH(D3197,RulebookFields!A2:A1898, 0))="")=TRUE),  "",  INDEX(RulebookFields!C2:C1898, MATCH(D3197,RulebookFields!A2:A1898, 0))), "")</f>
        <v>StepExecutions</v>
      </c>
      <c r="I3197" s="4" t="str">
        <f>_xlfn.IFNA(IF(((INDEX(RulebookFields!D2:D1898, MATCH(D3197,RulebookFields!A2:A1898, 0))="")=TRUE),  "",  INDEX(RulebookFields!D2:D1898, MATCH(D3197,RulebookFields!A2:A1898, 0))), "")</f>
        <v>EndedAt</v>
      </c>
      <c r="J3197" s="4" t="b">
        <f>_xlfn.IFNA(IF(((INDEX(RulebookFields!I2:I1898, MATCH(D3197,RulebookFields!A2:A1898, 0))="")=TRUE),  "",  INDEX(RulebookFields!I2:I1898, MATCH(D3197,RulebookFields!A2:A1898, 0))), "")</f>
        <v>0</v>
      </c>
      <c r="K3197" s="4" t="b">
        <f>AND(((F3197)=TRUE), ((J3197)=TRUE))</f>
        <v>0</v>
      </c>
      <c r="L3197" s="4" t="b">
        <f>AND(((G3197 &lt;&gt; "plain")=TRUE), ((G3197 &lt;&gt; "")=TRUE))</f>
        <v>0</v>
      </c>
      <c r="M3197" s="4" t="str">
        <f>IF(((E3197)=TRUE),  C3197 &amp; "|" &amp; H3197,  "")</f>
        <v>principal-knowledge-authority|StepExecutions</v>
      </c>
      <c r="N3197" s="3" t="s">
        <v>10004</v>
      </c>
    </row>
    <row r="3198">
      <c r="A3198" s="3" t="s">
        <v>13200</v>
      </c>
      <c r="B3198" s="4" t="str">
        <f>C3198 &amp; " -&gt; " &amp; D3198</f>
        <v>principal-knowledge-authority -&gt; StepExecutions.VerificationResult</v>
      </c>
      <c r="C3198" s="3" t="s">
        <v>9774</v>
      </c>
      <c r="D3198" s="3" t="s">
        <v>3582</v>
      </c>
      <c r="E3198" s="3" t="b">
        <v>1</v>
      </c>
      <c r="F3198" s="3" t="b">
        <v>0</v>
      </c>
      <c r="G3198" s="3" t="s">
        <v>10003</v>
      </c>
      <c r="H3198" s="4" t="str">
        <f>_xlfn.IFNA(IF(((INDEX(RulebookFields!C2:C1898, MATCH(D3198,RulebookFields!A2:A1898, 0))="")=TRUE),  "",  INDEX(RulebookFields!C2:C1898, MATCH(D3198,RulebookFields!A2:A1898, 0))), "")</f>
        <v>StepExecutions</v>
      </c>
      <c r="I3198" s="4" t="str">
        <f>_xlfn.IFNA(IF(((INDEX(RulebookFields!D2:D1898, MATCH(D3198,RulebookFields!A2:A1898, 0))="")=TRUE),  "",  INDEX(RulebookFields!D2:D1898, MATCH(D3198,RulebookFields!A2:A1898, 0))), "")</f>
        <v>VerificationResult</v>
      </c>
      <c r="J3198" s="4" t="b">
        <f>_xlfn.IFNA(IF(((INDEX(RulebookFields!I2:I1898, MATCH(D3198,RulebookFields!A2:A1898, 0))="")=TRUE),  "",  INDEX(RulebookFields!I2:I1898, MATCH(D3198,RulebookFields!A2:A1898, 0))), "")</f>
        <v>0</v>
      </c>
      <c r="K3198" s="4" t="b">
        <f>AND(((F3198)=TRUE), ((J3198)=TRUE))</f>
        <v>0</v>
      </c>
      <c r="L3198" s="4" t="b">
        <f>AND(((G3198 &lt;&gt; "plain")=TRUE), ((G3198 &lt;&gt; "")=TRUE))</f>
        <v>0</v>
      </c>
      <c r="M3198" s="4" t="str">
        <f>IF(((E3198)=TRUE),  C3198 &amp; "|" &amp; H3198,  "")</f>
        <v>principal-knowledge-authority|StepExecutions</v>
      </c>
      <c r="N3198" s="3" t="s">
        <v>10004</v>
      </c>
    </row>
    <row r="3199">
      <c r="A3199" s="3" t="s">
        <v>13201</v>
      </c>
      <c r="B3199" s="4" t="str">
        <f>C3199 &amp; " -&gt; " &amp; D3199</f>
        <v>principal-knowledge-authority -&gt; StepExecutions.Deviation</v>
      </c>
      <c r="C3199" s="3" t="s">
        <v>9774</v>
      </c>
      <c r="D3199" s="3" t="s">
        <v>3583</v>
      </c>
      <c r="E3199" s="3" t="b">
        <v>1</v>
      </c>
      <c r="F3199" s="3" t="b">
        <v>0</v>
      </c>
      <c r="G3199" s="3" t="s">
        <v>10003</v>
      </c>
      <c r="H3199" s="4" t="str">
        <f>_xlfn.IFNA(IF(((INDEX(RulebookFields!C2:C1898, MATCH(D3199,RulebookFields!A2:A1898, 0))="")=TRUE),  "",  INDEX(RulebookFields!C2:C1898, MATCH(D3199,RulebookFields!A2:A1898, 0))), "")</f>
        <v>StepExecutions</v>
      </c>
      <c r="I3199" s="4" t="str">
        <f>_xlfn.IFNA(IF(((INDEX(RulebookFields!D2:D1898, MATCH(D3199,RulebookFields!A2:A1898, 0))="")=TRUE),  "",  INDEX(RulebookFields!D2:D1898, MATCH(D3199,RulebookFields!A2:A1898, 0))), "")</f>
        <v>Deviation</v>
      </c>
      <c r="J3199" s="4" t="b">
        <f>_xlfn.IFNA(IF(((INDEX(RulebookFields!I2:I1898, MATCH(D3199,RulebookFields!A2:A1898, 0))="")=TRUE),  "",  INDEX(RulebookFields!I2:I1898, MATCH(D3199,RulebookFields!A2:A1898, 0))), "")</f>
        <v>0</v>
      </c>
      <c r="K3199" s="4" t="b">
        <f>AND(((F3199)=TRUE), ((J3199)=TRUE))</f>
        <v>0</v>
      </c>
      <c r="L3199" s="4" t="b">
        <f>AND(((G3199 &lt;&gt; "plain")=TRUE), ((G3199 &lt;&gt; "")=TRUE))</f>
        <v>0</v>
      </c>
      <c r="M3199" s="4" t="str">
        <f>IF(((E3199)=TRUE),  C3199 &amp; "|" &amp; H3199,  "")</f>
        <v>principal-knowledge-authority|StepExecutions</v>
      </c>
      <c r="N3199" s="3" t="s">
        <v>10004</v>
      </c>
    </row>
    <row r="3200">
      <c r="A3200" s="3" t="s">
        <v>13202</v>
      </c>
      <c r="B3200" s="4" t="str">
        <f>C3200 &amp; " -&gt; " &amp; D3200</f>
        <v>principal-knowledge-authority -&gt; StepExecutions.ActualDurationMinutes</v>
      </c>
      <c r="C3200" s="3" t="s">
        <v>9774</v>
      </c>
      <c r="D3200" s="3" t="s">
        <v>3584</v>
      </c>
      <c r="E3200" s="3" t="b">
        <v>1</v>
      </c>
      <c r="F3200" s="3" t="b">
        <v>0</v>
      </c>
      <c r="G3200" s="3" t="s">
        <v>10003</v>
      </c>
      <c r="H3200" s="4" t="str">
        <f>_xlfn.IFNA(IF(((INDEX(RulebookFields!C2:C1898, MATCH(D3200,RulebookFields!A2:A1898, 0))="")=TRUE),  "",  INDEX(RulebookFields!C2:C1898, MATCH(D3200,RulebookFields!A2:A1898, 0))), "")</f>
        <v>StepExecutions</v>
      </c>
      <c r="I3200" s="4" t="str">
        <f>_xlfn.IFNA(IF(((INDEX(RulebookFields!D2:D1898, MATCH(D3200,RulebookFields!A2:A1898, 0))="")=TRUE),  "",  INDEX(RulebookFields!D2:D1898, MATCH(D3200,RulebookFields!A2:A1898, 0))), "")</f>
        <v>ActualDurationMinutes</v>
      </c>
      <c r="J3200" s="4" t="b">
        <f>_xlfn.IFNA(IF(((INDEX(RulebookFields!I2:I1898, MATCH(D3200,RulebookFields!A2:A1898, 0))="")=TRUE),  "",  INDEX(RulebookFields!I2:I1898, MATCH(D3200,RulebookFields!A2:A1898, 0))), "")</f>
        <v>1</v>
      </c>
      <c r="K3200" s="4" t="b">
        <f>AND(((F3200)=TRUE), ((J3200)=TRUE))</f>
        <v>0</v>
      </c>
      <c r="L3200" s="4" t="b">
        <f>AND(((G3200 &lt;&gt; "plain")=TRUE), ((G3200 &lt;&gt; "")=TRUE))</f>
        <v>0</v>
      </c>
      <c r="M3200" s="4" t="str">
        <f>IF(((E3200)=TRUE),  C3200 &amp; "|" &amp; H3200,  "")</f>
        <v>principal-knowledge-authority|StepExecutions</v>
      </c>
      <c r="N3200" s="3" t="s">
        <v>10004</v>
      </c>
    </row>
    <row r="3201">
      <c r="A3201" s="3" t="s">
        <v>13203</v>
      </c>
      <c r="B3201" s="4" t="str">
        <f>C3201 &amp; " -&gt; " &amp; D3201</f>
        <v>principal-knowledge-authority -&gt; StepExecutions.ExpectedDurationMinutes</v>
      </c>
      <c r="C3201" s="3" t="s">
        <v>9774</v>
      </c>
      <c r="D3201" s="3" t="s">
        <v>3586</v>
      </c>
      <c r="E3201" s="3" t="b">
        <v>1</v>
      </c>
      <c r="F3201" s="3" t="b">
        <v>0</v>
      </c>
      <c r="G3201" s="3" t="s">
        <v>10003</v>
      </c>
      <c r="H3201" s="4" t="str">
        <f>_xlfn.IFNA(IF(((INDEX(RulebookFields!C2:C1898, MATCH(D3201,RulebookFields!A2:A1898, 0))="")=TRUE),  "",  INDEX(RulebookFields!C2:C1898, MATCH(D3201,RulebookFields!A2:A1898, 0))), "")</f>
        <v>StepExecutions</v>
      </c>
      <c r="I3201" s="4" t="str">
        <f>_xlfn.IFNA(IF(((INDEX(RulebookFields!D2:D1898, MATCH(D3201,RulebookFields!A2:A1898, 0))="")=TRUE),  "",  INDEX(RulebookFields!D2:D1898, MATCH(D3201,RulebookFields!A2:A1898, 0))), "")</f>
        <v>ExpectedDurationMinutes</v>
      </c>
      <c r="J3201" s="4" t="b">
        <f>_xlfn.IFNA(IF(((INDEX(RulebookFields!I2:I1898, MATCH(D3201,RulebookFields!A2:A1898, 0))="")=TRUE),  "",  INDEX(RulebookFields!I2:I1898, MATCH(D3201,RulebookFields!A2:A1898, 0))), "")</f>
        <v>1</v>
      </c>
      <c r="K3201" s="4" t="b">
        <f>AND(((F3201)=TRUE), ((J3201)=TRUE))</f>
        <v>0</v>
      </c>
      <c r="L3201" s="4" t="b">
        <f>AND(((G3201 &lt;&gt; "plain")=TRUE), ((G3201 &lt;&gt; "")=TRUE))</f>
        <v>0</v>
      </c>
      <c r="M3201" s="4" t="str">
        <f>IF(((E3201)=TRUE),  C3201 &amp; "|" &amp; H3201,  "")</f>
        <v>principal-knowledge-authority|StepExecutions</v>
      </c>
      <c r="N3201" s="3" t="s">
        <v>10004</v>
      </c>
    </row>
    <row r="3202">
      <c r="A3202" s="3" t="s">
        <v>13204</v>
      </c>
      <c r="B3202" s="4" t="str">
        <f>C3202 &amp; " -&gt; " &amp; D3202</f>
        <v>principal-knowledge-authority -&gt; StepExecutions.IsLate</v>
      </c>
      <c r="C3202" s="3" t="s">
        <v>9774</v>
      </c>
      <c r="D3202" s="3" t="s">
        <v>3588</v>
      </c>
      <c r="E3202" s="3" t="b">
        <v>1</v>
      </c>
      <c r="F3202" s="3" t="b">
        <v>0</v>
      </c>
      <c r="G3202" s="3" t="s">
        <v>10003</v>
      </c>
      <c r="H3202" s="4" t="str">
        <f>_xlfn.IFNA(IF(((INDEX(RulebookFields!C2:C1898, MATCH(D3202,RulebookFields!A2:A1898, 0))="")=TRUE),  "",  INDEX(RulebookFields!C2:C1898, MATCH(D3202,RulebookFields!A2:A1898, 0))), "")</f>
        <v>StepExecutions</v>
      </c>
      <c r="I3202" s="4" t="str">
        <f>_xlfn.IFNA(IF(((INDEX(RulebookFields!D2:D1898, MATCH(D3202,RulebookFields!A2:A1898, 0))="")=TRUE),  "",  INDEX(RulebookFields!D2:D1898, MATCH(D3202,RulebookFields!A2:A1898, 0))), "")</f>
        <v>IsLate</v>
      </c>
      <c r="J3202" s="4" t="b">
        <f>_xlfn.IFNA(IF(((INDEX(RulebookFields!I2:I1898, MATCH(D3202,RulebookFields!A2:A1898, 0))="")=TRUE),  "",  INDEX(RulebookFields!I2:I1898, MATCH(D3202,RulebookFields!A2:A1898, 0))), "")</f>
        <v>1</v>
      </c>
      <c r="K3202" s="4" t="b">
        <f>AND(((F3202)=TRUE), ((J3202)=TRUE))</f>
        <v>0</v>
      </c>
      <c r="L3202" s="4" t="b">
        <f>AND(((G3202 &lt;&gt; "plain")=TRUE), ((G3202 &lt;&gt; "")=TRUE))</f>
        <v>0</v>
      </c>
      <c r="M3202" s="4" t="str">
        <f>IF(((E3202)=TRUE),  C3202 &amp; "|" &amp; H3202,  "")</f>
        <v>principal-knowledge-authority|StepExecutions</v>
      </c>
      <c r="N3202" s="3" t="s">
        <v>10004</v>
      </c>
    </row>
    <row r="3203">
      <c r="A3203" s="3" t="s">
        <v>13205</v>
      </c>
      <c r="B3203" s="4" t="str">
        <f>C3203 &amp; " -&gt; " &amp; D3203</f>
        <v>principal-knowledge-authority -&gt; StepExecutions.BlockingUnmetCount</v>
      </c>
      <c r="C3203" s="3" t="s">
        <v>9774</v>
      </c>
      <c r="D3203" s="3" t="s">
        <v>3590</v>
      </c>
      <c r="E3203" s="3" t="b">
        <v>1</v>
      </c>
      <c r="F3203" s="3" t="b">
        <v>0</v>
      </c>
      <c r="G3203" s="3" t="s">
        <v>10003</v>
      </c>
      <c r="H3203" s="4" t="str">
        <f>_xlfn.IFNA(IF(((INDEX(RulebookFields!C2:C1898, MATCH(D3203,RulebookFields!A2:A1898, 0))="")=TRUE),  "",  INDEX(RulebookFields!C2:C1898, MATCH(D3203,RulebookFields!A2:A1898, 0))), "")</f>
        <v>StepExecutions</v>
      </c>
      <c r="I3203" s="4" t="str">
        <f>_xlfn.IFNA(IF(((INDEX(RulebookFields!D2:D1898, MATCH(D3203,RulebookFields!A2:A1898, 0))="")=TRUE),  "",  INDEX(RulebookFields!D2:D1898, MATCH(D3203,RulebookFields!A2:A1898, 0))), "")</f>
        <v>BlockingUnmetCount</v>
      </c>
      <c r="J3203" s="4" t="b">
        <f>_xlfn.IFNA(IF(((INDEX(RulebookFields!I2:I1898, MATCH(D3203,RulebookFields!A2:A1898, 0))="")=TRUE),  "",  INDEX(RulebookFields!I2:I1898, MATCH(D3203,RulebookFields!A2:A1898, 0))), "")</f>
        <v>1</v>
      </c>
      <c r="K3203" s="4" t="b">
        <f>AND(((F3203)=TRUE), ((J3203)=TRUE))</f>
        <v>0</v>
      </c>
      <c r="L3203" s="4" t="b">
        <f>AND(((G3203 &lt;&gt; "plain")=TRUE), ((G3203 &lt;&gt; "")=TRUE))</f>
        <v>0</v>
      </c>
      <c r="M3203" s="4" t="str">
        <f>IF(((E3203)=TRUE),  C3203 &amp; "|" &amp; H3203,  "")</f>
        <v>principal-knowledge-authority|StepExecutions</v>
      </c>
      <c r="N3203" s="3" t="s">
        <v>10004</v>
      </c>
    </row>
    <row r="3204">
      <c r="A3204" s="3" t="s">
        <v>13206</v>
      </c>
      <c r="B3204" s="4" t="str">
        <f>C3204 &amp; " -&gt; " &amp; D3204</f>
        <v>principal-knowledge-authority -&gt; StepExecutions.BlockingUnmetCountSafe</v>
      </c>
      <c r="C3204" s="3" t="s">
        <v>9774</v>
      </c>
      <c r="D3204" s="3" t="s">
        <v>3592</v>
      </c>
      <c r="E3204" s="3" t="b">
        <v>1</v>
      </c>
      <c r="F3204" s="3" t="b">
        <v>0</v>
      </c>
      <c r="G3204" s="3" t="s">
        <v>10003</v>
      </c>
      <c r="H3204" s="4" t="str">
        <f>_xlfn.IFNA(IF(((INDEX(RulebookFields!C2:C1898, MATCH(D3204,RulebookFields!A2:A1898, 0))="")=TRUE),  "",  INDEX(RulebookFields!C2:C1898, MATCH(D3204,RulebookFields!A2:A1898, 0))), "")</f>
        <v>StepExecutions</v>
      </c>
      <c r="I3204" s="4" t="str">
        <f>_xlfn.IFNA(IF(((INDEX(RulebookFields!D2:D1898, MATCH(D3204,RulebookFields!A2:A1898, 0))="")=TRUE),  "",  INDEX(RulebookFields!D2:D1898, MATCH(D3204,RulebookFields!A2:A1898, 0))), "")</f>
        <v>BlockingUnmetCountSafe</v>
      </c>
      <c r="J3204" s="4" t="b">
        <f>_xlfn.IFNA(IF(((INDEX(RulebookFields!I2:I1898, MATCH(D3204,RulebookFields!A2:A1898, 0))="")=TRUE),  "",  INDEX(RulebookFields!I2:I1898, MATCH(D3204,RulebookFields!A2:A1898, 0))), "")</f>
        <v>1</v>
      </c>
      <c r="K3204" s="4" t="b">
        <f>AND(((F3204)=TRUE), ((J3204)=TRUE))</f>
        <v>0</v>
      </c>
      <c r="L3204" s="4" t="b">
        <f>AND(((G3204 &lt;&gt; "plain")=TRUE), ((G3204 &lt;&gt; "")=TRUE))</f>
        <v>0</v>
      </c>
      <c r="M3204" s="4" t="str">
        <f>IF(((E3204)=TRUE),  C3204 &amp; "|" &amp; H3204,  "")</f>
        <v>principal-knowledge-authority|StepExecutions</v>
      </c>
      <c r="N3204" s="3" t="s">
        <v>10004</v>
      </c>
    </row>
    <row r="3205">
      <c r="A3205" s="3" t="s">
        <v>13207</v>
      </c>
      <c r="B3205" s="4" t="str">
        <f>C3205 &amp; " -&gt; " &amp; D3205</f>
        <v>principal-knowledge-authority -&gt; StepExecutions.ProceededPastBlockingControl</v>
      </c>
      <c r="C3205" s="3" t="s">
        <v>9774</v>
      </c>
      <c r="D3205" s="3" t="s">
        <v>3594</v>
      </c>
      <c r="E3205" s="3" t="b">
        <v>1</v>
      </c>
      <c r="F3205" s="3" t="b">
        <v>0</v>
      </c>
      <c r="G3205" s="3" t="s">
        <v>10003</v>
      </c>
      <c r="H3205" s="4" t="str">
        <f>_xlfn.IFNA(IF(((INDEX(RulebookFields!C2:C1898, MATCH(D3205,RulebookFields!A2:A1898, 0))="")=TRUE),  "",  INDEX(RulebookFields!C2:C1898, MATCH(D3205,RulebookFields!A2:A1898, 0))), "")</f>
        <v>StepExecutions</v>
      </c>
      <c r="I3205" s="4" t="str">
        <f>_xlfn.IFNA(IF(((INDEX(RulebookFields!D2:D1898, MATCH(D3205,RulebookFields!A2:A1898, 0))="")=TRUE),  "",  INDEX(RulebookFields!D2:D1898, MATCH(D3205,RulebookFields!A2:A1898, 0))), "")</f>
        <v>ProceededPastBlockingControl</v>
      </c>
      <c r="J3205" s="4" t="b">
        <f>_xlfn.IFNA(IF(((INDEX(RulebookFields!I2:I1898, MATCH(D3205,RulebookFields!A2:A1898, 0))="")=TRUE),  "",  INDEX(RulebookFields!I2:I1898, MATCH(D3205,RulebookFields!A2:A1898, 0))), "")</f>
        <v>1</v>
      </c>
      <c r="K3205" s="4" t="b">
        <f>AND(((F3205)=TRUE), ((J3205)=TRUE))</f>
        <v>0</v>
      </c>
      <c r="L3205" s="4" t="b">
        <f>AND(((G3205 &lt;&gt; "plain")=TRUE), ((G3205 &lt;&gt; "")=TRUE))</f>
        <v>0</v>
      </c>
      <c r="M3205" s="4" t="str">
        <f>IF(((E3205)=TRUE),  C3205 &amp; "|" &amp; H3205,  "")</f>
        <v>principal-knowledge-authority|StepExecutions</v>
      </c>
      <c r="N3205" s="3" t="s">
        <v>10004</v>
      </c>
    </row>
    <row r="3206">
      <c r="A3206" s="3" t="s">
        <v>13208</v>
      </c>
      <c r="B3206" s="4" t="str">
        <f>C3206 &amp; " -&gt; " &amp; D3206</f>
        <v>principal-knowledge-authority -&gt; StepExecutions.ExpectedBlockingCount</v>
      </c>
      <c r="C3206" s="3" t="s">
        <v>9774</v>
      </c>
      <c r="D3206" s="3" t="s">
        <v>3596</v>
      </c>
      <c r="E3206" s="3" t="b">
        <v>1</v>
      </c>
      <c r="F3206" s="3" t="b">
        <v>0</v>
      </c>
      <c r="G3206" s="3" t="s">
        <v>10003</v>
      </c>
      <c r="H3206" s="4" t="str">
        <f>_xlfn.IFNA(IF(((INDEX(RulebookFields!C2:C1898, MATCH(D3206,RulebookFields!A2:A1898, 0))="")=TRUE),  "",  INDEX(RulebookFields!C2:C1898, MATCH(D3206,RulebookFields!A2:A1898, 0))), "")</f>
        <v>StepExecutions</v>
      </c>
      <c r="I3206" s="4" t="str">
        <f>_xlfn.IFNA(IF(((INDEX(RulebookFields!D2:D1898, MATCH(D3206,RulebookFields!A2:A1898, 0))="")=TRUE),  "",  INDEX(RulebookFields!D2:D1898, MATCH(D3206,RulebookFields!A2:A1898, 0))), "")</f>
        <v>ExpectedBlockingCount</v>
      </c>
      <c r="J3206" s="4" t="b">
        <f>_xlfn.IFNA(IF(((INDEX(RulebookFields!I2:I1898, MATCH(D3206,RulebookFields!A2:A1898, 0))="")=TRUE),  "",  INDEX(RulebookFields!I2:I1898, MATCH(D3206,RulebookFields!A2:A1898, 0))), "")</f>
        <v>1</v>
      </c>
      <c r="K3206" s="4" t="b">
        <f>AND(((F3206)=TRUE), ((J3206)=TRUE))</f>
        <v>0</v>
      </c>
      <c r="L3206" s="4" t="b">
        <f>AND(((G3206 &lt;&gt; "plain")=TRUE), ((G3206 &lt;&gt; "")=TRUE))</f>
        <v>0</v>
      </c>
      <c r="M3206" s="4" t="str">
        <f>IF(((E3206)=TRUE),  C3206 &amp; "|" &amp; H3206,  "")</f>
        <v>principal-knowledge-authority|StepExecutions</v>
      </c>
      <c r="N3206" s="3" t="s">
        <v>10004</v>
      </c>
    </row>
    <row r="3207">
      <c r="A3207" s="3" t="s">
        <v>13209</v>
      </c>
      <c r="B3207" s="4" t="str">
        <f>C3207 &amp; " -&gt; " &amp; D3207</f>
        <v>principal-knowledge-authority -&gt; StepExecutions.EvaluatedBlockingCount</v>
      </c>
      <c r="C3207" s="3" t="s">
        <v>9774</v>
      </c>
      <c r="D3207" s="3" t="s">
        <v>3598</v>
      </c>
      <c r="E3207" s="3" t="b">
        <v>1</v>
      </c>
      <c r="F3207" s="3" t="b">
        <v>0</v>
      </c>
      <c r="G3207" s="3" t="s">
        <v>10003</v>
      </c>
      <c r="H3207" s="4" t="str">
        <f>_xlfn.IFNA(IF(((INDEX(RulebookFields!C2:C1898, MATCH(D3207,RulebookFields!A2:A1898, 0))="")=TRUE),  "",  INDEX(RulebookFields!C2:C1898, MATCH(D3207,RulebookFields!A2:A1898, 0))), "")</f>
        <v>StepExecutions</v>
      </c>
      <c r="I3207" s="4" t="str">
        <f>_xlfn.IFNA(IF(((INDEX(RulebookFields!D2:D1898, MATCH(D3207,RulebookFields!A2:A1898, 0))="")=TRUE),  "",  INDEX(RulebookFields!D2:D1898, MATCH(D3207,RulebookFields!A2:A1898, 0))), "")</f>
        <v>EvaluatedBlockingCount</v>
      </c>
      <c r="J3207" s="4" t="b">
        <f>_xlfn.IFNA(IF(((INDEX(RulebookFields!I2:I1898, MATCH(D3207,RulebookFields!A2:A1898, 0))="")=TRUE),  "",  INDEX(RulebookFields!I2:I1898, MATCH(D3207,RulebookFields!A2:A1898, 0))), "")</f>
        <v>1</v>
      </c>
      <c r="K3207" s="4" t="b">
        <f>AND(((F3207)=TRUE), ((J3207)=TRUE))</f>
        <v>0</v>
      </c>
      <c r="L3207" s="4" t="b">
        <f>AND(((G3207 &lt;&gt; "plain")=TRUE), ((G3207 &lt;&gt; "")=TRUE))</f>
        <v>0</v>
      </c>
      <c r="M3207" s="4" t="str">
        <f>IF(((E3207)=TRUE),  C3207 &amp; "|" &amp; H3207,  "")</f>
        <v>principal-knowledge-authority|StepExecutions</v>
      </c>
      <c r="N3207" s="3" t="s">
        <v>10004</v>
      </c>
    </row>
    <row r="3208">
      <c r="A3208" s="3" t="s">
        <v>13210</v>
      </c>
      <c r="B3208" s="4" t="str">
        <f>C3208 &amp; " -&gt; " &amp; D3208</f>
        <v>principal-knowledge-authority -&gt; StepExecutions.UnevaluatedBlockingCount</v>
      </c>
      <c r="C3208" s="3" t="s">
        <v>9774</v>
      </c>
      <c r="D3208" s="3" t="s">
        <v>3600</v>
      </c>
      <c r="E3208" s="3" t="b">
        <v>1</v>
      </c>
      <c r="F3208" s="3" t="b">
        <v>0</v>
      </c>
      <c r="G3208" s="3" t="s">
        <v>10003</v>
      </c>
      <c r="H3208" s="4" t="str">
        <f>_xlfn.IFNA(IF(((INDEX(RulebookFields!C2:C1898, MATCH(D3208,RulebookFields!A2:A1898, 0))="")=TRUE),  "",  INDEX(RulebookFields!C2:C1898, MATCH(D3208,RulebookFields!A2:A1898, 0))), "")</f>
        <v>StepExecutions</v>
      </c>
      <c r="I3208" s="4" t="str">
        <f>_xlfn.IFNA(IF(((INDEX(RulebookFields!D2:D1898, MATCH(D3208,RulebookFields!A2:A1898, 0))="")=TRUE),  "",  INDEX(RulebookFields!D2:D1898, MATCH(D3208,RulebookFields!A2:A1898, 0))), "")</f>
        <v>UnevaluatedBlockingCount</v>
      </c>
      <c r="J3208" s="4" t="b">
        <f>_xlfn.IFNA(IF(((INDEX(RulebookFields!I2:I1898, MATCH(D3208,RulebookFields!A2:A1898, 0))="")=TRUE),  "",  INDEX(RulebookFields!I2:I1898, MATCH(D3208,RulebookFields!A2:A1898, 0))), "")</f>
        <v>1</v>
      </c>
      <c r="K3208" s="4" t="b">
        <f>AND(((F3208)=TRUE), ((J3208)=TRUE))</f>
        <v>0</v>
      </c>
      <c r="L3208" s="4" t="b">
        <f>AND(((G3208 &lt;&gt; "plain")=TRUE), ((G3208 &lt;&gt; "")=TRUE))</f>
        <v>0</v>
      </c>
      <c r="M3208" s="4" t="str">
        <f>IF(((E3208)=TRUE),  C3208 &amp; "|" &amp; H3208,  "")</f>
        <v>principal-knowledge-authority|StepExecutions</v>
      </c>
      <c r="N3208" s="3" t="s">
        <v>10004</v>
      </c>
    </row>
    <row r="3209">
      <c r="A3209" s="3" t="s">
        <v>13211</v>
      </c>
      <c r="B3209" s="4" t="str">
        <f>C3209 &amp; " -&gt; " &amp; D3209</f>
        <v>principal-knowledge-authority -&gt; StepExecutions.HasUnevaluatedBlockingControl</v>
      </c>
      <c r="C3209" s="3" t="s">
        <v>9774</v>
      </c>
      <c r="D3209" s="3" t="s">
        <v>3602</v>
      </c>
      <c r="E3209" s="3" t="b">
        <v>1</v>
      </c>
      <c r="F3209" s="3" t="b">
        <v>0</v>
      </c>
      <c r="G3209" s="3" t="s">
        <v>10003</v>
      </c>
      <c r="H3209" s="4" t="str">
        <f>_xlfn.IFNA(IF(((INDEX(RulebookFields!C2:C1898, MATCH(D3209,RulebookFields!A2:A1898, 0))="")=TRUE),  "",  INDEX(RulebookFields!C2:C1898, MATCH(D3209,RulebookFields!A2:A1898, 0))), "")</f>
        <v>StepExecutions</v>
      </c>
      <c r="I3209" s="4" t="str">
        <f>_xlfn.IFNA(IF(((INDEX(RulebookFields!D2:D1898, MATCH(D3209,RulebookFields!A2:A1898, 0))="")=TRUE),  "",  INDEX(RulebookFields!D2:D1898, MATCH(D3209,RulebookFields!A2:A1898, 0))), "")</f>
        <v>HasUnevaluatedBlockingControl</v>
      </c>
      <c r="J3209" s="4" t="b">
        <f>_xlfn.IFNA(IF(((INDEX(RulebookFields!I2:I1898, MATCH(D3209,RulebookFields!A2:A1898, 0))="")=TRUE),  "",  INDEX(RulebookFields!I2:I1898, MATCH(D3209,RulebookFields!A2:A1898, 0))), "")</f>
        <v>1</v>
      </c>
      <c r="K3209" s="4" t="b">
        <f>AND(((F3209)=TRUE), ((J3209)=TRUE))</f>
        <v>0</v>
      </c>
      <c r="L3209" s="4" t="b">
        <f>AND(((G3209 &lt;&gt; "plain")=TRUE), ((G3209 &lt;&gt; "")=TRUE))</f>
        <v>0</v>
      </c>
      <c r="M3209" s="4" t="str">
        <f>IF(((E3209)=TRUE),  C3209 &amp; "|" &amp; H3209,  "")</f>
        <v>principal-knowledge-authority|StepExecutions</v>
      </c>
      <c r="N3209" s="3" t="s">
        <v>10004</v>
      </c>
    </row>
    <row r="3210">
      <c r="A3210" s="3" t="s">
        <v>13212</v>
      </c>
      <c r="B3210" s="4" t="str">
        <f>C3210 &amp; " -&gt; " &amp; D3210</f>
        <v>principal-knowledge-authority -&gt; StepExecutions.StaleAuthoritativeSourceCount</v>
      </c>
      <c r="C3210" s="3" t="s">
        <v>9774</v>
      </c>
      <c r="D3210" s="3" t="s">
        <v>3604</v>
      </c>
      <c r="E3210" s="3" t="b">
        <v>1</v>
      </c>
      <c r="F3210" s="3" t="b">
        <v>0</v>
      </c>
      <c r="G3210" s="3" t="s">
        <v>10003</v>
      </c>
      <c r="H3210" s="4" t="str">
        <f>_xlfn.IFNA(IF(((INDEX(RulebookFields!C2:C1898, MATCH(D3210,RulebookFields!A2:A1898, 0))="")=TRUE),  "",  INDEX(RulebookFields!C2:C1898, MATCH(D3210,RulebookFields!A2:A1898, 0))), "")</f>
        <v>StepExecutions</v>
      </c>
      <c r="I3210" s="4" t="str">
        <f>_xlfn.IFNA(IF(((INDEX(RulebookFields!D2:D1898, MATCH(D3210,RulebookFields!A2:A1898, 0))="")=TRUE),  "",  INDEX(RulebookFields!D2:D1898, MATCH(D3210,RulebookFields!A2:A1898, 0))), "")</f>
        <v>StaleAuthoritativeSourceCount</v>
      </c>
      <c r="J3210" s="4" t="b">
        <f>_xlfn.IFNA(IF(((INDEX(RulebookFields!I2:I1898, MATCH(D3210,RulebookFields!A2:A1898, 0))="")=TRUE),  "",  INDEX(RulebookFields!I2:I1898, MATCH(D3210,RulebookFields!A2:A1898, 0))), "")</f>
        <v>1</v>
      </c>
      <c r="K3210" s="4" t="b">
        <f>AND(((F3210)=TRUE), ((J3210)=TRUE))</f>
        <v>0</v>
      </c>
      <c r="L3210" s="4" t="b">
        <f>AND(((G3210 &lt;&gt; "plain")=TRUE), ((G3210 &lt;&gt; "")=TRUE))</f>
        <v>0</v>
      </c>
      <c r="M3210" s="4" t="str">
        <f>IF(((E3210)=TRUE),  C3210 &amp; "|" &amp; H3210,  "")</f>
        <v>principal-knowledge-authority|StepExecutions</v>
      </c>
      <c r="N3210" s="3" t="s">
        <v>10004</v>
      </c>
    </row>
    <row r="3211">
      <c r="A3211" s="3" t="s">
        <v>13213</v>
      </c>
      <c r="B3211" s="4" t="str">
        <f>C3211 &amp; " -&gt; " &amp; D3211</f>
        <v>principal-knowledge-authority -&gt; StepExecutions.RanOnStaleAuthoritativeSource</v>
      </c>
      <c r="C3211" s="3" t="s">
        <v>9774</v>
      </c>
      <c r="D3211" s="3" t="s">
        <v>3606</v>
      </c>
      <c r="E3211" s="3" t="b">
        <v>1</v>
      </c>
      <c r="F3211" s="3" t="b">
        <v>0</v>
      </c>
      <c r="G3211" s="3" t="s">
        <v>10003</v>
      </c>
      <c r="H3211" s="4" t="str">
        <f>_xlfn.IFNA(IF(((INDEX(RulebookFields!C2:C1898, MATCH(D3211,RulebookFields!A2:A1898, 0))="")=TRUE),  "",  INDEX(RulebookFields!C2:C1898, MATCH(D3211,RulebookFields!A2:A1898, 0))), "")</f>
        <v>StepExecutions</v>
      </c>
      <c r="I3211" s="4" t="str">
        <f>_xlfn.IFNA(IF(((INDEX(RulebookFields!D2:D1898, MATCH(D3211,RulebookFields!A2:A1898, 0))="")=TRUE),  "",  INDEX(RulebookFields!D2:D1898, MATCH(D3211,RulebookFields!A2:A1898, 0))), "")</f>
        <v>RanOnStaleAuthoritativeSource</v>
      </c>
      <c r="J3211" s="4" t="b">
        <f>_xlfn.IFNA(IF(((INDEX(RulebookFields!I2:I1898, MATCH(D3211,RulebookFields!A2:A1898, 0))="")=TRUE),  "",  INDEX(RulebookFields!I2:I1898, MATCH(D3211,RulebookFields!A2:A1898, 0))), "")</f>
        <v>1</v>
      </c>
      <c r="K3211" s="4" t="b">
        <f>AND(((F3211)=TRUE), ((J3211)=TRUE))</f>
        <v>0</v>
      </c>
      <c r="L3211" s="4" t="b">
        <f>AND(((G3211 &lt;&gt; "plain")=TRUE), ((G3211 &lt;&gt; "")=TRUE))</f>
        <v>0</v>
      </c>
      <c r="M3211" s="4" t="str">
        <f>IF(((E3211)=TRUE),  C3211 &amp; "|" &amp; H3211,  "")</f>
        <v>principal-knowledge-authority|StepExecutions</v>
      </c>
      <c r="N3211" s="3" t="s">
        <v>10004</v>
      </c>
    </row>
    <row r="3212">
      <c r="A3212" s="3" t="s">
        <v>13214</v>
      </c>
      <c r="B3212" s="4" t="str">
        <f>C3212 &amp; " -&gt; " &amp; D3212</f>
        <v>principal-knowledge-authority -&gt; StepExecutions.HasDeviationNote</v>
      </c>
      <c r="C3212" s="3" t="s">
        <v>9774</v>
      </c>
      <c r="D3212" s="3" t="s">
        <v>3608</v>
      </c>
      <c r="E3212" s="3" t="b">
        <v>1</v>
      </c>
      <c r="F3212" s="3" t="b">
        <v>0</v>
      </c>
      <c r="G3212" s="3" t="s">
        <v>10003</v>
      </c>
      <c r="H3212" s="4" t="str">
        <f>_xlfn.IFNA(IF(((INDEX(RulebookFields!C2:C1898, MATCH(D3212,RulebookFields!A2:A1898, 0))="")=TRUE),  "",  INDEX(RulebookFields!C2:C1898, MATCH(D3212,RulebookFields!A2:A1898, 0))), "")</f>
        <v>StepExecutions</v>
      </c>
      <c r="I3212" s="4" t="str">
        <f>_xlfn.IFNA(IF(((INDEX(RulebookFields!D2:D1898, MATCH(D3212,RulebookFields!A2:A1898, 0))="")=TRUE),  "",  INDEX(RulebookFields!D2:D1898, MATCH(D3212,RulebookFields!A2:A1898, 0))), "")</f>
        <v>HasDeviationNote</v>
      </c>
      <c r="J3212" s="4" t="b">
        <f>_xlfn.IFNA(IF(((INDEX(RulebookFields!I2:I1898, MATCH(D3212,RulebookFields!A2:A1898, 0))="")=TRUE),  "",  INDEX(RulebookFields!I2:I1898, MATCH(D3212,RulebookFields!A2:A1898, 0))), "")</f>
        <v>1</v>
      </c>
      <c r="K3212" s="4" t="b">
        <f>AND(((F3212)=TRUE), ((J3212)=TRUE))</f>
        <v>0</v>
      </c>
      <c r="L3212" s="4" t="b">
        <f>AND(((G3212 &lt;&gt; "plain")=TRUE), ((G3212 &lt;&gt; "")=TRUE))</f>
        <v>0</v>
      </c>
      <c r="M3212" s="4" t="str">
        <f>IF(((E3212)=TRUE),  C3212 &amp; "|" &amp; H3212,  "")</f>
        <v>principal-knowledge-authority|StepExecutions</v>
      </c>
      <c r="N3212" s="3" t="s">
        <v>10004</v>
      </c>
    </row>
    <row r="3213">
      <c r="A3213" s="3" t="s">
        <v>13215</v>
      </c>
      <c r="B3213" s="4" t="str">
        <f>C3213 &amp; " -&gt; " &amp; D3213</f>
        <v>principal-knowledge-authority -&gt; StepExecutions.IsLateAndUnexplained</v>
      </c>
      <c r="C3213" s="3" t="s">
        <v>9774</v>
      </c>
      <c r="D3213" s="3" t="s">
        <v>3610</v>
      </c>
      <c r="E3213" s="3" t="b">
        <v>1</v>
      </c>
      <c r="F3213" s="3" t="b">
        <v>0</v>
      </c>
      <c r="G3213" s="3" t="s">
        <v>10003</v>
      </c>
      <c r="H3213" s="4" t="str">
        <f>_xlfn.IFNA(IF(((INDEX(RulebookFields!C2:C1898, MATCH(D3213,RulebookFields!A2:A1898, 0))="")=TRUE),  "",  INDEX(RulebookFields!C2:C1898, MATCH(D3213,RulebookFields!A2:A1898, 0))), "")</f>
        <v>StepExecutions</v>
      </c>
      <c r="I3213" s="4" t="str">
        <f>_xlfn.IFNA(IF(((INDEX(RulebookFields!D2:D1898, MATCH(D3213,RulebookFields!A2:A1898, 0))="")=TRUE),  "",  INDEX(RulebookFields!D2:D1898, MATCH(D3213,RulebookFields!A2:A1898, 0))), "")</f>
        <v>IsLateAndUnexplained</v>
      </c>
      <c r="J3213" s="4" t="b">
        <f>_xlfn.IFNA(IF(((INDEX(RulebookFields!I2:I1898, MATCH(D3213,RulebookFields!A2:A1898, 0))="")=TRUE),  "",  INDEX(RulebookFields!I2:I1898, MATCH(D3213,RulebookFields!A2:A1898, 0))), "")</f>
        <v>1</v>
      </c>
      <c r="K3213" s="4" t="b">
        <f>AND(((F3213)=TRUE), ((J3213)=TRUE))</f>
        <v>0</v>
      </c>
      <c r="L3213" s="4" t="b">
        <f>AND(((G3213 &lt;&gt; "plain")=TRUE), ((G3213 &lt;&gt; "")=TRUE))</f>
        <v>0</v>
      </c>
      <c r="M3213" s="4" t="str">
        <f>IF(((E3213)=TRUE),  C3213 &amp; "|" &amp; H3213,  "")</f>
        <v>principal-knowledge-authority|StepExecutions</v>
      </c>
      <c r="N3213" s="3" t="s">
        <v>10004</v>
      </c>
    </row>
    <row r="3214">
      <c r="A3214" s="3" t="s">
        <v>13216</v>
      </c>
      <c r="B3214" s="4" t="str">
        <f>C3214 &amp; " -&gt; " &amp; D3214</f>
        <v>principal-knowledge-authority -&gt; StepExecutions.AvailableExceptionCountForStep</v>
      </c>
      <c r="C3214" s="3" t="s">
        <v>9774</v>
      </c>
      <c r="D3214" s="3" t="s">
        <v>3612</v>
      </c>
      <c r="E3214" s="3" t="b">
        <v>1</v>
      </c>
      <c r="F3214" s="3" t="b">
        <v>0</v>
      </c>
      <c r="G3214" s="3" t="s">
        <v>10003</v>
      </c>
      <c r="H3214" s="4" t="str">
        <f>_xlfn.IFNA(IF(((INDEX(RulebookFields!C2:C1898, MATCH(D3214,RulebookFields!A2:A1898, 0))="")=TRUE),  "",  INDEX(RulebookFields!C2:C1898, MATCH(D3214,RulebookFields!A2:A1898, 0))), "")</f>
        <v>StepExecutions</v>
      </c>
      <c r="I3214" s="4" t="str">
        <f>_xlfn.IFNA(IF(((INDEX(RulebookFields!D2:D1898, MATCH(D3214,RulebookFields!A2:A1898, 0))="")=TRUE),  "",  INDEX(RulebookFields!D2:D1898, MATCH(D3214,RulebookFields!A2:A1898, 0))), "")</f>
        <v>AvailableExceptionCountForStep</v>
      </c>
      <c r="J3214" s="4" t="b">
        <f>_xlfn.IFNA(IF(((INDEX(RulebookFields!I2:I1898, MATCH(D3214,RulebookFields!A2:A1898, 0))="")=TRUE),  "",  INDEX(RulebookFields!I2:I1898, MATCH(D3214,RulebookFields!A2:A1898, 0))), "")</f>
        <v>1</v>
      </c>
      <c r="K3214" s="4" t="b">
        <f>AND(((F3214)=TRUE), ((J3214)=TRUE))</f>
        <v>0</v>
      </c>
      <c r="L3214" s="4" t="b">
        <f>AND(((G3214 &lt;&gt; "plain")=TRUE), ((G3214 &lt;&gt; "")=TRUE))</f>
        <v>0</v>
      </c>
      <c r="M3214" s="4" t="str">
        <f>IF(((E3214)=TRUE),  C3214 &amp; "|" &amp; H3214,  "")</f>
        <v>principal-knowledge-authority|StepExecutions</v>
      </c>
      <c r="N3214" s="3" t="s">
        <v>10004</v>
      </c>
    </row>
    <row r="3215">
      <c r="A3215" s="3" t="s">
        <v>13217</v>
      </c>
      <c r="B3215" s="4" t="str">
        <f>C3215 &amp; " -&gt; " &amp; D3215</f>
        <v>principal-knowledge-authority -&gt; StepExecutions.HadUninvokedExceptionAvailable</v>
      </c>
      <c r="C3215" s="3" t="s">
        <v>9774</v>
      </c>
      <c r="D3215" s="3" t="s">
        <v>3614</v>
      </c>
      <c r="E3215" s="3" t="b">
        <v>1</v>
      </c>
      <c r="F3215" s="3" t="b">
        <v>0</v>
      </c>
      <c r="G3215" s="3" t="s">
        <v>10003</v>
      </c>
      <c r="H3215" s="4" t="str">
        <f>_xlfn.IFNA(IF(((INDEX(RulebookFields!C2:C1898, MATCH(D3215,RulebookFields!A2:A1898, 0))="")=TRUE),  "",  INDEX(RulebookFields!C2:C1898, MATCH(D3215,RulebookFields!A2:A1898, 0))), "")</f>
        <v>StepExecutions</v>
      </c>
      <c r="I3215" s="4" t="str">
        <f>_xlfn.IFNA(IF(((INDEX(RulebookFields!D2:D1898, MATCH(D3215,RulebookFields!A2:A1898, 0))="")=TRUE),  "",  INDEX(RulebookFields!D2:D1898, MATCH(D3215,RulebookFields!A2:A1898, 0))), "")</f>
        <v>HadUninvokedExceptionAvailable</v>
      </c>
      <c r="J3215" s="4" t="b">
        <f>_xlfn.IFNA(IF(((INDEX(RulebookFields!I2:I1898, MATCH(D3215,RulebookFields!A2:A1898, 0))="")=TRUE),  "",  INDEX(RulebookFields!I2:I1898, MATCH(D3215,RulebookFields!A2:A1898, 0))), "")</f>
        <v>1</v>
      </c>
      <c r="K3215" s="4" t="b">
        <f>AND(((F3215)=TRUE), ((J3215)=TRUE))</f>
        <v>0</v>
      </c>
      <c r="L3215" s="4" t="b">
        <f>AND(((G3215 &lt;&gt; "plain")=TRUE), ((G3215 &lt;&gt; "")=TRUE))</f>
        <v>0</v>
      </c>
      <c r="M3215" s="4" t="str">
        <f>IF(((E3215)=TRUE),  C3215 &amp; "|" &amp; H3215,  "")</f>
        <v>principal-knowledge-authority|StepExecutions</v>
      </c>
      <c r="N3215" s="3" t="s">
        <v>10004</v>
      </c>
    </row>
    <row r="3216">
      <c r="A3216" s="3" t="s">
        <v>13218</v>
      </c>
      <c r="B3216" s="4" t="str">
        <f>C3216 &amp; " -&gt; " &amp; D3216</f>
        <v>principal-knowledge-authority -&gt; StepExecutions.ExpectedVerificationCount</v>
      </c>
      <c r="C3216" s="3" t="s">
        <v>9774</v>
      </c>
      <c r="D3216" s="3" t="s">
        <v>3616</v>
      </c>
      <c r="E3216" s="3" t="b">
        <v>1</v>
      </c>
      <c r="F3216" s="3" t="b">
        <v>0</v>
      </c>
      <c r="G3216" s="3" t="s">
        <v>10003</v>
      </c>
      <c r="H3216" s="4" t="str">
        <f>_xlfn.IFNA(IF(((INDEX(RulebookFields!C2:C1898, MATCH(D3216,RulebookFields!A2:A1898, 0))="")=TRUE),  "",  INDEX(RulebookFields!C2:C1898, MATCH(D3216,RulebookFields!A2:A1898, 0))), "")</f>
        <v>StepExecutions</v>
      </c>
      <c r="I3216" s="4" t="str">
        <f>_xlfn.IFNA(IF(((INDEX(RulebookFields!D2:D1898, MATCH(D3216,RulebookFields!A2:A1898, 0))="")=TRUE),  "",  INDEX(RulebookFields!D2:D1898, MATCH(D3216,RulebookFields!A2:A1898, 0))), "")</f>
        <v>ExpectedVerificationCount</v>
      </c>
      <c r="J3216" s="4" t="b">
        <f>_xlfn.IFNA(IF(((INDEX(RulebookFields!I2:I1898, MATCH(D3216,RulebookFields!A2:A1898, 0))="")=TRUE),  "",  INDEX(RulebookFields!I2:I1898, MATCH(D3216,RulebookFields!A2:A1898, 0))), "")</f>
        <v>1</v>
      </c>
      <c r="K3216" s="4" t="b">
        <f>AND(((F3216)=TRUE), ((J3216)=TRUE))</f>
        <v>0</v>
      </c>
      <c r="L3216" s="4" t="b">
        <f>AND(((G3216 &lt;&gt; "plain")=TRUE), ((G3216 &lt;&gt; "")=TRUE))</f>
        <v>0</v>
      </c>
      <c r="M3216" s="4" t="str">
        <f>IF(((E3216)=TRUE),  C3216 &amp; "|" &amp; H3216,  "")</f>
        <v>principal-knowledge-authority|StepExecutions</v>
      </c>
      <c r="N3216" s="3" t="s">
        <v>10004</v>
      </c>
    </row>
    <row r="3217">
      <c r="A3217" s="3" t="s">
        <v>13219</v>
      </c>
      <c r="B3217" s="4" t="str">
        <f>C3217 &amp; " -&gt; " &amp; D3217</f>
        <v>principal-knowledge-authority -&gt; StepExecutions.PerformedVerificationCount</v>
      </c>
      <c r="C3217" s="3" t="s">
        <v>9774</v>
      </c>
      <c r="D3217" s="3" t="s">
        <v>3618</v>
      </c>
      <c r="E3217" s="3" t="b">
        <v>1</v>
      </c>
      <c r="F3217" s="3" t="b">
        <v>0</v>
      </c>
      <c r="G3217" s="3" t="s">
        <v>10003</v>
      </c>
      <c r="H3217" s="4" t="str">
        <f>_xlfn.IFNA(IF(((INDEX(RulebookFields!C2:C1898, MATCH(D3217,RulebookFields!A2:A1898, 0))="")=TRUE),  "",  INDEX(RulebookFields!C2:C1898, MATCH(D3217,RulebookFields!A2:A1898, 0))), "")</f>
        <v>StepExecutions</v>
      </c>
      <c r="I3217" s="4" t="str">
        <f>_xlfn.IFNA(IF(((INDEX(RulebookFields!D2:D1898, MATCH(D3217,RulebookFields!A2:A1898, 0))="")=TRUE),  "",  INDEX(RulebookFields!D2:D1898, MATCH(D3217,RulebookFields!A2:A1898, 0))), "")</f>
        <v>PerformedVerificationCount</v>
      </c>
      <c r="J3217" s="4" t="b">
        <f>_xlfn.IFNA(IF(((INDEX(RulebookFields!I2:I1898, MATCH(D3217,RulebookFields!A2:A1898, 0))="")=TRUE),  "",  INDEX(RulebookFields!I2:I1898, MATCH(D3217,RulebookFields!A2:A1898, 0))), "")</f>
        <v>1</v>
      </c>
      <c r="K3217" s="4" t="b">
        <f>AND(((F3217)=TRUE), ((J3217)=TRUE))</f>
        <v>0</v>
      </c>
      <c r="L3217" s="4" t="b">
        <f>AND(((G3217 &lt;&gt; "plain")=TRUE), ((G3217 &lt;&gt; "")=TRUE))</f>
        <v>0</v>
      </c>
      <c r="M3217" s="4" t="str">
        <f>IF(((E3217)=TRUE),  C3217 &amp; "|" &amp; H3217,  "")</f>
        <v>principal-knowledge-authority|StepExecutions</v>
      </c>
      <c r="N3217" s="3" t="s">
        <v>10004</v>
      </c>
    </row>
    <row r="3218">
      <c r="A3218" s="3" t="s">
        <v>13220</v>
      </c>
      <c r="B3218" s="4" t="str">
        <f>C3218 &amp; " -&gt; " &amp; D3218</f>
        <v>principal-knowledge-authority -&gt; StepExecutions.SkippedVerificationCount</v>
      </c>
      <c r="C3218" s="3" t="s">
        <v>9774</v>
      </c>
      <c r="D3218" s="3" t="s">
        <v>3620</v>
      </c>
      <c r="E3218" s="3" t="b">
        <v>1</v>
      </c>
      <c r="F3218" s="3" t="b">
        <v>0</v>
      </c>
      <c r="G3218" s="3" t="s">
        <v>10003</v>
      </c>
      <c r="H3218" s="4" t="str">
        <f>_xlfn.IFNA(IF(((INDEX(RulebookFields!C2:C1898, MATCH(D3218,RulebookFields!A2:A1898, 0))="")=TRUE),  "",  INDEX(RulebookFields!C2:C1898, MATCH(D3218,RulebookFields!A2:A1898, 0))), "")</f>
        <v>StepExecutions</v>
      </c>
      <c r="I3218" s="4" t="str">
        <f>_xlfn.IFNA(IF(((INDEX(RulebookFields!D2:D1898, MATCH(D3218,RulebookFields!A2:A1898, 0))="")=TRUE),  "",  INDEX(RulebookFields!D2:D1898, MATCH(D3218,RulebookFields!A2:A1898, 0))), "")</f>
        <v>SkippedVerificationCount</v>
      </c>
      <c r="J3218" s="4" t="b">
        <f>_xlfn.IFNA(IF(((INDEX(RulebookFields!I2:I1898, MATCH(D3218,RulebookFields!A2:A1898, 0))="")=TRUE),  "",  INDEX(RulebookFields!I2:I1898, MATCH(D3218,RulebookFields!A2:A1898, 0))), "")</f>
        <v>1</v>
      </c>
      <c r="K3218" s="4" t="b">
        <f>AND(((F3218)=TRUE), ((J3218)=TRUE))</f>
        <v>0</v>
      </c>
      <c r="L3218" s="4" t="b">
        <f>AND(((G3218 &lt;&gt; "plain")=TRUE), ((G3218 &lt;&gt; "")=TRUE))</f>
        <v>0</v>
      </c>
      <c r="M3218" s="4" t="str">
        <f>IF(((E3218)=TRUE),  C3218 &amp; "|" &amp; H3218,  "")</f>
        <v>principal-knowledge-authority|StepExecutions</v>
      </c>
      <c r="N3218" s="3" t="s">
        <v>10004</v>
      </c>
    </row>
    <row r="3219">
      <c r="A3219" s="3" t="s">
        <v>13221</v>
      </c>
      <c r="B3219" s="4" t="str">
        <f>C3219 &amp; " -&gt; " &amp; D3219</f>
        <v>principal-knowledge-authority -&gt; StepExecutions.HasSkippedVerification</v>
      </c>
      <c r="C3219" s="3" t="s">
        <v>9774</v>
      </c>
      <c r="D3219" s="3" t="s">
        <v>3622</v>
      </c>
      <c r="E3219" s="3" t="b">
        <v>1</v>
      </c>
      <c r="F3219" s="3" t="b">
        <v>0</v>
      </c>
      <c r="G3219" s="3" t="s">
        <v>10003</v>
      </c>
      <c r="H3219" s="4" t="str">
        <f>_xlfn.IFNA(IF(((INDEX(RulebookFields!C2:C1898, MATCH(D3219,RulebookFields!A2:A1898, 0))="")=TRUE),  "",  INDEX(RulebookFields!C2:C1898, MATCH(D3219,RulebookFields!A2:A1898, 0))), "")</f>
        <v>StepExecutions</v>
      </c>
      <c r="I3219" s="4" t="str">
        <f>_xlfn.IFNA(IF(((INDEX(RulebookFields!D2:D1898, MATCH(D3219,RulebookFields!A2:A1898, 0))="")=TRUE),  "",  INDEX(RulebookFields!D2:D1898, MATCH(D3219,RulebookFields!A2:A1898, 0))), "")</f>
        <v>HasSkippedVerification</v>
      </c>
      <c r="J3219" s="4" t="b">
        <f>_xlfn.IFNA(IF(((INDEX(RulebookFields!I2:I1898, MATCH(D3219,RulebookFields!A2:A1898, 0))="")=TRUE),  "",  INDEX(RulebookFields!I2:I1898, MATCH(D3219,RulebookFields!A2:A1898, 0))), "")</f>
        <v>1</v>
      </c>
      <c r="K3219" s="4" t="b">
        <f>AND(((F3219)=TRUE), ((J3219)=TRUE))</f>
        <v>0</v>
      </c>
      <c r="L3219" s="4" t="b">
        <f>AND(((G3219 &lt;&gt; "plain")=TRUE), ((G3219 &lt;&gt; "")=TRUE))</f>
        <v>0</v>
      </c>
      <c r="M3219" s="4" t="str">
        <f>IF(((E3219)=TRUE),  C3219 &amp; "|" &amp; H3219,  "")</f>
        <v>principal-knowledge-authority|StepExecutions</v>
      </c>
      <c r="N3219" s="3" t="s">
        <v>10004</v>
      </c>
    </row>
    <row r="3220">
      <c r="A3220" s="3" t="s">
        <v>13222</v>
      </c>
      <c r="B3220" s="4" t="str">
        <f>C3220 &amp; " -&gt; " &amp; D3220</f>
        <v>principal-knowledge-authority -&gt; StepExecutions.ClaimsPassWithoutEvidence</v>
      </c>
      <c r="C3220" s="3" t="s">
        <v>9774</v>
      </c>
      <c r="D3220" s="3" t="s">
        <v>3624</v>
      </c>
      <c r="E3220" s="3" t="b">
        <v>1</v>
      </c>
      <c r="F3220" s="3" t="b">
        <v>0</v>
      </c>
      <c r="G3220" s="3" t="s">
        <v>10003</v>
      </c>
      <c r="H3220" s="4" t="str">
        <f>_xlfn.IFNA(IF(((INDEX(RulebookFields!C2:C1898, MATCH(D3220,RulebookFields!A2:A1898, 0))="")=TRUE),  "",  INDEX(RulebookFields!C2:C1898, MATCH(D3220,RulebookFields!A2:A1898, 0))), "")</f>
        <v>StepExecutions</v>
      </c>
      <c r="I3220" s="4" t="str">
        <f>_xlfn.IFNA(IF(((INDEX(RulebookFields!D2:D1898, MATCH(D3220,RulebookFields!A2:A1898, 0))="")=TRUE),  "",  INDEX(RulebookFields!D2:D1898, MATCH(D3220,RulebookFields!A2:A1898, 0))), "")</f>
        <v>ClaimsPassWithoutEvidence</v>
      </c>
      <c r="J3220" s="4" t="b">
        <f>_xlfn.IFNA(IF(((INDEX(RulebookFields!I2:I1898, MATCH(D3220,RulebookFields!A2:A1898, 0))="")=TRUE),  "",  INDEX(RulebookFields!I2:I1898, MATCH(D3220,RulebookFields!A2:A1898, 0))), "")</f>
        <v>1</v>
      </c>
      <c r="K3220" s="4" t="b">
        <f>AND(((F3220)=TRUE), ((J3220)=TRUE))</f>
        <v>0</v>
      </c>
      <c r="L3220" s="4" t="b">
        <f>AND(((G3220 &lt;&gt; "plain")=TRUE), ((G3220 &lt;&gt; "")=TRUE))</f>
        <v>0</v>
      </c>
      <c r="M3220" s="4" t="str">
        <f>IF(((E3220)=TRUE),  C3220 &amp; "|" &amp; H3220,  "")</f>
        <v>principal-knowledge-authority|StepExecutions</v>
      </c>
      <c r="N3220" s="3" t="s">
        <v>10004</v>
      </c>
    </row>
    <row r="3221">
      <c r="A3221" s="3" t="s">
        <v>13223</v>
      </c>
      <c r="B3221" s="4" t="str">
        <f>C3221 &amp; " -&gt; " &amp; D3221</f>
        <v>principal-knowledge-authority -&gt; StepExecutions.StepIsPreparation</v>
      </c>
      <c r="C3221" s="3" t="s">
        <v>9774</v>
      </c>
      <c r="D3221" s="3" t="s">
        <v>3626</v>
      </c>
      <c r="E3221" s="3" t="b">
        <v>1</v>
      </c>
      <c r="F3221" s="3" t="b">
        <v>0</v>
      </c>
      <c r="G3221" s="3" t="s">
        <v>10003</v>
      </c>
      <c r="H3221" s="4" t="str">
        <f>_xlfn.IFNA(IF(((INDEX(RulebookFields!C2:C1898, MATCH(D3221,RulebookFields!A2:A1898, 0))="")=TRUE),  "",  INDEX(RulebookFields!C2:C1898, MATCH(D3221,RulebookFields!A2:A1898, 0))), "")</f>
        <v>StepExecutions</v>
      </c>
      <c r="I3221" s="4" t="str">
        <f>_xlfn.IFNA(IF(((INDEX(RulebookFields!D2:D1898, MATCH(D3221,RulebookFields!A2:A1898, 0))="")=TRUE),  "",  INDEX(RulebookFields!D2:D1898, MATCH(D3221,RulebookFields!A2:A1898, 0))), "")</f>
        <v>StepIsPreparation</v>
      </c>
      <c r="J3221" s="4" t="b">
        <f>_xlfn.IFNA(IF(((INDEX(RulebookFields!I2:I1898, MATCH(D3221,RulebookFields!A2:A1898, 0))="")=TRUE),  "",  INDEX(RulebookFields!I2:I1898, MATCH(D3221,RulebookFields!A2:A1898, 0))), "")</f>
        <v>1</v>
      </c>
      <c r="K3221" s="4" t="b">
        <f>AND(((F3221)=TRUE), ((J3221)=TRUE))</f>
        <v>0</v>
      </c>
      <c r="L3221" s="4" t="b">
        <f>AND(((G3221 &lt;&gt; "plain")=TRUE), ((G3221 &lt;&gt; "")=TRUE))</f>
        <v>0</v>
      </c>
      <c r="M3221" s="4" t="str">
        <f>IF(((E3221)=TRUE),  C3221 &amp; "|" &amp; H3221,  "")</f>
        <v>principal-knowledge-authority|StepExecutions</v>
      </c>
      <c r="N3221" s="3" t="s">
        <v>10004</v>
      </c>
    </row>
    <row r="3222">
      <c r="A3222" s="3" t="s">
        <v>13224</v>
      </c>
      <c r="B3222" s="4" t="str">
        <f>C3222 &amp; " -&gt; " &amp; D3222</f>
        <v>principal-knowledge-authority -&gt; StepExecutions.StepIsApproval</v>
      </c>
      <c r="C3222" s="3" t="s">
        <v>9774</v>
      </c>
      <c r="D3222" s="3" t="s">
        <v>3628</v>
      </c>
      <c r="E3222" s="3" t="b">
        <v>1</v>
      </c>
      <c r="F3222" s="3" t="b">
        <v>0</v>
      </c>
      <c r="G3222" s="3" t="s">
        <v>10003</v>
      </c>
      <c r="H3222" s="4" t="str">
        <f>_xlfn.IFNA(IF(((INDEX(RulebookFields!C2:C1898, MATCH(D3222,RulebookFields!A2:A1898, 0))="")=TRUE),  "",  INDEX(RulebookFields!C2:C1898, MATCH(D3222,RulebookFields!A2:A1898, 0))), "")</f>
        <v>StepExecutions</v>
      </c>
      <c r="I3222" s="4" t="str">
        <f>_xlfn.IFNA(IF(((INDEX(RulebookFields!D2:D1898, MATCH(D3222,RulebookFields!A2:A1898, 0))="")=TRUE),  "",  INDEX(RulebookFields!D2:D1898, MATCH(D3222,RulebookFields!A2:A1898, 0))), "")</f>
        <v>StepIsApproval</v>
      </c>
      <c r="J3222" s="4" t="b">
        <f>_xlfn.IFNA(IF(((INDEX(RulebookFields!I2:I1898, MATCH(D3222,RulebookFields!A2:A1898, 0))="")=TRUE),  "",  INDEX(RulebookFields!I2:I1898, MATCH(D3222,RulebookFields!A2:A1898, 0))), "")</f>
        <v>1</v>
      </c>
      <c r="K3222" s="4" t="b">
        <f>AND(((F3222)=TRUE), ((J3222)=TRUE))</f>
        <v>0</v>
      </c>
      <c r="L3222" s="4" t="b">
        <f>AND(((G3222 &lt;&gt; "plain")=TRUE), ((G3222 &lt;&gt; "")=TRUE))</f>
        <v>0</v>
      </c>
      <c r="M3222" s="4" t="str">
        <f>IF(((E3222)=TRUE),  C3222 &amp; "|" &amp; H3222,  "")</f>
        <v>principal-knowledge-authority|StepExecutions</v>
      </c>
      <c r="N3222" s="3" t="s">
        <v>10004</v>
      </c>
    </row>
    <row r="3223">
      <c r="A3223" s="3" t="s">
        <v>13225</v>
      </c>
      <c r="B3223" s="4" t="str">
        <f>C3223 &amp; " -&gt; " &amp; D3223</f>
        <v>principal-knowledge-authority -&gt; StepExecutions.PreparerAgentKey</v>
      </c>
      <c r="C3223" s="3" t="s">
        <v>9774</v>
      </c>
      <c r="D3223" s="3" t="s">
        <v>3630</v>
      </c>
      <c r="E3223" s="3" t="b">
        <v>1</v>
      </c>
      <c r="F3223" s="3" t="b">
        <v>0</v>
      </c>
      <c r="G3223" s="3" t="s">
        <v>10003</v>
      </c>
      <c r="H3223" s="4" t="str">
        <f>_xlfn.IFNA(IF(((INDEX(RulebookFields!C2:C1898, MATCH(D3223,RulebookFields!A2:A1898, 0))="")=TRUE),  "",  INDEX(RulebookFields!C2:C1898, MATCH(D3223,RulebookFields!A2:A1898, 0))), "")</f>
        <v>StepExecutions</v>
      </c>
      <c r="I3223" s="4" t="str">
        <f>_xlfn.IFNA(IF(((INDEX(RulebookFields!D2:D1898, MATCH(D3223,RulebookFields!A2:A1898, 0))="")=TRUE),  "",  INDEX(RulebookFields!D2:D1898, MATCH(D3223,RulebookFields!A2:A1898, 0))), "")</f>
        <v>PreparerAgentKey</v>
      </c>
      <c r="J3223" s="4" t="b">
        <f>_xlfn.IFNA(IF(((INDEX(RulebookFields!I2:I1898, MATCH(D3223,RulebookFields!A2:A1898, 0))="")=TRUE),  "",  INDEX(RulebookFields!I2:I1898, MATCH(D3223,RulebookFields!A2:A1898, 0))), "")</f>
        <v>1</v>
      </c>
      <c r="K3223" s="4" t="b">
        <f>AND(((F3223)=TRUE), ((J3223)=TRUE))</f>
        <v>0</v>
      </c>
      <c r="L3223" s="4" t="b">
        <f>AND(((G3223 &lt;&gt; "plain")=TRUE), ((G3223 &lt;&gt; "")=TRUE))</f>
        <v>0</v>
      </c>
      <c r="M3223" s="4" t="str">
        <f>IF(((E3223)=TRUE),  C3223 &amp; "|" &amp; H3223,  "")</f>
        <v>principal-knowledge-authority|StepExecutions</v>
      </c>
      <c r="N3223" s="3" t="s">
        <v>10004</v>
      </c>
    </row>
    <row r="3224">
      <c r="A3224" s="3" t="s">
        <v>13226</v>
      </c>
      <c r="B3224" s="4" t="str">
        <f>C3224 &amp; " -&gt; " &amp; D3224</f>
        <v>principal-knowledge-authority -&gt; StepExecutions.ApproverAgentKey</v>
      </c>
      <c r="C3224" s="3" t="s">
        <v>9774</v>
      </c>
      <c r="D3224" s="3" t="s">
        <v>3632</v>
      </c>
      <c r="E3224" s="3" t="b">
        <v>1</v>
      </c>
      <c r="F3224" s="3" t="b">
        <v>0</v>
      </c>
      <c r="G3224" s="3" t="s">
        <v>10003</v>
      </c>
      <c r="H3224" s="4" t="str">
        <f>_xlfn.IFNA(IF(((INDEX(RulebookFields!C2:C1898, MATCH(D3224,RulebookFields!A2:A1898, 0))="")=TRUE),  "",  INDEX(RulebookFields!C2:C1898, MATCH(D3224,RulebookFields!A2:A1898, 0))), "")</f>
        <v>StepExecutions</v>
      </c>
      <c r="I3224" s="4" t="str">
        <f>_xlfn.IFNA(IF(((INDEX(RulebookFields!D2:D1898, MATCH(D3224,RulebookFields!A2:A1898, 0))="")=TRUE),  "",  INDEX(RulebookFields!D2:D1898, MATCH(D3224,RulebookFields!A2:A1898, 0))), "")</f>
        <v>ApproverAgentKey</v>
      </c>
      <c r="J3224" s="4" t="b">
        <f>_xlfn.IFNA(IF(((INDEX(RulebookFields!I2:I1898, MATCH(D3224,RulebookFields!A2:A1898, 0))="")=TRUE),  "",  INDEX(RulebookFields!I2:I1898, MATCH(D3224,RulebookFields!A2:A1898, 0))), "")</f>
        <v>1</v>
      </c>
      <c r="K3224" s="4" t="b">
        <f>AND(((F3224)=TRUE), ((J3224)=TRUE))</f>
        <v>0</v>
      </c>
      <c r="L3224" s="4" t="b">
        <f>AND(((G3224 &lt;&gt; "plain")=TRUE), ((G3224 &lt;&gt; "")=TRUE))</f>
        <v>0</v>
      </c>
      <c r="M3224" s="4" t="str">
        <f>IF(((E3224)=TRUE),  C3224 &amp; "|" &amp; H3224,  "")</f>
        <v>principal-knowledge-authority|StepExecutions</v>
      </c>
      <c r="N3224" s="3" t="s">
        <v>10004</v>
      </c>
    </row>
    <row r="3225">
      <c r="A3225" s="3" t="s">
        <v>13227</v>
      </c>
      <c r="B3225" s="4" t="str">
        <f>C3225 &amp; " -&gt; " &amp; D3225</f>
        <v>principal-knowledge-authority -&gt; StepExecutions.PreparedByThisAgentCount</v>
      </c>
      <c r="C3225" s="3" t="s">
        <v>9774</v>
      </c>
      <c r="D3225" s="3" t="s">
        <v>3634</v>
      </c>
      <c r="E3225" s="3" t="b">
        <v>1</v>
      </c>
      <c r="F3225" s="3" t="b">
        <v>0</v>
      </c>
      <c r="G3225" s="3" t="s">
        <v>10003</v>
      </c>
      <c r="H3225" s="4" t="str">
        <f>_xlfn.IFNA(IF(((INDEX(RulebookFields!C2:C1898, MATCH(D3225,RulebookFields!A2:A1898, 0))="")=TRUE),  "",  INDEX(RulebookFields!C2:C1898, MATCH(D3225,RulebookFields!A2:A1898, 0))), "")</f>
        <v>StepExecutions</v>
      </c>
      <c r="I3225" s="4" t="str">
        <f>_xlfn.IFNA(IF(((INDEX(RulebookFields!D2:D1898, MATCH(D3225,RulebookFields!A2:A1898, 0))="")=TRUE),  "",  INDEX(RulebookFields!D2:D1898, MATCH(D3225,RulebookFields!A2:A1898, 0))), "")</f>
        <v>PreparedByThisAgentCount</v>
      </c>
      <c r="J3225" s="4" t="b">
        <f>_xlfn.IFNA(IF(((INDEX(RulebookFields!I2:I1898, MATCH(D3225,RulebookFields!A2:A1898, 0))="")=TRUE),  "",  INDEX(RulebookFields!I2:I1898, MATCH(D3225,RulebookFields!A2:A1898, 0))), "")</f>
        <v>1</v>
      </c>
      <c r="K3225" s="4" t="b">
        <f>AND(((F3225)=TRUE), ((J3225)=TRUE))</f>
        <v>0</v>
      </c>
      <c r="L3225" s="4" t="b">
        <f>AND(((G3225 &lt;&gt; "plain")=TRUE), ((G3225 &lt;&gt; "")=TRUE))</f>
        <v>0</v>
      </c>
      <c r="M3225" s="4" t="str">
        <f>IF(((E3225)=TRUE),  C3225 &amp; "|" &amp; H3225,  "")</f>
        <v>principal-knowledge-authority|StepExecutions</v>
      </c>
      <c r="N3225" s="3" t="s">
        <v>10004</v>
      </c>
    </row>
    <row r="3226">
      <c r="A3226" s="3" t="s">
        <v>13228</v>
      </c>
      <c r="B3226" s="4" t="str">
        <f>C3226 &amp; " -&gt; " &amp; D3226</f>
        <v>principal-knowledge-authority -&gt; StepExecutions.ViolatesSeparationOfDuties</v>
      </c>
      <c r="C3226" s="3" t="s">
        <v>9774</v>
      </c>
      <c r="D3226" s="3" t="s">
        <v>858</v>
      </c>
      <c r="E3226" s="3" t="b">
        <v>1</v>
      </c>
      <c r="F3226" s="3" t="b">
        <v>0</v>
      </c>
      <c r="G3226" s="3" t="s">
        <v>10003</v>
      </c>
      <c r="H3226" s="4" t="str">
        <f>_xlfn.IFNA(IF(((INDEX(RulebookFields!C2:C1898, MATCH(D3226,RulebookFields!A2:A1898, 0))="")=TRUE),  "",  INDEX(RulebookFields!C2:C1898, MATCH(D3226,RulebookFields!A2:A1898, 0))), "")</f>
        <v>StepExecutions</v>
      </c>
      <c r="I3226" s="4" t="str">
        <f>_xlfn.IFNA(IF(((INDEX(RulebookFields!D2:D1898, MATCH(D3226,RulebookFields!A2:A1898, 0))="")=TRUE),  "",  INDEX(RulebookFields!D2:D1898, MATCH(D3226,RulebookFields!A2:A1898, 0))), "")</f>
        <v>ViolatesSeparationOfDuties</v>
      </c>
      <c r="J3226" s="4" t="b">
        <f>_xlfn.IFNA(IF(((INDEX(RulebookFields!I2:I1898, MATCH(D3226,RulebookFields!A2:A1898, 0))="")=TRUE),  "",  INDEX(RulebookFields!I2:I1898, MATCH(D3226,RulebookFields!A2:A1898, 0))), "")</f>
        <v>1</v>
      </c>
      <c r="K3226" s="4" t="b">
        <f>AND(((F3226)=TRUE), ((J3226)=TRUE))</f>
        <v>0</v>
      </c>
      <c r="L3226" s="4" t="b">
        <f>AND(((G3226 &lt;&gt; "plain")=TRUE), ((G3226 &lt;&gt; "")=TRUE))</f>
        <v>0</v>
      </c>
      <c r="M3226" s="4" t="str">
        <f>IF(((E3226)=TRUE),  C3226 &amp; "|" &amp; H3226,  "")</f>
        <v>principal-knowledge-authority|StepExecutions</v>
      </c>
      <c r="N3226" s="3" t="s">
        <v>10004</v>
      </c>
    </row>
    <row r="3227">
      <c r="A3227" s="3" t="s">
        <v>13229</v>
      </c>
      <c r="B3227" s="4" t="str">
        <f>C3227 &amp; " -&gt; " &amp; D3227</f>
        <v>principal-knowledge-authority -&gt; StepExecutions.RequiredRoleForStep</v>
      </c>
      <c r="C3227" s="3" t="s">
        <v>9774</v>
      </c>
      <c r="D3227" s="3" t="s">
        <v>3637</v>
      </c>
      <c r="E3227" s="3" t="b">
        <v>1</v>
      </c>
      <c r="F3227" s="3" t="b">
        <v>0</v>
      </c>
      <c r="G3227" s="3" t="s">
        <v>10003</v>
      </c>
      <c r="H3227" s="4" t="str">
        <f>_xlfn.IFNA(IF(((INDEX(RulebookFields!C2:C1898, MATCH(D3227,RulebookFields!A2:A1898, 0))="")=TRUE),  "",  INDEX(RulebookFields!C2:C1898, MATCH(D3227,RulebookFields!A2:A1898, 0))), "")</f>
        <v>StepExecutions</v>
      </c>
      <c r="I3227" s="4" t="str">
        <f>_xlfn.IFNA(IF(((INDEX(RulebookFields!D2:D1898, MATCH(D3227,RulebookFields!A2:A1898, 0))="")=TRUE),  "",  INDEX(RulebookFields!D2:D1898, MATCH(D3227,RulebookFields!A2:A1898, 0))), "")</f>
        <v>RequiredRoleForStep</v>
      </c>
      <c r="J3227" s="4" t="b">
        <f>_xlfn.IFNA(IF(((INDEX(RulebookFields!I2:I1898, MATCH(D3227,RulebookFields!A2:A1898, 0))="")=TRUE),  "",  INDEX(RulebookFields!I2:I1898, MATCH(D3227,RulebookFields!A2:A1898, 0))), "")</f>
        <v>1</v>
      </c>
      <c r="K3227" s="4" t="b">
        <f>AND(((F3227)=TRUE), ((J3227)=TRUE))</f>
        <v>0</v>
      </c>
      <c r="L3227" s="4" t="b">
        <f>AND(((G3227 &lt;&gt; "plain")=TRUE), ((G3227 &lt;&gt; "")=TRUE))</f>
        <v>0</v>
      </c>
      <c r="M3227" s="4" t="str">
        <f>IF(((E3227)=TRUE),  C3227 &amp; "|" &amp; H3227,  "")</f>
        <v>principal-knowledge-authority|StepExecutions</v>
      </c>
      <c r="N3227" s="3" t="s">
        <v>10004</v>
      </c>
    </row>
    <row r="3228">
      <c r="A3228" s="3" t="s">
        <v>13230</v>
      </c>
      <c r="B3228" s="4" t="str">
        <f>C3228 &amp; " -&gt; " &amp; D3228</f>
        <v>principal-knowledge-authority -&gt; StepExecutions.ExecutorRoleKey</v>
      </c>
      <c r="C3228" s="3" t="s">
        <v>9774</v>
      </c>
      <c r="D3228" s="3" t="s">
        <v>3639</v>
      </c>
      <c r="E3228" s="3" t="b">
        <v>1</v>
      </c>
      <c r="F3228" s="3" t="b">
        <v>0</v>
      </c>
      <c r="G3228" s="3" t="s">
        <v>10003</v>
      </c>
      <c r="H3228" s="4" t="str">
        <f>_xlfn.IFNA(IF(((INDEX(RulebookFields!C2:C1898, MATCH(D3228,RulebookFields!A2:A1898, 0))="")=TRUE),  "",  INDEX(RulebookFields!C2:C1898, MATCH(D3228,RulebookFields!A2:A1898, 0))), "")</f>
        <v>StepExecutions</v>
      </c>
      <c r="I3228" s="4" t="str">
        <f>_xlfn.IFNA(IF(((INDEX(RulebookFields!D2:D1898, MATCH(D3228,RulebookFields!A2:A1898, 0))="")=TRUE),  "",  INDEX(RulebookFields!D2:D1898, MATCH(D3228,RulebookFields!A2:A1898, 0))), "")</f>
        <v>ExecutorRoleKey</v>
      </c>
      <c r="J3228" s="4" t="b">
        <f>_xlfn.IFNA(IF(((INDEX(RulebookFields!I2:I1898, MATCH(D3228,RulebookFields!A2:A1898, 0))="")=TRUE),  "",  INDEX(RulebookFields!I2:I1898, MATCH(D3228,RulebookFields!A2:A1898, 0))), "")</f>
        <v>1</v>
      </c>
      <c r="K3228" s="4" t="b">
        <f>AND(((F3228)=TRUE), ((J3228)=TRUE))</f>
        <v>0</v>
      </c>
      <c r="L3228" s="4" t="b">
        <f>AND(((G3228 &lt;&gt; "plain")=TRUE), ((G3228 &lt;&gt; "")=TRUE))</f>
        <v>0</v>
      </c>
      <c r="M3228" s="4" t="str">
        <f>IF(((E3228)=TRUE),  C3228 &amp; "|" &amp; H3228,  "")</f>
        <v>principal-knowledge-authority|StepExecutions</v>
      </c>
      <c r="N3228" s="3" t="s">
        <v>10004</v>
      </c>
    </row>
    <row r="3229">
      <c r="A3229" s="3" t="s">
        <v>13231</v>
      </c>
      <c r="B3229" s="4" t="str">
        <f>C3229 &amp; " -&gt; " &amp; D3229</f>
        <v>principal-knowledge-authority -&gt; StepExecutions.ExecutorAuthorityCount</v>
      </c>
      <c r="C3229" s="3" t="s">
        <v>9774</v>
      </c>
      <c r="D3229" s="3" t="s">
        <v>3641</v>
      </c>
      <c r="E3229" s="3" t="b">
        <v>1</v>
      </c>
      <c r="F3229" s="3" t="b">
        <v>0</v>
      </c>
      <c r="G3229" s="3" t="s">
        <v>10003</v>
      </c>
      <c r="H3229" s="4" t="str">
        <f>_xlfn.IFNA(IF(((INDEX(RulebookFields!C2:C1898, MATCH(D3229,RulebookFields!A2:A1898, 0))="")=TRUE),  "",  INDEX(RulebookFields!C2:C1898, MATCH(D3229,RulebookFields!A2:A1898, 0))), "")</f>
        <v>StepExecutions</v>
      </c>
      <c r="I3229" s="4" t="str">
        <f>_xlfn.IFNA(IF(((INDEX(RulebookFields!D2:D1898, MATCH(D3229,RulebookFields!A2:A1898, 0))="")=TRUE),  "",  INDEX(RulebookFields!D2:D1898, MATCH(D3229,RulebookFields!A2:A1898, 0))), "")</f>
        <v>ExecutorAuthorityCount</v>
      </c>
      <c r="J3229" s="4" t="b">
        <f>_xlfn.IFNA(IF(((INDEX(RulebookFields!I2:I1898, MATCH(D3229,RulebookFields!A2:A1898, 0))="")=TRUE),  "",  INDEX(RulebookFields!I2:I1898, MATCH(D3229,RulebookFields!A2:A1898, 0))), "")</f>
        <v>1</v>
      </c>
      <c r="K3229" s="4" t="b">
        <f>AND(((F3229)=TRUE), ((J3229)=TRUE))</f>
        <v>0</v>
      </c>
      <c r="L3229" s="4" t="b">
        <f>AND(((G3229 &lt;&gt; "plain")=TRUE), ((G3229 &lt;&gt; "")=TRUE))</f>
        <v>0</v>
      </c>
      <c r="M3229" s="4" t="str">
        <f>IF(((E3229)=TRUE),  C3229 &amp; "|" &amp; H3229,  "")</f>
        <v>principal-knowledge-authority|StepExecutions</v>
      </c>
      <c r="N3229" s="3" t="s">
        <v>10004</v>
      </c>
    </row>
    <row r="3230">
      <c r="A3230" s="3" t="s">
        <v>13232</v>
      </c>
      <c r="B3230" s="4" t="str">
        <f>C3230 &amp; " -&gt; " &amp; D3230</f>
        <v>principal-knowledge-authority -&gt; StepExecutions.ExecutorHeldRequiredRole</v>
      </c>
      <c r="C3230" s="3" t="s">
        <v>9774</v>
      </c>
      <c r="D3230" s="3" t="s">
        <v>3643</v>
      </c>
      <c r="E3230" s="3" t="b">
        <v>1</v>
      </c>
      <c r="F3230" s="3" t="b">
        <v>0</v>
      </c>
      <c r="G3230" s="3" t="s">
        <v>10003</v>
      </c>
      <c r="H3230" s="4" t="str">
        <f>_xlfn.IFNA(IF(((INDEX(RulebookFields!C2:C1898, MATCH(D3230,RulebookFields!A2:A1898, 0))="")=TRUE),  "",  INDEX(RulebookFields!C2:C1898, MATCH(D3230,RulebookFields!A2:A1898, 0))), "")</f>
        <v>StepExecutions</v>
      </c>
      <c r="I3230" s="4" t="str">
        <f>_xlfn.IFNA(IF(((INDEX(RulebookFields!D2:D1898, MATCH(D3230,RulebookFields!A2:A1898, 0))="")=TRUE),  "",  INDEX(RulebookFields!D2:D1898, MATCH(D3230,RulebookFields!A2:A1898, 0))), "")</f>
        <v>ExecutorHeldRequiredRole</v>
      </c>
      <c r="J3230" s="4" t="b">
        <f>_xlfn.IFNA(IF(((INDEX(RulebookFields!I2:I1898, MATCH(D3230,RulebookFields!A2:A1898, 0))="")=TRUE),  "",  INDEX(RulebookFields!I2:I1898, MATCH(D3230,RulebookFields!A2:A1898, 0))), "")</f>
        <v>1</v>
      </c>
      <c r="K3230" s="4" t="b">
        <f>AND(((F3230)=TRUE), ((J3230)=TRUE))</f>
        <v>0</v>
      </c>
      <c r="L3230" s="4" t="b">
        <f>AND(((G3230 &lt;&gt; "plain")=TRUE), ((G3230 &lt;&gt; "")=TRUE))</f>
        <v>0</v>
      </c>
      <c r="M3230" s="4" t="str">
        <f>IF(((E3230)=TRUE),  C3230 &amp; "|" &amp; H3230,  "")</f>
        <v>principal-knowledge-authority|StepExecutions</v>
      </c>
      <c r="N3230" s="3" t="s">
        <v>10004</v>
      </c>
    </row>
    <row r="3231">
      <c r="A3231" s="3" t="s">
        <v>13233</v>
      </c>
      <c r="B3231" s="4" t="str">
        <f>C3231 &amp; " -&gt; " &amp; D3231</f>
        <v>principal-knowledge-authority -&gt; StepExecutions.IsUnauthorizedApproval</v>
      </c>
      <c r="C3231" s="3" t="s">
        <v>9774</v>
      </c>
      <c r="D3231" s="3" t="s">
        <v>3645</v>
      </c>
      <c r="E3231" s="3" t="b">
        <v>1</v>
      </c>
      <c r="F3231" s="3" t="b">
        <v>0</v>
      </c>
      <c r="G3231" s="3" t="s">
        <v>10003</v>
      </c>
      <c r="H3231" s="4" t="str">
        <f>_xlfn.IFNA(IF(((INDEX(RulebookFields!C2:C1898, MATCH(D3231,RulebookFields!A2:A1898, 0))="")=TRUE),  "",  INDEX(RulebookFields!C2:C1898, MATCH(D3231,RulebookFields!A2:A1898, 0))), "")</f>
        <v>StepExecutions</v>
      </c>
      <c r="I3231" s="4" t="str">
        <f>_xlfn.IFNA(IF(((INDEX(RulebookFields!D2:D1898, MATCH(D3231,RulebookFields!A2:A1898, 0))="")=TRUE),  "",  INDEX(RulebookFields!D2:D1898, MATCH(D3231,RulebookFields!A2:A1898, 0))), "")</f>
        <v>IsUnauthorizedApproval</v>
      </c>
      <c r="J3231" s="4" t="b">
        <f>_xlfn.IFNA(IF(((INDEX(RulebookFields!I2:I1898, MATCH(D3231,RulebookFields!A2:A1898, 0))="")=TRUE),  "",  INDEX(RulebookFields!I2:I1898, MATCH(D3231,RulebookFields!A2:A1898, 0))), "")</f>
        <v>1</v>
      </c>
      <c r="K3231" s="4" t="b">
        <f>AND(((F3231)=TRUE), ((J3231)=TRUE))</f>
        <v>0</v>
      </c>
      <c r="L3231" s="4" t="b">
        <f>AND(((G3231 &lt;&gt; "plain")=TRUE), ((G3231 &lt;&gt; "")=TRUE))</f>
        <v>0</v>
      </c>
      <c r="M3231" s="4" t="str">
        <f>IF(((E3231)=TRUE),  C3231 &amp; "|" &amp; H3231,  "")</f>
        <v>principal-knowledge-authority|StepExecutions</v>
      </c>
      <c r="N3231" s="3" t="s">
        <v>10004</v>
      </c>
    </row>
    <row r="3232">
      <c r="A3232" s="3" t="s">
        <v>13234</v>
      </c>
      <c r="B3232" s="4" t="str">
        <f>C3232 &amp; " -&gt; " &amp; D3232</f>
        <v>principal-knowledge-authority -&gt; StepExecutions.CompletedExecutionKey</v>
      </c>
      <c r="C3232" s="3" t="s">
        <v>9774</v>
      </c>
      <c r="D3232" s="3" t="s">
        <v>3647</v>
      </c>
      <c r="E3232" s="3" t="b">
        <v>1</v>
      </c>
      <c r="F3232" s="3" t="b">
        <v>0</v>
      </c>
      <c r="G3232" s="3" t="s">
        <v>10003</v>
      </c>
      <c r="H3232" s="4" t="str">
        <f>_xlfn.IFNA(IF(((INDEX(RulebookFields!C2:C1898, MATCH(D3232,RulebookFields!A2:A1898, 0))="")=TRUE),  "",  INDEX(RulebookFields!C2:C1898, MATCH(D3232,RulebookFields!A2:A1898, 0))), "")</f>
        <v>StepExecutions</v>
      </c>
      <c r="I3232" s="4" t="str">
        <f>_xlfn.IFNA(IF(((INDEX(RulebookFields!D2:D1898, MATCH(D3232,RulebookFields!A2:A1898, 0))="")=TRUE),  "",  INDEX(RulebookFields!D2:D1898, MATCH(D3232,RulebookFields!A2:A1898, 0))), "")</f>
        <v>CompletedExecutionKey</v>
      </c>
      <c r="J3232" s="4" t="b">
        <f>_xlfn.IFNA(IF(((INDEX(RulebookFields!I2:I1898, MATCH(D3232,RulebookFields!A2:A1898, 0))="")=TRUE),  "",  INDEX(RulebookFields!I2:I1898, MATCH(D3232,RulebookFields!A2:A1898, 0))), "")</f>
        <v>1</v>
      </c>
      <c r="K3232" s="4" t="b">
        <f>AND(((F3232)=TRUE), ((J3232)=TRUE))</f>
        <v>0</v>
      </c>
      <c r="L3232" s="4" t="b">
        <f>AND(((G3232 &lt;&gt; "plain")=TRUE), ((G3232 &lt;&gt; "")=TRUE))</f>
        <v>0</v>
      </c>
      <c r="M3232" s="4" t="str">
        <f>IF(((E3232)=TRUE),  C3232 &amp; "|" &amp; H3232,  "")</f>
        <v>principal-knowledge-authority|StepExecutions</v>
      </c>
      <c r="N3232" s="3" t="s">
        <v>10004</v>
      </c>
    </row>
    <row r="3233">
      <c r="A3233" s="3" t="s">
        <v>13235</v>
      </c>
      <c r="B3233" s="4" t="str">
        <f>C3233 &amp; " -&gt; " &amp; D3233</f>
        <v>principal-knowledge-authority -&gt; StepExecutions.ControlBreachExecutionKey</v>
      </c>
      <c r="C3233" s="3" t="s">
        <v>9774</v>
      </c>
      <c r="D3233" s="3" t="s">
        <v>3649</v>
      </c>
      <c r="E3233" s="3" t="b">
        <v>1</v>
      </c>
      <c r="F3233" s="3" t="b">
        <v>0</v>
      </c>
      <c r="G3233" s="3" t="s">
        <v>10003</v>
      </c>
      <c r="H3233" s="4" t="str">
        <f>_xlfn.IFNA(IF(((INDEX(RulebookFields!C2:C1898, MATCH(D3233,RulebookFields!A2:A1898, 0))="")=TRUE),  "",  INDEX(RulebookFields!C2:C1898, MATCH(D3233,RulebookFields!A2:A1898, 0))), "")</f>
        <v>StepExecutions</v>
      </c>
      <c r="I3233" s="4" t="str">
        <f>_xlfn.IFNA(IF(((INDEX(RulebookFields!D2:D1898, MATCH(D3233,RulebookFields!A2:A1898, 0))="")=TRUE),  "",  INDEX(RulebookFields!D2:D1898, MATCH(D3233,RulebookFields!A2:A1898, 0))), "")</f>
        <v>ControlBreachExecutionKey</v>
      </c>
      <c r="J3233" s="4" t="b">
        <f>_xlfn.IFNA(IF(((INDEX(RulebookFields!I2:I1898, MATCH(D3233,RulebookFields!A2:A1898, 0))="")=TRUE),  "",  INDEX(RulebookFields!I2:I1898, MATCH(D3233,RulebookFields!A2:A1898, 0))), "")</f>
        <v>1</v>
      </c>
      <c r="K3233" s="4" t="b">
        <f>AND(((F3233)=TRUE), ((J3233)=TRUE))</f>
        <v>0</v>
      </c>
      <c r="L3233" s="4" t="b">
        <f>AND(((G3233 &lt;&gt; "plain")=TRUE), ((G3233 &lt;&gt; "")=TRUE))</f>
        <v>0</v>
      </c>
      <c r="M3233" s="4" t="str">
        <f>IF(((E3233)=TRUE),  C3233 &amp; "|" &amp; H3233,  "")</f>
        <v>principal-knowledge-authority|StepExecutions</v>
      </c>
      <c r="N3233" s="3" t="s">
        <v>10004</v>
      </c>
    </row>
    <row r="3234">
      <c r="A3234" s="3" t="s">
        <v>13236</v>
      </c>
      <c r="B3234" s="4" t="str">
        <f>C3234 &amp; " -&gt; " &amp; D3234</f>
        <v>principal-knowledge-authority -&gt; StepExecutions.LateExecutionKey</v>
      </c>
      <c r="C3234" s="3" t="s">
        <v>9774</v>
      </c>
      <c r="D3234" s="3" t="s">
        <v>3651</v>
      </c>
      <c r="E3234" s="3" t="b">
        <v>1</v>
      </c>
      <c r="F3234" s="3" t="b">
        <v>0</v>
      </c>
      <c r="G3234" s="3" t="s">
        <v>10003</v>
      </c>
      <c r="H3234" s="4" t="str">
        <f>_xlfn.IFNA(IF(((INDEX(RulebookFields!C2:C1898, MATCH(D3234,RulebookFields!A2:A1898, 0))="")=TRUE),  "",  INDEX(RulebookFields!C2:C1898, MATCH(D3234,RulebookFields!A2:A1898, 0))), "")</f>
        <v>StepExecutions</v>
      </c>
      <c r="I3234" s="4" t="str">
        <f>_xlfn.IFNA(IF(((INDEX(RulebookFields!D2:D1898, MATCH(D3234,RulebookFields!A2:A1898, 0))="")=TRUE),  "",  INDEX(RulebookFields!D2:D1898, MATCH(D3234,RulebookFields!A2:A1898, 0))), "")</f>
        <v>LateExecutionKey</v>
      </c>
      <c r="J3234" s="4" t="b">
        <f>_xlfn.IFNA(IF(((INDEX(RulebookFields!I2:I1898, MATCH(D3234,RulebookFields!A2:A1898, 0))="")=TRUE),  "",  INDEX(RulebookFields!I2:I1898, MATCH(D3234,RulebookFields!A2:A1898, 0))), "")</f>
        <v>1</v>
      </c>
      <c r="K3234" s="4" t="b">
        <f>AND(((F3234)=TRUE), ((J3234)=TRUE))</f>
        <v>0</v>
      </c>
      <c r="L3234" s="4" t="b">
        <f>AND(((G3234 &lt;&gt; "plain")=TRUE), ((G3234 &lt;&gt; "")=TRUE))</f>
        <v>0</v>
      </c>
      <c r="M3234" s="4" t="str">
        <f>IF(((E3234)=TRUE),  C3234 &amp; "|" &amp; H3234,  "")</f>
        <v>principal-knowledge-authority|StepExecutions</v>
      </c>
      <c r="N3234" s="3" t="s">
        <v>10004</v>
      </c>
    </row>
    <row r="3235">
      <c r="A3235" s="3" t="s">
        <v>13237</v>
      </c>
      <c r="B3235" s="4" t="str">
        <f>C3235 &amp; " -&gt; " &amp; D3235</f>
        <v>principal-knowledge-authority -&gt; StepExecutions.ExecutorAgentKind</v>
      </c>
      <c r="C3235" s="3" t="s">
        <v>9774</v>
      </c>
      <c r="D3235" s="3" t="s">
        <v>3653</v>
      </c>
      <c r="E3235" s="3" t="b">
        <v>1</v>
      </c>
      <c r="F3235" s="3" t="b">
        <v>0</v>
      </c>
      <c r="G3235" s="3" t="s">
        <v>10003</v>
      </c>
      <c r="H3235" s="4" t="str">
        <f>_xlfn.IFNA(IF(((INDEX(RulebookFields!C2:C1898, MATCH(D3235,RulebookFields!A2:A1898, 0))="")=TRUE),  "",  INDEX(RulebookFields!C2:C1898, MATCH(D3235,RulebookFields!A2:A1898, 0))), "")</f>
        <v>StepExecutions</v>
      </c>
      <c r="I3235" s="4" t="str">
        <f>_xlfn.IFNA(IF(((INDEX(RulebookFields!D2:D1898, MATCH(D3235,RulebookFields!A2:A1898, 0))="")=TRUE),  "",  INDEX(RulebookFields!D2:D1898, MATCH(D3235,RulebookFields!A2:A1898, 0))), "")</f>
        <v>ExecutorAgentKind</v>
      </c>
      <c r="J3235" s="4" t="b">
        <f>_xlfn.IFNA(IF(((INDEX(RulebookFields!I2:I1898, MATCH(D3235,RulebookFields!A2:A1898, 0))="")=TRUE),  "",  INDEX(RulebookFields!I2:I1898, MATCH(D3235,RulebookFields!A2:A1898, 0))), "")</f>
        <v>1</v>
      </c>
      <c r="K3235" s="4" t="b">
        <f>AND(((F3235)=TRUE), ((J3235)=TRUE))</f>
        <v>0</v>
      </c>
      <c r="L3235" s="4" t="b">
        <f>AND(((G3235 &lt;&gt; "plain")=TRUE), ((G3235 &lt;&gt; "")=TRUE))</f>
        <v>0</v>
      </c>
      <c r="M3235" s="4" t="str">
        <f>IF(((E3235)=TRUE),  C3235 &amp; "|" &amp; H3235,  "")</f>
        <v>principal-knowledge-authority|StepExecutions</v>
      </c>
      <c r="N3235" s="3" t="s">
        <v>10004</v>
      </c>
    </row>
    <row r="3236">
      <c r="A3236" s="3" t="s">
        <v>13238</v>
      </c>
      <c r="B3236" s="4" t="str">
        <f>C3236 &amp; " -&gt; " &amp; D3236</f>
        <v>principal-knowledge-authority -&gt; StepExecutions.ExecutorIsHuman</v>
      </c>
      <c r="C3236" s="3" t="s">
        <v>9774</v>
      </c>
      <c r="D3236" s="3" t="s">
        <v>3655</v>
      </c>
      <c r="E3236" s="3" t="b">
        <v>1</v>
      </c>
      <c r="F3236" s="3" t="b">
        <v>0</v>
      </c>
      <c r="G3236" s="3" t="s">
        <v>10003</v>
      </c>
      <c r="H3236" s="4" t="str">
        <f>_xlfn.IFNA(IF(((INDEX(RulebookFields!C2:C1898, MATCH(D3236,RulebookFields!A2:A1898, 0))="")=TRUE),  "",  INDEX(RulebookFields!C2:C1898, MATCH(D3236,RulebookFields!A2:A1898, 0))), "")</f>
        <v>StepExecutions</v>
      </c>
      <c r="I3236" s="4" t="str">
        <f>_xlfn.IFNA(IF(((INDEX(RulebookFields!D2:D1898, MATCH(D3236,RulebookFields!A2:A1898, 0))="")=TRUE),  "",  INDEX(RulebookFields!D2:D1898, MATCH(D3236,RulebookFields!A2:A1898, 0))), "")</f>
        <v>ExecutorIsHuman</v>
      </c>
      <c r="J3236" s="4" t="b">
        <f>_xlfn.IFNA(IF(((INDEX(RulebookFields!I2:I1898, MATCH(D3236,RulebookFields!A2:A1898, 0))="")=TRUE),  "",  INDEX(RulebookFields!I2:I1898, MATCH(D3236,RulebookFields!A2:A1898, 0))), "")</f>
        <v>1</v>
      </c>
      <c r="K3236" s="4" t="b">
        <f>AND(((F3236)=TRUE), ((J3236)=TRUE))</f>
        <v>0</v>
      </c>
      <c r="L3236" s="4" t="b">
        <f>AND(((G3236 &lt;&gt; "plain")=TRUE), ((G3236 &lt;&gt; "")=TRUE))</f>
        <v>0</v>
      </c>
      <c r="M3236" s="4" t="str">
        <f>IF(((E3236)=TRUE),  C3236 &amp; "|" &amp; H3236,  "")</f>
        <v>principal-knowledge-authority|StepExecutions</v>
      </c>
      <c r="N3236" s="3" t="s">
        <v>10004</v>
      </c>
    </row>
    <row r="3237">
      <c r="A3237" s="3" t="s">
        <v>13239</v>
      </c>
      <c r="B3237" s="4" t="str">
        <f>C3237 &amp; " -&gt; " &amp; D3237</f>
        <v>principal-knowledge-authority -&gt; StepExecutions.StepRequiresHumanConfirmation</v>
      </c>
      <c r="C3237" s="3" t="s">
        <v>9774</v>
      </c>
      <c r="D3237" s="3" t="s">
        <v>3657</v>
      </c>
      <c r="E3237" s="3" t="b">
        <v>1</v>
      </c>
      <c r="F3237" s="3" t="b">
        <v>0</v>
      </c>
      <c r="G3237" s="3" t="s">
        <v>10003</v>
      </c>
      <c r="H3237" s="4" t="str">
        <f>_xlfn.IFNA(IF(((INDEX(RulebookFields!C2:C1898, MATCH(D3237,RulebookFields!A2:A1898, 0))="")=TRUE),  "",  INDEX(RulebookFields!C2:C1898, MATCH(D3237,RulebookFields!A2:A1898, 0))), "")</f>
        <v>StepExecutions</v>
      </c>
      <c r="I3237" s="4" t="str">
        <f>_xlfn.IFNA(IF(((INDEX(RulebookFields!D2:D1898, MATCH(D3237,RulebookFields!A2:A1898, 0))="")=TRUE),  "",  INDEX(RulebookFields!D2:D1898, MATCH(D3237,RulebookFields!A2:A1898, 0))), "")</f>
        <v>StepRequiresHumanConfirmation</v>
      </c>
      <c r="J3237" s="4" t="b">
        <f>_xlfn.IFNA(IF(((INDEX(RulebookFields!I2:I1898, MATCH(D3237,RulebookFields!A2:A1898, 0))="")=TRUE),  "",  INDEX(RulebookFields!I2:I1898, MATCH(D3237,RulebookFields!A2:A1898, 0))), "")</f>
        <v>1</v>
      </c>
      <c r="K3237" s="4" t="b">
        <f>AND(((F3237)=TRUE), ((J3237)=TRUE))</f>
        <v>0</v>
      </c>
      <c r="L3237" s="4" t="b">
        <f>AND(((G3237 &lt;&gt; "plain")=TRUE), ((G3237 &lt;&gt; "")=TRUE))</f>
        <v>0</v>
      </c>
      <c r="M3237" s="4" t="str">
        <f>IF(((E3237)=TRUE),  C3237 &amp; "|" &amp; H3237,  "")</f>
        <v>principal-knowledge-authority|StepExecutions</v>
      </c>
      <c r="N3237" s="3" t="s">
        <v>10004</v>
      </c>
    </row>
    <row r="3238">
      <c r="A3238" s="3" t="s">
        <v>13240</v>
      </c>
      <c r="B3238" s="4" t="str">
        <f>C3238 &amp; " -&gt; " &amp; D3238</f>
        <v>principal-knowledge-authority -&gt; StepExecutions.NonHumanRanHumanStep</v>
      </c>
      <c r="C3238" s="3" t="s">
        <v>9774</v>
      </c>
      <c r="D3238" s="3" t="s">
        <v>3659</v>
      </c>
      <c r="E3238" s="3" t="b">
        <v>1</v>
      </c>
      <c r="F3238" s="3" t="b">
        <v>0</v>
      </c>
      <c r="G3238" s="3" t="s">
        <v>10003</v>
      </c>
      <c r="H3238" s="4" t="str">
        <f>_xlfn.IFNA(IF(((INDEX(RulebookFields!C2:C1898, MATCH(D3238,RulebookFields!A2:A1898, 0))="")=TRUE),  "",  INDEX(RulebookFields!C2:C1898, MATCH(D3238,RulebookFields!A2:A1898, 0))), "")</f>
        <v>StepExecutions</v>
      </c>
      <c r="I3238" s="4" t="str">
        <f>_xlfn.IFNA(IF(((INDEX(RulebookFields!D2:D1898, MATCH(D3238,RulebookFields!A2:A1898, 0))="")=TRUE),  "",  INDEX(RulebookFields!D2:D1898, MATCH(D3238,RulebookFields!A2:A1898, 0))), "")</f>
        <v>NonHumanRanHumanStep</v>
      </c>
      <c r="J3238" s="4" t="b">
        <f>_xlfn.IFNA(IF(((INDEX(RulebookFields!I2:I1898, MATCH(D3238,RulebookFields!A2:A1898, 0))="")=TRUE),  "",  INDEX(RulebookFields!I2:I1898, MATCH(D3238,RulebookFields!A2:A1898, 0))), "")</f>
        <v>1</v>
      </c>
      <c r="K3238" s="4" t="b">
        <f>AND(((F3238)=TRUE), ((J3238)=TRUE))</f>
        <v>0</v>
      </c>
      <c r="L3238" s="4" t="b">
        <f>AND(((G3238 &lt;&gt; "plain")=TRUE), ((G3238 &lt;&gt; "")=TRUE))</f>
        <v>0</v>
      </c>
      <c r="M3238" s="4" t="str">
        <f>IF(((E3238)=TRUE),  C3238 &amp; "|" &amp; H3238,  "")</f>
        <v>principal-knowledge-authority|StepExecutions</v>
      </c>
      <c r="N3238" s="3" t="s">
        <v>10004</v>
      </c>
    </row>
    <row r="3239">
      <c r="A3239" s="3" t="s">
        <v>13241</v>
      </c>
      <c r="B3239" s="4" t="str">
        <f>C3239 &amp; " -&gt; " &amp; D3239</f>
        <v>principal-knowledge-authority -&gt; StepExecutions.NonHumanApproval</v>
      </c>
      <c r="C3239" s="3" t="s">
        <v>9774</v>
      </c>
      <c r="D3239" s="3" t="s">
        <v>3661</v>
      </c>
      <c r="E3239" s="3" t="b">
        <v>1</v>
      </c>
      <c r="F3239" s="3" t="b">
        <v>0</v>
      </c>
      <c r="G3239" s="3" t="s">
        <v>10003</v>
      </c>
      <c r="H3239" s="4" t="str">
        <f>_xlfn.IFNA(IF(((INDEX(RulebookFields!C2:C1898, MATCH(D3239,RulebookFields!A2:A1898, 0))="")=TRUE),  "",  INDEX(RulebookFields!C2:C1898, MATCH(D3239,RulebookFields!A2:A1898, 0))), "")</f>
        <v>StepExecutions</v>
      </c>
      <c r="I3239" s="4" t="str">
        <f>_xlfn.IFNA(IF(((INDEX(RulebookFields!D2:D1898, MATCH(D3239,RulebookFields!A2:A1898, 0))="")=TRUE),  "",  INDEX(RulebookFields!D2:D1898, MATCH(D3239,RulebookFields!A2:A1898, 0))), "")</f>
        <v>NonHumanApproval</v>
      </c>
      <c r="J3239" s="4" t="b">
        <f>_xlfn.IFNA(IF(((INDEX(RulebookFields!I2:I1898, MATCH(D3239,RulebookFields!A2:A1898, 0))="")=TRUE),  "",  INDEX(RulebookFields!I2:I1898, MATCH(D3239,RulebookFields!A2:A1898, 0))), "")</f>
        <v>1</v>
      </c>
      <c r="K3239" s="4" t="b">
        <f>AND(((F3239)=TRUE), ((J3239)=TRUE))</f>
        <v>0</v>
      </c>
      <c r="L3239" s="4" t="b">
        <f>AND(((G3239 &lt;&gt; "plain")=TRUE), ((G3239 &lt;&gt; "")=TRUE))</f>
        <v>0</v>
      </c>
      <c r="M3239" s="4" t="str">
        <f>IF(((E3239)=TRUE),  C3239 &amp; "|" &amp; H3239,  "")</f>
        <v>principal-knowledge-authority|StepExecutions</v>
      </c>
      <c r="N3239" s="3" t="s">
        <v>10004</v>
      </c>
    </row>
    <row r="3240">
      <c r="A3240" s="3" t="s">
        <v>13242</v>
      </c>
      <c r="B3240" s="4" t="str">
        <f>C3240 &amp; " -&gt; " &amp; D3240</f>
        <v>principal-knowledge-authority -&gt; StepExecutions.UnevaluatedBlockingExecutionKey</v>
      </c>
      <c r="C3240" s="3" t="s">
        <v>9774</v>
      </c>
      <c r="D3240" s="3" t="s">
        <v>3663</v>
      </c>
      <c r="E3240" s="3" t="b">
        <v>1</v>
      </c>
      <c r="F3240" s="3" t="b">
        <v>0</v>
      </c>
      <c r="G3240" s="3" t="s">
        <v>10003</v>
      </c>
      <c r="H3240" s="4" t="str">
        <f>_xlfn.IFNA(IF(((INDEX(RulebookFields!C2:C1898, MATCH(D3240,RulebookFields!A2:A1898, 0))="")=TRUE),  "",  INDEX(RulebookFields!C2:C1898, MATCH(D3240,RulebookFields!A2:A1898, 0))), "")</f>
        <v>StepExecutions</v>
      </c>
      <c r="I3240" s="4" t="str">
        <f>_xlfn.IFNA(IF(((INDEX(RulebookFields!D2:D1898, MATCH(D3240,RulebookFields!A2:A1898, 0))="")=TRUE),  "",  INDEX(RulebookFields!D2:D1898, MATCH(D3240,RulebookFields!A2:A1898, 0))), "")</f>
        <v>UnevaluatedBlockingExecutionKey</v>
      </c>
      <c r="J3240" s="4" t="b">
        <f>_xlfn.IFNA(IF(((INDEX(RulebookFields!I2:I1898, MATCH(D3240,RulebookFields!A2:A1898, 0))="")=TRUE),  "",  INDEX(RulebookFields!I2:I1898, MATCH(D3240,RulebookFields!A2:A1898, 0))), "")</f>
        <v>1</v>
      </c>
      <c r="K3240" s="4" t="b">
        <f>AND(((F3240)=TRUE), ((J3240)=TRUE))</f>
        <v>0</v>
      </c>
      <c r="L3240" s="4" t="b">
        <f>AND(((G3240 &lt;&gt; "plain")=TRUE), ((G3240 &lt;&gt; "")=TRUE))</f>
        <v>0</v>
      </c>
      <c r="M3240" s="4" t="str">
        <f>IF(((E3240)=TRUE),  C3240 &amp; "|" &amp; H3240,  "")</f>
        <v>principal-knowledge-authority|StepExecutions</v>
      </c>
      <c r="N3240" s="3" t="s">
        <v>10004</v>
      </c>
    </row>
    <row r="3241">
      <c r="A3241" s="3" t="s">
        <v>13243</v>
      </c>
      <c r="B3241" s="4" t="str">
        <f>C3241 &amp; " -&gt; " &amp; D3241</f>
        <v>principal-knowledge-authority -&gt; StepExecutions.SeparationViolationExecutionKey</v>
      </c>
      <c r="C3241" s="3" t="s">
        <v>9774</v>
      </c>
      <c r="D3241" s="3" t="s">
        <v>3665</v>
      </c>
      <c r="E3241" s="3" t="b">
        <v>1</v>
      </c>
      <c r="F3241" s="3" t="b">
        <v>0</v>
      </c>
      <c r="G3241" s="3" t="s">
        <v>10003</v>
      </c>
      <c r="H3241" s="4" t="str">
        <f>_xlfn.IFNA(IF(((INDEX(RulebookFields!C2:C1898, MATCH(D3241,RulebookFields!A2:A1898, 0))="")=TRUE),  "",  INDEX(RulebookFields!C2:C1898, MATCH(D3241,RulebookFields!A2:A1898, 0))), "")</f>
        <v>StepExecutions</v>
      </c>
      <c r="I3241" s="4" t="str">
        <f>_xlfn.IFNA(IF(((INDEX(RulebookFields!D2:D1898, MATCH(D3241,RulebookFields!A2:A1898, 0))="")=TRUE),  "",  INDEX(RulebookFields!D2:D1898, MATCH(D3241,RulebookFields!A2:A1898, 0))), "")</f>
        <v>SeparationViolationExecutionKey</v>
      </c>
      <c r="J3241" s="4" t="b">
        <f>_xlfn.IFNA(IF(((INDEX(RulebookFields!I2:I1898, MATCH(D3241,RulebookFields!A2:A1898, 0))="")=TRUE),  "",  INDEX(RulebookFields!I2:I1898, MATCH(D3241,RulebookFields!A2:A1898, 0))), "")</f>
        <v>1</v>
      </c>
      <c r="K3241" s="4" t="b">
        <f>AND(((F3241)=TRUE), ((J3241)=TRUE))</f>
        <v>0</v>
      </c>
      <c r="L3241" s="4" t="b">
        <f>AND(((G3241 &lt;&gt; "plain")=TRUE), ((G3241 &lt;&gt; "")=TRUE))</f>
        <v>0</v>
      </c>
      <c r="M3241" s="4" t="str">
        <f>IF(((E3241)=TRUE),  C3241 &amp; "|" &amp; H3241,  "")</f>
        <v>principal-knowledge-authority|StepExecutions</v>
      </c>
      <c r="N3241" s="3" t="s">
        <v>10004</v>
      </c>
    </row>
    <row r="3242">
      <c r="A3242" s="3" t="s">
        <v>13244</v>
      </c>
      <c r="B3242" s="4" t="str">
        <f>C3242 &amp; " -&gt; " &amp; D3242</f>
        <v>principal-knowledge-authority -&gt; StepExecutions.SelfWitnessedVerificationCount</v>
      </c>
      <c r="C3242" s="3" t="s">
        <v>9774</v>
      </c>
      <c r="D3242" s="3" t="s">
        <v>3667</v>
      </c>
      <c r="E3242" s="3" t="b">
        <v>1</v>
      </c>
      <c r="F3242" s="3" t="b">
        <v>0</v>
      </c>
      <c r="G3242" s="3" t="s">
        <v>10003</v>
      </c>
      <c r="H3242" s="4" t="str">
        <f>_xlfn.IFNA(IF(((INDEX(RulebookFields!C2:C1898, MATCH(D3242,RulebookFields!A2:A1898, 0))="")=TRUE),  "",  INDEX(RulebookFields!C2:C1898, MATCH(D3242,RulebookFields!A2:A1898, 0))), "")</f>
        <v>StepExecutions</v>
      </c>
      <c r="I3242" s="4" t="str">
        <f>_xlfn.IFNA(IF(((INDEX(RulebookFields!D2:D1898, MATCH(D3242,RulebookFields!A2:A1898, 0))="")=TRUE),  "",  INDEX(RulebookFields!D2:D1898, MATCH(D3242,RulebookFields!A2:A1898, 0))), "")</f>
        <v>SelfWitnessedVerificationCount</v>
      </c>
      <c r="J3242" s="4" t="b">
        <f>_xlfn.IFNA(IF(((INDEX(RulebookFields!I2:I1898, MATCH(D3242,RulebookFields!A2:A1898, 0))="")=TRUE),  "",  INDEX(RulebookFields!I2:I1898, MATCH(D3242,RulebookFields!A2:A1898, 0))), "")</f>
        <v>1</v>
      </c>
      <c r="K3242" s="4" t="b">
        <f>AND(((F3242)=TRUE), ((J3242)=TRUE))</f>
        <v>0</v>
      </c>
      <c r="L3242" s="4" t="b">
        <f>AND(((G3242 &lt;&gt; "plain")=TRUE), ((G3242 &lt;&gt; "")=TRUE))</f>
        <v>0</v>
      </c>
      <c r="M3242" s="4" t="str">
        <f>IF(((E3242)=TRUE),  C3242 &amp; "|" &amp; H3242,  "")</f>
        <v>principal-knowledge-authority|StepExecutions</v>
      </c>
      <c r="N3242" s="3" t="s">
        <v>10004</v>
      </c>
    </row>
    <row r="3243">
      <c r="A3243" s="3" t="s">
        <v>13245</v>
      </c>
      <c r="B3243" s="4" t="str">
        <f>C3243 &amp; " -&gt; " &amp; D3243</f>
        <v>principal-knowledge-authority -&gt; StepExecutions.UnbackedVerificationCount</v>
      </c>
      <c r="C3243" s="3" t="s">
        <v>9774</v>
      </c>
      <c r="D3243" s="3" t="s">
        <v>3669</v>
      </c>
      <c r="E3243" s="3" t="b">
        <v>1</v>
      </c>
      <c r="F3243" s="3" t="b">
        <v>0</v>
      </c>
      <c r="G3243" s="3" t="s">
        <v>10003</v>
      </c>
      <c r="H3243" s="4" t="str">
        <f>_xlfn.IFNA(IF(((INDEX(RulebookFields!C2:C1898, MATCH(D3243,RulebookFields!A2:A1898, 0))="")=TRUE),  "",  INDEX(RulebookFields!C2:C1898, MATCH(D3243,RulebookFields!A2:A1898, 0))), "")</f>
        <v>StepExecutions</v>
      </c>
      <c r="I3243" s="4" t="str">
        <f>_xlfn.IFNA(IF(((INDEX(RulebookFields!D2:D1898, MATCH(D3243,RulebookFields!A2:A1898, 0))="")=TRUE),  "",  INDEX(RulebookFields!D2:D1898, MATCH(D3243,RulebookFields!A2:A1898, 0))), "")</f>
        <v>UnbackedVerificationCount</v>
      </c>
      <c r="J3243" s="4" t="b">
        <f>_xlfn.IFNA(IF(((INDEX(RulebookFields!I2:I1898, MATCH(D3243,RulebookFields!A2:A1898, 0))="")=TRUE),  "",  INDEX(RulebookFields!I2:I1898, MATCH(D3243,RulebookFields!A2:A1898, 0))), "")</f>
        <v>1</v>
      </c>
      <c r="K3243" s="4" t="b">
        <f>AND(((F3243)=TRUE), ((J3243)=TRUE))</f>
        <v>0</v>
      </c>
      <c r="L3243" s="4" t="b">
        <f>AND(((G3243 &lt;&gt; "plain")=TRUE), ((G3243 &lt;&gt; "")=TRUE))</f>
        <v>0</v>
      </c>
      <c r="M3243" s="4" t="str">
        <f>IF(((E3243)=TRUE),  C3243 &amp; "|" &amp; H3243,  "")</f>
        <v>principal-knowledge-authority|StepExecutions</v>
      </c>
      <c r="N3243" s="3" t="s">
        <v>10004</v>
      </c>
    </row>
    <row r="3244">
      <c r="A3244" s="3" t="s">
        <v>13246</v>
      </c>
      <c r="B3244" s="4" t="str">
        <f>C3244 &amp; " -&gt; " &amp; D3244</f>
        <v>principal-knowledge-authority -&gt; StepExecutions.ApprovalRestsOnSelfAttestation</v>
      </c>
      <c r="C3244" s="3" t="s">
        <v>9774</v>
      </c>
      <c r="D3244" s="3" t="s">
        <v>3671</v>
      </c>
      <c r="E3244" s="3" t="b">
        <v>1</v>
      </c>
      <c r="F3244" s="3" t="b">
        <v>0</v>
      </c>
      <c r="G3244" s="3" t="s">
        <v>10003</v>
      </c>
      <c r="H3244" s="4" t="str">
        <f>_xlfn.IFNA(IF(((INDEX(RulebookFields!C2:C1898, MATCH(D3244,RulebookFields!A2:A1898, 0))="")=TRUE),  "",  INDEX(RulebookFields!C2:C1898, MATCH(D3244,RulebookFields!A2:A1898, 0))), "")</f>
        <v>StepExecutions</v>
      </c>
      <c r="I3244" s="4" t="str">
        <f>_xlfn.IFNA(IF(((INDEX(RulebookFields!D2:D1898, MATCH(D3244,RulebookFields!A2:A1898, 0))="")=TRUE),  "",  INDEX(RulebookFields!D2:D1898, MATCH(D3244,RulebookFields!A2:A1898, 0))), "")</f>
        <v>ApprovalRestsOnSelfAttestation</v>
      </c>
      <c r="J3244" s="4" t="b">
        <f>_xlfn.IFNA(IF(((INDEX(RulebookFields!I2:I1898, MATCH(D3244,RulebookFields!A2:A1898, 0))="")=TRUE),  "",  INDEX(RulebookFields!I2:I1898, MATCH(D3244,RulebookFields!A2:A1898, 0))), "")</f>
        <v>1</v>
      </c>
      <c r="K3244" s="4" t="b">
        <f>AND(((F3244)=TRUE), ((J3244)=TRUE))</f>
        <v>0</v>
      </c>
      <c r="L3244" s="4" t="b">
        <f>AND(((G3244 &lt;&gt; "plain")=TRUE), ((G3244 &lt;&gt; "")=TRUE))</f>
        <v>0</v>
      </c>
      <c r="M3244" s="4" t="str">
        <f>IF(((E3244)=TRUE),  C3244 &amp; "|" &amp; H3244,  "")</f>
        <v>principal-knowledge-authority|StepExecutions</v>
      </c>
      <c r="N3244" s="3" t="s">
        <v>10004</v>
      </c>
    </row>
    <row r="3245">
      <c r="A3245" s="3" t="s">
        <v>13247</v>
      </c>
      <c r="B3245" s="4" t="str">
        <f>C3245 &amp; " -&gt; " &amp; D3245</f>
        <v>principal-knowledge-authority -&gt; StepExecutions.ExceptionInvocationCount</v>
      </c>
      <c r="C3245" s="3" t="s">
        <v>9774</v>
      </c>
      <c r="D3245" s="3" t="s">
        <v>3673</v>
      </c>
      <c r="E3245" s="3" t="b">
        <v>1</v>
      </c>
      <c r="F3245" s="3" t="b">
        <v>0</v>
      </c>
      <c r="G3245" s="3" t="s">
        <v>10003</v>
      </c>
      <c r="H3245" s="4" t="str">
        <f>_xlfn.IFNA(IF(((INDEX(RulebookFields!C2:C1898, MATCH(D3245,RulebookFields!A2:A1898, 0))="")=TRUE),  "",  INDEX(RulebookFields!C2:C1898, MATCH(D3245,RulebookFields!A2:A1898, 0))), "")</f>
        <v>StepExecutions</v>
      </c>
      <c r="I3245" s="4" t="str">
        <f>_xlfn.IFNA(IF(((INDEX(RulebookFields!D2:D1898, MATCH(D3245,RulebookFields!A2:A1898, 0))="")=TRUE),  "",  INDEX(RulebookFields!D2:D1898, MATCH(D3245,RulebookFields!A2:A1898, 0))), "")</f>
        <v>ExceptionInvocationCount</v>
      </c>
      <c r="J3245" s="4" t="b">
        <f>_xlfn.IFNA(IF(((INDEX(RulebookFields!I2:I1898, MATCH(D3245,RulebookFields!A2:A1898, 0))="")=TRUE),  "",  INDEX(RulebookFields!I2:I1898, MATCH(D3245,RulebookFields!A2:A1898, 0))), "")</f>
        <v>1</v>
      </c>
      <c r="K3245" s="4" t="b">
        <f>AND(((F3245)=TRUE), ((J3245)=TRUE))</f>
        <v>0</v>
      </c>
      <c r="L3245" s="4" t="b">
        <f>AND(((G3245 &lt;&gt; "plain")=TRUE), ((G3245 &lt;&gt; "")=TRUE))</f>
        <v>0</v>
      </c>
      <c r="M3245" s="4" t="str">
        <f>IF(((E3245)=TRUE),  C3245 &amp; "|" &amp; H3245,  "")</f>
        <v>principal-knowledge-authority|StepExecutions</v>
      </c>
      <c r="N3245" s="3" t="s">
        <v>10004</v>
      </c>
    </row>
    <row r="3246">
      <c r="A3246" s="3" t="s">
        <v>13248</v>
      </c>
      <c r="B3246" s="4" t="str">
        <f>C3246 &amp; " -&gt; " &amp; D3246</f>
        <v>principal-knowledge-authority -&gt; StepExecutions.RanUnderException</v>
      </c>
      <c r="C3246" s="3" t="s">
        <v>9774</v>
      </c>
      <c r="D3246" s="3" t="s">
        <v>3675</v>
      </c>
      <c r="E3246" s="3" t="b">
        <v>1</v>
      </c>
      <c r="F3246" s="3" t="b">
        <v>0</v>
      </c>
      <c r="G3246" s="3" t="s">
        <v>10003</v>
      </c>
      <c r="H3246" s="4" t="str">
        <f>_xlfn.IFNA(IF(((INDEX(RulebookFields!C2:C1898, MATCH(D3246,RulebookFields!A2:A1898, 0))="")=TRUE),  "",  INDEX(RulebookFields!C2:C1898, MATCH(D3246,RulebookFields!A2:A1898, 0))), "")</f>
        <v>StepExecutions</v>
      </c>
      <c r="I3246" s="4" t="str">
        <f>_xlfn.IFNA(IF(((INDEX(RulebookFields!D2:D1898, MATCH(D3246,RulebookFields!A2:A1898, 0))="")=TRUE),  "",  INDEX(RulebookFields!D2:D1898, MATCH(D3246,RulebookFields!A2:A1898, 0))), "")</f>
        <v>RanUnderException</v>
      </c>
      <c r="J3246" s="4" t="b">
        <f>_xlfn.IFNA(IF(((INDEX(RulebookFields!I2:I1898, MATCH(D3246,RulebookFields!A2:A1898, 0))="")=TRUE),  "",  INDEX(RulebookFields!I2:I1898, MATCH(D3246,RulebookFields!A2:A1898, 0))), "")</f>
        <v>1</v>
      </c>
      <c r="K3246" s="4" t="b">
        <f>AND(((F3246)=TRUE), ((J3246)=TRUE))</f>
        <v>0</v>
      </c>
      <c r="L3246" s="4" t="b">
        <f>AND(((G3246 &lt;&gt; "plain")=TRUE), ((G3246 &lt;&gt; "")=TRUE))</f>
        <v>0</v>
      </c>
      <c r="M3246" s="4" t="str">
        <f>IF(((E3246)=TRUE),  C3246 &amp; "|" &amp; H3246,  "")</f>
        <v>principal-knowledge-authority|StepExecutions</v>
      </c>
      <c r="N3246" s="3" t="s">
        <v>10004</v>
      </c>
    </row>
    <row r="3247">
      <c r="A3247" s="3" t="s">
        <v>13249</v>
      </c>
      <c r="B3247" s="4" t="str">
        <f>C3247 &amp; " -&gt; " &amp; D3247</f>
        <v>principal-knowledge-authority -&gt; StepExecutions.IsCompleted</v>
      </c>
      <c r="C3247" s="3" t="s">
        <v>9774</v>
      </c>
      <c r="D3247" s="3" t="s">
        <v>3677</v>
      </c>
      <c r="E3247" s="3" t="b">
        <v>1</v>
      </c>
      <c r="F3247" s="3" t="b">
        <v>0</v>
      </c>
      <c r="G3247" s="3" t="s">
        <v>10003</v>
      </c>
      <c r="H3247" s="4" t="str">
        <f>_xlfn.IFNA(IF(((INDEX(RulebookFields!C2:C1898, MATCH(D3247,RulebookFields!A2:A1898, 0))="")=TRUE),  "",  INDEX(RulebookFields!C2:C1898, MATCH(D3247,RulebookFields!A2:A1898, 0))), "")</f>
        <v>StepExecutions</v>
      </c>
      <c r="I3247" s="4" t="str">
        <f>_xlfn.IFNA(IF(((INDEX(RulebookFields!D2:D1898, MATCH(D3247,RulebookFields!A2:A1898, 0))="")=TRUE),  "",  INDEX(RulebookFields!D2:D1898, MATCH(D3247,RulebookFields!A2:A1898, 0))), "")</f>
        <v>IsCompleted</v>
      </c>
      <c r="J3247" s="4" t="b">
        <f>_xlfn.IFNA(IF(((INDEX(RulebookFields!I2:I1898, MATCH(D3247,RulebookFields!A2:A1898, 0))="")=TRUE),  "",  INDEX(RulebookFields!I2:I1898, MATCH(D3247,RulebookFields!A2:A1898, 0))), "")</f>
        <v>1</v>
      </c>
      <c r="K3247" s="4" t="b">
        <f>AND(((F3247)=TRUE), ((J3247)=TRUE))</f>
        <v>0</v>
      </c>
      <c r="L3247" s="4" t="b">
        <f>AND(((G3247 &lt;&gt; "plain")=TRUE), ((G3247 &lt;&gt; "")=TRUE))</f>
        <v>0</v>
      </c>
      <c r="M3247" s="4" t="str">
        <f>IF(((E3247)=TRUE),  C3247 &amp; "|" &amp; H3247,  "")</f>
        <v>principal-knowledge-authority|StepExecutions</v>
      </c>
      <c r="N3247" s="3" t="s">
        <v>10004</v>
      </c>
    </row>
    <row r="3248">
      <c r="A3248" s="3" t="s">
        <v>13250</v>
      </c>
      <c r="B3248" s="4" t="str">
        <f>C3248 &amp; " -&gt; " &amp; D3248</f>
        <v>principal-knowledge-authority -&gt; StepExecutions.IsVerificationPassed</v>
      </c>
      <c r="C3248" s="3" t="s">
        <v>9774</v>
      </c>
      <c r="D3248" s="3" t="s">
        <v>3679</v>
      </c>
      <c r="E3248" s="3" t="b">
        <v>1</v>
      </c>
      <c r="F3248" s="3" t="b">
        <v>0</v>
      </c>
      <c r="G3248" s="3" t="s">
        <v>10003</v>
      </c>
      <c r="H3248" s="4" t="str">
        <f>_xlfn.IFNA(IF(((INDEX(RulebookFields!C2:C1898, MATCH(D3248,RulebookFields!A2:A1898, 0))="")=TRUE),  "",  INDEX(RulebookFields!C2:C1898, MATCH(D3248,RulebookFields!A2:A1898, 0))), "")</f>
        <v>StepExecutions</v>
      </c>
      <c r="I3248" s="4" t="str">
        <f>_xlfn.IFNA(IF(((INDEX(RulebookFields!D2:D1898, MATCH(D3248,RulebookFields!A2:A1898, 0))="")=TRUE),  "",  INDEX(RulebookFields!D2:D1898, MATCH(D3248,RulebookFields!A2:A1898, 0))), "")</f>
        <v>IsVerificationPassed</v>
      </c>
      <c r="J3248" s="4" t="b">
        <f>_xlfn.IFNA(IF(((INDEX(RulebookFields!I2:I1898, MATCH(D3248,RulebookFields!A2:A1898, 0))="")=TRUE),  "",  INDEX(RulebookFields!I2:I1898, MATCH(D3248,RulebookFields!A2:A1898, 0))), "")</f>
        <v>1</v>
      </c>
      <c r="K3248" s="4" t="b">
        <f>AND(((F3248)=TRUE), ((J3248)=TRUE))</f>
        <v>0</v>
      </c>
      <c r="L3248" s="4" t="b">
        <f>AND(((G3248 &lt;&gt; "plain")=TRUE), ((G3248 &lt;&gt; "")=TRUE))</f>
        <v>0</v>
      </c>
      <c r="M3248" s="4" t="str">
        <f>IF(((E3248)=TRUE),  C3248 &amp; "|" &amp; H3248,  "")</f>
        <v>principal-knowledge-authority|StepExecutions</v>
      </c>
      <c r="N3248" s="3" t="s">
        <v>10004</v>
      </c>
    </row>
    <row r="3249">
      <c r="A3249" s="3" t="s">
        <v>13251</v>
      </c>
      <c r="B3249" s="4" t="str">
        <f>C3249 &amp; " -&gt; " &amp; D3249</f>
        <v>principal-knowledge-authority -&gt; StepExecutions.IsLegalReviewStep</v>
      </c>
      <c r="C3249" s="3" t="s">
        <v>9774</v>
      </c>
      <c r="D3249" s="3" t="s">
        <v>3681</v>
      </c>
      <c r="E3249" s="3" t="b">
        <v>1</v>
      </c>
      <c r="F3249" s="3" t="b">
        <v>0</v>
      </c>
      <c r="G3249" s="3" t="s">
        <v>10003</v>
      </c>
      <c r="H3249" s="4" t="str">
        <f>_xlfn.IFNA(IF(((INDEX(RulebookFields!C2:C1898, MATCH(D3249,RulebookFields!A2:A1898, 0))="")=TRUE),  "",  INDEX(RulebookFields!C2:C1898, MATCH(D3249,RulebookFields!A2:A1898, 0))), "")</f>
        <v>StepExecutions</v>
      </c>
      <c r="I3249" s="4" t="str">
        <f>_xlfn.IFNA(IF(((INDEX(RulebookFields!D2:D1898, MATCH(D3249,RulebookFields!A2:A1898, 0))="")=TRUE),  "",  INDEX(RulebookFields!D2:D1898, MATCH(D3249,RulebookFields!A2:A1898, 0))), "")</f>
        <v>IsLegalReviewStep</v>
      </c>
      <c r="J3249" s="4" t="b">
        <f>_xlfn.IFNA(IF(((INDEX(RulebookFields!I2:I1898, MATCH(D3249,RulebookFields!A2:A1898, 0))="")=TRUE),  "",  INDEX(RulebookFields!I2:I1898, MATCH(D3249,RulebookFields!A2:A1898, 0))), "")</f>
        <v>1</v>
      </c>
      <c r="K3249" s="4" t="b">
        <f>AND(((F3249)=TRUE), ((J3249)=TRUE))</f>
        <v>0</v>
      </c>
      <c r="L3249" s="4" t="b">
        <f>AND(((G3249 &lt;&gt; "plain")=TRUE), ((G3249 &lt;&gt; "")=TRUE))</f>
        <v>0</v>
      </c>
      <c r="M3249" s="4" t="str">
        <f>IF(((E3249)=TRUE),  C3249 &amp; "|" &amp; H3249,  "")</f>
        <v>principal-knowledge-authority|StepExecutions</v>
      </c>
      <c r="N3249" s="3" t="s">
        <v>10004</v>
      </c>
    </row>
    <row r="3250">
      <c r="A3250" s="3" t="s">
        <v>13252</v>
      </c>
      <c r="B3250" s="4" t="str">
        <f>C3250 &amp; " -&gt; " &amp; D3250</f>
        <v>principal-knowledge-authority -&gt; StepExecutions.ClearedLegalReviewKey</v>
      </c>
      <c r="C3250" s="3" t="s">
        <v>9774</v>
      </c>
      <c r="D3250" s="3" t="s">
        <v>3683</v>
      </c>
      <c r="E3250" s="3" t="b">
        <v>1</v>
      </c>
      <c r="F3250" s="3" t="b">
        <v>0</v>
      </c>
      <c r="G3250" s="3" t="s">
        <v>10003</v>
      </c>
      <c r="H3250" s="4" t="str">
        <f>_xlfn.IFNA(IF(((INDEX(RulebookFields!C2:C1898, MATCH(D3250,RulebookFields!A2:A1898, 0))="")=TRUE),  "",  INDEX(RulebookFields!C2:C1898, MATCH(D3250,RulebookFields!A2:A1898, 0))), "")</f>
        <v>StepExecutions</v>
      </c>
      <c r="I3250" s="4" t="str">
        <f>_xlfn.IFNA(IF(((INDEX(RulebookFields!D2:D1898, MATCH(D3250,RulebookFields!A2:A1898, 0))="")=TRUE),  "",  INDEX(RulebookFields!D2:D1898, MATCH(D3250,RulebookFields!A2:A1898, 0))), "")</f>
        <v>ClearedLegalReviewKey</v>
      </c>
      <c r="J3250" s="4" t="b">
        <f>_xlfn.IFNA(IF(((INDEX(RulebookFields!I2:I1898, MATCH(D3250,RulebookFields!A2:A1898, 0))="")=TRUE),  "",  INDEX(RulebookFields!I2:I1898, MATCH(D3250,RulebookFields!A2:A1898, 0))), "")</f>
        <v>1</v>
      </c>
      <c r="K3250" s="4" t="b">
        <f>AND(((F3250)=TRUE), ((J3250)=TRUE))</f>
        <v>0</v>
      </c>
      <c r="L3250" s="4" t="b">
        <f>AND(((G3250 &lt;&gt; "plain")=TRUE), ((G3250 &lt;&gt; "")=TRUE))</f>
        <v>0</v>
      </c>
      <c r="M3250" s="4" t="str">
        <f>IF(((E3250)=TRUE),  C3250 &amp; "|" &amp; H3250,  "")</f>
        <v>principal-knowledge-authority|StepExecutions</v>
      </c>
      <c r="N3250" s="3" t="s">
        <v>10004</v>
      </c>
    </row>
    <row r="3251">
      <c r="A3251" s="3" t="s">
        <v>13253</v>
      </c>
      <c r="B3251" s="4" t="str">
        <f>C3251 &amp; " -&gt; " &amp; D3251</f>
        <v>principal-knowledge-authority -&gt; StepExecutions.AssignedRole</v>
      </c>
      <c r="C3251" s="3" t="s">
        <v>9774</v>
      </c>
      <c r="D3251" s="3" t="s">
        <v>3685</v>
      </c>
      <c r="E3251" s="3" t="b">
        <v>1</v>
      </c>
      <c r="F3251" s="3" t="b">
        <v>0</v>
      </c>
      <c r="G3251" s="3" t="s">
        <v>10003</v>
      </c>
      <c r="H3251" s="4" t="str">
        <f>_xlfn.IFNA(IF(((INDEX(RulebookFields!C2:C1898, MATCH(D3251,RulebookFields!A2:A1898, 0))="")=TRUE),  "",  INDEX(RulebookFields!C2:C1898, MATCH(D3251,RulebookFields!A2:A1898, 0))), "")</f>
        <v>StepExecutions</v>
      </c>
      <c r="I3251" s="4" t="str">
        <f>_xlfn.IFNA(IF(((INDEX(RulebookFields!D2:D1898, MATCH(D3251,RulebookFields!A2:A1898, 0))="")=TRUE),  "",  INDEX(RulebookFields!D2:D1898, MATCH(D3251,RulebookFields!A2:A1898, 0))), "")</f>
        <v>AssignedRole</v>
      </c>
      <c r="J3251" s="4" t="b">
        <f>_xlfn.IFNA(IF(((INDEX(RulebookFields!I2:I1898, MATCH(D3251,RulebookFields!A2:A1898, 0))="")=TRUE),  "",  INDEX(RulebookFields!I2:I1898, MATCH(D3251,RulebookFields!A2:A1898, 0))), "")</f>
        <v>1</v>
      </c>
      <c r="K3251" s="4" t="b">
        <f>AND(((F3251)=TRUE), ((J3251)=TRUE))</f>
        <v>0</v>
      </c>
      <c r="L3251" s="4" t="b">
        <f>AND(((G3251 &lt;&gt; "plain")=TRUE), ((G3251 &lt;&gt; "")=TRUE))</f>
        <v>0</v>
      </c>
      <c r="M3251" s="4" t="str">
        <f>IF(((E3251)=TRUE),  C3251 &amp; "|" &amp; H3251,  "")</f>
        <v>principal-knowledge-authority|StepExecutions</v>
      </c>
      <c r="N3251" s="3" t="s">
        <v>10004</v>
      </c>
    </row>
    <row r="3252">
      <c r="A3252" s="3" t="s">
        <v>13254</v>
      </c>
      <c r="B3252" s="4" t="str">
        <f>C3252 &amp; " -&gt; " &amp; D3252</f>
        <v>principal-knowledge-authority -&gt; StepExecutions.RoleCurrentAgent</v>
      </c>
      <c r="C3252" s="3" t="s">
        <v>9774</v>
      </c>
      <c r="D3252" s="3" t="s">
        <v>3686</v>
      </c>
      <c r="E3252" s="3" t="b">
        <v>1</v>
      </c>
      <c r="F3252" s="3" t="b">
        <v>0</v>
      </c>
      <c r="G3252" s="3" t="s">
        <v>10003</v>
      </c>
      <c r="H3252" s="4" t="str">
        <f>_xlfn.IFNA(IF(((INDEX(RulebookFields!C2:C1898, MATCH(D3252,RulebookFields!A2:A1898, 0))="")=TRUE),  "",  INDEX(RulebookFields!C2:C1898, MATCH(D3252,RulebookFields!A2:A1898, 0))), "")</f>
        <v>StepExecutions</v>
      </c>
      <c r="I3252" s="4" t="str">
        <f>_xlfn.IFNA(IF(((INDEX(RulebookFields!D2:D1898, MATCH(D3252,RulebookFields!A2:A1898, 0))="")=TRUE),  "",  INDEX(RulebookFields!D2:D1898, MATCH(D3252,RulebookFields!A2:A1898, 0))), "")</f>
        <v>RoleCurrentAgent</v>
      </c>
      <c r="J3252" s="4" t="b">
        <f>_xlfn.IFNA(IF(((INDEX(RulebookFields!I2:I1898, MATCH(D3252,RulebookFields!A2:A1898, 0))="")=TRUE),  "",  INDEX(RulebookFields!I2:I1898, MATCH(D3252,RulebookFields!A2:A1898, 0))), "")</f>
        <v>1</v>
      </c>
      <c r="K3252" s="4" t="b">
        <f>AND(((F3252)=TRUE), ((J3252)=TRUE))</f>
        <v>0</v>
      </c>
      <c r="L3252" s="4" t="b">
        <f>AND(((G3252 &lt;&gt; "plain")=TRUE), ((G3252 &lt;&gt; "")=TRUE))</f>
        <v>0</v>
      </c>
      <c r="M3252" s="4" t="str">
        <f>IF(((E3252)=TRUE),  C3252 &amp; "|" &amp; H3252,  "")</f>
        <v>principal-knowledge-authority|StepExecutions</v>
      </c>
      <c r="N3252" s="3" t="s">
        <v>10004</v>
      </c>
    </row>
    <row r="3253">
      <c r="A3253" s="3" t="s">
        <v>13255</v>
      </c>
      <c r="B3253" s="4" t="str">
        <f>C3253 &amp; " -&gt; " &amp; D3253</f>
        <v>principal-knowledge-authority -&gt; StepExecutions.ExecutorIsDesignatedAgent</v>
      </c>
      <c r="C3253" s="3" t="s">
        <v>9774</v>
      </c>
      <c r="D3253" s="3" t="s">
        <v>3688</v>
      </c>
      <c r="E3253" s="3" t="b">
        <v>1</v>
      </c>
      <c r="F3253" s="3" t="b">
        <v>0</v>
      </c>
      <c r="G3253" s="3" t="s">
        <v>10003</v>
      </c>
      <c r="H3253" s="4" t="str">
        <f>_xlfn.IFNA(IF(((INDEX(RulebookFields!C2:C1898, MATCH(D3253,RulebookFields!A2:A1898, 0))="")=TRUE),  "",  INDEX(RulebookFields!C2:C1898, MATCH(D3253,RulebookFields!A2:A1898, 0))), "")</f>
        <v>StepExecutions</v>
      </c>
      <c r="I3253" s="4" t="str">
        <f>_xlfn.IFNA(IF(((INDEX(RulebookFields!D2:D1898, MATCH(D3253,RulebookFields!A2:A1898, 0))="")=TRUE),  "",  INDEX(RulebookFields!D2:D1898, MATCH(D3253,RulebookFields!A2:A1898, 0))), "")</f>
        <v>ExecutorIsDesignatedAgent</v>
      </c>
      <c r="J3253" s="4" t="b">
        <f>_xlfn.IFNA(IF(((INDEX(RulebookFields!I2:I1898, MATCH(D3253,RulebookFields!A2:A1898, 0))="")=TRUE),  "",  INDEX(RulebookFields!I2:I1898, MATCH(D3253,RulebookFields!A2:A1898, 0))), "")</f>
        <v>1</v>
      </c>
      <c r="K3253" s="4" t="b">
        <f>AND(((F3253)=TRUE), ((J3253)=TRUE))</f>
        <v>0</v>
      </c>
      <c r="L3253" s="4" t="b">
        <f>AND(((G3253 &lt;&gt; "plain")=TRUE), ((G3253 &lt;&gt; "")=TRUE))</f>
        <v>0</v>
      </c>
      <c r="M3253" s="4" t="str">
        <f>IF(((E3253)=TRUE),  C3253 &amp; "|" &amp; H3253,  "")</f>
        <v>principal-knowledge-authority|StepExecutions</v>
      </c>
      <c r="N3253" s="3" t="s">
        <v>10004</v>
      </c>
    </row>
    <row r="3254">
      <c r="A3254" s="3" t="s">
        <v>13256</v>
      </c>
      <c r="B3254" s="4" t="str">
        <f>C3254 &amp; " -&gt; " &amp; D3254</f>
        <v>principal-knowledge-authority -&gt; StepExecutions.InputsWereFreshAtRun</v>
      </c>
      <c r="C3254" s="3" t="s">
        <v>9774</v>
      </c>
      <c r="D3254" s="3" t="s">
        <v>3690</v>
      </c>
      <c r="E3254" s="3" t="b">
        <v>1</v>
      </c>
      <c r="F3254" s="3" t="b">
        <v>0</v>
      </c>
      <c r="G3254" s="3" t="s">
        <v>10003</v>
      </c>
      <c r="H3254" s="4" t="str">
        <f>_xlfn.IFNA(IF(((INDEX(RulebookFields!C2:C1898, MATCH(D3254,RulebookFields!A2:A1898, 0))="")=TRUE),  "",  INDEX(RulebookFields!C2:C1898, MATCH(D3254,RulebookFields!A2:A1898, 0))), "")</f>
        <v>StepExecutions</v>
      </c>
      <c r="I3254" s="4" t="str">
        <f>_xlfn.IFNA(IF(((INDEX(RulebookFields!D2:D1898, MATCH(D3254,RulebookFields!A2:A1898, 0))="")=TRUE),  "",  INDEX(RulebookFields!D2:D1898, MATCH(D3254,RulebookFields!A2:A1898, 0))), "")</f>
        <v>InputsWereFreshAtRun</v>
      </c>
      <c r="J3254" s="4" t="b">
        <f>_xlfn.IFNA(IF(((INDEX(RulebookFields!I2:I1898, MATCH(D3254,RulebookFields!A2:A1898, 0))="")=TRUE),  "",  INDEX(RulebookFields!I2:I1898, MATCH(D3254,RulebookFields!A2:A1898, 0))), "")</f>
        <v>1</v>
      </c>
      <c r="K3254" s="4" t="b">
        <f>AND(((F3254)=TRUE), ((J3254)=TRUE))</f>
        <v>0</v>
      </c>
      <c r="L3254" s="4" t="b">
        <f>AND(((G3254 &lt;&gt; "plain")=TRUE), ((G3254 &lt;&gt; "")=TRUE))</f>
        <v>0</v>
      </c>
      <c r="M3254" s="4" t="str">
        <f>IF(((E3254)=TRUE),  C3254 &amp; "|" &amp; H3254,  "")</f>
        <v>principal-knowledge-authority|StepExecutions</v>
      </c>
      <c r="N3254" s="3" t="s">
        <v>10004</v>
      </c>
    </row>
    <row r="3255">
      <c r="A3255" s="3" t="s">
        <v>13257</v>
      </c>
      <c r="B3255" s="4" t="str">
        <f>C3255 &amp; " -&gt; " &amp; D3255</f>
        <v>principal-knowledge-authority -&gt; StepExecutions.RanOnStaleInputs</v>
      </c>
      <c r="C3255" s="3" t="s">
        <v>9774</v>
      </c>
      <c r="D3255" s="3" t="s">
        <v>3692</v>
      </c>
      <c r="E3255" s="3" t="b">
        <v>1</v>
      </c>
      <c r="F3255" s="3" t="b">
        <v>0</v>
      </c>
      <c r="G3255" s="3" t="s">
        <v>10003</v>
      </c>
      <c r="H3255" s="4" t="str">
        <f>_xlfn.IFNA(IF(((INDEX(RulebookFields!C2:C1898, MATCH(D3255,RulebookFields!A2:A1898, 0))="")=TRUE),  "",  INDEX(RulebookFields!C2:C1898, MATCH(D3255,RulebookFields!A2:A1898, 0))), "")</f>
        <v>StepExecutions</v>
      </c>
      <c r="I3255" s="4" t="str">
        <f>_xlfn.IFNA(IF(((INDEX(RulebookFields!D2:D1898, MATCH(D3255,RulebookFields!A2:A1898, 0))="")=TRUE),  "",  INDEX(RulebookFields!D2:D1898, MATCH(D3255,RulebookFields!A2:A1898, 0))), "")</f>
        <v>RanOnStaleInputs</v>
      </c>
      <c r="J3255" s="4" t="b">
        <f>_xlfn.IFNA(IF(((INDEX(RulebookFields!I2:I1898, MATCH(D3255,RulebookFields!A2:A1898, 0))="")=TRUE),  "",  INDEX(RulebookFields!I2:I1898, MATCH(D3255,RulebookFields!A2:A1898, 0))), "")</f>
        <v>1</v>
      </c>
      <c r="K3255" s="4" t="b">
        <f>AND(((F3255)=TRUE), ((J3255)=TRUE))</f>
        <v>0</v>
      </c>
      <c r="L3255" s="4" t="b">
        <f>AND(((G3255 &lt;&gt; "plain")=TRUE), ((G3255 &lt;&gt; "")=TRUE))</f>
        <v>0</v>
      </c>
      <c r="M3255" s="4" t="str">
        <f>IF(((E3255)=TRUE),  C3255 &amp; "|" &amp; H3255,  "")</f>
        <v>principal-knowledge-authority|StepExecutions</v>
      </c>
      <c r="N3255" s="3" t="s">
        <v>10004</v>
      </c>
    </row>
    <row r="3256">
      <c r="A3256" s="3" t="s">
        <v>13258</v>
      </c>
      <c r="B3256" s="4" t="str">
        <f>C3256 &amp; " -&gt; " &amp; D3256</f>
        <v>principal-knowledge-authority -&gt; StepExecutions.UnresolvedIssueCount</v>
      </c>
      <c r="C3256" s="3" t="s">
        <v>9774</v>
      </c>
      <c r="D3256" s="3" t="s">
        <v>3694</v>
      </c>
      <c r="E3256" s="3" t="b">
        <v>1</v>
      </c>
      <c r="F3256" s="3" t="b">
        <v>0</v>
      </c>
      <c r="G3256" s="3" t="s">
        <v>10003</v>
      </c>
      <c r="H3256" s="4" t="str">
        <f>_xlfn.IFNA(IF(((INDEX(RulebookFields!C2:C1898, MATCH(D3256,RulebookFields!A2:A1898, 0))="")=TRUE),  "",  INDEX(RulebookFields!C2:C1898, MATCH(D3256,RulebookFields!A2:A1898, 0))), "")</f>
        <v>StepExecutions</v>
      </c>
      <c r="I3256" s="4" t="str">
        <f>_xlfn.IFNA(IF(((INDEX(RulebookFields!D2:D1898, MATCH(D3256,RulebookFields!A2:A1898, 0))="")=TRUE),  "",  INDEX(RulebookFields!D2:D1898, MATCH(D3256,RulebookFields!A2:A1898, 0))), "")</f>
        <v>UnresolvedIssueCount</v>
      </c>
      <c r="J3256" s="4" t="b">
        <f>_xlfn.IFNA(IF(((INDEX(RulebookFields!I2:I1898, MATCH(D3256,RulebookFields!A2:A1898, 0))="")=TRUE),  "",  INDEX(RulebookFields!I2:I1898, MATCH(D3256,RulebookFields!A2:A1898, 0))), "")</f>
        <v>1</v>
      </c>
      <c r="K3256" s="4" t="b">
        <f>AND(((F3256)=TRUE), ((J3256)=TRUE))</f>
        <v>0</v>
      </c>
      <c r="L3256" s="4" t="b">
        <f>AND(((G3256 &lt;&gt; "plain")=TRUE), ((G3256 &lt;&gt; "")=TRUE))</f>
        <v>0</v>
      </c>
      <c r="M3256" s="4" t="str">
        <f>IF(((E3256)=TRUE),  C3256 &amp; "|" &amp; H3256,  "")</f>
        <v>principal-knowledge-authority|StepExecutions</v>
      </c>
      <c r="N3256" s="3" t="s">
        <v>10004</v>
      </c>
    </row>
    <row r="3257">
      <c r="A3257" s="3" t="s">
        <v>13259</v>
      </c>
      <c r="B3257" s="4" t="str">
        <f>C3257 &amp; " -&gt; " &amp; D3257</f>
        <v>principal-knowledge-authority -&gt; StepExecutions.HasDeviation</v>
      </c>
      <c r="C3257" s="3" t="s">
        <v>9774</v>
      </c>
      <c r="D3257" s="3" t="s">
        <v>3696</v>
      </c>
      <c r="E3257" s="3" t="b">
        <v>1</v>
      </c>
      <c r="F3257" s="3" t="b">
        <v>0</v>
      </c>
      <c r="G3257" s="3" t="s">
        <v>10003</v>
      </c>
      <c r="H3257" s="4" t="str">
        <f>_xlfn.IFNA(IF(((INDEX(RulebookFields!C2:C1898, MATCH(D3257,RulebookFields!A2:A1898, 0))="")=TRUE),  "",  INDEX(RulebookFields!C2:C1898, MATCH(D3257,RulebookFields!A2:A1898, 0))), "")</f>
        <v>StepExecutions</v>
      </c>
      <c r="I3257" s="4" t="str">
        <f>_xlfn.IFNA(IF(((INDEX(RulebookFields!D2:D1898, MATCH(D3257,RulebookFields!A2:A1898, 0))="")=TRUE),  "",  INDEX(RulebookFields!D2:D1898, MATCH(D3257,RulebookFields!A2:A1898, 0))), "")</f>
        <v>HasDeviation</v>
      </c>
      <c r="J3257" s="4" t="b">
        <f>_xlfn.IFNA(IF(((INDEX(RulebookFields!I2:I1898, MATCH(D3257,RulebookFields!A2:A1898, 0))="")=TRUE),  "",  INDEX(RulebookFields!I2:I1898, MATCH(D3257,RulebookFields!A2:A1898, 0))), "")</f>
        <v>1</v>
      </c>
      <c r="K3257" s="4" t="b">
        <f>AND(((F3257)=TRUE), ((J3257)=TRUE))</f>
        <v>0</v>
      </c>
      <c r="L3257" s="4" t="b">
        <f>AND(((G3257 &lt;&gt; "plain")=TRUE), ((G3257 &lt;&gt; "")=TRUE))</f>
        <v>0</v>
      </c>
      <c r="M3257" s="4" t="str">
        <f>IF(((E3257)=TRUE),  C3257 &amp; "|" &amp; H3257,  "")</f>
        <v>principal-knowledge-authority|StepExecutions</v>
      </c>
      <c r="N3257" s="3" t="s">
        <v>10004</v>
      </c>
    </row>
    <row r="3258">
      <c r="A3258" s="3" t="s">
        <v>13260</v>
      </c>
      <c r="B3258" s="4" t="str">
        <f>C3258 &amp; " -&gt; " &amp; D3258</f>
        <v>principal-knowledge-authority -&gt; StepExecutions.IsClean</v>
      </c>
      <c r="C3258" s="3" t="s">
        <v>9774</v>
      </c>
      <c r="D3258" s="3" t="s">
        <v>3697</v>
      </c>
      <c r="E3258" s="3" t="b">
        <v>1</v>
      </c>
      <c r="F3258" s="3" t="b">
        <v>0</v>
      </c>
      <c r="G3258" s="3" t="s">
        <v>10003</v>
      </c>
      <c r="H3258" s="4" t="str">
        <f>_xlfn.IFNA(IF(((INDEX(RulebookFields!C2:C1898, MATCH(D3258,RulebookFields!A2:A1898, 0))="")=TRUE),  "",  INDEX(RulebookFields!C2:C1898, MATCH(D3258,RulebookFields!A2:A1898, 0))), "")</f>
        <v>StepExecutions</v>
      </c>
      <c r="I3258" s="4" t="str">
        <f>_xlfn.IFNA(IF(((INDEX(RulebookFields!D2:D1898, MATCH(D3258,RulebookFields!A2:A1898, 0))="")=TRUE),  "",  INDEX(RulebookFields!D2:D1898, MATCH(D3258,RulebookFields!A2:A1898, 0))), "")</f>
        <v>IsClean</v>
      </c>
      <c r="J3258" s="4" t="b">
        <f>_xlfn.IFNA(IF(((INDEX(RulebookFields!I2:I1898, MATCH(D3258,RulebookFields!A2:A1898, 0))="")=TRUE),  "",  INDEX(RulebookFields!I2:I1898, MATCH(D3258,RulebookFields!A2:A1898, 0))), "")</f>
        <v>1</v>
      </c>
      <c r="K3258" s="4" t="b">
        <f>AND(((F3258)=TRUE), ((J3258)=TRUE))</f>
        <v>0</v>
      </c>
      <c r="L3258" s="4" t="b">
        <f>AND(((G3258 &lt;&gt; "plain")=TRUE), ((G3258 &lt;&gt; "")=TRUE))</f>
        <v>0</v>
      </c>
      <c r="M3258" s="4" t="str">
        <f>IF(((E3258)=TRUE),  C3258 &amp; "|" &amp; H3258,  "")</f>
        <v>principal-knowledge-authority|StepExecutions</v>
      </c>
      <c r="N3258" s="3" t="s">
        <v>10004</v>
      </c>
    </row>
    <row r="3259">
      <c r="A3259" s="3" t="s">
        <v>13261</v>
      </c>
      <c r="B3259" s="4" t="str">
        <f>C3259 &amp; " -&gt; " &amp; D3259</f>
        <v>principal-knowledge-authority -&gt; StepExecutions.ProcedureExecutionWhenUnclean</v>
      </c>
      <c r="C3259" s="3" t="s">
        <v>9774</v>
      </c>
      <c r="D3259" s="3" t="s">
        <v>3699</v>
      </c>
      <c r="E3259" s="3" t="b">
        <v>1</v>
      </c>
      <c r="F3259" s="3" t="b">
        <v>0</v>
      </c>
      <c r="G3259" s="3" t="s">
        <v>10003</v>
      </c>
      <c r="H3259" s="4" t="str">
        <f>_xlfn.IFNA(IF(((INDEX(RulebookFields!C2:C1898, MATCH(D3259,RulebookFields!A2:A1898, 0))="")=TRUE),  "",  INDEX(RulebookFields!C2:C1898, MATCH(D3259,RulebookFields!A2:A1898, 0))), "")</f>
        <v>StepExecutions</v>
      </c>
      <c r="I3259" s="4" t="str">
        <f>_xlfn.IFNA(IF(((INDEX(RulebookFields!D2:D1898, MATCH(D3259,RulebookFields!A2:A1898, 0))="")=TRUE),  "",  INDEX(RulebookFields!D2:D1898, MATCH(D3259,RulebookFields!A2:A1898, 0))), "")</f>
        <v>ProcedureExecutionWhenUnclean</v>
      </c>
      <c r="J3259" s="4" t="b">
        <f>_xlfn.IFNA(IF(((INDEX(RulebookFields!I2:I1898, MATCH(D3259,RulebookFields!A2:A1898, 0))="")=TRUE),  "",  INDEX(RulebookFields!I2:I1898, MATCH(D3259,RulebookFields!A2:A1898, 0))), "")</f>
        <v>1</v>
      </c>
      <c r="K3259" s="4" t="b">
        <f>AND(((F3259)=TRUE), ((J3259)=TRUE))</f>
        <v>0</v>
      </c>
      <c r="L3259" s="4" t="b">
        <f>AND(((G3259 &lt;&gt; "plain")=TRUE), ((G3259 &lt;&gt; "")=TRUE))</f>
        <v>0</v>
      </c>
      <c r="M3259" s="4" t="str">
        <f>IF(((E3259)=TRUE),  C3259 &amp; "|" &amp; H3259,  "")</f>
        <v>principal-knowledge-authority|StepExecutions</v>
      </c>
      <c r="N3259" s="3" t="s">
        <v>10004</v>
      </c>
    </row>
    <row r="3260">
      <c r="A3260" s="3" t="s">
        <v>13262</v>
      </c>
      <c r="B3260" s="4" t="str">
        <f>C3260 &amp; " -&gt; " &amp; D3260</f>
        <v>principal-knowledge-authority -&gt; StepExecutions.EvaluatedRequirementCount</v>
      </c>
      <c r="C3260" s="3" t="s">
        <v>9774</v>
      </c>
      <c r="D3260" s="3" t="s">
        <v>3701</v>
      </c>
      <c r="E3260" s="3" t="b">
        <v>1</v>
      </c>
      <c r="F3260" s="3" t="b">
        <v>0</v>
      </c>
      <c r="G3260" s="3" t="s">
        <v>10003</v>
      </c>
      <c r="H3260" s="4" t="str">
        <f>_xlfn.IFNA(IF(((INDEX(RulebookFields!C2:C1898, MATCH(D3260,RulebookFields!A2:A1898, 0))="")=TRUE),  "",  INDEX(RulebookFields!C2:C1898, MATCH(D3260,RulebookFields!A2:A1898, 0))), "")</f>
        <v>StepExecutions</v>
      </c>
      <c r="I3260" s="4" t="str">
        <f>_xlfn.IFNA(IF(((INDEX(RulebookFields!D2:D1898, MATCH(D3260,RulebookFields!A2:A1898, 0))="")=TRUE),  "",  INDEX(RulebookFields!D2:D1898, MATCH(D3260,RulebookFields!A2:A1898, 0))), "")</f>
        <v>EvaluatedRequirementCount</v>
      </c>
      <c r="J3260" s="4" t="b">
        <f>_xlfn.IFNA(IF(((INDEX(RulebookFields!I2:I1898, MATCH(D3260,RulebookFields!A2:A1898, 0))="")=TRUE),  "",  INDEX(RulebookFields!I2:I1898, MATCH(D3260,RulebookFields!A2:A1898, 0))), "")</f>
        <v>1</v>
      </c>
      <c r="K3260" s="4" t="b">
        <f>AND(((F3260)=TRUE), ((J3260)=TRUE))</f>
        <v>0</v>
      </c>
      <c r="L3260" s="4" t="b">
        <f>AND(((G3260 &lt;&gt; "plain")=TRUE), ((G3260 &lt;&gt; "")=TRUE))</f>
        <v>0</v>
      </c>
      <c r="M3260" s="4" t="str">
        <f>IF(((E3260)=TRUE),  C3260 &amp; "|" &amp; H3260,  "")</f>
        <v>principal-knowledge-authority|StepExecutions</v>
      </c>
      <c r="N3260" s="3" t="s">
        <v>10004</v>
      </c>
    </row>
    <row r="3261">
      <c r="A3261" s="3" t="s">
        <v>13263</v>
      </c>
      <c r="B3261" s="4" t="str">
        <f>C3261 &amp; " -&gt; " &amp; D3261</f>
        <v>principal-knowledge-authority -&gt; StepExecutions.RequiredBlockingCount</v>
      </c>
      <c r="C3261" s="3" t="s">
        <v>9774</v>
      </c>
      <c r="D3261" s="3" t="s">
        <v>3703</v>
      </c>
      <c r="E3261" s="3" t="b">
        <v>1</v>
      </c>
      <c r="F3261" s="3" t="b">
        <v>0</v>
      </c>
      <c r="G3261" s="3" t="s">
        <v>10003</v>
      </c>
      <c r="H3261" s="4" t="str">
        <f>_xlfn.IFNA(IF(((INDEX(RulebookFields!C2:C1898, MATCH(D3261,RulebookFields!A2:A1898, 0))="")=TRUE),  "",  INDEX(RulebookFields!C2:C1898, MATCH(D3261,RulebookFields!A2:A1898, 0))), "")</f>
        <v>StepExecutions</v>
      </c>
      <c r="I3261" s="4" t="str">
        <f>_xlfn.IFNA(IF(((INDEX(RulebookFields!D2:D1898, MATCH(D3261,RulebookFields!A2:A1898, 0))="")=TRUE),  "",  INDEX(RulebookFields!D2:D1898, MATCH(D3261,RulebookFields!A2:A1898, 0))), "")</f>
        <v>RequiredBlockingCount</v>
      </c>
      <c r="J3261" s="4" t="b">
        <f>_xlfn.IFNA(IF(((INDEX(RulebookFields!I2:I1898, MATCH(D3261,RulebookFields!A2:A1898, 0))="")=TRUE),  "",  INDEX(RulebookFields!I2:I1898, MATCH(D3261,RulebookFields!A2:A1898, 0))), "")</f>
        <v>1</v>
      </c>
      <c r="K3261" s="4" t="b">
        <f>AND(((F3261)=TRUE), ((J3261)=TRUE))</f>
        <v>0</v>
      </c>
      <c r="L3261" s="4" t="b">
        <f>AND(((G3261 &lt;&gt; "plain")=TRUE), ((G3261 &lt;&gt; "")=TRUE))</f>
        <v>0</v>
      </c>
      <c r="M3261" s="4" t="str">
        <f>IF(((E3261)=TRUE),  C3261 &amp; "|" &amp; H3261,  "")</f>
        <v>principal-knowledge-authority|StepExecutions</v>
      </c>
      <c r="N3261" s="3" t="s">
        <v>10004</v>
      </c>
    </row>
    <row r="3262">
      <c r="A3262" s="3" t="s">
        <v>13264</v>
      </c>
      <c r="B3262" s="4" t="str">
        <f>C3262 &amp; " -&gt; " &amp; D3262</f>
        <v>principal-knowledge-authority -&gt; StepExecutions.HasUnevaluatedBlockingRequirement</v>
      </c>
      <c r="C3262" s="3" t="s">
        <v>9774</v>
      </c>
      <c r="D3262" s="3" t="s">
        <v>3704</v>
      </c>
      <c r="E3262" s="3" t="b">
        <v>1</v>
      </c>
      <c r="F3262" s="3" t="b">
        <v>0</v>
      </c>
      <c r="G3262" s="3" t="s">
        <v>10003</v>
      </c>
      <c r="H3262" s="4" t="str">
        <f>_xlfn.IFNA(IF(((INDEX(RulebookFields!C2:C1898, MATCH(D3262,RulebookFields!A2:A1898, 0))="")=TRUE),  "",  INDEX(RulebookFields!C2:C1898, MATCH(D3262,RulebookFields!A2:A1898, 0))), "")</f>
        <v>StepExecutions</v>
      </c>
      <c r="I3262" s="4" t="str">
        <f>_xlfn.IFNA(IF(((INDEX(RulebookFields!D2:D1898, MATCH(D3262,RulebookFields!A2:A1898, 0))="")=TRUE),  "",  INDEX(RulebookFields!D2:D1898, MATCH(D3262,RulebookFields!A2:A1898, 0))), "")</f>
        <v>HasUnevaluatedBlockingRequirement</v>
      </c>
      <c r="J3262" s="4" t="b">
        <f>_xlfn.IFNA(IF(((INDEX(RulebookFields!I2:I1898, MATCH(D3262,RulebookFields!A2:A1898, 0))="")=TRUE),  "",  INDEX(RulebookFields!I2:I1898, MATCH(D3262,RulebookFields!A2:A1898, 0))), "")</f>
        <v>1</v>
      </c>
      <c r="K3262" s="4" t="b">
        <f>AND(((F3262)=TRUE), ((J3262)=TRUE))</f>
        <v>0</v>
      </c>
      <c r="L3262" s="4" t="b">
        <f>AND(((G3262 &lt;&gt; "plain")=TRUE), ((G3262 &lt;&gt; "")=TRUE))</f>
        <v>0</v>
      </c>
      <c r="M3262" s="4" t="str">
        <f>IF(((E3262)=TRUE),  C3262 &amp; "|" &amp; H3262,  "")</f>
        <v>principal-knowledge-authority|StepExecutions</v>
      </c>
      <c r="N3262" s="3" t="s">
        <v>10004</v>
      </c>
    </row>
    <row r="3263">
      <c r="A3263" s="3" t="s">
        <v>13265</v>
      </c>
      <c r="B3263" s="4" t="str">
        <f>C3263 &amp; " -&gt; " &amp; D3263</f>
        <v>principal-knowledge-authority -&gt; StepExecutions.ExecutingAgentKind</v>
      </c>
      <c r="C3263" s="3" t="s">
        <v>9774</v>
      </c>
      <c r="D3263" s="3" t="s">
        <v>3706</v>
      </c>
      <c r="E3263" s="3" t="b">
        <v>1</v>
      </c>
      <c r="F3263" s="3" t="b">
        <v>0</v>
      </c>
      <c r="G3263" s="3" t="s">
        <v>10003</v>
      </c>
      <c r="H3263" s="4" t="str">
        <f>_xlfn.IFNA(IF(((INDEX(RulebookFields!C2:C1898, MATCH(D3263,RulebookFields!A2:A1898, 0))="")=TRUE),  "",  INDEX(RulebookFields!C2:C1898, MATCH(D3263,RulebookFields!A2:A1898, 0))), "")</f>
        <v>StepExecutions</v>
      </c>
      <c r="I3263" s="4" t="str">
        <f>_xlfn.IFNA(IF(((INDEX(RulebookFields!D2:D1898, MATCH(D3263,RulebookFields!A2:A1898, 0))="")=TRUE),  "",  INDEX(RulebookFields!D2:D1898, MATCH(D3263,RulebookFields!A2:A1898, 0))), "")</f>
        <v>ExecutingAgentKind</v>
      </c>
      <c r="J3263" s="4" t="b">
        <f>_xlfn.IFNA(IF(((INDEX(RulebookFields!I2:I1898, MATCH(D3263,RulebookFields!A2:A1898, 0))="")=TRUE),  "",  INDEX(RulebookFields!I2:I1898, MATCH(D3263,RulebookFields!A2:A1898, 0))), "")</f>
        <v>1</v>
      </c>
      <c r="K3263" s="4" t="b">
        <f>AND(((F3263)=TRUE), ((J3263)=TRUE))</f>
        <v>0</v>
      </c>
      <c r="L3263" s="4" t="b">
        <f>AND(((G3263 &lt;&gt; "plain")=TRUE), ((G3263 &lt;&gt; "")=TRUE))</f>
        <v>0</v>
      </c>
      <c r="M3263" s="4" t="str">
        <f>IF(((E3263)=TRUE),  C3263 &amp; "|" &amp; H3263,  "")</f>
        <v>principal-knowledge-authority|StepExecutions</v>
      </c>
      <c r="N3263" s="3" t="s">
        <v>10004</v>
      </c>
    </row>
    <row r="3264">
      <c r="A3264" s="3" t="s">
        <v>13266</v>
      </c>
      <c r="B3264" s="4" t="str">
        <f>C3264 &amp; " -&gt; " &amp; D3264</f>
        <v>principal-knowledge-authority -&gt; StepExecutions.WasExecutedBySoftware</v>
      </c>
      <c r="C3264" s="3" t="s">
        <v>9774</v>
      </c>
      <c r="D3264" s="3" t="s">
        <v>3707</v>
      </c>
      <c r="E3264" s="3" t="b">
        <v>1</v>
      </c>
      <c r="F3264" s="3" t="b">
        <v>0</v>
      </c>
      <c r="G3264" s="3" t="s">
        <v>10003</v>
      </c>
      <c r="H3264" s="4" t="str">
        <f>_xlfn.IFNA(IF(((INDEX(RulebookFields!C2:C1898, MATCH(D3264,RulebookFields!A2:A1898, 0))="")=TRUE),  "",  INDEX(RulebookFields!C2:C1898, MATCH(D3264,RulebookFields!A2:A1898, 0))), "")</f>
        <v>StepExecutions</v>
      </c>
      <c r="I3264" s="4" t="str">
        <f>_xlfn.IFNA(IF(((INDEX(RulebookFields!D2:D1898, MATCH(D3264,RulebookFields!A2:A1898, 0))="")=TRUE),  "",  INDEX(RulebookFields!D2:D1898, MATCH(D3264,RulebookFields!A2:A1898, 0))), "")</f>
        <v>WasExecutedBySoftware</v>
      </c>
      <c r="J3264" s="4" t="b">
        <f>_xlfn.IFNA(IF(((INDEX(RulebookFields!I2:I1898, MATCH(D3264,RulebookFields!A2:A1898, 0))="")=TRUE),  "",  INDEX(RulebookFields!I2:I1898, MATCH(D3264,RulebookFields!A2:A1898, 0))), "")</f>
        <v>1</v>
      </c>
      <c r="K3264" s="4" t="b">
        <f>AND(((F3264)=TRUE), ((J3264)=TRUE))</f>
        <v>0</v>
      </c>
      <c r="L3264" s="4" t="b">
        <f>AND(((G3264 &lt;&gt; "plain")=TRUE), ((G3264 &lt;&gt; "")=TRUE))</f>
        <v>0</v>
      </c>
      <c r="M3264" s="4" t="str">
        <f>IF(((E3264)=TRUE),  C3264 &amp; "|" &amp; H3264,  "")</f>
        <v>principal-knowledge-authority|StepExecutions</v>
      </c>
      <c r="N3264" s="3" t="s">
        <v>10004</v>
      </c>
    </row>
    <row r="3265">
      <c r="A3265" s="3" t="s">
        <v>13267</v>
      </c>
      <c r="B3265" s="4" t="str">
        <f>C3265 &amp; " -&gt; " &amp; D3265</f>
        <v>principal-knowledge-authority -&gt; StepExecutions.StepIsSoftwareAssigned</v>
      </c>
      <c r="C3265" s="3" t="s">
        <v>9774</v>
      </c>
      <c r="D3265" s="3" t="s">
        <v>3709</v>
      </c>
      <c r="E3265" s="3" t="b">
        <v>1</v>
      </c>
      <c r="F3265" s="3" t="b">
        <v>0</v>
      </c>
      <c r="G3265" s="3" t="s">
        <v>10003</v>
      </c>
      <c r="H3265" s="4" t="str">
        <f>_xlfn.IFNA(IF(((INDEX(RulebookFields!C2:C1898, MATCH(D3265,RulebookFields!A2:A1898, 0))="")=TRUE),  "",  INDEX(RulebookFields!C2:C1898, MATCH(D3265,RulebookFields!A2:A1898, 0))), "")</f>
        <v>StepExecutions</v>
      </c>
      <c r="I3265" s="4" t="str">
        <f>_xlfn.IFNA(IF(((INDEX(RulebookFields!D2:D1898, MATCH(D3265,RulebookFields!A2:A1898, 0))="")=TRUE),  "",  INDEX(RulebookFields!D2:D1898, MATCH(D3265,RulebookFields!A2:A1898, 0))), "")</f>
        <v>StepIsSoftwareAssigned</v>
      </c>
      <c r="J3265" s="4" t="b">
        <f>_xlfn.IFNA(IF(((INDEX(RulebookFields!I2:I1898, MATCH(D3265,RulebookFields!A2:A1898, 0))="")=TRUE),  "",  INDEX(RulebookFields!I2:I1898, MATCH(D3265,RulebookFields!A2:A1898, 0))), "")</f>
        <v>1</v>
      </c>
      <c r="K3265" s="4" t="b">
        <f>AND(((F3265)=TRUE), ((J3265)=TRUE))</f>
        <v>0</v>
      </c>
      <c r="L3265" s="4" t="b">
        <f>AND(((G3265 &lt;&gt; "plain")=TRUE), ((G3265 &lt;&gt; "")=TRUE))</f>
        <v>0</v>
      </c>
      <c r="M3265" s="4" t="str">
        <f>IF(((E3265)=TRUE),  C3265 &amp; "|" &amp; H3265,  "")</f>
        <v>principal-knowledge-authority|StepExecutions</v>
      </c>
      <c r="N3265" s="3" t="s">
        <v>10004</v>
      </c>
    </row>
    <row r="3266">
      <c r="A3266" s="3" t="s">
        <v>13268</v>
      </c>
      <c r="B3266" s="4" t="str">
        <f>C3266 &amp; " -&gt; " &amp; D3266</f>
        <v>principal-knowledge-authority -&gt; StepExecutions.SoftwareDidHumanWork</v>
      </c>
      <c r="C3266" s="3" t="s">
        <v>9774</v>
      </c>
      <c r="D3266" s="3" t="s">
        <v>3710</v>
      </c>
      <c r="E3266" s="3" t="b">
        <v>1</v>
      </c>
      <c r="F3266" s="3" t="b">
        <v>0</v>
      </c>
      <c r="G3266" s="3" t="s">
        <v>10003</v>
      </c>
      <c r="H3266" s="4" t="str">
        <f>_xlfn.IFNA(IF(((INDEX(RulebookFields!C2:C1898, MATCH(D3266,RulebookFields!A2:A1898, 0))="")=TRUE),  "",  INDEX(RulebookFields!C2:C1898, MATCH(D3266,RulebookFields!A2:A1898, 0))), "")</f>
        <v>StepExecutions</v>
      </c>
      <c r="I3266" s="4" t="str">
        <f>_xlfn.IFNA(IF(((INDEX(RulebookFields!D2:D1898, MATCH(D3266,RulebookFields!A2:A1898, 0))="")=TRUE),  "",  INDEX(RulebookFields!D2:D1898, MATCH(D3266,RulebookFields!A2:A1898, 0))), "")</f>
        <v>SoftwareDidHumanWork</v>
      </c>
      <c r="J3266" s="4" t="b">
        <f>_xlfn.IFNA(IF(((INDEX(RulebookFields!I2:I1898, MATCH(D3266,RulebookFields!A2:A1898, 0))="")=TRUE),  "",  INDEX(RulebookFields!I2:I1898, MATCH(D3266,RulebookFields!A2:A1898, 0))), "")</f>
        <v>1</v>
      </c>
      <c r="K3266" s="4" t="b">
        <f>AND(((F3266)=TRUE), ((J3266)=TRUE))</f>
        <v>0</v>
      </c>
      <c r="L3266" s="4" t="b">
        <f>AND(((G3266 &lt;&gt; "plain")=TRUE), ((G3266 &lt;&gt; "")=TRUE))</f>
        <v>0</v>
      </c>
      <c r="M3266" s="4" t="str">
        <f>IF(((E3266)=TRUE),  C3266 &amp; "|" &amp; H3266,  "")</f>
        <v>principal-knowledge-authority|StepExecutions</v>
      </c>
      <c r="N3266" s="3" t="s">
        <v>10004</v>
      </c>
    </row>
    <row r="3267">
      <c r="A3267" s="3" t="s">
        <v>13269</v>
      </c>
      <c r="B3267" s="4" t="str">
        <f>C3267 &amp; " -&gt; " &amp; D3267</f>
        <v>principal-knowledge-authority -&gt; StepExecutions.IsApprovalExecution</v>
      </c>
      <c r="C3267" s="3" t="s">
        <v>9774</v>
      </c>
      <c r="D3267" s="3" t="s">
        <v>3712</v>
      </c>
      <c r="E3267" s="3" t="b">
        <v>1</v>
      </c>
      <c r="F3267" s="3" t="b">
        <v>0</v>
      </c>
      <c r="G3267" s="3" t="s">
        <v>10003</v>
      </c>
      <c r="H3267" s="4" t="str">
        <f>_xlfn.IFNA(IF(((INDEX(RulebookFields!C2:C1898, MATCH(D3267,RulebookFields!A2:A1898, 0))="")=TRUE),  "",  INDEX(RulebookFields!C2:C1898, MATCH(D3267,RulebookFields!A2:A1898, 0))), "")</f>
        <v>StepExecutions</v>
      </c>
      <c r="I3267" s="4" t="str">
        <f>_xlfn.IFNA(IF(((INDEX(RulebookFields!D2:D1898, MATCH(D3267,RulebookFields!A2:A1898, 0))="")=TRUE),  "",  INDEX(RulebookFields!D2:D1898, MATCH(D3267,RulebookFields!A2:A1898, 0))), "")</f>
        <v>IsApprovalExecution</v>
      </c>
      <c r="J3267" s="4" t="b">
        <f>_xlfn.IFNA(IF(((INDEX(RulebookFields!I2:I1898, MATCH(D3267,RulebookFields!A2:A1898, 0))="")=TRUE),  "",  INDEX(RulebookFields!I2:I1898, MATCH(D3267,RulebookFields!A2:A1898, 0))), "")</f>
        <v>1</v>
      </c>
      <c r="K3267" s="4" t="b">
        <f>AND(((F3267)=TRUE), ((J3267)=TRUE))</f>
        <v>0</v>
      </c>
      <c r="L3267" s="4" t="b">
        <f>AND(((G3267 &lt;&gt; "plain")=TRUE), ((G3267 &lt;&gt; "")=TRUE))</f>
        <v>0</v>
      </c>
      <c r="M3267" s="4" t="str">
        <f>IF(((E3267)=TRUE),  C3267 &amp; "|" &amp; H3267,  "")</f>
        <v>principal-knowledge-authority|StepExecutions</v>
      </c>
      <c r="N3267" s="3" t="s">
        <v>10004</v>
      </c>
    </row>
    <row r="3268">
      <c r="A3268" s="3" t="s">
        <v>13270</v>
      </c>
      <c r="B3268" s="4" t="str">
        <f>C3268 &amp; " -&gt; " &amp; D3268</f>
        <v>principal-knowledge-authority -&gt; StepExecutions.IsVerified</v>
      </c>
      <c r="C3268" s="3" t="s">
        <v>9774</v>
      </c>
      <c r="D3268" s="3" t="s">
        <v>3714</v>
      </c>
      <c r="E3268" s="3" t="b">
        <v>1</v>
      </c>
      <c r="F3268" s="3" t="b">
        <v>0</v>
      </c>
      <c r="G3268" s="3" t="s">
        <v>10003</v>
      </c>
      <c r="H3268" s="4" t="str">
        <f>_xlfn.IFNA(IF(((INDEX(RulebookFields!C2:C1898, MATCH(D3268,RulebookFields!A2:A1898, 0))="")=TRUE),  "",  INDEX(RulebookFields!C2:C1898, MATCH(D3268,RulebookFields!A2:A1898, 0))), "")</f>
        <v>StepExecutions</v>
      </c>
      <c r="I3268" s="4" t="str">
        <f>_xlfn.IFNA(IF(((INDEX(RulebookFields!D2:D1898, MATCH(D3268,RulebookFields!A2:A1898, 0))="")=TRUE),  "",  INDEX(RulebookFields!D2:D1898, MATCH(D3268,RulebookFields!A2:A1898, 0))), "")</f>
        <v>IsVerified</v>
      </c>
      <c r="J3268" s="4" t="b">
        <f>_xlfn.IFNA(IF(((INDEX(RulebookFields!I2:I1898, MATCH(D3268,RulebookFields!A2:A1898, 0))="")=TRUE),  "",  INDEX(RulebookFields!I2:I1898, MATCH(D3268,RulebookFields!A2:A1898, 0))), "")</f>
        <v>1</v>
      </c>
      <c r="K3268" s="4" t="b">
        <f>AND(((F3268)=TRUE), ((J3268)=TRUE))</f>
        <v>0</v>
      </c>
      <c r="L3268" s="4" t="b">
        <f>AND(((G3268 &lt;&gt; "plain")=TRUE), ((G3268 &lt;&gt; "")=TRUE))</f>
        <v>0</v>
      </c>
      <c r="M3268" s="4" t="str">
        <f>IF(((E3268)=TRUE),  C3268 &amp; "|" &amp; H3268,  "")</f>
        <v>principal-knowledge-authority|StepExecutions</v>
      </c>
      <c r="N3268" s="3" t="s">
        <v>10004</v>
      </c>
    </row>
    <row r="3269">
      <c r="A3269" s="3" t="s">
        <v>13271</v>
      </c>
      <c r="B3269" s="4" t="str">
        <f>C3269 &amp; " -&gt; " &amp; D3269</f>
        <v>principal-knowledge-authority -&gt; StepExecutions.UnconfirmedNonHumanDecisionCount</v>
      </c>
      <c r="C3269" s="3" t="s">
        <v>9774</v>
      </c>
      <c r="D3269" s="3" t="s">
        <v>3716</v>
      </c>
      <c r="E3269" s="3" t="b">
        <v>1</v>
      </c>
      <c r="F3269" s="3" t="b">
        <v>0</v>
      </c>
      <c r="G3269" s="3" t="s">
        <v>10003</v>
      </c>
      <c r="H3269" s="4" t="str">
        <f>_xlfn.IFNA(IF(((INDEX(RulebookFields!C2:C1898, MATCH(D3269,RulebookFields!A2:A1898, 0))="")=TRUE),  "",  INDEX(RulebookFields!C2:C1898, MATCH(D3269,RulebookFields!A2:A1898, 0))), "")</f>
        <v>StepExecutions</v>
      </c>
      <c r="I3269" s="4" t="str">
        <f>_xlfn.IFNA(IF(((INDEX(RulebookFields!D2:D1898, MATCH(D3269,RulebookFields!A2:A1898, 0))="")=TRUE),  "",  INDEX(RulebookFields!D2:D1898, MATCH(D3269,RulebookFields!A2:A1898, 0))), "")</f>
        <v>UnconfirmedNonHumanDecisionCount</v>
      </c>
      <c r="J3269" s="4" t="b">
        <f>_xlfn.IFNA(IF(((INDEX(RulebookFields!I2:I1898, MATCH(D3269,RulebookFields!A2:A1898, 0))="")=TRUE),  "",  INDEX(RulebookFields!I2:I1898, MATCH(D3269,RulebookFields!A2:A1898, 0))), "")</f>
        <v>1</v>
      </c>
      <c r="K3269" s="4" t="b">
        <f>AND(((F3269)=TRUE), ((J3269)=TRUE))</f>
        <v>0</v>
      </c>
      <c r="L3269" s="4" t="b">
        <f>AND(((G3269 &lt;&gt; "plain")=TRUE), ((G3269 &lt;&gt; "")=TRUE))</f>
        <v>0</v>
      </c>
      <c r="M3269" s="4" t="str">
        <f>IF(((E3269)=TRUE),  C3269 &amp; "|" &amp; H3269,  "")</f>
        <v>principal-knowledge-authority|StepExecutions</v>
      </c>
      <c r="N3269" s="3" t="s">
        <v>10004</v>
      </c>
    </row>
    <row r="3270">
      <c r="A3270" s="3" t="s">
        <v>13272</v>
      </c>
      <c r="B3270" s="4" t="str">
        <f>C3270 &amp; " -&gt; " &amp; D3270</f>
        <v>principal-knowledge-authority -&gt; StepExecutions.RequiresHumanConfirmation</v>
      </c>
      <c r="C3270" s="3" t="s">
        <v>9774</v>
      </c>
      <c r="D3270" s="3" t="s">
        <v>3718</v>
      </c>
      <c r="E3270" s="3" t="b">
        <v>1</v>
      </c>
      <c r="F3270" s="3" t="b">
        <v>0</v>
      </c>
      <c r="G3270" s="3" t="s">
        <v>10003</v>
      </c>
      <c r="H3270" s="4" t="str">
        <f>_xlfn.IFNA(IF(((INDEX(RulebookFields!C2:C1898, MATCH(D3270,RulebookFields!A2:A1898, 0))="")=TRUE),  "",  INDEX(RulebookFields!C2:C1898, MATCH(D3270,RulebookFields!A2:A1898, 0))), "")</f>
        <v>StepExecutions</v>
      </c>
      <c r="I3270" s="4" t="str">
        <f>_xlfn.IFNA(IF(((INDEX(RulebookFields!D2:D1898, MATCH(D3270,RulebookFields!A2:A1898, 0))="")=TRUE),  "",  INDEX(RulebookFields!D2:D1898, MATCH(D3270,RulebookFields!A2:A1898, 0))), "")</f>
        <v>RequiresHumanConfirmation</v>
      </c>
      <c r="J3270" s="4" t="b">
        <f>_xlfn.IFNA(IF(((INDEX(RulebookFields!I2:I1898, MATCH(D3270,RulebookFields!A2:A1898, 0))="")=TRUE),  "",  INDEX(RulebookFields!I2:I1898, MATCH(D3270,RulebookFields!A2:A1898, 0))), "")</f>
        <v>1</v>
      </c>
      <c r="K3270" s="4" t="b">
        <f>AND(((F3270)=TRUE), ((J3270)=TRUE))</f>
        <v>0</v>
      </c>
      <c r="L3270" s="4" t="b">
        <f>AND(((G3270 &lt;&gt; "plain")=TRUE), ((G3270 &lt;&gt; "")=TRUE))</f>
        <v>0</v>
      </c>
      <c r="M3270" s="4" t="str">
        <f>IF(((E3270)=TRUE),  C3270 &amp; "|" &amp; H3270,  "")</f>
        <v>principal-knowledge-authority|StepExecutions</v>
      </c>
      <c r="N3270" s="3" t="s">
        <v>10004</v>
      </c>
    </row>
    <row r="3271">
      <c r="A3271" s="3" t="s">
        <v>13273</v>
      </c>
      <c r="B3271" s="4" t="str">
        <f>C3271 &amp; " -&gt; " &amp; D3271</f>
        <v>principal-knowledge-authority -&gt; StepExecutions.HumanConfirmationMissing</v>
      </c>
      <c r="C3271" s="3" t="s">
        <v>9774</v>
      </c>
      <c r="D3271" s="3" t="s">
        <v>3719</v>
      </c>
      <c r="E3271" s="3" t="b">
        <v>1</v>
      </c>
      <c r="F3271" s="3" t="b">
        <v>0</v>
      </c>
      <c r="G3271" s="3" t="s">
        <v>10003</v>
      </c>
      <c r="H3271" s="4" t="str">
        <f>_xlfn.IFNA(IF(((INDEX(RulebookFields!C2:C1898, MATCH(D3271,RulebookFields!A2:A1898, 0))="")=TRUE),  "",  INDEX(RulebookFields!C2:C1898, MATCH(D3271,RulebookFields!A2:A1898, 0))), "")</f>
        <v>StepExecutions</v>
      </c>
      <c r="I3271" s="4" t="str">
        <f>_xlfn.IFNA(IF(((INDEX(RulebookFields!D2:D1898, MATCH(D3271,RulebookFields!A2:A1898, 0))="")=TRUE),  "",  INDEX(RulebookFields!D2:D1898, MATCH(D3271,RulebookFields!A2:A1898, 0))), "")</f>
        <v>HumanConfirmationMissing</v>
      </c>
      <c r="J3271" s="4" t="b">
        <f>_xlfn.IFNA(IF(((INDEX(RulebookFields!I2:I1898, MATCH(D3271,RulebookFields!A2:A1898, 0))="")=TRUE),  "",  INDEX(RulebookFields!I2:I1898, MATCH(D3271,RulebookFields!A2:A1898, 0))), "")</f>
        <v>1</v>
      </c>
      <c r="K3271" s="4" t="b">
        <f>AND(((F3271)=TRUE), ((J3271)=TRUE))</f>
        <v>0</v>
      </c>
      <c r="L3271" s="4" t="b">
        <f>AND(((G3271 &lt;&gt; "plain")=TRUE), ((G3271 &lt;&gt; "")=TRUE))</f>
        <v>0</v>
      </c>
      <c r="M3271" s="4" t="str">
        <f>IF(((E3271)=TRUE),  C3271 &amp; "|" &amp; H3271,  "")</f>
        <v>principal-knowledge-authority|StepExecutions</v>
      </c>
      <c r="N3271" s="3" t="s">
        <v>10004</v>
      </c>
    </row>
    <row r="3272">
      <c r="A3272" s="3" t="s">
        <v>13274</v>
      </c>
      <c r="B3272" s="4" t="str">
        <f>C3272 &amp; " -&gt; " &amp; D3272</f>
        <v>principal-knowledge-authority -&gt; StepExecutions.DraftedFromUnusableSource</v>
      </c>
      <c r="C3272" s="3" t="s">
        <v>9774</v>
      </c>
      <c r="D3272" s="3" t="s">
        <v>3721</v>
      </c>
      <c r="E3272" s="3" t="b">
        <v>1</v>
      </c>
      <c r="F3272" s="3" t="b">
        <v>0</v>
      </c>
      <c r="G3272" s="3" t="s">
        <v>10003</v>
      </c>
      <c r="H3272" s="4" t="str">
        <f>_xlfn.IFNA(IF(((INDEX(RulebookFields!C2:C1898, MATCH(D3272,RulebookFields!A2:A1898, 0))="")=TRUE),  "",  INDEX(RulebookFields!C2:C1898, MATCH(D3272,RulebookFields!A2:A1898, 0))), "")</f>
        <v>StepExecutions</v>
      </c>
      <c r="I3272" s="4" t="str">
        <f>_xlfn.IFNA(IF(((INDEX(RulebookFields!D2:D1898, MATCH(D3272,RulebookFields!A2:A1898, 0))="")=TRUE),  "",  INDEX(RulebookFields!D2:D1898, MATCH(D3272,RulebookFields!A2:A1898, 0))), "")</f>
        <v>DraftedFromUnusableSource</v>
      </c>
      <c r="J3272" s="4" t="b">
        <f>_xlfn.IFNA(IF(((INDEX(RulebookFields!I2:I1898, MATCH(D3272,RulebookFields!A2:A1898, 0))="")=TRUE),  "",  INDEX(RulebookFields!I2:I1898, MATCH(D3272,RulebookFields!A2:A1898, 0))), "")</f>
        <v>1</v>
      </c>
      <c r="K3272" s="4" t="b">
        <f>AND(((F3272)=TRUE), ((J3272)=TRUE))</f>
        <v>0</v>
      </c>
      <c r="L3272" s="4" t="b">
        <f>AND(((G3272 &lt;&gt; "plain")=TRUE), ((G3272 &lt;&gt; "")=TRUE))</f>
        <v>0</v>
      </c>
      <c r="M3272" s="4" t="str">
        <f>IF(((E3272)=TRUE),  C3272 &amp; "|" &amp; H3272,  "")</f>
        <v>principal-knowledge-authority|StepExecutions</v>
      </c>
      <c r="N3272" s="3" t="s">
        <v>10004</v>
      </c>
    </row>
    <row r="3273">
      <c r="A3273" s="3" t="s">
        <v>13275</v>
      </c>
      <c r="B3273" s="4" t="str">
        <f>C3273 &amp; " -&gt; " &amp; D3273</f>
        <v>principal-knowledge-authority -&gt; StepExecutions.InputsWereUsable</v>
      </c>
      <c r="C3273" s="3" t="s">
        <v>9774</v>
      </c>
      <c r="D3273" s="3" t="s">
        <v>3723</v>
      </c>
      <c r="E3273" s="3" t="b">
        <v>1</v>
      </c>
      <c r="F3273" s="3" t="b">
        <v>0</v>
      </c>
      <c r="G3273" s="3" t="s">
        <v>10003</v>
      </c>
      <c r="H3273" s="4" t="str">
        <f>_xlfn.IFNA(IF(((INDEX(RulebookFields!C2:C1898, MATCH(D3273,RulebookFields!A2:A1898, 0))="")=TRUE),  "",  INDEX(RulebookFields!C2:C1898, MATCH(D3273,RulebookFields!A2:A1898, 0))), "")</f>
        <v>StepExecutions</v>
      </c>
      <c r="I3273" s="4" t="str">
        <f>_xlfn.IFNA(IF(((INDEX(RulebookFields!D2:D1898, MATCH(D3273,RulebookFields!A2:A1898, 0))="")=TRUE),  "",  INDEX(RulebookFields!D2:D1898, MATCH(D3273,RulebookFields!A2:A1898, 0))), "")</f>
        <v>InputsWereUsable</v>
      </c>
      <c r="J3273" s="4" t="b">
        <f>_xlfn.IFNA(IF(((INDEX(RulebookFields!I2:I1898, MATCH(D3273,RulebookFields!A2:A1898, 0))="")=TRUE),  "",  INDEX(RulebookFields!I2:I1898, MATCH(D3273,RulebookFields!A2:A1898, 0))), "")</f>
        <v>1</v>
      </c>
      <c r="K3273" s="4" t="b">
        <f>AND(((F3273)=TRUE), ((J3273)=TRUE))</f>
        <v>0</v>
      </c>
      <c r="L3273" s="4" t="b">
        <f>AND(((G3273 &lt;&gt; "plain")=TRUE), ((G3273 &lt;&gt; "")=TRUE))</f>
        <v>0</v>
      </c>
      <c r="M3273" s="4" t="str">
        <f>IF(((E3273)=TRUE),  C3273 &amp; "|" &amp; H3273,  "")</f>
        <v>principal-knowledge-authority|StepExecutions</v>
      </c>
      <c r="N3273" s="3" t="s">
        <v>10004</v>
      </c>
    </row>
    <row r="3274">
      <c r="A3274" s="3" t="s">
        <v>13276</v>
      </c>
      <c r="B3274" s="4" t="str">
        <f>C3274 &amp; " -&gt; " &amp; D3274</f>
        <v>principal-knowledge-authority -&gt; StepExecutions.SoftwareExecutionStepKey</v>
      </c>
      <c r="C3274" s="3" t="s">
        <v>9774</v>
      </c>
      <c r="D3274" s="3" t="s">
        <v>3725</v>
      </c>
      <c r="E3274" s="3" t="b">
        <v>1</v>
      </c>
      <c r="F3274" s="3" t="b">
        <v>0</v>
      </c>
      <c r="G3274" s="3" t="s">
        <v>10003</v>
      </c>
      <c r="H3274" s="4" t="str">
        <f>_xlfn.IFNA(IF(((INDEX(RulebookFields!C2:C1898, MATCH(D3274,RulebookFields!A2:A1898, 0))="")=TRUE),  "",  INDEX(RulebookFields!C2:C1898, MATCH(D3274,RulebookFields!A2:A1898, 0))), "")</f>
        <v>StepExecutions</v>
      </c>
      <c r="I3274" s="4" t="str">
        <f>_xlfn.IFNA(IF(((INDEX(RulebookFields!D2:D1898, MATCH(D3274,RulebookFields!A2:A1898, 0))="")=TRUE),  "",  INDEX(RulebookFields!D2:D1898, MATCH(D3274,RulebookFields!A2:A1898, 0))), "")</f>
        <v>SoftwareExecutionStepKey</v>
      </c>
      <c r="J3274" s="4" t="b">
        <f>_xlfn.IFNA(IF(((INDEX(RulebookFields!I2:I1898, MATCH(D3274,RulebookFields!A2:A1898, 0))="")=TRUE),  "",  INDEX(RulebookFields!I2:I1898, MATCH(D3274,RulebookFields!A2:A1898, 0))), "")</f>
        <v>1</v>
      </c>
      <c r="K3274" s="4" t="b">
        <f>AND(((F3274)=TRUE), ((J3274)=TRUE))</f>
        <v>0</v>
      </c>
      <c r="L3274" s="4" t="b">
        <f>AND(((G3274 &lt;&gt; "plain")=TRUE), ((G3274 &lt;&gt; "")=TRUE))</f>
        <v>0</v>
      </c>
      <c r="M3274" s="4" t="str">
        <f>IF(((E3274)=TRUE),  C3274 &amp; "|" &amp; H3274,  "")</f>
        <v>principal-knowledge-authority|StepExecutions</v>
      </c>
      <c r="N3274" s="3" t="s">
        <v>10004</v>
      </c>
    </row>
    <row r="3275">
      <c r="A3275" s="3" t="s">
        <v>13277</v>
      </c>
      <c r="B3275" s="4" t="str">
        <f>C3275 &amp; " -&gt; " &amp; D3275</f>
        <v>principal-knowledge-authority -&gt; StepExecutions.StepControlKind</v>
      </c>
      <c r="C3275" s="3" t="s">
        <v>9774</v>
      </c>
      <c r="D3275" s="3" t="s">
        <v>3727</v>
      </c>
      <c r="E3275" s="3" t="b">
        <v>1</v>
      </c>
      <c r="F3275" s="3" t="b">
        <v>0</v>
      </c>
      <c r="G3275" s="3" t="s">
        <v>10003</v>
      </c>
      <c r="H3275" s="4" t="str">
        <f>_xlfn.IFNA(IF(((INDEX(RulebookFields!C2:C1898, MATCH(D3275,RulebookFields!A2:A1898, 0))="")=TRUE),  "",  INDEX(RulebookFields!C2:C1898, MATCH(D3275,RulebookFields!A2:A1898, 0))), "")</f>
        <v>StepExecutions</v>
      </c>
      <c r="I3275" s="4" t="str">
        <f>_xlfn.IFNA(IF(((INDEX(RulebookFields!D2:D1898, MATCH(D3275,RulebookFields!A2:A1898, 0))="")=TRUE),  "",  INDEX(RulebookFields!D2:D1898, MATCH(D3275,RulebookFields!A2:A1898, 0))), "")</f>
        <v>StepControlKind</v>
      </c>
      <c r="J3275" s="4" t="b">
        <f>_xlfn.IFNA(IF(((INDEX(RulebookFields!I2:I1898, MATCH(D3275,RulebookFields!A2:A1898, 0))="")=TRUE),  "",  INDEX(RulebookFields!I2:I1898, MATCH(D3275,RulebookFields!A2:A1898, 0))), "")</f>
        <v>1</v>
      </c>
      <c r="K3275" s="4" t="b">
        <f>AND(((F3275)=TRUE), ((J3275)=TRUE))</f>
        <v>0</v>
      </c>
      <c r="L3275" s="4" t="b">
        <f>AND(((G3275 &lt;&gt; "plain")=TRUE), ((G3275 &lt;&gt; "")=TRUE))</f>
        <v>0</v>
      </c>
      <c r="M3275" s="4" t="str">
        <f>IF(((E3275)=TRUE),  C3275 &amp; "|" &amp; H3275,  "")</f>
        <v>principal-knowledge-authority|StepExecutions</v>
      </c>
      <c r="N3275" s="3" t="s">
        <v>10004</v>
      </c>
    </row>
    <row r="3276">
      <c r="A3276" s="3" t="s">
        <v>13278</v>
      </c>
      <c r="B3276" s="4" t="str">
        <f>C3276 &amp; " -&gt; " &amp; D3276</f>
        <v>principal-knowledge-authority -&gt; StepExecutions.UnfalsifiedClearanceCount</v>
      </c>
      <c r="C3276" s="3" t="s">
        <v>9774</v>
      </c>
      <c r="D3276" s="3" t="s">
        <v>3729</v>
      </c>
      <c r="E3276" s="3" t="b">
        <v>1</v>
      </c>
      <c r="F3276" s="3" t="b">
        <v>0</v>
      </c>
      <c r="G3276" s="3" t="s">
        <v>10003</v>
      </c>
      <c r="H3276" s="4" t="str">
        <f>_xlfn.IFNA(IF(((INDEX(RulebookFields!C2:C1898, MATCH(D3276,RulebookFields!A2:A1898, 0))="")=TRUE),  "",  INDEX(RulebookFields!C2:C1898, MATCH(D3276,RulebookFields!A2:A1898, 0))), "")</f>
        <v>StepExecutions</v>
      </c>
      <c r="I3276" s="4" t="str">
        <f>_xlfn.IFNA(IF(((INDEX(RulebookFields!D2:D1898, MATCH(D3276,RulebookFields!A2:A1898, 0))="")=TRUE),  "",  INDEX(RulebookFields!D2:D1898, MATCH(D3276,RulebookFields!A2:A1898, 0))), "")</f>
        <v>UnfalsifiedClearanceCount</v>
      </c>
      <c r="J3276" s="4" t="b">
        <f>_xlfn.IFNA(IF(((INDEX(RulebookFields!I2:I1898, MATCH(D3276,RulebookFields!A2:A1898, 0))="")=TRUE),  "",  INDEX(RulebookFields!I2:I1898, MATCH(D3276,RulebookFields!A2:A1898, 0))), "")</f>
        <v>1</v>
      </c>
      <c r="K3276" s="4" t="b">
        <f>AND(((F3276)=TRUE), ((J3276)=TRUE))</f>
        <v>0</v>
      </c>
      <c r="L3276" s="4" t="b">
        <f>AND(((G3276 &lt;&gt; "plain")=TRUE), ((G3276 &lt;&gt; "")=TRUE))</f>
        <v>0</v>
      </c>
      <c r="M3276" s="4" t="str">
        <f>IF(((E3276)=TRUE),  C3276 &amp; "|" &amp; H3276,  "")</f>
        <v>principal-knowledge-authority|StepExecutions</v>
      </c>
      <c r="N3276" s="3" t="s">
        <v>10004</v>
      </c>
    </row>
    <row r="3277">
      <c r="A3277" s="3" t="s">
        <v>13279</v>
      </c>
      <c r="B3277" s="4" t="str">
        <f>C3277 &amp; " -&gt; " &amp; D3277</f>
        <v>principal-knowledge-authority -&gt; StepExecutions.AllClearancesAreUnfalsified</v>
      </c>
      <c r="C3277" s="3" t="s">
        <v>9774</v>
      </c>
      <c r="D3277" s="3" t="s">
        <v>3731</v>
      </c>
      <c r="E3277" s="3" t="b">
        <v>1</v>
      </c>
      <c r="F3277" s="3" t="b">
        <v>0</v>
      </c>
      <c r="G3277" s="3" t="s">
        <v>10003</v>
      </c>
      <c r="H3277" s="4" t="str">
        <f>_xlfn.IFNA(IF(((INDEX(RulebookFields!C2:C1898, MATCH(D3277,RulebookFields!A2:A1898, 0))="")=TRUE),  "",  INDEX(RulebookFields!C2:C1898, MATCH(D3277,RulebookFields!A2:A1898, 0))), "")</f>
        <v>StepExecutions</v>
      </c>
      <c r="I3277" s="4" t="str">
        <f>_xlfn.IFNA(IF(((INDEX(RulebookFields!D2:D1898, MATCH(D3277,RulebookFields!A2:A1898, 0))="")=TRUE),  "",  INDEX(RulebookFields!D2:D1898, MATCH(D3277,RulebookFields!A2:A1898, 0))), "")</f>
        <v>AllClearancesAreUnfalsified</v>
      </c>
      <c r="J3277" s="4" t="b">
        <f>_xlfn.IFNA(IF(((INDEX(RulebookFields!I2:I1898, MATCH(D3277,RulebookFields!A2:A1898, 0))="")=TRUE),  "",  INDEX(RulebookFields!I2:I1898, MATCH(D3277,RulebookFields!A2:A1898, 0))), "")</f>
        <v>1</v>
      </c>
      <c r="K3277" s="4" t="b">
        <f>AND(((F3277)=TRUE), ((J3277)=TRUE))</f>
        <v>0</v>
      </c>
      <c r="L3277" s="4" t="b">
        <f>AND(((G3277 &lt;&gt; "plain")=TRUE), ((G3277 &lt;&gt; "")=TRUE))</f>
        <v>0</v>
      </c>
      <c r="M3277" s="4" t="str">
        <f>IF(((E3277)=TRUE),  C3277 &amp; "|" &amp; H3277,  "")</f>
        <v>principal-knowledge-authority|StepExecutions</v>
      </c>
      <c r="N3277" s="3" t="s">
        <v>10004</v>
      </c>
    </row>
    <row r="3278">
      <c r="A3278" s="3" t="s">
        <v>13280</v>
      </c>
      <c r="B3278" s="4" t="str">
        <f>C3278 &amp; " -&gt; " &amp; D3278</f>
        <v>principal-knowledge-authority -&gt; StepExecutions.StaleAtRunCount</v>
      </c>
      <c r="C3278" s="3" t="s">
        <v>9774</v>
      </c>
      <c r="D3278" s="3" t="s">
        <v>3733</v>
      </c>
      <c r="E3278" s="3" t="b">
        <v>1</v>
      </c>
      <c r="F3278" s="3" t="b">
        <v>0</v>
      </c>
      <c r="G3278" s="3" t="s">
        <v>10003</v>
      </c>
      <c r="H3278" s="4" t="str">
        <f>_xlfn.IFNA(IF(((INDEX(RulebookFields!C2:C1898, MATCH(D3278,RulebookFields!A2:A1898, 0))="")=TRUE),  "",  INDEX(RulebookFields!C2:C1898, MATCH(D3278,RulebookFields!A2:A1898, 0))), "")</f>
        <v>StepExecutions</v>
      </c>
      <c r="I3278" s="4" t="str">
        <f>_xlfn.IFNA(IF(((INDEX(RulebookFields!D2:D1898, MATCH(D3278,RulebookFields!A2:A1898, 0))="")=TRUE),  "",  INDEX(RulebookFields!D2:D1898, MATCH(D3278,RulebookFields!A2:A1898, 0))), "")</f>
        <v>StaleAtRunCount</v>
      </c>
      <c r="J3278" s="4" t="b">
        <f>_xlfn.IFNA(IF(((INDEX(RulebookFields!I2:I1898, MATCH(D3278,RulebookFields!A2:A1898, 0))="")=TRUE),  "",  INDEX(RulebookFields!I2:I1898, MATCH(D3278,RulebookFields!A2:A1898, 0))), "")</f>
        <v>1</v>
      </c>
      <c r="K3278" s="4" t="b">
        <f>AND(((F3278)=TRUE), ((J3278)=TRUE))</f>
        <v>0</v>
      </c>
      <c r="L3278" s="4" t="b">
        <f>AND(((G3278 &lt;&gt; "plain")=TRUE), ((G3278 &lt;&gt; "")=TRUE))</f>
        <v>0</v>
      </c>
      <c r="M3278" s="4" t="str">
        <f>IF(((E3278)=TRUE),  C3278 &amp; "|" &amp; H3278,  "")</f>
        <v>principal-knowledge-authority|StepExecutions</v>
      </c>
      <c r="N3278" s="3" t="s">
        <v>10004</v>
      </c>
    </row>
    <row r="3279">
      <c r="A3279" s="3" t="s">
        <v>13281</v>
      </c>
      <c r="B3279" s="4" t="str">
        <f>C3279 &amp; " -&gt; " &amp; D3279</f>
        <v>principal-knowledge-authority -&gt; StepExecutions.WasStaleWhenIRanIt</v>
      </c>
      <c r="C3279" s="3" t="s">
        <v>9774</v>
      </c>
      <c r="D3279" s="3" t="s">
        <v>3735</v>
      </c>
      <c r="E3279" s="3" t="b">
        <v>1</v>
      </c>
      <c r="F3279" s="3" t="b">
        <v>0</v>
      </c>
      <c r="G3279" s="3" t="s">
        <v>10003</v>
      </c>
      <c r="H3279" s="4" t="str">
        <f>_xlfn.IFNA(IF(((INDEX(RulebookFields!C2:C1898, MATCH(D3279,RulebookFields!A2:A1898, 0))="")=TRUE),  "",  INDEX(RulebookFields!C2:C1898, MATCH(D3279,RulebookFields!A2:A1898, 0))), "")</f>
        <v>StepExecutions</v>
      </c>
      <c r="I3279" s="4" t="str">
        <f>_xlfn.IFNA(IF(((INDEX(RulebookFields!D2:D1898, MATCH(D3279,RulebookFields!A2:A1898, 0))="")=TRUE),  "",  INDEX(RulebookFields!D2:D1898, MATCH(D3279,RulebookFields!A2:A1898, 0))), "")</f>
        <v>WasStaleWhenIRanIt</v>
      </c>
      <c r="J3279" s="4" t="b">
        <f>_xlfn.IFNA(IF(((INDEX(RulebookFields!I2:I1898, MATCH(D3279,RulebookFields!A2:A1898, 0))="")=TRUE),  "",  INDEX(RulebookFields!I2:I1898, MATCH(D3279,RulebookFields!A2:A1898, 0))), "")</f>
        <v>1</v>
      </c>
      <c r="K3279" s="4" t="b">
        <f>AND(((F3279)=TRUE), ((J3279)=TRUE))</f>
        <v>0</v>
      </c>
      <c r="L3279" s="4" t="b">
        <f>AND(((G3279 &lt;&gt; "plain")=TRUE), ((G3279 &lt;&gt; "")=TRUE))</f>
        <v>0</v>
      </c>
      <c r="M3279" s="4" t="str">
        <f>IF(((E3279)=TRUE),  C3279 &amp; "|" &amp; H3279,  "")</f>
        <v>principal-knowledge-authority|StepExecutions</v>
      </c>
      <c r="N3279" s="3" t="s">
        <v>10004</v>
      </c>
    </row>
    <row r="3280">
      <c r="A3280" s="3" t="s">
        <v>13282</v>
      </c>
      <c r="B3280" s="4" t="str">
        <f>C3280 &amp; " -&gt; " &amp; D3280</f>
        <v>principal-knowledge-authority -&gt; StepExecutions.StalenessAnswerIsTenseDependent</v>
      </c>
      <c r="C3280" s="3" t="s">
        <v>9774</v>
      </c>
      <c r="D3280" s="3" t="s">
        <v>3737</v>
      </c>
      <c r="E3280" s="3" t="b">
        <v>1</v>
      </c>
      <c r="F3280" s="3" t="b">
        <v>0</v>
      </c>
      <c r="G3280" s="3" t="s">
        <v>10003</v>
      </c>
      <c r="H3280" s="4" t="str">
        <f>_xlfn.IFNA(IF(((INDEX(RulebookFields!C2:C1898, MATCH(D3280,RulebookFields!A2:A1898, 0))="")=TRUE),  "",  INDEX(RulebookFields!C2:C1898, MATCH(D3280,RulebookFields!A2:A1898, 0))), "")</f>
        <v>StepExecutions</v>
      </c>
      <c r="I3280" s="4" t="str">
        <f>_xlfn.IFNA(IF(((INDEX(RulebookFields!D2:D1898, MATCH(D3280,RulebookFields!A2:A1898, 0))="")=TRUE),  "",  INDEX(RulebookFields!D2:D1898, MATCH(D3280,RulebookFields!A2:A1898, 0))), "")</f>
        <v>StalenessAnswerIsTenseDependent</v>
      </c>
      <c r="J3280" s="4" t="b">
        <f>_xlfn.IFNA(IF(((INDEX(RulebookFields!I2:I1898, MATCH(D3280,RulebookFields!A2:A1898, 0))="")=TRUE),  "",  INDEX(RulebookFields!I2:I1898, MATCH(D3280,RulebookFields!A2:A1898, 0))), "")</f>
        <v>1</v>
      </c>
      <c r="K3280" s="4" t="b">
        <f>AND(((F3280)=TRUE), ((J3280)=TRUE))</f>
        <v>0</v>
      </c>
      <c r="L3280" s="4" t="b">
        <f>AND(((G3280 &lt;&gt; "plain")=TRUE), ((G3280 &lt;&gt; "")=TRUE))</f>
        <v>0</v>
      </c>
      <c r="M3280" s="4" t="str">
        <f>IF(((E3280)=TRUE),  C3280 &amp; "|" &amp; H3280,  "")</f>
        <v>principal-knowledge-authority|StepExecutions</v>
      </c>
      <c r="N3280" s="3" t="s">
        <v>10004</v>
      </c>
    </row>
    <row r="3281">
      <c r="A3281" s="3" t="s">
        <v>13283</v>
      </c>
      <c r="B3281" s="4" t="str">
        <f>C3281 &amp; " -&gt; " &amp; D3281</f>
        <v>principal-knowledge-authority -&gt; StepExecutions.HasAnyDeclaredCheck</v>
      </c>
      <c r="C3281" s="3" t="s">
        <v>9774</v>
      </c>
      <c r="D3281" s="3" t="s">
        <v>3739</v>
      </c>
      <c r="E3281" s="3" t="b">
        <v>1</v>
      </c>
      <c r="F3281" s="3" t="b">
        <v>0</v>
      </c>
      <c r="G3281" s="3" t="s">
        <v>10003</v>
      </c>
      <c r="H3281" s="4" t="str">
        <f>_xlfn.IFNA(IF(((INDEX(RulebookFields!C2:C1898, MATCH(D3281,RulebookFields!A2:A1898, 0))="")=TRUE),  "",  INDEX(RulebookFields!C2:C1898, MATCH(D3281,RulebookFields!A2:A1898, 0))), "")</f>
        <v>StepExecutions</v>
      </c>
      <c r="I3281" s="4" t="str">
        <f>_xlfn.IFNA(IF(((INDEX(RulebookFields!D2:D1898, MATCH(D3281,RulebookFields!A2:A1898, 0))="")=TRUE),  "",  INDEX(RulebookFields!D2:D1898, MATCH(D3281,RulebookFields!A2:A1898, 0))), "")</f>
        <v>HasAnyDeclaredCheck</v>
      </c>
      <c r="J3281" s="4" t="b">
        <f>_xlfn.IFNA(IF(((INDEX(RulebookFields!I2:I1898, MATCH(D3281,RulebookFields!A2:A1898, 0))="")=TRUE),  "",  INDEX(RulebookFields!I2:I1898, MATCH(D3281,RulebookFields!A2:A1898, 0))), "")</f>
        <v>1</v>
      </c>
      <c r="K3281" s="4" t="b">
        <f>AND(((F3281)=TRUE), ((J3281)=TRUE))</f>
        <v>0</v>
      </c>
      <c r="L3281" s="4" t="b">
        <f>AND(((G3281 &lt;&gt; "plain")=TRUE), ((G3281 &lt;&gt; "")=TRUE))</f>
        <v>0</v>
      </c>
      <c r="M3281" s="4" t="str">
        <f>IF(((E3281)=TRUE),  C3281 &amp; "|" &amp; H3281,  "")</f>
        <v>principal-knowledge-authority|StepExecutions</v>
      </c>
      <c r="N3281" s="3" t="s">
        <v>10004</v>
      </c>
    </row>
    <row r="3282">
      <c r="A3282" s="3" t="s">
        <v>13284</v>
      </c>
      <c r="B3282" s="4" t="str">
        <f>C3282 &amp; " -&gt; " &amp; D3282</f>
        <v>principal-knowledge-authority -&gt; StepExecutions.PerformedCheckCount</v>
      </c>
      <c r="C3282" s="3" t="s">
        <v>9774</v>
      </c>
      <c r="D3282" s="3" t="s">
        <v>3741</v>
      </c>
      <c r="E3282" s="3" t="b">
        <v>1</v>
      </c>
      <c r="F3282" s="3" t="b">
        <v>0</v>
      </c>
      <c r="G3282" s="3" t="s">
        <v>10003</v>
      </c>
      <c r="H3282" s="4" t="str">
        <f>_xlfn.IFNA(IF(((INDEX(RulebookFields!C2:C1898, MATCH(D3282,RulebookFields!A2:A1898, 0))="")=TRUE),  "",  INDEX(RulebookFields!C2:C1898, MATCH(D3282,RulebookFields!A2:A1898, 0))), "")</f>
        <v>StepExecutions</v>
      </c>
      <c r="I3282" s="4" t="str">
        <f>_xlfn.IFNA(IF(((INDEX(RulebookFields!D2:D1898, MATCH(D3282,RulebookFields!A2:A1898, 0))="")=TRUE),  "",  INDEX(RulebookFields!D2:D1898, MATCH(D3282,RulebookFields!A2:A1898, 0))), "")</f>
        <v>PerformedCheckCount</v>
      </c>
      <c r="J3282" s="4" t="b">
        <f>_xlfn.IFNA(IF(((INDEX(RulebookFields!I2:I1898, MATCH(D3282,RulebookFields!A2:A1898, 0))="")=TRUE),  "",  INDEX(RulebookFields!I2:I1898, MATCH(D3282,RulebookFields!A2:A1898, 0))), "")</f>
        <v>1</v>
      </c>
      <c r="K3282" s="4" t="b">
        <f>AND(((F3282)=TRUE), ((J3282)=TRUE))</f>
        <v>0</v>
      </c>
      <c r="L3282" s="4" t="b">
        <f>AND(((G3282 &lt;&gt; "plain")=TRUE), ((G3282 &lt;&gt; "")=TRUE))</f>
        <v>0</v>
      </c>
      <c r="M3282" s="4" t="str">
        <f>IF(((E3282)=TRUE),  C3282 &amp; "|" &amp; H3282,  "")</f>
        <v>principal-knowledge-authority|StepExecutions</v>
      </c>
      <c r="N3282" s="3" t="s">
        <v>10004</v>
      </c>
    </row>
    <row r="3283">
      <c r="A3283" s="3" t="s">
        <v>13285</v>
      </c>
      <c r="B3283" s="4" t="str">
        <f>C3283 &amp; " -&gt; " &amp; D3283</f>
        <v>principal-knowledge-authority -&gt; StepExecutions.DeclaredCheckCount</v>
      </c>
      <c r="C3283" s="3" t="s">
        <v>9774</v>
      </c>
      <c r="D3283" s="3" t="s">
        <v>3743</v>
      </c>
      <c r="E3283" s="3" t="b">
        <v>1</v>
      </c>
      <c r="F3283" s="3" t="b">
        <v>0</v>
      </c>
      <c r="G3283" s="3" t="s">
        <v>10003</v>
      </c>
      <c r="H3283" s="4" t="str">
        <f>_xlfn.IFNA(IF(((INDEX(RulebookFields!C2:C1898, MATCH(D3283,RulebookFields!A2:A1898, 0))="")=TRUE),  "",  INDEX(RulebookFields!C2:C1898, MATCH(D3283,RulebookFields!A2:A1898, 0))), "")</f>
        <v>StepExecutions</v>
      </c>
      <c r="I3283" s="4" t="str">
        <f>_xlfn.IFNA(IF(((INDEX(RulebookFields!D2:D1898, MATCH(D3283,RulebookFields!A2:A1898, 0))="")=TRUE),  "",  INDEX(RulebookFields!D2:D1898, MATCH(D3283,RulebookFields!A2:A1898, 0))), "")</f>
        <v>DeclaredCheckCount</v>
      </c>
      <c r="J3283" s="4" t="b">
        <f>_xlfn.IFNA(IF(((INDEX(RulebookFields!I2:I1898, MATCH(D3283,RulebookFields!A2:A1898, 0))="")=TRUE),  "",  INDEX(RulebookFields!I2:I1898, MATCH(D3283,RulebookFields!A2:A1898, 0))), "")</f>
        <v>1</v>
      </c>
      <c r="K3283" s="4" t="b">
        <f>AND(((F3283)=TRUE), ((J3283)=TRUE))</f>
        <v>0</v>
      </c>
      <c r="L3283" s="4" t="b">
        <f>AND(((G3283 &lt;&gt; "plain")=TRUE), ((G3283 &lt;&gt; "")=TRUE))</f>
        <v>0</v>
      </c>
      <c r="M3283" s="4" t="str">
        <f>IF(((E3283)=TRUE),  C3283 &amp; "|" &amp; H3283,  "")</f>
        <v>principal-knowledge-authority|StepExecutions</v>
      </c>
      <c r="N3283" s="3" t="s">
        <v>10004</v>
      </c>
    </row>
    <row r="3284">
      <c r="A3284" s="3" t="s">
        <v>13286</v>
      </c>
      <c r="B3284" s="4" t="str">
        <f>C3284 &amp; " -&gt; " &amp; D3284</f>
        <v>principal-knowledge-authority -&gt; StepExecutions.IsUncheckedByDesign</v>
      </c>
      <c r="C3284" s="3" t="s">
        <v>9774</v>
      </c>
      <c r="D3284" s="3" t="s">
        <v>3745</v>
      </c>
      <c r="E3284" s="3" t="b">
        <v>1</v>
      </c>
      <c r="F3284" s="3" t="b">
        <v>0</v>
      </c>
      <c r="G3284" s="3" t="s">
        <v>10003</v>
      </c>
      <c r="H3284" s="4" t="str">
        <f>_xlfn.IFNA(IF(((INDEX(RulebookFields!C2:C1898, MATCH(D3284,RulebookFields!A2:A1898, 0))="")=TRUE),  "",  INDEX(RulebookFields!C2:C1898, MATCH(D3284,RulebookFields!A2:A1898, 0))), "")</f>
        <v>StepExecutions</v>
      </c>
      <c r="I3284" s="4" t="str">
        <f>_xlfn.IFNA(IF(((INDEX(RulebookFields!D2:D1898, MATCH(D3284,RulebookFields!A2:A1898, 0))="")=TRUE),  "",  INDEX(RulebookFields!D2:D1898, MATCH(D3284,RulebookFields!A2:A1898, 0))), "")</f>
        <v>IsUncheckedByDesign</v>
      </c>
      <c r="J3284" s="4" t="b">
        <f>_xlfn.IFNA(IF(((INDEX(RulebookFields!I2:I1898, MATCH(D3284,RulebookFields!A2:A1898, 0))="")=TRUE),  "",  INDEX(RulebookFields!I2:I1898, MATCH(D3284,RulebookFields!A2:A1898, 0))), "")</f>
        <v>1</v>
      </c>
      <c r="K3284" s="4" t="b">
        <f>AND(((F3284)=TRUE), ((J3284)=TRUE))</f>
        <v>0</v>
      </c>
      <c r="L3284" s="4" t="b">
        <f>AND(((G3284 &lt;&gt; "plain")=TRUE), ((G3284 &lt;&gt; "")=TRUE))</f>
        <v>0</v>
      </c>
      <c r="M3284" s="4" t="str">
        <f>IF(((E3284)=TRUE),  C3284 &amp; "|" &amp; H3284,  "")</f>
        <v>principal-knowledge-authority|StepExecutions</v>
      </c>
      <c r="N3284" s="3" t="s">
        <v>10004</v>
      </c>
    </row>
    <row r="3285">
      <c r="A3285" s="3" t="s">
        <v>13287</v>
      </c>
      <c r="B3285" s="4" t="str">
        <f>C3285 &amp; " -&gt; " &amp; D3285</f>
        <v>principal-knowledge-authority -&gt; StepExecutions.IsVacuouslyClean</v>
      </c>
      <c r="C3285" s="3" t="s">
        <v>9774</v>
      </c>
      <c r="D3285" s="3" t="s">
        <v>3747</v>
      </c>
      <c r="E3285" s="3" t="b">
        <v>1</v>
      </c>
      <c r="F3285" s="3" t="b">
        <v>0</v>
      </c>
      <c r="G3285" s="3" t="s">
        <v>10003</v>
      </c>
      <c r="H3285" s="4" t="str">
        <f>_xlfn.IFNA(IF(((INDEX(RulebookFields!C2:C1898, MATCH(D3285,RulebookFields!A2:A1898, 0))="")=TRUE),  "",  INDEX(RulebookFields!C2:C1898, MATCH(D3285,RulebookFields!A2:A1898, 0))), "")</f>
        <v>StepExecutions</v>
      </c>
      <c r="I3285" s="4" t="str">
        <f>_xlfn.IFNA(IF(((INDEX(RulebookFields!D2:D1898, MATCH(D3285,RulebookFields!A2:A1898, 0))="")=TRUE),  "",  INDEX(RulebookFields!D2:D1898, MATCH(D3285,RulebookFields!A2:A1898, 0))), "")</f>
        <v>IsVacuouslyClean</v>
      </c>
      <c r="J3285" s="4" t="b">
        <f>_xlfn.IFNA(IF(((INDEX(RulebookFields!I2:I1898, MATCH(D3285,RulebookFields!A2:A1898, 0))="")=TRUE),  "",  INDEX(RulebookFields!I2:I1898, MATCH(D3285,RulebookFields!A2:A1898, 0))), "")</f>
        <v>1</v>
      </c>
      <c r="K3285" s="4" t="b">
        <f>AND(((F3285)=TRUE), ((J3285)=TRUE))</f>
        <v>0</v>
      </c>
      <c r="L3285" s="4" t="b">
        <f>AND(((G3285 &lt;&gt; "plain")=TRUE), ((G3285 &lt;&gt; "")=TRUE))</f>
        <v>0</v>
      </c>
      <c r="M3285" s="4" t="str">
        <f>IF(((E3285)=TRUE),  C3285 &amp; "|" &amp; H3285,  "")</f>
        <v>principal-knowledge-authority|StepExecutions</v>
      </c>
      <c r="N3285" s="3" t="s">
        <v>10004</v>
      </c>
    </row>
    <row r="3286">
      <c r="A3286" s="3" t="s">
        <v>13288</v>
      </c>
      <c r="B3286" s="4" t="str">
        <f>C3286 &amp; " -&gt; " &amp; D3286</f>
        <v>principal-knowledge-authority -&gt; StepExecutions.IsSubstantivelyClean</v>
      </c>
      <c r="C3286" s="3" t="s">
        <v>9774</v>
      </c>
      <c r="D3286" s="3" t="s">
        <v>3749</v>
      </c>
      <c r="E3286" s="3" t="b">
        <v>1</v>
      </c>
      <c r="F3286" s="3" t="b">
        <v>0</v>
      </c>
      <c r="G3286" s="3" t="s">
        <v>10003</v>
      </c>
      <c r="H3286" s="4" t="str">
        <f>_xlfn.IFNA(IF(((INDEX(RulebookFields!C2:C1898, MATCH(D3286,RulebookFields!A2:A1898, 0))="")=TRUE),  "",  INDEX(RulebookFields!C2:C1898, MATCH(D3286,RulebookFields!A2:A1898, 0))), "")</f>
        <v>StepExecutions</v>
      </c>
      <c r="I3286" s="4" t="str">
        <f>_xlfn.IFNA(IF(((INDEX(RulebookFields!D2:D1898, MATCH(D3286,RulebookFields!A2:A1898, 0))="")=TRUE),  "",  INDEX(RulebookFields!D2:D1898, MATCH(D3286,RulebookFields!A2:A1898, 0))), "")</f>
        <v>IsSubstantivelyClean</v>
      </c>
      <c r="J3286" s="4" t="b">
        <f>_xlfn.IFNA(IF(((INDEX(RulebookFields!I2:I1898, MATCH(D3286,RulebookFields!A2:A1898, 0))="")=TRUE),  "",  INDEX(RulebookFields!I2:I1898, MATCH(D3286,RulebookFields!A2:A1898, 0))), "")</f>
        <v>1</v>
      </c>
      <c r="K3286" s="4" t="b">
        <f>AND(((F3286)=TRUE), ((J3286)=TRUE))</f>
        <v>0</v>
      </c>
      <c r="L3286" s="4" t="b">
        <f>AND(((G3286 &lt;&gt; "plain")=TRUE), ((G3286 &lt;&gt; "")=TRUE))</f>
        <v>0</v>
      </c>
      <c r="M3286" s="4" t="str">
        <f>IF(((E3286)=TRUE),  C3286 &amp; "|" &amp; H3286,  "")</f>
        <v>principal-knowledge-authority|StepExecutions</v>
      </c>
      <c r="N3286" s="3" t="s">
        <v>10004</v>
      </c>
    </row>
    <row r="3287">
      <c r="A3287" s="3" t="s">
        <v>13289</v>
      </c>
      <c r="B3287" s="4" t="str">
        <f>C3287 &amp; " -&gt; " &amp; D3287</f>
        <v>principal-knowledge-authority -&gt; StepExecutions.VacuouslyCleanExecutionKey</v>
      </c>
      <c r="C3287" s="3" t="s">
        <v>9774</v>
      </c>
      <c r="D3287" s="3" t="s">
        <v>3751</v>
      </c>
      <c r="E3287" s="3" t="b">
        <v>1</v>
      </c>
      <c r="F3287" s="3" t="b">
        <v>0</v>
      </c>
      <c r="G3287" s="3" t="s">
        <v>10003</v>
      </c>
      <c r="H3287" s="4" t="str">
        <f>_xlfn.IFNA(IF(((INDEX(RulebookFields!C2:C1898, MATCH(D3287,RulebookFields!A2:A1898, 0))="")=TRUE),  "",  INDEX(RulebookFields!C2:C1898, MATCH(D3287,RulebookFields!A2:A1898, 0))), "")</f>
        <v>StepExecutions</v>
      </c>
      <c r="I3287" s="4" t="str">
        <f>_xlfn.IFNA(IF(((INDEX(RulebookFields!D2:D1898, MATCH(D3287,RulebookFields!A2:A1898, 0))="")=TRUE),  "",  INDEX(RulebookFields!D2:D1898, MATCH(D3287,RulebookFields!A2:A1898, 0))), "")</f>
        <v>VacuouslyCleanExecutionKey</v>
      </c>
      <c r="J3287" s="4" t="b">
        <f>_xlfn.IFNA(IF(((INDEX(RulebookFields!I2:I1898, MATCH(D3287,RulebookFields!A2:A1898, 0))="")=TRUE),  "",  INDEX(RulebookFields!I2:I1898, MATCH(D3287,RulebookFields!A2:A1898, 0))), "")</f>
        <v>1</v>
      </c>
      <c r="K3287" s="4" t="b">
        <f>AND(((F3287)=TRUE), ((J3287)=TRUE))</f>
        <v>0</v>
      </c>
      <c r="L3287" s="4" t="b">
        <f>AND(((G3287 &lt;&gt; "plain")=TRUE), ((G3287 &lt;&gt; "")=TRUE))</f>
        <v>0</v>
      </c>
      <c r="M3287" s="4" t="str">
        <f>IF(((E3287)=TRUE),  C3287 &amp; "|" &amp; H3287,  "")</f>
        <v>principal-knowledge-authority|StepExecutions</v>
      </c>
      <c r="N3287" s="3" t="s">
        <v>10004</v>
      </c>
    </row>
    <row r="3288">
      <c r="A3288" s="3" t="s">
        <v>13290</v>
      </c>
      <c r="B3288" s="4" t="str">
        <f>C3288 &amp; " -&gt; " &amp; D3288</f>
        <v>principal-knowledge-authority -&gt; StepExecutions.UncorroboratedPassCount</v>
      </c>
      <c r="C3288" s="3" t="s">
        <v>9774</v>
      </c>
      <c r="D3288" s="3" t="s">
        <v>3753</v>
      </c>
      <c r="E3288" s="3" t="b">
        <v>1</v>
      </c>
      <c r="F3288" s="3" t="b">
        <v>0</v>
      </c>
      <c r="G3288" s="3" t="s">
        <v>10003</v>
      </c>
      <c r="H3288" s="4" t="str">
        <f>_xlfn.IFNA(IF(((INDEX(RulebookFields!C2:C1898, MATCH(D3288,RulebookFields!A2:A1898, 0))="")=TRUE),  "",  INDEX(RulebookFields!C2:C1898, MATCH(D3288,RulebookFields!A2:A1898, 0))), "")</f>
        <v>StepExecutions</v>
      </c>
      <c r="I3288" s="4" t="str">
        <f>_xlfn.IFNA(IF(((INDEX(RulebookFields!D2:D1898, MATCH(D3288,RulebookFields!A2:A1898, 0))="")=TRUE),  "",  INDEX(RulebookFields!D2:D1898, MATCH(D3288,RulebookFields!A2:A1898, 0))), "")</f>
        <v>UncorroboratedPassCount</v>
      </c>
      <c r="J3288" s="4" t="b">
        <f>_xlfn.IFNA(IF(((INDEX(RulebookFields!I2:I1898, MATCH(D3288,RulebookFields!A2:A1898, 0))="")=TRUE),  "",  INDEX(RulebookFields!I2:I1898, MATCH(D3288,RulebookFields!A2:A1898, 0))), "")</f>
        <v>1</v>
      </c>
      <c r="K3288" s="4" t="b">
        <f>AND(((F3288)=TRUE), ((J3288)=TRUE))</f>
        <v>0</v>
      </c>
      <c r="L3288" s="4" t="b">
        <f>AND(((G3288 &lt;&gt; "plain")=TRUE), ((G3288 &lt;&gt; "")=TRUE))</f>
        <v>0</v>
      </c>
      <c r="M3288" s="4" t="str">
        <f>IF(((E3288)=TRUE),  C3288 &amp; "|" &amp; H3288,  "")</f>
        <v>principal-knowledge-authority|StepExecutions</v>
      </c>
      <c r="N3288" s="3" t="s">
        <v>10004</v>
      </c>
    </row>
    <row r="3289">
      <c r="A3289" s="3" t="s">
        <v>13291</v>
      </c>
      <c r="B3289" s="4" t="str">
        <f>C3289 &amp; " -&gt; " &amp; D3289</f>
        <v>principal-knowledge-authority -&gt; StepExecutions.EvidencePositionIsWeak</v>
      </c>
      <c r="C3289" s="3" t="s">
        <v>9774</v>
      </c>
      <c r="D3289" s="3" t="s">
        <v>3755</v>
      </c>
      <c r="E3289" s="3" t="b">
        <v>1</v>
      </c>
      <c r="F3289" s="3" t="b">
        <v>0</v>
      </c>
      <c r="G3289" s="3" t="s">
        <v>10003</v>
      </c>
      <c r="H3289" s="4" t="str">
        <f>_xlfn.IFNA(IF(((INDEX(RulebookFields!C2:C1898, MATCH(D3289,RulebookFields!A2:A1898, 0))="")=TRUE),  "",  INDEX(RulebookFields!C2:C1898, MATCH(D3289,RulebookFields!A2:A1898, 0))), "")</f>
        <v>StepExecutions</v>
      </c>
      <c r="I3289" s="4" t="str">
        <f>_xlfn.IFNA(IF(((INDEX(RulebookFields!D2:D1898, MATCH(D3289,RulebookFields!A2:A1898, 0))="")=TRUE),  "",  INDEX(RulebookFields!D2:D1898, MATCH(D3289,RulebookFields!A2:A1898, 0))), "")</f>
        <v>EvidencePositionIsWeak</v>
      </c>
      <c r="J3289" s="4" t="b">
        <f>_xlfn.IFNA(IF(((INDEX(RulebookFields!I2:I1898, MATCH(D3289,RulebookFields!A2:A1898, 0))="")=TRUE),  "",  INDEX(RulebookFields!I2:I1898, MATCH(D3289,RulebookFields!A2:A1898, 0))), "")</f>
        <v>1</v>
      </c>
      <c r="K3289" s="4" t="b">
        <f>AND(((F3289)=TRUE), ((J3289)=TRUE))</f>
        <v>0</v>
      </c>
      <c r="L3289" s="4" t="b">
        <f>AND(((G3289 &lt;&gt; "plain")=TRUE), ((G3289 &lt;&gt; "")=TRUE))</f>
        <v>0</v>
      </c>
      <c r="M3289" s="4" t="str">
        <f>IF(((E3289)=TRUE),  C3289 &amp; "|" &amp; H3289,  "")</f>
        <v>principal-knowledge-authority|StepExecutions</v>
      </c>
      <c r="N3289" s="3" t="s">
        <v>10004</v>
      </c>
    </row>
    <row r="3290">
      <c r="A3290" s="3" t="s">
        <v>13292</v>
      </c>
      <c r="B3290" s="4" t="str">
        <f>C3290 &amp; " -&gt; " &amp; D3290</f>
        <v>principal-knowledge-authority -&gt; StepExecutions.PreparationExecutionKey</v>
      </c>
      <c r="C3290" s="3" t="s">
        <v>9774</v>
      </c>
      <c r="D3290" s="3" t="s">
        <v>3757</v>
      </c>
      <c r="E3290" s="3" t="b">
        <v>1</v>
      </c>
      <c r="F3290" s="3" t="b">
        <v>0</v>
      </c>
      <c r="G3290" s="3" t="s">
        <v>10003</v>
      </c>
      <c r="H3290" s="4" t="str">
        <f>_xlfn.IFNA(IF(((INDEX(RulebookFields!C2:C1898, MATCH(D3290,RulebookFields!A2:A1898, 0))="")=TRUE),  "",  INDEX(RulebookFields!C2:C1898, MATCH(D3290,RulebookFields!A2:A1898, 0))), "")</f>
        <v>StepExecutions</v>
      </c>
      <c r="I3290" s="4" t="str">
        <f>_xlfn.IFNA(IF(((INDEX(RulebookFields!D2:D1898, MATCH(D3290,RulebookFields!A2:A1898, 0))="")=TRUE),  "",  INDEX(RulebookFields!D2:D1898, MATCH(D3290,RulebookFields!A2:A1898, 0))), "")</f>
        <v>PreparationExecutionKey</v>
      </c>
      <c r="J3290" s="4" t="b">
        <f>_xlfn.IFNA(IF(((INDEX(RulebookFields!I2:I1898, MATCH(D3290,RulebookFields!A2:A1898, 0))="")=TRUE),  "",  INDEX(RulebookFields!I2:I1898, MATCH(D3290,RulebookFields!A2:A1898, 0))), "")</f>
        <v>1</v>
      </c>
      <c r="K3290" s="4" t="b">
        <f>AND(((F3290)=TRUE), ((J3290)=TRUE))</f>
        <v>0</v>
      </c>
      <c r="L3290" s="4" t="b">
        <f>AND(((G3290 &lt;&gt; "plain")=TRUE), ((G3290 &lt;&gt; "")=TRUE))</f>
        <v>0</v>
      </c>
      <c r="M3290" s="4" t="str">
        <f>IF(((E3290)=TRUE),  C3290 &amp; "|" &amp; H3290,  "")</f>
        <v>principal-knowledge-authority|StepExecutions</v>
      </c>
      <c r="N3290" s="3" t="s">
        <v>10004</v>
      </c>
    </row>
    <row r="3291">
      <c r="A3291" s="3" t="s">
        <v>13293</v>
      </c>
      <c r="B3291" s="4" t="str">
        <f>C3291 &amp; " -&gt; " &amp; D3291</f>
        <v>principal-knowledge-authority -&gt; StepExecutions.ApprovalExecutionKey</v>
      </c>
      <c r="C3291" s="3" t="s">
        <v>9774</v>
      </c>
      <c r="D3291" s="3" t="s">
        <v>3759</v>
      </c>
      <c r="E3291" s="3" t="b">
        <v>1</v>
      </c>
      <c r="F3291" s="3" t="b">
        <v>0</v>
      </c>
      <c r="G3291" s="3" t="s">
        <v>10003</v>
      </c>
      <c r="H3291" s="4" t="str">
        <f>_xlfn.IFNA(IF(((INDEX(RulebookFields!C2:C1898, MATCH(D3291,RulebookFields!A2:A1898, 0))="")=TRUE),  "",  INDEX(RulebookFields!C2:C1898, MATCH(D3291,RulebookFields!A2:A1898, 0))), "")</f>
        <v>StepExecutions</v>
      </c>
      <c r="I3291" s="4" t="str">
        <f>_xlfn.IFNA(IF(((INDEX(RulebookFields!D2:D1898, MATCH(D3291,RulebookFields!A2:A1898, 0))="")=TRUE),  "",  INDEX(RulebookFields!D2:D1898, MATCH(D3291,RulebookFields!A2:A1898, 0))), "")</f>
        <v>ApprovalExecutionKey</v>
      </c>
      <c r="J3291" s="4" t="b">
        <f>_xlfn.IFNA(IF(((INDEX(RulebookFields!I2:I1898, MATCH(D3291,RulebookFields!A2:A1898, 0))="")=TRUE),  "",  INDEX(RulebookFields!I2:I1898, MATCH(D3291,RulebookFields!A2:A1898, 0))), "")</f>
        <v>1</v>
      </c>
      <c r="K3291" s="4" t="b">
        <f>AND(((F3291)=TRUE), ((J3291)=TRUE))</f>
        <v>0</v>
      </c>
      <c r="L3291" s="4" t="b">
        <f>AND(((G3291 &lt;&gt; "plain")=TRUE), ((G3291 &lt;&gt; "")=TRUE))</f>
        <v>0</v>
      </c>
      <c r="M3291" s="4" t="str">
        <f>IF(((E3291)=TRUE),  C3291 &amp; "|" &amp; H3291,  "")</f>
        <v>principal-knowledge-authority|StepExecutions</v>
      </c>
      <c r="N3291" s="3" t="s">
        <v>10004</v>
      </c>
    </row>
    <row r="3292">
      <c r="A3292" s="3" t="s">
        <v>13294</v>
      </c>
      <c r="B3292" s="4" t="str">
        <f>C3292 &amp; " -&gt; " &amp; D3292</f>
        <v>principal-knowledge-authority -&gt; StepExecutions.HasGoverningInstrument</v>
      </c>
      <c r="C3292" s="3" t="s">
        <v>9774</v>
      </c>
      <c r="D3292" s="3" t="s">
        <v>3761</v>
      </c>
      <c r="E3292" s="3" t="b">
        <v>1</v>
      </c>
      <c r="F3292" s="3" t="b">
        <v>0</v>
      </c>
      <c r="G3292" s="3" t="s">
        <v>10003</v>
      </c>
      <c r="H3292" s="4" t="str">
        <f>_xlfn.IFNA(IF(((INDEX(RulebookFields!C2:C1898, MATCH(D3292,RulebookFields!A2:A1898, 0))="")=TRUE),  "",  INDEX(RulebookFields!C2:C1898, MATCH(D3292,RulebookFields!A2:A1898, 0))), "")</f>
        <v>StepExecutions</v>
      </c>
      <c r="I3292" s="4" t="str">
        <f>_xlfn.IFNA(IF(((INDEX(RulebookFields!D2:D1898, MATCH(D3292,RulebookFields!A2:A1898, 0))="")=TRUE),  "",  INDEX(RulebookFields!D2:D1898, MATCH(D3292,RulebookFields!A2:A1898, 0))), "")</f>
        <v>HasGoverningInstrument</v>
      </c>
      <c r="J3292" s="4" t="b">
        <f>_xlfn.IFNA(IF(((INDEX(RulebookFields!I2:I1898, MATCH(D3292,RulebookFields!A2:A1898, 0))="")=TRUE),  "",  INDEX(RulebookFields!I2:I1898, MATCH(D3292,RulebookFields!A2:A1898, 0))), "")</f>
        <v>1</v>
      </c>
      <c r="K3292" s="4" t="b">
        <f>AND(((F3292)=TRUE), ((J3292)=TRUE))</f>
        <v>0</v>
      </c>
      <c r="L3292" s="4" t="b">
        <f>AND(((G3292 &lt;&gt; "plain")=TRUE), ((G3292 &lt;&gt; "")=TRUE))</f>
        <v>0</v>
      </c>
      <c r="M3292" s="4" t="str">
        <f>IF(((E3292)=TRUE),  C3292 &amp; "|" &amp; H3292,  "")</f>
        <v>principal-knowledge-authority|StepExecutions</v>
      </c>
      <c r="N3292" s="3" t="s">
        <v>10004</v>
      </c>
    </row>
    <row r="3293">
      <c r="A3293" s="3" t="s">
        <v>13295</v>
      </c>
      <c r="B3293" s="4" t="str">
        <f>C3293 &amp; " -&gt; " &amp; D3293</f>
        <v>principal-knowledge-authority -&gt; StepExecutions.HasApprovedChangeCoverage</v>
      </c>
      <c r="C3293" s="3" t="s">
        <v>9774</v>
      </c>
      <c r="D3293" s="3" t="s">
        <v>3763</v>
      </c>
      <c r="E3293" s="3" t="b">
        <v>1</v>
      </c>
      <c r="F3293" s="3" t="b">
        <v>0</v>
      </c>
      <c r="G3293" s="3" t="s">
        <v>10003</v>
      </c>
      <c r="H3293" s="4" t="str">
        <f>_xlfn.IFNA(IF(((INDEX(RulebookFields!C2:C1898, MATCH(D3293,RulebookFields!A2:A1898, 0))="")=TRUE),  "",  INDEX(RulebookFields!C2:C1898, MATCH(D3293,RulebookFields!A2:A1898, 0))), "")</f>
        <v>StepExecutions</v>
      </c>
      <c r="I3293" s="4" t="str">
        <f>_xlfn.IFNA(IF(((INDEX(RulebookFields!D2:D1898, MATCH(D3293,RulebookFields!A2:A1898, 0))="")=TRUE),  "",  INDEX(RulebookFields!D2:D1898, MATCH(D3293,RulebookFields!A2:A1898, 0))), "")</f>
        <v>HasApprovedChangeCoverage</v>
      </c>
      <c r="J3293" s="4" t="b">
        <f>_xlfn.IFNA(IF(((INDEX(RulebookFields!I2:I1898, MATCH(D3293,RulebookFields!A2:A1898, 0))="")=TRUE),  "",  INDEX(RulebookFields!I2:I1898, MATCH(D3293,RulebookFields!A2:A1898, 0))), "")</f>
        <v>1</v>
      </c>
      <c r="K3293" s="4" t="b">
        <f>AND(((F3293)=TRUE), ((J3293)=TRUE))</f>
        <v>0</v>
      </c>
      <c r="L3293" s="4" t="b">
        <f>AND(((G3293 &lt;&gt; "plain")=TRUE), ((G3293 &lt;&gt; "")=TRUE))</f>
        <v>0</v>
      </c>
      <c r="M3293" s="4" t="str">
        <f>IF(((E3293)=TRUE),  C3293 &amp; "|" &amp; H3293,  "")</f>
        <v>principal-knowledge-authority|StepExecutions</v>
      </c>
      <c r="N3293" s="3" t="s">
        <v>10004</v>
      </c>
    </row>
    <row r="3294">
      <c r="A3294" s="3" t="s">
        <v>13296</v>
      </c>
      <c r="B3294" s="4" t="str">
        <f>C3294 &amp; " -&gt; " &amp; D3294</f>
        <v>principal-knowledge-authority -&gt; StepExecutions.VersionOfStep</v>
      </c>
      <c r="C3294" s="3" t="s">
        <v>9774</v>
      </c>
      <c r="D3294" s="3" t="s">
        <v>3765</v>
      </c>
      <c r="E3294" s="3" t="b">
        <v>1</v>
      </c>
      <c r="F3294" s="3" t="b">
        <v>0</v>
      </c>
      <c r="G3294" s="3" t="s">
        <v>10003</v>
      </c>
      <c r="H3294" s="4" t="str">
        <f>_xlfn.IFNA(IF(((INDEX(RulebookFields!C2:C1898, MATCH(D3294,RulebookFields!A2:A1898, 0))="")=TRUE),  "",  INDEX(RulebookFields!C2:C1898, MATCH(D3294,RulebookFields!A2:A1898, 0))), "")</f>
        <v>StepExecutions</v>
      </c>
      <c r="I3294" s="4" t="str">
        <f>_xlfn.IFNA(IF(((INDEX(RulebookFields!D2:D1898, MATCH(D3294,RulebookFields!A2:A1898, 0))="")=TRUE),  "",  INDEX(RulebookFields!D2:D1898, MATCH(D3294,RulebookFields!A2:A1898, 0))), "")</f>
        <v>VersionOfStep</v>
      </c>
      <c r="J3294" s="4" t="b">
        <f>_xlfn.IFNA(IF(((INDEX(RulebookFields!I2:I1898, MATCH(D3294,RulebookFields!A2:A1898, 0))="")=TRUE),  "",  INDEX(RulebookFields!I2:I1898, MATCH(D3294,RulebookFields!A2:A1898, 0))), "")</f>
        <v>1</v>
      </c>
      <c r="K3294" s="4" t="b">
        <f>AND(((F3294)=TRUE), ((J3294)=TRUE))</f>
        <v>0</v>
      </c>
      <c r="L3294" s="4" t="b">
        <f>AND(((G3294 &lt;&gt; "plain")=TRUE), ((G3294 &lt;&gt; "")=TRUE))</f>
        <v>0</v>
      </c>
      <c r="M3294" s="4" t="str">
        <f>IF(((E3294)=TRUE),  C3294 &amp; "|" &amp; H3294,  "")</f>
        <v>principal-knowledge-authority|StepExecutions</v>
      </c>
      <c r="N3294" s="3" t="s">
        <v>10004</v>
      </c>
    </row>
    <row r="3295">
      <c r="A3295" s="3" t="s">
        <v>13297</v>
      </c>
      <c r="B3295" s="4" t="str">
        <f>C3295 &amp; " -&gt; " &amp; D3295</f>
        <v>principal-knowledge-authority -&gt; StepExecutions.IsUngovernedDivergence</v>
      </c>
      <c r="C3295" s="3" t="s">
        <v>9774</v>
      </c>
      <c r="D3295" s="3" t="s">
        <v>3766</v>
      </c>
      <c r="E3295" s="3" t="b">
        <v>1</v>
      </c>
      <c r="F3295" s="3" t="b">
        <v>0</v>
      </c>
      <c r="G3295" s="3" t="s">
        <v>10003</v>
      </c>
      <c r="H3295" s="4" t="str">
        <f>_xlfn.IFNA(IF(((INDEX(RulebookFields!C2:C1898, MATCH(D3295,RulebookFields!A2:A1898, 0))="")=TRUE),  "",  INDEX(RulebookFields!C2:C1898, MATCH(D3295,RulebookFields!A2:A1898, 0))), "")</f>
        <v>StepExecutions</v>
      </c>
      <c r="I3295" s="4" t="str">
        <f>_xlfn.IFNA(IF(((INDEX(RulebookFields!D2:D1898, MATCH(D3295,RulebookFields!A2:A1898, 0))="")=TRUE),  "",  INDEX(RulebookFields!D2:D1898, MATCH(D3295,RulebookFields!A2:A1898, 0))), "")</f>
        <v>IsUngovernedDivergence</v>
      </c>
      <c r="J3295" s="4" t="b">
        <f>_xlfn.IFNA(IF(((INDEX(RulebookFields!I2:I1898, MATCH(D3295,RulebookFields!A2:A1898, 0))="")=TRUE),  "",  INDEX(RulebookFields!I2:I1898, MATCH(D3295,RulebookFields!A2:A1898, 0))), "")</f>
        <v>1</v>
      </c>
      <c r="K3295" s="4" t="b">
        <f>AND(((F3295)=TRUE), ((J3295)=TRUE))</f>
        <v>0</v>
      </c>
      <c r="L3295" s="4" t="b">
        <f>AND(((G3295 &lt;&gt; "plain")=TRUE), ((G3295 &lt;&gt; "")=TRUE))</f>
        <v>0</v>
      </c>
      <c r="M3295" s="4" t="str">
        <f>IF(((E3295)=TRUE),  C3295 &amp; "|" &amp; H3295,  "")</f>
        <v>principal-knowledge-authority|StepExecutions</v>
      </c>
      <c r="N3295" s="3" t="s">
        <v>10004</v>
      </c>
    </row>
    <row r="3296">
      <c r="A3296" s="3" t="s">
        <v>13298</v>
      </c>
      <c r="B3296" s="4" t="str">
        <f>C3296 &amp; " -&gt; " &amp; D3296</f>
        <v>principal-knowledge-authority -&gt; StepExecutions.UngovernedDivergenceExecutionKey</v>
      </c>
      <c r="C3296" s="3" t="s">
        <v>9774</v>
      </c>
      <c r="D3296" s="3" t="s">
        <v>3768</v>
      </c>
      <c r="E3296" s="3" t="b">
        <v>1</v>
      </c>
      <c r="F3296" s="3" t="b">
        <v>0</v>
      </c>
      <c r="G3296" s="3" t="s">
        <v>10003</v>
      </c>
      <c r="H3296" s="4" t="str">
        <f>_xlfn.IFNA(IF(((INDEX(RulebookFields!C2:C1898, MATCH(D3296,RulebookFields!A2:A1898, 0))="")=TRUE),  "",  INDEX(RulebookFields!C2:C1898, MATCH(D3296,RulebookFields!A2:A1898, 0))), "")</f>
        <v>StepExecutions</v>
      </c>
      <c r="I3296" s="4" t="str">
        <f>_xlfn.IFNA(IF(((INDEX(RulebookFields!D2:D1898, MATCH(D3296,RulebookFields!A2:A1898, 0))="")=TRUE),  "",  INDEX(RulebookFields!D2:D1898, MATCH(D3296,RulebookFields!A2:A1898, 0))), "")</f>
        <v>UngovernedDivergenceExecutionKey</v>
      </c>
      <c r="J3296" s="4" t="b">
        <f>_xlfn.IFNA(IF(((INDEX(RulebookFields!I2:I1898, MATCH(D3296,RulebookFields!A2:A1898, 0))="")=TRUE),  "",  INDEX(RulebookFields!I2:I1898, MATCH(D3296,RulebookFields!A2:A1898, 0))), "")</f>
        <v>1</v>
      </c>
      <c r="K3296" s="4" t="b">
        <f>AND(((F3296)=TRUE), ((J3296)=TRUE))</f>
        <v>0</v>
      </c>
      <c r="L3296" s="4" t="b">
        <f>AND(((G3296 &lt;&gt; "plain")=TRUE), ((G3296 &lt;&gt; "")=TRUE))</f>
        <v>0</v>
      </c>
      <c r="M3296" s="4" t="str">
        <f>IF(((E3296)=TRUE),  C3296 &amp; "|" &amp; H3296,  "")</f>
        <v>principal-knowledge-authority|StepExecutions</v>
      </c>
      <c r="N3296" s="3" t="s">
        <v>10004</v>
      </c>
    </row>
    <row r="3297">
      <c r="A3297" s="3" t="s">
        <v>13299</v>
      </c>
      <c r="B3297" s="4" t="str">
        <f>C3297 &amp; " -&gt; " &amp; D3297</f>
        <v>principal-knowledge-authority -&gt; StepExecutions.SelfAttestedApprovalExecutionKey</v>
      </c>
      <c r="C3297" s="3" t="s">
        <v>9774</v>
      </c>
      <c r="D3297" s="3" t="s">
        <v>3770</v>
      </c>
      <c r="E3297" s="3" t="b">
        <v>1</v>
      </c>
      <c r="F3297" s="3" t="b">
        <v>0</v>
      </c>
      <c r="G3297" s="3" t="s">
        <v>10003</v>
      </c>
      <c r="H3297" s="4" t="str">
        <f>_xlfn.IFNA(IF(((INDEX(RulebookFields!C2:C1898, MATCH(D3297,RulebookFields!A2:A1898, 0))="")=TRUE),  "",  INDEX(RulebookFields!C2:C1898, MATCH(D3297,RulebookFields!A2:A1898, 0))), "")</f>
        <v>StepExecutions</v>
      </c>
      <c r="I3297" s="4" t="str">
        <f>_xlfn.IFNA(IF(((INDEX(RulebookFields!D2:D1898, MATCH(D3297,RulebookFields!A2:A1898, 0))="")=TRUE),  "",  INDEX(RulebookFields!D2:D1898, MATCH(D3297,RulebookFields!A2:A1898, 0))), "")</f>
        <v>SelfAttestedApprovalExecutionKey</v>
      </c>
      <c r="J3297" s="4" t="b">
        <f>_xlfn.IFNA(IF(((INDEX(RulebookFields!I2:I1898, MATCH(D3297,RulebookFields!A2:A1898, 0))="")=TRUE),  "",  INDEX(RulebookFields!I2:I1898, MATCH(D3297,RulebookFields!A2:A1898, 0))), "")</f>
        <v>1</v>
      </c>
      <c r="K3297" s="4" t="b">
        <f>AND(((F3297)=TRUE), ((J3297)=TRUE))</f>
        <v>0</v>
      </c>
      <c r="L3297" s="4" t="b">
        <f>AND(((G3297 &lt;&gt; "plain")=TRUE), ((G3297 &lt;&gt; "")=TRUE))</f>
        <v>0</v>
      </c>
      <c r="M3297" s="4" t="str">
        <f>IF(((E3297)=TRUE),  C3297 &amp; "|" &amp; H3297,  "")</f>
        <v>principal-knowledge-authority|StepExecutions</v>
      </c>
      <c r="N3297" s="3" t="s">
        <v>10004</v>
      </c>
    </row>
    <row r="3298">
      <c r="A3298" s="3" t="s">
        <v>13300</v>
      </c>
      <c r="B3298" s="4" t="str">
        <f>C3298 &amp; " -&gt; " &amp; D3298</f>
        <v>principal-knowledge-authority -&gt; StepExecutions.SemanticTypeIri</v>
      </c>
      <c r="C3298" s="3" t="s">
        <v>9774</v>
      </c>
      <c r="D3298" s="3" t="s">
        <v>3772</v>
      </c>
      <c r="E3298" s="3" t="b">
        <v>1</v>
      </c>
      <c r="F3298" s="3" t="b">
        <v>0</v>
      </c>
      <c r="G3298" s="3" t="s">
        <v>10003</v>
      </c>
      <c r="H3298" s="4" t="str">
        <f>_xlfn.IFNA(IF(((INDEX(RulebookFields!C2:C1898, MATCH(D3298,RulebookFields!A2:A1898, 0))="")=TRUE),  "",  INDEX(RulebookFields!C2:C1898, MATCH(D3298,RulebookFields!A2:A1898, 0))), "")</f>
        <v>StepExecutions</v>
      </c>
      <c r="I3298" s="4" t="str">
        <f>_xlfn.IFNA(IF(((INDEX(RulebookFields!D2:D1898, MATCH(D3298,RulebookFields!A2:A1898, 0))="")=TRUE),  "",  INDEX(RulebookFields!D2:D1898, MATCH(D3298,RulebookFields!A2:A1898, 0))), "")</f>
        <v>SemanticTypeIri</v>
      </c>
      <c r="J3298" s="4" t="b">
        <f>_xlfn.IFNA(IF(((INDEX(RulebookFields!I2:I1898, MATCH(D3298,RulebookFields!A2:A1898, 0))="")=TRUE),  "",  INDEX(RulebookFields!I2:I1898, MATCH(D3298,RulebookFields!A2:A1898, 0))), "")</f>
        <v>0</v>
      </c>
      <c r="K3298" s="4" t="b">
        <f>AND(((F3298)=TRUE), ((J3298)=TRUE))</f>
        <v>0</v>
      </c>
      <c r="L3298" s="4" t="b">
        <f>AND(((G3298 &lt;&gt; "plain")=TRUE), ((G3298 &lt;&gt; "")=TRUE))</f>
        <v>0</v>
      </c>
      <c r="M3298" s="4" t="str">
        <f>IF(((E3298)=TRUE),  C3298 &amp; "|" &amp; H3298,  "")</f>
        <v>principal-knowledge-authority|StepExecutions</v>
      </c>
      <c r="N3298" s="3" t="s">
        <v>10004</v>
      </c>
    </row>
    <row r="3299">
      <c r="A3299" s="3" t="s">
        <v>13301</v>
      </c>
      <c r="B3299" s="4" t="str">
        <f>C3299 &amp; " -&gt; " &amp; D3299</f>
        <v>principal-knowledge-authority -&gt; StepFunctions.StepFunctionId</v>
      </c>
      <c r="C3299" s="3" t="s">
        <v>9774</v>
      </c>
      <c r="D3299" s="3" t="s">
        <v>3033</v>
      </c>
      <c r="E3299" s="3" t="b">
        <v>1</v>
      </c>
      <c r="F3299" s="3" t="b">
        <v>0</v>
      </c>
      <c r="G3299" s="3" t="s">
        <v>10003</v>
      </c>
      <c r="H3299" s="4" t="str">
        <f>_xlfn.IFNA(IF(((INDEX(RulebookFields!C2:C1898, MATCH(D3299,RulebookFields!A2:A1898, 0))="")=TRUE),  "",  INDEX(RulebookFields!C2:C1898, MATCH(D3299,RulebookFields!A2:A1898, 0))), "")</f>
        <v>StepFunctions</v>
      </c>
      <c r="I3299" s="4" t="str">
        <f>_xlfn.IFNA(IF(((INDEX(RulebookFields!D2:D1898, MATCH(D3299,RulebookFields!A2:A1898, 0))="")=TRUE),  "",  INDEX(RulebookFields!D2:D1898, MATCH(D3299,RulebookFields!A2:A1898, 0))), "")</f>
        <v>StepFunctionId</v>
      </c>
      <c r="J3299" s="4" t="b">
        <f>_xlfn.IFNA(IF(((INDEX(RulebookFields!I2:I1898, MATCH(D3299,RulebookFields!A2:A1898, 0))="")=TRUE),  "",  INDEX(RulebookFields!I2:I1898, MATCH(D3299,RulebookFields!A2:A1898, 0))), "")</f>
        <v>0</v>
      </c>
      <c r="K3299" s="4" t="b">
        <f>AND(((F3299)=TRUE), ((J3299)=TRUE))</f>
        <v>0</v>
      </c>
      <c r="L3299" s="4" t="b">
        <f>AND(((G3299 &lt;&gt; "plain")=TRUE), ((G3299 &lt;&gt; "")=TRUE))</f>
        <v>0</v>
      </c>
      <c r="M3299" s="4" t="str">
        <f>IF(((E3299)=TRUE),  C3299 &amp; "|" &amp; H3299,  "")</f>
        <v>principal-knowledge-authority|StepFunctions</v>
      </c>
      <c r="N3299" s="3" t="s">
        <v>10004</v>
      </c>
    </row>
    <row r="3300">
      <c r="A3300" s="3" t="s">
        <v>13302</v>
      </c>
      <c r="B3300" s="4" t="str">
        <f>C3300 &amp; " -&gt; " &amp; D3300</f>
        <v>principal-knowledge-authority -&gt; StepFunctions.Name</v>
      </c>
      <c r="C3300" s="3" t="s">
        <v>9774</v>
      </c>
      <c r="D3300" s="3" t="s">
        <v>3035</v>
      </c>
      <c r="E3300" s="3" t="b">
        <v>1</v>
      </c>
      <c r="F3300" s="3" t="b">
        <v>0</v>
      </c>
      <c r="G3300" s="3" t="s">
        <v>10003</v>
      </c>
      <c r="H3300" s="4" t="str">
        <f>_xlfn.IFNA(IF(((INDEX(RulebookFields!C2:C1898, MATCH(D3300,RulebookFields!A2:A1898, 0))="")=TRUE),  "",  INDEX(RulebookFields!C2:C1898, MATCH(D3300,RulebookFields!A2:A1898, 0))), "")</f>
        <v>StepFunctions</v>
      </c>
      <c r="I3300" s="4" t="str">
        <f>_xlfn.IFNA(IF(((INDEX(RulebookFields!D2:D1898, MATCH(D3300,RulebookFields!A2:A1898, 0))="")=TRUE),  "",  INDEX(RulebookFields!D2:D1898, MATCH(D3300,RulebookFields!A2:A1898, 0))), "")</f>
        <v>Name</v>
      </c>
      <c r="J3300" s="4" t="b">
        <f>_xlfn.IFNA(IF(((INDEX(RulebookFields!I2:I1898, MATCH(D3300,RulebookFields!A2:A1898, 0))="")=TRUE),  "",  INDEX(RulebookFields!I2:I1898, MATCH(D3300,RulebookFields!A2:A1898, 0))), "")</f>
        <v>1</v>
      </c>
      <c r="K3300" s="4" t="b">
        <f>AND(((F3300)=TRUE), ((J3300)=TRUE))</f>
        <v>0</v>
      </c>
      <c r="L3300" s="4" t="b">
        <f>AND(((G3300 &lt;&gt; "plain")=TRUE), ((G3300 &lt;&gt; "")=TRUE))</f>
        <v>0</v>
      </c>
      <c r="M3300" s="4" t="str">
        <f>IF(((E3300)=TRUE),  C3300 &amp; "|" &amp; H3300,  "")</f>
        <v>principal-knowledge-authority|StepFunctions</v>
      </c>
      <c r="N3300" s="3" t="s">
        <v>10004</v>
      </c>
    </row>
    <row r="3301">
      <c r="A3301" s="3" t="s">
        <v>13303</v>
      </c>
      <c r="B3301" s="4" t="str">
        <f>C3301 &amp; " -&gt; " &amp; D3301</f>
        <v>principal-knowledge-authority -&gt; StepFunctions.Step</v>
      </c>
      <c r="C3301" s="3" t="s">
        <v>9774</v>
      </c>
      <c r="D3301" s="3" t="s">
        <v>3037</v>
      </c>
      <c r="E3301" s="3" t="b">
        <v>1</v>
      </c>
      <c r="F3301" s="3" t="b">
        <v>0</v>
      </c>
      <c r="G3301" s="3" t="s">
        <v>10003</v>
      </c>
      <c r="H3301" s="4" t="str">
        <f>_xlfn.IFNA(IF(((INDEX(RulebookFields!C2:C1898, MATCH(D3301,RulebookFields!A2:A1898, 0))="")=TRUE),  "",  INDEX(RulebookFields!C2:C1898, MATCH(D3301,RulebookFields!A2:A1898, 0))), "")</f>
        <v>StepFunctions</v>
      </c>
      <c r="I3301" s="4" t="str">
        <f>_xlfn.IFNA(IF(((INDEX(RulebookFields!D2:D1898, MATCH(D3301,RulebookFields!A2:A1898, 0))="")=TRUE),  "",  INDEX(RulebookFields!D2:D1898, MATCH(D3301,RulebookFields!A2:A1898, 0))), "")</f>
        <v>Step</v>
      </c>
      <c r="J3301" s="4" t="b">
        <f>_xlfn.IFNA(IF(((INDEX(RulebookFields!I2:I1898, MATCH(D3301,RulebookFields!A2:A1898, 0))="")=TRUE),  "",  INDEX(RulebookFields!I2:I1898, MATCH(D3301,RulebookFields!A2:A1898, 0))), "")</f>
        <v>0</v>
      </c>
      <c r="K3301" s="4" t="b">
        <f>AND(((F3301)=TRUE), ((J3301)=TRUE))</f>
        <v>0</v>
      </c>
      <c r="L3301" s="4" t="b">
        <f>AND(((G3301 &lt;&gt; "plain")=TRUE), ((G3301 &lt;&gt; "")=TRUE))</f>
        <v>0</v>
      </c>
      <c r="M3301" s="4" t="str">
        <f>IF(((E3301)=TRUE),  C3301 &amp; "|" &amp; H3301,  "")</f>
        <v>principal-knowledge-authority|StepFunctions</v>
      </c>
      <c r="N3301" s="3" t="s">
        <v>10004</v>
      </c>
    </row>
    <row r="3302">
      <c r="A3302" s="3" t="s">
        <v>13304</v>
      </c>
      <c r="B3302" s="4" t="str">
        <f>C3302 &amp; " -&gt; " &amp; D3302</f>
        <v>principal-knowledge-authority -&gt; StepFunctions.Function</v>
      </c>
      <c r="C3302" s="3" t="s">
        <v>9774</v>
      </c>
      <c r="D3302" s="3" t="s">
        <v>3038</v>
      </c>
      <c r="E3302" s="3" t="b">
        <v>1</v>
      </c>
      <c r="F3302" s="3" t="b">
        <v>0</v>
      </c>
      <c r="G3302" s="3" t="s">
        <v>10003</v>
      </c>
      <c r="H3302" s="4" t="str">
        <f>_xlfn.IFNA(IF(((INDEX(RulebookFields!C2:C1898, MATCH(D3302,RulebookFields!A2:A1898, 0))="")=TRUE),  "",  INDEX(RulebookFields!C2:C1898, MATCH(D3302,RulebookFields!A2:A1898, 0))), "")</f>
        <v>StepFunctions</v>
      </c>
      <c r="I3302" s="4" t="str">
        <f>_xlfn.IFNA(IF(((INDEX(RulebookFields!D2:D1898, MATCH(D3302,RulebookFields!A2:A1898, 0))="")=TRUE),  "",  INDEX(RulebookFields!D2:D1898, MATCH(D3302,RulebookFields!A2:A1898, 0))), "")</f>
        <v>Function</v>
      </c>
      <c r="J3302" s="4" t="b">
        <f>_xlfn.IFNA(IF(((INDEX(RulebookFields!I2:I1898, MATCH(D3302,RulebookFields!A2:A1898, 0))="")=TRUE),  "",  INDEX(RulebookFields!I2:I1898, MATCH(D3302,RulebookFields!A2:A1898, 0))), "")</f>
        <v>0</v>
      </c>
      <c r="K3302" s="4" t="b">
        <f>AND(((F3302)=TRUE), ((J3302)=TRUE))</f>
        <v>0</v>
      </c>
      <c r="L3302" s="4" t="b">
        <f>AND(((G3302 &lt;&gt; "plain")=TRUE), ((G3302 &lt;&gt; "")=TRUE))</f>
        <v>0</v>
      </c>
      <c r="M3302" s="4" t="str">
        <f>IF(((E3302)=TRUE),  C3302 &amp; "|" &amp; H3302,  "")</f>
        <v>principal-knowledge-authority|StepFunctions</v>
      </c>
      <c r="N3302" s="3" t="s">
        <v>10004</v>
      </c>
    </row>
    <row r="3303">
      <c r="A3303" s="3" t="s">
        <v>13305</v>
      </c>
      <c r="B3303" s="4" t="str">
        <f>C3303 &amp; " -&gt; " &amp; D3303</f>
        <v>principal-knowledge-authority -&gt; StepRequirements.StepRequirementId</v>
      </c>
      <c r="C3303" s="3" t="s">
        <v>9774</v>
      </c>
      <c r="D3303" s="3" t="s">
        <v>3118</v>
      </c>
      <c r="E3303" s="3" t="b">
        <v>1</v>
      </c>
      <c r="F3303" s="3" t="b">
        <v>0</v>
      </c>
      <c r="G3303" s="3" t="s">
        <v>10003</v>
      </c>
      <c r="H3303" s="4" t="str">
        <f>_xlfn.IFNA(IF(((INDEX(RulebookFields!C2:C1898, MATCH(D3303,RulebookFields!A2:A1898, 0))="")=TRUE),  "",  INDEX(RulebookFields!C2:C1898, MATCH(D3303,RulebookFields!A2:A1898, 0))), "")</f>
        <v>StepRequirements</v>
      </c>
      <c r="I3303" s="4" t="str">
        <f>_xlfn.IFNA(IF(((INDEX(RulebookFields!D2:D1898, MATCH(D3303,RulebookFields!A2:A1898, 0))="")=TRUE),  "",  INDEX(RulebookFields!D2:D1898, MATCH(D3303,RulebookFields!A2:A1898, 0))), "")</f>
        <v>StepRequirementId</v>
      </c>
      <c r="J3303" s="4" t="b">
        <f>_xlfn.IFNA(IF(((INDEX(RulebookFields!I2:I1898, MATCH(D3303,RulebookFields!A2:A1898, 0))="")=TRUE),  "",  INDEX(RulebookFields!I2:I1898, MATCH(D3303,RulebookFields!A2:A1898, 0))), "")</f>
        <v>0</v>
      </c>
      <c r="K3303" s="4" t="b">
        <f>AND(((F3303)=TRUE), ((J3303)=TRUE))</f>
        <v>0</v>
      </c>
      <c r="L3303" s="4" t="b">
        <f>AND(((G3303 &lt;&gt; "plain")=TRUE), ((G3303 &lt;&gt; "")=TRUE))</f>
        <v>0</v>
      </c>
      <c r="M3303" s="4" t="str">
        <f>IF(((E3303)=TRUE),  C3303 &amp; "|" &amp; H3303,  "")</f>
        <v>principal-knowledge-authority|StepRequirements</v>
      </c>
      <c r="N3303" s="3" t="s">
        <v>10004</v>
      </c>
    </row>
    <row r="3304">
      <c r="A3304" s="3" t="s">
        <v>13306</v>
      </c>
      <c r="B3304" s="4" t="str">
        <f>C3304 &amp; " -&gt; " &amp; D3304</f>
        <v>principal-knowledge-authority -&gt; StepRequirements.Name</v>
      </c>
      <c r="C3304" s="3" t="s">
        <v>9774</v>
      </c>
      <c r="D3304" s="3" t="s">
        <v>3120</v>
      </c>
      <c r="E3304" s="3" t="b">
        <v>1</v>
      </c>
      <c r="F3304" s="3" t="b">
        <v>0</v>
      </c>
      <c r="G3304" s="3" t="s">
        <v>10003</v>
      </c>
      <c r="H3304" s="4" t="str">
        <f>_xlfn.IFNA(IF(((INDEX(RulebookFields!C2:C1898, MATCH(D3304,RulebookFields!A2:A1898, 0))="")=TRUE),  "",  INDEX(RulebookFields!C2:C1898, MATCH(D3304,RulebookFields!A2:A1898, 0))), "")</f>
        <v>StepRequirements</v>
      </c>
      <c r="I3304" s="4" t="str">
        <f>_xlfn.IFNA(IF(((INDEX(RulebookFields!D2:D1898, MATCH(D3304,RulebookFields!A2:A1898, 0))="")=TRUE),  "",  INDEX(RulebookFields!D2:D1898, MATCH(D3304,RulebookFields!A2:A1898, 0))), "")</f>
        <v>Name</v>
      </c>
      <c r="J3304" s="4" t="b">
        <f>_xlfn.IFNA(IF(((INDEX(RulebookFields!I2:I1898, MATCH(D3304,RulebookFields!A2:A1898, 0))="")=TRUE),  "",  INDEX(RulebookFields!I2:I1898, MATCH(D3304,RulebookFields!A2:A1898, 0))), "")</f>
        <v>1</v>
      </c>
      <c r="K3304" s="4" t="b">
        <f>AND(((F3304)=TRUE), ((J3304)=TRUE))</f>
        <v>0</v>
      </c>
      <c r="L3304" s="4" t="b">
        <f>AND(((G3304 &lt;&gt; "plain")=TRUE), ((G3304 &lt;&gt; "")=TRUE))</f>
        <v>0</v>
      </c>
      <c r="M3304" s="4" t="str">
        <f>IF(((E3304)=TRUE),  C3304 &amp; "|" &amp; H3304,  "")</f>
        <v>principal-knowledge-authority|StepRequirements</v>
      </c>
      <c r="N3304" s="3" t="s">
        <v>10004</v>
      </c>
    </row>
    <row r="3305">
      <c r="A3305" s="3" t="s">
        <v>13307</v>
      </c>
      <c r="B3305" s="4" t="str">
        <f>C3305 &amp; " -&gt; " &amp; D3305</f>
        <v>principal-knowledge-authority -&gt; StepRequirements.Step</v>
      </c>
      <c r="C3305" s="3" t="s">
        <v>9774</v>
      </c>
      <c r="D3305" s="3" t="s">
        <v>3122</v>
      </c>
      <c r="E3305" s="3" t="b">
        <v>1</v>
      </c>
      <c r="F3305" s="3" t="b">
        <v>0</v>
      </c>
      <c r="G3305" s="3" t="s">
        <v>10003</v>
      </c>
      <c r="H3305" s="4" t="str">
        <f>_xlfn.IFNA(IF(((INDEX(RulebookFields!C2:C1898, MATCH(D3305,RulebookFields!A2:A1898, 0))="")=TRUE),  "",  INDEX(RulebookFields!C2:C1898, MATCH(D3305,RulebookFields!A2:A1898, 0))), "")</f>
        <v>StepRequirements</v>
      </c>
      <c r="I3305" s="4" t="str">
        <f>_xlfn.IFNA(IF(((INDEX(RulebookFields!D2:D1898, MATCH(D3305,RulebookFields!A2:A1898, 0))="")=TRUE),  "",  INDEX(RulebookFields!D2:D1898, MATCH(D3305,RulebookFields!A2:A1898, 0))), "")</f>
        <v>Step</v>
      </c>
      <c r="J3305" s="4" t="b">
        <f>_xlfn.IFNA(IF(((INDEX(RulebookFields!I2:I1898, MATCH(D3305,RulebookFields!A2:A1898, 0))="")=TRUE),  "",  INDEX(RulebookFields!I2:I1898, MATCH(D3305,RulebookFields!A2:A1898, 0))), "")</f>
        <v>0</v>
      </c>
      <c r="K3305" s="4" t="b">
        <f>AND(((F3305)=TRUE), ((J3305)=TRUE))</f>
        <v>0</v>
      </c>
      <c r="L3305" s="4" t="b">
        <f>AND(((G3305 &lt;&gt; "plain")=TRUE), ((G3305 &lt;&gt; "")=TRUE))</f>
        <v>0</v>
      </c>
      <c r="M3305" s="4" t="str">
        <f>IF(((E3305)=TRUE),  C3305 &amp; "|" &amp; H3305,  "")</f>
        <v>principal-knowledge-authority|StepRequirements</v>
      </c>
      <c r="N3305" s="3" t="s">
        <v>10004</v>
      </c>
    </row>
    <row r="3306">
      <c r="A3306" s="3" t="s">
        <v>13308</v>
      </c>
      <c r="B3306" s="4" t="str">
        <f>C3306 &amp; " -&gt; " &amp; D3306</f>
        <v>principal-knowledge-authority -&gt; StepRequirements.Requirement</v>
      </c>
      <c r="C3306" s="3" t="s">
        <v>9774</v>
      </c>
      <c r="D3306" s="3" t="s">
        <v>3123</v>
      </c>
      <c r="E3306" s="3" t="b">
        <v>1</v>
      </c>
      <c r="F3306" s="3" t="b">
        <v>0</v>
      </c>
      <c r="G3306" s="3" t="s">
        <v>10003</v>
      </c>
      <c r="H3306" s="4" t="str">
        <f>_xlfn.IFNA(IF(((INDEX(RulebookFields!C2:C1898, MATCH(D3306,RulebookFields!A2:A1898, 0))="")=TRUE),  "",  INDEX(RulebookFields!C2:C1898, MATCH(D3306,RulebookFields!A2:A1898, 0))), "")</f>
        <v>StepRequirements</v>
      </c>
      <c r="I3306" s="4" t="str">
        <f>_xlfn.IFNA(IF(((INDEX(RulebookFields!D2:D1898, MATCH(D3306,RulebookFields!A2:A1898, 0))="")=TRUE),  "",  INDEX(RulebookFields!D2:D1898, MATCH(D3306,RulebookFields!A2:A1898, 0))), "")</f>
        <v>Requirement</v>
      </c>
      <c r="J3306" s="4" t="b">
        <f>_xlfn.IFNA(IF(((INDEX(RulebookFields!I2:I1898, MATCH(D3306,RulebookFields!A2:A1898, 0))="")=TRUE),  "",  INDEX(RulebookFields!I2:I1898, MATCH(D3306,RulebookFields!A2:A1898, 0))), "")</f>
        <v>0</v>
      </c>
      <c r="K3306" s="4" t="b">
        <f>AND(((F3306)=TRUE), ((J3306)=TRUE))</f>
        <v>0</v>
      </c>
      <c r="L3306" s="4" t="b">
        <f>AND(((G3306 &lt;&gt; "plain")=TRUE), ((G3306 &lt;&gt; "")=TRUE))</f>
        <v>0</v>
      </c>
      <c r="M3306" s="4" t="str">
        <f>IF(((E3306)=TRUE),  C3306 &amp; "|" &amp; H3306,  "")</f>
        <v>principal-knowledge-authority|StepRequirements</v>
      </c>
      <c r="N3306" s="3" t="s">
        <v>10004</v>
      </c>
    </row>
    <row r="3307">
      <c r="A3307" s="3" t="s">
        <v>13309</v>
      </c>
      <c r="B3307" s="4" t="str">
        <f>C3307 &amp; " -&gt; " &amp; D3307</f>
        <v>principal-knowledge-authority -&gt; StepRequirements.RequirementIsBlocking</v>
      </c>
      <c r="C3307" s="3" t="s">
        <v>9774</v>
      </c>
      <c r="D3307" s="3" t="s">
        <v>3124</v>
      </c>
      <c r="E3307" s="3" t="b">
        <v>1</v>
      </c>
      <c r="F3307" s="3" t="b">
        <v>0</v>
      </c>
      <c r="G3307" s="3" t="s">
        <v>10003</v>
      </c>
      <c r="H3307" s="4" t="str">
        <f>_xlfn.IFNA(IF(((INDEX(RulebookFields!C2:C1898, MATCH(D3307,RulebookFields!A2:A1898, 0))="")=TRUE),  "",  INDEX(RulebookFields!C2:C1898, MATCH(D3307,RulebookFields!A2:A1898, 0))), "")</f>
        <v>StepRequirements</v>
      </c>
      <c r="I3307" s="4" t="str">
        <f>_xlfn.IFNA(IF(((INDEX(RulebookFields!D2:D1898, MATCH(D3307,RulebookFields!A2:A1898, 0))="")=TRUE),  "",  INDEX(RulebookFields!D2:D1898, MATCH(D3307,RulebookFields!A2:A1898, 0))), "")</f>
        <v>RequirementIsBlocking</v>
      </c>
      <c r="J3307" s="4" t="b">
        <f>_xlfn.IFNA(IF(((INDEX(RulebookFields!I2:I1898, MATCH(D3307,RulebookFields!A2:A1898, 0))="")=TRUE),  "",  INDEX(RulebookFields!I2:I1898, MATCH(D3307,RulebookFields!A2:A1898, 0))), "")</f>
        <v>1</v>
      </c>
      <c r="K3307" s="4" t="b">
        <f>AND(((F3307)=TRUE), ((J3307)=TRUE))</f>
        <v>0</v>
      </c>
      <c r="L3307" s="4" t="b">
        <f>AND(((G3307 &lt;&gt; "plain")=TRUE), ((G3307 &lt;&gt; "")=TRUE))</f>
        <v>0</v>
      </c>
      <c r="M3307" s="4" t="str">
        <f>IF(((E3307)=TRUE),  C3307 &amp; "|" &amp; H3307,  "")</f>
        <v>principal-knowledge-authority|StepRequirements</v>
      </c>
      <c r="N3307" s="3" t="s">
        <v>10004</v>
      </c>
    </row>
    <row r="3308">
      <c r="A3308" s="3" t="s">
        <v>13310</v>
      </c>
      <c r="B3308" s="4" t="str">
        <f>C3308 &amp; " -&gt; " &amp; D3308</f>
        <v>principal-knowledge-authority -&gt; StepRequirements.BlockingStepKey</v>
      </c>
      <c r="C3308" s="3" t="s">
        <v>9774</v>
      </c>
      <c r="D3308" s="3" t="s">
        <v>3126</v>
      </c>
      <c r="E3308" s="3" t="b">
        <v>1</v>
      </c>
      <c r="F3308" s="3" t="b">
        <v>0</v>
      </c>
      <c r="G3308" s="3" t="s">
        <v>10003</v>
      </c>
      <c r="H3308" s="4" t="str">
        <f>_xlfn.IFNA(IF(((INDEX(RulebookFields!C2:C1898, MATCH(D3308,RulebookFields!A2:A1898, 0))="")=TRUE),  "",  INDEX(RulebookFields!C2:C1898, MATCH(D3308,RulebookFields!A2:A1898, 0))), "")</f>
        <v>StepRequirements</v>
      </c>
      <c r="I3308" s="4" t="str">
        <f>_xlfn.IFNA(IF(((INDEX(RulebookFields!D2:D1898, MATCH(D3308,RulebookFields!A2:A1898, 0))="")=TRUE),  "",  INDEX(RulebookFields!D2:D1898, MATCH(D3308,RulebookFields!A2:A1898, 0))), "")</f>
        <v>BlockingStepKey</v>
      </c>
      <c r="J3308" s="4" t="b">
        <f>_xlfn.IFNA(IF(((INDEX(RulebookFields!I2:I1898, MATCH(D3308,RulebookFields!A2:A1898, 0))="")=TRUE),  "",  INDEX(RulebookFields!I2:I1898, MATCH(D3308,RulebookFields!A2:A1898, 0))), "")</f>
        <v>1</v>
      </c>
      <c r="K3308" s="4" t="b">
        <f>AND(((F3308)=TRUE), ((J3308)=TRUE))</f>
        <v>0</v>
      </c>
      <c r="L3308" s="4" t="b">
        <f>AND(((G3308 &lt;&gt; "plain")=TRUE), ((G3308 &lt;&gt; "")=TRUE))</f>
        <v>0</v>
      </c>
      <c r="M3308" s="4" t="str">
        <f>IF(((E3308)=TRUE),  C3308 &amp; "|" &amp; H3308,  "")</f>
        <v>principal-knowledge-authority|StepRequirements</v>
      </c>
      <c r="N3308" s="3" t="s">
        <v>10004</v>
      </c>
    </row>
    <row r="3309">
      <c r="A3309" s="3" t="s">
        <v>13311</v>
      </c>
      <c r="B3309" s="4" t="str">
        <f>C3309 &amp; " -&gt; " &amp; D3309</f>
        <v>principal-knowledge-authority -&gt; StepRequirements.StepWhenBlocking</v>
      </c>
      <c r="C3309" s="3" t="s">
        <v>9774</v>
      </c>
      <c r="D3309" s="3" t="s">
        <v>3128</v>
      </c>
      <c r="E3309" s="3" t="b">
        <v>1</v>
      </c>
      <c r="F3309" s="3" t="b">
        <v>0</v>
      </c>
      <c r="G3309" s="3" t="s">
        <v>10003</v>
      </c>
      <c r="H3309" s="4" t="str">
        <f>_xlfn.IFNA(IF(((INDEX(RulebookFields!C2:C1898, MATCH(D3309,RulebookFields!A2:A1898, 0))="")=TRUE),  "",  INDEX(RulebookFields!C2:C1898, MATCH(D3309,RulebookFields!A2:A1898, 0))), "")</f>
        <v>StepRequirements</v>
      </c>
      <c r="I3309" s="4" t="str">
        <f>_xlfn.IFNA(IF(((INDEX(RulebookFields!D2:D1898, MATCH(D3309,RulebookFields!A2:A1898, 0))="")=TRUE),  "",  INDEX(RulebookFields!D2:D1898, MATCH(D3309,RulebookFields!A2:A1898, 0))), "")</f>
        <v>StepWhenBlocking</v>
      </c>
      <c r="J3309" s="4" t="b">
        <f>_xlfn.IFNA(IF(((INDEX(RulebookFields!I2:I1898, MATCH(D3309,RulebookFields!A2:A1898, 0))="")=TRUE),  "",  INDEX(RulebookFields!I2:I1898, MATCH(D3309,RulebookFields!A2:A1898, 0))), "")</f>
        <v>1</v>
      </c>
      <c r="K3309" s="4" t="b">
        <f>AND(((F3309)=TRUE), ((J3309)=TRUE))</f>
        <v>0</v>
      </c>
      <c r="L3309" s="4" t="b">
        <f>AND(((G3309 &lt;&gt; "plain")=TRUE), ((G3309 &lt;&gt; "")=TRUE))</f>
        <v>0</v>
      </c>
      <c r="M3309" s="4" t="str">
        <f>IF(((E3309)=TRUE),  C3309 &amp; "|" &amp; H3309,  "")</f>
        <v>principal-knowledge-authority|StepRequirements</v>
      </c>
      <c r="N3309" s="3" t="s">
        <v>10004</v>
      </c>
    </row>
    <row r="3310">
      <c r="A3310" s="3" t="s">
        <v>13312</v>
      </c>
      <c r="B3310" s="4" t="str">
        <f>C3310 &amp; " -&gt; " &amp; D3310</f>
        <v>principal-knowledge-authority -&gt; StepRequirements.RequirementLacksWitness</v>
      </c>
      <c r="C3310" s="3" t="s">
        <v>9774</v>
      </c>
      <c r="D3310" s="3" t="s">
        <v>3129</v>
      </c>
      <c r="E3310" s="3" t="b">
        <v>1</v>
      </c>
      <c r="F3310" s="3" t="b">
        <v>0</v>
      </c>
      <c r="G3310" s="3" t="s">
        <v>10003</v>
      </c>
      <c r="H3310" s="4" t="str">
        <f>_xlfn.IFNA(IF(((INDEX(RulebookFields!C2:C1898, MATCH(D3310,RulebookFields!A2:A1898, 0))="")=TRUE),  "",  INDEX(RulebookFields!C2:C1898, MATCH(D3310,RulebookFields!A2:A1898, 0))), "")</f>
        <v>StepRequirements</v>
      </c>
      <c r="I3310" s="4" t="str">
        <f>_xlfn.IFNA(IF(((INDEX(RulebookFields!D2:D1898, MATCH(D3310,RulebookFields!A2:A1898, 0))="")=TRUE),  "",  INDEX(RulebookFields!D2:D1898, MATCH(D3310,RulebookFields!A2:A1898, 0))), "")</f>
        <v>RequirementLacksWitness</v>
      </c>
      <c r="J3310" s="4" t="b">
        <f>_xlfn.IFNA(IF(((INDEX(RulebookFields!I2:I1898, MATCH(D3310,RulebookFields!A2:A1898, 0))="")=TRUE),  "",  INDEX(RulebookFields!I2:I1898, MATCH(D3310,RulebookFields!A2:A1898, 0))), "")</f>
        <v>1</v>
      </c>
      <c r="K3310" s="4" t="b">
        <f>AND(((F3310)=TRUE), ((J3310)=TRUE))</f>
        <v>0</v>
      </c>
      <c r="L3310" s="4" t="b">
        <f>AND(((G3310 &lt;&gt; "plain")=TRUE), ((G3310 &lt;&gt; "")=TRUE))</f>
        <v>0</v>
      </c>
      <c r="M3310" s="4" t="str">
        <f>IF(((E3310)=TRUE),  C3310 &amp; "|" &amp; H3310,  "")</f>
        <v>principal-knowledge-authority|StepRequirements</v>
      </c>
      <c r="N3310" s="3" t="s">
        <v>10004</v>
      </c>
    </row>
    <row r="3311">
      <c r="A3311" s="3" t="s">
        <v>13313</v>
      </c>
      <c r="B3311" s="4" t="str">
        <f>C3311 &amp; " -&gt; " &amp; D3311</f>
        <v>principal-knowledge-authority -&gt; StepRequirements.UnwitnessedStepKey</v>
      </c>
      <c r="C3311" s="3" t="s">
        <v>9774</v>
      </c>
      <c r="D3311" s="3" t="s">
        <v>3131</v>
      </c>
      <c r="E3311" s="3" t="b">
        <v>1</v>
      </c>
      <c r="F3311" s="3" t="b">
        <v>0</v>
      </c>
      <c r="G3311" s="3" t="s">
        <v>10003</v>
      </c>
      <c r="H3311" s="4" t="str">
        <f>_xlfn.IFNA(IF(((INDEX(RulebookFields!C2:C1898, MATCH(D3311,RulebookFields!A2:A1898, 0))="")=TRUE),  "",  INDEX(RulebookFields!C2:C1898, MATCH(D3311,RulebookFields!A2:A1898, 0))), "")</f>
        <v>StepRequirements</v>
      </c>
      <c r="I3311" s="4" t="str">
        <f>_xlfn.IFNA(IF(((INDEX(RulebookFields!D2:D1898, MATCH(D3311,RulebookFields!A2:A1898, 0))="")=TRUE),  "",  INDEX(RulebookFields!D2:D1898, MATCH(D3311,RulebookFields!A2:A1898, 0))), "")</f>
        <v>UnwitnessedStepKey</v>
      </c>
      <c r="J3311" s="4" t="b">
        <f>_xlfn.IFNA(IF(((INDEX(RulebookFields!I2:I1898, MATCH(D3311,RulebookFields!A2:A1898, 0))="")=TRUE),  "",  INDEX(RulebookFields!I2:I1898, MATCH(D3311,RulebookFields!A2:A1898, 0))), "")</f>
        <v>1</v>
      </c>
      <c r="K3311" s="4" t="b">
        <f>AND(((F3311)=TRUE), ((J3311)=TRUE))</f>
        <v>0</v>
      </c>
      <c r="L3311" s="4" t="b">
        <f>AND(((G3311 &lt;&gt; "plain")=TRUE), ((G3311 &lt;&gt; "")=TRUE))</f>
        <v>0</v>
      </c>
      <c r="M3311" s="4" t="str">
        <f>IF(((E3311)=TRUE),  C3311 &amp; "|" &amp; H3311,  "")</f>
        <v>principal-knowledge-authority|StepRequirements</v>
      </c>
      <c r="N3311" s="3" t="s">
        <v>10004</v>
      </c>
    </row>
    <row r="3312">
      <c r="A3312" s="3" t="s">
        <v>13314</v>
      </c>
      <c r="B3312" s="4" t="str">
        <f>C3312 &amp; " -&gt; " &amp; D3312</f>
        <v>principal-knowledge-authority -&gt; StepRequirements.SatisfactionCountForBinding</v>
      </c>
      <c r="C3312" s="3" t="s">
        <v>9774</v>
      </c>
      <c r="D3312" s="3" t="s">
        <v>3133</v>
      </c>
      <c r="E3312" s="3" t="b">
        <v>1</v>
      </c>
      <c r="F3312" s="3" t="b">
        <v>0</v>
      </c>
      <c r="G3312" s="3" t="s">
        <v>10003</v>
      </c>
      <c r="H3312" s="4" t="str">
        <f>_xlfn.IFNA(IF(((INDEX(RulebookFields!C2:C1898, MATCH(D3312,RulebookFields!A2:A1898, 0))="")=TRUE),  "",  INDEX(RulebookFields!C2:C1898, MATCH(D3312,RulebookFields!A2:A1898, 0))), "")</f>
        <v>StepRequirements</v>
      </c>
      <c r="I3312" s="4" t="str">
        <f>_xlfn.IFNA(IF(((INDEX(RulebookFields!D2:D1898, MATCH(D3312,RulebookFields!A2:A1898, 0))="")=TRUE),  "",  INDEX(RulebookFields!D2:D1898, MATCH(D3312,RulebookFields!A2:A1898, 0))), "")</f>
        <v>SatisfactionCountForBinding</v>
      </c>
      <c r="J3312" s="4" t="b">
        <f>_xlfn.IFNA(IF(((INDEX(RulebookFields!I2:I1898, MATCH(D3312,RulebookFields!A2:A1898, 0))="")=TRUE),  "",  INDEX(RulebookFields!I2:I1898, MATCH(D3312,RulebookFields!A2:A1898, 0))), "")</f>
        <v>1</v>
      </c>
      <c r="K3312" s="4" t="b">
        <f>AND(((F3312)=TRUE), ((J3312)=TRUE))</f>
        <v>0</v>
      </c>
      <c r="L3312" s="4" t="b">
        <f>AND(((G3312 &lt;&gt; "plain")=TRUE), ((G3312 &lt;&gt; "")=TRUE))</f>
        <v>0</v>
      </c>
      <c r="M3312" s="4" t="str">
        <f>IF(((E3312)=TRUE),  C3312 &amp; "|" &amp; H3312,  "")</f>
        <v>principal-knowledge-authority|StepRequirements</v>
      </c>
      <c r="N3312" s="3" t="s">
        <v>10004</v>
      </c>
    </row>
    <row r="3313">
      <c r="A3313" s="3" t="s">
        <v>13315</v>
      </c>
      <c r="B3313" s="4" t="str">
        <f>C3313 &amp; " -&gt; " &amp; D3313</f>
        <v>principal-knowledge-authority -&gt; StepRequirements.BindingWasEverExercised</v>
      </c>
      <c r="C3313" s="3" t="s">
        <v>9774</v>
      </c>
      <c r="D3313" s="3" t="s">
        <v>3135</v>
      </c>
      <c r="E3313" s="3" t="b">
        <v>1</v>
      </c>
      <c r="F3313" s="3" t="b">
        <v>0</v>
      </c>
      <c r="G3313" s="3" t="s">
        <v>10003</v>
      </c>
      <c r="H3313" s="4" t="str">
        <f>_xlfn.IFNA(IF(((INDEX(RulebookFields!C2:C1898, MATCH(D3313,RulebookFields!A2:A1898, 0))="")=TRUE),  "",  INDEX(RulebookFields!C2:C1898, MATCH(D3313,RulebookFields!A2:A1898, 0))), "")</f>
        <v>StepRequirements</v>
      </c>
      <c r="I3313" s="4" t="str">
        <f>_xlfn.IFNA(IF(((INDEX(RulebookFields!D2:D1898, MATCH(D3313,RulebookFields!A2:A1898, 0))="")=TRUE),  "",  INDEX(RulebookFields!D2:D1898, MATCH(D3313,RulebookFields!A2:A1898, 0))), "")</f>
        <v>BindingWasEverExercised</v>
      </c>
      <c r="J3313" s="4" t="b">
        <f>_xlfn.IFNA(IF(((INDEX(RulebookFields!I2:I1898, MATCH(D3313,RulebookFields!A2:A1898, 0))="")=TRUE),  "",  INDEX(RulebookFields!I2:I1898, MATCH(D3313,RulebookFields!A2:A1898, 0))), "")</f>
        <v>1</v>
      </c>
      <c r="K3313" s="4" t="b">
        <f>AND(((F3313)=TRUE), ((J3313)=TRUE))</f>
        <v>0</v>
      </c>
      <c r="L3313" s="4" t="b">
        <f>AND(((G3313 &lt;&gt; "plain")=TRUE), ((G3313 &lt;&gt; "")=TRUE))</f>
        <v>0</v>
      </c>
      <c r="M3313" s="4" t="str">
        <f>IF(((E3313)=TRUE),  C3313 &amp; "|" &amp; H3313,  "")</f>
        <v>principal-knowledge-authority|StepRequirements</v>
      </c>
      <c r="N3313" s="3" t="s">
        <v>10004</v>
      </c>
    </row>
    <row r="3314">
      <c r="A3314" s="3" t="s">
        <v>13316</v>
      </c>
      <c r="B3314" s="4" t="str">
        <f>C3314 &amp; " -&gt; " &amp; D3314</f>
        <v>principal-knowledge-authority -&gt; StepRequirements.IsUnexercisedBlockingBinding</v>
      </c>
      <c r="C3314" s="3" t="s">
        <v>9774</v>
      </c>
      <c r="D3314" s="3" t="s">
        <v>3137</v>
      </c>
      <c r="E3314" s="3" t="b">
        <v>1</v>
      </c>
      <c r="F3314" s="3" t="b">
        <v>0</v>
      </c>
      <c r="G3314" s="3" t="s">
        <v>10003</v>
      </c>
      <c r="H3314" s="4" t="str">
        <f>_xlfn.IFNA(IF(((INDEX(RulebookFields!C2:C1898, MATCH(D3314,RulebookFields!A2:A1898, 0))="")=TRUE),  "",  INDEX(RulebookFields!C2:C1898, MATCH(D3314,RulebookFields!A2:A1898, 0))), "")</f>
        <v>StepRequirements</v>
      </c>
      <c r="I3314" s="4" t="str">
        <f>_xlfn.IFNA(IF(((INDEX(RulebookFields!D2:D1898, MATCH(D3314,RulebookFields!A2:A1898, 0))="")=TRUE),  "",  INDEX(RulebookFields!D2:D1898, MATCH(D3314,RulebookFields!A2:A1898, 0))), "")</f>
        <v>IsUnexercisedBlockingBinding</v>
      </c>
      <c r="J3314" s="4" t="b">
        <f>_xlfn.IFNA(IF(((INDEX(RulebookFields!I2:I1898, MATCH(D3314,RulebookFields!A2:A1898, 0))="")=TRUE),  "",  INDEX(RulebookFields!I2:I1898, MATCH(D3314,RulebookFields!A2:A1898, 0))), "")</f>
        <v>1</v>
      </c>
      <c r="K3314" s="4" t="b">
        <f>AND(((F3314)=TRUE), ((J3314)=TRUE))</f>
        <v>0</v>
      </c>
      <c r="L3314" s="4" t="b">
        <f>AND(((G3314 &lt;&gt; "plain")=TRUE), ((G3314 &lt;&gt; "")=TRUE))</f>
        <v>0</v>
      </c>
      <c r="M3314" s="4" t="str">
        <f>IF(((E3314)=TRUE),  C3314 &amp; "|" &amp; H3314,  "")</f>
        <v>principal-knowledge-authority|StepRequirements</v>
      </c>
      <c r="N3314" s="3" t="s">
        <v>10004</v>
      </c>
    </row>
    <row r="3315">
      <c r="A3315" s="3" t="s">
        <v>13317</v>
      </c>
      <c r="B3315" s="4" t="str">
        <f>C3315 &amp; " -&gt; " &amp; D3315</f>
        <v>principal-knowledge-authority -&gt; StepRequirements.UnexercisedBindingRequirementKey</v>
      </c>
      <c r="C3315" s="3" t="s">
        <v>9774</v>
      </c>
      <c r="D3315" s="3" t="s">
        <v>3139</v>
      </c>
      <c r="E3315" s="3" t="b">
        <v>1</v>
      </c>
      <c r="F3315" s="3" t="b">
        <v>0</v>
      </c>
      <c r="G3315" s="3" t="s">
        <v>10003</v>
      </c>
      <c r="H3315" s="4" t="str">
        <f>_xlfn.IFNA(IF(((INDEX(RulebookFields!C2:C1898, MATCH(D3315,RulebookFields!A2:A1898, 0))="")=TRUE),  "",  INDEX(RulebookFields!C2:C1898, MATCH(D3315,RulebookFields!A2:A1898, 0))), "")</f>
        <v>StepRequirements</v>
      </c>
      <c r="I3315" s="4" t="str">
        <f>_xlfn.IFNA(IF(((INDEX(RulebookFields!D2:D1898, MATCH(D3315,RulebookFields!A2:A1898, 0))="")=TRUE),  "",  INDEX(RulebookFields!D2:D1898, MATCH(D3315,RulebookFields!A2:A1898, 0))), "")</f>
        <v>UnexercisedBindingRequirementKey</v>
      </c>
      <c r="J3315" s="4" t="b">
        <f>_xlfn.IFNA(IF(((INDEX(RulebookFields!I2:I1898, MATCH(D3315,RulebookFields!A2:A1898, 0))="")=TRUE),  "",  INDEX(RulebookFields!I2:I1898, MATCH(D3315,RulebookFields!A2:A1898, 0))), "")</f>
        <v>1</v>
      </c>
      <c r="K3315" s="4" t="b">
        <f>AND(((F3315)=TRUE), ((J3315)=TRUE))</f>
        <v>0</v>
      </c>
      <c r="L3315" s="4" t="b">
        <f>AND(((G3315 &lt;&gt; "plain")=TRUE), ((G3315 &lt;&gt; "")=TRUE))</f>
        <v>0</v>
      </c>
      <c r="M3315" s="4" t="str">
        <f>IF(((E3315)=TRUE),  C3315 &amp; "|" &amp; H3315,  "")</f>
        <v>principal-knowledge-authority|StepRequirements</v>
      </c>
      <c r="N3315" s="3" t="s">
        <v>10004</v>
      </c>
    </row>
    <row r="3316">
      <c r="A3316" s="3" t="s">
        <v>13318</v>
      </c>
      <c r="B3316" s="4" t="str">
        <f>C3316 &amp; " -&gt; " &amp; D3316</f>
        <v>principal-knowledge-authority -&gt; StepTools.StepToolId</v>
      </c>
      <c r="C3316" s="3" t="s">
        <v>9774</v>
      </c>
      <c r="D3316" s="3" t="s">
        <v>3039</v>
      </c>
      <c r="E3316" s="3" t="b">
        <v>1</v>
      </c>
      <c r="F3316" s="3" t="b">
        <v>0</v>
      </c>
      <c r="G3316" s="3" t="s">
        <v>10003</v>
      </c>
      <c r="H3316" s="4" t="str">
        <f>_xlfn.IFNA(IF(((INDEX(RulebookFields!C2:C1898, MATCH(D3316,RulebookFields!A2:A1898, 0))="")=TRUE),  "",  INDEX(RulebookFields!C2:C1898, MATCH(D3316,RulebookFields!A2:A1898, 0))), "")</f>
        <v>StepTools</v>
      </c>
      <c r="I3316" s="4" t="str">
        <f>_xlfn.IFNA(IF(((INDEX(RulebookFields!D2:D1898, MATCH(D3316,RulebookFields!A2:A1898, 0))="")=TRUE),  "",  INDEX(RulebookFields!D2:D1898, MATCH(D3316,RulebookFields!A2:A1898, 0))), "")</f>
        <v>StepToolId</v>
      </c>
      <c r="J3316" s="4" t="b">
        <f>_xlfn.IFNA(IF(((INDEX(RulebookFields!I2:I1898, MATCH(D3316,RulebookFields!A2:A1898, 0))="")=TRUE),  "",  INDEX(RulebookFields!I2:I1898, MATCH(D3316,RulebookFields!A2:A1898, 0))), "")</f>
        <v>0</v>
      </c>
      <c r="K3316" s="4" t="b">
        <f>AND(((F3316)=TRUE), ((J3316)=TRUE))</f>
        <v>0</v>
      </c>
      <c r="L3316" s="4" t="b">
        <f>AND(((G3316 &lt;&gt; "plain")=TRUE), ((G3316 &lt;&gt; "")=TRUE))</f>
        <v>0</v>
      </c>
      <c r="M3316" s="4" t="str">
        <f>IF(((E3316)=TRUE),  C3316 &amp; "|" &amp; H3316,  "")</f>
        <v>principal-knowledge-authority|StepTools</v>
      </c>
      <c r="N3316" s="3" t="s">
        <v>10004</v>
      </c>
    </row>
    <row r="3317">
      <c r="A3317" s="3" t="s">
        <v>13319</v>
      </c>
      <c r="B3317" s="4" t="str">
        <f>C3317 &amp; " -&gt; " &amp; D3317</f>
        <v>principal-knowledge-authority -&gt; StepTools.Name</v>
      </c>
      <c r="C3317" s="3" t="s">
        <v>9774</v>
      </c>
      <c r="D3317" s="3" t="s">
        <v>3041</v>
      </c>
      <c r="E3317" s="3" t="b">
        <v>1</v>
      </c>
      <c r="F3317" s="3" t="b">
        <v>0</v>
      </c>
      <c r="G3317" s="3" t="s">
        <v>10003</v>
      </c>
      <c r="H3317" s="4" t="str">
        <f>_xlfn.IFNA(IF(((INDEX(RulebookFields!C2:C1898, MATCH(D3317,RulebookFields!A2:A1898, 0))="")=TRUE),  "",  INDEX(RulebookFields!C2:C1898, MATCH(D3317,RulebookFields!A2:A1898, 0))), "")</f>
        <v>StepTools</v>
      </c>
      <c r="I3317" s="4" t="str">
        <f>_xlfn.IFNA(IF(((INDEX(RulebookFields!D2:D1898, MATCH(D3317,RulebookFields!A2:A1898, 0))="")=TRUE),  "",  INDEX(RulebookFields!D2:D1898, MATCH(D3317,RulebookFields!A2:A1898, 0))), "")</f>
        <v>Name</v>
      </c>
      <c r="J3317" s="4" t="b">
        <f>_xlfn.IFNA(IF(((INDEX(RulebookFields!I2:I1898, MATCH(D3317,RulebookFields!A2:A1898, 0))="")=TRUE),  "",  INDEX(RulebookFields!I2:I1898, MATCH(D3317,RulebookFields!A2:A1898, 0))), "")</f>
        <v>1</v>
      </c>
      <c r="K3317" s="4" t="b">
        <f>AND(((F3317)=TRUE), ((J3317)=TRUE))</f>
        <v>0</v>
      </c>
      <c r="L3317" s="4" t="b">
        <f>AND(((G3317 &lt;&gt; "plain")=TRUE), ((G3317 &lt;&gt; "")=TRUE))</f>
        <v>0</v>
      </c>
      <c r="M3317" s="4" t="str">
        <f>IF(((E3317)=TRUE),  C3317 &amp; "|" &amp; H3317,  "")</f>
        <v>principal-knowledge-authority|StepTools</v>
      </c>
      <c r="N3317" s="3" t="s">
        <v>10004</v>
      </c>
    </row>
    <row r="3318">
      <c r="A3318" s="3" t="s">
        <v>13320</v>
      </c>
      <c r="B3318" s="4" t="str">
        <f>C3318 &amp; " -&gt; " &amp; D3318</f>
        <v>principal-knowledge-authority -&gt; StepTools.Step</v>
      </c>
      <c r="C3318" s="3" t="s">
        <v>9774</v>
      </c>
      <c r="D3318" s="3" t="s">
        <v>3043</v>
      </c>
      <c r="E3318" s="3" t="b">
        <v>1</v>
      </c>
      <c r="F3318" s="3" t="b">
        <v>0</v>
      </c>
      <c r="G3318" s="3" t="s">
        <v>10003</v>
      </c>
      <c r="H3318" s="4" t="str">
        <f>_xlfn.IFNA(IF(((INDEX(RulebookFields!C2:C1898, MATCH(D3318,RulebookFields!A2:A1898, 0))="")=TRUE),  "",  INDEX(RulebookFields!C2:C1898, MATCH(D3318,RulebookFields!A2:A1898, 0))), "")</f>
        <v>StepTools</v>
      </c>
      <c r="I3318" s="4" t="str">
        <f>_xlfn.IFNA(IF(((INDEX(RulebookFields!D2:D1898, MATCH(D3318,RulebookFields!A2:A1898, 0))="")=TRUE),  "",  INDEX(RulebookFields!D2:D1898, MATCH(D3318,RulebookFields!A2:A1898, 0))), "")</f>
        <v>Step</v>
      </c>
      <c r="J3318" s="4" t="b">
        <f>_xlfn.IFNA(IF(((INDEX(RulebookFields!I2:I1898, MATCH(D3318,RulebookFields!A2:A1898, 0))="")=TRUE),  "",  INDEX(RulebookFields!I2:I1898, MATCH(D3318,RulebookFields!A2:A1898, 0))), "")</f>
        <v>0</v>
      </c>
      <c r="K3318" s="4" t="b">
        <f>AND(((F3318)=TRUE), ((J3318)=TRUE))</f>
        <v>0</v>
      </c>
      <c r="L3318" s="4" t="b">
        <f>AND(((G3318 &lt;&gt; "plain")=TRUE), ((G3318 &lt;&gt; "")=TRUE))</f>
        <v>0</v>
      </c>
      <c r="M3318" s="4" t="str">
        <f>IF(((E3318)=TRUE),  C3318 &amp; "|" &amp; H3318,  "")</f>
        <v>principal-knowledge-authority|StepTools</v>
      </c>
      <c r="N3318" s="3" t="s">
        <v>10004</v>
      </c>
    </row>
    <row r="3319">
      <c r="A3319" s="3" t="s">
        <v>13321</v>
      </c>
      <c r="B3319" s="4" t="str">
        <f>C3319 &amp; " -&gt; " &amp; D3319</f>
        <v>principal-knowledge-authority -&gt; StepTools.Tool</v>
      </c>
      <c r="C3319" s="3" t="s">
        <v>9774</v>
      </c>
      <c r="D3319" s="3" t="s">
        <v>3044</v>
      </c>
      <c r="E3319" s="3" t="b">
        <v>1</v>
      </c>
      <c r="F3319" s="3" t="b">
        <v>0</v>
      </c>
      <c r="G3319" s="3" t="s">
        <v>10003</v>
      </c>
      <c r="H3319" s="4" t="str">
        <f>_xlfn.IFNA(IF(((INDEX(RulebookFields!C2:C1898, MATCH(D3319,RulebookFields!A2:A1898, 0))="")=TRUE),  "",  INDEX(RulebookFields!C2:C1898, MATCH(D3319,RulebookFields!A2:A1898, 0))), "")</f>
        <v>StepTools</v>
      </c>
      <c r="I3319" s="4" t="str">
        <f>_xlfn.IFNA(IF(((INDEX(RulebookFields!D2:D1898, MATCH(D3319,RulebookFields!A2:A1898, 0))="")=TRUE),  "",  INDEX(RulebookFields!D2:D1898, MATCH(D3319,RulebookFields!A2:A1898, 0))), "")</f>
        <v>Tool</v>
      </c>
      <c r="J3319" s="4" t="b">
        <f>_xlfn.IFNA(IF(((INDEX(RulebookFields!I2:I1898, MATCH(D3319,RulebookFields!A2:A1898, 0))="")=TRUE),  "",  INDEX(RulebookFields!I2:I1898, MATCH(D3319,RulebookFields!A2:A1898, 0))), "")</f>
        <v>0</v>
      </c>
      <c r="K3319" s="4" t="b">
        <f>AND(((F3319)=TRUE), ((J3319)=TRUE))</f>
        <v>0</v>
      </c>
      <c r="L3319" s="4" t="b">
        <f>AND(((G3319 &lt;&gt; "plain")=TRUE), ((G3319 &lt;&gt; "")=TRUE))</f>
        <v>0</v>
      </c>
      <c r="M3319" s="4" t="str">
        <f>IF(((E3319)=TRUE),  C3319 &amp; "|" &amp; H3319,  "")</f>
        <v>principal-knowledge-authority|StepTools</v>
      </c>
      <c r="N3319" s="3" t="s">
        <v>10004</v>
      </c>
    </row>
    <row r="3320">
      <c r="A3320" s="3" t="s">
        <v>13322</v>
      </c>
      <c r="B3320" s="4" t="str">
        <f>C3320 &amp; " -&gt; " &amp; D3320</f>
        <v>principal-knowledge-authority -&gt; StepTransitions.StepTransitionId</v>
      </c>
      <c r="C3320" s="3" t="s">
        <v>9774</v>
      </c>
      <c r="D3320" s="3" t="s">
        <v>2966</v>
      </c>
      <c r="E3320" s="3" t="b">
        <v>1</v>
      </c>
      <c r="F3320" s="3" t="b">
        <v>0</v>
      </c>
      <c r="G3320" s="3" t="s">
        <v>10003</v>
      </c>
      <c r="H3320" s="4" t="str">
        <f>_xlfn.IFNA(IF(((INDEX(RulebookFields!C2:C1898, MATCH(D3320,RulebookFields!A2:A1898, 0))="")=TRUE),  "",  INDEX(RulebookFields!C2:C1898, MATCH(D3320,RulebookFields!A2:A1898, 0))), "")</f>
        <v>StepTransitions</v>
      </c>
      <c r="I3320" s="4" t="str">
        <f>_xlfn.IFNA(IF(((INDEX(RulebookFields!D2:D1898, MATCH(D3320,RulebookFields!A2:A1898, 0))="")=TRUE),  "",  INDEX(RulebookFields!D2:D1898, MATCH(D3320,RulebookFields!A2:A1898, 0))), "")</f>
        <v>StepTransitionId</v>
      </c>
      <c r="J3320" s="4" t="b">
        <f>_xlfn.IFNA(IF(((INDEX(RulebookFields!I2:I1898, MATCH(D3320,RulebookFields!A2:A1898, 0))="")=TRUE),  "",  INDEX(RulebookFields!I2:I1898, MATCH(D3320,RulebookFields!A2:A1898, 0))), "")</f>
        <v>0</v>
      </c>
      <c r="K3320" s="4" t="b">
        <f>AND(((F3320)=TRUE), ((J3320)=TRUE))</f>
        <v>0</v>
      </c>
      <c r="L3320" s="4" t="b">
        <f>AND(((G3320 &lt;&gt; "plain")=TRUE), ((G3320 &lt;&gt; "")=TRUE))</f>
        <v>0</v>
      </c>
      <c r="M3320" s="4" t="str">
        <f>IF(((E3320)=TRUE),  C3320 &amp; "|" &amp; H3320,  "")</f>
        <v>principal-knowledge-authority|StepTransitions</v>
      </c>
      <c r="N3320" s="3" t="s">
        <v>10004</v>
      </c>
    </row>
    <row r="3321">
      <c r="A3321" s="3" t="s">
        <v>13323</v>
      </c>
      <c r="B3321" s="4" t="str">
        <f>C3321 &amp; " -&gt; " &amp; D3321</f>
        <v>principal-knowledge-authority -&gt; StepTransitions.Name</v>
      </c>
      <c r="C3321" s="3" t="s">
        <v>9774</v>
      </c>
      <c r="D3321" s="3" t="s">
        <v>2967</v>
      </c>
      <c r="E3321" s="3" t="b">
        <v>1</v>
      </c>
      <c r="F3321" s="3" t="b">
        <v>0</v>
      </c>
      <c r="G3321" s="3" t="s">
        <v>10003</v>
      </c>
      <c r="H3321" s="4" t="str">
        <f>_xlfn.IFNA(IF(((INDEX(RulebookFields!C2:C1898, MATCH(D3321,RulebookFields!A2:A1898, 0))="")=TRUE),  "",  INDEX(RulebookFields!C2:C1898, MATCH(D3321,RulebookFields!A2:A1898, 0))), "")</f>
        <v>StepTransitions</v>
      </c>
      <c r="I3321" s="4" t="str">
        <f>_xlfn.IFNA(IF(((INDEX(RulebookFields!D2:D1898, MATCH(D3321,RulebookFields!A2:A1898, 0))="")=TRUE),  "",  INDEX(RulebookFields!D2:D1898, MATCH(D3321,RulebookFields!A2:A1898, 0))), "")</f>
        <v>Name</v>
      </c>
      <c r="J3321" s="4" t="b">
        <f>_xlfn.IFNA(IF(((INDEX(RulebookFields!I2:I1898, MATCH(D3321,RulebookFields!A2:A1898, 0))="")=TRUE),  "",  INDEX(RulebookFields!I2:I1898, MATCH(D3321,RulebookFields!A2:A1898, 0))), "")</f>
        <v>1</v>
      </c>
      <c r="K3321" s="4" t="b">
        <f>AND(((F3321)=TRUE), ((J3321)=TRUE))</f>
        <v>0</v>
      </c>
      <c r="L3321" s="4" t="b">
        <f>AND(((G3321 &lt;&gt; "plain")=TRUE), ((G3321 &lt;&gt; "")=TRUE))</f>
        <v>0</v>
      </c>
      <c r="M3321" s="4" t="str">
        <f>IF(((E3321)=TRUE),  C3321 &amp; "|" &amp; H3321,  "")</f>
        <v>principal-knowledge-authority|StepTransitions</v>
      </c>
      <c r="N3321" s="3" t="s">
        <v>10004</v>
      </c>
    </row>
    <row r="3322">
      <c r="A3322" s="3" t="s">
        <v>13324</v>
      </c>
      <c r="B3322" s="4" t="str">
        <f>C3322 &amp; " -&gt; " &amp; D3322</f>
        <v>principal-knowledge-authority -&gt; StepTransitions.ProcedureVersion</v>
      </c>
      <c r="C3322" s="3" t="s">
        <v>9774</v>
      </c>
      <c r="D3322" s="3" t="s">
        <v>2969</v>
      </c>
      <c r="E3322" s="3" t="b">
        <v>1</v>
      </c>
      <c r="F3322" s="3" t="b">
        <v>0</v>
      </c>
      <c r="G3322" s="3" t="s">
        <v>10003</v>
      </c>
      <c r="H3322" s="4" t="str">
        <f>_xlfn.IFNA(IF(((INDEX(RulebookFields!C2:C1898, MATCH(D3322,RulebookFields!A2:A1898, 0))="")=TRUE),  "",  INDEX(RulebookFields!C2:C1898, MATCH(D3322,RulebookFields!A2:A1898, 0))), "")</f>
        <v>StepTransitions</v>
      </c>
      <c r="I3322" s="4" t="str">
        <f>_xlfn.IFNA(IF(((INDEX(RulebookFields!D2:D1898, MATCH(D3322,RulebookFields!A2:A1898, 0))="")=TRUE),  "",  INDEX(RulebookFields!D2:D1898, MATCH(D3322,RulebookFields!A2:A1898, 0))), "")</f>
        <v>ProcedureVersion</v>
      </c>
      <c r="J3322" s="4" t="b">
        <f>_xlfn.IFNA(IF(((INDEX(RulebookFields!I2:I1898, MATCH(D3322,RulebookFields!A2:A1898, 0))="")=TRUE),  "",  INDEX(RulebookFields!I2:I1898, MATCH(D3322,RulebookFields!A2:A1898, 0))), "")</f>
        <v>0</v>
      </c>
      <c r="K3322" s="4" t="b">
        <f>AND(((F3322)=TRUE), ((J3322)=TRUE))</f>
        <v>0</v>
      </c>
      <c r="L3322" s="4" t="b">
        <f>AND(((G3322 &lt;&gt; "plain")=TRUE), ((G3322 &lt;&gt; "")=TRUE))</f>
        <v>0</v>
      </c>
      <c r="M3322" s="4" t="str">
        <f>IF(((E3322)=TRUE),  C3322 &amp; "|" &amp; H3322,  "")</f>
        <v>principal-knowledge-authority|StepTransitions</v>
      </c>
      <c r="N3322" s="3" t="s">
        <v>10004</v>
      </c>
    </row>
    <row r="3323">
      <c r="A3323" s="3" t="s">
        <v>13325</v>
      </c>
      <c r="B3323" s="4" t="str">
        <f>C3323 &amp; " -&gt; " &amp; D3323</f>
        <v>principal-knowledge-authority -&gt; StepTransitions.FromStep</v>
      </c>
      <c r="C3323" s="3" t="s">
        <v>9774</v>
      </c>
      <c r="D3323" s="3" t="s">
        <v>1787</v>
      </c>
      <c r="E3323" s="3" t="b">
        <v>1</v>
      </c>
      <c r="F3323" s="3" t="b">
        <v>0</v>
      </c>
      <c r="G3323" s="3" t="s">
        <v>10003</v>
      </c>
      <c r="H3323" s="4" t="str">
        <f>_xlfn.IFNA(IF(((INDEX(RulebookFields!C2:C1898, MATCH(D3323,RulebookFields!A2:A1898, 0))="")=TRUE),  "",  INDEX(RulebookFields!C2:C1898, MATCH(D3323,RulebookFields!A2:A1898, 0))), "")</f>
        <v>StepTransitions</v>
      </c>
      <c r="I3323" s="4" t="str">
        <f>_xlfn.IFNA(IF(((INDEX(RulebookFields!D2:D1898, MATCH(D3323,RulebookFields!A2:A1898, 0))="")=TRUE),  "",  INDEX(RulebookFields!D2:D1898, MATCH(D3323,RulebookFields!A2:A1898, 0))), "")</f>
        <v>FromStep</v>
      </c>
      <c r="J3323" s="4" t="b">
        <f>_xlfn.IFNA(IF(((INDEX(RulebookFields!I2:I1898, MATCH(D3323,RulebookFields!A2:A1898, 0))="")=TRUE),  "",  INDEX(RulebookFields!I2:I1898, MATCH(D3323,RulebookFields!A2:A1898, 0))), "")</f>
        <v>0</v>
      </c>
      <c r="K3323" s="4" t="b">
        <f>AND(((F3323)=TRUE), ((J3323)=TRUE))</f>
        <v>0</v>
      </c>
      <c r="L3323" s="4" t="b">
        <f>AND(((G3323 &lt;&gt; "plain")=TRUE), ((G3323 &lt;&gt; "")=TRUE))</f>
        <v>0</v>
      </c>
      <c r="M3323" s="4" t="str">
        <f>IF(((E3323)=TRUE),  C3323 &amp; "|" &amp; H3323,  "")</f>
        <v>principal-knowledge-authority|StepTransitions</v>
      </c>
      <c r="N3323" s="3" t="s">
        <v>10004</v>
      </c>
    </row>
    <row r="3324">
      <c r="A3324" s="3" t="s">
        <v>13326</v>
      </c>
      <c r="B3324" s="4" t="str">
        <f>C3324 &amp; " -&gt; " &amp; D3324</f>
        <v>principal-knowledge-authority -&gt; StepTransitions.ToStep</v>
      </c>
      <c r="C3324" s="3" t="s">
        <v>9774</v>
      </c>
      <c r="D3324" s="3" t="s">
        <v>1792</v>
      </c>
      <c r="E3324" s="3" t="b">
        <v>1</v>
      </c>
      <c r="F3324" s="3" t="b">
        <v>0</v>
      </c>
      <c r="G3324" s="3" t="s">
        <v>10003</v>
      </c>
      <c r="H3324" s="4" t="str">
        <f>_xlfn.IFNA(IF(((INDEX(RulebookFields!C2:C1898, MATCH(D3324,RulebookFields!A2:A1898, 0))="")=TRUE),  "",  INDEX(RulebookFields!C2:C1898, MATCH(D3324,RulebookFields!A2:A1898, 0))), "")</f>
        <v>StepTransitions</v>
      </c>
      <c r="I3324" s="4" t="str">
        <f>_xlfn.IFNA(IF(((INDEX(RulebookFields!D2:D1898, MATCH(D3324,RulebookFields!A2:A1898, 0))="")=TRUE),  "",  INDEX(RulebookFields!D2:D1898, MATCH(D3324,RulebookFields!A2:A1898, 0))), "")</f>
        <v>ToStep</v>
      </c>
      <c r="J3324" s="4" t="b">
        <f>_xlfn.IFNA(IF(((INDEX(RulebookFields!I2:I1898, MATCH(D3324,RulebookFields!A2:A1898, 0))="")=TRUE),  "",  INDEX(RulebookFields!I2:I1898, MATCH(D3324,RulebookFields!A2:A1898, 0))), "")</f>
        <v>0</v>
      </c>
      <c r="K3324" s="4" t="b">
        <f>AND(((F3324)=TRUE), ((J3324)=TRUE))</f>
        <v>0</v>
      </c>
      <c r="L3324" s="4" t="b">
        <f>AND(((G3324 &lt;&gt; "plain")=TRUE), ((G3324 &lt;&gt; "")=TRUE))</f>
        <v>0</v>
      </c>
      <c r="M3324" s="4" t="str">
        <f>IF(((E3324)=TRUE),  C3324 &amp; "|" &amp; H3324,  "")</f>
        <v>principal-knowledge-authority|StepTransitions</v>
      </c>
      <c r="N3324" s="3" t="s">
        <v>10004</v>
      </c>
    </row>
    <row r="3325">
      <c r="A3325" s="3" t="s">
        <v>13327</v>
      </c>
      <c r="B3325" s="4" t="str">
        <f>C3325 &amp; " -&gt; " &amp; D3325</f>
        <v>principal-knowledge-authority -&gt; StepTransitions.TransitionKind</v>
      </c>
      <c r="C3325" s="3" t="s">
        <v>9774</v>
      </c>
      <c r="D3325" s="3" t="s">
        <v>2970</v>
      </c>
      <c r="E3325" s="3" t="b">
        <v>1</v>
      </c>
      <c r="F3325" s="3" t="b">
        <v>0</v>
      </c>
      <c r="G3325" s="3" t="s">
        <v>10003</v>
      </c>
      <c r="H3325" s="4" t="str">
        <f>_xlfn.IFNA(IF(((INDEX(RulebookFields!C2:C1898, MATCH(D3325,RulebookFields!A2:A1898, 0))="")=TRUE),  "",  INDEX(RulebookFields!C2:C1898, MATCH(D3325,RulebookFields!A2:A1898, 0))), "")</f>
        <v>StepTransitions</v>
      </c>
      <c r="I3325" s="4" t="str">
        <f>_xlfn.IFNA(IF(((INDEX(RulebookFields!D2:D1898, MATCH(D3325,RulebookFields!A2:A1898, 0))="")=TRUE),  "",  INDEX(RulebookFields!D2:D1898, MATCH(D3325,RulebookFields!A2:A1898, 0))), "")</f>
        <v>TransitionKind</v>
      </c>
      <c r="J3325" s="4" t="b">
        <f>_xlfn.IFNA(IF(((INDEX(RulebookFields!I2:I1898, MATCH(D3325,RulebookFields!A2:A1898, 0))="")=TRUE),  "",  INDEX(RulebookFields!I2:I1898, MATCH(D3325,RulebookFields!A2:A1898, 0))), "")</f>
        <v>0</v>
      </c>
      <c r="K3325" s="4" t="b">
        <f>AND(((F3325)=TRUE), ((J3325)=TRUE))</f>
        <v>0</v>
      </c>
      <c r="L3325" s="4" t="b">
        <f>AND(((G3325 &lt;&gt; "plain")=TRUE), ((G3325 &lt;&gt; "")=TRUE))</f>
        <v>0</v>
      </c>
      <c r="M3325" s="4" t="str">
        <f>IF(((E3325)=TRUE),  C3325 &amp; "|" &amp; H3325,  "")</f>
        <v>principal-knowledge-authority|StepTransitions</v>
      </c>
      <c r="N3325" s="3" t="s">
        <v>10004</v>
      </c>
    </row>
    <row r="3326">
      <c r="A3326" s="3" t="s">
        <v>13328</v>
      </c>
      <c r="B3326" s="4" t="str">
        <f>C3326 &amp; " -&gt; " &amp; D3326</f>
        <v>principal-knowledge-authority -&gt; StepTransitions.Condition</v>
      </c>
      <c r="C3326" s="3" t="s">
        <v>9774</v>
      </c>
      <c r="D3326" s="3" t="s">
        <v>2971</v>
      </c>
      <c r="E3326" s="3" t="b">
        <v>1</v>
      </c>
      <c r="F3326" s="3" t="b">
        <v>0</v>
      </c>
      <c r="G3326" s="3" t="s">
        <v>10003</v>
      </c>
      <c r="H3326" s="4" t="str">
        <f>_xlfn.IFNA(IF(((INDEX(RulebookFields!C2:C1898, MATCH(D3326,RulebookFields!A2:A1898, 0))="")=TRUE),  "",  INDEX(RulebookFields!C2:C1898, MATCH(D3326,RulebookFields!A2:A1898, 0))), "")</f>
        <v>StepTransitions</v>
      </c>
      <c r="I3326" s="4" t="str">
        <f>_xlfn.IFNA(IF(((INDEX(RulebookFields!D2:D1898, MATCH(D3326,RulebookFields!A2:A1898, 0))="")=TRUE),  "",  INDEX(RulebookFields!D2:D1898, MATCH(D3326,RulebookFields!A2:A1898, 0))), "")</f>
        <v>Condition</v>
      </c>
      <c r="J3326" s="4" t="b">
        <f>_xlfn.IFNA(IF(((INDEX(RulebookFields!I2:I1898, MATCH(D3326,RulebookFields!A2:A1898, 0))="")=TRUE),  "",  INDEX(RulebookFields!I2:I1898, MATCH(D3326,RulebookFields!A2:A1898, 0))), "")</f>
        <v>0</v>
      </c>
      <c r="K3326" s="4" t="b">
        <f>AND(((F3326)=TRUE), ((J3326)=TRUE))</f>
        <v>0</v>
      </c>
      <c r="L3326" s="4" t="b">
        <f>AND(((G3326 &lt;&gt; "plain")=TRUE), ((G3326 &lt;&gt; "")=TRUE))</f>
        <v>0</v>
      </c>
      <c r="M3326" s="4" t="str">
        <f>IF(((E3326)=TRUE),  C3326 &amp; "|" &amp; H3326,  "")</f>
        <v>principal-knowledge-authority|StepTransitions</v>
      </c>
      <c r="N3326" s="3" t="s">
        <v>10004</v>
      </c>
    </row>
    <row r="3327">
      <c r="A3327" s="3" t="s">
        <v>13329</v>
      </c>
      <c r="B3327" s="4" t="str">
        <f>C3327 &amp; " -&gt; " &amp; D3327</f>
        <v>principal-knowledge-authority -&gt; StepTransitions.Priority</v>
      </c>
      <c r="C3327" s="3" t="s">
        <v>9774</v>
      </c>
      <c r="D3327" s="3" t="s">
        <v>2972</v>
      </c>
      <c r="E3327" s="3" t="b">
        <v>1</v>
      </c>
      <c r="F3327" s="3" t="b">
        <v>0</v>
      </c>
      <c r="G3327" s="3" t="s">
        <v>10003</v>
      </c>
      <c r="H3327" s="4" t="str">
        <f>_xlfn.IFNA(IF(((INDEX(RulebookFields!C2:C1898, MATCH(D3327,RulebookFields!A2:A1898, 0))="")=TRUE),  "",  INDEX(RulebookFields!C2:C1898, MATCH(D3327,RulebookFields!A2:A1898, 0))), "")</f>
        <v>StepTransitions</v>
      </c>
      <c r="I3327" s="4" t="str">
        <f>_xlfn.IFNA(IF(((INDEX(RulebookFields!D2:D1898, MATCH(D3327,RulebookFields!A2:A1898, 0))="")=TRUE),  "",  INDEX(RulebookFields!D2:D1898, MATCH(D3327,RulebookFields!A2:A1898, 0))), "")</f>
        <v>Priority</v>
      </c>
      <c r="J3327" s="4" t="b">
        <f>_xlfn.IFNA(IF(((INDEX(RulebookFields!I2:I1898, MATCH(D3327,RulebookFields!A2:A1898, 0))="")=TRUE),  "",  INDEX(RulebookFields!I2:I1898, MATCH(D3327,RulebookFields!A2:A1898, 0))), "")</f>
        <v>0</v>
      </c>
      <c r="K3327" s="4" t="b">
        <f>AND(((F3327)=TRUE), ((J3327)=TRUE))</f>
        <v>0</v>
      </c>
      <c r="L3327" s="4" t="b">
        <f>AND(((G3327 &lt;&gt; "plain")=TRUE), ((G3327 &lt;&gt; "")=TRUE))</f>
        <v>0</v>
      </c>
      <c r="M3327" s="4" t="str">
        <f>IF(((E3327)=TRUE),  C3327 &amp; "|" &amp; H3327,  "")</f>
        <v>principal-knowledge-authority|StepTransitions</v>
      </c>
      <c r="N3327" s="3" t="s">
        <v>10004</v>
      </c>
    </row>
    <row r="3328">
      <c r="A3328" s="3" t="s">
        <v>13330</v>
      </c>
      <c r="B3328" s="4" t="str">
        <f>C3328 &amp; " -&gt; " &amp; D3328</f>
        <v>principal-knowledge-authority -&gt; StepTransitions.IsRecoveryPath</v>
      </c>
      <c r="C3328" s="3" t="s">
        <v>9774</v>
      </c>
      <c r="D3328" s="3" t="s">
        <v>2973</v>
      </c>
      <c r="E3328" s="3" t="b">
        <v>1</v>
      </c>
      <c r="F3328" s="3" t="b">
        <v>0</v>
      </c>
      <c r="G3328" s="3" t="s">
        <v>10003</v>
      </c>
      <c r="H3328" s="4" t="str">
        <f>_xlfn.IFNA(IF(((INDEX(RulebookFields!C2:C1898, MATCH(D3328,RulebookFields!A2:A1898, 0))="")=TRUE),  "",  INDEX(RulebookFields!C2:C1898, MATCH(D3328,RulebookFields!A2:A1898, 0))), "")</f>
        <v>StepTransitions</v>
      </c>
      <c r="I3328" s="4" t="str">
        <f>_xlfn.IFNA(IF(((INDEX(RulebookFields!D2:D1898, MATCH(D3328,RulebookFields!A2:A1898, 0))="")=TRUE),  "",  INDEX(RulebookFields!D2:D1898, MATCH(D3328,RulebookFields!A2:A1898, 0))), "")</f>
        <v>IsRecoveryPath</v>
      </c>
      <c r="J3328" s="4" t="b">
        <f>_xlfn.IFNA(IF(((INDEX(RulebookFields!I2:I1898, MATCH(D3328,RulebookFields!A2:A1898, 0))="")=TRUE),  "",  INDEX(RulebookFields!I2:I1898, MATCH(D3328,RulebookFields!A2:A1898, 0))), "")</f>
        <v>1</v>
      </c>
      <c r="K3328" s="4" t="b">
        <f>AND(((F3328)=TRUE), ((J3328)=TRUE))</f>
        <v>0</v>
      </c>
      <c r="L3328" s="4" t="b">
        <f>AND(((G3328 &lt;&gt; "plain")=TRUE), ((G3328 &lt;&gt; "")=TRUE))</f>
        <v>0</v>
      </c>
      <c r="M3328" s="4" t="str">
        <f>IF(((E3328)=TRUE),  C3328 &amp; "|" &amp; H3328,  "")</f>
        <v>principal-knowledge-authority|StepTransitions</v>
      </c>
      <c r="N3328" s="3" t="s">
        <v>10004</v>
      </c>
    </row>
    <row r="3329">
      <c r="A3329" s="3" t="s">
        <v>13331</v>
      </c>
      <c r="B3329" s="4" t="str">
        <f>C3329 &amp; " -&gt; " &amp; D3329</f>
        <v>principal-knowledge-authority -&gt; StepTransitions.CountOfFromStepExecutions</v>
      </c>
      <c r="C3329" s="3" t="s">
        <v>9774</v>
      </c>
      <c r="D3329" s="3" t="s">
        <v>2975</v>
      </c>
      <c r="E3329" s="3" t="b">
        <v>1</v>
      </c>
      <c r="F3329" s="3" t="b">
        <v>0</v>
      </c>
      <c r="G3329" s="3" t="s">
        <v>10003</v>
      </c>
      <c r="H3329" s="4" t="str">
        <f>_xlfn.IFNA(IF(((INDEX(RulebookFields!C2:C1898, MATCH(D3329,RulebookFields!A2:A1898, 0))="")=TRUE),  "",  INDEX(RulebookFields!C2:C1898, MATCH(D3329,RulebookFields!A2:A1898, 0))), "")</f>
        <v>StepTransitions</v>
      </c>
      <c r="I3329" s="4" t="str">
        <f>_xlfn.IFNA(IF(((INDEX(RulebookFields!D2:D1898, MATCH(D3329,RulebookFields!A2:A1898, 0))="")=TRUE),  "",  INDEX(RulebookFields!D2:D1898, MATCH(D3329,RulebookFields!A2:A1898, 0))), "")</f>
        <v>CountOfFromStepExecutions</v>
      </c>
      <c r="J3329" s="4" t="b">
        <f>_xlfn.IFNA(IF(((INDEX(RulebookFields!I2:I1898, MATCH(D3329,RulebookFields!A2:A1898, 0))="")=TRUE),  "",  INDEX(RulebookFields!I2:I1898, MATCH(D3329,RulebookFields!A2:A1898, 0))), "")</f>
        <v>1</v>
      </c>
      <c r="K3329" s="4" t="b">
        <f>AND(((F3329)=TRUE), ((J3329)=TRUE))</f>
        <v>0</v>
      </c>
      <c r="L3329" s="4" t="b">
        <f>AND(((G3329 &lt;&gt; "plain")=TRUE), ((G3329 &lt;&gt; "")=TRUE))</f>
        <v>0</v>
      </c>
      <c r="M3329" s="4" t="str">
        <f>IF(((E3329)=TRUE),  C3329 &amp; "|" &amp; H3329,  "")</f>
        <v>principal-knowledge-authority|StepTransitions</v>
      </c>
      <c r="N3329" s="3" t="s">
        <v>10004</v>
      </c>
    </row>
    <row r="3330">
      <c r="A3330" s="3" t="s">
        <v>13332</v>
      </c>
      <c r="B3330" s="4" t="str">
        <f>C3330 &amp; " -&gt; " &amp; D3330</f>
        <v>principal-knowledge-authority -&gt; StepTransitions.CountOfToStepExecutions</v>
      </c>
      <c r="C3330" s="3" t="s">
        <v>9774</v>
      </c>
      <c r="D3330" s="3" t="s">
        <v>2977</v>
      </c>
      <c r="E3330" s="3" t="b">
        <v>1</v>
      </c>
      <c r="F3330" s="3" t="b">
        <v>0</v>
      </c>
      <c r="G3330" s="3" t="s">
        <v>10003</v>
      </c>
      <c r="H3330" s="4" t="str">
        <f>_xlfn.IFNA(IF(((INDEX(RulebookFields!C2:C1898, MATCH(D3330,RulebookFields!A2:A1898, 0))="")=TRUE),  "",  INDEX(RulebookFields!C2:C1898, MATCH(D3330,RulebookFields!A2:A1898, 0))), "")</f>
        <v>StepTransitions</v>
      </c>
      <c r="I3330" s="4" t="str">
        <f>_xlfn.IFNA(IF(((INDEX(RulebookFields!D2:D1898, MATCH(D3330,RulebookFields!A2:A1898, 0))="")=TRUE),  "",  INDEX(RulebookFields!D2:D1898, MATCH(D3330,RulebookFields!A2:A1898, 0))), "")</f>
        <v>CountOfToStepExecutions</v>
      </c>
      <c r="J3330" s="4" t="b">
        <f>_xlfn.IFNA(IF(((INDEX(RulebookFields!I2:I1898, MATCH(D3330,RulebookFields!A2:A1898, 0))="")=TRUE),  "",  INDEX(RulebookFields!I2:I1898, MATCH(D3330,RulebookFields!A2:A1898, 0))), "")</f>
        <v>1</v>
      </c>
      <c r="K3330" s="4" t="b">
        <f>AND(((F3330)=TRUE), ((J3330)=TRUE))</f>
        <v>0</v>
      </c>
      <c r="L3330" s="4" t="b">
        <f>AND(((G3330 &lt;&gt; "plain")=TRUE), ((G3330 &lt;&gt; "")=TRUE))</f>
        <v>0</v>
      </c>
      <c r="M3330" s="4" t="str">
        <f>IF(((E3330)=TRUE),  C3330 &amp; "|" &amp; H3330,  "")</f>
        <v>principal-knowledge-authority|StepTransitions</v>
      </c>
      <c r="N3330" s="3" t="s">
        <v>10004</v>
      </c>
    </row>
    <row r="3331">
      <c r="A3331" s="3" t="s">
        <v>13333</v>
      </c>
      <c r="B3331" s="4" t="str">
        <f>C3331 &amp; " -&gt; " &amp; D3331</f>
        <v>principal-knowledge-authority -&gt; StepTransitions.HasReachableOrigin</v>
      </c>
      <c r="C3331" s="3" t="s">
        <v>9774</v>
      </c>
      <c r="D3331" s="3" t="s">
        <v>2979</v>
      </c>
      <c r="E3331" s="3" t="b">
        <v>1</v>
      </c>
      <c r="F3331" s="3" t="b">
        <v>0</v>
      </c>
      <c r="G3331" s="3" t="s">
        <v>10003</v>
      </c>
      <c r="H3331" s="4" t="str">
        <f>_xlfn.IFNA(IF(((INDEX(RulebookFields!C2:C1898, MATCH(D3331,RulebookFields!A2:A1898, 0))="")=TRUE),  "",  INDEX(RulebookFields!C2:C1898, MATCH(D3331,RulebookFields!A2:A1898, 0))), "")</f>
        <v>StepTransitions</v>
      </c>
      <c r="I3331" s="4" t="str">
        <f>_xlfn.IFNA(IF(((INDEX(RulebookFields!D2:D1898, MATCH(D3331,RulebookFields!A2:A1898, 0))="")=TRUE),  "",  INDEX(RulebookFields!D2:D1898, MATCH(D3331,RulebookFields!A2:A1898, 0))), "")</f>
        <v>HasReachableOrigin</v>
      </c>
      <c r="J3331" s="4" t="b">
        <f>_xlfn.IFNA(IF(((INDEX(RulebookFields!I2:I1898, MATCH(D3331,RulebookFields!A2:A1898, 0))="")=TRUE),  "",  INDEX(RulebookFields!I2:I1898, MATCH(D3331,RulebookFields!A2:A1898, 0))), "")</f>
        <v>1</v>
      </c>
      <c r="K3331" s="4" t="b">
        <f>AND(((F3331)=TRUE), ((J3331)=TRUE))</f>
        <v>0</v>
      </c>
      <c r="L3331" s="4" t="b">
        <f>AND(((G3331 &lt;&gt; "plain")=TRUE), ((G3331 &lt;&gt; "")=TRUE))</f>
        <v>0</v>
      </c>
      <c r="M3331" s="4" t="str">
        <f>IF(((E3331)=TRUE),  C3331 &amp; "|" &amp; H3331,  "")</f>
        <v>principal-knowledge-authority|StepTransitions</v>
      </c>
      <c r="N3331" s="3" t="s">
        <v>10004</v>
      </c>
    </row>
    <row r="3332">
      <c r="A3332" s="3" t="s">
        <v>13334</v>
      </c>
      <c r="B3332" s="4" t="str">
        <f>C3332 &amp; " -&gt; " &amp; D3332</f>
        <v>principal-knowledge-authority -&gt; StepTransitions.HasReachableTarget</v>
      </c>
      <c r="C3332" s="3" t="s">
        <v>9774</v>
      </c>
      <c r="D3332" s="3" t="s">
        <v>2981</v>
      </c>
      <c r="E3332" s="3" t="b">
        <v>1</v>
      </c>
      <c r="F3332" s="3" t="b">
        <v>0</v>
      </c>
      <c r="G3332" s="3" t="s">
        <v>10003</v>
      </c>
      <c r="H3332" s="4" t="str">
        <f>_xlfn.IFNA(IF(((INDEX(RulebookFields!C2:C1898, MATCH(D3332,RulebookFields!A2:A1898, 0))="")=TRUE),  "",  INDEX(RulebookFields!C2:C1898, MATCH(D3332,RulebookFields!A2:A1898, 0))), "")</f>
        <v>StepTransitions</v>
      </c>
      <c r="I3332" s="4" t="str">
        <f>_xlfn.IFNA(IF(((INDEX(RulebookFields!D2:D1898, MATCH(D3332,RulebookFields!A2:A1898, 0))="")=TRUE),  "",  INDEX(RulebookFields!D2:D1898, MATCH(D3332,RulebookFields!A2:A1898, 0))), "")</f>
        <v>HasReachableTarget</v>
      </c>
      <c r="J3332" s="4" t="b">
        <f>_xlfn.IFNA(IF(((INDEX(RulebookFields!I2:I1898, MATCH(D3332,RulebookFields!A2:A1898, 0))="")=TRUE),  "",  INDEX(RulebookFields!I2:I1898, MATCH(D3332,RulebookFields!A2:A1898, 0))), "")</f>
        <v>1</v>
      </c>
      <c r="K3332" s="4" t="b">
        <f>AND(((F3332)=TRUE), ((J3332)=TRUE))</f>
        <v>0</v>
      </c>
      <c r="L3332" s="4" t="b">
        <f>AND(((G3332 &lt;&gt; "plain")=TRUE), ((G3332 &lt;&gt; "")=TRUE))</f>
        <v>0</v>
      </c>
      <c r="M3332" s="4" t="str">
        <f>IF(((E3332)=TRUE),  C3332 &amp; "|" &amp; H3332,  "")</f>
        <v>principal-knowledge-authority|StepTransitions</v>
      </c>
      <c r="N3332" s="3" t="s">
        <v>10004</v>
      </c>
    </row>
    <row r="3333">
      <c r="A3333" s="3" t="s">
        <v>13335</v>
      </c>
      <c r="B3333" s="4" t="str">
        <f>C3333 &amp; " -&gt; " &amp; D3333</f>
        <v>principal-knowledge-authority -&gt; StepTransitions.IsNeverExercised</v>
      </c>
      <c r="C3333" s="3" t="s">
        <v>9774</v>
      </c>
      <c r="D3333" s="3" t="s">
        <v>2983</v>
      </c>
      <c r="E3333" s="3" t="b">
        <v>1</v>
      </c>
      <c r="F3333" s="3" t="b">
        <v>0</v>
      </c>
      <c r="G3333" s="3" t="s">
        <v>10003</v>
      </c>
      <c r="H3333" s="4" t="str">
        <f>_xlfn.IFNA(IF(((INDEX(RulebookFields!C2:C1898, MATCH(D3333,RulebookFields!A2:A1898, 0))="")=TRUE),  "",  INDEX(RulebookFields!C2:C1898, MATCH(D3333,RulebookFields!A2:A1898, 0))), "")</f>
        <v>StepTransitions</v>
      </c>
      <c r="I3333" s="4" t="str">
        <f>_xlfn.IFNA(IF(((INDEX(RulebookFields!D2:D1898, MATCH(D3333,RulebookFields!A2:A1898, 0))="")=TRUE),  "",  INDEX(RulebookFields!D2:D1898, MATCH(D3333,RulebookFields!A2:A1898, 0))), "")</f>
        <v>IsNeverExercised</v>
      </c>
      <c r="J3333" s="4" t="b">
        <f>_xlfn.IFNA(IF(((INDEX(RulebookFields!I2:I1898, MATCH(D3333,RulebookFields!A2:A1898, 0))="")=TRUE),  "",  INDEX(RulebookFields!I2:I1898, MATCH(D3333,RulebookFields!A2:A1898, 0))), "")</f>
        <v>1</v>
      </c>
      <c r="K3333" s="4" t="b">
        <f>AND(((F3333)=TRUE), ((J3333)=TRUE))</f>
        <v>0</v>
      </c>
      <c r="L3333" s="4" t="b">
        <f>AND(((G3333 &lt;&gt; "plain")=TRUE), ((G3333 &lt;&gt; "")=TRUE))</f>
        <v>0</v>
      </c>
      <c r="M3333" s="4" t="str">
        <f>IF(((E3333)=TRUE),  C3333 &amp; "|" &amp; H3333,  "")</f>
        <v>principal-knowledge-authority|StepTransitions</v>
      </c>
      <c r="N3333" s="3" t="s">
        <v>10004</v>
      </c>
    </row>
    <row r="3334">
      <c r="A3334" s="3" t="s">
        <v>13336</v>
      </c>
      <c r="B3334" s="4" t="str">
        <f>C3334 &amp; " -&gt; " &amp; D3334</f>
        <v>principal-knowledge-authority -&gt; StepTransitions.IsUntestedRecoveryPath</v>
      </c>
      <c r="C3334" s="3" t="s">
        <v>9774</v>
      </c>
      <c r="D3334" s="3" t="s">
        <v>2985</v>
      </c>
      <c r="E3334" s="3" t="b">
        <v>1</v>
      </c>
      <c r="F3334" s="3" t="b">
        <v>0</v>
      </c>
      <c r="G3334" s="3" t="s">
        <v>10003</v>
      </c>
      <c r="H3334" s="4" t="str">
        <f>_xlfn.IFNA(IF(((INDEX(RulebookFields!C2:C1898, MATCH(D3334,RulebookFields!A2:A1898, 0))="")=TRUE),  "",  INDEX(RulebookFields!C2:C1898, MATCH(D3334,RulebookFields!A2:A1898, 0))), "")</f>
        <v>StepTransitions</v>
      </c>
      <c r="I3334" s="4" t="str">
        <f>_xlfn.IFNA(IF(((INDEX(RulebookFields!D2:D1898, MATCH(D3334,RulebookFields!A2:A1898, 0))="")=TRUE),  "",  INDEX(RulebookFields!D2:D1898, MATCH(D3334,RulebookFields!A2:A1898, 0))), "")</f>
        <v>IsUntestedRecoveryPath</v>
      </c>
      <c r="J3334" s="4" t="b">
        <f>_xlfn.IFNA(IF(((INDEX(RulebookFields!I2:I1898, MATCH(D3334,RulebookFields!A2:A1898, 0))="")=TRUE),  "",  INDEX(RulebookFields!I2:I1898, MATCH(D3334,RulebookFields!A2:A1898, 0))), "")</f>
        <v>1</v>
      </c>
      <c r="K3334" s="4" t="b">
        <f>AND(((F3334)=TRUE), ((J3334)=TRUE))</f>
        <v>0</v>
      </c>
      <c r="L3334" s="4" t="b">
        <f>AND(((G3334 &lt;&gt; "plain")=TRUE), ((G3334 &lt;&gt; "")=TRUE))</f>
        <v>0</v>
      </c>
      <c r="M3334" s="4" t="str">
        <f>IF(((E3334)=TRUE),  C3334 &amp; "|" &amp; H3334,  "")</f>
        <v>principal-knowledge-authority|StepTransitions</v>
      </c>
      <c r="N3334" s="3" t="s">
        <v>10004</v>
      </c>
    </row>
    <row r="3335">
      <c r="A3335" s="3" t="s">
        <v>13337</v>
      </c>
      <c r="B3335" s="4" t="str">
        <f>C3335 &amp; " -&gt; " &amp; D3335</f>
        <v>principal-knowledge-authority -&gt; StepTransitions.CountOfObservedTraversals</v>
      </c>
      <c r="C3335" s="3" t="s">
        <v>9774</v>
      </c>
      <c r="D3335" s="3" t="s">
        <v>2987</v>
      </c>
      <c r="E3335" s="3" t="b">
        <v>1</v>
      </c>
      <c r="F3335" s="3" t="b">
        <v>0</v>
      </c>
      <c r="G3335" s="3" t="s">
        <v>10003</v>
      </c>
      <c r="H3335" s="4" t="str">
        <f>_xlfn.IFNA(IF(((INDEX(RulebookFields!C2:C1898, MATCH(D3335,RulebookFields!A2:A1898, 0))="")=TRUE),  "",  INDEX(RulebookFields!C2:C1898, MATCH(D3335,RulebookFields!A2:A1898, 0))), "")</f>
        <v>StepTransitions</v>
      </c>
      <c r="I3335" s="4" t="str">
        <f>_xlfn.IFNA(IF(((INDEX(RulebookFields!D2:D1898, MATCH(D3335,RulebookFields!A2:A1898, 0))="")=TRUE),  "",  INDEX(RulebookFields!D2:D1898, MATCH(D3335,RulebookFields!A2:A1898, 0))), "")</f>
        <v>CountOfObservedTraversals</v>
      </c>
      <c r="J3335" s="4" t="b">
        <f>_xlfn.IFNA(IF(((INDEX(RulebookFields!I2:I1898, MATCH(D3335,RulebookFields!A2:A1898, 0))="")=TRUE),  "",  INDEX(RulebookFields!I2:I1898, MATCH(D3335,RulebookFields!A2:A1898, 0))), "")</f>
        <v>1</v>
      </c>
      <c r="K3335" s="4" t="b">
        <f>AND(((F3335)=TRUE), ((J3335)=TRUE))</f>
        <v>0</v>
      </c>
      <c r="L3335" s="4" t="b">
        <f>AND(((G3335 &lt;&gt; "plain")=TRUE), ((G3335 &lt;&gt; "")=TRUE))</f>
        <v>0</v>
      </c>
      <c r="M3335" s="4" t="str">
        <f>IF(((E3335)=TRUE),  C3335 &amp; "|" &amp; H3335,  "")</f>
        <v>principal-knowledge-authority|StepTransitions</v>
      </c>
      <c r="N3335" s="3" t="s">
        <v>10004</v>
      </c>
    </row>
    <row r="3336">
      <c r="A3336" s="3" t="s">
        <v>13338</v>
      </c>
      <c r="B3336" s="4" t="str">
        <f>C3336 &amp; " -&gt; " &amp; D3336</f>
        <v>principal-knowledge-authority -&gt; StepTransitions.HasBeenTraversed</v>
      </c>
      <c r="C3336" s="3" t="s">
        <v>9774</v>
      </c>
      <c r="D3336" s="3" t="s">
        <v>2989</v>
      </c>
      <c r="E3336" s="3" t="b">
        <v>1</v>
      </c>
      <c r="F3336" s="3" t="b">
        <v>0</v>
      </c>
      <c r="G3336" s="3" t="s">
        <v>10003</v>
      </c>
      <c r="H3336" s="4" t="str">
        <f>_xlfn.IFNA(IF(((INDEX(RulebookFields!C2:C1898, MATCH(D3336,RulebookFields!A2:A1898, 0))="")=TRUE),  "",  INDEX(RulebookFields!C2:C1898, MATCH(D3336,RulebookFields!A2:A1898, 0))), "")</f>
        <v>StepTransitions</v>
      </c>
      <c r="I3336" s="4" t="str">
        <f>_xlfn.IFNA(IF(((INDEX(RulebookFields!D2:D1898, MATCH(D3336,RulebookFields!A2:A1898, 0))="")=TRUE),  "",  INDEX(RulebookFields!D2:D1898, MATCH(D3336,RulebookFields!A2:A1898, 0))), "")</f>
        <v>HasBeenTraversed</v>
      </c>
      <c r="J3336" s="4" t="b">
        <f>_xlfn.IFNA(IF(((INDEX(RulebookFields!I2:I1898, MATCH(D3336,RulebookFields!A2:A1898, 0))="")=TRUE),  "",  INDEX(RulebookFields!I2:I1898, MATCH(D3336,RulebookFields!A2:A1898, 0))), "")</f>
        <v>1</v>
      </c>
      <c r="K3336" s="4" t="b">
        <f>AND(((F3336)=TRUE), ((J3336)=TRUE))</f>
        <v>0</v>
      </c>
      <c r="L3336" s="4" t="b">
        <f>AND(((G3336 &lt;&gt; "plain")=TRUE), ((G3336 &lt;&gt; "")=TRUE))</f>
        <v>0</v>
      </c>
      <c r="M3336" s="4" t="str">
        <f>IF(((E3336)=TRUE),  C3336 &amp; "|" &amp; H3336,  "")</f>
        <v>principal-knowledge-authority|StepTransitions</v>
      </c>
      <c r="N3336" s="3" t="s">
        <v>10004</v>
      </c>
    </row>
    <row r="3337">
      <c r="A3337" s="3" t="s">
        <v>13339</v>
      </c>
      <c r="B3337" s="4" t="str">
        <f>C3337 &amp; " -&gt; " &amp; D3337</f>
        <v>principal-knowledge-authority -&gt; StepTransitions.IsUnwalkedRecoveryPath</v>
      </c>
      <c r="C3337" s="3" t="s">
        <v>9774</v>
      </c>
      <c r="D3337" s="3" t="s">
        <v>2991</v>
      </c>
      <c r="E3337" s="3" t="b">
        <v>1</v>
      </c>
      <c r="F3337" s="3" t="b">
        <v>0</v>
      </c>
      <c r="G3337" s="3" t="s">
        <v>10003</v>
      </c>
      <c r="H3337" s="4" t="str">
        <f>_xlfn.IFNA(IF(((INDEX(RulebookFields!C2:C1898, MATCH(D3337,RulebookFields!A2:A1898, 0))="")=TRUE),  "",  INDEX(RulebookFields!C2:C1898, MATCH(D3337,RulebookFields!A2:A1898, 0))), "")</f>
        <v>StepTransitions</v>
      </c>
      <c r="I3337" s="4" t="str">
        <f>_xlfn.IFNA(IF(((INDEX(RulebookFields!D2:D1898, MATCH(D3337,RulebookFields!A2:A1898, 0))="")=TRUE),  "",  INDEX(RulebookFields!D2:D1898, MATCH(D3337,RulebookFields!A2:A1898, 0))), "")</f>
        <v>IsUnwalkedRecoveryPath</v>
      </c>
      <c r="J3337" s="4" t="b">
        <f>_xlfn.IFNA(IF(((INDEX(RulebookFields!I2:I1898, MATCH(D3337,RulebookFields!A2:A1898, 0))="")=TRUE),  "",  INDEX(RulebookFields!I2:I1898, MATCH(D3337,RulebookFields!A2:A1898, 0))), "")</f>
        <v>1</v>
      </c>
      <c r="K3337" s="4" t="b">
        <f>AND(((F3337)=TRUE), ((J3337)=TRUE))</f>
        <v>0</v>
      </c>
      <c r="L3337" s="4" t="b">
        <f>AND(((G3337 &lt;&gt; "plain")=TRUE), ((G3337 &lt;&gt; "")=TRUE))</f>
        <v>0</v>
      </c>
      <c r="M3337" s="4" t="str">
        <f>IF(((E3337)=TRUE),  C3337 &amp; "|" &amp; H3337,  "")</f>
        <v>principal-knowledge-authority|StepTransitions</v>
      </c>
      <c r="N3337" s="3" t="s">
        <v>10004</v>
      </c>
    </row>
    <row r="3338">
      <c r="A3338" s="3" t="s">
        <v>13340</v>
      </c>
      <c r="B3338" s="4" t="str">
        <f>C3338 &amp; " -&gt; " &amp; D3338</f>
        <v>principal-knowledge-authority -&gt; StepTransitions.TargetBlockingRequirementCount</v>
      </c>
      <c r="C3338" s="3" t="s">
        <v>9774</v>
      </c>
      <c r="D3338" s="3" t="s">
        <v>2993</v>
      </c>
      <c r="E3338" s="3" t="b">
        <v>1</v>
      </c>
      <c r="F3338" s="3" t="b">
        <v>0</v>
      </c>
      <c r="G3338" s="3" t="s">
        <v>10003</v>
      </c>
      <c r="H3338" s="4" t="str">
        <f>_xlfn.IFNA(IF(((INDEX(RulebookFields!C2:C1898, MATCH(D3338,RulebookFields!A2:A1898, 0))="")=TRUE),  "",  INDEX(RulebookFields!C2:C1898, MATCH(D3338,RulebookFields!A2:A1898, 0))), "")</f>
        <v>StepTransitions</v>
      </c>
      <c r="I3338" s="4" t="str">
        <f>_xlfn.IFNA(IF(((INDEX(RulebookFields!D2:D1898, MATCH(D3338,RulebookFields!A2:A1898, 0))="")=TRUE),  "",  INDEX(RulebookFields!D2:D1898, MATCH(D3338,RulebookFields!A2:A1898, 0))), "")</f>
        <v>TargetBlockingRequirementCount</v>
      </c>
      <c r="J3338" s="4" t="b">
        <f>_xlfn.IFNA(IF(((INDEX(RulebookFields!I2:I1898, MATCH(D3338,RulebookFields!A2:A1898, 0))="")=TRUE),  "",  INDEX(RulebookFields!I2:I1898, MATCH(D3338,RulebookFields!A2:A1898, 0))), "")</f>
        <v>1</v>
      </c>
      <c r="K3338" s="4" t="b">
        <f>AND(((F3338)=TRUE), ((J3338)=TRUE))</f>
        <v>0</v>
      </c>
      <c r="L3338" s="4" t="b">
        <f>AND(((G3338 &lt;&gt; "plain")=TRUE), ((G3338 &lt;&gt; "")=TRUE))</f>
        <v>0</v>
      </c>
      <c r="M3338" s="4" t="str">
        <f>IF(((E3338)=TRUE),  C3338 &amp; "|" &amp; H3338,  "")</f>
        <v>principal-knowledge-authority|StepTransitions</v>
      </c>
      <c r="N3338" s="3" t="s">
        <v>10004</v>
      </c>
    </row>
    <row r="3339">
      <c r="A3339" s="3" t="s">
        <v>13341</v>
      </c>
      <c r="B3339" s="4" t="str">
        <f>C3339 &amp; " -&gt; " &amp; D3339</f>
        <v>principal-knowledge-authority -&gt; StepTransitions.TargetCarriesBlockingControl</v>
      </c>
      <c r="C3339" s="3" t="s">
        <v>9774</v>
      </c>
      <c r="D3339" s="3" t="s">
        <v>2995</v>
      </c>
      <c r="E3339" s="3" t="b">
        <v>1</v>
      </c>
      <c r="F3339" s="3" t="b">
        <v>0</v>
      </c>
      <c r="G3339" s="3" t="s">
        <v>10003</v>
      </c>
      <c r="H3339" s="4" t="str">
        <f>_xlfn.IFNA(IF(((INDEX(RulebookFields!C2:C1898, MATCH(D3339,RulebookFields!A2:A1898, 0))="")=TRUE),  "",  INDEX(RulebookFields!C2:C1898, MATCH(D3339,RulebookFields!A2:A1898, 0))), "")</f>
        <v>StepTransitions</v>
      </c>
      <c r="I3339" s="4" t="str">
        <f>_xlfn.IFNA(IF(((INDEX(RulebookFields!D2:D1898, MATCH(D3339,RulebookFields!A2:A1898, 0))="")=TRUE),  "",  INDEX(RulebookFields!D2:D1898, MATCH(D3339,RulebookFields!A2:A1898, 0))), "")</f>
        <v>TargetCarriesBlockingControl</v>
      </c>
      <c r="J3339" s="4" t="b">
        <f>_xlfn.IFNA(IF(((INDEX(RulebookFields!I2:I1898, MATCH(D3339,RulebookFields!A2:A1898, 0))="")=TRUE),  "",  INDEX(RulebookFields!I2:I1898, MATCH(D3339,RulebookFields!A2:A1898, 0))), "")</f>
        <v>1</v>
      </c>
      <c r="K3339" s="4" t="b">
        <f>AND(((F3339)=TRUE), ((J3339)=TRUE))</f>
        <v>0</v>
      </c>
      <c r="L3339" s="4" t="b">
        <f>AND(((G3339 &lt;&gt; "plain")=TRUE), ((G3339 &lt;&gt; "")=TRUE))</f>
        <v>0</v>
      </c>
      <c r="M3339" s="4" t="str">
        <f>IF(((E3339)=TRUE),  C3339 &amp; "|" &amp; H3339,  "")</f>
        <v>principal-knowledge-authority|StepTransitions</v>
      </c>
      <c r="N3339" s="3" t="s">
        <v>10004</v>
      </c>
    </row>
    <row r="3340">
      <c r="A3340" s="3" t="s">
        <v>13342</v>
      </c>
      <c r="B3340" s="4" t="str">
        <f>C3340 &amp; " -&gt; " &amp; D3340</f>
        <v>principal-knowledge-authority -&gt; StepTransitions.IsUnrehearsedControlEntry</v>
      </c>
      <c r="C3340" s="3" t="s">
        <v>9774</v>
      </c>
      <c r="D3340" s="3" t="s">
        <v>2997</v>
      </c>
      <c r="E3340" s="3" t="b">
        <v>1</v>
      </c>
      <c r="F3340" s="3" t="b">
        <v>0</v>
      </c>
      <c r="G3340" s="3" t="s">
        <v>10003</v>
      </c>
      <c r="H3340" s="4" t="str">
        <f>_xlfn.IFNA(IF(((INDEX(RulebookFields!C2:C1898, MATCH(D3340,RulebookFields!A2:A1898, 0))="")=TRUE),  "",  INDEX(RulebookFields!C2:C1898, MATCH(D3340,RulebookFields!A2:A1898, 0))), "")</f>
        <v>StepTransitions</v>
      </c>
      <c r="I3340" s="4" t="str">
        <f>_xlfn.IFNA(IF(((INDEX(RulebookFields!D2:D1898, MATCH(D3340,RulebookFields!A2:A1898, 0))="")=TRUE),  "",  INDEX(RulebookFields!D2:D1898, MATCH(D3340,RulebookFields!A2:A1898, 0))), "")</f>
        <v>IsUnrehearsedControlEntry</v>
      </c>
      <c r="J3340" s="4" t="b">
        <f>_xlfn.IFNA(IF(((INDEX(RulebookFields!I2:I1898, MATCH(D3340,RulebookFields!A2:A1898, 0))="")=TRUE),  "",  INDEX(RulebookFields!I2:I1898, MATCH(D3340,RulebookFields!A2:A1898, 0))), "")</f>
        <v>1</v>
      </c>
      <c r="K3340" s="4" t="b">
        <f>AND(((F3340)=TRUE), ((J3340)=TRUE))</f>
        <v>0</v>
      </c>
      <c r="L3340" s="4" t="b">
        <f>AND(((G3340 &lt;&gt; "plain")=TRUE), ((G3340 &lt;&gt; "")=TRUE))</f>
        <v>0</v>
      </c>
      <c r="M3340" s="4" t="str">
        <f>IF(((E3340)=TRUE),  C3340 &amp; "|" &amp; H3340,  "")</f>
        <v>principal-knowledge-authority|StepTransitions</v>
      </c>
      <c r="N3340" s="3" t="s">
        <v>10004</v>
      </c>
    </row>
    <row r="3341">
      <c r="A3341" s="3" t="s">
        <v>13343</v>
      </c>
      <c r="B3341" s="4" t="str">
        <f>C3341 &amp; " -&gt; " &amp; D3341</f>
        <v>principal-knowledge-authority -&gt; StepTransitions.UnrehearsedControlVersionKey</v>
      </c>
      <c r="C3341" s="3" t="s">
        <v>9774</v>
      </c>
      <c r="D3341" s="3" t="s">
        <v>2999</v>
      </c>
      <c r="E3341" s="3" t="b">
        <v>1</v>
      </c>
      <c r="F3341" s="3" t="b">
        <v>0</v>
      </c>
      <c r="G3341" s="3" t="s">
        <v>10003</v>
      </c>
      <c r="H3341" s="4" t="str">
        <f>_xlfn.IFNA(IF(((INDEX(RulebookFields!C2:C1898, MATCH(D3341,RulebookFields!A2:A1898, 0))="")=TRUE),  "",  INDEX(RulebookFields!C2:C1898, MATCH(D3341,RulebookFields!A2:A1898, 0))), "")</f>
        <v>StepTransitions</v>
      </c>
      <c r="I3341" s="4" t="str">
        <f>_xlfn.IFNA(IF(((INDEX(RulebookFields!D2:D1898, MATCH(D3341,RulebookFields!A2:A1898, 0))="")=TRUE),  "",  INDEX(RulebookFields!D2:D1898, MATCH(D3341,RulebookFields!A2:A1898, 0))), "")</f>
        <v>UnrehearsedControlVersionKey</v>
      </c>
      <c r="J3341" s="4" t="b">
        <f>_xlfn.IFNA(IF(((INDEX(RulebookFields!I2:I1898, MATCH(D3341,RulebookFields!A2:A1898, 0))="")=TRUE),  "",  INDEX(RulebookFields!I2:I1898, MATCH(D3341,RulebookFields!A2:A1898, 0))), "")</f>
        <v>1</v>
      </c>
      <c r="K3341" s="4" t="b">
        <f>AND(((F3341)=TRUE), ((J3341)=TRUE))</f>
        <v>0</v>
      </c>
      <c r="L3341" s="4" t="b">
        <f>AND(((G3341 &lt;&gt; "plain")=TRUE), ((G3341 &lt;&gt; "")=TRUE))</f>
        <v>0</v>
      </c>
      <c r="M3341" s="4" t="str">
        <f>IF(((E3341)=TRUE),  C3341 &amp; "|" &amp; H3341,  "")</f>
        <v>principal-knowledge-authority|StepTransitions</v>
      </c>
      <c r="N3341" s="3" t="s">
        <v>10004</v>
      </c>
    </row>
    <row r="3342">
      <c r="A3342" s="3" t="s">
        <v>13344</v>
      </c>
      <c r="B3342" s="4" t="str">
        <f>C3342 &amp; " -&gt; " &amp; D3342</f>
        <v>principal-knowledge-authority -&gt; StepTransitions.SemanticTypeIri</v>
      </c>
      <c r="C3342" s="3" t="s">
        <v>9774</v>
      </c>
      <c r="D3342" s="3" t="s">
        <v>3010</v>
      </c>
      <c r="E3342" s="3" t="b">
        <v>1</v>
      </c>
      <c r="F3342" s="3" t="b">
        <v>0</v>
      </c>
      <c r="G3342" s="3" t="s">
        <v>10003</v>
      </c>
      <c r="H3342" s="4" t="str">
        <f>_xlfn.IFNA(IF(((INDEX(RulebookFields!C2:C1898, MATCH(D3342,RulebookFields!A2:A1898, 0))="")=TRUE),  "",  INDEX(RulebookFields!C2:C1898, MATCH(D3342,RulebookFields!A2:A1898, 0))), "")</f>
        <v>StepTransitions</v>
      </c>
      <c r="I3342" s="4" t="str">
        <f>_xlfn.IFNA(IF(((INDEX(RulebookFields!D2:D1898, MATCH(D3342,RulebookFields!A2:A1898, 0))="")=TRUE),  "",  INDEX(RulebookFields!D2:D1898, MATCH(D3342,RulebookFields!A2:A1898, 0))), "")</f>
        <v>SemanticTypeIri</v>
      </c>
      <c r="J3342" s="4" t="b">
        <f>_xlfn.IFNA(IF(((INDEX(RulebookFields!I2:I1898, MATCH(D3342,RulebookFields!A2:A1898, 0))="")=TRUE),  "",  INDEX(RulebookFields!I2:I1898, MATCH(D3342,RulebookFields!A2:A1898, 0))), "")</f>
        <v>0</v>
      </c>
      <c r="K3342" s="4" t="b">
        <f>AND(((F3342)=TRUE), ((J3342)=TRUE))</f>
        <v>0</v>
      </c>
      <c r="L3342" s="4" t="b">
        <f>AND(((G3342 &lt;&gt; "plain")=TRUE), ((G3342 &lt;&gt; "")=TRUE))</f>
        <v>0</v>
      </c>
      <c r="M3342" s="4" t="str">
        <f>IF(((E3342)=TRUE),  C3342 &amp; "|" &amp; H3342,  "")</f>
        <v>principal-knowledge-authority|StepTransitions</v>
      </c>
      <c r="N3342" s="3" t="s">
        <v>10004</v>
      </c>
    </row>
    <row r="3343">
      <c r="A3343" s="3" t="s">
        <v>13345</v>
      </c>
      <c r="B3343" s="4" t="str">
        <f>C3343 &amp; " -&gt; " &amp; D3343</f>
        <v>principal-knowledge-authority -&gt; StepVerifications.StepVerificationId</v>
      </c>
      <c r="C3343" s="3" t="s">
        <v>9774</v>
      </c>
      <c r="D3343" s="3" t="s">
        <v>3141</v>
      </c>
      <c r="E3343" s="3" t="b">
        <v>1</v>
      </c>
      <c r="F3343" s="3" t="b">
        <v>0</v>
      </c>
      <c r="G3343" s="3" t="s">
        <v>10003</v>
      </c>
      <c r="H3343" s="4" t="str">
        <f>_xlfn.IFNA(IF(((INDEX(RulebookFields!C2:C1898, MATCH(D3343,RulebookFields!A2:A1898, 0))="")=TRUE),  "",  INDEX(RulebookFields!C2:C1898, MATCH(D3343,RulebookFields!A2:A1898, 0))), "")</f>
        <v>StepVerifications</v>
      </c>
      <c r="I3343" s="4" t="str">
        <f>_xlfn.IFNA(IF(((INDEX(RulebookFields!D2:D1898, MATCH(D3343,RulebookFields!A2:A1898, 0))="")=TRUE),  "",  INDEX(RulebookFields!D2:D1898, MATCH(D3343,RulebookFields!A2:A1898, 0))), "")</f>
        <v>StepVerificationId</v>
      </c>
      <c r="J3343" s="4" t="b">
        <f>_xlfn.IFNA(IF(((INDEX(RulebookFields!I2:I1898, MATCH(D3343,RulebookFields!A2:A1898, 0))="")=TRUE),  "",  INDEX(RulebookFields!I2:I1898, MATCH(D3343,RulebookFields!A2:A1898, 0))), "")</f>
        <v>0</v>
      </c>
      <c r="K3343" s="4" t="b">
        <f>AND(((F3343)=TRUE), ((J3343)=TRUE))</f>
        <v>0</v>
      </c>
      <c r="L3343" s="4" t="b">
        <f>AND(((G3343 &lt;&gt; "plain")=TRUE), ((G3343 &lt;&gt; "")=TRUE))</f>
        <v>0</v>
      </c>
      <c r="M3343" s="4" t="str">
        <f>IF(((E3343)=TRUE),  C3343 &amp; "|" &amp; H3343,  "")</f>
        <v>principal-knowledge-authority|StepVerifications</v>
      </c>
      <c r="N3343" s="3" t="s">
        <v>10004</v>
      </c>
    </row>
    <row r="3344">
      <c r="A3344" s="3" t="s">
        <v>13346</v>
      </c>
      <c r="B3344" s="4" t="str">
        <f>C3344 &amp; " -&gt; " &amp; D3344</f>
        <v>principal-knowledge-authority -&gt; StepVerifications.Name</v>
      </c>
      <c r="C3344" s="3" t="s">
        <v>9774</v>
      </c>
      <c r="D3344" s="3" t="s">
        <v>3142</v>
      </c>
      <c r="E3344" s="3" t="b">
        <v>1</v>
      </c>
      <c r="F3344" s="3" t="b">
        <v>0</v>
      </c>
      <c r="G3344" s="3" t="s">
        <v>10003</v>
      </c>
      <c r="H3344" s="4" t="str">
        <f>_xlfn.IFNA(IF(((INDEX(RulebookFields!C2:C1898, MATCH(D3344,RulebookFields!A2:A1898, 0))="")=TRUE),  "",  INDEX(RulebookFields!C2:C1898, MATCH(D3344,RulebookFields!A2:A1898, 0))), "")</f>
        <v>StepVerifications</v>
      </c>
      <c r="I3344" s="4" t="str">
        <f>_xlfn.IFNA(IF(((INDEX(RulebookFields!D2:D1898, MATCH(D3344,RulebookFields!A2:A1898, 0))="")=TRUE),  "",  INDEX(RulebookFields!D2:D1898, MATCH(D3344,RulebookFields!A2:A1898, 0))), "")</f>
        <v>Name</v>
      </c>
      <c r="J3344" s="4" t="b">
        <f>_xlfn.IFNA(IF(((INDEX(RulebookFields!I2:I1898, MATCH(D3344,RulebookFields!A2:A1898, 0))="")=TRUE),  "",  INDEX(RulebookFields!I2:I1898, MATCH(D3344,RulebookFields!A2:A1898, 0))), "")</f>
        <v>1</v>
      </c>
      <c r="K3344" s="4" t="b">
        <f>AND(((F3344)=TRUE), ((J3344)=TRUE))</f>
        <v>0</v>
      </c>
      <c r="L3344" s="4" t="b">
        <f>AND(((G3344 &lt;&gt; "plain")=TRUE), ((G3344 &lt;&gt; "")=TRUE))</f>
        <v>0</v>
      </c>
      <c r="M3344" s="4" t="str">
        <f>IF(((E3344)=TRUE),  C3344 &amp; "|" &amp; H3344,  "")</f>
        <v>principal-knowledge-authority|StepVerifications</v>
      </c>
      <c r="N3344" s="3" t="s">
        <v>10004</v>
      </c>
    </row>
    <row r="3345">
      <c r="A3345" s="3" t="s">
        <v>13347</v>
      </c>
      <c r="B3345" s="4" t="str">
        <f>C3345 &amp; " -&gt; " &amp; D3345</f>
        <v>principal-knowledge-authority -&gt; StepVerifications.Step</v>
      </c>
      <c r="C3345" s="3" t="s">
        <v>9774</v>
      </c>
      <c r="D3345" s="3" t="s">
        <v>3144</v>
      </c>
      <c r="E3345" s="3" t="b">
        <v>1</v>
      </c>
      <c r="F3345" s="3" t="b">
        <v>0</v>
      </c>
      <c r="G3345" s="3" t="s">
        <v>10003</v>
      </c>
      <c r="H3345" s="4" t="str">
        <f>_xlfn.IFNA(IF(((INDEX(RulebookFields!C2:C1898, MATCH(D3345,RulebookFields!A2:A1898, 0))="")=TRUE),  "",  INDEX(RulebookFields!C2:C1898, MATCH(D3345,RulebookFields!A2:A1898, 0))), "")</f>
        <v>StepVerifications</v>
      </c>
      <c r="I3345" s="4" t="str">
        <f>_xlfn.IFNA(IF(((INDEX(RulebookFields!D2:D1898, MATCH(D3345,RulebookFields!A2:A1898, 0))="")=TRUE),  "",  INDEX(RulebookFields!D2:D1898, MATCH(D3345,RulebookFields!A2:A1898, 0))), "")</f>
        <v>Step</v>
      </c>
      <c r="J3345" s="4" t="b">
        <f>_xlfn.IFNA(IF(((INDEX(RulebookFields!I2:I1898, MATCH(D3345,RulebookFields!A2:A1898, 0))="")=TRUE),  "",  INDEX(RulebookFields!I2:I1898, MATCH(D3345,RulebookFields!A2:A1898, 0))), "")</f>
        <v>0</v>
      </c>
      <c r="K3345" s="4" t="b">
        <f>AND(((F3345)=TRUE), ((J3345)=TRUE))</f>
        <v>0</v>
      </c>
      <c r="L3345" s="4" t="b">
        <f>AND(((G3345 &lt;&gt; "plain")=TRUE), ((G3345 &lt;&gt; "")=TRUE))</f>
        <v>0</v>
      </c>
      <c r="M3345" s="4" t="str">
        <f>IF(((E3345)=TRUE),  C3345 &amp; "|" &amp; H3345,  "")</f>
        <v>principal-knowledge-authority|StepVerifications</v>
      </c>
      <c r="N3345" s="3" t="s">
        <v>10004</v>
      </c>
    </row>
    <row r="3346">
      <c r="A3346" s="3" t="s">
        <v>13348</v>
      </c>
      <c r="B3346" s="4" t="str">
        <f>C3346 &amp; " -&gt; " &amp; D3346</f>
        <v>principal-knowledge-authority -&gt; StepVerifications.VerificationKind</v>
      </c>
      <c r="C3346" s="3" t="s">
        <v>9774</v>
      </c>
      <c r="D3346" s="3" t="s">
        <v>3145</v>
      </c>
      <c r="E3346" s="3" t="b">
        <v>1</v>
      </c>
      <c r="F3346" s="3" t="b">
        <v>0</v>
      </c>
      <c r="G3346" s="3" t="s">
        <v>10003</v>
      </c>
      <c r="H3346" s="4" t="str">
        <f>_xlfn.IFNA(IF(((INDEX(RulebookFields!C2:C1898, MATCH(D3346,RulebookFields!A2:A1898, 0))="")=TRUE),  "",  INDEX(RulebookFields!C2:C1898, MATCH(D3346,RulebookFields!A2:A1898, 0))), "")</f>
        <v>StepVerifications</v>
      </c>
      <c r="I3346" s="4" t="str">
        <f>_xlfn.IFNA(IF(((INDEX(RulebookFields!D2:D1898, MATCH(D3346,RulebookFields!A2:A1898, 0))="")=TRUE),  "",  INDEX(RulebookFields!D2:D1898, MATCH(D3346,RulebookFields!A2:A1898, 0))), "")</f>
        <v>VerificationKind</v>
      </c>
      <c r="J3346" s="4" t="b">
        <f>_xlfn.IFNA(IF(((INDEX(RulebookFields!I2:I1898, MATCH(D3346,RulebookFields!A2:A1898, 0))="")=TRUE),  "",  INDEX(RulebookFields!I2:I1898, MATCH(D3346,RulebookFields!A2:A1898, 0))), "")</f>
        <v>0</v>
      </c>
      <c r="K3346" s="4" t="b">
        <f>AND(((F3346)=TRUE), ((J3346)=TRUE))</f>
        <v>0</v>
      </c>
      <c r="L3346" s="4" t="b">
        <f>AND(((G3346 &lt;&gt; "plain")=TRUE), ((G3346 &lt;&gt; "")=TRUE))</f>
        <v>0</v>
      </c>
      <c r="M3346" s="4" t="str">
        <f>IF(((E3346)=TRUE),  C3346 &amp; "|" &amp; H3346,  "")</f>
        <v>principal-knowledge-authority|StepVerifications</v>
      </c>
      <c r="N3346" s="3" t="s">
        <v>10004</v>
      </c>
    </row>
    <row r="3347">
      <c r="A3347" s="3" t="s">
        <v>13349</v>
      </c>
      <c r="B3347" s="4" t="str">
        <f>C3347 &amp; " -&gt; " &amp; D3347</f>
        <v>principal-knowledge-authority -&gt; StepVerifications.SignalIdentifier</v>
      </c>
      <c r="C3347" s="3" t="s">
        <v>9774</v>
      </c>
      <c r="D3347" s="3" t="s">
        <v>3146</v>
      </c>
      <c r="E3347" s="3" t="b">
        <v>1</v>
      </c>
      <c r="F3347" s="3" t="b">
        <v>0</v>
      </c>
      <c r="G3347" s="3" t="s">
        <v>10003</v>
      </c>
      <c r="H3347" s="4" t="str">
        <f>_xlfn.IFNA(IF(((INDEX(RulebookFields!C2:C1898, MATCH(D3347,RulebookFields!A2:A1898, 0))="")=TRUE),  "",  INDEX(RulebookFields!C2:C1898, MATCH(D3347,RulebookFields!A2:A1898, 0))), "")</f>
        <v>StepVerifications</v>
      </c>
      <c r="I3347" s="4" t="str">
        <f>_xlfn.IFNA(IF(((INDEX(RulebookFields!D2:D1898, MATCH(D3347,RulebookFields!A2:A1898, 0))="")=TRUE),  "",  INDEX(RulebookFields!D2:D1898, MATCH(D3347,RulebookFields!A2:A1898, 0))), "")</f>
        <v>SignalIdentifier</v>
      </c>
      <c r="J3347" s="4" t="b">
        <f>_xlfn.IFNA(IF(((INDEX(RulebookFields!I2:I1898, MATCH(D3347,RulebookFields!A2:A1898, 0))="")=TRUE),  "",  INDEX(RulebookFields!I2:I1898, MATCH(D3347,RulebookFields!A2:A1898, 0))), "")</f>
        <v>0</v>
      </c>
      <c r="K3347" s="4" t="b">
        <f>AND(((F3347)=TRUE), ((J3347)=TRUE))</f>
        <v>0</v>
      </c>
      <c r="L3347" s="4" t="b">
        <f>AND(((G3347 &lt;&gt; "plain")=TRUE), ((G3347 &lt;&gt; "")=TRUE))</f>
        <v>0</v>
      </c>
      <c r="M3347" s="4" t="str">
        <f>IF(((E3347)=TRUE),  C3347 &amp; "|" &amp; H3347,  "")</f>
        <v>principal-knowledge-authority|StepVerifications</v>
      </c>
      <c r="N3347" s="3" t="s">
        <v>10004</v>
      </c>
    </row>
    <row r="3348">
      <c r="A3348" s="3" t="s">
        <v>13350</v>
      </c>
      <c r="B3348" s="4" t="str">
        <f>C3348 &amp; " -&gt; " &amp; D3348</f>
        <v>principal-knowledge-authority -&gt; StepVerifications.ExpectedSignalValue</v>
      </c>
      <c r="C3348" s="3" t="s">
        <v>9774</v>
      </c>
      <c r="D3348" s="3" t="s">
        <v>3147</v>
      </c>
      <c r="E3348" s="3" t="b">
        <v>1</v>
      </c>
      <c r="F3348" s="3" t="b">
        <v>0</v>
      </c>
      <c r="G3348" s="3" t="s">
        <v>10003</v>
      </c>
      <c r="H3348" s="4" t="str">
        <f>_xlfn.IFNA(IF(((INDEX(RulebookFields!C2:C1898, MATCH(D3348,RulebookFields!A2:A1898, 0))="")=TRUE),  "",  INDEX(RulebookFields!C2:C1898, MATCH(D3348,RulebookFields!A2:A1898, 0))), "")</f>
        <v>StepVerifications</v>
      </c>
      <c r="I3348" s="4" t="str">
        <f>_xlfn.IFNA(IF(((INDEX(RulebookFields!D2:D1898, MATCH(D3348,RulebookFields!A2:A1898, 0))="")=TRUE),  "",  INDEX(RulebookFields!D2:D1898, MATCH(D3348,RulebookFields!A2:A1898, 0))), "")</f>
        <v>ExpectedSignalValue</v>
      </c>
      <c r="J3348" s="4" t="b">
        <f>_xlfn.IFNA(IF(((INDEX(RulebookFields!I2:I1898, MATCH(D3348,RulebookFields!A2:A1898, 0))="")=TRUE),  "",  INDEX(RulebookFields!I2:I1898, MATCH(D3348,RulebookFields!A2:A1898, 0))), "")</f>
        <v>0</v>
      </c>
      <c r="K3348" s="4" t="b">
        <f>AND(((F3348)=TRUE), ((J3348)=TRUE))</f>
        <v>0</v>
      </c>
      <c r="L3348" s="4" t="b">
        <f>AND(((G3348 &lt;&gt; "plain")=TRUE), ((G3348 &lt;&gt; "")=TRUE))</f>
        <v>0</v>
      </c>
      <c r="M3348" s="4" t="str">
        <f>IF(((E3348)=TRUE),  C3348 &amp; "|" &amp; H3348,  "")</f>
        <v>principal-knowledge-authority|StepVerifications</v>
      </c>
      <c r="N3348" s="3" t="s">
        <v>10004</v>
      </c>
    </row>
    <row r="3349">
      <c r="A3349" s="3" t="s">
        <v>13351</v>
      </c>
      <c r="B3349" s="4" t="str">
        <f>C3349 &amp; " -&gt; " &amp; D3349</f>
        <v>principal-knowledge-authority -&gt; StepVerifications.Instruction</v>
      </c>
      <c r="C3349" s="3" t="s">
        <v>9774</v>
      </c>
      <c r="D3349" s="3" t="s">
        <v>3148</v>
      </c>
      <c r="E3349" s="3" t="b">
        <v>1</v>
      </c>
      <c r="F3349" s="3" t="b">
        <v>0</v>
      </c>
      <c r="G3349" s="3" t="s">
        <v>10003</v>
      </c>
      <c r="H3349" s="4" t="str">
        <f>_xlfn.IFNA(IF(((INDEX(RulebookFields!C2:C1898, MATCH(D3349,RulebookFields!A2:A1898, 0))="")=TRUE),  "",  INDEX(RulebookFields!C2:C1898, MATCH(D3349,RulebookFields!A2:A1898, 0))), "")</f>
        <v>StepVerifications</v>
      </c>
      <c r="I3349" s="4" t="str">
        <f>_xlfn.IFNA(IF(((INDEX(RulebookFields!D2:D1898, MATCH(D3349,RulebookFields!A2:A1898, 0))="")=TRUE),  "",  INDEX(RulebookFields!D2:D1898, MATCH(D3349,RulebookFields!A2:A1898, 0))), "")</f>
        <v>Instruction</v>
      </c>
      <c r="J3349" s="4" t="b">
        <f>_xlfn.IFNA(IF(((INDEX(RulebookFields!I2:I1898, MATCH(D3349,RulebookFields!A2:A1898, 0))="")=TRUE),  "",  INDEX(RulebookFields!I2:I1898, MATCH(D3349,RulebookFields!A2:A1898, 0))), "")</f>
        <v>0</v>
      </c>
      <c r="K3349" s="4" t="b">
        <f>AND(((F3349)=TRUE), ((J3349)=TRUE))</f>
        <v>0</v>
      </c>
      <c r="L3349" s="4" t="b">
        <f>AND(((G3349 &lt;&gt; "plain")=TRUE), ((G3349 &lt;&gt; "")=TRUE))</f>
        <v>0</v>
      </c>
      <c r="M3349" s="4" t="str">
        <f>IF(((E3349)=TRUE),  C3349 &amp; "|" &amp; H3349,  "")</f>
        <v>principal-knowledge-authority|StepVerifications</v>
      </c>
      <c r="N3349" s="3" t="s">
        <v>10004</v>
      </c>
    </row>
    <row r="3350">
      <c r="A3350" s="3" t="s">
        <v>13352</v>
      </c>
      <c r="B3350" s="4" t="str">
        <f>C3350 &amp; " -&gt; " &amp; D3350</f>
        <v>principal-knowledge-authority -&gt; StepVerifications.SemanticTypeIri</v>
      </c>
      <c r="C3350" s="3" t="s">
        <v>9774</v>
      </c>
      <c r="D3350" s="3" t="s">
        <v>3149</v>
      </c>
      <c r="E3350" s="3" t="b">
        <v>1</v>
      </c>
      <c r="F3350" s="3" t="b">
        <v>0</v>
      </c>
      <c r="G3350" s="3" t="s">
        <v>10003</v>
      </c>
      <c r="H3350" s="4" t="str">
        <f>_xlfn.IFNA(IF(((INDEX(RulebookFields!C2:C1898, MATCH(D3350,RulebookFields!A2:A1898, 0))="")=TRUE),  "",  INDEX(RulebookFields!C2:C1898, MATCH(D3350,RulebookFields!A2:A1898, 0))), "")</f>
        <v>StepVerifications</v>
      </c>
      <c r="I3350" s="4" t="str">
        <f>_xlfn.IFNA(IF(((INDEX(RulebookFields!D2:D1898, MATCH(D3350,RulebookFields!A2:A1898, 0))="")=TRUE),  "",  INDEX(RulebookFields!D2:D1898, MATCH(D3350,RulebookFields!A2:A1898, 0))), "")</f>
        <v>SemanticTypeIri</v>
      </c>
      <c r="J3350" s="4" t="b">
        <f>_xlfn.IFNA(IF(((INDEX(RulebookFields!I2:I1898, MATCH(D3350,RulebookFields!A2:A1898, 0))="")=TRUE),  "",  INDEX(RulebookFields!I2:I1898, MATCH(D3350,RulebookFields!A2:A1898, 0))), "")</f>
        <v>0</v>
      </c>
      <c r="K3350" s="4" t="b">
        <f>AND(((F3350)=TRUE), ((J3350)=TRUE))</f>
        <v>0</v>
      </c>
      <c r="L3350" s="4" t="b">
        <f>AND(((G3350 &lt;&gt; "plain")=TRUE), ((G3350 &lt;&gt; "")=TRUE))</f>
        <v>0</v>
      </c>
      <c r="M3350" s="4" t="str">
        <f>IF(((E3350)=TRUE),  C3350 &amp; "|" &amp; H3350,  "")</f>
        <v>principal-knowledge-authority|StepVerifications</v>
      </c>
      <c r="N3350" s="3" t="s">
        <v>10004</v>
      </c>
    </row>
    <row r="3351">
      <c r="A3351" s="3" t="s">
        <v>13353</v>
      </c>
      <c r="B3351" s="4" t="str">
        <f>C3351 &amp; " -&gt; " &amp; D3351</f>
        <v>principal-knowledge-authority -&gt; Steps.StepId</v>
      </c>
      <c r="C3351" s="3" t="s">
        <v>9774</v>
      </c>
      <c r="D3351" s="3" t="s">
        <v>2870</v>
      </c>
      <c r="E3351" s="3" t="b">
        <v>1</v>
      </c>
      <c r="F3351" s="3" t="b">
        <v>0</v>
      </c>
      <c r="G3351" s="3" t="s">
        <v>10003</v>
      </c>
      <c r="H3351" s="4" t="str">
        <f>_xlfn.IFNA(IF(((INDEX(RulebookFields!C2:C1898, MATCH(D3351,RulebookFields!A2:A1898, 0))="")=TRUE),  "",  INDEX(RulebookFields!C2:C1898, MATCH(D3351,RulebookFields!A2:A1898, 0))), "")</f>
        <v>Steps</v>
      </c>
      <c r="I3351" s="4" t="str">
        <f>_xlfn.IFNA(IF(((INDEX(RulebookFields!D2:D1898, MATCH(D3351,RulebookFields!A2:A1898, 0))="")=TRUE),  "",  INDEX(RulebookFields!D2:D1898, MATCH(D3351,RulebookFields!A2:A1898, 0))), "")</f>
        <v>StepId</v>
      </c>
      <c r="J3351" s="4" t="b">
        <f>_xlfn.IFNA(IF(((INDEX(RulebookFields!I2:I1898, MATCH(D3351,RulebookFields!A2:A1898, 0))="")=TRUE),  "",  INDEX(RulebookFields!I2:I1898, MATCH(D3351,RulebookFields!A2:A1898, 0))), "")</f>
        <v>0</v>
      </c>
      <c r="K3351" s="4" t="b">
        <f>AND(((F3351)=TRUE), ((J3351)=TRUE))</f>
        <v>0</v>
      </c>
      <c r="L3351" s="4" t="b">
        <f>AND(((G3351 &lt;&gt; "plain")=TRUE), ((G3351 &lt;&gt; "")=TRUE))</f>
        <v>0</v>
      </c>
      <c r="M3351" s="4" t="str">
        <f>IF(((E3351)=TRUE),  C3351 &amp; "|" &amp; H3351,  "")</f>
        <v>principal-knowledge-authority|Steps</v>
      </c>
      <c r="N3351" s="3" t="s">
        <v>10004</v>
      </c>
    </row>
    <row r="3352">
      <c r="A3352" s="3" t="s">
        <v>13354</v>
      </c>
      <c r="B3352" s="4" t="str">
        <f>C3352 &amp; " -&gt; " &amp; D3352</f>
        <v>principal-knowledge-authority -&gt; Steps.Name</v>
      </c>
      <c r="C3352" s="3" t="s">
        <v>9774</v>
      </c>
      <c r="D3352" s="3" t="s">
        <v>2871</v>
      </c>
      <c r="E3352" s="3" t="b">
        <v>1</v>
      </c>
      <c r="F3352" s="3" t="b">
        <v>0</v>
      </c>
      <c r="G3352" s="3" t="s">
        <v>10003</v>
      </c>
      <c r="H3352" s="4" t="str">
        <f>_xlfn.IFNA(IF(((INDEX(RulebookFields!C2:C1898, MATCH(D3352,RulebookFields!A2:A1898, 0))="")=TRUE),  "",  INDEX(RulebookFields!C2:C1898, MATCH(D3352,RulebookFields!A2:A1898, 0))), "")</f>
        <v>Steps</v>
      </c>
      <c r="I3352" s="4" t="str">
        <f>_xlfn.IFNA(IF(((INDEX(RulebookFields!D2:D1898, MATCH(D3352,RulebookFields!A2:A1898, 0))="")=TRUE),  "",  INDEX(RulebookFields!D2:D1898, MATCH(D3352,RulebookFields!A2:A1898, 0))), "")</f>
        <v>Name</v>
      </c>
      <c r="J3352" s="4" t="b">
        <f>_xlfn.IFNA(IF(((INDEX(RulebookFields!I2:I1898, MATCH(D3352,RulebookFields!A2:A1898, 0))="")=TRUE),  "",  INDEX(RulebookFields!I2:I1898, MATCH(D3352,RulebookFields!A2:A1898, 0))), "")</f>
        <v>1</v>
      </c>
      <c r="K3352" s="4" t="b">
        <f>AND(((F3352)=TRUE), ((J3352)=TRUE))</f>
        <v>0</v>
      </c>
      <c r="L3352" s="4" t="b">
        <f>AND(((G3352 &lt;&gt; "plain")=TRUE), ((G3352 &lt;&gt; "")=TRUE))</f>
        <v>0</v>
      </c>
      <c r="M3352" s="4" t="str">
        <f>IF(((E3352)=TRUE),  C3352 &amp; "|" &amp; H3352,  "")</f>
        <v>principal-knowledge-authority|Steps</v>
      </c>
      <c r="N3352" s="3" t="s">
        <v>10004</v>
      </c>
    </row>
    <row r="3353">
      <c r="A3353" s="3" t="s">
        <v>13355</v>
      </c>
      <c r="B3353" s="4" t="str">
        <f>C3353 &amp; " -&gt; " &amp; D3353</f>
        <v>principal-knowledge-authority -&gt; Steps.ProcedureVersion</v>
      </c>
      <c r="C3353" s="3" t="s">
        <v>9774</v>
      </c>
      <c r="D3353" s="3" t="s">
        <v>2873</v>
      </c>
      <c r="E3353" s="3" t="b">
        <v>1</v>
      </c>
      <c r="F3353" s="3" t="b">
        <v>0</v>
      </c>
      <c r="G3353" s="3" t="s">
        <v>10003</v>
      </c>
      <c r="H3353" s="4" t="str">
        <f>_xlfn.IFNA(IF(((INDEX(RulebookFields!C2:C1898, MATCH(D3353,RulebookFields!A2:A1898, 0))="")=TRUE),  "",  INDEX(RulebookFields!C2:C1898, MATCH(D3353,RulebookFields!A2:A1898, 0))), "")</f>
        <v>Steps</v>
      </c>
      <c r="I3353" s="4" t="str">
        <f>_xlfn.IFNA(IF(((INDEX(RulebookFields!D2:D1898, MATCH(D3353,RulebookFields!A2:A1898, 0))="")=TRUE),  "",  INDEX(RulebookFields!D2:D1898, MATCH(D3353,RulebookFields!A2:A1898, 0))), "")</f>
        <v>ProcedureVersion</v>
      </c>
      <c r="J3353" s="4" t="b">
        <f>_xlfn.IFNA(IF(((INDEX(RulebookFields!I2:I1898, MATCH(D3353,RulebookFields!A2:A1898, 0))="")=TRUE),  "",  INDEX(RulebookFields!I2:I1898, MATCH(D3353,RulebookFields!A2:A1898, 0))), "")</f>
        <v>0</v>
      </c>
      <c r="K3353" s="4" t="b">
        <f>AND(((F3353)=TRUE), ((J3353)=TRUE))</f>
        <v>0</v>
      </c>
      <c r="L3353" s="4" t="b">
        <f>AND(((G3353 &lt;&gt; "plain")=TRUE), ((G3353 &lt;&gt; "")=TRUE))</f>
        <v>0</v>
      </c>
      <c r="M3353" s="4" t="str">
        <f>IF(((E3353)=TRUE),  C3353 &amp; "|" &amp; H3353,  "")</f>
        <v>principal-knowledge-authority|Steps</v>
      </c>
      <c r="N3353" s="3" t="s">
        <v>10004</v>
      </c>
    </row>
    <row r="3354">
      <c r="A3354" s="3" t="s">
        <v>13356</v>
      </c>
      <c r="B3354" s="4" t="str">
        <f>C3354 &amp; " -&gt; " &amp; D3354</f>
        <v>principal-knowledge-authority -&gt; Steps.StepNumber</v>
      </c>
      <c r="C3354" s="3" t="s">
        <v>9774</v>
      </c>
      <c r="D3354" s="3" t="s">
        <v>2874</v>
      </c>
      <c r="E3354" s="3" t="b">
        <v>1</v>
      </c>
      <c r="F3354" s="3" t="b">
        <v>0</v>
      </c>
      <c r="G3354" s="3" t="s">
        <v>10003</v>
      </c>
      <c r="H3354" s="4" t="str">
        <f>_xlfn.IFNA(IF(((INDEX(RulebookFields!C2:C1898, MATCH(D3354,RulebookFields!A2:A1898, 0))="")=TRUE),  "",  INDEX(RulebookFields!C2:C1898, MATCH(D3354,RulebookFields!A2:A1898, 0))), "")</f>
        <v>Steps</v>
      </c>
      <c r="I3354" s="4" t="str">
        <f>_xlfn.IFNA(IF(((INDEX(RulebookFields!D2:D1898, MATCH(D3354,RulebookFields!A2:A1898, 0))="")=TRUE),  "",  INDEX(RulebookFields!D2:D1898, MATCH(D3354,RulebookFields!A2:A1898, 0))), "")</f>
        <v>StepNumber</v>
      </c>
      <c r="J3354" s="4" t="b">
        <f>_xlfn.IFNA(IF(((INDEX(RulebookFields!I2:I1898, MATCH(D3354,RulebookFields!A2:A1898, 0))="")=TRUE),  "",  INDEX(RulebookFields!I2:I1898, MATCH(D3354,RulebookFields!A2:A1898, 0))), "")</f>
        <v>0</v>
      </c>
      <c r="K3354" s="4" t="b">
        <f>AND(((F3354)=TRUE), ((J3354)=TRUE))</f>
        <v>0</v>
      </c>
      <c r="L3354" s="4" t="b">
        <f>AND(((G3354 &lt;&gt; "plain")=TRUE), ((G3354 &lt;&gt; "")=TRUE))</f>
        <v>0</v>
      </c>
      <c r="M3354" s="4" t="str">
        <f>IF(((E3354)=TRUE),  C3354 &amp; "|" &amp; H3354,  "")</f>
        <v>principal-knowledge-authority|Steps</v>
      </c>
      <c r="N3354" s="3" t="s">
        <v>10004</v>
      </c>
    </row>
    <row r="3355">
      <c r="A3355" s="3" t="s">
        <v>13357</v>
      </c>
      <c r="B3355" s="4" t="str">
        <f>C3355 &amp; " -&gt; " &amp; D3355</f>
        <v>principal-knowledge-authority -&gt; Steps.Title</v>
      </c>
      <c r="C3355" s="3" t="s">
        <v>9774</v>
      </c>
      <c r="D3355" s="3" t="s">
        <v>2875</v>
      </c>
      <c r="E3355" s="3" t="b">
        <v>1</v>
      </c>
      <c r="F3355" s="3" t="b">
        <v>0</v>
      </c>
      <c r="G3355" s="3" t="s">
        <v>10003</v>
      </c>
      <c r="H3355" s="4" t="str">
        <f>_xlfn.IFNA(IF(((INDEX(RulebookFields!C2:C1898, MATCH(D3355,RulebookFields!A2:A1898, 0))="")=TRUE),  "",  INDEX(RulebookFields!C2:C1898, MATCH(D3355,RulebookFields!A2:A1898, 0))), "")</f>
        <v>Steps</v>
      </c>
      <c r="I3355" s="4" t="str">
        <f>_xlfn.IFNA(IF(((INDEX(RulebookFields!D2:D1898, MATCH(D3355,RulebookFields!A2:A1898, 0))="")=TRUE),  "",  INDEX(RulebookFields!D2:D1898, MATCH(D3355,RulebookFields!A2:A1898, 0))), "")</f>
        <v>Title</v>
      </c>
      <c r="J3355" s="4" t="b">
        <f>_xlfn.IFNA(IF(((INDEX(RulebookFields!I2:I1898, MATCH(D3355,RulebookFields!A2:A1898, 0))="")=TRUE),  "",  INDEX(RulebookFields!I2:I1898, MATCH(D3355,RulebookFields!A2:A1898, 0))), "")</f>
        <v>0</v>
      </c>
      <c r="K3355" s="4" t="b">
        <f>AND(((F3355)=TRUE), ((J3355)=TRUE))</f>
        <v>0</v>
      </c>
      <c r="L3355" s="4" t="b">
        <f>AND(((G3355 &lt;&gt; "plain")=TRUE), ((G3355 &lt;&gt; "")=TRUE))</f>
        <v>0</v>
      </c>
      <c r="M3355" s="4" t="str">
        <f>IF(((E3355)=TRUE),  C3355 &amp; "|" &amp; H3355,  "")</f>
        <v>principal-knowledge-authority|Steps</v>
      </c>
      <c r="N3355" s="3" t="s">
        <v>10004</v>
      </c>
    </row>
    <row r="3356">
      <c r="A3356" s="3" t="s">
        <v>13358</v>
      </c>
      <c r="B3356" s="4" t="str">
        <f>C3356 &amp; " -&gt; " &amp; D3356</f>
        <v>principal-knowledge-authority -&gt; Steps.StepKind</v>
      </c>
      <c r="C3356" s="3" t="s">
        <v>9774</v>
      </c>
      <c r="D3356" s="3" t="s">
        <v>2876</v>
      </c>
      <c r="E3356" s="3" t="b">
        <v>1</v>
      </c>
      <c r="F3356" s="3" t="b">
        <v>0</v>
      </c>
      <c r="G3356" s="3" t="s">
        <v>10003</v>
      </c>
      <c r="H3356" s="4" t="str">
        <f>_xlfn.IFNA(IF(((INDEX(RulebookFields!C2:C1898, MATCH(D3356,RulebookFields!A2:A1898, 0))="")=TRUE),  "",  INDEX(RulebookFields!C2:C1898, MATCH(D3356,RulebookFields!A2:A1898, 0))), "")</f>
        <v>Steps</v>
      </c>
      <c r="I3356" s="4" t="str">
        <f>_xlfn.IFNA(IF(((INDEX(RulebookFields!D2:D1898, MATCH(D3356,RulebookFields!A2:A1898, 0))="")=TRUE),  "",  INDEX(RulebookFields!D2:D1898, MATCH(D3356,RulebookFields!A2:A1898, 0))), "")</f>
        <v>StepKind</v>
      </c>
      <c r="J3356" s="4" t="b">
        <f>_xlfn.IFNA(IF(((INDEX(RulebookFields!I2:I1898, MATCH(D3356,RulebookFields!A2:A1898, 0))="")=TRUE),  "",  INDEX(RulebookFields!I2:I1898, MATCH(D3356,RulebookFields!A2:A1898, 0))), "")</f>
        <v>0</v>
      </c>
      <c r="K3356" s="4" t="b">
        <f>AND(((F3356)=TRUE), ((J3356)=TRUE))</f>
        <v>0</v>
      </c>
      <c r="L3356" s="4" t="b">
        <f>AND(((G3356 &lt;&gt; "plain")=TRUE), ((G3356 &lt;&gt; "")=TRUE))</f>
        <v>0</v>
      </c>
      <c r="M3356" s="4" t="str">
        <f>IF(((E3356)=TRUE),  C3356 &amp; "|" &amp; H3356,  "")</f>
        <v>principal-knowledge-authority|Steps</v>
      </c>
      <c r="N3356" s="3" t="s">
        <v>10004</v>
      </c>
    </row>
    <row r="3357">
      <c r="A3357" s="3" t="s">
        <v>13359</v>
      </c>
      <c r="B3357" s="4" t="str">
        <f>C3357 &amp; " -&gt; " &amp; D3357</f>
        <v>principal-knowledge-authority -&gt; Steps.AssignedRole</v>
      </c>
      <c r="C3357" s="3" t="s">
        <v>9774</v>
      </c>
      <c r="D3357" s="3" t="s">
        <v>2877</v>
      </c>
      <c r="E3357" s="3" t="b">
        <v>1</v>
      </c>
      <c r="F3357" s="3" t="b">
        <v>0</v>
      </c>
      <c r="G3357" s="3" t="s">
        <v>10003</v>
      </c>
      <c r="H3357" s="4" t="str">
        <f>_xlfn.IFNA(IF(((INDEX(RulebookFields!C2:C1898, MATCH(D3357,RulebookFields!A2:A1898, 0))="")=TRUE),  "",  INDEX(RulebookFields!C2:C1898, MATCH(D3357,RulebookFields!A2:A1898, 0))), "")</f>
        <v>Steps</v>
      </c>
      <c r="I3357" s="4" t="str">
        <f>_xlfn.IFNA(IF(((INDEX(RulebookFields!D2:D1898, MATCH(D3357,RulebookFields!A2:A1898, 0))="")=TRUE),  "",  INDEX(RulebookFields!D2:D1898, MATCH(D3357,RulebookFields!A2:A1898, 0))), "")</f>
        <v>AssignedRole</v>
      </c>
      <c r="J3357" s="4" t="b">
        <f>_xlfn.IFNA(IF(((INDEX(RulebookFields!I2:I1898, MATCH(D3357,RulebookFields!A2:A1898, 0))="")=TRUE),  "",  INDEX(RulebookFields!I2:I1898, MATCH(D3357,RulebookFields!A2:A1898, 0))), "")</f>
        <v>0</v>
      </c>
      <c r="K3357" s="4" t="b">
        <f>AND(((F3357)=TRUE), ((J3357)=TRUE))</f>
        <v>0</v>
      </c>
      <c r="L3357" s="4" t="b">
        <f>AND(((G3357 &lt;&gt; "plain")=TRUE), ((G3357 &lt;&gt; "")=TRUE))</f>
        <v>0</v>
      </c>
      <c r="M3357" s="4" t="str">
        <f>IF(((E3357)=TRUE),  C3357 &amp; "|" &amp; H3357,  "")</f>
        <v>principal-knowledge-authority|Steps</v>
      </c>
      <c r="N3357" s="3" t="s">
        <v>10004</v>
      </c>
    </row>
    <row r="3358">
      <c r="A3358" s="3" t="s">
        <v>13360</v>
      </c>
      <c r="B3358" s="4" t="str">
        <f>C3358 &amp; " -&gt; " &amp; D3358</f>
        <v>principal-knowledge-authority -&gt; Steps.AssignedRoleLabel</v>
      </c>
      <c r="C3358" s="3" t="s">
        <v>9774</v>
      </c>
      <c r="D3358" s="3" t="s">
        <v>2878</v>
      </c>
      <c r="E3358" s="3" t="b">
        <v>1</v>
      </c>
      <c r="F3358" s="3" t="b">
        <v>0</v>
      </c>
      <c r="G3358" s="3" t="s">
        <v>10003</v>
      </c>
      <c r="H3358" s="4" t="str">
        <f>_xlfn.IFNA(IF(((INDEX(RulebookFields!C2:C1898, MATCH(D3358,RulebookFields!A2:A1898, 0))="")=TRUE),  "",  INDEX(RulebookFields!C2:C1898, MATCH(D3358,RulebookFields!A2:A1898, 0))), "")</f>
        <v>Steps</v>
      </c>
      <c r="I3358" s="4" t="str">
        <f>_xlfn.IFNA(IF(((INDEX(RulebookFields!D2:D1898, MATCH(D3358,RulebookFields!A2:A1898, 0))="")=TRUE),  "",  INDEX(RulebookFields!D2:D1898, MATCH(D3358,RulebookFields!A2:A1898, 0))), "")</f>
        <v>AssignedRoleLabel</v>
      </c>
      <c r="J3358" s="4" t="b">
        <f>_xlfn.IFNA(IF(((INDEX(RulebookFields!I2:I1898, MATCH(D3358,RulebookFields!A2:A1898, 0))="")=TRUE),  "",  INDEX(RulebookFields!I2:I1898, MATCH(D3358,RulebookFields!A2:A1898, 0))), "")</f>
        <v>1</v>
      </c>
      <c r="K3358" s="4" t="b">
        <f>AND(((F3358)=TRUE), ((J3358)=TRUE))</f>
        <v>0</v>
      </c>
      <c r="L3358" s="4" t="b">
        <f>AND(((G3358 &lt;&gt; "plain")=TRUE), ((G3358 &lt;&gt; "")=TRUE))</f>
        <v>0</v>
      </c>
      <c r="M3358" s="4" t="str">
        <f>IF(((E3358)=TRUE),  C3358 &amp; "|" &amp; H3358,  "")</f>
        <v>principal-knowledge-authority|Steps</v>
      </c>
      <c r="N3358" s="3" t="s">
        <v>10004</v>
      </c>
    </row>
    <row r="3359">
      <c r="A3359" s="3" t="s">
        <v>13361</v>
      </c>
      <c r="B3359" s="4" t="str">
        <f>C3359 &amp; " -&gt; " &amp; D3359</f>
        <v>principal-knowledge-authority -&gt; Steps.AssignedAgentKind</v>
      </c>
      <c r="C3359" s="3" t="s">
        <v>9774</v>
      </c>
      <c r="D3359" s="3" t="s">
        <v>2880</v>
      </c>
      <c r="E3359" s="3" t="b">
        <v>1</v>
      </c>
      <c r="F3359" s="3" t="b">
        <v>0</v>
      </c>
      <c r="G3359" s="3" t="s">
        <v>10003</v>
      </c>
      <c r="H3359" s="4" t="str">
        <f>_xlfn.IFNA(IF(((INDEX(RulebookFields!C2:C1898, MATCH(D3359,RulebookFields!A2:A1898, 0))="")=TRUE),  "",  INDEX(RulebookFields!C2:C1898, MATCH(D3359,RulebookFields!A2:A1898, 0))), "")</f>
        <v>Steps</v>
      </c>
      <c r="I3359" s="4" t="str">
        <f>_xlfn.IFNA(IF(((INDEX(RulebookFields!D2:D1898, MATCH(D3359,RulebookFields!A2:A1898, 0))="")=TRUE),  "",  INDEX(RulebookFields!D2:D1898, MATCH(D3359,RulebookFields!A2:A1898, 0))), "")</f>
        <v>AssignedAgentKind</v>
      </c>
      <c r="J3359" s="4" t="b">
        <f>_xlfn.IFNA(IF(((INDEX(RulebookFields!I2:I1898, MATCH(D3359,RulebookFields!A2:A1898, 0))="")=TRUE),  "",  INDEX(RulebookFields!I2:I1898, MATCH(D3359,RulebookFields!A2:A1898, 0))), "")</f>
        <v>1</v>
      </c>
      <c r="K3359" s="4" t="b">
        <f>AND(((F3359)=TRUE), ((J3359)=TRUE))</f>
        <v>0</v>
      </c>
      <c r="L3359" s="4" t="b">
        <f>AND(((G3359 &lt;&gt; "plain")=TRUE), ((G3359 &lt;&gt; "")=TRUE))</f>
        <v>0</v>
      </c>
      <c r="M3359" s="4" t="str">
        <f>IF(((E3359)=TRUE),  C3359 &amp; "|" &amp; H3359,  "")</f>
        <v>principal-knowledge-authority|Steps</v>
      </c>
      <c r="N3359" s="3" t="s">
        <v>10004</v>
      </c>
    </row>
    <row r="3360">
      <c r="A3360" s="3" t="s">
        <v>13362</v>
      </c>
      <c r="B3360" s="4" t="str">
        <f>C3360 &amp; " -&gt; " &amp; D3360</f>
        <v>principal-knowledge-authority -&gt; Steps.Instruction</v>
      </c>
      <c r="C3360" s="3" t="s">
        <v>9774</v>
      </c>
      <c r="D3360" s="3" t="s">
        <v>2882</v>
      </c>
      <c r="E3360" s="3" t="b">
        <v>1</v>
      </c>
      <c r="F3360" s="3" t="b">
        <v>0</v>
      </c>
      <c r="G3360" s="3" t="s">
        <v>10003</v>
      </c>
      <c r="H3360" s="4" t="str">
        <f>_xlfn.IFNA(IF(((INDEX(RulebookFields!C2:C1898, MATCH(D3360,RulebookFields!A2:A1898, 0))="")=TRUE),  "",  INDEX(RulebookFields!C2:C1898, MATCH(D3360,RulebookFields!A2:A1898, 0))), "")</f>
        <v>Steps</v>
      </c>
      <c r="I3360" s="4" t="str">
        <f>_xlfn.IFNA(IF(((INDEX(RulebookFields!D2:D1898, MATCH(D3360,RulebookFields!A2:A1898, 0))="")=TRUE),  "",  INDEX(RulebookFields!D2:D1898, MATCH(D3360,RulebookFields!A2:A1898, 0))), "")</f>
        <v>Instruction</v>
      </c>
      <c r="J3360" s="4" t="b">
        <f>_xlfn.IFNA(IF(((INDEX(RulebookFields!I2:I1898, MATCH(D3360,RulebookFields!A2:A1898, 0))="")=TRUE),  "",  INDEX(RulebookFields!I2:I1898, MATCH(D3360,RulebookFields!A2:A1898, 0))), "")</f>
        <v>0</v>
      </c>
      <c r="K3360" s="4" t="b">
        <f>AND(((F3360)=TRUE), ((J3360)=TRUE))</f>
        <v>0</v>
      </c>
      <c r="L3360" s="4" t="b">
        <f>AND(((G3360 &lt;&gt; "plain")=TRUE), ((G3360 &lt;&gt; "")=TRUE))</f>
        <v>0</v>
      </c>
      <c r="M3360" s="4" t="str">
        <f>IF(((E3360)=TRUE),  C3360 &amp; "|" &amp; H3360,  "")</f>
        <v>principal-knowledge-authority|Steps</v>
      </c>
      <c r="N3360" s="3" t="s">
        <v>10004</v>
      </c>
    </row>
    <row r="3361">
      <c r="A3361" s="3" t="s">
        <v>13363</v>
      </c>
      <c r="B3361" s="4" t="str">
        <f>C3361 &amp; " -&gt; " &amp; D3361</f>
        <v>principal-knowledge-authority -&gt; Steps.ExpectedDurationMinutes</v>
      </c>
      <c r="C3361" s="3" t="s">
        <v>9774</v>
      </c>
      <c r="D3361" s="3" t="s">
        <v>2883</v>
      </c>
      <c r="E3361" s="3" t="b">
        <v>1</v>
      </c>
      <c r="F3361" s="3" t="b">
        <v>0</v>
      </c>
      <c r="G3361" s="3" t="s">
        <v>10003</v>
      </c>
      <c r="H3361" s="4" t="str">
        <f>_xlfn.IFNA(IF(((INDEX(RulebookFields!C2:C1898, MATCH(D3361,RulebookFields!A2:A1898, 0))="")=TRUE),  "",  INDEX(RulebookFields!C2:C1898, MATCH(D3361,RulebookFields!A2:A1898, 0))), "")</f>
        <v>Steps</v>
      </c>
      <c r="I3361" s="4" t="str">
        <f>_xlfn.IFNA(IF(((INDEX(RulebookFields!D2:D1898, MATCH(D3361,RulebookFields!A2:A1898, 0))="")=TRUE),  "",  INDEX(RulebookFields!D2:D1898, MATCH(D3361,RulebookFields!A2:A1898, 0))), "")</f>
        <v>ExpectedDurationMinutes</v>
      </c>
      <c r="J3361" s="4" t="b">
        <f>_xlfn.IFNA(IF(((INDEX(RulebookFields!I2:I1898, MATCH(D3361,RulebookFields!A2:A1898, 0))="")=TRUE),  "",  INDEX(RulebookFields!I2:I1898, MATCH(D3361,RulebookFields!A2:A1898, 0))), "")</f>
        <v>0</v>
      </c>
      <c r="K3361" s="4" t="b">
        <f>AND(((F3361)=TRUE), ((J3361)=TRUE))</f>
        <v>0</v>
      </c>
      <c r="L3361" s="4" t="b">
        <f>AND(((G3361 &lt;&gt; "plain")=TRUE), ((G3361 &lt;&gt; "")=TRUE))</f>
        <v>0</v>
      </c>
      <c r="M3361" s="4" t="str">
        <f>IF(((E3361)=TRUE),  C3361 &amp; "|" &amp; H3361,  "")</f>
        <v>principal-knowledge-authority|Steps</v>
      </c>
      <c r="N3361" s="3" t="s">
        <v>10004</v>
      </c>
    </row>
    <row r="3362">
      <c r="A3362" s="3" t="s">
        <v>13364</v>
      </c>
      <c r="B3362" s="4" t="str">
        <f>C3362 &amp; " -&gt; " &amp; D3362</f>
        <v>principal-knowledge-authority -&gt; Steps.ExpertiseLevel</v>
      </c>
      <c r="C3362" s="3" t="s">
        <v>9774</v>
      </c>
      <c r="D3362" s="3" t="s">
        <v>2884</v>
      </c>
      <c r="E3362" s="3" t="b">
        <v>1</v>
      </c>
      <c r="F3362" s="3" t="b">
        <v>0</v>
      </c>
      <c r="G3362" s="3" t="s">
        <v>10003</v>
      </c>
      <c r="H3362" s="4" t="str">
        <f>_xlfn.IFNA(IF(((INDEX(RulebookFields!C2:C1898, MATCH(D3362,RulebookFields!A2:A1898, 0))="")=TRUE),  "",  INDEX(RulebookFields!C2:C1898, MATCH(D3362,RulebookFields!A2:A1898, 0))), "")</f>
        <v>Steps</v>
      </c>
      <c r="I3362" s="4" t="str">
        <f>_xlfn.IFNA(IF(((INDEX(RulebookFields!D2:D1898, MATCH(D3362,RulebookFields!A2:A1898, 0))="")=TRUE),  "",  INDEX(RulebookFields!D2:D1898, MATCH(D3362,RulebookFields!A2:A1898, 0))), "")</f>
        <v>ExpertiseLevel</v>
      </c>
      <c r="J3362" s="4" t="b">
        <f>_xlfn.IFNA(IF(((INDEX(RulebookFields!I2:I1898, MATCH(D3362,RulebookFields!A2:A1898, 0))="")=TRUE),  "",  INDEX(RulebookFields!I2:I1898, MATCH(D3362,RulebookFields!A2:A1898, 0))), "")</f>
        <v>0</v>
      </c>
      <c r="K3362" s="4" t="b">
        <f>AND(((F3362)=TRUE), ((J3362)=TRUE))</f>
        <v>0</v>
      </c>
      <c r="L3362" s="4" t="b">
        <f>AND(((G3362 &lt;&gt; "plain")=TRUE), ((G3362 &lt;&gt; "")=TRUE))</f>
        <v>0</v>
      </c>
      <c r="M3362" s="4" t="str">
        <f>IF(((E3362)=TRUE),  C3362 &amp; "|" &amp; H3362,  "")</f>
        <v>principal-knowledge-authority|Steps</v>
      </c>
      <c r="N3362" s="3" t="s">
        <v>10004</v>
      </c>
    </row>
    <row r="3363">
      <c r="A3363" s="3" t="s">
        <v>13365</v>
      </c>
      <c r="B3363" s="4" t="str">
        <f>C3363 &amp; " -&gt; " &amp; D3363</f>
        <v>principal-knowledge-authority -&gt; Steps.RequiresHumanConfirmation</v>
      </c>
      <c r="C3363" s="3" t="s">
        <v>9774</v>
      </c>
      <c r="D3363" s="3" t="s">
        <v>2885</v>
      </c>
      <c r="E3363" s="3" t="b">
        <v>1</v>
      </c>
      <c r="F3363" s="3" t="b">
        <v>0</v>
      </c>
      <c r="G3363" s="3" t="s">
        <v>10003</v>
      </c>
      <c r="H3363" s="4" t="str">
        <f>_xlfn.IFNA(IF(((INDEX(RulebookFields!C2:C1898, MATCH(D3363,RulebookFields!A2:A1898, 0))="")=TRUE),  "",  INDEX(RulebookFields!C2:C1898, MATCH(D3363,RulebookFields!A2:A1898, 0))), "")</f>
        <v>Steps</v>
      </c>
      <c r="I3363" s="4" t="str">
        <f>_xlfn.IFNA(IF(((INDEX(RulebookFields!D2:D1898, MATCH(D3363,RulebookFields!A2:A1898, 0))="")=TRUE),  "",  INDEX(RulebookFields!D2:D1898, MATCH(D3363,RulebookFields!A2:A1898, 0))), "")</f>
        <v>RequiresHumanConfirmation</v>
      </c>
      <c r="J3363" s="4" t="b">
        <f>_xlfn.IFNA(IF(((INDEX(RulebookFields!I2:I1898, MATCH(D3363,RulebookFields!A2:A1898, 0))="")=TRUE),  "",  INDEX(RulebookFields!I2:I1898, MATCH(D3363,RulebookFields!A2:A1898, 0))), "")</f>
        <v>0</v>
      </c>
      <c r="K3363" s="4" t="b">
        <f>AND(((F3363)=TRUE), ((J3363)=TRUE))</f>
        <v>0</v>
      </c>
      <c r="L3363" s="4" t="b">
        <f>AND(((G3363 &lt;&gt; "plain")=TRUE), ((G3363 &lt;&gt; "")=TRUE))</f>
        <v>0</v>
      </c>
      <c r="M3363" s="4" t="str">
        <f>IF(((E3363)=TRUE),  C3363 &amp; "|" &amp; H3363,  "")</f>
        <v>principal-knowledge-authority|Steps</v>
      </c>
      <c r="N3363" s="3" t="s">
        <v>10004</v>
      </c>
    </row>
    <row r="3364">
      <c r="A3364" s="3" t="s">
        <v>13366</v>
      </c>
      <c r="B3364" s="4" t="str">
        <f>C3364 &amp; " -&gt; " &amp; D3364</f>
        <v>principal-knowledge-authority -&gt; Steps.BlockingRequirementCount</v>
      </c>
      <c r="C3364" s="3" t="s">
        <v>9774</v>
      </c>
      <c r="D3364" s="3" t="s">
        <v>2886</v>
      </c>
      <c r="E3364" s="3" t="b">
        <v>1</v>
      </c>
      <c r="F3364" s="3" t="b">
        <v>0</v>
      </c>
      <c r="G3364" s="3" t="s">
        <v>10003</v>
      </c>
      <c r="H3364" s="4" t="str">
        <f>_xlfn.IFNA(IF(((INDEX(RulebookFields!C2:C1898, MATCH(D3364,RulebookFields!A2:A1898, 0))="")=TRUE),  "",  INDEX(RulebookFields!C2:C1898, MATCH(D3364,RulebookFields!A2:A1898, 0))), "")</f>
        <v>Steps</v>
      </c>
      <c r="I3364" s="4" t="str">
        <f>_xlfn.IFNA(IF(((INDEX(RulebookFields!D2:D1898, MATCH(D3364,RulebookFields!A2:A1898, 0))="")=TRUE),  "",  INDEX(RulebookFields!D2:D1898, MATCH(D3364,RulebookFields!A2:A1898, 0))), "")</f>
        <v>BlockingRequirementCount</v>
      </c>
      <c r="J3364" s="4" t="b">
        <f>_xlfn.IFNA(IF(((INDEX(RulebookFields!I2:I1898, MATCH(D3364,RulebookFields!A2:A1898, 0))="")=TRUE),  "",  INDEX(RulebookFields!I2:I1898, MATCH(D3364,RulebookFields!A2:A1898, 0))), "")</f>
        <v>1</v>
      </c>
      <c r="K3364" s="4" t="b">
        <f>AND(((F3364)=TRUE), ((J3364)=TRUE))</f>
        <v>0</v>
      </c>
      <c r="L3364" s="4" t="b">
        <f>AND(((G3364 &lt;&gt; "plain")=TRUE), ((G3364 &lt;&gt; "")=TRUE))</f>
        <v>0</v>
      </c>
      <c r="M3364" s="4" t="str">
        <f>IF(((E3364)=TRUE),  C3364 &amp; "|" &amp; H3364,  "")</f>
        <v>principal-knowledge-authority|Steps</v>
      </c>
      <c r="N3364" s="3" t="s">
        <v>10004</v>
      </c>
    </row>
    <row r="3365">
      <c r="A3365" s="3" t="s">
        <v>13367</v>
      </c>
      <c r="B3365" s="4" t="str">
        <f>C3365 &amp; " -&gt; " &amp; D3365</f>
        <v>principal-knowledge-authority -&gt; Steps.StaleBindingCount</v>
      </c>
      <c r="C3365" s="3" t="s">
        <v>9774</v>
      </c>
      <c r="D3365" s="3" t="s">
        <v>2888</v>
      </c>
      <c r="E3365" s="3" t="b">
        <v>1</v>
      </c>
      <c r="F3365" s="3" t="b">
        <v>0</v>
      </c>
      <c r="G3365" s="3" t="s">
        <v>10003</v>
      </c>
      <c r="H3365" s="4" t="str">
        <f>_xlfn.IFNA(IF(((INDEX(RulebookFields!C2:C1898, MATCH(D3365,RulebookFields!A2:A1898, 0))="")=TRUE),  "",  INDEX(RulebookFields!C2:C1898, MATCH(D3365,RulebookFields!A2:A1898, 0))), "")</f>
        <v>Steps</v>
      </c>
      <c r="I3365" s="4" t="str">
        <f>_xlfn.IFNA(IF(((INDEX(RulebookFields!D2:D1898, MATCH(D3365,RulebookFields!A2:A1898, 0))="")=TRUE),  "",  INDEX(RulebookFields!D2:D1898, MATCH(D3365,RulebookFields!A2:A1898, 0))), "")</f>
        <v>StaleBindingCount</v>
      </c>
      <c r="J3365" s="4" t="b">
        <f>_xlfn.IFNA(IF(((INDEX(RulebookFields!I2:I1898, MATCH(D3365,RulebookFields!A2:A1898, 0))="")=TRUE),  "",  INDEX(RulebookFields!I2:I1898, MATCH(D3365,RulebookFields!A2:A1898, 0))), "")</f>
        <v>1</v>
      </c>
      <c r="K3365" s="4" t="b">
        <f>AND(((F3365)=TRUE), ((J3365)=TRUE))</f>
        <v>0</v>
      </c>
      <c r="L3365" s="4" t="b">
        <f>AND(((G3365 &lt;&gt; "plain")=TRUE), ((G3365 &lt;&gt; "")=TRUE))</f>
        <v>0</v>
      </c>
      <c r="M3365" s="4" t="str">
        <f>IF(((E3365)=TRUE),  C3365 &amp; "|" &amp; H3365,  "")</f>
        <v>principal-knowledge-authority|Steps</v>
      </c>
      <c r="N3365" s="3" t="s">
        <v>10004</v>
      </c>
    </row>
    <row r="3366">
      <c r="A3366" s="3" t="s">
        <v>13368</v>
      </c>
      <c r="B3366" s="4" t="str">
        <f>C3366 &amp; " -&gt; " &amp; D3366</f>
        <v>principal-knowledge-authority -&gt; Steps.AuthoritativeStaleCount</v>
      </c>
      <c r="C3366" s="3" t="s">
        <v>9774</v>
      </c>
      <c r="D3366" s="3" t="s">
        <v>2890</v>
      </c>
      <c r="E3366" s="3" t="b">
        <v>1</v>
      </c>
      <c r="F3366" s="3" t="b">
        <v>0</v>
      </c>
      <c r="G3366" s="3" t="s">
        <v>10003</v>
      </c>
      <c r="H3366" s="4" t="str">
        <f>_xlfn.IFNA(IF(((INDEX(RulebookFields!C2:C1898, MATCH(D3366,RulebookFields!A2:A1898, 0))="")=TRUE),  "",  INDEX(RulebookFields!C2:C1898, MATCH(D3366,RulebookFields!A2:A1898, 0))), "")</f>
        <v>Steps</v>
      </c>
      <c r="I3366" s="4" t="str">
        <f>_xlfn.IFNA(IF(((INDEX(RulebookFields!D2:D1898, MATCH(D3366,RulebookFields!A2:A1898, 0))="")=TRUE),  "",  INDEX(RulebookFields!D2:D1898, MATCH(D3366,RulebookFields!A2:A1898, 0))), "")</f>
        <v>AuthoritativeStaleCount</v>
      </c>
      <c r="J3366" s="4" t="b">
        <f>_xlfn.IFNA(IF(((INDEX(RulebookFields!I2:I1898, MATCH(D3366,RulebookFields!A2:A1898, 0))="")=TRUE),  "",  INDEX(RulebookFields!I2:I1898, MATCH(D3366,RulebookFields!A2:A1898, 0))), "")</f>
        <v>1</v>
      </c>
      <c r="K3366" s="4" t="b">
        <f>AND(((F3366)=TRUE), ((J3366)=TRUE))</f>
        <v>0</v>
      </c>
      <c r="L3366" s="4" t="b">
        <f>AND(((G3366 &lt;&gt; "plain")=TRUE), ((G3366 &lt;&gt; "")=TRUE))</f>
        <v>0</v>
      </c>
      <c r="M3366" s="4" t="str">
        <f>IF(((E3366)=TRUE),  C3366 &amp; "|" &amp; H3366,  "")</f>
        <v>principal-knowledge-authority|Steps</v>
      </c>
      <c r="N3366" s="3" t="s">
        <v>10004</v>
      </c>
    </row>
    <row r="3367">
      <c r="A3367" s="3" t="s">
        <v>13369</v>
      </c>
      <c r="B3367" s="4" t="str">
        <f>C3367 &amp; " -&gt; " &amp; D3367</f>
        <v>principal-knowledge-authority -&gt; Steps.AvailableExceptionCount</v>
      </c>
      <c r="C3367" s="3" t="s">
        <v>9774</v>
      </c>
      <c r="D3367" s="3" t="s">
        <v>2892</v>
      </c>
      <c r="E3367" s="3" t="b">
        <v>1</v>
      </c>
      <c r="F3367" s="3" t="b">
        <v>0</v>
      </c>
      <c r="G3367" s="3" t="s">
        <v>10003</v>
      </c>
      <c r="H3367" s="4" t="str">
        <f>_xlfn.IFNA(IF(((INDEX(RulebookFields!C2:C1898, MATCH(D3367,RulebookFields!A2:A1898, 0))="")=TRUE),  "",  INDEX(RulebookFields!C2:C1898, MATCH(D3367,RulebookFields!A2:A1898, 0))), "")</f>
        <v>Steps</v>
      </c>
      <c r="I3367" s="4" t="str">
        <f>_xlfn.IFNA(IF(((INDEX(RulebookFields!D2:D1898, MATCH(D3367,RulebookFields!A2:A1898, 0))="")=TRUE),  "",  INDEX(RulebookFields!D2:D1898, MATCH(D3367,RulebookFields!A2:A1898, 0))), "")</f>
        <v>AvailableExceptionCount</v>
      </c>
      <c r="J3367" s="4" t="b">
        <f>_xlfn.IFNA(IF(((INDEX(RulebookFields!I2:I1898, MATCH(D3367,RulebookFields!A2:A1898, 0))="")=TRUE),  "",  INDEX(RulebookFields!I2:I1898, MATCH(D3367,RulebookFields!A2:A1898, 0))), "")</f>
        <v>1</v>
      </c>
      <c r="K3367" s="4" t="b">
        <f>AND(((F3367)=TRUE), ((J3367)=TRUE))</f>
        <v>0</v>
      </c>
      <c r="L3367" s="4" t="b">
        <f>AND(((G3367 &lt;&gt; "plain")=TRUE), ((G3367 &lt;&gt; "")=TRUE))</f>
        <v>0</v>
      </c>
      <c r="M3367" s="4" t="str">
        <f>IF(((E3367)=TRUE),  C3367 &amp; "|" &amp; H3367,  "")</f>
        <v>principal-knowledge-authority|Steps</v>
      </c>
      <c r="N3367" s="3" t="s">
        <v>10004</v>
      </c>
    </row>
    <row r="3368">
      <c r="A3368" s="3" t="s">
        <v>13370</v>
      </c>
      <c r="B3368" s="4" t="str">
        <f>C3368 &amp; " -&gt; " &amp; D3368</f>
        <v>principal-knowledge-authority -&gt; Steps.DeclaredVerificationCount</v>
      </c>
      <c r="C3368" s="3" t="s">
        <v>9774</v>
      </c>
      <c r="D3368" s="3" t="s">
        <v>2894</v>
      </c>
      <c r="E3368" s="3" t="b">
        <v>1</v>
      </c>
      <c r="F3368" s="3" t="b">
        <v>0</v>
      </c>
      <c r="G3368" s="3" t="s">
        <v>10003</v>
      </c>
      <c r="H3368" s="4" t="str">
        <f>_xlfn.IFNA(IF(((INDEX(RulebookFields!C2:C1898, MATCH(D3368,RulebookFields!A2:A1898, 0))="")=TRUE),  "",  INDEX(RulebookFields!C2:C1898, MATCH(D3368,RulebookFields!A2:A1898, 0))), "")</f>
        <v>Steps</v>
      </c>
      <c r="I3368" s="4" t="str">
        <f>_xlfn.IFNA(IF(((INDEX(RulebookFields!D2:D1898, MATCH(D3368,RulebookFields!A2:A1898, 0))="")=TRUE),  "",  INDEX(RulebookFields!D2:D1898, MATCH(D3368,RulebookFields!A2:A1898, 0))), "")</f>
        <v>DeclaredVerificationCount</v>
      </c>
      <c r="J3368" s="4" t="b">
        <f>_xlfn.IFNA(IF(((INDEX(RulebookFields!I2:I1898, MATCH(D3368,RulebookFields!A2:A1898, 0))="")=TRUE),  "",  INDEX(RulebookFields!I2:I1898, MATCH(D3368,RulebookFields!A2:A1898, 0))), "")</f>
        <v>1</v>
      </c>
      <c r="K3368" s="4" t="b">
        <f>AND(((F3368)=TRUE), ((J3368)=TRUE))</f>
        <v>0</v>
      </c>
      <c r="L3368" s="4" t="b">
        <f>AND(((G3368 &lt;&gt; "plain")=TRUE), ((G3368 &lt;&gt; "")=TRUE))</f>
        <v>0</v>
      </c>
      <c r="M3368" s="4" t="str">
        <f>IF(((E3368)=TRUE),  C3368 &amp; "|" &amp; H3368,  "")</f>
        <v>principal-knowledge-authority|Steps</v>
      </c>
      <c r="N3368" s="3" t="s">
        <v>10004</v>
      </c>
    </row>
    <row r="3369">
      <c r="A3369" s="3" t="s">
        <v>13371</v>
      </c>
      <c r="B3369" s="4" t="str">
        <f>C3369 &amp; " -&gt; " &amp; D3369</f>
        <v>principal-knowledge-authority -&gt; Steps.IsPreparationStep</v>
      </c>
      <c r="C3369" s="3" t="s">
        <v>9774</v>
      </c>
      <c r="D3369" s="3" t="s">
        <v>2896</v>
      </c>
      <c r="E3369" s="3" t="b">
        <v>1</v>
      </c>
      <c r="F3369" s="3" t="b">
        <v>0</v>
      </c>
      <c r="G3369" s="3" t="s">
        <v>10003</v>
      </c>
      <c r="H3369" s="4" t="str">
        <f>_xlfn.IFNA(IF(((INDEX(RulebookFields!C2:C1898, MATCH(D3369,RulebookFields!A2:A1898, 0))="")=TRUE),  "",  INDEX(RulebookFields!C2:C1898, MATCH(D3369,RulebookFields!A2:A1898, 0))), "")</f>
        <v>Steps</v>
      </c>
      <c r="I3369" s="4" t="str">
        <f>_xlfn.IFNA(IF(((INDEX(RulebookFields!D2:D1898, MATCH(D3369,RulebookFields!A2:A1898, 0))="")=TRUE),  "",  INDEX(RulebookFields!D2:D1898, MATCH(D3369,RulebookFields!A2:A1898, 0))), "")</f>
        <v>IsPreparationStep</v>
      </c>
      <c r="J3369" s="4" t="b">
        <f>_xlfn.IFNA(IF(((INDEX(RulebookFields!I2:I1898, MATCH(D3369,RulebookFields!A2:A1898, 0))="")=TRUE),  "",  INDEX(RulebookFields!I2:I1898, MATCH(D3369,RulebookFields!A2:A1898, 0))), "")</f>
        <v>1</v>
      </c>
      <c r="K3369" s="4" t="b">
        <f>AND(((F3369)=TRUE), ((J3369)=TRUE))</f>
        <v>0</v>
      </c>
      <c r="L3369" s="4" t="b">
        <f>AND(((G3369 &lt;&gt; "plain")=TRUE), ((G3369 &lt;&gt; "")=TRUE))</f>
        <v>0</v>
      </c>
      <c r="M3369" s="4" t="str">
        <f>IF(((E3369)=TRUE),  C3369 &amp; "|" &amp; H3369,  "")</f>
        <v>principal-knowledge-authority|Steps</v>
      </c>
      <c r="N3369" s="3" t="s">
        <v>10004</v>
      </c>
    </row>
    <row r="3370">
      <c r="A3370" s="3" t="s">
        <v>13372</v>
      </c>
      <c r="B3370" s="4" t="str">
        <f>C3370 &amp; " -&gt; " &amp; D3370</f>
        <v>principal-knowledge-authority -&gt; Steps.IsApprovalStep</v>
      </c>
      <c r="C3370" s="3" t="s">
        <v>9774</v>
      </c>
      <c r="D3370" s="3" t="s">
        <v>2898</v>
      </c>
      <c r="E3370" s="3" t="b">
        <v>1</v>
      </c>
      <c r="F3370" s="3" t="b">
        <v>0</v>
      </c>
      <c r="G3370" s="3" t="s">
        <v>10003</v>
      </c>
      <c r="H3370" s="4" t="str">
        <f>_xlfn.IFNA(IF(((INDEX(RulebookFields!C2:C1898, MATCH(D3370,RulebookFields!A2:A1898, 0))="")=TRUE),  "",  INDEX(RulebookFields!C2:C1898, MATCH(D3370,RulebookFields!A2:A1898, 0))), "")</f>
        <v>Steps</v>
      </c>
      <c r="I3370" s="4" t="str">
        <f>_xlfn.IFNA(IF(((INDEX(RulebookFields!D2:D1898, MATCH(D3370,RulebookFields!A2:A1898, 0))="")=TRUE),  "",  INDEX(RulebookFields!D2:D1898, MATCH(D3370,RulebookFields!A2:A1898, 0))), "")</f>
        <v>IsApprovalStep</v>
      </c>
      <c r="J3370" s="4" t="b">
        <f>_xlfn.IFNA(IF(((INDEX(RulebookFields!I2:I1898, MATCH(D3370,RulebookFields!A2:A1898, 0))="")=TRUE),  "",  INDEX(RulebookFields!I2:I1898, MATCH(D3370,RulebookFields!A2:A1898, 0))), "")</f>
        <v>1</v>
      </c>
      <c r="K3370" s="4" t="b">
        <f>AND(((F3370)=TRUE), ((J3370)=TRUE))</f>
        <v>0</v>
      </c>
      <c r="L3370" s="4" t="b">
        <f>AND(((G3370 &lt;&gt; "plain")=TRUE), ((G3370 &lt;&gt; "")=TRUE))</f>
        <v>0</v>
      </c>
      <c r="M3370" s="4" t="str">
        <f>IF(((E3370)=TRUE),  C3370 &amp; "|" &amp; H3370,  "")</f>
        <v>principal-knowledge-authority|Steps</v>
      </c>
      <c r="N3370" s="3" t="s">
        <v>10004</v>
      </c>
    </row>
    <row r="3371">
      <c r="A3371" s="3" t="s">
        <v>13373</v>
      </c>
      <c r="B3371" s="4" t="str">
        <f>C3371 &amp; " -&gt; " &amp; D3371</f>
        <v>principal-knowledge-authority -&gt; Steps.StaleAuthoritativeBindingCount</v>
      </c>
      <c r="C3371" s="3" t="s">
        <v>9774</v>
      </c>
      <c r="D3371" s="3" t="s">
        <v>2900</v>
      </c>
      <c r="E3371" s="3" t="b">
        <v>1</v>
      </c>
      <c r="F3371" s="3" t="b">
        <v>0</v>
      </c>
      <c r="G3371" s="3" t="s">
        <v>10003</v>
      </c>
      <c r="H3371" s="4" t="str">
        <f>_xlfn.IFNA(IF(((INDEX(RulebookFields!C2:C1898, MATCH(D3371,RulebookFields!A2:A1898, 0))="")=TRUE),  "",  INDEX(RulebookFields!C2:C1898, MATCH(D3371,RulebookFields!A2:A1898, 0))), "")</f>
        <v>Steps</v>
      </c>
      <c r="I3371" s="4" t="str">
        <f>_xlfn.IFNA(IF(((INDEX(RulebookFields!D2:D1898, MATCH(D3371,RulebookFields!A2:A1898, 0))="")=TRUE),  "",  INDEX(RulebookFields!D2:D1898, MATCH(D3371,RulebookFields!A2:A1898, 0))), "")</f>
        <v>StaleAuthoritativeBindingCount</v>
      </c>
      <c r="J3371" s="4" t="b">
        <f>_xlfn.IFNA(IF(((INDEX(RulebookFields!I2:I1898, MATCH(D3371,RulebookFields!A2:A1898, 0))="")=TRUE),  "",  INDEX(RulebookFields!I2:I1898, MATCH(D3371,RulebookFields!A2:A1898, 0))), "")</f>
        <v>1</v>
      </c>
      <c r="K3371" s="4" t="b">
        <f>AND(((F3371)=TRUE), ((J3371)=TRUE))</f>
        <v>0</v>
      </c>
      <c r="L3371" s="4" t="b">
        <f>AND(((G3371 &lt;&gt; "plain")=TRUE), ((G3371 &lt;&gt; "")=TRUE))</f>
        <v>0</v>
      </c>
      <c r="M3371" s="4" t="str">
        <f>IF(((E3371)=TRUE),  C3371 &amp; "|" &amp; H3371,  "")</f>
        <v>principal-knowledge-authority|Steps</v>
      </c>
      <c r="N3371" s="3" t="s">
        <v>10004</v>
      </c>
    </row>
    <row r="3372">
      <c r="A3372" s="3" t="s">
        <v>13374</v>
      </c>
      <c r="B3372" s="4" t="str">
        <f>C3372 &amp; " -&gt; " &amp; D3372</f>
        <v>principal-knowledge-authority -&gt; Steps.InputsAreFresh</v>
      </c>
      <c r="C3372" s="3" t="s">
        <v>9774</v>
      </c>
      <c r="D3372" s="3" t="s">
        <v>2902</v>
      </c>
      <c r="E3372" s="3" t="b">
        <v>1</v>
      </c>
      <c r="F3372" s="3" t="b">
        <v>0</v>
      </c>
      <c r="G3372" s="3" t="s">
        <v>10003</v>
      </c>
      <c r="H3372" s="4" t="str">
        <f>_xlfn.IFNA(IF(((INDEX(RulebookFields!C2:C1898, MATCH(D3372,RulebookFields!A2:A1898, 0))="")=TRUE),  "",  INDEX(RulebookFields!C2:C1898, MATCH(D3372,RulebookFields!A2:A1898, 0))), "")</f>
        <v>Steps</v>
      </c>
      <c r="I3372" s="4" t="str">
        <f>_xlfn.IFNA(IF(((INDEX(RulebookFields!D2:D1898, MATCH(D3372,RulebookFields!A2:A1898, 0))="")=TRUE),  "",  INDEX(RulebookFields!D2:D1898, MATCH(D3372,RulebookFields!A2:A1898, 0))), "")</f>
        <v>InputsAreFresh</v>
      </c>
      <c r="J3372" s="4" t="b">
        <f>_xlfn.IFNA(IF(((INDEX(RulebookFields!I2:I1898, MATCH(D3372,RulebookFields!A2:A1898, 0))="")=TRUE),  "",  INDEX(RulebookFields!I2:I1898, MATCH(D3372,RulebookFields!A2:A1898, 0))), "")</f>
        <v>1</v>
      </c>
      <c r="K3372" s="4" t="b">
        <f>AND(((F3372)=TRUE), ((J3372)=TRUE))</f>
        <v>0</v>
      </c>
      <c r="L3372" s="4" t="b">
        <f>AND(((G3372 &lt;&gt; "plain")=TRUE), ((G3372 &lt;&gt; "")=TRUE))</f>
        <v>0</v>
      </c>
      <c r="M3372" s="4" t="str">
        <f>IF(((E3372)=TRUE),  C3372 &amp; "|" &amp; H3372,  "")</f>
        <v>principal-knowledge-authority|Steps</v>
      </c>
      <c r="N3372" s="3" t="s">
        <v>10004</v>
      </c>
    </row>
    <row r="3373">
      <c r="A3373" s="3" t="s">
        <v>13375</v>
      </c>
      <c r="B3373" s="4" t="str">
        <f>C3373 &amp; " -&gt; " &amp; D3373</f>
        <v>principal-knowledge-authority -&gt; Steps.IsSoftwareAssigned</v>
      </c>
      <c r="C3373" s="3" t="s">
        <v>9774</v>
      </c>
      <c r="D3373" s="3" t="s">
        <v>2904</v>
      </c>
      <c r="E3373" s="3" t="b">
        <v>1</v>
      </c>
      <c r="F3373" s="3" t="b">
        <v>0</v>
      </c>
      <c r="G3373" s="3" t="s">
        <v>10003</v>
      </c>
      <c r="H3373" s="4" t="str">
        <f>_xlfn.IFNA(IF(((INDEX(RulebookFields!C2:C1898, MATCH(D3373,RulebookFields!A2:A1898, 0))="")=TRUE),  "",  INDEX(RulebookFields!C2:C1898, MATCH(D3373,RulebookFields!A2:A1898, 0))), "")</f>
        <v>Steps</v>
      </c>
      <c r="I3373" s="4" t="str">
        <f>_xlfn.IFNA(IF(((INDEX(RulebookFields!D2:D1898, MATCH(D3373,RulebookFields!A2:A1898, 0))="")=TRUE),  "",  INDEX(RulebookFields!D2:D1898, MATCH(D3373,RulebookFields!A2:A1898, 0))), "")</f>
        <v>IsSoftwareAssigned</v>
      </c>
      <c r="J3373" s="4" t="b">
        <f>_xlfn.IFNA(IF(((INDEX(RulebookFields!I2:I1898, MATCH(D3373,RulebookFields!A2:A1898, 0))="")=TRUE),  "",  INDEX(RulebookFields!I2:I1898, MATCH(D3373,RulebookFields!A2:A1898, 0))), "")</f>
        <v>1</v>
      </c>
      <c r="K3373" s="4" t="b">
        <f>AND(((F3373)=TRUE), ((J3373)=TRUE))</f>
        <v>0</v>
      </c>
      <c r="L3373" s="4" t="b">
        <f>AND(((G3373 &lt;&gt; "plain")=TRUE), ((G3373 &lt;&gt; "")=TRUE))</f>
        <v>0</v>
      </c>
      <c r="M3373" s="4" t="str">
        <f>IF(((E3373)=TRUE),  C3373 &amp; "|" &amp; H3373,  "")</f>
        <v>principal-knowledge-authority|Steps</v>
      </c>
      <c r="N3373" s="3" t="s">
        <v>10004</v>
      </c>
    </row>
    <row r="3374">
      <c r="A3374" s="3" t="s">
        <v>13376</v>
      </c>
      <c r="B3374" s="4" t="str">
        <f>C3374 &amp; " -&gt; " &amp; D3374</f>
        <v>principal-knowledge-authority -&gt; Steps.IsHumanApprovalGate</v>
      </c>
      <c r="C3374" s="3" t="s">
        <v>9774</v>
      </c>
      <c r="D3374" s="3" t="s">
        <v>2906</v>
      </c>
      <c r="E3374" s="3" t="b">
        <v>1</v>
      </c>
      <c r="F3374" s="3" t="b">
        <v>0</v>
      </c>
      <c r="G3374" s="3" t="s">
        <v>10003</v>
      </c>
      <c r="H3374" s="4" t="str">
        <f>_xlfn.IFNA(IF(((INDEX(RulebookFields!C2:C1898, MATCH(D3374,RulebookFields!A2:A1898, 0))="")=TRUE),  "",  INDEX(RulebookFields!C2:C1898, MATCH(D3374,RulebookFields!A2:A1898, 0))), "")</f>
        <v>Steps</v>
      </c>
      <c r="I3374" s="4" t="str">
        <f>_xlfn.IFNA(IF(((INDEX(RulebookFields!D2:D1898, MATCH(D3374,RulebookFields!A2:A1898, 0))="")=TRUE),  "",  INDEX(RulebookFields!D2:D1898, MATCH(D3374,RulebookFields!A2:A1898, 0))), "")</f>
        <v>IsHumanApprovalGate</v>
      </c>
      <c r="J3374" s="4" t="b">
        <f>_xlfn.IFNA(IF(((INDEX(RulebookFields!I2:I1898, MATCH(D3374,RulebookFields!A2:A1898, 0))="")=TRUE),  "",  INDEX(RulebookFields!I2:I1898, MATCH(D3374,RulebookFields!A2:A1898, 0))), "")</f>
        <v>1</v>
      </c>
      <c r="K3374" s="4" t="b">
        <f>AND(((F3374)=TRUE), ((J3374)=TRUE))</f>
        <v>0</v>
      </c>
      <c r="L3374" s="4" t="b">
        <f>AND(((G3374 &lt;&gt; "plain")=TRUE), ((G3374 &lt;&gt; "")=TRUE))</f>
        <v>0</v>
      </c>
      <c r="M3374" s="4" t="str">
        <f>IF(((E3374)=TRUE),  C3374 &amp; "|" &amp; H3374,  "")</f>
        <v>principal-knowledge-authority|Steps</v>
      </c>
      <c r="N3374" s="3" t="s">
        <v>10004</v>
      </c>
    </row>
    <row r="3375">
      <c r="A3375" s="3" t="s">
        <v>13377</v>
      </c>
      <c r="B3375" s="4" t="str">
        <f>C3375 &amp; " -&gt; " &amp; D3375</f>
        <v>principal-knowledge-authority -&gt; Steps.GateHeldByHuman</v>
      </c>
      <c r="C3375" s="3" t="s">
        <v>9774</v>
      </c>
      <c r="D3375" s="3" t="s">
        <v>2908</v>
      </c>
      <c r="E3375" s="3" t="b">
        <v>1</v>
      </c>
      <c r="F3375" s="3" t="b">
        <v>0</v>
      </c>
      <c r="G3375" s="3" t="s">
        <v>10003</v>
      </c>
      <c r="H3375" s="4" t="str">
        <f>_xlfn.IFNA(IF(((INDEX(RulebookFields!C2:C1898, MATCH(D3375,RulebookFields!A2:A1898, 0))="")=TRUE),  "",  INDEX(RulebookFields!C2:C1898, MATCH(D3375,RulebookFields!A2:A1898, 0))), "")</f>
        <v>Steps</v>
      </c>
      <c r="I3375" s="4" t="str">
        <f>_xlfn.IFNA(IF(((INDEX(RulebookFields!D2:D1898, MATCH(D3375,RulebookFields!A2:A1898, 0))="")=TRUE),  "",  INDEX(RulebookFields!D2:D1898, MATCH(D3375,RulebookFields!A2:A1898, 0))), "")</f>
        <v>GateHeldByHuman</v>
      </c>
      <c r="J3375" s="4" t="b">
        <f>_xlfn.IFNA(IF(((INDEX(RulebookFields!I2:I1898, MATCH(D3375,RulebookFields!A2:A1898, 0))="")=TRUE),  "",  INDEX(RulebookFields!I2:I1898, MATCH(D3375,RulebookFields!A2:A1898, 0))), "")</f>
        <v>1</v>
      </c>
      <c r="K3375" s="4" t="b">
        <f>AND(((F3375)=TRUE), ((J3375)=TRUE))</f>
        <v>0</v>
      </c>
      <c r="L3375" s="4" t="b">
        <f>AND(((G3375 &lt;&gt; "plain")=TRUE), ((G3375 &lt;&gt; "")=TRUE))</f>
        <v>0</v>
      </c>
      <c r="M3375" s="4" t="str">
        <f>IF(((E3375)=TRUE),  C3375 &amp; "|" &amp; H3375,  "")</f>
        <v>principal-knowledge-authority|Steps</v>
      </c>
      <c r="N3375" s="3" t="s">
        <v>10004</v>
      </c>
    </row>
    <row r="3376">
      <c r="A3376" s="3" t="s">
        <v>13378</v>
      </c>
      <c r="B3376" s="4" t="str">
        <f>C3376 &amp; " -&gt; " &amp; D3376</f>
        <v>principal-knowledge-authority -&gt; Steps.BindingBoundaryCount</v>
      </c>
      <c r="C3376" s="3" t="s">
        <v>9774</v>
      </c>
      <c r="D3376" s="3" t="s">
        <v>2910</v>
      </c>
      <c r="E3376" s="3" t="b">
        <v>1</v>
      </c>
      <c r="F3376" s="3" t="b">
        <v>0</v>
      </c>
      <c r="G3376" s="3" t="s">
        <v>10003</v>
      </c>
      <c r="H3376" s="4" t="str">
        <f>_xlfn.IFNA(IF(((INDEX(RulebookFields!C2:C1898, MATCH(D3376,RulebookFields!A2:A1898, 0))="")=TRUE),  "",  INDEX(RulebookFields!C2:C1898, MATCH(D3376,RulebookFields!A2:A1898, 0))), "")</f>
        <v>Steps</v>
      </c>
      <c r="I3376" s="4" t="str">
        <f>_xlfn.IFNA(IF(((INDEX(RulebookFields!D2:D1898, MATCH(D3376,RulebookFields!A2:A1898, 0))="")=TRUE),  "",  INDEX(RulebookFields!D2:D1898, MATCH(D3376,RulebookFields!A2:A1898, 0))), "")</f>
        <v>BindingBoundaryCount</v>
      </c>
      <c r="J3376" s="4" t="b">
        <f>_xlfn.IFNA(IF(((INDEX(RulebookFields!I2:I1898, MATCH(D3376,RulebookFields!A2:A1898, 0))="")=TRUE),  "",  INDEX(RulebookFields!I2:I1898, MATCH(D3376,RulebookFields!A2:A1898, 0))), "")</f>
        <v>1</v>
      </c>
      <c r="K3376" s="4" t="b">
        <f>AND(((F3376)=TRUE), ((J3376)=TRUE))</f>
        <v>0</v>
      </c>
      <c r="L3376" s="4" t="b">
        <f>AND(((G3376 &lt;&gt; "plain")=TRUE), ((G3376 &lt;&gt; "")=TRUE))</f>
        <v>0</v>
      </c>
      <c r="M3376" s="4" t="str">
        <f>IF(((E3376)=TRUE),  C3376 &amp; "|" &amp; H3376,  "")</f>
        <v>principal-knowledge-authority|Steps</v>
      </c>
      <c r="N3376" s="3" t="s">
        <v>10004</v>
      </c>
    </row>
    <row r="3377">
      <c r="A3377" s="3" t="s">
        <v>13379</v>
      </c>
      <c r="B3377" s="4" t="str">
        <f>C3377 &amp; " -&gt; " &amp; D3377</f>
        <v>principal-knowledge-authority -&gt; Steps.AssignedRoleIsUngoverned</v>
      </c>
      <c r="C3377" s="3" t="s">
        <v>9774</v>
      </c>
      <c r="D3377" s="3" t="s">
        <v>2912</v>
      </c>
      <c r="E3377" s="3" t="b">
        <v>1</v>
      </c>
      <c r="F3377" s="3" t="b">
        <v>0</v>
      </c>
      <c r="G3377" s="3" t="s">
        <v>10003</v>
      </c>
      <c r="H3377" s="4" t="str">
        <f>_xlfn.IFNA(IF(((INDEX(RulebookFields!C2:C1898, MATCH(D3377,RulebookFields!A2:A1898, 0))="")=TRUE),  "",  INDEX(RulebookFields!C2:C1898, MATCH(D3377,RulebookFields!A2:A1898, 0))), "")</f>
        <v>Steps</v>
      </c>
      <c r="I3377" s="4" t="str">
        <f>_xlfn.IFNA(IF(((INDEX(RulebookFields!D2:D1898, MATCH(D3377,RulebookFields!A2:A1898, 0))="")=TRUE),  "",  INDEX(RulebookFields!D2:D1898, MATCH(D3377,RulebookFields!A2:A1898, 0))), "")</f>
        <v>AssignedRoleIsUngoverned</v>
      </c>
      <c r="J3377" s="4" t="b">
        <f>_xlfn.IFNA(IF(((INDEX(RulebookFields!I2:I1898, MATCH(D3377,RulebookFields!A2:A1898, 0))="")=TRUE),  "",  INDEX(RulebookFields!I2:I1898, MATCH(D3377,RulebookFields!A2:A1898, 0))), "")</f>
        <v>1</v>
      </c>
      <c r="K3377" s="4" t="b">
        <f>AND(((F3377)=TRUE), ((J3377)=TRUE))</f>
        <v>0</v>
      </c>
      <c r="L3377" s="4" t="b">
        <f>AND(((G3377 &lt;&gt; "plain")=TRUE), ((G3377 &lt;&gt; "")=TRUE))</f>
        <v>0</v>
      </c>
      <c r="M3377" s="4" t="str">
        <f>IF(((E3377)=TRUE),  C3377 &amp; "|" &amp; H3377,  "")</f>
        <v>principal-knowledge-authority|Steps</v>
      </c>
      <c r="N3377" s="3" t="s">
        <v>10004</v>
      </c>
    </row>
    <row r="3378">
      <c r="A3378" s="3" t="s">
        <v>13380</v>
      </c>
      <c r="B3378" s="4" t="str">
        <f>C3378 &amp; " -&gt; " &amp; D3378</f>
        <v>principal-knowledge-authority -&gt; Steps.UnusableBindingCount</v>
      </c>
      <c r="C3378" s="3" t="s">
        <v>9774</v>
      </c>
      <c r="D3378" s="3" t="s">
        <v>2914</v>
      </c>
      <c r="E3378" s="3" t="b">
        <v>1</v>
      </c>
      <c r="F3378" s="3" t="b">
        <v>0</v>
      </c>
      <c r="G3378" s="3" t="s">
        <v>10003</v>
      </c>
      <c r="H3378" s="4" t="str">
        <f>_xlfn.IFNA(IF(((INDEX(RulebookFields!C2:C1898, MATCH(D3378,RulebookFields!A2:A1898, 0))="")=TRUE),  "",  INDEX(RulebookFields!C2:C1898, MATCH(D3378,RulebookFields!A2:A1898, 0))), "")</f>
        <v>Steps</v>
      </c>
      <c r="I3378" s="4" t="str">
        <f>_xlfn.IFNA(IF(((INDEX(RulebookFields!D2:D1898, MATCH(D3378,RulebookFields!A2:A1898, 0))="")=TRUE),  "",  INDEX(RulebookFields!D2:D1898, MATCH(D3378,RulebookFields!A2:A1898, 0))), "")</f>
        <v>UnusableBindingCount</v>
      </c>
      <c r="J3378" s="4" t="b">
        <f>_xlfn.IFNA(IF(((INDEX(RulebookFields!I2:I1898, MATCH(D3378,RulebookFields!A2:A1898, 0))="")=TRUE),  "",  INDEX(RulebookFields!I2:I1898, MATCH(D3378,RulebookFields!A2:A1898, 0))), "")</f>
        <v>1</v>
      </c>
      <c r="K3378" s="4" t="b">
        <f>AND(((F3378)=TRUE), ((J3378)=TRUE))</f>
        <v>0</v>
      </c>
      <c r="L3378" s="4" t="b">
        <f>AND(((G3378 &lt;&gt; "plain")=TRUE), ((G3378 &lt;&gt; "")=TRUE))</f>
        <v>0</v>
      </c>
      <c r="M3378" s="4" t="str">
        <f>IF(((E3378)=TRUE),  C3378 &amp; "|" &amp; H3378,  "")</f>
        <v>principal-knowledge-authority|Steps</v>
      </c>
      <c r="N3378" s="3" t="s">
        <v>10004</v>
      </c>
    </row>
    <row r="3379">
      <c r="A3379" s="3" t="s">
        <v>13381</v>
      </c>
      <c r="B3379" s="4" t="str">
        <f>C3379 &amp; " -&gt; " &amp; D3379</f>
        <v>principal-knowledge-authority -&gt; Steps.AllSourcesUsable</v>
      </c>
      <c r="C3379" s="3" t="s">
        <v>9774</v>
      </c>
      <c r="D3379" s="3" t="s">
        <v>2916</v>
      </c>
      <c r="E3379" s="3" t="b">
        <v>1</v>
      </c>
      <c r="F3379" s="3" t="b">
        <v>0</v>
      </c>
      <c r="G3379" s="3" t="s">
        <v>10003</v>
      </c>
      <c r="H3379" s="4" t="str">
        <f>_xlfn.IFNA(IF(((INDEX(RulebookFields!C2:C1898, MATCH(D3379,RulebookFields!A2:A1898, 0))="")=TRUE),  "",  INDEX(RulebookFields!C2:C1898, MATCH(D3379,RulebookFields!A2:A1898, 0))), "")</f>
        <v>Steps</v>
      </c>
      <c r="I3379" s="4" t="str">
        <f>_xlfn.IFNA(IF(((INDEX(RulebookFields!D2:D1898, MATCH(D3379,RulebookFields!A2:A1898, 0))="")=TRUE),  "",  INDEX(RulebookFields!D2:D1898, MATCH(D3379,RulebookFields!A2:A1898, 0))), "")</f>
        <v>AllSourcesUsable</v>
      </c>
      <c r="J3379" s="4" t="b">
        <f>_xlfn.IFNA(IF(((INDEX(RulebookFields!I2:I1898, MATCH(D3379,RulebookFields!A2:A1898, 0))="")=TRUE),  "",  INDEX(RulebookFields!I2:I1898, MATCH(D3379,RulebookFields!A2:A1898, 0))), "")</f>
        <v>1</v>
      </c>
      <c r="K3379" s="4" t="b">
        <f>AND(((F3379)=TRUE), ((J3379)=TRUE))</f>
        <v>0</v>
      </c>
      <c r="L3379" s="4" t="b">
        <f>AND(((G3379 &lt;&gt; "plain")=TRUE), ((G3379 &lt;&gt; "")=TRUE))</f>
        <v>0</v>
      </c>
      <c r="M3379" s="4" t="str">
        <f>IF(((E3379)=TRUE),  C3379 &amp; "|" &amp; H3379,  "")</f>
        <v>principal-knowledge-authority|Steps</v>
      </c>
      <c r="N3379" s="3" t="s">
        <v>10004</v>
      </c>
    </row>
    <row r="3380">
      <c r="A3380" s="3" t="s">
        <v>13382</v>
      </c>
      <c r="B3380" s="4" t="str">
        <f>C3380 &amp; " -&gt; " &amp; D3380</f>
        <v>principal-knowledge-authority -&gt; Steps.ControlKind</v>
      </c>
      <c r="C3380" s="3" t="s">
        <v>9774</v>
      </c>
      <c r="D3380" s="3" t="s">
        <v>2918</v>
      </c>
      <c r="E3380" s="3" t="b">
        <v>1</v>
      </c>
      <c r="F3380" s="3" t="b">
        <v>0</v>
      </c>
      <c r="G3380" s="3" t="s">
        <v>10003</v>
      </c>
      <c r="H3380" s="4" t="str">
        <f>_xlfn.IFNA(IF(((INDEX(RulebookFields!C2:C1898, MATCH(D3380,RulebookFields!A2:A1898, 0))="")=TRUE),  "",  INDEX(RulebookFields!C2:C1898, MATCH(D3380,RulebookFields!A2:A1898, 0))), "")</f>
        <v>Steps</v>
      </c>
      <c r="I3380" s="4" t="str">
        <f>_xlfn.IFNA(IF(((INDEX(RulebookFields!D2:D1898, MATCH(D3380,RulebookFields!A2:A1898, 0))="")=TRUE),  "",  INDEX(RulebookFields!D2:D1898, MATCH(D3380,RulebookFields!A2:A1898, 0))), "")</f>
        <v>ControlKind</v>
      </c>
      <c r="J3380" s="4" t="b">
        <f>_xlfn.IFNA(IF(((INDEX(RulebookFields!I2:I1898, MATCH(D3380,RulebookFields!A2:A1898, 0))="")=TRUE),  "",  INDEX(RulebookFields!I2:I1898, MATCH(D3380,RulebookFields!A2:A1898, 0))), "")</f>
        <v>0</v>
      </c>
      <c r="K3380" s="4" t="b">
        <f>AND(((F3380)=TRUE), ((J3380)=TRUE))</f>
        <v>0</v>
      </c>
      <c r="L3380" s="4" t="b">
        <f>AND(((G3380 &lt;&gt; "plain")=TRUE), ((G3380 &lt;&gt; "")=TRUE))</f>
        <v>0</v>
      </c>
      <c r="M3380" s="4" t="str">
        <f>IF(((E3380)=TRUE),  C3380 &amp; "|" &amp; H3380,  "")</f>
        <v>principal-knowledge-authority|Steps</v>
      </c>
      <c r="N3380" s="3" t="s">
        <v>10004</v>
      </c>
    </row>
    <row r="3381">
      <c r="A3381" s="3" t="s">
        <v>13383</v>
      </c>
      <c r="B3381" s="4" t="str">
        <f>C3381 &amp; " -&gt; " &amp; D3381</f>
        <v>principal-knowledge-authority -&gt; Steps.UnwarrantedBoundaryCount</v>
      </c>
      <c r="C3381" s="3" t="s">
        <v>9774</v>
      </c>
      <c r="D3381" s="3" t="s">
        <v>2919</v>
      </c>
      <c r="E3381" s="3" t="b">
        <v>1</v>
      </c>
      <c r="F3381" s="3" t="b">
        <v>0</v>
      </c>
      <c r="G3381" s="3" t="s">
        <v>10003</v>
      </c>
      <c r="H3381" s="4" t="str">
        <f>_xlfn.IFNA(IF(((INDEX(RulebookFields!C2:C1898, MATCH(D3381,RulebookFields!A2:A1898, 0))="")=TRUE),  "",  INDEX(RulebookFields!C2:C1898, MATCH(D3381,RulebookFields!A2:A1898, 0))), "")</f>
        <v>Steps</v>
      </c>
      <c r="I3381" s="4" t="str">
        <f>_xlfn.IFNA(IF(((INDEX(RulebookFields!D2:D1898, MATCH(D3381,RulebookFields!A2:A1898, 0))="")=TRUE),  "",  INDEX(RulebookFields!D2:D1898, MATCH(D3381,RulebookFields!A2:A1898, 0))), "")</f>
        <v>UnwarrantedBoundaryCount</v>
      </c>
      <c r="J3381" s="4" t="b">
        <f>_xlfn.IFNA(IF(((INDEX(RulebookFields!I2:I1898, MATCH(D3381,RulebookFields!A2:A1898, 0))="")=TRUE),  "",  INDEX(RulebookFields!I2:I1898, MATCH(D3381,RulebookFields!A2:A1898, 0))), "")</f>
        <v>1</v>
      </c>
      <c r="K3381" s="4" t="b">
        <f>AND(((F3381)=TRUE), ((J3381)=TRUE))</f>
        <v>0</v>
      </c>
      <c r="L3381" s="4" t="b">
        <f>AND(((G3381 &lt;&gt; "plain")=TRUE), ((G3381 &lt;&gt; "")=TRUE))</f>
        <v>0</v>
      </c>
      <c r="M3381" s="4" t="str">
        <f>IF(((E3381)=TRUE),  C3381 &amp; "|" &amp; H3381,  "")</f>
        <v>principal-knowledge-authority|Steps</v>
      </c>
      <c r="N3381" s="3" t="s">
        <v>10004</v>
      </c>
    </row>
    <row r="3382">
      <c r="A3382" s="3" t="s">
        <v>13384</v>
      </c>
      <c r="B3382" s="4" t="str">
        <f>C3382 &amp; " -&gt; " &amp; D3382</f>
        <v>principal-knowledge-authority -&gt; Steps.IsGovernedByUnwarrantedBoundary</v>
      </c>
      <c r="C3382" s="3" t="s">
        <v>9774</v>
      </c>
      <c r="D3382" s="3" t="s">
        <v>2921</v>
      </c>
      <c r="E3382" s="3" t="b">
        <v>1</v>
      </c>
      <c r="F3382" s="3" t="b">
        <v>0</v>
      </c>
      <c r="G3382" s="3" t="s">
        <v>10003</v>
      </c>
      <c r="H3382" s="4" t="str">
        <f>_xlfn.IFNA(IF(((INDEX(RulebookFields!C2:C1898, MATCH(D3382,RulebookFields!A2:A1898, 0))="")=TRUE),  "",  INDEX(RulebookFields!C2:C1898, MATCH(D3382,RulebookFields!A2:A1898, 0))), "")</f>
        <v>Steps</v>
      </c>
      <c r="I3382" s="4" t="str">
        <f>_xlfn.IFNA(IF(((INDEX(RulebookFields!D2:D1898, MATCH(D3382,RulebookFields!A2:A1898, 0))="")=TRUE),  "",  INDEX(RulebookFields!D2:D1898, MATCH(D3382,RulebookFields!A2:A1898, 0))), "")</f>
        <v>IsGovernedByUnwarrantedBoundary</v>
      </c>
      <c r="J3382" s="4" t="b">
        <f>_xlfn.IFNA(IF(((INDEX(RulebookFields!I2:I1898, MATCH(D3382,RulebookFields!A2:A1898, 0))="")=TRUE),  "",  INDEX(RulebookFields!I2:I1898, MATCH(D3382,RulebookFields!A2:A1898, 0))), "")</f>
        <v>1</v>
      </c>
      <c r="K3382" s="4" t="b">
        <f>AND(((F3382)=TRUE), ((J3382)=TRUE))</f>
        <v>0</v>
      </c>
      <c r="L3382" s="4" t="b">
        <f>AND(((G3382 &lt;&gt; "plain")=TRUE), ((G3382 &lt;&gt; "")=TRUE))</f>
        <v>0</v>
      </c>
      <c r="M3382" s="4" t="str">
        <f>IF(((E3382)=TRUE),  C3382 &amp; "|" &amp; H3382,  "")</f>
        <v>principal-knowledge-authority|Steps</v>
      </c>
      <c r="N3382" s="3" t="s">
        <v>10004</v>
      </c>
    </row>
    <row r="3383">
      <c r="A3383" s="3" t="s">
        <v>13385</v>
      </c>
      <c r="B3383" s="4" t="str">
        <f>C3383 &amp; " -&gt; " &amp; D3383</f>
        <v>principal-knowledge-authority -&gt; Steps.SoftwareExecutionCount</v>
      </c>
      <c r="C3383" s="3" t="s">
        <v>9774</v>
      </c>
      <c r="D3383" s="3" t="s">
        <v>2923</v>
      </c>
      <c r="E3383" s="3" t="b">
        <v>1</v>
      </c>
      <c r="F3383" s="3" t="b">
        <v>0</v>
      </c>
      <c r="G3383" s="3" t="s">
        <v>10003</v>
      </c>
      <c r="H3383" s="4" t="str">
        <f>_xlfn.IFNA(IF(((INDEX(RulebookFields!C2:C1898, MATCH(D3383,RulebookFields!A2:A1898, 0))="")=TRUE),  "",  INDEX(RulebookFields!C2:C1898, MATCH(D3383,RulebookFields!A2:A1898, 0))), "")</f>
        <v>Steps</v>
      </c>
      <c r="I3383" s="4" t="str">
        <f>_xlfn.IFNA(IF(((INDEX(RulebookFields!D2:D1898, MATCH(D3383,RulebookFields!A2:A1898, 0))="")=TRUE),  "",  INDEX(RulebookFields!D2:D1898, MATCH(D3383,RulebookFields!A2:A1898, 0))), "")</f>
        <v>SoftwareExecutionCount</v>
      </c>
      <c r="J3383" s="4" t="b">
        <f>_xlfn.IFNA(IF(((INDEX(RulebookFields!I2:I1898, MATCH(D3383,RulebookFields!A2:A1898, 0))="")=TRUE),  "",  INDEX(RulebookFields!I2:I1898, MATCH(D3383,RulebookFields!A2:A1898, 0))), "")</f>
        <v>1</v>
      </c>
      <c r="K3383" s="4" t="b">
        <f>AND(((F3383)=TRUE), ((J3383)=TRUE))</f>
        <v>0</v>
      </c>
      <c r="L3383" s="4" t="b">
        <f>AND(((G3383 &lt;&gt; "plain")=TRUE), ((G3383 &lt;&gt; "")=TRUE))</f>
        <v>0</v>
      </c>
      <c r="M3383" s="4" t="str">
        <f>IF(((E3383)=TRUE),  C3383 &amp; "|" &amp; H3383,  "")</f>
        <v>principal-knowledge-authority|Steps</v>
      </c>
      <c r="N3383" s="3" t="s">
        <v>10004</v>
      </c>
    </row>
    <row r="3384">
      <c r="A3384" s="3" t="s">
        <v>13386</v>
      </c>
      <c r="B3384" s="4" t="str">
        <f>C3384 &amp; " -&gt; " &amp; D3384</f>
        <v>principal-knowledge-authority -&gt; Steps.HasBeenApproachedBySoftware</v>
      </c>
      <c r="C3384" s="3" t="s">
        <v>9774</v>
      </c>
      <c r="D3384" s="3" t="s">
        <v>2925</v>
      </c>
      <c r="E3384" s="3" t="b">
        <v>1</v>
      </c>
      <c r="F3384" s="3" t="b">
        <v>0</v>
      </c>
      <c r="G3384" s="3" t="s">
        <v>10003</v>
      </c>
      <c r="H3384" s="4" t="str">
        <f>_xlfn.IFNA(IF(((INDEX(RulebookFields!C2:C1898, MATCH(D3384,RulebookFields!A2:A1898, 0))="")=TRUE),  "",  INDEX(RulebookFields!C2:C1898, MATCH(D3384,RulebookFields!A2:A1898, 0))), "")</f>
        <v>Steps</v>
      </c>
      <c r="I3384" s="4" t="str">
        <f>_xlfn.IFNA(IF(((INDEX(RulebookFields!D2:D1898, MATCH(D3384,RulebookFields!A2:A1898, 0))="")=TRUE),  "",  INDEX(RulebookFields!D2:D1898, MATCH(D3384,RulebookFields!A2:A1898, 0))), "")</f>
        <v>HasBeenApproachedBySoftware</v>
      </c>
      <c r="J3384" s="4" t="b">
        <f>_xlfn.IFNA(IF(((INDEX(RulebookFields!I2:I1898, MATCH(D3384,RulebookFields!A2:A1898, 0))="")=TRUE),  "",  INDEX(RulebookFields!I2:I1898, MATCH(D3384,RulebookFields!A2:A1898, 0))), "")</f>
        <v>1</v>
      </c>
      <c r="K3384" s="4" t="b">
        <f>AND(((F3384)=TRUE), ((J3384)=TRUE))</f>
        <v>0</v>
      </c>
      <c r="L3384" s="4" t="b">
        <f>AND(((G3384 &lt;&gt; "plain")=TRUE), ((G3384 &lt;&gt; "")=TRUE))</f>
        <v>0</v>
      </c>
      <c r="M3384" s="4" t="str">
        <f>IF(((E3384)=TRUE),  C3384 &amp; "|" &amp; H3384,  "")</f>
        <v>principal-knowledge-authority|Steps</v>
      </c>
      <c r="N3384" s="3" t="s">
        <v>10004</v>
      </c>
    </row>
    <row r="3385">
      <c r="A3385" s="3" t="s">
        <v>13387</v>
      </c>
      <c r="B3385" s="4" t="str">
        <f>C3385 &amp; " -&gt; " &amp; D3385</f>
        <v>principal-knowledge-authority -&gt; Steps.IsUnexercisedHumanGate</v>
      </c>
      <c r="C3385" s="3" t="s">
        <v>9774</v>
      </c>
      <c r="D3385" s="3" t="s">
        <v>2927</v>
      </c>
      <c r="E3385" s="3" t="b">
        <v>1</v>
      </c>
      <c r="F3385" s="3" t="b">
        <v>0</v>
      </c>
      <c r="G3385" s="3" t="s">
        <v>10003</v>
      </c>
      <c r="H3385" s="4" t="str">
        <f>_xlfn.IFNA(IF(((INDEX(RulebookFields!C2:C1898, MATCH(D3385,RulebookFields!A2:A1898, 0))="")=TRUE),  "",  INDEX(RulebookFields!C2:C1898, MATCH(D3385,RulebookFields!A2:A1898, 0))), "")</f>
        <v>Steps</v>
      </c>
      <c r="I3385" s="4" t="str">
        <f>_xlfn.IFNA(IF(((INDEX(RulebookFields!D2:D1898, MATCH(D3385,RulebookFields!A2:A1898, 0))="")=TRUE),  "",  INDEX(RulebookFields!D2:D1898, MATCH(D3385,RulebookFields!A2:A1898, 0))), "")</f>
        <v>IsUnexercisedHumanGate</v>
      </c>
      <c r="J3385" s="4" t="b">
        <f>_xlfn.IFNA(IF(((INDEX(RulebookFields!I2:I1898, MATCH(D3385,RulebookFields!A2:A1898, 0))="")=TRUE),  "",  INDEX(RulebookFields!I2:I1898, MATCH(D3385,RulebookFields!A2:A1898, 0))), "")</f>
        <v>1</v>
      </c>
      <c r="K3385" s="4" t="b">
        <f>AND(((F3385)=TRUE), ((J3385)=TRUE))</f>
        <v>0</v>
      </c>
      <c r="L3385" s="4" t="b">
        <f>AND(((G3385 &lt;&gt; "plain")=TRUE), ((G3385 &lt;&gt; "")=TRUE))</f>
        <v>0</v>
      </c>
      <c r="M3385" s="4" t="str">
        <f>IF(((E3385)=TRUE),  C3385 &amp; "|" &amp; H3385,  "")</f>
        <v>principal-knowledge-authority|Steps</v>
      </c>
      <c r="N3385" s="3" t="s">
        <v>10004</v>
      </c>
    </row>
    <row r="3386">
      <c r="A3386" s="3" t="s">
        <v>13388</v>
      </c>
      <c r="B3386" s="4" t="str">
        <f>C3386 &amp; " -&gt; " &amp; D3386</f>
        <v>principal-knowledge-authority -&gt; Steps.IsDemonstratedHumanGate</v>
      </c>
      <c r="C3386" s="3" t="s">
        <v>9774</v>
      </c>
      <c r="D3386" s="3" t="s">
        <v>2929</v>
      </c>
      <c r="E3386" s="3" t="b">
        <v>1</v>
      </c>
      <c r="F3386" s="3" t="b">
        <v>0</v>
      </c>
      <c r="G3386" s="3" t="s">
        <v>10003</v>
      </c>
      <c r="H3386" s="4" t="str">
        <f>_xlfn.IFNA(IF(((INDEX(RulebookFields!C2:C1898, MATCH(D3386,RulebookFields!A2:A1898, 0))="")=TRUE),  "",  INDEX(RulebookFields!C2:C1898, MATCH(D3386,RulebookFields!A2:A1898, 0))), "")</f>
        <v>Steps</v>
      </c>
      <c r="I3386" s="4" t="str">
        <f>_xlfn.IFNA(IF(((INDEX(RulebookFields!D2:D1898, MATCH(D3386,RulebookFields!A2:A1898, 0))="")=TRUE),  "",  INDEX(RulebookFields!D2:D1898, MATCH(D3386,RulebookFields!A2:A1898, 0))), "")</f>
        <v>IsDemonstratedHumanGate</v>
      </c>
      <c r="J3386" s="4" t="b">
        <f>_xlfn.IFNA(IF(((INDEX(RulebookFields!I2:I1898, MATCH(D3386,RulebookFields!A2:A1898, 0))="")=TRUE),  "",  INDEX(RulebookFields!I2:I1898, MATCH(D3386,RulebookFields!A2:A1898, 0))), "")</f>
        <v>1</v>
      </c>
      <c r="K3386" s="4" t="b">
        <f>AND(((F3386)=TRUE), ((J3386)=TRUE))</f>
        <v>0</v>
      </c>
      <c r="L3386" s="4" t="b">
        <f>AND(((G3386 &lt;&gt; "plain")=TRUE), ((G3386 &lt;&gt; "")=TRUE))</f>
        <v>0</v>
      </c>
      <c r="M3386" s="4" t="str">
        <f>IF(((E3386)=TRUE),  C3386 &amp; "|" &amp; H3386,  "")</f>
        <v>principal-knowledge-authority|Steps</v>
      </c>
      <c r="N3386" s="3" t="s">
        <v>10004</v>
      </c>
    </row>
    <row r="3387">
      <c r="A3387" s="3" t="s">
        <v>13389</v>
      </c>
      <c r="B3387" s="4" t="str">
        <f>C3387 &amp; " -&gt; " &amp; D3387</f>
        <v>principal-knowledge-authority -&gt; Steps.UnexercisedGateVersionKey</v>
      </c>
      <c r="C3387" s="3" t="s">
        <v>9774</v>
      </c>
      <c r="D3387" s="3" t="s">
        <v>2931</v>
      </c>
      <c r="E3387" s="3" t="b">
        <v>1</v>
      </c>
      <c r="F3387" s="3" t="b">
        <v>0</v>
      </c>
      <c r="G3387" s="3" t="s">
        <v>10003</v>
      </c>
      <c r="H3387" s="4" t="str">
        <f>_xlfn.IFNA(IF(((INDEX(RulebookFields!C2:C1898, MATCH(D3387,RulebookFields!A2:A1898, 0))="")=TRUE),  "",  INDEX(RulebookFields!C2:C1898, MATCH(D3387,RulebookFields!A2:A1898, 0))), "")</f>
        <v>Steps</v>
      </c>
      <c r="I3387" s="4" t="str">
        <f>_xlfn.IFNA(IF(((INDEX(RulebookFields!D2:D1898, MATCH(D3387,RulebookFields!A2:A1898, 0))="")=TRUE),  "",  INDEX(RulebookFields!D2:D1898, MATCH(D3387,RulebookFields!A2:A1898, 0))), "")</f>
        <v>UnexercisedGateVersionKey</v>
      </c>
      <c r="J3387" s="4" t="b">
        <f>_xlfn.IFNA(IF(((INDEX(RulebookFields!I2:I1898, MATCH(D3387,RulebookFields!A2:A1898, 0))="")=TRUE),  "",  INDEX(RulebookFields!I2:I1898, MATCH(D3387,RulebookFields!A2:A1898, 0))), "")</f>
        <v>1</v>
      </c>
      <c r="K3387" s="4" t="b">
        <f>AND(((F3387)=TRUE), ((J3387)=TRUE))</f>
        <v>0</v>
      </c>
      <c r="L3387" s="4" t="b">
        <f>AND(((G3387 &lt;&gt; "plain")=TRUE), ((G3387 &lt;&gt; "")=TRUE))</f>
        <v>0</v>
      </c>
      <c r="M3387" s="4" t="str">
        <f>IF(((E3387)=TRUE),  C3387 &amp; "|" &amp; H3387,  "")</f>
        <v>principal-knowledge-authority|Steps</v>
      </c>
      <c r="N3387" s="3" t="s">
        <v>10004</v>
      </c>
    </row>
    <row r="3388">
      <c r="A3388" s="3" t="s">
        <v>13390</v>
      </c>
      <c r="B3388" s="4" t="str">
        <f>C3388 &amp; " -&gt; " &amp; D3388</f>
        <v>principal-knowledge-authority -&gt; Steps.HasDeclaredControlKind</v>
      </c>
      <c r="C3388" s="3" t="s">
        <v>9774</v>
      </c>
      <c r="D3388" s="3" t="s">
        <v>2933</v>
      </c>
      <c r="E3388" s="3" t="b">
        <v>1</v>
      </c>
      <c r="F3388" s="3" t="b">
        <v>0</v>
      </c>
      <c r="G3388" s="3" t="s">
        <v>10003</v>
      </c>
      <c r="H3388" s="4" t="str">
        <f>_xlfn.IFNA(IF(((INDEX(RulebookFields!C2:C1898, MATCH(D3388,RulebookFields!A2:A1898, 0))="")=TRUE),  "",  INDEX(RulebookFields!C2:C1898, MATCH(D3388,RulebookFields!A2:A1898, 0))), "")</f>
        <v>Steps</v>
      </c>
      <c r="I3388" s="4" t="str">
        <f>_xlfn.IFNA(IF(((INDEX(RulebookFields!D2:D1898, MATCH(D3388,RulebookFields!A2:A1898, 0))="")=TRUE),  "",  INDEX(RulebookFields!D2:D1898, MATCH(D3388,RulebookFields!A2:A1898, 0))), "")</f>
        <v>HasDeclaredControlKind</v>
      </c>
      <c r="J3388" s="4" t="b">
        <f>_xlfn.IFNA(IF(((INDEX(RulebookFields!I2:I1898, MATCH(D3388,RulebookFields!A2:A1898, 0))="")=TRUE),  "",  INDEX(RulebookFields!I2:I1898, MATCH(D3388,RulebookFields!A2:A1898, 0))), "")</f>
        <v>1</v>
      </c>
      <c r="K3388" s="4" t="b">
        <f>AND(((F3388)=TRUE), ((J3388)=TRUE))</f>
        <v>0</v>
      </c>
      <c r="L3388" s="4" t="b">
        <f>AND(((G3388 &lt;&gt; "plain")=TRUE), ((G3388 &lt;&gt; "")=TRUE))</f>
        <v>0</v>
      </c>
      <c r="M3388" s="4" t="str">
        <f>IF(((E3388)=TRUE),  C3388 &amp; "|" &amp; H3388,  "")</f>
        <v>principal-knowledge-authority|Steps</v>
      </c>
      <c r="N3388" s="3" t="s">
        <v>10004</v>
      </c>
    </row>
    <row r="3389">
      <c r="A3389" s="3" t="s">
        <v>13391</v>
      </c>
      <c r="B3389" s="4" t="str">
        <f>C3389 &amp; " -&gt; " &amp; D3389</f>
        <v>principal-knowledge-authority -&gt; Steps.UndeclaredControlVersionKey</v>
      </c>
      <c r="C3389" s="3" t="s">
        <v>9774</v>
      </c>
      <c r="D3389" s="3" t="s">
        <v>2935</v>
      </c>
      <c r="E3389" s="3" t="b">
        <v>1</v>
      </c>
      <c r="F3389" s="3" t="b">
        <v>0</v>
      </c>
      <c r="G3389" s="3" t="s">
        <v>10003</v>
      </c>
      <c r="H3389" s="4" t="str">
        <f>_xlfn.IFNA(IF(((INDEX(RulebookFields!C2:C1898, MATCH(D3389,RulebookFields!A2:A1898, 0))="")=TRUE),  "",  INDEX(RulebookFields!C2:C1898, MATCH(D3389,RulebookFields!A2:A1898, 0))), "")</f>
        <v>Steps</v>
      </c>
      <c r="I3389" s="4" t="str">
        <f>_xlfn.IFNA(IF(((INDEX(RulebookFields!D2:D1898, MATCH(D3389,RulebookFields!A2:A1898, 0))="")=TRUE),  "",  INDEX(RulebookFields!D2:D1898, MATCH(D3389,RulebookFields!A2:A1898, 0))), "")</f>
        <v>UndeclaredControlVersionKey</v>
      </c>
      <c r="J3389" s="4" t="b">
        <f>_xlfn.IFNA(IF(((INDEX(RulebookFields!I2:I1898, MATCH(D3389,RulebookFields!A2:A1898, 0))="")=TRUE),  "",  INDEX(RulebookFields!I2:I1898, MATCH(D3389,RulebookFields!A2:A1898, 0))), "")</f>
        <v>1</v>
      </c>
      <c r="K3389" s="4" t="b">
        <f>AND(((F3389)=TRUE), ((J3389)=TRUE))</f>
        <v>0</v>
      </c>
      <c r="L3389" s="4" t="b">
        <f>AND(((G3389 &lt;&gt; "plain")=TRUE), ((G3389 &lt;&gt; "")=TRUE))</f>
        <v>0</v>
      </c>
      <c r="M3389" s="4" t="str">
        <f>IF(((E3389)=TRUE),  C3389 &amp; "|" &amp; H3389,  "")</f>
        <v>principal-knowledge-authority|Steps</v>
      </c>
      <c r="N3389" s="3" t="s">
        <v>10004</v>
      </c>
    </row>
    <row r="3390">
      <c r="A3390" s="3" t="s">
        <v>13392</v>
      </c>
      <c r="B3390" s="4" t="str">
        <f>C3390 &amp; " -&gt; " &amp; D3390</f>
        <v>principal-knowledge-authority -&gt; Steps.ApprovalStepIsSoftwareAssigned</v>
      </c>
      <c r="C3390" s="3" t="s">
        <v>9774</v>
      </c>
      <c r="D3390" s="3" t="s">
        <v>2937</v>
      </c>
      <c r="E3390" s="3" t="b">
        <v>1</v>
      </c>
      <c r="F3390" s="3" t="b">
        <v>0</v>
      </c>
      <c r="G3390" s="3" t="s">
        <v>10003</v>
      </c>
      <c r="H3390" s="4" t="str">
        <f>_xlfn.IFNA(IF(((INDEX(RulebookFields!C2:C1898, MATCH(D3390,RulebookFields!A2:A1898, 0))="")=TRUE),  "",  INDEX(RulebookFields!C2:C1898, MATCH(D3390,RulebookFields!A2:A1898, 0))), "")</f>
        <v>Steps</v>
      </c>
      <c r="I3390" s="4" t="str">
        <f>_xlfn.IFNA(IF(((INDEX(RulebookFields!D2:D1898, MATCH(D3390,RulebookFields!A2:A1898, 0))="")=TRUE),  "",  INDEX(RulebookFields!D2:D1898, MATCH(D3390,RulebookFields!A2:A1898, 0))), "")</f>
        <v>ApprovalStepIsSoftwareAssigned</v>
      </c>
      <c r="J3390" s="4" t="b">
        <f>_xlfn.IFNA(IF(((INDEX(RulebookFields!I2:I1898, MATCH(D3390,RulebookFields!A2:A1898, 0))="")=TRUE),  "",  INDEX(RulebookFields!I2:I1898, MATCH(D3390,RulebookFields!A2:A1898, 0))), "")</f>
        <v>1</v>
      </c>
      <c r="K3390" s="4" t="b">
        <f>AND(((F3390)=TRUE), ((J3390)=TRUE))</f>
        <v>0</v>
      </c>
      <c r="L3390" s="4" t="b">
        <f>AND(((G3390 &lt;&gt; "plain")=TRUE), ((G3390 &lt;&gt; "")=TRUE))</f>
        <v>0</v>
      </c>
      <c r="M3390" s="4" t="str">
        <f>IF(((E3390)=TRUE),  C3390 &amp; "|" &amp; H3390,  "")</f>
        <v>principal-knowledge-authority|Steps</v>
      </c>
      <c r="N3390" s="3" t="s">
        <v>10004</v>
      </c>
    </row>
    <row r="3391">
      <c r="A3391" s="3" t="s">
        <v>13393</v>
      </c>
      <c r="B3391" s="4" t="str">
        <f>C3391 &amp; " -&gt; " &amp; D3391</f>
        <v>principal-knowledge-authority -&gt; Steps.UnwitnessedBlockingCount</v>
      </c>
      <c r="C3391" s="3" t="s">
        <v>9774</v>
      </c>
      <c r="D3391" s="3" t="s">
        <v>2939</v>
      </c>
      <c r="E3391" s="3" t="b">
        <v>1</v>
      </c>
      <c r="F3391" s="3" t="b">
        <v>0</v>
      </c>
      <c r="G3391" s="3" t="s">
        <v>10003</v>
      </c>
      <c r="H3391" s="4" t="str">
        <f>_xlfn.IFNA(IF(((INDEX(RulebookFields!C2:C1898, MATCH(D3391,RulebookFields!A2:A1898, 0))="")=TRUE),  "",  INDEX(RulebookFields!C2:C1898, MATCH(D3391,RulebookFields!A2:A1898, 0))), "")</f>
        <v>Steps</v>
      </c>
      <c r="I3391" s="4" t="str">
        <f>_xlfn.IFNA(IF(((INDEX(RulebookFields!D2:D1898, MATCH(D3391,RulebookFields!A2:A1898, 0))="")=TRUE),  "",  INDEX(RulebookFields!D2:D1898, MATCH(D3391,RulebookFields!A2:A1898, 0))), "")</f>
        <v>UnwitnessedBlockingCount</v>
      </c>
      <c r="J3391" s="4" t="b">
        <f>_xlfn.IFNA(IF(((INDEX(RulebookFields!I2:I1898, MATCH(D3391,RulebookFields!A2:A1898, 0))="")=TRUE),  "",  INDEX(RulebookFields!I2:I1898, MATCH(D3391,RulebookFields!A2:A1898, 0))), "")</f>
        <v>1</v>
      </c>
      <c r="K3391" s="4" t="b">
        <f>AND(((F3391)=TRUE), ((J3391)=TRUE))</f>
        <v>0</v>
      </c>
      <c r="L3391" s="4" t="b">
        <f>AND(((G3391 &lt;&gt; "plain")=TRUE), ((G3391 &lt;&gt; "")=TRUE))</f>
        <v>0</v>
      </c>
      <c r="M3391" s="4" t="str">
        <f>IF(((E3391)=TRUE),  C3391 &amp; "|" &amp; H3391,  "")</f>
        <v>principal-knowledge-authority|Steps</v>
      </c>
      <c r="N3391" s="3" t="s">
        <v>10004</v>
      </c>
    </row>
    <row r="3392">
      <c r="A3392" s="3" t="s">
        <v>13394</v>
      </c>
      <c r="B3392" s="4" t="str">
        <f>C3392 &amp; " -&gt; " &amp; D3392</f>
        <v>principal-knowledge-authority -&gt; Steps.SemanticTypeIri</v>
      </c>
      <c r="C3392" s="3" t="s">
        <v>9774</v>
      </c>
      <c r="D3392" s="3" t="s">
        <v>2965</v>
      </c>
      <c r="E3392" s="3" t="b">
        <v>1</v>
      </c>
      <c r="F3392" s="3" t="b">
        <v>0</v>
      </c>
      <c r="G3392" s="3" t="s">
        <v>10003</v>
      </c>
      <c r="H3392" s="4" t="str">
        <f>_xlfn.IFNA(IF(((INDEX(RulebookFields!C2:C1898, MATCH(D3392,RulebookFields!A2:A1898, 0))="")=TRUE),  "",  INDEX(RulebookFields!C2:C1898, MATCH(D3392,RulebookFields!A2:A1898, 0))), "")</f>
        <v>Steps</v>
      </c>
      <c r="I3392" s="4" t="str">
        <f>_xlfn.IFNA(IF(((INDEX(RulebookFields!D2:D1898, MATCH(D3392,RulebookFields!A2:A1898, 0))="")=TRUE),  "",  INDEX(RulebookFields!D2:D1898, MATCH(D3392,RulebookFields!A2:A1898, 0))), "")</f>
        <v>SemanticTypeIri</v>
      </c>
      <c r="J3392" s="4" t="b">
        <f>_xlfn.IFNA(IF(((INDEX(RulebookFields!I2:I1898, MATCH(D3392,RulebookFields!A2:A1898, 0))="")=TRUE),  "",  INDEX(RulebookFields!I2:I1898, MATCH(D3392,RulebookFields!A2:A1898, 0))), "")</f>
        <v>0</v>
      </c>
      <c r="K3392" s="4" t="b">
        <f>AND(((F3392)=TRUE), ((J3392)=TRUE))</f>
        <v>0</v>
      </c>
      <c r="L3392" s="4" t="b">
        <f>AND(((G3392 &lt;&gt; "plain")=TRUE), ((G3392 &lt;&gt; "")=TRUE))</f>
        <v>0</v>
      </c>
      <c r="M3392" s="4" t="str">
        <f>IF(((E3392)=TRUE),  C3392 &amp; "|" &amp; H3392,  "")</f>
        <v>principal-knowledge-authority|Steps</v>
      </c>
      <c r="N3392" s="3" t="s">
        <v>10004</v>
      </c>
    </row>
    <row r="3393">
      <c r="A3393" s="3" t="s">
        <v>13395</v>
      </c>
      <c r="B3393" s="4" t="str">
        <f>C3393 &amp; " -&gt; " &amp; D3393</f>
        <v>principal-knowledge-authority -&gt; StewardshipAssignments.StewardshipAssignmentId</v>
      </c>
      <c r="C3393" s="3" t="s">
        <v>9774</v>
      </c>
      <c r="D3393" s="3" t="s">
        <v>3896</v>
      </c>
      <c r="E3393" s="3" t="b">
        <v>1</v>
      </c>
      <c r="F3393" s="3" t="b">
        <v>0</v>
      </c>
      <c r="G3393" s="3" t="s">
        <v>10003</v>
      </c>
      <c r="H3393" s="4" t="str">
        <f>_xlfn.IFNA(IF(((INDEX(RulebookFields!C2:C1898, MATCH(D3393,RulebookFields!A2:A1898, 0))="")=TRUE),  "",  INDEX(RulebookFields!C2:C1898, MATCH(D3393,RulebookFields!A2:A1898, 0))), "")</f>
        <v>StewardshipAssignments</v>
      </c>
      <c r="I3393" s="4" t="str">
        <f>_xlfn.IFNA(IF(((INDEX(RulebookFields!D2:D1898, MATCH(D3393,RulebookFields!A2:A1898, 0))="")=TRUE),  "",  INDEX(RulebookFields!D2:D1898, MATCH(D3393,RulebookFields!A2:A1898, 0))), "")</f>
        <v>StewardshipAssignmentId</v>
      </c>
      <c r="J3393" s="4" t="b">
        <f>_xlfn.IFNA(IF(((INDEX(RulebookFields!I2:I1898, MATCH(D3393,RulebookFields!A2:A1898, 0))="")=TRUE),  "",  INDEX(RulebookFields!I2:I1898, MATCH(D3393,RulebookFields!A2:A1898, 0))), "")</f>
        <v>0</v>
      </c>
      <c r="K3393" s="4" t="b">
        <f>AND(((F3393)=TRUE), ((J3393)=TRUE))</f>
        <v>0</v>
      </c>
      <c r="L3393" s="4" t="b">
        <f>AND(((G3393 &lt;&gt; "plain")=TRUE), ((G3393 &lt;&gt; "")=TRUE))</f>
        <v>0</v>
      </c>
      <c r="M3393" s="4" t="str">
        <f>IF(((E3393)=TRUE),  C3393 &amp; "|" &amp; H3393,  "")</f>
        <v>principal-knowledge-authority|StewardshipAssignments</v>
      </c>
      <c r="N3393" s="3" t="s">
        <v>10004</v>
      </c>
    </row>
    <row r="3394">
      <c r="A3394" s="3" t="s">
        <v>13396</v>
      </c>
      <c r="B3394" s="4" t="str">
        <f>C3394 &amp; " -&gt; " &amp; D3394</f>
        <v>principal-knowledge-authority -&gt; StewardshipAssignments.Name</v>
      </c>
      <c r="C3394" s="3" t="s">
        <v>9774</v>
      </c>
      <c r="D3394" s="3" t="s">
        <v>3897</v>
      </c>
      <c r="E3394" s="3" t="b">
        <v>1</v>
      </c>
      <c r="F3394" s="3" t="b">
        <v>0</v>
      </c>
      <c r="G3394" s="3" t="s">
        <v>10003</v>
      </c>
      <c r="H3394" s="4" t="str">
        <f>_xlfn.IFNA(IF(((INDEX(RulebookFields!C2:C1898, MATCH(D3394,RulebookFields!A2:A1898, 0))="")=TRUE),  "",  INDEX(RulebookFields!C2:C1898, MATCH(D3394,RulebookFields!A2:A1898, 0))), "")</f>
        <v>StewardshipAssignments</v>
      </c>
      <c r="I3394" s="4" t="str">
        <f>_xlfn.IFNA(IF(((INDEX(RulebookFields!D2:D1898, MATCH(D3394,RulebookFields!A2:A1898, 0))="")=TRUE),  "",  INDEX(RulebookFields!D2:D1898, MATCH(D3394,RulebookFields!A2:A1898, 0))), "")</f>
        <v>Name</v>
      </c>
      <c r="J3394" s="4" t="b">
        <f>_xlfn.IFNA(IF(((INDEX(RulebookFields!I2:I1898, MATCH(D3394,RulebookFields!A2:A1898, 0))="")=TRUE),  "",  INDEX(RulebookFields!I2:I1898, MATCH(D3394,RulebookFields!A2:A1898, 0))), "")</f>
        <v>1</v>
      </c>
      <c r="K3394" s="4" t="b">
        <f>AND(((F3394)=TRUE), ((J3394)=TRUE))</f>
        <v>0</v>
      </c>
      <c r="L3394" s="4" t="b">
        <f>AND(((G3394 &lt;&gt; "plain")=TRUE), ((G3394 &lt;&gt; "")=TRUE))</f>
        <v>0</v>
      </c>
      <c r="M3394" s="4" t="str">
        <f>IF(((E3394)=TRUE),  C3394 &amp; "|" &amp; H3394,  "")</f>
        <v>principal-knowledge-authority|StewardshipAssignments</v>
      </c>
      <c r="N3394" s="3" t="s">
        <v>10004</v>
      </c>
    </row>
    <row r="3395">
      <c r="A3395" s="3" t="s">
        <v>13397</v>
      </c>
      <c r="B3395" s="4" t="str">
        <f>C3395 &amp; " -&gt; " &amp; D3395</f>
        <v>principal-knowledge-authority -&gt; StewardshipAssignments.ProcedureVersion</v>
      </c>
      <c r="C3395" s="3" t="s">
        <v>9774</v>
      </c>
      <c r="D3395" s="3" t="s">
        <v>3899</v>
      </c>
      <c r="E3395" s="3" t="b">
        <v>1</v>
      </c>
      <c r="F3395" s="3" t="b">
        <v>0</v>
      </c>
      <c r="G3395" s="3" t="s">
        <v>10003</v>
      </c>
      <c r="H3395" s="4" t="str">
        <f>_xlfn.IFNA(IF(((INDEX(RulebookFields!C2:C1898, MATCH(D3395,RulebookFields!A2:A1898, 0))="")=TRUE),  "",  INDEX(RulebookFields!C2:C1898, MATCH(D3395,RulebookFields!A2:A1898, 0))), "")</f>
        <v>StewardshipAssignments</v>
      </c>
      <c r="I3395" s="4" t="str">
        <f>_xlfn.IFNA(IF(((INDEX(RulebookFields!D2:D1898, MATCH(D3395,RulebookFields!A2:A1898, 0))="")=TRUE),  "",  INDEX(RulebookFields!D2:D1898, MATCH(D3395,RulebookFields!A2:A1898, 0))), "")</f>
        <v>ProcedureVersion</v>
      </c>
      <c r="J3395" s="4" t="b">
        <f>_xlfn.IFNA(IF(((INDEX(RulebookFields!I2:I1898, MATCH(D3395,RulebookFields!A2:A1898, 0))="")=TRUE),  "",  INDEX(RulebookFields!I2:I1898, MATCH(D3395,RulebookFields!A2:A1898, 0))), "")</f>
        <v>0</v>
      </c>
      <c r="K3395" s="4" t="b">
        <f>AND(((F3395)=TRUE), ((J3395)=TRUE))</f>
        <v>0</v>
      </c>
      <c r="L3395" s="4" t="b">
        <f>AND(((G3395 &lt;&gt; "plain")=TRUE), ((G3395 &lt;&gt; "")=TRUE))</f>
        <v>0</v>
      </c>
      <c r="M3395" s="4" t="str">
        <f>IF(((E3395)=TRUE),  C3395 &amp; "|" &amp; H3395,  "")</f>
        <v>principal-knowledge-authority|StewardshipAssignments</v>
      </c>
      <c r="N3395" s="3" t="s">
        <v>10004</v>
      </c>
    </row>
    <row r="3396">
      <c r="A3396" s="3" t="s">
        <v>13398</v>
      </c>
      <c r="B3396" s="4" t="str">
        <f>C3396 &amp; " -&gt; " &amp; D3396</f>
        <v>principal-knowledge-authority -&gt; StewardshipAssignments.StewardRole</v>
      </c>
      <c r="C3396" s="3" t="s">
        <v>9774</v>
      </c>
      <c r="D3396" s="3" t="s">
        <v>3900</v>
      </c>
      <c r="E3396" s="3" t="b">
        <v>1</v>
      </c>
      <c r="F3396" s="3" t="b">
        <v>0</v>
      </c>
      <c r="G3396" s="3" t="s">
        <v>10003</v>
      </c>
      <c r="H3396" s="4" t="str">
        <f>_xlfn.IFNA(IF(((INDEX(RulebookFields!C2:C1898, MATCH(D3396,RulebookFields!A2:A1898, 0))="")=TRUE),  "",  INDEX(RulebookFields!C2:C1898, MATCH(D3396,RulebookFields!A2:A1898, 0))), "")</f>
        <v>StewardshipAssignments</v>
      </c>
      <c r="I3396" s="4" t="str">
        <f>_xlfn.IFNA(IF(((INDEX(RulebookFields!D2:D1898, MATCH(D3396,RulebookFields!A2:A1898, 0))="")=TRUE),  "",  INDEX(RulebookFields!D2:D1898, MATCH(D3396,RulebookFields!A2:A1898, 0))), "")</f>
        <v>StewardRole</v>
      </c>
      <c r="J3396" s="4" t="b">
        <f>_xlfn.IFNA(IF(((INDEX(RulebookFields!I2:I1898, MATCH(D3396,RulebookFields!A2:A1898, 0))="")=TRUE),  "",  INDEX(RulebookFields!I2:I1898, MATCH(D3396,RulebookFields!A2:A1898, 0))), "")</f>
        <v>0</v>
      </c>
      <c r="K3396" s="4" t="b">
        <f>AND(((F3396)=TRUE), ((J3396)=TRUE))</f>
        <v>0</v>
      </c>
      <c r="L3396" s="4" t="b">
        <f>AND(((G3396 &lt;&gt; "plain")=TRUE), ((G3396 &lt;&gt; "")=TRUE))</f>
        <v>0</v>
      </c>
      <c r="M3396" s="4" t="str">
        <f>IF(((E3396)=TRUE),  C3396 &amp; "|" &amp; H3396,  "")</f>
        <v>principal-knowledge-authority|StewardshipAssignments</v>
      </c>
      <c r="N3396" s="3" t="s">
        <v>10004</v>
      </c>
    </row>
    <row r="3397">
      <c r="A3397" s="3" t="s">
        <v>13399</v>
      </c>
      <c r="B3397" s="4" t="str">
        <f>C3397 &amp; " -&gt; " &amp; D3397</f>
        <v>principal-knowledge-authority -&gt; StewardshipAssignments.AuthorityRole</v>
      </c>
      <c r="C3397" s="3" t="s">
        <v>9774</v>
      </c>
      <c r="D3397" s="3" t="s">
        <v>3901</v>
      </c>
      <c r="E3397" s="3" t="b">
        <v>1</v>
      </c>
      <c r="F3397" s="3" t="b">
        <v>0</v>
      </c>
      <c r="G3397" s="3" t="s">
        <v>10003</v>
      </c>
      <c r="H3397" s="4" t="str">
        <f>_xlfn.IFNA(IF(((INDEX(RulebookFields!C2:C1898, MATCH(D3397,RulebookFields!A2:A1898, 0))="")=TRUE),  "",  INDEX(RulebookFields!C2:C1898, MATCH(D3397,RulebookFields!A2:A1898, 0))), "")</f>
        <v>StewardshipAssignments</v>
      </c>
      <c r="I3397" s="4" t="str">
        <f>_xlfn.IFNA(IF(((INDEX(RulebookFields!D2:D1898, MATCH(D3397,RulebookFields!A2:A1898, 0))="")=TRUE),  "",  INDEX(RulebookFields!D2:D1898, MATCH(D3397,RulebookFields!A2:A1898, 0))), "")</f>
        <v>AuthorityRole</v>
      </c>
      <c r="J3397" s="4" t="b">
        <f>_xlfn.IFNA(IF(((INDEX(RulebookFields!I2:I1898, MATCH(D3397,RulebookFields!A2:A1898, 0))="")=TRUE),  "",  INDEX(RulebookFields!I2:I1898, MATCH(D3397,RulebookFields!A2:A1898, 0))), "")</f>
        <v>0</v>
      </c>
      <c r="K3397" s="4" t="b">
        <f>AND(((F3397)=TRUE), ((J3397)=TRUE))</f>
        <v>0</v>
      </c>
      <c r="L3397" s="4" t="b">
        <f>AND(((G3397 &lt;&gt; "plain")=TRUE), ((G3397 &lt;&gt; "")=TRUE))</f>
        <v>0</v>
      </c>
      <c r="M3397" s="4" t="str">
        <f>IF(((E3397)=TRUE),  C3397 &amp; "|" &amp; H3397,  "")</f>
        <v>principal-knowledge-authority|StewardshipAssignments</v>
      </c>
      <c r="N3397" s="3" t="s">
        <v>10004</v>
      </c>
    </row>
    <row r="3398">
      <c r="A3398" s="3" t="s">
        <v>13400</v>
      </c>
      <c r="B3398" s="4" t="str">
        <f>C3398 &amp; " -&gt; " &amp; D3398</f>
        <v>principal-knowledge-authority -&gt; StewardshipAssignments.ValidFrom</v>
      </c>
      <c r="C3398" s="3" t="s">
        <v>9774</v>
      </c>
      <c r="D3398" s="3" t="s">
        <v>3902</v>
      </c>
      <c r="E3398" s="3" t="b">
        <v>1</v>
      </c>
      <c r="F3398" s="3" t="b">
        <v>0</v>
      </c>
      <c r="G3398" s="3" t="s">
        <v>10003</v>
      </c>
      <c r="H3398" s="4" t="str">
        <f>_xlfn.IFNA(IF(((INDEX(RulebookFields!C2:C1898, MATCH(D3398,RulebookFields!A2:A1898, 0))="")=TRUE),  "",  INDEX(RulebookFields!C2:C1898, MATCH(D3398,RulebookFields!A2:A1898, 0))), "")</f>
        <v>StewardshipAssignments</v>
      </c>
      <c r="I3398" s="4" t="str">
        <f>_xlfn.IFNA(IF(((INDEX(RulebookFields!D2:D1898, MATCH(D3398,RulebookFields!A2:A1898, 0))="")=TRUE),  "",  INDEX(RulebookFields!D2:D1898, MATCH(D3398,RulebookFields!A2:A1898, 0))), "")</f>
        <v>ValidFrom</v>
      </c>
      <c r="J3398" s="4" t="b">
        <f>_xlfn.IFNA(IF(((INDEX(RulebookFields!I2:I1898, MATCH(D3398,RulebookFields!A2:A1898, 0))="")=TRUE),  "",  INDEX(RulebookFields!I2:I1898, MATCH(D3398,RulebookFields!A2:A1898, 0))), "")</f>
        <v>0</v>
      </c>
      <c r="K3398" s="4" t="b">
        <f>AND(((F3398)=TRUE), ((J3398)=TRUE))</f>
        <v>0</v>
      </c>
      <c r="L3398" s="4" t="b">
        <f>AND(((G3398 &lt;&gt; "plain")=TRUE), ((G3398 &lt;&gt; "")=TRUE))</f>
        <v>0</v>
      </c>
      <c r="M3398" s="4" t="str">
        <f>IF(((E3398)=TRUE),  C3398 &amp; "|" &amp; H3398,  "")</f>
        <v>principal-knowledge-authority|StewardshipAssignments</v>
      </c>
      <c r="N3398" s="3" t="s">
        <v>10004</v>
      </c>
    </row>
    <row r="3399">
      <c r="A3399" s="3" t="s">
        <v>13401</v>
      </c>
      <c r="B3399" s="4" t="str">
        <f>C3399 &amp; " -&gt; " &amp; D3399</f>
        <v>principal-knowledge-authority -&gt; StewardshipAssignments.ValidTo</v>
      </c>
      <c r="C3399" s="3" t="s">
        <v>9774</v>
      </c>
      <c r="D3399" s="3" t="s">
        <v>3903</v>
      </c>
      <c r="E3399" s="3" t="b">
        <v>1</v>
      </c>
      <c r="F3399" s="3" t="b">
        <v>0</v>
      </c>
      <c r="G3399" s="3" t="s">
        <v>10003</v>
      </c>
      <c r="H3399" s="4" t="str">
        <f>_xlfn.IFNA(IF(((INDEX(RulebookFields!C2:C1898, MATCH(D3399,RulebookFields!A2:A1898, 0))="")=TRUE),  "",  INDEX(RulebookFields!C2:C1898, MATCH(D3399,RulebookFields!A2:A1898, 0))), "")</f>
        <v>StewardshipAssignments</v>
      </c>
      <c r="I3399" s="4" t="str">
        <f>_xlfn.IFNA(IF(((INDEX(RulebookFields!D2:D1898, MATCH(D3399,RulebookFields!A2:A1898, 0))="")=TRUE),  "",  INDEX(RulebookFields!D2:D1898, MATCH(D3399,RulebookFields!A2:A1898, 0))), "")</f>
        <v>ValidTo</v>
      </c>
      <c r="J3399" s="4" t="b">
        <f>_xlfn.IFNA(IF(((INDEX(RulebookFields!I2:I1898, MATCH(D3399,RulebookFields!A2:A1898, 0))="")=TRUE),  "",  INDEX(RulebookFields!I2:I1898, MATCH(D3399,RulebookFields!A2:A1898, 0))), "")</f>
        <v>0</v>
      </c>
      <c r="K3399" s="4" t="b">
        <f>AND(((F3399)=TRUE), ((J3399)=TRUE))</f>
        <v>0</v>
      </c>
      <c r="L3399" s="4" t="b">
        <f>AND(((G3399 &lt;&gt; "plain")=TRUE), ((G3399 &lt;&gt; "")=TRUE))</f>
        <v>0</v>
      </c>
      <c r="M3399" s="4" t="str">
        <f>IF(((E3399)=TRUE),  C3399 &amp; "|" &amp; H3399,  "")</f>
        <v>principal-knowledge-authority|StewardshipAssignments</v>
      </c>
      <c r="N3399" s="3" t="s">
        <v>10004</v>
      </c>
    </row>
    <row r="3400">
      <c r="A3400" s="3" t="s">
        <v>13402</v>
      </c>
      <c r="B3400" s="4" t="str">
        <f>C3400 &amp; " -&gt; " &amp; D3400</f>
        <v>principal-knowledge-authority -&gt; StewardshipAssignments.ReviewCadenceDays</v>
      </c>
      <c r="C3400" s="3" t="s">
        <v>9774</v>
      </c>
      <c r="D3400" s="3" t="s">
        <v>3904</v>
      </c>
      <c r="E3400" s="3" t="b">
        <v>1</v>
      </c>
      <c r="F3400" s="3" t="b">
        <v>0</v>
      </c>
      <c r="G3400" s="3" t="s">
        <v>10003</v>
      </c>
      <c r="H3400" s="4" t="str">
        <f>_xlfn.IFNA(IF(((INDEX(RulebookFields!C2:C1898, MATCH(D3400,RulebookFields!A2:A1898, 0))="")=TRUE),  "",  INDEX(RulebookFields!C2:C1898, MATCH(D3400,RulebookFields!A2:A1898, 0))), "")</f>
        <v>StewardshipAssignments</v>
      </c>
      <c r="I3400" s="4" t="str">
        <f>_xlfn.IFNA(IF(((INDEX(RulebookFields!D2:D1898, MATCH(D3400,RulebookFields!A2:A1898, 0))="")=TRUE),  "",  INDEX(RulebookFields!D2:D1898, MATCH(D3400,RulebookFields!A2:A1898, 0))), "")</f>
        <v>ReviewCadenceDays</v>
      </c>
      <c r="J3400" s="4" t="b">
        <f>_xlfn.IFNA(IF(((INDEX(RulebookFields!I2:I1898, MATCH(D3400,RulebookFields!A2:A1898, 0))="")=TRUE),  "",  INDEX(RulebookFields!I2:I1898, MATCH(D3400,RulebookFields!A2:A1898, 0))), "")</f>
        <v>0</v>
      </c>
      <c r="K3400" s="4" t="b">
        <f>AND(((F3400)=TRUE), ((J3400)=TRUE))</f>
        <v>0</v>
      </c>
      <c r="L3400" s="4" t="b">
        <f>AND(((G3400 &lt;&gt; "plain")=TRUE), ((G3400 &lt;&gt; "")=TRUE))</f>
        <v>0</v>
      </c>
      <c r="M3400" s="4" t="str">
        <f>IF(((E3400)=TRUE),  C3400 &amp; "|" &amp; H3400,  "")</f>
        <v>principal-knowledge-authority|StewardshipAssignments</v>
      </c>
      <c r="N3400" s="3" t="s">
        <v>10004</v>
      </c>
    </row>
    <row r="3401">
      <c r="A3401" s="3" t="s">
        <v>13403</v>
      </c>
      <c r="B3401" s="4" t="str">
        <f>C3401 &amp; " -&gt; " &amp; D3401</f>
        <v>principal-knowledge-authority -&gt; StewardshipAssignments.CountOfReviewEvents</v>
      </c>
      <c r="C3401" s="3" t="s">
        <v>9774</v>
      </c>
      <c r="D3401" s="3" t="s">
        <v>3905</v>
      </c>
      <c r="E3401" s="3" t="b">
        <v>1</v>
      </c>
      <c r="F3401" s="3" t="b">
        <v>0</v>
      </c>
      <c r="G3401" s="3" t="s">
        <v>10003</v>
      </c>
      <c r="H3401" s="4" t="str">
        <f>_xlfn.IFNA(IF(((INDEX(RulebookFields!C2:C1898, MATCH(D3401,RulebookFields!A2:A1898, 0))="")=TRUE),  "",  INDEX(RulebookFields!C2:C1898, MATCH(D3401,RulebookFields!A2:A1898, 0))), "")</f>
        <v>StewardshipAssignments</v>
      </c>
      <c r="I3401" s="4" t="str">
        <f>_xlfn.IFNA(IF(((INDEX(RulebookFields!D2:D1898, MATCH(D3401,RulebookFields!A2:A1898, 0))="")=TRUE),  "",  INDEX(RulebookFields!D2:D1898, MATCH(D3401,RulebookFields!A2:A1898, 0))), "")</f>
        <v>CountOfReviewEvents</v>
      </c>
      <c r="J3401" s="4" t="b">
        <f>_xlfn.IFNA(IF(((INDEX(RulebookFields!I2:I1898, MATCH(D3401,RulebookFields!A2:A1898, 0))="")=TRUE),  "",  INDEX(RulebookFields!I2:I1898, MATCH(D3401,RulebookFields!A2:A1898, 0))), "")</f>
        <v>1</v>
      </c>
      <c r="K3401" s="4" t="b">
        <f>AND(((F3401)=TRUE), ((J3401)=TRUE))</f>
        <v>0</v>
      </c>
      <c r="L3401" s="4" t="b">
        <f>AND(((G3401 &lt;&gt; "plain")=TRUE), ((G3401 &lt;&gt; "")=TRUE))</f>
        <v>0</v>
      </c>
      <c r="M3401" s="4" t="str">
        <f>IF(((E3401)=TRUE),  C3401 &amp; "|" &amp; H3401,  "")</f>
        <v>principal-knowledge-authority|StewardshipAssignments</v>
      </c>
      <c r="N3401" s="3" t="s">
        <v>10004</v>
      </c>
    </row>
    <row r="3402">
      <c r="A3402" s="3" t="s">
        <v>13404</v>
      </c>
      <c r="B3402" s="4" t="str">
        <f>C3402 &amp; " -&gt; " &amp; D3402</f>
        <v>principal-knowledge-authority -&gt; StewardshipAssignments.HasEverBeenReviewed</v>
      </c>
      <c r="C3402" s="3" t="s">
        <v>9774</v>
      </c>
      <c r="D3402" s="3" t="s">
        <v>3907</v>
      </c>
      <c r="E3402" s="3" t="b">
        <v>1</v>
      </c>
      <c r="F3402" s="3" t="b">
        <v>0</v>
      </c>
      <c r="G3402" s="3" t="s">
        <v>10003</v>
      </c>
      <c r="H3402" s="4" t="str">
        <f>_xlfn.IFNA(IF(((INDEX(RulebookFields!C2:C1898, MATCH(D3402,RulebookFields!A2:A1898, 0))="")=TRUE),  "",  INDEX(RulebookFields!C2:C1898, MATCH(D3402,RulebookFields!A2:A1898, 0))), "")</f>
        <v>StewardshipAssignments</v>
      </c>
      <c r="I3402" s="4" t="str">
        <f>_xlfn.IFNA(IF(((INDEX(RulebookFields!D2:D1898, MATCH(D3402,RulebookFields!A2:A1898, 0))="")=TRUE),  "",  INDEX(RulebookFields!D2:D1898, MATCH(D3402,RulebookFields!A2:A1898, 0))), "")</f>
        <v>HasEverBeenReviewed</v>
      </c>
      <c r="J3402" s="4" t="b">
        <f>_xlfn.IFNA(IF(((INDEX(RulebookFields!I2:I1898, MATCH(D3402,RulebookFields!A2:A1898, 0))="")=TRUE),  "",  INDEX(RulebookFields!I2:I1898, MATCH(D3402,RulebookFields!A2:A1898, 0))), "")</f>
        <v>1</v>
      </c>
      <c r="K3402" s="4" t="b">
        <f>AND(((F3402)=TRUE), ((J3402)=TRUE))</f>
        <v>0</v>
      </c>
      <c r="L3402" s="4" t="b">
        <f>AND(((G3402 &lt;&gt; "plain")=TRUE), ((G3402 &lt;&gt; "")=TRUE))</f>
        <v>0</v>
      </c>
      <c r="M3402" s="4" t="str">
        <f>IF(((E3402)=TRUE),  C3402 &amp; "|" &amp; H3402,  "")</f>
        <v>principal-knowledge-authority|StewardshipAssignments</v>
      </c>
      <c r="N3402" s="3" t="s">
        <v>10004</v>
      </c>
    </row>
    <row r="3403">
      <c r="A3403" s="3" t="s">
        <v>13405</v>
      </c>
      <c r="B3403" s="4" t="str">
        <f>C3403 &amp; " -&gt; " &amp; D3403</f>
        <v>principal-knowledge-authority -&gt; StewardshipAssignments.EvaluationContext</v>
      </c>
      <c r="C3403" s="3" t="s">
        <v>9774</v>
      </c>
      <c r="D3403" s="3" t="s">
        <v>3909</v>
      </c>
      <c r="E3403" s="3" t="b">
        <v>1</v>
      </c>
      <c r="F3403" s="3" t="b">
        <v>0</v>
      </c>
      <c r="G3403" s="3" t="s">
        <v>10003</v>
      </c>
      <c r="H3403" s="4" t="str">
        <f>_xlfn.IFNA(IF(((INDEX(RulebookFields!C2:C1898, MATCH(D3403,RulebookFields!A2:A1898, 0))="")=TRUE),  "",  INDEX(RulebookFields!C2:C1898, MATCH(D3403,RulebookFields!A2:A1898, 0))), "")</f>
        <v>StewardshipAssignments</v>
      </c>
      <c r="I3403" s="4" t="str">
        <f>_xlfn.IFNA(IF(((INDEX(RulebookFields!D2:D1898, MATCH(D3403,RulebookFields!A2:A1898, 0))="")=TRUE),  "",  INDEX(RulebookFields!D2:D1898, MATCH(D3403,RulebookFields!A2:A1898, 0))), "")</f>
        <v>EvaluationContext</v>
      </c>
      <c r="J3403" s="4" t="b">
        <f>_xlfn.IFNA(IF(((INDEX(RulebookFields!I2:I1898, MATCH(D3403,RulebookFields!A2:A1898, 0))="")=TRUE),  "",  INDEX(RulebookFields!I2:I1898, MATCH(D3403,RulebookFields!A2:A1898, 0))), "")</f>
        <v>0</v>
      </c>
      <c r="K3403" s="4" t="b">
        <f>AND(((F3403)=TRUE), ((J3403)=TRUE))</f>
        <v>0</v>
      </c>
      <c r="L3403" s="4" t="b">
        <f>AND(((G3403 &lt;&gt; "plain")=TRUE), ((G3403 &lt;&gt; "")=TRUE))</f>
        <v>0</v>
      </c>
      <c r="M3403" s="4" t="str">
        <f>IF(((E3403)=TRUE),  C3403 &amp; "|" &amp; H3403,  "")</f>
        <v>principal-knowledge-authority|StewardshipAssignments</v>
      </c>
      <c r="N3403" s="3" t="s">
        <v>10004</v>
      </c>
    </row>
    <row r="3404">
      <c r="A3404" s="3" t="s">
        <v>13406</v>
      </c>
      <c r="B3404" s="4" t="str">
        <f>C3404 &amp; " -&gt; " &amp; D3404</f>
        <v>principal-knowledge-authority -&gt; StewardshipAssignments.AsOfInstant</v>
      </c>
      <c r="C3404" s="3" t="s">
        <v>9774</v>
      </c>
      <c r="D3404" s="3" t="s">
        <v>3910</v>
      </c>
      <c r="E3404" s="3" t="b">
        <v>1</v>
      </c>
      <c r="F3404" s="3" t="b">
        <v>0</v>
      </c>
      <c r="G3404" s="3" t="s">
        <v>10003</v>
      </c>
      <c r="H3404" s="4" t="str">
        <f>_xlfn.IFNA(IF(((INDEX(RulebookFields!C2:C1898, MATCH(D3404,RulebookFields!A2:A1898, 0))="")=TRUE),  "",  INDEX(RulebookFields!C2:C1898, MATCH(D3404,RulebookFields!A2:A1898, 0))), "")</f>
        <v>StewardshipAssignments</v>
      </c>
      <c r="I3404" s="4" t="str">
        <f>_xlfn.IFNA(IF(((INDEX(RulebookFields!D2:D1898, MATCH(D3404,RulebookFields!A2:A1898, 0))="")=TRUE),  "",  INDEX(RulebookFields!D2:D1898, MATCH(D3404,RulebookFields!A2:A1898, 0))), "")</f>
        <v>AsOfInstant</v>
      </c>
      <c r="J3404" s="4" t="b">
        <f>_xlfn.IFNA(IF(((INDEX(RulebookFields!I2:I1898, MATCH(D3404,RulebookFields!A2:A1898, 0))="")=TRUE),  "",  INDEX(RulebookFields!I2:I1898, MATCH(D3404,RulebookFields!A2:A1898, 0))), "")</f>
        <v>1</v>
      </c>
      <c r="K3404" s="4" t="b">
        <f>AND(((F3404)=TRUE), ((J3404)=TRUE))</f>
        <v>0</v>
      </c>
      <c r="L3404" s="4" t="b">
        <f>AND(((G3404 &lt;&gt; "plain")=TRUE), ((G3404 &lt;&gt; "")=TRUE))</f>
        <v>0</v>
      </c>
      <c r="M3404" s="4" t="str">
        <f>IF(((E3404)=TRUE),  C3404 &amp; "|" &amp; H3404,  "")</f>
        <v>principal-knowledge-authority|StewardshipAssignments</v>
      </c>
      <c r="N3404" s="3" t="s">
        <v>10004</v>
      </c>
    </row>
    <row r="3405">
      <c r="A3405" s="3" t="s">
        <v>13407</v>
      </c>
      <c r="B3405" s="4" t="str">
        <f>C3405 &amp; " -&gt; " &amp; D3405</f>
        <v>principal-knowledge-authority -&gt; StewardshipAssignments.IsCurrentAssignment</v>
      </c>
      <c r="C3405" s="3" t="s">
        <v>9774</v>
      </c>
      <c r="D3405" s="3" t="s">
        <v>3911</v>
      </c>
      <c r="E3405" s="3" t="b">
        <v>1</v>
      </c>
      <c r="F3405" s="3" t="b">
        <v>0</v>
      </c>
      <c r="G3405" s="3" t="s">
        <v>10003</v>
      </c>
      <c r="H3405" s="4" t="str">
        <f>_xlfn.IFNA(IF(((INDEX(RulebookFields!C2:C1898, MATCH(D3405,RulebookFields!A2:A1898, 0))="")=TRUE),  "",  INDEX(RulebookFields!C2:C1898, MATCH(D3405,RulebookFields!A2:A1898, 0))), "")</f>
        <v>StewardshipAssignments</v>
      </c>
      <c r="I3405" s="4" t="str">
        <f>_xlfn.IFNA(IF(((INDEX(RulebookFields!D2:D1898, MATCH(D3405,RulebookFields!A2:A1898, 0))="")=TRUE),  "",  INDEX(RulebookFields!D2:D1898, MATCH(D3405,RulebookFields!A2:A1898, 0))), "")</f>
        <v>IsCurrentAssignment</v>
      </c>
      <c r="J3405" s="4" t="b">
        <f>_xlfn.IFNA(IF(((INDEX(RulebookFields!I2:I1898, MATCH(D3405,RulebookFields!A2:A1898, 0))="")=TRUE),  "",  INDEX(RulebookFields!I2:I1898, MATCH(D3405,RulebookFields!A2:A1898, 0))), "")</f>
        <v>1</v>
      </c>
      <c r="K3405" s="4" t="b">
        <f>AND(((F3405)=TRUE), ((J3405)=TRUE))</f>
        <v>0</v>
      </c>
      <c r="L3405" s="4" t="b">
        <f>AND(((G3405 &lt;&gt; "plain")=TRUE), ((G3405 &lt;&gt; "")=TRUE))</f>
        <v>0</v>
      </c>
      <c r="M3405" s="4" t="str">
        <f>IF(((E3405)=TRUE),  C3405 &amp; "|" &amp; H3405,  "")</f>
        <v>principal-knowledge-authority|StewardshipAssignments</v>
      </c>
      <c r="N3405" s="3" t="s">
        <v>10004</v>
      </c>
    </row>
    <row r="3406">
      <c r="A3406" s="3" t="s">
        <v>13408</v>
      </c>
      <c r="B3406" s="4" t="str">
        <f>C3406 &amp; " -&gt; " &amp; D3406</f>
        <v>principal-knowledge-authority -&gt; StewardshipAssignments.SemanticTypeIri</v>
      </c>
      <c r="C3406" s="3" t="s">
        <v>9774</v>
      </c>
      <c r="D3406" s="3" t="s">
        <v>3912</v>
      </c>
      <c r="E3406" s="3" t="b">
        <v>1</v>
      </c>
      <c r="F3406" s="3" t="b">
        <v>0</v>
      </c>
      <c r="G3406" s="3" t="s">
        <v>10003</v>
      </c>
      <c r="H3406" s="4" t="str">
        <f>_xlfn.IFNA(IF(((INDEX(RulebookFields!C2:C1898, MATCH(D3406,RulebookFields!A2:A1898, 0))="")=TRUE),  "",  INDEX(RulebookFields!C2:C1898, MATCH(D3406,RulebookFields!A2:A1898, 0))), "")</f>
        <v>StewardshipAssignments</v>
      </c>
      <c r="I3406" s="4" t="str">
        <f>_xlfn.IFNA(IF(((INDEX(RulebookFields!D2:D1898, MATCH(D3406,RulebookFields!A2:A1898, 0))="")=TRUE),  "",  INDEX(RulebookFields!D2:D1898, MATCH(D3406,RulebookFields!A2:A1898, 0))), "")</f>
        <v>SemanticTypeIri</v>
      </c>
      <c r="J3406" s="4" t="b">
        <f>_xlfn.IFNA(IF(((INDEX(RulebookFields!I2:I1898, MATCH(D3406,RulebookFields!A2:A1898, 0))="")=TRUE),  "",  INDEX(RulebookFields!I2:I1898, MATCH(D3406,RulebookFields!A2:A1898, 0))), "")</f>
        <v>0</v>
      </c>
      <c r="K3406" s="4" t="b">
        <f>AND(((F3406)=TRUE), ((J3406)=TRUE))</f>
        <v>0</v>
      </c>
      <c r="L3406" s="4" t="b">
        <f>AND(((G3406 &lt;&gt; "plain")=TRUE), ((G3406 &lt;&gt; "")=TRUE))</f>
        <v>0</v>
      </c>
      <c r="M3406" s="4" t="str">
        <f>IF(((E3406)=TRUE),  C3406 &amp; "|" &amp; H3406,  "")</f>
        <v>principal-knowledge-authority|StewardshipAssignments</v>
      </c>
      <c r="N3406" s="3" t="s">
        <v>10004</v>
      </c>
    </row>
    <row r="3407">
      <c r="A3407" s="3" t="s">
        <v>13409</v>
      </c>
      <c r="B3407" s="4" t="str">
        <f>C3407 &amp; " -&gt; " &amp; D3407</f>
        <v>principal-knowledge-authority -&gt; TemplateApprovals.TemplateApprovalId</v>
      </c>
      <c r="C3407" s="3" t="s">
        <v>9774</v>
      </c>
      <c r="D3407" s="3" t="s">
        <v>4697</v>
      </c>
      <c r="E3407" s="3" t="b">
        <v>1</v>
      </c>
      <c r="F3407" s="3" t="b">
        <v>0</v>
      </c>
      <c r="G3407" s="3" t="s">
        <v>10003</v>
      </c>
      <c r="H3407" s="4" t="str">
        <f>_xlfn.IFNA(IF(((INDEX(RulebookFields!C2:C1898, MATCH(D3407,RulebookFields!A2:A1898, 0))="")=TRUE),  "",  INDEX(RulebookFields!C2:C1898, MATCH(D3407,RulebookFields!A2:A1898, 0))), "")</f>
        <v>TemplateApprovals</v>
      </c>
      <c r="I3407" s="4" t="str">
        <f>_xlfn.IFNA(IF(((INDEX(RulebookFields!D2:D1898, MATCH(D3407,RulebookFields!A2:A1898, 0))="")=TRUE),  "",  INDEX(RulebookFields!D2:D1898, MATCH(D3407,RulebookFields!A2:A1898, 0))), "")</f>
        <v>TemplateApprovalId</v>
      </c>
      <c r="J3407" s="4" t="b">
        <f>_xlfn.IFNA(IF(((INDEX(RulebookFields!I2:I1898, MATCH(D3407,RulebookFields!A2:A1898, 0))="")=TRUE),  "",  INDEX(RulebookFields!I2:I1898, MATCH(D3407,RulebookFields!A2:A1898, 0))), "")</f>
        <v>0</v>
      </c>
      <c r="K3407" s="4" t="b">
        <f>AND(((F3407)=TRUE), ((J3407)=TRUE))</f>
        <v>0</v>
      </c>
      <c r="L3407" s="4" t="b">
        <f>AND(((G3407 &lt;&gt; "plain")=TRUE), ((G3407 &lt;&gt; "")=TRUE))</f>
        <v>0</v>
      </c>
      <c r="M3407" s="4" t="str">
        <f>IF(((E3407)=TRUE),  C3407 &amp; "|" &amp; H3407,  "")</f>
        <v>principal-knowledge-authority|TemplateApprovals</v>
      </c>
      <c r="N3407" s="3" t="s">
        <v>10004</v>
      </c>
    </row>
    <row r="3408">
      <c r="A3408" s="3" t="s">
        <v>13410</v>
      </c>
      <c r="B3408" s="4" t="str">
        <f>C3408 &amp; " -&gt; " &amp; D3408</f>
        <v>principal-knowledge-authority -&gt; TemplateApprovals.Name</v>
      </c>
      <c r="C3408" s="3" t="s">
        <v>9774</v>
      </c>
      <c r="D3408" s="3" t="s">
        <v>4700</v>
      </c>
      <c r="E3408" s="3" t="b">
        <v>1</v>
      </c>
      <c r="F3408" s="3" t="b">
        <v>0</v>
      </c>
      <c r="G3408" s="3" t="s">
        <v>10003</v>
      </c>
      <c r="H3408" s="4" t="str">
        <f>_xlfn.IFNA(IF(((INDEX(RulebookFields!C2:C1898, MATCH(D3408,RulebookFields!A2:A1898, 0))="")=TRUE),  "",  INDEX(RulebookFields!C2:C1898, MATCH(D3408,RulebookFields!A2:A1898, 0))), "")</f>
        <v>TemplateApprovals</v>
      </c>
      <c r="I3408" s="4" t="str">
        <f>_xlfn.IFNA(IF(((INDEX(RulebookFields!D2:D1898, MATCH(D3408,RulebookFields!A2:A1898, 0))="")=TRUE),  "",  INDEX(RulebookFields!D2:D1898, MATCH(D3408,RulebookFields!A2:A1898, 0))), "")</f>
        <v>Name</v>
      </c>
      <c r="J3408" s="4" t="b">
        <f>_xlfn.IFNA(IF(((INDEX(RulebookFields!I2:I1898, MATCH(D3408,RulebookFields!A2:A1898, 0))="")=TRUE),  "",  INDEX(RulebookFields!I2:I1898, MATCH(D3408,RulebookFields!A2:A1898, 0))), "")</f>
        <v>1</v>
      </c>
      <c r="K3408" s="4" t="b">
        <f>AND(((F3408)=TRUE), ((J3408)=TRUE))</f>
        <v>0</v>
      </c>
      <c r="L3408" s="4" t="b">
        <f>AND(((G3408 &lt;&gt; "plain")=TRUE), ((G3408 &lt;&gt; "")=TRUE))</f>
        <v>0</v>
      </c>
      <c r="M3408" s="4" t="str">
        <f>IF(((E3408)=TRUE),  C3408 &amp; "|" &amp; H3408,  "")</f>
        <v>principal-knowledge-authority|TemplateApprovals</v>
      </c>
      <c r="N3408" s="3" t="s">
        <v>10004</v>
      </c>
    </row>
    <row r="3409">
      <c r="A3409" s="3" t="s">
        <v>13411</v>
      </c>
      <c r="B3409" s="4" t="str">
        <f>C3409 &amp; " -&gt; " &amp; D3409</f>
        <v>principal-knowledge-authority -&gt; TemplateApprovals.MessageTemplate</v>
      </c>
      <c r="C3409" s="3" t="s">
        <v>9774</v>
      </c>
      <c r="D3409" s="3" t="s">
        <v>4702</v>
      </c>
      <c r="E3409" s="3" t="b">
        <v>1</v>
      </c>
      <c r="F3409" s="3" t="b">
        <v>0</v>
      </c>
      <c r="G3409" s="3" t="s">
        <v>10003</v>
      </c>
      <c r="H3409" s="4" t="str">
        <f>_xlfn.IFNA(IF(((INDEX(RulebookFields!C2:C1898, MATCH(D3409,RulebookFields!A2:A1898, 0))="")=TRUE),  "",  INDEX(RulebookFields!C2:C1898, MATCH(D3409,RulebookFields!A2:A1898, 0))), "")</f>
        <v>TemplateApprovals</v>
      </c>
      <c r="I3409" s="4" t="str">
        <f>_xlfn.IFNA(IF(((INDEX(RulebookFields!D2:D1898, MATCH(D3409,RulebookFields!A2:A1898, 0))="")=TRUE),  "",  INDEX(RulebookFields!D2:D1898, MATCH(D3409,RulebookFields!A2:A1898, 0))), "")</f>
        <v>MessageTemplate</v>
      </c>
      <c r="J3409" s="4" t="b">
        <f>_xlfn.IFNA(IF(((INDEX(RulebookFields!I2:I1898, MATCH(D3409,RulebookFields!A2:A1898, 0))="")=TRUE),  "",  INDEX(RulebookFields!I2:I1898, MATCH(D3409,RulebookFields!A2:A1898, 0))), "")</f>
        <v>0</v>
      </c>
      <c r="K3409" s="4" t="b">
        <f>AND(((F3409)=TRUE), ((J3409)=TRUE))</f>
        <v>0</v>
      </c>
      <c r="L3409" s="4" t="b">
        <f>AND(((G3409 &lt;&gt; "plain")=TRUE), ((G3409 &lt;&gt; "")=TRUE))</f>
        <v>0</v>
      </c>
      <c r="M3409" s="4" t="str">
        <f>IF(((E3409)=TRUE),  C3409 &amp; "|" &amp; H3409,  "")</f>
        <v>principal-knowledge-authority|TemplateApprovals</v>
      </c>
      <c r="N3409" s="3" t="s">
        <v>10004</v>
      </c>
    </row>
    <row r="3410">
      <c r="A3410" s="3" t="s">
        <v>13412</v>
      </c>
      <c r="B3410" s="4" t="str">
        <f>C3410 &amp; " -&gt; " &amp; D3410</f>
        <v>principal-knowledge-authority -&gt; TemplateApprovals.DecidedByAgent</v>
      </c>
      <c r="C3410" s="3" t="s">
        <v>9774</v>
      </c>
      <c r="D3410" s="3" t="s">
        <v>4703</v>
      </c>
      <c r="E3410" s="3" t="b">
        <v>1</v>
      </c>
      <c r="F3410" s="3" t="b">
        <v>0</v>
      </c>
      <c r="G3410" s="3" t="s">
        <v>10003</v>
      </c>
      <c r="H3410" s="4" t="str">
        <f>_xlfn.IFNA(IF(((INDEX(RulebookFields!C2:C1898, MATCH(D3410,RulebookFields!A2:A1898, 0))="")=TRUE),  "",  INDEX(RulebookFields!C2:C1898, MATCH(D3410,RulebookFields!A2:A1898, 0))), "")</f>
        <v>TemplateApprovals</v>
      </c>
      <c r="I3410" s="4" t="str">
        <f>_xlfn.IFNA(IF(((INDEX(RulebookFields!D2:D1898, MATCH(D3410,RulebookFields!A2:A1898, 0))="")=TRUE),  "",  INDEX(RulebookFields!D2:D1898, MATCH(D3410,RulebookFields!A2:A1898, 0))), "")</f>
        <v>DecidedByAgent</v>
      </c>
      <c r="J3410" s="4" t="b">
        <f>_xlfn.IFNA(IF(((INDEX(RulebookFields!I2:I1898, MATCH(D3410,RulebookFields!A2:A1898, 0))="")=TRUE),  "",  INDEX(RulebookFields!I2:I1898, MATCH(D3410,RulebookFields!A2:A1898, 0))), "")</f>
        <v>0</v>
      </c>
      <c r="K3410" s="4" t="b">
        <f>AND(((F3410)=TRUE), ((J3410)=TRUE))</f>
        <v>0</v>
      </c>
      <c r="L3410" s="4" t="b">
        <f>AND(((G3410 &lt;&gt; "plain")=TRUE), ((G3410 &lt;&gt; "")=TRUE))</f>
        <v>0</v>
      </c>
      <c r="M3410" s="4" t="str">
        <f>IF(((E3410)=TRUE),  C3410 &amp; "|" &amp; H3410,  "")</f>
        <v>principal-knowledge-authority|TemplateApprovals</v>
      </c>
      <c r="N3410" s="3" t="s">
        <v>10004</v>
      </c>
    </row>
    <row r="3411">
      <c r="A3411" s="3" t="s">
        <v>13413</v>
      </c>
      <c r="B3411" s="4" t="str">
        <f>C3411 &amp; " -&gt; " &amp; D3411</f>
        <v>principal-knowledge-authority -&gt; TemplateApprovals.DecidedInRole</v>
      </c>
      <c r="C3411" s="3" t="s">
        <v>9774</v>
      </c>
      <c r="D3411" s="3" t="s">
        <v>4705</v>
      </c>
      <c r="E3411" s="3" t="b">
        <v>1</v>
      </c>
      <c r="F3411" s="3" t="b">
        <v>0</v>
      </c>
      <c r="G3411" s="3" t="s">
        <v>10003</v>
      </c>
      <c r="H3411" s="4" t="str">
        <f>_xlfn.IFNA(IF(((INDEX(RulebookFields!C2:C1898, MATCH(D3411,RulebookFields!A2:A1898, 0))="")=TRUE),  "",  INDEX(RulebookFields!C2:C1898, MATCH(D3411,RulebookFields!A2:A1898, 0))), "")</f>
        <v>TemplateApprovals</v>
      </c>
      <c r="I3411" s="4" t="str">
        <f>_xlfn.IFNA(IF(((INDEX(RulebookFields!D2:D1898, MATCH(D3411,RulebookFields!A2:A1898, 0))="")=TRUE),  "",  INDEX(RulebookFields!D2:D1898, MATCH(D3411,RulebookFields!A2:A1898, 0))), "")</f>
        <v>DecidedInRole</v>
      </c>
      <c r="J3411" s="4" t="b">
        <f>_xlfn.IFNA(IF(((INDEX(RulebookFields!I2:I1898, MATCH(D3411,RulebookFields!A2:A1898, 0))="")=TRUE),  "",  INDEX(RulebookFields!I2:I1898, MATCH(D3411,RulebookFields!A2:A1898, 0))), "")</f>
        <v>0</v>
      </c>
      <c r="K3411" s="4" t="b">
        <f>AND(((F3411)=TRUE), ((J3411)=TRUE))</f>
        <v>0</v>
      </c>
      <c r="L3411" s="4" t="b">
        <f>AND(((G3411 &lt;&gt; "plain")=TRUE), ((G3411 &lt;&gt; "")=TRUE))</f>
        <v>0</v>
      </c>
      <c r="M3411" s="4" t="str">
        <f>IF(((E3411)=TRUE),  C3411 &amp; "|" &amp; H3411,  "")</f>
        <v>principal-knowledge-authority|TemplateApprovals</v>
      </c>
      <c r="N3411" s="3" t="s">
        <v>10004</v>
      </c>
    </row>
    <row r="3412">
      <c r="A3412" s="3" t="s">
        <v>13414</v>
      </c>
      <c r="B3412" s="4" t="str">
        <f>C3412 &amp; " -&gt; " &amp; D3412</f>
        <v>principal-knowledge-authority -&gt; TemplateApprovals.Decision</v>
      </c>
      <c r="C3412" s="3" t="s">
        <v>9774</v>
      </c>
      <c r="D3412" s="3" t="s">
        <v>4707</v>
      </c>
      <c r="E3412" s="3" t="b">
        <v>1</v>
      </c>
      <c r="F3412" s="3" t="b">
        <v>0</v>
      </c>
      <c r="G3412" s="3" t="s">
        <v>10003</v>
      </c>
      <c r="H3412" s="4" t="str">
        <f>_xlfn.IFNA(IF(((INDEX(RulebookFields!C2:C1898, MATCH(D3412,RulebookFields!A2:A1898, 0))="")=TRUE),  "",  INDEX(RulebookFields!C2:C1898, MATCH(D3412,RulebookFields!A2:A1898, 0))), "")</f>
        <v>TemplateApprovals</v>
      </c>
      <c r="I3412" s="4" t="str">
        <f>_xlfn.IFNA(IF(((INDEX(RulebookFields!D2:D1898, MATCH(D3412,RulebookFields!A2:A1898, 0))="")=TRUE),  "",  INDEX(RulebookFields!D2:D1898, MATCH(D3412,RulebookFields!A2:A1898, 0))), "")</f>
        <v>Decision</v>
      </c>
      <c r="J3412" s="4" t="b">
        <f>_xlfn.IFNA(IF(((INDEX(RulebookFields!I2:I1898, MATCH(D3412,RulebookFields!A2:A1898, 0))="")=TRUE),  "",  INDEX(RulebookFields!I2:I1898, MATCH(D3412,RulebookFields!A2:A1898, 0))), "")</f>
        <v>0</v>
      </c>
      <c r="K3412" s="4" t="b">
        <f>AND(((F3412)=TRUE), ((J3412)=TRUE))</f>
        <v>0</v>
      </c>
      <c r="L3412" s="4" t="b">
        <f>AND(((G3412 &lt;&gt; "plain")=TRUE), ((G3412 &lt;&gt; "")=TRUE))</f>
        <v>0</v>
      </c>
      <c r="M3412" s="4" t="str">
        <f>IF(((E3412)=TRUE),  C3412 &amp; "|" &amp; H3412,  "")</f>
        <v>principal-knowledge-authority|TemplateApprovals</v>
      </c>
      <c r="N3412" s="3" t="s">
        <v>10004</v>
      </c>
    </row>
    <row r="3413">
      <c r="A3413" s="3" t="s">
        <v>13415</v>
      </c>
      <c r="B3413" s="4" t="str">
        <f>C3413 &amp; " -&gt; " &amp; D3413</f>
        <v>principal-knowledge-authority -&gt; TemplateApprovals.DecidedAt</v>
      </c>
      <c r="C3413" s="3" t="s">
        <v>9774</v>
      </c>
      <c r="D3413" s="3" t="s">
        <v>4709</v>
      </c>
      <c r="E3413" s="3" t="b">
        <v>1</v>
      </c>
      <c r="F3413" s="3" t="b">
        <v>0</v>
      </c>
      <c r="G3413" s="3" t="s">
        <v>10003</v>
      </c>
      <c r="H3413" s="4" t="str">
        <f>_xlfn.IFNA(IF(((INDEX(RulebookFields!C2:C1898, MATCH(D3413,RulebookFields!A2:A1898, 0))="")=TRUE),  "",  INDEX(RulebookFields!C2:C1898, MATCH(D3413,RulebookFields!A2:A1898, 0))), "")</f>
        <v>TemplateApprovals</v>
      </c>
      <c r="I3413" s="4" t="str">
        <f>_xlfn.IFNA(IF(((INDEX(RulebookFields!D2:D1898, MATCH(D3413,RulebookFields!A2:A1898, 0))="")=TRUE),  "",  INDEX(RulebookFields!D2:D1898, MATCH(D3413,RulebookFields!A2:A1898, 0))), "")</f>
        <v>DecidedAt</v>
      </c>
      <c r="J3413" s="4" t="b">
        <f>_xlfn.IFNA(IF(((INDEX(RulebookFields!I2:I1898, MATCH(D3413,RulebookFields!A2:A1898, 0))="")=TRUE),  "",  INDEX(RulebookFields!I2:I1898, MATCH(D3413,RulebookFields!A2:A1898, 0))), "")</f>
        <v>0</v>
      </c>
      <c r="K3413" s="4" t="b">
        <f>AND(((F3413)=TRUE), ((J3413)=TRUE))</f>
        <v>0</v>
      </c>
      <c r="L3413" s="4" t="b">
        <f>AND(((G3413 &lt;&gt; "plain")=TRUE), ((G3413 &lt;&gt; "")=TRUE))</f>
        <v>0</v>
      </c>
      <c r="M3413" s="4" t="str">
        <f>IF(((E3413)=TRUE),  C3413 &amp; "|" &amp; H3413,  "")</f>
        <v>principal-knowledge-authority|TemplateApprovals</v>
      </c>
      <c r="N3413" s="3" t="s">
        <v>10004</v>
      </c>
    </row>
    <row r="3414">
      <c r="A3414" s="3" t="s">
        <v>13416</v>
      </c>
      <c r="B3414" s="4" t="str">
        <f>C3414 &amp; " -&gt; " &amp; D3414</f>
        <v>principal-knowledge-authority -&gt; TemplateApprovals.ApprovedBodyHash</v>
      </c>
      <c r="C3414" s="3" t="s">
        <v>9774</v>
      </c>
      <c r="D3414" s="3" t="s">
        <v>4710</v>
      </c>
      <c r="E3414" s="3" t="b">
        <v>1</v>
      </c>
      <c r="F3414" s="3" t="b">
        <v>0</v>
      </c>
      <c r="G3414" s="3" t="s">
        <v>10003</v>
      </c>
      <c r="H3414" s="4" t="str">
        <f>_xlfn.IFNA(IF(((INDEX(RulebookFields!C2:C1898, MATCH(D3414,RulebookFields!A2:A1898, 0))="")=TRUE),  "",  INDEX(RulebookFields!C2:C1898, MATCH(D3414,RulebookFields!A2:A1898, 0))), "")</f>
        <v>TemplateApprovals</v>
      </c>
      <c r="I3414" s="4" t="str">
        <f>_xlfn.IFNA(IF(((INDEX(RulebookFields!D2:D1898, MATCH(D3414,RulebookFields!A2:A1898, 0))="")=TRUE),  "",  INDEX(RulebookFields!D2:D1898, MATCH(D3414,RulebookFields!A2:A1898, 0))), "")</f>
        <v>ApprovedBodyHash</v>
      </c>
      <c r="J3414" s="4" t="b">
        <f>_xlfn.IFNA(IF(((INDEX(RulebookFields!I2:I1898, MATCH(D3414,RulebookFields!A2:A1898, 0))="")=TRUE),  "",  INDEX(RulebookFields!I2:I1898, MATCH(D3414,RulebookFields!A2:A1898, 0))), "")</f>
        <v>0</v>
      </c>
      <c r="K3414" s="4" t="b">
        <f>AND(((F3414)=TRUE), ((J3414)=TRUE))</f>
        <v>0</v>
      </c>
      <c r="L3414" s="4" t="b">
        <f>AND(((G3414 &lt;&gt; "plain")=TRUE), ((G3414 &lt;&gt; "")=TRUE))</f>
        <v>0</v>
      </c>
      <c r="M3414" s="4" t="str">
        <f>IF(((E3414)=TRUE),  C3414 &amp; "|" &amp; H3414,  "")</f>
        <v>principal-knowledge-authority|TemplateApprovals</v>
      </c>
      <c r="N3414" s="3" t="s">
        <v>10004</v>
      </c>
    </row>
    <row r="3415">
      <c r="A3415" s="3" t="s">
        <v>13417</v>
      </c>
      <c r="B3415" s="4" t="str">
        <f>C3415 &amp; " -&gt; " &amp; D3415</f>
        <v>principal-knowledge-authority -&gt; TemplateApprovals.Notes</v>
      </c>
      <c r="C3415" s="3" t="s">
        <v>9774</v>
      </c>
      <c r="D3415" s="3" t="s">
        <v>4712</v>
      </c>
      <c r="E3415" s="3" t="b">
        <v>1</v>
      </c>
      <c r="F3415" s="3" t="b">
        <v>0</v>
      </c>
      <c r="G3415" s="3" t="s">
        <v>10003</v>
      </c>
      <c r="H3415" s="4" t="str">
        <f>_xlfn.IFNA(IF(((INDEX(RulebookFields!C2:C1898, MATCH(D3415,RulebookFields!A2:A1898, 0))="")=TRUE),  "",  INDEX(RulebookFields!C2:C1898, MATCH(D3415,RulebookFields!A2:A1898, 0))), "")</f>
        <v>TemplateApprovals</v>
      </c>
      <c r="I3415" s="4" t="str">
        <f>_xlfn.IFNA(IF(((INDEX(RulebookFields!D2:D1898, MATCH(D3415,RulebookFields!A2:A1898, 0))="")=TRUE),  "",  INDEX(RulebookFields!D2:D1898, MATCH(D3415,RulebookFields!A2:A1898, 0))), "")</f>
        <v>Notes</v>
      </c>
      <c r="J3415" s="4" t="b">
        <f>_xlfn.IFNA(IF(((INDEX(RulebookFields!I2:I1898, MATCH(D3415,RulebookFields!A2:A1898, 0))="")=TRUE),  "",  INDEX(RulebookFields!I2:I1898, MATCH(D3415,RulebookFields!A2:A1898, 0))), "")</f>
        <v>0</v>
      </c>
      <c r="K3415" s="4" t="b">
        <f>AND(((F3415)=TRUE), ((J3415)=TRUE))</f>
        <v>0</v>
      </c>
      <c r="L3415" s="4" t="b">
        <f>AND(((G3415 &lt;&gt; "plain")=TRUE), ((G3415 &lt;&gt; "")=TRUE))</f>
        <v>0</v>
      </c>
      <c r="M3415" s="4" t="str">
        <f>IF(((E3415)=TRUE),  C3415 &amp; "|" &amp; H3415,  "")</f>
        <v>principal-knowledge-authority|TemplateApprovals</v>
      </c>
      <c r="N3415" s="3" t="s">
        <v>10004</v>
      </c>
    </row>
    <row r="3416">
      <c r="A3416" s="3" t="s">
        <v>13418</v>
      </c>
      <c r="B3416" s="4" t="str">
        <f>C3416 &amp; " -&gt; " &amp; D3416</f>
        <v>principal-knowledge-authority -&gt; TemplateApprovals.IsApprovalDecision</v>
      </c>
      <c r="C3416" s="3" t="s">
        <v>9774</v>
      </c>
      <c r="D3416" s="3" t="s">
        <v>4713</v>
      </c>
      <c r="E3416" s="3" t="b">
        <v>1</v>
      </c>
      <c r="F3416" s="3" t="b">
        <v>0</v>
      </c>
      <c r="G3416" s="3" t="s">
        <v>10003</v>
      </c>
      <c r="H3416" s="4" t="str">
        <f>_xlfn.IFNA(IF(((INDEX(RulebookFields!C2:C1898, MATCH(D3416,RulebookFields!A2:A1898, 0))="")=TRUE),  "",  INDEX(RulebookFields!C2:C1898, MATCH(D3416,RulebookFields!A2:A1898, 0))), "")</f>
        <v>TemplateApprovals</v>
      </c>
      <c r="I3416" s="4" t="str">
        <f>_xlfn.IFNA(IF(((INDEX(RulebookFields!D2:D1898, MATCH(D3416,RulebookFields!A2:A1898, 0))="")=TRUE),  "",  INDEX(RulebookFields!D2:D1898, MATCH(D3416,RulebookFields!A2:A1898, 0))), "")</f>
        <v>IsApprovalDecision</v>
      </c>
      <c r="J3416" s="4" t="b">
        <f>_xlfn.IFNA(IF(((INDEX(RulebookFields!I2:I1898, MATCH(D3416,RulebookFields!A2:A1898, 0))="")=TRUE),  "",  INDEX(RulebookFields!I2:I1898, MATCH(D3416,RulebookFields!A2:A1898, 0))), "")</f>
        <v>1</v>
      </c>
      <c r="K3416" s="4" t="b">
        <f>AND(((F3416)=TRUE), ((J3416)=TRUE))</f>
        <v>0</v>
      </c>
      <c r="L3416" s="4" t="b">
        <f>AND(((G3416 &lt;&gt; "plain")=TRUE), ((G3416 &lt;&gt; "")=TRUE))</f>
        <v>0</v>
      </c>
      <c r="M3416" s="4" t="str">
        <f>IF(((E3416)=TRUE),  C3416 &amp; "|" &amp; H3416,  "")</f>
        <v>principal-knowledge-authority|TemplateApprovals</v>
      </c>
      <c r="N3416" s="3" t="s">
        <v>10004</v>
      </c>
    </row>
    <row r="3417">
      <c r="A3417" s="3" t="s">
        <v>13419</v>
      </c>
      <c r="B3417" s="4" t="str">
        <f>C3417 &amp; " -&gt; " &amp; D3417</f>
        <v>principal-knowledge-authority -&gt; TemplateApprovals.TemplatePolicy</v>
      </c>
      <c r="C3417" s="3" t="s">
        <v>9774</v>
      </c>
      <c r="D3417" s="3" t="s">
        <v>4716</v>
      </c>
      <c r="E3417" s="3" t="b">
        <v>1</v>
      </c>
      <c r="F3417" s="3" t="b">
        <v>0</v>
      </c>
      <c r="G3417" s="3" t="s">
        <v>10003</v>
      </c>
      <c r="H3417" s="4" t="str">
        <f>_xlfn.IFNA(IF(((INDEX(RulebookFields!C2:C1898, MATCH(D3417,RulebookFields!A2:A1898, 0))="")=TRUE),  "",  INDEX(RulebookFields!C2:C1898, MATCH(D3417,RulebookFields!A2:A1898, 0))), "")</f>
        <v>TemplateApprovals</v>
      </c>
      <c r="I3417" s="4" t="str">
        <f>_xlfn.IFNA(IF(((INDEX(RulebookFields!D2:D1898, MATCH(D3417,RulebookFields!A2:A1898, 0))="")=TRUE),  "",  INDEX(RulebookFields!D2:D1898, MATCH(D3417,RulebookFields!A2:A1898, 0))), "")</f>
        <v>TemplatePolicy</v>
      </c>
      <c r="J3417" s="4" t="b">
        <f>_xlfn.IFNA(IF(((INDEX(RulebookFields!I2:I1898, MATCH(D3417,RulebookFields!A2:A1898, 0))="")=TRUE),  "",  INDEX(RulebookFields!I2:I1898, MATCH(D3417,RulebookFields!A2:A1898, 0))), "")</f>
        <v>1</v>
      </c>
      <c r="K3417" s="4" t="b">
        <f>AND(((F3417)=TRUE), ((J3417)=TRUE))</f>
        <v>0</v>
      </c>
      <c r="L3417" s="4" t="b">
        <f>AND(((G3417 &lt;&gt; "plain")=TRUE), ((G3417 &lt;&gt; "")=TRUE))</f>
        <v>0</v>
      </c>
      <c r="M3417" s="4" t="str">
        <f>IF(((E3417)=TRUE),  C3417 &amp; "|" &amp; H3417,  "")</f>
        <v>principal-knowledge-authority|TemplateApprovals</v>
      </c>
      <c r="N3417" s="3" t="s">
        <v>10004</v>
      </c>
    </row>
    <row r="3418">
      <c r="A3418" s="3" t="s">
        <v>13420</v>
      </c>
      <c r="B3418" s="4" t="str">
        <f>C3418 &amp; " -&gt; " &amp; D3418</f>
        <v>principal-knowledge-authority -&gt; TemplateApprovals.RequiredApprovalRole</v>
      </c>
      <c r="C3418" s="3" t="s">
        <v>9774</v>
      </c>
      <c r="D3418" s="3" t="s">
        <v>4718</v>
      </c>
      <c r="E3418" s="3" t="b">
        <v>1</v>
      </c>
      <c r="F3418" s="3" t="b">
        <v>0</v>
      </c>
      <c r="G3418" s="3" t="s">
        <v>10003</v>
      </c>
      <c r="H3418" s="4" t="str">
        <f>_xlfn.IFNA(IF(((INDEX(RulebookFields!C2:C1898, MATCH(D3418,RulebookFields!A2:A1898, 0))="")=TRUE),  "",  INDEX(RulebookFields!C2:C1898, MATCH(D3418,RulebookFields!A2:A1898, 0))), "")</f>
        <v>TemplateApprovals</v>
      </c>
      <c r="I3418" s="4" t="str">
        <f>_xlfn.IFNA(IF(((INDEX(RulebookFields!D2:D1898, MATCH(D3418,RulebookFields!A2:A1898, 0))="")=TRUE),  "",  INDEX(RulebookFields!D2:D1898, MATCH(D3418,RulebookFields!A2:A1898, 0))), "")</f>
        <v>RequiredApprovalRole</v>
      </c>
      <c r="J3418" s="4" t="b">
        <f>_xlfn.IFNA(IF(((INDEX(RulebookFields!I2:I1898, MATCH(D3418,RulebookFields!A2:A1898, 0))="")=TRUE),  "",  INDEX(RulebookFields!I2:I1898, MATCH(D3418,RulebookFields!A2:A1898, 0))), "")</f>
        <v>1</v>
      </c>
      <c r="K3418" s="4" t="b">
        <f>AND(((F3418)=TRUE), ((J3418)=TRUE))</f>
        <v>0</v>
      </c>
      <c r="L3418" s="4" t="b">
        <f>AND(((G3418 &lt;&gt; "plain")=TRUE), ((G3418 &lt;&gt; "")=TRUE))</f>
        <v>0</v>
      </c>
      <c r="M3418" s="4" t="str">
        <f>IF(((E3418)=TRUE),  C3418 &amp; "|" &amp; H3418,  "")</f>
        <v>principal-knowledge-authority|TemplateApprovals</v>
      </c>
      <c r="N3418" s="3" t="s">
        <v>10004</v>
      </c>
    </row>
    <row r="3419">
      <c r="A3419" s="3" t="s">
        <v>13421</v>
      </c>
      <c r="B3419" s="4" t="str">
        <f>C3419 &amp; " -&gt; " &amp; D3419</f>
        <v>principal-knowledge-authority -&gt; TemplateApprovals.IsDecidedByRequiredRole</v>
      </c>
      <c r="C3419" s="3" t="s">
        <v>9774</v>
      </c>
      <c r="D3419" s="3" t="s">
        <v>4720</v>
      </c>
      <c r="E3419" s="3" t="b">
        <v>1</v>
      </c>
      <c r="F3419" s="3" t="b">
        <v>0</v>
      </c>
      <c r="G3419" s="3" t="s">
        <v>10003</v>
      </c>
      <c r="H3419" s="4" t="str">
        <f>_xlfn.IFNA(IF(((INDEX(RulebookFields!C2:C1898, MATCH(D3419,RulebookFields!A2:A1898, 0))="")=TRUE),  "",  INDEX(RulebookFields!C2:C1898, MATCH(D3419,RulebookFields!A2:A1898, 0))), "")</f>
        <v>TemplateApprovals</v>
      </c>
      <c r="I3419" s="4" t="str">
        <f>_xlfn.IFNA(IF(((INDEX(RulebookFields!D2:D1898, MATCH(D3419,RulebookFields!A2:A1898, 0))="")=TRUE),  "",  INDEX(RulebookFields!D2:D1898, MATCH(D3419,RulebookFields!A2:A1898, 0))), "")</f>
        <v>IsDecidedByRequiredRole</v>
      </c>
      <c r="J3419" s="4" t="b">
        <f>_xlfn.IFNA(IF(((INDEX(RulebookFields!I2:I1898, MATCH(D3419,RulebookFields!A2:A1898, 0))="")=TRUE),  "",  INDEX(RulebookFields!I2:I1898, MATCH(D3419,RulebookFields!A2:A1898, 0))), "")</f>
        <v>1</v>
      </c>
      <c r="K3419" s="4" t="b">
        <f>AND(((F3419)=TRUE), ((J3419)=TRUE))</f>
        <v>0</v>
      </c>
      <c r="L3419" s="4" t="b">
        <f>AND(((G3419 &lt;&gt; "plain")=TRUE), ((G3419 &lt;&gt; "")=TRUE))</f>
        <v>0</v>
      </c>
      <c r="M3419" s="4" t="str">
        <f>IF(((E3419)=TRUE),  C3419 &amp; "|" &amp; H3419,  "")</f>
        <v>principal-knowledge-authority|TemplateApprovals</v>
      </c>
      <c r="N3419" s="3" t="s">
        <v>10004</v>
      </c>
    </row>
    <row r="3420">
      <c r="A3420" s="3" t="s">
        <v>13422</v>
      </c>
      <c r="B3420" s="4" t="str">
        <f>C3420 &amp; " -&gt; " &amp; D3420</f>
        <v>principal-knowledge-authority -&gt; TemplateApprovals.ValidApprovalTemplateKey</v>
      </c>
      <c r="C3420" s="3" t="s">
        <v>9774</v>
      </c>
      <c r="D3420" s="3" t="s">
        <v>4723</v>
      </c>
      <c r="E3420" s="3" t="b">
        <v>1</v>
      </c>
      <c r="F3420" s="3" t="b">
        <v>0</v>
      </c>
      <c r="G3420" s="3" t="s">
        <v>10003</v>
      </c>
      <c r="H3420" s="4" t="str">
        <f>_xlfn.IFNA(IF(((INDEX(RulebookFields!C2:C1898, MATCH(D3420,RulebookFields!A2:A1898, 0))="")=TRUE),  "",  INDEX(RulebookFields!C2:C1898, MATCH(D3420,RulebookFields!A2:A1898, 0))), "")</f>
        <v>TemplateApprovals</v>
      </c>
      <c r="I3420" s="4" t="str">
        <f>_xlfn.IFNA(IF(((INDEX(RulebookFields!D2:D1898, MATCH(D3420,RulebookFields!A2:A1898, 0))="")=TRUE),  "",  INDEX(RulebookFields!D2:D1898, MATCH(D3420,RulebookFields!A2:A1898, 0))), "")</f>
        <v>ValidApprovalTemplateKey</v>
      </c>
      <c r="J3420" s="4" t="b">
        <f>_xlfn.IFNA(IF(((INDEX(RulebookFields!I2:I1898, MATCH(D3420,RulebookFields!A2:A1898, 0))="")=TRUE),  "",  INDEX(RulebookFields!I2:I1898, MATCH(D3420,RulebookFields!A2:A1898, 0))), "")</f>
        <v>1</v>
      </c>
      <c r="K3420" s="4" t="b">
        <f>AND(((F3420)=TRUE), ((J3420)=TRUE))</f>
        <v>0</v>
      </c>
      <c r="L3420" s="4" t="b">
        <f>AND(((G3420 &lt;&gt; "plain")=TRUE), ((G3420 &lt;&gt; "")=TRUE))</f>
        <v>0</v>
      </c>
      <c r="M3420" s="4" t="str">
        <f>IF(((E3420)=TRUE),  C3420 &amp; "|" &amp; H3420,  "")</f>
        <v>principal-knowledge-authority|TemplateApprovals</v>
      </c>
      <c r="N3420" s="3" t="s">
        <v>10004</v>
      </c>
    </row>
    <row r="3421">
      <c r="A3421" s="3" t="s">
        <v>13423</v>
      </c>
      <c r="B3421" s="4" t="str">
        <f>C3421 &amp; " -&gt; " &amp; D3421</f>
        <v>principal-knowledge-authority -&gt; TemplateApprovals.SemanticTypeIri</v>
      </c>
      <c r="C3421" s="3" t="s">
        <v>9774</v>
      </c>
      <c r="D3421" s="3" t="s">
        <v>4726</v>
      </c>
      <c r="E3421" s="3" t="b">
        <v>1</v>
      </c>
      <c r="F3421" s="3" t="b">
        <v>0</v>
      </c>
      <c r="G3421" s="3" t="s">
        <v>10003</v>
      </c>
      <c r="H3421" s="4" t="str">
        <f>_xlfn.IFNA(IF(((INDEX(RulebookFields!C2:C1898, MATCH(D3421,RulebookFields!A2:A1898, 0))="")=TRUE),  "",  INDEX(RulebookFields!C2:C1898, MATCH(D3421,RulebookFields!A2:A1898, 0))), "")</f>
        <v>TemplateApprovals</v>
      </c>
      <c r="I3421" s="4" t="str">
        <f>_xlfn.IFNA(IF(((INDEX(RulebookFields!D2:D1898, MATCH(D3421,RulebookFields!A2:A1898, 0))="")=TRUE),  "",  INDEX(RulebookFields!D2:D1898, MATCH(D3421,RulebookFields!A2:A1898, 0))), "")</f>
        <v>SemanticTypeIri</v>
      </c>
      <c r="J3421" s="4" t="b">
        <f>_xlfn.IFNA(IF(((INDEX(RulebookFields!I2:I1898, MATCH(D3421,RulebookFields!A2:A1898, 0))="")=TRUE),  "",  INDEX(RulebookFields!I2:I1898, MATCH(D3421,RulebookFields!A2:A1898, 0))), "")</f>
        <v>0</v>
      </c>
      <c r="K3421" s="4" t="b">
        <f>AND(((F3421)=TRUE), ((J3421)=TRUE))</f>
        <v>0</v>
      </c>
      <c r="L3421" s="4" t="b">
        <f>AND(((G3421 &lt;&gt; "plain")=TRUE), ((G3421 &lt;&gt; "")=TRUE))</f>
        <v>0</v>
      </c>
      <c r="M3421" s="4" t="str">
        <f>IF(((E3421)=TRUE),  C3421 &amp; "|" &amp; H3421,  "")</f>
        <v>principal-knowledge-authority|TemplateApprovals</v>
      </c>
      <c r="N3421" s="3" t="s">
        <v>10004</v>
      </c>
    </row>
    <row r="3422">
      <c r="A3422" s="3" t="s">
        <v>13424</v>
      </c>
      <c r="B3422" s="4" t="str">
        <f>C3422 &amp; " -&gt; " &amp; D3422</f>
        <v>principal-knowledge-authority -&gt; TestCases.TestCaseId</v>
      </c>
      <c r="C3422" s="3" t="s">
        <v>9774</v>
      </c>
      <c r="D3422" s="3" t="s">
        <v>4208</v>
      </c>
      <c r="E3422" s="3" t="b">
        <v>1</v>
      </c>
      <c r="F3422" s="3" t="b">
        <v>0</v>
      </c>
      <c r="G3422" s="3" t="s">
        <v>10003</v>
      </c>
      <c r="H3422" s="4" t="str">
        <f>_xlfn.IFNA(IF(((INDEX(RulebookFields!C2:C1898, MATCH(D3422,RulebookFields!A2:A1898, 0))="")=TRUE),  "",  INDEX(RulebookFields!C2:C1898, MATCH(D3422,RulebookFields!A2:A1898, 0))), "")</f>
        <v>TestCases</v>
      </c>
      <c r="I3422" s="4" t="str">
        <f>_xlfn.IFNA(IF(((INDEX(RulebookFields!D2:D1898, MATCH(D3422,RulebookFields!A2:A1898, 0))="")=TRUE),  "",  INDEX(RulebookFields!D2:D1898, MATCH(D3422,RulebookFields!A2:A1898, 0))), "")</f>
        <v>TestCaseId</v>
      </c>
      <c r="J3422" s="4" t="b">
        <f>_xlfn.IFNA(IF(((INDEX(RulebookFields!I2:I1898, MATCH(D3422,RulebookFields!A2:A1898, 0))="")=TRUE),  "",  INDEX(RulebookFields!I2:I1898, MATCH(D3422,RulebookFields!A2:A1898, 0))), "")</f>
        <v>0</v>
      </c>
      <c r="K3422" s="4" t="b">
        <f>AND(((F3422)=TRUE), ((J3422)=TRUE))</f>
        <v>0</v>
      </c>
      <c r="L3422" s="4" t="b">
        <f>AND(((G3422 &lt;&gt; "plain")=TRUE), ((G3422 &lt;&gt; "")=TRUE))</f>
        <v>0</v>
      </c>
      <c r="M3422" s="4" t="str">
        <f>IF(((E3422)=TRUE),  C3422 &amp; "|" &amp; H3422,  "")</f>
        <v>principal-knowledge-authority|TestCases</v>
      </c>
      <c r="N3422" s="3" t="s">
        <v>10004</v>
      </c>
    </row>
    <row r="3423">
      <c r="A3423" s="3" t="s">
        <v>13425</v>
      </c>
      <c r="B3423" s="4" t="str">
        <f>C3423 &amp; " -&gt; " &amp; D3423</f>
        <v>principal-knowledge-authority -&gt; TestCases.Name</v>
      </c>
      <c r="C3423" s="3" t="s">
        <v>9774</v>
      </c>
      <c r="D3423" s="3" t="s">
        <v>4211</v>
      </c>
      <c r="E3423" s="3" t="b">
        <v>1</v>
      </c>
      <c r="F3423" s="3" t="b">
        <v>0</v>
      </c>
      <c r="G3423" s="3" t="s">
        <v>10003</v>
      </c>
      <c r="H3423" s="4" t="str">
        <f>_xlfn.IFNA(IF(((INDEX(RulebookFields!C2:C1898, MATCH(D3423,RulebookFields!A2:A1898, 0))="")=TRUE),  "",  INDEX(RulebookFields!C2:C1898, MATCH(D3423,RulebookFields!A2:A1898, 0))), "")</f>
        <v>TestCases</v>
      </c>
      <c r="I3423" s="4" t="str">
        <f>_xlfn.IFNA(IF(((INDEX(RulebookFields!D2:D1898, MATCH(D3423,RulebookFields!A2:A1898, 0))="")=TRUE),  "",  INDEX(RulebookFields!D2:D1898, MATCH(D3423,RulebookFields!A2:A1898, 0))), "")</f>
        <v>Name</v>
      </c>
      <c r="J3423" s="4" t="b">
        <f>_xlfn.IFNA(IF(((INDEX(RulebookFields!I2:I1898, MATCH(D3423,RulebookFields!A2:A1898, 0))="")=TRUE),  "",  INDEX(RulebookFields!I2:I1898, MATCH(D3423,RulebookFields!A2:A1898, 0))), "")</f>
        <v>1</v>
      </c>
      <c r="K3423" s="4" t="b">
        <f>AND(((F3423)=TRUE), ((J3423)=TRUE))</f>
        <v>0</v>
      </c>
      <c r="L3423" s="4" t="b">
        <f>AND(((G3423 &lt;&gt; "plain")=TRUE), ((G3423 &lt;&gt; "")=TRUE))</f>
        <v>0</v>
      </c>
      <c r="M3423" s="4" t="str">
        <f>IF(((E3423)=TRUE),  C3423 &amp; "|" &amp; H3423,  "")</f>
        <v>principal-knowledge-authority|TestCases</v>
      </c>
      <c r="N3423" s="3" t="s">
        <v>10004</v>
      </c>
    </row>
    <row r="3424">
      <c r="A3424" s="3" t="s">
        <v>13426</v>
      </c>
      <c r="B3424" s="4" t="str">
        <f>C3424 &amp; " -&gt; " &amp; D3424</f>
        <v>principal-knowledge-authority -&gt; TestCases.TestKind</v>
      </c>
      <c r="C3424" s="3" t="s">
        <v>9774</v>
      </c>
      <c r="D3424" s="3" t="s">
        <v>4213</v>
      </c>
      <c r="E3424" s="3" t="b">
        <v>1</v>
      </c>
      <c r="F3424" s="3" t="b">
        <v>0</v>
      </c>
      <c r="G3424" s="3" t="s">
        <v>10003</v>
      </c>
      <c r="H3424" s="4" t="str">
        <f>_xlfn.IFNA(IF(((INDEX(RulebookFields!C2:C1898, MATCH(D3424,RulebookFields!A2:A1898, 0))="")=TRUE),  "",  INDEX(RulebookFields!C2:C1898, MATCH(D3424,RulebookFields!A2:A1898, 0))), "")</f>
        <v>TestCases</v>
      </c>
      <c r="I3424" s="4" t="str">
        <f>_xlfn.IFNA(IF(((INDEX(RulebookFields!D2:D1898, MATCH(D3424,RulebookFields!A2:A1898, 0))="")=TRUE),  "",  INDEX(RulebookFields!D2:D1898, MATCH(D3424,RulebookFields!A2:A1898, 0))), "")</f>
        <v>TestKind</v>
      </c>
      <c r="J3424" s="4" t="b">
        <f>_xlfn.IFNA(IF(((INDEX(RulebookFields!I2:I1898, MATCH(D3424,RulebookFields!A2:A1898, 0))="")=TRUE),  "",  INDEX(RulebookFields!I2:I1898, MATCH(D3424,RulebookFields!A2:A1898, 0))), "")</f>
        <v>0</v>
      </c>
      <c r="K3424" s="4" t="b">
        <f>AND(((F3424)=TRUE), ((J3424)=TRUE))</f>
        <v>0</v>
      </c>
      <c r="L3424" s="4" t="b">
        <f>AND(((G3424 &lt;&gt; "plain")=TRUE), ((G3424 &lt;&gt; "")=TRUE))</f>
        <v>0</v>
      </c>
      <c r="M3424" s="4" t="str">
        <f>IF(((E3424)=TRUE),  C3424 &amp; "|" &amp; H3424,  "")</f>
        <v>principal-knowledge-authority|TestCases</v>
      </c>
      <c r="N3424" s="3" t="s">
        <v>10004</v>
      </c>
    </row>
    <row r="3425">
      <c r="A3425" s="3" t="s">
        <v>13427</v>
      </c>
      <c r="B3425" s="4" t="str">
        <f>C3425 &amp; " -&gt; " &amp; D3425</f>
        <v>principal-knowledge-authority -&gt; TestCases.Subject</v>
      </c>
      <c r="C3425" s="3" t="s">
        <v>9774</v>
      </c>
      <c r="D3425" s="3" t="s">
        <v>4215</v>
      </c>
      <c r="E3425" s="3" t="b">
        <v>1</v>
      </c>
      <c r="F3425" s="3" t="b">
        <v>0</v>
      </c>
      <c r="G3425" s="3" t="s">
        <v>10003</v>
      </c>
      <c r="H3425" s="4" t="str">
        <f>_xlfn.IFNA(IF(((INDEX(RulebookFields!C2:C1898, MATCH(D3425,RulebookFields!A2:A1898, 0))="")=TRUE),  "",  INDEX(RulebookFields!C2:C1898, MATCH(D3425,RulebookFields!A2:A1898, 0))), "")</f>
        <v>TestCases</v>
      </c>
      <c r="I3425" s="4" t="str">
        <f>_xlfn.IFNA(IF(((INDEX(RulebookFields!D2:D1898, MATCH(D3425,RulebookFields!A2:A1898, 0))="")=TRUE),  "",  INDEX(RulebookFields!D2:D1898, MATCH(D3425,RulebookFields!A2:A1898, 0))), "")</f>
        <v>Subject</v>
      </c>
      <c r="J3425" s="4" t="b">
        <f>_xlfn.IFNA(IF(((INDEX(RulebookFields!I2:I1898, MATCH(D3425,RulebookFields!A2:A1898, 0))="")=TRUE),  "",  INDEX(RulebookFields!I2:I1898, MATCH(D3425,RulebookFields!A2:A1898, 0))), "")</f>
        <v>0</v>
      </c>
      <c r="K3425" s="4" t="b">
        <f>AND(((F3425)=TRUE), ((J3425)=TRUE))</f>
        <v>0</v>
      </c>
      <c r="L3425" s="4" t="b">
        <f>AND(((G3425 &lt;&gt; "plain")=TRUE), ((G3425 &lt;&gt; "")=TRUE))</f>
        <v>0</v>
      </c>
      <c r="M3425" s="4" t="str">
        <f>IF(((E3425)=TRUE),  C3425 &amp; "|" &amp; H3425,  "")</f>
        <v>principal-knowledge-authority|TestCases</v>
      </c>
      <c r="N3425" s="3" t="s">
        <v>10004</v>
      </c>
    </row>
    <row r="3426">
      <c r="A3426" s="3" t="s">
        <v>13428</v>
      </c>
      <c r="B3426" s="4" t="str">
        <f>C3426 &amp; " -&gt; " &amp; D3426</f>
        <v>principal-knowledge-authority -&gt; TestCases.TargetTable</v>
      </c>
      <c r="C3426" s="3" t="s">
        <v>9774</v>
      </c>
      <c r="D3426" s="3" t="s">
        <v>4217</v>
      </c>
      <c r="E3426" s="3" t="b">
        <v>1</v>
      </c>
      <c r="F3426" s="3" t="b">
        <v>0</v>
      </c>
      <c r="G3426" s="3" t="s">
        <v>10003</v>
      </c>
      <c r="H3426" s="4" t="str">
        <f>_xlfn.IFNA(IF(((INDEX(RulebookFields!C2:C1898, MATCH(D3426,RulebookFields!A2:A1898, 0))="")=TRUE),  "",  INDEX(RulebookFields!C2:C1898, MATCH(D3426,RulebookFields!A2:A1898, 0))), "")</f>
        <v>TestCases</v>
      </c>
      <c r="I3426" s="4" t="str">
        <f>_xlfn.IFNA(IF(((INDEX(RulebookFields!D2:D1898, MATCH(D3426,RulebookFields!A2:A1898, 0))="")=TRUE),  "",  INDEX(RulebookFields!D2:D1898, MATCH(D3426,RulebookFields!A2:A1898, 0))), "")</f>
        <v>TargetTable</v>
      </c>
      <c r="J3426" s="4" t="b">
        <f>_xlfn.IFNA(IF(((INDEX(RulebookFields!I2:I1898, MATCH(D3426,RulebookFields!A2:A1898, 0))="")=TRUE),  "",  INDEX(RulebookFields!I2:I1898, MATCH(D3426,RulebookFields!A2:A1898, 0))), "")</f>
        <v>0</v>
      </c>
      <c r="K3426" s="4" t="b">
        <f>AND(((F3426)=TRUE), ((J3426)=TRUE))</f>
        <v>0</v>
      </c>
      <c r="L3426" s="4" t="b">
        <f>AND(((G3426 &lt;&gt; "plain")=TRUE), ((G3426 &lt;&gt; "")=TRUE))</f>
        <v>0</v>
      </c>
      <c r="M3426" s="4" t="str">
        <f>IF(((E3426)=TRUE),  C3426 &amp; "|" &amp; H3426,  "")</f>
        <v>principal-knowledge-authority|TestCases</v>
      </c>
      <c r="N3426" s="3" t="s">
        <v>10004</v>
      </c>
    </row>
    <row r="3427">
      <c r="A3427" s="3" t="s">
        <v>13429</v>
      </c>
      <c r="B3427" s="4" t="str">
        <f>C3427 &amp; " -&gt; " &amp; D3427</f>
        <v>principal-knowledge-authority -&gt; TestCases.TargetField</v>
      </c>
      <c r="C3427" s="3" t="s">
        <v>9774</v>
      </c>
      <c r="D3427" s="3" t="s">
        <v>4218</v>
      </c>
      <c r="E3427" s="3" t="b">
        <v>1</v>
      </c>
      <c r="F3427" s="3" t="b">
        <v>0</v>
      </c>
      <c r="G3427" s="3" t="s">
        <v>10003</v>
      </c>
      <c r="H3427" s="4" t="str">
        <f>_xlfn.IFNA(IF(((INDEX(RulebookFields!C2:C1898, MATCH(D3427,RulebookFields!A2:A1898, 0))="")=TRUE),  "",  INDEX(RulebookFields!C2:C1898, MATCH(D3427,RulebookFields!A2:A1898, 0))), "")</f>
        <v>TestCases</v>
      </c>
      <c r="I3427" s="4" t="str">
        <f>_xlfn.IFNA(IF(((INDEX(RulebookFields!D2:D1898, MATCH(D3427,RulebookFields!A2:A1898, 0))="")=TRUE),  "",  INDEX(RulebookFields!D2:D1898, MATCH(D3427,RulebookFields!A2:A1898, 0))), "")</f>
        <v>TargetField</v>
      </c>
      <c r="J3427" s="4" t="b">
        <f>_xlfn.IFNA(IF(((INDEX(RulebookFields!I2:I1898, MATCH(D3427,RulebookFields!A2:A1898, 0))="")=TRUE),  "",  INDEX(RulebookFields!I2:I1898, MATCH(D3427,RulebookFields!A2:A1898, 0))), "")</f>
        <v>0</v>
      </c>
      <c r="K3427" s="4" t="b">
        <f>AND(((F3427)=TRUE), ((J3427)=TRUE))</f>
        <v>0</v>
      </c>
      <c r="L3427" s="4" t="b">
        <f>AND(((G3427 &lt;&gt; "plain")=TRUE), ((G3427 &lt;&gt; "")=TRUE))</f>
        <v>0</v>
      </c>
      <c r="M3427" s="4" t="str">
        <f>IF(((E3427)=TRUE),  C3427 &amp; "|" &amp; H3427,  "")</f>
        <v>principal-knowledge-authority|TestCases</v>
      </c>
      <c r="N3427" s="3" t="s">
        <v>10004</v>
      </c>
    </row>
    <row r="3428">
      <c r="A3428" s="3" t="s">
        <v>13430</v>
      </c>
      <c r="B3428" s="4" t="str">
        <f>C3428 &amp; " -&gt; " &amp; D3428</f>
        <v>principal-knowledge-authority -&gt; TestCases.Assertion</v>
      </c>
      <c r="C3428" s="3" t="s">
        <v>9774</v>
      </c>
      <c r="D3428" s="3" t="s">
        <v>4220</v>
      </c>
      <c r="E3428" s="3" t="b">
        <v>1</v>
      </c>
      <c r="F3428" s="3" t="b">
        <v>0</v>
      </c>
      <c r="G3428" s="3" t="s">
        <v>10003</v>
      </c>
      <c r="H3428" s="4" t="str">
        <f>_xlfn.IFNA(IF(((INDEX(RulebookFields!C2:C1898, MATCH(D3428,RulebookFields!A2:A1898, 0))="")=TRUE),  "",  INDEX(RulebookFields!C2:C1898, MATCH(D3428,RulebookFields!A2:A1898, 0))), "")</f>
        <v>TestCases</v>
      </c>
      <c r="I3428" s="4" t="str">
        <f>_xlfn.IFNA(IF(((INDEX(RulebookFields!D2:D1898, MATCH(D3428,RulebookFields!A2:A1898, 0))="")=TRUE),  "",  INDEX(RulebookFields!D2:D1898, MATCH(D3428,RulebookFields!A2:A1898, 0))), "")</f>
        <v>Assertion</v>
      </c>
      <c r="J3428" s="4" t="b">
        <f>_xlfn.IFNA(IF(((INDEX(RulebookFields!I2:I1898, MATCH(D3428,RulebookFields!A2:A1898, 0))="")=TRUE),  "",  INDEX(RulebookFields!I2:I1898, MATCH(D3428,RulebookFields!A2:A1898, 0))), "")</f>
        <v>0</v>
      </c>
      <c r="K3428" s="4" t="b">
        <f>AND(((F3428)=TRUE), ((J3428)=TRUE))</f>
        <v>0</v>
      </c>
      <c r="L3428" s="4" t="b">
        <f>AND(((G3428 &lt;&gt; "plain")=TRUE), ((G3428 &lt;&gt; "")=TRUE))</f>
        <v>0</v>
      </c>
      <c r="M3428" s="4" t="str">
        <f>IF(((E3428)=TRUE),  C3428 &amp; "|" &amp; H3428,  "")</f>
        <v>principal-knowledge-authority|TestCases</v>
      </c>
      <c r="N3428" s="3" t="s">
        <v>10004</v>
      </c>
    </row>
    <row r="3429">
      <c r="A3429" s="3" t="s">
        <v>13431</v>
      </c>
      <c r="B3429" s="4" t="str">
        <f>C3429 &amp; " -&gt; " &amp; D3429</f>
        <v>principal-knowledge-authority -&gt; TestCases.DefendsQuestion</v>
      </c>
      <c r="C3429" s="3" t="s">
        <v>9774</v>
      </c>
      <c r="D3429" s="3" t="s">
        <v>4222</v>
      </c>
      <c r="E3429" s="3" t="b">
        <v>1</v>
      </c>
      <c r="F3429" s="3" t="b">
        <v>0</v>
      </c>
      <c r="G3429" s="3" t="s">
        <v>10003</v>
      </c>
      <c r="H3429" s="4" t="str">
        <f>_xlfn.IFNA(IF(((INDEX(RulebookFields!C2:C1898, MATCH(D3429,RulebookFields!A2:A1898, 0))="")=TRUE),  "",  INDEX(RulebookFields!C2:C1898, MATCH(D3429,RulebookFields!A2:A1898, 0))), "")</f>
        <v>TestCases</v>
      </c>
      <c r="I3429" s="4" t="str">
        <f>_xlfn.IFNA(IF(((INDEX(RulebookFields!D2:D1898, MATCH(D3429,RulebookFields!A2:A1898, 0))="")=TRUE),  "",  INDEX(RulebookFields!D2:D1898, MATCH(D3429,RulebookFields!A2:A1898, 0))), "")</f>
        <v>DefendsQuestion</v>
      </c>
      <c r="J3429" s="4" t="b">
        <f>_xlfn.IFNA(IF(((INDEX(RulebookFields!I2:I1898, MATCH(D3429,RulebookFields!A2:A1898, 0))="")=TRUE),  "",  INDEX(RulebookFields!I2:I1898, MATCH(D3429,RulebookFields!A2:A1898, 0))), "")</f>
        <v>0</v>
      </c>
      <c r="K3429" s="4" t="b">
        <f>AND(((F3429)=TRUE), ((J3429)=TRUE))</f>
        <v>0</v>
      </c>
      <c r="L3429" s="4" t="b">
        <f>AND(((G3429 &lt;&gt; "plain")=TRUE), ((G3429 &lt;&gt; "")=TRUE))</f>
        <v>0</v>
      </c>
      <c r="M3429" s="4" t="str">
        <f>IF(((E3429)=TRUE),  C3429 &amp; "|" &amp; H3429,  "")</f>
        <v>principal-knowledge-authority|TestCases</v>
      </c>
      <c r="N3429" s="3" t="s">
        <v>10004</v>
      </c>
    </row>
    <row r="3430">
      <c r="A3430" s="3" t="s">
        <v>13432</v>
      </c>
      <c r="B3430" s="4" t="str">
        <f>C3430 &amp; " -&gt; " &amp; D3430</f>
        <v>principal-knowledge-authority -&gt; TestCases.Suite</v>
      </c>
      <c r="C3430" s="3" t="s">
        <v>9774</v>
      </c>
      <c r="D3430" s="3" t="s">
        <v>4224</v>
      </c>
      <c r="E3430" s="3" t="b">
        <v>1</v>
      </c>
      <c r="F3430" s="3" t="b">
        <v>0</v>
      </c>
      <c r="G3430" s="3" t="s">
        <v>10003</v>
      </c>
      <c r="H3430" s="4" t="str">
        <f>_xlfn.IFNA(IF(((INDEX(RulebookFields!C2:C1898, MATCH(D3430,RulebookFields!A2:A1898, 0))="")=TRUE),  "",  INDEX(RulebookFields!C2:C1898, MATCH(D3430,RulebookFields!A2:A1898, 0))), "")</f>
        <v>TestCases</v>
      </c>
      <c r="I3430" s="4" t="str">
        <f>_xlfn.IFNA(IF(((INDEX(RulebookFields!D2:D1898, MATCH(D3430,RulebookFields!A2:A1898, 0))="")=TRUE),  "",  INDEX(RulebookFields!D2:D1898, MATCH(D3430,RulebookFields!A2:A1898, 0))), "")</f>
        <v>Suite</v>
      </c>
      <c r="J3430" s="4" t="b">
        <f>_xlfn.IFNA(IF(((INDEX(RulebookFields!I2:I1898, MATCH(D3430,RulebookFields!A2:A1898, 0))="")=TRUE),  "",  INDEX(RulebookFields!I2:I1898, MATCH(D3430,RulebookFields!A2:A1898, 0))), "")</f>
        <v>0</v>
      </c>
      <c r="K3430" s="4" t="b">
        <f>AND(((F3430)=TRUE), ((J3430)=TRUE))</f>
        <v>0</v>
      </c>
      <c r="L3430" s="4" t="b">
        <f>AND(((G3430 &lt;&gt; "plain")=TRUE), ((G3430 &lt;&gt; "")=TRUE))</f>
        <v>0</v>
      </c>
      <c r="M3430" s="4" t="str">
        <f>IF(((E3430)=TRUE),  C3430 &amp; "|" &amp; H3430,  "")</f>
        <v>principal-knowledge-authority|TestCases</v>
      </c>
      <c r="N3430" s="3" t="s">
        <v>10004</v>
      </c>
    </row>
    <row r="3431">
      <c r="A3431" s="3" t="s">
        <v>13433</v>
      </c>
      <c r="B3431" s="4" t="str">
        <f>C3431 &amp; " -&gt; " &amp; D3431</f>
        <v>principal-knowledge-authority -&gt; TestCases.Severity</v>
      </c>
      <c r="C3431" s="3" t="s">
        <v>9774</v>
      </c>
      <c r="D3431" s="3" t="s">
        <v>4226</v>
      </c>
      <c r="E3431" s="3" t="b">
        <v>1</v>
      </c>
      <c r="F3431" s="3" t="b">
        <v>0</v>
      </c>
      <c r="G3431" s="3" t="s">
        <v>10003</v>
      </c>
      <c r="H3431" s="4" t="str">
        <f>_xlfn.IFNA(IF(((INDEX(RulebookFields!C2:C1898, MATCH(D3431,RulebookFields!A2:A1898, 0))="")=TRUE),  "",  INDEX(RulebookFields!C2:C1898, MATCH(D3431,RulebookFields!A2:A1898, 0))), "")</f>
        <v>TestCases</v>
      </c>
      <c r="I3431" s="4" t="str">
        <f>_xlfn.IFNA(IF(((INDEX(RulebookFields!D2:D1898, MATCH(D3431,RulebookFields!A2:A1898, 0))="")=TRUE),  "",  INDEX(RulebookFields!D2:D1898, MATCH(D3431,RulebookFields!A2:A1898, 0))), "")</f>
        <v>Severity</v>
      </c>
      <c r="J3431" s="4" t="b">
        <f>_xlfn.IFNA(IF(((INDEX(RulebookFields!I2:I1898, MATCH(D3431,RulebookFields!A2:A1898, 0))="")=TRUE),  "",  INDEX(RulebookFields!I2:I1898, MATCH(D3431,RulebookFields!A2:A1898, 0))), "")</f>
        <v>0</v>
      </c>
      <c r="K3431" s="4" t="b">
        <f>AND(((F3431)=TRUE), ((J3431)=TRUE))</f>
        <v>0</v>
      </c>
      <c r="L3431" s="4" t="b">
        <f>AND(((G3431 &lt;&gt; "plain")=TRUE), ((G3431 &lt;&gt; "")=TRUE))</f>
        <v>0</v>
      </c>
      <c r="M3431" s="4" t="str">
        <f>IF(((E3431)=TRUE),  C3431 &amp; "|" &amp; H3431,  "")</f>
        <v>principal-knowledge-authority|TestCases</v>
      </c>
      <c r="N3431" s="3" t="s">
        <v>10004</v>
      </c>
    </row>
    <row r="3432">
      <c r="A3432" s="3" t="s">
        <v>13434</v>
      </c>
      <c r="B3432" s="4" t="str">
        <f>C3432 &amp; " -&gt; " &amp; D3432</f>
        <v>principal-knowledge-authority -&gt; TestCases.IsBlocking</v>
      </c>
      <c r="C3432" s="3" t="s">
        <v>9774</v>
      </c>
      <c r="D3432" s="3" t="s">
        <v>4227</v>
      </c>
      <c r="E3432" s="3" t="b">
        <v>1</v>
      </c>
      <c r="F3432" s="3" t="b">
        <v>0</v>
      </c>
      <c r="G3432" s="3" t="s">
        <v>10003</v>
      </c>
      <c r="H3432" s="4" t="str">
        <f>_xlfn.IFNA(IF(((INDEX(RulebookFields!C2:C1898, MATCH(D3432,RulebookFields!A2:A1898, 0))="")=TRUE),  "",  INDEX(RulebookFields!C2:C1898, MATCH(D3432,RulebookFields!A2:A1898, 0))), "")</f>
        <v>TestCases</v>
      </c>
      <c r="I3432" s="4" t="str">
        <f>_xlfn.IFNA(IF(((INDEX(RulebookFields!D2:D1898, MATCH(D3432,RulebookFields!A2:A1898, 0))="")=TRUE),  "",  INDEX(RulebookFields!D2:D1898, MATCH(D3432,RulebookFields!A2:A1898, 0))), "")</f>
        <v>IsBlocking</v>
      </c>
      <c r="J3432" s="4" t="b">
        <f>_xlfn.IFNA(IF(((INDEX(RulebookFields!I2:I1898, MATCH(D3432,RulebookFields!A2:A1898, 0))="")=TRUE),  "",  INDEX(RulebookFields!I2:I1898, MATCH(D3432,RulebookFields!A2:A1898, 0))), "")</f>
        <v>1</v>
      </c>
      <c r="K3432" s="4" t="b">
        <f>AND(((F3432)=TRUE), ((J3432)=TRUE))</f>
        <v>0</v>
      </c>
      <c r="L3432" s="4" t="b">
        <f>AND(((G3432 &lt;&gt; "plain")=TRUE), ((G3432 &lt;&gt; "")=TRUE))</f>
        <v>0</v>
      </c>
      <c r="M3432" s="4" t="str">
        <f>IF(((E3432)=TRUE),  C3432 &amp; "|" &amp; H3432,  "")</f>
        <v>principal-knowledge-authority|TestCases</v>
      </c>
      <c r="N3432" s="3" t="s">
        <v>10004</v>
      </c>
    </row>
    <row r="3433">
      <c r="A3433" s="3" t="s">
        <v>13435</v>
      </c>
      <c r="B3433" s="4" t="str">
        <f>C3433 &amp; " -&gt; " &amp; D3433</f>
        <v>principal-knowledge-authority -&gt; TestCases.LastOutcome</v>
      </c>
      <c r="C3433" s="3" t="s">
        <v>9774</v>
      </c>
      <c r="D3433" s="3" t="s">
        <v>4229</v>
      </c>
      <c r="E3433" s="3" t="b">
        <v>1</v>
      </c>
      <c r="F3433" s="3" t="b">
        <v>0</v>
      </c>
      <c r="G3433" s="3" t="s">
        <v>10003</v>
      </c>
      <c r="H3433" s="4" t="str">
        <f>_xlfn.IFNA(IF(((INDEX(RulebookFields!C2:C1898, MATCH(D3433,RulebookFields!A2:A1898, 0))="")=TRUE),  "",  INDEX(RulebookFields!C2:C1898, MATCH(D3433,RulebookFields!A2:A1898, 0))), "")</f>
        <v>TestCases</v>
      </c>
      <c r="I3433" s="4" t="str">
        <f>_xlfn.IFNA(IF(((INDEX(RulebookFields!D2:D1898, MATCH(D3433,RulebookFields!A2:A1898, 0))="")=TRUE),  "",  INDEX(RulebookFields!D2:D1898, MATCH(D3433,RulebookFields!A2:A1898, 0))), "")</f>
        <v>LastOutcome</v>
      </c>
      <c r="J3433" s="4" t="b">
        <f>_xlfn.IFNA(IF(((INDEX(RulebookFields!I2:I1898, MATCH(D3433,RulebookFields!A2:A1898, 0))="")=TRUE),  "",  INDEX(RulebookFields!I2:I1898, MATCH(D3433,RulebookFields!A2:A1898, 0))), "")</f>
        <v>0</v>
      </c>
      <c r="K3433" s="4" t="b">
        <f>AND(((F3433)=TRUE), ((J3433)=TRUE))</f>
        <v>0</v>
      </c>
      <c r="L3433" s="4" t="b">
        <f>AND(((G3433 &lt;&gt; "plain")=TRUE), ((G3433 &lt;&gt; "")=TRUE))</f>
        <v>0</v>
      </c>
      <c r="M3433" s="4" t="str">
        <f>IF(((E3433)=TRUE),  C3433 &amp; "|" &amp; H3433,  "")</f>
        <v>principal-knowledge-authority|TestCases</v>
      </c>
      <c r="N3433" s="3" t="s">
        <v>10004</v>
      </c>
    </row>
    <row r="3434">
      <c r="A3434" s="3" t="s">
        <v>13436</v>
      </c>
      <c r="B3434" s="4" t="str">
        <f>C3434 &amp; " -&gt; " &amp; D3434</f>
        <v>principal-knowledge-authority -&gt; TestCases.LastDetail</v>
      </c>
      <c r="C3434" s="3" t="s">
        <v>9774</v>
      </c>
      <c r="D3434" s="3" t="s">
        <v>4231</v>
      </c>
      <c r="E3434" s="3" t="b">
        <v>1</v>
      </c>
      <c r="F3434" s="3" t="b">
        <v>0</v>
      </c>
      <c r="G3434" s="3" t="s">
        <v>10003</v>
      </c>
      <c r="H3434" s="4" t="str">
        <f>_xlfn.IFNA(IF(((INDEX(RulebookFields!C2:C1898, MATCH(D3434,RulebookFields!A2:A1898, 0))="")=TRUE),  "",  INDEX(RulebookFields!C2:C1898, MATCH(D3434,RulebookFields!A2:A1898, 0))), "")</f>
        <v>TestCases</v>
      </c>
      <c r="I3434" s="4" t="str">
        <f>_xlfn.IFNA(IF(((INDEX(RulebookFields!D2:D1898, MATCH(D3434,RulebookFields!A2:A1898, 0))="")=TRUE),  "",  INDEX(RulebookFields!D2:D1898, MATCH(D3434,RulebookFields!A2:A1898, 0))), "")</f>
        <v>LastDetail</v>
      </c>
      <c r="J3434" s="4" t="b">
        <f>_xlfn.IFNA(IF(((INDEX(RulebookFields!I2:I1898, MATCH(D3434,RulebookFields!A2:A1898, 0))="")=TRUE),  "",  INDEX(RulebookFields!I2:I1898, MATCH(D3434,RulebookFields!A2:A1898, 0))), "")</f>
        <v>0</v>
      </c>
      <c r="K3434" s="4" t="b">
        <f>AND(((F3434)=TRUE), ((J3434)=TRUE))</f>
        <v>0</v>
      </c>
      <c r="L3434" s="4" t="b">
        <f>AND(((G3434 &lt;&gt; "plain")=TRUE), ((G3434 &lt;&gt; "")=TRUE))</f>
        <v>0</v>
      </c>
      <c r="M3434" s="4" t="str">
        <f>IF(((E3434)=TRUE),  C3434 &amp; "|" &amp; H3434,  "")</f>
        <v>principal-knowledge-authority|TestCases</v>
      </c>
      <c r="N3434" s="3" t="s">
        <v>10004</v>
      </c>
    </row>
    <row r="3435">
      <c r="A3435" s="3" t="s">
        <v>13437</v>
      </c>
      <c r="B3435" s="4" t="str">
        <f>C3435 &amp; " -&gt; " &amp; D3435</f>
        <v>principal-knowledge-authority -&gt; TestCases.LastRunAt</v>
      </c>
      <c r="C3435" s="3" t="s">
        <v>9774</v>
      </c>
      <c r="D3435" s="3" t="s">
        <v>4233</v>
      </c>
      <c r="E3435" s="3" t="b">
        <v>1</v>
      </c>
      <c r="F3435" s="3" t="b">
        <v>0</v>
      </c>
      <c r="G3435" s="3" t="s">
        <v>10003</v>
      </c>
      <c r="H3435" s="4" t="str">
        <f>_xlfn.IFNA(IF(((INDEX(RulebookFields!C2:C1898, MATCH(D3435,RulebookFields!A2:A1898, 0))="")=TRUE),  "",  INDEX(RulebookFields!C2:C1898, MATCH(D3435,RulebookFields!A2:A1898, 0))), "")</f>
        <v>TestCases</v>
      </c>
      <c r="I3435" s="4" t="str">
        <f>_xlfn.IFNA(IF(((INDEX(RulebookFields!D2:D1898, MATCH(D3435,RulebookFields!A2:A1898, 0))="")=TRUE),  "",  INDEX(RulebookFields!D2:D1898, MATCH(D3435,RulebookFields!A2:A1898, 0))), "")</f>
        <v>LastRunAt</v>
      </c>
      <c r="J3435" s="4" t="b">
        <f>_xlfn.IFNA(IF(((INDEX(RulebookFields!I2:I1898, MATCH(D3435,RulebookFields!A2:A1898, 0))="")=TRUE),  "",  INDEX(RulebookFields!I2:I1898, MATCH(D3435,RulebookFields!A2:A1898, 0))), "")</f>
        <v>0</v>
      </c>
      <c r="K3435" s="4" t="b">
        <f>AND(((F3435)=TRUE), ((J3435)=TRUE))</f>
        <v>0</v>
      </c>
      <c r="L3435" s="4" t="b">
        <f>AND(((G3435 &lt;&gt; "plain")=TRUE), ((G3435 &lt;&gt; "")=TRUE))</f>
        <v>0</v>
      </c>
      <c r="M3435" s="4" t="str">
        <f>IF(((E3435)=TRUE),  C3435 &amp; "|" &amp; H3435,  "")</f>
        <v>principal-knowledge-authority|TestCases</v>
      </c>
      <c r="N3435" s="3" t="s">
        <v>10004</v>
      </c>
    </row>
    <row r="3436">
      <c r="A3436" s="3" t="s">
        <v>13438</v>
      </c>
      <c r="B3436" s="4" t="str">
        <f>C3436 &amp; " -&gt; " &amp; D3436</f>
        <v>principal-knowledge-authority -&gt; TestCases.IsPassing</v>
      </c>
      <c r="C3436" s="3" t="s">
        <v>9774</v>
      </c>
      <c r="D3436" s="3" t="s">
        <v>4235</v>
      </c>
      <c r="E3436" s="3" t="b">
        <v>1</v>
      </c>
      <c r="F3436" s="3" t="b">
        <v>0</v>
      </c>
      <c r="G3436" s="3" t="s">
        <v>10003</v>
      </c>
      <c r="H3436" s="4" t="str">
        <f>_xlfn.IFNA(IF(((INDEX(RulebookFields!C2:C1898, MATCH(D3436,RulebookFields!A2:A1898, 0))="")=TRUE),  "",  INDEX(RulebookFields!C2:C1898, MATCH(D3436,RulebookFields!A2:A1898, 0))), "")</f>
        <v>TestCases</v>
      </c>
      <c r="I3436" s="4" t="str">
        <f>_xlfn.IFNA(IF(((INDEX(RulebookFields!D2:D1898, MATCH(D3436,RulebookFields!A2:A1898, 0))="")=TRUE),  "",  INDEX(RulebookFields!D2:D1898, MATCH(D3436,RulebookFields!A2:A1898, 0))), "")</f>
        <v>IsPassing</v>
      </c>
      <c r="J3436" s="4" t="b">
        <f>_xlfn.IFNA(IF(((INDEX(RulebookFields!I2:I1898, MATCH(D3436,RulebookFields!A2:A1898, 0))="")=TRUE),  "",  INDEX(RulebookFields!I2:I1898, MATCH(D3436,RulebookFields!A2:A1898, 0))), "")</f>
        <v>1</v>
      </c>
      <c r="K3436" s="4" t="b">
        <f>AND(((F3436)=TRUE), ((J3436)=TRUE))</f>
        <v>0</v>
      </c>
      <c r="L3436" s="4" t="b">
        <f>AND(((G3436 &lt;&gt; "plain")=TRUE), ((G3436 &lt;&gt; "")=TRUE))</f>
        <v>0</v>
      </c>
      <c r="M3436" s="4" t="str">
        <f>IF(((E3436)=TRUE),  C3436 &amp; "|" &amp; H3436,  "")</f>
        <v>principal-knowledge-authority|TestCases</v>
      </c>
      <c r="N3436" s="3" t="s">
        <v>10004</v>
      </c>
    </row>
    <row r="3437">
      <c r="A3437" s="3" t="s">
        <v>13439</v>
      </c>
      <c r="B3437" s="4" t="str">
        <f>C3437 &amp; " -&gt; " &amp; D3437</f>
        <v>principal-knowledge-authority -&gt; TestCases.IsFailing</v>
      </c>
      <c r="C3437" s="3" t="s">
        <v>9774</v>
      </c>
      <c r="D3437" s="3" t="s">
        <v>4238</v>
      </c>
      <c r="E3437" s="3" t="b">
        <v>1</v>
      </c>
      <c r="F3437" s="3" t="b">
        <v>0</v>
      </c>
      <c r="G3437" s="3" t="s">
        <v>10003</v>
      </c>
      <c r="H3437" s="4" t="str">
        <f>_xlfn.IFNA(IF(((INDEX(RulebookFields!C2:C1898, MATCH(D3437,RulebookFields!A2:A1898, 0))="")=TRUE),  "",  INDEX(RulebookFields!C2:C1898, MATCH(D3437,RulebookFields!A2:A1898, 0))), "")</f>
        <v>TestCases</v>
      </c>
      <c r="I3437" s="4" t="str">
        <f>_xlfn.IFNA(IF(((INDEX(RulebookFields!D2:D1898, MATCH(D3437,RulebookFields!A2:A1898, 0))="")=TRUE),  "",  INDEX(RulebookFields!D2:D1898, MATCH(D3437,RulebookFields!A2:A1898, 0))), "")</f>
        <v>IsFailing</v>
      </c>
      <c r="J3437" s="4" t="b">
        <f>_xlfn.IFNA(IF(((INDEX(RulebookFields!I2:I1898, MATCH(D3437,RulebookFields!A2:A1898, 0))="")=TRUE),  "",  INDEX(RulebookFields!I2:I1898, MATCH(D3437,RulebookFields!A2:A1898, 0))), "")</f>
        <v>1</v>
      </c>
      <c r="K3437" s="4" t="b">
        <f>AND(((F3437)=TRUE), ((J3437)=TRUE))</f>
        <v>0</v>
      </c>
      <c r="L3437" s="4" t="b">
        <f>AND(((G3437 &lt;&gt; "plain")=TRUE), ((G3437 &lt;&gt; "")=TRUE))</f>
        <v>0</v>
      </c>
      <c r="M3437" s="4" t="str">
        <f>IF(((E3437)=TRUE),  C3437 &amp; "|" &amp; H3437,  "")</f>
        <v>principal-knowledge-authority|TestCases</v>
      </c>
      <c r="N3437" s="3" t="s">
        <v>10004</v>
      </c>
    </row>
    <row r="3438">
      <c r="A3438" s="3" t="s">
        <v>13440</v>
      </c>
      <c r="B3438" s="4" t="str">
        <f>C3438 &amp; " -&gt; " &amp; D3438</f>
        <v>principal-knowledge-authority -&gt; TestCases.NeedsAttention</v>
      </c>
      <c r="C3438" s="3" t="s">
        <v>9774</v>
      </c>
      <c r="D3438" s="3" t="s">
        <v>4241</v>
      </c>
      <c r="E3438" s="3" t="b">
        <v>1</v>
      </c>
      <c r="F3438" s="3" t="b">
        <v>0</v>
      </c>
      <c r="G3438" s="3" t="s">
        <v>10003</v>
      </c>
      <c r="H3438" s="4" t="str">
        <f>_xlfn.IFNA(IF(((INDEX(RulebookFields!C2:C1898, MATCH(D3438,RulebookFields!A2:A1898, 0))="")=TRUE),  "",  INDEX(RulebookFields!C2:C1898, MATCH(D3438,RulebookFields!A2:A1898, 0))), "")</f>
        <v>TestCases</v>
      </c>
      <c r="I3438" s="4" t="str">
        <f>_xlfn.IFNA(IF(((INDEX(RulebookFields!D2:D1898, MATCH(D3438,RulebookFields!A2:A1898, 0))="")=TRUE),  "",  INDEX(RulebookFields!D2:D1898, MATCH(D3438,RulebookFields!A2:A1898, 0))), "")</f>
        <v>NeedsAttention</v>
      </c>
      <c r="J3438" s="4" t="b">
        <f>_xlfn.IFNA(IF(((INDEX(RulebookFields!I2:I1898, MATCH(D3438,RulebookFields!A2:A1898, 0))="")=TRUE),  "",  INDEX(RulebookFields!I2:I1898, MATCH(D3438,RulebookFields!A2:A1898, 0))), "")</f>
        <v>1</v>
      </c>
      <c r="K3438" s="4" t="b">
        <f>AND(((F3438)=TRUE), ((J3438)=TRUE))</f>
        <v>0</v>
      </c>
      <c r="L3438" s="4" t="b">
        <f>AND(((G3438 &lt;&gt; "plain")=TRUE), ((G3438 &lt;&gt; "")=TRUE))</f>
        <v>0</v>
      </c>
      <c r="M3438" s="4" t="str">
        <f>IF(((E3438)=TRUE),  C3438 &amp; "|" &amp; H3438,  "")</f>
        <v>principal-knowledge-authority|TestCases</v>
      </c>
      <c r="N3438" s="3" t="s">
        <v>10004</v>
      </c>
    </row>
    <row r="3439">
      <c r="A3439" s="3" t="s">
        <v>13441</v>
      </c>
      <c r="B3439" s="4" t="str">
        <f>C3439 &amp; " -&gt; " &amp; D3439</f>
        <v>principal-knowledge-authority -&gt; TestCases.PassingSuiteKey</v>
      </c>
      <c r="C3439" s="3" t="s">
        <v>9774</v>
      </c>
      <c r="D3439" s="3" t="s">
        <v>4244</v>
      </c>
      <c r="E3439" s="3" t="b">
        <v>1</v>
      </c>
      <c r="F3439" s="3" t="b">
        <v>0</v>
      </c>
      <c r="G3439" s="3" t="s">
        <v>10003</v>
      </c>
      <c r="H3439" s="4" t="str">
        <f>_xlfn.IFNA(IF(((INDEX(RulebookFields!C2:C1898, MATCH(D3439,RulebookFields!A2:A1898, 0))="")=TRUE),  "",  INDEX(RulebookFields!C2:C1898, MATCH(D3439,RulebookFields!A2:A1898, 0))), "")</f>
        <v>TestCases</v>
      </c>
      <c r="I3439" s="4" t="str">
        <f>_xlfn.IFNA(IF(((INDEX(RulebookFields!D2:D1898, MATCH(D3439,RulebookFields!A2:A1898, 0))="")=TRUE),  "",  INDEX(RulebookFields!D2:D1898, MATCH(D3439,RulebookFields!A2:A1898, 0))), "")</f>
        <v>PassingSuiteKey</v>
      </c>
      <c r="J3439" s="4" t="b">
        <f>_xlfn.IFNA(IF(((INDEX(RulebookFields!I2:I1898, MATCH(D3439,RulebookFields!A2:A1898, 0))="")=TRUE),  "",  INDEX(RulebookFields!I2:I1898, MATCH(D3439,RulebookFields!A2:A1898, 0))), "")</f>
        <v>1</v>
      </c>
      <c r="K3439" s="4" t="b">
        <f>AND(((F3439)=TRUE), ((J3439)=TRUE))</f>
        <v>0</v>
      </c>
      <c r="L3439" s="4" t="b">
        <f>AND(((G3439 &lt;&gt; "plain")=TRUE), ((G3439 &lt;&gt; "")=TRUE))</f>
        <v>0</v>
      </c>
      <c r="M3439" s="4" t="str">
        <f>IF(((E3439)=TRUE),  C3439 &amp; "|" &amp; H3439,  "")</f>
        <v>principal-knowledge-authority|TestCases</v>
      </c>
      <c r="N3439" s="3" t="s">
        <v>10004</v>
      </c>
    </row>
    <row r="3440">
      <c r="A3440" s="3" t="s">
        <v>13442</v>
      </c>
      <c r="B3440" s="4" t="str">
        <f>C3440 &amp; " -&gt; " &amp; D3440</f>
        <v>principal-knowledge-authority -&gt; TestCases.NeedsAttentionSuiteKey</v>
      </c>
      <c r="C3440" s="3" t="s">
        <v>9774</v>
      </c>
      <c r="D3440" s="3" t="s">
        <v>4247</v>
      </c>
      <c r="E3440" s="3" t="b">
        <v>1</v>
      </c>
      <c r="F3440" s="3" t="b">
        <v>0</v>
      </c>
      <c r="G3440" s="3" t="s">
        <v>10003</v>
      </c>
      <c r="H3440" s="4" t="str">
        <f>_xlfn.IFNA(IF(((INDEX(RulebookFields!C2:C1898, MATCH(D3440,RulebookFields!A2:A1898, 0))="")=TRUE),  "",  INDEX(RulebookFields!C2:C1898, MATCH(D3440,RulebookFields!A2:A1898, 0))), "")</f>
        <v>TestCases</v>
      </c>
      <c r="I3440" s="4" t="str">
        <f>_xlfn.IFNA(IF(((INDEX(RulebookFields!D2:D1898, MATCH(D3440,RulebookFields!A2:A1898, 0))="")=TRUE),  "",  INDEX(RulebookFields!D2:D1898, MATCH(D3440,RulebookFields!A2:A1898, 0))), "")</f>
        <v>NeedsAttentionSuiteKey</v>
      </c>
      <c r="J3440" s="4" t="b">
        <f>_xlfn.IFNA(IF(((INDEX(RulebookFields!I2:I1898, MATCH(D3440,RulebookFields!A2:A1898, 0))="")=TRUE),  "",  INDEX(RulebookFields!I2:I1898, MATCH(D3440,RulebookFields!A2:A1898, 0))), "")</f>
        <v>1</v>
      </c>
      <c r="K3440" s="4" t="b">
        <f>AND(((F3440)=TRUE), ((J3440)=TRUE))</f>
        <v>0</v>
      </c>
      <c r="L3440" s="4" t="b">
        <f>AND(((G3440 &lt;&gt; "plain")=TRUE), ((G3440 &lt;&gt; "")=TRUE))</f>
        <v>0</v>
      </c>
      <c r="M3440" s="4" t="str">
        <f>IF(((E3440)=TRUE),  C3440 &amp; "|" &amp; H3440,  "")</f>
        <v>principal-knowledge-authority|TestCases</v>
      </c>
      <c r="N3440" s="3" t="s">
        <v>10004</v>
      </c>
    </row>
    <row r="3441">
      <c r="A3441" s="3" t="s">
        <v>13443</v>
      </c>
      <c r="B3441" s="4" t="str">
        <f>C3441 &amp; " -&gt; " &amp; D3441</f>
        <v>principal-knowledge-authority -&gt; TestCases.SemanticTypeIri</v>
      </c>
      <c r="C3441" s="3" t="s">
        <v>9774</v>
      </c>
      <c r="D3441" s="3" t="s">
        <v>4250</v>
      </c>
      <c r="E3441" s="3" t="b">
        <v>1</v>
      </c>
      <c r="F3441" s="3" t="b">
        <v>0</v>
      </c>
      <c r="G3441" s="3" t="s">
        <v>10003</v>
      </c>
      <c r="H3441" s="4" t="str">
        <f>_xlfn.IFNA(IF(((INDEX(RulebookFields!C2:C1898, MATCH(D3441,RulebookFields!A2:A1898, 0))="")=TRUE),  "",  INDEX(RulebookFields!C2:C1898, MATCH(D3441,RulebookFields!A2:A1898, 0))), "")</f>
        <v>TestCases</v>
      </c>
      <c r="I3441" s="4" t="str">
        <f>_xlfn.IFNA(IF(((INDEX(RulebookFields!D2:D1898, MATCH(D3441,RulebookFields!A2:A1898, 0))="")=TRUE),  "",  INDEX(RulebookFields!D2:D1898, MATCH(D3441,RulebookFields!A2:A1898, 0))), "")</f>
        <v>SemanticTypeIri</v>
      </c>
      <c r="J3441" s="4" t="b">
        <f>_xlfn.IFNA(IF(((INDEX(RulebookFields!I2:I1898, MATCH(D3441,RulebookFields!A2:A1898, 0))="")=TRUE),  "",  INDEX(RulebookFields!I2:I1898, MATCH(D3441,RulebookFields!A2:A1898, 0))), "")</f>
        <v>0</v>
      </c>
      <c r="K3441" s="4" t="b">
        <f>AND(((F3441)=TRUE), ((J3441)=TRUE))</f>
        <v>0</v>
      </c>
      <c r="L3441" s="4" t="b">
        <f>AND(((G3441 &lt;&gt; "plain")=TRUE), ((G3441 &lt;&gt; "")=TRUE))</f>
        <v>0</v>
      </c>
      <c r="M3441" s="4" t="str">
        <f>IF(((E3441)=TRUE),  C3441 &amp; "|" &amp; H3441,  "")</f>
        <v>principal-knowledge-authority|TestCases</v>
      </c>
      <c r="N3441" s="3" t="s">
        <v>10004</v>
      </c>
    </row>
    <row r="3442">
      <c r="A3442" s="3" t="s">
        <v>13444</v>
      </c>
      <c r="B3442" s="4" t="str">
        <f>C3442 &amp; " -&gt; " &amp; D3442</f>
        <v>principal-knowledge-authority -&gt; TestSuites.TestSuiteId</v>
      </c>
      <c r="C3442" s="3" t="s">
        <v>9774</v>
      </c>
      <c r="D3442" s="3" t="s">
        <v>4190</v>
      </c>
      <c r="E3442" s="3" t="b">
        <v>1</v>
      </c>
      <c r="F3442" s="3" t="b">
        <v>0</v>
      </c>
      <c r="G3442" s="3" t="s">
        <v>10003</v>
      </c>
      <c r="H3442" s="4" t="str">
        <f>_xlfn.IFNA(IF(((INDEX(RulebookFields!C2:C1898, MATCH(D3442,RulebookFields!A2:A1898, 0))="")=TRUE),  "",  INDEX(RulebookFields!C2:C1898, MATCH(D3442,RulebookFields!A2:A1898, 0))), "")</f>
        <v>TestSuites</v>
      </c>
      <c r="I3442" s="4" t="str">
        <f>_xlfn.IFNA(IF(((INDEX(RulebookFields!D2:D1898, MATCH(D3442,RulebookFields!A2:A1898, 0))="")=TRUE),  "",  INDEX(RulebookFields!D2:D1898, MATCH(D3442,RulebookFields!A2:A1898, 0))), "")</f>
        <v>TestSuiteId</v>
      </c>
      <c r="J3442" s="4" t="b">
        <f>_xlfn.IFNA(IF(((INDEX(RulebookFields!I2:I1898, MATCH(D3442,RulebookFields!A2:A1898, 0))="")=TRUE),  "",  INDEX(RulebookFields!I2:I1898, MATCH(D3442,RulebookFields!A2:A1898, 0))), "")</f>
        <v>0</v>
      </c>
      <c r="K3442" s="4" t="b">
        <f>AND(((F3442)=TRUE), ((J3442)=TRUE))</f>
        <v>0</v>
      </c>
      <c r="L3442" s="4" t="b">
        <f>AND(((G3442 &lt;&gt; "plain")=TRUE), ((G3442 &lt;&gt; "")=TRUE))</f>
        <v>0</v>
      </c>
      <c r="M3442" s="4" t="str">
        <f>IF(((E3442)=TRUE),  C3442 &amp; "|" &amp; H3442,  "")</f>
        <v>principal-knowledge-authority|TestSuites</v>
      </c>
      <c r="N3442" s="3" t="s">
        <v>10004</v>
      </c>
    </row>
    <row r="3443">
      <c r="A3443" s="3" t="s">
        <v>13445</v>
      </c>
      <c r="B3443" s="4" t="str">
        <f>C3443 &amp; " -&gt; " &amp; D3443</f>
        <v>principal-knowledge-authority -&gt; TestSuites.Name</v>
      </c>
      <c r="C3443" s="3" t="s">
        <v>9774</v>
      </c>
      <c r="D3443" s="3" t="s">
        <v>4193</v>
      </c>
      <c r="E3443" s="3" t="b">
        <v>1</v>
      </c>
      <c r="F3443" s="3" t="b">
        <v>0</v>
      </c>
      <c r="G3443" s="3" t="s">
        <v>10003</v>
      </c>
      <c r="H3443" s="4" t="str">
        <f>_xlfn.IFNA(IF(((INDEX(RulebookFields!C2:C1898, MATCH(D3443,RulebookFields!A2:A1898, 0))="")=TRUE),  "",  INDEX(RulebookFields!C2:C1898, MATCH(D3443,RulebookFields!A2:A1898, 0))), "")</f>
        <v>TestSuites</v>
      </c>
      <c r="I3443" s="4" t="str">
        <f>_xlfn.IFNA(IF(((INDEX(RulebookFields!D2:D1898, MATCH(D3443,RulebookFields!A2:A1898, 0))="")=TRUE),  "",  INDEX(RulebookFields!D2:D1898, MATCH(D3443,RulebookFields!A2:A1898, 0))), "")</f>
        <v>Name</v>
      </c>
      <c r="J3443" s="4" t="b">
        <f>_xlfn.IFNA(IF(((INDEX(RulebookFields!I2:I1898, MATCH(D3443,RulebookFields!A2:A1898, 0))="")=TRUE),  "",  INDEX(RulebookFields!I2:I1898, MATCH(D3443,RulebookFields!A2:A1898, 0))), "")</f>
        <v>1</v>
      </c>
      <c r="K3443" s="4" t="b">
        <f>AND(((F3443)=TRUE), ((J3443)=TRUE))</f>
        <v>0</v>
      </c>
      <c r="L3443" s="4" t="b">
        <f>AND(((G3443 &lt;&gt; "plain")=TRUE), ((G3443 &lt;&gt; "")=TRUE))</f>
        <v>0</v>
      </c>
      <c r="M3443" s="4" t="str">
        <f>IF(((E3443)=TRUE),  C3443 &amp; "|" &amp; H3443,  "")</f>
        <v>principal-knowledge-authority|TestSuites</v>
      </c>
      <c r="N3443" s="3" t="s">
        <v>10004</v>
      </c>
    </row>
    <row r="3444">
      <c r="A3444" s="3" t="s">
        <v>13446</v>
      </c>
      <c r="B3444" s="4" t="str">
        <f>C3444 &amp; " -&gt; " &amp; D3444</f>
        <v>principal-knowledge-authority -&gt; TestSuites.Label</v>
      </c>
      <c r="C3444" s="3" t="s">
        <v>9774</v>
      </c>
      <c r="D3444" s="3" t="s">
        <v>4194</v>
      </c>
      <c r="E3444" s="3" t="b">
        <v>1</v>
      </c>
      <c r="F3444" s="3" t="b">
        <v>0</v>
      </c>
      <c r="G3444" s="3" t="s">
        <v>10003</v>
      </c>
      <c r="H3444" s="4" t="str">
        <f>_xlfn.IFNA(IF(((INDEX(RulebookFields!C2:C1898, MATCH(D3444,RulebookFields!A2:A1898, 0))="")=TRUE),  "",  INDEX(RulebookFields!C2:C1898, MATCH(D3444,RulebookFields!A2:A1898, 0))), "")</f>
        <v>TestSuites</v>
      </c>
      <c r="I3444" s="4" t="str">
        <f>_xlfn.IFNA(IF(((INDEX(RulebookFields!D2:D1898, MATCH(D3444,RulebookFields!A2:A1898, 0))="")=TRUE),  "",  INDEX(RulebookFields!D2:D1898, MATCH(D3444,RulebookFields!A2:A1898, 0))), "")</f>
        <v>Label</v>
      </c>
      <c r="J3444" s="4" t="b">
        <f>_xlfn.IFNA(IF(((INDEX(RulebookFields!I2:I1898, MATCH(D3444,RulebookFields!A2:A1898, 0))="")=TRUE),  "",  INDEX(RulebookFields!I2:I1898, MATCH(D3444,RulebookFields!A2:A1898, 0))), "")</f>
        <v>0</v>
      </c>
      <c r="K3444" s="4" t="b">
        <f>AND(((F3444)=TRUE), ((J3444)=TRUE))</f>
        <v>0</v>
      </c>
      <c r="L3444" s="4" t="b">
        <f>AND(((G3444 &lt;&gt; "plain")=TRUE), ((G3444 &lt;&gt; "")=TRUE))</f>
        <v>0</v>
      </c>
      <c r="M3444" s="4" t="str">
        <f>IF(((E3444)=TRUE),  C3444 &amp; "|" &amp; H3444,  "")</f>
        <v>principal-knowledge-authority|TestSuites</v>
      </c>
      <c r="N3444" s="3" t="s">
        <v>10004</v>
      </c>
    </row>
    <row r="3445">
      <c r="A3445" s="3" t="s">
        <v>13447</v>
      </c>
      <c r="B3445" s="4" t="str">
        <f>C3445 &amp; " -&gt; " &amp; D3445</f>
        <v>principal-knowledge-authority -&gt; TestSuites.TestCount</v>
      </c>
      <c r="C3445" s="3" t="s">
        <v>9774</v>
      </c>
      <c r="D3445" s="3" t="s">
        <v>4195</v>
      </c>
      <c r="E3445" s="3" t="b">
        <v>1</v>
      </c>
      <c r="F3445" s="3" t="b">
        <v>0</v>
      </c>
      <c r="G3445" s="3" t="s">
        <v>10003</v>
      </c>
      <c r="H3445" s="4" t="str">
        <f>_xlfn.IFNA(IF(((INDEX(RulebookFields!C2:C1898, MATCH(D3445,RulebookFields!A2:A1898, 0))="")=TRUE),  "",  INDEX(RulebookFields!C2:C1898, MATCH(D3445,RulebookFields!A2:A1898, 0))), "")</f>
        <v>TestSuites</v>
      </c>
      <c r="I3445" s="4" t="str">
        <f>_xlfn.IFNA(IF(((INDEX(RulebookFields!D2:D1898, MATCH(D3445,RulebookFields!A2:A1898, 0))="")=TRUE),  "",  INDEX(RulebookFields!D2:D1898, MATCH(D3445,RulebookFields!A2:A1898, 0))), "")</f>
        <v>TestCount</v>
      </c>
      <c r="J3445" s="4" t="b">
        <f>_xlfn.IFNA(IF(((INDEX(RulebookFields!I2:I1898, MATCH(D3445,RulebookFields!A2:A1898, 0))="")=TRUE),  "",  INDEX(RulebookFields!I2:I1898, MATCH(D3445,RulebookFields!A2:A1898, 0))), "")</f>
        <v>1</v>
      </c>
      <c r="K3445" s="4" t="b">
        <f>AND(((F3445)=TRUE), ((J3445)=TRUE))</f>
        <v>0</v>
      </c>
      <c r="L3445" s="4" t="b">
        <f>AND(((G3445 &lt;&gt; "plain")=TRUE), ((G3445 &lt;&gt; "")=TRUE))</f>
        <v>0</v>
      </c>
      <c r="M3445" s="4" t="str">
        <f>IF(((E3445)=TRUE),  C3445 &amp; "|" &amp; H3445,  "")</f>
        <v>principal-knowledge-authority|TestSuites</v>
      </c>
      <c r="N3445" s="3" t="s">
        <v>10004</v>
      </c>
    </row>
    <row r="3446">
      <c r="A3446" s="3" t="s">
        <v>13448</v>
      </c>
      <c r="B3446" s="4" t="str">
        <f>C3446 &amp; " -&gt; " &amp; D3446</f>
        <v>principal-knowledge-authority -&gt; TestSuites.PassCount</v>
      </c>
      <c r="C3446" s="3" t="s">
        <v>9774</v>
      </c>
      <c r="D3446" s="3" t="s">
        <v>4198</v>
      </c>
      <c r="E3446" s="3" t="b">
        <v>1</v>
      </c>
      <c r="F3446" s="3" t="b">
        <v>0</v>
      </c>
      <c r="G3446" s="3" t="s">
        <v>10003</v>
      </c>
      <c r="H3446" s="4" t="str">
        <f>_xlfn.IFNA(IF(((INDEX(RulebookFields!C2:C1898, MATCH(D3446,RulebookFields!A2:A1898, 0))="")=TRUE),  "",  INDEX(RulebookFields!C2:C1898, MATCH(D3446,RulebookFields!A2:A1898, 0))), "")</f>
        <v>TestSuites</v>
      </c>
      <c r="I3446" s="4" t="str">
        <f>_xlfn.IFNA(IF(((INDEX(RulebookFields!D2:D1898, MATCH(D3446,RulebookFields!A2:A1898, 0))="")=TRUE),  "",  INDEX(RulebookFields!D2:D1898, MATCH(D3446,RulebookFields!A2:A1898, 0))), "")</f>
        <v>PassCount</v>
      </c>
      <c r="J3446" s="4" t="b">
        <f>_xlfn.IFNA(IF(((INDEX(RulebookFields!I2:I1898, MATCH(D3446,RulebookFields!A2:A1898, 0))="")=TRUE),  "",  INDEX(RulebookFields!I2:I1898, MATCH(D3446,RulebookFields!A2:A1898, 0))), "")</f>
        <v>1</v>
      </c>
      <c r="K3446" s="4" t="b">
        <f>AND(((F3446)=TRUE), ((J3446)=TRUE))</f>
        <v>0</v>
      </c>
      <c r="L3446" s="4" t="b">
        <f>AND(((G3446 &lt;&gt; "plain")=TRUE), ((G3446 &lt;&gt; "")=TRUE))</f>
        <v>0</v>
      </c>
      <c r="M3446" s="4" t="str">
        <f>IF(((E3446)=TRUE),  C3446 &amp; "|" &amp; H3446,  "")</f>
        <v>principal-knowledge-authority|TestSuites</v>
      </c>
      <c r="N3446" s="3" t="s">
        <v>10004</v>
      </c>
    </row>
    <row r="3447">
      <c r="A3447" s="3" t="s">
        <v>13449</v>
      </c>
      <c r="B3447" s="4" t="str">
        <f>C3447 &amp; " -&gt; " &amp; D3447</f>
        <v>principal-knowledge-authority -&gt; TestSuites.BlockingFailCount</v>
      </c>
      <c r="C3447" s="3" t="s">
        <v>9774</v>
      </c>
      <c r="D3447" s="3" t="s">
        <v>4201</v>
      </c>
      <c r="E3447" s="3" t="b">
        <v>1</v>
      </c>
      <c r="F3447" s="3" t="b">
        <v>0</v>
      </c>
      <c r="G3447" s="3" t="s">
        <v>10003</v>
      </c>
      <c r="H3447" s="4" t="str">
        <f>_xlfn.IFNA(IF(((INDEX(RulebookFields!C2:C1898, MATCH(D3447,RulebookFields!A2:A1898, 0))="")=TRUE),  "",  INDEX(RulebookFields!C2:C1898, MATCH(D3447,RulebookFields!A2:A1898, 0))), "")</f>
        <v>TestSuites</v>
      </c>
      <c r="I3447" s="4" t="str">
        <f>_xlfn.IFNA(IF(((INDEX(RulebookFields!D2:D1898, MATCH(D3447,RulebookFields!A2:A1898, 0))="")=TRUE),  "",  INDEX(RulebookFields!D2:D1898, MATCH(D3447,RulebookFields!A2:A1898, 0))), "")</f>
        <v>BlockingFailCount</v>
      </c>
      <c r="J3447" s="4" t="b">
        <f>_xlfn.IFNA(IF(((INDEX(RulebookFields!I2:I1898, MATCH(D3447,RulebookFields!A2:A1898, 0))="")=TRUE),  "",  INDEX(RulebookFields!I2:I1898, MATCH(D3447,RulebookFields!A2:A1898, 0))), "")</f>
        <v>1</v>
      </c>
      <c r="K3447" s="4" t="b">
        <f>AND(((F3447)=TRUE), ((J3447)=TRUE))</f>
        <v>0</v>
      </c>
      <c r="L3447" s="4" t="b">
        <f>AND(((G3447 &lt;&gt; "plain")=TRUE), ((G3447 &lt;&gt; "")=TRUE))</f>
        <v>0</v>
      </c>
      <c r="M3447" s="4" t="str">
        <f>IF(((E3447)=TRUE),  C3447 &amp; "|" &amp; H3447,  "")</f>
        <v>principal-knowledge-authority|TestSuites</v>
      </c>
      <c r="N3447" s="3" t="s">
        <v>10004</v>
      </c>
    </row>
    <row r="3448">
      <c r="A3448" s="3" t="s">
        <v>13450</v>
      </c>
      <c r="B3448" s="4" t="str">
        <f>C3448 &amp; " -&gt; " &amp; D3448</f>
        <v>principal-knowledge-authority -&gt; TestSuites.IsGreen</v>
      </c>
      <c r="C3448" s="3" t="s">
        <v>9774</v>
      </c>
      <c r="D3448" s="3" t="s">
        <v>4204</v>
      </c>
      <c r="E3448" s="3" t="b">
        <v>1</v>
      </c>
      <c r="F3448" s="3" t="b">
        <v>0</v>
      </c>
      <c r="G3448" s="3" t="s">
        <v>10003</v>
      </c>
      <c r="H3448" s="4" t="str">
        <f>_xlfn.IFNA(IF(((INDEX(RulebookFields!C2:C1898, MATCH(D3448,RulebookFields!A2:A1898, 0))="")=TRUE),  "",  INDEX(RulebookFields!C2:C1898, MATCH(D3448,RulebookFields!A2:A1898, 0))), "")</f>
        <v>TestSuites</v>
      </c>
      <c r="I3448" s="4" t="str">
        <f>_xlfn.IFNA(IF(((INDEX(RulebookFields!D2:D1898, MATCH(D3448,RulebookFields!A2:A1898, 0))="")=TRUE),  "",  INDEX(RulebookFields!D2:D1898, MATCH(D3448,RulebookFields!A2:A1898, 0))), "")</f>
        <v>IsGreen</v>
      </c>
      <c r="J3448" s="4" t="b">
        <f>_xlfn.IFNA(IF(((INDEX(RulebookFields!I2:I1898, MATCH(D3448,RulebookFields!A2:A1898, 0))="")=TRUE),  "",  INDEX(RulebookFields!I2:I1898, MATCH(D3448,RulebookFields!A2:A1898, 0))), "")</f>
        <v>1</v>
      </c>
      <c r="K3448" s="4" t="b">
        <f>AND(((F3448)=TRUE), ((J3448)=TRUE))</f>
        <v>0</v>
      </c>
      <c r="L3448" s="4" t="b">
        <f>AND(((G3448 &lt;&gt; "plain")=TRUE), ((G3448 &lt;&gt; "")=TRUE))</f>
        <v>0</v>
      </c>
      <c r="M3448" s="4" t="str">
        <f>IF(((E3448)=TRUE),  C3448 &amp; "|" &amp; H3448,  "")</f>
        <v>principal-knowledge-authority|TestSuites</v>
      </c>
      <c r="N3448" s="3" t="s">
        <v>10004</v>
      </c>
    </row>
    <row r="3449">
      <c r="A3449" s="3" t="s">
        <v>13451</v>
      </c>
      <c r="B3449" s="4" t="str">
        <f>C3449 &amp; " -&gt; " &amp; D3449</f>
        <v>principal-knowledge-authority -&gt; TestSuites.SemanticTypeIri</v>
      </c>
      <c r="C3449" s="3" t="s">
        <v>9774</v>
      </c>
      <c r="D3449" s="3" t="s">
        <v>4207</v>
      </c>
      <c r="E3449" s="3" t="b">
        <v>1</v>
      </c>
      <c r="F3449" s="3" t="b">
        <v>0</v>
      </c>
      <c r="G3449" s="3" t="s">
        <v>10003</v>
      </c>
      <c r="H3449" s="4" t="str">
        <f>_xlfn.IFNA(IF(((INDEX(RulebookFields!C2:C1898, MATCH(D3449,RulebookFields!A2:A1898, 0))="")=TRUE),  "",  INDEX(RulebookFields!C2:C1898, MATCH(D3449,RulebookFields!A2:A1898, 0))), "")</f>
        <v>TestSuites</v>
      </c>
      <c r="I3449" s="4" t="str">
        <f>_xlfn.IFNA(IF(((INDEX(RulebookFields!D2:D1898, MATCH(D3449,RulebookFields!A2:A1898, 0))="")=TRUE),  "",  INDEX(RulebookFields!D2:D1898, MATCH(D3449,RulebookFields!A2:A1898, 0))), "")</f>
        <v>SemanticTypeIri</v>
      </c>
      <c r="J3449" s="4" t="b">
        <f>_xlfn.IFNA(IF(((INDEX(RulebookFields!I2:I1898, MATCH(D3449,RulebookFields!A2:A1898, 0))="")=TRUE),  "",  INDEX(RulebookFields!I2:I1898, MATCH(D3449,RulebookFields!A2:A1898, 0))), "")</f>
        <v>0</v>
      </c>
      <c r="K3449" s="4" t="b">
        <f>AND(((F3449)=TRUE), ((J3449)=TRUE))</f>
        <v>0</v>
      </c>
      <c r="L3449" s="4" t="b">
        <f>AND(((G3449 &lt;&gt; "plain")=TRUE), ((G3449 &lt;&gt; "")=TRUE))</f>
        <v>0</v>
      </c>
      <c r="M3449" s="4" t="str">
        <f>IF(((E3449)=TRUE),  C3449 &amp; "|" &amp; H3449,  "")</f>
        <v>principal-knowledge-authority|TestSuites</v>
      </c>
      <c r="N3449" s="3" t="s">
        <v>10004</v>
      </c>
    </row>
    <row r="3450">
      <c r="A3450" s="3" t="s">
        <v>13452</v>
      </c>
      <c r="B3450" s="4" t="str">
        <f>C3450 &amp; " -&gt; " &amp; D3450</f>
        <v>principal-knowledge-authority -&gt; Tools.ToolId</v>
      </c>
      <c r="C3450" s="3" t="s">
        <v>9774</v>
      </c>
      <c r="D3450" s="3" t="s">
        <v>3022</v>
      </c>
      <c r="E3450" s="3" t="b">
        <v>1</v>
      </c>
      <c r="F3450" s="3" t="b">
        <v>0</v>
      </c>
      <c r="G3450" s="3" t="s">
        <v>10003</v>
      </c>
      <c r="H3450" s="4" t="str">
        <f>_xlfn.IFNA(IF(((INDEX(RulebookFields!C2:C1898, MATCH(D3450,RulebookFields!A2:A1898, 0))="")=TRUE),  "",  INDEX(RulebookFields!C2:C1898, MATCH(D3450,RulebookFields!A2:A1898, 0))), "")</f>
        <v>Tools</v>
      </c>
      <c r="I3450" s="4" t="str">
        <f>_xlfn.IFNA(IF(((INDEX(RulebookFields!D2:D1898, MATCH(D3450,RulebookFields!A2:A1898, 0))="")=TRUE),  "",  INDEX(RulebookFields!D2:D1898, MATCH(D3450,RulebookFields!A2:A1898, 0))), "")</f>
        <v>ToolId</v>
      </c>
      <c r="J3450" s="4" t="b">
        <f>_xlfn.IFNA(IF(((INDEX(RulebookFields!I2:I1898, MATCH(D3450,RulebookFields!A2:A1898, 0))="")=TRUE),  "",  INDEX(RulebookFields!I2:I1898, MATCH(D3450,RulebookFields!A2:A1898, 0))), "")</f>
        <v>0</v>
      </c>
      <c r="K3450" s="4" t="b">
        <f>AND(((F3450)=TRUE), ((J3450)=TRUE))</f>
        <v>0</v>
      </c>
      <c r="L3450" s="4" t="b">
        <f>AND(((G3450 &lt;&gt; "plain")=TRUE), ((G3450 &lt;&gt; "")=TRUE))</f>
        <v>0</v>
      </c>
      <c r="M3450" s="4" t="str">
        <f>IF(((E3450)=TRUE),  C3450 &amp; "|" &amp; H3450,  "")</f>
        <v>principal-knowledge-authority|Tools</v>
      </c>
      <c r="N3450" s="3" t="s">
        <v>10004</v>
      </c>
    </row>
    <row r="3451">
      <c r="A3451" s="3" t="s">
        <v>13453</v>
      </c>
      <c r="B3451" s="4" t="str">
        <f>C3451 &amp; " -&gt; " &amp; D3451</f>
        <v>principal-knowledge-authority -&gt; Tools.Name</v>
      </c>
      <c r="C3451" s="3" t="s">
        <v>9774</v>
      </c>
      <c r="D3451" s="3" t="s">
        <v>3023</v>
      </c>
      <c r="E3451" s="3" t="b">
        <v>1</v>
      </c>
      <c r="F3451" s="3" t="b">
        <v>0</v>
      </c>
      <c r="G3451" s="3" t="s">
        <v>10003</v>
      </c>
      <c r="H3451" s="4" t="str">
        <f>_xlfn.IFNA(IF(((INDEX(RulebookFields!C2:C1898, MATCH(D3451,RulebookFields!A2:A1898, 0))="")=TRUE),  "",  INDEX(RulebookFields!C2:C1898, MATCH(D3451,RulebookFields!A2:A1898, 0))), "")</f>
        <v>Tools</v>
      </c>
      <c r="I3451" s="4" t="str">
        <f>_xlfn.IFNA(IF(((INDEX(RulebookFields!D2:D1898, MATCH(D3451,RulebookFields!A2:A1898, 0))="")=TRUE),  "",  INDEX(RulebookFields!D2:D1898, MATCH(D3451,RulebookFields!A2:A1898, 0))), "")</f>
        <v>Name</v>
      </c>
      <c r="J3451" s="4" t="b">
        <f>_xlfn.IFNA(IF(((INDEX(RulebookFields!I2:I1898, MATCH(D3451,RulebookFields!A2:A1898, 0))="")=TRUE),  "",  INDEX(RulebookFields!I2:I1898, MATCH(D3451,RulebookFields!A2:A1898, 0))), "")</f>
        <v>1</v>
      </c>
      <c r="K3451" s="4" t="b">
        <f>AND(((F3451)=TRUE), ((J3451)=TRUE))</f>
        <v>0</v>
      </c>
      <c r="L3451" s="4" t="b">
        <f>AND(((G3451 &lt;&gt; "plain")=TRUE), ((G3451 &lt;&gt; "")=TRUE))</f>
        <v>0</v>
      </c>
      <c r="M3451" s="4" t="str">
        <f>IF(((E3451)=TRUE),  C3451 &amp; "|" &amp; H3451,  "")</f>
        <v>principal-knowledge-authority|Tools</v>
      </c>
      <c r="N3451" s="3" t="s">
        <v>10004</v>
      </c>
    </row>
    <row r="3452">
      <c r="A3452" s="3" t="s">
        <v>13454</v>
      </c>
      <c r="B3452" s="4" t="str">
        <f>C3452 &amp; " -&gt; " &amp; D3452</f>
        <v>principal-knowledge-authority -&gt; Tools.Label</v>
      </c>
      <c r="C3452" s="3" t="s">
        <v>9774</v>
      </c>
      <c r="D3452" s="3" t="s">
        <v>3024</v>
      </c>
      <c r="E3452" s="3" t="b">
        <v>1</v>
      </c>
      <c r="F3452" s="3" t="b">
        <v>0</v>
      </c>
      <c r="G3452" s="3" t="s">
        <v>10003</v>
      </c>
      <c r="H3452" s="4" t="str">
        <f>_xlfn.IFNA(IF(((INDEX(RulebookFields!C2:C1898, MATCH(D3452,RulebookFields!A2:A1898, 0))="")=TRUE),  "",  INDEX(RulebookFields!C2:C1898, MATCH(D3452,RulebookFields!A2:A1898, 0))), "")</f>
        <v>Tools</v>
      </c>
      <c r="I3452" s="4" t="str">
        <f>_xlfn.IFNA(IF(((INDEX(RulebookFields!D2:D1898, MATCH(D3452,RulebookFields!A2:A1898, 0))="")=TRUE),  "",  INDEX(RulebookFields!D2:D1898, MATCH(D3452,RulebookFields!A2:A1898, 0))), "")</f>
        <v>Label</v>
      </c>
      <c r="J3452" s="4" t="b">
        <f>_xlfn.IFNA(IF(((INDEX(RulebookFields!I2:I1898, MATCH(D3452,RulebookFields!A2:A1898, 0))="")=TRUE),  "",  INDEX(RulebookFields!I2:I1898, MATCH(D3452,RulebookFields!A2:A1898, 0))), "")</f>
        <v>0</v>
      </c>
      <c r="K3452" s="4" t="b">
        <f>AND(((F3452)=TRUE), ((J3452)=TRUE))</f>
        <v>0</v>
      </c>
      <c r="L3452" s="4" t="b">
        <f>AND(((G3452 &lt;&gt; "plain")=TRUE), ((G3452 &lt;&gt; "")=TRUE))</f>
        <v>0</v>
      </c>
      <c r="M3452" s="4" t="str">
        <f>IF(((E3452)=TRUE),  C3452 &amp; "|" &amp; H3452,  "")</f>
        <v>principal-knowledge-authority|Tools</v>
      </c>
      <c r="N3452" s="3" t="s">
        <v>10004</v>
      </c>
    </row>
    <row r="3453">
      <c r="A3453" s="3" t="s">
        <v>13455</v>
      </c>
      <c r="B3453" s="4" t="str">
        <f>C3453 &amp; " -&gt; " &amp; D3453</f>
        <v>principal-knowledge-authority -&gt; Tools.Purpose</v>
      </c>
      <c r="C3453" s="3" t="s">
        <v>9774</v>
      </c>
      <c r="D3453" s="3" t="s">
        <v>3025</v>
      </c>
      <c r="E3453" s="3" t="b">
        <v>1</v>
      </c>
      <c r="F3453" s="3" t="b">
        <v>0</v>
      </c>
      <c r="G3453" s="3" t="s">
        <v>10003</v>
      </c>
      <c r="H3453" s="4" t="str">
        <f>_xlfn.IFNA(IF(((INDEX(RulebookFields!C2:C1898, MATCH(D3453,RulebookFields!A2:A1898, 0))="")=TRUE),  "",  INDEX(RulebookFields!C2:C1898, MATCH(D3453,RulebookFields!A2:A1898, 0))), "")</f>
        <v>Tools</v>
      </c>
      <c r="I3453" s="4" t="str">
        <f>_xlfn.IFNA(IF(((INDEX(RulebookFields!D2:D1898, MATCH(D3453,RulebookFields!A2:A1898, 0))="")=TRUE),  "",  INDEX(RulebookFields!D2:D1898, MATCH(D3453,RulebookFields!A2:A1898, 0))), "")</f>
        <v>Purpose</v>
      </c>
      <c r="J3453" s="4" t="b">
        <f>_xlfn.IFNA(IF(((INDEX(RulebookFields!I2:I1898, MATCH(D3453,RulebookFields!A2:A1898, 0))="")=TRUE),  "",  INDEX(RulebookFields!I2:I1898, MATCH(D3453,RulebookFields!A2:A1898, 0))), "")</f>
        <v>0</v>
      </c>
      <c r="K3453" s="4" t="b">
        <f>AND(((F3453)=TRUE), ((J3453)=TRUE))</f>
        <v>0</v>
      </c>
      <c r="L3453" s="4" t="b">
        <f>AND(((G3453 &lt;&gt; "plain")=TRUE), ((G3453 &lt;&gt; "")=TRUE))</f>
        <v>0</v>
      </c>
      <c r="M3453" s="4" t="str">
        <f>IF(((E3453)=TRUE),  C3453 &amp; "|" &amp; H3453,  "")</f>
        <v>principal-knowledge-authority|Tools</v>
      </c>
      <c r="N3453" s="3" t="s">
        <v>10004</v>
      </c>
    </row>
    <row r="3454">
      <c r="A3454" s="3" t="s">
        <v>13456</v>
      </c>
      <c r="B3454" s="4" t="str">
        <f>C3454 &amp; " -&gt; " &amp; D3454</f>
        <v>principal-knowledge-authority -&gt; Tools.SemanticTypeIri</v>
      </c>
      <c r="C3454" s="3" t="s">
        <v>9774</v>
      </c>
      <c r="D3454" s="3" t="s">
        <v>3026</v>
      </c>
      <c r="E3454" s="3" t="b">
        <v>1</v>
      </c>
      <c r="F3454" s="3" t="b">
        <v>0</v>
      </c>
      <c r="G3454" s="3" t="s">
        <v>10003</v>
      </c>
      <c r="H3454" s="4" t="str">
        <f>_xlfn.IFNA(IF(((INDEX(RulebookFields!C2:C1898, MATCH(D3454,RulebookFields!A2:A1898, 0))="")=TRUE),  "",  INDEX(RulebookFields!C2:C1898, MATCH(D3454,RulebookFields!A2:A1898, 0))), "")</f>
        <v>Tools</v>
      </c>
      <c r="I3454" s="4" t="str">
        <f>_xlfn.IFNA(IF(((INDEX(RulebookFields!D2:D1898, MATCH(D3454,RulebookFields!A2:A1898, 0))="")=TRUE),  "",  INDEX(RulebookFields!D2:D1898, MATCH(D3454,RulebookFields!A2:A1898, 0))), "")</f>
        <v>SemanticTypeIri</v>
      </c>
      <c r="J3454" s="4" t="b">
        <f>_xlfn.IFNA(IF(((INDEX(RulebookFields!I2:I1898, MATCH(D3454,RulebookFields!A2:A1898, 0))="")=TRUE),  "",  INDEX(RulebookFields!I2:I1898, MATCH(D3454,RulebookFields!A2:A1898, 0))), "")</f>
        <v>0</v>
      </c>
      <c r="K3454" s="4" t="b">
        <f>AND(((F3454)=TRUE), ((J3454)=TRUE))</f>
        <v>0</v>
      </c>
      <c r="L3454" s="4" t="b">
        <f>AND(((G3454 &lt;&gt; "plain")=TRUE), ((G3454 &lt;&gt; "")=TRUE))</f>
        <v>0</v>
      </c>
      <c r="M3454" s="4" t="str">
        <f>IF(((E3454)=TRUE),  C3454 &amp; "|" &amp; H3454,  "")</f>
        <v>principal-knowledge-authority|Tools</v>
      </c>
      <c r="N3454" s="3" t="s">
        <v>10004</v>
      </c>
    </row>
    <row r="3455">
      <c r="A3455" s="3" t="s">
        <v>13457</v>
      </c>
      <c r="B3455" s="4" t="str">
        <f>C3455 &amp; " -&gt; " &amp; D3455</f>
        <v>principal-knowledge-authority -&gt; UserFeedback.UserFeedbackId</v>
      </c>
      <c r="C3455" s="3" t="s">
        <v>9774</v>
      </c>
      <c r="D3455" s="3" t="s">
        <v>3886</v>
      </c>
      <c r="E3455" s="3" t="b">
        <v>1</v>
      </c>
      <c r="F3455" s="3" t="b">
        <v>0</v>
      </c>
      <c r="G3455" s="3" t="s">
        <v>10003</v>
      </c>
      <c r="H3455" s="4" t="str">
        <f>_xlfn.IFNA(IF(((INDEX(RulebookFields!C2:C1898, MATCH(D3455,RulebookFields!A2:A1898, 0))="")=TRUE),  "",  INDEX(RulebookFields!C2:C1898, MATCH(D3455,RulebookFields!A2:A1898, 0))), "")</f>
        <v>UserFeedback</v>
      </c>
      <c r="I3455" s="4" t="str">
        <f>_xlfn.IFNA(IF(((INDEX(RulebookFields!D2:D1898, MATCH(D3455,RulebookFields!A2:A1898, 0))="")=TRUE),  "",  INDEX(RulebookFields!D2:D1898, MATCH(D3455,RulebookFields!A2:A1898, 0))), "")</f>
        <v>UserFeedbackId</v>
      </c>
      <c r="J3455" s="4" t="b">
        <f>_xlfn.IFNA(IF(((INDEX(RulebookFields!I2:I1898, MATCH(D3455,RulebookFields!A2:A1898, 0))="")=TRUE),  "",  INDEX(RulebookFields!I2:I1898, MATCH(D3455,RulebookFields!A2:A1898, 0))), "")</f>
        <v>0</v>
      </c>
      <c r="K3455" s="4" t="b">
        <f>AND(((F3455)=TRUE), ((J3455)=TRUE))</f>
        <v>0</v>
      </c>
      <c r="L3455" s="4" t="b">
        <f>AND(((G3455 &lt;&gt; "plain")=TRUE), ((G3455 &lt;&gt; "")=TRUE))</f>
        <v>0</v>
      </c>
      <c r="M3455" s="4" t="str">
        <f>IF(((E3455)=TRUE),  C3455 &amp; "|" &amp; H3455,  "")</f>
        <v>principal-knowledge-authority|UserFeedback</v>
      </c>
      <c r="N3455" s="3" t="s">
        <v>10004</v>
      </c>
    </row>
    <row r="3456">
      <c r="A3456" s="3" t="s">
        <v>13458</v>
      </c>
      <c r="B3456" s="4" t="str">
        <f>C3456 &amp; " -&gt; " &amp; D3456</f>
        <v>principal-knowledge-authority -&gt; UserFeedback.Name</v>
      </c>
      <c r="C3456" s="3" t="s">
        <v>9774</v>
      </c>
      <c r="D3456" s="3" t="s">
        <v>3887</v>
      </c>
      <c r="E3456" s="3" t="b">
        <v>1</v>
      </c>
      <c r="F3456" s="3" t="b">
        <v>0</v>
      </c>
      <c r="G3456" s="3" t="s">
        <v>10003</v>
      </c>
      <c r="H3456" s="4" t="str">
        <f>_xlfn.IFNA(IF(((INDEX(RulebookFields!C2:C1898, MATCH(D3456,RulebookFields!A2:A1898, 0))="")=TRUE),  "",  INDEX(RulebookFields!C2:C1898, MATCH(D3456,RulebookFields!A2:A1898, 0))), "")</f>
        <v>UserFeedback</v>
      </c>
      <c r="I3456" s="4" t="str">
        <f>_xlfn.IFNA(IF(((INDEX(RulebookFields!D2:D1898, MATCH(D3456,RulebookFields!A2:A1898, 0))="")=TRUE),  "",  INDEX(RulebookFields!D2:D1898, MATCH(D3456,RulebookFields!A2:A1898, 0))), "")</f>
        <v>Name</v>
      </c>
      <c r="J3456" s="4" t="b">
        <f>_xlfn.IFNA(IF(((INDEX(RulebookFields!I2:I1898, MATCH(D3456,RulebookFields!A2:A1898, 0))="")=TRUE),  "",  INDEX(RulebookFields!I2:I1898, MATCH(D3456,RulebookFields!A2:A1898, 0))), "")</f>
        <v>1</v>
      </c>
      <c r="K3456" s="4" t="b">
        <f>AND(((F3456)=TRUE), ((J3456)=TRUE))</f>
        <v>0</v>
      </c>
      <c r="L3456" s="4" t="b">
        <f>AND(((G3456 &lt;&gt; "plain")=TRUE), ((G3456 &lt;&gt; "")=TRUE))</f>
        <v>0</v>
      </c>
      <c r="M3456" s="4" t="str">
        <f>IF(((E3456)=TRUE),  C3456 &amp; "|" &amp; H3456,  "")</f>
        <v>principal-knowledge-authority|UserFeedback</v>
      </c>
      <c r="N3456" s="3" t="s">
        <v>10004</v>
      </c>
    </row>
    <row r="3457">
      <c r="A3457" s="3" t="s">
        <v>13459</v>
      </c>
      <c r="B3457" s="4" t="str">
        <f>C3457 &amp; " -&gt; " &amp; D3457</f>
        <v>principal-knowledge-authority -&gt; UserFeedback.ProcedureExecution</v>
      </c>
      <c r="C3457" s="3" t="s">
        <v>9774</v>
      </c>
      <c r="D3457" s="3" t="s">
        <v>3889</v>
      </c>
      <c r="E3457" s="3" t="b">
        <v>1</v>
      </c>
      <c r="F3457" s="3" t="b">
        <v>0</v>
      </c>
      <c r="G3457" s="3" t="s">
        <v>10003</v>
      </c>
      <c r="H3457" s="4" t="str">
        <f>_xlfn.IFNA(IF(((INDEX(RulebookFields!C2:C1898, MATCH(D3457,RulebookFields!A2:A1898, 0))="")=TRUE),  "",  INDEX(RulebookFields!C2:C1898, MATCH(D3457,RulebookFields!A2:A1898, 0))), "")</f>
        <v>UserFeedback</v>
      </c>
      <c r="I3457" s="4" t="str">
        <f>_xlfn.IFNA(IF(((INDEX(RulebookFields!D2:D1898, MATCH(D3457,RulebookFields!A2:A1898, 0))="")=TRUE),  "",  INDEX(RulebookFields!D2:D1898, MATCH(D3457,RulebookFields!A2:A1898, 0))), "")</f>
        <v>ProcedureExecution</v>
      </c>
      <c r="J3457" s="4" t="b">
        <f>_xlfn.IFNA(IF(((INDEX(RulebookFields!I2:I1898, MATCH(D3457,RulebookFields!A2:A1898, 0))="")=TRUE),  "",  INDEX(RulebookFields!I2:I1898, MATCH(D3457,RulebookFields!A2:A1898, 0))), "")</f>
        <v>0</v>
      </c>
      <c r="K3457" s="4" t="b">
        <f>AND(((F3457)=TRUE), ((J3457)=TRUE))</f>
        <v>0</v>
      </c>
      <c r="L3457" s="4" t="b">
        <f>AND(((G3457 &lt;&gt; "plain")=TRUE), ((G3457 &lt;&gt; "")=TRUE))</f>
        <v>0</v>
      </c>
      <c r="M3457" s="4" t="str">
        <f>IF(((E3457)=TRUE),  C3457 &amp; "|" &amp; H3457,  "")</f>
        <v>principal-knowledge-authority|UserFeedback</v>
      </c>
      <c r="N3457" s="3" t="s">
        <v>10004</v>
      </c>
    </row>
    <row r="3458">
      <c r="A3458" s="3" t="s">
        <v>13460</v>
      </c>
      <c r="B3458" s="4" t="str">
        <f>C3458 &amp; " -&gt; " &amp; D3458</f>
        <v>principal-knowledge-authority -&gt; UserFeedback.ProvidedByAgent</v>
      </c>
      <c r="C3458" s="3" t="s">
        <v>9774</v>
      </c>
      <c r="D3458" s="3" t="s">
        <v>3890</v>
      </c>
      <c r="E3458" s="3" t="b">
        <v>1</v>
      </c>
      <c r="F3458" s="3" t="b">
        <v>0</v>
      </c>
      <c r="G3458" s="3" t="s">
        <v>10003</v>
      </c>
      <c r="H3458" s="4" t="str">
        <f>_xlfn.IFNA(IF(((INDEX(RulebookFields!C2:C1898, MATCH(D3458,RulebookFields!A2:A1898, 0))="")=TRUE),  "",  INDEX(RulebookFields!C2:C1898, MATCH(D3458,RulebookFields!A2:A1898, 0))), "")</f>
        <v>UserFeedback</v>
      </c>
      <c r="I3458" s="4" t="str">
        <f>_xlfn.IFNA(IF(((INDEX(RulebookFields!D2:D1898, MATCH(D3458,RulebookFields!A2:A1898, 0))="")=TRUE),  "",  INDEX(RulebookFields!D2:D1898, MATCH(D3458,RulebookFields!A2:A1898, 0))), "")</f>
        <v>ProvidedByAgent</v>
      </c>
      <c r="J3458" s="4" t="b">
        <f>_xlfn.IFNA(IF(((INDEX(RulebookFields!I2:I1898, MATCH(D3458,RulebookFields!A2:A1898, 0))="")=TRUE),  "",  INDEX(RulebookFields!I2:I1898, MATCH(D3458,RulebookFields!A2:A1898, 0))), "")</f>
        <v>0</v>
      </c>
      <c r="K3458" s="4" t="b">
        <f>AND(((F3458)=TRUE), ((J3458)=TRUE))</f>
        <v>0</v>
      </c>
      <c r="L3458" s="4" t="b">
        <f>AND(((G3458 &lt;&gt; "plain")=TRUE), ((G3458 &lt;&gt; "")=TRUE))</f>
        <v>0</v>
      </c>
      <c r="M3458" s="4" t="str">
        <f>IF(((E3458)=TRUE),  C3458 &amp; "|" &amp; H3458,  "")</f>
        <v>principal-knowledge-authority|UserFeedback</v>
      </c>
      <c r="N3458" s="3" t="s">
        <v>10004</v>
      </c>
    </row>
    <row r="3459">
      <c r="A3459" s="3" t="s">
        <v>13461</v>
      </c>
      <c r="B3459" s="4" t="str">
        <f>C3459 &amp; " -&gt; " &amp; D3459</f>
        <v>principal-knowledge-authority -&gt; UserFeedback.ProvidedAt</v>
      </c>
      <c r="C3459" s="3" t="s">
        <v>9774</v>
      </c>
      <c r="D3459" s="3" t="s">
        <v>3891</v>
      </c>
      <c r="E3459" s="3" t="b">
        <v>1</v>
      </c>
      <c r="F3459" s="3" t="b">
        <v>0</v>
      </c>
      <c r="G3459" s="3" t="s">
        <v>10003</v>
      </c>
      <c r="H3459" s="4" t="str">
        <f>_xlfn.IFNA(IF(((INDEX(RulebookFields!C2:C1898, MATCH(D3459,RulebookFields!A2:A1898, 0))="")=TRUE),  "",  INDEX(RulebookFields!C2:C1898, MATCH(D3459,RulebookFields!A2:A1898, 0))), "")</f>
        <v>UserFeedback</v>
      </c>
      <c r="I3459" s="4" t="str">
        <f>_xlfn.IFNA(IF(((INDEX(RulebookFields!D2:D1898, MATCH(D3459,RulebookFields!A2:A1898, 0))="")=TRUE),  "",  INDEX(RulebookFields!D2:D1898, MATCH(D3459,RulebookFields!A2:A1898, 0))), "")</f>
        <v>ProvidedAt</v>
      </c>
      <c r="J3459" s="4" t="b">
        <f>_xlfn.IFNA(IF(((INDEX(RulebookFields!I2:I1898, MATCH(D3459,RulebookFields!A2:A1898, 0))="")=TRUE),  "",  INDEX(RulebookFields!I2:I1898, MATCH(D3459,RulebookFields!A2:A1898, 0))), "")</f>
        <v>0</v>
      </c>
      <c r="K3459" s="4" t="b">
        <f>AND(((F3459)=TRUE), ((J3459)=TRUE))</f>
        <v>0</v>
      </c>
      <c r="L3459" s="4" t="b">
        <f>AND(((G3459 &lt;&gt; "plain")=TRUE), ((G3459 &lt;&gt; "")=TRUE))</f>
        <v>0</v>
      </c>
      <c r="M3459" s="4" t="str">
        <f>IF(((E3459)=TRUE),  C3459 &amp; "|" &amp; H3459,  "")</f>
        <v>principal-knowledge-authority|UserFeedback</v>
      </c>
      <c r="N3459" s="3" t="s">
        <v>10004</v>
      </c>
    </row>
    <row r="3460">
      <c r="A3460" s="3" t="s">
        <v>13462</v>
      </c>
      <c r="B3460" s="4" t="str">
        <f>C3460 &amp; " -&gt; " &amp; D3460</f>
        <v>principal-knowledge-authority -&gt; UserFeedback.FeedbackText</v>
      </c>
      <c r="C3460" s="3" t="s">
        <v>9774</v>
      </c>
      <c r="D3460" s="3" t="s">
        <v>3892</v>
      </c>
      <c r="E3460" s="3" t="b">
        <v>1</v>
      </c>
      <c r="F3460" s="3" t="b">
        <v>0</v>
      </c>
      <c r="G3460" s="3" t="s">
        <v>10003</v>
      </c>
      <c r="H3460" s="4" t="str">
        <f>_xlfn.IFNA(IF(((INDEX(RulebookFields!C2:C1898, MATCH(D3460,RulebookFields!A2:A1898, 0))="")=TRUE),  "",  INDEX(RulebookFields!C2:C1898, MATCH(D3460,RulebookFields!A2:A1898, 0))), "")</f>
        <v>UserFeedback</v>
      </c>
      <c r="I3460" s="4" t="str">
        <f>_xlfn.IFNA(IF(((INDEX(RulebookFields!D2:D1898, MATCH(D3460,RulebookFields!A2:A1898, 0))="")=TRUE),  "",  INDEX(RulebookFields!D2:D1898, MATCH(D3460,RulebookFields!A2:A1898, 0))), "")</f>
        <v>FeedbackText</v>
      </c>
      <c r="J3460" s="4" t="b">
        <f>_xlfn.IFNA(IF(((INDEX(RulebookFields!I2:I1898, MATCH(D3460,RulebookFields!A2:A1898, 0))="")=TRUE),  "",  INDEX(RulebookFields!I2:I1898, MATCH(D3460,RulebookFields!A2:A1898, 0))), "")</f>
        <v>0</v>
      </c>
      <c r="K3460" s="4" t="b">
        <f>AND(((F3460)=TRUE), ((J3460)=TRUE))</f>
        <v>0</v>
      </c>
      <c r="L3460" s="4" t="b">
        <f>AND(((G3460 &lt;&gt; "plain")=TRUE), ((G3460 &lt;&gt; "")=TRUE))</f>
        <v>0</v>
      </c>
      <c r="M3460" s="4" t="str">
        <f>IF(((E3460)=TRUE),  C3460 &amp; "|" &amp; H3460,  "")</f>
        <v>principal-knowledge-authority|UserFeedback</v>
      </c>
      <c r="N3460" s="3" t="s">
        <v>10004</v>
      </c>
    </row>
    <row r="3461">
      <c r="A3461" s="3" t="s">
        <v>13463</v>
      </c>
      <c r="B3461" s="4" t="str">
        <f>C3461 &amp; " -&gt; " &amp; D3461</f>
        <v>principal-knowledge-authority -&gt; UserFeedback.Disposition</v>
      </c>
      <c r="C3461" s="3" t="s">
        <v>9774</v>
      </c>
      <c r="D3461" s="3" t="s">
        <v>3893</v>
      </c>
      <c r="E3461" s="3" t="b">
        <v>1</v>
      </c>
      <c r="F3461" s="3" t="b">
        <v>0</v>
      </c>
      <c r="G3461" s="3" t="s">
        <v>10003</v>
      </c>
      <c r="H3461" s="4" t="str">
        <f>_xlfn.IFNA(IF(((INDEX(RulebookFields!C2:C1898, MATCH(D3461,RulebookFields!A2:A1898, 0))="")=TRUE),  "",  INDEX(RulebookFields!C2:C1898, MATCH(D3461,RulebookFields!A2:A1898, 0))), "")</f>
        <v>UserFeedback</v>
      </c>
      <c r="I3461" s="4" t="str">
        <f>_xlfn.IFNA(IF(((INDEX(RulebookFields!D2:D1898, MATCH(D3461,RulebookFields!A2:A1898, 0))="")=TRUE),  "",  INDEX(RulebookFields!D2:D1898, MATCH(D3461,RulebookFields!A2:A1898, 0))), "")</f>
        <v>Disposition</v>
      </c>
      <c r="J3461" s="4" t="b">
        <f>_xlfn.IFNA(IF(((INDEX(RulebookFields!I2:I1898, MATCH(D3461,RulebookFields!A2:A1898, 0))="")=TRUE),  "",  INDEX(RulebookFields!I2:I1898, MATCH(D3461,RulebookFields!A2:A1898, 0))), "")</f>
        <v>0</v>
      </c>
      <c r="K3461" s="4" t="b">
        <f>AND(((F3461)=TRUE), ((J3461)=TRUE))</f>
        <v>0</v>
      </c>
      <c r="L3461" s="4" t="b">
        <f>AND(((G3461 &lt;&gt; "plain")=TRUE), ((G3461 &lt;&gt; "")=TRUE))</f>
        <v>0</v>
      </c>
      <c r="M3461" s="4" t="str">
        <f>IF(((E3461)=TRUE),  C3461 &amp; "|" &amp; H3461,  "")</f>
        <v>principal-knowledge-authority|UserFeedback</v>
      </c>
      <c r="N3461" s="3" t="s">
        <v>10004</v>
      </c>
    </row>
    <row r="3462">
      <c r="A3462" s="3" t="s">
        <v>13464</v>
      </c>
      <c r="B3462" s="4" t="str">
        <f>C3462 &amp; " -&gt; " &amp; D3462</f>
        <v>principal-knowledge-authority -&gt; UserFeedback.ChangeRequestKey</v>
      </c>
      <c r="C3462" s="3" t="s">
        <v>9774</v>
      </c>
      <c r="D3462" s="3" t="s">
        <v>3894</v>
      </c>
      <c r="E3462" s="3" t="b">
        <v>1</v>
      </c>
      <c r="F3462" s="3" t="b">
        <v>0</v>
      </c>
      <c r="G3462" s="3" t="s">
        <v>10003</v>
      </c>
      <c r="H3462" s="4" t="str">
        <f>_xlfn.IFNA(IF(((INDEX(RulebookFields!C2:C1898, MATCH(D3462,RulebookFields!A2:A1898, 0))="")=TRUE),  "",  INDEX(RulebookFields!C2:C1898, MATCH(D3462,RulebookFields!A2:A1898, 0))), "")</f>
        <v>UserFeedback</v>
      </c>
      <c r="I3462" s="4" t="str">
        <f>_xlfn.IFNA(IF(((INDEX(RulebookFields!D2:D1898, MATCH(D3462,RulebookFields!A2:A1898, 0))="")=TRUE),  "",  INDEX(RulebookFields!D2:D1898, MATCH(D3462,RulebookFields!A2:A1898, 0))), "")</f>
        <v>ChangeRequestKey</v>
      </c>
      <c r="J3462" s="4" t="b">
        <f>_xlfn.IFNA(IF(((INDEX(RulebookFields!I2:I1898, MATCH(D3462,RulebookFields!A2:A1898, 0))="")=TRUE),  "",  INDEX(RulebookFields!I2:I1898, MATCH(D3462,RulebookFields!A2:A1898, 0))), "")</f>
        <v>0</v>
      </c>
      <c r="K3462" s="4" t="b">
        <f>AND(((F3462)=TRUE), ((J3462)=TRUE))</f>
        <v>0</v>
      </c>
      <c r="L3462" s="4" t="b">
        <f>AND(((G3462 &lt;&gt; "plain")=TRUE), ((G3462 &lt;&gt; "")=TRUE))</f>
        <v>0</v>
      </c>
      <c r="M3462" s="4" t="str">
        <f>IF(((E3462)=TRUE),  C3462 &amp; "|" &amp; H3462,  "")</f>
        <v>principal-knowledge-authority|UserFeedback</v>
      </c>
      <c r="N3462" s="3" t="s">
        <v>10004</v>
      </c>
    </row>
    <row r="3463">
      <c r="A3463" s="3" t="s">
        <v>13465</v>
      </c>
      <c r="B3463" s="4" t="str">
        <f>C3463 &amp; " -&gt; " &amp; D3463</f>
        <v>principal-knowledge-authority -&gt; UserFeedback.SemanticTypeIri</v>
      </c>
      <c r="C3463" s="3" t="s">
        <v>9774</v>
      </c>
      <c r="D3463" s="3" t="s">
        <v>3895</v>
      </c>
      <c r="E3463" s="3" t="b">
        <v>1</v>
      </c>
      <c r="F3463" s="3" t="b">
        <v>0</v>
      </c>
      <c r="G3463" s="3" t="s">
        <v>10003</v>
      </c>
      <c r="H3463" s="4" t="str">
        <f>_xlfn.IFNA(IF(((INDEX(RulebookFields!C2:C1898, MATCH(D3463,RulebookFields!A2:A1898, 0))="")=TRUE),  "",  INDEX(RulebookFields!C2:C1898, MATCH(D3463,RulebookFields!A2:A1898, 0))), "")</f>
        <v>UserFeedback</v>
      </c>
      <c r="I3463" s="4" t="str">
        <f>_xlfn.IFNA(IF(((INDEX(RulebookFields!D2:D1898, MATCH(D3463,RulebookFields!A2:A1898, 0))="")=TRUE),  "",  INDEX(RulebookFields!D2:D1898, MATCH(D3463,RulebookFields!A2:A1898, 0))), "")</f>
        <v>SemanticTypeIri</v>
      </c>
      <c r="J3463" s="4" t="b">
        <f>_xlfn.IFNA(IF(((INDEX(RulebookFields!I2:I1898, MATCH(D3463,RulebookFields!A2:A1898, 0))="")=TRUE),  "",  INDEX(RulebookFields!I2:I1898, MATCH(D3463,RulebookFields!A2:A1898, 0))), "")</f>
        <v>0</v>
      </c>
      <c r="K3463" s="4" t="b">
        <f>AND(((F3463)=TRUE), ((J3463)=TRUE))</f>
        <v>0</v>
      </c>
      <c r="L3463" s="4" t="b">
        <f>AND(((G3463 &lt;&gt; "plain")=TRUE), ((G3463 &lt;&gt; "")=TRUE))</f>
        <v>0</v>
      </c>
      <c r="M3463" s="4" t="str">
        <f>IF(((E3463)=TRUE),  C3463 &amp; "|" &amp; H3463,  "")</f>
        <v>principal-knowledge-authority|UserFeedback</v>
      </c>
      <c r="N3463" s="3" t="s">
        <v>10004</v>
      </c>
    </row>
    <row r="3464">
      <c r="A3464" s="3" t="s">
        <v>13466</v>
      </c>
      <c r="B3464" s="4" t="str">
        <f>C3464 &amp; " -&gt; " &amp; D3464</f>
        <v>principal-knowledge-authority -&gt; UserQuestions.UserQuestionId</v>
      </c>
      <c r="C3464" s="3" t="s">
        <v>9774</v>
      </c>
      <c r="D3464" s="3" t="s">
        <v>3875</v>
      </c>
      <c r="E3464" s="3" t="b">
        <v>1</v>
      </c>
      <c r="F3464" s="3" t="b">
        <v>0</v>
      </c>
      <c r="G3464" s="3" t="s">
        <v>10003</v>
      </c>
      <c r="H3464" s="4" t="str">
        <f>_xlfn.IFNA(IF(((INDEX(RulebookFields!C2:C1898, MATCH(D3464,RulebookFields!A2:A1898, 0))="")=TRUE),  "",  INDEX(RulebookFields!C2:C1898, MATCH(D3464,RulebookFields!A2:A1898, 0))), "")</f>
        <v>UserQuestions</v>
      </c>
      <c r="I3464" s="4" t="str">
        <f>_xlfn.IFNA(IF(((INDEX(RulebookFields!D2:D1898, MATCH(D3464,RulebookFields!A2:A1898, 0))="")=TRUE),  "",  INDEX(RulebookFields!D2:D1898, MATCH(D3464,RulebookFields!A2:A1898, 0))), "")</f>
        <v>UserQuestionId</v>
      </c>
      <c r="J3464" s="4" t="b">
        <f>_xlfn.IFNA(IF(((INDEX(RulebookFields!I2:I1898, MATCH(D3464,RulebookFields!A2:A1898, 0))="")=TRUE),  "",  INDEX(RulebookFields!I2:I1898, MATCH(D3464,RulebookFields!A2:A1898, 0))), "")</f>
        <v>0</v>
      </c>
      <c r="K3464" s="4" t="b">
        <f>AND(((F3464)=TRUE), ((J3464)=TRUE))</f>
        <v>0</v>
      </c>
      <c r="L3464" s="4" t="b">
        <f>AND(((G3464 &lt;&gt; "plain")=TRUE), ((G3464 &lt;&gt; "")=TRUE))</f>
        <v>0</v>
      </c>
      <c r="M3464" s="4" t="str">
        <f>IF(((E3464)=TRUE),  C3464 &amp; "|" &amp; H3464,  "")</f>
        <v>principal-knowledge-authority|UserQuestions</v>
      </c>
      <c r="N3464" s="3" t="s">
        <v>10004</v>
      </c>
    </row>
    <row r="3465">
      <c r="A3465" s="3" t="s">
        <v>13467</v>
      </c>
      <c r="B3465" s="4" t="str">
        <f>C3465 &amp; " -&gt; " &amp; D3465</f>
        <v>principal-knowledge-authority -&gt; UserQuestions.Name</v>
      </c>
      <c r="C3465" s="3" t="s">
        <v>9774</v>
      </c>
      <c r="D3465" s="3" t="s">
        <v>3876</v>
      </c>
      <c r="E3465" s="3" t="b">
        <v>1</v>
      </c>
      <c r="F3465" s="3" t="b">
        <v>0</v>
      </c>
      <c r="G3465" s="3" t="s">
        <v>10003</v>
      </c>
      <c r="H3465" s="4" t="str">
        <f>_xlfn.IFNA(IF(((INDEX(RulebookFields!C2:C1898, MATCH(D3465,RulebookFields!A2:A1898, 0))="")=TRUE),  "",  INDEX(RulebookFields!C2:C1898, MATCH(D3465,RulebookFields!A2:A1898, 0))), "")</f>
        <v>UserQuestions</v>
      </c>
      <c r="I3465" s="4" t="str">
        <f>_xlfn.IFNA(IF(((INDEX(RulebookFields!D2:D1898, MATCH(D3465,RulebookFields!A2:A1898, 0))="")=TRUE),  "",  INDEX(RulebookFields!D2:D1898, MATCH(D3465,RulebookFields!A2:A1898, 0))), "")</f>
        <v>Name</v>
      </c>
      <c r="J3465" s="4" t="b">
        <f>_xlfn.IFNA(IF(((INDEX(RulebookFields!I2:I1898, MATCH(D3465,RulebookFields!A2:A1898, 0))="")=TRUE),  "",  INDEX(RulebookFields!I2:I1898, MATCH(D3465,RulebookFields!A2:A1898, 0))), "")</f>
        <v>1</v>
      </c>
      <c r="K3465" s="4" t="b">
        <f>AND(((F3465)=TRUE), ((J3465)=TRUE))</f>
        <v>0</v>
      </c>
      <c r="L3465" s="4" t="b">
        <f>AND(((G3465 &lt;&gt; "plain")=TRUE), ((G3465 &lt;&gt; "")=TRUE))</f>
        <v>0</v>
      </c>
      <c r="M3465" s="4" t="str">
        <f>IF(((E3465)=TRUE),  C3465 &amp; "|" &amp; H3465,  "")</f>
        <v>principal-knowledge-authority|UserQuestions</v>
      </c>
      <c r="N3465" s="3" t="s">
        <v>10004</v>
      </c>
    </row>
    <row r="3466">
      <c r="A3466" s="3" t="s">
        <v>13468</v>
      </c>
      <c r="B3466" s="4" t="str">
        <f>C3466 &amp; " -&gt; " &amp; D3466</f>
        <v>principal-knowledge-authority -&gt; UserQuestions.StepExecution</v>
      </c>
      <c r="C3466" s="3" t="s">
        <v>9774</v>
      </c>
      <c r="D3466" s="3" t="s">
        <v>3878</v>
      </c>
      <c r="E3466" s="3" t="b">
        <v>1</v>
      </c>
      <c r="F3466" s="3" t="b">
        <v>0</v>
      </c>
      <c r="G3466" s="3" t="s">
        <v>10003</v>
      </c>
      <c r="H3466" s="4" t="str">
        <f>_xlfn.IFNA(IF(((INDEX(RulebookFields!C2:C1898, MATCH(D3466,RulebookFields!A2:A1898, 0))="")=TRUE),  "",  INDEX(RulebookFields!C2:C1898, MATCH(D3466,RulebookFields!A2:A1898, 0))), "")</f>
        <v>UserQuestions</v>
      </c>
      <c r="I3466" s="4" t="str">
        <f>_xlfn.IFNA(IF(((INDEX(RulebookFields!D2:D1898, MATCH(D3466,RulebookFields!A2:A1898, 0))="")=TRUE),  "",  INDEX(RulebookFields!D2:D1898, MATCH(D3466,RulebookFields!A2:A1898, 0))), "")</f>
        <v>StepExecution</v>
      </c>
      <c r="J3466" s="4" t="b">
        <f>_xlfn.IFNA(IF(((INDEX(RulebookFields!I2:I1898, MATCH(D3466,RulebookFields!A2:A1898, 0))="")=TRUE),  "",  INDEX(RulebookFields!I2:I1898, MATCH(D3466,RulebookFields!A2:A1898, 0))), "")</f>
        <v>0</v>
      </c>
      <c r="K3466" s="4" t="b">
        <f>AND(((F3466)=TRUE), ((J3466)=TRUE))</f>
        <v>0</v>
      </c>
      <c r="L3466" s="4" t="b">
        <f>AND(((G3466 &lt;&gt; "plain")=TRUE), ((G3466 &lt;&gt; "")=TRUE))</f>
        <v>0</v>
      </c>
      <c r="M3466" s="4" t="str">
        <f>IF(((E3466)=TRUE),  C3466 &amp; "|" &amp; H3466,  "")</f>
        <v>principal-knowledge-authority|UserQuestions</v>
      </c>
      <c r="N3466" s="3" t="s">
        <v>10004</v>
      </c>
    </row>
    <row r="3467">
      <c r="A3467" s="3" t="s">
        <v>13469</v>
      </c>
      <c r="B3467" s="4" t="str">
        <f>C3467 &amp; " -&gt; " &amp; D3467</f>
        <v>principal-knowledge-authority -&gt; UserQuestions.AskedByAgent</v>
      </c>
      <c r="C3467" s="3" t="s">
        <v>9774</v>
      </c>
      <c r="D3467" s="3" t="s">
        <v>3879</v>
      </c>
      <c r="E3467" s="3" t="b">
        <v>1</v>
      </c>
      <c r="F3467" s="3" t="b">
        <v>0</v>
      </c>
      <c r="G3467" s="3" t="s">
        <v>10003</v>
      </c>
      <c r="H3467" s="4" t="str">
        <f>_xlfn.IFNA(IF(((INDEX(RulebookFields!C2:C1898, MATCH(D3467,RulebookFields!A2:A1898, 0))="")=TRUE),  "",  INDEX(RulebookFields!C2:C1898, MATCH(D3467,RulebookFields!A2:A1898, 0))), "")</f>
        <v>UserQuestions</v>
      </c>
      <c r="I3467" s="4" t="str">
        <f>_xlfn.IFNA(IF(((INDEX(RulebookFields!D2:D1898, MATCH(D3467,RulebookFields!A2:A1898, 0))="")=TRUE),  "",  INDEX(RulebookFields!D2:D1898, MATCH(D3467,RulebookFields!A2:A1898, 0))), "")</f>
        <v>AskedByAgent</v>
      </c>
      <c r="J3467" s="4" t="b">
        <f>_xlfn.IFNA(IF(((INDEX(RulebookFields!I2:I1898, MATCH(D3467,RulebookFields!A2:A1898, 0))="")=TRUE),  "",  INDEX(RulebookFields!I2:I1898, MATCH(D3467,RulebookFields!A2:A1898, 0))), "")</f>
        <v>0</v>
      </c>
      <c r="K3467" s="4" t="b">
        <f>AND(((F3467)=TRUE), ((J3467)=TRUE))</f>
        <v>0</v>
      </c>
      <c r="L3467" s="4" t="b">
        <f>AND(((G3467 &lt;&gt; "plain")=TRUE), ((G3467 &lt;&gt; "")=TRUE))</f>
        <v>0</v>
      </c>
      <c r="M3467" s="4" t="str">
        <f>IF(((E3467)=TRUE),  C3467 &amp; "|" &amp; H3467,  "")</f>
        <v>principal-knowledge-authority|UserQuestions</v>
      </c>
      <c r="N3467" s="3" t="s">
        <v>10004</v>
      </c>
    </row>
    <row r="3468">
      <c r="A3468" s="3" t="s">
        <v>13470</v>
      </c>
      <c r="B3468" s="4" t="str">
        <f>C3468 &amp; " -&gt; " &amp; D3468</f>
        <v>principal-knowledge-authority -&gt; UserQuestions.AskedAt</v>
      </c>
      <c r="C3468" s="3" t="s">
        <v>9774</v>
      </c>
      <c r="D3468" s="3" t="s">
        <v>3880</v>
      </c>
      <c r="E3468" s="3" t="b">
        <v>1</v>
      </c>
      <c r="F3468" s="3" t="b">
        <v>0</v>
      </c>
      <c r="G3468" s="3" t="s">
        <v>10003</v>
      </c>
      <c r="H3468" s="4" t="str">
        <f>_xlfn.IFNA(IF(((INDEX(RulebookFields!C2:C1898, MATCH(D3468,RulebookFields!A2:A1898, 0))="")=TRUE),  "",  INDEX(RulebookFields!C2:C1898, MATCH(D3468,RulebookFields!A2:A1898, 0))), "")</f>
        <v>UserQuestions</v>
      </c>
      <c r="I3468" s="4" t="str">
        <f>_xlfn.IFNA(IF(((INDEX(RulebookFields!D2:D1898, MATCH(D3468,RulebookFields!A2:A1898, 0))="")=TRUE),  "",  INDEX(RulebookFields!D2:D1898, MATCH(D3468,RulebookFields!A2:A1898, 0))), "")</f>
        <v>AskedAt</v>
      </c>
      <c r="J3468" s="4" t="b">
        <f>_xlfn.IFNA(IF(((INDEX(RulebookFields!I2:I1898, MATCH(D3468,RulebookFields!A2:A1898, 0))="")=TRUE),  "",  INDEX(RulebookFields!I2:I1898, MATCH(D3468,RulebookFields!A2:A1898, 0))), "")</f>
        <v>0</v>
      </c>
      <c r="K3468" s="4" t="b">
        <f>AND(((F3468)=TRUE), ((J3468)=TRUE))</f>
        <v>0</v>
      </c>
      <c r="L3468" s="4" t="b">
        <f>AND(((G3468 &lt;&gt; "plain")=TRUE), ((G3468 &lt;&gt; "")=TRUE))</f>
        <v>0</v>
      </c>
      <c r="M3468" s="4" t="str">
        <f>IF(((E3468)=TRUE),  C3468 &amp; "|" &amp; H3468,  "")</f>
        <v>principal-knowledge-authority|UserQuestions</v>
      </c>
      <c r="N3468" s="3" t="s">
        <v>10004</v>
      </c>
    </row>
    <row r="3469">
      <c r="A3469" s="3" t="s">
        <v>13471</v>
      </c>
      <c r="B3469" s="4" t="str">
        <f>C3469 &amp; " -&gt; " &amp; D3469</f>
        <v>principal-knowledge-authority -&gt; UserQuestions.QuestionText</v>
      </c>
      <c r="C3469" s="3" t="s">
        <v>9774</v>
      </c>
      <c r="D3469" s="3" t="s">
        <v>3881</v>
      </c>
      <c r="E3469" s="3" t="b">
        <v>1</v>
      </c>
      <c r="F3469" s="3" t="b">
        <v>0</v>
      </c>
      <c r="G3469" s="3" t="s">
        <v>10003</v>
      </c>
      <c r="H3469" s="4" t="str">
        <f>_xlfn.IFNA(IF(((INDEX(RulebookFields!C2:C1898, MATCH(D3469,RulebookFields!A2:A1898, 0))="")=TRUE),  "",  INDEX(RulebookFields!C2:C1898, MATCH(D3469,RulebookFields!A2:A1898, 0))), "")</f>
        <v>UserQuestions</v>
      </c>
      <c r="I3469" s="4" t="str">
        <f>_xlfn.IFNA(IF(((INDEX(RulebookFields!D2:D1898, MATCH(D3469,RulebookFields!A2:A1898, 0))="")=TRUE),  "",  INDEX(RulebookFields!D2:D1898, MATCH(D3469,RulebookFields!A2:A1898, 0))), "")</f>
        <v>QuestionText</v>
      </c>
      <c r="J3469" s="4" t="b">
        <f>_xlfn.IFNA(IF(((INDEX(RulebookFields!I2:I1898, MATCH(D3469,RulebookFields!A2:A1898, 0))="")=TRUE),  "",  INDEX(RulebookFields!I2:I1898, MATCH(D3469,RulebookFields!A2:A1898, 0))), "")</f>
        <v>0</v>
      </c>
      <c r="K3469" s="4" t="b">
        <f>AND(((F3469)=TRUE), ((J3469)=TRUE))</f>
        <v>0</v>
      </c>
      <c r="L3469" s="4" t="b">
        <f>AND(((G3469 &lt;&gt; "plain")=TRUE), ((G3469 &lt;&gt; "")=TRUE))</f>
        <v>0</v>
      </c>
      <c r="M3469" s="4" t="str">
        <f>IF(((E3469)=TRUE),  C3469 &amp; "|" &amp; H3469,  "")</f>
        <v>principal-knowledge-authority|UserQuestions</v>
      </c>
      <c r="N3469" s="3" t="s">
        <v>10004</v>
      </c>
    </row>
    <row r="3470">
      <c r="A3470" s="3" t="s">
        <v>13472</v>
      </c>
      <c r="B3470" s="4" t="str">
        <f>C3470 &amp; " -&gt; " &amp; D3470</f>
        <v>principal-knowledge-authority -&gt; UserQuestions.ResolvedByFaq</v>
      </c>
      <c r="C3470" s="3" t="s">
        <v>9774</v>
      </c>
      <c r="D3470" s="3" t="s">
        <v>3882</v>
      </c>
      <c r="E3470" s="3" t="b">
        <v>1</v>
      </c>
      <c r="F3470" s="3" t="b">
        <v>0</v>
      </c>
      <c r="G3470" s="3" t="s">
        <v>10003</v>
      </c>
      <c r="H3470" s="4" t="str">
        <f>_xlfn.IFNA(IF(((INDEX(RulebookFields!C2:C1898, MATCH(D3470,RulebookFields!A2:A1898, 0))="")=TRUE),  "",  INDEX(RulebookFields!C2:C1898, MATCH(D3470,RulebookFields!A2:A1898, 0))), "")</f>
        <v>UserQuestions</v>
      </c>
      <c r="I3470" s="4" t="str">
        <f>_xlfn.IFNA(IF(((INDEX(RulebookFields!D2:D1898, MATCH(D3470,RulebookFields!A2:A1898, 0))="")=TRUE),  "",  INDEX(RulebookFields!D2:D1898, MATCH(D3470,RulebookFields!A2:A1898, 0))), "")</f>
        <v>ResolvedByFaq</v>
      </c>
      <c r="J3470" s="4" t="b">
        <f>_xlfn.IFNA(IF(((INDEX(RulebookFields!I2:I1898, MATCH(D3470,RulebookFields!A2:A1898, 0))="")=TRUE),  "",  INDEX(RulebookFields!I2:I1898, MATCH(D3470,RulebookFields!A2:A1898, 0))), "")</f>
        <v>0</v>
      </c>
      <c r="K3470" s="4" t="b">
        <f>AND(((F3470)=TRUE), ((J3470)=TRUE))</f>
        <v>0</v>
      </c>
      <c r="L3470" s="4" t="b">
        <f>AND(((G3470 &lt;&gt; "plain")=TRUE), ((G3470 &lt;&gt; "")=TRUE))</f>
        <v>0</v>
      </c>
      <c r="M3470" s="4" t="str">
        <f>IF(((E3470)=TRUE),  C3470 &amp; "|" &amp; H3470,  "")</f>
        <v>principal-knowledge-authority|UserQuestions</v>
      </c>
      <c r="N3470" s="3" t="s">
        <v>10004</v>
      </c>
    </row>
    <row r="3471">
      <c r="A3471" s="3" t="s">
        <v>13473</v>
      </c>
      <c r="B3471" s="4" t="str">
        <f>C3471 &amp; " -&gt; " &amp; D3471</f>
        <v>principal-knowledge-authority -&gt; UserQuestions.AddressedByResource</v>
      </c>
      <c r="C3471" s="3" t="s">
        <v>9774</v>
      </c>
      <c r="D3471" s="3" t="s">
        <v>3883</v>
      </c>
      <c r="E3471" s="3" t="b">
        <v>1</v>
      </c>
      <c r="F3471" s="3" t="b">
        <v>0</v>
      </c>
      <c r="G3471" s="3" t="s">
        <v>10003</v>
      </c>
      <c r="H3471" s="4" t="str">
        <f>_xlfn.IFNA(IF(((INDEX(RulebookFields!C2:C1898, MATCH(D3471,RulebookFields!A2:A1898, 0))="")=TRUE),  "",  INDEX(RulebookFields!C2:C1898, MATCH(D3471,RulebookFields!A2:A1898, 0))), "")</f>
        <v>UserQuestions</v>
      </c>
      <c r="I3471" s="4" t="str">
        <f>_xlfn.IFNA(IF(((INDEX(RulebookFields!D2:D1898, MATCH(D3471,RulebookFields!A2:A1898, 0))="")=TRUE),  "",  INDEX(RulebookFields!D2:D1898, MATCH(D3471,RulebookFields!A2:A1898, 0))), "")</f>
        <v>AddressedByResource</v>
      </c>
      <c r="J3471" s="4" t="b">
        <f>_xlfn.IFNA(IF(((INDEX(RulebookFields!I2:I1898, MATCH(D3471,RulebookFields!A2:A1898, 0))="")=TRUE),  "",  INDEX(RulebookFields!I2:I1898, MATCH(D3471,RulebookFields!A2:A1898, 0))), "")</f>
        <v>0</v>
      </c>
      <c r="K3471" s="4" t="b">
        <f>AND(((F3471)=TRUE), ((J3471)=TRUE))</f>
        <v>0</v>
      </c>
      <c r="L3471" s="4" t="b">
        <f>AND(((G3471 &lt;&gt; "plain")=TRUE), ((G3471 &lt;&gt; "")=TRUE))</f>
        <v>0</v>
      </c>
      <c r="M3471" s="4" t="str">
        <f>IF(((E3471)=TRUE),  C3471 &amp; "|" &amp; H3471,  "")</f>
        <v>principal-knowledge-authority|UserQuestions</v>
      </c>
      <c r="N3471" s="3" t="s">
        <v>10004</v>
      </c>
    </row>
    <row r="3472">
      <c r="A3472" s="3" t="s">
        <v>13474</v>
      </c>
      <c r="B3472" s="4" t="str">
        <f>C3472 &amp; " -&gt; " &amp; D3472</f>
        <v>principal-knowledge-authority -&gt; UserQuestions.Status</v>
      </c>
      <c r="C3472" s="3" t="s">
        <v>9774</v>
      </c>
      <c r="D3472" s="3" t="s">
        <v>3884</v>
      </c>
      <c r="E3472" s="3" t="b">
        <v>1</v>
      </c>
      <c r="F3472" s="3" t="b">
        <v>0</v>
      </c>
      <c r="G3472" s="3" t="s">
        <v>10003</v>
      </c>
      <c r="H3472" s="4" t="str">
        <f>_xlfn.IFNA(IF(((INDEX(RulebookFields!C2:C1898, MATCH(D3472,RulebookFields!A2:A1898, 0))="")=TRUE),  "",  INDEX(RulebookFields!C2:C1898, MATCH(D3472,RulebookFields!A2:A1898, 0))), "")</f>
        <v>UserQuestions</v>
      </c>
      <c r="I3472" s="4" t="str">
        <f>_xlfn.IFNA(IF(((INDEX(RulebookFields!D2:D1898, MATCH(D3472,RulebookFields!A2:A1898, 0))="")=TRUE),  "",  INDEX(RulebookFields!D2:D1898, MATCH(D3472,RulebookFields!A2:A1898, 0))), "")</f>
        <v>Status</v>
      </c>
      <c r="J3472" s="4" t="b">
        <f>_xlfn.IFNA(IF(((INDEX(RulebookFields!I2:I1898, MATCH(D3472,RulebookFields!A2:A1898, 0))="")=TRUE),  "",  INDEX(RulebookFields!I2:I1898, MATCH(D3472,RulebookFields!A2:A1898, 0))), "")</f>
        <v>0</v>
      </c>
      <c r="K3472" s="4" t="b">
        <f>AND(((F3472)=TRUE), ((J3472)=TRUE))</f>
        <v>0</v>
      </c>
      <c r="L3472" s="4" t="b">
        <f>AND(((G3472 &lt;&gt; "plain")=TRUE), ((G3472 &lt;&gt; "")=TRUE))</f>
        <v>0</v>
      </c>
      <c r="M3472" s="4" t="str">
        <f>IF(((E3472)=TRUE),  C3472 &amp; "|" &amp; H3472,  "")</f>
        <v>principal-knowledge-authority|UserQuestions</v>
      </c>
      <c r="N3472" s="3" t="s">
        <v>10004</v>
      </c>
    </row>
    <row r="3473">
      <c r="A3473" s="3" t="s">
        <v>13475</v>
      </c>
      <c r="B3473" s="4" t="str">
        <f>C3473 &amp; " -&gt; " &amp; D3473</f>
        <v>principal-knowledge-authority -&gt; UserQuestions.SemanticTypeIri</v>
      </c>
      <c r="C3473" s="3" t="s">
        <v>9774</v>
      </c>
      <c r="D3473" s="3" t="s">
        <v>3885</v>
      </c>
      <c r="E3473" s="3" t="b">
        <v>1</v>
      </c>
      <c r="F3473" s="3" t="b">
        <v>0</v>
      </c>
      <c r="G3473" s="3" t="s">
        <v>10003</v>
      </c>
      <c r="H3473" s="4" t="str">
        <f>_xlfn.IFNA(IF(((INDEX(RulebookFields!C2:C1898, MATCH(D3473,RulebookFields!A2:A1898, 0))="")=TRUE),  "",  INDEX(RulebookFields!C2:C1898, MATCH(D3473,RulebookFields!A2:A1898, 0))), "")</f>
        <v>UserQuestions</v>
      </c>
      <c r="I3473" s="4" t="str">
        <f>_xlfn.IFNA(IF(((INDEX(RulebookFields!D2:D1898, MATCH(D3473,RulebookFields!A2:A1898, 0))="")=TRUE),  "",  INDEX(RulebookFields!D2:D1898, MATCH(D3473,RulebookFields!A2:A1898, 0))), "")</f>
        <v>SemanticTypeIri</v>
      </c>
      <c r="J3473" s="4" t="b">
        <f>_xlfn.IFNA(IF(((INDEX(RulebookFields!I2:I1898, MATCH(D3473,RulebookFields!A2:A1898, 0))="")=TRUE),  "",  INDEX(RulebookFields!I2:I1898, MATCH(D3473,RulebookFields!A2:A1898, 0))), "")</f>
        <v>0</v>
      </c>
      <c r="K3473" s="4" t="b">
        <f>AND(((F3473)=TRUE), ((J3473)=TRUE))</f>
        <v>0</v>
      </c>
      <c r="L3473" s="4" t="b">
        <f>AND(((G3473 &lt;&gt; "plain")=TRUE), ((G3473 &lt;&gt; "")=TRUE))</f>
        <v>0</v>
      </c>
      <c r="M3473" s="4" t="str">
        <f>IF(((E3473)=TRUE),  C3473 &amp; "|" &amp; H3473,  "")</f>
        <v>principal-knowledge-authority|UserQuestions</v>
      </c>
      <c r="N3473" s="3" t="s">
        <v>10004</v>
      </c>
    </row>
    <row r="3474">
      <c r="A3474" s="3" t="s">
        <v>13476</v>
      </c>
      <c r="B3474" s="4" t="str">
        <f>C3474 &amp; " -&gt; " &amp; D3474</f>
        <v>principal-knowledge-authority -&gt; VerificationOutcomes.VerificationOutcomeId</v>
      </c>
      <c r="C3474" s="3" t="s">
        <v>9774</v>
      </c>
      <c r="D3474" s="3" t="s">
        <v>4336</v>
      </c>
      <c r="E3474" s="3" t="b">
        <v>1</v>
      </c>
      <c r="F3474" s="3" t="b">
        <v>0</v>
      </c>
      <c r="G3474" s="3" t="s">
        <v>10003</v>
      </c>
      <c r="H3474" s="4" t="str">
        <f>_xlfn.IFNA(IF(((INDEX(RulebookFields!C2:C1898, MATCH(D3474,RulebookFields!A2:A1898, 0))="")=TRUE),  "",  INDEX(RulebookFields!C2:C1898, MATCH(D3474,RulebookFields!A2:A1898, 0))), "")</f>
        <v>VerificationOutcomes</v>
      </c>
      <c r="I3474" s="4" t="str">
        <f>_xlfn.IFNA(IF(((INDEX(RulebookFields!D2:D1898, MATCH(D3474,RulebookFields!A2:A1898, 0))="")=TRUE),  "",  INDEX(RulebookFields!D2:D1898, MATCH(D3474,RulebookFields!A2:A1898, 0))), "")</f>
        <v>VerificationOutcomeId</v>
      </c>
      <c r="J3474" s="4" t="b">
        <f>_xlfn.IFNA(IF(((INDEX(RulebookFields!I2:I1898, MATCH(D3474,RulebookFields!A2:A1898, 0))="")=TRUE),  "",  INDEX(RulebookFields!I2:I1898, MATCH(D3474,RulebookFields!A2:A1898, 0))), "")</f>
        <v>0</v>
      </c>
      <c r="K3474" s="4" t="b">
        <f>AND(((F3474)=TRUE), ((J3474)=TRUE))</f>
        <v>0</v>
      </c>
      <c r="L3474" s="4" t="b">
        <f>AND(((G3474 &lt;&gt; "plain")=TRUE), ((G3474 &lt;&gt; "")=TRUE))</f>
        <v>0</v>
      </c>
      <c r="M3474" s="4" t="str">
        <f>IF(((E3474)=TRUE),  C3474 &amp; "|" &amp; H3474,  "")</f>
        <v>principal-knowledge-authority|VerificationOutcomes</v>
      </c>
      <c r="N3474" s="3" t="s">
        <v>10004</v>
      </c>
    </row>
    <row r="3475">
      <c r="A3475" s="3" t="s">
        <v>13477</v>
      </c>
      <c r="B3475" s="4" t="str">
        <f>C3475 &amp; " -&gt; " &amp; D3475</f>
        <v>principal-knowledge-authority -&gt; VerificationOutcomes.Name</v>
      </c>
      <c r="C3475" s="3" t="s">
        <v>9774</v>
      </c>
      <c r="D3475" s="3" t="s">
        <v>4339</v>
      </c>
      <c r="E3475" s="3" t="b">
        <v>1</v>
      </c>
      <c r="F3475" s="3" t="b">
        <v>0</v>
      </c>
      <c r="G3475" s="3" t="s">
        <v>10003</v>
      </c>
      <c r="H3475" s="4" t="str">
        <f>_xlfn.IFNA(IF(((INDEX(RulebookFields!C2:C1898, MATCH(D3475,RulebookFields!A2:A1898, 0))="")=TRUE),  "",  INDEX(RulebookFields!C2:C1898, MATCH(D3475,RulebookFields!A2:A1898, 0))), "")</f>
        <v>VerificationOutcomes</v>
      </c>
      <c r="I3475" s="4" t="str">
        <f>_xlfn.IFNA(IF(((INDEX(RulebookFields!D2:D1898, MATCH(D3475,RulebookFields!A2:A1898, 0))="")=TRUE),  "",  INDEX(RulebookFields!D2:D1898, MATCH(D3475,RulebookFields!A2:A1898, 0))), "")</f>
        <v>Name</v>
      </c>
      <c r="J3475" s="4" t="b">
        <f>_xlfn.IFNA(IF(((INDEX(RulebookFields!I2:I1898, MATCH(D3475,RulebookFields!A2:A1898, 0))="")=TRUE),  "",  INDEX(RulebookFields!I2:I1898, MATCH(D3475,RulebookFields!A2:A1898, 0))), "")</f>
        <v>1</v>
      </c>
      <c r="K3475" s="4" t="b">
        <f>AND(((F3475)=TRUE), ((J3475)=TRUE))</f>
        <v>0</v>
      </c>
      <c r="L3475" s="4" t="b">
        <f>AND(((G3475 &lt;&gt; "plain")=TRUE), ((G3475 &lt;&gt; "")=TRUE))</f>
        <v>0</v>
      </c>
      <c r="M3475" s="4" t="str">
        <f>IF(((E3475)=TRUE),  C3475 &amp; "|" &amp; H3475,  "")</f>
        <v>principal-knowledge-authority|VerificationOutcomes</v>
      </c>
      <c r="N3475" s="3" t="s">
        <v>10004</v>
      </c>
    </row>
    <row r="3476">
      <c r="A3476" s="3" t="s">
        <v>13478</v>
      </c>
      <c r="B3476" s="4" t="str">
        <f>C3476 &amp; " -&gt; " &amp; D3476</f>
        <v>principal-knowledge-authority -&gt; VerificationOutcomes.StepExecution</v>
      </c>
      <c r="C3476" s="3" t="s">
        <v>9774</v>
      </c>
      <c r="D3476" s="3" t="s">
        <v>4341</v>
      </c>
      <c r="E3476" s="3" t="b">
        <v>1</v>
      </c>
      <c r="F3476" s="3" t="b">
        <v>0</v>
      </c>
      <c r="G3476" s="3" t="s">
        <v>10003</v>
      </c>
      <c r="H3476" s="4" t="str">
        <f>_xlfn.IFNA(IF(((INDEX(RulebookFields!C2:C1898, MATCH(D3476,RulebookFields!A2:A1898, 0))="")=TRUE),  "",  INDEX(RulebookFields!C2:C1898, MATCH(D3476,RulebookFields!A2:A1898, 0))), "")</f>
        <v>VerificationOutcomes</v>
      </c>
      <c r="I3476" s="4" t="str">
        <f>_xlfn.IFNA(IF(((INDEX(RulebookFields!D2:D1898, MATCH(D3476,RulebookFields!A2:A1898, 0))="")=TRUE),  "",  INDEX(RulebookFields!D2:D1898, MATCH(D3476,RulebookFields!A2:A1898, 0))), "")</f>
        <v>StepExecution</v>
      </c>
      <c r="J3476" s="4" t="b">
        <f>_xlfn.IFNA(IF(((INDEX(RulebookFields!I2:I1898, MATCH(D3476,RulebookFields!A2:A1898, 0))="")=TRUE),  "",  INDEX(RulebookFields!I2:I1898, MATCH(D3476,RulebookFields!A2:A1898, 0))), "")</f>
        <v>0</v>
      </c>
      <c r="K3476" s="4" t="b">
        <f>AND(((F3476)=TRUE), ((J3476)=TRUE))</f>
        <v>0</v>
      </c>
      <c r="L3476" s="4" t="b">
        <f>AND(((G3476 &lt;&gt; "plain")=TRUE), ((G3476 &lt;&gt; "")=TRUE))</f>
        <v>0</v>
      </c>
      <c r="M3476" s="4" t="str">
        <f>IF(((E3476)=TRUE),  C3476 &amp; "|" &amp; H3476,  "")</f>
        <v>principal-knowledge-authority|VerificationOutcomes</v>
      </c>
      <c r="N3476" s="3" t="s">
        <v>10004</v>
      </c>
    </row>
    <row r="3477">
      <c r="A3477" s="3" t="s">
        <v>13479</v>
      </c>
      <c r="B3477" s="4" t="str">
        <f>C3477 &amp; " -&gt; " &amp; D3477</f>
        <v>principal-knowledge-authority -&gt; VerificationOutcomes.StepVerification</v>
      </c>
      <c r="C3477" s="3" t="s">
        <v>9774</v>
      </c>
      <c r="D3477" s="3" t="s">
        <v>4342</v>
      </c>
      <c r="E3477" s="3" t="b">
        <v>1</v>
      </c>
      <c r="F3477" s="3" t="b">
        <v>0</v>
      </c>
      <c r="G3477" s="3" t="s">
        <v>10003</v>
      </c>
      <c r="H3477" s="4" t="str">
        <f>_xlfn.IFNA(IF(((INDEX(RulebookFields!C2:C1898, MATCH(D3477,RulebookFields!A2:A1898, 0))="")=TRUE),  "",  INDEX(RulebookFields!C2:C1898, MATCH(D3477,RulebookFields!A2:A1898, 0))), "")</f>
        <v>VerificationOutcomes</v>
      </c>
      <c r="I3477" s="4" t="str">
        <f>_xlfn.IFNA(IF(((INDEX(RulebookFields!D2:D1898, MATCH(D3477,RulebookFields!A2:A1898, 0))="")=TRUE),  "",  INDEX(RulebookFields!D2:D1898, MATCH(D3477,RulebookFields!A2:A1898, 0))), "")</f>
        <v>StepVerification</v>
      </c>
      <c r="J3477" s="4" t="b">
        <f>_xlfn.IFNA(IF(((INDEX(RulebookFields!I2:I1898, MATCH(D3477,RulebookFields!A2:A1898, 0))="")=TRUE),  "",  INDEX(RulebookFields!I2:I1898, MATCH(D3477,RulebookFields!A2:A1898, 0))), "")</f>
        <v>0</v>
      </c>
      <c r="K3477" s="4" t="b">
        <f>AND(((F3477)=TRUE), ((J3477)=TRUE))</f>
        <v>0</v>
      </c>
      <c r="L3477" s="4" t="b">
        <f>AND(((G3477 &lt;&gt; "plain")=TRUE), ((G3477 &lt;&gt; "")=TRUE))</f>
        <v>0</v>
      </c>
      <c r="M3477" s="4" t="str">
        <f>IF(((E3477)=TRUE),  C3477 &amp; "|" &amp; H3477,  "")</f>
        <v>principal-knowledge-authority|VerificationOutcomes</v>
      </c>
      <c r="N3477" s="3" t="s">
        <v>10004</v>
      </c>
    </row>
    <row r="3478">
      <c r="A3478" s="3" t="s">
        <v>13480</v>
      </c>
      <c r="B3478" s="4" t="str">
        <f>C3478 &amp; " -&gt; " &amp; D3478</f>
        <v>principal-knowledge-authority -&gt; VerificationOutcomes.ObservedSignalValue</v>
      </c>
      <c r="C3478" s="3" t="s">
        <v>9774</v>
      </c>
      <c r="D3478" s="3" t="s">
        <v>4344</v>
      </c>
      <c r="E3478" s="3" t="b">
        <v>1</v>
      </c>
      <c r="F3478" s="3" t="b">
        <v>0</v>
      </c>
      <c r="G3478" s="3" t="s">
        <v>10003</v>
      </c>
      <c r="H3478" s="4" t="str">
        <f>_xlfn.IFNA(IF(((INDEX(RulebookFields!C2:C1898, MATCH(D3478,RulebookFields!A2:A1898, 0))="")=TRUE),  "",  INDEX(RulebookFields!C2:C1898, MATCH(D3478,RulebookFields!A2:A1898, 0))), "")</f>
        <v>VerificationOutcomes</v>
      </c>
      <c r="I3478" s="4" t="str">
        <f>_xlfn.IFNA(IF(((INDEX(RulebookFields!D2:D1898, MATCH(D3478,RulebookFields!A2:A1898, 0))="")=TRUE),  "",  INDEX(RulebookFields!D2:D1898, MATCH(D3478,RulebookFields!A2:A1898, 0))), "")</f>
        <v>ObservedSignalValue</v>
      </c>
      <c r="J3478" s="4" t="b">
        <f>_xlfn.IFNA(IF(((INDEX(RulebookFields!I2:I1898, MATCH(D3478,RulebookFields!A2:A1898, 0))="")=TRUE),  "",  INDEX(RulebookFields!I2:I1898, MATCH(D3478,RulebookFields!A2:A1898, 0))), "")</f>
        <v>0</v>
      </c>
      <c r="K3478" s="4" t="b">
        <f>AND(((F3478)=TRUE), ((J3478)=TRUE))</f>
        <v>0</v>
      </c>
      <c r="L3478" s="4" t="b">
        <f>AND(((G3478 &lt;&gt; "plain")=TRUE), ((G3478 &lt;&gt; "")=TRUE))</f>
        <v>0</v>
      </c>
      <c r="M3478" s="4" t="str">
        <f>IF(((E3478)=TRUE),  C3478 &amp; "|" &amp; H3478,  "")</f>
        <v>principal-knowledge-authority|VerificationOutcomes</v>
      </c>
      <c r="N3478" s="3" t="s">
        <v>10004</v>
      </c>
    </row>
    <row r="3479">
      <c r="A3479" s="3" t="s">
        <v>13481</v>
      </c>
      <c r="B3479" s="4" t="str">
        <f>C3479 &amp; " -&gt; " &amp; D3479</f>
        <v>principal-knowledge-authority -&gt; VerificationOutcomes.ObservedByAgent</v>
      </c>
      <c r="C3479" s="3" t="s">
        <v>9774</v>
      </c>
      <c r="D3479" s="3" t="s">
        <v>4346</v>
      </c>
      <c r="E3479" s="3" t="b">
        <v>1</v>
      </c>
      <c r="F3479" s="3" t="b">
        <v>0</v>
      </c>
      <c r="G3479" s="3" t="s">
        <v>10003</v>
      </c>
      <c r="H3479" s="4" t="str">
        <f>_xlfn.IFNA(IF(((INDEX(RulebookFields!C2:C1898, MATCH(D3479,RulebookFields!A2:A1898, 0))="")=TRUE),  "",  INDEX(RulebookFields!C2:C1898, MATCH(D3479,RulebookFields!A2:A1898, 0))), "")</f>
        <v>VerificationOutcomes</v>
      </c>
      <c r="I3479" s="4" t="str">
        <f>_xlfn.IFNA(IF(((INDEX(RulebookFields!D2:D1898, MATCH(D3479,RulebookFields!A2:A1898, 0))="")=TRUE),  "",  INDEX(RulebookFields!D2:D1898, MATCH(D3479,RulebookFields!A2:A1898, 0))), "")</f>
        <v>ObservedByAgent</v>
      </c>
      <c r="J3479" s="4" t="b">
        <f>_xlfn.IFNA(IF(((INDEX(RulebookFields!I2:I1898, MATCH(D3479,RulebookFields!A2:A1898, 0))="")=TRUE),  "",  INDEX(RulebookFields!I2:I1898, MATCH(D3479,RulebookFields!A2:A1898, 0))), "")</f>
        <v>0</v>
      </c>
      <c r="K3479" s="4" t="b">
        <f>AND(((F3479)=TRUE), ((J3479)=TRUE))</f>
        <v>0</v>
      </c>
      <c r="L3479" s="4" t="b">
        <f>AND(((G3479 &lt;&gt; "plain")=TRUE), ((G3479 &lt;&gt; "")=TRUE))</f>
        <v>0</v>
      </c>
      <c r="M3479" s="4" t="str">
        <f>IF(((E3479)=TRUE),  C3479 &amp; "|" &amp; H3479,  "")</f>
        <v>principal-knowledge-authority|VerificationOutcomes</v>
      </c>
      <c r="N3479" s="3" t="s">
        <v>10004</v>
      </c>
    </row>
    <row r="3480">
      <c r="A3480" s="3" t="s">
        <v>13482</v>
      </c>
      <c r="B3480" s="4" t="str">
        <f>C3480 &amp; " -&gt; " &amp; D3480</f>
        <v>principal-knowledge-authority -&gt; VerificationOutcomes.ObservedAt</v>
      </c>
      <c r="C3480" s="3" t="s">
        <v>9774</v>
      </c>
      <c r="D3480" s="3" t="s">
        <v>4348</v>
      </c>
      <c r="E3480" s="3" t="b">
        <v>1</v>
      </c>
      <c r="F3480" s="3" t="b">
        <v>0</v>
      </c>
      <c r="G3480" s="3" t="s">
        <v>10003</v>
      </c>
      <c r="H3480" s="4" t="str">
        <f>_xlfn.IFNA(IF(((INDEX(RulebookFields!C2:C1898, MATCH(D3480,RulebookFields!A2:A1898, 0))="")=TRUE),  "",  INDEX(RulebookFields!C2:C1898, MATCH(D3480,RulebookFields!A2:A1898, 0))), "")</f>
        <v>VerificationOutcomes</v>
      </c>
      <c r="I3480" s="4" t="str">
        <f>_xlfn.IFNA(IF(((INDEX(RulebookFields!D2:D1898, MATCH(D3480,RulebookFields!A2:A1898, 0))="")=TRUE),  "",  INDEX(RulebookFields!D2:D1898, MATCH(D3480,RulebookFields!A2:A1898, 0))), "")</f>
        <v>ObservedAt</v>
      </c>
      <c r="J3480" s="4" t="b">
        <f>_xlfn.IFNA(IF(((INDEX(RulebookFields!I2:I1898, MATCH(D3480,RulebookFields!A2:A1898, 0))="")=TRUE),  "",  INDEX(RulebookFields!I2:I1898, MATCH(D3480,RulebookFields!A2:A1898, 0))), "")</f>
        <v>0</v>
      </c>
      <c r="K3480" s="4" t="b">
        <f>AND(((F3480)=TRUE), ((J3480)=TRUE))</f>
        <v>0</v>
      </c>
      <c r="L3480" s="4" t="b">
        <f>AND(((G3480 &lt;&gt; "plain")=TRUE), ((G3480 &lt;&gt; "")=TRUE))</f>
        <v>0</v>
      </c>
      <c r="M3480" s="4" t="str">
        <f>IF(((E3480)=TRUE),  C3480 &amp; "|" &amp; H3480,  "")</f>
        <v>principal-knowledge-authority|VerificationOutcomes</v>
      </c>
      <c r="N3480" s="3" t="s">
        <v>10004</v>
      </c>
    </row>
    <row r="3481">
      <c r="A3481" s="3" t="s">
        <v>13483</v>
      </c>
      <c r="B3481" s="4" t="str">
        <f>C3481 &amp; " -&gt; " &amp; D3481</f>
        <v>principal-knowledge-authority -&gt; VerificationOutcomes.EvidenceUri</v>
      </c>
      <c r="C3481" s="3" t="s">
        <v>9774</v>
      </c>
      <c r="D3481" s="3" t="s">
        <v>4350</v>
      </c>
      <c r="E3481" s="3" t="b">
        <v>1</v>
      </c>
      <c r="F3481" s="3" t="b">
        <v>0</v>
      </c>
      <c r="G3481" s="3" t="s">
        <v>10003</v>
      </c>
      <c r="H3481" s="4" t="str">
        <f>_xlfn.IFNA(IF(((INDEX(RulebookFields!C2:C1898, MATCH(D3481,RulebookFields!A2:A1898, 0))="")=TRUE),  "",  INDEX(RulebookFields!C2:C1898, MATCH(D3481,RulebookFields!A2:A1898, 0))), "")</f>
        <v>VerificationOutcomes</v>
      </c>
      <c r="I3481" s="4" t="str">
        <f>_xlfn.IFNA(IF(((INDEX(RulebookFields!D2:D1898, MATCH(D3481,RulebookFields!A2:A1898, 0))="")=TRUE),  "",  INDEX(RulebookFields!D2:D1898, MATCH(D3481,RulebookFields!A2:A1898, 0))), "")</f>
        <v>EvidenceUri</v>
      </c>
      <c r="J3481" s="4" t="b">
        <f>_xlfn.IFNA(IF(((INDEX(RulebookFields!I2:I1898, MATCH(D3481,RulebookFields!A2:A1898, 0))="")=TRUE),  "",  INDEX(RulebookFields!I2:I1898, MATCH(D3481,RulebookFields!A2:A1898, 0))), "")</f>
        <v>0</v>
      </c>
      <c r="K3481" s="4" t="b">
        <f>AND(((F3481)=TRUE), ((J3481)=TRUE))</f>
        <v>0</v>
      </c>
      <c r="L3481" s="4" t="b">
        <f>AND(((G3481 &lt;&gt; "plain")=TRUE), ((G3481 &lt;&gt; "")=TRUE))</f>
        <v>0</v>
      </c>
      <c r="M3481" s="4" t="str">
        <f>IF(((E3481)=TRUE),  C3481 &amp; "|" &amp; H3481,  "")</f>
        <v>principal-knowledge-authority|VerificationOutcomes</v>
      </c>
      <c r="N3481" s="3" t="s">
        <v>10004</v>
      </c>
    </row>
    <row r="3482">
      <c r="A3482" s="3" t="s">
        <v>13484</v>
      </c>
      <c r="B3482" s="4" t="str">
        <f>C3482 &amp; " -&gt; " &amp; D3482</f>
        <v>principal-knowledge-authority -&gt; VerificationOutcomes.ExpectedSignalValue</v>
      </c>
      <c r="C3482" s="3" t="s">
        <v>9774</v>
      </c>
      <c r="D3482" s="3" t="s">
        <v>4352</v>
      </c>
      <c r="E3482" s="3" t="b">
        <v>1</v>
      </c>
      <c r="F3482" s="3" t="b">
        <v>0</v>
      </c>
      <c r="G3482" s="3" t="s">
        <v>10003</v>
      </c>
      <c r="H3482" s="4" t="str">
        <f>_xlfn.IFNA(IF(((INDEX(RulebookFields!C2:C1898, MATCH(D3482,RulebookFields!A2:A1898, 0))="")=TRUE),  "",  INDEX(RulebookFields!C2:C1898, MATCH(D3482,RulebookFields!A2:A1898, 0))), "")</f>
        <v>VerificationOutcomes</v>
      </c>
      <c r="I3482" s="4" t="str">
        <f>_xlfn.IFNA(IF(((INDEX(RulebookFields!D2:D1898, MATCH(D3482,RulebookFields!A2:A1898, 0))="")=TRUE),  "",  INDEX(RulebookFields!D2:D1898, MATCH(D3482,RulebookFields!A2:A1898, 0))), "")</f>
        <v>ExpectedSignalValue</v>
      </c>
      <c r="J3482" s="4" t="b">
        <f>_xlfn.IFNA(IF(((INDEX(RulebookFields!I2:I1898, MATCH(D3482,RulebookFields!A2:A1898, 0))="")=TRUE),  "",  INDEX(RulebookFields!I2:I1898, MATCH(D3482,RulebookFields!A2:A1898, 0))), "")</f>
        <v>1</v>
      </c>
      <c r="K3482" s="4" t="b">
        <f>AND(((F3482)=TRUE), ((J3482)=TRUE))</f>
        <v>0</v>
      </c>
      <c r="L3482" s="4" t="b">
        <f>AND(((G3482 &lt;&gt; "plain")=TRUE), ((G3482 &lt;&gt; "")=TRUE))</f>
        <v>0</v>
      </c>
      <c r="M3482" s="4" t="str">
        <f>IF(((E3482)=TRUE),  C3482 &amp; "|" &amp; H3482,  "")</f>
        <v>principal-knowledge-authority|VerificationOutcomes</v>
      </c>
      <c r="N3482" s="3" t="s">
        <v>10004</v>
      </c>
    </row>
    <row r="3483">
      <c r="A3483" s="3" t="s">
        <v>13485</v>
      </c>
      <c r="B3483" s="4" t="str">
        <f>C3483 &amp; " -&gt; " &amp; D3483</f>
        <v>principal-knowledge-authority -&gt; VerificationOutcomes.SignalIdentifier</v>
      </c>
      <c r="C3483" s="3" t="s">
        <v>9774</v>
      </c>
      <c r="D3483" s="3" t="s">
        <v>4354</v>
      </c>
      <c r="E3483" s="3" t="b">
        <v>1</v>
      </c>
      <c r="F3483" s="3" t="b">
        <v>0</v>
      </c>
      <c r="G3483" s="3" t="s">
        <v>10003</v>
      </c>
      <c r="H3483" s="4" t="str">
        <f>_xlfn.IFNA(IF(((INDEX(RulebookFields!C2:C1898, MATCH(D3483,RulebookFields!A2:A1898, 0))="")=TRUE),  "",  INDEX(RulebookFields!C2:C1898, MATCH(D3483,RulebookFields!A2:A1898, 0))), "")</f>
        <v>VerificationOutcomes</v>
      </c>
      <c r="I3483" s="4" t="str">
        <f>_xlfn.IFNA(IF(((INDEX(RulebookFields!D2:D1898, MATCH(D3483,RulebookFields!A2:A1898, 0))="")=TRUE),  "",  INDEX(RulebookFields!D2:D1898, MATCH(D3483,RulebookFields!A2:A1898, 0))), "")</f>
        <v>SignalIdentifier</v>
      </c>
      <c r="J3483" s="4" t="b">
        <f>_xlfn.IFNA(IF(((INDEX(RulebookFields!I2:I1898, MATCH(D3483,RulebookFields!A2:A1898, 0))="")=TRUE),  "",  INDEX(RulebookFields!I2:I1898, MATCH(D3483,RulebookFields!A2:A1898, 0))), "")</f>
        <v>1</v>
      </c>
      <c r="K3483" s="4" t="b">
        <f>AND(((F3483)=TRUE), ((J3483)=TRUE))</f>
        <v>0</v>
      </c>
      <c r="L3483" s="4" t="b">
        <f>AND(((G3483 &lt;&gt; "plain")=TRUE), ((G3483 &lt;&gt; "")=TRUE))</f>
        <v>0</v>
      </c>
      <c r="M3483" s="4" t="str">
        <f>IF(((E3483)=TRUE),  C3483 &amp; "|" &amp; H3483,  "")</f>
        <v>principal-knowledge-authority|VerificationOutcomes</v>
      </c>
      <c r="N3483" s="3" t="s">
        <v>10004</v>
      </c>
    </row>
    <row r="3484">
      <c r="A3484" s="3" t="s">
        <v>13486</v>
      </c>
      <c r="B3484" s="4" t="str">
        <f>C3484 &amp; " -&gt; " &amp; D3484</f>
        <v>principal-knowledge-authority -&gt; VerificationOutcomes.SignalMatchesExpected</v>
      </c>
      <c r="C3484" s="3" t="s">
        <v>9774</v>
      </c>
      <c r="D3484" s="3" t="s">
        <v>844</v>
      </c>
      <c r="E3484" s="3" t="b">
        <v>1</v>
      </c>
      <c r="F3484" s="3" t="b">
        <v>0</v>
      </c>
      <c r="G3484" s="3" t="s">
        <v>10003</v>
      </c>
      <c r="H3484" s="4" t="str">
        <f>_xlfn.IFNA(IF(((INDEX(RulebookFields!C2:C1898, MATCH(D3484,RulebookFields!A2:A1898, 0))="")=TRUE),  "",  INDEX(RulebookFields!C2:C1898, MATCH(D3484,RulebookFields!A2:A1898, 0))), "")</f>
        <v>VerificationOutcomes</v>
      </c>
      <c r="I3484" s="4" t="str">
        <f>_xlfn.IFNA(IF(((INDEX(RulebookFields!D2:D1898, MATCH(D3484,RulebookFields!A2:A1898, 0))="")=TRUE),  "",  INDEX(RulebookFields!D2:D1898, MATCH(D3484,RulebookFields!A2:A1898, 0))), "")</f>
        <v>SignalMatchesExpected</v>
      </c>
      <c r="J3484" s="4" t="b">
        <f>_xlfn.IFNA(IF(((INDEX(RulebookFields!I2:I1898, MATCH(D3484,RulebookFields!A2:A1898, 0))="")=TRUE),  "",  INDEX(RulebookFields!I2:I1898, MATCH(D3484,RulebookFields!A2:A1898, 0))), "")</f>
        <v>1</v>
      </c>
      <c r="K3484" s="4" t="b">
        <f>AND(((F3484)=TRUE), ((J3484)=TRUE))</f>
        <v>0</v>
      </c>
      <c r="L3484" s="4" t="b">
        <f>AND(((G3484 &lt;&gt; "plain")=TRUE), ((G3484 &lt;&gt; "")=TRUE))</f>
        <v>0</v>
      </c>
      <c r="M3484" s="4" t="str">
        <f>IF(((E3484)=TRUE),  C3484 &amp; "|" &amp; H3484,  "")</f>
        <v>principal-knowledge-authority|VerificationOutcomes</v>
      </c>
      <c r="N3484" s="3" t="s">
        <v>10004</v>
      </c>
    </row>
    <row r="3485">
      <c r="A3485" s="3" t="s">
        <v>13487</v>
      </c>
      <c r="B3485" s="4" t="str">
        <f>C3485 &amp; " -&gt; " &amp; D3485</f>
        <v>principal-knowledge-authority -&gt; VerificationOutcomes.HasEvidence</v>
      </c>
      <c r="C3485" s="3" t="s">
        <v>9774</v>
      </c>
      <c r="D3485" s="3" t="s">
        <v>4358</v>
      </c>
      <c r="E3485" s="3" t="b">
        <v>1</v>
      </c>
      <c r="F3485" s="3" t="b">
        <v>0</v>
      </c>
      <c r="G3485" s="3" t="s">
        <v>10003</v>
      </c>
      <c r="H3485" s="4" t="str">
        <f>_xlfn.IFNA(IF(((INDEX(RulebookFields!C2:C1898, MATCH(D3485,RulebookFields!A2:A1898, 0))="")=TRUE),  "",  INDEX(RulebookFields!C2:C1898, MATCH(D3485,RulebookFields!A2:A1898, 0))), "")</f>
        <v>VerificationOutcomes</v>
      </c>
      <c r="I3485" s="4" t="str">
        <f>_xlfn.IFNA(IF(((INDEX(RulebookFields!D2:D1898, MATCH(D3485,RulebookFields!A2:A1898, 0))="")=TRUE),  "",  INDEX(RulebookFields!D2:D1898, MATCH(D3485,RulebookFields!A2:A1898, 0))), "")</f>
        <v>HasEvidence</v>
      </c>
      <c r="J3485" s="4" t="b">
        <f>_xlfn.IFNA(IF(((INDEX(RulebookFields!I2:I1898, MATCH(D3485,RulebookFields!A2:A1898, 0))="")=TRUE),  "",  INDEX(RulebookFields!I2:I1898, MATCH(D3485,RulebookFields!A2:A1898, 0))), "")</f>
        <v>1</v>
      </c>
      <c r="K3485" s="4" t="b">
        <f>AND(((F3485)=TRUE), ((J3485)=TRUE))</f>
        <v>0</v>
      </c>
      <c r="L3485" s="4" t="b">
        <f>AND(((G3485 &lt;&gt; "plain")=TRUE), ((G3485 &lt;&gt; "")=TRUE))</f>
        <v>0</v>
      </c>
      <c r="M3485" s="4" t="str">
        <f>IF(((E3485)=TRUE),  C3485 &amp; "|" &amp; H3485,  "")</f>
        <v>principal-knowledge-authority|VerificationOutcomes</v>
      </c>
      <c r="N3485" s="3" t="s">
        <v>10004</v>
      </c>
    </row>
    <row r="3486">
      <c r="A3486" s="3" t="s">
        <v>13488</v>
      </c>
      <c r="B3486" s="4" t="str">
        <f>C3486 &amp; " -&gt; " &amp; D3486</f>
        <v>principal-knowledge-authority -&gt; VerificationOutcomes.IsUnbackedObservation</v>
      </c>
      <c r="C3486" s="3" t="s">
        <v>9774</v>
      </c>
      <c r="D3486" s="3" t="s">
        <v>851</v>
      </c>
      <c r="E3486" s="3" t="b">
        <v>1</v>
      </c>
      <c r="F3486" s="3" t="b">
        <v>0</v>
      </c>
      <c r="G3486" s="3" t="s">
        <v>10003</v>
      </c>
      <c r="H3486" s="4" t="str">
        <f>_xlfn.IFNA(IF(((INDEX(RulebookFields!C2:C1898, MATCH(D3486,RulebookFields!A2:A1898, 0))="")=TRUE),  "",  INDEX(RulebookFields!C2:C1898, MATCH(D3486,RulebookFields!A2:A1898, 0))), "")</f>
        <v>VerificationOutcomes</v>
      </c>
      <c r="I3486" s="4" t="str">
        <f>_xlfn.IFNA(IF(((INDEX(RulebookFields!D2:D1898, MATCH(D3486,RulebookFields!A2:A1898, 0))="")=TRUE),  "",  INDEX(RulebookFields!D2:D1898, MATCH(D3486,RulebookFields!A2:A1898, 0))), "")</f>
        <v>IsUnbackedObservation</v>
      </c>
      <c r="J3486" s="4" t="b">
        <f>_xlfn.IFNA(IF(((INDEX(RulebookFields!I2:I1898, MATCH(D3486,RulebookFields!A2:A1898, 0))="")=TRUE),  "",  INDEX(RulebookFields!I2:I1898, MATCH(D3486,RulebookFields!A2:A1898, 0))), "")</f>
        <v>1</v>
      </c>
      <c r="K3486" s="4" t="b">
        <f>AND(((F3486)=TRUE), ((J3486)=TRUE))</f>
        <v>0</v>
      </c>
      <c r="L3486" s="4" t="b">
        <f>AND(((G3486 &lt;&gt; "plain")=TRUE), ((G3486 &lt;&gt; "")=TRUE))</f>
        <v>0</v>
      </c>
      <c r="M3486" s="4" t="str">
        <f>IF(((E3486)=TRUE),  C3486 &amp; "|" &amp; H3486,  "")</f>
        <v>principal-knowledge-authority|VerificationOutcomes</v>
      </c>
      <c r="N3486" s="3" t="s">
        <v>10004</v>
      </c>
    </row>
    <row r="3487">
      <c r="A3487" s="3" t="s">
        <v>13489</v>
      </c>
      <c r="B3487" s="4" t="str">
        <f>C3487 &amp; " -&gt; " &amp; D3487</f>
        <v>principal-knowledge-authority -&gt; VerificationOutcomes.IsSelfWitnessed</v>
      </c>
      <c r="C3487" s="3" t="s">
        <v>9774</v>
      </c>
      <c r="D3487" s="3" t="s">
        <v>4363</v>
      </c>
      <c r="E3487" s="3" t="b">
        <v>1</v>
      </c>
      <c r="F3487" s="3" t="b">
        <v>0</v>
      </c>
      <c r="G3487" s="3" t="s">
        <v>10003</v>
      </c>
      <c r="H3487" s="4" t="str">
        <f>_xlfn.IFNA(IF(((INDEX(RulebookFields!C2:C1898, MATCH(D3487,RulebookFields!A2:A1898, 0))="")=TRUE),  "",  INDEX(RulebookFields!C2:C1898, MATCH(D3487,RulebookFields!A2:A1898, 0))), "")</f>
        <v>VerificationOutcomes</v>
      </c>
      <c r="I3487" s="4" t="str">
        <f>_xlfn.IFNA(IF(((INDEX(RulebookFields!D2:D1898, MATCH(D3487,RulebookFields!A2:A1898, 0))="")=TRUE),  "",  INDEX(RulebookFields!D2:D1898, MATCH(D3487,RulebookFields!A2:A1898, 0))), "")</f>
        <v>IsSelfWitnessed</v>
      </c>
      <c r="J3487" s="4" t="b">
        <f>_xlfn.IFNA(IF(((INDEX(RulebookFields!I2:I1898, MATCH(D3487,RulebookFields!A2:A1898, 0))="")=TRUE),  "",  INDEX(RulebookFields!I2:I1898, MATCH(D3487,RulebookFields!A2:A1898, 0))), "")</f>
        <v>1</v>
      </c>
      <c r="K3487" s="4" t="b">
        <f>AND(((F3487)=TRUE), ((J3487)=TRUE))</f>
        <v>0</v>
      </c>
      <c r="L3487" s="4" t="b">
        <f>AND(((G3487 &lt;&gt; "plain")=TRUE), ((G3487 &lt;&gt; "")=TRUE))</f>
        <v>0</v>
      </c>
      <c r="M3487" s="4" t="str">
        <f>IF(((E3487)=TRUE),  C3487 &amp; "|" &amp; H3487,  "")</f>
        <v>principal-knowledge-authority|VerificationOutcomes</v>
      </c>
      <c r="N3487" s="3" t="s">
        <v>10004</v>
      </c>
    </row>
    <row r="3488">
      <c r="A3488" s="3" t="s">
        <v>13490</v>
      </c>
      <c r="B3488" s="4" t="str">
        <f>C3488 &amp; " -&gt; " &amp; D3488</f>
        <v>principal-knowledge-authority -&gt; VerificationOutcomes.StepExecutorAgent</v>
      </c>
      <c r="C3488" s="3" t="s">
        <v>9774</v>
      </c>
      <c r="D3488" s="3" t="s">
        <v>4366</v>
      </c>
      <c r="E3488" s="3" t="b">
        <v>1</v>
      </c>
      <c r="F3488" s="3" t="b">
        <v>0</v>
      </c>
      <c r="G3488" s="3" t="s">
        <v>10003</v>
      </c>
      <c r="H3488" s="4" t="str">
        <f>_xlfn.IFNA(IF(((INDEX(RulebookFields!C2:C1898, MATCH(D3488,RulebookFields!A2:A1898, 0))="")=TRUE),  "",  INDEX(RulebookFields!C2:C1898, MATCH(D3488,RulebookFields!A2:A1898, 0))), "")</f>
        <v>VerificationOutcomes</v>
      </c>
      <c r="I3488" s="4" t="str">
        <f>_xlfn.IFNA(IF(((INDEX(RulebookFields!D2:D1898, MATCH(D3488,RulebookFields!A2:A1898, 0))="")=TRUE),  "",  INDEX(RulebookFields!D2:D1898, MATCH(D3488,RulebookFields!A2:A1898, 0))), "")</f>
        <v>StepExecutorAgent</v>
      </c>
      <c r="J3488" s="4" t="b">
        <f>_xlfn.IFNA(IF(((INDEX(RulebookFields!I2:I1898, MATCH(D3488,RulebookFields!A2:A1898, 0))="")=TRUE),  "",  INDEX(RulebookFields!I2:I1898, MATCH(D3488,RulebookFields!A2:A1898, 0))), "")</f>
        <v>1</v>
      </c>
      <c r="K3488" s="4" t="b">
        <f>AND(((F3488)=TRUE), ((J3488)=TRUE))</f>
        <v>0</v>
      </c>
      <c r="L3488" s="4" t="b">
        <f>AND(((G3488 &lt;&gt; "plain")=TRUE), ((G3488 &lt;&gt; "")=TRUE))</f>
        <v>0</v>
      </c>
      <c r="M3488" s="4" t="str">
        <f>IF(((E3488)=TRUE),  C3488 &amp; "|" &amp; H3488,  "")</f>
        <v>principal-knowledge-authority|VerificationOutcomes</v>
      </c>
      <c r="N3488" s="3" t="s">
        <v>10004</v>
      </c>
    </row>
    <row r="3489">
      <c r="A3489" s="3" t="s">
        <v>13491</v>
      </c>
      <c r="B3489" s="4" t="str">
        <f>C3489 &amp; " -&gt; " &amp; D3489</f>
        <v>principal-knowledge-authority -&gt; VerificationOutcomes.SelfWitnessedStepKey</v>
      </c>
      <c r="C3489" s="3" t="s">
        <v>9774</v>
      </c>
      <c r="D3489" s="3" t="s">
        <v>4367</v>
      </c>
      <c r="E3489" s="3" t="b">
        <v>1</v>
      </c>
      <c r="F3489" s="3" t="b">
        <v>0</v>
      </c>
      <c r="G3489" s="3" t="s">
        <v>10003</v>
      </c>
      <c r="H3489" s="4" t="str">
        <f>_xlfn.IFNA(IF(((INDEX(RulebookFields!C2:C1898, MATCH(D3489,RulebookFields!A2:A1898, 0))="")=TRUE),  "",  INDEX(RulebookFields!C2:C1898, MATCH(D3489,RulebookFields!A2:A1898, 0))), "")</f>
        <v>VerificationOutcomes</v>
      </c>
      <c r="I3489" s="4" t="str">
        <f>_xlfn.IFNA(IF(((INDEX(RulebookFields!D2:D1898, MATCH(D3489,RulebookFields!A2:A1898, 0))="")=TRUE),  "",  INDEX(RulebookFields!D2:D1898, MATCH(D3489,RulebookFields!A2:A1898, 0))), "")</f>
        <v>SelfWitnessedStepKey</v>
      </c>
      <c r="J3489" s="4" t="b">
        <f>_xlfn.IFNA(IF(((INDEX(RulebookFields!I2:I1898, MATCH(D3489,RulebookFields!A2:A1898, 0))="")=TRUE),  "",  INDEX(RulebookFields!I2:I1898, MATCH(D3489,RulebookFields!A2:A1898, 0))), "")</f>
        <v>1</v>
      </c>
      <c r="K3489" s="4" t="b">
        <f>AND(((F3489)=TRUE), ((J3489)=TRUE))</f>
        <v>0</v>
      </c>
      <c r="L3489" s="4" t="b">
        <f>AND(((G3489 &lt;&gt; "plain")=TRUE), ((G3489 &lt;&gt; "")=TRUE))</f>
        <v>0</v>
      </c>
      <c r="M3489" s="4" t="str">
        <f>IF(((E3489)=TRUE),  C3489 &amp; "|" &amp; H3489,  "")</f>
        <v>principal-knowledge-authority|VerificationOutcomes</v>
      </c>
      <c r="N3489" s="3" t="s">
        <v>10004</v>
      </c>
    </row>
    <row r="3490">
      <c r="A3490" s="3" t="s">
        <v>13492</v>
      </c>
      <c r="B3490" s="4" t="str">
        <f>C3490 &amp; " -&gt; " &amp; D3490</f>
        <v>principal-knowledge-authority -&gt; VerificationOutcomes.UnbackedStepKey</v>
      </c>
      <c r="C3490" s="3" t="s">
        <v>9774</v>
      </c>
      <c r="D3490" s="3" t="s">
        <v>4370</v>
      </c>
      <c r="E3490" s="3" t="b">
        <v>1</v>
      </c>
      <c r="F3490" s="3" t="b">
        <v>0</v>
      </c>
      <c r="G3490" s="3" t="s">
        <v>10003</v>
      </c>
      <c r="H3490" s="4" t="str">
        <f>_xlfn.IFNA(IF(((INDEX(RulebookFields!C2:C1898, MATCH(D3490,RulebookFields!A2:A1898, 0))="")=TRUE),  "",  INDEX(RulebookFields!C2:C1898, MATCH(D3490,RulebookFields!A2:A1898, 0))), "")</f>
        <v>VerificationOutcomes</v>
      </c>
      <c r="I3490" s="4" t="str">
        <f>_xlfn.IFNA(IF(((INDEX(RulebookFields!D2:D1898, MATCH(D3490,RulebookFields!A2:A1898, 0))="")=TRUE),  "",  INDEX(RulebookFields!D2:D1898, MATCH(D3490,RulebookFields!A2:A1898, 0))), "")</f>
        <v>UnbackedStepKey</v>
      </c>
      <c r="J3490" s="4" t="b">
        <f>_xlfn.IFNA(IF(((INDEX(RulebookFields!I2:I1898, MATCH(D3490,RulebookFields!A2:A1898, 0))="")=TRUE),  "",  INDEX(RulebookFields!I2:I1898, MATCH(D3490,RulebookFields!A2:A1898, 0))), "")</f>
        <v>1</v>
      </c>
      <c r="K3490" s="4" t="b">
        <f>AND(((F3490)=TRUE), ((J3490)=TRUE))</f>
        <v>0</v>
      </c>
      <c r="L3490" s="4" t="b">
        <f>AND(((G3490 &lt;&gt; "plain")=TRUE), ((G3490 &lt;&gt; "")=TRUE))</f>
        <v>0</v>
      </c>
      <c r="M3490" s="4" t="str">
        <f>IF(((E3490)=TRUE),  C3490 &amp; "|" &amp; H3490,  "")</f>
        <v>principal-knowledge-authority|VerificationOutcomes</v>
      </c>
      <c r="N3490" s="3" t="s">
        <v>10004</v>
      </c>
    </row>
    <row r="3491">
      <c r="A3491" s="3" t="s">
        <v>13493</v>
      </c>
      <c r="B3491" s="4" t="str">
        <f>C3491 &amp; " -&gt; " &amp; D3491</f>
        <v>principal-knowledge-authority -&gt; VerificationOutcomes.IsSelfWitnessedAndUnbacked</v>
      </c>
      <c r="C3491" s="3" t="s">
        <v>9774</v>
      </c>
      <c r="D3491" s="3" t="s">
        <v>4373</v>
      </c>
      <c r="E3491" s="3" t="b">
        <v>1</v>
      </c>
      <c r="F3491" s="3" t="b">
        <v>0</v>
      </c>
      <c r="G3491" s="3" t="s">
        <v>10003</v>
      </c>
      <c r="H3491" s="4" t="str">
        <f>_xlfn.IFNA(IF(((INDEX(RulebookFields!C2:C1898, MATCH(D3491,RulebookFields!A2:A1898, 0))="")=TRUE),  "",  INDEX(RulebookFields!C2:C1898, MATCH(D3491,RulebookFields!A2:A1898, 0))), "")</f>
        <v>VerificationOutcomes</v>
      </c>
      <c r="I3491" s="4" t="str">
        <f>_xlfn.IFNA(IF(((INDEX(RulebookFields!D2:D1898, MATCH(D3491,RulebookFields!A2:A1898, 0))="")=TRUE),  "",  INDEX(RulebookFields!D2:D1898, MATCH(D3491,RulebookFields!A2:A1898, 0))), "")</f>
        <v>IsSelfWitnessedAndUnbacked</v>
      </c>
      <c r="J3491" s="4" t="b">
        <f>_xlfn.IFNA(IF(((INDEX(RulebookFields!I2:I1898, MATCH(D3491,RulebookFields!A2:A1898, 0))="")=TRUE),  "",  INDEX(RulebookFields!I2:I1898, MATCH(D3491,RulebookFields!A2:A1898, 0))), "")</f>
        <v>1</v>
      </c>
      <c r="K3491" s="4" t="b">
        <f>AND(((F3491)=TRUE), ((J3491)=TRUE))</f>
        <v>0</v>
      </c>
      <c r="L3491" s="4" t="b">
        <f>AND(((G3491 &lt;&gt; "plain")=TRUE), ((G3491 &lt;&gt; "")=TRUE))</f>
        <v>0</v>
      </c>
      <c r="M3491" s="4" t="str">
        <f>IF(((E3491)=TRUE),  C3491 &amp; "|" &amp; H3491,  "")</f>
        <v>principal-knowledge-authority|VerificationOutcomes</v>
      </c>
      <c r="N3491" s="3" t="s">
        <v>10004</v>
      </c>
    </row>
    <row r="3492">
      <c r="A3492" s="3" t="s">
        <v>13494</v>
      </c>
      <c r="B3492" s="4" t="str">
        <f>C3492 &amp; " -&gt; " &amp; D3492</f>
        <v>principal-knowledge-authority -&gt; VerificationOutcomes.IsUncorroboratedPass</v>
      </c>
      <c r="C3492" s="3" t="s">
        <v>9774</v>
      </c>
      <c r="D3492" s="3" t="s">
        <v>4376</v>
      </c>
      <c r="E3492" s="3" t="b">
        <v>1</v>
      </c>
      <c r="F3492" s="3" t="b">
        <v>0</v>
      </c>
      <c r="G3492" s="3" t="s">
        <v>10003</v>
      </c>
      <c r="H3492" s="4" t="str">
        <f>_xlfn.IFNA(IF(((INDEX(RulebookFields!C2:C1898, MATCH(D3492,RulebookFields!A2:A1898, 0))="")=TRUE),  "",  INDEX(RulebookFields!C2:C1898, MATCH(D3492,RulebookFields!A2:A1898, 0))), "")</f>
        <v>VerificationOutcomes</v>
      </c>
      <c r="I3492" s="4" t="str">
        <f>_xlfn.IFNA(IF(((INDEX(RulebookFields!D2:D1898, MATCH(D3492,RulebookFields!A2:A1898, 0))="")=TRUE),  "",  INDEX(RulebookFields!D2:D1898, MATCH(D3492,RulebookFields!A2:A1898, 0))), "")</f>
        <v>IsUncorroboratedPass</v>
      </c>
      <c r="J3492" s="4" t="b">
        <f>_xlfn.IFNA(IF(((INDEX(RulebookFields!I2:I1898, MATCH(D3492,RulebookFields!A2:A1898, 0))="")=TRUE),  "",  INDEX(RulebookFields!I2:I1898, MATCH(D3492,RulebookFields!A2:A1898, 0))), "")</f>
        <v>1</v>
      </c>
      <c r="K3492" s="4" t="b">
        <f>AND(((F3492)=TRUE), ((J3492)=TRUE))</f>
        <v>0</v>
      </c>
      <c r="L3492" s="4" t="b">
        <f>AND(((G3492 &lt;&gt; "plain")=TRUE), ((G3492 &lt;&gt; "")=TRUE))</f>
        <v>0</v>
      </c>
      <c r="M3492" s="4" t="str">
        <f>IF(((E3492)=TRUE),  C3492 &amp; "|" &amp; H3492,  "")</f>
        <v>principal-knowledge-authority|VerificationOutcomes</v>
      </c>
      <c r="N3492" s="3" t="s">
        <v>10004</v>
      </c>
    </row>
    <row r="3493">
      <c r="A3493" s="3" t="s">
        <v>13495</v>
      </c>
      <c r="B3493" s="4" t="str">
        <f>C3493 &amp; " -&gt; " &amp; D3493</f>
        <v>principal-knowledge-authority -&gt; VerificationOutcomes.UncorroboratedPassStepKey</v>
      </c>
      <c r="C3493" s="3" t="s">
        <v>9774</v>
      </c>
      <c r="D3493" s="3" t="s">
        <v>4379</v>
      </c>
      <c r="E3493" s="3" t="b">
        <v>1</v>
      </c>
      <c r="F3493" s="3" t="b">
        <v>0</v>
      </c>
      <c r="G3493" s="3" t="s">
        <v>10003</v>
      </c>
      <c r="H3493" s="4" t="str">
        <f>_xlfn.IFNA(IF(((INDEX(RulebookFields!C2:C1898, MATCH(D3493,RulebookFields!A2:A1898, 0))="")=TRUE),  "",  INDEX(RulebookFields!C2:C1898, MATCH(D3493,RulebookFields!A2:A1898, 0))), "")</f>
        <v>VerificationOutcomes</v>
      </c>
      <c r="I3493" s="4" t="str">
        <f>_xlfn.IFNA(IF(((INDEX(RulebookFields!D2:D1898, MATCH(D3493,RulebookFields!A2:A1898, 0))="")=TRUE),  "",  INDEX(RulebookFields!D2:D1898, MATCH(D3493,RulebookFields!A2:A1898, 0))), "")</f>
        <v>UncorroboratedPassStepKey</v>
      </c>
      <c r="J3493" s="4" t="b">
        <f>_xlfn.IFNA(IF(((INDEX(RulebookFields!I2:I1898, MATCH(D3493,RulebookFields!A2:A1898, 0))="")=TRUE),  "",  INDEX(RulebookFields!I2:I1898, MATCH(D3493,RulebookFields!A2:A1898, 0))), "")</f>
        <v>1</v>
      </c>
      <c r="K3493" s="4" t="b">
        <f>AND(((F3493)=TRUE), ((J3493)=TRUE))</f>
        <v>0</v>
      </c>
      <c r="L3493" s="4" t="b">
        <f>AND(((G3493 &lt;&gt; "plain")=TRUE), ((G3493 &lt;&gt; "")=TRUE))</f>
        <v>0</v>
      </c>
      <c r="M3493" s="4" t="str">
        <f>IF(((E3493)=TRUE),  C3493 &amp; "|" &amp; H3493,  "")</f>
        <v>principal-knowledge-authority|VerificationOutcomes</v>
      </c>
      <c r="N3493" s="3" t="s">
        <v>10004</v>
      </c>
    </row>
    <row r="3494">
      <c r="A3494" s="3" t="s">
        <v>13496</v>
      </c>
      <c r="B3494" s="4" t="str">
        <f>C3494 &amp; " -&gt; " &amp; D3494</f>
        <v>principal-knowledge-authority -&gt; VerificationOutcomes.ObserverIsNonHuman</v>
      </c>
      <c r="C3494" s="3" t="s">
        <v>9774</v>
      </c>
      <c r="D3494" s="3" t="s">
        <v>4382</v>
      </c>
      <c r="E3494" s="3" t="b">
        <v>1</v>
      </c>
      <c r="F3494" s="3" t="b">
        <v>0</v>
      </c>
      <c r="G3494" s="3" t="s">
        <v>10003</v>
      </c>
      <c r="H3494" s="4" t="str">
        <f>_xlfn.IFNA(IF(((INDEX(RulebookFields!C2:C1898, MATCH(D3494,RulebookFields!A2:A1898, 0))="")=TRUE),  "",  INDEX(RulebookFields!C2:C1898, MATCH(D3494,RulebookFields!A2:A1898, 0))), "")</f>
        <v>VerificationOutcomes</v>
      </c>
      <c r="I3494" s="4" t="str">
        <f>_xlfn.IFNA(IF(((INDEX(RulebookFields!D2:D1898, MATCH(D3494,RulebookFields!A2:A1898, 0))="")=TRUE),  "",  INDEX(RulebookFields!D2:D1898, MATCH(D3494,RulebookFields!A2:A1898, 0))), "")</f>
        <v>ObserverIsNonHuman</v>
      </c>
      <c r="J3494" s="4" t="b">
        <f>_xlfn.IFNA(IF(((INDEX(RulebookFields!I2:I1898, MATCH(D3494,RulebookFields!A2:A1898, 0))="")=TRUE),  "",  INDEX(RulebookFields!I2:I1898, MATCH(D3494,RulebookFields!A2:A1898, 0))), "")</f>
        <v>1</v>
      </c>
      <c r="K3494" s="4" t="b">
        <f>AND(((F3494)=TRUE), ((J3494)=TRUE))</f>
        <v>0</v>
      </c>
      <c r="L3494" s="4" t="b">
        <f>AND(((G3494 &lt;&gt; "plain")=TRUE), ((G3494 &lt;&gt; "")=TRUE))</f>
        <v>0</v>
      </c>
      <c r="M3494" s="4" t="str">
        <f>IF(((E3494)=TRUE),  C3494 &amp; "|" &amp; H3494,  "")</f>
        <v>principal-knowledge-authority|VerificationOutcomes</v>
      </c>
      <c r="N3494" s="3" t="s">
        <v>10004</v>
      </c>
    </row>
    <row r="3495">
      <c r="A3495" s="3" t="s">
        <v>13497</v>
      </c>
      <c r="B3495" s="4" t="str">
        <f>C3495 &amp; " -&gt; " &amp; D3495</f>
        <v>principal-knowledge-authority -&gt; VerificationOutcomes.ObserverIsIndependentOfExecutor</v>
      </c>
      <c r="C3495" s="3" t="s">
        <v>9774</v>
      </c>
      <c r="D3495" s="3" t="s">
        <v>4385</v>
      </c>
      <c r="E3495" s="3" t="b">
        <v>1</v>
      </c>
      <c r="F3495" s="3" t="b">
        <v>0</v>
      </c>
      <c r="G3495" s="3" t="s">
        <v>10003</v>
      </c>
      <c r="H3495" s="4" t="str">
        <f>_xlfn.IFNA(IF(((INDEX(RulebookFields!C2:C1898, MATCH(D3495,RulebookFields!A2:A1898, 0))="")=TRUE),  "",  INDEX(RulebookFields!C2:C1898, MATCH(D3495,RulebookFields!A2:A1898, 0))), "")</f>
        <v>VerificationOutcomes</v>
      </c>
      <c r="I3495" s="4" t="str">
        <f>_xlfn.IFNA(IF(((INDEX(RulebookFields!D2:D1898, MATCH(D3495,RulebookFields!A2:A1898, 0))="")=TRUE),  "",  INDEX(RulebookFields!D2:D1898, MATCH(D3495,RulebookFields!A2:A1898, 0))), "")</f>
        <v>ObserverIsIndependentOfExecutor</v>
      </c>
      <c r="J3495" s="4" t="b">
        <f>_xlfn.IFNA(IF(((INDEX(RulebookFields!I2:I1898, MATCH(D3495,RulebookFields!A2:A1898, 0))="")=TRUE),  "",  INDEX(RulebookFields!I2:I1898, MATCH(D3495,RulebookFields!A2:A1898, 0))), "")</f>
        <v>1</v>
      </c>
      <c r="K3495" s="4" t="b">
        <f>AND(((F3495)=TRUE), ((J3495)=TRUE))</f>
        <v>0</v>
      </c>
      <c r="L3495" s="4" t="b">
        <f>AND(((G3495 &lt;&gt; "plain")=TRUE), ((G3495 &lt;&gt; "")=TRUE))</f>
        <v>0</v>
      </c>
      <c r="M3495" s="4" t="str">
        <f>IF(((E3495)=TRUE),  C3495 &amp; "|" &amp; H3495,  "")</f>
        <v>principal-knowledge-authority|VerificationOutcomes</v>
      </c>
      <c r="N3495" s="3" t="s">
        <v>10004</v>
      </c>
    </row>
    <row r="3496">
      <c r="A3496" s="3" t="s">
        <v>13498</v>
      </c>
      <c r="B3496" s="4" t="str">
        <f>C3496 &amp; " -&gt; " &amp; D3496</f>
        <v>principal-knowledge-authority -&gt; VerificationOutcomes.IsIndependentHumanObservation</v>
      </c>
      <c r="C3496" s="3" t="s">
        <v>9774</v>
      </c>
      <c r="D3496" s="3" t="s">
        <v>4388</v>
      </c>
      <c r="E3496" s="3" t="b">
        <v>1</v>
      </c>
      <c r="F3496" s="3" t="b">
        <v>0</v>
      </c>
      <c r="G3496" s="3" t="s">
        <v>10003</v>
      </c>
      <c r="H3496" s="4" t="str">
        <f>_xlfn.IFNA(IF(((INDEX(RulebookFields!C2:C1898, MATCH(D3496,RulebookFields!A2:A1898, 0))="")=TRUE),  "",  INDEX(RulebookFields!C2:C1898, MATCH(D3496,RulebookFields!A2:A1898, 0))), "")</f>
        <v>VerificationOutcomes</v>
      </c>
      <c r="I3496" s="4" t="str">
        <f>_xlfn.IFNA(IF(((INDEX(RulebookFields!D2:D1898, MATCH(D3496,RulebookFields!A2:A1898, 0))="")=TRUE),  "",  INDEX(RulebookFields!D2:D1898, MATCH(D3496,RulebookFields!A2:A1898, 0))), "")</f>
        <v>IsIndependentHumanObservation</v>
      </c>
      <c r="J3496" s="4" t="b">
        <f>_xlfn.IFNA(IF(((INDEX(RulebookFields!I2:I1898, MATCH(D3496,RulebookFields!A2:A1898, 0))="")=TRUE),  "",  INDEX(RulebookFields!I2:I1898, MATCH(D3496,RulebookFields!A2:A1898, 0))), "")</f>
        <v>1</v>
      </c>
      <c r="K3496" s="4" t="b">
        <f>AND(((F3496)=TRUE), ((J3496)=TRUE))</f>
        <v>0</v>
      </c>
      <c r="L3496" s="4" t="b">
        <f>AND(((G3496 &lt;&gt; "plain")=TRUE), ((G3496 &lt;&gt; "")=TRUE))</f>
        <v>0</v>
      </c>
      <c r="M3496" s="4" t="str">
        <f>IF(((E3496)=TRUE),  C3496 &amp; "|" &amp; H3496,  "")</f>
        <v>principal-knowledge-authority|VerificationOutcomes</v>
      </c>
      <c r="N3496" s="3" t="s">
        <v>10004</v>
      </c>
    </row>
    <row r="3497">
      <c r="A3497" s="3" t="s">
        <v>13499</v>
      </c>
      <c r="B3497" s="4" t="str">
        <f>C3497 &amp; " -&gt; " &amp; D3497</f>
        <v>principal-knowledge-authority -&gt; VerificationOutcomes.IndependentObservationExecutionKey</v>
      </c>
      <c r="C3497" s="3" t="s">
        <v>9774</v>
      </c>
      <c r="D3497" s="3" t="s">
        <v>4391</v>
      </c>
      <c r="E3497" s="3" t="b">
        <v>1</v>
      </c>
      <c r="F3497" s="3" t="b">
        <v>0</v>
      </c>
      <c r="G3497" s="3" t="s">
        <v>10003</v>
      </c>
      <c r="H3497" s="4" t="str">
        <f>_xlfn.IFNA(IF(((INDEX(RulebookFields!C2:C1898, MATCH(D3497,RulebookFields!A2:A1898, 0))="")=TRUE),  "",  INDEX(RulebookFields!C2:C1898, MATCH(D3497,RulebookFields!A2:A1898, 0))), "")</f>
        <v>VerificationOutcomes</v>
      </c>
      <c r="I3497" s="4" t="str">
        <f>_xlfn.IFNA(IF(((INDEX(RulebookFields!D2:D1898, MATCH(D3497,RulebookFields!A2:A1898, 0))="")=TRUE),  "",  INDEX(RulebookFields!D2:D1898, MATCH(D3497,RulebookFields!A2:A1898, 0))), "")</f>
        <v>IndependentObservationExecutionKey</v>
      </c>
      <c r="J3497" s="4" t="b">
        <f>_xlfn.IFNA(IF(((INDEX(RulebookFields!I2:I1898, MATCH(D3497,RulebookFields!A2:A1898, 0))="")=TRUE),  "",  INDEX(RulebookFields!I2:I1898, MATCH(D3497,RulebookFields!A2:A1898, 0))), "")</f>
        <v>1</v>
      </c>
      <c r="K3497" s="4" t="b">
        <f>AND(((F3497)=TRUE), ((J3497)=TRUE))</f>
        <v>0</v>
      </c>
      <c r="L3497" s="4" t="b">
        <f>AND(((G3497 &lt;&gt; "plain")=TRUE), ((G3497 &lt;&gt; "")=TRUE))</f>
        <v>0</v>
      </c>
      <c r="M3497" s="4" t="str">
        <f>IF(((E3497)=TRUE),  C3497 &amp; "|" &amp; H3497,  "")</f>
        <v>principal-knowledge-authority|VerificationOutcomes</v>
      </c>
      <c r="N3497" s="3" t="s">
        <v>10004</v>
      </c>
    </row>
    <row r="3498">
      <c r="A3498" s="3" t="s">
        <v>13500</v>
      </c>
      <c r="B3498" s="4" t="str">
        <f>C3498 &amp; " -&gt; " &amp; D3498</f>
        <v>principal-knowledge-authority -&gt; VerificationOutcomes.ParentProcedureExecutionOfOutcome</v>
      </c>
      <c r="C3498" s="3" t="s">
        <v>9774</v>
      </c>
      <c r="D3498" s="3" t="s">
        <v>4394</v>
      </c>
      <c r="E3498" s="3" t="b">
        <v>1</v>
      </c>
      <c r="F3498" s="3" t="b">
        <v>0</v>
      </c>
      <c r="G3498" s="3" t="s">
        <v>10003</v>
      </c>
      <c r="H3498" s="4" t="str">
        <f>_xlfn.IFNA(IF(((INDEX(RulebookFields!C2:C1898, MATCH(D3498,RulebookFields!A2:A1898, 0))="")=TRUE),  "",  INDEX(RulebookFields!C2:C1898, MATCH(D3498,RulebookFields!A2:A1898, 0))), "")</f>
        <v>VerificationOutcomes</v>
      </c>
      <c r="I3498" s="4" t="str">
        <f>_xlfn.IFNA(IF(((INDEX(RulebookFields!D2:D1898, MATCH(D3498,RulebookFields!A2:A1898, 0))="")=TRUE),  "",  INDEX(RulebookFields!D2:D1898, MATCH(D3498,RulebookFields!A2:A1898, 0))), "")</f>
        <v>ParentProcedureExecutionOfOutcome</v>
      </c>
      <c r="J3498" s="4" t="b">
        <f>_xlfn.IFNA(IF(((INDEX(RulebookFields!I2:I1898, MATCH(D3498,RulebookFields!A2:A1898, 0))="")=TRUE),  "",  INDEX(RulebookFields!I2:I1898, MATCH(D3498,RulebookFields!A2:A1898, 0))), "")</f>
        <v>1</v>
      </c>
      <c r="K3498" s="4" t="b">
        <f>AND(((F3498)=TRUE), ((J3498)=TRUE))</f>
        <v>0</v>
      </c>
      <c r="L3498" s="4" t="b">
        <f>AND(((G3498 &lt;&gt; "plain")=TRUE), ((G3498 &lt;&gt; "")=TRUE))</f>
        <v>0</v>
      </c>
      <c r="M3498" s="4" t="str">
        <f>IF(((E3498)=TRUE),  C3498 &amp; "|" &amp; H3498,  "")</f>
        <v>principal-knowledge-authority|VerificationOutcomes</v>
      </c>
      <c r="N3498" s="3" t="s">
        <v>10004</v>
      </c>
    </row>
    <row r="3499">
      <c r="A3499" s="3" t="s">
        <v>13501</v>
      </c>
      <c r="B3499" s="4" t="str">
        <f>C3499 &amp; " -&gt; " &amp; D3499</f>
        <v>principal-knowledge-authority -&gt; VerificationOutcomes.SemanticTypeIri</v>
      </c>
      <c r="C3499" s="3" t="s">
        <v>9774</v>
      </c>
      <c r="D3499" s="3" t="s">
        <v>4396</v>
      </c>
      <c r="E3499" s="3" t="b">
        <v>1</v>
      </c>
      <c r="F3499" s="3" t="b">
        <v>0</v>
      </c>
      <c r="G3499" s="3" t="s">
        <v>10003</v>
      </c>
      <c r="H3499" s="4" t="str">
        <f>_xlfn.IFNA(IF(((INDEX(RulebookFields!C2:C1898, MATCH(D3499,RulebookFields!A2:A1898, 0))="")=TRUE),  "",  INDEX(RulebookFields!C2:C1898, MATCH(D3499,RulebookFields!A2:A1898, 0))), "")</f>
        <v>VerificationOutcomes</v>
      </c>
      <c r="I3499" s="4" t="str">
        <f>_xlfn.IFNA(IF(((INDEX(RulebookFields!D2:D1898, MATCH(D3499,RulebookFields!A2:A1898, 0))="")=TRUE),  "",  INDEX(RulebookFields!D2:D1898, MATCH(D3499,RulebookFields!A2:A1898, 0))), "")</f>
        <v>SemanticTypeIri</v>
      </c>
      <c r="J3499" s="4" t="b">
        <f>_xlfn.IFNA(IF(((INDEX(RulebookFields!I2:I1898, MATCH(D3499,RulebookFields!A2:A1898, 0))="")=TRUE),  "",  INDEX(RulebookFields!I2:I1898, MATCH(D3499,RulebookFields!A2:A1898, 0))), "")</f>
        <v>0</v>
      </c>
      <c r="K3499" s="4" t="b">
        <f>AND(((F3499)=TRUE), ((J3499)=TRUE))</f>
        <v>0</v>
      </c>
      <c r="L3499" s="4" t="b">
        <f>AND(((G3499 &lt;&gt; "plain")=TRUE), ((G3499 &lt;&gt; "")=TRUE))</f>
        <v>0</v>
      </c>
      <c r="M3499" s="4" t="str">
        <f>IF(((E3499)=TRUE),  C3499 &amp; "|" &amp; H3499,  "")</f>
        <v>principal-knowledge-authority|VerificationOutcomes</v>
      </c>
      <c r="N3499" s="3" t="s">
        <v>10004</v>
      </c>
    </row>
    <row r="3500">
      <c r="A3500" s="3" t="s">
        <v>13502</v>
      </c>
      <c r="B3500" s="4" t="str">
        <f>C3500 &amp; " -&gt; " &amp; D3500</f>
        <v>principal-knowledge-authority -&gt; WitnessLoops.WitnessLoopId</v>
      </c>
      <c r="C3500" s="3" t="s">
        <v>9774</v>
      </c>
      <c r="D3500" s="3" t="s">
        <v>4139</v>
      </c>
      <c r="E3500" s="3" t="b">
        <v>1</v>
      </c>
      <c r="F3500" s="3" t="b">
        <v>0</v>
      </c>
      <c r="G3500" s="3" t="s">
        <v>10003</v>
      </c>
      <c r="H3500" s="4" t="str">
        <f>_xlfn.IFNA(IF(((INDEX(RulebookFields!C2:C1898, MATCH(D3500,RulebookFields!A2:A1898, 0))="")=TRUE),  "",  INDEX(RulebookFields!C2:C1898, MATCH(D3500,RulebookFields!A2:A1898, 0))), "")</f>
        <v>WitnessLoops</v>
      </c>
      <c r="I3500" s="4" t="str">
        <f>_xlfn.IFNA(IF(((INDEX(RulebookFields!D2:D1898, MATCH(D3500,RulebookFields!A2:A1898, 0))="")=TRUE),  "",  INDEX(RulebookFields!D2:D1898, MATCH(D3500,RulebookFields!A2:A1898, 0))), "")</f>
        <v>WitnessLoopId</v>
      </c>
      <c r="J3500" s="4" t="b">
        <f>_xlfn.IFNA(IF(((INDEX(RulebookFields!I2:I1898, MATCH(D3500,RulebookFields!A2:A1898, 0))="")=TRUE),  "",  INDEX(RulebookFields!I2:I1898, MATCH(D3500,RulebookFields!A2:A1898, 0))), "")</f>
        <v>0</v>
      </c>
      <c r="K3500" s="4" t="b">
        <f>AND(((F3500)=TRUE), ((J3500)=TRUE))</f>
        <v>0</v>
      </c>
      <c r="L3500" s="4" t="b">
        <f>AND(((G3500 &lt;&gt; "plain")=TRUE), ((G3500 &lt;&gt; "")=TRUE))</f>
        <v>0</v>
      </c>
      <c r="M3500" s="4" t="str">
        <f>IF(((E3500)=TRUE),  C3500 &amp; "|" &amp; H3500,  "")</f>
        <v>principal-knowledge-authority|WitnessLoops</v>
      </c>
      <c r="N3500" s="3" t="s">
        <v>10004</v>
      </c>
    </row>
    <row r="3501">
      <c r="A3501" s="3" t="s">
        <v>13503</v>
      </c>
      <c r="B3501" s="4" t="str">
        <f>C3501 &amp; " -&gt; " &amp; D3501</f>
        <v>principal-knowledge-authority -&gt; WitnessLoops.Name</v>
      </c>
      <c r="C3501" s="3" t="s">
        <v>9774</v>
      </c>
      <c r="D3501" s="3" t="s">
        <v>4141</v>
      </c>
      <c r="E3501" s="3" t="b">
        <v>1</v>
      </c>
      <c r="F3501" s="3" t="b">
        <v>0</v>
      </c>
      <c r="G3501" s="3" t="s">
        <v>10003</v>
      </c>
      <c r="H3501" s="4" t="str">
        <f>_xlfn.IFNA(IF(((INDEX(RulebookFields!C2:C1898, MATCH(D3501,RulebookFields!A2:A1898, 0))="")=TRUE),  "",  INDEX(RulebookFields!C2:C1898, MATCH(D3501,RulebookFields!A2:A1898, 0))), "")</f>
        <v>WitnessLoops</v>
      </c>
      <c r="I3501" s="4" t="str">
        <f>_xlfn.IFNA(IF(((INDEX(RulebookFields!D2:D1898, MATCH(D3501,RulebookFields!A2:A1898, 0))="")=TRUE),  "",  INDEX(RulebookFields!D2:D1898, MATCH(D3501,RulebookFields!A2:A1898, 0))), "")</f>
        <v>Name</v>
      </c>
      <c r="J3501" s="4" t="b">
        <f>_xlfn.IFNA(IF(((INDEX(RulebookFields!I2:I1898, MATCH(D3501,RulebookFields!A2:A1898, 0))="")=TRUE),  "",  INDEX(RulebookFields!I2:I1898, MATCH(D3501,RulebookFields!A2:A1898, 0))), "")</f>
        <v>1</v>
      </c>
      <c r="K3501" s="4" t="b">
        <f>AND(((F3501)=TRUE), ((J3501)=TRUE))</f>
        <v>0</v>
      </c>
      <c r="L3501" s="4" t="b">
        <f>AND(((G3501 &lt;&gt; "plain")=TRUE), ((G3501 &lt;&gt; "")=TRUE))</f>
        <v>0</v>
      </c>
      <c r="M3501" s="4" t="str">
        <f>IF(((E3501)=TRUE),  C3501 &amp; "|" &amp; H3501,  "")</f>
        <v>principal-knowledge-authority|WitnessLoops</v>
      </c>
      <c r="N3501" s="3" t="s">
        <v>10004</v>
      </c>
    </row>
    <row r="3502">
      <c r="A3502" s="3" t="s">
        <v>13504</v>
      </c>
      <c r="B3502" s="4" t="str">
        <f>C3502 &amp; " -&gt; " &amp; D3502</f>
        <v>principal-knowledge-authority -&gt; WitnessLoops.LoopNumber</v>
      </c>
      <c r="C3502" s="3" t="s">
        <v>9774</v>
      </c>
      <c r="D3502" s="3" t="s">
        <v>4143</v>
      </c>
      <c r="E3502" s="3" t="b">
        <v>1</v>
      </c>
      <c r="F3502" s="3" t="b">
        <v>0</v>
      </c>
      <c r="G3502" s="3" t="s">
        <v>10003</v>
      </c>
      <c r="H3502" s="4" t="str">
        <f>_xlfn.IFNA(IF(((INDEX(RulebookFields!C2:C1898, MATCH(D3502,RulebookFields!A2:A1898, 0))="")=TRUE),  "",  INDEX(RulebookFields!C2:C1898, MATCH(D3502,RulebookFields!A2:A1898, 0))), "")</f>
        <v>WitnessLoops</v>
      </c>
      <c r="I3502" s="4" t="str">
        <f>_xlfn.IFNA(IF(((INDEX(RulebookFields!D2:D1898, MATCH(D3502,RulebookFields!A2:A1898, 0))="")=TRUE),  "",  INDEX(RulebookFields!D2:D1898, MATCH(D3502,RulebookFields!A2:A1898, 0))), "")</f>
        <v>LoopNumber</v>
      </c>
      <c r="J3502" s="4" t="b">
        <f>_xlfn.IFNA(IF(((INDEX(RulebookFields!I2:I1898, MATCH(D3502,RulebookFields!A2:A1898, 0))="")=TRUE),  "",  INDEX(RulebookFields!I2:I1898, MATCH(D3502,RulebookFields!A2:A1898, 0))), "")</f>
        <v>0</v>
      </c>
      <c r="K3502" s="4" t="b">
        <f>AND(((F3502)=TRUE), ((J3502)=TRUE))</f>
        <v>0</v>
      </c>
      <c r="L3502" s="4" t="b">
        <f>AND(((G3502 &lt;&gt; "plain")=TRUE), ((G3502 &lt;&gt; "")=TRUE))</f>
        <v>0</v>
      </c>
      <c r="M3502" s="4" t="str">
        <f>IF(((E3502)=TRUE),  C3502 &amp; "|" &amp; H3502,  "")</f>
        <v>principal-knowledge-authority|WitnessLoops</v>
      </c>
      <c r="N3502" s="3" t="s">
        <v>10004</v>
      </c>
    </row>
    <row r="3503">
      <c r="A3503" s="3" t="s">
        <v>13505</v>
      </c>
      <c r="B3503" s="4" t="str">
        <f>C3503 &amp; " -&gt; " &amp; D3503</f>
        <v>principal-knowledge-authority -&gt; WitnessLoops.Title</v>
      </c>
      <c r="C3503" s="3" t="s">
        <v>9774</v>
      </c>
      <c r="D3503" s="3" t="s">
        <v>4144</v>
      </c>
      <c r="E3503" s="3" t="b">
        <v>1</v>
      </c>
      <c r="F3503" s="3" t="b">
        <v>0</v>
      </c>
      <c r="G3503" s="3" t="s">
        <v>10003</v>
      </c>
      <c r="H3503" s="4" t="str">
        <f>_xlfn.IFNA(IF(((INDEX(RulebookFields!C2:C1898, MATCH(D3503,RulebookFields!A2:A1898, 0))="")=TRUE),  "",  INDEX(RulebookFields!C2:C1898, MATCH(D3503,RulebookFields!A2:A1898, 0))), "")</f>
        <v>WitnessLoops</v>
      </c>
      <c r="I3503" s="4" t="str">
        <f>_xlfn.IFNA(IF(((INDEX(RulebookFields!D2:D1898, MATCH(D3503,RulebookFields!A2:A1898, 0))="")=TRUE),  "",  INDEX(RulebookFields!D2:D1898, MATCH(D3503,RulebookFields!A2:A1898, 0))), "")</f>
        <v>Title</v>
      </c>
      <c r="J3503" s="4" t="b">
        <f>_xlfn.IFNA(IF(((INDEX(RulebookFields!I2:I1898, MATCH(D3503,RulebookFields!A2:A1898, 0))="")=TRUE),  "",  INDEX(RulebookFields!I2:I1898, MATCH(D3503,RulebookFields!A2:A1898, 0))), "")</f>
        <v>0</v>
      </c>
      <c r="K3503" s="4" t="b">
        <f>AND(((F3503)=TRUE), ((J3503)=TRUE))</f>
        <v>0</v>
      </c>
      <c r="L3503" s="4" t="b">
        <f>AND(((G3503 &lt;&gt; "plain")=TRUE), ((G3503 &lt;&gt; "")=TRUE))</f>
        <v>0</v>
      </c>
      <c r="M3503" s="4" t="str">
        <f>IF(((E3503)=TRUE),  C3503 &amp; "|" &amp; H3503,  "")</f>
        <v>principal-knowledge-authority|WitnessLoops</v>
      </c>
      <c r="N3503" s="3" t="s">
        <v>10004</v>
      </c>
    </row>
    <row r="3504">
      <c r="A3504" s="3" t="s">
        <v>13506</v>
      </c>
      <c r="B3504" s="4" t="str">
        <f>C3504 &amp; " -&gt; " &amp; D3504</f>
        <v>principal-knowledge-authority -&gt; WitnessLoops.Premise</v>
      </c>
      <c r="C3504" s="3" t="s">
        <v>9774</v>
      </c>
      <c r="D3504" s="3" t="s">
        <v>4145</v>
      </c>
      <c r="E3504" s="3" t="b">
        <v>1</v>
      </c>
      <c r="F3504" s="3" t="b">
        <v>0</v>
      </c>
      <c r="G3504" s="3" t="s">
        <v>10003</v>
      </c>
      <c r="H3504" s="4" t="str">
        <f>_xlfn.IFNA(IF(((INDEX(RulebookFields!C2:C1898, MATCH(D3504,RulebookFields!A2:A1898, 0))="")=TRUE),  "",  INDEX(RulebookFields!C2:C1898, MATCH(D3504,RulebookFields!A2:A1898, 0))), "")</f>
        <v>WitnessLoops</v>
      </c>
      <c r="I3504" s="4" t="str">
        <f>_xlfn.IFNA(IF(((INDEX(RulebookFields!D2:D1898, MATCH(D3504,RulebookFields!A2:A1898, 0))="")=TRUE),  "",  INDEX(RulebookFields!D2:D1898, MATCH(D3504,RulebookFields!A2:A1898, 0))), "")</f>
        <v>Premise</v>
      </c>
      <c r="J3504" s="4" t="b">
        <f>_xlfn.IFNA(IF(((INDEX(RulebookFields!I2:I1898, MATCH(D3504,RulebookFields!A2:A1898, 0))="")=TRUE),  "",  INDEX(RulebookFields!I2:I1898, MATCH(D3504,RulebookFields!A2:A1898, 0))), "")</f>
        <v>0</v>
      </c>
      <c r="K3504" s="4" t="b">
        <f>AND(((F3504)=TRUE), ((J3504)=TRUE))</f>
        <v>0</v>
      </c>
      <c r="L3504" s="4" t="b">
        <f>AND(((G3504 &lt;&gt; "plain")=TRUE), ((G3504 &lt;&gt; "")=TRUE))</f>
        <v>0</v>
      </c>
      <c r="M3504" s="4" t="str">
        <f>IF(((E3504)=TRUE),  C3504 &amp; "|" &amp; H3504,  "")</f>
        <v>principal-knowledge-authority|WitnessLoops</v>
      </c>
      <c r="N3504" s="3" t="s">
        <v>10004</v>
      </c>
    </row>
    <row r="3505">
      <c r="A3505" s="3" t="s">
        <v>13507</v>
      </c>
      <c r="B3505" s="4" t="str">
        <f>C3505 &amp; " -&gt; " &amp; D3505</f>
        <v>principal-knowledge-authority -&gt; WitnessLoops.StartedAt</v>
      </c>
      <c r="C3505" s="3" t="s">
        <v>9774</v>
      </c>
      <c r="D3505" s="3" t="s">
        <v>4146</v>
      </c>
      <c r="E3505" s="3" t="b">
        <v>1</v>
      </c>
      <c r="F3505" s="3" t="b">
        <v>0</v>
      </c>
      <c r="G3505" s="3" t="s">
        <v>10003</v>
      </c>
      <c r="H3505" s="4" t="str">
        <f>_xlfn.IFNA(IF(((INDEX(RulebookFields!C2:C1898, MATCH(D3505,RulebookFields!A2:A1898, 0))="")=TRUE),  "",  INDEX(RulebookFields!C2:C1898, MATCH(D3505,RulebookFields!A2:A1898, 0))), "")</f>
        <v>WitnessLoops</v>
      </c>
      <c r="I3505" s="4" t="str">
        <f>_xlfn.IFNA(IF(((INDEX(RulebookFields!D2:D1898, MATCH(D3505,RulebookFields!A2:A1898, 0))="")=TRUE),  "",  INDEX(RulebookFields!D2:D1898, MATCH(D3505,RulebookFields!A2:A1898, 0))), "")</f>
        <v>StartedAt</v>
      </c>
      <c r="J3505" s="4" t="b">
        <f>_xlfn.IFNA(IF(((INDEX(RulebookFields!I2:I1898, MATCH(D3505,RulebookFields!A2:A1898, 0))="")=TRUE),  "",  INDEX(RulebookFields!I2:I1898, MATCH(D3505,RulebookFields!A2:A1898, 0))), "")</f>
        <v>0</v>
      </c>
      <c r="K3505" s="4" t="b">
        <f>AND(((F3505)=TRUE), ((J3505)=TRUE))</f>
        <v>0</v>
      </c>
      <c r="L3505" s="4" t="b">
        <f>AND(((G3505 &lt;&gt; "plain")=TRUE), ((G3505 &lt;&gt; "")=TRUE))</f>
        <v>0</v>
      </c>
      <c r="M3505" s="4" t="str">
        <f>IF(((E3505)=TRUE),  C3505 &amp; "|" &amp; H3505,  "")</f>
        <v>principal-knowledge-authority|WitnessLoops</v>
      </c>
      <c r="N3505" s="3" t="s">
        <v>10004</v>
      </c>
    </row>
    <row r="3506">
      <c r="A3506" s="3" t="s">
        <v>13508</v>
      </c>
      <c r="B3506" s="4" t="str">
        <f>C3506 &amp; " -&gt; " &amp; D3506</f>
        <v>principal-knowledge-authority -&gt; WitnessLoops.CompletedAt</v>
      </c>
      <c r="C3506" s="3" t="s">
        <v>9774</v>
      </c>
      <c r="D3506" s="3" t="s">
        <v>4147</v>
      </c>
      <c r="E3506" s="3" t="b">
        <v>1</v>
      </c>
      <c r="F3506" s="3" t="b">
        <v>0</v>
      </c>
      <c r="G3506" s="3" t="s">
        <v>10003</v>
      </c>
      <c r="H3506" s="4" t="str">
        <f>_xlfn.IFNA(IF(((INDEX(RulebookFields!C2:C1898, MATCH(D3506,RulebookFields!A2:A1898, 0))="")=TRUE),  "",  INDEX(RulebookFields!C2:C1898, MATCH(D3506,RulebookFields!A2:A1898, 0))), "")</f>
        <v>WitnessLoops</v>
      </c>
      <c r="I3506" s="4" t="str">
        <f>_xlfn.IFNA(IF(((INDEX(RulebookFields!D2:D1898, MATCH(D3506,RulebookFields!A2:A1898, 0))="")=TRUE),  "",  INDEX(RulebookFields!D2:D1898, MATCH(D3506,RulebookFields!A2:A1898, 0))), "")</f>
        <v>CompletedAt</v>
      </c>
      <c r="J3506" s="4" t="b">
        <f>_xlfn.IFNA(IF(((INDEX(RulebookFields!I2:I1898, MATCH(D3506,RulebookFields!A2:A1898, 0))="")=TRUE),  "",  INDEX(RulebookFields!I2:I1898, MATCH(D3506,RulebookFields!A2:A1898, 0))), "")</f>
        <v>0</v>
      </c>
      <c r="K3506" s="4" t="b">
        <f>AND(((F3506)=TRUE), ((J3506)=TRUE))</f>
        <v>0</v>
      </c>
      <c r="L3506" s="4" t="b">
        <f>AND(((G3506 &lt;&gt; "plain")=TRUE), ((G3506 &lt;&gt; "")=TRUE))</f>
        <v>0</v>
      </c>
      <c r="M3506" s="4" t="str">
        <f>IF(((E3506)=TRUE),  C3506 &amp; "|" &amp; H3506,  "")</f>
        <v>principal-knowledge-authority|WitnessLoops</v>
      </c>
      <c r="N3506" s="3" t="s">
        <v>10004</v>
      </c>
    </row>
    <row r="3507">
      <c r="A3507" s="3" t="s">
        <v>13509</v>
      </c>
      <c r="B3507" s="4" t="str">
        <f>C3507 &amp; " -&gt; " &amp; D3507</f>
        <v>principal-knowledge-authority -&gt; WitnessLoops.QuestionCount</v>
      </c>
      <c r="C3507" s="3" t="s">
        <v>9774</v>
      </c>
      <c r="D3507" s="3" t="s">
        <v>4148</v>
      </c>
      <c r="E3507" s="3" t="b">
        <v>1</v>
      </c>
      <c r="F3507" s="3" t="b">
        <v>0</v>
      </c>
      <c r="G3507" s="3" t="s">
        <v>10003</v>
      </c>
      <c r="H3507" s="4" t="str">
        <f>_xlfn.IFNA(IF(((INDEX(RulebookFields!C2:C1898, MATCH(D3507,RulebookFields!A2:A1898, 0))="")=TRUE),  "",  INDEX(RulebookFields!C2:C1898, MATCH(D3507,RulebookFields!A2:A1898, 0))), "")</f>
        <v>WitnessLoops</v>
      </c>
      <c r="I3507" s="4" t="str">
        <f>_xlfn.IFNA(IF(((INDEX(RulebookFields!D2:D1898, MATCH(D3507,RulebookFields!A2:A1898, 0))="")=TRUE),  "",  INDEX(RulebookFields!D2:D1898, MATCH(D3507,RulebookFields!A2:A1898, 0))), "")</f>
        <v>QuestionCount</v>
      </c>
      <c r="J3507" s="4" t="b">
        <f>_xlfn.IFNA(IF(((INDEX(RulebookFields!I2:I1898, MATCH(D3507,RulebookFields!A2:A1898, 0))="")=TRUE),  "",  INDEX(RulebookFields!I2:I1898, MATCH(D3507,RulebookFields!A2:A1898, 0))), "")</f>
        <v>1</v>
      </c>
      <c r="K3507" s="4" t="b">
        <f>AND(((F3507)=TRUE), ((J3507)=TRUE))</f>
        <v>0</v>
      </c>
      <c r="L3507" s="4" t="b">
        <f>AND(((G3507 &lt;&gt; "plain")=TRUE), ((G3507 &lt;&gt; "")=TRUE))</f>
        <v>0</v>
      </c>
      <c r="M3507" s="4" t="str">
        <f>IF(((E3507)=TRUE),  C3507 &amp; "|" &amp; H3507,  "")</f>
        <v>principal-knowledge-authority|WitnessLoops</v>
      </c>
      <c r="N3507" s="3" t="s">
        <v>10004</v>
      </c>
    </row>
    <row r="3508">
      <c r="A3508" s="3" t="s">
        <v>13510</v>
      </c>
      <c r="B3508" s="4" t="str">
        <f>C3508 &amp; " -&gt; " &amp; D3508</f>
        <v>principal-knowledge-authority -&gt; WitnessLoops.IsComplete</v>
      </c>
      <c r="C3508" s="3" t="s">
        <v>9774</v>
      </c>
      <c r="D3508" s="3" t="s">
        <v>4150</v>
      </c>
      <c r="E3508" s="3" t="b">
        <v>1</v>
      </c>
      <c r="F3508" s="3" t="b">
        <v>0</v>
      </c>
      <c r="G3508" s="3" t="s">
        <v>10003</v>
      </c>
      <c r="H3508" s="4" t="str">
        <f>_xlfn.IFNA(IF(((INDEX(RulebookFields!C2:C1898, MATCH(D3508,RulebookFields!A2:A1898, 0))="")=TRUE),  "",  INDEX(RulebookFields!C2:C1898, MATCH(D3508,RulebookFields!A2:A1898, 0))), "")</f>
        <v>WitnessLoops</v>
      </c>
      <c r="I3508" s="4" t="str">
        <f>_xlfn.IFNA(IF(((INDEX(RulebookFields!D2:D1898, MATCH(D3508,RulebookFields!A2:A1898, 0))="")=TRUE),  "",  INDEX(RulebookFields!D2:D1898, MATCH(D3508,RulebookFields!A2:A1898, 0))), "")</f>
        <v>IsComplete</v>
      </c>
      <c r="J3508" s="4" t="b">
        <f>_xlfn.IFNA(IF(((INDEX(RulebookFields!I2:I1898, MATCH(D3508,RulebookFields!A2:A1898, 0))="")=TRUE),  "",  INDEX(RulebookFields!I2:I1898, MATCH(D3508,RulebookFields!A2:A1898, 0))), "")</f>
        <v>1</v>
      </c>
      <c r="K3508" s="4" t="b">
        <f>AND(((F3508)=TRUE), ((J3508)=TRUE))</f>
        <v>0</v>
      </c>
      <c r="L3508" s="4" t="b">
        <f>AND(((G3508 &lt;&gt; "plain")=TRUE), ((G3508 &lt;&gt; "")=TRUE))</f>
        <v>0</v>
      </c>
      <c r="M3508" s="4" t="str">
        <f>IF(((E3508)=TRUE),  C3508 &amp; "|" &amp; H3508,  "")</f>
        <v>principal-knowledge-authority|WitnessLoops</v>
      </c>
      <c r="N3508" s="3" t="s">
        <v>10004</v>
      </c>
    </row>
    <row r="3509">
      <c r="A3509" s="3" t="s">
        <v>13511</v>
      </c>
      <c r="B3509" s="4" t="str">
        <f>C3509 &amp; " -&gt; " &amp; D3509</f>
        <v>principal-knowledge-authority -&gt; WitnessLoops.FieldsAfter</v>
      </c>
      <c r="C3509" s="3" t="s">
        <v>9774</v>
      </c>
      <c r="D3509" s="3" t="s">
        <v>4152</v>
      </c>
      <c r="E3509" s="3" t="b">
        <v>1</v>
      </c>
      <c r="F3509" s="3" t="b">
        <v>0</v>
      </c>
      <c r="G3509" s="3" t="s">
        <v>10003</v>
      </c>
      <c r="H3509" s="4" t="str">
        <f>_xlfn.IFNA(IF(((INDEX(RulebookFields!C2:C1898, MATCH(D3509,RulebookFields!A2:A1898, 0))="")=TRUE),  "",  INDEX(RulebookFields!C2:C1898, MATCH(D3509,RulebookFields!A2:A1898, 0))), "")</f>
        <v>WitnessLoops</v>
      </c>
      <c r="I3509" s="4" t="str">
        <f>_xlfn.IFNA(IF(((INDEX(RulebookFields!D2:D1898, MATCH(D3509,RulebookFields!A2:A1898, 0))="")=TRUE),  "",  INDEX(RulebookFields!D2:D1898, MATCH(D3509,RulebookFields!A2:A1898, 0))), "")</f>
        <v>FieldsAfter</v>
      </c>
      <c r="J3509" s="4" t="b">
        <f>_xlfn.IFNA(IF(((INDEX(RulebookFields!I2:I1898, MATCH(D3509,RulebookFields!A2:A1898, 0))="")=TRUE),  "",  INDEX(RulebookFields!I2:I1898, MATCH(D3509,RulebookFields!A2:A1898, 0))), "")</f>
        <v>0</v>
      </c>
      <c r="K3509" s="4" t="b">
        <f>AND(((F3509)=TRUE), ((J3509)=TRUE))</f>
        <v>0</v>
      </c>
      <c r="L3509" s="4" t="b">
        <f>AND(((G3509 &lt;&gt; "plain")=TRUE), ((G3509 &lt;&gt; "")=TRUE))</f>
        <v>0</v>
      </c>
      <c r="M3509" s="4" t="str">
        <f>IF(((E3509)=TRUE),  C3509 &amp; "|" &amp; H3509,  "")</f>
        <v>principal-knowledge-authority|WitnessLoops</v>
      </c>
      <c r="N3509" s="3" t="s">
        <v>10004</v>
      </c>
    </row>
    <row r="3510">
      <c r="A3510" s="3" t="s">
        <v>13512</v>
      </c>
      <c r="B3510" s="4" t="str">
        <f>C3510 &amp; " -&gt; " &amp; D3510</f>
        <v>principal-knowledge-authority -&gt; WitnessLoops.DerivedAfter</v>
      </c>
      <c r="C3510" s="3" t="s">
        <v>9774</v>
      </c>
      <c r="D3510" s="3" t="s">
        <v>4153</v>
      </c>
      <c r="E3510" s="3" t="b">
        <v>1</v>
      </c>
      <c r="F3510" s="3" t="b">
        <v>0</v>
      </c>
      <c r="G3510" s="3" t="s">
        <v>10003</v>
      </c>
      <c r="H3510" s="4" t="str">
        <f>_xlfn.IFNA(IF(((INDEX(RulebookFields!C2:C1898, MATCH(D3510,RulebookFields!A2:A1898, 0))="")=TRUE),  "",  INDEX(RulebookFields!C2:C1898, MATCH(D3510,RulebookFields!A2:A1898, 0))), "")</f>
        <v>WitnessLoops</v>
      </c>
      <c r="I3510" s="4" t="str">
        <f>_xlfn.IFNA(IF(((INDEX(RulebookFields!D2:D1898, MATCH(D3510,RulebookFields!A2:A1898, 0))="")=TRUE),  "",  INDEX(RulebookFields!D2:D1898, MATCH(D3510,RulebookFields!A2:A1898, 0))), "")</f>
        <v>DerivedAfter</v>
      </c>
      <c r="J3510" s="4" t="b">
        <f>_xlfn.IFNA(IF(((INDEX(RulebookFields!I2:I1898, MATCH(D3510,RulebookFields!A2:A1898, 0))="")=TRUE),  "",  INDEX(RulebookFields!I2:I1898, MATCH(D3510,RulebookFields!A2:A1898, 0))), "")</f>
        <v>0</v>
      </c>
      <c r="K3510" s="4" t="b">
        <f>AND(((F3510)=TRUE), ((J3510)=TRUE))</f>
        <v>0</v>
      </c>
      <c r="L3510" s="4" t="b">
        <f>AND(((G3510 &lt;&gt; "plain")=TRUE), ((G3510 &lt;&gt; "")=TRUE))</f>
        <v>0</v>
      </c>
      <c r="M3510" s="4" t="str">
        <f>IF(((E3510)=TRUE),  C3510 &amp; "|" &amp; H3510,  "")</f>
        <v>principal-knowledge-authority|WitnessLoops</v>
      </c>
      <c r="N3510" s="3" t="s">
        <v>10004</v>
      </c>
    </row>
    <row r="3511">
      <c r="A3511" s="3" t="s">
        <v>13513</v>
      </c>
      <c r="B3511" s="4" t="str">
        <f>C3511 &amp; " -&gt; " &amp; D3511</f>
        <v>principal-knowledge-authority -&gt; WitnessLoops.WitnessedAfter</v>
      </c>
      <c r="C3511" s="3" t="s">
        <v>9774</v>
      </c>
      <c r="D3511" s="3" t="s">
        <v>4154</v>
      </c>
      <c r="E3511" s="3" t="b">
        <v>1</v>
      </c>
      <c r="F3511" s="3" t="b">
        <v>0</v>
      </c>
      <c r="G3511" s="3" t="s">
        <v>10003</v>
      </c>
      <c r="H3511" s="4" t="str">
        <f>_xlfn.IFNA(IF(((INDEX(RulebookFields!C2:C1898, MATCH(D3511,RulebookFields!A2:A1898, 0))="")=TRUE),  "",  INDEX(RulebookFields!C2:C1898, MATCH(D3511,RulebookFields!A2:A1898, 0))), "")</f>
        <v>WitnessLoops</v>
      </c>
      <c r="I3511" s="4" t="str">
        <f>_xlfn.IFNA(IF(((INDEX(RulebookFields!D2:D1898, MATCH(D3511,RulebookFields!A2:A1898, 0))="")=TRUE),  "",  INDEX(RulebookFields!D2:D1898, MATCH(D3511,RulebookFields!A2:A1898, 0))), "")</f>
        <v>WitnessedAfter</v>
      </c>
      <c r="J3511" s="4" t="b">
        <f>_xlfn.IFNA(IF(((INDEX(RulebookFields!I2:I1898, MATCH(D3511,RulebookFields!A2:A1898, 0))="")=TRUE),  "",  INDEX(RulebookFields!I2:I1898, MATCH(D3511,RulebookFields!A2:A1898, 0))), "")</f>
        <v>0</v>
      </c>
      <c r="K3511" s="4" t="b">
        <f>AND(((F3511)=TRUE), ((J3511)=TRUE))</f>
        <v>0</v>
      </c>
      <c r="L3511" s="4" t="b">
        <f>AND(((G3511 &lt;&gt; "plain")=TRUE), ((G3511 &lt;&gt; "")=TRUE))</f>
        <v>0</v>
      </c>
      <c r="M3511" s="4" t="str">
        <f>IF(((E3511)=TRUE),  C3511 &amp; "|" &amp; H3511,  "")</f>
        <v>principal-knowledge-authority|WitnessLoops</v>
      </c>
      <c r="N3511" s="3" t="s">
        <v>10004</v>
      </c>
    </row>
    <row r="3512">
      <c r="A3512" s="3" t="s">
        <v>13514</v>
      </c>
      <c r="B3512" s="4" t="str">
        <f>C3512 &amp; " -&gt; " &amp; D3512</f>
        <v>principal-knowledge-authority -&gt; WitnessLoops.SemanticTypeIri</v>
      </c>
      <c r="C3512" s="3" t="s">
        <v>9774</v>
      </c>
      <c r="D3512" s="3" t="s">
        <v>4155</v>
      </c>
      <c r="E3512" s="3" t="b">
        <v>1</v>
      </c>
      <c r="F3512" s="3" t="b">
        <v>0</v>
      </c>
      <c r="G3512" s="3" t="s">
        <v>10003</v>
      </c>
      <c r="H3512" s="4" t="str">
        <f>_xlfn.IFNA(IF(((INDEX(RulebookFields!C2:C1898, MATCH(D3512,RulebookFields!A2:A1898, 0))="")=TRUE),  "",  INDEX(RulebookFields!C2:C1898, MATCH(D3512,RulebookFields!A2:A1898, 0))), "")</f>
        <v>WitnessLoops</v>
      </c>
      <c r="I3512" s="4" t="str">
        <f>_xlfn.IFNA(IF(((INDEX(RulebookFields!D2:D1898, MATCH(D3512,RulebookFields!A2:A1898, 0))="")=TRUE),  "",  INDEX(RulebookFields!D2:D1898, MATCH(D3512,RulebookFields!A2:A1898, 0))), "")</f>
        <v>SemanticTypeIri</v>
      </c>
      <c r="J3512" s="4" t="b">
        <f>_xlfn.IFNA(IF(((INDEX(RulebookFields!I2:I1898, MATCH(D3512,RulebookFields!A2:A1898, 0))="")=TRUE),  "",  INDEX(RulebookFields!I2:I1898, MATCH(D3512,RulebookFields!A2:A1898, 0))), "")</f>
        <v>0</v>
      </c>
      <c r="K3512" s="4" t="b">
        <f>AND(((F3512)=TRUE), ((J3512)=TRUE))</f>
        <v>0</v>
      </c>
      <c r="L3512" s="4" t="b">
        <f>AND(((G3512 &lt;&gt; "plain")=TRUE), ((G3512 &lt;&gt; "")=TRUE))</f>
        <v>0</v>
      </c>
      <c r="M3512" s="4" t="str">
        <f>IF(((E3512)=TRUE),  C3512 &amp; "|" &amp; H3512,  "")</f>
        <v>principal-knowledge-authority|WitnessLoops</v>
      </c>
      <c r="N3512" s="3" t="s">
        <v>10004</v>
      </c>
    </row>
    <row r="3513">
      <c r="A3513" s="3" t="s">
        <v>13515</v>
      </c>
      <c r="B3513" s="4" t="str">
        <f>C3513 &amp; " -&gt; " &amp; D3513</f>
        <v>principal-process-steward -&gt; ProcessMiningRuns.ProcessMiningRunId</v>
      </c>
      <c r="C3513" s="3" t="s">
        <v>9772</v>
      </c>
      <c r="D3513" s="3" t="s">
        <v>5653</v>
      </c>
      <c r="E3513" s="3" t="b">
        <v>1</v>
      </c>
      <c r="F3513" s="3" t="b">
        <v>0</v>
      </c>
      <c r="G3513" s="3" t="s">
        <v>10003</v>
      </c>
      <c r="H3513" s="4" t="str">
        <f>_xlfn.IFNA(IF(((INDEX(RulebookFields!C2:C1898, MATCH(D3513,RulebookFields!A2:A1898, 0))="")=TRUE),  "",  INDEX(RulebookFields!C2:C1898, MATCH(D3513,RulebookFields!A2:A1898, 0))), "")</f>
        <v>ProcessMiningRuns</v>
      </c>
      <c r="I3513" s="4" t="str">
        <f>_xlfn.IFNA(IF(((INDEX(RulebookFields!D2:D1898, MATCH(D3513,RulebookFields!A2:A1898, 0))="")=TRUE),  "",  INDEX(RulebookFields!D2:D1898, MATCH(D3513,RulebookFields!A2:A1898, 0))), "")</f>
        <v>ProcessMiningRunId</v>
      </c>
      <c r="J3513" s="4" t="b">
        <f>_xlfn.IFNA(IF(((INDEX(RulebookFields!I2:I1898, MATCH(D3513,RulebookFields!A2:A1898, 0))="")=TRUE),  "",  INDEX(RulebookFields!I2:I1898, MATCH(D3513,RulebookFields!A2:A1898, 0))), "")</f>
        <v>0</v>
      </c>
      <c r="K3513" s="4" t="b">
        <f>AND(((F3513)=TRUE), ((J3513)=TRUE))</f>
        <v>0</v>
      </c>
      <c r="L3513" s="4" t="b">
        <f>AND(((G3513 &lt;&gt; "plain")=TRUE), ((G3513 &lt;&gt; "")=TRUE))</f>
        <v>0</v>
      </c>
      <c r="M3513" s="4" t="str">
        <f>IF(((E3513)=TRUE),  C3513 &amp; "|" &amp; H3513,  "")</f>
        <v>principal-process-steward|ProcessMiningRuns</v>
      </c>
      <c r="N3513" s="3" t="s">
        <v>10004</v>
      </c>
    </row>
    <row r="3514">
      <c r="A3514" s="3" t="s">
        <v>13516</v>
      </c>
      <c r="B3514" s="4" t="str">
        <f>C3514 &amp; " -&gt; " &amp; D3514</f>
        <v>principal-process-steward -&gt; ProcessMiningRuns.Name</v>
      </c>
      <c r="C3514" s="3" t="s">
        <v>9772</v>
      </c>
      <c r="D3514" s="3" t="s">
        <v>5655</v>
      </c>
      <c r="E3514" s="3" t="b">
        <v>1</v>
      </c>
      <c r="F3514" s="3" t="b">
        <v>0</v>
      </c>
      <c r="G3514" s="3" t="s">
        <v>10003</v>
      </c>
      <c r="H3514" s="4" t="str">
        <f>_xlfn.IFNA(IF(((INDEX(RulebookFields!C2:C1898, MATCH(D3514,RulebookFields!A2:A1898, 0))="")=TRUE),  "",  INDEX(RulebookFields!C2:C1898, MATCH(D3514,RulebookFields!A2:A1898, 0))), "")</f>
        <v>ProcessMiningRuns</v>
      </c>
      <c r="I3514" s="4" t="str">
        <f>_xlfn.IFNA(IF(((INDEX(RulebookFields!D2:D1898, MATCH(D3514,RulebookFields!A2:A1898, 0))="")=TRUE),  "",  INDEX(RulebookFields!D2:D1898, MATCH(D3514,RulebookFields!A2:A1898, 0))), "")</f>
        <v>Name</v>
      </c>
      <c r="J3514" s="4" t="b">
        <f>_xlfn.IFNA(IF(((INDEX(RulebookFields!I2:I1898, MATCH(D3514,RulebookFields!A2:A1898, 0))="")=TRUE),  "",  INDEX(RulebookFields!I2:I1898, MATCH(D3514,RulebookFields!A2:A1898, 0))), "")</f>
        <v>1</v>
      </c>
      <c r="K3514" s="4" t="b">
        <f>AND(((F3514)=TRUE), ((J3514)=TRUE))</f>
        <v>0</v>
      </c>
      <c r="L3514" s="4" t="b">
        <f>AND(((G3514 &lt;&gt; "plain")=TRUE), ((G3514 &lt;&gt; "")=TRUE))</f>
        <v>0</v>
      </c>
      <c r="M3514" s="4" t="str">
        <f>IF(((E3514)=TRUE),  C3514 &amp; "|" &amp; H3514,  "")</f>
        <v>principal-process-steward|ProcessMiningRuns</v>
      </c>
      <c r="N3514" s="3" t="s">
        <v>10004</v>
      </c>
    </row>
    <row r="3515">
      <c r="A3515" s="3" t="s">
        <v>13517</v>
      </c>
      <c r="B3515" s="4" t="str">
        <f>C3515 &amp; " -&gt; " &amp; D3515</f>
        <v>principal-process-steward -&gt; ProcessMiningRuns.ProcedureVersion</v>
      </c>
      <c r="C3515" s="3" t="s">
        <v>9772</v>
      </c>
      <c r="D3515" s="3" t="s">
        <v>5657</v>
      </c>
      <c r="E3515" s="3" t="b">
        <v>1</v>
      </c>
      <c r="F3515" s="3" t="b">
        <v>0</v>
      </c>
      <c r="G3515" s="3" t="s">
        <v>10003</v>
      </c>
      <c r="H3515" s="4" t="str">
        <f>_xlfn.IFNA(IF(((INDEX(RulebookFields!C2:C1898, MATCH(D3515,RulebookFields!A2:A1898, 0))="")=TRUE),  "",  INDEX(RulebookFields!C2:C1898, MATCH(D3515,RulebookFields!A2:A1898, 0))), "")</f>
        <v>ProcessMiningRuns</v>
      </c>
      <c r="I3515" s="4" t="str">
        <f>_xlfn.IFNA(IF(((INDEX(RulebookFields!D2:D1898, MATCH(D3515,RulebookFields!A2:A1898, 0))="")=TRUE),  "",  INDEX(RulebookFields!D2:D1898, MATCH(D3515,RulebookFields!A2:A1898, 0))), "")</f>
        <v>ProcedureVersion</v>
      </c>
      <c r="J3515" s="4" t="b">
        <f>_xlfn.IFNA(IF(((INDEX(RulebookFields!I2:I1898, MATCH(D3515,RulebookFields!A2:A1898, 0))="")=TRUE),  "",  INDEX(RulebookFields!I2:I1898, MATCH(D3515,RulebookFields!A2:A1898, 0))), "")</f>
        <v>0</v>
      </c>
      <c r="K3515" s="4" t="b">
        <f>AND(((F3515)=TRUE), ((J3515)=TRUE))</f>
        <v>0</v>
      </c>
      <c r="L3515" s="4" t="b">
        <f>AND(((G3515 &lt;&gt; "plain")=TRUE), ((G3515 &lt;&gt; "")=TRUE))</f>
        <v>0</v>
      </c>
      <c r="M3515" s="4" t="str">
        <f>IF(((E3515)=TRUE),  C3515 &amp; "|" &amp; H3515,  "")</f>
        <v>principal-process-steward|ProcessMiningRuns</v>
      </c>
      <c r="N3515" s="3" t="s">
        <v>10004</v>
      </c>
    </row>
    <row r="3516">
      <c r="A3516" s="3" t="s">
        <v>13518</v>
      </c>
      <c r="B3516" s="4" t="str">
        <f>C3516 &amp; " -&gt; " &amp; D3516</f>
        <v>principal-process-steward -&gt; ProcessMiningRuns.EventLogSource</v>
      </c>
      <c r="C3516" s="3" t="s">
        <v>9772</v>
      </c>
      <c r="D3516" s="3" t="s">
        <v>5658</v>
      </c>
      <c r="E3516" s="3" t="b">
        <v>1</v>
      </c>
      <c r="F3516" s="3" t="b">
        <v>0</v>
      </c>
      <c r="G3516" s="3" t="s">
        <v>10003</v>
      </c>
      <c r="H3516" s="4" t="str">
        <f>_xlfn.IFNA(IF(((INDEX(RulebookFields!C2:C1898, MATCH(D3516,RulebookFields!A2:A1898, 0))="")=TRUE),  "",  INDEX(RulebookFields!C2:C1898, MATCH(D3516,RulebookFields!A2:A1898, 0))), "")</f>
        <v>ProcessMiningRuns</v>
      </c>
      <c r="I3516" s="4" t="str">
        <f>_xlfn.IFNA(IF(((INDEX(RulebookFields!D2:D1898, MATCH(D3516,RulebookFields!A2:A1898, 0))="")=TRUE),  "",  INDEX(RulebookFields!D2:D1898, MATCH(D3516,RulebookFields!A2:A1898, 0))), "")</f>
        <v>EventLogSource</v>
      </c>
      <c r="J3516" s="4" t="b">
        <f>_xlfn.IFNA(IF(((INDEX(RulebookFields!I2:I1898, MATCH(D3516,RulebookFields!A2:A1898, 0))="")=TRUE),  "",  INDEX(RulebookFields!I2:I1898, MATCH(D3516,RulebookFields!A2:A1898, 0))), "")</f>
        <v>0</v>
      </c>
      <c r="K3516" s="4" t="b">
        <f>AND(((F3516)=TRUE), ((J3516)=TRUE))</f>
        <v>0</v>
      </c>
      <c r="L3516" s="4" t="b">
        <f>AND(((G3516 &lt;&gt; "plain")=TRUE), ((G3516 &lt;&gt; "")=TRUE))</f>
        <v>0</v>
      </c>
      <c r="M3516" s="4" t="str">
        <f>IF(((E3516)=TRUE),  C3516 &amp; "|" &amp; H3516,  "")</f>
        <v>principal-process-steward|ProcessMiningRuns</v>
      </c>
      <c r="N3516" s="3" t="s">
        <v>10004</v>
      </c>
    </row>
    <row r="3517">
      <c r="A3517" s="3" t="s">
        <v>13519</v>
      </c>
      <c r="B3517" s="4" t="str">
        <f>C3517 &amp; " -&gt; " &amp; D3517</f>
        <v>principal-process-steward -&gt; ProcessMiningRuns.MinedAt</v>
      </c>
      <c r="C3517" s="3" t="s">
        <v>9772</v>
      </c>
      <c r="D3517" s="3" t="s">
        <v>5660</v>
      </c>
      <c r="E3517" s="3" t="b">
        <v>1</v>
      </c>
      <c r="F3517" s="3" t="b">
        <v>0</v>
      </c>
      <c r="G3517" s="3" t="s">
        <v>10003</v>
      </c>
      <c r="H3517" s="4" t="str">
        <f>_xlfn.IFNA(IF(((INDEX(RulebookFields!C2:C1898, MATCH(D3517,RulebookFields!A2:A1898, 0))="")=TRUE),  "",  INDEX(RulebookFields!C2:C1898, MATCH(D3517,RulebookFields!A2:A1898, 0))), "")</f>
        <v>ProcessMiningRuns</v>
      </c>
      <c r="I3517" s="4" t="str">
        <f>_xlfn.IFNA(IF(((INDEX(RulebookFields!D2:D1898, MATCH(D3517,RulebookFields!A2:A1898, 0))="")=TRUE),  "",  INDEX(RulebookFields!D2:D1898, MATCH(D3517,RulebookFields!A2:A1898, 0))), "")</f>
        <v>MinedAt</v>
      </c>
      <c r="J3517" s="4" t="b">
        <f>_xlfn.IFNA(IF(((INDEX(RulebookFields!I2:I1898, MATCH(D3517,RulebookFields!A2:A1898, 0))="")=TRUE),  "",  INDEX(RulebookFields!I2:I1898, MATCH(D3517,RulebookFields!A2:A1898, 0))), "")</f>
        <v>0</v>
      </c>
      <c r="K3517" s="4" t="b">
        <f>AND(((F3517)=TRUE), ((J3517)=TRUE))</f>
        <v>0</v>
      </c>
      <c r="L3517" s="4" t="b">
        <f>AND(((G3517 &lt;&gt; "plain")=TRUE), ((G3517 &lt;&gt; "")=TRUE))</f>
        <v>0</v>
      </c>
      <c r="M3517" s="4" t="str">
        <f>IF(((E3517)=TRUE),  C3517 &amp; "|" &amp; H3517,  "")</f>
        <v>principal-process-steward|ProcessMiningRuns</v>
      </c>
      <c r="N3517" s="3" t="s">
        <v>10004</v>
      </c>
    </row>
    <row r="3518">
      <c r="A3518" s="3" t="s">
        <v>13520</v>
      </c>
      <c r="B3518" s="4" t="str">
        <f>C3518 &amp; " -&gt; " &amp; D3518</f>
        <v>principal-process-steward -&gt; ProcessMiningRuns.DiscoveredVariantCount</v>
      </c>
      <c r="C3518" s="3" t="s">
        <v>9772</v>
      </c>
      <c r="D3518" s="3" t="s">
        <v>5662</v>
      </c>
      <c r="E3518" s="3" t="b">
        <v>1</v>
      </c>
      <c r="F3518" s="3" t="b">
        <v>0</v>
      </c>
      <c r="G3518" s="3" t="s">
        <v>10003</v>
      </c>
      <c r="H3518" s="4" t="str">
        <f>_xlfn.IFNA(IF(((INDEX(RulebookFields!C2:C1898, MATCH(D3518,RulebookFields!A2:A1898, 0))="")=TRUE),  "",  INDEX(RulebookFields!C2:C1898, MATCH(D3518,RulebookFields!A2:A1898, 0))), "")</f>
        <v>ProcessMiningRuns</v>
      </c>
      <c r="I3518" s="4" t="str">
        <f>_xlfn.IFNA(IF(((INDEX(RulebookFields!D2:D1898, MATCH(D3518,RulebookFields!A2:A1898, 0))="")=TRUE),  "",  INDEX(RulebookFields!D2:D1898, MATCH(D3518,RulebookFields!A2:A1898, 0))), "")</f>
        <v>DiscoveredVariantCount</v>
      </c>
      <c r="J3518" s="4" t="b">
        <f>_xlfn.IFNA(IF(((INDEX(RulebookFields!I2:I1898, MATCH(D3518,RulebookFields!A2:A1898, 0))="")=TRUE),  "",  INDEX(RulebookFields!I2:I1898, MATCH(D3518,RulebookFields!A2:A1898, 0))), "")</f>
        <v>0</v>
      </c>
      <c r="K3518" s="4" t="b">
        <f>AND(((F3518)=TRUE), ((J3518)=TRUE))</f>
        <v>0</v>
      </c>
      <c r="L3518" s="4" t="b">
        <f>AND(((G3518 &lt;&gt; "plain")=TRUE), ((G3518 &lt;&gt; "")=TRUE))</f>
        <v>0</v>
      </c>
      <c r="M3518" s="4" t="str">
        <f>IF(((E3518)=TRUE),  C3518 &amp; "|" &amp; H3518,  "")</f>
        <v>principal-process-steward|ProcessMiningRuns</v>
      </c>
      <c r="N3518" s="3" t="s">
        <v>10004</v>
      </c>
    </row>
    <row r="3519">
      <c r="A3519" s="3" t="s">
        <v>13521</v>
      </c>
      <c r="B3519" s="4" t="str">
        <f>C3519 &amp; " -&gt; " &amp; D3519</f>
        <v>principal-process-steward -&gt; ProcessMiningRuns.ConformingVariantCount</v>
      </c>
      <c r="C3519" s="3" t="s">
        <v>9772</v>
      </c>
      <c r="D3519" s="3" t="s">
        <v>5664</v>
      </c>
      <c r="E3519" s="3" t="b">
        <v>1</v>
      </c>
      <c r="F3519" s="3" t="b">
        <v>0</v>
      </c>
      <c r="G3519" s="3" t="s">
        <v>10003</v>
      </c>
      <c r="H3519" s="4" t="str">
        <f>_xlfn.IFNA(IF(((INDEX(RulebookFields!C2:C1898, MATCH(D3519,RulebookFields!A2:A1898, 0))="")=TRUE),  "",  INDEX(RulebookFields!C2:C1898, MATCH(D3519,RulebookFields!A2:A1898, 0))), "")</f>
        <v>ProcessMiningRuns</v>
      </c>
      <c r="I3519" s="4" t="str">
        <f>_xlfn.IFNA(IF(((INDEX(RulebookFields!D2:D1898, MATCH(D3519,RulebookFields!A2:A1898, 0))="")=TRUE),  "",  INDEX(RulebookFields!D2:D1898, MATCH(D3519,RulebookFields!A2:A1898, 0))), "")</f>
        <v>ConformingVariantCount</v>
      </c>
      <c r="J3519" s="4" t="b">
        <f>_xlfn.IFNA(IF(((INDEX(RulebookFields!I2:I1898, MATCH(D3519,RulebookFields!A2:A1898, 0))="")=TRUE),  "",  INDEX(RulebookFields!I2:I1898, MATCH(D3519,RulebookFields!A2:A1898, 0))), "")</f>
        <v>0</v>
      </c>
      <c r="K3519" s="4" t="b">
        <f>AND(((F3519)=TRUE), ((J3519)=TRUE))</f>
        <v>0</v>
      </c>
      <c r="L3519" s="4" t="b">
        <f>AND(((G3519 &lt;&gt; "plain")=TRUE), ((G3519 &lt;&gt; "")=TRUE))</f>
        <v>0</v>
      </c>
      <c r="M3519" s="4" t="str">
        <f>IF(((E3519)=TRUE),  C3519 &amp; "|" &amp; H3519,  "")</f>
        <v>principal-process-steward|ProcessMiningRuns</v>
      </c>
      <c r="N3519" s="3" t="s">
        <v>10004</v>
      </c>
    </row>
    <row r="3520">
      <c r="A3520" s="3" t="s">
        <v>13522</v>
      </c>
      <c r="B3520" s="4" t="str">
        <f>C3520 &amp; " -&gt; " &amp; D3520</f>
        <v>principal-process-steward -&gt; ProcessMiningRuns.DeviationDescription</v>
      </c>
      <c r="C3520" s="3" t="s">
        <v>9772</v>
      </c>
      <c r="D3520" s="3" t="s">
        <v>5666</v>
      </c>
      <c r="E3520" s="3" t="b">
        <v>1</v>
      </c>
      <c r="F3520" s="3" t="b">
        <v>0</v>
      </c>
      <c r="G3520" s="3" t="s">
        <v>10003</v>
      </c>
      <c r="H3520" s="4" t="str">
        <f>_xlfn.IFNA(IF(((INDEX(RulebookFields!C2:C1898, MATCH(D3520,RulebookFields!A2:A1898, 0))="")=TRUE),  "",  INDEX(RulebookFields!C2:C1898, MATCH(D3520,RulebookFields!A2:A1898, 0))), "")</f>
        <v>ProcessMiningRuns</v>
      </c>
      <c r="I3520" s="4" t="str">
        <f>_xlfn.IFNA(IF(((INDEX(RulebookFields!D2:D1898, MATCH(D3520,RulebookFields!A2:A1898, 0))="")=TRUE),  "",  INDEX(RulebookFields!D2:D1898, MATCH(D3520,RulebookFields!A2:A1898, 0))), "")</f>
        <v>DeviationDescription</v>
      </c>
      <c r="J3520" s="4" t="b">
        <f>_xlfn.IFNA(IF(((INDEX(RulebookFields!I2:I1898, MATCH(D3520,RulebookFields!A2:A1898, 0))="")=TRUE),  "",  INDEX(RulebookFields!I2:I1898, MATCH(D3520,RulebookFields!A2:A1898, 0))), "")</f>
        <v>0</v>
      </c>
      <c r="K3520" s="4" t="b">
        <f>AND(((F3520)=TRUE), ((J3520)=TRUE))</f>
        <v>0</v>
      </c>
      <c r="L3520" s="4" t="b">
        <f>AND(((G3520 &lt;&gt; "plain")=TRUE), ((G3520 &lt;&gt; "")=TRUE))</f>
        <v>0</v>
      </c>
      <c r="M3520" s="4" t="str">
        <f>IF(((E3520)=TRUE),  C3520 &amp; "|" &amp; H3520,  "")</f>
        <v>principal-process-steward|ProcessMiningRuns</v>
      </c>
      <c r="N3520" s="3" t="s">
        <v>10004</v>
      </c>
    </row>
    <row r="3521">
      <c r="A3521" s="3" t="s">
        <v>13523</v>
      </c>
      <c r="B3521" s="4" t="str">
        <f>C3521 &amp; " -&gt; " &amp; D3521</f>
        <v>principal-process-steward -&gt; ProcessMiningRuns.EvaluationContext</v>
      </c>
      <c r="C3521" s="3" t="s">
        <v>9772</v>
      </c>
      <c r="D3521" s="3" t="s">
        <v>5668</v>
      </c>
      <c r="E3521" s="3" t="b">
        <v>1</v>
      </c>
      <c r="F3521" s="3" t="b">
        <v>0</v>
      </c>
      <c r="G3521" s="3" t="s">
        <v>10003</v>
      </c>
      <c r="H3521" s="4" t="str">
        <f>_xlfn.IFNA(IF(((INDEX(RulebookFields!C2:C1898, MATCH(D3521,RulebookFields!A2:A1898, 0))="")=TRUE),  "",  INDEX(RulebookFields!C2:C1898, MATCH(D3521,RulebookFields!A2:A1898, 0))), "")</f>
        <v>ProcessMiningRuns</v>
      </c>
      <c r="I3521" s="4" t="str">
        <f>_xlfn.IFNA(IF(((INDEX(RulebookFields!D2:D1898, MATCH(D3521,RulebookFields!A2:A1898, 0))="")=TRUE),  "",  INDEX(RulebookFields!D2:D1898, MATCH(D3521,RulebookFields!A2:A1898, 0))), "")</f>
        <v>EvaluationContext</v>
      </c>
      <c r="J3521" s="4" t="b">
        <f>_xlfn.IFNA(IF(((INDEX(RulebookFields!I2:I1898, MATCH(D3521,RulebookFields!A2:A1898, 0))="")=TRUE),  "",  INDEX(RulebookFields!I2:I1898, MATCH(D3521,RulebookFields!A2:A1898, 0))), "")</f>
        <v>0</v>
      </c>
      <c r="K3521" s="4" t="b">
        <f>AND(((F3521)=TRUE), ((J3521)=TRUE))</f>
        <v>0</v>
      </c>
      <c r="L3521" s="4" t="b">
        <f>AND(((G3521 &lt;&gt; "plain")=TRUE), ((G3521 &lt;&gt; "")=TRUE))</f>
        <v>0</v>
      </c>
      <c r="M3521" s="4" t="str">
        <f>IF(((E3521)=TRUE),  C3521 &amp; "|" &amp; H3521,  "")</f>
        <v>principal-process-steward|ProcessMiningRuns</v>
      </c>
      <c r="N3521" s="3" t="s">
        <v>10004</v>
      </c>
    </row>
    <row r="3522">
      <c r="A3522" s="3" t="s">
        <v>13524</v>
      </c>
      <c r="B3522" s="4" t="str">
        <f>C3522 &amp; " -&gt; " &amp; D3522</f>
        <v>principal-process-steward -&gt; ProcessMiningRuns.AsOfInstant</v>
      </c>
      <c r="C3522" s="3" t="s">
        <v>9772</v>
      </c>
      <c r="D3522" s="3" t="s">
        <v>5669</v>
      </c>
      <c r="E3522" s="3" t="b">
        <v>1</v>
      </c>
      <c r="F3522" s="3" t="b">
        <v>0</v>
      </c>
      <c r="G3522" s="3" t="s">
        <v>10003</v>
      </c>
      <c r="H3522" s="4" t="str">
        <f>_xlfn.IFNA(IF(((INDEX(RulebookFields!C2:C1898, MATCH(D3522,RulebookFields!A2:A1898, 0))="")=TRUE),  "",  INDEX(RulebookFields!C2:C1898, MATCH(D3522,RulebookFields!A2:A1898, 0))), "")</f>
        <v>ProcessMiningRuns</v>
      </c>
      <c r="I3522" s="4" t="str">
        <f>_xlfn.IFNA(IF(((INDEX(RulebookFields!D2:D1898, MATCH(D3522,RulebookFields!A2:A1898, 0))="")=TRUE),  "",  INDEX(RulebookFields!D2:D1898, MATCH(D3522,RulebookFields!A2:A1898, 0))), "")</f>
        <v>AsOfInstant</v>
      </c>
      <c r="J3522" s="4" t="b">
        <f>_xlfn.IFNA(IF(((INDEX(RulebookFields!I2:I1898, MATCH(D3522,RulebookFields!A2:A1898, 0))="")=TRUE),  "",  INDEX(RulebookFields!I2:I1898, MATCH(D3522,RulebookFields!A2:A1898, 0))), "")</f>
        <v>1</v>
      </c>
      <c r="K3522" s="4" t="b">
        <f>AND(((F3522)=TRUE), ((J3522)=TRUE))</f>
        <v>0</v>
      </c>
      <c r="L3522" s="4" t="b">
        <f>AND(((G3522 &lt;&gt; "plain")=TRUE), ((G3522 &lt;&gt; "")=TRUE))</f>
        <v>0</v>
      </c>
      <c r="M3522" s="4" t="str">
        <f>IF(((E3522)=TRUE),  C3522 &amp; "|" &amp; H3522,  "")</f>
        <v>principal-process-steward|ProcessMiningRuns</v>
      </c>
      <c r="N3522" s="3" t="s">
        <v>10004</v>
      </c>
    </row>
    <row r="3523">
      <c r="A3523" s="3" t="s">
        <v>13525</v>
      </c>
      <c r="B3523" s="4" t="str">
        <f>C3523 &amp; " -&gt; " &amp; D3523</f>
        <v>principal-process-steward -&gt; ProcessMiningRuns.ConformanceRate</v>
      </c>
      <c r="C3523" s="3" t="s">
        <v>9772</v>
      </c>
      <c r="D3523" s="3" t="s">
        <v>5670</v>
      </c>
      <c r="E3523" s="3" t="b">
        <v>1</v>
      </c>
      <c r="F3523" s="3" t="b">
        <v>0</v>
      </c>
      <c r="G3523" s="3" t="s">
        <v>10003</v>
      </c>
      <c r="H3523" s="4" t="str">
        <f>_xlfn.IFNA(IF(((INDEX(RulebookFields!C2:C1898, MATCH(D3523,RulebookFields!A2:A1898, 0))="")=TRUE),  "",  INDEX(RulebookFields!C2:C1898, MATCH(D3523,RulebookFields!A2:A1898, 0))), "")</f>
        <v>ProcessMiningRuns</v>
      </c>
      <c r="I3523" s="4" t="str">
        <f>_xlfn.IFNA(IF(((INDEX(RulebookFields!D2:D1898, MATCH(D3523,RulebookFields!A2:A1898, 0))="")=TRUE),  "",  INDEX(RulebookFields!D2:D1898, MATCH(D3523,RulebookFields!A2:A1898, 0))), "")</f>
        <v>ConformanceRate</v>
      </c>
      <c r="J3523" s="4" t="b">
        <f>_xlfn.IFNA(IF(((INDEX(RulebookFields!I2:I1898, MATCH(D3523,RulebookFields!A2:A1898, 0))="")=TRUE),  "",  INDEX(RulebookFields!I2:I1898, MATCH(D3523,RulebookFields!A2:A1898, 0))), "")</f>
        <v>1</v>
      </c>
      <c r="K3523" s="4" t="b">
        <f>AND(((F3523)=TRUE), ((J3523)=TRUE))</f>
        <v>0</v>
      </c>
      <c r="L3523" s="4" t="b">
        <f>AND(((G3523 &lt;&gt; "plain")=TRUE), ((G3523 &lt;&gt; "")=TRUE))</f>
        <v>0</v>
      </c>
      <c r="M3523" s="4" t="str">
        <f>IF(((E3523)=TRUE),  C3523 &amp; "|" &amp; H3523,  "")</f>
        <v>principal-process-steward|ProcessMiningRuns</v>
      </c>
      <c r="N3523" s="3" t="s">
        <v>10004</v>
      </c>
    </row>
    <row r="3524">
      <c r="A3524" s="3" t="s">
        <v>13526</v>
      </c>
      <c r="B3524" s="4" t="str">
        <f>C3524 &amp; " -&gt; " &amp; D3524</f>
        <v>principal-process-steward -&gt; ProcessMiningRuns.IsConformant</v>
      </c>
      <c r="C3524" s="3" t="s">
        <v>9772</v>
      </c>
      <c r="D3524" s="3" t="s">
        <v>5673</v>
      </c>
      <c r="E3524" s="3" t="b">
        <v>1</v>
      </c>
      <c r="F3524" s="3" t="b">
        <v>0</v>
      </c>
      <c r="G3524" s="3" t="s">
        <v>10003</v>
      </c>
      <c r="H3524" s="4" t="str">
        <f>_xlfn.IFNA(IF(((INDEX(RulebookFields!C2:C1898, MATCH(D3524,RulebookFields!A2:A1898, 0))="")=TRUE),  "",  INDEX(RulebookFields!C2:C1898, MATCH(D3524,RulebookFields!A2:A1898, 0))), "")</f>
        <v>ProcessMiningRuns</v>
      </c>
      <c r="I3524" s="4" t="str">
        <f>_xlfn.IFNA(IF(((INDEX(RulebookFields!D2:D1898, MATCH(D3524,RulebookFields!A2:A1898, 0))="")=TRUE),  "",  INDEX(RulebookFields!D2:D1898, MATCH(D3524,RulebookFields!A2:A1898, 0))), "")</f>
        <v>IsConformant</v>
      </c>
      <c r="J3524" s="4" t="b">
        <f>_xlfn.IFNA(IF(((INDEX(RulebookFields!I2:I1898, MATCH(D3524,RulebookFields!A2:A1898, 0))="")=TRUE),  "",  INDEX(RulebookFields!I2:I1898, MATCH(D3524,RulebookFields!A2:A1898, 0))), "")</f>
        <v>1</v>
      </c>
      <c r="K3524" s="4" t="b">
        <f>AND(((F3524)=TRUE), ((J3524)=TRUE))</f>
        <v>0</v>
      </c>
      <c r="L3524" s="4" t="b">
        <f>AND(((G3524 &lt;&gt; "plain")=TRUE), ((G3524 &lt;&gt; "")=TRUE))</f>
        <v>0</v>
      </c>
      <c r="M3524" s="4" t="str">
        <f>IF(((E3524)=TRUE),  C3524 &amp; "|" &amp; H3524,  "")</f>
        <v>principal-process-steward|ProcessMiningRuns</v>
      </c>
      <c r="N3524" s="3" t="s">
        <v>10004</v>
      </c>
    </row>
    <row r="3525">
      <c r="A3525" s="3" t="s">
        <v>13527</v>
      </c>
      <c r="B3525" s="4" t="str">
        <f>C3525 &amp; " -&gt; " &amp; D3525</f>
        <v>principal-process-steward -&gt; ProcessMiningRuns.HasMajorDriftFromDocumentation</v>
      </c>
      <c r="C3525" s="3" t="s">
        <v>9772</v>
      </c>
      <c r="D3525" s="3" t="s">
        <v>5676</v>
      </c>
      <c r="E3525" s="3" t="b">
        <v>1</v>
      </c>
      <c r="F3525" s="3" t="b">
        <v>0</v>
      </c>
      <c r="G3525" s="3" t="s">
        <v>10003</v>
      </c>
      <c r="H3525" s="4" t="str">
        <f>_xlfn.IFNA(IF(((INDEX(RulebookFields!C2:C1898, MATCH(D3525,RulebookFields!A2:A1898, 0))="")=TRUE),  "",  INDEX(RulebookFields!C2:C1898, MATCH(D3525,RulebookFields!A2:A1898, 0))), "")</f>
        <v>ProcessMiningRuns</v>
      </c>
      <c r="I3525" s="4" t="str">
        <f>_xlfn.IFNA(IF(((INDEX(RulebookFields!D2:D1898, MATCH(D3525,RulebookFields!A2:A1898, 0))="")=TRUE),  "",  INDEX(RulebookFields!D2:D1898, MATCH(D3525,RulebookFields!A2:A1898, 0))), "")</f>
        <v>HasMajorDriftFromDocumentation</v>
      </c>
      <c r="J3525" s="4" t="b">
        <f>_xlfn.IFNA(IF(((INDEX(RulebookFields!I2:I1898, MATCH(D3525,RulebookFields!A2:A1898, 0))="")=TRUE),  "",  INDEX(RulebookFields!I2:I1898, MATCH(D3525,RulebookFields!A2:A1898, 0))), "")</f>
        <v>1</v>
      </c>
      <c r="K3525" s="4" t="b">
        <f>AND(((F3525)=TRUE), ((J3525)=TRUE))</f>
        <v>0</v>
      </c>
      <c r="L3525" s="4" t="b">
        <f>AND(((G3525 &lt;&gt; "plain")=TRUE), ((G3525 &lt;&gt; "")=TRUE))</f>
        <v>0</v>
      </c>
      <c r="M3525" s="4" t="str">
        <f>IF(((E3525)=TRUE),  C3525 &amp; "|" &amp; H3525,  "")</f>
        <v>principal-process-steward|ProcessMiningRuns</v>
      </c>
      <c r="N3525" s="3" t="s">
        <v>10004</v>
      </c>
    </row>
    <row r="3526">
      <c r="A3526" s="3" t="s">
        <v>13528</v>
      </c>
      <c r="B3526" s="4" t="str">
        <f>C3526 &amp; " -&gt; " &amp; D3526</f>
        <v>principal-process-steward -&gt; ProcessMiningRuns.DaysSinceMined</v>
      </c>
      <c r="C3526" s="3" t="s">
        <v>9772</v>
      </c>
      <c r="D3526" s="3" t="s">
        <v>5679</v>
      </c>
      <c r="E3526" s="3" t="b">
        <v>1</v>
      </c>
      <c r="F3526" s="3" t="b">
        <v>0</v>
      </c>
      <c r="G3526" s="3" t="s">
        <v>10003</v>
      </c>
      <c r="H3526" s="4" t="str">
        <f>_xlfn.IFNA(IF(((INDEX(RulebookFields!C2:C1898, MATCH(D3526,RulebookFields!A2:A1898, 0))="")=TRUE),  "",  INDEX(RulebookFields!C2:C1898, MATCH(D3526,RulebookFields!A2:A1898, 0))), "")</f>
        <v>ProcessMiningRuns</v>
      </c>
      <c r="I3526" s="4" t="str">
        <f>_xlfn.IFNA(IF(((INDEX(RulebookFields!D2:D1898, MATCH(D3526,RulebookFields!A2:A1898, 0))="")=TRUE),  "",  INDEX(RulebookFields!D2:D1898, MATCH(D3526,RulebookFields!A2:A1898, 0))), "")</f>
        <v>DaysSinceMined</v>
      </c>
      <c r="J3526" s="4" t="b">
        <f>_xlfn.IFNA(IF(((INDEX(RulebookFields!I2:I1898, MATCH(D3526,RulebookFields!A2:A1898, 0))="")=TRUE),  "",  INDEX(RulebookFields!I2:I1898, MATCH(D3526,RulebookFields!A2:A1898, 0))), "")</f>
        <v>1</v>
      </c>
      <c r="K3526" s="4" t="b">
        <f>AND(((F3526)=TRUE), ((J3526)=TRUE))</f>
        <v>0</v>
      </c>
      <c r="L3526" s="4" t="b">
        <f>AND(((G3526 &lt;&gt; "plain")=TRUE), ((G3526 &lt;&gt; "")=TRUE))</f>
        <v>0</v>
      </c>
      <c r="M3526" s="4" t="str">
        <f>IF(((E3526)=TRUE),  C3526 &amp; "|" &amp; H3526,  "")</f>
        <v>principal-process-steward|ProcessMiningRuns</v>
      </c>
      <c r="N3526" s="3" t="s">
        <v>10004</v>
      </c>
    </row>
    <row r="3527">
      <c r="A3527" s="3" t="s">
        <v>13529</v>
      </c>
      <c r="B3527" s="4" t="str">
        <f>C3527 &amp; " -&gt; " &amp; D3527</f>
        <v>principal-process-steward -&gt; ProcessMiningRuns.IsStaleMiningEvidence</v>
      </c>
      <c r="C3527" s="3" t="s">
        <v>9772</v>
      </c>
      <c r="D3527" s="3" t="s">
        <v>5682</v>
      </c>
      <c r="E3527" s="3" t="b">
        <v>1</v>
      </c>
      <c r="F3527" s="3" t="b">
        <v>0</v>
      </c>
      <c r="G3527" s="3" t="s">
        <v>10003</v>
      </c>
      <c r="H3527" s="4" t="str">
        <f>_xlfn.IFNA(IF(((INDEX(RulebookFields!C2:C1898, MATCH(D3527,RulebookFields!A2:A1898, 0))="")=TRUE),  "",  INDEX(RulebookFields!C2:C1898, MATCH(D3527,RulebookFields!A2:A1898, 0))), "")</f>
        <v>ProcessMiningRuns</v>
      </c>
      <c r="I3527" s="4" t="str">
        <f>_xlfn.IFNA(IF(((INDEX(RulebookFields!D2:D1898, MATCH(D3527,RulebookFields!A2:A1898, 0))="")=TRUE),  "",  INDEX(RulebookFields!D2:D1898, MATCH(D3527,RulebookFields!A2:A1898, 0))), "")</f>
        <v>IsStaleMiningEvidence</v>
      </c>
      <c r="J3527" s="4" t="b">
        <f>_xlfn.IFNA(IF(((INDEX(RulebookFields!I2:I1898, MATCH(D3527,RulebookFields!A2:A1898, 0))="")=TRUE),  "",  INDEX(RulebookFields!I2:I1898, MATCH(D3527,RulebookFields!A2:A1898, 0))), "")</f>
        <v>1</v>
      </c>
      <c r="K3527" s="4" t="b">
        <f>AND(((F3527)=TRUE), ((J3527)=TRUE))</f>
        <v>0</v>
      </c>
      <c r="L3527" s="4" t="b">
        <f>AND(((G3527 &lt;&gt; "plain")=TRUE), ((G3527 &lt;&gt; "")=TRUE))</f>
        <v>0</v>
      </c>
      <c r="M3527" s="4" t="str">
        <f>IF(((E3527)=TRUE),  C3527 &amp; "|" &amp; H3527,  "")</f>
        <v>principal-process-steward|ProcessMiningRuns</v>
      </c>
      <c r="N3527" s="3" t="s">
        <v>10004</v>
      </c>
    </row>
    <row r="3528">
      <c r="A3528" s="3" t="s">
        <v>13530</v>
      </c>
      <c r="B3528" s="4" t="str">
        <f>C3528 &amp; " -&gt; " &amp; D3528</f>
        <v>principal-process-steward -&gt; ProcessMiningRuns.ProcedureVersionIsLive</v>
      </c>
      <c r="C3528" s="3" t="s">
        <v>9772</v>
      </c>
      <c r="D3528" s="3" t="s">
        <v>5685</v>
      </c>
      <c r="E3528" s="3" t="b">
        <v>1</v>
      </c>
      <c r="F3528" s="3" t="b">
        <v>0</v>
      </c>
      <c r="G3528" s="3" t="s">
        <v>10003</v>
      </c>
      <c r="H3528" s="4" t="str">
        <f>_xlfn.IFNA(IF(((INDEX(RulebookFields!C2:C1898, MATCH(D3528,RulebookFields!A2:A1898, 0))="")=TRUE),  "",  INDEX(RulebookFields!C2:C1898, MATCH(D3528,RulebookFields!A2:A1898, 0))), "")</f>
        <v>ProcessMiningRuns</v>
      </c>
      <c r="I3528" s="4" t="str">
        <f>_xlfn.IFNA(IF(((INDEX(RulebookFields!D2:D1898, MATCH(D3528,RulebookFields!A2:A1898, 0))="")=TRUE),  "",  INDEX(RulebookFields!D2:D1898, MATCH(D3528,RulebookFields!A2:A1898, 0))), "")</f>
        <v>ProcedureVersionIsLive</v>
      </c>
      <c r="J3528" s="4" t="b">
        <f>_xlfn.IFNA(IF(((INDEX(RulebookFields!I2:I1898, MATCH(D3528,RulebookFields!A2:A1898, 0))="")=TRUE),  "",  INDEX(RulebookFields!I2:I1898, MATCH(D3528,RulebookFields!A2:A1898, 0))), "")</f>
        <v>1</v>
      </c>
      <c r="K3528" s="4" t="b">
        <f>AND(((F3528)=TRUE), ((J3528)=TRUE))</f>
        <v>0</v>
      </c>
      <c r="L3528" s="4" t="b">
        <f>AND(((G3528 &lt;&gt; "plain")=TRUE), ((G3528 &lt;&gt; "")=TRUE))</f>
        <v>0</v>
      </c>
      <c r="M3528" s="4" t="str">
        <f>IF(((E3528)=TRUE),  C3528 &amp; "|" &amp; H3528,  "")</f>
        <v>principal-process-steward|ProcessMiningRuns</v>
      </c>
      <c r="N3528" s="3" t="s">
        <v>10004</v>
      </c>
    </row>
    <row r="3529">
      <c r="A3529" s="3" t="s">
        <v>13531</v>
      </c>
      <c r="B3529" s="4" t="str">
        <f>C3529 &amp; " -&gt; " &amp; D3529</f>
        <v>principal-process-steward -&gt; ProcessMiningRuns.IsDriftOnLiveVersion</v>
      </c>
      <c r="C3529" s="3" t="s">
        <v>9772</v>
      </c>
      <c r="D3529" s="3" t="s">
        <v>5687</v>
      </c>
      <c r="E3529" s="3" t="b">
        <v>1</v>
      </c>
      <c r="F3529" s="3" t="b">
        <v>0</v>
      </c>
      <c r="G3529" s="3" t="s">
        <v>10003</v>
      </c>
      <c r="H3529" s="4" t="str">
        <f>_xlfn.IFNA(IF(((INDEX(RulebookFields!C2:C1898, MATCH(D3529,RulebookFields!A2:A1898, 0))="")=TRUE),  "",  INDEX(RulebookFields!C2:C1898, MATCH(D3529,RulebookFields!A2:A1898, 0))), "")</f>
        <v>ProcessMiningRuns</v>
      </c>
      <c r="I3529" s="4" t="str">
        <f>_xlfn.IFNA(IF(((INDEX(RulebookFields!D2:D1898, MATCH(D3529,RulebookFields!A2:A1898, 0))="")=TRUE),  "",  INDEX(RulebookFields!D2:D1898, MATCH(D3529,RulebookFields!A2:A1898, 0))), "")</f>
        <v>IsDriftOnLiveVersion</v>
      </c>
      <c r="J3529" s="4" t="b">
        <f>_xlfn.IFNA(IF(((INDEX(RulebookFields!I2:I1898, MATCH(D3529,RulebookFields!A2:A1898, 0))="")=TRUE),  "",  INDEX(RulebookFields!I2:I1898, MATCH(D3529,RulebookFields!A2:A1898, 0))), "")</f>
        <v>1</v>
      </c>
      <c r="K3529" s="4" t="b">
        <f>AND(((F3529)=TRUE), ((J3529)=TRUE))</f>
        <v>0</v>
      </c>
      <c r="L3529" s="4" t="b">
        <f>AND(((G3529 &lt;&gt; "plain")=TRUE), ((G3529 &lt;&gt; "")=TRUE))</f>
        <v>0</v>
      </c>
      <c r="M3529" s="4" t="str">
        <f>IF(((E3529)=TRUE),  C3529 &amp; "|" &amp; H3529,  "")</f>
        <v>principal-process-steward|ProcessMiningRuns</v>
      </c>
      <c r="N3529" s="3" t="s">
        <v>10004</v>
      </c>
    </row>
    <row r="3530">
      <c r="A3530" s="3" t="s">
        <v>13532</v>
      </c>
      <c r="B3530" s="4" t="str">
        <f>C3530 &amp; " -&gt; " &amp; D3530</f>
        <v>principal-process-steward -&gt; ProcessMiningRuns.DriftedMiningRunKey</v>
      </c>
      <c r="C3530" s="3" t="s">
        <v>9772</v>
      </c>
      <c r="D3530" s="3" t="s">
        <v>5690</v>
      </c>
      <c r="E3530" s="3" t="b">
        <v>1</v>
      </c>
      <c r="F3530" s="3" t="b">
        <v>0</v>
      </c>
      <c r="G3530" s="3" t="s">
        <v>10003</v>
      </c>
      <c r="H3530" s="4" t="str">
        <f>_xlfn.IFNA(IF(((INDEX(RulebookFields!C2:C1898, MATCH(D3530,RulebookFields!A2:A1898, 0))="")=TRUE),  "",  INDEX(RulebookFields!C2:C1898, MATCH(D3530,RulebookFields!A2:A1898, 0))), "")</f>
        <v>ProcessMiningRuns</v>
      </c>
      <c r="I3530" s="4" t="str">
        <f>_xlfn.IFNA(IF(((INDEX(RulebookFields!D2:D1898, MATCH(D3530,RulebookFields!A2:A1898, 0))="")=TRUE),  "",  INDEX(RulebookFields!D2:D1898, MATCH(D3530,RulebookFields!A2:A1898, 0))), "")</f>
        <v>DriftedMiningRunKey</v>
      </c>
      <c r="J3530" s="4" t="b">
        <f>_xlfn.IFNA(IF(((INDEX(RulebookFields!I2:I1898, MATCH(D3530,RulebookFields!A2:A1898, 0))="")=TRUE),  "",  INDEX(RulebookFields!I2:I1898, MATCH(D3530,RulebookFields!A2:A1898, 0))), "")</f>
        <v>1</v>
      </c>
      <c r="K3530" s="4" t="b">
        <f>AND(((F3530)=TRUE), ((J3530)=TRUE))</f>
        <v>0</v>
      </c>
      <c r="L3530" s="4" t="b">
        <f>AND(((G3530 &lt;&gt; "plain")=TRUE), ((G3530 &lt;&gt; "")=TRUE))</f>
        <v>0</v>
      </c>
      <c r="M3530" s="4" t="str">
        <f>IF(((E3530)=TRUE),  C3530 &amp; "|" &amp; H3530,  "")</f>
        <v>principal-process-steward|ProcessMiningRuns</v>
      </c>
      <c r="N3530" s="3" t="s">
        <v>10004</v>
      </c>
    </row>
    <row r="3531">
      <c r="A3531" s="3" t="s">
        <v>13533</v>
      </c>
      <c r="B3531" s="4" t="str">
        <f>C3531 &amp; " -&gt; " &amp; D3531</f>
        <v>principal-process-steward -&gt; ProcessMiningRuns.SemanticTypeIri</v>
      </c>
      <c r="C3531" s="3" t="s">
        <v>9772</v>
      </c>
      <c r="D3531" s="3" t="s">
        <v>5693</v>
      </c>
      <c r="E3531" s="3" t="b">
        <v>1</v>
      </c>
      <c r="F3531" s="3" t="b">
        <v>0</v>
      </c>
      <c r="G3531" s="3" t="s">
        <v>10003</v>
      </c>
      <c r="H3531" s="4" t="str">
        <f>_xlfn.IFNA(IF(((INDEX(RulebookFields!C2:C1898, MATCH(D3531,RulebookFields!A2:A1898, 0))="")=TRUE),  "",  INDEX(RulebookFields!C2:C1898, MATCH(D3531,RulebookFields!A2:A1898, 0))), "")</f>
        <v>ProcessMiningRuns</v>
      </c>
      <c r="I3531" s="4" t="str">
        <f>_xlfn.IFNA(IF(((INDEX(RulebookFields!D2:D1898, MATCH(D3531,RulebookFields!A2:A1898, 0))="")=TRUE),  "",  INDEX(RulebookFields!D2:D1898, MATCH(D3531,RulebookFields!A2:A1898, 0))), "")</f>
        <v>SemanticTypeIri</v>
      </c>
      <c r="J3531" s="4" t="b">
        <f>_xlfn.IFNA(IF(((INDEX(RulebookFields!I2:I1898, MATCH(D3531,RulebookFields!A2:A1898, 0))="")=TRUE),  "",  INDEX(RulebookFields!I2:I1898, MATCH(D3531,RulebookFields!A2:A1898, 0))), "")</f>
        <v>0</v>
      </c>
      <c r="K3531" s="4" t="b">
        <f>AND(((F3531)=TRUE), ((J3531)=TRUE))</f>
        <v>0</v>
      </c>
      <c r="L3531" s="4" t="b">
        <f>AND(((G3531 &lt;&gt; "plain")=TRUE), ((G3531 &lt;&gt; "")=TRUE))</f>
        <v>0</v>
      </c>
      <c r="M3531" s="4" t="str">
        <f>IF(((E3531)=TRUE),  C3531 &amp; "|" &amp; H3531,  "")</f>
        <v>principal-process-steward|ProcessMiningRuns</v>
      </c>
      <c r="N3531" s="3" t="s">
        <v>10004</v>
      </c>
    </row>
    <row r="3532">
      <c r="A3532" s="3" t="s">
        <v>13534</v>
      </c>
      <c r="B3532" s="4" t="str">
        <f>C3532 &amp; " -&gt; " &amp; D3532</f>
        <v>principal-process-steward -&gt; Vocabularies.VocabularyId</v>
      </c>
      <c r="C3532" s="3" t="s">
        <v>9772</v>
      </c>
      <c r="D3532" s="3" t="s">
        <v>5694</v>
      </c>
      <c r="E3532" s="3" t="b">
        <v>1</v>
      </c>
      <c r="F3532" s="3" t="b">
        <v>0</v>
      </c>
      <c r="G3532" s="3" t="s">
        <v>10003</v>
      </c>
      <c r="H3532" s="4" t="str">
        <f>_xlfn.IFNA(IF(((INDEX(RulebookFields!C2:C1898, MATCH(D3532,RulebookFields!A2:A1898, 0))="")=TRUE),  "",  INDEX(RulebookFields!C2:C1898, MATCH(D3532,RulebookFields!A2:A1898, 0))), "")</f>
        <v>Vocabularies</v>
      </c>
      <c r="I3532" s="4" t="str">
        <f>_xlfn.IFNA(IF(((INDEX(RulebookFields!D2:D1898, MATCH(D3532,RulebookFields!A2:A1898, 0))="")=TRUE),  "",  INDEX(RulebookFields!D2:D1898, MATCH(D3532,RulebookFields!A2:A1898, 0))), "")</f>
        <v>VocabularyId</v>
      </c>
      <c r="J3532" s="4" t="b">
        <f>_xlfn.IFNA(IF(((INDEX(RulebookFields!I2:I1898, MATCH(D3532,RulebookFields!A2:A1898, 0))="")=TRUE),  "",  INDEX(RulebookFields!I2:I1898, MATCH(D3532,RulebookFields!A2:A1898, 0))), "")</f>
        <v>0</v>
      </c>
      <c r="K3532" s="4" t="b">
        <f>AND(((F3532)=TRUE), ((J3532)=TRUE))</f>
        <v>0</v>
      </c>
      <c r="L3532" s="4" t="b">
        <f>AND(((G3532 &lt;&gt; "plain")=TRUE), ((G3532 &lt;&gt; "")=TRUE))</f>
        <v>0</v>
      </c>
      <c r="M3532" s="4" t="str">
        <f>IF(((E3532)=TRUE),  C3532 &amp; "|" &amp; H3532,  "")</f>
        <v>principal-process-steward|Vocabularies</v>
      </c>
      <c r="N3532" s="3" t="s">
        <v>10004</v>
      </c>
    </row>
    <row r="3533">
      <c r="A3533" s="3" t="s">
        <v>13535</v>
      </c>
      <c r="B3533" s="4" t="str">
        <f>C3533 &amp; " -&gt; " &amp; D3533</f>
        <v>principal-process-steward -&gt; Vocabularies.Name</v>
      </c>
      <c r="C3533" s="3" t="s">
        <v>9772</v>
      </c>
      <c r="D3533" s="3" t="s">
        <v>5696</v>
      </c>
      <c r="E3533" s="3" t="b">
        <v>1</v>
      </c>
      <c r="F3533" s="3" t="b">
        <v>0</v>
      </c>
      <c r="G3533" s="3" t="s">
        <v>10003</v>
      </c>
      <c r="H3533" s="4" t="str">
        <f>_xlfn.IFNA(IF(((INDEX(RulebookFields!C2:C1898, MATCH(D3533,RulebookFields!A2:A1898, 0))="")=TRUE),  "",  INDEX(RulebookFields!C2:C1898, MATCH(D3533,RulebookFields!A2:A1898, 0))), "")</f>
        <v>Vocabularies</v>
      </c>
      <c r="I3533" s="4" t="str">
        <f>_xlfn.IFNA(IF(((INDEX(RulebookFields!D2:D1898, MATCH(D3533,RulebookFields!A2:A1898, 0))="")=TRUE),  "",  INDEX(RulebookFields!D2:D1898, MATCH(D3533,RulebookFields!A2:A1898, 0))), "")</f>
        <v>Name</v>
      </c>
      <c r="J3533" s="4" t="b">
        <f>_xlfn.IFNA(IF(((INDEX(RulebookFields!I2:I1898, MATCH(D3533,RulebookFields!A2:A1898, 0))="")=TRUE),  "",  INDEX(RulebookFields!I2:I1898, MATCH(D3533,RulebookFields!A2:A1898, 0))), "")</f>
        <v>1</v>
      </c>
      <c r="K3533" s="4" t="b">
        <f>AND(((F3533)=TRUE), ((J3533)=TRUE))</f>
        <v>0</v>
      </c>
      <c r="L3533" s="4" t="b">
        <f>AND(((G3533 &lt;&gt; "plain")=TRUE), ((G3533 &lt;&gt; "")=TRUE))</f>
        <v>0</v>
      </c>
      <c r="M3533" s="4" t="str">
        <f>IF(((E3533)=TRUE),  C3533 &amp; "|" &amp; H3533,  "")</f>
        <v>principal-process-steward|Vocabularies</v>
      </c>
      <c r="N3533" s="3" t="s">
        <v>10004</v>
      </c>
    </row>
    <row r="3534">
      <c r="A3534" s="3" t="s">
        <v>13536</v>
      </c>
      <c r="B3534" s="4" t="str">
        <f>C3534 &amp; " -&gt; " &amp; D3534</f>
        <v>principal-process-steward -&gt; Vocabularies.Title</v>
      </c>
      <c r="C3534" s="3" t="s">
        <v>9772</v>
      </c>
      <c r="D3534" s="3" t="s">
        <v>5697</v>
      </c>
      <c r="E3534" s="3" t="b">
        <v>1</v>
      </c>
      <c r="F3534" s="3" t="b">
        <v>0</v>
      </c>
      <c r="G3534" s="3" t="s">
        <v>10003</v>
      </c>
      <c r="H3534" s="4" t="str">
        <f>_xlfn.IFNA(IF(((INDEX(RulebookFields!C2:C1898, MATCH(D3534,RulebookFields!A2:A1898, 0))="")=TRUE),  "",  INDEX(RulebookFields!C2:C1898, MATCH(D3534,RulebookFields!A2:A1898, 0))), "")</f>
        <v>Vocabularies</v>
      </c>
      <c r="I3534" s="4" t="str">
        <f>_xlfn.IFNA(IF(((INDEX(RulebookFields!D2:D1898, MATCH(D3534,RulebookFields!A2:A1898, 0))="")=TRUE),  "",  INDEX(RulebookFields!D2:D1898, MATCH(D3534,RulebookFields!A2:A1898, 0))), "")</f>
        <v>Title</v>
      </c>
      <c r="J3534" s="4" t="b">
        <f>_xlfn.IFNA(IF(((INDEX(RulebookFields!I2:I1898, MATCH(D3534,RulebookFields!A2:A1898, 0))="")=TRUE),  "",  INDEX(RulebookFields!I2:I1898, MATCH(D3534,RulebookFields!A2:A1898, 0))), "")</f>
        <v>0</v>
      </c>
      <c r="K3534" s="4" t="b">
        <f>AND(((F3534)=TRUE), ((J3534)=TRUE))</f>
        <v>0</v>
      </c>
      <c r="L3534" s="4" t="b">
        <f>AND(((G3534 &lt;&gt; "plain")=TRUE), ((G3534 &lt;&gt; "")=TRUE))</f>
        <v>0</v>
      </c>
      <c r="M3534" s="4" t="str">
        <f>IF(((E3534)=TRUE),  C3534 &amp; "|" &amp; H3534,  "")</f>
        <v>principal-process-steward|Vocabularies</v>
      </c>
      <c r="N3534" s="3" t="s">
        <v>10004</v>
      </c>
    </row>
    <row r="3535">
      <c r="A3535" s="3" t="s">
        <v>13537</v>
      </c>
      <c r="B3535" s="4" t="str">
        <f>C3535 &amp; " -&gt; " &amp; D3535</f>
        <v>principal-process-steward -&gt; Vocabularies.SchemeUri</v>
      </c>
      <c r="C3535" s="3" t="s">
        <v>9772</v>
      </c>
      <c r="D3535" s="3" t="s">
        <v>5698</v>
      </c>
      <c r="E3535" s="3" t="b">
        <v>1</v>
      </c>
      <c r="F3535" s="3" t="b">
        <v>0</v>
      </c>
      <c r="G3535" s="3" t="s">
        <v>10003</v>
      </c>
      <c r="H3535" s="4" t="str">
        <f>_xlfn.IFNA(IF(((INDEX(RulebookFields!C2:C1898, MATCH(D3535,RulebookFields!A2:A1898, 0))="")=TRUE),  "",  INDEX(RulebookFields!C2:C1898, MATCH(D3535,RulebookFields!A2:A1898, 0))), "")</f>
        <v>Vocabularies</v>
      </c>
      <c r="I3535" s="4" t="str">
        <f>_xlfn.IFNA(IF(((INDEX(RulebookFields!D2:D1898, MATCH(D3535,RulebookFields!A2:A1898, 0))="")=TRUE),  "",  INDEX(RulebookFields!D2:D1898, MATCH(D3535,RulebookFields!A2:A1898, 0))), "")</f>
        <v>SchemeUri</v>
      </c>
      <c r="J3535" s="4" t="b">
        <f>_xlfn.IFNA(IF(((INDEX(RulebookFields!I2:I1898, MATCH(D3535,RulebookFields!A2:A1898, 0))="")=TRUE),  "",  INDEX(RulebookFields!I2:I1898, MATCH(D3535,RulebookFields!A2:A1898, 0))), "")</f>
        <v>0</v>
      </c>
      <c r="K3535" s="4" t="b">
        <f>AND(((F3535)=TRUE), ((J3535)=TRUE))</f>
        <v>0</v>
      </c>
      <c r="L3535" s="4" t="b">
        <f>AND(((G3535 &lt;&gt; "plain")=TRUE), ((G3535 &lt;&gt; "")=TRUE))</f>
        <v>0</v>
      </c>
      <c r="M3535" s="4" t="str">
        <f>IF(((E3535)=TRUE),  C3535 &amp; "|" &amp; H3535,  "")</f>
        <v>principal-process-steward|Vocabularies</v>
      </c>
      <c r="N3535" s="3" t="s">
        <v>10004</v>
      </c>
    </row>
    <row r="3536">
      <c r="A3536" s="3" t="s">
        <v>13538</v>
      </c>
      <c r="B3536" s="4" t="str">
        <f>C3536 &amp; " -&gt; " &amp; D3536</f>
        <v>principal-process-steward -&gt; Vocabularies.GoverningRole</v>
      </c>
      <c r="C3536" s="3" t="s">
        <v>9772</v>
      </c>
      <c r="D3536" s="3" t="s">
        <v>5700</v>
      </c>
      <c r="E3536" s="3" t="b">
        <v>1</v>
      </c>
      <c r="F3536" s="3" t="b">
        <v>0</v>
      </c>
      <c r="G3536" s="3" t="s">
        <v>10003</v>
      </c>
      <c r="H3536" s="4" t="str">
        <f>_xlfn.IFNA(IF(((INDEX(RulebookFields!C2:C1898, MATCH(D3536,RulebookFields!A2:A1898, 0))="")=TRUE),  "",  INDEX(RulebookFields!C2:C1898, MATCH(D3536,RulebookFields!A2:A1898, 0))), "")</f>
        <v>Vocabularies</v>
      </c>
      <c r="I3536" s="4" t="str">
        <f>_xlfn.IFNA(IF(((INDEX(RulebookFields!D2:D1898, MATCH(D3536,RulebookFields!A2:A1898, 0))="")=TRUE),  "",  INDEX(RulebookFields!D2:D1898, MATCH(D3536,RulebookFields!A2:A1898, 0))), "")</f>
        <v>GoverningRole</v>
      </c>
      <c r="J3536" s="4" t="b">
        <f>_xlfn.IFNA(IF(((INDEX(RulebookFields!I2:I1898, MATCH(D3536,RulebookFields!A2:A1898, 0))="")=TRUE),  "",  INDEX(RulebookFields!I2:I1898, MATCH(D3536,RulebookFields!A2:A1898, 0))), "")</f>
        <v>0</v>
      </c>
      <c r="K3536" s="4" t="b">
        <f>AND(((F3536)=TRUE), ((J3536)=TRUE))</f>
        <v>0</v>
      </c>
      <c r="L3536" s="4" t="b">
        <f>AND(((G3536 &lt;&gt; "plain")=TRUE), ((G3536 &lt;&gt; "")=TRUE))</f>
        <v>0</v>
      </c>
      <c r="M3536" s="4" t="str">
        <f>IF(((E3536)=TRUE),  C3536 &amp; "|" &amp; H3536,  "")</f>
        <v>principal-process-steward|Vocabularies</v>
      </c>
      <c r="N3536" s="3" t="s">
        <v>10004</v>
      </c>
    </row>
    <row r="3537">
      <c r="A3537" s="3" t="s">
        <v>13539</v>
      </c>
      <c r="B3537" s="4" t="str">
        <f>C3537 &amp; " -&gt; " &amp; D3537</f>
        <v>principal-process-steward -&gt; Vocabularies.TermCount</v>
      </c>
      <c r="C3537" s="3" t="s">
        <v>9772</v>
      </c>
      <c r="D3537" s="3" t="s">
        <v>5702</v>
      </c>
      <c r="E3537" s="3" t="b">
        <v>1</v>
      </c>
      <c r="F3537" s="3" t="b">
        <v>0</v>
      </c>
      <c r="G3537" s="3" t="s">
        <v>10003</v>
      </c>
      <c r="H3537" s="4" t="str">
        <f>_xlfn.IFNA(IF(((INDEX(RulebookFields!C2:C1898, MATCH(D3537,RulebookFields!A2:A1898, 0))="")=TRUE),  "",  INDEX(RulebookFields!C2:C1898, MATCH(D3537,RulebookFields!A2:A1898, 0))), "")</f>
        <v>Vocabularies</v>
      </c>
      <c r="I3537" s="4" t="str">
        <f>_xlfn.IFNA(IF(((INDEX(RulebookFields!D2:D1898, MATCH(D3537,RulebookFields!A2:A1898, 0))="")=TRUE),  "",  INDEX(RulebookFields!D2:D1898, MATCH(D3537,RulebookFields!A2:A1898, 0))), "")</f>
        <v>TermCount</v>
      </c>
      <c r="J3537" s="4" t="b">
        <f>_xlfn.IFNA(IF(((INDEX(RulebookFields!I2:I1898, MATCH(D3537,RulebookFields!A2:A1898, 0))="")=TRUE),  "",  INDEX(RulebookFields!I2:I1898, MATCH(D3537,RulebookFields!A2:A1898, 0))), "")</f>
        <v>1</v>
      </c>
      <c r="K3537" s="4" t="b">
        <f>AND(((F3537)=TRUE), ((J3537)=TRUE))</f>
        <v>0</v>
      </c>
      <c r="L3537" s="4" t="b">
        <f>AND(((G3537 &lt;&gt; "plain")=TRUE), ((G3537 &lt;&gt; "")=TRUE))</f>
        <v>0</v>
      </c>
      <c r="M3537" s="4" t="str">
        <f>IF(((E3537)=TRUE),  C3537 &amp; "|" &amp; H3537,  "")</f>
        <v>principal-process-steward|Vocabularies</v>
      </c>
      <c r="N3537" s="3" t="s">
        <v>10004</v>
      </c>
    </row>
    <row r="3538">
      <c r="A3538" s="3" t="s">
        <v>13540</v>
      </c>
      <c r="B3538" s="4" t="str">
        <f>C3538 &amp; " -&gt; " &amp; D3538</f>
        <v>principal-process-steward -&gt; Vocabularies.OrphanTermCount</v>
      </c>
      <c r="C3538" s="3" t="s">
        <v>9772</v>
      </c>
      <c r="D3538" s="3" t="s">
        <v>5705</v>
      </c>
      <c r="E3538" s="3" t="b">
        <v>1</v>
      </c>
      <c r="F3538" s="3" t="b">
        <v>0</v>
      </c>
      <c r="G3538" s="3" t="s">
        <v>10003</v>
      </c>
      <c r="H3538" s="4" t="str">
        <f>_xlfn.IFNA(IF(((INDEX(RulebookFields!C2:C1898, MATCH(D3538,RulebookFields!A2:A1898, 0))="")=TRUE),  "",  INDEX(RulebookFields!C2:C1898, MATCH(D3538,RulebookFields!A2:A1898, 0))), "")</f>
        <v>Vocabularies</v>
      </c>
      <c r="I3538" s="4" t="str">
        <f>_xlfn.IFNA(IF(((INDEX(RulebookFields!D2:D1898, MATCH(D3538,RulebookFields!A2:A1898, 0))="")=TRUE),  "",  INDEX(RulebookFields!D2:D1898, MATCH(D3538,RulebookFields!A2:A1898, 0))), "")</f>
        <v>OrphanTermCount</v>
      </c>
      <c r="J3538" s="4" t="b">
        <f>_xlfn.IFNA(IF(((INDEX(RulebookFields!I2:I1898, MATCH(D3538,RulebookFields!A2:A1898, 0))="")=TRUE),  "",  INDEX(RulebookFields!I2:I1898, MATCH(D3538,RulebookFields!A2:A1898, 0))), "")</f>
        <v>1</v>
      </c>
      <c r="K3538" s="4" t="b">
        <f>AND(((F3538)=TRUE), ((J3538)=TRUE))</f>
        <v>0</v>
      </c>
      <c r="L3538" s="4" t="b">
        <f>AND(((G3538 &lt;&gt; "plain")=TRUE), ((G3538 &lt;&gt; "")=TRUE))</f>
        <v>0</v>
      </c>
      <c r="M3538" s="4" t="str">
        <f>IF(((E3538)=TRUE),  C3538 &amp; "|" &amp; H3538,  "")</f>
        <v>principal-process-steward|Vocabularies</v>
      </c>
      <c r="N3538" s="3" t="s">
        <v>10004</v>
      </c>
    </row>
    <row r="3539">
      <c r="A3539" s="3" t="s">
        <v>13541</v>
      </c>
      <c r="B3539" s="4" t="str">
        <f>C3539 &amp; " -&gt; " &amp; D3539</f>
        <v>principal-process-steward -&gt; Vocabularies.HasOrphanTerms</v>
      </c>
      <c r="C3539" s="3" t="s">
        <v>9772</v>
      </c>
      <c r="D3539" s="3" t="s">
        <v>5708</v>
      </c>
      <c r="E3539" s="3" t="b">
        <v>1</v>
      </c>
      <c r="F3539" s="3" t="b">
        <v>0</v>
      </c>
      <c r="G3539" s="3" t="s">
        <v>10003</v>
      </c>
      <c r="H3539" s="4" t="str">
        <f>_xlfn.IFNA(IF(((INDEX(RulebookFields!C2:C1898, MATCH(D3539,RulebookFields!A2:A1898, 0))="")=TRUE),  "",  INDEX(RulebookFields!C2:C1898, MATCH(D3539,RulebookFields!A2:A1898, 0))), "")</f>
        <v>Vocabularies</v>
      </c>
      <c r="I3539" s="4" t="str">
        <f>_xlfn.IFNA(IF(((INDEX(RulebookFields!D2:D1898, MATCH(D3539,RulebookFields!A2:A1898, 0))="")=TRUE),  "",  INDEX(RulebookFields!D2:D1898, MATCH(D3539,RulebookFields!A2:A1898, 0))), "")</f>
        <v>HasOrphanTerms</v>
      </c>
      <c r="J3539" s="4" t="b">
        <f>_xlfn.IFNA(IF(((INDEX(RulebookFields!I2:I1898, MATCH(D3539,RulebookFields!A2:A1898, 0))="")=TRUE),  "",  INDEX(RulebookFields!I2:I1898, MATCH(D3539,RulebookFields!A2:A1898, 0))), "")</f>
        <v>1</v>
      </c>
      <c r="K3539" s="4" t="b">
        <f>AND(((F3539)=TRUE), ((J3539)=TRUE))</f>
        <v>0</v>
      </c>
      <c r="L3539" s="4" t="b">
        <f>AND(((G3539 &lt;&gt; "plain")=TRUE), ((G3539 &lt;&gt; "")=TRUE))</f>
        <v>0</v>
      </c>
      <c r="M3539" s="4" t="str">
        <f>IF(((E3539)=TRUE),  C3539 &amp; "|" &amp; H3539,  "")</f>
        <v>principal-process-steward|Vocabularies</v>
      </c>
      <c r="N3539" s="3" t="s">
        <v>10004</v>
      </c>
    </row>
    <row r="3540">
      <c r="A3540" s="3" t="s">
        <v>13542</v>
      </c>
      <c r="B3540" s="4" t="str">
        <f>C3540 &amp; " -&gt; " &amp; D3540</f>
        <v>principal-process-steward -&gt; Vocabularies.SemanticTypeIri</v>
      </c>
      <c r="C3540" s="3" t="s">
        <v>9772</v>
      </c>
      <c r="D3540" s="3" t="s">
        <v>5711</v>
      </c>
      <c r="E3540" s="3" t="b">
        <v>1</v>
      </c>
      <c r="F3540" s="3" t="b">
        <v>0</v>
      </c>
      <c r="G3540" s="3" t="s">
        <v>10003</v>
      </c>
      <c r="H3540" s="4" t="str">
        <f>_xlfn.IFNA(IF(((INDEX(RulebookFields!C2:C1898, MATCH(D3540,RulebookFields!A2:A1898, 0))="")=TRUE),  "",  INDEX(RulebookFields!C2:C1898, MATCH(D3540,RulebookFields!A2:A1898, 0))), "")</f>
        <v>Vocabularies</v>
      </c>
      <c r="I3540" s="4" t="str">
        <f>_xlfn.IFNA(IF(((INDEX(RulebookFields!D2:D1898, MATCH(D3540,RulebookFields!A2:A1898, 0))="")=TRUE),  "",  INDEX(RulebookFields!D2:D1898, MATCH(D3540,RulebookFields!A2:A1898, 0))), "")</f>
        <v>SemanticTypeIri</v>
      </c>
      <c r="J3540" s="4" t="b">
        <f>_xlfn.IFNA(IF(((INDEX(RulebookFields!I2:I1898, MATCH(D3540,RulebookFields!A2:A1898, 0))="")=TRUE),  "",  INDEX(RulebookFields!I2:I1898, MATCH(D3540,RulebookFields!A2:A1898, 0))), "")</f>
        <v>0</v>
      </c>
      <c r="K3540" s="4" t="b">
        <f>AND(((F3540)=TRUE), ((J3540)=TRUE))</f>
        <v>0</v>
      </c>
      <c r="L3540" s="4" t="b">
        <f>AND(((G3540 &lt;&gt; "plain")=TRUE), ((G3540 &lt;&gt; "")=TRUE))</f>
        <v>0</v>
      </c>
      <c r="M3540" s="4" t="str">
        <f>IF(((E3540)=TRUE),  C3540 &amp; "|" &amp; H3540,  "")</f>
        <v>principal-process-steward|Vocabularies</v>
      </c>
      <c r="N3540" s="3" t="s">
        <v>10004</v>
      </c>
    </row>
    <row r="3541">
      <c r="A3541" s="3" t="s">
        <v>13543</v>
      </c>
      <c r="B3541" s="4" t="str">
        <f>C3541 &amp; " -&gt; " &amp; D3541</f>
        <v>principal-process-steward -&gt; VocabularyTerms.VocabularyTermId</v>
      </c>
      <c r="C3541" s="3" t="s">
        <v>9772</v>
      </c>
      <c r="D3541" s="3" t="s">
        <v>5712</v>
      </c>
      <c r="E3541" s="3" t="b">
        <v>1</v>
      </c>
      <c r="F3541" s="3" t="b">
        <v>0</v>
      </c>
      <c r="G3541" s="3" t="s">
        <v>10003</v>
      </c>
      <c r="H3541" s="4" t="str">
        <f>_xlfn.IFNA(IF(((INDEX(RulebookFields!C2:C1898, MATCH(D3541,RulebookFields!A2:A1898, 0))="")=TRUE),  "",  INDEX(RulebookFields!C2:C1898, MATCH(D3541,RulebookFields!A2:A1898, 0))), "")</f>
        <v>VocabularyTerms</v>
      </c>
      <c r="I3541" s="4" t="str">
        <f>_xlfn.IFNA(IF(((INDEX(RulebookFields!D2:D1898, MATCH(D3541,RulebookFields!A2:A1898, 0))="")=TRUE),  "",  INDEX(RulebookFields!D2:D1898, MATCH(D3541,RulebookFields!A2:A1898, 0))), "")</f>
        <v>VocabularyTermId</v>
      </c>
      <c r="J3541" s="4" t="b">
        <f>_xlfn.IFNA(IF(((INDEX(RulebookFields!I2:I1898, MATCH(D3541,RulebookFields!A2:A1898, 0))="")=TRUE),  "",  INDEX(RulebookFields!I2:I1898, MATCH(D3541,RulebookFields!A2:A1898, 0))), "")</f>
        <v>0</v>
      </c>
      <c r="K3541" s="4" t="b">
        <f>AND(((F3541)=TRUE), ((J3541)=TRUE))</f>
        <v>0</v>
      </c>
      <c r="L3541" s="4" t="b">
        <f>AND(((G3541 &lt;&gt; "plain")=TRUE), ((G3541 &lt;&gt; "")=TRUE))</f>
        <v>0</v>
      </c>
      <c r="M3541" s="4" t="str">
        <f>IF(((E3541)=TRUE),  C3541 &amp; "|" &amp; H3541,  "")</f>
        <v>principal-process-steward|VocabularyTerms</v>
      </c>
      <c r="N3541" s="3" t="s">
        <v>10004</v>
      </c>
    </row>
    <row r="3542">
      <c r="A3542" s="3" t="s">
        <v>13544</v>
      </c>
      <c r="B3542" s="4" t="str">
        <f>C3542 &amp; " -&gt; " &amp; D3542</f>
        <v>principal-process-steward -&gt; VocabularyTerms.Name</v>
      </c>
      <c r="C3542" s="3" t="s">
        <v>9772</v>
      </c>
      <c r="D3542" s="3" t="s">
        <v>5714</v>
      </c>
      <c r="E3542" s="3" t="b">
        <v>1</v>
      </c>
      <c r="F3542" s="3" t="b">
        <v>0</v>
      </c>
      <c r="G3542" s="3" t="s">
        <v>10003</v>
      </c>
      <c r="H3542" s="4" t="str">
        <f>_xlfn.IFNA(IF(((INDEX(RulebookFields!C2:C1898, MATCH(D3542,RulebookFields!A2:A1898, 0))="")=TRUE),  "",  INDEX(RulebookFields!C2:C1898, MATCH(D3542,RulebookFields!A2:A1898, 0))), "")</f>
        <v>VocabularyTerms</v>
      </c>
      <c r="I3542" s="4" t="str">
        <f>_xlfn.IFNA(IF(((INDEX(RulebookFields!D2:D1898, MATCH(D3542,RulebookFields!A2:A1898, 0))="")=TRUE),  "",  INDEX(RulebookFields!D2:D1898, MATCH(D3542,RulebookFields!A2:A1898, 0))), "")</f>
        <v>Name</v>
      </c>
      <c r="J3542" s="4" t="b">
        <f>_xlfn.IFNA(IF(((INDEX(RulebookFields!I2:I1898, MATCH(D3542,RulebookFields!A2:A1898, 0))="")=TRUE),  "",  INDEX(RulebookFields!I2:I1898, MATCH(D3542,RulebookFields!A2:A1898, 0))), "")</f>
        <v>1</v>
      </c>
      <c r="K3542" s="4" t="b">
        <f>AND(((F3542)=TRUE), ((J3542)=TRUE))</f>
        <v>0</v>
      </c>
      <c r="L3542" s="4" t="b">
        <f>AND(((G3542 &lt;&gt; "plain")=TRUE), ((G3542 &lt;&gt; "")=TRUE))</f>
        <v>0</v>
      </c>
      <c r="M3542" s="4" t="str">
        <f>IF(((E3542)=TRUE),  C3542 &amp; "|" &amp; H3542,  "")</f>
        <v>principal-process-steward|VocabularyTerms</v>
      </c>
      <c r="N3542" s="3" t="s">
        <v>10004</v>
      </c>
    </row>
    <row r="3543">
      <c r="A3543" s="3" t="s">
        <v>13545</v>
      </c>
      <c r="B3543" s="4" t="str">
        <f>C3543 &amp; " -&gt; " &amp; D3543</f>
        <v>principal-process-steward -&gt; VocabularyTerms.Vocabulary</v>
      </c>
      <c r="C3543" s="3" t="s">
        <v>9772</v>
      </c>
      <c r="D3543" s="3" t="s">
        <v>5716</v>
      </c>
      <c r="E3543" s="3" t="b">
        <v>1</v>
      </c>
      <c r="F3543" s="3" t="b">
        <v>0</v>
      </c>
      <c r="G3543" s="3" t="s">
        <v>10003</v>
      </c>
      <c r="H3543" s="4" t="str">
        <f>_xlfn.IFNA(IF(((INDEX(RulebookFields!C2:C1898, MATCH(D3543,RulebookFields!A2:A1898, 0))="")=TRUE),  "",  INDEX(RulebookFields!C2:C1898, MATCH(D3543,RulebookFields!A2:A1898, 0))), "")</f>
        <v>VocabularyTerms</v>
      </c>
      <c r="I3543" s="4" t="str">
        <f>_xlfn.IFNA(IF(((INDEX(RulebookFields!D2:D1898, MATCH(D3543,RulebookFields!A2:A1898, 0))="")=TRUE),  "",  INDEX(RulebookFields!D2:D1898, MATCH(D3543,RulebookFields!A2:A1898, 0))), "")</f>
        <v>Vocabulary</v>
      </c>
      <c r="J3543" s="4" t="b">
        <f>_xlfn.IFNA(IF(((INDEX(RulebookFields!I2:I1898, MATCH(D3543,RulebookFields!A2:A1898, 0))="")=TRUE),  "",  INDEX(RulebookFields!I2:I1898, MATCH(D3543,RulebookFields!A2:A1898, 0))), "")</f>
        <v>0</v>
      </c>
      <c r="K3543" s="4" t="b">
        <f>AND(((F3543)=TRUE), ((J3543)=TRUE))</f>
        <v>0</v>
      </c>
      <c r="L3543" s="4" t="b">
        <f>AND(((G3543 &lt;&gt; "plain")=TRUE), ((G3543 &lt;&gt; "")=TRUE))</f>
        <v>0</v>
      </c>
      <c r="M3543" s="4" t="str">
        <f>IF(((E3543)=TRUE),  C3543 &amp; "|" &amp; H3543,  "")</f>
        <v>principal-process-steward|VocabularyTerms</v>
      </c>
      <c r="N3543" s="3" t="s">
        <v>10004</v>
      </c>
    </row>
    <row r="3544">
      <c r="A3544" s="3" t="s">
        <v>13546</v>
      </c>
      <c r="B3544" s="4" t="str">
        <f>C3544 &amp; " -&gt; " &amp; D3544</f>
        <v>principal-process-steward -&gt; VocabularyTerms.PrefLabel</v>
      </c>
      <c r="C3544" s="3" t="s">
        <v>9772</v>
      </c>
      <c r="D3544" s="3" t="s">
        <v>5718</v>
      </c>
      <c r="E3544" s="3" t="b">
        <v>1</v>
      </c>
      <c r="F3544" s="3" t="b">
        <v>0</v>
      </c>
      <c r="G3544" s="3" t="s">
        <v>10003</v>
      </c>
      <c r="H3544" s="4" t="str">
        <f>_xlfn.IFNA(IF(((INDEX(RulebookFields!C2:C1898, MATCH(D3544,RulebookFields!A2:A1898, 0))="")=TRUE),  "",  INDEX(RulebookFields!C2:C1898, MATCH(D3544,RulebookFields!A2:A1898, 0))), "")</f>
        <v>VocabularyTerms</v>
      </c>
      <c r="I3544" s="4" t="str">
        <f>_xlfn.IFNA(IF(((INDEX(RulebookFields!D2:D1898, MATCH(D3544,RulebookFields!A2:A1898, 0))="")=TRUE),  "",  INDEX(RulebookFields!D2:D1898, MATCH(D3544,RulebookFields!A2:A1898, 0))), "")</f>
        <v>PrefLabel</v>
      </c>
      <c r="J3544" s="4" t="b">
        <f>_xlfn.IFNA(IF(((INDEX(RulebookFields!I2:I1898, MATCH(D3544,RulebookFields!A2:A1898, 0))="")=TRUE),  "",  INDEX(RulebookFields!I2:I1898, MATCH(D3544,RulebookFields!A2:A1898, 0))), "")</f>
        <v>0</v>
      </c>
      <c r="K3544" s="4" t="b">
        <f>AND(((F3544)=TRUE), ((J3544)=TRUE))</f>
        <v>0</v>
      </c>
      <c r="L3544" s="4" t="b">
        <f>AND(((G3544 &lt;&gt; "plain")=TRUE), ((G3544 &lt;&gt; "")=TRUE))</f>
        <v>0</v>
      </c>
      <c r="M3544" s="4" t="str">
        <f>IF(((E3544)=TRUE),  C3544 &amp; "|" &amp; H3544,  "")</f>
        <v>principal-process-steward|VocabularyTerms</v>
      </c>
      <c r="N3544" s="3" t="s">
        <v>10004</v>
      </c>
    </row>
    <row r="3545">
      <c r="A3545" s="3" t="s">
        <v>13547</v>
      </c>
      <c r="B3545" s="4" t="str">
        <f>C3545 &amp; " -&gt; " &amp; D3545</f>
        <v>principal-process-steward -&gt; VocabularyTerms.AltLabels</v>
      </c>
      <c r="C3545" s="3" t="s">
        <v>9772</v>
      </c>
      <c r="D3545" s="3" t="s">
        <v>5720</v>
      </c>
      <c r="E3545" s="3" t="b">
        <v>1</v>
      </c>
      <c r="F3545" s="3" t="b">
        <v>0</v>
      </c>
      <c r="G3545" s="3" t="s">
        <v>10003</v>
      </c>
      <c r="H3545" s="4" t="str">
        <f>_xlfn.IFNA(IF(((INDEX(RulebookFields!C2:C1898, MATCH(D3545,RulebookFields!A2:A1898, 0))="")=TRUE),  "",  INDEX(RulebookFields!C2:C1898, MATCH(D3545,RulebookFields!A2:A1898, 0))), "")</f>
        <v>VocabularyTerms</v>
      </c>
      <c r="I3545" s="4" t="str">
        <f>_xlfn.IFNA(IF(((INDEX(RulebookFields!D2:D1898, MATCH(D3545,RulebookFields!A2:A1898, 0))="")=TRUE),  "",  INDEX(RulebookFields!D2:D1898, MATCH(D3545,RulebookFields!A2:A1898, 0))), "")</f>
        <v>AltLabels</v>
      </c>
      <c r="J3545" s="4" t="b">
        <f>_xlfn.IFNA(IF(((INDEX(RulebookFields!I2:I1898, MATCH(D3545,RulebookFields!A2:A1898, 0))="")=TRUE),  "",  INDEX(RulebookFields!I2:I1898, MATCH(D3545,RulebookFields!A2:A1898, 0))), "")</f>
        <v>0</v>
      </c>
      <c r="K3545" s="4" t="b">
        <f>AND(((F3545)=TRUE), ((J3545)=TRUE))</f>
        <v>0</v>
      </c>
      <c r="L3545" s="4" t="b">
        <f>AND(((G3545 &lt;&gt; "plain")=TRUE), ((G3545 &lt;&gt; "")=TRUE))</f>
        <v>0</v>
      </c>
      <c r="M3545" s="4" t="str">
        <f>IF(((E3545)=TRUE),  C3545 &amp; "|" &amp; H3545,  "")</f>
        <v>principal-process-steward|VocabularyTerms</v>
      </c>
      <c r="N3545" s="3" t="s">
        <v>10004</v>
      </c>
    </row>
    <row r="3546">
      <c r="A3546" s="3" t="s">
        <v>13548</v>
      </c>
      <c r="B3546" s="4" t="str">
        <f>C3546 &amp; " -&gt; " &amp; D3546</f>
        <v>principal-process-steward -&gt; VocabularyTerms.Definition</v>
      </c>
      <c r="C3546" s="3" t="s">
        <v>9772</v>
      </c>
      <c r="D3546" s="3" t="s">
        <v>5722</v>
      </c>
      <c r="E3546" s="3" t="b">
        <v>1</v>
      </c>
      <c r="F3546" s="3" t="b">
        <v>0</v>
      </c>
      <c r="G3546" s="3" t="s">
        <v>10003</v>
      </c>
      <c r="H3546" s="4" t="str">
        <f>_xlfn.IFNA(IF(((INDEX(RulebookFields!C2:C1898, MATCH(D3546,RulebookFields!A2:A1898, 0))="")=TRUE),  "",  INDEX(RulebookFields!C2:C1898, MATCH(D3546,RulebookFields!A2:A1898, 0))), "")</f>
        <v>VocabularyTerms</v>
      </c>
      <c r="I3546" s="4" t="str">
        <f>_xlfn.IFNA(IF(((INDEX(RulebookFields!D2:D1898, MATCH(D3546,RulebookFields!A2:A1898, 0))="")=TRUE),  "",  INDEX(RulebookFields!D2:D1898, MATCH(D3546,RulebookFields!A2:A1898, 0))), "")</f>
        <v>Definition</v>
      </c>
      <c r="J3546" s="4" t="b">
        <f>_xlfn.IFNA(IF(((INDEX(RulebookFields!I2:I1898, MATCH(D3546,RulebookFields!A2:A1898, 0))="")=TRUE),  "",  INDEX(RulebookFields!I2:I1898, MATCH(D3546,RulebookFields!A2:A1898, 0))), "")</f>
        <v>0</v>
      </c>
      <c r="K3546" s="4" t="b">
        <f>AND(((F3546)=TRUE), ((J3546)=TRUE))</f>
        <v>0</v>
      </c>
      <c r="L3546" s="4" t="b">
        <f>AND(((G3546 &lt;&gt; "plain")=TRUE), ((G3546 &lt;&gt; "")=TRUE))</f>
        <v>0</v>
      </c>
      <c r="M3546" s="4" t="str">
        <f>IF(((E3546)=TRUE),  C3546 &amp; "|" &amp; H3546,  "")</f>
        <v>principal-process-steward|VocabularyTerms</v>
      </c>
      <c r="N3546" s="3" t="s">
        <v>10004</v>
      </c>
    </row>
    <row r="3547">
      <c r="A3547" s="3" t="s">
        <v>13549</v>
      </c>
      <c r="B3547" s="4" t="str">
        <f>C3547 &amp; " -&gt; " &amp; D3547</f>
        <v>principal-process-steward -&gt; VocabularyTerms.UsageCount</v>
      </c>
      <c r="C3547" s="3" t="s">
        <v>9772</v>
      </c>
      <c r="D3547" s="3" t="s">
        <v>5723</v>
      </c>
      <c r="E3547" s="3" t="b">
        <v>1</v>
      </c>
      <c r="F3547" s="3" t="b">
        <v>0</v>
      </c>
      <c r="G3547" s="3" t="s">
        <v>10003</v>
      </c>
      <c r="H3547" s="4" t="str">
        <f>_xlfn.IFNA(IF(((INDEX(RulebookFields!C2:C1898, MATCH(D3547,RulebookFields!A2:A1898, 0))="")=TRUE),  "",  INDEX(RulebookFields!C2:C1898, MATCH(D3547,RulebookFields!A2:A1898, 0))), "")</f>
        <v>VocabularyTerms</v>
      </c>
      <c r="I3547" s="4" t="str">
        <f>_xlfn.IFNA(IF(((INDEX(RulebookFields!D2:D1898, MATCH(D3547,RulebookFields!A2:A1898, 0))="")=TRUE),  "",  INDEX(RulebookFields!D2:D1898, MATCH(D3547,RulebookFields!A2:A1898, 0))), "")</f>
        <v>UsageCount</v>
      </c>
      <c r="J3547" s="4" t="b">
        <f>_xlfn.IFNA(IF(((INDEX(RulebookFields!I2:I1898, MATCH(D3547,RulebookFields!A2:A1898, 0))="")=TRUE),  "",  INDEX(RulebookFields!I2:I1898, MATCH(D3547,RulebookFields!A2:A1898, 0))), "")</f>
        <v>1</v>
      </c>
      <c r="K3547" s="4" t="b">
        <f>AND(((F3547)=TRUE), ((J3547)=TRUE))</f>
        <v>0</v>
      </c>
      <c r="L3547" s="4" t="b">
        <f>AND(((G3547 &lt;&gt; "plain")=TRUE), ((G3547 &lt;&gt; "")=TRUE))</f>
        <v>0</v>
      </c>
      <c r="M3547" s="4" t="str">
        <f>IF(((E3547)=TRUE),  C3547 &amp; "|" &amp; H3547,  "")</f>
        <v>principal-process-steward|VocabularyTerms</v>
      </c>
      <c r="N3547" s="3" t="s">
        <v>10004</v>
      </c>
    </row>
    <row r="3548">
      <c r="A3548" s="3" t="s">
        <v>13550</v>
      </c>
      <c r="B3548" s="4" t="str">
        <f>C3548 &amp; " -&gt; " &amp; D3548</f>
        <v>principal-process-steward -&gt; VocabularyTerms.IsOrphanTerm</v>
      </c>
      <c r="C3548" s="3" t="s">
        <v>9772</v>
      </c>
      <c r="D3548" s="3" t="s">
        <v>5725</v>
      </c>
      <c r="E3548" s="3" t="b">
        <v>1</v>
      </c>
      <c r="F3548" s="3" t="b">
        <v>0</v>
      </c>
      <c r="G3548" s="3" t="s">
        <v>10003</v>
      </c>
      <c r="H3548" s="4" t="str">
        <f>_xlfn.IFNA(IF(((INDEX(RulebookFields!C2:C1898, MATCH(D3548,RulebookFields!A2:A1898, 0))="")=TRUE),  "",  INDEX(RulebookFields!C2:C1898, MATCH(D3548,RulebookFields!A2:A1898, 0))), "")</f>
        <v>VocabularyTerms</v>
      </c>
      <c r="I3548" s="4" t="str">
        <f>_xlfn.IFNA(IF(((INDEX(RulebookFields!D2:D1898, MATCH(D3548,RulebookFields!A2:A1898, 0))="")=TRUE),  "",  INDEX(RulebookFields!D2:D1898, MATCH(D3548,RulebookFields!A2:A1898, 0))), "")</f>
        <v>IsOrphanTerm</v>
      </c>
      <c r="J3548" s="4" t="b">
        <f>_xlfn.IFNA(IF(((INDEX(RulebookFields!I2:I1898, MATCH(D3548,RulebookFields!A2:A1898, 0))="")=TRUE),  "",  INDEX(RulebookFields!I2:I1898, MATCH(D3548,RulebookFields!A2:A1898, 0))), "")</f>
        <v>1</v>
      </c>
      <c r="K3548" s="4" t="b">
        <f>AND(((F3548)=TRUE), ((J3548)=TRUE))</f>
        <v>0</v>
      </c>
      <c r="L3548" s="4" t="b">
        <f>AND(((G3548 &lt;&gt; "plain")=TRUE), ((G3548 &lt;&gt; "")=TRUE))</f>
        <v>0</v>
      </c>
      <c r="M3548" s="4" t="str">
        <f>IF(((E3548)=TRUE),  C3548 &amp; "|" &amp; H3548,  "")</f>
        <v>principal-process-steward|VocabularyTerms</v>
      </c>
      <c r="N3548" s="3" t="s">
        <v>10004</v>
      </c>
    </row>
    <row r="3549">
      <c r="A3549" s="3" t="s">
        <v>13551</v>
      </c>
      <c r="B3549" s="4" t="str">
        <f>C3549 &amp; " -&gt; " &amp; D3549</f>
        <v>principal-process-steward -&gt; VocabularyTerms.IsWidelyAdoptedTerm</v>
      </c>
      <c r="C3549" s="3" t="s">
        <v>9772</v>
      </c>
      <c r="D3549" s="3" t="s">
        <v>5728</v>
      </c>
      <c r="E3549" s="3" t="b">
        <v>1</v>
      </c>
      <c r="F3549" s="3" t="b">
        <v>0</v>
      </c>
      <c r="G3549" s="3" t="s">
        <v>10003</v>
      </c>
      <c r="H3549" s="4" t="str">
        <f>_xlfn.IFNA(IF(((INDEX(RulebookFields!C2:C1898, MATCH(D3549,RulebookFields!A2:A1898, 0))="")=TRUE),  "",  INDEX(RulebookFields!C2:C1898, MATCH(D3549,RulebookFields!A2:A1898, 0))), "")</f>
        <v>VocabularyTerms</v>
      </c>
      <c r="I3549" s="4" t="str">
        <f>_xlfn.IFNA(IF(((INDEX(RulebookFields!D2:D1898, MATCH(D3549,RulebookFields!A2:A1898, 0))="")=TRUE),  "",  INDEX(RulebookFields!D2:D1898, MATCH(D3549,RulebookFields!A2:A1898, 0))), "")</f>
        <v>IsWidelyAdoptedTerm</v>
      </c>
      <c r="J3549" s="4" t="b">
        <f>_xlfn.IFNA(IF(((INDEX(RulebookFields!I2:I1898, MATCH(D3549,RulebookFields!A2:A1898, 0))="")=TRUE),  "",  INDEX(RulebookFields!I2:I1898, MATCH(D3549,RulebookFields!A2:A1898, 0))), "")</f>
        <v>1</v>
      </c>
      <c r="K3549" s="4" t="b">
        <f>AND(((F3549)=TRUE), ((J3549)=TRUE))</f>
        <v>0</v>
      </c>
      <c r="L3549" s="4" t="b">
        <f>AND(((G3549 &lt;&gt; "plain")=TRUE), ((G3549 &lt;&gt; "")=TRUE))</f>
        <v>0</v>
      </c>
      <c r="M3549" s="4" t="str">
        <f>IF(((E3549)=TRUE),  C3549 &amp; "|" &amp; H3549,  "")</f>
        <v>principal-process-steward|VocabularyTerms</v>
      </c>
      <c r="N3549" s="3" t="s">
        <v>10004</v>
      </c>
    </row>
    <row r="3550">
      <c r="A3550" s="3" t="s">
        <v>13552</v>
      </c>
      <c r="B3550" s="4" t="str">
        <f>C3550 &amp; " -&gt; " &amp; D3550</f>
        <v>principal-process-steward -&gt; VocabularyTerms.OrphanTermVocabularyKey</v>
      </c>
      <c r="C3550" s="3" t="s">
        <v>9772</v>
      </c>
      <c r="D3550" s="3" t="s">
        <v>5731</v>
      </c>
      <c r="E3550" s="3" t="b">
        <v>1</v>
      </c>
      <c r="F3550" s="3" t="b">
        <v>0</v>
      </c>
      <c r="G3550" s="3" t="s">
        <v>10003</v>
      </c>
      <c r="H3550" s="4" t="str">
        <f>_xlfn.IFNA(IF(((INDEX(RulebookFields!C2:C1898, MATCH(D3550,RulebookFields!A2:A1898, 0))="")=TRUE),  "",  INDEX(RulebookFields!C2:C1898, MATCH(D3550,RulebookFields!A2:A1898, 0))), "")</f>
        <v>VocabularyTerms</v>
      </c>
      <c r="I3550" s="4" t="str">
        <f>_xlfn.IFNA(IF(((INDEX(RulebookFields!D2:D1898, MATCH(D3550,RulebookFields!A2:A1898, 0))="")=TRUE),  "",  INDEX(RulebookFields!D2:D1898, MATCH(D3550,RulebookFields!A2:A1898, 0))), "")</f>
        <v>OrphanTermVocabularyKey</v>
      </c>
      <c r="J3550" s="4" t="b">
        <f>_xlfn.IFNA(IF(((INDEX(RulebookFields!I2:I1898, MATCH(D3550,RulebookFields!A2:A1898, 0))="")=TRUE),  "",  INDEX(RulebookFields!I2:I1898, MATCH(D3550,RulebookFields!A2:A1898, 0))), "")</f>
        <v>1</v>
      </c>
      <c r="K3550" s="4" t="b">
        <f>AND(((F3550)=TRUE), ((J3550)=TRUE))</f>
        <v>0</v>
      </c>
      <c r="L3550" s="4" t="b">
        <f>AND(((G3550 &lt;&gt; "plain")=TRUE), ((G3550 &lt;&gt; "")=TRUE))</f>
        <v>0</v>
      </c>
      <c r="M3550" s="4" t="str">
        <f>IF(((E3550)=TRUE),  C3550 &amp; "|" &amp; H3550,  "")</f>
        <v>principal-process-steward|VocabularyTerms</v>
      </c>
      <c r="N3550" s="3" t="s">
        <v>10004</v>
      </c>
    </row>
    <row r="3551">
      <c r="A3551" s="3" t="s">
        <v>13553</v>
      </c>
      <c r="B3551" s="4" t="str">
        <f>C3551 &amp; " -&gt; " &amp; D3551</f>
        <v>principal-process-steward -&gt; VocabularyTerms.SemanticTypeIri</v>
      </c>
      <c r="C3551" s="3" t="s">
        <v>9772</v>
      </c>
      <c r="D3551" s="3" t="s">
        <v>5734</v>
      </c>
      <c r="E3551" s="3" t="b">
        <v>1</v>
      </c>
      <c r="F3551" s="3" t="b">
        <v>0</v>
      </c>
      <c r="G3551" s="3" t="s">
        <v>10003</v>
      </c>
      <c r="H3551" s="4" t="str">
        <f>_xlfn.IFNA(IF(((INDEX(RulebookFields!C2:C1898, MATCH(D3551,RulebookFields!A2:A1898, 0))="")=TRUE),  "",  INDEX(RulebookFields!C2:C1898, MATCH(D3551,RulebookFields!A2:A1898, 0))), "")</f>
        <v>VocabularyTerms</v>
      </c>
      <c r="I3551" s="4" t="str">
        <f>_xlfn.IFNA(IF(((INDEX(RulebookFields!D2:D1898, MATCH(D3551,RulebookFields!A2:A1898, 0))="")=TRUE),  "",  INDEX(RulebookFields!D2:D1898, MATCH(D3551,RulebookFields!A2:A1898, 0))), "")</f>
        <v>SemanticTypeIri</v>
      </c>
      <c r="J3551" s="4" t="b">
        <f>_xlfn.IFNA(IF(((INDEX(RulebookFields!I2:I1898, MATCH(D3551,RulebookFields!A2:A1898, 0))="")=TRUE),  "",  INDEX(RulebookFields!I2:I1898, MATCH(D3551,RulebookFields!A2:A1898, 0))), "")</f>
        <v>0</v>
      </c>
      <c r="K3551" s="4" t="b">
        <f>AND(((F3551)=TRUE), ((J3551)=TRUE))</f>
        <v>0</v>
      </c>
      <c r="L3551" s="4" t="b">
        <f>AND(((G3551 &lt;&gt; "plain")=TRUE), ((G3551 &lt;&gt; "")=TRUE))</f>
        <v>0</v>
      </c>
      <c r="M3551" s="4" t="str">
        <f>IF(((E3551)=TRUE),  C3551 &amp; "|" &amp; H3551,  "")</f>
        <v>principal-process-steward|VocabularyTerms</v>
      </c>
      <c r="N3551" s="3" t="s">
        <v>10004</v>
      </c>
    </row>
    <row r="3552">
      <c r="A3552" s="3" t="s">
        <v>13554</v>
      </c>
      <c r="B3552" s="4" t="str">
        <f>C3552 &amp; " -&gt; " &amp; D3552</f>
        <v>principal-process-steward -&gt; KnowledgeBrokerLinks.KnowledgeBrokerLinkId</v>
      </c>
      <c r="C3552" s="3" t="s">
        <v>9772</v>
      </c>
      <c r="D3552" s="3" t="s">
        <v>5735</v>
      </c>
      <c r="E3552" s="3" t="b">
        <v>1</v>
      </c>
      <c r="F3552" s="3" t="b">
        <v>0</v>
      </c>
      <c r="G3552" s="3" t="s">
        <v>10003</v>
      </c>
      <c r="H3552" s="4" t="str">
        <f>_xlfn.IFNA(IF(((INDEX(RulebookFields!C2:C1898, MATCH(D3552,RulebookFields!A2:A1898, 0))="")=TRUE),  "",  INDEX(RulebookFields!C2:C1898, MATCH(D3552,RulebookFields!A2:A1898, 0))), "")</f>
        <v>KnowledgeBrokerLinks</v>
      </c>
      <c r="I3552" s="4" t="str">
        <f>_xlfn.IFNA(IF(((INDEX(RulebookFields!D2:D1898, MATCH(D3552,RulebookFields!A2:A1898, 0))="")=TRUE),  "",  INDEX(RulebookFields!D2:D1898, MATCH(D3552,RulebookFields!A2:A1898, 0))), "")</f>
        <v>KnowledgeBrokerLinkId</v>
      </c>
      <c r="J3552" s="4" t="b">
        <f>_xlfn.IFNA(IF(((INDEX(RulebookFields!I2:I1898, MATCH(D3552,RulebookFields!A2:A1898, 0))="")=TRUE),  "",  INDEX(RulebookFields!I2:I1898, MATCH(D3552,RulebookFields!A2:A1898, 0))), "")</f>
        <v>0</v>
      </c>
      <c r="K3552" s="4" t="b">
        <f>AND(((F3552)=TRUE), ((J3552)=TRUE))</f>
        <v>0</v>
      </c>
      <c r="L3552" s="4" t="b">
        <f>AND(((G3552 &lt;&gt; "plain")=TRUE), ((G3552 &lt;&gt; "")=TRUE))</f>
        <v>0</v>
      </c>
      <c r="M3552" s="4" t="str">
        <f>IF(((E3552)=TRUE),  C3552 &amp; "|" &amp; H3552,  "")</f>
        <v>principal-process-steward|KnowledgeBrokerLinks</v>
      </c>
      <c r="N3552" s="3" t="s">
        <v>10004</v>
      </c>
    </row>
    <row r="3553">
      <c r="A3553" s="3" t="s">
        <v>13555</v>
      </c>
      <c r="B3553" s="4" t="str">
        <f>C3553 &amp; " -&gt; " &amp; D3553</f>
        <v>principal-process-steward -&gt; KnowledgeBrokerLinks.Name</v>
      </c>
      <c r="C3553" s="3" t="s">
        <v>9772</v>
      </c>
      <c r="D3553" s="3" t="s">
        <v>5737</v>
      </c>
      <c r="E3553" s="3" t="b">
        <v>1</v>
      </c>
      <c r="F3553" s="3" t="b">
        <v>0</v>
      </c>
      <c r="G3553" s="3" t="s">
        <v>10003</v>
      </c>
      <c r="H3553" s="4" t="str">
        <f>_xlfn.IFNA(IF(((INDEX(RulebookFields!C2:C1898, MATCH(D3553,RulebookFields!A2:A1898, 0))="")=TRUE),  "",  INDEX(RulebookFields!C2:C1898, MATCH(D3553,RulebookFields!A2:A1898, 0))), "")</f>
        <v>KnowledgeBrokerLinks</v>
      </c>
      <c r="I3553" s="4" t="str">
        <f>_xlfn.IFNA(IF(((INDEX(RulebookFields!D2:D1898, MATCH(D3553,RulebookFields!A2:A1898, 0))="")=TRUE),  "",  INDEX(RulebookFields!D2:D1898, MATCH(D3553,RulebookFields!A2:A1898, 0))), "")</f>
        <v>Name</v>
      </c>
      <c r="J3553" s="4" t="b">
        <f>_xlfn.IFNA(IF(((INDEX(RulebookFields!I2:I1898, MATCH(D3553,RulebookFields!A2:A1898, 0))="")=TRUE),  "",  INDEX(RulebookFields!I2:I1898, MATCH(D3553,RulebookFields!A2:A1898, 0))), "")</f>
        <v>1</v>
      </c>
      <c r="K3553" s="4" t="b">
        <f>AND(((F3553)=TRUE), ((J3553)=TRUE))</f>
        <v>0</v>
      </c>
      <c r="L3553" s="4" t="b">
        <f>AND(((G3553 &lt;&gt; "plain")=TRUE), ((G3553 &lt;&gt; "")=TRUE))</f>
        <v>0</v>
      </c>
      <c r="M3553" s="4" t="str">
        <f>IF(((E3553)=TRUE),  C3553 &amp; "|" &amp; H3553,  "")</f>
        <v>principal-process-steward|KnowledgeBrokerLinks</v>
      </c>
      <c r="N3553" s="3" t="s">
        <v>10004</v>
      </c>
    </row>
    <row r="3554">
      <c r="A3554" s="3" t="s">
        <v>13556</v>
      </c>
      <c r="B3554" s="4" t="str">
        <f>C3554 &amp; " -&gt; " &amp; D3554</f>
        <v>principal-process-steward -&gt; KnowledgeBrokerLinks.Seeker</v>
      </c>
      <c r="C3554" s="3" t="s">
        <v>9772</v>
      </c>
      <c r="D3554" s="3" t="s">
        <v>5739</v>
      </c>
      <c r="E3554" s="3" t="b">
        <v>1</v>
      </c>
      <c r="F3554" s="3" t="b">
        <v>0</v>
      </c>
      <c r="G3554" s="3" t="s">
        <v>10003</v>
      </c>
      <c r="H3554" s="4" t="str">
        <f>_xlfn.IFNA(IF(((INDEX(RulebookFields!C2:C1898, MATCH(D3554,RulebookFields!A2:A1898, 0))="")=TRUE),  "",  INDEX(RulebookFields!C2:C1898, MATCH(D3554,RulebookFields!A2:A1898, 0))), "")</f>
        <v>KnowledgeBrokerLinks</v>
      </c>
      <c r="I3554" s="4" t="str">
        <f>_xlfn.IFNA(IF(((INDEX(RulebookFields!D2:D1898, MATCH(D3554,RulebookFields!A2:A1898, 0))="")=TRUE),  "",  INDEX(RulebookFields!D2:D1898, MATCH(D3554,RulebookFields!A2:A1898, 0))), "")</f>
        <v>Seeker</v>
      </c>
      <c r="J3554" s="4" t="b">
        <f>_xlfn.IFNA(IF(((INDEX(RulebookFields!I2:I1898, MATCH(D3554,RulebookFields!A2:A1898, 0))="")=TRUE),  "",  INDEX(RulebookFields!I2:I1898, MATCH(D3554,RulebookFields!A2:A1898, 0))), "")</f>
        <v>0</v>
      </c>
      <c r="K3554" s="4" t="b">
        <f>AND(((F3554)=TRUE), ((J3554)=TRUE))</f>
        <v>0</v>
      </c>
      <c r="L3554" s="4" t="b">
        <f>AND(((G3554 &lt;&gt; "plain")=TRUE), ((G3554 &lt;&gt; "")=TRUE))</f>
        <v>0</v>
      </c>
      <c r="M3554" s="4" t="str">
        <f>IF(((E3554)=TRUE),  C3554 &amp; "|" &amp; H3554,  "")</f>
        <v>principal-process-steward|KnowledgeBrokerLinks</v>
      </c>
      <c r="N3554" s="3" t="s">
        <v>10004</v>
      </c>
    </row>
    <row r="3555">
      <c r="A3555" s="3" t="s">
        <v>13557</v>
      </c>
      <c r="B3555" s="4" t="str">
        <f>C3555 &amp; " -&gt; " &amp; D3555</f>
        <v>principal-process-steward -&gt; KnowledgeBrokerLinks.Broker</v>
      </c>
      <c r="C3555" s="3" t="s">
        <v>9772</v>
      </c>
      <c r="D3555" s="3" t="s">
        <v>5741</v>
      </c>
      <c r="E3555" s="3" t="b">
        <v>1</v>
      </c>
      <c r="F3555" s="3" t="b">
        <v>0</v>
      </c>
      <c r="G3555" s="3" t="s">
        <v>10003</v>
      </c>
      <c r="H3555" s="4" t="str">
        <f>_xlfn.IFNA(IF(((INDEX(RulebookFields!C2:C1898, MATCH(D3555,RulebookFields!A2:A1898, 0))="")=TRUE),  "",  INDEX(RulebookFields!C2:C1898, MATCH(D3555,RulebookFields!A2:A1898, 0))), "")</f>
        <v>KnowledgeBrokerLinks</v>
      </c>
      <c r="I3555" s="4" t="str">
        <f>_xlfn.IFNA(IF(((INDEX(RulebookFields!D2:D1898, MATCH(D3555,RulebookFields!A2:A1898, 0))="")=TRUE),  "",  INDEX(RulebookFields!D2:D1898, MATCH(D3555,RulebookFields!A2:A1898, 0))), "")</f>
        <v>Broker</v>
      </c>
      <c r="J3555" s="4" t="b">
        <f>_xlfn.IFNA(IF(((INDEX(RulebookFields!I2:I1898, MATCH(D3555,RulebookFields!A2:A1898, 0))="")=TRUE),  "",  INDEX(RulebookFields!I2:I1898, MATCH(D3555,RulebookFields!A2:A1898, 0))), "")</f>
        <v>0</v>
      </c>
      <c r="K3555" s="4" t="b">
        <f>AND(((F3555)=TRUE), ((J3555)=TRUE))</f>
        <v>0</v>
      </c>
      <c r="L3555" s="4" t="b">
        <f>AND(((G3555 &lt;&gt; "plain")=TRUE), ((G3555 &lt;&gt; "")=TRUE))</f>
        <v>0</v>
      </c>
      <c r="M3555" s="4" t="str">
        <f>IF(((E3555)=TRUE),  C3555 &amp; "|" &amp; H3555,  "")</f>
        <v>principal-process-steward|KnowledgeBrokerLinks</v>
      </c>
      <c r="N3555" s="3" t="s">
        <v>10004</v>
      </c>
    </row>
    <row r="3556">
      <c r="A3556" s="3" t="s">
        <v>13558</v>
      </c>
      <c r="B3556" s="4" t="str">
        <f>C3556 &amp; " -&gt; " &amp; D3556</f>
        <v>principal-process-steward -&gt; KnowledgeBrokerLinks.Topic</v>
      </c>
      <c r="C3556" s="3" t="s">
        <v>9772</v>
      </c>
      <c r="D3556" s="3" t="s">
        <v>5743</v>
      </c>
      <c r="E3556" s="3" t="b">
        <v>1</v>
      </c>
      <c r="F3556" s="3" t="b">
        <v>0</v>
      </c>
      <c r="G3556" s="3" t="s">
        <v>10003</v>
      </c>
      <c r="H3556" s="4" t="str">
        <f>_xlfn.IFNA(IF(((INDEX(RulebookFields!C2:C1898, MATCH(D3556,RulebookFields!A2:A1898, 0))="")=TRUE),  "",  INDEX(RulebookFields!C2:C1898, MATCH(D3556,RulebookFields!A2:A1898, 0))), "")</f>
        <v>KnowledgeBrokerLinks</v>
      </c>
      <c r="I3556" s="4" t="str">
        <f>_xlfn.IFNA(IF(((INDEX(RulebookFields!D2:D1898, MATCH(D3556,RulebookFields!A2:A1898, 0))="")=TRUE),  "",  INDEX(RulebookFields!D2:D1898, MATCH(D3556,RulebookFields!A2:A1898, 0))), "")</f>
        <v>Topic</v>
      </c>
      <c r="J3556" s="4" t="b">
        <f>_xlfn.IFNA(IF(((INDEX(RulebookFields!I2:I1898, MATCH(D3556,RulebookFields!A2:A1898, 0))="")=TRUE),  "",  INDEX(RulebookFields!I2:I1898, MATCH(D3556,RulebookFields!A2:A1898, 0))), "")</f>
        <v>0</v>
      </c>
      <c r="K3556" s="4" t="b">
        <f>AND(((F3556)=TRUE), ((J3556)=TRUE))</f>
        <v>0</v>
      </c>
      <c r="L3556" s="4" t="b">
        <f>AND(((G3556 &lt;&gt; "plain")=TRUE), ((G3556 &lt;&gt; "")=TRUE))</f>
        <v>0</v>
      </c>
      <c r="M3556" s="4" t="str">
        <f>IF(((E3556)=TRUE),  C3556 &amp; "|" &amp; H3556,  "")</f>
        <v>principal-process-steward|KnowledgeBrokerLinks</v>
      </c>
      <c r="N3556" s="3" t="s">
        <v>10004</v>
      </c>
    </row>
    <row r="3557">
      <c r="A3557" s="3" t="s">
        <v>13559</v>
      </c>
      <c r="B3557" s="4" t="str">
        <f>C3557 &amp; " -&gt; " &amp; D3557</f>
        <v>principal-process-steward -&gt; KnowledgeBrokerLinks.Frequency</v>
      </c>
      <c r="C3557" s="3" t="s">
        <v>9772</v>
      </c>
      <c r="D3557" s="3" t="s">
        <v>5745</v>
      </c>
      <c r="E3557" s="3" t="b">
        <v>1</v>
      </c>
      <c r="F3557" s="3" t="b">
        <v>0</v>
      </c>
      <c r="G3557" s="3" t="s">
        <v>10003</v>
      </c>
      <c r="H3557" s="4" t="str">
        <f>_xlfn.IFNA(IF(((INDEX(RulebookFields!C2:C1898, MATCH(D3557,RulebookFields!A2:A1898, 0))="")=TRUE),  "",  INDEX(RulebookFields!C2:C1898, MATCH(D3557,RulebookFields!A2:A1898, 0))), "")</f>
        <v>KnowledgeBrokerLinks</v>
      </c>
      <c r="I3557" s="4" t="str">
        <f>_xlfn.IFNA(IF(((INDEX(RulebookFields!D2:D1898, MATCH(D3557,RulebookFields!A2:A1898, 0))="")=TRUE),  "",  INDEX(RulebookFields!D2:D1898, MATCH(D3557,RulebookFields!A2:A1898, 0))), "")</f>
        <v>Frequency</v>
      </c>
      <c r="J3557" s="4" t="b">
        <f>_xlfn.IFNA(IF(((INDEX(RulebookFields!I2:I1898, MATCH(D3557,RulebookFields!A2:A1898, 0))="")=TRUE),  "",  INDEX(RulebookFields!I2:I1898, MATCH(D3557,RulebookFields!A2:A1898, 0))), "")</f>
        <v>0</v>
      </c>
      <c r="K3557" s="4" t="b">
        <f>AND(((F3557)=TRUE), ((J3557)=TRUE))</f>
        <v>0</v>
      </c>
      <c r="L3557" s="4" t="b">
        <f>AND(((G3557 &lt;&gt; "plain")=TRUE), ((G3557 &lt;&gt; "")=TRUE))</f>
        <v>0</v>
      </c>
      <c r="M3557" s="4" t="str">
        <f>IF(((E3557)=TRUE),  C3557 &amp; "|" &amp; H3557,  "")</f>
        <v>principal-process-steward|KnowledgeBrokerLinks</v>
      </c>
      <c r="N3557" s="3" t="s">
        <v>10004</v>
      </c>
    </row>
    <row r="3558">
      <c r="A3558" s="3" t="s">
        <v>13560</v>
      </c>
      <c r="B3558" s="4" t="str">
        <f>C3558 &amp; " -&gt; " &amp; D3558</f>
        <v>principal-process-steward -&gt; KnowledgeBrokerLinks.LastConsultedAt</v>
      </c>
      <c r="C3558" s="3" t="s">
        <v>9772</v>
      </c>
      <c r="D3558" s="3" t="s">
        <v>5747</v>
      </c>
      <c r="E3558" s="3" t="b">
        <v>1</v>
      </c>
      <c r="F3558" s="3" t="b">
        <v>0</v>
      </c>
      <c r="G3558" s="3" t="s">
        <v>10003</v>
      </c>
      <c r="H3558" s="4" t="str">
        <f>_xlfn.IFNA(IF(((INDEX(RulebookFields!C2:C1898, MATCH(D3558,RulebookFields!A2:A1898, 0))="")=TRUE),  "",  INDEX(RulebookFields!C2:C1898, MATCH(D3558,RulebookFields!A2:A1898, 0))), "")</f>
        <v>KnowledgeBrokerLinks</v>
      </c>
      <c r="I3558" s="4" t="str">
        <f>_xlfn.IFNA(IF(((INDEX(RulebookFields!D2:D1898, MATCH(D3558,RulebookFields!A2:A1898, 0))="")=TRUE),  "",  INDEX(RulebookFields!D2:D1898, MATCH(D3558,RulebookFields!A2:A1898, 0))), "")</f>
        <v>LastConsultedAt</v>
      </c>
      <c r="J3558" s="4" t="b">
        <f>_xlfn.IFNA(IF(((INDEX(RulebookFields!I2:I1898, MATCH(D3558,RulebookFields!A2:A1898, 0))="")=TRUE),  "",  INDEX(RulebookFields!I2:I1898, MATCH(D3558,RulebookFields!A2:A1898, 0))), "")</f>
        <v>0</v>
      </c>
      <c r="K3558" s="4" t="b">
        <f>AND(((F3558)=TRUE), ((J3558)=TRUE))</f>
        <v>0</v>
      </c>
      <c r="L3558" s="4" t="b">
        <f>AND(((G3558 &lt;&gt; "plain")=TRUE), ((G3558 &lt;&gt; "")=TRUE))</f>
        <v>0</v>
      </c>
      <c r="M3558" s="4" t="str">
        <f>IF(((E3558)=TRUE),  C3558 &amp; "|" &amp; H3558,  "")</f>
        <v>principal-process-steward|KnowledgeBrokerLinks</v>
      </c>
      <c r="N3558" s="3" t="s">
        <v>10004</v>
      </c>
    </row>
    <row r="3559">
      <c r="A3559" s="3" t="s">
        <v>13561</v>
      </c>
      <c r="B3559" s="4" t="str">
        <f>C3559 &amp; " -&gt; " &amp; D3559</f>
        <v>principal-process-steward -&gt; KnowledgeBrokerLinks.EvaluationContext</v>
      </c>
      <c r="C3559" s="3" t="s">
        <v>9772</v>
      </c>
      <c r="D3559" s="3" t="s">
        <v>5749</v>
      </c>
      <c r="E3559" s="3" t="b">
        <v>1</v>
      </c>
      <c r="F3559" s="3" t="b">
        <v>0</v>
      </c>
      <c r="G3559" s="3" t="s">
        <v>10003</v>
      </c>
      <c r="H3559" s="4" t="str">
        <f>_xlfn.IFNA(IF(((INDEX(RulebookFields!C2:C1898, MATCH(D3559,RulebookFields!A2:A1898, 0))="")=TRUE),  "",  INDEX(RulebookFields!C2:C1898, MATCH(D3559,RulebookFields!A2:A1898, 0))), "")</f>
        <v>KnowledgeBrokerLinks</v>
      </c>
      <c r="I3559" s="4" t="str">
        <f>_xlfn.IFNA(IF(((INDEX(RulebookFields!D2:D1898, MATCH(D3559,RulebookFields!A2:A1898, 0))="")=TRUE),  "",  INDEX(RulebookFields!D2:D1898, MATCH(D3559,RulebookFields!A2:A1898, 0))), "")</f>
        <v>EvaluationContext</v>
      </c>
      <c r="J3559" s="4" t="b">
        <f>_xlfn.IFNA(IF(((INDEX(RulebookFields!I2:I1898, MATCH(D3559,RulebookFields!A2:A1898, 0))="")=TRUE),  "",  INDEX(RulebookFields!I2:I1898, MATCH(D3559,RulebookFields!A2:A1898, 0))), "")</f>
        <v>0</v>
      </c>
      <c r="K3559" s="4" t="b">
        <f>AND(((F3559)=TRUE), ((J3559)=TRUE))</f>
        <v>0</v>
      </c>
      <c r="L3559" s="4" t="b">
        <f>AND(((G3559 &lt;&gt; "plain")=TRUE), ((G3559 &lt;&gt; "")=TRUE))</f>
        <v>0</v>
      </c>
      <c r="M3559" s="4" t="str">
        <f>IF(((E3559)=TRUE),  C3559 &amp; "|" &amp; H3559,  "")</f>
        <v>principal-process-steward|KnowledgeBrokerLinks</v>
      </c>
      <c r="N3559" s="3" t="s">
        <v>10004</v>
      </c>
    </row>
    <row r="3560">
      <c r="A3560" s="3" t="s">
        <v>13562</v>
      </c>
      <c r="B3560" s="4" t="str">
        <f>C3560 &amp; " -&gt; " &amp; D3560</f>
        <v>principal-process-steward -&gt; KnowledgeBrokerLinks.AsOfInstant</v>
      </c>
      <c r="C3560" s="3" t="s">
        <v>9772</v>
      </c>
      <c r="D3560" s="3" t="s">
        <v>5750</v>
      </c>
      <c r="E3560" s="3" t="b">
        <v>1</v>
      </c>
      <c r="F3560" s="3" t="b">
        <v>0</v>
      </c>
      <c r="G3560" s="3" t="s">
        <v>10003</v>
      </c>
      <c r="H3560" s="4" t="str">
        <f>_xlfn.IFNA(IF(((INDEX(RulebookFields!C2:C1898, MATCH(D3560,RulebookFields!A2:A1898, 0))="")=TRUE),  "",  INDEX(RulebookFields!C2:C1898, MATCH(D3560,RulebookFields!A2:A1898, 0))), "")</f>
        <v>KnowledgeBrokerLinks</v>
      </c>
      <c r="I3560" s="4" t="str">
        <f>_xlfn.IFNA(IF(((INDEX(RulebookFields!D2:D1898, MATCH(D3560,RulebookFields!A2:A1898, 0))="")=TRUE),  "",  INDEX(RulebookFields!D2:D1898, MATCH(D3560,RulebookFields!A2:A1898, 0))), "")</f>
        <v>AsOfInstant</v>
      </c>
      <c r="J3560" s="4" t="b">
        <f>_xlfn.IFNA(IF(((INDEX(RulebookFields!I2:I1898, MATCH(D3560,RulebookFields!A2:A1898, 0))="")=TRUE),  "",  INDEX(RulebookFields!I2:I1898, MATCH(D3560,RulebookFields!A2:A1898, 0))), "")</f>
        <v>1</v>
      </c>
      <c r="K3560" s="4" t="b">
        <f>AND(((F3560)=TRUE), ((J3560)=TRUE))</f>
        <v>0</v>
      </c>
      <c r="L3560" s="4" t="b">
        <f>AND(((G3560 &lt;&gt; "plain")=TRUE), ((G3560 &lt;&gt; "")=TRUE))</f>
        <v>0</v>
      </c>
      <c r="M3560" s="4" t="str">
        <f>IF(((E3560)=TRUE),  C3560 &amp; "|" &amp; H3560,  "")</f>
        <v>principal-process-steward|KnowledgeBrokerLinks</v>
      </c>
      <c r="N3560" s="3" t="s">
        <v>10004</v>
      </c>
    </row>
    <row r="3561">
      <c r="A3561" s="3" t="s">
        <v>13563</v>
      </c>
      <c r="B3561" s="4" t="str">
        <f>C3561 &amp; " -&gt; " &amp; D3561</f>
        <v>principal-process-steward -&gt; KnowledgeBrokerLinks.DaysSinceConsulted</v>
      </c>
      <c r="C3561" s="3" t="s">
        <v>9772</v>
      </c>
      <c r="D3561" s="3" t="s">
        <v>5751</v>
      </c>
      <c r="E3561" s="3" t="b">
        <v>1</v>
      </c>
      <c r="F3561" s="3" t="b">
        <v>0</v>
      </c>
      <c r="G3561" s="3" t="s">
        <v>10003</v>
      </c>
      <c r="H3561" s="4" t="str">
        <f>_xlfn.IFNA(IF(((INDEX(RulebookFields!C2:C1898, MATCH(D3561,RulebookFields!A2:A1898, 0))="")=TRUE),  "",  INDEX(RulebookFields!C2:C1898, MATCH(D3561,RulebookFields!A2:A1898, 0))), "")</f>
        <v>KnowledgeBrokerLinks</v>
      </c>
      <c r="I3561" s="4" t="str">
        <f>_xlfn.IFNA(IF(((INDEX(RulebookFields!D2:D1898, MATCH(D3561,RulebookFields!A2:A1898, 0))="")=TRUE),  "",  INDEX(RulebookFields!D2:D1898, MATCH(D3561,RulebookFields!A2:A1898, 0))), "")</f>
        <v>DaysSinceConsulted</v>
      </c>
      <c r="J3561" s="4" t="b">
        <f>_xlfn.IFNA(IF(((INDEX(RulebookFields!I2:I1898, MATCH(D3561,RulebookFields!A2:A1898, 0))="")=TRUE),  "",  INDEX(RulebookFields!I2:I1898, MATCH(D3561,RulebookFields!A2:A1898, 0))), "")</f>
        <v>1</v>
      </c>
      <c r="K3561" s="4" t="b">
        <f>AND(((F3561)=TRUE), ((J3561)=TRUE))</f>
        <v>0</v>
      </c>
      <c r="L3561" s="4" t="b">
        <f>AND(((G3561 &lt;&gt; "plain")=TRUE), ((G3561 &lt;&gt; "")=TRUE))</f>
        <v>0</v>
      </c>
      <c r="M3561" s="4" t="str">
        <f>IF(((E3561)=TRUE),  C3561 &amp; "|" &amp; H3561,  "")</f>
        <v>principal-process-steward|KnowledgeBrokerLinks</v>
      </c>
      <c r="N3561" s="3" t="s">
        <v>10004</v>
      </c>
    </row>
    <row r="3562">
      <c r="A3562" s="3" t="s">
        <v>13564</v>
      </c>
      <c r="B3562" s="4" t="str">
        <f>C3562 &amp; " -&gt; " &amp; D3562</f>
        <v>principal-process-steward -&gt; KnowledgeBrokerLinks.IsActiveReliance</v>
      </c>
      <c r="C3562" s="3" t="s">
        <v>9772</v>
      </c>
      <c r="D3562" s="3" t="s">
        <v>5754</v>
      </c>
      <c r="E3562" s="3" t="b">
        <v>1</v>
      </c>
      <c r="F3562" s="3" t="b">
        <v>0</v>
      </c>
      <c r="G3562" s="3" t="s">
        <v>10003</v>
      </c>
      <c r="H3562" s="4" t="str">
        <f>_xlfn.IFNA(IF(((INDEX(RulebookFields!C2:C1898, MATCH(D3562,RulebookFields!A2:A1898, 0))="")=TRUE),  "",  INDEX(RulebookFields!C2:C1898, MATCH(D3562,RulebookFields!A2:A1898, 0))), "")</f>
        <v>KnowledgeBrokerLinks</v>
      </c>
      <c r="I3562" s="4" t="str">
        <f>_xlfn.IFNA(IF(((INDEX(RulebookFields!D2:D1898, MATCH(D3562,RulebookFields!A2:A1898, 0))="")=TRUE),  "",  INDEX(RulebookFields!D2:D1898, MATCH(D3562,RulebookFields!A2:A1898, 0))), "")</f>
        <v>IsActiveReliance</v>
      </c>
      <c r="J3562" s="4" t="b">
        <f>_xlfn.IFNA(IF(((INDEX(RulebookFields!I2:I1898, MATCH(D3562,RulebookFields!A2:A1898, 0))="")=TRUE),  "",  INDEX(RulebookFields!I2:I1898, MATCH(D3562,RulebookFields!A2:A1898, 0))), "")</f>
        <v>1</v>
      </c>
      <c r="K3562" s="4" t="b">
        <f>AND(((F3562)=TRUE), ((J3562)=TRUE))</f>
        <v>0</v>
      </c>
      <c r="L3562" s="4" t="b">
        <f>AND(((G3562 &lt;&gt; "plain")=TRUE), ((G3562 &lt;&gt; "")=TRUE))</f>
        <v>0</v>
      </c>
      <c r="M3562" s="4" t="str">
        <f>IF(((E3562)=TRUE),  C3562 &amp; "|" &amp; H3562,  "")</f>
        <v>principal-process-steward|KnowledgeBrokerLinks</v>
      </c>
      <c r="N3562" s="3" t="s">
        <v>10004</v>
      </c>
    </row>
    <row r="3563">
      <c r="A3563" s="3" t="s">
        <v>13565</v>
      </c>
      <c r="B3563" s="4" t="str">
        <f>C3563 &amp; " -&gt; " &amp; D3563</f>
        <v>principal-process-steward -&gt; KnowledgeBrokerLinks.BrokerIsStillEngaged</v>
      </c>
      <c r="C3563" s="3" t="s">
        <v>9772</v>
      </c>
      <c r="D3563" s="3" t="s">
        <v>5757</v>
      </c>
      <c r="E3563" s="3" t="b">
        <v>1</v>
      </c>
      <c r="F3563" s="3" t="b">
        <v>0</v>
      </c>
      <c r="G3563" s="3" t="s">
        <v>10003</v>
      </c>
      <c r="H3563" s="4" t="str">
        <f>_xlfn.IFNA(IF(((INDEX(RulebookFields!C2:C1898, MATCH(D3563,RulebookFields!A2:A1898, 0))="")=TRUE),  "",  INDEX(RulebookFields!C2:C1898, MATCH(D3563,RulebookFields!A2:A1898, 0))), "")</f>
        <v>KnowledgeBrokerLinks</v>
      </c>
      <c r="I3563" s="4" t="str">
        <f>_xlfn.IFNA(IF(((INDEX(RulebookFields!D2:D1898, MATCH(D3563,RulebookFields!A2:A1898, 0))="")=TRUE),  "",  INDEX(RulebookFields!D2:D1898, MATCH(D3563,RulebookFields!A2:A1898, 0))), "")</f>
        <v>BrokerIsStillEngaged</v>
      </c>
      <c r="J3563" s="4" t="b">
        <f>_xlfn.IFNA(IF(((INDEX(RulebookFields!I2:I1898, MATCH(D3563,RulebookFields!A2:A1898, 0))="")=TRUE),  "",  INDEX(RulebookFields!I2:I1898, MATCH(D3563,RulebookFields!A2:A1898, 0))), "")</f>
        <v>1</v>
      </c>
      <c r="K3563" s="4" t="b">
        <f>AND(((F3563)=TRUE), ((J3563)=TRUE))</f>
        <v>0</v>
      </c>
      <c r="L3563" s="4" t="b">
        <f>AND(((G3563 &lt;&gt; "plain")=TRUE), ((G3563 &lt;&gt; "")=TRUE))</f>
        <v>0</v>
      </c>
      <c r="M3563" s="4" t="str">
        <f>IF(((E3563)=TRUE),  C3563 &amp; "|" &amp; H3563,  "")</f>
        <v>principal-process-steward|KnowledgeBrokerLinks</v>
      </c>
      <c r="N3563" s="3" t="s">
        <v>10004</v>
      </c>
    </row>
    <row r="3564">
      <c r="A3564" s="3" t="s">
        <v>13566</v>
      </c>
      <c r="B3564" s="4" t="str">
        <f>C3564 &amp; " -&gt; " &amp; D3564</f>
        <v>principal-process-steward -&gt; KnowledgeBrokerLinks.IsAtRiskReliance</v>
      </c>
      <c r="C3564" s="3" t="s">
        <v>9772</v>
      </c>
      <c r="D3564" s="3" t="s">
        <v>5760</v>
      </c>
      <c r="E3564" s="3" t="b">
        <v>1</v>
      </c>
      <c r="F3564" s="3" t="b">
        <v>0</v>
      </c>
      <c r="G3564" s="3" t="s">
        <v>10003</v>
      </c>
      <c r="H3564" s="4" t="str">
        <f>_xlfn.IFNA(IF(((INDEX(RulebookFields!C2:C1898, MATCH(D3564,RulebookFields!A2:A1898, 0))="")=TRUE),  "",  INDEX(RulebookFields!C2:C1898, MATCH(D3564,RulebookFields!A2:A1898, 0))), "")</f>
        <v>KnowledgeBrokerLinks</v>
      </c>
      <c r="I3564" s="4" t="str">
        <f>_xlfn.IFNA(IF(((INDEX(RulebookFields!D2:D1898, MATCH(D3564,RulebookFields!A2:A1898, 0))="")=TRUE),  "",  INDEX(RulebookFields!D2:D1898, MATCH(D3564,RulebookFields!A2:A1898, 0))), "")</f>
        <v>IsAtRiskReliance</v>
      </c>
      <c r="J3564" s="4" t="b">
        <f>_xlfn.IFNA(IF(((INDEX(RulebookFields!I2:I1898, MATCH(D3564,RulebookFields!A2:A1898, 0))="")=TRUE),  "",  INDEX(RulebookFields!I2:I1898, MATCH(D3564,RulebookFields!A2:A1898, 0))), "")</f>
        <v>1</v>
      </c>
      <c r="K3564" s="4" t="b">
        <f>AND(((F3564)=TRUE), ((J3564)=TRUE))</f>
        <v>0</v>
      </c>
      <c r="L3564" s="4" t="b">
        <f>AND(((G3564 &lt;&gt; "plain")=TRUE), ((G3564 &lt;&gt; "")=TRUE))</f>
        <v>0</v>
      </c>
      <c r="M3564" s="4" t="str">
        <f>IF(((E3564)=TRUE),  C3564 &amp; "|" &amp; H3564,  "")</f>
        <v>principal-process-steward|KnowledgeBrokerLinks</v>
      </c>
      <c r="N3564" s="3" t="s">
        <v>10004</v>
      </c>
    </row>
    <row r="3565">
      <c r="A3565" s="3" t="s">
        <v>13567</v>
      </c>
      <c r="B3565" s="4" t="str">
        <f>C3565 &amp; " -&gt; " &amp; D3565</f>
        <v>principal-process-steward -&gt; KnowledgeBrokerLinks.ActiveRelianceBrokerKey</v>
      </c>
      <c r="C3565" s="3" t="s">
        <v>9772</v>
      </c>
      <c r="D3565" s="3" t="s">
        <v>5763</v>
      </c>
      <c r="E3565" s="3" t="b">
        <v>1</v>
      </c>
      <c r="F3565" s="3" t="b">
        <v>0</v>
      </c>
      <c r="G3565" s="3" t="s">
        <v>10003</v>
      </c>
      <c r="H3565" s="4" t="str">
        <f>_xlfn.IFNA(IF(((INDEX(RulebookFields!C2:C1898, MATCH(D3565,RulebookFields!A2:A1898, 0))="")=TRUE),  "",  INDEX(RulebookFields!C2:C1898, MATCH(D3565,RulebookFields!A2:A1898, 0))), "")</f>
        <v>KnowledgeBrokerLinks</v>
      </c>
      <c r="I3565" s="4" t="str">
        <f>_xlfn.IFNA(IF(((INDEX(RulebookFields!D2:D1898, MATCH(D3565,RulebookFields!A2:A1898, 0))="")=TRUE),  "",  INDEX(RulebookFields!D2:D1898, MATCH(D3565,RulebookFields!A2:A1898, 0))), "")</f>
        <v>ActiveRelianceBrokerKey</v>
      </c>
      <c r="J3565" s="4" t="b">
        <f>_xlfn.IFNA(IF(((INDEX(RulebookFields!I2:I1898, MATCH(D3565,RulebookFields!A2:A1898, 0))="")=TRUE),  "",  INDEX(RulebookFields!I2:I1898, MATCH(D3565,RulebookFields!A2:A1898, 0))), "")</f>
        <v>1</v>
      </c>
      <c r="K3565" s="4" t="b">
        <f>AND(((F3565)=TRUE), ((J3565)=TRUE))</f>
        <v>0</v>
      </c>
      <c r="L3565" s="4" t="b">
        <f>AND(((G3565 &lt;&gt; "plain")=TRUE), ((G3565 &lt;&gt; "")=TRUE))</f>
        <v>0</v>
      </c>
      <c r="M3565" s="4" t="str">
        <f>IF(((E3565)=TRUE),  C3565 &amp; "|" &amp; H3565,  "")</f>
        <v>principal-process-steward|KnowledgeBrokerLinks</v>
      </c>
      <c r="N3565" s="3" t="s">
        <v>10004</v>
      </c>
    </row>
    <row r="3566">
      <c r="A3566" s="3" t="s">
        <v>13568</v>
      </c>
      <c r="B3566" s="4" t="str">
        <f>C3566 &amp; " -&gt; " &amp; D3566</f>
        <v>principal-process-steward -&gt; KnowledgeBrokerLinks.AtRiskBrokerKey</v>
      </c>
      <c r="C3566" s="3" t="s">
        <v>9772</v>
      </c>
      <c r="D3566" s="3" t="s">
        <v>5766</v>
      </c>
      <c r="E3566" s="3" t="b">
        <v>1</v>
      </c>
      <c r="F3566" s="3" t="b">
        <v>0</v>
      </c>
      <c r="G3566" s="3" t="s">
        <v>10003</v>
      </c>
      <c r="H3566" s="4" t="str">
        <f>_xlfn.IFNA(IF(((INDEX(RulebookFields!C2:C1898, MATCH(D3566,RulebookFields!A2:A1898, 0))="")=TRUE),  "",  INDEX(RulebookFields!C2:C1898, MATCH(D3566,RulebookFields!A2:A1898, 0))), "")</f>
        <v>KnowledgeBrokerLinks</v>
      </c>
      <c r="I3566" s="4" t="str">
        <f>_xlfn.IFNA(IF(((INDEX(RulebookFields!D2:D1898, MATCH(D3566,RulebookFields!A2:A1898, 0))="")=TRUE),  "",  INDEX(RulebookFields!D2:D1898, MATCH(D3566,RulebookFields!A2:A1898, 0))), "")</f>
        <v>AtRiskBrokerKey</v>
      </c>
      <c r="J3566" s="4" t="b">
        <f>_xlfn.IFNA(IF(((INDEX(RulebookFields!I2:I1898, MATCH(D3566,RulebookFields!A2:A1898, 0))="")=TRUE),  "",  INDEX(RulebookFields!I2:I1898, MATCH(D3566,RulebookFields!A2:A1898, 0))), "")</f>
        <v>1</v>
      </c>
      <c r="K3566" s="4" t="b">
        <f>AND(((F3566)=TRUE), ((J3566)=TRUE))</f>
        <v>0</v>
      </c>
      <c r="L3566" s="4" t="b">
        <f>AND(((G3566 &lt;&gt; "plain")=TRUE), ((G3566 &lt;&gt; "")=TRUE))</f>
        <v>0</v>
      </c>
      <c r="M3566" s="4" t="str">
        <f>IF(((E3566)=TRUE),  C3566 &amp; "|" &amp; H3566,  "")</f>
        <v>principal-process-steward|KnowledgeBrokerLinks</v>
      </c>
      <c r="N3566" s="3" t="s">
        <v>10004</v>
      </c>
    </row>
    <row r="3567">
      <c r="A3567" s="3" t="s">
        <v>13569</v>
      </c>
      <c r="B3567" s="4" t="str">
        <f>C3567 &amp; " -&gt; " &amp; D3567</f>
        <v>principal-process-steward -&gt; KnowledgeBrokerLinks.SemanticTypeIri</v>
      </c>
      <c r="C3567" s="3" t="s">
        <v>9772</v>
      </c>
      <c r="D3567" s="3" t="s">
        <v>5769</v>
      </c>
      <c r="E3567" s="3" t="b">
        <v>1</v>
      </c>
      <c r="F3567" s="3" t="b">
        <v>0</v>
      </c>
      <c r="G3567" s="3" t="s">
        <v>10003</v>
      </c>
      <c r="H3567" s="4" t="str">
        <f>_xlfn.IFNA(IF(((INDEX(RulebookFields!C2:C1898, MATCH(D3567,RulebookFields!A2:A1898, 0))="")=TRUE),  "",  INDEX(RulebookFields!C2:C1898, MATCH(D3567,RulebookFields!A2:A1898, 0))), "")</f>
        <v>KnowledgeBrokerLinks</v>
      </c>
      <c r="I3567" s="4" t="str">
        <f>_xlfn.IFNA(IF(((INDEX(RulebookFields!D2:D1898, MATCH(D3567,RulebookFields!A2:A1898, 0))="")=TRUE),  "",  INDEX(RulebookFields!D2:D1898, MATCH(D3567,RulebookFields!A2:A1898, 0))), "")</f>
        <v>SemanticTypeIri</v>
      </c>
      <c r="J3567" s="4" t="b">
        <f>_xlfn.IFNA(IF(((INDEX(RulebookFields!I2:I1898, MATCH(D3567,RulebookFields!A2:A1898, 0))="")=TRUE),  "",  INDEX(RulebookFields!I2:I1898, MATCH(D3567,RulebookFields!A2:A1898, 0))), "")</f>
        <v>0</v>
      </c>
      <c r="K3567" s="4" t="b">
        <f>AND(((F3567)=TRUE), ((J3567)=TRUE))</f>
        <v>0</v>
      </c>
      <c r="L3567" s="4" t="b">
        <f>AND(((G3567 &lt;&gt; "plain")=TRUE), ((G3567 &lt;&gt; "")=TRUE))</f>
        <v>0</v>
      </c>
      <c r="M3567" s="4" t="str">
        <f>IF(((E3567)=TRUE),  C3567 &amp; "|" &amp; H3567,  "")</f>
        <v>principal-process-steward|KnowledgeBrokerLinks</v>
      </c>
      <c r="N3567" s="3" t="s">
        <v>10004</v>
      </c>
    </row>
    <row r="3568">
      <c r="A3568" s="3" t="s">
        <v>13570</v>
      </c>
      <c r="B3568" s="4" t="str">
        <f>C3568 &amp; " -&gt; " &amp; D3568</f>
        <v>principal-process-steward -&gt; ProcedureVersions.MiningRunCount</v>
      </c>
      <c r="C3568" s="3" t="s">
        <v>9772</v>
      </c>
      <c r="D3568" s="3" t="s">
        <v>2841</v>
      </c>
      <c r="E3568" s="3" t="b">
        <v>1</v>
      </c>
      <c r="F3568" s="3" t="b">
        <v>0</v>
      </c>
      <c r="G3568" s="3" t="s">
        <v>10003</v>
      </c>
      <c r="H3568" s="4" t="str">
        <f>_xlfn.IFNA(IF(((INDEX(RulebookFields!C2:C1898, MATCH(D3568,RulebookFields!A2:A1898, 0))="")=TRUE),  "",  INDEX(RulebookFields!C2:C1898, MATCH(D3568,RulebookFields!A2:A1898, 0))), "")</f>
        <v>ProcedureVersions</v>
      </c>
      <c r="I3568" s="4" t="str">
        <f>_xlfn.IFNA(IF(((INDEX(RulebookFields!D2:D1898, MATCH(D3568,RulebookFields!A2:A1898, 0))="")=TRUE),  "",  INDEX(RulebookFields!D2:D1898, MATCH(D3568,RulebookFields!A2:A1898, 0))), "")</f>
        <v>MiningRunCount</v>
      </c>
      <c r="J3568" s="4" t="b">
        <f>_xlfn.IFNA(IF(((INDEX(RulebookFields!I2:I1898, MATCH(D3568,RulebookFields!A2:A1898, 0))="")=TRUE),  "",  INDEX(RulebookFields!I2:I1898, MATCH(D3568,RulebookFields!A2:A1898, 0))), "")</f>
        <v>1</v>
      </c>
      <c r="K3568" s="4" t="b">
        <f>AND(((F3568)=TRUE), ((J3568)=TRUE))</f>
        <v>0</v>
      </c>
      <c r="L3568" s="4" t="b">
        <f>AND(((G3568 &lt;&gt; "plain")=TRUE), ((G3568 &lt;&gt; "")=TRUE))</f>
        <v>0</v>
      </c>
      <c r="M3568" s="4" t="str">
        <f>IF(((E3568)=TRUE),  C3568 &amp; "|" &amp; H3568,  "")</f>
        <v>principal-process-steward|ProcedureVersions</v>
      </c>
      <c r="N3568" s="3" t="s">
        <v>10004</v>
      </c>
    </row>
    <row r="3569">
      <c r="A3569" s="3" t="s">
        <v>13571</v>
      </c>
      <c r="B3569" s="4" t="str">
        <f>C3569 &amp; " -&gt; " &amp; D3569</f>
        <v>principal-process-steward -&gt; ProcedureVersions.DriftedMiningRunCount</v>
      </c>
      <c r="C3569" s="3" t="s">
        <v>9772</v>
      </c>
      <c r="D3569" s="3" t="s">
        <v>2843</v>
      </c>
      <c r="E3569" s="3" t="b">
        <v>1</v>
      </c>
      <c r="F3569" s="3" t="b">
        <v>0</v>
      </c>
      <c r="G3569" s="3" t="s">
        <v>10003</v>
      </c>
      <c r="H3569" s="4" t="str">
        <f>_xlfn.IFNA(IF(((INDEX(RulebookFields!C2:C1898, MATCH(D3569,RulebookFields!A2:A1898, 0))="")=TRUE),  "",  INDEX(RulebookFields!C2:C1898, MATCH(D3569,RulebookFields!A2:A1898, 0))), "")</f>
        <v>ProcedureVersions</v>
      </c>
      <c r="I3569" s="4" t="str">
        <f>_xlfn.IFNA(IF(((INDEX(RulebookFields!D2:D1898, MATCH(D3569,RulebookFields!A2:A1898, 0))="")=TRUE),  "",  INDEX(RulebookFields!D2:D1898, MATCH(D3569,RulebookFields!A2:A1898, 0))), "")</f>
        <v>DriftedMiningRunCount</v>
      </c>
      <c r="J3569" s="4" t="b">
        <f>_xlfn.IFNA(IF(((INDEX(RulebookFields!I2:I1898, MATCH(D3569,RulebookFields!A2:A1898, 0))="")=TRUE),  "",  INDEX(RulebookFields!I2:I1898, MATCH(D3569,RulebookFields!A2:A1898, 0))), "")</f>
        <v>1</v>
      </c>
      <c r="K3569" s="4" t="b">
        <f>AND(((F3569)=TRUE), ((J3569)=TRUE))</f>
        <v>0</v>
      </c>
      <c r="L3569" s="4" t="b">
        <f>AND(((G3569 &lt;&gt; "plain")=TRUE), ((G3569 &lt;&gt; "")=TRUE))</f>
        <v>0</v>
      </c>
      <c r="M3569" s="4" t="str">
        <f>IF(((E3569)=TRUE),  C3569 &amp; "|" &amp; H3569,  "")</f>
        <v>principal-process-steward|ProcedureVersions</v>
      </c>
      <c r="N3569" s="3" t="s">
        <v>10004</v>
      </c>
    </row>
    <row r="3570">
      <c r="A3570" s="3" t="s">
        <v>13572</v>
      </c>
      <c r="B3570" s="4" t="str">
        <f>C3570 &amp; " -&gt; " &amp; D3570</f>
        <v>principal-process-steward -&gt; ProcedureVersions.HasUnresolvedMiningDrift</v>
      </c>
      <c r="C3570" s="3" t="s">
        <v>9772</v>
      </c>
      <c r="D3570" s="3" t="s">
        <v>2845</v>
      </c>
      <c r="E3570" s="3" t="b">
        <v>1</v>
      </c>
      <c r="F3570" s="3" t="b">
        <v>0</v>
      </c>
      <c r="G3570" s="3" t="s">
        <v>10003</v>
      </c>
      <c r="H3570" s="4" t="str">
        <f>_xlfn.IFNA(IF(((INDEX(RulebookFields!C2:C1898, MATCH(D3570,RulebookFields!A2:A1898, 0))="")=TRUE),  "",  INDEX(RulebookFields!C2:C1898, MATCH(D3570,RulebookFields!A2:A1898, 0))), "")</f>
        <v>ProcedureVersions</v>
      </c>
      <c r="I3570" s="4" t="str">
        <f>_xlfn.IFNA(IF(((INDEX(RulebookFields!D2:D1898, MATCH(D3570,RulebookFields!A2:A1898, 0))="")=TRUE),  "",  INDEX(RulebookFields!D2:D1898, MATCH(D3570,RulebookFields!A2:A1898, 0))), "")</f>
        <v>HasUnresolvedMiningDrift</v>
      </c>
      <c r="J3570" s="4" t="b">
        <f>_xlfn.IFNA(IF(((INDEX(RulebookFields!I2:I1898, MATCH(D3570,RulebookFields!A2:A1898, 0))="")=TRUE),  "",  INDEX(RulebookFields!I2:I1898, MATCH(D3570,RulebookFields!A2:A1898, 0))), "")</f>
        <v>1</v>
      </c>
      <c r="K3570" s="4" t="b">
        <f>AND(((F3570)=TRUE), ((J3570)=TRUE))</f>
        <v>0</v>
      </c>
      <c r="L3570" s="4" t="b">
        <f>AND(((G3570 &lt;&gt; "plain")=TRUE), ((G3570 &lt;&gt; "")=TRUE))</f>
        <v>0</v>
      </c>
      <c r="M3570" s="4" t="str">
        <f>IF(((E3570)=TRUE),  C3570 &amp; "|" &amp; H3570,  "")</f>
        <v>principal-process-steward|ProcedureVersions</v>
      </c>
      <c r="N3570" s="3" t="s">
        <v>10004</v>
      </c>
    </row>
    <row r="3571">
      <c r="A3571" s="3" t="s">
        <v>13573</v>
      </c>
      <c r="B3571" s="4" t="str">
        <f>C3571 &amp; " -&gt; " &amp; D3571</f>
        <v>principal-process-steward -&gt; Requirements.ControlledTerm</v>
      </c>
      <c r="C3571" s="3" t="s">
        <v>9772</v>
      </c>
      <c r="D3571" s="3" t="s">
        <v>3114</v>
      </c>
      <c r="E3571" s="3" t="b">
        <v>1</v>
      </c>
      <c r="F3571" s="3" t="b">
        <v>0</v>
      </c>
      <c r="G3571" s="3" t="s">
        <v>10003</v>
      </c>
      <c r="H3571" s="4" t="str">
        <f>_xlfn.IFNA(IF(((INDEX(RulebookFields!C2:C1898, MATCH(D3571,RulebookFields!A2:A1898, 0))="")=TRUE),  "",  INDEX(RulebookFields!C2:C1898, MATCH(D3571,RulebookFields!A2:A1898, 0))), "")</f>
        <v>Requirements</v>
      </c>
      <c r="I3571" s="4" t="str">
        <f>_xlfn.IFNA(IF(((INDEX(RulebookFields!D2:D1898, MATCH(D3571,RulebookFields!A2:A1898, 0))="")=TRUE),  "",  INDEX(RulebookFields!D2:D1898, MATCH(D3571,RulebookFields!A2:A1898, 0))), "")</f>
        <v>ControlledTerm</v>
      </c>
      <c r="J3571" s="4" t="b">
        <f>_xlfn.IFNA(IF(((INDEX(RulebookFields!I2:I1898, MATCH(D3571,RulebookFields!A2:A1898, 0))="")=TRUE),  "",  INDEX(RulebookFields!I2:I1898, MATCH(D3571,RulebookFields!A2:A1898, 0))), "")</f>
        <v>0</v>
      </c>
      <c r="K3571" s="4" t="b">
        <f>AND(((F3571)=TRUE), ((J3571)=TRUE))</f>
        <v>0</v>
      </c>
      <c r="L3571" s="4" t="b">
        <f>AND(((G3571 &lt;&gt; "plain")=TRUE), ((G3571 &lt;&gt; "")=TRUE))</f>
        <v>0</v>
      </c>
      <c r="M3571" s="4" t="str">
        <f>IF(((E3571)=TRUE),  C3571 &amp; "|" &amp; H3571,  "")</f>
        <v>principal-process-steward|Requirements</v>
      </c>
      <c r="N3571" s="3" t="s">
        <v>10004</v>
      </c>
    </row>
    <row r="3572">
      <c r="A3572" s="3" t="s">
        <v>13574</v>
      </c>
      <c r="B3572" s="4" t="str">
        <f>C3572 &amp; " -&gt; " &amp; D3572</f>
        <v>principal-process-steward -&gt; Requirements.UsesControlledVocabulary</v>
      </c>
      <c r="C3572" s="3" t="s">
        <v>9772</v>
      </c>
      <c r="D3572" s="3" t="s">
        <v>3115</v>
      </c>
      <c r="E3572" s="3" t="b">
        <v>1</v>
      </c>
      <c r="F3572" s="3" t="b">
        <v>0</v>
      </c>
      <c r="G3572" s="3" t="s">
        <v>10003</v>
      </c>
      <c r="H3572" s="4" t="str">
        <f>_xlfn.IFNA(IF(((INDEX(RulebookFields!C2:C1898, MATCH(D3572,RulebookFields!A2:A1898, 0))="")=TRUE),  "",  INDEX(RulebookFields!C2:C1898, MATCH(D3572,RulebookFields!A2:A1898, 0))), "")</f>
        <v>Requirements</v>
      </c>
      <c r="I3572" s="4" t="str">
        <f>_xlfn.IFNA(IF(((INDEX(RulebookFields!D2:D1898, MATCH(D3572,RulebookFields!A2:A1898, 0))="")=TRUE),  "",  INDEX(RulebookFields!D2:D1898, MATCH(D3572,RulebookFields!A2:A1898, 0))), "")</f>
        <v>UsesControlledVocabulary</v>
      </c>
      <c r="J3572" s="4" t="b">
        <f>_xlfn.IFNA(IF(((INDEX(RulebookFields!I2:I1898, MATCH(D3572,RulebookFields!A2:A1898, 0))="")=TRUE),  "",  INDEX(RulebookFields!I2:I1898, MATCH(D3572,RulebookFields!A2:A1898, 0))), "")</f>
        <v>1</v>
      </c>
      <c r="K3572" s="4" t="b">
        <f>AND(((F3572)=TRUE), ((J3572)=TRUE))</f>
        <v>0</v>
      </c>
      <c r="L3572" s="4" t="b">
        <f>AND(((G3572 &lt;&gt; "plain")=TRUE), ((G3572 &lt;&gt; "")=TRUE))</f>
        <v>0</v>
      </c>
      <c r="M3572" s="4" t="str">
        <f>IF(((E3572)=TRUE),  C3572 &amp; "|" &amp; H3572,  "")</f>
        <v>principal-process-steward|Requirements</v>
      </c>
      <c r="N3572" s="3" t="s">
        <v>10004</v>
      </c>
    </row>
    <row r="3573">
      <c r="A3573" s="3" t="s">
        <v>13575</v>
      </c>
      <c r="B3573" s="4" t="str">
        <f>C3573 &amp; " -&gt; " &amp; D3573</f>
        <v>principal-process-steward -&gt; Agents.TimesNamedAsBroker</v>
      </c>
      <c r="C3573" s="3" t="s">
        <v>9772</v>
      </c>
      <c r="D3573" s="3" t="s">
        <v>2493</v>
      </c>
      <c r="E3573" s="3" t="b">
        <v>1</v>
      </c>
      <c r="F3573" s="3" t="b">
        <v>0</v>
      </c>
      <c r="G3573" s="3" t="s">
        <v>10003</v>
      </c>
      <c r="H3573" s="4" t="str">
        <f>_xlfn.IFNA(IF(((INDEX(RulebookFields!C2:C1898, MATCH(D3573,RulebookFields!A2:A1898, 0))="")=TRUE),  "",  INDEX(RulebookFields!C2:C1898, MATCH(D3573,RulebookFields!A2:A1898, 0))), "")</f>
        <v>Agents</v>
      </c>
      <c r="I3573" s="4" t="str">
        <f>_xlfn.IFNA(IF(((INDEX(RulebookFields!D2:D1898, MATCH(D3573,RulebookFields!A2:A1898, 0))="")=TRUE),  "",  INDEX(RulebookFields!D2:D1898, MATCH(D3573,RulebookFields!A2:A1898, 0))), "")</f>
        <v>TimesNamedAsBroker</v>
      </c>
      <c r="J3573" s="4" t="b">
        <f>_xlfn.IFNA(IF(((INDEX(RulebookFields!I2:I1898, MATCH(D3573,RulebookFields!A2:A1898, 0))="")=TRUE),  "",  INDEX(RulebookFields!I2:I1898, MATCH(D3573,RulebookFields!A2:A1898, 0))), "")</f>
        <v>1</v>
      </c>
      <c r="K3573" s="4" t="b">
        <f>AND(((F3573)=TRUE), ((J3573)=TRUE))</f>
        <v>0</v>
      </c>
      <c r="L3573" s="4" t="b">
        <f>AND(((G3573 &lt;&gt; "plain")=TRUE), ((G3573 &lt;&gt; "")=TRUE))</f>
        <v>0</v>
      </c>
      <c r="M3573" s="4" t="str">
        <f>IF(((E3573)=TRUE),  C3573 &amp; "|" &amp; H3573,  "")</f>
        <v>principal-process-steward|Agents</v>
      </c>
      <c r="N3573" s="3" t="s">
        <v>10004</v>
      </c>
    </row>
    <row r="3574">
      <c r="A3574" s="3" t="s">
        <v>13576</v>
      </c>
      <c r="B3574" s="4" t="str">
        <f>C3574 &amp; " -&gt; " &amp; D3574</f>
        <v>principal-process-steward -&gt; Agents.IsRecognizedBroker</v>
      </c>
      <c r="C3574" s="3" t="s">
        <v>9772</v>
      </c>
      <c r="D3574" s="3" t="s">
        <v>2495</v>
      </c>
      <c r="E3574" s="3" t="b">
        <v>1</v>
      </c>
      <c r="F3574" s="3" t="b">
        <v>0</v>
      </c>
      <c r="G3574" s="3" t="s">
        <v>10003</v>
      </c>
      <c r="H3574" s="4" t="str">
        <f>_xlfn.IFNA(IF(((INDEX(RulebookFields!C2:C1898, MATCH(D3574,RulebookFields!A2:A1898, 0))="")=TRUE),  "",  INDEX(RulebookFields!C2:C1898, MATCH(D3574,RulebookFields!A2:A1898, 0))), "")</f>
        <v>Agents</v>
      </c>
      <c r="I3574" s="4" t="str">
        <f>_xlfn.IFNA(IF(((INDEX(RulebookFields!D2:D1898, MATCH(D3574,RulebookFields!A2:A1898, 0))="")=TRUE),  "",  INDEX(RulebookFields!D2:D1898, MATCH(D3574,RulebookFields!A2:A1898, 0))), "")</f>
        <v>IsRecognizedBroker</v>
      </c>
      <c r="J3574" s="4" t="b">
        <f>_xlfn.IFNA(IF(((INDEX(RulebookFields!I2:I1898, MATCH(D3574,RulebookFields!A2:A1898, 0))="")=TRUE),  "",  INDEX(RulebookFields!I2:I1898, MATCH(D3574,RulebookFields!A2:A1898, 0))), "")</f>
        <v>1</v>
      </c>
      <c r="K3574" s="4" t="b">
        <f>AND(((F3574)=TRUE), ((J3574)=TRUE))</f>
        <v>0</v>
      </c>
      <c r="L3574" s="4" t="b">
        <f>AND(((G3574 &lt;&gt; "plain")=TRUE), ((G3574 &lt;&gt; "")=TRUE))</f>
        <v>0</v>
      </c>
      <c r="M3574" s="4" t="str">
        <f>IF(((E3574)=TRUE),  C3574 &amp; "|" &amp; H3574,  "")</f>
        <v>principal-process-steward|Agents</v>
      </c>
      <c r="N3574" s="3" t="s">
        <v>10004</v>
      </c>
    </row>
    <row r="3575">
      <c r="A3575" s="3" t="s">
        <v>13577</v>
      </c>
      <c r="B3575" s="4" t="str">
        <f>C3575 &amp; " -&gt; " &amp; D3575</f>
        <v>principal-process-steward -&gt; Agents.AtRiskRelianceCount</v>
      </c>
      <c r="C3575" s="3" t="s">
        <v>9772</v>
      </c>
      <c r="D3575" s="3" t="s">
        <v>2497</v>
      </c>
      <c r="E3575" s="3" t="b">
        <v>1</v>
      </c>
      <c r="F3575" s="3" t="b">
        <v>0</v>
      </c>
      <c r="G3575" s="3" t="s">
        <v>10003</v>
      </c>
      <c r="H3575" s="4" t="str">
        <f>_xlfn.IFNA(IF(((INDEX(RulebookFields!C2:C1898, MATCH(D3575,RulebookFields!A2:A1898, 0))="")=TRUE),  "",  INDEX(RulebookFields!C2:C1898, MATCH(D3575,RulebookFields!A2:A1898, 0))), "")</f>
        <v>Agents</v>
      </c>
      <c r="I3575" s="4" t="str">
        <f>_xlfn.IFNA(IF(((INDEX(RulebookFields!D2:D1898, MATCH(D3575,RulebookFields!A2:A1898, 0))="")=TRUE),  "",  INDEX(RulebookFields!D2:D1898, MATCH(D3575,RulebookFields!A2:A1898, 0))), "")</f>
        <v>AtRiskRelianceCount</v>
      </c>
      <c r="J3575" s="4" t="b">
        <f>_xlfn.IFNA(IF(((INDEX(RulebookFields!I2:I1898, MATCH(D3575,RulebookFields!A2:A1898, 0))="")=TRUE),  "",  INDEX(RulebookFields!I2:I1898, MATCH(D3575,RulebookFields!A2:A1898, 0))), "")</f>
        <v>1</v>
      </c>
      <c r="K3575" s="4" t="b">
        <f>AND(((F3575)=TRUE), ((J3575)=TRUE))</f>
        <v>0</v>
      </c>
      <c r="L3575" s="4" t="b">
        <f>AND(((G3575 &lt;&gt; "plain")=TRUE), ((G3575 &lt;&gt; "")=TRUE))</f>
        <v>0</v>
      </c>
      <c r="M3575" s="4" t="str">
        <f>IF(((E3575)=TRUE),  C3575 &amp; "|" &amp; H3575,  "")</f>
        <v>principal-process-steward|Agents</v>
      </c>
      <c r="N3575" s="3" t="s">
        <v>10004</v>
      </c>
    </row>
    <row r="3576">
      <c r="A3576" s="3" t="s">
        <v>13578</v>
      </c>
      <c r="B3576" s="4" t="str">
        <f>C3576 &amp; " -&gt; " &amp; D3576</f>
        <v>principal-process-steward -&gt; Agents.HasAtRiskKnowledgeReliance</v>
      </c>
      <c r="C3576" s="3" t="s">
        <v>9772</v>
      </c>
      <c r="D3576" s="3" t="s">
        <v>2499</v>
      </c>
      <c r="E3576" s="3" t="b">
        <v>1</v>
      </c>
      <c r="F3576" s="3" t="b">
        <v>0</v>
      </c>
      <c r="G3576" s="3" t="s">
        <v>10003</v>
      </c>
      <c r="H3576" s="4" t="str">
        <f>_xlfn.IFNA(IF(((INDEX(RulebookFields!C2:C1898, MATCH(D3576,RulebookFields!A2:A1898, 0))="")=TRUE),  "",  INDEX(RulebookFields!C2:C1898, MATCH(D3576,RulebookFields!A2:A1898, 0))), "")</f>
        <v>Agents</v>
      </c>
      <c r="I3576" s="4" t="str">
        <f>_xlfn.IFNA(IF(((INDEX(RulebookFields!D2:D1898, MATCH(D3576,RulebookFields!A2:A1898, 0))="")=TRUE),  "",  INDEX(RulebookFields!D2:D1898, MATCH(D3576,RulebookFields!A2:A1898, 0))), "")</f>
        <v>HasAtRiskKnowledgeReliance</v>
      </c>
      <c r="J3576" s="4" t="b">
        <f>_xlfn.IFNA(IF(((INDEX(RulebookFields!I2:I1898, MATCH(D3576,RulebookFields!A2:A1898, 0))="")=TRUE),  "",  INDEX(RulebookFields!I2:I1898, MATCH(D3576,RulebookFields!A2:A1898, 0))), "")</f>
        <v>1</v>
      </c>
      <c r="K3576" s="4" t="b">
        <f>AND(((F3576)=TRUE), ((J3576)=TRUE))</f>
        <v>0</v>
      </c>
      <c r="L3576" s="4" t="b">
        <f>AND(((G3576 &lt;&gt; "plain")=TRUE), ((G3576 &lt;&gt; "")=TRUE))</f>
        <v>0</v>
      </c>
      <c r="M3576" s="4" t="str">
        <f>IF(((E3576)=TRUE),  C3576 &amp; "|" &amp; H3576,  "")</f>
        <v>principal-process-steward|Agents</v>
      </c>
      <c r="N3576" s="3" t="s">
        <v>10004</v>
      </c>
    </row>
    <row r="3577">
      <c r="A3577" s="3" t="s">
        <v>13579</v>
      </c>
      <c r="B3577" s="4" t="str">
        <f>C3577 &amp; " -&gt; " &amp; D3577</f>
        <v>principal-knowledge-authority -&gt; ProcessMiningRuns.ProcessMiningRunId</v>
      </c>
      <c r="C3577" s="3" t="s">
        <v>9774</v>
      </c>
      <c r="D3577" s="3" t="s">
        <v>5653</v>
      </c>
      <c r="E3577" s="3" t="b">
        <v>1</v>
      </c>
      <c r="F3577" s="3" t="b">
        <v>0</v>
      </c>
      <c r="G3577" s="3" t="s">
        <v>10003</v>
      </c>
      <c r="H3577" s="4" t="str">
        <f>_xlfn.IFNA(IF(((INDEX(RulebookFields!C2:C1898, MATCH(D3577,RulebookFields!A2:A1898, 0))="")=TRUE),  "",  INDEX(RulebookFields!C2:C1898, MATCH(D3577,RulebookFields!A2:A1898, 0))), "")</f>
        <v>ProcessMiningRuns</v>
      </c>
      <c r="I3577" s="4" t="str">
        <f>_xlfn.IFNA(IF(((INDEX(RulebookFields!D2:D1898, MATCH(D3577,RulebookFields!A2:A1898, 0))="")=TRUE),  "",  INDEX(RulebookFields!D2:D1898, MATCH(D3577,RulebookFields!A2:A1898, 0))), "")</f>
        <v>ProcessMiningRunId</v>
      </c>
      <c r="J3577" s="4" t="b">
        <f>_xlfn.IFNA(IF(((INDEX(RulebookFields!I2:I1898, MATCH(D3577,RulebookFields!A2:A1898, 0))="")=TRUE),  "",  INDEX(RulebookFields!I2:I1898, MATCH(D3577,RulebookFields!A2:A1898, 0))), "")</f>
        <v>0</v>
      </c>
      <c r="K3577" s="4" t="b">
        <f>AND(((F3577)=TRUE), ((J3577)=TRUE))</f>
        <v>0</v>
      </c>
      <c r="L3577" s="4" t="b">
        <f>AND(((G3577 &lt;&gt; "plain")=TRUE), ((G3577 &lt;&gt; "")=TRUE))</f>
        <v>0</v>
      </c>
      <c r="M3577" s="4" t="str">
        <f>IF(((E3577)=TRUE),  C3577 &amp; "|" &amp; H3577,  "")</f>
        <v>principal-knowledge-authority|ProcessMiningRuns</v>
      </c>
      <c r="N3577" s="3" t="s">
        <v>10004</v>
      </c>
    </row>
    <row r="3578">
      <c r="A3578" s="3" t="s">
        <v>13580</v>
      </c>
      <c r="B3578" s="4" t="str">
        <f>C3578 &amp; " -&gt; " &amp; D3578</f>
        <v>principal-knowledge-authority -&gt; ProcessMiningRuns.Name</v>
      </c>
      <c r="C3578" s="3" t="s">
        <v>9774</v>
      </c>
      <c r="D3578" s="3" t="s">
        <v>5655</v>
      </c>
      <c r="E3578" s="3" t="b">
        <v>1</v>
      </c>
      <c r="F3578" s="3" t="b">
        <v>0</v>
      </c>
      <c r="G3578" s="3" t="s">
        <v>10003</v>
      </c>
      <c r="H3578" s="4" t="str">
        <f>_xlfn.IFNA(IF(((INDEX(RulebookFields!C2:C1898, MATCH(D3578,RulebookFields!A2:A1898, 0))="")=TRUE),  "",  INDEX(RulebookFields!C2:C1898, MATCH(D3578,RulebookFields!A2:A1898, 0))), "")</f>
        <v>ProcessMiningRuns</v>
      </c>
      <c r="I3578" s="4" t="str">
        <f>_xlfn.IFNA(IF(((INDEX(RulebookFields!D2:D1898, MATCH(D3578,RulebookFields!A2:A1898, 0))="")=TRUE),  "",  INDEX(RulebookFields!D2:D1898, MATCH(D3578,RulebookFields!A2:A1898, 0))), "")</f>
        <v>Name</v>
      </c>
      <c r="J3578" s="4" t="b">
        <f>_xlfn.IFNA(IF(((INDEX(RulebookFields!I2:I1898, MATCH(D3578,RulebookFields!A2:A1898, 0))="")=TRUE),  "",  INDEX(RulebookFields!I2:I1898, MATCH(D3578,RulebookFields!A2:A1898, 0))), "")</f>
        <v>1</v>
      </c>
      <c r="K3578" s="4" t="b">
        <f>AND(((F3578)=TRUE), ((J3578)=TRUE))</f>
        <v>0</v>
      </c>
      <c r="L3578" s="4" t="b">
        <f>AND(((G3578 &lt;&gt; "plain")=TRUE), ((G3578 &lt;&gt; "")=TRUE))</f>
        <v>0</v>
      </c>
      <c r="M3578" s="4" t="str">
        <f>IF(((E3578)=TRUE),  C3578 &amp; "|" &amp; H3578,  "")</f>
        <v>principal-knowledge-authority|ProcessMiningRuns</v>
      </c>
      <c r="N3578" s="3" t="s">
        <v>10004</v>
      </c>
    </row>
    <row r="3579">
      <c r="A3579" s="3" t="s">
        <v>13581</v>
      </c>
      <c r="B3579" s="4" t="str">
        <f>C3579 &amp; " -&gt; " &amp; D3579</f>
        <v>principal-knowledge-authority -&gt; ProcessMiningRuns.ProcedureVersion</v>
      </c>
      <c r="C3579" s="3" t="s">
        <v>9774</v>
      </c>
      <c r="D3579" s="3" t="s">
        <v>5657</v>
      </c>
      <c r="E3579" s="3" t="b">
        <v>1</v>
      </c>
      <c r="F3579" s="3" t="b">
        <v>0</v>
      </c>
      <c r="G3579" s="3" t="s">
        <v>10003</v>
      </c>
      <c r="H3579" s="4" t="str">
        <f>_xlfn.IFNA(IF(((INDEX(RulebookFields!C2:C1898, MATCH(D3579,RulebookFields!A2:A1898, 0))="")=TRUE),  "",  INDEX(RulebookFields!C2:C1898, MATCH(D3579,RulebookFields!A2:A1898, 0))), "")</f>
        <v>ProcessMiningRuns</v>
      </c>
      <c r="I3579" s="4" t="str">
        <f>_xlfn.IFNA(IF(((INDEX(RulebookFields!D2:D1898, MATCH(D3579,RulebookFields!A2:A1898, 0))="")=TRUE),  "",  INDEX(RulebookFields!D2:D1898, MATCH(D3579,RulebookFields!A2:A1898, 0))), "")</f>
        <v>ProcedureVersion</v>
      </c>
      <c r="J3579" s="4" t="b">
        <f>_xlfn.IFNA(IF(((INDEX(RulebookFields!I2:I1898, MATCH(D3579,RulebookFields!A2:A1898, 0))="")=TRUE),  "",  INDEX(RulebookFields!I2:I1898, MATCH(D3579,RulebookFields!A2:A1898, 0))), "")</f>
        <v>0</v>
      </c>
      <c r="K3579" s="4" t="b">
        <f>AND(((F3579)=TRUE), ((J3579)=TRUE))</f>
        <v>0</v>
      </c>
      <c r="L3579" s="4" t="b">
        <f>AND(((G3579 &lt;&gt; "plain")=TRUE), ((G3579 &lt;&gt; "")=TRUE))</f>
        <v>0</v>
      </c>
      <c r="M3579" s="4" t="str">
        <f>IF(((E3579)=TRUE),  C3579 &amp; "|" &amp; H3579,  "")</f>
        <v>principal-knowledge-authority|ProcessMiningRuns</v>
      </c>
      <c r="N3579" s="3" t="s">
        <v>10004</v>
      </c>
    </row>
    <row r="3580">
      <c r="A3580" s="3" t="s">
        <v>13582</v>
      </c>
      <c r="B3580" s="4" t="str">
        <f>C3580 &amp; " -&gt; " &amp; D3580</f>
        <v>principal-knowledge-authority -&gt; ProcessMiningRuns.EventLogSource</v>
      </c>
      <c r="C3580" s="3" t="s">
        <v>9774</v>
      </c>
      <c r="D3580" s="3" t="s">
        <v>5658</v>
      </c>
      <c r="E3580" s="3" t="b">
        <v>1</v>
      </c>
      <c r="F3580" s="3" t="b">
        <v>0</v>
      </c>
      <c r="G3580" s="3" t="s">
        <v>10003</v>
      </c>
      <c r="H3580" s="4" t="str">
        <f>_xlfn.IFNA(IF(((INDEX(RulebookFields!C2:C1898, MATCH(D3580,RulebookFields!A2:A1898, 0))="")=TRUE),  "",  INDEX(RulebookFields!C2:C1898, MATCH(D3580,RulebookFields!A2:A1898, 0))), "")</f>
        <v>ProcessMiningRuns</v>
      </c>
      <c r="I3580" s="4" t="str">
        <f>_xlfn.IFNA(IF(((INDEX(RulebookFields!D2:D1898, MATCH(D3580,RulebookFields!A2:A1898, 0))="")=TRUE),  "",  INDEX(RulebookFields!D2:D1898, MATCH(D3580,RulebookFields!A2:A1898, 0))), "")</f>
        <v>EventLogSource</v>
      </c>
      <c r="J3580" s="4" t="b">
        <f>_xlfn.IFNA(IF(((INDEX(RulebookFields!I2:I1898, MATCH(D3580,RulebookFields!A2:A1898, 0))="")=TRUE),  "",  INDEX(RulebookFields!I2:I1898, MATCH(D3580,RulebookFields!A2:A1898, 0))), "")</f>
        <v>0</v>
      </c>
      <c r="K3580" s="4" t="b">
        <f>AND(((F3580)=TRUE), ((J3580)=TRUE))</f>
        <v>0</v>
      </c>
      <c r="L3580" s="4" t="b">
        <f>AND(((G3580 &lt;&gt; "plain")=TRUE), ((G3580 &lt;&gt; "")=TRUE))</f>
        <v>0</v>
      </c>
      <c r="M3580" s="4" t="str">
        <f>IF(((E3580)=TRUE),  C3580 &amp; "|" &amp; H3580,  "")</f>
        <v>principal-knowledge-authority|ProcessMiningRuns</v>
      </c>
      <c r="N3580" s="3" t="s">
        <v>10004</v>
      </c>
    </row>
    <row r="3581">
      <c r="A3581" s="3" t="s">
        <v>13583</v>
      </c>
      <c r="B3581" s="4" t="str">
        <f>C3581 &amp; " -&gt; " &amp; D3581</f>
        <v>principal-knowledge-authority -&gt; ProcessMiningRuns.MinedAt</v>
      </c>
      <c r="C3581" s="3" t="s">
        <v>9774</v>
      </c>
      <c r="D3581" s="3" t="s">
        <v>5660</v>
      </c>
      <c r="E3581" s="3" t="b">
        <v>1</v>
      </c>
      <c r="F3581" s="3" t="b">
        <v>0</v>
      </c>
      <c r="G3581" s="3" t="s">
        <v>10003</v>
      </c>
      <c r="H3581" s="4" t="str">
        <f>_xlfn.IFNA(IF(((INDEX(RulebookFields!C2:C1898, MATCH(D3581,RulebookFields!A2:A1898, 0))="")=TRUE),  "",  INDEX(RulebookFields!C2:C1898, MATCH(D3581,RulebookFields!A2:A1898, 0))), "")</f>
        <v>ProcessMiningRuns</v>
      </c>
      <c r="I3581" s="4" t="str">
        <f>_xlfn.IFNA(IF(((INDEX(RulebookFields!D2:D1898, MATCH(D3581,RulebookFields!A2:A1898, 0))="")=TRUE),  "",  INDEX(RulebookFields!D2:D1898, MATCH(D3581,RulebookFields!A2:A1898, 0))), "")</f>
        <v>MinedAt</v>
      </c>
      <c r="J3581" s="4" t="b">
        <f>_xlfn.IFNA(IF(((INDEX(RulebookFields!I2:I1898, MATCH(D3581,RulebookFields!A2:A1898, 0))="")=TRUE),  "",  INDEX(RulebookFields!I2:I1898, MATCH(D3581,RulebookFields!A2:A1898, 0))), "")</f>
        <v>0</v>
      </c>
      <c r="K3581" s="4" t="b">
        <f>AND(((F3581)=TRUE), ((J3581)=TRUE))</f>
        <v>0</v>
      </c>
      <c r="L3581" s="4" t="b">
        <f>AND(((G3581 &lt;&gt; "plain")=TRUE), ((G3581 &lt;&gt; "")=TRUE))</f>
        <v>0</v>
      </c>
      <c r="M3581" s="4" t="str">
        <f>IF(((E3581)=TRUE),  C3581 &amp; "|" &amp; H3581,  "")</f>
        <v>principal-knowledge-authority|ProcessMiningRuns</v>
      </c>
      <c r="N3581" s="3" t="s">
        <v>10004</v>
      </c>
    </row>
    <row r="3582">
      <c r="A3582" s="3" t="s">
        <v>13584</v>
      </c>
      <c r="B3582" s="4" t="str">
        <f>C3582 &amp; " -&gt; " &amp; D3582</f>
        <v>principal-knowledge-authority -&gt; ProcessMiningRuns.DiscoveredVariantCount</v>
      </c>
      <c r="C3582" s="3" t="s">
        <v>9774</v>
      </c>
      <c r="D3582" s="3" t="s">
        <v>5662</v>
      </c>
      <c r="E3582" s="3" t="b">
        <v>1</v>
      </c>
      <c r="F3582" s="3" t="b">
        <v>0</v>
      </c>
      <c r="G3582" s="3" t="s">
        <v>10003</v>
      </c>
      <c r="H3582" s="4" t="str">
        <f>_xlfn.IFNA(IF(((INDEX(RulebookFields!C2:C1898, MATCH(D3582,RulebookFields!A2:A1898, 0))="")=TRUE),  "",  INDEX(RulebookFields!C2:C1898, MATCH(D3582,RulebookFields!A2:A1898, 0))), "")</f>
        <v>ProcessMiningRuns</v>
      </c>
      <c r="I3582" s="4" t="str">
        <f>_xlfn.IFNA(IF(((INDEX(RulebookFields!D2:D1898, MATCH(D3582,RulebookFields!A2:A1898, 0))="")=TRUE),  "",  INDEX(RulebookFields!D2:D1898, MATCH(D3582,RulebookFields!A2:A1898, 0))), "")</f>
        <v>DiscoveredVariantCount</v>
      </c>
      <c r="J3582" s="4" t="b">
        <f>_xlfn.IFNA(IF(((INDEX(RulebookFields!I2:I1898, MATCH(D3582,RulebookFields!A2:A1898, 0))="")=TRUE),  "",  INDEX(RulebookFields!I2:I1898, MATCH(D3582,RulebookFields!A2:A1898, 0))), "")</f>
        <v>0</v>
      </c>
      <c r="K3582" s="4" t="b">
        <f>AND(((F3582)=TRUE), ((J3582)=TRUE))</f>
        <v>0</v>
      </c>
      <c r="L3582" s="4" t="b">
        <f>AND(((G3582 &lt;&gt; "plain")=TRUE), ((G3582 &lt;&gt; "")=TRUE))</f>
        <v>0</v>
      </c>
      <c r="M3582" s="4" t="str">
        <f>IF(((E3582)=TRUE),  C3582 &amp; "|" &amp; H3582,  "")</f>
        <v>principal-knowledge-authority|ProcessMiningRuns</v>
      </c>
      <c r="N3582" s="3" t="s">
        <v>10004</v>
      </c>
    </row>
    <row r="3583">
      <c r="A3583" s="3" t="s">
        <v>13585</v>
      </c>
      <c r="B3583" s="4" t="str">
        <f>C3583 &amp; " -&gt; " &amp; D3583</f>
        <v>principal-knowledge-authority -&gt; ProcessMiningRuns.ConformingVariantCount</v>
      </c>
      <c r="C3583" s="3" t="s">
        <v>9774</v>
      </c>
      <c r="D3583" s="3" t="s">
        <v>5664</v>
      </c>
      <c r="E3583" s="3" t="b">
        <v>1</v>
      </c>
      <c r="F3583" s="3" t="b">
        <v>0</v>
      </c>
      <c r="G3583" s="3" t="s">
        <v>10003</v>
      </c>
      <c r="H3583" s="4" t="str">
        <f>_xlfn.IFNA(IF(((INDEX(RulebookFields!C2:C1898, MATCH(D3583,RulebookFields!A2:A1898, 0))="")=TRUE),  "",  INDEX(RulebookFields!C2:C1898, MATCH(D3583,RulebookFields!A2:A1898, 0))), "")</f>
        <v>ProcessMiningRuns</v>
      </c>
      <c r="I3583" s="4" t="str">
        <f>_xlfn.IFNA(IF(((INDEX(RulebookFields!D2:D1898, MATCH(D3583,RulebookFields!A2:A1898, 0))="")=TRUE),  "",  INDEX(RulebookFields!D2:D1898, MATCH(D3583,RulebookFields!A2:A1898, 0))), "")</f>
        <v>ConformingVariantCount</v>
      </c>
      <c r="J3583" s="4" t="b">
        <f>_xlfn.IFNA(IF(((INDEX(RulebookFields!I2:I1898, MATCH(D3583,RulebookFields!A2:A1898, 0))="")=TRUE),  "",  INDEX(RulebookFields!I2:I1898, MATCH(D3583,RulebookFields!A2:A1898, 0))), "")</f>
        <v>0</v>
      </c>
      <c r="K3583" s="4" t="b">
        <f>AND(((F3583)=TRUE), ((J3583)=TRUE))</f>
        <v>0</v>
      </c>
      <c r="L3583" s="4" t="b">
        <f>AND(((G3583 &lt;&gt; "plain")=TRUE), ((G3583 &lt;&gt; "")=TRUE))</f>
        <v>0</v>
      </c>
      <c r="M3583" s="4" t="str">
        <f>IF(((E3583)=TRUE),  C3583 &amp; "|" &amp; H3583,  "")</f>
        <v>principal-knowledge-authority|ProcessMiningRuns</v>
      </c>
      <c r="N3583" s="3" t="s">
        <v>10004</v>
      </c>
    </row>
    <row r="3584">
      <c r="A3584" s="3" t="s">
        <v>13586</v>
      </c>
      <c r="B3584" s="4" t="str">
        <f>C3584 &amp; " -&gt; " &amp; D3584</f>
        <v>principal-knowledge-authority -&gt; ProcessMiningRuns.DeviationDescription</v>
      </c>
      <c r="C3584" s="3" t="s">
        <v>9774</v>
      </c>
      <c r="D3584" s="3" t="s">
        <v>5666</v>
      </c>
      <c r="E3584" s="3" t="b">
        <v>1</v>
      </c>
      <c r="F3584" s="3" t="b">
        <v>0</v>
      </c>
      <c r="G3584" s="3" t="s">
        <v>10003</v>
      </c>
      <c r="H3584" s="4" t="str">
        <f>_xlfn.IFNA(IF(((INDEX(RulebookFields!C2:C1898, MATCH(D3584,RulebookFields!A2:A1898, 0))="")=TRUE),  "",  INDEX(RulebookFields!C2:C1898, MATCH(D3584,RulebookFields!A2:A1898, 0))), "")</f>
        <v>ProcessMiningRuns</v>
      </c>
      <c r="I3584" s="4" t="str">
        <f>_xlfn.IFNA(IF(((INDEX(RulebookFields!D2:D1898, MATCH(D3584,RulebookFields!A2:A1898, 0))="")=TRUE),  "",  INDEX(RulebookFields!D2:D1898, MATCH(D3584,RulebookFields!A2:A1898, 0))), "")</f>
        <v>DeviationDescription</v>
      </c>
      <c r="J3584" s="4" t="b">
        <f>_xlfn.IFNA(IF(((INDEX(RulebookFields!I2:I1898, MATCH(D3584,RulebookFields!A2:A1898, 0))="")=TRUE),  "",  INDEX(RulebookFields!I2:I1898, MATCH(D3584,RulebookFields!A2:A1898, 0))), "")</f>
        <v>0</v>
      </c>
      <c r="K3584" s="4" t="b">
        <f>AND(((F3584)=TRUE), ((J3584)=TRUE))</f>
        <v>0</v>
      </c>
      <c r="L3584" s="4" t="b">
        <f>AND(((G3584 &lt;&gt; "plain")=TRUE), ((G3584 &lt;&gt; "")=TRUE))</f>
        <v>0</v>
      </c>
      <c r="M3584" s="4" t="str">
        <f>IF(((E3584)=TRUE),  C3584 &amp; "|" &amp; H3584,  "")</f>
        <v>principal-knowledge-authority|ProcessMiningRuns</v>
      </c>
      <c r="N3584" s="3" t="s">
        <v>10004</v>
      </c>
    </row>
    <row r="3585">
      <c r="A3585" s="3" t="s">
        <v>13587</v>
      </c>
      <c r="B3585" s="4" t="str">
        <f>C3585 &amp; " -&gt; " &amp; D3585</f>
        <v>principal-knowledge-authority -&gt; ProcessMiningRuns.EvaluationContext</v>
      </c>
      <c r="C3585" s="3" t="s">
        <v>9774</v>
      </c>
      <c r="D3585" s="3" t="s">
        <v>5668</v>
      </c>
      <c r="E3585" s="3" t="b">
        <v>1</v>
      </c>
      <c r="F3585" s="3" t="b">
        <v>0</v>
      </c>
      <c r="G3585" s="3" t="s">
        <v>10003</v>
      </c>
      <c r="H3585" s="4" t="str">
        <f>_xlfn.IFNA(IF(((INDEX(RulebookFields!C2:C1898, MATCH(D3585,RulebookFields!A2:A1898, 0))="")=TRUE),  "",  INDEX(RulebookFields!C2:C1898, MATCH(D3585,RulebookFields!A2:A1898, 0))), "")</f>
        <v>ProcessMiningRuns</v>
      </c>
      <c r="I3585" s="4" t="str">
        <f>_xlfn.IFNA(IF(((INDEX(RulebookFields!D2:D1898, MATCH(D3585,RulebookFields!A2:A1898, 0))="")=TRUE),  "",  INDEX(RulebookFields!D2:D1898, MATCH(D3585,RulebookFields!A2:A1898, 0))), "")</f>
        <v>EvaluationContext</v>
      </c>
      <c r="J3585" s="4" t="b">
        <f>_xlfn.IFNA(IF(((INDEX(RulebookFields!I2:I1898, MATCH(D3585,RulebookFields!A2:A1898, 0))="")=TRUE),  "",  INDEX(RulebookFields!I2:I1898, MATCH(D3585,RulebookFields!A2:A1898, 0))), "")</f>
        <v>0</v>
      </c>
      <c r="K3585" s="4" t="b">
        <f>AND(((F3585)=TRUE), ((J3585)=TRUE))</f>
        <v>0</v>
      </c>
      <c r="L3585" s="4" t="b">
        <f>AND(((G3585 &lt;&gt; "plain")=TRUE), ((G3585 &lt;&gt; "")=TRUE))</f>
        <v>0</v>
      </c>
      <c r="M3585" s="4" t="str">
        <f>IF(((E3585)=TRUE),  C3585 &amp; "|" &amp; H3585,  "")</f>
        <v>principal-knowledge-authority|ProcessMiningRuns</v>
      </c>
      <c r="N3585" s="3" t="s">
        <v>10004</v>
      </c>
    </row>
    <row r="3586">
      <c r="A3586" s="3" t="s">
        <v>13588</v>
      </c>
      <c r="B3586" s="4" t="str">
        <f>C3586 &amp; " -&gt; " &amp; D3586</f>
        <v>principal-knowledge-authority -&gt; ProcessMiningRuns.AsOfInstant</v>
      </c>
      <c r="C3586" s="3" t="s">
        <v>9774</v>
      </c>
      <c r="D3586" s="3" t="s">
        <v>5669</v>
      </c>
      <c r="E3586" s="3" t="b">
        <v>1</v>
      </c>
      <c r="F3586" s="3" t="b">
        <v>0</v>
      </c>
      <c r="G3586" s="3" t="s">
        <v>10003</v>
      </c>
      <c r="H3586" s="4" t="str">
        <f>_xlfn.IFNA(IF(((INDEX(RulebookFields!C2:C1898, MATCH(D3586,RulebookFields!A2:A1898, 0))="")=TRUE),  "",  INDEX(RulebookFields!C2:C1898, MATCH(D3586,RulebookFields!A2:A1898, 0))), "")</f>
        <v>ProcessMiningRuns</v>
      </c>
      <c r="I3586" s="4" t="str">
        <f>_xlfn.IFNA(IF(((INDEX(RulebookFields!D2:D1898, MATCH(D3586,RulebookFields!A2:A1898, 0))="")=TRUE),  "",  INDEX(RulebookFields!D2:D1898, MATCH(D3586,RulebookFields!A2:A1898, 0))), "")</f>
        <v>AsOfInstant</v>
      </c>
      <c r="J3586" s="4" t="b">
        <f>_xlfn.IFNA(IF(((INDEX(RulebookFields!I2:I1898, MATCH(D3586,RulebookFields!A2:A1898, 0))="")=TRUE),  "",  INDEX(RulebookFields!I2:I1898, MATCH(D3586,RulebookFields!A2:A1898, 0))), "")</f>
        <v>1</v>
      </c>
      <c r="K3586" s="4" t="b">
        <f>AND(((F3586)=TRUE), ((J3586)=TRUE))</f>
        <v>0</v>
      </c>
      <c r="L3586" s="4" t="b">
        <f>AND(((G3586 &lt;&gt; "plain")=TRUE), ((G3586 &lt;&gt; "")=TRUE))</f>
        <v>0</v>
      </c>
      <c r="M3586" s="4" t="str">
        <f>IF(((E3586)=TRUE),  C3586 &amp; "|" &amp; H3586,  "")</f>
        <v>principal-knowledge-authority|ProcessMiningRuns</v>
      </c>
      <c r="N3586" s="3" t="s">
        <v>10004</v>
      </c>
    </row>
    <row r="3587">
      <c r="A3587" s="3" t="s">
        <v>13589</v>
      </c>
      <c r="B3587" s="4" t="str">
        <f>C3587 &amp; " -&gt; " &amp; D3587</f>
        <v>principal-knowledge-authority -&gt; ProcessMiningRuns.ConformanceRate</v>
      </c>
      <c r="C3587" s="3" t="s">
        <v>9774</v>
      </c>
      <c r="D3587" s="3" t="s">
        <v>5670</v>
      </c>
      <c r="E3587" s="3" t="b">
        <v>1</v>
      </c>
      <c r="F3587" s="3" t="b">
        <v>0</v>
      </c>
      <c r="G3587" s="3" t="s">
        <v>10003</v>
      </c>
      <c r="H3587" s="4" t="str">
        <f>_xlfn.IFNA(IF(((INDEX(RulebookFields!C2:C1898, MATCH(D3587,RulebookFields!A2:A1898, 0))="")=TRUE),  "",  INDEX(RulebookFields!C2:C1898, MATCH(D3587,RulebookFields!A2:A1898, 0))), "")</f>
        <v>ProcessMiningRuns</v>
      </c>
      <c r="I3587" s="4" t="str">
        <f>_xlfn.IFNA(IF(((INDEX(RulebookFields!D2:D1898, MATCH(D3587,RulebookFields!A2:A1898, 0))="")=TRUE),  "",  INDEX(RulebookFields!D2:D1898, MATCH(D3587,RulebookFields!A2:A1898, 0))), "")</f>
        <v>ConformanceRate</v>
      </c>
      <c r="J3587" s="4" t="b">
        <f>_xlfn.IFNA(IF(((INDEX(RulebookFields!I2:I1898, MATCH(D3587,RulebookFields!A2:A1898, 0))="")=TRUE),  "",  INDEX(RulebookFields!I2:I1898, MATCH(D3587,RulebookFields!A2:A1898, 0))), "")</f>
        <v>1</v>
      </c>
      <c r="K3587" s="4" t="b">
        <f>AND(((F3587)=TRUE), ((J3587)=TRUE))</f>
        <v>0</v>
      </c>
      <c r="L3587" s="4" t="b">
        <f>AND(((G3587 &lt;&gt; "plain")=TRUE), ((G3587 &lt;&gt; "")=TRUE))</f>
        <v>0</v>
      </c>
      <c r="M3587" s="4" t="str">
        <f>IF(((E3587)=TRUE),  C3587 &amp; "|" &amp; H3587,  "")</f>
        <v>principal-knowledge-authority|ProcessMiningRuns</v>
      </c>
      <c r="N3587" s="3" t="s">
        <v>10004</v>
      </c>
    </row>
    <row r="3588">
      <c r="A3588" s="3" t="s">
        <v>13590</v>
      </c>
      <c r="B3588" s="4" t="str">
        <f>C3588 &amp; " -&gt; " &amp; D3588</f>
        <v>principal-knowledge-authority -&gt; ProcessMiningRuns.IsConformant</v>
      </c>
      <c r="C3588" s="3" t="s">
        <v>9774</v>
      </c>
      <c r="D3588" s="3" t="s">
        <v>5673</v>
      </c>
      <c r="E3588" s="3" t="b">
        <v>1</v>
      </c>
      <c r="F3588" s="3" t="b">
        <v>0</v>
      </c>
      <c r="G3588" s="3" t="s">
        <v>10003</v>
      </c>
      <c r="H3588" s="4" t="str">
        <f>_xlfn.IFNA(IF(((INDEX(RulebookFields!C2:C1898, MATCH(D3588,RulebookFields!A2:A1898, 0))="")=TRUE),  "",  INDEX(RulebookFields!C2:C1898, MATCH(D3588,RulebookFields!A2:A1898, 0))), "")</f>
        <v>ProcessMiningRuns</v>
      </c>
      <c r="I3588" s="4" t="str">
        <f>_xlfn.IFNA(IF(((INDEX(RulebookFields!D2:D1898, MATCH(D3588,RulebookFields!A2:A1898, 0))="")=TRUE),  "",  INDEX(RulebookFields!D2:D1898, MATCH(D3588,RulebookFields!A2:A1898, 0))), "")</f>
        <v>IsConformant</v>
      </c>
      <c r="J3588" s="4" t="b">
        <f>_xlfn.IFNA(IF(((INDEX(RulebookFields!I2:I1898, MATCH(D3588,RulebookFields!A2:A1898, 0))="")=TRUE),  "",  INDEX(RulebookFields!I2:I1898, MATCH(D3588,RulebookFields!A2:A1898, 0))), "")</f>
        <v>1</v>
      </c>
      <c r="K3588" s="4" t="b">
        <f>AND(((F3588)=TRUE), ((J3588)=TRUE))</f>
        <v>0</v>
      </c>
      <c r="L3588" s="4" t="b">
        <f>AND(((G3588 &lt;&gt; "plain")=TRUE), ((G3588 &lt;&gt; "")=TRUE))</f>
        <v>0</v>
      </c>
      <c r="M3588" s="4" t="str">
        <f>IF(((E3588)=TRUE),  C3588 &amp; "|" &amp; H3588,  "")</f>
        <v>principal-knowledge-authority|ProcessMiningRuns</v>
      </c>
      <c r="N3588" s="3" t="s">
        <v>10004</v>
      </c>
    </row>
    <row r="3589">
      <c r="A3589" s="3" t="s">
        <v>13591</v>
      </c>
      <c r="B3589" s="4" t="str">
        <f>C3589 &amp; " -&gt; " &amp; D3589</f>
        <v>principal-knowledge-authority -&gt; ProcessMiningRuns.HasMajorDriftFromDocumentation</v>
      </c>
      <c r="C3589" s="3" t="s">
        <v>9774</v>
      </c>
      <c r="D3589" s="3" t="s">
        <v>5676</v>
      </c>
      <c r="E3589" s="3" t="b">
        <v>1</v>
      </c>
      <c r="F3589" s="3" t="b">
        <v>0</v>
      </c>
      <c r="G3589" s="3" t="s">
        <v>10003</v>
      </c>
      <c r="H3589" s="4" t="str">
        <f>_xlfn.IFNA(IF(((INDEX(RulebookFields!C2:C1898, MATCH(D3589,RulebookFields!A2:A1898, 0))="")=TRUE),  "",  INDEX(RulebookFields!C2:C1898, MATCH(D3589,RulebookFields!A2:A1898, 0))), "")</f>
        <v>ProcessMiningRuns</v>
      </c>
      <c r="I3589" s="4" t="str">
        <f>_xlfn.IFNA(IF(((INDEX(RulebookFields!D2:D1898, MATCH(D3589,RulebookFields!A2:A1898, 0))="")=TRUE),  "",  INDEX(RulebookFields!D2:D1898, MATCH(D3589,RulebookFields!A2:A1898, 0))), "")</f>
        <v>HasMajorDriftFromDocumentation</v>
      </c>
      <c r="J3589" s="4" t="b">
        <f>_xlfn.IFNA(IF(((INDEX(RulebookFields!I2:I1898, MATCH(D3589,RulebookFields!A2:A1898, 0))="")=TRUE),  "",  INDEX(RulebookFields!I2:I1898, MATCH(D3589,RulebookFields!A2:A1898, 0))), "")</f>
        <v>1</v>
      </c>
      <c r="K3589" s="4" t="b">
        <f>AND(((F3589)=TRUE), ((J3589)=TRUE))</f>
        <v>0</v>
      </c>
      <c r="L3589" s="4" t="b">
        <f>AND(((G3589 &lt;&gt; "plain")=TRUE), ((G3589 &lt;&gt; "")=TRUE))</f>
        <v>0</v>
      </c>
      <c r="M3589" s="4" t="str">
        <f>IF(((E3589)=TRUE),  C3589 &amp; "|" &amp; H3589,  "")</f>
        <v>principal-knowledge-authority|ProcessMiningRuns</v>
      </c>
      <c r="N3589" s="3" t="s">
        <v>10004</v>
      </c>
    </row>
    <row r="3590">
      <c r="A3590" s="3" t="s">
        <v>13592</v>
      </c>
      <c r="B3590" s="4" t="str">
        <f>C3590 &amp; " -&gt; " &amp; D3590</f>
        <v>principal-knowledge-authority -&gt; ProcessMiningRuns.DaysSinceMined</v>
      </c>
      <c r="C3590" s="3" t="s">
        <v>9774</v>
      </c>
      <c r="D3590" s="3" t="s">
        <v>5679</v>
      </c>
      <c r="E3590" s="3" t="b">
        <v>1</v>
      </c>
      <c r="F3590" s="3" t="b">
        <v>0</v>
      </c>
      <c r="G3590" s="3" t="s">
        <v>10003</v>
      </c>
      <c r="H3590" s="4" t="str">
        <f>_xlfn.IFNA(IF(((INDEX(RulebookFields!C2:C1898, MATCH(D3590,RulebookFields!A2:A1898, 0))="")=TRUE),  "",  INDEX(RulebookFields!C2:C1898, MATCH(D3590,RulebookFields!A2:A1898, 0))), "")</f>
        <v>ProcessMiningRuns</v>
      </c>
      <c r="I3590" s="4" t="str">
        <f>_xlfn.IFNA(IF(((INDEX(RulebookFields!D2:D1898, MATCH(D3590,RulebookFields!A2:A1898, 0))="")=TRUE),  "",  INDEX(RulebookFields!D2:D1898, MATCH(D3590,RulebookFields!A2:A1898, 0))), "")</f>
        <v>DaysSinceMined</v>
      </c>
      <c r="J3590" s="4" t="b">
        <f>_xlfn.IFNA(IF(((INDEX(RulebookFields!I2:I1898, MATCH(D3590,RulebookFields!A2:A1898, 0))="")=TRUE),  "",  INDEX(RulebookFields!I2:I1898, MATCH(D3590,RulebookFields!A2:A1898, 0))), "")</f>
        <v>1</v>
      </c>
      <c r="K3590" s="4" t="b">
        <f>AND(((F3590)=TRUE), ((J3590)=TRUE))</f>
        <v>0</v>
      </c>
      <c r="L3590" s="4" t="b">
        <f>AND(((G3590 &lt;&gt; "plain")=TRUE), ((G3590 &lt;&gt; "")=TRUE))</f>
        <v>0</v>
      </c>
      <c r="M3590" s="4" t="str">
        <f>IF(((E3590)=TRUE),  C3590 &amp; "|" &amp; H3590,  "")</f>
        <v>principal-knowledge-authority|ProcessMiningRuns</v>
      </c>
      <c r="N3590" s="3" t="s">
        <v>10004</v>
      </c>
    </row>
    <row r="3591">
      <c r="A3591" s="3" t="s">
        <v>13593</v>
      </c>
      <c r="B3591" s="4" t="str">
        <f>C3591 &amp; " -&gt; " &amp; D3591</f>
        <v>principal-knowledge-authority -&gt; ProcessMiningRuns.IsStaleMiningEvidence</v>
      </c>
      <c r="C3591" s="3" t="s">
        <v>9774</v>
      </c>
      <c r="D3591" s="3" t="s">
        <v>5682</v>
      </c>
      <c r="E3591" s="3" t="b">
        <v>1</v>
      </c>
      <c r="F3591" s="3" t="b">
        <v>0</v>
      </c>
      <c r="G3591" s="3" t="s">
        <v>10003</v>
      </c>
      <c r="H3591" s="4" t="str">
        <f>_xlfn.IFNA(IF(((INDEX(RulebookFields!C2:C1898, MATCH(D3591,RulebookFields!A2:A1898, 0))="")=TRUE),  "",  INDEX(RulebookFields!C2:C1898, MATCH(D3591,RulebookFields!A2:A1898, 0))), "")</f>
        <v>ProcessMiningRuns</v>
      </c>
      <c r="I3591" s="4" t="str">
        <f>_xlfn.IFNA(IF(((INDEX(RulebookFields!D2:D1898, MATCH(D3591,RulebookFields!A2:A1898, 0))="")=TRUE),  "",  INDEX(RulebookFields!D2:D1898, MATCH(D3591,RulebookFields!A2:A1898, 0))), "")</f>
        <v>IsStaleMiningEvidence</v>
      </c>
      <c r="J3591" s="4" t="b">
        <f>_xlfn.IFNA(IF(((INDEX(RulebookFields!I2:I1898, MATCH(D3591,RulebookFields!A2:A1898, 0))="")=TRUE),  "",  INDEX(RulebookFields!I2:I1898, MATCH(D3591,RulebookFields!A2:A1898, 0))), "")</f>
        <v>1</v>
      </c>
      <c r="K3591" s="4" t="b">
        <f>AND(((F3591)=TRUE), ((J3591)=TRUE))</f>
        <v>0</v>
      </c>
      <c r="L3591" s="4" t="b">
        <f>AND(((G3591 &lt;&gt; "plain")=TRUE), ((G3591 &lt;&gt; "")=TRUE))</f>
        <v>0</v>
      </c>
      <c r="M3591" s="4" t="str">
        <f>IF(((E3591)=TRUE),  C3591 &amp; "|" &amp; H3591,  "")</f>
        <v>principal-knowledge-authority|ProcessMiningRuns</v>
      </c>
      <c r="N3591" s="3" t="s">
        <v>10004</v>
      </c>
    </row>
    <row r="3592">
      <c r="A3592" s="3" t="s">
        <v>13594</v>
      </c>
      <c r="B3592" s="4" t="str">
        <f>C3592 &amp; " -&gt; " &amp; D3592</f>
        <v>principal-knowledge-authority -&gt; ProcessMiningRuns.ProcedureVersionIsLive</v>
      </c>
      <c r="C3592" s="3" t="s">
        <v>9774</v>
      </c>
      <c r="D3592" s="3" t="s">
        <v>5685</v>
      </c>
      <c r="E3592" s="3" t="b">
        <v>1</v>
      </c>
      <c r="F3592" s="3" t="b">
        <v>0</v>
      </c>
      <c r="G3592" s="3" t="s">
        <v>10003</v>
      </c>
      <c r="H3592" s="4" t="str">
        <f>_xlfn.IFNA(IF(((INDEX(RulebookFields!C2:C1898, MATCH(D3592,RulebookFields!A2:A1898, 0))="")=TRUE),  "",  INDEX(RulebookFields!C2:C1898, MATCH(D3592,RulebookFields!A2:A1898, 0))), "")</f>
        <v>ProcessMiningRuns</v>
      </c>
      <c r="I3592" s="4" t="str">
        <f>_xlfn.IFNA(IF(((INDEX(RulebookFields!D2:D1898, MATCH(D3592,RulebookFields!A2:A1898, 0))="")=TRUE),  "",  INDEX(RulebookFields!D2:D1898, MATCH(D3592,RulebookFields!A2:A1898, 0))), "")</f>
        <v>ProcedureVersionIsLive</v>
      </c>
      <c r="J3592" s="4" t="b">
        <f>_xlfn.IFNA(IF(((INDEX(RulebookFields!I2:I1898, MATCH(D3592,RulebookFields!A2:A1898, 0))="")=TRUE),  "",  INDEX(RulebookFields!I2:I1898, MATCH(D3592,RulebookFields!A2:A1898, 0))), "")</f>
        <v>1</v>
      </c>
      <c r="K3592" s="4" t="b">
        <f>AND(((F3592)=TRUE), ((J3592)=TRUE))</f>
        <v>0</v>
      </c>
      <c r="L3592" s="4" t="b">
        <f>AND(((G3592 &lt;&gt; "plain")=TRUE), ((G3592 &lt;&gt; "")=TRUE))</f>
        <v>0</v>
      </c>
      <c r="M3592" s="4" t="str">
        <f>IF(((E3592)=TRUE),  C3592 &amp; "|" &amp; H3592,  "")</f>
        <v>principal-knowledge-authority|ProcessMiningRuns</v>
      </c>
      <c r="N3592" s="3" t="s">
        <v>10004</v>
      </c>
    </row>
    <row r="3593">
      <c r="A3593" s="3" t="s">
        <v>13595</v>
      </c>
      <c r="B3593" s="4" t="str">
        <f>C3593 &amp; " -&gt; " &amp; D3593</f>
        <v>principal-knowledge-authority -&gt; ProcessMiningRuns.IsDriftOnLiveVersion</v>
      </c>
      <c r="C3593" s="3" t="s">
        <v>9774</v>
      </c>
      <c r="D3593" s="3" t="s">
        <v>5687</v>
      </c>
      <c r="E3593" s="3" t="b">
        <v>1</v>
      </c>
      <c r="F3593" s="3" t="b">
        <v>0</v>
      </c>
      <c r="G3593" s="3" t="s">
        <v>10003</v>
      </c>
      <c r="H3593" s="4" t="str">
        <f>_xlfn.IFNA(IF(((INDEX(RulebookFields!C2:C1898, MATCH(D3593,RulebookFields!A2:A1898, 0))="")=TRUE),  "",  INDEX(RulebookFields!C2:C1898, MATCH(D3593,RulebookFields!A2:A1898, 0))), "")</f>
        <v>ProcessMiningRuns</v>
      </c>
      <c r="I3593" s="4" t="str">
        <f>_xlfn.IFNA(IF(((INDEX(RulebookFields!D2:D1898, MATCH(D3593,RulebookFields!A2:A1898, 0))="")=TRUE),  "",  INDEX(RulebookFields!D2:D1898, MATCH(D3593,RulebookFields!A2:A1898, 0))), "")</f>
        <v>IsDriftOnLiveVersion</v>
      </c>
      <c r="J3593" s="4" t="b">
        <f>_xlfn.IFNA(IF(((INDEX(RulebookFields!I2:I1898, MATCH(D3593,RulebookFields!A2:A1898, 0))="")=TRUE),  "",  INDEX(RulebookFields!I2:I1898, MATCH(D3593,RulebookFields!A2:A1898, 0))), "")</f>
        <v>1</v>
      </c>
      <c r="K3593" s="4" t="b">
        <f>AND(((F3593)=TRUE), ((J3593)=TRUE))</f>
        <v>0</v>
      </c>
      <c r="L3593" s="4" t="b">
        <f>AND(((G3593 &lt;&gt; "plain")=TRUE), ((G3593 &lt;&gt; "")=TRUE))</f>
        <v>0</v>
      </c>
      <c r="M3593" s="4" t="str">
        <f>IF(((E3593)=TRUE),  C3593 &amp; "|" &amp; H3593,  "")</f>
        <v>principal-knowledge-authority|ProcessMiningRuns</v>
      </c>
      <c r="N3593" s="3" t="s">
        <v>10004</v>
      </c>
    </row>
    <row r="3594">
      <c r="A3594" s="3" t="s">
        <v>13596</v>
      </c>
      <c r="B3594" s="4" t="str">
        <f>C3594 &amp; " -&gt; " &amp; D3594</f>
        <v>principal-knowledge-authority -&gt; ProcessMiningRuns.DriftedMiningRunKey</v>
      </c>
      <c r="C3594" s="3" t="s">
        <v>9774</v>
      </c>
      <c r="D3594" s="3" t="s">
        <v>5690</v>
      </c>
      <c r="E3594" s="3" t="b">
        <v>1</v>
      </c>
      <c r="F3594" s="3" t="b">
        <v>0</v>
      </c>
      <c r="G3594" s="3" t="s">
        <v>10003</v>
      </c>
      <c r="H3594" s="4" t="str">
        <f>_xlfn.IFNA(IF(((INDEX(RulebookFields!C2:C1898, MATCH(D3594,RulebookFields!A2:A1898, 0))="")=TRUE),  "",  INDEX(RulebookFields!C2:C1898, MATCH(D3594,RulebookFields!A2:A1898, 0))), "")</f>
        <v>ProcessMiningRuns</v>
      </c>
      <c r="I3594" s="4" t="str">
        <f>_xlfn.IFNA(IF(((INDEX(RulebookFields!D2:D1898, MATCH(D3594,RulebookFields!A2:A1898, 0))="")=TRUE),  "",  INDEX(RulebookFields!D2:D1898, MATCH(D3594,RulebookFields!A2:A1898, 0))), "")</f>
        <v>DriftedMiningRunKey</v>
      </c>
      <c r="J3594" s="4" t="b">
        <f>_xlfn.IFNA(IF(((INDEX(RulebookFields!I2:I1898, MATCH(D3594,RulebookFields!A2:A1898, 0))="")=TRUE),  "",  INDEX(RulebookFields!I2:I1898, MATCH(D3594,RulebookFields!A2:A1898, 0))), "")</f>
        <v>1</v>
      </c>
      <c r="K3594" s="4" t="b">
        <f>AND(((F3594)=TRUE), ((J3594)=TRUE))</f>
        <v>0</v>
      </c>
      <c r="L3594" s="4" t="b">
        <f>AND(((G3594 &lt;&gt; "plain")=TRUE), ((G3594 &lt;&gt; "")=TRUE))</f>
        <v>0</v>
      </c>
      <c r="M3594" s="4" t="str">
        <f>IF(((E3594)=TRUE),  C3594 &amp; "|" &amp; H3594,  "")</f>
        <v>principal-knowledge-authority|ProcessMiningRuns</v>
      </c>
      <c r="N3594" s="3" t="s">
        <v>10004</v>
      </c>
    </row>
    <row r="3595">
      <c r="A3595" s="3" t="s">
        <v>13597</v>
      </c>
      <c r="B3595" s="4" t="str">
        <f>C3595 &amp; " -&gt; " &amp; D3595</f>
        <v>principal-knowledge-authority -&gt; ProcessMiningRuns.SemanticTypeIri</v>
      </c>
      <c r="C3595" s="3" t="s">
        <v>9774</v>
      </c>
      <c r="D3595" s="3" t="s">
        <v>5693</v>
      </c>
      <c r="E3595" s="3" t="b">
        <v>1</v>
      </c>
      <c r="F3595" s="3" t="b">
        <v>0</v>
      </c>
      <c r="G3595" s="3" t="s">
        <v>10003</v>
      </c>
      <c r="H3595" s="4" t="str">
        <f>_xlfn.IFNA(IF(((INDEX(RulebookFields!C2:C1898, MATCH(D3595,RulebookFields!A2:A1898, 0))="")=TRUE),  "",  INDEX(RulebookFields!C2:C1898, MATCH(D3595,RulebookFields!A2:A1898, 0))), "")</f>
        <v>ProcessMiningRuns</v>
      </c>
      <c r="I3595" s="4" t="str">
        <f>_xlfn.IFNA(IF(((INDEX(RulebookFields!D2:D1898, MATCH(D3595,RulebookFields!A2:A1898, 0))="")=TRUE),  "",  INDEX(RulebookFields!D2:D1898, MATCH(D3595,RulebookFields!A2:A1898, 0))), "")</f>
        <v>SemanticTypeIri</v>
      </c>
      <c r="J3595" s="4" t="b">
        <f>_xlfn.IFNA(IF(((INDEX(RulebookFields!I2:I1898, MATCH(D3595,RulebookFields!A2:A1898, 0))="")=TRUE),  "",  INDEX(RulebookFields!I2:I1898, MATCH(D3595,RulebookFields!A2:A1898, 0))), "")</f>
        <v>0</v>
      </c>
      <c r="K3595" s="4" t="b">
        <f>AND(((F3595)=TRUE), ((J3595)=TRUE))</f>
        <v>0</v>
      </c>
      <c r="L3595" s="4" t="b">
        <f>AND(((G3595 &lt;&gt; "plain")=TRUE), ((G3595 &lt;&gt; "")=TRUE))</f>
        <v>0</v>
      </c>
      <c r="M3595" s="4" t="str">
        <f>IF(((E3595)=TRUE),  C3595 &amp; "|" &amp; H3595,  "")</f>
        <v>principal-knowledge-authority|ProcessMiningRuns</v>
      </c>
      <c r="N3595" s="3" t="s">
        <v>10004</v>
      </c>
    </row>
    <row r="3596">
      <c r="A3596" s="3" t="s">
        <v>13598</v>
      </c>
      <c r="B3596" s="4" t="str">
        <f>C3596 &amp; " -&gt; " &amp; D3596</f>
        <v>principal-knowledge-authority -&gt; Vocabularies.VocabularyId</v>
      </c>
      <c r="C3596" s="3" t="s">
        <v>9774</v>
      </c>
      <c r="D3596" s="3" t="s">
        <v>5694</v>
      </c>
      <c r="E3596" s="3" t="b">
        <v>1</v>
      </c>
      <c r="F3596" s="3" t="b">
        <v>0</v>
      </c>
      <c r="G3596" s="3" t="s">
        <v>10003</v>
      </c>
      <c r="H3596" s="4" t="str">
        <f>_xlfn.IFNA(IF(((INDEX(RulebookFields!C2:C1898, MATCH(D3596,RulebookFields!A2:A1898, 0))="")=TRUE),  "",  INDEX(RulebookFields!C2:C1898, MATCH(D3596,RulebookFields!A2:A1898, 0))), "")</f>
        <v>Vocabularies</v>
      </c>
      <c r="I3596" s="4" t="str">
        <f>_xlfn.IFNA(IF(((INDEX(RulebookFields!D2:D1898, MATCH(D3596,RulebookFields!A2:A1898, 0))="")=TRUE),  "",  INDEX(RulebookFields!D2:D1898, MATCH(D3596,RulebookFields!A2:A1898, 0))), "")</f>
        <v>VocabularyId</v>
      </c>
      <c r="J3596" s="4" t="b">
        <f>_xlfn.IFNA(IF(((INDEX(RulebookFields!I2:I1898, MATCH(D3596,RulebookFields!A2:A1898, 0))="")=TRUE),  "",  INDEX(RulebookFields!I2:I1898, MATCH(D3596,RulebookFields!A2:A1898, 0))), "")</f>
        <v>0</v>
      </c>
      <c r="K3596" s="4" t="b">
        <f>AND(((F3596)=TRUE), ((J3596)=TRUE))</f>
        <v>0</v>
      </c>
      <c r="L3596" s="4" t="b">
        <f>AND(((G3596 &lt;&gt; "plain")=TRUE), ((G3596 &lt;&gt; "")=TRUE))</f>
        <v>0</v>
      </c>
      <c r="M3596" s="4" t="str">
        <f>IF(((E3596)=TRUE),  C3596 &amp; "|" &amp; H3596,  "")</f>
        <v>principal-knowledge-authority|Vocabularies</v>
      </c>
      <c r="N3596" s="3" t="s">
        <v>10004</v>
      </c>
    </row>
    <row r="3597">
      <c r="A3597" s="3" t="s">
        <v>13599</v>
      </c>
      <c r="B3597" s="4" t="str">
        <f>C3597 &amp; " -&gt; " &amp; D3597</f>
        <v>principal-knowledge-authority -&gt; Vocabularies.Name</v>
      </c>
      <c r="C3597" s="3" t="s">
        <v>9774</v>
      </c>
      <c r="D3597" s="3" t="s">
        <v>5696</v>
      </c>
      <c r="E3597" s="3" t="b">
        <v>1</v>
      </c>
      <c r="F3597" s="3" t="b">
        <v>0</v>
      </c>
      <c r="G3597" s="3" t="s">
        <v>10003</v>
      </c>
      <c r="H3597" s="4" t="str">
        <f>_xlfn.IFNA(IF(((INDEX(RulebookFields!C2:C1898, MATCH(D3597,RulebookFields!A2:A1898, 0))="")=TRUE),  "",  INDEX(RulebookFields!C2:C1898, MATCH(D3597,RulebookFields!A2:A1898, 0))), "")</f>
        <v>Vocabularies</v>
      </c>
      <c r="I3597" s="4" t="str">
        <f>_xlfn.IFNA(IF(((INDEX(RulebookFields!D2:D1898, MATCH(D3597,RulebookFields!A2:A1898, 0))="")=TRUE),  "",  INDEX(RulebookFields!D2:D1898, MATCH(D3597,RulebookFields!A2:A1898, 0))), "")</f>
        <v>Name</v>
      </c>
      <c r="J3597" s="4" t="b">
        <f>_xlfn.IFNA(IF(((INDEX(RulebookFields!I2:I1898, MATCH(D3597,RulebookFields!A2:A1898, 0))="")=TRUE),  "",  INDEX(RulebookFields!I2:I1898, MATCH(D3597,RulebookFields!A2:A1898, 0))), "")</f>
        <v>1</v>
      </c>
      <c r="K3597" s="4" t="b">
        <f>AND(((F3597)=TRUE), ((J3597)=TRUE))</f>
        <v>0</v>
      </c>
      <c r="L3597" s="4" t="b">
        <f>AND(((G3597 &lt;&gt; "plain")=TRUE), ((G3597 &lt;&gt; "")=TRUE))</f>
        <v>0</v>
      </c>
      <c r="M3597" s="4" t="str">
        <f>IF(((E3597)=TRUE),  C3597 &amp; "|" &amp; H3597,  "")</f>
        <v>principal-knowledge-authority|Vocabularies</v>
      </c>
      <c r="N3597" s="3" t="s">
        <v>10004</v>
      </c>
    </row>
    <row r="3598">
      <c r="A3598" s="3" t="s">
        <v>13600</v>
      </c>
      <c r="B3598" s="4" t="str">
        <f>C3598 &amp; " -&gt; " &amp; D3598</f>
        <v>principal-knowledge-authority -&gt; Vocabularies.Title</v>
      </c>
      <c r="C3598" s="3" t="s">
        <v>9774</v>
      </c>
      <c r="D3598" s="3" t="s">
        <v>5697</v>
      </c>
      <c r="E3598" s="3" t="b">
        <v>1</v>
      </c>
      <c r="F3598" s="3" t="b">
        <v>0</v>
      </c>
      <c r="G3598" s="3" t="s">
        <v>10003</v>
      </c>
      <c r="H3598" s="4" t="str">
        <f>_xlfn.IFNA(IF(((INDEX(RulebookFields!C2:C1898, MATCH(D3598,RulebookFields!A2:A1898, 0))="")=TRUE),  "",  INDEX(RulebookFields!C2:C1898, MATCH(D3598,RulebookFields!A2:A1898, 0))), "")</f>
        <v>Vocabularies</v>
      </c>
      <c r="I3598" s="4" t="str">
        <f>_xlfn.IFNA(IF(((INDEX(RulebookFields!D2:D1898, MATCH(D3598,RulebookFields!A2:A1898, 0))="")=TRUE),  "",  INDEX(RulebookFields!D2:D1898, MATCH(D3598,RulebookFields!A2:A1898, 0))), "")</f>
        <v>Title</v>
      </c>
      <c r="J3598" s="4" t="b">
        <f>_xlfn.IFNA(IF(((INDEX(RulebookFields!I2:I1898, MATCH(D3598,RulebookFields!A2:A1898, 0))="")=TRUE),  "",  INDEX(RulebookFields!I2:I1898, MATCH(D3598,RulebookFields!A2:A1898, 0))), "")</f>
        <v>0</v>
      </c>
      <c r="K3598" s="4" t="b">
        <f>AND(((F3598)=TRUE), ((J3598)=TRUE))</f>
        <v>0</v>
      </c>
      <c r="L3598" s="4" t="b">
        <f>AND(((G3598 &lt;&gt; "plain")=TRUE), ((G3598 &lt;&gt; "")=TRUE))</f>
        <v>0</v>
      </c>
      <c r="M3598" s="4" t="str">
        <f>IF(((E3598)=TRUE),  C3598 &amp; "|" &amp; H3598,  "")</f>
        <v>principal-knowledge-authority|Vocabularies</v>
      </c>
      <c r="N3598" s="3" t="s">
        <v>10004</v>
      </c>
    </row>
    <row r="3599">
      <c r="A3599" s="3" t="s">
        <v>13601</v>
      </c>
      <c r="B3599" s="4" t="str">
        <f>C3599 &amp; " -&gt; " &amp; D3599</f>
        <v>principal-knowledge-authority -&gt; Vocabularies.SchemeUri</v>
      </c>
      <c r="C3599" s="3" t="s">
        <v>9774</v>
      </c>
      <c r="D3599" s="3" t="s">
        <v>5698</v>
      </c>
      <c r="E3599" s="3" t="b">
        <v>1</v>
      </c>
      <c r="F3599" s="3" t="b">
        <v>0</v>
      </c>
      <c r="G3599" s="3" t="s">
        <v>10003</v>
      </c>
      <c r="H3599" s="4" t="str">
        <f>_xlfn.IFNA(IF(((INDEX(RulebookFields!C2:C1898, MATCH(D3599,RulebookFields!A2:A1898, 0))="")=TRUE),  "",  INDEX(RulebookFields!C2:C1898, MATCH(D3599,RulebookFields!A2:A1898, 0))), "")</f>
        <v>Vocabularies</v>
      </c>
      <c r="I3599" s="4" t="str">
        <f>_xlfn.IFNA(IF(((INDEX(RulebookFields!D2:D1898, MATCH(D3599,RulebookFields!A2:A1898, 0))="")=TRUE),  "",  INDEX(RulebookFields!D2:D1898, MATCH(D3599,RulebookFields!A2:A1898, 0))), "")</f>
        <v>SchemeUri</v>
      </c>
      <c r="J3599" s="4" t="b">
        <f>_xlfn.IFNA(IF(((INDEX(RulebookFields!I2:I1898, MATCH(D3599,RulebookFields!A2:A1898, 0))="")=TRUE),  "",  INDEX(RulebookFields!I2:I1898, MATCH(D3599,RulebookFields!A2:A1898, 0))), "")</f>
        <v>0</v>
      </c>
      <c r="K3599" s="4" t="b">
        <f>AND(((F3599)=TRUE), ((J3599)=TRUE))</f>
        <v>0</v>
      </c>
      <c r="L3599" s="4" t="b">
        <f>AND(((G3599 &lt;&gt; "plain")=TRUE), ((G3599 &lt;&gt; "")=TRUE))</f>
        <v>0</v>
      </c>
      <c r="M3599" s="4" t="str">
        <f>IF(((E3599)=TRUE),  C3599 &amp; "|" &amp; H3599,  "")</f>
        <v>principal-knowledge-authority|Vocabularies</v>
      </c>
      <c r="N3599" s="3" t="s">
        <v>10004</v>
      </c>
    </row>
    <row r="3600">
      <c r="A3600" s="3" t="s">
        <v>13602</v>
      </c>
      <c r="B3600" s="4" t="str">
        <f>C3600 &amp; " -&gt; " &amp; D3600</f>
        <v>principal-knowledge-authority -&gt; Vocabularies.GoverningRole</v>
      </c>
      <c r="C3600" s="3" t="s">
        <v>9774</v>
      </c>
      <c r="D3600" s="3" t="s">
        <v>5700</v>
      </c>
      <c r="E3600" s="3" t="b">
        <v>1</v>
      </c>
      <c r="F3600" s="3" t="b">
        <v>0</v>
      </c>
      <c r="G3600" s="3" t="s">
        <v>10003</v>
      </c>
      <c r="H3600" s="4" t="str">
        <f>_xlfn.IFNA(IF(((INDEX(RulebookFields!C2:C1898, MATCH(D3600,RulebookFields!A2:A1898, 0))="")=TRUE),  "",  INDEX(RulebookFields!C2:C1898, MATCH(D3600,RulebookFields!A2:A1898, 0))), "")</f>
        <v>Vocabularies</v>
      </c>
      <c r="I3600" s="4" t="str">
        <f>_xlfn.IFNA(IF(((INDEX(RulebookFields!D2:D1898, MATCH(D3600,RulebookFields!A2:A1898, 0))="")=TRUE),  "",  INDEX(RulebookFields!D2:D1898, MATCH(D3600,RulebookFields!A2:A1898, 0))), "")</f>
        <v>GoverningRole</v>
      </c>
      <c r="J3600" s="4" t="b">
        <f>_xlfn.IFNA(IF(((INDEX(RulebookFields!I2:I1898, MATCH(D3600,RulebookFields!A2:A1898, 0))="")=TRUE),  "",  INDEX(RulebookFields!I2:I1898, MATCH(D3600,RulebookFields!A2:A1898, 0))), "")</f>
        <v>0</v>
      </c>
      <c r="K3600" s="4" t="b">
        <f>AND(((F3600)=TRUE), ((J3600)=TRUE))</f>
        <v>0</v>
      </c>
      <c r="L3600" s="4" t="b">
        <f>AND(((G3600 &lt;&gt; "plain")=TRUE), ((G3600 &lt;&gt; "")=TRUE))</f>
        <v>0</v>
      </c>
      <c r="M3600" s="4" t="str">
        <f>IF(((E3600)=TRUE),  C3600 &amp; "|" &amp; H3600,  "")</f>
        <v>principal-knowledge-authority|Vocabularies</v>
      </c>
      <c r="N3600" s="3" t="s">
        <v>10004</v>
      </c>
    </row>
    <row r="3601">
      <c r="A3601" s="3" t="s">
        <v>13603</v>
      </c>
      <c r="B3601" s="4" t="str">
        <f>C3601 &amp; " -&gt; " &amp; D3601</f>
        <v>principal-knowledge-authority -&gt; Vocabularies.TermCount</v>
      </c>
      <c r="C3601" s="3" t="s">
        <v>9774</v>
      </c>
      <c r="D3601" s="3" t="s">
        <v>5702</v>
      </c>
      <c r="E3601" s="3" t="b">
        <v>1</v>
      </c>
      <c r="F3601" s="3" t="b">
        <v>0</v>
      </c>
      <c r="G3601" s="3" t="s">
        <v>10003</v>
      </c>
      <c r="H3601" s="4" t="str">
        <f>_xlfn.IFNA(IF(((INDEX(RulebookFields!C2:C1898, MATCH(D3601,RulebookFields!A2:A1898, 0))="")=TRUE),  "",  INDEX(RulebookFields!C2:C1898, MATCH(D3601,RulebookFields!A2:A1898, 0))), "")</f>
        <v>Vocabularies</v>
      </c>
      <c r="I3601" s="4" t="str">
        <f>_xlfn.IFNA(IF(((INDEX(RulebookFields!D2:D1898, MATCH(D3601,RulebookFields!A2:A1898, 0))="")=TRUE),  "",  INDEX(RulebookFields!D2:D1898, MATCH(D3601,RulebookFields!A2:A1898, 0))), "")</f>
        <v>TermCount</v>
      </c>
      <c r="J3601" s="4" t="b">
        <f>_xlfn.IFNA(IF(((INDEX(RulebookFields!I2:I1898, MATCH(D3601,RulebookFields!A2:A1898, 0))="")=TRUE),  "",  INDEX(RulebookFields!I2:I1898, MATCH(D3601,RulebookFields!A2:A1898, 0))), "")</f>
        <v>1</v>
      </c>
      <c r="K3601" s="4" t="b">
        <f>AND(((F3601)=TRUE), ((J3601)=TRUE))</f>
        <v>0</v>
      </c>
      <c r="L3601" s="4" t="b">
        <f>AND(((G3601 &lt;&gt; "plain")=TRUE), ((G3601 &lt;&gt; "")=TRUE))</f>
        <v>0</v>
      </c>
      <c r="M3601" s="4" t="str">
        <f>IF(((E3601)=TRUE),  C3601 &amp; "|" &amp; H3601,  "")</f>
        <v>principal-knowledge-authority|Vocabularies</v>
      </c>
      <c r="N3601" s="3" t="s">
        <v>10004</v>
      </c>
    </row>
    <row r="3602">
      <c r="A3602" s="3" t="s">
        <v>13604</v>
      </c>
      <c r="B3602" s="4" t="str">
        <f>C3602 &amp; " -&gt; " &amp; D3602</f>
        <v>principal-knowledge-authority -&gt; Vocabularies.OrphanTermCount</v>
      </c>
      <c r="C3602" s="3" t="s">
        <v>9774</v>
      </c>
      <c r="D3602" s="3" t="s">
        <v>5705</v>
      </c>
      <c r="E3602" s="3" t="b">
        <v>1</v>
      </c>
      <c r="F3602" s="3" t="b">
        <v>0</v>
      </c>
      <c r="G3602" s="3" t="s">
        <v>10003</v>
      </c>
      <c r="H3602" s="4" t="str">
        <f>_xlfn.IFNA(IF(((INDEX(RulebookFields!C2:C1898, MATCH(D3602,RulebookFields!A2:A1898, 0))="")=TRUE),  "",  INDEX(RulebookFields!C2:C1898, MATCH(D3602,RulebookFields!A2:A1898, 0))), "")</f>
        <v>Vocabularies</v>
      </c>
      <c r="I3602" s="4" t="str">
        <f>_xlfn.IFNA(IF(((INDEX(RulebookFields!D2:D1898, MATCH(D3602,RulebookFields!A2:A1898, 0))="")=TRUE),  "",  INDEX(RulebookFields!D2:D1898, MATCH(D3602,RulebookFields!A2:A1898, 0))), "")</f>
        <v>OrphanTermCount</v>
      </c>
      <c r="J3602" s="4" t="b">
        <f>_xlfn.IFNA(IF(((INDEX(RulebookFields!I2:I1898, MATCH(D3602,RulebookFields!A2:A1898, 0))="")=TRUE),  "",  INDEX(RulebookFields!I2:I1898, MATCH(D3602,RulebookFields!A2:A1898, 0))), "")</f>
        <v>1</v>
      </c>
      <c r="K3602" s="4" t="b">
        <f>AND(((F3602)=TRUE), ((J3602)=TRUE))</f>
        <v>0</v>
      </c>
      <c r="L3602" s="4" t="b">
        <f>AND(((G3602 &lt;&gt; "plain")=TRUE), ((G3602 &lt;&gt; "")=TRUE))</f>
        <v>0</v>
      </c>
      <c r="M3602" s="4" t="str">
        <f>IF(((E3602)=TRUE),  C3602 &amp; "|" &amp; H3602,  "")</f>
        <v>principal-knowledge-authority|Vocabularies</v>
      </c>
      <c r="N3602" s="3" t="s">
        <v>10004</v>
      </c>
    </row>
    <row r="3603">
      <c r="A3603" s="3" t="s">
        <v>13605</v>
      </c>
      <c r="B3603" s="4" t="str">
        <f>C3603 &amp; " -&gt; " &amp; D3603</f>
        <v>principal-knowledge-authority -&gt; Vocabularies.HasOrphanTerms</v>
      </c>
      <c r="C3603" s="3" t="s">
        <v>9774</v>
      </c>
      <c r="D3603" s="3" t="s">
        <v>5708</v>
      </c>
      <c r="E3603" s="3" t="b">
        <v>1</v>
      </c>
      <c r="F3603" s="3" t="b">
        <v>0</v>
      </c>
      <c r="G3603" s="3" t="s">
        <v>10003</v>
      </c>
      <c r="H3603" s="4" t="str">
        <f>_xlfn.IFNA(IF(((INDEX(RulebookFields!C2:C1898, MATCH(D3603,RulebookFields!A2:A1898, 0))="")=TRUE),  "",  INDEX(RulebookFields!C2:C1898, MATCH(D3603,RulebookFields!A2:A1898, 0))), "")</f>
        <v>Vocabularies</v>
      </c>
      <c r="I3603" s="4" t="str">
        <f>_xlfn.IFNA(IF(((INDEX(RulebookFields!D2:D1898, MATCH(D3603,RulebookFields!A2:A1898, 0))="")=TRUE),  "",  INDEX(RulebookFields!D2:D1898, MATCH(D3603,RulebookFields!A2:A1898, 0))), "")</f>
        <v>HasOrphanTerms</v>
      </c>
      <c r="J3603" s="4" t="b">
        <f>_xlfn.IFNA(IF(((INDEX(RulebookFields!I2:I1898, MATCH(D3603,RulebookFields!A2:A1898, 0))="")=TRUE),  "",  INDEX(RulebookFields!I2:I1898, MATCH(D3603,RulebookFields!A2:A1898, 0))), "")</f>
        <v>1</v>
      </c>
      <c r="K3603" s="4" t="b">
        <f>AND(((F3603)=TRUE), ((J3603)=TRUE))</f>
        <v>0</v>
      </c>
      <c r="L3603" s="4" t="b">
        <f>AND(((G3603 &lt;&gt; "plain")=TRUE), ((G3603 &lt;&gt; "")=TRUE))</f>
        <v>0</v>
      </c>
      <c r="M3603" s="4" t="str">
        <f>IF(((E3603)=TRUE),  C3603 &amp; "|" &amp; H3603,  "")</f>
        <v>principal-knowledge-authority|Vocabularies</v>
      </c>
      <c r="N3603" s="3" t="s">
        <v>10004</v>
      </c>
    </row>
    <row r="3604">
      <c r="A3604" s="3" t="s">
        <v>13606</v>
      </c>
      <c r="B3604" s="4" t="str">
        <f>C3604 &amp; " -&gt; " &amp; D3604</f>
        <v>principal-knowledge-authority -&gt; Vocabularies.SemanticTypeIri</v>
      </c>
      <c r="C3604" s="3" t="s">
        <v>9774</v>
      </c>
      <c r="D3604" s="3" t="s">
        <v>5711</v>
      </c>
      <c r="E3604" s="3" t="b">
        <v>1</v>
      </c>
      <c r="F3604" s="3" t="b">
        <v>0</v>
      </c>
      <c r="G3604" s="3" t="s">
        <v>10003</v>
      </c>
      <c r="H3604" s="4" t="str">
        <f>_xlfn.IFNA(IF(((INDEX(RulebookFields!C2:C1898, MATCH(D3604,RulebookFields!A2:A1898, 0))="")=TRUE),  "",  INDEX(RulebookFields!C2:C1898, MATCH(D3604,RulebookFields!A2:A1898, 0))), "")</f>
        <v>Vocabularies</v>
      </c>
      <c r="I3604" s="4" t="str">
        <f>_xlfn.IFNA(IF(((INDEX(RulebookFields!D2:D1898, MATCH(D3604,RulebookFields!A2:A1898, 0))="")=TRUE),  "",  INDEX(RulebookFields!D2:D1898, MATCH(D3604,RulebookFields!A2:A1898, 0))), "")</f>
        <v>SemanticTypeIri</v>
      </c>
      <c r="J3604" s="4" t="b">
        <f>_xlfn.IFNA(IF(((INDEX(RulebookFields!I2:I1898, MATCH(D3604,RulebookFields!A2:A1898, 0))="")=TRUE),  "",  INDEX(RulebookFields!I2:I1898, MATCH(D3604,RulebookFields!A2:A1898, 0))), "")</f>
        <v>0</v>
      </c>
      <c r="K3604" s="4" t="b">
        <f>AND(((F3604)=TRUE), ((J3604)=TRUE))</f>
        <v>0</v>
      </c>
      <c r="L3604" s="4" t="b">
        <f>AND(((G3604 &lt;&gt; "plain")=TRUE), ((G3604 &lt;&gt; "")=TRUE))</f>
        <v>0</v>
      </c>
      <c r="M3604" s="4" t="str">
        <f>IF(((E3604)=TRUE),  C3604 &amp; "|" &amp; H3604,  "")</f>
        <v>principal-knowledge-authority|Vocabularies</v>
      </c>
      <c r="N3604" s="3" t="s">
        <v>10004</v>
      </c>
    </row>
    <row r="3605">
      <c r="A3605" s="3" t="s">
        <v>13607</v>
      </c>
      <c r="B3605" s="4" t="str">
        <f>C3605 &amp; " -&gt; " &amp; D3605</f>
        <v>principal-knowledge-authority -&gt; VocabularyTerms.VocabularyTermId</v>
      </c>
      <c r="C3605" s="3" t="s">
        <v>9774</v>
      </c>
      <c r="D3605" s="3" t="s">
        <v>5712</v>
      </c>
      <c r="E3605" s="3" t="b">
        <v>1</v>
      </c>
      <c r="F3605" s="3" t="b">
        <v>0</v>
      </c>
      <c r="G3605" s="3" t="s">
        <v>10003</v>
      </c>
      <c r="H3605" s="4" t="str">
        <f>_xlfn.IFNA(IF(((INDEX(RulebookFields!C2:C1898, MATCH(D3605,RulebookFields!A2:A1898, 0))="")=TRUE),  "",  INDEX(RulebookFields!C2:C1898, MATCH(D3605,RulebookFields!A2:A1898, 0))), "")</f>
        <v>VocabularyTerms</v>
      </c>
      <c r="I3605" s="4" t="str">
        <f>_xlfn.IFNA(IF(((INDEX(RulebookFields!D2:D1898, MATCH(D3605,RulebookFields!A2:A1898, 0))="")=TRUE),  "",  INDEX(RulebookFields!D2:D1898, MATCH(D3605,RulebookFields!A2:A1898, 0))), "")</f>
        <v>VocabularyTermId</v>
      </c>
      <c r="J3605" s="4" t="b">
        <f>_xlfn.IFNA(IF(((INDEX(RulebookFields!I2:I1898, MATCH(D3605,RulebookFields!A2:A1898, 0))="")=TRUE),  "",  INDEX(RulebookFields!I2:I1898, MATCH(D3605,RulebookFields!A2:A1898, 0))), "")</f>
        <v>0</v>
      </c>
      <c r="K3605" s="4" t="b">
        <f>AND(((F3605)=TRUE), ((J3605)=TRUE))</f>
        <v>0</v>
      </c>
      <c r="L3605" s="4" t="b">
        <f>AND(((G3605 &lt;&gt; "plain")=TRUE), ((G3605 &lt;&gt; "")=TRUE))</f>
        <v>0</v>
      </c>
      <c r="M3605" s="4" t="str">
        <f>IF(((E3605)=TRUE),  C3605 &amp; "|" &amp; H3605,  "")</f>
        <v>principal-knowledge-authority|VocabularyTerms</v>
      </c>
      <c r="N3605" s="3" t="s">
        <v>10004</v>
      </c>
    </row>
    <row r="3606">
      <c r="A3606" s="3" t="s">
        <v>13608</v>
      </c>
      <c r="B3606" s="4" t="str">
        <f>C3606 &amp; " -&gt; " &amp; D3606</f>
        <v>principal-knowledge-authority -&gt; VocabularyTerms.Name</v>
      </c>
      <c r="C3606" s="3" t="s">
        <v>9774</v>
      </c>
      <c r="D3606" s="3" t="s">
        <v>5714</v>
      </c>
      <c r="E3606" s="3" t="b">
        <v>1</v>
      </c>
      <c r="F3606" s="3" t="b">
        <v>0</v>
      </c>
      <c r="G3606" s="3" t="s">
        <v>10003</v>
      </c>
      <c r="H3606" s="4" t="str">
        <f>_xlfn.IFNA(IF(((INDEX(RulebookFields!C2:C1898, MATCH(D3606,RulebookFields!A2:A1898, 0))="")=TRUE),  "",  INDEX(RulebookFields!C2:C1898, MATCH(D3606,RulebookFields!A2:A1898, 0))), "")</f>
        <v>VocabularyTerms</v>
      </c>
      <c r="I3606" s="4" t="str">
        <f>_xlfn.IFNA(IF(((INDEX(RulebookFields!D2:D1898, MATCH(D3606,RulebookFields!A2:A1898, 0))="")=TRUE),  "",  INDEX(RulebookFields!D2:D1898, MATCH(D3606,RulebookFields!A2:A1898, 0))), "")</f>
        <v>Name</v>
      </c>
      <c r="J3606" s="4" t="b">
        <f>_xlfn.IFNA(IF(((INDEX(RulebookFields!I2:I1898, MATCH(D3606,RulebookFields!A2:A1898, 0))="")=TRUE),  "",  INDEX(RulebookFields!I2:I1898, MATCH(D3606,RulebookFields!A2:A1898, 0))), "")</f>
        <v>1</v>
      </c>
      <c r="K3606" s="4" t="b">
        <f>AND(((F3606)=TRUE), ((J3606)=TRUE))</f>
        <v>0</v>
      </c>
      <c r="L3606" s="4" t="b">
        <f>AND(((G3606 &lt;&gt; "plain")=TRUE), ((G3606 &lt;&gt; "")=TRUE))</f>
        <v>0</v>
      </c>
      <c r="M3606" s="4" t="str">
        <f>IF(((E3606)=TRUE),  C3606 &amp; "|" &amp; H3606,  "")</f>
        <v>principal-knowledge-authority|VocabularyTerms</v>
      </c>
      <c r="N3606" s="3" t="s">
        <v>10004</v>
      </c>
    </row>
    <row r="3607">
      <c r="A3607" s="3" t="s">
        <v>13609</v>
      </c>
      <c r="B3607" s="4" t="str">
        <f>C3607 &amp; " -&gt; " &amp; D3607</f>
        <v>principal-knowledge-authority -&gt; VocabularyTerms.Vocabulary</v>
      </c>
      <c r="C3607" s="3" t="s">
        <v>9774</v>
      </c>
      <c r="D3607" s="3" t="s">
        <v>5716</v>
      </c>
      <c r="E3607" s="3" t="b">
        <v>1</v>
      </c>
      <c r="F3607" s="3" t="b">
        <v>0</v>
      </c>
      <c r="G3607" s="3" t="s">
        <v>10003</v>
      </c>
      <c r="H3607" s="4" t="str">
        <f>_xlfn.IFNA(IF(((INDEX(RulebookFields!C2:C1898, MATCH(D3607,RulebookFields!A2:A1898, 0))="")=TRUE),  "",  INDEX(RulebookFields!C2:C1898, MATCH(D3607,RulebookFields!A2:A1898, 0))), "")</f>
        <v>VocabularyTerms</v>
      </c>
      <c r="I3607" s="4" t="str">
        <f>_xlfn.IFNA(IF(((INDEX(RulebookFields!D2:D1898, MATCH(D3607,RulebookFields!A2:A1898, 0))="")=TRUE),  "",  INDEX(RulebookFields!D2:D1898, MATCH(D3607,RulebookFields!A2:A1898, 0))), "")</f>
        <v>Vocabulary</v>
      </c>
      <c r="J3607" s="4" t="b">
        <f>_xlfn.IFNA(IF(((INDEX(RulebookFields!I2:I1898, MATCH(D3607,RulebookFields!A2:A1898, 0))="")=TRUE),  "",  INDEX(RulebookFields!I2:I1898, MATCH(D3607,RulebookFields!A2:A1898, 0))), "")</f>
        <v>0</v>
      </c>
      <c r="K3607" s="4" t="b">
        <f>AND(((F3607)=TRUE), ((J3607)=TRUE))</f>
        <v>0</v>
      </c>
      <c r="L3607" s="4" t="b">
        <f>AND(((G3607 &lt;&gt; "plain")=TRUE), ((G3607 &lt;&gt; "")=TRUE))</f>
        <v>0</v>
      </c>
      <c r="M3607" s="4" t="str">
        <f>IF(((E3607)=TRUE),  C3607 &amp; "|" &amp; H3607,  "")</f>
        <v>principal-knowledge-authority|VocabularyTerms</v>
      </c>
      <c r="N3607" s="3" t="s">
        <v>10004</v>
      </c>
    </row>
    <row r="3608">
      <c r="A3608" s="3" t="s">
        <v>13610</v>
      </c>
      <c r="B3608" s="4" t="str">
        <f>C3608 &amp; " -&gt; " &amp; D3608</f>
        <v>principal-knowledge-authority -&gt; VocabularyTerms.PrefLabel</v>
      </c>
      <c r="C3608" s="3" t="s">
        <v>9774</v>
      </c>
      <c r="D3608" s="3" t="s">
        <v>5718</v>
      </c>
      <c r="E3608" s="3" t="b">
        <v>1</v>
      </c>
      <c r="F3608" s="3" t="b">
        <v>0</v>
      </c>
      <c r="G3608" s="3" t="s">
        <v>10003</v>
      </c>
      <c r="H3608" s="4" t="str">
        <f>_xlfn.IFNA(IF(((INDEX(RulebookFields!C2:C1898, MATCH(D3608,RulebookFields!A2:A1898, 0))="")=TRUE),  "",  INDEX(RulebookFields!C2:C1898, MATCH(D3608,RulebookFields!A2:A1898, 0))), "")</f>
        <v>VocabularyTerms</v>
      </c>
      <c r="I3608" s="4" t="str">
        <f>_xlfn.IFNA(IF(((INDEX(RulebookFields!D2:D1898, MATCH(D3608,RulebookFields!A2:A1898, 0))="")=TRUE),  "",  INDEX(RulebookFields!D2:D1898, MATCH(D3608,RulebookFields!A2:A1898, 0))), "")</f>
        <v>PrefLabel</v>
      </c>
      <c r="J3608" s="4" t="b">
        <f>_xlfn.IFNA(IF(((INDEX(RulebookFields!I2:I1898, MATCH(D3608,RulebookFields!A2:A1898, 0))="")=TRUE),  "",  INDEX(RulebookFields!I2:I1898, MATCH(D3608,RulebookFields!A2:A1898, 0))), "")</f>
        <v>0</v>
      </c>
      <c r="K3608" s="4" t="b">
        <f>AND(((F3608)=TRUE), ((J3608)=TRUE))</f>
        <v>0</v>
      </c>
      <c r="L3608" s="4" t="b">
        <f>AND(((G3608 &lt;&gt; "plain")=TRUE), ((G3608 &lt;&gt; "")=TRUE))</f>
        <v>0</v>
      </c>
      <c r="M3608" s="4" t="str">
        <f>IF(((E3608)=TRUE),  C3608 &amp; "|" &amp; H3608,  "")</f>
        <v>principal-knowledge-authority|VocabularyTerms</v>
      </c>
      <c r="N3608" s="3" t="s">
        <v>10004</v>
      </c>
    </row>
    <row r="3609">
      <c r="A3609" s="3" t="s">
        <v>13611</v>
      </c>
      <c r="B3609" s="4" t="str">
        <f>C3609 &amp; " -&gt; " &amp; D3609</f>
        <v>principal-knowledge-authority -&gt; VocabularyTerms.AltLabels</v>
      </c>
      <c r="C3609" s="3" t="s">
        <v>9774</v>
      </c>
      <c r="D3609" s="3" t="s">
        <v>5720</v>
      </c>
      <c r="E3609" s="3" t="b">
        <v>1</v>
      </c>
      <c r="F3609" s="3" t="b">
        <v>0</v>
      </c>
      <c r="G3609" s="3" t="s">
        <v>10003</v>
      </c>
      <c r="H3609" s="4" t="str">
        <f>_xlfn.IFNA(IF(((INDEX(RulebookFields!C2:C1898, MATCH(D3609,RulebookFields!A2:A1898, 0))="")=TRUE),  "",  INDEX(RulebookFields!C2:C1898, MATCH(D3609,RulebookFields!A2:A1898, 0))), "")</f>
        <v>VocabularyTerms</v>
      </c>
      <c r="I3609" s="4" t="str">
        <f>_xlfn.IFNA(IF(((INDEX(RulebookFields!D2:D1898, MATCH(D3609,RulebookFields!A2:A1898, 0))="")=TRUE),  "",  INDEX(RulebookFields!D2:D1898, MATCH(D3609,RulebookFields!A2:A1898, 0))), "")</f>
        <v>AltLabels</v>
      </c>
      <c r="J3609" s="4" t="b">
        <f>_xlfn.IFNA(IF(((INDEX(RulebookFields!I2:I1898, MATCH(D3609,RulebookFields!A2:A1898, 0))="")=TRUE),  "",  INDEX(RulebookFields!I2:I1898, MATCH(D3609,RulebookFields!A2:A1898, 0))), "")</f>
        <v>0</v>
      </c>
      <c r="K3609" s="4" t="b">
        <f>AND(((F3609)=TRUE), ((J3609)=TRUE))</f>
        <v>0</v>
      </c>
      <c r="L3609" s="4" t="b">
        <f>AND(((G3609 &lt;&gt; "plain")=TRUE), ((G3609 &lt;&gt; "")=TRUE))</f>
        <v>0</v>
      </c>
      <c r="M3609" s="4" t="str">
        <f>IF(((E3609)=TRUE),  C3609 &amp; "|" &amp; H3609,  "")</f>
        <v>principal-knowledge-authority|VocabularyTerms</v>
      </c>
      <c r="N3609" s="3" t="s">
        <v>10004</v>
      </c>
    </row>
    <row r="3610">
      <c r="A3610" s="3" t="s">
        <v>13612</v>
      </c>
      <c r="B3610" s="4" t="str">
        <f>C3610 &amp; " -&gt; " &amp; D3610</f>
        <v>principal-knowledge-authority -&gt; VocabularyTerms.Definition</v>
      </c>
      <c r="C3610" s="3" t="s">
        <v>9774</v>
      </c>
      <c r="D3610" s="3" t="s">
        <v>5722</v>
      </c>
      <c r="E3610" s="3" t="b">
        <v>1</v>
      </c>
      <c r="F3610" s="3" t="b">
        <v>0</v>
      </c>
      <c r="G3610" s="3" t="s">
        <v>10003</v>
      </c>
      <c r="H3610" s="4" t="str">
        <f>_xlfn.IFNA(IF(((INDEX(RulebookFields!C2:C1898, MATCH(D3610,RulebookFields!A2:A1898, 0))="")=TRUE),  "",  INDEX(RulebookFields!C2:C1898, MATCH(D3610,RulebookFields!A2:A1898, 0))), "")</f>
        <v>VocabularyTerms</v>
      </c>
      <c r="I3610" s="4" t="str">
        <f>_xlfn.IFNA(IF(((INDEX(RulebookFields!D2:D1898, MATCH(D3610,RulebookFields!A2:A1898, 0))="")=TRUE),  "",  INDEX(RulebookFields!D2:D1898, MATCH(D3610,RulebookFields!A2:A1898, 0))), "")</f>
        <v>Definition</v>
      </c>
      <c r="J3610" s="4" t="b">
        <f>_xlfn.IFNA(IF(((INDEX(RulebookFields!I2:I1898, MATCH(D3610,RulebookFields!A2:A1898, 0))="")=TRUE),  "",  INDEX(RulebookFields!I2:I1898, MATCH(D3610,RulebookFields!A2:A1898, 0))), "")</f>
        <v>0</v>
      </c>
      <c r="K3610" s="4" t="b">
        <f>AND(((F3610)=TRUE), ((J3610)=TRUE))</f>
        <v>0</v>
      </c>
      <c r="L3610" s="4" t="b">
        <f>AND(((G3610 &lt;&gt; "plain")=TRUE), ((G3610 &lt;&gt; "")=TRUE))</f>
        <v>0</v>
      </c>
      <c r="M3610" s="4" t="str">
        <f>IF(((E3610)=TRUE),  C3610 &amp; "|" &amp; H3610,  "")</f>
        <v>principal-knowledge-authority|VocabularyTerms</v>
      </c>
      <c r="N3610" s="3" t="s">
        <v>10004</v>
      </c>
    </row>
    <row r="3611">
      <c r="A3611" s="3" t="s">
        <v>13613</v>
      </c>
      <c r="B3611" s="4" t="str">
        <f>C3611 &amp; " -&gt; " &amp; D3611</f>
        <v>principal-knowledge-authority -&gt; VocabularyTerms.UsageCount</v>
      </c>
      <c r="C3611" s="3" t="s">
        <v>9774</v>
      </c>
      <c r="D3611" s="3" t="s">
        <v>5723</v>
      </c>
      <c r="E3611" s="3" t="b">
        <v>1</v>
      </c>
      <c r="F3611" s="3" t="b">
        <v>0</v>
      </c>
      <c r="G3611" s="3" t="s">
        <v>10003</v>
      </c>
      <c r="H3611" s="4" t="str">
        <f>_xlfn.IFNA(IF(((INDEX(RulebookFields!C2:C1898, MATCH(D3611,RulebookFields!A2:A1898, 0))="")=TRUE),  "",  INDEX(RulebookFields!C2:C1898, MATCH(D3611,RulebookFields!A2:A1898, 0))), "")</f>
        <v>VocabularyTerms</v>
      </c>
      <c r="I3611" s="4" t="str">
        <f>_xlfn.IFNA(IF(((INDEX(RulebookFields!D2:D1898, MATCH(D3611,RulebookFields!A2:A1898, 0))="")=TRUE),  "",  INDEX(RulebookFields!D2:D1898, MATCH(D3611,RulebookFields!A2:A1898, 0))), "")</f>
        <v>UsageCount</v>
      </c>
      <c r="J3611" s="4" t="b">
        <f>_xlfn.IFNA(IF(((INDEX(RulebookFields!I2:I1898, MATCH(D3611,RulebookFields!A2:A1898, 0))="")=TRUE),  "",  INDEX(RulebookFields!I2:I1898, MATCH(D3611,RulebookFields!A2:A1898, 0))), "")</f>
        <v>1</v>
      </c>
      <c r="K3611" s="4" t="b">
        <f>AND(((F3611)=TRUE), ((J3611)=TRUE))</f>
        <v>0</v>
      </c>
      <c r="L3611" s="4" t="b">
        <f>AND(((G3611 &lt;&gt; "plain")=TRUE), ((G3611 &lt;&gt; "")=TRUE))</f>
        <v>0</v>
      </c>
      <c r="M3611" s="4" t="str">
        <f>IF(((E3611)=TRUE),  C3611 &amp; "|" &amp; H3611,  "")</f>
        <v>principal-knowledge-authority|VocabularyTerms</v>
      </c>
      <c r="N3611" s="3" t="s">
        <v>10004</v>
      </c>
    </row>
    <row r="3612">
      <c r="A3612" s="3" t="s">
        <v>13614</v>
      </c>
      <c r="B3612" s="4" t="str">
        <f>C3612 &amp; " -&gt; " &amp; D3612</f>
        <v>principal-knowledge-authority -&gt; VocabularyTerms.IsOrphanTerm</v>
      </c>
      <c r="C3612" s="3" t="s">
        <v>9774</v>
      </c>
      <c r="D3612" s="3" t="s">
        <v>5725</v>
      </c>
      <c r="E3612" s="3" t="b">
        <v>1</v>
      </c>
      <c r="F3612" s="3" t="b">
        <v>0</v>
      </c>
      <c r="G3612" s="3" t="s">
        <v>10003</v>
      </c>
      <c r="H3612" s="4" t="str">
        <f>_xlfn.IFNA(IF(((INDEX(RulebookFields!C2:C1898, MATCH(D3612,RulebookFields!A2:A1898, 0))="")=TRUE),  "",  INDEX(RulebookFields!C2:C1898, MATCH(D3612,RulebookFields!A2:A1898, 0))), "")</f>
        <v>VocabularyTerms</v>
      </c>
      <c r="I3612" s="4" t="str">
        <f>_xlfn.IFNA(IF(((INDEX(RulebookFields!D2:D1898, MATCH(D3612,RulebookFields!A2:A1898, 0))="")=TRUE),  "",  INDEX(RulebookFields!D2:D1898, MATCH(D3612,RulebookFields!A2:A1898, 0))), "")</f>
        <v>IsOrphanTerm</v>
      </c>
      <c r="J3612" s="4" t="b">
        <f>_xlfn.IFNA(IF(((INDEX(RulebookFields!I2:I1898, MATCH(D3612,RulebookFields!A2:A1898, 0))="")=TRUE),  "",  INDEX(RulebookFields!I2:I1898, MATCH(D3612,RulebookFields!A2:A1898, 0))), "")</f>
        <v>1</v>
      </c>
      <c r="K3612" s="4" t="b">
        <f>AND(((F3612)=TRUE), ((J3612)=TRUE))</f>
        <v>0</v>
      </c>
      <c r="L3612" s="4" t="b">
        <f>AND(((G3612 &lt;&gt; "plain")=TRUE), ((G3612 &lt;&gt; "")=TRUE))</f>
        <v>0</v>
      </c>
      <c r="M3612" s="4" t="str">
        <f>IF(((E3612)=TRUE),  C3612 &amp; "|" &amp; H3612,  "")</f>
        <v>principal-knowledge-authority|VocabularyTerms</v>
      </c>
      <c r="N3612" s="3" t="s">
        <v>10004</v>
      </c>
    </row>
    <row r="3613">
      <c r="A3613" s="3" t="s">
        <v>13615</v>
      </c>
      <c r="B3613" s="4" t="str">
        <f>C3613 &amp; " -&gt; " &amp; D3613</f>
        <v>principal-knowledge-authority -&gt; VocabularyTerms.IsWidelyAdoptedTerm</v>
      </c>
      <c r="C3613" s="3" t="s">
        <v>9774</v>
      </c>
      <c r="D3613" s="3" t="s">
        <v>5728</v>
      </c>
      <c r="E3613" s="3" t="b">
        <v>1</v>
      </c>
      <c r="F3613" s="3" t="b">
        <v>0</v>
      </c>
      <c r="G3613" s="3" t="s">
        <v>10003</v>
      </c>
      <c r="H3613" s="4" t="str">
        <f>_xlfn.IFNA(IF(((INDEX(RulebookFields!C2:C1898, MATCH(D3613,RulebookFields!A2:A1898, 0))="")=TRUE),  "",  INDEX(RulebookFields!C2:C1898, MATCH(D3613,RulebookFields!A2:A1898, 0))), "")</f>
        <v>VocabularyTerms</v>
      </c>
      <c r="I3613" s="4" t="str">
        <f>_xlfn.IFNA(IF(((INDEX(RulebookFields!D2:D1898, MATCH(D3613,RulebookFields!A2:A1898, 0))="")=TRUE),  "",  INDEX(RulebookFields!D2:D1898, MATCH(D3613,RulebookFields!A2:A1898, 0))), "")</f>
        <v>IsWidelyAdoptedTerm</v>
      </c>
      <c r="J3613" s="4" t="b">
        <f>_xlfn.IFNA(IF(((INDEX(RulebookFields!I2:I1898, MATCH(D3613,RulebookFields!A2:A1898, 0))="")=TRUE),  "",  INDEX(RulebookFields!I2:I1898, MATCH(D3613,RulebookFields!A2:A1898, 0))), "")</f>
        <v>1</v>
      </c>
      <c r="K3613" s="4" t="b">
        <f>AND(((F3613)=TRUE), ((J3613)=TRUE))</f>
        <v>0</v>
      </c>
      <c r="L3613" s="4" t="b">
        <f>AND(((G3613 &lt;&gt; "plain")=TRUE), ((G3613 &lt;&gt; "")=TRUE))</f>
        <v>0</v>
      </c>
      <c r="M3613" s="4" t="str">
        <f>IF(((E3613)=TRUE),  C3613 &amp; "|" &amp; H3613,  "")</f>
        <v>principal-knowledge-authority|VocabularyTerms</v>
      </c>
      <c r="N3613" s="3" t="s">
        <v>10004</v>
      </c>
    </row>
    <row r="3614">
      <c r="A3614" s="3" t="s">
        <v>13616</v>
      </c>
      <c r="B3614" s="4" t="str">
        <f>C3614 &amp; " -&gt; " &amp; D3614</f>
        <v>principal-knowledge-authority -&gt; VocabularyTerms.OrphanTermVocabularyKey</v>
      </c>
      <c r="C3614" s="3" t="s">
        <v>9774</v>
      </c>
      <c r="D3614" s="3" t="s">
        <v>5731</v>
      </c>
      <c r="E3614" s="3" t="b">
        <v>1</v>
      </c>
      <c r="F3614" s="3" t="b">
        <v>0</v>
      </c>
      <c r="G3614" s="3" t="s">
        <v>10003</v>
      </c>
      <c r="H3614" s="4" t="str">
        <f>_xlfn.IFNA(IF(((INDEX(RulebookFields!C2:C1898, MATCH(D3614,RulebookFields!A2:A1898, 0))="")=TRUE),  "",  INDEX(RulebookFields!C2:C1898, MATCH(D3614,RulebookFields!A2:A1898, 0))), "")</f>
        <v>VocabularyTerms</v>
      </c>
      <c r="I3614" s="4" t="str">
        <f>_xlfn.IFNA(IF(((INDEX(RulebookFields!D2:D1898, MATCH(D3614,RulebookFields!A2:A1898, 0))="")=TRUE),  "",  INDEX(RulebookFields!D2:D1898, MATCH(D3614,RulebookFields!A2:A1898, 0))), "")</f>
        <v>OrphanTermVocabularyKey</v>
      </c>
      <c r="J3614" s="4" t="b">
        <f>_xlfn.IFNA(IF(((INDEX(RulebookFields!I2:I1898, MATCH(D3614,RulebookFields!A2:A1898, 0))="")=TRUE),  "",  INDEX(RulebookFields!I2:I1898, MATCH(D3614,RulebookFields!A2:A1898, 0))), "")</f>
        <v>1</v>
      </c>
      <c r="K3614" s="4" t="b">
        <f>AND(((F3614)=TRUE), ((J3614)=TRUE))</f>
        <v>0</v>
      </c>
      <c r="L3614" s="4" t="b">
        <f>AND(((G3614 &lt;&gt; "plain")=TRUE), ((G3614 &lt;&gt; "")=TRUE))</f>
        <v>0</v>
      </c>
      <c r="M3614" s="4" t="str">
        <f>IF(((E3614)=TRUE),  C3614 &amp; "|" &amp; H3614,  "")</f>
        <v>principal-knowledge-authority|VocabularyTerms</v>
      </c>
      <c r="N3614" s="3" t="s">
        <v>10004</v>
      </c>
    </row>
    <row r="3615">
      <c r="A3615" s="3" t="s">
        <v>13617</v>
      </c>
      <c r="B3615" s="4" t="str">
        <f>C3615 &amp; " -&gt; " &amp; D3615</f>
        <v>principal-knowledge-authority -&gt; VocabularyTerms.SemanticTypeIri</v>
      </c>
      <c r="C3615" s="3" t="s">
        <v>9774</v>
      </c>
      <c r="D3615" s="3" t="s">
        <v>5734</v>
      </c>
      <c r="E3615" s="3" t="b">
        <v>1</v>
      </c>
      <c r="F3615" s="3" t="b">
        <v>0</v>
      </c>
      <c r="G3615" s="3" t="s">
        <v>10003</v>
      </c>
      <c r="H3615" s="4" t="str">
        <f>_xlfn.IFNA(IF(((INDEX(RulebookFields!C2:C1898, MATCH(D3615,RulebookFields!A2:A1898, 0))="")=TRUE),  "",  INDEX(RulebookFields!C2:C1898, MATCH(D3615,RulebookFields!A2:A1898, 0))), "")</f>
        <v>VocabularyTerms</v>
      </c>
      <c r="I3615" s="4" t="str">
        <f>_xlfn.IFNA(IF(((INDEX(RulebookFields!D2:D1898, MATCH(D3615,RulebookFields!A2:A1898, 0))="")=TRUE),  "",  INDEX(RulebookFields!D2:D1898, MATCH(D3615,RulebookFields!A2:A1898, 0))), "")</f>
        <v>SemanticTypeIri</v>
      </c>
      <c r="J3615" s="4" t="b">
        <f>_xlfn.IFNA(IF(((INDEX(RulebookFields!I2:I1898, MATCH(D3615,RulebookFields!A2:A1898, 0))="")=TRUE),  "",  INDEX(RulebookFields!I2:I1898, MATCH(D3615,RulebookFields!A2:A1898, 0))), "")</f>
        <v>0</v>
      </c>
      <c r="K3615" s="4" t="b">
        <f>AND(((F3615)=TRUE), ((J3615)=TRUE))</f>
        <v>0</v>
      </c>
      <c r="L3615" s="4" t="b">
        <f>AND(((G3615 &lt;&gt; "plain")=TRUE), ((G3615 &lt;&gt; "")=TRUE))</f>
        <v>0</v>
      </c>
      <c r="M3615" s="4" t="str">
        <f>IF(((E3615)=TRUE),  C3615 &amp; "|" &amp; H3615,  "")</f>
        <v>principal-knowledge-authority|VocabularyTerms</v>
      </c>
      <c r="N3615" s="3" t="s">
        <v>10004</v>
      </c>
    </row>
    <row r="3616">
      <c r="A3616" s="3" t="s">
        <v>13618</v>
      </c>
      <c r="B3616" s="4" t="str">
        <f>C3616 &amp; " -&gt; " &amp; D3616</f>
        <v>principal-knowledge-authority -&gt; KnowledgeBrokerLinks.KnowledgeBrokerLinkId</v>
      </c>
      <c r="C3616" s="3" t="s">
        <v>9774</v>
      </c>
      <c r="D3616" s="3" t="s">
        <v>5735</v>
      </c>
      <c r="E3616" s="3" t="b">
        <v>1</v>
      </c>
      <c r="F3616" s="3" t="b">
        <v>0</v>
      </c>
      <c r="G3616" s="3" t="s">
        <v>10003</v>
      </c>
      <c r="H3616" s="4" t="str">
        <f>_xlfn.IFNA(IF(((INDEX(RulebookFields!C2:C1898, MATCH(D3616,RulebookFields!A2:A1898, 0))="")=TRUE),  "",  INDEX(RulebookFields!C2:C1898, MATCH(D3616,RulebookFields!A2:A1898, 0))), "")</f>
        <v>KnowledgeBrokerLinks</v>
      </c>
      <c r="I3616" s="4" t="str">
        <f>_xlfn.IFNA(IF(((INDEX(RulebookFields!D2:D1898, MATCH(D3616,RulebookFields!A2:A1898, 0))="")=TRUE),  "",  INDEX(RulebookFields!D2:D1898, MATCH(D3616,RulebookFields!A2:A1898, 0))), "")</f>
        <v>KnowledgeBrokerLinkId</v>
      </c>
      <c r="J3616" s="4" t="b">
        <f>_xlfn.IFNA(IF(((INDEX(RulebookFields!I2:I1898, MATCH(D3616,RulebookFields!A2:A1898, 0))="")=TRUE),  "",  INDEX(RulebookFields!I2:I1898, MATCH(D3616,RulebookFields!A2:A1898, 0))), "")</f>
        <v>0</v>
      </c>
      <c r="K3616" s="4" t="b">
        <f>AND(((F3616)=TRUE), ((J3616)=TRUE))</f>
        <v>0</v>
      </c>
      <c r="L3616" s="4" t="b">
        <f>AND(((G3616 &lt;&gt; "plain")=TRUE), ((G3616 &lt;&gt; "")=TRUE))</f>
        <v>0</v>
      </c>
      <c r="M3616" s="4" t="str">
        <f>IF(((E3616)=TRUE),  C3616 &amp; "|" &amp; H3616,  "")</f>
        <v>principal-knowledge-authority|KnowledgeBrokerLinks</v>
      </c>
      <c r="N3616" s="3" t="s">
        <v>10004</v>
      </c>
    </row>
    <row r="3617">
      <c r="A3617" s="3" t="s">
        <v>13619</v>
      </c>
      <c r="B3617" s="4" t="str">
        <f>C3617 &amp; " -&gt; " &amp; D3617</f>
        <v>principal-knowledge-authority -&gt; KnowledgeBrokerLinks.Name</v>
      </c>
      <c r="C3617" s="3" t="s">
        <v>9774</v>
      </c>
      <c r="D3617" s="3" t="s">
        <v>5737</v>
      </c>
      <c r="E3617" s="3" t="b">
        <v>1</v>
      </c>
      <c r="F3617" s="3" t="b">
        <v>0</v>
      </c>
      <c r="G3617" s="3" t="s">
        <v>10003</v>
      </c>
      <c r="H3617" s="4" t="str">
        <f>_xlfn.IFNA(IF(((INDEX(RulebookFields!C2:C1898, MATCH(D3617,RulebookFields!A2:A1898, 0))="")=TRUE),  "",  INDEX(RulebookFields!C2:C1898, MATCH(D3617,RulebookFields!A2:A1898, 0))), "")</f>
        <v>KnowledgeBrokerLinks</v>
      </c>
      <c r="I3617" s="4" t="str">
        <f>_xlfn.IFNA(IF(((INDEX(RulebookFields!D2:D1898, MATCH(D3617,RulebookFields!A2:A1898, 0))="")=TRUE),  "",  INDEX(RulebookFields!D2:D1898, MATCH(D3617,RulebookFields!A2:A1898, 0))), "")</f>
        <v>Name</v>
      </c>
      <c r="J3617" s="4" t="b">
        <f>_xlfn.IFNA(IF(((INDEX(RulebookFields!I2:I1898, MATCH(D3617,RulebookFields!A2:A1898, 0))="")=TRUE),  "",  INDEX(RulebookFields!I2:I1898, MATCH(D3617,RulebookFields!A2:A1898, 0))), "")</f>
        <v>1</v>
      </c>
      <c r="K3617" s="4" t="b">
        <f>AND(((F3617)=TRUE), ((J3617)=TRUE))</f>
        <v>0</v>
      </c>
      <c r="L3617" s="4" t="b">
        <f>AND(((G3617 &lt;&gt; "plain")=TRUE), ((G3617 &lt;&gt; "")=TRUE))</f>
        <v>0</v>
      </c>
      <c r="M3617" s="4" t="str">
        <f>IF(((E3617)=TRUE),  C3617 &amp; "|" &amp; H3617,  "")</f>
        <v>principal-knowledge-authority|KnowledgeBrokerLinks</v>
      </c>
      <c r="N3617" s="3" t="s">
        <v>10004</v>
      </c>
    </row>
    <row r="3618">
      <c r="A3618" s="3" t="s">
        <v>13620</v>
      </c>
      <c r="B3618" s="4" t="str">
        <f>C3618 &amp; " -&gt; " &amp; D3618</f>
        <v>principal-knowledge-authority -&gt; KnowledgeBrokerLinks.Seeker</v>
      </c>
      <c r="C3618" s="3" t="s">
        <v>9774</v>
      </c>
      <c r="D3618" s="3" t="s">
        <v>5739</v>
      </c>
      <c r="E3618" s="3" t="b">
        <v>1</v>
      </c>
      <c r="F3618" s="3" t="b">
        <v>0</v>
      </c>
      <c r="G3618" s="3" t="s">
        <v>10003</v>
      </c>
      <c r="H3618" s="4" t="str">
        <f>_xlfn.IFNA(IF(((INDEX(RulebookFields!C2:C1898, MATCH(D3618,RulebookFields!A2:A1898, 0))="")=TRUE),  "",  INDEX(RulebookFields!C2:C1898, MATCH(D3618,RulebookFields!A2:A1898, 0))), "")</f>
        <v>KnowledgeBrokerLinks</v>
      </c>
      <c r="I3618" s="4" t="str">
        <f>_xlfn.IFNA(IF(((INDEX(RulebookFields!D2:D1898, MATCH(D3618,RulebookFields!A2:A1898, 0))="")=TRUE),  "",  INDEX(RulebookFields!D2:D1898, MATCH(D3618,RulebookFields!A2:A1898, 0))), "")</f>
        <v>Seeker</v>
      </c>
      <c r="J3618" s="4" t="b">
        <f>_xlfn.IFNA(IF(((INDEX(RulebookFields!I2:I1898, MATCH(D3618,RulebookFields!A2:A1898, 0))="")=TRUE),  "",  INDEX(RulebookFields!I2:I1898, MATCH(D3618,RulebookFields!A2:A1898, 0))), "")</f>
        <v>0</v>
      </c>
      <c r="K3618" s="4" t="b">
        <f>AND(((F3618)=TRUE), ((J3618)=TRUE))</f>
        <v>0</v>
      </c>
      <c r="L3618" s="4" t="b">
        <f>AND(((G3618 &lt;&gt; "plain")=TRUE), ((G3618 &lt;&gt; "")=TRUE))</f>
        <v>0</v>
      </c>
      <c r="M3618" s="4" t="str">
        <f>IF(((E3618)=TRUE),  C3618 &amp; "|" &amp; H3618,  "")</f>
        <v>principal-knowledge-authority|KnowledgeBrokerLinks</v>
      </c>
      <c r="N3618" s="3" t="s">
        <v>10004</v>
      </c>
    </row>
    <row r="3619">
      <c r="A3619" s="3" t="s">
        <v>13621</v>
      </c>
      <c r="B3619" s="4" t="str">
        <f>C3619 &amp; " -&gt; " &amp; D3619</f>
        <v>principal-knowledge-authority -&gt; KnowledgeBrokerLinks.Broker</v>
      </c>
      <c r="C3619" s="3" t="s">
        <v>9774</v>
      </c>
      <c r="D3619" s="3" t="s">
        <v>5741</v>
      </c>
      <c r="E3619" s="3" t="b">
        <v>1</v>
      </c>
      <c r="F3619" s="3" t="b">
        <v>0</v>
      </c>
      <c r="G3619" s="3" t="s">
        <v>10003</v>
      </c>
      <c r="H3619" s="4" t="str">
        <f>_xlfn.IFNA(IF(((INDEX(RulebookFields!C2:C1898, MATCH(D3619,RulebookFields!A2:A1898, 0))="")=TRUE),  "",  INDEX(RulebookFields!C2:C1898, MATCH(D3619,RulebookFields!A2:A1898, 0))), "")</f>
        <v>KnowledgeBrokerLinks</v>
      </c>
      <c r="I3619" s="4" t="str">
        <f>_xlfn.IFNA(IF(((INDEX(RulebookFields!D2:D1898, MATCH(D3619,RulebookFields!A2:A1898, 0))="")=TRUE),  "",  INDEX(RulebookFields!D2:D1898, MATCH(D3619,RulebookFields!A2:A1898, 0))), "")</f>
        <v>Broker</v>
      </c>
      <c r="J3619" s="4" t="b">
        <f>_xlfn.IFNA(IF(((INDEX(RulebookFields!I2:I1898, MATCH(D3619,RulebookFields!A2:A1898, 0))="")=TRUE),  "",  INDEX(RulebookFields!I2:I1898, MATCH(D3619,RulebookFields!A2:A1898, 0))), "")</f>
        <v>0</v>
      </c>
      <c r="K3619" s="4" t="b">
        <f>AND(((F3619)=TRUE), ((J3619)=TRUE))</f>
        <v>0</v>
      </c>
      <c r="L3619" s="4" t="b">
        <f>AND(((G3619 &lt;&gt; "plain")=TRUE), ((G3619 &lt;&gt; "")=TRUE))</f>
        <v>0</v>
      </c>
      <c r="M3619" s="4" t="str">
        <f>IF(((E3619)=TRUE),  C3619 &amp; "|" &amp; H3619,  "")</f>
        <v>principal-knowledge-authority|KnowledgeBrokerLinks</v>
      </c>
      <c r="N3619" s="3" t="s">
        <v>10004</v>
      </c>
    </row>
    <row r="3620">
      <c r="A3620" s="3" t="s">
        <v>13622</v>
      </c>
      <c r="B3620" s="4" t="str">
        <f>C3620 &amp; " -&gt; " &amp; D3620</f>
        <v>principal-knowledge-authority -&gt; KnowledgeBrokerLinks.Topic</v>
      </c>
      <c r="C3620" s="3" t="s">
        <v>9774</v>
      </c>
      <c r="D3620" s="3" t="s">
        <v>5743</v>
      </c>
      <c r="E3620" s="3" t="b">
        <v>1</v>
      </c>
      <c r="F3620" s="3" t="b">
        <v>0</v>
      </c>
      <c r="G3620" s="3" t="s">
        <v>10003</v>
      </c>
      <c r="H3620" s="4" t="str">
        <f>_xlfn.IFNA(IF(((INDEX(RulebookFields!C2:C1898, MATCH(D3620,RulebookFields!A2:A1898, 0))="")=TRUE),  "",  INDEX(RulebookFields!C2:C1898, MATCH(D3620,RulebookFields!A2:A1898, 0))), "")</f>
        <v>KnowledgeBrokerLinks</v>
      </c>
      <c r="I3620" s="4" t="str">
        <f>_xlfn.IFNA(IF(((INDEX(RulebookFields!D2:D1898, MATCH(D3620,RulebookFields!A2:A1898, 0))="")=TRUE),  "",  INDEX(RulebookFields!D2:D1898, MATCH(D3620,RulebookFields!A2:A1898, 0))), "")</f>
        <v>Topic</v>
      </c>
      <c r="J3620" s="4" t="b">
        <f>_xlfn.IFNA(IF(((INDEX(RulebookFields!I2:I1898, MATCH(D3620,RulebookFields!A2:A1898, 0))="")=TRUE),  "",  INDEX(RulebookFields!I2:I1898, MATCH(D3620,RulebookFields!A2:A1898, 0))), "")</f>
        <v>0</v>
      </c>
      <c r="K3620" s="4" t="b">
        <f>AND(((F3620)=TRUE), ((J3620)=TRUE))</f>
        <v>0</v>
      </c>
      <c r="L3620" s="4" t="b">
        <f>AND(((G3620 &lt;&gt; "plain")=TRUE), ((G3620 &lt;&gt; "")=TRUE))</f>
        <v>0</v>
      </c>
      <c r="M3620" s="4" t="str">
        <f>IF(((E3620)=TRUE),  C3620 &amp; "|" &amp; H3620,  "")</f>
        <v>principal-knowledge-authority|KnowledgeBrokerLinks</v>
      </c>
      <c r="N3620" s="3" t="s">
        <v>10004</v>
      </c>
    </row>
    <row r="3621">
      <c r="A3621" s="3" t="s">
        <v>13623</v>
      </c>
      <c r="B3621" s="4" t="str">
        <f>C3621 &amp; " -&gt; " &amp; D3621</f>
        <v>principal-knowledge-authority -&gt; KnowledgeBrokerLinks.Frequency</v>
      </c>
      <c r="C3621" s="3" t="s">
        <v>9774</v>
      </c>
      <c r="D3621" s="3" t="s">
        <v>5745</v>
      </c>
      <c r="E3621" s="3" t="b">
        <v>1</v>
      </c>
      <c r="F3621" s="3" t="b">
        <v>0</v>
      </c>
      <c r="G3621" s="3" t="s">
        <v>10003</v>
      </c>
      <c r="H3621" s="4" t="str">
        <f>_xlfn.IFNA(IF(((INDEX(RulebookFields!C2:C1898, MATCH(D3621,RulebookFields!A2:A1898, 0))="")=TRUE),  "",  INDEX(RulebookFields!C2:C1898, MATCH(D3621,RulebookFields!A2:A1898, 0))), "")</f>
        <v>KnowledgeBrokerLinks</v>
      </c>
      <c r="I3621" s="4" t="str">
        <f>_xlfn.IFNA(IF(((INDEX(RulebookFields!D2:D1898, MATCH(D3621,RulebookFields!A2:A1898, 0))="")=TRUE),  "",  INDEX(RulebookFields!D2:D1898, MATCH(D3621,RulebookFields!A2:A1898, 0))), "")</f>
        <v>Frequency</v>
      </c>
      <c r="J3621" s="4" t="b">
        <f>_xlfn.IFNA(IF(((INDEX(RulebookFields!I2:I1898, MATCH(D3621,RulebookFields!A2:A1898, 0))="")=TRUE),  "",  INDEX(RulebookFields!I2:I1898, MATCH(D3621,RulebookFields!A2:A1898, 0))), "")</f>
        <v>0</v>
      </c>
      <c r="K3621" s="4" t="b">
        <f>AND(((F3621)=TRUE), ((J3621)=TRUE))</f>
        <v>0</v>
      </c>
      <c r="L3621" s="4" t="b">
        <f>AND(((G3621 &lt;&gt; "plain")=TRUE), ((G3621 &lt;&gt; "")=TRUE))</f>
        <v>0</v>
      </c>
      <c r="M3621" s="4" t="str">
        <f>IF(((E3621)=TRUE),  C3621 &amp; "|" &amp; H3621,  "")</f>
        <v>principal-knowledge-authority|KnowledgeBrokerLinks</v>
      </c>
      <c r="N3621" s="3" t="s">
        <v>10004</v>
      </c>
    </row>
    <row r="3622">
      <c r="A3622" s="3" t="s">
        <v>13624</v>
      </c>
      <c r="B3622" s="4" t="str">
        <f>C3622 &amp; " -&gt; " &amp; D3622</f>
        <v>principal-knowledge-authority -&gt; KnowledgeBrokerLinks.LastConsultedAt</v>
      </c>
      <c r="C3622" s="3" t="s">
        <v>9774</v>
      </c>
      <c r="D3622" s="3" t="s">
        <v>5747</v>
      </c>
      <c r="E3622" s="3" t="b">
        <v>1</v>
      </c>
      <c r="F3622" s="3" t="b">
        <v>0</v>
      </c>
      <c r="G3622" s="3" t="s">
        <v>10003</v>
      </c>
      <c r="H3622" s="4" t="str">
        <f>_xlfn.IFNA(IF(((INDEX(RulebookFields!C2:C1898, MATCH(D3622,RulebookFields!A2:A1898, 0))="")=TRUE),  "",  INDEX(RulebookFields!C2:C1898, MATCH(D3622,RulebookFields!A2:A1898, 0))), "")</f>
        <v>KnowledgeBrokerLinks</v>
      </c>
      <c r="I3622" s="4" t="str">
        <f>_xlfn.IFNA(IF(((INDEX(RulebookFields!D2:D1898, MATCH(D3622,RulebookFields!A2:A1898, 0))="")=TRUE),  "",  INDEX(RulebookFields!D2:D1898, MATCH(D3622,RulebookFields!A2:A1898, 0))), "")</f>
        <v>LastConsultedAt</v>
      </c>
      <c r="J3622" s="4" t="b">
        <f>_xlfn.IFNA(IF(((INDEX(RulebookFields!I2:I1898, MATCH(D3622,RulebookFields!A2:A1898, 0))="")=TRUE),  "",  INDEX(RulebookFields!I2:I1898, MATCH(D3622,RulebookFields!A2:A1898, 0))), "")</f>
        <v>0</v>
      </c>
      <c r="K3622" s="4" t="b">
        <f>AND(((F3622)=TRUE), ((J3622)=TRUE))</f>
        <v>0</v>
      </c>
      <c r="L3622" s="4" t="b">
        <f>AND(((G3622 &lt;&gt; "plain")=TRUE), ((G3622 &lt;&gt; "")=TRUE))</f>
        <v>0</v>
      </c>
      <c r="M3622" s="4" t="str">
        <f>IF(((E3622)=TRUE),  C3622 &amp; "|" &amp; H3622,  "")</f>
        <v>principal-knowledge-authority|KnowledgeBrokerLinks</v>
      </c>
      <c r="N3622" s="3" t="s">
        <v>10004</v>
      </c>
    </row>
    <row r="3623">
      <c r="A3623" s="3" t="s">
        <v>13625</v>
      </c>
      <c r="B3623" s="4" t="str">
        <f>C3623 &amp; " -&gt; " &amp; D3623</f>
        <v>principal-knowledge-authority -&gt; KnowledgeBrokerLinks.EvaluationContext</v>
      </c>
      <c r="C3623" s="3" t="s">
        <v>9774</v>
      </c>
      <c r="D3623" s="3" t="s">
        <v>5749</v>
      </c>
      <c r="E3623" s="3" t="b">
        <v>1</v>
      </c>
      <c r="F3623" s="3" t="b">
        <v>0</v>
      </c>
      <c r="G3623" s="3" t="s">
        <v>10003</v>
      </c>
      <c r="H3623" s="4" t="str">
        <f>_xlfn.IFNA(IF(((INDEX(RulebookFields!C2:C1898, MATCH(D3623,RulebookFields!A2:A1898, 0))="")=TRUE),  "",  INDEX(RulebookFields!C2:C1898, MATCH(D3623,RulebookFields!A2:A1898, 0))), "")</f>
        <v>KnowledgeBrokerLinks</v>
      </c>
      <c r="I3623" s="4" t="str">
        <f>_xlfn.IFNA(IF(((INDEX(RulebookFields!D2:D1898, MATCH(D3623,RulebookFields!A2:A1898, 0))="")=TRUE),  "",  INDEX(RulebookFields!D2:D1898, MATCH(D3623,RulebookFields!A2:A1898, 0))), "")</f>
        <v>EvaluationContext</v>
      </c>
      <c r="J3623" s="4" t="b">
        <f>_xlfn.IFNA(IF(((INDEX(RulebookFields!I2:I1898, MATCH(D3623,RulebookFields!A2:A1898, 0))="")=TRUE),  "",  INDEX(RulebookFields!I2:I1898, MATCH(D3623,RulebookFields!A2:A1898, 0))), "")</f>
        <v>0</v>
      </c>
      <c r="K3623" s="4" t="b">
        <f>AND(((F3623)=TRUE), ((J3623)=TRUE))</f>
        <v>0</v>
      </c>
      <c r="L3623" s="4" t="b">
        <f>AND(((G3623 &lt;&gt; "plain")=TRUE), ((G3623 &lt;&gt; "")=TRUE))</f>
        <v>0</v>
      </c>
      <c r="M3623" s="4" t="str">
        <f>IF(((E3623)=TRUE),  C3623 &amp; "|" &amp; H3623,  "")</f>
        <v>principal-knowledge-authority|KnowledgeBrokerLinks</v>
      </c>
      <c r="N3623" s="3" t="s">
        <v>10004</v>
      </c>
    </row>
    <row r="3624">
      <c r="A3624" s="3" t="s">
        <v>13626</v>
      </c>
      <c r="B3624" s="4" t="str">
        <f>C3624 &amp; " -&gt; " &amp; D3624</f>
        <v>principal-knowledge-authority -&gt; KnowledgeBrokerLinks.AsOfInstant</v>
      </c>
      <c r="C3624" s="3" t="s">
        <v>9774</v>
      </c>
      <c r="D3624" s="3" t="s">
        <v>5750</v>
      </c>
      <c r="E3624" s="3" t="b">
        <v>1</v>
      </c>
      <c r="F3624" s="3" t="b">
        <v>0</v>
      </c>
      <c r="G3624" s="3" t="s">
        <v>10003</v>
      </c>
      <c r="H3624" s="4" t="str">
        <f>_xlfn.IFNA(IF(((INDEX(RulebookFields!C2:C1898, MATCH(D3624,RulebookFields!A2:A1898, 0))="")=TRUE),  "",  INDEX(RulebookFields!C2:C1898, MATCH(D3624,RulebookFields!A2:A1898, 0))), "")</f>
        <v>KnowledgeBrokerLinks</v>
      </c>
      <c r="I3624" s="4" t="str">
        <f>_xlfn.IFNA(IF(((INDEX(RulebookFields!D2:D1898, MATCH(D3624,RulebookFields!A2:A1898, 0))="")=TRUE),  "",  INDEX(RulebookFields!D2:D1898, MATCH(D3624,RulebookFields!A2:A1898, 0))), "")</f>
        <v>AsOfInstant</v>
      </c>
      <c r="J3624" s="4" t="b">
        <f>_xlfn.IFNA(IF(((INDEX(RulebookFields!I2:I1898, MATCH(D3624,RulebookFields!A2:A1898, 0))="")=TRUE),  "",  INDEX(RulebookFields!I2:I1898, MATCH(D3624,RulebookFields!A2:A1898, 0))), "")</f>
        <v>1</v>
      </c>
      <c r="K3624" s="4" t="b">
        <f>AND(((F3624)=TRUE), ((J3624)=TRUE))</f>
        <v>0</v>
      </c>
      <c r="L3624" s="4" t="b">
        <f>AND(((G3624 &lt;&gt; "plain")=TRUE), ((G3624 &lt;&gt; "")=TRUE))</f>
        <v>0</v>
      </c>
      <c r="M3624" s="4" t="str">
        <f>IF(((E3624)=TRUE),  C3624 &amp; "|" &amp; H3624,  "")</f>
        <v>principal-knowledge-authority|KnowledgeBrokerLinks</v>
      </c>
      <c r="N3624" s="3" t="s">
        <v>10004</v>
      </c>
    </row>
    <row r="3625">
      <c r="A3625" s="3" t="s">
        <v>13627</v>
      </c>
      <c r="B3625" s="4" t="str">
        <f>C3625 &amp; " -&gt; " &amp; D3625</f>
        <v>principal-knowledge-authority -&gt; KnowledgeBrokerLinks.DaysSinceConsulted</v>
      </c>
      <c r="C3625" s="3" t="s">
        <v>9774</v>
      </c>
      <c r="D3625" s="3" t="s">
        <v>5751</v>
      </c>
      <c r="E3625" s="3" t="b">
        <v>1</v>
      </c>
      <c r="F3625" s="3" t="b">
        <v>0</v>
      </c>
      <c r="G3625" s="3" t="s">
        <v>10003</v>
      </c>
      <c r="H3625" s="4" t="str">
        <f>_xlfn.IFNA(IF(((INDEX(RulebookFields!C2:C1898, MATCH(D3625,RulebookFields!A2:A1898, 0))="")=TRUE),  "",  INDEX(RulebookFields!C2:C1898, MATCH(D3625,RulebookFields!A2:A1898, 0))), "")</f>
        <v>KnowledgeBrokerLinks</v>
      </c>
      <c r="I3625" s="4" t="str">
        <f>_xlfn.IFNA(IF(((INDEX(RulebookFields!D2:D1898, MATCH(D3625,RulebookFields!A2:A1898, 0))="")=TRUE),  "",  INDEX(RulebookFields!D2:D1898, MATCH(D3625,RulebookFields!A2:A1898, 0))), "")</f>
        <v>DaysSinceConsulted</v>
      </c>
      <c r="J3625" s="4" t="b">
        <f>_xlfn.IFNA(IF(((INDEX(RulebookFields!I2:I1898, MATCH(D3625,RulebookFields!A2:A1898, 0))="")=TRUE),  "",  INDEX(RulebookFields!I2:I1898, MATCH(D3625,RulebookFields!A2:A1898, 0))), "")</f>
        <v>1</v>
      </c>
      <c r="K3625" s="4" t="b">
        <f>AND(((F3625)=TRUE), ((J3625)=TRUE))</f>
        <v>0</v>
      </c>
      <c r="L3625" s="4" t="b">
        <f>AND(((G3625 &lt;&gt; "plain")=TRUE), ((G3625 &lt;&gt; "")=TRUE))</f>
        <v>0</v>
      </c>
      <c r="M3625" s="4" t="str">
        <f>IF(((E3625)=TRUE),  C3625 &amp; "|" &amp; H3625,  "")</f>
        <v>principal-knowledge-authority|KnowledgeBrokerLinks</v>
      </c>
      <c r="N3625" s="3" t="s">
        <v>10004</v>
      </c>
    </row>
    <row r="3626">
      <c r="A3626" s="3" t="s">
        <v>13628</v>
      </c>
      <c r="B3626" s="4" t="str">
        <f>C3626 &amp; " -&gt; " &amp; D3626</f>
        <v>principal-knowledge-authority -&gt; KnowledgeBrokerLinks.IsActiveReliance</v>
      </c>
      <c r="C3626" s="3" t="s">
        <v>9774</v>
      </c>
      <c r="D3626" s="3" t="s">
        <v>5754</v>
      </c>
      <c r="E3626" s="3" t="b">
        <v>1</v>
      </c>
      <c r="F3626" s="3" t="b">
        <v>0</v>
      </c>
      <c r="G3626" s="3" t="s">
        <v>10003</v>
      </c>
      <c r="H3626" s="4" t="str">
        <f>_xlfn.IFNA(IF(((INDEX(RulebookFields!C2:C1898, MATCH(D3626,RulebookFields!A2:A1898, 0))="")=TRUE),  "",  INDEX(RulebookFields!C2:C1898, MATCH(D3626,RulebookFields!A2:A1898, 0))), "")</f>
        <v>KnowledgeBrokerLinks</v>
      </c>
      <c r="I3626" s="4" t="str">
        <f>_xlfn.IFNA(IF(((INDEX(RulebookFields!D2:D1898, MATCH(D3626,RulebookFields!A2:A1898, 0))="")=TRUE),  "",  INDEX(RulebookFields!D2:D1898, MATCH(D3626,RulebookFields!A2:A1898, 0))), "")</f>
        <v>IsActiveReliance</v>
      </c>
      <c r="J3626" s="4" t="b">
        <f>_xlfn.IFNA(IF(((INDEX(RulebookFields!I2:I1898, MATCH(D3626,RulebookFields!A2:A1898, 0))="")=TRUE),  "",  INDEX(RulebookFields!I2:I1898, MATCH(D3626,RulebookFields!A2:A1898, 0))), "")</f>
        <v>1</v>
      </c>
      <c r="K3626" s="4" t="b">
        <f>AND(((F3626)=TRUE), ((J3626)=TRUE))</f>
        <v>0</v>
      </c>
      <c r="L3626" s="4" t="b">
        <f>AND(((G3626 &lt;&gt; "plain")=TRUE), ((G3626 &lt;&gt; "")=TRUE))</f>
        <v>0</v>
      </c>
      <c r="M3626" s="4" t="str">
        <f>IF(((E3626)=TRUE),  C3626 &amp; "|" &amp; H3626,  "")</f>
        <v>principal-knowledge-authority|KnowledgeBrokerLinks</v>
      </c>
      <c r="N3626" s="3" t="s">
        <v>10004</v>
      </c>
    </row>
    <row r="3627">
      <c r="A3627" s="3" t="s">
        <v>13629</v>
      </c>
      <c r="B3627" s="4" t="str">
        <f>C3627 &amp; " -&gt; " &amp; D3627</f>
        <v>principal-knowledge-authority -&gt; KnowledgeBrokerLinks.BrokerIsStillEngaged</v>
      </c>
      <c r="C3627" s="3" t="s">
        <v>9774</v>
      </c>
      <c r="D3627" s="3" t="s">
        <v>5757</v>
      </c>
      <c r="E3627" s="3" t="b">
        <v>1</v>
      </c>
      <c r="F3627" s="3" t="b">
        <v>0</v>
      </c>
      <c r="G3627" s="3" t="s">
        <v>10003</v>
      </c>
      <c r="H3627" s="4" t="str">
        <f>_xlfn.IFNA(IF(((INDEX(RulebookFields!C2:C1898, MATCH(D3627,RulebookFields!A2:A1898, 0))="")=TRUE),  "",  INDEX(RulebookFields!C2:C1898, MATCH(D3627,RulebookFields!A2:A1898, 0))), "")</f>
        <v>KnowledgeBrokerLinks</v>
      </c>
      <c r="I3627" s="4" t="str">
        <f>_xlfn.IFNA(IF(((INDEX(RulebookFields!D2:D1898, MATCH(D3627,RulebookFields!A2:A1898, 0))="")=TRUE),  "",  INDEX(RulebookFields!D2:D1898, MATCH(D3627,RulebookFields!A2:A1898, 0))), "")</f>
        <v>BrokerIsStillEngaged</v>
      </c>
      <c r="J3627" s="4" t="b">
        <f>_xlfn.IFNA(IF(((INDEX(RulebookFields!I2:I1898, MATCH(D3627,RulebookFields!A2:A1898, 0))="")=TRUE),  "",  INDEX(RulebookFields!I2:I1898, MATCH(D3627,RulebookFields!A2:A1898, 0))), "")</f>
        <v>1</v>
      </c>
      <c r="K3627" s="4" t="b">
        <f>AND(((F3627)=TRUE), ((J3627)=TRUE))</f>
        <v>0</v>
      </c>
      <c r="L3627" s="4" t="b">
        <f>AND(((G3627 &lt;&gt; "plain")=TRUE), ((G3627 &lt;&gt; "")=TRUE))</f>
        <v>0</v>
      </c>
      <c r="M3627" s="4" t="str">
        <f>IF(((E3627)=TRUE),  C3627 &amp; "|" &amp; H3627,  "")</f>
        <v>principal-knowledge-authority|KnowledgeBrokerLinks</v>
      </c>
      <c r="N3627" s="3" t="s">
        <v>10004</v>
      </c>
    </row>
    <row r="3628">
      <c r="A3628" s="3" t="s">
        <v>13630</v>
      </c>
      <c r="B3628" s="4" t="str">
        <f>C3628 &amp; " -&gt; " &amp; D3628</f>
        <v>principal-knowledge-authority -&gt; KnowledgeBrokerLinks.IsAtRiskReliance</v>
      </c>
      <c r="C3628" s="3" t="s">
        <v>9774</v>
      </c>
      <c r="D3628" s="3" t="s">
        <v>5760</v>
      </c>
      <c r="E3628" s="3" t="b">
        <v>1</v>
      </c>
      <c r="F3628" s="3" t="b">
        <v>0</v>
      </c>
      <c r="G3628" s="3" t="s">
        <v>10003</v>
      </c>
      <c r="H3628" s="4" t="str">
        <f>_xlfn.IFNA(IF(((INDEX(RulebookFields!C2:C1898, MATCH(D3628,RulebookFields!A2:A1898, 0))="")=TRUE),  "",  INDEX(RulebookFields!C2:C1898, MATCH(D3628,RulebookFields!A2:A1898, 0))), "")</f>
        <v>KnowledgeBrokerLinks</v>
      </c>
      <c r="I3628" s="4" t="str">
        <f>_xlfn.IFNA(IF(((INDEX(RulebookFields!D2:D1898, MATCH(D3628,RulebookFields!A2:A1898, 0))="")=TRUE),  "",  INDEX(RulebookFields!D2:D1898, MATCH(D3628,RulebookFields!A2:A1898, 0))), "")</f>
        <v>IsAtRiskReliance</v>
      </c>
      <c r="J3628" s="4" t="b">
        <f>_xlfn.IFNA(IF(((INDEX(RulebookFields!I2:I1898, MATCH(D3628,RulebookFields!A2:A1898, 0))="")=TRUE),  "",  INDEX(RulebookFields!I2:I1898, MATCH(D3628,RulebookFields!A2:A1898, 0))), "")</f>
        <v>1</v>
      </c>
      <c r="K3628" s="4" t="b">
        <f>AND(((F3628)=TRUE), ((J3628)=TRUE))</f>
        <v>0</v>
      </c>
      <c r="L3628" s="4" t="b">
        <f>AND(((G3628 &lt;&gt; "plain")=TRUE), ((G3628 &lt;&gt; "")=TRUE))</f>
        <v>0</v>
      </c>
      <c r="M3628" s="4" t="str">
        <f>IF(((E3628)=TRUE),  C3628 &amp; "|" &amp; H3628,  "")</f>
        <v>principal-knowledge-authority|KnowledgeBrokerLinks</v>
      </c>
      <c r="N3628" s="3" t="s">
        <v>10004</v>
      </c>
    </row>
    <row r="3629">
      <c r="A3629" s="3" t="s">
        <v>13631</v>
      </c>
      <c r="B3629" s="4" t="str">
        <f>C3629 &amp; " -&gt; " &amp; D3629</f>
        <v>principal-knowledge-authority -&gt; KnowledgeBrokerLinks.ActiveRelianceBrokerKey</v>
      </c>
      <c r="C3629" s="3" t="s">
        <v>9774</v>
      </c>
      <c r="D3629" s="3" t="s">
        <v>5763</v>
      </c>
      <c r="E3629" s="3" t="b">
        <v>1</v>
      </c>
      <c r="F3629" s="3" t="b">
        <v>0</v>
      </c>
      <c r="G3629" s="3" t="s">
        <v>10003</v>
      </c>
      <c r="H3629" s="4" t="str">
        <f>_xlfn.IFNA(IF(((INDEX(RulebookFields!C2:C1898, MATCH(D3629,RulebookFields!A2:A1898, 0))="")=TRUE),  "",  INDEX(RulebookFields!C2:C1898, MATCH(D3629,RulebookFields!A2:A1898, 0))), "")</f>
        <v>KnowledgeBrokerLinks</v>
      </c>
      <c r="I3629" s="4" t="str">
        <f>_xlfn.IFNA(IF(((INDEX(RulebookFields!D2:D1898, MATCH(D3629,RulebookFields!A2:A1898, 0))="")=TRUE),  "",  INDEX(RulebookFields!D2:D1898, MATCH(D3629,RulebookFields!A2:A1898, 0))), "")</f>
        <v>ActiveRelianceBrokerKey</v>
      </c>
      <c r="J3629" s="4" t="b">
        <f>_xlfn.IFNA(IF(((INDEX(RulebookFields!I2:I1898, MATCH(D3629,RulebookFields!A2:A1898, 0))="")=TRUE),  "",  INDEX(RulebookFields!I2:I1898, MATCH(D3629,RulebookFields!A2:A1898, 0))), "")</f>
        <v>1</v>
      </c>
      <c r="K3629" s="4" t="b">
        <f>AND(((F3629)=TRUE), ((J3629)=TRUE))</f>
        <v>0</v>
      </c>
      <c r="L3629" s="4" t="b">
        <f>AND(((G3629 &lt;&gt; "plain")=TRUE), ((G3629 &lt;&gt; "")=TRUE))</f>
        <v>0</v>
      </c>
      <c r="M3629" s="4" t="str">
        <f>IF(((E3629)=TRUE),  C3629 &amp; "|" &amp; H3629,  "")</f>
        <v>principal-knowledge-authority|KnowledgeBrokerLinks</v>
      </c>
      <c r="N3629" s="3" t="s">
        <v>10004</v>
      </c>
    </row>
    <row r="3630">
      <c r="A3630" s="3" t="s">
        <v>13632</v>
      </c>
      <c r="B3630" s="4" t="str">
        <f>C3630 &amp; " -&gt; " &amp; D3630</f>
        <v>principal-knowledge-authority -&gt; KnowledgeBrokerLinks.AtRiskBrokerKey</v>
      </c>
      <c r="C3630" s="3" t="s">
        <v>9774</v>
      </c>
      <c r="D3630" s="3" t="s">
        <v>5766</v>
      </c>
      <c r="E3630" s="3" t="b">
        <v>1</v>
      </c>
      <c r="F3630" s="3" t="b">
        <v>0</v>
      </c>
      <c r="G3630" s="3" t="s">
        <v>10003</v>
      </c>
      <c r="H3630" s="4" t="str">
        <f>_xlfn.IFNA(IF(((INDEX(RulebookFields!C2:C1898, MATCH(D3630,RulebookFields!A2:A1898, 0))="")=TRUE),  "",  INDEX(RulebookFields!C2:C1898, MATCH(D3630,RulebookFields!A2:A1898, 0))), "")</f>
        <v>KnowledgeBrokerLinks</v>
      </c>
      <c r="I3630" s="4" t="str">
        <f>_xlfn.IFNA(IF(((INDEX(RulebookFields!D2:D1898, MATCH(D3630,RulebookFields!A2:A1898, 0))="")=TRUE),  "",  INDEX(RulebookFields!D2:D1898, MATCH(D3630,RulebookFields!A2:A1898, 0))), "")</f>
        <v>AtRiskBrokerKey</v>
      </c>
      <c r="J3630" s="4" t="b">
        <f>_xlfn.IFNA(IF(((INDEX(RulebookFields!I2:I1898, MATCH(D3630,RulebookFields!A2:A1898, 0))="")=TRUE),  "",  INDEX(RulebookFields!I2:I1898, MATCH(D3630,RulebookFields!A2:A1898, 0))), "")</f>
        <v>1</v>
      </c>
      <c r="K3630" s="4" t="b">
        <f>AND(((F3630)=TRUE), ((J3630)=TRUE))</f>
        <v>0</v>
      </c>
      <c r="L3630" s="4" t="b">
        <f>AND(((G3630 &lt;&gt; "plain")=TRUE), ((G3630 &lt;&gt; "")=TRUE))</f>
        <v>0</v>
      </c>
      <c r="M3630" s="4" t="str">
        <f>IF(((E3630)=TRUE),  C3630 &amp; "|" &amp; H3630,  "")</f>
        <v>principal-knowledge-authority|KnowledgeBrokerLinks</v>
      </c>
      <c r="N3630" s="3" t="s">
        <v>10004</v>
      </c>
    </row>
    <row r="3631">
      <c r="A3631" s="3" t="s">
        <v>13633</v>
      </c>
      <c r="B3631" s="4" t="str">
        <f>C3631 &amp; " -&gt; " &amp; D3631</f>
        <v>principal-knowledge-authority -&gt; KnowledgeBrokerLinks.SemanticTypeIri</v>
      </c>
      <c r="C3631" s="3" t="s">
        <v>9774</v>
      </c>
      <c r="D3631" s="3" t="s">
        <v>5769</v>
      </c>
      <c r="E3631" s="3" t="b">
        <v>1</v>
      </c>
      <c r="F3631" s="3" t="b">
        <v>0</v>
      </c>
      <c r="G3631" s="3" t="s">
        <v>10003</v>
      </c>
      <c r="H3631" s="4" t="str">
        <f>_xlfn.IFNA(IF(((INDEX(RulebookFields!C2:C1898, MATCH(D3631,RulebookFields!A2:A1898, 0))="")=TRUE),  "",  INDEX(RulebookFields!C2:C1898, MATCH(D3631,RulebookFields!A2:A1898, 0))), "")</f>
        <v>KnowledgeBrokerLinks</v>
      </c>
      <c r="I3631" s="4" t="str">
        <f>_xlfn.IFNA(IF(((INDEX(RulebookFields!D2:D1898, MATCH(D3631,RulebookFields!A2:A1898, 0))="")=TRUE),  "",  INDEX(RulebookFields!D2:D1898, MATCH(D3631,RulebookFields!A2:A1898, 0))), "")</f>
        <v>SemanticTypeIri</v>
      </c>
      <c r="J3631" s="4" t="b">
        <f>_xlfn.IFNA(IF(((INDEX(RulebookFields!I2:I1898, MATCH(D3631,RulebookFields!A2:A1898, 0))="")=TRUE),  "",  INDEX(RulebookFields!I2:I1898, MATCH(D3631,RulebookFields!A2:A1898, 0))), "")</f>
        <v>0</v>
      </c>
      <c r="K3631" s="4" t="b">
        <f>AND(((F3631)=TRUE), ((J3631)=TRUE))</f>
        <v>0</v>
      </c>
      <c r="L3631" s="4" t="b">
        <f>AND(((G3631 &lt;&gt; "plain")=TRUE), ((G3631 &lt;&gt; "")=TRUE))</f>
        <v>0</v>
      </c>
      <c r="M3631" s="4" t="str">
        <f>IF(((E3631)=TRUE),  C3631 &amp; "|" &amp; H3631,  "")</f>
        <v>principal-knowledge-authority|KnowledgeBrokerLinks</v>
      </c>
      <c r="N3631" s="3" t="s">
        <v>10004</v>
      </c>
    </row>
    <row r="3632">
      <c r="A3632" s="3" t="s">
        <v>13634</v>
      </c>
      <c r="B3632" s="4" t="str">
        <f>C3632 &amp; " -&gt; " &amp; D3632</f>
        <v>principal-knowledge-authority -&gt; ProcedureVersions.MiningRunCount</v>
      </c>
      <c r="C3632" s="3" t="s">
        <v>9774</v>
      </c>
      <c r="D3632" s="3" t="s">
        <v>2841</v>
      </c>
      <c r="E3632" s="3" t="b">
        <v>1</v>
      </c>
      <c r="F3632" s="3" t="b">
        <v>0</v>
      </c>
      <c r="G3632" s="3" t="s">
        <v>10003</v>
      </c>
      <c r="H3632" s="4" t="str">
        <f>_xlfn.IFNA(IF(((INDEX(RulebookFields!C2:C1898, MATCH(D3632,RulebookFields!A2:A1898, 0))="")=TRUE),  "",  INDEX(RulebookFields!C2:C1898, MATCH(D3632,RulebookFields!A2:A1898, 0))), "")</f>
        <v>ProcedureVersions</v>
      </c>
      <c r="I3632" s="4" t="str">
        <f>_xlfn.IFNA(IF(((INDEX(RulebookFields!D2:D1898, MATCH(D3632,RulebookFields!A2:A1898, 0))="")=TRUE),  "",  INDEX(RulebookFields!D2:D1898, MATCH(D3632,RulebookFields!A2:A1898, 0))), "")</f>
        <v>MiningRunCount</v>
      </c>
      <c r="J3632" s="4" t="b">
        <f>_xlfn.IFNA(IF(((INDEX(RulebookFields!I2:I1898, MATCH(D3632,RulebookFields!A2:A1898, 0))="")=TRUE),  "",  INDEX(RulebookFields!I2:I1898, MATCH(D3632,RulebookFields!A2:A1898, 0))), "")</f>
        <v>1</v>
      </c>
      <c r="K3632" s="4" t="b">
        <f>AND(((F3632)=TRUE), ((J3632)=TRUE))</f>
        <v>0</v>
      </c>
      <c r="L3632" s="4" t="b">
        <f>AND(((G3632 &lt;&gt; "plain")=TRUE), ((G3632 &lt;&gt; "")=TRUE))</f>
        <v>0</v>
      </c>
      <c r="M3632" s="4" t="str">
        <f>IF(((E3632)=TRUE),  C3632 &amp; "|" &amp; H3632,  "")</f>
        <v>principal-knowledge-authority|ProcedureVersions</v>
      </c>
      <c r="N3632" s="3" t="s">
        <v>10004</v>
      </c>
    </row>
    <row r="3633">
      <c r="A3633" s="3" t="s">
        <v>13635</v>
      </c>
      <c r="B3633" s="4" t="str">
        <f>C3633 &amp; " -&gt; " &amp; D3633</f>
        <v>principal-knowledge-authority -&gt; ProcedureVersions.DriftedMiningRunCount</v>
      </c>
      <c r="C3633" s="3" t="s">
        <v>9774</v>
      </c>
      <c r="D3633" s="3" t="s">
        <v>2843</v>
      </c>
      <c r="E3633" s="3" t="b">
        <v>1</v>
      </c>
      <c r="F3633" s="3" t="b">
        <v>0</v>
      </c>
      <c r="G3633" s="3" t="s">
        <v>10003</v>
      </c>
      <c r="H3633" s="4" t="str">
        <f>_xlfn.IFNA(IF(((INDEX(RulebookFields!C2:C1898, MATCH(D3633,RulebookFields!A2:A1898, 0))="")=TRUE),  "",  INDEX(RulebookFields!C2:C1898, MATCH(D3633,RulebookFields!A2:A1898, 0))), "")</f>
        <v>ProcedureVersions</v>
      </c>
      <c r="I3633" s="4" t="str">
        <f>_xlfn.IFNA(IF(((INDEX(RulebookFields!D2:D1898, MATCH(D3633,RulebookFields!A2:A1898, 0))="")=TRUE),  "",  INDEX(RulebookFields!D2:D1898, MATCH(D3633,RulebookFields!A2:A1898, 0))), "")</f>
        <v>DriftedMiningRunCount</v>
      </c>
      <c r="J3633" s="4" t="b">
        <f>_xlfn.IFNA(IF(((INDEX(RulebookFields!I2:I1898, MATCH(D3633,RulebookFields!A2:A1898, 0))="")=TRUE),  "",  INDEX(RulebookFields!I2:I1898, MATCH(D3633,RulebookFields!A2:A1898, 0))), "")</f>
        <v>1</v>
      </c>
      <c r="K3633" s="4" t="b">
        <f>AND(((F3633)=TRUE), ((J3633)=TRUE))</f>
        <v>0</v>
      </c>
      <c r="L3633" s="4" t="b">
        <f>AND(((G3633 &lt;&gt; "plain")=TRUE), ((G3633 &lt;&gt; "")=TRUE))</f>
        <v>0</v>
      </c>
      <c r="M3633" s="4" t="str">
        <f>IF(((E3633)=TRUE),  C3633 &amp; "|" &amp; H3633,  "")</f>
        <v>principal-knowledge-authority|ProcedureVersions</v>
      </c>
      <c r="N3633" s="3" t="s">
        <v>10004</v>
      </c>
    </row>
    <row r="3634">
      <c r="A3634" s="3" t="s">
        <v>13636</v>
      </c>
      <c r="B3634" s="4" t="str">
        <f>C3634 &amp; " -&gt; " &amp; D3634</f>
        <v>principal-knowledge-authority -&gt; ProcedureVersions.HasUnresolvedMiningDrift</v>
      </c>
      <c r="C3634" s="3" t="s">
        <v>9774</v>
      </c>
      <c r="D3634" s="3" t="s">
        <v>2845</v>
      </c>
      <c r="E3634" s="3" t="b">
        <v>1</v>
      </c>
      <c r="F3634" s="3" t="b">
        <v>0</v>
      </c>
      <c r="G3634" s="3" t="s">
        <v>10003</v>
      </c>
      <c r="H3634" s="4" t="str">
        <f>_xlfn.IFNA(IF(((INDEX(RulebookFields!C2:C1898, MATCH(D3634,RulebookFields!A2:A1898, 0))="")=TRUE),  "",  INDEX(RulebookFields!C2:C1898, MATCH(D3634,RulebookFields!A2:A1898, 0))), "")</f>
        <v>ProcedureVersions</v>
      </c>
      <c r="I3634" s="4" t="str">
        <f>_xlfn.IFNA(IF(((INDEX(RulebookFields!D2:D1898, MATCH(D3634,RulebookFields!A2:A1898, 0))="")=TRUE),  "",  INDEX(RulebookFields!D2:D1898, MATCH(D3634,RulebookFields!A2:A1898, 0))), "")</f>
        <v>HasUnresolvedMiningDrift</v>
      </c>
      <c r="J3634" s="4" t="b">
        <f>_xlfn.IFNA(IF(((INDEX(RulebookFields!I2:I1898, MATCH(D3634,RulebookFields!A2:A1898, 0))="")=TRUE),  "",  INDEX(RulebookFields!I2:I1898, MATCH(D3634,RulebookFields!A2:A1898, 0))), "")</f>
        <v>1</v>
      </c>
      <c r="K3634" s="4" t="b">
        <f>AND(((F3634)=TRUE), ((J3634)=TRUE))</f>
        <v>0</v>
      </c>
      <c r="L3634" s="4" t="b">
        <f>AND(((G3634 &lt;&gt; "plain")=TRUE), ((G3634 &lt;&gt; "")=TRUE))</f>
        <v>0</v>
      </c>
      <c r="M3634" s="4" t="str">
        <f>IF(((E3634)=TRUE),  C3634 &amp; "|" &amp; H3634,  "")</f>
        <v>principal-knowledge-authority|ProcedureVersions</v>
      </c>
      <c r="N3634" s="3" t="s">
        <v>10004</v>
      </c>
    </row>
    <row r="3635">
      <c r="A3635" s="3" t="s">
        <v>13637</v>
      </c>
      <c r="B3635" s="4" t="str">
        <f>C3635 &amp; " -&gt; " &amp; D3635</f>
        <v>principal-knowledge-authority -&gt; Requirements.ControlledTerm</v>
      </c>
      <c r="C3635" s="3" t="s">
        <v>9774</v>
      </c>
      <c r="D3635" s="3" t="s">
        <v>3114</v>
      </c>
      <c r="E3635" s="3" t="b">
        <v>1</v>
      </c>
      <c r="F3635" s="3" t="b">
        <v>0</v>
      </c>
      <c r="G3635" s="3" t="s">
        <v>10003</v>
      </c>
      <c r="H3635" s="4" t="str">
        <f>_xlfn.IFNA(IF(((INDEX(RulebookFields!C2:C1898, MATCH(D3635,RulebookFields!A2:A1898, 0))="")=TRUE),  "",  INDEX(RulebookFields!C2:C1898, MATCH(D3635,RulebookFields!A2:A1898, 0))), "")</f>
        <v>Requirements</v>
      </c>
      <c r="I3635" s="4" t="str">
        <f>_xlfn.IFNA(IF(((INDEX(RulebookFields!D2:D1898, MATCH(D3635,RulebookFields!A2:A1898, 0))="")=TRUE),  "",  INDEX(RulebookFields!D2:D1898, MATCH(D3635,RulebookFields!A2:A1898, 0))), "")</f>
        <v>ControlledTerm</v>
      </c>
      <c r="J3635" s="4" t="b">
        <f>_xlfn.IFNA(IF(((INDEX(RulebookFields!I2:I1898, MATCH(D3635,RulebookFields!A2:A1898, 0))="")=TRUE),  "",  INDEX(RulebookFields!I2:I1898, MATCH(D3635,RulebookFields!A2:A1898, 0))), "")</f>
        <v>0</v>
      </c>
      <c r="K3635" s="4" t="b">
        <f>AND(((F3635)=TRUE), ((J3635)=TRUE))</f>
        <v>0</v>
      </c>
      <c r="L3635" s="4" t="b">
        <f>AND(((G3635 &lt;&gt; "plain")=TRUE), ((G3635 &lt;&gt; "")=TRUE))</f>
        <v>0</v>
      </c>
      <c r="M3635" s="4" t="str">
        <f>IF(((E3635)=TRUE),  C3635 &amp; "|" &amp; H3635,  "")</f>
        <v>principal-knowledge-authority|Requirements</v>
      </c>
      <c r="N3635" s="3" t="s">
        <v>10004</v>
      </c>
    </row>
    <row r="3636">
      <c r="A3636" s="3" t="s">
        <v>13638</v>
      </c>
      <c r="B3636" s="4" t="str">
        <f>C3636 &amp; " -&gt; " &amp; D3636</f>
        <v>principal-knowledge-authority -&gt; Requirements.UsesControlledVocabulary</v>
      </c>
      <c r="C3636" s="3" t="s">
        <v>9774</v>
      </c>
      <c r="D3636" s="3" t="s">
        <v>3115</v>
      </c>
      <c r="E3636" s="3" t="b">
        <v>1</v>
      </c>
      <c r="F3636" s="3" t="b">
        <v>0</v>
      </c>
      <c r="G3636" s="3" t="s">
        <v>10003</v>
      </c>
      <c r="H3636" s="4" t="str">
        <f>_xlfn.IFNA(IF(((INDEX(RulebookFields!C2:C1898, MATCH(D3636,RulebookFields!A2:A1898, 0))="")=TRUE),  "",  INDEX(RulebookFields!C2:C1898, MATCH(D3636,RulebookFields!A2:A1898, 0))), "")</f>
        <v>Requirements</v>
      </c>
      <c r="I3636" s="4" t="str">
        <f>_xlfn.IFNA(IF(((INDEX(RulebookFields!D2:D1898, MATCH(D3636,RulebookFields!A2:A1898, 0))="")=TRUE),  "",  INDEX(RulebookFields!D2:D1898, MATCH(D3636,RulebookFields!A2:A1898, 0))), "")</f>
        <v>UsesControlledVocabulary</v>
      </c>
      <c r="J3636" s="4" t="b">
        <f>_xlfn.IFNA(IF(((INDEX(RulebookFields!I2:I1898, MATCH(D3636,RulebookFields!A2:A1898, 0))="")=TRUE),  "",  INDEX(RulebookFields!I2:I1898, MATCH(D3636,RulebookFields!A2:A1898, 0))), "")</f>
        <v>1</v>
      </c>
      <c r="K3636" s="4" t="b">
        <f>AND(((F3636)=TRUE), ((J3636)=TRUE))</f>
        <v>0</v>
      </c>
      <c r="L3636" s="4" t="b">
        <f>AND(((G3636 &lt;&gt; "plain")=TRUE), ((G3636 &lt;&gt; "")=TRUE))</f>
        <v>0</v>
      </c>
      <c r="M3636" s="4" t="str">
        <f>IF(((E3636)=TRUE),  C3636 &amp; "|" &amp; H3636,  "")</f>
        <v>principal-knowledge-authority|Requirements</v>
      </c>
      <c r="N3636" s="3" t="s">
        <v>10004</v>
      </c>
    </row>
    <row r="3637">
      <c r="A3637" s="3" t="s">
        <v>13639</v>
      </c>
      <c r="B3637" s="4" t="str">
        <f>C3637 &amp; " -&gt; " &amp; D3637</f>
        <v>principal-knowledge-authority -&gt; Agents.TimesNamedAsBroker</v>
      </c>
      <c r="C3637" s="3" t="s">
        <v>9774</v>
      </c>
      <c r="D3637" s="3" t="s">
        <v>2493</v>
      </c>
      <c r="E3637" s="3" t="b">
        <v>1</v>
      </c>
      <c r="F3637" s="3" t="b">
        <v>0</v>
      </c>
      <c r="G3637" s="3" t="s">
        <v>10003</v>
      </c>
      <c r="H3637" s="4" t="str">
        <f>_xlfn.IFNA(IF(((INDEX(RulebookFields!C2:C1898, MATCH(D3637,RulebookFields!A2:A1898, 0))="")=TRUE),  "",  INDEX(RulebookFields!C2:C1898, MATCH(D3637,RulebookFields!A2:A1898, 0))), "")</f>
        <v>Agents</v>
      </c>
      <c r="I3637" s="4" t="str">
        <f>_xlfn.IFNA(IF(((INDEX(RulebookFields!D2:D1898, MATCH(D3637,RulebookFields!A2:A1898, 0))="")=TRUE),  "",  INDEX(RulebookFields!D2:D1898, MATCH(D3637,RulebookFields!A2:A1898, 0))), "")</f>
        <v>TimesNamedAsBroker</v>
      </c>
      <c r="J3637" s="4" t="b">
        <f>_xlfn.IFNA(IF(((INDEX(RulebookFields!I2:I1898, MATCH(D3637,RulebookFields!A2:A1898, 0))="")=TRUE),  "",  INDEX(RulebookFields!I2:I1898, MATCH(D3637,RulebookFields!A2:A1898, 0))), "")</f>
        <v>1</v>
      </c>
      <c r="K3637" s="4" t="b">
        <f>AND(((F3637)=TRUE), ((J3637)=TRUE))</f>
        <v>0</v>
      </c>
      <c r="L3637" s="4" t="b">
        <f>AND(((G3637 &lt;&gt; "plain")=TRUE), ((G3637 &lt;&gt; "")=TRUE))</f>
        <v>0</v>
      </c>
      <c r="M3637" s="4" t="str">
        <f>IF(((E3637)=TRUE),  C3637 &amp; "|" &amp; H3637,  "")</f>
        <v>principal-knowledge-authority|Agents</v>
      </c>
      <c r="N3637" s="3" t="s">
        <v>10004</v>
      </c>
    </row>
    <row r="3638">
      <c r="A3638" s="3" t="s">
        <v>13640</v>
      </c>
      <c r="B3638" s="4" t="str">
        <f>C3638 &amp; " -&gt; " &amp; D3638</f>
        <v>principal-knowledge-authority -&gt; Agents.IsRecognizedBroker</v>
      </c>
      <c r="C3638" s="3" t="s">
        <v>9774</v>
      </c>
      <c r="D3638" s="3" t="s">
        <v>2495</v>
      </c>
      <c r="E3638" s="3" t="b">
        <v>1</v>
      </c>
      <c r="F3638" s="3" t="b">
        <v>0</v>
      </c>
      <c r="G3638" s="3" t="s">
        <v>10003</v>
      </c>
      <c r="H3638" s="4" t="str">
        <f>_xlfn.IFNA(IF(((INDEX(RulebookFields!C2:C1898, MATCH(D3638,RulebookFields!A2:A1898, 0))="")=TRUE),  "",  INDEX(RulebookFields!C2:C1898, MATCH(D3638,RulebookFields!A2:A1898, 0))), "")</f>
        <v>Agents</v>
      </c>
      <c r="I3638" s="4" t="str">
        <f>_xlfn.IFNA(IF(((INDEX(RulebookFields!D2:D1898, MATCH(D3638,RulebookFields!A2:A1898, 0))="")=TRUE),  "",  INDEX(RulebookFields!D2:D1898, MATCH(D3638,RulebookFields!A2:A1898, 0))), "")</f>
        <v>IsRecognizedBroker</v>
      </c>
      <c r="J3638" s="4" t="b">
        <f>_xlfn.IFNA(IF(((INDEX(RulebookFields!I2:I1898, MATCH(D3638,RulebookFields!A2:A1898, 0))="")=TRUE),  "",  INDEX(RulebookFields!I2:I1898, MATCH(D3638,RulebookFields!A2:A1898, 0))), "")</f>
        <v>1</v>
      </c>
      <c r="K3638" s="4" t="b">
        <f>AND(((F3638)=TRUE), ((J3638)=TRUE))</f>
        <v>0</v>
      </c>
      <c r="L3638" s="4" t="b">
        <f>AND(((G3638 &lt;&gt; "plain")=TRUE), ((G3638 &lt;&gt; "")=TRUE))</f>
        <v>0</v>
      </c>
      <c r="M3638" s="4" t="str">
        <f>IF(((E3638)=TRUE),  C3638 &amp; "|" &amp; H3638,  "")</f>
        <v>principal-knowledge-authority|Agents</v>
      </c>
      <c r="N3638" s="3" t="s">
        <v>10004</v>
      </c>
    </row>
    <row r="3639">
      <c r="A3639" s="3" t="s">
        <v>13641</v>
      </c>
      <c r="B3639" s="4" t="str">
        <f>C3639 &amp; " -&gt; " &amp; D3639</f>
        <v>principal-knowledge-authority -&gt; Agents.AtRiskRelianceCount</v>
      </c>
      <c r="C3639" s="3" t="s">
        <v>9774</v>
      </c>
      <c r="D3639" s="3" t="s">
        <v>2497</v>
      </c>
      <c r="E3639" s="3" t="b">
        <v>1</v>
      </c>
      <c r="F3639" s="3" t="b">
        <v>0</v>
      </c>
      <c r="G3639" s="3" t="s">
        <v>10003</v>
      </c>
      <c r="H3639" s="4" t="str">
        <f>_xlfn.IFNA(IF(((INDEX(RulebookFields!C2:C1898, MATCH(D3639,RulebookFields!A2:A1898, 0))="")=TRUE),  "",  INDEX(RulebookFields!C2:C1898, MATCH(D3639,RulebookFields!A2:A1898, 0))), "")</f>
        <v>Agents</v>
      </c>
      <c r="I3639" s="4" t="str">
        <f>_xlfn.IFNA(IF(((INDEX(RulebookFields!D2:D1898, MATCH(D3639,RulebookFields!A2:A1898, 0))="")=TRUE),  "",  INDEX(RulebookFields!D2:D1898, MATCH(D3639,RulebookFields!A2:A1898, 0))), "")</f>
        <v>AtRiskRelianceCount</v>
      </c>
      <c r="J3639" s="4" t="b">
        <f>_xlfn.IFNA(IF(((INDEX(RulebookFields!I2:I1898, MATCH(D3639,RulebookFields!A2:A1898, 0))="")=TRUE),  "",  INDEX(RulebookFields!I2:I1898, MATCH(D3639,RulebookFields!A2:A1898, 0))), "")</f>
        <v>1</v>
      </c>
      <c r="K3639" s="4" t="b">
        <f>AND(((F3639)=TRUE), ((J3639)=TRUE))</f>
        <v>0</v>
      </c>
      <c r="L3639" s="4" t="b">
        <f>AND(((G3639 &lt;&gt; "plain")=TRUE), ((G3639 &lt;&gt; "")=TRUE))</f>
        <v>0</v>
      </c>
      <c r="M3639" s="4" t="str">
        <f>IF(((E3639)=TRUE),  C3639 &amp; "|" &amp; H3639,  "")</f>
        <v>principal-knowledge-authority|Agents</v>
      </c>
      <c r="N3639" s="3" t="s">
        <v>10004</v>
      </c>
    </row>
    <row r="3640">
      <c r="A3640" s="3" t="s">
        <v>13642</v>
      </c>
      <c r="B3640" s="4" t="str">
        <f>C3640 &amp; " -&gt; " &amp; D3640</f>
        <v>principal-knowledge-authority -&gt; Agents.HasAtRiskKnowledgeReliance</v>
      </c>
      <c r="C3640" s="3" t="s">
        <v>9774</v>
      </c>
      <c r="D3640" s="3" t="s">
        <v>2499</v>
      </c>
      <c r="E3640" s="3" t="b">
        <v>1</v>
      </c>
      <c r="F3640" s="3" t="b">
        <v>0</v>
      </c>
      <c r="G3640" s="3" t="s">
        <v>10003</v>
      </c>
      <c r="H3640" s="4" t="str">
        <f>_xlfn.IFNA(IF(((INDEX(RulebookFields!C2:C1898, MATCH(D3640,RulebookFields!A2:A1898, 0))="")=TRUE),  "",  INDEX(RulebookFields!C2:C1898, MATCH(D3640,RulebookFields!A2:A1898, 0))), "")</f>
        <v>Agents</v>
      </c>
      <c r="I3640" s="4" t="str">
        <f>_xlfn.IFNA(IF(((INDEX(RulebookFields!D2:D1898, MATCH(D3640,RulebookFields!A2:A1898, 0))="")=TRUE),  "",  INDEX(RulebookFields!D2:D1898, MATCH(D3640,RulebookFields!A2:A1898, 0))), "")</f>
        <v>HasAtRiskKnowledgeReliance</v>
      </c>
      <c r="J3640" s="4" t="b">
        <f>_xlfn.IFNA(IF(((INDEX(RulebookFields!I2:I1898, MATCH(D3640,RulebookFields!A2:A1898, 0))="")=TRUE),  "",  INDEX(RulebookFields!I2:I1898, MATCH(D3640,RulebookFields!A2:A1898, 0))), "")</f>
        <v>1</v>
      </c>
      <c r="K3640" s="4" t="b">
        <f>AND(((F3640)=TRUE), ((J3640)=TRUE))</f>
        <v>0</v>
      </c>
      <c r="L3640" s="4" t="b">
        <f>AND(((G3640 &lt;&gt; "plain")=TRUE), ((G3640 &lt;&gt; "")=TRUE))</f>
        <v>0</v>
      </c>
      <c r="M3640" s="4" t="str">
        <f>IF(((E3640)=TRUE),  C3640 &amp; "|" &amp; H3640,  "")</f>
        <v>principal-knowledge-authority|Agents</v>
      </c>
      <c r="N3640" s="3" t="s">
        <v>10004</v>
      </c>
    </row>
  </sheetData>
  <autoFilter ref="A1:N1"/>
  <headerFooter/>
  <legacyDrawing r:id="rId1"/>
</worksheet>
</file>

<file path=xl/worksheets/sheet7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13"/>
  <sheetViews>
    <sheetView workbookViewId="0">
      <pane ySplit="1" topLeftCell="A2" state="frozen" activePane="bottomLeft"/>
      <selection pane="bottomLeft" activeCell="A1" sqref="A1"/>
    </sheetView>
  </sheetViews>
  <sheetFormatPr defaultRowHeight="15"/>
  <cols>
    <col min="1" max="1" width="33.191341400146484" customWidth="1"/>
    <col min="2" max="2" width="29.93674087524414" customWidth="1"/>
    <col min="3" max="3" width="33.99167251586914" customWidth="1"/>
    <col min="4" max="4" width="29.93674087524414" customWidth="1"/>
    <col min="5" max="5" width="29.93674087524414" customWidth="1"/>
    <col min="6" max="6" width="17.443378448486328" customWidth="1"/>
    <col min="7" max="7" width="17.443378448486328" customWidth="1"/>
    <col min="8" max="8" width="17.443378448486328" customWidth="1"/>
    <col min="9" max="9" width="40.32913589477539" customWidth="1"/>
  </cols>
  <sheetData>
    <row r="1">
      <c r="A1" s="2" t="s">
        <v>5480</v>
      </c>
      <c r="B1" s="2" t="s">
        <v>1</v>
      </c>
      <c r="C1" s="2" t="s">
        <v>5417</v>
      </c>
      <c r="D1" s="2" t="s">
        <v>5388</v>
      </c>
      <c r="E1" s="2" t="s">
        <v>5486</v>
      </c>
      <c r="F1" s="2" t="s">
        <v>5488</v>
      </c>
      <c r="G1" s="2" t="s">
        <v>5490</v>
      </c>
      <c r="H1" s="2" t="s">
        <v>5493</v>
      </c>
      <c r="I1" s="2" t="s">
        <v>94</v>
      </c>
    </row>
    <row r="2">
      <c r="A2" s="3" t="s">
        <v>13643</v>
      </c>
      <c r="B2" s="4" t="str">
        <f>D2</f>
        <v>pko_finance_analyst</v>
      </c>
      <c r="C2" s="3" t="s">
        <v>9751</v>
      </c>
      <c r="D2" s="3" t="s">
        <v>9752</v>
      </c>
      <c r="E2" s="4" t="str">
        <f>D2</f>
        <v>pko_finance_analyst</v>
      </c>
      <c r="F2" s="3" t="b">
        <v>1</v>
      </c>
      <c r="G2" s="4">
        <f>COUNTIFS(RoleSchemaViews!C2:C203, A2)</f>
        <v>7</v>
      </c>
      <c r="H2" s="4" t="b">
        <f>G2 = 0</f>
        <v>0</v>
      </c>
      <c r="I2" s="3" t="s">
        <v>13644</v>
      </c>
    </row>
    <row r="3">
      <c r="A3" s="3" t="s">
        <v>13645</v>
      </c>
      <c r="B3" s="4" t="str">
        <f>D3</f>
        <v>pko_controller</v>
      </c>
      <c r="C3" s="3" t="s">
        <v>9754</v>
      </c>
      <c r="D3" s="3" t="s">
        <v>9755</v>
      </c>
      <c r="E3" s="4" t="str">
        <f>D3</f>
        <v>pko_controller</v>
      </c>
      <c r="F3" s="3" t="b">
        <v>1</v>
      </c>
      <c r="G3" s="4">
        <f>COUNTIFS(RoleSchemaViews!C2:C203, A3)</f>
        <v>8</v>
      </c>
      <c r="H3" s="4" t="b">
        <f>G3 = 0</f>
        <v>0</v>
      </c>
      <c r="I3" s="3" t="s">
        <v>13644</v>
      </c>
    </row>
    <row r="4">
      <c r="A4" s="3" t="s">
        <v>13646</v>
      </c>
      <c r="B4" s="4" t="str">
        <f>D4</f>
        <v>pko_cfo</v>
      </c>
      <c r="C4" s="3" t="s">
        <v>9756</v>
      </c>
      <c r="D4" s="3" t="s">
        <v>9757</v>
      </c>
      <c r="E4" s="4" t="str">
        <f>D4</f>
        <v>pko_cfo</v>
      </c>
      <c r="F4" s="3" t="b">
        <v>1</v>
      </c>
      <c r="G4" s="4">
        <f>COUNTIFS(RoleSchemaViews!C2:C203, A4)</f>
        <v>5</v>
      </c>
      <c r="H4" s="4" t="b">
        <f>G4 = 0</f>
        <v>0</v>
      </c>
      <c r="I4" s="3" t="s">
        <v>13644</v>
      </c>
    </row>
    <row r="5">
      <c r="A5" s="3" t="s">
        <v>13647</v>
      </c>
      <c r="B5" s="4" t="str">
        <f>D5</f>
        <v>pko_hr_policy_owner</v>
      </c>
      <c r="C5" s="3" t="s">
        <v>9758</v>
      </c>
      <c r="D5" s="3" t="s">
        <v>9759</v>
      </c>
      <c r="E5" s="4" t="str">
        <f>D5</f>
        <v>pko_hr_policy_owner</v>
      </c>
      <c r="F5" s="3" t="b">
        <v>1</v>
      </c>
      <c r="G5" s="4">
        <f>COUNTIFS(RoleSchemaViews!C2:C203, A5)</f>
        <v>6</v>
      </c>
      <c r="H5" s="4" t="b">
        <f>G5 = 0</f>
        <v>0</v>
      </c>
      <c r="I5" s="3" t="s">
        <v>13644</v>
      </c>
    </row>
    <row r="6">
      <c r="A6" s="3" t="s">
        <v>13648</v>
      </c>
      <c r="B6" s="4" t="str">
        <f>D6</f>
        <v>pko_employment_counsel</v>
      </c>
      <c r="C6" s="3" t="s">
        <v>9760</v>
      </c>
      <c r="D6" s="3" t="s">
        <v>9761</v>
      </c>
      <c r="E6" s="4" t="str">
        <f>D6</f>
        <v>pko_employment_counsel</v>
      </c>
      <c r="F6" s="3" t="b">
        <v>1</v>
      </c>
      <c r="G6" s="4">
        <f>COUNTIFS(RoleSchemaViews!C2:C203, A6)</f>
        <v>5</v>
      </c>
      <c r="H6" s="4" t="b">
        <f>G6 = 0</f>
        <v>0</v>
      </c>
      <c r="I6" s="3" t="s">
        <v>13644</v>
      </c>
    </row>
    <row r="7">
      <c r="A7" s="3" t="s">
        <v>13649</v>
      </c>
      <c r="B7" s="4" t="str">
        <f>D7</f>
        <v>pko_communications_manager</v>
      </c>
      <c r="C7" s="3" t="s">
        <v>9762</v>
      </c>
      <c r="D7" s="3" t="s">
        <v>9763</v>
      </c>
      <c r="E7" s="4" t="str">
        <f>D7</f>
        <v>pko_communications_manager</v>
      </c>
      <c r="F7" s="3" t="b">
        <v>1</v>
      </c>
      <c r="G7" s="4">
        <f>COUNTIFS(RoleSchemaViews!C2:C203, A7)</f>
        <v>6</v>
      </c>
      <c r="H7" s="4" t="b">
        <f>G7 = 0</f>
        <v>0</v>
      </c>
      <c r="I7" s="3" t="s">
        <v>13644</v>
      </c>
    </row>
    <row r="8">
      <c r="A8" s="3" t="s">
        <v>13650</v>
      </c>
      <c r="B8" s="4" t="str">
        <f>D8</f>
        <v>pko_close_automation</v>
      </c>
      <c r="C8" s="3" t="s">
        <v>9764</v>
      </c>
      <c r="D8" s="3" t="s">
        <v>9765</v>
      </c>
      <c r="E8" s="4" t="str">
        <f>D8</f>
        <v>pko_close_automation</v>
      </c>
      <c r="F8" s="3" t="b">
        <v>1</v>
      </c>
      <c r="G8" s="4">
        <f>COUNTIFS(RoleSchemaViews!C2:C203, A8)</f>
        <v>3</v>
      </c>
      <c r="H8" s="4" t="b">
        <f>G8 = 0</f>
        <v>0</v>
      </c>
      <c r="I8" s="3" t="s">
        <v>13644</v>
      </c>
    </row>
    <row r="9">
      <c r="A9" s="3" t="s">
        <v>13651</v>
      </c>
      <c r="B9" s="4" t="str">
        <f>D9</f>
        <v>pko_variance_review_agent</v>
      </c>
      <c r="C9" s="3" t="s">
        <v>9766</v>
      </c>
      <c r="D9" s="3" t="s">
        <v>9767</v>
      </c>
      <c r="E9" s="4" t="str">
        <f>D9</f>
        <v>pko_variance_review_agent</v>
      </c>
      <c r="F9" s="3" t="b">
        <v>1</v>
      </c>
      <c r="G9" s="4">
        <f>COUNTIFS(RoleSchemaViews!C2:C203, A9)</f>
        <v>5</v>
      </c>
      <c r="H9" s="4" t="b">
        <f>G9 = 0</f>
        <v>0</v>
      </c>
      <c r="I9" s="3" t="s">
        <v>13644</v>
      </c>
    </row>
    <row r="10">
      <c r="A10" s="3" t="s">
        <v>13652</v>
      </c>
      <c r="B10" s="4" t="str">
        <f>D10</f>
        <v>pko_policy_drafting_agent</v>
      </c>
      <c r="C10" s="3" t="s">
        <v>9768</v>
      </c>
      <c r="D10" s="3" t="s">
        <v>9769</v>
      </c>
      <c r="E10" s="4" t="str">
        <f>D10</f>
        <v>pko_policy_drafting_agent</v>
      </c>
      <c r="F10" s="3" t="b">
        <v>1</v>
      </c>
      <c r="G10" s="4">
        <f>COUNTIFS(RoleSchemaViews!C2:C203, A10)</f>
        <v>4</v>
      </c>
      <c r="H10" s="4" t="b">
        <f>G10 = 0</f>
        <v>0</v>
      </c>
      <c r="I10" s="3" t="s">
        <v>13644</v>
      </c>
    </row>
    <row r="11">
      <c r="A11" s="3" t="s">
        <v>13653</v>
      </c>
      <c r="B11" s="4" t="str">
        <f>D11</f>
        <v>pko_notification_publisher</v>
      </c>
      <c r="C11" s="3" t="s">
        <v>9770</v>
      </c>
      <c r="D11" s="3" t="s">
        <v>9771</v>
      </c>
      <c r="E11" s="4" t="str">
        <f>D11</f>
        <v>pko_notification_publisher</v>
      </c>
      <c r="F11" s="3" t="b">
        <v>1</v>
      </c>
      <c r="G11" s="4">
        <f>COUNTIFS(RoleSchemaViews!C2:C203, A11)</f>
        <v>5</v>
      </c>
      <c r="H11" s="4" t="b">
        <f>G11 = 0</f>
        <v>0</v>
      </c>
      <c r="I11" s="3" t="s">
        <v>13644</v>
      </c>
    </row>
    <row r="12">
      <c r="A12" s="3" t="s">
        <v>13654</v>
      </c>
      <c r="B12" s="4" t="str">
        <f>D12</f>
        <v>pko_process_steward</v>
      </c>
      <c r="C12" s="3" t="s">
        <v>9772</v>
      </c>
      <c r="D12" s="3" t="s">
        <v>9773</v>
      </c>
      <c r="E12" s="4" t="str">
        <f>D12</f>
        <v>pko_process_steward</v>
      </c>
      <c r="F12" s="3" t="b">
        <v>1</v>
      </c>
      <c r="G12" s="4">
        <f>COUNTIFS(RoleSchemaViews!C2:C203, A12)</f>
        <v>74</v>
      </c>
      <c r="H12" s="4" t="b">
        <f>G12 = 0</f>
        <v>0</v>
      </c>
      <c r="I12" s="3" t="s">
        <v>13644</v>
      </c>
    </row>
    <row r="13">
      <c r="A13" s="3" t="s">
        <v>13655</v>
      </c>
      <c r="B13" s="4" t="str">
        <f>D13</f>
        <v>pko_knowledge_authority</v>
      </c>
      <c r="C13" s="3" t="s">
        <v>9774</v>
      </c>
      <c r="D13" s="3" t="s">
        <v>9775</v>
      </c>
      <c r="E13" s="4" t="str">
        <f>D13</f>
        <v>pko_knowledge_authority</v>
      </c>
      <c r="F13" s="3" t="b">
        <v>1</v>
      </c>
      <c r="G13" s="4">
        <f>COUNTIFS(RoleSchemaViews!C2:C203, A13)</f>
        <v>74</v>
      </c>
      <c r="H13" s="4" t="b">
        <f>G13 = 0</f>
        <v>0</v>
      </c>
      <c r="I13" s="3" t="s">
        <v>13644</v>
      </c>
    </row>
  </sheetData>
  <autoFilter ref="A1:I1"/>
  <headerFooter/>
  <legacyDrawing r:id="rId1"/>
</worksheet>
</file>

<file path=xl/worksheets/sheet7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203"/>
  <sheetViews>
    <sheetView workbookViewId="0">
      <pane ySplit="1" topLeftCell="A2" state="frozen" activePane="bottomLeft"/>
      <selection pane="bottomLeft" activeCell="A1" sqref="A1"/>
    </sheetView>
  </sheetViews>
  <sheetFormatPr defaultRowHeight="15"/>
  <cols>
    <col min="1" max="1" width="52.40258026123047" customWidth="1"/>
    <col min="2" max="2" width="53.63166046142578" customWidth="1"/>
    <col min="3" max="3" width="33.191341400146484" customWidth="1"/>
    <col min="4" max="4" width="33.99167251586914" customWidth="1"/>
    <col min="5" max="5" width="25.653127670288086" customWidth="1"/>
    <col min="6" max="6" width="26.150236129760742" customWidth="1"/>
    <col min="7" max="7" width="29.93674087524414" customWidth="1"/>
    <col min="8" max="8" width="29.5650634765625" customWidth="1"/>
    <col min="9" max="9" width="56.90026092529297" customWidth="1"/>
    <col min="10" max="10" width="17.443378448486328" customWidth="1"/>
    <col min="11" max="11" width="17.443378448486328" customWidth="1"/>
    <col min="12" max="12" width="17.443378448486328" customWidth="1"/>
    <col min="13" max="13" width="18.62674331665039" customWidth="1"/>
    <col min="14" max="14" width="45.01065444946289" customWidth="1"/>
  </cols>
  <sheetData>
    <row r="1">
      <c r="A1" s="2" t="s">
        <v>5498</v>
      </c>
      <c r="B1" s="2" t="s">
        <v>1</v>
      </c>
      <c r="C1" s="2" t="s">
        <v>5502</v>
      </c>
      <c r="D1" s="2" t="s">
        <v>5417</v>
      </c>
      <c r="E1" s="2" t="s">
        <v>2404</v>
      </c>
      <c r="F1" s="2" t="s">
        <v>5506</v>
      </c>
      <c r="G1" s="2" t="s">
        <v>5388</v>
      </c>
      <c r="H1" s="2" t="s">
        <v>5510</v>
      </c>
      <c r="I1" s="2" t="s">
        <v>5513</v>
      </c>
      <c r="J1" s="2" t="s">
        <v>5516</v>
      </c>
      <c r="K1" s="2" t="s">
        <v>5519</v>
      </c>
      <c r="L1" s="2" t="s">
        <v>5522</v>
      </c>
      <c r="M1" s="2" t="s">
        <v>5525</v>
      </c>
      <c r="N1" s="2" t="s">
        <v>94</v>
      </c>
    </row>
    <row r="2">
      <c r="A2" s="3" t="s">
        <v>13656</v>
      </c>
      <c r="B2" s="4" t="str">
        <f>G2 &amp; "." &amp; F2</f>
        <v>pko_finance_analyst.steps</v>
      </c>
      <c r="C2" s="3" t="s">
        <v>13643</v>
      </c>
      <c r="D2" s="3" t="s">
        <v>9751</v>
      </c>
      <c r="E2" s="3" t="s">
        <v>1778</v>
      </c>
      <c r="F2" s="3" t="s">
        <v>9721</v>
      </c>
      <c r="G2" s="4" t="str">
        <f>_xlfn.IFNA(IF(((INDEX(RoleSchemas!D2:D13, MATCH(C2,RoleSchemas!A2:A13, 0))="")=TRUE),  "",  INDEX(RoleSchemas!D2:D13, MATCH(C2,RoleSchemas!A2:A13, 0))), "")</f>
        <v>pko_finance_analyst</v>
      </c>
      <c r="H2" s="4" t="str">
        <f>_xlfn.IFNA(IF(((INDEX(RulebookTables!E2:E93, MATCH(E2,RulebookTables!A2:A93, 0))="")=TRUE),  "",  INDEX(RulebookTables!E2:E93, MATCH(E2,RulebookTables!A2:A93, 0))), "")</f>
        <v>vw_steps</v>
      </c>
      <c r="I2" s="4" t="str">
        <f>D2 &amp; "|" &amp; E2</f>
        <v>principal-finance-analyst|Steps</v>
      </c>
      <c r="J2" s="4">
        <f>COUNTIFS(FieldGrants!M2:M3640, I2)</f>
        <v>12</v>
      </c>
      <c r="K2" s="4">
        <f>_xlfn.IFNA(IF(((INDEX(RulebookTables!H2:H93, MATCH(E2,RulebookTables!A2:A93, 0))="")=TRUE),  "",  INDEX(RulebookTables!H2:H93, MATCH(E2,RulebookTables!A2:A93, 0))), "")</f>
        <v>54</v>
      </c>
      <c r="L2" s="4" t="b">
        <f>AND(((J2 &gt; 0)=TRUE), ((J2 &gt;= K2)=TRUE))</f>
        <v>0</v>
      </c>
      <c r="M2" s="4" t="b">
        <f>J2 = 0</f>
        <v>0</v>
      </c>
      <c r="N2" s="3" t="s">
        <v>13657</v>
      </c>
    </row>
    <row r="3">
      <c r="A3" s="3" t="s">
        <v>13658</v>
      </c>
      <c r="B3" s="4" t="str">
        <f>G3 &amp; "." &amp; F3</f>
        <v>pko_finance_analyst.step_executions</v>
      </c>
      <c r="C3" s="3" t="s">
        <v>13643</v>
      </c>
      <c r="D3" s="3" t="s">
        <v>9751</v>
      </c>
      <c r="E3" s="3" t="s">
        <v>1827</v>
      </c>
      <c r="F3" s="3" t="s">
        <v>9715</v>
      </c>
      <c r="G3" s="4" t="str">
        <f>_xlfn.IFNA(IF(((INDEX(RoleSchemas!D2:D13, MATCH(C3,RoleSchemas!A2:A13, 0))="")=TRUE),  "",  INDEX(RoleSchemas!D2:D13, MATCH(C3,RoleSchemas!A2:A13, 0))), "")</f>
        <v>pko_finance_analyst</v>
      </c>
      <c r="H3" s="4" t="str">
        <f>_xlfn.IFNA(IF(((INDEX(RulebookTables!E2:E93, MATCH(E3,RulebookTables!A2:A93, 0))="")=TRUE),  "",  INDEX(RulebookTables!E2:E93, MATCH(E3,RulebookTables!A2:A93, 0))), "")</f>
        <v>vw_step_executions</v>
      </c>
      <c r="I3" s="4" t="str">
        <f>D3 &amp; "|" &amp; E3</f>
        <v>principal-finance-analyst|StepExecutions</v>
      </c>
      <c r="J3" s="4">
        <f>COUNTIFS(FieldGrants!M2:M3640, I3)</f>
        <v>10</v>
      </c>
      <c r="K3" s="4">
        <f>_xlfn.IFNA(IF(((INDEX(RulebookTables!H2:H93, MATCH(E3,RulebookTables!A2:A93, 0))="")=TRUE),  "",  INDEX(RulebookTables!H2:H93, MATCH(E3,RulebookTables!A2:A93, 0))), "")</f>
        <v>109</v>
      </c>
      <c r="L3" s="4" t="b">
        <f>AND(((J3 &gt; 0)=TRUE), ((J3 &gt;= K3)=TRUE))</f>
        <v>0</v>
      </c>
      <c r="M3" s="4" t="b">
        <f>J3 = 0</f>
        <v>0</v>
      </c>
      <c r="N3" s="3" t="s">
        <v>13657</v>
      </c>
    </row>
    <row r="4">
      <c r="A4" s="3" t="s">
        <v>13659</v>
      </c>
      <c r="B4" s="4" t="str">
        <f>G4 &amp; "." &amp; F4</f>
        <v>pko_finance_analyst.procedure_executions</v>
      </c>
      <c r="C4" s="3" t="s">
        <v>13643</v>
      </c>
      <c r="D4" s="3" t="s">
        <v>9751</v>
      </c>
      <c r="E4" s="3" t="s">
        <v>1824</v>
      </c>
      <c r="F4" s="3" t="s">
        <v>9694</v>
      </c>
      <c r="G4" s="4" t="str">
        <f>_xlfn.IFNA(IF(((INDEX(RoleSchemas!D2:D13, MATCH(C4,RoleSchemas!A2:A13, 0))="")=TRUE),  "",  INDEX(RoleSchemas!D2:D13, MATCH(C4,RoleSchemas!A2:A13, 0))), "")</f>
        <v>pko_finance_analyst</v>
      </c>
      <c r="H4" s="4" t="str">
        <f>_xlfn.IFNA(IF(((INDEX(RulebookTables!E2:E93, MATCH(E4,RulebookTables!A2:A93, 0))="")=TRUE),  "",  INDEX(RulebookTables!E2:E93, MATCH(E4,RulebookTables!A2:A93, 0))), "")</f>
        <v>vw_procedure_executions</v>
      </c>
      <c r="I4" s="4" t="str">
        <f>D4 &amp; "|" &amp; E4</f>
        <v>principal-finance-analyst|ProcedureExecutions</v>
      </c>
      <c r="J4" s="4">
        <f>COUNTIFS(FieldGrants!M2:M3640, I4)</f>
        <v>6</v>
      </c>
      <c r="K4" s="4">
        <f>_xlfn.IFNA(IF(((INDEX(RulebookTables!H2:H93, MATCH(E4,RulebookTables!A2:A93, 0))="")=TRUE),  "",  INDEX(RulebookTables!H2:H93, MATCH(E4,RulebookTables!A2:A93, 0))), "")</f>
        <v>78</v>
      </c>
      <c r="L4" s="4" t="b">
        <f>AND(((J4 &gt; 0)=TRUE), ((J4 &gt;= K4)=TRUE))</f>
        <v>0</v>
      </c>
      <c r="M4" s="4" t="b">
        <f>J4 = 0</f>
        <v>0</v>
      </c>
      <c r="N4" s="3" t="s">
        <v>13657</v>
      </c>
    </row>
    <row r="5">
      <c r="A5" s="3" t="s">
        <v>13660</v>
      </c>
      <c r="B5" s="4" t="str">
        <f>G5 &amp; "." &amp; F5</f>
        <v>pko_finance_analyst.requirements</v>
      </c>
      <c r="C5" s="3" t="s">
        <v>13643</v>
      </c>
      <c r="D5" s="3" t="s">
        <v>9751</v>
      </c>
      <c r="E5" s="3" t="s">
        <v>1805</v>
      </c>
      <c r="F5" s="3" t="s">
        <v>9704</v>
      </c>
      <c r="G5" s="4" t="str">
        <f>_xlfn.IFNA(IF(((INDEX(RoleSchemas!D2:D13, MATCH(C5,RoleSchemas!A2:A13, 0))="")=TRUE),  "",  INDEX(RoleSchemas!D2:D13, MATCH(C5,RoleSchemas!A2:A13, 0))), "")</f>
        <v>pko_finance_analyst</v>
      </c>
      <c r="H5" s="4" t="str">
        <f>_xlfn.IFNA(IF(((INDEX(RulebookTables!E2:E93, MATCH(E5,RulebookTables!A2:A93, 0))="")=TRUE),  "",  INDEX(RulebookTables!E2:E93, MATCH(E5,RulebookTables!A2:A93, 0))), "")</f>
        <v>vw_requirements</v>
      </c>
      <c r="I5" s="4" t="str">
        <f>D5 &amp; "|" &amp; E5</f>
        <v>principal-finance-analyst|Requirements</v>
      </c>
      <c r="J5" s="4">
        <f>COUNTIFS(FieldGrants!M2:M3640, I5)</f>
        <v>6</v>
      </c>
      <c r="K5" s="4">
        <f>_xlfn.IFNA(IF(((INDEX(RulebookTables!H2:H93, MATCH(E5,RulebookTables!A2:A93, 0))="")=TRUE),  "",  INDEX(RulebookTables!H2:H93, MATCH(E5,RulebookTables!A2:A93, 0))), "")</f>
        <v>43</v>
      </c>
      <c r="L5" s="4" t="b">
        <f>AND(((J5 &gt; 0)=TRUE), ((J5 &gt;= K5)=TRUE))</f>
        <v>0</v>
      </c>
      <c r="M5" s="4" t="b">
        <f>J5 = 0</f>
        <v>0</v>
      </c>
      <c r="N5" s="3" t="s">
        <v>13657</v>
      </c>
    </row>
    <row r="6">
      <c r="A6" s="3" t="s">
        <v>13661</v>
      </c>
      <c r="B6" s="4" t="str">
        <f>G6 &amp; "." &amp; F6</f>
        <v>pko_finance_analyst.requirement_satisfactions</v>
      </c>
      <c r="C6" s="3" t="s">
        <v>13643</v>
      </c>
      <c r="D6" s="3" t="s">
        <v>9751</v>
      </c>
      <c r="E6" s="3" t="s">
        <v>1830</v>
      </c>
      <c r="F6" s="3" t="s">
        <v>9703</v>
      </c>
      <c r="G6" s="4" t="str">
        <f>_xlfn.IFNA(IF(((INDEX(RoleSchemas!D2:D13, MATCH(C6,RoleSchemas!A2:A13, 0))="")=TRUE),  "",  INDEX(RoleSchemas!D2:D13, MATCH(C6,RoleSchemas!A2:A13, 0))), "")</f>
        <v>pko_finance_analyst</v>
      </c>
      <c r="H6" s="4" t="str">
        <f>_xlfn.IFNA(IF(((INDEX(RulebookTables!E2:E93, MATCH(E6,RulebookTables!A2:A93, 0))="")=TRUE),  "",  INDEX(RulebookTables!E2:E93, MATCH(E6,RulebookTables!A2:A93, 0))), "")</f>
        <v>vw_requirement_satisfactions</v>
      </c>
      <c r="I6" s="4" t="str">
        <f>D6 &amp; "|" &amp; E6</f>
        <v>principal-finance-analyst|RequirementSatisfactions</v>
      </c>
      <c r="J6" s="4">
        <f>COUNTIFS(FieldGrants!M2:M3640, I6)</f>
        <v>6</v>
      </c>
      <c r="K6" s="4">
        <f>_xlfn.IFNA(IF(((INDEX(RulebookTables!H2:H93, MATCH(E6,RulebookTables!A2:A93, 0))="")=TRUE),  "",  INDEX(RulebookTables!H2:H93, MATCH(E6,RulebookTables!A2:A93, 0))), "")</f>
        <v>46</v>
      </c>
      <c r="L6" s="4" t="b">
        <f>AND(((J6 &gt; 0)=TRUE), ((J6 &gt;= K6)=TRUE))</f>
        <v>0</v>
      </c>
      <c r="M6" s="4" t="b">
        <f>J6 = 0</f>
        <v>0</v>
      </c>
      <c r="N6" s="3" t="s">
        <v>13657</v>
      </c>
    </row>
    <row r="7">
      <c r="A7" s="3" t="s">
        <v>13662</v>
      </c>
      <c r="B7" s="4" t="str">
        <f>G7 &amp; "." &amp; F7</f>
        <v>pko_finance_analyst.procedures</v>
      </c>
      <c r="C7" s="3" t="s">
        <v>13643</v>
      </c>
      <c r="D7" s="3" t="s">
        <v>9751</v>
      </c>
      <c r="E7" s="3" t="s">
        <v>1762</v>
      </c>
      <c r="F7" s="3" t="s">
        <v>9700</v>
      </c>
      <c r="G7" s="4" t="str">
        <f>_xlfn.IFNA(IF(((INDEX(RoleSchemas!D2:D13, MATCH(C7,RoleSchemas!A2:A13, 0))="")=TRUE),  "",  INDEX(RoleSchemas!D2:D13, MATCH(C7,RoleSchemas!A2:A13, 0))), "")</f>
        <v>pko_finance_analyst</v>
      </c>
      <c r="H7" s="4" t="str">
        <f>_xlfn.IFNA(IF(((INDEX(RulebookTables!E2:E93, MATCH(E7,RulebookTables!A2:A93, 0))="")=TRUE),  "",  INDEX(RulebookTables!E2:E93, MATCH(E7,RulebookTables!A2:A93, 0))), "")</f>
        <v>vw_procedures</v>
      </c>
      <c r="I7" s="4" t="str">
        <f>D7 &amp; "|" &amp; E7</f>
        <v>principal-finance-analyst|Procedures</v>
      </c>
      <c r="J7" s="4">
        <f>COUNTIFS(FieldGrants!M2:M3640, I7)</f>
        <v>4</v>
      </c>
      <c r="K7" s="4">
        <f>_xlfn.IFNA(IF(((INDEX(RulebookTables!H2:H93, MATCH(E7,RulebookTables!A2:A93, 0))="")=TRUE),  "",  INDEX(RulebookTables!H2:H93, MATCH(E7,RulebookTables!A2:A93, 0))), "")</f>
        <v>11</v>
      </c>
      <c r="L7" s="4" t="b">
        <f>AND(((J7 &gt; 0)=TRUE), ((J7 &gt;= K7)=TRUE))</f>
        <v>0</v>
      </c>
      <c r="M7" s="4" t="b">
        <f>J7 = 0</f>
        <v>0</v>
      </c>
      <c r="N7" s="3" t="s">
        <v>13657</v>
      </c>
    </row>
    <row r="8">
      <c r="A8" s="3" t="s">
        <v>13663</v>
      </c>
      <c r="B8" s="4" t="str">
        <f>G8 &amp; "." &amp; F8</f>
        <v>pko_finance_analyst.procedure_versions</v>
      </c>
      <c r="C8" s="3" t="s">
        <v>13643</v>
      </c>
      <c r="D8" s="3" t="s">
        <v>9751</v>
      </c>
      <c r="E8" s="3" t="s">
        <v>1767</v>
      </c>
      <c r="F8" s="3" t="s">
        <v>9699</v>
      </c>
      <c r="G8" s="4" t="str">
        <f>_xlfn.IFNA(IF(((INDEX(RoleSchemas!D2:D13, MATCH(C8,RoleSchemas!A2:A13, 0))="")=TRUE),  "",  INDEX(RoleSchemas!D2:D13, MATCH(C8,RoleSchemas!A2:A13, 0))), "")</f>
        <v>pko_finance_analyst</v>
      </c>
      <c r="H8" s="4" t="str">
        <f>_xlfn.IFNA(IF(((INDEX(RulebookTables!E2:E93, MATCH(E8,RulebookTables!A2:A93, 0))="")=TRUE),  "",  INDEX(RulebookTables!E2:E93, MATCH(E8,RulebookTables!A2:A93, 0))), "")</f>
        <v>vw_procedure_versions</v>
      </c>
      <c r="I8" s="4" t="str">
        <f>D8 &amp; "|" &amp; E8</f>
        <v>principal-finance-analyst|ProcedureVersions</v>
      </c>
      <c r="J8" s="4">
        <f>COUNTIFS(FieldGrants!M2:M3640, I8)</f>
        <v>7</v>
      </c>
      <c r="K8" s="4">
        <f>_xlfn.IFNA(IF(((INDEX(RulebookTables!H2:H93, MATCH(E8,RulebookTables!A2:A93, 0))="")=TRUE),  "",  INDEX(RulebookTables!H2:H93, MATCH(E8,RulebookTables!A2:A93, 0))), "")</f>
        <v>87</v>
      </c>
      <c r="L8" s="4" t="b">
        <f>AND(((J8 &gt; 0)=TRUE), ((J8 &gt;= K8)=TRUE))</f>
        <v>0</v>
      </c>
      <c r="M8" s="4" t="b">
        <f>J8 = 0</f>
        <v>0</v>
      </c>
      <c r="N8" s="3" t="s">
        <v>13657</v>
      </c>
    </row>
    <row r="9">
      <c r="A9" s="3" t="s">
        <v>13664</v>
      </c>
      <c r="B9" s="4" t="str">
        <f>G9 &amp; "." &amp; F9</f>
        <v>pko_controller.steps</v>
      </c>
      <c r="C9" s="3" t="s">
        <v>13645</v>
      </c>
      <c r="D9" s="3" t="s">
        <v>9754</v>
      </c>
      <c r="E9" s="3" t="s">
        <v>1778</v>
      </c>
      <c r="F9" s="3" t="s">
        <v>9721</v>
      </c>
      <c r="G9" s="4" t="str">
        <f>_xlfn.IFNA(IF(((INDEX(RoleSchemas!D2:D13, MATCH(C9,RoleSchemas!A2:A13, 0))="")=TRUE),  "",  INDEX(RoleSchemas!D2:D13, MATCH(C9,RoleSchemas!A2:A13, 0))), "")</f>
        <v>pko_controller</v>
      </c>
      <c r="H9" s="4" t="str">
        <f>_xlfn.IFNA(IF(((INDEX(RulebookTables!E2:E93, MATCH(E9,RulebookTables!A2:A93, 0))="")=TRUE),  "",  INDEX(RulebookTables!E2:E93, MATCH(E9,RulebookTables!A2:A93, 0))), "")</f>
        <v>vw_steps</v>
      </c>
      <c r="I9" s="4" t="str">
        <f>D9 &amp; "|" &amp; E9</f>
        <v>principal-controller|Steps</v>
      </c>
      <c r="J9" s="4">
        <f>COUNTIFS(FieldGrants!M2:M3640, I9)</f>
        <v>13</v>
      </c>
      <c r="K9" s="4">
        <f>_xlfn.IFNA(IF(((INDEX(RulebookTables!H2:H93, MATCH(E9,RulebookTables!A2:A93, 0))="")=TRUE),  "",  INDEX(RulebookTables!H2:H93, MATCH(E9,RulebookTables!A2:A93, 0))), "")</f>
        <v>54</v>
      </c>
      <c r="L9" s="4" t="b">
        <f>AND(((J9 &gt; 0)=TRUE), ((J9 &gt;= K9)=TRUE))</f>
        <v>0</v>
      </c>
      <c r="M9" s="4" t="b">
        <f>J9 = 0</f>
        <v>0</v>
      </c>
      <c r="N9" s="3" t="s">
        <v>13657</v>
      </c>
    </row>
    <row r="10">
      <c r="A10" s="3" t="s">
        <v>13665</v>
      </c>
      <c r="B10" s="4" t="str">
        <f>G10 &amp; "." &amp; F10</f>
        <v>pko_controller.step_executions</v>
      </c>
      <c r="C10" s="3" t="s">
        <v>13645</v>
      </c>
      <c r="D10" s="3" t="s">
        <v>9754</v>
      </c>
      <c r="E10" s="3" t="s">
        <v>1827</v>
      </c>
      <c r="F10" s="3" t="s">
        <v>9715</v>
      </c>
      <c r="G10" s="4" t="str">
        <f>_xlfn.IFNA(IF(((INDEX(RoleSchemas!D2:D13, MATCH(C10,RoleSchemas!A2:A13, 0))="")=TRUE),  "",  INDEX(RoleSchemas!D2:D13, MATCH(C10,RoleSchemas!A2:A13, 0))), "")</f>
        <v>pko_controller</v>
      </c>
      <c r="H10" s="4" t="str">
        <f>_xlfn.IFNA(IF(((INDEX(RulebookTables!E2:E93, MATCH(E10,RulebookTables!A2:A93, 0))="")=TRUE),  "",  INDEX(RulebookTables!E2:E93, MATCH(E10,RulebookTables!A2:A93, 0))), "")</f>
        <v>vw_step_executions</v>
      </c>
      <c r="I10" s="4" t="str">
        <f>D10 &amp; "|" &amp; E10</f>
        <v>principal-controller|StepExecutions</v>
      </c>
      <c r="J10" s="4">
        <f>COUNTIFS(FieldGrants!M2:M3640, I10)</f>
        <v>8</v>
      </c>
      <c r="K10" s="4">
        <f>_xlfn.IFNA(IF(((INDEX(RulebookTables!H2:H93, MATCH(E10,RulebookTables!A2:A93, 0))="")=TRUE),  "",  INDEX(RulebookTables!H2:H93, MATCH(E10,RulebookTables!A2:A93, 0))), "")</f>
        <v>109</v>
      </c>
      <c r="L10" s="4" t="b">
        <f>AND(((J10 &gt; 0)=TRUE), ((J10 &gt;= K10)=TRUE))</f>
        <v>0</v>
      </c>
      <c r="M10" s="4" t="b">
        <f>J10 = 0</f>
        <v>0</v>
      </c>
      <c r="N10" s="3" t="s">
        <v>13657</v>
      </c>
    </row>
    <row r="11">
      <c r="A11" s="3" t="s">
        <v>13666</v>
      </c>
      <c r="B11" s="4" t="str">
        <f>G11 &amp; "." &amp; F11</f>
        <v>pko_controller.procedure_executions</v>
      </c>
      <c r="C11" s="3" t="s">
        <v>13645</v>
      </c>
      <c r="D11" s="3" t="s">
        <v>9754</v>
      </c>
      <c r="E11" s="3" t="s">
        <v>1824</v>
      </c>
      <c r="F11" s="3" t="s">
        <v>9694</v>
      </c>
      <c r="G11" s="4" t="str">
        <f>_xlfn.IFNA(IF(((INDEX(RoleSchemas!D2:D13, MATCH(C11,RoleSchemas!A2:A13, 0))="")=TRUE),  "",  INDEX(RoleSchemas!D2:D13, MATCH(C11,RoleSchemas!A2:A13, 0))), "")</f>
        <v>pko_controller</v>
      </c>
      <c r="H11" s="4" t="str">
        <f>_xlfn.IFNA(IF(((INDEX(RulebookTables!E2:E93, MATCH(E11,RulebookTables!A2:A93, 0))="")=TRUE),  "",  INDEX(RulebookTables!E2:E93, MATCH(E11,RulebookTables!A2:A93, 0))), "")</f>
        <v>vw_procedure_executions</v>
      </c>
      <c r="I11" s="4" t="str">
        <f>D11 &amp; "|" &amp; E11</f>
        <v>principal-controller|ProcedureExecutions</v>
      </c>
      <c r="J11" s="4">
        <f>COUNTIFS(FieldGrants!M2:M3640, I11)</f>
        <v>6</v>
      </c>
      <c r="K11" s="4">
        <f>_xlfn.IFNA(IF(((INDEX(RulebookTables!H2:H93, MATCH(E11,RulebookTables!A2:A93, 0))="")=TRUE),  "",  INDEX(RulebookTables!H2:H93, MATCH(E11,RulebookTables!A2:A93, 0))), "")</f>
        <v>78</v>
      </c>
      <c r="L11" s="4" t="b">
        <f>AND(((J11 &gt; 0)=TRUE), ((J11 &gt;= K11)=TRUE))</f>
        <v>0</v>
      </c>
      <c r="M11" s="4" t="b">
        <f>J11 = 0</f>
        <v>0</v>
      </c>
      <c r="N11" s="3" t="s">
        <v>13657</v>
      </c>
    </row>
    <row r="12">
      <c r="A12" s="3" t="s">
        <v>13667</v>
      </c>
      <c r="B12" s="4" t="str">
        <f>G12 &amp; "." &amp; F12</f>
        <v>pko_controller.exceptions</v>
      </c>
      <c r="C12" s="3" t="s">
        <v>13645</v>
      </c>
      <c r="D12" s="3" t="s">
        <v>9754</v>
      </c>
      <c r="E12" s="3" t="s">
        <v>3161</v>
      </c>
      <c r="F12" s="3" t="s">
        <v>9680</v>
      </c>
      <c r="G12" s="4" t="str">
        <f>_xlfn.IFNA(IF(((INDEX(RoleSchemas!D2:D13, MATCH(C12,RoleSchemas!A2:A13, 0))="")=TRUE),  "",  INDEX(RoleSchemas!D2:D13, MATCH(C12,RoleSchemas!A2:A13, 0))), "")</f>
        <v>pko_controller</v>
      </c>
      <c r="H12" s="4" t="str">
        <f>_xlfn.IFNA(IF(((INDEX(RulebookTables!E2:E93, MATCH(E12,RulebookTables!A2:A93, 0))="")=TRUE),  "",  INDEX(RulebookTables!E2:E93, MATCH(E12,RulebookTables!A2:A93, 0))), "")</f>
        <v>vw_exceptions</v>
      </c>
      <c r="I12" s="4" t="str">
        <f>D12 &amp; "|" &amp; E12</f>
        <v>principal-controller|Exceptions</v>
      </c>
      <c r="J12" s="4">
        <f>COUNTIFS(FieldGrants!M2:M3640, I12)</f>
        <v>11</v>
      </c>
      <c r="K12" s="4">
        <f>_xlfn.IFNA(IF(((INDEX(RulebookTables!H2:H93, MATCH(E12,RulebookTables!A2:A93, 0))="")=TRUE),  "",  INDEX(RulebookTables!H2:H93, MATCH(E12,RulebookTables!A2:A93, 0))), "")</f>
        <v>11</v>
      </c>
      <c r="L12" s="4" t="b">
        <f>AND(((J12 &gt; 0)=TRUE), ((J12 &gt;= K12)=TRUE))</f>
        <v>1</v>
      </c>
      <c r="M12" s="4" t="b">
        <f>J12 = 0</f>
        <v>0</v>
      </c>
      <c r="N12" s="3" t="s">
        <v>13657</v>
      </c>
    </row>
    <row r="13">
      <c r="A13" s="3" t="s">
        <v>13668</v>
      </c>
      <c r="B13" s="4" t="str">
        <f>G13 &amp; "." &amp; F13</f>
        <v>pko_controller.change_requests</v>
      </c>
      <c r="C13" s="3" t="s">
        <v>13645</v>
      </c>
      <c r="D13" s="3" t="s">
        <v>9754</v>
      </c>
      <c r="E13" s="3" t="s">
        <v>3914</v>
      </c>
      <c r="F13" s="3" t="s">
        <v>9670</v>
      </c>
      <c r="G13" s="4" t="str">
        <f>_xlfn.IFNA(IF(((INDEX(RoleSchemas!D2:D13, MATCH(C13,RoleSchemas!A2:A13, 0))="")=TRUE),  "",  INDEX(RoleSchemas!D2:D13, MATCH(C13,RoleSchemas!A2:A13, 0))), "")</f>
        <v>pko_controller</v>
      </c>
      <c r="H13" s="4" t="str">
        <f>_xlfn.IFNA(IF(((INDEX(RulebookTables!E2:E93, MATCH(E13,RulebookTables!A2:A93, 0))="")=TRUE),  "",  INDEX(RulebookTables!E2:E93, MATCH(E13,RulebookTables!A2:A93, 0))), "")</f>
        <v>vw_change_requests</v>
      </c>
      <c r="I13" s="4" t="str">
        <f>D13 &amp; "|" &amp; E13</f>
        <v>principal-controller|ChangeRequests</v>
      </c>
      <c r="J13" s="4">
        <f>COUNTIFS(FieldGrants!M2:M3640, I13)</f>
        <v>10</v>
      </c>
      <c r="K13" s="4">
        <f>_xlfn.IFNA(IF(((INDEX(RulebookTables!H2:H93, MATCH(E13,RulebookTables!A2:A93, 0))="")=TRUE),  "",  INDEX(RulebookTables!H2:H93, MATCH(E13,RulebookTables!A2:A93, 0))), "")</f>
        <v>45</v>
      </c>
      <c r="L13" s="4" t="b">
        <f>AND(((J13 &gt; 0)=TRUE), ((J13 &gt;= K13)=TRUE))</f>
        <v>0</v>
      </c>
      <c r="M13" s="4" t="b">
        <f>J13 = 0</f>
        <v>0</v>
      </c>
      <c r="N13" s="3" t="s">
        <v>13657</v>
      </c>
    </row>
    <row r="14">
      <c r="A14" s="3" t="s">
        <v>13669</v>
      </c>
      <c r="B14" s="4" t="str">
        <f>G14 &amp; "." &amp; F14</f>
        <v>pko_controller.knowledge_fragments</v>
      </c>
      <c r="C14" s="3" t="s">
        <v>13645</v>
      </c>
      <c r="D14" s="3" t="s">
        <v>9754</v>
      </c>
      <c r="E14" s="3" t="s">
        <v>1851</v>
      </c>
      <c r="F14" s="3" t="s">
        <v>9684</v>
      </c>
      <c r="G14" s="4" t="str">
        <f>_xlfn.IFNA(IF(((INDEX(RoleSchemas!D2:D13, MATCH(C14,RoleSchemas!A2:A13, 0))="")=TRUE),  "",  INDEX(RoleSchemas!D2:D13, MATCH(C14,RoleSchemas!A2:A13, 0))), "")</f>
        <v>pko_controller</v>
      </c>
      <c r="H14" s="4" t="str">
        <f>_xlfn.IFNA(IF(((INDEX(RulebookTables!E2:E93, MATCH(E14,RulebookTables!A2:A93, 0))="")=TRUE),  "",  INDEX(RulebookTables!E2:E93, MATCH(E14,RulebookTables!A2:A93, 0))), "")</f>
        <v>vw_knowledge_fragments</v>
      </c>
      <c r="I14" s="4" t="str">
        <f>D14 &amp; "|" &amp; E14</f>
        <v>principal-controller|KnowledgeFragments</v>
      </c>
      <c r="J14" s="4">
        <f>COUNTIFS(FieldGrants!M2:M3640, I14)</f>
        <v>8</v>
      </c>
      <c r="K14" s="4">
        <f>_xlfn.IFNA(IF(((INDEX(RulebookTables!H2:H93, MATCH(E14,RulebookTables!A2:A93, 0))="")=TRUE),  "",  INDEX(RulebookTables!H2:H93, MATCH(E14,RulebookTables!A2:A93, 0))), "")</f>
        <v>80</v>
      </c>
      <c r="L14" s="4" t="b">
        <f>AND(((J14 &gt; 0)=TRUE), ((J14 &gt;= K14)=TRUE))</f>
        <v>0</v>
      </c>
      <c r="M14" s="4" t="b">
        <f>J14 = 0</f>
        <v>0</v>
      </c>
      <c r="N14" s="3" t="s">
        <v>13657</v>
      </c>
    </row>
    <row r="15">
      <c r="A15" s="3" t="s">
        <v>13670</v>
      </c>
      <c r="B15" s="4" t="str">
        <f>G15 &amp; "." &amp; F15</f>
        <v>pko_controller.requirements</v>
      </c>
      <c r="C15" s="3" t="s">
        <v>13645</v>
      </c>
      <c r="D15" s="3" t="s">
        <v>9754</v>
      </c>
      <c r="E15" s="3" t="s">
        <v>1805</v>
      </c>
      <c r="F15" s="3" t="s">
        <v>9704</v>
      </c>
      <c r="G15" s="4" t="str">
        <f>_xlfn.IFNA(IF(((INDEX(RoleSchemas!D2:D13, MATCH(C15,RoleSchemas!A2:A13, 0))="")=TRUE),  "",  INDEX(RoleSchemas!D2:D13, MATCH(C15,RoleSchemas!A2:A13, 0))), "")</f>
        <v>pko_controller</v>
      </c>
      <c r="H15" s="4" t="str">
        <f>_xlfn.IFNA(IF(((INDEX(RulebookTables!E2:E93, MATCH(E15,RulebookTables!A2:A93, 0))="")=TRUE),  "",  INDEX(RulebookTables!E2:E93, MATCH(E15,RulebookTables!A2:A93, 0))), "")</f>
        <v>vw_requirements</v>
      </c>
      <c r="I15" s="4" t="str">
        <f>D15 &amp; "|" &amp; E15</f>
        <v>principal-controller|Requirements</v>
      </c>
      <c r="J15" s="4">
        <f>COUNTIFS(FieldGrants!M2:M3640, I15)</f>
        <v>6</v>
      </c>
      <c r="K15" s="4">
        <f>_xlfn.IFNA(IF(((INDEX(RulebookTables!H2:H93, MATCH(E15,RulebookTables!A2:A93, 0))="")=TRUE),  "",  INDEX(RulebookTables!H2:H93, MATCH(E15,RulebookTables!A2:A93, 0))), "")</f>
        <v>43</v>
      </c>
      <c r="L15" s="4" t="b">
        <f>AND(((J15 &gt; 0)=TRUE), ((J15 &gt;= K15)=TRUE))</f>
        <v>0</v>
      </c>
      <c r="M15" s="4" t="b">
        <f>J15 = 0</f>
        <v>0</v>
      </c>
      <c r="N15" s="3" t="s">
        <v>13657</v>
      </c>
    </row>
    <row r="16">
      <c r="A16" s="3" t="s">
        <v>13671</v>
      </c>
      <c r="B16" s="4" t="str">
        <f>G16 &amp; "." &amp; F16</f>
        <v>pko_controller.procedure_versions</v>
      </c>
      <c r="C16" s="3" t="s">
        <v>13645</v>
      </c>
      <c r="D16" s="3" t="s">
        <v>9754</v>
      </c>
      <c r="E16" s="3" t="s">
        <v>1767</v>
      </c>
      <c r="F16" s="3" t="s">
        <v>9699</v>
      </c>
      <c r="G16" s="4" t="str">
        <f>_xlfn.IFNA(IF(((INDEX(RoleSchemas!D2:D13, MATCH(C16,RoleSchemas!A2:A13, 0))="")=TRUE),  "",  INDEX(RoleSchemas!D2:D13, MATCH(C16,RoleSchemas!A2:A13, 0))), "")</f>
        <v>pko_controller</v>
      </c>
      <c r="H16" s="4" t="str">
        <f>_xlfn.IFNA(IF(((INDEX(RulebookTables!E2:E93, MATCH(E16,RulebookTables!A2:A93, 0))="")=TRUE),  "",  INDEX(RulebookTables!E2:E93, MATCH(E16,RulebookTables!A2:A93, 0))), "")</f>
        <v>vw_procedure_versions</v>
      </c>
      <c r="I16" s="4" t="str">
        <f>D16 &amp; "|" &amp; E16</f>
        <v>principal-controller|ProcedureVersions</v>
      </c>
      <c r="J16" s="4">
        <f>COUNTIFS(FieldGrants!M2:M3640, I16)</f>
        <v>7</v>
      </c>
      <c r="K16" s="4">
        <f>_xlfn.IFNA(IF(((INDEX(RulebookTables!H2:H93, MATCH(E16,RulebookTables!A2:A93, 0))="")=TRUE),  "",  INDEX(RulebookTables!H2:H93, MATCH(E16,RulebookTables!A2:A93, 0))), "")</f>
        <v>87</v>
      </c>
      <c r="L16" s="4" t="b">
        <f>AND(((J16 &gt; 0)=TRUE), ((J16 &gt;= K16)=TRUE))</f>
        <v>0</v>
      </c>
      <c r="M16" s="4" t="b">
        <f>J16 = 0</f>
        <v>0</v>
      </c>
      <c r="N16" s="3" t="s">
        <v>13657</v>
      </c>
    </row>
    <row r="17">
      <c r="A17" s="3" t="s">
        <v>13672</v>
      </c>
      <c r="B17" s="4" t="str">
        <f>G17 &amp; "." &amp; F17</f>
        <v>pko_cfo.procedure_executions</v>
      </c>
      <c r="C17" s="3" t="s">
        <v>13646</v>
      </c>
      <c r="D17" s="3" t="s">
        <v>9756</v>
      </c>
      <c r="E17" s="3" t="s">
        <v>1824</v>
      </c>
      <c r="F17" s="3" t="s">
        <v>9694</v>
      </c>
      <c r="G17" s="4" t="str">
        <f>_xlfn.IFNA(IF(((INDEX(RoleSchemas!D2:D13, MATCH(C17,RoleSchemas!A2:A13, 0))="")=TRUE),  "",  INDEX(RoleSchemas!D2:D13, MATCH(C17,RoleSchemas!A2:A13, 0))), "")</f>
        <v>pko_cfo</v>
      </c>
      <c r="H17" s="4" t="str">
        <f>_xlfn.IFNA(IF(((INDEX(RulebookTables!E2:E93, MATCH(E17,RulebookTables!A2:A93, 0))="")=TRUE),  "",  INDEX(RulebookTables!E2:E93, MATCH(E17,RulebookTables!A2:A93, 0))), "")</f>
        <v>vw_procedure_executions</v>
      </c>
      <c r="I17" s="4" t="str">
        <f>D17 &amp; "|" &amp; E17</f>
        <v>principal-cfo|ProcedureExecutions</v>
      </c>
      <c r="J17" s="4">
        <f>COUNTIFS(FieldGrants!M2:M3640, I17)</f>
        <v>6</v>
      </c>
      <c r="K17" s="4">
        <f>_xlfn.IFNA(IF(((INDEX(RulebookTables!H2:H93, MATCH(E17,RulebookTables!A2:A93, 0))="")=TRUE),  "",  INDEX(RulebookTables!H2:H93, MATCH(E17,RulebookTables!A2:A93, 0))), "")</f>
        <v>78</v>
      </c>
      <c r="L17" s="4" t="b">
        <f>AND(((J17 &gt; 0)=TRUE), ((J17 &gt;= K17)=TRUE))</f>
        <v>0</v>
      </c>
      <c r="M17" s="4" t="b">
        <f>J17 = 0</f>
        <v>0</v>
      </c>
      <c r="N17" s="3" t="s">
        <v>13657</v>
      </c>
    </row>
    <row r="18">
      <c r="A18" s="3" t="s">
        <v>13673</v>
      </c>
      <c r="B18" s="4" t="str">
        <f>G18 &amp; "." &amp; F18</f>
        <v>pko_cfo.exceptions</v>
      </c>
      <c r="C18" s="3" t="s">
        <v>13646</v>
      </c>
      <c r="D18" s="3" t="s">
        <v>9756</v>
      </c>
      <c r="E18" s="3" t="s">
        <v>3161</v>
      </c>
      <c r="F18" s="3" t="s">
        <v>9680</v>
      </c>
      <c r="G18" s="4" t="str">
        <f>_xlfn.IFNA(IF(((INDEX(RoleSchemas!D2:D13, MATCH(C18,RoleSchemas!A2:A13, 0))="")=TRUE),  "",  INDEX(RoleSchemas!D2:D13, MATCH(C18,RoleSchemas!A2:A13, 0))), "")</f>
        <v>pko_cfo</v>
      </c>
      <c r="H18" s="4" t="str">
        <f>_xlfn.IFNA(IF(((INDEX(RulebookTables!E2:E93, MATCH(E18,RulebookTables!A2:A93, 0))="")=TRUE),  "",  INDEX(RulebookTables!E2:E93, MATCH(E18,RulebookTables!A2:A93, 0))), "")</f>
        <v>vw_exceptions</v>
      </c>
      <c r="I18" s="4" t="str">
        <f>D18 &amp; "|" &amp; E18</f>
        <v>principal-cfo|Exceptions</v>
      </c>
      <c r="J18" s="4">
        <f>COUNTIFS(FieldGrants!M2:M3640, I18)</f>
        <v>11</v>
      </c>
      <c r="K18" s="4">
        <f>_xlfn.IFNA(IF(((INDEX(RulebookTables!H2:H93, MATCH(E18,RulebookTables!A2:A93, 0))="")=TRUE),  "",  INDEX(RulebookTables!H2:H93, MATCH(E18,RulebookTables!A2:A93, 0))), "")</f>
        <v>11</v>
      </c>
      <c r="L18" s="4" t="b">
        <f>AND(((J18 &gt; 0)=TRUE), ((J18 &gt;= K18)=TRUE))</f>
        <v>1</v>
      </c>
      <c r="M18" s="4" t="b">
        <f>J18 = 0</f>
        <v>0</v>
      </c>
      <c r="N18" s="3" t="s">
        <v>13657</v>
      </c>
    </row>
    <row r="19">
      <c r="A19" s="3" t="s">
        <v>13674</v>
      </c>
      <c r="B19" s="4" t="str">
        <f>G19 &amp; "." &amp; F19</f>
        <v>pko_cfo.change_requests</v>
      </c>
      <c r="C19" s="3" t="s">
        <v>13646</v>
      </c>
      <c r="D19" s="3" t="s">
        <v>9756</v>
      </c>
      <c r="E19" s="3" t="s">
        <v>3914</v>
      </c>
      <c r="F19" s="3" t="s">
        <v>9670</v>
      </c>
      <c r="G19" s="4" t="str">
        <f>_xlfn.IFNA(IF(((INDEX(RoleSchemas!D2:D13, MATCH(C19,RoleSchemas!A2:A13, 0))="")=TRUE),  "",  INDEX(RoleSchemas!D2:D13, MATCH(C19,RoleSchemas!A2:A13, 0))), "")</f>
        <v>pko_cfo</v>
      </c>
      <c r="H19" s="4" t="str">
        <f>_xlfn.IFNA(IF(((INDEX(RulebookTables!E2:E93, MATCH(E19,RulebookTables!A2:A93, 0))="")=TRUE),  "",  INDEX(RulebookTables!E2:E93, MATCH(E19,RulebookTables!A2:A93, 0))), "")</f>
        <v>vw_change_requests</v>
      </c>
      <c r="I19" s="4" t="str">
        <f>D19 &amp; "|" &amp; E19</f>
        <v>principal-cfo|ChangeRequests</v>
      </c>
      <c r="J19" s="4">
        <f>COUNTIFS(FieldGrants!M2:M3640, I19)</f>
        <v>9</v>
      </c>
      <c r="K19" s="4">
        <f>_xlfn.IFNA(IF(((INDEX(RulebookTables!H2:H93, MATCH(E19,RulebookTables!A2:A93, 0))="")=TRUE),  "",  INDEX(RulebookTables!H2:H93, MATCH(E19,RulebookTables!A2:A93, 0))), "")</f>
        <v>45</v>
      </c>
      <c r="L19" s="4" t="b">
        <f>AND(((J19 &gt; 0)=TRUE), ((J19 &gt;= K19)=TRUE))</f>
        <v>0</v>
      </c>
      <c r="M19" s="4" t="b">
        <f>J19 = 0</f>
        <v>0</v>
      </c>
      <c r="N19" s="3" t="s">
        <v>13657</v>
      </c>
    </row>
    <row r="20">
      <c r="A20" s="3" t="s">
        <v>13675</v>
      </c>
      <c r="B20" s="4" t="str">
        <f>G20 &amp; "." &amp; F20</f>
        <v>pko_cfo.authority_boundaries</v>
      </c>
      <c r="C20" s="3" t="s">
        <v>13646</v>
      </c>
      <c r="D20" s="3" t="s">
        <v>9756</v>
      </c>
      <c r="E20" s="3" t="s">
        <v>5131</v>
      </c>
      <c r="F20" s="3" t="s">
        <v>9668</v>
      </c>
      <c r="G20" s="4" t="str">
        <f>_xlfn.IFNA(IF(((INDEX(RoleSchemas!D2:D13, MATCH(C20,RoleSchemas!A2:A13, 0))="")=TRUE),  "",  INDEX(RoleSchemas!D2:D13, MATCH(C20,RoleSchemas!A2:A13, 0))), "")</f>
        <v>pko_cfo</v>
      </c>
      <c r="H20" s="4" t="str">
        <f>_xlfn.IFNA(IF(((INDEX(RulebookTables!E2:E93, MATCH(E20,RulebookTables!A2:A93, 0))="")=TRUE),  "",  INDEX(RulebookTables!E2:E93, MATCH(E20,RulebookTables!A2:A93, 0))), "")</f>
        <v>vw_authority_boundaries</v>
      </c>
      <c r="I20" s="4" t="str">
        <f>D20 &amp; "|" &amp; E20</f>
        <v>principal-cfo|AuthorityBoundaries</v>
      </c>
      <c r="J20" s="4">
        <f>COUNTIFS(FieldGrants!M2:M3640, I20)</f>
        <v>7</v>
      </c>
      <c r="K20" s="4">
        <f>_xlfn.IFNA(IF(((INDEX(RulebookTables!H2:H93, MATCH(E20,RulebookTables!A2:A93, 0))="")=TRUE),  "",  INDEX(RulebookTables!H2:H93, MATCH(E20,RulebookTables!A2:A93, 0))), "")</f>
        <v>33</v>
      </c>
      <c r="L20" s="4" t="b">
        <f>AND(((J20 &gt; 0)=TRUE), ((J20 &gt;= K20)=TRUE))</f>
        <v>0</v>
      </c>
      <c r="M20" s="4" t="b">
        <f>J20 = 0</f>
        <v>0</v>
      </c>
      <c r="N20" s="3" t="s">
        <v>13657</v>
      </c>
    </row>
    <row r="21">
      <c r="A21" s="3" t="s">
        <v>13676</v>
      </c>
      <c r="B21" s="4" t="str">
        <f>G21 &amp; "." &amp; F21</f>
        <v>pko_cfo.procedures</v>
      </c>
      <c r="C21" s="3" t="s">
        <v>13646</v>
      </c>
      <c r="D21" s="3" t="s">
        <v>9756</v>
      </c>
      <c r="E21" s="3" t="s">
        <v>1762</v>
      </c>
      <c r="F21" s="3" t="s">
        <v>9700</v>
      </c>
      <c r="G21" s="4" t="str">
        <f>_xlfn.IFNA(IF(((INDEX(RoleSchemas!D2:D13, MATCH(C21,RoleSchemas!A2:A13, 0))="")=TRUE),  "",  INDEX(RoleSchemas!D2:D13, MATCH(C21,RoleSchemas!A2:A13, 0))), "")</f>
        <v>pko_cfo</v>
      </c>
      <c r="H21" s="4" t="str">
        <f>_xlfn.IFNA(IF(((INDEX(RulebookTables!E2:E93, MATCH(E21,RulebookTables!A2:A93, 0))="")=TRUE),  "",  INDEX(RulebookTables!E2:E93, MATCH(E21,RulebookTables!A2:A93, 0))), "")</f>
        <v>vw_procedures</v>
      </c>
      <c r="I21" s="4" t="str">
        <f>D21 &amp; "|" &amp; E21</f>
        <v>principal-cfo|Procedures</v>
      </c>
      <c r="J21" s="4">
        <f>COUNTIFS(FieldGrants!M2:M3640, I21)</f>
        <v>4</v>
      </c>
      <c r="K21" s="4">
        <f>_xlfn.IFNA(IF(((INDEX(RulebookTables!H2:H93, MATCH(E21,RulebookTables!A2:A93, 0))="")=TRUE),  "",  INDEX(RulebookTables!H2:H93, MATCH(E21,RulebookTables!A2:A93, 0))), "")</f>
        <v>11</v>
      </c>
      <c r="L21" s="4" t="b">
        <f>AND(((J21 &gt; 0)=TRUE), ((J21 &gt;= K21)=TRUE))</f>
        <v>0</v>
      </c>
      <c r="M21" s="4" t="b">
        <f>J21 = 0</f>
        <v>0</v>
      </c>
      <c r="N21" s="3" t="s">
        <v>13657</v>
      </c>
    </row>
    <row r="22">
      <c r="A22" s="3" t="s">
        <v>13677</v>
      </c>
      <c r="B22" s="4" t="str">
        <f>G22 &amp; "." &amp; F22</f>
        <v>pko_hr_policy_owner.steps</v>
      </c>
      <c r="C22" s="3" t="s">
        <v>13647</v>
      </c>
      <c r="D22" s="3" t="s">
        <v>9758</v>
      </c>
      <c r="E22" s="3" t="s">
        <v>1778</v>
      </c>
      <c r="F22" s="3" t="s">
        <v>9721</v>
      </c>
      <c r="G22" s="4" t="str">
        <f>_xlfn.IFNA(IF(((INDEX(RoleSchemas!D2:D13, MATCH(C22,RoleSchemas!A2:A13, 0))="")=TRUE),  "",  INDEX(RoleSchemas!D2:D13, MATCH(C22,RoleSchemas!A2:A13, 0))), "")</f>
        <v>pko_hr_policy_owner</v>
      </c>
      <c r="H22" s="4" t="str">
        <f>_xlfn.IFNA(IF(((INDEX(RulebookTables!E2:E93, MATCH(E22,RulebookTables!A2:A93, 0))="")=TRUE),  "",  INDEX(RulebookTables!E2:E93, MATCH(E22,RulebookTables!A2:A93, 0))), "")</f>
        <v>vw_steps</v>
      </c>
      <c r="I22" s="4" t="str">
        <f>D22 &amp; "|" &amp; E22</f>
        <v>principal-hr-policy-owner|Steps</v>
      </c>
      <c r="J22" s="4">
        <f>COUNTIFS(FieldGrants!M2:M3640, I22)</f>
        <v>12</v>
      </c>
      <c r="K22" s="4">
        <f>_xlfn.IFNA(IF(((INDEX(RulebookTables!H2:H93, MATCH(E22,RulebookTables!A2:A93, 0))="")=TRUE),  "",  INDEX(RulebookTables!H2:H93, MATCH(E22,RulebookTables!A2:A93, 0))), "")</f>
        <v>54</v>
      </c>
      <c r="L22" s="4" t="b">
        <f>AND(((J22 &gt; 0)=TRUE), ((J22 &gt;= K22)=TRUE))</f>
        <v>0</v>
      </c>
      <c r="M22" s="4" t="b">
        <f>J22 = 0</f>
        <v>0</v>
      </c>
      <c r="N22" s="3" t="s">
        <v>13657</v>
      </c>
    </row>
    <row r="23">
      <c r="A23" s="3" t="s">
        <v>13678</v>
      </c>
      <c r="B23" s="4" t="str">
        <f>G23 &amp; "." &amp; F23</f>
        <v>pko_hr_policy_owner.knowledge_fragments</v>
      </c>
      <c r="C23" s="3" t="s">
        <v>13647</v>
      </c>
      <c r="D23" s="3" t="s">
        <v>9758</v>
      </c>
      <c r="E23" s="3" t="s">
        <v>1851</v>
      </c>
      <c r="F23" s="3" t="s">
        <v>9684</v>
      </c>
      <c r="G23" s="4" t="str">
        <f>_xlfn.IFNA(IF(((INDEX(RoleSchemas!D2:D13, MATCH(C23,RoleSchemas!A2:A13, 0))="")=TRUE),  "",  INDEX(RoleSchemas!D2:D13, MATCH(C23,RoleSchemas!A2:A13, 0))), "")</f>
        <v>pko_hr_policy_owner</v>
      </c>
      <c r="H23" s="4" t="str">
        <f>_xlfn.IFNA(IF(((INDEX(RulebookTables!E2:E93, MATCH(E23,RulebookTables!A2:A93, 0))="")=TRUE),  "",  INDEX(RulebookTables!E2:E93, MATCH(E23,RulebookTables!A2:A93, 0))), "")</f>
        <v>vw_knowledge_fragments</v>
      </c>
      <c r="I23" s="4" t="str">
        <f>D23 &amp; "|" &amp; E23</f>
        <v>principal-hr-policy-owner|KnowledgeFragments</v>
      </c>
      <c r="J23" s="4">
        <f>COUNTIFS(FieldGrants!M2:M3640, I23)</f>
        <v>10</v>
      </c>
      <c r="K23" s="4">
        <f>_xlfn.IFNA(IF(((INDEX(RulebookTables!H2:H93, MATCH(E23,RulebookTables!A2:A93, 0))="")=TRUE),  "",  INDEX(RulebookTables!H2:H93, MATCH(E23,RulebookTables!A2:A93, 0))), "")</f>
        <v>80</v>
      </c>
      <c r="L23" s="4" t="b">
        <f>AND(((J23 &gt; 0)=TRUE), ((J23 &gt;= K23)=TRUE))</f>
        <v>0</v>
      </c>
      <c r="M23" s="4" t="b">
        <f>J23 = 0</f>
        <v>0</v>
      </c>
      <c r="N23" s="3" t="s">
        <v>13657</v>
      </c>
    </row>
    <row r="24">
      <c r="A24" s="3" t="s">
        <v>13679</v>
      </c>
      <c r="B24" s="4" t="str">
        <f>G24 &amp; "." &amp; F24</f>
        <v>pko_hr_policy_owner.knowledge_gaps</v>
      </c>
      <c r="C24" s="3" t="s">
        <v>13647</v>
      </c>
      <c r="D24" s="3" t="s">
        <v>9758</v>
      </c>
      <c r="E24" s="3" t="s">
        <v>3368</v>
      </c>
      <c r="F24" s="3" t="s">
        <v>9685</v>
      </c>
      <c r="G24" s="4" t="str">
        <f>_xlfn.IFNA(IF(((INDEX(RoleSchemas!D2:D13, MATCH(C24,RoleSchemas!A2:A13, 0))="")=TRUE),  "",  INDEX(RoleSchemas!D2:D13, MATCH(C24,RoleSchemas!A2:A13, 0))), "")</f>
        <v>pko_hr_policy_owner</v>
      </c>
      <c r="H24" s="4" t="str">
        <f>_xlfn.IFNA(IF(((INDEX(RulebookTables!E2:E93, MATCH(E24,RulebookTables!A2:A93, 0))="")=TRUE),  "",  INDEX(RulebookTables!E2:E93, MATCH(E24,RulebookTables!A2:A93, 0))), "")</f>
        <v>vw_knowledge_gaps</v>
      </c>
      <c r="I24" s="4" t="str">
        <f>D24 &amp; "|" &amp; E24</f>
        <v>principal-hr-policy-owner|KnowledgeGaps</v>
      </c>
      <c r="J24" s="4">
        <f>COUNTIFS(FieldGrants!M2:M3640, I24)</f>
        <v>8</v>
      </c>
      <c r="K24" s="4">
        <f>_xlfn.IFNA(IF(((INDEX(RulebookTables!H2:H93, MATCH(E24,RulebookTables!A2:A93, 0))="")=TRUE),  "",  INDEX(RulebookTables!H2:H93, MATCH(E24,RulebookTables!A2:A93, 0))), "")</f>
        <v>28</v>
      </c>
      <c r="L24" s="4" t="b">
        <f>AND(((J24 &gt; 0)=TRUE), ((J24 &gt;= K24)=TRUE))</f>
        <v>0</v>
      </c>
      <c r="M24" s="4" t="b">
        <f>J24 = 0</f>
        <v>0</v>
      </c>
      <c r="N24" s="3" t="s">
        <v>13657</v>
      </c>
    </row>
    <row r="25">
      <c r="A25" s="3" t="s">
        <v>13680</v>
      </c>
      <c r="B25" s="4" t="str">
        <f>G25 &amp; "." &amp; F25</f>
        <v>pko_hr_policy_owner.change_requests</v>
      </c>
      <c r="C25" s="3" t="s">
        <v>13647</v>
      </c>
      <c r="D25" s="3" t="s">
        <v>9758</v>
      </c>
      <c r="E25" s="3" t="s">
        <v>3914</v>
      </c>
      <c r="F25" s="3" t="s">
        <v>9670</v>
      </c>
      <c r="G25" s="4" t="str">
        <f>_xlfn.IFNA(IF(((INDEX(RoleSchemas!D2:D13, MATCH(C25,RoleSchemas!A2:A13, 0))="")=TRUE),  "",  INDEX(RoleSchemas!D2:D13, MATCH(C25,RoleSchemas!A2:A13, 0))), "")</f>
        <v>pko_hr_policy_owner</v>
      </c>
      <c r="H25" s="4" t="str">
        <f>_xlfn.IFNA(IF(((INDEX(RulebookTables!E2:E93, MATCH(E25,RulebookTables!A2:A93, 0))="")=TRUE),  "",  INDEX(RulebookTables!E2:E93, MATCH(E25,RulebookTables!A2:A93, 0))), "")</f>
        <v>vw_change_requests</v>
      </c>
      <c r="I25" s="4" t="str">
        <f>D25 &amp; "|" &amp; E25</f>
        <v>principal-hr-policy-owner|ChangeRequests</v>
      </c>
      <c r="J25" s="4">
        <f>COUNTIFS(FieldGrants!M2:M3640, I25)</f>
        <v>10</v>
      </c>
      <c r="K25" s="4">
        <f>_xlfn.IFNA(IF(((INDEX(RulebookTables!H2:H93, MATCH(E25,RulebookTables!A2:A93, 0))="")=TRUE),  "",  INDEX(RulebookTables!H2:H93, MATCH(E25,RulebookTables!A2:A93, 0))), "")</f>
        <v>45</v>
      </c>
      <c r="L25" s="4" t="b">
        <f>AND(((J25 &gt; 0)=TRUE), ((J25 &gt;= K25)=TRUE))</f>
        <v>0</v>
      </c>
      <c r="M25" s="4" t="b">
        <f>J25 = 0</f>
        <v>0</v>
      </c>
      <c r="N25" s="3" t="s">
        <v>13657</v>
      </c>
    </row>
    <row r="26">
      <c r="A26" s="3" t="s">
        <v>13681</v>
      </c>
      <c r="B26" s="4" t="str">
        <f>G26 &amp; "." &amp; F26</f>
        <v>pko_hr_policy_owner.exceptions</v>
      </c>
      <c r="C26" s="3" t="s">
        <v>13647</v>
      </c>
      <c r="D26" s="3" t="s">
        <v>9758</v>
      </c>
      <c r="E26" s="3" t="s">
        <v>3161</v>
      </c>
      <c r="F26" s="3" t="s">
        <v>9680</v>
      </c>
      <c r="G26" s="4" t="str">
        <f>_xlfn.IFNA(IF(((INDEX(RoleSchemas!D2:D13, MATCH(C26,RoleSchemas!A2:A13, 0))="")=TRUE),  "",  INDEX(RoleSchemas!D2:D13, MATCH(C26,RoleSchemas!A2:A13, 0))), "")</f>
        <v>pko_hr_policy_owner</v>
      </c>
      <c r="H26" s="4" t="str">
        <f>_xlfn.IFNA(IF(((INDEX(RulebookTables!E2:E93, MATCH(E26,RulebookTables!A2:A93, 0))="")=TRUE),  "",  INDEX(RulebookTables!E2:E93, MATCH(E26,RulebookTables!A2:A93, 0))), "")</f>
        <v>vw_exceptions</v>
      </c>
      <c r="I26" s="4" t="str">
        <f>D26 &amp; "|" &amp; E26</f>
        <v>principal-hr-policy-owner|Exceptions</v>
      </c>
      <c r="J26" s="4">
        <f>COUNTIFS(FieldGrants!M2:M3640, I26)</f>
        <v>11</v>
      </c>
      <c r="K26" s="4">
        <f>_xlfn.IFNA(IF(((INDEX(RulebookTables!H2:H93, MATCH(E26,RulebookTables!A2:A93, 0))="")=TRUE),  "",  INDEX(RulebookTables!H2:H93, MATCH(E26,RulebookTables!A2:A93, 0))), "")</f>
        <v>11</v>
      </c>
      <c r="L26" s="4" t="b">
        <f>AND(((J26 &gt; 0)=TRUE), ((J26 &gt;= K26)=TRUE))</f>
        <v>1</v>
      </c>
      <c r="M26" s="4" t="b">
        <f>J26 = 0</f>
        <v>0</v>
      </c>
      <c r="N26" s="3" t="s">
        <v>13657</v>
      </c>
    </row>
    <row r="27">
      <c r="A27" s="3" t="s">
        <v>13682</v>
      </c>
      <c r="B27" s="4" t="str">
        <f>G27 &amp; "." &amp; F27</f>
        <v>pko_hr_policy_owner.message_templates</v>
      </c>
      <c r="C27" s="3" t="s">
        <v>13647</v>
      </c>
      <c r="D27" s="3" t="s">
        <v>9758</v>
      </c>
      <c r="E27" s="3" t="s">
        <v>4087</v>
      </c>
      <c r="F27" s="3" t="s">
        <v>9689</v>
      </c>
      <c r="G27" s="4" t="str">
        <f>_xlfn.IFNA(IF(((INDEX(RoleSchemas!D2:D13, MATCH(C27,RoleSchemas!A2:A13, 0))="")=TRUE),  "",  INDEX(RoleSchemas!D2:D13, MATCH(C27,RoleSchemas!A2:A13, 0))), "")</f>
        <v>pko_hr_policy_owner</v>
      </c>
      <c r="H27" s="4" t="str">
        <f>_xlfn.IFNA(IF(((INDEX(RulebookTables!E2:E93, MATCH(E27,RulebookTables!A2:A93, 0))="")=TRUE),  "",  INDEX(RulebookTables!E2:E93, MATCH(E27,RulebookTables!A2:A93, 0))), "")</f>
        <v>vw_message_templates</v>
      </c>
      <c r="I27" s="4" t="str">
        <f>D27 &amp; "|" &amp; E27</f>
        <v>principal-hr-policy-owner|MessageTemplates</v>
      </c>
      <c r="J27" s="4">
        <f>COUNTIFS(FieldGrants!M2:M3640, I27)</f>
        <v>5</v>
      </c>
      <c r="K27" s="4">
        <f>_xlfn.IFNA(IF(((INDEX(RulebookTables!H2:H93, MATCH(E27,RulebookTables!A2:A93, 0))="")=TRUE),  "",  INDEX(RulebookTables!H2:H93, MATCH(E27,RulebookTables!A2:A93, 0))), "")</f>
        <v>26</v>
      </c>
      <c r="L27" s="4" t="b">
        <f>AND(((J27 &gt; 0)=TRUE), ((J27 &gt;= K27)=TRUE))</f>
        <v>0</v>
      </c>
      <c r="M27" s="4" t="b">
        <f>J27 = 0</f>
        <v>0</v>
      </c>
      <c r="N27" s="3" t="s">
        <v>13657</v>
      </c>
    </row>
    <row r="28">
      <c r="A28" s="3" t="s">
        <v>13683</v>
      </c>
      <c r="B28" s="4" t="str">
        <f>G28 &amp; "." &amp; F28</f>
        <v>pko_employment_counsel.change_requests</v>
      </c>
      <c r="C28" s="3" t="s">
        <v>13648</v>
      </c>
      <c r="D28" s="3" t="s">
        <v>9760</v>
      </c>
      <c r="E28" s="3" t="s">
        <v>3914</v>
      </c>
      <c r="F28" s="3" t="s">
        <v>9670</v>
      </c>
      <c r="G28" s="4" t="str">
        <f>_xlfn.IFNA(IF(((INDEX(RoleSchemas!D2:D13, MATCH(C28,RoleSchemas!A2:A13, 0))="")=TRUE),  "",  INDEX(RoleSchemas!D2:D13, MATCH(C28,RoleSchemas!A2:A13, 0))), "")</f>
        <v>pko_employment_counsel</v>
      </c>
      <c r="H28" s="4" t="str">
        <f>_xlfn.IFNA(IF(((INDEX(RulebookTables!E2:E93, MATCH(E28,RulebookTables!A2:A93, 0))="")=TRUE),  "",  INDEX(RulebookTables!E2:E93, MATCH(E28,RulebookTables!A2:A93, 0))), "")</f>
        <v>vw_change_requests</v>
      </c>
      <c r="I28" s="4" t="str">
        <f>D28 &amp; "|" &amp; E28</f>
        <v>principal-employment-counsel|ChangeRequests</v>
      </c>
      <c r="J28" s="4">
        <f>COUNTIFS(FieldGrants!M2:M3640, I28)</f>
        <v>9</v>
      </c>
      <c r="K28" s="4">
        <f>_xlfn.IFNA(IF(((INDEX(RulebookTables!H2:H93, MATCH(E28,RulebookTables!A2:A93, 0))="")=TRUE),  "",  INDEX(RulebookTables!H2:H93, MATCH(E28,RulebookTables!A2:A93, 0))), "")</f>
        <v>45</v>
      </c>
      <c r="L28" s="4" t="b">
        <f>AND(((J28 &gt; 0)=TRUE), ((J28 &gt;= K28)=TRUE))</f>
        <v>0</v>
      </c>
      <c r="M28" s="4" t="b">
        <f>J28 = 0</f>
        <v>0</v>
      </c>
      <c r="N28" s="3" t="s">
        <v>13657</v>
      </c>
    </row>
    <row r="29">
      <c r="A29" s="3" t="s">
        <v>13684</v>
      </c>
      <c r="B29" s="4" t="str">
        <f>G29 &amp; "." &amp; F29</f>
        <v>pko_employment_counsel.knowledge_fragments</v>
      </c>
      <c r="C29" s="3" t="s">
        <v>13648</v>
      </c>
      <c r="D29" s="3" t="s">
        <v>9760</v>
      </c>
      <c r="E29" s="3" t="s">
        <v>1851</v>
      </c>
      <c r="F29" s="3" t="s">
        <v>9684</v>
      </c>
      <c r="G29" s="4" t="str">
        <f>_xlfn.IFNA(IF(((INDEX(RoleSchemas!D2:D13, MATCH(C29,RoleSchemas!A2:A13, 0))="")=TRUE),  "",  INDEX(RoleSchemas!D2:D13, MATCH(C29,RoleSchemas!A2:A13, 0))), "")</f>
        <v>pko_employment_counsel</v>
      </c>
      <c r="H29" s="4" t="str">
        <f>_xlfn.IFNA(IF(((INDEX(RulebookTables!E2:E93, MATCH(E29,RulebookTables!A2:A93, 0))="")=TRUE),  "",  INDEX(RulebookTables!E2:E93, MATCH(E29,RulebookTables!A2:A93, 0))), "")</f>
        <v>vw_knowledge_fragments</v>
      </c>
      <c r="I29" s="4" t="str">
        <f>D29 &amp; "|" &amp; E29</f>
        <v>principal-employment-counsel|KnowledgeFragments</v>
      </c>
      <c r="J29" s="4">
        <f>COUNTIFS(FieldGrants!M2:M3640, I29)</f>
        <v>8</v>
      </c>
      <c r="K29" s="4">
        <f>_xlfn.IFNA(IF(((INDEX(RulebookTables!H2:H93, MATCH(E29,RulebookTables!A2:A93, 0))="")=TRUE),  "",  INDEX(RulebookTables!H2:H93, MATCH(E29,RulebookTables!A2:A93, 0))), "")</f>
        <v>80</v>
      </c>
      <c r="L29" s="4" t="b">
        <f>AND(((J29 &gt; 0)=TRUE), ((J29 &gt;= K29)=TRUE))</f>
        <v>0</v>
      </c>
      <c r="M29" s="4" t="b">
        <f>J29 = 0</f>
        <v>0</v>
      </c>
      <c r="N29" s="3" t="s">
        <v>13657</v>
      </c>
    </row>
    <row r="30">
      <c r="A30" s="3" t="s">
        <v>13685</v>
      </c>
      <c r="B30" s="4" t="str">
        <f>G30 &amp; "." &amp; F30</f>
        <v>pko_employment_counsel.authority_boundaries</v>
      </c>
      <c r="C30" s="3" t="s">
        <v>13648</v>
      </c>
      <c r="D30" s="3" t="s">
        <v>9760</v>
      </c>
      <c r="E30" s="3" t="s">
        <v>5131</v>
      </c>
      <c r="F30" s="3" t="s">
        <v>9668</v>
      </c>
      <c r="G30" s="4" t="str">
        <f>_xlfn.IFNA(IF(((INDEX(RoleSchemas!D2:D13, MATCH(C30,RoleSchemas!A2:A13, 0))="")=TRUE),  "",  INDEX(RoleSchemas!D2:D13, MATCH(C30,RoleSchemas!A2:A13, 0))), "")</f>
        <v>pko_employment_counsel</v>
      </c>
      <c r="H30" s="4" t="str">
        <f>_xlfn.IFNA(IF(((INDEX(RulebookTables!E2:E93, MATCH(E30,RulebookTables!A2:A93, 0))="")=TRUE),  "",  INDEX(RulebookTables!E2:E93, MATCH(E30,RulebookTables!A2:A93, 0))), "")</f>
        <v>vw_authority_boundaries</v>
      </c>
      <c r="I30" s="4" t="str">
        <f>D30 &amp; "|" &amp; E30</f>
        <v>principal-employment-counsel|AuthorityBoundaries</v>
      </c>
      <c r="J30" s="4">
        <f>COUNTIFS(FieldGrants!M2:M3640, I30)</f>
        <v>6</v>
      </c>
      <c r="K30" s="4">
        <f>_xlfn.IFNA(IF(((INDEX(RulebookTables!H2:H93, MATCH(E30,RulebookTables!A2:A93, 0))="")=TRUE),  "",  INDEX(RulebookTables!H2:H93, MATCH(E30,RulebookTables!A2:A93, 0))), "")</f>
        <v>33</v>
      </c>
      <c r="L30" s="4" t="b">
        <f>AND(((J30 &gt; 0)=TRUE), ((J30 &gt;= K30)=TRUE))</f>
        <v>0</v>
      </c>
      <c r="M30" s="4" t="b">
        <f>J30 = 0</f>
        <v>0</v>
      </c>
      <c r="N30" s="3" t="s">
        <v>13657</v>
      </c>
    </row>
    <row r="31">
      <c r="A31" s="3" t="s">
        <v>13686</v>
      </c>
      <c r="B31" s="4" t="str">
        <f>G31 &amp; "." &amp; F31</f>
        <v>pko_employment_counsel.communication_policies</v>
      </c>
      <c r="C31" s="3" t="s">
        <v>13648</v>
      </c>
      <c r="D31" s="3" t="s">
        <v>9760</v>
      </c>
      <c r="E31" s="3" t="s">
        <v>1865</v>
      </c>
      <c r="F31" s="3" t="s">
        <v>9671</v>
      </c>
      <c r="G31" s="4" t="str">
        <f>_xlfn.IFNA(IF(((INDEX(RoleSchemas!D2:D13, MATCH(C31,RoleSchemas!A2:A13, 0))="")=TRUE),  "",  INDEX(RoleSchemas!D2:D13, MATCH(C31,RoleSchemas!A2:A13, 0))), "")</f>
        <v>pko_employment_counsel</v>
      </c>
      <c r="H31" s="4" t="str">
        <f>_xlfn.IFNA(IF(((INDEX(RulebookTables!E2:E93, MATCH(E31,RulebookTables!A2:A93, 0))="")=TRUE),  "",  INDEX(RulebookTables!E2:E93, MATCH(E31,RulebookTables!A2:A93, 0))), "")</f>
        <v>vw_communication_policies</v>
      </c>
      <c r="I31" s="4" t="str">
        <f>D31 &amp; "|" &amp; E31</f>
        <v>principal-employment-counsel|CommunicationPolicies</v>
      </c>
      <c r="J31" s="4">
        <f>COUNTIFS(FieldGrants!M2:M3640, I31)</f>
        <v>8</v>
      </c>
      <c r="K31" s="4">
        <f>_xlfn.IFNA(IF(((INDEX(RulebookTables!H2:H93, MATCH(E31,RulebookTables!A2:A93, 0))="")=TRUE),  "",  INDEX(RulebookTables!H2:H93, MATCH(E31,RulebookTables!A2:A93, 0))), "")</f>
        <v>22</v>
      </c>
      <c r="L31" s="4" t="b">
        <f>AND(((J31 &gt; 0)=TRUE), ((J31 &gt;= K31)=TRUE))</f>
        <v>0</v>
      </c>
      <c r="M31" s="4" t="b">
        <f>J31 = 0</f>
        <v>0</v>
      </c>
      <c r="N31" s="3" t="s">
        <v>13657</v>
      </c>
    </row>
    <row r="32">
      <c r="A32" s="3" t="s">
        <v>13687</v>
      </c>
      <c r="B32" s="4" t="str">
        <f>G32 &amp; "." &amp; F32</f>
        <v>pko_employment_counsel.steps</v>
      </c>
      <c r="C32" s="3" t="s">
        <v>13648</v>
      </c>
      <c r="D32" s="3" t="s">
        <v>9760</v>
      </c>
      <c r="E32" s="3" t="s">
        <v>1778</v>
      </c>
      <c r="F32" s="3" t="s">
        <v>9721</v>
      </c>
      <c r="G32" s="4" t="str">
        <f>_xlfn.IFNA(IF(((INDEX(RoleSchemas!D2:D13, MATCH(C32,RoleSchemas!A2:A13, 0))="")=TRUE),  "",  INDEX(RoleSchemas!D2:D13, MATCH(C32,RoleSchemas!A2:A13, 0))), "")</f>
        <v>pko_employment_counsel</v>
      </c>
      <c r="H32" s="4" t="str">
        <f>_xlfn.IFNA(IF(((INDEX(RulebookTables!E2:E93, MATCH(E32,RulebookTables!A2:A93, 0))="")=TRUE),  "",  INDEX(RulebookTables!E2:E93, MATCH(E32,RulebookTables!A2:A93, 0))), "")</f>
        <v>vw_steps</v>
      </c>
      <c r="I32" s="4" t="str">
        <f>D32 &amp; "|" &amp; E32</f>
        <v>principal-employment-counsel|Steps</v>
      </c>
      <c r="J32" s="4">
        <f>COUNTIFS(FieldGrants!M2:M3640, I32)</f>
        <v>9</v>
      </c>
      <c r="K32" s="4">
        <f>_xlfn.IFNA(IF(((INDEX(RulebookTables!H2:H93, MATCH(E32,RulebookTables!A2:A93, 0))="")=TRUE),  "",  INDEX(RulebookTables!H2:H93, MATCH(E32,RulebookTables!A2:A93, 0))), "")</f>
        <v>54</v>
      </c>
      <c r="L32" s="4" t="b">
        <f>AND(((J32 &gt; 0)=TRUE), ((J32 &gt;= K32)=TRUE))</f>
        <v>0</v>
      </c>
      <c r="M32" s="4" t="b">
        <f>J32 = 0</f>
        <v>0</v>
      </c>
      <c r="N32" s="3" t="s">
        <v>13657</v>
      </c>
    </row>
    <row r="33">
      <c r="A33" s="3" t="s">
        <v>13688</v>
      </c>
      <c r="B33" s="4" t="str">
        <f>G33 &amp; "." &amp; F33</f>
        <v>pko_communications_manager.communication_policies</v>
      </c>
      <c r="C33" s="3" t="s">
        <v>13649</v>
      </c>
      <c r="D33" s="3" t="s">
        <v>9762</v>
      </c>
      <c r="E33" s="3" t="s">
        <v>1865</v>
      </c>
      <c r="F33" s="3" t="s">
        <v>9671</v>
      </c>
      <c r="G33" s="4" t="str">
        <f>_xlfn.IFNA(IF(((INDEX(RoleSchemas!D2:D13, MATCH(C33,RoleSchemas!A2:A13, 0))="")=TRUE),  "",  INDEX(RoleSchemas!D2:D13, MATCH(C33,RoleSchemas!A2:A13, 0))), "")</f>
        <v>pko_communications_manager</v>
      </c>
      <c r="H33" s="4" t="str">
        <f>_xlfn.IFNA(IF(((INDEX(RulebookTables!E2:E93, MATCH(E33,RulebookTables!A2:A93, 0))="")=TRUE),  "",  INDEX(RulebookTables!E2:E93, MATCH(E33,RulebookTables!A2:A93, 0))), "")</f>
        <v>vw_communication_policies</v>
      </c>
      <c r="I33" s="4" t="str">
        <f>D33 &amp; "|" &amp; E33</f>
        <v>principal-communications-manager|CommunicationPolicies</v>
      </c>
      <c r="J33" s="4">
        <f>COUNTIFS(FieldGrants!M2:M3640, I33)</f>
        <v>22</v>
      </c>
      <c r="K33" s="4">
        <f>_xlfn.IFNA(IF(((INDEX(RulebookTables!H2:H93, MATCH(E33,RulebookTables!A2:A93, 0))="")=TRUE),  "",  INDEX(RulebookTables!H2:H93, MATCH(E33,RulebookTables!A2:A93, 0))), "")</f>
        <v>22</v>
      </c>
      <c r="L33" s="4" t="b">
        <f>AND(((J33 &gt; 0)=TRUE), ((J33 &gt;= K33)=TRUE))</f>
        <v>1</v>
      </c>
      <c r="M33" s="4" t="b">
        <f>J33 = 0</f>
        <v>0</v>
      </c>
      <c r="N33" s="3" t="s">
        <v>13657</v>
      </c>
    </row>
    <row r="34">
      <c r="A34" s="3" t="s">
        <v>13689</v>
      </c>
      <c r="B34" s="4" t="str">
        <f>G34 &amp; "." &amp; F34</f>
        <v>pko_communications_manager.message_templates</v>
      </c>
      <c r="C34" s="3" t="s">
        <v>13649</v>
      </c>
      <c r="D34" s="3" t="s">
        <v>9762</v>
      </c>
      <c r="E34" s="3" t="s">
        <v>4087</v>
      </c>
      <c r="F34" s="3" t="s">
        <v>9689</v>
      </c>
      <c r="G34" s="4" t="str">
        <f>_xlfn.IFNA(IF(((INDEX(RoleSchemas!D2:D13, MATCH(C34,RoleSchemas!A2:A13, 0))="")=TRUE),  "",  INDEX(RoleSchemas!D2:D13, MATCH(C34,RoleSchemas!A2:A13, 0))), "")</f>
        <v>pko_communications_manager</v>
      </c>
      <c r="H34" s="4" t="str">
        <f>_xlfn.IFNA(IF(((INDEX(RulebookTables!E2:E93, MATCH(E34,RulebookTables!A2:A93, 0))="")=TRUE),  "",  INDEX(RulebookTables!E2:E93, MATCH(E34,RulebookTables!A2:A93, 0))), "")</f>
        <v>vw_message_templates</v>
      </c>
      <c r="I34" s="4" t="str">
        <f>D34 &amp; "|" &amp; E34</f>
        <v>principal-communications-manager|MessageTemplates</v>
      </c>
      <c r="J34" s="4">
        <f>COUNTIFS(FieldGrants!M2:M3640, I34)</f>
        <v>7</v>
      </c>
      <c r="K34" s="4">
        <f>_xlfn.IFNA(IF(((INDEX(RulebookTables!H2:H93, MATCH(E34,RulebookTables!A2:A93, 0))="")=TRUE),  "",  INDEX(RulebookTables!H2:H93, MATCH(E34,RulebookTables!A2:A93, 0))), "")</f>
        <v>26</v>
      </c>
      <c r="L34" s="4" t="b">
        <f>AND(((J34 &gt; 0)=TRUE), ((J34 &gt;= K34)=TRUE))</f>
        <v>0</v>
      </c>
      <c r="M34" s="4" t="b">
        <f>J34 = 0</f>
        <v>0</v>
      </c>
      <c r="N34" s="3" t="s">
        <v>13657</v>
      </c>
    </row>
    <row r="35">
      <c r="A35" s="3" t="s">
        <v>13690</v>
      </c>
      <c r="B35" s="4" t="str">
        <f>G35 &amp; "." &amp; F35</f>
        <v>pko_communications_manager.send_intents</v>
      </c>
      <c r="C35" s="3" t="s">
        <v>13649</v>
      </c>
      <c r="D35" s="3" t="s">
        <v>9762</v>
      </c>
      <c r="E35" s="3" t="s">
        <v>4728</v>
      </c>
      <c r="F35" s="3" t="s">
        <v>9713</v>
      </c>
      <c r="G35" s="4" t="str">
        <f>_xlfn.IFNA(IF(((INDEX(RoleSchemas!D2:D13, MATCH(C35,RoleSchemas!A2:A13, 0))="")=TRUE),  "",  INDEX(RoleSchemas!D2:D13, MATCH(C35,RoleSchemas!A2:A13, 0))), "")</f>
        <v>pko_communications_manager</v>
      </c>
      <c r="H35" s="4" t="str">
        <f>_xlfn.IFNA(IF(((INDEX(RulebookTables!E2:E93, MATCH(E35,RulebookTables!A2:A93, 0))="")=TRUE),  "",  INDEX(RulebookTables!E2:E93, MATCH(E35,RulebookTables!A2:A93, 0))), "")</f>
        <v>vw_send_intents</v>
      </c>
      <c r="I35" s="4" t="str">
        <f>D35 &amp; "|" &amp; E35</f>
        <v>principal-communications-manager|SendIntents</v>
      </c>
      <c r="J35" s="4">
        <f>COUNTIFS(FieldGrants!M2:M3640, I35)</f>
        <v>7</v>
      </c>
      <c r="K35" s="4">
        <f>_xlfn.IFNA(IF(((INDEX(RulebookTables!H2:H93, MATCH(E35,RulebookTables!A2:A93, 0))="")=TRUE),  "",  INDEX(RulebookTables!H2:H93, MATCH(E35,RulebookTables!A2:A93, 0))), "")</f>
        <v>100</v>
      </c>
      <c r="L35" s="4" t="b">
        <f>AND(((J35 &gt; 0)=TRUE), ((J35 &gt;= K35)=TRUE))</f>
        <v>0</v>
      </c>
      <c r="M35" s="4" t="b">
        <f>J35 = 0</f>
        <v>0</v>
      </c>
      <c r="N35" s="3" t="s">
        <v>13657</v>
      </c>
    </row>
    <row r="36">
      <c r="A36" s="3" t="s">
        <v>13691</v>
      </c>
      <c r="B36" s="4" t="str">
        <f>G36 &amp; "." &amp; F36</f>
        <v>pko_communications_manager.message_deliveries</v>
      </c>
      <c r="C36" s="3" t="s">
        <v>13649</v>
      </c>
      <c r="D36" s="3" t="s">
        <v>9762</v>
      </c>
      <c r="E36" s="3" t="s">
        <v>4444</v>
      </c>
      <c r="F36" s="3" t="s">
        <v>9688</v>
      </c>
      <c r="G36" s="4" t="str">
        <f>_xlfn.IFNA(IF(((INDEX(RoleSchemas!D2:D13, MATCH(C36,RoleSchemas!A2:A13, 0))="")=TRUE),  "",  INDEX(RoleSchemas!D2:D13, MATCH(C36,RoleSchemas!A2:A13, 0))), "")</f>
        <v>pko_communications_manager</v>
      </c>
      <c r="H36" s="4" t="str">
        <f>_xlfn.IFNA(IF(((INDEX(RulebookTables!E2:E93, MATCH(E36,RulebookTables!A2:A93, 0))="")=TRUE),  "",  INDEX(RulebookTables!E2:E93, MATCH(E36,RulebookTables!A2:A93, 0))), "")</f>
        <v>vw_message_deliveries</v>
      </c>
      <c r="I36" s="4" t="str">
        <f>D36 &amp; "|" &amp; E36</f>
        <v>principal-communications-manager|MessageDeliveries</v>
      </c>
      <c r="J36" s="4">
        <f>COUNTIFS(FieldGrants!M2:M3640, I36)</f>
        <v>8</v>
      </c>
      <c r="K36" s="4">
        <f>_xlfn.IFNA(IF(((INDEX(RulebookTables!H2:H93, MATCH(E36,RulebookTables!A2:A93, 0))="")=TRUE),  "",  INDEX(RulebookTables!H2:H93, MATCH(E36,RulebookTables!A2:A93, 0))), "")</f>
        <v>94</v>
      </c>
      <c r="L36" s="4" t="b">
        <f>AND(((J36 &gt; 0)=TRUE), ((J36 &gt;= K36)=TRUE))</f>
        <v>0</v>
      </c>
      <c r="M36" s="4" t="b">
        <f>J36 = 0</f>
        <v>0</v>
      </c>
      <c r="N36" s="3" t="s">
        <v>13657</v>
      </c>
    </row>
    <row r="37">
      <c r="A37" s="3" t="s">
        <v>13692</v>
      </c>
      <c r="B37" s="4" t="str">
        <f>G37 &amp; "." &amp; F37</f>
        <v>pko_communications_manager.recipients</v>
      </c>
      <c r="C37" s="3" t="s">
        <v>13649</v>
      </c>
      <c r="D37" s="3" t="s">
        <v>9762</v>
      </c>
      <c r="E37" s="3" t="s">
        <v>4412</v>
      </c>
      <c r="F37" s="3" t="s">
        <v>9702</v>
      </c>
      <c r="G37" s="4" t="str">
        <f>_xlfn.IFNA(IF(((INDEX(RoleSchemas!D2:D13, MATCH(C37,RoleSchemas!A2:A13, 0))="")=TRUE),  "",  INDEX(RoleSchemas!D2:D13, MATCH(C37,RoleSchemas!A2:A13, 0))), "")</f>
        <v>pko_communications_manager</v>
      </c>
      <c r="H37" s="4" t="str">
        <f>_xlfn.IFNA(IF(((INDEX(RulebookTables!E2:E93, MATCH(E37,RulebookTables!A2:A93, 0))="")=TRUE),  "",  INDEX(RulebookTables!E2:E93, MATCH(E37,RulebookTables!A2:A93, 0))), "")</f>
        <v>vw_recipients</v>
      </c>
      <c r="I37" s="4" t="str">
        <f>D37 &amp; "|" &amp; E37</f>
        <v>principal-communications-manager|Recipients</v>
      </c>
      <c r="J37" s="4">
        <f>COUNTIFS(FieldGrants!M2:M3640, I37)</f>
        <v>6</v>
      </c>
      <c r="K37" s="4">
        <f>_xlfn.IFNA(IF(((INDEX(RulebookTables!H2:H93, MATCH(E37,RulebookTables!A2:A93, 0))="")=TRUE),  "",  INDEX(RulebookTables!H2:H93, MATCH(E37,RulebookTables!A2:A93, 0))), "")</f>
        <v>15</v>
      </c>
      <c r="L37" s="4" t="b">
        <f>AND(((J37 &gt; 0)=TRUE), ((J37 &gt;= K37)=TRUE))</f>
        <v>0</v>
      </c>
      <c r="M37" s="4" t="b">
        <f>J37 = 0</f>
        <v>0</v>
      </c>
      <c r="N37" s="3" t="s">
        <v>13657</v>
      </c>
    </row>
    <row r="38">
      <c r="A38" s="3" t="s">
        <v>13693</v>
      </c>
      <c r="B38" s="4" t="str">
        <f>G38 &amp; "." &amp; F38</f>
        <v>pko_communications_manager.knowledge_gaps</v>
      </c>
      <c r="C38" s="3" t="s">
        <v>13649</v>
      </c>
      <c r="D38" s="3" t="s">
        <v>9762</v>
      </c>
      <c r="E38" s="3" t="s">
        <v>3368</v>
      </c>
      <c r="F38" s="3" t="s">
        <v>9685</v>
      </c>
      <c r="G38" s="4" t="str">
        <f>_xlfn.IFNA(IF(((INDEX(RoleSchemas!D2:D13, MATCH(C38,RoleSchemas!A2:A13, 0))="")=TRUE),  "",  INDEX(RoleSchemas!D2:D13, MATCH(C38,RoleSchemas!A2:A13, 0))), "")</f>
        <v>pko_communications_manager</v>
      </c>
      <c r="H38" s="4" t="str">
        <f>_xlfn.IFNA(IF(((INDEX(RulebookTables!E2:E93, MATCH(E38,RulebookTables!A2:A93, 0))="")=TRUE),  "",  INDEX(RulebookTables!E2:E93, MATCH(E38,RulebookTables!A2:A93, 0))), "")</f>
        <v>vw_knowledge_gaps</v>
      </c>
      <c r="I38" s="4" t="str">
        <f>D38 &amp; "|" &amp; E38</f>
        <v>principal-communications-manager|KnowledgeGaps</v>
      </c>
      <c r="J38" s="4">
        <f>COUNTIFS(FieldGrants!M2:M3640, I38)</f>
        <v>7</v>
      </c>
      <c r="K38" s="4">
        <f>_xlfn.IFNA(IF(((INDEX(RulebookTables!H2:H93, MATCH(E38,RulebookTables!A2:A93, 0))="")=TRUE),  "",  INDEX(RulebookTables!H2:H93, MATCH(E38,RulebookTables!A2:A93, 0))), "")</f>
        <v>28</v>
      </c>
      <c r="L38" s="4" t="b">
        <f>AND(((J38 &gt; 0)=TRUE), ((J38 &gt;= K38)=TRUE))</f>
        <v>0</v>
      </c>
      <c r="M38" s="4" t="b">
        <f>J38 = 0</f>
        <v>0</v>
      </c>
      <c r="N38" s="3" t="s">
        <v>13657</v>
      </c>
    </row>
    <row r="39">
      <c r="A39" s="3" t="s">
        <v>13694</v>
      </c>
      <c r="B39" s="4" t="str">
        <f>G39 &amp; "." &amp; F39</f>
        <v>pko_close_automation.steps</v>
      </c>
      <c r="C39" s="3" t="s">
        <v>13650</v>
      </c>
      <c r="D39" s="3" t="s">
        <v>9764</v>
      </c>
      <c r="E39" s="3" t="s">
        <v>1778</v>
      </c>
      <c r="F39" s="3" t="s">
        <v>9721</v>
      </c>
      <c r="G39" s="4" t="str">
        <f>_xlfn.IFNA(IF(((INDEX(RoleSchemas!D2:D13, MATCH(C39,RoleSchemas!A2:A13, 0))="")=TRUE),  "",  INDEX(RoleSchemas!D2:D13, MATCH(C39,RoleSchemas!A2:A13, 0))), "")</f>
        <v>pko_close_automation</v>
      </c>
      <c r="H39" s="4" t="str">
        <f>_xlfn.IFNA(IF(((INDEX(RulebookTables!E2:E93, MATCH(E39,RulebookTables!A2:A93, 0))="")=TRUE),  "",  INDEX(RulebookTables!E2:E93, MATCH(E39,RulebookTables!A2:A93, 0))), "")</f>
        <v>vw_steps</v>
      </c>
      <c r="I39" s="4" t="str">
        <f>D39 &amp; "|" &amp; E39</f>
        <v>principal-close-automation|Steps</v>
      </c>
      <c r="J39" s="4">
        <f>COUNTIFS(FieldGrants!M2:M3640, I39)</f>
        <v>10</v>
      </c>
      <c r="K39" s="4">
        <f>_xlfn.IFNA(IF(((INDEX(RulebookTables!H2:H93, MATCH(E39,RulebookTables!A2:A93, 0))="")=TRUE),  "",  INDEX(RulebookTables!H2:H93, MATCH(E39,RulebookTables!A2:A93, 0))), "")</f>
        <v>54</v>
      </c>
      <c r="L39" s="4" t="b">
        <f>AND(((J39 &gt; 0)=TRUE), ((J39 &gt;= K39)=TRUE))</f>
        <v>0</v>
      </c>
      <c r="M39" s="4" t="b">
        <f>J39 = 0</f>
        <v>0</v>
      </c>
      <c r="N39" s="3" t="s">
        <v>13657</v>
      </c>
    </row>
    <row r="40">
      <c r="A40" s="3" t="s">
        <v>13695</v>
      </c>
      <c r="B40" s="4" t="str">
        <f>G40 &amp; "." &amp; F40</f>
        <v>pko_close_automation.step_executions</v>
      </c>
      <c r="C40" s="3" t="s">
        <v>13650</v>
      </c>
      <c r="D40" s="3" t="s">
        <v>9764</v>
      </c>
      <c r="E40" s="3" t="s">
        <v>1827</v>
      </c>
      <c r="F40" s="3" t="s">
        <v>9715</v>
      </c>
      <c r="G40" s="4" t="str">
        <f>_xlfn.IFNA(IF(((INDEX(RoleSchemas!D2:D13, MATCH(C40,RoleSchemas!A2:A13, 0))="")=TRUE),  "",  INDEX(RoleSchemas!D2:D13, MATCH(C40,RoleSchemas!A2:A13, 0))), "")</f>
        <v>pko_close_automation</v>
      </c>
      <c r="H40" s="4" t="str">
        <f>_xlfn.IFNA(IF(((INDEX(RulebookTables!E2:E93, MATCH(E40,RulebookTables!A2:A93, 0))="")=TRUE),  "",  INDEX(RulebookTables!E2:E93, MATCH(E40,RulebookTables!A2:A93, 0))), "")</f>
        <v>vw_step_executions</v>
      </c>
      <c r="I40" s="4" t="str">
        <f>D40 &amp; "|" &amp; E40</f>
        <v>principal-close-automation|StepExecutions</v>
      </c>
      <c r="J40" s="4">
        <f>COUNTIFS(FieldGrants!M2:M3640, I40)</f>
        <v>7</v>
      </c>
      <c r="K40" s="4">
        <f>_xlfn.IFNA(IF(((INDEX(RulebookTables!H2:H93, MATCH(E40,RulebookTables!A2:A93, 0))="")=TRUE),  "",  INDEX(RulebookTables!H2:H93, MATCH(E40,RulebookTables!A2:A93, 0))), "")</f>
        <v>109</v>
      </c>
      <c r="L40" s="4" t="b">
        <f>AND(((J40 &gt; 0)=TRUE), ((J40 &gt;= K40)=TRUE))</f>
        <v>0</v>
      </c>
      <c r="M40" s="4" t="b">
        <f>J40 = 0</f>
        <v>0</v>
      </c>
      <c r="N40" s="3" t="s">
        <v>13657</v>
      </c>
    </row>
    <row r="41">
      <c r="A41" s="3" t="s">
        <v>13696</v>
      </c>
      <c r="B41" s="4" t="str">
        <f>G41 &amp; "." &amp; F41</f>
        <v>pko_close_automation.errors</v>
      </c>
      <c r="C41" s="3" t="s">
        <v>13650</v>
      </c>
      <c r="D41" s="3" t="s">
        <v>9764</v>
      </c>
      <c r="E41" s="3" t="s">
        <v>1833</v>
      </c>
      <c r="F41" s="3" t="s">
        <v>9677</v>
      </c>
      <c r="G41" s="4" t="str">
        <f>_xlfn.IFNA(IF(((INDEX(RoleSchemas!D2:D13, MATCH(C41,RoleSchemas!A2:A13, 0))="")=TRUE),  "",  INDEX(RoleSchemas!D2:D13, MATCH(C41,RoleSchemas!A2:A13, 0))), "")</f>
        <v>pko_close_automation</v>
      </c>
      <c r="H41" s="4" t="str">
        <f>_xlfn.IFNA(IF(((INDEX(RulebookTables!E2:E93, MATCH(E41,RulebookTables!A2:A93, 0))="")=TRUE),  "",  INDEX(RulebookTables!E2:E93, MATCH(E41,RulebookTables!A2:A93, 0))), "")</f>
        <v>vw_errors</v>
      </c>
      <c r="I41" s="4" t="str">
        <f>D41 &amp; "|" &amp; E41</f>
        <v>principal-close-automation|Errors</v>
      </c>
      <c r="J41" s="4">
        <f>COUNTIFS(FieldGrants!M2:M3640, I41)</f>
        <v>6</v>
      </c>
      <c r="K41" s="4">
        <f>_xlfn.IFNA(IF(((INDEX(RulebookTables!H2:H93, MATCH(E41,RulebookTables!A2:A93, 0))="")=TRUE),  "",  INDEX(RulebookTables!H2:H93, MATCH(E41,RulebookTables!A2:A93, 0))), "")</f>
        <v>6</v>
      </c>
      <c r="L41" s="4" t="b">
        <f>AND(((J41 &gt; 0)=TRUE), ((J41 &gt;= K41)=TRUE))</f>
        <v>1</v>
      </c>
      <c r="M41" s="4" t="b">
        <f>J41 = 0</f>
        <v>0</v>
      </c>
      <c r="N41" s="3" t="s">
        <v>13657</v>
      </c>
    </row>
    <row r="42">
      <c r="A42" s="3" t="s">
        <v>13697</v>
      </c>
      <c r="B42" s="4" t="str">
        <f>G42 &amp; "." &amp; F42</f>
        <v>pko_variance_review_agent.steps</v>
      </c>
      <c r="C42" s="3" t="s">
        <v>13651</v>
      </c>
      <c r="D42" s="3" t="s">
        <v>9766</v>
      </c>
      <c r="E42" s="3" t="s">
        <v>1778</v>
      </c>
      <c r="F42" s="3" t="s">
        <v>9721</v>
      </c>
      <c r="G42" s="4" t="str">
        <f>_xlfn.IFNA(IF(((INDEX(RoleSchemas!D2:D13, MATCH(C42,RoleSchemas!A2:A13, 0))="")=TRUE),  "",  INDEX(RoleSchemas!D2:D13, MATCH(C42,RoleSchemas!A2:A13, 0))), "")</f>
        <v>pko_variance_review_agent</v>
      </c>
      <c r="H42" s="4" t="str">
        <f>_xlfn.IFNA(IF(((INDEX(RulebookTables!E2:E93, MATCH(E42,RulebookTables!A2:A93, 0))="")=TRUE),  "",  INDEX(RulebookTables!E2:E93, MATCH(E42,RulebookTables!A2:A93, 0))), "")</f>
        <v>vw_steps</v>
      </c>
      <c r="I42" s="4" t="str">
        <f>D42 &amp; "|" &amp; E42</f>
        <v>principal-variance-review-agent|Steps</v>
      </c>
      <c r="J42" s="4">
        <f>COUNTIFS(FieldGrants!M2:M3640, I42)</f>
        <v>9</v>
      </c>
      <c r="K42" s="4">
        <f>_xlfn.IFNA(IF(((INDEX(RulebookTables!H2:H93, MATCH(E42,RulebookTables!A2:A93, 0))="")=TRUE),  "",  INDEX(RulebookTables!H2:H93, MATCH(E42,RulebookTables!A2:A93, 0))), "")</f>
        <v>54</v>
      </c>
      <c r="L42" s="4" t="b">
        <f>AND(((J42 &gt; 0)=TRUE), ((J42 &gt;= K42)=TRUE))</f>
        <v>0</v>
      </c>
      <c r="M42" s="4" t="b">
        <f>J42 = 0</f>
        <v>0</v>
      </c>
      <c r="N42" s="3" t="s">
        <v>13657</v>
      </c>
    </row>
    <row r="43">
      <c r="A43" s="3" t="s">
        <v>13698</v>
      </c>
      <c r="B43" s="4" t="str">
        <f>G43 &amp; "." &amp; F43</f>
        <v>pko_variance_review_agent.step_executions</v>
      </c>
      <c r="C43" s="3" t="s">
        <v>13651</v>
      </c>
      <c r="D43" s="3" t="s">
        <v>9766</v>
      </c>
      <c r="E43" s="3" t="s">
        <v>1827</v>
      </c>
      <c r="F43" s="3" t="s">
        <v>9715</v>
      </c>
      <c r="G43" s="4" t="str">
        <f>_xlfn.IFNA(IF(((INDEX(RoleSchemas!D2:D13, MATCH(C43,RoleSchemas!A2:A13, 0))="")=TRUE),  "",  INDEX(RoleSchemas!D2:D13, MATCH(C43,RoleSchemas!A2:A13, 0))), "")</f>
        <v>pko_variance_review_agent</v>
      </c>
      <c r="H43" s="4" t="str">
        <f>_xlfn.IFNA(IF(((INDEX(RulebookTables!E2:E93, MATCH(E43,RulebookTables!A2:A93, 0))="")=TRUE),  "",  INDEX(RulebookTables!E2:E93, MATCH(E43,RulebookTables!A2:A93, 0))), "")</f>
        <v>vw_step_executions</v>
      </c>
      <c r="I43" s="4" t="str">
        <f>D43 &amp; "|" &amp; E43</f>
        <v>principal-variance-review-agent|StepExecutions</v>
      </c>
      <c r="J43" s="4">
        <f>COUNTIFS(FieldGrants!M2:M3640, I43)</f>
        <v>9</v>
      </c>
      <c r="K43" s="4">
        <f>_xlfn.IFNA(IF(((INDEX(RulebookTables!H2:H93, MATCH(E43,RulebookTables!A2:A93, 0))="")=TRUE),  "",  INDEX(RulebookTables!H2:H93, MATCH(E43,RulebookTables!A2:A93, 0))), "")</f>
        <v>109</v>
      </c>
      <c r="L43" s="4" t="b">
        <f>AND(((J43 &gt; 0)=TRUE), ((J43 &gt;= K43)=TRUE))</f>
        <v>0</v>
      </c>
      <c r="M43" s="4" t="b">
        <f>J43 = 0</f>
        <v>0</v>
      </c>
      <c r="N43" s="3" t="s">
        <v>13657</v>
      </c>
    </row>
    <row r="44">
      <c r="A44" s="3" t="s">
        <v>13699</v>
      </c>
      <c r="B44" s="4" t="str">
        <f>G44 &amp; "." &amp; F44</f>
        <v>pko_variance_review_agent.requirements</v>
      </c>
      <c r="C44" s="3" t="s">
        <v>13651</v>
      </c>
      <c r="D44" s="3" t="s">
        <v>9766</v>
      </c>
      <c r="E44" s="3" t="s">
        <v>1805</v>
      </c>
      <c r="F44" s="3" t="s">
        <v>9704</v>
      </c>
      <c r="G44" s="4" t="str">
        <f>_xlfn.IFNA(IF(((INDEX(RoleSchemas!D2:D13, MATCH(C44,RoleSchemas!A2:A13, 0))="")=TRUE),  "",  INDEX(RoleSchemas!D2:D13, MATCH(C44,RoleSchemas!A2:A13, 0))), "")</f>
        <v>pko_variance_review_agent</v>
      </c>
      <c r="H44" s="4" t="str">
        <f>_xlfn.IFNA(IF(((INDEX(RulebookTables!E2:E93, MATCH(E44,RulebookTables!A2:A93, 0))="")=TRUE),  "",  INDEX(RulebookTables!E2:E93, MATCH(E44,RulebookTables!A2:A93, 0))), "")</f>
        <v>vw_requirements</v>
      </c>
      <c r="I44" s="4" t="str">
        <f>D44 &amp; "|" &amp; E44</f>
        <v>principal-variance-review-agent|Requirements</v>
      </c>
      <c r="J44" s="4">
        <f>COUNTIFS(FieldGrants!M2:M3640, I44)</f>
        <v>6</v>
      </c>
      <c r="K44" s="4">
        <f>_xlfn.IFNA(IF(((INDEX(RulebookTables!H2:H93, MATCH(E44,RulebookTables!A2:A93, 0))="")=TRUE),  "",  INDEX(RulebookTables!H2:H93, MATCH(E44,RulebookTables!A2:A93, 0))), "")</f>
        <v>43</v>
      </c>
      <c r="L44" s="4" t="b">
        <f>AND(((J44 &gt; 0)=TRUE), ((J44 &gt;= K44)=TRUE))</f>
        <v>0</v>
      </c>
      <c r="M44" s="4" t="b">
        <f>J44 = 0</f>
        <v>0</v>
      </c>
      <c r="N44" s="3" t="s">
        <v>13657</v>
      </c>
    </row>
    <row r="45">
      <c r="A45" s="3" t="s">
        <v>13700</v>
      </c>
      <c r="B45" s="4" t="str">
        <f>G45 &amp; "." &amp; F45</f>
        <v>pko_variance_review_agent.requirement_satisfactions</v>
      </c>
      <c r="C45" s="3" t="s">
        <v>13651</v>
      </c>
      <c r="D45" s="3" t="s">
        <v>9766</v>
      </c>
      <c r="E45" s="3" t="s">
        <v>1830</v>
      </c>
      <c r="F45" s="3" t="s">
        <v>9703</v>
      </c>
      <c r="G45" s="4" t="str">
        <f>_xlfn.IFNA(IF(((INDEX(RoleSchemas!D2:D13, MATCH(C45,RoleSchemas!A2:A13, 0))="")=TRUE),  "",  INDEX(RoleSchemas!D2:D13, MATCH(C45,RoleSchemas!A2:A13, 0))), "")</f>
        <v>pko_variance_review_agent</v>
      </c>
      <c r="H45" s="4" t="str">
        <f>_xlfn.IFNA(IF(((INDEX(RulebookTables!E2:E93, MATCH(E45,RulebookTables!A2:A93, 0))="")=TRUE),  "",  INDEX(RulebookTables!E2:E93, MATCH(E45,RulebookTables!A2:A93, 0))), "")</f>
        <v>vw_requirement_satisfactions</v>
      </c>
      <c r="I45" s="4" t="str">
        <f>D45 &amp; "|" &amp; E45</f>
        <v>principal-variance-review-agent|RequirementSatisfactions</v>
      </c>
      <c r="J45" s="4">
        <f>COUNTIFS(FieldGrants!M2:M3640, I45)</f>
        <v>5</v>
      </c>
      <c r="K45" s="4">
        <f>_xlfn.IFNA(IF(((INDEX(RulebookTables!H2:H93, MATCH(E45,RulebookTables!A2:A93, 0))="")=TRUE),  "",  INDEX(RulebookTables!H2:H93, MATCH(E45,RulebookTables!A2:A93, 0))), "")</f>
        <v>46</v>
      </c>
      <c r="L45" s="4" t="b">
        <f>AND(((J45 &gt; 0)=TRUE), ((J45 &gt;= K45)=TRUE))</f>
        <v>0</v>
      </c>
      <c r="M45" s="4" t="b">
        <f>J45 = 0</f>
        <v>0</v>
      </c>
      <c r="N45" s="3" t="s">
        <v>13657</v>
      </c>
    </row>
    <row r="46">
      <c r="A46" s="3" t="s">
        <v>13701</v>
      </c>
      <c r="B46" s="4" t="str">
        <f>G46 &amp; "." &amp; F46</f>
        <v>pko_variance_review_agent.errors</v>
      </c>
      <c r="C46" s="3" t="s">
        <v>13651</v>
      </c>
      <c r="D46" s="3" t="s">
        <v>9766</v>
      </c>
      <c r="E46" s="3" t="s">
        <v>1833</v>
      </c>
      <c r="F46" s="3" t="s">
        <v>9677</v>
      </c>
      <c r="G46" s="4" t="str">
        <f>_xlfn.IFNA(IF(((INDEX(RoleSchemas!D2:D13, MATCH(C46,RoleSchemas!A2:A13, 0))="")=TRUE),  "",  INDEX(RoleSchemas!D2:D13, MATCH(C46,RoleSchemas!A2:A13, 0))), "")</f>
        <v>pko_variance_review_agent</v>
      </c>
      <c r="H46" s="4" t="str">
        <f>_xlfn.IFNA(IF(((INDEX(RulebookTables!E2:E93, MATCH(E46,RulebookTables!A2:A93, 0))="")=TRUE),  "",  INDEX(RulebookTables!E2:E93, MATCH(E46,RulebookTables!A2:A93, 0))), "")</f>
        <v>vw_errors</v>
      </c>
      <c r="I46" s="4" t="str">
        <f>D46 &amp; "|" &amp; E46</f>
        <v>principal-variance-review-agent|Errors</v>
      </c>
      <c r="J46" s="4">
        <f>COUNTIFS(FieldGrants!M2:M3640, I46)</f>
        <v>6</v>
      </c>
      <c r="K46" s="4">
        <f>_xlfn.IFNA(IF(((INDEX(RulebookTables!H2:H93, MATCH(E46,RulebookTables!A2:A93, 0))="")=TRUE),  "",  INDEX(RulebookTables!H2:H93, MATCH(E46,RulebookTables!A2:A93, 0))), "")</f>
        <v>6</v>
      </c>
      <c r="L46" s="4" t="b">
        <f>AND(((J46 &gt; 0)=TRUE), ((J46 &gt;= K46)=TRUE))</f>
        <v>1</v>
      </c>
      <c r="M46" s="4" t="b">
        <f>J46 = 0</f>
        <v>0</v>
      </c>
      <c r="N46" s="3" t="s">
        <v>13657</v>
      </c>
    </row>
    <row r="47">
      <c r="A47" s="3" t="s">
        <v>13702</v>
      </c>
      <c r="B47" s="4" t="str">
        <f>G47 &amp; "." &amp; F47</f>
        <v>pko_policy_drafting_agent.message_templates</v>
      </c>
      <c r="C47" s="3" t="s">
        <v>13652</v>
      </c>
      <c r="D47" s="3" t="s">
        <v>9768</v>
      </c>
      <c r="E47" s="3" t="s">
        <v>4087</v>
      </c>
      <c r="F47" s="3" t="s">
        <v>9689</v>
      </c>
      <c r="G47" s="4" t="str">
        <f>_xlfn.IFNA(IF(((INDEX(RoleSchemas!D2:D13, MATCH(C47,RoleSchemas!A2:A13, 0))="")=TRUE),  "",  INDEX(RoleSchemas!D2:D13, MATCH(C47,RoleSchemas!A2:A13, 0))), "")</f>
        <v>pko_policy_drafting_agent</v>
      </c>
      <c r="H47" s="4" t="str">
        <f>_xlfn.IFNA(IF(((INDEX(RulebookTables!E2:E93, MATCH(E47,RulebookTables!A2:A93, 0))="")=TRUE),  "",  INDEX(RulebookTables!E2:E93, MATCH(E47,RulebookTables!A2:A93, 0))), "")</f>
        <v>vw_message_templates</v>
      </c>
      <c r="I47" s="4" t="str">
        <f>D47 &amp; "|" &amp; E47</f>
        <v>principal-policy-drafting-agent|MessageTemplates</v>
      </c>
      <c r="J47" s="4">
        <f>COUNTIFS(FieldGrants!M2:M3640, I47)</f>
        <v>6</v>
      </c>
      <c r="K47" s="4">
        <f>_xlfn.IFNA(IF(((INDEX(RulebookTables!H2:H93, MATCH(E47,RulebookTables!A2:A93, 0))="")=TRUE),  "",  INDEX(RulebookTables!H2:H93, MATCH(E47,RulebookTables!A2:A93, 0))), "")</f>
        <v>26</v>
      </c>
      <c r="L47" s="4" t="b">
        <f>AND(((J47 &gt; 0)=TRUE), ((J47 &gt;= K47)=TRUE))</f>
        <v>0</v>
      </c>
      <c r="M47" s="4" t="b">
        <f>J47 = 0</f>
        <v>0</v>
      </c>
      <c r="N47" s="3" t="s">
        <v>13657</v>
      </c>
    </row>
    <row r="48">
      <c r="A48" s="3" t="s">
        <v>13703</v>
      </c>
      <c r="B48" s="4" t="str">
        <f>G48 &amp; "." &amp; F48</f>
        <v>pko_policy_drafting_agent.communication_policies</v>
      </c>
      <c r="C48" s="3" t="s">
        <v>13652</v>
      </c>
      <c r="D48" s="3" t="s">
        <v>9768</v>
      </c>
      <c r="E48" s="3" t="s">
        <v>1865</v>
      </c>
      <c r="F48" s="3" t="s">
        <v>9671</v>
      </c>
      <c r="G48" s="4" t="str">
        <f>_xlfn.IFNA(IF(((INDEX(RoleSchemas!D2:D13, MATCH(C48,RoleSchemas!A2:A13, 0))="")=TRUE),  "",  INDEX(RoleSchemas!D2:D13, MATCH(C48,RoleSchemas!A2:A13, 0))), "")</f>
        <v>pko_policy_drafting_agent</v>
      </c>
      <c r="H48" s="4" t="str">
        <f>_xlfn.IFNA(IF(((INDEX(RulebookTables!E2:E93, MATCH(E48,RulebookTables!A2:A93, 0))="")=TRUE),  "",  INDEX(RulebookTables!E2:E93, MATCH(E48,RulebookTables!A2:A93, 0))), "")</f>
        <v>vw_communication_policies</v>
      </c>
      <c r="I48" s="4" t="str">
        <f>D48 &amp; "|" &amp; E48</f>
        <v>principal-policy-drafting-agent|CommunicationPolicies</v>
      </c>
      <c r="J48" s="4">
        <f>COUNTIFS(FieldGrants!M2:M3640, I48)</f>
        <v>9</v>
      </c>
      <c r="K48" s="4">
        <f>_xlfn.IFNA(IF(((INDEX(RulebookTables!H2:H93, MATCH(E48,RulebookTables!A2:A93, 0))="")=TRUE),  "",  INDEX(RulebookTables!H2:H93, MATCH(E48,RulebookTables!A2:A93, 0))), "")</f>
        <v>22</v>
      </c>
      <c r="L48" s="4" t="b">
        <f>AND(((J48 &gt; 0)=TRUE), ((J48 &gt;= K48)=TRUE))</f>
        <v>0</v>
      </c>
      <c r="M48" s="4" t="b">
        <f>J48 = 0</f>
        <v>0</v>
      </c>
      <c r="N48" s="3" t="s">
        <v>13657</v>
      </c>
    </row>
    <row r="49">
      <c r="A49" s="3" t="s">
        <v>13704</v>
      </c>
      <c r="B49" s="4" t="str">
        <f>G49 &amp; "." &amp; F49</f>
        <v>pko_policy_drafting_agent.knowledge_fragments</v>
      </c>
      <c r="C49" s="3" t="s">
        <v>13652</v>
      </c>
      <c r="D49" s="3" t="s">
        <v>9768</v>
      </c>
      <c r="E49" s="3" t="s">
        <v>1851</v>
      </c>
      <c r="F49" s="3" t="s">
        <v>9684</v>
      </c>
      <c r="G49" s="4" t="str">
        <f>_xlfn.IFNA(IF(((INDEX(RoleSchemas!D2:D13, MATCH(C49,RoleSchemas!A2:A13, 0))="")=TRUE),  "",  INDEX(RoleSchemas!D2:D13, MATCH(C49,RoleSchemas!A2:A13, 0))), "")</f>
        <v>pko_policy_drafting_agent</v>
      </c>
      <c r="H49" s="4" t="str">
        <f>_xlfn.IFNA(IF(((INDEX(RulebookTables!E2:E93, MATCH(E49,RulebookTables!A2:A93, 0))="")=TRUE),  "",  INDEX(RulebookTables!E2:E93, MATCH(E49,RulebookTables!A2:A93, 0))), "")</f>
        <v>vw_knowledge_fragments</v>
      </c>
      <c r="I49" s="4" t="str">
        <f>D49 &amp; "|" &amp; E49</f>
        <v>principal-policy-drafting-agent|KnowledgeFragments</v>
      </c>
      <c r="J49" s="4">
        <f>COUNTIFS(FieldGrants!M2:M3640, I49)</f>
        <v>5</v>
      </c>
      <c r="K49" s="4">
        <f>_xlfn.IFNA(IF(((INDEX(RulebookTables!H2:H93, MATCH(E49,RulebookTables!A2:A93, 0))="")=TRUE),  "",  INDEX(RulebookTables!H2:H93, MATCH(E49,RulebookTables!A2:A93, 0))), "")</f>
        <v>80</v>
      </c>
      <c r="L49" s="4" t="b">
        <f>AND(((J49 &gt; 0)=TRUE), ((J49 &gt;= K49)=TRUE))</f>
        <v>0</v>
      </c>
      <c r="M49" s="4" t="b">
        <f>J49 = 0</f>
        <v>0</v>
      </c>
      <c r="N49" s="3" t="s">
        <v>13657</v>
      </c>
    </row>
    <row r="50">
      <c r="A50" s="3" t="s">
        <v>13705</v>
      </c>
      <c r="B50" s="4" t="str">
        <f>G50 &amp; "." &amp; F50</f>
        <v>pko_policy_drafting_agent.steps</v>
      </c>
      <c r="C50" s="3" t="s">
        <v>13652</v>
      </c>
      <c r="D50" s="3" t="s">
        <v>9768</v>
      </c>
      <c r="E50" s="3" t="s">
        <v>1778</v>
      </c>
      <c r="F50" s="3" t="s">
        <v>9721</v>
      </c>
      <c r="G50" s="4" t="str">
        <f>_xlfn.IFNA(IF(((INDEX(RoleSchemas!D2:D13, MATCH(C50,RoleSchemas!A2:A13, 0))="")=TRUE),  "",  INDEX(RoleSchemas!D2:D13, MATCH(C50,RoleSchemas!A2:A13, 0))), "")</f>
        <v>pko_policy_drafting_agent</v>
      </c>
      <c r="H50" s="4" t="str">
        <f>_xlfn.IFNA(IF(((INDEX(RulebookTables!E2:E93, MATCH(E50,RulebookTables!A2:A93, 0))="")=TRUE),  "",  INDEX(RulebookTables!E2:E93, MATCH(E50,RulebookTables!A2:A93, 0))), "")</f>
        <v>vw_steps</v>
      </c>
      <c r="I50" s="4" t="str">
        <f>D50 &amp; "|" &amp; E50</f>
        <v>principal-policy-drafting-agent|Steps</v>
      </c>
      <c r="J50" s="4">
        <f>COUNTIFS(FieldGrants!M2:M3640, I50)</f>
        <v>9</v>
      </c>
      <c r="K50" s="4">
        <f>_xlfn.IFNA(IF(((INDEX(RulebookTables!H2:H93, MATCH(E50,RulebookTables!A2:A93, 0))="")=TRUE),  "",  INDEX(RulebookTables!H2:H93, MATCH(E50,RulebookTables!A2:A93, 0))), "")</f>
        <v>54</v>
      </c>
      <c r="L50" s="4" t="b">
        <f>AND(((J50 &gt; 0)=TRUE), ((J50 &gt;= K50)=TRUE))</f>
        <v>0</v>
      </c>
      <c r="M50" s="4" t="b">
        <f>J50 = 0</f>
        <v>0</v>
      </c>
      <c r="N50" s="3" t="s">
        <v>13657</v>
      </c>
    </row>
    <row r="51">
      <c r="A51" s="3" t="s">
        <v>13706</v>
      </c>
      <c r="B51" s="4" t="str">
        <f>G51 &amp; "." &amp; F51</f>
        <v>pko_notification_publisher.communication_policies</v>
      </c>
      <c r="C51" s="3" t="s">
        <v>13653</v>
      </c>
      <c r="D51" s="3" t="s">
        <v>9770</v>
      </c>
      <c r="E51" s="3" t="s">
        <v>1865</v>
      </c>
      <c r="F51" s="3" t="s">
        <v>9671</v>
      </c>
      <c r="G51" s="4" t="str">
        <f>_xlfn.IFNA(IF(((INDEX(RoleSchemas!D2:D13, MATCH(C51,RoleSchemas!A2:A13, 0))="")=TRUE),  "",  INDEX(RoleSchemas!D2:D13, MATCH(C51,RoleSchemas!A2:A13, 0))), "")</f>
        <v>pko_notification_publisher</v>
      </c>
      <c r="H51" s="4" t="str">
        <f>_xlfn.IFNA(IF(((INDEX(RulebookTables!E2:E93, MATCH(E51,RulebookTables!A2:A93, 0))="")=TRUE),  "",  INDEX(RulebookTables!E2:E93, MATCH(E51,RulebookTables!A2:A93, 0))), "")</f>
        <v>vw_communication_policies</v>
      </c>
      <c r="I51" s="4" t="str">
        <f>D51 &amp; "|" &amp; E51</f>
        <v>principal-notification-publisher|CommunicationPolicies</v>
      </c>
      <c r="J51" s="4">
        <f>COUNTIFS(FieldGrants!M2:M3640, I51)</f>
        <v>9</v>
      </c>
      <c r="K51" s="4">
        <f>_xlfn.IFNA(IF(((INDEX(RulebookTables!H2:H93, MATCH(E51,RulebookTables!A2:A93, 0))="")=TRUE),  "",  INDEX(RulebookTables!H2:H93, MATCH(E51,RulebookTables!A2:A93, 0))), "")</f>
        <v>22</v>
      </c>
      <c r="L51" s="4" t="b">
        <f>AND(((J51 &gt; 0)=TRUE), ((J51 &gt;= K51)=TRUE))</f>
        <v>0</v>
      </c>
      <c r="M51" s="4" t="b">
        <f>J51 = 0</f>
        <v>0</v>
      </c>
      <c r="N51" s="3" t="s">
        <v>13657</v>
      </c>
    </row>
    <row r="52">
      <c r="A52" s="3" t="s">
        <v>13707</v>
      </c>
      <c r="B52" s="4" t="str">
        <f>G52 &amp; "." &amp; F52</f>
        <v>pko_notification_publisher.send_intents</v>
      </c>
      <c r="C52" s="3" t="s">
        <v>13653</v>
      </c>
      <c r="D52" s="3" t="s">
        <v>9770</v>
      </c>
      <c r="E52" s="3" t="s">
        <v>4728</v>
      </c>
      <c r="F52" s="3" t="s">
        <v>9713</v>
      </c>
      <c r="G52" s="4" t="str">
        <f>_xlfn.IFNA(IF(((INDEX(RoleSchemas!D2:D13, MATCH(C52,RoleSchemas!A2:A13, 0))="")=TRUE),  "",  INDEX(RoleSchemas!D2:D13, MATCH(C52,RoleSchemas!A2:A13, 0))), "")</f>
        <v>pko_notification_publisher</v>
      </c>
      <c r="H52" s="4" t="str">
        <f>_xlfn.IFNA(IF(((INDEX(RulebookTables!E2:E93, MATCH(E52,RulebookTables!A2:A93, 0))="")=TRUE),  "",  INDEX(RulebookTables!E2:E93, MATCH(E52,RulebookTables!A2:A93, 0))), "")</f>
        <v>vw_send_intents</v>
      </c>
      <c r="I52" s="4" t="str">
        <f>D52 &amp; "|" &amp; E52</f>
        <v>principal-notification-publisher|SendIntents</v>
      </c>
      <c r="J52" s="4">
        <f>COUNTIFS(FieldGrants!M2:M3640, I52)</f>
        <v>6</v>
      </c>
      <c r="K52" s="4">
        <f>_xlfn.IFNA(IF(((INDEX(RulebookTables!H2:H93, MATCH(E52,RulebookTables!A2:A93, 0))="")=TRUE),  "",  INDEX(RulebookTables!H2:H93, MATCH(E52,RulebookTables!A2:A93, 0))), "")</f>
        <v>100</v>
      </c>
      <c r="L52" s="4" t="b">
        <f>AND(((J52 &gt; 0)=TRUE), ((J52 &gt;= K52)=TRUE))</f>
        <v>0</v>
      </c>
      <c r="M52" s="4" t="b">
        <f>J52 = 0</f>
        <v>0</v>
      </c>
      <c r="N52" s="3" t="s">
        <v>13657</v>
      </c>
    </row>
    <row r="53">
      <c r="A53" s="3" t="s">
        <v>13708</v>
      </c>
      <c r="B53" s="4" t="str">
        <f>G53 &amp; "." &amp; F53</f>
        <v>pko_notification_publisher.message_deliveries</v>
      </c>
      <c r="C53" s="3" t="s">
        <v>13653</v>
      </c>
      <c r="D53" s="3" t="s">
        <v>9770</v>
      </c>
      <c r="E53" s="3" t="s">
        <v>4444</v>
      </c>
      <c r="F53" s="3" t="s">
        <v>9688</v>
      </c>
      <c r="G53" s="4" t="str">
        <f>_xlfn.IFNA(IF(((INDEX(RoleSchemas!D2:D13, MATCH(C53,RoleSchemas!A2:A13, 0))="")=TRUE),  "",  INDEX(RoleSchemas!D2:D13, MATCH(C53,RoleSchemas!A2:A13, 0))), "")</f>
        <v>pko_notification_publisher</v>
      </c>
      <c r="H53" s="4" t="str">
        <f>_xlfn.IFNA(IF(((INDEX(RulebookTables!E2:E93, MATCH(E53,RulebookTables!A2:A93, 0))="")=TRUE),  "",  INDEX(RulebookTables!E2:E93, MATCH(E53,RulebookTables!A2:A93, 0))), "")</f>
        <v>vw_message_deliveries</v>
      </c>
      <c r="I53" s="4" t="str">
        <f>D53 &amp; "|" &amp; E53</f>
        <v>principal-notification-publisher|MessageDeliveries</v>
      </c>
      <c r="J53" s="4">
        <f>COUNTIFS(FieldGrants!M2:M3640, I53)</f>
        <v>7</v>
      </c>
      <c r="K53" s="4">
        <f>_xlfn.IFNA(IF(((INDEX(RulebookTables!H2:H93, MATCH(E53,RulebookTables!A2:A93, 0))="")=TRUE),  "",  INDEX(RulebookTables!H2:H93, MATCH(E53,RulebookTables!A2:A93, 0))), "")</f>
        <v>94</v>
      </c>
      <c r="L53" s="4" t="b">
        <f>AND(((J53 &gt; 0)=TRUE), ((J53 &gt;= K53)=TRUE))</f>
        <v>0</v>
      </c>
      <c r="M53" s="4" t="b">
        <f>J53 = 0</f>
        <v>0</v>
      </c>
      <c r="N53" s="3" t="s">
        <v>13657</v>
      </c>
    </row>
    <row r="54">
      <c r="A54" s="3" t="s">
        <v>13709</v>
      </c>
      <c r="B54" s="4" t="str">
        <f>G54 &amp; "." &amp; F54</f>
        <v>pko_notification_publisher.recipients</v>
      </c>
      <c r="C54" s="3" t="s">
        <v>13653</v>
      </c>
      <c r="D54" s="3" t="s">
        <v>9770</v>
      </c>
      <c r="E54" s="3" t="s">
        <v>4412</v>
      </c>
      <c r="F54" s="3" t="s">
        <v>9702</v>
      </c>
      <c r="G54" s="4" t="str">
        <f>_xlfn.IFNA(IF(((INDEX(RoleSchemas!D2:D13, MATCH(C54,RoleSchemas!A2:A13, 0))="")=TRUE),  "",  INDEX(RoleSchemas!D2:D13, MATCH(C54,RoleSchemas!A2:A13, 0))), "")</f>
        <v>pko_notification_publisher</v>
      </c>
      <c r="H54" s="4" t="str">
        <f>_xlfn.IFNA(IF(((INDEX(RulebookTables!E2:E93, MATCH(E54,RulebookTables!A2:A93, 0))="")=TRUE),  "",  INDEX(RulebookTables!E2:E93, MATCH(E54,RulebookTables!A2:A93, 0))), "")</f>
        <v>vw_recipients</v>
      </c>
      <c r="I54" s="4" t="str">
        <f>D54 &amp; "|" &amp; E54</f>
        <v>principal-notification-publisher|Recipients</v>
      </c>
      <c r="J54" s="4">
        <f>COUNTIFS(FieldGrants!M2:M3640, I54)</f>
        <v>5</v>
      </c>
      <c r="K54" s="4">
        <f>_xlfn.IFNA(IF(((INDEX(RulebookTables!H2:H93, MATCH(E54,RulebookTables!A2:A93, 0))="")=TRUE),  "",  INDEX(RulebookTables!H2:H93, MATCH(E54,RulebookTables!A2:A93, 0))), "")</f>
        <v>15</v>
      </c>
      <c r="L54" s="4" t="b">
        <f>AND(((J54 &gt; 0)=TRUE), ((J54 &gt;= K54)=TRUE))</f>
        <v>0</v>
      </c>
      <c r="M54" s="4" t="b">
        <f>J54 = 0</f>
        <v>0</v>
      </c>
      <c r="N54" s="3" t="s">
        <v>13657</v>
      </c>
    </row>
    <row r="55">
      <c r="A55" s="3" t="s">
        <v>13710</v>
      </c>
      <c r="B55" s="4" t="str">
        <f>G55 &amp; "." &amp; F55</f>
        <v>pko_notification_publisher.steps</v>
      </c>
      <c r="C55" s="3" t="s">
        <v>13653</v>
      </c>
      <c r="D55" s="3" t="s">
        <v>9770</v>
      </c>
      <c r="E55" s="3" t="s">
        <v>1778</v>
      </c>
      <c r="F55" s="3" t="s">
        <v>9721</v>
      </c>
      <c r="G55" s="4" t="str">
        <f>_xlfn.IFNA(IF(((INDEX(RoleSchemas!D2:D13, MATCH(C55,RoleSchemas!A2:A13, 0))="")=TRUE),  "",  INDEX(RoleSchemas!D2:D13, MATCH(C55,RoleSchemas!A2:A13, 0))), "")</f>
        <v>pko_notification_publisher</v>
      </c>
      <c r="H55" s="4" t="str">
        <f>_xlfn.IFNA(IF(((INDEX(RulebookTables!E2:E93, MATCH(E55,RulebookTables!A2:A93, 0))="")=TRUE),  "",  INDEX(RulebookTables!E2:E93, MATCH(E55,RulebookTables!A2:A93, 0))), "")</f>
        <v>vw_steps</v>
      </c>
      <c r="I55" s="4" t="str">
        <f>D55 &amp; "|" &amp; E55</f>
        <v>principal-notification-publisher|Steps</v>
      </c>
      <c r="J55" s="4">
        <f>COUNTIFS(FieldGrants!M2:M3640, I55)</f>
        <v>9</v>
      </c>
      <c r="K55" s="4">
        <f>_xlfn.IFNA(IF(((INDEX(RulebookTables!H2:H93, MATCH(E55,RulebookTables!A2:A93, 0))="")=TRUE),  "",  INDEX(RulebookTables!H2:H93, MATCH(E55,RulebookTables!A2:A93, 0))), "")</f>
        <v>54</v>
      </c>
      <c r="L55" s="4" t="b">
        <f>AND(((J55 &gt; 0)=TRUE), ((J55 &gt;= K55)=TRUE))</f>
        <v>0</v>
      </c>
      <c r="M55" s="4" t="b">
        <f>J55 = 0</f>
        <v>0</v>
      </c>
      <c r="N55" s="3" t="s">
        <v>13657</v>
      </c>
    </row>
    <row r="56">
      <c r="A56" s="3" t="s">
        <v>13711</v>
      </c>
      <c r="B56" s="4" t="str">
        <f>G56 &amp; "." &amp; F56</f>
        <v>pko_process_steward.actions</v>
      </c>
      <c r="C56" s="3" t="s">
        <v>13654</v>
      </c>
      <c r="D56" s="3" t="s">
        <v>9772</v>
      </c>
      <c r="E56" s="3" t="s">
        <v>1796</v>
      </c>
      <c r="F56" s="3" t="s">
        <v>9651</v>
      </c>
      <c r="G56" s="4" t="str">
        <f>_xlfn.IFNA(IF(((INDEX(RoleSchemas!D2:D13, MATCH(C56,RoleSchemas!A2:A13, 0))="")=TRUE),  "",  INDEX(RoleSchemas!D2:D13, MATCH(C56,RoleSchemas!A2:A13, 0))), "")</f>
        <v>pko_process_steward</v>
      </c>
      <c r="H56" s="4" t="str">
        <f>_xlfn.IFNA(IF(((INDEX(RulebookTables!E2:E93, MATCH(E56,RulebookTables!A2:A93, 0))="")=TRUE),  "",  INDEX(RulebookTables!E2:E93, MATCH(E56,RulebookTables!A2:A93, 0))), "")</f>
        <v>vw_actions</v>
      </c>
      <c r="I56" s="4" t="str">
        <f>D56 &amp; "|" &amp; E56</f>
        <v>principal-process-steward|Actions</v>
      </c>
      <c r="J56" s="4">
        <f>COUNTIFS(FieldGrants!M2:M3640, I56)</f>
        <v>5</v>
      </c>
      <c r="K56" s="4">
        <f>_xlfn.IFNA(IF(((INDEX(RulebookTables!H2:H93, MATCH(E56,RulebookTables!A2:A93, 0))="")=TRUE),  "",  INDEX(RulebookTables!H2:H93, MATCH(E56,RulebookTables!A2:A93, 0))), "")</f>
        <v>5</v>
      </c>
      <c r="L56" s="4" t="b">
        <f>AND(((J56 &gt; 0)=TRUE), ((J56 &gt;= K56)=TRUE))</f>
        <v>1</v>
      </c>
      <c r="M56" s="4" t="b">
        <f>J56 = 0</f>
        <v>0</v>
      </c>
      <c r="N56" s="3" t="s">
        <v>13657</v>
      </c>
    </row>
    <row r="57">
      <c r="A57" s="3" t="s">
        <v>13712</v>
      </c>
      <c r="B57" s="4" t="str">
        <f>G57 &amp; "." &amp; F57</f>
        <v>pko_process_steward.agent_decision_records</v>
      </c>
      <c r="C57" s="3" t="s">
        <v>13654</v>
      </c>
      <c r="D57" s="3" t="s">
        <v>9772</v>
      </c>
      <c r="E57" s="3" t="s">
        <v>4994</v>
      </c>
      <c r="F57" s="3" t="s">
        <v>9653</v>
      </c>
      <c r="G57" s="4" t="str">
        <f>_xlfn.IFNA(IF(((INDEX(RoleSchemas!D2:D13, MATCH(C57,RoleSchemas!A2:A13, 0))="")=TRUE),  "",  INDEX(RoleSchemas!D2:D13, MATCH(C57,RoleSchemas!A2:A13, 0))), "")</f>
        <v>pko_process_steward</v>
      </c>
      <c r="H57" s="4" t="str">
        <f>_xlfn.IFNA(IF(((INDEX(RulebookTables!E2:E93, MATCH(E57,RulebookTables!A2:A93, 0))="")=TRUE),  "",  INDEX(RulebookTables!E2:E93, MATCH(E57,RulebookTables!A2:A93, 0))), "")</f>
        <v>vw_agent_decision_records</v>
      </c>
      <c r="I57" s="4" t="str">
        <f>D57 &amp; "|" &amp; E57</f>
        <v>principal-process-steward|AgentDecisionRecords</v>
      </c>
      <c r="J57" s="4">
        <f>COUNTIFS(FieldGrants!M2:M3640, I57)</f>
        <v>40</v>
      </c>
      <c r="K57" s="4">
        <f>_xlfn.IFNA(IF(((INDEX(RulebookTables!H2:H93, MATCH(E57,RulebookTables!A2:A93, 0))="")=TRUE),  "",  INDEX(RulebookTables!H2:H93, MATCH(E57,RulebookTables!A2:A93, 0))), "")</f>
        <v>40</v>
      </c>
      <c r="L57" s="4" t="b">
        <f>AND(((J57 &gt; 0)=TRUE), ((J57 &gt;= K57)=TRUE))</f>
        <v>1</v>
      </c>
      <c r="M57" s="4" t="b">
        <f>J57 = 0</f>
        <v>0</v>
      </c>
      <c r="N57" s="3" t="s">
        <v>13657</v>
      </c>
    </row>
    <row r="58">
      <c r="A58" s="3" t="s">
        <v>13713</v>
      </c>
      <c r="B58" s="4" t="str">
        <f>G58 &amp; "." &amp; F58</f>
        <v>pko_process_steward.agents</v>
      </c>
      <c r="C58" s="3" t="s">
        <v>13654</v>
      </c>
      <c r="D58" s="3" t="s">
        <v>9772</v>
      </c>
      <c r="E58" s="3" t="s">
        <v>1814</v>
      </c>
      <c r="F58" s="3" t="s">
        <v>9655</v>
      </c>
      <c r="G58" s="4" t="str">
        <f>_xlfn.IFNA(IF(((INDEX(RoleSchemas!D2:D13, MATCH(C58,RoleSchemas!A2:A13, 0))="")=TRUE),  "",  INDEX(RoleSchemas!D2:D13, MATCH(C58,RoleSchemas!A2:A13, 0))), "")</f>
        <v>pko_process_steward</v>
      </c>
      <c r="H58" s="4" t="str">
        <f>_xlfn.IFNA(IF(((INDEX(RulebookTables!E2:E93, MATCH(E58,RulebookTables!A2:A93, 0))="")=TRUE),  "",  INDEX(RulebookTables!E2:E93, MATCH(E58,RulebookTables!A2:A93, 0))), "")</f>
        <v>vw_agents</v>
      </c>
      <c r="I58" s="4" t="str">
        <f>D58 &amp; "|" &amp; E58</f>
        <v>principal-process-steward|Agents</v>
      </c>
      <c r="J58" s="4">
        <f>COUNTIFS(FieldGrants!M2:M3640, I58)</f>
        <v>23</v>
      </c>
      <c r="K58" s="4">
        <f>_xlfn.IFNA(IF(((INDEX(RulebookTables!H2:H93, MATCH(E58,RulebookTables!A2:A93, 0))="")=TRUE),  "",  INDEX(RulebookTables!H2:H93, MATCH(E58,RulebookTables!A2:A93, 0))), "")</f>
        <v>23</v>
      </c>
      <c r="L58" s="4" t="b">
        <f>AND(((J58 &gt; 0)=TRUE), ((J58 &gt;= K58)=TRUE))</f>
        <v>1</v>
      </c>
      <c r="M58" s="4" t="b">
        <f>J58 = 0</f>
        <v>0</v>
      </c>
      <c r="N58" s="3" t="s">
        <v>13657</v>
      </c>
    </row>
    <row r="59">
      <c r="A59" s="3" t="s">
        <v>13714</v>
      </c>
      <c r="B59" s="4" t="str">
        <f>G59 &amp; "." &amp; F59</f>
        <v>pko_process_steward.app_nav_groups</v>
      </c>
      <c r="C59" s="3" t="s">
        <v>13654</v>
      </c>
      <c r="D59" s="3" t="s">
        <v>9772</v>
      </c>
      <c r="E59" s="3" t="s">
        <v>1873</v>
      </c>
      <c r="F59" s="3" t="s">
        <v>9656</v>
      </c>
      <c r="G59" s="4" t="str">
        <f>_xlfn.IFNA(IF(((INDEX(RoleSchemas!D2:D13, MATCH(C59,RoleSchemas!A2:A13, 0))="")=TRUE),  "",  INDEX(RoleSchemas!D2:D13, MATCH(C59,RoleSchemas!A2:A13, 0))), "")</f>
        <v>pko_process_steward</v>
      </c>
      <c r="H59" s="4" t="str">
        <f>_xlfn.IFNA(IF(((INDEX(RulebookTables!E2:E93, MATCH(E59,RulebookTables!A2:A93, 0))="")=TRUE),  "",  INDEX(RulebookTables!E2:E93, MATCH(E59,RulebookTables!A2:A93, 0))), "")</f>
        <v>vw_app_nav_groups</v>
      </c>
      <c r="I59" s="4" t="str">
        <f>D59 &amp; "|" &amp; E59</f>
        <v>principal-process-steward|AppNavGroups</v>
      </c>
      <c r="J59" s="4">
        <f>COUNTIFS(FieldGrants!M2:M3640, I59)</f>
        <v>5</v>
      </c>
      <c r="K59" s="4">
        <f>_xlfn.IFNA(IF(((INDEX(RulebookTables!H2:H93, MATCH(E59,RulebookTables!A2:A93, 0))="")=TRUE),  "",  INDEX(RulebookTables!H2:H93, MATCH(E59,RulebookTables!A2:A93, 0))), "")</f>
        <v>5</v>
      </c>
      <c r="L59" s="4" t="b">
        <f>AND(((J59 &gt; 0)=TRUE), ((J59 &gt;= K59)=TRUE))</f>
        <v>1</v>
      </c>
      <c r="M59" s="4" t="b">
        <f>J59 = 0</f>
        <v>0</v>
      </c>
      <c r="N59" s="3" t="s">
        <v>13657</v>
      </c>
    </row>
    <row r="60">
      <c r="A60" s="3" t="s">
        <v>13715</v>
      </c>
      <c r="B60" s="4" t="str">
        <f>G60 &amp; "." &amp; F60</f>
        <v>pko_process_steward.app_role_profiles</v>
      </c>
      <c r="C60" s="3" t="s">
        <v>13654</v>
      </c>
      <c r="D60" s="3" t="s">
        <v>9772</v>
      </c>
      <c r="E60" s="3" t="s">
        <v>1869</v>
      </c>
      <c r="F60" s="3" t="s">
        <v>9659</v>
      </c>
      <c r="G60" s="4" t="str">
        <f>_xlfn.IFNA(IF(((INDEX(RoleSchemas!D2:D13, MATCH(C60,RoleSchemas!A2:A13, 0))="")=TRUE),  "",  INDEX(RoleSchemas!D2:D13, MATCH(C60,RoleSchemas!A2:A13, 0))), "")</f>
        <v>pko_process_steward</v>
      </c>
      <c r="H60" s="4" t="str">
        <f>_xlfn.IFNA(IF(((INDEX(RulebookTables!E2:E93, MATCH(E60,RulebookTables!A2:A93, 0))="")=TRUE),  "",  INDEX(RulebookTables!E2:E93, MATCH(E60,RulebookTables!A2:A93, 0))), "")</f>
        <v>vw_app_role_profiles</v>
      </c>
      <c r="I60" s="4" t="str">
        <f>D60 &amp; "|" &amp; E60</f>
        <v>principal-process-steward|AppRoleProfiles</v>
      </c>
      <c r="J60" s="4">
        <f>COUNTIFS(FieldGrants!M2:M3640, I60)</f>
        <v>12</v>
      </c>
      <c r="K60" s="4">
        <f>_xlfn.IFNA(IF(((INDEX(RulebookTables!H2:H93, MATCH(E60,RulebookTables!A2:A93, 0))="")=TRUE),  "",  INDEX(RulebookTables!H2:H93, MATCH(E60,RulebookTables!A2:A93, 0))), "")</f>
        <v>12</v>
      </c>
      <c r="L60" s="4" t="b">
        <f>AND(((J60 &gt; 0)=TRUE), ((J60 &gt;= K60)=TRUE))</f>
        <v>1</v>
      </c>
      <c r="M60" s="4" t="b">
        <f>J60 = 0</f>
        <v>0</v>
      </c>
      <c r="N60" s="3" t="s">
        <v>13657</v>
      </c>
    </row>
    <row r="61">
      <c r="A61" s="3" t="s">
        <v>13716</v>
      </c>
      <c r="B61" s="4" t="str">
        <f>G61 &amp; "." &amp; F61</f>
        <v>pko_process_steward.app_route_questions</v>
      </c>
      <c r="C61" s="3" t="s">
        <v>13654</v>
      </c>
      <c r="D61" s="3" t="s">
        <v>9772</v>
      </c>
      <c r="E61" s="3" t="s">
        <v>1881</v>
      </c>
      <c r="F61" s="3" t="s">
        <v>9661</v>
      </c>
      <c r="G61" s="4" t="str">
        <f>_xlfn.IFNA(IF(((INDEX(RoleSchemas!D2:D13, MATCH(C61,RoleSchemas!A2:A13, 0))="")=TRUE),  "",  INDEX(RoleSchemas!D2:D13, MATCH(C61,RoleSchemas!A2:A13, 0))), "")</f>
        <v>pko_process_steward</v>
      </c>
      <c r="H61" s="4" t="str">
        <f>_xlfn.IFNA(IF(((INDEX(RulebookTables!E2:E93, MATCH(E61,RulebookTables!A2:A93, 0))="")=TRUE),  "",  INDEX(RulebookTables!E2:E93, MATCH(E61,RulebookTables!A2:A93, 0))), "")</f>
        <v>vw_app_route_questions</v>
      </c>
      <c r="I61" s="4" t="str">
        <f>D61 &amp; "|" &amp; E61</f>
        <v>principal-process-steward|AppRouteQuestions</v>
      </c>
      <c r="J61" s="4">
        <f>COUNTIFS(FieldGrants!M2:M3640, I61)</f>
        <v>5</v>
      </c>
      <c r="K61" s="4">
        <f>_xlfn.IFNA(IF(((INDEX(RulebookTables!H2:H93, MATCH(E61,RulebookTables!A2:A93, 0))="")=TRUE),  "",  INDEX(RulebookTables!H2:H93, MATCH(E61,RulebookTables!A2:A93, 0))), "")</f>
        <v>5</v>
      </c>
      <c r="L61" s="4" t="b">
        <f>AND(((J61 &gt; 0)=TRUE), ((J61 &gt;= K61)=TRUE))</f>
        <v>1</v>
      </c>
      <c r="M61" s="4" t="b">
        <f>J61 = 0</f>
        <v>0</v>
      </c>
      <c r="N61" s="3" t="s">
        <v>13657</v>
      </c>
    </row>
    <row r="62">
      <c r="A62" s="3" t="s">
        <v>13717</v>
      </c>
      <c r="B62" s="4" t="str">
        <f>G62 &amp; "." &amp; F62</f>
        <v>pko_process_steward.app_route_references</v>
      </c>
      <c r="C62" s="3" t="s">
        <v>13654</v>
      </c>
      <c r="D62" s="3" t="s">
        <v>9772</v>
      </c>
      <c r="E62" s="3" t="s">
        <v>1885</v>
      </c>
      <c r="F62" s="3" t="s">
        <v>9663</v>
      </c>
      <c r="G62" s="4" t="str">
        <f>_xlfn.IFNA(IF(((INDEX(RoleSchemas!D2:D13, MATCH(C62,RoleSchemas!A2:A13, 0))="")=TRUE),  "",  INDEX(RoleSchemas!D2:D13, MATCH(C62,RoleSchemas!A2:A13, 0))), "")</f>
        <v>pko_process_steward</v>
      </c>
      <c r="H62" s="4" t="str">
        <f>_xlfn.IFNA(IF(((INDEX(RulebookTables!E2:E93, MATCH(E62,RulebookTables!A2:A93, 0))="")=TRUE),  "",  INDEX(RulebookTables!E2:E93, MATCH(E62,RulebookTables!A2:A93, 0))), "")</f>
        <v>vw_app_route_references</v>
      </c>
      <c r="I62" s="4" t="str">
        <f>D62 &amp; "|" &amp; E62</f>
        <v>principal-process-steward|AppRouteReferences</v>
      </c>
      <c r="J62" s="4">
        <f>COUNTIFS(FieldGrants!M2:M3640, I62)</f>
        <v>5</v>
      </c>
      <c r="K62" s="4">
        <f>_xlfn.IFNA(IF(((INDEX(RulebookTables!H2:H93, MATCH(E62,RulebookTables!A2:A93, 0))="")=TRUE),  "",  INDEX(RulebookTables!H2:H93, MATCH(E62,RulebookTables!A2:A93, 0))), "")</f>
        <v>5</v>
      </c>
      <c r="L62" s="4" t="b">
        <f>AND(((J62 &gt; 0)=TRUE), ((J62 &gt;= K62)=TRUE))</f>
        <v>1</v>
      </c>
      <c r="M62" s="4" t="b">
        <f>J62 = 0</f>
        <v>0</v>
      </c>
      <c r="N62" s="3" t="s">
        <v>13657</v>
      </c>
    </row>
    <row r="63">
      <c r="A63" s="3" t="s">
        <v>13718</v>
      </c>
      <c r="B63" s="4" t="str">
        <f>G63 &amp; "." &amp; F63</f>
        <v>pko_process_steward.app_routes</v>
      </c>
      <c r="C63" s="3" t="s">
        <v>13654</v>
      </c>
      <c r="D63" s="3" t="s">
        <v>9772</v>
      </c>
      <c r="E63" s="3" t="s">
        <v>1877</v>
      </c>
      <c r="F63" s="3" t="s">
        <v>9665</v>
      </c>
      <c r="G63" s="4" t="str">
        <f>_xlfn.IFNA(IF(((INDEX(RoleSchemas!D2:D13, MATCH(C63,RoleSchemas!A2:A13, 0))="")=TRUE),  "",  INDEX(RoleSchemas!D2:D13, MATCH(C63,RoleSchemas!A2:A13, 0))), "")</f>
        <v>pko_process_steward</v>
      </c>
      <c r="H63" s="4" t="str">
        <f>_xlfn.IFNA(IF(((INDEX(RulebookTables!E2:E93, MATCH(E63,RulebookTables!A2:A93, 0))="")=TRUE),  "",  INDEX(RulebookTables!E2:E93, MATCH(E63,RulebookTables!A2:A93, 0))), "")</f>
        <v>vw_app_routes</v>
      </c>
      <c r="I63" s="4" t="str">
        <f>D63 &amp; "|" &amp; E63</f>
        <v>principal-process-steward|AppRoutes</v>
      </c>
      <c r="J63" s="4">
        <f>COUNTIFS(FieldGrants!M2:M3640, I63)</f>
        <v>18</v>
      </c>
      <c r="K63" s="4">
        <f>_xlfn.IFNA(IF(((INDEX(RulebookTables!H2:H93, MATCH(E63,RulebookTables!A2:A93, 0))="")=TRUE),  "",  INDEX(RulebookTables!H2:H93, MATCH(E63,RulebookTables!A2:A93, 0))), "")</f>
        <v>18</v>
      </c>
      <c r="L63" s="4" t="b">
        <f>AND(((J63 &gt; 0)=TRUE), ((J63 &gt;= K63)=TRUE))</f>
        <v>1</v>
      </c>
      <c r="M63" s="4" t="b">
        <f>J63 = 0</f>
        <v>0</v>
      </c>
      <c r="N63" s="3" t="s">
        <v>13657</v>
      </c>
    </row>
    <row r="64">
      <c r="A64" s="3" t="s">
        <v>13719</v>
      </c>
      <c r="B64" s="4" t="str">
        <f>G64 &amp; "." &amp; F64</f>
        <v>pko_process_steward.attestations</v>
      </c>
      <c r="C64" s="3" t="s">
        <v>13654</v>
      </c>
      <c r="D64" s="3" t="s">
        <v>9772</v>
      </c>
      <c r="E64" s="3" t="s">
        <v>5235</v>
      </c>
      <c r="F64" s="3" t="s">
        <v>9667</v>
      </c>
      <c r="G64" s="4" t="str">
        <f>_xlfn.IFNA(IF(((INDEX(RoleSchemas!D2:D13, MATCH(C64,RoleSchemas!A2:A13, 0))="")=TRUE),  "",  INDEX(RoleSchemas!D2:D13, MATCH(C64,RoleSchemas!A2:A13, 0))), "")</f>
        <v>pko_process_steward</v>
      </c>
      <c r="H64" s="4" t="str">
        <f>_xlfn.IFNA(IF(((INDEX(RulebookTables!E2:E93, MATCH(E64,RulebookTables!A2:A93, 0))="")=TRUE),  "",  INDEX(RulebookTables!E2:E93, MATCH(E64,RulebookTables!A2:A93, 0))), "")</f>
        <v>vw_attestations</v>
      </c>
      <c r="I64" s="4" t="str">
        <f>D64 &amp; "|" &amp; E64</f>
        <v>principal-process-steward|Attestations</v>
      </c>
      <c r="J64" s="4">
        <f>COUNTIFS(FieldGrants!M2:M3640, I64)</f>
        <v>12</v>
      </c>
      <c r="K64" s="4">
        <f>_xlfn.IFNA(IF(((INDEX(RulebookTables!H2:H93, MATCH(E64,RulebookTables!A2:A93, 0))="")=TRUE),  "",  INDEX(RulebookTables!H2:H93, MATCH(E64,RulebookTables!A2:A93, 0))), "")</f>
        <v>12</v>
      </c>
      <c r="L64" s="4" t="b">
        <f>AND(((J64 &gt; 0)=TRUE), ((J64 &gt;= K64)=TRUE))</f>
        <v>1</v>
      </c>
      <c r="M64" s="4" t="b">
        <f>J64 = 0</f>
        <v>0</v>
      </c>
      <c r="N64" s="3" t="s">
        <v>13657</v>
      </c>
    </row>
    <row r="65">
      <c r="A65" s="3" t="s">
        <v>13720</v>
      </c>
      <c r="B65" s="4" t="str">
        <f>G65 &amp; "." &amp; F65</f>
        <v>pko_process_steward.authority_boundaries</v>
      </c>
      <c r="C65" s="3" t="s">
        <v>13654</v>
      </c>
      <c r="D65" s="3" t="s">
        <v>9772</v>
      </c>
      <c r="E65" s="3" t="s">
        <v>5131</v>
      </c>
      <c r="F65" s="3" t="s">
        <v>9668</v>
      </c>
      <c r="G65" s="4" t="str">
        <f>_xlfn.IFNA(IF(((INDEX(RoleSchemas!D2:D13, MATCH(C65,RoleSchemas!A2:A13, 0))="")=TRUE),  "",  INDEX(RoleSchemas!D2:D13, MATCH(C65,RoleSchemas!A2:A13, 0))), "")</f>
        <v>pko_process_steward</v>
      </c>
      <c r="H65" s="4" t="str">
        <f>_xlfn.IFNA(IF(((INDEX(RulebookTables!E2:E93, MATCH(E65,RulebookTables!A2:A93, 0))="")=TRUE),  "",  INDEX(RulebookTables!E2:E93, MATCH(E65,RulebookTables!A2:A93, 0))), "")</f>
        <v>vw_authority_boundaries</v>
      </c>
      <c r="I65" s="4" t="str">
        <f>D65 &amp; "|" &amp; E65</f>
        <v>principal-process-steward|AuthorityBoundaries</v>
      </c>
      <c r="J65" s="4">
        <f>COUNTIFS(FieldGrants!M2:M3640, I65)</f>
        <v>33</v>
      </c>
      <c r="K65" s="4">
        <f>_xlfn.IFNA(IF(((INDEX(RulebookTables!H2:H93, MATCH(E65,RulebookTables!A2:A93, 0))="")=TRUE),  "",  INDEX(RulebookTables!H2:H93, MATCH(E65,RulebookTables!A2:A93, 0))), "")</f>
        <v>33</v>
      </c>
      <c r="L65" s="4" t="b">
        <f>AND(((J65 &gt; 0)=TRUE), ((J65 &gt;= K65)=TRUE))</f>
        <v>1</v>
      </c>
      <c r="M65" s="4" t="b">
        <f>J65 = 0</f>
        <v>0</v>
      </c>
      <c r="N65" s="3" t="s">
        <v>13657</v>
      </c>
    </row>
    <row r="66">
      <c r="A66" s="3" t="s">
        <v>13721</v>
      </c>
      <c r="B66" s="4" t="str">
        <f>G66 &amp; "." &amp; F66</f>
        <v>pko_process_steward.binding_observations</v>
      </c>
      <c r="C66" s="3" t="s">
        <v>13654</v>
      </c>
      <c r="D66" s="3" t="s">
        <v>9772</v>
      </c>
      <c r="E66" s="3" t="s">
        <v>5208</v>
      </c>
      <c r="F66" s="3" t="s">
        <v>9669</v>
      </c>
      <c r="G66" s="4" t="str">
        <f>_xlfn.IFNA(IF(((INDEX(RoleSchemas!D2:D13, MATCH(C66,RoleSchemas!A2:A13, 0))="")=TRUE),  "",  INDEX(RoleSchemas!D2:D13, MATCH(C66,RoleSchemas!A2:A13, 0))), "")</f>
        <v>pko_process_steward</v>
      </c>
      <c r="H66" s="4" t="str">
        <f>_xlfn.IFNA(IF(((INDEX(RulebookTables!E2:E93, MATCH(E66,RulebookTables!A2:A93, 0))="")=TRUE),  "",  INDEX(RulebookTables!E2:E93, MATCH(E66,RulebookTables!A2:A93, 0))), "")</f>
        <v>vw_binding_observations</v>
      </c>
      <c r="I66" s="4" t="str">
        <f>D66 &amp; "|" &amp; E66</f>
        <v>principal-process-steward|BindingObservations</v>
      </c>
      <c r="J66" s="4">
        <f>COUNTIFS(FieldGrants!M2:M3640, I66)</f>
        <v>11</v>
      </c>
      <c r="K66" s="4">
        <f>_xlfn.IFNA(IF(((INDEX(RulebookTables!H2:H93, MATCH(E66,RulebookTables!A2:A93, 0))="")=TRUE),  "",  INDEX(RulebookTables!H2:H93, MATCH(E66,RulebookTables!A2:A93, 0))), "")</f>
        <v>11</v>
      </c>
      <c r="L66" s="4" t="b">
        <f>AND(((J66 &gt; 0)=TRUE), ((J66 &gt;= K66)=TRUE))</f>
        <v>1</v>
      </c>
      <c r="M66" s="4" t="b">
        <f>J66 = 0</f>
        <v>0</v>
      </c>
      <c r="N66" s="3" t="s">
        <v>13657</v>
      </c>
    </row>
    <row r="67">
      <c r="A67" s="3" t="s">
        <v>13722</v>
      </c>
      <c r="B67" s="4" t="str">
        <f>G67 &amp; "." &amp; F67</f>
        <v>pko_process_steward.change_requests</v>
      </c>
      <c r="C67" s="3" t="s">
        <v>13654</v>
      </c>
      <c r="D67" s="3" t="s">
        <v>9772</v>
      </c>
      <c r="E67" s="3" t="s">
        <v>3914</v>
      </c>
      <c r="F67" s="3" t="s">
        <v>9670</v>
      </c>
      <c r="G67" s="4" t="str">
        <f>_xlfn.IFNA(IF(((INDEX(RoleSchemas!D2:D13, MATCH(C67,RoleSchemas!A2:A13, 0))="")=TRUE),  "",  INDEX(RoleSchemas!D2:D13, MATCH(C67,RoleSchemas!A2:A13, 0))), "")</f>
        <v>pko_process_steward</v>
      </c>
      <c r="H67" s="4" t="str">
        <f>_xlfn.IFNA(IF(((INDEX(RulebookTables!E2:E93, MATCH(E67,RulebookTables!A2:A93, 0))="")=TRUE),  "",  INDEX(RulebookTables!E2:E93, MATCH(E67,RulebookTables!A2:A93, 0))), "")</f>
        <v>vw_change_requests</v>
      </c>
      <c r="I67" s="4" t="str">
        <f>D67 &amp; "|" &amp; E67</f>
        <v>principal-process-steward|ChangeRequests</v>
      </c>
      <c r="J67" s="4">
        <f>COUNTIFS(FieldGrants!M2:M3640, I67)</f>
        <v>45</v>
      </c>
      <c r="K67" s="4">
        <f>_xlfn.IFNA(IF(((INDEX(RulebookTables!H2:H93, MATCH(E67,RulebookTables!A2:A93, 0))="")=TRUE),  "",  INDEX(RulebookTables!H2:H93, MATCH(E67,RulebookTables!A2:A93, 0))), "")</f>
        <v>45</v>
      </c>
      <c r="L67" s="4" t="b">
        <f>AND(((J67 &gt; 0)=TRUE), ((J67 &gt;= K67)=TRUE))</f>
        <v>1</v>
      </c>
      <c r="M67" s="4" t="b">
        <f>J67 = 0</f>
        <v>0</v>
      </c>
      <c r="N67" s="3" t="s">
        <v>13657</v>
      </c>
    </row>
    <row r="68">
      <c r="A68" s="3" t="s">
        <v>13723</v>
      </c>
      <c r="B68" s="4" t="str">
        <f>G68 &amp; "." &amp; F68</f>
        <v>pko_process_steward.communication_policies</v>
      </c>
      <c r="C68" s="3" t="s">
        <v>13654</v>
      </c>
      <c r="D68" s="3" t="s">
        <v>9772</v>
      </c>
      <c r="E68" s="3" t="s">
        <v>1865</v>
      </c>
      <c r="F68" s="3" t="s">
        <v>9671</v>
      </c>
      <c r="G68" s="4" t="str">
        <f>_xlfn.IFNA(IF(((INDEX(RoleSchemas!D2:D13, MATCH(C68,RoleSchemas!A2:A13, 0))="")=TRUE),  "",  INDEX(RoleSchemas!D2:D13, MATCH(C68,RoleSchemas!A2:A13, 0))), "")</f>
        <v>pko_process_steward</v>
      </c>
      <c r="H68" s="4" t="str">
        <f>_xlfn.IFNA(IF(((INDEX(RulebookTables!E2:E93, MATCH(E68,RulebookTables!A2:A93, 0))="")=TRUE),  "",  INDEX(RulebookTables!E2:E93, MATCH(E68,RulebookTables!A2:A93, 0))), "")</f>
        <v>vw_communication_policies</v>
      </c>
      <c r="I68" s="4" t="str">
        <f>D68 &amp; "|" &amp; E68</f>
        <v>principal-process-steward|CommunicationPolicies</v>
      </c>
      <c r="J68" s="4">
        <f>COUNTIFS(FieldGrants!M2:M3640, I68)</f>
        <v>22</v>
      </c>
      <c r="K68" s="4">
        <f>_xlfn.IFNA(IF(((INDEX(RulebookTables!H2:H93, MATCH(E68,RulebookTables!A2:A93, 0))="")=TRUE),  "",  INDEX(RulebookTables!H2:H93, MATCH(E68,RulebookTables!A2:A93, 0))), "")</f>
        <v>22</v>
      </c>
      <c r="L68" s="4" t="b">
        <f>AND(((J68 &gt; 0)=TRUE), ((J68 &gt;= K68)=TRUE))</f>
        <v>1</v>
      </c>
      <c r="M68" s="4" t="b">
        <f>J68 = 0</f>
        <v>0</v>
      </c>
      <c r="N68" s="3" t="s">
        <v>13657</v>
      </c>
    </row>
    <row r="69">
      <c r="A69" s="3" t="s">
        <v>13724</v>
      </c>
      <c r="B69" s="4" t="str">
        <f>G69 &amp; "." &amp; F69</f>
        <v>pko_process_steward.communities_of_practice</v>
      </c>
      <c r="C69" s="3" t="s">
        <v>13654</v>
      </c>
      <c r="D69" s="3" t="s">
        <v>9772</v>
      </c>
      <c r="E69" s="3" t="s">
        <v>2655</v>
      </c>
      <c r="F69" s="3" t="s">
        <v>9673</v>
      </c>
      <c r="G69" s="4" t="str">
        <f>_xlfn.IFNA(IF(((INDEX(RoleSchemas!D2:D13, MATCH(C69,RoleSchemas!A2:A13, 0))="")=TRUE),  "",  INDEX(RoleSchemas!D2:D13, MATCH(C69,RoleSchemas!A2:A13, 0))), "")</f>
        <v>pko_process_steward</v>
      </c>
      <c r="H69" s="4" t="str">
        <f>_xlfn.IFNA(IF(((INDEX(RulebookTables!E2:E93, MATCH(E69,RulebookTables!A2:A93, 0))="")=TRUE),  "",  INDEX(RulebookTables!E2:E93, MATCH(E69,RulebookTables!A2:A93, 0))), "")</f>
        <v>vw_communities_of_practice</v>
      </c>
      <c r="I69" s="4" t="str">
        <f>D69 &amp; "|" &amp; E69</f>
        <v>principal-process-steward|CommunitiesOfPractice</v>
      </c>
      <c r="J69" s="4">
        <f>COUNTIFS(FieldGrants!M2:M3640, I69)</f>
        <v>8</v>
      </c>
      <c r="K69" s="4">
        <f>_xlfn.IFNA(IF(((INDEX(RulebookTables!H2:H93, MATCH(E69,RulebookTables!A2:A93, 0))="")=TRUE),  "",  INDEX(RulebookTables!H2:H93, MATCH(E69,RulebookTables!A2:A93, 0))), "")</f>
        <v>8</v>
      </c>
      <c r="L69" s="4" t="b">
        <f>AND(((J69 &gt; 0)=TRUE), ((J69 &gt;= K69)=TRUE))</f>
        <v>1</v>
      </c>
      <c r="M69" s="4" t="b">
        <f>J69 = 0</f>
        <v>0</v>
      </c>
      <c r="N69" s="3" t="s">
        <v>13657</v>
      </c>
    </row>
    <row r="70">
      <c r="A70" s="3" t="s">
        <v>13725</v>
      </c>
      <c r="B70" s="4" t="str">
        <f>G70 &amp; "." &amp; F70</f>
        <v>pko_process_steward.delivered_communications</v>
      </c>
      <c r="C70" s="3" t="s">
        <v>13654</v>
      </c>
      <c r="D70" s="3" t="s">
        <v>9772</v>
      </c>
      <c r="E70" s="3" t="s">
        <v>5095</v>
      </c>
      <c r="F70" s="3" t="s">
        <v>9674</v>
      </c>
      <c r="G70" s="4" t="str">
        <f>_xlfn.IFNA(IF(((INDEX(RoleSchemas!D2:D13, MATCH(C70,RoleSchemas!A2:A13, 0))="")=TRUE),  "",  INDEX(RoleSchemas!D2:D13, MATCH(C70,RoleSchemas!A2:A13, 0))), "")</f>
        <v>pko_process_steward</v>
      </c>
      <c r="H70" s="4" t="str">
        <f>_xlfn.IFNA(IF(((INDEX(RulebookTables!E2:E93, MATCH(E70,RulebookTables!A2:A93, 0))="")=TRUE),  "",  INDEX(RulebookTables!E2:E93, MATCH(E70,RulebookTables!A2:A93, 0))), "")</f>
        <v>vw_delivered_communications</v>
      </c>
      <c r="I70" s="4" t="str">
        <f>D70 &amp; "|" &amp; E70</f>
        <v>principal-process-steward|DeliveredCommunications</v>
      </c>
      <c r="J70" s="4">
        <f>COUNTIFS(FieldGrants!M2:M3640, I70)</f>
        <v>18</v>
      </c>
      <c r="K70" s="4">
        <f>_xlfn.IFNA(IF(((INDEX(RulebookTables!H2:H93, MATCH(E70,RulebookTables!A2:A93, 0))="")=TRUE),  "",  INDEX(RulebookTables!H2:H93, MATCH(E70,RulebookTables!A2:A93, 0))), "")</f>
        <v>18</v>
      </c>
      <c r="L70" s="4" t="b">
        <f>AND(((J70 &gt; 0)=TRUE), ((J70 &gt;= K70)=TRUE))</f>
        <v>1</v>
      </c>
      <c r="M70" s="4" t="b">
        <f>J70 = 0</f>
        <v>0</v>
      </c>
      <c r="N70" s="3" t="s">
        <v>13657</v>
      </c>
    </row>
    <row r="71">
      <c r="A71" s="3" t="s">
        <v>13726</v>
      </c>
      <c r="B71" s="4" t="str">
        <f>G71 &amp; "." &amp; F71</f>
        <v>pko_process_steward.elicitation_sessions</v>
      </c>
      <c r="C71" s="3" t="s">
        <v>13654</v>
      </c>
      <c r="D71" s="3" t="s">
        <v>9772</v>
      </c>
      <c r="E71" s="3" t="s">
        <v>1855</v>
      </c>
      <c r="F71" s="3" t="s">
        <v>9676</v>
      </c>
      <c r="G71" s="4" t="str">
        <f>_xlfn.IFNA(IF(((INDEX(RoleSchemas!D2:D13, MATCH(C71,RoleSchemas!A2:A13, 0))="")=TRUE),  "",  INDEX(RoleSchemas!D2:D13, MATCH(C71,RoleSchemas!A2:A13, 0))), "")</f>
        <v>pko_process_steward</v>
      </c>
      <c r="H71" s="4" t="str">
        <f>_xlfn.IFNA(IF(((INDEX(RulebookTables!E2:E93, MATCH(E71,RulebookTables!A2:A93, 0))="")=TRUE),  "",  INDEX(RulebookTables!E2:E93, MATCH(E71,RulebookTables!A2:A93, 0))), "")</f>
        <v>vw_elicitation_sessions</v>
      </c>
      <c r="I71" s="4" t="str">
        <f>D71 &amp; "|" &amp; E71</f>
        <v>principal-process-steward|ElicitationSessions</v>
      </c>
      <c r="J71" s="4">
        <f>COUNTIFS(FieldGrants!M2:M3640, I71)</f>
        <v>21</v>
      </c>
      <c r="K71" s="4">
        <f>_xlfn.IFNA(IF(((INDEX(RulebookTables!H2:H93, MATCH(E71,RulebookTables!A2:A93, 0))="")=TRUE),  "",  INDEX(RulebookTables!H2:H93, MATCH(E71,RulebookTables!A2:A93, 0))), "")</f>
        <v>21</v>
      </c>
      <c r="L71" s="4" t="b">
        <f>AND(((J71 &gt; 0)=TRUE), ((J71 &gt;= K71)=TRUE))</f>
        <v>1</v>
      </c>
      <c r="M71" s="4" t="b">
        <f>J71 = 0</f>
        <v>0</v>
      </c>
      <c r="N71" s="3" t="s">
        <v>13657</v>
      </c>
    </row>
    <row r="72">
      <c r="A72" s="3" t="s">
        <v>13727</v>
      </c>
      <c r="B72" s="4" t="str">
        <f>G72 &amp; "." &amp; F72</f>
        <v>pko_process_steward.errors</v>
      </c>
      <c r="C72" s="3" t="s">
        <v>13654</v>
      </c>
      <c r="D72" s="3" t="s">
        <v>9772</v>
      </c>
      <c r="E72" s="3" t="s">
        <v>1833</v>
      </c>
      <c r="F72" s="3" t="s">
        <v>9677</v>
      </c>
      <c r="G72" s="4" t="str">
        <f>_xlfn.IFNA(IF(((INDEX(RoleSchemas!D2:D13, MATCH(C72,RoleSchemas!A2:A13, 0))="")=TRUE),  "",  INDEX(RoleSchemas!D2:D13, MATCH(C72,RoleSchemas!A2:A13, 0))), "")</f>
        <v>pko_process_steward</v>
      </c>
      <c r="H72" s="4" t="str">
        <f>_xlfn.IFNA(IF(((INDEX(RulebookTables!E2:E93, MATCH(E72,RulebookTables!A2:A93, 0))="")=TRUE),  "",  INDEX(RulebookTables!E2:E93, MATCH(E72,RulebookTables!A2:A93, 0))), "")</f>
        <v>vw_errors</v>
      </c>
      <c r="I72" s="4" t="str">
        <f>D72 &amp; "|" &amp; E72</f>
        <v>principal-process-steward|Errors</v>
      </c>
      <c r="J72" s="4">
        <f>COUNTIFS(FieldGrants!M2:M3640, I72)</f>
        <v>6</v>
      </c>
      <c r="K72" s="4">
        <f>_xlfn.IFNA(IF(((INDEX(RulebookTables!H2:H93, MATCH(E72,RulebookTables!A2:A93, 0))="")=TRUE),  "",  INDEX(RulebookTables!H2:H93, MATCH(E72,RulebookTables!A2:A93, 0))), "")</f>
        <v>6</v>
      </c>
      <c r="L72" s="4" t="b">
        <f>AND(((J72 &gt; 0)=TRUE), ((J72 &gt;= K72)=TRUE))</f>
        <v>1</v>
      </c>
      <c r="M72" s="4" t="b">
        <f>J72 = 0</f>
        <v>0</v>
      </c>
      <c r="N72" s="3" t="s">
        <v>13657</v>
      </c>
    </row>
    <row r="73">
      <c r="A73" s="3" t="s">
        <v>13728</v>
      </c>
      <c r="B73" s="4" t="str">
        <f>G73 &amp; "." &amp; F73</f>
        <v>pko_process_steward.evaluation_contexts</v>
      </c>
      <c r="C73" s="3" t="s">
        <v>13654</v>
      </c>
      <c r="D73" s="3" t="s">
        <v>9772</v>
      </c>
      <c r="E73" s="3" t="s">
        <v>2444</v>
      </c>
      <c r="F73" s="3" t="s">
        <v>9678</v>
      </c>
      <c r="G73" s="4" t="str">
        <f>_xlfn.IFNA(IF(((INDEX(RoleSchemas!D2:D13, MATCH(C73,RoleSchemas!A2:A13, 0))="")=TRUE),  "",  INDEX(RoleSchemas!D2:D13, MATCH(C73,RoleSchemas!A2:A13, 0))), "")</f>
        <v>pko_process_steward</v>
      </c>
      <c r="H73" s="4" t="str">
        <f>_xlfn.IFNA(IF(((INDEX(RulebookTables!E2:E93, MATCH(E73,RulebookTables!A2:A93, 0))="")=TRUE),  "",  INDEX(RulebookTables!E2:E93, MATCH(E73,RulebookTables!A2:A93, 0))), "")</f>
        <v>vw_evaluation_contexts</v>
      </c>
      <c r="I73" s="4" t="str">
        <f>D73 &amp; "|" &amp; E73</f>
        <v>principal-process-steward|EvaluationContexts</v>
      </c>
      <c r="J73" s="4">
        <f>COUNTIFS(FieldGrants!M2:M3640, I73)</f>
        <v>7</v>
      </c>
      <c r="K73" s="4">
        <f>_xlfn.IFNA(IF(((INDEX(RulebookTables!H2:H93, MATCH(E73,RulebookTables!A2:A93, 0))="")=TRUE),  "",  INDEX(RulebookTables!H2:H93, MATCH(E73,RulebookTables!A2:A93, 0))), "")</f>
        <v>7</v>
      </c>
      <c r="L73" s="4" t="b">
        <f>AND(((J73 &gt; 0)=TRUE), ((J73 &gt;= K73)=TRUE))</f>
        <v>1</v>
      </c>
      <c r="M73" s="4" t="b">
        <f>J73 = 0</f>
        <v>0</v>
      </c>
      <c r="N73" s="3" t="s">
        <v>13657</v>
      </c>
    </row>
    <row r="74">
      <c r="A74" s="3" t="s">
        <v>13729</v>
      </c>
      <c r="B74" s="4" t="str">
        <f>G74 &amp; "." &amp; F74</f>
        <v>pko_process_steward.exception_invocations</v>
      </c>
      <c r="C74" s="3" t="s">
        <v>13654</v>
      </c>
      <c r="D74" s="3" t="s">
        <v>9772</v>
      </c>
      <c r="E74" s="3" t="s">
        <v>4287</v>
      </c>
      <c r="F74" s="3" t="s">
        <v>9679</v>
      </c>
      <c r="G74" s="4" t="str">
        <f>_xlfn.IFNA(IF(((INDEX(RoleSchemas!D2:D13, MATCH(C74,RoleSchemas!A2:A13, 0))="")=TRUE),  "",  INDEX(RoleSchemas!D2:D13, MATCH(C74,RoleSchemas!A2:A13, 0))), "")</f>
        <v>pko_process_steward</v>
      </c>
      <c r="H74" s="4" t="str">
        <f>_xlfn.IFNA(IF(((INDEX(RulebookTables!E2:E93, MATCH(E74,RulebookTables!A2:A93, 0))="")=TRUE),  "",  INDEX(RulebookTables!E2:E93, MATCH(E74,RulebookTables!A2:A93, 0))), "")</f>
        <v>vw_exception_invocations</v>
      </c>
      <c r="I74" s="4" t="str">
        <f>D74 &amp; "|" &amp; E74</f>
        <v>principal-process-steward|ExceptionInvocations</v>
      </c>
      <c r="J74" s="4">
        <f>COUNTIFS(FieldGrants!M2:M3640, I74)</f>
        <v>21</v>
      </c>
      <c r="K74" s="4">
        <f>_xlfn.IFNA(IF(((INDEX(RulebookTables!H2:H93, MATCH(E74,RulebookTables!A2:A93, 0))="")=TRUE),  "",  INDEX(RulebookTables!H2:H93, MATCH(E74,RulebookTables!A2:A93, 0))), "")</f>
        <v>21</v>
      </c>
      <c r="L74" s="4" t="b">
        <f>AND(((J74 &gt; 0)=TRUE), ((J74 &gt;= K74)=TRUE))</f>
        <v>1</v>
      </c>
      <c r="M74" s="4" t="b">
        <f>J74 = 0</f>
        <v>0</v>
      </c>
      <c r="N74" s="3" t="s">
        <v>13657</v>
      </c>
    </row>
    <row r="75">
      <c r="A75" s="3" t="s">
        <v>13730</v>
      </c>
      <c r="B75" s="4" t="str">
        <f>G75 &amp; "." &amp; F75</f>
        <v>pko_process_steward.exceptions</v>
      </c>
      <c r="C75" s="3" t="s">
        <v>13654</v>
      </c>
      <c r="D75" s="3" t="s">
        <v>9772</v>
      </c>
      <c r="E75" s="3" t="s">
        <v>3161</v>
      </c>
      <c r="F75" s="3" t="s">
        <v>9680</v>
      </c>
      <c r="G75" s="4" t="str">
        <f>_xlfn.IFNA(IF(((INDEX(RoleSchemas!D2:D13, MATCH(C75,RoleSchemas!A2:A13, 0))="")=TRUE),  "",  INDEX(RoleSchemas!D2:D13, MATCH(C75,RoleSchemas!A2:A13, 0))), "")</f>
        <v>pko_process_steward</v>
      </c>
      <c r="H75" s="4" t="str">
        <f>_xlfn.IFNA(IF(((INDEX(RulebookTables!E2:E93, MATCH(E75,RulebookTables!A2:A93, 0))="")=TRUE),  "",  INDEX(RulebookTables!E2:E93, MATCH(E75,RulebookTables!A2:A93, 0))), "")</f>
        <v>vw_exceptions</v>
      </c>
      <c r="I75" s="4" t="str">
        <f>D75 &amp; "|" &amp; E75</f>
        <v>principal-process-steward|Exceptions</v>
      </c>
      <c r="J75" s="4">
        <f>COUNTIFS(FieldGrants!M2:M3640, I75)</f>
        <v>11</v>
      </c>
      <c r="K75" s="4">
        <f>_xlfn.IFNA(IF(((INDEX(RulebookTables!H2:H93, MATCH(E75,RulebookTables!A2:A93, 0))="")=TRUE),  "",  INDEX(RulebookTables!H2:H93, MATCH(E75,RulebookTables!A2:A93, 0))), "")</f>
        <v>11</v>
      </c>
      <c r="L75" s="4" t="b">
        <f>AND(((J75 &gt; 0)=TRUE), ((J75 &gt;= K75)=TRUE))</f>
        <v>1</v>
      </c>
      <c r="M75" s="4" t="b">
        <f>J75 = 0</f>
        <v>0</v>
      </c>
      <c r="N75" s="3" t="s">
        <v>13657</v>
      </c>
    </row>
    <row r="76">
      <c r="A76" s="3" t="s">
        <v>13731</v>
      </c>
      <c r="B76" s="4" t="str">
        <f>G76 &amp; "." &amp; F76</f>
        <v>pko_process_steward.explanations</v>
      </c>
      <c r="C76" s="3" t="s">
        <v>13654</v>
      </c>
      <c r="D76" s="3" t="s">
        <v>9772</v>
      </c>
      <c r="E76" s="3" t="s">
        <v>1848</v>
      </c>
      <c r="F76" s="3" t="s">
        <v>9681</v>
      </c>
      <c r="G76" s="4" t="str">
        <f>_xlfn.IFNA(IF(((INDEX(RoleSchemas!D2:D13, MATCH(C76,RoleSchemas!A2:A13, 0))="")=TRUE),  "",  INDEX(RoleSchemas!D2:D13, MATCH(C76,RoleSchemas!A2:A13, 0))), "")</f>
        <v>pko_process_steward</v>
      </c>
      <c r="H76" s="4" t="str">
        <f>_xlfn.IFNA(IF(((INDEX(RulebookTables!E2:E93, MATCH(E76,RulebookTables!A2:A93, 0))="")=TRUE),  "",  INDEX(RulebookTables!E2:E93, MATCH(E76,RulebookTables!A2:A93, 0))), "")</f>
        <v>vw_explanations</v>
      </c>
      <c r="I76" s="4" t="str">
        <f>D76 &amp; "|" &amp; E76</f>
        <v>principal-process-steward|Explanations</v>
      </c>
      <c r="J76" s="4">
        <f>COUNTIFS(FieldGrants!M2:M3640, I76)</f>
        <v>7</v>
      </c>
      <c r="K76" s="4">
        <f>_xlfn.IFNA(IF(((INDEX(RulebookTables!H2:H93, MATCH(E76,RulebookTables!A2:A93, 0))="")=TRUE),  "",  INDEX(RulebookTables!H2:H93, MATCH(E76,RulebookTables!A2:A93, 0))), "")</f>
        <v>7</v>
      </c>
      <c r="L76" s="4" t="b">
        <f>AND(((J76 &gt; 0)=TRUE), ((J76 &gt;= K76)=TRUE))</f>
        <v>1</v>
      </c>
      <c r="M76" s="4" t="b">
        <f>J76 = 0</f>
        <v>0</v>
      </c>
      <c r="N76" s="3" t="s">
        <v>13657</v>
      </c>
    </row>
    <row r="77">
      <c r="A77" s="3" t="s">
        <v>13732</v>
      </c>
      <c r="B77" s="4" t="str">
        <f>G77 &amp; "." &amp; F77</f>
        <v>pko_process_steward.functions</v>
      </c>
      <c r="C77" s="3" t="s">
        <v>13654</v>
      </c>
      <c r="D77" s="3" t="s">
        <v>9772</v>
      </c>
      <c r="E77" s="3" t="s">
        <v>1799</v>
      </c>
      <c r="F77" s="3" t="s">
        <v>9682</v>
      </c>
      <c r="G77" s="4" t="str">
        <f>_xlfn.IFNA(IF(((INDEX(RoleSchemas!D2:D13, MATCH(C77,RoleSchemas!A2:A13, 0))="")=TRUE),  "",  INDEX(RoleSchemas!D2:D13, MATCH(C77,RoleSchemas!A2:A13, 0))), "")</f>
        <v>pko_process_steward</v>
      </c>
      <c r="H77" s="4" t="str">
        <f>_xlfn.IFNA(IF(((INDEX(RulebookTables!E2:E93, MATCH(E77,RulebookTables!A2:A93, 0))="")=TRUE),  "",  INDEX(RulebookTables!E2:E93, MATCH(E77,RulebookTables!A2:A93, 0))), "")</f>
        <v>vw_functions</v>
      </c>
      <c r="I77" s="4" t="str">
        <f>D77 &amp; "|" &amp; E77</f>
        <v>principal-process-steward|Functions</v>
      </c>
      <c r="J77" s="4">
        <f>COUNTIFS(FieldGrants!M2:M3640, I77)</f>
        <v>6</v>
      </c>
      <c r="K77" s="4">
        <f>_xlfn.IFNA(IF(((INDEX(RulebookTables!H2:H93, MATCH(E77,RulebookTables!A2:A93, 0))="")=TRUE),  "",  INDEX(RulebookTables!H2:H93, MATCH(E77,RulebookTables!A2:A93, 0))), "")</f>
        <v>6</v>
      </c>
      <c r="L77" s="4" t="b">
        <f>AND(((J77 &gt; 0)=TRUE), ((J77 &gt;= K77)=TRUE))</f>
        <v>1</v>
      </c>
      <c r="M77" s="4" t="b">
        <f>J77 = 0</f>
        <v>0</v>
      </c>
      <c r="N77" s="3" t="s">
        <v>13657</v>
      </c>
    </row>
    <row r="78">
      <c r="A78" s="3" t="s">
        <v>13733</v>
      </c>
      <c r="B78" s="4" t="str">
        <f>G78 &amp; "." &amp; F78</f>
        <v>pko_process_steward.issue_occurrences</v>
      </c>
      <c r="C78" s="3" t="s">
        <v>13654</v>
      </c>
      <c r="D78" s="3" t="s">
        <v>9772</v>
      </c>
      <c r="E78" s="3" t="s">
        <v>1836</v>
      </c>
      <c r="F78" s="3" t="s">
        <v>9683</v>
      </c>
      <c r="G78" s="4" t="str">
        <f>_xlfn.IFNA(IF(((INDEX(RoleSchemas!D2:D13, MATCH(C78,RoleSchemas!A2:A13, 0))="")=TRUE),  "",  INDEX(RoleSchemas!D2:D13, MATCH(C78,RoleSchemas!A2:A13, 0))), "")</f>
        <v>pko_process_steward</v>
      </c>
      <c r="H78" s="4" t="str">
        <f>_xlfn.IFNA(IF(((INDEX(RulebookTables!E2:E93, MATCH(E78,RulebookTables!A2:A93, 0))="")=TRUE),  "",  INDEX(RulebookTables!E2:E93, MATCH(E78,RulebookTables!A2:A93, 0))), "")</f>
        <v>vw_issue_occurrences</v>
      </c>
      <c r="I78" s="4" t="str">
        <f>D78 &amp; "|" &amp; E78</f>
        <v>principal-process-steward|IssueOccurrences</v>
      </c>
      <c r="J78" s="4">
        <f>COUNTIFS(FieldGrants!M2:M3640, I78)</f>
        <v>12</v>
      </c>
      <c r="K78" s="4">
        <f>_xlfn.IFNA(IF(((INDEX(RulebookTables!H2:H93, MATCH(E78,RulebookTables!A2:A93, 0))="")=TRUE),  "",  INDEX(RulebookTables!H2:H93, MATCH(E78,RulebookTables!A2:A93, 0))), "")</f>
        <v>12</v>
      </c>
      <c r="L78" s="4" t="b">
        <f>AND(((J78 &gt; 0)=TRUE), ((J78 &gt;= K78)=TRUE))</f>
        <v>1</v>
      </c>
      <c r="M78" s="4" t="b">
        <f>J78 = 0</f>
        <v>0</v>
      </c>
      <c r="N78" s="3" t="s">
        <v>13657</v>
      </c>
    </row>
    <row r="79">
      <c r="A79" s="3" t="s">
        <v>13734</v>
      </c>
      <c r="B79" s="4" t="str">
        <f>G79 &amp; "." &amp; F79</f>
        <v>pko_process_steward.knowledge_fragments</v>
      </c>
      <c r="C79" s="3" t="s">
        <v>13654</v>
      </c>
      <c r="D79" s="3" t="s">
        <v>9772</v>
      </c>
      <c r="E79" s="3" t="s">
        <v>1851</v>
      </c>
      <c r="F79" s="3" t="s">
        <v>9684</v>
      </c>
      <c r="G79" s="4" t="str">
        <f>_xlfn.IFNA(IF(((INDEX(RoleSchemas!D2:D13, MATCH(C79,RoleSchemas!A2:A13, 0))="")=TRUE),  "",  INDEX(RoleSchemas!D2:D13, MATCH(C79,RoleSchemas!A2:A13, 0))), "")</f>
        <v>pko_process_steward</v>
      </c>
      <c r="H79" s="4" t="str">
        <f>_xlfn.IFNA(IF(((INDEX(RulebookTables!E2:E93, MATCH(E79,RulebookTables!A2:A93, 0))="")=TRUE),  "",  INDEX(RulebookTables!E2:E93, MATCH(E79,RulebookTables!A2:A93, 0))), "")</f>
        <v>vw_knowledge_fragments</v>
      </c>
      <c r="I79" s="4" t="str">
        <f>D79 &amp; "|" &amp; E79</f>
        <v>principal-process-steward|KnowledgeFragments</v>
      </c>
      <c r="J79" s="4">
        <f>COUNTIFS(FieldGrants!M2:M3640, I79)</f>
        <v>80</v>
      </c>
      <c r="K79" s="4">
        <f>_xlfn.IFNA(IF(((INDEX(RulebookTables!H2:H93, MATCH(E79,RulebookTables!A2:A93, 0))="")=TRUE),  "",  INDEX(RulebookTables!H2:H93, MATCH(E79,RulebookTables!A2:A93, 0))), "")</f>
        <v>80</v>
      </c>
      <c r="L79" s="4" t="b">
        <f>AND(((J79 &gt; 0)=TRUE), ((J79 &gt;= K79)=TRUE))</f>
        <v>1</v>
      </c>
      <c r="M79" s="4" t="b">
        <f>J79 = 0</f>
        <v>0</v>
      </c>
      <c r="N79" s="3" t="s">
        <v>13657</v>
      </c>
    </row>
    <row r="80">
      <c r="A80" s="3" t="s">
        <v>13735</v>
      </c>
      <c r="B80" s="4" t="str">
        <f>G80 &amp; "." &amp; F80</f>
        <v>pko_process_steward.knowledge_gaps</v>
      </c>
      <c r="C80" s="3" t="s">
        <v>13654</v>
      </c>
      <c r="D80" s="3" t="s">
        <v>9772</v>
      </c>
      <c r="E80" s="3" t="s">
        <v>3368</v>
      </c>
      <c r="F80" s="3" t="s">
        <v>9685</v>
      </c>
      <c r="G80" s="4" t="str">
        <f>_xlfn.IFNA(IF(((INDEX(RoleSchemas!D2:D13, MATCH(C80,RoleSchemas!A2:A13, 0))="")=TRUE),  "",  INDEX(RoleSchemas!D2:D13, MATCH(C80,RoleSchemas!A2:A13, 0))), "")</f>
        <v>pko_process_steward</v>
      </c>
      <c r="H80" s="4" t="str">
        <f>_xlfn.IFNA(IF(((INDEX(RulebookTables!E2:E93, MATCH(E80,RulebookTables!A2:A93, 0))="")=TRUE),  "",  INDEX(RulebookTables!E2:E93, MATCH(E80,RulebookTables!A2:A93, 0))), "")</f>
        <v>vw_knowledge_gaps</v>
      </c>
      <c r="I80" s="4" t="str">
        <f>D80 &amp; "|" &amp; E80</f>
        <v>principal-process-steward|KnowledgeGaps</v>
      </c>
      <c r="J80" s="4">
        <f>COUNTIFS(FieldGrants!M2:M3640, I80)</f>
        <v>28</v>
      </c>
      <c r="K80" s="4">
        <f>_xlfn.IFNA(IF(((INDEX(RulebookTables!H2:H93, MATCH(E80,RulebookTables!A2:A93, 0))="")=TRUE),  "",  INDEX(RulebookTables!H2:H93, MATCH(E80,RulebookTables!A2:A93, 0))), "")</f>
        <v>28</v>
      </c>
      <c r="L80" s="4" t="b">
        <f>AND(((J80 &gt; 0)=TRUE), ((J80 &gt;= K80)=TRUE))</f>
        <v>1</v>
      </c>
      <c r="M80" s="4" t="b">
        <f>J80 = 0</f>
        <v>0</v>
      </c>
      <c r="N80" s="3" t="s">
        <v>13657</v>
      </c>
    </row>
    <row r="81">
      <c r="A81" s="3" t="s">
        <v>13736</v>
      </c>
      <c r="B81" s="4" t="str">
        <f>G81 &amp; "." &amp; F81</f>
        <v>pko_process_steward.learning_activities</v>
      </c>
      <c r="C81" s="3" t="s">
        <v>13654</v>
      </c>
      <c r="D81" s="3" t="s">
        <v>9772</v>
      </c>
      <c r="E81" s="3" t="s">
        <v>4017</v>
      </c>
      <c r="F81" s="3" t="s">
        <v>9686</v>
      </c>
      <c r="G81" s="4" t="str">
        <f>_xlfn.IFNA(IF(((INDEX(RoleSchemas!D2:D13, MATCH(C81,RoleSchemas!A2:A13, 0))="")=TRUE),  "",  INDEX(RoleSchemas!D2:D13, MATCH(C81,RoleSchemas!A2:A13, 0))), "")</f>
        <v>pko_process_steward</v>
      </c>
      <c r="H81" s="4" t="str">
        <f>_xlfn.IFNA(IF(((INDEX(RulebookTables!E2:E93, MATCH(E81,RulebookTables!A2:A93, 0))="")=TRUE),  "",  INDEX(RulebookTables!E2:E93, MATCH(E81,RulebookTables!A2:A93, 0))), "")</f>
        <v>vw_learning_activities</v>
      </c>
      <c r="I81" s="4" t="str">
        <f>D81 &amp; "|" &amp; E81</f>
        <v>principal-process-steward|LearningActivities</v>
      </c>
      <c r="J81" s="4">
        <f>COUNTIFS(FieldGrants!M2:M3640, I81)</f>
        <v>10</v>
      </c>
      <c r="K81" s="4">
        <f>_xlfn.IFNA(IF(((INDEX(RulebookTables!H2:H93, MATCH(E81,RulebookTables!A2:A93, 0))="")=TRUE),  "",  INDEX(RulebookTables!H2:H93, MATCH(E81,RulebookTables!A2:A93, 0))), "")</f>
        <v>10</v>
      </c>
      <c r="L81" s="4" t="b">
        <f>AND(((J81 &gt; 0)=TRUE), ((J81 &gt;= K81)=TRUE))</f>
        <v>1</v>
      </c>
      <c r="M81" s="4" t="b">
        <f>J81 = 0</f>
        <v>0</v>
      </c>
      <c r="N81" s="3" t="s">
        <v>13657</v>
      </c>
    </row>
    <row r="82">
      <c r="A82" s="3" t="s">
        <v>13737</v>
      </c>
      <c r="B82" s="4" t="str">
        <f>G82 &amp; "." &amp; F82</f>
        <v>pko_process_steward.mentorships</v>
      </c>
      <c r="C82" s="3" t="s">
        <v>13654</v>
      </c>
      <c r="D82" s="3" t="s">
        <v>9772</v>
      </c>
      <c r="E82" s="3" t="s">
        <v>2664</v>
      </c>
      <c r="F82" s="3" t="s">
        <v>9687</v>
      </c>
      <c r="G82" s="4" t="str">
        <f>_xlfn.IFNA(IF(((INDEX(RoleSchemas!D2:D13, MATCH(C82,RoleSchemas!A2:A13, 0))="")=TRUE),  "",  INDEX(RoleSchemas!D2:D13, MATCH(C82,RoleSchemas!A2:A13, 0))), "")</f>
        <v>pko_process_steward</v>
      </c>
      <c r="H82" s="4" t="str">
        <f>_xlfn.IFNA(IF(((INDEX(RulebookTables!E2:E93, MATCH(E82,RulebookTables!A2:A93, 0))="")=TRUE),  "",  INDEX(RulebookTables!E2:E93, MATCH(E82,RulebookTables!A2:A93, 0))), "")</f>
        <v>vw_mentorships</v>
      </c>
      <c r="I82" s="4" t="str">
        <f>D82 &amp; "|" &amp; E82</f>
        <v>principal-process-steward|Mentorships</v>
      </c>
      <c r="J82" s="4">
        <f>COUNTIFS(FieldGrants!M2:M3640, I82)</f>
        <v>10</v>
      </c>
      <c r="K82" s="4">
        <f>_xlfn.IFNA(IF(((INDEX(RulebookTables!H2:H93, MATCH(E82,RulebookTables!A2:A93, 0))="")=TRUE),  "",  INDEX(RulebookTables!H2:H93, MATCH(E82,RulebookTables!A2:A93, 0))), "")</f>
        <v>10</v>
      </c>
      <c r="L82" s="4" t="b">
        <f>AND(((J82 &gt; 0)=TRUE), ((J82 &gt;= K82)=TRUE))</f>
        <v>1</v>
      </c>
      <c r="M82" s="4" t="b">
        <f>J82 = 0</f>
        <v>0</v>
      </c>
      <c r="N82" s="3" t="s">
        <v>13657</v>
      </c>
    </row>
    <row r="83">
      <c r="A83" s="3" t="s">
        <v>13738</v>
      </c>
      <c r="B83" s="4" t="str">
        <f>G83 &amp; "." &amp; F83</f>
        <v>pko_process_steward.message_deliveries</v>
      </c>
      <c r="C83" s="3" t="s">
        <v>13654</v>
      </c>
      <c r="D83" s="3" t="s">
        <v>9772</v>
      </c>
      <c r="E83" s="3" t="s">
        <v>4444</v>
      </c>
      <c r="F83" s="3" t="s">
        <v>9688</v>
      </c>
      <c r="G83" s="4" t="str">
        <f>_xlfn.IFNA(IF(((INDEX(RoleSchemas!D2:D13, MATCH(C83,RoleSchemas!A2:A13, 0))="")=TRUE),  "",  INDEX(RoleSchemas!D2:D13, MATCH(C83,RoleSchemas!A2:A13, 0))), "")</f>
        <v>pko_process_steward</v>
      </c>
      <c r="H83" s="4" t="str">
        <f>_xlfn.IFNA(IF(((INDEX(RulebookTables!E2:E93, MATCH(E83,RulebookTables!A2:A93, 0))="")=TRUE),  "",  INDEX(RulebookTables!E2:E93, MATCH(E83,RulebookTables!A2:A93, 0))), "")</f>
        <v>vw_message_deliveries</v>
      </c>
      <c r="I83" s="4" t="str">
        <f>D83 &amp; "|" &amp; E83</f>
        <v>principal-process-steward|MessageDeliveries</v>
      </c>
      <c r="J83" s="4">
        <f>COUNTIFS(FieldGrants!M2:M3640, I83)</f>
        <v>94</v>
      </c>
      <c r="K83" s="4">
        <f>_xlfn.IFNA(IF(((INDEX(RulebookTables!H2:H93, MATCH(E83,RulebookTables!A2:A93, 0))="")=TRUE),  "",  INDEX(RulebookTables!H2:H93, MATCH(E83,RulebookTables!A2:A93, 0))), "")</f>
        <v>94</v>
      </c>
      <c r="L83" s="4" t="b">
        <f>AND(((J83 &gt; 0)=TRUE), ((J83 &gt;= K83)=TRUE))</f>
        <v>1</v>
      </c>
      <c r="M83" s="4" t="b">
        <f>J83 = 0</f>
        <v>0</v>
      </c>
      <c r="N83" s="3" t="s">
        <v>13657</v>
      </c>
    </row>
    <row r="84">
      <c r="A84" s="3" t="s">
        <v>13739</v>
      </c>
      <c r="B84" s="4" t="str">
        <f>G84 &amp; "." &amp; F84</f>
        <v>pko_process_steward.message_templates</v>
      </c>
      <c r="C84" s="3" t="s">
        <v>13654</v>
      </c>
      <c r="D84" s="3" t="s">
        <v>9772</v>
      </c>
      <c r="E84" s="3" t="s">
        <v>4087</v>
      </c>
      <c r="F84" s="3" t="s">
        <v>9689</v>
      </c>
      <c r="G84" s="4" t="str">
        <f>_xlfn.IFNA(IF(((INDEX(RoleSchemas!D2:D13, MATCH(C84,RoleSchemas!A2:A13, 0))="")=TRUE),  "",  INDEX(RoleSchemas!D2:D13, MATCH(C84,RoleSchemas!A2:A13, 0))), "")</f>
        <v>pko_process_steward</v>
      </c>
      <c r="H84" s="4" t="str">
        <f>_xlfn.IFNA(IF(((INDEX(RulebookTables!E2:E93, MATCH(E84,RulebookTables!A2:A93, 0))="")=TRUE),  "",  INDEX(RulebookTables!E2:E93, MATCH(E84,RulebookTables!A2:A93, 0))), "")</f>
        <v>vw_message_templates</v>
      </c>
      <c r="I84" s="4" t="str">
        <f>D84 &amp; "|" &amp; E84</f>
        <v>principal-process-steward|MessageTemplates</v>
      </c>
      <c r="J84" s="4">
        <f>COUNTIFS(FieldGrants!M2:M3640, I84)</f>
        <v>26</v>
      </c>
      <c r="K84" s="4">
        <f>_xlfn.IFNA(IF(((INDEX(RulebookTables!H2:H93, MATCH(E84,RulebookTables!A2:A93, 0))="")=TRUE),  "",  INDEX(RulebookTables!H2:H93, MATCH(E84,RulebookTables!A2:A93, 0))), "")</f>
        <v>26</v>
      </c>
      <c r="L84" s="4" t="b">
        <f>AND(((J84 &gt; 0)=TRUE), ((J84 &gt;= K84)=TRUE))</f>
        <v>1</v>
      </c>
      <c r="M84" s="4" t="b">
        <f>J84 = 0</f>
        <v>0</v>
      </c>
      <c r="N84" s="3" t="s">
        <v>13657</v>
      </c>
    </row>
    <row r="85">
      <c r="A85" s="3" t="s">
        <v>13740</v>
      </c>
      <c r="B85" s="4" t="str">
        <f>G85 &amp; "." &amp; F85</f>
        <v>pko_process_steward.observed_transitions</v>
      </c>
      <c r="C85" s="3" t="s">
        <v>13654</v>
      </c>
      <c r="D85" s="3" t="s">
        <v>9772</v>
      </c>
      <c r="E85" s="3" t="s">
        <v>4398</v>
      </c>
      <c r="F85" s="3" t="s">
        <v>9690</v>
      </c>
      <c r="G85" s="4" t="str">
        <f>_xlfn.IFNA(IF(((INDEX(RoleSchemas!D2:D13, MATCH(C85,RoleSchemas!A2:A13, 0))="")=TRUE),  "",  INDEX(RoleSchemas!D2:D13, MATCH(C85,RoleSchemas!A2:A13, 0))), "")</f>
        <v>pko_process_steward</v>
      </c>
      <c r="H85" s="4" t="str">
        <f>_xlfn.IFNA(IF(((INDEX(RulebookTables!E2:E93, MATCH(E85,RulebookTables!A2:A93, 0))="")=TRUE),  "",  INDEX(RulebookTables!E2:E93, MATCH(E85,RulebookTables!A2:A93, 0))), "")</f>
        <v>vw_observed_transitions</v>
      </c>
      <c r="I85" s="4" t="str">
        <f>D85 &amp; "|" &amp; E85</f>
        <v>principal-process-steward|ObservedTransitions</v>
      </c>
      <c r="J85" s="4">
        <f>COUNTIFS(FieldGrants!M2:M3640, I85)</f>
        <v>8</v>
      </c>
      <c r="K85" s="4">
        <f>_xlfn.IFNA(IF(((INDEX(RulebookTables!H2:H93, MATCH(E85,RulebookTables!A2:A93, 0))="")=TRUE),  "",  INDEX(RulebookTables!H2:H93, MATCH(E85,RulebookTables!A2:A93, 0))), "")</f>
        <v>8</v>
      </c>
      <c r="L85" s="4" t="b">
        <f>AND(((J85 &gt; 0)=TRUE), ((J85 &gt;= K85)=TRUE))</f>
        <v>1</v>
      </c>
      <c r="M85" s="4" t="b">
        <f>J85 = 0</f>
        <v>0</v>
      </c>
      <c r="N85" s="3" t="s">
        <v>13657</v>
      </c>
    </row>
    <row r="86">
      <c r="A86" s="3" t="s">
        <v>13741</v>
      </c>
      <c r="B86" s="4" t="str">
        <f>G86 &amp; "." &amp; F86</f>
        <v>pko_process_steward.ontology_profiles</v>
      </c>
      <c r="C86" s="3" t="s">
        <v>13654</v>
      </c>
      <c r="D86" s="3" t="s">
        <v>9772</v>
      </c>
      <c r="E86" s="3" t="s">
        <v>2434</v>
      </c>
      <c r="F86" s="3" t="s">
        <v>9691</v>
      </c>
      <c r="G86" s="4" t="str">
        <f>_xlfn.IFNA(IF(((INDEX(RoleSchemas!D2:D13, MATCH(C86,RoleSchemas!A2:A13, 0))="")=TRUE),  "",  INDEX(RoleSchemas!D2:D13, MATCH(C86,RoleSchemas!A2:A13, 0))), "")</f>
        <v>pko_process_steward</v>
      </c>
      <c r="H86" s="4" t="str">
        <f>_xlfn.IFNA(IF(((INDEX(RulebookTables!E2:E93, MATCH(E86,RulebookTables!A2:A93, 0))="")=TRUE),  "",  INDEX(RulebookTables!E2:E93, MATCH(E86,RulebookTables!A2:A93, 0))), "")</f>
        <v>vw_ontology_profiles</v>
      </c>
      <c r="I86" s="4" t="str">
        <f>D86 &amp; "|" &amp; E86</f>
        <v>principal-process-steward|OntologyProfiles</v>
      </c>
      <c r="J86" s="4">
        <f>COUNTIFS(FieldGrants!M2:M3640, I86)</f>
        <v>8</v>
      </c>
      <c r="K86" s="4">
        <f>_xlfn.IFNA(IF(((INDEX(RulebookTables!H2:H93, MATCH(E86,RulebookTables!A2:A93, 0))="")=TRUE),  "",  INDEX(RulebookTables!H2:H93, MATCH(E86,RulebookTables!A2:A93, 0))), "")</f>
        <v>8</v>
      </c>
      <c r="L86" s="4" t="b">
        <f>AND(((J86 &gt; 0)=TRUE), ((J86 &gt;= K86)=TRUE))</f>
        <v>1</v>
      </c>
      <c r="M86" s="4" t="b">
        <f>J86 = 0</f>
        <v>0</v>
      </c>
      <c r="N86" s="3" t="s">
        <v>13657</v>
      </c>
    </row>
    <row r="87">
      <c r="A87" s="3" t="s">
        <v>13742</v>
      </c>
      <c r="B87" s="4" t="str">
        <f>G87 &amp; "." &amp; F87</f>
        <v>pko_process_steward.operational_bindings</v>
      </c>
      <c r="C87" s="3" t="s">
        <v>13654</v>
      </c>
      <c r="D87" s="3" t="s">
        <v>9772</v>
      </c>
      <c r="E87" s="3" t="s">
        <v>1862</v>
      </c>
      <c r="F87" s="3" t="s">
        <v>9692</v>
      </c>
      <c r="G87" s="4" t="str">
        <f>_xlfn.IFNA(IF(((INDEX(RoleSchemas!D2:D13, MATCH(C87,RoleSchemas!A2:A13, 0))="")=TRUE),  "",  INDEX(RoleSchemas!D2:D13, MATCH(C87,RoleSchemas!A2:A13, 0))), "")</f>
        <v>pko_process_steward</v>
      </c>
      <c r="H87" s="4" t="str">
        <f>_xlfn.IFNA(IF(((INDEX(RulebookTables!E2:E93, MATCH(E87,RulebookTables!A2:A93, 0))="")=TRUE),  "",  INDEX(RulebookTables!E2:E93, MATCH(E87,RulebookTables!A2:A93, 0))), "")</f>
        <v>vw_operational_bindings</v>
      </c>
      <c r="I87" s="4" t="str">
        <f>D87 &amp; "|" &amp; E87</f>
        <v>principal-process-steward|OperationalBindings</v>
      </c>
      <c r="J87" s="4">
        <f>COUNTIFS(FieldGrants!M2:M3640, I87)</f>
        <v>22</v>
      </c>
      <c r="K87" s="4">
        <f>_xlfn.IFNA(IF(((INDEX(RulebookTables!H2:H93, MATCH(E87,RulebookTables!A2:A93, 0))="")=TRUE),  "",  INDEX(RulebookTables!H2:H93, MATCH(E87,RulebookTables!A2:A93, 0))), "")</f>
        <v>22</v>
      </c>
      <c r="L87" s="4" t="b">
        <f>AND(((J87 &gt; 0)=TRUE), ((J87 &gt;= K87)=TRUE))</f>
        <v>1</v>
      </c>
      <c r="M87" s="4" t="b">
        <f>J87 = 0</f>
        <v>0</v>
      </c>
      <c r="N87" s="3" t="s">
        <v>13657</v>
      </c>
    </row>
    <row r="88">
      <c r="A88" s="3" t="s">
        <v>13743</v>
      </c>
      <c r="B88" s="4" t="str">
        <f>G88 &amp; "." &amp; F88</f>
        <v>pko_process_steward.organizations</v>
      </c>
      <c r="C88" s="3" t="s">
        <v>13654</v>
      </c>
      <c r="D88" s="3" t="s">
        <v>9772</v>
      </c>
      <c r="E88" s="3" t="s">
        <v>2453</v>
      </c>
      <c r="F88" s="3" t="s">
        <v>9693</v>
      </c>
      <c r="G88" s="4" t="str">
        <f>_xlfn.IFNA(IF(((INDEX(RoleSchemas!D2:D13, MATCH(C88,RoleSchemas!A2:A13, 0))="")=TRUE),  "",  INDEX(RoleSchemas!D2:D13, MATCH(C88,RoleSchemas!A2:A13, 0))), "")</f>
        <v>pko_process_steward</v>
      </c>
      <c r="H88" s="4" t="str">
        <f>_xlfn.IFNA(IF(((INDEX(RulebookTables!E2:E93, MATCH(E88,RulebookTables!A2:A93, 0))="")=TRUE),  "",  INDEX(RulebookTables!E2:E93, MATCH(E88,RulebookTables!A2:A93, 0))), "")</f>
        <v>vw_organizations</v>
      </c>
      <c r="I88" s="4" t="str">
        <f>D88 &amp; "|" &amp; E88</f>
        <v>principal-process-steward|Organizations</v>
      </c>
      <c r="J88" s="4">
        <f>COUNTIFS(FieldGrants!M2:M3640, I88)</f>
        <v>6</v>
      </c>
      <c r="K88" s="4">
        <f>_xlfn.IFNA(IF(((INDEX(RulebookTables!H2:H93, MATCH(E88,RulebookTables!A2:A93, 0))="")=TRUE),  "",  INDEX(RulebookTables!H2:H93, MATCH(E88,RulebookTables!A2:A93, 0))), "")</f>
        <v>6</v>
      </c>
      <c r="L88" s="4" t="b">
        <f>AND(((J88 &gt; 0)=TRUE), ((J88 &gt;= K88)=TRUE))</f>
        <v>1</v>
      </c>
      <c r="M88" s="4" t="b">
        <f>J88 = 0</f>
        <v>0</v>
      </c>
      <c r="N88" s="3" t="s">
        <v>13657</v>
      </c>
    </row>
    <row r="89">
      <c r="A89" s="3" t="s">
        <v>13744</v>
      </c>
      <c r="B89" s="4" t="str">
        <f>G89 &amp; "." &amp; F89</f>
        <v>pko_process_steward.procedure_executions</v>
      </c>
      <c r="C89" s="3" t="s">
        <v>13654</v>
      </c>
      <c r="D89" s="3" t="s">
        <v>9772</v>
      </c>
      <c r="E89" s="3" t="s">
        <v>1824</v>
      </c>
      <c r="F89" s="3" t="s">
        <v>9694</v>
      </c>
      <c r="G89" s="4" t="str">
        <f>_xlfn.IFNA(IF(((INDEX(RoleSchemas!D2:D13, MATCH(C89,RoleSchemas!A2:A13, 0))="")=TRUE),  "",  INDEX(RoleSchemas!D2:D13, MATCH(C89,RoleSchemas!A2:A13, 0))), "")</f>
        <v>pko_process_steward</v>
      </c>
      <c r="H89" s="4" t="str">
        <f>_xlfn.IFNA(IF(((INDEX(RulebookTables!E2:E93, MATCH(E89,RulebookTables!A2:A93, 0))="")=TRUE),  "",  INDEX(RulebookTables!E2:E93, MATCH(E89,RulebookTables!A2:A93, 0))), "")</f>
        <v>vw_procedure_executions</v>
      </c>
      <c r="I89" s="4" t="str">
        <f>D89 &amp; "|" &amp; E89</f>
        <v>principal-process-steward|ProcedureExecutions</v>
      </c>
      <c r="J89" s="4">
        <f>COUNTIFS(FieldGrants!M2:M3640, I89)</f>
        <v>78</v>
      </c>
      <c r="K89" s="4">
        <f>_xlfn.IFNA(IF(((INDEX(RulebookTables!H2:H93, MATCH(E89,RulebookTables!A2:A93, 0))="")=TRUE),  "",  INDEX(RulebookTables!H2:H93, MATCH(E89,RulebookTables!A2:A93, 0))), "")</f>
        <v>78</v>
      </c>
      <c r="L89" s="4" t="b">
        <f>AND(((J89 &gt; 0)=TRUE), ((J89 &gt;= K89)=TRUE))</f>
        <v>1</v>
      </c>
      <c r="M89" s="4" t="b">
        <f>J89 = 0</f>
        <v>0</v>
      </c>
      <c r="N89" s="3" t="s">
        <v>13657</v>
      </c>
    </row>
    <row r="90">
      <c r="A90" s="3" t="s">
        <v>13745</v>
      </c>
      <c r="B90" s="4" t="str">
        <f>G90 &amp; "." &amp; F90</f>
        <v>pko_process_steward.procedure_resources</v>
      </c>
      <c r="C90" s="3" t="s">
        <v>13654</v>
      </c>
      <c r="D90" s="3" t="s">
        <v>9772</v>
      </c>
      <c r="E90" s="3" t="s">
        <v>3187</v>
      </c>
      <c r="F90" s="3" t="s">
        <v>9695</v>
      </c>
      <c r="G90" s="4" t="str">
        <f>_xlfn.IFNA(IF(((INDEX(RoleSchemas!D2:D13, MATCH(C90,RoleSchemas!A2:A13, 0))="")=TRUE),  "",  INDEX(RoleSchemas!D2:D13, MATCH(C90,RoleSchemas!A2:A13, 0))), "")</f>
        <v>pko_process_steward</v>
      </c>
      <c r="H90" s="4" t="str">
        <f>_xlfn.IFNA(IF(((INDEX(RulebookTables!E2:E93, MATCH(E90,RulebookTables!A2:A93, 0))="")=TRUE),  "",  INDEX(RulebookTables!E2:E93, MATCH(E90,RulebookTables!A2:A93, 0))), "")</f>
        <v>vw_procedure_resources</v>
      </c>
      <c r="I90" s="4" t="str">
        <f>D90 &amp; "|" &amp; E90</f>
        <v>principal-process-steward|ProcedureResources</v>
      </c>
      <c r="J90" s="4">
        <f>COUNTIFS(FieldGrants!M2:M3640, I90)</f>
        <v>6</v>
      </c>
      <c r="K90" s="4">
        <f>_xlfn.IFNA(IF(((INDEX(RulebookTables!H2:H93, MATCH(E90,RulebookTables!A2:A93, 0))="")=TRUE),  "",  INDEX(RulebookTables!H2:H93, MATCH(E90,RulebookTables!A2:A93, 0))), "")</f>
        <v>6</v>
      </c>
      <c r="L90" s="4" t="b">
        <f>AND(((J90 &gt; 0)=TRUE), ((J90 &gt;= K90)=TRUE))</f>
        <v>1</v>
      </c>
      <c r="M90" s="4" t="b">
        <f>J90 = 0</f>
        <v>0</v>
      </c>
      <c r="N90" s="3" t="s">
        <v>13657</v>
      </c>
    </row>
    <row r="91">
      <c r="A91" s="3" t="s">
        <v>13746</v>
      </c>
      <c r="B91" s="4" t="str">
        <f>G91 &amp; "." &amp; F91</f>
        <v>pko_process_steward.procedure_status_changes</v>
      </c>
      <c r="C91" s="3" t="s">
        <v>13654</v>
      </c>
      <c r="D91" s="3" t="s">
        <v>9772</v>
      </c>
      <c r="E91" s="3" t="s">
        <v>1775</v>
      </c>
      <c r="F91" s="3" t="s">
        <v>9696</v>
      </c>
      <c r="G91" s="4" t="str">
        <f>_xlfn.IFNA(IF(((INDEX(RoleSchemas!D2:D13, MATCH(C91,RoleSchemas!A2:A13, 0))="")=TRUE),  "",  INDEX(RoleSchemas!D2:D13, MATCH(C91,RoleSchemas!A2:A13, 0))), "")</f>
        <v>pko_process_steward</v>
      </c>
      <c r="H91" s="4" t="str">
        <f>_xlfn.IFNA(IF(((INDEX(RulebookTables!E2:E93, MATCH(E91,RulebookTables!A2:A93, 0))="")=TRUE),  "",  INDEX(RulebookTables!E2:E93, MATCH(E91,RulebookTables!A2:A93, 0))), "")</f>
        <v>vw_procedure_status_changes</v>
      </c>
      <c r="I91" s="4" t="str">
        <f>D91 &amp; "|" &amp; E91</f>
        <v>principal-process-steward|ProcedureStatusChanges</v>
      </c>
      <c r="J91" s="4">
        <f>COUNTIFS(FieldGrants!M2:M3640, I91)</f>
        <v>9</v>
      </c>
      <c r="K91" s="4">
        <f>_xlfn.IFNA(IF(((INDEX(RulebookTables!H2:H93, MATCH(E91,RulebookTables!A2:A93, 0))="")=TRUE),  "",  INDEX(RulebookTables!H2:H93, MATCH(E91,RulebookTables!A2:A93, 0))), "")</f>
        <v>9</v>
      </c>
      <c r="L91" s="4" t="b">
        <f>AND(((J91 &gt; 0)=TRUE), ((J91 &gt;= K91)=TRUE))</f>
        <v>1</v>
      </c>
      <c r="M91" s="4" t="b">
        <f>J91 = 0</f>
        <v>0</v>
      </c>
      <c r="N91" s="3" t="s">
        <v>13657</v>
      </c>
    </row>
    <row r="92">
      <c r="A92" s="3" t="s">
        <v>13747</v>
      </c>
      <c r="B92" s="4" t="str">
        <f>G92 &amp; "." &amp; F92</f>
        <v>pko_process_steward.procedure_types</v>
      </c>
      <c r="C92" s="3" t="s">
        <v>13654</v>
      </c>
      <c r="D92" s="3" t="s">
        <v>9772</v>
      </c>
      <c r="E92" s="3" t="s">
        <v>2676</v>
      </c>
      <c r="F92" s="3" t="s">
        <v>9697</v>
      </c>
      <c r="G92" s="4" t="str">
        <f>_xlfn.IFNA(IF(((INDEX(RoleSchemas!D2:D13, MATCH(C92,RoleSchemas!A2:A13, 0))="")=TRUE),  "",  INDEX(RoleSchemas!D2:D13, MATCH(C92,RoleSchemas!A2:A13, 0))), "")</f>
        <v>pko_process_steward</v>
      </c>
      <c r="H92" s="4" t="str">
        <f>_xlfn.IFNA(IF(((INDEX(RulebookTables!E2:E93, MATCH(E92,RulebookTables!A2:A93, 0))="")=TRUE),  "",  INDEX(RulebookTables!E2:E93, MATCH(E92,RulebookTables!A2:A93, 0))), "")</f>
        <v>vw_procedure_types</v>
      </c>
      <c r="I92" s="4" t="str">
        <f>D92 &amp; "|" &amp; E92</f>
        <v>principal-process-steward|ProcedureTypes</v>
      </c>
      <c r="J92" s="4">
        <f>COUNTIFS(FieldGrants!M2:M3640, I92)</f>
        <v>5</v>
      </c>
      <c r="K92" s="4">
        <f>_xlfn.IFNA(IF(((INDEX(RulebookTables!H2:H93, MATCH(E92,RulebookTables!A2:A93, 0))="")=TRUE),  "",  INDEX(RulebookTables!H2:H93, MATCH(E92,RulebookTables!A2:A93, 0))), "")</f>
        <v>5</v>
      </c>
      <c r="L92" s="4" t="b">
        <f>AND(((J92 &gt; 0)=TRUE), ((J92 &gt;= K92)=TRUE))</f>
        <v>1</v>
      </c>
      <c r="M92" s="4" t="b">
        <f>J92 = 0</f>
        <v>0</v>
      </c>
      <c r="N92" s="3" t="s">
        <v>13657</v>
      </c>
    </row>
    <row r="93">
      <c r="A93" s="3" t="s">
        <v>13748</v>
      </c>
      <c r="B93" s="4" t="str">
        <f>G93 &amp; "." &amp; F93</f>
        <v>pko_process_steward.procedure_version_links</v>
      </c>
      <c r="C93" s="3" t="s">
        <v>13654</v>
      </c>
      <c r="D93" s="3" t="s">
        <v>9772</v>
      </c>
      <c r="E93" s="3" t="s">
        <v>2851</v>
      </c>
      <c r="F93" s="3" t="s">
        <v>9698</v>
      </c>
      <c r="G93" s="4" t="str">
        <f>_xlfn.IFNA(IF(((INDEX(RoleSchemas!D2:D13, MATCH(C93,RoleSchemas!A2:A13, 0))="")=TRUE),  "",  INDEX(RoleSchemas!D2:D13, MATCH(C93,RoleSchemas!A2:A13, 0))), "")</f>
        <v>pko_process_steward</v>
      </c>
      <c r="H93" s="4" t="str">
        <f>_xlfn.IFNA(IF(((INDEX(RulebookTables!E2:E93, MATCH(E93,RulebookTables!A2:A93, 0))="")=TRUE),  "",  INDEX(RulebookTables!E2:E93, MATCH(E93,RulebookTables!A2:A93, 0))), "")</f>
        <v>vw_procedure_version_links</v>
      </c>
      <c r="I93" s="4" t="str">
        <f>D93 &amp; "|" &amp; E93</f>
        <v>principal-process-steward|ProcedureVersionLinks</v>
      </c>
      <c r="J93" s="4">
        <f>COUNTIFS(FieldGrants!M2:M3640, I93)</f>
        <v>7</v>
      </c>
      <c r="K93" s="4">
        <f>_xlfn.IFNA(IF(((INDEX(RulebookTables!H2:H93, MATCH(E93,RulebookTables!A2:A93, 0))="")=TRUE),  "",  INDEX(RulebookTables!H2:H93, MATCH(E93,RulebookTables!A2:A93, 0))), "")</f>
        <v>7</v>
      </c>
      <c r="L93" s="4" t="b">
        <f>AND(((J93 &gt; 0)=TRUE), ((J93 &gt;= K93)=TRUE))</f>
        <v>1</v>
      </c>
      <c r="M93" s="4" t="b">
        <f>J93 = 0</f>
        <v>0</v>
      </c>
      <c r="N93" s="3" t="s">
        <v>13657</v>
      </c>
    </row>
    <row r="94">
      <c r="A94" s="3" t="s">
        <v>13749</v>
      </c>
      <c r="B94" s="4" t="str">
        <f>G94 &amp; "." &amp; F94</f>
        <v>pko_process_steward.procedure_versions</v>
      </c>
      <c r="C94" s="3" t="s">
        <v>13654</v>
      </c>
      <c r="D94" s="3" t="s">
        <v>9772</v>
      </c>
      <c r="E94" s="3" t="s">
        <v>1767</v>
      </c>
      <c r="F94" s="3" t="s">
        <v>9699</v>
      </c>
      <c r="G94" s="4" t="str">
        <f>_xlfn.IFNA(IF(((INDEX(RoleSchemas!D2:D13, MATCH(C94,RoleSchemas!A2:A13, 0))="")=TRUE),  "",  INDEX(RoleSchemas!D2:D13, MATCH(C94,RoleSchemas!A2:A13, 0))), "")</f>
        <v>pko_process_steward</v>
      </c>
      <c r="H94" s="4" t="str">
        <f>_xlfn.IFNA(IF(((INDEX(RulebookTables!E2:E93, MATCH(E94,RulebookTables!A2:A93, 0))="")=TRUE),  "",  INDEX(RulebookTables!E2:E93, MATCH(E94,RulebookTables!A2:A93, 0))), "")</f>
        <v>vw_procedure_versions</v>
      </c>
      <c r="I94" s="4" t="str">
        <f>D94 &amp; "|" &amp; E94</f>
        <v>principal-process-steward|ProcedureVersions</v>
      </c>
      <c r="J94" s="4">
        <f>COUNTIFS(FieldGrants!M2:M3640, I94)</f>
        <v>86</v>
      </c>
      <c r="K94" s="4">
        <f>_xlfn.IFNA(IF(((INDEX(RulebookTables!H2:H93, MATCH(E94,RulebookTables!A2:A93, 0))="")=TRUE),  "",  INDEX(RulebookTables!H2:H93, MATCH(E94,RulebookTables!A2:A93, 0))), "")</f>
        <v>87</v>
      </c>
      <c r="L94" s="4" t="b">
        <f>AND(((J94 &gt; 0)=TRUE), ((J94 &gt;= K94)=TRUE))</f>
        <v>0</v>
      </c>
      <c r="M94" s="4" t="b">
        <f>J94 = 0</f>
        <v>0</v>
      </c>
      <c r="N94" s="3" t="s">
        <v>13657</v>
      </c>
    </row>
    <row r="95">
      <c r="A95" s="3" t="s">
        <v>13750</v>
      </c>
      <c r="B95" s="4" t="str">
        <f>G95 &amp; "." &amp; F95</f>
        <v>pko_process_steward.procedures</v>
      </c>
      <c r="C95" s="3" t="s">
        <v>13654</v>
      </c>
      <c r="D95" s="3" t="s">
        <v>9772</v>
      </c>
      <c r="E95" s="3" t="s">
        <v>1762</v>
      </c>
      <c r="F95" s="3" t="s">
        <v>9700</v>
      </c>
      <c r="G95" s="4" t="str">
        <f>_xlfn.IFNA(IF(((INDEX(RoleSchemas!D2:D13, MATCH(C95,RoleSchemas!A2:A13, 0))="")=TRUE),  "",  INDEX(RoleSchemas!D2:D13, MATCH(C95,RoleSchemas!A2:A13, 0))), "")</f>
        <v>pko_process_steward</v>
      </c>
      <c r="H95" s="4" t="str">
        <f>_xlfn.IFNA(IF(((INDEX(RulebookTables!E2:E93, MATCH(E95,RulebookTables!A2:A93, 0))="")=TRUE),  "",  INDEX(RulebookTables!E2:E93, MATCH(E95,RulebookTables!A2:A93, 0))), "")</f>
        <v>vw_procedures</v>
      </c>
      <c r="I95" s="4" t="str">
        <f>D95 &amp; "|" &amp; E95</f>
        <v>principal-process-steward|Procedures</v>
      </c>
      <c r="J95" s="4">
        <f>COUNTIFS(FieldGrants!M2:M3640, I95)</f>
        <v>11</v>
      </c>
      <c r="K95" s="4">
        <f>_xlfn.IFNA(IF(((INDEX(RulebookTables!H2:H93, MATCH(E95,RulebookTables!A2:A93, 0))="")=TRUE),  "",  INDEX(RulebookTables!H2:H93, MATCH(E95,RulebookTables!A2:A93, 0))), "")</f>
        <v>11</v>
      </c>
      <c r="L95" s="4" t="b">
        <f>AND(((J95 &gt; 0)=TRUE), ((J95 &gt;= K95)=TRUE))</f>
        <v>1</v>
      </c>
      <c r="M95" s="4" t="b">
        <f>J95 = 0</f>
        <v>0</v>
      </c>
      <c r="N95" s="3" t="s">
        <v>13657</v>
      </c>
    </row>
    <row r="96">
      <c r="A96" s="3" t="s">
        <v>13751</v>
      </c>
      <c r="B96" s="4" t="str">
        <f>G96 &amp; "." &amp; F96</f>
        <v>pko_process_steward.rationales</v>
      </c>
      <c r="C96" s="3" t="s">
        <v>13654</v>
      </c>
      <c r="D96" s="3" t="s">
        <v>9772</v>
      </c>
      <c r="E96" s="3" t="s">
        <v>3151</v>
      </c>
      <c r="F96" s="3" t="s">
        <v>9701</v>
      </c>
      <c r="G96" s="4" t="str">
        <f>_xlfn.IFNA(IF(((INDEX(RoleSchemas!D2:D13, MATCH(C96,RoleSchemas!A2:A13, 0))="")=TRUE),  "",  INDEX(RoleSchemas!D2:D13, MATCH(C96,RoleSchemas!A2:A13, 0))), "")</f>
        <v>pko_process_steward</v>
      </c>
      <c r="H96" s="4" t="str">
        <f>_xlfn.IFNA(IF(((INDEX(RulebookTables!E2:E93, MATCH(E96,RulebookTables!A2:A93, 0))="")=TRUE),  "",  INDEX(RulebookTables!E2:E93, MATCH(E96,RulebookTables!A2:A93, 0))), "")</f>
        <v>vw_rationales</v>
      </c>
      <c r="I96" s="4" t="str">
        <f>D96 &amp; "|" &amp; E96</f>
        <v>principal-process-steward|Rationales</v>
      </c>
      <c r="J96" s="4">
        <f>COUNTIFS(FieldGrants!M2:M3640, I96)</f>
        <v>9</v>
      </c>
      <c r="K96" s="4">
        <f>_xlfn.IFNA(IF(((INDEX(RulebookTables!H2:H93, MATCH(E96,RulebookTables!A2:A93, 0))="")=TRUE),  "",  INDEX(RulebookTables!H2:H93, MATCH(E96,RulebookTables!A2:A93, 0))), "")</f>
        <v>9</v>
      </c>
      <c r="L96" s="4" t="b">
        <f>AND(((J96 &gt; 0)=TRUE), ((J96 &gt;= K96)=TRUE))</f>
        <v>1</v>
      </c>
      <c r="M96" s="4" t="b">
        <f>J96 = 0</f>
        <v>0</v>
      </c>
      <c r="N96" s="3" t="s">
        <v>13657</v>
      </c>
    </row>
    <row r="97">
      <c r="A97" s="3" t="s">
        <v>13752</v>
      </c>
      <c r="B97" s="4" t="str">
        <f>G97 &amp; "." &amp; F97</f>
        <v>pko_process_steward.recipients</v>
      </c>
      <c r="C97" s="3" t="s">
        <v>13654</v>
      </c>
      <c r="D97" s="3" t="s">
        <v>9772</v>
      </c>
      <c r="E97" s="3" t="s">
        <v>4412</v>
      </c>
      <c r="F97" s="3" t="s">
        <v>9702</v>
      </c>
      <c r="G97" s="4" t="str">
        <f>_xlfn.IFNA(IF(((INDEX(RoleSchemas!D2:D13, MATCH(C97,RoleSchemas!A2:A13, 0))="")=TRUE),  "",  INDEX(RoleSchemas!D2:D13, MATCH(C97,RoleSchemas!A2:A13, 0))), "")</f>
        <v>pko_process_steward</v>
      </c>
      <c r="H97" s="4" t="str">
        <f>_xlfn.IFNA(IF(((INDEX(RulebookTables!E2:E93, MATCH(E97,RulebookTables!A2:A93, 0))="")=TRUE),  "",  INDEX(RulebookTables!E2:E93, MATCH(E97,RulebookTables!A2:A93, 0))), "")</f>
        <v>vw_recipients</v>
      </c>
      <c r="I97" s="4" t="str">
        <f>D97 &amp; "|" &amp; E97</f>
        <v>principal-process-steward|Recipients</v>
      </c>
      <c r="J97" s="4">
        <f>COUNTIFS(FieldGrants!M2:M3640, I97)</f>
        <v>15</v>
      </c>
      <c r="K97" s="4">
        <f>_xlfn.IFNA(IF(((INDEX(RulebookTables!H2:H93, MATCH(E97,RulebookTables!A2:A93, 0))="")=TRUE),  "",  INDEX(RulebookTables!H2:H93, MATCH(E97,RulebookTables!A2:A93, 0))), "")</f>
        <v>15</v>
      </c>
      <c r="L97" s="4" t="b">
        <f>AND(((J97 &gt; 0)=TRUE), ((J97 &gt;= K97)=TRUE))</f>
        <v>1</v>
      </c>
      <c r="M97" s="4" t="b">
        <f>J97 = 0</f>
        <v>0</v>
      </c>
      <c r="N97" s="3" t="s">
        <v>13657</v>
      </c>
    </row>
    <row r="98">
      <c r="A98" s="3" t="s">
        <v>13753</v>
      </c>
      <c r="B98" s="4" t="str">
        <f>G98 &amp; "." &amp; F98</f>
        <v>pko_process_steward.requirement_satisfactions</v>
      </c>
      <c r="C98" s="3" t="s">
        <v>13654</v>
      </c>
      <c r="D98" s="3" t="s">
        <v>9772</v>
      </c>
      <c r="E98" s="3" t="s">
        <v>1830</v>
      </c>
      <c r="F98" s="3" t="s">
        <v>9703</v>
      </c>
      <c r="G98" s="4" t="str">
        <f>_xlfn.IFNA(IF(((INDEX(RoleSchemas!D2:D13, MATCH(C98,RoleSchemas!A2:A13, 0))="")=TRUE),  "",  INDEX(RoleSchemas!D2:D13, MATCH(C98,RoleSchemas!A2:A13, 0))), "")</f>
        <v>pko_process_steward</v>
      </c>
      <c r="H98" s="4" t="str">
        <f>_xlfn.IFNA(IF(((INDEX(RulebookTables!E2:E93, MATCH(E98,RulebookTables!A2:A93, 0))="")=TRUE),  "",  INDEX(RulebookTables!E2:E93, MATCH(E98,RulebookTables!A2:A93, 0))), "")</f>
        <v>vw_requirement_satisfactions</v>
      </c>
      <c r="I98" s="4" t="str">
        <f>D98 &amp; "|" &amp; E98</f>
        <v>principal-process-steward|RequirementSatisfactions</v>
      </c>
      <c r="J98" s="4">
        <f>COUNTIFS(FieldGrants!M2:M3640, I98)</f>
        <v>46</v>
      </c>
      <c r="K98" s="4">
        <f>_xlfn.IFNA(IF(((INDEX(RulebookTables!H2:H93, MATCH(E98,RulebookTables!A2:A93, 0))="")=TRUE),  "",  INDEX(RulebookTables!H2:H93, MATCH(E98,RulebookTables!A2:A93, 0))), "")</f>
        <v>46</v>
      </c>
      <c r="L98" s="4" t="b">
        <f>AND(((J98 &gt; 0)=TRUE), ((J98 &gt;= K98)=TRUE))</f>
        <v>1</v>
      </c>
      <c r="M98" s="4" t="b">
        <f>J98 = 0</f>
        <v>0</v>
      </c>
      <c r="N98" s="3" t="s">
        <v>13657</v>
      </c>
    </row>
    <row r="99">
      <c r="A99" s="3" t="s">
        <v>13754</v>
      </c>
      <c r="B99" s="4" t="str">
        <f>G99 &amp; "." &amp; F99</f>
        <v>pko_process_steward.requirements</v>
      </c>
      <c r="C99" s="3" t="s">
        <v>13654</v>
      </c>
      <c r="D99" s="3" t="s">
        <v>9772</v>
      </c>
      <c r="E99" s="3" t="s">
        <v>1805</v>
      </c>
      <c r="F99" s="3" t="s">
        <v>9704</v>
      </c>
      <c r="G99" s="4" t="str">
        <f>_xlfn.IFNA(IF(((INDEX(RoleSchemas!D2:D13, MATCH(C99,RoleSchemas!A2:A13, 0))="")=TRUE),  "",  INDEX(RoleSchemas!D2:D13, MATCH(C99,RoleSchemas!A2:A13, 0))), "")</f>
        <v>pko_process_steward</v>
      </c>
      <c r="H99" s="4" t="str">
        <f>_xlfn.IFNA(IF(((INDEX(RulebookTables!E2:E93, MATCH(E99,RulebookTables!A2:A93, 0))="")=TRUE),  "",  INDEX(RulebookTables!E2:E93, MATCH(E99,RulebookTables!A2:A93, 0))), "")</f>
        <v>vw_requirements</v>
      </c>
      <c r="I99" s="4" t="str">
        <f>D99 &amp; "|" &amp; E99</f>
        <v>principal-process-steward|Requirements</v>
      </c>
      <c r="J99" s="4">
        <f>COUNTIFS(FieldGrants!M2:M3640, I99)</f>
        <v>43</v>
      </c>
      <c r="K99" s="4">
        <f>_xlfn.IFNA(IF(((INDEX(RulebookTables!H2:H93, MATCH(E99,RulebookTables!A2:A93, 0))="")=TRUE),  "",  INDEX(RulebookTables!H2:H93, MATCH(E99,RulebookTables!A2:A93, 0))), "")</f>
        <v>43</v>
      </c>
      <c r="L99" s="4" t="b">
        <f>AND(((J99 &gt; 0)=TRUE), ((J99 &gt;= K99)=TRUE))</f>
        <v>1</v>
      </c>
      <c r="M99" s="4" t="b">
        <f>J99 = 0</f>
        <v>0</v>
      </c>
      <c r="N99" s="3" t="s">
        <v>13657</v>
      </c>
    </row>
    <row r="100">
      <c r="A100" s="3" t="s">
        <v>13755</v>
      </c>
      <c r="B100" s="4" t="str">
        <f>G100 &amp; "." &amp; F100</f>
        <v>pko_process_steward.resources</v>
      </c>
      <c r="C100" s="3" t="s">
        <v>13654</v>
      </c>
      <c r="D100" s="3" t="s">
        <v>9772</v>
      </c>
      <c r="E100" s="3" t="s">
        <v>1811</v>
      </c>
      <c r="F100" s="3" t="s">
        <v>9705</v>
      </c>
      <c r="G100" s="4" t="str">
        <f>_xlfn.IFNA(IF(((INDEX(RoleSchemas!D2:D13, MATCH(C100,RoleSchemas!A2:A13, 0))="")=TRUE),  "",  INDEX(RoleSchemas!D2:D13, MATCH(C100,RoleSchemas!A2:A13, 0))), "")</f>
        <v>pko_process_steward</v>
      </c>
      <c r="H100" s="4" t="str">
        <f>_xlfn.IFNA(IF(((INDEX(RulebookTables!E2:E93, MATCH(E100,RulebookTables!A2:A93, 0))="")=TRUE),  "",  INDEX(RulebookTables!E2:E93, MATCH(E100,RulebookTables!A2:A93, 0))), "")</f>
        <v>vw_resources</v>
      </c>
      <c r="I100" s="4" t="str">
        <f>D100 &amp; "|" &amp; E100</f>
        <v>principal-process-steward|Resources</v>
      </c>
      <c r="J100" s="4">
        <f>COUNTIFS(FieldGrants!M2:M3640, I100)</f>
        <v>11</v>
      </c>
      <c r="K100" s="4">
        <f>_xlfn.IFNA(IF(((INDEX(RulebookTables!H2:H93, MATCH(E100,RulebookTables!A2:A93, 0))="")=TRUE),  "",  INDEX(RulebookTables!H2:H93, MATCH(E100,RulebookTables!A2:A93, 0))), "")</f>
        <v>11</v>
      </c>
      <c r="L100" s="4" t="b">
        <f>AND(((J100 &gt; 0)=TRUE), ((J100 &gt;= K100)=TRUE))</f>
        <v>1</v>
      </c>
      <c r="M100" s="4" t="b">
        <f>J100 = 0</f>
        <v>0</v>
      </c>
      <c r="N100" s="3" t="s">
        <v>13657</v>
      </c>
    </row>
    <row r="101">
      <c r="A101" s="3" t="s">
        <v>13756</v>
      </c>
      <c r="B101" s="4" t="str">
        <f>G101 &amp; "." &amp; F101</f>
        <v>pko_process_steward.review_events</v>
      </c>
      <c r="C101" s="3" t="s">
        <v>13654</v>
      </c>
      <c r="D101" s="3" t="s">
        <v>9772</v>
      </c>
      <c r="E101" s="3" t="s">
        <v>3988</v>
      </c>
      <c r="F101" s="3" t="s">
        <v>9706</v>
      </c>
      <c r="G101" s="4" t="str">
        <f>_xlfn.IFNA(IF(((INDEX(RoleSchemas!D2:D13, MATCH(C101,RoleSchemas!A2:A13, 0))="")=TRUE),  "",  INDEX(RoleSchemas!D2:D13, MATCH(C101,RoleSchemas!A2:A13, 0))), "")</f>
        <v>pko_process_steward</v>
      </c>
      <c r="H101" s="4" t="str">
        <f>_xlfn.IFNA(IF(((INDEX(RulebookTables!E2:E93, MATCH(E101,RulebookTables!A2:A93, 0))="")=TRUE),  "",  INDEX(RulebookTables!E2:E93, MATCH(E101,RulebookTables!A2:A93, 0))), "")</f>
        <v>vw_review_events</v>
      </c>
      <c r="I101" s="4" t="str">
        <f>D101 &amp; "|" &amp; E101</f>
        <v>principal-process-steward|ReviewEvents</v>
      </c>
      <c r="J101" s="4">
        <f>COUNTIFS(FieldGrants!M2:M3640, I101)</f>
        <v>20</v>
      </c>
      <c r="K101" s="4">
        <f>_xlfn.IFNA(IF(((INDEX(RulebookTables!H2:H93, MATCH(E101,RulebookTables!A2:A93, 0))="")=TRUE),  "",  INDEX(RulebookTables!H2:H93, MATCH(E101,RulebookTables!A2:A93, 0))), "")</f>
        <v>20</v>
      </c>
      <c r="L101" s="4" t="b">
        <f>AND(((J101 &gt; 0)=TRUE), ((J101 &gt;= K101)=TRUE))</f>
        <v>1</v>
      </c>
      <c r="M101" s="4" t="b">
        <f>J101 = 0</f>
        <v>0</v>
      </c>
      <c r="N101" s="3" t="s">
        <v>13657</v>
      </c>
    </row>
    <row r="102">
      <c r="A102" s="3" t="s">
        <v>13757</v>
      </c>
      <c r="B102" s="4" t="str">
        <f>G102 &amp; "." &amp; F102</f>
        <v>pko_process_steward.role_assignments</v>
      </c>
      <c r="C102" s="3" t="s">
        <v>13654</v>
      </c>
      <c r="D102" s="3" t="s">
        <v>9772</v>
      </c>
      <c r="E102" s="3" t="s">
        <v>1821</v>
      </c>
      <c r="F102" s="3" t="s">
        <v>9707</v>
      </c>
      <c r="G102" s="4" t="str">
        <f>_xlfn.IFNA(IF(((INDEX(RoleSchemas!D2:D13, MATCH(C102,RoleSchemas!A2:A13, 0))="")=TRUE),  "",  INDEX(RoleSchemas!D2:D13, MATCH(C102,RoleSchemas!A2:A13, 0))), "")</f>
        <v>pko_process_steward</v>
      </c>
      <c r="H102" s="4" t="str">
        <f>_xlfn.IFNA(IF(((INDEX(RulebookTables!E2:E93, MATCH(E102,RulebookTables!A2:A93, 0))="")=TRUE),  "",  INDEX(RulebookTables!E2:E93, MATCH(E102,RulebookTables!A2:A93, 0))), "")</f>
        <v>vw_role_assignments</v>
      </c>
      <c r="I102" s="4" t="str">
        <f>D102 &amp; "|" &amp; E102</f>
        <v>principal-process-steward|RoleAssignments</v>
      </c>
      <c r="J102" s="4">
        <f>COUNTIFS(FieldGrants!M2:M3640, I102)</f>
        <v>65</v>
      </c>
      <c r="K102" s="4">
        <f>_xlfn.IFNA(IF(((INDEX(RulebookTables!H2:H93, MATCH(E102,RulebookTables!A2:A93, 0))="")=TRUE),  "",  INDEX(RulebookTables!H2:H93, MATCH(E102,RulebookTables!A2:A93, 0))), "")</f>
        <v>65</v>
      </c>
      <c r="L102" s="4" t="b">
        <f>AND(((J102 &gt; 0)=TRUE), ((J102 &gt;= K102)=TRUE))</f>
        <v>1</v>
      </c>
      <c r="M102" s="4" t="b">
        <f>J102 = 0</f>
        <v>0</v>
      </c>
      <c r="N102" s="3" t="s">
        <v>13657</v>
      </c>
    </row>
    <row r="103">
      <c r="A103" s="3" t="s">
        <v>13758</v>
      </c>
      <c r="B103" s="4" t="str">
        <f>G103 &amp; "." &amp; F103</f>
        <v>pko_process_steward.role_questions</v>
      </c>
      <c r="C103" s="3" t="s">
        <v>13654</v>
      </c>
      <c r="D103" s="3" t="s">
        <v>9772</v>
      </c>
      <c r="E103" s="3" t="s">
        <v>4157</v>
      </c>
      <c r="F103" s="3" t="s">
        <v>9708</v>
      </c>
      <c r="G103" s="4" t="str">
        <f>_xlfn.IFNA(IF(((INDEX(RoleSchemas!D2:D13, MATCH(C103,RoleSchemas!A2:A13, 0))="")=TRUE),  "",  INDEX(RoleSchemas!D2:D13, MATCH(C103,RoleSchemas!A2:A13, 0))), "")</f>
        <v>pko_process_steward</v>
      </c>
      <c r="H103" s="4" t="str">
        <f>_xlfn.IFNA(IF(((INDEX(RulebookTables!E2:E93, MATCH(E103,RulebookTables!A2:A93, 0))="")=TRUE),  "",  INDEX(RulebookTables!E2:E93, MATCH(E103,RulebookTables!A2:A93, 0))), "")</f>
        <v>vw_role_questions</v>
      </c>
      <c r="I103" s="4" t="str">
        <f>D103 &amp; "|" &amp; E103</f>
        <v>principal-process-steward|RoleQuestions</v>
      </c>
      <c r="J103" s="4">
        <f>COUNTIFS(FieldGrants!M2:M3640, I103)</f>
        <v>11</v>
      </c>
      <c r="K103" s="4">
        <f>_xlfn.IFNA(IF(((INDEX(RulebookTables!H2:H93, MATCH(E103,RulebookTables!A2:A93, 0))="")=TRUE),  "",  INDEX(RulebookTables!H2:H93, MATCH(E103,RulebookTables!A2:A93, 0))), "")</f>
        <v>11</v>
      </c>
      <c r="L103" s="4" t="b">
        <f>AND(((J103 &gt; 0)=TRUE), ((J103 &gt;= K103)=TRUE))</f>
        <v>1</v>
      </c>
      <c r="M103" s="4" t="b">
        <f>J103 = 0</f>
        <v>0</v>
      </c>
      <c r="N103" s="3" t="s">
        <v>13657</v>
      </c>
    </row>
    <row r="104">
      <c r="A104" s="3" t="s">
        <v>13759</v>
      </c>
      <c r="B104" s="4" t="str">
        <f>G104 &amp; "." &amp; F104</f>
        <v>pko_process_steward.roles</v>
      </c>
      <c r="C104" s="3" t="s">
        <v>13654</v>
      </c>
      <c r="D104" s="3" t="s">
        <v>9772</v>
      </c>
      <c r="E104" s="3" t="s">
        <v>1818</v>
      </c>
      <c r="F104" s="3" t="s">
        <v>9709</v>
      </c>
      <c r="G104" s="4" t="str">
        <f>_xlfn.IFNA(IF(((INDEX(RoleSchemas!D2:D13, MATCH(C104,RoleSchemas!A2:A13, 0))="")=TRUE),  "",  INDEX(RoleSchemas!D2:D13, MATCH(C104,RoleSchemas!A2:A13, 0))), "")</f>
        <v>pko_process_steward</v>
      </c>
      <c r="H104" s="4" t="str">
        <f>_xlfn.IFNA(IF(((INDEX(RulebookTables!E2:E93, MATCH(E104,RulebookTables!A2:A93, 0))="")=TRUE),  "",  INDEX(RulebookTables!E2:E93, MATCH(E104,RulebookTables!A2:A93, 0))), "")</f>
        <v>vw_roles</v>
      </c>
      <c r="I104" s="4" t="str">
        <f>D104 &amp; "|" &amp; E104</f>
        <v>principal-process-steward|Roles</v>
      </c>
      <c r="J104" s="4">
        <f>COUNTIFS(FieldGrants!M2:M3640, I104)</f>
        <v>24</v>
      </c>
      <c r="K104" s="4">
        <f>_xlfn.IFNA(IF(((INDEX(RulebookTables!H2:H93, MATCH(E104,RulebookTables!A2:A93, 0))="")=TRUE),  "",  INDEX(RulebookTables!H2:H93, MATCH(E104,RulebookTables!A2:A93, 0))), "")</f>
        <v>24</v>
      </c>
      <c r="L104" s="4" t="b">
        <f>AND(((J104 &gt; 0)=TRUE), ((J104 &gt;= K104)=TRUE))</f>
        <v>1</v>
      </c>
      <c r="M104" s="4" t="b">
        <f>J104 = 0</f>
        <v>0</v>
      </c>
      <c r="N104" s="3" t="s">
        <v>13657</v>
      </c>
    </row>
    <row r="105">
      <c r="A105" s="3" t="s">
        <v>13760</v>
      </c>
      <c r="B105" s="4" t="str">
        <f>G105 &amp; "." &amp; F105</f>
        <v>pko_process_steward.rulebook_fields</v>
      </c>
      <c r="C105" s="3" t="s">
        <v>13654</v>
      </c>
      <c r="D105" s="3" t="s">
        <v>9772</v>
      </c>
      <c r="E105" s="3" t="s">
        <v>4172</v>
      </c>
      <c r="F105" s="3" t="s">
        <v>9710</v>
      </c>
      <c r="G105" s="4" t="str">
        <f>_xlfn.IFNA(IF(((INDEX(RoleSchemas!D2:D13, MATCH(C105,RoleSchemas!A2:A13, 0))="")=TRUE),  "",  INDEX(RoleSchemas!D2:D13, MATCH(C105,RoleSchemas!A2:A13, 0))), "")</f>
        <v>pko_process_steward</v>
      </c>
      <c r="H105" s="4" t="str">
        <f>_xlfn.IFNA(IF(((INDEX(RulebookTables!E2:E93, MATCH(E105,RulebookTables!A2:A93, 0))="")=TRUE),  "",  INDEX(RulebookTables!E2:E93, MATCH(E105,RulebookTables!A2:A93, 0))), "")</f>
        <v>vw_rulebook_fields</v>
      </c>
      <c r="I105" s="4" t="str">
        <f>D105 &amp; "|" &amp; E105</f>
        <v>principal-process-steward|RulebookFields</v>
      </c>
      <c r="J105" s="4">
        <f>COUNTIFS(FieldGrants!M2:M3640, I105)</f>
        <v>11</v>
      </c>
      <c r="K105" s="4">
        <f>_xlfn.IFNA(IF(((INDEX(RulebookTables!H2:H93, MATCH(E105,RulebookTables!A2:A93, 0))="")=TRUE),  "",  INDEX(RulebookTables!H2:H93, MATCH(E105,RulebookTables!A2:A93, 0))), "")</f>
        <v>13</v>
      </c>
      <c r="L105" s="4" t="b">
        <f>AND(((J105 &gt; 0)=TRUE), ((J105 &gt;= K105)=TRUE))</f>
        <v>0</v>
      </c>
      <c r="M105" s="4" t="b">
        <f>J105 = 0</f>
        <v>0</v>
      </c>
      <c r="N105" s="3" t="s">
        <v>13657</v>
      </c>
    </row>
    <row r="106">
      <c r="A106" s="3" t="s">
        <v>13761</v>
      </c>
      <c r="B106" s="4" t="str">
        <f>G106 &amp; "." &amp; F106</f>
        <v>pko_process_steward.rulebook_releases</v>
      </c>
      <c r="C106" s="3" t="s">
        <v>13654</v>
      </c>
      <c r="D106" s="3" t="s">
        <v>9772</v>
      </c>
      <c r="E106" s="3" t="s">
        <v>2415</v>
      </c>
      <c r="F106" s="3" t="s">
        <v>9711</v>
      </c>
      <c r="G106" s="4" t="str">
        <f>_xlfn.IFNA(IF(((INDEX(RoleSchemas!D2:D13, MATCH(C106,RoleSchemas!A2:A13, 0))="")=TRUE),  "",  INDEX(RoleSchemas!D2:D13, MATCH(C106,RoleSchemas!A2:A13, 0))), "")</f>
        <v>pko_process_steward</v>
      </c>
      <c r="H106" s="4" t="str">
        <f>_xlfn.IFNA(IF(((INDEX(RulebookTables!E2:E93, MATCH(E106,RulebookTables!A2:A93, 0))="")=TRUE),  "",  INDEX(RulebookTables!E2:E93, MATCH(E106,RulebookTables!A2:A93, 0))), "")</f>
        <v>vw_rulebook_releases</v>
      </c>
      <c r="I106" s="4" t="str">
        <f>D106 &amp; "|" &amp; E106</f>
        <v>principal-process-steward|RulebookReleases</v>
      </c>
      <c r="J106" s="4">
        <f>COUNTIFS(FieldGrants!M2:M3640, I106)</f>
        <v>11</v>
      </c>
      <c r="K106" s="4">
        <f>_xlfn.IFNA(IF(((INDEX(RulebookTables!H2:H93, MATCH(E106,RulebookTables!A2:A93, 0))="")=TRUE),  "",  INDEX(RulebookTables!H2:H93, MATCH(E106,RulebookTables!A2:A93, 0))), "")</f>
        <v>11</v>
      </c>
      <c r="L106" s="4" t="b">
        <f>AND(((J106 &gt; 0)=TRUE), ((J106 &gt;= K106)=TRUE))</f>
        <v>1</v>
      </c>
      <c r="M106" s="4" t="b">
        <f>J106 = 0</f>
        <v>0</v>
      </c>
      <c r="N106" s="3" t="s">
        <v>13657</v>
      </c>
    </row>
    <row r="107">
      <c r="A107" s="3" t="s">
        <v>13762</v>
      </c>
      <c r="B107" s="4" t="str">
        <f>G107 &amp; "." &amp; F107</f>
        <v>pko_process_steward.semantic_mappings</v>
      </c>
      <c r="C107" s="3" t="s">
        <v>13654</v>
      </c>
      <c r="D107" s="3" t="s">
        <v>9772</v>
      </c>
      <c r="E107" s="3" t="s">
        <v>4130</v>
      </c>
      <c r="F107" s="3" t="s">
        <v>9712</v>
      </c>
      <c r="G107" s="4" t="str">
        <f>_xlfn.IFNA(IF(((INDEX(RoleSchemas!D2:D13, MATCH(C107,RoleSchemas!A2:A13, 0))="")=TRUE),  "",  INDEX(RoleSchemas!D2:D13, MATCH(C107,RoleSchemas!A2:A13, 0))), "")</f>
        <v>pko_process_steward</v>
      </c>
      <c r="H107" s="4" t="str">
        <f>_xlfn.IFNA(IF(((INDEX(RulebookTables!E2:E93, MATCH(E107,RulebookTables!A2:A93, 0))="")=TRUE),  "",  INDEX(RulebookTables!E2:E93, MATCH(E107,RulebookTables!A2:A93, 0))), "")</f>
        <v>vw_semantic_mappings</v>
      </c>
      <c r="I107" s="4" t="str">
        <f>D107 &amp; "|" &amp; E107</f>
        <v>principal-process-steward|SemanticMappings</v>
      </c>
      <c r="J107" s="4">
        <f>COUNTIFS(FieldGrants!M2:M3640, I107)</f>
        <v>8</v>
      </c>
      <c r="K107" s="4">
        <f>_xlfn.IFNA(IF(((INDEX(RulebookTables!H2:H93, MATCH(E107,RulebookTables!A2:A93, 0))="")=TRUE),  "",  INDEX(RulebookTables!H2:H93, MATCH(E107,RulebookTables!A2:A93, 0))), "")</f>
        <v>8</v>
      </c>
      <c r="L107" s="4" t="b">
        <f>AND(((J107 &gt; 0)=TRUE), ((J107 &gt;= K107)=TRUE))</f>
        <v>1</v>
      </c>
      <c r="M107" s="4" t="b">
        <f>J107 = 0</f>
        <v>0</v>
      </c>
      <c r="N107" s="3" t="s">
        <v>13657</v>
      </c>
    </row>
    <row r="108">
      <c r="A108" s="3" t="s">
        <v>13763</v>
      </c>
      <c r="B108" s="4" t="str">
        <f>G108 &amp; "." &amp; F108</f>
        <v>pko_process_steward.send_intents</v>
      </c>
      <c r="C108" s="3" t="s">
        <v>13654</v>
      </c>
      <c r="D108" s="3" t="s">
        <v>9772</v>
      </c>
      <c r="E108" s="3" t="s">
        <v>4728</v>
      </c>
      <c r="F108" s="3" t="s">
        <v>9713</v>
      </c>
      <c r="G108" s="4" t="str">
        <f>_xlfn.IFNA(IF(((INDEX(RoleSchemas!D2:D13, MATCH(C108,RoleSchemas!A2:A13, 0))="")=TRUE),  "",  INDEX(RoleSchemas!D2:D13, MATCH(C108,RoleSchemas!A2:A13, 0))), "")</f>
        <v>pko_process_steward</v>
      </c>
      <c r="H108" s="4" t="str">
        <f>_xlfn.IFNA(IF(((INDEX(RulebookTables!E2:E93, MATCH(E108,RulebookTables!A2:A93, 0))="")=TRUE),  "",  INDEX(RulebookTables!E2:E93, MATCH(E108,RulebookTables!A2:A93, 0))), "")</f>
        <v>vw_send_intents</v>
      </c>
      <c r="I108" s="4" t="str">
        <f>D108 &amp; "|" &amp; E108</f>
        <v>principal-process-steward|SendIntents</v>
      </c>
      <c r="J108" s="4">
        <f>COUNTIFS(FieldGrants!M2:M3640, I108)</f>
        <v>100</v>
      </c>
      <c r="K108" s="4">
        <f>_xlfn.IFNA(IF(((INDEX(RulebookTables!H2:H93, MATCH(E108,RulebookTables!A2:A93, 0))="")=TRUE),  "",  INDEX(RulebookTables!H2:H93, MATCH(E108,RulebookTables!A2:A93, 0))), "")</f>
        <v>100</v>
      </c>
      <c r="L108" s="4" t="b">
        <f>AND(((J108 &gt; 0)=TRUE), ((J108 &gt;= K108)=TRUE))</f>
        <v>1</v>
      </c>
      <c r="M108" s="4" t="b">
        <f>J108 = 0</f>
        <v>0</v>
      </c>
      <c r="N108" s="3" t="s">
        <v>13657</v>
      </c>
    </row>
    <row r="109">
      <c r="A109" s="3" t="s">
        <v>13764</v>
      </c>
      <c r="B109" s="4" t="str">
        <f>G109 &amp; "." &amp; F109</f>
        <v>pko_process_steward.step_actions</v>
      </c>
      <c r="C109" s="3" t="s">
        <v>13654</v>
      </c>
      <c r="D109" s="3" t="s">
        <v>9772</v>
      </c>
      <c r="E109" s="3" t="s">
        <v>3028</v>
      </c>
      <c r="F109" s="3" t="s">
        <v>9714</v>
      </c>
      <c r="G109" s="4" t="str">
        <f>_xlfn.IFNA(IF(((INDEX(RoleSchemas!D2:D13, MATCH(C109,RoleSchemas!A2:A13, 0))="")=TRUE),  "",  INDEX(RoleSchemas!D2:D13, MATCH(C109,RoleSchemas!A2:A13, 0))), "")</f>
        <v>pko_process_steward</v>
      </c>
      <c r="H109" s="4" t="str">
        <f>_xlfn.IFNA(IF(((INDEX(RulebookTables!E2:E93, MATCH(E109,RulebookTables!A2:A93, 0))="")=TRUE),  "",  INDEX(RulebookTables!E2:E93, MATCH(E109,RulebookTables!A2:A93, 0))), "")</f>
        <v>vw_step_actions</v>
      </c>
      <c r="I109" s="4" t="str">
        <f>D109 &amp; "|" &amp; E109</f>
        <v>principal-process-steward|StepActions</v>
      </c>
      <c r="J109" s="4">
        <f>COUNTIFS(FieldGrants!M2:M3640, I109)</f>
        <v>4</v>
      </c>
      <c r="K109" s="4">
        <f>_xlfn.IFNA(IF(((INDEX(RulebookTables!H2:H93, MATCH(E109,RulebookTables!A2:A93, 0))="")=TRUE),  "",  INDEX(RulebookTables!H2:H93, MATCH(E109,RulebookTables!A2:A93, 0))), "")</f>
        <v>4</v>
      </c>
      <c r="L109" s="4" t="b">
        <f>AND(((J109 &gt; 0)=TRUE), ((J109 &gt;= K109)=TRUE))</f>
        <v>1</v>
      </c>
      <c r="M109" s="4" t="b">
        <f>J109 = 0</f>
        <v>0</v>
      </c>
      <c r="N109" s="3" t="s">
        <v>13657</v>
      </c>
    </row>
    <row r="110">
      <c r="A110" s="3" t="s">
        <v>13765</v>
      </c>
      <c r="B110" s="4" t="str">
        <f>G110 &amp; "." &amp; F110</f>
        <v>pko_process_steward.step_executions</v>
      </c>
      <c r="C110" s="3" t="s">
        <v>13654</v>
      </c>
      <c r="D110" s="3" t="s">
        <v>9772</v>
      </c>
      <c r="E110" s="3" t="s">
        <v>1827</v>
      </c>
      <c r="F110" s="3" t="s">
        <v>9715</v>
      </c>
      <c r="G110" s="4" t="str">
        <f>_xlfn.IFNA(IF(((INDEX(RoleSchemas!D2:D13, MATCH(C110,RoleSchemas!A2:A13, 0))="")=TRUE),  "",  INDEX(RoleSchemas!D2:D13, MATCH(C110,RoleSchemas!A2:A13, 0))), "")</f>
        <v>pko_process_steward</v>
      </c>
      <c r="H110" s="4" t="str">
        <f>_xlfn.IFNA(IF(((INDEX(RulebookTables!E2:E93, MATCH(E110,RulebookTables!A2:A93, 0))="")=TRUE),  "",  INDEX(RulebookTables!E2:E93, MATCH(E110,RulebookTables!A2:A93, 0))), "")</f>
        <v>vw_step_executions</v>
      </c>
      <c r="I110" s="4" t="str">
        <f>D110 &amp; "|" &amp; E110</f>
        <v>principal-process-steward|StepExecutions</v>
      </c>
      <c r="J110" s="4">
        <f>COUNTIFS(FieldGrants!M2:M3640, I110)</f>
        <v>109</v>
      </c>
      <c r="K110" s="4">
        <f>_xlfn.IFNA(IF(((INDEX(RulebookTables!H2:H93, MATCH(E110,RulebookTables!A2:A93, 0))="")=TRUE),  "",  INDEX(RulebookTables!H2:H93, MATCH(E110,RulebookTables!A2:A93, 0))), "")</f>
        <v>109</v>
      </c>
      <c r="L110" s="4" t="b">
        <f>AND(((J110 &gt; 0)=TRUE), ((J110 &gt;= K110)=TRUE))</f>
        <v>1</v>
      </c>
      <c r="M110" s="4" t="b">
        <f>J110 = 0</f>
        <v>0</v>
      </c>
      <c r="N110" s="3" t="s">
        <v>13657</v>
      </c>
    </row>
    <row r="111">
      <c r="A111" s="3" t="s">
        <v>13766</v>
      </c>
      <c r="B111" s="4" t="str">
        <f>G111 &amp; "." &amp; F111</f>
        <v>pko_process_steward.step_functions</v>
      </c>
      <c r="C111" s="3" t="s">
        <v>13654</v>
      </c>
      <c r="D111" s="3" t="s">
        <v>9772</v>
      </c>
      <c r="E111" s="3" t="s">
        <v>3034</v>
      </c>
      <c r="F111" s="3" t="s">
        <v>9716</v>
      </c>
      <c r="G111" s="4" t="str">
        <f>_xlfn.IFNA(IF(((INDEX(RoleSchemas!D2:D13, MATCH(C111,RoleSchemas!A2:A13, 0))="")=TRUE),  "",  INDEX(RoleSchemas!D2:D13, MATCH(C111,RoleSchemas!A2:A13, 0))), "")</f>
        <v>pko_process_steward</v>
      </c>
      <c r="H111" s="4" t="str">
        <f>_xlfn.IFNA(IF(((INDEX(RulebookTables!E2:E93, MATCH(E111,RulebookTables!A2:A93, 0))="")=TRUE),  "",  INDEX(RulebookTables!E2:E93, MATCH(E111,RulebookTables!A2:A93, 0))), "")</f>
        <v>vw_step_functions</v>
      </c>
      <c r="I111" s="4" t="str">
        <f>D111 &amp; "|" &amp; E111</f>
        <v>principal-process-steward|StepFunctions</v>
      </c>
      <c r="J111" s="4">
        <f>COUNTIFS(FieldGrants!M2:M3640, I111)</f>
        <v>4</v>
      </c>
      <c r="K111" s="4">
        <f>_xlfn.IFNA(IF(((INDEX(RulebookTables!H2:H93, MATCH(E111,RulebookTables!A2:A93, 0))="")=TRUE),  "",  INDEX(RulebookTables!H2:H93, MATCH(E111,RulebookTables!A2:A93, 0))), "")</f>
        <v>4</v>
      </c>
      <c r="L111" s="4" t="b">
        <f>AND(((J111 &gt; 0)=TRUE), ((J111 &gt;= K111)=TRUE))</f>
        <v>1</v>
      </c>
      <c r="M111" s="4" t="b">
        <f>J111 = 0</f>
        <v>0</v>
      </c>
      <c r="N111" s="3" t="s">
        <v>13657</v>
      </c>
    </row>
    <row r="112">
      <c r="A112" s="3" t="s">
        <v>13767</v>
      </c>
      <c r="B112" s="4" t="str">
        <f>G112 &amp; "." &amp; F112</f>
        <v>pko_process_steward.step_requirements</v>
      </c>
      <c r="C112" s="3" t="s">
        <v>13654</v>
      </c>
      <c r="D112" s="3" t="s">
        <v>9772</v>
      </c>
      <c r="E112" s="3" t="s">
        <v>3119</v>
      </c>
      <c r="F112" s="3" t="s">
        <v>9717</v>
      </c>
      <c r="G112" s="4" t="str">
        <f>_xlfn.IFNA(IF(((INDEX(RoleSchemas!D2:D13, MATCH(C112,RoleSchemas!A2:A13, 0))="")=TRUE),  "",  INDEX(RoleSchemas!D2:D13, MATCH(C112,RoleSchemas!A2:A13, 0))), "")</f>
        <v>pko_process_steward</v>
      </c>
      <c r="H112" s="4" t="str">
        <f>_xlfn.IFNA(IF(((INDEX(RulebookTables!E2:E93, MATCH(E112,RulebookTables!A2:A93, 0))="")=TRUE),  "",  INDEX(RulebookTables!E2:E93, MATCH(E112,RulebookTables!A2:A93, 0))), "")</f>
        <v>vw_step_requirements</v>
      </c>
      <c r="I112" s="4" t="str">
        <f>D112 &amp; "|" &amp; E112</f>
        <v>principal-process-steward|StepRequirements</v>
      </c>
      <c r="J112" s="4">
        <f>COUNTIFS(FieldGrants!M2:M3640, I112)</f>
        <v>13</v>
      </c>
      <c r="K112" s="4">
        <f>_xlfn.IFNA(IF(((INDEX(RulebookTables!H2:H93, MATCH(E112,RulebookTables!A2:A93, 0))="")=TRUE),  "",  INDEX(RulebookTables!H2:H93, MATCH(E112,RulebookTables!A2:A93, 0))), "")</f>
        <v>13</v>
      </c>
      <c r="L112" s="4" t="b">
        <f>AND(((J112 &gt; 0)=TRUE), ((J112 &gt;= K112)=TRUE))</f>
        <v>1</v>
      </c>
      <c r="M112" s="4" t="b">
        <f>J112 = 0</f>
        <v>0</v>
      </c>
      <c r="N112" s="3" t="s">
        <v>13657</v>
      </c>
    </row>
    <row r="113">
      <c r="A113" s="3" t="s">
        <v>13768</v>
      </c>
      <c r="B113" s="4" t="str">
        <f>G113 &amp; "." &amp; F113</f>
        <v>pko_process_steward.step_tools</v>
      </c>
      <c r="C113" s="3" t="s">
        <v>13654</v>
      </c>
      <c r="D113" s="3" t="s">
        <v>9772</v>
      </c>
      <c r="E113" s="3" t="s">
        <v>3040</v>
      </c>
      <c r="F113" s="3" t="s">
        <v>9718</v>
      </c>
      <c r="G113" s="4" t="str">
        <f>_xlfn.IFNA(IF(((INDEX(RoleSchemas!D2:D13, MATCH(C113,RoleSchemas!A2:A13, 0))="")=TRUE),  "",  INDEX(RoleSchemas!D2:D13, MATCH(C113,RoleSchemas!A2:A13, 0))), "")</f>
        <v>pko_process_steward</v>
      </c>
      <c r="H113" s="4" t="str">
        <f>_xlfn.IFNA(IF(((INDEX(RulebookTables!E2:E93, MATCH(E113,RulebookTables!A2:A93, 0))="")=TRUE),  "",  INDEX(RulebookTables!E2:E93, MATCH(E113,RulebookTables!A2:A93, 0))), "")</f>
        <v>vw_step_tools</v>
      </c>
      <c r="I113" s="4" t="str">
        <f>D113 &amp; "|" &amp; E113</f>
        <v>principal-process-steward|StepTools</v>
      </c>
      <c r="J113" s="4">
        <f>COUNTIFS(FieldGrants!M2:M3640, I113)</f>
        <v>4</v>
      </c>
      <c r="K113" s="4">
        <f>_xlfn.IFNA(IF(((INDEX(RulebookTables!H2:H93, MATCH(E113,RulebookTables!A2:A93, 0))="")=TRUE),  "",  INDEX(RulebookTables!H2:H93, MATCH(E113,RulebookTables!A2:A93, 0))), "")</f>
        <v>4</v>
      </c>
      <c r="L113" s="4" t="b">
        <f>AND(((J113 &gt; 0)=TRUE), ((J113 &gt;= K113)=TRUE))</f>
        <v>1</v>
      </c>
      <c r="M113" s="4" t="b">
        <f>J113 = 0</f>
        <v>0</v>
      </c>
      <c r="N113" s="3" t="s">
        <v>13657</v>
      </c>
    </row>
    <row r="114">
      <c r="A114" s="3" t="s">
        <v>13769</v>
      </c>
      <c r="B114" s="4" t="str">
        <f>G114 &amp; "." &amp; F114</f>
        <v>pko_process_steward.step_transitions</v>
      </c>
      <c r="C114" s="3" t="s">
        <v>13654</v>
      </c>
      <c r="D114" s="3" t="s">
        <v>9772</v>
      </c>
      <c r="E114" s="3" t="s">
        <v>1784</v>
      </c>
      <c r="F114" s="3" t="s">
        <v>9719</v>
      </c>
      <c r="G114" s="4" t="str">
        <f>_xlfn.IFNA(IF(((INDEX(RoleSchemas!D2:D13, MATCH(C114,RoleSchemas!A2:A13, 0))="")=TRUE),  "",  INDEX(RoleSchemas!D2:D13, MATCH(C114,RoleSchemas!A2:A13, 0))), "")</f>
        <v>pko_process_steward</v>
      </c>
      <c r="H114" s="4" t="str">
        <f>_xlfn.IFNA(IF(((INDEX(RulebookTables!E2:E93, MATCH(E114,RulebookTables!A2:A93, 0))="")=TRUE),  "",  INDEX(RulebookTables!E2:E93, MATCH(E114,RulebookTables!A2:A93, 0))), "")</f>
        <v>vw_step_transitions</v>
      </c>
      <c r="I114" s="4" t="str">
        <f>D114 &amp; "|" &amp; E114</f>
        <v>principal-process-steward|StepTransitions</v>
      </c>
      <c r="J114" s="4">
        <f>COUNTIFS(FieldGrants!M2:M3640, I114)</f>
        <v>23</v>
      </c>
      <c r="K114" s="4">
        <f>_xlfn.IFNA(IF(((INDEX(RulebookTables!H2:H93, MATCH(E114,RulebookTables!A2:A93, 0))="")=TRUE),  "",  INDEX(RulebookTables!H2:H93, MATCH(E114,RulebookTables!A2:A93, 0))), "")</f>
        <v>28</v>
      </c>
      <c r="L114" s="4" t="b">
        <f>AND(((J114 &gt; 0)=TRUE), ((J114 &gt;= K114)=TRUE))</f>
        <v>0</v>
      </c>
      <c r="M114" s="4" t="b">
        <f>J114 = 0</f>
        <v>0</v>
      </c>
      <c r="N114" s="3" t="s">
        <v>13657</v>
      </c>
    </row>
    <row r="115">
      <c r="A115" s="3" t="s">
        <v>13770</v>
      </c>
      <c r="B115" s="4" t="str">
        <f>G115 &amp; "." &amp; F115</f>
        <v>pko_process_steward.step_verifications</v>
      </c>
      <c r="C115" s="3" t="s">
        <v>13654</v>
      </c>
      <c r="D115" s="3" t="s">
        <v>9772</v>
      </c>
      <c r="E115" s="3" t="s">
        <v>1808</v>
      </c>
      <c r="F115" s="3" t="s">
        <v>9720</v>
      </c>
      <c r="G115" s="4" t="str">
        <f>_xlfn.IFNA(IF(((INDEX(RoleSchemas!D2:D13, MATCH(C115,RoleSchemas!A2:A13, 0))="")=TRUE),  "",  INDEX(RoleSchemas!D2:D13, MATCH(C115,RoleSchemas!A2:A13, 0))), "")</f>
        <v>pko_process_steward</v>
      </c>
      <c r="H115" s="4" t="str">
        <f>_xlfn.IFNA(IF(((INDEX(RulebookTables!E2:E93, MATCH(E115,RulebookTables!A2:A93, 0))="")=TRUE),  "",  INDEX(RulebookTables!E2:E93, MATCH(E115,RulebookTables!A2:A93, 0))), "")</f>
        <v>vw_step_verifications</v>
      </c>
      <c r="I115" s="4" t="str">
        <f>D115 &amp; "|" &amp; E115</f>
        <v>principal-process-steward|StepVerifications</v>
      </c>
      <c r="J115" s="4">
        <f>COUNTIFS(FieldGrants!M2:M3640, I115)</f>
        <v>8</v>
      </c>
      <c r="K115" s="4">
        <f>_xlfn.IFNA(IF(((INDEX(RulebookTables!H2:H93, MATCH(E115,RulebookTables!A2:A93, 0))="")=TRUE),  "",  INDEX(RulebookTables!H2:H93, MATCH(E115,RulebookTables!A2:A93, 0))), "")</f>
        <v>8</v>
      </c>
      <c r="L115" s="4" t="b">
        <f>AND(((J115 &gt; 0)=TRUE), ((J115 &gt;= K115)=TRUE))</f>
        <v>1</v>
      </c>
      <c r="M115" s="4" t="b">
        <f>J115 = 0</f>
        <v>0</v>
      </c>
      <c r="N115" s="3" t="s">
        <v>13657</v>
      </c>
    </row>
    <row r="116">
      <c r="A116" s="3" t="s">
        <v>13771</v>
      </c>
      <c r="B116" s="4" t="str">
        <f>G116 &amp; "." &amp; F116</f>
        <v>pko_process_steward.steps</v>
      </c>
      <c r="C116" s="3" t="s">
        <v>13654</v>
      </c>
      <c r="D116" s="3" t="s">
        <v>9772</v>
      </c>
      <c r="E116" s="3" t="s">
        <v>1778</v>
      </c>
      <c r="F116" s="3" t="s">
        <v>9721</v>
      </c>
      <c r="G116" s="4" t="str">
        <f>_xlfn.IFNA(IF(((INDEX(RoleSchemas!D2:D13, MATCH(C116,RoleSchemas!A2:A13, 0))="")=TRUE),  "",  INDEX(RoleSchemas!D2:D13, MATCH(C116,RoleSchemas!A2:A13, 0))), "")</f>
        <v>pko_process_steward</v>
      </c>
      <c r="H116" s="4" t="str">
        <f>_xlfn.IFNA(IF(((INDEX(RulebookTables!E2:E93, MATCH(E116,RulebookTables!A2:A93, 0))="")=TRUE),  "",  INDEX(RulebookTables!E2:E93, MATCH(E116,RulebookTables!A2:A93, 0))), "")</f>
        <v>vw_steps</v>
      </c>
      <c r="I116" s="4" t="str">
        <f>D116 &amp; "|" &amp; E116</f>
        <v>principal-process-steward|Steps</v>
      </c>
      <c r="J116" s="4">
        <f>COUNTIFS(FieldGrants!M2:M3640, I116)</f>
        <v>42</v>
      </c>
      <c r="K116" s="4">
        <f>_xlfn.IFNA(IF(((INDEX(RulebookTables!H2:H93, MATCH(E116,RulebookTables!A2:A93, 0))="")=TRUE),  "",  INDEX(RulebookTables!H2:H93, MATCH(E116,RulebookTables!A2:A93, 0))), "")</f>
        <v>54</v>
      </c>
      <c r="L116" s="4" t="b">
        <f>AND(((J116 &gt; 0)=TRUE), ((J116 &gt;= K116)=TRUE))</f>
        <v>0</v>
      </c>
      <c r="M116" s="4" t="b">
        <f>J116 = 0</f>
        <v>0</v>
      </c>
      <c r="N116" s="3" t="s">
        <v>13657</v>
      </c>
    </row>
    <row r="117">
      <c r="A117" s="3" t="s">
        <v>13772</v>
      </c>
      <c r="B117" s="4" t="str">
        <f>G117 &amp; "." &amp; F117</f>
        <v>pko_process_steward.stewardship_assignments</v>
      </c>
      <c r="C117" s="3" t="s">
        <v>13654</v>
      </c>
      <c r="D117" s="3" t="s">
        <v>9772</v>
      </c>
      <c r="E117" s="3" t="s">
        <v>1859</v>
      </c>
      <c r="F117" s="3" t="s">
        <v>9722</v>
      </c>
      <c r="G117" s="4" t="str">
        <f>_xlfn.IFNA(IF(((INDEX(RoleSchemas!D2:D13, MATCH(C117,RoleSchemas!A2:A13, 0))="")=TRUE),  "",  INDEX(RoleSchemas!D2:D13, MATCH(C117,RoleSchemas!A2:A13, 0))), "")</f>
        <v>pko_process_steward</v>
      </c>
      <c r="H117" s="4" t="str">
        <f>_xlfn.IFNA(IF(((INDEX(RulebookTables!E2:E93, MATCH(E117,RulebookTables!A2:A93, 0))="")=TRUE),  "",  INDEX(RulebookTables!E2:E93, MATCH(E117,RulebookTables!A2:A93, 0))), "")</f>
        <v>vw_stewardship_assignments</v>
      </c>
      <c r="I117" s="4" t="str">
        <f>D117 &amp; "|" &amp; E117</f>
        <v>principal-process-steward|StewardshipAssignments</v>
      </c>
      <c r="J117" s="4">
        <f>COUNTIFS(FieldGrants!M2:M3640, I117)</f>
        <v>14</v>
      </c>
      <c r="K117" s="4">
        <f>_xlfn.IFNA(IF(((INDEX(RulebookTables!H2:H93, MATCH(E117,RulebookTables!A2:A93, 0))="")=TRUE),  "",  INDEX(RulebookTables!H2:H93, MATCH(E117,RulebookTables!A2:A93, 0))), "")</f>
        <v>14</v>
      </c>
      <c r="L117" s="4" t="b">
        <f>AND(((J117 &gt; 0)=TRUE), ((J117 &gt;= K117)=TRUE))</f>
        <v>1</v>
      </c>
      <c r="M117" s="4" t="b">
        <f>J117 = 0</f>
        <v>0</v>
      </c>
      <c r="N117" s="3" t="s">
        <v>13657</v>
      </c>
    </row>
    <row r="118">
      <c r="A118" s="3" t="s">
        <v>13773</v>
      </c>
      <c r="B118" s="4" t="str">
        <f>G118 &amp; "." &amp; F118</f>
        <v>pko_process_steward.template_approvals</v>
      </c>
      <c r="C118" s="3" t="s">
        <v>13654</v>
      </c>
      <c r="D118" s="3" t="s">
        <v>9772</v>
      </c>
      <c r="E118" s="3" t="s">
        <v>4698</v>
      </c>
      <c r="F118" s="3" t="s">
        <v>9723</v>
      </c>
      <c r="G118" s="4" t="str">
        <f>_xlfn.IFNA(IF(((INDEX(RoleSchemas!D2:D13, MATCH(C118,RoleSchemas!A2:A13, 0))="")=TRUE),  "",  INDEX(RoleSchemas!D2:D13, MATCH(C118,RoleSchemas!A2:A13, 0))), "")</f>
        <v>pko_process_steward</v>
      </c>
      <c r="H118" s="4" t="str">
        <f>_xlfn.IFNA(IF(((INDEX(RulebookTables!E2:E93, MATCH(E118,RulebookTables!A2:A93, 0))="")=TRUE),  "",  INDEX(RulebookTables!E2:E93, MATCH(E118,RulebookTables!A2:A93, 0))), "")</f>
        <v>vw_template_approvals</v>
      </c>
      <c r="I118" s="4" t="str">
        <f>D118 &amp; "|" &amp; E118</f>
        <v>principal-process-steward|TemplateApprovals</v>
      </c>
      <c r="J118" s="4">
        <f>COUNTIFS(FieldGrants!M2:M3640, I118)</f>
        <v>15</v>
      </c>
      <c r="K118" s="4">
        <f>_xlfn.IFNA(IF(((INDEX(RulebookTables!H2:H93, MATCH(E118,RulebookTables!A2:A93, 0))="")=TRUE),  "",  INDEX(RulebookTables!H2:H93, MATCH(E118,RulebookTables!A2:A93, 0))), "")</f>
        <v>15</v>
      </c>
      <c r="L118" s="4" t="b">
        <f>AND(((J118 &gt; 0)=TRUE), ((J118 &gt;= K118)=TRUE))</f>
        <v>1</v>
      </c>
      <c r="M118" s="4" t="b">
        <f>J118 = 0</f>
        <v>0</v>
      </c>
      <c r="N118" s="3" t="s">
        <v>13657</v>
      </c>
    </row>
    <row r="119">
      <c r="A119" s="3" t="s">
        <v>13774</v>
      </c>
      <c r="B119" s="4" t="str">
        <f>G119 &amp; "." &amp; F119</f>
        <v>pko_process_steward.test_cases</v>
      </c>
      <c r="C119" s="3" t="s">
        <v>13654</v>
      </c>
      <c r="D119" s="3" t="s">
        <v>9772</v>
      </c>
      <c r="E119" s="3" t="s">
        <v>4209</v>
      </c>
      <c r="F119" s="3" t="s">
        <v>9724</v>
      </c>
      <c r="G119" s="4" t="str">
        <f>_xlfn.IFNA(IF(((INDEX(RoleSchemas!D2:D13, MATCH(C119,RoleSchemas!A2:A13, 0))="")=TRUE),  "",  INDEX(RoleSchemas!D2:D13, MATCH(C119,RoleSchemas!A2:A13, 0))), "")</f>
        <v>pko_process_steward</v>
      </c>
      <c r="H119" s="4" t="str">
        <f>_xlfn.IFNA(IF(((INDEX(RulebookTables!E2:E93, MATCH(E119,RulebookTables!A2:A93, 0))="")=TRUE),  "",  INDEX(RulebookTables!E2:E93, MATCH(E119,RulebookTables!A2:A93, 0))), "")</f>
        <v>vw_test_cases</v>
      </c>
      <c r="I119" s="4" t="str">
        <f>D119 &amp; "|" &amp; E119</f>
        <v>principal-process-steward|TestCases</v>
      </c>
      <c r="J119" s="4">
        <f>COUNTIFS(FieldGrants!M2:M3640, I119)</f>
        <v>20</v>
      </c>
      <c r="K119" s="4">
        <f>_xlfn.IFNA(IF(((INDEX(RulebookTables!H2:H93, MATCH(E119,RulebookTables!A2:A93, 0))="")=TRUE),  "",  INDEX(RulebookTables!H2:H93, MATCH(E119,RulebookTables!A2:A93, 0))), "")</f>
        <v>20</v>
      </c>
      <c r="L119" s="4" t="b">
        <f>AND(((J119 &gt; 0)=TRUE), ((J119 &gt;= K119)=TRUE))</f>
        <v>1</v>
      </c>
      <c r="M119" s="4" t="b">
        <f>J119 = 0</f>
        <v>0</v>
      </c>
      <c r="N119" s="3" t="s">
        <v>13657</v>
      </c>
    </row>
    <row r="120">
      <c r="A120" s="3" t="s">
        <v>13775</v>
      </c>
      <c r="B120" s="4" t="str">
        <f>G120 &amp; "." &amp; F120</f>
        <v>pko_process_steward.test_suites</v>
      </c>
      <c r="C120" s="3" t="s">
        <v>13654</v>
      </c>
      <c r="D120" s="3" t="s">
        <v>9772</v>
      </c>
      <c r="E120" s="3" t="s">
        <v>4191</v>
      </c>
      <c r="F120" s="3" t="s">
        <v>9725</v>
      </c>
      <c r="G120" s="4" t="str">
        <f>_xlfn.IFNA(IF(((INDEX(RoleSchemas!D2:D13, MATCH(C120,RoleSchemas!A2:A13, 0))="")=TRUE),  "",  INDEX(RoleSchemas!D2:D13, MATCH(C120,RoleSchemas!A2:A13, 0))), "")</f>
        <v>pko_process_steward</v>
      </c>
      <c r="H120" s="4" t="str">
        <f>_xlfn.IFNA(IF(((INDEX(RulebookTables!E2:E93, MATCH(E120,RulebookTables!A2:A93, 0))="")=TRUE),  "",  INDEX(RulebookTables!E2:E93, MATCH(E120,RulebookTables!A2:A93, 0))), "")</f>
        <v>vw_test_suites</v>
      </c>
      <c r="I120" s="4" t="str">
        <f>D120 &amp; "|" &amp; E120</f>
        <v>principal-process-steward|TestSuites</v>
      </c>
      <c r="J120" s="4">
        <f>COUNTIFS(FieldGrants!M2:M3640, I120)</f>
        <v>8</v>
      </c>
      <c r="K120" s="4">
        <f>_xlfn.IFNA(IF(((INDEX(RulebookTables!H2:H93, MATCH(E120,RulebookTables!A2:A93, 0))="")=TRUE),  "",  INDEX(RulebookTables!H2:H93, MATCH(E120,RulebookTables!A2:A93, 0))), "")</f>
        <v>8</v>
      </c>
      <c r="L120" s="4" t="b">
        <f>AND(((J120 &gt; 0)=TRUE), ((J120 &gt;= K120)=TRUE))</f>
        <v>1</v>
      </c>
      <c r="M120" s="4" t="b">
        <f>J120 = 0</f>
        <v>0</v>
      </c>
      <c r="N120" s="3" t="s">
        <v>13657</v>
      </c>
    </row>
    <row r="121">
      <c r="A121" s="3" t="s">
        <v>13776</v>
      </c>
      <c r="B121" s="4" t="str">
        <f>G121 &amp; "." &amp; F121</f>
        <v>pko_process_steward.tools</v>
      </c>
      <c r="C121" s="3" t="s">
        <v>13654</v>
      </c>
      <c r="D121" s="3" t="s">
        <v>9772</v>
      </c>
      <c r="E121" s="3" t="s">
        <v>1802</v>
      </c>
      <c r="F121" s="3" t="s">
        <v>9726</v>
      </c>
      <c r="G121" s="4" t="str">
        <f>_xlfn.IFNA(IF(((INDEX(RoleSchemas!D2:D13, MATCH(C121,RoleSchemas!A2:A13, 0))="")=TRUE),  "",  INDEX(RoleSchemas!D2:D13, MATCH(C121,RoleSchemas!A2:A13, 0))), "")</f>
        <v>pko_process_steward</v>
      </c>
      <c r="H121" s="4" t="str">
        <f>_xlfn.IFNA(IF(((INDEX(RulebookTables!E2:E93, MATCH(E121,RulebookTables!A2:A93, 0))="")=TRUE),  "",  INDEX(RulebookTables!E2:E93, MATCH(E121,RulebookTables!A2:A93, 0))), "")</f>
        <v>vw_tools</v>
      </c>
      <c r="I121" s="4" t="str">
        <f>D121 &amp; "|" &amp; E121</f>
        <v>principal-process-steward|Tools</v>
      </c>
      <c r="J121" s="4">
        <f>COUNTIFS(FieldGrants!M2:M3640, I121)</f>
        <v>5</v>
      </c>
      <c r="K121" s="4">
        <f>_xlfn.IFNA(IF(((INDEX(RulebookTables!H2:H93, MATCH(E121,RulebookTables!A2:A93, 0))="")=TRUE),  "",  INDEX(RulebookTables!H2:H93, MATCH(E121,RulebookTables!A2:A93, 0))), "")</f>
        <v>5</v>
      </c>
      <c r="L121" s="4" t="b">
        <f>AND(((J121 &gt; 0)=TRUE), ((J121 &gt;= K121)=TRUE))</f>
        <v>1</v>
      </c>
      <c r="M121" s="4" t="b">
        <f>J121 = 0</f>
        <v>0</v>
      </c>
      <c r="N121" s="3" t="s">
        <v>13657</v>
      </c>
    </row>
    <row r="122">
      <c r="A122" s="3" t="s">
        <v>13777</v>
      </c>
      <c r="B122" s="4" t="str">
        <f>G122 &amp; "." &amp; F122</f>
        <v>pko_process_steward.user_feedback</v>
      </c>
      <c r="C122" s="3" t="s">
        <v>13654</v>
      </c>
      <c r="D122" s="3" t="s">
        <v>9772</v>
      </c>
      <c r="E122" s="3" t="s">
        <v>1842</v>
      </c>
      <c r="F122" s="3" t="s">
        <v>9727</v>
      </c>
      <c r="G122" s="4" t="str">
        <f>_xlfn.IFNA(IF(((INDEX(RoleSchemas!D2:D13, MATCH(C122,RoleSchemas!A2:A13, 0))="")=TRUE),  "",  INDEX(RoleSchemas!D2:D13, MATCH(C122,RoleSchemas!A2:A13, 0))), "")</f>
        <v>pko_process_steward</v>
      </c>
      <c r="H122" s="4" t="str">
        <f>_xlfn.IFNA(IF(((INDEX(RulebookTables!E2:E93, MATCH(E122,RulebookTables!A2:A93, 0))="")=TRUE),  "",  INDEX(RulebookTables!E2:E93, MATCH(E122,RulebookTables!A2:A93, 0))), "")</f>
        <v>vw_user_feedback</v>
      </c>
      <c r="I122" s="4" t="str">
        <f>D122 &amp; "|" &amp; E122</f>
        <v>principal-process-steward|UserFeedback</v>
      </c>
      <c r="J122" s="4">
        <f>COUNTIFS(FieldGrants!M2:M3640, I122)</f>
        <v>9</v>
      </c>
      <c r="K122" s="4">
        <f>_xlfn.IFNA(IF(((INDEX(RulebookTables!H2:H93, MATCH(E122,RulebookTables!A2:A93, 0))="")=TRUE),  "",  INDEX(RulebookTables!H2:H93, MATCH(E122,RulebookTables!A2:A93, 0))), "")</f>
        <v>9</v>
      </c>
      <c r="L122" s="4" t="b">
        <f>AND(((J122 &gt; 0)=TRUE), ((J122 &gt;= K122)=TRUE))</f>
        <v>1</v>
      </c>
      <c r="M122" s="4" t="b">
        <f>J122 = 0</f>
        <v>0</v>
      </c>
      <c r="N122" s="3" t="s">
        <v>13657</v>
      </c>
    </row>
    <row r="123">
      <c r="A123" s="3" t="s">
        <v>13778</v>
      </c>
      <c r="B123" s="4" t="str">
        <f>G123 &amp; "." &amp; F123</f>
        <v>pko_process_steward.user_questions</v>
      </c>
      <c r="C123" s="3" t="s">
        <v>13654</v>
      </c>
      <c r="D123" s="3" t="s">
        <v>9772</v>
      </c>
      <c r="E123" s="3" t="s">
        <v>1839</v>
      </c>
      <c r="F123" s="3" t="s">
        <v>9728</v>
      </c>
      <c r="G123" s="4" t="str">
        <f>_xlfn.IFNA(IF(((INDEX(RoleSchemas!D2:D13, MATCH(C123,RoleSchemas!A2:A13, 0))="")=TRUE),  "",  INDEX(RoleSchemas!D2:D13, MATCH(C123,RoleSchemas!A2:A13, 0))), "")</f>
        <v>pko_process_steward</v>
      </c>
      <c r="H123" s="4" t="str">
        <f>_xlfn.IFNA(IF(((INDEX(RulebookTables!E2:E93, MATCH(E123,RulebookTables!A2:A93, 0))="")=TRUE),  "",  INDEX(RulebookTables!E2:E93, MATCH(E123,RulebookTables!A2:A93, 0))), "")</f>
        <v>vw_user_questions</v>
      </c>
      <c r="I123" s="4" t="str">
        <f>D123 &amp; "|" &amp; E123</f>
        <v>principal-process-steward|UserQuestions</v>
      </c>
      <c r="J123" s="4">
        <f>COUNTIFS(FieldGrants!M2:M3640, I123)</f>
        <v>10</v>
      </c>
      <c r="K123" s="4">
        <f>_xlfn.IFNA(IF(((INDEX(RulebookTables!H2:H93, MATCH(E123,RulebookTables!A2:A93, 0))="")=TRUE),  "",  INDEX(RulebookTables!H2:H93, MATCH(E123,RulebookTables!A2:A93, 0))), "")</f>
        <v>10</v>
      </c>
      <c r="L123" s="4" t="b">
        <f>AND(((J123 &gt; 0)=TRUE), ((J123 &gt;= K123)=TRUE))</f>
        <v>1</v>
      </c>
      <c r="M123" s="4" t="b">
        <f>J123 = 0</f>
        <v>0</v>
      </c>
      <c r="N123" s="3" t="s">
        <v>13657</v>
      </c>
    </row>
    <row r="124">
      <c r="A124" s="3" t="s">
        <v>13779</v>
      </c>
      <c r="B124" s="4" t="str">
        <f>G124 &amp; "." &amp; F124</f>
        <v>pko_process_steward.verification_outcomes</v>
      </c>
      <c r="C124" s="3" t="s">
        <v>13654</v>
      </c>
      <c r="D124" s="3" t="s">
        <v>9772</v>
      </c>
      <c r="E124" s="3" t="s">
        <v>4337</v>
      </c>
      <c r="F124" s="3" t="s">
        <v>9729</v>
      </c>
      <c r="G124" s="4" t="str">
        <f>_xlfn.IFNA(IF(((INDEX(RoleSchemas!D2:D13, MATCH(C124,RoleSchemas!A2:A13, 0))="")=TRUE),  "",  INDEX(RoleSchemas!D2:D13, MATCH(C124,RoleSchemas!A2:A13, 0))), "")</f>
        <v>pko_process_steward</v>
      </c>
      <c r="H124" s="4" t="str">
        <f>_xlfn.IFNA(IF(((INDEX(RulebookTables!E2:E93, MATCH(E124,RulebookTables!A2:A93, 0))="")=TRUE),  "",  INDEX(RulebookTables!E2:E93, MATCH(E124,RulebookTables!A2:A93, 0))), "")</f>
        <v>vw_verification_outcomes</v>
      </c>
      <c r="I124" s="4" t="str">
        <f>D124 &amp; "|" &amp; E124</f>
        <v>principal-process-steward|VerificationOutcomes</v>
      </c>
      <c r="J124" s="4">
        <f>COUNTIFS(FieldGrants!M2:M3640, I124)</f>
        <v>26</v>
      </c>
      <c r="K124" s="4">
        <f>_xlfn.IFNA(IF(((INDEX(RulebookTables!H2:H93, MATCH(E124,RulebookTables!A2:A93, 0))="")=TRUE),  "",  INDEX(RulebookTables!H2:H93, MATCH(E124,RulebookTables!A2:A93, 0))), "")</f>
        <v>26</v>
      </c>
      <c r="L124" s="4" t="b">
        <f>AND(((J124 &gt; 0)=TRUE), ((J124 &gt;= K124)=TRUE))</f>
        <v>1</v>
      </c>
      <c r="M124" s="4" t="b">
        <f>J124 = 0</f>
        <v>0</v>
      </c>
      <c r="N124" s="3" t="s">
        <v>13657</v>
      </c>
    </row>
    <row r="125">
      <c r="A125" s="3" t="s">
        <v>13780</v>
      </c>
      <c r="B125" s="4" t="str">
        <f>G125 &amp; "." &amp; F125</f>
        <v>pko_process_steward.witness_loops</v>
      </c>
      <c r="C125" s="3" t="s">
        <v>13654</v>
      </c>
      <c r="D125" s="3" t="s">
        <v>9772</v>
      </c>
      <c r="E125" s="3" t="s">
        <v>4140</v>
      </c>
      <c r="F125" s="3" t="s">
        <v>9730</v>
      </c>
      <c r="G125" s="4" t="str">
        <f>_xlfn.IFNA(IF(((INDEX(RoleSchemas!D2:D13, MATCH(C125,RoleSchemas!A2:A13, 0))="")=TRUE),  "",  INDEX(RoleSchemas!D2:D13, MATCH(C125,RoleSchemas!A2:A13, 0))), "")</f>
        <v>pko_process_steward</v>
      </c>
      <c r="H125" s="4" t="str">
        <f>_xlfn.IFNA(IF(((INDEX(RulebookTables!E2:E93, MATCH(E125,RulebookTables!A2:A93, 0))="")=TRUE),  "",  INDEX(RulebookTables!E2:E93, MATCH(E125,RulebookTables!A2:A93, 0))), "")</f>
        <v>vw_witness_loops</v>
      </c>
      <c r="I125" s="4" t="str">
        <f>D125 &amp; "|" &amp; E125</f>
        <v>principal-process-steward|WitnessLoops</v>
      </c>
      <c r="J125" s="4">
        <f>COUNTIFS(FieldGrants!M2:M3640, I125)</f>
        <v>13</v>
      </c>
      <c r="K125" s="4">
        <f>_xlfn.IFNA(IF(((INDEX(RulebookTables!H2:H93, MATCH(E125,RulebookTables!A2:A93, 0))="")=TRUE),  "",  INDEX(RulebookTables!H2:H93, MATCH(E125,RulebookTables!A2:A93, 0))), "")</f>
        <v>13</v>
      </c>
      <c r="L125" s="4" t="b">
        <f>AND(((J125 &gt; 0)=TRUE), ((J125 &gt;= K125)=TRUE))</f>
        <v>1</v>
      </c>
      <c r="M125" s="4" t="b">
        <f>J125 = 0</f>
        <v>0</v>
      </c>
      <c r="N125" s="3" t="s">
        <v>13657</v>
      </c>
    </row>
    <row r="126">
      <c r="A126" s="3" t="s">
        <v>13781</v>
      </c>
      <c r="B126" s="4" t="str">
        <f>G126 &amp; "." &amp; F126</f>
        <v>pko_knowledge_authority.actions</v>
      </c>
      <c r="C126" s="3" t="s">
        <v>13655</v>
      </c>
      <c r="D126" s="3" t="s">
        <v>9774</v>
      </c>
      <c r="E126" s="3" t="s">
        <v>1796</v>
      </c>
      <c r="F126" s="3" t="s">
        <v>9651</v>
      </c>
      <c r="G126" s="4" t="str">
        <f>_xlfn.IFNA(IF(((INDEX(RoleSchemas!D2:D13, MATCH(C126,RoleSchemas!A2:A13, 0))="")=TRUE),  "",  INDEX(RoleSchemas!D2:D13, MATCH(C126,RoleSchemas!A2:A13, 0))), "")</f>
        <v>pko_knowledge_authority</v>
      </c>
      <c r="H126" s="4" t="str">
        <f>_xlfn.IFNA(IF(((INDEX(RulebookTables!E2:E93, MATCH(E126,RulebookTables!A2:A93, 0))="")=TRUE),  "",  INDEX(RulebookTables!E2:E93, MATCH(E126,RulebookTables!A2:A93, 0))), "")</f>
        <v>vw_actions</v>
      </c>
      <c r="I126" s="4" t="str">
        <f>D126 &amp; "|" &amp; E126</f>
        <v>principal-knowledge-authority|Actions</v>
      </c>
      <c r="J126" s="4">
        <f>COUNTIFS(FieldGrants!M2:M3640, I126)</f>
        <v>5</v>
      </c>
      <c r="K126" s="4">
        <f>_xlfn.IFNA(IF(((INDEX(RulebookTables!H2:H93, MATCH(E126,RulebookTables!A2:A93, 0))="")=TRUE),  "",  INDEX(RulebookTables!H2:H93, MATCH(E126,RulebookTables!A2:A93, 0))), "")</f>
        <v>5</v>
      </c>
      <c r="L126" s="4" t="b">
        <f>AND(((J126 &gt; 0)=TRUE), ((J126 &gt;= K126)=TRUE))</f>
        <v>1</v>
      </c>
      <c r="M126" s="4" t="b">
        <f>J126 = 0</f>
        <v>0</v>
      </c>
      <c r="N126" s="3" t="s">
        <v>13657</v>
      </c>
    </row>
    <row r="127">
      <c r="A127" s="3" t="s">
        <v>13782</v>
      </c>
      <c r="B127" s="4" t="str">
        <f>G127 &amp; "." &amp; F127</f>
        <v>pko_knowledge_authority.agent_decision_records</v>
      </c>
      <c r="C127" s="3" t="s">
        <v>13655</v>
      </c>
      <c r="D127" s="3" t="s">
        <v>9774</v>
      </c>
      <c r="E127" s="3" t="s">
        <v>4994</v>
      </c>
      <c r="F127" s="3" t="s">
        <v>9653</v>
      </c>
      <c r="G127" s="4" t="str">
        <f>_xlfn.IFNA(IF(((INDEX(RoleSchemas!D2:D13, MATCH(C127,RoleSchemas!A2:A13, 0))="")=TRUE),  "",  INDEX(RoleSchemas!D2:D13, MATCH(C127,RoleSchemas!A2:A13, 0))), "")</f>
        <v>pko_knowledge_authority</v>
      </c>
      <c r="H127" s="4" t="str">
        <f>_xlfn.IFNA(IF(((INDEX(RulebookTables!E2:E93, MATCH(E127,RulebookTables!A2:A93, 0))="")=TRUE),  "",  INDEX(RulebookTables!E2:E93, MATCH(E127,RulebookTables!A2:A93, 0))), "")</f>
        <v>vw_agent_decision_records</v>
      </c>
      <c r="I127" s="4" t="str">
        <f>D127 &amp; "|" &amp; E127</f>
        <v>principal-knowledge-authority|AgentDecisionRecords</v>
      </c>
      <c r="J127" s="4">
        <f>COUNTIFS(FieldGrants!M2:M3640, I127)</f>
        <v>40</v>
      </c>
      <c r="K127" s="4">
        <f>_xlfn.IFNA(IF(((INDEX(RulebookTables!H2:H93, MATCH(E127,RulebookTables!A2:A93, 0))="")=TRUE),  "",  INDEX(RulebookTables!H2:H93, MATCH(E127,RulebookTables!A2:A93, 0))), "")</f>
        <v>40</v>
      </c>
      <c r="L127" s="4" t="b">
        <f>AND(((J127 &gt; 0)=TRUE), ((J127 &gt;= K127)=TRUE))</f>
        <v>1</v>
      </c>
      <c r="M127" s="4" t="b">
        <f>J127 = 0</f>
        <v>0</v>
      </c>
      <c r="N127" s="3" t="s">
        <v>13657</v>
      </c>
    </row>
    <row r="128">
      <c r="A128" s="3" t="s">
        <v>13783</v>
      </c>
      <c r="B128" s="4" t="str">
        <f>G128 &amp; "." &amp; F128</f>
        <v>pko_knowledge_authority.agents</v>
      </c>
      <c r="C128" s="3" t="s">
        <v>13655</v>
      </c>
      <c r="D128" s="3" t="s">
        <v>9774</v>
      </c>
      <c r="E128" s="3" t="s">
        <v>1814</v>
      </c>
      <c r="F128" s="3" t="s">
        <v>9655</v>
      </c>
      <c r="G128" s="4" t="str">
        <f>_xlfn.IFNA(IF(((INDEX(RoleSchemas!D2:D13, MATCH(C128,RoleSchemas!A2:A13, 0))="")=TRUE),  "",  INDEX(RoleSchemas!D2:D13, MATCH(C128,RoleSchemas!A2:A13, 0))), "")</f>
        <v>pko_knowledge_authority</v>
      </c>
      <c r="H128" s="4" t="str">
        <f>_xlfn.IFNA(IF(((INDEX(RulebookTables!E2:E93, MATCH(E128,RulebookTables!A2:A93, 0))="")=TRUE),  "",  INDEX(RulebookTables!E2:E93, MATCH(E128,RulebookTables!A2:A93, 0))), "")</f>
        <v>vw_agents</v>
      </c>
      <c r="I128" s="4" t="str">
        <f>D128 &amp; "|" &amp; E128</f>
        <v>principal-knowledge-authority|Agents</v>
      </c>
      <c r="J128" s="4">
        <f>COUNTIFS(FieldGrants!M2:M3640, I128)</f>
        <v>23</v>
      </c>
      <c r="K128" s="4">
        <f>_xlfn.IFNA(IF(((INDEX(RulebookTables!H2:H93, MATCH(E128,RulebookTables!A2:A93, 0))="")=TRUE),  "",  INDEX(RulebookTables!H2:H93, MATCH(E128,RulebookTables!A2:A93, 0))), "")</f>
        <v>23</v>
      </c>
      <c r="L128" s="4" t="b">
        <f>AND(((J128 &gt; 0)=TRUE), ((J128 &gt;= K128)=TRUE))</f>
        <v>1</v>
      </c>
      <c r="M128" s="4" t="b">
        <f>J128 = 0</f>
        <v>0</v>
      </c>
      <c r="N128" s="3" t="s">
        <v>13657</v>
      </c>
    </row>
    <row r="129">
      <c r="A129" s="3" t="s">
        <v>13784</v>
      </c>
      <c r="B129" s="4" t="str">
        <f>G129 &amp; "." &amp; F129</f>
        <v>pko_knowledge_authority.app_nav_groups</v>
      </c>
      <c r="C129" s="3" t="s">
        <v>13655</v>
      </c>
      <c r="D129" s="3" t="s">
        <v>9774</v>
      </c>
      <c r="E129" s="3" t="s">
        <v>1873</v>
      </c>
      <c r="F129" s="3" t="s">
        <v>9656</v>
      </c>
      <c r="G129" s="4" t="str">
        <f>_xlfn.IFNA(IF(((INDEX(RoleSchemas!D2:D13, MATCH(C129,RoleSchemas!A2:A13, 0))="")=TRUE),  "",  INDEX(RoleSchemas!D2:D13, MATCH(C129,RoleSchemas!A2:A13, 0))), "")</f>
        <v>pko_knowledge_authority</v>
      </c>
      <c r="H129" s="4" t="str">
        <f>_xlfn.IFNA(IF(((INDEX(RulebookTables!E2:E93, MATCH(E129,RulebookTables!A2:A93, 0))="")=TRUE),  "",  INDEX(RulebookTables!E2:E93, MATCH(E129,RulebookTables!A2:A93, 0))), "")</f>
        <v>vw_app_nav_groups</v>
      </c>
      <c r="I129" s="4" t="str">
        <f>D129 &amp; "|" &amp; E129</f>
        <v>principal-knowledge-authority|AppNavGroups</v>
      </c>
      <c r="J129" s="4">
        <f>COUNTIFS(FieldGrants!M2:M3640, I129)</f>
        <v>5</v>
      </c>
      <c r="K129" s="4">
        <f>_xlfn.IFNA(IF(((INDEX(RulebookTables!H2:H93, MATCH(E129,RulebookTables!A2:A93, 0))="")=TRUE),  "",  INDEX(RulebookTables!H2:H93, MATCH(E129,RulebookTables!A2:A93, 0))), "")</f>
        <v>5</v>
      </c>
      <c r="L129" s="4" t="b">
        <f>AND(((J129 &gt; 0)=TRUE), ((J129 &gt;= K129)=TRUE))</f>
        <v>1</v>
      </c>
      <c r="M129" s="4" t="b">
        <f>J129 = 0</f>
        <v>0</v>
      </c>
      <c r="N129" s="3" t="s">
        <v>13657</v>
      </c>
    </row>
    <row r="130">
      <c r="A130" s="3" t="s">
        <v>13785</v>
      </c>
      <c r="B130" s="4" t="str">
        <f>G130 &amp; "." &amp; F130</f>
        <v>pko_knowledge_authority.app_role_profiles</v>
      </c>
      <c r="C130" s="3" t="s">
        <v>13655</v>
      </c>
      <c r="D130" s="3" t="s">
        <v>9774</v>
      </c>
      <c r="E130" s="3" t="s">
        <v>1869</v>
      </c>
      <c r="F130" s="3" t="s">
        <v>9659</v>
      </c>
      <c r="G130" s="4" t="str">
        <f>_xlfn.IFNA(IF(((INDEX(RoleSchemas!D2:D13, MATCH(C130,RoleSchemas!A2:A13, 0))="")=TRUE),  "",  INDEX(RoleSchemas!D2:D13, MATCH(C130,RoleSchemas!A2:A13, 0))), "")</f>
        <v>pko_knowledge_authority</v>
      </c>
      <c r="H130" s="4" t="str">
        <f>_xlfn.IFNA(IF(((INDEX(RulebookTables!E2:E93, MATCH(E130,RulebookTables!A2:A93, 0))="")=TRUE),  "",  INDEX(RulebookTables!E2:E93, MATCH(E130,RulebookTables!A2:A93, 0))), "")</f>
        <v>vw_app_role_profiles</v>
      </c>
      <c r="I130" s="4" t="str">
        <f>D130 &amp; "|" &amp; E130</f>
        <v>principal-knowledge-authority|AppRoleProfiles</v>
      </c>
      <c r="J130" s="4">
        <f>COUNTIFS(FieldGrants!M2:M3640, I130)</f>
        <v>12</v>
      </c>
      <c r="K130" s="4">
        <f>_xlfn.IFNA(IF(((INDEX(RulebookTables!H2:H93, MATCH(E130,RulebookTables!A2:A93, 0))="")=TRUE),  "",  INDEX(RulebookTables!H2:H93, MATCH(E130,RulebookTables!A2:A93, 0))), "")</f>
        <v>12</v>
      </c>
      <c r="L130" s="4" t="b">
        <f>AND(((J130 &gt; 0)=TRUE), ((J130 &gt;= K130)=TRUE))</f>
        <v>1</v>
      </c>
      <c r="M130" s="4" t="b">
        <f>J130 = 0</f>
        <v>0</v>
      </c>
      <c r="N130" s="3" t="s">
        <v>13657</v>
      </c>
    </row>
    <row r="131">
      <c r="A131" s="3" t="s">
        <v>13786</v>
      </c>
      <c r="B131" s="4" t="str">
        <f>G131 &amp; "." &amp; F131</f>
        <v>pko_knowledge_authority.app_route_questions</v>
      </c>
      <c r="C131" s="3" t="s">
        <v>13655</v>
      </c>
      <c r="D131" s="3" t="s">
        <v>9774</v>
      </c>
      <c r="E131" s="3" t="s">
        <v>1881</v>
      </c>
      <c r="F131" s="3" t="s">
        <v>9661</v>
      </c>
      <c r="G131" s="4" t="str">
        <f>_xlfn.IFNA(IF(((INDEX(RoleSchemas!D2:D13, MATCH(C131,RoleSchemas!A2:A13, 0))="")=TRUE),  "",  INDEX(RoleSchemas!D2:D13, MATCH(C131,RoleSchemas!A2:A13, 0))), "")</f>
        <v>pko_knowledge_authority</v>
      </c>
      <c r="H131" s="4" t="str">
        <f>_xlfn.IFNA(IF(((INDEX(RulebookTables!E2:E93, MATCH(E131,RulebookTables!A2:A93, 0))="")=TRUE),  "",  INDEX(RulebookTables!E2:E93, MATCH(E131,RulebookTables!A2:A93, 0))), "")</f>
        <v>vw_app_route_questions</v>
      </c>
      <c r="I131" s="4" t="str">
        <f>D131 &amp; "|" &amp; E131</f>
        <v>principal-knowledge-authority|AppRouteQuestions</v>
      </c>
      <c r="J131" s="4">
        <f>COUNTIFS(FieldGrants!M2:M3640, I131)</f>
        <v>5</v>
      </c>
      <c r="K131" s="4">
        <f>_xlfn.IFNA(IF(((INDEX(RulebookTables!H2:H93, MATCH(E131,RulebookTables!A2:A93, 0))="")=TRUE),  "",  INDEX(RulebookTables!H2:H93, MATCH(E131,RulebookTables!A2:A93, 0))), "")</f>
        <v>5</v>
      </c>
      <c r="L131" s="4" t="b">
        <f>AND(((J131 &gt; 0)=TRUE), ((J131 &gt;= K131)=TRUE))</f>
        <v>1</v>
      </c>
      <c r="M131" s="4" t="b">
        <f>J131 = 0</f>
        <v>0</v>
      </c>
      <c r="N131" s="3" t="s">
        <v>13657</v>
      </c>
    </row>
    <row r="132">
      <c r="A132" s="3" t="s">
        <v>13787</v>
      </c>
      <c r="B132" s="4" t="str">
        <f>G132 &amp; "." &amp; F132</f>
        <v>pko_knowledge_authority.app_route_references</v>
      </c>
      <c r="C132" s="3" t="s">
        <v>13655</v>
      </c>
      <c r="D132" s="3" t="s">
        <v>9774</v>
      </c>
      <c r="E132" s="3" t="s">
        <v>1885</v>
      </c>
      <c r="F132" s="3" t="s">
        <v>9663</v>
      </c>
      <c r="G132" s="4" t="str">
        <f>_xlfn.IFNA(IF(((INDEX(RoleSchemas!D2:D13, MATCH(C132,RoleSchemas!A2:A13, 0))="")=TRUE),  "",  INDEX(RoleSchemas!D2:D13, MATCH(C132,RoleSchemas!A2:A13, 0))), "")</f>
        <v>pko_knowledge_authority</v>
      </c>
      <c r="H132" s="4" t="str">
        <f>_xlfn.IFNA(IF(((INDEX(RulebookTables!E2:E93, MATCH(E132,RulebookTables!A2:A93, 0))="")=TRUE),  "",  INDEX(RulebookTables!E2:E93, MATCH(E132,RulebookTables!A2:A93, 0))), "")</f>
        <v>vw_app_route_references</v>
      </c>
      <c r="I132" s="4" t="str">
        <f>D132 &amp; "|" &amp; E132</f>
        <v>principal-knowledge-authority|AppRouteReferences</v>
      </c>
      <c r="J132" s="4">
        <f>COUNTIFS(FieldGrants!M2:M3640, I132)</f>
        <v>5</v>
      </c>
      <c r="K132" s="4">
        <f>_xlfn.IFNA(IF(((INDEX(RulebookTables!H2:H93, MATCH(E132,RulebookTables!A2:A93, 0))="")=TRUE),  "",  INDEX(RulebookTables!H2:H93, MATCH(E132,RulebookTables!A2:A93, 0))), "")</f>
        <v>5</v>
      </c>
      <c r="L132" s="4" t="b">
        <f>AND(((J132 &gt; 0)=TRUE), ((J132 &gt;= K132)=TRUE))</f>
        <v>1</v>
      </c>
      <c r="M132" s="4" t="b">
        <f>J132 = 0</f>
        <v>0</v>
      </c>
      <c r="N132" s="3" t="s">
        <v>13657</v>
      </c>
    </row>
    <row r="133">
      <c r="A133" s="3" t="s">
        <v>13788</v>
      </c>
      <c r="B133" s="4" t="str">
        <f>G133 &amp; "." &amp; F133</f>
        <v>pko_knowledge_authority.app_routes</v>
      </c>
      <c r="C133" s="3" t="s">
        <v>13655</v>
      </c>
      <c r="D133" s="3" t="s">
        <v>9774</v>
      </c>
      <c r="E133" s="3" t="s">
        <v>1877</v>
      </c>
      <c r="F133" s="3" t="s">
        <v>9665</v>
      </c>
      <c r="G133" s="4" t="str">
        <f>_xlfn.IFNA(IF(((INDEX(RoleSchemas!D2:D13, MATCH(C133,RoleSchemas!A2:A13, 0))="")=TRUE),  "",  INDEX(RoleSchemas!D2:D13, MATCH(C133,RoleSchemas!A2:A13, 0))), "")</f>
        <v>pko_knowledge_authority</v>
      </c>
      <c r="H133" s="4" t="str">
        <f>_xlfn.IFNA(IF(((INDEX(RulebookTables!E2:E93, MATCH(E133,RulebookTables!A2:A93, 0))="")=TRUE),  "",  INDEX(RulebookTables!E2:E93, MATCH(E133,RulebookTables!A2:A93, 0))), "")</f>
        <v>vw_app_routes</v>
      </c>
      <c r="I133" s="4" t="str">
        <f>D133 &amp; "|" &amp; E133</f>
        <v>principal-knowledge-authority|AppRoutes</v>
      </c>
      <c r="J133" s="4">
        <f>COUNTIFS(FieldGrants!M2:M3640, I133)</f>
        <v>18</v>
      </c>
      <c r="K133" s="4">
        <f>_xlfn.IFNA(IF(((INDEX(RulebookTables!H2:H93, MATCH(E133,RulebookTables!A2:A93, 0))="")=TRUE),  "",  INDEX(RulebookTables!H2:H93, MATCH(E133,RulebookTables!A2:A93, 0))), "")</f>
        <v>18</v>
      </c>
      <c r="L133" s="4" t="b">
        <f>AND(((J133 &gt; 0)=TRUE), ((J133 &gt;= K133)=TRUE))</f>
        <v>1</v>
      </c>
      <c r="M133" s="4" t="b">
        <f>J133 = 0</f>
        <v>0</v>
      </c>
      <c r="N133" s="3" t="s">
        <v>13657</v>
      </c>
    </row>
    <row r="134">
      <c r="A134" s="3" t="s">
        <v>13789</v>
      </c>
      <c r="B134" s="4" t="str">
        <f>G134 &amp; "." &amp; F134</f>
        <v>pko_knowledge_authority.attestations</v>
      </c>
      <c r="C134" s="3" t="s">
        <v>13655</v>
      </c>
      <c r="D134" s="3" t="s">
        <v>9774</v>
      </c>
      <c r="E134" s="3" t="s">
        <v>5235</v>
      </c>
      <c r="F134" s="3" t="s">
        <v>9667</v>
      </c>
      <c r="G134" s="4" t="str">
        <f>_xlfn.IFNA(IF(((INDEX(RoleSchemas!D2:D13, MATCH(C134,RoleSchemas!A2:A13, 0))="")=TRUE),  "",  INDEX(RoleSchemas!D2:D13, MATCH(C134,RoleSchemas!A2:A13, 0))), "")</f>
        <v>pko_knowledge_authority</v>
      </c>
      <c r="H134" s="4" t="str">
        <f>_xlfn.IFNA(IF(((INDEX(RulebookTables!E2:E93, MATCH(E134,RulebookTables!A2:A93, 0))="")=TRUE),  "",  INDEX(RulebookTables!E2:E93, MATCH(E134,RulebookTables!A2:A93, 0))), "")</f>
        <v>vw_attestations</v>
      </c>
      <c r="I134" s="4" t="str">
        <f>D134 &amp; "|" &amp; E134</f>
        <v>principal-knowledge-authority|Attestations</v>
      </c>
      <c r="J134" s="4">
        <f>COUNTIFS(FieldGrants!M2:M3640, I134)</f>
        <v>12</v>
      </c>
      <c r="K134" s="4">
        <f>_xlfn.IFNA(IF(((INDEX(RulebookTables!H2:H93, MATCH(E134,RulebookTables!A2:A93, 0))="")=TRUE),  "",  INDEX(RulebookTables!H2:H93, MATCH(E134,RulebookTables!A2:A93, 0))), "")</f>
        <v>12</v>
      </c>
      <c r="L134" s="4" t="b">
        <f>AND(((J134 &gt; 0)=TRUE), ((J134 &gt;= K134)=TRUE))</f>
        <v>1</v>
      </c>
      <c r="M134" s="4" t="b">
        <f>J134 = 0</f>
        <v>0</v>
      </c>
      <c r="N134" s="3" t="s">
        <v>13657</v>
      </c>
    </row>
    <row r="135">
      <c r="A135" s="3" t="s">
        <v>13790</v>
      </c>
      <c r="B135" s="4" t="str">
        <f>G135 &amp; "." &amp; F135</f>
        <v>pko_knowledge_authority.authority_boundaries</v>
      </c>
      <c r="C135" s="3" t="s">
        <v>13655</v>
      </c>
      <c r="D135" s="3" t="s">
        <v>9774</v>
      </c>
      <c r="E135" s="3" t="s">
        <v>5131</v>
      </c>
      <c r="F135" s="3" t="s">
        <v>9668</v>
      </c>
      <c r="G135" s="4" t="str">
        <f>_xlfn.IFNA(IF(((INDEX(RoleSchemas!D2:D13, MATCH(C135,RoleSchemas!A2:A13, 0))="")=TRUE),  "",  INDEX(RoleSchemas!D2:D13, MATCH(C135,RoleSchemas!A2:A13, 0))), "")</f>
        <v>pko_knowledge_authority</v>
      </c>
      <c r="H135" s="4" t="str">
        <f>_xlfn.IFNA(IF(((INDEX(RulebookTables!E2:E93, MATCH(E135,RulebookTables!A2:A93, 0))="")=TRUE),  "",  INDEX(RulebookTables!E2:E93, MATCH(E135,RulebookTables!A2:A93, 0))), "")</f>
        <v>vw_authority_boundaries</v>
      </c>
      <c r="I135" s="4" t="str">
        <f>D135 &amp; "|" &amp; E135</f>
        <v>principal-knowledge-authority|AuthorityBoundaries</v>
      </c>
      <c r="J135" s="4">
        <f>COUNTIFS(FieldGrants!M2:M3640, I135)</f>
        <v>33</v>
      </c>
      <c r="K135" s="4">
        <f>_xlfn.IFNA(IF(((INDEX(RulebookTables!H2:H93, MATCH(E135,RulebookTables!A2:A93, 0))="")=TRUE),  "",  INDEX(RulebookTables!H2:H93, MATCH(E135,RulebookTables!A2:A93, 0))), "")</f>
        <v>33</v>
      </c>
      <c r="L135" s="4" t="b">
        <f>AND(((J135 &gt; 0)=TRUE), ((J135 &gt;= K135)=TRUE))</f>
        <v>1</v>
      </c>
      <c r="M135" s="4" t="b">
        <f>J135 = 0</f>
        <v>0</v>
      </c>
      <c r="N135" s="3" t="s">
        <v>13657</v>
      </c>
    </row>
    <row r="136">
      <c r="A136" s="3" t="s">
        <v>13791</v>
      </c>
      <c r="B136" s="4" t="str">
        <f>G136 &amp; "." &amp; F136</f>
        <v>pko_knowledge_authority.binding_observations</v>
      </c>
      <c r="C136" s="3" t="s">
        <v>13655</v>
      </c>
      <c r="D136" s="3" t="s">
        <v>9774</v>
      </c>
      <c r="E136" s="3" t="s">
        <v>5208</v>
      </c>
      <c r="F136" s="3" t="s">
        <v>9669</v>
      </c>
      <c r="G136" s="4" t="str">
        <f>_xlfn.IFNA(IF(((INDEX(RoleSchemas!D2:D13, MATCH(C136,RoleSchemas!A2:A13, 0))="")=TRUE),  "",  INDEX(RoleSchemas!D2:D13, MATCH(C136,RoleSchemas!A2:A13, 0))), "")</f>
        <v>pko_knowledge_authority</v>
      </c>
      <c r="H136" s="4" t="str">
        <f>_xlfn.IFNA(IF(((INDEX(RulebookTables!E2:E93, MATCH(E136,RulebookTables!A2:A93, 0))="")=TRUE),  "",  INDEX(RulebookTables!E2:E93, MATCH(E136,RulebookTables!A2:A93, 0))), "")</f>
        <v>vw_binding_observations</v>
      </c>
      <c r="I136" s="4" t="str">
        <f>D136 &amp; "|" &amp; E136</f>
        <v>principal-knowledge-authority|BindingObservations</v>
      </c>
      <c r="J136" s="4">
        <f>COUNTIFS(FieldGrants!M2:M3640, I136)</f>
        <v>11</v>
      </c>
      <c r="K136" s="4">
        <f>_xlfn.IFNA(IF(((INDEX(RulebookTables!H2:H93, MATCH(E136,RulebookTables!A2:A93, 0))="")=TRUE),  "",  INDEX(RulebookTables!H2:H93, MATCH(E136,RulebookTables!A2:A93, 0))), "")</f>
        <v>11</v>
      </c>
      <c r="L136" s="4" t="b">
        <f>AND(((J136 &gt; 0)=TRUE), ((J136 &gt;= K136)=TRUE))</f>
        <v>1</v>
      </c>
      <c r="M136" s="4" t="b">
        <f>J136 = 0</f>
        <v>0</v>
      </c>
      <c r="N136" s="3" t="s">
        <v>13657</v>
      </c>
    </row>
    <row r="137">
      <c r="A137" s="3" t="s">
        <v>13792</v>
      </c>
      <c r="B137" s="4" t="str">
        <f>G137 &amp; "." &amp; F137</f>
        <v>pko_knowledge_authority.change_requests</v>
      </c>
      <c r="C137" s="3" t="s">
        <v>13655</v>
      </c>
      <c r="D137" s="3" t="s">
        <v>9774</v>
      </c>
      <c r="E137" s="3" t="s">
        <v>3914</v>
      </c>
      <c r="F137" s="3" t="s">
        <v>9670</v>
      </c>
      <c r="G137" s="4" t="str">
        <f>_xlfn.IFNA(IF(((INDEX(RoleSchemas!D2:D13, MATCH(C137,RoleSchemas!A2:A13, 0))="")=TRUE),  "",  INDEX(RoleSchemas!D2:D13, MATCH(C137,RoleSchemas!A2:A13, 0))), "")</f>
        <v>pko_knowledge_authority</v>
      </c>
      <c r="H137" s="4" t="str">
        <f>_xlfn.IFNA(IF(((INDEX(RulebookTables!E2:E93, MATCH(E137,RulebookTables!A2:A93, 0))="")=TRUE),  "",  INDEX(RulebookTables!E2:E93, MATCH(E137,RulebookTables!A2:A93, 0))), "")</f>
        <v>vw_change_requests</v>
      </c>
      <c r="I137" s="4" t="str">
        <f>D137 &amp; "|" &amp; E137</f>
        <v>principal-knowledge-authority|ChangeRequests</v>
      </c>
      <c r="J137" s="4">
        <f>COUNTIFS(FieldGrants!M2:M3640, I137)</f>
        <v>45</v>
      </c>
      <c r="K137" s="4">
        <f>_xlfn.IFNA(IF(((INDEX(RulebookTables!H2:H93, MATCH(E137,RulebookTables!A2:A93, 0))="")=TRUE),  "",  INDEX(RulebookTables!H2:H93, MATCH(E137,RulebookTables!A2:A93, 0))), "")</f>
        <v>45</v>
      </c>
      <c r="L137" s="4" t="b">
        <f>AND(((J137 &gt; 0)=TRUE), ((J137 &gt;= K137)=TRUE))</f>
        <v>1</v>
      </c>
      <c r="M137" s="4" t="b">
        <f>J137 = 0</f>
        <v>0</v>
      </c>
      <c r="N137" s="3" t="s">
        <v>13657</v>
      </c>
    </row>
    <row r="138">
      <c r="A138" s="3" t="s">
        <v>13793</v>
      </c>
      <c r="B138" s="4" t="str">
        <f>G138 &amp; "." &amp; F138</f>
        <v>pko_knowledge_authority.communication_policies</v>
      </c>
      <c r="C138" s="3" t="s">
        <v>13655</v>
      </c>
      <c r="D138" s="3" t="s">
        <v>9774</v>
      </c>
      <c r="E138" s="3" t="s">
        <v>1865</v>
      </c>
      <c r="F138" s="3" t="s">
        <v>9671</v>
      </c>
      <c r="G138" s="4" t="str">
        <f>_xlfn.IFNA(IF(((INDEX(RoleSchemas!D2:D13, MATCH(C138,RoleSchemas!A2:A13, 0))="")=TRUE),  "",  INDEX(RoleSchemas!D2:D13, MATCH(C138,RoleSchemas!A2:A13, 0))), "")</f>
        <v>pko_knowledge_authority</v>
      </c>
      <c r="H138" s="4" t="str">
        <f>_xlfn.IFNA(IF(((INDEX(RulebookTables!E2:E93, MATCH(E138,RulebookTables!A2:A93, 0))="")=TRUE),  "",  INDEX(RulebookTables!E2:E93, MATCH(E138,RulebookTables!A2:A93, 0))), "")</f>
        <v>vw_communication_policies</v>
      </c>
      <c r="I138" s="4" t="str">
        <f>D138 &amp; "|" &amp; E138</f>
        <v>principal-knowledge-authority|CommunicationPolicies</v>
      </c>
      <c r="J138" s="4">
        <f>COUNTIFS(FieldGrants!M2:M3640, I138)</f>
        <v>22</v>
      </c>
      <c r="K138" s="4">
        <f>_xlfn.IFNA(IF(((INDEX(RulebookTables!H2:H93, MATCH(E138,RulebookTables!A2:A93, 0))="")=TRUE),  "",  INDEX(RulebookTables!H2:H93, MATCH(E138,RulebookTables!A2:A93, 0))), "")</f>
        <v>22</v>
      </c>
      <c r="L138" s="4" t="b">
        <f>AND(((J138 &gt; 0)=TRUE), ((J138 &gt;= K138)=TRUE))</f>
        <v>1</v>
      </c>
      <c r="M138" s="4" t="b">
        <f>J138 = 0</f>
        <v>0</v>
      </c>
      <c r="N138" s="3" t="s">
        <v>13657</v>
      </c>
    </row>
    <row r="139">
      <c r="A139" s="3" t="s">
        <v>13794</v>
      </c>
      <c r="B139" s="4" t="str">
        <f>G139 &amp; "." &amp; F139</f>
        <v>pko_knowledge_authority.communities_of_practice</v>
      </c>
      <c r="C139" s="3" t="s">
        <v>13655</v>
      </c>
      <c r="D139" s="3" t="s">
        <v>9774</v>
      </c>
      <c r="E139" s="3" t="s">
        <v>2655</v>
      </c>
      <c r="F139" s="3" t="s">
        <v>9673</v>
      </c>
      <c r="G139" s="4" t="str">
        <f>_xlfn.IFNA(IF(((INDEX(RoleSchemas!D2:D13, MATCH(C139,RoleSchemas!A2:A13, 0))="")=TRUE),  "",  INDEX(RoleSchemas!D2:D13, MATCH(C139,RoleSchemas!A2:A13, 0))), "")</f>
        <v>pko_knowledge_authority</v>
      </c>
      <c r="H139" s="4" t="str">
        <f>_xlfn.IFNA(IF(((INDEX(RulebookTables!E2:E93, MATCH(E139,RulebookTables!A2:A93, 0))="")=TRUE),  "",  INDEX(RulebookTables!E2:E93, MATCH(E139,RulebookTables!A2:A93, 0))), "")</f>
        <v>vw_communities_of_practice</v>
      </c>
      <c r="I139" s="4" t="str">
        <f>D139 &amp; "|" &amp; E139</f>
        <v>principal-knowledge-authority|CommunitiesOfPractice</v>
      </c>
      <c r="J139" s="4">
        <f>COUNTIFS(FieldGrants!M2:M3640, I139)</f>
        <v>8</v>
      </c>
      <c r="K139" s="4">
        <f>_xlfn.IFNA(IF(((INDEX(RulebookTables!H2:H93, MATCH(E139,RulebookTables!A2:A93, 0))="")=TRUE),  "",  INDEX(RulebookTables!H2:H93, MATCH(E139,RulebookTables!A2:A93, 0))), "")</f>
        <v>8</v>
      </c>
      <c r="L139" s="4" t="b">
        <f>AND(((J139 &gt; 0)=TRUE), ((J139 &gt;= K139)=TRUE))</f>
        <v>1</v>
      </c>
      <c r="M139" s="4" t="b">
        <f>J139 = 0</f>
        <v>0</v>
      </c>
      <c r="N139" s="3" t="s">
        <v>13657</v>
      </c>
    </row>
    <row r="140">
      <c r="A140" s="3" t="s">
        <v>13795</v>
      </c>
      <c r="B140" s="4" t="str">
        <f>G140 &amp; "." &amp; F140</f>
        <v>pko_knowledge_authority.delivered_communications</v>
      </c>
      <c r="C140" s="3" t="s">
        <v>13655</v>
      </c>
      <c r="D140" s="3" t="s">
        <v>9774</v>
      </c>
      <c r="E140" s="3" t="s">
        <v>5095</v>
      </c>
      <c r="F140" s="3" t="s">
        <v>9674</v>
      </c>
      <c r="G140" s="4" t="str">
        <f>_xlfn.IFNA(IF(((INDEX(RoleSchemas!D2:D13, MATCH(C140,RoleSchemas!A2:A13, 0))="")=TRUE),  "",  INDEX(RoleSchemas!D2:D13, MATCH(C140,RoleSchemas!A2:A13, 0))), "")</f>
        <v>pko_knowledge_authority</v>
      </c>
      <c r="H140" s="4" t="str">
        <f>_xlfn.IFNA(IF(((INDEX(RulebookTables!E2:E93, MATCH(E140,RulebookTables!A2:A93, 0))="")=TRUE),  "",  INDEX(RulebookTables!E2:E93, MATCH(E140,RulebookTables!A2:A93, 0))), "")</f>
        <v>vw_delivered_communications</v>
      </c>
      <c r="I140" s="4" t="str">
        <f>D140 &amp; "|" &amp; E140</f>
        <v>principal-knowledge-authority|DeliveredCommunications</v>
      </c>
      <c r="J140" s="4">
        <f>COUNTIFS(FieldGrants!M2:M3640, I140)</f>
        <v>18</v>
      </c>
      <c r="K140" s="4">
        <f>_xlfn.IFNA(IF(((INDEX(RulebookTables!H2:H93, MATCH(E140,RulebookTables!A2:A93, 0))="")=TRUE),  "",  INDEX(RulebookTables!H2:H93, MATCH(E140,RulebookTables!A2:A93, 0))), "")</f>
        <v>18</v>
      </c>
      <c r="L140" s="4" t="b">
        <f>AND(((J140 &gt; 0)=TRUE), ((J140 &gt;= K140)=TRUE))</f>
        <v>1</v>
      </c>
      <c r="M140" s="4" t="b">
        <f>J140 = 0</f>
        <v>0</v>
      </c>
      <c r="N140" s="3" t="s">
        <v>13657</v>
      </c>
    </row>
    <row r="141">
      <c r="A141" s="3" t="s">
        <v>13796</v>
      </c>
      <c r="B141" s="4" t="str">
        <f>G141 &amp; "." &amp; F141</f>
        <v>pko_knowledge_authority.elicitation_sessions</v>
      </c>
      <c r="C141" s="3" t="s">
        <v>13655</v>
      </c>
      <c r="D141" s="3" t="s">
        <v>9774</v>
      </c>
      <c r="E141" s="3" t="s">
        <v>1855</v>
      </c>
      <c r="F141" s="3" t="s">
        <v>9676</v>
      </c>
      <c r="G141" s="4" t="str">
        <f>_xlfn.IFNA(IF(((INDEX(RoleSchemas!D2:D13, MATCH(C141,RoleSchemas!A2:A13, 0))="")=TRUE),  "",  INDEX(RoleSchemas!D2:D13, MATCH(C141,RoleSchemas!A2:A13, 0))), "")</f>
        <v>pko_knowledge_authority</v>
      </c>
      <c r="H141" s="4" t="str">
        <f>_xlfn.IFNA(IF(((INDEX(RulebookTables!E2:E93, MATCH(E141,RulebookTables!A2:A93, 0))="")=TRUE),  "",  INDEX(RulebookTables!E2:E93, MATCH(E141,RulebookTables!A2:A93, 0))), "")</f>
        <v>vw_elicitation_sessions</v>
      </c>
      <c r="I141" s="4" t="str">
        <f>D141 &amp; "|" &amp; E141</f>
        <v>principal-knowledge-authority|ElicitationSessions</v>
      </c>
      <c r="J141" s="4">
        <f>COUNTIFS(FieldGrants!M2:M3640, I141)</f>
        <v>21</v>
      </c>
      <c r="K141" s="4">
        <f>_xlfn.IFNA(IF(((INDEX(RulebookTables!H2:H93, MATCH(E141,RulebookTables!A2:A93, 0))="")=TRUE),  "",  INDEX(RulebookTables!H2:H93, MATCH(E141,RulebookTables!A2:A93, 0))), "")</f>
        <v>21</v>
      </c>
      <c r="L141" s="4" t="b">
        <f>AND(((J141 &gt; 0)=TRUE), ((J141 &gt;= K141)=TRUE))</f>
        <v>1</v>
      </c>
      <c r="M141" s="4" t="b">
        <f>J141 = 0</f>
        <v>0</v>
      </c>
      <c r="N141" s="3" t="s">
        <v>13657</v>
      </c>
    </row>
    <row r="142">
      <c r="A142" s="3" t="s">
        <v>13797</v>
      </c>
      <c r="B142" s="4" t="str">
        <f>G142 &amp; "." &amp; F142</f>
        <v>pko_knowledge_authority.errors</v>
      </c>
      <c r="C142" s="3" t="s">
        <v>13655</v>
      </c>
      <c r="D142" s="3" t="s">
        <v>9774</v>
      </c>
      <c r="E142" s="3" t="s">
        <v>1833</v>
      </c>
      <c r="F142" s="3" t="s">
        <v>9677</v>
      </c>
      <c r="G142" s="4" t="str">
        <f>_xlfn.IFNA(IF(((INDEX(RoleSchemas!D2:D13, MATCH(C142,RoleSchemas!A2:A13, 0))="")=TRUE),  "",  INDEX(RoleSchemas!D2:D13, MATCH(C142,RoleSchemas!A2:A13, 0))), "")</f>
        <v>pko_knowledge_authority</v>
      </c>
      <c r="H142" s="4" t="str">
        <f>_xlfn.IFNA(IF(((INDEX(RulebookTables!E2:E93, MATCH(E142,RulebookTables!A2:A93, 0))="")=TRUE),  "",  INDEX(RulebookTables!E2:E93, MATCH(E142,RulebookTables!A2:A93, 0))), "")</f>
        <v>vw_errors</v>
      </c>
      <c r="I142" s="4" t="str">
        <f>D142 &amp; "|" &amp; E142</f>
        <v>principal-knowledge-authority|Errors</v>
      </c>
      <c r="J142" s="4">
        <f>COUNTIFS(FieldGrants!M2:M3640, I142)</f>
        <v>6</v>
      </c>
      <c r="K142" s="4">
        <f>_xlfn.IFNA(IF(((INDEX(RulebookTables!H2:H93, MATCH(E142,RulebookTables!A2:A93, 0))="")=TRUE),  "",  INDEX(RulebookTables!H2:H93, MATCH(E142,RulebookTables!A2:A93, 0))), "")</f>
        <v>6</v>
      </c>
      <c r="L142" s="4" t="b">
        <f>AND(((J142 &gt; 0)=TRUE), ((J142 &gt;= K142)=TRUE))</f>
        <v>1</v>
      </c>
      <c r="M142" s="4" t="b">
        <f>J142 = 0</f>
        <v>0</v>
      </c>
      <c r="N142" s="3" t="s">
        <v>13657</v>
      </c>
    </row>
    <row r="143">
      <c r="A143" s="3" t="s">
        <v>13798</v>
      </c>
      <c r="B143" s="4" t="str">
        <f>G143 &amp; "." &amp; F143</f>
        <v>pko_knowledge_authority.evaluation_contexts</v>
      </c>
      <c r="C143" s="3" t="s">
        <v>13655</v>
      </c>
      <c r="D143" s="3" t="s">
        <v>9774</v>
      </c>
      <c r="E143" s="3" t="s">
        <v>2444</v>
      </c>
      <c r="F143" s="3" t="s">
        <v>9678</v>
      </c>
      <c r="G143" s="4" t="str">
        <f>_xlfn.IFNA(IF(((INDEX(RoleSchemas!D2:D13, MATCH(C143,RoleSchemas!A2:A13, 0))="")=TRUE),  "",  INDEX(RoleSchemas!D2:D13, MATCH(C143,RoleSchemas!A2:A13, 0))), "")</f>
        <v>pko_knowledge_authority</v>
      </c>
      <c r="H143" s="4" t="str">
        <f>_xlfn.IFNA(IF(((INDEX(RulebookTables!E2:E93, MATCH(E143,RulebookTables!A2:A93, 0))="")=TRUE),  "",  INDEX(RulebookTables!E2:E93, MATCH(E143,RulebookTables!A2:A93, 0))), "")</f>
        <v>vw_evaluation_contexts</v>
      </c>
      <c r="I143" s="4" t="str">
        <f>D143 &amp; "|" &amp; E143</f>
        <v>principal-knowledge-authority|EvaluationContexts</v>
      </c>
      <c r="J143" s="4">
        <f>COUNTIFS(FieldGrants!M2:M3640, I143)</f>
        <v>7</v>
      </c>
      <c r="K143" s="4">
        <f>_xlfn.IFNA(IF(((INDEX(RulebookTables!H2:H93, MATCH(E143,RulebookTables!A2:A93, 0))="")=TRUE),  "",  INDEX(RulebookTables!H2:H93, MATCH(E143,RulebookTables!A2:A93, 0))), "")</f>
        <v>7</v>
      </c>
      <c r="L143" s="4" t="b">
        <f>AND(((J143 &gt; 0)=TRUE), ((J143 &gt;= K143)=TRUE))</f>
        <v>1</v>
      </c>
      <c r="M143" s="4" t="b">
        <f>J143 = 0</f>
        <v>0</v>
      </c>
      <c r="N143" s="3" t="s">
        <v>13657</v>
      </c>
    </row>
    <row r="144">
      <c r="A144" s="3" t="s">
        <v>13799</v>
      </c>
      <c r="B144" s="4" t="str">
        <f>G144 &amp; "." &amp; F144</f>
        <v>pko_knowledge_authority.exception_invocations</v>
      </c>
      <c r="C144" s="3" t="s">
        <v>13655</v>
      </c>
      <c r="D144" s="3" t="s">
        <v>9774</v>
      </c>
      <c r="E144" s="3" t="s">
        <v>4287</v>
      </c>
      <c r="F144" s="3" t="s">
        <v>9679</v>
      </c>
      <c r="G144" s="4" t="str">
        <f>_xlfn.IFNA(IF(((INDEX(RoleSchemas!D2:D13, MATCH(C144,RoleSchemas!A2:A13, 0))="")=TRUE),  "",  INDEX(RoleSchemas!D2:D13, MATCH(C144,RoleSchemas!A2:A13, 0))), "")</f>
        <v>pko_knowledge_authority</v>
      </c>
      <c r="H144" s="4" t="str">
        <f>_xlfn.IFNA(IF(((INDEX(RulebookTables!E2:E93, MATCH(E144,RulebookTables!A2:A93, 0))="")=TRUE),  "",  INDEX(RulebookTables!E2:E93, MATCH(E144,RulebookTables!A2:A93, 0))), "")</f>
        <v>vw_exception_invocations</v>
      </c>
      <c r="I144" s="4" t="str">
        <f>D144 &amp; "|" &amp; E144</f>
        <v>principal-knowledge-authority|ExceptionInvocations</v>
      </c>
      <c r="J144" s="4">
        <f>COUNTIFS(FieldGrants!M2:M3640, I144)</f>
        <v>21</v>
      </c>
      <c r="K144" s="4">
        <f>_xlfn.IFNA(IF(((INDEX(RulebookTables!H2:H93, MATCH(E144,RulebookTables!A2:A93, 0))="")=TRUE),  "",  INDEX(RulebookTables!H2:H93, MATCH(E144,RulebookTables!A2:A93, 0))), "")</f>
        <v>21</v>
      </c>
      <c r="L144" s="4" t="b">
        <f>AND(((J144 &gt; 0)=TRUE), ((J144 &gt;= K144)=TRUE))</f>
        <v>1</v>
      </c>
      <c r="M144" s="4" t="b">
        <f>J144 = 0</f>
        <v>0</v>
      </c>
      <c r="N144" s="3" t="s">
        <v>13657</v>
      </c>
    </row>
    <row r="145">
      <c r="A145" s="3" t="s">
        <v>13800</v>
      </c>
      <c r="B145" s="4" t="str">
        <f>G145 &amp; "." &amp; F145</f>
        <v>pko_knowledge_authority.exceptions</v>
      </c>
      <c r="C145" s="3" t="s">
        <v>13655</v>
      </c>
      <c r="D145" s="3" t="s">
        <v>9774</v>
      </c>
      <c r="E145" s="3" t="s">
        <v>3161</v>
      </c>
      <c r="F145" s="3" t="s">
        <v>9680</v>
      </c>
      <c r="G145" s="4" t="str">
        <f>_xlfn.IFNA(IF(((INDEX(RoleSchemas!D2:D13, MATCH(C145,RoleSchemas!A2:A13, 0))="")=TRUE),  "",  INDEX(RoleSchemas!D2:D13, MATCH(C145,RoleSchemas!A2:A13, 0))), "")</f>
        <v>pko_knowledge_authority</v>
      </c>
      <c r="H145" s="4" t="str">
        <f>_xlfn.IFNA(IF(((INDEX(RulebookTables!E2:E93, MATCH(E145,RulebookTables!A2:A93, 0))="")=TRUE),  "",  INDEX(RulebookTables!E2:E93, MATCH(E145,RulebookTables!A2:A93, 0))), "")</f>
        <v>vw_exceptions</v>
      </c>
      <c r="I145" s="4" t="str">
        <f>D145 &amp; "|" &amp; E145</f>
        <v>principal-knowledge-authority|Exceptions</v>
      </c>
      <c r="J145" s="4">
        <f>COUNTIFS(FieldGrants!M2:M3640, I145)</f>
        <v>11</v>
      </c>
      <c r="K145" s="4">
        <f>_xlfn.IFNA(IF(((INDEX(RulebookTables!H2:H93, MATCH(E145,RulebookTables!A2:A93, 0))="")=TRUE),  "",  INDEX(RulebookTables!H2:H93, MATCH(E145,RulebookTables!A2:A93, 0))), "")</f>
        <v>11</v>
      </c>
      <c r="L145" s="4" t="b">
        <f>AND(((J145 &gt; 0)=TRUE), ((J145 &gt;= K145)=TRUE))</f>
        <v>1</v>
      </c>
      <c r="M145" s="4" t="b">
        <f>J145 = 0</f>
        <v>0</v>
      </c>
      <c r="N145" s="3" t="s">
        <v>13657</v>
      </c>
    </row>
    <row r="146">
      <c r="A146" s="3" t="s">
        <v>13801</v>
      </c>
      <c r="B146" s="4" t="str">
        <f>G146 &amp; "." &amp; F146</f>
        <v>pko_knowledge_authority.explanations</v>
      </c>
      <c r="C146" s="3" t="s">
        <v>13655</v>
      </c>
      <c r="D146" s="3" t="s">
        <v>9774</v>
      </c>
      <c r="E146" s="3" t="s">
        <v>1848</v>
      </c>
      <c r="F146" s="3" t="s">
        <v>9681</v>
      </c>
      <c r="G146" s="4" t="str">
        <f>_xlfn.IFNA(IF(((INDEX(RoleSchemas!D2:D13, MATCH(C146,RoleSchemas!A2:A13, 0))="")=TRUE),  "",  INDEX(RoleSchemas!D2:D13, MATCH(C146,RoleSchemas!A2:A13, 0))), "")</f>
        <v>pko_knowledge_authority</v>
      </c>
      <c r="H146" s="4" t="str">
        <f>_xlfn.IFNA(IF(((INDEX(RulebookTables!E2:E93, MATCH(E146,RulebookTables!A2:A93, 0))="")=TRUE),  "",  INDEX(RulebookTables!E2:E93, MATCH(E146,RulebookTables!A2:A93, 0))), "")</f>
        <v>vw_explanations</v>
      </c>
      <c r="I146" s="4" t="str">
        <f>D146 &amp; "|" &amp; E146</f>
        <v>principal-knowledge-authority|Explanations</v>
      </c>
      <c r="J146" s="4">
        <f>COUNTIFS(FieldGrants!M2:M3640, I146)</f>
        <v>7</v>
      </c>
      <c r="K146" s="4">
        <f>_xlfn.IFNA(IF(((INDEX(RulebookTables!H2:H93, MATCH(E146,RulebookTables!A2:A93, 0))="")=TRUE),  "",  INDEX(RulebookTables!H2:H93, MATCH(E146,RulebookTables!A2:A93, 0))), "")</f>
        <v>7</v>
      </c>
      <c r="L146" s="4" t="b">
        <f>AND(((J146 &gt; 0)=TRUE), ((J146 &gt;= K146)=TRUE))</f>
        <v>1</v>
      </c>
      <c r="M146" s="4" t="b">
        <f>J146 = 0</f>
        <v>0</v>
      </c>
      <c r="N146" s="3" t="s">
        <v>13657</v>
      </c>
    </row>
    <row r="147">
      <c r="A147" s="3" t="s">
        <v>13802</v>
      </c>
      <c r="B147" s="4" t="str">
        <f>G147 &amp; "." &amp; F147</f>
        <v>pko_knowledge_authority.functions</v>
      </c>
      <c r="C147" s="3" t="s">
        <v>13655</v>
      </c>
      <c r="D147" s="3" t="s">
        <v>9774</v>
      </c>
      <c r="E147" s="3" t="s">
        <v>1799</v>
      </c>
      <c r="F147" s="3" t="s">
        <v>9682</v>
      </c>
      <c r="G147" s="4" t="str">
        <f>_xlfn.IFNA(IF(((INDEX(RoleSchemas!D2:D13, MATCH(C147,RoleSchemas!A2:A13, 0))="")=TRUE),  "",  INDEX(RoleSchemas!D2:D13, MATCH(C147,RoleSchemas!A2:A13, 0))), "")</f>
        <v>pko_knowledge_authority</v>
      </c>
      <c r="H147" s="4" t="str">
        <f>_xlfn.IFNA(IF(((INDEX(RulebookTables!E2:E93, MATCH(E147,RulebookTables!A2:A93, 0))="")=TRUE),  "",  INDEX(RulebookTables!E2:E93, MATCH(E147,RulebookTables!A2:A93, 0))), "")</f>
        <v>vw_functions</v>
      </c>
      <c r="I147" s="4" t="str">
        <f>D147 &amp; "|" &amp; E147</f>
        <v>principal-knowledge-authority|Functions</v>
      </c>
      <c r="J147" s="4">
        <f>COUNTIFS(FieldGrants!M2:M3640, I147)</f>
        <v>6</v>
      </c>
      <c r="K147" s="4">
        <f>_xlfn.IFNA(IF(((INDEX(RulebookTables!H2:H93, MATCH(E147,RulebookTables!A2:A93, 0))="")=TRUE),  "",  INDEX(RulebookTables!H2:H93, MATCH(E147,RulebookTables!A2:A93, 0))), "")</f>
        <v>6</v>
      </c>
      <c r="L147" s="4" t="b">
        <f>AND(((J147 &gt; 0)=TRUE), ((J147 &gt;= K147)=TRUE))</f>
        <v>1</v>
      </c>
      <c r="M147" s="4" t="b">
        <f>J147 = 0</f>
        <v>0</v>
      </c>
      <c r="N147" s="3" t="s">
        <v>13657</v>
      </c>
    </row>
    <row r="148">
      <c r="A148" s="3" t="s">
        <v>13803</v>
      </c>
      <c r="B148" s="4" t="str">
        <f>G148 &amp; "." &amp; F148</f>
        <v>pko_knowledge_authority.issue_occurrences</v>
      </c>
      <c r="C148" s="3" t="s">
        <v>13655</v>
      </c>
      <c r="D148" s="3" t="s">
        <v>9774</v>
      </c>
      <c r="E148" s="3" t="s">
        <v>1836</v>
      </c>
      <c r="F148" s="3" t="s">
        <v>9683</v>
      </c>
      <c r="G148" s="4" t="str">
        <f>_xlfn.IFNA(IF(((INDEX(RoleSchemas!D2:D13, MATCH(C148,RoleSchemas!A2:A13, 0))="")=TRUE),  "",  INDEX(RoleSchemas!D2:D13, MATCH(C148,RoleSchemas!A2:A13, 0))), "")</f>
        <v>pko_knowledge_authority</v>
      </c>
      <c r="H148" s="4" t="str">
        <f>_xlfn.IFNA(IF(((INDEX(RulebookTables!E2:E93, MATCH(E148,RulebookTables!A2:A93, 0))="")=TRUE),  "",  INDEX(RulebookTables!E2:E93, MATCH(E148,RulebookTables!A2:A93, 0))), "")</f>
        <v>vw_issue_occurrences</v>
      </c>
      <c r="I148" s="4" t="str">
        <f>D148 &amp; "|" &amp; E148</f>
        <v>principal-knowledge-authority|IssueOccurrences</v>
      </c>
      <c r="J148" s="4">
        <f>COUNTIFS(FieldGrants!M2:M3640, I148)</f>
        <v>12</v>
      </c>
      <c r="K148" s="4">
        <f>_xlfn.IFNA(IF(((INDEX(RulebookTables!H2:H93, MATCH(E148,RulebookTables!A2:A93, 0))="")=TRUE),  "",  INDEX(RulebookTables!H2:H93, MATCH(E148,RulebookTables!A2:A93, 0))), "")</f>
        <v>12</v>
      </c>
      <c r="L148" s="4" t="b">
        <f>AND(((J148 &gt; 0)=TRUE), ((J148 &gt;= K148)=TRUE))</f>
        <v>1</v>
      </c>
      <c r="M148" s="4" t="b">
        <f>J148 = 0</f>
        <v>0</v>
      </c>
      <c r="N148" s="3" t="s">
        <v>13657</v>
      </c>
    </row>
    <row r="149">
      <c r="A149" s="3" t="s">
        <v>13804</v>
      </c>
      <c r="B149" s="4" t="str">
        <f>G149 &amp; "." &amp; F149</f>
        <v>pko_knowledge_authority.knowledge_fragments</v>
      </c>
      <c r="C149" s="3" t="s">
        <v>13655</v>
      </c>
      <c r="D149" s="3" t="s">
        <v>9774</v>
      </c>
      <c r="E149" s="3" t="s">
        <v>1851</v>
      </c>
      <c r="F149" s="3" t="s">
        <v>9684</v>
      </c>
      <c r="G149" s="4" t="str">
        <f>_xlfn.IFNA(IF(((INDEX(RoleSchemas!D2:D13, MATCH(C149,RoleSchemas!A2:A13, 0))="")=TRUE),  "",  INDEX(RoleSchemas!D2:D13, MATCH(C149,RoleSchemas!A2:A13, 0))), "")</f>
        <v>pko_knowledge_authority</v>
      </c>
      <c r="H149" s="4" t="str">
        <f>_xlfn.IFNA(IF(((INDEX(RulebookTables!E2:E93, MATCH(E149,RulebookTables!A2:A93, 0))="")=TRUE),  "",  INDEX(RulebookTables!E2:E93, MATCH(E149,RulebookTables!A2:A93, 0))), "")</f>
        <v>vw_knowledge_fragments</v>
      </c>
      <c r="I149" s="4" t="str">
        <f>D149 &amp; "|" &amp; E149</f>
        <v>principal-knowledge-authority|KnowledgeFragments</v>
      </c>
      <c r="J149" s="4">
        <f>COUNTIFS(FieldGrants!M2:M3640, I149)</f>
        <v>80</v>
      </c>
      <c r="K149" s="4">
        <f>_xlfn.IFNA(IF(((INDEX(RulebookTables!H2:H93, MATCH(E149,RulebookTables!A2:A93, 0))="")=TRUE),  "",  INDEX(RulebookTables!H2:H93, MATCH(E149,RulebookTables!A2:A93, 0))), "")</f>
        <v>80</v>
      </c>
      <c r="L149" s="4" t="b">
        <f>AND(((J149 &gt; 0)=TRUE), ((J149 &gt;= K149)=TRUE))</f>
        <v>1</v>
      </c>
      <c r="M149" s="4" t="b">
        <f>J149 = 0</f>
        <v>0</v>
      </c>
      <c r="N149" s="3" t="s">
        <v>13657</v>
      </c>
    </row>
    <row r="150">
      <c r="A150" s="3" t="s">
        <v>13805</v>
      </c>
      <c r="B150" s="4" t="str">
        <f>G150 &amp; "." &amp; F150</f>
        <v>pko_knowledge_authority.knowledge_gaps</v>
      </c>
      <c r="C150" s="3" t="s">
        <v>13655</v>
      </c>
      <c r="D150" s="3" t="s">
        <v>9774</v>
      </c>
      <c r="E150" s="3" t="s">
        <v>3368</v>
      </c>
      <c r="F150" s="3" t="s">
        <v>9685</v>
      </c>
      <c r="G150" s="4" t="str">
        <f>_xlfn.IFNA(IF(((INDEX(RoleSchemas!D2:D13, MATCH(C150,RoleSchemas!A2:A13, 0))="")=TRUE),  "",  INDEX(RoleSchemas!D2:D13, MATCH(C150,RoleSchemas!A2:A13, 0))), "")</f>
        <v>pko_knowledge_authority</v>
      </c>
      <c r="H150" s="4" t="str">
        <f>_xlfn.IFNA(IF(((INDEX(RulebookTables!E2:E93, MATCH(E150,RulebookTables!A2:A93, 0))="")=TRUE),  "",  INDEX(RulebookTables!E2:E93, MATCH(E150,RulebookTables!A2:A93, 0))), "")</f>
        <v>vw_knowledge_gaps</v>
      </c>
      <c r="I150" s="4" t="str">
        <f>D150 &amp; "|" &amp; E150</f>
        <v>principal-knowledge-authority|KnowledgeGaps</v>
      </c>
      <c r="J150" s="4">
        <f>COUNTIFS(FieldGrants!M2:M3640, I150)</f>
        <v>28</v>
      </c>
      <c r="K150" s="4">
        <f>_xlfn.IFNA(IF(((INDEX(RulebookTables!H2:H93, MATCH(E150,RulebookTables!A2:A93, 0))="")=TRUE),  "",  INDEX(RulebookTables!H2:H93, MATCH(E150,RulebookTables!A2:A93, 0))), "")</f>
        <v>28</v>
      </c>
      <c r="L150" s="4" t="b">
        <f>AND(((J150 &gt; 0)=TRUE), ((J150 &gt;= K150)=TRUE))</f>
        <v>1</v>
      </c>
      <c r="M150" s="4" t="b">
        <f>J150 = 0</f>
        <v>0</v>
      </c>
      <c r="N150" s="3" t="s">
        <v>13657</v>
      </c>
    </row>
    <row r="151">
      <c r="A151" s="3" t="s">
        <v>13806</v>
      </c>
      <c r="B151" s="4" t="str">
        <f>G151 &amp; "." &amp; F151</f>
        <v>pko_knowledge_authority.learning_activities</v>
      </c>
      <c r="C151" s="3" t="s">
        <v>13655</v>
      </c>
      <c r="D151" s="3" t="s">
        <v>9774</v>
      </c>
      <c r="E151" s="3" t="s">
        <v>4017</v>
      </c>
      <c r="F151" s="3" t="s">
        <v>9686</v>
      </c>
      <c r="G151" s="4" t="str">
        <f>_xlfn.IFNA(IF(((INDEX(RoleSchemas!D2:D13, MATCH(C151,RoleSchemas!A2:A13, 0))="")=TRUE),  "",  INDEX(RoleSchemas!D2:D13, MATCH(C151,RoleSchemas!A2:A13, 0))), "")</f>
        <v>pko_knowledge_authority</v>
      </c>
      <c r="H151" s="4" t="str">
        <f>_xlfn.IFNA(IF(((INDEX(RulebookTables!E2:E93, MATCH(E151,RulebookTables!A2:A93, 0))="")=TRUE),  "",  INDEX(RulebookTables!E2:E93, MATCH(E151,RulebookTables!A2:A93, 0))), "")</f>
        <v>vw_learning_activities</v>
      </c>
      <c r="I151" s="4" t="str">
        <f>D151 &amp; "|" &amp; E151</f>
        <v>principal-knowledge-authority|LearningActivities</v>
      </c>
      <c r="J151" s="4">
        <f>COUNTIFS(FieldGrants!M2:M3640, I151)</f>
        <v>10</v>
      </c>
      <c r="K151" s="4">
        <f>_xlfn.IFNA(IF(((INDEX(RulebookTables!H2:H93, MATCH(E151,RulebookTables!A2:A93, 0))="")=TRUE),  "",  INDEX(RulebookTables!H2:H93, MATCH(E151,RulebookTables!A2:A93, 0))), "")</f>
        <v>10</v>
      </c>
      <c r="L151" s="4" t="b">
        <f>AND(((J151 &gt; 0)=TRUE), ((J151 &gt;= K151)=TRUE))</f>
        <v>1</v>
      </c>
      <c r="M151" s="4" t="b">
        <f>J151 = 0</f>
        <v>0</v>
      </c>
      <c r="N151" s="3" t="s">
        <v>13657</v>
      </c>
    </row>
    <row r="152">
      <c r="A152" s="3" t="s">
        <v>13807</v>
      </c>
      <c r="B152" s="4" t="str">
        <f>G152 &amp; "." &amp; F152</f>
        <v>pko_knowledge_authority.mentorships</v>
      </c>
      <c r="C152" s="3" t="s">
        <v>13655</v>
      </c>
      <c r="D152" s="3" t="s">
        <v>9774</v>
      </c>
      <c r="E152" s="3" t="s">
        <v>2664</v>
      </c>
      <c r="F152" s="3" t="s">
        <v>9687</v>
      </c>
      <c r="G152" s="4" t="str">
        <f>_xlfn.IFNA(IF(((INDEX(RoleSchemas!D2:D13, MATCH(C152,RoleSchemas!A2:A13, 0))="")=TRUE),  "",  INDEX(RoleSchemas!D2:D13, MATCH(C152,RoleSchemas!A2:A13, 0))), "")</f>
        <v>pko_knowledge_authority</v>
      </c>
      <c r="H152" s="4" t="str">
        <f>_xlfn.IFNA(IF(((INDEX(RulebookTables!E2:E93, MATCH(E152,RulebookTables!A2:A93, 0))="")=TRUE),  "",  INDEX(RulebookTables!E2:E93, MATCH(E152,RulebookTables!A2:A93, 0))), "")</f>
        <v>vw_mentorships</v>
      </c>
      <c r="I152" s="4" t="str">
        <f>D152 &amp; "|" &amp; E152</f>
        <v>principal-knowledge-authority|Mentorships</v>
      </c>
      <c r="J152" s="4">
        <f>COUNTIFS(FieldGrants!M2:M3640, I152)</f>
        <v>10</v>
      </c>
      <c r="K152" s="4">
        <f>_xlfn.IFNA(IF(((INDEX(RulebookTables!H2:H93, MATCH(E152,RulebookTables!A2:A93, 0))="")=TRUE),  "",  INDEX(RulebookTables!H2:H93, MATCH(E152,RulebookTables!A2:A93, 0))), "")</f>
        <v>10</v>
      </c>
      <c r="L152" s="4" t="b">
        <f>AND(((J152 &gt; 0)=TRUE), ((J152 &gt;= K152)=TRUE))</f>
        <v>1</v>
      </c>
      <c r="M152" s="4" t="b">
        <f>J152 = 0</f>
        <v>0</v>
      </c>
      <c r="N152" s="3" t="s">
        <v>13657</v>
      </c>
    </row>
    <row r="153">
      <c r="A153" s="3" t="s">
        <v>13808</v>
      </c>
      <c r="B153" s="4" t="str">
        <f>G153 &amp; "." &amp; F153</f>
        <v>pko_knowledge_authority.message_deliveries</v>
      </c>
      <c r="C153" s="3" t="s">
        <v>13655</v>
      </c>
      <c r="D153" s="3" t="s">
        <v>9774</v>
      </c>
      <c r="E153" s="3" t="s">
        <v>4444</v>
      </c>
      <c r="F153" s="3" t="s">
        <v>9688</v>
      </c>
      <c r="G153" s="4" t="str">
        <f>_xlfn.IFNA(IF(((INDEX(RoleSchemas!D2:D13, MATCH(C153,RoleSchemas!A2:A13, 0))="")=TRUE),  "",  INDEX(RoleSchemas!D2:D13, MATCH(C153,RoleSchemas!A2:A13, 0))), "")</f>
        <v>pko_knowledge_authority</v>
      </c>
      <c r="H153" s="4" t="str">
        <f>_xlfn.IFNA(IF(((INDEX(RulebookTables!E2:E93, MATCH(E153,RulebookTables!A2:A93, 0))="")=TRUE),  "",  INDEX(RulebookTables!E2:E93, MATCH(E153,RulebookTables!A2:A93, 0))), "")</f>
        <v>vw_message_deliveries</v>
      </c>
      <c r="I153" s="4" t="str">
        <f>D153 &amp; "|" &amp; E153</f>
        <v>principal-knowledge-authority|MessageDeliveries</v>
      </c>
      <c r="J153" s="4">
        <f>COUNTIFS(FieldGrants!M2:M3640, I153)</f>
        <v>94</v>
      </c>
      <c r="K153" s="4">
        <f>_xlfn.IFNA(IF(((INDEX(RulebookTables!H2:H93, MATCH(E153,RulebookTables!A2:A93, 0))="")=TRUE),  "",  INDEX(RulebookTables!H2:H93, MATCH(E153,RulebookTables!A2:A93, 0))), "")</f>
        <v>94</v>
      </c>
      <c r="L153" s="4" t="b">
        <f>AND(((J153 &gt; 0)=TRUE), ((J153 &gt;= K153)=TRUE))</f>
        <v>1</v>
      </c>
      <c r="M153" s="4" t="b">
        <f>J153 = 0</f>
        <v>0</v>
      </c>
      <c r="N153" s="3" t="s">
        <v>13657</v>
      </c>
    </row>
    <row r="154">
      <c r="A154" s="3" t="s">
        <v>13809</v>
      </c>
      <c r="B154" s="4" t="str">
        <f>G154 &amp; "." &amp; F154</f>
        <v>pko_knowledge_authority.message_templates</v>
      </c>
      <c r="C154" s="3" t="s">
        <v>13655</v>
      </c>
      <c r="D154" s="3" t="s">
        <v>9774</v>
      </c>
      <c r="E154" s="3" t="s">
        <v>4087</v>
      </c>
      <c r="F154" s="3" t="s">
        <v>9689</v>
      </c>
      <c r="G154" s="4" t="str">
        <f>_xlfn.IFNA(IF(((INDEX(RoleSchemas!D2:D13, MATCH(C154,RoleSchemas!A2:A13, 0))="")=TRUE),  "",  INDEX(RoleSchemas!D2:D13, MATCH(C154,RoleSchemas!A2:A13, 0))), "")</f>
        <v>pko_knowledge_authority</v>
      </c>
      <c r="H154" s="4" t="str">
        <f>_xlfn.IFNA(IF(((INDEX(RulebookTables!E2:E93, MATCH(E154,RulebookTables!A2:A93, 0))="")=TRUE),  "",  INDEX(RulebookTables!E2:E93, MATCH(E154,RulebookTables!A2:A93, 0))), "")</f>
        <v>vw_message_templates</v>
      </c>
      <c r="I154" s="4" t="str">
        <f>D154 &amp; "|" &amp; E154</f>
        <v>principal-knowledge-authority|MessageTemplates</v>
      </c>
      <c r="J154" s="4">
        <f>COUNTIFS(FieldGrants!M2:M3640, I154)</f>
        <v>26</v>
      </c>
      <c r="K154" s="4">
        <f>_xlfn.IFNA(IF(((INDEX(RulebookTables!H2:H93, MATCH(E154,RulebookTables!A2:A93, 0))="")=TRUE),  "",  INDEX(RulebookTables!H2:H93, MATCH(E154,RulebookTables!A2:A93, 0))), "")</f>
        <v>26</v>
      </c>
      <c r="L154" s="4" t="b">
        <f>AND(((J154 &gt; 0)=TRUE), ((J154 &gt;= K154)=TRUE))</f>
        <v>1</v>
      </c>
      <c r="M154" s="4" t="b">
        <f>J154 = 0</f>
        <v>0</v>
      </c>
      <c r="N154" s="3" t="s">
        <v>13657</v>
      </c>
    </row>
    <row r="155">
      <c r="A155" s="3" t="s">
        <v>13810</v>
      </c>
      <c r="B155" s="4" t="str">
        <f>G155 &amp; "." &amp; F155</f>
        <v>pko_knowledge_authority.observed_transitions</v>
      </c>
      <c r="C155" s="3" t="s">
        <v>13655</v>
      </c>
      <c r="D155" s="3" t="s">
        <v>9774</v>
      </c>
      <c r="E155" s="3" t="s">
        <v>4398</v>
      </c>
      <c r="F155" s="3" t="s">
        <v>9690</v>
      </c>
      <c r="G155" s="4" t="str">
        <f>_xlfn.IFNA(IF(((INDEX(RoleSchemas!D2:D13, MATCH(C155,RoleSchemas!A2:A13, 0))="")=TRUE),  "",  INDEX(RoleSchemas!D2:D13, MATCH(C155,RoleSchemas!A2:A13, 0))), "")</f>
        <v>pko_knowledge_authority</v>
      </c>
      <c r="H155" s="4" t="str">
        <f>_xlfn.IFNA(IF(((INDEX(RulebookTables!E2:E93, MATCH(E155,RulebookTables!A2:A93, 0))="")=TRUE),  "",  INDEX(RulebookTables!E2:E93, MATCH(E155,RulebookTables!A2:A93, 0))), "")</f>
        <v>vw_observed_transitions</v>
      </c>
      <c r="I155" s="4" t="str">
        <f>D155 &amp; "|" &amp; E155</f>
        <v>principal-knowledge-authority|ObservedTransitions</v>
      </c>
      <c r="J155" s="4">
        <f>COUNTIFS(FieldGrants!M2:M3640, I155)</f>
        <v>8</v>
      </c>
      <c r="K155" s="4">
        <f>_xlfn.IFNA(IF(((INDEX(RulebookTables!H2:H93, MATCH(E155,RulebookTables!A2:A93, 0))="")=TRUE),  "",  INDEX(RulebookTables!H2:H93, MATCH(E155,RulebookTables!A2:A93, 0))), "")</f>
        <v>8</v>
      </c>
      <c r="L155" s="4" t="b">
        <f>AND(((J155 &gt; 0)=TRUE), ((J155 &gt;= K155)=TRUE))</f>
        <v>1</v>
      </c>
      <c r="M155" s="4" t="b">
        <f>J155 = 0</f>
        <v>0</v>
      </c>
      <c r="N155" s="3" t="s">
        <v>13657</v>
      </c>
    </row>
    <row r="156">
      <c r="A156" s="3" t="s">
        <v>13811</v>
      </c>
      <c r="B156" s="4" t="str">
        <f>G156 &amp; "." &amp; F156</f>
        <v>pko_knowledge_authority.ontology_profiles</v>
      </c>
      <c r="C156" s="3" t="s">
        <v>13655</v>
      </c>
      <c r="D156" s="3" t="s">
        <v>9774</v>
      </c>
      <c r="E156" s="3" t="s">
        <v>2434</v>
      </c>
      <c r="F156" s="3" t="s">
        <v>9691</v>
      </c>
      <c r="G156" s="4" t="str">
        <f>_xlfn.IFNA(IF(((INDEX(RoleSchemas!D2:D13, MATCH(C156,RoleSchemas!A2:A13, 0))="")=TRUE),  "",  INDEX(RoleSchemas!D2:D13, MATCH(C156,RoleSchemas!A2:A13, 0))), "")</f>
        <v>pko_knowledge_authority</v>
      </c>
      <c r="H156" s="4" t="str">
        <f>_xlfn.IFNA(IF(((INDEX(RulebookTables!E2:E93, MATCH(E156,RulebookTables!A2:A93, 0))="")=TRUE),  "",  INDEX(RulebookTables!E2:E93, MATCH(E156,RulebookTables!A2:A93, 0))), "")</f>
        <v>vw_ontology_profiles</v>
      </c>
      <c r="I156" s="4" t="str">
        <f>D156 &amp; "|" &amp; E156</f>
        <v>principal-knowledge-authority|OntologyProfiles</v>
      </c>
      <c r="J156" s="4">
        <f>COUNTIFS(FieldGrants!M2:M3640, I156)</f>
        <v>8</v>
      </c>
      <c r="K156" s="4">
        <f>_xlfn.IFNA(IF(((INDEX(RulebookTables!H2:H93, MATCH(E156,RulebookTables!A2:A93, 0))="")=TRUE),  "",  INDEX(RulebookTables!H2:H93, MATCH(E156,RulebookTables!A2:A93, 0))), "")</f>
        <v>8</v>
      </c>
      <c r="L156" s="4" t="b">
        <f>AND(((J156 &gt; 0)=TRUE), ((J156 &gt;= K156)=TRUE))</f>
        <v>1</v>
      </c>
      <c r="M156" s="4" t="b">
        <f>J156 = 0</f>
        <v>0</v>
      </c>
      <c r="N156" s="3" t="s">
        <v>13657</v>
      </c>
    </row>
    <row r="157">
      <c r="A157" s="3" t="s">
        <v>13812</v>
      </c>
      <c r="B157" s="4" t="str">
        <f>G157 &amp; "." &amp; F157</f>
        <v>pko_knowledge_authority.operational_bindings</v>
      </c>
      <c r="C157" s="3" t="s">
        <v>13655</v>
      </c>
      <c r="D157" s="3" t="s">
        <v>9774</v>
      </c>
      <c r="E157" s="3" t="s">
        <v>1862</v>
      </c>
      <c r="F157" s="3" t="s">
        <v>9692</v>
      </c>
      <c r="G157" s="4" t="str">
        <f>_xlfn.IFNA(IF(((INDEX(RoleSchemas!D2:D13, MATCH(C157,RoleSchemas!A2:A13, 0))="")=TRUE),  "",  INDEX(RoleSchemas!D2:D13, MATCH(C157,RoleSchemas!A2:A13, 0))), "")</f>
        <v>pko_knowledge_authority</v>
      </c>
      <c r="H157" s="4" t="str">
        <f>_xlfn.IFNA(IF(((INDEX(RulebookTables!E2:E93, MATCH(E157,RulebookTables!A2:A93, 0))="")=TRUE),  "",  INDEX(RulebookTables!E2:E93, MATCH(E157,RulebookTables!A2:A93, 0))), "")</f>
        <v>vw_operational_bindings</v>
      </c>
      <c r="I157" s="4" t="str">
        <f>D157 &amp; "|" &amp; E157</f>
        <v>principal-knowledge-authority|OperationalBindings</v>
      </c>
      <c r="J157" s="4">
        <f>COUNTIFS(FieldGrants!M2:M3640, I157)</f>
        <v>22</v>
      </c>
      <c r="K157" s="4">
        <f>_xlfn.IFNA(IF(((INDEX(RulebookTables!H2:H93, MATCH(E157,RulebookTables!A2:A93, 0))="")=TRUE),  "",  INDEX(RulebookTables!H2:H93, MATCH(E157,RulebookTables!A2:A93, 0))), "")</f>
        <v>22</v>
      </c>
      <c r="L157" s="4" t="b">
        <f>AND(((J157 &gt; 0)=TRUE), ((J157 &gt;= K157)=TRUE))</f>
        <v>1</v>
      </c>
      <c r="M157" s="4" t="b">
        <f>J157 = 0</f>
        <v>0</v>
      </c>
      <c r="N157" s="3" t="s">
        <v>13657</v>
      </c>
    </row>
    <row r="158">
      <c r="A158" s="3" t="s">
        <v>13813</v>
      </c>
      <c r="B158" s="4" t="str">
        <f>G158 &amp; "." &amp; F158</f>
        <v>pko_knowledge_authority.organizations</v>
      </c>
      <c r="C158" s="3" t="s">
        <v>13655</v>
      </c>
      <c r="D158" s="3" t="s">
        <v>9774</v>
      </c>
      <c r="E158" s="3" t="s">
        <v>2453</v>
      </c>
      <c r="F158" s="3" t="s">
        <v>9693</v>
      </c>
      <c r="G158" s="4" t="str">
        <f>_xlfn.IFNA(IF(((INDEX(RoleSchemas!D2:D13, MATCH(C158,RoleSchemas!A2:A13, 0))="")=TRUE),  "",  INDEX(RoleSchemas!D2:D13, MATCH(C158,RoleSchemas!A2:A13, 0))), "")</f>
        <v>pko_knowledge_authority</v>
      </c>
      <c r="H158" s="4" t="str">
        <f>_xlfn.IFNA(IF(((INDEX(RulebookTables!E2:E93, MATCH(E158,RulebookTables!A2:A93, 0))="")=TRUE),  "",  INDEX(RulebookTables!E2:E93, MATCH(E158,RulebookTables!A2:A93, 0))), "")</f>
        <v>vw_organizations</v>
      </c>
      <c r="I158" s="4" t="str">
        <f>D158 &amp; "|" &amp; E158</f>
        <v>principal-knowledge-authority|Organizations</v>
      </c>
      <c r="J158" s="4">
        <f>COUNTIFS(FieldGrants!M2:M3640, I158)</f>
        <v>6</v>
      </c>
      <c r="K158" s="4">
        <f>_xlfn.IFNA(IF(((INDEX(RulebookTables!H2:H93, MATCH(E158,RulebookTables!A2:A93, 0))="")=TRUE),  "",  INDEX(RulebookTables!H2:H93, MATCH(E158,RulebookTables!A2:A93, 0))), "")</f>
        <v>6</v>
      </c>
      <c r="L158" s="4" t="b">
        <f>AND(((J158 &gt; 0)=TRUE), ((J158 &gt;= K158)=TRUE))</f>
        <v>1</v>
      </c>
      <c r="M158" s="4" t="b">
        <f>J158 = 0</f>
        <v>0</v>
      </c>
      <c r="N158" s="3" t="s">
        <v>13657</v>
      </c>
    </row>
    <row r="159">
      <c r="A159" s="3" t="s">
        <v>13814</v>
      </c>
      <c r="B159" s="4" t="str">
        <f>G159 &amp; "." &amp; F159</f>
        <v>pko_knowledge_authority.procedure_executions</v>
      </c>
      <c r="C159" s="3" t="s">
        <v>13655</v>
      </c>
      <c r="D159" s="3" t="s">
        <v>9774</v>
      </c>
      <c r="E159" s="3" t="s">
        <v>1824</v>
      </c>
      <c r="F159" s="3" t="s">
        <v>9694</v>
      </c>
      <c r="G159" s="4" t="str">
        <f>_xlfn.IFNA(IF(((INDEX(RoleSchemas!D2:D13, MATCH(C159,RoleSchemas!A2:A13, 0))="")=TRUE),  "",  INDEX(RoleSchemas!D2:D13, MATCH(C159,RoleSchemas!A2:A13, 0))), "")</f>
        <v>pko_knowledge_authority</v>
      </c>
      <c r="H159" s="4" t="str">
        <f>_xlfn.IFNA(IF(((INDEX(RulebookTables!E2:E93, MATCH(E159,RulebookTables!A2:A93, 0))="")=TRUE),  "",  INDEX(RulebookTables!E2:E93, MATCH(E159,RulebookTables!A2:A93, 0))), "")</f>
        <v>vw_procedure_executions</v>
      </c>
      <c r="I159" s="4" t="str">
        <f>D159 &amp; "|" &amp; E159</f>
        <v>principal-knowledge-authority|ProcedureExecutions</v>
      </c>
      <c r="J159" s="4">
        <f>COUNTIFS(FieldGrants!M2:M3640, I159)</f>
        <v>78</v>
      </c>
      <c r="K159" s="4">
        <f>_xlfn.IFNA(IF(((INDEX(RulebookTables!H2:H93, MATCH(E159,RulebookTables!A2:A93, 0))="")=TRUE),  "",  INDEX(RulebookTables!H2:H93, MATCH(E159,RulebookTables!A2:A93, 0))), "")</f>
        <v>78</v>
      </c>
      <c r="L159" s="4" t="b">
        <f>AND(((J159 &gt; 0)=TRUE), ((J159 &gt;= K159)=TRUE))</f>
        <v>1</v>
      </c>
      <c r="M159" s="4" t="b">
        <f>J159 = 0</f>
        <v>0</v>
      </c>
      <c r="N159" s="3" t="s">
        <v>13657</v>
      </c>
    </row>
    <row r="160">
      <c r="A160" s="3" t="s">
        <v>13815</v>
      </c>
      <c r="B160" s="4" t="str">
        <f>G160 &amp; "." &amp; F160</f>
        <v>pko_knowledge_authority.procedure_resources</v>
      </c>
      <c r="C160" s="3" t="s">
        <v>13655</v>
      </c>
      <c r="D160" s="3" t="s">
        <v>9774</v>
      </c>
      <c r="E160" s="3" t="s">
        <v>3187</v>
      </c>
      <c r="F160" s="3" t="s">
        <v>9695</v>
      </c>
      <c r="G160" s="4" t="str">
        <f>_xlfn.IFNA(IF(((INDEX(RoleSchemas!D2:D13, MATCH(C160,RoleSchemas!A2:A13, 0))="")=TRUE),  "",  INDEX(RoleSchemas!D2:D13, MATCH(C160,RoleSchemas!A2:A13, 0))), "")</f>
        <v>pko_knowledge_authority</v>
      </c>
      <c r="H160" s="4" t="str">
        <f>_xlfn.IFNA(IF(((INDEX(RulebookTables!E2:E93, MATCH(E160,RulebookTables!A2:A93, 0))="")=TRUE),  "",  INDEX(RulebookTables!E2:E93, MATCH(E160,RulebookTables!A2:A93, 0))), "")</f>
        <v>vw_procedure_resources</v>
      </c>
      <c r="I160" s="4" t="str">
        <f>D160 &amp; "|" &amp; E160</f>
        <v>principal-knowledge-authority|ProcedureResources</v>
      </c>
      <c r="J160" s="4">
        <f>COUNTIFS(FieldGrants!M2:M3640, I160)</f>
        <v>6</v>
      </c>
      <c r="K160" s="4">
        <f>_xlfn.IFNA(IF(((INDEX(RulebookTables!H2:H93, MATCH(E160,RulebookTables!A2:A93, 0))="")=TRUE),  "",  INDEX(RulebookTables!H2:H93, MATCH(E160,RulebookTables!A2:A93, 0))), "")</f>
        <v>6</v>
      </c>
      <c r="L160" s="4" t="b">
        <f>AND(((J160 &gt; 0)=TRUE), ((J160 &gt;= K160)=TRUE))</f>
        <v>1</v>
      </c>
      <c r="M160" s="4" t="b">
        <f>J160 = 0</f>
        <v>0</v>
      </c>
      <c r="N160" s="3" t="s">
        <v>13657</v>
      </c>
    </row>
    <row r="161">
      <c r="A161" s="3" t="s">
        <v>13816</v>
      </c>
      <c r="B161" s="4" t="str">
        <f>G161 &amp; "." &amp; F161</f>
        <v>pko_knowledge_authority.procedure_status_changes</v>
      </c>
      <c r="C161" s="3" t="s">
        <v>13655</v>
      </c>
      <c r="D161" s="3" t="s">
        <v>9774</v>
      </c>
      <c r="E161" s="3" t="s">
        <v>1775</v>
      </c>
      <c r="F161" s="3" t="s">
        <v>9696</v>
      </c>
      <c r="G161" s="4" t="str">
        <f>_xlfn.IFNA(IF(((INDEX(RoleSchemas!D2:D13, MATCH(C161,RoleSchemas!A2:A13, 0))="")=TRUE),  "",  INDEX(RoleSchemas!D2:D13, MATCH(C161,RoleSchemas!A2:A13, 0))), "")</f>
        <v>pko_knowledge_authority</v>
      </c>
      <c r="H161" s="4" t="str">
        <f>_xlfn.IFNA(IF(((INDEX(RulebookTables!E2:E93, MATCH(E161,RulebookTables!A2:A93, 0))="")=TRUE),  "",  INDEX(RulebookTables!E2:E93, MATCH(E161,RulebookTables!A2:A93, 0))), "")</f>
        <v>vw_procedure_status_changes</v>
      </c>
      <c r="I161" s="4" t="str">
        <f>D161 &amp; "|" &amp; E161</f>
        <v>principal-knowledge-authority|ProcedureStatusChanges</v>
      </c>
      <c r="J161" s="4">
        <f>COUNTIFS(FieldGrants!M2:M3640, I161)</f>
        <v>9</v>
      </c>
      <c r="K161" s="4">
        <f>_xlfn.IFNA(IF(((INDEX(RulebookTables!H2:H93, MATCH(E161,RulebookTables!A2:A93, 0))="")=TRUE),  "",  INDEX(RulebookTables!H2:H93, MATCH(E161,RulebookTables!A2:A93, 0))), "")</f>
        <v>9</v>
      </c>
      <c r="L161" s="4" t="b">
        <f>AND(((J161 &gt; 0)=TRUE), ((J161 &gt;= K161)=TRUE))</f>
        <v>1</v>
      </c>
      <c r="M161" s="4" t="b">
        <f>J161 = 0</f>
        <v>0</v>
      </c>
      <c r="N161" s="3" t="s">
        <v>13657</v>
      </c>
    </row>
    <row r="162">
      <c r="A162" s="3" t="s">
        <v>13817</v>
      </c>
      <c r="B162" s="4" t="str">
        <f>G162 &amp; "." &amp; F162</f>
        <v>pko_knowledge_authority.procedure_types</v>
      </c>
      <c r="C162" s="3" t="s">
        <v>13655</v>
      </c>
      <c r="D162" s="3" t="s">
        <v>9774</v>
      </c>
      <c r="E162" s="3" t="s">
        <v>2676</v>
      </c>
      <c r="F162" s="3" t="s">
        <v>9697</v>
      </c>
      <c r="G162" s="4" t="str">
        <f>_xlfn.IFNA(IF(((INDEX(RoleSchemas!D2:D13, MATCH(C162,RoleSchemas!A2:A13, 0))="")=TRUE),  "",  INDEX(RoleSchemas!D2:D13, MATCH(C162,RoleSchemas!A2:A13, 0))), "")</f>
        <v>pko_knowledge_authority</v>
      </c>
      <c r="H162" s="4" t="str">
        <f>_xlfn.IFNA(IF(((INDEX(RulebookTables!E2:E93, MATCH(E162,RulebookTables!A2:A93, 0))="")=TRUE),  "",  INDEX(RulebookTables!E2:E93, MATCH(E162,RulebookTables!A2:A93, 0))), "")</f>
        <v>vw_procedure_types</v>
      </c>
      <c r="I162" s="4" t="str">
        <f>D162 &amp; "|" &amp; E162</f>
        <v>principal-knowledge-authority|ProcedureTypes</v>
      </c>
      <c r="J162" s="4">
        <f>COUNTIFS(FieldGrants!M2:M3640, I162)</f>
        <v>5</v>
      </c>
      <c r="K162" s="4">
        <f>_xlfn.IFNA(IF(((INDEX(RulebookTables!H2:H93, MATCH(E162,RulebookTables!A2:A93, 0))="")=TRUE),  "",  INDEX(RulebookTables!H2:H93, MATCH(E162,RulebookTables!A2:A93, 0))), "")</f>
        <v>5</v>
      </c>
      <c r="L162" s="4" t="b">
        <f>AND(((J162 &gt; 0)=TRUE), ((J162 &gt;= K162)=TRUE))</f>
        <v>1</v>
      </c>
      <c r="M162" s="4" t="b">
        <f>J162 = 0</f>
        <v>0</v>
      </c>
      <c r="N162" s="3" t="s">
        <v>13657</v>
      </c>
    </row>
    <row r="163">
      <c r="A163" s="3" t="s">
        <v>13818</v>
      </c>
      <c r="B163" s="4" t="str">
        <f>G163 &amp; "." &amp; F163</f>
        <v>pko_knowledge_authority.procedure_version_links</v>
      </c>
      <c r="C163" s="3" t="s">
        <v>13655</v>
      </c>
      <c r="D163" s="3" t="s">
        <v>9774</v>
      </c>
      <c r="E163" s="3" t="s">
        <v>2851</v>
      </c>
      <c r="F163" s="3" t="s">
        <v>9698</v>
      </c>
      <c r="G163" s="4" t="str">
        <f>_xlfn.IFNA(IF(((INDEX(RoleSchemas!D2:D13, MATCH(C163,RoleSchemas!A2:A13, 0))="")=TRUE),  "",  INDEX(RoleSchemas!D2:D13, MATCH(C163,RoleSchemas!A2:A13, 0))), "")</f>
        <v>pko_knowledge_authority</v>
      </c>
      <c r="H163" s="4" t="str">
        <f>_xlfn.IFNA(IF(((INDEX(RulebookTables!E2:E93, MATCH(E163,RulebookTables!A2:A93, 0))="")=TRUE),  "",  INDEX(RulebookTables!E2:E93, MATCH(E163,RulebookTables!A2:A93, 0))), "")</f>
        <v>vw_procedure_version_links</v>
      </c>
      <c r="I163" s="4" t="str">
        <f>D163 &amp; "|" &amp; E163</f>
        <v>principal-knowledge-authority|ProcedureVersionLinks</v>
      </c>
      <c r="J163" s="4">
        <f>COUNTIFS(FieldGrants!M2:M3640, I163)</f>
        <v>7</v>
      </c>
      <c r="K163" s="4">
        <f>_xlfn.IFNA(IF(((INDEX(RulebookTables!H2:H93, MATCH(E163,RulebookTables!A2:A93, 0))="")=TRUE),  "",  INDEX(RulebookTables!H2:H93, MATCH(E163,RulebookTables!A2:A93, 0))), "")</f>
        <v>7</v>
      </c>
      <c r="L163" s="4" t="b">
        <f>AND(((J163 &gt; 0)=TRUE), ((J163 &gt;= K163)=TRUE))</f>
        <v>1</v>
      </c>
      <c r="M163" s="4" t="b">
        <f>J163 = 0</f>
        <v>0</v>
      </c>
      <c r="N163" s="3" t="s">
        <v>13657</v>
      </c>
    </row>
    <row r="164">
      <c r="A164" s="3" t="s">
        <v>13819</v>
      </c>
      <c r="B164" s="4" t="str">
        <f>G164 &amp; "." &amp; F164</f>
        <v>pko_knowledge_authority.procedure_versions</v>
      </c>
      <c r="C164" s="3" t="s">
        <v>13655</v>
      </c>
      <c r="D164" s="3" t="s">
        <v>9774</v>
      </c>
      <c r="E164" s="3" t="s">
        <v>1767</v>
      </c>
      <c r="F164" s="3" t="s">
        <v>9699</v>
      </c>
      <c r="G164" s="4" t="str">
        <f>_xlfn.IFNA(IF(((INDEX(RoleSchemas!D2:D13, MATCH(C164,RoleSchemas!A2:A13, 0))="")=TRUE),  "",  INDEX(RoleSchemas!D2:D13, MATCH(C164,RoleSchemas!A2:A13, 0))), "")</f>
        <v>pko_knowledge_authority</v>
      </c>
      <c r="H164" s="4" t="str">
        <f>_xlfn.IFNA(IF(((INDEX(RulebookTables!E2:E93, MATCH(E164,RulebookTables!A2:A93, 0))="")=TRUE),  "",  INDEX(RulebookTables!E2:E93, MATCH(E164,RulebookTables!A2:A93, 0))), "")</f>
        <v>vw_procedure_versions</v>
      </c>
      <c r="I164" s="4" t="str">
        <f>D164 &amp; "|" &amp; E164</f>
        <v>principal-knowledge-authority|ProcedureVersions</v>
      </c>
      <c r="J164" s="4">
        <f>COUNTIFS(FieldGrants!M2:M3640, I164)</f>
        <v>86</v>
      </c>
      <c r="K164" s="4">
        <f>_xlfn.IFNA(IF(((INDEX(RulebookTables!H2:H93, MATCH(E164,RulebookTables!A2:A93, 0))="")=TRUE),  "",  INDEX(RulebookTables!H2:H93, MATCH(E164,RulebookTables!A2:A93, 0))), "")</f>
        <v>87</v>
      </c>
      <c r="L164" s="4" t="b">
        <f>AND(((J164 &gt; 0)=TRUE), ((J164 &gt;= K164)=TRUE))</f>
        <v>0</v>
      </c>
      <c r="M164" s="4" t="b">
        <f>J164 = 0</f>
        <v>0</v>
      </c>
      <c r="N164" s="3" t="s">
        <v>13657</v>
      </c>
    </row>
    <row r="165">
      <c r="A165" s="3" t="s">
        <v>13820</v>
      </c>
      <c r="B165" s="4" t="str">
        <f>G165 &amp; "." &amp; F165</f>
        <v>pko_knowledge_authority.procedures</v>
      </c>
      <c r="C165" s="3" t="s">
        <v>13655</v>
      </c>
      <c r="D165" s="3" t="s">
        <v>9774</v>
      </c>
      <c r="E165" s="3" t="s">
        <v>1762</v>
      </c>
      <c r="F165" s="3" t="s">
        <v>9700</v>
      </c>
      <c r="G165" s="4" t="str">
        <f>_xlfn.IFNA(IF(((INDEX(RoleSchemas!D2:D13, MATCH(C165,RoleSchemas!A2:A13, 0))="")=TRUE),  "",  INDEX(RoleSchemas!D2:D13, MATCH(C165,RoleSchemas!A2:A13, 0))), "")</f>
        <v>pko_knowledge_authority</v>
      </c>
      <c r="H165" s="4" t="str">
        <f>_xlfn.IFNA(IF(((INDEX(RulebookTables!E2:E93, MATCH(E165,RulebookTables!A2:A93, 0))="")=TRUE),  "",  INDEX(RulebookTables!E2:E93, MATCH(E165,RulebookTables!A2:A93, 0))), "")</f>
        <v>vw_procedures</v>
      </c>
      <c r="I165" s="4" t="str">
        <f>D165 &amp; "|" &amp; E165</f>
        <v>principal-knowledge-authority|Procedures</v>
      </c>
      <c r="J165" s="4">
        <f>COUNTIFS(FieldGrants!M2:M3640, I165)</f>
        <v>11</v>
      </c>
      <c r="K165" s="4">
        <f>_xlfn.IFNA(IF(((INDEX(RulebookTables!H2:H93, MATCH(E165,RulebookTables!A2:A93, 0))="")=TRUE),  "",  INDEX(RulebookTables!H2:H93, MATCH(E165,RulebookTables!A2:A93, 0))), "")</f>
        <v>11</v>
      </c>
      <c r="L165" s="4" t="b">
        <f>AND(((J165 &gt; 0)=TRUE), ((J165 &gt;= K165)=TRUE))</f>
        <v>1</v>
      </c>
      <c r="M165" s="4" t="b">
        <f>J165 = 0</f>
        <v>0</v>
      </c>
      <c r="N165" s="3" t="s">
        <v>13657</v>
      </c>
    </row>
    <row r="166">
      <c r="A166" s="3" t="s">
        <v>13821</v>
      </c>
      <c r="B166" s="4" t="str">
        <f>G166 &amp; "." &amp; F166</f>
        <v>pko_knowledge_authority.rationales</v>
      </c>
      <c r="C166" s="3" t="s">
        <v>13655</v>
      </c>
      <c r="D166" s="3" t="s">
        <v>9774</v>
      </c>
      <c r="E166" s="3" t="s">
        <v>3151</v>
      </c>
      <c r="F166" s="3" t="s">
        <v>9701</v>
      </c>
      <c r="G166" s="4" t="str">
        <f>_xlfn.IFNA(IF(((INDEX(RoleSchemas!D2:D13, MATCH(C166,RoleSchemas!A2:A13, 0))="")=TRUE),  "",  INDEX(RoleSchemas!D2:D13, MATCH(C166,RoleSchemas!A2:A13, 0))), "")</f>
        <v>pko_knowledge_authority</v>
      </c>
      <c r="H166" s="4" t="str">
        <f>_xlfn.IFNA(IF(((INDEX(RulebookTables!E2:E93, MATCH(E166,RulebookTables!A2:A93, 0))="")=TRUE),  "",  INDEX(RulebookTables!E2:E93, MATCH(E166,RulebookTables!A2:A93, 0))), "")</f>
        <v>vw_rationales</v>
      </c>
      <c r="I166" s="4" t="str">
        <f>D166 &amp; "|" &amp; E166</f>
        <v>principal-knowledge-authority|Rationales</v>
      </c>
      <c r="J166" s="4">
        <f>COUNTIFS(FieldGrants!M2:M3640, I166)</f>
        <v>9</v>
      </c>
      <c r="K166" s="4">
        <f>_xlfn.IFNA(IF(((INDEX(RulebookTables!H2:H93, MATCH(E166,RulebookTables!A2:A93, 0))="")=TRUE),  "",  INDEX(RulebookTables!H2:H93, MATCH(E166,RulebookTables!A2:A93, 0))), "")</f>
        <v>9</v>
      </c>
      <c r="L166" s="4" t="b">
        <f>AND(((J166 &gt; 0)=TRUE), ((J166 &gt;= K166)=TRUE))</f>
        <v>1</v>
      </c>
      <c r="M166" s="4" t="b">
        <f>J166 = 0</f>
        <v>0</v>
      </c>
      <c r="N166" s="3" t="s">
        <v>13657</v>
      </c>
    </row>
    <row r="167">
      <c r="A167" s="3" t="s">
        <v>13822</v>
      </c>
      <c r="B167" s="4" t="str">
        <f>G167 &amp; "." &amp; F167</f>
        <v>pko_knowledge_authority.recipients</v>
      </c>
      <c r="C167" s="3" t="s">
        <v>13655</v>
      </c>
      <c r="D167" s="3" t="s">
        <v>9774</v>
      </c>
      <c r="E167" s="3" t="s">
        <v>4412</v>
      </c>
      <c r="F167" s="3" t="s">
        <v>9702</v>
      </c>
      <c r="G167" s="4" t="str">
        <f>_xlfn.IFNA(IF(((INDEX(RoleSchemas!D2:D13, MATCH(C167,RoleSchemas!A2:A13, 0))="")=TRUE),  "",  INDEX(RoleSchemas!D2:D13, MATCH(C167,RoleSchemas!A2:A13, 0))), "")</f>
        <v>pko_knowledge_authority</v>
      </c>
      <c r="H167" s="4" t="str">
        <f>_xlfn.IFNA(IF(((INDEX(RulebookTables!E2:E93, MATCH(E167,RulebookTables!A2:A93, 0))="")=TRUE),  "",  INDEX(RulebookTables!E2:E93, MATCH(E167,RulebookTables!A2:A93, 0))), "")</f>
        <v>vw_recipients</v>
      </c>
      <c r="I167" s="4" t="str">
        <f>D167 &amp; "|" &amp; E167</f>
        <v>principal-knowledge-authority|Recipients</v>
      </c>
      <c r="J167" s="4">
        <f>COUNTIFS(FieldGrants!M2:M3640, I167)</f>
        <v>15</v>
      </c>
      <c r="K167" s="4">
        <f>_xlfn.IFNA(IF(((INDEX(RulebookTables!H2:H93, MATCH(E167,RulebookTables!A2:A93, 0))="")=TRUE),  "",  INDEX(RulebookTables!H2:H93, MATCH(E167,RulebookTables!A2:A93, 0))), "")</f>
        <v>15</v>
      </c>
      <c r="L167" s="4" t="b">
        <f>AND(((J167 &gt; 0)=TRUE), ((J167 &gt;= K167)=TRUE))</f>
        <v>1</v>
      </c>
      <c r="M167" s="4" t="b">
        <f>J167 = 0</f>
        <v>0</v>
      </c>
      <c r="N167" s="3" t="s">
        <v>13657</v>
      </c>
    </row>
    <row r="168">
      <c r="A168" s="3" t="s">
        <v>13823</v>
      </c>
      <c r="B168" s="4" t="str">
        <f>G168 &amp; "." &amp; F168</f>
        <v>pko_knowledge_authority.requirement_satisfactions</v>
      </c>
      <c r="C168" s="3" t="s">
        <v>13655</v>
      </c>
      <c r="D168" s="3" t="s">
        <v>9774</v>
      </c>
      <c r="E168" s="3" t="s">
        <v>1830</v>
      </c>
      <c r="F168" s="3" t="s">
        <v>9703</v>
      </c>
      <c r="G168" s="4" t="str">
        <f>_xlfn.IFNA(IF(((INDEX(RoleSchemas!D2:D13, MATCH(C168,RoleSchemas!A2:A13, 0))="")=TRUE),  "",  INDEX(RoleSchemas!D2:D13, MATCH(C168,RoleSchemas!A2:A13, 0))), "")</f>
        <v>pko_knowledge_authority</v>
      </c>
      <c r="H168" s="4" t="str">
        <f>_xlfn.IFNA(IF(((INDEX(RulebookTables!E2:E93, MATCH(E168,RulebookTables!A2:A93, 0))="")=TRUE),  "",  INDEX(RulebookTables!E2:E93, MATCH(E168,RulebookTables!A2:A93, 0))), "")</f>
        <v>vw_requirement_satisfactions</v>
      </c>
      <c r="I168" s="4" t="str">
        <f>D168 &amp; "|" &amp; E168</f>
        <v>principal-knowledge-authority|RequirementSatisfactions</v>
      </c>
      <c r="J168" s="4">
        <f>COUNTIFS(FieldGrants!M2:M3640, I168)</f>
        <v>46</v>
      </c>
      <c r="K168" s="4">
        <f>_xlfn.IFNA(IF(((INDEX(RulebookTables!H2:H93, MATCH(E168,RulebookTables!A2:A93, 0))="")=TRUE),  "",  INDEX(RulebookTables!H2:H93, MATCH(E168,RulebookTables!A2:A93, 0))), "")</f>
        <v>46</v>
      </c>
      <c r="L168" s="4" t="b">
        <f>AND(((J168 &gt; 0)=TRUE), ((J168 &gt;= K168)=TRUE))</f>
        <v>1</v>
      </c>
      <c r="M168" s="4" t="b">
        <f>J168 = 0</f>
        <v>0</v>
      </c>
      <c r="N168" s="3" t="s">
        <v>13657</v>
      </c>
    </row>
    <row r="169">
      <c r="A169" s="3" t="s">
        <v>13824</v>
      </c>
      <c r="B169" s="4" t="str">
        <f>G169 &amp; "." &amp; F169</f>
        <v>pko_knowledge_authority.requirements</v>
      </c>
      <c r="C169" s="3" t="s">
        <v>13655</v>
      </c>
      <c r="D169" s="3" t="s">
        <v>9774</v>
      </c>
      <c r="E169" s="3" t="s">
        <v>1805</v>
      </c>
      <c r="F169" s="3" t="s">
        <v>9704</v>
      </c>
      <c r="G169" s="4" t="str">
        <f>_xlfn.IFNA(IF(((INDEX(RoleSchemas!D2:D13, MATCH(C169,RoleSchemas!A2:A13, 0))="")=TRUE),  "",  INDEX(RoleSchemas!D2:D13, MATCH(C169,RoleSchemas!A2:A13, 0))), "")</f>
        <v>pko_knowledge_authority</v>
      </c>
      <c r="H169" s="4" t="str">
        <f>_xlfn.IFNA(IF(((INDEX(RulebookTables!E2:E93, MATCH(E169,RulebookTables!A2:A93, 0))="")=TRUE),  "",  INDEX(RulebookTables!E2:E93, MATCH(E169,RulebookTables!A2:A93, 0))), "")</f>
        <v>vw_requirements</v>
      </c>
      <c r="I169" s="4" t="str">
        <f>D169 &amp; "|" &amp; E169</f>
        <v>principal-knowledge-authority|Requirements</v>
      </c>
      <c r="J169" s="4">
        <f>COUNTIFS(FieldGrants!M2:M3640, I169)</f>
        <v>43</v>
      </c>
      <c r="K169" s="4">
        <f>_xlfn.IFNA(IF(((INDEX(RulebookTables!H2:H93, MATCH(E169,RulebookTables!A2:A93, 0))="")=TRUE),  "",  INDEX(RulebookTables!H2:H93, MATCH(E169,RulebookTables!A2:A93, 0))), "")</f>
        <v>43</v>
      </c>
      <c r="L169" s="4" t="b">
        <f>AND(((J169 &gt; 0)=TRUE), ((J169 &gt;= K169)=TRUE))</f>
        <v>1</v>
      </c>
      <c r="M169" s="4" t="b">
        <f>J169 = 0</f>
        <v>0</v>
      </c>
      <c r="N169" s="3" t="s">
        <v>13657</v>
      </c>
    </row>
    <row r="170">
      <c r="A170" s="3" t="s">
        <v>13825</v>
      </c>
      <c r="B170" s="4" t="str">
        <f>G170 &amp; "." &amp; F170</f>
        <v>pko_knowledge_authority.resources</v>
      </c>
      <c r="C170" s="3" t="s">
        <v>13655</v>
      </c>
      <c r="D170" s="3" t="s">
        <v>9774</v>
      </c>
      <c r="E170" s="3" t="s">
        <v>1811</v>
      </c>
      <c r="F170" s="3" t="s">
        <v>9705</v>
      </c>
      <c r="G170" s="4" t="str">
        <f>_xlfn.IFNA(IF(((INDEX(RoleSchemas!D2:D13, MATCH(C170,RoleSchemas!A2:A13, 0))="")=TRUE),  "",  INDEX(RoleSchemas!D2:D13, MATCH(C170,RoleSchemas!A2:A13, 0))), "")</f>
        <v>pko_knowledge_authority</v>
      </c>
      <c r="H170" s="4" t="str">
        <f>_xlfn.IFNA(IF(((INDEX(RulebookTables!E2:E93, MATCH(E170,RulebookTables!A2:A93, 0))="")=TRUE),  "",  INDEX(RulebookTables!E2:E93, MATCH(E170,RulebookTables!A2:A93, 0))), "")</f>
        <v>vw_resources</v>
      </c>
      <c r="I170" s="4" t="str">
        <f>D170 &amp; "|" &amp; E170</f>
        <v>principal-knowledge-authority|Resources</v>
      </c>
      <c r="J170" s="4">
        <f>COUNTIFS(FieldGrants!M2:M3640, I170)</f>
        <v>11</v>
      </c>
      <c r="K170" s="4">
        <f>_xlfn.IFNA(IF(((INDEX(RulebookTables!H2:H93, MATCH(E170,RulebookTables!A2:A93, 0))="")=TRUE),  "",  INDEX(RulebookTables!H2:H93, MATCH(E170,RulebookTables!A2:A93, 0))), "")</f>
        <v>11</v>
      </c>
      <c r="L170" s="4" t="b">
        <f>AND(((J170 &gt; 0)=TRUE), ((J170 &gt;= K170)=TRUE))</f>
        <v>1</v>
      </c>
      <c r="M170" s="4" t="b">
        <f>J170 = 0</f>
        <v>0</v>
      </c>
      <c r="N170" s="3" t="s">
        <v>13657</v>
      </c>
    </row>
    <row r="171">
      <c r="A171" s="3" t="s">
        <v>13826</v>
      </c>
      <c r="B171" s="4" t="str">
        <f>G171 &amp; "." &amp; F171</f>
        <v>pko_knowledge_authority.review_events</v>
      </c>
      <c r="C171" s="3" t="s">
        <v>13655</v>
      </c>
      <c r="D171" s="3" t="s">
        <v>9774</v>
      </c>
      <c r="E171" s="3" t="s">
        <v>3988</v>
      </c>
      <c r="F171" s="3" t="s">
        <v>9706</v>
      </c>
      <c r="G171" s="4" t="str">
        <f>_xlfn.IFNA(IF(((INDEX(RoleSchemas!D2:D13, MATCH(C171,RoleSchemas!A2:A13, 0))="")=TRUE),  "",  INDEX(RoleSchemas!D2:D13, MATCH(C171,RoleSchemas!A2:A13, 0))), "")</f>
        <v>pko_knowledge_authority</v>
      </c>
      <c r="H171" s="4" t="str">
        <f>_xlfn.IFNA(IF(((INDEX(RulebookTables!E2:E93, MATCH(E171,RulebookTables!A2:A93, 0))="")=TRUE),  "",  INDEX(RulebookTables!E2:E93, MATCH(E171,RulebookTables!A2:A93, 0))), "")</f>
        <v>vw_review_events</v>
      </c>
      <c r="I171" s="4" t="str">
        <f>D171 &amp; "|" &amp; E171</f>
        <v>principal-knowledge-authority|ReviewEvents</v>
      </c>
      <c r="J171" s="4">
        <f>COUNTIFS(FieldGrants!M2:M3640, I171)</f>
        <v>20</v>
      </c>
      <c r="K171" s="4">
        <f>_xlfn.IFNA(IF(((INDEX(RulebookTables!H2:H93, MATCH(E171,RulebookTables!A2:A93, 0))="")=TRUE),  "",  INDEX(RulebookTables!H2:H93, MATCH(E171,RulebookTables!A2:A93, 0))), "")</f>
        <v>20</v>
      </c>
      <c r="L171" s="4" t="b">
        <f>AND(((J171 &gt; 0)=TRUE), ((J171 &gt;= K171)=TRUE))</f>
        <v>1</v>
      </c>
      <c r="M171" s="4" t="b">
        <f>J171 = 0</f>
        <v>0</v>
      </c>
      <c r="N171" s="3" t="s">
        <v>13657</v>
      </c>
    </row>
    <row r="172">
      <c r="A172" s="3" t="s">
        <v>13827</v>
      </c>
      <c r="B172" s="4" t="str">
        <f>G172 &amp; "." &amp; F172</f>
        <v>pko_knowledge_authority.role_assignments</v>
      </c>
      <c r="C172" s="3" t="s">
        <v>13655</v>
      </c>
      <c r="D172" s="3" t="s">
        <v>9774</v>
      </c>
      <c r="E172" s="3" t="s">
        <v>1821</v>
      </c>
      <c r="F172" s="3" t="s">
        <v>9707</v>
      </c>
      <c r="G172" s="4" t="str">
        <f>_xlfn.IFNA(IF(((INDEX(RoleSchemas!D2:D13, MATCH(C172,RoleSchemas!A2:A13, 0))="")=TRUE),  "",  INDEX(RoleSchemas!D2:D13, MATCH(C172,RoleSchemas!A2:A13, 0))), "")</f>
        <v>pko_knowledge_authority</v>
      </c>
      <c r="H172" s="4" t="str">
        <f>_xlfn.IFNA(IF(((INDEX(RulebookTables!E2:E93, MATCH(E172,RulebookTables!A2:A93, 0))="")=TRUE),  "",  INDEX(RulebookTables!E2:E93, MATCH(E172,RulebookTables!A2:A93, 0))), "")</f>
        <v>vw_role_assignments</v>
      </c>
      <c r="I172" s="4" t="str">
        <f>D172 &amp; "|" &amp; E172</f>
        <v>principal-knowledge-authority|RoleAssignments</v>
      </c>
      <c r="J172" s="4">
        <f>COUNTIFS(FieldGrants!M2:M3640, I172)</f>
        <v>65</v>
      </c>
      <c r="K172" s="4">
        <f>_xlfn.IFNA(IF(((INDEX(RulebookTables!H2:H93, MATCH(E172,RulebookTables!A2:A93, 0))="")=TRUE),  "",  INDEX(RulebookTables!H2:H93, MATCH(E172,RulebookTables!A2:A93, 0))), "")</f>
        <v>65</v>
      </c>
      <c r="L172" s="4" t="b">
        <f>AND(((J172 &gt; 0)=TRUE), ((J172 &gt;= K172)=TRUE))</f>
        <v>1</v>
      </c>
      <c r="M172" s="4" t="b">
        <f>J172 = 0</f>
        <v>0</v>
      </c>
      <c r="N172" s="3" t="s">
        <v>13657</v>
      </c>
    </row>
    <row r="173">
      <c r="A173" s="3" t="s">
        <v>13828</v>
      </c>
      <c r="B173" s="4" t="str">
        <f>G173 &amp; "." &amp; F173</f>
        <v>pko_knowledge_authority.role_questions</v>
      </c>
      <c r="C173" s="3" t="s">
        <v>13655</v>
      </c>
      <c r="D173" s="3" t="s">
        <v>9774</v>
      </c>
      <c r="E173" s="3" t="s">
        <v>4157</v>
      </c>
      <c r="F173" s="3" t="s">
        <v>9708</v>
      </c>
      <c r="G173" s="4" t="str">
        <f>_xlfn.IFNA(IF(((INDEX(RoleSchemas!D2:D13, MATCH(C173,RoleSchemas!A2:A13, 0))="")=TRUE),  "",  INDEX(RoleSchemas!D2:D13, MATCH(C173,RoleSchemas!A2:A13, 0))), "")</f>
        <v>pko_knowledge_authority</v>
      </c>
      <c r="H173" s="4" t="str">
        <f>_xlfn.IFNA(IF(((INDEX(RulebookTables!E2:E93, MATCH(E173,RulebookTables!A2:A93, 0))="")=TRUE),  "",  INDEX(RulebookTables!E2:E93, MATCH(E173,RulebookTables!A2:A93, 0))), "")</f>
        <v>vw_role_questions</v>
      </c>
      <c r="I173" s="4" t="str">
        <f>D173 &amp; "|" &amp; E173</f>
        <v>principal-knowledge-authority|RoleQuestions</v>
      </c>
      <c r="J173" s="4">
        <f>COUNTIFS(FieldGrants!M2:M3640, I173)</f>
        <v>11</v>
      </c>
      <c r="K173" s="4">
        <f>_xlfn.IFNA(IF(((INDEX(RulebookTables!H2:H93, MATCH(E173,RulebookTables!A2:A93, 0))="")=TRUE),  "",  INDEX(RulebookTables!H2:H93, MATCH(E173,RulebookTables!A2:A93, 0))), "")</f>
        <v>11</v>
      </c>
      <c r="L173" s="4" t="b">
        <f>AND(((J173 &gt; 0)=TRUE), ((J173 &gt;= K173)=TRUE))</f>
        <v>1</v>
      </c>
      <c r="M173" s="4" t="b">
        <f>J173 = 0</f>
        <v>0</v>
      </c>
      <c r="N173" s="3" t="s">
        <v>13657</v>
      </c>
    </row>
    <row r="174">
      <c r="A174" s="3" t="s">
        <v>13829</v>
      </c>
      <c r="B174" s="4" t="str">
        <f>G174 &amp; "." &amp; F174</f>
        <v>pko_knowledge_authority.roles</v>
      </c>
      <c r="C174" s="3" t="s">
        <v>13655</v>
      </c>
      <c r="D174" s="3" t="s">
        <v>9774</v>
      </c>
      <c r="E174" s="3" t="s">
        <v>1818</v>
      </c>
      <c r="F174" s="3" t="s">
        <v>9709</v>
      </c>
      <c r="G174" s="4" t="str">
        <f>_xlfn.IFNA(IF(((INDEX(RoleSchemas!D2:D13, MATCH(C174,RoleSchemas!A2:A13, 0))="")=TRUE),  "",  INDEX(RoleSchemas!D2:D13, MATCH(C174,RoleSchemas!A2:A13, 0))), "")</f>
        <v>pko_knowledge_authority</v>
      </c>
      <c r="H174" s="4" t="str">
        <f>_xlfn.IFNA(IF(((INDEX(RulebookTables!E2:E93, MATCH(E174,RulebookTables!A2:A93, 0))="")=TRUE),  "",  INDEX(RulebookTables!E2:E93, MATCH(E174,RulebookTables!A2:A93, 0))), "")</f>
        <v>vw_roles</v>
      </c>
      <c r="I174" s="4" t="str">
        <f>D174 &amp; "|" &amp; E174</f>
        <v>principal-knowledge-authority|Roles</v>
      </c>
      <c r="J174" s="4">
        <f>COUNTIFS(FieldGrants!M2:M3640, I174)</f>
        <v>24</v>
      </c>
      <c r="K174" s="4">
        <f>_xlfn.IFNA(IF(((INDEX(RulebookTables!H2:H93, MATCH(E174,RulebookTables!A2:A93, 0))="")=TRUE),  "",  INDEX(RulebookTables!H2:H93, MATCH(E174,RulebookTables!A2:A93, 0))), "")</f>
        <v>24</v>
      </c>
      <c r="L174" s="4" t="b">
        <f>AND(((J174 &gt; 0)=TRUE), ((J174 &gt;= K174)=TRUE))</f>
        <v>1</v>
      </c>
      <c r="M174" s="4" t="b">
        <f>J174 = 0</f>
        <v>0</v>
      </c>
      <c r="N174" s="3" t="s">
        <v>13657</v>
      </c>
    </row>
    <row r="175">
      <c r="A175" s="3" t="s">
        <v>13830</v>
      </c>
      <c r="B175" s="4" t="str">
        <f>G175 &amp; "." &amp; F175</f>
        <v>pko_knowledge_authority.rulebook_fields</v>
      </c>
      <c r="C175" s="3" t="s">
        <v>13655</v>
      </c>
      <c r="D175" s="3" t="s">
        <v>9774</v>
      </c>
      <c r="E175" s="3" t="s">
        <v>4172</v>
      </c>
      <c r="F175" s="3" t="s">
        <v>9710</v>
      </c>
      <c r="G175" s="4" t="str">
        <f>_xlfn.IFNA(IF(((INDEX(RoleSchemas!D2:D13, MATCH(C175,RoleSchemas!A2:A13, 0))="")=TRUE),  "",  INDEX(RoleSchemas!D2:D13, MATCH(C175,RoleSchemas!A2:A13, 0))), "")</f>
        <v>pko_knowledge_authority</v>
      </c>
      <c r="H175" s="4" t="str">
        <f>_xlfn.IFNA(IF(((INDEX(RulebookTables!E2:E93, MATCH(E175,RulebookTables!A2:A93, 0))="")=TRUE),  "",  INDEX(RulebookTables!E2:E93, MATCH(E175,RulebookTables!A2:A93, 0))), "")</f>
        <v>vw_rulebook_fields</v>
      </c>
      <c r="I175" s="4" t="str">
        <f>D175 &amp; "|" &amp; E175</f>
        <v>principal-knowledge-authority|RulebookFields</v>
      </c>
      <c r="J175" s="4">
        <f>COUNTIFS(FieldGrants!M2:M3640, I175)</f>
        <v>11</v>
      </c>
      <c r="K175" s="4">
        <f>_xlfn.IFNA(IF(((INDEX(RulebookTables!H2:H93, MATCH(E175,RulebookTables!A2:A93, 0))="")=TRUE),  "",  INDEX(RulebookTables!H2:H93, MATCH(E175,RulebookTables!A2:A93, 0))), "")</f>
        <v>13</v>
      </c>
      <c r="L175" s="4" t="b">
        <f>AND(((J175 &gt; 0)=TRUE), ((J175 &gt;= K175)=TRUE))</f>
        <v>0</v>
      </c>
      <c r="M175" s="4" t="b">
        <f>J175 = 0</f>
        <v>0</v>
      </c>
      <c r="N175" s="3" t="s">
        <v>13657</v>
      </c>
    </row>
    <row r="176">
      <c r="A176" s="3" t="s">
        <v>13831</v>
      </c>
      <c r="B176" s="4" t="str">
        <f>G176 &amp; "." &amp; F176</f>
        <v>pko_knowledge_authority.rulebook_releases</v>
      </c>
      <c r="C176" s="3" t="s">
        <v>13655</v>
      </c>
      <c r="D176" s="3" t="s">
        <v>9774</v>
      </c>
      <c r="E176" s="3" t="s">
        <v>2415</v>
      </c>
      <c r="F176" s="3" t="s">
        <v>9711</v>
      </c>
      <c r="G176" s="4" t="str">
        <f>_xlfn.IFNA(IF(((INDEX(RoleSchemas!D2:D13, MATCH(C176,RoleSchemas!A2:A13, 0))="")=TRUE),  "",  INDEX(RoleSchemas!D2:D13, MATCH(C176,RoleSchemas!A2:A13, 0))), "")</f>
        <v>pko_knowledge_authority</v>
      </c>
      <c r="H176" s="4" t="str">
        <f>_xlfn.IFNA(IF(((INDEX(RulebookTables!E2:E93, MATCH(E176,RulebookTables!A2:A93, 0))="")=TRUE),  "",  INDEX(RulebookTables!E2:E93, MATCH(E176,RulebookTables!A2:A93, 0))), "")</f>
        <v>vw_rulebook_releases</v>
      </c>
      <c r="I176" s="4" t="str">
        <f>D176 &amp; "|" &amp; E176</f>
        <v>principal-knowledge-authority|RulebookReleases</v>
      </c>
      <c r="J176" s="4">
        <f>COUNTIFS(FieldGrants!M2:M3640, I176)</f>
        <v>11</v>
      </c>
      <c r="K176" s="4">
        <f>_xlfn.IFNA(IF(((INDEX(RulebookTables!H2:H93, MATCH(E176,RulebookTables!A2:A93, 0))="")=TRUE),  "",  INDEX(RulebookTables!H2:H93, MATCH(E176,RulebookTables!A2:A93, 0))), "")</f>
        <v>11</v>
      </c>
      <c r="L176" s="4" t="b">
        <f>AND(((J176 &gt; 0)=TRUE), ((J176 &gt;= K176)=TRUE))</f>
        <v>1</v>
      </c>
      <c r="M176" s="4" t="b">
        <f>J176 = 0</f>
        <v>0</v>
      </c>
      <c r="N176" s="3" t="s">
        <v>13657</v>
      </c>
    </row>
    <row r="177">
      <c r="A177" s="3" t="s">
        <v>13832</v>
      </c>
      <c r="B177" s="4" t="str">
        <f>G177 &amp; "." &amp; F177</f>
        <v>pko_knowledge_authority.semantic_mappings</v>
      </c>
      <c r="C177" s="3" t="s">
        <v>13655</v>
      </c>
      <c r="D177" s="3" t="s">
        <v>9774</v>
      </c>
      <c r="E177" s="3" t="s">
        <v>4130</v>
      </c>
      <c r="F177" s="3" t="s">
        <v>9712</v>
      </c>
      <c r="G177" s="4" t="str">
        <f>_xlfn.IFNA(IF(((INDEX(RoleSchemas!D2:D13, MATCH(C177,RoleSchemas!A2:A13, 0))="")=TRUE),  "",  INDEX(RoleSchemas!D2:D13, MATCH(C177,RoleSchemas!A2:A13, 0))), "")</f>
        <v>pko_knowledge_authority</v>
      </c>
      <c r="H177" s="4" t="str">
        <f>_xlfn.IFNA(IF(((INDEX(RulebookTables!E2:E93, MATCH(E177,RulebookTables!A2:A93, 0))="")=TRUE),  "",  INDEX(RulebookTables!E2:E93, MATCH(E177,RulebookTables!A2:A93, 0))), "")</f>
        <v>vw_semantic_mappings</v>
      </c>
      <c r="I177" s="4" t="str">
        <f>D177 &amp; "|" &amp; E177</f>
        <v>principal-knowledge-authority|SemanticMappings</v>
      </c>
      <c r="J177" s="4">
        <f>COUNTIFS(FieldGrants!M2:M3640, I177)</f>
        <v>8</v>
      </c>
      <c r="K177" s="4">
        <f>_xlfn.IFNA(IF(((INDEX(RulebookTables!H2:H93, MATCH(E177,RulebookTables!A2:A93, 0))="")=TRUE),  "",  INDEX(RulebookTables!H2:H93, MATCH(E177,RulebookTables!A2:A93, 0))), "")</f>
        <v>8</v>
      </c>
      <c r="L177" s="4" t="b">
        <f>AND(((J177 &gt; 0)=TRUE), ((J177 &gt;= K177)=TRUE))</f>
        <v>1</v>
      </c>
      <c r="M177" s="4" t="b">
        <f>J177 = 0</f>
        <v>0</v>
      </c>
      <c r="N177" s="3" t="s">
        <v>13657</v>
      </c>
    </row>
    <row r="178">
      <c r="A178" s="3" t="s">
        <v>13833</v>
      </c>
      <c r="B178" s="4" t="str">
        <f>G178 &amp; "." &amp; F178</f>
        <v>pko_knowledge_authority.send_intents</v>
      </c>
      <c r="C178" s="3" t="s">
        <v>13655</v>
      </c>
      <c r="D178" s="3" t="s">
        <v>9774</v>
      </c>
      <c r="E178" s="3" t="s">
        <v>4728</v>
      </c>
      <c r="F178" s="3" t="s">
        <v>9713</v>
      </c>
      <c r="G178" s="4" t="str">
        <f>_xlfn.IFNA(IF(((INDEX(RoleSchemas!D2:D13, MATCH(C178,RoleSchemas!A2:A13, 0))="")=TRUE),  "",  INDEX(RoleSchemas!D2:D13, MATCH(C178,RoleSchemas!A2:A13, 0))), "")</f>
        <v>pko_knowledge_authority</v>
      </c>
      <c r="H178" s="4" t="str">
        <f>_xlfn.IFNA(IF(((INDEX(RulebookTables!E2:E93, MATCH(E178,RulebookTables!A2:A93, 0))="")=TRUE),  "",  INDEX(RulebookTables!E2:E93, MATCH(E178,RulebookTables!A2:A93, 0))), "")</f>
        <v>vw_send_intents</v>
      </c>
      <c r="I178" s="4" t="str">
        <f>D178 &amp; "|" &amp; E178</f>
        <v>principal-knowledge-authority|SendIntents</v>
      </c>
      <c r="J178" s="4">
        <f>COUNTIFS(FieldGrants!M2:M3640, I178)</f>
        <v>100</v>
      </c>
      <c r="K178" s="4">
        <f>_xlfn.IFNA(IF(((INDEX(RulebookTables!H2:H93, MATCH(E178,RulebookTables!A2:A93, 0))="")=TRUE),  "",  INDEX(RulebookTables!H2:H93, MATCH(E178,RulebookTables!A2:A93, 0))), "")</f>
        <v>100</v>
      </c>
      <c r="L178" s="4" t="b">
        <f>AND(((J178 &gt; 0)=TRUE), ((J178 &gt;= K178)=TRUE))</f>
        <v>1</v>
      </c>
      <c r="M178" s="4" t="b">
        <f>J178 = 0</f>
        <v>0</v>
      </c>
      <c r="N178" s="3" t="s">
        <v>13657</v>
      </c>
    </row>
    <row r="179">
      <c r="A179" s="3" t="s">
        <v>13834</v>
      </c>
      <c r="B179" s="4" t="str">
        <f>G179 &amp; "." &amp; F179</f>
        <v>pko_knowledge_authority.step_actions</v>
      </c>
      <c r="C179" s="3" t="s">
        <v>13655</v>
      </c>
      <c r="D179" s="3" t="s">
        <v>9774</v>
      </c>
      <c r="E179" s="3" t="s">
        <v>3028</v>
      </c>
      <c r="F179" s="3" t="s">
        <v>9714</v>
      </c>
      <c r="G179" s="4" t="str">
        <f>_xlfn.IFNA(IF(((INDEX(RoleSchemas!D2:D13, MATCH(C179,RoleSchemas!A2:A13, 0))="")=TRUE),  "",  INDEX(RoleSchemas!D2:D13, MATCH(C179,RoleSchemas!A2:A13, 0))), "")</f>
        <v>pko_knowledge_authority</v>
      </c>
      <c r="H179" s="4" t="str">
        <f>_xlfn.IFNA(IF(((INDEX(RulebookTables!E2:E93, MATCH(E179,RulebookTables!A2:A93, 0))="")=TRUE),  "",  INDEX(RulebookTables!E2:E93, MATCH(E179,RulebookTables!A2:A93, 0))), "")</f>
        <v>vw_step_actions</v>
      </c>
      <c r="I179" s="4" t="str">
        <f>D179 &amp; "|" &amp; E179</f>
        <v>principal-knowledge-authority|StepActions</v>
      </c>
      <c r="J179" s="4">
        <f>COUNTIFS(FieldGrants!M2:M3640, I179)</f>
        <v>4</v>
      </c>
      <c r="K179" s="4">
        <f>_xlfn.IFNA(IF(((INDEX(RulebookTables!H2:H93, MATCH(E179,RulebookTables!A2:A93, 0))="")=TRUE),  "",  INDEX(RulebookTables!H2:H93, MATCH(E179,RulebookTables!A2:A93, 0))), "")</f>
        <v>4</v>
      </c>
      <c r="L179" s="4" t="b">
        <f>AND(((J179 &gt; 0)=TRUE), ((J179 &gt;= K179)=TRUE))</f>
        <v>1</v>
      </c>
      <c r="M179" s="4" t="b">
        <f>J179 = 0</f>
        <v>0</v>
      </c>
      <c r="N179" s="3" t="s">
        <v>13657</v>
      </c>
    </row>
    <row r="180">
      <c r="A180" s="3" t="s">
        <v>13835</v>
      </c>
      <c r="B180" s="4" t="str">
        <f>G180 &amp; "." &amp; F180</f>
        <v>pko_knowledge_authority.step_executions</v>
      </c>
      <c r="C180" s="3" t="s">
        <v>13655</v>
      </c>
      <c r="D180" s="3" t="s">
        <v>9774</v>
      </c>
      <c r="E180" s="3" t="s">
        <v>1827</v>
      </c>
      <c r="F180" s="3" t="s">
        <v>9715</v>
      </c>
      <c r="G180" s="4" t="str">
        <f>_xlfn.IFNA(IF(((INDEX(RoleSchemas!D2:D13, MATCH(C180,RoleSchemas!A2:A13, 0))="")=TRUE),  "",  INDEX(RoleSchemas!D2:D13, MATCH(C180,RoleSchemas!A2:A13, 0))), "")</f>
        <v>pko_knowledge_authority</v>
      </c>
      <c r="H180" s="4" t="str">
        <f>_xlfn.IFNA(IF(((INDEX(RulebookTables!E2:E93, MATCH(E180,RulebookTables!A2:A93, 0))="")=TRUE),  "",  INDEX(RulebookTables!E2:E93, MATCH(E180,RulebookTables!A2:A93, 0))), "")</f>
        <v>vw_step_executions</v>
      </c>
      <c r="I180" s="4" t="str">
        <f>D180 &amp; "|" &amp; E180</f>
        <v>principal-knowledge-authority|StepExecutions</v>
      </c>
      <c r="J180" s="4">
        <f>COUNTIFS(FieldGrants!M2:M3640, I180)</f>
        <v>109</v>
      </c>
      <c r="K180" s="4">
        <f>_xlfn.IFNA(IF(((INDEX(RulebookTables!H2:H93, MATCH(E180,RulebookTables!A2:A93, 0))="")=TRUE),  "",  INDEX(RulebookTables!H2:H93, MATCH(E180,RulebookTables!A2:A93, 0))), "")</f>
        <v>109</v>
      </c>
      <c r="L180" s="4" t="b">
        <f>AND(((J180 &gt; 0)=TRUE), ((J180 &gt;= K180)=TRUE))</f>
        <v>1</v>
      </c>
      <c r="M180" s="4" t="b">
        <f>J180 = 0</f>
        <v>0</v>
      </c>
      <c r="N180" s="3" t="s">
        <v>13657</v>
      </c>
    </row>
    <row r="181">
      <c r="A181" s="3" t="s">
        <v>13836</v>
      </c>
      <c r="B181" s="4" t="str">
        <f>G181 &amp; "." &amp; F181</f>
        <v>pko_knowledge_authority.step_functions</v>
      </c>
      <c r="C181" s="3" t="s">
        <v>13655</v>
      </c>
      <c r="D181" s="3" t="s">
        <v>9774</v>
      </c>
      <c r="E181" s="3" t="s">
        <v>3034</v>
      </c>
      <c r="F181" s="3" t="s">
        <v>9716</v>
      </c>
      <c r="G181" s="4" t="str">
        <f>_xlfn.IFNA(IF(((INDEX(RoleSchemas!D2:D13, MATCH(C181,RoleSchemas!A2:A13, 0))="")=TRUE),  "",  INDEX(RoleSchemas!D2:D13, MATCH(C181,RoleSchemas!A2:A13, 0))), "")</f>
        <v>pko_knowledge_authority</v>
      </c>
      <c r="H181" s="4" t="str">
        <f>_xlfn.IFNA(IF(((INDEX(RulebookTables!E2:E93, MATCH(E181,RulebookTables!A2:A93, 0))="")=TRUE),  "",  INDEX(RulebookTables!E2:E93, MATCH(E181,RulebookTables!A2:A93, 0))), "")</f>
        <v>vw_step_functions</v>
      </c>
      <c r="I181" s="4" t="str">
        <f>D181 &amp; "|" &amp; E181</f>
        <v>principal-knowledge-authority|StepFunctions</v>
      </c>
      <c r="J181" s="4">
        <f>COUNTIFS(FieldGrants!M2:M3640, I181)</f>
        <v>4</v>
      </c>
      <c r="K181" s="4">
        <f>_xlfn.IFNA(IF(((INDEX(RulebookTables!H2:H93, MATCH(E181,RulebookTables!A2:A93, 0))="")=TRUE),  "",  INDEX(RulebookTables!H2:H93, MATCH(E181,RulebookTables!A2:A93, 0))), "")</f>
        <v>4</v>
      </c>
      <c r="L181" s="4" t="b">
        <f>AND(((J181 &gt; 0)=TRUE), ((J181 &gt;= K181)=TRUE))</f>
        <v>1</v>
      </c>
      <c r="M181" s="4" t="b">
        <f>J181 = 0</f>
        <v>0</v>
      </c>
      <c r="N181" s="3" t="s">
        <v>13657</v>
      </c>
    </row>
    <row r="182">
      <c r="A182" s="3" t="s">
        <v>13837</v>
      </c>
      <c r="B182" s="4" t="str">
        <f>G182 &amp; "." &amp; F182</f>
        <v>pko_knowledge_authority.step_requirements</v>
      </c>
      <c r="C182" s="3" t="s">
        <v>13655</v>
      </c>
      <c r="D182" s="3" t="s">
        <v>9774</v>
      </c>
      <c r="E182" s="3" t="s">
        <v>3119</v>
      </c>
      <c r="F182" s="3" t="s">
        <v>9717</v>
      </c>
      <c r="G182" s="4" t="str">
        <f>_xlfn.IFNA(IF(((INDEX(RoleSchemas!D2:D13, MATCH(C182,RoleSchemas!A2:A13, 0))="")=TRUE),  "",  INDEX(RoleSchemas!D2:D13, MATCH(C182,RoleSchemas!A2:A13, 0))), "")</f>
        <v>pko_knowledge_authority</v>
      </c>
      <c r="H182" s="4" t="str">
        <f>_xlfn.IFNA(IF(((INDEX(RulebookTables!E2:E93, MATCH(E182,RulebookTables!A2:A93, 0))="")=TRUE),  "",  INDEX(RulebookTables!E2:E93, MATCH(E182,RulebookTables!A2:A93, 0))), "")</f>
        <v>vw_step_requirements</v>
      </c>
      <c r="I182" s="4" t="str">
        <f>D182 &amp; "|" &amp; E182</f>
        <v>principal-knowledge-authority|StepRequirements</v>
      </c>
      <c r="J182" s="4">
        <f>COUNTIFS(FieldGrants!M2:M3640, I182)</f>
        <v>13</v>
      </c>
      <c r="K182" s="4">
        <f>_xlfn.IFNA(IF(((INDEX(RulebookTables!H2:H93, MATCH(E182,RulebookTables!A2:A93, 0))="")=TRUE),  "",  INDEX(RulebookTables!H2:H93, MATCH(E182,RulebookTables!A2:A93, 0))), "")</f>
        <v>13</v>
      </c>
      <c r="L182" s="4" t="b">
        <f>AND(((J182 &gt; 0)=TRUE), ((J182 &gt;= K182)=TRUE))</f>
        <v>1</v>
      </c>
      <c r="M182" s="4" t="b">
        <f>J182 = 0</f>
        <v>0</v>
      </c>
      <c r="N182" s="3" t="s">
        <v>13657</v>
      </c>
    </row>
    <row r="183">
      <c r="A183" s="3" t="s">
        <v>13838</v>
      </c>
      <c r="B183" s="4" t="str">
        <f>G183 &amp; "." &amp; F183</f>
        <v>pko_knowledge_authority.step_tools</v>
      </c>
      <c r="C183" s="3" t="s">
        <v>13655</v>
      </c>
      <c r="D183" s="3" t="s">
        <v>9774</v>
      </c>
      <c r="E183" s="3" t="s">
        <v>3040</v>
      </c>
      <c r="F183" s="3" t="s">
        <v>9718</v>
      </c>
      <c r="G183" s="4" t="str">
        <f>_xlfn.IFNA(IF(((INDEX(RoleSchemas!D2:D13, MATCH(C183,RoleSchemas!A2:A13, 0))="")=TRUE),  "",  INDEX(RoleSchemas!D2:D13, MATCH(C183,RoleSchemas!A2:A13, 0))), "")</f>
        <v>pko_knowledge_authority</v>
      </c>
      <c r="H183" s="4" t="str">
        <f>_xlfn.IFNA(IF(((INDEX(RulebookTables!E2:E93, MATCH(E183,RulebookTables!A2:A93, 0))="")=TRUE),  "",  INDEX(RulebookTables!E2:E93, MATCH(E183,RulebookTables!A2:A93, 0))), "")</f>
        <v>vw_step_tools</v>
      </c>
      <c r="I183" s="4" t="str">
        <f>D183 &amp; "|" &amp; E183</f>
        <v>principal-knowledge-authority|StepTools</v>
      </c>
      <c r="J183" s="4">
        <f>COUNTIFS(FieldGrants!M2:M3640, I183)</f>
        <v>4</v>
      </c>
      <c r="K183" s="4">
        <f>_xlfn.IFNA(IF(((INDEX(RulebookTables!H2:H93, MATCH(E183,RulebookTables!A2:A93, 0))="")=TRUE),  "",  INDEX(RulebookTables!H2:H93, MATCH(E183,RulebookTables!A2:A93, 0))), "")</f>
        <v>4</v>
      </c>
      <c r="L183" s="4" t="b">
        <f>AND(((J183 &gt; 0)=TRUE), ((J183 &gt;= K183)=TRUE))</f>
        <v>1</v>
      </c>
      <c r="M183" s="4" t="b">
        <f>J183 = 0</f>
        <v>0</v>
      </c>
      <c r="N183" s="3" t="s">
        <v>13657</v>
      </c>
    </row>
    <row r="184">
      <c r="A184" s="3" t="s">
        <v>13839</v>
      </c>
      <c r="B184" s="4" t="str">
        <f>G184 &amp; "." &amp; F184</f>
        <v>pko_knowledge_authority.step_transitions</v>
      </c>
      <c r="C184" s="3" t="s">
        <v>13655</v>
      </c>
      <c r="D184" s="3" t="s">
        <v>9774</v>
      </c>
      <c r="E184" s="3" t="s">
        <v>1784</v>
      </c>
      <c r="F184" s="3" t="s">
        <v>9719</v>
      </c>
      <c r="G184" s="4" t="str">
        <f>_xlfn.IFNA(IF(((INDEX(RoleSchemas!D2:D13, MATCH(C184,RoleSchemas!A2:A13, 0))="")=TRUE),  "",  INDEX(RoleSchemas!D2:D13, MATCH(C184,RoleSchemas!A2:A13, 0))), "")</f>
        <v>pko_knowledge_authority</v>
      </c>
      <c r="H184" s="4" t="str">
        <f>_xlfn.IFNA(IF(((INDEX(RulebookTables!E2:E93, MATCH(E184,RulebookTables!A2:A93, 0))="")=TRUE),  "",  INDEX(RulebookTables!E2:E93, MATCH(E184,RulebookTables!A2:A93, 0))), "")</f>
        <v>vw_step_transitions</v>
      </c>
      <c r="I184" s="4" t="str">
        <f>D184 &amp; "|" &amp; E184</f>
        <v>principal-knowledge-authority|StepTransitions</v>
      </c>
      <c r="J184" s="4">
        <f>COUNTIFS(FieldGrants!M2:M3640, I184)</f>
        <v>23</v>
      </c>
      <c r="K184" s="4">
        <f>_xlfn.IFNA(IF(((INDEX(RulebookTables!H2:H93, MATCH(E184,RulebookTables!A2:A93, 0))="")=TRUE),  "",  INDEX(RulebookTables!H2:H93, MATCH(E184,RulebookTables!A2:A93, 0))), "")</f>
        <v>28</v>
      </c>
      <c r="L184" s="4" t="b">
        <f>AND(((J184 &gt; 0)=TRUE), ((J184 &gt;= K184)=TRUE))</f>
        <v>0</v>
      </c>
      <c r="M184" s="4" t="b">
        <f>J184 = 0</f>
        <v>0</v>
      </c>
      <c r="N184" s="3" t="s">
        <v>13657</v>
      </c>
    </row>
    <row r="185">
      <c r="A185" s="3" t="s">
        <v>13840</v>
      </c>
      <c r="B185" s="4" t="str">
        <f>G185 &amp; "." &amp; F185</f>
        <v>pko_knowledge_authority.step_verifications</v>
      </c>
      <c r="C185" s="3" t="s">
        <v>13655</v>
      </c>
      <c r="D185" s="3" t="s">
        <v>9774</v>
      </c>
      <c r="E185" s="3" t="s">
        <v>1808</v>
      </c>
      <c r="F185" s="3" t="s">
        <v>9720</v>
      </c>
      <c r="G185" s="4" t="str">
        <f>_xlfn.IFNA(IF(((INDEX(RoleSchemas!D2:D13, MATCH(C185,RoleSchemas!A2:A13, 0))="")=TRUE),  "",  INDEX(RoleSchemas!D2:D13, MATCH(C185,RoleSchemas!A2:A13, 0))), "")</f>
        <v>pko_knowledge_authority</v>
      </c>
      <c r="H185" s="4" t="str">
        <f>_xlfn.IFNA(IF(((INDEX(RulebookTables!E2:E93, MATCH(E185,RulebookTables!A2:A93, 0))="")=TRUE),  "",  INDEX(RulebookTables!E2:E93, MATCH(E185,RulebookTables!A2:A93, 0))), "")</f>
        <v>vw_step_verifications</v>
      </c>
      <c r="I185" s="4" t="str">
        <f>D185 &amp; "|" &amp; E185</f>
        <v>principal-knowledge-authority|StepVerifications</v>
      </c>
      <c r="J185" s="4">
        <f>COUNTIFS(FieldGrants!M2:M3640, I185)</f>
        <v>8</v>
      </c>
      <c r="K185" s="4">
        <f>_xlfn.IFNA(IF(((INDEX(RulebookTables!H2:H93, MATCH(E185,RulebookTables!A2:A93, 0))="")=TRUE),  "",  INDEX(RulebookTables!H2:H93, MATCH(E185,RulebookTables!A2:A93, 0))), "")</f>
        <v>8</v>
      </c>
      <c r="L185" s="4" t="b">
        <f>AND(((J185 &gt; 0)=TRUE), ((J185 &gt;= K185)=TRUE))</f>
        <v>1</v>
      </c>
      <c r="M185" s="4" t="b">
        <f>J185 = 0</f>
        <v>0</v>
      </c>
      <c r="N185" s="3" t="s">
        <v>13657</v>
      </c>
    </row>
    <row r="186">
      <c r="A186" s="3" t="s">
        <v>13841</v>
      </c>
      <c r="B186" s="4" t="str">
        <f>G186 &amp; "." &amp; F186</f>
        <v>pko_knowledge_authority.steps</v>
      </c>
      <c r="C186" s="3" t="s">
        <v>13655</v>
      </c>
      <c r="D186" s="3" t="s">
        <v>9774</v>
      </c>
      <c r="E186" s="3" t="s">
        <v>1778</v>
      </c>
      <c r="F186" s="3" t="s">
        <v>9721</v>
      </c>
      <c r="G186" s="4" t="str">
        <f>_xlfn.IFNA(IF(((INDEX(RoleSchemas!D2:D13, MATCH(C186,RoleSchemas!A2:A13, 0))="")=TRUE),  "",  INDEX(RoleSchemas!D2:D13, MATCH(C186,RoleSchemas!A2:A13, 0))), "")</f>
        <v>pko_knowledge_authority</v>
      </c>
      <c r="H186" s="4" t="str">
        <f>_xlfn.IFNA(IF(((INDEX(RulebookTables!E2:E93, MATCH(E186,RulebookTables!A2:A93, 0))="")=TRUE),  "",  INDEX(RulebookTables!E2:E93, MATCH(E186,RulebookTables!A2:A93, 0))), "")</f>
        <v>vw_steps</v>
      </c>
      <c r="I186" s="4" t="str">
        <f>D186 &amp; "|" &amp; E186</f>
        <v>principal-knowledge-authority|Steps</v>
      </c>
      <c r="J186" s="4">
        <f>COUNTIFS(FieldGrants!M2:M3640, I186)</f>
        <v>42</v>
      </c>
      <c r="K186" s="4">
        <f>_xlfn.IFNA(IF(((INDEX(RulebookTables!H2:H93, MATCH(E186,RulebookTables!A2:A93, 0))="")=TRUE),  "",  INDEX(RulebookTables!H2:H93, MATCH(E186,RulebookTables!A2:A93, 0))), "")</f>
        <v>54</v>
      </c>
      <c r="L186" s="4" t="b">
        <f>AND(((J186 &gt; 0)=TRUE), ((J186 &gt;= K186)=TRUE))</f>
        <v>0</v>
      </c>
      <c r="M186" s="4" t="b">
        <f>J186 = 0</f>
        <v>0</v>
      </c>
      <c r="N186" s="3" t="s">
        <v>13657</v>
      </c>
    </row>
    <row r="187">
      <c r="A187" s="3" t="s">
        <v>13842</v>
      </c>
      <c r="B187" s="4" t="str">
        <f>G187 &amp; "." &amp; F187</f>
        <v>pko_knowledge_authority.stewardship_assignments</v>
      </c>
      <c r="C187" s="3" t="s">
        <v>13655</v>
      </c>
      <c r="D187" s="3" t="s">
        <v>9774</v>
      </c>
      <c r="E187" s="3" t="s">
        <v>1859</v>
      </c>
      <c r="F187" s="3" t="s">
        <v>9722</v>
      </c>
      <c r="G187" s="4" t="str">
        <f>_xlfn.IFNA(IF(((INDEX(RoleSchemas!D2:D13, MATCH(C187,RoleSchemas!A2:A13, 0))="")=TRUE),  "",  INDEX(RoleSchemas!D2:D13, MATCH(C187,RoleSchemas!A2:A13, 0))), "")</f>
        <v>pko_knowledge_authority</v>
      </c>
      <c r="H187" s="4" t="str">
        <f>_xlfn.IFNA(IF(((INDEX(RulebookTables!E2:E93, MATCH(E187,RulebookTables!A2:A93, 0))="")=TRUE),  "",  INDEX(RulebookTables!E2:E93, MATCH(E187,RulebookTables!A2:A93, 0))), "")</f>
        <v>vw_stewardship_assignments</v>
      </c>
      <c r="I187" s="4" t="str">
        <f>D187 &amp; "|" &amp; E187</f>
        <v>principal-knowledge-authority|StewardshipAssignments</v>
      </c>
      <c r="J187" s="4">
        <f>COUNTIFS(FieldGrants!M2:M3640, I187)</f>
        <v>14</v>
      </c>
      <c r="K187" s="4">
        <f>_xlfn.IFNA(IF(((INDEX(RulebookTables!H2:H93, MATCH(E187,RulebookTables!A2:A93, 0))="")=TRUE),  "",  INDEX(RulebookTables!H2:H93, MATCH(E187,RulebookTables!A2:A93, 0))), "")</f>
        <v>14</v>
      </c>
      <c r="L187" s="4" t="b">
        <f>AND(((J187 &gt; 0)=TRUE), ((J187 &gt;= K187)=TRUE))</f>
        <v>1</v>
      </c>
      <c r="M187" s="4" t="b">
        <f>J187 = 0</f>
        <v>0</v>
      </c>
      <c r="N187" s="3" t="s">
        <v>13657</v>
      </c>
    </row>
    <row r="188">
      <c r="A188" s="3" t="s">
        <v>13843</v>
      </c>
      <c r="B188" s="4" t="str">
        <f>G188 &amp; "." &amp; F188</f>
        <v>pko_knowledge_authority.template_approvals</v>
      </c>
      <c r="C188" s="3" t="s">
        <v>13655</v>
      </c>
      <c r="D188" s="3" t="s">
        <v>9774</v>
      </c>
      <c r="E188" s="3" t="s">
        <v>4698</v>
      </c>
      <c r="F188" s="3" t="s">
        <v>9723</v>
      </c>
      <c r="G188" s="4" t="str">
        <f>_xlfn.IFNA(IF(((INDEX(RoleSchemas!D2:D13, MATCH(C188,RoleSchemas!A2:A13, 0))="")=TRUE),  "",  INDEX(RoleSchemas!D2:D13, MATCH(C188,RoleSchemas!A2:A13, 0))), "")</f>
        <v>pko_knowledge_authority</v>
      </c>
      <c r="H188" s="4" t="str">
        <f>_xlfn.IFNA(IF(((INDEX(RulebookTables!E2:E93, MATCH(E188,RulebookTables!A2:A93, 0))="")=TRUE),  "",  INDEX(RulebookTables!E2:E93, MATCH(E188,RulebookTables!A2:A93, 0))), "")</f>
        <v>vw_template_approvals</v>
      </c>
      <c r="I188" s="4" t="str">
        <f>D188 &amp; "|" &amp; E188</f>
        <v>principal-knowledge-authority|TemplateApprovals</v>
      </c>
      <c r="J188" s="4">
        <f>COUNTIFS(FieldGrants!M2:M3640, I188)</f>
        <v>15</v>
      </c>
      <c r="K188" s="4">
        <f>_xlfn.IFNA(IF(((INDEX(RulebookTables!H2:H93, MATCH(E188,RulebookTables!A2:A93, 0))="")=TRUE),  "",  INDEX(RulebookTables!H2:H93, MATCH(E188,RulebookTables!A2:A93, 0))), "")</f>
        <v>15</v>
      </c>
      <c r="L188" s="4" t="b">
        <f>AND(((J188 &gt; 0)=TRUE), ((J188 &gt;= K188)=TRUE))</f>
        <v>1</v>
      </c>
      <c r="M188" s="4" t="b">
        <f>J188 = 0</f>
        <v>0</v>
      </c>
      <c r="N188" s="3" t="s">
        <v>13657</v>
      </c>
    </row>
    <row r="189">
      <c r="A189" s="3" t="s">
        <v>13844</v>
      </c>
      <c r="B189" s="4" t="str">
        <f>G189 &amp; "." &amp; F189</f>
        <v>pko_knowledge_authority.test_cases</v>
      </c>
      <c r="C189" s="3" t="s">
        <v>13655</v>
      </c>
      <c r="D189" s="3" t="s">
        <v>9774</v>
      </c>
      <c r="E189" s="3" t="s">
        <v>4209</v>
      </c>
      <c r="F189" s="3" t="s">
        <v>9724</v>
      </c>
      <c r="G189" s="4" t="str">
        <f>_xlfn.IFNA(IF(((INDEX(RoleSchemas!D2:D13, MATCH(C189,RoleSchemas!A2:A13, 0))="")=TRUE),  "",  INDEX(RoleSchemas!D2:D13, MATCH(C189,RoleSchemas!A2:A13, 0))), "")</f>
        <v>pko_knowledge_authority</v>
      </c>
      <c r="H189" s="4" t="str">
        <f>_xlfn.IFNA(IF(((INDEX(RulebookTables!E2:E93, MATCH(E189,RulebookTables!A2:A93, 0))="")=TRUE),  "",  INDEX(RulebookTables!E2:E93, MATCH(E189,RulebookTables!A2:A93, 0))), "")</f>
        <v>vw_test_cases</v>
      </c>
      <c r="I189" s="4" t="str">
        <f>D189 &amp; "|" &amp; E189</f>
        <v>principal-knowledge-authority|TestCases</v>
      </c>
      <c r="J189" s="4">
        <f>COUNTIFS(FieldGrants!M2:M3640, I189)</f>
        <v>20</v>
      </c>
      <c r="K189" s="4">
        <f>_xlfn.IFNA(IF(((INDEX(RulebookTables!H2:H93, MATCH(E189,RulebookTables!A2:A93, 0))="")=TRUE),  "",  INDEX(RulebookTables!H2:H93, MATCH(E189,RulebookTables!A2:A93, 0))), "")</f>
        <v>20</v>
      </c>
      <c r="L189" s="4" t="b">
        <f>AND(((J189 &gt; 0)=TRUE), ((J189 &gt;= K189)=TRUE))</f>
        <v>1</v>
      </c>
      <c r="M189" s="4" t="b">
        <f>J189 = 0</f>
        <v>0</v>
      </c>
      <c r="N189" s="3" t="s">
        <v>13657</v>
      </c>
    </row>
    <row r="190">
      <c r="A190" s="3" t="s">
        <v>13845</v>
      </c>
      <c r="B190" s="4" t="str">
        <f>G190 &amp; "." &amp; F190</f>
        <v>pko_knowledge_authority.test_suites</v>
      </c>
      <c r="C190" s="3" t="s">
        <v>13655</v>
      </c>
      <c r="D190" s="3" t="s">
        <v>9774</v>
      </c>
      <c r="E190" s="3" t="s">
        <v>4191</v>
      </c>
      <c r="F190" s="3" t="s">
        <v>9725</v>
      </c>
      <c r="G190" s="4" t="str">
        <f>_xlfn.IFNA(IF(((INDEX(RoleSchemas!D2:D13, MATCH(C190,RoleSchemas!A2:A13, 0))="")=TRUE),  "",  INDEX(RoleSchemas!D2:D13, MATCH(C190,RoleSchemas!A2:A13, 0))), "")</f>
        <v>pko_knowledge_authority</v>
      </c>
      <c r="H190" s="4" t="str">
        <f>_xlfn.IFNA(IF(((INDEX(RulebookTables!E2:E93, MATCH(E190,RulebookTables!A2:A93, 0))="")=TRUE),  "",  INDEX(RulebookTables!E2:E93, MATCH(E190,RulebookTables!A2:A93, 0))), "")</f>
        <v>vw_test_suites</v>
      </c>
      <c r="I190" s="4" t="str">
        <f>D190 &amp; "|" &amp; E190</f>
        <v>principal-knowledge-authority|TestSuites</v>
      </c>
      <c r="J190" s="4">
        <f>COUNTIFS(FieldGrants!M2:M3640, I190)</f>
        <v>8</v>
      </c>
      <c r="K190" s="4">
        <f>_xlfn.IFNA(IF(((INDEX(RulebookTables!H2:H93, MATCH(E190,RulebookTables!A2:A93, 0))="")=TRUE),  "",  INDEX(RulebookTables!H2:H93, MATCH(E190,RulebookTables!A2:A93, 0))), "")</f>
        <v>8</v>
      </c>
      <c r="L190" s="4" t="b">
        <f>AND(((J190 &gt; 0)=TRUE), ((J190 &gt;= K190)=TRUE))</f>
        <v>1</v>
      </c>
      <c r="M190" s="4" t="b">
        <f>J190 = 0</f>
        <v>0</v>
      </c>
      <c r="N190" s="3" t="s">
        <v>13657</v>
      </c>
    </row>
    <row r="191">
      <c r="A191" s="3" t="s">
        <v>13846</v>
      </c>
      <c r="B191" s="4" t="str">
        <f>G191 &amp; "." &amp; F191</f>
        <v>pko_knowledge_authority.tools</v>
      </c>
      <c r="C191" s="3" t="s">
        <v>13655</v>
      </c>
      <c r="D191" s="3" t="s">
        <v>9774</v>
      </c>
      <c r="E191" s="3" t="s">
        <v>1802</v>
      </c>
      <c r="F191" s="3" t="s">
        <v>9726</v>
      </c>
      <c r="G191" s="4" t="str">
        <f>_xlfn.IFNA(IF(((INDEX(RoleSchemas!D2:D13, MATCH(C191,RoleSchemas!A2:A13, 0))="")=TRUE),  "",  INDEX(RoleSchemas!D2:D13, MATCH(C191,RoleSchemas!A2:A13, 0))), "")</f>
        <v>pko_knowledge_authority</v>
      </c>
      <c r="H191" s="4" t="str">
        <f>_xlfn.IFNA(IF(((INDEX(RulebookTables!E2:E93, MATCH(E191,RulebookTables!A2:A93, 0))="")=TRUE),  "",  INDEX(RulebookTables!E2:E93, MATCH(E191,RulebookTables!A2:A93, 0))), "")</f>
        <v>vw_tools</v>
      </c>
      <c r="I191" s="4" t="str">
        <f>D191 &amp; "|" &amp; E191</f>
        <v>principal-knowledge-authority|Tools</v>
      </c>
      <c r="J191" s="4">
        <f>COUNTIFS(FieldGrants!M2:M3640, I191)</f>
        <v>5</v>
      </c>
      <c r="K191" s="4">
        <f>_xlfn.IFNA(IF(((INDEX(RulebookTables!H2:H93, MATCH(E191,RulebookTables!A2:A93, 0))="")=TRUE),  "",  INDEX(RulebookTables!H2:H93, MATCH(E191,RulebookTables!A2:A93, 0))), "")</f>
        <v>5</v>
      </c>
      <c r="L191" s="4" t="b">
        <f>AND(((J191 &gt; 0)=TRUE), ((J191 &gt;= K191)=TRUE))</f>
        <v>1</v>
      </c>
      <c r="M191" s="4" t="b">
        <f>J191 = 0</f>
        <v>0</v>
      </c>
      <c r="N191" s="3" t="s">
        <v>13657</v>
      </c>
    </row>
    <row r="192">
      <c r="A192" s="3" t="s">
        <v>13847</v>
      </c>
      <c r="B192" s="4" t="str">
        <f>G192 &amp; "." &amp; F192</f>
        <v>pko_knowledge_authority.user_feedback</v>
      </c>
      <c r="C192" s="3" t="s">
        <v>13655</v>
      </c>
      <c r="D192" s="3" t="s">
        <v>9774</v>
      </c>
      <c r="E192" s="3" t="s">
        <v>1842</v>
      </c>
      <c r="F192" s="3" t="s">
        <v>9727</v>
      </c>
      <c r="G192" s="4" t="str">
        <f>_xlfn.IFNA(IF(((INDEX(RoleSchemas!D2:D13, MATCH(C192,RoleSchemas!A2:A13, 0))="")=TRUE),  "",  INDEX(RoleSchemas!D2:D13, MATCH(C192,RoleSchemas!A2:A13, 0))), "")</f>
        <v>pko_knowledge_authority</v>
      </c>
      <c r="H192" s="4" t="str">
        <f>_xlfn.IFNA(IF(((INDEX(RulebookTables!E2:E93, MATCH(E192,RulebookTables!A2:A93, 0))="")=TRUE),  "",  INDEX(RulebookTables!E2:E93, MATCH(E192,RulebookTables!A2:A93, 0))), "")</f>
        <v>vw_user_feedback</v>
      </c>
      <c r="I192" s="4" t="str">
        <f>D192 &amp; "|" &amp; E192</f>
        <v>principal-knowledge-authority|UserFeedback</v>
      </c>
      <c r="J192" s="4">
        <f>COUNTIFS(FieldGrants!M2:M3640, I192)</f>
        <v>9</v>
      </c>
      <c r="K192" s="4">
        <f>_xlfn.IFNA(IF(((INDEX(RulebookTables!H2:H93, MATCH(E192,RulebookTables!A2:A93, 0))="")=TRUE),  "",  INDEX(RulebookTables!H2:H93, MATCH(E192,RulebookTables!A2:A93, 0))), "")</f>
        <v>9</v>
      </c>
      <c r="L192" s="4" t="b">
        <f>AND(((J192 &gt; 0)=TRUE), ((J192 &gt;= K192)=TRUE))</f>
        <v>1</v>
      </c>
      <c r="M192" s="4" t="b">
        <f>J192 = 0</f>
        <v>0</v>
      </c>
      <c r="N192" s="3" t="s">
        <v>13657</v>
      </c>
    </row>
    <row r="193">
      <c r="A193" s="3" t="s">
        <v>13848</v>
      </c>
      <c r="B193" s="4" t="str">
        <f>G193 &amp; "." &amp; F193</f>
        <v>pko_knowledge_authority.user_questions</v>
      </c>
      <c r="C193" s="3" t="s">
        <v>13655</v>
      </c>
      <c r="D193" s="3" t="s">
        <v>9774</v>
      </c>
      <c r="E193" s="3" t="s">
        <v>1839</v>
      </c>
      <c r="F193" s="3" t="s">
        <v>9728</v>
      </c>
      <c r="G193" s="4" t="str">
        <f>_xlfn.IFNA(IF(((INDEX(RoleSchemas!D2:D13, MATCH(C193,RoleSchemas!A2:A13, 0))="")=TRUE),  "",  INDEX(RoleSchemas!D2:D13, MATCH(C193,RoleSchemas!A2:A13, 0))), "")</f>
        <v>pko_knowledge_authority</v>
      </c>
      <c r="H193" s="4" t="str">
        <f>_xlfn.IFNA(IF(((INDEX(RulebookTables!E2:E93, MATCH(E193,RulebookTables!A2:A93, 0))="")=TRUE),  "",  INDEX(RulebookTables!E2:E93, MATCH(E193,RulebookTables!A2:A93, 0))), "")</f>
        <v>vw_user_questions</v>
      </c>
      <c r="I193" s="4" t="str">
        <f>D193 &amp; "|" &amp; E193</f>
        <v>principal-knowledge-authority|UserQuestions</v>
      </c>
      <c r="J193" s="4">
        <f>COUNTIFS(FieldGrants!M2:M3640, I193)</f>
        <v>10</v>
      </c>
      <c r="K193" s="4">
        <f>_xlfn.IFNA(IF(((INDEX(RulebookTables!H2:H93, MATCH(E193,RulebookTables!A2:A93, 0))="")=TRUE),  "",  INDEX(RulebookTables!H2:H93, MATCH(E193,RulebookTables!A2:A93, 0))), "")</f>
        <v>10</v>
      </c>
      <c r="L193" s="4" t="b">
        <f>AND(((J193 &gt; 0)=TRUE), ((J193 &gt;= K193)=TRUE))</f>
        <v>1</v>
      </c>
      <c r="M193" s="4" t="b">
        <f>J193 = 0</f>
        <v>0</v>
      </c>
      <c r="N193" s="3" t="s">
        <v>13657</v>
      </c>
    </row>
    <row r="194">
      <c r="A194" s="3" t="s">
        <v>13849</v>
      </c>
      <c r="B194" s="4" t="str">
        <f>G194 &amp; "." &amp; F194</f>
        <v>pko_knowledge_authority.verification_outcomes</v>
      </c>
      <c r="C194" s="3" t="s">
        <v>13655</v>
      </c>
      <c r="D194" s="3" t="s">
        <v>9774</v>
      </c>
      <c r="E194" s="3" t="s">
        <v>4337</v>
      </c>
      <c r="F194" s="3" t="s">
        <v>9729</v>
      </c>
      <c r="G194" s="4" t="str">
        <f>_xlfn.IFNA(IF(((INDEX(RoleSchemas!D2:D13, MATCH(C194,RoleSchemas!A2:A13, 0))="")=TRUE),  "",  INDEX(RoleSchemas!D2:D13, MATCH(C194,RoleSchemas!A2:A13, 0))), "")</f>
        <v>pko_knowledge_authority</v>
      </c>
      <c r="H194" s="4" t="str">
        <f>_xlfn.IFNA(IF(((INDEX(RulebookTables!E2:E93, MATCH(E194,RulebookTables!A2:A93, 0))="")=TRUE),  "",  INDEX(RulebookTables!E2:E93, MATCH(E194,RulebookTables!A2:A93, 0))), "")</f>
        <v>vw_verification_outcomes</v>
      </c>
      <c r="I194" s="4" t="str">
        <f>D194 &amp; "|" &amp; E194</f>
        <v>principal-knowledge-authority|VerificationOutcomes</v>
      </c>
      <c r="J194" s="4">
        <f>COUNTIFS(FieldGrants!M2:M3640, I194)</f>
        <v>26</v>
      </c>
      <c r="K194" s="4">
        <f>_xlfn.IFNA(IF(((INDEX(RulebookTables!H2:H93, MATCH(E194,RulebookTables!A2:A93, 0))="")=TRUE),  "",  INDEX(RulebookTables!H2:H93, MATCH(E194,RulebookTables!A2:A93, 0))), "")</f>
        <v>26</v>
      </c>
      <c r="L194" s="4" t="b">
        <f>AND(((J194 &gt; 0)=TRUE), ((J194 &gt;= K194)=TRUE))</f>
        <v>1</v>
      </c>
      <c r="M194" s="4" t="b">
        <f>J194 = 0</f>
        <v>0</v>
      </c>
      <c r="N194" s="3" t="s">
        <v>13657</v>
      </c>
    </row>
    <row r="195">
      <c r="A195" s="3" t="s">
        <v>13850</v>
      </c>
      <c r="B195" s="4" t="str">
        <f>G195 &amp; "." &amp; F195</f>
        <v>pko_knowledge_authority.witness_loops</v>
      </c>
      <c r="C195" s="3" t="s">
        <v>13655</v>
      </c>
      <c r="D195" s="3" t="s">
        <v>9774</v>
      </c>
      <c r="E195" s="3" t="s">
        <v>4140</v>
      </c>
      <c r="F195" s="3" t="s">
        <v>9730</v>
      </c>
      <c r="G195" s="4" t="str">
        <f>_xlfn.IFNA(IF(((INDEX(RoleSchemas!D2:D13, MATCH(C195,RoleSchemas!A2:A13, 0))="")=TRUE),  "",  INDEX(RoleSchemas!D2:D13, MATCH(C195,RoleSchemas!A2:A13, 0))), "")</f>
        <v>pko_knowledge_authority</v>
      </c>
      <c r="H195" s="4" t="str">
        <f>_xlfn.IFNA(IF(((INDEX(RulebookTables!E2:E93, MATCH(E195,RulebookTables!A2:A93, 0))="")=TRUE),  "",  INDEX(RulebookTables!E2:E93, MATCH(E195,RulebookTables!A2:A93, 0))), "")</f>
        <v>vw_witness_loops</v>
      </c>
      <c r="I195" s="4" t="str">
        <f>D195 &amp; "|" &amp; E195</f>
        <v>principal-knowledge-authority|WitnessLoops</v>
      </c>
      <c r="J195" s="4">
        <f>COUNTIFS(FieldGrants!M2:M3640, I195)</f>
        <v>13</v>
      </c>
      <c r="K195" s="4">
        <f>_xlfn.IFNA(IF(((INDEX(RulebookTables!H2:H93, MATCH(E195,RulebookTables!A2:A93, 0))="")=TRUE),  "",  INDEX(RulebookTables!H2:H93, MATCH(E195,RulebookTables!A2:A93, 0))), "")</f>
        <v>13</v>
      </c>
      <c r="L195" s="4" t="b">
        <f>AND(((J195 &gt; 0)=TRUE), ((J195 &gt;= K195)=TRUE))</f>
        <v>1</v>
      </c>
      <c r="M195" s="4" t="b">
        <f>J195 = 0</f>
        <v>0</v>
      </c>
      <c r="N195" s="3" t="s">
        <v>13657</v>
      </c>
    </row>
    <row r="196">
      <c r="A196" s="3" t="s">
        <v>13851</v>
      </c>
      <c r="B196" s="4" t="str">
        <f>G196 &amp; "." &amp; F196</f>
        <v>pko_process_steward.process_mining_runs</v>
      </c>
      <c r="C196" s="3" t="s">
        <v>13654</v>
      </c>
      <c r="D196" s="3" t="s">
        <v>9772</v>
      </c>
      <c r="E196" s="3" t="s">
        <v>1889</v>
      </c>
      <c r="F196" s="3" t="s">
        <v>9731</v>
      </c>
      <c r="G196" s="4" t="str">
        <f>_xlfn.IFNA(IF(((INDEX(RoleSchemas!D2:D13, MATCH(C196,RoleSchemas!A2:A13, 0))="")=TRUE),  "",  INDEX(RoleSchemas!D2:D13, MATCH(C196,RoleSchemas!A2:A13, 0))), "")</f>
        <v>pko_process_steward</v>
      </c>
      <c r="H196" s="4" t="str">
        <f>_xlfn.IFNA(IF(((INDEX(RulebookTables!E2:E93, MATCH(E196,RulebookTables!A2:A93, 0))="")=TRUE),  "",  INDEX(RulebookTables!E2:E93, MATCH(E196,RulebookTables!A2:A93, 0))), "")</f>
        <v>vw_process_mining_runs</v>
      </c>
      <c r="I196" s="4" t="str">
        <f>D196 &amp; "|" &amp; E196</f>
        <v>principal-process-steward|ProcessMiningRuns</v>
      </c>
      <c r="J196" s="4">
        <f>COUNTIFS(FieldGrants!M2:M3640, I196)</f>
        <v>19</v>
      </c>
      <c r="K196" s="4">
        <f>_xlfn.IFNA(IF(((INDEX(RulebookTables!H2:H93, MATCH(E196,RulebookTables!A2:A93, 0))="")=TRUE),  "",  INDEX(RulebookTables!H2:H93, MATCH(E196,RulebookTables!A2:A93, 0))), "")</f>
        <v>19</v>
      </c>
      <c r="L196" s="4" t="b">
        <f>AND(((J196 &gt; 0)=TRUE), ((J196 &gt;= K196)=TRUE))</f>
        <v>1</v>
      </c>
      <c r="M196" s="4" t="b">
        <f>J196 = 0</f>
        <v>0</v>
      </c>
      <c r="N196" s="3" t="s">
        <v>13657</v>
      </c>
    </row>
    <row r="197">
      <c r="A197" s="3" t="s">
        <v>13852</v>
      </c>
      <c r="B197" s="4" t="str">
        <f>G197 &amp; "." &amp; F197</f>
        <v>pko_process_steward.vocabularies</v>
      </c>
      <c r="C197" s="3" t="s">
        <v>13654</v>
      </c>
      <c r="D197" s="3" t="s">
        <v>9772</v>
      </c>
      <c r="E197" s="3" t="s">
        <v>1893</v>
      </c>
      <c r="F197" s="3" t="s">
        <v>9733</v>
      </c>
      <c r="G197" s="4" t="str">
        <f>_xlfn.IFNA(IF(((INDEX(RoleSchemas!D2:D13, MATCH(C197,RoleSchemas!A2:A13, 0))="")=TRUE),  "",  INDEX(RoleSchemas!D2:D13, MATCH(C197,RoleSchemas!A2:A13, 0))), "")</f>
        <v>pko_process_steward</v>
      </c>
      <c r="H197" s="4" t="str">
        <f>_xlfn.IFNA(IF(((INDEX(RulebookTables!E2:E93, MATCH(E197,RulebookTables!A2:A93, 0))="")=TRUE),  "",  INDEX(RulebookTables!E2:E93, MATCH(E197,RulebookTables!A2:A93, 0))), "")</f>
        <v>vw_vocabularies</v>
      </c>
      <c r="I197" s="4" t="str">
        <f>D197 &amp; "|" &amp; E197</f>
        <v>principal-process-steward|Vocabularies</v>
      </c>
      <c r="J197" s="4">
        <f>COUNTIFS(FieldGrants!M2:M3640, I197)</f>
        <v>9</v>
      </c>
      <c r="K197" s="4">
        <f>_xlfn.IFNA(IF(((INDEX(RulebookTables!H2:H93, MATCH(E197,RulebookTables!A2:A93, 0))="")=TRUE),  "",  INDEX(RulebookTables!H2:H93, MATCH(E197,RulebookTables!A2:A93, 0))), "")</f>
        <v>9</v>
      </c>
      <c r="L197" s="4" t="b">
        <f>AND(((J197 &gt; 0)=TRUE), ((J197 &gt;= K197)=TRUE))</f>
        <v>1</v>
      </c>
      <c r="M197" s="4" t="b">
        <f>J197 = 0</f>
        <v>0</v>
      </c>
      <c r="N197" s="3" t="s">
        <v>13657</v>
      </c>
    </row>
    <row r="198">
      <c r="A198" s="3" t="s">
        <v>13853</v>
      </c>
      <c r="B198" s="4" t="str">
        <f>G198 &amp; "." &amp; F198</f>
        <v>pko_process_steward.vocabulary_terms</v>
      </c>
      <c r="C198" s="3" t="s">
        <v>13654</v>
      </c>
      <c r="D198" s="3" t="s">
        <v>9772</v>
      </c>
      <c r="E198" s="3" t="s">
        <v>1897</v>
      </c>
      <c r="F198" s="3" t="s">
        <v>9735</v>
      </c>
      <c r="G198" s="4" t="str">
        <f>_xlfn.IFNA(IF(((INDEX(RoleSchemas!D2:D13, MATCH(C198,RoleSchemas!A2:A13, 0))="")=TRUE),  "",  INDEX(RoleSchemas!D2:D13, MATCH(C198,RoleSchemas!A2:A13, 0))), "")</f>
        <v>pko_process_steward</v>
      </c>
      <c r="H198" s="4" t="str">
        <f>_xlfn.IFNA(IF(((INDEX(RulebookTables!E2:E93, MATCH(E198,RulebookTables!A2:A93, 0))="")=TRUE),  "",  INDEX(RulebookTables!E2:E93, MATCH(E198,RulebookTables!A2:A93, 0))), "")</f>
        <v>vw_vocabulary_terms</v>
      </c>
      <c r="I198" s="4" t="str">
        <f>D198 &amp; "|" &amp; E198</f>
        <v>principal-process-steward|VocabularyTerms</v>
      </c>
      <c r="J198" s="4">
        <f>COUNTIFS(FieldGrants!M2:M3640, I198)</f>
        <v>11</v>
      </c>
      <c r="K198" s="4">
        <f>_xlfn.IFNA(IF(((INDEX(RulebookTables!H2:H93, MATCH(E198,RulebookTables!A2:A93, 0))="")=TRUE),  "",  INDEX(RulebookTables!H2:H93, MATCH(E198,RulebookTables!A2:A93, 0))), "")</f>
        <v>11</v>
      </c>
      <c r="L198" s="4" t="b">
        <f>AND(((J198 &gt; 0)=TRUE), ((J198 &gt;= K198)=TRUE))</f>
        <v>1</v>
      </c>
      <c r="M198" s="4" t="b">
        <f>J198 = 0</f>
        <v>0</v>
      </c>
      <c r="N198" s="3" t="s">
        <v>13657</v>
      </c>
    </row>
    <row r="199">
      <c r="A199" s="3" t="s">
        <v>13854</v>
      </c>
      <c r="B199" s="4" t="str">
        <f>G199 &amp; "." &amp; F199</f>
        <v>pko_process_steward.knowledge_broker_links</v>
      </c>
      <c r="C199" s="3" t="s">
        <v>13654</v>
      </c>
      <c r="D199" s="3" t="s">
        <v>9772</v>
      </c>
      <c r="E199" s="3" t="s">
        <v>1901</v>
      </c>
      <c r="F199" s="3" t="s">
        <v>9737</v>
      </c>
      <c r="G199" s="4" t="str">
        <f>_xlfn.IFNA(IF(((INDEX(RoleSchemas!D2:D13, MATCH(C199,RoleSchemas!A2:A13, 0))="")=TRUE),  "",  INDEX(RoleSchemas!D2:D13, MATCH(C199,RoleSchemas!A2:A13, 0))), "")</f>
        <v>pko_process_steward</v>
      </c>
      <c r="H199" s="4" t="str">
        <f>_xlfn.IFNA(IF(((INDEX(RulebookTables!E2:E93, MATCH(E199,RulebookTables!A2:A93, 0))="")=TRUE),  "",  INDEX(RulebookTables!E2:E93, MATCH(E199,RulebookTables!A2:A93, 0))), "")</f>
        <v>vw_knowledge_broker_links</v>
      </c>
      <c r="I199" s="4" t="str">
        <f>D199 &amp; "|" &amp; E199</f>
        <v>principal-process-steward|KnowledgeBrokerLinks</v>
      </c>
      <c r="J199" s="4">
        <f>COUNTIFS(FieldGrants!M2:M3640, I199)</f>
        <v>16</v>
      </c>
      <c r="K199" s="4">
        <f>_xlfn.IFNA(IF(((INDEX(RulebookTables!H2:H93, MATCH(E199,RulebookTables!A2:A93, 0))="")=TRUE),  "",  INDEX(RulebookTables!H2:H93, MATCH(E199,RulebookTables!A2:A93, 0))), "")</f>
        <v>16</v>
      </c>
      <c r="L199" s="4" t="b">
        <f>AND(((J199 &gt; 0)=TRUE), ((J199 &gt;= K199)=TRUE))</f>
        <v>1</v>
      </c>
      <c r="M199" s="4" t="b">
        <f>J199 = 0</f>
        <v>0</v>
      </c>
      <c r="N199" s="3" t="s">
        <v>13657</v>
      </c>
    </row>
    <row r="200">
      <c r="A200" s="3" t="s">
        <v>13855</v>
      </c>
      <c r="B200" s="4" t="str">
        <f>G200 &amp; "." &amp; F200</f>
        <v>pko_knowledge_authority.process_mining_runs</v>
      </c>
      <c r="C200" s="3" t="s">
        <v>13655</v>
      </c>
      <c r="D200" s="3" t="s">
        <v>9774</v>
      </c>
      <c r="E200" s="3" t="s">
        <v>1889</v>
      </c>
      <c r="F200" s="3" t="s">
        <v>9731</v>
      </c>
      <c r="G200" s="4" t="str">
        <f>_xlfn.IFNA(IF(((INDEX(RoleSchemas!D2:D13, MATCH(C200,RoleSchemas!A2:A13, 0))="")=TRUE),  "",  INDEX(RoleSchemas!D2:D13, MATCH(C200,RoleSchemas!A2:A13, 0))), "")</f>
        <v>pko_knowledge_authority</v>
      </c>
      <c r="H200" s="4" t="str">
        <f>_xlfn.IFNA(IF(((INDEX(RulebookTables!E2:E93, MATCH(E200,RulebookTables!A2:A93, 0))="")=TRUE),  "",  INDEX(RulebookTables!E2:E93, MATCH(E200,RulebookTables!A2:A93, 0))), "")</f>
        <v>vw_process_mining_runs</v>
      </c>
      <c r="I200" s="4" t="str">
        <f>D200 &amp; "|" &amp; E200</f>
        <v>principal-knowledge-authority|ProcessMiningRuns</v>
      </c>
      <c r="J200" s="4">
        <f>COUNTIFS(FieldGrants!M2:M3640, I200)</f>
        <v>19</v>
      </c>
      <c r="K200" s="4">
        <f>_xlfn.IFNA(IF(((INDEX(RulebookTables!H2:H93, MATCH(E200,RulebookTables!A2:A93, 0))="")=TRUE),  "",  INDEX(RulebookTables!H2:H93, MATCH(E200,RulebookTables!A2:A93, 0))), "")</f>
        <v>19</v>
      </c>
      <c r="L200" s="4" t="b">
        <f>AND(((J200 &gt; 0)=TRUE), ((J200 &gt;= K200)=TRUE))</f>
        <v>1</v>
      </c>
      <c r="M200" s="4" t="b">
        <f>J200 = 0</f>
        <v>0</v>
      </c>
      <c r="N200" s="3" t="s">
        <v>13657</v>
      </c>
    </row>
    <row r="201">
      <c r="A201" s="3" t="s">
        <v>13856</v>
      </c>
      <c r="B201" s="4" t="str">
        <f>G201 &amp; "." &amp; F201</f>
        <v>pko_knowledge_authority.vocabularies</v>
      </c>
      <c r="C201" s="3" t="s">
        <v>13655</v>
      </c>
      <c r="D201" s="3" t="s">
        <v>9774</v>
      </c>
      <c r="E201" s="3" t="s">
        <v>1893</v>
      </c>
      <c r="F201" s="3" t="s">
        <v>9733</v>
      </c>
      <c r="G201" s="4" t="str">
        <f>_xlfn.IFNA(IF(((INDEX(RoleSchemas!D2:D13, MATCH(C201,RoleSchemas!A2:A13, 0))="")=TRUE),  "",  INDEX(RoleSchemas!D2:D13, MATCH(C201,RoleSchemas!A2:A13, 0))), "")</f>
        <v>pko_knowledge_authority</v>
      </c>
      <c r="H201" s="4" t="str">
        <f>_xlfn.IFNA(IF(((INDEX(RulebookTables!E2:E93, MATCH(E201,RulebookTables!A2:A93, 0))="")=TRUE),  "",  INDEX(RulebookTables!E2:E93, MATCH(E201,RulebookTables!A2:A93, 0))), "")</f>
        <v>vw_vocabularies</v>
      </c>
      <c r="I201" s="4" t="str">
        <f>D201 &amp; "|" &amp; E201</f>
        <v>principal-knowledge-authority|Vocabularies</v>
      </c>
      <c r="J201" s="4">
        <f>COUNTIFS(FieldGrants!M2:M3640, I201)</f>
        <v>9</v>
      </c>
      <c r="K201" s="4">
        <f>_xlfn.IFNA(IF(((INDEX(RulebookTables!H2:H93, MATCH(E201,RulebookTables!A2:A93, 0))="")=TRUE),  "",  INDEX(RulebookTables!H2:H93, MATCH(E201,RulebookTables!A2:A93, 0))), "")</f>
        <v>9</v>
      </c>
      <c r="L201" s="4" t="b">
        <f>AND(((J201 &gt; 0)=TRUE), ((J201 &gt;= K201)=TRUE))</f>
        <v>1</v>
      </c>
      <c r="M201" s="4" t="b">
        <f>J201 = 0</f>
        <v>0</v>
      </c>
      <c r="N201" s="3" t="s">
        <v>13657</v>
      </c>
    </row>
    <row r="202">
      <c r="A202" s="3" t="s">
        <v>13857</v>
      </c>
      <c r="B202" s="4" t="str">
        <f>G202 &amp; "." &amp; F202</f>
        <v>pko_knowledge_authority.vocabulary_terms</v>
      </c>
      <c r="C202" s="3" t="s">
        <v>13655</v>
      </c>
      <c r="D202" s="3" t="s">
        <v>9774</v>
      </c>
      <c r="E202" s="3" t="s">
        <v>1897</v>
      </c>
      <c r="F202" s="3" t="s">
        <v>9735</v>
      </c>
      <c r="G202" s="4" t="str">
        <f>_xlfn.IFNA(IF(((INDEX(RoleSchemas!D2:D13, MATCH(C202,RoleSchemas!A2:A13, 0))="")=TRUE),  "",  INDEX(RoleSchemas!D2:D13, MATCH(C202,RoleSchemas!A2:A13, 0))), "")</f>
        <v>pko_knowledge_authority</v>
      </c>
      <c r="H202" s="4" t="str">
        <f>_xlfn.IFNA(IF(((INDEX(RulebookTables!E2:E93, MATCH(E202,RulebookTables!A2:A93, 0))="")=TRUE),  "",  INDEX(RulebookTables!E2:E93, MATCH(E202,RulebookTables!A2:A93, 0))), "")</f>
        <v>vw_vocabulary_terms</v>
      </c>
      <c r="I202" s="4" t="str">
        <f>D202 &amp; "|" &amp; E202</f>
        <v>principal-knowledge-authority|VocabularyTerms</v>
      </c>
      <c r="J202" s="4">
        <f>COUNTIFS(FieldGrants!M2:M3640, I202)</f>
        <v>11</v>
      </c>
      <c r="K202" s="4">
        <f>_xlfn.IFNA(IF(((INDEX(RulebookTables!H2:H93, MATCH(E202,RulebookTables!A2:A93, 0))="")=TRUE),  "",  INDEX(RulebookTables!H2:H93, MATCH(E202,RulebookTables!A2:A93, 0))), "")</f>
        <v>11</v>
      </c>
      <c r="L202" s="4" t="b">
        <f>AND(((J202 &gt; 0)=TRUE), ((J202 &gt;= K202)=TRUE))</f>
        <v>1</v>
      </c>
      <c r="M202" s="4" t="b">
        <f>J202 = 0</f>
        <v>0</v>
      </c>
      <c r="N202" s="3" t="s">
        <v>13657</v>
      </c>
    </row>
    <row r="203">
      <c r="A203" s="3" t="s">
        <v>13858</v>
      </c>
      <c r="B203" s="4" t="str">
        <f>G203 &amp; "." &amp; F203</f>
        <v>pko_knowledge_authority.knowledge_broker_links</v>
      </c>
      <c r="C203" s="3" t="s">
        <v>13655</v>
      </c>
      <c r="D203" s="3" t="s">
        <v>9774</v>
      </c>
      <c r="E203" s="3" t="s">
        <v>1901</v>
      </c>
      <c r="F203" s="3" t="s">
        <v>9737</v>
      </c>
      <c r="G203" s="4" t="str">
        <f>_xlfn.IFNA(IF(((INDEX(RoleSchemas!D2:D13, MATCH(C203,RoleSchemas!A2:A13, 0))="")=TRUE),  "",  INDEX(RoleSchemas!D2:D13, MATCH(C203,RoleSchemas!A2:A13, 0))), "")</f>
        <v>pko_knowledge_authority</v>
      </c>
      <c r="H203" s="4" t="str">
        <f>_xlfn.IFNA(IF(((INDEX(RulebookTables!E2:E93, MATCH(E203,RulebookTables!A2:A93, 0))="")=TRUE),  "",  INDEX(RulebookTables!E2:E93, MATCH(E203,RulebookTables!A2:A93, 0))), "")</f>
        <v>vw_knowledge_broker_links</v>
      </c>
      <c r="I203" s="4" t="str">
        <f>D203 &amp; "|" &amp; E203</f>
        <v>principal-knowledge-authority|KnowledgeBrokerLinks</v>
      </c>
      <c r="J203" s="4">
        <f>COUNTIFS(FieldGrants!M2:M3640, I203)</f>
        <v>16</v>
      </c>
      <c r="K203" s="4">
        <f>_xlfn.IFNA(IF(((INDEX(RulebookTables!H2:H93, MATCH(E203,RulebookTables!A2:A93, 0))="")=TRUE),  "",  INDEX(RulebookTables!H2:H93, MATCH(E203,RulebookTables!A2:A93, 0))), "")</f>
        <v>16</v>
      </c>
      <c r="L203" s="4" t="b">
        <f>AND(((J203 &gt; 0)=TRUE), ((J203 &gt;= K203)=TRUE))</f>
        <v>1</v>
      </c>
      <c r="M203" s="4" t="b">
        <f>J203 = 0</f>
        <v>0</v>
      </c>
      <c r="N203" s="3" t="s">
        <v>13657</v>
      </c>
    </row>
  </sheetData>
  <autoFilter ref="A1:N1"/>
  <headerFooter/>
  <legacyDrawing r:id="rId1"/>
</worksheet>
</file>

<file path=xl/worksheets/sheet8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5"/>
  <sheetViews>
    <sheetView workbookViewId="0">
      <pane ySplit="1" topLeftCell="A2" state="frozen" activePane="bottomLeft"/>
      <selection pane="bottomLeft" activeCell="A1" sqref="A1"/>
    </sheetView>
  </sheetViews>
  <sheetFormatPr defaultRowHeight="15"/>
  <cols>
    <col min="1" max="1" width="19.72300148010254" customWidth="1"/>
    <col min="2" max="2" width="37.186614990234375" customWidth="1"/>
    <col min="3" max="3" width="17.443378448486328" customWidth="1"/>
    <col min="4" max="4" width="22.531198501586914" customWidth="1"/>
    <col min="5" max="5" width="17.443378448486328" customWidth="1"/>
    <col min="6" max="6" width="17.443378448486328" customWidth="1"/>
    <col min="7" max="7" width="150.5824737548828" customWidth="1"/>
    <col min="8" max="8" width="17.443378448486328" customWidth="1"/>
    <col min="9" max="9" width="45.1950798034668" customWidth="1"/>
  </cols>
  <sheetData>
    <row r="1">
      <c r="A1" s="2" t="s">
        <v>5530</v>
      </c>
      <c r="B1" s="2" t="s">
        <v>1</v>
      </c>
      <c r="C1" s="2" t="s">
        <v>5534</v>
      </c>
      <c r="D1" s="2" t="s">
        <v>5536</v>
      </c>
      <c r="E1" s="2" t="s">
        <v>5538</v>
      </c>
      <c r="F1" s="2" t="s">
        <v>5540</v>
      </c>
      <c r="G1" s="2" t="s">
        <v>5542</v>
      </c>
      <c r="H1" s="2" t="s">
        <v>5544</v>
      </c>
      <c r="I1" s="2" t="s">
        <v>94</v>
      </c>
    </row>
    <row r="2">
      <c r="A2" s="3" t="s">
        <v>13859</v>
      </c>
      <c r="B2" s="4" t="str">
        <f>C2 &amp; " -&gt; " &amp; D2</f>
        <v>email -&gt; app.jwt_email()</v>
      </c>
      <c r="C2" s="3" t="s">
        <v>13860</v>
      </c>
      <c r="D2" s="3" t="s">
        <v>13861</v>
      </c>
      <c r="E2" s="3" t="b">
        <v>1</v>
      </c>
      <c r="F2" s="3" t="b">
        <v>1</v>
      </c>
      <c r="G2" s="3" t="s">
        <v>13862</v>
      </c>
      <c r="H2" s="4">
        <f>COUNTIFS(AccessPolicies!F2:F203, D2)</f>
        <v>0</v>
      </c>
      <c r="I2" s="3" t="s">
        <v>13863</v>
      </c>
    </row>
    <row r="3">
      <c r="A3" s="3" t="s">
        <v>13864</v>
      </c>
      <c r="B3" s="4" t="str">
        <f>C3 &amp; " -&gt; " &amp; D3</f>
        <v>tenant_id -&gt; app.jwt_tenant_id()</v>
      </c>
      <c r="C3" s="3" t="s">
        <v>13865</v>
      </c>
      <c r="D3" s="3" t="s">
        <v>13866</v>
      </c>
      <c r="E3" s="3" t="b">
        <v>1</v>
      </c>
      <c r="F3" s="3" t="b">
        <v>0</v>
      </c>
      <c r="G3" s="3" t="s">
        <v>13867</v>
      </c>
      <c r="H3" s="4">
        <f>COUNTIFS(AccessPolicies!F2:F203, D3)</f>
        <v>0</v>
      </c>
      <c r="I3" s="3" t="s">
        <v>13863</v>
      </c>
    </row>
    <row r="4">
      <c r="A4" s="3" t="s">
        <v>13868</v>
      </c>
      <c r="B4" s="4" t="str">
        <f>C4 &amp; " -&gt; " &amp; D4</f>
        <v>principal -&gt; app.jwt_principal()</v>
      </c>
      <c r="C4" s="3" t="s">
        <v>13869</v>
      </c>
      <c r="D4" s="3" t="s">
        <v>13870</v>
      </c>
      <c r="E4" s="3" t="b">
        <v>0</v>
      </c>
      <c r="F4" s="3" t="b">
        <v>1</v>
      </c>
      <c r="G4" s="3" t="s">
        <v>13871</v>
      </c>
      <c r="H4" s="4">
        <f>COUNTIFS(AccessPolicies!F2:F203, D4)</f>
        <v>0</v>
      </c>
      <c r="I4" s="3" t="s">
        <v>13863</v>
      </c>
    </row>
    <row r="5">
      <c r="A5" s="3" t="s">
        <v>13872</v>
      </c>
      <c r="B5" s="4" t="str">
        <f>C5 &amp; " -&gt; " &amp; D5</f>
        <v>organization -&gt; app.jwt_organization()</v>
      </c>
      <c r="C5" s="3" t="s">
        <v>13873</v>
      </c>
      <c r="D5" s="3" t="s">
        <v>13874</v>
      </c>
      <c r="E5" s="3" t="b">
        <v>0</v>
      </c>
      <c r="F5" s="3" t="b">
        <v>0</v>
      </c>
      <c r="G5" s="3" t="s">
        <v>13875</v>
      </c>
      <c r="H5" s="4">
        <f>COUNTIFS(AccessPolicies!F2:F203, D5)</f>
        <v>0</v>
      </c>
      <c r="I5" s="3" t="s">
        <v>13863</v>
      </c>
    </row>
  </sheetData>
  <autoFilter ref="A1:I1"/>
  <headerFooter/>
  <legacyDrawing r:id="rId1"/>
</worksheet>
</file>

<file path=xl/worksheets/sheet8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8"/>
  <sheetViews>
    <sheetView workbookViewId="0">
      <pane ySplit="1" topLeftCell="A2" state="frozen" activePane="bottomLeft"/>
      <selection pane="bottomLeft" activeCell="A1" sqref="A1"/>
    </sheetView>
  </sheetViews>
  <sheetFormatPr defaultRowHeight="15"/>
  <cols>
    <col min="1" max="1" width="46.97905349731445" customWidth="1"/>
    <col min="2" max="2" width="68.28380584716797" customWidth="1"/>
    <col min="3" max="3" width="51.10602951049805" customWidth="1"/>
    <col min="4" max="4" width="30.479211807250977" customWidth="1"/>
    <col min="5" max="5" width="21.608469009399414" customWidth="1"/>
    <col min="6" max="6" width="30.542070388793945" customWidth="1"/>
    <col min="7" max="7" width="17.443378448486328" customWidth="1"/>
    <col min="8" max="8" width="17.443378448486328" customWidth="1"/>
    <col min="9" max="9" width="23.35041618347168" customWidth="1"/>
    <col min="10" max="10" width="17.443378448486328" customWidth="1"/>
    <col min="11" max="11" width="17.443378448486328" customWidth="1"/>
    <col min="12" max="12" width="17.443378448486328" customWidth="1"/>
    <col min="13" max="13" width="17.443378448486328" customWidth="1"/>
    <col min="14" max="14" width="256" customWidth="1"/>
    <col min="15" max="15" width="17.443378448486328" customWidth="1"/>
    <col min="16" max="16" width="21.608469009399414" customWidth="1"/>
    <col min="17" max="17" width="22.070384979248047" customWidth="1"/>
    <col min="18" max="18" width="45.01087188720703" customWidth="1"/>
  </cols>
  <sheetData>
    <row r="1">
      <c r="A1" s="2" t="s">
        <v>5549</v>
      </c>
      <c r="B1" s="2" t="s">
        <v>1</v>
      </c>
      <c r="C1" s="2" t="s">
        <v>5553</v>
      </c>
      <c r="D1" s="2" t="s">
        <v>5417</v>
      </c>
      <c r="E1" s="2" t="s">
        <v>2404</v>
      </c>
      <c r="F1" s="2" t="s">
        <v>5557</v>
      </c>
      <c r="G1" s="2" t="s">
        <v>5559</v>
      </c>
      <c r="H1" s="2" t="s">
        <v>5561</v>
      </c>
      <c r="I1" s="2" t="s">
        <v>4234</v>
      </c>
      <c r="J1" s="2" t="s">
        <v>5564</v>
      </c>
      <c r="K1" s="2" t="s">
        <v>4236</v>
      </c>
      <c r="L1" s="2" t="s">
        <v>5569</v>
      </c>
      <c r="M1" s="2" t="s">
        <v>5572</v>
      </c>
      <c r="N1" s="2" t="s">
        <v>93</v>
      </c>
      <c r="O1" s="2" t="s">
        <v>5576</v>
      </c>
      <c r="P1" s="2" t="s">
        <v>5579</v>
      </c>
      <c r="Q1" s="2" t="s">
        <v>5581</v>
      </c>
      <c r="R1" s="2" t="s">
        <v>94</v>
      </c>
    </row>
    <row r="2">
      <c r="A2" s="3" t="s">
        <v>13876</v>
      </c>
      <c r="B2" s="4" t="str">
        <f>D2 &amp; " must not see " &amp; F2</f>
        <v>principal-finance-analyst must not see close-v1.0.0</v>
      </c>
      <c r="C2" s="3" t="s">
        <v>9785</v>
      </c>
      <c r="D2" s="3" t="s">
        <v>9751</v>
      </c>
      <c r="E2" s="3" t="s">
        <v>1767</v>
      </c>
      <c r="F2" s="3" t="s">
        <v>455</v>
      </c>
      <c r="G2" s="3" t="b">
        <v>0</v>
      </c>
      <c r="H2" s="3" t="b">
        <v>0</v>
      </c>
      <c r="I2" s="5">
        <v>46278.77506944445</v>
      </c>
      <c r="J2" s="4" t="b">
        <f>I2 &lt;&gt; ""</f>
        <v>1</v>
      </c>
      <c r="K2" s="4" t="b">
        <f>H2 = G2</f>
        <v>1</v>
      </c>
      <c r="L2" s="4" t="b">
        <f>AND(((NOT(((G2)=TRUE)))=TRUE), ((H2)=TRUE))</f>
        <v>0</v>
      </c>
      <c r="M2" s="4" t="b">
        <f>NOT(((J2)=TRUE))</f>
        <v>0</v>
      </c>
      <c r="N2" s="3" t="s">
        <v>13877</v>
      </c>
      <c r="O2" s="4" t="b">
        <f>G2</f>
        <v>0</v>
      </c>
      <c r="P2" s="3"/>
      <c r="Q2" s="3"/>
      <c r="R2" s="3" t="s">
        <v>13878</v>
      </c>
    </row>
    <row r="3">
      <c r="A3" s="3" t="s">
        <v>13879</v>
      </c>
      <c r="B3" s="4" t="str">
        <f>D3 &amp; " must not see " &amp; F3</f>
        <v>principal-finance-analyst must not see close-v1.1.0</v>
      </c>
      <c r="C3" s="3" t="s">
        <v>9785</v>
      </c>
      <c r="D3" s="3" t="s">
        <v>9751</v>
      </c>
      <c r="E3" s="3" t="s">
        <v>1767</v>
      </c>
      <c r="F3" s="3" t="s">
        <v>369</v>
      </c>
      <c r="G3" s="3" t="b">
        <v>1</v>
      </c>
      <c r="H3" s="3" t="b">
        <v>1</v>
      </c>
      <c r="I3" s="5">
        <v>46278.77506944445</v>
      </c>
      <c r="J3" s="4" t="b">
        <f>I3 &lt;&gt; ""</f>
        <v>1</v>
      </c>
      <c r="K3" s="4" t="b">
        <f>H3 = G3</f>
        <v>1</v>
      </c>
      <c r="L3" s="4" t="b">
        <f>AND(((NOT(((G3)=TRUE)))=TRUE), ((H3)=TRUE))</f>
        <v>0</v>
      </c>
      <c r="M3" s="4" t="b">
        <f>NOT(((J3)=TRUE))</f>
        <v>0</v>
      </c>
      <c r="N3" s="3" t="s">
        <v>13880</v>
      </c>
      <c r="O3" s="4" t="b">
        <f>G3</f>
        <v>1</v>
      </c>
      <c r="P3" s="3"/>
      <c r="Q3" s="3"/>
      <c r="R3" s="3" t="s">
        <v>13878</v>
      </c>
    </row>
    <row r="4">
      <c r="A4" s="3" t="s">
        <v>13881</v>
      </c>
      <c r="B4" s="4" t="str">
        <f>D4 &amp; " must not see " &amp; F4</f>
        <v>principal-controller must not see cr-close-timestamp</v>
      </c>
      <c r="C4" s="3" t="s">
        <v>9793</v>
      </c>
      <c r="D4" s="3" t="s">
        <v>9754</v>
      </c>
      <c r="E4" s="3" t="s">
        <v>3914</v>
      </c>
      <c r="F4" s="3" t="s">
        <v>1576</v>
      </c>
      <c r="G4" s="3" t="b">
        <v>0</v>
      </c>
      <c r="H4" s="3" t="b">
        <v>0</v>
      </c>
      <c r="I4" s="5">
        <v>46278.77506944445</v>
      </c>
      <c r="J4" s="4" t="b">
        <f>I4 &lt;&gt; ""</f>
        <v>1</v>
      </c>
      <c r="K4" s="4" t="b">
        <f>H4 = G4</f>
        <v>1</v>
      </c>
      <c r="L4" s="4" t="b">
        <f>AND(((NOT(((G4)=TRUE)))=TRUE), ((H4)=TRUE))</f>
        <v>0</v>
      </c>
      <c r="M4" s="4" t="b">
        <f>NOT(((J4)=TRUE))</f>
        <v>0</v>
      </c>
      <c r="N4" s="3" t="s">
        <v>13882</v>
      </c>
      <c r="O4" s="4" t="b">
        <f>G4</f>
        <v>0</v>
      </c>
      <c r="P4" s="3"/>
      <c r="Q4" s="3"/>
      <c r="R4" s="3" t="s">
        <v>13878</v>
      </c>
    </row>
    <row r="5">
      <c r="A5" s="3" t="s">
        <v>13883</v>
      </c>
      <c r="B5" s="4" t="str">
        <f>D5 &amp; " must not see " &amp; F5</f>
        <v>principal-controller must not see cr-policy-delivery</v>
      </c>
      <c r="C5" s="3" t="s">
        <v>9793</v>
      </c>
      <c r="D5" s="3" t="s">
        <v>9754</v>
      </c>
      <c r="E5" s="3" t="s">
        <v>3914</v>
      </c>
      <c r="F5" s="3" t="s">
        <v>1581</v>
      </c>
      <c r="G5" s="3" t="b">
        <v>1</v>
      </c>
      <c r="H5" s="3" t="b">
        <v>1</v>
      </c>
      <c r="I5" s="5">
        <v>46278.77506944445</v>
      </c>
      <c r="J5" s="4" t="b">
        <f>I5 &lt;&gt; ""</f>
        <v>1</v>
      </c>
      <c r="K5" s="4" t="b">
        <f>H5 = G5</f>
        <v>1</v>
      </c>
      <c r="L5" s="4" t="b">
        <f>AND(((NOT(((G5)=TRUE)))=TRUE), ((H5)=TRUE))</f>
        <v>0</v>
      </c>
      <c r="M5" s="4" t="b">
        <f>NOT(((J5)=TRUE))</f>
        <v>0</v>
      </c>
      <c r="N5" s="3" t="s">
        <v>13884</v>
      </c>
      <c r="O5" s="4" t="b">
        <f>G5</f>
        <v>1</v>
      </c>
      <c r="P5" s="3"/>
      <c r="Q5" s="3"/>
      <c r="R5" s="3" t="s">
        <v>13878</v>
      </c>
    </row>
    <row r="6">
      <c r="A6" s="3" t="s">
        <v>13885</v>
      </c>
      <c r="B6" s="4" t="str">
        <f>D6 &amp; " must not see " &amp; F6</f>
        <v>principal-employment-counsel must not see kf-close-fx-time</v>
      </c>
      <c r="C6" s="3" t="s">
        <v>9817</v>
      </c>
      <c r="D6" s="3" t="s">
        <v>9760</v>
      </c>
      <c r="E6" s="3" t="s">
        <v>1851</v>
      </c>
      <c r="F6" s="3" t="s">
        <v>1172</v>
      </c>
      <c r="G6" s="3" t="b">
        <v>0</v>
      </c>
      <c r="H6" s="3" t="b">
        <v>0</v>
      </c>
      <c r="I6" s="5">
        <v>46278.77506944445</v>
      </c>
      <c r="J6" s="4" t="b">
        <f>I6 &lt;&gt; ""</f>
        <v>1</v>
      </c>
      <c r="K6" s="4" t="b">
        <f>H6 = G6</f>
        <v>1</v>
      </c>
      <c r="L6" s="4" t="b">
        <f>AND(((NOT(((G6)=TRUE)))=TRUE), ((H6)=TRUE))</f>
        <v>0</v>
      </c>
      <c r="M6" s="4" t="b">
        <f>NOT(((J6)=TRUE))</f>
        <v>0</v>
      </c>
      <c r="N6" s="3" t="s">
        <v>13886</v>
      </c>
      <c r="O6" s="4" t="b">
        <f>G6</f>
        <v>0</v>
      </c>
      <c r="P6" s="3"/>
      <c r="Q6" s="3"/>
      <c r="R6" s="3" t="s">
        <v>13878</v>
      </c>
    </row>
    <row r="7">
      <c r="A7" s="3" t="s">
        <v>13887</v>
      </c>
      <c r="B7" s="4" t="str">
        <f>D7 &amp; " must not see " &amp; F7</f>
        <v>principal-employment-counsel must not see kf-policy-ai-boundary</v>
      </c>
      <c r="C7" s="3" t="s">
        <v>9817</v>
      </c>
      <c r="D7" s="3" t="s">
        <v>9760</v>
      </c>
      <c r="E7" s="3" t="s">
        <v>1851</v>
      </c>
      <c r="F7" s="3" t="s">
        <v>1187</v>
      </c>
      <c r="G7" s="3" t="b">
        <v>1</v>
      </c>
      <c r="H7" s="3" t="b">
        <v>1</v>
      </c>
      <c r="I7" s="5">
        <v>46278.77506944445</v>
      </c>
      <c r="J7" s="4" t="b">
        <f>I7 &lt;&gt; ""</f>
        <v>1</v>
      </c>
      <c r="K7" s="4" t="b">
        <f>H7 = G7</f>
        <v>1</v>
      </c>
      <c r="L7" s="4" t="b">
        <f>AND(((NOT(((G7)=TRUE)))=TRUE), ((H7)=TRUE))</f>
        <v>0</v>
      </c>
      <c r="M7" s="4" t="b">
        <f>NOT(((J7)=TRUE))</f>
        <v>0</v>
      </c>
      <c r="N7" s="3" t="s">
        <v>13888</v>
      </c>
      <c r="O7" s="4" t="b">
        <f>G7</f>
        <v>1</v>
      </c>
      <c r="P7" s="3"/>
      <c r="Q7" s="3"/>
      <c r="R7" s="3" t="s">
        <v>13878</v>
      </c>
    </row>
    <row r="8">
      <c r="A8" s="3" t="s">
        <v>13889</v>
      </c>
      <c r="B8" s="4" t="str">
        <f>D8 &amp; " must not see " &amp; F8</f>
        <v>principal-hr-policy-owner must not see gap-close-cadence-unmeasured</v>
      </c>
      <c r="C8" s="3" t="s">
        <v>9810</v>
      </c>
      <c r="D8" s="3" t="s">
        <v>9758</v>
      </c>
      <c r="E8" s="3" t="s">
        <v>3368</v>
      </c>
      <c r="F8" s="3" t="s">
        <v>1224</v>
      </c>
      <c r="G8" s="3" t="b">
        <v>0</v>
      </c>
      <c r="H8" s="3" t="b">
        <v>0</v>
      </c>
      <c r="I8" s="5">
        <v>46278.77506944445</v>
      </c>
      <c r="J8" s="4" t="b">
        <f>I8 &lt;&gt; ""</f>
        <v>1</v>
      </c>
      <c r="K8" s="4" t="b">
        <f>H8 = G8</f>
        <v>1</v>
      </c>
      <c r="L8" s="4" t="b">
        <f>AND(((NOT(((G8)=TRUE)))=TRUE), ((H8)=TRUE))</f>
        <v>0</v>
      </c>
      <c r="M8" s="4" t="b">
        <f>NOT(((J8)=TRUE))</f>
        <v>0</v>
      </c>
      <c r="N8" s="3" t="s">
        <v>13890</v>
      </c>
      <c r="O8" s="4" t="b">
        <f>G8</f>
        <v>0</v>
      </c>
      <c r="P8" s="3"/>
      <c r="Q8" s="3"/>
      <c r="R8" s="3" t="s">
        <v>13878</v>
      </c>
    </row>
    <row r="9">
      <c r="A9" s="3" t="s">
        <v>13891</v>
      </c>
      <c r="B9" s="4" t="str">
        <f>D9 &amp; " must not see " &amp; F9</f>
        <v>principal-hr-policy-owner must not see gap-policy-delivery-receipts</v>
      </c>
      <c r="C9" s="3" t="s">
        <v>9810</v>
      </c>
      <c r="D9" s="3" t="s">
        <v>9758</v>
      </c>
      <c r="E9" s="3" t="s">
        <v>3368</v>
      </c>
      <c r="F9" s="3" t="s">
        <v>1216</v>
      </c>
      <c r="G9" s="3" t="b">
        <v>1</v>
      </c>
      <c r="H9" s="3" t="b">
        <v>1</v>
      </c>
      <c r="I9" s="5">
        <v>46278.77506944445</v>
      </c>
      <c r="J9" s="4" t="b">
        <f>I9 &lt;&gt; ""</f>
        <v>1</v>
      </c>
      <c r="K9" s="4" t="b">
        <f>H9 = G9</f>
        <v>1</v>
      </c>
      <c r="L9" s="4" t="b">
        <f>AND(((NOT(((G9)=TRUE)))=TRUE), ((H9)=TRUE))</f>
        <v>0</v>
      </c>
      <c r="M9" s="4" t="b">
        <f>NOT(((J9)=TRUE))</f>
        <v>0</v>
      </c>
      <c r="N9" s="3" t="s">
        <v>13892</v>
      </c>
      <c r="O9" s="4" t="b">
        <f>G9</f>
        <v>1</v>
      </c>
      <c r="P9" s="3"/>
      <c r="Q9" s="3"/>
      <c r="R9" s="3" t="s">
        <v>13878</v>
      </c>
    </row>
    <row r="10">
      <c r="A10" s="3" t="s">
        <v>13893</v>
      </c>
      <c r="B10" s="4" t="str">
        <f>D10 &amp; " must not see " &amp; F10</f>
        <v>principal-controller must not see kf-close-fx-time</v>
      </c>
      <c r="C10" s="3" t="s">
        <v>9796</v>
      </c>
      <c r="D10" s="3" t="s">
        <v>9754</v>
      </c>
      <c r="E10" s="3" t="s">
        <v>1851</v>
      </c>
      <c r="F10" s="3" t="s">
        <v>1172</v>
      </c>
      <c r="G10" s="3" t="b">
        <v>0</v>
      </c>
      <c r="H10" s="3" t="b">
        <v>0</v>
      </c>
      <c r="I10" s="5">
        <v>46278.77506944445</v>
      </c>
      <c r="J10" s="4" t="b">
        <f>I10 &lt;&gt; ""</f>
        <v>1</v>
      </c>
      <c r="K10" s="4" t="b">
        <f>H10 = G10</f>
        <v>1</v>
      </c>
      <c r="L10" s="4" t="b">
        <f>AND(((NOT(((G10)=TRUE)))=TRUE), ((H10)=TRUE))</f>
        <v>0</v>
      </c>
      <c r="M10" s="4" t="b">
        <f>NOT(((J10)=TRUE))</f>
        <v>0</v>
      </c>
      <c r="N10" s="3" t="s">
        <v>13894</v>
      </c>
      <c r="O10" s="4" t="b">
        <f>G10</f>
        <v>0</v>
      </c>
      <c r="P10" s="3"/>
      <c r="Q10" s="3" t="s">
        <v>13895</v>
      </c>
      <c r="R10" s="3" t="s">
        <v>13878</v>
      </c>
    </row>
    <row r="11">
      <c r="A11" s="3" t="s">
        <v>13896</v>
      </c>
      <c r="B11" s="4" t="str">
        <f>D11 &amp; " must not see " &amp; F11</f>
        <v>principal-cfo must not see </v>
      </c>
      <c r="C11" s="3"/>
      <c r="D11" s="3" t="s">
        <v>9756</v>
      </c>
      <c r="E11" s="3" t="s">
        <v>4728</v>
      </c>
      <c r="F11" s="3"/>
      <c r="G11" s="3" t="b">
        <v>0</v>
      </c>
      <c r="H11" s="3" t="b">
        <v>0</v>
      </c>
      <c r="I11" s="5">
        <v>46278.77506944445</v>
      </c>
      <c r="J11" s="4" t="b">
        <f>I11 &lt;&gt; ""</f>
        <v>1</v>
      </c>
      <c r="K11" s="4" t="b">
        <f>H11 = G11</f>
        <v>1</v>
      </c>
      <c r="L11" s="4" t="b">
        <f>AND(((NOT(((G11)=TRUE)))=TRUE), ((H11)=TRUE))</f>
        <v>0</v>
      </c>
      <c r="M11" s="4" t="b">
        <f>NOT(((J11)=TRUE))</f>
        <v>0</v>
      </c>
      <c r="N11" s="3" t="s">
        <v>13897</v>
      </c>
      <c r="O11" s="4" t="b">
        <f>G11</f>
        <v>0</v>
      </c>
      <c r="P11" s="3" t="s">
        <v>4728</v>
      </c>
      <c r="Q11" s="3"/>
      <c r="R11" s="3" t="s">
        <v>13878</v>
      </c>
    </row>
    <row r="12">
      <c r="A12" s="3" t="s">
        <v>13898</v>
      </c>
      <c r="B12" s="4" t="str">
        <f>D12 &amp; " must not see " &amp; F12</f>
        <v>principal-cfo must not see </v>
      </c>
      <c r="C12" s="3"/>
      <c r="D12" s="3" t="s">
        <v>9756</v>
      </c>
      <c r="E12" s="3" t="s">
        <v>1827</v>
      </c>
      <c r="F12" s="3"/>
      <c r="G12" s="3" t="b">
        <v>0</v>
      </c>
      <c r="H12" s="3" t="b">
        <v>0</v>
      </c>
      <c r="I12" s="5">
        <v>46278.77506944445</v>
      </c>
      <c r="J12" s="4" t="b">
        <f>I12 &lt;&gt; ""</f>
        <v>1</v>
      </c>
      <c r="K12" s="4" t="b">
        <f>H12 = G12</f>
        <v>1</v>
      </c>
      <c r="L12" s="4" t="b">
        <f>AND(((NOT(((G12)=TRUE)))=TRUE), ((H12)=TRUE))</f>
        <v>0</v>
      </c>
      <c r="M12" s="4" t="b">
        <f>NOT(((J12)=TRUE))</f>
        <v>0</v>
      </c>
      <c r="N12" s="3" t="s">
        <v>13899</v>
      </c>
      <c r="O12" s="4" t="b">
        <f>G12</f>
        <v>0</v>
      </c>
      <c r="P12" s="3" t="s">
        <v>1827</v>
      </c>
      <c r="Q12" s="3"/>
      <c r="R12" s="3" t="s">
        <v>13878</v>
      </c>
    </row>
    <row r="13">
      <c r="A13" s="3" t="s">
        <v>13900</v>
      </c>
      <c r="B13" s="4" t="str">
        <f>D13 &amp; " must not see " &amp; F13</f>
        <v>principal-close-automation must not see </v>
      </c>
      <c r="C13" s="3"/>
      <c r="D13" s="3" t="s">
        <v>9764</v>
      </c>
      <c r="E13" s="3" t="s">
        <v>4412</v>
      </c>
      <c r="F13" s="3"/>
      <c r="G13" s="3" t="b">
        <v>0</v>
      </c>
      <c r="H13" s="3" t="b">
        <v>0</v>
      </c>
      <c r="I13" s="5">
        <v>46278.77506944445</v>
      </c>
      <c r="J13" s="4" t="b">
        <f>I13 &lt;&gt; ""</f>
        <v>1</v>
      </c>
      <c r="K13" s="4" t="b">
        <f>H13 = G13</f>
        <v>1</v>
      </c>
      <c r="L13" s="4" t="b">
        <f>AND(((NOT(((G13)=TRUE)))=TRUE), ((H13)=TRUE))</f>
        <v>0</v>
      </c>
      <c r="M13" s="4" t="b">
        <f>NOT(((J13)=TRUE))</f>
        <v>0</v>
      </c>
      <c r="N13" s="3" t="s">
        <v>13901</v>
      </c>
      <c r="O13" s="4" t="b">
        <f>G13</f>
        <v>0</v>
      </c>
      <c r="P13" s="3" t="s">
        <v>4412</v>
      </c>
      <c r="Q13" s="3"/>
      <c r="R13" s="3" t="s">
        <v>13878</v>
      </c>
    </row>
    <row r="14">
      <c r="A14" s="3" t="s">
        <v>13902</v>
      </c>
      <c r="B14" s="4" t="str">
        <f>D14 &amp; " must not see " &amp; F14</f>
        <v>principal-close-automation must not see </v>
      </c>
      <c r="C14" s="3"/>
      <c r="D14" s="3" t="s">
        <v>9764</v>
      </c>
      <c r="E14" s="3" t="s">
        <v>3914</v>
      </c>
      <c r="F14" s="3"/>
      <c r="G14" s="3" t="b">
        <v>0</v>
      </c>
      <c r="H14" s="3" t="b">
        <v>0</v>
      </c>
      <c r="I14" s="5">
        <v>46278.77506944445</v>
      </c>
      <c r="J14" s="4" t="b">
        <f>I14 &lt;&gt; ""</f>
        <v>1</v>
      </c>
      <c r="K14" s="4" t="b">
        <f>H14 = G14</f>
        <v>1</v>
      </c>
      <c r="L14" s="4" t="b">
        <f>AND(((NOT(((G14)=TRUE)))=TRUE), ((H14)=TRUE))</f>
        <v>0</v>
      </c>
      <c r="M14" s="4" t="b">
        <f>NOT(((J14)=TRUE))</f>
        <v>0</v>
      </c>
      <c r="N14" s="3" t="s">
        <v>13903</v>
      </c>
      <c r="O14" s="4" t="b">
        <f>G14</f>
        <v>0</v>
      </c>
      <c r="P14" s="3" t="s">
        <v>3914</v>
      </c>
      <c r="Q14" s="3"/>
      <c r="R14" s="3" t="s">
        <v>13878</v>
      </c>
    </row>
    <row r="15">
      <c r="A15" s="3" t="s">
        <v>13904</v>
      </c>
      <c r="B15" s="4" t="str">
        <f>D15 &amp; " must not see " &amp; F15</f>
        <v>principal-policy-drafting-agent must not see </v>
      </c>
      <c r="C15" s="3"/>
      <c r="D15" s="3" t="s">
        <v>9768</v>
      </c>
      <c r="E15" s="3" t="s">
        <v>4412</v>
      </c>
      <c r="F15" s="3"/>
      <c r="G15" s="3" t="b">
        <v>0</v>
      </c>
      <c r="H15" s="3" t="b">
        <v>0</v>
      </c>
      <c r="I15" s="5">
        <v>46278.77506944445</v>
      </c>
      <c r="J15" s="4" t="b">
        <f>I15 &lt;&gt; ""</f>
        <v>1</v>
      </c>
      <c r="K15" s="4" t="b">
        <f>H15 = G15</f>
        <v>1</v>
      </c>
      <c r="L15" s="4" t="b">
        <f>AND(((NOT(((G15)=TRUE)))=TRUE), ((H15)=TRUE))</f>
        <v>0</v>
      </c>
      <c r="M15" s="4" t="b">
        <f>NOT(((J15)=TRUE))</f>
        <v>0</v>
      </c>
      <c r="N15" s="3" t="s">
        <v>13905</v>
      </c>
      <c r="O15" s="4" t="b">
        <f>G15</f>
        <v>0</v>
      </c>
      <c r="P15" s="3" t="s">
        <v>4412</v>
      </c>
      <c r="Q15" s="3"/>
      <c r="R15" s="3" t="s">
        <v>13878</v>
      </c>
    </row>
    <row r="16">
      <c r="A16" s="3" t="s">
        <v>13906</v>
      </c>
      <c r="B16" s="4" t="str">
        <f>D16 &amp; " must not see " &amp; F16</f>
        <v>principal-notification-publisher must not see </v>
      </c>
      <c r="C16" s="3"/>
      <c r="D16" s="3" t="s">
        <v>9770</v>
      </c>
      <c r="E16" s="3" t="s">
        <v>1851</v>
      </c>
      <c r="F16" s="3"/>
      <c r="G16" s="3" t="b">
        <v>0</v>
      </c>
      <c r="H16" s="3" t="b">
        <v>0</v>
      </c>
      <c r="I16" s="5">
        <v>46278.77506944445</v>
      </c>
      <c r="J16" s="4" t="b">
        <f>I16 &lt;&gt; ""</f>
        <v>1</v>
      </c>
      <c r="K16" s="4" t="b">
        <f>H16 = G16</f>
        <v>1</v>
      </c>
      <c r="L16" s="4" t="b">
        <f>AND(((NOT(((G16)=TRUE)))=TRUE), ((H16)=TRUE))</f>
        <v>0</v>
      </c>
      <c r="M16" s="4" t="b">
        <f>NOT(((J16)=TRUE))</f>
        <v>0</v>
      </c>
      <c r="N16" s="3" t="s">
        <v>13907</v>
      </c>
      <c r="O16" s="4" t="b">
        <f>G16</f>
        <v>0</v>
      </c>
      <c r="P16" s="3" t="s">
        <v>1851</v>
      </c>
      <c r="Q16" s="3"/>
      <c r="R16" s="3" t="s">
        <v>13878</v>
      </c>
    </row>
    <row r="17">
      <c r="A17" s="3" t="s">
        <v>13908</v>
      </c>
      <c r="B17" s="4" t="str">
        <f>D17 &amp; " must not see " &amp; F17</f>
        <v>principal-employment-counsel must not see </v>
      </c>
      <c r="C17" s="3"/>
      <c r="D17" s="3" t="s">
        <v>9760</v>
      </c>
      <c r="E17" s="3" t="s">
        <v>1827</v>
      </c>
      <c r="F17" s="3"/>
      <c r="G17" s="3" t="b">
        <v>0</v>
      </c>
      <c r="H17" s="3" t="b">
        <v>0</v>
      </c>
      <c r="I17" s="5">
        <v>46278.77506944445</v>
      </c>
      <c r="J17" s="4" t="b">
        <f>I17 &lt;&gt; ""</f>
        <v>1</v>
      </c>
      <c r="K17" s="4" t="b">
        <f>H17 = G17</f>
        <v>1</v>
      </c>
      <c r="L17" s="4" t="b">
        <f>AND(((NOT(((G17)=TRUE)))=TRUE), ((H17)=TRUE))</f>
        <v>0</v>
      </c>
      <c r="M17" s="4" t="b">
        <f>NOT(((J17)=TRUE))</f>
        <v>0</v>
      </c>
      <c r="N17" s="3" t="s">
        <v>13909</v>
      </c>
      <c r="O17" s="4" t="b">
        <f>G17</f>
        <v>0</v>
      </c>
      <c r="P17" s="3" t="s">
        <v>1827</v>
      </c>
      <c r="Q17" s="3"/>
      <c r="R17" s="3" t="s">
        <v>13878</v>
      </c>
    </row>
    <row r="18">
      <c r="A18" s="3" t="s">
        <v>13910</v>
      </c>
      <c r="B18" s="4" t="str">
        <f>D18 &amp; " must not see " &amp; F18</f>
        <v>principal-variance-review-agent must not see </v>
      </c>
      <c r="C18" s="3"/>
      <c r="D18" s="3" t="s">
        <v>9766</v>
      </c>
      <c r="E18" s="3" t="s">
        <v>4412</v>
      </c>
      <c r="F18" s="3"/>
      <c r="G18" s="3" t="b">
        <v>0</v>
      </c>
      <c r="H18" s="3" t="b">
        <v>0</v>
      </c>
      <c r="I18" s="5">
        <v>46278.77506944445</v>
      </c>
      <c r="J18" s="4" t="b">
        <f>I18 &lt;&gt; ""</f>
        <v>1</v>
      </c>
      <c r="K18" s="4" t="b">
        <f>H18 = G18</f>
        <v>1</v>
      </c>
      <c r="L18" s="4" t="b">
        <f>AND(((NOT(((G18)=TRUE)))=TRUE), ((H18)=TRUE))</f>
        <v>0</v>
      </c>
      <c r="M18" s="4" t="b">
        <f>NOT(((J18)=TRUE))</f>
        <v>0</v>
      </c>
      <c r="N18" s="3" t="s">
        <v>13911</v>
      </c>
      <c r="O18" s="4" t="b">
        <f>G18</f>
        <v>0</v>
      </c>
      <c r="P18" s="3" t="s">
        <v>4412</v>
      </c>
      <c r="Q18" s="3"/>
      <c r="R18" s="3" t="s">
        <v>13878</v>
      </c>
    </row>
  </sheetData>
  <autoFilter ref="A1:R1"/>
  <headerFooter/>
  <legacyDrawing r:id="rId1"/>
</worksheet>
</file>

<file path=xl/worksheets/sheet8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11"/>
  <sheetViews>
    <sheetView workbookViewId="0">
      <pane ySplit="1" topLeftCell="A2" state="frozen" activePane="bottomLeft"/>
      <selection pane="bottomLeft" activeCell="A1" sqref="A1"/>
    </sheetView>
  </sheetViews>
  <sheetFormatPr defaultRowHeight="15"/>
  <cols>
    <col min="1" max="1" width="24.471935272216797" customWidth="1"/>
    <col min="2" max="2" width="20.0174560546875" customWidth="1"/>
    <col min="3" max="3" width="37.311737060546875" customWidth="1"/>
    <col min="4" max="4" width="20.0174560546875" customWidth="1"/>
    <col min="5" max="5" width="19.900266647338867" customWidth="1"/>
    <col min="6" max="6" width="17.443378448486328" customWidth="1"/>
    <col min="7" max="7" width="18.9503231048584" customWidth="1"/>
    <col min="8" max="8" width="17.443378448486328" customWidth="1"/>
    <col min="9" max="9" width="17.926828384399414" customWidth="1"/>
    <col min="10" max="10" width="17.443378448486328" customWidth="1"/>
    <col min="11" max="11" width="22.81084632873535" customWidth="1"/>
    <col min="12" max="12" width="20.190265655517578" customWidth="1"/>
    <col min="13" max="13" width="36.32843780517578" customWidth="1"/>
  </cols>
  <sheetData>
    <row r="1">
      <c r="A1" s="2" t="s">
        <v>5585</v>
      </c>
      <c r="B1" s="2" t="s">
        <v>1</v>
      </c>
      <c r="C1" s="2" t="s">
        <v>4418</v>
      </c>
      <c r="D1" s="2" t="s">
        <v>100</v>
      </c>
      <c r="E1" s="2" t="s">
        <v>5590</v>
      </c>
      <c r="F1" s="2" t="s">
        <v>5592</v>
      </c>
      <c r="G1" s="2" t="s">
        <v>120</v>
      </c>
      <c r="H1" s="2" t="s">
        <v>121</v>
      </c>
      <c r="I1" s="2" t="s">
        <v>5598</v>
      </c>
      <c r="J1" s="2" t="s">
        <v>5601</v>
      </c>
      <c r="K1" s="2" t="s">
        <v>5604</v>
      </c>
      <c r="L1" s="2" t="s">
        <v>5607</v>
      </c>
      <c r="M1" s="2" t="s">
        <v>94</v>
      </c>
    </row>
    <row r="2">
      <c r="A2" s="3" t="s">
        <v>13912</v>
      </c>
      <c r="B2" s="4" t="str">
        <f>D2</f>
        <v>Amina Yusuf</v>
      </c>
      <c r="C2" s="3" t="s">
        <v>163</v>
      </c>
      <c r="D2" s="3" t="s">
        <v>162</v>
      </c>
      <c r="E2" s="3" t="s">
        <v>161</v>
      </c>
      <c r="F2" s="3" t="b">
        <v>1</v>
      </c>
      <c r="G2" s="4" t="str">
        <f>_xlfn.IFNA(IF(((INDEX(Agents!D2:D12, MATCH(E2,Agents!A2:A12, 0))="")=TRUE),  "",  INDEX(Agents!D2:D12, MATCH(E2,Agents!A2:A12, 0))), "")</f>
        <v>Human</v>
      </c>
      <c r="H2" s="4" t="str">
        <f>_xlfn.IFNA(IF(((INDEX(Agents!E2:E12, MATCH(E2,Agents!A2:A12, 0))="")=TRUE),  "",  INDEX(Agents!E2:E12, MATCH(E2,Agents!A2:A12, 0))), "")</f>
        <v>acme-people</v>
      </c>
      <c r="I2" s="4">
        <f>COUNTIFS(PrincipalAssignments!C2:C13, A2)</f>
        <v>1</v>
      </c>
      <c r="J2" s="4" t="b">
        <f>I2 = 0</f>
        <v>0</v>
      </c>
      <c r="K2" s="4" t="b">
        <f>I2 &gt; 1</f>
        <v>0</v>
      </c>
      <c r="L2" s="4" t="b">
        <f>OR(((G2 = "AIAgent")=TRUE), ((G2 = "AutomatedPipeline")=TRUE))</f>
        <v>0</v>
      </c>
      <c r="M2" s="3" t="s">
        <v>13913</v>
      </c>
    </row>
    <row r="3">
      <c r="A3" s="3" t="s">
        <v>13914</v>
      </c>
      <c r="B3" s="4" t="str">
        <f>D3</f>
        <v>Close Pipeline</v>
      </c>
      <c r="C3" s="3" t="s">
        <v>13915</v>
      </c>
      <c r="D3" s="3" t="s">
        <v>13916</v>
      </c>
      <c r="E3" s="3" t="s">
        <v>165</v>
      </c>
      <c r="F3" s="3" t="b">
        <v>1</v>
      </c>
      <c r="G3" s="4" t="str">
        <f>_xlfn.IFNA(IF(((INDEX(Agents!D2:D12, MATCH(E3,Agents!A2:A12, 0))="")=TRUE),  "",  INDEX(Agents!D2:D12, MATCH(E3,Agents!A2:A12, 0))), "")</f>
        <v>AutomatedPipeline</v>
      </c>
      <c r="H3" s="4" t="str">
        <f>_xlfn.IFNA(IF(((INDEX(Agents!E2:E12, MATCH(E3,Agents!A2:A12, 0))="")=TRUE),  "",  INDEX(Agents!E2:E12, MATCH(E3,Agents!A2:A12, 0))), "")</f>
        <v>acme-finance</v>
      </c>
      <c r="I3" s="4">
        <f>COUNTIFS(PrincipalAssignments!C2:C13, A3)</f>
        <v>1</v>
      </c>
      <c r="J3" s="4" t="b">
        <f>I3 = 0</f>
        <v>0</v>
      </c>
      <c r="K3" s="4" t="b">
        <f>I3 &gt; 1</f>
        <v>0</v>
      </c>
      <c r="L3" s="4" t="b">
        <f>OR(((G3 = "AIAgent")=TRUE), ((G3 = "AutomatedPipeline")=TRUE))</f>
        <v>1</v>
      </c>
      <c r="M3" s="3" t="s">
        <v>13913</v>
      </c>
    </row>
    <row r="4">
      <c r="A4" s="3" t="s">
        <v>13917</v>
      </c>
      <c r="B4" s="4" t="str">
        <f>D4</f>
        <v>Devon Okafor</v>
      </c>
      <c r="C4" s="3" t="s">
        <v>147</v>
      </c>
      <c r="D4" s="3" t="s">
        <v>146</v>
      </c>
      <c r="E4" s="3" t="s">
        <v>145</v>
      </c>
      <c r="F4" s="3" t="b">
        <v>1</v>
      </c>
      <c r="G4" s="4" t="str">
        <f>_xlfn.IFNA(IF(((INDEX(Agents!D2:D12, MATCH(E4,Agents!A2:A12, 0))="")=TRUE),  "",  INDEX(Agents!D2:D12, MATCH(E4,Agents!A2:A12, 0))), "")</f>
        <v>Human</v>
      </c>
      <c r="H4" s="4" t="str">
        <f>_xlfn.IFNA(IF(((INDEX(Agents!E2:E12, MATCH(E4,Agents!A2:A12, 0))="")=TRUE),  "",  INDEX(Agents!E2:E12, MATCH(E4,Agents!A2:A12, 0))), "")</f>
        <v>acme-finance</v>
      </c>
      <c r="I4" s="4">
        <f>COUNTIFS(PrincipalAssignments!C2:C13, A4)</f>
        <v>1</v>
      </c>
      <c r="J4" s="4" t="b">
        <f>I4 = 0</f>
        <v>0</v>
      </c>
      <c r="K4" s="4" t="b">
        <f>I4 &gt; 1</f>
        <v>0</v>
      </c>
      <c r="L4" s="4" t="b">
        <f>OR(((G4 = "AIAgent")=TRUE), ((G4 = "AutomatedPipeline")=TRUE))</f>
        <v>0</v>
      </c>
      <c r="M4" s="3" t="s">
        <v>13913</v>
      </c>
    </row>
    <row r="5">
      <c r="A5" s="3" t="s">
        <v>13918</v>
      </c>
      <c r="B5" s="4" t="str">
        <f>D5</f>
        <v>Elena Garcia</v>
      </c>
      <c r="C5" s="3" t="s">
        <v>155</v>
      </c>
      <c r="D5" s="3" t="s">
        <v>154</v>
      </c>
      <c r="E5" s="3" t="s">
        <v>153</v>
      </c>
      <c r="F5" s="3" t="b">
        <v>1</v>
      </c>
      <c r="G5" s="4" t="str">
        <f>_xlfn.IFNA(IF(((INDEX(Agents!D2:D12, MATCH(E5,Agents!A2:A12, 0))="")=TRUE),  "",  INDEX(Agents!D2:D12, MATCH(E5,Agents!A2:A12, 0))), "")</f>
        <v>Human</v>
      </c>
      <c r="H5" s="4" t="str">
        <f>_xlfn.IFNA(IF(((INDEX(Agents!E2:E12, MATCH(E5,Agents!A2:A12, 0))="")=TRUE),  "",  INDEX(Agents!E2:E12, MATCH(E5,Agents!A2:A12, 0))), "")</f>
        <v>acme-people</v>
      </c>
      <c r="I5" s="4">
        <f>COUNTIFS(PrincipalAssignments!C2:C13, A5)</f>
        <v>2</v>
      </c>
      <c r="J5" s="4" t="b">
        <f>I5 = 0</f>
        <v>0</v>
      </c>
      <c r="K5" s="4" t="b">
        <f>I5 &gt; 1</f>
        <v>1</v>
      </c>
      <c r="L5" s="4" t="b">
        <f>OR(((G5 = "AIAgent")=TRUE), ((G5 = "AutomatedPipeline")=TRUE))</f>
        <v>0</v>
      </c>
      <c r="M5" s="3" t="s">
        <v>13913</v>
      </c>
    </row>
    <row r="6">
      <c r="A6" s="3" t="s">
        <v>13919</v>
      </c>
      <c r="B6" s="4" t="str">
        <f>D6</f>
        <v>Maria Chen</v>
      </c>
      <c r="C6" s="3" t="s">
        <v>142</v>
      </c>
      <c r="D6" s="3" t="s">
        <v>140</v>
      </c>
      <c r="E6" s="3" t="s">
        <v>139</v>
      </c>
      <c r="F6" s="3" t="b">
        <v>1</v>
      </c>
      <c r="G6" s="4" t="str">
        <f>_xlfn.IFNA(IF(((INDEX(Agents!D2:D12, MATCH(E6,Agents!A2:A12, 0))="")=TRUE),  "",  INDEX(Agents!D2:D12, MATCH(E6,Agents!A2:A12, 0))), "")</f>
        <v>Human</v>
      </c>
      <c r="H6" s="4" t="str">
        <f>_xlfn.IFNA(IF(((INDEX(Agents!E2:E12, MATCH(E6,Agents!A2:A12, 0))="")=TRUE),  "",  INDEX(Agents!E2:E12, MATCH(E6,Agents!A2:A12, 0))), "")</f>
        <v>acme-finance</v>
      </c>
      <c r="I6" s="4">
        <f>COUNTIFS(PrincipalAssignments!C2:C13, A6)</f>
        <v>1</v>
      </c>
      <c r="J6" s="4" t="b">
        <f>I6 = 0</f>
        <v>0</v>
      </c>
      <c r="K6" s="4" t="b">
        <f>I6 &gt; 1</f>
        <v>0</v>
      </c>
      <c r="L6" s="4" t="b">
        <f>OR(((G6 = "AIAgent")=TRUE), ((G6 = "AutomatedPipeline")=TRUE))</f>
        <v>0</v>
      </c>
      <c r="M6" s="3" t="s">
        <v>13913</v>
      </c>
    </row>
    <row r="7">
      <c r="A7" s="3" t="s">
        <v>13920</v>
      </c>
      <c r="B7" s="4" t="str">
        <f>D7</f>
        <v>Noah Williams</v>
      </c>
      <c r="C7" s="3" t="s">
        <v>159</v>
      </c>
      <c r="D7" s="3" t="s">
        <v>158</v>
      </c>
      <c r="E7" s="3" t="s">
        <v>157</v>
      </c>
      <c r="F7" s="3" t="b">
        <v>1</v>
      </c>
      <c r="G7" s="4" t="str">
        <f>_xlfn.IFNA(IF(((INDEX(Agents!D2:D12, MATCH(E7,Agents!A2:A12, 0))="")=TRUE),  "",  INDEX(Agents!D2:D12, MATCH(E7,Agents!A2:A12, 0))), "")</f>
        <v>Human</v>
      </c>
      <c r="H7" s="4" t="str">
        <f>_xlfn.IFNA(IF(((INDEX(Agents!E2:E12, MATCH(E7,Agents!A2:A12, 0))="")=TRUE),  "",  INDEX(Agents!E2:E12, MATCH(E7,Agents!A2:A12, 0))), "")</f>
        <v>acme-legal</v>
      </c>
      <c r="I7" s="4">
        <f>COUNTIFS(PrincipalAssignments!C2:C13, A7)</f>
        <v>1</v>
      </c>
      <c r="J7" s="4" t="b">
        <f>I7 = 0</f>
        <v>0</v>
      </c>
      <c r="K7" s="4" t="b">
        <f>I7 &gt; 1</f>
        <v>0</v>
      </c>
      <c r="L7" s="4" t="b">
        <f>OR(((G7 = "AIAgent")=TRUE), ((G7 = "AutomatedPipeline")=TRUE))</f>
        <v>0</v>
      </c>
      <c r="M7" s="3" t="s">
        <v>13913</v>
      </c>
    </row>
    <row r="8">
      <c r="A8" s="3" t="s">
        <v>13921</v>
      </c>
      <c r="B8" s="4" t="str">
        <f>D8</f>
        <v>Notification Pipeline</v>
      </c>
      <c r="C8" s="3" t="s">
        <v>13922</v>
      </c>
      <c r="D8" s="3" t="s">
        <v>13923</v>
      </c>
      <c r="E8" s="3" t="s">
        <v>178</v>
      </c>
      <c r="F8" s="3" t="b">
        <v>1</v>
      </c>
      <c r="G8" s="4" t="str">
        <f>_xlfn.IFNA(IF(((INDEX(Agents!D2:D12, MATCH(E8,Agents!A2:A12, 0))="")=TRUE),  "",  INDEX(Agents!D2:D12, MATCH(E8,Agents!A2:A12, 0))), "")</f>
        <v>AutomatedPipeline</v>
      </c>
      <c r="H8" s="4" t="str">
        <f>_xlfn.IFNA(IF(((INDEX(Agents!E2:E12, MATCH(E8,Agents!A2:A12, 0))="")=TRUE),  "",  INDEX(Agents!E2:E12, MATCH(E8,Agents!A2:A12, 0))), "")</f>
        <v>acme-people</v>
      </c>
      <c r="I8" s="4">
        <f>COUNTIFS(PrincipalAssignments!C2:C13, A8)</f>
        <v>1</v>
      </c>
      <c r="J8" s="4" t="b">
        <f>I8 = 0</f>
        <v>0</v>
      </c>
      <c r="K8" s="4" t="b">
        <f>I8 &gt; 1</f>
        <v>0</v>
      </c>
      <c r="L8" s="4" t="b">
        <f>OR(((G8 = "AIAgent")=TRUE), ((G8 = "AutomatedPipeline")=TRUE))</f>
        <v>1</v>
      </c>
      <c r="M8" s="3" t="s">
        <v>13913</v>
      </c>
    </row>
    <row r="9">
      <c r="A9" s="3" t="s">
        <v>13924</v>
      </c>
      <c r="B9" s="4" t="str">
        <f>D9</f>
        <v>Policy Drafting Ai</v>
      </c>
      <c r="C9" s="3" t="s">
        <v>13925</v>
      </c>
      <c r="D9" s="3" t="s">
        <v>13926</v>
      </c>
      <c r="E9" s="3" t="s">
        <v>175</v>
      </c>
      <c r="F9" s="3" t="b">
        <v>1</v>
      </c>
      <c r="G9" s="4" t="str">
        <f>_xlfn.IFNA(IF(((INDEX(Agents!D2:D12, MATCH(E9,Agents!A2:A12, 0))="")=TRUE),  "",  INDEX(Agents!D2:D12, MATCH(E9,Agents!A2:A12, 0))), "")</f>
        <v>AIAgent</v>
      </c>
      <c r="H9" s="4" t="str">
        <f>_xlfn.IFNA(IF(((INDEX(Agents!E2:E12, MATCH(E9,Agents!A2:A12, 0))="")=TRUE),  "",  INDEX(Agents!E2:E12, MATCH(E9,Agents!A2:A12, 0))), "")</f>
        <v>acme-people</v>
      </c>
      <c r="I9" s="4">
        <f>COUNTIFS(PrincipalAssignments!C2:C13, A9)</f>
        <v>1</v>
      </c>
      <c r="J9" s="4" t="b">
        <f>I9 = 0</f>
        <v>0</v>
      </c>
      <c r="K9" s="4" t="b">
        <f>I9 &gt; 1</f>
        <v>0</v>
      </c>
      <c r="L9" s="4" t="b">
        <f>OR(((G9 = "AIAgent")=TRUE), ((G9 = "AutomatedPipeline")=TRUE))</f>
        <v>1</v>
      </c>
      <c r="M9" s="3" t="s">
        <v>13913</v>
      </c>
    </row>
    <row r="10">
      <c r="A10" s="3" t="s">
        <v>13927</v>
      </c>
      <c r="B10" s="4" t="str">
        <f>D10</f>
        <v>Priya Raman</v>
      </c>
      <c r="C10" s="3" t="s">
        <v>151</v>
      </c>
      <c r="D10" s="3" t="s">
        <v>150</v>
      </c>
      <c r="E10" s="3" t="s">
        <v>149</v>
      </c>
      <c r="F10" s="3" t="b">
        <v>1</v>
      </c>
      <c r="G10" s="4" t="str">
        <f>_xlfn.IFNA(IF(((INDEX(Agents!D2:D12, MATCH(E10,Agents!A2:A12, 0))="")=TRUE),  "",  INDEX(Agents!D2:D12, MATCH(E10,Agents!A2:A12, 0))), "")</f>
        <v>Human</v>
      </c>
      <c r="H10" s="4" t="str">
        <f>_xlfn.IFNA(IF(((INDEX(Agents!E2:E12, MATCH(E10,Agents!A2:A12, 0))="")=TRUE),  "",  INDEX(Agents!E2:E12, MATCH(E10,Agents!A2:A12, 0))), "")</f>
        <v>acme-finance</v>
      </c>
      <c r="I10" s="4">
        <f>COUNTIFS(PrincipalAssignments!C2:C13, A10)</f>
        <v>2</v>
      </c>
      <c r="J10" s="4" t="b">
        <f>I10 = 0</f>
        <v>0</v>
      </c>
      <c r="K10" s="4" t="b">
        <f>I10 &gt; 1</f>
        <v>1</v>
      </c>
      <c r="L10" s="4" t="b">
        <f>OR(((G10 = "AIAgent")=TRUE), ((G10 = "AutomatedPipeline")=TRUE))</f>
        <v>0</v>
      </c>
      <c r="M10" s="3" t="s">
        <v>13913</v>
      </c>
    </row>
    <row r="11">
      <c r="A11" s="3" t="s">
        <v>13928</v>
      </c>
      <c r="B11" s="4" t="str">
        <f>D11</f>
        <v>Variance Ai</v>
      </c>
      <c r="C11" s="3" t="s">
        <v>13929</v>
      </c>
      <c r="D11" s="3" t="s">
        <v>13930</v>
      </c>
      <c r="E11" s="3" t="s">
        <v>171</v>
      </c>
      <c r="F11" s="3" t="b">
        <v>1</v>
      </c>
      <c r="G11" s="4" t="str">
        <f>_xlfn.IFNA(IF(((INDEX(Agents!D2:D12, MATCH(E11,Agents!A2:A12, 0))="")=TRUE),  "",  INDEX(Agents!D2:D12, MATCH(E11,Agents!A2:A12, 0))), "")</f>
        <v>AIAgent</v>
      </c>
      <c r="H11" s="4" t="str">
        <f>_xlfn.IFNA(IF(((INDEX(Agents!E2:E12, MATCH(E11,Agents!A2:A12, 0))="")=TRUE),  "",  INDEX(Agents!E2:E12, MATCH(E11,Agents!A2:A12, 0))), "")</f>
        <v>acme-finance</v>
      </c>
      <c r="I11" s="4">
        <f>COUNTIFS(PrincipalAssignments!C2:C13, A11)</f>
        <v>1</v>
      </c>
      <c r="J11" s="4" t="b">
        <f>I11 = 0</f>
        <v>0</v>
      </c>
      <c r="K11" s="4" t="b">
        <f>I11 &gt; 1</f>
        <v>0</v>
      </c>
      <c r="L11" s="4" t="b">
        <f>OR(((G11 = "AIAgent")=TRUE), ((G11 = "AutomatedPipeline")=TRUE))</f>
        <v>1</v>
      </c>
      <c r="M11" s="3" t="s">
        <v>13913</v>
      </c>
    </row>
  </sheetData>
  <autoFilter ref="A1:M1"/>
  <headerFooter/>
  <legacyDrawing r:id="rId1"/>
</worksheet>
</file>

<file path=xl/worksheets/sheet8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3"/>
  <sheetViews>
    <sheetView workbookViewId="0">
      <pane ySplit="1" topLeftCell="A2" state="frozen" activePane="bottomLeft"/>
      <selection pane="bottomLeft" activeCell="A1" sqref="A1"/>
    </sheetView>
  </sheetViews>
  <sheetFormatPr defaultRowHeight="15"/>
  <cols>
    <col min="1" max="1" width="42.91426467895508" customWidth="1"/>
    <col min="2" max="2" width="56.27479934692383" customWidth="1"/>
    <col min="3" max="3" width="24.471935272216797" customWidth="1"/>
    <col min="4" max="4" width="33.99167251586914" customWidth="1"/>
    <col min="5" max="5" width="17.443378448486328" customWidth="1"/>
    <col min="6" max="6" width="110.0121841430664" customWidth="1"/>
    <col min="7" max="7" width="17.443378448486328" customWidth="1"/>
    <col min="8" max="8" width="17.707918167114258" customWidth="1"/>
    <col min="9" max="9" width="21.324691772460938" customWidth="1"/>
    <col min="10" max="10" width="25.57289695739746" customWidth="1"/>
    <col min="11" max="11" width="47.53519821166992" customWidth="1"/>
  </cols>
  <sheetData>
    <row r="1">
      <c r="A1" s="2" t="s">
        <v>5612</v>
      </c>
      <c r="B1" s="2" t="s">
        <v>1</v>
      </c>
      <c r="C1" s="2" t="s">
        <v>5616</v>
      </c>
      <c r="D1" s="2" t="s">
        <v>5417</v>
      </c>
      <c r="E1" s="2" t="s">
        <v>5619</v>
      </c>
      <c r="F1" s="2" t="s">
        <v>5621</v>
      </c>
      <c r="G1" s="2" t="s">
        <v>5435</v>
      </c>
      <c r="H1" s="2" t="s">
        <v>5624</v>
      </c>
      <c r="I1" s="2" t="s">
        <v>5627</v>
      </c>
      <c r="J1" s="2" t="s">
        <v>5630</v>
      </c>
      <c r="K1" s="2" t="s">
        <v>94</v>
      </c>
    </row>
    <row r="2">
      <c r="A2" s="3" t="s">
        <v>13931</v>
      </c>
      <c r="B2" s="4" t="str">
        <f>C2 &amp; " as " &amp; D2</f>
        <v>user-amina-yusuf as principal-communications-manager</v>
      </c>
      <c r="C2" s="3" t="s">
        <v>13912</v>
      </c>
      <c r="D2" s="3" t="s">
        <v>9762</v>
      </c>
      <c r="E2" s="3" t="b">
        <v>1</v>
      </c>
      <c r="F2" s="3" t="s">
        <v>13932</v>
      </c>
      <c r="G2" s="4" t="b">
        <f>_xlfn.IFNA(IF(((INDEX(AccessPrincipals!G2:G13, MATCH(D2,AccessPrincipals!A2:A13, 0))="")=TRUE),  "",  INDEX(AccessPrincipals!G2:G13, MATCH(D2,AccessPrincipals!A2:A13, 0))), "")</f>
        <v>0</v>
      </c>
      <c r="H2" s="4" t="str">
        <f>_xlfn.IFNA(IF(((INDEX(AppUsers!H2:H11, MATCH(C2,AppUsers!A2:A11, 0))="")=TRUE),  "",  INDEX(AppUsers!H2:H11, MATCH(C2,AppUsers!A2:A11, 0))), "")</f>
        <v>acme-people</v>
      </c>
      <c r="I2" s="4" t="str">
        <f>_xlfn.IFNA(IF(((INDEX(AccessPrincipals!H2:H13, MATCH(D2,AccessPrincipals!A2:A13, 0))="")=TRUE),  "",  INDEX(AccessPrincipals!H2:H13, MATCH(D2,AccessPrincipals!A2:A13, 0))), "")</f>
        <v>acme-people</v>
      </c>
      <c r="J2" s="4" t="b">
        <f>AND(((H2 &lt;&gt; "")=TRUE), ((I2 &lt;&gt; "")=TRUE), ((H2 &lt;&gt; I2)=TRUE))</f>
        <v>0</v>
      </c>
      <c r="K2" s="3" t="s">
        <v>13933</v>
      </c>
    </row>
    <row r="3">
      <c r="A3" s="3" t="s">
        <v>13934</v>
      </c>
      <c r="B3" s="4" t="str">
        <f>C3 &amp; " as " &amp; D3</f>
        <v>user-close-pipeline as principal-close-automation</v>
      </c>
      <c r="C3" s="3" t="s">
        <v>13914</v>
      </c>
      <c r="D3" s="3" t="s">
        <v>9764</v>
      </c>
      <c r="E3" s="3" t="b">
        <v>1</v>
      </c>
      <c r="F3" s="3" t="s">
        <v>13935</v>
      </c>
      <c r="G3" s="4" t="b">
        <f>_xlfn.IFNA(IF(((INDEX(AccessPrincipals!G2:G13, MATCH(D3,AccessPrincipals!A2:A13, 0))="")=TRUE),  "",  INDEX(AccessPrincipals!G2:G13, MATCH(D3,AccessPrincipals!A2:A13, 0))), "")</f>
        <v>0</v>
      </c>
      <c r="H3" s="4" t="str">
        <f>_xlfn.IFNA(IF(((INDEX(AppUsers!H2:H11, MATCH(C3,AppUsers!A2:A11, 0))="")=TRUE),  "",  INDEX(AppUsers!H2:H11, MATCH(C3,AppUsers!A2:A11, 0))), "")</f>
        <v>acme-finance</v>
      </c>
      <c r="I3" s="4" t="str">
        <f>_xlfn.IFNA(IF(((INDEX(AccessPrincipals!H2:H13, MATCH(D3,AccessPrincipals!A2:A13, 0))="")=TRUE),  "",  INDEX(AccessPrincipals!H2:H13, MATCH(D3,AccessPrincipals!A2:A13, 0))), "")</f>
        <v>acme-finance</v>
      </c>
      <c r="J3" s="4" t="b">
        <f>AND(((H3 &lt;&gt; "")=TRUE), ((I3 &lt;&gt; "")=TRUE), ((H3 &lt;&gt; I3)=TRUE))</f>
        <v>0</v>
      </c>
      <c r="K3" s="3" t="s">
        <v>13933</v>
      </c>
    </row>
    <row r="4">
      <c r="A4" s="3" t="s">
        <v>13936</v>
      </c>
      <c r="B4" s="4" t="str">
        <f>C4 &amp; " as " &amp; D4</f>
        <v>user-devon-okafor as principal-controller</v>
      </c>
      <c r="C4" s="3" t="s">
        <v>13917</v>
      </c>
      <c r="D4" s="3" t="s">
        <v>9754</v>
      </c>
      <c r="E4" s="3" t="b">
        <v>1</v>
      </c>
      <c r="F4" s="3" t="s">
        <v>13937</v>
      </c>
      <c r="G4" s="4" t="b">
        <f>_xlfn.IFNA(IF(((INDEX(AccessPrincipals!G2:G13, MATCH(D4,AccessPrincipals!A2:A13, 0))="")=TRUE),  "",  INDEX(AccessPrincipals!G2:G13, MATCH(D4,AccessPrincipals!A2:A13, 0))), "")</f>
        <v>0</v>
      </c>
      <c r="H4" s="4" t="str">
        <f>_xlfn.IFNA(IF(((INDEX(AppUsers!H2:H11, MATCH(C4,AppUsers!A2:A11, 0))="")=TRUE),  "",  INDEX(AppUsers!H2:H11, MATCH(C4,AppUsers!A2:A11, 0))), "")</f>
        <v>acme-finance</v>
      </c>
      <c r="I4" s="4" t="str">
        <f>_xlfn.IFNA(IF(((INDEX(AccessPrincipals!H2:H13, MATCH(D4,AccessPrincipals!A2:A13, 0))="")=TRUE),  "",  INDEX(AccessPrincipals!H2:H13, MATCH(D4,AccessPrincipals!A2:A13, 0))), "")</f>
        <v>acme-finance</v>
      </c>
      <c r="J4" s="4" t="b">
        <f>AND(((H4 &lt;&gt; "")=TRUE), ((I4 &lt;&gt; "")=TRUE), ((H4 &lt;&gt; I4)=TRUE))</f>
        <v>0</v>
      </c>
      <c r="K4" s="3" t="s">
        <v>13933</v>
      </c>
    </row>
    <row r="5">
      <c r="A5" s="3" t="s">
        <v>13938</v>
      </c>
      <c r="B5" s="4" t="str">
        <f>C5 &amp; " as " &amp; D5</f>
        <v>user-elena-garcia as principal-hr-policy-owner</v>
      </c>
      <c r="C5" s="3" t="s">
        <v>13918</v>
      </c>
      <c r="D5" s="3" t="s">
        <v>9758</v>
      </c>
      <c r="E5" s="3" t="b">
        <v>1</v>
      </c>
      <c r="F5" s="3" t="s">
        <v>13939</v>
      </c>
      <c r="G5" s="4" t="b">
        <f>_xlfn.IFNA(IF(((INDEX(AccessPrincipals!G2:G13, MATCH(D5,AccessPrincipals!A2:A13, 0))="")=TRUE),  "",  INDEX(AccessPrincipals!G2:G13, MATCH(D5,AccessPrincipals!A2:A13, 0))), "")</f>
        <v>0</v>
      </c>
      <c r="H5" s="4" t="str">
        <f>_xlfn.IFNA(IF(((INDEX(AppUsers!H2:H11, MATCH(C5,AppUsers!A2:A11, 0))="")=TRUE),  "",  INDEX(AppUsers!H2:H11, MATCH(C5,AppUsers!A2:A11, 0))), "")</f>
        <v>acme-people</v>
      </c>
      <c r="I5" s="4" t="str">
        <f>_xlfn.IFNA(IF(((INDEX(AccessPrincipals!H2:H13, MATCH(D5,AccessPrincipals!A2:A13, 0))="")=TRUE),  "",  INDEX(AccessPrincipals!H2:H13, MATCH(D5,AccessPrincipals!A2:A13, 0))), "")</f>
        <v>acme-people</v>
      </c>
      <c r="J5" s="4" t="b">
        <f>AND(((H5 &lt;&gt; "")=TRUE), ((I5 &lt;&gt; "")=TRUE), ((H5 &lt;&gt; I5)=TRUE))</f>
        <v>0</v>
      </c>
      <c r="K5" s="3" t="s">
        <v>13933</v>
      </c>
    </row>
    <row r="6">
      <c r="A6" s="3" t="s">
        <v>13940</v>
      </c>
      <c r="B6" s="4" t="str">
        <f>C6 &amp; " as " &amp; D6</f>
        <v>user-elena-garcia as principal-process-steward</v>
      </c>
      <c r="C6" s="3" t="s">
        <v>13918</v>
      </c>
      <c r="D6" s="3" t="s">
        <v>9772</v>
      </c>
      <c r="E6" s="3" t="b">
        <v>0</v>
      </c>
      <c r="F6" s="3" t="s">
        <v>13941</v>
      </c>
      <c r="G6" s="4" t="b">
        <f>_xlfn.IFNA(IF(((INDEX(AccessPrincipals!G2:G13, MATCH(D6,AccessPrincipals!A2:A13, 0))="")=TRUE),  "",  INDEX(AccessPrincipals!G2:G13, MATCH(D6,AccessPrincipals!A2:A13, 0))), "")</f>
        <v>1</v>
      </c>
      <c r="H6" s="4" t="str">
        <f>_xlfn.IFNA(IF(((INDEX(AppUsers!H2:H11, MATCH(C6,AppUsers!A2:A11, 0))="")=TRUE),  "",  INDEX(AppUsers!H2:H11, MATCH(C6,AppUsers!A2:A11, 0))), "")</f>
        <v>acme-people</v>
      </c>
      <c r="I6" s="4" t="str">
        <f>_xlfn.IFNA(IF(((INDEX(AccessPrincipals!H2:H13, MATCH(D6,AccessPrincipals!A2:A13, 0))="")=TRUE),  "",  INDEX(AccessPrincipals!H2:H13, MATCH(D6,AccessPrincipals!A2:A13, 0))), "")</f>
        <v>acme-people</v>
      </c>
      <c r="J6" s="4" t="b">
        <f>AND(((H6 &lt;&gt; "")=TRUE), ((I6 &lt;&gt; "")=TRUE), ((H6 &lt;&gt; I6)=TRUE))</f>
        <v>0</v>
      </c>
      <c r="K6" s="3" t="s">
        <v>13933</v>
      </c>
    </row>
    <row r="7">
      <c r="A7" s="3" t="s">
        <v>13942</v>
      </c>
      <c r="B7" s="4" t="str">
        <f>C7 &amp; " as " &amp; D7</f>
        <v>user-maria-chen as principal-finance-analyst</v>
      </c>
      <c r="C7" s="3" t="s">
        <v>13919</v>
      </c>
      <c r="D7" s="3" t="s">
        <v>9751</v>
      </c>
      <c r="E7" s="3" t="b">
        <v>1</v>
      </c>
      <c r="F7" s="3" t="s">
        <v>13943</v>
      </c>
      <c r="G7" s="4" t="b">
        <f>_xlfn.IFNA(IF(((INDEX(AccessPrincipals!G2:G13, MATCH(D7,AccessPrincipals!A2:A13, 0))="")=TRUE),  "",  INDEX(AccessPrincipals!G2:G13, MATCH(D7,AccessPrincipals!A2:A13, 0))), "")</f>
        <v>0</v>
      </c>
      <c r="H7" s="4" t="str">
        <f>_xlfn.IFNA(IF(((INDEX(AppUsers!H2:H11, MATCH(C7,AppUsers!A2:A11, 0))="")=TRUE),  "",  INDEX(AppUsers!H2:H11, MATCH(C7,AppUsers!A2:A11, 0))), "")</f>
        <v>acme-finance</v>
      </c>
      <c r="I7" s="4" t="str">
        <f>_xlfn.IFNA(IF(((INDEX(AccessPrincipals!H2:H13, MATCH(D7,AccessPrincipals!A2:A13, 0))="")=TRUE),  "",  INDEX(AccessPrincipals!H2:H13, MATCH(D7,AccessPrincipals!A2:A13, 0))), "")</f>
        <v>acme-finance</v>
      </c>
      <c r="J7" s="4" t="b">
        <f>AND(((H7 &lt;&gt; "")=TRUE), ((I7 &lt;&gt; "")=TRUE), ((H7 &lt;&gt; I7)=TRUE))</f>
        <v>0</v>
      </c>
      <c r="K7" s="3" t="s">
        <v>13933</v>
      </c>
    </row>
    <row r="8">
      <c r="A8" s="3" t="s">
        <v>13944</v>
      </c>
      <c r="B8" s="4" t="str">
        <f>C8 &amp; " as " &amp; D8</f>
        <v>user-noah-williams as principal-employment-counsel</v>
      </c>
      <c r="C8" s="3" t="s">
        <v>13920</v>
      </c>
      <c r="D8" s="3" t="s">
        <v>9760</v>
      </c>
      <c r="E8" s="3" t="b">
        <v>1</v>
      </c>
      <c r="F8" s="3" t="s">
        <v>13945</v>
      </c>
      <c r="G8" s="4" t="b">
        <f>_xlfn.IFNA(IF(((INDEX(AccessPrincipals!G2:G13, MATCH(D8,AccessPrincipals!A2:A13, 0))="")=TRUE),  "",  INDEX(AccessPrincipals!G2:G13, MATCH(D8,AccessPrincipals!A2:A13, 0))), "")</f>
        <v>0</v>
      </c>
      <c r="H8" s="4" t="str">
        <f>_xlfn.IFNA(IF(((INDEX(AppUsers!H2:H11, MATCH(C8,AppUsers!A2:A11, 0))="")=TRUE),  "",  INDEX(AppUsers!H2:H11, MATCH(C8,AppUsers!A2:A11, 0))), "")</f>
        <v>acme-legal</v>
      </c>
      <c r="I8" s="4" t="str">
        <f>_xlfn.IFNA(IF(((INDEX(AccessPrincipals!H2:H13, MATCH(D8,AccessPrincipals!A2:A13, 0))="")=TRUE),  "",  INDEX(AccessPrincipals!H2:H13, MATCH(D8,AccessPrincipals!A2:A13, 0))), "")</f>
        <v>acme-legal</v>
      </c>
      <c r="J8" s="4" t="b">
        <f>AND(((H8 &lt;&gt; "")=TRUE), ((I8 &lt;&gt; "")=TRUE), ((H8 &lt;&gt; I8)=TRUE))</f>
        <v>0</v>
      </c>
      <c r="K8" s="3" t="s">
        <v>13933</v>
      </c>
    </row>
    <row r="9">
      <c r="A9" s="3" t="s">
        <v>13946</v>
      </c>
      <c r="B9" s="4" t="str">
        <f>C9 &amp; " as " &amp; D9</f>
        <v>user-notification-pipeline as principal-notification-publisher</v>
      </c>
      <c r="C9" s="3" t="s">
        <v>13921</v>
      </c>
      <c r="D9" s="3" t="s">
        <v>9770</v>
      </c>
      <c r="E9" s="3" t="b">
        <v>1</v>
      </c>
      <c r="F9" s="3" t="s">
        <v>13947</v>
      </c>
      <c r="G9" s="4" t="b">
        <f>_xlfn.IFNA(IF(((INDEX(AccessPrincipals!G2:G13, MATCH(D9,AccessPrincipals!A2:A13, 0))="")=TRUE),  "",  INDEX(AccessPrincipals!G2:G13, MATCH(D9,AccessPrincipals!A2:A13, 0))), "")</f>
        <v>0</v>
      </c>
      <c r="H9" s="4" t="str">
        <f>_xlfn.IFNA(IF(((INDEX(AppUsers!H2:H11, MATCH(C9,AppUsers!A2:A11, 0))="")=TRUE),  "",  INDEX(AppUsers!H2:H11, MATCH(C9,AppUsers!A2:A11, 0))), "")</f>
        <v>acme-people</v>
      </c>
      <c r="I9" s="4" t="str">
        <f>_xlfn.IFNA(IF(((INDEX(AccessPrincipals!H2:H13, MATCH(D9,AccessPrincipals!A2:A13, 0))="")=TRUE),  "",  INDEX(AccessPrincipals!H2:H13, MATCH(D9,AccessPrincipals!A2:A13, 0))), "")</f>
        <v>acme-people</v>
      </c>
      <c r="J9" s="4" t="b">
        <f>AND(((H9 &lt;&gt; "")=TRUE), ((I9 &lt;&gt; "")=TRUE), ((H9 &lt;&gt; I9)=TRUE))</f>
        <v>0</v>
      </c>
      <c r="K9" s="3" t="s">
        <v>13933</v>
      </c>
    </row>
    <row r="10">
      <c r="A10" s="3" t="s">
        <v>13948</v>
      </c>
      <c r="B10" s="4" t="str">
        <f>C10 &amp; " as " &amp; D10</f>
        <v>user-policy-drafting-ai as principal-policy-drafting-agent</v>
      </c>
      <c r="C10" s="3" t="s">
        <v>13924</v>
      </c>
      <c r="D10" s="3" t="s">
        <v>9768</v>
      </c>
      <c r="E10" s="3" t="b">
        <v>1</v>
      </c>
      <c r="F10" s="3" t="s">
        <v>13949</v>
      </c>
      <c r="G10" s="4" t="b">
        <f>_xlfn.IFNA(IF(((INDEX(AccessPrincipals!G2:G13, MATCH(D10,AccessPrincipals!A2:A13, 0))="")=TRUE),  "",  INDEX(AccessPrincipals!G2:G13, MATCH(D10,AccessPrincipals!A2:A13, 0))), "")</f>
        <v>0</v>
      </c>
      <c r="H10" s="4" t="str">
        <f>_xlfn.IFNA(IF(((INDEX(AppUsers!H2:H11, MATCH(C10,AppUsers!A2:A11, 0))="")=TRUE),  "",  INDEX(AppUsers!H2:H11, MATCH(C10,AppUsers!A2:A11, 0))), "")</f>
        <v>acme-people</v>
      </c>
      <c r="I10" s="4" t="str">
        <f>_xlfn.IFNA(IF(((INDEX(AccessPrincipals!H2:H13, MATCH(D10,AccessPrincipals!A2:A13, 0))="")=TRUE),  "",  INDEX(AccessPrincipals!H2:H13, MATCH(D10,AccessPrincipals!A2:A13, 0))), "")</f>
        <v>acme-people</v>
      </c>
      <c r="J10" s="4" t="b">
        <f>AND(((H10 &lt;&gt; "")=TRUE), ((I10 &lt;&gt; "")=TRUE), ((H10 &lt;&gt; I10)=TRUE))</f>
        <v>0</v>
      </c>
      <c r="K10" s="3" t="s">
        <v>13933</v>
      </c>
    </row>
    <row r="11">
      <c r="A11" s="3" t="s">
        <v>13950</v>
      </c>
      <c r="B11" s="4" t="str">
        <f>C11 &amp; " as " &amp; D11</f>
        <v>user-priya-raman as principal-cfo</v>
      </c>
      <c r="C11" s="3" t="s">
        <v>13927</v>
      </c>
      <c r="D11" s="3" t="s">
        <v>9756</v>
      </c>
      <c r="E11" s="3" t="b">
        <v>1</v>
      </c>
      <c r="F11" s="3" t="s">
        <v>13951</v>
      </c>
      <c r="G11" s="4" t="b">
        <f>_xlfn.IFNA(IF(((INDEX(AccessPrincipals!G2:G13, MATCH(D11,AccessPrincipals!A2:A13, 0))="")=TRUE),  "",  INDEX(AccessPrincipals!G2:G13, MATCH(D11,AccessPrincipals!A2:A13, 0))), "")</f>
        <v>0</v>
      </c>
      <c r="H11" s="4" t="str">
        <f>_xlfn.IFNA(IF(((INDEX(AppUsers!H2:H11, MATCH(C11,AppUsers!A2:A11, 0))="")=TRUE),  "",  INDEX(AppUsers!H2:H11, MATCH(C11,AppUsers!A2:A11, 0))), "")</f>
        <v>acme-finance</v>
      </c>
      <c r="I11" s="4" t="str">
        <f>_xlfn.IFNA(IF(((INDEX(AccessPrincipals!H2:H13, MATCH(D11,AccessPrincipals!A2:A13, 0))="")=TRUE),  "",  INDEX(AccessPrincipals!H2:H13, MATCH(D11,AccessPrincipals!A2:A13, 0))), "")</f>
        <v>acme-finance</v>
      </c>
      <c r="J11" s="4" t="b">
        <f>AND(((H11 &lt;&gt; "")=TRUE), ((I11 &lt;&gt; "")=TRUE), ((H11 &lt;&gt; I11)=TRUE))</f>
        <v>0</v>
      </c>
      <c r="K11" s="3" t="s">
        <v>13933</v>
      </c>
    </row>
    <row r="12">
      <c r="A12" s="3" t="s">
        <v>13952</v>
      </c>
      <c r="B12" s="4" t="str">
        <f>C12 &amp; " as " &amp; D12</f>
        <v>user-priya-raman as principal-knowledge-authority</v>
      </c>
      <c r="C12" s="3" t="s">
        <v>13927</v>
      </c>
      <c r="D12" s="3" t="s">
        <v>9774</v>
      </c>
      <c r="E12" s="3" t="b">
        <v>0</v>
      </c>
      <c r="F12" s="3" t="s">
        <v>13953</v>
      </c>
      <c r="G12" s="4" t="b">
        <f>_xlfn.IFNA(IF(((INDEX(AccessPrincipals!G2:G13, MATCH(D12,AccessPrincipals!A2:A13, 0))="")=TRUE),  "",  INDEX(AccessPrincipals!G2:G13, MATCH(D12,AccessPrincipals!A2:A13, 0))), "")</f>
        <v>1</v>
      </c>
      <c r="H12" s="4" t="str">
        <f>_xlfn.IFNA(IF(((INDEX(AppUsers!H2:H11, MATCH(C12,AppUsers!A2:A11, 0))="")=TRUE),  "",  INDEX(AppUsers!H2:H11, MATCH(C12,AppUsers!A2:A11, 0))), "")</f>
        <v>acme-finance</v>
      </c>
      <c r="I12" s="4" t="str">
        <f>_xlfn.IFNA(IF(((INDEX(AccessPrincipals!H2:H13, MATCH(D12,AccessPrincipals!A2:A13, 0))="")=TRUE),  "",  INDEX(AccessPrincipals!H2:H13, MATCH(D12,AccessPrincipals!A2:A13, 0))), "")</f>
        <v>acme-finance</v>
      </c>
      <c r="J12" s="4" t="b">
        <f>AND(((H12 &lt;&gt; "")=TRUE), ((I12 &lt;&gt; "")=TRUE), ((H12 &lt;&gt; I12)=TRUE))</f>
        <v>0</v>
      </c>
      <c r="K12" s="3" t="s">
        <v>13933</v>
      </c>
    </row>
    <row r="13">
      <c r="A13" s="3" t="s">
        <v>13954</v>
      </c>
      <c r="B13" s="4" t="str">
        <f>C13 &amp; " as " &amp; D13</f>
        <v>user-variance-ai as principal-variance-review-agent</v>
      </c>
      <c r="C13" s="3" t="s">
        <v>13928</v>
      </c>
      <c r="D13" s="3" t="s">
        <v>9766</v>
      </c>
      <c r="E13" s="3" t="b">
        <v>1</v>
      </c>
      <c r="F13" s="3" t="s">
        <v>13955</v>
      </c>
      <c r="G13" s="4" t="b">
        <f>_xlfn.IFNA(IF(((INDEX(AccessPrincipals!G2:G13, MATCH(D13,AccessPrincipals!A2:A13, 0))="")=TRUE),  "",  INDEX(AccessPrincipals!G2:G13, MATCH(D13,AccessPrincipals!A2:A13, 0))), "")</f>
        <v>0</v>
      </c>
      <c r="H13" s="4" t="str">
        <f>_xlfn.IFNA(IF(((INDEX(AppUsers!H2:H11, MATCH(C13,AppUsers!A2:A11, 0))="")=TRUE),  "",  INDEX(AppUsers!H2:H11, MATCH(C13,AppUsers!A2:A11, 0))), "")</f>
        <v>acme-finance</v>
      </c>
      <c r="I13" s="4" t="str">
        <f>_xlfn.IFNA(IF(((INDEX(AccessPrincipals!H2:H13, MATCH(D13,AccessPrincipals!A2:A13, 0))="")=TRUE),  "",  INDEX(AccessPrincipals!H2:H13, MATCH(D13,AccessPrincipals!A2:A13, 0))), "")</f>
        <v>acme-finance</v>
      </c>
      <c r="J13" s="4" t="b">
        <f>AND(((H13 &lt;&gt; "")=TRUE), ((I13 &lt;&gt; "")=TRUE), ((H13 &lt;&gt; I13)=TRUE))</f>
        <v>0</v>
      </c>
      <c r="K13" s="3" t="s">
        <v>13933</v>
      </c>
    </row>
  </sheetData>
  <autoFilter ref="A1:K1"/>
  <headerFooter/>
  <legacyDrawing r:id="rId1"/>
</worksheet>
</file>

<file path=xl/worksheets/sheet8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7.443378448486328" customWidth="1"/>
    <col min="7" max="7" width="17.443378448486328" customWidth="1"/>
    <col min="8" max="8" width="17.443378448486328" customWidth="1"/>
    <col min="9" max="9" width="17.443378448486328" customWidth="1"/>
    <col min="10" max="10" width="17.443378448486328" customWidth="1"/>
    <col min="11" max="11" width="17.443378448486328" customWidth="1"/>
  </cols>
  <sheetData>
    <row r="1">
      <c r="A1" s="2" t="s">
        <v>5635</v>
      </c>
      <c r="B1" s="2" t="s">
        <v>1</v>
      </c>
      <c r="C1" s="2" t="s">
        <v>5616</v>
      </c>
      <c r="D1" s="2" t="s">
        <v>5417</v>
      </c>
      <c r="E1" s="2" t="s">
        <v>7</v>
      </c>
      <c r="F1" s="2" t="s">
        <v>5642</v>
      </c>
      <c r="G1" s="2" t="s">
        <v>5644</v>
      </c>
      <c r="H1" s="2" t="s">
        <v>5646</v>
      </c>
      <c r="I1" s="2" t="s">
        <v>5648</v>
      </c>
      <c r="J1" s="2" t="s">
        <v>5650</v>
      </c>
      <c r="K1" s="2" t="s">
        <v>94</v>
      </c>
    </row>
  </sheetData>
  <autoFilter ref="A1:K1"/>
  <headerFooter/>
  <legacyDrawing r:id="rId1"/>
</worksheet>
</file>

<file path=xl/worksheets/sheet8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5"/>
  <sheetViews>
    <sheetView workbookViewId="0">
      <pane ySplit="1" topLeftCell="A2" state="frozen" activePane="bottomLeft"/>
      <selection pane="bottomLeft" activeCell="A1" sqref="A1"/>
    </sheetView>
  </sheetViews>
  <sheetFormatPr defaultRowHeight="15"/>
  <cols>
    <col min="1" max="1" width="27.68600845336914" customWidth="1"/>
    <col min="2" max="2" width="63.501670837402344" customWidth="1"/>
    <col min="3" max="3" width="18.236316680908203" customWidth="1"/>
    <col min="4" max="4" width="31.643558502197266" customWidth="1"/>
    <col min="5" max="5" width="23.35041618347168" customWidth="1"/>
    <col min="6" max="6" width="24.00888442993164" customWidth="1"/>
    <col min="7" max="7" width="24.63018226623535" customWidth="1"/>
    <col min="8" max="8" width="129.1572723388672" customWidth="1"/>
    <col min="9" max="9" width="18.547500610351562" customWidth="1"/>
    <col min="10" max="10" width="23.35041618347168" customWidth="1"/>
    <col min="11" max="11" width="18.3187198638916" customWidth="1"/>
    <col min="12" max="12" width="17.443378448486328" customWidth="1"/>
    <col min="13" max="13" width="33.199031829833984" customWidth="1"/>
    <col min="14" max="14" width="17.443378448486328" customWidth="1"/>
    <col min="15" max="15" width="22.338804244995117" customWidth="1"/>
    <col min="16" max="16" width="23.63511085510254" customWidth="1"/>
    <col min="17" max="17" width="20.89238166809082" customWidth="1"/>
    <col min="18" max="18" width="21.359888076782227" customWidth="1"/>
    <col min="19" max="19" width="45.6241569519043" customWidth="1"/>
  </cols>
  <sheetData>
    <row r="1">
      <c r="A1" s="2" t="s">
        <v>5654</v>
      </c>
      <c r="B1" s="2" t="s">
        <v>1</v>
      </c>
      <c r="C1" s="2" t="s">
        <v>478</v>
      </c>
      <c r="D1" s="2" t="s">
        <v>5659</v>
      </c>
      <c r="E1" s="2" t="s">
        <v>5661</v>
      </c>
      <c r="F1" s="2" t="s">
        <v>5663</v>
      </c>
      <c r="G1" s="2" t="s">
        <v>5665</v>
      </c>
      <c r="H1" s="2" t="s">
        <v>5667</v>
      </c>
      <c r="I1" s="2" t="s">
        <v>258</v>
      </c>
      <c r="J1" s="2" t="s">
        <v>92</v>
      </c>
      <c r="K1" s="2" t="s">
        <v>5671</v>
      </c>
      <c r="L1" s="2" t="s">
        <v>5674</v>
      </c>
      <c r="M1" s="2" t="s">
        <v>5677</v>
      </c>
      <c r="N1" s="2" t="s">
        <v>5680</v>
      </c>
      <c r="O1" s="2" t="s">
        <v>5683</v>
      </c>
      <c r="P1" s="2" t="s">
        <v>5686</v>
      </c>
      <c r="Q1" s="2" t="s">
        <v>5688</v>
      </c>
      <c r="R1" s="2" t="s">
        <v>5691</v>
      </c>
      <c r="S1" s="2" t="s">
        <v>94</v>
      </c>
    </row>
    <row r="2">
      <c r="A2" s="3" t="s">
        <v>13956</v>
      </c>
      <c r="B2" s="4" t="str">
        <f>D2 &amp; " / " &amp; IF(((E2="")=TRUE),  "",  TEXT(E2, "yyyy-mm-dd\Thh:mm:ss")&amp;"+00:00")</f>
        <v>ERP General Ledger Audit Log / 2026-07-15T14:00:00+00:00</v>
      </c>
      <c r="C2" s="3" t="s">
        <v>369</v>
      </c>
      <c r="D2" s="3" t="s">
        <v>13957</v>
      </c>
      <c r="E2" s="5">
        <v>46218.583333333336</v>
      </c>
      <c r="F2" s="8">
        <v>6</v>
      </c>
      <c r="G2" s="8">
        <v>5</v>
      </c>
      <c r="H2" s="3" t="s">
        <v>13958</v>
      </c>
      <c r="I2" s="3" t="s">
        <v>95</v>
      </c>
      <c r="J2" s="7">
        <f>_xlfn.IFNA(IF(((INDEX(EvaluationContexts!D2:D2, MATCH(I2,EvaluationContexts!A2:A2, 0))="")=TRUE),  "",  INDEX(EvaluationContexts!D2:D2, MATCH(I2,EvaluationContexts!A2:A2, 0))), "")</f>
        <v>46222.75</v>
      </c>
      <c r="K2" s="4">
        <f>IF(((F2 = 0)=TRUE),  0,  G2 / F2)</f>
        <v>0.8333333333333334</v>
      </c>
      <c r="L2" s="4" t="b">
        <f>K2 &gt;= 0.8</f>
        <v>1</v>
      </c>
      <c r="M2" s="4" t="b">
        <f>K2 &lt; 0.5</f>
        <v>0</v>
      </c>
      <c r="N2" s="6">
        <f>IF((IF(((OR((((J2)="")=TRUE), (((E2)="")=TRUE)))=TRUE),  0,  (INT(J2) - INT(E2))))="", "", ROUND((IF(((OR((((J2)="")=TRUE), (((E2)="")=TRUE)))=TRUE),  0,  (INT(J2) - INT(E2)))), 0))</f>
        <v>4</v>
      </c>
      <c r="O2" s="4" t="b">
        <f>N2 &gt; 180</f>
        <v>0</v>
      </c>
      <c r="P2" s="4" t="b">
        <f>_xlfn.IFNA(IF(((INDEX(ProcedureVersions!Y2:Y4, MATCH(C2,ProcedureVersions!A2:A4, 0))="")=TRUE),  "",  INDEX(ProcedureVersions!Y2:Y4, MATCH(C2,ProcedureVersions!A2:A4, 0))), "")</f>
        <v>1</v>
      </c>
      <c r="Q2" s="4" t="b">
        <f>AND(((M2)=TRUE), ((P2)=TRUE))</f>
        <v>0</v>
      </c>
      <c r="R2" s="4" t="str">
        <f>IF(((Q2)=TRUE),  C2,  "")</f>
      </c>
      <c r="S2" s="3" t="s">
        <v>1890</v>
      </c>
    </row>
    <row r="3">
      <c r="A3" s="3" t="s">
        <v>13959</v>
      </c>
      <c r="B3" s="4" t="str">
        <f>D3 &amp; " / " &amp; IF(((E3="")=TRUE),  "",  TEXT(E3, "yyyy-mm-dd\Thh:mm:ss")&amp;"+00:00")</f>
        <v>ERP General Ledger Audit Log / 2026-07-17T14:00:00+00:00</v>
      </c>
      <c r="C3" s="3" t="s">
        <v>369</v>
      </c>
      <c r="D3" s="3" t="s">
        <v>13957</v>
      </c>
      <c r="E3" s="5">
        <v>46220.583333333336</v>
      </c>
      <c r="F3" s="8">
        <v>8</v>
      </c>
      <c r="G3" s="8">
        <v>3</v>
      </c>
      <c r="H3" s="3" t="s">
        <v>13960</v>
      </c>
      <c r="I3" s="3" t="s">
        <v>95</v>
      </c>
      <c r="J3" s="7">
        <f>_xlfn.IFNA(IF(((INDEX(EvaluationContexts!D2:D2, MATCH(I3,EvaluationContexts!A2:A2, 0))="")=TRUE),  "",  INDEX(EvaluationContexts!D2:D2, MATCH(I3,EvaluationContexts!A2:A2, 0))), "")</f>
        <v>46222.75</v>
      </c>
      <c r="K3" s="4">
        <f>IF(((F3 = 0)=TRUE),  0,  G3 / F3)</f>
        <v>0.375</v>
      </c>
      <c r="L3" s="4" t="b">
        <f>K3 &gt;= 0.8</f>
        <v>0</v>
      </c>
      <c r="M3" s="4" t="b">
        <f>K3 &lt; 0.5</f>
        <v>1</v>
      </c>
      <c r="N3" s="6">
        <f>IF((IF(((OR((((J3)="")=TRUE), (((E3)="")=TRUE)))=TRUE),  0,  (INT(J3) - INT(E3))))="", "", ROUND((IF(((OR((((J3)="")=TRUE), (((E3)="")=TRUE)))=TRUE),  0,  (INT(J3) - INT(E3)))), 0))</f>
        <v>2</v>
      </c>
      <c r="O3" s="4" t="b">
        <f>N3 &gt; 180</f>
        <v>0</v>
      </c>
      <c r="P3" s="4" t="b">
        <f>_xlfn.IFNA(IF(((INDEX(ProcedureVersions!Y2:Y4, MATCH(C3,ProcedureVersions!A2:A4, 0))="")=TRUE),  "",  INDEX(ProcedureVersions!Y2:Y4, MATCH(C3,ProcedureVersions!A2:A4, 0))), "")</f>
        <v>1</v>
      </c>
      <c r="Q3" s="4" t="b">
        <f>AND(((M3)=TRUE), ((P3)=TRUE))</f>
        <v>1</v>
      </c>
      <c r="R3" s="4" t="str">
        <f>IF(((Q3)=TRUE),  C3,  "")</f>
        <v>close-v1.1.0</v>
      </c>
      <c r="S3" s="3" t="s">
        <v>1890</v>
      </c>
    </row>
    <row r="4">
      <c r="A4" s="3" t="s">
        <v>13961</v>
      </c>
      <c r="B4" s="4" t="str">
        <f>D4 &amp; " / " &amp; IF(((E4="")=TRUE),  "",  TEXT(E4, "yyyy-mm-dd\Thh:mm:ss")&amp;"+00:00")</f>
        <v>Notification Pipeline Delivery Log / 2026-01-10T14:00:00+00:00</v>
      </c>
      <c r="C4" s="3" t="s">
        <v>375</v>
      </c>
      <c r="D4" s="3" t="s">
        <v>13962</v>
      </c>
      <c r="E4" s="5">
        <v>46032.583333333336</v>
      </c>
      <c r="F4" s="8">
        <v>4</v>
      </c>
      <c r="G4" s="8">
        <v>4</v>
      </c>
      <c r="H4" s="3" t="s">
        <v>168</v>
      </c>
      <c r="I4" s="3" t="s">
        <v>95</v>
      </c>
      <c r="J4" s="7">
        <f>_xlfn.IFNA(IF(((INDEX(EvaluationContexts!D2:D2, MATCH(I4,EvaluationContexts!A2:A2, 0))="")=TRUE),  "",  INDEX(EvaluationContexts!D2:D2, MATCH(I4,EvaluationContexts!A2:A2, 0))), "")</f>
        <v>46222.75</v>
      </c>
      <c r="K4" s="4">
        <f>IF(((F4 = 0)=TRUE),  0,  G4 / F4)</f>
        <v>1</v>
      </c>
      <c r="L4" s="4" t="b">
        <f>K4 &gt;= 0.8</f>
        <v>1</v>
      </c>
      <c r="M4" s="4" t="b">
        <f>K4 &lt; 0.5</f>
        <v>0</v>
      </c>
      <c r="N4" s="6">
        <f>IF((IF(((OR((((J4)="")=TRUE), (((E4)="")=TRUE)))=TRUE),  0,  (INT(J4) - INT(E4))))="", "", ROUND((IF(((OR((((J4)="")=TRUE), (((E4)="")=TRUE)))=TRUE),  0,  (INT(J4) - INT(E4)))), 0))</f>
        <v>190</v>
      </c>
      <c r="O4" s="4" t="b">
        <f>N4 &gt; 180</f>
        <v>1</v>
      </c>
      <c r="P4" s="4" t="b">
        <f>_xlfn.IFNA(IF(((INDEX(ProcedureVersions!Y2:Y4, MATCH(C4,ProcedureVersions!A2:A4, 0))="")=TRUE),  "",  INDEX(ProcedureVersions!Y2:Y4, MATCH(C4,ProcedureVersions!A2:A4, 0))), "")</f>
        <v>1</v>
      </c>
      <c r="Q4" s="4" t="b">
        <f>AND(((M4)=TRUE), ((P4)=TRUE))</f>
        <v>0</v>
      </c>
      <c r="R4" s="4" t="str">
        <f>IF(((Q4)=TRUE),  C4,  "")</f>
      </c>
      <c r="S4" s="3" t="s">
        <v>1890</v>
      </c>
    </row>
    <row r="5">
      <c r="A5" s="3" t="s">
        <v>13963</v>
      </c>
      <c r="B5" s="4" t="str">
        <f>D5 &amp; " / " &amp; IF(((E5="")=TRUE),  "",  TEXT(E5, "yyyy-mm-dd\Thh:mm:ss")&amp;"+00:00")</f>
        <v>ERP General Ledger Audit Log / 2026-01-01T14:00:00+00:00</v>
      </c>
      <c r="C5" s="3" t="s">
        <v>455</v>
      </c>
      <c r="D5" s="3" t="s">
        <v>13957</v>
      </c>
      <c r="E5" s="5">
        <v>46023.583333333336</v>
      </c>
      <c r="F5" s="8">
        <v>5</v>
      </c>
      <c r="G5" s="8">
        <v>1</v>
      </c>
      <c r="H5" s="3" t="s">
        <v>13964</v>
      </c>
      <c r="I5" s="3" t="s">
        <v>95</v>
      </c>
      <c r="J5" s="7">
        <f>_xlfn.IFNA(IF(((INDEX(EvaluationContexts!D2:D2, MATCH(I5,EvaluationContexts!A2:A2, 0))="")=TRUE),  "",  INDEX(EvaluationContexts!D2:D2, MATCH(I5,EvaluationContexts!A2:A2, 0))), "")</f>
        <v>46222.75</v>
      </c>
      <c r="K5" s="4">
        <f>IF(((F5 = 0)=TRUE),  0,  G5 / F5)</f>
        <v>0.2</v>
      </c>
      <c r="L5" s="4" t="b">
        <f>K5 &gt;= 0.8</f>
        <v>0</v>
      </c>
      <c r="M5" s="4" t="b">
        <f>K5 &lt; 0.5</f>
        <v>1</v>
      </c>
      <c r="N5" s="6">
        <f>IF((IF(((OR((((J5)="")=TRUE), (((E5)="")=TRUE)))=TRUE),  0,  (INT(J5) - INT(E5))))="", "", ROUND((IF(((OR((((J5)="")=TRUE), (((E5)="")=TRUE)))=TRUE),  0,  (INT(J5) - INT(E5)))), 0))</f>
        <v>199</v>
      </c>
      <c r="O5" s="4" t="b">
        <f>N5 &gt; 180</f>
        <v>1</v>
      </c>
      <c r="P5" s="4" t="b">
        <f>_xlfn.IFNA(IF(((INDEX(ProcedureVersions!Y2:Y4, MATCH(C5,ProcedureVersions!A2:A4, 0))="")=TRUE),  "",  INDEX(ProcedureVersions!Y2:Y4, MATCH(C5,ProcedureVersions!A2:A4, 0))), "")</f>
        <v>0</v>
      </c>
      <c r="Q5" s="4" t="b">
        <f>AND(((M5)=TRUE), ((P5)=TRUE))</f>
        <v>0</v>
      </c>
      <c r="R5" s="4" t="str">
        <f>IF(((Q5)=TRUE),  C5,  "")</f>
      </c>
      <c r="S5" s="3" t="s">
        <v>1890</v>
      </c>
    </row>
  </sheetData>
  <autoFilter ref="A1:S1"/>
  <headerFooter/>
  <legacyDrawing r:id="rId1"/>
</worksheet>
</file>

<file path=xl/worksheets/sheet8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3"/>
  <sheetViews>
    <sheetView workbookViewId="0">
      <pane ySplit="1" topLeftCell="A2" state="frozen" activePane="bottomLeft"/>
      <selection pane="bottomLeft" activeCell="A1" sqref="A1"/>
    </sheetView>
  </sheetViews>
  <sheetFormatPr defaultRowHeight="15"/>
  <cols>
    <col min="1" max="1" width="19.486499786376953" customWidth="1"/>
    <col min="2" max="2" width="26.977399826049805" customWidth="1"/>
    <col min="3" max="3" width="26.977399826049805" customWidth="1"/>
    <col min="4" max="4" width="49.195472717285156" customWidth="1"/>
    <col min="5" max="5" width="20.49138832092285" customWidth="1"/>
    <col min="6" max="6" width="17.443378448486328" customWidth="1"/>
    <col min="7" max="7" width="19.105207443237305" customWidth="1"/>
    <col min="8" max="8" width="18.00387954711914" customWidth="1"/>
    <col min="9" max="9" width="38.97528076171875" customWidth="1"/>
  </cols>
  <sheetData>
    <row r="1">
      <c r="A1" s="2" t="s">
        <v>5695</v>
      </c>
      <c r="B1" s="2" t="s">
        <v>1</v>
      </c>
      <c r="C1" s="2" t="s">
        <v>358</v>
      </c>
      <c r="D1" s="2" t="s">
        <v>5699</v>
      </c>
      <c r="E1" s="2" t="s">
        <v>5701</v>
      </c>
      <c r="F1" s="2" t="s">
        <v>5703</v>
      </c>
      <c r="G1" s="2" t="s">
        <v>5706</v>
      </c>
      <c r="H1" s="2" t="s">
        <v>5709</v>
      </c>
      <c r="I1" s="2" t="s">
        <v>94</v>
      </c>
    </row>
    <row r="2">
      <c r="A2" s="3" t="s">
        <v>13965</v>
      </c>
      <c r="B2" s="4" t="str">
        <f>C2</f>
        <v>Close Control Categories</v>
      </c>
      <c r="C2" s="3" t="s">
        <v>13966</v>
      </c>
      <c r="D2" s="3" t="s">
        <v>13967</v>
      </c>
      <c r="E2" s="3" t="s">
        <v>248</v>
      </c>
      <c r="F2" s="4">
        <f>COUNTIFS(VocabularyTerms!C2:C13, A2)</f>
        <v>5</v>
      </c>
      <c r="G2" s="4">
        <f>COUNTIFS(VocabularyTerms!J2:J13, A2)</f>
        <v>0</v>
      </c>
      <c r="H2" s="4" t="b">
        <f>G2 &gt; 0</f>
        <v>0</v>
      </c>
      <c r="I2" s="3" t="s">
        <v>1894</v>
      </c>
    </row>
    <row r="3">
      <c r="A3" s="3" t="s">
        <v>13968</v>
      </c>
      <c r="B3" s="4" t="str">
        <f>C3</f>
        <v>Policy Compliance Domains</v>
      </c>
      <c r="C3" s="3" t="s">
        <v>13969</v>
      </c>
      <c r="D3" s="3" t="s">
        <v>13970</v>
      </c>
      <c r="E3" s="3" t="s">
        <v>248</v>
      </c>
      <c r="F3" s="4">
        <f>COUNTIFS(VocabularyTerms!C2:C13, A3)</f>
        <v>7</v>
      </c>
      <c r="G3" s="4">
        <f>COUNTIFS(VocabularyTerms!J2:J13, A3)</f>
        <v>2</v>
      </c>
      <c r="H3" s="4" t="b">
        <f>G3 &gt; 0</f>
        <v>1</v>
      </c>
      <c r="I3" s="3" t="s">
        <v>1894</v>
      </c>
    </row>
  </sheetData>
  <autoFilter ref="A1:I1"/>
  <headerFooter/>
  <legacyDrawing r:id="rId1"/>
</worksheet>
</file>

<file path=xl/worksheets/sheet8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13"/>
  <sheetViews>
    <sheetView workbookViewId="0">
      <pane ySplit="1" topLeftCell="A2" state="frozen" activePane="bottomLeft"/>
      <selection pane="bottomLeft" activeCell="A1" sqref="A1"/>
    </sheetView>
  </sheetViews>
  <sheetFormatPr defaultRowHeight="15"/>
  <cols>
    <col min="1" max="1" width="24.128734588623047" customWidth="1"/>
    <col min="2" max="2" width="25.203283309936523" customWidth="1"/>
    <col min="3" max="3" width="19.486499786376953" customWidth="1"/>
    <col min="4" max="4" width="25.203283309936523" customWidth="1"/>
    <col min="5" max="5" width="38.48260498046875" customWidth="1"/>
    <col min="6" max="6" width="104.89838409423828" customWidth="1"/>
    <col min="7" max="7" width="17.443378448486328" customWidth="1"/>
    <col min="8" max="8" width="17.443378448486328" customWidth="1"/>
    <col min="9" max="9" width="22.246173858642578" customWidth="1"/>
    <col min="10" max="10" width="26.971410751342773" customWidth="1"/>
    <col min="11" max="11" width="44.150604248046875" customWidth="1"/>
  </cols>
  <sheetData>
    <row r="1">
      <c r="A1" s="2" t="s">
        <v>5713</v>
      </c>
      <c r="B1" s="2" t="s">
        <v>1</v>
      </c>
      <c r="C1" s="2" t="s">
        <v>5717</v>
      </c>
      <c r="D1" s="2" t="s">
        <v>5719</v>
      </c>
      <c r="E1" s="2" t="s">
        <v>5721</v>
      </c>
      <c r="F1" s="2" t="s">
        <v>349</v>
      </c>
      <c r="G1" s="2" t="s">
        <v>5544</v>
      </c>
      <c r="H1" s="2" t="s">
        <v>5726</v>
      </c>
      <c r="I1" s="2" t="s">
        <v>5729</v>
      </c>
      <c r="J1" s="2" t="s">
        <v>5732</v>
      </c>
      <c r="K1" s="2" t="s">
        <v>94</v>
      </c>
    </row>
    <row r="2">
      <c r="A2" s="3" t="s">
        <v>845</v>
      </c>
      <c r="B2" s="4" t="str">
        <f>D2</f>
        <v>Cutoff Control</v>
      </c>
      <c r="C2" s="3" t="s">
        <v>13965</v>
      </c>
      <c r="D2" s="3" t="s">
        <v>13971</v>
      </c>
      <c r="E2" s="3" t="s">
        <v>13972</v>
      </c>
      <c r="F2" s="3" t="s">
        <v>13973</v>
      </c>
      <c r="G2" s="4">
        <f>COUNTIFS(Requirements!AO2:AO14, A2)</f>
        <v>1</v>
      </c>
      <c r="H2" s="4" t="b">
        <f>G2 = 0</f>
        <v>0</v>
      </c>
      <c r="I2" s="4" t="b">
        <f>G2 &gt;= 2</f>
        <v>0</v>
      </c>
      <c r="J2" s="4" t="str">
        <f>IF(((H2)=TRUE),  C2,  "")</f>
      </c>
      <c r="K2" s="3" t="s">
        <v>1898</v>
      </c>
    </row>
    <row r="3">
      <c r="A3" s="3" t="s">
        <v>852</v>
      </c>
      <c r="B3" s="4" t="str">
        <f>D3</f>
        <v>Reconciliation Control</v>
      </c>
      <c r="C3" s="3" t="s">
        <v>13965</v>
      </c>
      <c r="D3" s="3" t="s">
        <v>13974</v>
      </c>
      <c r="E3" s="3" t="s">
        <v>13975</v>
      </c>
      <c r="F3" s="3" t="s">
        <v>13976</v>
      </c>
      <c r="G3" s="4">
        <f>COUNTIFS(Requirements!AO2:AO14, A3)</f>
        <v>1</v>
      </c>
      <c r="H3" s="4" t="b">
        <f>G3 = 0</f>
        <v>0</v>
      </c>
      <c r="I3" s="4" t="b">
        <f>G3 &gt;= 2</f>
        <v>0</v>
      </c>
      <c r="J3" s="4" t="str">
        <f>IF(((H3)=TRUE),  C3,  "")</f>
      </c>
      <c r="K3" s="3" t="s">
        <v>1898</v>
      </c>
    </row>
    <row r="4">
      <c r="A4" s="3" t="s">
        <v>859</v>
      </c>
      <c r="B4" s="4" t="str">
        <f>D4</f>
        <v>Segregation of Duties</v>
      </c>
      <c r="C4" s="3" t="s">
        <v>13965</v>
      </c>
      <c r="D4" s="3" t="s">
        <v>13977</v>
      </c>
      <c r="E4" s="3" t="s">
        <v>13978</v>
      </c>
      <c r="F4" s="3" t="s">
        <v>13979</v>
      </c>
      <c r="G4" s="4">
        <f>COUNTIFS(Requirements!AO2:AO14, A4)</f>
        <v>1</v>
      </c>
      <c r="H4" s="4" t="b">
        <f>G4 = 0</f>
        <v>0</v>
      </c>
      <c r="I4" s="4" t="b">
        <f>G4 &gt;= 2</f>
        <v>0</v>
      </c>
      <c r="J4" s="4" t="str">
        <f>IF(((H4)=TRUE),  C4,  "")</f>
      </c>
      <c r="K4" s="3" t="s">
        <v>1898</v>
      </c>
    </row>
    <row r="5">
      <c r="A5" s="3" t="s">
        <v>866</v>
      </c>
      <c r="B5" s="4" t="str">
        <f>D5</f>
        <v>Evidence Retention</v>
      </c>
      <c r="C5" s="3" t="s">
        <v>13965</v>
      </c>
      <c r="D5" s="3" t="s">
        <v>13980</v>
      </c>
      <c r="E5" s="3" t="s">
        <v>13981</v>
      </c>
      <c r="F5" s="3" t="s">
        <v>13982</v>
      </c>
      <c r="G5" s="4">
        <f>COUNTIFS(Requirements!AO2:AO14, A5)</f>
        <v>2</v>
      </c>
      <c r="H5" s="4" t="b">
        <f>G5 = 0</f>
        <v>0</v>
      </c>
      <c r="I5" s="4" t="b">
        <f>G5 &gt;= 2</f>
        <v>1</v>
      </c>
      <c r="J5" s="4" t="str">
        <f>IF(((H5)=TRUE),  C5,  "")</f>
      </c>
      <c r="K5" s="3" t="s">
        <v>1898</v>
      </c>
    </row>
    <row r="6">
      <c r="A6" s="3" t="s">
        <v>871</v>
      </c>
      <c r="B6" s="4" t="str">
        <f>D6</f>
        <v>Human Approval Gate</v>
      </c>
      <c r="C6" s="3" t="s">
        <v>13965</v>
      </c>
      <c r="D6" s="3" t="s">
        <v>13983</v>
      </c>
      <c r="E6" s="3" t="s">
        <v>13984</v>
      </c>
      <c r="F6" s="3" t="s">
        <v>13985</v>
      </c>
      <c r="G6" s="4">
        <f>COUNTIFS(Requirements!AO2:AO14, A6)</f>
        <v>1</v>
      </c>
      <c r="H6" s="4" t="b">
        <f>G6 = 0</f>
        <v>0</v>
      </c>
      <c r="I6" s="4" t="b">
        <f>G6 &gt;= 2</f>
        <v>0</v>
      </c>
      <c r="J6" s="4" t="str">
        <f>IF(((H6)=TRUE),  C6,  "")</f>
      </c>
      <c r="K6" s="3" t="s">
        <v>1898</v>
      </c>
    </row>
    <row r="7">
      <c r="A7" s="3" t="s">
        <v>891</v>
      </c>
      <c r="B7" s="4" t="str">
        <f>D7</f>
        <v>Consent Requirement</v>
      </c>
      <c r="C7" s="3" t="s">
        <v>13968</v>
      </c>
      <c r="D7" s="3" t="s">
        <v>13986</v>
      </c>
      <c r="E7" s="3" t="s">
        <v>13987</v>
      </c>
      <c r="F7" s="3" t="s">
        <v>13988</v>
      </c>
      <c r="G7" s="4">
        <f>COUNTIFS(Requirements!AO2:AO14, A7)</f>
        <v>1</v>
      </c>
      <c r="H7" s="4" t="b">
        <f>G7 = 0</f>
        <v>0</v>
      </c>
      <c r="I7" s="4" t="b">
        <f>G7 &gt;= 2</f>
        <v>0</v>
      </c>
      <c r="J7" s="4" t="str">
        <f>IF(((H7)=TRUE),  C7,  "")</f>
      </c>
      <c r="K7" s="3" t="s">
        <v>1898</v>
      </c>
    </row>
    <row r="8">
      <c r="A8" s="3" t="s">
        <v>897</v>
      </c>
      <c r="B8" s="4" t="str">
        <f>D8</f>
        <v>Quiet Hours Restriction</v>
      </c>
      <c r="C8" s="3" t="s">
        <v>13968</v>
      </c>
      <c r="D8" s="3" t="s">
        <v>13989</v>
      </c>
      <c r="E8" s="3" t="s">
        <v>13990</v>
      </c>
      <c r="F8" s="3" t="s">
        <v>13991</v>
      </c>
      <c r="G8" s="4">
        <f>COUNTIFS(Requirements!AO2:AO14, A8)</f>
        <v>1</v>
      </c>
      <c r="H8" s="4" t="b">
        <f>G8 = 0</f>
        <v>0</v>
      </c>
      <c r="I8" s="4" t="b">
        <f>G8 &gt;= 2</f>
        <v>0</v>
      </c>
      <c r="J8" s="4" t="str">
        <f>IF(((H8)=TRUE),  C8,  "")</f>
      </c>
      <c r="K8" s="3" t="s">
        <v>1898</v>
      </c>
    </row>
    <row r="9">
      <c r="A9" s="3" t="s">
        <v>902</v>
      </c>
      <c r="B9" s="4" t="str">
        <f>D9</f>
        <v>Opt-Out Requirement</v>
      </c>
      <c r="C9" s="3" t="s">
        <v>13968</v>
      </c>
      <c r="D9" s="3" t="s">
        <v>13992</v>
      </c>
      <c r="E9" s="3" t="s">
        <v>13993</v>
      </c>
      <c r="F9" s="3" t="s">
        <v>13994</v>
      </c>
      <c r="G9" s="4">
        <f>COUNTIFS(Requirements!AO2:AO14, A9)</f>
        <v>1</v>
      </c>
      <c r="H9" s="4" t="b">
        <f>G9 = 0</f>
        <v>0</v>
      </c>
      <c r="I9" s="4" t="b">
        <f>G9 &gt;= 2</f>
        <v>0</v>
      </c>
      <c r="J9" s="4" t="str">
        <f>IF(((H9)=TRUE),  C9,  "")</f>
      </c>
      <c r="K9" s="3" t="s">
        <v>1898</v>
      </c>
    </row>
    <row r="10">
      <c r="A10" s="3" t="s">
        <v>912</v>
      </c>
      <c r="B10" s="4" t="str">
        <f>D10</f>
        <v>Accessibility Requirement</v>
      </c>
      <c r="C10" s="3" t="s">
        <v>13968</v>
      </c>
      <c r="D10" s="3" t="s">
        <v>13995</v>
      </c>
      <c r="E10" s="3" t="s">
        <v>13996</v>
      </c>
      <c r="F10" s="3" t="s">
        <v>13997</v>
      </c>
      <c r="G10" s="4">
        <f>COUNTIFS(Requirements!AO2:AO14, A10)</f>
        <v>1</v>
      </c>
      <c r="H10" s="4" t="b">
        <f>G10 = 0</f>
        <v>0</v>
      </c>
      <c r="I10" s="4" t="b">
        <f>G10 &gt;= 2</f>
        <v>0</v>
      </c>
      <c r="J10" s="4" t="str">
        <f>IF(((H10)=TRUE),  C10,  "")</f>
      </c>
      <c r="K10" s="3" t="s">
        <v>1898</v>
      </c>
    </row>
    <row r="11">
      <c r="A11" s="3" t="s">
        <v>881</v>
      </c>
      <c r="B11" s="4" t="str">
        <f>D11</f>
        <v>Legal Review Gate</v>
      </c>
      <c r="C11" s="3" t="s">
        <v>13968</v>
      </c>
      <c r="D11" s="3" t="s">
        <v>13998</v>
      </c>
      <c r="E11" s="3" t="s">
        <v>13999</v>
      </c>
      <c r="F11" s="3" t="s">
        <v>14000</v>
      </c>
      <c r="G11" s="4">
        <f>COUNTIFS(Requirements!AO2:AO14, A11)</f>
        <v>1</v>
      </c>
      <c r="H11" s="4" t="b">
        <f>G11 = 0</f>
        <v>0</v>
      </c>
      <c r="I11" s="4" t="b">
        <f>G11 &gt;= 2</f>
        <v>0</v>
      </c>
      <c r="J11" s="4" t="str">
        <f>IF(((H11)=TRUE),  C11,  "")</f>
      </c>
      <c r="K11" s="3" t="s">
        <v>1898</v>
      </c>
    </row>
    <row r="12">
      <c r="A12" s="3" t="s">
        <v>14001</v>
      </c>
      <c r="B12" s="4" t="str">
        <f>D12</f>
        <v>Data Privacy Impact</v>
      </c>
      <c r="C12" s="3" t="s">
        <v>13968</v>
      </c>
      <c r="D12" s="3" t="s">
        <v>14002</v>
      </c>
      <c r="E12" s="3" t="s">
        <v>14003</v>
      </c>
      <c r="F12" s="3" t="s">
        <v>14004</v>
      </c>
      <c r="G12" s="4">
        <f>COUNTIFS(Requirements!AO2:AO14, A12)</f>
        <v>0</v>
      </c>
      <c r="H12" s="4" t="b">
        <f>G12 = 0</f>
        <v>1</v>
      </c>
      <c r="I12" s="4" t="b">
        <f>G12 &gt;= 2</f>
        <v>0</v>
      </c>
      <c r="J12" s="4" t="str">
        <f>IF(((H12)=TRUE),  C12,  "")</f>
        <v>voc-policy-domains</v>
      </c>
      <c r="K12" s="3" t="s">
        <v>1898</v>
      </c>
    </row>
    <row r="13">
      <c r="A13" s="3" t="s">
        <v>14005</v>
      </c>
      <c r="B13" s="4" t="str">
        <f>D13</f>
        <v>Third-Party Attestation</v>
      </c>
      <c r="C13" s="3" t="s">
        <v>13968</v>
      </c>
      <c r="D13" s="3" t="s">
        <v>14006</v>
      </c>
      <c r="E13" s="3" t="s">
        <v>14007</v>
      </c>
      <c r="F13" s="3" t="s">
        <v>14008</v>
      </c>
      <c r="G13" s="4">
        <f>COUNTIFS(Requirements!AO2:AO14, A13)</f>
        <v>0</v>
      </c>
      <c r="H13" s="4" t="b">
        <f>G13 = 0</f>
        <v>1</v>
      </c>
      <c r="I13" s="4" t="b">
        <f>G13 &gt;= 2</f>
        <v>0</v>
      </c>
      <c r="J13" s="4" t="str">
        <f>IF(((H13)=TRUE),  C13,  "")</f>
        <v>voc-policy-domains</v>
      </c>
      <c r="K13" s="3" t="s">
        <v>1898</v>
      </c>
    </row>
  </sheetData>
  <autoFilter ref="A1:K1"/>
  <headerFooter/>
  <legacyDrawing r:id="rId1"/>
</worksheet>
</file>

<file path=xl/worksheets/sheet8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6"/>
  <sheetViews>
    <sheetView workbookViewId="0">
      <pane ySplit="1" topLeftCell="A2" state="frozen" activePane="bottomLeft"/>
      <selection pane="bottomLeft" activeCell="A1" sqref="A1"/>
    </sheetView>
  </sheetViews>
  <sheetFormatPr defaultRowHeight="15"/>
  <cols>
    <col min="1" max="1" width="23.962678909301758" customWidth="1"/>
    <col min="2" max="2" width="29.24673843383789" customWidth="1"/>
    <col min="3" max="3" width="17.443378448486328" customWidth="1"/>
    <col min="4" max="4" width="17.443378448486328" customWidth="1"/>
    <col min="5" max="5" width="17.443378448486328" customWidth="1"/>
    <col min="6" max="6" width="17.443378448486328" customWidth="1"/>
    <col min="7" max="7" width="23.35041618347168" customWidth="1"/>
    <col min="8" max="8" width="18.547500610351562" customWidth="1"/>
    <col min="9" max="9" width="23.35041618347168" customWidth="1"/>
    <col min="10" max="10" width="20.413494110107422" customWidth="1"/>
    <col min="11" max="11" width="17.443378448486328" customWidth="1"/>
    <col min="12" max="12" width="21.1502685546875" customWidth="1"/>
    <col min="13" max="13" width="17.443378448486328" customWidth="1"/>
    <col min="14" max="14" width="24.297809600830078" customWidth="1"/>
    <col min="15" max="15" width="17.443378448486328" customWidth="1"/>
    <col min="16" max="16" width="49.013633728027344" customWidth="1"/>
  </cols>
  <sheetData>
    <row r="1">
      <c r="A1" s="2" t="s">
        <v>5736</v>
      </c>
      <c r="B1" s="2" t="s">
        <v>1</v>
      </c>
      <c r="C1" s="2" t="s">
        <v>5740</v>
      </c>
      <c r="D1" s="2" t="s">
        <v>5742</v>
      </c>
      <c r="E1" s="2" t="s">
        <v>5744</v>
      </c>
      <c r="F1" s="2" t="s">
        <v>5746</v>
      </c>
      <c r="G1" s="2" t="s">
        <v>5748</v>
      </c>
      <c r="H1" s="2" t="s">
        <v>258</v>
      </c>
      <c r="I1" s="2" t="s">
        <v>92</v>
      </c>
      <c r="J1" s="2" t="s">
        <v>5752</v>
      </c>
      <c r="K1" s="2" t="s">
        <v>5755</v>
      </c>
      <c r="L1" s="2" t="s">
        <v>5758</v>
      </c>
      <c r="M1" s="2" t="s">
        <v>5761</v>
      </c>
      <c r="N1" s="2" t="s">
        <v>5764</v>
      </c>
      <c r="O1" s="2" t="s">
        <v>5767</v>
      </c>
      <c r="P1" s="2" t="s">
        <v>94</v>
      </c>
    </row>
    <row r="2">
      <c r="A2" s="3" t="s">
        <v>14009</v>
      </c>
      <c r="B2" s="4" t="str">
        <f>C2 &amp; " -&gt; " &amp; D2</f>
        <v>maria-chen -&gt; priya-raman</v>
      </c>
      <c r="C2" s="3" t="s">
        <v>139</v>
      </c>
      <c r="D2" s="3" t="s">
        <v>149</v>
      </c>
      <c r="E2" s="3" t="s">
        <v>852</v>
      </c>
      <c r="F2" s="3" t="s">
        <v>14010</v>
      </c>
      <c r="G2" s="5">
        <v>46213.583333333336</v>
      </c>
      <c r="H2" s="3" t="s">
        <v>95</v>
      </c>
      <c r="I2" s="7">
        <f>_xlfn.IFNA(IF(((INDEX(EvaluationContexts!D2:D2, MATCH(H2,EvaluationContexts!A2:A2, 0))="")=TRUE),  "",  INDEX(EvaluationContexts!D2:D2, MATCH(H2,EvaluationContexts!A2:A2, 0))), "")</f>
        <v>46222.75</v>
      </c>
      <c r="J2" s="6">
        <f>IF((IF(((OR((((I2)="")=TRUE), (((G2)="")=TRUE)))=TRUE),  0,  (INT(I2) - INT(G2))))="", "", ROUND((IF(((OR((((I2)="")=TRUE), (((G2)="")=TRUE)))=TRUE),  0,  (INT(I2) - INT(G2)))), 0))</f>
        <v>9</v>
      </c>
      <c r="K2" s="4" t="b">
        <f>AND(((NOT(((F2 = "Rarely")=TRUE)))=TRUE), ((J2 &lt;= 180)=TRUE))</f>
        <v>1</v>
      </c>
      <c r="L2" s="4" t="b">
        <f>_xlfn.IFNA(IF(((INDEX(Agents!I2:I12, MATCH(D2,Agents!A2:A12, 0))="")=TRUE),  "",  INDEX(Agents!I2:I12, MATCH(D2,Agents!A2:A12, 0))), "")</f>
        <v>1</v>
      </c>
      <c r="M2" s="4" t="b">
        <f>AND(((K2)=TRUE), ((NOT(((L2)=TRUE)))=TRUE))</f>
        <v>0</v>
      </c>
      <c r="N2" s="4" t="str">
        <f>IF(((K2)=TRUE),  D2,  "")</f>
        <v>priya-raman</v>
      </c>
      <c r="O2" s="4" t="str">
        <f>IF(((M2)=TRUE),  D2,  "")</f>
      </c>
      <c r="P2" s="3" t="s">
        <v>1902</v>
      </c>
    </row>
    <row r="3">
      <c r="A3" s="3" t="s">
        <v>14011</v>
      </c>
      <c r="B3" s="4" t="str">
        <f>C3 &amp; " -&gt; " &amp; D3</f>
        <v>devon-okafor -&gt; priya-raman</v>
      </c>
      <c r="C3" s="3" t="s">
        <v>145</v>
      </c>
      <c r="D3" s="3" t="s">
        <v>149</v>
      </c>
      <c r="E3" s="3" t="s">
        <v>852</v>
      </c>
      <c r="F3" s="3" t="s">
        <v>14012</v>
      </c>
      <c r="G3" s="5">
        <v>46193.583333333336</v>
      </c>
      <c r="H3" s="3" t="s">
        <v>95</v>
      </c>
      <c r="I3" s="7">
        <f>_xlfn.IFNA(IF(((INDEX(EvaluationContexts!D2:D2, MATCH(H3,EvaluationContexts!A2:A2, 0))="")=TRUE),  "",  INDEX(EvaluationContexts!D2:D2, MATCH(H3,EvaluationContexts!A2:A2, 0))), "")</f>
        <v>46222.75</v>
      </c>
      <c r="J3" s="6">
        <f>IF((IF(((OR((((I3)="")=TRUE), (((G3)="")=TRUE)))=TRUE),  0,  (INT(I3) - INT(G3))))="", "", ROUND((IF(((OR((((I3)="")=TRUE), (((G3)="")=TRUE)))=TRUE),  0,  (INT(I3) - INT(G3)))), 0))</f>
        <v>29</v>
      </c>
      <c r="K3" s="4" t="b">
        <f>AND(((NOT(((F3 = "Rarely")=TRUE)))=TRUE), ((J3 &lt;= 180)=TRUE))</f>
        <v>1</v>
      </c>
      <c r="L3" s="4" t="b">
        <f>_xlfn.IFNA(IF(((INDEX(Agents!I2:I12, MATCH(D3,Agents!A2:A12, 0))="")=TRUE),  "",  INDEX(Agents!I2:I12, MATCH(D3,Agents!A2:A12, 0))), "")</f>
        <v>1</v>
      </c>
      <c r="M3" s="4" t="b">
        <f>AND(((K3)=TRUE), ((NOT(((L3)=TRUE)))=TRUE))</f>
        <v>0</v>
      </c>
      <c r="N3" s="4" t="str">
        <f>IF(((K3)=TRUE),  D3,  "")</f>
        <v>priya-raman</v>
      </c>
      <c r="O3" s="4" t="str">
        <f>IF(((M3)=TRUE),  D3,  "")</f>
      </c>
      <c r="P3" s="3" t="s">
        <v>1902</v>
      </c>
    </row>
    <row r="4">
      <c r="A4" s="3" t="s">
        <v>14013</v>
      </c>
      <c r="B4" s="4" t="str">
        <f>C4 &amp; " -&gt; " &amp; D4</f>
        <v>elena-garcia -&gt; priya-raman</v>
      </c>
      <c r="C4" s="3" t="s">
        <v>153</v>
      </c>
      <c r="D4" s="3" t="s">
        <v>149</v>
      </c>
      <c r="E4" s="3" t="s">
        <v>859</v>
      </c>
      <c r="F4" s="3" t="s">
        <v>14010</v>
      </c>
      <c r="G4" s="5">
        <v>46208.583333333336</v>
      </c>
      <c r="H4" s="3" t="s">
        <v>95</v>
      </c>
      <c r="I4" s="7">
        <f>_xlfn.IFNA(IF(((INDEX(EvaluationContexts!D2:D2, MATCH(H4,EvaluationContexts!A2:A2, 0))="")=TRUE),  "",  INDEX(EvaluationContexts!D2:D2, MATCH(H4,EvaluationContexts!A2:A2, 0))), "")</f>
        <v>46222.75</v>
      </c>
      <c r="J4" s="6">
        <f>IF((IF(((OR((((I4)="")=TRUE), (((G4)="")=TRUE)))=TRUE),  0,  (INT(I4) - INT(G4))))="", "", ROUND((IF(((OR((((I4)="")=TRUE), (((G4)="")=TRUE)))=TRUE),  0,  (INT(I4) - INT(G4)))), 0))</f>
        <v>14</v>
      </c>
      <c r="K4" s="4" t="b">
        <f>AND(((NOT(((F4 = "Rarely")=TRUE)))=TRUE), ((J4 &lt;= 180)=TRUE))</f>
        <v>1</v>
      </c>
      <c r="L4" s="4" t="b">
        <f>_xlfn.IFNA(IF(((INDEX(Agents!I2:I12, MATCH(D4,Agents!A2:A12, 0))="")=TRUE),  "",  INDEX(Agents!I2:I12, MATCH(D4,Agents!A2:A12, 0))), "")</f>
        <v>1</v>
      </c>
      <c r="M4" s="4" t="b">
        <f>AND(((K4)=TRUE), ((NOT(((L4)=TRUE)))=TRUE))</f>
        <v>0</v>
      </c>
      <c r="N4" s="4" t="str">
        <f>IF(((K4)=TRUE),  D4,  "")</f>
        <v>priya-raman</v>
      </c>
      <c r="O4" s="4" t="str">
        <f>IF(((M4)=TRUE),  D4,  "")</f>
      </c>
      <c r="P4" s="3" t="s">
        <v>1902</v>
      </c>
    </row>
    <row r="5">
      <c r="A5" s="3" t="s">
        <v>14014</v>
      </c>
      <c r="B5" s="4" t="str">
        <f>C5 &amp; " -&gt; " &amp; D5</f>
        <v>amina-yusuf -&gt; jordan-park</v>
      </c>
      <c r="C5" s="3" t="s">
        <v>161</v>
      </c>
      <c r="D5" s="3" t="s">
        <v>181</v>
      </c>
      <c r="E5" s="3" t="s">
        <v>859</v>
      </c>
      <c r="F5" s="3" t="s">
        <v>14010</v>
      </c>
      <c r="G5" s="5">
        <v>46204.583333333336</v>
      </c>
      <c r="H5" s="3" t="s">
        <v>95</v>
      </c>
      <c r="I5" s="7">
        <f>_xlfn.IFNA(IF(((INDEX(EvaluationContexts!D2:D2, MATCH(H5,EvaluationContexts!A2:A2, 0))="")=TRUE),  "",  INDEX(EvaluationContexts!D2:D2, MATCH(H5,EvaluationContexts!A2:A2, 0))), "")</f>
        <v>46222.75</v>
      </c>
      <c r="J5" s="6">
        <f>IF((IF(((OR((((I5)="")=TRUE), (((G5)="")=TRUE)))=TRUE),  0,  (INT(I5) - INT(G5))))="", "", ROUND((IF(((OR((((I5)="")=TRUE), (((G5)="")=TRUE)))=TRUE),  0,  (INT(I5) - INT(G5)))), 0))</f>
        <v>18</v>
      </c>
      <c r="K5" s="4" t="b">
        <f>AND(((NOT(((F5 = "Rarely")=TRUE)))=TRUE), ((J5 &lt;= 180)=TRUE))</f>
        <v>1</v>
      </c>
      <c r="L5" s="4" t="b">
        <f>_xlfn.IFNA(IF(((INDEX(Agents!I2:I12, MATCH(D5,Agents!A2:A12, 0))="")=TRUE),  "",  INDEX(Agents!I2:I12, MATCH(D5,Agents!A2:A12, 0))), "")</f>
        <v>0</v>
      </c>
      <c r="M5" s="4" t="b">
        <f>AND(((K5)=TRUE), ((NOT(((L5)=TRUE)))=TRUE))</f>
        <v>1</v>
      </c>
      <c r="N5" s="4" t="str">
        <f>IF(((K5)=TRUE),  D5,  "")</f>
        <v>jordan-park</v>
      </c>
      <c r="O5" s="4" t="str">
        <f>IF(((M5)=TRUE),  D5,  "")</f>
        <v>jordan-park</v>
      </c>
      <c r="P5" s="3" t="s">
        <v>1902</v>
      </c>
    </row>
    <row r="6">
      <c r="A6" s="3" t="s">
        <v>14015</v>
      </c>
      <c r="B6" s="4" t="str">
        <f>C6 &amp; " -&gt; " &amp; D6</f>
        <v>noah-williams -&gt; elena-garcia</v>
      </c>
      <c r="C6" s="3" t="s">
        <v>157</v>
      </c>
      <c r="D6" s="3" t="s">
        <v>153</v>
      </c>
      <c r="E6" s="3" t="s">
        <v>897</v>
      </c>
      <c r="F6" s="3" t="s">
        <v>14016</v>
      </c>
      <c r="G6" s="5">
        <v>45658.583333333336</v>
      </c>
      <c r="H6" s="3" t="s">
        <v>95</v>
      </c>
      <c r="I6" s="7">
        <f>_xlfn.IFNA(IF(((INDEX(EvaluationContexts!D2:D2, MATCH(H6,EvaluationContexts!A2:A2, 0))="")=TRUE),  "",  INDEX(EvaluationContexts!D2:D2, MATCH(H6,EvaluationContexts!A2:A2, 0))), "")</f>
        <v>46222.75</v>
      </c>
      <c r="J6" s="6">
        <f>IF((IF(((OR((((I6)="")=TRUE), (((G6)="")=TRUE)))=TRUE),  0,  (INT(I6) - INT(G6))))="", "", ROUND((IF(((OR((((I6)="")=TRUE), (((G6)="")=TRUE)))=TRUE),  0,  (INT(I6) - INT(G6)))), 0))</f>
        <v>564</v>
      </c>
      <c r="K6" s="4" t="b">
        <f>AND(((NOT(((F6 = "Rarely")=TRUE)))=TRUE), ((J6 &lt;= 180)=TRUE))</f>
        <v>0</v>
      </c>
      <c r="L6" s="4" t="b">
        <f>_xlfn.IFNA(IF(((INDEX(Agents!I2:I12, MATCH(D6,Agents!A2:A12, 0))="")=TRUE),  "",  INDEX(Agents!I2:I12, MATCH(D6,Agents!A2:A12, 0))), "")</f>
        <v>1</v>
      </c>
      <c r="M6" s="4" t="b">
        <f>AND(((K6)=TRUE), ((NOT(((L6)=TRUE)))=TRUE))</f>
        <v>0</v>
      </c>
      <c r="N6" s="4" t="str">
        <f>IF(((K6)=TRUE),  D6,  "")</f>
      </c>
      <c r="O6" s="4" t="str">
        <f>IF(((M6)=TRUE),  D6,  "")</f>
      </c>
      <c r="P6" s="3" t="s">
        <v>1902</v>
      </c>
    </row>
  </sheetData>
  <autoFilter ref="A1:P1"/>
  <headerFooter/>
  <legacyDrawing r:id="rId1"/>
</worksheet>
</file>

<file path=xl/worksheets/sheet8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T9"/>
  <sheetViews>
    <sheetView workbookViewId="0">
      <pane ySplit="1" topLeftCell="A2" state="frozen" activePane="bottomLeft"/>
      <selection pane="bottomLeft" activeCell="A1" sqref="A1"/>
    </sheetView>
  </sheetViews>
  <sheetFormatPr defaultRowHeight="15"/>
  <cols>
    <col min="1" max="1" width="26.533050537109375" customWidth="1"/>
    <col min="2" max="2" width="22.93600082397461" customWidth="1"/>
    <col min="3" max="3" width="22.93600082397461" customWidth="1"/>
    <col min="4" max="4" width="28.44084358215332" customWidth="1"/>
    <col min="5" max="5" width="27.24659538269043" customWidth="1"/>
    <col min="6" max="6" width="55.47088623046875" customWidth="1"/>
    <col min="7" max="7" width="256" customWidth="1"/>
    <col min="8" max="8" width="17.443378448486328" customWidth="1"/>
    <col min="9" max="9" width="17.443378448486328" customWidth="1"/>
    <col min="10" max="10" width="17.443378448486328" customWidth="1"/>
    <col min="11" max="11" width="17.443378448486328" customWidth="1"/>
    <col min="12" max="12" width="17.623083114624023" customWidth="1"/>
    <col min="13" max="13" width="17.88685417175293" customWidth="1"/>
    <col min="14" max="14" width="20.716821670532227" customWidth="1"/>
    <col min="15" max="15" width="17.443378448486328" customWidth="1"/>
    <col min="16" max="16" width="17.443378448486328" customWidth="1"/>
    <col min="17" max="17" width="22.463464736938477" customWidth="1"/>
    <col min="18" max="18" width="23.2163143157959" customWidth="1"/>
    <col min="19" max="19" width="18.80973243713379" customWidth="1"/>
    <col min="20" max="20" width="50.0574951171875" customWidth="1"/>
  </cols>
  <sheetData>
    <row r="1">
      <c r="A1" s="2" t="s">
        <v>5771</v>
      </c>
      <c r="B1" s="2" t="s">
        <v>1</v>
      </c>
      <c r="C1" s="2" t="s">
        <v>19</v>
      </c>
      <c r="D1" s="2" t="s">
        <v>5775</v>
      </c>
      <c r="E1" s="2" t="s">
        <v>5777</v>
      </c>
      <c r="F1" s="2" t="s">
        <v>5779</v>
      </c>
      <c r="G1" s="2" t="s">
        <v>5781</v>
      </c>
      <c r="H1" s="2" t="s">
        <v>253</v>
      </c>
      <c r="I1" s="2" t="s">
        <v>5281</v>
      </c>
      <c r="J1" s="2" t="s">
        <v>5785</v>
      </c>
      <c r="K1" s="2" t="s">
        <v>5788</v>
      </c>
      <c r="L1" s="2" t="s">
        <v>5791</v>
      </c>
      <c r="M1" s="2" t="s">
        <v>5794</v>
      </c>
      <c r="N1" s="2" t="s">
        <v>5797</v>
      </c>
      <c r="O1" s="2" t="s">
        <v>5800</v>
      </c>
      <c r="P1" s="2" t="s">
        <v>5803</v>
      </c>
      <c r="Q1" s="2" t="s">
        <v>5806</v>
      </c>
      <c r="R1" s="2" t="s">
        <v>5809</v>
      </c>
      <c r="S1" s="2" t="s">
        <v>5812</v>
      </c>
      <c r="T1" s="2" t="s">
        <v>94</v>
      </c>
    </row>
    <row r="2">
      <c r="A2" s="3" t="s">
        <v>14017</v>
      </c>
      <c r="B2" s="4" t="str">
        <f>C2</f>
        <v>compile-rulebook</v>
      </c>
      <c r="C2" s="3" t="s">
        <v>14017</v>
      </c>
      <c r="D2" s="3" t="s">
        <v>14017</v>
      </c>
      <c r="E2" s="3" t="s">
        <v>14018</v>
      </c>
      <c r="F2" s="3" t="s">
        <v>14019</v>
      </c>
      <c r="G2" s="3" t="s">
        <v>14020</v>
      </c>
      <c r="H2" s="3" t="s">
        <v>14021</v>
      </c>
      <c r="I2" s="3">
        <v>0</v>
      </c>
      <c r="J2" s="4" t="b">
        <f>H2 = "graded"</f>
        <v>0</v>
      </c>
      <c r="K2" s="4">
        <f>COUNTIFS(SubstrateRunScores!D2:D29, A2)</f>
        <v>0</v>
      </c>
      <c r="L2" s="4">
        <f>SUMIFS(SubstrateRunScores!W2:W29,SubstrateRunScores!D2:D29, A2)</f>
        <v>0</v>
      </c>
      <c r="M2" s="4">
        <f>SUMIFS(SubstrateRunScores!X2:X29,SubstrateRunScores!D2:D29, A2)</f>
        <v>0</v>
      </c>
      <c r="N2" s="4">
        <f>SUMIFS(SubstrateRunScores!Y2:Y29,SubstrateRunScores!D2:D29, A2)</f>
        <v>0</v>
      </c>
      <c r="O2" s="4">
        <f>L2 - M2</f>
        <v>0</v>
      </c>
      <c r="P2" s="4">
        <f>IF(((L2 = 0)=TRUE),  0,  ROUND(100 * M2 / L2, 2))</f>
        <v>0</v>
      </c>
      <c r="Q2" s="4">
        <f>COUNTIFS(FieldDisagreements!C2:C50, A2)</f>
        <v>0</v>
      </c>
      <c r="R2" s="4">
        <f>COUNTIFS(TableConformance!N2:N624, A2)</f>
        <v>0</v>
      </c>
      <c r="S2" s="4" t="b">
        <f>AND(((L2 &gt; 0)=TRUE), ((O2 = 0)=TRUE), ((N2 = 0)=TRUE))</f>
        <v>0</v>
      </c>
      <c r="T2" s="3" t="s">
        <v>1906</v>
      </c>
    </row>
    <row r="3">
      <c r="A3" s="3" t="s">
        <v>14022</v>
      </c>
      <c r="B3" s="4" t="str">
        <f>C3</f>
        <v>PostgreSQL</v>
      </c>
      <c r="C3" s="3" t="s">
        <v>14023</v>
      </c>
      <c r="D3" s="3" t="s">
        <v>14024</v>
      </c>
      <c r="E3" s="3" t="s">
        <v>14025</v>
      </c>
      <c r="F3" s="3" t="s">
        <v>14026</v>
      </c>
      <c r="G3" s="3" t="s">
        <v>14027</v>
      </c>
      <c r="H3" s="3" t="s">
        <v>14028</v>
      </c>
      <c r="I3" s="3">
        <v>1</v>
      </c>
      <c r="J3" s="4" t="b">
        <f>H3 = "graded"</f>
        <v>1</v>
      </c>
      <c r="K3" s="4">
        <f>COUNTIFS(SubstrateRunScores!D2:D29, A3)</f>
        <v>4</v>
      </c>
      <c r="L3" s="4">
        <f>SUMIFS(SubstrateRunScores!W2:W29,SubstrateRunScores!D2:D29, A3)</f>
        <v>67447</v>
      </c>
      <c r="M3" s="4">
        <f>SUMIFS(SubstrateRunScores!X2:X29,SubstrateRunScores!D2:D29, A3)</f>
        <v>67447</v>
      </c>
      <c r="N3" s="4">
        <f>SUMIFS(SubstrateRunScores!Y2:Y29,SubstrateRunScores!D2:D29, A3)</f>
        <v>0</v>
      </c>
      <c r="O3" s="4">
        <f>L3 - M3</f>
        <v>0</v>
      </c>
      <c r="P3" s="4">
        <f>IF(((L3 = 0)=TRUE),  0,  ROUND(100 * M3 / L3, 2))</f>
        <v>100</v>
      </c>
      <c r="Q3" s="4">
        <f>COUNTIFS(FieldDisagreements!C2:C50, A3)</f>
        <v>0</v>
      </c>
      <c r="R3" s="4">
        <f>COUNTIFS(TableConformance!N2:N624, A3)</f>
        <v>0</v>
      </c>
      <c r="S3" s="4" t="b">
        <f>AND(((L3 &gt; 0)=TRUE), ((O3 = 0)=TRUE), ((N3 = 0)=TRUE))</f>
        <v>1</v>
      </c>
      <c r="T3" s="3" t="s">
        <v>1906</v>
      </c>
    </row>
    <row r="4">
      <c r="A4" s="3" t="s">
        <v>14029</v>
      </c>
      <c r="B4" s="4" t="str">
        <f>C4</f>
        <v>Python</v>
      </c>
      <c r="C4" s="3" t="s">
        <v>14030</v>
      </c>
      <c r="D4" s="3" t="s">
        <v>14031</v>
      </c>
      <c r="E4" s="3" t="s">
        <v>14032</v>
      </c>
      <c r="F4" s="3" t="s">
        <v>14033</v>
      </c>
      <c r="G4" s="3" t="s">
        <v>14034</v>
      </c>
      <c r="H4" s="3" t="s">
        <v>14028</v>
      </c>
      <c r="I4" s="3">
        <v>2</v>
      </c>
      <c r="J4" s="4" t="b">
        <f>H4 = "graded"</f>
        <v>1</v>
      </c>
      <c r="K4" s="4">
        <f>COUNTIFS(SubstrateRunScores!D2:D29, A4)</f>
        <v>4</v>
      </c>
      <c r="L4" s="4">
        <f>SUMIFS(SubstrateRunScores!W2:W29,SubstrateRunScores!D2:D29, A4)</f>
        <v>67447</v>
      </c>
      <c r="M4" s="4">
        <f>SUMIFS(SubstrateRunScores!X2:X29,SubstrateRunScores!D2:D29, A4)</f>
        <v>67447</v>
      </c>
      <c r="N4" s="4">
        <f>SUMIFS(SubstrateRunScores!Y2:Y29,SubstrateRunScores!D2:D29, A4)</f>
        <v>0</v>
      </c>
      <c r="O4" s="4">
        <f>L4 - M4</f>
        <v>0</v>
      </c>
      <c r="P4" s="4">
        <f>IF(((L4 = 0)=TRUE),  0,  ROUND(100 * M4 / L4, 2))</f>
        <v>100</v>
      </c>
      <c r="Q4" s="4">
        <f>COUNTIFS(FieldDisagreements!C2:C50, A4)</f>
        <v>0</v>
      </c>
      <c r="R4" s="4">
        <f>COUNTIFS(TableConformance!N2:N624, A4)</f>
        <v>0</v>
      </c>
      <c r="S4" s="4" t="b">
        <f>AND(((L4 &gt; 0)=TRUE), ((O4 = 0)=TRUE), ((N4 = 0)=TRUE))</f>
        <v>1</v>
      </c>
      <c r="T4" s="3" t="s">
        <v>1906</v>
      </c>
    </row>
    <row r="5">
      <c r="A5" s="3" t="s">
        <v>14035</v>
      </c>
      <c r="B5" s="4" t="str">
        <f>C5</f>
        <v>Go</v>
      </c>
      <c r="C5" s="3" t="s">
        <v>14036</v>
      </c>
      <c r="D5" s="3" t="s">
        <v>14037</v>
      </c>
      <c r="E5" s="3" t="s">
        <v>14038</v>
      </c>
      <c r="F5" s="3" t="s">
        <v>14039</v>
      </c>
      <c r="G5" s="3" t="s">
        <v>14040</v>
      </c>
      <c r="H5" s="3" t="s">
        <v>14028</v>
      </c>
      <c r="I5" s="3">
        <v>3</v>
      </c>
      <c r="J5" s="4" t="b">
        <f>H5 = "graded"</f>
        <v>1</v>
      </c>
      <c r="K5" s="4">
        <f>COUNTIFS(SubstrateRunScores!D2:D29, A5)</f>
        <v>4</v>
      </c>
      <c r="L5" s="4">
        <f>SUMIFS(SubstrateRunScores!W2:W29,SubstrateRunScores!D2:D29, A5)</f>
        <v>67447</v>
      </c>
      <c r="M5" s="4">
        <f>SUMIFS(SubstrateRunScores!X2:X29,SubstrateRunScores!D2:D29, A5)</f>
        <v>67447</v>
      </c>
      <c r="N5" s="4">
        <f>SUMIFS(SubstrateRunScores!Y2:Y29,SubstrateRunScores!D2:D29, A5)</f>
        <v>0</v>
      </c>
      <c r="O5" s="4">
        <f>L5 - M5</f>
        <v>0</v>
      </c>
      <c r="P5" s="4">
        <f>IF(((L5 = 0)=TRUE),  0,  ROUND(100 * M5 / L5, 2))</f>
        <v>100</v>
      </c>
      <c r="Q5" s="4">
        <f>COUNTIFS(FieldDisagreements!C2:C50, A5)</f>
        <v>0</v>
      </c>
      <c r="R5" s="4">
        <f>COUNTIFS(TableConformance!N2:N624, A5)</f>
        <v>0</v>
      </c>
      <c r="S5" s="4" t="b">
        <f>AND(((L5 &gt; 0)=TRUE), ((O5 = 0)=TRUE), ((N5 = 0)=TRUE))</f>
        <v>1</v>
      </c>
      <c r="T5" s="3" t="s">
        <v>1906</v>
      </c>
    </row>
    <row r="6">
      <c r="A6" s="3" t="s">
        <v>14041</v>
      </c>
      <c r="B6" s="4" t="str">
        <f>C6</f>
        <v>TypeScript</v>
      </c>
      <c r="C6" s="3" t="s">
        <v>14042</v>
      </c>
      <c r="D6" s="3" t="s">
        <v>14043</v>
      </c>
      <c r="E6" s="3" t="s">
        <v>14044</v>
      </c>
      <c r="F6" s="3" t="s">
        <v>14045</v>
      </c>
      <c r="G6" s="3" t="s">
        <v>14046</v>
      </c>
      <c r="H6" s="3" t="s">
        <v>14028</v>
      </c>
      <c r="I6" s="3">
        <v>4</v>
      </c>
      <c r="J6" s="4" t="b">
        <f>H6 = "graded"</f>
        <v>1</v>
      </c>
      <c r="K6" s="4">
        <f>COUNTIFS(SubstrateRunScores!D2:D29, A6)</f>
        <v>4</v>
      </c>
      <c r="L6" s="4">
        <f>SUMIFS(SubstrateRunScores!W2:W29,SubstrateRunScores!D2:D29, A6)</f>
        <v>67447</v>
      </c>
      <c r="M6" s="4">
        <f>SUMIFS(SubstrateRunScores!X2:X29,SubstrateRunScores!D2:D29, A6)</f>
        <v>67447</v>
      </c>
      <c r="N6" s="4">
        <f>SUMIFS(SubstrateRunScores!Y2:Y29,SubstrateRunScores!D2:D29, A6)</f>
        <v>0</v>
      </c>
      <c r="O6" s="4">
        <f>L6 - M6</f>
        <v>0</v>
      </c>
      <c r="P6" s="4">
        <f>IF(((L6 = 0)=TRUE),  0,  ROUND(100 * M6 / L6, 2))</f>
        <v>100</v>
      </c>
      <c r="Q6" s="4">
        <f>COUNTIFS(FieldDisagreements!C2:C50, A6)</f>
        <v>0</v>
      </c>
      <c r="R6" s="4">
        <f>COUNTIFS(TableConformance!N2:N624, A6)</f>
        <v>0</v>
      </c>
      <c r="S6" s="4" t="b">
        <f>AND(((L6 &gt; 0)=TRUE), ((O6 = 0)=TRUE), ((N6 = 0)=TRUE))</f>
        <v>1</v>
      </c>
      <c r="T6" s="3" t="s">
        <v>1906</v>
      </c>
    </row>
    <row r="7">
      <c r="A7" s="3" t="s">
        <v>14047</v>
      </c>
      <c r="B7" s="4" t="str">
        <f>C7</f>
        <v>C# / Entity Framework</v>
      </c>
      <c r="C7" s="3" t="s">
        <v>14048</v>
      </c>
      <c r="D7" s="3" t="s">
        <v>14049</v>
      </c>
      <c r="E7" s="3" t="s">
        <v>14050</v>
      </c>
      <c r="F7" s="3" t="s">
        <v>14051</v>
      </c>
      <c r="G7" s="3" t="s">
        <v>14052</v>
      </c>
      <c r="H7" s="3" t="s">
        <v>14028</v>
      </c>
      <c r="I7" s="3">
        <v>5</v>
      </c>
      <c r="J7" s="4" t="b">
        <f>H7 = "graded"</f>
        <v>1</v>
      </c>
      <c r="K7" s="4">
        <f>COUNTIFS(SubstrateRunScores!D2:D29, A7)</f>
        <v>4</v>
      </c>
      <c r="L7" s="4">
        <f>SUMIFS(SubstrateRunScores!W2:W29,SubstrateRunScores!D2:D29, A7)</f>
        <v>67447</v>
      </c>
      <c r="M7" s="4">
        <f>SUMIFS(SubstrateRunScores!X2:X29,SubstrateRunScores!D2:D29, A7)</f>
        <v>67447</v>
      </c>
      <c r="N7" s="4">
        <f>SUMIFS(SubstrateRunScores!Y2:Y29,SubstrateRunScores!D2:D29, A7)</f>
        <v>0</v>
      </c>
      <c r="O7" s="4">
        <f>L7 - M7</f>
        <v>0</v>
      </c>
      <c r="P7" s="4">
        <f>IF(((L7 = 0)=TRUE),  0,  ROUND(100 * M7 / L7, 2))</f>
        <v>100</v>
      </c>
      <c r="Q7" s="4">
        <f>COUNTIFS(FieldDisagreements!C2:C50, A7)</f>
        <v>0</v>
      </c>
      <c r="R7" s="4">
        <f>COUNTIFS(TableConformance!N2:N624, A7)</f>
        <v>0</v>
      </c>
      <c r="S7" s="4" t="b">
        <f>AND(((L7 &gt; 0)=TRUE), ((O7 = 0)=TRUE), ((N7 = 0)=TRUE))</f>
        <v>1</v>
      </c>
      <c r="T7" s="3" t="s">
        <v>1906</v>
      </c>
    </row>
    <row r="8">
      <c r="A8" s="3" t="s">
        <v>14053</v>
      </c>
      <c r="B8" s="4" t="str">
        <f>C8</f>
        <v>Excel</v>
      </c>
      <c r="C8" s="3" t="s">
        <v>14054</v>
      </c>
      <c r="D8" s="3" t="s">
        <v>14055</v>
      </c>
      <c r="E8" s="3" t="s">
        <v>14056</v>
      </c>
      <c r="F8" s="3" t="s">
        <v>14057</v>
      </c>
      <c r="G8" s="3" t="s">
        <v>14058</v>
      </c>
      <c r="H8" s="3" t="s">
        <v>14028</v>
      </c>
      <c r="I8" s="3">
        <v>6</v>
      </c>
      <c r="J8" s="4" t="b">
        <f>H8 = "graded"</f>
        <v>1</v>
      </c>
      <c r="K8" s="4">
        <f>COUNTIFS(SubstrateRunScores!D2:D29, A8)</f>
        <v>4</v>
      </c>
      <c r="L8" s="4">
        <f>SUMIFS(SubstrateRunScores!W2:W29,SubstrateRunScores!D2:D29, A8)</f>
        <v>67447</v>
      </c>
      <c r="M8" s="4">
        <f>SUMIFS(SubstrateRunScores!X2:X29,SubstrateRunScores!D2:D29, A8)</f>
        <v>67242</v>
      </c>
      <c r="N8" s="4">
        <f>SUMIFS(SubstrateRunScores!Y2:Y29,SubstrateRunScores!D2:D29, A8)</f>
        <v>0</v>
      </c>
      <c r="O8" s="4">
        <f>L8 - M8</f>
        <v>205</v>
      </c>
      <c r="P8" s="4">
        <f>IF(((L8 = 0)=TRUE),  0,  ROUND(100 * M8 / L8, 2))</f>
        <v>99.7</v>
      </c>
      <c r="Q8" s="4">
        <f>COUNTIFS(FieldDisagreements!C2:C50, A8)</f>
        <v>27</v>
      </c>
      <c r="R8" s="4">
        <f>COUNTIFS(TableConformance!N2:N624, A8)</f>
        <v>8</v>
      </c>
      <c r="S8" s="4" t="b">
        <f>AND(((L8 &gt; 0)=TRUE), ((O8 = 0)=TRUE), ((N8 = 0)=TRUE))</f>
        <v>0</v>
      </c>
      <c r="T8" s="3" t="s">
        <v>1906</v>
      </c>
    </row>
    <row r="9">
      <c r="A9" s="3" t="s">
        <v>14059</v>
      </c>
      <c r="B9" s="4" t="str">
        <f>C9</f>
        <v>OWL / SHACL</v>
      </c>
      <c r="C9" s="3" t="s">
        <v>14060</v>
      </c>
      <c r="D9" s="3" t="s">
        <v>14061</v>
      </c>
      <c r="E9" s="3" t="s">
        <v>14062</v>
      </c>
      <c r="F9" s="3" t="s">
        <v>14063</v>
      </c>
      <c r="G9" s="3" t="s">
        <v>14064</v>
      </c>
      <c r="H9" s="3" t="s">
        <v>14028</v>
      </c>
      <c r="I9" s="3">
        <v>7</v>
      </c>
      <c r="J9" s="4" t="b">
        <f>H9 = "graded"</f>
        <v>1</v>
      </c>
      <c r="K9" s="4">
        <f>COUNTIFS(SubstrateRunScores!D2:D29, A9)</f>
        <v>4</v>
      </c>
      <c r="L9" s="4">
        <f>SUMIFS(SubstrateRunScores!W2:W29,SubstrateRunScores!D2:D29, A9)</f>
        <v>67447</v>
      </c>
      <c r="M9" s="4">
        <f>SUMIFS(SubstrateRunScores!X2:X29,SubstrateRunScores!D2:D29, A9)</f>
        <v>67017</v>
      </c>
      <c r="N9" s="4">
        <f>SUMIFS(SubstrateRunScores!Y2:Y29,SubstrateRunScores!D2:D29, A9)</f>
        <v>0</v>
      </c>
      <c r="O9" s="4">
        <f>L9 - M9</f>
        <v>430</v>
      </c>
      <c r="P9" s="4">
        <f>IF(((L9 = 0)=TRUE),  0,  ROUND(100 * M9 / L9, 2))</f>
        <v>99.36</v>
      </c>
      <c r="Q9" s="4">
        <f>COUNTIFS(FieldDisagreements!C2:C50, A9)</f>
        <v>22</v>
      </c>
      <c r="R9" s="4">
        <f>COUNTIFS(TableConformance!N2:N624, A9)</f>
        <v>9</v>
      </c>
      <c r="S9" s="4" t="b">
        <f>AND(((L9 &gt; 0)=TRUE), ((O9 = 0)=TRUE), ((N9 = 0)=TRUE))</f>
        <v>0</v>
      </c>
      <c r="T9" s="3" t="s">
        <v>1906</v>
      </c>
    </row>
  </sheetData>
  <autoFilter ref="A1:T1"/>
  <headerFooter/>
  <legacyDrawing r:id="rId1"/>
</worksheet>
</file>

<file path=xl/worksheets/sheet9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5"/>
  <sheetViews>
    <sheetView workbookViewId="0">
      <pane ySplit="1" topLeftCell="A2" state="frozen" activePane="bottomLeft"/>
      <selection pane="bottomLeft" activeCell="A1" sqref="A1"/>
    </sheetView>
  </sheetViews>
  <sheetFormatPr defaultRowHeight="15"/>
  <cols>
    <col min="1" max="1" width="23.239910125732422" customWidth="1"/>
    <col min="2" max="2" width="23.239910125732422" customWidth="1"/>
    <col min="3" max="3" width="23.46630859375" customWidth="1"/>
    <col min="4" max="4" width="17.478349685668945" customWidth="1"/>
    <col min="5" max="5" width="18.320735931396484" customWidth="1"/>
    <col min="6" max="6" width="17.443378448486328" customWidth="1"/>
    <col min="7" max="7" width="256" customWidth="1"/>
    <col min="8" max="8" width="17.443378448486328" customWidth="1"/>
    <col min="9" max="9" width="22.719751358032227" customWidth="1"/>
    <col min="10" max="10" width="17.443378448486328" customWidth="1"/>
    <col min="11" max="11" width="17.443378448486328" customWidth="1"/>
    <col min="12" max="12" width="17.443378448486328" customWidth="1"/>
    <col min="13" max="13" width="17.443378448486328" customWidth="1"/>
    <col min="14" max="14" width="25.16436195373535" customWidth="1"/>
    <col min="15" max="15" width="18.80973243713379" customWidth="1"/>
    <col min="16" max="16" width="44.88669204711914" customWidth="1"/>
  </cols>
  <sheetData>
    <row r="1">
      <c r="A1" s="2" t="s">
        <v>5816</v>
      </c>
      <c r="B1" s="2" t="s">
        <v>1</v>
      </c>
      <c r="C1" s="2" t="s">
        <v>5820</v>
      </c>
      <c r="D1" s="2" t="s">
        <v>5822</v>
      </c>
      <c r="E1" s="2" t="s">
        <v>5824</v>
      </c>
      <c r="F1" s="2" t="s">
        <v>5826</v>
      </c>
      <c r="G1" s="2" t="s">
        <v>1760</v>
      </c>
      <c r="H1" s="2" t="s">
        <v>5829</v>
      </c>
      <c r="I1" s="2" t="s">
        <v>5832</v>
      </c>
      <c r="J1" s="2" t="s">
        <v>5835</v>
      </c>
      <c r="K1" s="2" t="s">
        <v>5838</v>
      </c>
      <c r="L1" s="2" t="s">
        <v>5841</v>
      </c>
      <c r="M1" s="2" t="s">
        <v>5844</v>
      </c>
      <c r="N1" s="2" t="s">
        <v>5847</v>
      </c>
      <c r="O1" s="2" t="s">
        <v>5812</v>
      </c>
      <c r="P1" s="2" t="s">
        <v>94</v>
      </c>
    </row>
    <row r="2">
      <c r="A2" s="3" t="s">
        <v>14065</v>
      </c>
      <c r="B2" s="4" t="str">
        <f>A2</f>
        <v>run-20260913-165336</v>
      </c>
      <c r="C2" s="5">
        <v>46278.91222222222</v>
      </c>
      <c r="D2" s="3" t="s">
        <v>14066</v>
      </c>
      <c r="E2" s="3" t="s">
        <v>14017</v>
      </c>
      <c r="F2" s="3" t="b">
        <v>0</v>
      </c>
      <c r="G2" s="3" t="s">
        <v>14067</v>
      </c>
      <c r="H2" s="4">
        <f>COUNTIFS(SubstrateRunScores!C2:C29, A2)</f>
        <v>7</v>
      </c>
      <c r="I2" s="4">
        <f>COUNTIFS(SubstrateRunScores!U2:U29, A2)</f>
        <v>0</v>
      </c>
      <c r="J2" s="4">
        <f>SUMIFS(SubstrateRunScores!G2:G29,SubstrateRunScores!C2:C29, A2)</f>
        <v>419146</v>
      </c>
      <c r="K2" s="4">
        <f>SUMIFS(SubstrateRunScores!H2:H29,SubstrateRunScores!C2:C29, A2)</f>
        <v>412274</v>
      </c>
      <c r="L2" s="4">
        <f>J2 - K2</f>
        <v>6872</v>
      </c>
      <c r="M2" s="4">
        <f>IF(((J2 = 0)=TRUE),  0,  ROUND(100 * K2 / J2, 2))</f>
        <v>98.36</v>
      </c>
      <c r="N2" s="4">
        <f>H2 - I2</f>
        <v>7</v>
      </c>
      <c r="O2" s="4" t="b">
        <f>AND(((H2 &gt; 0)=TRUE), ((N2 = 0)=TRUE))</f>
        <v>0</v>
      </c>
      <c r="P2" s="3" t="s">
        <v>1910</v>
      </c>
    </row>
    <row r="3">
      <c r="A3" s="3" t="s">
        <v>14068</v>
      </c>
      <c r="B3" s="4" t="str">
        <f>A3</f>
        <v>run-20260913-203118</v>
      </c>
      <c r="C3" s="5">
        <v>46279.06340277778</v>
      </c>
      <c r="D3" s="3" t="s">
        <v>14069</v>
      </c>
      <c r="E3" s="3" t="s">
        <v>14017</v>
      </c>
      <c r="F3" s="3" t="b">
        <v>0</v>
      </c>
      <c r="G3" s="3" t="s">
        <v>14070</v>
      </c>
      <c r="H3" s="4">
        <f>COUNTIFS(SubstrateRunScores!C2:C29, A3)</f>
        <v>7</v>
      </c>
      <c r="I3" s="4">
        <f>COUNTIFS(SubstrateRunScores!U2:U29, A3)</f>
        <v>0</v>
      </c>
      <c r="J3" s="4">
        <f>SUMIFS(SubstrateRunScores!G2:G29,SubstrateRunScores!C2:C29, A3)</f>
        <v>508137</v>
      </c>
      <c r="K3" s="4">
        <f>SUMIFS(SubstrateRunScores!H2:H29,SubstrateRunScores!C2:C29, A3)</f>
        <v>498748</v>
      </c>
      <c r="L3" s="4">
        <f>J3 - K3</f>
        <v>9389</v>
      </c>
      <c r="M3" s="4">
        <f>IF(((J3 = 0)=TRUE),  0,  ROUND(100 * K3 / J3, 2))</f>
        <v>98.15</v>
      </c>
      <c r="N3" s="4">
        <f>H3 - I3</f>
        <v>7</v>
      </c>
      <c r="O3" s="4" t="b">
        <f>AND(((H3 &gt; 0)=TRUE), ((N3 = 0)=TRUE))</f>
        <v>0</v>
      </c>
      <c r="P3" s="3" t="s">
        <v>1910</v>
      </c>
    </row>
    <row r="4">
      <c r="A4" s="3" t="s">
        <v>14071</v>
      </c>
      <c r="B4" s="4" t="str">
        <f>A4</f>
        <v>run-20260914-083430</v>
      </c>
      <c r="C4" s="5">
        <v>46279.565625</v>
      </c>
      <c r="D4" s="3" t="s">
        <v>14072</v>
      </c>
      <c r="E4" s="3" t="s">
        <v>14017</v>
      </c>
      <c r="F4" s="3" t="b">
        <v>0</v>
      </c>
      <c r="G4" s="3" t="s">
        <v>14073</v>
      </c>
      <c r="H4" s="4">
        <f>COUNTIFS(SubstrateRunScores!C2:C29, A4)</f>
        <v>7</v>
      </c>
      <c r="I4" s="4">
        <f>COUNTIFS(SubstrateRunScores!U2:U29, A4)</f>
        <v>4</v>
      </c>
      <c r="J4" s="4">
        <f>SUMIFS(SubstrateRunScores!G2:G29,SubstrateRunScores!C2:C29, A4)</f>
        <v>518238</v>
      </c>
      <c r="K4" s="4">
        <f>SUMIFS(SubstrateRunScores!H2:H29,SubstrateRunScores!C2:C29, A4)</f>
        <v>515942</v>
      </c>
      <c r="L4" s="4">
        <f>J4 - K4</f>
        <v>2296</v>
      </c>
      <c r="M4" s="4">
        <f>IF(((J4 = 0)=TRUE),  0,  ROUND(100 * K4 / J4, 2))</f>
        <v>99.56</v>
      </c>
      <c r="N4" s="4">
        <f>H4 - I4</f>
        <v>3</v>
      </c>
      <c r="O4" s="4" t="b">
        <f>AND(((H4 &gt; 0)=TRUE), ((N4 = 0)=TRUE))</f>
        <v>0</v>
      </c>
      <c r="P4" s="3" t="s">
        <v>1910</v>
      </c>
    </row>
    <row r="5">
      <c r="A5" s="3" t="s">
        <v>14074</v>
      </c>
      <c r="B5" s="4" t="str">
        <f>A5</f>
        <v>run-20260914-223223</v>
      </c>
      <c r="C5" s="5">
        <v>46280.14748842592</v>
      </c>
      <c r="D5" s="3" t="s">
        <v>14075</v>
      </c>
      <c r="E5" s="3" t="s">
        <v>14017</v>
      </c>
      <c r="F5" s="3" t="b">
        <v>1</v>
      </c>
      <c r="G5" s="3" t="s">
        <v>14076</v>
      </c>
      <c r="H5" s="4">
        <f>COUNTIFS(SubstrateRunScores!C2:C29, A5)</f>
        <v>7</v>
      </c>
      <c r="I5" s="4">
        <f>COUNTIFS(SubstrateRunScores!U2:U29, A5)</f>
        <v>5</v>
      </c>
      <c r="J5" s="4">
        <f>SUMIFS(SubstrateRunScores!G2:G29,SubstrateRunScores!C2:C29, A5)</f>
        <v>472129</v>
      </c>
      <c r="K5" s="4">
        <f>SUMIFS(SubstrateRunScores!H2:H29,SubstrateRunScores!C2:C29, A5)</f>
        <v>471494</v>
      </c>
      <c r="L5" s="4">
        <f>J5 - K5</f>
        <v>635</v>
      </c>
      <c r="M5" s="4">
        <f>IF(((J5 = 0)=TRUE),  0,  ROUND(100 * K5 / J5, 2))</f>
        <v>99.87</v>
      </c>
      <c r="N5" s="4">
        <f>H5 - I5</f>
        <v>2</v>
      </c>
      <c r="O5" s="4" t="b">
        <f>AND(((H5 &gt; 0)=TRUE), ((N5 = 0)=TRUE))</f>
        <v>0</v>
      </c>
      <c r="P5" s="3" t="s">
        <v>1910</v>
      </c>
    </row>
  </sheetData>
  <autoFilter ref="A1:P1"/>
  <headerFooter/>
  <legacyDrawing r:id="rId1"/>
</worksheet>
</file>

<file path=xl/worksheets/sheet9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A29"/>
  <sheetViews>
    <sheetView workbookViewId="0">
      <pane ySplit="1" topLeftCell="A2" state="frozen" activePane="bottomLeft"/>
      <selection pane="bottomLeft" activeCell="A1" sqref="A1"/>
    </sheetView>
  </sheetViews>
  <sheetFormatPr defaultRowHeight="15"/>
  <cols>
    <col min="1" max="1" width="49.2745246887207" customWidth="1"/>
    <col min="2" max="2" width="50.627235412597656" customWidth="1"/>
    <col min="3" max="3" width="23.239910125732422" customWidth="1"/>
    <col min="4" max="4" width="26.533050537109375" customWidth="1"/>
    <col min="5" max="5" width="17.443378448486328" customWidth="1"/>
    <col min="6" max="6" width="17.660505294799805" customWidth="1"/>
    <col min="7" max="7" width="17.443378448486328" customWidth="1"/>
    <col min="8" max="8" width="17.443378448486328" customWidth="1"/>
    <col min="9" max="9" width="17.443378448486328" customWidth="1"/>
    <col min="10" max="10" width="17.574342727661133" customWidth="1"/>
    <col min="11" max="11" width="17.443378448486328" customWidth="1"/>
    <col min="12" max="12" width="17.443378448486328" customWidth="1"/>
    <col min="13" max="13" width="19.332143783569336" customWidth="1"/>
    <col min="14" max="14" width="19.591445922851562" customWidth="1"/>
    <col min="15" max="15" width="17.443378448486328" customWidth="1"/>
    <col min="16" max="16" width="17.443378448486328" customWidth="1"/>
    <col min="17" max="17" width="17.443378448486328" customWidth="1"/>
    <col min="18" max="18" width="17.443378448486328" customWidth="1"/>
    <col min="19" max="19" width="18.36872673034668" customWidth="1"/>
    <col min="20" max="20" width="17.443378448486328" customWidth="1"/>
    <col min="21" max="21" width="23.239910125732422" customWidth="1"/>
    <col min="22" max="22" width="17.443378448486328" customWidth="1"/>
    <col min="23" max="23" width="17.623083114624023" customWidth="1"/>
    <col min="24" max="24" width="17.88685417175293" customWidth="1"/>
    <col min="25" max="25" width="17.443378448486328" customWidth="1"/>
    <col min="26" max="26" width="22.93600082397461" customWidth="1"/>
    <col min="27" max="27" width="46.42279052734375" customWidth="1"/>
  </cols>
  <sheetData>
    <row r="1">
      <c r="A1" s="2" t="s">
        <v>5853</v>
      </c>
      <c r="B1" s="2" t="s">
        <v>1</v>
      </c>
      <c r="C1" s="2" t="s">
        <v>5857</v>
      </c>
      <c r="D1" s="2" t="s">
        <v>5859</v>
      </c>
      <c r="E1" s="2" t="s">
        <v>5861</v>
      </c>
      <c r="F1" s="2" t="s">
        <v>5863</v>
      </c>
      <c r="G1" s="2" t="s">
        <v>5835</v>
      </c>
      <c r="H1" s="2" t="s">
        <v>5838</v>
      </c>
      <c r="I1" s="2" t="s">
        <v>5867</v>
      </c>
      <c r="J1" s="2" t="s">
        <v>5869</v>
      </c>
      <c r="K1" s="2" t="s">
        <v>5871</v>
      </c>
      <c r="L1" s="2" t="s">
        <v>5873</v>
      </c>
      <c r="M1" s="2" t="s">
        <v>5875</v>
      </c>
      <c r="N1" s="2" t="s">
        <v>5877</v>
      </c>
      <c r="O1" s="2" t="s">
        <v>5841</v>
      </c>
      <c r="P1" s="2" t="s">
        <v>5880</v>
      </c>
      <c r="Q1" s="2" t="s">
        <v>5882</v>
      </c>
      <c r="R1" s="2" t="s">
        <v>5885</v>
      </c>
      <c r="S1" s="2" t="s">
        <v>5888</v>
      </c>
      <c r="T1" s="2" t="s">
        <v>5891</v>
      </c>
      <c r="U1" s="2" t="s">
        <v>5894</v>
      </c>
      <c r="V1" s="2" t="s">
        <v>5897</v>
      </c>
      <c r="W1" s="2" t="s">
        <v>5791</v>
      </c>
      <c r="X1" s="2" t="s">
        <v>5794</v>
      </c>
      <c r="Y1" s="2" t="s">
        <v>5904</v>
      </c>
      <c r="Z1" s="2" t="s">
        <v>5907</v>
      </c>
      <c r="AA1" s="2" t="s">
        <v>94</v>
      </c>
    </row>
    <row r="2">
      <c r="A2" s="3" t="s">
        <v>14077</v>
      </c>
      <c r="B2" s="4" t="str">
        <f>_xlfn.CONCAT(C2, " / ", D2)</f>
        <v>run-20260913-165336 / effortless-postgres</v>
      </c>
      <c r="C2" s="3" t="s">
        <v>14065</v>
      </c>
      <c r="D2" s="3" t="s">
        <v>14022</v>
      </c>
      <c r="E2" s="3" t="s">
        <v>168</v>
      </c>
      <c r="F2" s="3">
        <v>24.1</v>
      </c>
      <c r="G2" s="3">
        <v>59878</v>
      </c>
      <c r="H2" s="3">
        <v>59763</v>
      </c>
      <c r="I2" s="3">
        <v>42928</v>
      </c>
      <c r="J2" s="3">
        <v>42816</v>
      </c>
      <c r="K2" s="3">
        <v>12929</v>
      </c>
      <c r="L2" s="3">
        <v>12926</v>
      </c>
      <c r="M2" s="3">
        <v>4021</v>
      </c>
      <c r="N2" s="3">
        <v>4021</v>
      </c>
      <c r="O2" s="4">
        <f>G2 - H2</f>
        <v>115</v>
      </c>
      <c r="P2" s="4">
        <f>IF(((G2 = 0)=TRUE),  0,  ROUND(100 * H2 / G2, 2))</f>
        <v>99.81</v>
      </c>
      <c r="Q2" s="4">
        <f>IF(((I2 = 0)=TRUE),  0,  ROUND(100 * J2 / I2, 2))</f>
        <v>99.74</v>
      </c>
      <c r="R2" s="4">
        <f>IF(((K2 = 0)=TRUE),  0,  ROUND(100 * L2 / K2, 2))</f>
        <v>99.98</v>
      </c>
      <c r="S2" s="4">
        <f>IF(((M2 = 0)=TRUE),  0,  ROUND(100 * N2 / M2, 2))</f>
        <v>100</v>
      </c>
      <c r="T2" s="4" t="b">
        <f>AND(((E2 = "")=TRUE), ((G2 &gt; 0)=TRUE), ((O2 = 0)=TRUE))</f>
        <v>0</v>
      </c>
      <c r="U2" s="4" t="str">
        <f>IF(((T2)=TRUE),  C2,  "")</f>
      </c>
      <c r="V2" s="4" t="b">
        <f>_xlfn.IFNA(IF(((INDEX(ConformanceRuns!F2:F5, MATCH(C2,ConformanceRuns!A2:A5, 0))="")=TRUE),  "",  INDEX(ConformanceRuns!F2:F5, MATCH(C2,ConformanceRuns!A2:A5, 0))), "")</f>
        <v>0</v>
      </c>
      <c r="W2" s="4">
        <f>IF(((V2)=TRUE),  G2,  0)</f>
        <v>0</v>
      </c>
      <c r="X2" s="4">
        <f>IF(((V2)=TRUE),  H2,  0)</f>
        <v>0</v>
      </c>
      <c r="Y2" s="4">
        <f>IF(((AND(((V2)=TRUE), ((E2 &lt;&gt; "")=TRUE)))=TRUE),  1,  0)</f>
        <v>0</v>
      </c>
      <c r="Z2" s="4" t="str">
        <f>_xlfn.IFNA(IF(((INDEX(ConformanceSubstrates!C2:C9, MATCH(D2,ConformanceSubstrates!A2:A9, 0))="")=TRUE),  "",  INDEX(ConformanceSubstrates!C2:C9, MATCH(D2,ConformanceSubstrates!A2:A9, 0))), "")</f>
        <v>PostgreSQL</v>
      </c>
      <c r="AA2" s="3" t="s">
        <v>1914</v>
      </c>
    </row>
    <row r="3">
      <c r="A3" s="3" t="s">
        <v>14078</v>
      </c>
      <c r="B3" s="4" t="str">
        <f>_xlfn.CONCAT(C3, " / ", D3)</f>
        <v>run-20260913-165336 / effortless-xlsx</v>
      </c>
      <c r="C3" s="3" t="s">
        <v>14065</v>
      </c>
      <c r="D3" s="3" t="s">
        <v>14053</v>
      </c>
      <c r="E3" s="3" t="s">
        <v>168</v>
      </c>
      <c r="F3" s="3">
        <v>1.3</v>
      </c>
      <c r="G3" s="3">
        <v>59878</v>
      </c>
      <c r="H3" s="3">
        <v>53868</v>
      </c>
      <c r="I3" s="3">
        <v>42928</v>
      </c>
      <c r="J3" s="3">
        <v>40792</v>
      </c>
      <c r="K3" s="3">
        <v>12929</v>
      </c>
      <c r="L3" s="3">
        <v>9334</v>
      </c>
      <c r="M3" s="3">
        <v>4021</v>
      </c>
      <c r="N3" s="3">
        <v>3742</v>
      </c>
      <c r="O3" s="4">
        <f>G3 - H3</f>
        <v>6010</v>
      </c>
      <c r="P3" s="4">
        <f>IF(((G3 = 0)=TRUE),  0,  ROUND(100 * H3 / G3, 2))</f>
        <v>89.96</v>
      </c>
      <c r="Q3" s="4">
        <f>IF(((I3 = 0)=TRUE),  0,  ROUND(100 * J3 / I3, 2))</f>
        <v>95.02</v>
      </c>
      <c r="R3" s="4">
        <f>IF(((K3 = 0)=TRUE),  0,  ROUND(100 * L3 / K3, 2))</f>
        <v>72.19</v>
      </c>
      <c r="S3" s="4">
        <f>IF(((M3 = 0)=TRUE),  0,  ROUND(100 * N3 / M3, 2))</f>
        <v>93.06</v>
      </c>
      <c r="T3" s="4" t="b">
        <f>AND(((E3 = "")=TRUE), ((G3 &gt; 0)=TRUE), ((O3 = 0)=TRUE))</f>
        <v>0</v>
      </c>
      <c r="U3" s="4" t="str">
        <f>IF(((T3)=TRUE),  C3,  "")</f>
      </c>
      <c r="V3" s="4" t="b">
        <f>_xlfn.IFNA(IF(((INDEX(ConformanceRuns!F2:F5, MATCH(C3,ConformanceRuns!A2:A5, 0))="")=TRUE),  "",  INDEX(ConformanceRuns!F2:F5, MATCH(C3,ConformanceRuns!A2:A5, 0))), "")</f>
        <v>0</v>
      </c>
      <c r="W3" s="4">
        <f>IF(((V3)=TRUE),  G3,  0)</f>
        <v>0</v>
      </c>
      <c r="X3" s="4">
        <f>IF(((V3)=TRUE),  H3,  0)</f>
        <v>0</v>
      </c>
      <c r="Y3" s="4">
        <f>IF(((AND(((V3)=TRUE), ((E3 &lt;&gt; "")=TRUE)))=TRUE),  1,  0)</f>
        <v>0</v>
      </c>
      <c r="Z3" s="4" t="str">
        <f>_xlfn.IFNA(IF(((INDEX(ConformanceSubstrates!C2:C9, MATCH(D3,ConformanceSubstrates!A2:A9, 0))="")=TRUE),  "",  INDEX(ConformanceSubstrates!C2:C9, MATCH(D3,ConformanceSubstrates!A2:A9, 0))), "")</f>
        <v>Excel</v>
      </c>
      <c r="AA3" s="3" t="s">
        <v>1914</v>
      </c>
    </row>
    <row r="4">
      <c r="A4" s="3" t="s">
        <v>14079</v>
      </c>
      <c r="B4" s="4" t="str">
        <f>_xlfn.CONCAT(C4, " / ", D4)</f>
        <v>run-20260913-165336 / effortless-entity-framework</v>
      </c>
      <c r="C4" s="3" t="s">
        <v>14065</v>
      </c>
      <c r="D4" s="3" t="s">
        <v>14047</v>
      </c>
      <c r="E4" s="3" t="s">
        <v>168</v>
      </c>
      <c r="F4" s="3">
        <v>5.8</v>
      </c>
      <c r="G4" s="3">
        <v>59878</v>
      </c>
      <c r="H4" s="3">
        <v>59764</v>
      </c>
      <c r="I4" s="3">
        <v>42928</v>
      </c>
      <c r="J4" s="3">
        <v>42817</v>
      </c>
      <c r="K4" s="3">
        <v>12929</v>
      </c>
      <c r="L4" s="3">
        <v>12926</v>
      </c>
      <c r="M4" s="3">
        <v>4021</v>
      </c>
      <c r="N4" s="3">
        <v>4021</v>
      </c>
      <c r="O4" s="4">
        <f>G4 - H4</f>
        <v>114</v>
      </c>
      <c r="P4" s="4">
        <f>IF(((G4 = 0)=TRUE),  0,  ROUND(100 * H4 / G4, 2))</f>
        <v>99.81</v>
      </c>
      <c r="Q4" s="4">
        <f>IF(((I4 = 0)=TRUE),  0,  ROUND(100 * J4 / I4, 2))</f>
        <v>99.74</v>
      </c>
      <c r="R4" s="4">
        <f>IF(((K4 = 0)=TRUE),  0,  ROUND(100 * L4 / K4, 2))</f>
        <v>99.98</v>
      </c>
      <c r="S4" s="4">
        <f>IF(((M4 = 0)=TRUE),  0,  ROUND(100 * N4 / M4, 2))</f>
        <v>100</v>
      </c>
      <c r="T4" s="4" t="b">
        <f>AND(((E4 = "")=TRUE), ((G4 &gt; 0)=TRUE), ((O4 = 0)=TRUE))</f>
        <v>0</v>
      </c>
      <c r="U4" s="4" t="str">
        <f>IF(((T4)=TRUE),  C4,  "")</f>
      </c>
      <c r="V4" s="4" t="b">
        <f>_xlfn.IFNA(IF(((INDEX(ConformanceRuns!F2:F5, MATCH(C4,ConformanceRuns!A2:A5, 0))="")=TRUE),  "",  INDEX(ConformanceRuns!F2:F5, MATCH(C4,ConformanceRuns!A2:A5, 0))), "")</f>
        <v>0</v>
      </c>
      <c r="W4" s="4">
        <f>IF(((V4)=TRUE),  G4,  0)</f>
        <v>0</v>
      </c>
      <c r="X4" s="4">
        <f>IF(((V4)=TRUE),  H4,  0)</f>
        <v>0</v>
      </c>
      <c r="Y4" s="4">
        <f>IF(((AND(((V4)=TRUE), ((E4 &lt;&gt; "")=TRUE)))=TRUE),  1,  0)</f>
        <v>0</v>
      </c>
      <c r="Z4" s="4" t="str">
        <f>_xlfn.IFNA(IF(((INDEX(ConformanceSubstrates!C2:C9, MATCH(D4,ConformanceSubstrates!A2:A9, 0))="")=TRUE),  "",  INDEX(ConformanceSubstrates!C2:C9, MATCH(D4,ConformanceSubstrates!A2:A9, 0))), "")</f>
        <v>C# / Entity Framework</v>
      </c>
      <c r="AA4" s="3" t="s">
        <v>1914</v>
      </c>
    </row>
    <row r="5">
      <c r="A5" s="3" t="s">
        <v>14080</v>
      </c>
      <c r="B5" s="4" t="str">
        <f>_xlfn.CONCAT(C5, " / ", D5)</f>
        <v>run-20260913-165336 / effortless-golang</v>
      </c>
      <c r="C5" s="3" t="s">
        <v>14065</v>
      </c>
      <c r="D5" s="3" t="s">
        <v>14035</v>
      </c>
      <c r="E5" s="3" t="s">
        <v>168</v>
      </c>
      <c r="F5" s="3">
        <v>3.3</v>
      </c>
      <c r="G5" s="3">
        <v>59878</v>
      </c>
      <c r="H5" s="3">
        <v>59764</v>
      </c>
      <c r="I5" s="3">
        <v>42928</v>
      </c>
      <c r="J5" s="3">
        <v>42817</v>
      </c>
      <c r="K5" s="3">
        <v>12929</v>
      </c>
      <c r="L5" s="3">
        <v>12926</v>
      </c>
      <c r="M5" s="3">
        <v>4021</v>
      </c>
      <c r="N5" s="3">
        <v>4021</v>
      </c>
      <c r="O5" s="4">
        <f>G5 - H5</f>
        <v>114</v>
      </c>
      <c r="P5" s="4">
        <f>IF(((G5 = 0)=TRUE),  0,  ROUND(100 * H5 / G5, 2))</f>
        <v>99.81</v>
      </c>
      <c r="Q5" s="4">
        <f>IF(((I5 = 0)=TRUE),  0,  ROUND(100 * J5 / I5, 2))</f>
        <v>99.74</v>
      </c>
      <c r="R5" s="4">
        <f>IF(((K5 = 0)=TRUE),  0,  ROUND(100 * L5 / K5, 2))</f>
        <v>99.98</v>
      </c>
      <c r="S5" s="4">
        <f>IF(((M5 = 0)=TRUE),  0,  ROUND(100 * N5 / M5, 2))</f>
        <v>100</v>
      </c>
      <c r="T5" s="4" t="b">
        <f>AND(((E5 = "")=TRUE), ((G5 &gt; 0)=TRUE), ((O5 = 0)=TRUE))</f>
        <v>0</v>
      </c>
      <c r="U5" s="4" t="str">
        <f>IF(((T5)=TRUE),  C5,  "")</f>
      </c>
      <c r="V5" s="4" t="b">
        <f>_xlfn.IFNA(IF(((INDEX(ConformanceRuns!F2:F5, MATCH(C5,ConformanceRuns!A2:A5, 0))="")=TRUE),  "",  INDEX(ConformanceRuns!F2:F5, MATCH(C5,ConformanceRuns!A2:A5, 0))), "")</f>
        <v>0</v>
      </c>
      <c r="W5" s="4">
        <f>IF(((V5)=TRUE),  G5,  0)</f>
        <v>0</v>
      </c>
      <c r="X5" s="4">
        <f>IF(((V5)=TRUE),  H5,  0)</f>
        <v>0</v>
      </c>
      <c r="Y5" s="4">
        <f>IF(((AND(((V5)=TRUE), ((E5 &lt;&gt; "")=TRUE)))=TRUE),  1,  0)</f>
        <v>0</v>
      </c>
      <c r="Z5" s="4" t="str">
        <f>_xlfn.IFNA(IF(((INDEX(ConformanceSubstrates!C2:C9, MATCH(D5,ConformanceSubstrates!A2:A9, 0))="")=TRUE),  "",  INDEX(ConformanceSubstrates!C2:C9, MATCH(D5,ConformanceSubstrates!A2:A9, 0))), "")</f>
        <v>Go</v>
      </c>
      <c r="AA5" s="3" t="s">
        <v>1914</v>
      </c>
    </row>
    <row r="6">
      <c r="A6" s="3" t="s">
        <v>14081</v>
      </c>
      <c r="B6" s="4" t="str">
        <f>_xlfn.CONCAT(C6, " / ", D6)</f>
        <v>run-20260913-165336 / effortless-owl</v>
      </c>
      <c r="C6" s="3" t="s">
        <v>14065</v>
      </c>
      <c r="D6" s="3" t="s">
        <v>14059</v>
      </c>
      <c r="E6" s="3" t="s">
        <v>168</v>
      </c>
      <c r="F6" s="3">
        <v>79.7</v>
      </c>
      <c r="G6" s="3">
        <v>59878</v>
      </c>
      <c r="H6" s="3">
        <v>59587</v>
      </c>
      <c r="I6" s="3">
        <v>42928</v>
      </c>
      <c r="J6" s="3">
        <v>42704</v>
      </c>
      <c r="K6" s="3">
        <v>12929</v>
      </c>
      <c r="L6" s="3">
        <v>12922</v>
      </c>
      <c r="M6" s="3">
        <v>4021</v>
      </c>
      <c r="N6" s="3">
        <v>3961</v>
      </c>
      <c r="O6" s="4">
        <f>G6 - H6</f>
        <v>291</v>
      </c>
      <c r="P6" s="4">
        <f>IF(((G6 = 0)=TRUE),  0,  ROUND(100 * H6 / G6, 2))</f>
        <v>99.51</v>
      </c>
      <c r="Q6" s="4">
        <f>IF(((I6 = 0)=TRUE),  0,  ROUND(100 * J6 / I6, 2))</f>
        <v>99.48</v>
      </c>
      <c r="R6" s="4">
        <f>IF(((K6 = 0)=TRUE),  0,  ROUND(100 * L6 / K6, 2))</f>
        <v>99.95</v>
      </c>
      <c r="S6" s="4">
        <f>IF(((M6 = 0)=TRUE),  0,  ROUND(100 * N6 / M6, 2))</f>
        <v>98.51</v>
      </c>
      <c r="T6" s="4" t="b">
        <f>AND(((E6 = "")=TRUE), ((G6 &gt; 0)=TRUE), ((O6 = 0)=TRUE))</f>
        <v>0</v>
      </c>
      <c r="U6" s="4" t="str">
        <f>IF(((T6)=TRUE),  C6,  "")</f>
      </c>
      <c r="V6" s="4" t="b">
        <f>_xlfn.IFNA(IF(((INDEX(ConformanceRuns!F2:F5, MATCH(C6,ConformanceRuns!A2:A5, 0))="")=TRUE),  "",  INDEX(ConformanceRuns!F2:F5, MATCH(C6,ConformanceRuns!A2:A5, 0))), "")</f>
        <v>0</v>
      </c>
      <c r="W6" s="4">
        <f>IF(((V6)=TRUE),  G6,  0)</f>
        <v>0</v>
      </c>
      <c r="X6" s="4">
        <f>IF(((V6)=TRUE),  H6,  0)</f>
        <v>0</v>
      </c>
      <c r="Y6" s="4">
        <f>IF(((AND(((V6)=TRUE), ((E6 &lt;&gt; "")=TRUE)))=TRUE),  1,  0)</f>
        <v>0</v>
      </c>
      <c r="Z6" s="4" t="str">
        <f>_xlfn.IFNA(IF(((INDEX(ConformanceSubstrates!C2:C9, MATCH(D6,ConformanceSubstrates!A2:A9, 0))="")=TRUE),  "",  INDEX(ConformanceSubstrates!C2:C9, MATCH(D6,ConformanceSubstrates!A2:A9, 0))), "")</f>
        <v>OWL / SHACL</v>
      </c>
      <c r="AA6" s="3" t="s">
        <v>1914</v>
      </c>
    </row>
    <row r="7">
      <c r="A7" s="3" t="s">
        <v>14082</v>
      </c>
      <c r="B7" s="4" t="str">
        <f>_xlfn.CONCAT(C7, " / ", D7)</f>
        <v>run-20260913-165336 / effortless-python</v>
      </c>
      <c r="C7" s="3" t="s">
        <v>14065</v>
      </c>
      <c r="D7" s="3" t="s">
        <v>14029</v>
      </c>
      <c r="E7" s="3" t="s">
        <v>168</v>
      </c>
      <c r="F7" s="3">
        <v>0.9</v>
      </c>
      <c r="G7" s="3">
        <v>59878</v>
      </c>
      <c r="H7" s="3">
        <v>59764</v>
      </c>
      <c r="I7" s="3">
        <v>42928</v>
      </c>
      <c r="J7" s="3">
        <v>42817</v>
      </c>
      <c r="K7" s="3">
        <v>12929</v>
      </c>
      <c r="L7" s="3">
        <v>12926</v>
      </c>
      <c r="M7" s="3">
        <v>4021</v>
      </c>
      <c r="N7" s="3">
        <v>4021</v>
      </c>
      <c r="O7" s="4">
        <f>G7 - H7</f>
        <v>114</v>
      </c>
      <c r="P7" s="4">
        <f>IF(((G7 = 0)=TRUE),  0,  ROUND(100 * H7 / G7, 2))</f>
        <v>99.81</v>
      </c>
      <c r="Q7" s="4">
        <f>IF(((I7 = 0)=TRUE),  0,  ROUND(100 * J7 / I7, 2))</f>
        <v>99.74</v>
      </c>
      <c r="R7" s="4">
        <f>IF(((K7 = 0)=TRUE),  0,  ROUND(100 * L7 / K7, 2))</f>
        <v>99.98</v>
      </c>
      <c r="S7" s="4">
        <f>IF(((M7 = 0)=TRUE),  0,  ROUND(100 * N7 / M7, 2))</f>
        <v>100</v>
      </c>
      <c r="T7" s="4" t="b">
        <f>AND(((E7 = "")=TRUE), ((G7 &gt; 0)=TRUE), ((O7 = 0)=TRUE))</f>
        <v>0</v>
      </c>
      <c r="U7" s="4" t="str">
        <f>IF(((T7)=TRUE),  C7,  "")</f>
      </c>
      <c r="V7" s="4" t="b">
        <f>_xlfn.IFNA(IF(((INDEX(ConformanceRuns!F2:F5, MATCH(C7,ConformanceRuns!A2:A5, 0))="")=TRUE),  "",  INDEX(ConformanceRuns!F2:F5, MATCH(C7,ConformanceRuns!A2:A5, 0))), "")</f>
        <v>0</v>
      </c>
      <c r="W7" s="4">
        <f>IF(((V7)=TRUE),  G7,  0)</f>
        <v>0</v>
      </c>
      <c r="X7" s="4">
        <f>IF(((V7)=TRUE),  H7,  0)</f>
        <v>0</v>
      </c>
      <c r="Y7" s="4">
        <f>IF(((AND(((V7)=TRUE), ((E7 &lt;&gt; "")=TRUE)))=TRUE),  1,  0)</f>
        <v>0</v>
      </c>
      <c r="Z7" s="4" t="str">
        <f>_xlfn.IFNA(IF(((INDEX(ConformanceSubstrates!C2:C9, MATCH(D7,ConformanceSubstrates!A2:A9, 0))="")=TRUE),  "",  INDEX(ConformanceSubstrates!C2:C9, MATCH(D7,ConformanceSubstrates!A2:A9, 0))), "")</f>
        <v>Python</v>
      </c>
      <c r="AA7" s="3" t="s">
        <v>1914</v>
      </c>
    </row>
    <row r="8">
      <c r="A8" s="3" t="s">
        <v>14083</v>
      </c>
      <c r="B8" s="4" t="str">
        <f>_xlfn.CONCAT(C8, " / ", D8)</f>
        <v>run-20260913-165336 / effortless-typescript</v>
      </c>
      <c r="C8" s="3" t="s">
        <v>14065</v>
      </c>
      <c r="D8" s="3" t="s">
        <v>14041</v>
      </c>
      <c r="E8" s="3" t="s">
        <v>168</v>
      </c>
      <c r="F8" s="3">
        <v>1.9</v>
      </c>
      <c r="G8" s="3">
        <v>59878</v>
      </c>
      <c r="H8" s="3">
        <v>59764</v>
      </c>
      <c r="I8" s="3">
        <v>42928</v>
      </c>
      <c r="J8" s="3">
        <v>42817</v>
      </c>
      <c r="K8" s="3">
        <v>12929</v>
      </c>
      <c r="L8" s="3">
        <v>12926</v>
      </c>
      <c r="M8" s="3">
        <v>4021</v>
      </c>
      <c r="N8" s="3">
        <v>4021</v>
      </c>
      <c r="O8" s="4">
        <f>G8 - H8</f>
        <v>114</v>
      </c>
      <c r="P8" s="4">
        <f>IF(((G8 = 0)=TRUE),  0,  ROUND(100 * H8 / G8, 2))</f>
        <v>99.81</v>
      </c>
      <c r="Q8" s="4">
        <f>IF(((I8 = 0)=TRUE),  0,  ROUND(100 * J8 / I8, 2))</f>
        <v>99.74</v>
      </c>
      <c r="R8" s="4">
        <f>IF(((K8 = 0)=TRUE),  0,  ROUND(100 * L8 / K8, 2))</f>
        <v>99.98</v>
      </c>
      <c r="S8" s="4">
        <f>IF(((M8 = 0)=TRUE),  0,  ROUND(100 * N8 / M8, 2))</f>
        <v>100</v>
      </c>
      <c r="T8" s="4" t="b">
        <f>AND(((E8 = "")=TRUE), ((G8 &gt; 0)=TRUE), ((O8 = 0)=TRUE))</f>
        <v>0</v>
      </c>
      <c r="U8" s="4" t="str">
        <f>IF(((T8)=TRUE),  C8,  "")</f>
      </c>
      <c r="V8" s="4" t="b">
        <f>_xlfn.IFNA(IF(((INDEX(ConformanceRuns!F2:F5, MATCH(C8,ConformanceRuns!A2:A5, 0))="")=TRUE),  "",  INDEX(ConformanceRuns!F2:F5, MATCH(C8,ConformanceRuns!A2:A5, 0))), "")</f>
        <v>0</v>
      </c>
      <c r="W8" s="4">
        <f>IF(((V8)=TRUE),  G8,  0)</f>
        <v>0</v>
      </c>
      <c r="X8" s="4">
        <f>IF(((V8)=TRUE),  H8,  0)</f>
        <v>0</v>
      </c>
      <c r="Y8" s="4">
        <f>IF(((AND(((V8)=TRUE), ((E8 &lt;&gt; "")=TRUE)))=TRUE),  1,  0)</f>
        <v>0</v>
      </c>
      <c r="Z8" s="4" t="str">
        <f>_xlfn.IFNA(IF(((INDEX(ConformanceSubstrates!C2:C9, MATCH(D8,ConformanceSubstrates!A2:A9, 0))="")=TRUE),  "",  INDEX(ConformanceSubstrates!C2:C9, MATCH(D8,ConformanceSubstrates!A2:A9, 0))), "")</f>
        <v>TypeScript</v>
      </c>
      <c r="AA8" s="3" t="s">
        <v>1914</v>
      </c>
    </row>
    <row r="9">
      <c r="A9" s="3" t="s">
        <v>14084</v>
      </c>
      <c r="B9" s="4" t="str">
        <f>_xlfn.CONCAT(C9, " / ", D9)</f>
        <v>run-20260913-203118 / effortless-postgres</v>
      </c>
      <c r="C9" s="3" t="s">
        <v>14068</v>
      </c>
      <c r="D9" s="3" t="s">
        <v>14022</v>
      </c>
      <c r="E9" s="3" t="s">
        <v>168</v>
      </c>
      <c r="F9" s="3">
        <v>24.6</v>
      </c>
      <c r="G9" s="3">
        <v>72591</v>
      </c>
      <c r="H9" s="3">
        <v>72449</v>
      </c>
      <c r="I9" s="3">
        <v>49123</v>
      </c>
      <c r="J9" s="3">
        <v>48984</v>
      </c>
      <c r="K9" s="3">
        <v>18355</v>
      </c>
      <c r="L9" s="3">
        <v>18352</v>
      </c>
      <c r="M9" s="3">
        <v>5113</v>
      </c>
      <c r="N9" s="3">
        <v>5113</v>
      </c>
      <c r="O9" s="4">
        <f>G9 - H9</f>
        <v>142</v>
      </c>
      <c r="P9" s="4">
        <f>IF(((G9 = 0)=TRUE),  0,  ROUND(100 * H9 / G9, 2))</f>
        <v>99.8</v>
      </c>
      <c r="Q9" s="4">
        <f>IF(((I9 = 0)=TRUE),  0,  ROUND(100 * J9 / I9, 2))</f>
        <v>99.72</v>
      </c>
      <c r="R9" s="4">
        <f>IF(((K9 = 0)=TRUE),  0,  ROUND(100 * L9 / K9, 2))</f>
        <v>99.98</v>
      </c>
      <c r="S9" s="4">
        <f>IF(((M9 = 0)=TRUE),  0,  ROUND(100 * N9 / M9, 2))</f>
        <v>100</v>
      </c>
      <c r="T9" s="4" t="b">
        <f>AND(((E9 = "")=TRUE), ((G9 &gt; 0)=TRUE), ((O9 = 0)=TRUE))</f>
        <v>0</v>
      </c>
      <c r="U9" s="4" t="str">
        <f>IF(((T9)=TRUE),  C9,  "")</f>
      </c>
      <c r="V9" s="4" t="b">
        <f>_xlfn.IFNA(IF(((INDEX(ConformanceRuns!F2:F5, MATCH(C9,ConformanceRuns!A2:A5, 0))="")=TRUE),  "",  INDEX(ConformanceRuns!F2:F5, MATCH(C9,ConformanceRuns!A2:A5, 0))), "")</f>
        <v>0</v>
      </c>
      <c r="W9" s="4">
        <f>IF(((V9)=TRUE),  G9,  0)</f>
        <v>0</v>
      </c>
      <c r="X9" s="4">
        <f>IF(((V9)=TRUE),  H9,  0)</f>
        <v>0</v>
      </c>
      <c r="Y9" s="4">
        <f>IF(((AND(((V9)=TRUE), ((E9 &lt;&gt; "")=TRUE)))=TRUE),  1,  0)</f>
        <v>0</v>
      </c>
      <c r="Z9" s="4" t="str">
        <f>_xlfn.IFNA(IF(((INDEX(ConformanceSubstrates!C2:C9, MATCH(D9,ConformanceSubstrates!A2:A9, 0))="")=TRUE),  "",  INDEX(ConformanceSubstrates!C2:C9, MATCH(D9,ConformanceSubstrates!A2:A9, 0))), "")</f>
        <v>PostgreSQL</v>
      </c>
      <c r="AA9" s="3" t="s">
        <v>1914</v>
      </c>
    </row>
    <row r="10">
      <c r="A10" s="3" t="s">
        <v>14085</v>
      </c>
      <c r="B10" s="4" t="str">
        <f>_xlfn.CONCAT(C10, " / ", D10)</f>
        <v>run-20260913-203118 / effortless-xlsx</v>
      </c>
      <c r="C10" s="3" t="s">
        <v>14068</v>
      </c>
      <c r="D10" s="3" t="s">
        <v>14053</v>
      </c>
      <c r="E10" s="3" t="s">
        <v>168</v>
      </c>
      <c r="F10" s="3">
        <v>1.6</v>
      </c>
      <c r="G10" s="3">
        <v>72591</v>
      </c>
      <c r="H10" s="3">
        <v>65892</v>
      </c>
      <c r="I10" s="3">
        <v>49123</v>
      </c>
      <c r="J10" s="3">
        <v>46734</v>
      </c>
      <c r="K10" s="3">
        <v>18355</v>
      </c>
      <c r="L10" s="3">
        <v>14581</v>
      </c>
      <c r="M10" s="3">
        <v>5113</v>
      </c>
      <c r="N10" s="3">
        <v>4577</v>
      </c>
      <c r="O10" s="4">
        <f>G10 - H10</f>
        <v>6699</v>
      </c>
      <c r="P10" s="4">
        <f>IF(((G10 = 0)=TRUE),  0,  ROUND(100 * H10 / G10, 2))</f>
        <v>90.77</v>
      </c>
      <c r="Q10" s="4">
        <f>IF(((I10 = 0)=TRUE),  0,  ROUND(100 * J10 / I10, 2))</f>
        <v>95.14</v>
      </c>
      <c r="R10" s="4">
        <f>IF(((K10 = 0)=TRUE),  0,  ROUND(100 * L10 / K10, 2))</f>
        <v>79.44</v>
      </c>
      <c r="S10" s="4">
        <f>IF(((M10 = 0)=TRUE),  0,  ROUND(100 * N10 / M10, 2))</f>
        <v>89.52</v>
      </c>
      <c r="T10" s="4" t="b">
        <f>AND(((E10 = "")=TRUE), ((G10 &gt; 0)=TRUE), ((O10 = 0)=TRUE))</f>
        <v>0</v>
      </c>
      <c r="U10" s="4" t="str">
        <f>IF(((T10)=TRUE),  C10,  "")</f>
      </c>
      <c r="V10" s="4" t="b">
        <f>_xlfn.IFNA(IF(((INDEX(ConformanceRuns!F2:F5, MATCH(C10,ConformanceRuns!A2:A5, 0))="")=TRUE),  "",  INDEX(ConformanceRuns!F2:F5, MATCH(C10,ConformanceRuns!A2:A5, 0))), "")</f>
        <v>0</v>
      </c>
      <c r="W10" s="4">
        <f>IF(((V10)=TRUE),  G10,  0)</f>
        <v>0</v>
      </c>
      <c r="X10" s="4">
        <f>IF(((V10)=TRUE),  H10,  0)</f>
        <v>0</v>
      </c>
      <c r="Y10" s="4">
        <f>IF(((AND(((V10)=TRUE), ((E10 &lt;&gt; "")=TRUE)))=TRUE),  1,  0)</f>
        <v>0</v>
      </c>
      <c r="Z10" s="4" t="str">
        <f>_xlfn.IFNA(IF(((INDEX(ConformanceSubstrates!C2:C9, MATCH(D10,ConformanceSubstrates!A2:A9, 0))="")=TRUE),  "",  INDEX(ConformanceSubstrates!C2:C9, MATCH(D10,ConformanceSubstrates!A2:A9, 0))), "")</f>
        <v>Excel</v>
      </c>
      <c r="AA10" s="3" t="s">
        <v>1914</v>
      </c>
    </row>
    <row r="11">
      <c r="A11" s="3" t="s">
        <v>14086</v>
      </c>
      <c r="B11" s="4" t="str">
        <f>_xlfn.CONCAT(C11, " / ", D11)</f>
        <v>run-20260913-203118 / effortless-entity-framework</v>
      </c>
      <c r="C11" s="3" t="s">
        <v>14068</v>
      </c>
      <c r="D11" s="3" t="s">
        <v>14047</v>
      </c>
      <c r="E11" s="3" t="s">
        <v>168</v>
      </c>
      <c r="F11" s="3">
        <v>6.2</v>
      </c>
      <c r="G11" s="3">
        <v>72591</v>
      </c>
      <c r="H11" s="3">
        <v>72417</v>
      </c>
      <c r="I11" s="3">
        <v>49123</v>
      </c>
      <c r="J11" s="3">
        <v>48990</v>
      </c>
      <c r="K11" s="3">
        <v>18355</v>
      </c>
      <c r="L11" s="3">
        <v>18352</v>
      </c>
      <c r="M11" s="3">
        <v>5113</v>
      </c>
      <c r="N11" s="3">
        <v>5075</v>
      </c>
      <c r="O11" s="4">
        <f>G11 - H11</f>
        <v>174</v>
      </c>
      <c r="P11" s="4">
        <f>IF(((G11 = 0)=TRUE),  0,  ROUND(100 * H11 / G11, 2))</f>
        <v>99.76</v>
      </c>
      <c r="Q11" s="4">
        <f>IF(((I11 = 0)=TRUE),  0,  ROUND(100 * J11 / I11, 2))</f>
        <v>99.73</v>
      </c>
      <c r="R11" s="4">
        <f>IF(((K11 = 0)=TRUE),  0,  ROUND(100 * L11 / K11, 2))</f>
        <v>99.98</v>
      </c>
      <c r="S11" s="4">
        <f>IF(((M11 = 0)=TRUE),  0,  ROUND(100 * N11 / M11, 2))</f>
        <v>99.26</v>
      </c>
      <c r="T11" s="4" t="b">
        <f>AND(((E11 = "")=TRUE), ((G11 &gt; 0)=TRUE), ((O11 = 0)=TRUE))</f>
        <v>0</v>
      </c>
      <c r="U11" s="4" t="str">
        <f>IF(((T11)=TRUE),  C11,  "")</f>
      </c>
      <c r="V11" s="4" t="b">
        <f>_xlfn.IFNA(IF(((INDEX(ConformanceRuns!F2:F5, MATCH(C11,ConformanceRuns!A2:A5, 0))="")=TRUE),  "",  INDEX(ConformanceRuns!F2:F5, MATCH(C11,ConformanceRuns!A2:A5, 0))), "")</f>
        <v>0</v>
      </c>
      <c r="W11" s="4">
        <f>IF(((V11)=TRUE),  G11,  0)</f>
        <v>0</v>
      </c>
      <c r="X11" s="4">
        <f>IF(((V11)=TRUE),  H11,  0)</f>
        <v>0</v>
      </c>
      <c r="Y11" s="4">
        <f>IF(((AND(((V11)=TRUE), ((E11 &lt;&gt; "")=TRUE)))=TRUE),  1,  0)</f>
        <v>0</v>
      </c>
      <c r="Z11" s="4" t="str">
        <f>_xlfn.IFNA(IF(((INDEX(ConformanceSubstrates!C2:C9, MATCH(D11,ConformanceSubstrates!A2:A9, 0))="")=TRUE),  "",  INDEX(ConformanceSubstrates!C2:C9, MATCH(D11,ConformanceSubstrates!A2:A9, 0))), "")</f>
        <v>C# / Entity Framework</v>
      </c>
      <c r="AA11" s="3" t="s">
        <v>1914</v>
      </c>
    </row>
    <row r="12">
      <c r="A12" s="3" t="s">
        <v>14087</v>
      </c>
      <c r="B12" s="4" t="str">
        <f>_xlfn.CONCAT(C12, " / ", D12)</f>
        <v>run-20260913-203118 / effortless-golang</v>
      </c>
      <c r="C12" s="3" t="s">
        <v>14068</v>
      </c>
      <c r="D12" s="3" t="s">
        <v>14035</v>
      </c>
      <c r="E12" s="3" t="s">
        <v>168</v>
      </c>
      <c r="F12" s="3">
        <v>3.6</v>
      </c>
      <c r="G12" s="3">
        <v>72591</v>
      </c>
      <c r="H12" s="3">
        <v>72470</v>
      </c>
      <c r="I12" s="3">
        <v>49123</v>
      </c>
      <c r="J12" s="3">
        <v>49005</v>
      </c>
      <c r="K12" s="3">
        <v>18355</v>
      </c>
      <c r="L12" s="3">
        <v>18352</v>
      </c>
      <c r="M12" s="3">
        <v>5113</v>
      </c>
      <c r="N12" s="3">
        <v>5113</v>
      </c>
      <c r="O12" s="4">
        <f>G12 - H12</f>
        <v>121</v>
      </c>
      <c r="P12" s="4">
        <f>IF(((G12 = 0)=TRUE),  0,  ROUND(100 * H12 / G12, 2))</f>
        <v>99.83</v>
      </c>
      <c r="Q12" s="4">
        <f>IF(((I12 = 0)=TRUE),  0,  ROUND(100 * J12 / I12, 2))</f>
        <v>99.76</v>
      </c>
      <c r="R12" s="4">
        <f>IF(((K12 = 0)=TRUE),  0,  ROUND(100 * L12 / K12, 2))</f>
        <v>99.98</v>
      </c>
      <c r="S12" s="4">
        <f>IF(((M12 = 0)=TRUE),  0,  ROUND(100 * N12 / M12, 2))</f>
        <v>100</v>
      </c>
      <c r="T12" s="4" t="b">
        <f>AND(((E12 = "")=TRUE), ((G12 &gt; 0)=TRUE), ((O12 = 0)=TRUE))</f>
        <v>0</v>
      </c>
      <c r="U12" s="4" t="str">
        <f>IF(((T12)=TRUE),  C12,  "")</f>
      </c>
      <c r="V12" s="4" t="b">
        <f>_xlfn.IFNA(IF(((INDEX(ConformanceRuns!F2:F5, MATCH(C12,ConformanceRuns!A2:A5, 0))="")=TRUE),  "",  INDEX(ConformanceRuns!F2:F5, MATCH(C12,ConformanceRuns!A2:A5, 0))), "")</f>
        <v>0</v>
      </c>
      <c r="W12" s="4">
        <f>IF(((V12)=TRUE),  G12,  0)</f>
        <v>0</v>
      </c>
      <c r="X12" s="4">
        <f>IF(((V12)=TRUE),  H12,  0)</f>
        <v>0</v>
      </c>
      <c r="Y12" s="4">
        <f>IF(((AND(((V12)=TRUE), ((E12 &lt;&gt; "")=TRUE)))=TRUE),  1,  0)</f>
        <v>0</v>
      </c>
      <c r="Z12" s="4" t="str">
        <f>_xlfn.IFNA(IF(((INDEX(ConformanceSubstrates!C2:C9, MATCH(D12,ConformanceSubstrates!A2:A9, 0))="")=TRUE),  "",  INDEX(ConformanceSubstrates!C2:C9, MATCH(D12,ConformanceSubstrates!A2:A9, 0))), "")</f>
        <v>Go</v>
      </c>
      <c r="AA12" s="3" t="s">
        <v>1914</v>
      </c>
    </row>
    <row r="13">
      <c r="A13" s="3" t="s">
        <v>14088</v>
      </c>
      <c r="B13" s="4" t="str">
        <f>_xlfn.CONCAT(C13, " / ", D13)</f>
        <v>run-20260913-203118 / effortless-owl</v>
      </c>
      <c r="C13" s="3" t="s">
        <v>14068</v>
      </c>
      <c r="D13" s="3" t="s">
        <v>14059</v>
      </c>
      <c r="E13" s="3" t="s">
        <v>168</v>
      </c>
      <c r="F13" s="3">
        <v>82.4</v>
      </c>
      <c r="G13" s="3">
        <v>72591</v>
      </c>
      <c r="H13" s="3">
        <v>70580</v>
      </c>
      <c r="I13" s="3">
        <v>49123</v>
      </c>
      <c r="J13" s="3">
        <v>47179</v>
      </c>
      <c r="K13" s="3">
        <v>18355</v>
      </c>
      <c r="L13" s="3">
        <v>18348</v>
      </c>
      <c r="M13" s="3">
        <v>5113</v>
      </c>
      <c r="N13" s="3">
        <v>5053</v>
      </c>
      <c r="O13" s="4">
        <f>G13 - H13</f>
        <v>2011</v>
      </c>
      <c r="P13" s="4">
        <f>IF(((G13 = 0)=TRUE),  0,  ROUND(100 * H13 / G13, 2))</f>
        <v>97.23</v>
      </c>
      <c r="Q13" s="4">
        <f>IF(((I13 = 0)=TRUE),  0,  ROUND(100 * J13 / I13, 2))</f>
        <v>96.04</v>
      </c>
      <c r="R13" s="4">
        <f>IF(((K13 = 0)=TRUE),  0,  ROUND(100 * L13 / K13, 2))</f>
        <v>99.96</v>
      </c>
      <c r="S13" s="4">
        <f>IF(((M13 = 0)=TRUE),  0,  ROUND(100 * N13 / M13, 2))</f>
        <v>98.83</v>
      </c>
      <c r="T13" s="4" t="b">
        <f>AND(((E13 = "")=TRUE), ((G13 &gt; 0)=TRUE), ((O13 = 0)=TRUE))</f>
        <v>0</v>
      </c>
      <c r="U13" s="4" t="str">
        <f>IF(((T13)=TRUE),  C13,  "")</f>
      </c>
      <c r="V13" s="4" t="b">
        <f>_xlfn.IFNA(IF(((INDEX(ConformanceRuns!F2:F5, MATCH(C13,ConformanceRuns!A2:A5, 0))="")=TRUE),  "",  INDEX(ConformanceRuns!F2:F5, MATCH(C13,ConformanceRuns!A2:A5, 0))), "")</f>
        <v>0</v>
      </c>
      <c r="W13" s="4">
        <f>IF(((V13)=TRUE),  G13,  0)</f>
        <v>0</v>
      </c>
      <c r="X13" s="4">
        <f>IF(((V13)=TRUE),  H13,  0)</f>
        <v>0</v>
      </c>
      <c r="Y13" s="4">
        <f>IF(((AND(((V13)=TRUE), ((E13 &lt;&gt; "")=TRUE)))=TRUE),  1,  0)</f>
        <v>0</v>
      </c>
      <c r="Z13" s="4" t="str">
        <f>_xlfn.IFNA(IF(((INDEX(ConformanceSubstrates!C2:C9, MATCH(D13,ConformanceSubstrates!A2:A9, 0))="")=TRUE),  "",  INDEX(ConformanceSubstrates!C2:C9, MATCH(D13,ConformanceSubstrates!A2:A9, 0))), "")</f>
        <v>OWL / SHACL</v>
      </c>
      <c r="AA13" s="3" t="s">
        <v>1914</v>
      </c>
    </row>
    <row r="14">
      <c r="A14" s="3" t="s">
        <v>14089</v>
      </c>
      <c r="B14" s="4" t="str">
        <f>_xlfn.CONCAT(C14, " / ", D14)</f>
        <v>run-20260913-203118 / effortless-python</v>
      </c>
      <c r="C14" s="3" t="s">
        <v>14068</v>
      </c>
      <c r="D14" s="3" t="s">
        <v>14029</v>
      </c>
      <c r="E14" s="3" t="s">
        <v>168</v>
      </c>
      <c r="F14" s="3">
        <v>1.7</v>
      </c>
      <c r="G14" s="3">
        <v>72591</v>
      </c>
      <c r="H14" s="3">
        <v>72470</v>
      </c>
      <c r="I14" s="3">
        <v>49123</v>
      </c>
      <c r="J14" s="3">
        <v>49005</v>
      </c>
      <c r="K14" s="3">
        <v>18355</v>
      </c>
      <c r="L14" s="3">
        <v>18352</v>
      </c>
      <c r="M14" s="3">
        <v>5113</v>
      </c>
      <c r="N14" s="3">
        <v>5113</v>
      </c>
      <c r="O14" s="4">
        <f>G14 - H14</f>
        <v>121</v>
      </c>
      <c r="P14" s="4">
        <f>IF(((G14 = 0)=TRUE),  0,  ROUND(100 * H14 / G14, 2))</f>
        <v>99.83</v>
      </c>
      <c r="Q14" s="4">
        <f>IF(((I14 = 0)=TRUE),  0,  ROUND(100 * J14 / I14, 2))</f>
        <v>99.76</v>
      </c>
      <c r="R14" s="4">
        <f>IF(((K14 = 0)=TRUE),  0,  ROUND(100 * L14 / K14, 2))</f>
        <v>99.98</v>
      </c>
      <c r="S14" s="4">
        <f>IF(((M14 = 0)=TRUE),  0,  ROUND(100 * N14 / M14, 2))</f>
        <v>100</v>
      </c>
      <c r="T14" s="4" t="b">
        <f>AND(((E14 = "")=TRUE), ((G14 &gt; 0)=TRUE), ((O14 = 0)=TRUE))</f>
        <v>0</v>
      </c>
      <c r="U14" s="4" t="str">
        <f>IF(((T14)=TRUE),  C14,  "")</f>
      </c>
      <c r="V14" s="4" t="b">
        <f>_xlfn.IFNA(IF(((INDEX(ConformanceRuns!F2:F5, MATCH(C14,ConformanceRuns!A2:A5, 0))="")=TRUE),  "",  INDEX(ConformanceRuns!F2:F5, MATCH(C14,ConformanceRuns!A2:A5, 0))), "")</f>
        <v>0</v>
      </c>
      <c r="W14" s="4">
        <f>IF(((V14)=TRUE),  G14,  0)</f>
        <v>0</v>
      </c>
      <c r="X14" s="4">
        <f>IF(((V14)=TRUE),  H14,  0)</f>
        <v>0</v>
      </c>
      <c r="Y14" s="4">
        <f>IF(((AND(((V14)=TRUE), ((E14 &lt;&gt; "")=TRUE)))=TRUE),  1,  0)</f>
        <v>0</v>
      </c>
      <c r="Z14" s="4" t="str">
        <f>_xlfn.IFNA(IF(((INDEX(ConformanceSubstrates!C2:C9, MATCH(D14,ConformanceSubstrates!A2:A9, 0))="")=TRUE),  "",  INDEX(ConformanceSubstrates!C2:C9, MATCH(D14,ConformanceSubstrates!A2:A9, 0))), "")</f>
        <v>Python</v>
      </c>
      <c r="AA14" s="3" t="s">
        <v>1914</v>
      </c>
    </row>
    <row r="15">
      <c r="A15" s="3" t="s">
        <v>14090</v>
      </c>
      <c r="B15" s="4" t="str">
        <f>_xlfn.CONCAT(C15, " / ", D15)</f>
        <v>run-20260913-203118 / effortless-typescript</v>
      </c>
      <c r="C15" s="3" t="s">
        <v>14068</v>
      </c>
      <c r="D15" s="3" t="s">
        <v>14041</v>
      </c>
      <c r="E15" s="3" t="s">
        <v>168</v>
      </c>
      <c r="F15" s="3">
        <v>2.3</v>
      </c>
      <c r="G15" s="3">
        <v>72591</v>
      </c>
      <c r="H15" s="3">
        <v>72470</v>
      </c>
      <c r="I15" s="3">
        <v>49123</v>
      </c>
      <c r="J15" s="3">
        <v>49005</v>
      </c>
      <c r="K15" s="3">
        <v>18355</v>
      </c>
      <c r="L15" s="3">
        <v>18352</v>
      </c>
      <c r="M15" s="3">
        <v>5113</v>
      </c>
      <c r="N15" s="3">
        <v>5113</v>
      </c>
      <c r="O15" s="4">
        <f>G15 - H15</f>
        <v>121</v>
      </c>
      <c r="P15" s="4">
        <f>IF(((G15 = 0)=TRUE),  0,  ROUND(100 * H15 / G15, 2))</f>
        <v>99.83</v>
      </c>
      <c r="Q15" s="4">
        <f>IF(((I15 = 0)=TRUE),  0,  ROUND(100 * J15 / I15, 2))</f>
        <v>99.76</v>
      </c>
      <c r="R15" s="4">
        <f>IF(((K15 = 0)=TRUE),  0,  ROUND(100 * L15 / K15, 2))</f>
        <v>99.98</v>
      </c>
      <c r="S15" s="4">
        <f>IF(((M15 = 0)=TRUE),  0,  ROUND(100 * N15 / M15, 2))</f>
        <v>100</v>
      </c>
      <c r="T15" s="4" t="b">
        <f>AND(((E15 = "")=TRUE), ((G15 &gt; 0)=TRUE), ((O15 = 0)=TRUE))</f>
        <v>0</v>
      </c>
      <c r="U15" s="4" t="str">
        <f>IF(((T15)=TRUE),  C15,  "")</f>
      </c>
      <c r="V15" s="4" t="b">
        <f>_xlfn.IFNA(IF(((INDEX(ConformanceRuns!F2:F5, MATCH(C15,ConformanceRuns!A2:A5, 0))="")=TRUE),  "",  INDEX(ConformanceRuns!F2:F5, MATCH(C15,ConformanceRuns!A2:A5, 0))), "")</f>
        <v>0</v>
      </c>
      <c r="W15" s="4">
        <f>IF(((V15)=TRUE),  G15,  0)</f>
        <v>0</v>
      </c>
      <c r="X15" s="4">
        <f>IF(((V15)=TRUE),  H15,  0)</f>
        <v>0</v>
      </c>
      <c r="Y15" s="4">
        <f>IF(((AND(((V15)=TRUE), ((E15 &lt;&gt; "")=TRUE)))=TRUE),  1,  0)</f>
        <v>0</v>
      </c>
      <c r="Z15" s="4" t="str">
        <f>_xlfn.IFNA(IF(((INDEX(ConformanceSubstrates!C2:C9, MATCH(D15,ConformanceSubstrates!A2:A9, 0))="")=TRUE),  "",  INDEX(ConformanceSubstrates!C2:C9, MATCH(D15,ConformanceSubstrates!A2:A9, 0))), "")</f>
        <v>TypeScript</v>
      </c>
      <c r="AA15" s="3" t="s">
        <v>1914</v>
      </c>
    </row>
    <row r="16">
      <c r="A16" s="3" t="s">
        <v>14091</v>
      </c>
      <c r="B16" s="4" t="str">
        <f>_xlfn.CONCAT(C16, " / ", D16)</f>
        <v>run-20260914-083430 / effortless-postgres</v>
      </c>
      <c r="C16" s="3" t="s">
        <v>14071</v>
      </c>
      <c r="D16" s="3" t="s">
        <v>14022</v>
      </c>
      <c r="E16" s="3" t="s">
        <v>168</v>
      </c>
      <c r="F16" s="3">
        <v>45</v>
      </c>
      <c r="G16" s="3">
        <v>74034</v>
      </c>
      <c r="H16" s="3">
        <v>74034</v>
      </c>
      <c r="I16" s="3">
        <v>49788</v>
      </c>
      <c r="J16" s="3">
        <v>49788</v>
      </c>
      <c r="K16" s="3">
        <v>19059</v>
      </c>
      <c r="L16" s="3">
        <v>19059</v>
      </c>
      <c r="M16" s="3">
        <v>5187</v>
      </c>
      <c r="N16" s="3">
        <v>5187</v>
      </c>
      <c r="O16" s="4">
        <f>G16 - H16</f>
        <v>0</v>
      </c>
      <c r="P16" s="4">
        <f>IF(((G16 = 0)=TRUE),  0,  ROUND(100 * H16 / G16, 2))</f>
        <v>100</v>
      </c>
      <c r="Q16" s="4">
        <f>IF(((I16 = 0)=TRUE),  0,  ROUND(100 * J16 / I16, 2))</f>
        <v>100</v>
      </c>
      <c r="R16" s="4">
        <f>IF(((K16 = 0)=TRUE),  0,  ROUND(100 * L16 / K16, 2))</f>
        <v>100</v>
      </c>
      <c r="S16" s="4">
        <f>IF(((M16 = 0)=TRUE),  0,  ROUND(100 * N16 / M16, 2))</f>
        <v>100</v>
      </c>
      <c r="T16" s="4" t="b">
        <f>AND(((E16 = "")=TRUE), ((G16 &gt; 0)=TRUE), ((O16 = 0)=TRUE))</f>
        <v>1</v>
      </c>
      <c r="U16" s="4" t="str">
        <f>IF(((T16)=TRUE),  C16,  "")</f>
        <v>run-20260914-083430</v>
      </c>
      <c r="V16" s="4" t="b">
        <f>_xlfn.IFNA(IF(((INDEX(ConformanceRuns!F2:F5, MATCH(C16,ConformanceRuns!A2:A5, 0))="")=TRUE),  "",  INDEX(ConformanceRuns!F2:F5, MATCH(C16,ConformanceRuns!A2:A5, 0))), "")</f>
        <v>0</v>
      </c>
      <c r="W16" s="4">
        <f>IF(((V16)=TRUE),  G16,  0)</f>
        <v>0</v>
      </c>
      <c r="X16" s="4">
        <f>IF(((V16)=TRUE),  H16,  0)</f>
        <v>0</v>
      </c>
      <c r="Y16" s="4">
        <f>IF(((AND(((V16)=TRUE), ((E16 &lt;&gt; "")=TRUE)))=TRUE),  1,  0)</f>
        <v>0</v>
      </c>
      <c r="Z16" s="4" t="str">
        <f>_xlfn.IFNA(IF(((INDEX(ConformanceSubstrates!C2:C9, MATCH(D16,ConformanceSubstrates!A2:A9, 0))="")=TRUE),  "",  INDEX(ConformanceSubstrates!C2:C9, MATCH(D16,ConformanceSubstrates!A2:A9, 0))), "")</f>
        <v>PostgreSQL</v>
      </c>
      <c r="AA16" s="3" t="s">
        <v>1914</v>
      </c>
    </row>
    <row r="17">
      <c r="A17" s="3" t="s">
        <v>14092</v>
      </c>
      <c r="B17" s="4" t="str">
        <f>_xlfn.CONCAT(C17, " / ", D17)</f>
        <v>run-20260914-083430 / effortless-xlsx</v>
      </c>
      <c r="C17" s="3" t="s">
        <v>14071</v>
      </c>
      <c r="D17" s="3" t="s">
        <v>14053</v>
      </c>
      <c r="E17" s="3" t="s">
        <v>168</v>
      </c>
      <c r="F17" s="3">
        <v>1.6</v>
      </c>
      <c r="G17" s="3">
        <v>74034</v>
      </c>
      <c r="H17" s="3">
        <v>73899</v>
      </c>
      <c r="I17" s="3">
        <v>49788</v>
      </c>
      <c r="J17" s="3">
        <v>49718</v>
      </c>
      <c r="K17" s="3">
        <v>19059</v>
      </c>
      <c r="L17" s="3">
        <v>19050</v>
      </c>
      <c r="M17" s="3">
        <v>5187</v>
      </c>
      <c r="N17" s="3">
        <v>5131</v>
      </c>
      <c r="O17" s="4">
        <f>G17 - H17</f>
        <v>135</v>
      </c>
      <c r="P17" s="4">
        <f>IF(((G17 = 0)=TRUE),  0,  ROUND(100 * H17 / G17, 2))</f>
        <v>99.82</v>
      </c>
      <c r="Q17" s="4">
        <f>IF(((I17 = 0)=TRUE),  0,  ROUND(100 * J17 / I17, 2))</f>
        <v>99.86</v>
      </c>
      <c r="R17" s="4">
        <f>IF(((K17 = 0)=TRUE),  0,  ROUND(100 * L17 / K17, 2))</f>
        <v>99.95</v>
      </c>
      <c r="S17" s="4">
        <f>IF(((M17 = 0)=TRUE),  0,  ROUND(100 * N17 / M17, 2))</f>
        <v>98.92</v>
      </c>
      <c r="T17" s="4" t="b">
        <f>AND(((E17 = "")=TRUE), ((G17 &gt; 0)=TRUE), ((O17 = 0)=TRUE))</f>
        <v>0</v>
      </c>
      <c r="U17" s="4" t="str">
        <f>IF(((T17)=TRUE),  C17,  "")</f>
      </c>
      <c r="V17" s="4" t="b">
        <f>_xlfn.IFNA(IF(((INDEX(ConformanceRuns!F2:F5, MATCH(C17,ConformanceRuns!A2:A5, 0))="")=TRUE),  "",  INDEX(ConformanceRuns!F2:F5, MATCH(C17,ConformanceRuns!A2:A5, 0))), "")</f>
        <v>0</v>
      </c>
      <c r="W17" s="4">
        <f>IF(((V17)=TRUE),  G17,  0)</f>
        <v>0</v>
      </c>
      <c r="X17" s="4">
        <f>IF(((V17)=TRUE),  H17,  0)</f>
        <v>0</v>
      </c>
      <c r="Y17" s="4">
        <f>IF(((AND(((V17)=TRUE), ((E17 &lt;&gt; "")=TRUE)))=TRUE),  1,  0)</f>
        <v>0</v>
      </c>
      <c r="Z17" s="4" t="str">
        <f>_xlfn.IFNA(IF(((INDEX(ConformanceSubstrates!C2:C9, MATCH(D17,ConformanceSubstrates!A2:A9, 0))="")=TRUE),  "",  INDEX(ConformanceSubstrates!C2:C9, MATCH(D17,ConformanceSubstrates!A2:A9, 0))), "")</f>
        <v>Excel</v>
      </c>
      <c r="AA17" s="3" t="s">
        <v>1914</v>
      </c>
    </row>
    <row r="18">
      <c r="A18" s="3" t="s">
        <v>14093</v>
      </c>
      <c r="B18" s="4" t="str">
        <f>_xlfn.CONCAT(C18, " / ", D18)</f>
        <v>run-20260914-083430 / effortless-entity-framework</v>
      </c>
      <c r="C18" s="3" t="s">
        <v>14071</v>
      </c>
      <c r="D18" s="3" t="s">
        <v>14047</v>
      </c>
      <c r="E18" s="3" t="s">
        <v>168</v>
      </c>
      <c r="F18" s="3">
        <v>5.8</v>
      </c>
      <c r="G18" s="3">
        <v>74034</v>
      </c>
      <c r="H18" s="3">
        <v>73981</v>
      </c>
      <c r="I18" s="3">
        <v>49788</v>
      </c>
      <c r="J18" s="3">
        <v>49773</v>
      </c>
      <c r="K18" s="3">
        <v>19059</v>
      </c>
      <c r="L18" s="3">
        <v>19059</v>
      </c>
      <c r="M18" s="3">
        <v>5187</v>
      </c>
      <c r="N18" s="3">
        <v>5149</v>
      </c>
      <c r="O18" s="4">
        <f>G18 - H18</f>
        <v>53</v>
      </c>
      <c r="P18" s="4">
        <f>IF(((G18 = 0)=TRUE),  0,  ROUND(100 * H18 / G18, 2))</f>
        <v>99.93</v>
      </c>
      <c r="Q18" s="4">
        <f>IF(((I18 = 0)=TRUE),  0,  ROUND(100 * J18 / I18, 2))</f>
        <v>99.97</v>
      </c>
      <c r="R18" s="4">
        <f>IF(((K18 = 0)=TRUE),  0,  ROUND(100 * L18 / K18, 2))</f>
        <v>100</v>
      </c>
      <c r="S18" s="4">
        <f>IF(((M18 = 0)=TRUE),  0,  ROUND(100 * N18 / M18, 2))</f>
        <v>99.27</v>
      </c>
      <c r="T18" s="4" t="b">
        <f>AND(((E18 = "")=TRUE), ((G18 &gt; 0)=TRUE), ((O18 = 0)=TRUE))</f>
        <v>0</v>
      </c>
      <c r="U18" s="4" t="str">
        <f>IF(((T18)=TRUE),  C18,  "")</f>
      </c>
      <c r="V18" s="4" t="b">
        <f>_xlfn.IFNA(IF(((INDEX(ConformanceRuns!F2:F5, MATCH(C18,ConformanceRuns!A2:A5, 0))="")=TRUE),  "",  INDEX(ConformanceRuns!F2:F5, MATCH(C18,ConformanceRuns!A2:A5, 0))), "")</f>
        <v>0</v>
      </c>
      <c r="W18" s="4">
        <f>IF(((V18)=TRUE),  G18,  0)</f>
        <v>0</v>
      </c>
      <c r="X18" s="4">
        <f>IF(((V18)=TRUE),  H18,  0)</f>
        <v>0</v>
      </c>
      <c r="Y18" s="4">
        <f>IF(((AND(((V18)=TRUE), ((E18 &lt;&gt; "")=TRUE)))=TRUE),  1,  0)</f>
        <v>0</v>
      </c>
      <c r="Z18" s="4" t="str">
        <f>_xlfn.IFNA(IF(((INDEX(ConformanceSubstrates!C2:C9, MATCH(D18,ConformanceSubstrates!A2:A9, 0))="")=TRUE),  "",  INDEX(ConformanceSubstrates!C2:C9, MATCH(D18,ConformanceSubstrates!A2:A9, 0))), "")</f>
        <v>C# / Entity Framework</v>
      </c>
      <c r="AA18" s="3" t="s">
        <v>1914</v>
      </c>
    </row>
    <row r="19">
      <c r="A19" s="3" t="s">
        <v>14094</v>
      </c>
      <c r="B19" s="4" t="str">
        <f>_xlfn.CONCAT(C19, " / ", D19)</f>
        <v>run-20260914-083430 / effortless-golang</v>
      </c>
      <c r="C19" s="3" t="s">
        <v>14071</v>
      </c>
      <c r="D19" s="3" t="s">
        <v>14035</v>
      </c>
      <c r="E19" s="3" t="s">
        <v>168</v>
      </c>
      <c r="F19" s="3">
        <v>2.5</v>
      </c>
      <c r="G19" s="3">
        <v>74034</v>
      </c>
      <c r="H19" s="3">
        <v>74034</v>
      </c>
      <c r="I19" s="3">
        <v>49788</v>
      </c>
      <c r="J19" s="3">
        <v>49788</v>
      </c>
      <c r="K19" s="3">
        <v>19059</v>
      </c>
      <c r="L19" s="3">
        <v>19059</v>
      </c>
      <c r="M19" s="3">
        <v>5187</v>
      </c>
      <c r="N19" s="3">
        <v>5187</v>
      </c>
      <c r="O19" s="4">
        <f>G19 - H19</f>
        <v>0</v>
      </c>
      <c r="P19" s="4">
        <f>IF(((G19 = 0)=TRUE),  0,  ROUND(100 * H19 / G19, 2))</f>
        <v>100</v>
      </c>
      <c r="Q19" s="4">
        <f>IF(((I19 = 0)=TRUE),  0,  ROUND(100 * J19 / I19, 2))</f>
        <v>100</v>
      </c>
      <c r="R19" s="4">
        <f>IF(((K19 = 0)=TRUE),  0,  ROUND(100 * L19 / K19, 2))</f>
        <v>100</v>
      </c>
      <c r="S19" s="4">
        <f>IF(((M19 = 0)=TRUE),  0,  ROUND(100 * N19 / M19, 2))</f>
        <v>100</v>
      </c>
      <c r="T19" s="4" t="b">
        <f>AND(((E19 = "")=TRUE), ((G19 &gt; 0)=TRUE), ((O19 = 0)=TRUE))</f>
        <v>1</v>
      </c>
      <c r="U19" s="4" t="str">
        <f>IF(((T19)=TRUE),  C19,  "")</f>
        <v>run-20260914-083430</v>
      </c>
      <c r="V19" s="4" t="b">
        <f>_xlfn.IFNA(IF(((INDEX(ConformanceRuns!F2:F5, MATCH(C19,ConformanceRuns!A2:A5, 0))="")=TRUE),  "",  INDEX(ConformanceRuns!F2:F5, MATCH(C19,ConformanceRuns!A2:A5, 0))), "")</f>
        <v>0</v>
      </c>
      <c r="W19" s="4">
        <f>IF(((V19)=TRUE),  G19,  0)</f>
        <v>0</v>
      </c>
      <c r="X19" s="4">
        <f>IF(((V19)=TRUE),  H19,  0)</f>
        <v>0</v>
      </c>
      <c r="Y19" s="4">
        <f>IF(((AND(((V19)=TRUE), ((E19 &lt;&gt; "")=TRUE)))=TRUE),  1,  0)</f>
        <v>0</v>
      </c>
      <c r="Z19" s="4" t="str">
        <f>_xlfn.IFNA(IF(((INDEX(ConformanceSubstrates!C2:C9, MATCH(D19,ConformanceSubstrates!A2:A9, 0))="")=TRUE),  "",  INDEX(ConformanceSubstrates!C2:C9, MATCH(D19,ConformanceSubstrates!A2:A9, 0))), "")</f>
        <v>Go</v>
      </c>
      <c r="AA19" s="3" t="s">
        <v>1914</v>
      </c>
    </row>
    <row r="20">
      <c r="A20" s="3" t="s">
        <v>14095</v>
      </c>
      <c r="B20" s="4" t="str">
        <f>_xlfn.CONCAT(C20, " / ", D20)</f>
        <v>run-20260914-083430 / effortless-owl</v>
      </c>
      <c r="C20" s="3" t="s">
        <v>14071</v>
      </c>
      <c r="D20" s="3" t="s">
        <v>14059</v>
      </c>
      <c r="E20" s="3" t="s">
        <v>168</v>
      </c>
      <c r="F20" s="3">
        <v>81</v>
      </c>
      <c r="G20" s="3">
        <v>74034</v>
      </c>
      <c r="H20" s="3">
        <v>71926</v>
      </c>
      <c r="I20" s="3">
        <v>49788</v>
      </c>
      <c r="J20" s="3">
        <v>47724</v>
      </c>
      <c r="K20" s="3">
        <v>19059</v>
      </c>
      <c r="L20" s="3">
        <v>19059</v>
      </c>
      <c r="M20" s="3">
        <v>5187</v>
      </c>
      <c r="N20" s="3">
        <v>5143</v>
      </c>
      <c r="O20" s="4">
        <f>G20 - H20</f>
        <v>2108</v>
      </c>
      <c r="P20" s="4">
        <f>IF(((G20 = 0)=TRUE),  0,  ROUND(100 * H20 / G20, 2))</f>
        <v>97.15</v>
      </c>
      <c r="Q20" s="4">
        <f>IF(((I20 = 0)=TRUE),  0,  ROUND(100 * J20 / I20, 2))</f>
        <v>95.85</v>
      </c>
      <c r="R20" s="4">
        <f>IF(((K20 = 0)=TRUE),  0,  ROUND(100 * L20 / K20, 2))</f>
        <v>100</v>
      </c>
      <c r="S20" s="4">
        <f>IF(((M20 = 0)=TRUE),  0,  ROUND(100 * N20 / M20, 2))</f>
        <v>99.15</v>
      </c>
      <c r="T20" s="4" t="b">
        <f>AND(((E20 = "")=TRUE), ((G20 &gt; 0)=TRUE), ((O20 = 0)=TRUE))</f>
        <v>0</v>
      </c>
      <c r="U20" s="4" t="str">
        <f>IF(((T20)=TRUE),  C20,  "")</f>
      </c>
      <c r="V20" s="4" t="b">
        <f>_xlfn.IFNA(IF(((INDEX(ConformanceRuns!F2:F5, MATCH(C20,ConformanceRuns!A2:A5, 0))="")=TRUE),  "",  INDEX(ConformanceRuns!F2:F5, MATCH(C20,ConformanceRuns!A2:A5, 0))), "")</f>
        <v>0</v>
      </c>
      <c r="W20" s="4">
        <f>IF(((V20)=TRUE),  G20,  0)</f>
        <v>0</v>
      </c>
      <c r="X20" s="4">
        <f>IF(((V20)=TRUE),  H20,  0)</f>
        <v>0</v>
      </c>
      <c r="Y20" s="4">
        <f>IF(((AND(((V20)=TRUE), ((E20 &lt;&gt; "")=TRUE)))=TRUE),  1,  0)</f>
        <v>0</v>
      </c>
      <c r="Z20" s="4" t="str">
        <f>_xlfn.IFNA(IF(((INDEX(ConformanceSubstrates!C2:C9, MATCH(D20,ConformanceSubstrates!A2:A9, 0))="")=TRUE),  "",  INDEX(ConformanceSubstrates!C2:C9, MATCH(D20,ConformanceSubstrates!A2:A9, 0))), "")</f>
        <v>OWL / SHACL</v>
      </c>
      <c r="AA20" s="3" t="s">
        <v>1914</v>
      </c>
    </row>
    <row r="21">
      <c r="A21" s="3" t="s">
        <v>14096</v>
      </c>
      <c r="B21" s="4" t="str">
        <f>_xlfn.CONCAT(C21, " / ", D21)</f>
        <v>run-20260914-083430 / effortless-python</v>
      </c>
      <c r="C21" s="3" t="s">
        <v>14071</v>
      </c>
      <c r="D21" s="3" t="s">
        <v>14029</v>
      </c>
      <c r="E21" s="3" t="s">
        <v>168</v>
      </c>
      <c r="F21" s="3">
        <v>2.1</v>
      </c>
      <c r="G21" s="3">
        <v>74034</v>
      </c>
      <c r="H21" s="3">
        <v>74034</v>
      </c>
      <c r="I21" s="3">
        <v>49788</v>
      </c>
      <c r="J21" s="3">
        <v>49788</v>
      </c>
      <c r="K21" s="3">
        <v>19059</v>
      </c>
      <c r="L21" s="3">
        <v>19059</v>
      </c>
      <c r="M21" s="3">
        <v>5187</v>
      </c>
      <c r="N21" s="3">
        <v>5187</v>
      </c>
      <c r="O21" s="4">
        <f>G21 - H21</f>
        <v>0</v>
      </c>
      <c r="P21" s="4">
        <f>IF(((G21 = 0)=TRUE),  0,  ROUND(100 * H21 / G21, 2))</f>
        <v>100</v>
      </c>
      <c r="Q21" s="4">
        <f>IF(((I21 = 0)=TRUE),  0,  ROUND(100 * J21 / I21, 2))</f>
        <v>100</v>
      </c>
      <c r="R21" s="4">
        <f>IF(((K21 = 0)=TRUE),  0,  ROUND(100 * L21 / K21, 2))</f>
        <v>100</v>
      </c>
      <c r="S21" s="4">
        <f>IF(((M21 = 0)=TRUE),  0,  ROUND(100 * N21 / M21, 2))</f>
        <v>100</v>
      </c>
      <c r="T21" s="4" t="b">
        <f>AND(((E21 = "")=TRUE), ((G21 &gt; 0)=TRUE), ((O21 = 0)=TRUE))</f>
        <v>1</v>
      </c>
      <c r="U21" s="4" t="str">
        <f>IF(((T21)=TRUE),  C21,  "")</f>
        <v>run-20260914-083430</v>
      </c>
      <c r="V21" s="4" t="b">
        <f>_xlfn.IFNA(IF(((INDEX(ConformanceRuns!F2:F5, MATCH(C21,ConformanceRuns!A2:A5, 0))="")=TRUE),  "",  INDEX(ConformanceRuns!F2:F5, MATCH(C21,ConformanceRuns!A2:A5, 0))), "")</f>
        <v>0</v>
      </c>
      <c r="W21" s="4">
        <f>IF(((V21)=TRUE),  G21,  0)</f>
        <v>0</v>
      </c>
      <c r="X21" s="4">
        <f>IF(((V21)=TRUE),  H21,  0)</f>
        <v>0</v>
      </c>
      <c r="Y21" s="4">
        <f>IF(((AND(((V21)=TRUE), ((E21 &lt;&gt; "")=TRUE)))=TRUE),  1,  0)</f>
        <v>0</v>
      </c>
      <c r="Z21" s="4" t="str">
        <f>_xlfn.IFNA(IF(((INDEX(ConformanceSubstrates!C2:C9, MATCH(D21,ConformanceSubstrates!A2:A9, 0))="")=TRUE),  "",  INDEX(ConformanceSubstrates!C2:C9, MATCH(D21,ConformanceSubstrates!A2:A9, 0))), "")</f>
        <v>Python</v>
      </c>
      <c r="AA21" s="3" t="s">
        <v>1914</v>
      </c>
    </row>
    <row r="22">
      <c r="A22" s="3" t="s">
        <v>14097</v>
      </c>
      <c r="B22" s="4" t="str">
        <f>_xlfn.CONCAT(C22, " / ", D22)</f>
        <v>run-20260914-083430 / effortless-typescript</v>
      </c>
      <c r="C22" s="3" t="s">
        <v>14071</v>
      </c>
      <c r="D22" s="3" t="s">
        <v>14041</v>
      </c>
      <c r="E22" s="3" t="s">
        <v>168</v>
      </c>
      <c r="F22" s="3">
        <v>2.4</v>
      </c>
      <c r="G22" s="3">
        <v>74034</v>
      </c>
      <c r="H22" s="3">
        <v>74034</v>
      </c>
      <c r="I22" s="3">
        <v>49788</v>
      </c>
      <c r="J22" s="3">
        <v>49788</v>
      </c>
      <c r="K22" s="3">
        <v>19059</v>
      </c>
      <c r="L22" s="3">
        <v>19059</v>
      </c>
      <c r="M22" s="3">
        <v>5187</v>
      </c>
      <c r="N22" s="3">
        <v>5187</v>
      </c>
      <c r="O22" s="4">
        <f>G22 - H22</f>
        <v>0</v>
      </c>
      <c r="P22" s="4">
        <f>IF(((G22 = 0)=TRUE),  0,  ROUND(100 * H22 / G22, 2))</f>
        <v>100</v>
      </c>
      <c r="Q22" s="4">
        <f>IF(((I22 = 0)=TRUE),  0,  ROUND(100 * J22 / I22, 2))</f>
        <v>100</v>
      </c>
      <c r="R22" s="4">
        <f>IF(((K22 = 0)=TRUE),  0,  ROUND(100 * L22 / K22, 2))</f>
        <v>100</v>
      </c>
      <c r="S22" s="4">
        <f>IF(((M22 = 0)=TRUE),  0,  ROUND(100 * N22 / M22, 2))</f>
        <v>100</v>
      </c>
      <c r="T22" s="4" t="b">
        <f>AND(((E22 = "")=TRUE), ((G22 &gt; 0)=TRUE), ((O22 = 0)=TRUE))</f>
        <v>1</v>
      </c>
      <c r="U22" s="4" t="str">
        <f>IF(((T22)=TRUE),  C22,  "")</f>
        <v>run-20260914-083430</v>
      </c>
      <c r="V22" s="4" t="b">
        <f>_xlfn.IFNA(IF(((INDEX(ConformanceRuns!F2:F5, MATCH(C22,ConformanceRuns!A2:A5, 0))="")=TRUE),  "",  INDEX(ConformanceRuns!F2:F5, MATCH(C22,ConformanceRuns!A2:A5, 0))), "")</f>
        <v>0</v>
      </c>
      <c r="W22" s="4">
        <f>IF(((V22)=TRUE),  G22,  0)</f>
        <v>0</v>
      </c>
      <c r="X22" s="4">
        <f>IF(((V22)=TRUE),  H22,  0)</f>
        <v>0</v>
      </c>
      <c r="Y22" s="4">
        <f>IF(((AND(((V22)=TRUE), ((E22 &lt;&gt; "")=TRUE)))=TRUE),  1,  0)</f>
        <v>0</v>
      </c>
      <c r="Z22" s="4" t="str">
        <f>_xlfn.IFNA(IF(((INDEX(ConformanceSubstrates!C2:C9, MATCH(D22,ConformanceSubstrates!A2:A9, 0))="")=TRUE),  "",  INDEX(ConformanceSubstrates!C2:C9, MATCH(D22,ConformanceSubstrates!A2:A9, 0))), "")</f>
        <v>TypeScript</v>
      </c>
      <c r="AA22" s="3" t="s">
        <v>1914</v>
      </c>
    </row>
    <row r="23">
      <c r="A23" s="3" t="s">
        <v>14098</v>
      </c>
      <c r="B23" s="4" t="str">
        <f>_xlfn.CONCAT(C23, " / ", D23)</f>
        <v>run-20260914-223223 / effortless-postgres</v>
      </c>
      <c r="C23" s="3" t="s">
        <v>14074</v>
      </c>
      <c r="D23" s="3" t="s">
        <v>14022</v>
      </c>
      <c r="E23" s="3" t="s">
        <v>168</v>
      </c>
      <c r="F23" s="3">
        <v>24.3</v>
      </c>
      <c r="G23" s="3">
        <v>67447</v>
      </c>
      <c r="H23" s="3">
        <v>67447</v>
      </c>
      <c r="I23" s="3">
        <v>47577</v>
      </c>
      <c r="J23" s="3">
        <v>47577</v>
      </c>
      <c r="K23" s="3">
        <v>15005</v>
      </c>
      <c r="L23" s="3">
        <v>15005</v>
      </c>
      <c r="M23" s="3">
        <v>4865</v>
      </c>
      <c r="N23" s="3">
        <v>4865</v>
      </c>
      <c r="O23" s="4">
        <f>G23 - H23</f>
        <v>0</v>
      </c>
      <c r="P23" s="4">
        <f>IF(((G23 = 0)=TRUE),  0,  ROUND(100 * H23 / G23, 2))</f>
        <v>100</v>
      </c>
      <c r="Q23" s="4">
        <f>IF(((I23 = 0)=TRUE),  0,  ROUND(100 * J23 / I23, 2))</f>
        <v>100</v>
      </c>
      <c r="R23" s="4">
        <f>IF(((K23 = 0)=TRUE),  0,  ROUND(100 * L23 / K23, 2))</f>
        <v>100</v>
      </c>
      <c r="S23" s="4">
        <f>IF(((M23 = 0)=TRUE),  0,  ROUND(100 * N23 / M23, 2))</f>
        <v>100</v>
      </c>
      <c r="T23" s="4" t="b">
        <f>AND(((E23 = "")=TRUE), ((G23 &gt; 0)=TRUE), ((O23 = 0)=TRUE))</f>
        <v>1</v>
      </c>
      <c r="U23" s="4" t="str">
        <f>IF(((T23)=TRUE),  C23,  "")</f>
        <v>run-20260914-223223</v>
      </c>
      <c r="V23" s="4" t="b">
        <f>_xlfn.IFNA(IF(((INDEX(ConformanceRuns!F2:F5, MATCH(C23,ConformanceRuns!A2:A5, 0))="")=TRUE),  "",  INDEX(ConformanceRuns!F2:F5, MATCH(C23,ConformanceRuns!A2:A5, 0))), "")</f>
        <v>1</v>
      </c>
      <c r="W23" s="4">
        <f>IF(((V23)=TRUE),  G23,  0)</f>
        <v>67447</v>
      </c>
      <c r="X23" s="4">
        <f>IF(((V23)=TRUE),  H23,  0)</f>
        <v>67447</v>
      </c>
      <c r="Y23" s="4">
        <f>IF(((AND(((V23)=TRUE), ((E23 &lt;&gt; "")=TRUE)))=TRUE),  1,  0)</f>
        <v>0</v>
      </c>
      <c r="Z23" s="4" t="str">
        <f>_xlfn.IFNA(IF(((INDEX(ConformanceSubstrates!C2:C9, MATCH(D23,ConformanceSubstrates!A2:A9, 0))="")=TRUE),  "",  INDEX(ConformanceSubstrates!C2:C9, MATCH(D23,ConformanceSubstrates!A2:A9, 0))), "")</f>
        <v>PostgreSQL</v>
      </c>
      <c r="AA23" s="3" t="s">
        <v>1914</v>
      </c>
    </row>
    <row r="24">
      <c r="A24" s="3" t="s">
        <v>14099</v>
      </c>
      <c r="B24" s="4" t="str">
        <f>_xlfn.CONCAT(C24, " / ", D24)</f>
        <v>run-20260914-223223 / effortless-xlsx</v>
      </c>
      <c r="C24" s="3" t="s">
        <v>14074</v>
      </c>
      <c r="D24" s="3" t="s">
        <v>14053</v>
      </c>
      <c r="E24" s="3" t="s">
        <v>168</v>
      </c>
      <c r="F24" s="3">
        <v>1.6</v>
      </c>
      <c r="G24" s="3">
        <v>67447</v>
      </c>
      <c r="H24" s="3">
        <v>67242</v>
      </c>
      <c r="I24" s="3">
        <v>47577</v>
      </c>
      <c r="J24" s="3">
        <v>47473</v>
      </c>
      <c r="K24" s="3">
        <v>15005</v>
      </c>
      <c r="L24" s="3">
        <v>14979</v>
      </c>
      <c r="M24" s="3">
        <v>4865</v>
      </c>
      <c r="N24" s="3">
        <v>4790</v>
      </c>
      <c r="O24" s="4">
        <f>G24 - H24</f>
        <v>205</v>
      </c>
      <c r="P24" s="4">
        <f>IF(((G24 = 0)=TRUE),  0,  ROUND(100 * H24 / G24, 2))</f>
        <v>99.7</v>
      </c>
      <c r="Q24" s="4">
        <f>IF(((I24 = 0)=TRUE),  0,  ROUND(100 * J24 / I24, 2))</f>
        <v>99.78</v>
      </c>
      <c r="R24" s="4">
        <f>IF(((K24 = 0)=TRUE),  0,  ROUND(100 * L24 / K24, 2))</f>
        <v>99.83</v>
      </c>
      <c r="S24" s="4">
        <f>IF(((M24 = 0)=TRUE),  0,  ROUND(100 * N24 / M24, 2))</f>
        <v>98.46</v>
      </c>
      <c r="T24" s="4" t="b">
        <f>AND(((E24 = "")=TRUE), ((G24 &gt; 0)=TRUE), ((O24 = 0)=TRUE))</f>
        <v>0</v>
      </c>
      <c r="U24" s="4" t="str">
        <f>IF(((T24)=TRUE),  C24,  "")</f>
      </c>
      <c r="V24" s="4" t="b">
        <f>_xlfn.IFNA(IF(((INDEX(ConformanceRuns!F2:F5, MATCH(C24,ConformanceRuns!A2:A5, 0))="")=TRUE),  "",  INDEX(ConformanceRuns!F2:F5, MATCH(C24,ConformanceRuns!A2:A5, 0))), "")</f>
        <v>1</v>
      </c>
      <c r="W24" s="4">
        <f>IF(((V24)=TRUE),  G24,  0)</f>
        <v>67447</v>
      </c>
      <c r="X24" s="4">
        <f>IF(((V24)=TRUE),  H24,  0)</f>
        <v>67242</v>
      </c>
      <c r="Y24" s="4">
        <f>IF(((AND(((V24)=TRUE), ((E24 &lt;&gt; "")=TRUE)))=TRUE),  1,  0)</f>
        <v>0</v>
      </c>
      <c r="Z24" s="4" t="str">
        <f>_xlfn.IFNA(IF(((INDEX(ConformanceSubstrates!C2:C9, MATCH(D24,ConformanceSubstrates!A2:A9, 0))="")=TRUE),  "",  INDEX(ConformanceSubstrates!C2:C9, MATCH(D24,ConformanceSubstrates!A2:A9, 0))), "")</f>
        <v>Excel</v>
      </c>
      <c r="AA24" s="3" t="s">
        <v>1914</v>
      </c>
    </row>
    <row r="25">
      <c r="A25" s="3" t="s">
        <v>14100</v>
      </c>
      <c r="B25" s="4" t="str">
        <f>_xlfn.CONCAT(C25, " / ", D25)</f>
        <v>run-20260914-223223 / effortless-entity-framework</v>
      </c>
      <c r="C25" s="3" t="s">
        <v>14074</v>
      </c>
      <c r="D25" s="3" t="s">
        <v>14047</v>
      </c>
      <c r="E25" s="3" t="s">
        <v>168</v>
      </c>
      <c r="F25" s="3">
        <v>6.5</v>
      </c>
      <c r="G25" s="3">
        <v>67447</v>
      </c>
      <c r="H25" s="3">
        <v>67447</v>
      </c>
      <c r="I25" s="3">
        <v>47577</v>
      </c>
      <c r="J25" s="3">
        <v>47577</v>
      </c>
      <c r="K25" s="3">
        <v>15005</v>
      </c>
      <c r="L25" s="3">
        <v>15005</v>
      </c>
      <c r="M25" s="3">
        <v>4865</v>
      </c>
      <c r="N25" s="3">
        <v>4865</v>
      </c>
      <c r="O25" s="4">
        <f>G25 - H25</f>
        <v>0</v>
      </c>
      <c r="P25" s="4">
        <f>IF(((G25 = 0)=TRUE),  0,  ROUND(100 * H25 / G25, 2))</f>
        <v>100</v>
      </c>
      <c r="Q25" s="4">
        <f>IF(((I25 = 0)=TRUE),  0,  ROUND(100 * J25 / I25, 2))</f>
        <v>100</v>
      </c>
      <c r="R25" s="4">
        <f>IF(((K25 = 0)=TRUE),  0,  ROUND(100 * L25 / K25, 2))</f>
        <v>100</v>
      </c>
      <c r="S25" s="4">
        <f>IF(((M25 = 0)=TRUE),  0,  ROUND(100 * N25 / M25, 2))</f>
        <v>100</v>
      </c>
      <c r="T25" s="4" t="b">
        <f>AND(((E25 = "")=TRUE), ((G25 &gt; 0)=TRUE), ((O25 = 0)=TRUE))</f>
        <v>1</v>
      </c>
      <c r="U25" s="4" t="str">
        <f>IF(((T25)=TRUE),  C25,  "")</f>
        <v>run-20260914-223223</v>
      </c>
      <c r="V25" s="4" t="b">
        <f>_xlfn.IFNA(IF(((INDEX(ConformanceRuns!F2:F5, MATCH(C25,ConformanceRuns!A2:A5, 0))="")=TRUE),  "",  INDEX(ConformanceRuns!F2:F5, MATCH(C25,ConformanceRuns!A2:A5, 0))), "")</f>
        <v>1</v>
      </c>
      <c r="W25" s="4">
        <f>IF(((V25)=TRUE),  G25,  0)</f>
        <v>67447</v>
      </c>
      <c r="X25" s="4">
        <f>IF(((V25)=TRUE),  H25,  0)</f>
        <v>67447</v>
      </c>
      <c r="Y25" s="4">
        <f>IF(((AND(((V25)=TRUE), ((E25 &lt;&gt; "")=TRUE)))=TRUE),  1,  0)</f>
        <v>0</v>
      </c>
      <c r="Z25" s="4" t="str">
        <f>_xlfn.IFNA(IF(((INDEX(ConformanceSubstrates!C2:C9, MATCH(D25,ConformanceSubstrates!A2:A9, 0))="")=TRUE),  "",  INDEX(ConformanceSubstrates!C2:C9, MATCH(D25,ConformanceSubstrates!A2:A9, 0))), "")</f>
        <v>C# / Entity Framework</v>
      </c>
      <c r="AA25" s="3" t="s">
        <v>1914</v>
      </c>
    </row>
    <row r="26">
      <c r="A26" s="3" t="s">
        <v>14101</v>
      </c>
      <c r="B26" s="4" t="str">
        <f>_xlfn.CONCAT(C26, " / ", D26)</f>
        <v>run-20260914-223223 / effortless-golang</v>
      </c>
      <c r="C26" s="3" t="s">
        <v>14074</v>
      </c>
      <c r="D26" s="3" t="s">
        <v>14035</v>
      </c>
      <c r="E26" s="3" t="s">
        <v>168</v>
      </c>
      <c r="F26" s="3">
        <v>2.5</v>
      </c>
      <c r="G26" s="3">
        <v>67447</v>
      </c>
      <c r="H26" s="3">
        <v>67447</v>
      </c>
      <c r="I26" s="3">
        <v>47577</v>
      </c>
      <c r="J26" s="3">
        <v>47577</v>
      </c>
      <c r="K26" s="3">
        <v>15005</v>
      </c>
      <c r="L26" s="3">
        <v>15005</v>
      </c>
      <c r="M26" s="3">
        <v>4865</v>
      </c>
      <c r="N26" s="3">
        <v>4865</v>
      </c>
      <c r="O26" s="4">
        <f>G26 - H26</f>
        <v>0</v>
      </c>
      <c r="P26" s="4">
        <f>IF(((G26 = 0)=TRUE),  0,  ROUND(100 * H26 / G26, 2))</f>
        <v>100</v>
      </c>
      <c r="Q26" s="4">
        <f>IF(((I26 = 0)=TRUE),  0,  ROUND(100 * J26 / I26, 2))</f>
        <v>100</v>
      </c>
      <c r="R26" s="4">
        <f>IF(((K26 = 0)=TRUE),  0,  ROUND(100 * L26 / K26, 2))</f>
        <v>100</v>
      </c>
      <c r="S26" s="4">
        <f>IF(((M26 = 0)=TRUE),  0,  ROUND(100 * N26 / M26, 2))</f>
        <v>100</v>
      </c>
      <c r="T26" s="4" t="b">
        <f>AND(((E26 = "")=TRUE), ((G26 &gt; 0)=TRUE), ((O26 = 0)=TRUE))</f>
        <v>1</v>
      </c>
      <c r="U26" s="4" t="str">
        <f>IF(((T26)=TRUE),  C26,  "")</f>
        <v>run-20260914-223223</v>
      </c>
      <c r="V26" s="4" t="b">
        <f>_xlfn.IFNA(IF(((INDEX(ConformanceRuns!F2:F5, MATCH(C26,ConformanceRuns!A2:A5, 0))="")=TRUE),  "",  INDEX(ConformanceRuns!F2:F5, MATCH(C26,ConformanceRuns!A2:A5, 0))), "")</f>
        <v>1</v>
      </c>
      <c r="W26" s="4">
        <f>IF(((V26)=TRUE),  G26,  0)</f>
        <v>67447</v>
      </c>
      <c r="X26" s="4">
        <f>IF(((V26)=TRUE),  H26,  0)</f>
        <v>67447</v>
      </c>
      <c r="Y26" s="4">
        <f>IF(((AND(((V26)=TRUE), ((E26 &lt;&gt; "")=TRUE)))=TRUE),  1,  0)</f>
        <v>0</v>
      </c>
      <c r="Z26" s="4" t="str">
        <f>_xlfn.IFNA(IF(((INDEX(ConformanceSubstrates!C2:C9, MATCH(D26,ConformanceSubstrates!A2:A9, 0))="")=TRUE),  "",  INDEX(ConformanceSubstrates!C2:C9, MATCH(D26,ConformanceSubstrates!A2:A9, 0))), "")</f>
        <v>Go</v>
      </c>
      <c r="AA26" s="3" t="s">
        <v>1914</v>
      </c>
    </row>
    <row r="27">
      <c r="A27" s="3" t="s">
        <v>14102</v>
      </c>
      <c r="B27" s="4" t="str">
        <f>_xlfn.CONCAT(C27, " / ", D27)</f>
        <v>run-20260914-223223 / effortless-owl</v>
      </c>
      <c r="C27" s="3" t="s">
        <v>14074</v>
      </c>
      <c r="D27" s="3" t="s">
        <v>14059</v>
      </c>
      <c r="E27" s="3" t="s">
        <v>168</v>
      </c>
      <c r="F27" s="3">
        <v>140.7</v>
      </c>
      <c r="G27" s="3">
        <v>67447</v>
      </c>
      <c r="H27" s="3">
        <v>67017</v>
      </c>
      <c r="I27" s="3">
        <v>47577</v>
      </c>
      <c r="J27" s="3">
        <v>47193</v>
      </c>
      <c r="K27" s="3">
        <v>15005</v>
      </c>
      <c r="L27" s="3">
        <v>15005</v>
      </c>
      <c r="M27" s="3">
        <v>4865</v>
      </c>
      <c r="N27" s="3">
        <v>4819</v>
      </c>
      <c r="O27" s="4">
        <f>G27 - H27</f>
        <v>430</v>
      </c>
      <c r="P27" s="4">
        <f>IF(((G27 = 0)=TRUE),  0,  ROUND(100 * H27 / G27, 2))</f>
        <v>99.36</v>
      </c>
      <c r="Q27" s="4">
        <f>IF(((I27 = 0)=TRUE),  0,  ROUND(100 * J27 / I27, 2))</f>
        <v>99.19</v>
      </c>
      <c r="R27" s="4">
        <f>IF(((K27 = 0)=TRUE),  0,  ROUND(100 * L27 / K27, 2))</f>
        <v>100</v>
      </c>
      <c r="S27" s="4">
        <f>IF(((M27 = 0)=TRUE),  0,  ROUND(100 * N27 / M27, 2))</f>
        <v>99.05</v>
      </c>
      <c r="T27" s="4" t="b">
        <f>AND(((E27 = "")=TRUE), ((G27 &gt; 0)=TRUE), ((O27 = 0)=TRUE))</f>
        <v>0</v>
      </c>
      <c r="U27" s="4" t="str">
        <f>IF(((T27)=TRUE),  C27,  "")</f>
      </c>
      <c r="V27" s="4" t="b">
        <f>_xlfn.IFNA(IF(((INDEX(ConformanceRuns!F2:F5, MATCH(C27,ConformanceRuns!A2:A5, 0))="")=TRUE),  "",  INDEX(ConformanceRuns!F2:F5, MATCH(C27,ConformanceRuns!A2:A5, 0))), "")</f>
        <v>1</v>
      </c>
      <c r="W27" s="4">
        <f>IF(((V27)=TRUE),  G27,  0)</f>
        <v>67447</v>
      </c>
      <c r="X27" s="4">
        <f>IF(((V27)=TRUE),  H27,  0)</f>
        <v>67017</v>
      </c>
      <c r="Y27" s="4">
        <f>IF(((AND(((V27)=TRUE), ((E27 &lt;&gt; "")=TRUE)))=TRUE),  1,  0)</f>
        <v>0</v>
      </c>
      <c r="Z27" s="4" t="str">
        <f>_xlfn.IFNA(IF(((INDEX(ConformanceSubstrates!C2:C9, MATCH(D27,ConformanceSubstrates!A2:A9, 0))="")=TRUE),  "",  INDEX(ConformanceSubstrates!C2:C9, MATCH(D27,ConformanceSubstrates!A2:A9, 0))), "")</f>
        <v>OWL / SHACL</v>
      </c>
      <c r="AA27" s="3" t="s">
        <v>1914</v>
      </c>
    </row>
    <row r="28">
      <c r="A28" s="3" t="s">
        <v>14103</v>
      </c>
      <c r="B28" s="4" t="str">
        <f>_xlfn.CONCAT(C28, " / ", D28)</f>
        <v>run-20260914-223223 / effortless-python</v>
      </c>
      <c r="C28" s="3" t="s">
        <v>14074</v>
      </c>
      <c r="D28" s="3" t="s">
        <v>14029</v>
      </c>
      <c r="E28" s="3" t="s">
        <v>168</v>
      </c>
      <c r="F28" s="3">
        <v>1.3</v>
      </c>
      <c r="G28" s="3">
        <v>67447</v>
      </c>
      <c r="H28" s="3">
        <v>67447</v>
      </c>
      <c r="I28" s="3">
        <v>47577</v>
      </c>
      <c r="J28" s="3">
        <v>47577</v>
      </c>
      <c r="K28" s="3">
        <v>15005</v>
      </c>
      <c r="L28" s="3">
        <v>15005</v>
      </c>
      <c r="M28" s="3">
        <v>4865</v>
      </c>
      <c r="N28" s="3">
        <v>4865</v>
      </c>
      <c r="O28" s="4">
        <f>G28 - H28</f>
        <v>0</v>
      </c>
      <c r="P28" s="4">
        <f>IF(((G28 = 0)=TRUE),  0,  ROUND(100 * H28 / G28, 2))</f>
        <v>100</v>
      </c>
      <c r="Q28" s="4">
        <f>IF(((I28 = 0)=TRUE),  0,  ROUND(100 * J28 / I28, 2))</f>
        <v>100</v>
      </c>
      <c r="R28" s="4">
        <f>IF(((K28 = 0)=TRUE),  0,  ROUND(100 * L28 / K28, 2))</f>
        <v>100</v>
      </c>
      <c r="S28" s="4">
        <f>IF(((M28 = 0)=TRUE),  0,  ROUND(100 * N28 / M28, 2))</f>
        <v>100</v>
      </c>
      <c r="T28" s="4" t="b">
        <f>AND(((E28 = "")=TRUE), ((G28 &gt; 0)=TRUE), ((O28 = 0)=TRUE))</f>
        <v>1</v>
      </c>
      <c r="U28" s="4" t="str">
        <f>IF(((T28)=TRUE),  C28,  "")</f>
        <v>run-20260914-223223</v>
      </c>
      <c r="V28" s="4" t="b">
        <f>_xlfn.IFNA(IF(((INDEX(ConformanceRuns!F2:F5, MATCH(C28,ConformanceRuns!A2:A5, 0))="")=TRUE),  "",  INDEX(ConformanceRuns!F2:F5, MATCH(C28,ConformanceRuns!A2:A5, 0))), "")</f>
        <v>1</v>
      </c>
      <c r="W28" s="4">
        <f>IF(((V28)=TRUE),  G28,  0)</f>
        <v>67447</v>
      </c>
      <c r="X28" s="4">
        <f>IF(((V28)=TRUE),  H28,  0)</f>
        <v>67447</v>
      </c>
      <c r="Y28" s="4">
        <f>IF(((AND(((V28)=TRUE), ((E28 &lt;&gt; "")=TRUE)))=TRUE),  1,  0)</f>
        <v>0</v>
      </c>
      <c r="Z28" s="4" t="str">
        <f>_xlfn.IFNA(IF(((INDEX(ConformanceSubstrates!C2:C9, MATCH(D28,ConformanceSubstrates!A2:A9, 0))="")=TRUE),  "",  INDEX(ConformanceSubstrates!C2:C9, MATCH(D28,ConformanceSubstrates!A2:A9, 0))), "")</f>
        <v>Python</v>
      </c>
      <c r="AA28" s="3" t="s">
        <v>1914</v>
      </c>
    </row>
    <row r="29">
      <c r="A29" s="3" t="s">
        <v>14104</v>
      </c>
      <c r="B29" s="4" t="str">
        <f>_xlfn.CONCAT(C29, " / ", D29)</f>
        <v>run-20260914-223223 / effortless-typescript</v>
      </c>
      <c r="C29" s="3" t="s">
        <v>14074</v>
      </c>
      <c r="D29" s="3" t="s">
        <v>14041</v>
      </c>
      <c r="E29" s="3" t="s">
        <v>168</v>
      </c>
      <c r="F29" s="3">
        <v>1.9</v>
      </c>
      <c r="G29" s="3">
        <v>67447</v>
      </c>
      <c r="H29" s="3">
        <v>67447</v>
      </c>
      <c r="I29" s="3">
        <v>47577</v>
      </c>
      <c r="J29" s="3">
        <v>47577</v>
      </c>
      <c r="K29" s="3">
        <v>15005</v>
      </c>
      <c r="L29" s="3">
        <v>15005</v>
      </c>
      <c r="M29" s="3">
        <v>4865</v>
      </c>
      <c r="N29" s="3">
        <v>4865</v>
      </c>
      <c r="O29" s="4">
        <f>G29 - H29</f>
        <v>0</v>
      </c>
      <c r="P29" s="4">
        <f>IF(((G29 = 0)=TRUE),  0,  ROUND(100 * H29 / G29, 2))</f>
        <v>100</v>
      </c>
      <c r="Q29" s="4">
        <f>IF(((I29 = 0)=TRUE),  0,  ROUND(100 * J29 / I29, 2))</f>
        <v>100</v>
      </c>
      <c r="R29" s="4">
        <f>IF(((K29 = 0)=TRUE),  0,  ROUND(100 * L29 / K29, 2))</f>
        <v>100</v>
      </c>
      <c r="S29" s="4">
        <f>IF(((M29 = 0)=TRUE),  0,  ROUND(100 * N29 / M29, 2))</f>
        <v>100</v>
      </c>
      <c r="T29" s="4" t="b">
        <f>AND(((E29 = "")=TRUE), ((G29 &gt; 0)=TRUE), ((O29 = 0)=TRUE))</f>
        <v>1</v>
      </c>
      <c r="U29" s="4" t="str">
        <f>IF(((T29)=TRUE),  C29,  "")</f>
        <v>run-20260914-223223</v>
      </c>
      <c r="V29" s="4" t="b">
        <f>_xlfn.IFNA(IF(((INDEX(ConformanceRuns!F2:F5, MATCH(C29,ConformanceRuns!A2:A5, 0))="")=TRUE),  "",  INDEX(ConformanceRuns!F2:F5, MATCH(C29,ConformanceRuns!A2:A5, 0))), "")</f>
        <v>1</v>
      </c>
      <c r="W29" s="4">
        <f>IF(((V29)=TRUE),  G29,  0)</f>
        <v>67447</v>
      </c>
      <c r="X29" s="4">
        <f>IF(((V29)=TRUE),  H29,  0)</f>
        <v>67447</v>
      </c>
      <c r="Y29" s="4">
        <f>IF(((AND(((V29)=TRUE), ((E29 &lt;&gt; "")=TRUE)))=TRUE),  1,  0)</f>
        <v>0</v>
      </c>
      <c r="Z29" s="4" t="str">
        <f>_xlfn.IFNA(IF(((INDEX(ConformanceSubstrates!C2:C9, MATCH(D29,ConformanceSubstrates!A2:A9, 0))="")=TRUE),  "",  INDEX(ConformanceSubstrates!C2:C9, MATCH(D29,ConformanceSubstrates!A2:A9, 0))), "")</f>
        <v>TypeScript</v>
      </c>
      <c r="AA29" s="3" t="s">
        <v>1914</v>
      </c>
    </row>
  </sheetData>
  <autoFilter ref="A1:AA1"/>
  <headerFooter/>
  <legacyDrawing r:id="rId1"/>
</worksheet>
</file>

<file path=xl/worksheets/sheet9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624"/>
  <sheetViews>
    <sheetView workbookViewId="0">
      <pane ySplit="1" topLeftCell="A2" state="frozen" activePane="bottomLeft"/>
      <selection pane="bottomLeft" activeCell="A1" sqref="A1"/>
    </sheetView>
  </sheetViews>
  <sheetFormatPr defaultRowHeight="15"/>
  <cols>
    <col min="1" max="1" width="51.90706253051758" customWidth="1"/>
    <col min="2" max="2" width="53.2597770690918" customWidth="1"/>
    <col min="3" max="3" width="23.239910125732422" customWidth="1"/>
    <col min="4" max="4" width="26.533050537109375" customWidth="1"/>
    <col min="5" max="5" width="25.653127670288086" customWidth="1"/>
    <col min="6" max="6" width="17.443378448486328" customWidth="1"/>
    <col min="7" max="7" width="18.675983428955078" customWidth="1"/>
    <col min="8" max="8" width="17.443378448486328" customWidth="1"/>
    <col min="9" max="9" width="17.443378448486328" customWidth="1"/>
    <col min="10" max="10" width="20.205142974853516" customWidth="1"/>
    <col min="11" max="11" width="17.443378448486328" customWidth="1"/>
    <col min="12" max="12" width="17.443378448486328" customWidth="1"/>
    <col min="13" max="13" width="17.443378448486328" customWidth="1"/>
    <col min="14" max="14" width="23.09164047241211" customWidth="1"/>
    <col min="15" max="15" width="25.653127670288086" customWidth="1"/>
    <col min="16" max="16" width="22.463464736938477" customWidth="1"/>
    <col min="17" max="17" width="22.93600082397461" customWidth="1"/>
    <col min="18" max="18" width="17.443378448486328" customWidth="1"/>
    <col min="19" max="19" width="46.48964309692383" customWidth="1"/>
  </cols>
  <sheetData>
    <row r="1">
      <c r="A1" s="2" t="s">
        <v>5911</v>
      </c>
      <c r="B1" s="2" t="s">
        <v>1</v>
      </c>
      <c r="C1" s="2" t="s">
        <v>5857</v>
      </c>
      <c r="D1" s="2" t="s">
        <v>5859</v>
      </c>
      <c r="E1" s="2" t="s">
        <v>5917</v>
      </c>
      <c r="F1" s="2" t="s">
        <v>5919</v>
      </c>
      <c r="G1" s="2" t="s">
        <v>5921</v>
      </c>
      <c r="H1" s="2" t="s">
        <v>5835</v>
      </c>
      <c r="I1" s="2" t="s">
        <v>5838</v>
      </c>
      <c r="J1" s="2" t="s">
        <v>5925</v>
      </c>
      <c r="K1" s="2" t="s">
        <v>5841</v>
      </c>
      <c r="L1" s="2" t="s">
        <v>5880</v>
      </c>
      <c r="M1" s="2" t="s">
        <v>5891</v>
      </c>
      <c r="N1" s="2" t="s">
        <v>5931</v>
      </c>
      <c r="O1" s="2" t="s">
        <v>5934</v>
      </c>
      <c r="P1" s="2" t="s">
        <v>5806</v>
      </c>
      <c r="Q1" s="2" t="s">
        <v>5907</v>
      </c>
      <c r="R1" s="2" t="s">
        <v>5363</v>
      </c>
      <c r="S1" s="2" t="s">
        <v>94</v>
      </c>
    </row>
    <row r="2">
      <c r="A2" s="3" t="s">
        <v>14105</v>
      </c>
      <c r="B2" s="4" t="str">
        <f>_xlfn.CONCAT(D2, " / ", E2)</f>
        <v>effortless-postgres / RulebookReleases</v>
      </c>
      <c r="C2" s="3" t="s">
        <v>14074</v>
      </c>
      <c r="D2" s="3" t="s">
        <v>14022</v>
      </c>
      <c r="E2" s="3" t="s">
        <v>2415</v>
      </c>
      <c r="F2" s="3">
        <v>1</v>
      </c>
      <c r="G2" s="3">
        <v>1</v>
      </c>
      <c r="H2" s="3">
        <v>1</v>
      </c>
      <c r="I2" s="3">
        <v>1</v>
      </c>
      <c r="J2" s="3" t="b">
        <v>0</v>
      </c>
      <c r="K2" s="4">
        <f>H2 - I2</f>
        <v>0</v>
      </c>
      <c r="L2" s="4">
        <f>IF(((H2 = 0)=TRUE),  0,  ROUND(100 * I2 / H2, 2))</f>
        <v>100</v>
      </c>
      <c r="M2" s="4" t="b">
        <f>K2 = 0</f>
        <v>1</v>
      </c>
      <c r="N2" s="4" t="str">
        <f>IF(((M2)=TRUE),  "",  D2)</f>
      </c>
      <c r="O2" s="4" t="str">
        <f>IF(((M2)=TRUE),  "",  E2)</f>
      </c>
      <c r="P2" s="4">
        <f>COUNTIFS(FieldDisagreements!E2:E50, A2)</f>
        <v>0</v>
      </c>
      <c r="Q2" s="4" t="str">
        <f>_xlfn.IFNA(IF(((INDEX(ConformanceSubstrates!C2:C9, MATCH(D2,ConformanceSubstrates!A2:A9, 0))="")=TRUE),  "",  INDEX(ConformanceSubstrates!C2:C9, MATCH(D2,ConformanceSubstrates!A2:A9, 0))), "")</f>
        <v>PostgreSQL</v>
      </c>
      <c r="R2" s="4" t="str">
        <f>_xlfn.IFNA(IF(((INDEX(RulebookTables!F2:F93, MATCH(E2,RulebookTables!A2:A93, 0))="")=TRUE),  "",  INDEX(RulebookTables!F2:F93, MATCH(E2,RulebookTables!A2:A93, 0))), "")</f>
        <v>meta</v>
      </c>
      <c r="S2" s="3" t="s">
        <v>1918</v>
      </c>
    </row>
    <row r="3">
      <c r="A3" s="3" t="s">
        <v>14106</v>
      </c>
      <c r="B3" s="4" t="str">
        <f>_xlfn.CONCAT(D3, " / ", E3)</f>
        <v>effortless-postgres / OntologyProfiles</v>
      </c>
      <c r="C3" s="3" t="s">
        <v>14074</v>
      </c>
      <c r="D3" s="3" t="s">
        <v>14022</v>
      </c>
      <c r="E3" s="3" t="s">
        <v>2434</v>
      </c>
      <c r="F3" s="3">
        <v>11</v>
      </c>
      <c r="G3" s="3">
        <v>1</v>
      </c>
      <c r="H3" s="3">
        <v>11</v>
      </c>
      <c r="I3" s="3">
        <v>11</v>
      </c>
      <c r="J3" s="3" t="b">
        <v>0</v>
      </c>
      <c r="K3" s="4">
        <f>H3 - I3</f>
        <v>0</v>
      </c>
      <c r="L3" s="4">
        <f>IF(((H3 = 0)=TRUE),  0,  ROUND(100 * I3 / H3, 2))</f>
        <v>100</v>
      </c>
      <c r="M3" s="4" t="b">
        <f>K3 = 0</f>
        <v>1</v>
      </c>
      <c r="N3" s="4" t="str">
        <f>IF(((M3)=TRUE),  "",  D3)</f>
      </c>
      <c r="O3" s="4" t="str">
        <f>IF(((M3)=TRUE),  "",  E3)</f>
      </c>
      <c r="P3" s="4">
        <f>COUNTIFS(FieldDisagreements!E2:E50, A3)</f>
        <v>0</v>
      </c>
      <c r="Q3" s="4" t="str">
        <f>_xlfn.IFNA(IF(((INDEX(ConformanceSubstrates!C2:C9, MATCH(D3,ConformanceSubstrates!A2:A9, 0))="")=TRUE),  "",  INDEX(ConformanceSubstrates!C2:C9, MATCH(D3,ConformanceSubstrates!A2:A9, 0))), "")</f>
        <v>PostgreSQL</v>
      </c>
      <c r="R3" s="4" t="str">
        <f>_xlfn.IFNA(IF(((INDEX(RulebookTables!F2:F93, MATCH(E3,RulebookTables!A2:A93, 0))="")=TRUE),  "",  INDEX(RulebookTables!F2:F93, MATCH(E3,RulebookTables!A2:A93, 0))), "")</f>
        <v>domain</v>
      </c>
      <c r="S3" s="3" t="s">
        <v>1918</v>
      </c>
    </row>
    <row r="4">
      <c r="A4" s="3" t="s">
        <v>14107</v>
      </c>
      <c r="B4" s="4" t="str">
        <f>_xlfn.CONCAT(D4, " / ", E4)</f>
        <v>effortless-postgres / EvaluationContexts</v>
      </c>
      <c r="C4" s="3" t="s">
        <v>14074</v>
      </c>
      <c r="D4" s="3" t="s">
        <v>14022</v>
      </c>
      <c r="E4" s="3" t="s">
        <v>2444</v>
      </c>
      <c r="F4" s="3">
        <v>1</v>
      </c>
      <c r="G4" s="3">
        <v>1</v>
      </c>
      <c r="H4" s="3">
        <v>1</v>
      </c>
      <c r="I4" s="3">
        <v>1</v>
      </c>
      <c r="J4" s="3" t="b">
        <v>0</v>
      </c>
      <c r="K4" s="4">
        <f>H4 - I4</f>
        <v>0</v>
      </c>
      <c r="L4" s="4">
        <f>IF(((H4 = 0)=TRUE),  0,  ROUND(100 * I4 / H4, 2))</f>
        <v>100</v>
      </c>
      <c r="M4" s="4" t="b">
        <f>K4 = 0</f>
        <v>1</v>
      </c>
      <c r="N4" s="4" t="str">
        <f>IF(((M4)=TRUE),  "",  D4)</f>
      </c>
      <c r="O4" s="4" t="str">
        <f>IF(((M4)=TRUE),  "",  E4)</f>
      </c>
      <c r="P4" s="4">
        <f>COUNTIFS(FieldDisagreements!E2:E50, A4)</f>
        <v>0</v>
      </c>
      <c r="Q4" s="4" t="str">
        <f>_xlfn.IFNA(IF(((INDEX(ConformanceSubstrates!C2:C9, MATCH(D4,ConformanceSubstrates!A2:A9, 0))="")=TRUE),  "",  INDEX(ConformanceSubstrates!C2:C9, MATCH(D4,ConformanceSubstrates!A2:A9, 0))), "")</f>
        <v>PostgreSQL</v>
      </c>
      <c r="R4" s="4" t="str">
        <f>_xlfn.IFNA(IF(((INDEX(RulebookTables!F2:F93, MATCH(E4,RulebookTables!A2:A93, 0))="")=TRUE),  "",  INDEX(RulebookTables!F2:F93, MATCH(E4,RulebookTables!A2:A93, 0))), "")</f>
        <v>meta</v>
      </c>
      <c r="S4" s="3" t="s">
        <v>1918</v>
      </c>
    </row>
    <row r="5">
      <c r="A5" s="3" t="s">
        <v>14108</v>
      </c>
      <c r="B5" s="4" t="str">
        <f>_xlfn.CONCAT(D5, " / ", E5)</f>
        <v>effortless-postgres / Organizations</v>
      </c>
      <c r="C5" s="3" t="s">
        <v>14074</v>
      </c>
      <c r="D5" s="3" t="s">
        <v>14022</v>
      </c>
      <c r="E5" s="3" t="s">
        <v>2453</v>
      </c>
      <c r="F5" s="3">
        <v>4</v>
      </c>
      <c r="G5" s="3">
        <v>1</v>
      </c>
      <c r="H5" s="3">
        <v>4</v>
      </c>
      <c r="I5" s="3">
        <v>4</v>
      </c>
      <c r="J5" s="3" t="b">
        <v>0</v>
      </c>
      <c r="K5" s="4">
        <f>H5 - I5</f>
        <v>0</v>
      </c>
      <c r="L5" s="4">
        <f>IF(((H5 = 0)=TRUE),  0,  ROUND(100 * I5 / H5, 2))</f>
        <v>100</v>
      </c>
      <c r="M5" s="4" t="b">
        <f>K5 = 0</f>
        <v>1</v>
      </c>
      <c r="N5" s="4" t="str">
        <f>IF(((M5)=TRUE),  "",  D5)</f>
      </c>
      <c r="O5" s="4" t="str">
        <f>IF(((M5)=TRUE),  "",  E5)</f>
      </c>
      <c r="P5" s="4">
        <f>COUNTIFS(FieldDisagreements!E2:E50, A5)</f>
        <v>0</v>
      </c>
      <c r="Q5" s="4" t="str">
        <f>_xlfn.IFNA(IF(((INDEX(ConformanceSubstrates!C2:C9, MATCH(D5,ConformanceSubstrates!A2:A9, 0))="")=TRUE),  "",  INDEX(ConformanceSubstrates!C2:C9, MATCH(D5,ConformanceSubstrates!A2:A9, 0))), "")</f>
        <v>PostgreSQL</v>
      </c>
      <c r="R5" s="4" t="str">
        <f>_xlfn.IFNA(IF(((INDEX(RulebookTables!F2:F93, MATCH(E5,RulebookTables!A2:A93, 0))="")=TRUE),  "",  INDEX(RulebookTables!F2:F93, MATCH(E5,RulebookTables!A2:A93, 0))), "")</f>
        <v>org</v>
      </c>
      <c r="S5" s="3" t="s">
        <v>1918</v>
      </c>
    </row>
    <row r="6">
      <c r="A6" s="3" t="s">
        <v>14109</v>
      </c>
      <c r="B6" s="4" t="str">
        <f>_xlfn.CONCAT(D6, " / ", E6)</f>
        <v>effortless-postgres / Agents</v>
      </c>
      <c r="C6" s="3" t="s">
        <v>14074</v>
      </c>
      <c r="D6" s="3" t="s">
        <v>14022</v>
      </c>
      <c r="E6" s="3" t="s">
        <v>1814</v>
      </c>
      <c r="F6" s="3">
        <v>11</v>
      </c>
      <c r="G6" s="3">
        <v>16</v>
      </c>
      <c r="H6" s="3">
        <v>176</v>
      </c>
      <c r="I6" s="3">
        <v>176</v>
      </c>
      <c r="J6" s="3" t="b">
        <v>0</v>
      </c>
      <c r="K6" s="4">
        <f>H6 - I6</f>
        <v>0</v>
      </c>
      <c r="L6" s="4">
        <f>IF(((H6 = 0)=TRUE),  0,  ROUND(100 * I6 / H6, 2))</f>
        <v>100</v>
      </c>
      <c r="M6" s="4" t="b">
        <f>K6 = 0</f>
        <v>1</v>
      </c>
      <c r="N6" s="4" t="str">
        <f>IF(((M6)=TRUE),  "",  D6)</f>
      </c>
      <c r="O6" s="4" t="str">
        <f>IF(((M6)=TRUE),  "",  E6)</f>
      </c>
      <c r="P6" s="4">
        <f>COUNTIFS(FieldDisagreements!E2:E50, A6)</f>
        <v>0</v>
      </c>
      <c r="Q6" s="4" t="str">
        <f>_xlfn.IFNA(IF(((INDEX(ConformanceSubstrates!C2:C9, MATCH(D6,ConformanceSubstrates!A2:A9, 0))="")=TRUE),  "",  INDEX(ConformanceSubstrates!C2:C9, MATCH(D6,ConformanceSubstrates!A2:A9, 0))), "")</f>
        <v>PostgreSQL</v>
      </c>
      <c r="R6" s="4" t="str">
        <f>_xlfn.IFNA(IF(((INDEX(RulebookTables!F2:F93, MATCH(E6,RulebookTables!A2:A93, 0))="")=TRUE),  "",  INDEX(RulebookTables!F2:F93, MATCH(E6,RulebookTables!A2:A93, 0))), "")</f>
        <v>org</v>
      </c>
      <c r="S6" s="3" t="s">
        <v>1918</v>
      </c>
    </row>
    <row r="7">
      <c r="A7" s="3" t="s">
        <v>14110</v>
      </c>
      <c r="B7" s="4" t="str">
        <f>_xlfn.CONCAT(D7, " / ", E7)</f>
        <v>effortless-postgres / Roles</v>
      </c>
      <c r="C7" s="3" t="s">
        <v>14074</v>
      </c>
      <c r="D7" s="3" t="s">
        <v>14022</v>
      </c>
      <c r="E7" s="3" t="s">
        <v>1818</v>
      </c>
      <c r="F7" s="3">
        <v>12</v>
      </c>
      <c r="G7" s="3">
        <v>17</v>
      </c>
      <c r="H7" s="3">
        <v>204</v>
      </c>
      <c r="I7" s="3">
        <v>204</v>
      </c>
      <c r="J7" s="3" t="b">
        <v>0</v>
      </c>
      <c r="K7" s="4">
        <f>H7 - I7</f>
        <v>0</v>
      </c>
      <c r="L7" s="4">
        <f>IF(((H7 = 0)=TRUE),  0,  ROUND(100 * I7 / H7, 2))</f>
        <v>100</v>
      </c>
      <c r="M7" s="4" t="b">
        <f>K7 = 0</f>
        <v>1</v>
      </c>
      <c r="N7" s="4" t="str">
        <f>IF(((M7)=TRUE),  "",  D7)</f>
      </c>
      <c r="O7" s="4" t="str">
        <f>IF(((M7)=TRUE),  "",  E7)</f>
      </c>
      <c r="P7" s="4">
        <f>COUNTIFS(FieldDisagreements!E2:E50, A7)</f>
        <v>0</v>
      </c>
      <c r="Q7" s="4" t="str">
        <f>_xlfn.IFNA(IF(((INDEX(ConformanceSubstrates!C2:C9, MATCH(D7,ConformanceSubstrates!A2:A9, 0))="")=TRUE),  "",  INDEX(ConformanceSubstrates!C2:C9, MATCH(D7,ConformanceSubstrates!A2:A9, 0))), "")</f>
        <v>PostgreSQL</v>
      </c>
      <c r="R7" s="4" t="str">
        <f>_xlfn.IFNA(IF(((INDEX(RulebookTables!F2:F93, MATCH(E7,RulebookTables!A2:A93, 0))="")=TRUE),  "",  INDEX(RulebookTables!F2:F93, MATCH(E7,RulebookTables!A2:A93, 0))), "")</f>
        <v>org</v>
      </c>
      <c r="S7" s="3" t="s">
        <v>1918</v>
      </c>
    </row>
    <row r="8">
      <c r="A8" s="3" t="s">
        <v>14111</v>
      </c>
      <c r="B8" s="4" t="str">
        <f>_xlfn.CONCAT(D8, " / ", E8)</f>
        <v>effortless-postgres / RoleAssignments</v>
      </c>
      <c r="C8" s="3" t="s">
        <v>14074</v>
      </c>
      <c r="D8" s="3" t="s">
        <v>14022</v>
      </c>
      <c r="E8" s="3" t="s">
        <v>1821</v>
      </c>
      <c r="F8" s="3">
        <v>13</v>
      </c>
      <c r="G8" s="3">
        <v>47</v>
      </c>
      <c r="H8" s="3">
        <v>611</v>
      </c>
      <c r="I8" s="3">
        <v>611</v>
      </c>
      <c r="J8" s="3" t="b">
        <v>0</v>
      </c>
      <c r="K8" s="4">
        <f>H8 - I8</f>
        <v>0</v>
      </c>
      <c r="L8" s="4">
        <f>IF(((H8 = 0)=TRUE),  0,  ROUND(100 * I8 / H8, 2))</f>
        <v>100</v>
      </c>
      <c r="M8" s="4" t="b">
        <f>K8 = 0</f>
        <v>1</v>
      </c>
      <c r="N8" s="4" t="str">
        <f>IF(((M8)=TRUE),  "",  D8)</f>
      </c>
      <c r="O8" s="4" t="str">
        <f>IF(((M8)=TRUE),  "",  E8)</f>
      </c>
      <c r="P8" s="4">
        <f>COUNTIFS(FieldDisagreements!E2:E50, A8)</f>
        <v>0</v>
      </c>
      <c r="Q8" s="4" t="str">
        <f>_xlfn.IFNA(IF(((INDEX(ConformanceSubstrates!C2:C9, MATCH(D8,ConformanceSubstrates!A2:A9, 0))="")=TRUE),  "",  INDEX(ConformanceSubstrates!C2:C9, MATCH(D8,ConformanceSubstrates!A2:A9, 0))), "")</f>
        <v>PostgreSQL</v>
      </c>
      <c r="R8" s="4" t="str">
        <f>_xlfn.IFNA(IF(((INDEX(RulebookTables!F2:F93, MATCH(E8,RulebookTables!A2:A93, 0))="")=TRUE),  "",  INDEX(RulebookTables!F2:F93, MATCH(E8,RulebookTables!A2:A93, 0))), "")</f>
        <v>org</v>
      </c>
      <c r="S8" s="3" t="s">
        <v>1918</v>
      </c>
    </row>
    <row r="9">
      <c r="A9" s="3" t="s">
        <v>14112</v>
      </c>
      <c r="B9" s="4" t="str">
        <f>_xlfn.CONCAT(D9, " / ", E9)</f>
        <v>effortless-postgres / CommunitiesOfPractice</v>
      </c>
      <c r="C9" s="3" t="s">
        <v>14074</v>
      </c>
      <c r="D9" s="3" t="s">
        <v>14022</v>
      </c>
      <c r="E9" s="3" t="s">
        <v>2655</v>
      </c>
      <c r="F9" s="3">
        <v>2</v>
      </c>
      <c r="G9" s="3">
        <v>1</v>
      </c>
      <c r="H9" s="3">
        <v>2</v>
      </c>
      <c r="I9" s="3">
        <v>2</v>
      </c>
      <c r="J9" s="3" t="b">
        <v>0</v>
      </c>
      <c r="K9" s="4">
        <f>H9 - I9</f>
        <v>0</v>
      </c>
      <c r="L9" s="4">
        <f>IF(((H9 = 0)=TRUE),  0,  ROUND(100 * I9 / H9, 2))</f>
        <v>100</v>
      </c>
      <c r="M9" s="4" t="b">
        <f>K9 = 0</f>
        <v>1</v>
      </c>
      <c r="N9" s="4" t="str">
        <f>IF(((M9)=TRUE),  "",  D9)</f>
      </c>
      <c r="O9" s="4" t="str">
        <f>IF(((M9)=TRUE),  "",  E9)</f>
      </c>
      <c r="P9" s="4">
        <f>COUNTIFS(FieldDisagreements!E2:E50, A9)</f>
        <v>0</v>
      </c>
      <c r="Q9" s="4" t="str">
        <f>_xlfn.IFNA(IF(((INDEX(ConformanceSubstrates!C2:C9, MATCH(D9,ConformanceSubstrates!A2:A9, 0))="")=TRUE),  "",  INDEX(ConformanceSubstrates!C2:C9, MATCH(D9,ConformanceSubstrates!A2:A9, 0))), "")</f>
        <v>PostgreSQL</v>
      </c>
      <c r="R9" s="4" t="str">
        <f>_xlfn.IFNA(IF(((INDEX(RulebookTables!F2:F93, MATCH(E9,RulebookTables!A2:A93, 0))="")=TRUE),  "",  INDEX(RulebookTables!F2:F93, MATCH(E9,RulebookTables!A2:A93, 0))), "")</f>
        <v>org</v>
      </c>
      <c r="S9" s="3" t="s">
        <v>1918</v>
      </c>
    </row>
    <row r="10">
      <c r="A10" s="3" t="s">
        <v>14113</v>
      </c>
      <c r="B10" s="4" t="str">
        <f>_xlfn.CONCAT(D10, " / ", E10)</f>
        <v>effortless-postgres / Mentorships</v>
      </c>
      <c r="C10" s="3" t="s">
        <v>14074</v>
      </c>
      <c r="D10" s="3" t="s">
        <v>14022</v>
      </c>
      <c r="E10" s="3" t="s">
        <v>2664</v>
      </c>
      <c r="F10" s="3">
        <v>1</v>
      </c>
      <c r="G10" s="3">
        <v>1</v>
      </c>
      <c r="H10" s="3">
        <v>1</v>
      </c>
      <c r="I10" s="3">
        <v>1</v>
      </c>
      <c r="J10" s="3" t="b">
        <v>0</v>
      </c>
      <c r="K10" s="4">
        <f>H10 - I10</f>
        <v>0</v>
      </c>
      <c r="L10" s="4">
        <f>IF(((H10 = 0)=TRUE),  0,  ROUND(100 * I10 / H10, 2))</f>
        <v>100</v>
      </c>
      <c r="M10" s="4" t="b">
        <f>K10 = 0</f>
        <v>1</v>
      </c>
      <c r="N10" s="4" t="str">
        <f>IF(((M10)=TRUE),  "",  D10)</f>
      </c>
      <c r="O10" s="4" t="str">
        <f>IF(((M10)=TRUE),  "",  E10)</f>
      </c>
      <c r="P10" s="4">
        <f>COUNTIFS(FieldDisagreements!E2:E50, A10)</f>
        <v>0</v>
      </c>
      <c r="Q10" s="4" t="str">
        <f>_xlfn.IFNA(IF(((INDEX(ConformanceSubstrates!C2:C9, MATCH(D10,ConformanceSubstrates!A2:A9, 0))="")=TRUE),  "",  INDEX(ConformanceSubstrates!C2:C9, MATCH(D10,ConformanceSubstrates!A2:A9, 0))), "")</f>
        <v>PostgreSQL</v>
      </c>
      <c r="R10" s="4" t="str">
        <f>_xlfn.IFNA(IF(((INDEX(RulebookTables!F2:F93, MATCH(E10,RulebookTables!A2:A93, 0))="")=TRUE),  "",  INDEX(RulebookTables!F2:F93, MATCH(E10,RulebookTables!A2:A93, 0))), "")</f>
        <v>org</v>
      </c>
      <c r="S10" s="3" t="s">
        <v>1918</v>
      </c>
    </row>
    <row r="11">
      <c r="A11" s="3" t="s">
        <v>14114</v>
      </c>
      <c r="B11" s="4" t="str">
        <f>_xlfn.CONCAT(D11, " / ", E11)</f>
        <v>effortless-postgres / ProcedureTypes</v>
      </c>
      <c r="C11" s="3" t="s">
        <v>14074</v>
      </c>
      <c r="D11" s="3" t="s">
        <v>14022</v>
      </c>
      <c r="E11" s="3" t="s">
        <v>2676</v>
      </c>
      <c r="F11" s="3">
        <v>2</v>
      </c>
      <c r="G11" s="3">
        <v>1</v>
      </c>
      <c r="H11" s="3">
        <v>2</v>
      </c>
      <c r="I11" s="3">
        <v>2</v>
      </c>
      <c r="J11" s="3" t="b">
        <v>0</v>
      </c>
      <c r="K11" s="4">
        <f>H11 - I11</f>
        <v>0</v>
      </c>
      <c r="L11" s="4">
        <f>IF(((H11 = 0)=TRUE),  0,  ROUND(100 * I11 / H11, 2))</f>
        <v>100</v>
      </c>
      <c r="M11" s="4" t="b">
        <f>K11 = 0</f>
        <v>1</v>
      </c>
      <c r="N11" s="4" t="str">
        <f>IF(((M11)=TRUE),  "",  D11)</f>
      </c>
      <c r="O11" s="4" t="str">
        <f>IF(((M11)=TRUE),  "",  E11)</f>
      </c>
      <c r="P11" s="4">
        <f>COUNTIFS(FieldDisagreements!E2:E50, A11)</f>
        <v>0</v>
      </c>
      <c r="Q11" s="4" t="str">
        <f>_xlfn.IFNA(IF(((INDEX(ConformanceSubstrates!C2:C9, MATCH(D11,ConformanceSubstrates!A2:A9, 0))="")=TRUE),  "",  INDEX(ConformanceSubstrates!C2:C9, MATCH(D11,ConformanceSubstrates!A2:A9, 0))), "")</f>
        <v>PostgreSQL</v>
      </c>
      <c r="R11" s="4" t="str">
        <f>_xlfn.IFNA(IF(((INDEX(RulebookTables!F2:F93, MATCH(E11,RulebookTables!A2:A93, 0))="")=TRUE),  "",  INDEX(RulebookTables!F2:F93, MATCH(E11,RulebookTables!A2:A93, 0))), "")</f>
        <v>specification</v>
      </c>
      <c r="S11" s="3" t="s">
        <v>1918</v>
      </c>
    </row>
    <row r="12">
      <c r="A12" s="3" t="s">
        <v>14115</v>
      </c>
      <c r="B12" s="4" t="str">
        <f>_xlfn.CONCAT(D12, " / ", E12)</f>
        <v>effortless-postgres / Procedures</v>
      </c>
      <c r="C12" s="3" t="s">
        <v>14074</v>
      </c>
      <c r="D12" s="3" t="s">
        <v>14022</v>
      </c>
      <c r="E12" s="3" t="s">
        <v>1762</v>
      </c>
      <c r="F12" s="3">
        <v>2</v>
      </c>
      <c r="G12" s="3">
        <v>1</v>
      </c>
      <c r="H12" s="3">
        <v>2</v>
      </c>
      <c r="I12" s="3">
        <v>2</v>
      </c>
      <c r="J12" s="3" t="b">
        <v>0</v>
      </c>
      <c r="K12" s="4">
        <f>H12 - I12</f>
        <v>0</v>
      </c>
      <c r="L12" s="4">
        <f>IF(((H12 = 0)=TRUE),  0,  ROUND(100 * I12 / H12, 2))</f>
        <v>100</v>
      </c>
      <c r="M12" s="4" t="b">
        <f>K12 = 0</f>
        <v>1</v>
      </c>
      <c r="N12" s="4" t="str">
        <f>IF(((M12)=TRUE),  "",  D12)</f>
      </c>
      <c r="O12" s="4" t="str">
        <f>IF(((M12)=TRUE),  "",  E12)</f>
      </c>
      <c r="P12" s="4">
        <f>COUNTIFS(FieldDisagreements!E2:E50, A12)</f>
        <v>0</v>
      </c>
      <c r="Q12" s="4" t="str">
        <f>_xlfn.IFNA(IF(((INDEX(ConformanceSubstrates!C2:C9, MATCH(D12,ConformanceSubstrates!A2:A9, 0))="")=TRUE),  "",  INDEX(ConformanceSubstrates!C2:C9, MATCH(D12,ConformanceSubstrates!A2:A9, 0))), "")</f>
        <v>PostgreSQL</v>
      </c>
      <c r="R12" s="4" t="str">
        <f>_xlfn.IFNA(IF(((INDEX(RulebookTables!F2:F93, MATCH(E12,RulebookTables!A2:A93, 0))="")=TRUE),  "",  INDEX(RulebookTables!F2:F93, MATCH(E12,RulebookTables!A2:A93, 0))), "")</f>
        <v>specification</v>
      </c>
      <c r="S12" s="3" t="s">
        <v>1918</v>
      </c>
    </row>
    <row r="13">
      <c r="A13" s="3" t="s">
        <v>14116</v>
      </c>
      <c r="B13" s="4" t="str">
        <f>_xlfn.CONCAT(D13, " / ", E13)</f>
        <v>effortless-postgres / ProcedureVersions</v>
      </c>
      <c r="C13" s="3" t="s">
        <v>14074</v>
      </c>
      <c r="D13" s="3" t="s">
        <v>14022</v>
      </c>
      <c r="E13" s="3" t="s">
        <v>1767</v>
      </c>
      <c r="F13" s="3">
        <v>3</v>
      </c>
      <c r="G13" s="3">
        <v>73</v>
      </c>
      <c r="H13" s="3">
        <v>219</v>
      </c>
      <c r="I13" s="3">
        <v>219</v>
      </c>
      <c r="J13" s="3" t="b">
        <v>0</v>
      </c>
      <c r="K13" s="4">
        <f>H13 - I13</f>
        <v>0</v>
      </c>
      <c r="L13" s="4">
        <f>IF(((H13 = 0)=TRUE),  0,  ROUND(100 * I13 / H13, 2))</f>
        <v>100</v>
      </c>
      <c r="M13" s="4" t="b">
        <f>K13 = 0</f>
        <v>1</v>
      </c>
      <c r="N13" s="4" t="str">
        <f>IF(((M13)=TRUE),  "",  D13)</f>
      </c>
      <c r="O13" s="4" t="str">
        <f>IF(((M13)=TRUE),  "",  E13)</f>
      </c>
      <c r="P13" s="4">
        <f>COUNTIFS(FieldDisagreements!E2:E50, A13)</f>
        <v>0</v>
      </c>
      <c r="Q13" s="4" t="str">
        <f>_xlfn.IFNA(IF(((INDEX(ConformanceSubstrates!C2:C9, MATCH(D13,ConformanceSubstrates!A2:A9, 0))="")=TRUE),  "",  INDEX(ConformanceSubstrates!C2:C9, MATCH(D13,ConformanceSubstrates!A2:A9, 0))), "")</f>
        <v>PostgreSQL</v>
      </c>
      <c r="R13" s="4" t="str">
        <f>_xlfn.IFNA(IF(((INDEX(RulebookTables!F2:F93, MATCH(E13,RulebookTables!A2:A93, 0))="")=TRUE),  "",  INDEX(RulebookTables!F2:F93, MATCH(E13,RulebookTables!A2:A93, 0))), "")</f>
        <v>specification</v>
      </c>
      <c r="S13" s="3" t="s">
        <v>1918</v>
      </c>
    </row>
    <row r="14">
      <c r="A14" s="3" t="s">
        <v>14117</v>
      </c>
      <c r="B14" s="4" t="str">
        <f>_xlfn.CONCAT(D14, " / ", E14)</f>
        <v>effortless-postgres / ProcedureVersionLinks</v>
      </c>
      <c r="C14" s="3" t="s">
        <v>14074</v>
      </c>
      <c r="D14" s="3" t="s">
        <v>14022</v>
      </c>
      <c r="E14" s="3" t="s">
        <v>2851</v>
      </c>
      <c r="F14" s="3">
        <v>1</v>
      </c>
      <c r="G14" s="3">
        <v>2</v>
      </c>
      <c r="H14" s="3">
        <v>2</v>
      </c>
      <c r="I14" s="3">
        <v>2</v>
      </c>
      <c r="J14" s="3" t="b">
        <v>0</v>
      </c>
      <c r="K14" s="4">
        <f>H14 - I14</f>
        <v>0</v>
      </c>
      <c r="L14" s="4">
        <f>IF(((H14 = 0)=TRUE),  0,  ROUND(100 * I14 / H14, 2))</f>
        <v>100</v>
      </c>
      <c r="M14" s="4" t="b">
        <f>K14 = 0</f>
        <v>1</v>
      </c>
      <c r="N14" s="4" t="str">
        <f>IF(((M14)=TRUE),  "",  D14)</f>
      </c>
      <c r="O14" s="4" t="str">
        <f>IF(((M14)=TRUE),  "",  E14)</f>
      </c>
      <c r="P14" s="4">
        <f>COUNTIFS(FieldDisagreements!E2:E50, A14)</f>
        <v>0</v>
      </c>
      <c r="Q14" s="4" t="str">
        <f>_xlfn.IFNA(IF(((INDEX(ConformanceSubstrates!C2:C9, MATCH(D14,ConformanceSubstrates!A2:A9, 0))="")=TRUE),  "",  INDEX(ConformanceSubstrates!C2:C9, MATCH(D14,ConformanceSubstrates!A2:A9, 0))), "")</f>
        <v>PostgreSQL</v>
      </c>
      <c r="R14" s="4" t="str">
        <f>_xlfn.IFNA(IF(((INDEX(RulebookTables!F2:F93, MATCH(E14,RulebookTables!A2:A93, 0))="")=TRUE),  "",  INDEX(RulebookTables!F2:F93, MATCH(E14,RulebookTables!A2:A93, 0))), "")</f>
        <v>specification</v>
      </c>
      <c r="S14" s="3" t="s">
        <v>1918</v>
      </c>
    </row>
    <row r="15">
      <c r="A15" s="3" t="s">
        <v>14118</v>
      </c>
      <c r="B15" s="4" t="str">
        <f>_xlfn.CONCAT(D15, " / ", E15)</f>
        <v>effortless-postgres / ProcedureStatusChanges</v>
      </c>
      <c r="C15" s="3" t="s">
        <v>14074</v>
      </c>
      <c r="D15" s="3" t="s">
        <v>14022</v>
      </c>
      <c r="E15" s="3" t="s">
        <v>1775</v>
      </c>
      <c r="F15" s="3">
        <v>5</v>
      </c>
      <c r="G15" s="3">
        <v>1</v>
      </c>
      <c r="H15" s="3">
        <v>5</v>
      </c>
      <c r="I15" s="3">
        <v>5</v>
      </c>
      <c r="J15" s="3" t="b">
        <v>0</v>
      </c>
      <c r="K15" s="4">
        <f>H15 - I15</f>
        <v>0</v>
      </c>
      <c r="L15" s="4">
        <f>IF(((H15 = 0)=TRUE),  0,  ROUND(100 * I15 / H15, 2))</f>
        <v>100</v>
      </c>
      <c r="M15" s="4" t="b">
        <f>K15 = 0</f>
        <v>1</v>
      </c>
      <c r="N15" s="4" t="str">
        <f>IF(((M15)=TRUE),  "",  D15)</f>
      </c>
      <c r="O15" s="4" t="str">
        <f>IF(((M15)=TRUE),  "",  E15)</f>
      </c>
      <c r="P15" s="4">
        <f>COUNTIFS(FieldDisagreements!E2:E50, A15)</f>
        <v>0</v>
      </c>
      <c r="Q15" s="4" t="str">
        <f>_xlfn.IFNA(IF(((INDEX(ConformanceSubstrates!C2:C9, MATCH(D15,ConformanceSubstrates!A2:A9, 0))="")=TRUE),  "",  INDEX(ConformanceSubstrates!C2:C9, MATCH(D15,ConformanceSubstrates!A2:A9, 0))), "")</f>
        <v>PostgreSQL</v>
      </c>
      <c r="R15" s="4" t="str">
        <f>_xlfn.IFNA(IF(((INDEX(RulebookTables!F2:F93, MATCH(E15,RulebookTables!A2:A93, 0))="")=TRUE),  "",  INDEX(RulebookTables!F2:F93, MATCH(E15,RulebookTables!A2:A93, 0))), "")</f>
        <v>specification</v>
      </c>
      <c r="S15" s="3" t="s">
        <v>1918</v>
      </c>
    </row>
    <row r="16">
      <c r="A16" s="3" t="s">
        <v>14119</v>
      </c>
      <c r="B16" s="4" t="str">
        <f>_xlfn.CONCAT(D16, " / ", E16)</f>
        <v>effortless-postgres / Steps</v>
      </c>
      <c r="C16" s="3" t="s">
        <v>14074</v>
      </c>
      <c r="D16" s="3" t="s">
        <v>14022</v>
      </c>
      <c r="E16" s="3" t="s">
        <v>1778</v>
      </c>
      <c r="F16" s="3">
        <v>17</v>
      </c>
      <c r="G16" s="3">
        <v>42</v>
      </c>
      <c r="H16" s="3">
        <v>714</v>
      </c>
      <c r="I16" s="3">
        <v>714</v>
      </c>
      <c r="J16" s="3" t="b">
        <v>0</v>
      </c>
      <c r="K16" s="4">
        <f>H16 - I16</f>
        <v>0</v>
      </c>
      <c r="L16" s="4">
        <f>IF(((H16 = 0)=TRUE),  0,  ROUND(100 * I16 / H16, 2))</f>
        <v>100</v>
      </c>
      <c r="M16" s="4" t="b">
        <f>K16 = 0</f>
        <v>1</v>
      </c>
      <c r="N16" s="4" t="str">
        <f>IF(((M16)=TRUE),  "",  D16)</f>
      </c>
      <c r="O16" s="4" t="str">
        <f>IF(((M16)=TRUE),  "",  E16)</f>
      </c>
      <c r="P16" s="4">
        <f>COUNTIFS(FieldDisagreements!E2:E50, A16)</f>
        <v>0</v>
      </c>
      <c r="Q16" s="4" t="str">
        <f>_xlfn.IFNA(IF(((INDEX(ConformanceSubstrates!C2:C9, MATCH(D16,ConformanceSubstrates!A2:A9, 0))="")=TRUE),  "",  INDEX(ConformanceSubstrates!C2:C9, MATCH(D16,ConformanceSubstrates!A2:A9, 0))), "")</f>
        <v>PostgreSQL</v>
      </c>
      <c r="R16" s="4" t="str">
        <f>_xlfn.IFNA(IF(((INDEX(RulebookTables!F2:F93, MATCH(E16,RulebookTables!A2:A93, 0))="")=TRUE),  "",  INDEX(RulebookTables!F2:F93, MATCH(E16,RulebookTables!A2:A93, 0))), "")</f>
        <v>specification</v>
      </c>
      <c r="S16" s="3" t="s">
        <v>1918</v>
      </c>
    </row>
    <row r="17">
      <c r="A17" s="3" t="s">
        <v>14120</v>
      </c>
      <c r="B17" s="4" t="str">
        <f>_xlfn.CONCAT(D17, " / ", E17)</f>
        <v>effortless-postgres / StepTransitions</v>
      </c>
      <c r="C17" s="3" t="s">
        <v>14074</v>
      </c>
      <c r="D17" s="3" t="s">
        <v>14022</v>
      </c>
      <c r="E17" s="3" t="s">
        <v>1784</v>
      </c>
      <c r="F17" s="3">
        <v>20</v>
      </c>
      <c r="G17" s="3">
        <v>18</v>
      </c>
      <c r="H17" s="3">
        <v>360</v>
      </c>
      <c r="I17" s="3">
        <v>360</v>
      </c>
      <c r="J17" s="3" t="b">
        <v>0</v>
      </c>
      <c r="K17" s="4">
        <f>H17 - I17</f>
        <v>0</v>
      </c>
      <c r="L17" s="4">
        <f>IF(((H17 = 0)=TRUE),  0,  ROUND(100 * I17 / H17, 2))</f>
        <v>100</v>
      </c>
      <c r="M17" s="4" t="b">
        <f>K17 = 0</f>
        <v>1</v>
      </c>
      <c r="N17" s="4" t="str">
        <f>IF(((M17)=TRUE),  "",  D17)</f>
      </c>
      <c r="O17" s="4" t="str">
        <f>IF(((M17)=TRUE),  "",  E17)</f>
      </c>
      <c r="P17" s="4">
        <f>COUNTIFS(FieldDisagreements!E2:E50, A17)</f>
        <v>0</v>
      </c>
      <c r="Q17" s="4" t="str">
        <f>_xlfn.IFNA(IF(((INDEX(ConformanceSubstrates!C2:C9, MATCH(D17,ConformanceSubstrates!A2:A9, 0))="")=TRUE),  "",  INDEX(ConformanceSubstrates!C2:C9, MATCH(D17,ConformanceSubstrates!A2:A9, 0))), "")</f>
        <v>PostgreSQL</v>
      </c>
      <c r="R17" s="4" t="str">
        <f>_xlfn.IFNA(IF(((INDEX(RulebookTables!F2:F93, MATCH(E17,RulebookTables!A2:A93, 0))="")=TRUE),  "",  INDEX(RulebookTables!F2:F93, MATCH(E17,RulebookTables!A2:A93, 0))), "")</f>
        <v>specification</v>
      </c>
      <c r="S17" s="3" t="s">
        <v>1918</v>
      </c>
    </row>
    <row r="18">
      <c r="A18" s="3" t="s">
        <v>14121</v>
      </c>
      <c r="B18" s="4" t="str">
        <f>_xlfn.CONCAT(D18, " / ", E18)</f>
        <v>effortless-postgres / Actions</v>
      </c>
      <c r="C18" s="3" t="s">
        <v>14074</v>
      </c>
      <c r="D18" s="3" t="s">
        <v>14022</v>
      </c>
      <c r="E18" s="3" t="s">
        <v>1796</v>
      </c>
      <c r="F18" s="3">
        <v>9</v>
      </c>
      <c r="G18" s="3">
        <v>1</v>
      </c>
      <c r="H18" s="3">
        <v>9</v>
      </c>
      <c r="I18" s="3">
        <v>9</v>
      </c>
      <c r="J18" s="3" t="b">
        <v>0</v>
      </c>
      <c r="K18" s="4">
        <f>H18 - I18</f>
        <v>0</v>
      </c>
      <c r="L18" s="4">
        <f>IF(((H18 = 0)=TRUE),  0,  ROUND(100 * I18 / H18, 2))</f>
        <v>100</v>
      </c>
      <c r="M18" s="4" t="b">
        <f>K18 = 0</f>
        <v>1</v>
      </c>
      <c r="N18" s="4" t="str">
        <f>IF(((M18)=TRUE),  "",  D18)</f>
      </c>
      <c r="O18" s="4" t="str">
        <f>IF(((M18)=TRUE),  "",  E18)</f>
      </c>
      <c r="P18" s="4">
        <f>COUNTIFS(FieldDisagreements!E2:E50, A18)</f>
        <v>0</v>
      </c>
      <c r="Q18" s="4" t="str">
        <f>_xlfn.IFNA(IF(((INDEX(ConformanceSubstrates!C2:C9, MATCH(D18,ConformanceSubstrates!A2:A9, 0))="")=TRUE),  "",  INDEX(ConformanceSubstrates!C2:C9, MATCH(D18,ConformanceSubstrates!A2:A9, 0))), "")</f>
        <v>PostgreSQL</v>
      </c>
      <c r="R18" s="4" t="str">
        <f>_xlfn.IFNA(IF(((INDEX(RulebookTables!F2:F93, MATCH(E18,RulebookTables!A2:A93, 0))="")=TRUE),  "",  INDEX(RulebookTables!F2:F93, MATCH(E18,RulebookTables!A2:A93, 0))), "")</f>
        <v>specification</v>
      </c>
      <c r="S18" s="3" t="s">
        <v>1918</v>
      </c>
    </row>
    <row r="19">
      <c r="A19" s="3" t="s">
        <v>14122</v>
      </c>
      <c r="B19" s="4" t="str">
        <f>_xlfn.CONCAT(D19, " / ", E19)</f>
        <v>effortless-postgres / Functions</v>
      </c>
      <c r="C19" s="3" t="s">
        <v>14074</v>
      </c>
      <c r="D19" s="3" t="s">
        <v>14022</v>
      </c>
      <c r="E19" s="3" t="s">
        <v>1799</v>
      </c>
      <c r="F19" s="3">
        <v>8</v>
      </c>
      <c r="G19" s="3">
        <v>1</v>
      </c>
      <c r="H19" s="3">
        <v>8</v>
      </c>
      <c r="I19" s="3">
        <v>8</v>
      </c>
      <c r="J19" s="3" t="b">
        <v>0</v>
      </c>
      <c r="K19" s="4">
        <f>H19 - I19</f>
        <v>0</v>
      </c>
      <c r="L19" s="4">
        <f>IF(((H19 = 0)=TRUE),  0,  ROUND(100 * I19 / H19, 2))</f>
        <v>100</v>
      </c>
      <c r="M19" s="4" t="b">
        <f>K19 = 0</f>
        <v>1</v>
      </c>
      <c r="N19" s="4" t="str">
        <f>IF(((M19)=TRUE),  "",  D19)</f>
      </c>
      <c r="O19" s="4" t="str">
        <f>IF(((M19)=TRUE),  "",  E19)</f>
      </c>
      <c r="P19" s="4">
        <f>COUNTIFS(FieldDisagreements!E2:E50, A19)</f>
        <v>0</v>
      </c>
      <c r="Q19" s="4" t="str">
        <f>_xlfn.IFNA(IF(((INDEX(ConformanceSubstrates!C2:C9, MATCH(D19,ConformanceSubstrates!A2:A9, 0))="")=TRUE),  "",  INDEX(ConformanceSubstrates!C2:C9, MATCH(D19,ConformanceSubstrates!A2:A9, 0))), "")</f>
        <v>PostgreSQL</v>
      </c>
      <c r="R19" s="4" t="str">
        <f>_xlfn.IFNA(IF(((INDEX(RulebookTables!F2:F93, MATCH(E19,RulebookTables!A2:A93, 0))="")=TRUE),  "",  INDEX(RulebookTables!F2:F93, MATCH(E19,RulebookTables!A2:A93, 0))), "")</f>
        <v>specification</v>
      </c>
      <c r="S19" s="3" t="s">
        <v>1918</v>
      </c>
    </row>
    <row r="20">
      <c r="A20" s="3" t="s">
        <v>14123</v>
      </c>
      <c r="B20" s="4" t="str">
        <f>_xlfn.CONCAT(D20, " / ", E20)</f>
        <v>effortless-postgres / Tools</v>
      </c>
      <c r="C20" s="3" t="s">
        <v>14074</v>
      </c>
      <c r="D20" s="3" t="s">
        <v>14022</v>
      </c>
      <c r="E20" s="3" t="s">
        <v>1802</v>
      </c>
      <c r="F20" s="3">
        <v>8</v>
      </c>
      <c r="G20" s="3">
        <v>1</v>
      </c>
      <c r="H20" s="3">
        <v>8</v>
      </c>
      <c r="I20" s="3">
        <v>8</v>
      </c>
      <c r="J20" s="3" t="b">
        <v>0</v>
      </c>
      <c r="K20" s="4">
        <f>H20 - I20</f>
        <v>0</v>
      </c>
      <c r="L20" s="4">
        <f>IF(((H20 = 0)=TRUE),  0,  ROUND(100 * I20 / H20, 2))</f>
        <v>100</v>
      </c>
      <c r="M20" s="4" t="b">
        <f>K20 = 0</f>
        <v>1</v>
      </c>
      <c r="N20" s="4" t="str">
        <f>IF(((M20)=TRUE),  "",  D20)</f>
      </c>
      <c r="O20" s="4" t="str">
        <f>IF(((M20)=TRUE),  "",  E20)</f>
      </c>
      <c r="P20" s="4">
        <f>COUNTIFS(FieldDisagreements!E2:E50, A20)</f>
        <v>0</v>
      </c>
      <c r="Q20" s="4" t="str">
        <f>_xlfn.IFNA(IF(((INDEX(ConformanceSubstrates!C2:C9, MATCH(D20,ConformanceSubstrates!A2:A9, 0))="")=TRUE),  "",  INDEX(ConformanceSubstrates!C2:C9, MATCH(D20,ConformanceSubstrates!A2:A9, 0))), "")</f>
        <v>PostgreSQL</v>
      </c>
      <c r="R20" s="4" t="str">
        <f>_xlfn.IFNA(IF(((INDEX(RulebookTables!F2:F93, MATCH(E20,RulebookTables!A2:A93, 0))="")=TRUE),  "",  INDEX(RulebookTables!F2:F93, MATCH(E20,RulebookTables!A2:A93, 0))), "")</f>
        <v>specification</v>
      </c>
      <c r="S20" s="3" t="s">
        <v>1918</v>
      </c>
    </row>
    <row r="21">
      <c r="A21" s="3" t="s">
        <v>14124</v>
      </c>
      <c r="B21" s="4" t="str">
        <f>_xlfn.CONCAT(D21, " / ", E21)</f>
        <v>effortless-postgres / StepActions</v>
      </c>
      <c r="C21" s="3" t="s">
        <v>14074</v>
      </c>
      <c r="D21" s="3" t="s">
        <v>14022</v>
      </c>
      <c r="E21" s="3" t="s">
        <v>3028</v>
      </c>
      <c r="F21" s="3">
        <v>9</v>
      </c>
      <c r="G21" s="3">
        <v>1</v>
      </c>
      <c r="H21" s="3">
        <v>9</v>
      </c>
      <c r="I21" s="3">
        <v>9</v>
      </c>
      <c r="J21" s="3" t="b">
        <v>0</v>
      </c>
      <c r="K21" s="4">
        <f>H21 - I21</f>
        <v>0</v>
      </c>
      <c r="L21" s="4">
        <f>IF(((H21 = 0)=TRUE),  0,  ROUND(100 * I21 / H21, 2))</f>
        <v>100</v>
      </c>
      <c r="M21" s="4" t="b">
        <f>K21 = 0</f>
        <v>1</v>
      </c>
      <c r="N21" s="4" t="str">
        <f>IF(((M21)=TRUE),  "",  D21)</f>
      </c>
      <c r="O21" s="4" t="str">
        <f>IF(((M21)=TRUE),  "",  E21)</f>
      </c>
      <c r="P21" s="4">
        <f>COUNTIFS(FieldDisagreements!E2:E50, A21)</f>
        <v>0</v>
      </c>
      <c r="Q21" s="4" t="str">
        <f>_xlfn.IFNA(IF(((INDEX(ConformanceSubstrates!C2:C9, MATCH(D21,ConformanceSubstrates!A2:A9, 0))="")=TRUE),  "",  INDEX(ConformanceSubstrates!C2:C9, MATCH(D21,ConformanceSubstrates!A2:A9, 0))), "")</f>
        <v>PostgreSQL</v>
      </c>
      <c r="R21" s="4" t="str">
        <f>_xlfn.IFNA(IF(((INDEX(RulebookTables!F2:F93, MATCH(E21,RulebookTables!A2:A93, 0))="")=TRUE),  "",  INDEX(RulebookTables!F2:F93, MATCH(E21,RulebookTables!A2:A93, 0))), "")</f>
        <v>specification</v>
      </c>
      <c r="S21" s="3" t="s">
        <v>1918</v>
      </c>
    </row>
    <row r="22">
      <c r="A22" s="3" t="s">
        <v>14125</v>
      </c>
      <c r="B22" s="4" t="str">
        <f>_xlfn.CONCAT(D22, " / ", E22)</f>
        <v>effortless-postgres / StepFunctions</v>
      </c>
      <c r="C22" s="3" t="s">
        <v>14074</v>
      </c>
      <c r="D22" s="3" t="s">
        <v>14022</v>
      </c>
      <c r="E22" s="3" t="s">
        <v>3034</v>
      </c>
      <c r="F22" s="3">
        <v>8</v>
      </c>
      <c r="G22" s="3">
        <v>1</v>
      </c>
      <c r="H22" s="3">
        <v>8</v>
      </c>
      <c r="I22" s="3">
        <v>8</v>
      </c>
      <c r="J22" s="3" t="b">
        <v>0</v>
      </c>
      <c r="K22" s="4">
        <f>H22 - I22</f>
        <v>0</v>
      </c>
      <c r="L22" s="4">
        <f>IF(((H22 = 0)=TRUE),  0,  ROUND(100 * I22 / H22, 2))</f>
        <v>100</v>
      </c>
      <c r="M22" s="4" t="b">
        <f>K22 = 0</f>
        <v>1</v>
      </c>
      <c r="N22" s="4" t="str">
        <f>IF(((M22)=TRUE),  "",  D22)</f>
      </c>
      <c r="O22" s="4" t="str">
        <f>IF(((M22)=TRUE),  "",  E22)</f>
      </c>
      <c r="P22" s="4">
        <f>COUNTIFS(FieldDisagreements!E2:E50, A22)</f>
        <v>0</v>
      </c>
      <c r="Q22" s="4" t="str">
        <f>_xlfn.IFNA(IF(((INDEX(ConformanceSubstrates!C2:C9, MATCH(D22,ConformanceSubstrates!A2:A9, 0))="")=TRUE),  "",  INDEX(ConformanceSubstrates!C2:C9, MATCH(D22,ConformanceSubstrates!A2:A9, 0))), "")</f>
        <v>PostgreSQL</v>
      </c>
      <c r="R22" s="4" t="str">
        <f>_xlfn.IFNA(IF(((INDEX(RulebookTables!F2:F93, MATCH(E22,RulebookTables!A2:A93, 0))="")=TRUE),  "",  INDEX(RulebookTables!F2:F93, MATCH(E22,RulebookTables!A2:A93, 0))), "")</f>
        <v>specification</v>
      </c>
      <c r="S22" s="3" t="s">
        <v>1918</v>
      </c>
    </row>
    <row r="23">
      <c r="A23" s="3" t="s">
        <v>14126</v>
      </c>
      <c r="B23" s="4" t="str">
        <f>_xlfn.CONCAT(D23, " / ", E23)</f>
        <v>effortless-postgres / StepTools</v>
      </c>
      <c r="C23" s="3" t="s">
        <v>14074</v>
      </c>
      <c r="D23" s="3" t="s">
        <v>14022</v>
      </c>
      <c r="E23" s="3" t="s">
        <v>3040</v>
      </c>
      <c r="F23" s="3">
        <v>10</v>
      </c>
      <c r="G23" s="3">
        <v>1</v>
      </c>
      <c r="H23" s="3">
        <v>10</v>
      </c>
      <c r="I23" s="3">
        <v>10</v>
      </c>
      <c r="J23" s="3" t="b">
        <v>0</v>
      </c>
      <c r="K23" s="4">
        <f>H23 - I23</f>
        <v>0</v>
      </c>
      <c r="L23" s="4">
        <f>IF(((H23 = 0)=TRUE),  0,  ROUND(100 * I23 / H23, 2))</f>
        <v>100</v>
      </c>
      <c r="M23" s="4" t="b">
        <f>K23 = 0</f>
        <v>1</v>
      </c>
      <c r="N23" s="4" t="str">
        <f>IF(((M23)=TRUE),  "",  D23)</f>
      </c>
      <c r="O23" s="4" t="str">
        <f>IF(((M23)=TRUE),  "",  E23)</f>
      </c>
      <c r="P23" s="4">
        <f>COUNTIFS(FieldDisagreements!E2:E50, A23)</f>
        <v>0</v>
      </c>
      <c r="Q23" s="4" t="str">
        <f>_xlfn.IFNA(IF(((INDEX(ConformanceSubstrates!C2:C9, MATCH(D23,ConformanceSubstrates!A2:A9, 0))="")=TRUE),  "",  INDEX(ConformanceSubstrates!C2:C9, MATCH(D23,ConformanceSubstrates!A2:A9, 0))), "")</f>
        <v>PostgreSQL</v>
      </c>
      <c r="R23" s="4" t="str">
        <f>_xlfn.IFNA(IF(((INDEX(RulebookTables!F2:F93, MATCH(E23,RulebookTables!A2:A93, 0))="")=TRUE),  "",  INDEX(RulebookTables!F2:F93, MATCH(E23,RulebookTables!A2:A93, 0))), "")</f>
        <v>specification</v>
      </c>
      <c r="S23" s="3" t="s">
        <v>1918</v>
      </c>
    </row>
    <row r="24">
      <c r="A24" s="3" t="s">
        <v>14127</v>
      </c>
      <c r="B24" s="4" t="str">
        <f>_xlfn.CONCAT(D24, " / ", E24)</f>
        <v>effortless-postgres / Requirements</v>
      </c>
      <c r="C24" s="3" t="s">
        <v>14074</v>
      </c>
      <c r="D24" s="3" t="s">
        <v>14022</v>
      </c>
      <c r="E24" s="3" t="s">
        <v>1805</v>
      </c>
      <c r="F24" s="3">
        <v>13</v>
      </c>
      <c r="G24" s="3">
        <v>31</v>
      </c>
      <c r="H24" s="3">
        <v>403</v>
      </c>
      <c r="I24" s="3">
        <v>403</v>
      </c>
      <c r="J24" s="3" t="b">
        <v>0</v>
      </c>
      <c r="K24" s="4">
        <f>H24 - I24</f>
        <v>0</v>
      </c>
      <c r="L24" s="4">
        <f>IF(((H24 = 0)=TRUE),  0,  ROUND(100 * I24 / H24, 2))</f>
        <v>100</v>
      </c>
      <c r="M24" s="4" t="b">
        <f>K24 = 0</f>
        <v>1</v>
      </c>
      <c r="N24" s="4" t="str">
        <f>IF(((M24)=TRUE),  "",  D24)</f>
      </c>
      <c r="O24" s="4" t="str">
        <f>IF(((M24)=TRUE),  "",  E24)</f>
      </c>
      <c r="P24" s="4">
        <f>COUNTIFS(FieldDisagreements!E2:E50, A24)</f>
        <v>0</v>
      </c>
      <c r="Q24" s="4" t="str">
        <f>_xlfn.IFNA(IF(((INDEX(ConformanceSubstrates!C2:C9, MATCH(D24,ConformanceSubstrates!A2:A9, 0))="")=TRUE),  "",  INDEX(ConformanceSubstrates!C2:C9, MATCH(D24,ConformanceSubstrates!A2:A9, 0))), "")</f>
        <v>PostgreSQL</v>
      </c>
      <c r="R24" s="4" t="str">
        <f>_xlfn.IFNA(IF(((INDEX(RulebookTables!F2:F93, MATCH(E24,RulebookTables!A2:A93, 0))="")=TRUE),  "",  INDEX(RulebookTables!F2:F93, MATCH(E24,RulebookTables!A2:A93, 0))), "")</f>
        <v>governance</v>
      </c>
      <c r="S24" s="3" t="s">
        <v>1918</v>
      </c>
    </row>
    <row r="25">
      <c r="A25" s="3" t="s">
        <v>14128</v>
      </c>
      <c r="B25" s="4" t="str">
        <f>_xlfn.CONCAT(D25, " / ", E25)</f>
        <v>effortless-postgres / StepRequirements</v>
      </c>
      <c r="C25" s="3" t="s">
        <v>14074</v>
      </c>
      <c r="D25" s="3" t="s">
        <v>14022</v>
      </c>
      <c r="E25" s="3" t="s">
        <v>3119</v>
      </c>
      <c r="F25" s="3">
        <v>15</v>
      </c>
      <c r="G25" s="3">
        <v>10</v>
      </c>
      <c r="H25" s="3">
        <v>150</v>
      </c>
      <c r="I25" s="3">
        <v>150</v>
      </c>
      <c r="J25" s="3" t="b">
        <v>0</v>
      </c>
      <c r="K25" s="4">
        <f>H25 - I25</f>
        <v>0</v>
      </c>
      <c r="L25" s="4">
        <f>IF(((H25 = 0)=TRUE),  0,  ROUND(100 * I25 / H25, 2))</f>
        <v>100</v>
      </c>
      <c r="M25" s="4" t="b">
        <f>K25 = 0</f>
        <v>1</v>
      </c>
      <c r="N25" s="4" t="str">
        <f>IF(((M25)=TRUE),  "",  D25)</f>
      </c>
      <c r="O25" s="4" t="str">
        <f>IF(((M25)=TRUE),  "",  E25)</f>
      </c>
      <c r="P25" s="4">
        <f>COUNTIFS(FieldDisagreements!E2:E50, A25)</f>
        <v>0</v>
      </c>
      <c r="Q25" s="4" t="str">
        <f>_xlfn.IFNA(IF(((INDEX(ConformanceSubstrates!C2:C9, MATCH(D25,ConformanceSubstrates!A2:A9, 0))="")=TRUE),  "",  INDEX(ConformanceSubstrates!C2:C9, MATCH(D25,ConformanceSubstrates!A2:A9, 0))), "")</f>
        <v>PostgreSQL</v>
      </c>
      <c r="R25" s="4" t="str">
        <f>_xlfn.IFNA(IF(((INDEX(RulebookTables!F2:F93, MATCH(E25,RulebookTables!A2:A93, 0))="")=TRUE),  "",  INDEX(RulebookTables!F2:F93, MATCH(E25,RulebookTables!A2:A93, 0))), "")</f>
        <v>specification</v>
      </c>
      <c r="S25" s="3" t="s">
        <v>1918</v>
      </c>
    </row>
    <row r="26">
      <c r="A26" s="3" t="s">
        <v>14129</v>
      </c>
      <c r="B26" s="4" t="str">
        <f>_xlfn.CONCAT(D26, " / ", E26)</f>
        <v>effortless-postgres / StepVerifications</v>
      </c>
      <c r="C26" s="3" t="s">
        <v>14074</v>
      </c>
      <c r="D26" s="3" t="s">
        <v>14022</v>
      </c>
      <c r="E26" s="3" t="s">
        <v>1808</v>
      </c>
      <c r="F26" s="3">
        <v>11</v>
      </c>
      <c r="G26" s="3">
        <v>1</v>
      </c>
      <c r="H26" s="3">
        <v>11</v>
      </c>
      <c r="I26" s="3">
        <v>11</v>
      </c>
      <c r="J26" s="3" t="b">
        <v>0</v>
      </c>
      <c r="K26" s="4">
        <f>H26 - I26</f>
        <v>0</v>
      </c>
      <c r="L26" s="4">
        <f>IF(((H26 = 0)=TRUE),  0,  ROUND(100 * I26 / H26, 2))</f>
        <v>100</v>
      </c>
      <c r="M26" s="4" t="b">
        <f>K26 = 0</f>
        <v>1</v>
      </c>
      <c r="N26" s="4" t="str">
        <f>IF(((M26)=TRUE),  "",  D26)</f>
      </c>
      <c r="O26" s="4" t="str">
        <f>IF(((M26)=TRUE),  "",  E26)</f>
      </c>
      <c r="P26" s="4">
        <f>COUNTIFS(FieldDisagreements!E2:E50, A26)</f>
        <v>0</v>
      </c>
      <c r="Q26" s="4" t="str">
        <f>_xlfn.IFNA(IF(((INDEX(ConformanceSubstrates!C2:C9, MATCH(D26,ConformanceSubstrates!A2:A9, 0))="")=TRUE),  "",  INDEX(ConformanceSubstrates!C2:C9, MATCH(D26,ConformanceSubstrates!A2:A9, 0))), "")</f>
        <v>PostgreSQL</v>
      </c>
      <c r="R26" s="4" t="str">
        <f>_xlfn.IFNA(IF(((INDEX(RulebookTables!F2:F93, MATCH(E26,RulebookTables!A2:A93, 0))="")=TRUE),  "",  INDEX(RulebookTables!F2:F93, MATCH(E26,RulebookTables!A2:A93, 0))), "")</f>
        <v>specification</v>
      </c>
      <c r="S26" s="3" t="s">
        <v>1918</v>
      </c>
    </row>
    <row r="27">
      <c r="A27" s="3" t="s">
        <v>14130</v>
      </c>
      <c r="B27" s="4" t="str">
        <f>_xlfn.CONCAT(D27, " / ", E27)</f>
        <v>effortless-postgres / Rationales</v>
      </c>
      <c r="C27" s="3" t="s">
        <v>14074</v>
      </c>
      <c r="D27" s="3" t="s">
        <v>14022</v>
      </c>
      <c r="E27" s="3" t="s">
        <v>3151</v>
      </c>
      <c r="F27" s="3">
        <v>4</v>
      </c>
      <c r="G27" s="3">
        <v>1</v>
      </c>
      <c r="H27" s="3">
        <v>4</v>
      </c>
      <c r="I27" s="3">
        <v>4</v>
      </c>
      <c r="J27" s="3" t="b">
        <v>0</v>
      </c>
      <c r="K27" s="4">
        <f>H27 - I27</f>
        <v>0</v>
      </c>
      <c r="L27" s="4">
        <f>IF(((H27 = 0)=TRUE),  0,  ROUND(100 * I27 / H27, 2))</f>
        <v>100</v>
      </c>
      <c r="M27" s="4" t="b">
        <f>K27 = 0</f>
        <v>1</v>
      </c>
      <c r="N27" s="4" t="str">
        <f>IF(((M27)=TRUE),  "",  D27)</f>
      </c>
      <c r="O27" s="4" t="str">
        <f>IF(((M27)=TRUE),  "",  E27)</f>
      </c>
      <c r="P27" s="4">
        <f>COUNTIFS(FieldDisagreements!E2:E50, A27)</f>
        <v>0</v>
      </c>
      <c r="Q27" s="4" t="str">
        <f>_xlfn.IFNA(IF(((INDEX(ConformanceSubstrates!C2:C9, MATCH(D27,ConformanceSubstrates!A2:A9, 0))="")=TRUE),  "",  INDEX(ConformanceSubstrates!C2:C9, MATCH(D27,ConformanceSubstrates!A2:A9, 0))), "")</f>
        <v>PostgreSQL</v>
      </c>
      <c r="R27" s="4" t="str">
        <f>_xlfn.IFNA(IF(((INDEX(RulebookTables!F2:F93, MATCH(E27,RulebookTables!A2:A93, 0))="")=TRUE),  "",  INDEX(RulebookTables!F2:F93, MATCH(E27,RulebookTables!A2:A93, 0))), "")</f>
        <v>governance</v>
      </c>
      <c r="S27" s="3" t="s">
        <v>1918</v>
      </c>
    </row>
    <row r="28">
      <c r="A28" s="3" t="s">
        <v>14131</v>
      </c>
      <c r="B28" s="4" t="str">
        <f>_xlfn.CONCAT(D28, " / ", E28)</f>
        <v>effortless-postgres / Exceptions</v>
      </c>
      <c r="C28" s="3" t="s">
        <v>14074</v>
      </c>
      <c r="D28" s="3" t="s">
        <v>14022</v>
      </c>
      <c r="E28" s="3" t="s">
        <v>3161</v>
      </c>
      <c r="F28" s="3">
        <v>4</v>
      </c>
      <c r="G28" s="3">
        <v>2</v>
      </c>
      <c r="H28" s="3">
        <v>8</v>
      </c>
      <c r="I28" s="3">
        <v>8</v>
      </c>
      <c r="J28" s="3" t="b">
        <v>0</v>
      </c>
      <c r="K28" s="4">
        <f>H28 - I28</f>
        <v>0</v>
      </c>
      <c r="L28" s="4">
        <f>IF(((H28 = 0)=TRUE),  0,  ROUND(100 * I28 / H28, 2))</f>
        <v>100</v>
      </c>
      <c r="M28" s="4" t="b">
        <f>K28 = 0</f>
        <v>1</v>
      </c>
      <c r="N28" s="4" t="str">
        <f>IF(((M28)=TRUE),  "",  D28)</f>
      </c>
      <c r="O28" s="4" t="str">
        <f>IF(((M28)=TRUE),  "",  E28)</f>
      </c>
      <c r="P28" s="4">
        <f>COUNTIFS(FieldDisagreements!E2:E50, A28)</f>
        <v>0</v>
      </c>
      <c r="Q28" s="4" t="str">
        <f>_xlfn.IFNA(IF(((INDEX(ConformanceSubstrates!C2:C9, MATCH(D28,ConformanceSubstrates!A2:A9, 0))="")=TRUE),  "",  INDEX(ConformanceSubstrates!C2:C9, MATCH(D28,ConformanceSubstrates!A2:A9, 0))), "")</f>
        <v>PostgreSQL</v>
      </c>
      <c r="R28" s="4" t="str">
        <f>_xlfn.IFNA(IF(((INDEX(RulebookTables!F2:F93, MATCH(E28,RulebookTables!A2:A93, 0))="")=TRUE),  "",  INDEX(RulebookTables!F2:F93, MATCH(E28,RulebookTables!A2:A93, 0))), "")</f>
        <v>governance</v>
      </c>
      <c r="S28" s="3" t="s">
        <v>1918</v>
      </c>
    </row>
    <row r="29">
      <c r="A29" s="3" t="s">
        <v>14132</v>
      </c>
      <c r="B29" s="4" t="str">
        <f>_xlfn.CONCAT(D29, " / ", E29)</f>
        <v>effortless-postgres / Resources</v>
      </c>
      <c r="C29" s="3" t="s">
        <v>14074</v>
      </c>
      <c r="D29" s="3" t="s">
        <v>14022</v>
      </c>
      <c r="E29" s="3" t="s">
        <v>1811</v>
      </c>
      <c r="F29" s="3">
        <v>8</v>
      </c>
      <c r="G29" s="3">
        <v>2</v>
      </c>
      <c r="H29" s="3">
        <v>16</v>
      </c>
      <c r="I29" s="3">
        <v>16</v>
      </c>
      <c r="J29" s="3" t="b">
        <v>0</v>
      </c>
      <c r="K29" s="4">
        <f>H29 - I29</f>
        <v>0</v>
      </c>
      <c r="L29" s="4">
        <f>IF(((H29 = 0)=TRUE),  0,  ROUND(100 * I29 / H29, 2))</f>
        <v>100</v>
      </c>
      <c r="M29" s="4" t="b">
        <f>K29 = 0</f>
        <v>1</v>
      </c>
      <c r="N29" s="4" t="str">
        <f>IF(((M29)=TRUE),  "",  D29)</f>
      </c>
      <c r="O29" s="4" t="str">
        <f>IF(((M29)=TRUE),  "",  E29)</f>
      </c>
      <c r="P29" s="4">
        <f>COUNTIFS(FieldDisagreements!E2:E50, A29)</f>
        <v>0</v>
      </c>
      <c r="Q29" s="4" t="str">
        <f>_xlfn.IFNA(IF(((INDEX(ConformanceSubstrates!C2:C9, MATCH(D29,ConformanceSubstrates!A2:A9, 0))="")=TRUE),  "",  INDEX(ConformanceSubstrates!C2:C9, MATCH(D29,ConformanceSubstrates!A2:A9, 0))), "")</f>
        <v>PostgreSQL</v>
      </c>
      <c r="R29" s="4" t="str">
        <f>_xlfn.IFNA(IF(((INDEX(RulebookTables!F2:F93, MATCH(E29,RulebookTables!A2:A93, 0))="")=TRUE),  "",  INDEX(RulebookTables!F2:F93, MATCH(E29,RulebookTables!A2:A93, 0))), "")</f>
        <v>domain</v>
      </c>
      <c r="S29" s="3" t="s">
        <v>1918</v>
      </c>
    </row>
    <row r="30">
      <c r="A30" s="3" t="s">
        <v>14133</v>
      </c>
      <c r="B30" s="4" t="str">
        <f>_xlfn.CONCAT(D30, " / ", E30)</f>
        <v>effortless-postgres / ProcedureResources</v>
      </c>
      <c r="C30" s="3" t="s">
        <v>14074</v>
      </c>
      <c r="D30" s="3" t="s">
        <v>14022</v>
      </c>
      <c r="E30" s="3" t="s">
        <v>3187</v>
      </c>
      <c r="F30" s="3">
        <v>8</v>
      </c>
      <c r="G30" s="3">
        <v>2</v>
      </c>
      <c r="H30" s="3">
        <v>16</v>
      </c>
      <c r="I30" s="3">
        <v>16</v>
      </c>
      <c r="J30" s="3" t="b">
        <v>0</v>
      </c>
      <c r="K30" s="4">
        <f>H30 - I30</f>
        <v>0</v>
      </c>
      <c r="L30" s="4">
        <f>IF(((H30 = 0)=TRUE),  0,  ROUND(100 * I30 / H30, 2))</f>
        <v>100</v>
      </c>
      <c r="M30" s="4" t="b">
        <f>K30 = 0</f>
        <v>1</v>
      </c>
      <c r="N30" s="4" t="str">
        <f>IF(((M30)=TRUE),  "",  D30)</f>
      </c>
      <c r="O30" s="4" t="str">
        <f>IF(((M30)=TRUE),  "",  E30)</f>
      </c>
      <c r="P30" s="4">
        <f>COUNTIFS(FieldDisagreements!E2:E50, A30)</f>
        <v>0</v>
      </c>
      <c r="Q30" s="4" t="str">
        <f>_xlfn.IFNA(IF(((INDEX(ConformanceSubstrates!C2:C9, MATCH(D30,ConformanceSubstrates!A2:A9, 0))="")=TRUE),  "",  INDEX(ConformanceSubstrates!C2:C9, MATCH(D30,ConformanceSubstrates!A2:A9, 0))), "")</f>
        <v>PostgreSQL</v>
      </c>
      <c r="R30" s="4" t="str">
        <f>_xlfn.IFNA(IF(((INDEX(RulebookTables!F2:F93, MATCH(E30,RulebookTables!A2:A93, 0))="")=TRUE),  "",  INDEX(RulebookTables!F2:F93, MATCH(E30,RulebookTables!A2:A93, 0))), "")</f>
        <v>specification</v>
      </c>
      <c r="S30" s="3" t="s">
        <v>1918</v>
      </c>
    </row>
    <row r="31">
      <c r="A31" s="3" t="s">
        <v>14134</v>
      </c>
      <c r="B31" s="4" t="str">
        <f>_xlfn.CONCAT(D31, " / ", E31)</f>
        <v>effortless-postgres / ElicitationSessions</v>
      </c>
      <c r="C31" s="3" t="s">
        <v>14074</v>
      </c>
      <c r="D31" s="3" t="s">
        <v>14022</v>
      </c>
      <c r="E31" s="3" t="s">
        <v>1855</v>
      </c>
      <c r="F31" s="3">
        <v>3</v>
      </c>
      <c r="G31" s="3">
        <v>10</v>
      </c>
      <c r="H31" s="3">
        <v>30</v>
      </c>
      <c r="I31" s="3">
        <v>30</v>
      </c>
      <c r="J31" s="3" t="b">
        <v>0</v>
      </c>
      <c r="K31" s="4">
        <f>H31 - I31</f>
        <v>0</v>
      </c>
      <c r="L31" s="4">
        <f>IF(((H31 = 0)=TRUE),  0,  ROUND(100 * I31 / H31, 2))</f>
        <v>100</v>
      </c>
      <c r="M31" s="4" t="b">
        <f>K31 = 0</f>
        <v>1</v>
      </c>
      <c r="N31" s="4" t="str">
        <f>IF(((M31)=TRUE),  "",  D31)</f>
      </c>
      <c r="O31" s="4" t="str">
        <f>IF(((M31)=TRUE),  "",  E31)</f>
      </c>
      <c r="P31" s="4">
        <f>COUNTIFS(FieldDisagreements!E2:E50, A31)</f>
        <v>0</v>
      </c>
      <c r="Q31" s="4" t="str">
        <f>_xlfn.IFNA(IF(((INDEX(ConformanceSubstrates!C2:C9, MATCH(D31,ConformanceSubstrates!A2:A9, 0))="")=TRUE),  "",  INDEX(ConformanceSubstrates!C2:C9, MATCH(D31,ConformanceSubstrates!A2:A9, 0))), "")</f>
        <v>PostgreSQL</v>
      </c>
      <c r="R31" s="4" t="str">
        <f>_xlfn.IFNA(IF(((INDEX(RulebookTables!F2:F93, MATCH(E31,RulebookTables!A2:A93, 0))="")=TRUE),  "",  INDEX(RulebookTables!F2:F93, MATCH(E31,RulebookTables!A2:A93, 0))), "")</f>
        <v>knowledge</v>
      </c>
      <c r="S31" s="3" t="s">
        <v>1918</v>
      </c>
    </row>
    <row r="32">
      <c r="A32" s="3" t="s">
        <v>14135</v>
      </c>
      <c r="B32" s="4" t="str">
        <f>_xlfn.CONCAT(D32, " / ", E32)</f>
        <v>effortless-postgres / KnowledgeFragments</v>
      </c>
      <c r="C32" s="3" t="s">
        <v>14074</v>
      </c>
      <c r="D32" s="3" t="s">
        <v>14022</v>
      </c>
      <c r="E32" s="3" t="s">
        <v>1851</v>
      </c>
      <c r="F32" s="3">
        <v>7</v>
      </c>
      <c r="G32" s="3">
        <v>65</v>
      </c>
      <c r="H32" s="3">
        <v>455</v>
      </c>
      <c r="I32" s="3">
        <v>455</v>
      </c>
      <c r="J32" s="3" t="b">
        <v>0</v>
      </c>
      <c r="K32" s="4">
        <f>H32 - I32</f>
        <v>0</v>
      </c>
      <c r="L32" s="4">
        <f>IF(((H32 = 0)=TRUE),  0,  ROUND(100 * I32 / H32, 2))</f>
        <v>100</v>
      </c>
      <c r="M32" s="4" t="b">
        <f>K32 = 0</f>
        <v>1</v>
      </c>
      <c r="N32" s="4" t="str">
        <f>IF(((M32)=TRUE),  "",  D32)</f>
      </c>
      <c r="O32" s="4" t="str">
        <f>IF(((M32)=TRUE),  "",  E32)</f>
      </c>
      <c r="P32" s="4">
        <f>COUNTIFS(FieldDisagreements!E2:E50, A32)</f>
        <v>0</v>
      </c>
      <c r="Q32" s="4" t="str">
        <f>_xlfn.IFNA(IF(((INDEX(ConformanceSubstrates!C2:C9, MATCH(D32,ConformanceSubstrates!A2:A9, 0))="")=TRUE),  "",  INDEX(ConformanceSubstrates!C2:C9, MATCH(D32,ConformanceSubstrates!A2:A9, 0))), "")</f>
        <v>PostgreSQL</v>
      </c>
      <c r="R32" s="4" t="str">
        <f>_xlfn.IFNA(IF(((INDEX(RulebookTables!F2:F93, MATCH(E32,RulebookTables!A2:A93, 0))="")=TRUE),  "",  INDEX(RulebookTables!F2:F93, MATCH(E32,RulebookTables!A2:A93, 0))), "")</f>
        <v>knowledge</v>
      </c>
      <c r="S32" s="3" t="s">
        <v>1918</v>
      </c>
    </row>
    <row r="33">
      <c r="A33" s="3" t="s">
        <v>14136</v>
      </c>
      <c r="B33" s="4" t="str">
        <f>_xlfn.CONCAT(D33, " / ", E33)</f>
        <v>effortless-postgres / KnowledgeGaps</v>
      </c>
      <c r="C33" s="3" t="s">
        <v>14074</v>
      </c>
      <c r="D33" s="3" t="s">
        <v>14022</v>
      </c>
      <c r="E33" s="3" t="s">
        <v>3368</v>
      </c>
      <c r="F33" s="3">
        <v>8</v>
      </c>
      <c r="G33" s="3">
        <v>16</v>
      </c>
      <c r="H33" s="3">
        <v>128</v>
      </c>
      <c r="I33" s="3">
        <v>128</v>
      </c>
      <c r="J33" s="3" t="b">
        <v>0</v>
      </c>
      <c r="K33" s="4">
        <f>H33 - I33</f>
        <v>0</v>
      </c>
      <c r="L33" s="4">
        <f>IF(((H33 = 0)=TRUE),  0,  ROUND(100 * I33 / H33, 2))</f>
        <v>100</v>
      </c>
      <c r="M33" s="4" t="b">
        <f>K33 = 0</f>
        <v>1</v>
      </c>
      <c r="N33" s="4" t="str">
        <f>IF(((M33)=TRUE),  "",  D33)</f>
      </c>
      <c r="O33" s="4" t="str">
        <f>IF(((M33)=TRUE),  "",  E33)</f>
      </c>
      <c r="P33" s="4">
        <f>COUNTIFS(FieldDisagreements!E2:E50, A33)</f>
        <v>0</v>
      </c>
      <c r="Q33" s="4" t="str">
        <f>_xlfn.IFNA(IF(((INDEX(ConformanceSubstrates!C2:C9, MATCH(D33,ConformanceSubstrates!A2:A9, 0))="")=TRUE),  "",  INDEX(ConformanceSubstrates!C2:C9, MATCH(D33,ConformanceSubstrates!A2:A9, 0))), "")</f>
        <v>PostgreSQL</v>
      </c>
      <c r="R33" s="4" t="str">
        <f>_xlfn.IFNA(IF(((INDEX(RulebookTables!F2:F93, MATCH(E33,RulebookTables!A2:A93, 0))="")=TRUE),  "",  INDEX(RulebookTables!F2:F93, MATCH(E33,RulebookTables!A2:A93, 0))), "")</f>
        <v>knowledge</v>
      </c>
      <c r="S33" s="3" t="s">
        <v>1918</v>
      </c>
    </row>
    <row r="34">
      <c r="A34" s="3" t="s">
        <v>14137</v>
      </c>
      <c r="B34" s="4" t="str">
        <f>_xlfn.CONCAT(D34, " / ", E34)</f>
        <v>effortless-postgres / FAQs</v>
      </c>
      <c r="C34" s="3" t="s">
        <v>14074</v>
      </c>
      <c r="D34" s="3" t="s">
        <v>14022</v>
      </c>
      <c r="E34" s="3" t="s">
        <v>1845</v>
      </c>
      <c r="F34" s="3">
        <v>3</v>
      </c>
      <c r="G34" s="3">
        <v>1</v>
      </c>
      <c r="H34" s="3">
        <v>3</v>
      </c>
      <c r="I34" s="3">
        <v>3</v>
      </c>
      <c r="J34" s="3" t="b">
        <v>0</v>
      </c>
      <c r="K34" s="4">
        <f>H34 - I34</f>
        <v>0</v>
      </c>
      <c r="L34" s="4">
        <f>IF(((H34 = 0)=TRUE),  0,  ROUND(100 * I34 / H34, 2))</f>
        <v>100</v>
      </c>
      <c r="M34" s="4" t="b">
        <f>K34 = 0</f>
        <v>1</v>
      </c>
      <c r="N34" s="4" t="str">
        <f>IF(((M34)=TRUE),  "",  D34)</f>
      </c>
      <c r="O34" s="4" t="str">
        <f>IF(((M34)=TRUE),  "",  E34)</f>
      </c>
      <c r="P34" s="4">
        <f>COUNTIFS(FieldDisagreements!E2:E50, A34)</f>
        <v>0</v>
      </c>
      <c r="Q34" s="4" t="str">
        <f>_xlfn.IFNA(IF(((INDEX(ConformanceSubstrates!C2:C9, MATCH(D34,ConformanceSubstrates!A2:A9, 0))="")=TRUE),  "",  INDEX(ConformanceSubstrates!C2:C9, MATCH(D34,ConformanceSubstrates!A2:A9, 0))), "")</f>
        <v>PostgreSQL</v>
      </c>
      <c r="R34" s="4" t="str">
        <f>_xlfn.IFNA(IF(((INDEX(RulebookTables!F2:F93, MATCH(E34,RulebookTables!A2:A93, 0))="")=TRUE),  "",  INDEX(RulebookTables!F2:F93, MATCH(E34,RulebookTables!A2:A93, 0))), "")</f>
        <v>knowledge</v>
      </c>
      <c r="S34" s="3" t="s">
        <v>1918</v>
      </c>
    </row>
    <row r="35">
      <c r="A35" s="3" t="s">
        <v>14138</v>
      </c>
      <c r="B35" s="4" t="str">
        <f>_xlfn.CONCAT(D35, " / ", E35)</f>
        <v>effortless-postgres / Explanations</v>
      </c>
      <c r="C35" s="3" t="s">
        <v>14074</v>
      </c>
      <c r="D35" s="3" t="s">
        <v>14022</v>
      </c>
      <c r="E35" s="3" t="s">
        <v>1848</v>
      </c>
      <c r="F35" s="3">
        <v>2</v>
      </c>
      <c r="G35" s="3">
        <v>1</v>
      </c>
      <c r="H35" s="3">
        <v>2</v>
      </c>
      <c r="I35" s="3">
        <v>2</v>
      </c>
      <c r="J35" s="3" t="b">
        <v>0</v>
      </c>
      <c r="K35" s="4">
        <f>H35 - I35</f>
        <v>0</v>
      </c>
      <c r="L35" s="4">
        <f>IF(((H35 = 0)=TRUE),  0,  ROUND(100 * I35 / H35, 2))</f>
        <v>100</v>
      </c>
      <c r="M35" s="4" t="b">
        <f>K35 = 0</f>
        <v>1</v>
      </c>
      <c r="N35" s="4" t="str">
        <f>IF(((M35)=TRUE),  "",  D35)</f>
      </c>
      <c r="O35" s="4" t="str">
        <f>IF(((M35)=TRUE),  "",  E35)</f>
      </c>
      <c r="P35" s="4">
        <f>COUNTIFS(FieldDisagreements!E2:E50, A35)</f>
        <v>0</v>
      </c>
      <c r="Q35" s="4" t="str">
        <f>_xlfn.IFNA(IF(((INDEX(ConformanceSubstrates!C2:C9, MATCH(D35,ConformanceSubstrates!A2:A9, 0))="")=TRUE),  "",  INDEX(ConformanceSubstrates!C2:C9, MATCH(D35,ConformanceSubstrates!A2:A9, 0))), "")</f>
        <v>PostgreSQL</v>
      </c>
      <c r="R35" s="4" t="str">
        <f>_xlfn.IFNA(IF(((INDEX(RulebookTables!F2:F93, MATCH(E35,RulebookTables!A2:A93, 0))="")=TRUE),  "",  INDEX(RulebookTables!F2:F93, MATCH(E35,RulebookTables!A2:A93, 0))), "")</f>
        <v>knowledge</v>
      </c>
      <c r="S35" s="3" t="s">
        <v>1918</v>
      </c>
    </row>
    <row r="36">
      <c r="A36" s="3" t="s">
        <v>14139</v>
      </c>
      <c r="B36" s="4" t="str">
        <f>_xlfn.CONCAT(D36, " / ", E36)</f>
        <v>effortless-postgres / ProcedureExecutions</v>
      </c>
      <c r="C36" s="3" t="s">
        <v>14074</v>
      </c>
      <c r="D36" s="3" t="s">
        <v>14022</v>
      </c>
      <c r="E36" s="3" t="s">
        <v>1824</v>
      </c>
      <c r="F36" s="3">
        <v>2</v>
      </c>
      <c r="G36" s="3">
        <v>69</v>
      </c>
      <c r="H36" s="3">
        <v>138</v>
      </c>
      <c r="I36" s="3">
        <v>138</v>
      </c>
      <c r="J36" s="3" t="b">
        <v>0</v>
      </c>
      <c r="K36" s="4">
        <f>H36 - I36</f>
        <v>0</v>
      </c>
      <c r="L36" s="4">
        <f>IF(((H36 = 0)=TRUE),  0,  ROUND(100 * I36 / H36, 2))</f>
        <v>100</v>
      </c>
      <c r="M36" s="4" t="b">
        <f>K36 = 0</f>
        <v>1</v>
      </c>
      <c r="N36" s="4" t="str">
        <f>IF(((M36)=TRUE),  "",  D36)</f>
      </c>
      <c r="O36" s="4" t="str">
        <f>IF(((M36)=TRUE),  "",  E36)</f>
      </c>
      <c r="P36" s="4">
        <f>COUNTIFS(FieldDisagreements!E2:E50, A36)</f>
        <v>0</v>
      </c>
      <c r="Q36" s="4" t="str">
        <f>_xlfn.IFNA(IF(((INDEX(ConformanceSubstrates!C2:C9, MATCH(D36,ConformanceSubstrates!A2:A9, 0))="")=TRUE),  "",  INDEX(ConformanceSubstrates!C2:C9, MATCH(D36,ConformanceSubstrates!A2:A9, 0))), "")</f>
        <v>PostgreSQL</v>
      </c>
      <c r="R36" s="4" t="str">
        <f>_xlfn.IFNA(IF(((INDEX(RulebookTables!F2:F93, MATCH(E36,RulebookTables!A2:A93, 0))="")=TRUE),  "",  INDEX(RulebookTables!F2:F93, MATCH(E36,RulebookTables!A2:A93, 0))), "")</f>
        <v>specification</v>
      </c>
      <c r="S36" s="3" t="s">
        <v>1918</v>
      </c>
    </row>
    <row r="37">
      <c r="A37" s="3" t="s">
        <v>14140</v>
      </c>
      <c r="B37" s="4" t="str">
        <f>_xlfn.CONCAT(D37, " / ", E37)</f>
        <v>effortless-postgres / StepExecutions</v>
      </c>
      <c r="C37" s="3" t="s">
        <v>14074</v>
      </c>
      <c r="D37" s="3" t="s">
        <v>14022</v>
      </c>
      <c r="E37" s="3" t="s">
        <v>1827</v>
      </c>
      <c r="F37" s="3">
        <v>12</v>
      </c>
      <c r="G37" s="3">
        <v>99</v>
      </c>
      <c r="H37" s="3">
        <v>1188</v>
      </c>
      <c r="I37" s="3">
        <v>1188</v>
      </c>
      <c r="J37" s="3" t="b">
        <v>0</v>
      </c>
      <c r="K37" s="4">
        <f>H37 - I37</f>
        <v>0</v>
      </c>
      <c r="L37" s="4">
        <f>IF(((H37 = 0)=TRUE),  0,  ROUND(100 * I37 / H37, 2))</f>
        <v>100</v>
      </c>
      <c r="M37" s="4" t="b">
        <f>K37 = 0</f>
        <v>1</v>
      </c>
      <c r="N37" s="4" t="str">
        <f>IF(((M37)=TRUE),  "",  D37)</f>
      </c>
      <c r="O37" s="4" t="str">
        <f>IF(((M37)=TRUE),  "",  E37)</f>
      </c>
      <c r="P37" s="4">
        <f>COUNTIFS(FieldDisagreements!E2:E50, A37)</f>
        <v>0</v>
      </c>
      <c r="Q37" s="4" t="str">
        <f>_xlfn.IFNA(IF(((INDEX(ConformanceSubstrates!C2:C9, MATCH(D37,ConformanceSubstrates!A2:A9, 0))="")=TRUE),  "",  INDEX(ConformanceSubstrates!C2:C9, MATCH(D37,ConformanceSubstrates!A2:A9, 0))), "")</f>
        <v>PostgreSQL</v>
      </c>
      <c r="R37" s="4" t="str">
        <f>_xlfn.IFNA(IF(((INDEX(RulebookTables!F2:F93, MATCH(E37,RulebookTables!A2:A93, 0))="")=TRUE),  "",  INDEX(RulebookTables!F2:F93, MATCH(E37,RulebookTables!A2:A93, 0))), "")</f>
        <v>specification</v>
      </c>
      <c r="S37" s="3" t="s">
        <v>1918</v>
      </c>
    </row>
    <row r="38">
      <c r="A38" s="3" t="s">
        <v>14141</v>
      </c>
      <c r="B38" s="4" t="str">
        <f>_xlfn.CONCAT(D38, " / ", E38)</f>
        <v>effortless-postgres / RequirementSatisfactions</v>
      </c>
      <c r="C38" s="3" t="s">
        <v>14074</v>
      </c>
      <c r="D38" s="3" t="s">
        <v>14022</v>
      </c>
      <c r="E38" s="3" t="s">
        <v>1830</v>
      </c>
      <c r="F38" s="3">
        <v>8</v>
      </c>
      <c r="G38" s="3">
        <v>38</v>
      </c>
      <c r="H38" s="3">
        <v>304</v>
      </c>
      <c r="I38" s="3">
        <v>304</v>
      </c>
      <c r="J38" s="3" t="b">
        <v>0</v>
      </c>
      <c r="K38" s="4">
        <f>H38 - I38</f>
        <v>0</v>
      </c>
      <c r="L38" s="4">
        <f>IF(((H38 = 0)=TRUE),  0,  ROUND(100 * I38 / H38, 2))</f>
        <v>100</v>
      </c>
      <c r="M38" s="4" t="b">
        <f>K38 = 0</f>
        <v>1</v>
      </c>
      <c r="N38" s="4" t="str">
        <f>IF(((M38)=TRUE),  "",  D38)</f>
      </c>
      <c r="O38" s="4" t="str">
        <f>IF(((M38)=TRUE),  "",  E38)</f>
      </c>
      <c r="P38" s="4">
        <f>COUNTIFS(FieldDisagreements!E2:E50, A38)</f>
        <v>0</v>
      </c>
      <c r="Q38" s="4" t="str">
        <f>_xlfn.IFNA(IF(((INDEX(ConformanceSubstrates!C2:C9, MATCH(D38,ConformanceSubstrates!A2:A9, 0))="")=TRUE),  "",  INDEX(ConformanceSubstrates!C2:C9, MATCH(D38,ConformanceSubstrates!A2:A9, 0))), "")</f>
        <v>PostgreSQL</v>
      </c>
      <c r="R38" s="4" t="str">
        <f>_xlfn.IFNA(IF(((INDEX(RulebookTables!F2:F93, MATCH(E38,RulebookTables!A2:A93, 0))="")=TRUE),  "",  INDEX(RulebookTables!F2:F93, MATCH(E38,RulebookTables!A2:A93, 0))), "")</f>
        <v>execution</v>
      </c>
      <c r="S38" s="3" t="s">
        <v>1918</v>
      </c>
    </row>
    <row r="39">
      <c r="A39" s="3" t="s">
        <v>14142</v>
      </c>
      <c r="B39" s="4" t="str">
        <f>_xlfn.CONCAT(D39, " / ", E39)</f>
        <v>effortless-postgres / Errors</v>
      </c>
      <c r="C39" s="3" t="s">
        <v>14074</v>
      </c>
      <c r="D39" s="3" t="s">
        <v>14022</v>
      </c>
      <c r="E39" s="3" t="s">
        <v>1833</v>
      </c>
      <c r="F39" s="3">
        <v>2</v>
      </c>
      <c r="G39" s="3">
        <v>1</v>
      </c>
      <c r="H39" s="3">
        <v>2</v>
      </c>
      <c r="I39" s="3">
        <v>2</v>
      </c>
      <c r="J39" s="3" t="b">
        <v>0</v>
      </c>
      <c r="K39" s="4">
        <f>H39 - I39</f>
        <v>0</v>
      </c>
      <c r="L39" s="4">
        <f>IF(((H39 = 0)=TRUE),  0,  ROUND(100 * I39 / H39, 2))</f>
        <v>100</v>
      </c>
      <c r="M39" s="4" t="b">
        <f>K39 = 0</f>
        <v>1</v>
      </c>
      <c r="N39" s="4" t="str">
        <f>IF(((M39)=TRUE),  "",  D39)</f>
      </c>
      <c r="O39" s="4" t="str">
        <f>IF(((M39)=TRUE),  "",  E39)</f>
      </c>
      <c r="P39" s="4">
        <f>COUNTIFS(FieldDisagreements!E2:E50, A39)</f>
        <v>0</v>
      </c>
      <c r="Q39" s="4" t="str">
        <f>_xlfn.IFNA(IF(((INDEX(ConformanceSubstrates!C2:C9, MATCH(D39,ConformanceSubstrates!A2:A9, 0))="")=TRUE),  "",  INDEX(ConformanceSubstrates!C2:C9, MATCH(D39,ConformanceSubstrates!A2:A9, 0))), "")</f>
        <v>PostgreSQL</v>
      </c>
      <c r="R39" s="4" t="str">
        <f>_xlfn.IFNA(IF(((INDEX(RulebookTables!F2:F93, MATCH(E39,RulebookTables!A2:A93, 0))="")=TRUE),  "",  INDEX(RulebookTables!F2:F93, MATCH(E39,RulebookTables!A2:A93, 0))), "")</f>
        <v>execution</v>
      </c>
      <c r="S39" s="3" t="s">
        <v>1918</v>
      </c>
    </row>
    <row r="40">
      <c r="A40" s="3" t="s">
        <v>14143</v>
      </c>
      <c r="B40" s="4" t="str">
        <f>_xlfn.CONCAT(D40, " / ", E40)</f>
        <v>effortless-postgres / IssueOccurrences</v>
      </c>
      <c r="C40" s="3" t="s">
        <v>14074</v>
      </c>
      <c r="D40" s="3" t="s">
        <v>14022</v>
      </c>
      <c r="E40" s="3" t="s">
        <v>1836</v>
      </c>
      <c r="F40" s="3">
        <v>2</v>
      </c>
      <c r="G40" s="3">
        <v>3</v>
      </c>
      <c r="H40" s="3">
        <v>6</v>
      </c>
      <c r="I40" s="3">
        <v>6</v>
      </c>
      <c r="J40" s="3" t="b">
        <v>0</v>
      </c>
      <c r="K40" s="4">
        <f>H40 - I40</f>
        <v>0</v>
      </c>
      <c r="L40" s="4">
        <f>IF(((H40 = 0)=TRUE),  0,  ROUND(100 * I40 / H40, 2))</f>
        <v>100</v>
      </c>
      <c r="M40" s="4" t="b">
        <f>K40 = 0</f>
        <v>1</v>
      </c>
      <c r="N40" s="4" t="str">
        <f>IF(((M40)=TRUE),  "",  D40)</f>
      </c>
      <c r="O40" s="4" t="str">
        <f>IF(((M40)=TRUE),  "",  E40)</f>
      </c>
      <c r="P40" s="4">
        <f>COUNTIFS(FieldDisagreements!E2:E50, A40)</f>
        <v>0</v>
      </c>
      <c r="Q40" s="4" t="str">
        <f>_xlfn.IFNA(IF(((INDEX(ConformanceSubstrates!C2:C9, MATCH(D40,ConformanceSubstrates!A2:A9, 0))="")=TRUE),  "",  INDEX(ConformanceSubstrates!C2:C9, MATCH(D40,ConformanceSubstrates!A2:A9, 0))), "")</f>
        <v>PostgreSQL</v>
      </c>
      <c r="R40" s="4" t="str">
        <f>_xlfn.IFNA(IF(((INDEX(RulebookTables!F2:F93, MATCH(E40,RulebookTables!A2:A93, 0))="")=TRUE),  "",  INDEX(RulebookTables!F2:F93, MATCH(E40,RulebookTables!A2:A93, 0))), "")</f>
        <v>execution</v>
      </c>
      <c r="S40" s="3" t="s">
        <v>1918</v>
      </c>
    </row>
    <row r="41">
      <c r="A41" s="3" t="s">
        <v>14144</v>
      </c>
      <c r="B41" s="4" t="str">
        <f>_xlfn.CONCAT(D41, " / ", E41)</f>
        <v>effortless-postgres / UserQuestions</v>
      </c>
      <c r="C41" s="3" t="s">
        <v>14074</v>
      </c>
      <c r="D41" s="3" t="s">
        <v>14022</v>
      </c>
      <c r="E41" s="3" t="s">
        <v>1839</v>
      </c>
      <c r="F41" s="3">
        <v>2</v>
      </c>
      <c r="G41" s="3">
        <v>1</v>
      </c>
      <c r="H41" s="3">
        <v>2</v>
      </c>
      <c r="I41" s="3">
        <v>2</v>
      </c>
      <c r="J41" s="3" t="b">
        <v>0</v>
      </c>
      <c r="K41" s="4">
        <f>H41 - I41</f>
        <v>0</v>
      </c>
      <c r="L41" s="4">
        <f>IF(((H41 = 0)=TRUE),  0,  ROUND(100 * I41 / H41, 2))</f>
        <v>100</v>
      </c>
      <c r="M41" s="4" t="b">
        <f>K41 = 0</f>
        <v>1</v>
      </c>
      <c r="N41" s="4" t="str">
        <f>IF(((M41)=TRUE),  "",  D41)</f>
      </c>
      <c r="O41" s="4" t="str">
        <f>IF(((M41)=TRUE),  "",  E41)</f>
      </c>
      <c r="P41" s="4">
        <f>COUNTIFS(FieldDisagreements!E2:E50, A41)</f>
        <v>0</v>
      </c>
      <c r="Q41" s="4" t="str">
        <f>_xlfn.IFNA(IF(((INDEX(ConformanceSubstrates!C2:C9, MATCH(D41,ConformanceSubstrates!A2:A9, 0))="")=TRUE),  "",  INDEX(ConformanceSubstrates!C2:C9, MATCH(D41,ConformanceSubstrates!A2:A9, 0))), "")</f>
        <v>PostgreSQL</v>
      </c>
      <c r="R41" s="4" t="str">
        <f>_xlfn.IFNA(IF(((INDEX(RulebookTables!F2:F93, MATCH(E41,RulebookTables!A2:A93, 0))="")=TRUE),  "",  INDEX(RulebookTables!F2:F93, MATCH(E41,RulebookTables!A2:A93, 0))), "")</f>
        <v>domain</v>
      </c>
      <c r="S41" s="3" t="s">
        <v>1918</v>
      </c>
    </row>
    <row r="42">
      <c r="A42" s="3" t="s">
        <v>14145</v>
      </c>
      <c r="B42" s="4" t="str">
        <f>_xlfn.CONCAT(D42, " / ", E42)</f>
        <v>effortless-postgres / UserFeedback</v>
      </c>
      <c r="C42" s="3" t="s">
        <v>14074</v>
      </c>
      <c r="D42" s="3" t="s">
        <v>14022</v>
      </c>
      <c r="E42" s="3" t="s">
        <v>1842</v>
      </c>
      <c r="F42" s="3">
        <v>2</v>
      </c>
      <c r="G42" s="3">
        <v>1</v>
      </c>
      <c r="H42" s="3">
        <v>2</v>
      </c>
      <c r="I42" s="3">
        <v>2</v>
      </c>
      <c r="J42" s="3" t="b">
        <v>0</v>
      </c>
      <c r="K42" s="4">
        <f>H42 - I42</f>
        <v>0</v>
      </c>
      <c r="L42" s="4">
        <f>IF(((H42 = 0)=TRUE),  0,  ROUND(100 * I42 / H42, 2))</f>
        <v>100</v>
      </c>
      <c r="M42" s="4" t="b">
        <f>K42 = 0</f>
        <v>1</v>
      </c>
      <c r="N42" s="4" t="str">
        <f>IF(((M42)=TRUE),  "",  D42)</f>
      </c>
      <c r="O42" s="4" t="str">
        <f>IF(((M42)=TRUE),  "",  E42)</f>
      </c>
      <c r="P42" s="4">
        <f>COUNTIFS(FieldDisagreements!E2:E50, A42)</f>
        <v>0</v>
      </c>
      <c r="Q42" s="4" t="str">
        <f>_xlfn.IFNA(IF(((INDEX(ConformanceSubstrates!C2:C9, MATCH(D42,ConformanceSubstrates!A2:A9, 0))="")=TRUE),  "",  INDEX(ConformanceSubstrates!C2:C9, MATCH(D42,ConformanceSubstrates!A2:A9, 0))), "")</f>
        <v>PostgreSQL</v>
      </c>
      <c r="R42" s="4" t="str">
        <f>_xlfn.IFNA(IF(((INDEX(RulebookTables!F2:F93, MATCH(E42,RulebookTables!A2:A93, 0))="")=TRUE),  "",  INDEX(RulebookTables!F2:F93, MATCH(E42,RulebookTables!A2:A93, 0))), "")</f>
        <v>domain</v>
      </c>
      <c r="S42" s="3" t="s">
        <v>1918</v>
      </c>
    </row>
    <row r="43">
      <c r="A43" s="3" t="s">
        <v>14146</v>
      </c>
      <c r="B43" s="4" t="str">
        <f>_xlfn.CONCAT(D43, " / ", E43)</f>
        <v>effortless-postgres / StewardshipAssignments</v>
      </c>
      <c r="C43" s="3" t="s">
        <v>14074</v>
      </c>
      <c r="D43" s="3" t="s">
        <v>14022</v>
      </c>
      <c r="E43" s="3" t="s">
        <v>1859</v>
      </c>
      <c r="F43" s="3">
        <v>2</v>
      </c>
      <c r="G43" s="3">
        <v>5</v>
      </c>
      <c r="H43" s="3">
        <v>10</v>
      </c>
      <c r="I43" s="3">
        <v>10</v>
      </c>
      <c r="J43" s="3" t="b">
        <v>0</v>
      </c>
      <c r="K43" s="4">
        <f>H43 - I43</f>
        <v>0</v>
      </c>
      <c r="L43" s="4">
        <f>IF(((H43 = 0)=TRUE),  0,  ROUND(100 * I43 / H43, 2))</f>
        <v>100</v>
      </c>
      <c r="M43" s="4" t="b">
        <f>K43 = 0</f>
        <v>1</v>
      </c>
      <c r="N43" s="4" t="str">
        <f>IF(((M43)=TRUE),  "",  D43)</f>
      </c>
      <c r="O43" s="4" t="str">
        <f>IF(((M43)=TRUE),  "",  E43)</f>
      </c>
      <c r="P43" s="4">
        <f>COUNTIFS(FieldDisagreements!E2:E50, A43)</f>
        <v>0</v>
      </c>
      <c r="Q43" s="4" t="str">
        <f>_xlfn.IFNA(IF(((INDEX(ConformanceSubstrates!C2:C9, MATCH(D43,ConformanceSubstrates!A2:A9, 0))="")=TRUE),  "",  INDEX(ConformanceSubstrates!C2:C9, MATCH(D43,ConformanceSubstrates!A2:A9, 0))), "")</f>
        <v>PostgreSQL</v>
      </c>
      <c r="R43" s="4" t="str">
        <f>_xlfn.IFNA(IF(((INDEX(RulebookTables!F2:F93, MATCH(E43,RulebookTables!A2:A93, 0))="")=TRUE),  "",  INDEX(RulebookTables!F2:F93, MATCH(E43,RulebookTables!A2:A93, 0))), "")</f>
        <v>org</v>
      </c>
      <c r="S43" s="3" t="s">
        <v>1918</v>
      </c>
    </row>
    <row r="44">
      <c r="A44" s="3" t="s">
        <v>14147</v>
      </c>
      <c r="B44" s="4" t="str">
        <f>_xlfn.CONCAT(D44, " / ", E44)</f>
        <v>effortless-postgres / ChangeRequests</v>
      </c>
      <c r="C44" s="3" t="s">
        <v>14074</v>
      </c>
      <c r="D44" s="3" t="s">
        <v>14022</v>
      </c>
      <c r="E44" s="3" t="s">
        <v>3914</v>
      </c>
      <c r="F44" s="3">
        <v>2</v>
      </c>
      <c r="G44" s="3">
        <v>32</v>
      </c>
      <c r="H44" s="3">
        <v>64</v>
      </c>
      <c r="I44" s="3">
        <v>64</v>
      </c>
      <c r="J44" s="3" t="b">
        <v>0</v>
      </c>
      <c r="K44" s="4">
        <f>H44 - I44</f>
        <v>0</v>
      </c>
      <c r="L44" s="4">
        <f>IF(((H44 = 0)=TRUE),  0,  ROUND(100 * I44 / H44, 2))</f>
        <v>100</v>
      </c>
      <c r="M44" s="4" t="b">
        <f>K44 = 0</f>
        <v>1</v>
      </c>
      <c r="N44" s="4" t="str">
        <f>IF(((M44)=TRUE),  "",  D44)</f>
      </c>
      <c r="O44" s="4" t="str">
        <f>IF(((M44)=TRUE),  "",  E44)</f>
      </c>
      <c r="P44" s="4">
        <f>COUNTIFS(FieldDisagreements!E2:E50, A44)</f>
        <v>0</v>
      </c>
      <c r="Q44" s="4" t="str">
        <f>_xlfn.IFNA(IF(((INDEX(ConformanceSubstrates!C2:C9, MATCH(D44,ConformanceSubstrates!A2:A9, 0))="")=TRUE),  "",  INDEX(ConformanceSubstrates!C2:C9, MATCH(D44,ConformanceSubstrates!A2:A9, 0))), "")</f>
        <v>PostgreSQL</v>
      </c>
      <c r="R44" s="4" t="str">
        <f>_xlfn.IFNA(IF(((INDEX(RulebookTables!F2:F93, MATCH(E44,RulebookTables!A2:A93, 0))="")=TRUE),  "",  INDEX(RulebookTables!F2:F93, MATCH(E44,RulebookTables!A2:A93, 0))), "")</f>
        <v>domain</v>
      </c>
      <c r="S44" s="3" t="s">
        <v>1918</v>
      </c>
    </row>
    <row r="45">
      <c r="A45" s="3" t="s">
        <v>14148</v>
      </c>
      <c r="B45" s="4" t="str">
        <f>_xlfn.CONCAT(D45, " / ", E45)</f>
        <v>effortless-postgres / ReviewEvents</v>
      </c>
      <c r="C45" s="3" t="s">
        <v>14074</v>
      </c>
      <c r="D45" s="3" t="s">
        <v>14022</v>
      </c>
      <c r="E45" s="3" t="s">
        <v>3988</v>
      </c>
      <c r="F45" s="3">
        <v>3</v>
      </c>
      <c r="G45" s="3">
        <v>10</v>
      </c>
      <c r="H45" s="3">
        <v>30</v>
      </c>
      <c r="I45" s="3">
        <v>30</v>
      </c>
      <c r="J45" s="3" t="b">
        <v>0</v>
      </c>
      <c r="K45" s="4">
        <f>H45 - I45</f>
        <v>0</v>
      </c>
      <c r="L45" s="4">
        <f>IF(((H45 = 0)=TRUE),  0,  ROUND(100 * I45 / H45, 2))</f>
        <v>100</v>
      </c>
      <c r="M45" s="4" t="b">
        <f>K45 = 0</f>
        <v>1</v>
      </c>
      <c r="N45" s="4" t="str">
        <f>IF(((M45)=TRUE),  "",  D45)</f>
      </c>
      <c r="O45" s="4" t="str">
        <f>IF(((M45)=TRUE),  "",  E45)</f>
      </c>
      <c r="P45" s="4">
        <f>COUNTIFS(FieldDisagreements!E2:E50, A45)</f>
        <v>0</v>
      </c>
      <c r="Q45" s="4" t="str">
        <f>_xlfn.IFNA(IF(((INDEX(ConformanceSubstrates!C2:C9, MATCH(D45,ConformanceSubstrates!A2:A9, 0))="")=TRUE),  "",  INDEX(ConformanceSubstrates!C2:C9, MATCH(D45,ConformanceSubstrates!A2:A9, 0))), "")</f>
        <v>PostgreSQL</v>
      </c>
      <c r="R45" s="4" t="str">
        <f>_xlfn.IFNA(IF(((INDEX(RulebookTables!F2:F93, MATCH(E45,RulebookTables!A2:A93, 0))="")=TRUE),  "",  INDEX(RulebookTables!F2:F93, MATCH(E45,RulebookTables!A2:A93, 0))), "")</f>
        <v>domain</v>
      </c>
      <c r="S45" s="3" t="s">
        <v>1918</v>
      </c>
    </row>
    <row r="46">
      <c r="A46" s="3" t="s">
        <v>14149</v>
      </c>
      <c r="B46" s="4" t="str">
        <f>_xlfn.CONCAT(D46, " / ", E46)</f>
        <v>effortless-postgres / LearningActivities</v>
      </c>
      <c r="C46" s="3" t="s">
        <v>14074</v>
      </c>
      <c r="D46" s="3" t="s">
        <v>14022</v>
      </c>
      <c r="E46" s="3" t="s">
        <v>4017</v>
      </c>
      <c r="F46" s="3">
        <v>2</v>
      </c>
      <c r="G46" s="3">
        <v>1</v>
      </c>
      <c r="H46" s="3">
        <v>2</v>
      </c>
      <c r="I46" s="3">
        <v>2</v>
      </c>
      <c r="J46" s="3" t="b">
        <v>0</v>
      </c>
      <c r="K46" s="4">
        <f>H46 - I46</f>
        <v>0</v>
      </c>
      <c r="L46" s="4">
        <f>IF(((H46 = 0)=TRUE),  0,  ROUND(100 * I46 / H46, 2))</f>
        <v>100</v>
      </c>
      <c r="M46" s="4" t="b">
        <f>K46 = 0</f>
        <v>1</v>
      </c>
      <c r="N46" s="4" t="str">
        <f>IF(((M46)=TRUE),  "",  D46)</f>
      </c>
      <c r="O46" s="4" t="str">
        <f>IF(((M46)=TRUE),  "",  E46)</f>
      </c>
      <c r="P46" s="4">
        <f>COUNTIFS(FieldDisagreements!E2:E50, A46)</f>
        <v>0</v>
      </c>
      <c r="Q46" s="4" t="str">
        <f>_xlfn.IFNA(IF(((INDEX(ConformanceSubstrates!C2:C9, MATCH(D46,ConformanceSubstrates!A2:A9, 0))="")=TRUE),  "",  INDEX(ConformanceSubstrates!C2:C9, MATCH(D46,ConformanceSubstrates!A2:A9, 0))), "")</f>
        <v>PostgreSQL</v>
      </c>
      <c r="R46" s="4" t="str">
        <f>_xlfn.IFNA(IF(((INDEX(RulebookTables!F2:F93, MATCH(E46,RulebookTables!A2:A93, 0))="")=TRUE),  "",  INDEX(RulebookTables!F2:F93, MATCH(E46,RulebookTables!A2:A93, 0))), "")</f>
        <v>domain</v>
      </c>
      <c r="S46" s="3" t="s">
        <v>1918</v>
      </c>
    </row>
    <row r="47">
      <c r="A47" s="3" t="s">
        <v>14150</v>
      </c>
      <c r="B47" s="4" t="str">
        <f>_xlfn.CONCAT(D47, " / ", E47)</f>
        <v>effortless-postgres / OperationalBindings</v>
      </c>
      <c r="C47" s="3" t="s">
        <v>14074</v>
      </c>
      <c r="D47" s="3" t="s">
        <v>14022</v>
      </c>
      <c r="E47" s="3" t="s">
        <v>1862</v>
      </c>
      <c r="F47" s="3">
        <v>5</v>
      </c>
      <c r="G47" s="3">
        <v>11</v>
      </c>
      <c r="H47" s="3">
        <v>55</v>
      </c>
      <c r="I47" s="3">
        <v>55</v>
      </c>
      <c r="J47" s="3" t="b">
        <v>0</v>
      </c>
      <c r="K47" s="4">
        <f>H47 - I47</f>
        <v>0</v>
      </c>
      <c r="L47" s="4">
        <f>IF(((H47 = 0)=TRUE),  0,  ROUND(100 * I47 / H47, 2))</f>
        <v>100</v>
      </c>
      <c r="M47" s="4" t="b">
        <f>K47 = 0</f>
        <v>1</v>
      </c>
      <c r="N47" s="4" t="str">
        <f>IF(((M47)=TRUE),  "",  D47)</f>
      </c>
      <c r="O47" s="4" t="str">
        <f>IF(((M47)=TRUE),  "",  E47)</f>
      </c>
      <c r="P47" s="4">
        <f>COUNTIFS(FieldDisagreements!E2:E50, A47)</f>
        <v>0</v>
      </c>
      <c r="Q47" s="4" t="str">
        <f>_xlfn.IFNA(IF(((INDEX(ConformanceSubstrates!C2:C9, MATCH(D47,ConformanceSubstrates!A2:A9, 0))="")=TRUE),  "",  INDEX(ConformanceSubstrates!C2:C9, MATCH(D47,ConformanceSubstrates!A2:A9, 0))), "")</f>
        <v>PostgreSQL</v>
      </c>
      <c r="R47" s="4" t="str">
        <f>_xlfn.IFNA(IF(((INDEX(RulebookTables!F2:F93, MATCH(E47,RulebookTables!A2:A93, 0))="")=TRUE),  "",  INDEX(RulebookTables!F2:F93, MATCH(E47,RulebookTables!A2:A93, 0))), "")</f>
        <v>domain</v>
      </c>
      <c r="S47" s="3" t="s">
        <v>1918</v>
      </c>
    </row>
    <row r="48">
      <c r="A48" s="3" t="s">
        <v>14151</v>
      </c>
      <c r="B48" s="4" t="str">
        <f>_xlfn.CONCAT(D48, " / ", E48)</f>
        <v>effortless-postgres / CommunicationPolicies</v>
      </c>
      <c r="C48" s="3" t="s">
        <v>14074</v>
      </c>
      <c r="D48" s="3" t="s">
        <v>14022</v>
      </c>
      <c r="E48" s="3" t="s">
        <v>1865</v>
      </c>
      <c r="F48" s="3">
        <v>2</v>
      </c>
      <c r="G48" s="3">
        <v>4</v>
      </c>
      <c r="H48" s="3">
        <v>8</v>
      </c>
      <c r="I48" s="3">
        <v>8</v>
      </c>
      <c r="J48" s="3" t="b">
        <v>0</v>
      </c>
      <c r="K48" s="4">
        <f>H48 - I48</f>
        <v>0</v>
      </c>
      <c r="L48" s="4">
        <f>IF(((H48 = 0)=TRUE),  0,  ROUND(100 * I48 / H48, 2))</f>
        <v>100</v>
      </c>
      <c r="M48" s="4" t="b">
        <f>K48 = 0</f>
        <v>1</v>
      </c>
      <c r="N48" s="4" t="str">
        <f>IF(((M48)=TRUE),  "",  D48)</f>
      </c>
      <c r="O48" s="4" t="str">
        <f>IF(((M48)=TRUE),  "",  E48)</f>
      </c>
      <c r="P48" s="4">
        <f>COUNTIFS(FieldDisagreements!E2:E50, A48)</f>
        <v>0</v>
      </c>
      <c r="Q48" s="4" t="str">
        <f>_xlfn.IFNA(IF(((INDEX(ConformanceSubstrates!C2:C9, MATCH(D48,ConformanceSubstrates!A2:A9, 0))="")=TRUE),  "",  INDEX(ConformanceSubstrates!C2:C9, MATCH(D48,ConformanceSubstrates!A2:A9, 0))), "")</f>
        <v>PostgreSQL</v>
      </c>
      <c r="R48" s="4" t="str">
        <f>_xlfn.IFNA(IF(((INDEX(RulebookTables!F2:F93, MATCH(E48,RulebookTables!A2:A93, 0))="")=TRUE),  "",  INDEX(RulebookTables!F2:F93, MATCH(E48,RulebookTables!A2:A93, 0))), "")</f>
        <v>communication</v>
      </c>
      <c r="S48" s="3" t="s">
        <v>1918</v>
      </c>
    </row>
    <row r="49">
      <c r="A49" s="3" t="s">
        <v>14152</v>
      </c>
      <c r="B49" s="4" t="str">
        <f>_xlfn.CONCAT(D49, " / ", E49)</f>
        <v>effortless-postgres / MessageTemplates</v>
      </c>
      <c r="C49" s="3" t="s">
        <v>14074</v>
      </c>
      <c r="D49" s="3" t="s">
        <v>14022</v>
      </c>
      <c r="E49" s="3" t="s">
        <v>4087</v>
      </c>
      <c r="F49" s="3">
        <v>2</v>
      </c>
      <c r="G49" s="3">
        <v>16</v>
      </c>
      <c r="H49" s="3">
        <v>32</v>
      </c>
      <c r="I49" s="3">
        <v>32</v>
      </c>
      <c r="J49" s="3" t="b">
        <v>0</v>
      </c>
      <c r="K49" s="4">
        <f>H49 - I49</f>
        <v>0</v>
      </c>
      <c r="L49" s="4">
        <f>IF(((H49 = 0)=TRUE),  0,  ROUND(100 * I49 / H49, 2))</f>
        <v>100</v>
      </c>
      <c r="M49" s="4" t="b">
        <f>K49 = 0</f>
        <v>1</v>
      </c>
      <c r="N49" s="4" t="str">
        <f>IF(((M49)=TRUE),  "",  D49)</f>
      </c>
      <c r="O49" s="4" t="str">
        <f>IF(((M49)=TRUE),  "",  E49)</f>
      </c>
      <c r="P49" s="4">
        <f>COUNTIFS(FieldDisagreements!E2:E50, A49)</f>
        <v>0</v>
      </c>
      <c r="Q49" s="4" t="str">
        <f>_xlfn.IFNA(IF(((INDEX(ConformanceSubstrates!C2:C9, MATCH(D49,ConformanceSubstrates!A2:A9, 0))="")=TRUE),  "",  INDEX(ConformanceSubstrates!C2:C9, MATCH(D49,ConformanceSubstrates!A2:A9, 0))), "")</f>
        <v>PostgreSQL</v>
      </c>
      <c r="R49" s="4" t="str">
        <f>_xlfn.IFNA(IF(((INDEX(RulebookTables!F2:F93, MATCH(E49,RulebookTables!A2:A93, 0))="")=TRUE),  "",  INDEX(RulebookTables!F2:F93, MATCH(E49,RulebookTables!A2:A93, 0))), "")</f>
        <v>communication</v>
      </c>
      <c r="S49" s="3" t="s">
        <v>1918</v>
      </c>
    </row>
    <row r="50">
      <c r="A50" s="3" t="s">
        <v>14153</v>
      </c>
      <c r="B50" s="4" t="str">
        <f>_xlfn.CONCAT(D50, " / ", E50)</f>
        <v>effortless-postgres / SemanticMappings</v>
      </c>
      <c r="C50" s="3" t="s">
        <v>14074</v>
      </c>
      <c r="D50" s="3" t="s">
        <v>14022</v>
      </c>
      <c r="E50" s="3" t="s">
        <v>4130</v>
      </c>
      <c r="F50" s="3">
        <v>47</v>
      </c>
      <c r="G50" s="3">
        <v>1</v>
      </c>
      <c r="H50" s="3">
        <v>47</v>
      </c>
      <c r="I50" s="3">
        <v>47</v>
      </c>
      <c r="J50" s="3" t="b">
        <v>0</v>
      </c>
      <c r="K50" s="4">
        <f>H50 - I50</f>
        <v>0</v>
      </c>
      <c r="L50" s="4">
        <f>IF(((H50 = 0)=TRUE),  0,  ROUND(100 * I50 / H50, 2))</f>
        <v>100</v>
      </c>
      <c r="M50" s="4" t="b">
        <f>K50 = 0</f>
        <v>1</v>
      </c>
      <c r="N50" s="4" t="str">
        <f>IF(((M50)=TRUE),  "",  D50)</f>
      </c>
      <c r="O50" s="4" t="str">
        <f>IF(((M50)=TRUE),  "",  E50)</f>
      </c>
      <c r="P50" s="4">
        <f>COUNTIFS(FieldDisagreements!E2:E50, A50)</f>
        <v>0</v>
      </c>
      <c r="Q50" s="4" t="str">
        <f>_xlfn.IFNA(IF(((INDEX(ConformanceSubstrates!C2:C9, MATCH(D50,ConformanceSubstrates!A2:A9, 0))="")=TRUE),  "",  INDEX(ConformanceSubstrates!C2:C9, MATCH(D50,ConformanceSubstrates!A2:A9, 0))), "")</f>
        <v>PostgreSQL</v>
      </c>
      <c r="R50" s="4" t="str">
        <f>_xlfn.IFNA(IF(((INDEX(RulebookTables!F2:F93, MATCH(E50,RulebookTables!A2:A93, 0))="")=TRUE),  "",  INDEX(RulebookTables!F2:F93, MATCH(E50,RulebookTables!A2:A93, 0))), "")</f>
        <v>meta</v>
      </c>
      <c r="S50" s="3" t="s">
        <v>1918</v>
      </c>
    </row>
    <row r="51">
      <c r="A51" s="3" t="s">
        <v>14154</v>
      </c>
      <c r="B51" s="4" t="str">
        <f>_xlfn.CONCAT(D51, " / ", E51)</f>
        <v>effortless-postgres / WitnessLoops</v>
      </c>
      <c r="C51" s="3" t="s">
        <v>14074</v>
      </c>
      <c r="D51" s="3" t="s">
        <v>14022</v>
      </c>
      <c r="E51" s="3" t="s">
        <v>4140</v>
      </c>
      <c r="F51" s="3">
        <v>4</v>
      </c>
      <c r="G51" s="3">
        <v>3</v>
      </c>
      <c r="H51" s="3">
        <v>12</v>
      </c>
      <c r="I51" s="3">
        <v>12</v>
      </c>
      <c r="J51" s="3" t="b">
        <v>0</v>
      </c>
      <c r="K51" s="4">
        <f>H51 - I51</f>
        <v>0</v>
      </c>
      <c r="L51" s="4">
        <f>IF(((H51 = 0)=TRUE),  0,  ROUND(100 * I51 / H51, 2))</f>
        <v>100</v>
      </c>
      <c r="M51" s="4" t="b">
        <f>K51 = 0</f>
        <v>1</v>
      </c>
      <c r="N51" s="4" t="str">
        <f>IF(((M51)=TRUE),  "",  D51)</f>
      </c>
      <c r="O51" s="4" t="str">
        <f>IF(((M51)=TRUE),  "",  E51)</f>
      </c>
      <c r="P51" s="4">
        <f>COUNTIFS(FieldDisagreements!E2:E50, A51)</f>
        <v>0</v>
      </c>
      <c r="Q51" s="4" t="str">
        <f>_xlfn.IFNA(IF(((INDEX(ConformanceSubstrates!C2:C9, MATCH(D51,ConformanceSubstrates!A2:A9, 0))="")=TRUE),  "",  INDEX(ConformanceSubstrates!C2:C9, MATCH(D51,ConformanceSubstrates!A2:A9, 0))), "")</f>
        <v>PostgreSQL</v>
      </c>
      <c r="R51" s="4" t="str">
        <f>_xlfn.IFNA(IF(((INDEX(RulebookTables!F2:F93, MATCH(E51,RulebookTables!A2:A93, 0))="")=TRUE),  "",  INDEX(RulebookTables!F2:F93, MATCH(E51,RulebookTables!A2:A93, 0))), "")</f>
        <v>meta</v>
      </c>
      <c r="S51" s="3" t="s">
        <v>1918</v>
      </c>
    </row>
    <row r="52">
      <c r="A52" s="3" t="s">
        <v>14155</v>
      </c>
      <c r="B52" s="4" t="str">
        <f>_xlfn.CONCAT(D52, " / ", E52)</f>
        <v>effortless-postgres / RoleQuestions</v>
      </c>
      <c r="C52" s="3" t="s">
        <v>14074</v>
      </c>
      <c r="D52" s="3" t="s">
        <v>14022</v>
      </c>
      <c r="E52" s="3" t="s">
        <v>4157</v>
      </c>
      <c r="F52" s="3">
        <v>111</v>
      </c>
      <c r="G52" s="3">
        <v>3</v>
      </c>
      <c r="H52" s="3">
        <v>333</v>
      </c>
      <c r="I52" s="3">
        <v>333</v>
      </c>
      <c r="J52" s="3" t="b">
        <v>0</v>
      </c>
      <c r="K52" s="4">
        <f>H52 - I52</f>
        <v>0</v>
      </c>
      <c r="L52" s="4">
        <f>IF(((H52 = 0)=TRUE),  0,  ROUND(100 * I52 / H52, 2))</f>
        <v>100</v>
      </c>
      <c r="M52" s="4" t="b">
        <f>K52 = 0</f>
        <v>1</v>
      </c>
      <c r="N52" s="4" t="str">
        <f>IF(((M52)=TRUE),  "",  D52)</f>
      </c>
      <c r="O52" s="4" t="str">
        <f>IF(((M52)=TRUE),  "",  E52)</f>
      </c>
      <c r="P52" s="4">
        <f>COUNTIFS(FieldDisagreements!E2:E50, A52)</f>
        <v>0</v>
      </c>
      <c r="Q52" s="4" t="str">
        <f>_xlfn.IFNA(IF(((INDEX(ConformanceSubstrates!C2:C9, MATCH(D52,ConformanceSubstrates!A2:A9, 0))="")=TRUE),  "",  INDEX(ConformanceSubstrates!C2:C9, MATCH(D52,ConformanceSubstrates!A2:A9, 0))), "")</f>
        <v>PostgreSQL</v>
      </c>
      <c r="R52" s="4" t="str">
        <f>_xlfn.IFNA(IF(((INDEX(RulebookTables!F2:F93, MATCH(E52,RulebookTables!A2:A93, 0))="")=TRUE),  "",  INDEX(RulebookTables!F2:F93, MATCH(E52,RulebookTables!A2:A93, 0))), "")</f>
        <v>org</v>
      </c>
      <c r="S52" s="3" t="s">
        <v>1918</v>
      </c>
    </row>
    <row r="53">
      <c r="A53" s="3" t="s">
        <v>14156</v>
      </c>
      <c r="B53" s="4" t="str">
        <f>_xlfn.CONCAT(D53, " / ", E53)</f>
        <v>effortless-postgres / RulebookFields</v>
      </c>
      <c r="C53" s="3" t="s">
        <v>14074</v>
      </c>
      <c r="D53" s="3" t="s">
        <v>14022</v>
      </c>
      <c r="E53" s="3" t="s">
        <v>4172</v>
      </c>
      <c r="F53" s="3">
        <v>1897</v>
      </c>
      <c r="G53" s="3">
        <v>5</v>
      </c>
      <c r="H53" s="3">
        <v>9485</v>
      </c>
      <c r="I53" s="3">
        <v>9485</v>
      </c>
      <c r="J53" s="3" t="b">
        <v>0</v>
      </c>
      <c r="K53" s="4">
        <f>H53 - I53</f>
        <v>0</v>
      </c>
      <c r="L53" s="4">
        <f>IF(((H53 = 0)=TRUE),  0,  ROUND(100 * I53 / H53, 2))</f>
        <v>100</v>
      </c>
      <c r="M53" s="4" t="b">
        <f>K53 = 0</f>
        <v>1</v>
      </c>
      <c r="N53" s="4" t="str">
        <f>IF(((M53)=TRUE),  "",  D53)</f>
      </c>
      <c r="O53" s="4" t="str">
        <f>IF(((M53)=TRUE),  "",  E53)</f>
      </c>
      <c r="P53" s="4">
        <f>COUNTIFS(FieldDisagreements!E2:E50, A53)</f>
        <v>0</v>
      </c>
      <c r="Q53" s="4" t="str">
        <f>_xlfn.IFNA(IF(((INDEX(ConformanceSubstrates!C2:C9, MATCH(D53,ConformanceSubstrates!A2:A9, 0))="")=TRUE),  "",  INDEX(ConformanceSubstrates!C2:C9, MATCH(D53,ConformanceSubstrates!A2:A9, 0))), "")</f>
        <v>PostgreSQL</v>
      </c>
      <c r="R53" s="4" t="str">
        <f>_xlfn.IFNA(IF(((INDEX(RulebookTables!F2:F93, MATCH(E53,RulebookTables!A2:A93, 0))="")=TRUE),  "",  INDEX(RulebookTables!F2:F93, MATCH(E53,RulebookTables!A2:A93, 0))), "")</f>
        <v>access-control</v>
      </c>
      <c r="S53" s="3" t="s">
        <v>1918</v>
      </c>
    </row>
    <row r="54">
      <c r="A54" s="3" t="s">
        <v>14157</v>
      </c>
      <c r="B54" s="4" t="str">
        <f>_xlfn.CONCAT(D54, " / ", E54)</f>
        <v>effortless-postgres / TestSuites</v>
      </c>
      <c r="C54" s="3" t="s">
        <v>14074</v>
      </c>
      <c r="D54" s="3" t="s">
        <v>14022</v>
      </c>
      <c r="E54" s="3" t="s">
        <v>4191</v>
      </c>
      <c r="F54" s="3">
        <v>6</v>
      </c>
      <c r="G54" s="3">
        <v>5</v>
      </c>
      <c r="H54" s="3">
        <v>30</v>
      </c>
      <c r="I54" s="3">
        <v>30</v>
      </c>
      <c r="J54" s="3" t="b">
        <v>0</v>
      </c>
      <c r="K54" s="4">
        <f>H54 - I54</f>
        <v>0</v>
      </c>
      <c r="L54" s="4">
        <f>IF(((H54 = 0)=TRUE),  0,  ROUND(100 * I54 / H54, 2))</f>
        <v>100</v>
      </c>
      <c r="M54" s="4" t="b">
        <f>K54 = 0</f>
        <v>1</v>
      </c>
      <c r="N54" s="4" t="str">
        <f>IF(((M54)=TRUE),  "",  D54)</f>
      </c>
      <c r="O54" s="4" t="str">
        <f>IF(((M54)=TRUE),  "",  E54)</f>
      </c>
      <c r="P54" s="4">
        <f>COUNTIFS(FieldDisagreements!E2:E50, A54)</f>
        <v>0</v>
      </c>
      <c r="Q54" s="4" t="str">
        <f>_xlfn.IFNA(IF(((INDEX(ConformanceSubstrates!C2:C9, MATCH(D54,ConformanceSubstrates!A2:A9, 0))="")=TRUE),  "",  INDEX(ConformanceSubstrates!C2:C9, MATCH(D54,ConformanceSubstrates!A2:A9, 0))), "")</f>
        <v>PostgreSQL</v>
      </c>
      <c r="R54" s="4" t="str">
        <f>_xlfn.IFNA(IF(((INDEX(RulebookTables!F2:F93, MATCH(E54,RulebookTables!A2:A93, 0))="")=TRUE),  "",  INDEX(RulebookTables!F2:F93, MATCH(E54,RulebookTables!A2:A93, 0))), "")</f>
        <v>meta</v>
      </c>
      <c r="S54" s="3" t="s">
        <v>1918</v>
      </c>
    </row>
    <row r="55">
      <c r="A55" s="3" t="s">
        <v>14158</v>
      </c>
      <c r="B55" s="4" t="str">
        <f>_xlfn.CONCAT(D55, " / ", E55)</f>
        <v>effortless-postgres / TestCases</v>
      </c>
      <c r="C55" s="3" t="s">
        <v>14074</v>
      </c>
      <c r="D55" s="3" t="s">
        <v>14022</v>
      </c>
      <c r="E55" s="3" t="s">
        <v>4209</v>
      </c>
      <c r="F55" s="3">
        <v>1794</v>
      </c>
      <c r="G55" s="3">
        <v>7</v>
      </c>
      <c r="H55" s="3">
        <v>12558</v>
      </c>
      <c r="I55" s="3">
        <v>12558</v>
      </c>
      <c r="J55" s="3" t="b">
        <v>0</v>
      </c>
      <c r="K55" s="4">
        <f>H55 - I55</f>
        <v>0</v>
      </c>
      <c r="L55" s="4">
        <f>IF(((H55 = 0)=TRUE),  0,  ROUND(100 * I55 / H55, 2))</f>
        <v>100</v>
      </c>
      <c r="M55" s="4" t="b">
        <f>K55 = 0</f>
        <v>1</v>
      </c>
      <c r="N55" s="4" t="str">
        <f>IF(((M55)=TRUE),  "",  D55)</f>
      </c>
      <c r="O55" s="4" t="str">
        <f>IF(((M55)=TRUE),  "",  E55)</f>
      </c>
      <c r="P55" s="4">
        <f>COUNTIFS(FieldDisagreements!E2:E50, A55)</f>
        <v>0</v>
      </c>
      <c r="Q55" s="4" t="str">
        <f>_xlfn.IFNA(IF(((INDEX(ConformanceSubstrates!C2:C9, MATCH(D55,ConformanceSubstrates!A2:A9, 0))="")=TRUE),  "",  INDEX(ConformanceSubstrates!C2:C9, MATCH(D55,ConformanceSubstrates!A2:A9, 0))), "")</f>
        <v>PostgreSQL</v>
      </c>
      <c r="R55" s="4" t="str">
        <f>_xlfn.IFNA(IF(((INDEX(RulebookTables!F2:F93, MATCH(E55,RulebookTables!A2:A93, 0))="")=TRUE),  "",  INDEX(RulebookTables!F2:F93, MATCH(E55,RulebookTables!A2:A93, 0))), "")</f>
        <v>meta</v>
      </c>
      <c r="S55" s="3" t="s">
        <v>1918</v>
      </c>
    </row>
    <row r="56">
      <c r="A56" s="3" t="s">
        <v>14159</v>
      </c>
      <c r="B56" s="4" t="str">
        <f>_xlfn.CONCAT(D56, " / ", E56)</f>
        <v>effortless-postgres / ExceptionInvocations</v>
      </c>
      <c r="C56" s="3" t="s">
        <v>14074</v>
      </c>
      <c r="D56" s="3" t="s">
        <v>14022</v>
      </c>
      <c r="E56" s="3" t="s">
        <v>4287</v>
      </c>
      <c r="F56" s="3">
        <v>1</v>
      </c>
      <c r="G56" s="3">
        <v>13</v>
      </c>
      <c r="H56" s="3">
        <v>13</v>
      </c>
      <c r="I56" s="3">
        <v>13</v>
      </c>
      <c r="J56" s="3" t="b">
        <v>0</v>
      </c>
      <c r="K56" s="4">
        <f>H56 - I56</f>
        <v>0</v>
      </c>
      <c r="L56" s="4">
        <f>IF(((H56 = 0)=TRUE),  0,  ROUND(100 * I56 / H56, 2))</f>
        <v>100</v>
      </c>
      <c r="M56" s="4" t="b">
        <f>K56 = 0</f>
        <v>1</v>
      </c>
      <c r="N56" s="4" t="str">
        <f>IF(((M56)=TRUE),  "",  D56)</f>
      </c>
      <c r="O56" s="4" t="str">
        <f>IF(((M56)=TRUE),  "",  E56)</f>
      </c>
      <c r="P56" s="4">
        <f>COUNTIFS(FieldDisagreements!E2:E50, A56)</f>
        <v>0</v>
      </c>
      <c r="Q56" s="4" t="str">
        <f>_xlfn.IFNA(IF(((INDEX(ConformanceSubstrates!C2:C9, MATCH(D56,ConformanceSubstrates!A2:A9, 0))="")=TRUE),  "",  INDEX(ConformanceSubstrates!C2:C9, MATCH(D56,ConformanceSubstrates!A2:A9, 0))), "")</f>
        <v>PostgreSQL</v>
      </c>
      <c r="R56" s="4" t="str">
        <f>_xlfn.IFNA(IF(((INDEX(RulebookTables!F2:F93, MATCH(E56,RulebookTables!A2:A93, 0))="")=TRUE),  "",  INDEX(RulebookTables!F2:F93, MATCH(E56,RulebookTables!A2:A93, 0))), "")</f>
        <v>governance</v>
      </c>
      <c r="S56" s="3" t="s">
        <v>1918</v>
      </c>
    </row>
    <row r="57">
      <c r="A57" s="3" t="s">
        <v>14160</v>
      </c>
      <c r="B57" s="4" t="str">
        <f>_xlfn.CONCAT(D57, " / ", E57)</f>
        <v>effortless-postgres / VerificationOutcomes</v>
      </c>
      <c r="C57" s="3" t="s">
        <v>14074</v>
      </c>
      <c r="D57" s="3" t="s">
        <v>14022</v>
      </c>
      <c r="E57" s="3" t="s">
        <v>4337</v>
      </c>
      <c r="F57" s="3">
        <v>4</v>
      </c>
      <c r="G57" s="3">
        <v>18</v>
      </c>
      <c r="H57" s="3">
        <v>72</v>
      </c>
      <c r="I57" s="3">
        <v>72</v>
      </c>
      <c r="J57" s="3" t="b">
        <v>0</v>
      </c>
      <c r="K57" s="4">
        <f>H57 - I57</f>
        <v>0</v>
      </c>
      <c r="L57" s="4">
        <f>IF(((H57 = 0)=TRUE),  0,  ROUND(100 * I57 / H57, 2))</f>
        <v>100</v>
      </c>
      <c r="M57" s="4" t="b">
        <f>K57 = 0</f>
        <v>1</v>
      </c>
      <c r="N57" s="4" t="str">
        <f>IF(((M57)=TRUE),  "",  D57)</f>
      </c>
      <c r="O57" s="4" t="str">
        <f>IF(((M57)=TRUE),  "",  E57)</f>
      </c>
      <c r="P57" s="4">
        <f>COUNTIFS(FieldDisagreements!E2:E50, A57)</f>
        <v>0</v>
      </c>
      <c r="Q57" s="4" t="str">
        <f>_xlfn.IFNA(IF(((INDEX(ConformanceSubstrates!C2:C9, MATCH(D57,ConformanceSubstrates!A2:A9, 0))="")=TRUE),  "",  INDEX(ConformanceSubstrates!C2:C9, MATCH(D57,ConformanceSubstrates!A2:A9, 0))), "")</f>
        <v>PostgreSQL</v>
      </c>
      <c r="R57" s="4" t="str">
        <f>_xlfn.IFNA(IF(((INDEX(RulebookTables!F2:F93, MATCH(E57,RulebookTables!A2:A93, 0))="")=TRUE),  "",  INDEX(RulebookTables!F2:F93, MATCH(E57,RulebookTables!A2:A93, 0))), "")</f>
        <v>execution</v>
      </c>
      <c r="S57" s="3" t="s">
        <v>1918</v>
      </c>
    </row>
    <row r="58">
      <c r="A58" s="3" t="s">
        <v>14161</v>
      </c>
      <c r="B58" s="4" t="str">
        <f>_xlfn.CONCAT(D58, " / ", E58)</f>
        <v>effortless-postgres / ObservedTransitions</v>
      </c>
      <c r="C58" s="3" t="s">
        <v>14074</v>
      </c>
      <c r="D58" s="3" t="s">
        <v>14022</v>
      </c>
      <c r="E58" s="3" t="s">
        <v>4398</v>
      </c>
      <c r="F58" s="3">
        <v>10</v>
      </c>
      <c r="G58" s="3">
        <v>1</v>
      </c>
      <c r="H58" s="3">
        <v>10</v>
      </c>
      <c r="I58" s="3">
        <v>10</v>
      </c>
      <c r="J58" s="3" t="b">
        <v>0</v>
      </c>
      <c r="K58" s="4">
        <f>H58 - I58</f>
        <v>0</v>
      </c>
      <c r="L58" s="4">
        <f>IF(((H58 = 0)=TRUE),  0,  ROUND(100 * I58 / H58, 2))</f>
        <v>100</v>
      </c>
      <c r="M58" s="4" t="b">
        <f>K58 = 0</f>
        <v>1</v>
      </c>
      <c r="N58" s="4" t="str">
        <f>IF(((M58)=TRUE),  "",  D58)</f>
      </c>
      <c r="O58" s="4" t="str">
        <f>IF(((M58)=TRUE),  "",  E58)</f>
      </c>
      <c r="P58" s="4">
        <f>COUNTIFS(FieldDisagreements!E2:E50, A58)</f>
        <v>0</v>
      </c>
      <c r="Q58" s="4" t="str">
        <f>_xlfn.IFNA(IF(((INDEX(ConformanceSubstrates!C2:C9, MATCH(D58,ConformanceSubstrates!A2:A9, 0))="")=TRUE),  "",  INDEX(ConformanceSubstrates!C2:C9, MATCH(D58,ConformanceSubstrates!A2:A9, 0))), "")</f>
        <v>PostgreSQL</v>
      </c>
      <c r="R58" s="4" t="str">
        <f>_xlfn.IFNA(IF(((INDEX(RulebookTables!F2:F93, MATCH(E58,RulebookTables!A2:A93, 0))="")=TRUE),  "",  INDEX(RulebookTables!F2:F93, MATCH(E58,RulebookTables!A2:A93, 0))), "")</f>
        <v>specification</v>
      </c>
      <c r="S58" s="3" t="s">
        <v>1918</v>
      </c>
    </row>
    <row r="59">
      <c r="A59" s="3" t="s">
        <v>14162</v>
      </c>
      <c r="B59" s="4" t="str">
        <f>_xlfn.CONCAT(D59, " / ", E59)</f>
        <v>effortless-postgres / Recipients</v>
      </c>
      <c r="C59" s="3" t="s">
        <v>14074</v>
      </c>
      <c r="D59" s="3" t="s">
        <v>14022</v>
      </c>
      <c r="E59" s="3" t="s">
        <v>4412</v>
      </c>
      <c r="F59" s="3">
        <v>5</v>
      </c>
      <c r="G59" s="3">
        <v>6</v>
      </c>
      <c r="H59" s="3">
        <v>30</v>
      </c>
      <c r="I59" s="3">
        <v>30</v>
      </c>
      <c r="J59" s="3" t="b">
        <v>0</v>
      </c>
      <c r="K59" s="4">
        <f>H59 - I59</f>
        <v>0</v>
      </c>
      <c r="L59" s="4">
        <f>IF(((H59 = 0)=TRUE),  0,  ROUND(100 * I59 / H59, 2))</f>
        <v>100</v>
      </c>
      <c r="M59" s="4" t="b">
        <f>K59 = 0</f>
        <v>1</v>
      </c>
      <c r="N59" s="4" t="str">
        <f>IF(((M59)=TRUE),  "",  D59)</f>
      </c>
      <c r="O59" s="4" t="str">
        <f>IF(((M59)=TRUE),  "",  E59)</f>
      </c>
      <c r="P59" s="4">
        <f>COUNTIFS(FieldDisagreements!E2:E50, A59)</f>
        <v>0</v>
      </c>
      <c r="Q59" s="4" t="str">
        <f>_xlfn.IFNA(IF(((INDEX(ConformanceSubstrates!C2:C9, MATCH(D59,ConformanceSubstrates!A2:A9, 0))="")=TRUE),  "",  INDEX(ConformanceSubstrates!C2:C9, MATCH(D59,ConformanceSubstrates!A2:A9, 0))), "")</f>
        <v>PostgreSQL</v>
      </c>
      <c r="R59" s="4" t="str">
        <f>_xlfn.IFNA(IF(((INDEX(RulebookTables!F2:F93, MATCH(E59,RulebookTables!A2:A93, 0))="")=TRUE),  "",  INDEX(RulebookTables!F2:F93, MATCH(E59,RulebookTables!A2:A93, 0))), "")</f>
        <v>communication</v>
      </c>
      <c r="S59" s="3" t="s">
        <v>1918</v>
      </c>
    </row>
    <row r="60">
      <c r="A60" s="3" t="s">
        <v>14163</v>
      </c>
      <c r="B60" s="4" t="str">
        <f>_xlfn.CONCAT(D60, " / ", E60)</f>
        <v>effortless-postgres / MessageDeliveries</v>
      </c>
      <c r="C60" s="3" t="s">
        <v>14074</v>
      </c>
      <c r="D60" s="3" t="s">
        <v>14022</v>
      </c>
      <c r="E60" s="3" t="s">
        <v>4444</v>
      </c>
      <c r="F60" s="3">
        <v>6</v>
      </c>
      <c r="G60" s="3">
        <v>74</v>
      </c>
      <c r="H60" s="3">
        <v>444</v>
      </c>
      <c r="I60" s="3">
        <v>444</v>
      </c>
      <c r="J60" s="3" t="b">
        <v>0</v>
      </c>
      <c r="K60" s="4">
        <f>H60 - I60</f>
        <v>0</v>
      </c>
      <c r="L60" s="4">
        <f>IF(((H60 = 0)=TRUE),  0,  ROUND(100 * I60 / H60, 2))</f>
        <v>100</v>
      </c>
      <c r="M60" s="4" t="b">
        <f>K60 = 0</f>
        <v>1</v>
      </c>
      <c r="N60" s="4" t="str">
        <f>IF(((M60)=TRUE),  "",  D60)</f>
      </c>
      <c r="O60" s="4" t="str">
        <f>IF(((M60)=TRUE),  "",  E60)</f>
      </c>
      <c r="P60" s="4">
        <f>COUNTIFS(FieldDisagreements!E2:E50, A60)</f>
        <v>0</v>
      </c>
      <c r="Q60" s="4" t="str">
        <f>_xlfn.IFNA(IF(((INDEX(ConformanceSubstrates!C2:C9, MATCH(D60,ConformanceSubstrates!A2:A9, 0))="")=TRUE),  "",  INDEX(ConformanceSubstrates!C2:C9, MATCH(D60,ConformanceSubstrates!A2:A9, 0))), "")</f>
        <v>PostgreSQL</v>
      </c>
      <c r="R60" s="4" t="str">
        <f>_xlfn.IFNA(IF(((INDEX(RulebookTables!F2:F93, MATCH(E60,RulebookTables!A2:A93, 0))="")=TRUE),  "",  INDEX(RulebookTables!F2:F93, MATCH(E60,RulebookTables!A2:A93, 0))), "")</f>
        <v>communication</v>
      </c>
      <c r="S60" s="3" t="s">
        <v>1918</v>
      </c>
    </row>
    <row r="61">
      <c r="A61" s="3" t="s">
        <v>14164</v>
      </c>
      <c r="B61" s="4" t="str">
        <f>_xlfn.CONCAT(D61, " / ", E61)</f>
        <v>effortless-postgres / TemplateApprovals</v>
      </c>
      <c r="C61" s="3" t="s">
        <v>14074</v>
      </c>
      <c r="D61" s="3" t="s">
        <v>14022</v>
      </c>
      <c r="E61" s="3" t="s">
        <v>4698</v>
      </c>
      <c r="F61" s="3">
        <v>2</v>
      </c>
      <c r="G61" s="3">
        <v>6</v>
      </c>
      <c r="H61" s="3">
        <v>12</v>
      </c>
      <c r="I61" s="3">
        <v>12</v>
      </c>
      <c r="J61" s="3" t="b">
        <v>0</v>
      </c>
      <c r="K61" s="4">
        <f>H61 - I61</f>
        <v>0</v>
      </c>
      <c r="L61" s="4">
        <f>IF(((H61 = 0)=TRUE),  0,  ROUND(100 * I61 / H61, 2))</f>
        <v>100</v>
      </c>
      <c r="M61" s="4" t="b">
        <f>K61 = 0</f>
        <v>1</v>
      </c>
      <c r="N61" s="4" t="str">
        <f>IF(((M61)=TRUE),  "",  D61)</f>
      </c>
      <c r="O61" s="4" t="str">
        <f>IF(((M61)=TRUE),  "",  E61)</f>
      </c>
      <c r="P61" s="4">
        <f>COUNTIFS(FieldDisagreements!E2:E50, A61)</f>
        <v>0</v>
      </c>
      <c r="Q61" s="4" t="str">
        <f>_xlfn.IFNA(IF(((INDEX(ConformanceSubstrates!C2:C9, MATCH(D61,ConformanceSubstrates!A2:A9, 0))="")=TRUE),  "",  INDEX(ConformanceSubstrates!C2:C9, MATCH(D61,ConformanceSubstrates!A2:A9, 0))), "")</f>
        <v>PostgreSQL</v>
      </c>
      <c r="R61" s="4" t="str">
        <f>_xlfn.IFNA(IF(((INDEX(RulebookTables!F2:F93, MATCH(E61,RulebookTables!A2:A93, 0))="")=TRUE),  "",  INDEX(RulebookTables!F2:F93, MATCH(E61,RulebookTables!A2:A93, 0))), "")</f>
        <v>communication</v>
      </c>
      <c r="S61" s="3" t="s">
        <v>1918</v>
      </c>
    </row>
    <row r="62">
      <c r="A62" s="3" t="s">
        <v>14165</v>
      </c>
      <c r="B62" s="4" t="str">
        <f>_xlfn.CONCAT(D62, " / ", E62)</f>
        <v>effortless-postgres / SendIntents</v>
      </c>
      <c r="C62" s="3" t="s">
        <v>14074</v>
      </c>
      <c r="D62" s="3" t="s">
        <v>14022</v>
      </c>
      <c r="E62" s="3" t="s">
        <v>4728</v>
      </c>
      <c r="F62" s="3">
        <v>7</v>
      </c>
      <c r="G62" s="3">
        <v>79</v>
      </c>
      <c r="H62" s="3">
        <v>553</v>
      </c>
      <c r="I62" s="3">
        <v>553</v>
      </c>
      <c r="J62" s="3" t="b">
        <v>0</v>
      </c>
      <c r="K62" s="4">
        <f>H62 - I62</f>
        <v>0</v>
      </c>
      <c r="L62" s="4">
        <f>IF(((H62 = 0)=TRUE),  0,  ROUND(100 * I62 / H62, 2))</f>
        <v>100</v>
      </c>
      <c r="M62" s="4" t="b">
        <f>K62 = 0</f>
        <v>1</v>
      </c>
      <c r="N62" s="4" t="str">
        <f>IF(((M62)=TRUE),  "",  D62)</f>
      </c>
      <c r="O62" s="4" t="str">
        <f>IF(((M62)=TRUE),  "",  E62)</f>
      </c>
      <c r="P62" s="4">
        <f>COUNTIFS(FieldDisagreements!E2:E50, A62)</f>
        <v>0</v>
      </c>
      <c r="Q62" s="4" t="str">
        <f>_xlfn.IFNA(IF(((INDEX(ConformanceSubstrates!C2:C9, MATCH(D62,ConformanceSubstrates!A2:A9, 0))="")=TRUE),  "",  INDEX(ConformanceSubstrates!C2:C9, MATCH(D62,ConformanceSubstrates!A2:A9, 0))), "")</f>
        <v>PostgreSQL</v>
      </c>
      <c r="R62" s="4" t="str">
        <f>_xlfn.IFNA(IF(((INDEX(RulebookTables!F2:F93, MATCH(E62,RulebookTables!A2:A93, 0))="")=TRUE),  "",  INDEX(RulebookTables!F2:F93, MATCH(E62,RulebookTables!A2:A93, 0))), "")</f>
        <v>communication</v>
      </c>
      <c r="S62" s="3" t="s">
        <v>1918</v>
      </c>
    </row>
    <row r="63">
      <c r="A63" s="3" t="s">
        <v>14166</v>
      </c>
      <c r="B63" s="4" t="str">
        <f>_xlfn.CONCAT(D63, " / ", E63)</f>
        <v>effortless-postgres / AgentDecisionRecords</v>
      </c>
      <c r="C63" s="3" t="s">
        <v>14074</v>
      </c>
      <c r="D63" s="3" t="s">
        <v>14022</v>
      </c>
      <c r="E63" s="3" t="s">
        <v>4994</v>
      </c>
      <c r="F63" s="3">
        <v>3</v>
      </c>
      <c r="G63" s="3">
        <v>27</v>
      </c>
      <c r="H63" s="3">
        <v>81</v>
      </c>
      <c r="I63" s="3">
        <v>81</v>
      </c>
      <c r="J63" s="3" t="b">
        <v>0</v>
      </c>
      <c r="K63" s="4">
        <f>H63 - I63</f>
        <v>0</v>
      </c>
      <c r="L63" s="4">
        <f>IF(((H63 = 0)=TRUE),  0,  ROUND(100 * I63 / H63, 2))</f>
        <v>100</v>
      </c>
      <c r="M63" s="4" t="b">
        <f>K63 = 0</f>
        <v>1</v>
      </c>
      <c r="N63" s="4" t="str">
        <f>IF(((M63)=TRUE),  "",  D63)</f>
      </c>
      <c r="O63" s="4" t="str">
        <f>IF(((M63)=TRUE),  "",  E63)</f>
      </c>
      <c r="P63" s="4">
        <f>COUNTIFS(FieldDisagreements!E2:E50, A63)</f>
        <v>0</v>
      </c>
      <c r="Q63" s="4" t="str">
        <f>_xlfn.IFNA(IF(((INDEX(ConformanceSubstrates!C2:C9, MATCH(D63,ConformanceSubstrates!A2:A9, 0))="")=TRUE),  "",  INDEX(ConformanceSubstrates!C2:C9, MATCH(D63,ConformanceSubstrates!A2:A9, 0))), "")</f>
        <v>PostgreSQL</v>
      </c>
      <c r="R63" s="4" t="str">
        <f>_xlfn.IFNA(IF(((INDEX(RulebookTables!F2:F93, MATCH(E63,RulebookTables!A2:A93, 0))="")=TRUE),  "",  INDEX(RulebookTables!F2:F93, MATCH(E63,RulebookTables!A2:A93, 0))), "")</f>
        <v>org</v>
      </c>
      <c r="S63" s="3" t="s">
        <v>1918</v>
      </c>
    </row>
    <row r="64">
      <c r="A64" s="3" t="s">
        <v>14167</v>
      </c>
      <c r="B64" s="4" t="str">
        <f>_xlfn.CONCAT(D64, " / ", E64)</f>
        <v>effortless-postgres / DeliveredCommunications</v>
      </c>
      <c r="C64" s="3" t="s">
        <v>14074</v>
      </c>
      <c r="D64" s="3" t="s">
        <v>14022</v>
      </c>
      <c r="E64" s="3" t="s">
        <v>5095</v>
      </c>
      <c r="F64" s="3">
        <v>1</v>
      </c>
      <c r="G64" s="3">
        <v>6</v>
      </c>
      <c r="H64" s="3">
        <v>6</v>
      </c>
      <c r="I64" s="3">
        <v>6</v>
      </c>
      <c r="J64" s="3" t="b">
        <v>0</v>
      </c>
      <c r="K64" s="4">
        <f>H64 - I64</f>
        <v>0</v>
      </c>
      <c r="L64" s="4">
        <f>IF(((H64 = 0)=TRUE),  0,  ROUND(100 * I64 / H64, 2))</f>
        <v>100</v>
      </c>
      <c r="M64" s="4" t="b">
        <f>K64 = 0</f>
        <v>1</v>
      </c>
      <c r="N64" s="4" t="str">
        <f>IF(((M64)=TRUE),  "",  D64)</f>
      </c>
      <c r="O64" s="4" t="str">
        <f>IF(((M64)=TRUE),  "",  E64)</f>
      </c>
      <c r="P64" s="4">
        <f>COUNTIFS(FieldDisagreements!E2:E50, A64)</f>
        <v>0</v>
      </c>
      <c r="Q64" s="4" t="str">
        <f>_xlfn.IFNA(IF(((INDEX(ConformanceSubstrates!C2:C9, MATCH(D64,ConformanceSubstrates!A2:A9, 0))="")=TRUE),  "",  INDEX(ConformanceSubstrates!C2:C9, MATCH(D64,ConformanceSubstrates!A2:A9, 0))), "")</f>
        <v>PostgreSQL</v>
      </c>
      <c r="R64" s="4" t="str">
        <f>_xlfn.IFNA(IF(((INDEX(RulebookTables!F2:F93, MATCH(E64,RulebookTables!A2:A93, 0))="")=TRUE),  "",  INDEX(RulebookTables!F2:F93, MATCH(E64,RulebookTables!A2:A93, 0))), "")</f>
        <v>communication</v>
      </c>
      <c r="S64" s="3" t="s">
        <v>1918</v>
      </c>
    </row>
    <row r="65">
      <c r="A65" s="3" t="s">
        <v>14168</v>
      </c>
      <c r="B65" s="4" t="str">
        <f>_xlfn.CONCAT(D65, " / ", E65)</f>
        <v>effortless-postgres / AuthorityBoundaries</v>
      </c>
      <c r="C65" s="3" t="s">
        <v>14074</v>
      </c>
      <c r="D65" s="3" t="s">
        <v>14022</v>
      </c>
      <c r="E65" s="3" t="s">
        <v>5131</v>
      </c>
      <c r="F65" s="3">
        <v>3</v>
      </c>
      <c r="G65" s="3">
        <v>21</v>
      </c>
      <c r="H65" s="3">
        <v>63</v>
      </c>
      <c r="I65" s="3">
        <v>63</v>
      </c>
      <c r="J65" s="3" t="b">
        <v>0</v>
      </c>
      <c r="K65" s="4">
        <f>H65 - I65</f>
        <v>0</v>
      </c>
      <c r="L65" s="4">
        <f>IF(((H65 = 0)=TRUE),  0,  ROUND(100 * I65 / H65, 2))</f>
        <v>100</v>
      </c>
      <c r="M65" s="4" t="b">
        <f>K65 = 0</f>
        <v>1</v>
      </c>
      <c r="N65" s="4" t="str">
        <f>IF(((M65)=TRUE),  "",  D65)</f>
      </c>
      <c r="O65" s="4" t="str">
        <f>IF(((M65)=TRUE),  "",  E65)</f>
      </c>
      <c r="P65" s="4">
        <f>COUNTIFS(FieldDisagreements!E2:E50, A65)</f>
        <v>0</v>
      </c>
      <c r="Q65" s="4" t="str">
        <f>_xlfn.IFNA(IF(((INDEX(ConformanceSubstrates!C2:C9, MATCH(D65,ConformanceSubstrates!A2:A9, 0))="")=TRUE),  "",  INDEX(ConformanceSubstrates!C2:C9, MATCH(D65,ConformanceSubstrates!A2:A9, 0))), "")</f>
        <v>PostgreSQL</v>
      </c>
      <c r="R65" s="4" t="str">
        <f>_xlfn.IFNA(IF(((INDEX(RulebookTables!F2:F93, MATCH(E65,RulebookTables!A2:A93, 0))="")=TRUE),  "",  INDEX(RulebookTables!F2:F93, MATCH(E65,RulebookTables!A2:A93, 0))), "")</f>
        <v>governance</v>
      </c>
      <c r="S65" s="3" t="s">
        <v>1918</v>
      </c>
    </row>
    <row r="66">
      <c r="A66" s="3" t="s">
        <v>14169</v>
      </c>
      <c r="B66" s="4" t="str">
        <f>_xlfn.CONCAT(D66, " / ", E66)</f>
        <v>effortless-postgres / AppRoleProfiles</v>
      </c>
      <c r="C66" s="3" t="s">
        <v>14074</v>
      </c>
      <c r="D66" s="3" t="s">
        <v>14022</v>
      </c>
      <c r="E66" s="3" t="s">
        <v>1869</v>
      </c>
      <c r="F66" s="3">
        <v>12</v>
      </c>
      <c r="G66" s="3">
        <v>2</v>
      </c>
      <c r="H66" s="3">
        <v>24</v>
      </c>
      <c r="I66" s="3">
        <v>24</v>
      </c>
      <c r="J66" s="3" t="b">
        <v>0</v>
      </c>
      <c r="K66" s="4">
        <f>H66 - I66</f>
        <v>0</v>
      </c>
      <c r="L66" s="4">
        <f>IF(((H66 = 0)=TRUE),  0,  ROUND(100 * I66 / H66, 2))</f>
        <v>100</v>
      </c>
      <c r="M66" s="4" t="b">
        <f>K66 = 0</f>
        <v>1</v>
      </c>
      <c r="N66" s="4" t="str">
        <f>IF(((M66)=TRUE),  "",  D66)</f>
      </c>
      <c r="O66" s="4" t="str">
        <f>IF(((M66)=TRUE),  "",  E66)</f>
      </c>
      <c r="P66" s="4">
        <f>COUNTIFS(FieldDisagreements!E2:E50, A66)</f>
        <v>0</v>
      </c>
      <c r="Q66" s="4" t="str">
        <f>_xlfn.IFNA(IF(((INDEX(ConformanceSubstrates!C2:C9, MATCH(D66,ConformanceSubstrates!A2:A9, 0))="")=TRUE),  "",  INDEX(ConformanceSubstrates!C2:C9, MATCH(D66,ConformanceSubstrates!A2:A9, 0))), "")</f>
        <v>PostgreSQL</v>
      </c>
      <c r="R66" s="4" t="str">
        <f>_xlfn.IFNA(IF(((INDEX(RulebookTables!F2:F93, MATCH(E66,RulebookTables!A2:A93, 0))="")=TRUE),  "",  INDEX(RulebookTables!F2:F93, MATCH(E66,RulebookTables!A2:A93, 0))), "")</f>
        <v>org</v>
      </c>
      <c r="S66" s="3" t="s">
        <v>1918</v>
      </c>
    </row>
    <row r="67">
      <c r="A67" s="3" t="s">
        <v>14170</v>
      </c>
      <c r="B67" s="4" t="str">
        <f>_xlfn.CONCAT(D67, " / ", E67)</f>
        <v>effortless-postgres / AppNavGroups</v>
      </c>
      <c r="C67" s="3" t="s">
        <v>14074</v>
      </c>
      <c r="D67" s="3" t="s">
        <v>14022</v>
      </c>
      <c r="E67" s="3" t="s">
        <v>1873</v>
      </c>
      <c r="F67" s="3">
        <v>23</v>
      </c>
      <c r="G67" s="3">
        <v>2</v>
      </c>
      <c r="H67" s="3">
        <v>46</v>
      </c>
      <c r="I67" s="3">
        <v>46</v>
      </c>
      <c r="J67" s="3" t="b">
        <v>0</v>
      </c>
      <c r="K67" s="4">
        <f>H67 - I67</f>
        <v>0</v>
      </c>
      <c r="L67" s="4">
        <f>IF(((H67 = 0)=TRUE),  0,  ROUND(100 * I67 / H67, 2))</f>
        <v>100</v>
      </c>
      <c r="M67" s="4" t="b">
        <f>K67 = 0</f>
        <v>1</v>
      </c>
      <c r="N67" s="4" t="str">
        <f>IF(((M67)=TRUE),  "",  D67)</f>
      </c>
      <c r="O67" s="4" t="str">
        <f>IF(((M67)=TRUE),  "",  E67)</f>
      </c>
      <c r="P67" s="4">
        <f>COUNTIFS(FieldDisagreements!E2:E50, A67)</f>
        <v>0</v>
      </c>
      <c r="Q67" s="4" t="str">
        <f>_xlfn.IFNA(IF(((INDEX(ConformanceSubstrates!C2:C9, MATCH(D67,ConformanceSubstrates!A2:A9, 0))="")=TRUE),  "",  INDEX(ConformanceSubstrates!C2:C9, MATCH(D67,ConformanceSubstrates!A2:A9, 0))), "")</f>
        <v>PostgreSQL</v>
      </c>
      <c r="R67" s="4" t="str">
        <f>_xlfn.IFNA(IF(((INDEX(RulebookTables!F2:F93, MATCH(E67,RulebookTables!A2:A93, 0))="")=TRUE),  "",  INDEX(RulebookTables!F2:F93, MATCH(E67,RulebookTables!A2:A93, 0))), "")</f>
        <v>application</v>
      </c>
      <c r="S67" s="3" t="s">
        <v>1918</v>
      </c>
    </row>
    <row r="68">
      <c r="A68" s="3" t="s">
        <v>14171</v>
      </c>
      <c r="B68" s="4" t="str">
        <f>_xlfn.CONCAT(D68, " / ", E68)</f>
        <v>effortless-postgres / AppRoutes</v>
      </c>
      <c r="C68" s="3" t="s">
        <v>14074</v>
      </c>
      <c r="D68" s="3" t="s">
        <v>14022</v>
      </c>
      <c r="E68" s="3" t="s">
        <v>1877</v>
      </c>
      <c r="F68" s="3">
        <v>149</v>
      </c>
      <c r="G68" s="3">
        <v>7</v>
      </c>
      <c r="H68" s="3">
        <v>1043</v>
      </c>
      <c r="I68" s="3">
        <v>1043</v>
      </c>
      <c r="J68" s="3" t="b">
        <v>0</v>
      </c>
      <c r="K68" s="4">
        <f>H68 - I68</f>
        <v>0</v>
      </c>
      <c r="L68" s="4">
        <f>IF(((H68 = 0)=TRUE),  0,  ROUND(100 * I68 / H68, 2))</f>
        <v>100</v>
      </c>
      <c r="M68" s="4" t="b">
        <f>K68 = 0</f>
        <v>1</v>
      </c>
      <c r="N68" s="4" t="str">
        <f>IF(((M68)=TRUE),  "",  D68)</f>
      </c>
      <c r="O68" s="4" t="str">
        <f>IF(((M68)=TRUE),  "",  E68)</f>
      </c>
      <c r="P68" s="4">
        <f>COUNTIFS(FieldDisagreements!E2:E50, A68)</f>
        <v>0</v>
      </c>
      <c r="Q68" s="4" t="str">
        <f>_xlfn.IFNA(IF(((INDEX(ConformanceSubstrates!C2:C9, MATCH(D68,ConformanceSubstrates!A2:A9, 0))="")=TRUE),  "",  INDEX(ConformanceSubstrates!C2:C9, MATCH(D68,ConformanceSubstrates!A2:A9, 0))), "")</f>
        <v>PostgreSQL</v>
      </c>
      <c r="R68" s="4" t="str">
        <f>_xlfn.IFNA(IF(((INDEX(RulebookTables!F2:F93, MATCH(E68,RulebookTables!A2:A93, 0))="")=TRUE),  "",  INDEX(RulebookTables!F2:F93, MATCH(E68,RulebookTables!A2:A93, 0))), "")</f>
        <v>application</v>
      </c>
      <c r="S68" s="3" t="s">
        <v>1918</v>
      </c>
    </row>
    <row r="69">
      <c r="A69" s="3" t="s">
        <v>14172</v>
      </c>
      <c r="B69" s="4" t="str">
        <f>_xlfn.CONCAT(D69, " / ", E69)</f>
        <v>effortless-postgres / AppRouteQuestions</v>
      </c>
      <c r="C69" s="3" t="s">
        <v>14074</v>
      </c>
      <c r="D69" s="3" t="s">
        <v>14022</v>
      </c>
      <c r="E69" s="3" t="s">
        <v>1881</v>
      </c>
      <c r="F69" s="3">
        <v>151</v>
      </c>
      <c r="G69" s="3">
        <v>1</v>
      </c>
      <c r="H69" s="3">
        <v>151</v>
      </c>
      <c r="I69" s="3">
        <v>151</v>
      </c>
      <c r="J69" s="3" t="b">
        <v>0</v>
      </c>
      <c r="K69" s="4">
        <f>H69 - I69</f>
        <v>0</v>
      </c>
      <c r="L69" s="4">
        <f>IF(((H69 = 0)=TRUE),  0,  ROUND(100 * I69 / H69, 2))</f>
        <v>100</v>
      </c>
      <c r="M69" s="4" t="b">
        <f>K69 = 0</f>
        <v>1</v>
      </c>
      <c r="N69" s="4" t="str">
        <f>IF(((M69)=TRUE),  "",  D69)</f>
      </c>
      <c r="O69" s="4" t="str">
        <f>IF(((M69)=TRUE),  "",  E69)</f>
      </c>
      <c r="P69" s="4">
        <f>COUNTIFS(FieldDisagreements!E2:E50, A69)</f>
        <v>0</v>
      </c>
      <c r="Q69" s="4" t="str">
        <f>_xlfn.IFNA(IF(((INDEX(ConformanceSubstrates!C2:C9, MATCH(D69,ConformanceSubstrates!A2:A9, 0))="")=TRUE),  "",  INDEX(ConformanceSubstrates!C2:C9, MATCH(D69,ConformanceSubstrates!A2:A9, 0))), "")</f>
        <v>PostgreSQL</v>
      </c>
      <c r="R69" s="4" t="str">
        <f>_xlfn.IFNA(IF(((INDEX(RulebookTables!F2:F93, MATCH(E69,RulebookTables!A2:A93, 0))="")=TRUE),  "",  INDEX(RulebookTables!F2:F93, MATCH(E69,RulebookTables!A2:A93, 0))), "")</f>
        <v>application</v>
      </c>
      <c r="S69" s="3" t="s">
        <v>1918</v>
      </c>
    </row>
    <row r="70">
      <c r="A70" s="3" t="s">
        <v>14173</v>
      </c>
      <c r="B70" s="4" t="str">
        <f>_xlfn.CONCAT(D70, " / ", E70)</f>
        <v>effortless-postgres / AppRouteReferences</v>
      </c>
      <c r="C70" s="3" t="s">
        <v>14074</v>
      </c>
      <c r="D70" s="3" t="s">
        <v>14022</v>
      </c>
      <c r="E70" s="3" t="s">
        <v>1885</v>
      </c>
      <c r="F70" s="3">
        <v>315</v>
      </c>
      <c r="G70" s="3">
        <v>1</v>
      </c>
      <c r="H70" s="3">
        <v>315</v>
      </c>
      <c r="I70" s="3">
        <v>315</v>
      </c>
      <c r="J70" s="3" t="b">
        <v>0</v>
      </c>
      <c r="K70" s="4">
        <f>H70 - I70</f>
        <v>0</v>
      </c>
      <c r="L70" s="4">
        <f>IF(((H70 = 0)=TRUE),  0,  ROUND(100 * I70 / H70, 2))</f>
        <v>100</v>
      </c>
      <c r="M70" s="4" t="b">
        <f>K70 = 0</f>
        <v>1</v>
      </c>
      <c r="N70" s="4" t="str">
        <f>IF(((M70)=TRUE),  "",  D70)</f>
      </c>
      <c r="O70" s="4" t="str">
        <f>IF(((M70)=TRUE),  "",  E70)</f>
      </c>
      <c r="P70" s="4">
        <f>COUNTIFS(FieldDisagreements!E2:E50, A70)</f>
        <v>0</v>
      </c>
      <c r="Q70" s="4" t="str">
        <f>_xlfn.IFNA(IF(((INDEX(ConformanceSubstrates!C2:C9, MATCH(D70,ConformanceSubstrates!A2:A9, 0))="")=TRUE),  "",  INDEX(ConformanceSubstrates!C2:C9, MATCH(D70,ConformanceSubstrates!A2:A9, 0))), "")</f>
        <v>PostgreSQL</v>
      </c>
      <c r="R70" s="4" t="str">
        <f>_xlfn.IFNA(IF(((INDEX(RulebookTables!F2:F93, MATCH(E70,RulebookTables!A2:A93, 0))="")=TRUE),  "",  INDEX(RulebookTables!F2:F93, MATCH(E70,RulebookTables!A2:A93, 0))), "")</f>
        <v>application</v>
      </c>
      <c r="S70" s="3" t="s">
        <v>1918</v>
      </c>
    </row>
    <row r="71">
      <c r="A71" s="3" t="s">
        <v>14174</v>
      </c>
      <c r="B71" s="4" t="str">
        <f>_xlfn.CONCAT(D71, " / ", E71)</f>
        <v>effortless-postgres / RulebookTables</v>
      </c>
      <c r="C71" s="3" t="s">
        <v>14074</v>
      </c>
      <c r="D71" s="3" t="s">
        <v>14022</v>
      </c>
      <c r="E71" s="3" t="s">
        <v>5352</v>
      </c>
      <c r="F71" s="3">
        <v>92</v>
      </c>
      <c r="G71" s="3">
        <v>5</v>
      </c>
      <c r="H71" s="3">
        <v>460</v>
      </c>
      <c r="I71" s="3">
        <v>460</v>
      </c>
      <c r="J71" s="3" t="b">
        <v>0</v>
      </c>
      <c r="K71" s="4">
        <f>H71 - I71</f>
        <v>0</v>
      </c>
      <c r="L71" s="4">
        <f>IF(((H71 = 0)=TRUE),  0,  ROUND(100 * I71 / H71, 2))</f>
        <v>100</v>
      </c>
      <c r="M71" s="4" t="b">
        <f>K71 = 0</f>
        <v>1</v>
      </c>
      <c r="N71" s="4" t="str">
        <f>IF(((M71)=TRUE),  "",  D71)</f>
      </c>
      <c r="O71" s="4" t="str">
        <f>IF(((M71)=TRUE),  "",  E71)</f>
      </c>
      <c r="P71" s="4">
        <f>COUNTIFS(FieldDisagreements!E2:E50, A71)</f>
        <v>0</v>
      </c>
      <c r="Q71" s="4" t="str">
        <f>_xlfn.IFNA(IF(((INDEX(ConformanceSubstrates!C2:C9, MATCH(D71,ConformanceSubstrates!A2:A9, 0))="")=TRUE),  "",  INDEX(ConformanceSubstrates!C2:C9, MATCH(D71,ConformanceSubstrates!A2:A9, 0))), "")</f>
        <v>PostgreSQL</v>
      </c>
      <c r="R71" s="4" t="str">
        <f>_xlfn.IFNA(IF(((INDEX(RulebookTables!F2:F93, MATCH(E71,RulebookTables!A2:A93, 0))="")=TRUE),  "",  INDEX(RulebookTables!F2:F93, MATCH(E71,RulebookTables!A2:A93, 0))), "")</f>
        <v>meta</v>
      </c>
      <c r="S71" s="3" t="s">
        <v>1918</v>
      </c>
    </row>
    <row r="72">
      <c r="A72" s="3" t="s">
        <v>14175</v>
      </c>
      <c r="B72" s="4" t="str">
        <f>_xlfn.CONCAT(D72, " / ", E72)</f>
        <v>effortless-postgres / AccessPrincipals</v>
      </c>
      <c r="C72" s="3" t="s">
        <v>14074</v>
      </c>
      <c r="D72" s="3" t="s">
        <v>14022</v>
      </c>
      <c r="E72" s="3" t="s">
        <v>5379</v>
      </c>
      <c r="F72" s="3">
        <v>12</v>
      </c>
      <c r="G72" s="3">
        <v>8</v>
      </c>
      <c r="H72" s="3">
        <v>96</v>
      </c>
      <c r="I72" s="3">
        <v>96</v>
      </c>
      <c r="J72" s="3" t="b">
        <v>0</v>
      </c>
      <c r="K72" s="4">
        <f>H72 - I72</f>
        <v>0</v>
      </c>
      <c r="L72" s="4">
        <f>IF(((H72 = 0)=TRUE),  0,  ROUND(100 * I72 / H72, 2))</f>
        <v>100</v>
      </c>
      <c r="M72" s="4" t="b">
        <f>K72 = 0</f>
        <v>1</v>
      </c>
      <c r="N72" s="4" t="str">
        <f>IF(((M72)=TRUE),  "",  D72)</f>
      </c>
      <c r="O72" s="4" t="str">
        <f>IF(((M72)=TRUE),  "",  E72)</f>
      </c>
      <c r="P72" s="4">
        <f>COUNTIFS(FieldDisagreements!E2:E50, A72)</f>
        <v>0</v>
      </c>
      <c r="Q72" s="4" t="str">
        <f>_xlfn.IFNA(IF(((INDEX(ConformanceSubstrates!C2:C9, MATCH(D72,ConformanceSubstrates!A2:A9, 0))="")=TRUE),  "",  INDEX(ConformanceSubstrates!C2:C9, MATCH(D72,ConformanceSubstrates!A2:A9, 0))), "")</f>
        <v>PostgreSQL</v>
      </c>
      <c r="R72" s="4" t="str">
        <f>_xlfn.IFNA(IF(((INDEX(RulebookTables!F2:F93, MATCH(E72,RulebookTables!A2:A93, 0))="")=TRUE),  "",  INDEX(RulebookTables!F2:F93, MATCH(E72,RulebookTables!A2:A93, 0))), "")</f>
        <v>access-control</v>
      </c>
      <c r="S72" s="3" t="s">
        <v>1918</v>
      </c>
    </row>
    <row r="73">
      <c r="A73" s="3" t="s">
        <v>14176</v>
      </c>
      <c r="B73" s="4" t="str">
        <f>_xlfn.CONCAT(D73, " / ", E73)</f>
        <v>effortless-postgres / AccessPolicies</v>
      </c>
      <c r="C73" s="3" t="s">
        <v>14074</v>
      </c>
      <c r="D73" s="3" t="s">
        <v>14022</v>
      </c>
      <c r="E73" s="3" t="s">
        <v>5412</v>
      </c>
      <c r="F73" s="3">
        <v>202</v>
      </c>
      <c r="G73" s="3">
        <v>7</v>
      </c>
      <c r="H73" s="3">
        <v>1414</v>
      </c>
      <c r="I73" s="3">
        <v>1414</v>
      </c>
      <c r="J73" s="3" t="b">
        <v>0</v>
      </c>
      <c r="K73" s="4">
        <f>H73 - I73</f>
        <v>0</v>
      </c>
      <c r="L73" s="4">
        <f>IF(((H73 = 0)=TRUE),  0,  ROUND(100 * I73 / H73, 2))</f>
        <v>100</v>
      </c>
      <c r="M73" s="4" t="b">
        <f>K73 = 0</f>
        <v>1</v>
      </c>
      <c r="N73" s="4" t="str">
        <f>IF(((M73)=TRUE),  "",  D73)</f>
      </c>
      <c r="O73" s="4" t="str">
        <f>IF(((M73)=TRUE),  "",  E73)</f>
      </c>
      <c r="P73" s="4">
        <f>COUNTIFS(FieldDisagreements!E2:E50, A73)</f>
        <v>0</v>
      </c>
      <c r="Q73" s="4" t="str">
        <f>_xlfn.IFNA(IF(((INDEX(ConformanceSubstrates!C2:C9, MATCH(D73,ConformanceSubstrates!A2:A9, 0))="")=TRUE),  "",  INDEX(ConformanceSubstrates!C2:C9, MATCH(D73,ConformanceSubstrates!A2:A9, 0))), "")</f>
        <v>PostgreSQL</v>
      </c>
      <c r="R73" s="4" t="str">
        <f>_xlfn.IFNA(IF(((INDEX(RulebookTables!F2:F93, MATCH(E73,RulebookTables!A2:A93, 0))="")=TRUE),  "",  INDEX(RulebookTables!F2:F93, MATCH(E73,RulebookTables!A2:A93, 0))), "")</f>
        <v>access-control</v>
      </c>
      <c r="S73" s="3" t="s">
        <v>1918</v>
      </c>
    </row>
    <row r="74">
      <c r="A74" s="3" t="s">
        <v>14177</v>
      </c>
      <c r="B74" s="4" t="str">
        <f>_xlfn.CONCAT(D74, " / ", E74)</f>
        <v>effortless-postgres / FieldGrants</v>
      </c>
      <c r="C74" s="3" t="s">
        <v>14074</v>
      </c>
      <c r="D74" s="3" t="s">
        <v>14022</v>
      </c>
      <c r="E74" s="3" t="s">
        <v>5448</v>
      </c>
      <c r="F74" s="3">
        <v>3639</v>
      </c>
      <c r="G74" s="3">
        <v>7</v>
      </c>
      <c r="H74" s="3">
        <v>25473</v>
      </c>
      <c r="I74" s="3">
        <v>25473</v>
      </c>
      <c r="J74" s="3" t="b">
        <v>0</v>
      </c>
      <c r="K74" s="4">
        <f>H74 - I74</f>
        <v>0</v>
      </c>
      <c r="L74" s="4">
        <f>IF(((H74 = 0)=TRUE),  0,  ROUND(100 * I74 / H74, 2))</f>
        <v>100</v>
      </c>
      <c r="M74" s="4" t="b">
        <f>K74 = 0</f>
        <v>1</v>
      </c>
      <c r="N74" s="4" t="str">
        <f>IF(((M74)=TRUE),  "",  D74)</f>
      </c>
      <c r="O74" s="4" t="str">
        <f>IF(((M74)=TRUE),  "",  E74)</f>
      </c>
      <c r="P74" s="4">
        <f>COUNTIFS(FieldDisagreements!E2:E50, A74)</f>
        <v>0</v>
      </c>
      <c r="Q74" s="4" t="str">
        <f>_xlfn.IFNA(IF(((INDEX(ConformanceSubstrates!C2:C9, MATCH(D74,ConformanceSubstrates!A2:A9, 0))="")=TRUE),  "",  INDEX(ConformanceSubstrates!C2:C9, MATCH(D74,ConformanceSubstrates!A2:A9, 0))), "")</f>
        <v>PostgreSQL</v>
      </c>
      <c r="R74" s="4" t="str">
        <f>_xlfn.IFNA(IF(((INDEX(RulebookTables!F2:F93, MATCH(E74,RulebookTables!A2:A93, 0))="")=TRUE),  "",  INDEX(RulebookTables!F2:F93, MATCH(E74,RulebookTables!A2:A93, 0))), "")</f>
        <v>access-control</v>
      </c>
      <c r="S74" s="3" t="s">
        <v>1918</v>
      </c>
    </row>
    <row r="75">
      <c r="A75" s="3" t="s">
        <v>14178</v>
      </c>
      <c r="B75" s="4" t="str">
        <f>_xlfn.CONCAT(D75, " / ", E75)</f>
        <v>effortless-postgres / RoleSchemas</v>
      </c>
      <c r="C75" s="3" t="s">
        <v>14074</v>
      </c>
      <c r="D75" s="3" t="s">
        <v>14022</v>
      </c>
      <c r="E75" s="3" t="s">
        <v>5479</v>
      </c>
      <c r="F75" s="3">
        <v>12</v>
      </c>
      <c r="G75" s="3">
        <v>4</v>
      </c>
      <c r="H75" s="3">
        <v>48</v>
      </c>
      <c r="I75" s="3">
        <v>48</v>
      </c>
      <c r="J75" s="3" t="b">
        <v>0</v>
      </c>
      <c r="K75" s="4">
        <f>H75 - I75</f>
        <v>0</v>
      </c>
      <c r="L75" s="4">
        <f>IF(((H75 = 0)=TRUE),  0,  ROUND(100 * I75 / H75, 2))</f>
        <v>100</v>
      </c>
      <c r="M75" s="4" t="b">
        <f>K75 = 0</f>
        <v>1</v>
      </c>
      <c r="N75" s="4" t="str">
        <f>IF(((M75)=TRUE),  "",  D75)</f>
      </c>
      <c r="O75" s="4" t="str">
        <f>IF(((M75)=TRUE),  "",  E75)</f>
      </c>
      <c r="P75" s="4">
        <f>COUNTIFS(FieldDisagreements!E2:E50, A75)</f>
        <v>0</v>
      </c>
      <c r="Q75" s="4" t="str">
        <f>_xlfn.IFNA(IF(((INDEX(ConformanceSubstrates!C2:C9, MATCH(D75,ConformanceSubstrates!A2:A9, 0))="")=TRUE),  "",  INDEX(ConformanceSubstrates!C2:C9, MATCH(D75,ConformanceSubstrates!A2:A9, 0))), "")</f>
        <v>PostgreSQL</v>
      </c>
      <c r="R75" s="4" t="str">
        <f>_xlfn.IFNA(IF(((INDEX(RulebookTables!F2:F93, MATCH(E75,RulebookTables!A2:A93, 0))="")=TRUE),  "",  INDEX(RulebookTables!F2:F93, MATCH(E75,RulebookTables!A2:A93, 0))), "")</f>
        <v>org</v>
      </c>
      <c r="S75" s="3" t="s">
        <v>1918</v>
      </c>
    </row>
    <row r="76">
      <c r="A76" s="3" t="s">
        <v>14179</v>
      </c>
      <c r="B76" s="4" t="str">
        <f>_xlfn.CONCAT(D76, " / ", E76)</f>
        <v>effortless-postgres / RoleSchemaViews</v>
      </c>
      <c r="C76" s="3" t="s">
        <v>14074</v>
      </c>
      <c r="D76" s="3" t="s">
        <v>14022</v>
      </c>
      <c r="E76" s="3" t="s">
        <v>5497</v>
      </c>
      <c r="F76" s="3">
        <v>202</v>
      </c>
      <c r="G76" s="3">
        <v>8</v>
      </c>
      <c r="H76" s="3">
        <v>1616</v>
      </c>
      <c r="I76" s="3">
        <v>1616</v>
      </c>
      <c r="J76" s="3" t="b">
        <v>0</v>
      </c>
      <c r="K76" s="4">
        <f>H76 - I76</f>
        <v>0</v>
      </c>
      <c r="L76" s="4">
        <f>IF(((H76 = 0)=TRUE),  0,  ROUND(100 * I76 / H76, 2))</f>
        <v>100</v>
      </c>
      <c r="M76" s="4" t="b">
        <f>K76 = 0</f>
        <v>1</v>
      </c>
      <c r="N76" s="4" t="str">
        <f>IF(((M76)=TRUE),  "",  D76)</f>
      </c>
      <c r="O76" s="4" t="str">
        <f>IF(((M76)=TRUE),  "",  E76)</f>
      </c>
      <c r="P76" s="4">
        <f>COUNTIFS(FieldDisagreements!E2:E50, A76)</f>
        <v>0</v>
      </c>
      <c r="Q76" s="4" t="str">
        <f>_xlfn.IFNA(IF(((INDEX(ConformanceSubstrates!C2:C9, MATCH(D76,ConformanceSubstrates!A2:A9, 0))="")=TRUE),  "",  INDEX(ConformanceSubstrates!C2:C9, MATCH(D76,ConformanceSubstrates!A2:A9, 0))), "")</f>
        <v>PostgreSQL</v>
      </c>
      <c r="R76" s="4" t="str">
        <f>_xlfn.IFNA(IF(((INDEX(RulebookTables!F2:F93, MATCH(E76,RulebookTables!A2:A93, 0))="")=TRUE),  "",  INDEX(RulebookTables!F2:F93, MATCH(E76,RulebookTables!A2:A93, 0))), "")</f>
        <v>org</v>
      </c>
      <c r="S76" s="3" t="s">
        <v>1918</v>
      </c>
    </row>
    <row r="77">
      <c r="A77" s="3" t="s">
        <v>14180</v>
      </c>
      <c r="B77" s="4" t="str">
        <f>_xlfn.CONCAT(D77, " / ", E77)</f>
        <v>effortless-postgres / JwtClaimMappings</v>
      </c>
      <c r="C77" s="3" t="s">
        <v>14074</v>
      </c>
      <c r="D77" s="3" t="s">
        <v>14022</v>
      </c>
      <c r="E77" s="3" t="s">
        <v>5529</v>
      </c>
      <c r="F77" s="3">
        <v>4</v>
      </c>
      <c r="G77" s="3">
        <v>2</v>
      </c>
      <c r="H77" s="3">
        <v>8</v>
      </c>
      <c r="I77" s="3">
        <v>8</v>
      </c>
      <c r="J77" s="3" t="b">
        <v>0</v>
      </c>
      <c r="K77" s="4">
        <f>H77 - I77</f>
        <v>0</v>
      </c>
      <c r="L77" s="4">
        <f>IF(((H77 = 0)=TRUE),  0,  ROUND(100 * I77 / H77, 2))</f>
        <v>100</v>
      </c>
      <c r="M77" s="4" t="b">
        <f>K77 = 0</f>
        <v>1</v>
      </c>
      <c r="N77" s="4" t="str">
        <f>IF(((M77)=TRUE),  "",  D77)</f>
      </c>
      <c r="O77" s="4" t="str">
        <f>IF(((M77)=TRUE),  "",  E77)</f>
      </c>
      <c r="P77" s="4">
        <f>COUNTIFS(FieldDisagreements!E2:E50, A77)</f>
        <v>0</v>
      </c>
      <c r="Q77" s="4" t="str">
        <f>_xlfn.IFNA(IF(((INDEX(ConformanceSubstrates!C2:C9, MATCH(D77,ConformanceSubstrates!A2:A9, 0))="")=TRUE),  "",  INDEX(ConformanceSubstrates!C2:C9, MATCH(D77,ConformanceSubstrates!A2:A9, 0))), "")</f>
        <v>PostgreSQL</v>
      </c>
      <c r="R77" s="4" t="str">
        <f>_xlfn.IFNA(IF(((INDEX(RulebookTables!F2:F93, MATCH(E77,RulebookTables!A2:A93, 0))="")=TRUE),  "",  INDEX(RulebookTables!F2:F93, MATCH(E77,RulebookTables!A2:A93, 0))), "")</f>
        <v>access-control</v>
      </c>
      <c r="S77" s="3" t="s">
        <v>1918</v>
      </c>
    </row>
    <row r="78">
      <c r="A78" s="3" t="s">
        <v>14181</v>
      </c>
      <c r="B78" s="4" t="str">
        <f>_xlfn.CONCAT(D78, " / ", E78)</f>
        <v>effortless-postgres / AccessDenialTests</v>
      </c>
      <c r="C78" s="3" t="s">
        <v>14074</v>
      </c>
      <c r="D78" s="3" t="s">
        <v>14022</v>
      </c>
      <c r="E78" s="3" t="s">
        <v>5548</v>
      </c>
      <c r="F78" s="3">
        <v>17</v>
      </c>
      <c r="G78" s="3">
        <v>6</v>
      </c>
      <c r="H78" s="3">
        <v>102</v>
      </c>
      <c r="I78" s="3">
        <v>102</v>
      </c>
      <c r="J78" s="3" t="b">
        <v>0</v>
      </c>
      <c r="K78" s="4">
        <f>H78 - I78</f>
        <v>0</v>
      </c>
      <c r="L78" s="4">
        <f>IF(((H78 = 0)=TRUE),  0,  ROUND(100 * I78 / H78, 2))</f>
        <v>100</v>
      </c>
      <c r="M78" s="4" t="b">
        <f>K78 = 0</f>
        <v>1</v>
      </c>
      <c r="N78" s="4" t="str">
        <f>IF(((M78)=TRUE),  "",  D78)</f>
      </c>
      <c r="O78" s="4" t="str">
        <f>IF(((M78)=TRUE),  "",  E78)</f>
      </c>
      <c r="P78" s="4">
        <f>COUNTIFS(FieldDisagreements!E2:E50, A78)</f>
        <v>0</v>
      </c>
      <c r="Q78" s="4" t="str">
        <f>_xlfn.IFNA(IF(((INDEX(ConformanceSubstrates!C2:C9, MATCH(D78,ConformanceSubstrates!A2:A9, 0))="")=TRUE),  "",  INDEX(ConformanceSubstrates!C2:C9, MATCH(D78,ConformanceSubstrates!A2:A9, 0))), "")</f>
        <v>PostgreSQL</v>
      </c>
      <c r="R78" s="4" t="str">
        <f>_xlfn.IFNA(IF(((INDEX(RulebookTables!F2:F93, MATCH(E78,RulebookTables!A2:A93, 0))="")=TRUE),  "",  INDEX(RulebookTables!F2:F93, MATCH(E78,RulebookTables!A2:A93, 0))), "")</f>
        <v>access-control</v>
      </c>
      <c r="S78" s="3" t="s">
        <v>1918</v>
      </c>
    </row>
    <row r="79">
      <c r="A79" s="3" t="s">
        <v>14182</v>
      </c>
      <c r="B79" s="4" t="str">
        <f>_xlfn.CONCAT(D79, " / ", E79)</f>
        <v>effortless-postgres / AppUsers</v>
      </c>
      <c r="C79" s="3" t="s">
        <v>14074</v>
      </c>
      <c r="D79" s="3" t="s">
        <v>14022</v>
      </c>
      <c r="E79" s="3" t="s">
        <v>5584</v>
      </c>
      <c r="F79" s="3">
        <v>10</v>
      </c>
      <c r="G79" s="3">
        <v>7</v>
      </c>
      <c r="H79" s="3">
        <v>70</v>
      </c>
      <c r="I79" s="3">
        <v>70</v>
      </c>
      <c r="J79" s="3" t="b">
        <v>0</v>
      </c>
      <c r="K79" s="4">
        <f>H79 - I79</f>
        <v>0</v>
      </c>
      <c r="L79" s="4">
        <f>IF(((H79 = 0)=TRUE),  0,  ROUND(100 * I79 / H79, 2))</f>
        <v>100</v>
      </c>
      <c r="M79" s="4" t="b">
        <f>K79 = 0</f>
        <v>1</v>
      </c>
      <c r="N79" s="4" t="str">
        <f>IF(((M79)=TRUE),  "",  D79)</f>
      </c>
      <c r="O79" s="4" t="str">
        <f>IF(((M79)=TRUE),  "",  E79)</f>
      </c>
      <c r="P79" s="4">
        <f>COUNTIFS(FieldDisagreements!E2:E50, A79)</f>
        <v>0</v>
      </c>
      <c r="Q79" s="4" t="str">
        <f>_xlfn.IFNA(IF(((INDEX(ConformanceSubstrates!C2:C9, MATCH(D79,ConformanceSubstrates!A2:A9, 0))="")=TRUE),  "",  INDEX(ConformanceSubstrates!C2:C9, MATCH(D79,ConformanceSubstrates!A2:A9, 0))), "")</f>
        <v>PostgreSQL</v>
      </c>
      <c r="R79" s="4" t="str">
        <f>_xlfn.IFNA(IF(((INDEX(RulebookTables!F2:F93, MATCH(E79,RulebookTables!A2:A93, 0))="")=TRUE),  "",  INDEX(RulebookTables!F2:F93, MATCH(E79,RulebookTables!A2:A93, 0))), "")</f>
      </c>
      <c r="S79" s="3" t="s">
        <v>1918</v>
      </c>
    </row>
    <row r="80">
      <c r="A80" s="3" t="s">
        <v>14183</v>
      </c>
      <c r="B80" s="4" t="str">
        <f>_xlfn.CONCAT(D80, " / ", E80)</f>
        <v>effortless-postgres / PrincipalAssignments</v>
      </c>
      <c r="C80" s="3" t="s">
        <v>14074</v>
      </c>
      <c r="D80" s="3" t="s">
        <v>14022</v>
      </c>
      <c r="E80" s="3" t="s">
        <v>5611</v>
      </c>
      <c r="F80" s="3">
        <v>12</v>
      </c>
      <c r="G80" s="3">
        <v>5</v>
      </c>
      <c r="H80" s="3">
        <v>60</v>
      </c>
      <c r="I80" s="3">
        <v>60</v>
      </c>
      <c r="J80" s="3" t="b">
        <v>0</v>
      </c>
      <c r="K80" s="4">
        <f>H80 - I80</f>
        <v>0</v>
      </c>
      <c r="L80" s="4">
        <f>IF(((H80 = 0)=TRUE),  0,  ROUND(100 * I80 / H80, 2))</f>
        <v>100</v>
      </c>
      <c r="M80" s="4" t="b">
        <f>K80 = 0</f>
        <v>1</v>
      </c>
      <c r="N80" s="4" t="str">
        <f>IF(((M80)=TRUE),  "",  D80)</f>
      </c>
      <c r="O80" s="4" t="str">
        <f>IF(((M80)=TRUE),  "",  E80)</f>
      </c>
      <c r="P80" s="4">
        <f>COUNTIFS(FieldDisagreements!E2:E50, A80)</f>
        <v>0</v>
      </c>
      <c r="Q80" s="4" t="str">
        <f>_xlfn.IFNA(IF(((INDEX(ConformanceSubstrates!C2:C9, MATCH(D80,ConformanceSubstrates!A2:A9, 0))="")=TRUE),  "",  INDEX(ConformanceSubstrates!C2:C9, MATCH(D80,ConformanceSubstrates!A2:A9, 0))), "")</f>
        <v>PostgreSQL</v>
      </c>
      <c r="R80" s="4" t="str">
        <f>_xlfn.IFNA(IF(((INDEX(RulebookTables!F2:F93, MATCH(E80,RulebookTables!A2:A93, 0))="")=TRUE),  "",  INDEX(RulebookTables!F2:F93, MATCH(E80,RulebookTables!A2:A93, 0))), "")</f>
      </c>
      <c r="S80" s="3" t="s">
        <v>1918</v>
      </c>
    </row>
    <row r="81">
      <c r="A81" s="3" t="s">
        <v>14184</v>
      </c>
      <c r="B81" s="4" t="str">
        <f>_xlfn.CONCAT(D81, " / ", E81)</f>
        <v>effortless-postgres / ProcessMiningRuns</v>
      </c>
      <c r="C81" s="3" t="s">
        <v>14074</v>
      </c>
      <c r="D81" s="3" t="s">
        <v>14022</v>
      </c>
      <c r="E81" s="3" t="s">
        <v>1889</v>
      </c>
      <c r="F81" s="3">
        <v>4</v>
      </c>
      <c r="G81" s="3">
        <v>10</v>
      </c>
      <c r="H81" s="3">
        <v>40</v>
      </c>
      <c r="I81" s="3">
        <v>40</v>
      </c>
      <c r="J81" s="3" t="b">
        <v>0</v>
      </c>
      <c r="K81" s="4">
        <f>H81 - I81</f>
        <v>0</v>
      </c>
      <c r="L81" s="4">
        <f>IF(((H81 = 0)=TRUE),  0,  ROUND(100 * I81 / H81, 2))</f>
        <v>100</v>
      </c>
      <c r="M81" s="4" t="b">
        <f>K81 = 0</f>
        <v>1</v>
      </c>
      <c r="N81" s="4" t="str">
        <f>IF(((M81)=TRUE),  "",  D81)</f>
      </c>
      <c r="O81" s="4" t="str">
        <f>IF(((M81)=TRUE),  "",  E81)</f>
      </c>
      <c r="P81" s="4">
        <f>COUNTIFS(FieldDisagreements!E2:E50, A81)</f>
        <v>0</v>
      </c>
      <c r="Q81" s="4" t="str">
        <f>_xlfn.IFNA(IF(((INDEX(ConformanceSubstrates!C2:C9, MATCH(D81,ConformanceSubstrates!A2:A9, 0))="")=TRUE),  "",  INDEX(ConformanceSubstrates!C2:C9, MATCH(D81,ConformanceSubstrates!A2:A9, 0))), "")</f>
        <v>PostgreSQL</v>
      </c>
      <c r="R81" s="4" t="str">
        <f>_xlfn.IFNA(IF(((INDEX(RulebookTables!F2:F93, MATCH(E81,RulebookTables!A2:A93, 0))="")=TRUE),  "",  INDEX(RulebookTables!F2:F93, MATCH(E81,RulebookTables!A2:A93, 0))), "")</f>
        <v>knowledge</v>
      </c>
      <c r="S81" s="3" t="s">
        <v>1918</v>
      </c>
    </row>
    <row r="82">
      <c r="A82" s="3" t="s">
        <v>14185</v>
      </c>
      <c r="B82" s="4" t="str">
        <f>_xlfn.CONCAT(D82, " / ", E82)</f>
        <v>effortless-postgres / Vocabularies</v>
      </c>
      <c r="C82" s="3" t="s">
        <v>14074</v>
      </c>
      <c r="D82" s="3" t="s">
        <v>14022</v>
      </c>
      <c r="E82" s="3" t="s">
        <v>1893</v>
      </c>
      <c r="F82" s="3">
        <v>2</v>
      </c>
      <c r="G82" s="3">
        <v>4</v>
      </c>
      <c r="H82" s="3">
        <v>8</v>
      </c>
      <c r="I82" s="3">
        <v>8</v>
      </c>
      <c r="J82" s="3" t="b">
        <v>0</v>
      </c>
      <c r="K82" s="4">
        <f>H82 - I82</f>
        <v>0</v>
      </c>
      <c r="L82" s="4">
        <f>IF(((H82 = 0)=TRUE),  0,  ROUND(100 * I82 / H82, 2))</f>
        <v>100</v>
      </c>
      <c r="M82" s="4" t="b">
        <f>K82 = 0</f>
        <v>1</v>
      </c>
      <c r="N82" s="4" t="str">
        <f>IF(((M82)=TRUE),  "",  D82)</f>
      </c>
      <c r="O82" s="4" t="str">
        <f>IF(((M82)=TRUE),  "",  E82)</f>
      </c>
      <c r="P82" s="4">
        <f>COUNTIFS(FieldDisagreements!E2:E50, A82)</f>
        <v>0</v>
      </c>
      <c r="Q82" s="4" t="str">
        <f>_xlfn.IFNA(IF(((INDEX(ConformanceSubstrates!C2:C9, MATCH(D82,ConformanceSubstrates!A2:A9, 0))="")=TRUE),  "",  INDEX(ConformanceSubstrates!C2:C9, MATCH(D82,ConformanceSubstrates!A2:A9, 0))), "")</f>
        <v>PostgreSQL</v>
      </c>
      <c r="R82" s="4" t="str">
        <f>_xlfn.IFNA(IF(((INDEX(RulebookTables!F2:F93, MATCH(E82,RulebookTables!A2:A93, 0))="")=TRUE),  "",  INDEX(RulebookTables!F2:F93, MATCH(E82,RulebookTables!A2:A93, 0))), "")</f>
        <v>knowledge</v>
      </c>
      <c r="S82" s="3" t="s">
        <v>1918</v>
      </c>
    </row>
    <row r="83">
      <c r="A83" s="3" t="s">
        <v>14186</v>
      </c>
      <c r="B83" s="4" t="str">
        <f>_xlfn.CONCAT(D83, " / ", E83)</f>
        <v>effortless-postgres / VocabularyTerms</v>
      </c>
      <c r="C83" s="3" t="s">
        <v>14074</v>
      </c>
      <c r="D83" s="3" t="s">
        <v>14022</v>
      </c>
      <c r="E83" s="3" t="s">
        <v>1897</v>
      </c>
      <c r="F83" s="3">
        <v>12</v>
      </c>
      <c r="G83" s="3">
        <v>5</v>
      </c>
      <c r="H83" s="3">
        <v>60</v>
      </c>
      <c r="I83" s="3">
        <v>60</v>
      </c>
      <c r="J83" s="3" t="b">
        <v>0</v>
      </c>
      <c r="K83" s="4">
        <f>H83 - I83</f>
        <v>0</v>
      </c>
      <c r="L83" s="4">
        <f>IF(((H83 = 0)=TRUE),  0,  ROUND(100 * I83 / H83, 2))</f>
        <v>100</v>
      </c>
      <c r="M83" s="4" t="b">
        <f>K83 = 0</f>
        <v>1</v>
      </c>
      <c r="N83" s="4" t="str">
        <f>IF(((M83)=TRUE),  "",  D83)</f>
      </c>
      <c r="O83" s="4" t="str">
        <f>IF(((M83)=TRUE),  "",  E83)</f>
      </c>
      <c r="P83" s="4">
        <f>COUNTIFS(FieldDisagreements!E2:E50, A83)</f>
        <v>0</v>
      </c>
      <c r="Q83" s="4" t="str">
        <f>_xlfn.IFNA(IF(((INDEX(ConformanceSubstrates!C2:C9, MATCH(D83,ConformanceSubstrates!A2:A9, 0))="")=TRUE),  "",  INDEX(ConformanceSubstrates!C2:C9, MATCH(D83,ConformanceSubstrates!A2:A9, 0))), "")</f>
        <v>PostgreSQL</v>
      </c>
      <c r="R83" s="4" t="str">
        <f>_xlfn.IFNA(IF(((INDEX(RulebookTables!F2:F93, MATCH(E83,RulebookTables!A2:A93, 0))="")=TRUE),  "",  INDEX(RulebookTables!F2:F93, MATCH(E83,RulebookTables!A2:A93, 0))), "")</f>
        <v>knowledge</v>
      </c>
      <c r="S83" s="3" t="s">
        <v>1918</v>
      </c>
    </row>
    <row r="84">
      <c r="A84" s="3" t="s">
        <v>14187</v>
      </c>
      <c r="B84" s="4" t="str">
        <f>_xlfn.CONCAT(D84, " / ", E84)</f>
        <v>effortless-postgres / KnowledgeBrokerLinks</v>
      </c>
      <c r="C84" s="3" t="s">
        <v>14074</v>
      </c>
      <c r="D84" s="3" t="s">
        <v>14022</v>
      </c>
      <c r="E84" s="3" t="s">
        <v>1901</v>
      </c>
      <c r="F84" s="3">
        <v>5</v>
      </c>
      <c r="G84" s="3">
        <v>8</v>
      </c>
      <c r="H84" s="3">
        <v>40</v>
      </c>
      <c r="I84" s="3">
        <v>40</v>
      </c>
      <c r="J84" s="3" t="b">
        <v>0</v>
      </c>
      <c r="K84" s="4">
        <f>H84 - I84</f>
        <v>0</v>
      </c>
      <c r="L84" s="4">
        <f>IF(((H84 = 0)=TRUE),  0,  ROUND(100 * I84 / H84, 2))</f>
        <v>100</v>
      </c>
      <c r="M84" s="4" t="b">
        <f>K84 = 0</f>
        <v>1</v>
      </c>
      <c r="N84" s="4" t="str">
        <f>IF(((M84)=TRUE),  "",  D84)</f>
      </c>
      <c r="O84" s="4" t="str">
        <f>IF(((M84)=TRUE),  "",  E84)</f>
      </c>
      <c r="P84" s="4">
        <f>COUNTIFS(FieldDisagreements!E2:E50, A84)</f>
        <v>0</v>
      </c>
      <c r="Q84" s="4" t="str">
        <f>_xlfn.IFNA(IF(((INDEX(ConformanceSubstrates!C2:C9, MATCH(D84,ConformanceSubstrates!A2:A9, 0))="")=TRUE),  "",  INDEX(ConformanceSubstrates!C2:C9, MATCH(D84,ConformanceSubstrates!A2:A9, 0))), "")</f>
        <v>PostgreSQL</v>
      </c>
      <c r="R84" s="4" t="str">
        <f>_xlfn.IFNA(IF(((INDEX(RulebookTables!F2:F93, MATCH(E84,RulebookTables!A2:A93, 0))="")=TRUE),  "",  INDEX(RulebookTables!F2:F93, MATCH(E84,RulebookTables!A2:A93, 0))), "")</f>
        <v>knowledge</v>
      </c>
      <c r="S84" s="3" t="s">
        <v>1918</v>
      </c>
    </row>
    <row r="85">
      <c r="A85" s="3" t="s">
        <v>14188</v>
      </c>
      <c r="B85" s="4" t="str">
        <f>_xlfn.CONCAT(D85, " / ", E85)</f>
        <v>effortless-postgres / ConformanceSubstrates</v>
      </c>
      <c r="C85" s="3" t="s">
        <v>14074</v>
      </c>
      <c r="D85" s="3" t="s">
        <v>14022</v>
      </c>
      <c r="E85" s="3" t="s">
        <v>1905</v>
      </c>
      <c r="F85" s="3">
        <v>8</v>
      </c>
      <c r="G85" s="3">
        <v>11</v>
      </c>
      <c r="H85" s="3">
        <v>88</v>
      </c>
      <c r="I85" s="3">
        <v>88</v>
      </c>
      <c r="J85" s="3" t="b">
        <v>0</v>
      </c>
      <c r="K85" s="4">
        <f>H85 - I85</f>
        <v>0</v>
      </c>
      <c r="L85" s="4">
        <f>IF(((H85 = 0)=TRUE),  0,  ROUND(100 * I85 / H85, 2))</f>
        <v>100</v>
      </c>
      <c r="M85" s="4" t="b">
        <f>K85 = 0</f>
        <v>1</v>
      </c>
      <c r="N85" s="4" t="str">
        <f>IF(((M85)=TRUE),  "",  D85)</f>
      </c>
      <c r="O85" s="4" t="str">
        <f>IF(((M85)=TRUE),  "",  E85)</f>
      </c>
      <c r="P85" s="4">
        <f>COUNTIFS(FieldDisagreements!E2:E50, A85)</f>
        <v>0</v>
      </c>
      <c r="Q85" s="4" t="str">
        <f>_xlfn.IFNA(IF(((INDEX(ConformanceSubstrates!C2:C9, MATCH(D85,ConformanceSubstrates!A2:A9, 0))="")=TRUE),  "",  INDEX(ConformanceSubstrates!C2:C9, MATCH(D85,ConformanceSubstrates!A2:A9, 0))), "")</f>
        <v>PostgreSQL</v>
      </c>
      <c r="R85" s="4" t="str">
        <f>_xlfn.IFNA(IF(((INDEX(RulebookTables!F2:F93, MATCH(E85,RulebookTables!A2:A93, 0))="")=TRUE),  "",  INDEX(RulebookTables!F2:F93, MATCH(E85,RulebookTables!A2:A93, 0))), "")</f>
        <v>meta</v>
      </c>
      <c r="S85" s="3" t="s">
        <v>1918</v>
      </c>
    </row>
    <row r="86">
      <c r="A86" s="3" t="s">
        <v>14189</v>
      </c>
      <c r="B86" s="4" t="str">
        <f>_xlfn.CONCAT(D86, " / ", E86)</f>
        <v>effortless-postgres / ConformanceRuns</v>
      </c>
      <c r="C86" s="3" t="s">
        <v>14074</v>
      </c>
      <c r="D86" s="3" t="s">
        <v>14022</v>
      </c>
      <c r="E86" s="3" t="s">
        <v>1909</v>
      </c>
      <c r="F86" s="3">
        <v>3</v>
      </c>
      <c r="G86" s="3">
        <v>9</v>
      </c>
      <c r="H86" s="3">
        <v>27</v>
      </c>
      <c r="I86" s="3">
        <v>27</v>
      </c>
      <c r="J86" s="3" t="b">
        <v>0</v>
      </c>
      <c r="K86" s="4">
        <f>H86 - I86</f>
        <v>0</v>
      </c>
      <c r="L86" s="4">
        <f>IF(((H86 = 0)=TRUE),  0,  ROUND(100 * I86 / H86, 2))</f>
        <v>100</v>
      </c>
      <c r="M86" s="4" t="b">
        <f>K86 = 0</f>
        <v>1</v>
      </c>
      <c r="N86" s="4" t="str">
        <f>IF(((M86)=TRUE),  "",  D86)</f>
      </c>
      <c r="O86" s="4" t="str">
        <f>IF(((M86)=TRUE),  "",  E86)</f>
      </c>
      <c r="P86" s="4">
        <f>COUNTIFS(FieldDisagreements!E2:E50, A86)</f>
        <v>0</v>
      </c>
      <c r="Q86" s="4" t="str">
        <f>_xlfn.IFNA(IF(((INDEX(ConformanceSubstrates!C2:C9, MATCH(D86,ConformanceSubstrates!A2:A9, 0))="")=TRUE),  "",  INDEX(ConformanceSubstrates!C2:C9, MATCH(D86,ConformanceSubstrates!A2:A9, 0))), "")</f>
        <v>PostgreSQL</v>
      </c>
      <c r="R86" s="4" t="str">
        <f>_xlfn.IFNA(IF(((INDEX(RulebookTables!F2:F93, MATCH(E86,RulebookTables!A2:A93, 0))="")=TRUE),  "",  INDEX(RulebookTables!F2:F93, MATCH(E86,RulebookTables!A2:A93, 0))), "")</f>
        <v>meta</v>
      </c>
      <c r="S86" s="3" t="s">
        <v>1918</v>
      </c>
    </row>
    <row r="87">
      <c r="A87" s="3" t="s">
        <v>14190</v>
      </c>
      <c r="B87" s="4" t="str">
        <f>_xlfn.CONCAT(D87, " / ", E87)</f>
        <v>effortless-postgres / SubstrateRunScores</v>
      </c>
      <c r="C87" s="3" t="s">
        <v>14074</v>
      </c>
      <c r="D87" s="3" t="s">
        <v>14022</v>
      </c>
      <c r="E87" s="3" t="s">
        <v>1913</v>
      </c>
      <c r="F87" s="3">
        <v>21</v>
      </c>
      <c r="G87" s="3">
        <v>13</v>
      </c>
      <c r="H87" s="3">
        <v>273</v>
      </c>
      <c r="I87" s="3">
        <v>273</v>
      </c>
      <c r="J87" s="3" t="b">
        <v>0</v>
      </c>
      <c r="K87" s="4">
        <f>H87 - I87</f>
        <v>0</v>
      </c>
      <c r="L87" s="4">
        <f>IF(((H87 = 0)=TRUE),  0,  ROUND(100 * I87 / H87, 2))</f>
        <v>100</v>
      </c>
      <c r="M87" s="4" t="b">
        <f>K87 = 0</f>
        <v>1</v>
      </c>
      <c r="N87" s="4" t="str">
        <f>IF(((M87)=TRUE),  "",  D87)</f>
      </c>
      <c r="O87" s="4" t="str">
        <f>IF(((M87)=TRUE),  "",  E87)</f>
      </c>
      <c r="P87" s="4">
        <f>COUNTIFS(FieldDisagreements!E2:E50, A87)</f>
        <v>0</v>
      </c>
      <c r="Q87" s="4" t="str">
        <f>_xlfn.IFNA(IF(((INDEX(ConformanceSubstrates!C2:C9, MATCH(D87,ConformanceSubstrates!A2:A9, 0))="")=TRUE),  "",  INDEX(ConformanceSubstrates!C2:C9, MATCH(D87,ConformanceSubstrates!A2:A9, 0))), "")</f>
        <v>PostgreSQL</v>
      </c>
      <c r="R87" s="4" t="str">
        <f>_xlfn.IFNA(IF(((INDEX(RulebookTables!F2:F93, MATCH(E87,RulebookTables!A2:A93, 0))="")=TRUE),  "",  INDEX(RulebookTables!F2:F93, MATCH(E87,RulebookTables!A2:A93, 0))), "")</f>
        <v>meta</v>
      </c>
      <c r="S87" s="3" t="s">
        <v>1918</v>
      </c>
    </row>
    <row r="88">
      <c r="A88" s="3" t="s">
        <v>14191</v>
      </c>
      <c r="B88" s="4" t="str">
        <f>_xlfn.CONCAT(D88, " / ", E88)</f>
        <v>effortless-postgres / TableConformance</v>
      </c>
      <c r="C88" s="3" t="s">
        <v>14074</v>
      </c>
      <c r="D88" s="3" t="s">
        <v>14022</v>
      </c>
      <c r="E88" s="3" t="s">
        <v>1917</v>
      </c>
      <c r="F88" s="3">
        <v>623</v>
      </c>
      <c r="G88" s="3">
        <v>9</v>
      </c>
      <c r="H88" s="3">
        <v>5607</v>
      </c>
      <c r="I88" s="3">
        <v>5607</v>
      </c>
      <c r="J88" s="3" t="b">
        <v>0</v>
      </c>
      <c r="K88" s="4">
        <f>H88 - I88</f>
        <v>0</v>
      </c>
      <c r="L88" s="4">
        <f>IF(((H88 = 0)=TRUE),  0,  ROUND(100 * I88 / H88, 2))</f>
        <v>100</v>
      </c>
      <c r="M88" s="4" t="b">
        <f>K88 = 0</f>
        <v>1</v>
      </c>
      <c r="N88" s="4" t="str">
        <f>IF(((M88)=TRUE),  "",  D88)</f>
      </c>
      <c r="O88" s="4" t="str">
        <f>IF(((M88)=TRUE),  "",  E88)</f>
      </c>
      <c r="P88" s="4">
        <f>COUNTIFS(FieldDisagreements!E2:E50, A88)</f>
        <v>0</v>
      </c>
      <c r="Q88" s="4" t="str">
        <f>_xlfn.IFNA(IF(((INDEX(ConformanceSubstrates!C2:C9, MATCH(D88,ConformanceSubstrates!A2:A9, 0))="")=TRUE),  "",  INDEX(ConformanceSubstrates!C2:C9, MATCH(D88,ConformanceSubstrates!A2:A9, 0))), "")</f>
        <v>PostgreSQL</v>
      </c>
      <c r="R88" s="4" t="str">
        <f>_xlfn.IFNA(IF(((INDEX(RulebookTables!F2:F93, MATCH(E88,RulebookTables!A2:A93, 0))="")=TRUE),  "",  INDEX(RulebookTables!F2:F93, MATCH(E88,RulebookTables!A2:A93, 0))), "")</f>
        <v>meta</v>
      </c>
      <c r="S88" s="3" t="s">
        <v>1918</v>
      </c>
    </row>
    <row r="89">
      <c r="A89" s="3" t="s">
        <v>14192</v>
      </c>
      <c r="B89" s="4" t="str">
        <f>_xlfn.CONCAT(D89, " / ", E89)</f>
        <v>effortless-postgres / FieldDisagreements</v>
      </c>
      <c r="C89" s="3" t="s">
        <v>14074</v>
      </c>
      <c r="D89" s="3" t="s">
        <v>14022</v>
      </c>
      <c r="E89" s="3" t="s">
        <v>1921</v>
      </c>
      <c r="F89" s="3">
        <v>49</v>
      </c>
      <c r="G89" s="3">
        <v>5</v>
      </c>
      <c r="H89" s="3">
        <v>245</v>
      </c>
      <c r="I89" s="3">
        <v>245</v>
      </c>
      <c r="J89" s="3" t="b">
        <v>0</v>
      </c>
      <c r="K89" s="4">
        <f>H89 - I89</f>
        <v>0</v>
      </c>
      <c r="L89" s="4">
        <f>IF(((H89 = 0)=TRUE),  0,  ROUND(100 * I89 / H89, 2))</f>
        <v>100</v>
      </c>
      <c r="M89" s="4" t="b">
        <f>K89 = 0</f>
        <v>1</v>
      </c>
      <c r="N89" s="4" t="str">
        <f>IF(((M89)=TRUE),  "",  D89)</f>
      </c>
      <c r="O89" s="4" t="str">
        <f>IF(((M89)=TRUE),  "",  E89)</f>
      </c>
      <c r="P89" s="4">
        <f>COUNTIFS(FieldDisagreements!E2:E50, A89)</f>
        <v>0</v>
      </c>
      <c r="Q89" s="4" t="str">
        <f>_xlfn.IFNA(IF(((INDEX(ConformanceSubstrates!C2:C9, MATCH(D89,ConformanceSubstrates!A2:A9, 0))="")=TRUE),  "",  INDEX(ConformanceSubstrates!C2:C9, MATCH(D89,ConformanceSubstrates!A2:A9, 0))), "")</f>
        <v>PostgreSQL</v>
      </c>
      <c r="R89" s="4" t="str">
        <f>_xlfn.IFNA(IF(((INDEX(RulebookTables!F2:F93, MATCH(E89,RulebookTables!A2:A93, 0))="")=TRUE),  "",  INDEX(RulebookTables!F2:F93, MATCH(E89,RulebookTables!A2:A93, 0))), "")</f>
        <v>meta</v>
      </c>
      <c r="S89" s="3" t="s">
        <v>1918</v>
      </c>
    </row>
    <row r="90">
      <c r="A90" s="3" t="s">
        <v>14193</v>
      </c>
      <c r="B90" s="4" t="str">
        <f>_xlfn.CONCAT(D90, " / ", E90)</f>
        <v>effortless-postgres / CellDisagreements</v>
      </c>
      <c r="C90" s="3" t="s">
        <v>14074</v>
      </c>
      <c r="D90" s="3" t="s">
        <v>14022</v>
      </c>
      <c r="E90" s="3" t="s">
        <v>1925</v>
      </c>
      <c r="F90" s="3">
        <v>316</v>
      </c>
      <c r="G90" s="3">
        <v>3</v>
      </c>
      <c r="H90" s="3">
        <v>948</v>
      </c>
      <c r="I90" s="3">
        <v>948</v>
      </c>
      <c r="J90" s="3" t="b">
        <v>0</v>
      </c>
      <c r="K90" s="4">
        <f>H90 - I90</f>
        <v>0</v>
      </c>
      <c r="L90" s="4">
        <f>IF(((H90 = 0)=TRUE),  0,  ROUND(100 * I90 / H90, 2))</f>
        <v>100</v>
      </c>
      <c r="M90" s="4" t="b">
        <f>K90 = 0</f>
        <v>1</v>
      </c>
      <c r="N90" s="4" t="str">
        <f>IF(((M90)=TRUE),  "",  D90)</f>
      </c>
      <c r="O90" s="4" t="str">
        <f>IF(((M90)=TRUE),  "",  E90)</f>
      </c>
      <c r="P90" s="4">
        <f>COUNTIFS(FieldDisagreements!E2:E50, A90)</f>
        <v>0</v>
      </c>
      <c r="Q90" s="4" t="str">
        <f>_xlfn.IFNA(IF(((INDEX(ConformanceSubstrates!C2:C9, MATCH(D90,ConformanceSubstrates!A2:A9, 0))="")=TRUE),  "",  INDEX(ConformanceSubstrates!C2:C9, MATCH(D90,ConformanceSubstrates!A2:A9, 0))), "")</f>
        <v>PostgreSQL</v>
      </c>
      <c r="R90" s="4" t="str">
        <f>_xlfn.IFNA(IF(((INDEX(RulebookTables!F2:F93, MATCH(E90,RulebookTables!A2:A93, 0))="")=TRUE),  "",  INDEX(RulebookTables!F2:F93, MATCH(E90,RulebookTables!A2:A93, 0))), "")</f>
        <v>meta</v>
      </c>
      <c r="S90" s="3" t="s">
        <v>1918</v>
      </c>
    </row>
    <row r="91">
      <c r="A91" s="3" t="s">
        <v>14194</v>
      </c>
      <c r="B91" s="4" t="str">
        <f>_xlfn.CONCAT(D91, " / ", E91)</f>
        <v>effortless-xlsx / RulebookReleases</v>
      </c>
      <c r="C91" s="3" t="s">
        <v>14074</v>
      </c>
      <c r="D91" s="3" t="s">
        <v>14053</v>
      </c>
      <c r="E91" s="3" t="s">
        <v>2415</v>
      </c>
      <c r="F91" s="3">
        <v>1</v>
      </c>
      <c r="G91" s="3">
        <v>1</v>
      </c>
      <c r="H91" s="3">
        <v>1</v>
      </c>
      <c r="I91" s="3">
        <v>1</v>
      </c>
      <c r="J91" s="3" t="b">
        <v>0</v>
      </c>
      <c r="K91" s="4">
        <f>H91 - I91</f>
        <v>0</v>
      </c>
      <c r="L91" s="4">
        <f>IF(((H91 = 0)=TRUE),  0,  ROUND(100 * I91 / H91, 2))</f>
        <v>100</v>
      </c>
      <c r="M91" s="4" t="b">
        <f>K91 = 0</f>
        <v>1</v>
      </c>
      <c r="N91" s="4" t="str">
        <f>IF(((M91)=TRUE),  "",  D91)</f>
      </c>
      <c r="O91" s="4" t="str">
        <f>IF(((M91)=TRUE),  "",  E91)</f>
      </c>
      <c r="P91" s="4">
        <f>COUNTIFS(FieldDisagreements!E2:E50, A91)</f>
        <v>0</v>
      </c>
      <c r="Q91" s="4" t="str">
        <f>_xlfn.IFNA(IF(((INDEX(ConformanceSubstrates!C2:C9, MATCH(D91,ConformanceSubstrates!A2:A9, 0))="")=TRUE),  "",  INDEX(ConformanceSubstrates!C2:C9, MATCH(D91,ConformanceSubstrates!A2:A9, 0))), "")</f>
        <v>Excel</v>
      </c>
      <c r="R91" s="4" t="str">
        <f>_xlfn.IFNA(IF(((INDEX(RulebookTables!F2:F93, MATCH(E91,RulebookTables!A2:A93, 0))="")=TRUE),  "",  INDEX(RulebookTables!F2:F93, MATCH(E91,RulebookTables!A2:A93, 0))), "")</f>
        <v>meta</v>
      </c>
      <c r="S91" s="3" t="s">
        <v>1918</v>
      </c>
    </row>
    <row r="92">
      <c r="A92" s="3" t="s">
        <v>14195</v>
      </c>
      <c r="B92" s="4" t="str">
        <f>_xlfn.CONCAT(D92, " / ", E92)</f>
        <v>effortless-xlsx / OntologyProfiles</v>
      </c>
      <c r="C92" s="3" t="s">
        <v>14074</v>
      </c>
      <c r="D92" s="3" t="s">
        <v>14053</v>
      </c>
      <c r="E92" s="3" t="s">
        <v>2434</v>
      </c>
      <c r="F92" s="3">
        <v>11</v>
      </c>
      <c r="G92" s="3">
        <v>1</v>
      </c>
      <c r="H92" s="3">
        <v>11</v>
      </c>
      <c r="I92" s="3">
        <v>11</v>
      </c>
      <c r="J92" s="3" t="b">
        <v>0</v>
      </c>
      <c r="K92" s="4">
        <f>H92 - I92</f>
        <v>0</v>
      </c>
      <c r="L92" s="4">
        <f>IF(((H92 = 0)=TRUE),  0,  ROUND(100 * I92 / H92, 2))</f>
        <v>100</v>
      </c>
      <c r="M92" s="4" t="b">
        <f>K92 = 0</f>
        <v>1</v>
      </c>
      <c r="N92" s="4" t="str">
        <f>IF(((M92)=TRUE),  "",  D92)</f>
      </c>
      <c r="O92" s="4" t="str">
        <f>IF(((M92)=TRUE),  "",  E92)</f>
      </c>
      <c r="P92" s="4">
        <f>COUNTIFS(FieldDisagreements!E2:E50, A92)</f>
        <v>0</v>
      </c>
      <c r="Q92" s="4" t="str">
        <f>_xlfn.IFNA(IF(((INDEX(ConformanceSubstrates!C2:C9, MATCH(D92,ConformanceSubstrates!A2:A9, 0))="")=TRUE),  "",  INDEX(ConformanceSubstrates!C2:C9, MATCH(D92,ConformanceSubstrates!A2:A9, 0))), "")</f>
        <v>Excel</v>
      </c>
      <c r="R92" s="4" t="str">
        <f>_xlfn.IFNA(IF(((INDEX(RulebookTables!F2:F93, MATCH(E92,RulebookTables!A2:A93, 0))="")=TRUE),  "",  INDEX(RulebookTables!F2:F93, MATCH(E92,RulebookTables!A2:A93, 0))), "")</f>
        <v>domain</v>
      </c>
      <c r="S92" s="3" t="s">
        <v>1918</v>
      </c>
    </row>
    <row r="93">
      <c r="A93" s="3" t="s">
        <v>14196</v>
      </c>
      <c r="B93" s="4" t="str">
        <f>_xlfn.CONCAT(D93, " / ", E93)</f>
        <v>effortless-xlsx / EvaluationContexts</v>
      </c>
      <c r="C93" s="3" t="s">
        <v>14074</v>
      </c>
      <c r="D93" s="3" t="s">
        <v>14053</v>
      </c>
      <c r="E93" s="3" t="s">
        <v>2444</v>
      </c>
      <c r="F93" s="3">
        <v>1</v>
      </c>
      <c r="G93" s="3">
        <v>1</v>
      </c>
      <c r="H93" s="3">
        <v>1</v>
      </c>
      <c r="I93" s="3">
        <v>1</v>
      </c>
      <c r="J93" s="3" t="b">
        <v>0</v>
      </c>
      <c r="K93" s="4">
        <f>H93 - I93</f>
        <v>0</v>
      </c>
      <c r="L93" s="4">
        <f>IF(((H93 = 0)=TRUE),  0,  ROUND(100 * I93 / H93, 2))</f>
        <v>100</v>
      </c>
      <c r="M93" s="4" t="b">
        <f>K93 = 0</f>
        <v>1</v>
      </c>
      <c r="N93" s="4" t="str">
        <f>IF(((M93)=TRUE),  "",  D93)</f>
      </c>
      <c r="O93" s="4" t="str">
        <f>IF(((M93)=TRUE),  "",  E93)</f>
      </c>
      <c r="P93" s="4">
        <f>COUNTIFS(FieldDisagreements!E2:E50, A93)</f>
        <v>0</v>
      </c>
      <c r="Q93" s="4" t="str">
        <f>_xlfn.IFNA(IF(((INDEX(ConformanceSubstrates!C2:C9, MATCH(D93,ConformanceSubstrates!A2:A9, 0))="")=TRUE),  "",  INDEX(ConformanceSubstrates!C2:C9, MATCH(D93,ConformanceSubstrates!A2:A9, 0))), "")</f>
        <v>Excel</v>
      </c>
      <c r="R93" s="4" t="str">
        <f>_xlfn.IFNA(IF(((INDEX(RulebookTables!F2:F93, MATCH(E93,RulebookTables!A2:A93, 0))="")=TRUE),  "",  INDEX(RulebookTables!F2:F93, MATCH(E93,RulebookTables!A2:A93, 0))), "")</f>
        <v>meta</v>
      </c>
      <c r="S93" s="3" t="s">
        <v>1918</v>
      </c>
    </row>
    <row r="94">
      <c r="A94" s="3" t="s">
        <v>14197</v>
      </c>
      <c r="B94" s="4" t="str">
        <f>_xlfn.CONCAT(D94, " / ", E94)</f>
        <v>effortless-xlsx / Organizations</v>
      </c>
      <c r="C94" s="3" t="s">
        <v>14074</v>
      </c>
      <c r="D94" s="3" t="s">
        <v>14053</v>
      </c>
      <c r="E94" s="3" t="s">
        <v>2453</v>
      </c>
      <c r="F94" s="3">
        <v>4</v>
      </c>
      <c r="G94" s="3">
        <v>1</v>
      </c>
      <c r="H94" s="3">
        <v>4</v>
      </c>
      <c r="I94" s="3">
        <v>4</v>
      </c>
      <c r="J94" s="3" t="b">
        <v>0</v>
      </c>
      <c r="K94" s="4">
        <f>H94 - I94</f>
        <v>0</v>
      </c>
      <c r="L94" s="4">
        <f>IF(((H94 = 0)=TRUE),  0,  ROUND(100 * I94 / H94, 2))</f>
        <v>100</v>
      </c>
      <c r="M94" s="4" t="b">
        <f>K94 = 0</f>
        <v>1</v>
      </c>
      <c r="N94" s="4" t="str">
        <f>IF(((M94)=TRUE),  "",  D94)</f>
      </c>
      <c r="O94" s="4" t="str">
        <f>IF(((M94)=TRUE),  "",  E94)</f>
      </c>
      <c r="P94" s="4">
        <f>COUNTIFS(FieldDisagreements!E2:E50, A94)</f>
        <v>0</v>
      </c>
      <c r="Q94" s="4" t="str">
        <f>_xlfn.IFNA(IF(((INDEX(ConformanceSubstrates!C2:C9, MATCH(D94,ConformanceSubstrates!A2:A9, 0))="")=TRUE),  "",  INDEX(ConformanceSubstrates!C2:C9, MATCH(D94,ConformanceSubstrates!A2:A9, 0))), "")</f>
        <v>Excel</v>
      </c>
      <c r="R94" s="4" t="str">
        <f>_xlfn.IFNA(IF(((INDEX(RulebookTables!F2:F93, MATCH(E94,RulebookTables!A2:A93, 0))="")=TRUE),  "",  INDEX(RulebookTables!F2:F93, MATCH(E94,RulebookTables!A2:A93, 0))), "")</f>
        <v>org</v>
      </c>
      <c r="S94" s="3" t="s">
        <v>1918</v>
      </c>
    </row>
    <row r="95">
      <c r="A95" s="3" t="s">
        <v>14198</v>
      </c>
      <c r="B95" s="4" t="str">
        <f>_xlfn.CONCAT(D95, " / ", E95)</f>
        <v>effortless-xlsx / Agents</v>
      </c>
      <c r="C95" s="3" t="s">
        <v>14074</v>
      </c>
      <c r="D95" s="3" t="s">
        <v>14053</v>
      </c>
      <c r="E95" s="3" t="s">
        <v>1814</v>
      </c>
      <c r="F95" s="3">
        <v>11</v>
      </c>
      <c r="G95" s="3">
        <v>16</v>
      </c>
      <c r="H95" s="3">
        <v>176</v>
      </c>
      <c r="I95" s="3">
        <v>176</v>
      </c>
      <c r="J95" s="3" t="b">
        <v>0</v>
      </c>
      <c r="K95" s="4">
        <f>H95 - I95</f>
        <v>0</v>
      </c>
      <c r="L95" s="4">
        <f>IF(((H95 = 0)=TRUE),  0,  ROUND(100 * I95 / H95, 2))</f>
        <v>100</v>
      </c>
      <c r="M95" s="4" t="b">
        <f>K95 = 0</f>
        <v>1</v>
      </c>
      <c r="N95" s="4" t="str">
        <f>IF(((M95)=TRUE),  "",  D95)</f>
      </c>
      <c r="O95" s="4" t="str">
        <f>IF(((M95)=TRUE),  "",  E95)</f>
      </c>
      <c r="P95" s="4">
        <f>COUNTIFS(FieldDisagreements!E2:E50, A95)</f>
        <v>0</v>
      </c>
      <c r="Q95" s="4" t="str">
        <f>_xlfn.IFNA(IF(((INDEX(ConformanceSubstrates!C2:C9, MATCH(D95,ConformanceSubstrates!A2:A9, 0))="")=TRUE),  "",  INDEX(ConformanceSubstrates!C2:C9, MATCH(D95,ConformanceSubstrates!A2:A9, 0))), "")</f>
        <v>Excel</v>
      </c>
      <c r="R95" s="4" t="str">
        <f>_xlfn.IFNA(IF(((INDEX(RulebookTables!F2:F93, MATCH(E95,RulebookTables!A2:A93, 0))="")=TRUE),  "",  INDEX(RulebookTables!F2:F93, MATCH(E95,RulebookTables!A2:A93, 0))), "")</f>
        <v>org</v>
      </c>
      <c r="S95" s="3" t="s">
        <v>1918</v>
      </c>
    </row>
    <row r="96">
      <c r="A96" s="3" t="s">
        <v>14199</v>
      </c>
      <c r="B96" s="4" t="str">
        <f>_xlfn.CONCAT(D96, " / ", E96)</f>
        <v>effortless-xlsx / Roles</v>
      </c>
      <c r="C96" s="3" t="s">
        <v>14074</v>
      </c>
      <c r="D96" s="3" t="s">
        <v>14053</v>
      </c>
      <c r="E96" s="3" t="s">
        <v>1818</v>
      </c>
      <c r="F96" s="3">
        <v>12</v>
      </c>
      <c r="G96" s="3">
        <v>17</v>
      </c>
      <c r="H96" s="3">
        <v>204</v>
      </c>
      <c r="I96" s="3">
        <v>204</v>
      </c>
      <c r="J96" s="3" t="b">
        <v>0</v>
      </c>
      <c r="K96" s="4">
        <f>H96 - I96</f>
        <v>0</v>
      </c>
      <c r="L96" s="4">
        <f>IF(((H96 = 0)=TRUE),  0,  ROUND(100 * I96 / H96, 2))</f>
        <v>100</v>
      </c>
      <c r="M96" s="4" t="b">
        <f>K96 = 0</f>
        <v>1</v>
      </c>
      <c r="N96" s="4" t="str">
        <f>IF(((M96)=TRUE),  "",  D96)</f>
      </c>
      <c r="O96" s="4" t="str">
        <f>IF(((M96)=TRUE),  "",  E96)</f>
      </c>
      <c r="P96" s="4">
        <f>COUNTIFS(FieldDisagreements!E2:E50, A96)</f>
        <v>0</v>
      </c>
      <c r="Q96" s="4" t="str">
        <f>_xlfn.IFNA(IF(((INDEX(ConformanceSubstrates!C2:C9, MATCH(D96,ConformanceSubstrates!A2:A9, 0))="")=TRUE),  "",  INDEX(ConformanceSubstrates!C2:C9, MATCH(D96,ConformanceSubstrates!A2:A9, 0))), "")</f>
        <v>Excel</v>
      </c>
      <c r="R96" s="4" t="str">
        <f>_xlfn.IFNA(IF(((INDEX(RulebookTables!F2:F93, MATCH(E96,RulebookTables!A2:A93, 0))="")=TRUE),  "",  INDEX(RulebookTables!F2:F93, MATCH(E96,RulebookTables!A2:A93, 0))), "")</f>
        <v>org</v>
      </c>
      <c r="S96" s="3" t="s">
        <v>1918</v>
      </c>
    </row>
    <row r="97">
      <c r="A97" s="3" t="s">
        <v>14200</v>
      </c>
      <c r="B97" s="4" t="str">
        <f>_xlfn.CONCAT(D97, " / ", E97)</f>
        <v>effortless-xlsx / RoleAssignments</v>
      </c>
      <c r="C97" s="3" t="s">
        <v>14074</v>
      </c>
      <c r="D97" s="3" t="s">
        <v>14053</v>
      </c>
      <c r="E97" s="3" t="s">
        <v>1821</v>
      </c>
      <c r="F97" s="3">
        <v>13</v>
      </c>
      <c r="G97" s="3">
        <v>47</v>
      </c>
      <c r="H97" s="3">
        <v>611</v>
      </c>
      <c r="I97" s="3">
        <v>608</v>
      </c>
      <c r="J97" s="3" t="b">
        <v>0</v>
      </c>
      <c r="K97" s="4">
        <f>H97 - I97</f>
        <v>3</v>
      </c>
      <c r="L97" s="4">
        <f>IF(((H97 = 0)=TRUE),  0,  ROUND(100 * I97 / H97, 2))</f>
        <v>99.51</v>
      </c>
      <c r="M97" s="4" t="b">
        <f>K97 = 0</f>
        <v>0</v>
      </c>
      <c r="N97" s="4" t="str">
        <f>IF(((M97)=TRUE),  "",  D97)</f>
        <v>effortless-xlsx</v>
      </c>
      <c r="O97" s="4" t="str">
        <f>IF(((M97)=TRUE),  "",  E97)</f>
        <v>RoleAssignments</v>
      </c>
      <c r="P97" s="4">
        <f>COUNTIFS(FieldDisagreements!E2:E50, A97)</f>
        <v>3</v>
      </c>
      <c r="Q97" s="4" t="str">
        <f>_xlfn.IFNA(IF(((INDEX(ConformanceSubstrates!C2:C9, MATCH(D97,ConformanceSubstrates!A2:A9, 0))="")=TRUE),  "",  INDEX(ConformanceSubstrates!C2:C9, MATCH(D97,ConformanceSubstrates!A2:A9, 0))), "")</f>
        <v>Excel</v>
      </c>
      <c r="R97" s="4" t="str">
        <f>_xlfn.IFNA(IF(((INDEX(RulebookTables!F2:F93, MATCH(E97,RulebookTables!A2:A93, 0))="")=TRUE),  "",  INDEX(RulebookTables!F2:F93, MATCH(E97,RulebookTables!A2:A93, 0))), "")</f>
        <v>org</v>
      </c>
      <c r="S97" s="3" t="s">
        <v>1918</v>
      </c>
    </row>
    <row r="98">
      <c r="A98" s="3" t="s">
        <v>14201</v>
      </c>
      <c r="B98" s="4" t="str">
        <f>_xlfn.CONCAT(D98, " / ", E98)</f>
        <v>effortless-xlsx / CommunitiesOfPractice</v>
      </c>
      <c r="C98" s="3" t="s">
        <v>14074</v>
      </c>
      <c r="D98" s="3" t="s">
        <v>14053</v>
      </c>
      <c r="E98" s="3" t="s">
        <v>2655</v>
      </c>
      <c r="F98" s="3">
        <v>2</v>
      </c>
      <c r="G98" s="3">
        <v>1</v>
      </c>
      <c r="H98" s="3">
        <v>2</v>
      </c>
      <c r="I98" s="3">
        <v>2</v>
      </c>
      <c r="J98" s="3" t="b">
        <v>0</v>
      </c>
      <c r="K98" s="4">
        <f>H98 - I98</f>
        <v>0</v>
      </c>
      <c r="L98" s="4">
        <f>IF(((H98 = 0)=TRUE),  0,  ROUND(100 * I98 / H98, 2))</f>
        <v>100</v>
      </c>
      <c r="M98" s="4" t="b">
        <f>K98 = 0</f>
        <v>1</v>
      </c>
      <c r="N98" s="4" t="str">
        <f>IF(((M98)=TRUE),  "",  D98)</f>
      </c>
      <c r="O98" s="4" t="str">
        <f>IF(((M98)=TRUE),  "",  E98)</f>
      </c>
      <c r="P98" s="4">
        <f>COUNTIFS(FieldDisagreements!E2:E50, A98)</f>
        <v>0</v>
      </c>
      <c r="Q98" s="4" t="str">
        <f>_xlfn.IFNA(IF(((INDEX(ConformanceSubstrates!C2:C9, MATCH(D98,ConformanceSubstrates!A2:A9, 0))="")=TRUE),  "",  INDEX(ConformanceSubstrates!C2:C9, MATCH(D98,ConformanceSubstrates!A2:A9, 0))), "")</f>
        <v>Excel</v>
      </c>
      <c r="R98" s="4" t="str">
        <f>_xlfn.IFNA(IF(((INDEX(RulebookTables!F2:F93, MATCH(E98,RulebookTables!A2:A93, 0))="")=TRUE),  "",  INDEX(RulebookTables!F2:F93, MATCH(E98,RulebookTables!A2:A93, 0))), "")</f>
        <v>org</v>
      </c>
      <c r="S98" s="3" t="s">
        <v>1918</v>
      </c>
    </row>
    <row r="99">
      <c r="A99" s="3" t="s">
        <v>14202</v>
      </c>
      <c r="B99" s="4" t="str">
        <f>_xlfn.CONCAT(D99, " / ", E99)</f>
        <v>effortless-xlsx / Mentorships</v>
      </c>
      <c r="C99" s="3" t="s">
        <v>14074</v>
      </c>
      <c r="D99" s="3" t="s">
        <v>14053</v>
      </c>
      <c r="E99" s="3" t="s">
        <v>2664</v>
      </c>
      <c r="F99" s="3">
        <v>1</v>
      </c>
      <c r="G99" s="3">
        <v>1</v>
      </c>
      <c r="H99" s="3">
        <v>1</v>
      </c>
      <c r="I99" s="3">
        <v>1</v>
      </c>
      <c r="J99" s="3" t="b">
        <v>0</v>
      </c>
      <c r="K99" s="4">
        <f>H99 - I99</f>
        <v>0</v>
      </c>
      <c r="L99" s="4">
        <f>IF(((H99 = 0)=TRUE),  0,  ROUND(100 * I99 / H99, 2))</f>
        <v>100</v>
      </c>
      <c r="M99" s="4" t="b">
        <f>K99 = 0</f>
        <v>1</v>
      </c>
      <c r="N99" s="4" t="str">
        <f>IF(((M99)=TRUE),  "",  D99)</f>
      </c>
      <c r="O99" s="4" t="str">
        <f>IF(((M99)=TRUE),  "",  E99)</f>
      </c>
      <c r="P99" s="4">
        <f>COUNTIFS(FieldDisagreements!E2:E50, A99)</f>
        <v>0</v>
      </c>
      <c r="Q99" s="4" t="str">
        <f>_xlfn.IFNA(IF(((INDEX(ConformanceSubstrates!C2:C9, MATCH(D99,ConformanceSubstrates!A2:A9, 0))="")=TRUE),  "",  INDEX(ConformanceSubstrates!C2:C9, MATCH(D99,ConformanceSubstrates!A2:A9, 0))), "")</f>
        <v>Excel</v>
      </c>
      <c r="R99" s="4" t="str">
        <f>_xlfn.IFNA(IF(((INDEX(RulebookTables!F2:F93, MATCH(E99,RulebookTables!A2:A93, 0))="")=TRUE),  "",  INDEX(RulebookTables!F2:F93, MATCH(E99,RulebookTables!A2:A93, 0))), "")</f>
        <v>org</v>
      </c>
      <c r="S99" s="3" t="s">
        <v>1918</v>
      </c>
    </row>
    <row r="100">
      <c r="A100" s="3" t="s">
        <v>14203</v>
      </c>
      <c r="B100" s="4" t="str">
        <f>_xlfn.CONCAT(D100, " / ", E100)</f>
        <v>effortless-xlsx / ProcedureTypes</v>
      </c>
      <c r="C100" s="3" t="s">
        <v>14074</v>
      </c>
      <c r="D100" s="3" t="s">
        <v>14053</v>
      </c>
      <c r="E100" s="3" t="s">
        <v>2676</v>
      </c>
      <c r="F100" s="3">
        <v>2</v>
      </c>
      <c r="G100" s="3">
        <v>1</v>
      </c>
      <c r="H100" s="3">
        <v>2</v>
      </c>
      <c r="I100" s="3">
        <v>2</v>
      </c>
      <c r="J100" s="3" t="b">
        <v>0</v>
      </c>
      <c r="K100" s="4">
        <f>H100 - I100</f>
        <v>0</v>
      </c>
      <c r="L100" s="4">
        <f>IF(((H100 = 0)=TRUE),  0,  ROUND(100 * I100 / H100, 2))</f>
        <v>100</v>
      </c>
      <c r="M100" s="4" t="b">
        <f>K100 = 0</f>
        <v>1</v>
      </c>
      <c r="N100" s="4" t="str">
        <f>IF(((M100)=TRUE),  "",  D100)</f>
      </c>
      <c r="O100" s="4" t="str">
        <f>IF(((M100)=TRUE),  "",  E100)</f>
      </c>
      <c r="P100" s="4">
        <f>COUNTIFS(FieldDisagreements!E2:E50, A100)</f>
        <v>0</v>
      </c>
      <c r="Q100" s="4" t="str">
        <f>_xlfn.IFNA(IF(((INDEX(ConformanceSubstrates!C2:C9, MATCH(D100,ConformanceSubstrates!A2:A9, 0))="")=TRUE),  "",  INDEX(ConformanceSubstrates!C2:C9, MATCH(D100,ConformanceSubstrates!A2:A9, 0))), "")</f>
        <v>Excel</v>
      </c>
      <c r="R100" s="4" t="str">
        <f>_xlfn.IFNA(IF(((INDEX(RulebookTables!F2:F93, MATCH(E100,RulebookTables!A2:A93, 0))="")=TRUE),  "",  INDEX(RulebookTables!F2:F93, MATCH(E100,RulebookTables!A2:A93, 0))), "")</f>
        <v>specification</v>
      </c>
      <c r="S100" s="3" t="s">
        <v>1918</v>
      </c>
    </row>
    <row r="101">
      <c r="A101" s="3" t="s">
        <v>14204</v>
      </c>
      <c r="B101" s="4" t="str">
        <f>_xlfn.CONCAT(D101, " / ", E101)</f>
        <v>effortless-xlsx / Procedures</v>
      </c>
      <c r="C101" s="3" t="s">
        <v>14074</v>
      </c>
      <c r="D101" s="3" t="s">
        <v>14053</v>
      </c>
      <c r="E101" s="3" t="s">
        <v>1762</v>
      </c>
      <c r="F101" s="3">
        <v>2</v>
      </c>
      <c r="G101" s="3">
        <v>1</v>
      </c>
      <c r="H101" s="3">
        <v>2</v>
      </c>
      <c r="I101" s="3">
        <v>2</v>
      </c>
      <c r="J101" s="3" t="b">
        <v>0</v>
      </c>
      <c r="K101" s="4">
        <f>H101 - I101</f>
        <v>0</v>
      </c>
      <c r="L101" s="4">
        <f>IF(((H101 = 0)=TRUE),  0,  ROUND(100 * I101 / H101, 2))</f>
        <v>100</v>
      </c>
      <c r="M101" s="4" t="b">
        <f>K101 = 0</f>
        <v>1</v>
      </c>
      <c r="N101" s="4" t="str">
        <f>IF(((M101)=TRUE),  "",  D101)</f>
      </c>
      <c r="O101" s="4" t="str">
        <f>IF(((M101)=TRUE),  "",  E101)</f>
      </c>
      <c r="P101" s="4">
        <f>COUNTIFS(FieldDisagreements!E2:E50, A101)</f>
        <v>0</v>
      </c>
      <c r="Q101" s="4" t="str">
        <f>_xlfn.IFNA(IF(((INDEX(ConformanceSubstrates!C2:C9, MATCH(D101,ConformanceSubstrates!A2:A9, 0))="")=TRUE),  "",  INDEX(ConformanceSubstrates!C2:C9, MATCH(D101,ConformanceSubstrates!A2:A9, 0))), "")</f>
        <v>Excel</v>
      </c>
      <c r="R101" s="4" t="str">
        <f>_xlfn.IFNA(IF(((INDEX(RulebookTables!F2:F93, MATCH(E101,RulebookTables!A2:A93, 0))="")=TRUE),  "",  INDEX(RulebookTables!F2:F93, MATCH(E101,RulebookTables!A2:A93, 0))), "")</f>
        <v>specification</v>
      </c>
      <c r="S101" s="3" t="s">
        <v>1918</v>
      </c>
    </row>
    <row r="102">
      <c r="A102" s="3" t="s">
        <v>14205</v>
      </c>
      <c r="B102" s="4" t="str">
        <f>_xlfn.CONCAT(D102, " / ", E102)</f>
        <v>effortless-xlsx / ProcedureVersions</v>
      </c>
      <c r="C102" s="3" t="s">
        <v>14074</v>
      </c>
      <c r="D102" s="3" t="s">
        <v>14053</v>
      </c>
      <c r="E102" s="3" t="s">
        <v>1767</v>
      </c>
      <c r="F102" s="3">
        <v>3</v>
      </c>
      <c r="G102" s="3">
        <v>73</v>
      </c>
      <c r="H102" s="3">
        <v>219</v>
      </c>
      <c r="I102" s="3">
        <v>215</v>
      </c>
      <c r="J102" s="3" t="b">
        <v>0</v>
      </c>
      <c r="K102" s="4">
        <f>H102 - I102</f>
        <v>4</v>
      </c>
      <c r="L102" s="4">
        <f>IF(((H102 = 0)=TRUE),  0,  ROUND(100 * I102 / H102, 2))</f>
        <v>98.17</v>
      </c>
      <c r="M102" s="4" t="b">
        <f>K102 = 0</f>
        <v>0</v>
      </c>
      <c r="N102" s="4" t="str">
        <f>IF(((M102)=TRUE),  "",  D102)</f>
        <v>effortless-xlsx</v>
      </c>
      <c r="O102" s="4" t="str">
        <f>IF(((M102)=TRUE),  "",  E102)</f>
        <v>ProcedureVersions</v>
      </c>
      <c r="P102" s="4">
        <f>COUNTIFS(FieldDisagreements!E2:E50, A102)</f>
        <v>3</v>
      </c>
      <c r="Q102" s="4" t="str">
        <f>_xlfn.IFNA(IF(((INDEX(ConformanceSubstrates!C2:C9, MATCH(D102,ConformanceSubstrates!A2:A9, 0))="")=TRUE),  "",  INDEX(ConformanceSubstrates!C2:C9, MATCH(D102,ConformanceSubstrates!A2:A9, 0))), "")</f>
        <v>Excel</v>
      </c>
      <c r="R102" s="4" t="str">
        <f>_xlfn.IFNA(IF(((INDEX(RulebookTables!F2:F93, MATCH(E102,RulebookTables!A2:A93, 0))="")=TRUE),  "",  INDEX(RulebookTables!F2:F93, MATCH(E102,RulebookTables!A2:A93, 0))), "")</f>
        <v>specification</v>
      </c>
      <c r="S102" s="3" t="s">
        <v>1918</v>
      </c>
    </row>
    <row r="103">
      <c r="A103" s="3" t="s">
        <v>14206</v>
      </c>
      <c r="B103" s="4" t="str">
        <f>_xlfn.CONCAT(D103, " / ", E103)</f>
        <v>effortless-xlsx / ProcedureVersionLinks</v>
      </c>
      <c r="C103" s="3" t="s">
        <v>14074</v>
      </c>
      <c r="D103" s="3" t="s">
        <v>14053</v>
      </c>
      <c r="E103" s="3" t="s">
        <v>2851</v>
      </c>
      <c r="F103" s="3">
        <v>1</v>
      </c>
      <c r="G103" s="3">
        <v>2</v>
      </c>
      <c r="H103" s="3">
        <v>2</v>
      </c>
      <c r="I103" s="3">
        <v>2</v>
      </c>
      <c r="J103" s="3" t="b">
        <v>0</v>
      </c>
      <c r="K103" s="4">
        <f>H103 - I103</f>
        <v>0</v>
      </c>
      <c r="L103" s="4">
        <f>IF(((H103 = 0)=TRUE),  0,  ROUND(100 * I103 / H103, 2))</f>
        <v>100</v>
      </c>
      <c r="M103" s="4" t="b">
        <f>K103 = 0</f>
        <v>1</v>
      </c>
      <c r="N103" s="4" t="str">
        <f>IF(((M103)=TRUE),  "",  D103)</f>
      </c>
      <c r="O103" s="4" t="str">
        <f>IF(((M103)=TRUE),  "",  E103)</f>
      </c>
      <c r="P103" s="4">
        <f>COUNTIFS(FieldDisagreements!E2:E50, A103)</f>
        <v>0</v>
      </c>
      <c r="Q103" s="4" t="str">
        <f>_xlfn.IFNA(IF(((INDEX(ConformanceSubstrates!C2:C9, MATCH(D103,ConformanceSubstrates!A2:A9, 0))="")=TRUE),  "",  INDEX(ConformanceSubstrates!C2:C9, MATCH(D103,ConformanceSubstrates!A2:A9, 0))), "")</f>
        <v>Excel</v>
      </c>
      <c r="R103" s="4" t="str">
        <f>_xlfn.IFNA(IF(((INDEX(RulebookTables!F2:F93, MATCH(E103,RulebookTables!A2:A93, 0))="")=TRUE),  "",  INDEX(RulebookTables!F2:F93, MATCH(E103,RulebookTables!A2:A93, 0))), "")</f>
        <v>specification</v>
      </c>
      <c r="S103" s="3" t="s">
        <v>1918</v>
      </c>
    </row>
    <row r="104">
      <c r="A104" s="3" t="s">
        <v>14207</v>
      </c>
      <c r="B104" s="4" t="str">
        <f>_xlfn.CONCAT(D104, " / ", E104)</f>
        <v>effortless-xlsx / ProcedureStatusChanges</v>
      </c>
      <c r="C104" s="3" t="s">
        <v>14074</v>
      </c>
      <c r="D104" s="3" t="s">
        <v>14053</v>
      </c>
      <c r="E104" s="3" t="s">
        <v>1775</v>
      </c>
      <c r="F104" s="3">
        <v>5</v>
      </c>
      <c r="G104" s="3">
        <v>1</v>
      </c>
      <c r="H104" s="3">
        <v>5</v>
      </c>
      <c r="I104" s="3">
        <v>5</v>
      </c>
      <c r="J104" s="3" t="b">
        <v>0</v>
      </c>
      <c r="K104" s="4">
        <f>H104 - I104</f>
        <v>0</v>
      </c>
      <c r="L104" s="4">
        <f>IF(((H104 = 0)=TRUE),  0,  ROUND(100 * I104 / H104, 2))</f>
        <v>100</v>
      </c>
      <c r="M104" s="4" t="b">
        <f>K104 = 0</f>
        <v>1</v>
      </c>
      <c r="N104" s="4" t="str">
        <f>IF(((M104)=TRUE),  "",  D104)</f>
      </c>
      <c r="O104" s="4" t="str">
        <f>IF(((M104)=TRUE),  "",  E104)</f>
      </c>
      <c r="P104" s="4">
        <f>COUNTIFS(FieldDisagreements!E2:E50, A104)</f>
        <v>0</v>
      </c>
      <c r="Q104" s="4" t="str">
        <f>_xlfn.IFNA(IF(((INDEX(ConformanceSubstrates!C2:C9, MATCH(D104,ConformanceSubstrates!A2:A9, 0))="")=TRUE),  "",  INDEX(ConformanceSubstrates!C2:C9, MATCH(D104,ConformanceSubstrates!A2:A9, 0))), "")</f>
        <v>Excel</v>
      </c>
      <c r="R104" s="4" t="str">
        <f>_xlfn.IFNA(IF(((INDEX(RulebookTables!F2:F93, MATCH(E104,RulebookTables!A2:A93, 0))="")=TRUE),  "",  INDEX(RulebookTables!F2:F93, MATCH(E104,RulebookTables!A2:A93, 0))), "")</f>
        <v>specification</v>
      </c>
      <c r="S104" s="3" t="s">
        <v>1918</v>
      </c>
    </row>
    <row r="105">
      <c r="A105" s="3" t="s">
        <v>14208</v>
      </c>
      <c r="B105" s="4" t="str">
        <f>_xlfn.CONCAT(D105, " / ", E105)</f>
        <v>effortless-xlsx / Steps</v>
      </c>
      <c r="C105" s="3" t="s">
        <v>14074</v>
      </c>
      <c r="D105" s="3" t="s">
        <v>14053</v>
      </c>
      <c r="E105" s="3" t="s">
        <v>1778</v>
      </c>
      <c r="F105" s="3">
        <v>17</v>
      </c>
      <c r="G105" s="3">
        <v>42</v>
      </c>
      <c r="H105" s="3">
        <v>714</v>
      </c>
      <c r="I105" s="3">
        <v>561</v>
      </c>
      <c r="J105" s="3" t="b">
        <v>0</v>
      </c>
      <c r="K105" s="4">
        <f>H105 - I105</f>
        <v>153</v>
      </c>
      <c r="L105" s="4">
        <f>IF(((H105 = 0)=TRUE),  0,  ROUND(100 * I105 / H105, 2))</f>
        <v>78.57</v>
      </c>
      <c r="M105" s="4" t="b">
        <f>K105 = 0</f>
        <v>0</v>
      </c>
      <c r="N105" s="4" t="str">
        <f>IF(((M105)=TRUE),  "",  D105)</f>
        <v>effortless-xlsx</v>
      </c>
      <c r="O105" s="4" t="str">
        <f>IF(((M105)=TRUE),  "",  E105)</f>
        <v>Steps</v>
      </c>
      <c r="P105" s="4">
        <f>COUNTIFS(FieldDisagreements!E2:E50, A105)</f>
        <v>9</v>
      </c>
      <c r="Q105" s="4" t="str">
        <f>_xlfn.IFNA(IF(((INDEX(ConformanceSubstrates!C2:C9, MATCH(D105,ConformanceSubstrates!A2:A9, 0))="")=TRUE),  "",  INDEX(ConformanceSubstrates!C2:C9, MATCH(D105,ConformanceSubstrates!A2:A9, 0))), "")</f>
        <v>Excel</v>
      </c>
      <c r="R105" s="4" t="str">
        <f>_xlfn.IFNA(IF(((INDEX(RulebookTables!F2:F93, MATCH(E105,RulebookTables!A2:A93, 0))="")=TRUE),  "",  INDEX(RulebookTables!F2:F93, MATCH(E105,RulebookTables!A2:A93, 0))), "")</f>
        <v>specification</v>
      </c>
      <c r="S105" s="3" t="s">
        <v>1918</v>
      </c>
    </row>
    <row r="106">
      <c r="A106" s="3" t="s">
        <v>14209</v>
      </c>
      <c r="B106" s="4" t="str">
        <f>_xlfn.CONCAT(D106, " / ", E106)</f>
        <v>effortless-xlsx / StepTransitions</v>
      </c>
      <c r="C106" s="3" t="s">
        <v>14074</v>
      </c>
      <c r="D106" s="3" t="s">
        <v>14053</v>
      </c>
      <c r="E106" s="3" t="s">
        <v>1784</v>
      </c>
      <c r="F106" s="3">
        <v>20</v>
      </c>
      <c r="G106" s="3">
        <v>18</v>
      </c>
      <c r="H106" s="3">
        <v>360</v>
      </c>
      <c r="I106" s="3">
        <v>360</v>
      </c>
      <c r="J106" s="3" t="b">
        <v>0</v>
      </c>
      <c r="K106" s="4">
        <f>H106 - I106</f>
        <v>0</v>
      </c>
      <c r="L106" s="4">
        <f>IF(((H106 = 0)=TRUE),  0,  ROUND(100 * I106 / H106, 2))</f>
        <v>100</v>
      </c>
      <c r="M106" s="4" t="b">
        <f>K106 = 0</f>
        <v>1</v>
      </c>
      <c r="N106" s="4" t="str">
        <f>IF(((M106)=TRUE),  "",  D106)</f>
      </c>
      <c r="O106" s="4" t="str">
        <f>IF(((M106)=TRUE),  "",  E106)</f>
      </c>
      <c r="P106" s="4">
        <f>COUNTIFS(FieldDisagreements!E2:E50, A106)</f>
        <v>0</v>
      </c>
      <c r="Q106" s="4" t="str">
        <f>_xlfn.IFNA(IF(((INDEX(ConformanceSubstrates!C2:C9, MATCH(D106,ConformanceSubstrates!A2:A9, 0))="")=TRUE),  "",  INDEX(ConformanceSubstrates!C2:C9, MATCH(D106,ConformanceSubstrates!A2:A9, 0))), "")</f>
        <v>Excel</v>
      </c>
      <c r="R106" s="4" t="str">
        <f>_xlfn.IFNA(IF(((INDEX(RulebookTables!F2:F93, MATCH(E106,RulebookTables!A2:A93, 0))="")=TRUE),  "",  INDEX(RulebookTables!F2:F93, MATCH(E106,RulebookTables!A2:A93, 0))), "")</f>
        <v>specification</v>
      </c>
      <c r="S106" s="3" t="s">
        <v>1918</v>
      </c>
    </row>
    <row r="107">
      <c r="A107" s="3" t="s">
        <v>14210</v>
      </c>
      <c r="B107" s="4" t="str">
        <f>_xlfn.CONCAT(D107, " / ", E107)</f>
        <v>effortless-xlsx / Actions</v>
      </c>
      <c r="C107" s="3" t="s">
        <v>14074</v>
      </c>
      <c r="D107" s="3" t="s">
        <v>14053</v>
      </c>
      <c r="E107" s="3" t="s">
        <v>1796</v>
      </c>
      <c r="F107" s="3">
        <v>9</v>
      </c>
      <c r="G107" s="3">
        <v>1</v>
      </c>
      <c r="H107" s="3">
        <v>9</v>
      </c>
      <c r="I107" s="3">
        <v>9</v>
      </c>
      <c r="J107" s="3" t="b">
        <v>0</v>
      </c>
      <c r="K107" s="4">
        <f>H107 - I107</f>
        <v>0</v>
      </c>
      <c r="L107" s="4">
        <f>IF(((H107 = 0)=TRUE),  0,  ROUND(100 * I107 / H107, 2))</f>
        <v>100</v>
      </c>
      <c r="M107" s="4" t="b">
        <f>K107 = 0</f>
        <v>1</v>
      </c>
      <c r="N107" s="4" t="str">
        <f>IF(((M107)=TRUE),  "",  D107)</f>
      </c>
      <c r="O107" s="4" t="str">
        <f>IF(((M107)=TRUE),  "",  E107)</f>
      </c>
      <c r="P107" s="4">
        <f>COUNTIFS(FieldDisagreements!E2:E50, A107)</f>
        <v>0</v>
      </c>
      <c r="Q107" s="4" t="str">
        <f>_xlfn.IFNA(IF(((INDEX(ConformanceSubstrates!C2:C9, MATCH(D107,ConformanceSubstrates!A2:A9, 0))="")=TRUE),  "",  INDEX(ConformanceSubstrates!C2:C9, MATCH(D107,ConformanceSubstrates!A2:A9, 0))), "")</f>
        <v>Excel</v>
      </c>
      <c r="R107" s="4" t="str">
        <f>_xlfn.IFNA(IF(((INDEX(RulebookTables!F2:F93, MATCH(E107,RulebookTables!A2:A93, 0))="")=TRUE),  "",  INDEX(RulebookTables!F2:F93, MATCH(E107,RulebookTables!A2:A93, 0))), "")</f>
        <v>specification</v>
      </c>
      <c r="S107" s="3" t="s">
        <v>1918</v>
      </c>
    </row>
    <row r="108">
      <c r="A108" s="3" t="s">
        <v>14211</v>
      </c>
      <c r="B108" s="4" t="str">
        <f>_xlfn.CONCAT(D108, " / ", E108)</f>
        <v>effortless-xlsx / Functions</v>
      </c>
      <c r="C108" s="3" t="s">
        <v>14074</v>
      </c>
      <c r="D108" s="3" t="s">
        <v>14053</v>
      </c>
      <c r="E108" s="3" t="s">
        <v>1799</v>
      </c>
      <c r="F108" s="3">
        <v>8</v>
      </c>
      <c r="G108" s="3">
        <v>1</v>
      </c>
      <c r="H108" s="3">
        <v>8</v>
      </c>
      <c r="I108" s="3">
        <v>8</v>
      </c>
      <c r="J108" s="3" t="b">
        <v>0</v>
      </c>
      <c r="K108" s="4">
        <f>H108 - I108</f>
        <v>0</v>
      </c>
      <c r="L108" s="4">
        <f>IF(((H108 = 0)=TRUE),  0,  ROUND(100 * I108 / H108, 2))</f>
        <v>100</v>
      </c>
      <c r="M108" s="4" t="b">
        <f>K108 = 0</f>
        <v>1</v>
      </c>
      <c r="N108" s="4" t="str">
        <f>IF(((M108)=TRUE),  "",  D108)</f>
      </c>
      <c r="O108" s="4" t="str">
        <f>IF(((M108)=TRUE),  "",  E108)</f>
      </c>
      <c r="P108" s="4">
        <f>COUNTIFS(FieldDisagreements!E2:E50, A108)</f>
        <v>0</v>
      </c>
      <c r="Q108" s="4" t="str">
        <f>_xlfn.IFNA(IF(((INDEX(ConformanceSubstrates!C2:C9, MATCH(D108,ConformanceSubstrates!A2:A9, 0))="")=TRUE),  "",  INDEX(ConformanceSubstrates!C2:C9, MATCH(D108,ConformanceSubstrates!A2:A9, 0))), "")</f>
        <v>Excel</v>
      </c>
      <c r="R108" s="4" t="str">
        <f>_xlfn.IFNA(IF(((INDEX(RulebookTables!F2:F93, MATCH(E108,RulebookTables!A2:A93, 0))="")=TRUE),  "",  INDEX(RulebookTables!F2:F93, MATCH(E108,RulebookTables!A2:A93, 0))), "")</f>
        <v>specification</v>
      </c>
      <c r="S108" s="3" t="s">
        <v>1918</v>
      </c>
    </row>
    <row r="109">
      <c r="A109" s="3" t="s">
        <v>14212</v>
      </c>
      <c r="B109" s="4" t="str">
        <f>_xlfn.CONCAT(D109, " / ", E109)</f>
        <v>effortless-xlsx / Tools</v>
      </c>
      <c r="C109" s="3" t="s">
        <v>14074</v>
      </c>
      <c r="D109" s="3" t="s">
        <v>14053</v>
      </c>
      <c r="E109" s="3" t="s">
        <v>1802</v>
      </c>
      <c r="F109" s="3">
        <v>8</v>
      </c>
      <c r="G109" s="3">
        <v>1</v>
      </c>
      <c r="H109" s="3">
        <v>8</v>
      </c>
      <c r="I109" s="3">
        <v>8</v>
      </c>
      <c r="J109" s="3" t="b">
        <v>0</v>
      </c>
      <c r="K109" s="4">
        <f>H109 - I109</f>
        <v>0</v>
      </c>
      <c r="L109" s="4">
        <f>IF(((H109 = 0)=TRUE),  0,  ROUND(100 * I109 / H109, 2))</f>
        <v>100</v>
      </c>
      <c r="M109" s="4" t="b">
        <f>K109 = 0</f>
        <v>1</v>
      </c>
      <c r="N109" s="4" t="str">
        <f>IF(((M109)=TRUE),  "",  D109)</f>
      </c>
      <c r="O109" s="4" t="str">
        <f>IF(((M109)=TRUE),  "",  E109)</f>
      </c>
      <c r="P109" s="4">
        <f>COUNTIFS(FieldDisagreements!E2:E50, A109)</f>
        <v>0</v>
      </c>
      <c r="Q109" s="4" t="str">
        <f>_xlfn.IFNA(IF(((INDEX(ConformanceSubstrates!C2:C9, MATCH(D109,ConformanceSubstrates!A2:A9, 0))="")=TRUE),  "",  INDEX(ConformanceSubstrates!C2:C9, MATCH(D109,ConformanceSubstrates!A2:A9, 0))), "")</f>
        <v>Excel</v>
      </c>
      <c r="R109" s="4" t="str">
        <f>_xlfn.IFNA(IF(((INDEX(RulebookTables!F2:F93, MATCH(E109,RulebookTables!A2:A93, 0))="")=TRUE),  "",  INDEX(RulebookTables!F2:F93, MATCH(E109,RulebookTables!A2:A93, 0))), "")</f>
        <v>specification</v>
      </c>
      <c r="S109" s="3" t="s">
        <v>1918</v>
      </c>
    </row>
    <row r="110">
      <c r="A110" s="3" t="s">
        <v>14213</v>
      </c>
      <c r="B110" s="4" t="str">
        <f>_xlfn.CONCAT(D110, " / ", E110)</f>
        <v>effortless-xlsx / StepActions</v>
      </c>
      <c r="C110" s="3" t="s">
        <v>14074</v>
      </c>
      <c r="D110" s="3" t="s">
        <v>14053</v>
      </c>
      <c r="E110" s="3" t="s">
        <v>3028</v>
      </c>
      <c r="F110" s="3">
        <v>9</v>
      </c>
      <c r="G110" s="3">
        <v>1</v>
      </c>
      <c r="H110" s="3">
        <v>9</v>
      </c>
      <c r="I110" s="3">
        <v>9</v>
      </c>
      <c r="J110" s="3" t="b">
        <v>0</v>
      </c>
      <c r="K110" s="4">
        <f>H110 - I110</f>
        <v>0</v>
      </c>
      <c r="L110" s="4">
        <f>IF(((H110 = 0)=TRUE),  0,  ROUND(100 * I110 / H110, 2))</f>
        <v>100</v>
      </c>
      <c r="M110" s="4" t="b">
        <f>K110 = 0</f>
        <v>1</v>
      </c>
      <c r="N110" s="4" t="str">
        <f>IF(((M110)=TRUE),  "",  D110)</f>
      </c>
      <c r="O110" s="4" t="str">
        <f>IF(((M110)=TRUE),  "",  E110)</f>
      </c>
      <c r="P110" s="4">
        <f>COUNTIFS(FieldDisagreements!E2:E50, A110)</f>
        <v>0</v>
      </c>
      <c r="Q110" s="4" t="str">
        <f>_xlfn.IFNA(IF(((INDEX(ConformanceSubstrates!C2:C9, MATCH(D110,ConformanceSubstrates!A2:A9, 0))="")=TRUE),  "",  INDEX(ConformanceSubstrates!C2:C9, MATCH(D110,ConformanceSubstrates!A2:A9, 0))), "")</f>
        <v>Excel</v>
      </c>
      <c r="R110" s="4" t="str">
        <f>_xlfn.IFNA(IF(((INDEX(RulebookTables!F2:F93, MATCH(E110,RulebookTables!A2:A93, 0))="")=TRUE),  "",  INDEX(RulebookTables!F2:F93, MATCH(E110,RulebookTables!A2:A93, 0))), "")</f>
        <v>specification</v>
      </c>
      <c r="S110" s="3" t="s">
        <v>1918</v>
      </c>
    </row>
    <row r="111">
      <c r="A111" s="3" t="s">
        <v>14214</v>
      </c>
      <c r="B111" s="4" t="str">
        <f>_xlfn.CONCAT(D111, " / ", E111)</f>
        <v>effortless-xlsx / StepFunctions</v>
      </c>
      <c r="C111" s="3" t="s">
        <v>14074</v>
      </c>
      <c r="D111" s="3" t="s">
        <v>14053</v>
      </c>
      <c r="E111" s="3" t="s">
        <v>3034</v>
      </c>
      <c r="F111" s="3">
        <v>8</v>
      </c>
      <c r="G111" s="3">
        <v>1</v>
      </c>
      <c r="H111" s="3">
        <v>8</v>
      </c>
      <c r="I111" s="3">
        <v>8</v>
      </c>
      <c r="J111" s="3" t="b">
        <v>0</v>
      </c>
      <c r="K111" s="4">
        <f>H111 - I111</f>
        <v>0</v>
      </c>
      <c r="L111" s="4">
        <f>IF(((H111 = 0)=TRUE),  0,  ROUND(100 * I111 / H111, 2))</f>
        <v>100</v>
      </c>
      <c r="M111" s="4" t="b">
        <f>K111 = 0</f>
        <v>1</v>
      </c>
      <c r="N111" s="4" t="str">
        <f>IF(((M111)=TRUE),  "",  D111)</f>
      </c>
      <c r="O111" s="4" t="str">
        <f>IF(((M111)=TRUE),  "",  E111)</f>
      </c>
      <c r="P111" s="4">
        <f>COUNTIFS(FieldDisagreements!E2:E50, A111)</f>
        <v>0</v>
      </c>
      <c r="Q111" s="4" t="str">
        <f>_xlfn.IFNA(IF(((INDEX(ConformanceSubstrates!C2:C9, MATCH(D111,ConformanceSubstrates!A2:A9, 0))="")=TRUE),  "",  INDEX(ConformanceSubstrates!C2:C9, MATCH(D111,ConformanceSubstrates!A2:A9, 0))), "")</f>
        <v>Excel</v>
      </c>
      <c r="R111" s="4" t="str">
        <f>_xlfn.IFNA(IF(((INDEX(RulebookTables!F2:F93, MATCH(E111,RulebookTables!A2:A93, 0))="")=TRUE),  "",  INDEX(RulebookTables!F2:F93, MATCH(E111,RulebookTables!A2:A93, 0))), "")</f>
        <v>specification</v>
      </c>
      <c r="S111" s="3" t="s">
        <v>1918</v>
      </c>
    </row>
    <row r="112">
      <c r="A112" s="3" t="s">
        <v>14215</v>
      </c>
      <c r="B112" s="4" t="str">
        <f>_xlfn.CONCAT(D112, " / ", E112)</f>
        <v>effortless-xlsx / StepTools</v>
      </c>
      <c r="C112" s="3" t="s">
        <v>14074</v>
      </c>
      <c r="D112" s="3" t="s">
        <v>14053</v>
      </c>
      <c r="E112" s="3" t="s">
        <v>3040</v>
      </c>
      <c r="F112" s="3">
        <v>10</v>
      </c>
      <c r="G112" s="3">
        <v>1</v>
      </c>
      <c r="H112" s="3">
        <v>10</v>
      </c>
      <c r="I112" s="3">
        <v>10</v>
      </c>
      <c r="J112" s="3" t="b">
        <v>0</v>
      </c>
      <c r="K112" s="4">
        <f>H112 - I112</f>
        <v>0</v>
      </c>
      <c r="L112" s="4">
        <f>IF(((H112 = 0)=TRUE),  0,  ROUND(100 * I112 / H112, 2))</f>
        <v>100</v>
      </c>
      <c r="M112" s="4" t="b">
        <f>K112 = 0</f>
        <v>1</v>
      </c>
      <c r="N112" s="4" t="str">
        <f>IF(((M112)=TRUE),  "",  D112)</f>
      </c>
      <c r="O112" s="4" t="str">
        <f>IF(((M112)=TRUE),  "",  E112)</f>
      </c>
      <c r="P112" s="4">
        <f>COUNTIFS(FieldDisagreements!E2:E50, A112)</f>
        <v>0</v>
      </c>
      <c r="Q112" s="4" t="str">
        <f>_xlfn.IFNA(IF(((INDEX(ConformanceSubstrates!C2:C9, MATCH(D112,ConformanceSubstrates!A2:A9, 0))="")=TRUE),  "",  INDEX(ConformanceSubstrates!C2:C9, MATCH(D112,ConformanceSubstrates!A2:A9, 0))), "")</f>
        <v>Excel</v>
      </c>
      <c r="R112" s="4" t="str">
        <f>_xlfn.IFNA(IF(((INDEX(RulebookTables!F2:F93, MATCH(E112,RulebookTables!A2:A93, 0))="")=TRUE),  "",  INDEX(RulebookTables!F2:F93, MATCH(E112,RulebookTables!A2:A93, 0))), "")</f>
        <v>specification</v>
      </c>
      <c r="S112" s="3" t="s">
        <v>1918</v>
      </c>
    </row>
    <row r="113">
      <c r="A113" s="3" t="s">
        <v>14216</v>
      </c>
      <c r="B113" s="4" t="str">
        <f>_xlfn.CONCAT(D113, " / ", E113)</f>
        <v>effortless-xlsx / Requirements</v>
      </c>
      <c r="C113" s="3" t="s">
        <v>14074</v>
      </c>
      <c r="D113" s="3" t="s">
        <v>14053</v>
      </c>
      <c r="E113" s="3" t="s">
        <v>1805</v>
      </c>
      <c r="F113" s="3">
        <v>13</v>
      </c>
      <c r="G113" s="3">
        <v>31</v>
      </c>
      <c r="H113" s="3">
        <v>403</v>
      </c>
      <c r="I113" s="3">
        <v>403</v>
      </c>
      <c r="J113" s="3" t="b">
        <v>0</v>
      </c>
      <c r="K113" s="4">
        <f>H113 - I113</f>
        <v>0</v>
      </c>
      <c r="L113" s="4">
        <f>IF(((H113 = 0)=TRUE),  0,  ROUND(100 * I113 / H113, 2))</f>
        <v>100</v>
      </c>
      <c r="M113" s="4" t="b">
        <f>K113 = 0</f>
        <v>1</v>
      </c>
      <c r="N113" s="4" t="str">
        <f>IF(((M113)=TRUE),  "",  D113)</f>
      </c>
      <c r="O113" s="4" t="str">
        <f>IF(((M113)=TRUE),  "",  E113)</f>
      </c>
      <c r="P113" s="4">
        <f>COUNTIFS(FieldDisagreements!E2:E50, A113)</f>
        <v>0</v>
      </c>
      <c r="Q113" s="4" t="str">
        <f>_xlfn.IFNA(IF(((INDEX(ConformanceSubstrates!C2:C9, MATCH(D113,ConformanceSubstrates!A2:A9, 0))="")=TRUE),  "",  INDEX(ConformanceSubstrates!C2:C9, MATCH(D113,ConformanceSubstrates!A2:A9, 0))), "")</f>
        <v>Excel</v>
      </c>
      <c r="R113" s="4" t="str">
        <f>_xlfn.IFNA(IF(((INDEX(RulebookTables!F2:F93, MATCH(E113,RulebookTables!A2:A93, 0))="")=TRUE),  "",  INDEX(RulebookTables!F2:F93, MATCH(E113,RulebookTables!A2:A93, 0))), "")</f>
        <v>governance</v>
      </c>
      <c r="S113" s="3" t="s">
        <v>1918</v>
      </c>
    </row>
    <row r="114">
      <c r="A114" s="3" t="s">
        <v>14217</v>
      </c>
      <c r="B114" s="4" t="str">
        <f>_xlfn.CONCAT(D114, " / ", E114)</f>
        <v>effortless-xlsx / StepRequirements</v>
      </c>
      <c r="C114" s="3" t="s">
        <v>14074</v>
      </c>
      <c r="D114" s="3" t="s">
        <v>14053</v>
      </c>
      <c r="E114" s="3" t="s">
        <v>3119</v>
      </c>
      <c r="F114" s="3">
        <v>15</v>
      </c>
      <c r="G114" s="3">
        <v>10</v>
      </c>
      <c r="H114" s="3">
        <v>150</v>
      </c>
      <c r="I114" s="3">
        <v>150</v>
      </c>
      <c r="J114" s="3" t="b">
        <v>0</v>
      </c>
      <c r="K114" s="4">
        <f>H114 - I114</f>
        <v>0</v>
      </c>
      <c r="L114" s="4">
        <f>IF(((H114 = 0)=TRUE),  0,  ROUND(100 * I114 / H114, 2))</f>
        <v>100</v>
      </c>
      <c r="M114" s="4" t="b">
        <f>K114 = 0</f>
        <v>1</v>
      </c>
      <c r="N114" s="4" t="str">
        <f>IF(((M114)=TRUE),  "",  D114)</f>
      </c>
      <c r="O114" s="4" t="str">
        <f>IF(((M114)=TRUE),  "",  E114)</f>
      </c>
      <c r="P114" s="4">
        <f>COUNTIFS(FieldDisagreements!E2:E50, A114)</f>
        <v>0</v>
      </c>
      <c r="Q114" s="4" t="str">
        <f>_xlfn.IFNA(IF(((INDEX(ConformanceSubstrates!C2:C9, MATCH(D114,ConformanceSubstrates!A2:A9, 0))="")=TRUE),  "",  INDEX(ConformanceSubstrates!C2:C9, MATCH(D114,ConformanceSubstrates!A2:A9, 0))), "")</f>
        <v>Excel</v>
      </c>
      <c r="R114" s="4" t="str">
        <f>_xlfn.IFNA(IF(((INDEX(RulebookTables!F2:F93, MATCH(E114,RulebookTables!A2:A93, 0))="")=TRUE),  "",  INDEX(RulebookTables!F2:F93, MATCH(E114,RulebookTables!A2:A93, 0))), "")</f>
        <v>specification</v>
      </c>
      <c r="S114" s="3" t="s">
        <v>1918</v>
      </c>
    </row>
    <row r="115">
      <c r="A115" s="3" t="s">
        <v>14218</v>
      </c>
      <c r="B115" s="4" t="str">
        <f>_xlfn.CONCAT(D115, " / ", E115)</f>
        <v>effortless-xlsx / StepVerifications</v>
      </c>
      <c r="C115" s="3" t="s">
        <v>14074</v>
      </c>
      <c r="D115" s="3" t="s">
        <v>14053</v>
      </c>
      <c r="E115" s="3" t="s">
        <v>1808</v>
      </c>
      <c r="F115" s="3">
        <v>11</v>
      </c>
      <c r="G115" s="3">
        <v>1</v>
      </c>
      <c r="H115" s="3">
        <v>11</v>
      </c>
      <c r="I115" s="3">
        <v>11</v>
      </c>
      <c r="J115" s="3" t="b">
        <v>0</v>
      </c>
      <c r="K115" s="4">
        <f>H115 - I115</f>
        <v>0</v>
      </c>
      <c r="L115" s="4">
        <f>IF(((H115 = 0)=TRUE),  0,  ROUND(100 * I115 / H115, 2))</f>
        <v>100</v>
      </c>
      <c r="M115" s="4" t="b">
        <f>K115 = 0</f>
        <v>1</v>
      </c>
      <c r="N115" s="4" t="str">
        <f>IF(((M115)=TRUE),  "",  D115)</f>
      </c>
      <c r="O115" s="4" t="str">
        <f>IF(((M115)=TRUE),  "",  E115)</f>
      </c>
      <c r="P115" s="4">
        <f>COUNTIFS(FieldDisagreements!E2:E50, A115)</f>
        <v>0</v>
      </c>
      <c r="Q115" s="4" t="str">
        <f>_xlfn.IFNA(IF(((INDEX(ConformanceSubstrates!C2:C9, MATCH(D115,ConformanceSubstrates!A2:A9, 0))="")=TRUE),  "",  INDEX(ConformanceSubstrates!C2:C9, MATCH(D115,ConformanceSubstrates!A2:A9, 0))), "")</f>
        <v>Excel</v>
      </c>
      <c r="R115" s="4" t="str">
        <f>_xlfn.IFNA(IF(((INDEX(RulebookTables!F2:F93, MATCH(E115,RulebookTables!A2:A93, 0))="")=TRUE),  "",  INDEX(RulebookTables!F2:F93, MATCH(E115,RulebookTables!A2:A93, 0))), "")</f>
        <v>specification</v>
      </c>
      <c r="S115" s="3" t="s">
        <v>1918</v>
      </c>
    </row>
    <row r="116">
      <c r="A116" s="3" t="s">
        <v>14219</v>
      </c>
      <c r="B116" s="4" t="str">
        <f>_xlfn.CONCAT(D116, " / ", E116)</f>
        <v>effortless-xlsx / Rationales</v>
      </c>
      <c r="C116" s="3" t="s">
        <v>14074</v>
      </c>
      <c r="D116" s="3" t="s">
        <v>14053</v>
      </c>
      <c r="E116" s="3" t="s">
        <v>3151</v>
      </c>
      <c r="F116" s="3">
        <v>4</v>
      </c>
      <c r="G116" s="3">
        <v>1</v>
      </c>
      <c r="H116" s="3">
        <v>4</v>
      </c>
      <c r="I116" s="3">
        <v>4</v>
      </c>
      <c r="J116" s="3" t="b">
        <v>0</v>
      </c>
      <c r="K116" s="4">
        <f>H116 - I116</f>
        <v>0</v>
      </c>
      <c r="L116" s="4">
        <f>IF(((H116 = 0)=TRUE),  0,  ROUND(100 * I116 / H116, 2))</f>
        <v>100</v>
      </c>
      <c r="M116" s="4" t="b">
        <f>K116 = 0</f>
        <v>1</v>
      </c>
      <c r="N116" s="4" t="str">
        <f>IF(((M116)=TRUE),  "",  D116)</f>
      </c>
      <c r="O116" s="4" t="str">
        <f>IF(((M116)=TRUE),  "",  E116)</f>
      </c>
      <c r="P116" s="4">
        <f>COUNTIFS(FieldDisagreements!E2:E50, A116)</f>
        <v>0</v>
      </c>
      <c r="Q116" s="4" t="str">
        <f>_xlfn.IFNA(IF(((INDEX(ConformanceSubstrates!C2:C9, MATCH(D116,ConformanceSubstrates!A2:A9, 0))="")=TRUE),  "",  INDEX(ConformanceSubstrates!C2:C9, MATCH(D116,ConformanceSubstrates!A2:A9, 0))), "")</f>
        <v>Excel</v>
      </c>
      <c r="R116" s="4" t="str">
        <f>_xlfn.IFNA(IF(((INDEX(RulebookTables!F2:F93, MATCH(E116,RulebookTables!A2:A93, 0))="")=TRUE),  "",  INDEX(RulebookTables!F2:F93, MATCH(E116,RulebookTables!A2:A93, 0))), "")</f>
        <v>governance</v>
      </c>
      <c r="S116" s="3" t="s">
        <v>1918</v>
      </c>
    </row>
    <row r="117">
      <c r="A117" s="3" t="s">
        <v>14220</v>
      </c>
      <c r="B117" s="4" t="str">
        <f>_xlfn.CONCAT(D117, " / ", E117)</f>
        <v>effortless-xlsx / Exceptions</v>
      </c>
      <c r="C117" s="3" t="s">
        <v>14074</v>
      </c>
      <c r="D117" s="3" t="s">
        <v>14053</v>
      </c>
      <c r="E117" s="3" t="s">
        <v>3161</v>
      </c>
      <c r="F117" s="3">
        <v>4</v>
      </c>
      <c r="G117" s="3">
        <v>2</v>
      </c>
      <c r="H117" s="3">
        <v>8</v>
      </c>
      <c r="I117" s="3">
        <v>8</v>
      </c>
      <c r="J117" s="3" t="b">
        <v>0</v>
      </c>
      <c r="K117" s="4">
        <f>H117 - I117</f>
        <v>0</v>
      </c>
      <c r="L117" s="4">
        <f>IF(((H117 = 0)=TRUE),  0,  ROUND(100 * I117 / H117, 2))</f>
        <v>100</v>
      </c>
      <c r="M117" s="4" t="b">
        <f>K117 = 0</f>
        <v>1</v>
      </c>
      <c r="N117" s="4" t="str">
        <f>IF(((M117)=TRUE),  "",  D117)</f>
      </c>
      <c r="O117" s="4" t="str">
        <f>IF(((M117)=TRUE),  "",  E117)</f>
      </c>
      <c r="P117" s="4">
        <f>COUNTIFS(FieldDisagreements!E2:E50, A117)</f>
        <v>0</v>
      </c>
      <c r="Q117" s="4" t="str">
        <f>_xlfn.IFNA(IF(((INDEX(ConformanceSubstrates!C2:C9, MATCH(D117,ConformanceSubstrates!A2:A9, 0))="")=TRUE),  "",  INDEX(ConformanceSubstrates!C2:C9, MATCH(D117,ConformanceSubstrates!A2:A9, 0))), "")</f>
        <v>Excel</v>
      </c>
      <c r="R117" s="4" t="str">
        <f>_xlfn.IFNA(IF(((INDEX(RulebookTables!F2:F93, MATCH(E117,RulebookTables!A2:A93, 0))="")=TRUE),  "",  INDEX(RulebookTables!F2:F93, MATCH(E117,RulebookTables!A2:A93, 0))), "")</f>
        <v>governance</v>
      </c>
      <c r="S117" s="3" t="s">
        <v>1918</v>
      </c>
    </row>
    <row r="118">
      <c r="A118" s="3" t="s">
        <v>14221</v>
      </c>
      <c r="B118" s="4" t="str">
        <f>_xlfn.CONCAT(D118, " / ", E118)</f>
        <v>effortless-xlsx / Resources</v>
      </c>
      <c r="C118" s="3" t="s">
        <v>14074</v>
      </c>
      <c r="D118" s="3" t="s">
        <v>14053</v>
      </c>
      <c r="E118" s="3" t="s">
        <v>1811</v>
      </c>
      <c r="F118" s="3">
        <v>8</v>
      </c>
      <c r="G118" s="3">
        <v>2</v>
      </c>
      <c r="H118" s="3">
        <v>16</v>
      </c>
      <c r="I118" s="3">
        <v>16</v>
      </c>
      <c r="J118" s="3" t="b">
        <v>0</v>
      </c>
      <c r="K118" s="4">
        <f>H118 - I118</f>
        <v>0</v>
      </c>
      <c r="L118" s="4">
        <f>IF(((H118 = 0)=TRUE),  0,  ROUND(100 * I118 / H118, 2))</f>
        <v>100</v>
      </c>
      <c r="M118" s="4" t="b">
        <f>K118 = 0</f>
        <v>1</v>
      </c>
      <c r="N118" s="4" t="str">
        <f>IF(((M118)=TRUE),  "",  D118)</f>
      </c>
      <c r="O118" s="4" t="str">
        <f>IF(((M118)=TRUE),  "",  E118)</f>
      </c>
      <c r="P118" s="4">
        <f>COUNTIFS(FieldDisagreements!E2:E50, A118)</f>
        <v>0</v>
      </c>
      <c r="Q118" s="4" t="str">
        <f>_xlfn.IFNA(IF(((INDEX(ConformanceSubstrates!C2:C9, MATCH(D118,ConformanceSubstrates!A2:A9, 0))="")=TRUE),  "",  INDEX(ConformanceSubstrates!C2:C9, MATCH(D118,ConformanceSubstrates!A2:A9, 0))), "")</f>
        <v>Excel</v>
      </c>
      <c r="R118" s="4" t="str">
        <f>_xlfn.IFNA(IF(((INDEX(RulebookTables!F2:F93, MATCH(E118,RulebookTables!A2:A93, 0))="")=TRUE),  "",  INDEX(RulebookTables!F2:F93, MATCH(E118,RulebookTables!A2:A93, 0))), "")</f>
        <v>domain</v>
      </c>
      <c r="S118" s="3" t="s">
        <v>1918</v>
      </c>
    </row>
    <row r="119">
      <c r="A119" s="3" t="s">
        <v>14222</v>
      </c>
      <c r="B119" s="4" t="str">
        <f>_xlfn.CONCAT(D119, " / ", E119)</f>
        <v>effortless-xlsx / ProcedureResources</v>
      </c>
      <c r="C119" s="3" t="s">
        <v>14074</v>
      </c>
      <c r="D119" s="3" t="s">
        <v>14053</v>
      </c>
      <c r="E119" s="3" t="s">
        <v>3187</v>
      </c>
      <c r="F119" s="3">
        <v>8</v>
      </c>
      <c r="G119" s="3">
        <v>2</v>
      </c>
      <c r="H119" s="3">
        <v>16</v>
      </c>
      <c r="I119" s="3">
        <v>16</v>
      </c>
      <c r="J119" s="3" t="b">
        <v>0</v>
      </c>
      <c r="K119" s="4">
        <f>H119 - I119</f>
        <v>0</v>
      </c>
      <c r="L119" s="4">
        <f>IF(((H119 = 0)=TRUE),  0,  ROUND(100 * I119 / H119, 2))</f>
        <v>100</v>
      </c>
      <c r="M119" s="4" t="b">
        <f>K119 = 0</f>
        <v>1</v>
      </c>
      <c r="N119" s="4" t="str">
        <f>IF(((M119)=TRUE),  "",  D119)</f>
      </c>
      <c r="O119" s="4" t="str">
        <f>IF(((M119)=TRUE),  "",  E119)</f>
      </c>
      <c r="P119" s="4">
        <f>COUNTIFS(FieldDisagreements!E2:E50, A119)</f>
        <v>0</v>
      </c>
      <c r="Q119" s="4" t="str">
        <f>_xlfn.IFNA(IF(((INDEX(ConformanceSubstrates!C2:C9, MATCH(D119,ConformanceSubstrates!A2:A9, 0))="")=TRUE),  "",  INDEX(ConformanceSubstrates!C2:C9, MATCH(D119,ConformanceSubstrates!A2:A9, 0))), "")</f>
        <v>Excel</v>
      </c>
      <c r="R119" s="4" t="str">
        <f>_xlfn.IFNA(IF(((INDEX(RulebookTables!F2:F93, MATCH(E119,RulebookTables!A2:A93, 0))="")=TRUE),  "",  INDEX(RulebookTables!F2:F93, MATCH(E119,RulebookTables!A2:A93, 0))), "")</f>
        <v>specification</v>
      </c>
      <c r="S119" s="3" t="s">
        <v>1918</v>
      </c>
    </row>
    <row r="120">
      <c r="A120" s="3" t="s">
        <v>14223</v>
      </c>
      <c r="B120" s="4" t="str">
        <f>_xlfn.CONCAT(D120, " / ", E120)</f>
        <v>effortless-xlsx / ElicitationSessions</v>
      </c>
      <c r="C120" s="3" t="s">
        <v>14074</v>
      </c>
      <c r="D120" s="3" t="s">
        <v>14053</v>
      </c>
      <c r="E120" s="3" t="s">
        <v>1855</v>
      </c>
      <c r="F120" s="3">
        <v>3</v>
      </c>
      <c r="G120" s="3">
        <v>10</v>
      </c>
      <c r="H120" s="3">
        <v>30</v>
      </c>
      <c r="I120" s="3">
        <v>30</v>
      </c>
      <c r="J120" s="3" t="b">
        <v>0</v>
      </c>
      <c r="K120" s="4">
        <f>H120 - I120</f>
        <v>0</v>
      </c>
      <c r="L120" s="4">
        <f>IF(((H120 = 0)=TRUE),  0,  ROUND(100 * I120 / H120, 2))</f>
        <v>100</v>
      </c>
      <c r="M120" s="4" t="b">
        <f>K120 = 0</f>
        <v>1</v>
      </c>
      <c r="N120" s="4" t="str">
        <f>IF(((M120)=TRUE),  "",  D120)</f>
      </c>
      <c r="O120" s="4" t="str">
        <f>IF(((M120)=TRUE),  "",  E120)</f>
      </c>
      <c r="P120" s="4">
        <f>COUNTIFS(FieldDisagreements!E2:E50, A120)</f>
        <v>0</v>
      </c>
      <c r="Q120" s="4" t="str">
        <f>_xlfn.IFNA(IF(((INDEX(ConformanceSubstrates!C2:C9, MATCH(D120,ConformanceSubstrates!A2:A9, 0))="")=TRUE),  "",  INDEX(ConformanceSubstrates!C2:C9, MATCH(D120,ConformanceSubstrates!A2:A9, 0))), "")</f>
        <v>Excel</v>
      </c>
      <c r="R120" s="4" t="str">
        <f>_xlfn.IFNA(IF(((INDEX(RulebookTables!F2:F93, MATCH(E120,RulebookTables!A2:A93, 0))="")=TRUE),  "",  INDEX(RulebookTables!F2:F93, MATCH(E120,RulebookTables!A2:A93, 0))), "")</f>
        <v>knowledge</v>
      </c>
      <c r="S120" s="3" t="s">
        <v>1918</v>
      </c>
    </row>
    <row r="121">
      <c r="A121" s="3" t="s">
        <v>14224</v>
      </c>
      <c r="B121" s="4" t="str">
        <f>_xlfn.CONCAT(D121, " / ", E121)</f>
        <v>effortless-xlsx / KnowledgeFragments</v>
      </c>
      <c r="C121" s="3" t="s">
        <v>14074</v>
      </c>
      <c r="D121" s="3" t="s">
        <v>14053</v>
      </c>
      <c r="E121" s="3" t="s">
        <v>1851</v>
      </c>
      <c r="F121" s="3">
        <v>7</v>
      </c>
      <c r="G121" s="3">
        <v>65</v>
      </c>
      <c r="H121" s="3">
        <v>455</v>
      </c>
      <c r="I121" s="3">
        <v>455</v>
      </c>
      <c r="J121" s="3" t="b">
        <v>0</v>
      </c>
      <c r="K121" s="4">
        <f>H121 - I121</f>
        <v>0</v>
      </c>
      <c r="L121" s="4">
        <f>IF(((H121 = 0)=TRUE),  0,  ROUND(100 * I121 / H121, 2))</f>
        <v>100</v>
      </c>
      <c r="M121" s="4" t="b">
        <f>K121 = 0</f>
        <v>1</v>
      </c>
      <c r="N121" s="4" t="str">
        <f>IF(((M121)=TRUE),  "",  D121)</f>
      </c>
      <c r="O121" s="4" t="str">
        <f>IF(((M121)=TRUE),  "",  E121)</f>
      </c>
      <c r="P121" s="4">
        <f>COUNTIFS(FieldDisagreements!E2:E50, A121)</f>
        <v>0</v>
      </c>
      <c r="Q121" s="4" t="str">
        <f>_xlfn.IFNA(IF(((INDEX(ConformanceSubstrates!C2:C9, MATCH(D121,ConformanceSubstrates!A2:A9, 0))="")=TRUE),  "",  INDEX(ConformanceSubstrates!C2:C9, MATCH(D121,ConformanceSubstrates!A2:A9, 0))), "")</f>
        <v>Excel</v>
      </c>
      <c r="R121" s="4" t="str">
        <f>_xlfn.IFNA(IF(((INDEX(RulebookTables!F2:F93, MATCH(E121,RulebookTables!A2:A93, 0))="")=TRUE),  "",  INDEX(RulebookTables!F2:F93, MATCH(E121,RulebookTables!A2:A93, 0))), "")</f>
        <v>knowledge</v>
      </c>
      <c r="S121" s="3" t="s">
        <v>1918</v>
      </c>
    </row>
    <row r="122">
      <c r="A122" s="3" t="s">
        <v>14225</v>
      </c>
      <c r="B122" s="4" t="str">
        <f>_xlfn.CONCAT(D122, " / ", E122)</f>
        <v>effortless-xlsx / KnowledgeGaps</v>
      </c>
      <c r="C122" s="3" t="s">
        <v>14074</v>
      </c>
      <c r="D122" s="3" t="s">
        <v>14053</v>
      </c>
      <c r="E122" s="3" t="s">
        <v>3368</v>
      </c>
      <c r="F122" s="3">
        <v>8</v>
      </c>
      <c r="G122" s="3">
        <v>16</v>
      </c>
      <c r="H122" s="3">
        <v>128</v>
      </c>
      <c r="I122" s="3">
        <v>128</v>
      </c>
      <c r="J122" s="3" t="b">
        <v>0</v>
      </c>
      <c r="K122" s="4">
        <f>H122 - I122</f>
        <v>0</v>
      </c>
      <c r="L122" s="4">
        <f>IF(((H122 = 0)=TRUE),  0,  ROUND(100 * I122 / H122, 2))</f>
        <v>100</v>
      </c>
      <c r="M122" s="4" t="b">
        <f>K122 = 0</f>
        <v>1</v>
      </c>
      <c r="N122" s="4" t="str">
        <f>IF(((M122)=TRUE),  "",  D122)</f>
      </c>
      <c r="O122" s="4" t="str">
        <f>IF(((M122)=TRUE),  "",  E122)</f>
      </c>
      <c r="P122" s="4">
        <f>COUNTIFS(FieldDisagreements!E2:E50, A122)</f>
        <v>0</v>
      </c>
      <c r="Q122" s="4" t="str">
        <f>_xlfn.IFNA(IF(((INDEX(ConformanceSubstrates!C2:C9, MATCH(D122,ConformanceSubstrates!A2:A9, 0))="")=TRUE),  "",  INDEX(ConformanceSubstrates!C2:C9, MATCH(D122,ConformanceSubstrates!A2:A9, 0))), "")</f>
        <v>Excel</v>
      </c>
      <c r="R122" s="4" t="str">
        <f>_xlfn.IFNA(IF(((INDEX(RulebookTables!F2:F93, MATCH(E122,RulebookTables!A2:A93, 0))="")=TRUE),  "",  INDEX(RulebookTables!F2:F93, MATCH(E122,RulebookTables!A2:A93, 0))), "")</f>
        <v>knowledge</v>
      </c>
      <c r="S122" s="3" t="s">
        <v>1918</v>
      </c>
    </row>
    <row r="123">
      <c r="A123" s="3" t="s">
        <v>14226</v>
      </c>
      <c r="B123" s="4" t="str">
        <f>_xlfn.CONCAT(D123, " / ", E123)</f>
        <v>effortless-xlsx / FAQs</v>
      </c>
      <c r="C123" s="3" t="s">
        <v>14074</v>
      </c>
      <c r="D123" s="3" t="s">
        <v>14053</v>
      </c>
      <c r="E123" s="3" t="s">
        <v>1845</v>
      </c>
      <c r="F123" s="3">
        <v>3</v>
      </c>
      <c r="G123" s="3">
        <v>1</v>
      </c>
      <c r="H123" s="3">
        <v>3</v>
      </c>
      <c r="I123" s="3">
        <v>0</v>
      </c>
      <c r="J123" s="3" t="b">
        <v>1</v>
      </c>
      <c r="K123" s="4">
        <f>H123 - I123</f>
        <v>3</v>
      </c>
      <c r="L123" s="4">
        <f>IF(((H123 = 0)=TRUE),  0,  ROUND(100 * I123 / H123, 2))</f>
        <v>0</v>
      </c>
      <c r="M123" s="4" t="b">
        <f>K123 = 0</f>
        <v>0</v>
      </c>
      <c r="N123" s="4" t="str">
        <f>IF(((M123)=TRUE),  "",  D123)</f>
        <v>effortless-xlsx</v>
      </c>
      <c r="O123" s="4" t="str">
        <f>IF(((M123)=TRUE),  "",  E123)</f>
        <v>FAQs</v>
      </c>
      <c r="P123" s="4">
        <f>COUNTIFS(FieldDisagreements!E2:E50, A123)</f>
        <v>1</v>
      </c>
      <c r="Q123" s="4" t="str">
        <f>_xlfn.IFNA(IF(((INDEX(ConformanceSubstrates!C2:C9, MATCH(D123,ConformanceSubstrates!A2:A9, 0))="")=TRUE),  "",  INDEX(ConformanceSubstrates!C2:C9, MATCH(D123,ConformanceSubstrates!A2:A9, 0))), "")</f>
        <v>Excel</v>
      </c>
      <c r="R123" s="4" t="str">
        <f>_xlfn.IFNA(IF(((INDEX(RulebookTables!F2:F93, MATCH(E123,RulebookTables!A2:A93, 0))="")=TRUE),  "",  INDEX(RulebookTables!F2:F93, MATCH(E123,RulebookTables!A2:A93, 0))), "")</f>
        <v>knowledge</v>
      </c>
      <c r="S123" s="3" t="s">
        <v>1918</v>
      </c>
    </row>
    <row r="124">
      <c r="A124" s="3" t="s">
        <v>14227</v>
      </c>
      <c r="B124" s="4" t="str">
        <f>_xlfn.CONCAT(D124, " / ", E124)</f>
        <v>effortless-xlsx / Explanations</v>
      </c>
      <c r="C124" s="3" t="s">
        <v>14074</v>
      </c>
      <c r="D124" s="3" t="s">
        <v>14053</v>
      </c>
      <c r="E124" s="3" t="s">
        <v>1848</v>
      </c>
      <c r="F124" s="3">
        <v>2</v>
      </c>
      <c r="G124" s="3">
        <v>1</v>
      </c>
      <c r="H124" s="3">
        <v>2</v>
      </c>
      <c r="I124" s="3">
        <v>2</v>
      </c>
      <c r="J124" s="3" t="b">
        <v>0</v>
      </c>
      <c r="K124" s="4">
        <f>H124 - I124</f>
        <v>0</v>
      </c>
      <c r="L124" s="4">
        <f>IF(((H124 = 0)=TRUE),  0,  ROUND(100 * I124 / H124, 2))</f>
        <v>100</v>
      </c>
      <c r="M124" s="4" t="b">
        <f>K124 = 0</f>
        <v>1</v>
      </c>
      <c r="N124" s="4" t="str">
        <f>IF(((M124)=TRUE),  "",  D124)</f>
      </c>
      <c r="O124" s="4" t="str">
        <f>IF(((M124)=TRUE),  "",  E124)</f>
      </c>
      <c r="P124" s="4">
        <f>COUNTIFS(FieldDisagreements!E2:E50, A124)</f>
        <v>0</v>
      </c>
      <c r="Q124" s="4" t="str">
        <f>_xlfn.IFNA(IF(((INDEX(ConformanceSubstrates!C2:C9, MATCH(D124,ConformanceSubstrates!A2:A9, 0))="")=TRUE),  "",  INDEX(ConformanceSubstrates!C2:C9, MATCH(D124,ConformanceSubstrates!A2:A9, 0))), "")</f>
        <v>Excel</v>
      </c>
      <c r="R124" s="4" t="str">
        <f>_xlfn.IFNA(IF(((INDEX(RulebookTables!F2:F93, MATCH(E124,RulebookTables!A2:A93, 0))="")=TRUE),  "",  INDEX(RulebookTables!F2:F93, MATCH(E124,RulebookTables!A2:A93, 0))), "")</f>
        <v>knowledge</v>
      </c>
      <c r="S124" s="3" t="s">
        <v>1918</v>
      </c>
    </row>
    <row r="125">
      <c r="A125" s="3" t="s">
        <v>14228</v>
      </c>
      <c r="B125" s="4" t="str">
        <f>_xlfn.CONCAT(D125, " / ", E125)</f>
        <v>effortless-xlsx / ProcedureExecutions</v>
      </c>
      <c r="C125" s="3" t="s">
        <v>14074</v>
      </c>
      <c r="D125" s="3" t="s">
        <v>14053</v>
      </c>
      <c r="E125" s="3" t="s">
        <v>1824</v>
      </c>
      <c r="F125" s="3">
        <v>2</v>
      </c>
      <c r="G125" s="3">
        <v>69</v>
      </c>
      <c r="H125" s="3">
        <v>138</v>
      </c>
      <c r="I125" s="3">
        <v>134</v>
      </c>
      <c r="J125" s="3" t="b">
        <v>0</v>
      </c>
      <c r="K125" s="4">
        <f>H125 - I125</f>
        <v>4</v>
      </c>
      <c r="L125" s="4">
        <f>IF(((H125 = 0)=TRUE),  0,  ROUND(100 * I125 / H125, 2))</f>
        <v>97.1</v>
      </c>
      <c r="M125" s="4" t="b">
        <f>K125 = 0</f>
        <v>0</v>
      </c>
      <c r="N125" s="4" t="str">
        <f>IF(((M125)=TRUE),  "",  D125)</f>
        <v>effortless-xlsx</v>
      </c>
      <c r="O125" s="4" t="str">
        <f>IF(((M125)=TRUE),  "",  E125)</f>
        <v>ProcedureExecutions</v>
      </c>
      <c r="P125" s="4">
        <f>COUNTIFS(FieldDisagreements!E2:E50, A125)</f>
        <v>2</v>
      </c>
      <c r="Q125" s="4" t="str">
        <f>_xlfn.IFNA(IF(((INDEX(ConformanceSubstrates!C2:C9, MATCH(D125,ConformanceSubstrates!A2:A9, 0))="")=TRUE),  "",  INDEX(ConformanceSubstrates!C2:C9, MATCH(D125,ConformanceSubstrates!A2:A9, 0))), "")</f>
        <v>Excel</v>
      </c>
      <c r="R125" s="4" t="str">
        <f>_xlfn.IFNA(IF(((INDEX(RulebookTables!F2:F93, MATCH(E125,RulebookTables!A2:A93, 0))="")=TRUE),  "",  INDEX(RulebookTables!F2:F93, MATCH(E125,RulebookTables!A2:A93, 0))), "")</f>
        <v>specification</v>
      </c>
      <c r="S125" s="3" t="s">
        <v>1918</v>
      </c>
    </row>
    <row r="126">
      <c r="A126" s="3" t="s">
        <v>14229</v>
      </c>
      <c r="B126" s="4" t="str">
        <f>_xlfn.CONCAT(D126, " / ", E126)</f>
        <v>effortless-xlsx / StepExecutions</v>
      </c>
      <c r="C126" s="3" t="s">
        <v>14074</v>
      </c>
      <c r="D126" s="3" t="s">
        <v>14053</v>
      </c>
      <c r="E126" s="3" t="s">
        <v>1827</v>
      </c>
      <c r="F126" s="3">
        <v>12</v>
      </c>
      <c r="G126" s="3">
        <v>99</v>
      </c>
      <c r="H126" s="3">
        <v>1188</v>
      </c>
      <c r="I126" s="3">
        <v>1188</v>
      </c>
      <c r="J126" s="3" t="b">
        <v>0</v>
      </c>
      <c r="K126" s="4">
        <f>H126 - I126</f>
        <v>0</v>
      </c>
      <c r="L126" s="4">
        <f>IF(((H126 = 0)=TRUE),  0,  ROUND(100 * I126 / H126, 2))</f>
        <v>100</v>
      </c>
      <c r="M126" s="4" t="b">
        <f>K126 = 0</f>
        <v>1</v>
      </c>
      <c r="N126" s="4" t="str">
        <f>IF(((M126)=TRUE),  "",  D126)</f>
      </c>
      <c r="O126" s="4" t="str">
        <f>IF(((M126)=TRUE),  "",  E126)</f>
      </c>
      <c r="P126" s="4">
        <f>COUNTIFS(FieldDisagreements!E2:E50, A126)</f>
        <v>0</v>
      </c>
      <c r="Q126" s="4" t="str">
        <f>_xlfn.IFNA(IF(((INDEX(ConformanceSubstrates!C2:C9, MATCH(D126,ConformanceSubstrates!A2:A9, 0))="")=TRUE),  "",  INDEX(ConformanceSubstrates!C2:C9, MATCH(D126,ConformanceSubstrates!A2:A9, 0))), "")</f>
        <v>Excel</v>
      </c>
      <c r="R126" s="4" t="str">
        <f>_xlfn.IFNA(IF(((INDEX(RulebookTables!F2:F93, MATCH(E126,RulebookTables!A2:A93, 0))="")=TRUE),  "",  INDEX(RulebookTables!F2:F93, MATCH(E126,RulebookTables!A2:A93, 0))), "")</f>
        <v>specification</v>
      </c>
      <c r="S126" s="3" t="s">
        <v>1918</v>
      </c>
    </row>
    <row r="127">
      <c r="A127" s="3" t="s">
        <v>14230</v>
      </c>
      <c r="B127" s="4" t="str">
        <f>_xlfn.CONCAT(D127, " / ", E127)</f>
        <v>effortless-xlsx / RequirementSatisfactions</v>
      </c>
      <c r="C127" s="3" t="s">
        <v>14074</v>
      </c>
      <c r="D127" s="3" t="s">
        <v>14053</v>
      </c>
      <c r="E127" s="3" t="s">
        <v>1830</v>
      </c>
      <c r="F127" s="3">
        <v>8</v>
      </c>
      <c r="G127" s="3">
        <v>38</v>
      </c>
      <c r="H127" s="3">
        <v>304</v>
      </c>
      <c r="I127" s="3">
        <v>280</v>
      </c>
      <c r="J127" s="3" t="b">
        <v>0</v>
      </c>
      <c r="K127" s="4">
        <f>H127 - I127</f>
        <v>24</v>
      </c>
      <c r="L127" s="4">
        <f>IF(((H127 = 0)=TRUE),  0,  ROUND(100 * I127 / H127, 2))</f>
        <v>92.11</v>
      </c>
      <c r="M127" s="4" t="b">
        <f>K127 = 0</f>
        <v>0</v>
      </c>
      <c r="N127" s="4" t="str">
        <f>IF(((M127)=TRUE),  "",  D127)</f>
        <v>effortless-xlsx</v>
      </c>
      <c r="O127" s="4" t="str">
        <f>IF(((M127)=TRUE),  "",  E127)</f>
        <v>RequirementSatisfactions</v>
      </c>
      <c r="P127" s="4">
        <f>COUNTIFS(FieldDisagreements!E2:E50, A127)</f>
        <v>3</v>
      </c>
      <c r="Q127" s="4" t="str">
        <f>_xlfn.IFNA(IF(((INDEX(ConformanceSubstrates!C2:C9, MATCH(D127,ConformanceSubstrates!A2:A9, 0))="")=TRUE),  "",  INDEX(ConformanceSubstrates!C2:C9, MATCH(D127,ConformanceSubstrates!A2:A9, 0))), "")</f>
        <v>Excel</v>
      </c>
      <c r="R127" s="4" t="str">
        <f>_xlfn.IFNA(IF(((INDEX(RulebookTables!F2:F93, MATCH(E127,RulebookTables!A2:A93, 0))="")=TRUE),  "",  INDEX(RulebookTables!F2:F93, MATCH(E127,RulebookTables!A2:A93, 0))), "")</f>
        <v>execution</v>
      </c>
      <c r="S127" s="3" t="s">
        <v>1918</v>
      </c>
    </row>
    <row r="128">
      <c r="A128" s="3" t="s">
        <v>14231</v>
      </c>
      <c r="B128" s="4" t="str">
        <f>_xlfn.CONCAT(D128, " / ", E128)</f>
        <v>effortless-xlsx / Errors</v>
      </c>
      <c r="C128" s="3" t="s">
        <v>14074</v>
      </c>
      <c r="D128" s="3" t="s">
        <v>14053</v>
      </c>
      <c r="E128" s="3" t="s">
        <v>1833</v>
      </c>
      <c r="F128" s="3">
        <v>2</v>
      </c>
      <c r="G128" s="3">
        <v>1</v>
      </c>
      <c r="H128" s="3">
        <v>2</v>
      </c>
      <c r="I128" s="3">
        <v>2</v>
      </c>
      <c r="J128" s="3" t="b">
        <v>0</v>
      </c>
      <c r="K128" s="4">
        <f>H128 - I128</f>
        <v>0</v>
      </c>
      <c r="L128" s="4">
        <f>IF(((H128 = 0)=TRUE),  0,  ROUND(100 * I128 / H128, 2))</f>
        <v>100</v>
      </c>
      <c r="M128" s="4" t="b">
        <f>K128 = 0</f>
        <v>1</v>
      </c>
      <c r="N128" s="4" t="str">
        <f>IF(((M128)=TRUE),  "",  D128)</f>
      </c>
      <c r="O128" s="4" t="str">
        <f>IF(((M128)=TRUE),  "",  E128)</f>
      </c>
      <c r="P128" s="4">
        <f>COUNTIFS(FieldDisagreements!E2:E50, A128)</f>
        <v>0</v>
      </c>
      <c r="Q128" s="4" t="str">
        <f>_xlfn.IFNA(IF(((INDEX(ConformanceSubstrates!C2:C9, MATCH(D128,ConformanceSubstrates!A2:A9, 0))="")=TRUE),  "",  INDEX(ConformanceSubstrates!C2:C9, MATCH(D128,ConformanceSubstrates!A2:A9, 0))), "")</f>
        <v>Excel</v>
      </c>
      <c r="R128" s="4" t="str">
        <f>_xlfn.IFNA(IF(((INDEX(RulebookTables!F2:F93, MATCH(E128,RulebookTables!A2:A93, 0))="")=TRUE),  "",  INDEX(RulebookTables!F2:F93, MATCH(E128,RulebookTables!A2:A93, 0))), "")</f>
        <v>execution</v>
      </c>
      <c r="S128" s="3" t="s">
        <v>1918</v>
      </c>
    </row>
    <row r="129">
      <c r="A129" s="3" t="s">
        <v>14232</v>
      </c>
      <c r="B129" s="4" t="str">
        <f>_xlfn.CONCAT(D129, " / ", E129)</f>
        <v>effortless-xlsx / IssueOccurrences</v>
      </c>
      <c r="C129" s="3" t="s">
        <v>14074</v>
      </c>
      <c r="D129" s="3" t="s">
        <v>14053</v>
      </c>
      <c r="E129" s="3" t="s">
        <v>1836</v>
      </c>
      <c r="F129" s="3">
        <v>2</v>
      </c>
      <c r="G129" s="3">
        <v>3</v>
      </c>
      <c r="H129" s="3">
        <v>6</v>
      </c>
      <c r="I129" s="3">
        <v>6</v>
      </c>
      <c r="J129" s="3" t="b">
        <v>0</v>
      </c>
      <c r="K129" s="4">
        <f>H129 - I129</f>
        <v>0</v>
      </c>
      <c r="L129" s="4">
        <f>IF(((H129 = 0)=TRUE),  0,  ROUND(100 * I129 / H129, 2))</f>
        <v>100</v>
      </c>
      <c r="M129" s="4" t="b">
        <f>K129 = 0</f>
        <v>1</v>
      </c>
      <c r="N129" s="4" t="str">
        <f>IF(((M129)=TRUE),  "",  D129)</f>
      </c>
      <c r="O129" s="4" t="str">
        <f>IF(((M129)=TRUE),  "",  E129)</f>
      </c>
      <c r="P129" s="4">
        <f>COUNTIFS(FieldDisagreements!E2:E50, A129)</f>
        <v>0</v>
      </c>
      <c r="Q129" s="4" t="str">
        <f>_xlfn.IFNA(IF(((INDEX(ConformanceSubstrates!C2:C9, MATCH(D129,ConformanceSubstrates!A2:A9, 0))="")=TRUE),  "",  INDEX(ConformanceSubstrates!C2:C9, MATCH(D129,ConformanceSubstrates!A2:A9, 0))), "")</f>
        <v>Excel</v>
      </c>
      <c r="R129" s="4" t="str">
        <f>_xlfn.IFNA(IF(((INDEX(RulebookTables!F2:F93, MATCH(E129,RulebookTables!A2:A93, 0))="")=TRUE),  "",  INDEX(RulebookTables!F2:F93, MATCH(E129,RulebookTables!A2:A93, 0))), "")</f>
        <v>execution</v>
      </c>
      <c r="S129" s="3" t="s">
        <v>1918</v>
      </c>
    </row>
    <row r="130">
      <c r="A130" s="3" t="s">
        <v>14233</v>
      </c>
      <c r="B130" s="4" t="str">
        <f>_xlfn.CONCAT(D130, " / ", E130)</f>
        <v>effortless-xlsx / UserQuestions</v>
      </c>
      <c r="C130" s="3" t="s">
        <v>14074</v>
      </c>
      <c r="D130" s="3" t="s">
        <v>14053</v>
      </c>
      <c r="E130" s="3" t="s">
        <v>1839</v>
      </c>
      <c r="F130" s="3">
        <v>2</v>
      </c>
      <c r="G130" s="3">
        <v>1</v>
      </c>
      <c r="H130" s="3">
        <v>2</v>
      </c>
      <c r="I130" s="3">
        <v>2</v>
      </c>
      <c r="J130" s="3" t="b">
        <v>0</v>
      </c>
      <c r="K130" s="4">
        <f>H130 - I130</f>
        <v>0</v>
      </c>
      <c r="L130" s="4">
        <f>IF(((H130 = 0)=TRUE),  0,  ROUND(100 * I130 / H130, 2))</f>
        <v>100</v>
      </c>
      <c r="M130" s="4" t="b">
        <f>K130 = 0</f>
        <v>1</v>
      </c>
      <c r="N130" s="4" t="str">
        <f>IF(((M130)=TRUE),  "",  D130)</f>
      </c>
      <c r="O130" s="4" t="str">
        <f>IF(((M130)=TRUE),  "",  E130)</f>
      </c>
      <c r="P130" s="4">
        <f>COUNTIFS(FieldDisagreements!E2:E50, A130)</f>
        <v>0</v>
      </c>
      <c r="Q130" s="4" t="str">
        <f>_xlfn.IFNA(IF(((INDEX(ConformanceSubstrates!C2:C9, MATCH(D130,ConformanceSubstrates!A2:A9, 0))="")=TRUE),  "",  INDEX(ConformanceSubstrates!C2:C9, MATCH(D130,ConformanceSubstrates!A2:A9, 0))), "")</f>
        <v>Excel</v>
      </c>
      <c r="R130" s="4" t="str">
        <f>_xlfn.IFNA(IF(((INDEX(RulebookTables!F2:F93, MATCH(E130,RulebookTables!A2:A93, 0))="")=TRUE),  "",  INDEX(RulebookTables!F2:F93, MATCH(E130,RulebookTables!A2:A93, 0))), "")</f>
        <v>domain</v>
      </c>
      <c r="S130" s="3" t="s">
        <v>1918</v>
      </c>
    </row>
    <row r="131">
      <c r="A131" s="3" t="s">
        <v>14234</v>
      </c>
      <c r="B131" s="4" t="str">
        <f>_xlfn.CONCAT(D131, " / ", E131)</f>
        <v>effortless-xlsx / UserFeedback</v>
      </c>
      <c r="C131" s="3" t="s">
        <v>14074</v>
      </c>
      <c r="D131" s="3" t="s">
        <v>14053</v>
      </c>
      <c r="E131" s="3" t="s">
        <v>1842</v>
      </c>
      <c r="F131" s="3">
        <v>2</v>
      </c>
      <c r="G131" s="3">
        <v>1</v>
      </c>
      <c r="H131" s="3">
        <v>2</v>
      </c>
      <c r="I131" s="3">
        <v>2</v>
      </c>
      <c r="J131" s="3" t="b">
        <v>0</v>
      </c>
      <c r="K131" s="4">
        <f>H131 - I131</f>
        <v>0</v>
      </c>
      <c r="L131" s="4">
        <f>IF(((H131 = 0)=TRUE),  0,  ROUND(100 * I131 / H131, 2))</f>
        <v>100</v>
      </c>
      <c r="M131" s="4" t="b">
        <f>K131 = 0</f>
        <v>1</v>
      </c>
      <c r="N131" s="4" t="str">
        <f>IF(((M131)=TRUE),  "",  D131)</f>
      </c>
      <c r="O131" s="4" t="str">
        <f>IF(((M131)=TRUE),  "",  E131)</f>
      </c>
      <c r="P131" s="4">
        <f>COUNTIFS(FieldDisagreements!E2:E50, A131)</f>
        <v>0</v>
      </c>
      <c r="Q131" s="4" t="str">
        <f>_xlfn.IFNA(IF(((INDEX(ConformanceSubstrates!C2:C9, MATCH(D131,ConformanceSubstrates!A2:A9, 0))="")=TRUE),  "",  INDEX(ConformanceSubstrates!C2:C9, MATCH(D131,ConformanceSubstrates!A2:A9, 0))), "")</f>
        <v>Excel</v>
      </c>
      <c r="R131" s="4" t="str">
        <f>_xlfn.IFNA(IF(((INDEX(RulebookTables!F2:F93, MATCH(E131,RulebookTables!A2:A93, 0))="")=TRUE),  "",  INDEX(RulebookTables!F2:F93, MATCH(E131,RulebookTables!A2:A93, 0))), "")</f>
        <v>domain</v>
      </c>
      <c r="S131" s="3" t="s">
        <v>1918</v>
      </c>
    </row>
    <row r="132">
      <c r="A132" s="3" t="s">
        <v>14235</v>
      </c>
      <c r="B132" s="4" t="str">
        <f>_xlfn.CONCAT(D132, " / ", E132)</f>
        <v>effortless-xlsx / StewardshipAssignments</v>
      </c>
      <c r="C132" s="3" t="s">
        <v>14074</v>
      </c>
      <c r="D132" s="3" t="s">
        <v>14053</v>
      </c>
      <c r="E132" s="3" t="s">
        <v>1859</v>
      </c>
      <c r="F132" s="3">
        <v>2</v>
      </c>
      <c r="G132" s="3">
        <v>5</v>
      </c>
      <c r="H132" s="3">
        <v>10</v>
      </c>
      <c r="I132" s="3">
        <v>10</v>
      </c>
      <c r="J132" s="3" t="b">
        <v>0</v>
      </c>
      <c r="K132" s="4">
        <f>H132 - I132</f>
        <v>0</v>
      </c>
      <c r="L132" s="4">
        <f>IF(((H132 = 0)=TRUE),  0,  ROUND(100 * I132 / H132, 2))</f>
        <v>100</v>
      </c>
      <c r="M132" s="4" t="b">
        <f>K132 = 0</f>
        <v>1</v>
      </c>
      <c r="N132" s="4" t="str">
        <f>IF(((M132)=TRUE),  "",  D132)</f>
      </c>
      <c r="O132" s="4" t="str">
        <f>IF(((M132)=TRUE),  "",  E132)</f>
      </c>
      <c r="P132" s="4">
        <f>COUNTIFS(FieldDisagreements!E2:E50, A132)</f>
        <v>0</v>
      </c>
      <c r="Q132" s="4" t="str">
        <f>_xlfn.IFNA(IF(((INDEX(ConformanceSubstrates!C2:C9, MATCH(D132,ConformanceSubstrates!A2:A9, 0))="")=TRUE),  "",  INDEX(ConformanceSubstrates!C2:C9, MATCH(D132,ConformanceSubstrates!A2:A9, 0))), "")</f>
        <v>Excel</v>
      </c>
      <c r="R132" s="4" t="str">
        <f>_xlfn.IFNA(IF(((INDEX(RulebookTables!F2:F93, MATCH(E132,RulebookTables!A2:A93, 0))="")=TRUE),  "",  INDEX(RulebookTables!F2:F93, MATCH(E132,RulebookTables!A2:A93, 0))), "")</f>
        <v>org</v>
      </c>
      <c r="S132" s="3" t="s">
        <v>1918</v>
      </c>
    </row>
    <row r="133">
      <c r="A133" s="3" t="s">
        <v>14236</v>
      </c>
      <c r="B133" s="4" t="str">
        <f>_xlfn.CONCAT(D133, " / ", E133)</f>
        <v>effortless-xlsx / ChangeRequests</v>
      </c>
      <c r="C133" s="3" t="s">
        <v>14074</v>
      </c>
      <c r="D133" s="3" t="s">
        <v>14053</v>
      </c>
      <c r="E133" s="3" t="s">
        <v>3914</v>
      </c>
      <c r="F133" s="3">
        <v>2</v>
      </c>
      <c r="G133" s="3">
        <v>32</v>
      </c>
      <c r="H133" s="3">
        <v>64</v>
      </c>
      <c r="I133" s="3">
        <v>64</v>
      </c>
      <c r="J133" s="3" t="b">
        <v>0</v>
      </c>
      <c r="K133" s="4">
        <f>H133 - I133</f>
        <v>0</v>
      </c>
      <c r="L133" s="4">
        <f>IF(((H133 = 0)=TRUE),  0,  ROUND(100 * I133 / H133, 2))</f>
        <v>100</v>
      </c>
      <c r="M133" s="4" t="b">
        <f>K133 = 0</f>
        <v>1</v>
      </c>
      <c r="N133" s="4" t="str">
        <f>IF(((M133)=TRUE),  "",  D133)</f>
      </c>
      <c r="O133" s="4" t="str">
        <f>IF(((M133)=TRUE),  "",  E133)</f>
      </c>
      <c r="P133" s="4">
        <f>COUNTIFS(FieldDisagreements!E2:E50, A133)</f>
        <v>0</v>
      </c>
      <c r="Q133" s="4" t="str">
        <f>_xlfn.IFNA(IF(((INDEX(ConformanceSubstrates!C2:C9, MATCH(D133,ConformanceSubstrates!A2:A9, 0))="")=TRUE),  "",  INDEX(ConformanceSubstrates!C2:C9, MATCH(D133,ConformanceSubstrates!A2:A9, 0))), "")</f>
        <v>Excel</v>
      </c>
      <c r="R133" s="4" t="str">
        <f>_xlfn.IFNA(IF(((INDEX(RulebookTables!F2:F93, MATCH(E133,RulebookTables!A2:A93, 0))="")=TRUE),  "",  INDEX(RulebookTables!F2:F93, MATCH(E133,RulebookTables!A2:A93, 0))), "")</f>
        <v>domain</v>
      </c>
      <c r="S133" s="3" t="s">
        <v>1918</v>
      </c>
    </row>
    <row r="134">
      <c r="A134" s="3" t="s">
        <v>14237</v>
      </c>
      <c r="B134" s="4" t="str">
        <f>_xlfn.CONCAT(D134, " / ", E134)</f>
        <v>effortless-xlsx / ReviewEvents</v>
      </c>
      <c r="C134" s="3" t="s">
        <v>14074</v>
      </c>
      <c r="D134" s="3" t="s">
        <v>14053</v>
      </c>
      <c r="E134" s="3" t="s">
        <v>3988</v>
      </c>
      <c r="F134" s="3">
        <v>3</v>
      </c>
      <c r="G134" s="3">
        <v>10</v>
      </c>
      <c r="H134" s="3">
        <v>30</v>
      </c>
      <c r="I134" s="3">
        <v>30</v>
      </c>
      <c r="J134" s="3" t="b">
        <v>0</v>
      </c>
      <c r="K134" s="4">
        <f>H134 - I134</f>
        <v>0</v>
      </c>
      <c r="L134" s="4">
        <f>IF(((H134 = 0)=TRUE),  0,  ROUND(100 * I134 / H134, 2))</f>
        <v>100</v>
      </c>
      <c r="M134" s="4" t="b">
        <f>K134 = 0</f>
        <v>1</v>
      </c>
      <c r="N134" s="4" t="str">
        <f>IF(((M134)=TRUE),  "",  D134)</f>
      </c>
      <c r="O134" s="4" t="str">
        <f>IF(((M134)=TRUE),  "",  E134)</f>
      </c>
      <c r="P134" s="4">
        <f>COUNTIFS(FieldDisagreements!E2:E50, A134)</f>
        <v>0</v>
      </c>
      <c r="Q134" s="4" t="str">
        <f>_xlfn.IFNA(IF(((INDEX(ConformanceSubstrates!C2:C9, MATCH(D134,ConformanceSubstrates!A2:A9, 0))="")=TRUE),  "",  INDEX(ConformanceSubstrates!C2:C9, MATCH(D134,ConformanceSubstrates!A2:A9, 0))), "")</f>
        <v>Excel</v>
      </c>
      <c r="R134" s="4" t="str">
        <f>_xlfn.IFNA(IF(((INDEX(RulebookTables!F2:F93, MATCH(E134,RulebookTables!A2:A93, 0))="")=TRUE),  "",  INDEX(RulebookTables!F2:F93, MATCH(E134,RulebookTables!A2:A93, 0))), "")</f>
        <v>domain</v>
      </c>
      <c r="S134" s="3" t="s">
        <v>1918</v>
      </c>
    </row>
    <row r="135">
      <c r="A135" s="3" t="s">
        <v>14238</v>
      </c>
      <c r="B135" s="4" t="str">
        <f>_xlfn.CONCAT(D135, " / ", E135)</f>
        <v>effortless-xlsx / LearningActivities</v>
      </c>
      <c r="C135" s="3" t="s">
        <v>14074</v>
      </c>
      <c r="D135" s="3" t="s">
        <v>14053</v>
      </c>
      <c r="E135" s="3" t="s">
        <v>4017</v>
      </c>
      <c r="F135" s="3">
        <v>2</v>
      </c>
      <c r="G135" s="3">
        <v>1</v>
      </c>
      <c r="H135" s="3">
        <v>2</v>
      </c>
      <c r="I135" s="3">
        <v>2</v>
      </c>
      <c r="J135" s="3" t="b">
        <v>0</v>
      </c>
      <c r="K135" s="4">
        <f>H135 - I135</f>
        <v>0</v>
      </c>
      <c r="L135" s="4">
        <f>IF(((H135 = 0)=TRUE),  0,  ROUND(100 * I135 / H135, 2))</f>
        <v>100</v>
      </c>
      <c r="M135" s="4" t="b">
        <f>K135 = 0</f>
        <v>1</v>
      </c>
      <c r="N135" s="4" t="str">
        <f>IF(((M135)=TRUE),  "",  D135)</f>
      </c>
      <c r="O135" s="4" t="str">
        <f>IF(((M135)=TRUE),  "",  E135)</f>
      </c>
      <c r="P135" s="4">
        <f>COUNTIFS(FieldDisagreements!E2:E50, A135)</f>
        <v>0</v>
      </c>
      <c r="Q135" s="4" t="str">
        <f>_xlfn.IFNA(IF(((INDEX(ConformanceSubstrates!C2:C9, MATCH(D135,ConformanceSubstrates!A2:A9, 0))="")=TRUE),  "",  INDEX(ConformanceSubstrates!C2:C9, MATCH(D135,ConformanceSubstrates!A2:A9, 0))), "")</f>
        <v>Excel</v>
      </c>
      <c r="R135" s="4" t="str">
        <f>_xlfn.IFNA(IF(((INDEX(RulebookTables!F2:F93, MATCH(E135,RulebookTables!A2:A93, 0))="")=TRUE),  "",  INDEX(RulebookTables!F2:F93, MATCH(E135,RulebookTables!A2:A93, 0))), "")</f>
        <v>domain</v>
      </c>
      <c r="S135" s="3" t="s">
        <v>1918</v>
      </c>
    </row>
    <row r="136">
      <c r="A136" s="3" t="s">
        <v>14239</v>
      </c>
      <c r="B136" s="4" t="str">
        <f>_xlfn.CONCAT(D136, " / ", E136)</f>
        <v>effortless-xlsx / OperationalBindings</v>
      </c>
      <c r="C136" s="3" t="s">
        <v>14074</v>
      </c>
      <c r="D136" s="3" t="s">
        <v>14053</v>
      </c>
      <c r="E136" s="3" t="s">
        <v>1862</v>
      </c>
      <c r="F136" s="3">
        <v>5</v>
      </c>
      <c r="G136" s="3">
        <v>11</v>
      </c>
      <c r="H136" s="3">
        <v>55</v>
      </c>
      <c r="I136" s="3">
        <v>55</v>
      </c>
      <c r="J136" s="3" t="b">
        <v>0</v>
      </c>
      <c r="K136" s="4">
        <f>H136 - I136</f>
        <v>0</v>
      </c>
      <c r="L136" s="4">
        <f>IF(((H136 = 0)=TRUE),  0,  ROUND(100 * I136 / H136, 2))</f>
        <v>100</v>
      </c>
      <c r="M136" s="4" t="b">
        <f>K136 = 0</f>
        <v>1</v>
      </c>
      <c r="N136" s="4" t="str">
        <f>IF(((M136)=TRUE),  "",  D136)</f>
      </c>
      <c r="O136" s="4" t="str">
        <f>IF(((M136)=TRUE),  "",  E136)</f>
      </c>
      <c r="P136" s="4">
        <f>COUNTIFS(FieldDisagreements!E2:E50, A136)</f>
        <v>0</v>
      </c>
      <c r="Q136" s="4" t="str">
        <f>_xlfn.IFNA(IF(((INDEX(ConformanceSubstrates!C2:C9, MATCH(D136,ConformanceSubstrates!A2:A9, 0))="")=TRUE),  "",  INDEX(ConformanceSubstrates!C2:C9, MATCH(D136,ConformanceSubstrates!A2:A9, 0))), "")</f>
        <v>Excel</v>
      </c>
      <c r="R136" s="4" t="str">
        <f>_xlfn.IFNA(IF(((INDEX(RulebookTables!F2:F93, MATCH(E136,RulebookTables!A2:A93, 0))="")=TRUE),  "",  INDEX(RulebookTables!F2:F93, MATCH(E136,RulebookTables!A2:A93, 0))), "")</f>
        <v>domain</v>
      </c>
      <c r="S136" s="3" t="s">
        <v>1918</v>
      </c>
    </row>
    <row r="137">
      <c r="A137" s="3" t="s">
        <v>14240</v>
      </c>
      <c r="B137" s="4" t="str">
        <f>_xlfn.CONCAT(D137, " / ", E137)</f>
        <v>effortless-xlsx / CommunicationPolicies</v>
      </c>
      <c r="C137" s="3" t="s">
        <v>14074</v>
      </c>
      <c r="D137" s="3" t="s">
        <v>14053</v>
      </c>
      <c r="E137" s="3" t="s">
        <v>1865</v>
      </c>
      <c r="F137" s="3">
        <v>2</v>
      </c>
      <c r="G137" s="3">
        <v>4</v>
      </c>
      <c r="H137" s="3">
        <v>8</v>
      </c>
      <c r="I137" s="3">
        <v>8</v>
      </c>
      <c r="J137" s="3" t="b">
        <v>0</v>
      </c>
      <c r="K137" s="4">
        <f>H137 - I137</f>
        <v>0</v>
      </c>
      <c r="L137" s="4">
        <f>IF(((H137 = 0)=TRUE),  0,  ROUND(100 * I137 / H137, 2))</f>
        <v>100</v>
      </c>
      <c r="M137" s="4" t="b">
        <f>K137 = 0</f>
        <v>1</v>
      </c>
      <c r="N137" s="4" t="str">
        <f>IF(((M137)=TRUE),  "",  D137)</f>
      </c>
      <c r="O137" s="4" t="str">
        <f>IF(((M137)=TRUE),  "",  E137)</f>
      </c>
      <c r="P137" s="4">
        <f>COUNTIFS(FieldDisagreements!E2:E50, A137)</f>
        <v>0</v>
      </c>
      <c r="Q137" s="4" t="str">
        <f>_xlfn.IFNA(IF(((INDEX(ConformanceSubstrates!C2:C9, MATCH(D137,ConformanceSubstrates!A2:A9, 0))="")=TRUE),  "",  INDEX(ConformanceSubstrates!C2:C9, MATCH(D137,ConformanceSubstrates!A2:A9, 0))), "")</f>
        <v>Excel</v>
      </c>
      <c r="R137" s="4" t="str">
        <f>_xlfn.IFNA(IF(((INDEX(RulebookTables!F2:F93, MATCH(E137,RulebookTables!A2:A93, 0))="")=TRUE),  "",  INDEX(RulebookTables!F2:F93, MATCH(E137,RulebookTables!A2:A93, 0))), "")</f>
        <v>communication</v>
      </c>
      <c r="S137" s="3" t="s">
        <v>1918</v>
      </c>
    </row>
    <row r="138">
      <c r="A138" s="3" t="s">
        <v>14241</v>
      </c>
      <c r="B138" s="4" t="str">
        <f>_xlfn.CONCAT(D138, " / ", E138)</f>
        <v>effortless-xlsx / MessageTemplates</v>
      </c>
      <c r="C138" s="3" t="s">
        <v>14074</v>
      </c>
      <c r="D138" s="3" t="s">
        <v>14053</v>
      </c>
      <c r="E138" s="3" t="s">
        <v>4087</v>
      </c>
      <c r="F138" s="3">
        <v>2</v>
      </c>
      <c r="G138" s="3">
        <v>16</v>
      </c>
      <c r="H138" s="3">
        <v>32</v>
      </c>
      <c r="I138" s="3">
        <v>32</v>
      </c>
      <c r="J138" s="3" t="b">
        <v>0</v>
      </c>
      <c r="K138" s="4">
        <f>H138 - I138</f>
        <v>0</v>
      </c>
      <c r="L138" s="4">
        <f>IF(((H138 = 0)=TRUE),  0,  ROUND(100 * I138 / H138, 2))</f>
        <v>100</v>
      </c>
      <c r="M138" s="4" t="b">
        <f>K138 = 0</f>
        <v>1</v>
      </c>
      <c r="N138" s="4" t="str">
        <f>IF(((M138)=TRUE),  "",  D138)</f>
      </c>
      <c r="O138" s="4" t="str">
        <f>IF(((M138)=TRUE),  "",  E138)</f>
      </c>
      <c r="P138" s="4">
        <f>COUNTIFS(FieldDisagreements!E2:E50, A138)</f>
        <v>0</v>
      </c>
      <c r="Q138" s="4" t="str">
        <f>_xlfn.IFNA(IF(((INDEX(ConformanceSubstrates!C2:C9, MATCH(D138,ConformanceSubstrates!A2:A9, 0))="")=TRUE),  "",  INDEX(ConformanceSubstrates!C2:C9, MATCH(D138,ConformanceSubstrates!A2:A9, 0))), "")</f>
        <v>Excel</v>
      </c>
      <c r="R138" s="4" t="str">
        <f>_xlfn.IFNA(IF(((INDEX(RulebookTables!F2:F93, MATCH(E138,RulebookTables!A2:A93, 0))="")=TRUE),  "",  INDEX(RulebookTables!F2:F93, MATCH(E138,RulebookTables!A2:A93, 0))), "")</f>
        <v>communication</v>
      </c>
      <c r="S138" s="3" t="s">
        <v>1918</v>
      </c>
    </row>
    <row r="139">
      <c r="A139" s="3" t="s">
        <v>14242</v>
      </c>
      <c r="B139" s="4" t="str">
        <f>_xlfn.CONCAT(D139, " / ", E139)</f>
        <v>effortless-xlsx / SemanticMappings</v>
      </c>
      <c r="C139" s="3" t="s">
        <v>14074</v>
      </c>
      <c r="D139" s="3" t="s">
        <v>14053</v>
      </c>
      <c r="E139" s="3" t="s">
        <v>4130</v>
      </c>
      <c r="F139" s="3">
        <v>47</v>
      </c>
      <c r="G139" s="3">
        <v>1</v>
      </c>
      <c r="H139" s="3">
        <v>47</v>
      </c>
      <c r="I139" s="3">
        <v>47</v>
      </c>
      <c r="J139" s="3" t="b">
        <v>0</v>
      </c>
      <c r="K139" s="4">
        <f>H139 - I139</f>
        <v>0</v>
      </c>
      <c r="L139" s="4">
        <f>IF(((H139 = 0)=TRUE),  0,  ROUND(100 * I139 / H139, 2))</f>
        <v>100</v>
      </c>
      <c r="M139" s="4" t="b">
        <f>K139 = 0</f>
        <v>1</v>
      </c>
      <c r="N139" s="4" t="str">
        <f>IF(((M139)=TRUE),  "",  D139)</f>
      </c>
      <c r="O139" s="4" t="str">
        <f>IF(((M139)=TRUE),  "",  E139)</f>
      </c>
      <c r="P139" s="4">
        <f>COUNTIFS(FieldDisagreements!E2:E50, A139)</f>
        <v>0</v>
      </c>
      <c r="Q139" s="4" t="str">
        <f>_xlfn.IFNA(IF(((INDEX(ConformanceSubstrates!C2:C9, MATCH(D139,ConformanceSubstrates!A2:A9, 0))="")=TRUE),  "",  INDEX(ConformanceSubstrates!C2:C9, MATCH(D139,ConformanceSubstrates!A2:A9, 0))), "")</f>
        <v>Excel</v>
      </c>
      <c r="R139" s="4" t="str">
        <f>_xlfn.IFNA(IF(((INDEX(RulebookTables!F2:F93, MATCH(E139,RulebookTables!A2:A93, 0))="")=TRUE),  "",  INDEX(RulebookTables!F2:F93, MATCH(E139,RulebookTables!A2:A93, 0))), "")</f>
        <v>meta</v>
      </c>
      <c r="S139" s="3" t="s">
        <v>1918</v>
      </c>
    </row>
    <row r="140">
      <c r="A140" s="3" t="s">
        <v>14243</v>
      </c>
      <c r="B140" s="4" t="str">
        <f>_xlfn.CONCAT(D140, " / ", E140)</f>
        <v>effortless-xlsx / WitnessLoops</v>
      </c>
      <c r="C140" s="3" t="s">
        <v>14074</v>
      </c>
      <c r="D140" s="3" t="s">
        <v>14053</v>
      </c>
      <c r="E140" s="3" t="s">
        <v>4140</v>
      </c>
      <c r="F140" s="3">
        <v>4</v>
      </c>
      <c r="G140" s="3">
        <v>3</v>
      </c>
      <c r="H140" s="3">
        <v>12</v>
      </c>
      <c r="I140" s="3">
        <v>12</v>
      </c>
      <c r="J140" s="3" t="b">
        <v>0</v>
      </c>
      <c r="K140" s="4">
        <f>H140 - I140</f>
        <v>0</v>
      </c>
      <c r="L140" s="4">
        <f>IF(((H140 = 0)=TRUE),  0,  ROUND(100 * I140 / H140, 2))</f>
        <v>100</v>
      </c>
      <c r="M140" s="4" t="b">
        <f>K140 = 0</f>
        <v>1</v>
      </c>
      <c r="N140" s="4" t="str">
        <f>IF(((M140)=TRUE),  "",  D140)</f>
      </c>
      <c r="O140" s="4" t="str">
        <f>IF(((M140)=TRUE),  "",  E140)</f>
      </c>
      <c r="P140" s="4">
        <f>COUNTIFS(FieldDisagreements!E2:E50, A140)</f>
        <v>0</v>
      </c>
      <c r="Q140" s="4" t="str">
        <f>_xlfn.IFNA(IF(((INDEX(ConformanceSubstrates!C2:C9, MATCH(D140,ConformanceSubstrates!A2:A9, 0))="")=TRUE),  "",  INDEX(ConformanceSubstrates!C2:C9, MATCH(D140,ConformanceSubstrates!A2:A9, 0))), "")</f>
        <v>Excel</v>
      </c>
      <c r="R140" s="4" t="str">
        <f>_xlfn.IFNA(IF(((INDEX(RulebookTables!F2:F93, MATCH(E140,RulebookTables!A2:A93, 0))="")=TRUE),  "",  INDEX(RulebookTables!F2:F93, MATCH(E140,RulebookTables!A2:A93, 0))), "")</f>
        <v>meta</v>
      </c>
      <c r="S140" s="3" t="s">
        <v>1918</v>
      </c>
    </row>
    <row r="141">
      <c r="A141" s="3" t="s">
        <v>14244</v>
      </c>
      <c r="B141" s="4" t="str">
        <f>_xlfn.CONCAT(D141, " / ", E141)</f>
        <v>effortless-xlsx / RoleQuestions</v>
      </c>
      <c r="C141" s="3" t="s">
        <v>14074</v>
      </c>
      <c r="D141" s="3" t="s">
        <v>14053</v>
      </c>
      <c r="E141" s="3" t="s">
        <v>4157</v>
      </c>
      <c r="F141" s="3">
        <v>111</v>
      </c>
      <c r="G141" s="3">
        <v>3</v>
      </c>
      <c r="H141" s="3">
        <v>333</v>
      </c>
      <c r="I141" s="3">
        <v>333</v>
      </c>
      <c r="J141" s="3" t="b">
        <v>0</v>
      </c>
      <c r="K141" s="4">
        <f>H141 - I141</f>
        <v>0</v>
      </c>
      <c r="L141" s="4">
        <f>IF(((H141 = 0)=TRUE),  0,  ROUND(100 * I141 / H141, 2))</f>
        <v>100</v>
      </c>
      <c r="M141" s="4" t="b">
        <f>K141 = 0</f>
        <v>1</v>
      </c>
      <c r="N141" s="4" t="str">
        <f>IF(((M141)=TRUE),  "",  D141)</f>
      </c>
      <c r="O141" s="4" t="str">
        <f>IF(((M141)=TRUE),  "",  E141)</f>
      </c>
      <c r="P141" s="4">
        <f>COUNTIFS(FieldDisagreements!E2:E50, A141)</f>
        <v>0</v>
      </c>
      <c r="Q141" s="4" t="str">
        <f>_xlfn.IFNA(IF(((INDEX(ConformanceSubstrates!C2:C9, MATCH(D141,ConformanceSubstrates!A2:A9, 0))="")=TRUE),  "",  INDEX(ConformanceSubstrates!C2:C9, MATCH(D141,ConformanceSubstrates!A2:A9, 0))), "")</f>
        <v>Excel</v>
      </c>
      <c r="R141" s="4" t="str">
        <f>_xlfn.IFNA(IF(((INDEX(RulebookTables!F2:F93, MATCH(E141,RulebookTables!A2:A93, 0))="")=TRUE),  "",  INDEX(RulebookTables!F2:F93, MATCH(E141,RulebookTables!A2:A93, 0))), "")</f>
        <v>org</v>
      </c>
      <c r="S141" s="3" t="s">
        <v>1918</v>
      </c>
    </row>
    <row r="142">
      <c r="A142" s="3" t="s">
        <v>14245</v>
      </c>
      <c r="B142" s="4" t="str">
        <f>_xlfn.CONCAT(D142, " / ", E142)</f>
        <v>effortless-xlsx / RulebookFields</v>
      </c>
      <c r="C142" s="3" t="s">
        <v>14074</v>
      </c>
      <c r="D142" s="3" t="s">
        <v>14053</v>
      </c>
      <c r="E142" s="3" t="s">
        <v>4172</v>
      </c>
      <c r="F142" s="3">
        <v>1897</v>
      </c>
      <c r="G142" s="3">
        <v>5</v>
      </c>
      <c r="H142" s="3">
        <v>9485</v>
      </c>
      <c r="I142" s="3">
        <v>9485</v>
      </c>
      <c r="J142" s="3" t="b">
        <v>0</v>
      </c>
      <c r="K142" s="4">
        <f>H142 - I142</f>
        <v>0</v>
      </c>
      <c r="L142" s="4">
        <f>IF(((H142 = 0)=TRUE),  0,  ROUND(100 * I142 / H142, 2))</f>
        <v>100</v>
      </c>
      <c r="M142" s="4" t="b">
        <f>K142 = 0</f>
        <v>1</v>
      </c>
      <c r="N142" s="4" t="str">
        <f>IF(((M142)=TRUE),  "",  D142)</f>
      </c>
      <c r="O142" s="4" t="str">
        <f>IF(((M142)=TRUE),  "",  E142)</f>
      </c>
      <c r="P142" s="4">
        <f>COUNTIFS(FieldDisagreements!E2:E50, A142)</f>
        <v>0</v>
      </c>
      <c r="Q142" s="4" t="str">
        <f>_xlfn.IFNA(IF(((INDEX(ConformanceSubstrates!C2:C9, MATCH(D142,ConformanceSubstrates!A2:A9, 0))="")=TRUE),  "",  INDEX(ConformanceSubstrates!C2:C9, MATCH(D142,ConformanceSubstrates!A2:A9, 0))), "")</f>
        <v>Excel</v>
      </c>
      <c r="R142" s="4" t="str">
        <f>_xlfn.IFNA(IF(((INDEX(RulebookTables!F2:F93, MATCH(E142,RulebookTables!A2:A93, 0))="")=TRUE),  "",  INDEX(RulebookTables!F2:F93, MATCH(E142,RulebookTables!A2:A93, 0))), "")</f>
        <v>access-control</v>
      </c>
      <c r="S142" s="3" t="s">
        <v>1918</v>
      </c>
    </row>
    <row r="143">
      <c r="A143" s="3" t="s">
        <v>14246</v>
      </c>
      <c r="B143" s="4" t="str">
        <f>_xlfn.CONCAT(D143, " / ", E143)</f>
        <v>effortless-xlsx / TestSuites</v>
      </c>
      <c r="C143" s="3" t="s">
        <v>14074</v>
      </c>
      <c r="D143" s="3" t="s">
        <v>14053</v>
      </c>
      <c r="E143" s="3" t="s">
        <v>4191</v>
      </c>
      <c r="F143" s="3">
        <v>6</v>
      </c>
      <c r="G143" s="3">
        <v>5</v>
      </c>
      <c r="H143" s="3">
        <v>30</v>
      </c>
      <c r="I143" s="3">
        <v>30</v>
      </c>
      <c r="J143" s="3" t="b">
        <v>0</v>
      </c>
      <c r="K143" s="4">
        <f>H143 - I143</f>
        <v>0</v>
      </c>
      <c r="L143" s="4">
        <f>IF(((H143 = 0)=TRUE),  0,  ROUND(100 * I143 / H143, 2))</f>
        <v>100</v>
      </c>
      <c r="M143" s="4" t="b">
        <f>K143 = 0</f>
        <v>1</v>
      </c>
      <c r="N143" s="4" t="str">
        <f>IF(((M143)=TRUE),  "",  D143)</f>
      </c>
      <c r="O143" s="4" t="str">
        <f>IF(((M143)=TRUE),  "",  E143)</f>
      </c>
      <c r="P143" s="4">
        <f>COUNTIFS(FieldDisagreements!E2:E50, A143)</f>
        <v>0</v>
      </c>
      <c r="Q143" s="4" t="str">
        <f>_xlfn.IFNA(IF(((INDEX(ConformanceSubstrates!C2:C9, MATCH(D143,ConformanceSubstrates!A2:A9, 0))="")=TRUE),  "",  INDEX(ConformanceSubstrates!C2:C9, MATCH(D143,ConformanceSubstrates!A2:A9, 0))), "")</f>
        <v>Excel</v>
      </c>
      <c r="R143" s="4" t="str">
        <f>_xlfn.IFNA(IF(((INDEX(RulebookTables!F2:F93, MATCH(E143,RulebookTables!A2:A93, 0))="")=TRUE),  "",  INDEX(RulebookTables!F2:F93, MATCH(E143,RulebookTables!A2:A93, 0))), "")</f>
        <v>meta</v>
      </c>
      <c r="S143" s="3" t="s">
        <v>1918</v>
      </c>
    </row>
    <row r="144">
      <c r="A144" s="3" t="s">
        <v>14247</v>
      </c>
      <c r="B144" s="4" t="str">
        <f>_xlfn.CONCAT(D144, " / ", E144)</f>
        <v>effortless-xlsx / TestCases</v>
      </c>
      <c r="C144" s="3" t="s">
        <v>14074</v>
      </c>
      <c r="D144" s="3" t="s">
        <v>14053</v>
      </c>
      <c r="E144" s="3" t="s">
        <v>4209</v>
      </c>
      <c r="F144" s="3">
        <v>1794</v>
      </c>
      <c r="G144" s="3">
        <v>7</v>
      </c>
      <c r="H144" s="3">
        <v>12558</v>
      </c>
      <c r="I144" s="3">
        <v>12558</v>
      </c>
      <c r="J144" s="3" t="b">
        <v>0</v>
      </c>
      <c r="K144" s="4">
        <f>H144 - I144</f>
        <v>0</v>
      </c>
      <c r="L144" s="4">
        <f>IF(((H144 = 0)=TRUE),  0,  ROUND(100 * I144 / H144, 2))</f>
        <v>100</v>
      </c>
      <c r="M144" s="4" t="b">
        <f>K144 = 0</f>
        <v>1</v>
      </c>
      <c r="N144" s="4" t="str">
        <f>IF(((M144)=TRUE),  "",  D144)</f>
      </c>
      <c r="O144" s="4" t="str">
        <f>IF(((M144)=TRUE),  "",  E144)</f>
      </c>
      <c r="P144" s="4">
        <f>COUNTIFS(FieldDisagreements!E2:E50, A144)</f>
        <v>0</v>
      </c>
      <c r="Q144" s="4" t="str">
        <f>_xlfn.IFNA(IF(((INDEX(ConformanceSubstrates!C2:C9, MATCH(D144,ConformanceSubstrates!A2:A9, 0))="")=TRUE),  "",  INDEX(ConformanceSubstrates!C2:C9, MATCH(D144,ConformanceSubstrates!A2:A9, 0))), "")</f>
        <v>Excel</v>
      </c>
      <c r="R144" s="4" t="str">
        <f>_xlfn.IFNA(IF(((INDEX(RulebookTables!F2:F93, MATCH(E144,RulebookTables!A2:A93, 0))="")=TRUE),  "",  INDEX(RulebookTables!F2:F93, MATCH(E144,RulebookTables!A2:A93, 0))), "")</f>
        <v>meta</v>
      </c>
      <c r="S144" s="3" t="s">
        <v>1918</v>
      </c>
    </row>
    <row r="145">
      <c r="A145" s="3" t="s">
        <v>14248</v>
      </c>
      <c r="B145" s="4" t="str">
        <f>_xlfn.CONCAT(D145, " / ", E145)</f>
        <v>effortless-xlsx / ExceptionInvocations</v>
      </c>
      <c r="C145" s="3" t="s">
        <v>14074</v>
      </c>
      <c r="D145" s="3" t="s">
        <v>14053</v>
      </c>
      <c r="E145" s="3" t="s">
        <v>4287</v>
      </c>
      <c r="F145" s="3">
        <v>1</v>
      </c>
      <c r="G145" s="3">
        <v>13</v>
      </c>
      <c r="H145" s="3">
        <v>13</v>
      </c>
      <c r="I145" s="3">
        <v>13</v>
      </c>
      <c r="J145" s="3" t="b">
        <v>0</v>
      </c>
      <c r="K145" s="4">
        <f>H145 - I145</f>
        <v>0</v>
      </c>
      <c r="L145" s="4">
        <f>IF(((H145 = 0)=TRUE),  0,  ROUND(100 * I145 / H145, 2))</f>
        <v>100</v>
      </c>
      <c r="M145" s="4" t="b">
        <f>K145 = 0</f>
        <v>1</v>
      </c>
      <c r="N145" s="4" t="str">
        <f>IF(((M145)=TRUE),  "",  D145)</f>
      </c>
      <c r="O145" s="4" t="str">
        <f>IF(((M145)=TRUE),  "",  E145)</f>
      </c>
      <c r="P145" s="4">
        <f>COUNTIFS(FieldDisagreements!E2:E50, A145)</f>
        <v>0</v>
      </c>
      <c r="Q145" s="4" t="str">
        <f>_xlfn.IFNA(IF(((INDEX(ConformanceSubstrates!C2:C9, MATCH(D145,ConformanceSubstrates!A2:A9, 0))="")=TRUE),  "",  INDEX(ConformanceSubstrates!C2:C9, MATCH(D145,ConformanceSubstrates!A2:A9, 0))), "")</f>
        <v>Excel</v>
      </c>
      <c r="R145" s="4" t="str">
        <f>_xlfn.IFNA(IF(((INDEX(RulebookTables!F2:F93, MATCH(E145,RulebookTables!A2:A93, 0))="")=TRUE),  "",  INDEX(RulebookTables!F2:F93, MATCH(E145,RulebookTables!A2:A93, 0))), "")</f>
        <v>governance</v>
      </c>
      <c r="S145" s="3" t="s">
        <v>1918</v>
      </c>
    </row>
    <row r="146">
      <c r="A146" s="3" t="s">
        <v>14249</v>
      </c>
      <c r="B146" s="4" t="str">
        <f>_xlfn.CONCAT(D146, " / ", E146)</f>
        <v>effortless-xlsx / VerificationOutcomes</v>
      </c>
      <c r="C146" s="3" t="s">
        <v>14074</v>
      </c>
      <c r="D146" s="3" t="s">
        <v>14053</v>
      </c>
      <c r="E146" s="3" t="s">
        <v>4337</v>
      </c>
      <c r="F146" s="3">
        <v>4</v>
      </c>
      <c r="G146" s="3">
        <v>18</v>
      </c>
      <c r="H146" s="3">
        <v>72</v>
      </c>
      <c r="I146" s="3">
        <v>72</v>
      </c>
      <c r="J146" s="3" t="b">
        <v>0</v>
      </c>
      <c r="K146" s="4">
        <f>H146 - I146</f>
        <v>0</v>
      </c>
      <c r="L146" s="4">
        <f>IF(((H146 = 0)=TRUE),  0,  ROUND(100 * I146 / H146, 2))</f>
        <v>100</v>
      </c>
      <c r="M146" s="4" t="b">
        <f>K146 = 0</f>
        <v>1</v>
      </c>
      <c r="N146" s="4" t="str">
        <f>IF(((M146)=TRUE),  "",  D146)</f>
      </c>
      <c r="O146" s="4" t="str">
        <f>IF(((M146)=TRUE),  "",  E146)</f>
      </c>
      <c r="P146" s="4">
        <f>COUNTIFS(FieldDisagreements!E2:E50, A146)</f>
        <v>0</v>
      </c>
      <c r="Q146" s="4" t="str">
        <f>_xlfn.IFNA(IF(((INDEX(ConformanceSubstrates!C2:C9, MATCH(D146,ConformanceSubstrates!A2:A9, 0))="")=TRUE),  "",  INDEX(ConformanceSubstrates!C2:C9, MATCH(D146,ConformanceSubstrates!A2:A9, 0))), "")</f>
        <v>Excel</v>
      </c>
      <c r="R146" s="4" t="str">
        <f>_xlfn.IFNA(IF(((INDEX(RulebookTables!F2:F93, MATCH(E146,RulebookTables!A2:A93, 0))="")=TRUE),  "",  INDEX(RulebookTables!F2:F93, MATCH(E146,RulebookTables!A2:A93, 0))), "")</f>
        <v>execution</v>
      </c>
      <c r="S146" s="3" t="s">
        <v>1918</v>
      </c>
    </row>
    <row r="147">
      <c r="A147" s="3" t="s">
        <v>14250</v>
      </c>
      <c r="B147" s="4" t="str">
        <f>_xlfn.CONCAT(D147, " / ", E147)</f>
        <v>effortless-xlsx / ObservedTransitions</v>
      </c>
      <c r="C147" s="3" t="s">
        <v>14074</v>
      </c>
      <c r="D147" s="3" t="s">
        <v>14053</v>
      </c>
      <c r="E147" s="3" t="s">
        <v>4398</v>
      </c>
      <c r="F147" s="3">
        <v>10</v>
      </c>
      <c r="G147" s="3">
        <v>1</v>
      </c>
      <c r="H147" s="3">
        <v>10</v>
      </c>
      <c r="I147" s="3">
        <v>10</v>
      </c>
      <c r="J147" s="3" t="b">
        <v>0</v>
      </c>
      <c r="K147" s="4">
        <f>H147 - I147</f>
        <v>0</v>
      </c>
      <c r="L147" s="4">
        <f>IF(((H147 = 0)=TRUE),  0,  ROUND(100 * I147 / H147, 2))</f>
        <v>100</v>
      </c>
      <c r="M147" s="4" t="b">
        <f>K147 = 0</f>
        <v>1</v>
      </c>
      <c r="N147" s="4" t="str">
        <f>IF(((M147)=TRUE),  "",  D147)</f>
      </c>
      <c r="O147" s="4" t="str">
        <f>IF(((M147)=TRUE),  "",  E147)</f>
      </c>
      <c r="P147" s="4">
        <f>COUNTIFS(FieldDisagreements!E2:E50, A147)</f>
        <v>0</v>
      </c>
      <c r="Q147" s="4" t="str">
        <f>_xlfn.IFNA(IF(((INDEX(ConformanceSubstrates!C2:C9, MATCH(D147,ConformanceSubstrates!A2:A9, 0))="")=TRUE),  "",  INDEX(ConformanceSubstrates!C2:C9, MATCH(D147,ConformanceSubstrates!A2:A9, 0))), "")</f>
        <v>Excel</v>
      </c>
      <c r="R147" s="4" t="str">
        <f>_xlfn.IFNA(IF(((INDEX(RulebookTables!F2:F93, MATCH(E147,RulebookTables!A2:A93, 0))="")=TRUE),  "",  INDEX(RulebookTables!F2:F93, MATCH(E147,RulebookTables!A2:A93, 0))), "")</f>
        <v>specification</v>
      </c>
      <c r="S147" s="3" t="s">
        <v>1918</v>
      </c>
    </row>
    <row r="148">
      <c r="A148" s="3" t="s">
        <v>14251</v>
      </c>
      <c r="B148" s="4" t="str">
        <f>_xlfn.CONCAT(D148, " / ", E148)</f>
        <v>effortless-xlsx / Recipients</v>
      </c>
      <c r="C148" s="3" t="s">
        <v>14074</v>
      </c>
      <c r="D148" s="3" t="s">
        <v>14053</v>
      </c>
      <c r="E148" s="3" t="s">
        <v>4412</v>
      </c>
      <c r="F148" s="3">
        <v>5</v>
      </c>
      <c r="G148" s="3">
        <v>6</v>
      </c>
      <c r="H148" s="3">
        <v>30</v>
      </c>
      <c r="I148" s="3">
        <v>30</v>
      </c>
      <c r="J148" s="3" t="b">
        <v>0</v>
      </c>
      <c r="K148" s="4">
        <f>H148 - I148</f>
        <v>0</v>
      </c>
      <c r="L148" s="4">
        <f>IF(((H148 = 0)=TRUE),  0,  ROUND(100 * I148 / H148, 2))</f>
        <v>100</v>
      </c>
      <c r="M148" s="4" t="b">
        <f>K148 = 0</f>
        <v>1</v>
      </c>
      <c r="N148" s="4" t="str">
        <f>IF(((M148)=TRUE),  "",  D148)</f>
      </c>
      <c r="O148" s="4" t="str">
        <f>IF(((M148)=TRUE),  "",  E148)</f>
      </c>
      <c r="P148" s="4">
        <f>COUNTIFS(FieldDisagreements!E2:E50, A148)</f>
        <v>0</v>
      </c>
      <c r="Q148" s="4" t="str">
        <f>_xlfn.IFNA(IF(((INDEX(ConformanceSubstrates!C2:C9, MATCH(D148,ConformanceSubstrates!A2:A9, 0))="")=TRUE),  "",  INDEX(ConformanceSubstrates!C2:C9, MATCH(D148,ConformanceSubstrates!A2:A9, 0))), "")</f>
        <v>Excel</v>
      </c>
      <c r="R148" s="4" t="str">
        <f>_xlfn.IFNA(IF(((INDEX(RulebookTables!F2:F93, MATCH(E148,RulebookTables!A2:A93, 0))="")=TRUE),  "",  INDEX(RulebookTables!F2:F93, MATCH(E148,RulebookTables!A2:A93, 0))), "")</f>
        <v>communication</v>
      </c>
      <c r="S148" s="3" t="s">
        <v>1918</v>
      </c>
    </row>
    <row r="149">
      <c r="A149" s="3" t="s">
        <v>14252</v>
      </c>
      <c r="B149" s="4" t="str">
        <f>_xlfn.CONCAT(D149, " / ", E149)</f>
        <v>effortless-xlsx / MessageDeliveries</v>
      </c>
      <c r="C149" s="3" t="s">
        <v>14074</v>
      </c>
      <c r="D149" s="3" t="s">
        <v>14053</v>
      </c>
      <c r="E149" s="3" t="s">
        <v>4444</v>
      </c>
      <c r="F149" s="3">
        <v>6</v>
      </c>
      <c r="G149" s="3">
        <v>74</v>
      </c>
      <c r="H149" s="3">
        <v>444</v>
      </c>
      <c r="I149" s="3">
        <v>433</v>
      </c>
      <c r="J149" s="3" t="b">
        <v>0</v>
      </c>
      <c r="K149" s="4">
        <f>H149 - I149</f>
        <v>11</v>
      </c>
      <c r="L149" s="4">
        <f>IF(((H149 = 0)=TRUE),  0,  ROUND(100 * I149 / H149, 2))</f>
        <v>97.52</v>
      </c>
      <c r="M149" s="4" t="b">
        <f>K149 = 0</f>
        <v>0</v>
      </c>
      <c r="N149" s="4" t="str">
        <f>IF(((M149)=TRUE),  "",  D149)</f>
        <v>effortless-xlsx</v>
      </c>
      <c r="O149" s="4" t="str">
        <f>IF(((M149)=TRUE),  "",  E149)</f>
        <v>MessageDeliveries</v>
      </c>
      <c r="P149" s="4">
        <f>COUNTIFS(FieldDisagreements!E2:E50, A149)</f>
        <v>5</v>
      </c>
      <c r="Q149" s="4" t="str">
        <f>_xlfn.IFNA(IF(((INDEX(ConformanceSubstrates!C2:C9, MATCH(D149,ConformanceSubstrates!A2:A9, 0))="")=TRUE),  "",  INDEX(ConformanceSubstrates!C2:C9, MATCH(D149,ConformanceSubstrates!A2:A9, 0))), "")</f>
        <v>Excel</v>
      </c>
      <c r="R149" s="4" t="str">
        <f>_xlfn.IFNA(IF(((INDEX(RulebookTables!F2:F93, MATCH(E149,RulebookTables!A2:A93, 0))="")=TRUE),  "",  INDEX(RulebookTables!F2:F93, MATCH(E149,RulebookTables!A2:A93, 0))), "")</f>
        <v>communication</v>
      </c>
      <c r="S149" s="3" t="s">
        <v>1918</v>
      </c>
    </row>
    <row r="150">
      <c r="A150" s="3" t="s">
        <v>14253</v>
      </c>
      <c r="B150" s="4" t="str">
        <f>_xlfn.CONCAT(D150, " / ", E150)</f>
        <v>effortless-xlsx / TemplateApprovals</v>
      </c>
      <c r="C150" s="3" t="s">
        <v>14074</v>
      </c>
      <c r="D150" s="3" t="s">
        <v>14053</v>
      </c>
      <c r="E150" s="3" t="s">
        <v>4698</v>
      </c>
      <c r="F150" s="3">
        <v>2</v>
      </c>
      <c r="G150" s="3">
        <v>6</v>
      </c>
      <c r="H150" s="3">
        <v>12</v>
      </c>
      <c r="I150" s="3">
        <v>12</v>
      </c>
      <c r="J150" s="3" t="b">
        <v>0</v>
      </c>
      <c r="K150" s="4">
        <f>H150 - I150</f>
        <v>0</v>
      </c>
      <c r="L150" s="4">
        <f>IF(((H150 = 0)=TRUE),  0,  ROUND(100 * I150 / H150, 2))</f>
        <v>100</v>
      </c>
      <c r="M150" s="4" t="b">
        <f>K150 = 0</f>
        <v>1</v>
      </c>
      <c r="N150" s="4" t="str">
        <f>IF(((M150)=TRUE),  "",  D150)</f>
      </c>
      <c r="O150" s="4" t="str">
        <f>IF(((M150)=TRUE),  "",  E150)</f>
      </c>
      <c r="P150" s="4">
        <f>COUNTIFS(FieldDisagreements!E2:E50, A150)</f>
        <v>0</v>
      </c>
      <c r="Q150" s="4" t="str">
        <f>_xlfn.IFNA(IF(((INDEX(ConformanceSubstrates!C2:C9, MATCH(D150,ConformanceSubstrates!A2:A9, 0))="")=TRUE),  "",  INDEX(ConformanceSubstrates!C2:C9, MATCH(D150,ConformanceSubstrates!A2:A9, 0))), "")</f>
        <v>Excel</v>
      </c>
      <c r="R150" s="4" t="str">
        <f>_xlfn.IFNA(IF(((INDEX(RulebookTables!F2:F93, MATCH(E150,RulebookTables!A2:A93, 0))="")=TRUE),  "",  INDEX(RulebookTables!F2:F93, MATCH(E150,RulebookTables!A2:A93, 0))), "")</f>
        <v>communication</v>
      </c>
      <c r="S150" s="3" t="s">
        <v>1918</v>
      </c>
    </row>
    <row r="151">
      <c r="A151" s="3" t="s">
        <v>14254</v>
      </c>
      <c r="B151" s="4" t="str">
        <f>_xlfn.CONCAT(D151, " / ", E151)</f>
        <v>effortless-xlsx / SendIntents</v>
      </c>
      <c r="C151" s="3" t="s">
        <v>14074</v>
      </c>
      <c r="D151" s="3" t="s">
        <v>14053</v>
      </c>
      <c r="E151" s="3" t="s">
        <v>4728</v>
      </c>
      <c r="F151" s="3">
        <v>7</v>
      </c>
      <c r="G151" s="3">
        <v>79</v>
      </c>
      <c r="H151" s="3">
        <v>553</v>
      </c>
      <c r="I151" s="3">
        <v>553</v>
      </c>
      <c r="J151" s="3" t="b">
        <v>0</v>
      </c>
      <c r="K151" s="4">
        <f>H151 - I151</f>
        <v>0</v>
      </c>
      <c r="L151" s="4">
        <f>IF(((H151 = 0)=TRUE),  0,  ROUND(100 * I151 / H151, 2))</f>
        <v>100</v>
      </c>
      <c r="M151" s="4" t="b">
        <f>K151 = 0</f>
        <v>1</v>
      </c>
      <c r="N151" s="4" t="str">
        <f>IF(((M151)=TRUE),  "",  D151)</f>
      </c>
      <c r="O151" s="4" t="str">
        <f>IF(((M151)=TRUE),  "",  E151)</f>
      </c>
      <c r="P151" s="4">
        <f>COUNTIFS(FieldDisagreements!E2:E50, A151)</f>
        <v>0</v>
      </c>
      <c r="Q151" s="4" t="str">
        <f>_xlfn.IFNA(IF(((INDEX(ConformanceSubstrates!C2:C9, MATCH(D151,ConformanceSubstrates!A2:A9, 0))="")=TRUE),  "",  INDEX(ConformanceSubstrates!C2:C9, MATCH(D151,ConformanceSubstrates!A2:A9, 0))), "")</f>
        <v>Excel</v>
      </c>
      <c r="R151" s="4" t="str">
        <f>_xlfn.IFNA(IF(((INDEX(RulebookTables!F2:F93, MATCH(E151,RulebookTables!A2:A93, 0))="")=TRUE),  "",  INDEX(RulebookTables!F2:F93, MATCH(E151,RulebookTables!A2:A93, 0))), "")</f>
        <v>communication</v>
      </c>
      <c r="S151" s="3" t="s">
        <v>1918</v>
      </c>
    </row>
    <row r="152">
      <c r="A152" s="3" t="s">
        <v>14255</v>
      </c>
      <c r="B152" s="4" t="str">
        <f>_xlfn.CONCAT(D152, " / ", E152)</f>
        <v>effortless-xlsx / AgentDecisionRecords</v>
      </c>
      <c r="C152" s="3" t="s">
        <v>14074</v>
      </c>
      <c r="D152" s="3" t="s">
        <v>14053</v>
      </c>
      <c r="E152" s="3" t="s">
        <v>4994</v>
      </c>
      <c r="F152" s="3">
        <v>3</v>
      </c>
      <c r="G152" s="3">
        <v>27</v>
      </c>
      <c r="H152" s="3">
        <v>81</v>
      </c>
      <c r="I152" s="3">
        <v>78</v>
      </c>
      <c r="J152" s="3" t="b">
        <v>0</v>
      </c>
      <c r="K152" s="4">
        <f>H152 - I152</f>
        <v>3</v>
      </c>
      <c r="L152" s="4">
        <f>IF(((H152 = 0)=TRUE),  0,  ROUND(100 * I152 / H152, 2))</f>
        <v>96.3</v>
      </c>
      <c r="M152" s="4" t="b">
        <f>K152 = 0</f>
        <v>0</v>
      </c>
      <c r="N152" s="4" t="str">
        <f>IF(((M152)=TRUE),  "",  D152)</f>
        <v>effortless-xlsx</v>
      </c>
      <c r="O152" s="4" t="str">
        <f>IF(((M152)=TRUE),  "",  E152)</f>
        <v>AgentDecisionRecords</v>
      </c>
      <c r="P152" s="4">
        <f>COUNTIFS(FieldDisagreements!E2:E50, A152)</f>
        <v>1</v>
      </c>
      <c r="Q152" s="4" t="str">
        <f>_xlfn.IFNA(IF(((INDEX(ConformanceSubstrates!C2:C9, MATCH(D152,ConformanceSubstrates!A2:A9, 0))="")=TRUE),  "",  INDEX(ConformanceSubstrates!C2:C9, MATCH(D152,ConformanceSubstrates!A2:A9, 0))), "")</f>
        <v>Excel</v>
      </c>
      <c r="R152" s="4" t="str">
        <f>_xlfn.IFNA(IF(((INDEX(RulebookTables!F2:F93, MATCH(E152,RulebookTables!A2:A93, 0))="")=TRUE),  "",  INDEX(RulebookTables!F2:F93, MATCH(E152,RulebookTables!A2:A93, 0))), "")</f>
        <v>org</v>
      </c>
      <c r="S152" s="3" t="s">
        <v>1918</v>
      </c>
    </row>
    <row r="153">
      <c r="A153" s="3" t="s">
        <v>14256</v>
      </c>
      <c r="B153" s="4" t="str">
        <f>_xlfn.CONCAT(D153, " / ", E153)</f>
        <v>effortless-xlsx / DeliveredCommunications</v>
      </c>
      <c r="C153" s="3" t="s">
        <v>14074</v>
      </c>
      <c r="D153" s="3" t="s">
        <v>14053</v>
      </c>
      <c r="E153" s="3" t="s">
        <v>5095</v>
      </c>
      <c r="F153" s="3">
        <v>1</v>
      </c>
      <c r="G153" s="3">
        <v>6</v>
      </c>
      <c r="H153" s="3">
        <v>6</v>
      </c>
      <c r="I153" s="3">
        <v>6</v>
      </c>
      <c r="J153" s="3" t="b">
        <v>0</v>
      </c>
      <c r="K153" s="4">
        <f>H153 - I153</f>
        <v>0</v>
      </c>
      <c r="L153" s="4">
        <f>IF(((H153 = 0)=TRUE),  0,  ROUND(100 * I153 / H153, 2))</f>
        <v>100</v>
      </c>
      <c r="M153" s="4" t="b">
        <f>K153 = 0</f>
        <v>1</v>
      </c>
      <c r="N153" s="4" t="str">
        <f>IF(((M153)=TRUE),  "",  D153)</f>
      </c>
      <c r="O153" s="4" t="str">
        <f>IF(((M153)=TRUE),  "",  E153)</f>
      </c>
      <c r="P153" s="4">
        <f>COUNTIFS(FieldDisagreements!E2:E50, A153)</f>
        <v>0</v>
      </c>
      <c r="Q153" s="4" t="str">
        <f>_xlfn.IFNA(IF(((INDEX(ConformanceSubstrates!C2:C9, MATCH(D153,ConformanceSubstrates!A2:A9, 0))="")=TRUE),  "",  INDEX(ConformanceSubstrates!C2:C9, MATCH(D153,ConformanceSubstrates!A2:A9, 0))), "")</f>
        <v>Excel</v>
      </c>
      <c r="R153" s="4" t="str">
        <f>_xlfn.IFNA(IF(((INDEX(RulebookTables!F2:F93, MATCH(E153,RulebookTables!A2:A93, 0))="")=TRUE),  "",  INDEX(RulebookTables!F2:F93, MATCH(E153,RulebookTables!A2:A93, 0))), "")</f>
        <v>communication</v>
      </c>
      <c r="S153" s="3" t="s">
        <v>1918</v>
      </c>
    </row>
    <row r="154">
      <c r="A154" s="3" t="s">
        <v>14257</v>
      </c>
      <c r="B154" s="4" t="str">
        <f>_xlfn.CONCAT(D154, " / ", E154)</f>
        <v>effortless-xlsx / AuthorityBoundaries</v>
      </c>
      <c r="C154" s="3" t="s">
        <v>14074</v>
      </c>
      <c r="D154" s="3" t="s">
        <v>14053</v>
      </c>
      <c r="E154" s="3" t="s">
        <v>5131</v>
      </c>
      <c r="F154" s="3">
        <v>3</v>
      </c>
      <c r="G154" s="3">
        <v>21</v>
      </c>
      <c r="H154" s="3">
        <v>63</v>
      </c>
      <c r="I154" s="3">
        <v>63</v>
      </c>
      <c r="J154" s="3" t="b">
        <v>0</v>
      </c>
      <c r="K154" s="4">
        <f>H154 - I154</f>
        <v>0</v>
      </c>
      <c r="L154" s="4">
        <f>IF(((H154 = 0)=TRUE),  0,  ROUND(100 * I154 / H154, 2))</f>
        <v>100</v>
      </c>
      <c r="M154" s="4" t="b">
        <f>K154 = 0</f>
        <v>1</v>
      </c>
      <c r="N154" s="4" t="str">
        <f>IF(((M154)=TRUE),  "",  D154)</f>
      </c>
      <c r="O154" s="4" t="str">
        <f>IF(((M154)=TRUE),  "",  E154)</f>
      </c>
      <c r="P154" s="4">
        <f>COUNTIFS(FieldDisagreements!E2:E50, A154)</f>
        <v>0</v>
      </c>
      <c r="Q154" s="4" t="str">
        <f>_xlfn.IFNA(IF(((INDEX(ConformanceSubstrates!C2:C9, MATCH(D154,ConformanceSubstrates!A2:A9, 0))="")=TRUE),  "",  INDEX(ConformanceSubstrates!C2:C9, MATCH(D154,ConformanceSubstrates!A2:A9, 0))), "")</f>
        <v>Excel</v>
      </c>
      <c r="R154" s="4" t="str">
        <f>_xlfn.IFNA(IF(((INDEX(RulebookTables!F2:F93, MATCH(E154,RulebookTables!A2:A93, 0))="")=TRUE),  "",  INDEX(RulebookTables!F2:F93, MATCH(E154,RulebookTables!A2:A93, 0))), "")</f>
        <v>governance</v>
      </c>
      <c r="S154" s="3" t="s">
        <v>1918</v>
      </c>
    </row>
    <row r="155">
      <c r="A155" s="3" t="s">
        <v>14258</v>
      </c>
      <c r="B155" s="4" t="str">
        <f>_xlfn.CONCAT(D155, " / ", E155)</f>
        <v>effortless-xlsx / AppRoleProfiles</v>
      </c>
      <c r="C155" s="3" t="s">
        <v>14074</v>
      </c>
      <c r="D155" s="3" t="s">
        <v>14053</v>
      </c>
      <c r="E155" s="3" t="s">
        <v>1869</v>
      </c>
      <c r="F155" s="3">
        <v>12</v>
      </c>
      <c r="G155" s="3">
        <v>2</v>
      </c>
      <c r="H155" s="3">
        <v>24</v>
      </c>
      <c r="I155" s="3">
        <v>24</v>
      </c>
      <c r="J155" s="3" t="b">
        <v>0</v>
      </c>
      <c r="K155" s="4">
        <f>H155 - I155</f>
        <v>0</v>
      </c>
      <c r="L155" s="4">
        <f>IF(((H155 = 0)=TRUE),  0,  ROUND(100 * I155 / H155, 2))</f>
        <v>100</v>
      </c>
      <c r="M155" s="4" t="b">
        <f>K155 = 0</f>
        <v>1</v>
      </c>
      <c r="N155" s="4" t="str">
        <f>IF(((M155)=TRUE),  "",  D155)</f>
      </c>
      <c r="O155" s="4" t="str">
        <f>IF(((M155)=TRUE),  "",  E155)</f>
      </c>
      <c r="P155" s="4">
        <f>COUNTIFS(FieldDisagreements!E2:E50, A155)</f>
        <v>0</v>
      </c>
      <c r="Q155" s="4" t="str">
        <f>_xlfn.IFNA(IF(((INDEX(ConformanceSubstrates!C2:C9, MATCH(D155,ConformanceSubstrates!A2:A9, 0))="")=TRUE),  "",  INDEX(ConformanceSubstrates!C2:C9, MATCH(D155,ConformanceSubstrates!A2:A9, 0))), "")</f>
        <v>Excel</v>
      </c>
      <c r="R155" s="4" t="str">
        <f>_xlfn.IFNA(IF(((INDEX(RulebookTables!F2:F93, MATCH(E155,RulebookTables!A2:A93, 0))="")=TRUE),  "",  INDEX(RulebookTables!F2:F93, MATCH(E155,RulebookTables!A2:A93, 0))), "")</f>
        <v>org</v>
      </c>
      <c r="S155" s="3" t="s">
        <v>1918</v>
      </c>
    </row>
    <row r="156">
      <c r="A156" s="3" t="s">
        <v>14259</v>
      </c>
      <c r="B156" s="4" t="str">
        <f>_xlfn.CONCAT(D156, " / ", E156)</f>
        <v>effortless-xlsx / AppNavGroups</v>
      </c>
      <c r="C156" s="3" t="s">
        <v>14074</v>
      </c>
      <c r="D156" s="3" t="s">
        <v>14053</v>
      </c>
      <c r="E156" s="3" t="s">
        <v>1873</v>
      </c>
      <c r="F156" s="3">
        <v>23</v>
      </c>
      <c r="G156" s="3">
        <v>2</v>
      </c>
      <c r="H156" s="3">
        <v>46</v>
      </c>
      <c r="I156" s="3">
        <v>46</v>
      </c>
      <c r="J156" s="3" t="b">
        <v>0</v>
      </c>
      <c r="K156" s="4">
        <f>H156 - I156</f>
        <v>0</v>
      </c>
      <c r="L156" s="4">
        <f>IF(((H156 = 0)=TRUE),  0,  ROUND(100 * I156 / H156, 2))</f>
        <v>100</v>
      </c>
      <c r="M156" s="4" t="b">
        <f>K156 = 0</f>
        <v>1</v>
      </c>
      <c r="N156" s="4" t="str">
        <f>IF(((M156)=TRUE),  "",  D156)</f>
      </c>
      <c r="O156" s="4" t="str">
        <f>IF(((M156)=TRUE),  "",  E156)</f>
      </c>
      <c r="P156" s="4">
        <f>COUNTIFS(FieldDisagreements!E2:E50, A156)</f>
        <v>0</v>
      </c>
      <c r="Q156" s="4" t="str">
        <f>_xlfn.IFNA(IF(((INDEX(ConformanceSubstrates!C2:C9, MATCH(D156,ConformanceSubstrates!A2:A9, 0))="")=TRUE),  "",  INDEX(ConformanceSubstrates!C2:C9, MATCH(D156,ConformanceSubstrates!A2:A9, 0))), "")</f>
        <v>Excel</v>
      </c>
      <c r="R156" s="4" t="str">
        <f>_xlfn.IFNA(IF(((INDEX(RulebookTables!F2:F93, MATCH(E156,RulebookTables!A2:A93, 0))="")=TRUE),  "",  INDEX(RulebookTables!F2:F93, MATCH(E156,RulebookTables!A2:A93, 0))), "")</f>
        <v>application</v>
      </c>
      <c r="S156" s="3" t="s">
        <v>1918</v>
      </c>
    </row>
    <row r="157">
      <c r="A157" s="3" t="s">
        <v>14260</v>
      </c>
      <c r="B157" s="4" t="str">
        <f>_xlfn.CONCAT(D157, " / ", E157)</f>
        <v>effortless-xlsx / AppRoutes</v>
      </c>
      <c r="C157" s="3" t="s">
        <v>14074</v>
      </c>
      <c r="D157" s="3" t="s">
        <v>14053</v>
      </c>
      <c r="E157" s="3" t="s">
        <v>1877</v>
      </c>
      <c r="F157" s="3">
        <v>149</v>
      </c>
      <c r="G157" s="3">
        <v>7</v>
      </c>
      <c r="H157" s="3">
        <v>1043</v>
      </c>
      <c r="I157" s="3">
        <v>1043</v>
      </c>
      <c r="J157" s="3" t="b">
        <v>0</v>
      </c>
      <c r="K157" s="4">
        <f>H157 - I157</f>
        <v>0</v>
      </c>
      <c r="L157" s="4">
        <f>IF(((H157 = 0)=TRUE),  0,  ROUND(100 * I157 / H157, 2))</f>
        <v>100</v>
      </c>
      <c r="M157" s="4" t="b">
        <f>K157 = 0</f>
        <v>1</v>
      </c>
      <c r="N157" s="4" t="str">
        <f>IF(((M157)=TRUE),  "",  D157)</f>
      </c>
      <c r="O157" s="4" t="str">
        <f>IF(((M157)=TRUE),  "",  E157)</f>
      </c>
      <c r="P157" s="4">
        <f>COUNTIFS(FieldDisagreements!E2:E50, A157)</f>
        <v>0</v>
      </c>
      <c r="Q157" s="4" t="str">
        <f>_xlfn.IFNA(IF(((INDEX(ConformanceSubstrates!C2:C9, MATCH(D157,ConformanceSubstrates!A2:A9, 0))="")=TRUE),  "",  INDEX(ConformanceSubstrates!C2:C9, MATCH(D157,ConformanceSubstrates!A2:A9, 0))), "")</f>
        <v>Excel</v>
      </c>
      <c r="R157" s="4" t="str">
        <f>_xlfn.IFNA(IF(((INDEX(RulebookTables!F2:F93, MATCH(E157,RulebookTables!A2:A93, 0))="")=TRUE),  "",  INDEX(RulebookTables!F2:F93, MATCH(E157,RulebookTables!A2:A93, 0))), "")</f>
        <v>application</v>
      </c>
      <c r="S157" s="3" t="s">
        <v>1918</v>
      </c>
    </row>
    <row r="158">
      <c r="A158" s="3" t="s">
        <v>14261</v>
      </c>
      <c r="B158" s="4" t="str">
        <f>_xlfn.CONCAT(D158, " / ", E158)</f>
        <v>effortless-xlsx / AppRouteQuestions</v>
      </c>
      <c r="C158" s="3" t="s">
        <v>14074</v>
      </c>
      <c r="D158" s="3" t="s">
        <v>14053</v>
      </c>
      <c r="E158" s="3" t="s">
        <v>1881</v>
      </c>
      <c r="F158" s="3">
        <v>151</v>
      </c>
      <c r="G158" s="3">
        <v>1</v>
      </c>
      <c r="H158" s="3">
        <v>151</v>
      </c>
      <c r="I158" s="3">
        <v>151</v>
      </c>
      <c r="J158" s="3" t="b">
        <v>0</v>
      </c>
      <c r="K158" s="4">
        <f>H158 - I158</f>
        <v>0</v>
      </c>
      <c r="L158" s="4">
        <f>IF(((H158 = 0)=TRUE),  0,  ROUND(100 * I158 / H158, 2))</f>
        <v>100</v>
      </c>
      <c r="M158" s="4" t="b">
        <f>K158 = 0</f>
        <v>1</v>
      </c>
      <c r="N158" s="4" t="str">
        <f>IF(((M158)=TRUE),  "",  D158)</f>
      </c>
      <c r="O158" s="4" t="str">
        <f>IF(((M158)=TRUE),  "",  E158)</f>
      </c>
      <c r="P158" s="4">
        <f>COUNTIFS(FieldDisagreements!E2:E50, A158)</f>
        <v>0</v>
      </c>
      <c r="Q158" s="4" t="str">
        <f>_xlfn.IFNA(IF(((INDEX(ConformanceSubstrates!C2:C9, MATCH(D158,ConformanceSubstrates!A2:A9, 0))="")=TRUE),  "",  INDEX(ConformanceSubstrates!C2:C9, MATCH(D158,ConformanceSubstrates!A2:A9, 0))), "")</f>
        <v>Excel</v>
      </c>
      <c r="R158" s="4" t="str">
        <f>_xlfn.IFNA(IF(((INDEX(RulebookTables!F2:F93, MATCH(E158,RulebookTables!A2:A93, 0))="")=TRUE),  "",  INDEX(RulebookTables!F2:F93, MATCH(E158,RulebookTables!A2:A93, 0))), "")</f>
        <v>application</v>
      </c>
      <c r="S158" s="3" t="s">
        <v>1918</v>
      </c>
    </row>
    <row r="159">
      <c r="A159" s="3" t="s">
        <v>14262</v>
      </c>
      <c r="B159" s="4" t="str">
        <f>_xlfn.CONCAT(D159, " / ", E159)</f>
        <v>effortless-xlsx / AppRouteReferences</v>
      </c>
      <c r="C159" s="3" t="s">
        <v>14074</v>
      </c>
      <c r="D159" s="3" t="s">
        <v>14053</v>
      </c>
      <c r="E159" s="3" t="s">
        <v>1885</v>
      </c>
      <c r="F159" s="3">
        <v>315</v>
      </c>
      <c r="G159" s="3">
        <v>1</v>
      </c>
      <c r="H159" s="3">
        <v>315</v>
      </c>
      <c r="I159" s="3">
        <v>315</v>
      </c>
      <c r="J159" s="3" t="b">
        <v>0</v>
      </c>
      <c r="K159" s="4">
        <f>H159 - I159</f>
        <v>0</v>
      </c>
      <c r="L159" s="4">
        <f>IF(((H159 = 0)=TRUE),  0,  ROUND(100 * I159 / H159, 2))</f>
        <v>100</v>
      </c>
      <c r="M159" s="4" t="b">
        <f>K159 = 0</f>
        <v>1</v>
      </c>
      <c r="N159" s="4" t="str">
        <f>IF(((M159)=TRUE),  "",  D159)</f>
      </c>
      <c r="O159" s="4" t="str">
        <f>IF(((M159)=TRUE),  "",  E159)</f>
      </c>
      <c r="P159" s="4">
        <f>COUNTIFS(FieldDisagreements!E2:E50, A159)</f>
        <v>0</v>
      </c>
      <c r="Q159" s="4" t="str">
        <f>_xlfn.IFNA(IF(((INDEX(ConformanceSubstrates!C2:C9, MATCH(D159,ConformanceSubstrates!A2:A9, 0))="")=TRUE),  "",  INDEX(ConformanceSubstrates!C2:C9, MATCH(D159,ConformanceSubstrates!A2:A9, 0))), "")</f>
        <v>Excel</v>
      </c>
      <c r="R159" s="4" t="str">
        <f>_xlfn.IFNA(IF(((INDEX(RulebookTables!F2:F93, MATCH(E159,RulebookTables!A2:A93, 0))="")=TRUE),  "",  INDEX(RulebookTables!F2:F93, MATCH(E159,RulebookTables!A2:A93, 0))), "")</f>
        <v>application</v>
      </c>
      <c r="S159" s="3" t="s">
        <v>1918</v>
      </c>
    </row>
    <row r="160">
      <c r="A160" s="3" t="s">
        <v>14263</v>
      </c>
      <c r="B160" s="4" t="str">
        <f>_xlfn.CONCAT(D160, " / ", E160)</f>
        <v>effortless-xlsx / RulebookTables</v>
      </c>
      <c r="C160" s="3" t="s">
        <v>14074</v>
      </c>
      <c r="D160" s="3" t="s">
        <v>14053</v>
      </c>
      <c r="E160" s="3" t="s">
        <v>5352</v>
      </c>
      <c r="F160" s="3">
        <v>92</v>
      </c>
      <c r="G160" s="3">
        <v>5</v>
      </c>
      <c r="H160" s="3">
        <v>460</v>
      </c>
      <c r="I160" s="3">
        <v>460</v>
      </c>
      <c r="J160" s="3" t="b">
        <v>0</v>
      </c>
      <c r="K160" s="4">
        <f>H160 - I160</f>
        <v>0</v>
      </c>
      <c r="L160" s="4">
        <f>IF(((H160 = 0)=TRUE),  0,  ROUND(100 * I160 / H160, 2))</f>
        <v>100</v>
      </c>
      <c r="M160" s="4" t="b">
        <f>K160 = 0</f>
        <v>1</v>
      </c>
      <c r="N160" s="4" t="str">
        <f>IF(((M160)=TRUE),  "",  D160)</f>
      </c>
      <c r="O160" s="4" t="str">
        <f>IF(((M160)=TRUE),  "",  E160)</f>
      </c>
      <c r="P160" s="4">
        <f>COUNTIFS(FieldDisagreements!E2:E50, A160)</f>
        <v>0</v>
      </c>
      <c r="Q160" s="4" t="str">
        <f>_xlfn.IFNA(IF(((INDEX(ConformanceSubstrates!C2:C9, MATCH(D160,ConformanceSubstrates!A2:A9, 0))="")=TRUE),  "",  INDEX(ConformanceSubstrates!C2:C9, MATCH(D160,ConformanceSubstrates!A2:A9, 0))), "")</f>
        <v>Excel</v>
      </c>
      <c r="R160" s="4" t="str">
        <f>_xlfn.IFNA(IF(((INDEX(RulebookTables!F2:F93, MATCH(E160,RulebookTables!A2:A93, 0))="")=TRUE),  "",  INDEX(RulebookTables!F2:F93, MATCH(E160,RulebookTables!A2:A93, 0))), "")</f>
        <v>meta</v>
      </c>
      <c r="S160" s="3" t="s">
        <v>1918</v>
      </c>
    </row>
    <row r="161">
      <c r="A161" s="3" t="s">
        <v>14264</v>
      </c>
      <c r="B161" s="4" t="str">
        <f>_xlfn.CONCAT(D161, " / ", E161)</f>
        <v>effortless-xlsx / AccessPrincipals</v>
      </c>
      <c r="C161" s="3" t="s">
        <v>14074</v>
      </c>
      <c r="D161" s="3" t="s">
        <v>14053</v>
      </c>
      <c r="E161" s="3" t="s">
        <v>5379</v>
      </c>
      <c r="F161" s="3">
        <v>12</v>
      </c>
      <c r="G161" s="3">
        <v>8</v>
      </c>
      <c r="H161" s="3">
        <v>96</v>
      </c>
      <c r="I161" s="3">
        <v>96</v>
      </c>
      <c r="J161" s="3" t="b">
        <v>0</v>
      </c>
      <c r="K161" s="4">
        <f>H161 - I161</f>
        <v>0</v>
      </c>
      <c r="L161" s="4">
        <f>IF(((H161 = 0)=TRUE),  0,  ROUND(100 * I161 / H161, 2))</f>
        <v>100</v>
      </c>
      <c r="M161" s="4" t="b">
        <f>K161 = 0</f>
        <v>1</v>
      </c>
      <c r="N161" s="4" t="str">
        <f>IF(((M161)=TRUE),  "",  D161)</f>
      </c>
      <c r="O161" s="4" t="str">
        <f>IF(((M161)=TRUE),  "",  E161)</f>
      </c>
      <c r="P161" s="4">
        <f>COUNTIFS(FieldDisagreements!E2:E50, A161)</f>
        <v>0</v>
      </c>
      <c r="Q161" s="4" t="str">
        <f>_xlfn.IFNA(IF(((INDEX(ConformanceSubstrates!C2:C9, MATCH(D161,ConformanceSubstrates!A2:A9, 0))="")=TRUE),  "",  INDEX(ConformanceSubstrates!C2:C9, MATCH(D161,ConformanceSubstrates!A2:A9, 0))), "")</f>
        <v>Excel</v>
      </c>
      <c r="R161" s="4" t="str">
        <f>_xlfn.IFNA(IF(((INDEX(RulebookTables!F2:F93, MATCH(E161,RulebookTables!A2:A93, 0))="")=TRUE),  "",  INDEX(RulebookTables!F2:F93, MATCH(E161,RulebookTables!A2:A93, 0))), "")</f>
        <v>access-control</v>
      </c>
      <c r="S161" s="3" t="s">
        <v>1918</v>
      </c>
    </row>
    <row r="162">
      <c r="A162" s="3" t="s">
        <v>14265</v>
      </c>
      <c r="B162" s="4" t="str">
        <f>_xlfn.CONCAT(D162, " / ", E162)</f>
        <v>effortless-xlsx / AccessPolicies</v>
      </c>
      <c r="C162" s="3" t="s">
        <v>14074</v>
      </c>
      <c r="D162" s="3" t="s">
        <v>14053</v>
      </c>
      <c r="E162" s="3" t="s">
        <v>5412</v>
      </c>
      <c r="F162" s="3">
        <v>202</v>
      </c>
      <c r="G162" s="3">
        <v>7</v>
      </c>
      <c r="H162" s="3">
        <v>1414</v>
      </c>
      <c r="I162" s="3">
        <v>1414</v>
      </c>
      <c r="J162" s="3" t="b">
        <v>0</v>
      </c>
      <c r="K162" s="4">
        <f>H162 - I162</f>
        <v>0</v>
      </c>
      <c r="L162" s="4">
        <f>IF(((H162 = 0)=TRUE),  0,  ROUND(100 * I162 / H162, 2))</f>
        <v>100</v>
      </c>
      <c r="M162" s="4" t="b">
        <f>K162 = 0</f>
        <v>1</v>
      </c>
      <c r="N162" s="4" t="str">
        <f>IF(((M162)=TRUE),  "",  D162)</f>
      </c>
      <c r="O162" s="4" t="str">
        <f>IF(((M162)=TRUE),  "",  E162)</f>
      </c>
      <c r="P162" s="4">
        <f>COUNTIFS(FieldDisagreements!E2:E50, A162)</f>
        <v>0</v>
      </c>
      <c r="Q162" s="4" t="str">
        <f>_xlfn.IFNA(IF(((INDEX(ConformanceSubstrates!C2:C9, MATCH(D162,ConformanceSubstrates!A2:A9, 0))="")=TRUE),  "",  INDEX(ConformanceSubstrates!C2:C9, MATCH(D162,ConformanceSubstrates!A2:A9, 0))), "")</f>
        <v>Excel</v>
      </c>
      <c r="R162" s="4" t="str">
        <f>_xlfn.IFNA(IF(((INDEX(RulebookTables!F2:F93, MATCH(E162,RulebookTables!A2:A93, 0))="")=TRUE),  "",  INDEX(RulebookTables!F2:F93, MATCH(E162,RulebookTables!A2:A93, 0))), "")</f>
        <v>access-control</v>
      </c>
      <c r="S162" s="3" t="s">
        <v>1918</v>
      </c>
    </row>
    <row r="163">
      <c r="A163" s="3" t="s">
        <v>14266</v>
      </c>
      <c r="B163" s="4" t="str">
        <f>_xlfn.CONCAT(D163, " / ", E163)</f>
        <v>effortless-xlsx / FieldGrants</v>
      </c>
      <c r="C163" s="3" t="s">
        <v>14074</v>
      </c>
      <c r="D163" s="3" t="s">
        <v>14053</v>
      </c>
      <c r="E163" s="3" t="s">
        <v>5448</v>
      </c>
      <c r="F163" s="3">
        <v>3639</v>
      </c>
      <c r="G163" s="3">
        <v>7</v>
      </c>
      <c r="H163" s="3">
        <v>25473</v>
      </c>
      <c r="I163" s="3">
        <v>25473</v>
      </c>
      <c r="J163" s="3" t="b">
        <v>0</v>
      </c>
      <c r="K163" s="4">
        <f>H163 - I163</f>
        <v>0</v>
      </c>
      <c r="L163" s="4">
        <f>IF(((H163 = 0)=TRUE),  0,  ROUND(100 * I163 / H163, 2))</f>
        <v>100</v>
      </c>
      <c r="M163" s="4" t="b">
        <f>K163 = 0</f>
        <v>1</v>
      </c>
      <c r="N163" s="4" t="str">
        <f>IF(((M163)=TRUE),  "",  D163)</f>
      </c>
      <c r="O163" s="4" t="str">
        <f>IF(((M163)=TRUE),  "",  E163)</f>
      </c>
      <c r="P163" s="4">
        <f>COUNTIFS(FieldDisagreements!E2:E50, A163)</f>
        <v>0</v>
      </c>
      <c r="Q163" s="4" t="str">
        <f>_xlfn.IFNA(IF(((INDEX(ConformanceSubstrates!C2:C9, MATCH(D163,ConformanceSubstrates!A2:A9, 0))="")=TRUE),  "",  INDEX(ConformanceSubstrates!C2:C9, MATCH(D163,ConformanceSubstrates!A2:A9, 0))), "")</f>
        <v>Excel</v>
      </c>
      <c r="R163" s="4" t="str">
        <f>_xlfn.IFNA(IF(((INDEX(RulebookTables!F2:F93, MATCH(E163,RulebookTables!A2:A93, 0))="")=TRUE),  "",  INDEX(RulebookTables!F2:F93, MATCH(E163,RulebookTables!A2:A93, 0))), "")</f>
        <v>access-control</v>
      </c>
      <c r="S163" s="3" t="s">
        <v>1918</v>
      </c>
    </row>
    <row r="164">
      <c r="A164" s="3" t="s">
        <v>14267</v>
      </c>
      <c r="B164" s="4" t="str">
        <f>_xlfn.CONCAT(D164, " / ", E164)</f>
        <v>effortless-xlsx / RoleSchemas</v>
      </c>
      <c r="C164" s="3" t="s">
        <v>14074</v>
      </c>
      <c r="D164" s="3" t="s">
        <v>14053</v>
      </c>
      <c r="E164" s="3" t="s">
        <v>5479</v>
      </c>
      <c r="F164" s="3">
        <v>12</v>
      </c>
      <c r="G164" s="3">
        <v>4</v>
      </c>
      <c r="H164" s="3">
        <v>48</v>
      </c>
      <c r="I164" s="3">
        <v>48</v>
      </c>
      <c r="J164" s="3" t="b">
        <v>0</v>
      </c>
      <c r="K164" s="4">
        <f>H164 - I164</f>
        <v>0</v>
      </c>
      <c r="L164" s="4">
        <f>IF(((H164 = 0)=TRUE),  0,  ROUND(100 * I164 / H164, 2))</f>
        <v>100</v>
      </c>
      <c r="M164" s="4" t="b">
        <f>K164 = 0</f>
        <v>1</v>
      </c>
      <c r="N164" s="4" t="str">
        <f>IF(((M164)=TRUE),  "",  D164)</f>
      </c>
      <c r="O164" s="4" t="str">
        <f>IF(((M164)=TRUE),  "",  E164)</f>
      </c>
      <c r="P164" s="4">
        <f>COUNTIFS(FieldDisagreements!E2:E50, A164)</f>
        <v>0</v>
      </c>
      <c r="Q164" s="4" t="str">
        <f>_xlfn.IFNA(IF(((INDEX(ConformanceSubstrates!C2:C9, MATCH(D164,ConformanceSubstrates!A2:A9, 0))="")=TRUE),  "",  INDEX(ConformanceSubstrates!C2:C9, MATCH(D164,ConformanceSubstrates!A2:A9, 0))), "")</f>
        <v>Excel</v>
      </c>
      <c r="R164" s="4" t="str">
        <f>_xlfn.IFNA(IF(((INDEX(RulebookTables!F2:F93, MATCH(E164,RulebookTables!A2:A93, 0))="")=TRUE),  "",  INDEX(RulebookTables!F2:F93, MATCH(E164,RulebookTables!A2:A93, 0))), "")</f>
        <v>org</v>
      </c>
      <c r="S164" s="3" t="s">
        <v>1918</v>
      </c>
    </row>
    <row r="165">
      <c r="A165" s="3" t="s">
        <v>14268</v>
      </c>
      <c r="B165" s="4" t="str">
        <f>_xlfn.CONCAT(D165, " / ", E165)</f>
        <v>effortless-xlsx / RoleSchemaViews</v>
      </c>
      <c r="C165" s="3" t="s">
        <v>14074</v>
      </c>
      <c r="D165" s="3" t="s">
        <v>14053</v>
      </c>
      <c r="E165" s="3" t="s">
        <v>5497</v>
      </c>
      <c r="F165" s="3">
        <v>202</v>
      </c>
      <c r="G165" s="3">
        <v>8</v>
      </c>
      <c r="H165" s="3">
        <v>1616</v>
      </c>
      <c r="I165" s="3">
        <v>1616</v>
      </c>
      <c r="J165" s="3" t="b">
        <v>0</v>
      </c>
      <c r="K165" s="4">
        <f>H165 - I165</f>
        <v>0</v>
      </c>
      <c r="L165" s="4">
        <f>IF(((H165 = 0)=TRUE),  0,  ROUND(100 * I165 / H165, 2))</f>
        <v>100</v>
      </c>
      <c r="M165" s="4" t="b">
        <f>K165 = 0</f>
        <v>1</v>
      </c>
      <c r="N165" s="4" t="str">
        <f>IF(((M165)=TRUE),  "",  D165)</f>
      </c>
      <c r="O165" s="4" t="str">
        <f>IF(((M165)=TRUE),  "",  E165)</f>
      </c>
      <c r="P165" s="4">
        <f>COUNTIFS(FieldDisagreements!E2:E50, A165)</f>
        <v>0</v>
      </c>
      <c r="Q165" s="4" t="str">
        <f>_xlfn.IFNA(IF(((INDEX(ConformanceSubstrates!C2:C9, MATCH(D165,ConformanceSubstrates!A2:A9, 0))="")=TRUE),  "",  INDEX(ConformanceSubstrates!C2:C9, MATCH(D165,ConformanceSubstrates!A2:A9, 0))), "")</f>
        <v>Excel</v>
      </c>
      <c r="R165" s="4" t="str">
        <f>_xlfn.IFNA(IF(((INDEX(RulebookTables!F2:F93, MATCH(E165,RulebookTables!A2:A93, 0))="")=TRUE),  "",  INDEX(RulebookTables!F2:F93, MATCH(E165,RulebookTables!A2:A93, 0))), "")</f>
        <v>org</v>
      </c>
      <c r="S165" s="3" t="s">
        <v>1918</v>
      </c>
    </row>
    <row r="166">
      <c r="A166" s="3" t="s">
        <v>14269</v>
      </c>
      <c r="B166" s="4" t="str">
        <f>_xlfn.CONCAT(D166, " / ", E166)</f>
        <v>effortless-xlsx / JwtClaimMappings</v>
      </c>
      <c r="C166" s="3" t="s">
        <v>14074</v>
      </c>
      <c r="D166" s="3" t="s">
        <v>14053</v>
      </c>
      <c r="E166" s="3" t="s">
        <v>5529</v>
      </c>
      <c r="F166" s="3">
        <v>4</v>
      </c>
      <c r="G166" s="3">
        <v>2</v>
      </c>
      <c r="H166" s="3">
        <v>8</v>
      </c>
      <c r="I166" s="3">
        <v>8</v>
      </c>
      <c r="J166" s="3" t="b">
        <v>0</v>
      </c>
      <c r="K166" s="4">
        <f>H166 - I166</f>
        <v>0</v>
      </c>
      <c r="L166" s="4">
        <f>IF(((H166 = 0)=TRUE),  0,  ROUND(100 * I166 / H166, 2))</f>
        <v>100</v>
      </c>
      <c r="M166" s="4" t="b">
        <f>K166 = 0</f>
        <v>1</v>
      </c>
      <c r="N166" s="4" t="str">
        <f>IF(((M166)=TRUE),  "",  D166)</f>
      </c>
      <c r="O166" s="4" t="str">
        <f>IF(((M166)=TRUE),  "",  E166)</f>
      </c>
      <c r="P166" s="4">
        <f>COUNTIFS(FieldDisagreements!E2:E50, A166)</f>
        <v>0</v>
      </c>
      <c r="Q166" s="4" t="str">
        <f>_xlfn.IFNA(IF(((INDEX(ConformanceSubstrates!C2:C9, MATCH(D166,ConformanceSubstrates!A2:A9, 0))="")=TRUE),  "",  INDEX(ConformanceSubstrates!C2:C9, MATCH(D166,ConformanceSubstrates!A2:A9, 0))), "")</f>
        <v>Excel</v>
      </c>
      <c r="R166" s="4" t="str">
        <f>_xlfn.IFNA(IF(((INDEX(RulebookTables!F2:F93, MATCH(E166,RulebookTables!A2:A93, 0))="")=TRUE),  "",  INDEX(RulebookTables!F2:F93, MATCH(E166,RulebookTables!A2:A93, 0))), "")</f>
        <v>access-control</v>
      </c>
      <c r="S166" s="3" t="s">
        <v>1918</v>
      </c>
    </row>
    <row r="167">
      <c r="A167" s="3" t="s">
        <v>14270</v>
      </c>
      <c r="B167" s="4" t="str">
        <f>_xlfn.CONCAT(D167, " / ", E167)</f>
        <v>effortless-xlsx / AccessDenialTests</v>
      </c>
      <c r="C167" s="3" t="s">
        <v>14074</v>
      </c>
      <c r="D167" s="3" t="s">
        <v>14053</v>
      </c>
      <c r="E167" s="3" t="s">
        <v>5548</v>
      </c>
      <c r="F167" s="3">
        <v>17</v>
      </c>
      <c r="G167" s="3">
        <v>6</v>
      </c>
      <c r="H167" s="3">
        <v>102</v>
      </c>
      <c r="I167" s="3">
        <v>102</v>
      </c>
      <c r="J167" s="3" t="b">
        <v>0</v>
      </c>
      <c r="K167" s="4">
        <f>H167 - I167</f>
        <v>0</v>
      </c>
      <c r="L167" s="4">
        <f>IF(((H167 = 0)=TRUE),  0,  ROUND(100 * I167 / H167, 2))</f>
        <v>100</v>
      </c>
      <c r="M167" s="4" t="b">
        <f>K167 = 0</f>
        <v>1</v>
      </c>
      <c r="N167" s="4" t="str">
        <f>IF(((M167)=TRUE),  "",  D167)</f>
      </c>
      <c r="O167" s="4" t="str">
        <f>IF(((M167)=TRUE),  "",  E167)</f>
      </c>
      <c r="P167" s="4">
        <f>COUNTIFS(FieldDisagreements!E2:E50, A167)</f>
        <v>0</v>
      </c>
      <c r="Q167" s="4" t="str">
        <f>_xlfn.IFNA(IF(((INDEX(ConformanceSubstrates!C2:C9, MATCH(D167,ConformanceSubstrates!A2:A9, 0))="")=TRUE),  "",  INDEX(ConformanceSubstrates!C2:C9, MATCH(D167,ConformanceSubstrates!A2:A9, 0))), "")</f>
        <v>Excel</v>
      </c>
      <c r="R167" s="4" t="str">
        <f>_xlfn.IFNA(IF(((INDEX(RulebookTables!F2:F93, MATCH(E167,RulebookTables!A2:A93, 0))="")=TRUE),  "",  INDEX(RulebookTables!F2:F93, MATCH(E167,RulebookTables!A2:A93, 0))), "")</f>
        <v>access-control</v>
      </c>
      <c r="S167" s="3" t="s">
        <v>1918</v>
      </c>
    </row>
    <row r="168">
      <c r="A168" s="3" t="s">
        <v>14271</v>
      </c>
      <c r="B168" s="4" t="str">
        <f>_xlfn.CONCAT(D168, " / ", E168)</f>
        <v>effortless-xlsx / AppUsers</v>
      </c>
      <c r="C168" s="3" t="s">
        <v>14074</v>
      </c>
      <c r="D168" s="3" t="s">
        <v>14053</v>
      </c>
      <c r="E168" s="3" t="s">
        <v>5584</v>
      </c>
      <c r="F168" s="3">
        <v>10</v>
      </c>
      <c r="G168" s="3">
        <v>7</v>
      </c>
      <c r="H168" s="3">
        <v>70</v>
      </c>
      <c r="I168" s="3">
        <v>70</v>
      </c>
      <c r="J168" s="3" t="b">
        <v>0</v>
      </c>
      <c r="K168" s="4">
        <f>H168 - I168</f>
        <v>0</v>
      </c>
      <c r="L168" s="4">
        <f>IF(((H168 = 0)=TRUE),  0,  ROUND(100 * I168 / H168, 2))</f>
        <v>100</v>
      </c>
      <c r="M168" s="4" t="b">
        <f>K168 = 0</f>
        <v>1</v>
      </c>
      <c r="N168" s="4" t="str">
        <f>IF(((M168)=TRUE),  "",  D168)</f>
      </c>
      <c r="O168" s="4" t="str">
        <f>IF(((M168)=TRUE),  "",  E168)</f>
      </c>
      <c r="P168" s="4">
        <f>COUNTIFS(FieldDisagreements!E2:E50, A168)</f>
        <v>0</v>
      </c>
      <c r="Q168" s="4" t="str">
        <f>_xlfn.IFNA(IF(((INDEX(ConformanceSubstrates!C2:C9, MATCH(D168,ConformanceSubstrates!A2:A9, 0))="")=TRUE),  "",  INDEX(ConformanceSubstrates!C2:C9, MATCH(D168,ConformanceSubstrates!A2:A9, 0))), "")</f>
        <v>Excel</v>
      </c>
      <c r="R168" s="4" t="str">
        <f>_xlfn.IFNA(IF(((INDEX(RulebookTables!F2:F93, MATCH(E168,RulebookTables!A2:A93, 0))="")=TRUE),  "",  INDEX(RulebookTables!F2:F93, MATCH(E168,RulebookTables!A2:A93, 0))), "")</f>
      </c>
      <c r="S168" s="3" t="s">
        <v>1918</v>
      </c>
    </row>
    <row r="169">
      <c r="A169" s="3" t="s">
        <v>14272</v>
      </c>
      <c r="B169" s="4" t="str">
        <f>_xlfn.CONCAT(D169, " / ", E169)</f>
        <v>effortless-xlsx / PrincipalAssignments</v>
      </c>
      <c r="C169" s="3" t="s">
        <v>14074</v>
      </c>
      <c r="D169" s="3" t="s">
        <v>14053</v>
      </c>
      <c r="E169" s="3" t="s">
        <v>5611</v>
      </c>
      <c r="F169" s="3">
        <v>12</v>
      </c>
      <c r="G169" s="3">
        <v>5</v>
      </c>
      <c r="H169" s="3">
        <v>60</v>
      </c>
      <c r="I169" s="3">
        <v>60</v>
      </c>
      <c r="J169" s="3" t="b">
        <v>0</v>
      </c>
      <c r="K169" s="4">
        <f>H169 - I169</f>
        <v>0</v>
      </c>
      <c r="L169" s="4">
        <f>IF(((H169 = 0)=TRUE),  0,  ROUND(100 * I169 / H169, 2))</f>
        <v>100</v>
      </c>
      <c r="M169" s="4" t="b">
        <f>K169 = 0</f>
        <v>1</v>
      </c>
      <c r="N169" s="4" t="str">
        <f>IF(((M169)=TRUE),  "",  D169)</f>
      </c>
      <c r="O169" s="4" t="str">
        <f>IF(((M169)=TRUE),  "",  E169)</f>
      </c>
      <c r="P169" s="4">
        <f>COUNTIFS(FieldDisagreements!E2:E50, A169)</f>
        <v>0</v>
      </c>
      <c r="Q169" s="4" t="str">
        <f>_xlfn.IFNA(IF(((INDEX(ConformanceSubstrates!C2:C9, MATCH(D169,ConformanceSubstrates!A2:A9, 0))="")=TRUE),  "",  INDEX(ConformanceSubstrates!C2:C9, MATCH(D169,ConformanceSubstrates!A2:A9, 0))), "")</f>
        <v>Excel</v>
      </c>
      <c r="R169" s="4" t="str">
        <f>_xlfn.IFNA(IF(((INDEX(RulebookTables!F2:F93, MATCH(E169,RulebookTables!A2:A93, 0))="")=TRUE),  "",  INDEX(RulebookTables!F2:F93, MATCH(E169,RulebookTables!A2:A93, 0))), "")</f>
      </c>
      <c r="S169" s="3" t="s">
        <v>1918</v>
      </c>
    </row>
    <row r="170">
      <c r="A170" s="3" t="s">
        <v>14273</v>
      </c>
      <c r="B170" s="4" t="str">
        <f>_xlfn.CONCAT(D170, " / ", E170)</f>
        <v>effortless-xlsx / ProcessMiningRuns</v>
      </c>
      <c r="C170" s="3" t="s">
        <v>14074</v>
      </c>
      <c r="D170" s="3" t="s">
        <v>14053</v>
      </c>
      <c r="E170" s="3" t="s">
        <v>1889</v>
      </c>
      <c r="F170" s="3">
        <v>4</v>
      </c>
      <c r="G170" s="3">
        <v>10</v>
      </c>
      <c r="H170" s="3">
        <v>40</v>
      </c>
      <c r="I170" s="3">
        <v>40</v>
      </c>
      <c r="J170" s="3" t="b">
        <v>0</v>
      </c>
      <c r="K170" s="4">
        <f>H170 - I170</f>
        <v>0</v>
      </c>
      <c r="L170" s="4">
        <f>IF(((H170 = 0)=TRUE),  0,  ROUND(100 * I170 / H170, 2))</f>
        <v>100</v>
      </c>
      <c r="M170" s="4" t="b">
        <f>K170 = 0</f>
        <v>1</v>
      </c>
      <c r="N170" s="4" t="str">
        <f>IF(((M170)=TRUE),  "",  D170)</f>
      </c>
      <c r="O170" s="4" t="str">
        <f>IF(((M170)=TRUE),  "",  E170)</f>
      </c>
      <c r="P170" s="4">
        <f>COUNTIFS(FieldDisagreements!E2:E50, A170)</f>
        <v>0</v>
      </c>
      <c r="Q170" s="4" t="str">
        <f>_xlfn.IFNA(IF(((INDEX(ConformanceSubstrates!C2:C9, MATCH(D170,ConformanceSubstrates!A2:A9, 0))="")=TRUE),  "",  INDEX(ConformanceSubstrates!C2:C9, MATCH(D170,ConformanceSubstrates!A2:A9, 0))), "")</f>
        <v>Excel</v>
      </c>
      <c r="R170" s="4" t="str">
        <f>_xlfn.IFNA(IF(((INDEX(RulebookTables!F2:F93, MATCH(E170,RulebookTables!A2:A93, 0))="")=TRUE),  "",  INDEX(RulebookTables!F2:F93, MATCH(E170,RulebookTables!A2:A93, 0))), "")</f>
        <v>knowledge</v>
      </c>
      <c r="S170" s="3" t="s">
        <v>1918</v>
      </c>
    </row>
    <row r="171">
      <c r="A171" s="3" t="s">
        <v>14274</v>
      </c>
      <c r="B171" s="4" t="str">
        <f>_xlfn.CONCAT(D171, " / ", E171)</f>
        <v>effortless-xlsx / Vocabularies</v>
      </c>
      <c r="C171" s="3" t="s">
        <v>14074</v>
      </c>
      <c r="D171" s="3" t="s">
        <v>14053</v>
      </c>
      <c r="E171" s="3" t="s">
        <v>1893</v>
      </c>
      <c r="F171" s="3">
        <v>2</v>
      </c>
      <c r="G171" s="3">
        <v>4</v>
      </c>
      <c r="H171" s="3">
        <v>8</v>
      </c>
      <c r="I171" s="3">
        <v>8</v>
      </c>
      <c r="J171" s="3" t="b">
        <v>0</v>
      </c>
      <c r="K171" s="4">
        <f>H171 - I171</f>
        <v>0</v>
      </c>
      <c r="L171" s="4">
        <f>IF(((H171 = 0)=TRUE),  0,  ROUND(100 * I171 / H171, 2))</f>
        <v>100</v>
      </c>
      <c r="M171" s="4" t="b">
        <f>K171 = 0</f>
        <v>1</v>
      </c>
      <c r="N171" s="4" t="str">
        <f>IF(((M171)=TRUE),  "",  D171)</f>
      </c>
      <c r="O171" s="4" t="str">
        <f>IF(((M171)=TRUE),  "",  E171)</f>
      </c>
      <c r="P171" s="4">
        <f>COUNTIFS(FieldDisagreements!E2:E50, A171)</f>
        <v>0</v>
      </c>
      <c r="Q171" s="4" t="str">
        <f>_xlfn.IFNA(IF(((INDEX(ConformanceSubstrates!C2:C9, MATCH(D171,ConformanceSubstrates!A2:A9, 0))="")=TRUE),  "",  INDEX(ConformanceSubstrates!C2:C9, MATCH(D171,ConformanceSubstrates!A2:A9, 0))), "")</f>
        <v>Excel</v>
      </c>
      <c r="R171" s="4" t="str">
        <f>_xlfn.IFNA(IF(((INDEX(RulebookTables!F2:F93, MATCH(E171,RulebookTables!A2:A93, 0))="")=TRUE),  "",  INDEX(RulebookTables!F2:F93, MATCH(E171,RulebookTables!A2:A93, 0))), "")</f>
        <v>knowledge</v>
      </c>
      <c r="S171" s="3" t="s">
        <v>1918</v>
      </c>
    </row>
    <row r="172">
      <c r="A172" s="3" t="s">
        <v>14275</v>
      </c>
      <c r="B172" s="4" t="str">
        <f>_xlfn.CONCAT(D172, " / ", E172)</f>
        <v>effortless-xlsx / VocabularyTerms</v>
      </c>
      <c r="C172" s="3" t="s">
        <v>14074</v>
      </c>
      <c r="D172" s="3" t="s">
        <v>14053</v>
      </c>
      <c r="E172" s="3" t="s">
        <v>1897</v>
      </c>
      <c r="F172" s="3">
        <v>12</v>
      </c>
      <c r="G172" s="3">
        <v>5</v>
      </c>
      <c r="H172" s="3">
        <v>60</v>
      </c>
      <c r="I172" s="3">
        <v>60</v>
      </c>
      <c r="J172" s="3" t="b">
        <v>0</v>
      </c>
      <c r="K172" s="4">
        <f>H172 - I172</f>
        <v>0</v>
      </c>
      <c r="L172" s="4">
        <f>IF(((H172 = 0)=TRUE),  0,  ROUND(100 * I172 / H172, 2))</f>
        <v>100</v>
      </c>
      <c r="M172" s="4" t="b">
        <f>K172 = 0</f>
        <v>1</v>
      </c>
      <c r="N172" s="4" t="str">
        <f>IF(((M172)=TRUE),  "",  D172)</f>
      </c>
      <c r="O172" s="4" t="str">
        <f>IF(((M172)=TRUE),  "",  E172)</f>
      </c>
      <c r="P172" s="4">
        <f>COUNTIFS(FieldDisagreements!E2:E50, A172)</f>
        <v>0</v>
      </c>
      <c r="Q172" s="4" t="str">
        <f>_xlfn.IFNA(IF(((INDEX(ConformanceSubstrates!C2:C9, MATCH(D172,ConformanceSubstrates!A2:A9, 0))="")=TRUE),  "",  INDEX(ConformanceSubstrates!C2:C9, MATCH(D172,ConformanceSubstrates!A2:A9, 0))), "")</f>
        <v>Excel</v>
      </c>
      <c r="R172" s="4" t="str">
        <f>_xlfn.IFNA(IF(((INDEX(RulebookTables!F2:F93, MATCH(E172,RulebookTables!A2:A93, 0))="")=TRUE),  "",  INDEX(RulebookTables!F2:F93, MATCH(E172,RulebookTables!A2:A93, 0))), "")</f>
        <v>knowledge</v>
      </c>
      <c r="S172" s="3" t="s">
        <v>1918</v>
      </c>
    </row>
    <row r="173">
      <c r="A173" s="3" t="s">
        <v>14276</v>
      </c>
      <c r="B173" s="4" t="str">
        <f>_xlfn.CONCAT(D173, " / ", E173)</f>
        <v>effortless-xlsx / KnowledgeBrokerLinks</v>
      </c>
      <c r="C173" s="3" t="s">
        <v>14074</v>
      </c>
      <c r="D173" s="3" t="s">
        <v>14053</v>
      </c>
      <c r="E173" s="3" t="s">
        <v>1901</v>
      </c>
      <c r="F173" s="3">
        <v>5</v>
      </c>
      <c r="G173" s="3">
        <v>8</v>
      </c>
      <c r="H173" s="3">
        <v>40</v>
      </c>
      <c r="I173" s="3">
        <v>40</v>
      </c>
      <c r="J173" s="3" t="b">
        <v>0</v>
      </c>
      <c r="K173" s="4">
        <f>H173 - I173</f>
        <v>0</v>
      </c>
      <c r="L173" s="4">
        <f>IF(((H173 = 0)=TRUE),  0,  ROUND(100 * I173 / H173, 2))</f>
        <v>100</v>
      </c>
      <c r="M173" s="4" t="b">
        <f>K173 = 0</f>
        <v>1</v>
      </c>
      <c r="N173" s="4" t="str">
        <f>IF(((M173)=TRUE),  "",  D173)</f>
      </c>
      <c r="O173" s="4" t="str">
        <f>IF(((M173)=TRUE),  "",  E173)</f>
      </c>
      <c r="P173" s="4">
        <f>COUNTIFS(FieldDisagreements!E2:E50, A173)</f>
        <v>0</v>
      </c>
      <c r="Q173" s="4" t="str">
        <f>_xlfn.IFNA(IF(((INDEX(ConformanceSubstrates!C2:C9, MATCH(D173,ConformanceSubstrates!A2:A9, 0))="")=TRUE),  "",  INDEX(ConformanceSubstrates!C2:C9, MATCH(D173,ConformanceSubstrates!A2:A9, 0))), "")</f>
        <v>Excel</v>
      </c>
      <c r="R173" s="4" t="str">
        <f>_xlfn.IFNA(IF(((INDEX(RulebookTables!F2:F93, MATCH(E173,RulebookTables!A2:A93, 0))="")=TRUE),  "",  INDEX(RulebookTables!F2:F93, MATCH(E173,RulebookTables!A2:A93, 0))), "")</f>
        <v>knowledge</v>
      </c>
      <c r="S173" s="3" t="s">
        <v>1918</v>
      </c>
    </row>
    <row r="174">
      <c r="A174" s="3" t="s">
        <v>14277</v>
      </c>
      <c r="B174" s="4" t="str">
        <f>_xlfn.CONCAT(D174, " / ", E174)</f>
        <v>effortless-xlsx / ConformanceSubstrates</v>
      </c>
      <c r="C174" s="3" t="s">
        <v>14074</v>
      </c>
      <c r="D174" s="3" t="s">
        <v>14053</v>
      </c>
      <c r="E174" s="3" t="s">
        <v>1905</v>
      </c>
      <c r="F174" s="3">
        <v>8</v>
      </c>
      <c r="G174" s="3">
        <v>11</v>
      </c>
      <c r="H174" s="3">
        <v>88</v>
      </c>
      <c r="I174" s="3">
        <v>88</v>
      </c>
      <c r="J174" s="3" t="b">
        <v>0</v>
      </c>
      <c r="K174" s="4">
        <f>H174 - I174</f>
        <v>0</v>
      </c>
      <c r="L174" s="4">
        <f>IF(((H174 = 0)=TRUE),  0,  ROUND(100 * I174 / H174, 2))</f>
        <v>100</v>
      </c>
      <c r="M174" s="4" t="b">
        <f>K174 = 0</f>
        <v>1</v>
      </c>
      <c r="N174" s="4" t="str">
        <f>IF(((M174)=TRUE),  "",  D174)</f>
      </c>
      <c r="O174" s="4" t="str">
        <f>IF(((M174)=TRUE),  "",  E174)</f>
      </c>
      <c r="P174" s="4">
        <f>COUNTIFS(FieldDisagreements!E2:E50, A174)</f>
        <v>0</v>
      </c>
      <c r="Q174" s="4" t="str">
        <f>_xlfn.IFNA(IF(((INDEX(ConformanceSubstrates!C2:C9, MATCH(D174,ConformanceSubstrates!A2:A9, 0))="")=TRUE),  "",  INDEX(ConformanceSubstrates!C2:C9, MATCH(D174,ConformanceSubstrates!A2:A9, 0))), "")</f>
        <v>Excel</v>
      </c>
      <c r="R174" s="4" t="str">
        <f>_xlfn.IFNA(IF(((INDEX(RulebookTables!F2:F93, MATCH(E174,RulebookTables!A2:A93, 0))="")=TRUE),  "",  INDEX(RulebookTables!F2:F93, MATCH(E174,RulebookTables!A2:A93, 0))), "")</f>
        <v>meta</v>
      </c>
      <c r="S174" s="3" t="s">
        <v>1918</v>
      </c>
    </row>
    <row r="175">
      <c r="A175" s="3" t="s">
        <v>14278</v>
      </c>
      <c r="B175" s="4" t="str">
        <f>_xlfn.CONCAT(D175, " / ", E175)</f>
        <v>effortless-xlsx / ConformanceRuns</v>
      </c>
      <c r="C175" s="3" t="s">
        <v>14074</v>
      </c>
      <c r="D175" s="3" t="s">
        <v>14053</v>
      </c>
      <c r="E175" s="3" t="s">
        <v>1909</v>
      </c>
      <c r="F175" s="3">
        <v>3</v>
      </c>
      <c r="G175" s="3">
        <v>9</v>
      </c>
      <c r="H175" s="3">
        <v>27</v>
      </c>
      <c r="I175" s="3">
        <v>27</v>
      </c>
      <c r="J175" s="3" t="b">
        <v>0</v>
      </c>
      <c r="K175" s="4">
        <f>H175 - I175</f>
        <v>0</v>
      </c>
      <c r="L175" s="4">
        <f>IF(((H175 = 0)=TRUE),  0,  ROUND(100 * I175 / H175, 2))</f>
        <v>100</v>
      </c>
      <c r="M175" s="4" t="b">
        <f>K175 = 0</f>
        <v>1</v>
      </c>
      <c r="N175" s="4" t="str">
        <f>IF(((M175)=TRUE),  "",  D175)</f>
      </c>
      <c r="O175" s="4" t="str">
        <f>IF(((M175)=TRUE),  "",  E175)</f>
      </c>
      <c r="P175" s="4">
        <f>COUNTIFS(FieldDisagreements!E2:E50, A175)</f>
        <v>0</v>
      </c>
      <c r="Q175" s="4" t="str">
        <f>_xlfn.IFNA(IF(((INDEX(ConformanceSubstrates!C2:C9, MATCH(D175,ConformanceSubstrates!A2:A9, 0))="")=TRUE),  "",  INDEX(ConformanceSubstrates!C2:C9, MATCH(D175,ConformanceSubstrates!A2:A9, 0))), "")</f>
        <v>Excel</v>
      </c>
      <c r="R175" s="4" t="str">
        <f>_xlfn.IFNA(IF(((INDEX(RulebookTables!F2:F93, MATCH(E175,RulebookTables!A2:A93, 0))="")=TRUE),  "",  INDEX(RulebookTables!F2:F93, MATCH(E175,RulebookTables!A2:A93, 0))), "")</f>
        <v>meta</v>
      </c>
      <c r="S175" s="3" t="s">
        <v>1918</v>
      </c>
    </row>
    <row r="176">
      <c r="A176" s="3" t="s">
        <v>14279</v>
      </c>
      <c r="B176" s="4" t="str">
        <f>_xlfn.CONCAT(D176, " / ", E176)</f>
        <v>effortless-xlsx / SubstrateRunScores</v>
      </c>
      <c r="C176" s="3" t="s">
        <v>14074</v>
      </c>
      <c r="D176" s="3" t="s">
        <v>14053</v>
      </c>
      <c r="E176" s="3" t="s">
        <v>1913</v>
      </c>
      <c r="F176" s="3">
        <v>21</v>
      </c>
      <c r="G176" s="3">
        <v>13</v>
      </c>
      <c r="H176" s="3">
        <v>273</v>
      </c>
      <c r="I176" s="3">
        <v>273</v>
      </c>
      <c r="J176" s="3" t="b">
        <v>0</v>
      </c>
      <c r="K176" s="4">
        <f>H176 - I176</f>
        <v>0</v>
      </c>
      <c r="L176" s="4">
        <f>IF(((H176 = 0)=TRUE),  0,  ROUND(100 * I176 / H176, 2))</f>
        <v>100</v>
      </c>
      <c r="M176" s="4" t="b">
        <f>K176 = 0</f>
        <v>1</v>
      </c>
      <c r="N176" s="4" t="str">
        <f>IF(((M176)=TRUE),  "",  D176)</f>
      </c>
      <c r="O176" s="4" t="str">
        <f>IF(((M176)=TRUE),  "",  E176)</f>
      </c>
      <c r="P176" s="4">
        <f>COUNTIFS(FieldDisagreements!E2:E50, A176)</f>
        <v>0</v>
      </c>
      <c r="Q176" s="4" t="str">
        <f>_xlfn.IFNA(IF(((INDEX(ConformanceSubstrates!C2:C9, MATCH(D176,ConformanceSubstrates!A2:A9, 0))="")=TRUE),  "",  INDEX(ConformanceSubstrates!C2:C9, MATCH(D176,ConformanceSubstrates!A2:A9, 0))), "")</f>
        <v>Excel</v>
      </c>
      <c r="R176" s="4" t="str">
        <f>_xlfn.IFNA(IF(((INDEX(RulebookTables!F2:F93, MATCH(E176,RulebookTables!A2:A93, 0))="")=TRUE),  "",  INDEX(RulebookTables!F2:F93, MATCH(E176,RulebookTables!A2:A93, 0))), "")</f>
        <v>meta</v>
      </c>
      <c r="S176" s="3" t="s">
        <v>1918</v>
      </c>
    </row>
    <row r="177">
      <c r="A177" s="3" t="s">
        <v>14280</v>
      </c>
      <c r="B177" s="4" t="str">
        <f>_xlfn.CONCAT(D177, " / ", E177)</f>
        <v>effortless-xlsx / TableConformance</v>
      </c>
      <c r="C177" s="3" t="s">
        <v>14074</v>
      </c>
      <c r="D177" s="3" t="s">
        <v>14053</v>
      </c>
      <c r="E177" s="3" t="s">
        <v>1917</v>
      </c>
      <c r="F177" s="3">
        <v>623</v>
      </c>
      <c r="G177" s="3">
        <v>9</v>
      </c>
      <c r="H177" s="3">
        <v>5607</v>
      </c>
      <c r="I177" s="3">
        <v>5607</v>
      </c>
      <c r="J177" s="3" t="b">
        <v>0</v>
      </c>
      <c r="K177" s="4">
        <f>H177 - I177</f>
        <v>0</v>
      </c>
      <c r="L177" s="4">
        <f>IF(((H177 = 0)=TRUE),  0,  ROUND(100 * I177 / H177, 2))</f>
        <v>100</v>
      </c>
      <c r="M177" s="4" t="b">
        <f>K177 = 0</f>
        <v>1</v>
      </c>
      <c r="N177" s="4" t="str">
        <f>IF(((M177)=TRUE),  "",  D177)</f>
      </c>
      <c r="O177" s="4" t="str">
        <f>IF(((M177)=TRUE),  "",  E177)</f>
      </c>
      <c r="P177" s="4">
        <f>COUNTIFS(FieldDisagreements!E2:E50, A177)</f>
        <v>0</v>
      </c>
      <c r="Q177" s="4" t="str">
        <f>_xlfn.IFNA(IF(((INDEX(ConformanceSubstrates!C2:C9, MATCH(D177,ConformanceSubstrates!A2:A9, 0))="")=TRUE),  "",  INDEX(ConformanceSubstrates!C2:C9, MATCH(D177,ConformanceSubstrates!A2:A9, 0))), "")</f>
        <v>Excel</v>
      </c>
      <c r="R177" s="4" t="str">
        <f>_xlfn.IFNA(IF(((INDEX(RulebookTables!F2:F93, MATCH(E177,RulebookTables!A2:A93, 0))="")=TRUE),  "",  INDEX(RulebookTables!F2:F93, MATCH(E177,RulebookTables!A2:A93, 0))), "")</f>
        <v>meta</v>
      </c>
      <c r="S177" s="3" t="s">
        <v>1918</v>
      </c>
    </row>
    <row r="178">
      <c r="A178" s="3" t="s">
        <v>14281</v>
      </c>
      <c r="B178" s="4" t="str">
        <f>_xlfn.CONCAT(D178, " / ", E178)</f>
        <v>effortless-xlsx / FieldDisagreements</v>
      </c>
      <c r="C178" s="3" t="s">
        <v>14074</v>
      </c>
      <c r="D178" s="3" t="s">
        <v>14053</v>
      </c>
      <c r="E178" s="3" t="s">
        <v>1921</v>
      </c>
      <c r="F178" s="3">
        <v>49</v>
      </c>
      <c r="G178" s="3">
        <v>5</v>
      </c>
      <c r="H178" s="3">
        <v>245</v>
      </c>
      <c r="I178" s="3">
        <v>245</v>
      </c>
      <c r="J178" s="3" t="b">
        <v>0</v>
      </c>
      <c r="K178" s="4">
        <f>H178 - I178</f>
        <v>0</v>
      </c>
      <c r="L178" s="4">
        <f>IF(((H178 = 0)=TRUE),  0,  ROUND(100 * I178 / H178, 2))</f>
        <v>100</v>
      </c>
      <c r="M178" s="4" t="b">
        <f>K178 = 0</f>
        <v>1</v>
      </c>
      <c r="N178" s="4" t="str">
        <f>IF(((M178)=TRUE),  "",  D178)</f>
      </c>
      <c r="O178" s="4" t="str">
        <f>IF(((M178)=TRUE),  "",  E178)</f>
      </c>
      <c r="P178" s="4">
        <f>COUNTIFS(FieldDisagreements!E2:E50, A178)</f>
        <v>0</v>
      </c>
      <c r="Q178" s="4" t="str">
        <f>_xlfn.IFNA(IF(((INDEX(ConformanceSubstrates!C2:C9, MATCH(D178,ConformanceSubstrates!A2:A9, 0))="")=TRUE),  "",  INDEX(ConformanceSubstrates!C2:C9, MATCH(D178,ConformanceSubstrates!A2:A9, 0))), "")</f>
        <v>Excel</v>
      </c>
      <c r="R178" s="4" t="str">
        <f>_xlfn.IFNA(IF(((INDEX(RulebookTables!F2:F93, MATCH(E178,RulebookTables!A2:A93, 0))="")=TRUE),  "",  INDEX(RulebookTables!F2:F93, MATCH(E178,RulebookTables!A2:A93, 0))), "")</f>
        <v>meta</v>
      </c>
      <c r="S178" s="3" t="s">
        <v>1918</v>
      </c>
    </row>
    <row r="179">
      <c r="A179" s="3" t="s">
        <v>14282</v>
      </c>
      <c r="B179" s="4" t="str">
        <f>_xlfn.CONCAT(D179, " / ", E179)</f>
        <v>effortless-xlsx / CellDisagreements</v>
      </c>
      <c r="C179" s="3" t="s">
        <v>14074</v>
      </c>
      <c r="D179" s="3" t="s">
        <v>14053</v>
      </c>
      <c r="E179" s="3" t="s">
        <v>1925</v>
      </c>
      <c r="F179" s="3">
        <v>316</v>
      </c>
      <c r="G179" s="3">
        <v>3</v>
      </c>
      <c r="H179" s="3">
        <v>948</v>
      </c>
      <c r="I179" s="3">
        <v>948</v>
      </c>
      <c r="J179" s="3" t="b">
        <v>0</v>
      </c>
      <c r="K179" s="4">
        <f>H179 - I179</f>
        <v>0</v>
      </c>
      <c r="L179" s="4">
        <f>IF(((H179 = 0)=TRUE),  0,  ROUND(100 * I179 / H179, 2))</f>
        <v>100</v>
      </c>
      <c r="M179" s="4" t="b">
        <f>K179 = 0</f>
        <v>1</v>
      </c>
      <c r="N179" s="4" t="str">
        <f>IF(((M179)=TRUE),  "",  D179)</f>
      </c>
      <c r="O179" s="4" t="str">
        <f>IF(((M179)=TRUE),  "",  E179)</f>
      </c>
      <c r="P179" s="4">
        <f>COUNTIFS(FieldDisagreements!E2:E50, A179)</f>
        <v>0</v>
      </c>
      <c r="Q179" s="4" t="str">
        <f>_xlfn.IFNA(IF(((INDEX(ConformanceSubstrates!C2:C9, MATCH(D179,ConformanceSubstrates!A2:A9, 0))="")=TRUE),  "",  INDEX(ConformanceSubstrates!C2:C9, MATCH(D179,ConformanceSubstrates!A2:A9, 0))), "")</f>
        <v>Excel</v>
      </c>
      <c r="R179" s="4" t="str">
        <f>_xlfn.IFNA(IF(((INDEX(RulebookTables!F2:F93, MATCH(E179,RulebookTables!A2:A93, 0))="")=TRUE),  "",  INDEX(RulebookTables!F2:F93, MATCH(E179,RulebookTables!A2:A93, 0))), "")</f>
        <v>meta</v>
      </c>
      <c r="S179" s="3" t="s">
        <v>1918</v>
      </c>
    </row>
    <row r="180">
      <c r="A180" s="3" t="s">
        <v>14283</v>
      </c>
      <c r="B180" s="4" t="str">
        <f>_xlfn.CONCAT(D180, " / ", E180)</f>
        <v>effortless-entity-framework / RulebookReleases</v>
      </c>
      <c r="C180" s="3" t="s">
        <v>14074</v>
      </c>
      <c r="D180" s="3" t="s">
        <v>14047</v>
      </c>
      <c r="E180" s="3" t="s">
        <v>2415</v>
      </c>
      <c r="F180" s="3">
        <v>1</v>
      </c>
      <c r="G180" s="3">
        <v>1</v>
      </c>
      <c r="H180" s="3">
        <v>1</v>
      </c>
      <c r="I180" s="3">
        <v>1</v>
      </c>
      <c r="J180" s="3" t="b">
        <v>0</v>
      </c>
      <c r="K180" s="4">
        <f>H180 - I180</f>
        <v>0</v>
      </c>
      <c r="L180" s="4">
        <f>IF(((H180 = 0)=TRUE),  0,  ROUND(100 * I180 / H180, 2))</f>
        <v>100</v>
      </c>
      <c r="M180" s="4" t="b">
        <f>K180 = 0</f>
        <v>1</v>
      </c>
      <c r="N180" s="4" t="str">
        <f>IF(((M180)=TRUE),  "",  D180)</f>
      </c>
      <c r="O180" s="4" t="str">
        <f>IF(((M180)=TRUE),  "",  E180)</f>
      </c>
      <c r="P180" s="4">
        <f>COUNTIFS(FieldDisagreements!E2:E50, A180)</f>
        <v>0</v>
      </c>
      <c r="Q180" s="4" t="str">
        <f>_xlfn.IFNA(IF(((INDEX(ConformanceSubstrates!C2:C9, MATCH(D180,ConformanceSubstrates!A2:A9, 0))="")=TRUE),  "",  INDEX(ConformanceSubstrates!C2:C9, MATCH(D180,ConformanceSubstrates!A2:A9, 0))), "")</f>
        <v>C# / Entity Framework</v>
      </c>
      <c r="R180" s="4" t="str">
        <f>_xlfn.IFNA(IF(((INDEX(RulebookTables!F2:F93, MATCH(E180,RulebookTables!A2:A93, 0))="")=TRUE),  "",  INDEX(RulebookTables!F2:F93, MATCH(E180,RulebookTables!A2:A93, 0))), "")</f>
        <v>meta</v>
      </c>
      <c r="S180" s="3" t="s">
        <v>1918</v>
      </c>
    </row>
    <row r="181">
      <c r="A181" s="3" t="s">
        <v>14284</v>
      </c>
      <c r="B181" s="4" t="str">
        <f>_xlfn.CONCAT(D181, " / ", E181)</f>
        <v>effortless-entity-framework / OntologyProfiles</v>
      </c>
      <c r="C181" s="3" t="s">
        <v>14074</v>
      </c>
      <c r="D181" s="3" t="s">
        <v>14047</v>
      </c>
      <c r="E181" s="3" t="s">
        <v>2434</v>
      </c>
      <c r="F181" s="3">
        <v>11</v>
      </c>
      <c r="G181" s="3">
        <v>1</v>
      </c>
      <c r="H181" s="3">
        <v>11</v>
      </c>
      <c r="I181" s="3">
        <v>11</v>
      </c>
      <c r="J181" s="3" t="b">
        <v>0</v>
      </c>
      <c r="K181" s="4">
        <f>H181 - I181</f>
        <v>0</v>
      </c>
      <c r="L181" s="4">
        <f>IF(((H181 = 0)=TRUE),  0,  ROUND(100 * I181 / H181, 2))</f>
        <v>100</v>
      </c>
      <c r="M181" s="4" t="b">
        <f>K181 = 0</f>
        <v>1</v>
      </c>
      <c r="N181" s="4" t="str">
        <f>IF(((M181)=TRUE),  "",  D181)</f>
      </c>
      <c r="O181" s="4" t="str">
        <f>IF(((M181)=TRUE),  "",  E181)</f>
      </c>
      <c r="P181" s="4">
        <f>COUNTIFS(FieldDisagreements!E2:E50, A181)</f>
        <v>0</v>
      </c>
      <c r="Q181" s="4" t="str">
        <f>_xlfn.IFNA(IF(((INDEX(ConformanceSubstrates!C2:C9, MATCH(D181,ConformanceSubstrates!A2:A9, 0))="")=TRUE),  "",  INDEX(ConformanceSubstrates!C2:C9, MATCH(D181,ConformanceSubstrates!A2:A9, 0))), "")</f>
        <v>C# / Entity Framework</v>
      </c>
      <c r="R181" s="4" t="str">
        <f>_xlfn.IFNA(IF(((INDEX(RulebookTables!F2:F93, MATCH(E181,RulebookTables!A2:A93, 0))="")=TRUE),  "",  INDEX(RulebookTables!F2:F93, MATCH(E181,RulebookTables!A2:A93, 0))), "")</f>
        <v>domain</v>
      </c>
      <c r="S181" s="3" t="s">
        <v>1918</v>
      </c>
    </row>
    <row r="182">
      <c r="A182" s="3" t="s">
        <v>14285</v>
      </c>
      <c r="B182" s="4" t="str">
        <f>_xlfn.CONCAT(D182, " / ", E182)</f>
        <v>effortless-entity-framework / EvaluationContexts</v>
      </c>
      <c r="C182" s="3" t="s">
        <v>14074</v>
      </c>
      <c r="D182" s="3" t="s">
        <v>14047</v>
      </c>
      <c r="E182" s="3" t="s">
        <v>2444</v>
      </c>
      <c r="F182" s="3">
        <v>1</v>
      </c>
      <c r="G182" s="3">
        <v>1</v>
      </c>
      <c r="H182" s="3">
        <v>1</v>
      </c>
      <c r="I182" s="3">
        <v>1</v>
      </c>
      <c r="J182" s="3" t="b">
        <v>0</v>
      </c>
      <c r="K182" s="4">
        <f>H182 - I182</f>
        <v>0</v>
      </c>
      <c r="L182" s="4">
        <f>IF(((H182 = 0)=TRUE),  0,  ROUND(100 * I182 / H182, 2))</f>
        <v>100</v>
      </c>
      <c r="M182" s="4" t="b">
        <f>K182 = 0</f>
        <v>1</v>
      </c>
      <c r="N182" s="4" t="str">
        <f>IF(((M182)=TRUE),  "",  D182)</f>
      </c>
      <c r="O182" s="4" t="str">
        <f>IF(((M182)=TRUE),  "",  E182)</f>
      </c>
      <c r="P182" s="4">
        <f>COUNTIFS(FieldDisagreements!E2:E50, A182)</f>
        <v>0</v>
      </c>
      <c r="Q182" s="4" t="str">
        <f>_xlfn.IFNA(IF(((INDEX(ConformanceSubstrates!C2:C9, MATCH(D182,ConformanceSubstrates!A2:A9, 0))="")=TRUE),  "",  INDEX(ConformanceSubstrates!C2:C9, MATCH(D182,ConformanceSubstrates!A2:A9, 0))), "")</f>
        <v>C# / Entity Framework</v>
      </c>
      <c r="R182" s="4" t="str">
        <f>_xlfn.IFNA(IF(((INDEX(RulebookTables!F2:F93, MATCH(E182,RulebookTables!A2:A93, 0))="")=TRUE),  "",  INDEX(RulebookTables!F2:F93, MATCH(E182,RulebookTables!A2:A93, 0))), "")</f>
        <v>meta</v>
      </c>
      <c r="S182" s="3" t="s">
        <v>1918</v>
      </c>
    </row>
    <row r="183">
      <c r="A183" s="3" t="s">
        <v>14286</v>
      </c>
      <c r="B183" s="4" t="str">
        <f>_xlfn.CONCAT(D183, " / ", E183)</f>
        <v>effortless-entity-framework / Organizations</v>
      </c>
      <c r="C183" s="3" t="s">
        <v>14074</v>
      </c>
      <c r="D183" s="3" t="s">
        <v>14047</v>
      </c>
      <c r="E183" s="3" t="s">
        <v>2453</v>
      </c>
      <c r="F183" s="3">
        <v>4</v>
      </c>
      <c r="G183" s="3">
        <v>1</v>
      </c>
      <c r="H183" s="3">
        <v>4</v>
      </c>
      <c r="I183" s="3">
        <v>4</v>
      </c>
      <c r="J183" s="3" t="b">
        <v>0</v>
      </c>
      <c r="K183" s="4">
        <f>H183 - I183</f>
        <v>0</v>
      </c>
      <c r="L183" s="4">
        <f>IF(((H183 = 0)=TRUE),  0,  ROUND(100 * I183 / H183, 2))</f>
        <v>100</v>
      </c>
      <c r="M183" s="4" t="b">
        <f>K183 = 0</f>
        <v>1</v>
      </c>
      <c r="N183" s="4" t="str">
        <f>IF(((M183)=TRUE),  "",  D183)</f>
      </c>
      <c r="O183" s="4" t="str">
        <f>IF(((M183)=TRUE),  "",  E183)</f>
      </c>
      <c r="P183" s="4">
        <f>COUNTIFS(FieldDisagreements!E2:E50, A183)</f>
        <v>0</v>
      </c>
      <c r="Q183" s="4" t="str">
        <f>_xlfn.IFNA(IF(((INDEX(ConformanceSubstrates!C2:C9, MATCH(D183,ConformanceSubstrates!A2:A9, 0))="")=TRUE),  "",  INDEX(ConformanceSubstrates!C2:C9, MATCH(D183,ConformanceSubstrates!A2:A9, 0))), "")</f>
        <v>C# / Entity Framework</v>
      </c>
      <c r="R183" s="4" t="str">
        <f>_xlfn.IFNA(IF(((INDEX(RulebookTables!F2:F93, MATCH(E183,RulebookTables!A2:A93, 0))="")=TRUE),  "",  INDEX(RulebookTables!F2:F93, MATCH(E183,RulebookTables!A2:A93, 0))), "")</f>
        <v>org</v>
      </c>
      <c r="S183" s="3" t="s">
        <v>1918</v>
      </c>
    </row>
    <row r="184">
      <c r="A184" s="3" t="s">
        <v>14287</v>
      </c>
      <c r="B184" s="4" t="str">
        <f>_xlfn.CONCAT(D184, " / ", E184)</f>
        <v>effortless-entity-framework / Agents</v>
      </c>
      <c r="C184" s="3" t="s">
        <v>14074</v>
      </c>
      <c r="D184" s="3" t="s">
        <v>14047</v>
      </c>
      <c r="E184" s="3" t="s">
        <v>1814</v>
      </c>
      <c r="F184" s="3">
        <v>11</v>
      </c>
      <c r="G184" s="3">
        <v>16</v>
      </c>
      <c r="H184" s="3">
        <v>176</v>
      </c>
      <c r="I184" s="3">
        <v>176</v>
      </c>
      <c r="J184" s="3" t="b">
        <v>0</v>
      </c>
      <c r="K184" s="4">
        <f>H184 - I184</f>
        <v>0</v>
      </c>
      <c r="L184" s="4">
        <f>IF(((H184 = 0)=TRUE),  0,  ROUND(100 * I184 / H184, 2))</f>
        <v>100</v>
      </c>
      <c r="M184" s="4" t="b">
        <f>K184 = 0</f>
        <v>1</v>
      </c>
      <c r="N184" s="4" t="str">
        <f>IF(((M184)=TRUE),  "",  D184)</f>
      </c>
      <c r="O184" s="4" t="str">
        <f>IF(((M184)=TRUE),  "",  E184)</f>
      </c>
      <c r="P184" s="4">
        <f>COUNTIFS(FieldDisagreements!E2:E50, A184)</f>
        <v>0</v>
      </c>
      <c r="Q184" s="4" t="str">
        <f>_xlfn.IFNA(IF(((INDEX(ConformanceSubstrates!C2:C9, MATCH(D184,ConformanceSubstrates!A2:A9, 0))="")=TRUE),  "",  INDEX(ConformanceSubstrates!C2:C9, MATCH(D184,ConformanceSubstrates!A2:A9, 0))), "")</f>
        <v>C# / Entity Framework</v>
      </c>
      <c r="R184" s="4" t="str">
        <f>_xlfn.IFNA(IF(((INDEX(RulebookTables!F2:F93, MATCH(E184,RulebookTables!A2:A93, 0))="")=TRUE),  "",  INDEX(RulebookTables!F2:F93, MATCH(E184,RulebookTables!A2:A93, 0))), "")</f>
        <v>org</v>
      </c>
      <c r="S184" s="3" t="s">
        <v>1918</v>
      </c>
    </row>
    <row r="185">
      <c r="A185" s="3" t="s">
        <v>14288</v>
      </c>
      <c r="B185" s="4" t="str">
        <f>_xlfn.CONCAT(D185, " / ", E185)</f>
        <v>effortless-entity-framework / Roles</v>
      </c>
      <c r="C185" s="3" t="s">
        <v>14074</v>
      </c>
      <c r="D185" s="3" t="s">
        <v>14047</v>
      </c>
      <c r="E185" s="3" t="s">
        <v>1818</v>
      </c>
      <c r="F185" s="3">
        <v>12</v>
      </c>
      <c r="G185" s="3">
        <v>17</v>
      </c>
      <c r="H185" s="3">
        <v>204</v>
      </c>
      <c r="I185" s="3">
        <v>204</v>
      </c>
      <c r="J185" s="3" t="b">
        <v>0</v>
      </c>
      <c r="K185" s="4">
        <f>H185 - I185</f>
        <v>0</v>
      </c>
      <c r="L185" s="4">
        <f>IF(((H185 = 0)=TRUE),  0,  ROUND(100 * I185 / H185, 2))</f>
        <v>100</v>
      </c>
      <c r="M185" s="4" t="b">
        <f>K185 = 0</f>
        <v>1</v>
      </c>
      <c r="N185" s="4" t="str">
        <f>IF(((M185)=TRUE),  "",  D185)</f>
      </c>
      <c r="O185" s="4" t="str">
        <f>IF(((M185)=TRUE),  "",  E185)</f>
      </c>
      <c r="P185" s="4">
        <f>COUNTIFS(FieldDisagreements!E2:E50, A185)</f>
        <v>0</v>
      </c>
      <c r="Q185" s="4" t="str">
        <f>_xlfn.IFNA(IF(((INDEX(ConformanceSubstrates!C2:C9, MATCH(D185,ConformanceSubstrates!A2:A9, 0))="")=TRUE),  "",  INDEX(ConformanceSubstrates!C2:C9, MATCH(D185,ConformanceSubstrates!A2:A9, 0))), "")</f>
        <v>C# / Entity Framework</v>
      </c>
      <c r="R185" s="4" t="str">
        <f>_xlfn.IFNA(IF(((INDEX(RulebookTables!F2:F93, MATCH(E185,RulebookTables!A2:A93, 0))="")=TRUE),  "",  INDEX(RulebookTables!F2:F93, MATCH(E185,RulebookTables!A2:A93, 0))), "")</f>
        <v>org</v>
      </c>
      <c r="S185" s="3" t="s">
        <v>1918</v>
      </c>
    </row>
    <row r="186">
      <c r="A186" s="3" t="s">
        <v>14289</v>
      </c>
      <c r="B186" s="4" t="str">
        <f>_xlfn.CONCAT(D186, " / ", E186)</f>
        <v>effortless-entity-framework / RoleAssignments</v>
      </c>
      <c r="C186" s="3" t="s">
        <v>14074</v>
      </c>
      <c r="D186" s="3" t="s">
        <v>14047</v>
      </c>
      <c r="E186" s="3" t="s">
        <v>1821</v>
      </c>
      <c r="F186" s="3">
        <v>13</v>
      </c>
      <c r="G186" s="3">
        <v>47</v>
      </c>
      <c r="H186" s="3">
        <v>611</v>
      </c>
      <c r="I186" s="3">
        <v>611</v>
      </c>
      <c r="J186" s="3" t="b">
        <v>0</v>
      </c>
      <c r="K186" s="4">
        <f>H186 - I186</f>
        <v>0</v>
      </c>
      <c r="L186" s="4">
        <f>IF(((H186 = 0)=TRUE),  0,  ROUND(100 * I186 / H186, 2))</f>
        <v>100</v>
      </c>
      <c r="M186" s="4" t="b">
        <f>K186 = 0</f>
        <v>1</v>
      </c>
      <c r="N186" s="4" t="str">
        <f>IF(((M186)=TRUE),  "",  D186)</f>
      </c>
      <c r="O186" s="4" t="str">
        <f>IF(((M186)=TRUE),  "",  E186)</f>
      </c>
      <c r="P186" s="4">
        <f>COUNTIFS(FieldDisagreements!E2:E50, A186)</f>
        <v>0</v>
      </c>
      <c r="Q186" s="4" t="str">
        <f>_xlfn.IFNA(IF(((INDEX(ConformanceSubstrates!C2:C9, MATCH(D186,ConformanceSubstrates!A2:A9, 0))="")=TRUE),  "",  INDEX(ConformanceSubstrates!C2:C9, MATCH(D186,ConformanceSubstrates!A2:A9, 0))), "")</f>
        <v>C# / Entity Framework</v>
      </c>
      <c r="R186" s="4" t="str">
        <f>_xlfn.IFNA(IF(((INDEX(RulebookTables!F2:F93, MATCH(E186,RulebookTables!A2:A93, 0))="")=TRUE),  "",  INDEX(RulebookTables!F2:F93, MATCH(E186,RulebookTables!A2:A93, 0))), "")</f>
        <v>org</v>
      </c>
      <c r="S186" s="3" t="s">
        <v>1918</v>
      </c>
    </row>
    <row r="187">
      <c r="A187" s="3" t="s">
        <v>14290</v>
      </c>
      <c r="B187" s="4" t="str">
        <f>_xlfn.CONCAT(D187, " / ", E187)</f>
        <v>effortless-entity-framework / CommunitiesOfPractice</v>
      </c>
      <c r="C187" s="3" t="s">
        <v>14074</v>
      </c>
      <c r="D187" s="3" t="s">
        <v>14047</v>
      </c>
      <c r="E187" s="3" t="s">
        <v>2655</v>
      </c>
      <c r="F187" s="3">
        <v>2</v>
      </c>
      <c r="G187" s="3">
        <v>1</v>
      </c>
      <c r="H187" s="3">
        <v>2</v>
      </c>
      <c r="I187" s="3">
        <v>2</v>
      </c>
      <c r="J187" s="3" t="b">
        <v>0</v>
      </c>
      <c r="K187" s="4">
        <f>H187 - I187</f>
        <v>0</v>
      </c>
      <c r="L187" s="4">
        <f>IF(((H187 = 0)=TRUE),  0,  ROUND(100 * I187 / H187, 2))</f>
        <v>100</v>
      </c>
      <c r="M187" s="4" t="b">
        <f>K187 = 0</f>
        <v>1</v>
      </c>
      <c r="N187" s="4" t="str">
        <f>IF(((M187)=TRUE),  "",  D187)</f>
      </c>
      <c r="O187" s="4" t="str">
        <f>IF(((M187)=TRUE),  "",  E187)</f>
      </c>
      <c r="P187" s="4">
        <f>COUNTIFS(FieldDisagreements!E2:E50, A187)</f>
        <v>0</v>
      </c>
      <c r="Q187" s="4" t="str">
        <f>_xlfn.IFNA(IF(((INDEX(ConformanceSubstrates!C2:C9, MATCH(D187,ConformanceSubstrates!A2:A9, 0))="")=TRUE),  "",  INDEX(ConformanceSubstrates!C2:C9, MATCH(D187,ConformanceSubstrates!A2:A9, 0))), "")</f>
        <v>C# / Entity Framework</v>
      </c>
      <c r="R187" s="4" t="str">
        <f>_xlfn.IFNA(IF(((INDEX(RulebookTables!F2:F93, MATCH(E187,RulebookTables!A2:A93, 0))="")=TRUE),  "",  INDEX(RulebookTables!F2:F93, MATCH(E187,RulebookTables!A2:A93, 0))), "")</f>
        <v>org</v>
      </c>
      <c r="S187" s="3" t="s">
        <v>1918</v>
      </c>
    </row>
    <row r="188">
      <c r="A188" s="3" t="s">
        <v>14291</v>
      </c>
      <c r="B188" s="4" t="str">
        <f>_xlfn.CONCAT(D188, " / ", E188)</f>
        <v>effortless-entity-framework / Mentorships</v>
      </c>
      <c r="C188" s="3" t="s">
        <v>14074</v>
      </c>
      <c r="D188" s="3" t="s">
        <v>14047</v>
      </c>
      <c r="E188" s="3" t="s">
        <v>2664</v>
      </c>
      <c r="F188" s="3">
        <v>1</v>
      </c>
      <c r="G188" s="3">
        <v>1</v>
      </c>
      <c r="H188" s="3">
        <v>1</v>
      </c>
      <c r="I188" s="3">
        <v>1</v>
      </c>
      <c r="J188" s="3" t="b">
        <v>0</v>
      </c>
      <c r="K188" s="4">
        <f>H188 - I188</f>
        <v>0</v>
      </c>
      <c r="L188" s="4">
        <f>IF(((H188 = 0)=TRUE),  0,  ROUND(100 * I188 / H188, 2))</f>
        <v>100</v>
      </c>
      <c r="M188" s="4" t="b">
        <f>K188 = 0</f>
        <v>1</v>
      </c>
      <c r="N188" s="4" t="str">
        <f>IF(((M188)=TRUE),  "",  D188)</f>
      </c>
      <c r="O188" s="4" t="str">
        <f>IF(((M188)=TRUE),  "",  E188)</f>
      </c>
      <c r="P188" s="4">
        <f>COUNTIFS(FieldDisagreements!E2:E50, A188)</f>
        <v>0</v>
      </c>
      <c r="Q188" s="4" t="str">
        <f>_xlfn.IFNA(IF(((INDEX(ConformanceSubstrates!C2:C9, MATCH(D188,ConformanceSubstrates!A2:A9, 0))="")=TRUE),  "",  INDEX(ConformanceSubstrates!C2:C9, MATCH(D188,ConformanceSubstrates!A2:A9, 0))), "")</f>
        <v>C# / Entity Framework</v>
      </c>
      <c r="R188" s="4" t="str">
        <f>_xlfn.IFNA(IF(((INDEX(RulebookTables!F2:F93, MATCH(E188,RulebookTables!A2:A93, 0))="")=TRUE),  "",  INDEX(RulebookTables!F2:F93, MATCH(E188,RulebookTables!A2:A93, 0))), "")</f>
        <v>org</v>
      </c>
      <c r="S188" s="3" t="s">
        <v>1918</v>
      </c>
    </row>
    <row r="189">
      <c r="A189" s="3" t="s">
        <v>14292</v>
      </c>
      <c r="B189" s="4" t="str">
        <f>_xlfn.CONCAT(D189, " / ", E189)</f>
        <v>effortless-entity-framework / ProcedureTypes</v>
      </c>
      <c r="C189" s="3" t="s">
        <v>14074</v>
      </c>
      <c r="D189" s="3" t="s">
        <v>14047</v>
      </c>
      <c r="E189" s="3" t="s">
        <v>2676</v>
      </c>
      <c r="F189" s="3">
        <v>2</v>
      </c>
      <c r="G189" s="3">
        <v>1</v>
      </c>
      <c r="H189" s="3">
        <v>2</v>
      </c>
      <c r="I189" s="3">
        <v>2</v>
      </c>
      <c r="J189" s="3" t="b">
        <v>0</v>
      </c>
      <c r="K189" s="4">
        <f>H189 - I189</f>
        <v>0</v>
      </c>
      <c r="L189" s="4">
        <f>IF(((H189 = 0)=TRUE),  0,  ROUND(100 * I189 / H189, 2))</f>
        <v>100</v>
      </c>
      <c r="M189" s="4" t="b">
        <f>K189 = 0</f>
        <v>1</v>
      </c>
      <c r="N189" s="4" t="str">
        <f>IF(((M189)=TRUE),  "",  D189)</f>
      </c>
      <c r="O189" s="4" t="str">
        <f>IF(((M189)=TRUE),  "",  E189)</f>
      </c>
      <c r="P189" s="4">
        <f>COUNTIFS(FieldDisagreements!E2:E50, A189)</f>
        <v>0</v>
      </c>
      <c r="Q189" s="4" t="str">
        <f>_xlfn.IFNA(IF(((INDEX(ConformanceSubstrates!C2:C9, MATCH(D189,ConformanceSubstrates!A2:A9, 0))="")=TRUE),  "",  INDEX(ConformanceSubstrates!C2:C9, MATCH(D189,ConformanceSubstrates!A2:A9, 0))), "")</f>
        <v>C# / Entity Framework</v>
      </c>
      <c r="R189" s="4" t="str">
        <f>_xlfn.IFNA(IF(((INDEX(RulebookTables!F2:F93, MATCH(E189,RulebookTables!A2:A93, 0))="")=TRUE),  "",  INDEX(RulebookTables!F2:F93, MATCH(E189,RulebookTables!A2:A93, 0))), "")</f>
        <v>specification</v>
      </c>
      <c r="S189" s="3" t="s">
        <v>1918</v>
      </c>
    </row>
    <row r="190">
      <c r="A190" s="3" t="s">
        <v>14293</v>
      </c>
      <c r="B190" s="4" t="str">
        <f>_xlfn.CONCAT(D190, " / ", E190)</f>
        <v>effortless-entity-framework / Procedures</v>
      </c>
      <c r="C190" s="3" t="s">
        <v>14074</v>
      </c>
      <c r="D190" s="3" t="s">
        <v>14047</v>
      </c>
      <c r="E190" s="3" t="s">
        <v>1762</v>
      </c>
      <c r="F190" s="3">
        <v>2</v>
      </c>
      <c r="G190" s="3">
        <v>1</v>
      </c>
      <c r="H190" s="3">
        <v>2</v>
      </c>
      <c r="I190" s="3">
        <v>2</v>
      </c>
      <c r="J190" s="3" t="b">
        <v>0</v>
      </c>
      <c r="K190" s="4">
        <f>H190 - I190</f>
        <v>0</v>
      </c>
      <c r="L190" s="4">
        <f>IF(((H190 = 0)=TRUE),  0,  ROUND(100 * I190 / H190, 2))</f>
        <v>100</v>
      </c>
      <c r="M190" s="4" t="b">
        <f>K190 = 0</f>
        <v>1</v>
      </c>
      <c r="N190" s="4" t="str">
        <f>IF(((M190)=TRUE),  "",  D190)</f>
      </c>
      <c r="O190" s="4" t="str">
        <f>IF(((M190)=TRUE),  "",  E190)</f>
      </c>
      <c r="P190" s="4">
        <f>COUNTIFS(FieldDisagreements!E2:E50, A190)</f>
        <v>0</v>
      </c>
      <c r="Q190" s="4" t="str">
        <f>_xlfn.IFNA(IF(((INDEX(ConformanceSubstrates!C2:C9, MATCH(D190,ConformanceSubstrates!A2:A9, 0))="")=TRUE),  "",  INDEX(ConformanceSubstrates!C2:C9, MATCH(D190,ConformanceSubstrates!A2:A9, 0))), "")</f>
        <v>C# / Entity Framework</v>
      </c>
      <c r="R190" s="4" t="str">
        <f>_xlfn.IFNA(IF(((INDEX(RulebookTables!F2:F93, MATCH(E190,RulebookTables!A2:A93, 0))="")=TRUE),  "",  INDEX(RulebookTables!F2:F93, MATCH(E190,RulebookTables!A2:A93, 0))), "")</f>
        <v>specification</v>
      </c>
      <c r="S190" s="3" t="s">
        <v>1918</v>
      </c>
    </row>
    <row r="191">
      <c r="A191" s="3" t="s">
        <v>14294</v>
      </c>
      <c r="B191" s="4" t="str">
        <f>_xlfn.CONCAT(D191, " / ", E191)</f>
        <v>effortless-entity-framework / ProcedureVersions</v>
      </c>
      <c r="C191" s="3" t="s">
        <v>14074</v>
      </c>
      <c r="D191" s="3" t="s">
        <v>14047</v>
      </c>
      <c r="E191" s="3" t="s">
        <v>1767</v>
      </c>
      <c r="F191" s="3">
        <v>3</v>
      </c>
      <c r="G191" s="3">
        <v>73</v>
      </c>
      <c r="H191" s="3">
        <v>219</v>
      </c>
      <c r="I191" s="3">
        <v>219</v>
      </c>
      <c r="J191" s="3" t="b">
        <v>0</v>
      </c>
      <c r="K191" s="4">
        <f>H191 - I191</f>
        <v>0</v>
      </c>
      <c r="L191" s="4">
        <f>IF(((H191 = 0)=TRUE),  0,  ROUND(100 * I191 / H191, 2))</f>
        <v>100</v>
      </c>
      <c r="M191" s="4" t="b">
        <f>K191 = 0</f>
        <v>1</v>
      </c>
      <c r="N191" s="4" t="str">
        <f>IF(((M191)=TRUE),  "",  D191)</f>
      </c>
      <c r="O191" s="4" t="str">
        <f>IF(((M191)=TRUE),  "",  E191)</f>
      </c>
      <c r="P191" s="4">
        <f>COUNTIFS(FieldDisagreements!E2:E50, A191)</f>
        <v>0</v>
      </c>
      <c r="Q191" s="4" t="str">
        <f>_xlfn.IFNA(IF(((INDEX(ConformanceSubstrates!C2:C9, MATCH(D191,ConformanceSubstrates!A2:A9, 0))="")=TRUE),  "",  INDEX(ConformanceSubstrates!C2:C9, MATCH(D191,ConformanceSubstrates!A2:A9, 0))), "")</f>
        <v>C# / Entity Framework</v>
      </c>
      <c r="R191" s="4" t="str">
        <f>_xlfn.IFNA(IF(((INDEX(RulebookTables!F2:F93, MATCH(E191,RulebookTables!A2:A93, 0))="")=TRUE),  "",  INDEX(RulebookTables!F2:F93, MATCH(E191,RulebookTables!A2:A93, 0))), "")</f>
        <v>specification</v>
      </c>
      <c r="S191" s="3" t="s">
        <v>1918</v>
      </c>
    </row>
    <row r="192">
      <c r="A192" s="3" t="s">
        <v>14295</v>
      </c>
      <c r="B192" s="4" t="str">
        <f>_xlfn.CONCAT(D192, " / ", E192)</f>
        <v>effortless-entity-framework / ProcedureVersionLinks</v>
      </c>
      <c r="C192" s="3" t="s">
        <v>14074</v>
      </c>
      <c r="D192" s="3" t="s">
        <v>14047</v>
      </c>
      <c r="E192" s="3" t="s">
        <v>2851</v>
      </c>
      <c r="F192" s="3">
        <v>1</v>
      </c>
      <c r="G192" s="3">
        <v>2</v>
      </c>
      <c r="H192" s="3">
        <v>2</v>
      </c>
      <c r="I192" s="3">
        <v>2</v>
      </c>
      <c r="J192" s="3" t="b">
        <v>0</v>
      </c>
      <c r="K192" s="4">
        <f>H192 - I192</f>
        <v>0</v>
      </c>
      <c r="L192" s="4">
        <f>IF(((H192 = 0)=TRUE),  0,  ROUND(100 * I192 / H192, 2))</f>
        <v>100</v>
      </c>
      <c r="M192" s="4" t="b">
        <f>K192 = 0</f>
        <v>1</v>
      </c>
      <c r="N192" s="4" t="str">
        <f>IF(((M192)=TRUE),  "",  D192)</f>
      </c>
      <c r="O192" s="4" t="str">
        <f>IF(((M192)=TRUE),  "",  E192)</f>
      </c>
      <c r="P192" s="4">
        <f>COUNTIFS(FieldDisagreements!E2:E50, A192)</f>
        <v>0</v>
      </c>
      <c r="Q192" s="4" t="str">
        <f>_xlfn.IFNA(IF(((INDEX(ConformanceSubstrates!C2:C9, MATCH(D192,ConformanceSubstrates!A2:A9, 0))="")=TRUE),  "",  INDEX(ConformanceSubstrates!C2:C9, MATCH(D192,ConformanceSubstrates!A2:A9, 0))), "")</f>
        <v>C# / Entity Framework</v>
      </c>
      <c r="R192" s="4" t="str">
        <f>_xlfn.IFNA(IF(((INDEX(RulebookTables!F2:F93, MATCH(E192,RulebookTables!A2:A93, 0))="")=TRUE),  "",  INDEX(RulebookTables!F2:F93, MATCH(E192,RulebookTables!A2:A93, 0))), "")</f>
        <v>specification</v>
      </c>
      <c r="S192" s="3" t="s">
        <v>1918</v>
      </c>
    </row>
    <row r="193">
      <c r="A193" s="3" t="s">
        <v>14296</v>
      </c>
      <c r="B193" s="4" t="str">
        <f>_xlfn.CONCAT(D193, " / ", E193)</f>
        <v>effortless-entity-framework / ProcedureStatusChanges</v>
      </c>
      <c r="C193" s="3" t="s">
        <v>14074</v>
      </c>
      <c r="D193" s="3" t="s">
        <v>14047</v>
      </c>
      <c r="E193" s="3" t="s">
        <v>1775</v>
      </c>
      <c r="F193" s="3">
        <v>5</v>
      </c>
      <c r="G193" s="3">
        <v>1</v>
      </c>
      <c r="H193" s="3">
        <v>5</v>
      </c>
      <c r="I193" s="3">
        <v>5</v>
      </c>
      <c r="J193" s="3" t="b">
        <v>0</v>
      </c>
      <c r="K193" s="4">
        <f>H193 - I193</f>
        <v>0</v>
      </c>
      <c r="L193" s="4">
        <f>IF(((H193 = 0)=TRUE),  0,  ROUND(100 * I193 / H193, 2))</f>
        <v>100</v>
      </c>
      <c r="M193" s="4" t="b">
        <f>K193 = 0</f>
        <v>1</v>
      </c>
      <c r="N193" s="4" t="str">
        <f>IF(((M193)=TRUE),  "",  D193)</f>
      </c>
      <c r="O193" s="4" t="str">
        <f>IF(((M193)=TRUE),  "",  E193)</f>
      </c>
      <c r="P193" s="4">
        <f>COUNTIFS(FieldDisagreements!E2:E50, A193)</f>
        <v>0</v>
      </c>
      <c r="Q193" s="4" t="str">
        <f>_xlfn.IFNA(IF(((INDEX(ConformanceSubstrates!C2:C9, MATCH(D193,ConformanceSubstrates!A2:A9, 0))="")=TRUE),  "",  INDEX(ConformanceSubstrates!C2:C9, MATCH(D193,ConformanceSubstrates!A2:A9, 0))), "")</f>
        <v>C# / Entity Framework</v>
      </c>
      <c r="R193" s="4" t="str">
        <f>_xlfn.IFNA(IF(((INDEX(RulebookTables!F2:F93, MATCH(E193,RulebookTables!A2:A93, 0))="")=TRUE),  "",  INDEX(RulebookTables!F2:F93, MATCH(E193,RulebookTables!A2:A93, 0))), "")</f>
        <v>specification</v>
      </c>
      <c r="S193" s="3" t="s">
        <v>1918</v>
      </c>
    </row>
    <row r="194">
      <c r="A194" s="3" t="s">
        <v>14297</v>
      </c>
      <c r="B194" s="4" t="str">
        <f>_xlfn.CONCAT(D194, " / ", E194)</f>
        <v>effortless-entity-framework / Steps</v>
      </c>
      <c r="C194" s="3" t="s">
        <v>14074</v>
      </c>
      <c r="D194" s="3" t="s">
        <v>14047</v>
      </c>
      <c r="E194" s="3" t="s">
        <v>1778</v>
      </c>
      <c r="F194" s="3">
        <v>17</v>
      </c>
      <c r="G194" s="3">
        <v>42</v>
      </c>
      <c r="H194" s="3">
        <v>714</v>
      </c>
      <c r="I194" s="3">
        <v>714</v>
      </c>
      <c r="J194" s="3" t="b">
        <v>0</v>
      </c>
      <c r="K194" s="4">
        <f>H194 - I194</f>
        <v>0</v>
      </c>
      <c r="L194" s="4">
        <f>IF(((H194 = 0)=TRUE),  0,  ROUND(100 * I194 / H194, 2))</f>
        <v>100</v>
      </c>
      <c r="M194" s="4" t="b">
        <f>K194 = 0</f>
        <v>1</v>
      </c>
      <c r="N194" s="4" t="str">
        <f>IF(((M194)=TRUE),  "",  D194)</f>
      </c>
      <c r="O194" s="4" t="str">
        <f>IF(((M194)=TRUE),  "",  E194)</f>
      </c>
      <c r="P194" s="4">
        <f>COUNTIFS(FieldDisagreements!E2:E50, A194)</f>
        <v>0</v>
      </c>
      <c r="Q194" s="4" t="str">
        <f>_xlfn.IFNA(IF(((INDEX(ConformanceSubstrates!C2:C9, MATCH(D194,ConformanceSubstrates!A2:A9, 0))="")=TRUE),  "",  INDEX(ConformanceSubstrates!C2:C9, MATCH(D194,ConformanceSubstrates!A2:A9, 0))), "")</f>
        <v>C# / Entity Framework</v>
      </c>
      <c r="R194" s="4" t="str">
        <f>_xlfn.IFNA(IF(((INDEX(RulebookTables!F2:F93, MATCH(E194,RulebookTables!A2:A93, 0))="")=TRUE),  "",  INDEX(RulebookTables!F2:F93, MATCH(E194,RulebookTables!A2:A93, 0))), "")</f>
        <v>specification</v>
      </c>
      <c r="S194" s="3" t="s">
        <v>1918</v>
      </c>
    </row>
    <row r="195">
      <c r="A195" s="3" t="s">
        <v>14298</v>
      </c>
      <c r="B195" s="4" t="str">
        <f>_xlfn.CONCAT(D195, " / ", E195)</f>
        <v>effortless-entity-framework / StepTransitions</v>
      </c>
      <c r="C195" s="3" t="s">
        <v>14074</v>
      </c>
      <c r="D195" s="3" t="s">
        <v>14047</v>
      </c>
      <c r="E195" s="3" t="s">
        <v>1784</v>
      </c>
      <c r="F195" s="3">
        <v>20</v>
      </c>
      <c r="G195" s="3">
        <v>18</v>
      </c>
      <c r="H195" s="3">
        <v>360</v>
      </c>
      <c r="I195" s="3">
        <v>360</v>
      </c>
      <c r="J195" s="3" t="b">
        <v>0</v>
      </c>
      <c r="K195" s="4">
        <f>H195 - I195</f>
        <v>0</v>
      </c>
      <c r="L195" s="4">
        <f>IF(((H195 = 0)=TRUE),  0,  ROUND(100 * I195 / H195, 2))</f>
        <v>100</v>
      </c>
      <c r="M195" s="4" t="b">
        <f>K195 = 0</f>
        <v>1</v>
      </c>
      <c r="N195" s="4" t="str">
        <f>IF(((M195)=TRUE),  "",  D195)</f>
      </c>
      <c r="O195" s="4" t="str">
        <f>IF(((M195)=TRUE),  "",  E195)</f>
      </c>
      <c r="P195" s="4">
        <f>COUNTIFS(FieldDisagreements!E2:E50, A195)</f>
        <v>0</v>
      </c>
      <c r="Q195" s="4" t="str">
        <f>_xlfn.IFNA(IF(((INDEX(ConformanceSubstrates!C2:C9, MATCH(D195,ConformanceSubstrates!A2:A9, 0))="")=TRUE),  "",  INDEX(ConformanceSubstrates!C2:C9, MATCH(D195,ConformanceSubstrates!A2:A9, 0))), "")</f>
        <v>C# / Entity Framework</v>
      </c>
      <c r="R195" s="4" t="str">
        <f>_xlfn.IFNA(IF(((INDEX(RulebookTables!F2:F93, MATCH(E195,RulebookTables!A2:A93, 0))="")=TRUE),  "",  INDEX(RulebookTables!F2:F93, MATCH(E195,RulebookTables!A2:A93, 0))), "")</f>
        <v>specification</v>
      </c>
      <c r="S195" s="3" t="s">
        <v>1918</v>
      </c>
    </row>
    <row r="196">
      <c r="A196" s="3" t="s">
        <v>14299</v>
      </c>
      <c r="B196" s="4" t="str">
        <f>_xlfn.CONCAT(D196, " / ", E196)</f>
        <v>effortless-entity-framework / Actions</v>
      </c>
      <c r="C196" s="3" t="s">
        <v>14074</v>
      </c>
      <c r="D196" s="3" t="s">
        <v>14047</v>
      </c>
      <c r="E196" s="3" t="s">
        <v>1796</v>
      </c>
      <c r="F196" s="3">
        <v>9</v>
      </c>
      <c r="G196" s="3">
        <v>1</v>
      </c>
      <c r="H196" s="3">
        <v>9</v>
      </c>
      <c r="I196" s="3">
        <v>9</v>
      </c>
      <c r="J196" s="3" t="b">
        <v>0</v>
      </c>
      <c r="K196" s="4">
        <f>H196 - I196</f>
        <v>0</v>
      </c>
      <c r="L196" s="4">
        <f>IF(((H196 = 0)=TRUE),  0,  ROUND(100 * I196 / H196, 2))</f>
        <v>100</v>
      </c>
      <c r="M196" s="4" t="b">
        <f>K196 = 0</f>
        <v>1</v>
      </c>
      <c r="N196" s="4" t="str">
        <f>IF(((M196)=TRUE),  "",  D196)</f>
      </c>
      <c r="O196" s="4" t="str">
        <f>IF(((M196)=TRUE),  "",  E196)</f>
      </c>
      <c r="P196" s="4">
        <f>COUNTIFS(FieldDisagreements!E2:E50, A196)</f>
        <v>0</v>
      </c>
      <c r="Q196" s="4" t="str">
        <f>_xlfn.IFNA(IF(((INDEX(ConformanceSubstrates!C2:C9, MATCH(D196,ConformanceSubstrates!A2:A9, 0))="")=TRUE),  "",  INDEX(ConformanceSubstrates!C2:C9, MATCH(D196,ConformanceSubstrates!A2:A9, 0))), "")</f>
        <v>C# / Entity Framework</v>
      </c>
      <c r="R196" s="4" t="str">
        <f>_xlfn.IFNA(IF(((INDEX(RulebookTables!F2:F93, MATCH(E196,RulebookTables!A2:A93, 0))="")=TRUE),  "",  INDEX(RulebookTables!F2:F93, MATCH(E196,RulebookTables!A2:A93, 0))), "")</f>
        <v>specification</v>
      </c>
      <c r="S196" s="3" t="s">
        <v>1918</v>
      </c>
    </row>
    <row r="197">
      <c r="A197" s="3" t="s">
        <v>14300</v>
      </c>
      <c r="B197" s="4" t="str">
        <f>_xlfn.CONCAT(D197, " / ", E197)</f>
        <v>effortless-entity-framework / Functions</v>
      </c>
      <c r="C197" s="3" t="s">
        <v>14074</v>
      </c>
      <c r="D197" s="3" t="s">
        <v>14047</v>
      </c>
      <c r="E197" s="3" t="s">
        <v>1799</v>
      </c>
      <c r="F197" s="3">
        <v>8</v>
      </c>
      <c r="G197" s="3">
        <v>1</v>
      </c>
      <c r="H197" s="3">
        <v>8</v>
      </c>
      <c r="I197" s="3">
        <v>8</v>
      </c>
      <c r="J197" s="3" t="b">
        <v>0</v>
      </c>
      <c r="K197" s="4">
        <f>H197 - I197</f>
        <v>0</v>
      </c>
      <c r="L197" s="4">
        <f>IF(((H197 = 0)=TRUE),  0,  ROUND(100 * I197 / H197, 2))</f>
        <v>100</v>
      </c>
      <c r="M197" s="4" t="b">
        <f>K197 = 0</f>
        <v>1</v>
      </c>
      <c r="N197" s="4" t="str">
        <f>IF(((M197)=TRUE),  "",  D197)</f>
      </c>
      <c r="O197" s="4" t="str">
        <f>IF(((M197)=TRUE),  "",  E197)</f>
      </c>
      <c r="P197" s="4">
        <f>COUNTIFS(FieldDisagreements!E2:E50, A197)</f>
        <v>0</v>
      </c>
      <c r="Q197" s="4" t="str">
        <f>_xlfn.IFNA(IF(((INDEX(ConformanceSubstrates!C2:C9, MATCH(D197,ConformanceSubstrates!A2:A9, 0))="")=TRUE),  "",  INDEX(ConformanceSubstrates!C2:C9, MATCH(D197,ConformanceSubstrates!A2:A9, 0))), "")</f>
        <v>C# / Entity Framework</v>
      </c>
      <c r="R197" s="4" t="str">
        <f>_xlfn.IFNA(IF(((INDEX(RulebookTables!F2:F93, MATCH(E197,RulebookTables!A2:A93, 0))="")=TRUE),  "",  INDEX(RulebookTables!F2:F93, MATCH(E197,RulebookTables!A2:A93, 0))), "")</f>
        <v>specification</v>
      </c>
      <c r="S197" s="3" t="s">
        <v>1918</v>
      </c>
    </row>
    <row r="198">
      <c r="A198" s="3" t="s">
        <v>14301</v>
      </c>
      <c r="B198" s="4" t="str">
        <f>_xlfn.CONCAT(D198, " / ", E198)</f>
        <v>effortless-entity-framework / Tools</v>
      </c>
      <c r="C198" s="3" t="s">
        <v>14074</v>
      </c>
      <c r="D198" s="3" t="s">
        <v>14047</v>
      </c>
      <c r="E198" s="3" t="s">
        <v>1802</v>
      </c>
      <c r="F198" s="3">
        <v>8</v>
      </c>
      <c r="G198" s="3">
        <v>1</v>
      </c>
      <c r="H198" s="3">
        <v>8</v>
      </c>
      <c r="I198" s="3">
        <v>8</v>
      </c>
      <c r="J198" s="3" t="b">
        <v>0</v>
      </c>
      <c r="K198" s="4">
        <f>H198 - I198</f>
        <v>0</v>
      </c>
      <c r="L198" s="4">
        <f>IF(((H198 = 0)=TRUE),  0,  ROUND(100 * I198 / H198, 2))</f>
        <v>100</v>
      </c>
      <c r="M198" s="4" t="b">
        <f>K198 = 0</f>
        <v>1</v>
      </c>
      <c r="N198" s="4" t="str">
        <f>IF(((M198)=TRUE),  "",  D198)</f>
      </c>
      <c r="O198" s="4" t="str">
        <f>IF(((M198)=TRUE),  "",  E198)</f>
      </c>
      <c r="P198" s="4">
        <f>COUNTIFS(FieldDisagreements!E2:E50, A198)</f>
        <v>0</v>
      </c>
      <c r="Q198" s="4" t="str">
        <f>_xlfn.IFNA(IF(((INDEX(ConformanceSubstrates!C2:C9, MATCH(D198,ConformanceSubstrates!A2:A9, 0))="")=TRUE),  "",  INDEX(ConformanceSubstrates!C2:C9, MATCH(D198,ConformanceSubstrates!A2:A9, 0))), "")</f>
        <v>C# / Entity Framework</v>
      </c>
      <c r="R198" s="4" t="str">
        <f>_xlfn.IFNA(IF(((INDEX(RulebookTables!F2:F93, MATCH(E198,RulebookTables!A2:A93, 0))="")=TRUE),  "",  INDEX(RulebookTables!F2:F93, MATCH(E198,RulebookTables!A2:A93, 0))), "")</f>
        <v>specification</v>
      </c>
      <c r="S198" s="3" t="s">
        <v>1918</v>
      </c>
    </row>
    <row r="199">
      <c r="A199" s="3" t="s">
        <v>14302</v>
      </c>
      <c r="B199" s="4" t="str">
        <f>_xlfn.CONCAT(D199, " / ", E199)</f>
        <v>effortless-entity-framework / StepActions</v>
      </c>
      <c r="C199" s="3" t="s">
        <v>14074</v>
      </c>
      <c r="D199" s="3" t="s">
        <v>14047</v>
      </c>
      <c r="E199" s="3" t="s">
        <v>3028</v>
      </c>
      <c r="F199" s="3">
        <v>9</v>
      </c>
      <c r="G199" s="3">
        <v>1</v>
      </c>
      <c r="H199" s="3">
        <v>9</v>
      </c>
      <c r="I199" s="3">
        <v>9</v>
      </c>
      <c r="J199" s="3" t="b">
        <v>0</v>
      </c>
      <c r="K199" s="4">
        <f>H199 - I199</f>
        <v>0</v>
      </c>
      <c r="L199" s="4">
        <f>IF(((H199 = 0)=TRUE),  0,  ROUND(100 * I199 / H199, 2))</f>
        <v>100</v>
      </c>
      <c r="M199" s="4" t="b">
        <f>K199 = 0</f>
        <v>1</v>
      </c>
      <c r="N199" s="4" t="str">
        <f>IF(((M199)=TRUE),  "",  D199)</f>
      </c>
      <c r="O199" s="4" t="str">
        <f>IF(((M199)=TRUE),  "",  E199)</f>
      </c>
      <c r="P199" s="4">
        <f>COUNTIFS(FieldDisagreements!E2:E50, A199)</f>
        <v>0</v>
      </c>
      <c r="Q199" s="4" t="str">
        <f>_xlfn.IFNA(IF(((INDEX(ConformanceSubstrates!C2:C9, MATCH(D199,ConformanceSubstrates!A2:A9, 0))="")=TRUE),  "",  INDEX(ConformanceSubstrates!C2:C9, MATCH(D199,ConformanceSubstrates!A2:A9, 0))), "")</f>
        <v>C# / Entity Framework</v>
      </c>
      <c r="R199" s="4" t="str">
        <f>_xlfn.IFNA(IF(((INDEX(RulebookTables!F2:F93, MATCH(E199,RulebookTables!A2:A93, 0))="")=TRUE),  "",  INDEX(RulebookTables!F2:F93, MATCH(E199,RulebookTables!A2:A93, 0))), "")</f>
        <v>specification</v>
      </c>
      <c r="S199" s="3" t="s">
        <v>1918</v>
      </c>
    </row>
    <row r="200">
      <c r="A200" s="3" t="s">
        <v>14303</v>
      </c>
      <c r="B200" s="4" t="str">
        <f>_xlfn.CONCAT(D200, " / ", E200)</f>
        <v>effortless-entity-framework / StepFunctions</v>
      </c>
      <c r="C200" s="3" t="s">
        <v>14074</v>
      </c>
      <c r="D200" s="3" t="s">
        <v>14047</v>
      </c>
      <c r="E200" s="3" t="s">
        <v>3034</v>
      </c>
      <c r="F200" s="3">
        <v>8</v>
      </c>
      <c r="G200" s="3">
        <v>1</v>
      </c>
      <c r="H200" s="3">
        <v>8</v>
      </c>
      <c r="I200" s="3">
        <v>8</v>
      </c>
      <c r="J200" s="3" t="b">
        <v>0</v>
      </c>
      <c r="K200" s="4">
        <f>H200 - I200</f>
        <v>0</v>
      </c>
      <c r="L200" s="4">
        <f>IF(((H200 = 0)=TRUE),  0,  ROUND(100 * I200 / H200, 2))</f>
        <v>100</v>
      </c>
      <c r="M200" s="4" t="b">
        <f>K200 = 0</f>
        <v>1</v>
      </c>
      <c r="N200" s="4" t="str">
        <f>IF(((M200)=TRUE),  "",  D200)</f>
      </c>
      <c r="O200" s="4" t="str">
        <f>IF(((M200)=TRUE),  "",  E200)</f>
      </c>
      <c r="P200" s="4">
        <f>COUNTIFS(FieldDisagreements!E2:E50, A200)</f>
        <v>0</v>
      </c>
      <c r="Q200" s="4" t="str">
        <f>_xlfn.IFNA(IF(((INDEX(ConformanceSubstrates!C2:C9, MATCH(D200,ConformanceSubstrates!A2:A9, 0))="")=TRUE),  "",  INDEX(ConformanceSubstrates!C2:C9, MATCH(D200,ConformanceSubstrates!A2:A9, 0))), "")</f>
        <v>C# / Entity Framework</v>
      </c>
      <c r="R200" s="4" t="str">
        <f>_xlfn.IFNA(IF(((INDEX(RulebookTables!F2:F93, MATCH(E200,RulebookTables!A2:A93, 0))="")=TRUE),  "",  INDEX(RulebookTables!F2:F93, MATCH(E200,RulebookTables!A2:A93, 0))), "")</f>
        <v>specification</v>
      </c>
      <c r="S200" s="3" t="s">
        <v>1918</v>
      </c>
    </row>
    <row r="201">
      <c r="A201" s="3" t="s">
        <v>14304</v>
      </c>
      <c r="B201" s="4" t="str">
        <f>_xlfn.CONCAT(D201, " / ", E201)</f>
        <v>effortless-entity-framework / StepTools</v>
      </c>
      <c r="C201" s="3" t="s">
        <v>14074</v>
      </c>
      <c r="D201" s="3" t="s">
        <v>14047</v>
      </c>
      <c r="E201" s="3" t="s">
        <v>3040</v>
      </c>
      <c r="F201" s="3">
        <v>10</v>
      </c>
      <c r="G201" s="3">
        <v>1</v>
      </c>
      <c r="H201" s="3">
        <v>10</v>
      </c>
      <c r="I201" s="3">
        <v>10</v>
      </c>
      <c r="J201" s="3" t="b">
        <v>0</v>
      </c>
      <c r="K201" s="4">
        <f>H201 - I201</f>
        <v>0</v>
      </c>
      <c r="L201" s="4">
        <f>IF(((H201 = 0)=TRUE),  0,  ROUND(100 * I201 / H201, 2))</f>
        <v>100</v>
      </c>
      <c r="M201" s="4" t="b">
        <f>K201 = 0</f>
        <v>1</v>
      </c>
      <c r="N201" s="4" t="str">
        <f>IF(((M201)=TRUE),  "",  D201)</f>
      </c>
      <c r="O201" s="4" t="str">
        <f>IF(((M201)=TRUE),  "",  E201)</f>
      </c>
      <c r="P201" s="4">
        <f>COUNTIFS(FieldDisagreements!E2:E50, A201)</f>
        <v>0</v>
      </c>
      <c r="Q201" s="4" t="str">
        <f>_xlfn.IFNA(IF(((INDEX(ConformanceSubstrates!C2:C9, MATCH(D201,ConformanceSubstrates!A2:A9, 0))="")=TRUE),  "",  INDEX(ConformanceSubstrates!C2:C9, MATCH(D201,ConformanceSubstrates!A2:A9, 0))), "")</f>
        <v>C# / Entity Framework</v>
      </c>
      <c r="R201" s="4" t="str">
        <f>_xlfn.IFNA(IF(((INDEX(RulebookTables!F2:F93, MATCH(E201,RulebookTables!A2:A93, 0))="")=TRUE),  "",  INDEX(RulebookTables!F2:F93, MATCH(E201,RulebookTables!A2:A93, 0))), "")</f>
        <v>specification</v>
      </c>
      <c r="S201" s="3" t="s">
        <v>1918</v>
      </c>
    </row>
    <row r="202">
      <c r="A202" s="3" t="s">
        <v>14305</v>
      </c>
      <c r="B202" s="4" t="str">
        <f>_xlfn.CONCAT(D202, " / ", E202)</f>
        <v>effortless-entity-framework / Requirements</v>
      </c>
      <c r="C202" s="3" t="s">
        <v>14074</v>
      </c>
      <c r="D202" s="3" t="s">
        <v>14047</v>
      </c>
      <c r="E202" s="3" t="s">
        <v>1805</v>
      </c>
      <c r="F202" s="3">
        <v>13</v>
      </c>
      <c r="G202" s="3">
        <v>31</v>
      </c>
      <c r="H202" s="3">
        <v>403</v>
      </c>
      <c r="I202" s="3">
        <v>403</v>
      </c>
      <c r="J202" s="3" t="b">
        <v>0</v>
      </c>
      <c r="K202" s="4">
        <f>H202 - I202</f>
        <v>0</v>
      </c>
      <c r="L202" s="4">
        <f>IF(((H202 = 0)=TRUE),  0,  ROUND(100 * I202 / H202, 2))</f>
        <v>100</v>
      </c>
      <c r="M202" s="4" t="b">
        <f>K202 = 0</f>
        <v>1</v>
      </c>
      <c r="N202" s="4" t="str">
        <f>IF(((M202)=TRUE),  "",  D202)</f>
      </c>
      <c r="O202" s="4" t="str">
        <f>IF(((M202)=TRUE),  "",  E202)</f>
      </c>
      <c r="P202" s="4">
        <f>COUNTIFS(FieldDisagreements!E2:E50, A202)</f>
        <v>0</v>
      </c>
      <c r="Q202" s="4" t="str">
        <f>_xlfn.IFNA(IF(((INDEX(ConformanceSubstrates!C2:C9, MATCH(D202,ConformanceSubstrates!A2:A9, 0))="")=TRUE),  "",  INDEX(ConformanceSubstrates!C2:C9, MATCH(D202,ConformanceSubstrates!A2:A9, 0))), "")</f>
        <v>C# / Entity Framework</v>
      </c>
      <c r="R202" s="4" t="str">
        <f>_xlfn.IFNA(IF(((INDEX(RulebookTables!F2:F93, MATCH(E202,RulebookTables!A2:A93, 0))="")=TRUE),  "",  INDEX(RulebookTables!F2:F93, MATCH(E202,RulebookTables!A2:A93, 0))), "")</f>
        <v>governance</v>
      </c>
      <c r="S202" s="3" t="s">
        <v>1918</v>
      </c>
    </row>
    <row r="203">
      <c r="A203" s="3" t="s">
        <v>14306</v>
      </c>
      <c r="B203" s="4" t="str">
        <f>_xlfn.CONCAT(D203, " / ", E203)</f>
        <v>effortless-entity-framework / StepRequirements</v>
      </c>
      <c r="C203" s="3" t="s">
        <v>14074</v>
      </c>
      <c r="D203" s="3" t="s">
        <v>14047</v>
      </c>
      <c r="E203" s="3" t="s">
        <v>3119</v>
      </c>
      <c r="F203" s="3">
        <v>15</v>
      </c>
      <c r="G203" s="3">
        <v>10</v>
      </c>
      <c r="H203" s="3">
        <v>150</v>
      </c>
      <c r="I203" s="3">
        <v>150</v>
      </c>
      <c r="J203" s="3" t="b">
        <v>0</v>
      </c>
      <c r="K203" s="4">
        <f>H203 - I203</f>
        <v>0</v>
      </c>
      <c r="L203" s="4">
        <f>IF(((H203 = 0)=TRUE),  0,  ROUND(100 * I203 / H203, 2))</f>
        <v>100</v>
      </c>
      <c r="M203" s="4" t="b">
        <f>K203 = 0</f>
        <v>1</v>
      </c>
      <c r="N203" s="4" t="str">
        <f>IF(((M203)=TRUE),  "",  D203)</f>
      </c>
      <c r="O203" s="4" t="str">
        <f>IF(((M203)=TRUE),  "",  E203)</f>
      </c>
      <c r="P203" s="4">
        <f>COUNTIFS(FieldDisagreements!E2:E50, A203)</f>
        <v>0</v>
      </c>
      <c r="Q203" s="4" t="str">
        <f>_xlfn.IFNA(IF(((INDEX(ConformanceSubstrates!C2:C9, MATCH(D203,ConformanceSubstrates!A2:A9, 0))="")=TRUE),  "",  INDEX(ConformanceSubstrates!C2:C9, MATCH(D203,ConformanceSubstrates!A2:A9, 0))), "")</f>
        <v>C# / Entity Framework</v>
      </c>
      <c r="R203" s="4" t="str">
        <f>_xlfn.IFNA(IF(((INDEX(RulebookTables!F2:F93, MATCH(E203,RulebookTables!A2:A93, 0))="")=TRUE),  "",  INDEX(RulebookTables!F2:F93, MATCH(E203,RulebookTables!A2:A93, 0))), "")</f>
        <v>specification</v>
      </c>
      <c r="S203" s="3" t="s">
        <v>1918</v>
      </c>
    </row>
    <row r="204">
      <c r="A204" s="3" t="s">
        <v>14307</v>
      </c>
      <c r="B204" s="4" t="str">
        <f>_xlfn.CONCAT(D204, " / ", E204)</f>
        <v>effortless-entity-framework / StepVerifications</v>
      </c>
      <c r="C204" s="3" t="s">
        <v>14074</v>
      </c>
      <c r="D204" s="3" t="s">
        <v>14047</v>
      </c>
      <c r="E204" s="3" t="s">
        <v>1808</v>
      </c>
      <c r="F204" s="3">
        <v>11</v>
      </c>
      <c r="G204" s="3">
        <v>1</v>
      </c>
      <c r="H204" s="3">
        <v>11</v>
      </c>
      <c r="I204" s="3">
        <v>11</v>
      </c>
      <c r="J204" s="3" t="b">
        <v>0</v>
      </c>
      <c r="K204" s="4">
        <f>H204 - I204</f>
        <v>0</v>
      </c>
      <c r="L204" s="4">
        <f>IF(((H204 = 0)=TRUE),  0,  ROUND(100 * I204 / H204, 2))</f>
        <v>100</v>
      </c>
      <c r="M204" s="4" t="b">
        <f>K204 = 0</f>
        <v>1</v>
      </c>
      <c r="N204" s="4" t="str">
        <f>IF(((M204)=TRUE),  "",  D204)</f>
      </c>
      <c r="O204" s="4" t="str">
        <f>IF(((M204)=TRUE),  "",  E204)</f>
      </c>
      <c r="P204" s="4">
        <f>COUNTIFS(FieldDisagreements!E2:E50, A204)</f>
        <v>0</v>
      </c>
      <c r="Q204" s="4" t="str">
        <f>_xlfn.IFNA(IF(((INDEX(ConformanceSubstrates!C2:C9, MATCH(D204,ConformanceSubstrates!A2:A9, 0))="")=TRUE),  "",  INDEX(ConformanceSubstrates!C2:C9, MATCH(D204,ConformanceSubstrates!A2:A9, 0))), "")</f>
        <v>C# / Entity Framework</v>
      </c>
      <c r="R204" s="4" t="str">
        <f>_xlfn.IFNA(IF(((INDEX(RulebookTables!F2:F93, MATCH(E204,RulebookTables!A2:A93, 0))="")=TRUE),  "",  INDEX(RulebookTables!F2:F93, MATCH(E204,RulebookTables!A2:A93, 0))), "")</f>
        <v>specification</v>
      </c>
      <c r="S204" s="3" t="s">
        <v>1918</v>
      </c>
    </row>
    <row r="205">
      <c r="A205" s="3" t="s">
        <v>14308</v>
      </c>
      <c r="B205" s="4" t="str">
        <f>_xlfn.CONCAT(D205, " / ", E205)</f>
        <v>effortless-entity-framework / Rationales</v>
      </c>
      <c r="C205" s="3" t="s">
        <v>14074</v>
      </c>
      <c r="D205" s="3" t="s">
        <v>14047</v>
      </c>
      <c r="E205" s="3" t="s">
        <v>3151</v>
      </c>
      <c r="F205" s="3">
        <v>4</v>
      </c>
      <c r="G205" s="3">
        <v>1</v>
      </c>
      <c r="H205" s="3">
        <v>4</v>
      </c>
      <c r="I205" s="3">
        <v>4</v>
      </c>
      <c r="J205" s="3" t="b">
        <v>0</v>
      </c>
      <c r="K205" s="4">
        <f>H205 - I205</f>
        <v>0</v>
      </c>
      <c r="L205" s="4">
        <f>IF(((H205 = 0)=TRUE),  0,  ROUND(100 * I205 / H205, 2))</f>
        <v>100</v>
      </c>
      <c r="M205" s="4" t="b">
        <f>K205 = 0</f>
        <v>1</v>
      </c>
      <c r="N205" s="4" t="str">
        <f>IF(((M205)=TRUE),  "",  D205)</f>
      </c>
      <c r="O205" s="4" t="str">
        <f>IF(((M205)=TRUE),  "",  E205)</f>
      </c>
      <c r="P205" s="4">
        <f>COUNTIFS(FieldDisagreements!E2:E50, A205)</f>
        <v>0</v>
      </c>
      <c r="Q205" s="4" t="str">
        <f>_xlfn.IFNA(IF(((INDEX(ConformanceSubstrates!C2:C9, MATCH(D205,ConformanceSubstrates!A2:A9, 0))="")=TRUE),  "",  INDEX(ConformanceSubstrates!C2:C9, MATCH(D205,ConformanceSubstrates!A2:A9, 0))), "")</f>
        <v>C# / Entity Framework</v>
      </c>
      <c r="R205" s="4" t="str">
        <f>_xlfn.IFNA(IF(((INDEX(RulebookTables!F2:F93, MATCH(E205,RulebookTables!A2:A93, 0))="")=TRUE),  "",  INDEX(RulebookTables!F2:F93, MATCH(E205,RulebookTables!A2:A93, 0))), "")</f>
        <v>governance</v>
      </c>
      <c r="S205" s="3" t="s">
        <v>1918</v>
      </c>
    </row>
    <row r="206">
      <c r="A206" s="3" t="s">
        <v>14309</v>
      </c>
      <c r="B206" s="4" t="str">
        <f>_xlfn.CONCAT(D206, " / ", E206)</f>
        <v>effortless-entity-framework / Exceptions</v>
      </c>
      <c r="C206" s="3" t="s">
        <v>14074</v>
      </c>
      <c r="D206" s="3" t="s">
        <v>14047</v>
      </c>
      <c r="E206" s="3" t="s">
        <v>3161</v>
      </c>
      <c r="F206" s="3">
        <v>4</v>
      </c>
      <c r="G206" s="3">
        <v>2</v>
      </c>
      <c r="H206" s="3">
        <v>8</v>
      </c>
      <c r="I206" s="3">
        <v>8</v>
      </c>
      <c r="J206" s="3" t="b">
        <v>0</v>
      </c>
      <c r="K206" s="4">
        <f>H206 - I206</f>
        <v>0</v>
      </c>
      <c r="L206" s="4">
        <f>IF(((H206 = 0)=TRUE),  0,  ROUND(100 * I206 / H206, 2))</f>
        <v>100</v>
      </c>
      <c r="M206" s="4" t="b">
        <f>K206 = 0</f>
        <v>1</v>
      </c>
      <c r="N206" s="4" t="str">
        <f>IF(((M206)=TRUE),  "",  D206)</f>
      </c>
      <c r="O206" s="4" t="str">
        <f>IF(((M206)=TRUE),  "",  E206)</f>
      </c>
      <c r="P206" s="4">
        <f>COUNTIFS(FieldDisagreements!E2:E50, A206)</f>
        <v>0</v>
      </c>
      <c r="Q206" s="4" t="str">
        <f>_xlfn.IFNA(IF(((INDEX(ConformanceSubstrates!C2:C9, MATCH(D206,ConformanceSubstrates!A2:A9, 0))="")=TRUE),  "",  INDEX(ConformanceSubstrates!C2:C9, MATCH(D206,ConformanceSubstrates!A2:A9, 0))), "")</f>
        <v>C# / Entity Framework</v>
      </c>
      <c r="R206" s="4" t="str">
        <f>_xlfn.IFNA(IF(((INDEX(RulebookTables!F2:F93, MATCH(E206,RulebookTables!A2:A93, 0))="")=TRUE),  "",  INDEX(RulebookTables!F2:F93, MATCH(E206,RulebookTables!A2:A93, 0))), "")</f>
        <v>governance</v>
      </c>
      <c r="S206" s="3" t="s">
        <v>1918</v>
      </c>
    </row>
    <row r="207">
      <c r="A207" s="3" t="s">
        <v>14310</v>
      </c>
      <c r="B207" s="4" t="str">
        <f>_xlfn.CONCAT(D207, " / ", E207)</f>
        <v>effortless-entity-framework / Resources</v>
      </c>
      <c r="C207" s="3" t="s">
        <v>14074</v>
      </c>
      <c r="D207" s="3" t="s">
        <v>14047</v>
      </c>
      <c r="E207" s="3" t="s">
        <v>1811</v>
      </c>
      <c r="F207" s="3">
        <v>8</v>
      </c>
      <c r="G207" s="3">
        <v>2</v>
      </c>
      <c r="H207" s="3">
        <v>16</v>
      </c>
      <c r="I207" s="3">
        <v>16</v>
      </c>
      <c r="J207" s="3" t="b">
        <v>0</v>
      </c>
      <c r="K207" s="4">
        <f>H207 - I207</f>
        <v>0</v>
      </c>
      <c r="L207" s="4">
        <f>IF(((H207 = 0)=TRUE),  0,  ROUND(100 * I207 / H207, 2))</f>
        <v>100</v>
      </c>
      <c r="M207" s="4" t="b">
        <f>K207 = 0</f>
        <v>1</v>
      </c>
      <c r="N207" s="4" t="str">
        <f>IF(((M207)=TRUE),  "",  D207)</f>
      </c>
      <c r="O207" s="4" t="str">
        <f>IF(((M207)=TRUE),  "",  E207)</f>
      </c>
      <c r="P207" s="4">
        <f>COUNTIFS(FieldDisagreements!E2:E50, A207)</f>
        <v>0</v>
      </c>
      <c r="Q207" s="4" t="str">
        <f>_xlfn.IFNA(IF(((INDEX(ConformanceSubstrates!C2:C9, MATCH(D207,ConformanceSubstrates!A2:A9, 0))="")=TRUE),  "",  INDEX(ConformanceSubstrates!C2:C9, MATCH(D207,ConformanceSubstrates!A2:A9, 0))), "")</f>
        <v>C# / Entity Framework</v>
      </c>
      <c r="R207" s="4" t="str">
        <f>_xlfn.IFNA(IF(((INDEX(RulebookTables!F2:F93, MATCH(E207,RulebookTables!A2:A93, 0))="")=TRUE),  "",  INDEX(RulebookTables!F2:F93, MATCH(E207,RulebookTables!A2:A93, 0))), "")</f>
        <v>domain</v>
      </c>
      <c r="S207" s="3" t="s">
        <v>1918</v>
      </c>
    </row>
    <row r="208">
      <c r="A208" s="3" t="s">
        <v>14311</v>
      </c>
      <c r="B208" s="4" t="str">
        <f>_xlfn.CONCAT(D208, " / ", E208)</f>
        <v>effortless-entity-framework / ProcedureResources</v>
      </c>
      <c r="C208" s="3" t="s">
        <v>14074</v>
      </c>
      <c r="D208" s="3" t="s">
        <v>14047</v>
      </c>
      <c r="E208" s="3" t="s">
        <v>3187</v>
      </c>
      <c r="F208" s="3">
        <v>8</v>
      </c>
      <c r="G208" s="3">
        <v>2</v>
      </c>
      <c r="H208" s="3">
        <v>16</v>
      </c>
      <c r="I208" s="3">
        <v>16</v>
      </c>
      <c r="J208" s="3" t="b">
        <v>0</v>
      </c>
      <c r="K208" s="4">
        <f>H208 - I208</f>
        <v>0</v>
      </c>
      <c r="L208" s="4">
        <f>IF(((H208 = 0)=TRUE),  0,  ROUND(100 * I208 / H208, 2))</f>
        <v>100</v>
      </c>
      <c r="M208" s="4" t="b">
        <f>K208 = 0</f>
        <v>1</v>
      </c>
      <c r="N208" s="4" t="str">
        <f>IF(((M208)=TRUE),  "",  D208)</f>
      </c>
      <c r="O208" s="4" t="str">
        <f>IF(((M208)=TRUE),  "",  E208)</f>
      </c>
      <c r="P208" s="4">
        <f>COUNTIFS(FieldDisagreements!E2:E50, A208)</f>
        <v>0</v>
      </c>
      <c r="Q208" s="4" t="str">
        <f>_xlfn.IFNA(IF(((INDEX(ConformanceSubstrates!C2:C9, MATCH(D208,ConformanceSubstrates!A2:A9, 0))="")=TRUE),  "",  INDEX(ConformanceSubstrates!C2:C9, MATCH(D208,ConformanceSubstrates!A2:A9, 0))), "")</f>
        <v>C# / Entity Framework</v>
      </c>
      <c r="R208" s="4" t="str">
        <f>_xlfn.IFNA(IF(((INDEX(RulebookTables!F2:F93, MATCH(E208,RulebookTables!A2:A93, 0))="")=TRUE),  "",  INDEX(RulebookTables!F2:F93, MATCH(E208,RulebookTables!A2:A93, 0))), "")</f>
        <v>specification</v>
      </c>
      <c r="S208" s="3" t="s">
        <v>1918</v>
      </c>
    </row>
    <row r="209">
      <c r="A209" s="3" t="s">
        <v>14312</v>
      </c>
      <c r="B209" s="4" t="str">
        <f>_xlfn.CONCAT(D209, " / ", E209)</f>
        <v>effortless-entity-framework / ElicitationSessions</v>
      </c>
      <c r="C209" s="3" t="s">
        <v>14074</v>
      </c>
      <c r="D209" s="3" t="s">
        <v>14047</v>
      </c>
      <c r="E209" s="3" t="s">
        <v>1855</v>
      </c>
      <c r="F209" s="3">
        <v>3</v>
      </c>
      <c r="G209" s="3">
        <v>10</v>
      </c>
      <c r="H209" s="3">
        <v>30</v>
      </c>
      <c r="I209" s="3">
        <v>30</v>
      </c>
      <c r="J209" s="3" t="b">
        <v>0</v>
      </c>
      <c r="K209" s="4">
        <f>H209 - I209</f>
        <v>0</v>
      </c>
      <c r="L209" s="4">
        <f>IF(((H209 = 0)=TRUE),  0,  ROUND(100 * I209 / H209, 2))</f>
        <v>100</v>
      </c>
      <c r="M209" s="4" t="b">
        <f>K209 = 0</f>
        <v>1</v>
      </c>
      <c r="N209" s="4" t="str">
        <f>IF(((M209)=TRUE),  "",  D209)</f>
      </c>
      <c r="O209" s="4" t="str">
        <f>IF(((M209)=TRUE),  "",  E209)</f>
      </c>
      <c r="P209" s="4">
        <f>COUNTIFS(FieldDisagreements!E2:E50, A209)</f>
        <v>0</v>
      </c>
      <c r="Q209" s="4" t="str">
        <f>_xlfn.IFNA(IF(((INDEX(ConformanceSubstrates!C2:C9, MATCH(D209,ConformanceSubstrates!A2:A9, 0))="")=TRUE),  "",  INDEX(ConformanceSubstrates!C2:C9, MATCH(D209,ConformanceSubstrates!A2:A9, 0))), "")</f>
        <v>C# / Entity Framework</v>
      </c>
      <c r="R209" s="4" t="str">
        <f>_xlfn.IFNA(IF(((INDEX(RulebookTables!F2:F93, MATCH(E209,RulebookTables!A2:A93, 0))="")=TRUE),  "",  INDEX(RulebookTables!F2:F93, MATCH(E209,RulebookTables!A2:A93, 0))), "")</f>
        <v>knowledge</v>
      </c>
      <c r="S209" s="3" t="s">
        <v>1918</v>
      </c>
    </row>
    <row r="210">
      <c r="A210" s="3" t="s">
        <v>14313</v>
      </c>
      <c r="B210" s="4" t="str">
        <f>_xlfn.CONCAT(D210, " / ", E210)</f>
        <v>effortless-entity-framework / KnowledgeFragments</v>
      </c>
      <c r="C210" s="3" t="s">
        <v>14074</v>
      </c>
      <c r="D210" s="3" t="s">
        <v>14047</v>
      </c>
      <c r="E210" s="3" t="s">
        <v>1851</v>
      </c>
      <c r="F210" s="3">
        <v>7</v>
      </c>
      <c r="G210" s="3">
        <v>65</v>
      </c>
      <c r="H210" s="3">
        <v>455</v>
      </c>
      <c r="I210" s="3">
        <v>455</v>
      </c>
      <c r="J210" s="3" t="b">
        <v>0</v>
      </c>
      <c r="K210" s="4">
        <f>H210 - I210</f>
        <v>0</v>
      </c>
      <c r="L210" s="4">
        <f>IF(((H210 = 0)=TRUE),  0,  ROUND(100 * I210 / H210, 2))</f>
        <v>100</v>
      </c>
      <c r="M210" s="4" t="b">
        <f>K210 = 0</f>
        <v>1</v>
      </c>
      <c r="N210" s="4" t="str">
        <f>IF(((M210)=TRUE),  "",  D210)</f>
      </c>
      <c r="O210" s="4" t="str">
        <f>IF(((M210)=TRUE),  "",  E210)</f>
      </c>
      <c r="P210" s="4">
        <f>COUNTIFS(FieldDisagreements!E2:E50, A210)</f>
        <v>0</v>
      </c>
      <c r="Q210" s="4" t="str">
        <f>_xlfn.IFNA(IF(((INDEX(ConformanceSubstrates!C2:C9, MATCH(D210,ConformanceSubstrates!A2:A9, 0))="")=TRUE),  "",  INDEX(ConformanceSubstrates!C2:C9, MATCH(D210,ConformanceSubstrates!A2:A9, 0))), "")</f>
        <v>C# / Entity Framework</v>
      </c>
      <c r="R210" s="4" t="str">
        <f>_xlfn.IFNA(IF(((INDEX(RulebookTables!F2:F93, MATCH(E210,RulebookTables!A2:A93, 0))="")=TRUE),  "",  INDEX(RulebookTables!F2:F93, MATCH(E210,RulebookTables!A2:A93, 0))), "")</f>
        <v>knowledge</v>
      </c>
      <c r="S210" s="3" t="s">
        <v>1918</v>
      </c>
    </row>
    <row r="211">
      <c r="A211" s="3" t="s">
        <v>14314</v>
      </c>
      <c r="B211" s="4" t="str">
        <f>_xlfn.CONCAT(D211, " / ", E211)</f>
        <v>effortless-entity-framework / KnowledgeGaps</v>
      </c>
      <c r="C211" s="3" t="s">
        <v>14074</v>
      </c>
      <c r="D211" s="3" t="s">
        <v>14047</v>
      </c>
      <c r="E211" s="3" t="s">
        <v>3368</v>
      </c>
      <c r="F211" s="3">
        <v>8</v>
      </c>
      <c r="G211" s="3">
        <v>16</v>
      </c>
      <c r="H211" s="3">
        <v>128</v>
      </c>
      <c r="I211" s="3">
        <v>128</v>
      </c>
      <c r="J211" s="3" t="b">
        <v>0</v>
      </c>
      <c r="K211" s="4">
        <f>H211 - I211</f>
        <v>0</v>
      </c>
      <c r="L211" s="4">
        <f>IF(((H211 = 0)=TRUE),  0,  ROUND(100 * I211 / H211, 2))</f>
        <v>100</v>
      </c>
      <c r="M211" s="4" t="b">
        <f>K211 = 0</f>
        <v>1</v>
      </c>
      <c r="N211" s="4" t="str">
        <f>IF(((M211)=TRUE),  "",  D211)</f>
      </c>
      <c r="O211" s="4" t="str">
        <f>IF(((M211)=TRUE),  "",  E211)</f>
      </c>
      <c r="P211" s="4">
        <f>COUNTIFS(FieldDisagreements!E2:E50, A211)</f>
        <v>0</v>
      </c>
      <c r="Q211" s="4" t="str">
        <f>_xlfn.IFNA(IF(((INDEX(ConformanceSubstrates!C2:C9, MATCH(D211,ConformanceSubstrates!A2:A9, 0))="")=TRUE),  "",  INDEX(ConformanceSubstrates!C2:C9, MATCH(D211,ConformanceSubstrates!A2:A9, 0))), "")</f>
        <v>C# / Entity Framework</v>
      </c>
      <c r="R211" s="4" t="str">
        <f>_xlfn.IFNA(IF(((INDEX(RulebookTables!F2:F93, MATCH(E211,RulebookTables!A2:A93, 0))="")=TRUE),  "",  INDEX(RulebookTables!F2:F93, MATCH(E211,RulebookTables!A2:A93, 0))), "")</f>
        <v>knowledge</v>
      </c>
      <c r="S211" s="3" t="s">
        <v>1918</v>
      </c>
    </row>
    <row r="212">
      <c r="A212" s="3" t="s">
        <v>14315</v>
      </c>
      <c r="B212" s="4" t="str">
        <f>_xlfn.CONCAT(D212, " / ", E212)</f>
        <v>effortless-entity-framework / FAQs</v>
      </c>
      <c r="C212" s="3" t="s">
        <v>14074</v>
      </c>
      <c r="D212" s="3" t="s">
        <v>14047</v>
      </c>
      <c r="E212" s="3" t="s">
        <v>1845</v>
      </c>
      <c r="F212" s="3">
        <v>3</v>
      </c>
      <c r="G212" s="3">
        <v>1</v>
      </c>
      <c r="H212" s="3">
        <v>3</v>
      </c>
      <c r="I212" s="3">
        <v>3</v>
      </c>
      <c r="J212" s="3" t="b">
        <v>0</v>
      </c>
      <c r="K212" s="4">
        <f>H212 - I212</f>
        <v>0</v>
      </c>
      <c r="L212" s="4">
        <f>IF(((H212 = 0)=TRUE),  0,  ROUND(100 * I212 / H212, 2))</f>
        <v>100</v>
      </c>
      <c r="M212" s="4" t="b">
        <f>K212 = 0</f>
        <v>1</v>
      </c>
      <c r="N212" s="4" t="str">
        <f>IF(((M212)=TRUE),  "",  D212)</f>
      </c>
      <c r="O212" s="4" t="str">
        <f>IF(((M212)=TRUE),  "",  E212)</f>
      </c>
      <c r="P212" s="4">
        <f>COUNTIFS(FieldDisagreements!E2:E50, A212)</f>
        <v>0</v>
      </c>
      <c r="Q212" s="4" t="str">
        <f>_xlfn.IFNA(IF(((INDEX(ConformanceSubstrates!C2:C9, MATCH(D212,ConformanceSubstrates!A2:A9, 0))="")=TRUE),  "",  INDEX(ConformanceSubstrates!C2:C9, MATCH(D212,ConformanceSubstrates!A2:A9, 0))), "")</f>
        <v>C# / Entity Framework</v>
      </c>
      <c r="R212" s="4" t="str">
        <f>_xlfn.IFNA(IF(((INDEX(RulebookTables!F2:F93, MATCH(E212,RulebookTables!A2:A93, 0))="")=TRUE),  "",  INDEX(RulebookTables!F2:F93, MATCH(E212,RulebookTables!A2:A93, 0))), "")</f>
        <v>knowledge</v>
      </c>
      <c r="S212" s="3" t="s">
        <v>1918</v>
      </c>
    </row>
    <row r="213">
      <c r="A213" s="3" t="s">
        <v>14316</v>
      </c>
      <c r="B213" s="4" t="str">
        <f>_xlfn.CONCAT(D213, " / ", E213)</f>
        <v>effortless-entity-framework / Explanations</v>
      </c>
      <c r="C213" s="3" t="s">
        <v>14074</v>
      </c>
      <c r="D213" s="3" t="s">
        <v>14047</v>
      </c>
      <c r="E213" s="3" t="s">
        <v>1848</v>
      </c>
      <c r="F213" s="3">
        <v>2</v>
      </c>
      <c r="G213" s="3">
        <v>1</v>
      </c>
      <c r="H213" s="3">
        <v>2</v>
      </c>
      <c r="I213" s="3">
        <v>2</v>
      </c>
      <c r="J213" s="3" t="b">
        <v>0</v>
      </c>
      <c r="K213" s="4">
        <f>H213 - I213</f>
        <v>0</v>
      </c>
      <c r="L213" s="4">
        <f>IF(((H213 = 0)=TRUE),  0,  ROUND(100 * I213 / H213, 2))</f>
        <v>100</v>
      </c>
      <c r="M213" s="4" t="b">
        <f>K213 = 0</f>
        <v>1</v>
      </c>
      <c r="N213" s="4" t="str">
        <f>IF(((M213)=TRUE),  "",  D213)</f>
      </c>
      <c r="O213" s="4" t="str">
        <f>IF(((M213)=TRUE),  "",  E213)</f>
      </c>
      <c r="P213" s="4">
        <f>COUNTIFS(FieldDisagreements!E2:E50, A213)</f>
        <v>0</v>
      </c>
      <c r="Q213" s="4" t="str">
        <f>_xlfn.IFNA(IF(((INDEX(ConformanceSubstrates!C2:C9, MATCH(D213,ConformanceSubstrates!A2:A9, 0))="")=TRUE),  "",  INDEX(ConformanceSubstrates!C2:C9, MATCH(D213,ConformanceSubstrates!A2:A9, 0))), "")</f>
        <v>C# / Entity Framework</v>
      </c>
      <c r="R213" s="4" t="str">
        <f>_xlfn.IFNA(IF(((INDEX(RulebookTables!F2:F93, MATCH(E213,RulebookTables!A2:A93, 0))="")=TRUE),  "",  INDEX(RulebookTables!F2:F93, MATCH(E213,RulebookTables!A2:A93, 0))), "")</f>
        <v>knowledge</v>
      </c>
      <c r="S213" s="3" t="s">
        <v>1918</v>
      </c>
    </row>
    <row r="214">
      <c r="A214" s="3" t="s">
        <v>14317</v>
      </c>
      <c r="B214" s="4" t="str">
        <f>_xlfn.CONCAT(D214, " / ", E214)</f>
        <v>effortless-entity-framework / ProcedureExecutions</v>
      </c>
      <c r="C214" s="3" t="s">
        <v>14074</v>
      </c>
      <c r="D214" s="3" t="s">
        <v>14047</v>
      </c>
      <c r="E214" s="3" t="s">
        <v>1824</v>
      </c>
      <c r="F214" s="3">
        <v>2</v>
      </c>
      <c r="G214" s="3">
        <v>69</v>
      </c>
      <c r="H214" s="3">
        <v>138</v>
      </c>
      <c r="I214" s="3">
        <v>138</v>
      </c>
      <c r="J214" s="3" t="b">
        <v>0</v>
      </c>
      <c r="K214" s="4">
        <f>H214 - I214</f>
        <v>0</v>
      </c>
      <c r="L214" s="4">
        <f>IF(((H214 = 0)=TRUE),  0,  ROUND(100 * I214 / H214, 2))</f>
        <v>100</v>
      </c>
      <c r="M214" s="4" t="b">
        <f>K214 = 0</f>
        <v>1</v>
      </c>
      <c r="N214" s="4" t="str">
        <f>IF(((M214)=TRUE),  "",  D214)</f>
      </c>
      <c r="O214" s="4" t="str">
        <f>IF(((M214)=TRUE),  "",  E214)</f>
      </c>
      <c r="P214" s="4">
        <f>COUNTIFS(FieldDisagreements!E2:E50, A214)</f>
        <v>0</v>
      </c>
      <c r="Q214" s="4" t="str">
        <f>_xlfn.IFNA(IF(((INDEX(ConformanceSubstrates!C2:C9, MATCH(D214,ConformanceSubstrates!A2:A9, 0))="")=TRUE),  "",  INDEX(ConformanceSubstrates!C2:C9, MATCH(D214,ConformanceSubstrates!A2:A9, 0))), "")</f>
        <v>C# / Entity Framework</v>
      </c>
      <c r="R214" s="4" t="str">
        <f>_xlfn.IFNA(IF(((INDEX(RulebookTables!F2:F93, MATCH(E214,RulebookTables!A2:A93, 0))="")=TRUE),  "",  INDEX(RulebookTables!F2:F93, MATCH(E214,RulebookTables!A2:A93, 0))), "")</f>
        <v>specification</v>
      </c>
      <c r="S214" s="3" t="s">
        <v>1918</v>
      </c>
    </row>
    <row r="215">
      <c r="A215" s="3" t="s">
        <v>14318</v>
      </c>
      <c r="B215" s="4" t="str">
        <f>_xlfn.CONCAT(D215, " / ", E215)</f>
        <v>effortless-entity-framework / StepExecutions</v>
      </c>
      <c r="C215" s="3" t="s">
        <v>14074</v>
      </c>
      <c r="D215" s="3" t="s">
        <v>14047</v>
      </c>
      <c r="E215" s="3" t="s">
        <v>1827</v>
      </c>
      <c r="F215" s="3">
        <v>12</v>
      </c>
      <c r="G215" s="3">
        <v>99</v>
      </c>
      <c r="H215" s="3">
        <v>1188</v>
      </c>
      <c r="I215" s="3">
        <v>1188</v>
      </c>
      <c r="J215" s="3" t="b">
        <v>0</v>
      </c>
      <c r="K215" s="4">
        <f>H215 - I215</f>
        <v>0</v>
      </c>
      <c r="L215" s="4">
        <f>IF(((H215 = 0)=TRUE),  0,  ROUND(100 * I215 / H215, 2))</f>
        <v>100</v>
      </c>
      <c r="M215" s="4" t="b">
        <f>K215 = 0</f>
        <v>1</v>
      </c>
      <c r="N215" s="4" t="str">
        <f>IF(((M215)=TRUE),  "",  D215)</f>
      </c>
      <c r="O215" s="4" t="str">
        <f>IF(((M215)=TRUE),  "",  E215)</f>
      </c>
      <c r="P215" s="4">
        <f>COUNTIFS(FieldDisagreements!E2:E50, A215)</f>
        <v>0</v>
      </c>
      <c r="Q215" s="4" t="str">
        <f>_xlfn.IFNA(IF(((INDEX(ConformanceSubstrates!C2:C9, MATCH(D215,ConformanceSubstrates!A2:A9, 0))="")=TRUE),  "",  INDEX(ConformanceSubstrates!C2:C9, MATCH(D215,ConformanceSubstrates!A2:A9, 0))), "")</f>
        <v>C# / Entity Framework</v>
      </c>
      <c r="R215" s="4" t="str">
        <f>_xlfn.IFNA(IF(((INDEX(RulebookTables!F2:F93, MATCH(E215,RulebookTables!A2:A93, 0))="")=TRUE),  "",  INDEX(RulebookTables!F2:F93, MATCH(E215,RulebookTables!A2:A93, 0))), "")</f>
        <v>specification</v>
      </c>
      <c r="S215" s="3" t="s">
        <v>1918</v>
      </c>
    </row>
    <row r="216">
      <c r="A216" s="3" t="s">
        <v>14319</v>
      </c>
      <c r="B216" s="4" t="str">
        <f>_xlfn.CONCAT(D216, " / ", E216)</f>
        <v>effortless-entity-framework / RequirementSatisfactions</v>
      </c>
      <c r="C216" s="3" t="s">
        <v>14074</v>
      </c>
      <c r="D216" s="3" t="s">
        <v>14047</v>
      </c>
      <c r="E216" s="3" t="s">
        <v>1830</v>
      </c>
      <c r="F216" s="3">
        <v>8</v>
      </c>
      <c r="G216" s="3">
        <v>38</v>
      </c>
      <c r="H216" s="3">
        <v>304</v>
      </c>
      <c r="I216" s="3">
        <v>304</v>
      </c>
      <c r="J216" s="3" t="b">
        <v>0</v>
      </c>
      <c r="K216" s="4">
        <f>H216 - I216</f>
        <v>0</v>
      </c>
      <c r="L216" s="4">
        <f>IF(((H216 = 0)=TRUE),  0,  ROUND(100 * I216 / H216, 2))</f>
        <v>100</v>
      </c>
      <c r="M216" s="4" t="b">
        <f>K216 = 0</f>
        <v>1</v>
      </c>
      <c r="N216" s="4" t="str">
        <f>IF(((M216)=TRUE),  "",  D216)</f>
      </c>
      <c r="O216" s="4" t="str">
        <f>IF(((M216)=TRUE),  "",  E216)</f>
      </c>
      <c r="P216" s="4">
        <f>COUNTIFS(FieldDisagreements!E2:E50, A216)</f>
        <v>0</v>
      </c>
      <c r="Q216" s="4" t="str">
        <f>_xlfn.IFNA(IF(((INDEX(ConformanceSubstrates!C2:C9, MATCH(D216,ConformanceSubstrates!A2:A9, 0))="")=TRUE),  "",  INDEX(ConformanceSubstrates!C2:C9, MATCH(D216,ConformanceSubstrates!A2:A9, 0))), "")</f>
        <v>C# / Entity Framework</v>
      </c>
      <c r="R216" s="4" t="str">
        <f>_xlfn.IFNA(IF(((INDEX(RulebookTables!F2:F93, MATCH(E216,RulebookTables!A2:A93, 0))="")=TRUE),  "",  INDEX(RulebookTables!F2:F93, MATCH(E216,RulebookTables!A2:A93, 0))), "")</f>
        <v>execution</v>
      </c>
      <c r="S216" s="3" t="s">
        <v>1918</v>
      </c>
    </row>
    <row r="217">
      <c r="A217" s="3" t="s">
        <v>14320</v>
      </c>
      <c r="B217" s="4" t="str">
        <f>_xlfn.CONCAT(D217, " / ", E217)</f>
        <v>effortless-entity-framework / Errors</v>
      </c>
      <c r="C217" s="3" t="s">
        <v>14074</v>
      </c>
      <c r="D217" s="3" t="s">
        <v>14047</v>
      </c>
      <c r="E217" s="3" t="s">
        <v>1833</v>
      </c>
      <c r="F217" s="3">
        <v>2</v>
      </c>
      <c r="G217" s="3">
        <v>1</v>
      </c>
      <c r="H217" s="3">
        <v>2</v>
      </c>
      <c r="I217" s="3">
        <v>2</v>
      </c>
      <c r="J217" s="3" t="b">
        <v>0</v>
      </c>
      <c r="K217" s="4">
        <f>H217 - I217</f>
        <v>0</v>
      </c>
      <c r="L217" s="4">
        <f>IF(((H217 = 0)=TRUE),  0,  ROUND(100 * I217 / H217, 2))</f>
        <v>100</v>
      </c>
      <c r="M217" s="4" t="b">
        <f>K217 = 0</f>
        <v>1</v>
      </c>
      <c r="N217" s="4" t="str">
        <f>IF(((M217)=TRUE),  "",  D217)</f>
      </c>
      <c r="O217" s="4" t="str">
        <f>IF(((M217)=TRUE),  "",  E217)</f>
      </c>
      <c r="P217" s="4">
        <f>COUNTIFS(FieldDisagreements!E2:E50, A217)</f>
        <v>0</v>
      </c>
      <c r="Q217" s="4" t="str">
        <f>_xlfn.IFNA(IF(((INDEX(ConformanceSubstrates!C2:C9, MATCH(D217,ConformanceSubstrates!A2:A9, 0))="")=TRUE),  "",  INDEX(ConformanceSubstrates!C2:C9, MATCH(D217,ConformanceSubstrates!A2:A9, 0))), "")</f>
        <v>C# / Entity Framework</v>
      </c>
      <c r="R217" s="4" t="str">
        <f>_xlfn.IFNA(IF(((INDEX(RulebookTables!F2:F93, MATCH(E217,RulebookTables!A2:A93, 0))="")=TRUE),  "",  INDEX(RulebookTables!F2:F93, MATCH(E217,RulebookTables!A2:A93, 0))), "")</f>
        <v>execution</v>
      </c>
      <c r="S217" s="3" t="s">
        <v>1918</v>
      </c>
    </row>
    <row r="218">
      <c r="A218" s="3" t="s">
        <v>14321</v>
      </c>
      <c r="B218" s="4" t="str">
        <f>_xlfn.CONCAT(D218, " / ", E218)</f>
        <v>effortless-entity-framework / IssueOccurrences</v>
      </c>
      <c r="C218" s="3" t="s">
        <v>14074</v>
      </c>
      <c r="D218" s="3" t="s">
        <v>14047</v>
      </c>
      <c r="E218" s="3" t="s">
        <v>1836</v>
      </c>
      <c r="F218" s="3">
        <v>2</v>
      </c>
      <c r="G218" s="3">
        <v>3</v>
      </c>
      <c r="H218" s="3">
        <v>6</v>
      </c>
      <c r="I218" s="3">
        <v>6</v>
      </c>
      <c r="J218" s="3" t="b">
        <v>0</v>
      </c>
      <c r="K218" s="4">
        <f>H218 - I218</f>
        <v>0</v>
      </c>
      <c r="L218" s="4">
        <f>IF(((H218 = 0)=TRUE),  0,  ROUND(100 * I218 / H218, 2))</f>
        <v>100</v>
      </c>
      <c r="M218" s="4" t="b">
        <f>K218 = 0</f>
        <v>1</v>
      </c>
      <c r="N218" s="4" t="str">
        <f>IF(((M218)=TRUE),  "",  D218)</f>
      </c>
      <c r="O218" s="4" t="str">
        <f>IF(((M218)=TRUE),  "",  E218)</f>
      </c>
      <c r="P218" s="4">
        <f>COUNTIFS(FieldDisagreements!E2:E50, A218)</f>
        <v>0</v>
      </c>
      <c r="Q218" s="4" t="str">
        <f>_xlfn.IFNA(IF(((INDEX(ConformanceSubstrates!C2:C9, MATCH(D218,ConformanceSubstrates!A2:A9, 0))="")=TRUE),  "",  INDEX(ConformanceSubstrates!C2:C9, MATCH(D218,ConformanceSubstrates!A2:A9, 0))), "")</f>
        <v>C# / Entity Framework</v>
      </c>
      <c r="R218" s="4" t="str">
        <f>_xlfn.IFNA(IF(((INDEX(RulebookTables!F2:F93, MATCH(E218,RulebookTables!A2:A93, 0))="")=TRUE),  "",  INDEX(RulebookTables!F2:F93, MATCH(E218,RulebookTables!A2:A93, 0))), "")</f>
        <v>execution</v>
      </c>
      <c r="S218" s="3" t="s">
        <v>1918</v>
      </c>
    </row>
    <row r="219">
      <c r="A219" s="3" t="s">
        <v>14322</v>
      </c>
      <c r="B219" s="4" t="str">
        <f>_xlfn.CONCAT(D219, " / ", E219)</f>
        <v>effortless-entity-framework / UserQuestions</v>
      </c>
      <c r="C219" s="3" t="s">
        <v>14074</v>
      </c>
      <c r="D219" s="3" t="s">
        <v>14047</v>
      </c>
      <c r="E219" s="3" t="s">
        <v>1839</v>
      </c>
      <c r="F219" s="3">
        <v>2</v>
      </c>
      <c r="G219" s="3">
        <v>1</v>
      </c>
      <c r="H219" s="3">
        <v>2</v>
      </c>
      <c r="I219" s="3">
        <v>2</v>
      </c>
      <c r="J219" s="3" t="b">
        <v>0</v>
      </c>
      <c r="K219" s="4">
        <f>H219 - I219</f>
        <v>0</v>
      </c>
      <c r="L219" s="4">
        <f>IF(((H219 = 0)=TRUE),  0,  ROUND(100 * I219 / H219, 2))</f>
        <v>100</v>
      </c>
      <c r="M219" s="4" t="b">
        <f>K219 = 0</f>
        <v>1</v>
      </c>
      <c r="N219" s="4" t="str">
        <f>IF(((M219)=TRUE),  "",  D219)</f>
      </c>
      <c r="O219" s="4" t="str">
        <f>IF(((M219)=TRUE),  "",  E219)</f>
      </c>
      <c r="P219" s="4">
        <f>COUNTIFS(FieldDisagreements!E2:E50, A219)</f>
        <v>0</v>
      </c>
      <c r="Q219" s="4" t="str">
        <f>_xlfn.IFNA(IF(((INDEX(ConformanceSubstrates!C2:C9, MATCH(D219,ConformanceSubstrates!A2:A9, 0))="")=TRUE),  "",  INDEX(ConformanceSubstrates!C2:C9, MATCH(D219,ConformanceSubstrates!A2:A9, 0))), "")</f>
        <v>C# / Entity Framework</v>
      </c>
      <c r="R219" s="4" t="str">
        <f>_xlfn.IFNA(IF(((INDEX(RulebookTables!F2:F93, MATCH(E219,RulebookTables!A2:A93, 0))="")=TRUE),  "",  INDEX(RulebookTables!F2:F93, MATCH(E219,RulebookTables!A2:A93, 0))), "")</f>
        <v>domain</v>
      </c>
      <c r="S219" s="3" t="s">
        <v>1918</v>
      </c>
    </row>
    <row r="220">
      <c r="A220" s="3" t="s">
        <v>14323</v>
      </c>
      <c r="B220" s="4" t="str">
        <f>_xlfn.CONCAT(D220, " / ", E220)</f>
        <v>effortless-entity-framework / UserFeedback</v>
      </c>
      <c r="C220" s="3" t="s">
        <v>14074</v>
      </c>
      <c r="D220" s="3" t="s">
        <v>14047</v>
      </c>
      <c r="E220" s="3" t="s">
        <v>1842</v>
      </c>
      <c r="F220" s="3">
        <v>2</v>
      </c>
      <c r="G220" s="3">
        <v>1</v>
      </c>
      <c r="H220" s="3">
        <v>2</v>
      </c>
      <c r="I220" s="3">
        <v>2</v>
      </c>
      <c r="J220" s="3" t="b">
        <v>0</v>
      </c>
      <c r="K220" s="4">
        <f>H220 - I220</f>
        <v>0</v>
      </c>
      <c r="L220" s="4">
        <f>IF(((H220 = 0)=TRUE),  0,  ROUND(100 * I220 / H220, 2))</f>
        <v>100</v>
      </c>
      <c r="M220" s="4" t="b">
        <f>K220 = 0</f>
        <v>1</v>
      </c>
      <c r="N220" s="4" t="str">
        <f>IF(((M220)=TRUE),  "",  D220)</f>
      </c>
      <c r="O220" s="4" t="str">
        <f>IF(((M220)=TRUE),  "",  E220)</f>
      </c>
      <c r="P220" s="4">
        <f>COUNTIFS(FieldDisagreements!E2:E50, A220)</f>
        <v>0</v>
      </c>
      <c r="Q220" s="4" t="str">
        <f>_xlfn.IFNA(IF(((INDEX(ConformanceSubstrates!C2:C9, MATCH(D220,ConformanceSubstrates!A2:A9, 0))="")=TRUE),  "",  INDEX(ConformanceSubstrates!C2:C9, MATCH(D220,ConformanceSubstrates!A2:A9, 0))), "")</f>
        <v>C# / Entity Framework</v>
      </c>
      <c r="R220" s="4" t="str">
        <f>_xlfn.IFNA(IF(((INDEX(RulebookTables!F2:F93, MATCH(E220,RulebookTables!A2:A93, 0))="")=TRUE),  "",  INDEX(RulebookTables!F2:F93, MATCH(E220,RulebookTables!A2:A93, 0))), "")</f>
        <v>domain</v>
      </c>
      <c r="S220" s="3" t="s">
        <v>1918</v>
      </c>
    </row>
    <row r="221">
      <c r="A221" s="3" t="s">
        <v>14324</v>
      </c>
      <c r="B221" s="4" t="str">
        <f>_xlfn.CONCAT(D221, " / ", E221)</f>
        <v>effortless-entity-framework / StewardshipAssignments</v>
      </c>
      <c r="C221" s="3" t="s">
        <v>14074</v>
      </c>
      <c r="D221" s="3" t="s">
        <v>14047</v>
      </c>
      <c r="E221" s="3" t="s">
        <v>1859</v>
      </c>
      <c r="F221" s="3">
        <v>2</v>
      </c>
      <c r="G221" s="3">
        <v>5</v>
      </c>
      <c r="H221" s="3">
        <v>10</v>
      </c>
      <c r="I221" s="3">
        <v>10</v>
      </c>
      <c r="J221" s="3" t="b">
        <v>0</v>
      </c>
      <c r="K221" s="4">
        <f>H221 - I221</f>
        <v>0</v>
      </c>
      <c r="L221" s="4">
        <f>IF(((H221 = 0)=TRUE),  0,  ROUND(100 * I221 / H221, 2))</f>
        <v>100</v>
      </c>
      <c r="M221" s="4" t="b">
        <f>K221 = 0</f>
        <v>1</v>
      </c>
      <c r="N221" s="4" t="str">
        <f>IF(((M221)=TRUE),  "",  D221)</f>
      </c>
      <c r="O221" s="4" t="str">
        <f>IF(((M221)=TRUE),  "",  E221)</f>
      </c>
      <c r="P221" s="4">
        <f>COUNTIFS(FieldDisagreements!E2:E50, A221)</f>
        <v>0</v>
      </c>
      <c r="Q221" s="4" t="str">
        <f>_xlfn.IFNA(IF(((INDEX(ConformanceSubstrates!C2:C9, MATCH(D221,ConformanceSubstrates!A2:A9, 0))="")=TRUE),  "",  INDEX(ConformanceSubstrates!C2:C9, MATCH(D221,ConformanceSubstrates!A2:A9, 0))), "")</f>
        <v>C# / Entity Framework</v>
      </c>
      <c r="R221" s="4" t="str">
        <f>_xlfn.IFNA(IF(((INDEX(RulebookTables!F2:F93, MATCH(E221,RulebookTables!A2:A93, 0))="")=TRUE),  "",  INDEX(RulebookTables!F2:F93, MATCH(E221,RulebookTables!A2:A93, 0))), "")</f>
        <v>org</v>
      </c>
      <c r="S221" s="3" t="s">
        <v>1918</v>
      </c>
    </row>
    <row r="222">
      <c r="A222" s="3" t="s">
        <v>14325</v>
      </c>
      <c r="B222" s="4" t="str">
        <f>_xlfn.CONCAT(D222, " / ", E222)</f>
        <v>effortless-entity-framework / ChangeRequests</v>
      </c>
      <c r="C222" s="3" t="s">
        <v>14074</v>
      </c>
      <c r="D222" s="3" t="s">
        <v>14047</v>
      </c>
      <c r="E222" s="3" t="s">
        <v>3914</v>
      </c>
      <c r="F222" s="3">
        <v>2</v>
      </c>
      <c r="G222" s="3">
        <v>32</v>
      </c>
      <c r="H222" s="3">
        <v>64</v>
      </c>
      <c r="I222" s="3">
        <v>64</v>
      </c>
      <c r="J222" s="3" t="b">
        <v>0</v>
      </c>
      <c r="K222" s="4">
        <f>H222 - I222</f>
        <v>0</v>
      </c>
      <c r="L222" s="4">
        <f>IF(((H222 = 0)=TRUE),  0,  ROUND(100 * I222 / H222, 2))</f>
        <v>100</v>
      </c>
      <c r="M222" s="4" t="b">
        <f>K222 = 0</f>
        <v>1</v>
      </c>
      <c r="N222" s="4" t="str">
        <f>IF(((M222)=TRUE),  "",  D222)</f>
      </c>
      <c r="O222" s="4" t="str">
        <f>IF(((M222)=TRUE),  "",  E222)</f>
      </c>
      <c r="P222" s="4">
        <f>COUNTIFS(FieldDisagreements!E2:E50, A222)</f>
        <v>0</v>
      </c>
      <c r="Q222" s="4" t="str">
        <f>_xlfn.IFNA(IF(((INDEX(ConformanceSubstrates!C2:C9, MATCH(D222,ConformanceSubstrates!A2:A9, 0))="")=TRUE),  "",  INDEX(ConformanceSubstrates!C2:C9, MATCH(D222,ConformanceSubstrates!A2:A9, 0))), "")</f>
        <v>C# / Entity Framework</v>
      </c>
      <c r="R222" s="4" t="str">
        <f>_xlfn.IFNA(IF(((INDEX(RulebookTables!F2:F93, MATCH(E222,RulebookTables!A2:A93, 0))="")=TRUE),  "",  INDEX(RulebookTables!F2:F93, MATCH(E222,RulebookTables!A2:A93, 0))), "")</f>
        <v>domain</v>
      </c>
      <c r="S222" s="3" t="s">
        <v>1918</v>
      </c>
    </row>
    <row r="223">
      <c r="A223" s="3" t="s">
        <v>14326</v>
      </c>
      <c r="B223" s="4" t="str">
        <f>_xlfn.CONCAT(D223, " / ", E223)</f>
        <v>effortless-entity-framework / ReviewEvents</v>
      </c>
      <c r="C223" s="3" t="s">
        <v>14074</v>
      </c>
      <c r="D223" s="3" t="s">
        <v>14047</v>
      </c>
      <c r="E223" s="3" t="s">
        <v>3988</v>
      </c>
      <c r="F223" s="3">
        <v>3</v>
      </c>
      <c r="G223" s="3">
        <v>10</v>
      </c>
      <c r="H223" s="3">
        <v>30</v>
      </c>
      <c r="I223" s="3">
        <v>30</v>
      </c>
      <c r="J223" s="3" t="b">
        <v>0</v>
      </c>
      <c r="K223" s="4">
        <f>H223 - I223</f>
        <v>0</v>
      </c>
      <c r="L223" s="4">
        <f>IF(((H223 = 0)=TRUE),  0,  ROUND(100 * I223 / H223, 2))</f>
        <v>100</v>
      </c>
      <c r="M223" s="4" t="b">
        <f>K223 = 0</f>
        <v>1</v>
      </c>
      <c r="N223" s="4" t="str">
        <f>IF(((M223)=TRUE),  "",  D223)</f>
      </c>
      <c r="O223" s="4" t="str">
        <f>IF(((M223)=TRUE),  "",  E223)</f>
      </c>
      <c r="P223" s="4">
        <f>COUNTIFS(FieldDisagreements!E2:E50, A223)</f>
        <v>0</v>
      </c>
      <c r="Q223" s="4" t="str">
        <f>_xlfn.IFNA(IF(((INDEX(ConformanceSubstrates!C2:C9, MATCH(D223,ConformanceSubstrates!A2:A9, 0))="")=TRUE),  "",  INDEX(ConformanceSubstrates!C2:C9, MATCH(D223,ConformanceSubstrates!A2:A9, 0))), "")</f>
        <v>C# / Entity Framework</v>
      </c>
      <c r="R223" s="4" t="str">
        <f>_xlfn.IFNA(IF(((INDEX(RulebookTables!F2:F93, MATCH(E223,RulebookTables!A2:A93, 0))="")=TRUE),  "",  INDEX(RulebookTables!F2:F93, MATCH(E223,RulebookTables!A2:A93, 0))), "")</f>
        <v>domain</v>
      </c>
      <c r="S223" s="3" t="s">
        <v>1918</v>
      </c>
    </row>
    <row r="224">
      <c r="A224" s="3" t="s">
        <v>14327</v>
      </c>
      <c r="B224" s="4" t="str">
        <f>_xlfn.CONCAT(D224, " / ", E224)</f>
        <v>effortless-entity-framework / LearningActivities</v>
      </c>
      <c r="C224" s="3" t="s">
        <v>14074</v>
      </c>
      <c r="D224" s="3" t="s">
        <v>14047</v>
      </c>
      <c r="E224" s="3" t="s">
        <v>4017</v>
      </c>
      <c r="F224" s="3">
        <v>2</v>
      </c>
      <c r="G224" s="3">
        <v>1</v>
      </c>
      <c r="H224" s="3">
        <v>2</v>
      </c>
      <c r="I224" s="3">
        <v>2</v>
      </c>
      <c r="J224" s="3" t="b">
        <v>0</v>
      </c>
      <c r="K224" s="4">
        <f>H224 - I224</f>
        <v>0</v>
      </c>
      <c r="L224" s="4">
        <f>IF(((H224 = 0)=TRUE),  0,  ROUND(100 * I224 / H224, 2))</f>
        <v>100</v>
      </c>
      <c r="M224" s="4" t="b">
        <f>K224 = 0</f>
        <v>1</v>
      </c>
      <c r="N224" s="4" t="str">
        <f>IF(((M224)=TRUE),  "",  D224)</f>
      </c>
      <c r="O224" s="4" t="str">
        <f>IF(((M224)=TRUE),  "",  E224)</f>
      </c>
      <c r="P224" s="4">
        <f>COUNTIFS(FieldDisagreements!E2:E50, A224)</f>
        <v>0</v>
      </c>
      <c r="Q224" s="4" t="str">
        <f>_xlfn.IFNA(IF(((INDEX(ConformanceSubstrates!C2:C9, MATCH(D224,ConformanceSubstrates!A2:A9, 0))="")=TRUE),  "",  INDEX(ConformanceSubstrates!C2:C9, MATCH(D224,ConformanceSubstrates!A2:A9, 0))), "")</f>
        <v>C# / Entity Framework</v>
      </c>
      <c r="R224" s="4" t="str">
        <f>_xlfn.IFNA(IF(((INDEX(RulebookTables!F2:F93, MATCH(E224,RulebookTables!A2:A93, 0))="")=TRUE),  "",  INDEX(RulebookTables!F2:F93, MATCH(E224,RulebookTables!A2:A93, 0))), "")</f>
        <v>domain</v>
      </c>
      <c r="S224" s="3" t="s">
        <v>1918</v>
      </c>
    </row>
    <row r="225">
      <c r="A225" s="3" t="s">
        <v>14328</v>
      </c>
      <c r="B225" s="4" t="str">
        <f>_xlfn.CONCAT(D225, " / ", E225)</f>
        <v>effortless-entity-framework / OperationalBindings</v>
      </c>
      <c r="C225" s="3" t="s">
        <v>14074</v>
      </c>
      <c r="D225" s="3" t="s">
        <v>14047</v>
      </c>
      <c r="E225" s="3" t="s">
        <v>1862</v>
      </c>
      <c r="F225" s="3">
        <v>5</v>
      </c>
      <c r="G225" s="3">
        <v>11</v>
      </c>
      <c r="H225" s="3">
        <v>55</v>
      </c>
      <c r="I225" s="3">
        <v>55</v>
      </c>
      <c r="J225" s="3" t="b">
        <v>0</v>
      </c>
      <c r="K225" s="4">
        <f>H225 - I225</f>
        <v>0</v>
      </c>
      <c r="L225" s="4">
        <f>IF(((H225 = 0)=TRUE),  0,  ROUND(100 * I225 / H225, 2))</f>
        <v>100</v>
      </c>
      <c r="M225" s="4" t="b">
        <f>K225 = 0</f>
        <v>1</v>
      </c>
      <c r="N225" s="4" t="str">
        <f>IF(((M225)=TRUE),  "",  D225)</f>
      </c>
      <c r="O225" s="4" t="str">
        <f>IF(((M225)=TRUE),  "",  E225)</f>
      </c>
      <c r="P225" s="4">
        <f>COUNTIFS(FieldDisagreements!E2:E50, A225)</f>
        <v>0</v>
      </c>
      <c r="Q225" s="4" t="str">
        <f>_xlfn.IFNA(IF(((INDEX(ConformanceSubstrates!C2:C9, MATCH(D225,ConformanceSubstrates!A2:A9, 0))="")=TRUE),  "",  INDEX(ConformanceSubstrates!C2:C9, MATCH(D225,ConformanceSubstrates!A2:A9, 0))), "")</f>
        <v>C# / Entity Framework</v>
      </c>
      <c r="R225" s="4" t="str">
        <f>_xlfn.IFNA(IF(((INDEX(RulebookTables!F2:F93, MATCH(E225,RulebookTables!A2:A93, 0))="")=TRUE),  "",  INDEX(RulebookTables!F2:F93, MATCH(E225,RulebookTables!A2:A93, 0))), "")</f>
        <v>domain</v>
      </c>
      <c r="S225" s="3" t="s">
        <v>1918</v>
      </c>
    </row>
    <row r="226">
      <c r="A226" s="3" t="s">
        <v>14329</v>
      </c>
      <c r="B226" s="4" t="str">
        <f>_xlfn.CONCAT(D226, " / ", E226)</f>
        <v>effortless-entity-framework / CommunicationPolicies</v>
      </c>
      <c r="C226" s="3" t="s">
        <v>14074</v>
      </c>
      <c r="D226" s="3" t="s">
        <v>14047</v>
      </c>
      <c r="E226" s="3" t="s">
        <v>1865</v>
      </c>
      <c r="F226" s="3">
        <v>2</v>
      </c>
      <c r="G226" s="3">
        <v>4</v>
      </c>
      <c r="H226" s="3">
        <v>8</v>
      </c>
      <c r="I226" s="3">
        <v>8</v>
      </c>
      <c r="J226" s="3" t="b">
        <v>0</v>
      </c>
      <c r="K226" s="4">
        <f>H226 - I226</f>
        <v>0</v>
      </c>
      <c r="L226" s="4">
        <f>IF(((H226 = 0)=TRUE),  0,  ROUND(100 * I226 / H226, 2))</f>
        <v>100</v>
      </c>
      <c r="M226" s="4" t="b">
        <f>K226 = 0</f>
        <v>1</v>
      </c>
      <c r="N226" s="4" t="str">
        <f>IF(((M226)=TRUE),  "",  D226)</f>
      </c>
      <c r="O226" s="4" t="str">
        <f>IF(((M226)=TRUE),  "",  E226)</f>
      </c>
      <c r="P226" s="4">
        <f>COUNTIFS(FieldDisagreements!E2:E50, A226)</f>
        <v>0</v>
      </c>
      <c r="Q226" s="4" t="str">
        <f>_xlfn.IFNA(IF(((INDEX(ConformanceSubstrates!C2:C9, MATCH(D226,ConformanceSubstrates!A2:A9, 0))="")=TRUE),  "",  INDEX(ConformanceSubstrates!C2:C9, MATCH(D226,ConformanceSubstrates!A2:A9, 0))), "")</f>
        <v>C# / Entity Framework</v>
      </c>
      <c r="R226" s="4" t="str">
        <f>_xlfn.IFNA(IF(((INDEX(RulebookTables!F2:F93, MATCH(E226,RulebookTables!A2:A93, 0))="")=TRUE),  "",  INDEX(RulebookTables!F2:F93, MATCH(E226,RulebookTables!A2:A93, 0))), "")</f>
        <v>communication</v>
      </c>
      <c r="S226" s="3" t="s">
        <v>1918</v>
      </c>
    </row>
    <row r="227">
      <c r="A227" s="3" t="s">
        <v>14330</v>
      </c>
      <c r="B227" s="4" t="str">
        <f>_xlfn.CONCAT(D227, " / ", E227)</f>
        <v>effortless-entity-framework / MessageTemplates</v>
      </c>
      <c r="C227" s="3" t="s">
        <v>14074</v>
      </c>
      <c r="D227" s="3" t="s">
        <v>14047</v>
      </c>
      <c r="E227" s="3" t="s">
        <v>4087</v>
      </c>
      <c r="F227" s="3">
        <v>2</v>
      </c>
      <c r="G227" s="3">
        <v>16</v>
      </c>
      <c r="H227" s="3">
        <v>32</v>
      </c>
      <c r="I227" s="3">
        <v>32</v>
      </c>
      <c r="J227" s="3" t="b">
        <v>0</v>
      </c>
      <c r="K227" s="4">
        <f>H227 - I227</f>
        <v>0</v>
      </c>
      <c r="L227" s="4">
        <f>IF(((H227 = 0)=TRUE),  0,  ROUND(100 * I227 / H227, 2))</f>
        <v>100</v>
      </c>
      <c r="M227" s="4" t="b">
        <f>K227 = 0</f>
        <v>1</v>
      </c>
      <c r="N227" s="4" t="str">
        <f>IF(((M227)=TRUE),  "",  D227)</f>
      </c>
      <c r="O227" s="4" t="str">
        <f>IF(((M227)=TRUE),  "",  E227)</f>
      </c>
      <c r="P227" s="4">
        <f>COUNTIFS(FieldDisagreements!E2:E50, A227)</f>
        <v>0</v>
      </c>
      <c r="Q227" s="4" t="str">
        <f>_xlfn.IFNA(IF(((INDEX(ConformanceSubstrates!C2:C9, MATCH(D227,ConformanceSubstrates!A2:A9, 0))="")=TRUE),  "",  INDEX(ConformanceSubstrates!C2:C9, MATCH(D227,ConformanceSubstrates!A2:A9, 0))), "")</f>
        <v>C# / Entity Framework</v>
      </c>
      <c r="R227" s="4" t="str">
        <f>_xlfn.IFNA(IF(((INDEX(RulebookTables!F2:F93, MATCH(E227,RulebookTables!A2:A93, 0))="")=TRUE),  "",  INDEX(RulebookTables!F2:F93, MATCH(E227,RulebookTables!A2:A93, 0))), "")</f>
        <v>communication</v>
      </c>
      <c r="S227" s="3" t="s">
        <v>1918</v>
      </c>
    </row>
    <row r="228">
      <c r="A228" s="3" t="s">
        <v>14331</v>
      </c>
      <c r="B228" s="4" t="str">
        <f>_xlfn.CONCAT(D228, " / ", E228)</f>
        <v>effortless-entity-framework / SemanticMappings</v>
      </c>
      <c r="C228" s="3" t="s">
        <v>14074</v>
      </c>
      <c r="D228" s="3" t="s">
        <v>14047</v>
      </c>
      <c r="E228" s="3" t="s">
        <v>4130</v>
      </c>
      <c r="F228" s="3">
        <v>47</v>
      </c>
      <c r="G228" s="3">
        <v>1</v>
      </c>
      <c r="H228" s="3">
        <v>47</v>
      </c>
      <c r="I228" s="3">
        <v>47</v>
      </c>
      <c r="J228" s="3" t="b">
        <v>0</v>
      </c>
      <c r="K228" s="4">
        <f>H228 - I228</f>
        <v>0</v>
      </c>
      <c r="L228" s="4">
        <f>IF(((H228 = 0)=TRUE),  0,  ROUND(100 * I228 / H228, 2))</f>
        <v>100</v>
      </c>
      <c r="M228" s="4" t="b">
        <f>K228 = 0</f>
        <v>1</v>
      </c>
      <c r="N228" s="4" t="str">
        <f>IF(((M228)=TRUE),  "",  D228)</f>
      </c>
      <c r="O228" s="4" t="str">
        <f>IF(((M228)=TRUE),  "",  E228)</f>
      </c>
      <c r="P228" s="4">
        <f>COUNTIFS(FieldDisagreements!E2:E50, A228)</f>
        <v>0</v>
      </c>
      <c r="Q228" s="4" t="str">
        <f>_xlfn.IFNA(IF(((INDEX(ConformanceSubstrates!C2:C9, MATCH(D228,ConformanceSubstrates!A2:A9, 0))="")=TRUE),  "",  INDEX(ConformanceSubstrates!C2:C9, MATCH(D228,ConformanceSubstrates!A2:A9, 0))), "")</f>
        <v>C# / Entity Framework</v>
      </c>
      <c r="R228" s="4" t="str">
        <f>_xlfn.IFNA(IF(((INDEX(RulebookTables!F2:F93, MATCH(E228,RulebookTables!A2:A93, 0))="")=TRUE),  "",  INDEX(RulebookTables!F2:F93, MATCH(E228,RulebookTables!A2:A93, 0))), "")</f>
        <v>meta</v>
      </c>
      <c r="S228" s="3" t="s">
        <v>1918</v>
      </c>
    </row>
    <row r="229">
      <c r="A229" s="3" t="s">
        <v>14332</v>
      </c>
      <c r="B229" s="4" t="str">
        <f>_xlfn.CONCAT(D229, " / ", E229)</f>
        <v>effortless-entity-framework / WitnessLoops</v>
      </c>
      <c r="C229" s="3" t="s">
        <v>14074</v>
      </c>
      <c r="D229" s="3" t="s">
        <v>14047</v>
      </c>
      <c r="E229" s="3" t="s">
        <v>4140</v>
      </c>
      <c r="F229" s="3">
        <v>4</v>
      </c>
      <c r="G229" s="3">
        <v>3</v>
      </c>
      <c r="H229" s="3">
        <v>12</v>
      </c>
      <c r="I229" s="3">
        <v>12</v>
      </c>
      <c r="J229" s="3" t="b">
        <v>0</v>
      </c>
      <c r="K229" s="4">
        <f>H229 - I229</f>
        <v>0</v>
      </c>
      <c r="L229" s="4">
        <f>IF(((H229 = 0)=TRUE),  0,  ROUND(100 * I229 / H229, 2))</f>
        <v>100</v>
      </c>
      <c r="M229" s="4" t="b">
        <f>K229 = 0</f>
        <v>1</v>
      </c>
      <c r="N229" s="4" t="str">
        <f>IF(((M229)=TRUE),  "",  D229)</f>
      </c>
      <c r="O229" s="4" t="str">
        <f>IF(((M229)=TRUE),  "",  E229)</f>
      </c>
      <c r="P229" s="4">
        <f>COUNTIFS(FieldDisagreements!E2:E50, A229)</f>
        <v>0</v>
      </c>
      <c r="Q229" s="4" t="str">
        <f>_xlfn.IFNA(IF(((INDEX(ConformanceSubstrates!C2:C9, MATCH(D229,ConformanceSubstrates!A2:A9, 0))="")=TRUE),  "",  INDEX(ConformanceSubstrates!C2:C9, MATCH(D229,ConformanceSubstrates!A2:A9, 0))), "")</f>
        <v>C# / Entity Framework</v>
      </c>
      <c r="R229" s="4" t="str">
        <f>_xlfn.IFNA(IF(((INDEX(RulebookTables!F2:F93, MATCH(E229,RulebookTables!A2:A93, 0))="")=TRUE),  "",  INDEX(RulebookTables!F2:F93, MATCH(E229,RulebookTables!A2:A93, 0))), "")</f>
        <v>meta</v>
      </c>
      <c r="S229" s="3" t="s">
        <v>1918</v>
      </c>
    </row>
    <row r="230">
      <c r="A230" s="3" t="s">
        <v>14333</v>
      </c>
      <c r="B230" s="4" t="str">
        <f>_xlfn.CONCAT(D230, " / ", E230)</f>
        <v>effortless-entity-framework / RoleQuestions</v>
      </c>
      <c r="C230" s="3" t="s">
        <v>14074</v>
      </c>
      <c r="D230" s="3" t="s">
        <v>14047</v>
      </c>
      <c r="E230" s="3" t="s">
        <v>4157</v>
      </c>
      <c r="F230" s="3">
        <v>111</v>
      </c>
      <c r="G230" s="3">
        <v>3</v>
      </c>
      <c r="H230" s="3">
        <v>333</v>
      </c>
      <c r="I230" s="3">
        <v>333</v>
      </c>
      <c r="J230" s="3" t="b">
        <v>0</v>
      </c>
      <c r="K230" s="4">
        <f>H230 - I230</f>
        <v>0</v>
      </c>
      <c r="L230" s="4">
        <f>IF(((H230 = 0)=TRUE),  0,  ROUND(100 * I230 / H230, 2))</f>
        <v>100</v>
      </c>
      <c r="M230" s="4" t="b">
        <f>K230 = 0</f>
        <v>1</v>
      </c>
      <c r="N230" s="4" t="str">
        <f>IF(((M230)=TRUE),  "",  D230)</f>
      </c>
      <c r="O230" s="4" t="str">
        <f>IF(((M230)=TRUE),  "",  E230)</f>
      </c>
      <c r="P230" s="4">
        <f>COUNTIFS(FieldDisagreements!E2:E50, A230)</f>
        <v>0</v>
      </c>
      <c r="Q230" s="4" t="str">
        <f>_xlfn.IFNA(IF(((INDEX(ConformanceSubstrates!C2:C9, MATCH(D230,ConformanceSubstrates!A2:A9, 0))="")=TRUE),  "",  INDEX(ConformanceSubstrates!C2:C9, MATCH(D230,ConformanceSubstrates!A2:A9, 0))), "")</f>
        <v>C# / Entity Framework</v>
      </c>
      <c r="R230" s="4" t="str">
        <f>_xlfn.IFNA(IF(((INDEX(RulebookTables!F2:F93, MATCH(E230,RulebookTables!A2:A93, 0))="")=TRUE),  "",  INDEX(RulebookTables!F2:F93, MATCH(E230,RulebookTables!A2:A93, 0))), "")</f>
        <v>org</v>
      </c>
      <c r="S230" s="3" t="s">
        <v>1918</v>
      </c>
    </row>
    <row r="231">
      <c r="A231" s="3" t="s">
        <v>14334</v>
      </c>
      <c r="B231" s="4" t="str">
        <f>_xlfn.CONCAT(D231, " / ", E231)</f>
        <v>effortless-entity-framework / RulebookFields</v>
      </c>
      <c r="C231" s="3" t="s">
        <v>14074</v>
      </c>
      <c r="D231" s="3" t="s">
        <v>14047</v>
      </c>
      <c r="E231" s="3" t="s">
        <v>4172</v>
      </c>
      <c r="F231" s="3">
        <v>1897</v>
      </c>
      <c r="G231" s="3">
        <v>5</v>
      </c>
      <c r="H231" s="3">
        <v>9485</v>
      </c>
      <c r="I231" s="3">
        <v>9485</v>
      </c>
      <c r="J231" s="3" t="b">
        <v>0</v>
      </c>
      <c r="K231" s="4">
        <f>H231 - I231</f>
        <v>0</v>
      </c>
      <c r="L231" s="4">
        <f>IF(((H231 = 0)=TRUE),  0,  ROUND(100 * I231 / H231, 2))</f>
        <v>100</v>
      </c>
      <c r="M231" s="4" t="b">
        <f>K231 = 0</f>
        <v>1</v>
      </c>
      <c r="N231" s="4" t="str">
        <f>IF(((M231)=TRUE),  "",  D231)</f>
      </c>
      <c r="O231" s="4" t="str">
        <f>IF(((M231)=TRUE),  "",  E231)</f>
      </c>
      <c r="P231" s="4">
        <f>COUNTIFS(FieldDisagreements!E2:E50, A231)</f>
        <v>0</v>
      </c>
      <c r="Q231" s="4" t="str">
        <f>_xlfn.IFNA(IF(((INDEX(ConformanceSubstrates!C2:C9, MATCH(D231,ConformanceSubstrates!A2:A9, 0))="")=TRUE),  "",  INDEX(ConformanceSubstrates!C2:C9, MATCH(D231,ConformanceSubstrates!A2:A9, 0))), "")</f>
        <v>C# / Entity Framework</v>
      </c>
      <c r="R231" s="4" t="str">
        <f>_xlfn.IFNA(IF(((INDEX(RulebookTables!F2:F93, MATCH(E231,RulebookTables!A2:A93, 0))="")=TRUE),  "",  INDEX(RulebookTables!F2:F93, MATCH(E231,RulebookTables!A2:A93, 0))), "")</f>
        <v>access-control</v>
      </c>
      <c r="S231" s="3" t="s">
        <v>1918</v>
      </c>
    </row>
    <row r="232">
      <c r="A232" s="3" t="s">
        <v>14335</v>
      </c>
      <c r="B232" s="4" t="str">
        <f>_xlfn.CONCAT(D232, " / ", E232)</f>
        <v>effortless-entity-framework / TestSuites</v>
      </c>
      <c r="C232" s="3" t="s">
        <v>14074</v>
      </c>
      <c r="D232" s="3" t="s">
        <v>14047</v>
      </c>
      <c r="E232" s="3" t="s">
        <v>4191</v>
      </c>
      <c r="F232" s="3">
        <v>6</v>
      </c>
      <c r="G232" s="3">
        <v>5</v>
      </c>
      <c r="H232" s="3">
        <v>30</v>
      </c>
      <c r="I232" s="3">
        <v>30</v>
      </c>
      <c r="J232" s="3" t="b">
        <v>0</v>
      </c>
      <c r="K232" s="4">
        <f>H232 - I232</f>
        <v>0</v>
      </c>
      <c r="L232" s="4">
        <f>IF(((H232 = 0)=TRUE),  0,  ROUND(100 * I232 / H232, 2))</f>
        <v>100</v>
      </c>
      <c r="M232" s="4" t="b">
        <f>K232 = 0</f>
        <v>1</v>
      </c>
      <c r="N232" s="4" t="str">
        <f>IF(((M232)=TRUE),  "",  D232)</f>
      </c>
      <c r="O232" s="4" t="str">
        <f>IF(((M232)=TRUE),  "",  E232)</f>
      </c>
      <c r="P232" s="4">
        <f>COUNTIFS(FieldDisagreements!E2:E50, A232)</f>
        <v>0</v>
      </c>
      <c r="Q232" s="4" t="str">
        <f>_xlfn.IFNA(IF(((INDEX(ConformanceSubstrates!C2:C9, MATCH(D232,ConformanceSubstrates!A2:A9, 0))="")=TRUE),  "",  INDEX(ConformanceSubstrates!C2:C9, MATCH(D232,ConformanceSubstrates!A2:A9, 0))), "")</f>
        <v>C# / Entity Framework</v>
      </c>
      <c r="R232" s="4" t="str">
        <f>_xlfn.IFNA(IF(((INDEX(RulebookTables!F2:F93, MATCH(E232,RulebookTables!A2:A93, 0))="")=TRUE),  "",  INDEX(RulebookTables!F2:F93, MATCH(E232,RulebookTables!A2:A93, 0))), "")</f>
        <v>meta</v>
      </c>
      <c r="S232" s="3" t="s">
        <v>1918</v>
      </c>
    </row>
    <row r="233">
      <c r="A233" s="3" t="s">
        <v>14336</v>
      </c>
      <c r="B233" s="4" t="str">
        <f>_xlfn.CONCAT(D233, " / ", E233)</f>
        <v>effortless-entity-framework / TestCases</v>
      </c>
      <c r="C233" s="3" t="s">
        <v>14074</v>
      </c>
      <c r="D233" s="3" t="s">
        <v>14047</v>
      </c>
      <c r="E233" s="3" t="s">
        <v>4209</v>
      </c>
      <c r="F233" s="3">
        <v>1794</v>
      </c>
      <c r="G233" s="3">
        <v>7</v>
      </c>
      <c r="H233" s="3">
        <v>12558</v>
      </c>
      <c r="I233" s="3">
        <v>12558</v>
      </c>
      <c r="J233" s="3" t="b">
        <v>0</v>
      </c>
      <c r="K233" s="4">
        <f>H233 - I233</f>
        <v>0</v>
      </c>
      <c r="L233" s="4">
        <f>IF(((H233 = 0)=TRUE),  0,  ROUND(100 * I233 / H233, 2))</f>
        <v>100</v>
      </c>
      <c r="M233" s="4" t="b">
        <f>K233 = 0</f>
        <v>1</v>
      </c>
      <c r="N233" s="4" t="str">
        <f>IF(((M233)=TRUE),  "",  D233)</f>
      </c>
      <c r="O233" s="4" t="str">
        <f>IF(((M233)=TRUE),  "",  E233)</f>
      </c>
      <c r="P233" s="4">
        <f>COUNTIFS(FieldDisagreements!E2:E50, A233)</f>
        <v>0</v>
      </c>
      <c r="Q233" s="4" t="str">
        <f>_xlfn.IFNA(IF(((INDEX(ConformanceSubstrates!C2:C9, MATCH(D233,ConformanceSubstrates!A2:A9, 0))="")=TRUE),  "",  INDEX(ConformanceSubstrates!C2:C9, MATCH(D233,ConformanceSubstrates!A2:A9, 0))), "")</f>
        <v>C# / Entity Framework</v>
      </c>
      <c r="R233" s="4" t="str">
        <f>_xlfn.IFNA(IF(((INDEX(RulebookTables!F2:F93, MATCH(E233,RulebookTables!A2:A93, 0))="")=TRUE),  "",  INDEX(RulebookTables!F2:F93, MATCH(E233,RulebookTables!A2:A93, 0))), "")</f>
        <v>meta</v>
      </c>
      <c r="S233" s="3" t="s">
        <v>1918</v>
      </c>
    </row>
    <row r="234">
      <c r="A234" s="3" t="s">
        <v>14337</v>
      </c>
      <c r="B234" s="4" t="str">
        <f>_xlfn.CONCAT(D234, " / ", E234)</f>
        <v>effortless-entity-framework / ExceptionInvocations</v>
      </c>
      <c r="C234" s="3" t="s">
        <v>14074</v>
      </c>
      <c r="D234" s="3" t="s">
        <v>14047</v>
      </c>
      <c r="E234" s="3" t="s">
        <v>4287</v>
      </c>
      <c r="F234" s="3">
        <v>1</v>
      </c>
      <c r="G234" s="3">
        <v>13</v>
      </c>
      <c r="H234" s="3">
        <v>13</v>
      </c>
      <c r="I234" s="3">
        <v>13</v>
      </c>
      <c r="J234" s="3" t="b">
        <v>0</v>
      </c>
      <c r="K234" s="4">
        <f>H234 - I234</f>
        <v>0</v>
      </c>
      <c r="L234" s="4">
        <f>IF(((H234 = 0)=TRUE),  0,  ROUND(100 * I234 / H234, 2))</f>
        <v>100</v>
      </c>
      <c r="M234" s="4" t="b">
        <f>K234 = 0</f>
        <v>1</v>
      </c>
      <c r="N234" s="4" t="str">
        <f>IF(((M234)=TRUE),  "",  D234)</f>
      </c>
      <c r="O234" s="4" t="str">
        <f>IF(((M234)=TRUE),  "",  E234)</f>
      </c>
      <c r="P234" s="4">
        <f>COUNTIFS(FieldDisagreements!E2:E50, A234)</f>
        <v>0</v>
      </c>
      <c r="Q234" s="4" t="str">
        <f>_xlfn.IFNA(IF(((INDEX(ConformanceSubstrates!C2:C9, MATCH(D234,ConformanceSubstrates!A2:A9, 0))="")=TRUE),  "",  INDEX(ConformanceSubstrates!C2:C9, MATCH(D234,ConformanceSubstrates!A2:A9, 0))), "")</f>
        <v>C# / Entity Framework</v>
      </c>
      <c r="R234" s="4" t="str">
        <f>_xlfn.IFNA(IF(((INDEX(RulebookTables!F2:F93, MATCH(E234,RulebookTables!A2:A93, 0))="")=TRUE),  "",  INDEX(RulebookTables!F2:F93, MATCH(E234,RulebookTables!A2:A93, 0))), "")</f>
        <v>governance</v>
      </c>
      <c r="S234" s="3" t="s">
        <v>1918</v>
      </c>
    </row>
    <row r="235">
      <c r="A235" s="3" t="s">
        <v>14338</v>
      </c>
      <c r="B235" s="4" t="str">
        <f>_xlfn.CONCAT(D235, " / ", E235)</f>
        <v>effortless-entity-framework / VerificationOutcomes</v>
      </c>
      <c r="C235" s="3" t="s">
        <v>14074</v>
      </c>
      <c r="D235" s="3" t="s">
        <v>14047</v>
      </c>
      <c r="E235" s="3" t="s">
        <v>4337</v>
      </c>
      <c r="F235" s="3">
        <v>4</v>
      </c>
      <c r="G235" s="3">
        <v>18</v>
      </c>
      <c r="H235" s="3">
        <v>72</v>
      </c>
      <c r="I235" s="3">
        <v>72</v>
      </c>
      <c r="J235" s="3" t="b">
        <v>0</v>
      </c>
      <c r="K235" s="4">
        <f>H235 - I235</f>
        <v>0</v>
      </c>
      <c r="L235" s="4">
        <f>IF(((H235 = 0)=TRUE),  0,  ROUND(100 * I235 / H235, 2))</f>
        <v>100</v>
      </c>
      <c r="M235" s="4" t="b">
        <f>K235 = 0</f>
        <v>1</v>
      </c>
      <c r="N235" s="4" t="str">
        <f>IF(((M235)=TRUE),  "",  D235)</f>
      </c>
      <c r="O235" s="4" t="str">
        <f>IF(((M235)=TRUE),  "",  E235)</f>
      </c>
      <c r="P235" s="4">
        <f>COUNTIFS(FieldDisagreements!E2:E50, A235)</f>
        <v>0</v>
      </c>
      <c r="Q235" s="4" t="str">
        <f>_xlfn.IFNA(IF(((INDEX(ConformanceSubstrates!C2:C9, MATCH(D235,ConformanceSubstrates!A2:A9, 0))="")=TRUE),  "",  INDEX(ConformanceSubstrates!C2:C9, MATCH(D235,ConformanceSubstrates!A2:A9, 0))), "")</f>
        <v>C# / Entity Framework</v>
      </c>
      <c r="R235" s="4" t="str">
        <f>_xlfn.IFNA(IF(((INDEX(RulebookTables!F2:F93, MATCH(E235,RulebookTables!A2:A93, 0))="")=TRUE),  "",  INDEX(RulebookTables!F2:F93, MATCH(E235,RulebookTables!A2:A93, 0))), "")</f>
        <v>execution</v>
      </c>
      <c r="S235" s="3" t="s">
        <v>1918</v>
      </c>
    </row>
    <row r="236">
      <c r="A236" s="3" t="s">
        <v>14339</v>
      </c>
      <c r="B236" s="4" t="str">
        <f>_xlfn.CONCAT(D236, " / ", E236)</f>
        <v>effortless-entity-framework / ObservedTransitions</v>
      </c>
      <c r="C236" s="3" t="s">
        <v>14074</v>
      </c>
      <c r="D236" s="3" t="s">
        <v>14047</v>
      </c>
      <c r="E236" s="3" t="s">
        <v>4398</v>
      </c>
      <c r="F236" s="3">
        <v>10</v>
      </c>
      <c r="G236" s="3">
        <v>1</v>
      </c>
      <c r="H236" s="3">
        <v>10</v>
      </c>
      <c r="I236" s="3">
        <v>10</v>
      </c>
      <c r="J236" s="3" t="b">
        <v>0</v>
      </c>
      <c r="K236" s="4">
        <f>H236 - I236</f>
        <v>0</v>
      </c>
      <c r="L236" s="4">
        <f>IF(((H236 = 0)=TRUE),  0,  ROUND(100 * I236 / H236, 2))</f>
        <v>100</v>
      </c>
      <c r="M236" s="4" t="b">
        <f>K236 = 0</f>
        <v>1</v>
      </c>
      <c r="N236" s="4" t="str">
        <f>IF(((M236)=TRUE),  "",  D236)</f>
      </c>
      <c r="O236" s="4" t="str">
        <f>IF(((M236)=TRUE),  "",  E236)</f>
      </c>
      <c r="P236" s="4">
        <f>COUNTIFS(FieldDisagreements!E2:E50, A236)</f>
        <v>0</v>
      </c>
      <c r="Q236" s="4" t="str">
        <f>_xlfn.IFNA(IF(((INDEX(ConformanceSubstrates!C2:C9, MATCH(D236,ConformanceSubstrates!A2:A9, 0))="")=TRUE),  "",  INDEX(ConformanceSubstrates!C2:C9, MATCH(D236,ConformanceSubstrates!A2:A9, 0))), "")</f>
        <v>C# / Entity Framework</v>
      </c>
      <c r="R236" s="4" t="str">
        <f>_xlfn.IFNA(IF(((INDEX(RulebookTables!F2:F93, MATCH(E236,RulebookTables!A2:A93, 0))="")=TRUE),  "",  INDEX(RulebookTables!F2:F93, MATCH(E236,RulebookTables!A2:A93, 0))), "")</f>
        <v>specification</v>
      </c>
      <c r="S236" s="3" t="s">
        <v>1918</v>
      </c>
    </row>
    <row r="237">
      <c r="A237" s="3" t="s">
        <v>14340</v>
      </c>
      <c r="B237" s="4" t="str">
        <f>_xlfn.CONCAT(D237, " / ", E237)</f>
        <v>effortless-entity-framework / Recipients</v>
      </c>
      <c r="C237" s="3" t="s">
        <v>14074</v>
      </c>
      <c r="D237" s="3" t="s">
        <v>14047</v>
      </c>
      <c r="E237" s="3" t="s">
        <v>4412</v>
      </c>
      <c r="F237" s="3">
        <v>5</v>
      </c>
      <c r="G237" s="3">
        <v>6</v>
      </c>
      <c r="H237" s="3">
        <v>30</v>
      </c>
      <c r="I237" s="3">
        <v>30</v>
      </c>
      <c r="J237" s="3" t="b">
        <v>0</v>
      </c>
      <c r="K237" s="4">
        <f>H237 - I237</f>
        <v>0</v>
      </c>
      <c r="L237" s="4">
        <f>IF(((H237 = 0)=TRUE),  0,  ROUND(100 * I237 / H237, 2))</f>
        <v>100</v>
      </c>
      <c r="M237" s="4" t="b">
        <f>K237 = 0</f>
        <v>1</v>
      </c>
      <c r="N237" s="4" t="str">
        <f>IF(((M237)=TRUE),  "",  D237)</f>
      </c>
      <c r="O237" s="4" t="str">
        <f>IF(((M237)=TRUE),  "",  E237)</f>
      </c>
      <c r="P237" s="4">
        <f>COUNTIFS(FieldDisagreements!E2:E50, A237)</f>
        <v>0</v>
      </c>
      <c r="Q237" s="4" t="str">
        <f>_xlfn.IFNA(IF(((INDEX(ConformanceSubstrates!C2:C9, MATCH(D237,ConformanceSubstrates!A2:A9, 0))="")=TRUE),  "",  INDEX(ConformanceSubstrates!C2:C9, MATCH(D237,ConformanceSubstrates!A2:A9, 0))), "")</f>
        <v>C# / Entity Framework</v>
      </c>
      <c r="R237" s="4" t="str">
        <f>_xlfn.IFNA(IF(((INDEX(RulebookTables!F2:F93, MATCH(E237,RulebookTables!A2:A93, 0))="")=TRUE),  "",  INDEX(RulebookTables!F2:F93, MATCH(E237,RulebookTables!A2:A93, 0))), "")</f>
        <v>communication</v>
      </c>
      <c r="S237" s="3" t="s">
        <v>1918</v>
      </c>
    </row>
    <row r="238">
      <c r="A238" s="3" t="s">
        <v>14341</v>
      </c>
      <c r="B238" s="4" t="str">
        <f>_xlfn.CONCAT(D238, " / ", E238)</f>
        <v>effortless-entity-framework / MessageDeliveries</v>
      </c>
      <c r="C238" s="3" t="s">
        <v>14074</v>
      </c>
      <c r="D238" s="3" t="s">
        <v>14047</v>
      </c>
      <c r="E238" s="3" t="s">
        <v>4444</v>
      </c>
      <c r="F238" s="3">
        <v>6</v>
      </c>
      <c r="G238" s="3">
        <v>74</v>
      </c>
      <c r="H238" s="3">
        <v>444</v>
      </c>
      <c r="I238" s="3">
        <v>444</v>
      </c>
      <c r="J238" s="3" t="b">
        <v>0</v>
      </c>
      <c r="K238" s="4">
        <f>H238 - I238</f>
        <v>0</v>
      </c>
      <c r="L238" s="4">
        <f>IF(((H238 = 0)=TRUE),  0,  ROUND(100 * I238 / H238, 2))</f>
        <v>100</v>
      </c>
      <c r="M238" s="4" t="b">
        <f>K238 = 0</f>
        <v>1</v>
      </c>
      <c r="N238" s="4" t="str">
        <f>IF(((M238)=TRUE),  "",  D238)</f>
      </c>
      <c r="O238" s="4" t="str">
        <f>IF(((M238)=TRUE),  "",  E238)</f>
      </c>
      <c r="P238" s="4">
        <f>COUNTIFS(FieldDisagreements!E2:E50, A238)</f>
        <v>0</v>
      </c>
      <c r="Q238" s="4" t="str">
        <f>_xlfn.IFNA(IF(((INDEX(ConformanceSubstrates!C2:C9, MATCH(D238,ConformanceSubstrates!A2:A9, 0))="")=TRUE),  "",  INDEX(ConformanceSubstrates!C2:C9, MATCH(D238,ConformanceSubstrates!A2:A9, 0))), "")</f>
        <v>C# / Entity Framework</v>
      </c>
      <c r="R238" s="4" t="str">
        <f>_xlfn.IFNA(IF(((INDEX(RulebookTables!F2:F93, MATCH(E238,RulebookTables!A2:A93, 0))="")=TRUE),  "",  INDEX(RulebookTables!F2:F93, MATCH(E238,RulebookTables!A2:A93, 0))), "")</f>
        <v>communication</v>
      </c>
      <c r="S238" s="3" t="s">
        <v>1918</v>
      </c>
    </row>
    <row r="239">
      <c r="A239" s="3" t="s">
        <v>14342</v>
      </c>
      <c r="B239" s="4" t="str">
        <f>_xlfn.CONCAT(D239, " / ", E239)</f>
        <v>effortless-entity-framework / TemplateApprovals</v>
      </c>
      <c r="C239" s="3" t="s">
        <v>14074</v>
      </c>
      <c r="D239" s="3" t="s">
        <v>14047</v>
      </c>
      <c r="E239" s="3" t="s">
        <v>4698</v>
      </c>
      <c r="F239" s="3">
        <v>2</v>
      </c>
      <c r="G239" s="3">
        <v>6</v>
      </c>
      <c r="H239" s="3">
        <v>12</v>
      </c>
      <c r="I239" s="3">
        <v>12</v>
      </c>
      <c r="J239" s="3" t="b">
        <v>0</v>
      </c>
      <c r="K239" s="4">
        <f>H239 - I239</f>
        <v>0</v>
      </c>
      <c r="L239" s="4">
        <f>IF(((H239 = 0)=TRUE),  0,  ROUND(100 * I239 / H239, 2))</f>
        <v>100</v>
      </c>
      <c r="M239" s="4" t="b">
        <f>K239 = 0</f>
        <v>1</v>
      </c>
      <c r="N239" s="4" t="str">
        <f>IF(((M239)=TRUE),  "",  D239)</f>
      </c>
      <c r="O239" s="4" t="str">
        <f>IF(((M239)=TRUE),  "",  E239)</f>
      </c>
      <c r="P239" s="4">
        <f>COUNTIFS(FieldDisagreements!E2:E50, A239)</f>
        <v>0</v>
      </c>
      <c r="Q239" s="4" t="str">
        <f>_xlfn.IFNA(IF(((INDEX(ConformanceSubstrates!C2:C9, MATCH(D239,ConformanceSubstrates!A2:A9, 0))="")=TRUE),  "",  INDEX(ConformanceSubstrates!C2:C9, MATCH(D239,ConformanceSubstrates!A2:A9, 0))), "")</f>
        <v>C# / Entity Framework</v>
      </c>
      <c r="R239" s="4" t="str">
        <f>_xlfn.IFNA(IF(((INDEX(RulebookTables!F2:F93, MATCH(E239,RulebookTables!A2:A93, 0))="")=TRUE),  "",  INDEX(RulebookTables!F2:F93, MATCH(E239,RulebookTables!A2:A93, 0))), "")</f>
        <v>communication</v>
      </c>
      <c r="S239" s="3" t="s">
        <v>1918</v>
      </c>
    </row>
    <row r="240">
      <c r="A240" s="3" t="s">
        <v>14343</v>
      </c>
      <c r="B240" s="4" t="str">
        <f>_xlfn.CONCAT(D240, " / ", E240)</f>
        <v>effortless-entity-framework / SendIntents</v>
      </c>
      <c r="C240" s="3" t="s">
        <v>14074</v>
      </c>
      <c r="D240" s="3" t="s">
        <v>14047</v>
      </c>
      <c r="E240" s="3" t="s">
        <v>4728</v>
      </c>
      <c r="F240" s="3">
        <v>7</v>
      </c>
      <c r="G240" s="3">
        <v>79</v>
      </c>
      <c r="H240" s="3">
        <v>553</v>
      </c>
      <c r="I240" s="3">
        <v>553</v>
      </c>
      <c r="J240" s="3" t="b">
        <v>0</v>
      </c>
      <c r="K240" s="4">
        <f>H240 - I240</f>
        <v>0</v>
      </c>
      <c r="L240" s="4">
        <f>IF(((H240 = 0)=TRUE),  0,  ROUND(100 * I240 / H240, 2))</f>
        <v>100</v>
      </c>
      <c r="M240" s="4" t="b">
        <f>K240 = 0</f>
        <v>1</v>
      </c>
      <c r="N240" s="4" t="str">
        <f>IF(((M240)=TRUE),  "",  D240)</f>
      </c>
      <c r="O240" s="4" t="str">
        <f>IF(((M240)=TRUE),  "",  E240)</f>
      </c>
      <c r="P240" s="4">
        <f>COUNTIFS(FieldDisagreements!E2:E50, A240)</f>
        <v>0</v>
      </c>
      <c r="Q240" s="4" t="str">
        <f>_xlfn.IFNA(IF(((INDEX(ConformanceSubstrates!C2:C9, MATCH(D240,ConformanceSubstrates!A2:A9, 0))="")=TRUE),  "",  INDEX(ConformanceSubstrates!C2:C9, MATCH(D240,ConformanceSubstrates!A2:A9, 0))), "")</f>
        <v>C# / Entity Framework</v>
      </c>
      <c r="R240" s="4" t="str">
        <f>_xlfn.IFNA(IF(((INDEX(RulebookTables!F2:F93, MATCH(E240,RulebookTables!A2:A93, 0))="")=TRUE),  "",  INDEX(RulebookTables!F2:F93, MATCH(E240,RulebookTables!A2:A93, 0))), "")</f>
        <v>communication</v>
      </c>
      <c r="S240" s="3" t="s">
        <v>1918</v>
      </c>
    </row>
    <row r="241">
      <c r="A241" s="3" t="s">
        <v>14344</v>
      </c>
      <c r="B241" s="4" t="str">
        <f>_xlfn.CONCAT(D241, " / ", E241)</f>
        <v>effortless-entity-framework / AgentDecisionRecords</v>
      </c>
      <c r="C241" s="3" t="s">
        <v>14074</v>
      </c>
      <c r="D241" s="3" t="s">
        <v>14047</v>
      </c>
      <c r="E241" s="3" t="s">
        <v>4994</v>
      </c>
      <c r="F241" s="3">
        <v>3</v>
      </c>
      <c r="G241" s="3">
        <v>27</v>
      </c>
      <c r="H241" s="3">
        <v>81</v>
      </c>
      <c r="I241" s="3">
        <v>81</v>
      </c>
      <c r="J241" s="3" t="b">
        <v>0</v>
      </c>
      <c r="K241" s="4">
        <f>H241 - I241</f>
        <v>0</v>
      </c>
      <c r="L241" s="4">
        <f>IF(((H241 = 0)=TRUE),  0,  ROUND(100 * I241 / H241, 2))</f>
        <v>100</v>
      </c>
      <c r="M241" s="4" t="b">
        <f>K241 = 0</f>
        <v>1</v>
      </c>
      <c r="N241" s="4" t="str">
        <f>IF(((M241)=TRUE),  "",  D241)</f>
      </c>
      <c r="O241" s="4" t="str">
        <f>IF(((M241)=TRUE),  "",  E241)</f>
      </c>
      <c r="P241" s="4">
        <f>COUNTIFS(FieldDisagreements!E2:E50, A241)</f>
        <v>0</v>
      </c>
      <c r="Q241" s="4" t="str">
        <f>_xlfn.IFNA(IF(((INDEX(ConformanceSubstrates!C2:C9, MATCH(D241,ConformanceSubstrates!A2:A9, 0))="")=TRUE),  "",  INDEX(ConformanceSubstrates!C2:C9, MATCH(D241,ConformanceSubstrates!A2:A9, 0))), "")</f>
        <v>C# / Entity Framework</v>
      </c>
      <c r="R241" s="4" t="str">
        <f>_xlfn.IFNA(IF(((INDEX(RulebookTables!F2:F93, MATCH(E241,RulebookTables!A2:A93, 0))="")=TRUE),  "",  INDEX(RulebookTables!F2:F93, MATCH(E241,RulebookTables!A2:A93, 0))), "")</f>
        <v>org</v>
      </c>
      <c r="S241" s="3" t="s">
        <v>1918</v>
      </c>
    </row>
    <row r="242">
      <c r="A242" s="3" t="s">
        <v>14345</v>
      </c>
      <c r="B242" s="4" t="str">
        <f>_xlfn.CONCAT(D242, " / ", E242)</f>
        <v>effortless-entity-framework / DeliveredCommunications</v>
      </c>
      <c r="C242" s="3" t="s">
        <v>14074</v>
      </c>
      <c r="D242" s="3" t="s">
        <v>14047</v>
      </c>
      <c r="E242" s="3" t="s">
        <v>5095</v>
      </c>
      <c r="F242" s="3">
        <v>1</v>
      </c>
      <c r="G242" s="3">
        <v>6</v>
      </c>
      <c r="H242" s="3">
        <v>6</v>
      </c>
      <c r="I242" s="3">
        <v>6</v>
      </c>
      <c r="J242" s="3" t="b">
        <v>0</v>
      </c>
      <c r="K242" s="4">
        <f>H242 - I242</f>
        <v>0</v>
      </c>
      <c r="L242" s="4">
        <f>IF(((H242 = 0)=TRUE),  0,  ROUND(100 * I242 / H242, 2))</f>
        <v>100</v>
      </c>
      <c r="M242" s="4" t="b">
        <f>K242 = 0</f>
        <v>1</v>
      </c>
      <c r="N242" s="4" t="str">
        <f>IF(((M242)=TRUE),  "",  D242)</f>
      </c>
      <c r="O242" s="4" t="str">
        <f>IF(((M242)=TRUE),  "",  E242)</f>
      </c>
      <c r="P242" s="4">
        <f>COUNTIFS(FieldDisagreements!E2:E50, A242)</f>
        <v>0</v>
      </c>
      <c r="Q242" s="4" t="str">
        <f>_xlfn.IFNA(IF(((INDEX(ConformanceSubstrates!C2:C9, MATCH(D242,ConformanceSubstrates!A2:A9, 0))="")=TRUE),  "",  INDEX(ConformanceSubstrates!C2:C9, MATCH(D242,ConformanceSubstrates!A2:A9, 0))), "")</f>
        <v>C# / Entity Framework</v>
      </c>
      <c r="R242" s="4" t="str">
        <f>_xlfn.IFNA(IF(((INDEX(RulebookTables!F2:F93, MATCH(E242,RulebookTables!A2:A93, 0))="")=TRUE),  "",  INDEX(RulebookTables!F2:F93, MATCH(E242,RulebookTables!A2:A93, 0))), "")</f>
        <v>communication</v>
      </c>
      <c r="S242" s="3" t="s">
        <v>1918</v>
      </c>
    </row>
    <row r="243">
      <c r="A243" s="3" t="s">
        <v>14346</v>
      </c>
      <c r="B243" s="4" t="str">
        <f>_xlfn.CONCAT(D243, " / ", E243)</f>
        <v>effortless-entity-framework / AuthorityBoundaries</v>
      </c>
      <c r="C243" s="3" t="s">
        <v>14074</v>
      </c>
      <c r="D243" s="3" t="s">
        <v>14047</v>
      </c>
      <c r="E243" s="3" t="s">
        <v>5131</v>
      </c>
      <c r="F243" s="3">
        <v>3</v>
      </c>
      <c r="G243" s="3">
        <v>21</v>
      </c>
      <c r="H243" s="3">
        <v>63</v>
      </c>
      <c r="I243" s="3">
        <v>63</v>
      </c>
      <c r="J243" s="3" t="b">
        <v>0</v>
      </c>
      <c r="K243" s="4">
        <f>H243 - I243</f>
        <v>0</v>
      </c>
      <c r="L243" s="4">
        <f>IF(((H243 = 0)=TRUE),  0,  ROUND(100 * I243 / H243, 2))</f>
        <v>100</v>
      </c>
      <c r="M243" s="4" t="b">
        <f>K243 = 0</f>
        <v>1</v>
      </c>
      <c r="N243" s="4" t="str">
        <f>IF(((M243)=TRUE),  "",  D243)</f>
      </c>
      <c r="O243" s="4" t="str">
        <f>IF(((M243)=TRUE),  "",  E243)</f>
      </c>
      <c r="P243" s="4">
        <f>COUNTIFS(FieldDisagreements!E2:E50, A243)</f>
        <v>0</v>
      </c>
      <c r="Q243" s="4" t="str">
        <f>_xlfn.IFNA(IF(((INDEX(ConformanceSubstrates!C2:C9, MATCH(D243,ConformanceSubstrates!A2:A9, 0))="")=TRUE),  "",  INDEX(ConformanceSubstrates!C2:C9, MATCH(D243,ConformanceSubstrates!A2:A9, 0))), "")</f>
        <v>C# / Entity Framework</v>
      </c>
      <c r="R243" s="4" t="str">
        <f>_xlfn.IFNA(IF(((INDEX(RulebookTables!F2:F93, MATCH(E243,RulebookTables!A2:A93, 0))="")=TRUE),  "",  INDEX(RulebookTables!F2:F93, MATCH(E243,RulebookTables!A2:A93, 0))), "")</f>
        <v>governance</v>
      </c>
      <c r="S243" s="3" t="s">
        <v>1918</v>
      </c>
    </row>
    <row r="244">
      <c r="A244" s="3" t="s">
        <v>14347</v>
      </c>
      <c r="B244" s="4" t="str">
        <f>_xlfn.CONCAT(D244, " / ", E244)</f>
        <v>effortless-entity-framework / AppRoleProfiles</v>
      </c>
      <c r="C244" s="3" t="s">
        <v>14074</v>
      </c>
      <c r="D244" s="3" t="s">
        <v>14047</v>
      </c>
      <c r="E244" s="3" t="s">
        <v>1869</v>
      </c>
      <c r="F244" s="3">
        <v>12</v>
      </c>
      <c r="G244" s="3">
        <v>2</v>
      </c>
      <c r="H244" s="3">
        <v>24</v>
      </c>
      <c r="I244" s="3">
        <v>24</v>
      </c>
      <c r="J244" s="3" t="b">
        <v>0</v>
      </c>
      <c r="K244" s="4">
        <f>H244 - I244</f>
        <v>0</v>
      </c>
      <c r="L244" s="4">
        <f>IF(((H244 = 0)=TRUE),  0,  ROUND(100 * I244 / H244, 2))</f>
        <v>100</v>
      </c>
      <c r="M244" s="4" t="b">
        <f>K244 = 0</f>
        <v>1</v>
      </c>
      <c r="N244" s="4" t="str">
        <f>IF(((M244)=TRUE),  "",  D244)</f>
      </c>
      <c r="O244" s="4" t="str">
        <f>IF(((M244)=TRUE),  "",  E244)</f>
      </c>
      <c r="P244" s="4">
        <f>COUNTIFS(FieldDisagreements!E2:E50, A244)</f>
        <v>0</v>
      </c>
      <c r="Q244" s="4" t="str">
        <f>_xlfn.IFNA(IF(((INDEX(ConformanceSubstrates!C2:C9, MATCH(D244,ConformanceSubstrates!A2:A9, 0))="")=TRUE),  "",  INDEX(ConformanceSubstrates!C2:C9, MATCH(D244,ConformanceSubstrates!A2:A9, 0))), "")</f>
        <v>C# / Entity Framework</v>
      </c>
      <c r="R244" s="4" t="str">
        <f>_xlfn.IFNA(IF(((INDEX(RulebookTables!F2:F93, MATCH(E244,RulebookTables!A2:A93, 0))="")=TRUE),  "",  INDEX(RulebookTables!F2:F93, MATCH(E244,RulebookTables!A2:A93, 0))), "")</f>
        <v>org</v>
      </c>
      <c r="S244" s="3" t="s">
        <v>1918</v>
      </c>
    </row>
    <row r="245">
      <c r="A245" s="3" t="s">
        <v>14348</v>
      </c>
      <c r="B245" s="4" t="str">
        <f>_xlfn.CONCAT(D245, " / ", E245)</f>
        <v>effortless-entity-framework / AppNavGroups</v>
      </c>
      <c r="C245" s="3" t="s">
        <v>14074</v>
      </c>
      <c r="D245" s="3" t="s">
        <v>14047</v>
      </c>
      <c r="E245" s="3" t="s">
        <v>1873</v>
      </c>
      <c r="F245" s="3">
        <v>23</v>
      </c>
      <c r="G245" s="3">
        <v>2</v>
      </c>
      <c r="H245" s="3">
        <v>46</v>
      </c>
      <c r="I245" s="3">
        <v>46</v>
      </c>
      <c r="J245" s="3" t="b">
        <v>0</v>
      </c>
      <c r="K245" s="4">
        <f>H245 - I245</f>
        <v>0</v>
      </c>
      <c r="L245" s="4">
        <f>IF(((H245 = 0)=TRUE),  0,  ROUND(100 * I245 / H245, 2))</f>
        <v>100</v>
      </c>
      <c r="M245" s="4" t="b">
        <f>K245 = 0</f>
        <v>1</v>
      </c>
      <c r="N245" s="4" t="str">
        <f>IF(((M245)=TRUE),  "",  D245)</f>
      </c>
      <c r="O245" s="4" t="str">
        <f>IF(((M245)=TRUE),  "",  E245)</f>
      </c>
      <c r="P245" s="4">
        <f>COUNTIFS(FieldDisagreements!E2:E50, A245)</f>
        <v>0</v>
      </c>
      <c r="Q245" s="4" t="str">
        <f>_xlfn.IFNA(IF(((INDEX(ConformanceSubstrates!C2:C9, MATCH(D245,ConformanceSubstrates!A2:A9, 0))="")=TRUE),  "",  INDEX(ConformanceSubstrates!C2:C9, MATCH(D245,ConformanceSubstrates!A2:A9, 0))), "")</f>
        <v>C# / Entity Framework</v>
      </c>
      <c r="R245" s="4" t="str">
        <f>_xlfn.IFNA(IF(((INDEX(RulebookTables!F2:F93, MATCH(E245,RulebookTables!A2:A93, 0))="")=TRUE),  "",  INDEX(RulebookTables!F2:F93, MATCH(E245,RulebookTables!A2:A93, 0))), "")</f>
        <v>application</v>
      </c>
      <c r="S245" s="3" t="s">
        <v>1918</v>
      </c>
    </row>
    <row r="246">
      <c r="A246" s="3" t="s">
        <v>14349</v>
      </c>
      <c r="B246" s="4" t="str">
        <f>_xlfn.CONCAT(D246, " / ", E246)</f>
        <v>effortless-entity-framework / AppRoutes</v>
      </c>
      <c r="C246" s="3" t="s">
        <v>14074</v>
      </c>
      <c r="D246" s="3" t="s">
        <v>14047</v>
      </c>
      <c r="E246" s="3" t="s">
        <v>1877</v>
      </c>
      <c r="F246" s="3">
        <v>149</v>
      </c>
      <c r="G246" s="3">
        <v>7</v>
      </c>
      <c r="H246" s="3">
        <v>1043</v>
      </c>
      <c r="I246" s="3">
        <v>1043</v>
      </c>
      <c r="J246" s="3" t="b">
        <v>0</v>
      </c>
      <c r="K246" s="4">
        <f>H246 - I246</f>
        <v>0</v>
      </c>
      <c r="L246" s="4">
        <f>IF(((H246 = 0)=TRUE),  0,  ROUND(100 * I246 / H246, 2))</f>
        <v>100</v>
      </c>
      <c r="M246" s="4" t="b">
        <f>K246 = 0</f>
        <v>1</v>
      </c>
      <c r="N246" s="4" t="str">
        <f>IF(((M246)=TRUE),  "",  D246)</f>
      </c>
      <c r="O246" s="4" t="str">
        <f>IF(((M246)=TRUE),  "",  E246)</f>
      </c>
      <c r="P246" s="4">
        <f>COUNTIFS(FieldDisagreements!E2:E50, A246)</f>
        <v>0</v>
      </c>
      <c r="Q246" s="4" t="str">
        <f>_xlfn.IFNA(IF(((INDEX(ConformanceSubstrates!C2:C9, MATCH(D246,ConformanceSubstrates!A2:A9, 0))="")=TRUE),  "",  INDEX(ConformanceSubstrates!C2:C9, MATCH(D246,ConformanceSubstrates!A2:A9, 0))), "")</f>
        <v>C# / Entity Framework</v>
      </c>
      <c r="R246" s="4" t="str">
        <f>_xlfn.IFNA(IF(((INDEX(RulebookTables!F2:F93, MATCH(E246,RulebookTables!A2:A93, 0))="")=TRUE),  "",  INDEX(RulebookTables!F2:F93, MATCH(E246,RulebookTables!A2:A93, 0))), "")</f>
        <v>application</v>
      </c>
      <c r="S246" s="3" t="s">
        <v>1918</v>
      </c>
    </row>
    <row r="247">
      <c r="A247" s="3" t="s">
        <v>14350</v>
      </c>
      <c r="B247" s="4" t="str">
        <f>_xlfn.CONCAT(D247, " / ", E247)</f>
        <v>effortless-entity-framework / AppRouteQuestions</v>
      </c>
      <c r="C247" s="3" t="s">
        <v>14074</v>
      </c>
      <c r="D247" s="3" t="s">
        <v>14047</v>
      </c>
      <c r="E247" s="3" t="s">
        <v>1881</v>
      </c>
      <c r="F247" s="3">
        <v>151</v>
      </c>
      <c r="G247" s="3">
        <v>1</v>
      </c>
      <c r="H247" s="3">
        <v>151</v>
      </c>
      <c r="I247" s="3">
        <v>151</v>
      </c>
      <c r="J247" s="3" t="b">
        <v>0</v>
      </c>
      <c r="K247" s="4">
        <f>H247 - I247</f>
        <v>0</v>
      </c>
      <c r="L247" s="4">
        <f>IF(((H247 = 0)=TRUE),  0,  ROUND(100 * I247 / H247, 2))</f>
        <v>100</v>
      </c>
      <c r="M247" s="4" t="b">
        <f>K247 = 0</f>
        <v>1</v>
      </c>
      <c r="N247" s="4" t="str">
        <f>IF(((M247)=TRUE),  "",  D247)</f>
      </c>
      <c r="O247" s="4" t="str">
        <f>IF(((M247)=TRUE),  "",  E247)</f>
      </c>
      <c r="P247" s="4">
        <f>COUNTIFS(FieldDisagreements!E2:E50, A247)</f>
        <v>0</v>
      </c>
      <c r="Q247" s="4" t="str">
        <f>_xlfn.IFNA(IF(((INDEX(ConformanceSubstrates!C2:C9, MATCH(D247,ConformanceSubstrates!A2:A9, 0))="")=TRUE),  "",  INDEX(ConformanceSubstrates!C2:C9, MATCH(D247,ConformanceSubstrates!A2:A9, 0))), "")</f>
        <v>C# / Entity Framework</v>
      </c>
      <c r="R247" s="4" t="str">
        <f>_xlfn.IFNA(IF(((INDEX(RulebookTables!F2:F93, MATCH(E247,RulebookTables!A2:A93, 0))="")=TRUE),  "",  INDEX(RulebookTables!F2:F93, MATCH(E247,RulebookTables!A2:A93, 0))), "")</f>
        <v>application</v>
      </c>
      <c r="S247" s="3" t="s">
        <v>1918</v>
      </c>
    </row>
    <row r="248">
      <c r="A248" s="3" t="s">
        <v>14351</v>
      </c>
      <c r="B248" s="4" t="str">
        <f>_xlfn.CONCAT(D248, " / ", E248)</f>
        <v>effortless-entity-framework / AppRouteReferences</v>
      </c>
      <c r="C248" s="3" t="s">
        <v>14074</v>
      </c>
      <c r="D248" s="3" t="s">
        <v>14047</v>
      </c>
      <c r="E248" s="3" t="s">
        <v>1885</v>
      </c>
      <c r="F248" s="3">
        <v>315</v>
      </c>
      <c r="G248" s="3">
        <v>1</v>
      </c>
      <c r="H248" s="3">
        <v>315</v>
      </c>
      <c r="I248" s="3">
        <v>315</v>
      </c>
      <c r="J248" s="3" t="b">
        <v>0</v>
      </c>
      <c r="K248" s="4">
        <f>H248 - I248</f>
        <v>0</v>
      </c>
      <c r="L248" s="4">
        <f>IF(((H248 = 0)=TRUE),  0,  ROUND(100 * I248 / H248, 2))</f>
        <v>100</v>
      </c>
      <c r="M248" s="4" t="b">
        <f>K248 = 0</f>
        <v>1</v>
      </c>
      <c r="N248" s="4" t="str">
        <f>IF(((M248)=TRUE),  "",  D248)</f>
      </c>
      <c r="O248" s="4" t="str">
        <f>IF(((M248)=TRUE),  "",  E248)</f>
      </c>
      <c r="P248" s="4">
        <f>COUNTIFS(FieldDisagreements!E2:E50, A248)</f>
        <v>0</v>
      </c>
      <c r="Q248" s="4" t="str">
        <f>_xlfn.IFNA(IF(((INDEX(ConformanceSubstrates!C2:C9, MATCH(D248,ConformanceSubstrates!A2:A9, 0))="")=TRUE),  "",  INDEX(ConformanceSubstrates!C2:C9, MATCH(D248,ConformanceSubstrates!A2:A9, 0))), "")</f>
        <v>C# / Entity Framework</v>
      </c>
      <c r="R248" s="4" t="str">
        <f>_xlfn.IFNA(IF(((INDEX(RulebookTables!F2:F93, MATCH(E248,RulebookTables!A2:A93, 0))="")=TRUE),  "",  INDEX(RulebookTables!F2:F93, MATCH(E248,RulebookTables!A2:A93, 0))), "")</f>
        <v>application</v>
      </c>
      <c r="S248" s="3" t="s">
        <v>1918</v>
      </c>
    </row>
    <row r="249">
      <c r="A249" s="3" t="s">
        <v>14352</v>
      </c>
      <c r="B249" s="4" t="str">
        <f>_xlfn.CONCAT(D249, " / ", E249)</f>
        <v>effortless-entity-framework / RulebookTables</v>
      </c>
      <c r="C249" s="3" t="s">
        <v>14074</v>
      </c>
      <c r="D249" s="3" t="s">
        <v>14047</v>
      </c>
      <c r="E249" s="3" t="s">
        <v>5352</v>
      </c>
      <c r="F249" s="3">
        <v>92</v>
      </c>
      <c r="G249" s="3">
        <v>5</v>
      </c>
      <c r="H249" s="3">
        <v>460</v>
      </c>
      <c r="I249" s="3">
        <v>460</v>
      </c>
      <c r="J249" s="3" t="b">
        <v>0</v>
      </c>
      <c r="K249" s="4">
        <f>H249 - I249</f>
        <v>0</v>
      </c>
      <c r="L249" s="4">
        <f>IF(((H249 = 0)=TRUE),  0,  ROUND(100 * I249 / H249, 2))</f>
        <v>100</v>
      </c>
      <c r="M249" s="4" t="b">
        <f>K249 = 0</f>
        <v>1</v>
      </c>
      <c r="N249" s="4" t="str">
        <f>IF(((M249)=TRUE),  "",  D249)</f>
      </c>
      <c r="O249" s="4" t="str">
        <f>IF(((M249)=TRUE),  "",  E249)</f>
      </c>
      <c r="P249" s="4">
        <f>COUNTIFS(FieldDisagreements!E2:E50, A249)</f>
        <v>0</v>
      </c>
      <c r="Q249" s="4" t="str">
        <f>_xlfn.IFNA(IF(((INDEX(ConformanceSubstrates!C2:C9, MATCH(D249,ConformanceSubstrates!A2:A9, 0))="")=TRUE),  "",  INDEX(ConformanceSubstrates!C2:C9, MATCH(D249,ConformanceSubstrates!A2:A9, 0))), "")</f>
        <v>C# / Entity Framework</v>
      </c>
      <c r="R249" s="4" t="str">
        <f>_xlfn.IFNA(IF(((INDEX(RulebookTables!F2:F93, MATCH(E249,RulebookTables!A2:A93, 0))="")=TRUE),  "",  INDEX(RulebookTables!F2:F93, MATCH(E249,RulebookTables!A2:A93, 0))), "")</f>
        <v>meta</v>
      </c>
      <c r="S249" s="3" t="s">
        <v>1918</v>
      </c>
    </row>
    <row r="250">
      <c r="A250" s="3" t="s">
        <v>14353</v>
      </c>
      <c r="B250" s="4" t="str">
        <f>_xlfn.CONCAT(D250, " / ", E250)</f>
        <v>effortless-entity-framework / AccessPrincipals</v>
      </c>
      <c r="C250" s="3" t="s">
        <v>14074</v>
      </c>
      <c r="D250" s="3" t="s">
        <v>14047</v>
      </c>
      <c r="E250" s="3" t="s">
        <v>5379</v>
      </c>
      <c r="F250" s="3">
        <v>12</v>
      </c>
      <c r="G250" s="3">
        <v>8</v>
      </c>
      <c r="H250" s="3">
        <v>96</v>
      </c>
      <c r="I250" s="3">
        <v>96</v>
      </c>
      <c r="J250" s="3" t="b">
        <v>0</v>
      </c>
      <c r="K250" s="4">
        <f>H250 - I250</f>
        <v>0</v>
      </c>
      <c r="L250" s="4">
        <f>IF(((H250 = 0)=TRUE),  0,  ROUND(100 * I250 / H250, 2))</f>
        <v>100</v>
      </c>
      <c r="M250" s="4" t="b">
        <f>K250 = 0</f>
        <v>1</v>
      </c>
      <c r="N250" s="4" t="str">
        <f>IF(((M250)=TRUE),  "",  D250)</f>
      </c>
      <c r="O250" s="4" t="str">
        <f>IF(((M250)=TRUE),  "",  E250)</f>
      </c>
      <c r="P250" s="4">
        <f>COUNTIFS(FieldDisagreements!E2:E50, A250)</f>
        <v>0</v>
      </c>
      <c r="Q250" s="4" t="str">
        <f>_xlfn.IFNA(IF(((INDEX(ConformanceSubstrates!C2:C9, MATCH(D250,ConformanceSubstrates!A2:A9, 0))="")=TRUE),  "",  INDEX(ConformanceSubstrates!C2:C9, MATCH(D250,ConformanceSubstrates!A2:A9, 0))), "")</f>
        <v>C# / Entity Framework</v>
      </c>
      <c r="R250" s="4" t="str">
        <f>_xlfn.IFNA(IF(((INDEX(RulebookTables!F2:F93, MATCH(E250,RulebookTables!A2:A93, 0))="")=TRUE),  "",  INDEX(RulebookTables!F2:F93, MATCH(E250,RulebookTables!A2:A93, 0))), "")</f>
        <v>access-control</v>
      </c>
      <c r="S250" s="3" t="s">
        <v>1918</v>
      </c>
    </row>
    <row r="251">
      <c r="A251" s="3" t="s">
        <v>14354</v>
      </c>
      <c r="B251" s="4" t="str">
        <f>_xlfn.CONCAT(D251, " / ", E251)</f>
        <v>effortless-entity-framework / AccessPolicies</v>
      </c>
      <c r="C251" s="3" t="s">
        <v>14074</v>
      </c>
      <c r="D251" s="3" t="s">
        <v>14047</v>
      </c>
      <c r="E251" s="3" t="s">
        <v>5412</v>
      </c>
      <c r="F251" s="3">
        <v>202</v>
      </c>
      <c r="G251" s="3">
        <v>7</v>
      </c>
      <c r="H251" s="3">
        <v>1414</v>
      </c>
      <c r="I251" s="3">
        <v>1414</v>
      </c>
      <c r="J251" s="3" t="b">
        <v>0</v>
      </c>
      <c r="K251" s="4">
        <f>H251 - I251</f>
        <v>0</v>
      </c>
      <c r="L251" s="4">
        <f>IF(((H251 = 0)=TRUE),  0,  ROUND(100 * I251 / H251, 2))</f>
        <v>100</v>
      </c>
      <c r="M251" s="4" t="b">
        <f>K251 = 0</f>
        <v>1</v>
      </c>
      <c r="N251" s="4" t="str">
        <f>IF(((M251)=TRUE),  "",  D251)</f>
      </c>
      <c r="O251" s="4" t="str">
        <f>IF(((M251)=TRUE),  "",  E251)</f>
      </c>
      <c r="P251" s="4">
        <f>COUNTIFS(FieldDisagreements!E2:E50, A251)</f>
        <v>0</v>
      </c>
      <c r="Q251" s="4" t="str">
        <f>_xlfn.IFNA(IF(((INDEX(ConformanceSubstrates!C2:C9, MATCH(D251,ConformanceSubstrates!A2:A9, 0))="")=TRUE),  "",  INDEX(ConformanceSubstrates!C2:C9, MATCH(D251,ConformanceSubstrates!A2:A9, 0))), "")</f>
        <v>C# / Entity Framework</v>
      </c>
      <c r="R251" s="4" t="str">
        <f>_xlfn.IFNA(IF(((INDEX(RulebookTables!F2:F93, MATCH(E251,RulebookTables!A2:A93, 0))="")=TRUE),  "",  INDEX(RulebookTables!F2:F93, MATCH(E251,RulebookTables!A2:A93, 0))), "")</f>
        <v>access-control</v>
      </c>
      <c r="S251" s="3" t="s">
        <v>1918</v>
      </c>
    </row>
    <row r="252">
      <c r="A252" s="3" t="s">
        <v>14355</v>
      </c>
      <c r="B252" s="4" t="str">
        <f>_xlfn.CONCAT(D252, " / ", E252)</f>
        <v>effortless-entity-framework / FieldGrants</v>
      </c>
      <c r="C252" s="3" t="s">
        <v>14074</v>
      </c>
      <c r="D252" s="3" t="s">
        <v>14047</v>
      </c>
      <c r="E252" s="3" t="s">
        <v>5448</v>
      </c>
      <c r="F252" s="3">
        <v>3639</v>
      </c>
      <c r="G252" s="3">
        <v>7</v>
      </c>
      <c r="H252" s="3">
        <v>25473</v>
      </c>
      <c r="I252" s="3">
        <v>25473</v>
      </c>
      <c r="J252" s="3" t="b">
        <v>0</v>
      </c>
      <c r="K252" s="4">
        <f>H252 - I252</f>
        <v>0</v>
      </c>
      <c r="L252" s="4">
        <f>IF(((H252 = 0)=TRUE),  0,  ROUND(100 * I252 / H252, 2))</f>
        <v>100</v>
      </c>
      <c r="M252" s="4" t="b">
        <f>K252 = 0</f>
        <v>1</v>
      </c>
      <c r="N252" s="4" t="str">
        <f>IF(((M252)=TRUE),  "",  D252)</f>
      </c>
      <c r="O252" s="4" t="str">
        <f>IF(((M252)=TRUE),  "",  E252)</f>
      </c>
      <c r="P252" s="4">
        <f>COUNTIFS(FieldDisagreements!E2:E50, A252)</f>
        <v>0</v>
      </c>
      <c r="Q252" s="4" t="str">
        <f>_xlfn.IFNA(IF(((INDEX(ConformanceSubstrates!C2:C9, MATCH(D252,ConformanceSubstrates!A2:A9, 0))="")=TRUE),  "",  INDEX(ConformanceSubstrates!C2:C9, MATCH(D252,ConformanceSubstrates!A2:A9, 0))), "")</f>
        <v>C# / Entity Framework</v>
      </c>
      <c r="R252" s="4" t="str">
        <f>_xlfn.IFNA(IF(((INDEX(RulebookTables!F2:F93, MATCH(E252,RulebookTables!A2:A93, 0))="")=TRUE),  "",  INDEX(RulebookTables!F2:F93, MATCH(E252,RulebookTables!A2:A93, 0))), "")</f>
        <v>access-control</v>
      </c>
      <c r="S252" s="3" t="s">
        <v>1918</v>
      </c>
    </row>
    <row r="253">
      <c r="A253" s="3" t="s">
        <v>14356</v>
      </c>
      <c r="B253" s="4" t="str">
        <f>_xlfn.CONCAT(D253, " / ", E253)</f>
        <v>effortless-entity-framework / RoleSchemas</v>
      </c>
      <c r="C253" s="3" t="s">
        <v>14074</v>
      </c>
      <c r="D253" s="3" t="s">
        <v>14047</v>
      </c>
      <c r="E253" s="3" t="s">
        <v>5479</v>
      </c>
      <c r="F253" s="3">
        <v>12</v>
      </c>
      <c r="G253" s="3">
        <v>4</v>
      </c>
      <c r="H253" s="3">
        <v>48</v>
      </c>
      <c r="I253" s="3">
        <v>48</v>
      </c>
      <c r="J253" s="3" t="b">
        <v>0</v>
      </c>
      <c r="K253" s="4">
        <f>H253 - I253</f>
        <v>0</v>
      </c>
      <c r="L253" s="4">
        <f>IF(((H253 = 0)=TRUE),  0,  ROUND(100 * I253 / H253, 2))</f>
        <v>100</v>
      </c>
      <c r="M253" s="4" t="b">
        <f>K253 = 0</f>
        <v>1</v>
      </c>
      <c r="N253" s="4" t="str">
        <f>IF(((M253)=TRUE),  "",  D253)</f>
      </c>
      <c r="O253" s="4" t="str">
        <f>IF(((M253)=TRUE),  "",  E253)</f>
      </c>
      <c r="P253" s="4">
        <f>COUNTIFS(FieldDisagreements!E2:E50, A253)</f>
        <v>0</v>
      </c>
      <c r="Q253" s="4" t="str">
        <f>_xlfn.IFNA(IF(((INDEX(ConformanceSubstrates!C2:C9, MATCH(D253,ConformanceSubstrates!A2:A9, 0))="")=TRUE),  "",  INDEX(ConformanceSubstrates!C2:C9, MATCH(D253,ConformanceSubstrates!A2:A9, 0))), "")</f>
        <v>C# / Entity Framework</v>
      </c>
      <c r="R253" s="4" t="str">
        <f>_xlfn.IFNA(IF(((INDEX(RulebookTables!F2:F93, MATCH(E253,RulebookTables!A2:A93, 0))="")=TRUE),  "",  INDEX(RulebookTables!F2:F93, MATCH(E253,RulebookTables!A2:A93, 0))), "")</f>
        <v>org</v>
      </c>
      <c r="S253" s="3" t="s">
        <v>1918</v>
      </c>
    </row>
    <row r="254">
      <c r="A254" s="3" t="s">
        <v>14357</v>
      </c>
      <c r="B254" s="4" t="str">
        <f>_xlfn.CONCAT(D254, " / ", E254)</f>
        <v>effortless-entity-framework / RoleSchemaViews</v>
      </c>
      <c r="C254" s="3" t="s">
        <v>14074</v>
      </c>
      <c r="D254" s="3" t="s">
        <v>14047</v>
      </c>
      <c r="E254" s="3" t="s">
        <v>5497</v>
      </c>
      <c r="F254" s="3">
        <v>202</v>
      </c>
      <c r="G254" s="3">
        <v>8</v>
      </c>
      <c r="H254" s="3">
        <v>1616</v>
      </c>
      <c r="I254" s="3">
        <v>1616</v>
      </c>
      <c r="J254" s="3" t="b">
        <v>0</v>
      </c>
      <c r="K254" s="4">
        <f>H254 - I254</f>
        <v>0</v>
      </c>
      <c r="L254" s="4">
        <f>IF(((H254 = 0)=TRUE),  0,  ROUND(100 * I254 / H254, 2))</f>
        <v>100</v>
      </c>
      <c r="M254" s="4" t="b">
        <f>K254 = 0</f>
        <v>1</v>
      </c>
      <c r="N254" s="4" t="str">
        <f>IF(((M254)=TRUE),  "",  D254)</f>
      </c>
      <c r="O254" s="4" t="str">
        <f>IF(((M254)=TRUE),  "",  E254)</f>
      </c>
      <c r="P254" s="4">
        <f>COUNTIFS(FieldDisagreements!E2:E50, A254)</f>
        <v>0</v>
      </c>
      <c r="Q254" s="4" t="str">
        <f>_xlfn.IFNA(IF(((INDEX(ConformanceSubstrates!C2:C9, MATCH(D254,ConformanceSubstrates!A2:A9, 0))="")=TRUE),  "",  INDEX(ConformanceSubstrates!C2:C9, MATCH(D254,ConformanceSubstrates!A2:A9, 0))), "")</f>
        <v>C# / Entity Framework</v>
      </c>
      <c r="R254" s="4" t="str">
        <f>_xlfn.IFNA(IF(((INDEX(RulebookTables!F2:F93, MATCH(E254,RulebookTables!A2:A93, 0))="")=TRUE),  "",  INDEX(RulebookTables!F2:F93, MATCH(E254,RulebookTables!A2:A93, 0))), "")</f>
        <v>org</v>
      </c>
      <c r="S254" s="3" t="s">
        <v>1918</v>
      </c>
    </row>
    <row r="255">
      <c r="A255" s="3" t="s">
        <v>14358</v>
      </c>
      <c r="B255" s="4" t="str">
        <f>_xlfn.CONCAT(D255, " / ", E255)</f>
        <v>effortless-entity-framework / JwtClaimMappings</v>
      </c>
      <c r="C255" s="3" t="s">
        <v>14074</v>
      </c>
      <c r="D255" s="3" t="s">
        <v>14047</v>
      </c>
      <c r="E255" s="3" t="s">
        <v>5529</v>
      </c>
      <c r="F255" s="3">
        <v>4</v>
      </c>
      <c r="G255" s="3">
        <v>2</v>
      </c>
      <c r="H255" s="3">
        <v>8</v>
      </c>
      <c r="I255" s="3">
        <v>8</v>
      </c>
      <c r="J255" s="3" t="b">
        <v>0</v>
      </c>
      <c r="K255" s="4">
        <f>H255 - I255</f>
        <v>0</v>
      </c>
      <c r="L255" s="4">
        <f>IF(((H255 = 0)=TRUE),  0,  ROUND(100 * I255 / H255, 2))</f>
        <v>100</v>
      </c>
      <c r="M255" s="4" t="b">
        <f>K255 = 0</f>
        <v>1</v>
      </c>
      <c r="N255" s="4" t="str">
        <f>IF(((M255)=TRUE),  "",  D255)</f>
      </c>
      <c r="O255" s="4" t="str">
        <f>IF(((M255)=TRUE),  "",  E255)</f>
      </c>
      <c r="P255" s="4">
        <f>COUNTIFS(FieldDisagreements!E2:E50, A255)</f>
        <v>0</v>
      </c>
      <c r="Q255" s="4" t="str">
        <f>_xlfn.IFNA(IF(((INDEX(ConformanceSubstrates!C2:C9, MATCH(D255,ConformanceSubstrates!A2:A9, 0))="")=TRUE),  "",  INDEX(ConformanceSubstrates!C2:C9, MATCH(D255,ConformanceSubstrates!A2:A9, 0))), "")</f>
        <v>C# / Entity Framework</v>
      </c>
      <c r="R255" s="4" t="str">
        <f>_xlfn.IFNA(IF(((INDEX(RulebookTables!F2:F93, MATCH(E255,RulebookTables!A2:A93, 0))="")=TRUE),  "",  INDEX(RulebookTables!F2:F93, MATCH(E255,RulebookTables!A2:A93, 0))), "")</f>
        <v>access-control</v>
      </c>
      <c r="S255" s="3" t="s">
        <v>1918</v>
      </c>
    </row>
    <row r="256">
      <c r="A256" s="3" t="s">
        <v>14359</v>
      </c>
      <c r="B256" s="4" t="str">
        <f>_xlfn.CONCAT(D256, " / ", E256)</f>
        <v>effortless-entity-framework / AccessDenialTests</v>
      </c>
      <c r="C256" s="3" t="s">
        <v>14074</v>
      </c>
      <c r="D256" s="3" t="s">
        <v>14047</v>
      </c>
      <c r="E256" s="3" t="s">
        <v>5548</v>
      </c>
      <c r="F256" s="3">
        <v>17</v>
      </c>
      <c r="G256" s="3">
        <v>6</v>
      </c>
      <c r="H256" s="3">
        <v>102</v>
      </c>
      <c r="I256" s="3">
        <v>102</v>
      </c>
      <c r="J256" s="3" t="b">
        <v>0</v>
      </c>
      <c r="K256" s="4">
        <f>H256 - I256</f>
        <v>0</v>
      </c>
      <c r="L256" s="4">
        <f>IF(((H256 = 0)=TRUE),  0,  ROUND(100 * I256 / H256, 2))</f>
        <v>100</v>
      </c>
      <c r="M256" s="4" t="b">
        <f>K256 = 0</f>
        <v>1</v>
      </c>
      <c r="N256" s="4" t="str">
        <f>IF(((M256)=TRUE),  "",  D256)</f>
      </c>
      <c r="O256" s="4" t="str">
        <f>IF(((M256)=TRUE),  "",  E256)</f>
      </c>
      <c r="P256" s="4">
        <f>COUNTIFS(FieldDisagreements!E2:E50, A256)</f>
        <v>0</v>
      </c>
      <c r="Q256" s="4" t="str">
        <f>_xlfn.IFNA(IF(((INDEX(ConformanceSubstrates!C2:C9, MATCH(D256,ConformanceSubstrates!A2:A9, 0))="")=TRUE),  "",  INDEX(ConformanceSubstrates!C2:C9, MATCH(D256,ConformanceSubstrates!A2:A9, 0))), "")</f>
        <v>C# / Entity Framework</v>
      </c>
      <c r="R256" s="4" t="str">
        <f>_xlfn.IFNA(IF(((INDEX(RulebookTables!F2:F93, MATCH(E256,RulebookTables!A2:A93, 0))="")=TRUE),  "",  INDEX(RulebookTables!F2:F93, MATCH(E256,RulebookTables!A2:A93, 0))), "")</f>
        <v>access-control</v>
      </c>
      <c r="S256" s="3" t="s">
        <v>1918</v>
      </c>
    </row>
    <row r="257">
      <c r="A257" s="3" t="s">
        <v>14360</v>
      </c>
      <c r="B257" s="4" t="str">
        <f>_xlfn.CONCAT(D257, " / ", E257)</f>
        <v>effortless-entity-framework / AppUsers</v>
      </c>
      <c r="C257" s="3" t="s">
        <v>14074</v>
      </c>
      <c r="D257" s="3" t="s">
        <v>14047</v>
      </c>
      <c r="E257" s="3" t="s">
        <v>5584</v>
      </c>
      <c r="F257" s="3">
        <v>10</v>
      </c>
      <c r="G257" s="3">
        <v>7</v>
      </c>
      <c r="H257" s="3">
        <v>70</v>
      </c>
      <c r="I257" s="3">
        <v>70</v>
      </c>
      <c r="J257" s="3" t="b">
        <v>0</v>
      </c>
      <c r="K257" s="4">
        <f>H257 - I257</f>
        <v>0</v>
      </c>
      <c r="L257" s="4">
        <f>IF(((H257 = 0)=TRUE),  0,  ROUND(100 * I257 / H257, 2))</f>
        <v>100</v>
      </c>
      <c r="M257" s="4" t="b">
        <f>K257 = 0</f>
        <v>1</v>
      </c>
      <c r="N257" s="4" t="str">
        <f>IF(((M257)=TRUE),  "",  D257)</f>
      </c>
      <c r="O257" s="4" t="str">
        <f>IF(((M257)=TRUE),  "",  E257)</f>
      </c>
      <c r="P257" s="4">
        <f>COUNTIFS(FieldDisagreements!E2:E50, A257)</f>
        <v>0</v>
      </c>
      <c r="Q257" s="4" t="str">
        <f>_xlfn.IFNA(IF(((INDEX(ConformanceSubstrates!C2:C9, MATCH(D257,ConformanceSubstrates!A2:A9, 0))="")=TRUE),  "",  INDEX(ConformanceSubstrates!C2:C9, MATCH(D257,ConformanceSubstrates!A2:A9, 0))), "")</f>
        <v>C# / Entity Framework</v>
      </c>
      <c r="R257" s="4" t="str">
        <f>_xlfn.IFNA(IF(((INDEX(RulebookTables!F2:F93, MATCH(E257,RulebookTables!A2:A93, 0))="")=TRUE),  "",  INDEX(RulebookTables!F2:F93, MATCH(E257,RulebookTables!A2:A93, 0))), "")</f>
      </c>
      <c r="S257" s="3" t="s">
        <v>1918</v>
      </c>
    </row>
    <row r="258">
      <c r="A258" s="3" t="s">
        <v>14361</v>
      </c>
      <c r="B258" s="4" t="str">
        <f>_xlfn.CONCAT(D258, " / ", E258)</f>
        <v>effortless-entity-framework / PrincipalAssignments</v>
      </c>
      <c r="C258" s="3" t="s">
        <v>14074</v>
      </c>
      <c r="D258" s="3" t="s">
        <v>14047</v>
      </c>
      <c r="E258" s="3" t="s">
        <v>5611</v>
      </c>
      <c r="F258" s="3">
        <v>12</v>
      </c>
      <c r="G258" s="3">
        <v>5</v>
      </c>
      <c r="H258" s="3">
        <v>60</v>
      </c>
      <c r="I258" s="3">
        <v>60</v>
      </c>
      <c r="J258" s="3" t="b">
        <v>0</v>
      </c>
      <c r="K258" s="4">
        <f>H258 - I258</f>
        <v>0</v>
      </c>
      <c r="L258" s="4">
        <f>IF(((H258 = 0)=TRUE),  0,  ROUND(100 * I258 / H258, 2))</f>
        <v>100</v>
      </c>
      <c r="M258" s="4" t="b">
        <f>K258 = 0</f>
        <v>1</v>
      </c>
      <c r="N258" s="4" t="str">
        <f>IF(((M258)=TRUE),  "",  D258)</f>
      </c>
      <c r="O258" s="4" t="str">
        <f>IF(((M258)=TRUE),  "",  E258)</f>
      </c>
      <c r="P258" s="4">
        <f>COUNTIFS(FieldDisagreements!E2:E50, A258)</f>
        <v>0</v>
      </c>
      <c r="Q258" s="4" t="str">
        <f>_xlfn.IFNA(IF(((INDEX(ConformanceSubstrates!C2:C9, MATCH(D258,ConformanceSubstrates!A2:A9, 0))="")=TRUE),  "",  INDEX(ConformanceSubstrates!C2:C9, MATCH(D258,ConformanceSubstrates!A2:A9, 0))), "")</f>
        <v>C# / Entity Framework</v>
      </c>
      <c r="R258" s="4" t="str">
        <f>_xlfn.IFNA(IF(((INDEX(RulebookTables!F2:F93, MATCH(E258,RulebookTables!A2:A93, 0))="")=TRUE),  "",  INDEX(RulebookTables!F2:F93, MATCH(E258,RulebookTables!A2:A93, 0))), "")</f>
      </c>
      <c r="S258" s="3" t="s">
        <v>1918</v>
      </c>
    </row>
    <row r="259">
      <c r="A259" s="3" t="s">
        <v>14362</v>
      </c>
      <c r="B259" s="4" t="str">
        <f>_xlfn.CONCAT(D259, " / ", E259)</f>
        <v>effortless-entity-framework / ProcessMiningRuns</v>
      </c>
      <c r="C259" s="3" t="s">
        <v>14074</v>
      </c>
      <c r="D259" s="3" t="s">
        <v>14047</v>
      </c>
      <c r="E259" s="3" t="s">
        <v>1889</v>
      </c>
      <c r="F259" s="3">
        <v>4</v>
      </c>
      <c r="G259" s="3">
        <v>10</v>
      </c>
      <c r="H259" s="3">
        <v>40</v>
      </c>
      <c r="I259" s="3">
        <v>40</v>
      </c>
      <c r="J259" s="3" t="b">
        <v>0</v>
      </c>
      <c r="K259" s="4">
        <f>H259 - I259</f>
        <v>0</v>
      </c>
      <c r="L259" s="4">
        <f>IF(((H259 = 0)=TRUE),  0,  ROUND(100 * I259 / H259, 2))</f>
        <v>100</v>
      </c>
      <c r="M259" s="4" t="b">
        <f>K259 = 0</f>
        <v>1</v>
      </c>
      <c r="N259" s="4" t="str">
        <f>IF(((M259)=TRUE),  "",  D259)</f>
      </c>
      <c r="O259" s="4" t="str">
        <f>IF(((M259)=TRUE),  "",  E259)</f>
      </c>
      <c r="P259" s="4">
        <f>COUNTIFS(FieldDisagreements!E2:E50, A259)</f>
        <v>0</v>
      </c>
      <c r="Q259" s="4" t="str">
        <f>_xlfn.IFNA(IF(((INDEX(ConformanceSubstrates!C2:C9, MATCH(D259,ConformanceSubstrates!A2:A9, 0))="")=TRUE),  "",  INDEX(ConformanceSubstrates!C2:C9, MATCH(D259,ConformanceSubstrates!A2:A9, 0))), "")</f>
        <v>C# / Entity Framework</v>
      </c>
      <c r="R259" s="4" t="str">
        <f>_xlfn.IFNA(IF(((INDEX(RulebookTables!F2:F93, MATCH(E259,RulebookTables!A2:A93, 0))="")=TRUE),  "",  INDEX(RulebookTables!F2:F93, MATCH(E259,RulebookTables!A2:A93, 0))), "")</f>
        <v>knowledge</v>
      </c>
      <c r="S259" s="3" t="s">
        <v>1918</v>
      </c>
    </row>
    <row r="260">
      <c r="A260" s="3" t="s">
        <v>14363</v>
      </c>
      <c r="B260" s="4" t="str">
        <f>_xlfn.CONCAT(D260, " / ", E260)</f>
        <v>effortless-entity-framework / Vocabularies</v>
      </c>
      <c r="C260" s="3" t="s">
        <v>14074</v>
      </c>
      <c r="D260" s="3" t="s">
        <v>14047</v>
      </c>
      <c r="E260" s="3" t="s">
        <v>1893</v>
      </c>
      <c r="F260" s="3">
        <v>2</v>
      </c>
      <c r="G260" s="3">
        <v>4</v>
      </c>
      <c r="H260" s="3">
        <v>8</v>
      </c>
      <c r="I260" s="3">
        <v>8</v>
      </c>
      <c r="J260" s="3" t="b">
        <v>0</v>
      </c>
      <c r="K260" s="4">
        <f>H260 - I260</f>
        <v>0</v>
      </c>
      <c r="L260" s="4">
        <f>IF(((H260 = 0)=TRUE),  0,  ROUND(100 * I260 / H260, 2))</f>
        <v>100</v>
      </c>
      <c r="M260" s="4" t="b">
        <f>K260 = 0</f>
        <v>1</v>
      </c>
      <c r="N260" s="4" t="str">
        <f>IF(((M260)=TRUE),  "",  D260)</f>
      </c>
      <c r="O260" s="4" t="str">
        <f>IF(((M260)=TRUE),  "",  E260)</f>
      </c>
      <c r="P260" s="4">
        <f>COUNTIFS(FieldDisagreements!E2:E50, A260)</f>
        <v>0</v>
      </c>
      <c r="Q260" s="4" t="str">
        <f>_xlfn.IFNA(IF(((INDEX(ConformanceSubstrates!C2:C9, MATCH(D260,ConformanceSubstrates!A2:A9, 0))="")=TRUE),  "",  INDEX(ConformanceSubstrates!C2:C9, MATCH(D260,ConformanceSubstrates!A2:A9, 0))), "")</f>
        <v>C# / Entity Framework</v>
      </c>
      <c r="R260" s="4" t="str">
        <f>_xlfn.IFNA(IF(((INDEX(RulebookTables!F2:F93, MATCH(E260,RulebookTables!A2:A93, 0))="")=TRUE),  "",  INDEX(RulebookTables!F2:F93, MATCH(E260,RulebookTables!A2:A93, 0))), "")</f>
        <v>knowledge</v>
      </c>
      <c r="S260" s="3" t="s">
        <v>1918</v>
      </c>
    </row>
    <row r="261">
      <c r="A261" s="3" t="s">
        <v>14364</v>
      </c>
      <c r="B261" s="4" t="str">
        <f>_xlfn.CONCAT(D261, " / ", E261)</f>
        <v>effortless-entity-framework / VocabularyTerms</v>
      </c>
      <c r="C261" s="3" t="s">
        <v>14074</v>
      </c>
      <c r="D261" s="3" t="s">
        <v>14047</v>
      </c>
      <c r="E261" s="3" t="s">
        <v>1897</v>
      </c>
      <c r="F261" s="3">
        <v>12</v>
      </c>
      <c r="G261" s="3">
        <v>5</v>
      </c>
      <c r="H261" s="3">
        <v>60</v>
      </c>
      <c r="I261" s="3">
        <v>60</v>
      </c>
      <c r="J261" s="3" t="b">
        <v>0</v>
      </c>
      <c r="K261" s="4">
        <f>H261 - I261</f>
        <v>0</v>
      </c>
      <c r="L261" s="4">
        <f>IF(((H261 = 0)=TRUE),  0,  ROUND(100 * I261 / H261, 2))</f>
        <v>100</v>
      </c>
      <c r="M261" s="4" t="b">
        <f>K261 = 0</f>
        <v>1</v>
      </c>
      <c r="N261" s="4" t="str">
        <f>IF(((M261)=TRUE),  "",  D261)</f>
      </c>
      <c r="O261" s="4" t="str">
        <f>IF(((M261)=TRUE),  "",  E261)</f>
      </c>
      <c r="P261" s="4">
        <f>COUNTIFS(FieldDisagreements!E2:E50, A261)</f>
        <v>0</v>
      </c>
      <c r="Q261" s="4" t="str">
        <f>_xlfn.IFNA(IF(((INDEX(ConformanceSubstrates!C2:C9, MATCH(D261,ConformanceSubstrates!A2:A9, 0))="")=TRUE),  "",  INDEX(ConformanceSubstrates!C2:C9, MATCH(D261,ConformanceSubstrates!A2:A9, 0))), "")</f>
        <v>C# / Entity Framework</v>
      </c>
      <c r="R261" s="4" t="str">
        <f>_xlfn.IFNA(IF(((INDEX(RulebookTables!F2:F93, MATCH(E261,RulebookTables!A2:A93, 0))="")=TRUE),  "",  INDEX(RulebookTables!F2:F93, MATCH(E261,RulebookTables!A2:A93, 0))), "")</f>
        <v>knowledge</v>
      </c>
      <c r="S261" s="3" t="s">
        <v>1918</v>
      </c>
    </row>
    <row r="262">
      <c r="A262" s="3" t="s">
        <v>14365</v>
      </c>
      <c r="B262" s="4" t="str">
        <f>_xlfn.CONCAT(D262, " / ", E262)</f>
        <v>effortless-entity-framework / KnowledgeBrokerLinks</v>
      </c>
      <c r="C262" s="3" t="s">
        <v>14074</v>
      </c>
      <c r="D262" s="3" t="s">
        <v>14047</v>
      </c>
      <c r="E262" s="3" t="s">
        <v>1901</v>
      </c>
      <c r="F262" s="3">
        <v>5</v>
      </c>
      <c r="G262" s="3">
        <v>8</v>
      </c>
      <c r="H262" s="3">
        <v>40</v>
      </c>
      <c r="I262" s="3">
        <v>40</v>
      </c>
      <c r="J262" s="3" t="b">
        <v>0</v>
      </c>
      <c r="K262" s="4">
        <f>H262 - I262</f>
        <v>0</v>
      </c>
      <c r="L262" s="4">
        <f>IF(((H262 = 0)=TRUE),  0,  ROUND(100 * I262 / H262, 2))</f>
        <v>100</v>
      </c>
      <c r="M262" s="4" t="b">
        <f>K262 = 0</f>
        <v>1</v>
      </c>
      <c r="N262" s="4" t="str">
        <f>IF(((M262)=TRUE),  "",  D262)</f>
      </c>
      <c r="O262" s="4" t="str">
        <f>IF(((M262)=TRUE),  "",  E262)</f>
      </c>
      <c r="P262" s="4">
        <f>COUNTIFS(FieldDisagreements!E2:E50, A262)</f>
        <v>0</v>
      </c>
      <c r="Q262" s="4" t="str">
        <f>_xlfn.IFNA(IF(((INDEX(ConformanceSubstrates!C2:C9, MATCH(D262,ConformanceSubstrates!A2:A9, 0))="")=TRUE),  "",  INDEX(ConformanceSubstrates!C2:C9, MATCH(D262,ConformanceSubstrates!A2:A9, 0))), "")</f>
        <v>C# / Entity Framework</v>
      </c>
      <c r="R262" s="4" t="str">
        <f>_xlfn.IFNA(IF(((INDEX(RulebookTables!F2:F93, MATCH(E262,RulebookTables!A2:A93, 0))="")=TRUE),  "",  INDEX(RulebookTables!F2:F93, MATCH(E262,RulebookTables!A2:A93, 0))), "")</f>
        <v>knowledge</v>
      </c>
      <c r="S262" s="3" t="s">
        <v>1918</v>
      </c>
    </row>
    <row r="263">
      <c r="A263" s="3" t="s">
        <v>14366</v>
      </c>
      <c r="B263" s="4" t="str">
        <f>_xlfn.CONCAT(D263, " / ", E263)</f>
        <v>effortless-entity-framework / ConformanceSubstrates</v>
      </c>
      <c r="C263" s="3" t="s">
        <v>14074</v>
      </c>
      <c r="D263" s="3" t="s">
        <v>14047</v>
      </c>
      <c r="E263" s="3" t="s">
        <v>1905</v>
      </c>
      <c r="F263" s="3">
        <v>8</v>
      </c>
      <c r="G263" s="3">
        <v>11</v>
      </c>
      <c r="H263" s="3">
        <v>88</v>
      </c>
      <c r="I263" s="3">
        <v>88</v>
      </c>
      <c r="J263" s="3" t="b">
        <v>0</v>
      </c>
      <c r="K263" s="4">
        <f>H263 - I263</f>
        <v>0</v>
      </c>
      <c r="L263" s="4">
        <f>IF(((H263 = 0)=TRUE),  0,  ROUND(100 * I263 / H263, 2))</f>
        <v>100</v>
      </c>
      <c r="M263" s="4" t="b">
        <f>K263 = 0</f>
        <v>1</v>
      </c>
      <c r="N263" s="4" t="str">
        <f>IF(((M263)=TRUE),  "",  D263)</f>
      </c>
      <c r="O263" s="4" t="str">
        <f>IF(((M263)=TRUE),  "",  E263)</f>
      </c>
      <c r="P263" s="4">
        <f>COUNTIFS(FieldDisagreements!E2:E50, A263)</f>
        <v>0</v>
      </c>
      <c r="Q263" s="4" t="str">
        <f>_xlfn.IFNA(IF(((INDEX(ConformanceSubstrates!C2:C9, MATCH(D263,ConformanceSubstrates!A2:A9, 0))="")=TRUE),  "",  INDEX(ConformanceSubstrates!C2:C9, MATCH(D263,ConformanceSubstrates!A2:A9, 0))), "")</f>
        <v>C# / Entity Framework</v>
      </c>
      <c r="R263" s="4" t="str">
        <f>_xlfn.IFNA(IF(((INDEX(RulebookTables!F2:F93, MATCH(E263,RulebookTables!A2:A93, 0))="")=TRUE),  "",  INDEX(RulebookTables!F2:F93, MATCH(E263,RulebookTables!A2:A93, 0))), "")</f>
        <v>meta</v>
      </c>
      <c r="S263" s="3" t="s">
        <v>1918</v>
      </c>
    </row>
    <row r="264">
      <c r="A264" s="3" t="s">
        <v>14367</v>
      </c>
      <c r="B264" s="4" t="str">
        <f>_xlfn.CONCAT(D264, " / ", E264)</f>
        <v>effortless-entity-framework / ConformanceRuns</v>
      </c>
      <c r="C264" s="3" t="s">
        <v>14074</v>
      </c>
      <c r="D264" s="3" t="s">
        <v>14047</v>
      </c>
      <c r="E264" s="3" t="s">
        <v>1909</v>
      </c>
      <c r="F264" s="3">
        <v>3</v>
      </c>
      <c r="G264" s="3">
        <v>9</v>
      </c>
      <c r="H264" s="3">
        <v>27</v>
      </c>
      <c r="I264" s="3">
        <v>27</v>
      </c>
      <c r="J264" s="3" t="b">
        <v>0</v>
      </c>
      <c r="K264" s="4">
        <f>H264 - I264</f>
        <v>0</v>
      </c>
      <c r="L264" s="4">
        <f>IF(((H264 = 0)=TRUE),  0,  ROUND(100 * I264 / H264, 2))</f>
        <v>100</v>
      </c>
      <c r="M264" s="4" t="b">
        <f>K264 = 0</f>
        <v>1</v>
      </c>
      <c r="N264" s="4" t="str">
        <f>IF(((M264)=TRUE),  "",  D264)</f>
      </c>
      <c r="O264" s="4" t="str">
        <f>IF(((M264)=TRUE),  "",  E264)</f>
      </c>
      <c r="P264" s="4">
        <f>COUNTIFS(FieldDisagreements!E2:E50, A264)</f>
        <v>0</v>
      </c>
      <c r="Q264" s="4" t="str">
        <f>_xlfn.IFNA(IF(((INDEX(ConformanceSubstrates!C2:C9, MATCH(D264,ConformanceSubstrates!A2:A9, 0))="")=TRUE),  "",  INDEX(ConformanceSubstrates!C2:C9, MATCH(D264,ConformanceSubstrates!A2:A9, 0))), "")</f>
        <v>C# / Entity Framework</v>
      </c>
      <c r="R264" s="4" t="str">
        <f>_xlfn.IFNA(IF(((INDEX(RulebookTables!F2:F93, MATCH(E264,RulebookTables!A2:A93, 0))="")=TRUE),  "",  INDEX(RulebookTables!F2:F93, MATCH(E264,RulebookTables!A2:A93, 0))), "")</f>
        <v>meta</v>
      </c>
      <c r="S264" s="3" t="s">
        <v>1918</v>
      </c>
    </row>
    <row r="265">
      <c r="A265" s="3" t="s">
        <v>14368</v>
      </c>
      <c r="B265" s="4" t="str">
        <f>_xlfn.CONCAT(D265, " / ", E265)</f>
        <v>effortless-entity-framework / SubstrateRunScores</v>
      </c>
      <c r="C265" s="3" t="s">
        <v>14074</v>
      </c>
      <c r="D265" s="3" t="s">
        <v>14047</v>
      </c>
      <c r="E265" s="3" t="s">
        <v>1913</v>
      </c>
      <c r="F265" s="3">
        <v>21</v>
      </c>
      <c r="G265" s="3">
        <v>13</v>
      </c>
      <c r="H265" s="3">
        <v>273</v>
      </c>
      <c r="I265" s="3">
        <v>273</v>
      </c>
      <c r="J265" s="3" t="b">
        <v>0</v>
      </c>
      <c r="K265" s="4">
        <f>H265 - I265</f>
        <v>0</v>
      </c>
      <c r="L265" s="4">
        <f>IF(((H265 = 0)=TRUE),  0,  ROUND(100 * I265 / H265, 2))</f>
        <v>100</v>
      </c>
      <c r="M265" s="4" t="b">
        <f>K265 = 0</f>
        <v>1</v>
      </c>
      <c r="N265" s="4" t="str">
        <f>IF(((M265)=TRUE),  "",  D265)</f>
      </c>
      <c r="O265" s="4" t="str">
        <f>IF(((M265)=TRUE),  "",  E265)</f>
      </c>
      <c r="P265" s="4">
        <f>COUNTIFS(FieldDisagreements!E2:E50, A265)</f>
        <v>0</v>
      </c>
      <c r="Q265" s="4" t="str">
        <f>_xlfn.IFNA(IF(((INDEX(ConformanceSubstrates!C2:C9, MATCH(D265,ConformanceSubstrates!A2:A9, 0))="")=TRUE),  "",  INDEX(ConformanceSubstrates!C2:C9, MATCH(D265,ConformanceSubstrates!A2:A9, 0))), "")</f>
        <v>C# / Entity Framework</v>
      </c>
      <c r="R265" s="4" t="str">
        <f>_xlfn.IFNA(IF(((INDEX(RulebookTables!F2:F93, MATCH(E265,RulebookTables!A2:A93, 0))="")=TRUE),  "",  INDEX(RulebookTables!F2:F93, MATCH(E265,RulebookTables!A2:A93, 0))), "")</f>
        <v>meta</v>
      </c>
      <c r="S265" s="3" t="s">
        <v>1918</v>
      </c>
    </row>
    <row r="266">
      <c r="A266" s="3" t="s">
        <v>14369</v>
      </c>
      <c r="B266" s="4" t="str">
        <f>_xlfn.CONCAT(D266, " / ", E266)</f>
        <v>effortless-entity-framework / TableConformance</v>
      </c>
      <c r="C266" s="3" t="s">
        <v>14074</v>
      </c>
      <c r="D266" s="3" t="s">
        <v>14047</v>
      </c>
      <c r="E266" s="3" t="s">
        <v>1917</v>
      </c>
      <c r="F266" s="3">
        <v>623</v>
      </c>
      <c r="G266" s="3">
        <v>9</v>
      </c>
      <c r="H266" s="3">
        <v>5607</v>
      </c>
      <c r="I266" s="3">
        <v>5607</v>
      </c>
      <c r="J266" s="3" t="b">
        <v>0</v>
      </c>
      <c r="K266" s="4">
        <f>H266 - I266</f>
        <v>0</v>
      </c>
      <c r="L266" s="4">
        <f>IF(((H266 = 0)=TRUE),  0,  ROUND(100 * I266 / H266, 2))</f>
        <v>100</v>
      </c>
      <c r="M266" s="4" t="b">
        <f>K266 = 0</f>
        <v>1</v>
      </c>
      <c r="N266" s="4" t="str">
        <f>IF(((M266)=TRUE),  "",  D266)</f>
      </c>
      <c r="O266" s="4" t="str">
        <f>IF(((M266)=TRUE),  "",  E266)</f>
      </c>
      <c r="P266" s="4">
        <f>COUNTIFS(FieldDisagreements!E2:E50, A266)</f>
        <v>0</v>
      </c>
      <c r="Q266" s="4" t="str">
        <f>_xlfn.IFNA(IF(((INDEX(ConformanceSubstrates!C2:C9, MATCH(D266,ConformanceSubstrates!A2:A9, 0))="")=TRUE),  "",  INDEX(ConformanceSubstrates!C2:C9, MATCH(D266,ConformanceSubstrates!A2:A9, 0))), "")</f>
        <v>C# / Entity Framework</v>
      </c>
      <c r="R266" s="4" t="str">
        <f>_xlfn.IFNA(IF(((INDEX(RulebookTables!F2:F93, MATCH(E266,RulebookTables!A2:A93, 0))="")=TRUE),  "",  INDEX(RulebookTables!F2:F93, MATCH(E266,RulebookTables!A2:A93, 0))), "")</f>
        <v>meta</v>
      </c>
      <c r="S266" s="3" t="s">
        <v>1918</v>
      </c>
    </row>
    <row r="267">
      <c r="A267" s="3" t="s">
        <v>14370</v>
      </c>
      <c r="B267" s="4" t="str">
        <f>_xlfn.CONCAT(D267, " / ", E267)</f>
        <v>effortless-entity-framework / FieldDisagreements</v>
      </c>
      <c r="C267" s="3" t="s">
        <v>14074</v>
      </c>
      <c r="D267" s="3" t="s">
        <v>14047</v>
      </c>
      <c r="E267" s="3" t="s">
        <v>1921</v>
      </c>
      <c r="F267" s="3">
        <v>49</v>
      </c>
      <c r="G267" s="3">
        <v>5</v>
      </c>
      <c r="H267" s="3">
        <v>245</v>
      </c>
      <c r="I267" s="3">
        <v>245</v>
      </c>
      <c r="J267" s="3" t="b">
        <v>0</v>
      </c>
      <c r="K267" s="4">
        <f>H267 - I267</f>
        <v>0</v>
      </c>
      <c r="L267" s="4">
        <f>IF(((H267 = 0)=TRUE),  0,  ROUND(100 * I267 / H267, 2))</f>
        <v>100</v>
      </c>
      <c r="M267" s="4" t="b">
        <f>K267 = 0</f>
        <v>1</v>
      </c>
      <c r="N267" s="4" t="str">
        <f>IF(((M267)=TRUE),  "",  D267)</f>
      </c>
      <c r="O267" s="4" t="str">
        <f>IF(((M267)=TRUE),  "",  E267)</f>
      </c>
      <c r="P267" s="4">
        <f>COUNTIFS(FieldDisagreements!E2:E50, A267)</f>
        <v>0</v>
      </c>
      <c r="Q267" s="4" t="str">
        <f>_xlfn.IFNA(IF(((INDEX(ConformanceSubstrates!C2:C9, MATCH(D267,ConformanceSubstrates!A2:A9, 0))="")=TRUE),  "",  INDEX(ConformanceSubstrates!C2:C9, MATCH(D267,ConformanceSubstrates!A2:A9, 0))), "")</f>
        <v>C# / Entity Framework</v>
      </c>
      <c r="R267" s="4" t="str">
        <f>_xlfn.IFNA(IF(((INDEX(RulebookTables!F2:F93, MATCH(E267,RulebookTables!A2:A93, 0))="")=TRUE),  "",  INDEX(RulebookTables!F2:F93, MATCH(E267,RulebookTables!A2:A93, 0))), "")</f>
        <v>meta</v>
      </c>
      <c r="S267" s="3" t="s">
        <v>1918</v>
      </c>
    </row>
    <row r="268">
      <c r="A268" s="3" t="s">
        <v>14371</v>
      </c>
      <c r="B268" s="4" t="str">
        <f>_xlfn.CONCAT(D268, " / ", E268)</f>
        <v>effortless-entity-framework / CellDisagreements</v>
      </c>
      <c r="C268" s="3" t="s">
        <v>14074</v>
      </c>
      <c r="D268" s="3" t="s">
        <v>14047</v>
      </c>
      <c r="E268" s="3" t="s">
        <v>1925</v>
      </c>
      <c r="F268" s="3">
        <v>316</v>
      </c>
      <c r="G268" s="3">
        <v>3</v>
      </c>
      <c r="H268" s="3">
        <v>948</v>
      </c>
      <c r="I268" s="3">
        <v>948</v>
      </c>
      <c r="J268" s="3" t="b">
        <v>0</v>
      </c>
      <c r="K268" s="4">
        <f>H268 - I268</f>
        <v>0</v>
      </c>
      <c r="L268" s="4">
        <f>IF(((H268 = 0)=TRUE),  0,  ROUND(100 * I268 / H268, 2))</f>
        <v>100</v>
      </c>
      <c r="M268" s="4" t="b">
        <f>K268 = 0</f>
        <v>1</v>
      </c>
      <c r="N268" s="4" t="str">
        <f>IF(((M268)=TRUE),  "",  D268)</f>
      </c>
      <c r="O268" s="4" t="str">
        <f>IF(((M268)=TRUE),  "",  E268)</f>
      </c>
      <c r="P268" s="4">
        <f>COUNTIFS(FieldDisagreements!E2:E50, A268)</f>
        <v>0</v>
      </c>
      <c r="Q268" s="4" t="str">
        <f>_xlfn.IFNA(IF(((INDEX(ConformanceSubstrates!C2:C9, MATCH(D268,ConformanceSubstrates!A2:A9, 0))="")=TRUE),  "",  INDEX(ConformanceSubstrates!C2:C9, MATCH(D268,ConformanceSubstrates!A2:A9, 0))), "")</f>
        <v>C# / Entity Framework</v>
      </c>
      <c r="R268" s="4" t="str">
        <f>_xlfn.IFNA(IF(((INDEX(RulebookTables!F2:F93, MATCH(E268,RulebookTables!A2:A93, 0))="")=TRUE),  "",  INDEX(RulebookTables!F2:F93, MATCH(E268,RulebookTables!A2:A93, 0))), "")</f>
        <v>meta</v>
      </c>
      <c r="S268" s="3" t="s">
        <v>1918</v>
      </c>
    </row>
    <row r="269">
      <c r="A269" s="3" t="s">
        <v>14372</v>
      </c>
      <c r="B269" s="4" t="str">
        <f>_xlfn.CONCAT(D269, " / ", E269)</f>
        <v>effortless-golang / RulebookReleases</v>
      </c>
      <c r="C269" s="3" t="s">
        <v>14074</v>
      </c>
      <c r="D269" s="3" t="s">
        <v>14035</v>
      </c>
      <c r="E269" s="3" t="s">
        <v>2415</v>
      </c>
      <c r="F269" s="3">
        <v>1</v>
      </c>
      <c r="G269" s="3">
        <v>1</v>
      </c>
      <c r="H269" s="3">
        <v>1</v>
      </c>
      <c r="I269" s="3">
        <v>1</v>
      </c>
      <c r="J269" s="3" t="b">
        <v>0</v>
      </c>
      <c r="K269" s="4">
        <f>H269 - I269</f>
        <v>0</v>
      </c>
      <c r="L269" s="4">
        <f>IF(((H269 = 0)=TRUE),  0,  ROUND(100 * I269 / H269, 2))</f>
        <v>100</v>
      </c>
      <c r="M269" s="4" t="b">
        <f>K269 = 0</f>
        <v>1</v>
      </c>
      <c r="N269" s="4" t="str">
        <f>IF(((M269)=TRUE),  "",  D269)</f>
      </c>
      <c r="O269" s="4" t="str">
        <f>IF(((M269)=TRUE),  "",  E269)</f>
      </c>
      <c r="P269" s="4">
        <f>COUNTIFS(FieldDisagreements!E2:E50, A269)</f>
        <v>0</v>
      </c>
      <c r="Q269" s="4" t="str">
        <f>_xlfn.IFNA(IF(((INDEX(ConformanceSubstrates!C2:C9, MATCH(D269,ConformanceSubstrates!A2:A9, 0))="")=TRUE),  "",  INDEX(ConformanceSubstrates!C2:C9, MATCH(D269,ConformanceSubstrates!A2:A9, 0))), "")</f>
        <v>Go</v>
      </c>
      <c r="R269" s="4" t="str">
        <f>_xlfn.IFNA(IF(((INDEX(RulebookTables!F2:F93, MATCH(E269,RulebookTables!A2:A93, 0))="")=TRUE),  "",  INDEX(RulebookTables!F2:F93, MATCH(E269,RulebookTables!A2:A93, 0))), "")</f>
        <v>meta</v>
      </c>
      <c r="S269" s="3" t="s">
        <v>1918</v>
      </c>
    </row>
    <row r="270">
      <c r="A270" s="3" t="s">
        <v>14373</v>
      </c>
      <c r="B270" s="4" t="str">
        <f>_xlfn.CONCAT(D270, " / ", E270)</f>
        <v>effortless-golang / OntologyProfiles</v>
      </c>
      <c r="C270" s="3" t="s">
        <v>14074</v>
      </c>
      <c r="D270" s="3" t="s">
        <v>14035</v>
      </c>
      <c r="E270" s="3" t="s">
        <v>2434</v>
      </c>
      <c r="F270" s="3">
        <v>11</v>
      </c>
      <c r="G270" s="3">
        <v>1</v>
      </c>
      <c r="H270" s="3">
        <v>11</v>
      </c>
      <c r="I270" s="3">
        <v>11</v>
      </c>
      <c r="J270" s="3" t="b">
        <v>0</v>
      </c>
      <c r="K270" s="4">
        <f>H270 - I270</f>
        <v>0</v>
      </c>
      <c r="L270" s="4">
        <f>IF(((H270 = 0)=TRUE),  0,  ROUND(100 * I270 / H270, 2))</f>
        <v>100</v>
      </c>
      <c r="M270" s="4" t="b">
        <f>K270 = 0</f>
        <v>1</v>
      </c>
      <c r="N270" s="4" t="str">
        <f>IF(((M270)=TRUE),  "",  D270)</f>
      </c>
      <c r="O270" s="4" t="str">
        <f>IF(((M270)=TRUE),  "",  E270)</f>
      </c>
      <c r="P270" s="4">
        <f>COUNTIFS(FieldDisagreements!E2:E50, A270)</f>
        <v>0</v>
      </c>
      <c r="Q270" s="4" t="str">
        <f>_xlfn.IFNA(IF(((INDEX(ConformanceSubstrates!C2:C9, MATCH(D270,ConformanceSubstrates!A2:A9, 0))="")=TRUE),  "",  INDEX(ConformanceSubstrates!C2:C9, MATCH(D270,ConformanceSubstrates!A2:A9, 0))), "")</f>
        <v>Go</v>
      </c>
      <c r="R270" s="4" t="str">
        <f>_xlfn.IFNA(IF(((INDEX(RulebookTables!F2:F93, MATCH(E270,RulebookTables!A2:A93, 0))="")=TRUE),  "",  INDEX(RulebookTables!F2:F93, MATCH(E270,RulebookTables!A2:A93, 0))), "")</f>
        <v>domain</v>
      </c>
      <c r="S270" s="3" t="s">
        <v>1918</v>
      </c>
    </row>
    <row r="271">
      <c r="A271" s="3" t="s">
        <v>14374</v>
      </c>
      <c r="B271" s="4" t="str">
        <f>_xlfn.CONCAT(D271, " / ", E271)</f>
        <v>effortless-golang / EvaluationContexts</v>
      </c>
      <c r="C271" s="3" t="s">
        <v>14074</v>
      </c>
      <c r="D271" s="3" t="s">
        <v>14035</v>
      </c>
      <c r="E271" s="3" t="s">
        <v>2444</v>
      </c>
      <c r="F271" s="3">
        <v>1</v>
      </c>
      <c r="G271" s="3">
        <v>1</v>
      </c>
      <c r="H271" s="3">
        <v>1</v>
      </c>
      <c r="I271" s="3">
        <v>1</v>
      </c>
      <c r="J271" s="3" t="b">
        <v>0</v>
      </c>
      <c r="K271" s="4">
        <f>H271 - I271</f>
        <v>0</v>
      </c>
      <c r="L271" s="4">
        <f>IF(((H271 = 0)=TRUE),  0,  ROUND(100 * I271 / H271, 2))</f>
        <v>100</v>
      </c>
      <c r="M271" s="4" t="b">
        <f>K271 = 0</f>
        <v>1</v>
      </c>
      <c r="N271" s="4" t="str">
        <f>IF(((M271)=TRUE),  "",  D271)</f>
      </c>
      <c r="O271" s="4" t="str">
        <f>IF(((M271)=TRUE),  "",  E271)</f>
      </c>
      <c r="P271" s="4">
        <f>COUNTIFS(FieldDisagreements!E2:E50, A271)</f>
        <v>0</v>
      </c>
      <c r="Q271" s="4" t="str">
        <f>_xlfn.IFNA(IF(((INDEX(ConformanceSubstrates!C2:C9, MATCH(D271,ConformanceSubstrates!A2:A9, 0))="")=TRUE),  "",  INDEX(ConformanceSubstrates!C2:C9, MATCH(D271,ConformanceSubstrates!A2:A9, 0))), "")</f>
        <v>Go</v>
      </c>
      <c r="R271" s="4" t="str">
        <f>_xlfn.IFNA(IF(((INDEX(RulebookTables!F2:F93, MATCH(E271,RulebookTables!A2:A93, 0))="")=TRUE),  "",  INDEX(RulebookTables!F2:F93, MATCH(E271,RulebookTables!A2:A93, 0))), "")</f>
        <v>meta</v>
      </c>
      <c r="S271" s="3" t="s">
        <v>1918</v>
      </c>
    </row>
    <row r="272">
      <c r="A272" s="3" t="s">
        <v>14375</v>
      </c>
      <c r="B272" s="4" t="str">
        <f>_xlfn.CONCAT(D272, " / ", E272)</f>
        <v>effortless-golang / Organizations</v>
      </c>
      <c r="C272" s="3" t="s">
        <v>14074</v>
      </c>
      <c r="D272" s="3" t="s">
        <v>14035</v>
      </c>
      <c r="E272" s="3" t="s">
        <v>2453</v>
      </c>
      <c r="F272" s="3">
        <v>4</v>
      </c>
      <c r="G272" s="3">
        <v>1</v>
      </c>
      <c r="H272" s="3">
        <v>4</v>
      </c>
      <c r="I272" s="3">
        <v>4</v>
      </c>
      <c r="J272" s="3" t="b">
        <v>0</v>
      </c>
      <c r="K272" s="4">
        <f>H272 - I272</f>
        <v>0</v>
      </c>
      <c r="L272" s="4">
        <f>IF(((H272 = 0)=TRUE),  0,  ROUND(100 * I272 / H272, 2))</f>
        <v>100</v>
      </c>
      <c r="M272" s="4" t="b">
        <f>K272 = 0</f>
        <v>1</v>
      </c>
      <c r="N272" s="4" t="str">
        <f>IF(((M272)=TRUE),  "",  D272)</f>
      </c>
      <c r="O272" s="4" t="str">
        <f>IF(((M272)=TRUE),  "",  E272)</f>
      </c>
      <c r="P272" s="4">
        <f>COUNTIFS(FieldDisagreements!E2:E50, A272)</f>
        <v>0</v>
      </c>
      <c r="Q272" s="4" t="str">
        <f>_xlfn.IFNA(IF(((INDEX(ConformanceSubstrates!C2:C9, MATCH(D272,ConformanceSubstrates!A2:A9, 0))="")=TRUE),  "",  INDEX(ConformanceSubstrates!C2:C9, MATCH(D272,ConformanceSubstrates!A2:A9, 0))), "")</f>
        <v>Go</v>
      </c>
      <c r="R272" s="4" t="str">
        <f>_xlfn.IFNA(IF(((INDEX(RulebookTables!F2:F93, MATCH(E272,RulebookTables!A2:A93, 0))="")=TRUE),  "",  INDEX(RulebookTables!F2:F93, MATCH(E272,RulebookTables!A2:A93, 0))), "")</f>
        <v>org</v>
      </c>
      <c r="S272" s="3" t="s">
        <v>1918</v>
      </c>
    </row>
    <row r="273">
      <c r="A273" s="3" t="s">
        <v>14376</v>
      </c>
      <c r="B273" s="4" t="str">
        <f>_xlfn.CONCAT(D273, " / ", E273)</f>
        <v>effortless-golang / Agents</v>
      </c>
      <c r="C273" s="3" t="s">
        <v>14074</v>
      </c>
      <c r="D273" s="3" t="s">
        <v>14035</v>
      </c>
      <c r="E273" s="3" t="s">
        <v>1814</v>
      </c>
      <c r="F273" s="3">
        <v>11</v>
      </c>
      <c r="G273" s="3">
        <v>16</v>
      </c>
      <c r="H273" s="3">
        <v>176</v>
      </c>
      <c r="I273" s="3">
        <v>176</v>
      </c>
      <c r="J273" s="3" t="b">
        <v>0</v>
      </c>
      <c r="K273" s="4">
        <f>H273 - I273</f>
        <v>0</v>
      </c>
      <c r="L273" s="4">
        <f>IF(((H273 = 0)=TRUE),  0,  ROUND(100 * I273 / H273, 2))</f>
        <v>100</v>
      </c>
      <c r="M273" s="4" t="b">
        <f>K273 = 0</f>
        <v>1</v>
      </c>
      <c r="N273" s="4" t="str">
        <f>IF(((M273)=TRUE),  "",  D273)</f>
      </c>
      <c r="O273" s="4" t="str">
        <f>IF(((M273)=TRUE),  "",  E273)</f>
      </c>
      <c r="P273" s="4">
        <f>COUNTIFS(FieldDisagreements!E2:E50, A273)</f>
        <v>0</v>
      </c>
      <c r="Q273" s="4" t="str">
        <f>_xlfn.IFNA(IF(((INDEX(ConformanceSubstrates!C2:C9, MATCH(D273,ConformanceSubstrates!A2:A9, 0))="")=TRUE),  "",  INDEX(ConformanceSubstrates!C2:C9, MATCH(D273,ConformanceSubstrates!A2:A9, 0))), "")</f>
        <v>Go</v>
      </c>
      <c r="R273" s="4" t="str">
        <f>_xlfn.IFNA(IF(((INDEX(RulebookTables!F2:F93, MATCH(E273,RulebookTables!A2:A93, 0))="")=TRUE),  "",  INDEX(RulebookTables!F2:F93, MATCH(E273,RulebookTables!A2:A93, 0))), "")</f>
        <v>org</v>
      </c>
      <c r="S273" s="3" t="s">
        <v>1918</v>
      </c>
    </row>
    <row r="274">
      <c r="A274" s="3" t="s">
        <v>14377</v>
      </c>
      <c r="B274" s="4" t="str">
        <f>_xlfn.CONCAT(D274, " / ", E274)</f>
        <v>effortless-golang / Roles</v>
      </c>
      <c r="C274" s="3" t="s">
        <v>14074</v>
      </c>
      <c r="D274" s="3" t="s">
        <v>14035</v>
      </c>
      <c r="E274" s="3" t="s">
        <v>1818</v>
      </c>
      <c r="F274" s="3">
        <v>12</v>
      </c>
      <c r="G274" s="3">
        <v>17</v>
      </c>
      <c r="H274" s="3">
        <v>204</v>
      </c>
      <c r="I274" s="3">
        <v>204</v>
      </c>
      <c r="J274" s="3" t="b">
        <v>0</v>
      </c>
      <c r="K274" s="4">
        <f>H274 - I274</f>
        <v>0</v>
      </c>
      <c r="L274" s="4">
        <f>IF(((H274 = 0)=TRUE),  0,  ROUND(100 * I274 / H274, 2))</f>
        <v>100</v>
      </c>
      <c r="M274" s="4" t="b">
        <f>K274 = 0</f>
        <v>1</v>
      </c>
      <c r="N274" s="4" t="str">
        <f>IF(((M274)=TRUE),  "",  D274)</f>
      </c>
      <c r="O274" s="4" t="str">
        <f>IF(((M274)=TRUE),  "",  E274)</f>
      </c>
      <c r="P274" s="4">
        <f>COUNTIFS(FieldDisagreements!E2:E50, A274)</f>
        <v>0</v>
      </c>
      <c r="Q274" s="4" t="str">
        <f>_xlfn.IFNA(IF(((INDEX(ConformanceSubstrates!C2:C9, MATCH(D274,ConformanceSubstrates!A2:A9, 0))="")=TRUE),  "",  INDEX(ConformanceSubstrates!C2:C9, MATCH(D274,ConformanceSubstrates!A2:A9, 0))), "")</f>
        <v>Go</v>
      </c>
      <c r="R274" s="4" t="str">
        <f>_xlfn.IFNA(IF(((INDEX(RulebookTables!F2:F93, MATCH(E274,RulebookTables!A2:A93, 0))="")=TRUE),  "",  INDEX(RulebookTables!F2:F93, MATCH(E274,RulebookTables!A2:A93, 0))), "")</f>
        <v>org</v>
      </c>
      <c r="S274" s="3" t="s">
        <v>1918</v>
      </c>
    </row>
    <row r="275">
      <c r="A275" s="3" t="s">
        <v>14378</v>
      </c>
      <c r="B275" s="4" t="str">
        <f>_xlfn.CONCAT(D275, " / ", E275)</f>
        <v>effortless-golang / RoleAssignments</v>
      </c>
      <c r="C275" s="3" t="s">
        <v>14074</v>
      </c>
      <c r="D275" s="3" t="s">
        <v>14035</v>
      </c>
      <c r="E275" s="3" t="s">
        <v>1821</v>
      </c>
      <c r="F275" s="3">
        <v>13</v>
      </c>
      <c r="G275" s="3">
        <v>47</v>
      </c>
      <c r="H275" s="3">
        <v>611</v>
      </c>
      <c r="I275" s="3">
        <v>611</v>
      </c>
      <c r="J275" s="3" t="b">
        <v>0</v>
      </c>
      <c r="K275" s="4">
        <f>H275 - I275</f>
        <v>0</v>
      </c>
      <c r="L275" s="4">
        <f>IF(((H275 = 0)=TRUE),  0,  ROUND(100 * I275 / H275, 2))</f>
        <v>100</v>
      </c>
      <c r="M275" s="4" t="b">
        <f>K275 = 0</f>
        <v>1</v>
      </c>
      <c r="N275" s="4" t="str">
        <f>IF(((M275)=TRUE),  "",  D275)</f>
      </c>
      <c r="O275" s="4" t="str">
        <f>IF(((M275)=TRUE),  "",  E275)</f>
      </c>
      <c r="P275" s="4">
        <f>COUNTIFS(FieldDisagreements!E2:E50, A275)</f>
        <v>0</v>
      </c>
      <c r="Q275" s="4" t="str">
        <f>_xlfn.IFNA(IF(((INDEX(ConformanceSubstrates!C2:C9, MATCH(D275,ConformanceSubstrates!A2:A9, 0))="")=TRUE),  "",  INDEX(ConformanceSubstrates!C2:C9, MATCH(D275,ConformanceSubstrates!A2:A9, 0))), "")</f>
        <v>Go</v>
      </c>
      <c r="R275" s="4" t="str">
        <f>_xlfn.IFNA(IF(((INDEX(RulebookTables!F2:F93, MATCH(E275,RulebookTables!A2:A93, 0))="")=TRUE),  "",  INDEX(RulebookTables!F2:F93, MATCH(E275,RulebookTables!A2:A93, 0))), "")</f>
        <v>org</v>
      </c>
      <c r="S275" s="3" t="s">
        <v>1918</v>
      </c>
    </row>
    <row r="276">
      <c r="A276" s="3" t="s">
        <v>14379</v>
      </c>
      <c r="B276" s="4" t="str">
        <f>_xlfn.CONCAT(D276, " / ", E276)</f>
        <v>effortless-golang / CommunitiesOfPractice</v>
      </c>
      <c r="C276" s="3" t="s">
        <v>14074</v>
      </c>
      <c r="D276" s="3" t="s">
        <v>14035</v>
      </c>
      <c r="E276" s="3" t="s">
        <v>2655</v>
      </c>
      <c r="F276" s="3">
        <v>2</v>
      </c>
      <c r="G276" s="3">
        <v>1</v>
      </c>
      <c r="H276" s="3">
        <v>2</v>
      </c>
      <c r="I276" s="3">
        <v>2</v>
      </c>
      <c r="J276" s="3" t="b">
        <v>0</v>
      </c>
      <c r="K276" s="4">
        <f>H276 - I276</f>
        <v>0</v>
      </c>
      <c r="L276" s="4">
        <f>IF(((H276 = 0)=TRUE),  0,  ROUND(100 * I276 / H276, 2))</f>
        <v>100</v>
      </c>
      <c r="M276" s="4" t="b">
        <f>K276 = 0</f>
        <v>1</v>
      </c>
      <c r="N276" s="4" t="str">
        <f>IF(((M276)=TRUE),  "",  D276)</f>
      </c>
      <c r="O276" s="4" t="str">
        <f>IF(((M276)=TRUE),  "",  E276)</f>
      </c>
      <c r="P276" s="4">
        <f>COUNTIFS(FieldDisagreements!E2:E50, A276)</f>
        <v>0</v>
      </c>
      <c r="Q276" s="4" t="str">
        <f>_xlfn.IFNA(IF(((INDEX(ConformanceSubstrates!C2:C9, MATCH(D276,ConformanceSubstrates!A2:A9, 0))="")=TRUE),  "",  INDEX(ConformanceSubstrates!C2:C9, MATCH(D276,ConformanceSubstrates!A2:A9, 0))), "")</f>
        <v>Go</v>
      </c>
      <c r="R276" s="4" t="str">
        <f>_xlfn.IFNA(IF(((INDEX(RulebookTables!F2:F93, MATCH(E276,RulebookTables!A2:A93, 0))="")=TRUE),  "",  INDEX(RulebookTables!F2:F93, MATCH(E276,RulebookTables!A2:A93, 0))), "")</f>
        <v>org</v>
      </c>
      <c r="S276" s="3" t="s">
        <v>1918</v>
      </c>
    </row>
    <row r="277">
      <c r="A277" s="3" t="s">
        <v>14380</v>
      </c>
      <c r="B277" s="4" t="str">
        <f>_xlfn.CONCAT(D277, " / ", E277)</f>
        <v>effortless-golang / Mentorships</v>
      </c>
      <c r="C277" s="3" t="s">
        <v>14074</v>
      </c>
      <c r="D277" s="3" t="s">
        <v>14035</v>
      </c>
      <c r="E277" s="3" t="s">
        <v>2664</v>
      </c>
      <c r="F277" s="3">
        <v>1</v>
      </c>
      <c r="G277" s="3">
        <v>1</v>
      </c>
      <c r="H277" s="3">
        <v>1</v>
      </c>
      <c r="I277" s="3">
        <v>1</v>
      </c>
      <c r="J277" s="3" t="b">
        <v>0</v>
      </c>
      <c r="K277" s="4">
        <f>H277 - I277</f>
        <v>0</v>
      </c>
      <c r="L277" s="4">
        <f>IF(((H277 = 0)=TRUE),  0,  ROUND(100 * I277 / H277, 2))</f>
        <v>100</v>
      </c>
      <c r="M277" s="4" t="b">
        <f>K277 = 0</f>
        <v>1</v>
      </c>
      <c r="N277" s="4" t="str">
        <f>IF(((M277)=TRUE),  "",  D277)</f>
      </c>
      <c r="O277" s="4" t="str">
        <f>IF(((M277)=TRUE),  "",  E277)</f>
      </c>
      <c r="P277" s="4">
        <f>COUNTIFS(FieldDisagreements!E2:E50, A277)</f>
        <v>0</v>
      </c>
      <c r="Q277" s="4" t="str">
        <f>_xlfn.IFNA(IF(((INDEX(ConformanceSubstrates!C2:C9, MATCH(D277,ConformanceSubstrates!A2:A9, 0))="")=TRUE),  "",  INDEX(ConformanceSubstrates!C2:C9, MATCH(D277,ConformanceSubstrates!A2:A9, 0))), "")</f>
        <v>Go</v>
      </c>
      <c r="R277" s="4" t="str">
        <f>_xlfn.IFNA(IF(((INDEX(RulebookTables!F2:F93, MATCH(E277,RulebookTables!A2:A93, 0))="")=TRUE),  "",  INDEX(RulebookTables!F2:F93, MATCH(E277,RulebookTables!A2:A93, 0))), "")</f>
        <v>org</v>
      </c>
      <c r="S277" s="3" t="s">
        <v>1918</v>
      </c>
    </row>
    <row r="278">
      <c r="A278" s="3" t="s">
        <v>14381</v>
      </c>
      <c r="B278" s="4" t="str">
        <f>_xlfn.CONCAT(D278, " / ", E278)</f>
        <v>effortless-golang / ProcedureTypes</v>
      </c>
      <c r="C278" s="3" t="s">
        <v>14074</v>
      </c>
      <c r="D278" s="3" t="s">
        <v>14035</v>
      </c>
      <c r="E278" s="3" t="s">
        <v>2676</v>
      </c>
      <c r="F278" s="3">
        <v>2</v>
      </c>
      <c r="G278" s="3">
        <v>1</v>
      </c>
      <c r="H278" s="3">
        <v>2</v>
      </c>
      <c r="I278" s="3">
        <v>2</v>
      </c>
      <c r="J278" s="3" t="b">
        <v>0</v>
      </c>
      <c r="K278" s="4">
        <f>H278 - I278</f>
        <v>0</v>
      </c>
      <c r="L278" s="4">
        <f>IF(((H278 = 0)=TRUE),  0,  ROUND(100 * I278 / H278, 2))</f>
        <v>100</v>
      </c>
      <c r="M278" s="4" t="b">
        <f>K278 = 0</f>
        <v>1</v>
      </c>
      <c r="N278" s="4" t="str">
        <f>IF(((M278)=TRUE),  "",  D278)</f>
      </c>
      <c r="O278" s="4" t="str">
        <f>IF(((M278)=TRUE),  "",  E278)</f>
      </c>
      <c r="P278" s="4">
        <f>COUNTIFS(FieldDisagreements!E2:E50, A278)</f>
        <v>0</v>
      </c>
      <c r="Q278" s="4" t="str">
        <f>_xlfn.IFNA(IF(((INDEX(ConformanceSubstrates!C2:C9, MATCH(D278,ConformanceSubstrates!A2:A9, 0))="")=TRUE),  "",  INDEX(ConformanceSubstrates!C2:C9, MATCH(D278,ConformanceSubstrates!A2:A9, 0))), "")</f>
        <v>Go</v>
      </c>
      <c r="R278" s="4" t="str">
        <f>_xlfn.IFNA(IF(((INDEX(RulebookTables!F2:F93, MATCH(E278,RulebookTables!A2:A93, 0))="")=TRUE),  "",  INDEX(RulebookTables!F2:F93, MATCH(E278,RulebookTables!A2:A93, 0))), "")</f>
        <v>specification</v>
      </c>
      <c r="S278" s="3" t="s">
        <v>1918</v>
      </c>
    </row>
    <row r="279">
      <c r="A279" s="3" t="s">
        <v>14382</v>
      </c>
      <c r="B279" s="4" t="str">
        <f>_xlfn.CONCAT(D279, " / ", E279)</f>
        <v>effortless-golang / Procedures</v>
      </c>
      <c r="C279" s="3" t="s">
        <v>14074</v>
      </c>
      <c r="D279" s="3" t="s">
        <v>14035</v>
      </c>
      <c r="E279" s="3" t="s">
        <v>1762</v>
      </c>
      <c r="F279" s="3">
        <v>2</v>
      </c>
      <c r="G279" s="3">
        <v>1</v>
      </c>
      <c r="H279" s="3">
        <v>2</v>
      </c>
      <c r="I279" s="3">
        <v>2</v>
      </c>
      <c r="J279" s="3" t="b">
        <v>0</v>
      </c>
      <c r="K279" s="4">
        <f>H279 - I279</f>
        <v>0</v>
      </c>
      <c r="L279" s="4">
        <f>IF(((H279 = 0)=TRUE),  0,  ROUND(100 * I279 / H279, 2))</f>
        <v>100</v>
      </c>
      <c r="M279" s="4" t="b">
        <f>K279 = 0</f>
        <v>1</v>
      </c>
      <c r="N279" s="4" t="str">
        <f>IF(((M279)=TRUE),  "",  D279)</f>
      </c>
      <c r="O279" s="4" t="str">
        <f>IF(((M279)=TRUE),  "",  E279)</f>
      </c>
      <c r="P279" s="4">
        <f>COUNTIFS(FieldDisagreements!E2:E50, A279)</f>
        <v>0</v>
      </c>
      <c r="Q279" s="4" t="str">
        <f>_xlfn.IFNA(IF(((INDEX(ConformanceSubstrates!C2:C9, MATCH(D279,ConformanceSubstrates!A2:A9, 0))="")=TRUE),  "",  INDEX(ConformanceSubstrates!C2:C9, MATCH(D279,ConformanceSubstrates!A2:A9, 0))), "")</f>
        <v>Go</v>
      </c>
      <c r="R279" s="4" t="str">
        <f>_xlfn.IFNA(IF(((INDEX(RulebookTables!F2:F93, MATCH(E279,RulebookTables!A2:A93, 0))="")=TRUE),  "",  INDEX(RulebookTables!F2:F93, MATCH(E279,RulebookTables!A2:A93, 0))), "")</f>
        <v>specification</v>
      </c>
      <c r="S279" s="3" t="s">
        <v>1918</v>
      </c>
    </row>
    <row r="280">
      <c r="A280" s="3" t="s">
        <v>14383</v>
      </c>
      <c r="B280" s="4" t="str">
        <f>_xlfn.CONCAT(D280, " / ", E280)</f>
        <v>effortless-golang / ProcedureVersions</v>
      </c>
      <c r="C280" s="3" t="s">
        <v>14074</v>
      </c>
      <c r="D280" s="3" t="s">
        <v>14035</v>
      </c>
      <c r="E280" s="3" t="s">
        <v>1767</v>
      </c>
      <c r="F280" s="3">
        <v>3</v>
      </c>
      <c r="G280" s="3">
        <v>73</v>
      </c>
      <c r="H280" s="3">
        <v>219</v>
      </c>
      <c r="I280" s="3">
        <v>219</v>
      </c>
      <c r="J280" s="3" t="b">
        <v>0</v>
      </c>
      <c r="K280" s="4">
        <f>H280 - I280</f>
        <v>0</v>
      </c>
      <c r="L280" s="4">
        <f>IF(((H280 = 0)=TRUE),  0,  ROUND(100 * I280 / H280, 2))</f>
        <v>100</v>
      </c>
      <c r="M280" s="4" t="b">
        <f>K280 = 0</f>
        <v>1</v>
      </c>
      <c r="N280" s="4" t="str">
        <f>IF(((M280)=TRUE),  "",  D280)</f>
      </c>
      <c r="O280" s="4" t="str">
        <f>IF(((M280)=TRUE),  "",  E280)</f>
      </c>
      <c r="P280" s="4">
        <f>COUNTIFS(FieldDisagreements!E2:E50, A280)</f>
        <v>0</v>
      </c>
      <c r="Q280" s="4" t="str">
        <f>_xlfn.IFNA(IF(((INDEX(ConformanceSubstrates!C2:C9, MATCH(D280,ConformanceSubstrates!A2:A9, 0))="")=TRUE),  "",  INDEX(ConformanceSubstrates!C2:C9, MATCH(D280,ConformanceSubstrates!A2:A9, 0))), "")</f>
        <v>Go</v>
      </c>
      <c r="R280" s="4" t="str">
        <f>_xlfn.IFNA(IF(((INDEX(RulebookTables!F2:F93, MATCH(E280,RulebookTables!A2:A93, 0))="")=TRUE),  "",  INDEX(RulebookTables!F2:F93, MATCH(E280,RulebookTables!A2:A93, 0))), "")</f>
        <v>specification</v>
      </c>
      <c r="S280" s="3" t="s">
        <v>1918</v>
      </c>
    </row>
    <row r="281">
      <c r="A281" s="3" t="s">
        <v>14384</v>
      </c>
      <c r="B281" s="4" t="str">
        <f>_xlfn.CONCAT(D281, " / ", E281)</f>
        <v>effortless-golang / ProcedureVersionLinks</v>
      </c>
      <c r="C281" s="3" t="s">
        <v>14074</v>
      </c>
      <c r="D281" s="3" t="s">
        <v>14035</v>
      </c>
      <c r="E281" s="3" t="s">
        <v>2851</v>
      </c>
      <c r="F281" s="3">
        <v>1</v>
      </c>
      <c r="G281" s="3">
        <v>2</v>
      </c>
      <c r="H281" s="3">
        <v>2</v>
      </c>
      <c r="I281" s="3">
        <v>2</v>
      </c>
      <c r="J281" s="3" t="b">
        <v>0</v>
      </c>
      <c r="K281" s="4">
        <f>H281 - I281</f>
        <v>0</v>
      </c>
      <c r="L281" s="4">
        <f>IF(((H281 = 0)=TRUE),  0,  ROUND(100 * I281 / H281, 2))</f>
        <v>100</v>
      </c>
      <c r="M281" s="4" t="b">
        <f>K281 = 0</f>
        <v>1</v>
      </c>
      <c r="N281" s="4" t="str">
        <f>IF(((M281)=TRUE),  "",  D281)</f>
      </c>
      <c r="O281" s="4" t="str">
        <f>IF(((M281)=TRUE),  "",  E281)</f>
      </c>
      <c r="P281" s="4">
        <f>COUNTIFS(FieldDisagreements!E2:E50, A281)</f>
        <v>0</v>
      </c>
      <c r="Q281" s="4" t="str">
        <f>_xlfn.IFNA(IF(((INDEX(ConformanceSubstrates!C2:C9, MATCH(D281,ConformanceSubstrates!A2:A9, 0))="")=TRUE),  "",  INDEX(ConformanceSubstrates!C2:C9, MATCH(D281,ConformanceSubstrates!A2:A9, 0))), "")</f>
        <v>Go</v>
      </c>
      <c r="R281" s="4" t="str">
        <f>_xlfn.IFNA(IF(((INDEX(RulebookTables!F2:F93, MATCH(E281,RulebookTables!A2:A93, 0))="")=TRUE),  "",  INDEX(RulebookTables!F2:F93, MATCH(E281,RulebookTables!A2:A93, 0))), "")</f>
        <v>specification</v>
      </c>
      <c r="S281" s="3" t="s">
        <v>1918</v>
      </c>
    </row>
    <row r="282">
      <c r="A282" s="3" t="s">
        <v>14385</v>
      </c>
      <c r="B282" s="4" t="str">
        <f>_xlfn.CONCAT(D282, " / ", E282)</f>
        <v>effortless-golang / ProcedureStatusChanges</v>
      </c>
      <c r="C282" s="3" t="s">
        <v>14074</v>
      </c>
      <c r="D282" s="3" t="s">
        <v>14035</v>
      </c>
      <c r="E282" s="3" t="s">
        <v>1775</v>
      </c>
      <c r="F282" s="3">
        <v>5</v>
      </c>
      <c r="G282" s="3">
        <v>1</v>
      </c>
      <c r="H282" s="3">
        <v>5</v>
      </c>
      <c r="I282" s="3">
        <v>5</v>
      </c>
      <c r="J282" s="3" t="b">
        <v>0</v>
      </c>
      <c r="K282" s="4">
        <f>H282 - I282</f>
        <v>0</v>
      </c>
      <c r="L282" s="4">
        <f>IF(((H282 = 0)=TRUE),  0,  ROUND(100 * I282 / H282, 2))</f>
        <v>100</v>
      </c>
      <c r="M282" s="4" t="b">
        <f>K282 = 0</f>
        <v>1</v>
      </c>
      <c r="N282" s="4" t="str">
        <f>IF(((M282)=TRUE),  "",  D282)</f>
      </c>
      <c r="O282" s="4" t="str">
        <f>IF(((M282)=TRUE),  "",  E282)</f>
      </c>
      <c r="P282" s="4">
        <f>COUNTIFS(FieldDisagreements!E2:E50, A282)</f>
        <v>0</v>
      </c>
      <c r="Q282" s="4" t="str">
        <f>_xlfn.IFNA(IF(((INDEX(ConformanceSubstrates!C2:C9, MATCH(D282,ConformanceSubstrates!A2:A9, 0))="")=TRUE),  "",  INDEX(ConformanceSubstrates!C2:C9, MATCH(D282,ConformanceSubstrates!A2:A9, 0))), "")</f>
        <v>Go</v>
      </c>
      <c r="R282" s="4" t="str">
        <f>_xlfn.IFNA(IF(((INDEX(RulebookTables!F2:F93, MATCH(E282,RulebookTables!A2:A93, 0))="")=TRUE),  "",  INDEX(RulebookTables!F2:F93, MATCH(E282,RulebookTables!A2:A93, 0))), "")</f>
        <v>specification</v>
      </c>
      <c r="S282" s="3" t="s">
        <v>1918</v>
      </c>
    </row>
    <row r="283">
      <c r="A283" s="3" t="s">
        <v>14386</v>
      </c>
      <c r="B283" s="4" t="str">
        <f>_xlfn.CONCAT(D283, " / ", E283)</f>
        <v>effortless-golang / Steps</v>
      </c>
      <c r="C283" s="3" t="s">
        <v>14074</v>
      </c>
      <c r="D283" s="3" t="s">
        <v>14035</v>
      </c>
      <c r="E283" s="3" t="s">
        <v>1778</v>
      </c>
      <c r="F283" s="3">
        <v>17</v>
      </c>
      <c r="G283" s="3">
        <v>42</v>
      </c>
      <c r="H283" s="3">
        <v>714</v>
      </c>
      <c r="I283" s="3">
        <v>714</v>
      </c>
      <c r="J283" s="3" t="b">
        <v>0</v>
      </c>
      <c r="K283" s="4">
        <f>H283 - I283</f>
        <v>0</v>
      </c>
      <c r="L283" s="4">
        <f>IF(((H283 = 0)=TRUE),  0,  ROUND(100 * I283 / H283, 2))</f>
        <v>100</v>
      </c>
      <c r="M283" s="4" t="b">
        <f>K283 = 0</f>
        <v>1</v>
      </c>
      <c r="N283" s="4" t="str">
        <f>IF(((M283)=TRUE),  "",  D283)</f>
      </c>
      <c r="O283" s="4" t="str">
        <f>IF(((M283)=TRUE),  "",  E283)</f>
      </c>
      <c r="P283" s="4">
        <f>COUNTIFS(FieldDisagreements!E2:E50, A283)</f>
        <v>0</v>
      </c>
      <c r="Q283" s="4" t="str">
        <f>_xlfn.IFNA(IF(((INDEX(ConformanceSubstrates!C2:C9, MATCH(D283,ConformanceSubstrates!A2:A9, 0))="")=TRUE),  "",  INDEX(ConformanceSubstrates!C2:C9, MATCH(D283,ConformanceSubstrates!A2:A9, 0))), "")</f>
        <v>Go</v>
      </c>
      <c r="R283" s="4" t="str">
        <f>_xlfn.IFNA(IF(((INDEX(RulebookTables!F2:F93, MATCH(E283,RulebookTables!A2:A93, 0))="")=TRUE),  "",  INDEX(RulebookTables!F2:F93, MATCH(E283,RulebookTables!A2:A93, 0))), "")</f>
        <v>specification</v>
      </c>
      <c r="S283" s="3" t="s">
        <v>1918</v>
      </c>
    </row>
    <row r="284">
      <c r="A284" s="3" t="s">
        <v>14387</v>
      </c>
      <c r="B284" s="4" t="str">
        <f>_xlfn.CONCAT(D284, " / ", E284)</f>
        <v>effortless-golang / StepTransitions</v>
      </c>
      <c r="C284" s="3" t="s">
        <v>14074</v>
      </c>
      <c r="D284" s="3" t="s">
        <v>14035</v>
      </c>
      <c r="E284" s="3" t="s">
        <v>1784</v>
      </c>
      <c r="F284" s="3">
        <v>20</v>
      </c>
      <c r="G284" s="3">
        <v>18</v>
      </c>
      <c r="H284" s="3">
        <v>360</v>
      </c>
      <c r="I284" s="3">
        <v>360</v>
      </c>
      <c r="J284" s="3" t="b">
        <v>0</v>
      </c>
      <c r="K284" s="4">
        <f>H284 - I284</f>
        <v>0</v>
      </c>
      <c r="L284" s="4">
        <f>IF(((H284 = 0)=TRUE),  0,  ROUND(100 * I284 / H284, 2))</f>
        <v>100</v>
      </c>
      <c r="M284" s="4" t="b">
        <f>K284 = 0</f>
        <v>1</v>
      </c>
      <c r="N284" s="4" t="str">
        <f>IF(((M284)=TRUE),  "",  D284)</f>
      </c>
      <c r="O284" s="4" t="str">
        <f>IF(((M284)=TRUE),  "",  E284)</f>
      </c>
      <c r="P284" s="4">
        <f>COUNTIFS(FieldDisagreements!E2:E50, A284)</f>
        <v>0</v>
      </c>
      <c r="Q284" s="4" t="str">
        <f>_xlfn.IFNA(IF(((INDEX(ConformanceSubstrates!C2:C9, MATCH(D284,ConformanceSubstrates!A2:A9, 0))="")=TRUE),  "",  INDEX(ConformanceSubstrates!C2:C9, MATCH(D284,ConformanceSubstrates!A2:A9, 0))), "")</f>
        <v>Go</v>
      </c>
      <c r="R284" s="4" t="str">
        <f>_xlfn.IFNA(IF(((INDEX(RulebookTables!F2:F93, MATCH(E284,RulebookTables!A2:A93, 0))="")=TRUE),  "",  INDEX(RulebookTables!F2:F93, MATCH(E284,RulebookTables!A2:A93, 0))), "")</f>
        <v>specification</v>
      </c>
      <c r="S284" s="3" t="s">
        <v>1918</v>
      </c>
    </row>
    <row r="285">
      <c r="A285" s="3" t="s">
        <v>14388</v>
      </c>
      <c r="B285" s="4" t="str">
        <f>_xlfn.CONCAT(D285, " / ", E285)</f>
        <v>effortless-golang / Actions</v>
      </c>
      <c r="C285" s="3" t="s">
        <v>14074</v>
      </c>
      <c r="D285" s="3" t="s">
        <v>14035</v>
      </c>
      <c r="E285" s="3" t="s">
        <v>1796</v>
      </c>
      <c r="F285" s="3">
        <v>9</v>
      </c>
      <c r="G285" s="3">
        <v>1</v>
      </c>
      <c r="H285" s="3">
        <v>9</v>
      </c>
      <c r="I285" s="3">
        <v>9</v>
      </c>
      <c r="J285" s="3" t="b">
        <v>0</v>
      </c>
      <c r="K285" s="4">
        <f>H285 - I285</f>
        <v>0</v>
      </c>
      <c r="L285" s="4">
        <f>IF(((H285 = 0)=TRUE),  0,  ROUND(100 * I285 / H285, 2))</f>
        <v>100</v>
      </c>
      <c r="M285" s="4" t="b">
        <f>K285 = 0</f>
        <v>1</v>
      </c>
      <c r="N285" s="4" t="str">
        <f>IF(((M285)=TRUE),  "",  D285)</f>
      </c>
      <c r="O285" s="4" t="str">
        <f>IF(((M285)=TRUE),  "",  E285)</f>
      </c>
      <c r="P285" s="4">
        <f>COUNTIFS(FieldDisagreements!E2:E50, A285)</f>
        <v>0</v>
      </c>
      <c r="Q285" s="4" t="str">
        <f>_xlfn.IFNA(IF(((INDEX(ConformanceSubstrates!C2:C9, MATCH(D285,ConformanceSubstrates!A2:A9, 0))="")=TRUE),  "",  INDEX(ConformanceSubstrates!C2:C9, MATCH(D285,ConformanceSubstrates!A2:A9, 0))), "")</f>
        <v>Go</v>
      </c>
      <c r="R285" s="4" t="str">
        <f>_xlfn.IFNA(IF(((INDEX(RulebookTables!F2:F93, MATCH(E285,RulebookTables!A2:A93, 0))="")=TRUE),  "",  INDEX(RulebookTables!F2:F93, MATCH(E285,RulebookTables!A2:A93, 0))), "")</f>
        <v>specification</v>
      </c>
      <c r="S285" s="3" t="s">
        <v>1918</v>
      </c>
    </row>
    <row r="286">
      <c r="A286" s="3" t="s">
        <v>14389</v>
      </c>
      <c r="B286" s="4" t="str">
        <f>_xlfn.CONCAT(D286, " / ", E286)</f>
        <v>effortless-golang / Functions</v>
      </c>
      <c r="C286" s="3" t="s">
        <v>14074</v>
      </c>
      <c r="D286" s="3" t="s">
        <v>14035</v>
      </c>
      <c r="E286" s="3" t="s">
        <v>1799</v>
      </c>
      <c r="F286" s="3">
        <v>8</v>
      </c>
      <c r="G286" s="3">
        <v>1</v>
      </c>
      <c r="H286" s="3">
        <v>8</v>
      </c>
      <c r="I286" s="3">
        <v>8</v>
      </c>
      <c r="J286" s="3" t="b">
        <v>0</v>
      </c>
      <c r="K286" s="4">
        <f>H286 - I286</f>
        <v>0</v>
      </c>
      <c r="L286" s="4">
        <f>IF(((H286 = 0)=TRUE),  0,  ROUND(100 * I286 / H286, 2))</f>
        <v>100</v>
      </c>
      <c r="M286" s="4" t="b">
        <f>K286 = 0</f>
        <v>1</v>
      </c>
      <c r="N286" s="4" t="str">
        <f>IF(((M286)=TRUE),  "",  D286)</f>
      </c>
      <c r="O286" s="4" t="str">
        <f>IF(((M286)=TRUE),  "",  E286)</f>
      </c>
      <c r="P286" s="4">
        <f>COUNTIFS(FieldDisagreements!E2:E50, A286)</f>
        <v>0</v>
      </c>
      <c r="Q286" s="4" t="str">
        <f>_xlfn.IFNA(IF(((INDEX(ConformanceSubstrates!C2:C9, MATCH(D286,ConformanceSubstrates!A2:A9, 0))="")=TRUE),  "",  INDEX(ConformanceSubstrates!C2:C9, MATCH(D286,ConformanceSubstrates!A2:A9, 0))), "")</f>
        <v>Go</v>
      </c>
      <c r="R286" s="4" t="str">
        <f>_xlfn.IFNA(IF(((INDEX(RulebookTables!F2:F93, MATCH(E286,RulebookTables!A2:A93, 0))="")=TRUE),  "",  INDEX(RulebookTables!F2:F93, MATCH(E286,RulebookTables!A2:A93, 0))), "")</f>
        <v>specification</v>
      </c>
      <c r="S286" s="3" t="s">
        <v>1918</v>
      </c>
    </row>
    <row r="287">
      <c r="A287" s="3" t="s">
        <v>14390</v>
      </c>
      <c r="B287" s="4" t="str">
        <f>_xlfn.CONCAT(D287, " / ", E287)</f>
        <v>effortless-golang / Tools</v>
      </c>
      <c r="C287" s="3" t="s">
        <v>14074</v>
      </c>
      <c r="D287" s="3" t="s">
        <v>14035</v>
      </c>
      <c r="E287" s="3" t="s">
        <v>1802</v>
      </c>
      <c r="F287" s="3">
        <v>8</v>
      </c>
      <c r="G287" s="3">
        <v>1</v>
      </c>
      <c r="H287" s="3">
        <v>8</v>
      </c>
      <c r="I287" s="3">
        <v>8</v>
      </c>
      <c r="J287" s="3" t="b">
        <v>0</v>
      </c>
      <c r="K287" s="4">
        <f>H287 - I287</f>
        <v>0</v>
      </c>
      <c r="L287" s="4">
        <f>IF(((H287 = 0)=TRUE),  0,  ROUND(100 * I287 / H287, 2))</f>
        <v>100</v>
      </c>
      <c r="M287" s="4" t="b">
        <f>K287 = 0</f>
        <v>1</v>
      </c>
      <c r="N287" s="4" t="str">
        <f>IF(((M287)=TRUE),  "",  D287)</f>
      </c>
      <c r="O287" s="4" t="str">
        <f>IF(((M287)=TRUE),  "",  E287)</f>
      </c>
      <c r="P287" s="4">
        <f>COUNTIFS(FieldDisagreements!E2:E50, A287)</f>
        <v>0</v>
      </c>
      <c r="Q287" s="4" t="str">
        <f>_xlfn.IFNA(IF(((INDEX(ConformanceSubstrates!C2:C9, MATCH(D287,ConformanceSubstrates!A2:A9, 0))="")=TRUE),  "",  INDEX(ConformanceSubstrates!C2:C9, MATCH(D287,ConformanceSubstrates!A2:A9, 0))), "")</f>
        <v>Go</v>
      </c>
      <c r="R287" s="4" t="str">
        <f>_xlfn.IFNA(IF(((INDEX(RulebookTables!F2:F93, MATCH(E287,RulebookTables!A2:A93, 0))="")=TRUE),  "",  INDEX(RulebookTables!F2:F93, MATCH(E287,RulebookTables!A2:A93, 0))), "")</f>
        <v>specification</v>
      </c>
      <c r="S287" s="3" t="s">
        <v>1918</v>
      </c>
    </row>
    <row r="288">
      <c r="A288" s="3" t="s">
        <v>14391</v>
      </c>
      <c r="B288" s="4" t="str">
        <f>_xlfn.CONCAT(D288, " / ", E288)</f>
        <v>effortless-golang / StepActions</v>
      </c>
      <c r="C288" s="3" t="s">
        <v>14074</v>
      </c>
      <c r="D288" s="3" t="s">
        <v>14035</v>
      </c>
      <c r="E288" s="3" t="s">
        <v>3028</v>
      </c>
      <c r="F288" s="3">
        <v>9</v>
      </c>
      <c r="G288" s="3">
        <v>1</v>
      </c>
      <c r="H288" s="3">
        <v>9</v>
      </c>
      <c r="I288" s="3">
        <v>9</v>
      </c>
      <c r="J288" s="3" t="b">
        <v>0</v>
      </c>
      <c r="K288" s="4">
        <f>H288 - I288</f>
        <v>0</v>
      </c>
      <c r="L288" s="4">
        <f>IF(((H288 = 0)=TRUE),  0,  ROUND(100 * I288 / H288, 2))</f>
        <v>100</v>
      </c>
      <c r="M288" s="4" t="b">
        <f>K288 = 0</f>
        <v>1</v>
      </c>
      <c r="N288" s="4" t="str">
        <f>IF(((M288)=TRUE),  "",  D288)</f>
      </c>
      <c r="O288" s="4" t="str">
        <f>IF(((M288)=TRUE),  "",  E288)</f>
      </c>
      <c r="P288" s="4">
        <f>COUNTIFS(FieldDisagreements!E2:E50, A288)</f>
        <v>0</v>
      </c>
      <c r="Q288" s="4" t="str">
        <f>_xlfn.IFNA(IF(((INDEX(ConformanceSubstrates!C2:C9, MATCH(D288,ConformanceSubstrates!A2:A9, 0))="")=TRUE),  "",  INDEX(ConformanceSubstrates!C2:C9, MATCH(D288,ConformanceSubstrates!A2:A9, 0))), "")</f>
        <v>Go</v>
      </c>
      <c r="R288" s="4" t="str">
        <f>_xlfn.IFNA(IF(((INDEX(RulebookTables!F2:F93, MATCH(E288,RulebookTables!A2:A93, 0))="")=TRUE),  "",  INDEX(RulebookTables!F2:F93, MATCH(E288,RulebookTables!A2:A93, 0))), "")</f>
        <v>specification</v>
      </c>
      <c r="S288" s="3" t="s">
        <v>1918</v>
      </c>
    </row>
    <row r="289">
      <c r="A289" s="3" t="s">
        <v>14392</v>
      </c>
      <c r="B289" s="4" t="str">
        <f>_xlfn.CONCAT(D289, " / ", E289)</f>
        <v>effortless-golang / StepFunctions</v>
      </c>
      <c r="C289" s="3" t="s">
        <v>14074</v>
      </c>
      <c r="D289" s="3" t="s">
        <v>14035</v>
      </c>
      <c r="E289" s="3" t="s">
        <v>3034</v>
      </c>
      <c r="F289" s="3">
        <v>8</v>
      </c>
      <c r="G289" s="3">
        <v>1</v>
      </c>
      <c r="H289" s="3">
        <v>8</v>
      </c>
      <c r="I289" s="3">
        <v>8</v>
      </c>
      <c r="J289" s="3" t="b">
        <v>0</v>
      </c>
      <c r="K289" s="4">
        <f>H289 - I289</f>
        <v>0</v>
      </c>
      <c r="L289" s="4">
        <f>IF(((H289 = 0)=TRUE),  0,  ROUND(100 * I289 / H289, 2))</f>
        <v>100</v>
      </c>
      <c r="M289" s="4" t="b">
        <f>K289 = 0</f>
        <v>1</v>
      </c>
      <c r="N289" s="4" t="str">
        <f>IF(((M289)=TRUE),  "",  D289)</f>
      </c>
      <c r="O289" s="4" t="str">
        <f>IF(((M289)=TRUE),  "",  E289)</f>
      </c>
      <c r="P289" s="4">
        <f>COUNTIFS(FieldDisagreements!E2:E50, A289)</f>
        <v>0</v>
      </c>
      <c r="Q289" s="4" t="str">
        <f>_xlfn.IFNA(IF(((INDEX(ConformanceSubstrates!C2:C9, MATCH(D289,ConformanceSubstrates!A2:A9, 0))="")=TRUE),  "",  INDEX(ConformanceSubstrates!C2:C9, MATCH(D289,ConformanceSubstrates!A2:A9, 0))), "")</f>
        <v>Go</v>
      </c>
      <c r="R289" s="4" t="str">
        <f>_xlfn.IFNA(IF(((INDEX(RulebookTables!F2:F93, MATCH(E289,RulebookTables!A2:A93, 0))="")=TRUE),  "",  INDEX(RulebookTables!F2:F93, MATCH(E289,RulebookTables!A2:A93, 0))), "")</f>
        <v>specification</v>
      </c>
      <c r="S289" s="3" t="s">
        <v>1918</v>
      </c>
    </row>
    <row r="290">
      <c r="A290" s="3" t="s">
        <v>14393</v>
      </c>
      <c r="B290" s="4" t="str">
        <f>_xlfn.CONCAT(D290, " / ", E290)</f>
        <v>effortless-golang / StepTools</v>
      </c>
      <c r="C290" s="3" t="s">
        <v>14074</v>
      </c>
      <c r="D290" s="3" t="s">
        <v>14035</v>
      </c>
      <c r="E290" s="3" t="s">
        <v>3040</v>
      </c>
      <c r="F290" s="3">
        <v>10</v>
      </c>
      <c r="G290" s="3">
        <v>1</v>
      </c>
      <c r="H290" s="3">
        <v>10</v>
      </c>
      <c r="I290" s="3">
        <v>10</v>
      </c>
      <c r="J290" s="3" t="b">
        <v>0</v>
      </c>
      <c r="K290" s="4">
        <f>H290 - I290</f>
        <v>0</v>
      </c>
      <c r="L290" s="4">
        <f>IF(((H290 = 0)=TRUE),  0,  ROUND(100 * I290 / H290, 2))</f>
        <v>100</v>
      </c>
      <c r="M290" s="4" t="b">
        <f>K290 = 0</f>
        <v>1</v>
      </c>
      <c r="N290" s="4" t="str">
        <f>IF(((M290)=TRUE),  "",  D290)</f>
      </c>
      <c r="O290" s="4" t="str">
        <f>IF(((M290)=TRUE),  "",  E290)</f>
      </c>
      <c r="P290" s="4">
        <f>COUNTIFS(FieldDisagreements!E2:E50, A290)</f>
        <v>0</v>
      </c>
      <c r="Q290" s="4" t="str">
        <f>_xlfn.IFNA(IF(((INDEX(ConformanceSubstrates!C2:C9, MATCH(D290,ConformanceSubstrates!A2:A9, 0))="")=TRUE),  "",  INDEX(ConformanceSubstrates!C2:C9, MATCH(D290,ConformanceSubstrates!A2:A9, 0))), "")</f>
        <v>Go</v>
      </c>
      <c r="R290" s="4" t="str">
        <f>_xlfn.IFNA(IF(((INDEX(RulebookTables!F2:F93, MATCH(E290,RulebookTables!A2:A93, 0))="")=TRUE),  "",  INDEX(RulebookTables!F2:F93, MATCH(E290,RulebookTables!A2:A93, 0))), "")</f>
        <v>specification</v>
      </c>
      <c r="S290" s="3" t="s">
        <v>1918</v>
      </c>
    </row>
    <row r="291">
      <c r="A291" s="3" t="s">
        <v>14394</v>
      </c>
      <c r="B291" s="4" t="str">
        <f>_xlfn.CONCAT(D291, " / ", E291)</f>
        <v>effortless-golang / Requirements</v>
      </c>
      <c r="C291" s="3" t="s">
        <v>14074</v>
      </c>
      <c r="D291" s="3" t="s">
        <v>14035</v>
      </c>
      <c r="E291" s="3" t="s">
        <v>1805</v>
      </c>
      <c r="F291" s="3">
        <v>13</v>
      </c>
      <c r="G291" s="3">
        <v>31</v>
      </c>
      <c r="H291" s="3">
        <v>403</v>
      </c>
      <c r="I291" s="3">
        <v>403</v>
      </c>
      <c r="J291" s="3" t="b">
        <v>0</v>
      </c>
      <c r="K291" s="4">
        <f>H291 - I291</f>
        <v>0</v>
      </c>
      <c r="L291" s="4">
        <f>IF(((H291 = 0)=TRUE),  0,  ROUND(100 * I291 / H291, 2))</f>
        <v>100</v>
      </c>
      <c r="M291" s="4" t="b">
        <f>K291 = 0</f>
        <v>1</v>
      </c>
      <c r="N291" s="4" t="str">
        <f>IF(((M291)=TRUE),  "",  D291)</f>
      </c>
      <c r="O291" s="4" t="str">
        <f>IF(((M291)=TRUE),  "",  E291)</f>
      </c>
      <c r="P291" s="4">
        <f>COUNTIFS(FieldDisagreements!E2:E50, A291)</f>
        <v>0</v>
      </c>
      <c r="Q291" s="4" t="str">
        <f>_xlfn.IFNA(IF(((INDEX(ConformanceSubstrates!C2:C9, MATCH(D291,ConformanceSubstrates!A2:A9, 0))="")=TRUE),  "",  INDEX(ConformanceSubstrates!C2:C9, MATCH(D291,ConformanceSubstrates!A2:A9, 0))), "")</f>
        <v>Go</v>
      </c>
      <c r="R291" s="4" t="str">
        <f>_xlfn.IFNA(IF(((INDEX(RulebookTables!F2:F93, MATCH(E291,RulebookTables!A2:A93, 0))="")=TRUE),  "",  INDEX(RulebookTables!F2:F93, MATCH(E291,RulebookTables!A2:A93, 0))), "")</f>
        <v>governance</v>
      </c>
      <c r="S291" s="3" t="s">
        <v>1918</v>
      </c>
    </row>
    <row r="292">
      <c r="A292" s="3" t="s">
        <v>14395</v>
      </c>
      <c r="B292" s="4" t="str">
        <f>_xlfn.CONCAT(D292, " / ", E292)</f>
        <v>effortless-golang / StepRequirements</v>
      </c>
      <c r="C292" s="3" t="s">
        <v>14074</v>
      </c>
      <c r="D292" s="3" t="s">
        <v>14035</v>
      </c>
      <c r="E292" s="3" t="s">
        <v>3119</v>
      </c>
      <c r="F292" s="3">
        <v>15</v>
      </c>
      <c r="G292" s="3">
        <v>10</v>
      </c>
      <c r="H292" s="3">
        <v>150</v>
      </c>
      <c r="I292" s="3">
        <v>150</v>
      </c>
      <c r="J292" s="3" t="b">
        <v>0</v>
      </c>
      <c r="K292" s="4">
        <f>H292 - I292</f>
        <v>0</v>
      </c>
      <c r="L292" s="4">
        <f>IF(((H292 = 0)=TRUE),  0,  ROUND(100 * I292 / H292, 2))</f>
        <v>100</v>
      </c>
      <c r="M292" s="4" t="b">
        <f>K292 = 0</f>
        <v>1</v>
      </c>
      <c r="N292" s="4" t="str">
        <f>IF(((M292)=TRUE),  "",  D292)</f>
      </c>
      <c r="O292" s="4" t="str">
        <f>IF(((M292)=TRUE),  "",  E292)</f>
      </c>
      <c r="P292" s="4">
        <f>COUNTIFS(FieldDisagreements!E2:E50, A292)</f>
        <v>0</v>
      </c>
      <c r="Q292" s="4" t="str">
        <f>_xlfn.IFNA(IF(((INDEX(ConformanceSubstrates!C2:C9, MATCH(D292,ConformanceSubstrates!A2:A9, 0))="")=TRUE),  "",  INDEX(ConformanceSubstrates!C2:C9, MATCH(D292,ConformanceSubstrates!A2:A9, 0))), "")</f>
        <v>Go</v>
      </c>
      <c r="R292" s="4" t="str">
        <f>_xlfn.IFNA(IF(((INDEX(RulebookTables!F2:F93, MATCH(E292,RulebookTables!A2:A93, 0))="")=TRUE),  "",  INDEX(RulebookTables!F2:F93, MATCH(E292,RulebookTables!A2:A93, 0))), "")</f>
        <v>specification</v>
      </c>
      <c r="S292" s="3" t="s">
        <v>1918</v>
      </c>
    </row>
    <row r="293">
      <c r="A293" s="3" t="s">
        <v>14396</v>
      </c>
      <c r="B293" s="4" t="str">
        <f>_xlfn.CONCAT(D293, " / ", E293)</f>
        <v>effortless-golang / StepVerifications</v>
      </c>
      <c r="C293" s="3" t="s">
        <v>14074</v>
      </c>
      <c r="D293" s="3" t="s">
        <v>14035</v>
      </c>
      <c r="E293" s="3" t="s">
        <v>1808</v>
      </c>
      <c r="F293" s="3">
        <v>11</v>
      </c>
      <c r="G293" s="3">
        <v>1</v>
      </c>
      <c r="H293" s="3">
        <v>11</v>
      </c>
      <c r="I293" s="3">
        <v>11</v>
      </c>
      <c r="J293" s="3" t="b">
        <v>0</v>
      </c>
      <c r="K293" s="4">
        <f>H293 - I293</f>
        <v>0</v>
      </c>
      <c r="L293" s="4">
        <f>IF(((H293 = 0)=TRUE),  0,  ROUND(100 * I293 / H293, 2))</f>
        <v>100</v>
      </c>
      <c r="M293" s="4" t="b">
        <f>K293 = 0</f>
        <v>1</v>
      </c>
      <c r="N293" s="4" t="str">
        <f>IF(((M293)=TRUE),  "",  D293)</f>
      </c>
      <c r="O293" s="4" t="str">
        <f>IF(((M293)=TRUE),  "",  E293)</f>
      </c>
      <c r="P293" s="4">
        <f>COUNTIFS(FieldDisagreements!E2:E50, A293)</f>
        <v>0</v>
      </c>
      <c r="Q293" s="4" t="str">
        <f>_xlfn.IFNA(IF(((INDEX(ConformanceSubstrates!C2:C9, MATCH(D293,ConformanceSubstrates!A2:A9, 0))="")=TRUE),  "",  INDEX(ConformanceSubstrates!C2:C9, MATCH(D293,ConformanceSubstrates!A2:A9, 0))), "")</f>
        <v>Go</v>
      </c>
      <c r="R293" s="4" t="str">
        <f>_xlfn.IFNA(IF(((INDEX(RulebookTables!F2:F93, MATCH(E293,RulebookTables!A2:A93, 0))="")=TRUE),  "",  INDEX(RulebookTables!F2:F93, MATCH(E293,RulebookTables!A2:A93, 0))), "")</f>
        <v>specification</v>
      </c>
      <c r="S293" s="3" t="s">
        <v>1918</v>
      </c>
    </row>
    <row r="294">
      <c r="A294" s="3" t="s">
        <v>14397</v>
      </c>
      <c r="B294" s="4" t="str">
        <f>_xlfn.CONCAT(D294, " / ", E294)</f>
        <v>effortless-golang / Rationales</v>
      </c>
      <c r="C294" s="3" t="s">
        <v>14074</v>
      </c>
      <c r="D294" s="3" t="s">
        <v>14035</v>
      </c>
      <c r="E294" s="3" t="s">
        <v>3151</v>
      </c>
      <c r="F294" s="3">
        <v>4</v>
      </c>
      <c r="G294" s="3">
        <v>1</v>
      </c>
      <c r="H294" s="3">
        <v>4</v>
      </c>
      <c r="I294" s="3">
        <v>4</v>
      </c>
      <c r="J294" s="3" t="b">
        <v>0</v>
      </c>
      <c r="K294" s="4">
        <f>H294 - I294</f>
        <v>0</v>
      </c>
      <c r="L294" s="4">
        <f>IF(((H294 = 0)=TRUE),  0,  ROUND(100 * I294 / H294, 2))</f>
        <v>100</v>
      </c>
      <c r="M294" s="4" t="b">
        <f>K294 = 0</f>
        <v>1</v>
      </c>
      <c r="N294" s="4" t="str">
        <f>IF(((M294)=TRUE),  "",  D294)</f>
      </c>
      <c r="O294" s="4" t="str">
        <f>IF(((M294)=TRUE),  "",  E294)</f>
      </c>
      <c r="P294" s="4">
        <f>COUNTIFS(FieldDisagreements!E2:E50, A294)</f>
        <v>0</v>
      </c>
      <c r="Q294" s="4" t="str">
        <f>_xlfn.IFNA(IF(((INDEX(ConformanceSubstrates!C2:C9, MATCH(D294,ConformanceSubstrates!A2:A9, 0))="")=TRUE),  "",  INDEX(ConformanceSubstrates!C2:C9, MATCH(D294,ConformanceSubstrates!A2:A9, 0))), "")</f>
        <v>Go</v>
      </c>
      <c r="R294" s="4" t="str">
        <f>_xlfn.IFNA(IF(((INDEX(RulebookTables!F2:F93, MATCH(E294,RulebookTables!A2:A93, 0))="")=TRUE),  "",  INDEX(RulebookTables!F2:F93, MATCH(E294,RulebookTables!A2:A93, 0))), "")</f>
        <v>governance</v>
      </c>
      <c r="S294" s="3" t="s">
        <v>1918</v>
      </c>
    </row>
    <row r="295">
      <c r="A295" s="3" t="s">
        <v>14398</v>
      </c>
      <c r="B295" s="4" t="str">
        <f>_xlfn.CONCAT(D295, " / ", E295)</f>
        <v>effortless-golang / Exceptions</v>
      </c>
      <c r="C295" s="3" t="s">
        <v>14074</v>
      </c>
      <c r="D295" s="3" t="s">
        <v>14035</v>
      </c>
      <c r="E295" s="3" t="s">
        <v>3161</v>
      </c>
      <c r="F295" s="3">
        <v>4</v>
      </c>
      <c r="G295" s="3">
        <v>2</v>
      </c>
      <c r="H295" s="3">
        <v>8</v>
      </c>
      <c r="I295" s="3">
        <v>8</v>
      </c>
      <c r="J295" s="3" t="b">
        <v>0</v>
      </c>
      <c r="K295" s="4">
        <f>H295 - I295</f>
        <v>0</v>
      </c>
      <c r="L295" s="4">
        <f>IF(((H295 = 0)=TRUE),  0,  ROUND(100 * I295 / H295, 2))</f>
        <v>100</v>
      </c>
      <c r="M295" s="4" t="b">
        <f>K295 = 0</f>
        <v>1</v>
      </c>
      <c r="N295" s="4" t="str">
        <f>IF(((M295)=TRUE),  "",  D295)</f>
      </c>
      <c r="O295" s="4" t="str">
        <f>IF(((M295)=TRUE),  "",  E295)</f>
      </c>
      <c r="P295" s="4">
        <f>COUNTIFS(FieldDisagreements!E2:E50, A295)</f>
        <v>0</v>
      </c>
      <c r="Q295" s="4" t="str">
        <f>_xlfn.IFNA(IF(((INDEX(ConformanceSubstrates!C2:C9, MATCH(D295,ConformanceSubstrates!A2:A9, 0))="")=TRUE),  "",  INDEX(ConformanceSubstrates!C2:C9, MATCH(D295,ConformanceSubstrates!A2:A9, 0))), "")</f>
        <v>Go</v>
      </c>
      <c r="R295" s="4" t="str">
        <f>_xlfn.IFNA(IF(((INDEX(RulebookTables!F2:F93, MATCH(E295,RulebookTables!A2:A93, 0))="")=TRUE),  "",  INDEX(RulebookTables!F2:F93, MATCH(E295,RulebookTables!A2:A93, 0))), "")</f>
        <v>governance</v>
      </c>
      <c r="S295" s="3" t="s">
        <v>1918</v>
      </c>
    </row>
    <row r="296">
      <c r="A296" s="3" t="s">
        <v>14399</v>
      </c>
      <c r="B296" s="4" t="str">
        <f>_xlfn.CONCAT(D296, " / ", E296)</f>
        <v>effortless-golang / Resources</v>
      </c>
      <c r="C296" s="3" t="s">
        <v>14074</v>
      </c>
      <c r="D296" s="3" t="s">
        <v>14035</v>
      </c>
      <c r="E296" s="3" t="s">
        <v>1811</v>
      </c>
      <c r="F296" s="3">
        <v>8</v>
      </c>
      <c r="G296" s="3">
        <v>2</v>
      </c>
      <c r="H296" s="3">
        <v>16</v>
      </c>
      <c r="I296" s="3">
        <v>16</v>
      </c>
      <c r="J296" s="3" t="b">
        <v>0</v>
      </c>
      <c r="K296" s="4">
        <f>H296 - I296</f>
        <v>0</v>
      </c>
      <c r="L296" s="4">
        <f>IF(((H296 = 0)=TRUE),  0,  ROUND(100 * I296 / H296, 2))</f>
        <v>100</v>
      </c>
      <c r="M296" s="4" t="b">
        <f>K296 = 0</f>
        <v>1</v>
      </c>
      <c r="N296" s="4" t="str">
        <f>IF(((M296)=TRUE),  "",  D296)</f>
      </c>
      <c r="O296" s="4" t="str">
        <f>IF(((M296)=TRUE),  "",  E296)</f>
      </c>
      <c r="P296" s="4">
        <f>COUNTIFS(FieldDisagreements!E2:E50, A296)</f>
        <v>0</v>
      </c>
      <c r="Q296" s="4" t="str">
        <f>_xlfn.IFNA(IF(((INDEX(ConformanceSubstrates!C2:C9, MATCH(D296,ConformanceSubstrates!A2:A9, 0))="")=TRUE),  "",  INDEX(ConformanceSubstrates!C2:C9, MATCH(D296,ConformanceSubstrates!A2:A9, 0))), "")</f>
        <v>Go</v>
      </c>
      <c r="R296" s="4" t="str">
        <f>_xlfn.IFNA(IF(((INDEX(RulebookTables!F2:F93, MATCH(E296,RulebookTables!A2:A93, 0))="")=TRUE),  "",  INDEX(RulebookTables!F2:F93, MATCH(E296,RulebookTables!A2:A93, 0))), "")</f>
        <v>domain</v>
      </c>
      <c r="S296" s="3" t="s">
        <v>1918</v>
      </c>
    </row>
    <row r="297">
      <c r="A297" s="3" t="s">
        <v>14400</v>
      </c>
      <c r="B297" s="4" t="str">
        <f>_xlfn.CONCAT(D297, " / ", E297)</f>
        <v>effortless-golang / ProcedureResources</v>
      </c>
      <c r="C297" s="3" t="s">
        <v>14074</v>
      </c>
      <c r="D297" s="3" t="s">
        <v>14035</v>
      </c>
      <c r="E297" s="3" t="s">
        <v>3187</v>
      </c>
      <c r="F297" s="3">
        <v>8</v>
      </c>
      <c r="G297" s="3">
        <v>2</v>
      </c>
      <c r="H297" s="3">
        <v>16</v>
      </c>
      <c r="I297" s="3">
        <v>16</v>
      </c>
      <c r="J297" s="3" t="b">
        <v>0</v>
      </c>
      <c r="K297" s="4">
        <f>H297 - I297</f>
        <v>0</v>
      </c>
      <c r="L297" s="4">
        <f>IF(((H297 = 0)=TRUE),  0,  ROUND(100 * I297 / H297, 2))</f>
        <v>100</v>
      </c>
      <c r="M297" s="4" t="b">
        <f>K297 = 0</f>
        <v>1</v>
      </c>
      <c r="N297" s="4" t="str">
        <f>IF(((M297)=TRUE),  "",  D297)</f>
      </c>
      <c r="O297" s="4" t="str">
        <f>IF(((M297)=TRUE),  "",  E297)</f>
      </c>
      <c r="P297" s="4">
        <f>COUNTIFS(FieldDisagreements!E2:E50, A297)</f>
        <v>0</v>
      </c>
      <c r="Q297" s="4" t="str">
        <f>_xlfn.IFNA(IF(((INDEX(ConformanceSubstrates!C2:C9, MATCH(D297,ConformanceSubstrates!A2:A9, 0))="")=TRUE),  "",  INDEX(ConformanceSubstrates!C2:C9, MATCH(D297,ConformanceSubstrates!A2:A9, 0))), "")</f>
        <v>Go</v>
      </c>
      <c r="R297" s="4" t="str">
        <f>_xlfn.IFNA(IF(((INDEX(RulebookTables!F2:F93, MATCH(E297,RulebookTables!A2:A93, 0))="")=TRUE),  "",  INDEX(RulebookTables!F2:F93, MATCH(E297,RulebookTables!A2:A93, 0))), "")</f>
        <v>specification</v>
      </c>
      <c r="S297" s="3" t="s">
        <v>1918</v>
      </c>
    </row>
    <row r="298">
      <c r="A298" s="3" t="s">
        <v>14401</v>
      </c>
      <c r="B298" s="4" t="str">
        <f>_xlfn.CONCAT(D298, " / ", E298)</f>
        <v>effortless-golang / ElicitationSessions</v>
      </c>
      <c r="C298" s="3" t="s">
        <v>14074</v>
      </c>
      <c r="D298" s="3" t="s">
        <v>14035</v>
      </c>
      <c r="E298" s="3" t="s">
        <v>1855</v>
      </c>
      <c r="F298" s="3">
        <v>3</v>
      </c>
      <c r="G298" s="3">
        <v>10</v>
      </c>
      <c r="H298" s="3">
        <v>30</v>
      </c>
      <c r="I298" s="3">
        <v>30</v>
      </c>
      <c r="J298" s="3" t="b">
        <v>0</v>
      </c>
      <c r="K298" s="4">
        <f>H298 - I298</f>
        <v>0</v>
      </c>
      <c r="L298" s="4">
        <f>IF(((H298 = 0)=TRUE),  0,  ROUND(100 * I298 / H298, 2))</f>
        <v>100</v>
      </c>
      <c r="M298" s="4" t="b">
        <f>K298 = 0</f>
        <v>1</v>
      </c>
      <c r="N298" s="4" t="str">
        <f>IF(((M298)=TRUE),  "",  D298)</f>
      </c>
      <c r="O298" s="4" t="str">
        <f>IF(((M298)=TRUE),  "",  E298)</f>
      </c>
      <c r="P298" s="4">
        <f>COUNTIFS(FieldDisagreements!E2:E50, A298)</f>
        <v>0</v>
      </c>
      <c r="Q298" s="4" t="str">
        <f>_xlfn.IFNA(IF(((INDEX(ConformanceSubstrates!C2:C9, MATCH(D298,ConformanceSubstrates!A2:A9, 0))="")=TRUE),  "",  INDEX(ConformanceSubstrates!C2:C9, MATCH(D298,ConformanceSubstrates!A2:A9, 0))), "")</f>
        <v>Go</v>
      </c>
      <c r="R298" s="4" t="str">
        <f>_xlfn.IFNA(IF(((INDEX(RulebookTables!F2:F93, MATCH(E298,RulebookTables!A2:A93, 0))="")=TRUE),  "",  INDEX(RulebookTables!F2:F93, MATCH(E298,RulebookTables!A2:A93, 0))), "")</f>
        <v>knowledge</v>
      </c>
      <c r="S298" s="3" t="s">
        <v>1918</v>
      </c>
    </row>
    <row r="299">
      <c r="A299" s="3" t="s">
        <v>14402</v>
      </c>
      <c r="B299" s="4" t="str">
        <f>_xlfn.CONCAT(D299, " / ", E299)</f>
        <v>effortless-golang / KnowledgeFragments</v>
      </c>
      <c r="C299" s="3" t="s">
        <v>14074</v>
      </c>
      <c r="D299" s="3" t="s">
        <v>14035</v>
      </c>
      <c r="E299" s="3" t="s">
        <v>1851</v>
      </c>
      <c r="F299" s="3">
        <v>7</v>
      </c>
      <c r="G299" s="3">
        <v>65</v>
      </c>
      <c r="H299" s="3">
        <v>455</v>
      </c>
      <c r="I299" s="3">
        <v>455</v>
      </c>
      <c r="J299" s="3" t="b">
        <v>0</v>
      </c>
      <c r="K299" s="4">
        <f>H299 - I299</f>
        <v>0</v>
      </c>
      <c r="L299" s="4">
        <f>IF(((H299 = 0)=TRUE),  0,  ROUND(100 * I299 / H299, 2))</f>
        <v>100</v>
      </c>
      <c r="M299" s="4" t="b">
        <f>K299 = 0</f>
        <v>1</v>
      </c>
      <c r="N299" s="4" t="str">
        <f>IF(((M299)=TRUE),  "",  D299)</f>
      </c>
      <c r="O299" s="4" t="str">
        <f>IF(((M299)=TRUE),  "",  E299)</f>
      </c>
      <c r="P299" s="4">
        <f>COUNTIFS(FieldDisagreements!E2:E50, A299)</f>
        <v>0</v>
      </c>
      <c r="Q299" s="4" t="str">
        <f>_xlfn.IFNA(IF(((INDEX(ConformanceSubstrates!C2:C9, MATCH(D299,ConformanceSubstrates!A2:A9, 0))="")=TRUE),  "",  INDEX(ConformanceSubstrates!C2:C9, MATCH(D299,ConformanceSubstrates!A2:A9, 0))), "")</f>
        <v>Go</v>
      </c>
      <c r="R299" s="4" t="str">
        <f>_xlfn.IFNA(IF(((INDEX(RulebookTables!F2:F93, MATCH(E299,RulebookTables!A2:A93, 0))="")=TRUE),  "",  INDEX(RulebookTables!F2:F93, MATCH(E299,RulebookTables!A2:A93, 0))), "")</f>
        <v>knowledge</v>
      </c>
      <c r="S299" s="3" t="s">
        <v>1918</v>
      </c>
    </row>
    <row r="300">
      <c r="A300" s="3" t="s">
        <v>14403</v>
      </c>
      <c r="B300" s="4" t="str">
        <f>_xlfn.CONCAT(D300, " / ", E300)</f>
        <v>effortless-golang / KnowledgeGaps</v>
      </c>
      <c r="C300" s="3" t="s">
        <v>14074</v>
      </c>
      <c r="D300" s="3" t="s">
        <v>14035</v>
      </c>
      <c r="E300" s="3" t="s">
        <v>3368</v>
      </c>
      <c r="F300" s="3">
        <v>8</v>
      </c>
      <c r="G300" s="3">
        <v>16</v>
      </c>
      <c r="H300" s="3">
        <v>128</v>
      </c>
      <c r="I300" s="3">
        <v>128</v>
      </c>
      <c r="J300" s="3" t="b">
        <v>0</v>
      </c>
      <c r="K300" s="4">
        <f>H300 - I300</f>
        <v>0</v>
      </c>
      <c r="L300" s="4">
        <f>IF(((H300 = 0)=TRUE),  0,  ROUND(100 * I300 / H300, 2))</f>
        <v>100</v>
      </c>
      <c r="M300" s="4" t="b">
        <f>K300 = 0</f>
        <v>1</v>
      </c>
      <c r="N300" s="4" t="str">
        <f>IF(((M300)=TRUE),  "",  D300)</f>
      </c>
      <c r="O300" s="4" t="str">
        <f>IF(((M300)=TRUE),  "",  E300)</f>
      </c>
      <c r="P300" s="4">
        <f>COUNTIFS(FieldDisagreements!E2:E50, A300)</f>
        <v>0</v>
      </c>
      <c r="Q300" s="4" t="str">
        <f>_xlfn.IFNA(IF(((INDEX(ConformanceSubstrates!C2:C9, MATCH(D300,ConformanceSubstrates!A2:A9, 0))="")=TRUE),  "",  INDEX(ConformanceSubstrates!C2:C9, MATCH(D300,ConformanceSubstrates!A2:A9, 0))), "")</f>
        <v>Go</v>
      </c>
      <c r="R300" s="4" t="str">
        <f>_xlfn.IFNA(IF(((INDEX(RulebookTables!F2:F93, MATCH(E300,RulebookTables!A2:A93, 0))="")=TRUE),  "",  INDEX(RulebookTables!F2:F93, MATCH(E300,RulebookTables!A2:A93, 0))), "")</f>
        <v>knowledge</v>
      </c>
      <c r="S300" s="3" t="s">
        <v>1918</v>
      </c>
    </row>
    <row r="301">
      <c r="A301" s="3" t="s">
        <v>14404</v>
      </c>
      <c r="B301" s="4" t="str">
        <f>_xlfn.CONCAT(D301, " / ", E301)</f>
        <v>effortless-golang / FAQs</v>
      </c>
      <c r="C301" s="3" t="s">
        <v>14074</v>
      </c>
      <c r="D301" s="3" t="s">
        <v>14035</v>
      </c>
      <c r="E301" s="3" t="s">
        <v>1845</v>
      </c>
      <c r="F301" s="3">
        <v>3</v>
      </c>
      <c r="G301" s="3">
        <v>1</v>
      </c>
      <c r="H301" s="3">
        <v>3</v>
      </c>
      <c r="I301" s="3">
        <v>3</v>
      </c>
      <c r="J301" s="3" t="b">
        <v>0</v>
      </c>
      <c r="K301" s="4">
        <f>H301 - I301</f>
        <v>0</v>
      </c>
      <c r="L301" s="4">
        <f>IF(((H301 = 0)=TRUE),  0,  ROUND(100 * I301 / H301, 2))</f>
        <v>100</v>
      </c>
      <c r="M301" s="4" t="b">
        <f>K301 = 0</f>
        <v>1</v>
      </c>
      <c r="N301" s="4" t="str">
        <f>IF(((M301)=TRUE),  "",  D301)</f>
      </c>
      <c r="O301" s="4" t="str">
        <f>IF(((M301)=TRUE),  "",  E301)</f>
      </c>
      <c r="P301" s="4">
        <f>COUNTIFS(FieldDisagreements!E2:E50, A301)</f>
        <v>0</v>
      </c>
      <c r="Q301" s="4" t="str">
        <f>_xlfn.IFNA(IF(((INDEX(ConformanceSubstrates!C2:C9, MATCH(D301,ConformanceSubstrates!A2:A9, 0))="")=TRUE),  "",  INDEX(ConformanceSubstrates!C2:C9, MATCH(D301,ConformanceSubstrates!A2:A9, 0))), "")</f>
        <v>Go</v>
      </c>
      <c r="R301" s="4" t="str">
        <f>_xlfn.IFNA(IF(((INDEX(RulebookTables!F2:F93, MATCH(E301,RulebookTables!A2:A93, 0))="")=TRUE),  "",  INDEX(RulebookTables!F2:F93, MATCH(E301,RulebookTables!A2:A93, 0))), "")</f>
        <v>knowledge</v>
      </c>
      <c r="S301" s="3" t="s">
        <v>1918</v>
      </c>
    </row>
    <row r="302">
      <c r="A302" s="3" t="s">
        <v>14405</v>
      </c>
      <c r="B302" s="4" t="str">
        <f>_xlfn.CONCAT(D302, " / ", E302)</f>
        <v>effortless-golang / Explanations</v>
      </c>
      <c r="C302" s="3" t="s">
        <v>14074</v>
      </c>
      <c r="D302" s="3" t="s">
        <v>14035</v>
      </c>
      <c r="E302" s="3" t="s">
        <v>1848</v>
      </c>
      <c r="F302" s="3">
        <v>2</v>
      </c>
      <c r="G302" s="3">
        <v>1</v>
      </c>
      <c r="H302" s="3">
        <v>2</v>
      </c>
      <c r="I302" s="3">
        <v>2</v>
      </c>
      <c r="J302" s="3" t="b">
        <v>0</v>
      </c>
      <c r="K302" s="4">
        <f>H302 - I302</f>
        <v>0</v>
      </c>
      <c r="L302" s="4">
        <f>IF(((H302 = 0)=TRUE),  0,  ROUND(100 * I302 / H302, 2))</f>
        <v>100</v>
      </c>
      <c r="M302" s="4" t="b">
        <f>K302 = 0</f>
        <v>1</v>
      </c>
      <c r="N302" s="4" t="str">
        <f>IF(((M302)=TRUE),  "",  D302)</f>
      </c>
      <c r="O302" s="4" t="str">
        <f>IF(((M302)=TRUE),  "",  E302)</f>
      </c>
      <c r="P302" s="4">
        <f>COUNTIFS(FieldDisagreements!E2:E50, A302)</f>
        <v>0</v>
      </c>
      <c r="Q302" s="4" t="str">
        <f>_xlfn.IFNA(IF(((INDEX(ConformanceSubstrates!C2:C9, MATCH(D302,ConformanceSubstrates!A2:A9, 0))="")=TRUE),  "",  INDEX(ConformanceSubstrates!C2:C9, MATCH(D302,ConformanceSubstrates!A2:A9, 0))), "")</f>
        <v>Go</v>
      </c>
      <c r="R302" s="4" t="str">
        <f>_xlfn.IFNA(IF(((INDEX(RulebookTables!F2:F93, MATCH(E302,RulebookTables!A2:A93, 0))="")=TRUE),  "",  INDEX(RulebookTables!F2:F93, MATCH(E302,RulebookTables!A2:A93, 0))), "")</f>
        <v>knowledge</v>
      </c>
      <c r="S302" s="3" t="s">
        <v>1918</v>
      </c>
    </row>
    <row r="303">
      <c r="A303" s="3" t="s">
        <v>14406</v>
      </c>
      <c r="B303" s="4" t="str">
        <f>_xlfn.CONCAT(D303, " / ", E303)</f>
        <v>effortless-golang / ProcedureExecutions</v>
      </c>
      <c r="C303" s="3" t="s">
        <v>14074</v>
      </c>
      <c r="D303" s="3" t="s">
        <v>14035</v>
      </c>
      <c r="E303" s="3" t="s">
        <v>1824</v>
      </c>
      <c r="F303" s="3">
        <v>2</v>
      </c>
      <c r="G303" s="3">
        <v>69</v>
      </c>
      <c r="H303" s="3">
        <v>138</v>
      </c>
      <c r="I303" s="3">
        <v>138</v>
      </c>
      <c r="J303" s="3" t="b">
        <v>0</v>
      </c>
      <c r="K303" s="4">
        <f>H303 - I303</f>
        <v>0</v>
      </c>
      <c r="L303" s="4">
        <f>IF(((H303 = 0)=TRUE),  0,  ROUND(100 * I303 / H303, 2))</f>
        <v>100</v>
      </c>
      <c r="M303" s="4" t="b">
        <f>K303 = 0</f>
        <v>1</v>
      </c>
      <c r="N303" s="4" t="str">
        <f>IF(((M303)=TRUE),  "",  D303)</f>
      </c>
      <c r="O303" s="4" t="str">
        <f>IF(((M303)=TRUE),  "",  E303)</f>
      </c>
      <c r="P303" s="4">
        <f>COUNTIFS(FieldDisagreements!E2:E50, A303)</f>
        <v>0</v>
      </c>
      <c r="Q303" s="4" t="str">
        <f>_xlfn.IFNA(IF(((INDEX(ConformanceSubstrates!C2:C9, MATCH(D303,ConformanceSubstrates!A2:A9, 0))="")=TRUE),  "",  INDEX(ConformanceSubstrates!C2:C9, MATCH(D303,ConformanceSubstrates!A2:A9, 0))), "")</f>
        <v>Go</v>
      </c>
      <c r="R303" s="4" t="str">
        <f>_xlfn.IFNA(IF(((INDEX(RulebookTables!F2:F93, MATCH(E303,RulebookTables!A2:A93, 0))="")=TRUE),  "",  INDEX(RulebookTables!F2:F93, MATCH(E303,RulebookTables!A2:A93, 0))), "")</f>
        <v>specification</v>
      </c>
      <c r="S303" s="3" t="s">
        <v>1918</v>
      </c>
    </row>
    <row r="304">
      <c r="A304" s="3" t="s">
        <v>14407</v>
      </c>
      <c r="B304" s="4" t="str">
        <f>_xlfn.CONCAT(D304, " / ", E304)</f>
        <v>effortless-golang / StepExecutions</v>
      </c>
      <c r="C304" s="3" t="s">
        <v>14074</v>
      </c>
      <c r="D304" s="3" t="s">
        <v>14035</v>
      </c>
      <c r="E304" s="3" t="s">
        <v>1827</v>
      </c>
      <c r="F304" s="3">
        <v>12</v>
      </c>
      <c r="G304" s="3">
        <v>99</v>
      </c>
      <c r="H304" s="3">
        <v>1188</v>
      </c>
      <c r="I304" s="3">
        <v>1188</v>
      </c>
      <c r="J304" s="3" t="b">
        <v>0</v>
      </c>
      <c r="K304" s="4">
        <f>H304 - I304</f>
        <v>0</v>
      </c>
      <c r="L304" s="4">
        <f>IF(((H304 = 0)=TRUE),  0,  ROUND(100 * I304 / H304, 2))</f>
        <v>100</v>
      </c>
      <c r="M304" s="4" t="b">
        <f>K304 = 0</f>
        <v>1</v>
      </c>
      <c r="N304" s="4" t="str">
        <f>IF(((M304)=TRUE),  "",  D304)</f>
      </c>
      <c r="O304" s="4" t="str">
        <f>IF(((M304)=TRUE),  "",  E304)</f>
      </c>
      <c r="P304" s="4">
        <f>COUNTIFS(FieldDisagreements!E2:E50, A304)</f>
        <v>0</v>
      </c>
      <c r="Q304" s="4" t="str">
        <f>_xlfn.IFNA(IF(((INDEX(ConformanceSubstrates!C2:C9, MATCH(D304,ConformanceSubstrates!A2:A9, 0))="")=TRUE),  "",  INDEX(ConformanceSubstrates!C2:C9, MATCH(D304,ConformanceSubstrates!A2:A9, 0))), "")</f>
        <v>Go</v>
      </c>
      <c r="R304" s="4" t="str">
        <f>_xlfn.IFNA(IF(((INDEX(RulebookTables!F2:F93, MATCH(E304,RulebookTables!A2:A93, 0))="")=TRUE),  "",  INDEX(RulebookTables!F2:F93, MATCH(E304,RulebookTables!A2:A93, 0))), "")</f>
        <v>specification</v>
      </c>
      <c r="S304" s="3" t="s">
        <v>1918</v>
      </c>
    </row>
    <row r="305">
      <c r="A305" s="3" t="s">
        <v>14408</v>
      </c>
      <c r="B305" s="4" t="str">
        <f>_xlfn.CONCAT(D305, " / ", E305)</f>
        <v>effortless-golang / RequirementSatisfactions</v>
      </c>
      <c r="C305" s="3" t="s">
        <v>14074</v>
      </c>
      <c r="D305" s="3" t="s">
        <v>14035</v>
      </c>
      <c r="E305" s="3" t="s">
        <v>1830</v>
      </c>
      <c r="F305" s="3">
        <v>8</v>
      </c>
      <c r="G305" s="3">
        <v>38</v>
      </c>
      <c r="H305" s="3">
        <v>304</v>
      </c>
      <c r="I305" s="3">
        <v>304</v>
      </c>
      <c r="J305" s="3" t="b">
        <v>0</v>
      </c>
      <c r="K305" s="4">
        <f>H305 - I305</f>
        <v>0</v>
      </c>
      <c r="L305" s="4">
        <f>IF(((H305 = 0)=TRUE),  0,  ROUND(100 * I305 / H305, 2))</f>
        <v>100</v>
      </c>
      <c r="M305" s="4" t="b">
        <f>K305 = 0</f>
        <v>1</v>
      </c>
      <c r="N305" s="4" t="str">
        <f>IF(((M305)=TRUE),  "",  D305)</f>
      </c>
      <c r="O305" s="4" t="str">
        <f>IF(((M305)=TRUE),  "",  E305)</f>
      </c>
      <c r="P305" s="4">
        <f>COUNTIFS(FieldDisagreements!E2:E50, A305)</f>
        <v>0</v>
      </c>
      <c r="Q305" s="4" t="str">
        <f>_xlfn.IFNA(IF(((INDEX(ConformanceSubstrates!C2:C9, MATCH(D305,ConformanceSubstrates!A2:A9, 0))="")=TRUE),  "",  INDEX(ConformanceSubstrates!C2:C9, MATCH(D305,ConformanceSubstrates!A2:A9, 0))), "")</f>
        <v>Go</v>
      </c>
      <c r="R305" s="4" t="str">
        <f>_xlfn.IFNA(IF(((INDEX(RulebookTables!F2:F93, MATCH(E305,RulebookTables!A2:A93, 0))="")=TRUE),  "",  INDEX(RulebookTables!F2:F93, MATCH(E305,RulebookTables!A2:A93, 0))), "")</f>
        <v>execution</v>
      </c>
      <c r="S305" s="3" t="s">
        <v>1918</v>
      </c>
    </row>
    <row r="306">
      <c r="A306" s="3" t="s">
        <v>14409</v>
      </c>
      <c r="B306" s="4" t="str">
        <f>_xlfn.CONCAT(D306, " / ", E306)</f>
        <v>effortless-golang / Errors</v>
      </c>
      <c r="C306" s="3" t="s">
        <v>14074</v>
      </c>
      <c r="D306" s="3" t="s">
        <v>14035</v>
      </c>
      <c r="E306" s="3" t="s">
        <v>1833</v>
      </c>
      <c r="F306" s="3">
        <v>2</v>
      </c>
      <c r="G306" s="3">
        <v>1</v>
      </c>
      <c r="H306" s="3">
        <v>2</v>
      </c>
      <c r="I306" s="3">
        <v>2</v>
      </c>
      <c r="J306" s="3" t="b">
        <v>0</v>
      </c>
      <c r="K306" s="4">
        <f>H306 - I306</f>
        <v>0</v>
      </c>
      <c r="L306" s="4">
        <f>IF(((H306 = 0)=TRUE),  0,  ROUND(100 * I306 / H306, 2))</f>
        <v>100</v>
      </c>
      <c r="M306" s="4" t="b">
        <f>K306 = 0</f>
        <v>1</v>
      </c>
      <c r="N306" s="4" t="str">
        <f>IF(((M306)=TRUE),  "",  D306)</f>
      </c>
      <c r="O306" s="4" t="str">
        <f>IF(((M306)=TRUE),  "",  E306)</f>
      </c>
      <c r="P306" s="4">
        <f>COUNTIFS(FieldDisagreements!E2:E50, A306)</f>
        <v>0</v>
      </c>
      <c r="Q306" s="4" t="str">
        <f>_xlfn.IFNA(IF(((INDEX(ConformanceSubstrates!C2:C9, MATCH(D306,ConformanceSubstrates!A2:A9, 0))="")=TRUE),  "",  INDEX(ConformanceSubstrates!C2:C9, MATCH(D306,ConformanceSubstrates!A2:A9, 0))), "")</f>
        <v>Go</v>
      </c>
      <c r="R306" s="4" t="str">
        <f>_xlfn.IFNA(IF(((INDEX(RulebookTables!F2:F93, MATCH(E306,RulebookTables!A2:A93, 0))="")=TRUE),  "",  INDEX(RulebookTables!F2:F93, MATCH(E306,RulebookTables!A2:A93, 0))), "")</f>
        <v>execution</v>
      </c>
      <c r="S306" s="3" t="s">
        <v>1918</v>
      </c>
    </row>
    <row r="307">
      <c r="A307" s="3" t="s">
        <v>14410</v>
      </c>
      <c r="B307" s="4" t="str">
        <f>_xlfn.CONCAT(D307, " / ", E307)</f>
        <v>effortless-golang / IssueOccurrences</v>
      </c>
      <c r="C307" s="3" t="s">
        <v>14074</v>
      </c>
      <c r="D307" s="3" t="s">
        <v>14035</v>
      </c>
      <c r="E307" s="3" t="s">
        <v>1836</v>
      </c>
      <c r="F307" s="3">
        <v>2</v>
      </c>
      <c r="G307" s="3">
        <v>3</v>
      </c>
      <c r="H307" s="3">
        <v>6</v>
      </c>
      <c r="I307" s="3">
        <v>6</v>
      </c>
      <c r="J307" s="3" t="b">
        <v>0</v>
      </c>
      <c r="K307" s="4">
        <f>H307 - I307</f>
        <v>0</v>
      </c>
      <c r="L307" s="4">
        <f>IF(((H307 = 0)=TRUE),  0,  ROUND(100 * I307 / H307, 2))</f>
        <v>100</v>
      </c>
      <c r="M307" s="4" t="b">
        <f>K307 = 0</f>
        <v>1</v>
      </c>
      <c r="N307" s="4" t="str">
        <f>IF(((M307)=TRUE),  "",  D307)</f>
      </c>
      <c r="O307" s="4" t="str">
        <f>IF(((M307)=TRUE),  "",  E307)</f>
      </c>
      <c r="P307" s="4">
        <f>COUNTIFS(FieldDisagreements!E2:E50, A307)</f>
        <v>0</v>
      </c>
      <c r="Q307" s="4" t="str">
        <f>_xlfn.IFNA(IF(((INDEX(ConformanceSubstrates!C2:C9, MATCH(D307,ConformanceSubstrates!A2:A9, 0))="")=TRUE),  "",  INDEX(ConformanceSubstrates!C2:C9, MATCH(D307,ConformanceSubstrates!A2:A9, 0))), "")</f>
        <v>Go</v>
      </c>
      <c r="R307" s="4" t="str">
        <f>_xlfn.IFNA(IF(((INDEX(RulebookTables!F2:F93, MATCH(E307,RulebookTables!A2:A93, 0))="")=TRUE),  "",  INDEX(RulebookTables!F2:F93, MATCH(E307,RulebookTables!A2:A93, 0))), "")</f>
        <v>execution</v>
      </c>
      <c r="S307" s="3" t="s">
        <v>1918</v>
      </c>
    </row>
    <row r="308">
      <c r="A308" s="3" t="s">
        <v>14411</v>
      </c>
      <c r="B308" s="4" t="str">
        <f>_xlfn.CONCAT(D308, " / ", E308)</f>
        <v>effortless-golang / UserQuestions</v>
      </c>
      <c r="C308" s="3" t="s">
        <v>14074</v>
      </c>
      <c r="D308" s="3" t="s">
        <v>14035</v>
      </c>
      <c r="E308" s="3" t="s">
        <v>1839</v>
      </c>
      <c r="F308" s="3">
        <v>2</v>
      </c>
      <c r="G308" s="3">
        <v>1</v>
      </c>
      <c r="H308" s="3">
        <v>2</v>
      </c>
      <c r="I308" s="3">
        <v>2</v>
      </c>
      <c r="J308" s="3" t="b">
        <v>0</v>
      </c>
      <c r="K308" s="4">
        <f>H308 - I308</f>
        <v>0</v>
      </c>
      <c r="L308" s="4">
        <f>IF(((H308 = 0)=TRUE),  0,  ROUND(100 * I308 / H308, 2))</f>
        <v>100</v>
      </c>
      <c r="M308" s="4" t="b">
        <f>K308 = 0</f>
        <v>1</v>
      </c>
      <c r="N308" s="4" t="str">
        <f>IF(((M308)=TRUE),  "",  D308)</f>
      </c>
      <c r="O308" s="4" t="str">
        <f>IF(((M308)=TRUE),  "",  E308)</f>
      </c>
      <c r="P308" s="4">
        <f>COUNTIFS(FieldDisagreements!E2:E50, A308)</f>
        <v>0</v>
      </c>
      <c r="Q308" s="4" t="str">
        <f>_xlfn.IFNA(IF(((INDEX(ConformanceSubstrates!C2:C9, MATCH(D308,ConformanceSubstrates!A2:A9, 0))="")=TRUE),  "",  INDEX(ConformanceSubstrates!C2:C9, MATCH(D308,ConformanceSubstrates!A2:A9, 0))), "")</f>
        <v>Go</v>
      </c>
      <c r="R308" s="4" t="str">
        <f>_xlfn.IFNA(IF(((INDEX(RulebookTables!F2:F93, MATCH(E308,RulebookTables!A2:A93, 0))="")=TRUE),  "",  INDEX(RulebookTables!F2:F93, MATCH(E308,RulebookTables!A2:A93, 0))), "")</f>
        <v>domain</v>
      </c>
      <c r="S308" s="3" t="s">
        <v>1918</v>
      </c>
    </row>
    <row r="309">
      <c r="A309" s="3" t="s">
        <v>14412</v>
      </c>
      <c r="B309" s="4" t="str">
        <f>_xlfn.CONCAT(D309, " / ", E309)</f>
        <v>effortless-golang / UserFeedback</v>
      </c>
      <c r="C309" s="3" t="s">
        <v>14074</v>
      </c>
      <c r="D309" s="3" t="s">
        <v>14035</v>
      </c>
      <c r="E309" s="3" t="s">
        <v>1842</v>
      </c>
      <c r="F309" s="3">
        <v>2</v>
      </c>
      <c r="G309" s="3">
        <v>1</v>
      </c>
      <c r="H309" s="3">
        <v>2</v>
      </c>
      <c r="I309" s="3">
        <v>2</v>
      </c>
      <c r="J309" s="3" t="b">
        <v>0</v>
      </c>
      <c r="K309" s="4">
        <f>H309 - I309</f>
        <v>0</v>
      </c>
      <c r="L309" s="4">
        <f>IF(((H309 = 0)=TRUE),  0,  ROUND(100 * I309 / H309, 2))</f>
        <v>100</v>
      </c>
      <c r="M309" s="4" t="b">
        <f>K309 = 0</f>
        <v>1</v>
      </c>
      <c r="N309" s="4" t="str">
        <f>IF(((M309)=TRUE),  "",  D309)</f>
      </c>
      <c r="O309" s="4" t="str">
        <f>IF(((M309)=TRUE),  "",  E309)</f>
      </c>
      <c r="P309" s="4">
        <f>COUNTIFS(FieldDisagreements!E2:E50, A309)</f>
        <v>0</v>
      </c>
      <c r="Q309" s="4" t="str">
        <f>_xlfn.IFNA(IF(((INDEX(ConformanceSubstrates!C2:C9, MATCH(D309,ConformanceSubstrates!A2:A9, 0))="")=TRUE),  "",  INDEX(ConformanceSubstrates!C2:C9, MATCH(D309,ConformanceSubstrates!A2:A9, 0))), "")</f>
        <v>Go</v>
      </c>
      <c r="R309" s="4" t="str">
        <f>_xlfn.IFNA(IF(((INDEX(RulebookTables!F2:F93, MATCH(E309,RulebookTables!A2:A93, 0))="")=TRUE),  "",  INDEX(RulebookTables!F2:F93, MATCH(E309,RulebookTables!A2:A93, 0))), "")</f>
        <v>domain</v>
      </c>
      <c r="S309" s="3" t="s">
        <v>1918</v>
      </c>
    </row>
    <row r="310">
      <c r="A310" s="3" t="s">
        <v>14413</v>
      </c>
      <c r="B310" s="4" t="str">
        <f>_xlfn.CONCAT(D310, " / ", E310)</f>
        <v>effortless-golang / StewardshipAssignments</v>
      </c>
      <c r="C310" s="3" t="s">
        <v>14074</v>
      </c>
      <c r="D310" s="3" t="s">
        <v>14035</v>
      </c>
      <c r="E310" s="3" t="s">
        <v>1859</v>
      </c>
      <c r="F310" s="3">
        <v>2</v>
      </c>
      <c r="G310" s="3">
        <v>5</v>
      </c>
      <c r="H310" s="3">
        <v>10</v>
      </c>
      <c r="I310" s="3">
        <v>10</v>
      </c>
      <c r="J310" s="3" t="b">
        <v>0</v>
      </c>
      <c r="K310" s="4">
        <f>H310 - I310</f>
        <v>0</v>
      </c>
      <c r="L310" s="4">
        <f>IF(((H310 = 0)=TRUE),  0,  ROUND(100 * I310 / H310, 2))</f>
        <v>100</v>
      </c>
      <c r="M310" s="4" t="b">
        <f>K310 = 0</f>
        <v>1</v>
      </c>
      <c r="N310" s="4" t="str">
        <f>IF(((M310)=TRUE),  "",  D310)</f>
      </c>
      <c r="O310" s="4" t="str">
        <f>IF(((M310)=TRUE),  "",  E310)</f>
      </c>
      <c r="P310" s="4">
        <f>COUNTIFS(FieldDisagreements!E2:E50, A310)</f>
        <v>0</v>
      </c>
      <c r="Q310" s="4" t="str">
        <f>_xlfn.IFNA(IF(((INDEX(ConformanceSubstrates!C2:C9, MATCH(D310,ConformanceSubstrates!A2:A9, 0))="")=TRUE),  "",  INDEX(ConformanceSubstrates!C2:C9, MATCH(D310,ConformanceSubstrates!A2:A9, 0))), "")</f>
        <v>Go</v>
      </c>
      <c r="R310" s="4" t="str">
        <f>_xlfn.IFNA(IF(((INDEX(RulebookTables!F2:F93, MATCH(E310,RulebookTables!A2:A93, 0))="")=TRUE),  "",  INDEX(RulebookTables!F2:F93, MATCH(E310,RulebookTables!A2:A93, 0))), "")</f>
        <v>org</v>
      </c>
      <c r="S310" s="3" t="s">
        <v>1918</v>
      </c>
    </row>
    <row r="311">
      <c r="A311" s="3" t="s">
        <v>14414</v>
      </c>
      <c r="B311" s="4" t="str">
        <f>_xlfn.CONCAT(D311, " / ", E311)</f>
        <v>effortless-golang / ChangeRequests</v>
      </c>
      <c r="C311" s="3" t="s">
        <v>14074</v>
      </c>
      <c r="D311" s="3" t="s">
        <v>14035</v>
      </c>
      <c r="E311" s="3" t="s">
        <v>3914</v>
      </c>
      <c r="F311" s="3">
        <v>2</v>
      </c>
      <c r="G311" s="3">
        <v>32</v>
      </c>
      <c r="H311" s="3">
        <v>64</v>
      </c>
      <c r="I311" s="3">
        <v>64</v>
      </c>
      <c r="J311" s="3" t="b">
        <v>0</v>
      </c>
      <c r="K311" s="4">
        <f>H311 - I311</f>
        <v>0</v>
      </c>
      <c r="L311" s="4">
        <f>IF(((H311 = 0)=TRUE),  0,  ROUND(100 * I311 / H311, 2))</f>
        <v>100</v>
      </c>
      <c r="M311" s="4" t="b">
        <f>K311 = 0</f>
        <v>1</v>
      </c>
      <c r="N311" s="4" t="str">
        <f>IF(((M311)=TRUE),  "",  D311)</f>
      </c>
      <c r="O311" s="4" t="str">
        <f>IF(((M311)=TRUE),  "",  E311)</f>
      </c>
      <c r="P311" s="4">
        <f>COUNTIFS(FieldDisagreements!E2:E50, A311)</f>
        <v>0</v>
      </c>
      <c r="Q311" s="4" t="str">
        <f>_xlfn.IFNA(IF(((INDEX(ConformanceSubstrates!C2:C9, MATCH(D311,ConformanceSubstrates!A2:A9, 0))="")=TRUE),  "",  INDEX(ConformanceSubstrates!C2:C9, MATCH(D311,ConformanceSubstrates!A2:A9, 0))), "")</f>
        <v>Go</v>
      </c>
      <c r="R311" s="4" t="str">
        <f>_xlfn.IFNA(IF(((INDEX(RulebookTables!F2:F93, MATCH(E311,RulebookTables!A2:A93, 0))="")=TRUE),  "",  INDEX(RulebookTables!F2:F93, MATCH(E311,RulebookTables!A2:A93, 0))), "")</f>
        <v>domain</v>
      </c>
      <c r="S311" s="3" t="s">
        <v>1918</v>
      </c>
    </row>
    <row r="312">
      <c r="A312" s="3" t="s">
        <v>14415</v>
      </c>
      <c r="B312" s="4" t="str">
        <f>_xlfn.CONCAT(D312, " / ", E312)</f>
        <v>effortless-golang / ReviewEvents</v>
      </c>
      <c r="C312" s="3" t="s">
        <v>14074</v>
      </c>
      <c r="D312" s="3" t="s">
        <v>14035</v>
      </c>
      <c r="E312" s="3" t="s">
        <v>3988</v>
      </c>
      <c r="F312" s="3">
        <v>3</v>
      </c>
      <c r="G312" s="3">
        <v>10</v>
      </c>
      <c r="H312" s="3">
        <v>30</v>
      </c>
      <c r="I312" s="3">
        <v>30</v>
      </c>
      <c r="J312" s="3" t="b">
        <v>0</v>
      </c>
      <c r="K312" s="4">
        <f>H312 - I312</f>
        <v>0</v>
      </c>
      <c r="L312" s="4">
        <f>IF(((H312 = 0)=TRUE),  0,  ROUND(100 * I312 / H312, 2))</f>
        <v>100</v>
      </c>
      <c r="M312" s="4" t="b">
        <f>K312 = 0</f>
        <v>1</v>
      </c>
      <c r="N312" s="4" t="str">
        <f>IF(((M312)=TRUE),  "",  D312)</f>
      </c>
      <c r="O312" s="4" t="str">
        <f>IF(((M312)=TRUE),  "",  E312)</f>
      </c>
      <c r="P312" s="4">
        <f>COUNTIFS(FieldDisagreements!E2:E50, A312)</f>
        <v>0</v>
      </c>
      <c r="Q312" s="4" t="str">
        <f>_xlfn.IFNA(IF(((INDEX(ConformanceSubstrates!C2:C9, MATCH(D312,ConformanceSubstrates!A2:A9, 0))="")=TRUE),  "",  INDEX(ConformanceSubstrates!C2:C9, MATCH(D312,ConformanceSubstrates!A2:A9, 0))), "")</f>
        <v>Go</v>
      </c>
      <c r="R312" s="4" t="str">
        <f>_xlfn.IFNA(IF(((INDEX(RulebookTables!F2:F93, MATCH(E312,RulebookTables!A2:A93, 0))="")=TRUE),  "",  INDEX(RulebookTables!F2:F93, MATCH(E312,RulebookTables!A2:A93, 0))), "")</f>
        <v>domain</v>
      </c>
      <c r="S312" s="3" t="s">
        <v>1918</v>
      </c>
    </row>
    <row r="313">
      <c r="A313" s="3" t="s">
        <v>14416</v>
      </c>
      <c r="B313" s="4" t="str">
        <f>_xlfn.CONCAT(D313, " / ", E313)</f>
        <v>effortless-golang / LearningActivities</v>
      </c>
      <c r="C313" s="3" t="s">
        <v>14074</v>
      </c>
      <c r="D313" s="3" t="s">
        <v>14035</v>
      </c>
      <c r="E313" s="3" t="s">
        <v>4017</v>
      </c>
      <c r="F313" s="3">
        <v>2</v>
      </c>
      <c r="G313" s="3">
        <v>1</v>
      </c>
      <c r="H313" s="3">
        <v>2</v>
      </c>
      <c r="I313" s="3">
        <v>2</v>
      </c>
      <c r="J313" s="3" t="b">
        <v>0</v>
      </c>
      <c r="K313" s="4">
        <f>H313 - I313</f>
        <v>0</v>
      </c>
      <c r="L313" s="4">
        <f>IF(((H313 = 0)=TRUE),  0,  ROUND(100 * I313 / H313, 2))</f>
        <v>100</v>
      </c>
      <c r="M313" s="4" t="b">
        <f>K313 = 0</f>
        <v>1</v>
      </c>
      <c r="N313" s="4" t="str">
        <f>IF(((M313)=TRUE),  "",  D313)</f>
      </c>
      <c r="O313" s="4" t="str">
        <f>IF(((M313)=TRUE),  "",  E313)</f>
      </c>
      <c r="P313" s="4">
        <f>COUNTIFS(FieldDisagreements!E2:E50, A313)</f>
        <v>0</v>
      </c>
      <c r="Q313" s="4" t="str">
        <f>_xlfn.IFNA(IF(((INDEX(ConformanceSubstrates!C2:C9, MATCH(D313,ConformanceSubstrates!A2:A9, 0))="")=TRUE),  "",  INDEX(ConformanceSubstrates!C2:C9, MATCH(D313,ConformanceSubstrates!A2:A9, 0))), "")</f>
        <v>Go</v>
      </c>
      <c r="R313" s="4" t="str">
        <f>_xlfn.IFNA(IF(((INDEX(RulebookTables!F2:F93, MATCH(E313,RulebookTables!A2:A93, 0))="")=TRUE),  "",  INDEX(RulebookTables!F2:F93, MATCH(E313,RulebookTables!A2:A93, 0))), "")</f>
        <v>domain</v>
      </c>
      <c r="S313" s="3" t="s">
        <v>1918</v>
      </c>
    </row>
    <row r="314">
      <c r="A314" s="3" t="s">
        <v>14417</v>
      </c>
      <c r="B314" s="4" t="str">
        <f>_xlfn.CONCAT(D314, " / ", E314)</f>
        <v>effortless-golang / OperationalBindings</v>
      </c>
      <c r="C314" s="3" t="s">
        <v>14074</v>
      </c>
      <c r="D314" s="3" t="s">
        <v>14035</v>
      </c>
      <c r="E314" s="3" t="s">
        <v>1862</v>
      </c>
      <c r="F314" s="3">
        <v>5</v>
      </c>
      <c r="G314" s="3">
        <v>11</v>
      </c>
      <c r="H314" s="3">
        <v>55</v>
      </c>
      <c r="I314" s="3">
        <v>55</v>
      </c>
      <c r="J314" s="3" t="b">
        <v>0</v>
      </c>
      <c r="K314" s="4">
        <f>H314 - I314</f>
        <v>0</v>
      </c>
      <c r="L314" s="4">
        <f>IF(((H314 = 0)=TRUE),  0,  ROUND(100 * I314 / H314, 2))</f>
        <v>100</v>
      </c>
      <c r="M314" s="4" t="b">
        <f>K314 = 0</f>
        <v>1</v>
      </c>
      <c r="N314" s="4" t="str">
        <f>IF(((M314)=TRUE),  "",  D314)</f>
      </c>
      <c r="O314" s="4" t="str">
        <f>IF(((M314)=TRUE),  "",  E314)</f>
      </c>
      <c r="P314" s="4">
        <f>COUNTIFS(FieldDisagreements!E2:E50, A314)</f>
        <v>0</v>
      </c>
      <c r="Q314" s="4" t="str">
        <f>_xlfn.IFNA(IF(((INDEX(ConformanceSubstrates!C2:C9, MATCH(D314,ConformanceSubstrates!A2:A9, 0))="")=TRUE),  "",  INDEX(ConformanceSubstrates!C2:C9, MATCH(D314,ConformanceSubstrates!A2:A9, 0))), "")</f>
        <v>Go</v>
      </c>
      <c r="R314" s="4" t="str">
        <f>_xlfn.IFNA(IF(((INDEX(RulebookTables!F2:F93, MATCH(E314,RulebookTables!A2:A93, 0))="")=TRUE),  "",  INDEX(RulebookTables!F2:F93, MATCH(E314,RulebookTables!A2:A93, 0))), "")</f>
        <v>domain</v>
      </c>
      <c r="S314" s="3" t="s">
        <v>1918</v>
      </c>
    </row>
    <row r="315">
      <c r="A315" s="3" t="s">
        <v>14418</v>
      </c>
      <c r="B315" s="4" t="str">
        <f>_xlfn.CONCAT(D315, " / ", E315)</f>
        <v>effortless-golang / CommunicationPolicies</v>
      </c>
      <c r="C315" s="3" t="s">
        <v>14074</v>
      </c>
      <c r="D315" s="3" t="s">
        <v>14035</v>
      </c>
      <c r="E315" s="3" t="s">
        <v>1865</v>
      </c>
      <c r="F315" s="3">
        <v>2</v>
      </c>
      <c r="G315" s="3">
        <v>4</v>
      </c>
      <c r="H315" s="3">
        <v>8</v>
      </c>
      <c r="I315" s="3">
        <v>8</v>
      </c>
      <c r="J315" s="3" t="b">
        <v>0</v>
      </c>
      <c r="K315" s="4">
        <f>H315 - I315</f>
        <v>0</v>
      </c>
      <c r="L315" s="4">
        <f>IF(((H315 = 0)=TRUE),  0,  ROUND(100 * I315 / H315, 2))</f>
        <v>100</v>
      </c>
      <c r="M315" s="4" t="b">
        <f>K315 = 0</f>
        <v>1</v>
      </c>
      <c r="N315" s="4" t="str">
        <f>IF(((M315)=TRUE),  "",  D315)</f>
      </c>
      <c r="O315" s="4" t="str">
        <f>IF(((M315)=TRUE),  "",  E315)</f>
      </c>
      <c r="P315" s="4">
        <f>COUNTIFS(FieldDisagreements!E2:E50, A315)</f>
        <v>0</v>
      </c>
      <c r="Q315" s="4" t="str">
        <f>_xlfn.IFNA(IF(((INDEX(ConformanceSubstrates!C2:C9, MATCH(D315,ConformanceSubstrates!A2:A9, 0))="")=TRUE),  "",  INDEX(ConformanceSubstrates!C2:C9, MATCH(D315,ConformanceSubstrates!A2:A9, 0))), "")</f>
        <v>Go</v>
      </c>
      <c r="R315" s="4" t="str">
        <f>_xlfn.IFNA(IF(((INDEX(RulebookTables!F2:F93, MATCH(E315,RulebookTables!A2:A93, 0))="")=TRUE),  "",  INDEX(RulebookTables!F2:F93, MATCH(E315,RulebookTables!A2:A93, 0))), "")</f>
        <v>communication</v>
      </c>
      <c r="S315" s="3" t="s">
        <v>1918</v>
      </c>
    </row>
    <row r="316">
      <c r="A316" s="3" t="s">
        <v>14419</v>
      </c>
      <c r="B316" s="4" t="str">
        <f>_xlfn.CONCAT(D316, " / ", E316)</f>
        <v>effortless-golang / MessageTemplates</v>
      </c>
      <c r="C316" s="3" t="s">
        <v>14074</v>
      </c>
      <c r="D316" s="3" t="s">
        <v>14035</v>
      </c>
      <c r="E316" s="3" t="s">
        <v>4087</v>
      </c>
      <c r="F316" s="3">
        <v>2</v>
      </c>
      <c r="G316" s="3">
        <v>16</v>
      </c>
      <c r="H316" s="3">
        <v>32</v>
      </c>
      <c r="I316" s="3">
        <v>32</v>
      </c>
      <c r="J316" s="3" t="b">
        <v>0</v>
      </c>
      <c r="K316" s="4">
        <f>H316 - I316</f>
        <v>0</v>
      </c>
      <c r="L316" s="4">
        <f>IF(((H316 = 0)=TRUE),  0,  ROUND(100 * I316 / H316, 2))</f>
        <v>100</v>
      </c>
      <c r="M316" s="4" t="b">
        <f>K316 = 0</f>
        <v>1</v>
      </c>
      <c r="N316" s="4" t="str">
        <f>IF(((M316)=TRUE),  "",  D316)</f>
      </c>
      <c r="O316" s="4" t="str">
        <f>IF(((M316)=TRUE),  "",  E316)</f>
      </c>
      <c r="P316" s="4">
        <f>COUNTIFS(FieldDisagreements!E2:E50, A316)</f>
        <v>0</v>
      </c>
      <c r="Q316" s="4" t="str">
        <f>_xlfn.IFNA(IF(((INDEX(ConformanceSubstrates!C2:C9, MATCH(D316,ConformanceSubstrates!A2:A9, 0))="")=TRUE),  "",  INDEX(ConformanceSubstrates!C2:C9, MATCH(D316,ConformanceSubstrates!A2:A9, 0))), "")</f>
        <v>Go</v>
      </c>
      <c r="R316" s="4" t="str">
        <f>_xlfn.IFNA(IF(((INDEX(RulebookTables!F2:F93, MATCH(E316,RulebookTables!A2:A93, 0))="")=TRUE),  "",  INDEX(RulebookTables!F2:F93, MATCH(E316,RulebookTables!A2:A93, 0))), "")</f>
        <v>communication</v>
      </c>
      <c r="S316" s="3" t="s">
        <v>1918</v>
      </c>
    </row>
    <row r="317">
      <c r="A317" s="3" t="s">
        <v>14420</v>
      </c>
      <c r="B317" s="4" t="str">
        <f>_xlfn.CONCAT(D317, " / ", E317)</f>
        <v>effortless-golang / SemanticMappings</v>
      </c>
      <c r="C317" s="3" t="s">
        <v>14074</v>
      </c>
      <c r="D317" s="3" t="s">
        <v>14035</v>
      </c>
      <c r="E317" s="3" t="s">
        <v>4130</v>
      </c>
      <c r="F317" s="3">
        <v>47</v>
      </c>
      <c r="G317" s="3">
        <v>1</v>
      </c>
      <c r="H317" s="3">
        <v>47</v>
      </c>
      <c r="I317" s="3">
        <v>47</v>
      </c>
      <c r="J317" s="3" t="b">
        <v>0</v>
      </c>
      <c r="K317" s="4">
        <f>H317 - I317</f>
        <v>0</v>
      </c>
      <c r="L317" s="4">
        <f>IF(((H317 = 0)=TRUE),  0,  ROUND(100 * I317 / H317, 2))</f>
        <v>100</v>
      </c>
      <c r="M317" s="4" t="b">
        <f>K317 = 0</f>
        <v>1</v>
      </c>
      <c r="N317" s="4" t="str">
        <f>IF(((M317)=TRUE),  "",  D317)</f>
      </c>
      <c r="O317" s="4" t="str">
        <f>IF(((M317)=TRUE),  "",  E317)</f>
      </c>
      <c r="P317" s="4">
        <f>COUNTIFS(FieldDisagreements!E2:E50, A317)</f>
        <v>0</v>
      </c>
      <c r="Q317" s="4" t="str">
        <f>_xlfn.IFNA(IF(((INDEX(ConformanceSubstrates!C2:C9, MATCH(D317,ConformanceSubstrates!A2:A9, 0))="")=TRUE),  "",  INDEX(ConformanceSubstrates!C2:C9, MATCH(D317,ConformanceSubstrates!A2:A9, 0))), "")</f>
        <v>Go</v>
      </c>
      <c r="R317" s="4" t="str">
        <f>_xlfn.IFNA(IF(((INDEX(RulebookTables!F2:F93, MATCH(E317,RulebookTables!A2:A93, 0))="")=TRUE),  "",  INDEX(RulebookTables!F2:F93, MATCH(E317,RulebookTables!A2:A93, 0))), "")</f>
        <v>meta</v>
      </c>
      <c r="S317" s="3" t="s">
        <v>1918</v>
      </c>
    </row>
    <row r="318">
      <c r="A318" s="3" t="s">
        <v>14421</v>
      </c>
      <c r="B318" s="4" t="str">
        <f>_xlfn.CONCAT(D318, " / ", E318)</f>
        <v>effortless-golang / WitnessLoops</v>
      </c>
      <c r="C318" s="3" t="s">
        <v>14074</v>
      </c>
      <c r="D318" s="3" t="s">
        <v>14035</v>
      </c>
      <c r="E318" s="3" t="s">
        <v>4140</v>
      </c>
      <c r="F318" s="3">
        <v>4</v>
      </c>
      <c r="G318" s="3">
        <v>3</v>
      </c>
      <c r="H318" s="3">
        <v>12</v>
      </c>
      <c r="I318" s="3">
        <v>12</v>
      </c>
      <c r="J318" s="3" t="b">
        <v>0</v>
      </c>
      <c r="K318" s="4">
        <f>H318 - I318</f>
        <v>0</v>
      </c>
      <c r="L318" s="4">
        <f>IF(((H318 = 0)=TRUE),  0,  ROUND(100 * I318 / H318, 2))</f>
        <v>100</v>
      </c>
      <c r="M318" s="4" t="b">
        <f>K318 = 0</f>
        <v>1</v>
      </c>
      <c r="N318" s="4" t="str">
        <f>IF(((M318)=TRUE),  "",  D318)</f>
      </c>
      <c r="O318" s="4" t="str">
        <f>IF(((M318)=TRUE),  "",  E318)</f>
      </c>
      <c r="P318" s="4">
        <f>COUNTIFS(FieldDisagreements!E2:E50, A318)</f>
        <v>0</v>
      </c>
      <c r="Q318" s="4" t="str">
        <f>_xlfn.IFNA(IF(((INDEX(ConformanceSubstrates!C2:C9, MATCH(D318,ConformanceSubstrates!A2:A9, 0))="")=TRUE),  "",  INDEX(ConformanceSubstrates!C2:C9, MATCH(D318,ConformanceSubstrates!A2:A9, 0))), "")</f>
        <v>Go</v>
      </c>
      <c r="R318" s="4" t="str">
        <f>_xlfn.IFNA(IF(((INDEX(RulebookTables!F2:F93, MATCH(E318,RulebookTables!A2:A93, 0))="")=TRUE),  "",  INDEX(RulebookTables!F2:F93, MATCH(E318,RulebookTables!A2:A93, 0))), "")</f>
        <v>meta</v>
      </c>
      <c r="S318" s="3" t="s">
        <v>1918</v>
      </c>
    </row>
    <row r="319">
      <c r="A319" s="3" t="s">
        <v>14422</v>
      </c>
      <c r="B319" s="4" t="str">
        <f>_xlfn.CONCAT(D319, " / ", E319)</f>
        <v>effortless-golang / RoleQuestions</v>
      </c>
      <c r="C319" s="3" t="s">
        <v>14074</v>
      </c>
      <c r="D319" s="3" t="s">
        <v>14035</v>
      </c>
      <c r="E319" s="3" t="s">
        <v>4157</v>
      </c>
      <c r="F319" s="3">
        <v>111</v>
      </c>
      <c r="G319" s="3">
        <v>3</v>
      </c>
      <c r="H319" s="3">
        <v>333</v>
      </c>
      <c r="I319" s="3">
        <v>333</v>
      </c>
      <c r="J319" s="3" t="b">
        <v>0</v>
      </c>
      <c r="K319" s="4">
        <f>H319 - I319</f>
        <v>0</v>
      </c>
      <c r="L319" s="4">
        <f>IF(((H319 = 0)=TRUE),  0,  ROUND(100 * I319 / H319, 2))</f>
        <v>100</v>
      </c>
      <c r="M319" s="4" t="b">
        <f>K319 = 0</f>
        <v>1</v>
      </c>
      <c r="N319" s="4" t="str">
        <f>IF(((M319)=TRUE),  "",  D319)</f>
      </c>
      <c r="O319" s="4" t="str">
        <f>IF(((M319)=TRUE),  "",  E319)</f>
      </c>
      <c r="P319" s="4">
        <f>COUNTIFS(FieldDisagreements!E2:E50, A319)</f>
        <v>0</v>
      </c>
      <c r="Q319" s="4" t="str">
        <f>_xlfn.IFNA(IF(((INDEX(ConformanceSubstrates!C2:C9, MATCH(D319,ConformanceSubstrates!A2:A9, 0))="")=TRUE),  "",  INDEX(ConformanceSubstrates!C2:C9, MATCH(D319,ConformanceSubstrates!A2:A9, 0))), "")</f>
        <v>Go</v>
      </c>
      <c r="R319" s="4" t="str">
        <f>_xlfn.IFNA(IF(((INDEX(RulebookTables!F2:F93, MATCH(E319,RulebookTables!A2:A93, 0))="")=TRUE),  "",  INDEX(RulebookTables!F2:F93, MATCH(E319,RulebookTables!A2:A93, 0))), "")</f>
        <v>org</v>
      </c>
      <c r="S319" s="3" t="s">
        <v>1918</v>
      </c>
    </row>
    <row r="320">
      <c r="A320" s="3" t="s">
        <v>14423</v>
      </c>
      <c r="B320" s="4" t="str">
        <f>_xlfn.CONCAT(D320, " / ", E320)</f>
        <v>effortless-golang / RulebookFields</v>
      </c>
      <c r="C320" s="3" t="s">
        <v>14074</v>
      </c>
      <c r="D320" s="3" t="s">
        <v>14035</v>
      </c>
      <c r="E320" s="3" t="s">
        <v>4172</v>
      </c>
      <c r="F320" s="3">
        <v>1897</v>
      </c>
      <c r="G320" s="3">
        <v>5</v>
      </c>
      <c r="H320" s="3">
        <v>9485</v>
      </c>
      <c r="I320" s="3">
        <v>9485</v>
      </c>
      <c r="J320" s="3" t="b">
        <v>0</v>
      </c>
      <c r="K320" s="4">
        <f>H320 - I320</f>
        <v>0</v>
      </c>
      <c r="L320" s="4">
        <f>IF(((H320 = 0)=TRUE),  0,  ROUND(100 * I320 / H320, 2))</f>
        <v>100</v>
      </c>
      <c r="M320" s="4" t="b">
        <f>K320 = 0</f>
        <v>1</v>
      </c>
      <c r="N320" s="4" t="str">
        <f>IF(((M320)=TRUE),  "",  D320)</f>
      </c>
      <c r="O320" s="4" t="str">
        <f>IF(((M320)=TRUE),  "",  E320)</f>
      </c>
      <c r="P320" s="4">
        <f>COUNTIFS(FieldDisagreements!E2:E50, A320)</f>
        <v>0</v>
      </c>
      <c r="Q320" s="4" t="str">
        <f>_xlfn.IFNA(IF(((INDEX(ConformanceSubstrates!C2:C9, MATCH(D320,ConformanceSubstrates!A2:A9, 0))="")=TRUE),  "",  INDEX(ConformanceSubstrates!C2:C9, MATCH(D320,ConformanceSubstrates!A2:A9, 0))), "")</f>
        <v>Go</v>
      </c>
      <c r="R320" s="4" t="str">
        <f>_xlfn.IFNA(IF(((INDEX(RulebookTables!F2:F93, MATCH(E320,RulebookTables!A2:A93, 0))="")=TRUE),  "",  INDEX(RulebookTables!F2:F93, MATCH(E320,RulebookTables!A2:A93, 0))), "")</f>
        <v>access-control</v>
      </c>
      <c r="S320" s="3" t="s">
        <v>1918</v>
      </c>
    </row>
    <row r="321">
      <c r="A321" s="3" t="s">
        <v>14424</v>
      </c>
      <c r="B321" s="4" t="str">
        <f>_xlfn.CONCAT(D321, " / ", E321)</f>
        <v>effortless-golang / TestSuites</v>
      </c>
      <c r="C321" s="3" t="s">
        <v>14074</v>
      </c>
      <c r="D321" s="3" t="s">
        <v>14035</v>
      </c>
      <c r="E321" s="3" t="s">
        <v>4191</v>
      </c>
      <c r="F321" s="3">
        <v>6</v>
      </c>
      <c r="G321" s="3">
        <v>5</v>
      </c>
      <c r="H321" s="3">
        <v>30</v>
      </c>
      <c r="I321" s="3">
        <v>30</v>
      </c>
      <c r="J321" s="3" t="b">
        <v>0</v>
      </c>
      <c r="K321" s="4">
        <f>H321 - I321</f>
        <v>0</v>
      </c>
      <c r="L321" s="4">
        <f>IF(((H321 = 0)=TRUE),  0,  ROUND(100 * I321 / H321, 2))</f>
        <v>100</v>
      </c>
      <c r="M321" s="4" t="b">
        <f>K321 = 0</f>
        <v>1</v>
      </c>
      <c r="N321" s="4" t="str">
        <f>IF(((M321)=TRUE),  "",  D321)</f>
      </c>
      <c r="O321" s="4" t="str">
        <f>IF(((M321)=TRUE),  "",  E321)</f>
      </c>
      <c r="P321" s="4">
        <f>COUNTIFS(FieldDisagreements!E2:E50, A321)</f>
        <v>0</v>
      </c>
      <c r="Q321" s="4" t="str">
        <f>_xlfn.IFNA(IF(((INDEX(ConformanceSubstrates!C2:C9, MATCH(D321,ConformanceSubstrates!A2:A9, 0))="")=TRUE),  "",  INDEX(ConformanceSubstrates!C2:C9, MATCH(D321,ConformanceSubstrates!A2:A9, 0))), "")</f>
        <v>Go</v>
      </c>
      <c r="R321" s="4" t="str">
        <f>_xlfn.IFNA(IF(((INDEX(RulebookTables!F2:F93, MATCH(E321,RulebookTables!A2:A93, 0))="")=TRUE),  "",  INDEX(RulebookTables!F2:F93, MATCH(E321,RulebookTables!A2:A93, 0))), "")</f>
        <v>meta</v>
      </c>
      <c r="S321" s="3" t="s">
        <v>1918</v>
      </c>
    </row>
    <row r="322">
      <c r="A322" s="3" t="s">
        <v>14425</v>
      </c>
      <c r="B322" s="4" t="str">
        <f>_xlfn.CONCAT(D322, " / ", E322)</f>
        <v>effortless-golang / TestCases</v>
      </c>
      <c r="C322" s="3" t="s">
        <v>14074</v>
      </c>
      <c r="D322" s="3" t="s">
        <v>14035</v>
      </c>
      <c r="E322" s="3" t="s">
        <v>4209</v>
      </c>
      <c r="F322" s="3">
        <v>1794</v>
      </c>
      <c r="G322" s="3">
        <v>7</v>
      </c>
      <c r="H322" s="3">
        <v>12558</v>
      </c>
      <c r="I322" s="3">
        <v>12558</v>
      </c>
      <c r="J322" s="3" t="b">
        <v>0</v>
      </c>
      <c r="K322" s="4">
        <f>H322 - I322</f>
        <v>0</v>
      </c>
      <c r="L322" s="4">
        <f>IF(((H322 = 0)=TRUE),  0,  ROUND(100 * I322 / H322, 2))</f>
        <v>100</v>
      </c>
      <c r="M322" s="4" t="b">
        <f>K322 = 0</f>
        <v>1</v>
      </c>
      <c r="N322" s="4" t="str">
        <f>IF(((M322)=TRUE),  "",  D322)</f>
      </c>
      <c r="O322" s="4" t="str">
        <f>IF(((M322)=TRUE),  "",  E322)</f>
      </c>
      <c r="P322" s="4">
        <f>COUNTIFS(FieldDisagreements!E2:E50, A322)</f>
        <v>0</v>
      </c>
      <c r="Q322" s="4" t="str">
        <f>_xlfn.IFNA(IF(((INDEX(ConformanceSubstrates!C2:C9, MATCH(D322,ConformanceSubstrates!A2:A9, 0))="")=TRUE),  "",  INDEX(ConformanceSubstrates!C2:C9, MATCH(D322,ConformanceSubstrates!A2:A9, 0))), "")</f>
        <v>Go</v>
      </c>
      <c r="R322" s="4" t="str">
        <f>_xlfn.IFNA(IF(((INDEX(RulebookTables!F2:F93, MATCH(E322,RulebookTables!A2:A93, 0))="")=TRUE),  "",  INDEX(RulebookTables!F2:F93, MATCH(E322,RulebookTables!A2:A93, 0))), "")</f>
        <v>meta</v>
      </c>
      <c r="S322" s="3" t="s">
        <v>1918</v>
      </c>
    </row>
    <row r="323">
      <c r="A323" s="3" t="s">
        <v>14426</v>
      </c>
      <c r="B323" s="4" t="str">
        <f>_xlfn.CONCAT(D323, " / ", E323)</f>
        <v>effortless-golang / ExceptionInvocations</v>
      </c>
      <c r="C323" s="3" t="s">
        <v>14074</v>
      </c>
      <c r="D323" s="3" t="s">
        <v>14035</v>
      </c>
      <c r="E323" s="3" t="s">
        <v>4287</v>
      </c>
      <c r="F323" s="3">
        <v>1</v>
      </c>
      <c r="G323" s="3">
        <v>13</v>
      </c>
      <c r="H323" s="3">
        <v>13</v>
      </c>
      <c r="I323" s="3">
        <v>13</v>
      </c>
      <c r="J323" s="3" t="b">
        <v>0</v>
      </c>
      <c r="K323" s="4">
        <f>H323 - I323</f>
        <v>0</v>
      </c>
      <c r="L323" s="4">
        <f>IF(((H323 = 0)=TRUE),  0,  ROUND(100 * I323 / H323, 2))</f>
        <v>100</v>
      </c>
      <c r="M323" s="4" t="b">
        <f>K323 = 0</f>
        <v>1</v>
      </c>
      <c r="N323" s="4" t="str">
        <f>IF(((M323)=TRUE),  "",  D323)</f>
      </c>
      <c r="O323" s="4" t="str">
        <f>IF(((M323)=TRUE),  "",  E323)</f>
      </c>
      <c r="P323" s="4">
        <f>COUNTIFS(FieldDisagreements!E2:E50, A323)</f>
        <v>0</v>
      </c>
      <c r="Q323" s="4" t="str">
        <f>_xlfn.IFNA(IF(((INDEX(ConformanceSubstrates!C2:C9, MATCH(D323,ConformanceSubstrates!A2:A9, 0))="")=TRUE),  "",  INDEX(ConformanceSubstrates!C2:C9, MATCH(D323,ConformanceSubstrates!A2:A9, 0))), "")</f>
        <v>Go</v>
      </c>
      <c r="R323" s="4" t="str">
        <f>_xlfn.IFNA(IF(((INDEX(RulebookTables!F2:F93, MATCH(E323,RulebookTables!A2:A93, 0))="")=TRUE),  "",  INDEX(RulebookTables!F2:F93, MATCH(E323,RulebookTables!A2:A93, 0))), "")</f>
        <v>governance</v>
      </c>
      <c r="S323" s="3" t="s">
        <v>1918</v>
      </c>
    </row>
    <row r="324">
      <c r="A324" s="3" t="s">
        <v>14427</v>
      </c>
      <c r="B324" s="4" t="str">
        <f>_xlfn.CONCAT(D324, " / ", E324)</f>
        <v>effortless-golang / VerificationOutcomes</v>
      </c>
      <c r="C324" s="3" t="s">
        <v>14074</v>
      </c>
      <c r="D324" s="3" t="s">
        <v>14035</v>
      </c>
      <c r="E324" s="3" t="s">
        <v>4337</v>
      </c>
      <c r="F324" s="3">
        <v>4</v>
      </c>
      <c r="G324" s="3">
        <v>18</v>
      </c>
      <c r="H324" s="3">
        <v>72</v>
      </c>
      <c r="I324" s="3">
        <v>72</v>
      </c>
      <c r="J324" s="3" t="b">
        <v>0</v>
      </c>
      <c r="K324" s="4">
        <f>H324 - I324</f>
        <v>0</v>
      </c>
      <c r="L324" s="4">
        <f>IF(((H324 = 0)=TRUE),  0,  ROUND(100 * I324 / H324, 2))</f>
        <v>100</v>
      </c>
      <c r="M324" s="4" t="b">
        <f>K324 = 0</f>
        <v>1</v>
      </c>
      <c r="N324" s="4" t="str">
        <f>IF(((M324)=TRUE),  "",  D324)</f>
      </c>
      <c r="O324" s="4" t="str">
        <f>IF(((M324)=TRUE),  "",  E324)</f>
      </c>
      <c r="P324" s="4">
        <f>COUNTIFS(FieldDisagreements!E2:E50, A324)</f>
        <v>0</v>
      </c>
      <c r="Q324" s="4" t="str">
        <f>_xlfn.IFNA(IF(((INDEX(ConformanceSubstrates!C2:C9, MATCH(D324,ConformanceSubstrates!A2:A9, 0))="")=TRUE),  "",  INDEX(ConformanceSubstrates!C2:C9, MATCH(D324,ConformanceSubstrates!A2:A9, 0))), "")</f>
        <v>Go</v>
      </c>
      <c r="R324" s="4" t="str">
        <f>_xlfn.IFNA(IF(((INDEX(RulebookTables!F2:F93, MATCH(E324,RulebookTables!A2:A93, 0))="")=TRUE),  "",  INDEX(RulebookTables!F2:F93, MATCH(E324,RulebookTables!A2:A93, 0))), "")</f>
        <v>execution</v>
      </c>
      <c r="S324" s="3" t="s">
        <v>1918</v>
      </c>
    </row>
    <row r="325">
      <c r="A325" s="3" t="s">
        <v>14428</v>
      </c>
      <c r="B325" s="4" t="str">
        <f>_xlfn.CONCAT(D325, " / ", E325)</f>
        <v>effortless-golang / ObservedTransitions</v>
      </c>
      <c r="C325" s="3" t="s">
        <v>14074</v>
      </c>
      <c r="D325" s="3" t="s">
        <v>14035</v>
      </c>
      <c r="E325" s="3" t="s">
        <v>4398</v>
      </c>
      <c r="F325" s="3">
        <v>10</v>
      </c>
      <c r="G325" s="3">
        <v>1</v>
      </c>
      <c r="H325" s="3">
        <v>10</v>
      </c>
      <c r="I325" s="3">
        <v>10</v>
      </c>
      <c r="J325" s="3" t="b">
        <v>0</v>
      </c>
      <c r="K325" s="4">
        <f>H325 - I325</f>
        <v>0</v>
      </c>
      <c r="L325" s="4">
        <f>IF(((H325 = 0)=TRUE),  0,  ROUND(100 * I325 / H325, 2))</f>
        <v>100</v>
      </c>
      <c r="M325" s="4" t="b">
        <f>K325 = 0</f>
        <v>1</v>
      </c>
      <c r="N325" s="4" t="str">
        <f>IF(((M325)=TRUE),  "",  D325)</f>
      </c>
      <c r="O325" s="4" t="str">
        <f>IF(((M325)=TRUE),  "",  E325)</f>
      </c>
      <c r="P325" s="4">
        <f>COUNTIFS(FieldDisagreements!E2:E50, A325)</f>
        <v>0</v>
      </c>
      <c r="Q325" s="4" t="str">
        <f>_xlfn.IFNA(IF(((INDEX(ConformanceSubstrates!C2:C9, MATCH(D325,ConformanceSubstrates!A2:A9, 0))="")=TRUE),  "",  INDEX(ConformanceSubstrates!C2:C9, MATCH(D325,ConformanceSubstrates!A2:A9, 0))), "")</f>
        <v>Go</v>
      </c>
      <c r="R325" s="4" t="str">
        <f>_xlfn.IFNA(IF(((INDEX(RulebookTables!F2:F93, MATCH(E325,RulebookTables!A2:A93, 0))="")=TRUE),  "",  INDEX(RulebookTables!F2:F93, MATCH(E325,RulebookTables!A2:A93, 0))), "")</f>
        <v>specification</v>
      </c>
      <c r="S325" s="3" t="s">
        <v>1918</v>
      </c>
    </row>
    <row r="326">
      <c r="A326" s="3" t="s">
        <v>14429</v>
      </c>
      <c r="B326" s="4" t="str">
        <f>_xlfn.CONCAT(D326, " / ", E326)</f>
        <v>effortless-golang / Recipients</v>
      </c>
      <c r="C326" s="3" t="s">
        <v>14074</v>
      </c>
      <c r="D326" s="3" t="s">
        <v>14035</v>
      </c>
      <c r="E326" s="3" t="s">
        <v>4412</v>
      </c>
      <c r="F326" s="3">
        <v>5</v>
      </c>
      <c r="G326" s="3">
        <v>6</v>
      </c>
      <c r="H326" s="3">
        <v>30</v>
      </c>
      <c r="I326" s="3">
        <v>30</v>
      </c>
      <c r="J326" s="3" t="b">
        <v>0</v>
      </c>
      <c r="K326" s="4">
        <f>H326 - I326</f>
        <v>0</v>
      </c>
      <c r="L326" s="4">
        <f>IF(((H326 = 0)=TRUE),  0,  ROUND(100 * I326 / H326, 2))</f>
        <v>100</v>
      </c>
      <c r="M326" s="4" t="b">
        <f>K326 = 0</f>
        <v>1</v>
      </c>
      <c r="N326" s="4" t="str">
        <f>IF(((M326)=TRUE),  "",  D326)</f>
      </c>
      <c r="O326" s="4" t="str">
        <f>IF(((M326)=TRUE),  "",  E326)</f>
      </c>
      <c r="P326" s="4">
        <f>COUNTIFS(FieldDisagreements!E2:E50, A326)</f>
        <v>0</v>
      </c>
      <c r="Q326" s="4" t="str">
        <f>_xlfn.IFNA(IF(((INDEX(ConformanceSubstrates!C2:C9, MATCH(D326,ConformanceSubstrates!A2:A9, 0))="")=TRUE),  "",  INDEX(ConformanceSubstrates!C2:C9, MATCH(D326,ConformanceSubstrates!A2:A9, 0))), "")</f>
        <v>Go</v>
      </c>
      <c r="R326" s="4" t="str">
        <f>_xlfn.IFNA(IF(((INDEX(RulebookTables!F2:F93, MATCH(E326,RulebookTables!A2:A93, 0))="")=TRUE),  "",  INDEX(RulebookTables!F2:F93, MATCH(E326,RulebookTables!A2:A93, 0))), "")</f>
        <v>communication</v>
      </c>
      <c r="S326" s="3" t="s">
        <v>1918</v>
      </c>
    </row>
    <row r="327">
      <c r="A327" s="3" t="s">
        <v>14430</v>
      </c>
      <c r="B327" s="4" t="str">
        <f>_xlfn.CONCAT(D327, " / ", E327)</f>
        <v>effortless-golang / MessageDeliveries</v>
      </c>
      <c r="C327" s="3" t="s">
        <v>14074</v>
      </c>
      <c r="D327" s="3" t="s">
        <v>14035</v>
      </c>
      <c r="E327" s="3" t="s">
        <v>4444</v>
      </c>
      <c r="F327" s="3">
        <v>6</v>
      </c>
      <c r="G327" s="3">
        <v>74</v>
      </c>
      <c r="H327" s="3">
        <v>444</v>
      </c>
      <c r="I327" s="3">
        <v>444</v>
      </c>
      <c r="J327" s="3" t="b">
        <v>0</v>
      </c>
      <c r="K327" s="4">
        <f>H327 - I327</f>
        <v>0</v>
      </c>
      <c r="L327" s="4">
        <f>IF(((H327 = 0)=TRUE),  0,  ROUND(100 * I327 / H327, 2))</f>
        <v>100</v>
      </c>
      <c r="M327" s="4" t="b">
        <f>K327 = 0</f>
        <v>1</v>
      </c>
      <c r="N327" s="4" t="str">
        <f>IF(((M327)=TRUE),  "",  D327)</f>
      </c>
      <c r="O327" s="4" t="str">
        <f>IF(((M327)=TRUE),  "",  E327)</f>
      </c>
      <c r="P327" s="4">
        <f>COUNTIFS(FieldDisagreements!E2:E50, A327)</f>
        <v>0</v>
      </c>
      <c r="Q327" s="4" t="str">
        <f>_xlfn.IFNA(IF(((INDEX(ConformanceSubstrates!C2:C9, MATCH(D327,ConformanceSubstrates!A2:A9, 0))="")=TRUE),  "",  INDEX(ConformanceSubstrates!C2:C9, MATCH(D327,ConformanceSubstrates!A2:A9, 0))), "")</f>
        <v>Go</v>
      </c>
      <c r="R327" s="4" t="str">
        <f>_xlfn.IFNA(IF(((INDEX(RulebookTables!F2:F93, MATCH(E327,RulebookTables!A2:A93, 0))="")=TRUE),  "",  INDEX(RulebookTables!F2:F93, MATCH(E327,RulebookTables!A2:A93, 0))), "")</f>
        <v>communication</v>
      </c>
      <c r="S327" s="3" t="s">
        <v>1918</v>
      </c>
    </row>
    <row r="328">
      <c r="A328" s="3" t="s">
        <v>14431</v>
      </c>
      <c r="B328" s="4" t="str">
        <f>_xlfn.CONCAT(D328, " / ", E328)</f>
        <v>effortless-golang / TemplateApprovals</v>
      </c>
      <c r="C328" s="3" t="s">
        <v>14074</v>
      </c>
      <c r="D328" s="3" t="s">
        <v>14035</v>
      </c>
      <c r="E328" s="3" t="s">
        <v>4698</v>
      </c>
      <c r="F328" s="3">
        <v>2</v>
      </c>
      <c r="G328" s="3">
        <v>6</v>
      </c>
      <c r="H328" s="3">
        <v>12</v>
      </c>
      <c r="I328" s="3">
        <v>12</v>
      </c>
      <c r="J328" s="3" t="b">
        <v>0</v>
      </c>
      <c r="K328" s="4">
        <f>H328 - I328</f>
        <v>0</v>
      </c>
      <c r="L328" s="4">
        <f>IF(((H328 = 0)=TRUE),  0,  ROUND(100 * I328 / H328, 2))</f>
        <v>100</v>
      </c>
      <c r="M328" s="4" t="b">
        <f>K328 = 0</f>
        <v>1</v>
      </c>
      <c r="N328" s="4" t="str">
        <f>IF(((M328)=TRUE),  "",  D328)</f>
      </c>
      <c r="O328" s="4" t="str">
        <f>IF(((M328)=TRUE),  "",  E328)</f>
      </c>
      <c r="P328" s="4">
        <f>COUNTIFS(FieldDisagreements!E2:E50, A328)</f>
        <v>0</v>
      </c>
      <c r="Q328" s="4" t="str">
        <f>_xlfn.IFNA(IF(((INDEX(ConformanceSubstrates!C2:C9, MATCH(D328,ConformanceSubstrates!A2:A9, 0))="")=TRUE),  "",  INDEX(ConformanceSubstrates!C2:C9, MATCH(D328,ConformanceSubstrates!A2:A9, 0))), "")</f>
        <v>Go</v>
      </c>
      <c r="R328" s="4" t="str">
        <f>_xlfn.IFNA(IF(((INDEX(RulebookTables!F2:F93, MATCH(E328,RulebookTables!A2:A93, 0))="")=TRUE),  "",  INDEX(RulebookTables!F2:F93, MATCH(E328,RulebookTables!A2:A93, 0))), "")</f>
        <v>communication</v>
      </c>
      <c r="S328" s="3" t="s">
        <v>1918</v>
      </c>
    </row>
    <row r="329">
      <c r="A329" s="3" t="s">
        <v>14432</v>
      </c>
      <c r="B329" s="4" t="str">
        <f>_xlfn.CONCAT(D329, " / ", E329)</f>
        <v>effortless-golang / SendIntents</v>
      </c>
      <c r="C329" s="3" t="s">
        <v>14074</v>
      </c>
      <c r="D329" s="3" t="s">
        <v>14035</v>
      </c>
      <c r="E329" s="3" t="s">
        <v>4728</v>
      </c>
      <c r="F329" s="3">
        <v>7</v>
      </c>
      <c r="G329" s="3">
        <v>79</v>
      </c>
      <c r="H329" s="3">
        <v>553</v>
      </c>
      <c r="I329" s="3">
        <v>553</v>
      </c>
      <c r="J329" s="3" t="b">
        <v>0</v>
      </c>
      <c r="K329" s="4">
        <f>H329 - I329</f>
        <v>0</v>
      </c>
      <c r="L329" s="4">
        <f>IF(((H329 = 0)=TRUE),  0,  ROUND(100 * I329 / H329, 2))</f>
        <v>100</v>
      </c>
      <c r="M329" s="4" t="b">
        <f>K329 = 0</f>
        <v>1</v>
      </c>
      <c r="N329" s="4" t="str">
        <f>IF(((M329)=TRUE),  "",  D329)</f>
      </c>
      <c r="O329" s="4" t="str">
        <f>IF(((M329)=TRUE),  "",  E329)</f>
      </c>
      <c r="P329" s="4">
        <f>COUNTIFS(FieldDisagreements!E2:E50, A329)</f>
        <v>0</v>
      </c>
      <c r="Q329" s="4" t="str">
        <f>_xlfn.IFNA(IF(((INDEX(ConformanceSubstrates!C2:C9, MATCH(D329,ConformanceSubstrates!A2:A9, 0))="")=TRUE),  "",  INDEX(ConformanceSubstrates!C2:C9, MATCH(D329,ConformanceSubstrates!A2:A9, 0))), "")</f>
        <v>Go</v>
      </c>
      <c r="R329" s="4" t="str">
        <f>_xlfn.IFNA(IF(((INDEX(RulebookTables!F2:F93, MATCH(E329,RulebookTables!A2:A93, 0))="")=TRUE),  "",  INDEX(RulebookTables!F2:F93, MATCH(E329,RulebookTables!A2:A93, 0))), "")</f>
        <v>communication</v>
      </c>
      <c r="S329" s="3" t="s">
        <v>1918</v>
      </c>
    </row>
    <row r="330">
      <c r="A330" s="3" t="s">
        <v>14433</v>
      </c>
      <c r="B330" s="4" t="str">
        <f>_xlfn.CONCAT(D330, " / ", E330)</f>
        <v>effortless-golang / AgentDecisionRecords</v>
      </c>
      <c r="C330" s="3" t="s">
        <v>14074</v>
      </c>
      <c r="D330" s="3" t="s">
        <v>14035</v>
      </c>
      <c r="E330" s="3" t="s">
        <v>4994</v>
      </c>
      <c r="F330" s="3">
        <v>3</v>
      </c>
      <c r="G330" s="3">
        <v>27</v>
      </c>
      <c r="H330" s="3">
        <v>81</v>
      </c>
      <c r="I330" s="3">
        <v>81</v>
      </c>
      <c r="J330" s="3" t="b">
        <v>0</v>
      </c>
      <c r="K330" s="4">
        <f>H330 - I330</f>
        <v>0</v>
      </c>
      <c r="L330" s="4">
        <f>IF(((H330 = 0)=TRUE),  0,  ROUND(100 * I330 / H330, 2))</f>
        <v>100</v>
      </c>
      <c r="M330" s="4" t="b">
        <f>K330 = 0</f>
        <v>1</v>
      </c>
      <c r="N330" s="4" t="str">
        <f>IF(((M330)=TRUE),  "",  D330)</f>
      </c>
      <c r="O330" s="4" t="str">
        <f>IF(((M330)=TRUE),  "",  E330)</f>
      </c>
      <c r="P330" s="4">
        <f>COUNTIFS(FieldDisagreements!E2:E50, A330)</f>
        <v>0</v>
      </c>
      <c r="Q330" s="4" t="str">
        <f>_xlfn.IFNA(IF(((INDEX(ConformanceSubstrates!C2:C9, MATCH(D330,ConformanceSubstrates!A2:A9, 0))="")=TRUE),  "",  INDEX(ConformanceSubstrates!C2:C9, MATCH(D330,ConformanceSubstrates!A2:A9, 0))), "")</f>
        <v>Go</v>
      </c>
      <c r="R330" s="4" t="str">
        <f>_xlfn.IFNA(IF(((INDEX(RulebookTables!F2:F93, MATCH(E330,RulebookTables!A2:A93, 0))="")=TRUE),  "",  INDEX(RulebookTables!F2:F93, MATCH(E330,RulebookTables!A2:A93, 0))), "")</f>
        <v>org</v>
      </c>
      <c r="S330" s="3" t="s">
        <v>1918</v>
      </c>
    </row>
    <row r="331">
      <c r="A331" s="3" t="s">
        <v>14434</v>
      </c>
      <c r="B331" s="4" t="str">
        <f>_xlfn.CONCAT(D331, " / ", E331)</f>
        <v>effortless-golang / DeliveredCommunications</v>
      </c>
      <c r="C331" s="3" t="s">
        <v>14074</v>
      </c>
      <c r="D331" s="3" t="s">
        <v>14035</v>
      </c>
      <c r="E331" s="3" t="s">
        <v>5095</v>
      </c>
      <c r="F331" s="3">
        <v>1</v>
      </c>
      <c r="G331" s="3">
        <v>6</v>
      </c>
      <c r="H331" s="3">
        <v>6</v>
      </c>
      <c r="I331" s="3">
        <v>6</v>
      </c>
      <c r="J331" s="3" t="b">
        <v>0</v>
      </c>
      <c r="K331" s="4">
        <f>H331 - I331</f>
        <v>0</v>
      </c>
      <c r="L331" s="4">
        <f>IF(((H331 = 0)=TRUE),  0,  ROUND(100 * I331 / H331, 2))</f>
        <v>100</v>
      </c>
      <c r="M331" s="4" t="b">
        <f>K331 = 0</f>
        <v>1</v>
      </c>
      <c r="N331" s="4" t="str">
        <f>IF(((M331)=TRUE),  "",  D331)</f>
      </c>
      <c r="O331" s="4" t="str">
        <f>IF(((M331)=TRUE),  "",  E331)</f>
      </c>
      <c r="P331" s="4">
        <f>COUNTIFS(FieldDisagreements!E2:E50, A331)</f>
        <v>0</v>
      </c>
      <c r="Q331" s="4" t="str">
        <f>_xlfn.IFNA(IF(((INDEX(ConformanceSubstrates!C2:C9, MATCH(D331,ConformanceSubstrates!A2:A9, 0))="")=TRUE),  "",  INDEX(ConformanceSubstrates!C2:C9, MATCH(D331,ConformanceSubstrates!A2:A9, 0))), "")</f>
        <v>Go</v>
      </c>
      <c r="R331" s="4" t="str">
        <f>_xlfn.IFNA(IF(((INDEX(RulebookTables!F2:F93, MATCH(E331,RulebookTables!A2:A93, 0))="")=TRUE),  "",  INDEX(RulebookTables!F2:F93, MATCH(E331,RulebookTables!A2:A93, 0))), "")</f>
        <v>communication</v>
      </c>
      <c r="S331" s="3" t="s">
        <v>1918</v>
      </c>
    </row>
    <row r="332">
      <c r="A332" s="3" t="s">
        <v>14435</v>
      </c>
      <c r="B332" s="4" t="str">
        <f>_xlfn.CONCAT(D332, " / ", E332)</f>
        <v>effortless-golang / AuthorityBoundaries</v>
      </c>
      <c r="C332" s="3" t="s">
        <v>14074</v>
      </c>
      <c r="D332" s="3" t="s">
        <v>14035</v>
      </c>
      <c r="E332" s="3" t="s">
        <v>5131</v>
      </c>
      <c r="F332" s="3">
        <v>3</v>
      </c>
      <c r="G332" s="3">
        <v>21</v>
      </c>
      <c r="H332" s="3">
        <v>63</v>
      </c>
      <c r="I332" s="3">
        <v>63</v>
      </c>
      <c r="J332" s="3" t="b">
        <v>0</v>
      </c>
      <c r="K332" s="4">
        <f>H332 - I332</f>
        <v>0</v>
      </c>
      <c r="L332" s="4">
        <f>IF(((H332 = 0)=TRUE),  0,  ROUND(100 * I332 / H332, 2))</f>
        <v>100</v>
      </c>
      <c r="M332" s="4" t="b">
        <f>K332 = 0</f>
        <v>1</v>
      </c>
      <c r="N332" s="4" t="str">
        <f>IF(((M332)=TRUE),  "",  D332)</f>
      </c>
      <c r="O332" s="4" t="str">
        <f>IF(((M332)=TRUE),  "",  E332)</f>
      </c>
      <c r="P332" s="4">
        <f>COUNTIFS(FieldDisagreements!E2:E50, A332)</f>
        <v>0</v>
      </c>
      <c r="Q332" s="4" t="str">
        <f>_xlfn.IFNA(IF(((INDEX(ConformanceSubstrates!C2:C9, MATCH(D332,ConformanceSubstrates!A2:A9, 0))="")=TRUE),  "",  INDEX(ConformanceSubstrates!C2:C9, MATCH(D332,ConformanceSubstrates!A2:A9, 0))), "")</f>
        <v>Go</v>
      </c>
      <c r="R332" s="4" t="str">
        <f>_xlfn.IFNA(IF(((INDEX(RulebookTables!F2:F93, MATCH(E332,RulebookTables!A2:A93, 0))="")=TRUE),  "",  INDEX(RulebookTables!F2:F93, MATCH(E332,RulebookTables!A2:A93, 0))), "")</f>
        <v>governance</v>
      </c>
      <c r="S332" s="3" t="s">
        <v>1918</v>
      </c>
    </row>
    <row r="333">
      <c r="A333" s="3" t="s">
        <v>14436</v>
      </c>
      <c r="B333" s="4" t="str">
        <f>_xlfn.CONCAT(D333, " / ", E333)</f>
        <v>effortless-golang / AppRoleProfiles</v>
      </c>
      <c r="C333" s="3" t="s">
        <v>14074</v>
      </c>
      <c r="D333" s="3" t="s">
        <v>14035</v>
      </c>
      <c r="E333" s="3" t="s">
        <v>1869</v>
      </c>
      <c r="F333" s="3">
        <v>12</v>
      </c>
      <c r="G333" s="3">
        <v>2</v>
      </c>
      <c r="H333" s="3">
        <v>24</v>
      </c>
      <c r="I333" s="3">
        <v>24</v>
      </c>
      <c r="J333" s="3" t="b">
        <v>0</v>
      </c>
      <c r="K333" s="4">
        <f>H333 - I333</f>
        <v>0</v>
      </c>
      <c r="L333" s="4">
        <f>IF(((H333 = 0)=TRUE),  0,  ROUND(100 * I333 / H333, 2))</f>
        <v>100</v>
      </c>
      <c r="M333" s="4" t="b">
        <f>K333 = 0</f>
        <v>1</v>
      </c>
      <c r="N333" s="4" t="str">
        <f>IF(((M333)=TRUE),  "",  D333)</f>
      </c>
      <c r="O333" s="4" t="str">
        <f>IF(((M333)=TRUE),  "",  E333)</f>
      </c>
      <c r="P333" s="4">
        <f>COUNTIFS(FieldDisagreements!E2:E50, A333)</f>
        <v>0</v>
      </c>
      <c r="Q333" s="4" t="str">
        <f>_xlfn.IFNA(IF(((INDEX(ConformanceSubstrates!C2:C9, MATCH(D333,ConformanceSubstrates!A2:A9, 0))="")=TRUE),  "",  INDEX(ConformanceSubstrates!C2:C9, MATCH(D333,ConformanceSubstrates!A2:A9, 0))), "")</f>
        <v>Go</v>
      </c>
      <c r="R333" s="4" t="str">
        <f>_xlfn.IFNA(IF(((INDEX(RulebookTables!F2:F93, MATCH(E333,RulebookTables!A2:A93, 0))="")=TRUE),  "",  INDEX(RulebookTables!F2:F93, MATCH(E333,RulebookTables!A2:A93, 0))), "")</f>
        <v>org</v>
      </c>
      <c r="S333" s="3" t="s">
        <v>1918</v>
      </c>
    </row>
    <row r="334">
      <c r="A334" s="3" t="s">
        <v>14437</v>
      </c>
      <c r="B334" s="4" t="str">
        <f>_xlfn.CONCAT(D334, " / ", E334)</f>
        <v>effortless-golang / AppNavGroups</v>
      </c>
      <c r="C334" s="3" t="s">
        <v>14074</v>
      </c>
      <c r="D334" s="3" t="s">
        <v>14035</v>
      </c>
      <c r="E334" s="3" t="s">
        <v>1873</v>
      </c>
      <c r="F334" s="3">
        <v>23</v>
      </c>
      <c r="G334" s="3">
        <v>2</v>
      </c>
      <c r="H334" s="3">
        <v>46</v>
      </c>
      <c r="I334" s="3">
        <v>46</v>
      </c>
      <c r="J334" s="3" t="b">
        <v>0</v>
      </c>
      <c r="K334" s="4">
        <f>H334 - I334</f>
        <v>0</v>
      </c>
      <c r="L334" s="4">
        <f>IF(((H334 = 0)=TRUE),  0,  ROUND(100 * I334 / H334, 2))</f>
        <v>100</v>
      </c>
      <c r="M334" s="4" t="b">
        <f>K334 = 0</f>
        <v>1</v>
      </c>
      <c r="N334" s="4" t="str">
        <f>IF(((M334)=TRUE),  "",  D334)</f>
      </c>
      <c r="O334" s="4" t="str">
        <f>IF(((M334)=TRUE),  "",  E334)</f>
      </c>
      <c r="P334" s="4">
        <f>COUNTIFS(FieldDisagreements!E2:E50, A334)</f>
        <v>0</v>
      </c>
      <c r="Q334" s="4" t="str">
        <f>_xlfn.IFNA(IF(((INDEX(ConformanceSubstrates!C2:C9, MATCH(D334,ConformanceSubstrates!A2:A9, 0))="")=TRUE),  "",  INDEX(ConformanceSubstrates!C2:C9, MATCH(D334,ConformanceSubstrates!A2:A9, 0))), "")</f>
        <v>Go</v>
      </c>
      <c r="R334" s="4" t="str">
        <f>_xlfn.IFNA(IF(((INDEX(RulebookTables!F2:F93, MATCH(E334,RulebookTables!A2:A93, 0))="")=TRUE),  "",  INDEX(RulebookTables!F2:F93, MATCH(E334,RulebookTables!A2:A93, 0))), "")</f>
        <v>application</v>
      </c>
      <c r="S334" s="3" t="s">
        <v>1918</v>
      </c>
    </row>
    <row r="335">
      <c r="A335" s="3" t="s">
        <v>14438</v>
      </c>
      <c r="B335" s="4" t="str">
        <f>_xlfn.CONCAT(D335, " / ", E335)</f>
        <v>effortless-golang / AppRoutes</v>
      </c>
      <c r="C335" s="3" t="s">
        <v>14074</v>
      </c>
      <c r="D335" s="3" t="s">
        <v>14035</v>
      </c>
      <c r="E335" s="3" t="s">
        <v>1877</v>
      </c>
      <c r="F335" s="3">
        <v>149</v>
      </c>
      <c r="G335" s="3">
        <v>7</v>
      </c>
      <c r="H335" s="3">
        <v>1043</v>
      </c>
      <c r="I335" s="3">
        <v>1043</v>
      </c>
      <c r="J335" s="3" t="b">
        <v>0</v>
      </c>
      <c r="K335" s="4">
        <f>H335 - I335</f>
        <v>0</v>
      </c>
      <c r="L335" s="4">
        <f>IF(((H335 = 0)=TRUE),  0,  ROUND(100 * I335 / H335, 2))</f>
        <v>100</v>
      </c>
      <c r="M335" s="4" t="b">
        <f>K335 = 0</f>
        <v>1</v>
      </c>
      <c r="N335" s="4" t="str">
        <f>IF(((M335)=TRUE),  "",  D335)</f>
      </c>
      <c r="O335" s="4" t="str">
        <f>IF(((M335)=TRUE),  "",  E335)</f>
      </c>
      <c r="P335" s="4">
        <f>COUNTIFS(FieldDisagreements!E2:E50, A335)</f>
        <v>0</v>
      </c>
      <c r="Q335" s="4" t="str">
        <f>_xlfn.IFNA(IF(((INDEX(ConformanceSubstrates!C2:C9, MATCH(D335,ConformanceSubstrates!A2:A9, 0))="")=TRUE),  "",  INDEX(ConformanceSubstrates!C2:C9, MATCH(D335,ConformanceSubstrates!A2:A9, 0))), "")</f>
        <v>Go</v>
      </c>
      <c r="R335" s="4" t="str">
        <f>_xlfn.IFNA(IF(((INDEX(RulebookTables!F2:F93, MATCH(E335,RulebookTables!A2:A93, 0))="")=TRUE),  "",  INDEX(RulebookTables!F2:F93, MATCH(E335,RulebookTables!A2:A93, 0))), "")</f>
        <v>application</v>
      </c>
      <c r="S335" s="3" t="s">
        <v>1918</v>
      </c>
    </row>
    <row r="336">
      <c r="A336" s="3" t="s">
        <v>14439</v>
      </c>
      <c r="B336" s="4" t="str">
        <f>_xlfn.CONCAT(D336, " / ", E336)</f>
        <v>effortless-golang / AppRouteQuestions</v>
      </c>
      <c r="C336" s="3" t="s">
        <v>14074</v>
      </c>
      <c r="D336" s="3" t="s">
        <v>14035</v>
      </c>
      <c r="E336" s="3" t="s">
        <v>1881</v>
      </c>
      <c r="F336" s="3">
        <v>151</v>
      </c>
      <c r="G336" s="3">
        <v>1</v>
      </c>
      <c r="H336" s="3">
        <v>151</v>
      </c>
      <c r="I336" s="3">
        <v>151</v>
      </c>
      <c r="J336" s="3" t="b">
        <v>0</v>
      </c>
      <c r="K336" s="4">
        <f>H336 - I336</f>
        <v>0</v>
      </c>
      <c r="L336" s="4">
        <f>IF(((H336 = 0)=TRUE),  0,  ROUND(100 * I336 / H336, 2))</f>
        <v>100</v>
      </c>
      <c r="M336" s="4" t="b">
        <f>K336 = 0</f>
        <v>1</v>
      </c>
      <c r="N336" s="4" t="str">
        <f>IF(((M336)=TRUE),  "",  D336)</f>
      </c>
      <c r="O336" s="4" t="str">
        <f>IF(((M336)=TRUE),  "",  E336)</f>
      </c>
      <c r="P336" s="4">
        <f>COUNTIFS(FieldDisagreements!E2:E50, A336)</f>
        <v>0</v>
      </c>
      <c r="Q336" s="4" t="str">
        <f>_xlfn.IFNA(IF(((INDEX(ConformanceSubstrates!C2:C9, MATCH(D336,ConformanceSubstrates!A2:A9, 0))="")=TRUE),  "",  INDEX(ConformanceSubstrates!C2:C9, MATCH(D336,ConformanceSubstrates!A2:A9, 0))), "")</f>
        <v>Go</v>
      </c>
      <c r="R336" s="4" t="str">
        <f>_xlfn.IFNA(IF(((INDEX(RulebookTables!F2:F93, MATCH(E336,RulebookTables!A2:A93, 0))="")=TRUE),  "",  INDEX(RulebookTables!F2:F93, MATCH(E336,RulebookTables!A2:A93, 0))), "")</f>
        <v>application</v>
      </c>
      <c r="S336" s="3" t="s">
        <v>1918</v>
      </c>
    </row>
    <row r="337">
      <c r="A337" s="3" t="s">
        <v>14440</v>
      </c>
      <c r="B337" s="4" t="str">
        <f>_xlfn.CONCAT(D337, " / ", E337)</f>
        <v>effortless-golang / AppRouteReferences</v>
      </c>
      <c r="C337" s="3" t="s">
        <v>14074</v>
      </c>
      <c r="D337" s="3" t="s">
        <v>14035</v>
      </c>
      <c r="E337" s="3" t="s">
        <v>1885</v>
      </c>
      <c r="F337" s="3">
        <v>315</v>
      </c>
      <c r="G337" s="3">
        <v>1</v>
      </c>
      <c r="H337" s="3">
        <v>315</v>
      </c>
      <c r="I337" s="3">
        <v>315</v>
      </c>
      <c r="J337" s="3" t="b">
        <v>0</v>
      </c>
      <c r="K337" s="4">
        <f>H337 - I337</f>
        <v>0</v>
      </c>
      <c r="L337" s="4">
        <f>IF(((H337 = 0)=TRUE),  0,  ROUND(100 * I337 / H337, 2))</f>
        <v>100</v>
      </c>
      <c r="M337" s="4" t="b">
        <f>K337 = 0</f>
        <v>1</v>
      </c>
      <c r="N337" s="4" t="str">
        <f>IF(((M337)=TRUE),  "",  D337)</f>
      </c>
      <c r="O337" s="4" t="str">
        <f>IF(((M337)=TRUE),  "",  E337)</f>
      </c>
      <c r="P337" s="4">
        <f>COUNTIFS(FieldDisagreements!E2:E50, A337)</f>
        <v>0</v>
      </c>
      <c r="Q337" s="4" t="str">
        <f>_xlfn.IFNA(IF(((INDEX(ConformanceSubstrates!C2:C9, MATCH(D337,ConformanceSubstrates!A2:A9, 0))="")=TRUE),  "",  INDEX(ConformanceSubstrates!C2:C9, MATCH(D337,ConformanceSubstrates!A2:A9, 0))), "")</f>
        <v>Go</v>
      </c>
      <c r="R337" s="4" t="str">
        <f>_xlfn.IFNA(IF(((INDEX(RulebookTables!F2:F93, MATCH(E337,RulebookTables!A2:A93, 0))="")=TRUE),  "",  INDEX(RulebookTables!F2:F93, MATCH(E337,RulebookTables!A2:A93, 0))), "")</f>
        <v>application</v>
      </c>
      <c r="S337" s="3" t="s">
        <v>1918</v>
      </c>
    </row>
    <row r="338">
      <c r="A338" s="3" t="s">
        <v>14441</v>
      </c>
      <c r="B338" s="4" t="str">
        <f>_xlfn.CONCAT(D338, " / ", E338)</f>
        <v>effortless-golang / RulebookTables</v>
      </c>
      <c r="C338" s="3" t="s">
        <v>14074</v>
      </c>
      <c r="D338" s="3" t="s">
        <v>14035</v>
      </c>
      <c r="E338" s="3" t="s">
        <v>5352</v>
      </c>
      <c r="F338" s="3">
        <v>92</v>
      </c>
      <c r="G338" s="3">
        <v>5</v>
      </c>
      <c r="H338" s="3">
        <v>460</v>
      </c>
      <c r="I338" s="3">
        <v>460</v>
      </c>
      <c r="J338" s="3" t="b">
        <v>0</v>
      </c>
      <c r="K338" s="4">
        <f>H338 - I338</f>
        <v>0</v>
      </c>
      <c r="L338" s="4">
        <f>IF(((H338 = 0)=TRUE),  0,  ROUND(100 * I338 / H338, 2))</f>
        <v>100</v>
      </c>
      <c r="M338" s="4" t="b">
        <f>K338 = 0</f>
        <v>1</v>
      </c>
      <c r="N338" s="4" t="str">
        <f>IF(((M338)=TRUE),  "",  D338)</f>
      </c>
      <c r="O338" s="4" t="str">
        <f>IF(((M338)=TRUE),  "",  E338)</f>
      </c>
      <c r="P338" s="4">
        <f>COUNTIFS(FieldDisagreements!E2:E50, A338)</f>
        <v>0</v>
      </c>
      <c r="Q338" s="4" t="str">
        <f>_xlfn.IFNA(IF(((INDEX(ConformanceSubstrates!C2:C9, MATCH(D338,ConformanceSubstrates!A2:A9, 0))="")=TRUE),  "",  INDEX(ConformanceSubstrates!C2:C9, MATCH(D338,ConformanceSubstrates!A2:A9, 0))), "")</f>
        <v>Go</v>
      </c>
      <c r="R338" s="4" t="str">
        <f>_xlfn.IFNA(IF(((INDEX(RulebookTables!F2:F93, MATCH(E338,RulebookTables!A2:A93, 0))="")=TRUE),  "",  INDEX(RulebookTables!F2:F93, MATCH(E338,RulebookTables!A2:A93, 0))), "")</f>
        <v>meta</v>
      </c>
      <c r="S338" s="3" t="s">
        <v>1918</v>
      </c>
    </row>
    <row r="339">
      <c r="A339" s="3" t="s">
        <v>14442</v>
      </c>
      <c r="B339" s="4" t="str">
        <f>_xlfn.CONCAT(D339, " / ", E339)</f>
        <v>effortless-golang / AccessPrincipals</v>
      </c>
      <c r="C339" s="3" t="s">
        <v>14074</v>
      </c>
      <c r="D339" s="3" t="s">
        <v>14035</v>
      </c>
      <c r="E339" s="3" t="s">
        <v>5379</v>
      </c>
      <c r="F339" s="3">
        <v>12</v>
      </c>
      <c r="G339" s="3">
        <v>8</v>
      </c>
      <c r="H339" s="3">
        <v>96</v>
      </c>
      <c r="I339" s="3">
        <v>96</v>
      </c>
      <c r="J339" s="3" t="b">
        <v>0</v>
      </c>
      <c r="K339" s="4">
        <f>H339 - I339</f>
        <v>0</v>
      </c>
      <c r="L339" s="4">
        <f>IF(((H339 = 0)=TRUE),  0,  ROUND(100 * I339 / H339, 2))</f>
        <v>100</v>
      </c>
      <c r="M339" s="4" t="b">
        <f>K339 = 0</f>
        <v>1</v>
      </c>
      <c r="N339" s="4" t="str">
        <f>IF(((M339)=TRUE),  "",  D339)</f>
      </c>
      <c r="O339" s="4" t="str">
        <f>IF(((M339)=TRUE),  "",  E339)</f>
      </c>
      <c r="P339" s="4">
        <f>COUNTIFS(FieldDisagreements!E2:E50, A339)</f>
        <v>0</v>
      </c>
      <c r="Q339" s="4" t="str">
        <f>_xlfn.IFNA(IF(((INDEX(ConformanceSubstrates!C2:C9, MATCH(D339,ConformanceSubstrates!A2:A9, 0))="")=TRUE),  "",  INDEX(ConformanceSubstrates!C2:C9, MATCH(D339,ConformanceSubstrates!A2:A9, 0))), "")</f>
        <v>Go</v>
      </c>
      <c r="R339" s="4" t="str">
        <f>_xlfn.IFNA(IF(((INDEX(RulebookTables!F2:F93, MATCH(E339,RulebookTables!A2:A93, 0))="")=TRUE),  "",  INDEX(RulebookTables!F2:F93, MATCH(E339,RulebookTables!A2:A93, 0))), "")</f>
        <v>access-control</v>
      </c>
      <c r="S339" s="3" t="s">
        <v>1918</v>
      </c>
    </row>
    <row r="340">
      <c r="A340" s="3" t="s">
        <v>14443</v>
      </c>
      <c r="B340" s="4" t="str">
        <f>_xlfn.CONCAT(D340, " / ", E340)</f>
        <v>effortless-golang / AccessPolicies</v>
      </c>
      <c r="C340" s="3" t="s">
        <v>14074</v>
      </c>
      <c r="D340" s="3" t="s">
        <v>14035</v>
      </c>
      <c r="E340" s="3" t="s">
        <v>5412</v>
      </c>
      <c r="F340" s="3">
        <v>202</v>
      </c>
      <c r="G340" s="3">
        <v>7</v>
      </c>
      <c r="H340" s="3">
        <v>1414</v>
      </c>
      <c r="I340" s="3">
        <v>1414</v>
      </c>
      <c r="J340" s="3" t="b">
        <v>0</v>
      </c>
      <c r="K340" s="4">
        <f>H340 - I340</f>
        <v>0</v>
      </c>
      <c r="L340" s="4">
        <f>IF(((H340 = 0)=TRUE),  0,  ROUND(100 * I340 / H340, 2))</f>
        <v>100</v>
      </c>
      <c r="M340" s="4" t="b">
        <f>K340 = 0</f>
        <v>1</v>
      </c>
      <c r="N340" s="4" t="str">
        <f>IF(((M340)=TRUE),  "",  D340)</f>
      </c>
      <c r="O340" s="4" t="str">
        <f>IF(((M340)=TRUE),  "",  E340)</f>
      </c>
      <c r="P340" s="4">
        <f>COUNTIFS(FieldDisagreements!E2:E50, A340)</f>
        <v>0</v>
      </c>
      <c r="Q340" s="4" t="str">
        <f>_xlfn.IFNA(IF(((INDEX(ConformanceSubstrates!C2:C9, MATCH(D340,ConformanceSubstrates!A2:A9, 0))="")=TRUE),  "",  INDEX(ConformanceSubstrates!C2:C9, MATCH(D340,ConformanceSubstrates!A2:A9, 0))), "")</f>
        <v>Go</v>
      </c>
      <c r="R340" s="4" t="str">
        <f>_xlfn.IFNA(IF(((INDEX(RulebookTables!F2:F93, MATCH(E340,RulebookTables!A2:A93, 0))="")=TRUE),  "",  INDEX(RulebookTables!F2:F93, MATCH(E340,RulebookTables!A2:A93, 0))), "")</f>
        <v>access-control</v>
      </c>
      <c r="S340" s="3" t="s">
        <v>1918</v>
      </c>
    </row>
    <row r="341">
      <c r="A341" s="3" t="s">
        <v>14444</v>
      </c>
      <c r="B341" s="4" t="str">
        <f>_xlfn.CONCAT(D341, " / ", E341)</f>
        <v>effortless-golang / FieldGrants</v>
      </c>
      <c r="C341" s="3" t="s">
        <v>14074</v>
      </c>
      <c r="D341" s="3" t="s">
        <v>14035</v>
      </c>
      <c r="E341" s="3" t="s">
        <v>5448</v>
      </c>
      <c r="F341" s="3">
        <v>3639</v>
      </c>
      <c r="G341" s="3">
        <v>7</v>
      </c>
      <c r="H341" s="3">
        <v>25473</v>
      </c>
      <c r="I341" s="3">
        <v>25473</v>
      </c>
      <c r="J341" s="3" t="b">
        <v>0</v>
      </c>
      <c r="K341" s="4">
        <f>H341 - I341</f>
        <v>0</v>
      </c>
      <c r="L341" s="4">
        <f>IF(((H341 = 0)=TRUE),  0,  ROUND(100 * I341 / H341, 2))</f>
        <v>100</v>
      </c>
      <c r="M341" s="4" t="b">
        <f>K341 = 0</f>
        <v>1</v>
      </c>
      <c r="N341" s="4" t="str">
        <f>IF(((M341)=TRUE),  "",  D341)</f>
      </c>
      <c r="O341" s="4" t="str">
        <f>IF(((M341)=TRUE),  "",  E341)</f>
      </c>
      <c r="P341" s="4">
        <f>COUNTIFS(FieldDisagreements!E2:E50, A341)</f>
        <v>0</v>
      </c>
      <c r="Q341" s="4" t="str">
        <f>_xlfn.IFNA(IF(((INDEX(ConformanceSubstrates!C2:C9, MATCH(D341,ConformanceSubstrates!A2:A9, 0))="")=TRUE),  "",  INDEX(ConformanceSubstrates!C2:C9, MATCH(D341,ConformanceSubstrates!A2:A9, 0))), "")</f>
        <v>Go</v>
      </c>
      <c r="R341" s="4" t="str">
        <f>_xlfn.IFNA(IF(((INDEX(RulebookTables!F2:F93, MATCH(E341,RulebookTables!A2:A93, 0))="")=TRUE),  "",  INDEX(RulebookTables!F2:F93, MATCH(E341,RulebookTables!A2:A93, 0))), "")</f>
        <v>access-control</v>
      </c>
      <c r="S341" s="3" t="s">
        <v>1918</v>
      </c>
    </row>
    <row r="342">
      <c r="A342" s="3" t="s">
        <v>14445</v>
      </c>
      <c r="B342" s="4" t="str">
        <f>_xlfn.CONCAT(D342, " / ", E342)</f>
        <v>effortless-golang / RoleSchemas</v>
      </c>
      <c r="C342" s="3" t="s">
        <v>14074</v>
      </c>
      <c r="D342" s="3" t="s">
        <v>14035</v>
      </c>
      <c r="E342" s="3" t="s">
        <v>5479</v>
      </c>
      <c r="F342" s="3">
        <v>12</v>
      </c>
      <c r="G342" s="3">
        <v>4</v>
      </c>
      <c r="H342" s="3">
        <v>48</v>
      </c>
      <c r="I342" s="3">
        <v>48</v>
      </c>
      <c r="J342" s="3" t="b">
        <v>0</v>
      </c>
      <c r="K342" s="4">
        <f>H342 - I342</f>
        <v>0</v>
      </c>
      <c r="L342" s="4">
        <f>IF(((H342 = 0)=TRUE),  0,  ROUND(100 * I342 / H342, 2))</f>
        <v>100</v>
      </c>
      <c r="M342" s="4" t="b">
        <f>K342 = 0</f>
        <v>1</v>
      </c>
      <c r="N342" s="4" t="str">
        <f>IF(((M342)=TRUE),  "",  D342)</f>
      </c>
      <c r="O342" s="4" t="str">
        <f>IF(((M342)=TRUE),  "",  E342)</f>
      </c>
      <c r="P342" s="4">
        <f>COUNTIFS(FieldDisagreements!E2:E50, A342)</f>
        <v>0</v>
      </c>
      <c r="Q342" s="4" t="str">
        <f>_xlfn.IFNA(IF(((INDEX(ConformanceSubstrates!C2:C9, MATCH(D342,ConformanceSubstrates!A2:A9, 0))="")=TRUE),  "",  INDEX(ConformanceSubstrates!C2:C9, MATCH(D342,ConformanceSubstrates!A2:A9, 0))), "")</f>
        <v>Go</v>
      </c>
      <c r="R342" s="4" t="str">
        <f>_xlfn.IFNA(IF(((INDEX(RulebookTables!F2:F93, MATCH(E342,RulebookTables!A2:A93, 0))="")=TRUE),  "",  INDEX(RulebookTables!F2:F93, MATCH(E342,RulebookTables!A2:A93, 0))), "")</f>
        <v>org</v>
      </c>
      <c r="S342" s="3" t="s">
        <v>1918</v>
      </c>
    </row>
    <row r="343">
      <c r="A343" s="3" t="s">
        <v>14446</v>
      </c>
      <c r="B343" s="4" t="str">
        <f>_xlfn.CONCAT(D343, " / ", E343)</f>
        <v>effortless-golang / RoleSchemaViews</v>
      </c>
      <c r="C343" s="3" t="s">
        <v>14074</v>
      </c>
      <c r="D343" s="3" t="s">
        <v>14035</v>
      </c>
      <c r="E343" s="3" t="s">
        <v>5497</v>
      </c>
      <c r="F343" s="3">
        <v>202</v>
      </c>
      <c r="G343" s="3">
        <v>8</v>
      </c>
      <c r="H343" s="3">
        <v>1616</v>
      </c>
      <c r="I343" s="3">
        <v>1616</v>
      </c>
      <c r="J343" s="3" t="b">
        <v>0</v>
      </c>
      <c r="K343" s="4">
        <f>H343 - I343</f>
        <v>0</v>
      </c>
      <c r="L343" s="4">
        <f>IF(((H343 = 0)=TRUE),  0,  ROUND(100 * I343 / H343, 2))</f>
        <v>100</v>
      </c>
      <c r="M343" s="4" t="b">
        <f>K343 = 0</f>
        <v>1</v>
      </c>
      <c r="N343" s="4" t="str">
        <f>IF(((M343)=TRUE),  "",  D343)</f>
      </c>
      <c r="O343" s="4" t="str">
        <f>IF(((M343)=TRUE),  "",  E343)</f>
      </c>
      <c r="P343" s="4">
        <f>COUNTIFS(FieldDisagreements!E2:E50, A343)</f>
        <v>0</v>
      </c>
      <c r="Q343" s="4" t="str">
        <f>_xlfn.IFNA(IF(((INDEX(ConformanceSubstrates!C2:C9, MATCH(D343,ConformanceSubstrates!A2:A9, 0))="")=TRUE),  "",  INDEX(ConformanceSubstrates!C2:C9, MATCH(D343,ConformanceSubstrates!A2:A9, 0))), "")</f>
        <v>Go</v>
      </c>
      <c r="R343" s="4" t="str">
        <f>_xlfn.IFNA(IF(((INDEX(RulebookTables!F2:F93, MATCH(E343,RulebookTables!A2:A93, 0))="")=TRUE),  "",  INDEX(RulebookTables!F2:F93, MATCH(E343,RulebookTables!A2:A93, 0))), "")</f>
        <v>org</v>
      </c>
      <c r="S343" s="3" t="s">
        <v>1918</v>
      </c>
    </row>
    <row r="344">
      <c r="A344" s="3" t="s">
        <v>14447</v>
      </c>
      <c r="B344" s="4" t="str">
        <f>_xlfn.CONCAT(D344, " / ", E344)</f>
        <v>effortless-golang / JwtClaimMappings</v>
      </c>
      <c r="C344" s="3" t="s">
        <v>14074</v>
      </c>
      <c r="D344" s="3" t="s">
        <v>14035</v>
      </c>
      <c r="E344" s="3" t="s">
        <v>5529</v>
      </c>
      <c r="F344" s="3">
        <v>4</v>
      </c>
      <c r="G344" s="3">
        <v>2</v>
      </c>
      <c r="H344" s="3">
        <v>8</v>
      </c>
      <c r="I344" s="3">
        <v>8</v>
      </c>
      <c r="J344" s="3" t="b">
        <v>0</v>
      </c>
      <c r="K344" s="4">
        <f>H344 - I344</f>
        <v>0</v>
      </c>
      <c r="L344" s="4">
        <f>IF(((H344 = 0)=TRUE),  0,  ROUND(100 * I344 / H344, 2))</f>
        <v>100</v>
      </c>
      <c r="M344" s="4" t="b">
        <f>K344 = 0</f>
        <v>1</v>
      </c>
      <c r="N344" s="4" t="str">
        <f>IF(((M344)=TRUE),  "",  D344)</f>
      </c>
      <c r="O344" s="4" t="str">
        <f>IF(((M344)=TRUE),  "",  E344)</f>
      </c>
      <c r="P344" s="4">
        <f>COUNTIFS(FieldDisagreements!E2:E50, A344)</f>
        <v>0</v>
      </c>
      <c r="Q344" s="4" t="str">
        <f>_xlfn.IFNA(IF(((INDEX(ConformanceSubstrates!C2:C9, MATCH(D344,ConformanceSubstrates!A2:A9, 0))="")=TRUE),  "",  INDEX(ConformanceSubstrates!C2:C9, MATCH(D344,ConformanceSubstrates!A2:A9, 0))), "")</f>
        <v>Go</v>
      </c>
      <c r="R344" s="4" t="str">
        <f>_xlfn.IFNA(IF(((INDEX(RulebookTables!F2:F93, MATCH(E344,RulebookTables!A2:A93, 0))="")=TRUE),  "",  INDEX(RulebookTables!F2:F93, MATCH(E344,RulebookTables!A2:A93, 0))), "")</f>
        <v>access-control</v>
      </c>
      <c r="S344" s="3" t="s">
        <v>1918</v>
      </c>
    </row>
    <row r="345">
      <c r="A345" s="3" t="s">
        <v>14448</v>
      </c>
      <c r="B345" s="4" t="str">
        <f>_xlfn.CONCAT(D345, " / ", E345)</f>
        <v>effortless-golang / AccessDenialTests</v>
      </c>
      <c r="C345" s="3" t="s">
        <v>14074</v>
      </c>
      <c r="D345" s="3" t="s">
        <v>14035</v>
      </c>
      <c r="E345" s="3" t="s">
        <v>5548</v>
      </c>
      <c r="F345" s="3">
        <v>17</v>
      </c>
      <c r="G345" s="3">
        <v>6</v>
      </c>
      <c r="H345" s="3">
        <v>102</v>
      </c>
      <c r="I345" s="3">
        <v>102</v>
      </c>
      <c r="J345" s="3" t="b">
        <v>0</v>
      </c>
      <c r="K345" s="4">
        <f>H345 - I345</f>
        <v>0</v>
      </c>
      <c r="L345" s="4">
        <f>IF(((H345 = 0)=TRUE),  0,  ROUND(100 * I345 / H345, 2))</f>
        <v>100</v>
      </c>
      <c r="M345" s="4" t="b">
        <f>K345 = 0</f>
        <v>1</v>
      </c>
      <c r="N345" s="4" t="str">
        <f>IF(((M345)=TRUE),  "",  D345)</f>
      </c>
      <c r="O345" s="4" t="str">
        <f>IF(((M345)=TRUE),  "",  E345)</f>
      </c>
      <c r="P345" s="4">
        <f>COUNTIFS(FieldDisagreements!E2:E50, A345)</f>
        <v>0</v>
      </c>
      <c r="Q345" s="4" t="str">
        <f>_xlfn.IFNA(IF(((INDEX(ConformanceSubstrates!C2:C9, MATCH(D345,ConformanceSubstrates!A2:A9, 0))="")=TRUE),  "",  INDEX(ConformanceSubstrates!C2:C9, MATCH(D345,ConformanceSubstrates!A2:A9, 0))), "")</f>
        <v>Go</v>
      </c>
      <c r="R345" s="4" t="str">
        <f>_xlfn.IFNA(IF(((INDEX(RulebookTables!F2:F93, MATCH(E345,RulebookTables!A2:A93, 0))="")=TRUE),  "",  INDEX(RulebookTables!F2:F93, MATCH(E345,RulebookTables!A2:A93, 0))), "")</f>
        <v>access-control</v>
      </c>
      <c r="S345" s="3" t="s">
        <v>1918</v>
      </c>
    </row>
    <row r="346">
      <c r="A346" s="3" t="s">
        <v>14449</v>
      </c>
      <c r="B346" s="4" t="str">
        <f>_xlfn.CONCAT(D346, " / ", E346)</f>
        <v>effortless-golang / AppUsers</v>
      </c>
      <c r="C346" s="3" t="s">
        <v>14074</v>
      </c>
      <c r="D346" s="3" t="s">
        <v>14035</v>
      </c>
      <c r="E346" s="3" t="s">
        <v>5584</v>
      </c>
      <c r="F346" s="3">
        <v>10</v>
      </c>
      <c r="G346" s="3">
        <v>7</v>
      </c>
      <c r="H346" s="3">
        <v>70</v>
      </c>
      <c r="I346" s="3">
        <v>70</v>
      </c>
      <c r="J346" s="3" t="b">
        <v>0</v>
      </c>
      <c r="K346" s="4">
        <f>H346 - I346</f>
        <v>0</v>
      </c>
      <c r="L346" s="4">
        <f>IF(((H346 = 0)=TRUE),  0,  ROUND(100 * I346 / H346, 2))</f>
        <v>100</v>
      </c>
      <c r="M346" s="4" t="b">
        <f>K346 = 0</f>
        <v>1</v>
      </c>
      <c r="N346" s="4" t="str">
        <f>IF(((M346)=TRUE),  "",  D346)</f>
      </c>
      <c r="O346" s="4" t="str">
        <f>IF(((M346)=TRUE),  "",  E346)</f>
      </c>
      <c r="P346" s="4">
        <f>COUNTIFS(FieldDisagreements!E2:E50, A346)</f>
        <v>0</v>
      </c>
      <c r="Q346" s="4" t="str">
        <f>_xlfn.IFNA(IF(((INDEX(ConformanceSubstrates!C2:C9, MATCH(D346,ConformanceSubstrates!A2:A9, 0))="")=TRUE),  "",  INDEX(ConformanceSubstrates!C2:C9, MATCH(D346,ConformanceSubstrates!A2:A9, 0))), "")</f>
        <v>Go</v>
      </c>
      <c r="R346" s="4" t="str">
        <f>_xlfn.IFNA(IF(((INDEX(RulebookTables!F2:F93, MATCH(E346,RulebookTables!A2:A93, 0))="")=TRUE),  "",  INDEX(RulebookTables!F2:F93, MATCH(E346,RulebookTables!A2:A93, 0))), "")</f>
      </c>
      <c r="S346" s="3" t="s">
        <v>1918</v>
      </c>
    </row>
    <row r="347">
      <c r="A347" s="3" t="s">
        <v>14450</v>
      </c>
      <c r="B347" s="4" t="str">
        <f>_xlfn.CONCAT(D347, " / ", E347)</f>
        <v>effortless-golang / PrincipalAssignments</v>
      </c>
      <c r="C347" s="3" t="s">
        <v>14074</v>
      </c>
      <c r="D347" s="3" t="s">
        <v>14035</v>
      </c>
      <c r="E347" s="3" t="s">
        <v>5611</v>
      </c>
      <c r="F347" s="3">
        <v>12</v>
      </c>
      <c r="G347" s="3">
        <v>5</v>
      </c>
      <c r="H347" s="3">
        <v>60</v>
      </c>
      <c r="I347" s="3">
        <v>60</v>
      </c>
      <c r="J347" s="3" t="b">
        <v>0</v>
      </c>
      <c r="K347" s="4">
        <f>H347 - I347</f>
        <v>0</v>
      </c>
      <c r="L347" s="4">
        <f>IF(((H347 = 0)=TRUE),  0,  ROUND(100 * I347 / H347, 2))</f>
        <v>100</v>
      </c>
      <c r="M347" s="4" t="b">
        <f>K347 = 0</f>
        <v>1</v>
      </c>
      <c r="N347" s="4" t="str">
        <f>IF(((M347)=TRUE),  "",  D347)</f>
      </c>
      <c r="O347" s="4" t="str">
        <f>IF(((M347)=TRUE),  "",  E347)</f>
      </c>
      <c r="P347" s="4">
        <f>COUNTIFS(FieldDisagreements!E2:E50, A347)</f>
        <v>0</v>
      </c>
      <c r="Q347" s="4" t="str">
        <f>_xlfn.IFNA(IF(((INDEX(ConformanceSubstrates!C2:C9, MATCH(D347,ConformanceSubstrates!A2:A9, 0))="")=TRUE),  "",  INDEX(ConformanceSubstrates!C2:C9, MATCH(D347,ConformanceSubstrates!A2:A9, 0))), "")</f>
        <v>Go</v>
      </c>
      <c r="R347" s="4" t="str">
        <f>_xlfn.IFNA(IF(((INDEX(RulebookTables!F2:F93, MATCH(E347,RulebookTables!A2:A93, 0))="")=TRUE),  "",  INDEX(RulebookTables!F2:F93, MATCH(E347,RulebookTables!A2:A93, 0))), "")</f>
      </c>
      <c r="S347" s="3" t="s">
        <v>1918</v>
      </c>
    </row>
    <row r="348">
      <c r="A348" s="3" t="s">
        <v>14451</v>
      </c>
      <c r="B348" s="4" t="str">
        <f>_xlfn.CONCAT(D348, " / ", E348)</f>
        <v>effortless-golang / ProcessMiningRuns</v>
      </c>
      <c r="C348" s="3" t="s">
        <v>14074</v>
      </c>
      <c r="D348" s="3" t="s">
        <v>14035</v>
      </c>
      <c r="E348" s="3" t="s">
        <v>1889</v>
      </c>
      <c r="F348" s="3">
        <v>4</v>
      </c>
      <c r="G348" s="3">
        <v>10</v>
      </c>
      <c r="H348" s="3">
        <v>40</v>
      </c>
      <c r="I348" s="3">
        <v>40</v>
      </c>
      <c r="J348" s="3" t="b">
        <v>0</v>
      </c>
      <c r="K348" s="4">
        <f>H348 - I348</f>
        <v>0</v>
      </c>
      <c r="L348" s="4">
        <f>IF(((H348 = 0)=TRUE),  0,  ROUND(100 * I348 / H348, 2))</f>
        <v>100</v>
      </c>
      <c r="M348" s="4" t="b">
        <f>K348 = 0</f>
        <v>1</v>
      </c>
      <c r="N348" s="4" t="str">
        <f>IF(((M348)=TRUE),  "",  D348)</f>
      </c>
      <c r="O348" s="4" t="str">
        <f>IF(((M348)=TRUE),  "",  E348)</f>
      </c>
      <c r="P348" s="4">
        <f>COUNTIFS(FieldDisagreements!E2:E50, A348)</f>
        <v>0</v>
      </c>
      <c r="Q348" s="4" t="str">
        <f>_xlfn.IFNA(IF(((INDEX(ConformanceSubstrates!C2:C9, MATCH(D348,ConformanceSubstrates!A2:A9, 0))="")=TRUE),  "",  INDEX(ConformanceSubstrates!C2:C9, MATCH(D348,ConformanceSubstrates!A2:A9, 0))), "")</f>
        <v>Go</v>
      </c>
      <c r="R348" s="4" t="str">
        <f>_xlfn.IFNA(IF(((INDEX(RulebookTables!F2:F93, MATCH(E348,RulebookTables!A2:A93, 0))="")=TRUE),  "",  INDEX(RulebookTables!F2:F93, MATCH(E348,RulebookTables!A2:A93, 0))), "")</f>
        <v>knowledge</v>
      </c>
      <c r="S348" s="3" t="s">
        <v>1918</v>
      </c>
    </row>
    <row r="349">
      <c r="A349" s="3" t="s">
        <v>14452</v>
      </c>
      <c r="B349" s="4" t="str">
        <f>_xlfn.CONCAT(D349, " / ", E349)</f>
        <v>effortless-golang / Vocabularies</v>
      </c>
      <c r="C349" s="3" t="s">
        <v>14074</v>
      </c>
      <c r="D349" s="3" t="s">
        <v>14035</v>
      </c>
      <c r="E349" s="3" t="s">
        <v>1893</v>
      </c>
      <c r="F349" s="3">
        <v>2</v>
      </c>
      <c r="G349" s="3">
        <v>4</v>
      </c>
      <c r="H349" s="3">
        <v>8</v>
      </c>
      <c r="I349" s="3">
        <v>8</v>
      </c>
      <c r="J349" s="3" t="b">
        <v>0</v>
      </c>
      <c r="K349" s="4">
        <f>H349 - I349</f>
        <v>0</v>
      </c>
      <c r="L349" s="4">
        <f>IF(((H349 = 0)=TRUE),  0,  ROUND(100 * I349 / H349, 2))</f>
        <v>100</v>
      </c>
      <c r="M349" s="4" t="b">
        <f>K349 = 0</f>
        <v>1</v>
      </c>
      <c r="N349" s="4" t="str">
        <f>IF(((M349)=TRUE),  "",  D349)</f>
      </c>
      <c r="O349" s="4" t="str">
        <f>IF(((M349)=TRUE),  "",  E349)</f>
      </c>
      <c r="P349" s="4">
        <f>COUNTIFS(FieldDisagreements!E2:E50, A349)</f>
        <v>0</v>
      </c>
      <c r="Q349" s="4" t="str">
        <f>_xlfn.IFNA(IF(((INDEX(ConformanceSubstrates!C2:C9, MATCH(D349,ConformanceSubstrates!A2:A9, 0))="")=TRUE),  "",  INDEX(ConformanceSubstrates!C2:C9, MATCH(D349,ConformanceSubstrates!A2:A9, 0))), "")</f>
        <v>Go</v>
      </c>
      <c r="R349" s="4" t="str">
        <f>_xlfn.IFNA(IF(((INDEX(RulebookTables!F2:F93, MATCH(E349,RulebookTables!A2:A93, 0))="")=TRUE),  "",  INDEX(RulebookTables!F2:F93, MATCH(E349,RulebookTables!A2:A93, 0))), "")</f>
        <v>knowledge</v>
      </c>
      <c r="S349" s="3" t="s">
        <v>1918</v>
      </c>
    </row>
    <row r="350">
      <c r="A350" s="3" t="s">
        <v>14453</v>
      </c>
      <c r="B350" s="4" t="str">
        <f>_xlfn.CONCAT(D350, " / ", E350)</f>
        <v>effortless-golang / VocabularyTerms</v>
      </c>
      <c r="C350" s="3" t="s">
        <v>14074</v>
      </c>
      <c r="D350" s="3" t="s">
        <v>14035</v>
      </c>
      <c r="E350" s="3" t="s">
        <v>1897</v>
      </c>
      <c r="F350" s="3">
        <v>12</v>
      </c>
      <c r="G350" s="3">
        <v>5</v>
      </c>
      <c r="H350" s="3">
        <v>60</v>
      </c>
      <c r="I350" s="3">
        <v>60</v>
      </c>
      <c r="J350" s="3" t="b">
        <v>0</v>
      </c>
      <c r="K350" s="4">
        <f>H350 - I350</f>
        <v>0</v>
      </c>
      <c r="L350" s="4">
        <f>IF(((H350 = 0)=TRUE),  0,  ROUND(100 * I350 / H350, 2))</f>
        <v>100</v>
      </c>
      <c r="M350" s="4" t="b">
        <f>K350 = 0</f>
        <v>1</v>
      </c>
      <c r="N350" s="4" t="str">
        <f>IF(((M350)=TRUE),  "",  D350)</f>
      </c>
      <c r="O350" s="4" t="str">
        <f>IF(((M350)=TRUE),  "",  E350)</f>
      </c>
      <c r="P350" s="4">
        <f>COUNTIFS(FieldDisagreements!E2:E50, A350)</f>
        <v>0</v>
      </c>
      <c r="Q350" s="4" t="str">
        <f>_xlfn.IFNA(IF(((INDEX(ConformanceSubstrates!C2:C9, MATCH(D350,ConformanceSubstrates!A2:A9, 0))="")=TRUE),  "",  INDEX(ConformanceSubstrates!C2:C9, MATCH(D350,ConformanceSubstrates!A2:A9, 0))), "")</f>
        <v>Go</v>
      </c>
      <c r="R350" s="4" t="str">
        <f>_xlfn.IFNA(IF(((INDEX(RulebookTables!F2:F93, MATCH(E350,RulebookTables!A2:A93, 0))="")=TRUE),  "",  INDEX(RulebookTables!F2:F93, MATCH(E350,RulebookTables!A2:A93, 0))), "")</f>
        <v>knowledge</v>
      </c>
      <c r="S350" s="3" t="s">
        <v>1918</v>
      </c>
    </row>
    <row r="351">
      <c r="A351" s="3" t="s">
        <v>14454</v>
      </c>
      <c r="B351" s="4" t="str">
        <f>_xlfn.CONCAT(D351, " / ", E351)</f>
        <v>effortless-golang / KnowledgeBrokerLinks</v>
      </c>
      <c r="C351" s="3" t="s">
        <v>14074</v>
      </c>
      <c r="D351" s="3" t="s">
        <v>14035</v>
      </c>
      <c r="E351" s="3" t="s">
        <v>1901</v>
      </c>
      <c r="F351" s="3">
        <v>5</v>
      </c>
      <c r="G351" s="3">
        <v>8</v>
      </c>
      <c r="H351" s="3">
        <v>40</v>
      </c>
      <c r="I351" s="3">
        <v>40</v>
      </c>
      <c r="J351" s="3" t="b">
        <v>0</v>
      </c>
      <c r="K351" s="4">
        <f>H351 - I351</f>
        <v>0</v>
      </c>
      <c r="L351" s="4">
        <f>IF(((H351 = 0)=TRUE),  0,  ROUND(100 * I351 / H351, 2))</f>
        <v>100</v>
      </c>
      <c r="M351" s="4" t="b">
        <f>K351 = 0</f>
        <v>1</v>
      </c>
      <c r="N351" s="4" t="str">
        <f>IF(((M351)=TRUE),  "",  D351)</f>
      </c>
      <c r="O351" s="4" t="str">
        <f>IF(((M351)=TRUE),  "",  E351)</f>
      </c>
      <c r="P351" s="4">
        <f>COUNTIFS(FieldDisagreements!E2:E50, A351)</f>
        <v>0</v>
      </c>
      <c r="Q351" s="4" t="str">
        <f>_xlfn.IFNA(IF(((INDEX(ConformanceSubstrates!C2:C9, MATCH(D351,ConformanceSubstrates!A2:A9, 0))="")=TRUE),  "",  INDEX(ConformanceSubstrates!C2:C9, MATCH(D351,ConformanceSubstrates!A2:A9, 0))), "")</f>
        <v>Go</v>
      </c>
      <c r="R351" s="4" t="str">
        <f>_xlfn.IFNA(IF(((INDEX(RulebookTables!F2:F93, MATCH(E351,RulebookTables!A2:A93, 0))="")=TRUE),  "",  INDEX(RulebookTables!F2:F93, MATCH(E351,RulebookTables!A2:A93, 0))), "")</f>
        <v>knowledge</v>
      </c>
      <c r="S351" s="3" t="s">
        <v>1918</v>
      </c>
    </row>
    <row r="352">
      <c r="A352" s="3" t="s">
        <v>14455</v>
      </c>
      <c r="B352" s="4" t="str">
        <f>_xlfn.CONCAT(D352, " / ", E352)</f>
        <v>effortless-golang / ConformanceSubstrates</v>
      </c>
      <c r="C352" s="3" t="s">
        <v>14074</v>
      </c>
      <c r="D352" s="3" t="s">
        <v>14035</v>
      </c>
      <c r="E352" s="3" t="s">
        <v>1905</v>
      </c>
      <c r="F352" s="3">
        <v>8</v>
      </c>
      <c r="G352" s="3">
        <v>11</v>
      </c>
      <c r="H352" s="3">
        <v>88</v>
      </c>
      <c r="I352" s="3">
        <v>88</v>
      </c>
      <c r="J352" s="3" t="b">
        <v>0</v>
      </c>
      <c r="K352" s="4">
        <f>H352 - I352</f>
        <v>0</v>
      </c>
      <c r="L352" s="4">
        <f>IF(((H352 = 0)=TRUE),  0,  ROUND(100 * I352 / H352, 2))</f>
        <v>100</v>
      </c>
      <c r="M352" s="4" t="b">
        <f>K352 = 0</f>
        <v>1</v>
      </c>
      <c r="N352" s="4" t="str">
        <f>IF(((M352)=TRUE),  "",  D352)</f>
      </c>
      <c r="O352" s="4" t="str">
        <f>IF(((M352)=TRUE),  "",  E352)</f>
      </c>
      <c r="P352" s="4">
        <f>COUNTIFS(FieldDisagreements!E2:E50, A352)</f>
        <v>0</v>
      </c>
      <c r="Q352" s="4" t="str">
        <f>_xlfn.IFNA(IF(((INDEX(ConformanceSubstrates!C2:C9, MATCH(D352,ConformanceSubstrates!A2:A9, 0))="")=TRUE),  "",  INDEX(ConformanceSubstrates!C2:C9, MATCH(D352,ConformanceSubstrates!A2:A9, 0))), "")</f>
        <v>Go</v>
      </c>
      <c r="R352" s="4" t="str">
        <f>_xlfn.IFNA(IF(((INDEX(RulebookTables!F2:F93, MATCH(E352,RulebookTables!A2:A93, 0))="")=TRUE),  "",  INDEX(RulebookTables!F2:F93, MATCH(E352,RulebookTables!A2:A93, 0))), "")</f>
        <v>meta</v>
      </c>
      <c r="S352" s="3" t="s">
        <v>1918</v>
      </c>
    </row>
    <row r="353">
      <c r="A353" s="3" t="s">
        <v>14456</v>
      </c>
      <c r="B353" s="4" t="str">
        <f>_xlfn.CONCAT(D353, " / ", E353)</f>
        <v>effortless-golang / ConformanceRuns</v>
      </c>
      <c r="C353" s="3" t="s">
        <v>14074</v>
      </c>
      <c r="D353" s="3" t="s">
        <v>14035</v>
      </c>
      <c r="E353" s="3" t="s">
        <v>1909</v>
      </c>
      <c r="F353" s="3">
        <v>3</v>
      </c>
      <c r="G353" s="3">
        <v>9</v>
      </c>
      <c r="H353" s="3">
        <v>27</v>
      </c>
      <c r="I353" s="3">
        <v>27</v>
      </c>
      <c r="J353" s="3" t="b">
        <v>0</v>
      </c>
      <c r="K353" s="4">
        <f>H353 - I353</f>
        <v>0</v>
      </c>
      <c r="L353" s="4">
        <f>IF(((H353 = 0)=TRUE),  0,  ROUND(100 * I353 / H353, 2))</f>
        <v>100</v>
      </c>
      <c r="M353" s="4" t="b">
        <f>K353 = 0</f>
        <v>1</v>
      </c>
      <c r="N353" s="4" t="str">
        <f>IF(((M353)=TRUE),  "",  D353)</f>
      </c>
      <c r="O353" s="4" t="str">
        <f>IF(((M353)=TRUE),  "",  E353)</f>
      </c>
      <c r="P353" s="4">
        <f>COUNTIFS(FieldDisagreements!E2:E50, A353)</f>
        <v>0</v>
      </c>
      <c r="Q353" s="4" t="str">
        <f>_xlfn.IFNA(IF(((INDEX(ConformanceSubstrates!C2:C9, MATCH(D353,ConformanceSubstrates!A2:A9, 0))="")=TRUE),  "",  INDEX(ConformanceSubstrates!C2:C9, MATCH(D353,ConformanceSubstrates!A2:A9, 0))), "")</f>
        <v>Go</v>
      </c>
      <c r="R353" s="4" t="str">
        <f>_xlfn.IFNA(IF(((INDEX(RulebookTables!F2:F93, MATCH(E353,RulebookTables!A2:A93, 0))="")=TRUE),  "",  INDEX(RulebookTables!F2:F93, MATCH(E353,RulebookTables!A2:A93, 0))), "")</f>
        <v>meta</v>
      </c>
      <c r="S353" s="3" t="s">
        <v>1918</v>
      </c>
    </row>
    <row r="354">
      <c r="A354" s="3" t="s">
        <v>14457</v>
      </c>
      <c r="B354" s="4" t="str">
        <f>_xlfn.CONCAT(D354, " / ", E354)</f>
        <v>effortless-golang / SubstrateRunScores</v>
      </c>
      <c r="C354" s="3" t="s">
        <v>14074</v>
      </c>
      <c r="D354" s="3" t="s">
        <v>14035</v>
      </c>
      <c r="E354" s="3" t="s">
        <v>1913</v>
      </c>
      <c r="F354" s="3">
        <v>21</v>
      </c>
      <c r="G354" s="3">
        <v>13</v>
      </c>
      <c r="H354" s="3">
        <v>273</v>
      </c>
      <c r="I354" s="3">
        <v>273</v>
      </c>
      <c r="J354" s="3" t="b">
        <v>0</v>
      </c>
      <c r="K354" s="4">
        <f>H354 - I354</f>
        <v>0</v>
      </c>
      <c r="L354" s="4">
        <f>IF(((H354 = 0)=TRUE),  0,  ROUND(100 * I354 / H354, 2))</f>
        <v>100</v>
      </c>
      <c r="M354" s="4" t="b">
        <f>K354 = 0</f>
        <v>1</v>
      </c>
      <c r="N354" s="4" t="str">
        <f>IF(((M354)=TRUE),  "",  D354)</f>
      </c>
      <c r="O354" s="4" t="str">
        <f>IF(((M354)=TRUE),  "",  E354)</f>
      </c>
      <c r="P354" s="4">
        <f>COUNTIFS(FieldDisagreements!E2:E50, A354)</f>
        <v>0</v>
      </c>
      <c r="Q354" s="4" t="str">
        <f>_xlfn.IFNA(IF(((INDEX(ConformanceSubstrates!C2:C9, MATCH(D354,ConformanceSubstrates!A2:A9, 0))="")=TRUE),  "",  INDEX(ConformanceSubstrates!C2:C9, MATCH(D354,ConformanceSubstrates!A2:A9, 0))), "")</f>
        <v>Go</v>
      </c>
      <c r="R354" s="4" t="str">
        <f>_xlfn.IFNA(IF(((INDEX(RulebookTables!F2:F93, MATCH(E354,RulebookTables!A2:A93, 0))="")=TRUE),  "",  INDEX(RulebookTables!F2:F93, MATCH(E354,RulebookTables!A2:A93, 0))), "")</f>
        <v>meta</v>
      </c>
      <c r="S354" s="3" t="s">
        <v>1918</v>
      </c>
    </row>
    <row r="355">
      <c r="A355" s="3" t="s">
        <v>14458</v>
      </c>
      <c r="B355" s="4" t="str">
        <f>_xlfn.CONCAT(D355, " / ", E355)</f>
        <v>effortless-golang / TableConformance</v>
      </c>
      <c r="C355" s="3" t="s">
        <v>14074</v>
      </c>
      <c r="D355" s="3" t="s">
        <v>14035</v>
      </c>
      <c r="E355" s="3" t="s">
        <v>1917</v>
      </c>
      <c r="F355" s="3">
        <v>623</v>
      </c>
      <c r="G355" s="3">
        <v>9</v>
      </c>
      <c r="H355" s="3">
        <v>5607</v>
      </c>
      <c r="I355" s="3">
        <v>5607</v>
      </c>
      <c r="J355" s="3" t="b">
        <v>0</v>
      </c>
      <c r="K355" s="4">
        <f>H355 - I355</f>
        <v>0</v>
      </c>
      <c r="L355" s="4">
        <f>IF(((H355 = 0)=TRUE),  0,  ROUND(100 * I355 / H355, 2))</f>
        <v>100</v>
      </c>
      <c r="M355" s="4" t="b">
        <f>K355 = 0</f>
        <v>1</v>
      </c>
      <c r="N355" s="4" t="str">
        <f>IF(((M355)=TRUE),  "",  D355)</f>
      </c>
      <c r="O355" s="4" t="str">
        <f>IF(((M355)=TRUE),  "",  E355)</f>
      </c>
      <c r="P355" s="4">
        <f>COUNTIFS(FieldDisagreements!E2:E50, A355)</f>
        <v>0</v>
      </c>
      <c r="Q355" s="4" t="str">
        <f>_xlfn.IFNA(IF(((INDEX(ConformanceSubstrates!C2:C9, MATCH(D355,ConformanceSubstrates!A2:A9, 0))="")=TRUE),  "",  INDEX(ConformanceSubstrates!C2:C9, MATCH(D355,ConformanceSubstrates!A2:A9, 0))), "")</f>
        <v>Go</v>
      </c>
      <c r="R355" s="4" t="str">
        <f>_xlfn.IFNA(IF(((INDEX(RulebookTables!F2:F93, MATCH(E355,RulebookTables!A2:A93, 0))="")=TRUE),  "",  INDEX(RulebookTables!F2:F93, MATCH(E355,RulebookTables!A2:A93, 0))), "")</f>
        <v>meta</v>
      </c>
      <c r="S355" s="3" t="s">
        <v>1918</v>
      </c>
    </row>
    <row r="356">
      <c r="A356" s="3" t="s">
        <v>14459</v>
      </c>
      <c r="B356" s="4" t="str">
        <f>_xlfn.CONCAT(D356, " / ", E356)</f>
        <v>effortless-golang / FieldDisagreements</v>
      </c>
      <c r="C356" s="3" t="s">
        <v>14074</v>
      </c>
      <c r="D356" s="3" t="s">
        <v>14035</v>
      </c>
      <c r="E356" s="3" t="s">
        <v>1921</v>
      </c>
      <c r="F356" s="3">
        <v>49</v>
      </c>
      <c r="G356" s="3">
        <v>5</v>
      </c>
      <c r="H356" s="3">
        <v>245</v>
      </c>
      <c r="I356" s="3">
        <v>245</v>
      </c>
      <c r="J356" s="3" t="b">
        <v>0</v>
      </c>
      <c r="K356" s="4">
        <f>H356 - I356</f>
        <v>0</v>
      </c>
      <c r="L356" s="4">
        <f>IF(((H356 = 0)=TRUE),  0,  ROUND(100 * I356 / H356, 2))</f>
        <v>100</v>
      </c>
      <c r="M356" s="4" t="b">
        <f>K356 = 0</f>
        <v>1</v>
      </c>
      <c r="N356" s="4" t="str">
        <f>IF(((M356)=TRUE),  "",  D356)</f>
      </c>
      <c r="O356" s="4" t="str">
        <f>IF(((M356)=TRUE),  "",  E356)</f>
      </c>
      <c r="P356" s="4">
        <f>COUNTIFS(FieldDisagreements!E2:E50, A356)</f>
        <v>0</v>
      </c>
      <c r="Q356" s="4" t="str">
        <f>_xlfn.IFNA(IF(((INDEX(ConformanceSubstrates!C2:C9, MATCH(D356,ConformanceSubstrates!A2:A9, 0))="")=TRUE),  "",  INDEX(ConformanceSubstrates!C2:C9, MATCH(D356,ConformanceSubstrates!A2:A9, 0))), "")</f>
        <v>Go</v>
      </c>
      <c r="R356" s="4" t="str">
        <f>_xlfn.IFNA(IF(((INDEX(RulebookTables!F2:F93, MATCH(E356,RulebookTables!A2:A93, 0))="")=TRUE),  "",  INDEX(RulebookTables!F2:F93, MATCH(E356,RulebookTables!A2:A93, 0))), "")</f>
        <v>meta</v>
      </c>
      <c r="S356" s="3" t="s">
        <v>1918</v>
      </c>
    </row>
    <row r="357">
      <c r="A357" s="3" t="s">
        <v>14460</v>
      </c>
      <c r="B357" s="4" t="str">
        <f>_xlfn.CONCAT(D357, " / ", E357)</f>
        <v>effortless-golang / CellDisagreements</v>
      </c>
      <c r="C357" s="3" t="s">
        <v>14074</v>
      </c>
      <c r="D357" s="3" t="s">
        <v>14035</v>
      </c>
      <c r="E357" s="3" t="s">
        <v>1925</v>
      </c>
      <c r="F357" s="3">
        <v>316</v>
      </c>
      <c r="G357" s="3">
        <v>3</v>
      </c>
      <c r="H357" s="3">
        <v>948</v>
      </c>
      <c r="I357" s="3">
        <v>948</v>
      </c>
      <c r="J357" s="3" t="b">
        <v>0</v>
      </c>
      <c r="K357" s="4">
        <f>H357 - I357</f>
        <v>0</v>
      </c>
      <c r="L357" s="4">
        <f>IF(((H357 = 0)=TRUE),  0,  ROUND(100 * I357 / H357, 2))</f>
        <v>100</v>
      </c>
      <c r="M357" s="4" t="b">
        <f>K357 = 0</f>
        <v>1</v>
      </c>
      <c r="N357" s="4" t="str">
        <f>IF(((M357)=TRUE),  "",  D357)</f>
      </c>
      <c r="O357" s="4" t="str">
        <f>IF(((M357)=TRUE),  "",  E357)</f>
      </c>
      <c r="P357" s="4">
        <f>COUNTIFS(FieldDisagreements!E2:E50, A357)</f>
        <v>0</v>
      </c>
      <c r="Q357" s="4" t="str">
        <f>_xlfn.IFNA(IF(((INDEX(ConformanceSubstrates!C2:C9, MATCH(D357,ConformanceSubstrates!A2:A9, 0))="")=TRUE),  "",  INDEX(ConformanceSubstrates!C2:C9, MATCH(D357,ConformanceSubstrates!A2:A9, 0))), "")</f>
        <v>Go</v>
      </c>
      <c r="R357" s="4" t="str">
        <f>_xlfn.IFNA(IF(((INDEX(RulebookTables!F2:F93, MATCH(E357,RulebookTables!A2:A93, 0))="")=TRUE),  "",  INDEX(RulebookTables!F2:F93, MATCH(E357,RulebookTables!A2:A93, 0))), "")</f>
        <v>meta</v>
      </c>
      <c r="S357" s="3" t="s">
        <v>1918</v>
      </c>
    </row>
    <row r="358">
      <c r="A358" s="3" t="s">
        <v>14461</v>
      </c>
      <c r="B358" s="4" t="str">
        <f>_xlfn.CONCAT(D358, " / ", E358)</f>
        <v>effortless-owl / RulebookReleases</v>
      </c>
      <c r="C358" s="3" t="s">
        <v>14074</v>
      </c>
      <c r="D358" s="3" t="s">
        <v>14059</v>
      </c>
      <c r="E358" s="3" t="s">
        <v>2415</v>
      </c>
      <c r="F358" s="3">
        <v>1</v>
      </c>
      <c r="G358" s="3">
        <v>1</v>
      </c>
      <c r="H358" s="3">
        <v>1</v>
      </c>
      <c r="I358" s="3">
        <v>0</v>
      </c>
      <c r="J358" s="3" t="b">
        <v>0</v>
      </c>
      <c r="K358" s="4">
        <f>H358 - I358</f>
        <v>1</v>
      </c>
      <c r="L358" s="4">
        <f>IF(((H358 = 0)=TRUE),  0,  ROUND(100 * I358 / H358, 2))</f>
        <v>0</v>
      </c>
      <c r="M358" s="4" t="b">
        <f>K358 = 0</f>
        <v>0</v>
      </c>
      <c r="N358" s="4" t="str">
        <f>IF(((M358)=TRUE),  "",  D358)</f>
        <v>effortless-owl</v>
      </c>
      <c r="O358" s="4" t="str">
        <f>IF(((M358)=TRUE),  "",  E358)</f>
        <v>RulebookReleases</v>
      </c>
      <c r="P358" s="4">
        <f>COUNTIFS(FieldDisagreements!E2:E50, A358)</f>
        <v>1</v>
      </c>
      <c r="Q358" s="4" t="str">
        <f>_xlfn.IFNA(IF(((INDEX(ConformanceSubstrates!C2:C9, MATCH(D358,ConformanceSubstrates!A2:A9, 0))="")=TRUE),  "",  INDEX(ConformanceSubstrates!C2:C9, MATCH(D358,ConformanceSubstrates!A2:A9, 0))), "")</f>
        <v>OWL / SHACL</v>
      </c>
      <c r="R358" s="4" t="str">
        <f>_xlfn.IFNA(IF(((INDEX(RulebookTables!F2:F93, MATCH(E358,RulebookTables!A2:A93, 0))="")=TRUE),  "",  INDEX(RulebookTables!F2:F93, MATCH(E358,RulebookTables!A2:A93, 0))), "")</f>
        <v>meta</v>
      </c>
      <c r="S358" s="3" t="s">
        <v>1918</v>
      </c>
    </row>
    <row r="359">
      <c r="A359" s="3" t="s">
        <v>14462</v>
      </c>
      <c r="B359" s="4" t="str">
        <f>_xlfn.CONCAT(D359, " / ", E359)</f>
        <v>effortless-owl / OntologyProfiles</v>
      </c>
      <c r="C359" s="3" t="s">
        <v>14074</v>
      </c>
      <c r="D359" s="3" t="s">
        <v>14059</v>
      </c>
      <c r="E359" s="3" t="s">
        <v>2434</v>
      </c>
      <c r="F359" s="3">
        <v>11</v>
      </c>
      <c r="G359" s="3">
        <v>1</v>
      </c>
      <c r="H359" s="3">
        <v>11</v>
      </c>
      <c r="I359" s="3">
        <v>11</v>
      </c>
      <c r="J359" s="3" t="b">
        <v>0</v>
      </c>
      <c r="K359" s="4">
        <f>H359 - I359</f>
        <v>0</v>
      </c>
      <c r="L359" s="4">
        <f>IF(((H359 = 0)=TRUE),  0,  ROUND(100 * I359 / H359, 2))</f>
        <v>100</v>
      </c>
      <c r="M359" s="4" t="b">
        <f>K359 = 0</f>
        <v>1</v>
      </c>
      <c r="N359" s="4" t="str">
        <f>IF(((M359)=TRUE),  "",  D359)</f>
      </c>
      <c r="O359" s="4" t="str">
        <f>IF(((M359)=TRUE),  "",  E359)</f>
      </c>
      <c r="P359" s="4">
        <f>COUNTIFS(FieldDisagreements!E2:E50, A359)</f>
        <v>0</v>
      </c>
      <c r="Q359" s="4" t="str">
        <f>_xlfn.IFNA(IF(((INDEX(ConformanceSubstrates!C2:C9, MATCH(D359,ConformanceSubstrates!A2:A9, 0))="")=TRUE),  "",  INDEX(ConformanceSubstrates!C2:C9, MATCH(D359,ConformanceSubstrates!A2:A9, 0))), "")</f>
        <v>OWL / SHACL</v>
      </c>
      <c r="R359" s="4" t="str">
        <f>_xlfn.IFNA(IF(((INDEX(RulebookTables!F2:F93, MATCH(E359,RulebookTables!A2:A93, 0))="")=TRUE),  "",  INDEX(RulebookTables!F2:F93, MATCH(E359,RulebookTables!A2:A93, 0))), "")</f>
        <v>domain</v>
      </c>
      <c r="S359" s="3" t="s">
        <v>1918</v>
      </c>
    </row>
    <row r="360">
      <c r="A360" s="3" t="s">
        <v>14463</v>
      </c>
      <c r="B360" s="4" t="str">
        <f>_xlfn.CONCAT(D360, " / ", E360)</f>
        <v>effortless-owl / EvaluationContexts</v>
      </c>
      <c r="C360" s="3" t="s">
        <v>14074</v>
      </c>
      <c r="D360" s="3" t="s">
        <v>14059</v>
      </c>
      <c r="E360" s="3" t="s">
        <v>2444</v>
      </c>
      <c r="F360" s="3">
        <v>1</v>
      </c>
      <c r="G360" s="3">
        <v>1</v>
      </c>
      <c r="H360" s="3">
        <v>1</v>
      </c>
      <c r="I360" s="3">
        <v>1</v>
      </c>
      <c r="J360" s="3" t="b">
        <v>0</v>
      </c>
      <c r="K360" s="4">
        <f>H360 - I360</f>
        <v>0</v>
      </c>
      <c r="L360" s="4">
        <f>IF(((H360 = 0)=TRUE),  0,  ROUND(100 * I360 / H360, 2))</f>
        <v>100</v>
      </c>
      <c r="M360" s="4" t="b">
        <f>K360 = 0</f>
        <v>1</v>
      </c>
      <c r="N360" s="4" t="str">
        <f>IF(((M360)=TRUE),  "",  D360)</f>
      </c>
      <c r="O360" s="4" t="str">
        <f>IF(((M360)=TRUE),  "",  E360)</f>
      </c>
      <c r="P360" s="4">
        <f>COUNTIFS(FieldDisagreements!E2:E50, A360)</f>
        <v>0</v>
      </c>
      <c r="Q360" s="4" t="str">
        <f>_xlfn.IFNA(IF(((INDEX(ConformanceSubstrates!C2:C9, MATCH(D360,ConformanceSubstrates!A2:A9, 0))="")=TRUE),  "",  INDEX(ConformanceSubstrates!C2:C9, MATCH(D360,ConformanceSubstrates!A2:A9, 0))), "")</f>
        <v>OWL / SHACL</v>
      </c>
      <c r="R360" s="4" t="str">
        <f>_xlfn.IFNA(IF(((INDEX(RulebookTables!F2:F93, MATCH(E360,RulebookTables!A2:A93, 0))="")=TRUE),  "",  INDEX(RulebookTables!F2:F93, MATCH(E360,RulebookTables!A2:A93, 0))), "")</f>
        <v>meta</v>
      </c>
      <c r="S360" s="3" t="s">
        <v>1918</v>
      </c>
    </row>
    <row r="361">
      <c r="A361" s="3" t="s">
        <v>14464</v>
      </c>
      <c r="B361" s="4" t="str">
        <f>_xlfn.CONCAT(D361, " / ", E361)</f>
        <v>effortless-owl / Organizations</v>
      </c>
      <c r="C361" s="3" t="s">
        <v>14074</v>
      </c>
      <c r="D361" s="3" t="s">
        <v>14059</v>
      </c>
      <c r="E361" s="3" t="s">
        <v>2453</v>
      </c>
      <c r="F361" s="3">
        <v>4</v>
      </c>
      <c r="G361" s="3">
        <v>1</v>
      </c>
      <c r="H361" s="3">
        <v>4</v>
      </c>
      <c r="I361" s="3">
        <v>4</v>
      </c>
      <c r="J361" s="3" t="b">
        <v>0</v>
      </c>
      <c r="K361" s="4">
        <f>H361 - I361</f>
        <v>0</v>
      </c>
      <c r="L361" s="4">
        <f>IF(((H361 = 0)=TRUE),  0,  ROUND(100 * I361 / H361, 2))</f>
        <v>100</v>
      </c>
      <c r="M361" s="4" t="b">
        <f>K361 = 0</f>
        <v>1</v>
      </c>
      <c r="N361" s="4" t="str">
        <f>IF(((M361)=TRUE),  "",  D361)</f>
      </c>
      <c r="O361" s="4" t="str">
        <f>IF(((M361)=TRUE),  "",  E361)</f>
      </c>
      <c r="P361" s="4">
        <f>COUNTIFS(FieldDisagreements!E2:E50, A361)</f>
        <v>0</v>
      </c>
      <c r="Q361" s="4" t="str">
        <f>_xlfn.IFNA(IF(((INDEX(ConformanceSubstrates!C2:C9, MATCH(D361,ConformanceSubstrates!A2:A9, 0))="")=TRUE),  "",  INDEX(ConformanceSubstrates!C2:C9, MATCH(D361,ConformanceSubstrates!A2:A9, 0))), "")</f>
        <v>OWL / SHACL</v>
      </c>
      <c r="R361" s="4" t="str">
        <f>_xlfn.IFNA(IF(((INDEX(RulebookTables!F2:F93, MATCH(E361,RulebookTables!A2:A93, 0))="")=TRUE),  "",  INDEX(RulebookTables!F2:F93, MATCH(E361,RulebookTables!A2:A93, 0))), "")</f>
        <v>org</v>
      </c>
      <c r="S361" s="3" t="s">
        <v>1918</v>
      </c>
    </row>
    <row r="362">
      <c r="A362" s="3" t="s">
        <v>14465</v>
      </c>
      <c r="B362" s="4" t="str">
        <f>_xlfn.CONCAT(D362, " / ", E362)</f>
        <v>effortless-owl / Agents</v>
      </c>
      <c r="C362" s="3" t="s">
        <v>14074</v>
      </c>
      <c r="D362" s="3" t="s">
        <v>14059</v>
      </c>
      <c r="E362" s="3" t="s">
        <v>1814</v>
      </c>
      <c r="F362" s="3">
        <v>11</v>
      </c>
      <c r="G362" s="3">
        <v>16</v>
      </c>
      <c r="H362" s="3">
        <v>176</v>
      </c>
      <c r="I362" s="3">
        <v>176</v>
      </c>
      <c r="J362" s="3" t="b">
        <v>0</v>
      </c>
      <c r="K362" s="4">
        <f>H362 - I362</f>
        <v>0</v>
      </c>
      <c r="L362" s="4">
        <f>IF(((H362 = 0)=TRUE),  0,  ROUND(100 * I362 / H362, 2))</f>
        <v>100</v>
      </c>
      <c r="M362" s="4" t="b">
        <f>K362 = 0</f>
        <v>1</v>
      </c>
      <c r="N362" s="4" t="str">
        <f>IF(((M362)=TRUE),  "",  D362)</f>
      </c>
      <c r="O362" s="4" t="str">
        <f>IF(((M362)=TRUE),  "",  E362)</f>
      </c>
      <c r="P362" s="4">
        <f>COUNTIFS(FieldDisagreements!E2:E50, A362)</f>
        <v>0</v>
      </c>
      <c r="Q362" s="4" t="str">
        <f>_xlfn.IFNA(IF(((INDEX(ConformanceSubstrates!C2:C9, MATCH(D362,ConformanceSubstrates!A2:A9, 0))="")=TRUE),  "",  INDEX(ConformanceSubstrates!C2:C9, MATCH(D362,ConformanceSubstrates!A2:A9, 0))), "")</f>
        <v>OWL / SHACL</v>
      </c>
      <c r="R362" s="4" t="str">
        <f>_xlfn.IFNA(IF(((INDEX(RulebookTables!F2:F93, MATCH(E362,RulebookTables!A2:A93, 0))="")=TRUE),  "",  INDEX(RulebookTables!F2:F93, MATCH(E362,RulebookTables!A2:A93, 0))), "")</f>
        <v>org</v>
      </c>
      <c r="S362" s="3" t="s">
        <v>1918</v>
      </c>
    </row>
    <row r="363">
      <c r="A363" s="3" t="s">
        <v>14466</v>
      </c>
      <c r="B363" s="4" t="str">
        <f>_xlfn.CONCAT(D363, " / ", E363)</f>
        <v>effortless-owl / Roles</v>
      </c>
      <c r="C363" s="3" t="s">
        <v>14074</v>
      </c>
      <c r="D363" s="3" t="s">
        <v>14059</v>
      </c>
      <c r="E363" s="3" t="s">
        <v>1818</v>
      </c>
      <c r="F363" s="3">
        <v>12</v>
      </c>
      <c r="G363" s="3">
        <v>17</v>
      </c>
      <c r="H363" s="3">
        <v>204</v>
      </c>
      <c r="I363" s="3">
        <v>204</v>
      </c>
      <c r="J363" s="3" t="b">
        <v>0</v>
      </c>
      <c r="K363" s="4">
        <f>H363 - I363</f>
        <v>0</v>
      </c>
      <c r="L363" s="4">
        <f>IF(((H363 = 0)=TRUE),  0,  ROUND(100 * I363 / H363, 2))</f>
        <v>100</v>
      </c>
      <c r="M363" s="4" t="b">
        <f>K363 = 0</f>
        <v>1</v>
      </c>
      <c r="N363" s="4" t="str">
        <f>IF(((M363)=TRUE),  "",  D363)</f>
      </c>
      <c r="O363" s="4" t="str">
        <f>IF(((M363)=TRUE),  "",  E363)</f>
      </c>
      <c r="P363" s="4">
        <f>COUNTIFS(FieldDisagreements!E2:E50, A363)</f>
        <v>0</v>
      </c>
      <c r="Q363" s="4" t="str">
        <f>_xlfn.IFNA(IF(((INDEX(ConformanceSubstrates!C2:C9, MATCH(D363,ConformanceSubstrates!A2:A9, 0))="")=TRUE),  "",  INDEX(ConformanceSubstrates!C2:C9, MATCH(D363,ConformanceSubstrates!A2:A9, 0))), "")</f>
        <v>OWL / SHACL</v>
      </c>
      <c r="R363" s="4" t="str">
        <f>_xlfn.IFNA(IF(((INDEX(RulebookTables!F2:F93, MATCH(E363,RulebookTables!A2:A93, 0))="")=TRUE),  "",  INDEX(RulebookTables!F2:F93, MATCH(E363,RulebookTables!A2:A93, 0))), "")</f>
        <v>org</v>
      </c>
      <c r="S363" s="3" t="s">
        <v>1918</v>
      </c>
    </row>
    <row r="364">
      <c r="A364" s="3" t="s">
        <v>14467</v>
      </c>
      <c r="B364" s="4" t="str">
        <f>_xlfn.CONCAT(D364, " / ", E364)</f>
        <v>effortless-owl / RoleAssignments</v>
      </c>
      <c r="C364" s="3" t="s">
        <v>14074</v>
      </c>
      <c r="D364" s="3" t="s">
        <v>14059</v>
      </c>
      <c r="E364" s="3" t="s">
        <v>1821</v>
      </c>
      <c r="F364" s="3">
        <v>13</v>
      </c>
      <c r="G364" s="3">
        <v>47</v>
      </c>
      <c r="H364" s="3">
        <v>611</v>
      </c>
      <c r="I364" s="3">
        <v>611</v>
      </c>
      <c r="J364" s="3" t="b">
        <v>0</v>
      </c>
      <c r="K364" s="4">
        <f>H364 - I364</f>
        <v>0</v>
      </c>
      <c r="L364" s="4">
        <f>IF(((H364 = 0)=TRUE),  0,  ROUND(100 * I364 / H364, 2))</f>
        <v>100</v>
      </c>
      <c r="M364" s="4" t="b">
        <f>K364 = 0</f>
        <v>1</v>
      </c>
      <c r="N364" s="4" t="str">
        <f>IF(((M364)=TRUE),  "",  D364)</f>
      </c>
      <c r="O364" s="4" t="str">
        <f>IF(((M364)=TRUE),  "",  E364)</f>
      </c>
      <c r="P364" s="4">
        <f>COUNTIFS(FieldDisagreements!E2:E50, A364)</f>
        <v>0</v>
      </c>
      <c r="Q364" s="4" t="str">
        <f>_xlfn.IFNA(IF(((INDEX(ConformanceSubstrates!C2:C9, MATCH(D364,ConformanceSubstrates!A2:A9, 0))="")=TRUE),  "",  INDEX(ConformanceSubstrates!C2:C9, MATCH(D364,ConformanceSubstrates!A2:A9, 0))), "")</f>
        <v>OWL / SHACL</v>
      </c>
      <c r="R364" s="4" t="str">
        <f>_xlfn.IFNA(IF(((INDEX(RulebookTables!F2:F93, MATCH(E364,RulebookTables!A2:A93, 0))="")=TRUE),  "",  INDEX(RulebookTables!F2:F93, MATCH(E364,RulebookTables!A2:A93, 0))), "")</f>
        <v>org</v>
      </c>
      <c r="S364" s="3" t="s">
        <v>1918</v>
      </c>
    </row>
    <row r="365">
      <c r="A365" s="3" t="s">
        <v>14468</v>
      </c>
      <c r="B365" s="4" t="str">
        <f>_xlfn.CONCAT(D365, " / ", E365)</f>
        <v>effortless-owl / CommunitiesOfPractice</v>
      </c>
      <c r="C365" s="3" t="s">
        <v>14074</v>
      </c>
      <c r="D365" s="3" t="s">
        <v>14059</v>
      </c>
      <c r="E365" s="3" t="s">
        <v>2655</v>
      </c>
      <c r="F365" s="3">
        <v>2</v>
      </c>
      <c r="G365" s="3">
        <v>1</v>
      </c>
      <c r="H365" s="3">
        <v>2</v>
      </c>
      <c r="I365" s="3">
        <v>2</v>
      </c>
      <c r="J365" s="3" t="b">
        <v>0</v>
      </c>
      <c r="K365" s="4">
        <f>H365 - I365</f>
        <v>0</v>
      </c>
      <c r="L365" s="4">
        <f>IF(((H365 = 0)=TRUE),  0,  ROUND(100 * I365 / H365, 2))</f>
        <v>100</v>
      </c>
      <c r="M365" s="4" t="b">
        <f>K365 = 0</f>
        <v>1</v>
      </c>
      <c r="N365" s="4" t="str">
        <f>IF(((M365)=TRUE),  "",  D365)</f>
      </c>
      <c r="O365" s="4" t="str">
        <f>IF(((M365)=TRUE),  "",  E365)</f>
      </c>
      <c r="P365" s="4">
        <f>COUNTIFS(FieldDisagreements!E2:E50, A365)</f>
        <v>0</v>
      </c>
      <c r="Q365" s="4" t="str">
        <f>_xlfn.IFNA(IF(((INDEX(ConformanceSubstrates!C2:C9, MATCH(D365,ConformanceSubstrates!A2:A9, 0))="")=TRUE),  "",  INDEX(ConformanceSubstrates!C2:C9, MATCH(D365,ConformanceSubstrates!A2:A9, 0))), "")</f>
        <v>OWL / SHACL</v>
      </c>
      <c r="R365" s="4" t="str">
        <f>_xlfn.IFNA(IF(((INDEX(RulebookTables!F2:F93, MATCH(E365,RulebookTables!A2:A93, 0))="")=TRUE),  "",  INDEX(RulebookTables!F2:F93, MATCH(E365,RulebookTables!A2:A93, 0))), "")</f>
        <v>org</v>
      </c>
      <c r="S365" s="3" t="s">
        <v>1918</v>
      </c>
    </row>
    <row r="366">
      <c r="A366" s="3" t="s">
        <v>14469</v>
      </c>
      <c r="B366" s="4" t="str">
        <f>_xlfn.CONCAT(D366, " / ", E366)</f>
        <v>effortless-owl / Mentorships</v>
      </c>
      <c r="C366" s="3" t="s">
        <v>14074</v>
      </c>
      <c r="D366" s="3" t="s">
        <v>14059</v>
      </c>
      <c r="E366" s="3" t="s">
        <v>2664</v>
      </c>
      <c r="F366" s="3">
        <v>1</v>
      </c>
      <c r="G366" s="3">
        <v>1</v>
      </c>
      <c r="H366" s="3">
        <v>1</v>
      </c>
      <c r="I366" s="3">
        <v>1</v>
      </c>
      <c r="J366" s="3" t="b">
        <v>0</v>
      </c>
      <c r="K366" s="4">
        <f>H366 - I366</f>
        <v>0</v>
      </c>
      <c r="L366" s="4">
        <f>IF(((H366 = 0)=TRUE),  0,  ROUND(100 * I366 / H366, 2))</f>
        <v>100</v>
      </c>
      <c r="M366" s="4" t="b">
        <f>K366 = 0</f>
        <v>1</v>
      </c>
      <c r="N366" s="4" t="str">
        <f>IF(((M366)=TRUE),  "",  D366)</f>
      </c>
      <c r="O366" s="4" t="str">
        <f>IF(((M366)=TRUE),  "",  E366)</f>
      </c>
      <c r="P366" s="4">
        <f>COUNTIFS(FieldDisagreements!E2:E50, A366)</f>
        <v>0</v>
      </c>
      <c r="Q366" s="4" t="str">
        <f>_xlfn.IFNA(IF(((INDEX(ConformanceSubstrates!C2:C9, MATCH(D366,ConformanceSubstrates!A2:A9, 0))="")=TRUE),  "",  INDEX(ConformanceSubstrates!C2:C9, MATCH(D366,ConformanceSubstrates!A2:A9, 0))), "")</f>
        <v>OWL / SHACL</v>
      </c>
      <c r="R366" s="4" t="str">
        <f>_xlfn.IFNA(IF(((INDEX(RulebookTables!F2:F93, MATCH(E366,RulebookTables!A2:A93, 0))="")=TRUE),  "",  INDEX(RulebookTables!F2:F93, MATCH(E366,RulebookTables!A2:A93, 0))), "")</f>
        <v>org</v>
      </c>
      <c r="S366" s="3" t="s">
        <v>1918</v>
      </c>
    </row>
    <row r="367">
      <c r="A367" s="3" t="s">
        <v>14470</v>
      </c>
      <c r="B367" s="4" t="str">
        <f>_xlfn.CONCAT(D367, " / ", E367)</f>
        <v>effortless-owl / ProcedureTypes</v>
      </c>
      <c r="C367" s="3" t="s">
        <v>14074</v>
      </c>
      <c r="D367" s="3" t="s">
        <v>14059</v>
      </c>
      <c r="E367" s="3" t="s">
        <v>2676</v>
      </c>
      <c r="F367" s="3">
        <v>2</v>
      </c>
      <c r="G367" s="3">
        <v>1</v>
      </c>
      <c r="H367" s="3">
        <v>2</v>
      </c>
      <c r="I367" s="3">
        <v>2</v>
      </c>
      <c r="J367" s="3" t="b">
        <v>0</v>
      </c>
      <c r="K367" s="4">
        <f>H367 - I367</f>
        <v>0</v>
      </c>
      <c r="L367" s="4">
        <f>IF(((H367 = 0)=TRUE),  0,  ROUND(100 * I367 / H367, 2))</f>
        <v>100</v>
      </c>
      <c r="M367" s="4" t="b">
        <f>K367 = 0</f>
        <v>1</v>
      </c>
      <c r="N367" s="4" t="str">
        <f>IF(((M367)=TRUE),  "",  D367)</f>
      </c>
      <c r="O367" s="4" t="str">
        <f>IF(((M367)=TRUE),  "",  E367)</f>
      </c>
      <c r="P367" s="4">
        <f>COUNTIFS(FieldDisagreements!E2:E50, A367)</f>
        <v>0</v>
      </c>
      <c r="Q367" s="4" t="str">
        <f>_xlfn.IFNA(IF(((INDEX(ConformanceSubstrates!C2:C9, MATCH(D367,ConformanceSubstrates!A2:A9, 0))="")=TRUE),  "",  INDEX(ConformanceSubstrates!C2:C9, MATCH(D367,ConformanceSubstrates!A2:A9, 0))), "")</f>
        <v>OWL / SHACL</v>
      </c>
      <c r="R367" s="4" t="str">
        <f>_xlfn.IFNA(IF(((INDEX(RulebookTables!F2:F93, MATCH(E367,RulebookTables!A2:A93, 0))="")=TRUE),  "",  INDEX(RulebookTables!F2:F93, MATCH(E367,RulebookTables!A2:A93, 0))), "")</f>
        <v>specification</v>
      </c>
      <c r="S367" s="3" t="s">
        <v>1918</v>
      </c>
    </row>
    <row r="368">
      <c r="A368" s="3" t="s">
        <v>14471</v>
      </c>
      <c r="B368" s="4" t="str">
        <f>_xlfn.CONCAT(D368, " / ", E368)</f>
        <v>effortless-owl / Procedures</v>
      </c>
      <c r="C368" s="3" t="s">
        <v>14074</v>
      </c>
      <c r="D368" s="3" t="s">
        <v>14059</v>
      </c>
      <c r="E368" s="3" t="s">
        <v>1762</v>
      </c>
      <c r="F368" s="3">
        <v>2</v>
      </c>
      <c r="G368" s="3">
        <v>1</v>
      </c>
      <c r="H368" s="3">
        <v>2</v>
      </c>
      <c r="I368" s="3">
        <v>2</v>
      </c>
      <c r="J368" s="3" t="b">
        <v>0</v>
      </c>
      <c r="K368" s="4">
        <f>H368 - I368</f>
        <v>0</v>
      </c>
      <c r="L368" s="4">
        <f>IF(((H368 = 0)=TRUE),  0,  ROUND(100 * I368 / H368, 2))</f>
        <v>100</v>
      </c>
      <c r="M368" s="4" t="b">
        <f>K368 = 0</f>
        <v>1</v>
      </c>
      <c r="N368" s="4" t="str">
        <f>IF(((M368)=TRUE),  "",  D368)</f>
      </c>
      <c r="O368" s="4" t="str">
        <f>IF(((M368)=TRUE),  "",  E368)</f>
      </c>
      <c r="P368" s="4">
        <f>COUNTIFS(FieldDisagreements!E2:E50, A368)</f>
        <v>0</v>
      </c>
      <c r="Q368" s="4" t="str">
        <f>_xlfn.IFNA(IF(((INDEX(ConformanceSubstrates!C2:C9, MATCH(D368,ConformanceSubstrates!A2:A9, 0))="")=TRUE),  "",  INDEX(ConformanceSubstrates!C2:C9, MATCH(D368,ConformanceSubstrates!A2:A9, 0))), "")</f>
        <v>OWL / SHACL</v>
      </c>
      <c r="R368" s="4" t="str">
        <f>_xlfn.IFNA(IF(((INDEX(RulebookTables!F2:F93, MATCH(E368,RulebookTables!A2:A93, 0))="")=TRUE),  "",  INDEX(RulebookTables!F2:F93, MATCH(E368,RulebookTables!A2:A93, 0))), "")</f>
        <v>specification</v>
      </c>
      <c r="S368" s="3" t="s">
        <v>1918</v>
      </c>
    </row>
    <row r="369">
      <c r="A369" s="3" t="s">
        <v>14472</v>
      </c>
      <c r="B369" s="4" t="str">
        <f>_xlfn.CONCAT(D369, " / ", E369)</f>
        <v>effortless-owl / ProcedureVersions</v>
      </c>
      <c r="C369" s="3" t="s">
        <v>14074</v>
      </c>
      <c r="D369" s="3" t="s">
        <v>14059</v>
      </c>
      <c r="E369" s="3" t="s">
        <v>1767</v>
      </c>
      <c r="F369" s="3">
        <v>3</v>
      </c>
      <c r="G369" s="3">
        <v>73</v>
      </c>
      <c r="H369" s="3">
        <v>219</v>
      </c>
      <c r="I369" s="3">
        <v>213</v>
      </c>
      <c r="J369" s="3" t="b">
        <v>0</v>
      </c>
      <c r="K369" s="4">
        <f>H369 - I369</f>
        <v>6</v>
      </c>
      <c r="L369" s="4">
        <f>IF(((H369 = 0)=TRUE),  0,  ROUND(100 * I369 / H369, 2))</f>
        <v>97.26</v>
      </c>
      <c r="M369" s="4" t="b">
        <f>K369 = 0</f>
        <v>0</v>
      </c>
      <c r="N369" s="4" t="str">
        <f>IF(((M369)=TRUE),  "",  D369)</f>
        <v>effortless-owl</v>
      </c>
      <c r="O369" s="4" t="str">
        <f>IF(((M369)=TRUE),  "",  E369)</f>
        <v>ProcedureVersions</v>
      </c>
      <c r="P369" s="4">
        <f>COUNTIFS(FieldDisagreements!E2:E50, A369)</f>
        <v>5</v>
      </c>
      <c r="Q369" s="4" t="str">
        <f>_xlfn.IFNA(IF(((INDEX(ConformanceSubstrates!C2:C9, MATCH(D369,ConformanceSubstrates!A2:A9, 0))="")=TRUE),  "",  INDEX(ConformanceSubstrates!C2:C9, MATCH(D369,ConformanceSubstrates!A2:A9, 0))), "")</f>
        <v>OWL / SHACL</v>
      </c>
      <c r="R369" s="4" t="str">
        <f>_xlfn.IFNA(IF(((INDEX(RulebookTables!F2:F93, MATCH(E369,RulebookTables!A2:A93, 0))="")=TRUE),  "",  INDEX(RulebookTables!F2:F93, MATCH(E369,RulebookTables!A2:A93, 0))), "")</f>
        <v>specification</v>
      </c>
      <c r="S369" s="3" t="s">
        <v>1918</v>
      </c>
    </row>
    <row r="370">
      <c r="A370" s="3" t="s">
        <v>14473</v>
      </c>
      <c r="B370" s="4" t="str">
        <f>_xlfn.CONCAT(D370, " / ", E370)</f>
        <v>effortless-owl / ProcedureVersionLinks</v>
      </c>
      <c r="C370" s="3" t="s">
        <v>14074</v>
      </c>
      <c r="D370" s="3" t="s">
        <v>14059</v>
      </c>
      <c r="E370" s="3" t="s">
        <v>2851</v>
      </c>
      <c r="F370" s="3">
        <v>1</v>
      </c>
      <c r="G370" s="3">
        <v>2</v>
      </c>
      <c r="H370" s="3">
        <v>2</v>
      </c>
      <c r="I370" s="3">
        <v>1</v>
      </c>
      <c r="J370" s="3" t="b">
        <v>0</v>
      </c>
      <c r="K370" s="4">
        <f>H370 - I370</f>
        <v>1</v>
      </c>
      <c r="L370" s="4">
        <f>IF(((H370 = 0)=TRUE),  0,  ROUND(100 * I370 / H370, 2))</f>
        <v>50</v>
      </c>
      <c r="M370" s="4" t="b">
        <f>K370 = 0</f>
        <v>0</v>
      </c>
      <c r="N370" s="4" t="str">
        <f>IF(((M370)=TRUE),  "",  D370)</f>
        <v>effortless-owl</v>
      </c>
      <c r="O370" s="4" t="str">
        <f>IF(((M370)=TRUE),  "",  E370)</f>
        <v>ProcedureVersionLinks</v>
      </c>
      <c r="P370" s="4">
        <f>COUNTIFS(FieldDisagreements!E2:E50, A370)</f>
        <v>1</v>
      </c>
      <c r="Q370" s="4" t="str">
        <f>_xlfn.IFNA(IF(((INDEX(ConformanceSubstrates!C2:C9, MATCH(D370,ConformanceSubstrates!A2:A9, 0))="")=TRUE),  "",  INDEX(ConformanceSubstrates!C2:C9, MATCH(D370,ConformanceSubstrates!A2:A9, 0))), "")</f>
        <v>OWL / SHACL</v>
      </c>
      <c r="R370" s="4" t="str">
        <f>_xlfn.IFNA(IF(((INDEX(RulebookTables!F2:F93, MATCH(E370,RulebookTables!A2:A93, 0))="")=TRUE),  "",  INDEX(RulebookTables!F2:F93, MATCH(E370,RulebookTables!A2:A93, 0))), "")</f>
        <v>specification</v>
      </c>
      <c r="S370" s="3" t="s">
        <v>1918</v>
      </c>
    </row>
    <row r="371">
      <c r="A371" s="3" t="s">
        <v>14474</v>
      </c>
      <c r="B371" s="4" t="str">
        <f>_xlfn.CONCAT(D371, " / ", E371)</f>
        <v>effortless-owl / ProcedureStatusChanges</v>
      </c>
      <c r="C371" s="3" t="s">
        <v>14074</v>
      </c>
      <c r="D371" s="3" t="s">
        <v>14059</v>
      </c>
      <c r="E371" s="3" t="s">
        <v>1775</v>
      </c>
      <c r="F371" s="3">
        <v>5</v>
      </c>
      <c r="G371" s="3">
        <v>1</v>
      </c>
      <c r="H371" s="3">
        <v>5</v>
      </c>
      <c r="I371" s="3">
        <v>5</v>
      </c>
      <c r="J371" s="3" t="b">
        <v>0</v>
      </c>
      <c r="K371" s="4">
        <f>H371 - I371</f>
        <v>0</v>
      </c>
      <c r="L371" s="4">
        <f>IF(((H371 = 0)=TRUE),  0,  ROUND(100 * I371 / H371, 2))</f>
        <v>100</v>
      </c>
      <c r="M371" s="4" t="b">
        <f>K371 = 0</f>
        <v>1</v>
      </c>
      <c r="N371" s="4" t="str">
        <f>IF(((M371)=TRUE),  "",  D371)</f>
      </c>
      <c r="O371" s="4" t="str">
        <f>IF(((M371)=TRUE),  "",  E371)</f>
      </c>
      <c r="P371" s="4">
        <f>COUNTIFS(FieldDisagreements!E2:E50, A371)</f>
        <v>0</v>
      </c>
      <c r="Q371" s="4" t="str">
        <f>_xlfn.IFNA(IF(((INDEX(ConformanceSubstrates!C2:C9, MATCH(D371,ConformanceSubstrates!A2:A9, 0))="")=TRUE),  "",  INDEX(ConformanceSubstrates!C2:C9, MATCH(D371,ConformanceSubstrates!A2:A9, 0))), "")</f>
        <v>OWL / SHACL</v>
      </c>
      <c r="R371" s="4" t="str">
        <f>_xlfn.IFNA(IF(((INDEX(RulebookTables!F2:F93, MATCH(E371,RulebookTables!A2:A93, 0))="")=TRUE),  "",  INDEX(RulebookTables!F2:F93, MATCH(E371,RulebookTables!A2:A93, 0))), "")</f>
        <v>specification</v>
      </c>
      <c r="S371" s="3" t="s">
        <v>1918</v>
      </c>
    </row>
    <row r="372">
      <c r="A372" s="3" t="s">
        <v>14475</v>
      </c>
      <c r="B372" s="4" t="str">
        <f>_xlfn.CONCAT(D372, " / ", E372)</f>
        <v>effortless-owl / Steps</v>
      </c>
      <c r="C372" s="3" t="s">
        <v>14074</v>
      </c>
      <c r="D372" s="3" t="s">
        <v>14059</v>
      </c>
      <c r="E372" s="3" t="s">
        <v>1778</v>
      </c>
      <c r="F372" s="3">
        <v>17</v>
      </c>
      <c r="G372" s="3">
        <v>42</v>
      </c>
      <c r="H372" s="3">
        <v>714</v>
      </c>
      <c r="I372" s="3">
        <v>714</v>
      </c>
      <c r="J372" s="3" t="b">
        <v>0</v>
      </c>
      <c r="K372" s="4">
        <f>H372 - I372</f>
        <v>0</v>
      </c>
      <c r="L372" s="4">
        <f>IF(((H372 = 0)=TRUE),  0,  ROUND(100 * I372 / H372, 2))</f>
        <v>100</v>
      </c>
      <c r="M372" s="4" t="b">
        <f>K372 = 0</f>
        <v>1</v>
      </c>
      <c r="N372" s="4" t="str">
        <f>IF(((M372)=TRUE),  "",  D372)</f>
      </c>
      <c r="O372" s="4" t="str">
        <f>IF(((M372)=TRUE),  "",  E372)</f>
      </c>
      <c r="P372" s="4">
        <f>COUNTIFS(FieldDisagreements!E2:E50, A372)</f>
        <v>0</v>
      </c>
      <c r="Q372" s="4" t="str">
        <f>_xlfn.IFNA(IF(((INDEX(ConformanceSubstrates!C2:C9, MATCH(D372,ConformanceSubstrates!A2:A9, 0))="")=TRUE),  "",  INDEX(ConformanceSubstrates!C2:C9, MATCH(D372,ConformanceSubstrates!A2:A9, 0))), "")</f>
        <v>OWL / SHACL</v>
      </c>
      <c r="R372" s="4" t="str">
        <f>_xlfn.IFNA(IF(((INDEX(RulebookTables!F2:F93, MATCH(E372,RulebookTables!A2:A93, 0))="")=TRUE),  "",  INDEX(RulebookTables!F2:F93, MATCH(E372,RulebookTables!A2:A93, 0))), "")</f>
        <v>specification</v>
      </c>
      <c r="S372" s="3" t="s">
        <v>1918</v>
      </c>
    </row>
    <row r="373">
      <c r="A373" s="3" t="s">
        <v>14476</v>
      </c>
      <c r="B373" s="4" t="str">
        <f>_xlfn.CONCAT(D373, " / ", E373)</f>
        <v>effortless-owl / StepTransitions</v>
      </c>
      <c r="C373" s="3" t="s">
        <v>14074</v>
      </c>
      <c r="D373" s="3" t="s">
        <v>14059</v>
      </c>
      <c r="E373" s="3" t="s">
        <v>1784</v>
      </c>
      <c r="F373" s="3">
        <v>20</v>
      </c>
      <c r="G373" s="3">
        <v>18</v>
      </c>
      <c r="H373" s="3">
        <v>360</v>
      </c>
      <c r="I373" s="3">
        <v>284</v>
      </c>
      <c r="J373" s="3" t="b">
        <v>0</v>
      </c>
      <c r="K373" s="4">
        <f>H373 - I373</f>
        <v>76</v>
      </c>
      <c r="L373" s="4">
        <f>IF(((H373 = 0)=TRUE),  0,  ROUND(100 * I373 / H373, 2))</f>
        <v>78.89</v>
      </c>
      <c r="M373" s="4" t="b">
        <f>K373 = 0</f>
        <v>0</v>
      </c>
      <c r="N373" s="4" t="str">
        <f>IF(((M373)=TRUE),  "",  D373)</f>
        <v>effortless-owl</v>
      </c>
      <c r="O373" s="4" t="str">
        <f>IF(((M373)=TRUE),  "",  E373)</f>
        <v>StepTransitions</v>
      </c>
      <c r="P373" s="4">
        <f>COUNTIFS(FieldDisagreements!E2:E50, A373)</f>
        <v>6</v>
      </c>
      <c r="Q373" s="4" t="str">
        <f>_xlfn.IFNA(IF(((INDEX(ConformanceSubstrates!C2:C9, MATCH(D373,ConformanceSubstrates!A2:A9, 0))="")=TRUE),  "",  INDEX(ConformanceSubstrates!C2:C9, MATCH(D373,ConformanceSubstrates!A2:A9, 0))), "")</f>
        <v>OWL / SHACL</v>
      </c>
      <c r="R373" s="4" t="str">
        <f>_xlfn.IFNA(IF(((INDEX(RulebookTables!F2:F93, MATCH(E373,RulebookTables!A2:A93, 0))="")=TRUE),  "",  INDEX(RulebookTables!F2:F93, MATCH(E373,RulebookTables!A2:A93, 0))), "")</f>
        <v>specification</v>
      </c>
      <c r="S373" s="3" t="s">
        <v>1918</v>
      </c>
    </row>
    <row r="374">
      <c r="A374" s="3" t="s">
        <v>14477</v>
      </c>
      <c r="B374" s="4" t="str">
        <f>_xlfn.CONCAT(D374, " / ", E374)</f>
        <v>effortless-owl / Actions</v>
      </c>
      <c r="C374" s="3" t="s">
        <v>14074</v>
      </c>
      <c r="D374" s="3" t="s">
        <v>14059</v>
      </c>
      <c r="E374" s="3" t="s">
        <v>1796</v>
      </c>
      <c r="F374" s="3">
        <v>9</v>
      </c>
      <c r="G374" s="3">
        <v>1</v>
      </c>
      <c r="H374" s="3">
        <v>9</v>
      </c>
      <c r="I374" s="3">
        <v>9</v>
      </c>
      <c r="J374" s="3" t="b">
        <v>0</v>
      </c>
      <c r="K374" s="4">
        <f>H374 - I374</f>
        <v>0</v>
      </c>
      <c r="L374" s="4">
        <f>IF(((H374 = 0)=TRUE),  0,  ROUND(100 * I374 / H374, 2))</f>
        <v>100</v>
      </c>
      <c r="M374" s="4" t="b">
        <f>K374 = 0</f>
        <v>1</v>
      </c>
      <c r="N374" s="4" t="str">
        <f>IF(((M374)=TRUE),  "",  D374)</f>
      </c>
      <c r="O374" s="4" t="str">
        <f>IF(((M374)=TRUE),  "",  E374)</f>
      </c>
      <c r="P374" s="4">
        <f>COUNTIFS(FieldDisagreements!E2:E50, A374)</f>
        <v>0</v>
      </c>
      <c r="Q374" s="4" t="str">
        <f>_xlfn.IFNA(IF(((INDEX(ConformanceSubstrates!C2:C9, MATCH(D374,ConformanceSubstrates!A2:A9, 0))="")=TRUE),  "",  INDEX(ConformanceSubstrates!C2:C9, MATCH(D374,ConformanceSubstrates!A2:A9, 0))), "")</f>
        <v>OWL / SHACL</v>
      </c>
      <c r="R374" s="4" t="str">
        <f>_xlfn.IFNA(IF(((INDEX(RulebookTables!F2:F93, MATCH(E374,RulebookTables!A2:A93, 0))="")=TRUE),  "",  INDEX(RulebookTables!F2:F93, MATCH(E374,RulebookTables!A2:A93, 0))), "")</f>
        <v>specification</v>
      </c>
      <c r="S374" s="3" t="s">
        <v>1918</v>
      </c>
    </row>
    <row r="375">
      <c r="A375" s="3" t="s">
        <v>14478</v>
      </c>
      <c r="B375" s="4" t="str">
        <f>_xlfn.CONCAT(D375, " / ", E375)</f>
        <v>effortless-owl / Functions</v>
      </c>
      <c r="C375" s="3" t="s">
        <v>14074</v>
      </c>
      <c r="D375" s="3" t="s">
        <v>14059</v>
      </c>
      <c r="E375" s="3" t="s">
        <v>1799</v>
      </c>
      <c r="F375" s="3">
        <v>8</v>
      </c>
      <c r="G375" s="3">
        <v>1</v>
      </c>
      <c r="H375" s="3">
        <v>8</v>
      </c>
      <c r="I375" s="3">
        <v>8</v>
      </c>
      <c r="J375" s="3" t="b">
        <v>0</v>
      </c>
      <c r="K375" s="4">
        <f>H375 - I375</f>
        <v>0</v>
      </c>
      <c r="L375" s="4">
        <f>IF(((H375 = 0)=TRUE),  0,  ROUND(100 * I375 / H375, 2))</f>
        <v>100</v>
      </c>
      <c r="M375" s="4" t="b">
        <f>K375 = 0</f>
        <v>1</v>
      </c>
      <c r="N375" s="4" t="str">
        <f>IF(((M375)=TRUE),  "",  D375)</f>
      </c>
      <c r="O375" s="4" t="str">
        <f>IF(((M375)=TRUE),  "",  E375)</f>
      </c>
      <c r="P375" s="4">
        <f>COUNTIFS(FieldDisagreements!E2:E50, A375)</f>
        <v>0</v>
      </c>
      <c r="Q375" s="4" t="str">
        <f>_xlfn.IFNA(IF(((INDEX(ConformanceSubstrates!C2:C9, MATCH(D375,ConformanceSubstrates!A2:A9, 0))="")=TRUE),  "",  INDEX(ConformanceSubstrates!C2:C9, MATCH(D375,ConformanceSubstrates!A2:A9, 0))), "")</f>
        <v>OWL / SHACL</v>
      </c>
      <c r="R375" s="4" t="str">
        <f>_xlfn.IFNA(IF(((INDEX(RulebookTables!F2:F93, MATCH(E375,RulebookTables!A2:A93, 0))="")=TRUE),  "",  INDEX(RulebookTables!F2:F93, MATCH(E375,RulebookTables!A2:A93, 0))), "")</f>
        <v>specification</v>
      </c>
      <c r="S375" s="3" t="s">
        <v>1918</v>
      </c>
    </row>
    <row r="376">
      <c r="A376" s="3" t="s">
        <v>14479</v>
      </c>
      <c r="B376" s="4" t="str">
        <f>_xlfn.CONCAT(D376, " / ", E376)</f>
        <v>effortless-owl / Tools</v>
      </c>
      <c r="C376" s="3" t="s">
        <v>14074</v>
      </c>
      <c r="D376" s="3" t="s">
        <v>14059</v>
      </c>
      <c r="E376" s="3" t="s">
        <v>1802</v>
      </c>
      <c r="F376" s="3">
        <v>8</v>
      </c>
      <c r="G376" s="3">
        <v>1</v>
      </c>
      <c r="H376" s="3">
        <v>8</v>
      </c>
      <c r="I376" s="3">
        <v>8</v>
      </c>
      <c r="J376" s="3" t="b">
        <v>0</v>
      </c>
      <c r="K376" s="4">
        <f>H376 - I376</f>
        <v>0</v>
      </c>
      <c r="L376" s="4">
        <f>IF(((H376 = 0)=TRUE),  0,  ROUND(100 * I376 / H376, 2))</f>
        <v>100</v>
      </c>
      <c r="M376" s="4" t="b">
        <f>K376 = 0</f>
        <v>1</v>
      </c>
      <c r="N376" s="4" t="str">
        <f>IF(((M376)=TRUE),  "",  D376)</f>
      </c>
      <c r="O376" s="4" t="str">
        <f>IF(((M376)=TRUE),  "",  E376)</f>
      </c>
      <c r="P376" s="4">
        <f>COUNTIFS(FieldDisagreements!E2:E50, A376)</f>
        <v>0</v>
      </c>
      <c r="Q376" s="4" t="str">
        <f>_xlfn.IFNA(IF(((INDEX(ConformanceSubstrates!C2:C9, MATCH(D376,ConformanceSubstrates!A2:A9, 0))="")=TRUE),  "",  INDEX(ConformanceSubstrates!C2:C9, MATCH(D376,ConformanceSubstrates!A2:A9, 0))), "")</f>
        <v>OWL / SHACL</v>
      </c>
      <c r="R376" s="4" t="str">
        <f>_xlfn.IFNA(IF(((INDEX(RulebookTables!F2:F93, MATCH(E376,RulebookTables!A2:A93, 0))="")=TRUE),  "",  INDEX(RulebookTables!F2:F93, MATCH(E376,RulebookTables!A2:A93, 0))), "")</f>
        <v>specification</v>
      </c>
      <c r="S376" s="3" t="s">
        <v>1918</v>
      </c>
    </row>
    <row r="377">
      <c r="A377" s="3" t="s">
        <v>14480</v>
      </c>
      <c r="B377" s="4" t="str">
        <f>_xlfn.CONCAT(D377, " / ", E377)</f>
        <v>effortless-owl / StepActions</v>
      </c>
      <c r="C377" s="3" t="s">
        <v>14074</v>
      </c>
      <c r="D377" s="3" t="s">
        <v>14059</v>
      </c>
      <c r="E377" s="3" t="s">
        <v>3028</v>
      </c>
      <c r="F377" s="3">
        <v>9</v>
      </c>
      <c r="G377" s="3">
        <v>1</v>
      </c>
      <c r="H377" s="3">
        <v>9</v>
      </c>
      <c r="I377" s="3">
        <v>9</v>
      </c>
      <c r="J377" s="3" t="b">
        <v>0</v>
      </c>
      <c r="K377" s="4">
        <f>H377 - I377</f>
        <v>0</v>
      </c>
      <c r="L377" s="4">
        <f>IF(((H377 = 0)=TRUE),  0,  ROUND(100 * I377 / H377, 2))</f>
        <v>100</v>
      </c>
      <c r="M377" s="4" t="b">
        <f>K377 = 0</f>
        <v>1</v>
      </c>
      <c r="N377" s="4" t="str">
        <f>IF(((M377)=TRUE),  "",  D377)</f>
      </c>
      <c r="O377" s="4" t="str">
        <f>IF(((M377)=TRUE),  "",  E377)</f>
      </c>
      <c r="P377" s="4">
        <f>COUNTIFS(FieldDisagreements!E2:E50, A377)</f>
        <v>0</v>
      </c>
      <c r="Q377" s="4" t="str">
        <f>_xlfn.IFNA(IF(((INDEX(ConformanceSubstrates!C2:C9, MATCH(D377,ConformanceSubstrates!A2:A9, 0))="")=TRUE),  "",  INDEX(ConformanceSubstrates!C2:C9, MATCH(D377,ConformanceSubstrates!A2:A9, 0))), "")</f>
        <v>OWL / SHACL</v>
      </c>
      <c r="R377" s="4" t="str">
        <f>_xlfn.IFNA(IF(((INDEX(RulebookTables!F2:F93, MATCH(E377,RulebookTables!A2:A93, 0))="")=TRUE),  "",  INDEX(RulebookTables!F2:F93, MATCH(E377,RulebookTables!A2:A93, 0))), "")</f>
        <v>specification</v>
      </c>
      <c r="S377" s="3" t="s">
        <v>1918</v>
      </c>
    </row>
    <row r="378">
      <c r="A378" s="3" t="s">
        <v>14481</v>
      </c>
      <c r="B378" s="4" t="str">
        <f>_xlfn.CONCAT(D378, " / ", E378)</f>
        <v>effortless-owl / StepFunctions</v>
      </c>
      <c r="C378" s="3" t="s">
        <v>14074</v>
      </c>
      <c r="D378" s="3" t="s">
        <v>14059</v>
      </c>
      <c r="E378" s="3" t="s">
        <v>3034</v>
      </c>
      <c r="F378" s="3">
        <v>8</v>
      </c>
      <c r="G378" s="3">
        <v>1</v>
      </c>
      <c r="H378" s="3">
        <v>8</v>
      </c>
      <c r="I378" s="3">
        <v>8</v>
      </c>
      <c r="J378" s="3" t="b">
        <v>0</v>
      </c>
      <c r="K378" s="4">
        <f>H378 - I378</f>
        <v>0</v>
      </c>
      <c r="L378" s="4">
        <f>IF(((H378 = 0)=TRUE),  0,  ROUND(100 * I378 / H378, 2))</f>
        <v>100</v>
      </c>
      <c r="M378" s="4" t="b">
        <f>K378 = 0</f>
        <v>1</v>
      </c>
      <c r="N378" s="4" t="str">
        <f>IF(((M378)=TRUE),  "",  D378)</f>
      </c>
      <c r="O378" s="4" t="str">
        <f>IF(((M378)=TRUE),  "",  E378)</f>
      </c>
      <c r="P378" s="4">
        <f>COUNTIFS(FieldDisagreements!E2:E50, A378)</f>
        <v>0</v>
      </c>
      <c r="Q378" s="4" t="str">
        <f>_xlfn.IFNA(IF(((INDEX(ConformanceSubstrates!C2:C9, MATCH(D378,ConformanceSubstrates!A2:A9, 0))="")=TRUE),  "",  INDEX(ConformanceSubstrates!C2:C9, MATCH(D378,ConformanceSubstrates!A2:A9, 0))), "")</f>
        <v>OWL / SHACL</v>
      </c>
      <c r="R378" s="4" t="str">
        <f>_xlfn.IFNA(IF(((INDEX(RulebookTables!F2:F93, MATCH(E378,RulebookTables!A2:A93, 0))="")=TRUE),  "",  INDEX(RulebookTables!F2:F93, MATCH(E378,RulebookTables!A2:A93, 0))), "")</f>
        <v>specification</v>
      </c>
      <c r="S378" s="3" t="s">
        <v>1918</v>
      </c>
    </row>
    <row r="379">
      <c r="A379" s="3" t="s">
        <v>14482</v>
      </c>
      <c r="B379" s="4" t="str">
        <f>_xlfn.CONCAT(D379, " / ", E379)</f>
        <v>effortless-owl / StepTools</v>
      </c>
      <c r="C379" s="3" t="s">
        <v>14074</v>
      </c>
      <c r="D379" s="3" t="s">
        <v>14059</v>
      </c>
      <c r="E379" s="3" t="s">
        <v>3040</v>
      </c>
      <c r="F379" s="3">
        <v>10</v>
      </c>
      <c r="G379" s="3">
        <v>1</v>
      </c>
      <c r="H379" s="3">
        <v>10</v>
      </c>
      <c r="I379" s="3">
        <v>10</v>
      </c>
      <c r="J379" s="3" t="b">
        <v>0</v>
      </c>
      <c r="K379" s="4">
        <f>H379 - I379</f>
        <v>0</v>
      </c>
      <c r="L379" s="4">
        <f>IF(((H379 = 0)=TRUE),  0,  ROUND(100 * I379 / H379, 2))</f>
        <v>100</v>
      </c>
      <c r="M379" s="4" t="b">
        <f>K379 = 0</f>
        <v>1</v>
      </c>
      <c r="N379" s="4" t="str">
        <f>IF(((M379)=TRUE),  "",  D379)</f>
      </c>
      <c r="O379" s="4" t="str">
        <f>IF(((M379)=TRUE),  "",  E379)</f>
      </c>
      <c r="P379" s="4">
        <f>COUNTIFS(FieldDisagreements!E2:E50, A379)</f>
        <v>0</v>
      </c>
      <c r="Q379" s="4" t="str">
        <f>_xlfn.IFNA(IF(((INDEX(ConformanceSubstrates!C2:C9, MATCH(D379,ConformanceSubstrates!A2:A9, 0))="")=TRUE),  "",  INDEX(ConformanceSubstrates!C2:C9, MATCH(D379,ConformanceSubstrates!A2:A9, 0))), "")</f>
        <v>OWL / SHACL</v>
      </c>
      <c r="R379" s="4" t="str">
        <f>_xlfn.IFNA(IF(((INDEX(RulebookTables!F2:F93, MATCH(E379,RulebookTables!A2:A93, 0))="")=TRUE),  "",  INDEX(RulebookTables!F2:F93, MATCH(E379,RulebookTables!A2:A93, 0))), "")</f>
        <v>specification</v>
      </c>
      <c r="S379" s="3" t="s">
        <v>1918</v>
      </c>
    </row>
    <row r="380">
      <c r="A380" s="3" t="s">
        <v>14483</v>
      </c>
      <c r="B380" s="4" t="str">
        <f>_xlfn.CONCAT(D380, " / ", E380)</f>
        <v>effortless-owl / Requirements</v>
      </c>
      <c r="C380" s="3" t="s">
        <v>14074</v>
      </c>
      <c r="D380" s="3" t="s">
        <v>14059</v>
      </c>
      <c r="E380" s="3" t="s">
        <v>1805</v>
      </c>
      <c r="F380" s="3">
        <v>13</v>
      </c>
      <c r="G380" s="3">
        <v>31</v>
      </c>
      <c r="H380" s="3">
        <v>403</v>
      </c>
      <c r="I380" s="3">
        <v>403</v>
      </c>
      <c r="J380" s="3" t="b">
        <v>0</v>
      </c>
      <c r="K380" s="4">
        <f>H380 - I380</f>
        <v>0</v>
      </c>
      <c r="L380" s="4">
        <f>IF(((H380 = 0)=TRUE),  0,  ROUND(100 * I380 / H380, 2))</f>
        <v>100</v>
      </c>
      <c r="M380" s="4" t="b">
        <f>K380 = 0</f>
        <v>1</v>
      </c>
      <c r="N380" s="4" t="str">
        <f>IF(((M380)=TRUE),  "",  D380)</f>
      </c>
      <c r="O380" s="4" t="str">
        <f>IF(((M380)=TRUE),  "",  E380)</f>
      </c>
      <c r="P380" s="4">
        <f>COUNTIFS(FieldDisagreements!E2:E50, A380)</f>
        <v>0</v>
      </c>
      <c r="Q380" s="4" t="str">
        <f>_xlfn.IFNA(IF(((INDEX(ConformanceSubstrates!C2:C9, MATCH(D380,ConformanceSubstrates!A2:A9, 0))="")=TRUE),  "",  INDEX(ConformanceSubstrates!C2:C9, MATCH(D380,ConformanceSubstrates!A2:A9, 0))), "")</f>
        <v>OWL / SHACL</v>
      </c>
      <c r="R380" s="4" t="str">
        <f>_xlfn.IFNA(IF(((INDEX(RulebookTables!F2:F93, MATCH(E380,RulebookTables!A2:A93, 0))="")=TRUE),  "",  INDEX(RulebookTables!F2:F93, MATCH(E380,RulebookTables!A2:A93, 0))), "")</f>
        <v>governance</v>
      </c>
      <c r="S380" s="3" t="s">
        <v>1918</v>
      </c>
    </row>
    <row r="381">
      <c r="A381" s="3" t="s">
        <v>14484</v>
      </c>
      <c r="B381" s="4" t="str">
        <f>_xlfn.CONCAT(D381, " / ", E381)</f>
        <v>effortless-owl / StepRequirements</v>
      </c>
      <c r="C381" s="3" t="s">
        <v>14074</v>
      </c>
      <c r="D381" s="3" t="s">
        <v>14059</v>
      </c>
      <c r="E381" s="3" t="s">
        <v>3119</v>
      </c>
      <c r="F381" s="3">
        <v>15</v>
      </c>
      <c r="G381" s="3">
        <v>10</v>
      </c>
      <c r="H381" s="3">
        <v>150</v>
      </c>
      <c r="I381" s="3">
        <v>150</v>
      </c>
      <c r="J381" s="3" t="b">
        <v>0</v>
      </c>
      <c r="K381" s="4">
        <f>H381 - I381</f>
        <v>0</v>
      </c>
      <c r="L381" s="4">
        <f>IF(((H381 = 0)=TRUE),  0,  ROUND(100 * I381 / H381, 2))</f>
        <v>100</v>
      </c>
      <c r="M381" s="4" t="b">
        <f>K381 = 0</f>
        <v>1</v>
      </c>
      <c r="N381" s="4" t="str">
        <f>IF(((M381)=TRUE),  "",  D381)</f>
      </c>
      <c r="O381" s="4" t="str">
        <f>IF(((M381)=TRUE),  "",  E381)</f>
      </c>
      <c r="P381" s="4">
        <f>COUNTIFS(FieldDisagreements!E2:E50, A381)</f>
        <v>0</v>
      </c>
      <c r="Q381" s="4" t="str">
        <f>_xlfn.IFNA(IF(((INDEX(ConformanceSubstrates!C2:C9, MATCH(D381,ConformanceSubstrates!A2:A9, 0))="")=TRUE),  "",  INDEX(ConformanceSubstrates!C2:C9, MATCH(D381,ConformanceSubstrates!A2:A9, 0))), "")</f>
        <v>OWL / SHACL</v>
      </c>
      <c r="R381" s="4" t="str">
        <f>_xlfn.IFNA(IF(((INDEX(RulebookTables!F2:F93, MATCH(E381,RulebookTables!A2:A93, 0))="")=TRUE),  "",  INDEX(RulebookTables!F2:F93, MATCH(E381,RulebookTables!A2:A93, 0))), "")</f>
        <v>specification</v>
      </c>
      <c r="S381" s="3" t="s">
        <v>1918</v>
      </c>
    </row>
    <row r="382">
      <c r="A382" s="3" t="s">
        <v>14485</v>
      </c>
      <c r="B382" s="4" t="str">
        <f>_xlfn.CONCAT(D382, " / ", E382)</f>
        <v>effortless-owl / StepVerifications</v>
      </c>
      <c r="C382" s="3" t="s">
        <v>14074</v>
      </c>
      <c r="D382" s="3" t="s">
        <v>14059</v>
      </c>
      <c r="E382" s="3" t="s">
        <v>1808</v>
      </c>
      <c r="F382" s="3">
        <v>11</v>
      </c>
      <c r="G382" s="3">
        <v>1</v>
      </c>
      <c r="H382" s="3">
        <v>11</v>
      </c>
      <c r="I382" s="3">
        <v>11</v>
      </c>
      <c r="J382" s="3" t="b">
        <v>0</v>
      </c>
      <c r="K382" s="4">
        <f>H382 - I382</f>
        <v>0</v>
      </c>
      <c r="L382" s="4">
        <f>IF(((H382 = 0)=TRUE),  0,  ROUND(100 * I382 / H382, 2))</f>
        <v>100</v>
      </c>
      <c r="M382" s="4" t="b">
        <f>K382 = 0</f>
        <v>1</v>
      </c>
      <c r="N382" s="4" t="str">
        <f>IF(((M382)=TRUE),  "",  D382)</f>
      </c>
      <c r="O382" s="4" t="str">
        <f>IF(((M382)=TRUE),  "",  E382)</f>
      </c>
      <c r="P382" s="4">
        <f>COUNTIFS(FieldDisagreements!E2:E50, A382)</f>
        <v>0</v>
      </c>
      <c r="Q382" s="4" t="str">
        <f>_xlfn.IFNA(IF(((INDEX(ConformanceSubstrates!C2:C9, MATCH(D382,ConformanceSubstrates!A2:A9, 0))="")=TRUE),  "",  INDEX(ConformanceSubstrates!C2:C9, MATCH(D382,ConformanceSubstrates!A2:A9, 0))), "")</f>
        <v>OWL / SHACL</v>
      </c>
      <c r="R382" s="4" t="str">
        <f>_xlfn.IFNA(IF(((INDEX(RulebookTables!F2:F93, MATCH(E382,RulebookTables!A2:A93, 0))="")=TRUE),  "",  INDEX(RulebookTables!F2:F93, MATCH(E382,RulebookTables!A2:A93, 0))), "")</f>
        <v>specification</v>
      </c>
      <c r="S382" s="3" t="s">
        <v>1918</v>
      </c>
    </row>
    <row r="383">
      <c r="A383" s="3" t="s">
        <v>14486</v>
      </c>
      <c r="B383" s="4" t="str">
        <f>_xlfn.CONCAT(D383, " / ", E383)</f>
        <v>effortless-owl / Rationales</v>
      </c>
      <c r="C383" s="3" t="s">
        <v>14074</v>
      </c>
      <c r="D383" s="3" t="s">
        <v>14059</v>
      </c>
      <c r="E383" s="3" t="s">
        <v>3151</v>
      </c>
      <c r="F383" s="3">
        <v>4</v>
      </c>
      <c r="G383" s="3">
        <v>1</v>
      </c>
      <c r="H383" s="3">
        <v>4</v>
      </c>
      <c r="I383" s="3">
        <v>4</v>
      </c>
      <c r="J383" s="3" t="b">
        <v>0</v>
      </c>
      <c r="K383" s="4">
        <f>H383 - I383</f>
        <v>0</v>
      </c>
      <c r="L383" s="4">
        <f>IF(((H383 = 0)=TRUE),  0,  ROUND(100 * I383 / H383, 2))</f>
        <v>100</v>
      </c>
      <c r="M383" s="4" t="b">
        <f>K383 = 0</f>
        <v>1</v>
      </c>
      <c r="N383" s="4" t="str">
        <f>IF(((M383)=TRUE),  "",  D383)</f>
      </c>
      <c r="O383" s="4" t="str">
        <f>IF(((M383)=TRUE),  "",  E383)</f>
      </c>
      <c r="P383" s="4">
        <f>COUNTIFS(FieldDisagreements!E2:E50, A383)</f>
        <v>0</v>
      </c>
      <c r="Q383" s="4" t="str">
        <f>_xlfn.IFNA(IF(((INDEX(ConformanceSubstrates!C2:C9, MATCH(D383,ConformanceSubstrates!A2:A9, 0))="")=TRUE),  "",  INDEX(ConformanceSubstrates!C2:C9, MATCH(D383,ConformanceSubstrates!A2:A9, 0))), "")</f>
        <v>OWL / SHACL</v>
      </c>
      <c r="R383" s="4" t="str">
        <f>_xlfn.IFNA(IF(((INDEX(RulebookTables!F2:F93, MATCH(E383,RulebookTables!A2:A93, 0))="")=TRUE),  "",  INDEX(RulebookTables!F2:F93, MATCH(E383,RulebookTables!A2:A93, 0))), "")</f>
        <v>governance</v>
      </c>
      <c r="S383" s="3" t="s">
        <v>1918</v>
      </c>
    </row>
    <row r="384">
      <c r="A384" s="3" t="s">
        <v>14487</v>
      </c>
      <c r="B384" s="4" t="str">
        <f>_xlfn.CONCAT(D384, " / ", E384)</f>
        <v>effortless-owl / Exceptions</v>
      </c>
      <c r="C384" s="3" t="s">
        <v>14074</v>
      </c>
      <c r="D384" s="3" t="s">
        <v>14059</v>
      </c>
      <c r="E384" s="3" t="s">
        <v>3161</v>
      </c>
      <c r="F384" s="3">
        <v>4</v>
      </c>
      <c r="G384" s="3">
        <v>2</v>
      </c>
      <c r="H384" s="3">
        <v>8</v>
      </c>
      <c r="I384" s="3">
        <v>8</v>
      </c>
      <c r="J384" s="3" t="b">
        <v>0</v>
      </c>
      <c r="K384" s="4">
        <f>H384 - I384</f>
        <v>0</v>
      </c>
      <c r="L384" s="4">
        <f>IF(((H384 = 0)=TRUE),  0,  ROUND(100 * I384 / H384, 2))</f>
        <v>100</v>
      </c>
      <c r="M384" s="4" t="b">
        <f>K384 = 0</f>
        <v>1</v>
      </c>
      <c r="N384" s="4" t="str">
        <f>IF(((M384)=TRUE),  "",  D384)</f>
      </c>
      <c r="O384" s="4" t="str">
        <f>IF(((M384)=TRUE),  "",  E384)</f>
      </c>
      <c r="P384" s="4">
        <f>COUNTIFS(FieldDisagreements!E2:E50, A384)</f>
        <v>0</v>
      </c>
      <c r="Q384" s="4" t="str">
        <f>_xlfn.IFNA(IF(((INDEX(ConformanceSubstrates!C2:C9, MATCH(D384,ConformanceSubstrates!A2:A9, 0))="")=TRUE),  "",  INDEX(ConformanceSubstrates!C2:C9, MATCH(D384,ConformanceSubstrates!A2:A9, 0))), "")</f>
        <v>OWL / SHACL</v>
      </c>
      <c r="R384" s="4" t="str">
        <f>_xlfn.IFNA(IF(((INDEX(RulebookTables!F2:F93, MATCH(E384,RulebookTables!A2:A93, 0))="")=TRUE),  "",  INDEX(RulebookTables!F2:F93, MATCH(E384,RulebookTables!A2:A93, 0))), "")</f>
        <v>governance</v>
      </c>
      <c r="S384" s="3" t="s">
        <v>1918</v>
      </c>
    </row>
    <row r="385">
      <c r="A385" s="3" t="s">
        <v>14488</v>
      </c>
      <c r="B385" s="4" t="str">
        <f>_xlfn.CONCAT(D385, " / ", E385)</f>
        <v>effortless-owl / Resources</v>
      </c>
      <c r="C385" s="3" t="s">
        <v>14074</v>
      </c>
      <c r="D385" s="3" t="s">
        <v>14059</v>
      </c>
      <c r="E385" s="3" t="s">
        <v>1811</v>
      </c>
      <c r="F385" s="3">
        <v>8</v>
      </c>
      <c r="G385" s="3">
        <v>2</v>
      </c>
      <c r="H385" s="3">
        <v>16</v>
      </c>
      <c r="I385" s="3">
        <v>16</v>
      </c>
      <c r="J385" s="3" t="b">
        <v>0</v>
      </c>
      <c r="K385" s="4">
        <f>H385 - I385</f>
        <v>0</v>
      </c>
      <c r="L385" s="4">
        <f>IF(((H385 = 0)=TRUE),  0,  ROUND(100 * I385 / H385, 2))</f>
        <v>100</v>
      </c>
      <c r="M385" s="4" t="b">
        <f>K385 = 0</f>
        <v>1</v>
      </c>
      <c r="N385" s="4" t="str">
        <f>IF(((M385)=TRUE),  "",  D385)</f>
      </c>
      <c r="O385" s="4" t="str">
        <f>IF(((M385)=TRUE),  "",  E385)</f>
      </c>
      <c r="P385" s="4">
        <f>COUNTIFS(FieldDisagreements!E2:E50, A385)</f>
        <v>0</v>
      </c>
      <c r="Q385" s="4" t="str">
        <f>_xlfn.IFNA(IF(((INDEX(ConformanceSubstrates!C2:C9, MATCH(D385,ConformanceSubstrates!A2:A9, 0))="")=TRUE),  "",  INDEX(ConformanceSubstrates!C2:C9, MATCH(D385,ConformanceSubstrates!A2:A9, 0))), "")</f>
        <v>OWL / SHACL</v>
      </c>
      <c r="R385" s="4" t="str">
        <f>_xlfn.IFNA(IF(((INDEX(RulebookTables!F2:F93, MATCH(E385,RulebookTables!A2:A93, 0))="")=TRUE),  "",  INDEX(RulebookTables!F2:F93, MATCH(E385,RulebookTables!A2:A93, 0))), "")</f>
        <v>domain</v>
      </c>
      <c r="S385" s="3" t="s">
        <v>1918</v>
      </c>
    </row>
    <row r="386">
      <c r="A386" s="3" t="s">
        <v>14489</v>
      </c>
      <c r="B386" s="4" t="str">
        <f>_xlfn.CONCAT(D386, " / ", E386)</f>
        <v>effortless-owl / ProcedureResources</v>
      </c>
      <c r="C386" s="3" t="s">
        <v>14074</v>
      </c>
      <c r="D386" s="3" t="s">
        <v>14059</v>
      </c>
      <c r="E386" s="3" t="s">
        <v>3187</v>
      </c>
      <c r="F386" s="3">
        <v>8</v>
      </c>
      <c r="G386" s="3">
        <v>2</v>
      </c>
      <c r="H386" s="3">
        <v>16</v>
      </c>
      <c r="I386" s="3">
        <v>16</v>
      </c>
      <c r="J386" s="3" t="b">
        <v>0</v>
      </c>
      <c r="K386" s="4">
        <f>H386 - I386</f>
        <v>0</v>
      </c>
      <c r="L386" s="4">
        <f>IF(((H386 = 0)=TRUE),  0,  ROUND(100 * I386 / H386, 2))</f>
        <v>100</v>
      </c>
      <c r="M386" s="4" t="b">
        <f>K386 = 0</f>
        <v>1</v>
      </c>
      <c r="N386" s="4" t="str">
        <f>IF(((M386)=TRUE),  "",  D386)</f>
      </c>
      <c r="O386" s="4" t="str">
        <f>IF(((M386)=TRUE),  "",  E386)</f>
      </c>
      <c r="P386" s="4">
        <f>COUNTIFS(FieldDisagreements!E2:E50, A386)</f>
        <v>0</v>
      </c>
      <c r="Q386" s="4" t="str">
        <f>_xlfn.IFNA(IF(((INDEX(ConformanceSubstrates!C2:C9, MATCH(D386,ConformanceSubstrates!A2:A9, 0))="")=TRUE),  "",  INDEX(ConformanceSubstrates!C2:C9, MATCH(D386,ConformanceSubstrates!A2:A9, 0))), "")</f>
        <v>OWL / SHACL</v>
      </c>
      <c r="R386" s="4" t="str">
        <f>_xlfn.IFNA(IF(((INDEX(RulebookTables!F2:F93, MATCH(E386,RulebookTables!A2:A93, 0))="")=TRUE),  "",  INDEX(RulebookTables!F2:F93, MATCH(E386,RulebookTables!A2:A93, 0))), "")</f>
        <v>specification</v>
      </c>
      <c r="S386" s="3" t="s">
        <v>1918</v>
      </c>
    </row>
    <row r="387">
      <c r="A387" s="3" t="s">
        <v>14490</v>
      </c>
      <c r="B387" s="4" t="str">
        <f>_xlfn.CONCAT(D387, " / ", E387)</f>
        <v>effortless-owl / ElicitationSessions</v>
      </c>
      <c r="C387" s="3" t="s">
        <v>14074</v>
      </c>
      <c r="D387" s="3" t="s">
        <v>14059</v>
      </c>
      <c r="E387" s="3" t="s">
        <v>1855</v>
      </c>
      <c r="F387" s="3">
        <v>3</v>
      </c>
      <c r="G387" s="3">
        <v>10</v>
      </c>
      <c r="H387" s="3">
        <v>30</v>
      </c>
      <c r="I387" s="3">
        <v>30</v>
      </c>
      <c r="J387" s="3" t="b">
        <v>0</v>
      </c>
      <c r="K387" s="4">
        <f>H387 - I387</f>
        <v>0</v>
      </c>
      <c r="L387" s="4">
        <f>IF(((H387 = 0)=TRUE),  0,  ROUND(100 * I387 / H387, 2))</f>
        <v>100</v>
      </c>
      <c r="M387" s="4" t="b">
        <f>K387 = 0</f>
        <v>1</v>
      </c>
      <c r="N387" s="4" t="str">
        <f>IF(((M387)=TRUE),  "",  D387)</f>
      </c>
      <c r="O387" s="4" t="str">
        <f>IF(((M387)=TRUE),  "",  E387)</f>
      </c>
      <c r="P387" s="4">
        <f>COUNTIFS(FieldDisagreements!E2:E50, A387)</f>
        <v>0</v>
      </c>
      <c r="Q387" s="4" t="str">
        <f>_xlfn.IFNA(IF(((INDEX(ConformanceSubstrates!C2:C9, MATCH(D387,ConformanceSubstrates!A2:A9, 0))="")=TRUE),  "",  INDEX(ConformanceSubstrates!C2:C9, MATCH(D387,ConformanceSubstrates!A2:A9, 0))), "")</f>
        <v>OWL / SHACL</v>
      </c>
      <c r="R387" s="4" t="str">
        <f>_xlfn.IFNA(IF(((INDEX(RulebookTables!F2:F93, MATCH(E387,RulebookTables!A2:A93, 0))="")=TRUE),  "",  INDEX(RulebookTables!F2:F93, MATCH(E387,RulebookTables!A2:A93, 0))), "")</f>
        <v>knowledge</v>
      </c>
      <c r="S387" s="3" t="s">
        <v>1918</v>
      </c>
    </row>
    <row r="388">
      <c r="A388" s="3" t="s">
        <v>14491</v>
      </c>
      <c r="B388" s="4" t="str">
        <f>_xlfn.CONCAT(D388, " / ", E388)</f>
        <v>effortless-owl / KnowledgeFragments</v>
      </c>
      <c r="C388" s="3" t="s">
        <v>14074</v>
      </c>
      <c r="D388" s="3" t="s">
        <v>14059</v>
      </c>
      <c r="E388" s="3" t="s">
        <v>1851</v>
      </c>
      <c r="F388" s="3">
        <v>7</v>
      </c>
      <c r="G388" s="3">
        <v>65</v>
      </c>
      <c r="H388" s="3">
        <v>455</v>
      </c>
      <c r="I388" s="3">
        <v>446</v>
      </c>
      <c r="J388" s="3" t="b">
        <v>0</v>
      </c>
      <c r="K388" s="4">
        <f>H388 - I388</f>
        <v>9</v>
      </c>
      <c r="L388" s="4">
        <f>IF(((H388 = 0)=TRUE),  0,  ROUND(100 * I388 / H388, 2))</f>
        <v>98.02</v>
      </c>
      <c r="M388" s="4" t="b">
        <f>K388 = 0</f>
        <v>0</v>
      </c>
      <c r="N388" s="4" t="str">
        <f>IF(((M388)=TRUE),  "",  D388)</f>
        <v>effortless-owl</v>
      </c>
      <c r="O388" s="4" t="str">
        <f>IF(((M388)=TRUE),  "",  E388)</f>
        <v>KnowledgeFragments</v>
      </c>
      <c r="P388" s="4">
        <f>COUNTIFS(FieldDisagreements!E2:E50, A388)</f>
        <v>5</v>
      </c>
      <c r="Q388" s="4" t="str">
        <f>_xlfn.IFNA(IF(((INDEX(ConformanceSubstrates!C2:C9, MATCH(D388,ConformanceSubstrates!A2:A9, 0))="")=TRUE),  "",  INDEX(ConformanceSubstrates!C2:C9, MATCH(D388,ConformanceSubstrates!A2:A9, 0))), "")</f>
        <v>OWL / SHACL</v>
      </c>
      <c r="R388" s="4" t="str">
        <f>_xlfn.IFNA(IF(((INDEX(RulebookTables!F2:F93, MATCH(E388,RulebookTables!A2:A93, 0))="")=TRUE),  "",  INDEX(RulebookTables!F2:F93, MATCH(E388,RulebookTables!A2:A93, 0))), "")</f>
        <v>knowledge</v>
      </c>
      <c r="S388" s="3" t="s">
        <v>1918</v>
      </c>
    </row>
    <row r="389">
      <c r="A389" s="3" t="s">
        <v>14492</v>
      </c>
      <c r="B389" s="4" t="str">
        <f>_xlfn.CONCAT(D389, " / ", E389)</f>
        <v>effortless-owl / KnowledgeGaps</v>
      </c>
      <c r="C389" s="3" t="s">
        <v>14074</v>
      </c>
      <c r="D389" s="3" t="s">
        <v>14059</v>
      </c>
      <c r="E389" s="3" t="s">
        <v>3368</v>
      </c>
      <c r="F389" s="3">
        <v>8</v>
      </c>
      <c r="G389" s="3">
        <v>16</v>
      </c>
      <c r="H389" s="3">
        <v>128</v>
      </c>
      <c r="I389" s="3">
        <v>128</v>
      </c>
      <c r="J389" s="3" t="b">
        <v>0</v>
      </c>
      <c r="K389" s="4">
        <f>H389 - I389</f>
        <v>0</v>
      </c>
      <c r="L389" s="4">
        <f>IF(((H389 = 0)=TRUE),  0,  ROUND(100 * I389 / H389, 2))</f>
        <v>100</v>
      </c>
      <c r="M389" s="4" t="b">
        <f>K389 = 0</f>
        <v>1</v>
      </c>
      <c r="N389" s="4" t="str">
        <f>IF(((M389)=TRUE),  "",  D389)</f>
      </c>
      <c r="O389" s="4" t="str">
        <f>IF(((M389)=TRUE),  "",  E389)</f>
      </c>
      <c r="P389" s="4">
        <f>COUNTIFS(FieldDisagreements!E2:E50, A389)</f>
        <v>0</v>
      </c>
      <c r="Q389" s="4" t="str">
        <f>_xlfn.IFNA(IF(((INDEX(ConformanceSubstrates!C2:C9, MATCH(D389,ConformanceSubstrates!A2:A9, 0))="")=TRUE),  "",  INDEX(ConformanceSubstrates!C2:C9, MATCH(D389,ConformanceSubstrates!A2:A9, 0))), "")</f>
        <v>OWL / SHACL</v>
      </c>
      <c r="R389" s="4" t="str">
        <f>_xlfn.IFNA(IF(((INDEX(RulebookTables!F2:F93, MATCH(E389,RulebookTables!A2:A93, 0))="")=TRUE),  "",  INDEX(RulebookTables!F2:F93, MATCH(E389,RulebookTables!A2:A93, 0))), "")</f>
        <v>knowledge</v>
      </c>
      <c r="S389" s="3" t="s">
        <v>1918</v>
      </c>
    </row>
    <row r="390">
      <c r="A390" s="3" t="s">
        <v>14493</v>
      </c>
      <c r="B390" s="4" t="str">
        <f>_xlfn.CONCAT(D390, " / ", E390)</f>
        <v>effortless-owl / FAQs</v>
      </c>
      <c r="C390" s="3" t="s">
        <v>14074</v>
      </c>
      <c r="D390" s="3" t="s">
        <v>14059</v>
      </c>
      <c r="E390" s="3" t="s">
        <v>1845</v>
      </c>
      <c r="F390" s="3">
        <v>3</v>
      </c>
      <c r="G390" s="3">
        <v>1</v>
      </c>
      <c r="H390" s="3">
        <v>3</v>
      </c>
      <c r="I390" s="3">
        <v>3</v>
      </c>
      <c r="J390" s="3" t="b">
        <v>0</v>
      </c>
      <c r="K390" s="4">
        <f>H390 - I390</f>
        <v>0</v>
      </c>
      <c r="L390" s="4">
        <f>IF(((H390 = 0)=TRUE),  0,  ROUND(100 * I390 / H390, 2))</f>
        <v>100</v>
      </c>
      <c r="M390" s="4" t="b">
        <f>K390 = 0</f>
        <v>1</v>
      </c>
      <c r="N390" s="4" t="str">
        <f>IF(((M390)=TRUE),  "",  D390)</f>
      </c>
      <c r="O390" s="4" t="str">
        <f>IF(((M390)=TRUE),  "",  E390)</f>
      </c>
      <c r="P390" s="4">
        <f>COUNTIFS(FieldDisagreements!E2:E50, A390)</f>
        <v>0</v>
      </c>
      <c r="Q390" s="4" t="str">
        <f>_xlfn.IFNA(IF(((INDEX(ConformanceSubstrates!C2:C9, MATCH(D390,ConformanceSubstrates!A2:A9, 0))="")=TRUE),  "",  INDEX(ConformanceSubstrates!C2:C9, MATCH(D390,ConformanceSubstrates!A2:A9, 0))), "")</f>
        <v>OWL / SHACL</v>
      </c>
      <c r="R390" s="4" t="str">
        <f>_xlfn.IFNA(IF(((INDEX(RulebookTables!F2:F93, MATCH(E390,RulebookTables!A2:A93, 0))="")=TRUE),  "",  INDEX(RulebookTables!F2:F93, MATCH(E390,RulebookTables!A2:A93, 0))), "")</f>
        <v>knowledge</v>
      </c>
      <c r="S390" s="3" t="s">
        <v>1918</v>
      </c>
    </row>
    <row r="391">
      <c r="A391" s="3" t="s">
        <v>14494</v>
      </c>
      <c r="B391" s="4" t="str">
        <f>_xlfn.CONCAT(D391, " / ", E391)</f>
        <v>effortless-owl / Explanations</v>
      </c>
      <c r="C391" s="3" t="s">
        <v>14074</v>
      </c>
      <c r="D391" s="3" t="s">
        <v>14059</v>
      </c>
      <c r="E391" s="3" t="s">
        <v>1848</v>
      </c>
      <c r="F391" s="3">
        <v>2</v>
      </c>
      <c r="G391" s="3">
        <v>1</v>
      </c>
      <c r="H391" s="3">
        <v>2</v>
      </c>
      <c r="I391" s="3">
        <v>2</v>
      </c>
      <c r="J391" s="3" t="b">
        <v>0</v>
      </c>
      <c r="K391" s="4">
        <f>H391 - I391</f>
        <v>0</v>
      </c>
      <c r="L391" s="4">
        <f>IF(((H391 = 0)=TRUE),  0,  ROUND(100 * I391 / H391, 2))</f>
        <v>100</v>
      </c>
      <c r="M391" s="4" t="b">
        <f>K391 = 0</f>
        <v>1</v>
      </c>
      <c r="N391" s="4" t="str">
        <f>IF(((M391)=TRUE),  "",  D391)</f>
      </c>
      <c r="O391" s="4" t="str">
        <f>IF(((M391)=TRUE),  "",  E391)</f>
      </c>
      <c r="P391" s="4">
        <f>COUNTIFS(FieldDisagreements!E2:E50, A391)</f>
        <v>0</v>
      </c>
      <c r="Q391" s="4" t="str">
        <f>_xlfn.IFNA(IF(((INDEX(ConformanceSubstrates!C2:C9, MATCH(D391,ConformanceSubstrates!A2:A9, 0))="")=TRUE),  "",  INDEX(ConformanceSubstrates!C2:C9, MATCH(D391,ConformanceSubstrates!A2:A9, 0))), "")</f>
        <v>OWL / SHACL</v>
      </c>
      <c r="R391" s="4" t="str">
        <f>_xlfn.IFNA(IF(((INDEX(RulebookTables!F2:F93, MATCH(E391,RulebookTables!A2:A93, 0))="")=TRUE),  "",  INDEX(RulebookTables!F2:F93, MATCH(E391,RulebookTables!A2:A93, 0))), "")</f>
        <v>knowledge</v>
      </c>
      <c r="S391" s="3" t="s">
        <v>1918</v>
      </c>
    </row>
    <row r="392">
      <c r="A392" s="3" t="s">
        <v>14495</v>
      </c>
      <c r="B392" s="4" t="str">
        <f>_xlfn.CONCAT(D392, " / ", E392)</f>
        <v>effortless-owl / ProcedureExecutions</v>
      </c>
      <c r="C392" s="3" t="s">
        <v>14074</v>
      </c>
      <c r="D392" s="3" t="s">
        <v>14059</v>
      </c>
      <c r="E392" s="3" t="s">
        <v>1824</v>
      </c>
      <c r="F392" s="3">
        <v>2</v>
      </c>
      <c r="G392" s="3">
        <v>69</v>
      </c>
      <c r="H392" s="3">
        <v>138</v>
      </c>
      <c r="I392" s="3">
        <v>138</v>
      </c>
      <c r="J392" s="3" t="b">
        <v>0</v>
      </c>
      <c r="K392" s="4">
        <f>H392 - I392</f>
        <v>0</v>
      </c>
      <c r="L392" s="4">
        <f>IF(((H392 = 0)=TRUE),  0,  ROUND(100 * I392 / H392, 2))</f>
        <v>100</v>
      </c>
      <c r="M392" s="4" t="b">
        <f>K392 = 0</f>
        <v>1</v>
      </c>
      <c r="N392" s="4" t="str">
        <f>IF(((M392)=TRUE),  "",  D392)</f>
      </c>
      <c r="O392" s="4" t="str">
        <f>IF(((M392)=TRUE),  "",  E392)</f>
      </c>
      <c r="P392" s="4">
        <f>COUNTIFS(FieldDisagreements!E2:E50, A392)</f>
        <v>0</v>
      </c>
      <c r="Q392" s="4" t="str">
        <f>_xlfn.IFNA(IF(((INDEX(ConformanceSubstrates!C2:C9, MATCH(D392,ConformanceSubstrates!A2:A9, 0))="")=TRUE),  "",  INDEX(ConformanceSubstrates!C2:C9, MATCH(D392,ConformanceSubstrates!A2:A9, 0))), "")</f>
        <v>OWL / SHACL</v>
      </c>
      <c r="R392" s="4" t="str">
        <f>_xlfn.IFNA(IF(((INDEX(RulebookTables!F2:F93, MATCH(E392,RulebookTables!A2:A93, 0))="")=TRUE),  "",  INDEX(RulebookTables!F2:F93, MATCH(E392,RulebookTables!A2:A93, 0))), "")</f>
        <v>specification</v>
      </c>
      <c r="S392" s="3" t="s">
        <v>1918</v>
      </c>
    </row>
    <row r="393">
      <c r="A393" s="3" t="s">
        <v>14496</v>
      </c>
      <c r="B393" s="4" t="str">
        <f>_xlfn.CONCAT(D393, " / ", E393)</f>
        <v>effortless-owl / StepExecutions</v>
      </c>
      <c r="C393" s="3" t="s">
        <v>14074</v>
      </c>
      <c r="D393" s="3" t="s">
        <v>14059</v>
      </c>
      <c r="E393" s="3" t="s">
        <v>1827</v>
      </c>
      <c r="F393" s="3">
        <v>12</v>
      </c>
      <c r="G393" s="3">
        <v>99</v>
      </c>
      <c r="H393" s="3">
        <v>1188</v>
      </c>
      <c r="I393" s="3">
        <v>1188</v>
      </c>
      <c r="J393" s="3" t="b">
        <v>0</v>
      </c>
      <c r="K393" s="4">
        <f>H393 - I393</f>
        <v>0</v>
      </c>
      <c r="L393" s="4">
        <f>IF(((H393 = 0)=TRUE),  0,  ROUND(100 * I393 / H393, 2))</f>
        <v>100</v>
      </c>
      <c r="M393" s="4" t="b">
        <f>K393 = 0</f>
        <v>1</v>
      </c>
      <c r="N393" s="4" t="str">
        <f>IF(((M393)=TRUE),  "",  D393)</f>
      </c>
      <c r="O393" s="4" t="str">
        <f>IF(((M393)=TRUE),  "",  E393)</f>
      </c>
      <c r="P393" s="4">
        <f>COUNTIFS(FieldDisagreements!E2:E50, A393)</f>
        <v>0</v>
      </c>
      <c r="Q393" s="4" t="str">
        <f>_xlfn.IFNA(IF(((INDEX(ConformanceSubstrates!C2:C9, MATCH(D393,ConformanceSubstrates!A2:A9, 0))="")=TRUE),  "",  INDEX(ConformanceSubstrates!C2:C9, MATCH(D393,ConformanceSubstrates!A2:A9, 0))), "")</f>
        <v>OWL / SHACL</v>
      </c>
      <c r="R393" s="4" t="str">
        <f>_xlfn.IFNA(IF(((INDEX(RulebookTables!F2:F93, MATCH(E393,RulebookTables!A2:A93, 0))="")=TRUE),  "",  INDEX(RulebookTables!F2:F93, MATCH(E393,RulebookTables!A2:A93, 0))), "")</f>
        <v>specification</v>
      </c>
      <c r="S393" s="3" t="s">
        <v>1918</v>
      </c>
    </row>
    <row r="394">
      <c r="A394" s="3" t="s">
        <v>14497</v>
      </c>
      <c r="B394" s="4" t="str">
        <f>_xlfn.CONCAT(D394, " / ", E394)</f>
        <v>effortless-owl / RequirementSatisfactions</v>
      </c>
      <c r="C394" s="3" t="s">
        <v>14074</v>
      </c>
      <c r="D394" s="3" t="s">
        <v>14059</v>
      </c>
      <c r="E394" s="3" t="s">
        <v>1830</v>
      </c>
      <c r="F394" s="3">
        <v>8</v>
      </c>
      <c r="G394" s="3">
        <v>38</v>
      </c>
      <c r="H394" s="3">
        <v>304</v>
      </c>
      <c r="I394" s="3">
        <v>304</v>
      </c>
      <c r="J394" s="3" t="b">
        <v>0</v>
      </c>
      <c r="K394" s="4">
        <f>H394 - I394</f>
        <v>0</v>
      </c>
      <c r="L394" s="4">
        <f>IF(((H394 = 0)=TRUE),  0,  ROUND(100 * I394 / H394, 2))</f>
        <v>100</v>
      </c>
      <c r="M394" s="4" t="b">
        <f>K394 = 0</f>
        <v>1</v>
      </c>
      <c r="N394" s="4" t="str">
        <f>IF(((M394)=TRUE),  "",  D394)</f>
      </c>
      <c r="O394" s="4" t="str">
        <f>IF(((M394)=TRUE),  "",  E394)</f>
      </c>
      <c r="P394" s="4">
        <f>COUNTIFS(FieldDisagreements!E2:E50, A394)</f>
        <v>0</v>
      </c>
      <c r="Q394" s="4" t="str">
        <f>_xlfn.IFNA(IF(((INDEX(ConformanceSubstrates!C2:C9, MATCH(D394,ConformanceSubstrates!A2:A9, 0))="")=TRUE),  "",  INDEX(ConformanceSubstrates!C2:C9, MATCH(D394,ConformanceSubstrates!A2:A9, 0))), "")</f>
        <v>OWL / SHACL</v>
      </c>
      <c r="R394" s="4" t="str">
        <f>_xlfn.IFNA(IF(((INDEX(RulebookTables!F2:F93, MATCH(E394,RulebookTables!A2:A93, 0))="")=TRUE),  "",  INDEX(RulebookTables!F2:F93, MATCH(E394,RulebookTables!A2:A93, 0))), "")</f>
        <v>execution</v>
      </c>
      <c r="S394" s="3" t="s">
        <v>1918</v>
      </c>
    </row>
    <row r="395">
      <c r="A395" s="3" t="s">
        <v>14498</v>
      </c>
      <c r="B395" s="4" t="str">
        <f>_xlfn.CONCAT(D395, " / ", E395)</f>
        <v>effortless-owl / Errors</v>
      </c>
      <c r="C395" s="3" t="s">
        <v>14074</v>
      </c>
      <c r="D395" s="3" t="s">
        <v>14059</v>
      </c>
      <c r="E395" s="3" t="s">
        <v>1833</v>
      </c>
      <c r="F395" s="3">
        <v>2</v>
      </c>
      <c r="G395" s="3">
        <v>1</v>
      </c>
      <c r="H395" s="3">
        <v>2</v>
      </c>
      <c r="I395" s="3">
        <v>2</v>
      </c>
      <c r="J395" s="3" t="b">
        <v>0</v>
      </c>
      <c r="K395" s="4">
        <f>H395 - I395</f>
        <v>0</v>
      </c>
      <c r="L395" s="4">
        <f>IF(((H395 = 0)=TRUE),  0,  ROUND(100 * I395 / H395, 2))</f>
        <v>100</v>
      </c>
      <c r="M395" s="4" t="b">
        <f>K395 = 0</f>
        <v>1</v>
      </c>
      <c r="N395" s="4" t="str">
        <f>IF(((M395)=TRUE),  "",  D395)</f>
      </c>
      <c r="O395" s="4" t="str">
        <f>IF(((M395)=TRUE),  "",  E395)</f>
      </c>
      <c r="P395" s="4">
        <f>COUNTIFS(FieldDisagreements!E2:E50, A395)</f>
        <v>0</v>
      </c>
      <c r="Q395" s="4" t="str">
        <f>_xlfn.IFNA(IF(((INDEX(ConformanceSubstrates!C2:C9, MATCH(D395,ConformanceSubstrates!A2:A9, 0))="")=TRUE),  "",  INDEX(ConformanceSubstrates!C2:C9, MATCH(D395,ConformanceSubstrates!A2:A9, 0))), "")</f>
        <v>OWL / SHACL</v>
      </c>
      <c r="R395" s="4" t="str">
        <f>_xlfn.IFNA(IF(((INDEX(RulebookTables!F2:F93, MATCH(E395,RulebookTables!A2:A93, 0))="")=TRUE),  "",  INDEX(RulebookTables!F2:F93, MATCH(E395,RulebookTables!A2:A93, 0))), "")</f>
        <v>execution</v>
      </c>
      <c r="S395" s="3" t="s">
        <v>1918</v>
      </c>
    </row>
    <row r="396">
      <c r="A396" s="3" t="s">
        <v>14499</v>
      </c>
      <c r="B396" s="4" t="str">
        <f>_xlfn.CONCAT(D396, " / ", E396)</f>
        <v>effortless-owl / IssueOccurrences</v>
      </c>
      <c r="C396" s="3" t="s">
        <v>14074</v>
      </c>
      <c r="D396" s="3" t="s">
        <v>14059</v>
      </c>
      <c r="E396" s="3" t="s">
        <v>1836</v>
      </c>
      <c r="F396" s="3">
        <v>2</v>
      </c>
      <c r="G396" s="3">
        <v>3</v>
      </c>
      <c r="H396" s="3">
        <v>6</v>
      </c>
      <c r="I396" s="3">
        <v>6</v>
      </c>
      <c r="J396" s="3" t="b">
        <v>0</v>
      </c>
      <c r="K396" s="4">
        <f>H396 - I396</f>
        <v>0</v>
      </c>
      <c r="L396" s="4">
        <f>IF(((H396 = 0)=TRUE),  0,  ROUND(100 * I396 / H396, 2))</f>
        <v>100</v>
      </c>
      <c r="M396" s="4" t="b">
        <f>K396 = 0</f>
        <v>1</v>
      </c>
      <c r="N396" s="4" t="str">
        <f>IF(((M396)=TRUE),  "",  D396)</f>
      </c>
      <c r="O396" s="4" t="str">
        <f>IF(((M396)=TRUE),  "",  E396)</f>
      </c>
      <c r="P396" s="4">
        <f>COUNTIFS(FieldDisagreements!E2:E50, A396)</f>
        <v>0</v>
      </c>
      <c r="Q396" s="4" t="str">
        <f>_xlfn.IFNA(IF(((INDEX(ConformanceSubstrates!C2:C9, MATCH(D396,ConformanceSubstrates!A2:A9, 0))="")=TRUE),  "",  INDEX(ConformanceSubstrates!C2:C9, MATCH(D396,ConformanceSubstrates!A2:A9, 0))), "")</f>
        <v>OWL / SHACL</v>
      </c>
      <c r="R396" s="4" t="str">
        <f>_xlfn.IFNA(IF(((INDEX(RulebookTables!F2:F93, MATCH(E396,RulebookTables!A2:A93, 0))="")=TRUE),  "",  INDEX(RulebookTables!F2:F93, MATCH(E396,RulebookTables!A2:A93, 0))), "")</f>
        <v>execution</v>
      </c>
      <c r="S396" s="3" t="s">
        <v>1918</v>
      </c>
    </row>
    <row r="397">
      <c r="A397" s="3" t="s">
        <v>14500</v>
      </c>
      <c r="B397" s="4" t="str">
        <f>_xlfn.CONCAT(D397, " / ", E397)</f>
        <v>effortless-owl / UserQuestions</v>
      </c>
      <c r="C397" s="3" t="s">
        <v>14074</v>
      </c>
      <c r="D397" s="3" t="s">
        <v>14059</v>
      </c>
      <c r="E397" s="3" t="s">
        <v>1839</v>
      </c>
      <c r="F397" s="3">
        <v>2</v>
      </c>
      <c r="G397" s="3">
        <v>1</v>
      </c>
      <c r="H397" s="3">
        <v>2</v>
      </c>
      <c r="I397" s="3">
        <v>2</v>
      </c>
      <c r="J397" s="3" t="b">
        <v>0</v>
      </c>
      <c r="K397" s="4">
        <f>H397 - I397</f>
        <v>0</v>
      </c>
      <c r="L397" s="4">
        <f>IF(((H397 = 0)=TRUE),  0,  ROUND(100 * I397 / H397, 2))</f>
        <v>100</v>
      </c>
      <c r="M397" s="4" t="b">
        <f>K397 = 0</f>
        <v>1</v>
      </c>
      <c r="N397" s="4" t="str">
        <f>IF(((M397)=TRUE),  "",  D397)</f>
      </c>
      <c r="O397" s="4" t="str">
        <f>IF(((M397)=TRUE),  "",  E397)</f>
      </c>
      <c r="P397" s="4">
        <f>COUNTIFS(FieldDisagreements!E2:E50, A397)</f>
        <v>0</v>
      </c>
      <c r="Q397" s="4" t="str">
        <f>_xlfn.IFNA(IF(((INDEX(ConformanceSubstrates!C2:C9, MATCH(D397,ConformanceSubstrates!A2:A9, 0))="")=TRUE),  "",  INDEX(ConformanceSubstrates!C2:C9, MATCH(D397,ConformanceSubstrates!A2:A9, 0))), "")</f>
        <v>OWL / SHACL</v>
      </c>
      <c r="R397" s="4" t="str">
        <f>_xlfn.IFNA(IF(((INDEX(RulebookTables!F2:F93, MATCH(E397,RulebookTables!A2:A93, 0))="")=TRUE),  "",  INDEX(RulebookTables!F2:F93, MATCH(E397,RulebookTables!A2:A93, 0))), "")</f>
        <v>domain</v>
      </c>
      <c r="S397" s="3" t="s">
        <v>1918</v>
      </c>
    </row>
    <row r="398">
      <c r="A398" s="3" t="s">
        <v>14501</v>
      </c>
      <c r="B398" s="4" t="str">
        <f>_xlfn.CONCAT(D398, " / ", E398)</f>
        <v>effortless-owl / UserFeedback</v>
      </c>
      <c r="C398" s="3" t="s">
        <v>14074</v>
      </c>
      <c r="D398" s="3" t="s">
        <v>14059</v>
      </c>
      <c r="E398" s="3" t="s">
        <v>1842</v>
      </c>
      <c r="F398" s="3">
        <v>2</v>
      </c>
      <c r="G398" s="3">
        <v>1</v>
      </c>
      <c r="H398" s="3">
        <v>2</v>
      </c>
      <c r="I398" s="3">
        <v>2</v>
      </c>
      <c r="J398" s="3" t="b">
        <v>0</v>
      </c>
      <c r="K398" s="4">
        <f>H398 - I398</f>
        <v>0</v>
      </c>
      <c r="L398" s="4">
        <f>IF(((H398 = 0)=TRUE),  0,  ROUND(100 * I398 / H398, 2))</f>
        <v>100</v>
      </c>
      <c r="M398" s="4" t="b">
        <f>K398 = 0</f>
        <v>1</v>
      </c>
      <c r="N398" s="4" t="str">
        <f>IF(((M398)=TRUE),  "",  D398)</f>
      </c>
      <c r="O398" s="4" t="str">
        <f>IF(((M398)=TRUE),  "",  E398)</f>
      </c>
      <c r="P398" s="4">
        <f>COUNTIFS(FieldDisagreements!E2:E50, A398)</f>
        <v>0</v>
      </c>
      <c r="Q398" s="4" t="str">
        <f>_xlfn.IFNA(IF(((INDEX(ConformanceSubstrates!C2:C9, MATCH(D398,ConformanceSubstrates!A2:A9, 0))="")=TRUE),  "",  INDEX(ConformanceSubstrates!C2:C9, MATCH(D398,ConformanceSubstrates!A2:A9, 0))), "")</f>
        <v>OWL / SHACL</v>
      </c>
      <c r="R398" s="4" t="str">
        <f>_xlfn.IFNA(IF(((INDEX(RulebookTables!F2:F93, MATCH(E398,RulebookTables!A2:A93, 0))="")=TRUE),  "",  INDEX(RulebookTables!F2:F93, MATCH(E398,RulebookTables!A2:A93, 0))), "")</f>
        <v>domain</v>
      </c>
      <c r="S398" s="3" t="s">
        <v>1918</v>
      </c>
    </row>
    <row r="399">
      <c r="A399" s="3" t="s">
        <v>14502</v>
      </c>
      <c r="B399" s="4" t="str">
        <f>_xlfn.CONCAT(D399, " / ", E399)</f>
        <v>effortless-owl / StewardshipAssignments</v>
      </c>
      <c r="C399" s="3" t="s">
        <v>14074</v>
      </c>
      <c r="D399" s="3" t="s">
        <v>14059</v>
      </c>
      <c r="E399" s="3" t="s">
        <v>1859</v>
      </c>
      <c r="F399" s="3">
        <v>2</v>
      </c>
      <c r="G399" s="3">
        <v>5</v>
      </c>
      <c r="H399" s="3">
        <v>10</v>
      </c>
      <c r="I399" s="3">
        <v>10</v>
      </c>
      <c r="J399" s="3" t="b">
        <v>0</v>
      </c>
      <c r="K399" s="4">
        <f>H399 - I399</f>
        <v>0</v>
      </c>
      <c r="L399" s="4">
        <f>IF(((H399 = 0)=TRUE),  0,  ROUND(100 * I399 / H399, 2))</f>
        <v>100</v>
      </c>
      <c r="M399" s="4" t="b">
        <f>K399 = 0</f>
        <v>1</v>
      </c>
      <c r="N399" s="4" t="str">
        <f>IF(((M399)=TRUE),  "",  D399)</f>
      </c>
      <c r="O399" s="4" t="str">
        <f>IF(((M399)=TRUE),  "",  E399)</f>
      </c>
      <c r="P399" s="4">
        <f>COUNTIFS(FieldDisagreements!E2:E50, A399)</f>
        <v>0</v>
      </c>
      <c r="Q399" s="4" t="str">
        <f>_xlfn.IFNA(IF(((INDEX(ConformanceSubstrates!C2:C9, MATCH(D399,ConformanceSubstrates!A2:A9, 0))="")=TRUE),  "",  INDEX(ConformanceSubstrates!C2:C9, MATCH(D399,ConformanceSubstrates!A2:A9, 0))), "")</f>
        <v>OWL / SHACL</v>
      </c>
      <c r="R399" s="4" t="str">
        <f>_xlfn.IFNA(IF(((INDEX(RulebookTables!F2:F93, MATCH(E399,RulebookTables!A2:A93, 0))="")=TRUE),  "",  INDEX(RulebookTables!F2:F93, MATCH(E399,RulebookTables!A2:A93, 0))), "")</f>
        <v>org</v>
      </c>
      <c r="S399" s="3" t="s">
        <v>1918</v>
      </c>
    </row>
    <row r="400">
      <c r="A400" s="3" t="s">
        <v>14503</v>
      </c>
      <c r="B400" s="4" t="str">
        <f>_xlfn.CONCAT(D400, " / ", E400)</f>
        <v>effortless-owl / ChangeRequests</v>
      </c>
      <c r="C400" s="3" t="s">
        <v>14074</v>
      </c>
      <c r="D400" s="3" t="s">
        <v>14059</v>
      </c>
      <c r="E400" s="3" t="s">
        <v>3914</v>
      </c>
      <c r="F400" s="3">
        <v>2</v>
      </c>
      <c r="G400" s="3">
        <v>32</v>
      </c>
      <c r="H400" s="3">
        <v>64</v>
      </c>
      <c r="I400" s="3">
        <v>64</v>
      </c>
      <c r="J400" s="3" t="b">
        <v>0</v>
      </c>
      <c r="K400" s="4">
        <f>H400 - I400</f>
        <v>0</v>
      </c>
      <c r="L400" s="4">
        <f>IF(((H400 = 0)=TRUE),  0,  ROUND(100 * I400 / H400, 2))</f>
        <v>100</v>
      </c>
      <c r="M400" s="4" t="b">
        <f>K400 = 0</f>
        <v>1</v>
      </c>
      <c r="N400" s="4" t="str">
        <f>IF(((M400)=TRUE),  "",  D400)</f>
      </c>
      <c r="O400" s="4" t="str">
        <f>IF(((M400)=TRUE),  "",  E400)</f>
      </c>
      <c r="P400" s="4">
        <f>COUNTIFS(FieldDisagreements!E2:E50, A400)</f>
        <v>0</v>
      </c>
      <c r="Q400" s="4" t="str">
        <f>_xlfn.IFNA(IF(((INDEX(ConformanceSubstrates!C2:C9, MATCH(D400,ConformanceSubstrates!A2:A9, 0))="")=TRUE),  "",  INDEX(ConformanceSubstrates!C2:C9, MATCH(D400,ConformanceSubstrates!A2:A9, 0))), "")</f>
        <v>OWL / SHACL</v>
      </c>
      <c r="R400" s="4" t="str">
        <f>_xlfn.IFNA(IF(((INDEX(RulebookTables!F2:F93, MATCH(E400,RulebookTables!A2:A93, 0))="")=TRUE),  "",  INDEX(RulebookTables!F2:F93, MATCH(E400,RulebookTables!A2:A93, 0))), "")</f>
        <v>domain</v>
      </c>
      <c r="S400" s="3" t="s">
        <v>1918</v>
      </c>
    </row>
    <row r="401">
      <c r="A401" s="3" t="s">
        <v>14504</v>
      </c>
      <c r="B401" s="4" t="str">
        <f>_xlfn.CONCAT(D401, " / ", E401)</f>
        <v>effortless-owl / ReviewEvents</v>
      </c>
      <c r="C401" s="3" t="s">
        <v>14074</v>
      </c>
      <c r="D401" s="3" t="s">
        <v>14059</v>
      </c>
      <c r="E401" s="3" t="s">
        <v>3988</v>
      </c>
      <c r="F401" s="3">
        <v>3</v>
      </c>
      <c r="G401" s="3">
        <v>10</v>
      </c>
      <c r="H401" s="3">
        <v>30</v>
      </c>
      <c r="I401" s="3">
        <v>30</v>
      </c>
      <c r="J401" s="3" t="b">
        <v>0</v>
      </c>
      <c r="K401" s="4">
        <f>H401 - I401</f>
        <v>0</v>
      </c>
      <c r="L401" s="4">
        <f>IF(((H401 = 0)=TRUE),  0,  ROUND(100 * I401 / H401, 2))</f>
        <v>100</v>
      </c>
      <c r="M401" s="4" t="b">
        <f>K401 = 0</f>
        <v>1</v>
      </c>
      <c r="N401" s="4" t="str">
        <f>IF(((M401)=TRUE),  "",  D401)</f>
      </c>
      <c r="O401" s="4" t="str">
        <f>IF(((M401)=TRUE),  "",  E401)</f>
      </c>
      <c r="P401" s="4">
        <f>COUNTIFS(FieldDisagreements!E2:E50, A401)</f>
        <v>0</v>
      </c>
      <c r="Q401" s="4" t="str">
        <f>_xlfn.IFNA(IF(((INDEX(ConformanceSubstrates!C2:C9, MATCH(D401,ConformanceSubstrates!A2:A9, 0))="")=TRUE),  "",  INDEX(ConformanceSubstrates!C2:C9, MATCH(D401,ConformanceSubstrates!A2:A9, 0))), "")</f>
        <v>OWL / SHACL</v>
      </c>
      <c r="R401" s="4" t="str">
        <f>_xlfn.IFNA(IF(((INDEX(RulebookTables!F2:F93, MATCH(E401,RulebookTables!A2:A93, 0))="")=TRUE),  "",  INDEX(RulebookTables!F2:F93, MATCH(E401,RulebookTables!A2:A93, 0))), "")</f>
        <v>domain</v>
      </c>
      <c r="S401" s="3" t="s">
        <v>1918</v>
      </c>
    </row>
    <row r="402">
      <c r="A402" s="3" t="s">
        <v>14505</v>
      </c>
      <c r="B402" s="4" t="str">
        <f>_xlfn.CONCAT(D402, " / ", E402)</f>
        <v>effortless-owl / LearningActivities</v>
      </c>
      <c r="C402" s="3" t="s">
        <v>14074</v>
      </c>
      <c r="D402" s="3" t="s">
        <v>14059</v>
      </c>
      <c r="E402" s="3" t="s">
        <v>4017</v>
      </c>
      <c r="F402" s="3">
        <v>2</v>
      </c>
      <c r="G402" s="3">
        <v>1</v>
      </c>
      <c r="H402" s="3">
        <v>2</v>
      </c>
      <c r="I402" s="3">
        <v>2</v>
      </c>
      <c r="J402" s="3" t="b">
        <v>0</v>
      </c>
      <c r="K402" s="4">
        <f>H402 - I402</f>
        <v>0</v>
      </c>
      <c r="L402" s="4">
        <f>IF(((H402 = 0)=TRUE),  0,  ROUND(100 * I402 / H402, 2))</f>
        <v>100</v>
      </c>
      <c r="M402" s="4" t="b">
        <f>K402 = 0</f>
        <v>1</v>
      </c>
      <c r="N402" s="4" t="str">
        <f>IF(((M402)=TRUE),  "",  D402)</f>
      </c>
      <c r="O402" s="4" t="str">
        <f>IF(((M402)=TRUE),  "",  E402)</f>
      </c>
      <c r="P402" s="4">
        <f>COUNTIFS(FieldDisagreements!E2:E50, A402)</f>
        <v>0</v>
      </c>
      <c r="Q402" s="4" t="str">
        <f>_xlfn.IFNA(IF(((INDEX(ConformanceSubstrates!C2:C9, MATCH(D402,ConformanceSubstrates!A2:A9, 0))="")=TRUE),  "",  INDEX(ConformanceSubstrates!C2:C9, MATCH(D402,ConformanceSubstrates!A2:A9, 0))), "")</f>
        <v>OWL / SHACL</v>
      </c>
      <c r="R402" s="4" t="str">
        <f>_xlfn.IFNA(IF(((INDEX(RulebookTables!F2:F93, MATCH(E402,RulebookTables!A2:A93, 0))="")=TRUE),  "",  INDEX(RulebookTables!F2:F93, MATCH(E402,RulebookTables!A2:A93, 0))), "")</f>
        <v>domain</v>
      </c>
      <c r="S402" s="3" t="s">
        <v>1918</v>
      </c>
    </row>
    <row r="403">
      <c r="A403" s="3" t="s">
        <v>14506</v>
      </c>
      <c r="B403" s="4" t="str">
        <f>_xlfn.CONCAT(D403, " / ", E403)</f>
        <v>effortless-owl / OperationalBindings</v>
      </c>
      <c r="C403" s="3" t="s">
        <v>14074</v>
      </c>
      <c r="D403" s="3" t="s">
        <v>14059</v>
      </c>
      <c r="E403" s="3" t="s">
        <v>1862</v>
      </c>
      <c r="F403" s="3">
        <v>5</v>
      </c>
      <c r="G403" s="3">
        <v>11</v>
      </c>
      <c r="H403" s="3">
        <v>55</v>
      </c>
      <c r="I403" s="3">
        <v>55</v>
      </c>
      <c r="J403" s="3" t="b">
        <v>0</v>
      </c>
      <c r="K403" s="4">
        <f>H403 - I403</f>
        <v>0</v>
      </c>
      <c r="L403" s="4">
        <f>IF(((H403 = 0)=TRUE),  0,  ROUND(100 * I403 / H403, 2))</f>
        <v>100</v>
      </c>
      <c r="M403" s="4" t="b">
        <f>K403 = 0</f>
        <v>1</v>
      </c>
      <c r="N403" s="4" t="str">
        <f>IF(((M403)=TRUE),  "",  D403)</f>
      </c>
      <c r="O403" s="4" t="str">
        <f>IF(((M403)=TRUE),  "",  E403)</f>
      </c>
      <c r="P403" s="4">
        <f>COUNTIFS(FieldDisagreements!E2:E50, A403)</f>
        <v>0</v>
      </c>
      <c r="Q403" s="4" t="str">
        <f>_xlfn.IFNA(IF(((INDEX(ConformanceSubstrates!C2:C9, MATCH(D403,ConformanceSubstrates!A2:A9, 0))="")=TRUE),  "",  INDEX(ConformanceSubstrates!C2:C9, MATCH(D403,ConformanceSubstrates!A2:A9, 0))), "")</f>
        <v>OWL / SHACL</v>
      </c>
      <c r="R403" s="4" t="str">
        <f>_xlfn.IFNA(IF(((INDEX(RulebookTables!F2:F93, MATCH(E403,RulebookTables!A2:A93, 0))="")=TRUE),  "",  INDEX(RulebookTables!F2:F93, MATCH(E403,RulebookTables!A2:A93, 0))), "")</f>
        <v>domain</v>
      </c>
      <c r="S403" s="3" t="s">
        <v>1918</v>
      </c>
    </row>
    <row r="404">
      <c r="A404" s="3" t="s">
        <v>14507</v>
      </c>
      <c r="B404" s="4" t="str">
        <f>_xlfn.CONCAT(D404, " / ", E404)</f>
        <v>effortless-owl / CommunicationPolicies</v>
      </c>
      <c r="C404" s="3" t="s">
        <v>14074</v>
      </c>
      <c r="D404" s="3" t="s">
        <v>14059</v>
      </c>
      <c r="E404" s="3" t="s">
        <v>1865</v>
      </c>
      <c r="F404" s="3">
        <v>2</v>
      </c>
      <c r="G404" s="3">
        <v>4</v>
      </c>
      <c r="H404" s="3">
        <v>8</v>
      </c>
      <c r="I404" s="3">
        <v>8</v>
      </c>
      <c r="J404" s="3" t="b">
        <v>0</v>
      </c>
      <c r="K404" s="4">
        <f>H404 - I404</f>
        <v>0</v>
      </c>
      <c r="L404" s="4">
        <f>IF(((H404 = 0)=TRUE),  0,  ROUND(100 * I404 / H404, 2))</f>
        <v>100</v>
      </c>
      <c r="M404" s="4" t="b">
        <f>K404 = 0</f>
        <v>1</v>
      </c>
      <c r="N404" s="4" t="str">
        <f>IF(((M404)=TRUE),  "",  D404)</f>
      </c>
      <c r="O404" s="4" t="str">
        <f>IF(((M404)=TRUE),  "",  E404)</f>
      </c>
      <c r="P404" s="4">
        <f>COUNTIFS(FieldDisagreements!E2:E50, A404)</f>
        <v>0</v>
      </c>
      <c r="Q404" s="4" t="str">
        <f>_xlfn.IFNA(IF(((INDEX(ConformanceSubstrates!C2:C9, MATCH(D404,ConformanceSubstrates!A2:A9, 0))="")=TRUE),  "",  INDEX(ConformanceSubstrates!C2:C9, MATCH(D404,ConformanceSubstrates!A2:A9, 0))), "")</f>
        <v>OWL / SHACL</v>
      </c>
      <c r="R404" s="4" t="str">
        <f>_xlfn.IFNA(IF(((INDEX(RulebookTables!F2:F93, MATCH(E404,RulebookTables!A2:A93, 0))="")=TRUE),  "",  INDEX(RulebookTables!F2:F93, MATCH(E404,RulebookTables!A2:A93, 0))), "")</f>
        <v>communication</v>
      </c>
      <c r="S404" s="3" t="s">
        <v>1918</v>
      </c>
    </row>
    <row r="405">
      <c r="A405" s="3" t="s">
        <v>14508</v>
      </c>
      <c r="B405" s="4" t="str">
        <f>_xlfn.CONCAT(D405, " / ", E405)</f>
        <v>effortless-owl / MessageTemplates</v>
      </c>
      <c r="C405" s="3" t="s">
        <v>14074</v>
      </c>
      <c r="D405" s="3" t="s">
        <v>14059</v>
      </c>
      <c r="E405" s="3" t="s">
        <v>4087</v>
      </c>
      <c r="F405" s="3">
        <v>2</v>
      </c>
      <c r="G405" s="3">
        <v>16</v>
      </c>
      <c r="H405" s="3">
        <v>32</v>
      </c>
      <c r="I405" s="3">
        <v>32</v>
      </c>
      <c r="J405" s="3" t="b">
        <v>0</v>
      </c>
      <c r="K405" s="4">
        <f>H405 - I405</f>
        <v>0</v>
      </c>
      <c r="L405" s="4">
        <f>IF(((H405 = 0)=TRUE),  0,  ROUND(100 * I405 / H405, 2))</f>
        <v>100</v>
      </c>
      <c r="M405" s="4" t="b">
        <f>K405 = 0</f>
        <v>1</v>
      </c>
      <c r="N405" s="4" t="str">
        <f>IF(((M405)=TRUE),  "",  D405)</f>
      </c>
      <c r="O405" s="4" t="str">
        <f>IF(((M405)=TRUE),  "",  E405)</f>
      </c>
      <c r="P405" s="4">
        <f>COUNTIFS(FieldDisagreements!E2:E50, A405)</f>
        <v>0</v>
      </c>
      <c r="Q405" s="4" t="str">
        <f>_xlfn.IFNA(IF(((INDEX(ConformanceSubstrates!C2:C9, MATCH(D405,ConformanceSubstrates!A2:A9, 0))="")=TRUE),  "",  INDEX(ConformanceSubstrates!C2:C9, MATCH(D405,ConformanceSubstrates!A2:A9, 0))), "")</f>
        <v>OWL / SHACL</v>
      </c>
      <c r="R405" s="4" t="str">
        <f>_xlfn.IFNA(IF(((INDEX(RulebookTables!F2:F93, MATCH(E405,RulebookTables!A2:A93, 0))="")=TRUE),  "",  INDEX(RulebookTables!F2:F93, MATCH(E405,RulebookTables!A2:A93, 0))), "")</f>
        <v>communication</v>
      </c>
      <c r="S405" s="3" t="s">
        <v>1918</v>
      </c>
    </row>
    <row r="406">
      <c r="A406" s="3" t="s">
        <v>14509</v>
      </c>
      <c r="B406" s="4" t="str">
        <f>_xlfn.CONCAT(D406, " / ", E406)</f>
        <v>effortless-owl / SemanticMappings</v>
      </c>
      <c r="C406" s="3" t="s">
        <v>14074</v>
      </c>
      <c r="D406" s="3" t="s">
        <v>14059</v>
      </c>
      <c r="E406" s="3" t="s">
        <v>4130</v>
      </c>
      <c r="F406" s="3">
        <v>47</v>
      </c>
      <c r="G406" s="3">
        <v>1</v>
      </c>
      <c r="H406" s="3">
        <v>47</v>
      </c>
      <c r="I406" s="3">
        <v>47</v>
      </c>
      <c r="J406" s="3" t="b">
        <v>0</v>
      </c>
      <c r="K406" s="4">
        <f>H406 - I406</f>
        <v>0</v>
      </c>
      <c r="L406" s="4">
        <f>IF(((H406 = 0)=TRUE),  0,  ROUND(100 * I406 / H406, 2))</f>
        <v>100</v>
      </c>
      <c r="M406" s="4" t="b">
        <f>K406 = 0</f>
        <v>1</v>
      </c>
      <c r="N406" s="4" t="str">
        <f>IF(((M406)=TRUE),  "",  D406)</f>
      </c>
      <c r="O406" s="4" t="str">
        <f>IF(((M406)=TRUE),  "",  E406)</f>
      </c>
      <c r="P406" s="4">
        <f>COUNTIFS(FieldDisagreements!E2:E50, A406)</f>
        <v>0</v>
      </c>
      <c r="Q406" s="4" t="str">
        <f>_xlfn.IFNA(IF(((INDEX(ConformanceSubstrates!C2:C9, MATCH(D406,ConformanceSubstrates!A2:A9, 0))="")=TRUE),  "",  INDEX(ConformanceSubstrates!C2:C9, MATCH(D406,ConformanceSubstrates!A2:A9, 0))), "")</f>
        <v>OWL / SHACL</v>
      </c>
      <c r="R406" s="4" t="str">
        <f>_xlfn.IFNA(IF(((INDEX(RulebookTables!F2:F93, MATCH(E406,RulebookTables!A2:A93, 0))="")=TRUE),  "",  INDEX(RulebookTables!F2:F93, MATCH(E406,RulebookTables!A2:A93, 0))), "")</f>
        <v>meta</v>
      </c>
      <c r="S406" s="3" t="s">
        <v>1918</v>
      </c>
    </row>
    <row r="407">
      <c r="A407" s="3" t="s">
        <v>14510</v>
      </c>
      <c r="B407" s="4" t="str">
        <f>_xlfn.CONCAT(D407, " / ", E407)</f>
        <v>effortless-owl / WitnessLoops</v>
      </c>
      <c r="C407" s="3" t="s">
        <v>14074</v>
      </c>
      <c r="D407" s="3" t="s">
        <v>14059</v>
      </c>
      <c r="E407" s="3" t="s">
        <v>4140</v>
      </c>
      <c r="F407" s="3">
        <v>4</v>
      </c>
      <c r="G407" s="3">
        <v>3</v>
      </c>
      <c r="H407" s="3">
        <v>12</v>
      </c>
      <c r="I407" s="3">
        <v>12</v>
      </c>
      <c r="J407" s="3" t="b">
        <v>0</v>
      </c>
      <c r="K407" s="4">
        <f>H407 - I407</f>
        <v>0</v>
      </c>
      <c r="L407" s="4">
        <f>IF(((H407 = 0)=TRUE),  0,  ROUND(100 * I407 / H407, 2))</f>
        <v>100</v>
      </c>
      <c r="M407" s="4" t="b">
        <f>K407 = 0</f>
        <v>1</v>
      </c>
      <c r="N407" s="4" t="str">
        <f>IF(((M407)=TRUE),  "",  D407)</f>
      </c>
      <c r="O407" s="4" t="str">
        <f>IF(((M407)=TRUE),  "",  E407)</f>
      </c>
      <c r="P407" s="4">
        <f>COUNTIFS(FieldDisagreements!E2:E50, A407)</f>
        <v>0</v>
      </c>
      <c r="Q407" s="4" t="str">
        <f>_xlfn.IFNA(IF(((INDEX(ConformanceSubstrates!C2:C9, MATCH(D407,ConformanceSubstrates!A2:A9, 0))="")=TRUE),  "",  INDEX(ConformanceSubstrates!C2:C9, MATCH(D407,ConformanceSubstrates!A2:A9, 0))), "")</f>
        <v>OWL / SHACL</v>
      </c>
      <c r="R407" s="4" t="str">
        <f>_xlfn.IFNA(IF(((INDEX(RulebookTables!F2:F93, MATCH(E407,RulebookTables!A2:A93, 0))="")=TRUE),  "",  INDEX(RulebookTables!F2:F93, MATCH(E407,RulebookTables!A2:A93, 0))), "")</f>
        <v>meta</v>
      </c>
      <c r="S407" s="3" t="s">
        <v>1918</v>
      </c>
    </row>
    <row r="408">
      <c r="A408" s="3" t="s">
        <v>14511</v>
      </c>
      <c r="B408" s="4" t="str">
        <f>_xlfn.CONCAT(D408, " / ", E408)</f>
        <v>effortless-owl / RoleQuestions</v>
      </c>
      <c r="C408" s="3" t="s">
        <v>14074</v>
      </c>
      <c r="D408" s="3" t="s">
        <v>14059</v>
      </c>
      <c r="E408" s="3" t="s">
        <v>4157</v>
      </c>
      <c r="F408" s="3">
        <v>111</v>
      </c>
      <c r="G408" s="3">
        <v>3</v>
      </c>
      <c r="H408" s="3">
        <v>333</v>
      </c>
      <c r="I408" s="3">
        <v>333</v>
      </c>
      <c r="J408" s="3" t="b">
        <v>0</v>
      </c>
      <c r="K408" s="4">
        <f>H408 - I408</f>
        <v>0</v>
      </c>
      <c r="L408" s="4">
        <f>IF(((H408 = 0)=TRUE),  0,  ROUND(100 * I408 / H408, 2))</f>
        <v>100</v>
      </c>
      <c r="M408" s="4" t="b">
        <f>K408 = 0</f>
        <v>1</v>
      </c>
      <c r="N408" s="4" t="str">
        <f>IF(((M408)=TRUE),  "",  D408)</f>
      </c>
      <c r="O408" s="4" t="str">
        <f>IF(((M408)=TRUE),  "",  E408)</f>
      </c>
      <c r="P408" s="4">
        <f>COUNTIFS(FieldDisagreements!E2:E50, A408)</f>
        <v>0</v>
      </c>
      <c r="Q408" s="4" t="str">
        <f>_xlfn.IFNA(IF(((INDEX(ConformanceSubstrates!C2:C9, MATCH(D408,ConformanceSubstrates!A2:A9, 0))="")=TRUE),  "",  INDEX(ConformanceSubstrates!C2:C9, MATCH(D408,ConformanceSubstrates!A2:A9, 0))), "")</f>
        <v>OWL / SHACL</v>
      </c>
      <c r="R408" s="4" t="str">
        <f>_xlfn.IFNA(IF(((INDEX(RulebookTables!F2:F93, MATCH(E408,RulebookTables!A2:A93, 0))="")=TRUE),  "",  INDEX(RulebookTables!F2:F93, MATCH(E408,RulebookTables!A2:A93, 0))), "")</f>
        <v>org</v>
      </c>
      <c r="S408" s="3" t="s">
        <v>1918</v>
      </c>
    </row>
    <row r="409">
      <c r="A409" s="3" t="s">
        <v>14512</v>
      </c>
      <c r="B409" s="4" t="str">
        <f>_xlfn.CONCAT(D409, " / ", E409)</f>
        <v>effortless-owl / RulebookFields</v>
      </c>
      <c r="C409" s="3" t="s">
        <v>14074</v>
      </c>
      <c r="D409" s="3" t="s">
        <v>14059</v>
      </c>
      <c r="E409" s="3" t="s">
        <v>4172</v>
      </c>
      <c r="F409" s="3">
        <v>1897</v>
      </c>
      <c r="G409" s="3">
        <v>5</v>
      </c>
      <c r="H409" s="3">
        <v>9485</v>
      </c>
      <c r="I409" s="3">
        <v>9485</v>
      </c>
      <c r="J409" s="3" t="b">
        <v>0</v>
      </c>
      <c r="K409" s="4">
        <f>H409 - I409</f>
        <v>0</v>
      </c>
      <c r="L409" s="4">
        <f>IF(((H409 = 0)=TRUE),  0,  ROUND(100 * I409 / H409, 2))</f>
        <v>100</v>
      </c>
      <c r="M409" s="4" t="b">
        <f>K409 = 0</f>
        <v>1</v>
      </c>
      <c r="N409" s="4" t="str">
        <f>IF(((M409)=TRUE),  "",  D409)</f>
      </c>
      <c r="O409" s="4" t="str">
        <f>IF(((M409)=TRUE),  "",  E409)</f>
      </c>
      <c r="P409" s="4">
        <f>COUNTIFS(FieldDisagreements!E2:E50, A409)</f>
        <v>0</v>
      </c>
      <c r="Q409" s="4" t="str">
        <f>_xlfn.IFNA(IF(((INDEX(ConformanceSubstrates!C2:C9, MATCH(D409,ConformanceSubstrates!A2:A9, 0))="")=TRUE),  "",  INDEX(ConformanceSubstrates!C2:C9, MATCH(D409,ConformanceSubstrates!A2:A9, 0))), "")</f>
        <v>OWL / SHACL</v>
      </c>
      <c r="R409" s="4" t="str">
        <f>_xlfn.IFNA(IF(((INDEX(RulebookTables!F2:F93, MATCH(E409,RulebookTables!A2:A93, 0))="")=TRUE),  "",  INDEX(RulebookTables!F2:F93, MATCH(E409,RulebookTables!A2:A93, 0))), "")</f>
        <v>access-control</v>
      </c>
      <c r="S409" s="3" t="s">
        <v>1918</v>
      </c>
    </row>
    <row r="410">
      <c r="A410" s="3" t="s">
        <v>14513</v>
      </c>
      <c r="B410" s="4" t="str">
        <f>_xlfn.CONCAT(D410, " / ", E410)</f>
        <v>effortless-owl / TestSuites</v>
      </c>
      <c r="C410" s="3" t="s">
        <v>14074</v>
      </c>
      <c r="D410" s="3" t="s">
        <v>14059</v>
      </c>
      <c r="E410" s="3" t="s">
        <v>4191</v>
      </c>
      <c r="F410" s="3">
        <v>6</v>
      </c>
      <c r="G410" s="3">
        <v>5</v>
      </c>
      <c r="H410" s="3">
        <v>30</v>
      </c>
      <c r="I410" s="3">
        <v>30</v>
      </c>
      <c r="J410" s="3" t="b">
        <v>0</v>
      </c>
      <c r="K410" s="4">
        <f>H410 - I410</f>
        <v>0</v>
      </c>
      <c r="L410" s="4">
        <f>IF(((H410 = 0)=TRUE),  0,  ROUND(100 * I410 / H410, 2))</f>
        <v>100</v>
      </c>
      <c r="M410" s="4" t="b">
        <f>K410 = 0</f>
        <v>1</v>
      </c>
      <c r="N410" s="4" t="str">
        <f>IF(((M410)=TRUE),  "",  D410)</f>
      </c>
      <c r="O410" s="4" t="str">
        <f>IF(((M410)=TRUE),  "",  E410)</f>
      </c>
      <c r="P410" s="4">
        <f>COUNTIFS(FieldDisagreements!E2:E50, A410)</f>
        <v>0</v>
      </c>
      <c r="Q410" s="4" t="str">
        <f>_xlfn.IFNA(IF(((INDEX(ConformanceSubstrates!C2:C9, MATCH(D410,ConformanceSubstrates!A2:A9, 0))="")=TRUE),  "",  INDEX(ConformanceSubstrates!C2:C9, MATCH(D410,ConformanceSubstrates!A2:A9, 0))), "")</f>
        <v>OWL / SHACL</v>
      </c>
      <c r="R410" s="4" t="str">
        <f>_xlfn.IFNA(IF(((INDEX(RulebookTables!F2:F93, MATCH(E410,RulebookTables!A2:A93, 0))="")=TRUE),  "",  INDEX(RulebookTables!F2:F93, MATCH(E410,RulebookTables!A2:A93, 0))), "")</f>
        <v>meta</v>
      </c>
      <c r="S410" s="3" t="s">
        <v>1918</v>
      </c>
    </row>
    <row r="411">
      <c r="A411" s="3" t="s">
        <v>14514</v>
      </c>
      <c r="B411" s="4" t="str">
        <f>_xlfn.CONCAT(D411, " / ", E411)</f>
        <v>effortless-owl / TestCases</v>
      </c>
      <c r="C411" s="3" t="s">
        <v>14074</v>
      </c>
      <c r="D411" s="3" t="s">
        <v>14059</v>
      </c>
      <c r="E411" s="3" t="s">
        <v>4209</v>
      </c>
      <c r="F411" s="3">
        <v>1794</v>
      </c>
      <c r="G411" s="3">
        <v>7</v>
      </c>
      <c r="H411" s="3">
        <v>12558</v>
      </c>
      <c r="I411" s="3">
        <v>12558</v>
      </c>
      <c r="J411" s="3" t="b">
        <v>0</v>
      </c>
      <c r="K411" s="4">
        <f>H411 - I411</f>
        <v>0</v>
      </c>
      <c r="L411" s="4">
        <f>IF(((H411 = 0)=TRUE),  0,  ROUND(100 * I411 / H411, 2))</f>
        <v>100</v>
      </c>
      <c r="M411" s="4" t="b">
        <f>K411 = 0</f>
        <v>1</v>
      </c>
      <c r="N411" s="4" t="str">
        <f>IF(((M411)=TRUE),  "",  D411)</f>
      </c>
      <c r="O411" s="4" t="str">
        <f>IF(((M411)=TRUE),  "",  E411)</f>
      </c>
      <c r="P411" s="4">
        <f>COUNTIFS(FieldDisagreements!E2:E50, A411)</f>
        <v>0</v>
      </c>
      <c r="Q411" s="4" t="str">
        <f>_xlfn.IFNA(IF(((INDEX(ConformanceSubstrates!C2:C9, MATCH(D411,ConformanceSubstrates!A2:A9, 0))="")=TRUE),  "",  INDEX(ConformanceSubstrates!C2:C9, MATCH(D411,ConformanceSubstrates!A2:A9, 0))), "")</f>
        <v>OWL / SHACL</v>
      </c>
      <c r="R411" s="4" t="str">
        <f>_xlfn.IFNA(IF(((INDEX(RulebookTables!F2:F93, MATCH(E411,RulebookTables!A2:A93, 0))="")=TRUE),  "",  INDEX(RulebookTables!F2:F93, MATCH(E411,RulebookTables!A2:A93, 0))), "")</f>
        <v>meta</v>
      </c>
      <c r="S411" s="3" t="s">
        <v>1918</v>
      </c>
    </row>
    <row r="412">
      <c r="A412" s="3" t="s">
        <v>14515</v>
      </c>
      <c r="B412" s="4" t="str">
        <f>_xlfn.CONCAT(D412, " / ", E412)</f>
        <v>effortless-owl / ExceptionInvocations</v>
      </c>
      <c r="C412" s="3" t="s">
        <v>14074</v>
      </c>
      <c r="D412" s="3" t="s">
        <v>14059</v>
      </c>
      <c r="E412" s="3" t="s">
        <v>4287</v>
      </c>
      <c r="F412" s="3">
        <v>1</v>
      </c>
      <c r="G412" s="3">
        <v>13</v>
      </c>
      <c r="H412" s="3">
        <v>13</v>
      </c>
      <c r="I412" s="3">
        <v>13</v>
      </c>
      <c r="J412" s="3" t="b">
        <v>0</v>
      </c>
      <c r="K412" s="4">
        <f>H412 - I412</f>
        <v>0</v>
      </c>
      <c r="L412" s="4">
        <f>IF(((H412 = 0)=TRUE),  0,  ROUND(100 * I412 / H412, 2))</f>
        <v>100</v>
      </c>
      <c r="M412" s="4" t="b">
        <f>K412 = 0</f>
        <v>1</v>
      </c>
      <c r="N412" s="4" t="str">
        <f>IF(((M412)=TRUE),  "",  D412)</f>
      </c>
      <c r="O412" s="4" t="str">
        <f>IF(((M412)=TRUE),  "",  E412)</f>
      </c>
      <c r="P412" s="4">
        <f>COUNTIFS(FieldDisagreements!E2:E50, A412)</f>
        <v>0</v>
      </c>
      <c r="Q412" s="4" t="str">
        <f>_xlfn.IFNA(IF(((INDEX(ConformanceSubstrates!C2:C9, MATCH(D412,ConformanceSubstrates!A2:A9, 0))="")=TRUE),  "",  INDEX(ConformanceSubstrates!C2:C9, MATCH(D412,ConformanceSubstrates!A2:A9, 0))), "")</f>
        <v>OWL / SHACL</v>
      </c>
      <c r="R412" s="4" t="str">
        <f>_xlfn.IFNA(IF(((INDEX(RulebookTables!F2:F93, MATCH(E412,RulebookTables!A2:A93, 0))="")=TRUE),  "",  INDEX(RulebookTables!F2:F93, MATCH(E412,RulebookTables!A2:A93, 0))), "")</f>
        <v>governance</v>
      </c>
      <c r="S412" s="3" t="s">
        <v>1918</v>
      </c>
    </row>
    <row r="413">
      <c r="A413" s="3" t="s">
        <v>14516</v>
      </c>
      <c r="B413" s="4" t="str">
        <f>_xlfn.CONCAT(D413, " / ", E413)</f>
        <v>effortless-owl / VerificationOutcomes</v>
      </c>
      <c r="C413" s="3" t="s">
        <v>14074</v>
      </c>
      <c r="D413" s="3" t="s">
        <v>14059</v>
      </c>
      <c r="E413" s="3" t="s">
        <v>4337</v>
      </c>
      <c r="F413" s="3">
        <v>4</v>
      </c>
      <c r="G413" s="3">
        <v>18</v>
      </c>
      <c r="H413" s="3">
        <v>72</v>
      </c>
      <c r="I413" s="3">
        <v>72</v>
      </c>
      <c r="J413" s="3" t="b">
        <v>0</v>
      </c>
      <c r="K413" s="4">
        <f>H413 - I413</f>
        <v>0</v>
      </c>
      <c r="L413" s="4">
        <f>IF(((H413 = 0)=TRUE),  0,  ROUND(100 * I413 / H413, 2))</f>
        <v>100</v>
      </c>
      <c r="M413" s="4" t="b">
        <f>K413 = 0</f>
        <v>1</v>
      </c>
      <c r="N413" s="4" t="str">
        <f>IF(((M413)=TRUE),  "",  D413)</f>
      </c>
      <c r="O413" s="4" t="str">
        <f>IF(((M413)=TRUE),  "",  E413)</f>
      </c>
      <c r="P413" s="4">
        <f>COUNTIFS(FieldDisagreements!E2:E50, A413)</f>
        <v>0</v>
      </c>
      <c r="Q413" s="4" t="str">
        <f>_xlfn.IFNA(IF(((INDEX(ConformanceSubstrates!C2:C9, MATCH(D413,ConformanceSubstrates!A2:A9, 0))="")=TRUE),  "",  INDEX(ConformanceSubstrates!C2:C9, MATCH(D413,ConformanceSubstrates!A2:A9, 0))), "")</f>
        <v>OWL / SHACL</v>
      </c>
      <c r="R413" s="4" t="str">
        <f>_xlfn.IFNA(IF(((INDEX(RulebookTables!F2:F93, MATCH(E413,RulebookTables!A2:A93, 0))="")=TRUE),  "",  INDEX(RulebookTables!F2:F93, MATCH(E413,RulebookTables!A2:A93, 0))), "")</f>
        <v>execution</v>
      </c>
      <c r="S413" s="3" t="s">
        <v>1918</v>
      </c>
    </row>
    <row r="414">
      <c r="A414" s="3" t="s">
        <v>14517</v>
      </c>
      <c r="B414" s="4" t="str">
        <f>_xlfn.CONCAT(D414, " / ", E414)</f>
        <v>effortless-owl / ObservedTransitions</v>
      </c>
      <c r="C414" s="3" t="s">
        <v>14074</v>
      </c>
      <c r="D414" s="3" t="s">
        <v>14059</v>
      </c>
      <c r="E414" s="3" t="s">
        <v>4398</v>
      </c>
      <c r="F414" s="3">
        <v>10</v>
      </c>
      <c r="G414" s="3">
        <v>1</v>
      </c>
      <c r="H414" s="3">
        <v>10</v>
      </c>
      <c r="I414" s="3">
        <v>10</v>
      </c>
      <c r="J414" s="3" t="b">
        <v>0</v>
      </c>
      <c r="K414" s="4">
        <f>H414 - I414</f>
        <v>0</v>
      </c>
      <c r="L414" s="4">
        <f>IF(((H414 = 0)=TRUE),  0,  ROUND(100 * I414 / H414, 2))</f>
        <v>100</v>
      </c>
      <c r="M414" s="4" t="b">
        <f>K414 = 0</f>
        <v>1</v>
      </c>
      <c r="N414" s="4" t="str">
        <f>IF(((M414)=TRUE),  "",  D414)</f>
      </c>
      <c r="O414" s="4" t="str">
        <f>IF(((M414)=TRUE),  "",  E414)</f>
      </c>
      <c r="P414" s="4">
        <f>COUNTIFS(FieldDisagreements!E2:E50, A414)</f>
        <v>0</v>
      </c>
      <c r="Q414" s="4" t="str">
        <f>_xlfn.IFNA(IF(((INDEX(ConformanceSubstrates!C2:C9, MATCH(D414,ConformanceSubstrates!A2:A9, 0))="")=TRUE),  "",  INDEX(ConformanceSubstrates!C2:C9, MATCH(D414,ConformanceSubstrates!A2:A9, 0))), "")</f>
        <v>OWL / SHACL</v>
      </c>
      <c r="R414" s="4" t="str">
        <f>_xlfn.IFNA(IF(((INDEX(RulebookTables!F2:F93, MATCH(E414,RulebookTables!A2:A93, 0))="")=TRUE),  "",  INDEX(RulebookTables!F2:F93, MATCH(E414,RulebookTables!A2:A93, 0))), "")</f>
        <v>specification</v>
      </c>
      <c r="S414" s="3" t="s">
        <v>1918</v>
      </c>
    </row>
    <row r="415">
      <c r="A415" s="3" t="s">
        <v>14518</v>
      </c>
      <c r="B415" s="4" t="str">
        <f>_xlfn.CONCAT(D415, " / ", E415)</f>
        <v>effortless-owl / Recipients</v>
      </c>
      <c r="C415" s="3" t="s">
        <v>14074</v>
      </c>
      <c r="D415" s="3" t="s">
        <v>14059</v>
      </c>
      <c r="E415" s="3" t="s">
        <v>4412</v>
      </c>
      <c r="F415" s="3">
        <v>5</v>
      </c>
      <c r="G415" s="3">
        <v>6</v>
      </c>
      <c r="H415" s="3">
        <v>30</v>
      </c>
      <c r="I415" s="3">
        <v>30</v>
      </c>
      <c r="J415" s="3" t="b">
        <v>0</v>
      </c>
      <c r="K415" s="4">
        <f>H415 - I415</f>
        <v>0</v>
      </c>
      <c r="L415" s="4">
        <f>IF(((H415 = 0)=TRUE),  0,  ROUND(100 * I415 / H415, 2))</f>
        <v>100</v>
      </c>
      <c r="M415" s="4" t="b">
        <f>K415 = 0</f>
        <v>1</v>
      </c>
      <c r="N415" s="4" t="str">
        <f>IF(((M415)=TRUE),  "",  D415)</f>
      </c>
      <c r="O415" s="4" t="str">
        <f>IF(((M415)=TRUE),  "",  E415)</f>
      </c>
      <c r="P415" s="4">
        <f>COUNTIFS(FieldDisagreements!E2:E50, A415)</f>
        <v>0</v>
      </c>
      <c r="Q415" s="4" t="str">
        <f>_xlfn.IFNA(IF(((INDEX(ConformanceSubstrates!C2:C9, MATCH(D415,ConformanceSubstrates!A2:A9, 0))="")=TRUE),  "",  INDEX(ConformanceSubstrates!C2:C9, MATCH(D415,ConformanceSubstrates!A2:A9, 0))), "")</f>
        <v>OWL / SHACL</v>
      </c>
      <c r="R415" s="4" t="str">
        <f>_xlfn.IFNA(IF(((INDEX(RulebookTables!F2:F93, MATCH(E415,RulebookTables!A2:A93, 0))="")=TRUE),  "",  INDEX(RulebookTables!F2:F93, MATCH(E415,RulebookTables!A2:A93, 0))), "")</f>
        <v>communication</v>
      </c>
      <c r="S415" s="3" t="s">
        <v>1918</v>
      </c>
    </row>
    <row r="416">
      <c r="A416" s="3" t="s">
        <v>14519</v>
      </c>
      <c r="B416" s="4" t="str">
        <f>_xlfn.CONCAT(D416, " / ", E416)</f>
        <v>effortless-owl / MessageDeliveries</v>
      </c>
      <c r="C416" s="3" t="s">
        <v>14074</v>
      </c>
      <c r="D416" s="3" t="s">
        <v>14059</v>
      </c>
      <c r="E416" s="3" t="s">
        <v>4444</v>
      </c>
      <c r="F416" s="3">
        <v>6</v>
      </c>
      <c r="G416" s="3">
        <v>74</v>
      </c>
      <c r="H416" s="3">
        <v>444</v>
      </c>
      <c r="I416" s="3">
        <v>444</v>
      </c>
      <c r="J416" s="3" t="b">
        <v>0</v>
      </c>
      <c r="K416" s="4">
        <f>H416 - I416</f>
        <v>0</v>
      </c>
      <c r="L416" s="4">
        <f>IF(((H416 = 0)=TRUE),  0,  ROUND(100 * I416 / H416, 2))</f>
        <v>100</v>
      </c>
      <c r="M416" s="4" t="b">
        <f>K416 = 0</f>
        <v>1</v>
      </c>
      <c r="N416" s="4" t="str">
        <f>IF(((M416)=TRUE),  "",  D416)</f>
      </c>
      <c r="O416" s="4" t="str">
        <f>IF(((M416)=TRUE),  "",  E416)</f>
      </c>
      <c r="P416" s="4">
        <f>COUNTIFS(FieldDisagreements!E2:E50, A416)</f>
        <v>0</v>
      </c>
      <c r="Q416" s="4" t="str">
        <f>_xlfn.IFNA(IF(((INDEX(ConformanceSubstrates!C2:C9, MATCH(D416,ConformanceSubstrates!A2:A9, 0))="")=TRUE),  "",  INDEX(ConformanceSubstrates!C2:C9, MATCH(D416,ConformanceSubstrates!A2:A9, 0))), "")</f>
        <v>OWL / SHACL</v>
      </c>
      <c r="R416" s="4" t="str">
        <f>_xlfn.IFNA(IF(((INDEX(RulebookTables!F2:F93, MATCH(E416,RulebookTables!A2:A93, 0))="")=TRUE),  "",  INDEX(RulebookTables!F2:F93, MATCH(E416,RulebookTables!A2:A93, 0))), "")</f>
        <v>communication</v>
      </c>
      <c r="S416" s="3" t="s">
        <v>1918</v>
      </c>
    </row>
    <row r="417">
      <c r="A417" s="3" t="s">
        <v>14520</v>
      </c>
      <c r="B417" s="4" t="str">
        <f>_xlfn.CONCAT(D417, " / ", E417)</f>
        <v>effortless-owl / TemplateApprovals</v>
      </c>
      <c r="C417" s="3" t="s">
        <v>14074</v>
      </c>
      <c r="D417" s="3" t="s">
        <v>14059</v>
      </c>
      <c r="E417" s="3" t="s">
        <v>4698</v>
      </c>
      <c r="F417" s="3">
        <v>2</v>
      </c>
      <c r="G417" s="3">
        <v>6</v>
      </c>
      <c r="H417" s="3">
        <v>12</v>
      </c>
      <c r="I417" s="3">
        <v>12</v>
      </c>
      <c r="J417" s="3" t="b">
        <v>0</v>
      </c>
      <c r="K417" s="4">
        <f>H417 - I417</f>
        <v>0</v>
      </c>
      <c r="L417" s="4">
        <f>IF(((H417 = 0)=TRUE),  0,  ROUND(100 * I417 / H417, 2))</f>
        <v>100</v>
      </c>
      <c r="M417" s="4" t="b">
        <f>K417 = 0</f>
        <v>1</v>
      </c>
      <c r="N417" s="4" t="str">
        <f>IF(((M417)=TRUE),  "",  D417)</f>
      </c>
      <c r="O417" s="4" t="str">
        <f>IF(((M417)=TRUE),  "",  E417)</f>
      </c>
      <c r="P417" s="4">
        <f>COUNTIFS(FieldDisagreements!E2:E50, A417)</f>
        <v>0</v>
      </c>
      <c r="Q417" s="4" t="str">
        <f>_xlfn.IFNA(IF(((INDEX(ConformanceSubstrates!C2:C9, MATCH(D417,ConformanceSubstrates!A2:A9, 0))="")=TRUE),  "",  INDEX(ConformanceSubstrates!C2:C9, MATCH(D417,ConformanceSubstrates!A2:A9, 0))), "")</f>
        <v>OWL / SHACL</v>
      </c>
      <c r="R417" s="4" t="str">
        <f>_xlfn.IFNA(IF(((INDEX(RulebookTables!F2:F93, MATCH(E417,RulebookTables!A2:A93, 0))="")=TRUE),  "",  INDEX(RulebookTables!F2:F93, MATCH(E417,RulebookTables!A2:A93, 0))), "")</f>
        <v>communication</v>
      </c>
      <c r="S417" s="3" t="s">
        <v>1918</v>
      </c>
    </row>
    <row r="418">
      <c r="A418" s="3" t="s">
        <v>14521</v>
      </c>
      <c r="B418" s="4" t="str">
        <f>_xlfn.CONCAT(D418, " / ", E418)</f>
        <v>effortless-owl / SendIntents</v>
      </c>
      <c r="C418" s="3" t="s">
        <v>14074</v>
      </c>
      <c r="D418" s="3" t="s">
        <v>14059</v>
      </c>
      <c r="E418" s="3" t="s">
        <v>4728</v>
      </c>
      <c r="F418" s="3">
        <v>7</v>
      </c>
      <c r="G418" s="3">
        <v>79</v>
      </c>
      <c r="H418" s="3">
        <v>553</v>
      </c>
      <c r="I418" s="3">
        <v>553</v>
      </c>
      <c r="J418" s="3" t="b">
        <v>0</v>
      </c>
      <c r="K418" s="4">
        <f>H418 - I418</f>
        <v>0</v>
      </c>
      <c r="L418" s="4">
        <f>IF(((H418 = 0)=TRUE),  0,  ROUND(100 * I418 / H418, 2))</f>
        <v>100</v>
      </c>
      <c r="M418" s="4" t="b">
        <f>K418 = 0</f>
        <v>1</v>
      </c>
      <c r="N418" s="4" t="str">
        <f>IF(((M418)=TRUE),  "",  D418)</f>
      </c>
      <c r="O418" s="4" t="str">
        <f>IF(((M418)=TRUE),  "",  E418)</f>
      </c>
      <c r="P418" s="4">
        <f>COUNTIFS(FieldDisagreements!E2:E50, A418)</f>
        <v>0</v>
      </c>
      <c r="Q418" s="4" t="str">
        <f>_xlfn.IFNA(IF(((INDEX(ConformanceSubstrates!C2:C9, MATCH(D418,ConformanceSubstrates!A2:A9, 0))="")=TRUE),  "",  INDEX(ConformanceSubstrates!C2:C9, MATCH(D418,ConformanceSubstrates!A2:A9, 0))), "")</f>
        <v>OWL / SHACL</v>
      </c>
      <c r="R418" s="4" t="str">
        <f>_xlfn.IFNA(IF(((INDEX(RulebookTables!F2:F93, MATCH(E418,RulebookTables!A2:A93, 0))="")=TRUE),  "",  INDEX(RulebookTables!F2:F93, MATCH(E418,RulebookTables!A2:A93, 0))), "")</f>
        <v>communication</v>
      </c>
      <c r="S418" s="3" t="s">
        <v>1918</v>
      </c>
    </row>
    <row r="419">
      <c r="A419" s="3" t="s">
        <v>14522</v>
      </c>
      <c r="B419" s="4" t="str">
        <f>_xlfn.CONCAT(D419, " / ", E419)</f>
        <v>effortless-owl / AgentDecisionRecords</v>
      </c>
      <c r="C419" s="3" t="s">
        <v>14074</v>
      </c>
      <c r="D419" s="3" t="s">
        <v>14059</v>
      </c>
      <c r="E419" s="3" t="s">
        <v>4994</v>
      </c>
      <c r="F419" s="3">
        <v>3</v>
      </c>
      <c r="G419" s="3">
        <v>27</v>
      </c>
      <c r="H419" s="3">
        <v>81</v>
      </c>
      <c r="I419" s="3">
        <v>81</v>
      </c>
      <c r="J419" s="3" t="b">
        <v>0</v>
      </c>
      <c r="K419" s="4">
        <f>H419 - I419</f>
        <v>0</v>
      </c>
      <c r="L419" s="4">
        <f>IF(((H419 = 0)=TRUE),  0,  ROUND(100 * I419 / H419, 2))</f>
        <v>100</v>
      </c>
      <c r="M419" s="4" t="b">
        <f>K419 = 0</f>
        <v>1</v>
      </c>
      <c r="N419" s="4" t="str">
        <f>IF(((M419)=TRUE),  "",  D419)</f>
      </c>
      <c r="O419" s="4" t="str">
        <f>IF(((M419)=TRUE),  "",  E419)</f>
      </c>
      <c r="P419" s="4">
        <f>COUNTIFS(FieldDisagreements!E2:E50, A419)</f>
        <v>0</v>
      </c>
      <c r="Q419" s="4" t="str">
        <f>_xlfn.IFNA(IF(((INDEX(ConformanceSubstrates!C2:C9, MATCH(D419,ConformanceSubstrates!A2:A9, 0))="")=TRUE),  "",  INDEX(ConformanceSubstrates!C2:C9, MATCH(D419,ConformanceSubstrates!A2:A9, 0))), "")</f>
        <v>OWL / SHACL</v>
      </c>
      <c r="R419" s="4" t="str">
        <f>_xlfn.IFNA(IF(((INDEX(RulebookTables!F2:F93, MATCH(E419,RulebookTables!A2:A93, 0))="")=TRUE),  "",  INDEX(RulebookTables!F2:F93, MATCH(E419,RulebookTables!A2:A93, 0))), "")</f>
        <v>org</v>
      </c>
      <c r="S419" s="3" t="s">
        <v>1918</v>
      </c>
    </row>
    <row r="420">
      <c r="A420" s="3" t="s">
        <v>14523</v>
      </c>
      <c r="B420" s="4" t="str">
        <f>_xlfn.CONCAT(D420, " / ", E420)</f>
        <v>effortless-owl / DeliveredCommunications</v>
      </c>
      <c r="C420" s="3" t="s">
        <v>14074</v>
      </c>
      <c r="D420" s="3" t="s">
        <v>14059</v>
      </c>
      <c r="E420" s="3" t="s">
        <v>5095</v>
      </c>
      <c r="F420" s="3">
        <v>1</v>
      </c>
      <c r="G420" s="3">
        <v>6</v>
      </c>
      <c r="H420" s="3">
        <v>6</v>
      </c>
      <c r="I420" s="3">
        <v>5</v>
      </c>
      <c r="J420" s="3" t="b">
        <v>0</v>
      </c>
      <c r="K420" s="4">
        <f>H420 - I420</f>
        <v>1</v>
      </c>
      <c r="L420" s="4">
        <f>IF(((H420 = 0)=TRUE),  0,  ROUND(100 * I420 / H420, 2))</f>
        <v>83.33</v>
      </c>
      <c r="M420" s="4" t="b">
        <f>K420 = 0</f>
        <v>0</v>
      </c>
      <c r="N420" s="4" t="str">
        <f>IF(((M420)=TRUE),  "",  D420)</f>
        <v>effortless-owl</v>
      </c>
      <c r="O420" s="4" t="str">
        <f>IF(((M420)=TRUE),  "",  E420)</f>
        <v>DeliveredCommunications</v>
      </c>
      <c r="P420" s="4">
        <f>COUNTIFS(FieldDisagreements!E2:E50, A420)</f>
        <v>1</v>
      </c>
      <c r="Q420" s="4" t="str">
        <f>_xlfn.IFNA(IF(((INDEX(ConformanceSubstrates!C2:C9, MATCH(D420,ConformanceSubstrates!A2:A9, 0))="")=TRUE),  "",  INDEX(ConformanceSubstrates!C2:C9, MATCH(D420,ConformanceSubstrates!A2:A9, 0))), "")</f>
        <v>OWL / SHACL</v>
      </c>
      <c r="R420" s="4" t="str">
        <f>_xlfn.IFNA(IF(((INDEX(RulebookTables!F2:F93, MATCH(E420,RulebookTables!A2:A93, 0))="")=TRUE),  "",  INDEX(RulebookTables!F2:F93, MATCH(E420,RulebookTables!A2:A93, 0))), "")</f>
        <v>communication</v>
      </c>
      <c r="S420" s="3" t="s">
        <v>1918</v>
      </c>
    </row>
    <row r="421">
      <c r="A421" s="3" t="s">
        <v>14524</v>
      </c>
      <c r="B421" s="4" t="str">
        <f>_xlfn.CONCAT(D421, " / ", E421)</f>
        <v>effortless-owl / AuthorityBoundaries</v>
      </c>
      <c r="C421" s="3" t="s">
        <v>14074</v>
      </c>
      <c r="D421" s="3" t="s">
        <v>14059</v>
      </c>
      <c r="E421" s="3" t="s">
        <v>5131</v>
      </c>
      <c r="F421" s="3">
        <v>3</v>
      </c>
      <c r="G421" s="3">
        <v>21</v>
      </c>
      <c r="H421" s="3">
        <v>63</v>
      </c>
      <c r="I421" s="3">
        <v>63</v>
      </c>
      <c r="J421" s="3" t="b">
        <v>0</v>
      </c>
      <c r="K421" s="4">
        <f>H421 - I421</f>
        <v>0</v>
      </c>
      <c r="L421" s="4">
        <f>IF(((H421 = 0)=TRUE),  0,  ROUND(100 * I421 / H421, 2))</f>
        <v>100</v>
      </c>
      <c r="M421" s="4" t="b">
        <f>K421 = 0</f>
        <v>1</v>
      </c>
      <c r="N421" s="4" t="str">
        <f>IF(((M421)=TRUE),  "",  D421)</f>
      </c>
      <c r="O421" s="4" t="str">
        <f>IF(((M421)=TRUE),  "",  E421)</f>
      </c>
      <c r="P421" s="4">
        <f>COUNTIFS(FieldDisagreements!E2:E50, A421)</f>
        <v>0</v>
      </c>
      <c r="Q421" s="4" t="str">
        <f>_xlfn.IFNA(IF(((INDEX(ConformanceSubstrates!C2:C9, MATCH(D421,ConformanceSubstrates!A2:A9, 0))="")=TRUE),  "",  INDEX(ConformanceSubstrates!C2:C9, MATCH(D421,ConformanceSubstrates!A2:A9, 0))), "")</f>
        <v>OWL / SHACL</v>
      </c>
      <c r="R421" s="4" t="str">
        <f>_xlfn.IFNA(IF(((INDEX(RulebookTables!F2:F93, MATCH(E421,RulebookTables!A2:A93, 0))="")=TRUE),  "",  INDEX(RulebookTables!F2:F93, MATCH(E421,RulebookTables!A2:A93, 0))), "")</f>
        <v>governance</v>
      </c>
      <c r="S421" s="3" t="s">
        <v>1918</v>
      </c>
    </row>
    <row r="422">
      <c r="A422" s="3" t="s">
        <v>14525</v>
      </c>
      <c r="B422" s="4" t="str">
        <f>_xlfn.CONCAT(D422, " / ", E422)</f>
        <v>effortless-owl / AppRoleProfiles</v>
      </c>
      <c r="C422" s="3" t="s">
        <v>14074</v>
      </c>
      <c r="D422" s="3" t="s">
        <v>14059</v>
      </c>
      <c r="E422" s="3" t="s">
        <v>1869</v>
      </c>
      <c r="F422" s="3">
        <v>12</v>
      </c>
      <c r="G422" s="3">
        <v>2</v>
      </c>
      <c r="H422" s="3">
        <v>24</v>
      </c>
      <c r="I422" s="3">
        <v>12</v>
      </c>
      <c r="J422" s="3" t="b">
        <v>0</v>
      </c>
      <c r="K422" s="4">
        <f>H422 - I422</f>
        <v>12</v>
      </c>
      <c r="L422" s="4">
        <f>IF(((H422 = 0)=TRUE),  0,  ROUND(100 * I422 / H422, 2))</f>
        <v>50</v>
      </c>
      <c r="M422" s="4" t="b">
        <f>K422 = 0</f>
        <v>0</v>
      </c>
      <c r="N422" s="4" t="str">
        <f>IF(((M422)=TRUE),  "",  D422)</f>
        <v>effortless-owl</v>
      </c>
      <c r="O422" s="4" t="str">
        <f>IF(((M422)=TRUE),  "",  E422)</f>
        <v>AppRoleProfiles</v>
      </c>
      <c r="P422" s="4">
        <f>COUNTIFS(FieldDisagreements!E2:E50, A422)</f>
        <v>1</v>
      </c>
      <c r="Q422" s="4" t="str">
        <f>_xlfn.IFNA(IF(((INDEX(ConformanceSubstrates!C2:C9, MATCH(D422,ConformanceSubstrates!A2:A9, 0))="")=TRUE),  "",  INDEX(ConformanceSubstrates!C2:C9, MATCH(D422,ConformanceSubstrates!A2:A9, 0))), "")</f>
        <v>OWL / SHACL</v>
      </c>
      <c r="R422" s="4" t="str">
        <f>_xlfn.IFNA(IF(((INDEX(RulebookTables!F2:F93, MATCH(E422,RulebookTables!A2:A93, 0))="")=TRUE),  "",  INDEX(RulebookTables!F2:F93, MATCH(E422,RulebookTables!A2:A93, 0))), "")</f>
        <v>org</v>
      </c>
      <c r="S422" s="3" t="s">
        <v>1918</v>
      </c>
    </row>
    <row r="423">
      <c r="A423" s="3" t="s">
        <v>14526</v>
      </c>
      <c r="B423" s="4" t="str">
        <f>_xlfn.CONCAT(D423, " / ", E423)</f>
        <v>effortless-owl / AppNavGroups</v>
      </c>
      <c r="C423" s="3" t="s">
        <v>14074</v>
      </c>
      <c r="D423" s="3" t="s">
        <v>14059</v>
      </c>
      <c r="E423" s="3" t="s">
        <v>1873</v>
      </c>
      <c r="F423" s="3">
        <v>23</v>
      </c>
      <c r="G423" s="3">
        <v>2</v>
      </c>
      <c r="H423" s="3">
        <v>46</v>
      </c>
      <c r="I423" s="3">
        <v>46</v>
      </c>
      <c r="J423" s="3" t="b">
        <v>0</v>
      </c>
      <c r="K423" s="4">
        <f>H423 - I423</f>
        <v>0</v>
      </c>
      <c r="L423" s="4">
        <f>IF(((H423 = 0)=TRUE),  0,  ROUND(100 * I423 / H423, 2))</f>
        <v>100</v>
      </c>
      <c r="M423" s="4" t="b">
        <f>K423 = 0</f>
        <v>1</v>
      </c>
      <c r="N423" s="4" t="str">
        <f>IF(((M423)=TRUE),  "",  D423)</f>
      </c>
      <c r="O423" s="4" t="str">
        <f>IF(((M423)=TRUE),  "",  E423)</f>
      </c>
      <c r="P423" s="4">
        <f>COUNTIFS(FieldDisagreements!E2:E50, A423)</f>
        <v>0</v>
      </c>
      <c r="Q423" s="4" t="str">
        <f>_xlfn.IFNA(IF(((INDEX(ConformanceSubstrates!C2:C9, MATCH(D423,ConformanceSubstrates!A2:A9, 0))="")=TRUE),  "",  INDEX(ConformanceSubstrates!C2:C9, MATCH(D423,ConformanceSubstrates!A2:A9, 0))), "")</f>
        <v>OWL / SHACL</v>
      </c>
      <c r="R423" s="4" t="str">
        <f>_xlfn.IFNA(IF(((INDEX(RulebookTables!F2:F93, MATCH(E423,RulebookTables!A2:A93, 0))="")=TRUE),  "",  INDEX(RulebookTables!F2:F93, MATCH(E423,RulebookTables!A2:A93, 0))), "")</f>
        <v>application</v>
      </c>
      <c r="S423" s="3" t="s">
        <v>1918</v>
      </c>
    </row>
    <row r="424">
      <c r="A424" s="3" t="s">
        <v>14527</v>
      </c>
      <c r="B424" s="4" t="str">
        <f>_xlfn.CONCAT(D424, " / ", E424)</f>
        <v>effortless-owl / AppRoutes</v>
      </c>
      <c r="C424" s="3" t="s">
        <v>14074</v>
      </c>
      <c r="D424" s="3" t="s">
        <v>14059</v>
      </c>
      <c r="E424" s="3" t="s">
        <v>1877</v>
      </c>
      <c r="F424" s="3">
        <v>149</v>
      </c>
      <c r="G424" s="3">
        <v>7</v>
      </c>
      <c r="H424" s="3">
        <v>1043</v>
      </c>
      <c r="I424" s="3">
        <v>1043</v>
      </c>
      <c r="J424" s="3" t="b">
        <v>0</v>
      </c>
      <c r="K424" s="4">
        <f>H424 - I424</f>
        <v>0</v>
      </c>
      <c r="L424" s="4">
        <f>IF(((H424 = 0)=TRUE),  0,  ROUND(100 * I424 / H424, 2))</f>
        <v>100</v>
      </c>
      <c r="M424" s="4" t="b">
        <f>K424 = 0</f>
        <v>1</v>
      </c>
      <c r="N424" s="4" t="str">
        <f>IF(((M424)=TRUE),  "",  D424)</f>
      </c>
      <c r="O424" s="4" t="str">
        <f>IF(((M424)=TRUE),  "",  E424)</f>
      </c>
      <c r="P424" s="4">
        <f>COUNTIFS(FieldDisagreements!E2:E50, A424)</f>
        <v>0</v>
      </c>
      <c r="Q424" s="4" t="str">
        <f>_xlfn.IFNA(IF(((INDEX(ConformanceSubstrates!C2:C9, MATCH(D424,ConformanceSubstrates!A2:A9, 0))="")=TRUE),  "",  INDEX(ConformanceSubstrates!C2:C9, MATCH(D424,ConformanceSubstrates!A2:A9, 0))), "")</f>
        <v>OWL / SHACL</v>
      </c>
      <c r="R424" s="4" t="str">
        <f>_xlfn.IFNA(IF(((INDEX(RulebookTables!F2:F93, MATCH(E424,RulebookTables!A2:A93, 0))="")=TRUE),  "",  INDEX(RulebookTables!F2:F93, MATCH(E424,RulebookTables!A2:A93, 0))), "")</f>
        <v>application</v>
      </c>
      <c r="S424" s="3" t="s">
        <v>1918</v>
      </c>
    </row>
    <row r="425">
      <c r="A425" s="3" t="s">
        <v>14528</v>
      </c>
      <c r="B425" s="4" t="str">
        <f>_xlfn.CONCAT(D425, " / ", E425)</f>
        <v>effortless-owl / AppRouteQuestions</v>
      </c>
      <c r="C425" s="3" t="s">
        <v>14074</v>
      </c>
      <c r="D425" s="3" t="s">
        <v>14059</v>
      </c>
      <c r="E425" s="3" t="s">
        <v>1881</v>
      </c>
      <c r="F425" s="3">
        <v>151</v>
      </c>
      <c r="G425" s="3">
        <v>1</v>
      </c>
      <c r="H425" s="3">
        <v>151</v>
      </c>
      <c r="I425" s="3">
        <v>151</v>
      </c>
      <c r="J425" s="3" t="b">
        <v>0</v>
      </c>
      <c r="K425" s="4">
        <f>H425 - I425</f>
        <v>0</v>
      </c>
      <c r="L425" s="4">
        <f>IF(((H425 = 0)=TRUE),  0,  ROUND(100 * I425 / H425, 2))</f>
        <v>100</v>
      </c>
      <c r="M425" s="4" t="b">
        <f>K425 = 0</f>
        <v>1</v>
      </c>
      <c r="N425" s="4" t="str">
        <f>IF(((M425)=TRUE),  "",  D425)</f>
      </c>
      <c r="O425" s="4" t="str">
        <f>IF(((M425)=TRUE),  "",  E425)</f>
      </c>
      <c r="P425" s="4">
        <f>COUNTIFS(FieldDisagreements!E2:E50, A425)</f>
        <v>0</v>
      </c>
      <c r="Q425" s="4" t="str">
        <f>_xlfn.IFNA(IF(((INDEX(ConformanceSubstrates!C2:C9, MATCH(D425,ConformanceSubstrates!A2:A9, 0))="")=TRUE),  "",  INDEX(ConformanceSubstrates!C2:C9, MATCH(D425,ConformanceSubstrates!A2:A9, 0))), "")</f>
        <v>OWL / SHACL</v>
      </c>
      <c r="R425" s="4" t="str">
        <f>_xlfn.IFNA(IF(((INDEX(RulebookTables!F2:F93, MATCH(E425,RulebookTables!A2:A93, 0))="")=TRUE),  "",  INDEX(RulebookTables!F2:F93, MATCH(E425,RulebookTables!A2:A93, 0))), "")</f>
        <v>application</v>
      </c>
      <c r="S425" s="3" t="s">
        <v>1918</v>
      </c>
    </row>
    <row r="426">
      <c r="A426" s="3" t="s">
        <v>14529</v>
      </c>
      <c r="B426" s="4" t="str">
        <f>_xlfn.CONCAT(D426, " / ", E426)</f>
        <v>effortless-owl / AppRouteReferences</v>
      </c>
      <c r="C426" s="3" t="s">
        <v>14074</v>
      </c>
      <c r="D426" s="3" t="s">
        <v>14059</v>
      </c>
      <c r="E426" s="3" t="s">
        <v>1885</v>
      </c>
      <c r="F426" s="3">
        <v>315</v>
      </c>
      <c r="G426" s="3">
        <v>1</v>
      </c>
      <c r="H426" s="3">
        <v>315</v>
      </c>
      <c r="I426" s="3">
        <v>315</v>
      </c>
      <c r="J426" s="3" t="b">
        <v>0</v>
      </c>
      <c r="K426" s="4">
        <f>H426 - I426</f>
        <v>0</v>
      </c>
      <c r="L426" s="4">
        <f>IF(((H426 = 0)=TRUE),  0,  ROUND(100 * I426 / H426, 2))</f>
        <v>100</v>
      </c>
      <c r="M426" s="4" t="b">
        <f>K426 = 0</f>
        <v>1</v>
      </c>
      <c r="N426" s="4" t="str">
        <f>IF(((M426)=TRUE),  "",  D426)</f>
      </c>
      <c r="O426" s="4" t="str">
        <f>IF(((M426)=TRUE),  "",  E426)</f>
      </c>
      <c r="P426" s="4">
        <f>COUNTIFS(FieldDisagreements!E2:E50, A426)</f>
        <v>0</v>
      </c>
      <c r="Q426" s="4" t="str">
        <f>_xlfn.IFNA(IF(((INDEX(ConformanceSubstrates!C2:C9, MATCH(D426,ConformanceSubstrates!A2:A9, 0))="")=TRUE),  "",  INDEX(ConformanceSubstrates!C2:C9, MATCH(D426,ConformanceSubstrates!A2:A9, 0))), "")</f>
        <v>OWL / SHACL</v>
      </c>
      <c r="R426" s="4" t="str">
        <f>_xlfn.IFNA(IF(((INDEX(RulebookTables!F2:F93, MATCH(E426,RulebookTables!A2:A93, 0))="")=TRUE),  "",  INDEX(RulebookTables!F2:F93, MATCH(E426,RulebookTables!A2:A93, 0))), "")</f>
        <v>application</v>
      </c>
      <c r="S426" s="3" t="s">
        <v>1918</v>
      </c>
    </row>
    <row r="427">
      <c r="A427" s="3" t="s">
        <v>14530</v>
      </c>
      <c r="B427" s="4" t="str">
        <f>_xlfn.CONCAT(D427, " / ", E427)</f>
        <v>effortless-owl / RulebookTables</v>
      </c>
      <c r="C427" s="3" t="s">
        <v>14074</v>
      </c>
      <c r="D427" s="3" t="s">
        <v>14059</v>
      </c>
      <c r="E427" s="3" t="s">
        <v>5352</v>
      </c>
      <c r="F427" s="3">
        <v>92</v>
      </c>
      <c r="G427" s="3">
        <v>5</v>
      </c>
      <c r="H427" s="3">
        <v>460</v>
      </c>
      <c r="I427" s="3">
        <v>460</v>
      </c>
      <c r="J427" s="3" t="b">
        <v>0</v>
      </c>
      <c r="K427" s="4">
        <f>H427 - I427</f>
        <v>0</v>
      </c>
      <c r="L427" s="4">
        <f>IF(((H427 = 0)=TRUE),  0,  ROUND(100 * I427 / H427, 2))</f>
        <v>100</v>
      </c>
      <c r="M427" s="4" t="b">
        <f>K427 = 0</f>
        <v>1</v>
      </c>
      <c r="N427" s="4" t="str">
        <f>IF(((M427)=TRUE),  "",  D427)</f>
      </c>
      <c r="O427" s="4" t="str">
        <f>IF(((M427)=TRUE),  "",  E427)</f>
      </c>
      <c r="P427" s="4">
        <f>COUNTIFS(FieldDisagreements!E2:E50, A427)</f>
        <v>0</v>
      </c>
      <c r="Q427" s="4" t="str">
        <f>_xlfn.IFNA(IF(((INDEX(ConformanceSubstrates!C2:C9, MATCH(D427,ConformanceSubstrates!A2:A9, 0))="")=TRUE),  "",  INDEX(ConformanceSubstrates!C2:C9, MATCH(D427,ConformanceSubstrates!A2:A9, 0))), "")</f>
        <v>OWL / SHACL</v>
      </c>
      <c r="R427" s="4" t="str">
        <f>_xlfn.IFNA(IF(((INDEX(RulebookTables!F2:F93, MATCH(E427,RulebookTables!A2:A93, 0))="")=TRUE),  "",  INDEX(RulebookTables!F2:F93, MATCH(E427,RulebookTables!A2:A93, 0))), "")</f>
        <v>meta</v>
      </c>
      <c r="S427" s="3" t="s">
        <v>1918</v>
      </c>
    </row>
    <row r="428">
      <c r="A428" s="3" t="s">
        <v>14531</v>
      </c>
      <c r="B428" s="4" t="str">
        <f>_xlfn.CONCAT(D428, " / ", E428)</f>
        <v>effortless-owl / AccessPrincipals</v>
      </c>
      <c r="C428" s="3" t="s">
        <v>14074</v>
      </c>
      <c r="D428" s="3" t="s">
        <v>14059</v>
      </c>
      <c r="E428" s="3" t="s">
        <v>5379</v>
      </c>
      <c r="F428" s="3">
        <v>12</v>
      </c>
      <c r="G428" s="3">
        <v>8</v>
      </c>
      <c r="H428" s="3">
        <v>96</v>
      </c>
      <c r="I428" s="3">
        <v>96</v>
      </c>
      <c r="J428" s="3" t="b">
        <v>0</v>
      </c>
      <c r="K428" s="4">
        <f>H428 - I428</f>
        <v>0</v>
      </c>
      <c r="L428" s="4">
        <f>IF(((H428 = 0)=TRUE),  0,  ROUND(100 * I428 / H428, 2))</f>
        <v>100</v>
      </c>
      <c r="M428" s="4" t="b">
        <f>K428 = 0</f>
        <v>1</v>
      </c>
      <c r="N428" s="4" t="str">
        <f>IF(((M428)=TRUE),  "",  D428)</f>
      </c>
      <c r="O428" s="4" t="str">
        <f>IF(((M428)=TRUE),  "",  E428)</f>
      </c>
      <c r="P428" s="4">
        <f>COUNTIFS(FieldDisagreements!E2:E50, A428)</f>
        <v>0</v>
      </c>
      <c r="Q428" s="4" t="str">
        <f>_xlfn.IFNA(IF(((INDEX(ConformanceSubstrates!C2:C9, MATCH(D428,ConformanceSubstrates!A2:A9, 0))="")=TRUE),  "",  INDEX(ConformanceSubstrates!C2:C9, MATCH(D428,ConformanceSubstrates!A2:A9, 0))), "")</f>
        <v>OWL / SHACL</v>
      </c>
      <c r="R428" s="4" t="str">
        <f>_xlfn.IFNA(IF(((INDEX(RulebookTables!F2:F93, MATCH(E428,RulebookTables!A2:A93, 0))="")=TRUE),  "",  INDEX(RulebookTables!F2:F93, MATCH(E428,RulebookTables!A2:A93, 0))), "")</f>
        <v>access-control</v>
      </c>
      <c r="S428" s="3" t="s">
        <v>1918</v>
      </c>
    </row>
    <row r="429">
      <c r="A429" s="3" t="s">
        <v>14532</v>
      </c>
      <c r="B429" s="4" t="str">
        <f>_xlfn.CONCAT(D429, " / ", E429)</f>
        <v>effortless-owl / AccessPolicies</v>
      </c>
      <c r="C429" s="3" t="s">
        <v>14074</v>
      </c>
      <c r="D429" s="3" t="s">
        <v>14059</v>
      </c>
      <c r="E429" s="3" t="s">
        <v>5412</v>
      </c>
      <c r="F429" s="3">
        <v>202</v>
      </c>
      <c r="G429" s="3">
        <v>7</v>
      </c>
      <c r="H429" s="3">
        <v>1414</v>
      </c>
      <c r="I429" s="3">
        <v>1414</v>
      </c>
      <c r="J429" s="3" t="b">
        <v>0</v>
      </c>
      <c r="K429" s="4">
        <f>H429 - I429</f>
        <v>0</v>
      </c>
      <c r="L429" s="4">
        <f>IF(((H429 = 0)=TRUE),  0,  ROUND(100 * I429 / H429, 2))</f>
        <v>100</v>
      </c>
      <c r="M429" s="4" t="b">
        <f>K429 = 0</f>
        <v>1</v>
      </c>
      <c r="N429" s="4" t="str">
        <f>IF(((M429)=TRUE),  "",  D429)</f>
      </c>
      <c r="O429" s="4" t="str">
        <f>IF(((M429)=TRUE),  "",  E429)</f>
      </c>
      <c r="P429" s="4">
        <f>COUNTIFS(FieldDisagreements!E2:E50, A429)</f>
        <v>0</v>
      </c>
      <c r="Q429" s="4" t="str">
        <f>_xlfn.IFNA(IF(((INDEX(ConformanceSubstrates!C2:C9, MATCH(D429,ConformanceSubstrates!A2:A9, 0))="")=TRUE),  "",  INDEX(ConformanceSubstrates!C2:C9, MATCH(D429,ConformanceSubstrates!A2:A9, 0))), "")</f>
        <v>OWL / SHACL</v>
      </c>
      <c r="R429" s="4" t="str">
        <f>_xlfn.IFNA(IF(((INDEX(RulebookTables!F2:F93, MATCH(E429,RulebookTables!A2:A93, 0))="")=TRUE),  "",  INDEX(RulebookTables!F2:F93, MATCH(E429,RulebookTables!A2:A93, 0))), "")</f>
        <v>access-control</v>
      </c>
      <c r="S429" s="3" t="s">
        <v>1918</v>
      </c>
    </row>
    <row r="430">
      <c r="A430" s="3" t="s">
        <v>14533</v>
      </c>
      <c r="B430" s="4" t="str">
        <f>_xlfn.CONCAT(D430, " / ", E430)</f>
        <v>effortless-owl / FieldGrants</v>
      </c>
      <c r="C430" s="3" t="s">
        <v>14074</v>
      </c>
      <c r="D430" s="3" t="s">
        <v>14059</v>
      </c>
      <c r="E430" s="3" t="s">
        <v>5448</v>
      </c>
      <c r="F430" s="3">
        <v>3639</v>
      </c>
      <c r="G430" s="3">
        <v>7</v>
      </c>
      <c r="H430" s="3">
        <v>25473</v>
      </c>
      <c r="I430" s="3">
        <v>25473</v>
      </c>
      <c r="J430" s="3" t="b">
        <v>0</v>
      </c>
      <c r="K430" s="4">
        <f>H430 - I430</f>
        <v>0</v>
      </c>
      <c r="L430" s="4">
        <f>IF(((H430 = 0)=TRUE),  0,  ROUND(100 * I430 / H430, 2))</f>
        <v>100</v>
      </c>
      <c r="M430" s="4" t="b">
        <f>K430 = 0</f>
        <v>1</v>
      </c>
      <c r="N430" s="4" t="str">
        <f>IF(((M430)=TRUE),  "",  D430)</f>
      </c>
      <c r="O430" s="4" t="str">
        <f>IF(((M430)=TRUE),  "",  E430)</f>
      </c>
      <c r="P430" s="4">
        <f>COUNTIFS(FieldDisagreements!E2:E50, A430)</f>
        <v>0</v>
      </c>
      <c r="Q430" s="4" t="str">
        <f>_xlfn.IFNA(IF(((INDEX(ConformanceSubstrates!C2:C9, MATCH(D430,ConformanceSubstrates!A2:A9, 0))="")=TRUE),  "",  INDEX(ConformanceSubstrates!C2:C9, MATCH(D430,ConformanceSubstrates!A2:A9, 0))), "")</f>
        <v>OWL / SHACL</v>
      </c>
      <c r="R430" s="4" t="str">
        <f>_xlfn.IFNA(IF(((INDEX(RulebookTables!F2:F93, MATCH(E430,RulebookTables!A2:A93, 0))="")=TRUE),  "",  INDEX(RulebookTables!F2:F93, MATCH(E430,RulebookTables!A2:A93, 0))), "")</f>
        <v>access-control</v>
      </c>
      <c r="S430" s="3" t="s">
        <v>1918</v>
      </c>
    </row>
    <row r="431">
      <c r="A431" s="3" t="s">
        <v>14534</v>
      </c>
      <c r="B431" s="4" t="str">
        <f>_xlfn.CONCAT(D431, " / ", E431)</f>
        <v>effortless-owl / RoleSchemas</v>
      </c>
      <c r="C431" s="3" t="s">
        <v>14074</v>
      </c>
      <c r="D431" s="3" t="s">
        <v>14059</v>
      </c>
      <c r="E431" s="3" t="s">
        <v>5479</v>
      </c>
      <c r="F431" s="3">
        <v>12</v>
      </c>
      <c r="G431" s="3">
        <v>4</v>
      </c>
      <c r="H431" s="3">
        <v>48</v>
      </c>
      <c r="I431" s="3">
        <v>48</v>
      </c>
      <c r="J431" s="3" t="b">
        <v>0</v>
      </c>
      <c r="K431" s="4">
        <f>H431 - I431</f>
        <v>0</v>
      </c>
      <c r="L431" s="4">
        <f>IF(((H431 = 0)=TRUE),  0,  ROUND(100 * I431 / H431, 2))</f>
        <v>100</v>
      </c>
      <c r="M431" s="4" t="b">
        <f>K431 = 0</f>
        <v>1</v>
      </c>
      <c r="N431" s="4" t="str">
        <f>IF(((M431)=TRUE),  "",  D431)</f>
      </c>
      <c r="O431" s="4" t="str">
        <f>IF(((M431)=TRUE),  "",  E431)</f>
      </c>
      <c r="P431" s="4">
        <f>COUNTIFS(FieldDisagreements!E2:E50, A431)</f>
        <v>0</v>
      </c>
      <c r="Q431" s="4" t="str">
        <f>_xlfn.IFNA(IF(((INDEX(ConformanceSubstrates!C2:C9, MATCH(D431,ConformanceSubstrates!A2:A9, 0))="")=TRUE),  "",  INDEX(ConformanceSubstrates!C2:C9, MATCH(D431,ConformanceSubstrates!A2:A9, 0))), "")</f>
        <v>OWL / SHACL</v>
      </c>
      <c r="R431" s="4" t="str">
        <f>_xlfn.IFNA(IF(((INDEX(RulebookTables!F2:F93, MATCH(E431,RulebookTables!A2:A93, 0))="")=TRUE),  "",  INDEX(RulebookTables!F2:F93, MATCH(E431,RulebookTables!A2:A93, 0))), "")</f>
        <v>org</v>
      </c>
      <c r="S431" s="3" t="s">
        <v>1918</v>
      </c>
    </row>
    <row r="432">
      <c r="A432" s="3" t="s">
        <v>14535</v>
      </c>
      <c r="B432" s="4" t="str">
        <f>_xlfn.CONCAT(D432, " / ", E432)</f>
        <v>effortless-owl / RoleSchemaViews</v>
      </c>
      <c r="C432" s="3" t="s">
        <v>14074</v>
      </c>
      <c r="D432" s="3" t="s">
        <v>14059</v>
      </c>
      <c r="E432" s="3" t="s">
        <v>5497</v>
      </c>
      <c r="F432" s="3">
        <v>202</v>
      </c>
      <c r="G432" s="3">
        <v>8</v>
      </c>
      <c r="H432" s="3">
        <v>1616</v>
      </c>
      <c r="I432" s="3">
        <v>1616</v>
      </c>
      <c r="J432" s="3" t="b">
        <v>0</v>
      </c>
      <c r="K432" s="4">
        <f>H432 - I432</f>
        <v>0</v>
      </c>
      <c r="L432" s="4">
        <f>IF(((H432 = 0)=TRUE),  0,  ROUND(100 * I432 / H432, 2))</f>
        <v>100</v>
      </c>
      <c r="M432" s="4" t="b">
        <f>K432 = 0</f>
        <v>1</v>
      </c>
      <c r="N432" s="4" t="str">
        <f>IF(((M432)=TRUE),  "",  D432)</f>
      </c>
      <c r="O432" s="4" t="str">
        <f>IF(((M432)=TRUE),  "",  E432)</f>
      </c>
      <c r="P432" s="4">
        <f>COUNTIFS(FieldDisagreements!E2:E50, A432)</f>
        <v>0</v>
      </c>
      <c r="Q432" s="4" t="str">
        <f>_xlfn.IFNA(IF(((INDEX(ConformanceSubstrates!C2:C9, MATCH(D432,ConformanceSubstrates!A2:A9, 0))="")=TRUE),  "",  INDEX(ConformanceSubstrates!C2:C9, MATCH(D432,ConformanceSubstrates!A2:A9, 0))), "")</f>
        <v>OWL / SHACL</v>
      </c>
      <c r="R432" s="4" t="str">
        <f>_xlfn.IFNA(IF(((INDEX(RulebookTables!F2:F93, MATCH(E432,RulebookTables!A2:A93, 0))="")=TRUE),  "",  INDEX(RulebookTables!F2:F93, MATCH(E432,RulebookTables!A2:A93, 0))), "")</f>
        <v>org</v>
      </c>
      <c r="S432" s="3" t="s">
        <v>1918</v>
      </c>
    </row>
    <row r="433">
      <c r="A433" s="3" t="s">
        <v>14536</v>
      </c>
      <c r="B433" s="4" t="str">
        <f>_xlfn.CONCAT(D433, " / ", E433)</f>
        <v>effortless-owl / JwtClaimMappings</v>
      </c>
      <c r="C433" s="3" t="s">
        <v>14074</v>
      </c>
      <c r="D433" s="3" t="s">
        <v>14059</v>
      </c>
      <c r="E433" s="3" t="s">
        <v>5529</v>
      </c>
      <c r="F433" s="3">
        <v>4</v>
      </c>
      <c r="G433" s="3">
        <v>2</v>
      </c>
      <c r="H433" s="3">
        <v>8</v>
      </c>
      <c r="I433" s="3">
        <v>8</v>
      </c>
      <c r="J433" s="3" t="b">
        <v>0</v>
      </c>
      <c r="K433" s="4">
        <f>H433 - I433</f>
        <v>0</v>
      </c>
      <c r="L433" s="4">
        <f>IF(((H433 = 0)=TRUE),  0,  ROUND(100 * I433 / H433, 2))</f>
        <v>100</v>
      </c>
      <c r="M433" s="4" t="b">
        <f>K433 = 0</f>
        <v>1</v>
      </c>
      <c r="N433" s="4" t="str">
        <f>IF(((M433)=TRUE),  "",  D433)</f>
      </c>
      <c r="O433" s="4" t="str">
        <f>IF(((M433)=TRUE),  "",  E433)</f>
      </c>
      <c r="P433" s="4">
        <f>COUNTIFS(FieldDisagreements!E2:E50, A433)</f>
        <v>0</v>
      </c>
      <c r="Q433" s="4" t="str">
        <f>_xlfn.IFNA(IF(((INDEX(ConformanceSubstrates!C2:C9, MATCH(D433,ConformanceSubstrates!A2:A9, 0))="")=TRUE),  "",  INDEX(ConformanceSubstrates!C2:C9, MATCH(D433,ConformanceSubstrates!A2:A9, 0))), "")</f>
        <v>OWL / SHACL</v>
      </c>
      <c r="R433" s="4" t="str">
        <f>_xlfn.IFNA(IF(((INDEX(RulebookTables!F2:F93, MATCH(E433,RulebookTables!A2:A93, 0))="")=TRUE),  "",  INDEX(RulebookTables!F2:F93, MATCH(E433,RulebookTables!A2:A93, 0))), "")</f>
        <v>access-control</v>
      </c>
      <c r="S433" s="3" t="s">
        <v>1918</v>
      </c>
    </row>
    <row r="434">
      <c r="A434" s="3" t="s">
        <v>14537</v>
      </c>
      <c r="B434" s="4" t="str">
        <f>_xlfn.CONCAT(D434, " / ", E434)</f>
        <v>effortless-owl / AccessDenialTests</v>
      </c>
      <c r="C434" s="3" t="s">
        <v>14074</v>
      </c>
      <c r="D434" s="3" t="s">
        <v>14059</v>
      </c>
      <c r="E434" s="3" t="s">
        <v>5548</v>
      </c>
      <c r="F434" s="3">
        <v>17</v>
      </c>
      <c r="G434" s="3">
        <v>6</v>
      </c>
      <c r="H434" s="3">
        <v>102</v>
      </c>
      <c r="I434" s="3">
        <v>94</v>
      </c>
      <c r="J434" s="3" t="b">
        <v>0</v>
      </c>
      <c r="K434" s="4">
        <f>H434 - I434</f>
        <v>8</v>
      </c>
      <c r="L434" s="4">
        <f>IF(((H434 = 0)=TRUE),  0,  ROUND(100 * I434 / H434, 2))</f>
        <v>92.16</v>
      </c>
      <c r="M434" s="4" t="b">
        <f>K434 = 0</f>
        <v>0</v>
      </c>
      <c r="N434" s="4" t="str">
        <f>IF(((M434)=TRUE),  "",  D434)</f>
        <v>effortless-owl</v>
      </c>
      <c r="O434" s="4" t="str">
        <f>IF(((M434)=TRUE),  "",  E434)</f>
        <v>AccessDenialTests</v>
      </c>
      <c r="P434" s="4">
        <f>COUNTIFS(FieldDisagreements!E2:E50, A434)</f>
        <v>1</v>
      </c>
      <c r="Q434" s="4" t="str">
        <f>_xlfn.IFNA(IF(((INDEX(ConformanceSubstrates!C2:C9, MATCH(D434,ConformanceSubstrates!A2:A9, 0))="")=TRUE),  "",  INDEX(ConformanceSubstrates!C2:C9, MATCH(D434,ConformanceSubstrates!A2:A9, 0))), "")</f>
        <v>OWL / SHACL</v>
      </c>
      <c r="R434" s="4" t="str">
        <f>_xlfn.IFNA(IF(((INDEX(RulebookTables!F2:F93, MATCH(E434,RulebookTables!A2:A93, 0))="")=TRUE),  "",  INDEX(RulebookTables!F2:F93, MATCH(E434,RulebookTables!A2:A93, 0))), "")</f>
        <v>access-control</v>
      </c>
      <c r="S434" s="3" t="s">
        <v>1918</v>
      </c>
    </row>
    <row r="435">
      <c r="A435" s="3" t="s">
        <v>14538</v>
      </c>
      <c r="B435" s="4" t="str">
        <f>_xlfn.CONCAT(D435, " / ", E435)</f>
        <v>effortless-owl / AppUsers</v>
      </c>
      <c r="C435" s="3" t="s">
        <v>14074</v>
      </c>
      <c r="D435" s="3" t="s">
        <v>14059</v>
      </c>
      <c r="E435" s="3" t="s">
        <v>5584</v>
      </c>
      <c r="F435" s="3">
        <v>10</v>
      </c>
      <c r="G435" s="3">
        <v>7</v>
      </c>
      <c r="H435" s="3">
        <v>70</v>
      </c>
      <c r="I435" s="3">
        <v>70</v>
      </c>
      <c r="J435" s="3" t="b">
        <v>0</v>
      </c>
      <c r="K435" s="4">
        <f>H435 - I435</f>
        <v>0</v>
      </c>
      <c r="L435" s="4">
        <f>IF(((H435 = 0)=TRUE),  0,  ROUND(100 * I435 / H435, 2))</f>
        <v>100</v>
      </c>
      <c r="M435" s="4" t="b">
        <f>K435 = 0</f>
        <v>1</v>
      </c>
      <c r="N435" s="4" t="str">
        <f>IF(((M435)=TRUE),  "",  D435)</f>
      </c>
      <c r="O435" s="4" t="str">
        <f>IF(((M435)=TRUE),  "",  E435)</f>
      </c>
      <c r="P435" s="4">
        <f>COUNTIFS(FieldDisagreements!E2:E50, A435)</f>
        <v>0</v>
      </c>
      <c r="Q435" s="4" t="str">
        <f>_xlfn.IFNA(IF(((INDEX(ConformanceSubstrates!C2:C9, MATCH(D435,ConformanceSubstrates!A2:A9, 0))="")=TRUE),  "",  INDEX(ConformanceSubstrates!C2:C9, MATCH(D435,ConformanceSubstrates!A2:A9, 0))), "")</f>
        <v>OWL / SHACL</v>
      </c>
      <c r="R435" s="4" t="str">
        <f>_xlfn.IFNA(IF(((INDEX(RulebookTables!F2:F93, MATCH(E435,RulebookTables!A2:A93, 0))="")=TRUE),  "",  INDEX(RulebookTables!F2:F93, MATCH(E435,RulebookTables!A2:A93, 0))), "")</f>
      </c>
      <c r="S435" s="3" t="s">
        <v>1918</v>
      </c>
    </row>
    <row r="436">
      <c r="A436" s="3" t="s">
        <v>14539</v>
      </c>
      <c r="B436" s="4" t="str">
        <f>_xlfn.CONCAT(D436, " / ", E436)</f>
        <v>effortless-owl / PrincipalAssignments</v>
      </c>
      <c r="C436" s="3" t="s">
        <v>14074</v>
      </c>
      <c r="D436" s="3" t="s">
        <v>14059</v>
      </c>
      <c r="E436" s="3" t="s">
        <v>5611</v>
      </c>
      <c r="F436" s="3">
        <v>12</v>
      </c>
      <c r="G436" s="3">
        <v>5</v>
      </c>
      <c r="H436" s="3">
        <v>60</v>
      </c>
      <c r="I436" s="3">
        <v>60</v>
      </c>
      <c r="J436" s="3" t="b">
        <v>0</v>
      </c>
      <c r="K436" s="4">
        <f>H436 - I436</f>
        <v>0</v>
      </c>
      <c r="L436" s="4">
        <f>IF(((H436 = 0)=TRUE),  0,  ROUND(100 * I436 / H436, 2))</f>
        <v>100</v>
      </c>
      <c r="M436" s="4" t="b">
        <f>K436 = 0</f>
        <v>1</v>
      </c>
      <c r="N436" s="4" t="str">
        <f>IF(((M436)=TRUE),  "",  D436)</f>
      </c>
      <c r="O436" s="4" t="str">
        <f>IF(((M436)=TRUE),  "",  E436)</f>
      </c>
      <c r="P436" s="4">
        <f>COUNTIFS(FieldDisagreements!E2:E50, A436)</f>
        <v>0</v>
      </c>
      <c r="Q436" s="4" t="str">
        <f>_xlfn.IFNA(IF(((INDEX(ConformanceSubstrates!C2:C9, MATCH(D436,ConformanceSubstrates!A2:A9, 0))="")=TRUE),  "",  INDEX(ConformanceSubstrates!C2:C9, MATCH(D436,ConformanceSubstrates!A2:A9, 0))), "")</f>
        <v>OWL / SHACL</v>
      </c>
      <c r="R436" s="4" t="str">
        <f>_xlfn.IFNA(IF(((INDEX(RulebookTables!F2:F93, MATCH(E436,RulebookTables!A2:A93, 0))="")=TRUE),  "",  INDEX(RulebookTables!F2:F93, MATCH(E436,RulebookTables!A2:A93, 0))), "")</f>
      </c>
      <c r="S436" s="3" t="s">
        <v>1918</v>
      </c>
    </row>
    <row r="437">
      <c r="A437" s="3" t="s">
        <v>14540</v>
      </c>
      <c r="B437" s="4" t="str">
        <f>_xlfn.CONCAT(D437, " / ", E437)</f>
        <v>effortless-owl / ProcessMiningRuns</v>
      </c>
      <c r="C437" s="3" t="s">
        <v>14074</v>
      </c>
      <c r="D437" s="3" t="s">
        <v>14059</v>
      </c>
      <c r="E437" s="3" t="s">
        <v>1889</v>
      </c>
      <c r="F437" s="3">
        <v>4</v>
      </c>
      <c r="G437" s="3">
        <v>10</v>
      </c>
      <c r="H437" s="3">
        <v>40</v>
      </c>
      <c r="I437" s="3">
        <v>40</v>
      </c>
      <c r="J437" s="3" t="b">
        <v>0</v>
      </c>
      <c r="K437" s="4">
        <f>H437 - I437</f>
        <v>0</v>
      </c>
      <c r="L437" s="4">
        <f>IF(((H437 = 0)=TRUE),  0,  ROUND(100 * I437 / H437, 2))</f>
        <v>100</v>
      </c>
      <c r="M437" s="4" t="b">
        <f>K437 = 0</f>
        <v>1</v>
      </c>
      <c r="N437" s="4" t="str">
        <f>IF(((M437)=TRUE),  "",  D437)</f>
      </c>
      <c r="O437" s="4" t="str">
        <f>IF(((M437)=TRUE),  "",  E437)</f>
      </c>
      <c r="P437" s="4">
        <f>COUNTIFS(FieldDisagreements!E2:E50, A437)</f>
        <v>0</v>
      </c>
      <c r="Q437" s="4" t="str">
        <f>_xlfn.IFNA(IF(((INDEX(ConformanceSubstrates!C2:C9, MATCH(D437,ConformanceSubstrates!A2:A9, 0))="")=TRUE),  "",  INDEX(ConformanceSubstrates!C2:C9, MATCH(D437,ConformanceSubstrates!A2:A9, 0))), "")</f>
        <v>OWL / SHACL</v>
      </c>
      <c r="R437" s="4" t="str">
        <f>_xlfn.IFNA(IF(((INDEX(RulebookTables!F2:F93, MATCH(E437,RulebookTables!A2:A93, 0))="")=TRUE),  "",  INDEX(RulebookTables!F2:F93, MATCH(E437,RulebookTables!A2:A93, 0))), "")</f>
        <v>knowledge</v>
      </c>
      <c r="S437" s="3" t="s">
        <v>1918</v>
      </c>
    </row>
    <row r="438">
      <c r="A438" s="3" t="s">
        <v>14541</v>
      </c>
      <c r="B438" s="4" t="str">
        <f>_xlfn.CONCAT(D438, " / ", E438)</f>
        <v>effortless-owl / Vocabularies</v>
      </c>
      <c r="C438" s="3" t="s">
        <v>14074</v>
      </c>
      <c r="D438" s="3" t="s">
        <v>14059</v>
      </c>
      <c r="E438" s="3" t="s">
        <v>1893</v>
      </c>
      <c r="F438" s="3">
        <v>2</v>
      </c>
      <c r="G438" s="3">
        <v>4</v>
      </c>
      <c r="H438" s="3">
        <v>8</v>
      </c>
      <c r="I438" s="3">
        <v>8</v>
      </c>
      <c r="J438" s="3" t="b">
        <v>0</v>
      </c>
      <c r="K438" s="4">
        <f>H438 - I438</f>
        <v>0</v>
      </c>
      <c r="L438" s="4">
        <f>IF(((H438 = 0)=TRUE),  0,  ROUND(100 * I438 / H438, 2))</f>
        <v>100</v>
      </c>
      <c r="M438" s="4" t="b">
        <f>K438 = 0</f>
        <v>1</v>
      </c>
      <c r="N438" s="4" t="str">
        <f>IF(((M438)=TRUE),  "",  D438)</f>
      </c>
      <c r="O438" s="4" t="str">
        <f>IF(((M438)=TRUE),  "",  E438)</f>
      </c>
      <c r="P438" s="4">
        <f>COUNTIFS(FieldDisagreements!E2:E50, A438)</f>
        <v>0</v>
      </c>
      <c r="Q438" s="4" t="str">
        <f>_xlfn.IFNA(IF(((INDEX(ConformanceSubstrates!C2:C9, MATCH(D438,ConformanceSubstrates!A2:A9, 0))="")=TRUE),  "",  INDEX(ConformanceSubstrates!C2:C9, MATCH(D438,ConformanceSubstrates!A2:A9, 0))), "")</f>
        <v>OWL / SHACL</v>
      </c>
      <c r="R438" s="4" t="str">
        <f>_xlfn.IFNA(IF(((INDEX(RulebookTables!F2:F93, MATCH(E438,RulebookTables!A2:A93, 0))="")=TRUE),  "",  INDEX(RulebookTables!F2:F93, MATCH(E438,RulebookTables!A2:A93, 0))), "")</f>
        <v>knowledge</v>
      </c>
      <c r="S438" s="3" t="s">
        <v>1918</v>
      </c>
    </row>
    <row r="439">
      <c r="A439" s="3" t="s">
        <v>14542</v>
      </c>
      <c r="B439" s="4" t="str">
        <f>_xlfn.CONCAT(D439, " / ", E439)</f>
        <v>effortless-owl / VocabularyTerms</v>
      </c>
      <c r="C439" s="3" t="s">
        <v>14074</v>
      </c>
      <c r="D439" s="3" t="s">
        <v>14059</v>
      </c>
      <c r="E439" s="3" t="s">
        <v>1897</v>
      </c>
      <c r="F439" s="3">
        <v>12</v>
      </c>
      <c r="G439" s="3">
        <v>5</v>
      </c>
      <c r="H439" s="3">
        <v>60</v>
      </c>
      <c r="I439" s="3">
        <v>60</v>
      </c>
      <c r="J439" s="3" t="b">
        <v>0</v>
      </c>
      <c r="K439" s="4">
        <f>H439 - I439</f>
        <v>0</v>
      </c>
      <c r="L439" s="4">
        <f>IF(((H439 = 0)=TRUE),  0,  ROUND(100 * I439 / H439, 2))</f>
        <v>100</v>
      </c>
      <c r="M439" s="4" t="b">
        <f>K439 = 0</f>
        <v>1</v>
      </c>
      <c r="N439" s="4" t="str">
        <f>IF(((M439)=TRUE),  "",  D439)</f>
      </c>
      <c r="O439" s="4" t="str">
        <f>IF(((M439)=TRUE),  "",  E439)</f>
      </c>
      <c r="P439" s="4">
        <f>COUNTIFS(FieldDisagreements!E2:E50, A439)</f>
        <v>0</v>
      </c>
      <c r="Q439" s="4" t="str">
        <f>_xlfn.IFNA(IF(((INDEX(ConformanceSubstrates!C2:C9, MATCH(D439,ConformanceSubstrates!A2:A9, 0))="")=TRUE),  "",  INDEX(ConformanceSubstrates!C2:C9, MATCH(D439,ConformanceSubstrates!A2:A9, 0))), "")</f>
        <v>OWL / SHACL</v>
      </c>
      <c r="R439" s="4" t="str">
        <f>_xlfn.IFNA(IF(((INDEX(RulebookTables!F2:F93, MATCH(E439,RulebookTables!A2:A93, 0))="")=TRUE),  "",  INDEX(RulebookTables!F2:F93, MATCH(E439,RulebookTables!A2:A93, 0))), "")</f>
        <v>knowledge</v>
      </c>
      <c r="S439" s="3" t="s">
        <v>1918</v>
      </c>
    </row>
    <row r="440">
      <c r="A440" s="3" t="s">
        <v>14543</v>
      </c>
      <c r="B440" s="4" t="str">
        <f>_xlfn.CONCAT(D440, " / ", E440)</f>
        <v>effortless-owl / KnowledgeBrokerLinks</v>
      </c>
      <c r="C440" s="3" t="s">
        <v>14074</v>
      </c>
      <c r="D440" s="3" t="s">
        <v>14059</v>
      </c>
      <c r="E440" s="3" t="s">
        <v>1901</v>
      </c>
      <c r="F440" s="3">
        <v>5</v>
      </c>
      <c r="G440" s="3">
        <v>8</v>
      </c>
      <c r="H440" s="3">
        <v>40</v>
      </c>
      <c r="I440" s="3">
        <v>40</v>
      </c>
      <c r="J440" s="3" t="b">
        <v>0</v>
      </c>
      <c r="K440" s="4">
        <f>H440 - I440</f>
        <v>0</v>
      </c>
      <c r="L440" s="4">
        <f>IF(((H440 = 0)=TRUE),  0,  ROUND(100 * I440 / H440, 2))</f>
        <v>100</v>
      </c>
      <c r="M440" s="4" t="b">
        <f>K440 = 0</f>
        <v>1</v>
      </c>
      <c r="N440" s="4" t="str">
        <f>IF(((M440)=TRUE),  "",  D440)</f>
      </c>
      <c r="O440" s="4" t="str">
        <f>IF(((M440)=TRUE),  "",  E440)</f>
      </c>
      <c r="P440" s="4">
        <f>COUNTIFS(FieldDisagreements!E2:E50, A440)</f>
        <v>0</v>
      </c>
      <c r="Q440" s="4" t="str">
        <f>_xlfn.IFNA(IF(((INDEX(ConformanceSubstrates!C2:C9, MATCH(D440,ConformanceSubstrates!A2:A9, 0))="")=TRUE),  "",  INDEX(ConformanceSubstrates!C2:C9, MATCH(D440,ConformanceSubstrates!A2:A9, 0))), "")</f>
        <v>OWL / SHACL</v>
      </c>
      <c r="R440" s="4" t="str">
        <f>_xlfn.IFNA(IF(((INDEX(RulebookTables!F2:F93, MATCH(E440,RulebookTables!A2:A93, 0))="")=TRUE),  "",  INDEX(RulebookTables!F2:F93, MATCH(E440,RulebookTables!A2:A93, 0))), "")</f>
        <v>knowledge</v>
      </c>
      <c r="S440" s="3" t="s">
        <v>1918</v>
      </c>
    </row>
    <row r="441">
      <c r="A441" s="3" t="s">
        <v>14544</v>
      </c>
      <c r="B441" s="4" t="str">
        <f>_xlfn.CONCAT(D441, " / ", E441)</f>
        <v>effortless-owl / ConformanceSubstrates</v>
      </c>
      <c r="C441" s="3" t="s">
        <v>14074</v>
      </c>
      <c r="D441" s="3" t="s">
        <v>14059</v>
      </c>
      <c r="E441" s="3" t="s">
        <v>1905</v>
      </c>
      <c r="F441" s="3">
        <v>8</v>
      </c>
      <c r="G441" s="3">
        <v>11</v>
      </c>
      <c r="H441" s="3">
        <v>88</v>
      </c>
      <c r="I441" s="3">
        <v>88</v>
      </c>
      <c r="J441" s="3" t="b">
        <v>0</v>
      </c>
      <c r="K441" s="4">
        <f>H441 - I441</f>
        <v>0</v>
      </c>
      <c r="L441" s="4">
        <f>IF(((H441 = 0)=TRUE),  0,  ROUND(100 * I441 / H441, 2))</f>
        <v>100</v>
      </c>
      <c r="M441" s="4" t="b">
        <f>K441 = 0</f>
        <v>1</v>
      </c>
      <c r="N441" s="4" t="str">
        <f>IF(((M441)=TRUE),  "",  D441)</f>
      </c>
      <c r="O441" s="4" t="str">
        <f>IF(((M441)=TRUE),  "",  E441)</f>
      </c>
      <c r="P441" s="4">
        <f>COUNTIFS(FieldDisagreements!E2:E50, A441)</f>
        <v>0</v>
      </c>
      <c r="Q441" s="4" t="str">
        <f>_xlfn.IFNA(IF(((INDEX(ConformanceSubstrates!C2:C9, MATCH(D441,ConformanceSubstrates!A2:A9, 0))="")=TRUE),  "",  INDEX(ConformanceSubstrates!C2:C9, MATCH(D441,ConformanceSubstrates!A2:A9, 0))), "")</f>
        <v>OWL / SHACL</v>
      </c>
      <c r="R441" s="4" t="str">
        <f>_xlfn.IFNA(IF(((INDEX(RulebookTables!F2:F93, MATCH(E441,RulebookTables!A2:A93, 0))="")=TRUE),  "",  INDEX(RulebookTables!F2:F93, MATCH(E441,RulebookTables!A2:A93, 0))), "")</f>
        <v>meta</v>
      </c>
      <c r="S441" s="3" t="s">
        <v>1918</v>
      </c>
    </row>
    <row r="442">
      <c r="A442" s="3" t="s">
        <v>14545</v>
      </c>
      <c r="B442" s="4" t="str">
        <f>_xlfn.CONCAT(D442, " / ", E442)</f>
        <v>effortless-owl / ConformanceRuns</v>
      </c>
      <c r="C442" s="3" t="s">
        <v>14074</v>
      </c>
      <c r="D442" s="3" t="s">
        <v>14059</v>
      </c>
      <c r="E442" s="3" t="s">
        <v>1909</v>
      </c>
      <c r="F442" s="3">
        <v>3</v>
      </c>
      <c r="G442" s="3">
        <v>9</v>
      </c>
      <c r="H442" s="3">
        <v>27</v>
      </c>
      <c r="I442" s="3">
        <v>27</v>
      </c>
      <c r="J442" s="3" t="b">
        <v>0</v>
      </c>
      <c r="K442" s="4">
        <f>H442 - I442</f>
        <v>0</v>
      </c>
      <c r="L442" s="4">
        <f>IF(((H442 = 0)=TRUE),  0,  ROUND(100 * I442 / H442, 2))</f>
        <v>100</v>
      </c>
      <c r="M442" s="4" t="b">
        <f>K442 = 0</f>
        <v>1</v>
      </c>
      <c r="N442" s="4" t="str">
        <f>IF(((M442)=TRUE),  "",  D442)</f>
      </c>
      <c r="O442" s="4" t="str">
        <f>IF(((M442)=TRUE),  "",  E442)</f>
      </c>
      <c r="P442" s="4">
        <f>COUNTIFS(FieldDisagreements!E2:E50, A442)</f>
        <v>0</v>
      </c>
      <c r="Q442" s="4" t="str">
        <f>_xlfn.IFNA(IF(((INDEX(ConformanceSubstrates!C2:C9, MATCH(D442,ConformanceSubstrates!A2:A9, 0))="")=TRUE),  "",  INDEX(ConformanceSubstrates!C2:C9, MATCH(D442,ConformanceSubstrates!A2:A9, 0))), "")</f>
        <v>OWL / SHACL</v>
      </c>
      <c r="R442" s="4" t="str">
        <f>_xlfn.IFNA(IF(((INDEX(RulebookTables!F2:F93, MATCH(E442,RulebookTables!A2:A93, 0))="")=TRUE),  "",  INDEX(RulebookTables!F2:F93, MATCH(E442,RulebookTables!A2:A93, 0))), "")</f>
        <v>meta</v>
      </c>
      <c r="S442" s="3" t="s">
        <v>1918</v>
      </c>
    </row>
    <row r="443">
      <c r="A443" s="3" t="s">
        <v>14546</v>
      </c>
      <c r="B443" s="4" t="str">
        <f>_xlfn.CONCAT(D443, " / ", E443)</f>
        <v>effortless-owl / SubstrateRunScores</v>
      </c>
      <c r="C443" s="3" t="s">
        <v>14074</v>
      </c>
      <c r="D443" s="3" t="s">
        <v>14059</v>
      </c>
      <c r="E443" s="3" t="s">
        <v>1913</v>
      </c>
      <c r="F443" s="3">
        <v>21</v>
      </c>
      <c r="G443" s="3">
        <v>13</v>
      </c>
      <c r="H443" s="3">
        <v>273</v>
      </c>
      <c r="I443" s="3">
        <v>273</v>
      </c>
      <c r="J443" s="3" t="b">
        <v>0</v>
      </c>
      <c r="K443" s="4">
        <f>H443 - I443</f>
        <v>0</v>
      </c>
      <c r="L443" s="4">
        <f>IF(((H443 = 0)=TRUE),  0,  ROUND(100 * I443 / H443, 2))</f>
        <v>100</v>
      </c>
      <c r="M443" s="4" t="b">
        <f>K443 = 0</f>
        <v>1</v>
      </c>
      <c r="N443" s="4" t="str">
        <f>IF(((M443)=TRUE),  "",  D443)</f>
      </c>
      <c r="O443" s="4" t="str">
        <f>IF(((M443)=TRUE),  "",  E443)</f>
      </c>
      <c r="P443" s="4">
        <f>COUNTIFS(FieldDisagreements!E2:E50, A443)</f>
        <v>0</v>
      </c>
      <c r="Q443" s="4" t="str">
        <f>_xlfn.IFNA(IF(((INDEX(ConformanceSubstrates!C2:C9, MATCH(D443,ConformanceSubstrates!A2:A9, 0))="")=TRUE),  "",  INDEX(ConformanceSubstrates!C2:C9, MATCH(D443,ConformanceSubstrates!A2:A9, 0))), "")</f>
        <v>OWL / SHACL</v>
      </c>
      <c r="R443" s="4" t="str">
        <f>_xlfn.IFNA(IF(((INDEX(RulebookTables!F2:F93, MATCH(E443,RulebookTables!A2:A93, 0))="")=TRUE),  "",  INDEX(RulebookTables!F2:F93, MATCH(E443,RulebookTables!A2:A93, 0))), "")</f>
        <v>meta</v>
      </c>
      <c r="S443" s="3" t="s">
        <v>1918</v>
      </c>
    </row>
    <row r="444">
      <c r="A444" s="3" t="s">
        <v>14547</v>
      </c>
      <c r="B444" s="4" t="str">
        <f>_xlfn.CONCAT(D444, " / ", E444)</f>
        <v>effortless-owl / TableConformance</v>
      </c>
      <c r="C444" s="3" t="s">
        <v>14074</v>
      </c>
      <c r="D444" s="3" t="s">
        <v>14059</v>
      </c>
      <c r="E444" s="3" t="s">
        <v>1917</v>
      </c>
      <c r="F444" s="3">
        <v>623</v>
      </c>
      <c r="G444" s="3">
        <v>9</v>
      </c>
      <c r="H444" s="3">
        <v>5607</v>
      </c>
      <c r="I444" s="3">
        <v>5607</v>
      </c>
      <c r="J444" s="3" t="b">
        <v>0</v>
      </c>
      <c r="K444" s="4">
        <f>H444 - I444</f>
        <v>0</v>
      </c>
      <c r="L444" s="4">
        <f>IF(((H444 = 0)=TRUE),  0,  ROUND(100 * I444 / H444, 2))</f>
        <v>100</v>
      </c>
      <c r="M444" s="4" t="b">
        <f>K444 = 0</f>
        <v>1</v>
      </c>
      <c r="N444" s="4" t="str">
        <f>IF(((M444)=TRUE),  "",  D444)</f>
      </c>
      <c r="O444" s="4" t="str">
        <f>IF(((M444)=TRUE),  "",  E444)</f>
      </c>
      <c r="P444" s="4">
        <f>COUNTIFS(FieldDisagreements!E2:E50, A444)</f>
        <v>0</v>
      </c>
      <c r="Q444" s="4" t="str">
        <f>_xlfn.IFNA(IF(((INDEX(ConformanceSubstrates!C2:C9, MATCH(D444,ConformanceSubstrates!A2:A9, 0))="")=TRUE),  "",  INDEX(ConformanceSubstrates!C2:C9, MATCH(D444,ConformanceSubstrates!A2:A9, 0))), "")</f>
        <v>OWL / SHACL</v>
      </c>
      <c r="R444" s="4" t="str">
        <f>_xlfn.IFNA(IF(((INDEX(RulebookTables!F2:F93, MATCH(E444,RulebookTables!A2:A93, 0))="")=TRUE),  "",  INDEX(RulebookTables!F2:F93, MATCH(E444,RulebookTables!A2:A93, 0))), "")</f>
        <v>meta</v>
      </c>
      <c r="S444" s="3" t="s">
        <v>1918</v>
      </c>
    </row>
    <row r="445">
      <c r="A445" s="3" t="s">
        <v>14548</v>
      </c>
      <c r="B445" s="4" t="str">
        <f>_xlfn.CONCAT(D445, " / ", E445)</f>
        <v>effortless-owl / FieldDisagreements</v>
      </c>
      <c r="C445" s="3" t="s">
        <v>14074</v>
      </c>
      <c r="D445" s="3" t="s">
        <v>14059</v>
      </c>
      <c r="E445" s="3" t="s">
        <v>1921</v>
      </c>
      <c r="F445" s="3">
        <v>49</v>
      </c>
      <c r="G445" s="3">
        <v>5</v>
      </c>
      <c r="H445" s="3">
        <v>245</v>
      </c>
      <c r="I445" s="3">
        <v>245</v>
      </c>
      <c r="J445" s="3" t="b">
        <v>0</v>
      </c>
      <c r="K445" s="4">
        <f>H445 - I445</f>
        <v>0</v>
      </c>
      <c r="L445" s="4">
        <f>IF(((H445 = 0)=TRUE),  0,  ROUND(100 * I445 / H445, 2))</f>
        <v>100</v>
      </c>
      <c r="M445" s="4" t="b">
        <f>K445 = 0</f>
        <v>1</v>
      </c>
      <c r="N445" s="4" t="str">
        <f>IF(((M445)=TRUE),  "",  D445)</f>
      </c>
      <c r="O445" s="4" t="str">
        <f>IF(((M445)=TRUE),  "",  E445)</f>
      </c>
      <c r="P445" s="4">
        <f>COUNTIFS(FieldDisagreements!E2:E50, A445)</f>
        <v>0</v>
      </c>
      <c r="Q445" s="4" t="str">
        <f>_xlfn.IFNA(IF(((INDEX(ConformanceSubstrates!C2:C9, MATCH(D445,ConformanceSubstrates!A2:A9, 0))="")=TRUE),  "",  INDEX(ConformanceSubstrates!C2:C9, MATCH(D445,ConformanceSubstrates!A2:A9, 0))), "")</f>
        <v>OWL / SHACL</v>
      </c>
      <c r="R445" s="4" t="str">
        <f>_xlfn.IFNA(IF(((INDEX(RulebookTables!F2:F93, MATCH(E445,RulebookTables!A2:A93, 0))="")=TRUE),  "",  INDEX(RulebookTables!F2:F93, MATCH(E445,RulebookTables!A2:A93, 0))), "")</f>
        <v>meta</v>
      </c>
      <c r="S445" s="3" t="s">
        <v>1918</v>
      </c>
    </row>
    <row r="446">
      <c r="A446" s="3" t="s">
        <v>14549</v>
      </c>
      <c r="B446" s="4" t="str">
        <f>_xlfn.CONCAT(D446, " / ", E446)</f>
        <v>effortless-owl / CellDisagreements</v>
      </c>
      <c r="C446" s="3" t="s">
        <v>14074</v>
      </c>
      <c r="D446" s="3" t="s">
        <v>14059</v>
      </c>
      <c r="E446" s="3" t="s">
        <v>1925</v>
      </c>
      <c r="F446" s="3">
        <v>316</v>
      </c>
      <c r="G446" s="3">
        <v>3</v>
      </c>
      <c r="H446" s="3">
        <v>948</v>
      </c>
      <c r="I446" s="3">
        <v>632</v>
      </c>
      <c r="J446" s="3" t="b">
        <v>0</v>
      </c>
      <c r="K446" s="4">
        <f>H446 - I446</f>
        <v>316</v>
      </c>
      <c r="L446" s="4">
        <f>IF(((H446 = 0)=TRUE),  0,  ROUND(100 * I446 / H446, 2))</f>
        <v>66.67</v>
      </c>
      <c r="M446" s="4" t="b">
        <f>K446 = 0</f>
        <v>0</v>
      </c>
      <c r="N446" s="4" t="str">
        <f>IF(((M446)=TRUE),  "",  D446)</f>
        <v>effortless-owl</v>
      </c>
      <c r="O446" s="4" t="str">
        <f>IF(((M446)=TRUE),  "",  E446)</f>
        <v>CellDisagreements</v>
      </c>
      <c r="P446" s="4">
        <f>COUNTIFS(FieldDisagreements!E2:E50, A446)</f>
        <v>1</v>
      </c>
      <c r="Q446" s="4" t="str">
        <f>_xlfn.IFNA(IF(((INDEX(ConformanceSubstrates!C2:C9, MATCH(D446,ConformanceSubstrates!A2:A9, 0))="")=TRUE),  "",  INDEX(ConformanceSubstrates!C2:C9, MATCH(D446,ConformanceSubstrates!A2:A9, 0))), "")</f>
        <v>OWL / SHACL</v>
      </c>
      <c r="R446" s="4" t="str">
        <f>_xlfn.IFNA(IF(((INDEX(RulebookTables!F2:F93, MATCH(E446,RulebookTables!A2:A93, 0))="")=TRUE),  "",  INDEX(RulebookTables!F2:F93, MATCH(E446,RulebookTables!A2:A93, 0))), "")</f>
        <v>meta</v>
      </c>
      <c r="S446" s="3" t="s">
        <v>1918</v>
      </c>
    </row>
    <row r="447">
      <c r="A447" s="3" t="s">
        <v>14550</v>
      </c>
      <c r="B447" s="4" t="str">
        <f>_xlfn.CONCAT(D447, " / ", E447)</f>
        <v>effortless-python / RulebookReleases</v>
      </c>
      <c r="C447" s="3" t="s">
        <v>14074</v>
      </c>
      <c r="D447" s="3" t="s">
        <v>14029</v>
      </c>
      <c r="E447" s="3" t="s">
        <v>2415</v>
      </c>
      <c r="F447" s="3">
        <v>1</v>
      </c>
      <c r="G447" s="3">
        <v>1</v>
      </c>
      <c r="H447" s="3">
        <v>1</v>
      </c>
      <c r="I447" s="3">
        <v>1</v>
      </c>
      <c r="J447" s="3" t="b">
        <v>0</v>
      </c>
      <c r="K447" s="4">
        <f>H447 - I447</f>
        <v>0</v>
      </c>
      <c r="L447" s="4">
        <f>IF(((H447 = 0)=TRUE),  0,  ROUND(100 * I447 / H447, 2))</f>
        <v>100</v>
      </c>
      <c r="M447" s="4" t="b">
        <f>K447 = 0</f>
        <v>1</v>
      </c>
      <c r="N447" s="4" t="str">
        <f>IF(((M447)=TRUE),  "",  D447)</f>
      </c>
      <c r="O447" s="4" t="str">
        <f>IF(((M447)=TRUE),  "",  E447)</f>
      </c>
      <c r="P447" s="4">
        <f>COUNTIFS(FieldDisagreements!E2:E50, A447)</f>
        <v>0</v>
      </c>
      <c r="Q447" s="4" t="str">
        <f>_xlfn.IFNA(IF(((INDEX(ConformanceSubstrates!C2:C9, MATCH(D447,ConformanceSubstrates!A2:A9, 0))="")=TRUE),  "",  INDEX(ConformanceSubstrates!C2:C9, MATCH(D447,ConformanceSubstrates!A2:A9, 0))), "")</f>
        <v>Python</v>
      </c>
      <c r="R447" s="4" t="str">
        <f>_xlfn.IFNA(IF(((INDEX(RulebookTables!F2:F93, MATCH(E447,RulebookTables!A2:A93, 0))="")=TRUE),  "",  INDEX(RulebookTables!F2:F93, MATCH(E447,RulebookTables!A2:A93, 0))), "")</f>
        <v>meta</v>
      </c>
      <c r="S447" s="3" t="s">
        <v>1918</v>
      </c>
    </row>
    <row r="448">
      <c r="A448" s="3" t="s">
        <v>14551</v>
      </c>
      <c r="B448" s="4" t="str">
        <f>_xlfn.CONCAT(D448, " / ", E448)</f>
        <v>effortless-python / OntologyProfiles</v>
      </c>
      <c r="C448" s="3" t="s">
        <v>14074</v>
      </c>
      <c r="D448" s="3" t="s">
        <v>14029</v>
      </c>
      <c r="E448" s="3" t="s">
        <v>2434</v>
      </c>
      <c r="F448" s="3">
        <v>11</v>
      </c>
      <c r="G448" s="3">
        <v>1</v>
      </c>
      <c r="H448" s="3">
        <v>11</v>
      </c>
      <c r="I448" s="3">
        <v>11</v>
      </c>
      <c r="J448" s="3" t="b">
        <v>0</v>
      </c>
      <c r="K448" s="4">
        <f>H448 - I448</f>
        <v>0</v>
      </c>
      <c r="L448" s="4">
        <f>IF(((H448 = 0)=TRUE),  0,  ROUND(100 * I448 / H448, 2))</f>
        <v>100</v>
      </c>
      <c r="M448" s="4" t="b">
        <f>K448 = 0</f>
        <v>1</v>
      </c>
      <c r="N448" s="4" t="str">
        <f>IF(((M448)=TRUE),  "",  D448)</f>
      </c>
      <c r="O448" s="4" t="str">
        <f>IF(((M448)=TRUE),  "",  E448)</f>
      </c>
      <c r="P448" s="4">
        <f>COUNTIFS(FieldDisagreements!E2:E50, A448)</f>
        <v>0</v>
      </c>
      <c r="Q448" s="4" t="str">
        <f>_xlfn.IFNA(IF(((INDEX(ConformanceSubstrates!C2:C9, MATCH(D448,ConformanceSubstrates!A2:A9, 0))="")=TRUE),  "",  INDEX(ConformanceSubstrates!C2:C9, MATCH(D448,ConformanceSubstrates!A2:A9, 0))), "")</f>
        <v>Python</v>
      </c>
      <c r="R448" s="4" t="str">
        <f>_xlfn.IFNA(IF(((INDEX(RulebookTables!F2:F93, MATCH(E448,RulebookTables!A2:A93, 0))="")=TRUE),  "",  INDEX(RulebookTables!F2:F93, MATCH(E448,RulebookTables!A2:A93, 0))), "")</f>
        <v>domain</v>
      </c>
      <c r="S448" s="3" t="s">
        <v>1918</v>
      </c>
    </row>
    <row r="449">
      <c r="A449" s="3" t="s">
        <v>14552</v>
      </c>
      <c r="B449" s="4" t="str">
        <f>_xlfn.CONCAT(D449, " / ", E449)</f>
        <v>effortless-python / EvaluationContexts</v>
      </c>
      <c r="C449" s="3" t="s">
        <v>14074</v>
      </c>
      <c r="D449" s="3" t="s">
        <v>14029</v>
      </c>
      <c r="E449" s="3" t="s">
        <v>2444</v>
      </c>
      <c r="F449" s="3">
        <v>1</v>
      </c>
      <c r="G449" s="3">
        <v>1</v>
      </c>
      <c r="H449" s="3">
        <v>1</v>
      </c>
      <c r="I449" s="3">
        <v>1</v>
      </c>
      <c r="J449" s="3" t="b">
        <v>0</v>
      </c>
      <c r="K449" s="4">
        <f>H449 - I449</f>
        <v>0</v>
      </c>
      <c r="L449" s="4">
        <f>IF(((H449 = 0)=TRUE),  0,  ROUND(100 * I449 / H449, 2))</f>
        <v>100</v>
      </c>
      <c r="M449" s="4" t="b">
        <f>K449 = 0</f>
        <v>1</v>
      </c>
      <c r="N449" s="4" t="str">
        <f>IF(((M449)=TRUE),  "",  D449)</f>
      </c>
      <c r="O449" s="4" t="str">
        <f>IF(((M449)=TRUE),  "",  E449)</f>
      </c>
      <c r="P449" s="4">
        <f>COUNTIFS(FieldDisagreements!E2:E50, A449)</f>
        <v>0</v>
      </c>
      <c r="Q449" s="4" t="str">
        <f>_xlfn.IFNA(IF(((INDEX(ConformanceSubstrates!C2:C9, MATCH(D449,ConformanceSubstrates!A2:A9, 0))="")=TRUE),  "",  INDEX(ConformanceSubstrates!C2:C9, MATCH(D449,ConformanceSubstrates!A2:A9, 0))), "")</f>
        <v>Python</v>
      </c>
      <c r="R449" s="4" t="str">
        <f>_xlfn.IFNA(IF(((INDEX(RulebookTables!F2:F93, MATCH(E449,RulebookTables!A2:A93, 0))="")=TRUE),  "",  INDEX(RulebookTables!F2:F93, MATCH(E449,RulebookTables!A2:A93, 0))), "")</f>
        <v>meta</v>
      </c>
      <c r="S449" s="3" t="s">
        <v>1918</v>
      </c>
    </row>
    <row r="450">
      <c r="A450" s="3" t="s">
        <v>14553</v>
      </c>
      <c r="B450" s="4" t="str">
        <f>_xlfn.CONCAT(D450, " / ", E450)</f>
        <v>effortless-python / Organizations</v>
      </c>
      <c r="C450" s="3" t="s">
        <v>14074</v>
      </c>
      <c r="D450" s="3" t="s">
        <v>14029</v>
      </c>
      <c r="E450" s="3" t="s">
        <v>2453</v>
      </c>
      <c r="F450" s="3">
        <v>4</v>
      </c>
      <c r="G450" s="3">
        <v>1</v>
      </c>
      <c r="H450" s="3">
        <v>4</v>
      </c>
      <c r="I450" s="3">
        <v>4</v>
      </c>
      <c r="J450" s="3" t="b">
        <v>0</v>
      </c>
      <c r="K450" s="4">
        <f>H450 - I450</f>
        <v>0</v>
      </c>
      <c r="L450" s="4">
        <f>IF(((H450 = 0)=TRUE),  0,  ROUND(100 * I450 / H450, 2))</f>
        <v>100</v>
      </c>
      <c r="M450" s="4" t="b">
        <f>K450 = 0</f>
        <v>1</v>
      </c>
      <c r="N450" s="4" t="str">
        <f>IF(((M450)=TRUE),  "",  D450)</f>
      </c>
      <c r="O450" s="4" t="str">
        <f>IF(((M450)=TRUE),  "",  E450)</f>
      </c>
      <c r="P450" s="4">
        <f>COUNTIFS(FieldDisagreements!E2:E50, A450)</f>
        <v>0</v>
      </c>
      <c r="Q450" s="4" t="str">
        <f>_xlfn.IFNA(IF(((INDEX(ConformanceSubstrates!C2:C9, MATCH(D450,ConformanceSubstrates!A2:A9, 0))="")=TRUE),  "",  INDEX(ConformanceSubstrates!C2:C9, MATCH(D450,ConformanceSubstrates!A2:A9, 0))), "")</f>
        <v>Python</v>
      </c>
      <c r="R450" s="4" t="str">
        <f>_xlfn.IFNA(IF(((INDEX(RulebookTables!F2:F93, MATCH(E450,RulebookTables!A2:A93, 0))="")=TRUE),  "",  INDEX(RulebookTables!F2:F93, MATCH(E450,RulebookTables!A2:A93, 0))), "")</f>
        <v>org</v>
      </c>
      <c r="S450" s="3" t="s">
        <v>1918</v>
      </c>
    </row>
    <row r="451">
      <c r="A451" s="3" t="s">
        <v>14554</v>
      </c>
      <c r="B451" s="4" t="str">
        <f>_xlfn.CONCAT(D451, " / ", E451)</f>
        <v>effortless-python / Agents</v>
      </c>
      <c r="C451" s="3" t="s">
        <v>14074</v>
      </c>
      <c r="D451" s="3" t="s">
        <v>14029</v>
      </c>
      <c r="E451" s="3" t="s">
        <v>1814</v>
      </c>
      <c r="F451" s="3">
        <v>11</v>
      </c>
      <c r="G451" s="3">
        <v>16</v>
      </c>
      <c r="H451" s="3">
        <v>176</v>
      </c>
      <c r="I451" s="3">
        <v>176</v>
      </c>
      <c r="J451" s="3" t="b">
        <v>0</v>
      </c>
      <c r="K451" s="4">
        <f>H451 - I451</f>
        <v>0</v>
      </c>
      <c r="L451" s="4">
        <f>IF(((H451 = 0)=TRUE),  0,  ROUND(100 * I451 / H451, 2))</f>
        <v>100</v>
      </c>
      <c r="M451" s="4" t="b">
        <f>K451 = 0</f>
        <v>1</v>
      </c>
      <c r="N451" s="4" t="str">
        <f>IF(((M451)=TRUE),  "",  D451)</f>
      </c>
      <c r="O451" s="4" t="str">
        <f>IF(((M451)=TRUE),  "",  E451)</f>
      </c>
      <c r="P451" s="4">
        <f>COUNTIFS(FieldDisagreements!E2:E50, A451)</f>
        <v>0</v>
      </c>
      <c r="Q451" s="4" t="str">
        <f>_xlfn.IFNA(IF(((INDEX(ConformanceSubstrates!C2:C9, MATCH(D451,ConformanceSubstrates!A2:A9, 0))="")=TRUE),  "",  INDEX(ConformanceSubstrates!C2:C9, MATCH(D451,ConformanceSubstrates!A2:A9, 0))), "")</f>
        <v>Python</v>
      </c>
      <c r="R451" s="4" t="str">
        <f>_xlfn.IFNA(IF(((INDEX(RulebookTables!F2:F93, MATCH(E451,RulebookTables!A2:A93, 0))="")=TRUE),  "",  INDEX(RulebookTables!F2:F93, MATCH(E451,RulebookTables!A2:A93, 0))), "")</f>
        <v>org</v>
      </c>
      <c r="S451" s="3" t="s">
        <v>1918</v>
      </c>
    </row>
    <row r="452">
      <c r="A452" s="3" t="s">
        <v>14555</v>
      </c>
      <c r="B452" s="4" t="str">
        <f>_xlfn.CONCAT(D452, " / ", E452)</f>
        <v>effortless-python / Roles</v>
      </c>
      <c r="C452" s="3" t="s">
        <v>14074</v>
      </c>
      <c r="D452" s="3" t="s">
        <v>14029</v>
      </c>
      <c r="E452" s="3" t="s">
        <v>1818</v>
      </c>
      <c r="F452" s="3">
        <v>12</v>
      </c>
      <c r="G452" s="3">
        <v>17</v>
      </c>
      <c r="H452" s="3">
        <v>204</v>
      </c>
      <c r="I452" s="3">
        <v>204</v>
      </c>
      <c r="J452" s="3" t="b">
        <v>0</v>
      </c>
      <c r="K452" s="4">
        <f>H452 - I452</f>
        <v>0</v>
      </c>
      <c r="L452" s="4">
        <f>IF(((H452 = 0)=TRUE),  0,  ROUND(100 * I452 / H452, 2))</f>
        <v>100</v>
      </c>
      <c r="M452" s="4" t="b">
        <f>K452 = 0</f>
        <v>1</v>
      </c>
      <c r="N452" s="4" t="str">
        <f>IF(((M452)=TRUE),  "",  D452)</f>
      </c>
      <c r="O452" s="4" t="str">
        <f>IF(((M452)=TRUE),  "",  E452)</f>
      </c>
      <c r="P452" s="4">
        <f>COUNTIFS(FieldDisagreements!E2:E50, A452)</f>
        <v>0</v>
      </c>
      <c r="Q452" s="4" t="str">
        <f>_xlfn.IFNA(IF(((INDEX(ConformanceSubstrates!C2:C9, MATCH(D452,ConformanceSubstrates!A2:A9, 0))="")=TRUE),  "",  INDEX(ConformanceSubstrates!C2:C9, MATCH(D452,ConformanceSubstrates!A2:A9, 0))), "")</f>
        <v>Python</v>
      </c>
      <c r="R452" s="4" t="str">
        <f>_xlfn.IFNA(IF(((INDEX(RulebookTables!F2:F93, MATCH(E452,RulebookTables!A2:A93, 0))="")=TRUE),  "",  INDEX(RulebookTables!F2:F93, MATCH(E452,RulebookTables!A2:A93, 0))), "")</f>
        <v>org</v>
      </c>
      <c r="S452" s="3" t="s">
        <v>1918</v>
      </c>
    </row>
    <row r="453">
      <c r="A453" s="3" t="s">
        <v>14556</v>
      </c>
      <c r="B453" s="4" t="str">
        <f>_xlfn.CONCAT(D453, " / ", E453)</f>
        <v>effortless-python / RoleAssignments</v>
      </c>
      <c r="C453" s="3" t="s">
        <v>14074</v>
      </c>
      <c r="D453" s="3" t="s">
        <v>14029</v>
      </c>
      <c r="E453" s="3" t="s">
        <v>1821</v>
      </c>
      <c r="F453" s="3">
        <v>13</v>
      </c>
      <c r="G453" s="3">
        <v>47</v>
      </c>
      <c r="H453" s="3">
        <v>611</v>
      </c>
      <c r="I453" s="3">
        <v>611</v>
      </c>
      <c r="J453" s="3" t="b">
        <v>0</v>
      </c>
      <c r="K453" s="4">
        <f>H453 - I453</f>
        <v>0</v>
      </c>
      <c r="L453" s="4">
        <f>IF(((H453 = 0)=TRUE),  0,  ROUND(100 * I453 / H453, 2))</f>
        <v>100</v>
      </c>
      <c r="M453" s="4" t="b">
        <f>K453 = 0</f>
        <v>1</v>
      </c>
      <c r="N453" s="4" t="str">
        <f>IF(((M453)=TRUE),  "",  D453)</f>
      </c>
      <c r="O453" s="4" t="str">
        <f>IF(((M453)=TRUE),  "",  E453)</f>
      </c>
      <c r="P453" s="4">
        <f>COUNTIFS(FieldDisagreements!E2:E50, A453)</f>
        <v>0</v>
      </c>
      <c r="Q453" s="4" t="str">
        <f>_xlfn.IFNA(IF(((INDEX(ConformanceSubstrates!C2:C9, MATCH(D453,ConformanceSubstrates!A2:A9, 0))="")=TRUE),  "",  INDEX(ConformanceSubstrates!C2:C9, MATCH(D453,ConformanceSubstrates!A2:A9, 0))), "")</f>
        <v>Python</v>
      </c>
      <c r="R453" s="4" t="str">
        <f>_xlfn.IFNA(IF(((INDEX(RulebookTables!F2:F93, MATCH(E453,RulebookTables!A2:A93, 0))="")=TRUE),  "",  INDEX(RulebookTables!F2:F93, MATCH(E453,RulebookTables!A2:A93, 0))), "")</f>
        <v>org</v>
      </c>
      <c r="S453" s="3" t="s">
        <v>1918</v>
      </c>
    </row>
    <row r="454">
      <c r="A454" s="3" t="s">
        <v>14557</v>
      </c>
      <c r="B454" s="4" t="str">
        <f>_xlfn.CONCAT(D454, " / ", E454)</f>
        <v>effortless-python / CommunitiesOfPractice</v>
      </c>
      <c r="C454" s="3" t="s">
        <v>14074</v>
      </c>
      <c r="D454" s="3" t="s">
        <v>14029</v>
      </c>
      <c r="E454" s="3" t="s">
        <v>2655</v>
      </c>
      <c r="F454" s="3">
        <v>2</v>
      </c>
      <c r="G454" s="3">
        <v>1</v>
      </c>
      <c r="H454" s="3">
        <v>2</v>
      </c>
      <c r="I454" s="3">
        <v>2</v>
      </c>
      <c r="J454" s="3" t="b">
        <v>0</v>
      </c>
      <c r="K454" s="4">
        <f>H454 - I454</f>
        <v>0</v>
      </c>
      <c r="L454" s="4">
        <f>IF(((H454 = 0)=TRUE),  0,  ROUND(100 * I454 / H454, 2))</f>
        <v>100</v>
      </c>
      <c r="M454" s="4" t="b">
        <f>K454 = 0</f>
        <v>1</v>
      </c>
      <c r="N454" s="4" t="str">
        <f>IF(((M454)=TRUE),  "",  D454)</f>
      </c>
      <c r="O454" s="4" t="str">
        <f>IF(((M454)=TRUE),  "",  E454)</f>
      </c>
      <c r="P454" s="4">
        <f>COUNTIFS(FieldDisagreements!E2:E50, A454)</f>
        <v>0</v>
      </c>
      <c r="Q454" s="4" t="str">
        <f>_xlfn.IFNA(IF(((INDEX(ConformanceSubstrates!C2:C9, MATCH(D454,ConformanceSubstrates!A2:A9, 0))="")=TRUE),  "",  INDEX(ConformanceSubstrates!C2:C9, MATCH(D454,ConformanceSubstrates!A2:A9, 0))), "")</f>
        <v>Python</v>
      </c>
      <c r="R454" s="4" t="str">
        <f>_xlfn.IFNA(IF(((INDEX(RulebookTables!F2:F93, MATCH(E454,RulebookTables!A2:A93, 0))="")=TRUE),  "",  INDEX(RulebookTables!F2:F93, MATCH(E454,RulebookTables!A2:A93, 0))), "")</f>
        <v>org</v>
      </c>
      <c r="S454" s="3" t="s">
        <v>1918</v>
      </c>
    </row>
    <row r="455">
      <c r="A455" s="3" t="s">
        <v>14558</v>
      </c>
      <c r="B455" s="4" t="str">
        <f>_xlfn.CONCAT(D455, " / ", E455)</f>
        <v>effortless-python / Mentorships</v>
      </c>
      <c r="C455" s="3" t="s">
        <v>14074</v>
      </c>
      <c r="D455" s="3" t="s">
        <v>14029</v>
      </c>
      <c r="E455" s="3" t="s">
        <v>2664</v>
      </c>
      <c r="F455" s="3">
        <v>1</v>
      </c>
      <c r="G455" s="3">
        <v>1</v>
      </c>
      <c r="H455" s="3">
        <v>1</v>
      </c>
      <c r="I455" s="3">
        <v>1</v>
      </c>
      <c r="J455" s="3" t="b">
        <v>0</v>
      </c>
      <c r="K455" s="4">
        <f>H455 - I455</f>
        <v>0</v>
      </c>
      <c r="L455" s="4">
        <f>IF(((H455 = 0)=TRUE),  0,  ROUND(100 * I455 / H455, 2))</f>
        <v>100</v>
      </c>
      <c r="M455" s="4" t="b">
        <f>K455 = 0</f>
        <v>1</v>
      </c>
      <c r="N455" s="4" t="str">
        <f>IF(((M455)=TRUE),  "",  D455)</f>
      </c>
      <c r="O455" s="4" t="str">
        <f>IF(((M455)=TRUE),  "",  E455)</f>
      </c>
      <c r="P455" s="4">
        <f>COUNTIFS(FieldDisagreements!E2:E50, A455)</f>
        <v>0</v>
      </c>
      <c r="Q455" s="4" t="str">
        <f>_xlfn.IFNA(IF(((INDEX(ConformanceSubstrates!C2:C9, MATCH(D455,ConformanceSubstrates!A2:A9, 0))="")=TRUE),  "",  INDEX(ConformanceSubstrates!C2:C9, MATCH(D455,ConformanceSubstrates!A2:A9, 0))), "")</f>
        <v>Python</v>
      </c>
      <c r="R455" s="4" t="str">
        <f>_xlfn.IFNA(IF(((INDEX(RulebookTables!F2:F93, MATCH(E455,RulebookTables!A2:A93, 0))="")=TRUE),  "",  INDEX(RulebookTables!F2:F93, MATCH(E455,RulebookTables!A2:A93, 0))), "")</f>
        <v>org</v>
      </c>
      <c r="S455" s="3" t="s">
        <v>1918</v>
      </c>
    </row>
    <row r="456">
      <c r="A456" s="3" t="s">
        <v>14559</v>
      </c>
      <c r="B456" s="4" t="str">
        <f>_xlfn.CONCAT(D456, " / ", E456)</f>
        <v>effortless-python / ProcedureTypes</v>
      </c>
      <c r="C456" s="3" t="s">
        <v>14074</v>
      </c>
      <c r="D456" s="3" t="s">
        <v>14029</v>
      </c>
      <c r="E456" s="3" t="s">
        <v>2676</v>
      </c>
      <c r="F456" s="3">
        <v>2</v>
      </c>
      <c r="G456" s="3">
        <v>1</v>
      </c>
      <c r="H456" s="3">
        <v>2</v>
      </c>
      <c r="I456" s="3">
        <v>2</v>
      </c>
      <c r="J456" s="3" t="b">
        <v>0</v>
      </c>
      <c r="K456" s="4">
        <f>H456 - I456</f>
        <v>0</v>
      </c>
      <c r="L456" s="4">
        <f>IF(((H456 = 0)=TRUE),  0,  ROUND(100 * I456 / H456, 2))</f>
        <v>100</v>
      </c>
      <c r="M456" s="4" t="b">
        <f>K456 = 0</f>
        <v>1</v>
      </c>
      <c r="N456" s="4" t="str">
        <f>IF(((M456)=TRUE),  "",  D456)</f>
      </c>
      <c r="O456" s="4" t="str">
        <f>IF(((M456)=TRUE),  "",  E456)</f>
      </c>
      <c r="P456" s="4">
        <f>COUNTIFS(FieldDisagreements!E2:E50, A456)</f>
        <v>0</v>
      </c>
      <c r="Q456" s="4" t="str">
        <f>_xlfn.IFNA(IF(((INDEX(ConformanceSubstrates!C2:C9, MATCH(D456,ConformanceSubstrates!A2:A9, 0))="")=TRUE),  "",  INDEX(ConformanceSubstrates!C2:C9, MATCH(D456,ConformanceSubstrates!A2:A9, 0))), "")</f>
        <v>Python</v>
      </c>
      <c r="R456" s="4" t="str">
        <f>_xlfn.IFNA(IF(((INDEX(RulebookTables!F2:F93, MATCH(E456,RulebookTables!A2:A93, 0))="")=TRUE),  "",  INDEX(RulebookTables!F2:F93, MATCH(E456,RulebookTables!A2:A93, 0))), "")</f>
        <v>specification</v>
      </c>
      <c r="S456" s="3" t="s">
        <v>1918</v>
      </c>
    </row>
    <row r="457">
      <c r="A457" s="3" t="s">
        <v>14560</v>
      </c>
      <c r="B457" s="4" t="str">
        <f>_xlfn.CONCAT(D457, " / ", E457)</f>
        <v>effortless-python / Procedures</v>
      </c>
      <c r="C457" s="3" t="s">
        <v>14074</v>
      </c>
      <c r="D457" s="3" t="s">
        <v>14029</v>
      </c>
      <c r="E457" s="3" t="s">
        <v>1762</v>
      </c>
      <c r="F457" s="3">
        <v>2</v>
      </c>
      <c r="G457" s="3">
        <v>1</v>
      </c>
      <c r="H457" s="3">
        <v>2</v>
      </c>
      <c r="I457" s="3">
        <v>2</v>
      </c>
      <c r="J457" s="3" t="b">
        <v>0</v>
      </c>
      <c r="K457" s="4">
        <f>H457 - I457</f>
        <v>0</v>
      </c>
      <c r="L457" s="4">
        <f>IF(((H457 = 0)=TRUE),  0,  ROUND(100 * I457 / H457, 2))</f>
        <v>100</v>
      </c>
      <c r="M457" s="4" t="b">
        <f>K457 = 0</f>
        <v>1</v>
      </c>
      <c r="N457" s="4" t="str">
        <f>IF(((M457)=TRUE),  "",  D457)</f>
      </c>
      <c r="O457" s="4" t="str">
        <f>IF(((M457)=TRUE),  "",  E457)</f>
      </c>
      <c r="P457" s="4">
        <f>COUNTIFS(FieldDisagreements!E2:E50, A457)</f>
        <v>0</v>
      </c>
      <c r="Q457" s="4" t="str">
        <f>_xlfn.IFNA(IF(((INDEX(ConformanceSubstrates!C2:C9, MATCH(D457,ConformanceSubstrates!A2:A9, 0))="")=TRUE),  "",  INDEX(ConformanceSubstrates!C2:C9, MATCH(D457,ConformanceSubstrates!A2:A9, 0))), "")</f>
        <v>Python</v>
      </c>
      <c r="R457" s="4" t="str">
        <f>_xlfn.IFNA(IF(((INDEX(RulebookTables!F2:F93, MATCH(E457,RulebookTables!A2:A93, 0))="")=TRUE),  "",  INDEX(RulebookTables!F2:F93, MATCH(E457,RulebookTables!A2:A93, 0))), "")</f>
        <v>specification</v>
      </c>
      <c r="S457" s="3" t="s">
        <v>1918</v>
      </c>
    </row>
    <row r="458">
      <c r="A458" s="3" t="s">
        <v>14561</v>
      </c>
      <c r="B458" s="4" t="str">
        <f>_xlfn.CONCAT(D458, " / ", E458)</f>
        <v>effortless-python / ProcedureVersions</v>
      </c>
      <c r="C458" s="3" t="s">
        <v>14074</v>
      </c>
      <c r="D458" s="3" t="s">
        <v>14029</v>
      </c>
      <c r="E458" s="3" t="s">
        <v>1767</v>
      </c>
      <c r="F458" s="3">
        <v>3</v>
      </c>
      <c r="G458" s="3">
        <v>73</v>
      </c>
      <c r="H458" s="3">
        <v>219</v>
      </c>
      <c r="I458" s="3">
        <v>219</v>
      </c>
      <c r="J458" s="3" t="b">
        <v>0</v>
      </c>
      <c r="K458" s="4">
        <f>H458 - I458</f>
        <v>0</v>
      </c>
      <c r="L458" s="4">
        <f>IF(((H458 = 0)=TRUE),  0,  ROUND(100 * I458 / H458, 2))</f>
        <v>100</v>
      </c>
      <c r="M458" s="4" t="b">
        <f>K458 = 0</f>
        <v>1</v>
      </c>
      <c r="N458" s="4" t="str">
        <f>IF(((M458)=TRUE),  "",  D458)</f>
      </c>
      <c r="O458" s="4" t="str">
        <f>IF(((M458)=TRUE),  "",  E458)</f>
      </c>
      <c r="P458" s="4">
        <f>COUNTIFS(FieldDisagreements!E2:E50, A458)</f>
        <v>0</v>
      </c>
      <c r="Q458" s="4" t="str">
        <f>_xlfn.IFNA(IF(((INDEX(ConformanceSubstrates!C2:C9, MATCH(D458,ConformanceSubstrates!A2:A9, 0))="")=TRUE),  "",  INDEX(ConformanceSubstrates!C2:C9, MATCH(D458,ConformanceSubstrates!A2:A9, 0))), "")</f>
        <v>Python</v>
      </c>
      <c r="R458" s="4" t="str">
        <f>_xlfn.IFNA(IF(((INDEX(RulebookTables!F2:F93, MATCH(E458,RulebookTables!A2:A93, 0))="")=TRUE),  "",  INDEX(RulebookTables!F2:F93, MATCH(E458,RulebookTables!A2:A93, 0))), "")</f>
        <v>specification</v>
      </c>
      <c r="S458" s="3" t="s">
        <v>1918</v>
      </c>
    </row>
    <row r="459">
      <c r="A459" s="3" t="s">
        <v>14562</v>
      </c>
      <c r="B459" s="4" t="str">
        <f>_xlfn.CONCAT(D459, " / ", E459)</f>
        <v>effortless-python / ProcedureVersionLinks</v>
      </c>
      <c r="C459" s="3" t="s">
        <v>14074</v>
      </c>
      <c r="D459" s="3" t="s">
        <v>14029</v>
      </c>
      <c r="E459" s="3" t="s">
        <v>2851</v>
      </c>
      <c r="F459" s="3">
        <v>1</v>
      </c>
      <c r="G459" s="3">
        <v>2</v>
      </c>
      <c r="H459" s="3">
        <v>2</v>
      </c>
      <c r="I459" s="3">
        <v>2</v>
      </c>
      <c r="J459" s="3" t="b">
        <v>0</v>
      </c>
      <c r="K459" s="4">
        <f>H459 - I459</f>
        <v>0</v>
      </c>
      <c r="L459" s="4">
        <f>IF(((H459 = 0)=TRUE),  0,  ROUND(100 * I459 / H459, 2))</f>
        <v>100</v>
      </c>
      <c r="M459" s="4" t="b">
        <f>K459 = 0</f>
        <v>1</v>
      </c>
      <c r="N459" s="4" t="str">
        <f>IF(((M459)=TRUE),  "",  D459)</f>
      </c>
      <c r="O459" s="4" t="str">
        <f>IF(((M459)=TRUE),  "",  E459)</f>
      </c>
      <c r="P459" s="4">
        <f>COUNTIFS(FieldDisagreements!E2:E50, A459)</f>
        <v>0</v>
      </c>
      <c r="Q459" s="4" t="str">
        <f>_xlfn.IFNA(IF(((INDEX(ConformanceSubstrates!C2:C9, MATCH(D459,ConformanceSubstrates!A2:A9, 0))="")=TRUE),  "",  INDEX(ConformanceSubstrates!C2:C9, MATCH(D459,ConformanceSubstrates!A2:A9, 0))), "")</f>
        <v>Python</v>
      </c>
      <c r="R459" s="4" t="str">
        <f>_xlfn.IFNA(IF(((INDEX(RulebookTables!F2:F93, MATCH(E459,RulebookTables!A2:A93, 0))="")=TRUE),  "",  INDEX(RulebookTables!F2:F93, MATCH(E459,RulebookTables!A2:A93, 0))), "")</f>
        <v>specification</v>
      </c>
      <c r="S459" s="3" t="s">
        <v>1918</v>
      </c>
    </row>
    <row r="460">
      <c r="A460" s="3" t="s">
        <v>14563</v>
      </c>
      <c r="B460" s="4" t="str">
        <f>_xlfn.CONCAT(D460, " / ", E460)</f>
        <v>effortless-python / ProcedureStatusChanges</v>
      </c>
      <c r="C460" s="3" t="s">
        <v>14074</v>
      </c>
      <c r="D460" s="3" t="s">
        <v>14029</v>
      </c>
      <c r="E460" s="3" t="s">
        <v>1775</v>
      </c>
      <c r="F460" s="3">
        <v>5</v>
      </c>
      <c r="G460" s="3">
        <v>1</v>
      </c>
      <c r="H460" s="3">
        <v>5</v>
      </c>
      <c r="I460" s="3">
        <v>5</v>
      </c>
      <c r="J460" s="3" t="b">
        <v>0</v>
      </c>
      <c r="K460" s="4">
        <f>H460 - I460</f>
        <v>0</v>
      </c>
      <c r="L460" s="4">
        <f>IF(((H460 = 0)=TRUE),  0,  ROUND(100 * I460 / H460, 2))</f>
        <v>100</v>
      </c>
      <c r="M460" s="4" t="b">
        <f>K460 = 0</f>
        <v>1</v>
      </c>
      <c r="N460" s="4" t="str">
        <f>IF(((M460)=TRUE),  "",  D460)</f>
      </c>
      <c r="O460" s="4" t="str">
        <f>IF(((M460)=TRUE),  "",  E460)</f>
      </c>
      <c r="P460" s="4">
        <f>COUNTIFS(FieldDisagreements!E2:E50, A460)</f>
        <v>0</v>
      </c>
      <c r="Q460" s="4" t="str">
        <f>_xlfn.IFNA(IF(((INDEX(ConformanceSubstrates!C2:C9, MATCH(D460,ConformanceSubstrates!A2:A9, 0))="")=TRUE),  "",  INDEX(ConformanceSubstrates!C2:C9, MATCH(D460,ConformanceSubstrates!A2:A9, 0))), "")</f>
        <v>Python</v>
      </c>
      <c r="R460" s="4" t="str">
        <f>_xlfn.IFNA(IF(((INDEX(RulebookTables!F2:F93, MATCH(E460,RulebookTables!A2:A93, 0))="")=TRUE),  "",  INDEX(RulebookTables!F2:F93, MATCH(E460,RulebookTables!A2:A93, 0))), "")</f>
        <v>specification</v>
      </c>
      <c r="S460" s="3" t="s">
        <v>1918</v>
      </c>
    </row>
    <row r="461">
      <c r="A461" s="3" t="s">
        <v>14564</v>
      </c>
      <c r="B461" s="4" t="str">
        <f>_xlfn.CONCAT(D461, " / ", E461)</f>
        <v>effortless-python / Steps</v>
      </c>
      <c r="C461" s="3" t="s">
        <v>14074</v>
      </c>
      <c r="D461" s="3" t="s">
        <v>14029</v>
      </c>
      <c r="E461" s="3" t="s">
        <v>1778</v>
      </c>
      <c r="F461" s="3">
        <v>17</v>
      </c>
      <c r="G461" s="3">
        <v>42</v>
      </c>
      <c r="H461" s="3">
        <v>714</v>
      </c>
      <c r="I461" s="3">
        <v>714</v>
      </c>
      <c r="J461" s="3" t="b">
        <v>0</v>
      </c>
      <c r="K461" s="4">
        <f>H461 - I461</f>
        <v>0</v>
      </c>
      <c r="L461" s="4">
        <f>IF(((H461 = 0)=TRUE),  0,  ROUND(100 * I461 / H461, 2))</f>
        <v>100</v>
      </c>
      <c r="M461" s="4" t="b">
        <f>K461 = 0</f>
        <v>1</v>
      </c>
      <c r="N461" s="4" t="str">
        <f>IF(((M461)=TRUE),  "",  D461)</f>
      </c>
      <c r="O461" s="4" t="str">
        <f>IF(((M461)=TRUE),  "",  E461)</f>
      </c>
      <c r="P461" s="4">
        <f>COUNTIFS(FieldDisagreements!E2:E50, A461)</f>
        <v>0</v>
      </c>
      <c r="Q461" s="4" t="str">
        <f>_xlfn.IFNA(IF(((INDEX(ConformanceSubstrates!C2:C9, MATCH(D461,ConformanceSubstrates!A2:A9, 0))="")=TRUE),  "",  INDEX(ConformanceSubstrates!C2:C9, MATCH(D461,ConformanceSubstrates!A2:A9, 0))), "")</f>
        <v>Python</v>
      </c>
      <c r="R461" s="4" t="str">
        <f>_xlfn.IFNA(IF(((INDEX(RulebookTables!F2:F93, MATCH(E461,RulebookTables!A2:A93, 0))="")=TRUE),  "",  INDEX(RulebookTables!F2:F93, MATCH(E461,RulebookTables!A2:A93, 0))), "")</f>
        <v>specification</v>
      </c>
      <c r="S461" s="3" t="s">
        <v>1918</v>
      </c>
    </row>
    <row r="462">
      <c r="A462" s="3" t="s">
        <v>14565</v>
      </c>
      <c r="B462" s="4" t="str">
        <f>_xlfn.CONCAT(D462, " / ", E462)</f>
        <v>effortless-python / StepTransitions</v>
      </c>
      <c r="C462" s="3" t="s">
        <v>14074</v>
      </c>
      <c r="D462" s="3" t="s">
        <v>14029</v>
      </c>
      <c r="E462" s="3" t="s">
        <v>1784</v>
      </c>
      <c r="F462" s="3">
        <v>20</v>
      </c>
      <c r="G462" s="3">
        <v>18</v>
      </c>
      <c r="H462" s="3">
        <v>360</v>
      </c>
      <c r="I462" s="3">
        <v>360</v>
      </c>
      <c r="J462" s="3" t="b">
        <v>0</v>
      </c>
      <c r="K462" s="4">
        <f>H462 - I462</f>
        <v>0</v>
      </c>
      <c r="L462" s="4">
        <f>IF(((H462 = 0)=TRUE),  0,  ROUND(100 * I462 / H462, 2))</f>
        <v>100</v>
      </c>
      <c r="M462" s="4" t="b">
        <f>K462 = 0</f>
        <v>1</v>
      </c>
      <c r="N462" s="4" t="str">
        <f>IF(((M462)=TRUE),  "",  D462)</f>
      </c>
      <c r="O462" s="4" t="str">
        <f>IF(((M462)=TRUE),  "",  E462)</f>
      </c>
      <c r="P462" s="4">
        <f>COUNTIFS(FieldDisagreements!E2:E50, A462)</f>
        <v>0</v>
      </c>
      <c r="Q462" s="4" t="str">
        <f>_xlfn.IFNA(IF(((INDEX(ConformanceSubstrates!C2:C9, MATCH(D462,ConformanceSubstrates!A2:A9, 0))="")=TRUE),  "",  INDEX(ConformanceSubstrates!C2:C9, MATCH(D462,ConformanceSubstrates!A2:A9, 0))), "")</f>
        <v>Python</v>
      </c>
      <c r="R462" s="4" t="str">
        <f>_xlfn.IFNA(IF(((INDEX(RulebookTables!F2:F93, MATCH(E462,RulebookTables!A2:A93, 0))="")=TRUE),  "",  INDEX(RulebookTables!F2:F93, MATCH(E462,RulebookTables!A2:A93, 0))), "")</f>
        <v>specification</v>
      </c>
      <c r="S462" s="3" t="s">
        <v>1918</v>
      </c>
    </row>
    <row r="463">
      <c r="A463" s="3" t="s">
        <v>14566</v>
      </c>
      <c r="B463" s="4" t="str">
        <f>_xlfn.CONCAT(D463, " / ", E463)</f>
        <v>effortless-python / Actions</v>
      </c>
      <c r="C463" s="3" t="s">
        <v>14074</v>
      </c>
      <c r="D463" s="3" t="s">
        <v>14029</v>
      </c>
      <c r="E463" s="3" t="s">
        <v>1796</v>
      </c>
      <c r="F463" s="3">
        <v>9</v>
      </c>
      <c r="G463" s="3">
        <v>1</v>
      </c>
      <c r="H463" s="3">
        <v>9</v>
      </c>
      <c r="I463" s="3">
        <v>9</v>
      </c>
      <c r="J463" s="3" t="b">
        <v>0</v>
      </c>
      <c r="K463" s="4">
        <f>H463 - I463</f>
        <v>0</v>
      </c>
      <c r="L463" s="4">
        <f>IF(((H463 = 0)=TRUE),  0,  ROUND(100 * I463 / H463, 2))</f>
        <v>100</v>
      </c>
      <c r="M463" s="4" t="b">
        <f>K463 = 0</f>
        <v>1</v>
      </c>
      <c r="N463" s="4" t="str">
        <f>IF(((M463)=TRUE),  "",  D463)</f>
      </c>
      <c r="O463" s="4" t="str">
        <f>IF(((M463)=TRUE),  "",  E463)</f>
      </c>
      <c r="P463" s="4">
        <f>COUNTIFS(FieldDisagreements!E2:E50, A463)</f>
        <v>0</v>
      </c>
      <c r="Q463" s="4" t="str">
        <f>_xlfn.IFNA(IF(((INDEX(ConformanceSubstrates!C2:C9, MATCH(D463,ConformanceSubstrates!A2:A9, 0))="")=TRUE),  "",  INDEX(ConformanceSubstrates!C2:C9, MATCH(D463,ConformanceSubstrates!A2:A9, 0))), "")</f>
        <v>Python</v>
      </c>
      <c r="R463" s="4" t="str">
        <f>_xlfn.IFNA(IF(((INDEX(RulebookTables!F2:F93, MATCH(E463,RulebookTables!A2:A93, 0))="")=TRUE),  "",  INDEX(RulebookTables!F2:F93, MATCH(E463,RulebookTables!A2:A93, 0))), "")</f>
        <v>specification</v>
      </c>
      <c r="S463" s="3" t="s">
        <v>1918</v>
      </c>
    </row>
    <row r="464">
      <c r="A464" s="3" t="s">
        <v>14567</v>
      </c>
      <c r="B464" s="4" t="str">
        <f>_xlfn.CONCAT(D464, " / ", E464)</f>
        <v>effortless-python / Functions</v>
      </c>
      <c r="C464" s="3" t="s">
        <v>14074</v>
      </c>
      <c r="D464" s="3" t="s">
        <v>14029</v>
      </c>
      <c r="E464" s="3" t="s">
        <v>1799</v>
      </c>
      <c r="F464" s="3">
        <v>8</v>
      </c>
      <c r="G464" s="3">
        <v>1</v>
      </c>
      <c r="H464" s="3">
        <v>8</v>
      </c>
      <c r="I464" s="3">
        <v>8</v>
      </c>
      <c r="J464" s="3" t="b">
        <v>0</v>
      </c>
      <c r="K464" s="4">
        <f>H464 - I464</f>
        <v>0</v>
      </c>
      <c r="L464" s="4">
        <f>IF(((H464 = 0)=TRUE),  0,  ROUND(100 * I464 / H464, 2))</f>
        <v>100</v>
      </c>
      <c r="M464" s="4" t="b">
        <f>K464 = 0</f>
        <v>1</v>
      </c>
      <c r="N464" s="4" t="str">
        <f>IF(((M464)=TRUE),  "",  D464)</f>
      </c>
      <c r="O464" s="4" t="str">
        <f>IF(((M464)=TRUE),  "",  E464)</f>
      </c>
      <c r="P464" s="4">
        <f>COUNTIFS(FieldDisagreements!E2:E50, A464)</f>
        <v>0</v>
      </c>
      <c r="Q464" s="4" t="str">
        <f>_xlfn.IFNA(IF(((INDEX(ConformanceSubstrates!C2:C9, MATCH(D464,ConformanceSubstrates!A2:A9, 0))="")=TRUE),  "",  INDEX(ConformanceSubstrates!C2:C9, MATCH(D464,ConformanceSubstrates!A2:A9, 0))), "")</f>
        <v>Python</v>
      </c>
      <c r="R464" s="4" t="str">
        <f>_xlfn.IFNA(IF(((INDEX(RulebookTables!F2:F93, MATCH(E464,RulebookTables!A2:A93, 0))="")=TRUE),  "",  INDEX(RulebookTables!F2:F93, MATCH(E464,RulebookTables!A2:A93, 0))), "")</f>
        <v>specification</v>
      </c>
      <c r="S464" s="3" t="s">
        <v>1918</v>
      </c>
    </row>
    <row r="465">
      <c r="A465" s="3" t="s">
        <v>14568</v>
      </c>
      <c r="B465" s="4" t="str">
        <f>_xlfn.CONCAT(D465, " / ", E465)</f>
        <v>effortless-python / Tools</v>
      </c>
      <c r="C465" s="3" t="s">
        <v>14074</v>
      </c>
      <c r="D465" s="3" t="s">
        <v>14029</v>
      </c>
      <c r="E465" s="3" t="s">
        <v>1802</v>
      </c>
      <c r="F465" s="3">
        <v>8</v>
      </c>
      <c r="G465" s="3">
        <v>1</v>
      </c>
      <c r="H465" s="3">
        <v>8</v>
      </c>
      <c r="I465" s="3">
        <v>8</v>
      </c>
      <c r="J465" s="3" t="b">
        <v>0</v>
      </c>
      <c r="K465" s="4">
        <f>H465 - I465</f>
        <v>0</v>
      </c>
      <c r="L465" s="4">
        <f>IF(((H465 = 0)=TRUE),  0,  ROUND(100 * I465 / H465, 2))</f>
        <v>100</v>
      </c>
      <c r="M465" s="4" t="b">
        <f>K465 = 0</f>
        <v>1</v>
      </c>
      <c r="N465" s="4" t="str">
        <f>IF(((M465)=TRUE),  "",  D465)</f>
      </c>
      <c r="O465" s="4" t="str">
        <f>IF(((M465)=TRUE),  "",  E465)</f>
      </c>
      <c r="P465" s="4">
        <f>COUNTIFS(FieldDisagreements!E2:E50, A465)</f>
        <v>0</v>
      </c>
      <c r="Q465" s="4" t="str">
        <f>_xlfn.IFNA(IF(((INDEX(ConformanceSubstrates!C2:C9, MATCH(D465,ConformanceSubstrates!A2:A9, 0))="")=TRUE),  "",  INDEX(ConformanceSubstrates!C2:C9, MATCH(D465,ConformanceSubstrates!A2:A9, 0))), "")</f>
        <v>Python</v>
      </c>
      <c r="R465" s="4" t="str">
        <f>_xlfn.IFNA(IF(((INDEX(RulebookTables!F2:F93, MATCH(E465,RulebookTables!A2:A93, 0))="")=TRUE),  "",  INDEX(RulebookTables!F2:F93, MATCH(E465,RulebookTables!A2:A93, 0))), "")</f>
        <v>specification</v>
      </c>
      <c r="S465" s="3" t="s">
        <v>1918</v>
      </c>
    </row>
    <row r="466">
      <c r="A466" s="3" t="s">
        <v>14569</v>
      </c>
      <c r="B466" s="4" t="str">
        <f>_xlfn.CONCAT(D466, " / ", E466)</f>
        <v>effortless-python / StepActions</v>
      </c>
      <c r="C466" s="3" t="s">
        <v>14074</v>
      </c>
      <c r="D466" s="3" t="s">
        <v>14029</v>
      </c>
      <c r="E466" s="3" t="s">
        <v>3028</v>
      </c>
      <c r="F466" s="3">
        <v>9</v>
      </c>
      <c r="G466" s="3">
        <v>1</v>
      </c>
      <c r="H466" s="3">
        <v>9</v>
      </c>
      <c r="I466" s="3">
        <v>9</v>
      </c>
      <c r="J466" s="3" t="b">
        <v>0</v>
      </c>
      <c r="K466" s="4">
        <f>H466 - I466</f>
        <v>0</v>
      </c>
      <c r="L466" s="4">
        <f>IF(((H466 = 0)=TRUE),  0,  ROUND(100 * I466 / H466, 2))</f>
        <v>100</v>
      </c>
      <c r="M466" s="4" t="b">
        <f>K466 = 0</f>
        <v>1</v>
      </c>
      <c r="N466" s="4" t="str">
        <f>IF(((M466)=TRUE),  "",  D466)</f>
      </c>
      <c r="O466" s="4" t="str">
        <f>IF(((M466)=TRUE),  "",  E466)</f>
      </c>
      <c r="P466" s="4">
        <f>COUNTIFS(FieldDisagreements!E2:E50, A466)</f>
        <v>0</v>
      </c>
      <c r="Q466" s="4" t="str">
        <f>_xlfn.IFNA(IF(((INDEX(ConformanceSubstrates!C2:C9, MATCH(D466,ConformanceSubstrates!A2:A9, 0))="")=TRUE),  "",  INDEX(ConformanceSubstrates!C2:C9, MATCH(D466,ConformanceSubstrates!A2:A9, 0))), "")</f>
        <v>Python</v>
      </c>
      <c r="R466" s="4" t="str">
        <f>_xlfn.IFNA(IF(((INDEX(RulebookTables!F2:F93, MATCH(E466,RulebookTables!A2:A93, 0))="")=TRUE),  "",  INDEX(RulebookTables!F2:F93, MATCH(E466,RulebookTables!A2:A93, 0))), "")</f>
        <v>specification</v>
      </c>
      <c r="S466" s="3" t="s">
        <v>1918</v>
      </c>
    </row>
    <row r="467">
      <c r="A467" s="3" t="s">
        <v>14570</v>
      </c>
      <c r="B467" s="4" t="str">
        <f>_xlfn.CONCAT(D467, " / ", E467)</f>
        <v>effortless-python / StepFunctions</v>
      </c>
      <c r="C467" s="3" t="s">
        <v>14074</v>
      </c>
      <c r="D467" s="3" t="s">
        <v>14029</v>
      </c>
      <c r="E467" s="3" t="s">
        <v>3034</v>
      </c>
      <c r="F467" s="3">
        <v>8</v>
      </c>
      <c r="G467" s="3">
        <v>1</v>
      </c>
      <c r="H467" s="3">
        <v>8</v>
      </c>
      <c r="I467" s="3">
        <v>8</v>
      </c>
      <c r="J467" s="3" t="b">
        <v>0</v>
      </c>
      <c r="K467" s="4">
        <f>H467 - I467</f>
        <v>0</v>
      </c>
      <c r="L467" s="4">
        <f>IF(((H467 = 0)=TRUE),  0,  ROUND(100 * I467 / H467, 2))</f>
        <v>100</v>
      </c>
      <c r="M467" s="4" t="b">
        <f>K467 = 0</f>
        <v>1</v>
      </c>
      <c r="N467" s="4" t="str">
        <f>IF(((M467)=TRUE),  "",  D467)</f>
      </c>
      <c r="O467" s="4" t="str">
        <f>IF(((M467)=TRUE),  "",  E467)</f>
      </c>
      <c r="P467" s="4">
        <f>COUNTIFS(FieldDisagreements!E2:E50, A467)</f>
        <v>0</v>
      </c>
      <c r="Q467" s="4" t="str">
        <f>_xlfn.IFNA(IF(((INDEX(ConformanceSubstrates!C2:C9, MATCH(D467,ConformanceSubstrates!A2:A9, 0))="")=TRUE),  "",  INDEX(ConformanceSubstrates!C2:C9, MATCH(D467,ConformanceSubstrates!A2:A9, 0))), "")</f>
        <v>Python</v>
      </c>
      <c r="R467" s="4" t="str">
        <f>_xlfn.IFNA(IF(((INDEX(RulebookTables!F2:F93, MATCH(E467,RulebookTables!A2:A93, 0))="")=TRUE),  "",  INDEX(RulebookTables!F2:F93, MATCH(E467,RulebookTables!A2:A93, 0))), "")</f>
        <v>specification</v>
      </c>
      <c r="S467" s="3" t="s">
        <v>1918</v>
      </c>
    </row>
    <row r="468">
      <c r="A468" s="3" t="s">
        <v>14571</v>
      </c>
      <c r="B468" s="4" t="str">
        <f>_xlfn.CONCAT(D468, " / ", E468)</f>
        <v>effortless-python / StepTools</v>
      </c>
      <c r="C468" s="3" t="s">
        <v>14074</v>
      </c>
      <c r="D468" s="3" t="s">
        <v>14029</v>
      </c>
      <c r="E468" s="3" t="s">
        <v>3040</v>
      </c>
      <c r="F468" s="3">
        <v>10</v>
      </c>
      <c r="G468" s="3">
        <v>1</v>
      </c>
      <c r="H468" s="3">
        <v>10</v>
      </c>
      <c r="I468" s="3">
        <v>10</v>
      </c>
      <c r="J468" s="3" t="b">
        <v>0</v>
      </c>
      <c r="K468" s="4">
        <f>H468 - I468</f>
        <v>0</v>
      </c>
      <c r="L468" s="4">
        <f>IF(((H468 = 0)=TRUE),  0,  ROUND(100 * I468 / H468, 2))</f>
        <v>100</v>
      </c>
      <c r="M468" s="4" t="b">
        <f>K468 = 0</f>
        <v>1</v>
      </c>
      <c r="N468" s="4" t="str">
        <f>IF(((M468)=TRUE),  "",  D468)</f>
      </c>
      <c r="O468" s="4" t="str">
        <f>IF(((M468)=TRUE),  "",  E468)</f>
      </c>
      <c r="P468" s="4">
        <f>COUNTIFS(FieldDisagreements!E2:E50, A468)</f>
        <v>0</v>
      </c>
      <c r="Q468" s="4" t="str">
        <f>_xlfn.IFNA(IF(((INDEX(ConformanceSubstrates!C2:C9, MATCH(D468,ConformanceSubstrates!A2:A9, 0))="")=TRUE),  "",  INDEX(ConformanceSubstrates!C2:C9, MATCH(D468,ConformanceSubstrates!A2:A9, 0))), "")</f>
        <v>Python</v>
      </c>
      <c r="R468" s="4" t="str">
        <f>_xlfn.IFNA(IF(((INDEX(RulebookTables!F2:F93, MATCH(E468,RulebookTables!A2:A93, 0))="")=TRUE),  "",  INDEX(RulebookTables!F2:F93, MATCH(E468,RulebookTables!A2:A93, 0))), "")</f>
        <v>specification</v>
      </c>
      <c r="S468" s="3" t="s">
        <v>1918</v>
      </c>
    </row>
    <row r="469">
      <c r="A469" s="3" t="s">
        <v>14572</v>
      </c>
      <c r="B469" s="4" t="str">
        <f>_xlfn.CONCAT(D469, " / ", E469)</f>
        <v>effortless-python / Requirements</v>
      </c>
      <c r="C469" s="3" t="s">
        <v>14074</v>
      </c>
      <c r="D469" s="3" t="s">
        <v>14029</v>
      </c>
      <c r="E469" s="3" t="s">
        <v>1805</v>
      </c>
      <c r="F469" s="3">
        <v>13</v>
      </c>
      <c r="G469" s="3">
        <v>31</v>
      </c>
      <c r="H469" s="3">
        <v>403</v>
      </c>
      <c r="I469" s="3">
        <v>403</v>
      </c>
      <c r="J469" s="3" t="b">
        <v>0</v>
      </c>
      <c r="K469" s="4">
        <f>H469 - I469</f>
        <v>0</v>
      </c>
      <c r="L469" s="4">
        <f>IF(((H469 = 0)=TRUE),  0,  ROUND(100 * I469 / H469, 2))</f>
        <v>100</v>
      </c>
      <c r="M469" s="4" t="b">
        <f>K469 = 0</f>
        <v>1</v>
      </c>
      <c r="N469" s="4" t="str">
        <f>IF(((M469)=TRUE),  "",  D469)</f>
      </c>
      <c r="O469" s="4" t="str">
        <f>IF(((M469)=TRUE),  "",  E469)</f>
      </c>
      <c r="P469" s="4">
        <f>COUNTIFS(FieldDisagreements!E2:E50, A469)</f>
        <v>0</v>
      </c>
      <c r="Q469" s="4" t="str">
        <f>_xlfn.IFNA(IF(((INDEX(ConformanceSubstrates!C2:C9, MATCH(D469,ConformanceSubstrates!A2:A9, 0))="")=TRUE),  "",  INDEX(ConformanceSubstrates!C2:C9, MATCH(D469,ConformanceSubstrates!A2:A9, 0))), "")</f>
        <v>Python</v>
      </c>
      <c r="R469" s="4" t="str">
        <f>_xlfn.IFNA(IF(((INDEX(RulebookTables!F2:F93, MATCH(E469,RulebookTables!A2:A93, 0))="")=TRUE),  "",  INDEX(RulebookTables!F2:F93, MATCH(E469,RulebookTables!A2:A93, 0))), "")</f>
        <v>governance</v>
      </c>
      <c r="S469" s="3" t="s">
        <v>1918</v>
      </c>
    </row>
    <row r="470">
      <c r="A470" s="3" t="s">
        <v>14573</v>
      </c>
      <c r="B470" s="4" t="str">
        <f>_xlfn.CONCAT(D470, " / ", E470)</f>
        <v>effortless-python / StepRequirements</v>
      </c>
      <c r="C470" s="3" t="s">
        <v>14074</v>
      </c>
      <c r="D470" s="3" t="s">
        <v>14029</v>
      </c>
      <c r="E470" s="3" t="s">
        <v>3119</v>
      </c>
      <c r="F470" s="3">
        <v>15</v>
      </c>
      <c r="G470" s="3">
        <v>10</v>
      </c>
      <c r="H470" s="3">
        <v>150</v>
      </c>
      <c r="I470" s="3">
        <v>150</v>
      </c>
      <c r="J470" s="3" t="b">
        <v>0</v>
      </c>
      <c r="K470" s="4">
        <f>H470 - I470</f>
        <v>0</v>
      </c>
      <c r="L470" s="4">
        <f>IF(((H470 = 0)=TRUE),  0,  ROUND(100 * I470 / H470, 2))</f>
        <v>100</v>
      </c>
      <c r="M470" s="4" t="b">
        <f>K470 = 0</f>
        <v>1</v>
      </c>
      <c r="N470" s="4" t="str">
        <f>IF(((M470)=TRUE),  "",  D470)</f>
      </c>
      <c r="O470" s="4" t="str">
        <f>IF(((M470)=TRUE),  "",  E470)</f>
      </c>
      <c r="P470" s="4">
        <f>COUNTIFS(FieldDisagreements!E2:E50, A470)</f>
        <v>0</v>
      </c>
      <c r="Q470" s="4" t="str">
        <f>_xlfn.IFNA(IF(((INDEX(ConformanceSubstrates!C2:C9, MATCH(D470,ConformanceSubstrates!A2:A9, 0))="")=TRUE),  "",  INDEX(ConformanceSubstrates!C2:C9, MATCH(D470,ConformanceSubstrates!A2:A9, 0))), "")</f>
        <v>Python</v>
      </c>
      <c r="R470" s="4" t="str">
        <f>_xlfn.IFNA(IF(((INDEX(RulebookTables!F2:F93, MATCH(E470,RulebookTables!A2:A93, 0))="")=TRUE),  "",  INDEX(RulebookTables!F2:F93, MATCH(E470,RulebookTables!A2:A93, 0))), "")</f>
        <v>specification</v>
      </c>
      <c r="S470" s="3" t="s">
        <v>1918</v>
      </c>
    </row>
    <row r="471">
      <c r="A471" s="3" t="s">
        <v>14574</v>
      </c>
      <c r="B471" s="4" t="str">
        <f>_xlfn.CONCAT(D471, " / ", E471)</f>
        <v>effortless-python / StepVerifications</v>
      </c>
      <c r="C471" s="3" t="s">
        <v>14074</v>
      </c>
      <c r="D471" s="3" t="s">
        <v>14029</v>
      </c>
      <c r="E471" s="3" t="s">
        <v>1808</v>
      </c>
      <c r="F471" s="3">
        <v>11</v>
      </c>
      <c r="G471" s="3">
        <v>1</v>
      </c>
      <c r="H471" s="3">
        <v>11</v>
      </c>
      <c r="I471" s="3">
        <v>11</v>
      </c>
      <c r="J471" s="3" t="b">
        <v>0</v>
      </c>
      <c r="K471" s="4">
        <f>H471 - I471</f>
        <v>0</v>
      </c>
      <c r="L471" s="4">
        <f>IF(((H471 = 0)=TRUE),  0,  ROUND(100 * I471 / H471, 2))</f>
        <v>100</v>
      </c>
      <c r="M471" s="4" t="b">
        <f>K471 = 0</f>
        <v>1</v>
      </c>
      <c r="N471" s="4" t="str">
        <f>IF(((M471)=TRUE),  "",  D471)</f>
      </c>
      <c r="O471" s="4" t="str">
        <f>IF(((M471)=TRUE),  "",  E471)</f>
      </c>
      <c r="P471" s="4">
        <f>COUNTIFS(FieldDisagreements!E2:E50, A471)</f>
        <v>0</v>
      </c>
      <c r="Q471" s="4" t="str">
        <f>_xlfn.IFNA(IF(((INDEX(ConformanceSubstrates!C2:C9, MATCH(D471,ConformanceSubstrates!A2:A9, 0))="")=TRUE),  "",  INDEX(ConformanceSubstrates!C2:C9, MATCH(D471,ConformanceSubstrates!A2:A9, 0))), "")</f>
        <v>Python</v>
      </c>
      <c r="R471" s="4" t="str">
        <f>_xlfn.IFNA(IF(((INDEX(RulebookTables!F2:F93, MATCH(E471,RulebookTables!A2:A93, 0))="")=TRUE),  "",  INDEX(RulebookTables!F2:F93, MATCH(E471,RulebookTables!A2:A93, 0))), "")</f>
        <v>specification</v>
      </c>
      <c r="S471" s="3" t="s">
        <v>1918</v>
      </c>
    </row>
    <row r="472">
      <c r="A472" s="3" t="s">
        <v>14575</v>
      </c>
      <c r="B472" s="4" t="str">
        <f>_xlfn.CONCAT(D472, " / ", E472)</f>
        <v>effortless-python / Rationales</v>
      </c>
      <c r="C472" s="3" t="s">
        <v>14074</v>
      </c>
      <c r="D472" s="3" t="s">
        <v>14029</v>
      </c>
      <c r="E472" s="3" t="s">
        <v>3151</v>
      </c>
      <c r="F472" s="3">
        <v>4</v>
      </c>
      <c r="G472" s="3">
        <v>1</v>
      </c>
      <c r="H472" s="3">
        <v>4</v>
      </c>
      <c r="I472" s="3">
        <v>4</v>
      </c>
      <c r="J472" s="3" t="b">
        <v>0</v>
      </c>
      <c r="K472" s="4">
        <f>H472 - I472</f>
        <v>0</v>
      </c>
      <c r="L472" s="4">
        <f>IF(((H472 = 0)=TRUE),  0,  ROUND(100 * I472 / H472, 2))</f>
        <v>100</v>
      </c>
      <c r="M472" s="4" t="b">
        <f>K472 = 0</f>
        <v>1</v>
      </c>
      <c r="N472" s="4" t="str">
        <f>IF(((M472)=TRUE),  "",  D472)</f>
      </c>
      <c r="O472" s="4" t="str">
        <f>IF(((M472)=TRUE),  "",  E472)</f>
      </c>
      <c r="P472" s="4">
        <f>COUNTIFS(FieldDisagreements!E2:E50, A472)</f>
        <v>0</v>
      </c>
      <c r="Q472" s="4" t="str">
        <f>_xlfn.IFNA(IF(((INDEX(ConformanceSubstrates!C2:C9, MATCH(D472,ConformanceSubstrates!A2:A9, 0))="")=TRUE),  "",  INDEX(ConformanceSubstrates!C2:C9, MATCH(D472,ConformanceSubstrates!A2:A9, 0))), "")</f>
        <v>Python</v>
      </c>
      <c r="R472" s="4" t="str">
        <f>_xlfn.IFNA(IF(((INDEX(RulebookTables!F2:F93, MATCH(E472,RulebookTables!A2:A93, 0))="")=TRUE),  "",  INDEX(RulebookTables!F2:F93, MATCH(E472,RulebookTables!A2:A93, 0))), "")</f>
        <v>governance</v>
      </c>
      <c r="S472" s="3" t="s">
        <v>1918</v>
      </c>
    </row>
    <row r="473">
      <c r="A473" s="3" t="s">
        <v>14576</v>
      </c>
      <c r="B473" s="4" t="str">
        <f>_xlfn.CONCAT(D473, " / ", E473)</f>
        <v>effortless-python / Exceptions</v>
      </c>
      <c r="C473" s="3" t="s">
        <v>14074</v>
      </c>
      <c r="D473" s="3" t="s">
        <v>14029</v>
      </c>
      <c r="E473" s="3" t="s">
        <v>3161</v>
      </c>
      <c r="F473" s="3">
        <v>4</v>
      </c>
      <c r="G473" s="3">
        <v>2</v>
      </c>
      <c r="H473" s="3">
        <v>8</v>
      </c>
      <c r="I473" s="3">
        <v>8</v>
      </c>
      <c r="J473" s="3" t="b">
        <v>0</v>
      </c>
      <c r="K473" s="4">
        <f>H473 - I473</f>
        <v>0</v>
      </c>
      <c r="L473" s="4">
        <f>IF(((H473 = 0)=TRUE),  0,  ROUND(100 * I473 / H473, 2))</f>
        <v>100</v>
      </c>
      <c r="M473" s="4" t="b">
        <f>K473 = 0</f>
        <v>1</v>
      </c>
      <c r="N473" s="4" t="str">
        <f>IF(((M473)=TRUE),  "",  D473)</f>
      </c>
      <c r="O473" s="4" t="str">
        <f>IF(((M473)=TRUE),  "",  E473)</f>
      </c>
      <c r="P473" s="4">
        <f>COUNTIFS(FieldDisagreements!E2:E50, A473)</f>
        <v>0</v>
      </c>
      <c r="Q473" s="4" t="str">
        <f>_xlfn.IFNA(IF(((INDEX(ConformanceSubstrates!C2:C9, MATCH(D473,ConformanceSubstrates!A2:A9, 0))="")=TRUE),  "",  INDEX(ConformanceSubstrates!C2:C9, MATCH(D473,ConformanceSubstrates!A2:A9, 0))), "")</f>
        <v>Python</v>
      </c>
      <c r="R473" s="4" t="str">
        <f>_xlfn.IFNA(IF(((INDEX(RulebookTables!F2:F93, MATCH(E473,RulebookTables!A2:A93, 0))="")=TRUE),  "",  INDEX(RulebookTables!F2:F93, MATCH(E473,RulebookTables!A2:A93, 0))), "")</f>
        <v>governance</v>
      </c>
      <c r="S473" s="3" t="s">
        <v>1918</v>
      </c>
    </row>
    <row r="474">
      <c r="A474" s="3" t="s">
        <v>14577</v>
      </c>
      <c r="B474" s="4" t="str">
        <f>_xlfn.CONCAT(D474, " / ", E474)</f>
        <v>effortless-python / Resources</v>
      </c>
      <c r="C474" s="3" t="s">
        <v>14074</v>
      </c>
      <c r="D474" s="3" t="s">
        <v>14029</v>
      </c>
      <c r="E474" s="3" t="s">
        <v>1811</v>
      </c>
      <c r="F474" s="3">
        <v>8</v>
      </c>
      <c r="G474" s="3">
        <v>2</v>
      </c>
      <c r="H474" s="3">
        <v>16</v>
      </c>
      <c r="I474" s="3">
        <v>16</v>
      </c>
      <c r="J474" s="3" t="b">
        <v>0</v>
      </c>
      <c r="K474" s="4">
        <f>H474 - I474</f>
        <v>0</v>
      </c>
      <c r="L474" s="4">
        <f>IF(((H474 = 0)=TRUE),  0,  ROUND(100 * I474 / H474, 2))</f>
        <v>100</v>
      </c>
      <c r="M474" s="4" t="b">
        <f>K474 = 0</f>
        <v>1</v>
      </c>
      <c r="N474" s="4" t="str">
        <f>IF(((M474)=TRUE),  "",  D474)</f>
      </c>
      <c r="O474" s="4" t="str">
        <f>IF(((M474)=TRUE),  "",  E474)</f>
      </c>
      <c r="P474" s="4">
        <f>COUNTIFS(FieldDisagreements!E2:E50, A474)</f>
        <v>0</v>
      </c>
      <c r="Q474" s="4" t="str">
        <f>_xlfn.IFNA(IF(((INDEX(ConformanceSubstrates!C2:C9, MATCH(D474,ConformanceSubstrates!A2:A9, 0))="")=TRUE),  "",  INDEX(ConformanceSubstrates!C2:C9, MATCH(D474,ConformanceSubstrates!A2:A9, 0))), "")</f>
        <v>Python</v>
      </c>
      <c r="R474" s="4" t="str">
        <f>_xlfn.IFNA(IF(((INDEX(RulebookTables!F2:F93, MATCH(E474,RulebookTables!A2:A93, 0))="")=TRUE),  "",  INDEX(RulebookTables!F2:F93, MATCH(E474,RulebookTables!A2:A93, 0))), "")</f>
        <v>domain</v>
      </c>
      <c r="S474" s="3" t="s">
        <v>1918</v>
      </c>
    </row>
    <row r="475">
      <c r="A475" s="3" t="s">
        <v>14578</v>
      </c>
      <c r="B475" s="4" t="str">
        <f>_xlfn.CONCAT(D475, " / ", E475)</f>
        <v>effortless-python / ProcedureResources</v>
      </c>
      <c r="C475" s="3" t="s">
        <v>14074</v>
      </c>
      <c r="D475" s="3" t="s">
        <v>14029</v>
      </c>
      <c r="E475" s="3" t="s">
        <v>3187</v>
      </c>
      <c r="F475" s="3">
        <v>8</v>
      </c>
      <c r="G475" s="3">
        <v>2</v>
      </c>
      <c r="H475" s="3">
        <v>16</v>
      </c>
      <c r="I475" s="3">
        <v>16</v>
      </c>
      <c r="J475" s="3" t="b">
        <v>0</v>
      </c>
      <c r="K475" s="4">
        <f>H475 - I475</f>
        <v>0</v>
      </c>
      <c r="L475" s="4">
        <f>IF(((H475 = 0)=TRUE),  0,  ROUND(100 * I475 / H475, 2))</f>
        <v>100</v>
      </c>
      <c r="M475" s="4" t="b">
        <f>K475 = 0</f>
        <v>1</v>
      </c>
      <c r="N475" s="4" t="str">
        <f>IF(((M475)=TRUE),  "",  D475)</f>
      </c>
      <c r="O475" s="4" t="str">
        <f>IF(((M475)=TRUE),  "",  E475)</f>
      </c>
      <c r="P475" s="4">
        <f>COUNTIFS(FieldDisagreements!E2:E50, A475)</f>
        <v>0</v>
      </c>
      <c r="Q475" s="4" t="str">
        <f>_xlfn.IFNA(IF(((INDEX(ConformanceSubstrates!C2:C9, MATCH(D475,ConformanceSubstrates!A2:A9, 0))="")=TRUE),  "",  INDEX(ConformanceSubstrates!C2:C9, MATCH(D475,ConformanceSubstrates!A2:A9, 0))), "")</f>
        <v>Python</v>
      </c>
      <c r="R475" s="4" t="str">
        <f>_xlfn.IFNA(IF(((INDEX(RulebookTables!F2:F93, MATCH(E475,RulebookTables!A2:A93, 0))="")=TRUE),  "",  INDEX(RulebookTables!F2:F93, MATCH(E475,RulebookTables!A2:A93, 0))), "")</f>
        <v>specification</v>
      </c>
      <c r="S475" s="3" t="s">
        <v>1918</v>
      </c>
    </row>
    <row r="476">
      <c r="A476" s="3" t="s">
        <v>14579</v>
      </c>
      <c r="B476" s="4" t="str">
        <f>_xlfn.CONCAT(D476, " / ", E476)</f>
        <v>effortless-python / ElicitationSessions</v>
      </c>
      <c r="C476" s="3" t="s">
        <v>14074</v>
      </c>
      <c r="D476" s="3" t="s">
        <v>14029</v>
      </c>
      <c r="E476" s="3" t="s">
        <v>1855</v>
      </c>
      <c r="F476" s="3">
        <v>3</v>
      </c>
      <c r="G476" s="3">
        <v>10</v>
      </c>
      <c r="H476" s="3">
        <v>30</v>
      </c>
      <c r="I476" s="3">
        <v>30</v>
      </c>
      <c r="J476" s="3" t="b">
        <v>0</v>
      </c>
      <c r="K476" s="4">
        <f>H476 - I476</f>
        <v>0</v>
      </c>
      <c r="L476" s="4">
        <f>IF(((H476 = 0)=TRUE),  0,  ROUND(100 * I476 / H476, 2))</f>
        <v>100</v>
      </c>
      <c r="M476" s="4" t="b">
        <f>K476 = 0</f>
        <v>1</v>
      </c>
      <c r="N476" s="4" t="str">
        <f>IF(((M476)=TRUE),  "",  D476)</f>
      </c>
      <c r="O476" s="4" t="str">
        <f>IF(((M476)=TRUE),  "",  E476)</f>
      </c>
      <c r="P476" s="4">
        <f>COUNTIFS(FieldDisagreements!E2:E50, A476)</f>
        <v>0</v>
      </c>
      <c r="Q476" s="4" t="str">
        <f>_xlfn.IFNA(IF(((INDEX(ConformanceSubstrates!C2:C9, MATCH(D476,ConformanceSubstrates!A2:A9, 0))="")=TRUE),  "",  INDEX(ConformanceSubstrates!C2:C9, MATCH(D476,ConformanceSubstrates!A2:A9, 0))), "")</f>
        <v>Python</v>
      </c>
      <c r="R476" s="4" t="str">
        <f>_xlfn.IFNA(IF(((INDEX(RulebookTables!F2:F93, MATCH(E476,RulebookTables!A2:A93, 0))="")=TRUE),  "",  INDEX(RulebookTables!F2:F93, MATCH(E476,RulebookTables!A2:A93, 0))), "")</f>
        <v>knowledge</v>
      </c>
      <c r="S476" s="3" t="s">
        <v>1918</v>
      </c>
    </row>
    <row r="477">
      <c r="A477" s="3" t="s">
        <v>14580</v>
      </c>
      <c r="B477" s="4" t="str">
        <f>_xlfn.CONCAT(D477, " / ", E477)</f>
        <v>effortless-python / KnowledgeFragments</v>
      </c>
      <c r="C477" s="3" t="s">
        <v>14074</v>
      </c>
      <c r="D477" s="3" t="s">
        <v>14029</v>
      </c>
      <c r="E477" s="3" t="s">
        <v>1851</v>
      </c>
      <c r="F477" s="3">
        <v>7</v>
      </c>
      <c r="G477" s="3">
        <v>65</v>
      </c>
      <c r="H477" s="3">
        <v>455</v>
      </c>
      <c r="I477" s="3">
        <v>455</v>
      </c>
      <c r="J477" s="3" t="b">
        <v>0</v>
      </c>
      <c r="K477" s="4">
        <f>H477 - I477</f>
        <v>0</v>
      </c>
      <c r="L477" s="4">
        <f>IF(((H477 = 0)=TRUE),  0,  ROUND(100 * I477 / H477, 2))</f>
        <v>100</v>
      </c>
      <c r="M477" s="4" t="b">
        <f>K477 = 0</f>
        <v>1</v>
      </c>
      <c r="N477" s="4" t="str">
        <f>IF(((M477)=TRUE),  "",  D477)</f>
      </c>
      <c r="O477" s="4" t="str">
        <f>IF(((M477)=TRUE),  "",  E477)</f>
      </c>
      <c r="P477" s="4">
        <f>COUNTIFS(FieldDisagreements!E2:E50, A477)</f>
        <v>0</v>
      </c>
      <c r="Q477" s="4" t="str">
        <f>_xlfn.IFNA(IF(((INDEX(ConformanceSubstrates!C2:C9, MATCH(D477,ConformanceSubstrates!A2:A9, 0))="")=TRUE),  "",  INDEX(ConformanceSubstrates!C2:C9, MATCH(D477,ConformanceSubstrates!A2:A9, 0))), "")</f>
        <v>Python</v>
      </c>
      <c r="R477" s="4" t="str">
        <f>_xlfn.IFNA(IF(((INDEX(RulebookTables!F2:F93, MATCH(E477,RulebookTables!A2:A93, 0))="")=TRUE),  "",  INDEX(RulebookTables!F2:F93, MATCH(E477,RulebookTables!A2:A93, 0))), "")</f>
        <v>knowledge</v>
      </c>
      <c r="S477" s="3" t="s">
        <v>1918</v>
      </c>
    </row>
    <row r="478">
      <c r="A478" s="3" t="s">
        <v>14581</v>
      </c>
      <c r="B478" s="4" t="str">
        <f>_xlfn.CONCAT(D478, " / ", E478)</f>
        <v>effortless-python / KnowledgeGaps</v>
      </c>
      <c r="C478" s="3" t="s">
        <v>14074</v>
      </c>
      <c r="D478" s="3" t="s">
        <v>14029</v>
      </c>
      <c r="E478" s="3" t="s">
        <v>3368</v>
      </c>
      <c r="F478" s="3">
        <v>8</v>
      </c>
      <c r="G478" s="3">
        <v>16</v>
      </c>
      <c r="H478" s="3">
        <v>128</v>
      </c>
      <c r="I478" s="3">
        <v>128</v>
      </c>
      <c r="J478" s="3" t="b">
        <v>0</v>
      </c>
      <c r="K478" s="4">
        <f>H478 - I478</f>
        <v>0</v>
      </c>
      <c r="L478" s="4">
        <f>IF(((H478 = 0)=TRUE),  0,  ROUND(100 * I478 / H478, 2))</f>
        <v>100</v>
      </c>
      <c r="M478" s="4" t="b">
        <f>K478 = 0</f>
        <v>1</v>
      </c>
      <c r="N478" s="4" t="str">
        <f>IF(((M478)=TRUE),  "",  D478)</f>
      </c>
      <c r="O478" s="4" t="str">
        <f>IF(((M478)=TRUE),  "",  E478)</f>
      </c>
      <c r="P478" s="4">
        <f>COUNTIFS(FieldDisagreements!E2:E50, A478)</f>
        <v>0</v>
      </c>
      <c r="Q478" s="4" t="str">
        <f>_xlfn.IFNA(IF(((INDEX(ConformanceSubstrates!C2:C9, MATCH(D478,ConformanceSubstrates!A2:A9, 0))="")=TRUE),  "",  INDEX(ConformanceSubstrates!C2:C9, MATCH(D478,ConformanceSubstrates!A2:A9, 0))), "")</f>
        <v>Python</v>
      </c>
      <c r="R478" s="4" t="str">
        <f>_xlfn.IFNA(IF(((INDEX(RulebookTables!F2:F93, MATCH(E478,RulebookTables!A2:A93, 0))="")=TRUE),  "",  INDEX(RulebookTables!F2:F93, MATCH(E478,RulebookTables!A2:A93, 0))), "")</f>
        <v>knowledge</v>
      </c>
      <c r="S478" s="3" t="s">
        <v>1918</v>
      </c>
    </row>
    <row r="479">
      <c r="A479" s="3" t="s">
        <v>14582</v>
      </c>
      <c r="B479" s="4" t="str">
        <f>_xlfn.CONCAT(D479, " / ", E479)</f>
        <v>effortless-python / FAQs</v>
      </c>
      <c r="C479" s="3" t="s">
        <v>14074</v>
      </c>
      <c r="D479" s="3" t="s">
        <v>14029</v>
      </c>
      <c r="E479" s="3" t="s">
        <v>1845</v>
      </c>
      <c r="F479" s="3">
        <v>3</v>
      </c>
      <c r="G479" s="3">
        <v>1</v>
      </c>
      <c r="H479" s="3">
        <v>3</v>
      </c>
      <c r="I479" s="3">
        <v>3</v>
      </c>
      <c r="J479" s="3" t="b">
        <v>0</v>
      </c>
      <c r="K479" s="4">
        <f>H479 - I479</f>
        <v>0</v>
      </c>
      <c r="L479" s="4">
        <f>IF(((H479 = 0)=TRUE),  0,  ROUND(100 * I479 / H479, 2))</f>
        <v>100</v>
      </c>
      <c r="M479" s="4" t="b">
        <f>K479 = 0</f>
        <v>1</v>
      </c>
      <c r="N479" s="4" t="str">
        <f>IF(((M479)=TRUE),  "",  D479)</f>
      </c>
      <c r="O479" s="4" t="str">
        <f>IF(((M479)=TRUE),  "",  E479)</f>
      </c>
      <c r="P479" s="4">
        <f>COUNTIFS(FieldDisagreements!E2:E50, A479)</f>
        <v>0</v>
      </c>
      <c r="Q479" s="4" t="str">
        <f>_xlfn.IFNA(IF(((INDEX(ConformanceSubstrates!C2:C9, MATCH(D479,ConformanceSubstrates!A2:A9, 0))="")=TRUE),  "",  INDEX(ConformanceSubstrates!C2:C9, MATCH(D479,ConformanceSubstrates!A2:A9, 0))), "")</f>
        <v>Python</v>
      </c>
      <c r="R479" s="4" t="str">
        <f>_xlfn.IFNA(IF(((INDEX(RulebookTables!F2:F93, MATCH(E479,RulebookTables!A2:A93, 0))="")=TRUE),  "",  INDEX(RulebookTables!F2:F93, MATCH(E479,RulebookTables!A2:A93, 0))), "")</f>
        <v>knowledge</v>
      </c>
      <c r="S479" s="3" t="s">
        <v>1918</v>
      </c>
    </row>
    <row r="480">
      <c r="A480" s="3" t="s">
        <v>14583</v>
      </c>
      <c r="B480" s="4" t="str">
        <f>_xlfn.CONCAT(D480, " / ", E480)</f>
        <v>effortless-python / Explanations</v>
      </c>
      <c r="C480" s="3" t="s">
        <v>14074</v>
      </c>
      <c r="D480" s="3" t="s">
        <v>14029</v>
      </c>
      <c r="E480" s="3" t="s">
        <v>1848</v>
      </c>
      <c r="F480" s="3">
        <v>2</v>
      </c>
      <c r="G480" s="3">
        <v>1</v>
      </c>
      <c r="H480" s="3">
        <v>2</v>
      </c>
      <c r="I480" s="3">
        <v>2</v>
      </c>
      <c r="J480" s="3" t="b">
        <v>0</v>
      </c>
      <c r="K480" s="4">
        <f>H480 - I480</f>
        <v>0</v>
      </c>
      <c r="L480" s="4">
        <f>IF(((H480 = 0)=TRUE),  0,  ROUND(100 * I480 / H480, 2))</f>
        <v>100</v>
      </c>
      <c r="M480" s="4" t="b">
        <f>K480 = 0</f>
        <v>1</v>
      </c>
      <c r="N480" s="4" t="str">
        <f>IF(((M480)=TRUE),  "",  D480)</f>
      </c>
      <c r="O480" s="4" t="str">
        <f>IF(((M480)=TRUE),  "",  E480)</f>
      </c>
      <c r="P480" s="4">
        <f>COUNTIFS(FieldDisagreements!E2:E50, A480)</f>
        <v>0</v>
      </c>
      <c r="Q480" s="4" t="str">
        <f>_xlfn.IFNA(IF(((INDEX(ConformanceSubstrates!C2:C9, MATCH(D480,ConformanceSubstrates!A2:A9, 0))="")=TRUE),  "",  INDEX(ConformanceSubstrates!C2:C9, MATCH(D480,ConformanceSubstrates!A2:A9, 0))), "")</f>
        <v>Python</v>
      </c>
      <c r="R480" s="4" t="str">
        <f>_xlfn.IFNA(IF(((INDEX(RulebookTables!F2:F93, MATCH(E480,RulebookTables!A2:A93, 0))="")=TRUE),  "",  INDEX(RulebookTables!F2:F93, MATCH(E480,RulebookTables!A2:A93, 0))), "")</f>
        <v>knowledge</v>
      </c>
      <c r="S480" s="3" t="s">
        <v>1918</v>
      </c>
    </row>
    <row r="481">
      <c r="A481" s="3" t="s">
        <v>14584</v>
      </c>
      <c r="B481" s="4" t="str">
        <f>_xlfn.CONCAT(D481, " / ", E481)</f>
        <v>effortless-python / ProcedureExecutions</v>
      </c>
      <c r="C481" s="3" t="s">
        <v>14074</v>
      </c>
      <c r="D481" s="3" t="s">
        <v>14029</v>
      </c>
      <c r="E481" s="3" t="s">
        <v>1824</v>
      </c>
      <c r="F481" s="3">
        <v>2</v>
      </c>
      <c r="G481" s="3">
        <v>69</v>
      </c>
      <c r="H481" s="3">
        <v>138</v>
      </c>
      <c r="I481" s="3">
        <v>138</v>
      </c>
      <c r="J481" s="3" t="b">
        <v>0</v>
      </c>
      <c r="K481" s="4">
        <f>H481 - I481</f>
        <v>0</v>
      </c>
      <c r="L481" s="4">
        <f>IF(((H481 = 0)=TRUE),  0,  ROUND(100 * I481 / H481, 2))</f>
        <v>100</v>
      </c>
      <c r="M481" s="4" t="b">
        <f>K481 = 0</f>
        <v>1</v>
      </c>
      <c r="N481" s="4" t="str">
        <f>IF(((M481)=TRUE),  "",  D481)</f>
      </c>
      <c r="O481" s="4" t="str">
        <f>IF(((M481)=TRUE),  "",  E481)</f>
      </c>
      <c r="P481" s="4">
        <f>COUNTIFS(FieldDisagreements!E2:E50, A481)</f>
        <v>0</v>
      </c>
      <c r="Q481" s="4" t="str">
        <f>_xlfn.IFNA(IF(((INDEX(ConformanceSubstrates!C2:C9, MATCH(D481,ConformanceSubstrates!A2:A9, 0))="")=TRUE),  "",  INDEX(ConformanceSubstrates!C2:C9, MATCH(D481,ConformanceSubstrates!A2:A9, 0))), "")</f>
        <v>Python</v>
      </c>
      <c r="R481" s="4" t="str">
        <f>_xlfn.IFNA(IF(((INDEX(RulebookTables!F2:F93, MATCH(E481,RulebookTables!A2:A93, 0))="")=TRUE),  "",  INDEX(RulebookTables!F2:F93, MATCH(E481,RulebookTables!A2:A93, 0))), "")</f>
        <v>specification</v>
      </c>
      <c r="S481" s="3" t="s">
        <v>1918</v>
      </c>
    </row>
    <row r="482">
      <c r="A482" s="3" t="s">
        <v>14585</v>
      </c>
      <c r="B482" s="4" t="str">
        <f>_xlfn.CONCAT(D482, " / ", E482)</f>
        <v>effortless-python / StepExecutions</v>
      </c>
      <c r="C482" s="3" t="s">
        <v>14074</v>
      </c>
      <c r="D482" s="3" t="s">
        <v>14029</v>
      </c>
      <c r="E482" s="3" t="s">
        <v>1827</v>
      </c>
      <c r="F482" s="3">
        <v>12</v>
      </c>
      <c r="G482" s="3">
        <v>99</v>
      </c>
      <c r="H482" s="3">
        <v>1188</v>
      </c>
      <c r="I482" s="3">
        <v>1188</v>
      </c>
      <c r="J482" s="3" t="b">
        <v>0</v>
      </c>
      <c r="K482" s="4">
        <f>H482 - I482</f>
        <v>0</v>
      </c>
      <c r="L482" s="4">
        <f>IF(((H482 = 0)=TRUE),  0,  ROUND(100 * I482 / H482, 2))</f>
        <v>100</v>
      </c>
      <c r="M482" s="4" t="b">
        <f>K482 = 0</f>
        <v>1</v>
      </c>
      <c r="N482" s="4" t="str">
        <f>IF(((M482)=TRUE),  "",  D482)</f>
      </c>
      <c r="O482" s="4" t="str">
        <f>IF(((M482)=TRUE),  "",  E482)</f>
      </c>
      <c r="P482" s="4">
        <f>COUNTIFS(FieldDisagreements!E2:E50, A482)</f>
        <v>0</v>
      </c>
      <c r="Q482" s="4" t="str">
        <f>_xlfn.IFNA(IF(((INDEX(ConformanceSubstrates!C2:C9, MATCH(D482,ConformanceSubstrates!A2:A9, 0))="")=TRUE),  "",  INDEX(ConformanceSubstrates!C2:C9, MATCH(D482,ConformanceSubstrates!A2:A9, 0))), "")</f>
        <v>Python</v>
      </c>
      <c r="R482" s="4" t="str">
        <f>_xlfn.IFNA(IF(((INDEX(RulebookTables!F2:F93, MATCH(E482,RulebookTables!A2:A93, 0))="")=TRUE),  "",  INDEX(RulebookTables!F2:F93, MATCH(E482,RulebookTables!A2:A93, 0))), "")</f>
        <v>specification</v>
      </c>
      <c r="S482" s="3" t="s">
        <v>1918</v>
      </c>
    </row>
    <row r="483">
      <c r="A483" s="3" t="s">
        <v>14586</v>
      </c>
      <c r="B483" s="4" t="str">
        <f>_xlfn.CONCAT(D483, " / ", E483)</f>
        <v>effortless-python / RequirementSatisfactions</v>
      </c>
      <c r="C483" s="3" t="s">
        <v>14074</v>
      </c>
      <c r="D483" s="3" t="s">
        <v>14029</v>
      </c>
      <c r="E483" s="3" t="s">
        <v>1830</v>
      </c>
      <c r="F483" s="3">
        <v>8</v>
      </c>
      <c r="G483" s="3">
        <v>38</v>
      </c>
      <c r="H483" s="3">
        <v>304</v>
      </c>
      <c r="I483" s="3">
        <v>304</v>
      </c>
      <c r="J483" s="3" t="b">
        <v>0</v>
      </c>
      <c r="K483" s="4">
        <f>H483 - I483</f>
        <v>0</v>
      </c>
      <c r="L483" s="4">
        <f>IF(((H483 = 0)=TRUE),  0,  ROUND(100 * I483 / H483, 2))</f>
        <v>100</v>
      </c>
      <c r="M483" s="4" t="b">
        <f>K483 = 0</f>
        <v>1</v>
      </c>
      <c r="N483" s="4" t="str">
        <f>IF(((M483)=TRUE),  "",  D483)</f>
      </c>
      <c r="O483" s="4" t="str">
        <f>IF(((M483)=TRUE),  "",  E483)</f>
      </c>
      <c r="P483" s="4">
        <f>COUNTIFS(FieldDisagreements!E2:E50, A483)</f>
        <v>0</v>
      </c>
      <c r="Q483" s="4" t="str">
        <f>_xlfn.IFNA(IF(((INDEX(ConformanceSubstrates!C2:C9, MATCH(D483,ConformanceSubstrates!A2:A9, 0))="")=TRUE),  "",  INDEX(ConformanceSubstrates!C2:C9, MATCH(D483,ConformanceSubstrates!A2:A9, 0))), "")</f>
        <v>Python</v>
      </c>
      <c r="R483" s="4" t="str">
        <f>_xlfn.IFNA(IF(((INDEX(RulebookTables!F2:F93, MATCH(E483,RulebookTables!A2:A93, 0))="")=TRUE),  "",  INDEX(RulebookTables!F2:F93, MATCH(E483,RulebookTables!A2:A93, 0))), "")</f>
        <v>execution</v>
      </c>
      <c r="S483" s="3" t="s">
        <v>1918</v>
      </c>
    </row>
    <row r="484">
      <c r="A484" s="3" t="s">
        <v>14587</v>
      </c>
      <c r="B484" s="4" t="str">
        <f>_xlfn.CONCAT(D484, " / ", E484)</f>
        <v>effortless-python / Errors</v>
      </c>
      <c r="C484" s="3" t="s">
        <v>14074</v>
      </c>
      <c r="D484" s="3" t="s">
        <v>14029</v>
      </c>
      <c r="E484" s="3" t="s">
        <v>1833</v>
      </c>
      <c r="F484" s="3">
        <v>2</v>
      </c>
      <c r="G484" s="3">
        <v>1</v>
      </c>
      <c r="H484" s="3">
        <v>2</v>
      </c>
      <c r="I484" s="3">
        <v>2</v>
      </c>
      <c r="J484" s="3" t="b">
        <v>0</v>
      </c>
      <c r="K484" s="4">
        <f>H484 - I484</f>
        <v>0</v>
      </c>
      <c r="L484" s="4">
        <f>IF(((H484 = 0)=TRUE),  0,  ROUND(100 * I484 / H484, 2))</f>
        <v>100</v>
      </c>
      <c r="M484" s="4" t="b">
        <f>K484 = 0</f>
        <v>1</v>
      </c>
      <c r="N484" s="4" t="str">
        <f>IF(((M484)=TRUE),  "",  D484)</f>
      </c>
      <c r="O484" s="4" t="str">
        <f>IF(((M484)=TRUE),  "",  E484)</f>
      </c>
      <c r="P484" s="4">
        <f>COUNTIFS(FieldDisagreements!E2:E50, A484)</f>
        <v>0</v>
      </c>
      <c r="Q484" s="4" t="str">
        <f>_xlfn.IFNA(IF(((INDEX(ConformanceSubstrates!C2:C9, MATCH(D484,ConformanceSubstrates!A2:A9, 0))="")=TRUE),  "",  INDEX(ConformanceSubstrates!C2:C9, MATCH(D484,ConformanceSubstrates!A2:A9, 0))), "")</f>
        <v>Python</v>
      </c>
      <c r="R484" s="4" t="str">
        <f>_xlfn.IFNA(IF(((INDEX(RulebookTables!F2:F93, MATCH(E484,RulebookTables!A2:A93, 0))="")=TRUE),  "",  INDEX(RulebookTables!F2:F93, MATCH(E484,RulebookTables!A2:A93, 0))), "")</f>
        <v>execution</v>
      </c>
      <c r="S484" s="3" t="s">
        <v>1918</v>
      </c>
    </row>
    <row r="485">
      <c r="A485" s="3" t="s">
        <v>14588</v>
      </c>
      <c r="B485" s="4" t="str">
        <f>_xlfn.CONCAT(D485, " / ", E485)</f>
        <v>effortless-python / IssueOccurrences</v>
      </c>
      <c r="C485" s="3" t="s">
        <v>14074</v>
      </c>
      <c r="D485" s="3" t="s">
        <v>14029</v>
      </c>
      <c r="E485" s="3" t="s">
        <v>1836</v>
      </c>
      <c r="F485" s="3">
        <v>2</v>
      </c>
      <c r="G485" s="3">
        <v>3</v>
      </c>
      <c r="H485" s="3">
        <v>6</v>
      </c>
      <c r="I485" s="3">
        <v>6</v>
      </c>
      <c r="J485" s="3" t="b">
        <v>0</v>
      </c>
      <c r="K485" s="4">
        <f>H485 - I485</f>
        <v>0</v>
      </c>
      <c r="L485" s="4">
        <f>IF(((H485 = 0)=TRUE),  0,  ROUND(100 * I485 / H485, 2))</f>
        <v>100</v>
      </c>
      <c r="M485" s="4" t="b">
        <f>K485 = 0</f>
        <v>1</v>
      </c>
      <c r="N485" s="4" t="str">
        <f>IF(((M485)=TRUE),  "",  D485)</f>
      </c>
      <c r="O485" s="4" t="str">
        <f>IF(((M485)=TRUE),  "",  E485)</f>
      </c>
      <c r="P485" s="4">
        <f>COUNTIFS(FieldDisagreements!E2:E50, A485)</f>
        <v>0</v>
      </c>
      <c r="Q485" s="4" t="str">
        <f>_xlfn.IFNA(IF(((INDEX(ConformanceSubstrates!C2:C9, MATCH(D485,ConformanceSubstrates!A2:A9, 0))="")=TRUE),  "",  INDEX(ConformanceSubstrates!C2:C9, MATCH(D485,ConformanceSubstrates!A2:A9, 0))), "")</f>
        <v>Python</v>
      </c>
      <c r="R485" s="4" t="str">
        <f>_xlfn.IFNA(IF(((INDEX(RulebookTables!F2:F93, MATCH(E485,RulebookTables!A2:A93, 0))="")=TRUE),  "",  INDEX(RulebookTables!F2:F93, MATCH(E485,RulebookTables!A2:A93, 0))), "")</f>
        <v>execution</v>
      </c>
      <c r="S485" s="3" t="s">
        <v>1918</v>
      </c>
    </row>
    <row r="486">
      <c r="A486" s="3" t="s">
        <v>14589</v>
      </c>
      <c r="B486" s="4" t="str">
        <f>_xlfn.CONCAT(D486, " / ", E486)</f>
        <v>effortless-python / UserQuestions</v>
      </c>
      <c r="C486" s="3" t="s">
        <v>14074</v>
      </c>
      <c r="D486" s="3" t="s">
        <v>14029</v>
      </c>
      <c r="E486" s="3" t="s">
        <v>1839</v>
      </c>
      <c r="F486" s="3">
        <v>2</v>
      </c>
      <c r="G486" s="3">
        <v>1</v>
      </c>
      <c r="H486" s="3">
        <v>2</v>
      </c>
      <c r="I486" s="3">
        <v>2</v>
      </c>
      <c r="J486" s="3" t="b">
        <v>0</v>
      </c>
      <c r="K486" s="4">
        <f>H486 - I486</f>
        <v>0</v>
      </c>
      <c r="L486" s="4">
        <f>IF(((H486 = 0)=TRUE),  0,  ROUND(100 * I486 / H486, 2))</f>
        <v>100</v>
      </c>
      <c r="M486" s="4" t="b">
        <f>K486 = 0</f>
        <v>1</v>
      </c>
      <c r="N486" s="4" t="str">
        <f>IF(((M486)=TRUE),  "",  D486)</f>
      </c>
      <c r="O486" s="4" t="str">
        <f>IF(((M486)=TRUE),  "",  E486)</f>
      </c>
      <c r="P486" s="4">
        <f>COUNTIFS(FieldDisagreements!E2:E50, A486)</f>
        <v>0</v>
      </c>
      <c r="Q486" s="4" t="str">
        <f>_xlfn.IFNA(IF(((INDEX(ConformanceSubstrates!C2:C9, MATCH(D486,ConformanceSubstrates!A2:A9, 0))="")=TRUE),  "",  INDEX(ConformanceSubstrates!C2:C9, MATCH(D486,ConformanceSubstrates!A2:A9, 0))), "")</f>
        <v>Python</v>
      </c>
      <c r="R486" s="4" t="str">
        <f>_xlfn.IFNA(IF(((INDEX(RulebookTables!F2:F93, MATCH(E486,RulebookTables!A2:A93, 0))="")=TRUE),  "",  INDEX(RulebookTables!F2:F93, MATCH(E486,RulebookTables!A2:A93, 0))), "")</f>
        <v>domain</v>
      </c>
      <c r="S486" s="3" t="s">
        <v>1918</v>
      </c>
    </row>
    <row r="487">
      <c r="A487" s="3" t="s">
        <v>14590</v>
      </c>
      <c r="B487" s="4" t="str">
        <f>_xlfn.CONCAT(D487, " / ", E487)</f>
        <v>effortless-python / UserFeedback</v>
      </c>
      <c r="C487" s="3" t="s">
        <v>14074</v>
      </c>
      <c r="D487" s="3" t="s">
        <v>14029</v>
      </c>
      <c r="E487" s="3" t="s">
        <v>1842</v>
      </c>
      <c r="F487" s="3">
        <v>2</v>
      </c>
      <c r="G487" s="3">
        <v>1</v>
      </c>
      <c r="H487" s="3">
        <v>2</v>
      </c>
      <c r="I487" s="3">
        <v>2</v>
      </c>
      <c r="J487" s="3" t="b">
        <v>0</v>
      </c>
      <c r="K487" s="4">
        <f>H487 - I487</f>
        <v>0</v>
      </c>
      <c r="L487" s="4">
        <f>IF(((H487 = 0)=TRUE),  0,  ROUND(100 * I487 / H487, 2))</f>
        <v>100</v>
      </c>
      <c r="M487" s="4" t="b">
        <f>K487 = 0</f>
        <v>1</v>
      </c>
      <c r="N487" s="4" t="str">
        <f>IF(((M487)=TRUE),  "",  D487)</f>
      </c>
      <c r="O487" s="4" t="str">
        <f>IF(((M487)=TRUE),  "",  E487)</f>
      </c>
      <c r="P487" s="4">
        <f>COUNTIFS(FieldDisagreements!E2:E50, A487)</f>
        <v>0</v>
      </c>
      <c r="Q487" s="4" t="str">
        <f>_xlfn.IFNA(IF(((INDEX(ConformanceSubstrates!C2:C9, MATCH(D487,ConformanceSubstrates!A2:A9, 0))="")=TRUE),  "",  INDEX(ConformanceSubstrates!C2:C9, MATCH(D487,ConformanceSubstrates!A2:A9, 0))), "")</f>
        <v>Python</v>
      </c>
      <c r="R487" s="4" t="str">
        <f>_xlfn.IFNA(IF(((INDEX(RulebookTables!F2:F93, MATCH(E487,RulebookTables!A2:A93, 0))="")=TRUE),  "",  INDEX(RulebookTables!F2:F93, MATCH(E487,RulebookTables!A2:A93, 0))), "")</f>
        <v>domain</v>
      </c>
      <c r="S487" s="3" t="s">
        <v>1918</v>
      </c>
    </row>
    <row r="488">
      <c r="A488" s="3" t="s">
        <v>14591</v>
      </c>
      <c r="B488" s="4" t="str">
        <f>_xlfn.CONCAT(D488, " / ", E488)</f>
        <v>effortless-python / StewardshipAssignments</v>
      </c>
      <c r="C488" s="3" t="s">
        <v>14074</v>
      </c>
      <c r="D488" s="3" t="s">
        <v>14029</v>
      </c>
      <c r="E488" s="3" t="s">
        <v>1859</v>
      </c>
      <c r="F488" s="3">
        <v>2</v>
      </c>
      <c r="G488" s="3">
        <v>5</v>
      </c>
      <c r="H488" s="3">
        <v>10</v>
      </c>
      <c r="I488" s="3">
        <v>10</v>
      </c>
      <c r="J488" s="3" t="b">
        <v>0</v>
      </c>
      <c r="K488" s="4">
        <f>H488 - I488</f>
        <v>0</v>
      </c>
      <c r="L488" s="4">
        <f>IF(((H488 = 0)=TRUE),  0,  ROUND(100 * I488 / H488, 2))</f>
        <v>100</v>
      </c>
      <c r="M488" s="4" t="b">
        <f>K488 = 0</f>
        <v>1</v>
      </c>
      <c r="N488" s="4" t="str">
        <f>IF(((M488)=TRUE),  "",  D488)</f>
      </c>
      <c r="O488" s="4" t="str">
        <f>IF(((M488)=TRUE),  "",  E488)</f>
      </c>
      <c r="P488" s="4">
        <f>COUNTIFS(FieldDisagreements!E2:E50, A488)</f>
        <v>0</v>
      </c>
      <c r="Q488" s="4" t="str">
        <f>_xlfn.IFNA(IF(((INDEX(ConformanceSubstrates!C2:C9, MATCH(D488,ConformanceSubstrates!A2:A9, 0))="")=TRUE),  "",  INDEX(ConformanceSubstrates!C2:C9, MATCH(D488,ConformanceSubstrates!A2:A9, 0))), "")</f>
        <v>Python</v>
      </c>
      <c r="R488" s="4" t="str">
        <f>_xlfn.IFNA(IF(((INDEX(RulebookTables!F2:F93, MATCH(E488,RulebookTables!A2:A93, 0))="")=TRUE),  "",  INDEX(RulebookTables!F2:F93, MATCH(E488,RulebookTables!A2:A93, 0))), "")</f>
        <v>org</v>
      </c>
      <c r="S488" s="3" t="s">
        <v>1918</v>
      </c>
    </row>
    <row r="489">
      <c r="A489" s="3" t="s">
        <v>14592</v>
      </c>
      <c r="B489" s="4" t="str">
        <f>_xlfn.CONCAT(D489, " / ", E489)</f>
        <v>effortless-python / ChangeRequests</v>
      </c>
      <c r="C489" s="3" t="s">
        <v>14074</v>
      </c>
      <c r="D489" s="3" t="s">
        <v>14029</v>
      </c>
      <c r="E489" s="3" t="s">
        <v>3914</v>
      </c>
      <c r="F489" s="3">
        <v>2</v>
      </c>
      <c r="G489" s="3">
        <v>32</v>
      </c>
      <c r="H489" s="3">
        <v>64</v>
      </c>
      <c r="I489" s="3">
        <v>64</v>
      </c>
      <c r="J489" s="3" t="b">
        <v>0</v>
      </c>
      <c r="K489" s="4">
        <f>H489 - I489</f>
        <v>0</v>
      </c>
      <c r="L489" s="4">
        <f>IF(((H489 = 0)=TRUE),  0,  ROUND(100 * I489 / H489, 2))</f>
        <v>100</v>
      </c>
      <c r="M489" s="4" t="b">
        <f>K489 = 0</f>
        <v>1</v>
      </c>
      <c r="N489" s="4" t="str">
        <f>IF(((M489)=TRUE),  "",  D489)</f>
      </c>
      <c r="O489" s="4" t="str">
        <f>IF(((M489)=TRUE),  "",  E489)</f>
      </c>
      <c r="P489" s="4">
        <f>COUNTIFS(FieldDisagreements!E2:E50, A489)</f>
        <v>0</v>
      </c>
      <c r="Q489" s="4" t="str">
        <f>_xlfn.IFNA(IF(((INDEX(ConformanceSubstrates!C2:C9, MATCH(D489,ConformanceSubstrates!A2:A9, 0))="")=TRUE),  "",  INDEX(ConformanceSubstrates!C2:C9, MATCH(D489,ConformanceSubstrates!A2:A9, 0))), "")</f>
        <v>Python</v>
      </c>
      <c r="R489" s="4" t="str">
        <f>_xlfn.IFNA(IF(((INDEX(RulebookTables!F2:F93, MATCH(E489,RulebookTables!A2:A93, 0))="")=TRUE),  "",  INDEX(RulebookTables!F2:F93, MATCH(E489,RulebookTables!A2:A93, 0))), "")</f>
        <v>domain</v>
      </c>
      <c r="S489" s="3" t="s">
        <v>1918</v>
      </c>
    </row>
    <row r="490">
      <c r="A490" s="3" t="s">
        <v>14593</v>
      </c>
      <c r="B490" s="4" t="str">
        <f>_xlfn.CONCAT(D490, " / ", E490)</f>
        <v>effortless-python / ReviewEvents</v>
      </c>
      <c r="C490" s="3" t="s">
        <v>14074</v>
      </c>
      <c r="D490" s="3" t="s">
        <v>14029</v>
      </c>
      <c r="E490" s="3" t="s">
        <v>3988</v>
      </c>
      <c r="F490" s="3">
        <v>3</v>
      </c>
      <c r="G490" s="3">
        <v>10</v>
      </c>
      <c r="H490" s="3">
        <v>30</v>
      </c>
      <c r="I490" s="3">
        <v>30</v>
      </c>
      <c r="J490" s="3" t="b">
        <v>0</v>
      </c>
      <c r="K490" s="4">
        <f>H490 - I490</f>
        <v>0</v>
      </c>
      <c r="L490" s="4">
        <f>IF(((H490 = 0)=TRUE),  0,  ROUND(100 * I490 / H490, 2))</f>
        <v>100</v>
      </c>
      <c r="M490" s="4" t="b">
        <f>K490 = 0</f>
        <v>1</v>
      </c>
      <c r="N490" s="4" t="str">
        <f>IF(((M490)=TRUE),  "",  D490)</f>
      </c>
      <c r="O490" s="4" t="str">
        <f>IF(((M490)=TRUE),  "",  E490)</f>
      </c>
      <c r="P490" s="4">
        <f>COUNTIFS(FieldDisagreements!E2:E50, A490)</f>
        <v>0</v>
      </c>
      <c r="Q490" s="4" t="str">
        <f>_xlfn.IFNA(IF(((INDEX(ConformanceSubstrates!C2:C9, MATCH(D490,ConformanceSubstrates!A2:A9, 0))="")=TRUE),  "",  INDEX(ConformanceSubstrates!C2:C9, MATCH(D490,ConformanceSubstrates!A2:A9, 0))), "")</f>
        <v>Python</v>
      </c>
      <c r="R490" s="4" t="str">
        <f>_xlfn.IFNA(IF(((INDEX(RulebookTables!F2:F93, MATCH(E490,RulebookTables!A2:A93, 0))="")=TRUE),  "",  INDEX(RulebookTables!F2:F93, MATCH(E490,RulebookTables!A2:A93, 0))), "")</f>
        <v>domain</v>
      </c>
      <c r="S490" s="3" t="s">
        <v>1918</v>
      </c>
    </row>
    <row r="491">
      <c r="A491" s="3" t="s">
        <v>14594</v>
      </c>
      <c r="B491" s="4" t="str">
        <f>_xlfn.CONCAT(D491, " / ", E491)</f>
        <v>effortless-python / LearningActivities</v>
      </c>
      <c r="C491" s="3" t="s">
        <v>14074</v>
      </c>
      <c r="D491" s="3" t="s">
        <v>14029</v>
      </c>
      <c r="E491" s="3" t="s">
        <v>4017</v>
      </c>
      <c r="F491" s="3">
        <v>2</v>
      </c>
      <c r="G491" s="3">
        <v>1</v>
      </c>
      <c r="H491" s="3">
        <v>2</v>
      </c>
      <c r="I491" s="3">
        <v>2</v>
      </c>
      <c r="J491" s="3" t="b">
        <v>0</v>
      </c>
      <c r="K491" s="4">
        <f>H491 - I491</f>
        <v>0</v>
      </c>
      <c r="L491" s="4">
        <f>IF(((H491 = 0)=TRUE),  0,  ROUND(100 * I491 / H491, 2))</f>
        <v>100</v>
      </c>
      <c r="M491" s="4" t="b">
        <f>K491 = 0</f>
        <v>1</v>
      </c>
      <c r="N491" s="4" t="str">
        <f>IF(((M491)=TRUE),  "",  D491)</f>
      </c>
      <c r="O491" s="4" t="str">
        <f>IF(((M491)=TRUE),  "",  E491)</f>
      </c>
      <c r="P491" s="4">
        <f>COUNTIFS(FieldDisagreements!E2:E50, A491)</f>
        <v>0</v>
      </c>
      <c r="Q491" s="4" t="str">
        <f>_xlfn.IFNA(IF(((INDEX(ConformanceSubstrates!C2:C9, MATCH(D491,ConformanceSubstrates!A2:A9, 0))="")=TRUE),  "",  INDEX(ConformanceSubstrates!C2:C9, MATCH(D491,ConformanceSubstrates!A2:A9, 0))), "")</f>
        <v>Python</v>
      </c>
      <c r="R491" s="4" t="str">
        <f>_xlfn.IFNA(IF(((INDEX(RulebookTables!F2:F93, MATCH(E491,RulebookTables!A2:A93, 0))="")=TRUE),  "",  INDEX(RulebookTables!F2:F93, MATCH(E491,RulebookTables!A2:A93, 0))), "")</f>
        <v>domain</v>
      </c>
      <c r="S491" s="3" t="s">
        <v>1918</v>
      </c>
    </row>
    <row r="492">
      <c r="A492" s="3" t="s">
        <v>14595</v>
      </c>
      <c r="B492" s="4" t="str">
        <f>_xlfn.CONCAT(D492, " / ", E492)</f>
        <v>effortless-python / OperationalBindings</v>
      </c>
      <c r="C492" s="3" t="s">
        <v>14074</v>
      </c>
      <c r="D492" s="3" t="s">
        <v>14029</v>
      </c>
      <c r="E492" s="3" t="s">
        <v>1862</v>
      </c>
      <c r="F492" s="3">
        <v>5</v>
      </c>
      <c r="G492" s="3">
        <v>11</v>
      </c>
      <c r="H492" s="3">
        <v>55</v>
      </c>
      <c r="I492" s="3">
        <v>55</v>
      </c>
      <c r="J492" s="3" t="b">
        <v>0</v>
      </c>
      <c r="K492" s="4">
        <f>H492 - I492</f>
        <v>0</v>
      </c>
      <c r="L492" s="4">
        <f>IF(((H492 = 0)=TRUE),  0,  ROUND(100 * I492 / H492, 2))</f>
        <v>100</v>
      </c>
      <c r="M492" s="4" t="b">
        <f>K492 = 0</f>
        <v>1</v>
      </c>
      <c r="N492" s="4" t="str">
        <f>IF(((M492)=TRUE),  "",  D492)</f>
      </c>
      <c r="O492" s="4" t="str">
        <f>IF(((M492)=TRUE),  "",  E492)</f>
      </c>
      <c r="P492" s="4">
        <f>COUNTIFS(FieldDisagreements!E2:E50, A492)</f>
        <v>0</v>
      </c>
      <c r="Q492" s="4" t="str">
        <f>_xlfn.IFNA(IF(((INDEX(ConformanceSubstrates!C2:C9, MATCH(D492,ConformanceSubstrates!A2:A9, 0))="")=TRUE),  "",  INDEX(ConformanceSubstrates!C2:C9, MATCH(D492,ConformanceSubstrates!A2:A9, 0))), "")</f>
        <v>Python</v>
      </c>
      <c r="R492" s="4" t="str">
        <f>_xlfn.IFNA(IF(((INDEX(RulebookTables!F2:F93, MATCH(E492,RulebookTables!A2:A93, 0))="")=TRUE),  "",  INDEX(RulebookTables!F2:F93, MATCH(E492,RulebookTables!A2:A93, 0))), "")</f>
        <v>domain</v>
      </c>
      <c r="S492" s="3" t="s">
        <v>1918</v>
      </c>
    </row>
    <row r="493">
      <c r="A493" s="3" t="s">
        <v>14596</v>
      </c>
      <c r="B493" s="4" t="str">
        <f>_xlfn.CONCAT(D493, " / ", E493)</f>
        <v>effortless-python / CommunicationPolicies</v>
      </c>
      <c r="C493" s="3" t="s">
        <v>14074</v>
      </c>
      <c r="D493" s="3" t="s">
        <v>14029</v>
      </c>
      <c r="E493" s="3" t="s">
        <v>1865</v>
      </c>
      <c r="F493" s="3">
        <v>2</v>
      </c>
      <c r="G493" s="3">
        <v>4</v>
      </c>
      <c r="H493" s="3">
        <v>8</v>
      </c>
      <c r="I493" s="3">
        <v>8</v>
      </c>
      <c r="J493" s="3" t="b">
        <v>0</v>
      </c>
      <c r="K493" s="4">
        <f>H493 - I493</f>
        <v>0</v>
      </c>
      <c r="L493" s="4">
        <f>IF(((H493 = 0)=TRUE),  0,  ROUND(100 * I493 / H493, 2))</f>
        <v>100</v>
      </c>
      <c r="M493" s="4" t="b">
        <f>K493 = 0</f>
        <v>1</v>
      </c>
      <c r="N493" s="4" t="str">
        <f>IF(((M493)=TRUE),  "",  D493)</f>
      </c>
      <c r="O493" s="4" t="str">
        <f>IF(((M493)=TRUE),  "",  E493)</f>
      </c>
      <c r="P493" s="4">
        <f>COUNTIFS(FieldDisagreements!E2:E50, A493)</f>
        <v>0</v>
      </c>
      <c r="Q493" s="4" t="str">
        <f>_xlfn.IFNA(IF(((INDEX(ConformanceSubstrates!C2:C9, MATCH(D493,ConformanceSubstrates!A2:A9, 0))="")=TRUE),  "",  INDEX(ConformanceSubstrates!C2:C9, MATCH(D493,ConformanceSubstrates!A2:A9, 0))), "")</f>
        <v>Python</v>
      </c>
      <c r="R493" s="4" t="str">
        <f>_xlfn.IFNA(IF(((INDEX(RulebookTables!F2:F93, MATCH(E493,RulebookTables!A2:A93, 0))="")=TRUE),  "",  INDEX(RulebookTables!F2:F93, MATCH(E493,RulebookTables!A2:A93, 0))), "")</f>
        <v>communication</v>
      </c>
      <c r="S493" s="3" t="s">
        <v>1918</v>
      </c>
    </row>
    <row r="494">
      <c r="A494" s="3" t="s">
        <v>14597</v>
      </c>
      <c r="B494" s="4" t="str">
        <f>_xlfn.CONCAT(D494, " / ", E494)</f>
        <v>effortless-python / MessageTemplates</v>
      </c>
      <c r="C494" s="3" t="s">
        <v>14074</v>
      </c>
      <c r="D494" s="3" t="s">
        <v>14029</v>
      </c>
      <c r="E494" s="3" t="s">
        <v>4087</v>
      </c>
      <c r="F494" s="3">
        <v>2</v>
      </c>
      <c r="G494" s="3">
        <v>16</v>
      </c>
      <c r="H494" s="3">
        <v>32</v>
      </c>
      <c r="I494" s="3">
        <v>32</v>
      </c>
      <c r="J494" s="3" t="b">
        <v>0</v>
      </c>
      <c r="K494" s="4">
        <f>H494 - I494</f>
        <v>0</v>
      </c>
      <c r="L494" s="4">
        <f>IF(((H494 = 0)=TRUE),  0,  ROUND(100 * I494 / H494, 2))</f>
        <v>100</v>
      </c>
      <c r="M494" s="4" t="b">
        <f>K494 = 0</f>
        <v>1</v>
      </c>
      <c r="N494" s="4" t="str">
        <f>IF(((M494)=TRUE),  "",  D494)</f>
      </c>
      <c r="O494" s="4" t="str">
        <f>IF(((M494)=TRUE),  "",  E494)</f>
      </c>
      <c r="P494" s="4">
        <f>COUNTIFS(FieldDisagreements!E2:E50, A494)</f>
        <v>0</v>
      </c>
      <c r="Q494" s="4" t="str">
        <f>_xlfn.IFNA(IF(((INDEX(ConformanceSubstrates!C2:C9, MATCH(D494,ConformanceSubstrates!A2:A9, 0))="")=TRUE),  "",  INDEX(ConformanceSubstrates!C2:C9, MATCH(D494,ConformanceSubstrates!A2:A9, 0))), "")</f>
        <v>Python</v>
      </c>
      <c r="R494" s="4" t="str">
        <f>_xlfn.IFNA(IF(((INDEX(RulebookTables!F2:F93, MATCH(E494,RulebookTables!A2:A93, 0))="")=TRUE),  "",  INDEX(RulebookTables!F2:F93, MATCH(E494,RulebookTables!A2:A93, 0))), "")</f>
        <v>communication</v>
      </c>
      <c r="S494" s="3" t="s">
        <v>1918</v>
      </c>
    </row>
    <row r="495">
      <c r="A495" s="3" t="s">
        <v>14598</v>
      </c>
      <c r="B495" s="4" t="str">
        <f>_xlfn.CONCAT(D495, " / ", E495)</f>
        <v>effortless-python / SemanticMappings</v>
      </c>
      <c r="C495" s="3" t="s">
        <v>14074</v>
      </c>
      <c r="D495" s="3" t="s">
        <v>14029</v>
      </c>
      <c r="E495" s="3" t="s">
        <v>4130</v>
      </c>
      <c r="F495" s="3">
        <v>47</v>
      </c>
      <c r="G495" s="3">
        <v>1</v>
      </c>
      <c r="H495" s="3">
        <v>47</v>
      </c>
      <c r="I495" s="3">
        <v>47</v>
      </c>
      <c r="J495" s="3" t="b">
        <v>0</v>
      </c>
      <c r="K495" s="4">
        <f>H495 - I495</f>
        <v>0</v>
      </c>
      <c r="L495" s="4">
        <f>IF(((H495 = 0)=TRUE),  0,  ROUND(100 * I495 / H495, 2))</f>
        <v>100</v>
      </c>
      <c r="M495" s="4" t="b">
        <f>K495 = 0</f>
        <v>1</v>
      </c>
      <c r="N495" s="4" t="str">
        <f>IF(((M495)=TRUE),  "",  D495)</f>
      </c>
      <c r="O495" s="4" t="str">
        <f>IF(((M495)=TRUE),  "",  E495)</f>
      </c>
      <c r="P495" s="4">
        <f>COUNTIFS(FieldDisagreements!E2:E50, A495)</f>
        <v>0</v>
      </c>
      <c r="Q495" s="4" t="str">
        <f>_xlfn.IFNA(IF(((INDEX(ConformanceSubstrates!C2:C9, MATCH(D495,ConformanceSubstrates!A2:A9, 0))="")=TRUE),  "",  INDEX(ConformanceSubstrates!C2:C9, MATCH(D495,ConformanceSubstrates!A2:A9, 0))), "")</f>
        <v>Python</v>
      </c>
      <c r="R495" s="4" t="str">
        <f>_xlfn.IFNA(IF(((INDEX(RulebookTables!F2:F93, MATCH(E495,RulebookTables!A2:A93, 0))="")=TRUE),  "",  INDEX(RulebookTables!F2:F93, MATCH(E495,RulebookTables!A2:A93, 0))), "")</f>
        <v>meta</v>
      </c>
      <c r="S495" s="3" t="s">
        <v>1918</v>
      </c>
    </row>
    <row r="496">
      <c r="A496" s="3" t="s">
        <v>14599</v>
      </c>
      <c r="B496" s="4" t="str">
        <f>_xlfn.CONCAT(D496, " / ", E496)</f>
        <v>effortless-python / WitnessLoops</v>
      </c>
      <c r="C496" s="3" t="s">
        <v>14074</v>
      </c>
      <c r="D496" s="3" t="s">
        <v>14029</v>
      </c>
      <c r="E496" s="3" t="s">
        <v>4140</v>
      </c>
      <c r="F496" s="3">
        <v>4</v>
      </c>
      <c r="G496" s="3">
        <v>3</v>
      </c>
      <c r="H496" s="3">
        <v>12</v>
      </c>
      <c r="I496" s="3">
        <v>12</v>
      </c>
      <c r="J496" s="3" t="b">
        <v>0</v>
      </c>
      <c r="K496" s="4">
        <f>H496 - I496</f>
        <v>0</v>
      </c>
      <c r="L496" s="4">
        <f>IF(((H496 = 0)=TRUE),  0,  ROUND(100 * I496 / H496, 2))</f>
        <v>100</v>
      </c>
      <c r="M496" s="4" t="b">
        <f>K496 = 0</f>
        <v>1</v>
      </c>
      <c r="N496" s="4" t="str">
        <f>IF(((M496)=TRUE),  "",  D496)</f>
      </c>
      <c r="O496" s="4" t="str">
        <f>IF(((M496)=TRUE),  "",  E496)</f>
      </c>
      <c r="P496" s="4">
        <f>COUNTIFS(FieldDisagreements!E2:E50, A496)</f>
        <v>0</v>
      </c>
      <c r="Q496" s="4" t="str">
        <f>_xlfn.IFNA(IF(((INDEX(ConformanceSubstrates!C2:C9, MATCH(D496,ConformanceSubstrates!A2:A9, 0))="")=TRUE),  "",  INDEX(ConformanceSubstrates!C2:C9, MATCH(D496,ConformanceSubstrates!A2:A9, 0))), "")</f>
        <v>Python</v>
      </c>
      <c r="R496" s="4" t="str">
        <f>_xlfn.IFNA(IF(((INDEX(RulebookTables!F2:F93, MATCH(E496,RulebookTables!A2:A93, 0))="")=TRUE),  "",  INDEX(RulebookTables!F2:F93, MATCH(E496,RulebookTables!A2:A93, 0))), "")</f>
        <v>meta</v>
      </c>
      <c r="S496" s="3" t="s">
        <v>1918</v>
      </c>
    </row>
    <row r="497">
      <c r="A497" s="3" t="s">
        <v>14600</v>
      </c>
      <c r="B497" s="4" t="str">
        <f>_xlfn.CONCAT(D497, " / ", E497)</f>
        <v>effortless-python / RoleQuestions</v>
      </c>
      <c r="C497" s="3" t="s">
        <v>14074</v>
      </c>
      <c r="D497" s="3" t="s">
        <v>14029</v>
      </c>
      <c r="E497" s="3" t="s">
        <v>4157</v>
      </c>
      <c r="F497" s="3">
        <v>111</v>
      </c>
      <c r="G497" s="3">
        <v>3</v>
      </c>
      <c r="H497" s="3">
        <v>333</v>
      </c>
      <c r="I497" s="3">
        <v>333</v>
      </c>
      <c r="J497" s="3" t="b">
        <v>0</v>
      </c>
      <c r="K497" s="4">
        <f>H497 - I497</f>
        <v>0</v>
      </c>
      <c r="L497" s="4">
        <f>IF(((H497 = 0)=TRUE),  0,  ROUND(100 * I497 / H497, 2))</f>
        <v>100</v>
      </c>
      <c r="M497" s="4" t="b">
        <f>K497 = 0</f>
        <v>1</v>
      </c>
      <c r="N497" s="4" t="str">
        <f>IF(((M497)=TRUE),  "",  D497)</f>
      </c>
      <c r="O497" s="4" t="str">
        <f>IF(((M497)=TRUE),  "",  E497)</f>
      </c>
      <c r="P497" s="4">
        <f>COUNTIFS(FieldDisagreements!E2:E50, A497)</f>
        <v>0</v>
      </c>
      <c r="Q497" s="4" t="str">
        <f>_xlfn.IFNA(IF(((INDEX(ConformanceSubstrates!C2:C9, MATCH(D497,ConformanceSubstrates!A2:A9, 0))="")=TRUE),  "",  INDEX(ConformanceSubstrates!C2:C9, MATCH(D497,ConformanceSubstrates!A2:A9, 0))), "")</f>
        <v>Python</v>
      </c>
      <c r="R497" s="4" t="str">
        <f>_xlfn.IFNA(IF(((INDEX(RulebookTables!F2:F93, MATCH(E497,RulebookTables!A2:A93, 0))="")=TRUE),  "",  INDEX(RulebookTables!F2:F93, MATCH(E497,RulebookTables!A2:A93, 0))), "")</f>
        <v>org</v>
      </c>
      <c r="S497" s="3" t="s">
        <v>1918</v>
      </c>
    </row>
    <row r="498">
      <c r="A498" s="3" t="s">
        <v>14601</v>
      </c>
      <c r="B498" s="4" t="str">
        <f>_xlfn.CONCAT(D498, " / ", E498)</f>
        <v>effortless-python / RulebookFields</v>
      </c>
      <c r="C498" s="3" t="s">
        <v>14074</v>
      </c>
      <c r="D498" s="3" t="s">
        <v>14029</v>
      </c>
      <c r="E498" s="3" t="s">
        <v>4172</v>
      </c>
      <c r="F498" s="3">
        <v>1897</v>
      </c>
      <c r="G498" s="3">
        <v>5</v>
      </c>
      <c r="H498" s="3">
        <v>9485</v>
      </c>
      <c r="I498" s="3">
        <v>9485</v>
      </c>
      <c r="J498" s="3" t="b">
        <v>0</v>
      </c>
      <c r="K498" s="4">
        <f>H498 - I498</f>
        <v>0</v>
      </c>
      <c r="L498" s="4">
        <f>IF(((H498 = 0)=TRUE),  0,  ROUND(100 * I498 / H498, 2))</f>
        <v>100</v>
      </c>
      <c r="M498" s="4" t="b">
        <f>K498 = 0</f>
        <v>1</v>
      </c>
      <c r="N498" s="4" t="str">
        <f>IF(((M498)=TRUE),  "",  D498)</f>
      </c>
      <c r="O498" s="4" t="str">
        <f>IF(((M498)=TRUE),  "",  E498)</f>
      </c>
      <c r="P498" s="4">
        <f>COUNTIFS(FieldDisagreements!E2:E50, A498)</f>
        <v>0</v>
      </c>
      <c r="Q498" s="4" t="str">
        <f>_xlfn.IFNA(IF(((INDEX(ConformanceSubstrates!C2:C9, MATCH(D498,ConformanceSubstrates!A2:A9, 0))="")=TRUE),  "",  INDEX(ConformanceSubstrates!C2:C9, MATCH(D498,ConformanceSubstrates!A2:A9, 0))), "")</f>
        <v>Python</v>
      </c>
      <c r="R498" s="4" t="str">
        <f>_xlfn.IFNA(IF(((INDEX(RulebookTables!F2:F93, MATCH(E498,RulebookTables!A2:A93, 0))="")=TRUE),  "",  INDEX(RulebookTables!F2:F93, MATCH(E498,RulebookTables!A2:A93, 0))), "")</f>
        <v>access-control</v>
      </c>
      <c r="S498" s="3" t="s">
        <v>1918</v>
      </c>
    </row>
    <row r="499">
      <c r="A499" s="3" t="s">
        <v>14602</v>
      </c>
      <c r="B499" s="4" t="str">
        <f>_xlfn.CONCAT(D499, " / ", E499)</f>
        <v>effortless-python / TestSuites</v>
      </c>
      <c r="C499" s="3" t="s">
        <v>14074</v>
      </c>
      <c r="D499" s="3" t="s">
        <v>14029</v>
      </c>
      <c r="E499" s="3" t="s">
        <v>4191</v>
      </c>
      <c r="F499" s="3">
        <v>6</v>
      </c>
      <c r="G499" s="3">
        <v>5</v>
      </c>
      <c r="H499" s="3">
        <v>30</v>
      </c>
      <c r="I499" s="3">
        <v>30</v>
      </c>
      <c r="J499" s="3" t="b">
        <v>0</v>
      </c>
      <c r="K499" s="4">
        <f>H499 - I499</f>
        <v>0</v>
      </c>
      <c r="L499" s="4">
        <f>IF(((H499 = 0)=TRUE),  0,  ROUND(100 * I499 / H499, 2))</f>
        <v>100</v>
      </c>
      <c r="M499" s="4" t="b">
        <f>K499 = 0</f>
        <v>1</v>
      </c>
      <c r="N499" s="4" t="str">
        <f>IF(((M499)=TRUE),  "",  D499)</f>
      </c>
      <c r="O499" s="4" t="str">
        <f>IF(((M499)=TRUE),  "",  E499)</f>
      </c>
      <c r="P499" s="4">
        <f>COUNTIFS(FieldDisagreements!E2:E50, A499)</f>
        <v>0</v>
      </c>
      <c r="Q499" s="4" t="str">
        <f>_xlfn.IFNA(IF(((INDEX(ConformanceSubstrates!C2:C9, MATCH(D499,ConformanceSubstrates!A2:A9, 0))="")=TRUE),  "",  INDEX(ConformanceSubstrates!C2:C9, MATCH(D499,ConformanceSubstrates!A2:A9, 0))), "")</f>
        <v>Python</v>
      </c>
      <c r="R499" s="4" t="str">
        <f>_xlfn.IFNA(IF(((INDEX(RulebookTables!F2:F93, MATCH(E499,RulebookTables!A2:A93, 0))="")=TRUE),  "",  INDEX(RulebookTables!F2:F93, MATCH(E499,RulebookTables!A2:A93, 0))), "")</f>
        <v>meta</v>
      </c>
      <c r="S499" s="3" t="s">
        <v>1918</v>
      </c>
    </row>
    <row r="500">
      <c r="A500" s="3" t="s">
        <v>14603</v>
      </c>
      <c r="B500" s="4" t="str">
        <f>_xlfn.CONCAT(D500, " / ", E500)</f>
        <v>effortless-python / TestCases</v>
      </c>
      <c r="C500" s="3" t="s">
        <v>14074</v>
      </c>
      <c r="D500" s="3" t="s">
        <v>14029</v>
      </c>
      <c r="E500" s="3" t="s">
        <v>4209</v>
      </c>
      <c r="F500" s="3">
        <v>1794</v>
      </c>
      <c r="G500" s="3">
        <v>7</v>
      </c>
      <c r="H500" s="3">
        <v>12558</v>
      </c>
      <c r="I500" s="3">
        <v>12558</v>
      </c>
      <c r="J500" s="3" t="b">
        <v>0</v>
      </c>
      <c r="K500" s="4">
        <f>H500 - I500</f>
        <v>0</v>
      </c>
      <c r="L500" s="4">
        <f>IF(((H500 = 0)=TRUE),  0,  ROUND(100 * I500 / H500, 2))</f>
        <v>100</v>
      </c>
      <c r="M500" s="4" t="b">
        <f>K500 = 0</f>
        <v>1</v>
      </c>
      <c r="N500" s="4" t="str">
        <f>IF(((M500)=TRUE),  "",  D500)</f>
      </c>
      <c r="O500" s="4" t="str">
        <f>IF(((M500)=TRUE),  "",  E500)</f>
      </c>
      <c r="P500" s="4">
        <f>COUNTIFS(FieldDisagreements!E2:E50, A500)</f>
        <v>0</v>
      </c>
      <c r="Q500" s="4" t="str">
        <f>_xlfn.IFNA(IF(((INDEX(ConformanceSubstrates!C2:C9, MATCH(D500,ConformanceSubstrates!A2:A9, 0))="")=TRUE),  "",  INDEX(ConformanceSubstrates!C2:C9, MATCH(D500,ConformanceSubstrates!A2:A9, 0))), "")</f>
        <v>Python</v>
      </c>
      <c r="R500" s="4" t="str">
        <f>_xlfn.IFNA(IF(((INDEX(RulebookTables!F2:F93, MATCH(E500,RulebookTables!A2:A93, 0))="")=TRUE),  "",  INDEX(RulebookTables!F2:F93, MATCH(E500,RulebookTables!A2:A93, 0))), "")</f>
        <v>meta</v>
      </c>
      <c r="S500" s="3" t="s">
        <v>1918</v>
      </c>
    </row>
    <row r="501">
      <c r="A501" s="3" t="s">
        <v>14604</v>
      </c>
      <c r="B501" s="4" t="str">
        <f>_xlfn.CONCAT(D501, " / ", E501)</f>
        <v>effortless-python / ExceptionInvocations</v>
      </c>
      <c r="C501" s="3" t="s">
        <v>14074</v>
      </c>
      <c r="D501" s="3" t="s">
        <v>14029</v>
      </c>
      <c r="E501" s="3" t="s">
        <v>4287</v>
      </c>
      <c r="F501" s="3">
        <v>1</v>
      </c>
      <c r="G501" s="3">
        <v>13</v>
      </c>
      <c r="H501" s="3">
        <v>13</v>
      </c>
      <c r="I501" s="3">
        <v>13</v>
      </c>
      <c r="J501" s="3" t="b">
        <v>0</v>
      </c>
      <c r="K501" s="4">
        <f>H501 - I501</f>
        <v>0</v>
      </c>
      <c r="L501" s="4">
        <f>IF(((H501 = 0)=TRUE),  0,  ROUND(100 * I501 / H501, 2))</f>
        <v>100</v>
      </c>
      <c r="M501" s="4" t="b">
        <f>K501 = 0</f>
        <v>1</v>
      </c>
      <c r="N501" s="4" t="str">
        <f>IF(((M501)=TRUE),  "",  D501)</f>
      </c>
      <c r="O501" s="4" t="str">
        <f>IF(((M501)=TRUE),  "",  E501)</f>
      </c>
      <c r="P501" s="4">
        <f>COUNTIFS(FieldDisagreements!E2:E50, A501)</f>
        <v>0</v>
      </c>
      <c r="Q501" s="4" t="str">
        <f>_xlfn.IFNA(IF(((INDEX(ConformanceSubstrates!C2:C9, MATCH(D501,ConformanceSubstrates!A2:A9, 0))="")=TRUE),  "",  INDEX(ConformanceSubstrates!C2:C9, MATCH(D501,ConformanceSubstrates!A2:A9, 0))), "")</f>
        <v>Python</v>
      </c>
      <c r="R501" s="4" t="str">
        <f>_xlfn.IFNA(IF(((INDEX(RulebookTables!F2:F93, MATCH(E501,RulebookTables!A2:A93, 0))="")=TRUE),  "",  INDEX(RulebookTables!F2:F93, MATCH(E501,RulebookTables!A2:A93, 0))), "")</f>
        <v>governance</v>
      </c>
      <c r="S501" s="3" t="s">
        <v>1918</v>
      </c>
    </row>
    <row r="502">
      <c r="A502" s="3" t="s">
        <v>14605</v>
      </c>
      <c r="B502" s="4" t="str">
        <f>_xlfn.CONCAT(D502, " / ", E502)</f>
        <v>effortless-python / VerificationOutcomes</v>
      </c>
      <c r="C502" s="3" t="s">
        <v>14074</v>
      </c>
      <c r="D502" s="3" t="s">
        <v>14029</v>
      </c>
      <c r="E502" s="3" t="s">
        <v>4337</v>
      </c>
      <c r="F502" s="3">
        <v>4</v>
      </c>
      <c r="G502" s="3">
        <v>18</v>
      </c>
      <c r="H502" s="3">
        <v>72</v>
      </c>
      <c r="I502" s="3">
        <v>72</v>
      </c>
      <c r="J502" s="3" t="b">
        <v>0</v>
      </c>
      <c r="K502" s="4">
        <f>H502 - I502</f>
        <v>0</v>
      </c>
      <c r="L502" s="4">
        <f>IF(((H502 = 0)=TRUE),  0,  ROUND(100 * I502 / H502, 2))</f>
        <v>100</v>
      </c>
      <c r="M502" s="4" t="b">
        <f>K502 = 0</f>
        <v>1</v>
      </c>
      <c r="N502" s="4" t="str">
        <f>IF(((M502)=TRUE),  "",  D502)</f>
      </c>
      <c r="O502" s="4" t="str">
        <f>IF(((M502)=TRUE),  "",  E502)</f>
      </c>
      <c r="P502" s="4">
        <f>COUNTIFS(FieldDisagreements!E2:E50, A502)</f>
        <v>0</v>
      </c>
      <c r="Q502" s="4" t="str">
        <f>_xlfn.IFNA(IF(((INDEX(ConformanceSubstrates!C2:C9, MATCH(D502,ConformanceSubstrates!A2:A9, 0))="")=TRUE),  "",  INDEX(ConformanceSubstrates!C2:C9, MATCH(D502,ConformanceSubstrates!A2:A9, 0))), "")</f>
        <v>Python</v>
      </c>
      <c r="R502" s="4" t="str">
        <f>_xlfn.IFNA(IF(((INDEX(RulebookTables!F2:F93, MATCH(E502,RulebookTables!A2:A93, 0))="")=TRUE),  "",  INDEX(RulebookTables!F2:F93, MATCH(E502,RulebookTables!A2:A93, 0))), "")</f>
        <v>execution</v>
      </c>
      <c r="S502" s="3" t="s">
        <v>1918</v>
      </c>
    </row>
    <row r="503">
      <c r="A503" s="3" t="s">
        <v>14606</v>
      </c>
      <c r="B503" s="4" t="str">
        <f>_xlfn.CONCAT(D503, " / ", E503)</f>
        <v>effortless-python / ObservedTransitions</v>
      </c>
      <c r="C503" s="3" t="s">
        <v>14074</v>
      </c>
      <c r="D503" s="3" t="s">
        <v>14029</v>
      </c>
      <c r="E503" s="3" t="s">
        <v>4398</v>
      </c>
      <c r="F503" s="3">
        <v>10</v>
      </c>
      <c r="G503" s="3">
        <v>1</v>
      </c>
      <c r="H503" s="3">
        <v>10</v>
      </c>
      <c r="I503" s="3">
        <v>10</v>
      </c>
      <c r="J503" s="3" t="b">
        <v>0</v>
      </c>
      <c r="K503" s="4">
        <f>H503 - I503</f>
        <v>0</v>
      </c>
      <c r="L503" s="4">
        <f>IF(((H503 = 0)=TRUE),  0,  ROUND(100 * I503 / H503, 2))</f>
        <v>100</v>
      </c>
      <c r="M503" s="4" t="b">
        <f>K503 = 0</f>
        <v>1</v>
      </c>
      <c r="N503" s="4" t="str">
        <f>IF(((M503)=TRUE),  "",  D503)</f>
      </c>
      <c r="O503" s="4" t="str">
        <f>IF(((M503)=TRUE),  "",  E503)</f>
      </c>
      <c r="P503" s="4">
        <f>COUNTIFS(FieldDisagreements!E2:E50, A503)</f>
        <v>0</v>
      </c>
      <c r="Q503" s="4" t="str">
        <f>_xlfn.IFNA(IF(((INDEX(ConformanceSubstrates!C2:C9, MATCH(D503,ConformanceSubstrates!A2:A9, 0))="")=TRUE),  "",  INDEX(ConformanceSubstrates!C2:C9, MATCH(D503,ConformanceSubstrates!A2:A9, 0))), "")</f>
        <v>Python</v>
      </c>
      <c r="R503" s="4" t="str">
        <f>_xlfn.IFNA(IF(((INDEX(RulebookTables!F2:F93, MATCH(E503,RulebookTables!A2:A93, 0))="")=TRUE),  "",  INDEX(RulebookTables!F2:F93, MATCH(E503,RulebookTables!A2:A93, 0))), "")</f>
        <v>specification</v>
      </c>
      <c r="S503" s="3" t="s">
        <v>1918</v>
      </c>
    </row>
    <row r="504">
      <c r="A504" s="3" t="s">
        <v>14607</v>
      </c>
      <c r="B504" s="4" t="str">
        <f>_xlfn.CONCAT(D504, " / ", E504)</f>
        <v>effortless-python / Recipients</v>
      </c>
      <c r="C504" s="3" t="s">
        <v>14074</v>
      </c>
      <c r="D504" s="3" t="s">
        <v>14029</v>
      </c>
      <c r="E504" s="3" t="s">
        <v>4412</v>
      </c>
      <c r="F504" s="3">
        <v>5</v>
      </c>
      <c r="G504" s="3">
        <v>6</v>
      </c>
      <c r="H504" s="3">
        <v>30</v>
      </c>
      <c r="I504" s="3">
        <v>30</v>
      </c>
      <c r="J504" s="3" t="b">
        <v>0</v>
      </c>
      <c r="K504" s="4">
        <f>H504 - I504</f>
        <v>0</v>
      </c>
      <c r="L504" s="4">
        <f>IF(((H504 = 0)=TRUE),  0,  ROUND(100 * I504 / H504, 2))</f>
        <v>100</v>
      </c>
      <c r="M504" s="4" t="b">
        <f>K504 = 0</f>
        <v>1</v>
      </c>
      <c r="N504" s="4" t="str">
        <f>IF(((M504)=TRUE),  "",  D504)</f>
      </c>
      <c r="O504" s="4" t="str">
        <f>IF(((M504)=TRUE),  "",  E504)</f>
      </c>
      <c r="P504" s="4">
        <f>COUNTIFS(FieldDisagreements!E2:E50, A504)</f>
        <v>0</v>
      </c>
      <c r="Q504" s="4" t="str">
        <f>_xlfn.IFNA(IF(((INDEX(ConformanceSubstrates!C2:C9, MATCH(D504,ConformanceSubstrates!A2:A9, 0))="")=TRUE),  "",  INDEX(ConformanceSubstrates!C2:C9, MATCH(D504,ConformanceSubstrates!A2:A9, 0))), "")</f>
        <v>Python</v>
      </c>
      <c r="R504" s="4" t="str">
        <f>_xlfn.IFNA(IF(((INDEX(RulebookTables!F2:F93, MATCH(E504,RulebookTables!A2:A93, 0))="")=TRUE),  "",  INDEX(RulebookTables!F2:F93, MATCH(E504,RulebookTables!A2:A93, 0))), "")</f>
        <v>communication</v>
      </c>
      <c r="S504" s="3" t="s">
        <v>1918</v>
      </c>
    </row>
    <row r="505">
      <c r="A505" s="3" t="s">
        <v>14608</v>
      </c>
      <c r="B505" s="4" t="str">
        <f>_xlfn.CONCAT(D505, " / ", E505)</f>
        <v>effortless-python / MessageDeliveries</v>
      </c>
      <c r="C505" s="3" t="s">
        <v>14074</v>
      </c>
      <c r="D505" s="3" t="s">
        <v>14029</v>
      </c>
      <c r="E505" s="3" t="s">
        <v>4444</v>
      </c>
      <c r="F505" s="3">
        <v>6</v>
      </c>
      <c r="G505" s="3">
        <v>74</v>
      </c>
      <c r="H505" s="3">
        <v>444</v>
      </c>
      <c r="I505" s="3">
        <v>444</v>
      </c>
      <c r="J505" s="3" t="b">
        <v>0</v>
      </c>
      <c r="K505" s="4">
        <f>H505 - I505</f>
        <v>0</v>
      </c>
      <c r="L505" s="4">
        <f>IF(((H505 = 0)=TRUE),  0,  ROUND(100 * I505 / H505, 2))</f>
        <v>100</v>
      </c>
      <c r="M505" s="4" t="b">
        <f>K505 = 0</f>
        <v>1</v>
      </c>
      <c r="N505" s="4" t="str">
        <f>IF(((M505)=TRUE),  "",  D505)</f>
      </c>
      <c r="O505" s="4" t="str">
        <f>IF(((M505)=TRUE),  "",  E505)</f>
      </c>
      <c r="P505" s="4">
        <f>COUNTIFS(FieldDisagreements!E2:E50, A505)</f>
        <v>0</v>
      </c>
      <c r="Q505" s="4" t="str">
        <f>_xlfn.IFNA(IF(((INDEX(ConformanceSubstrates!C2:C9, MATCH(D505,ConformanceSubstrates!A2:A9, 0))="")=TRUE),  "",  INDEX(ConformanceSubstrates!C2:C9, MATCH(D505,ConformanceSubstrates!A2:A9, 0))), "")</f>
        <v>Python</v>
      </c>
      <c r="R505" s="4" t="str">
        <f>_xlfn.IFNA(IF(((INDEX(RulebookTables!F2:F93, MATCH(E505,RulebookTables!A2:A93, 0))="")=TRUE),  "",  INDEX(RulebookTables!F2:F93, MATCH(E505,RulebookTables!A2:A93, 0))), "")</f>
        <v>communication</v>
      </c>
      <c r="S505" s="3" t="s">
        <v>1918</v>
      </c>
    </row>
    <row r="506">
      <c r="A506" s="3" t="s">
        <v>14609</v>
      </c>
      <c r="B506" s="4" t="str">
        <f>_xlfn.CONCAT(D506, " / ", E506)</f>
        <v>effortless-python / TemplateApprovals</v>
      </c>
      <c r="C506" s="3" t="s">
        <v>14074</v>
      </c>
      <c r="D506" s="3" t="s">
        <v>14029</v>
      </c>
      <c r="E506" s="3" t="s">
        <v>4698</v>
      </c>
      <c r="F506" s="3">
        <v>2</v>
      </c>
      <c r="G506" s="3">
        <v>6</v>
      </c>
      <c r="H506" s="3">
        <v>12</v>
      </c>
      <c r="I506" s="3">
        <v>12</v>
      </c>
      <c r="J506" s="3" t="b">
        <v>0</v>
      </c>
      <c r="K506" s="4">
        <f>H506 - I506</f>
        <v>0</v>
      </c>
      <c r="L506" s="4">
        <f>IF(((H506 = 0)=TRUE),  0,  ROUND(100 * I506 / H506, 2))</f>
        <v>100</v>
      </c>
      <c r="M506" s="4" t="b">
        <f>K506 = 0</f>
        <v>1</v>
      </c>
      <c r="N506" s="4" t="str">
        <f>IF(((M506)=TRUE),  "",  D506)</f>
      </c>
      <c r="O506" s="4" t="str">
        <f>IF(((M506)=TRUE),  "",  E506)</f>
      </c>
      <c r="P506" s="4">
        <f>COUNTIFS(FieldDisagreements!E2:E50, A506)</f>
        <v>0</v>
      </c>
      <c r="Q506" s="4" t="str">
        <f>_xlfn.IFNA(IF(((INDEX(ConformanceSubstrates!C2:C9, MATCH(D506,ConformanceSubstrates!A2:A9, 0))="")=TRUE),  "",  INDEX(ConformanceSubstrates!C2:C9, MATCH(D506,ConformanceSubstrates!A2:A9, 0))), "")</f>
        <v>Python</v>
      </c>
      <c r="R506" s="4" t="str">
        <f>_xlfn.IFNA(IF(((INDEX(RulebookTables!F2:F93, MATCH(E506,RulebookTables!A2:A93, 0))="")=TRUE),  "",  INDEX(RulebookTables!F2:F93, MATCH(E506,RulebookTables!A2:A93, 0))), "")</f>
        <v>communication</v>
      </c>
      <c r="S506" s="3" t="s">
        <v>1918</v>
      </c>
    </row>
    <row r="507">
      <c r="A507" s="3" t="s">
        <v>14610</v>
      </c>
      <c r="B507" s="4" t="str">
        <f>_xlfn.CONCAT(D507, " / ", E507)</f>
        <v>effortless-python / SendIntents</v>
      </c>
      <c r="C507" s="3" t="s">
        <v>14074</v>
      </c>
      <c r="D507" s="3" t="s">
        <v>14029</v>
      </c>
      <c r="E507" s="3" t="s">
        <v>4728</v>
      </c>
      <c r="F507" s="3">
        <v>7</v>
      </c>
      <c r="G507" s="3">
        <v>79</v>
      </c>
      <c r="H507" s="3">
        <v>553</v>
      </c>
      <c r="I507" s="3">
        <v>553</v>
      </c>
      <c r="J507" s="3" t="b">
        <v>0</v>
      </c>
      <c r="K507" s="4">
        <f>H507 - I507</f>
        <v>0</v>
      </c>
      <c r="L507" s="4">
        <f>IF(((H507 = 0)=TRUE),  0,  ROUND(100 * I507 / H507, 2))</f>
        <v>100</v>
      </c>
      <c r="M507" s="4" t="b">
        <f>K507 = 0</f>
        <v>1</v>
      </c>
      <c r="N507" s="4" t="str">
        <f>IF(((M507)=TRUE),  "",  D507)</f>
      </c>
      <c r="O507" s="4" t="str">
        <f>IF(((M507)=TRUE),  "",  E507)</f>
      </c>
      <c r="P507" s="4">
        <f>COUNTIFS(FieldDisagreements!E2:E50, A507)</f>
        <v>0</v>
      </c>
      <c r="Q507" s="4" t="str">
        <f>_xlfn.IFNA(IF(((INDEX(ConformanceSubstrates!C2:C9, MATCH(D507,ConformanceSubstrates!A2:A9, 0))="")=TRUE),  "",  INDEX(ConformanceSubstrates!C2:C9, MATCH(D507,ConformanceSubstrates!A2:A9, 0))), "")</f>
        <v>Python</v>
      </c>
      <c r="R507" s="4" t="str">
        <f>_xlfn.IFNA(IF(((INDEX(RulebookTables!F2:F93, MATCH(E507,RulebookTables!A2:A93, 0))="")=TRUE),  "",  INDEX(RulebookTables!F2:F93, MATCH(E507,RulebookTables!A2:A93, 0))), "")</f>
        <v>communication</v>
      </c>
      <c r="S507" s="3" t="s">
        <v>1918</v>
      </c>
    </row>
    <row r="508">
      <c r="A508" s="3" t="s">
        <v>14611</v>
      </c>
      <c r="B508" s="4" t="str">
        <f>_xlfn.CONCAT(D508, " / ", E508)</f>
        <v>effortless-python / AgentDecisionRecords</v>
      </c>
      <c r="C508" s="3" t="s">
        <v>14074</v>
      </c>
      <c r="D508" s="3" t="s">
        <v>14029</v>
      </c>
      <c r="E508" s="3" t="s">
        <v>4994</v>
      </c>
      <c r="F508" s="3">
        <v>3</v>
      </c>
      <c r="G508" s="3">
        <v>27</v>
      </c>
      <c r="H508" s="3">
        <v>81</v>
      </c>
      <c r="I508" s="3">
        <v>81</v>
      </c>
      <c r="J508" s="3" t="b">
        <v>0</v>
      </c>
      <c r="K508" s="4">
        <f>H508 - I508</f>
        <v>0</v>
      </c>
      <c r="L508" s="4">
        <f>IF(((H508 = 0)=TRUE),  0,  ROUND(100 * I508 / H508, 2))</f>
        <v>100</v>
      </c>
      <c r="M508" s="4" t="b">
        <f>K508 = 0</f>
        <v>1</v>
      </c>
      <c r="N508" s="4" t="str">
        <f>IF(((M508)=TRUE),  "",  D508)</f>
      </c>
      <c r="O508" s="4" t="str">
        <f>IF(((M508)=TRUE),  "",  E508)</f>
      </c>
      <c r="P508" s="4">
        <f>COUNTIFS(FieldDisagreements!E2:E50, A508)</f>
        <v>0</v>
      </c>
      <c r="Q508" s="4" t="str">
        <f>_xlfn.IFNA(IF(((INDEX(ConformanceSubstrates!C2:C9, MATCH(D508,ConformanceSubstrates!A2:A9, 0))="")=TRUE),  "",  INDEX(ConformanceSubstrates!C2:C9, MATCH(D508,ConformanceSubstrates!A2:A9, 0))), "")</f>
        <v>Python</v>
      </c>
      <c r="R508" s="4" t="str">
        <f>_xlfn.IFNA(IF(((INDEX(RulebookTables!F2:F93, MATCH(E508,RulebookTables!A2:A93, 0))="")=TRUE),  "",  INDEX(RulebookTables!F2:F93, MATCH(E508,RulebookTables!A2:A93, 0))), "")</f>
        <v>org</v>
      </c>
      <c r="S508" s="3" t="s">
        <v>1918</v>
      </c>
    </row>
    <row r="509">
      <c r="A509" s="3" t="s">
        <v>14612</v>
      </c>
      <c r="B509" s="4" t="str">
        <f>_xlfn.CONCAT(D509, " / ", E509)</f>
        <v>effortless-python / DeliveredCommunications</v>
      </c>
      <c r="C509" s="3" t="s">
        <v>14074</v>
      </c>
      <c r="D509" s="3" t="s">
        <v>14029</v>
      </c>
      <c r="E509" s="3" t="s">
        <v>5095</v>
      </c>
      <c r="F509" s="3">
        <v>1</v>
      </c>
      <c r="G509" s="3">
        <v>6</v>
      </c>
      <c r="H509" s="3">
        <v>6</v>
      </c>
      <c r="I509" s="3">
        <v>6</v>
      </c>
      <c r="J509" s="3" t="b">
        <v>0</v>
      </c>
      <c r="K509" s="4">
        <f>H509 - I509</f>
        <v>0</v>
      </c>
      <c r="L509" s="4">
        <f>IF(((H509 = 0)=TRUE),  0,  ROUND(100 * I509 / H509, 2))</f>
        <v>100</v>
      </c>
      <c r="M509" s="4" t="b">
        <f>K509 = 0</f>
        <v>1</v>
      </c>
      <c r="N509" s="4" t="str">
        <f>IF(((M509)=TRUE),  "",  D509)</f>
      </c>
      <c r="O509" s="4" t="str">
        <f>IF(((M509)=TRUE),  "",  E509)</f>
      </c>
      <c r="P509" s="4">
        <f>COUNTIFS(FieldDisagreements!E2:E50, A509)</f>
        <v>0</v>
      </c>
      <c r="Q509" s="4" t="str">
        <f>_xlfn.IFNA(IF(((INDEX(ConformanceSubstrates!C2:C9, MATCH(D509,ConformanceSubstrates!A2:A9, 0))="")=TRUE),  "",  INDEX(ConformanceSubstrates!C2:C9, MATCH(D509,ConformanceSubstrates!A2:A9, 0))), "")</f>
        <v>Python</v>
      </c>
      <c r="R509" s="4" t="str">
        <f>_xlfn.IFNA(IF(((INDEX(RulebookTables!F2:F93, MATCH(E509,RulebookTables!A2:A93, 0))="")=TRUE),  "",  INDEX(RulebookTables!F2:F93, MATCH(E509,RulebookTables!A2:A93, 0))), "")</f>
        <v>communication</v>
      </c>
      <c r="S509" s="3" t="s">
        <v>1918</v>
      </c>
    </row>
    <row r="510">
      <c r="A510" s="3" t="s">
        <v>14613</v>
      </c>
      <c r="B510" s="4" t="str">
        <f>_xlfn.CONCAT(D510, " / ", E510)</f>
        <v>effortless-python / AuthorityBoundaries</v>
      </c>
      <c r="C510" s="3" t="s">
        <v>14074</v>
      </c>
      <c r="D510" s="3" t="s">
        <v>14029</v>
      </c>
      <c r="E510" s="3" t="s">
        <v>5131</v>
      </c>
      <c r="F510" s="3">
        <v>3</v>
      </c>
      <c r="G510" s="3">
        <v>21</v>
      </c>
      <c r="H510" s="3">
        <v>63</v>
      </c>
      <c r="I510" s="3">
        <v>63</v>
      </c>
      <c r="J510" s="3" t="b">
        <v>0</v>
      </c>
      <c r="K510" s="4">
        <f>H510 - I510</f>
        <v>0</v>
      </c>
      <c r="L510" s="4">
        <f>IF(((H510 = 0)=TRUE),  0,  ROUND(100 * I510 / H510, 2))</f>
        <v>100</v>
      </c>
      <c r="M510" s="4" t="b">
        <f>K510 = 0</f>
        <v>1</v>
      </c>
      <c r="N510" s="4" t="str">
        <f>IF(((M510)=TRUE),  "",  D510)</f>
      </c>
      <c r="O510" s="4" t="str">
        <f>IF(((M510)=TRUE),  "",  E510)</f>
      </c>
      <c r="P510" s="4">
        <f>COUNTIFS(FieldDisagreements!E2:E50, A510)</f>
        <v>0</v>
      </c>
      <c r="Q510" s="4" t="str">
        <f>_xlfn.IFNA(IF(((INDEX(ConformanceSubstrates!C2:C9, MATCH(D510,ConformanceSubstrates!A2:A9, 0))="")=TRUE),  "",  INDEX(ConformanceSubstrates!C2:C9, MATCH(D510,ConformanceSubstrates!A2:A9, 0))), "")</f>
        <v>Python</v>
      </c>
      <c r="R510" s="4" t="str">
        <f>_xlfn.IFNA(IF(((INDEX(RulebookTables!F2:F93, MATCH(E510,RulebookTables!A2:A93, 0))="")=TRUE),  "",  INDEX(RulebookTables!F2:F93, MATCH(E510,RulebookTables!A2:A93, 0))), "")</f>
        <v>governance</v>
      </c>
      <c r="S510" s="3" t="s">
        <v>1918</v>
      </c>
    </row>
    <row r="511">
      <c r="A511" s="3" t="s">
        <v>14614</v>
      </c>
      <c r="B511" s="4" t="str">
        <f>_xlfn.CONCAT(D511, " / ", E511)</f>
        <v>effortless-python / AppRoleProfiles</v>
      </c>
      <c r="C511" s="3" t="s">
        <v>14074</v>
      </c>
      <c r="D511" s="3" t="s">
        <v>14029</v>
      </c>
      <c r="E511" s="3" t="s">
        <v>1869</v>
      </c>
      <c r="F511" s="3">
        <v>12</v>
      </c>
      <c r="G511" s="3">
        <v>2</v>
      </c>
      <c r="H511" s="3">
        <v>24</v>
      </c>
      <c r="I511" s="3">
        <v>24</v>
      </c>
      <c r="J511" s="3" t="b">
        <v>0</v>
      </c>
      <c r="K511" s="4">
        <f>H511 - I511</f>
        <v>0</v>
      </c>
      <c r="L511" s="4">
        <f>IF(((H511 = 0)=TRUE),  0,  ROUND(100 * I511 / H511, 2))</f>
        <v>100</v>
      </c>
      <c r="M511" s="4" t="b">
        <f>K511 = 0</f>
        <v>1</v>
      </c>
      <c r="N511" s="4" t="str">
        <f>IF(((M511)=TRUE),  "",  D511)</f>
      </c>
      <c r="O511" s="4" t="str">
        <f>IF(((M511)=TRUE),  "",  E511)</f>
      </c>
      <c r="P511" s="4">
        <f>COUNTIFS(FieldDisagreements!E2:E50, A511)</f>
        <v>0</v>
      </c>
      <c r="Q511" s="4" t="str">
        <f>_xlfn.IFNA(IF(((INDEX(ConformanceSubstrates!C2:C9, MATCH(D511,ConformanceSubstrates!A2:A9, 0))="")=TRUE),  "",  INDEX(ConformanceSubstrates!C2:C9, MATCH(D511,ConformanceSubstrates!A2:A9, 0))), "")</f>
        <v>Python</v>
      </c>
      <c r="R511" s="4" t="str">
        <f>_xlfn.IFNA(IF(((INDEX(RulebookTables!F2:F93, MATCH(E511,RulebookTables!A2:A93, 0))="")=TRUE),  "",  INDEX(RulebookTables!F2:F93, MATCH(E511,RulebookTables!A2:A93, 0))), "")</f>
        <v>org</v>
      </c>
      <c r="S511" s="3" t="s">
        <v>1918</v>
      </c>
    </row>
    <row r="512">
      <c r="A512" s="3" t="s">
        <v>14615</v>
      </c>
      <c r="B512" s="4" t="str">
        <f>_xlfn.CONCAT(D512, " / ", E512)</f>
        <v>effortless-python / AppNavGroups</v>
      </c>
      <c r="C512" s="3" t="s">
        <v>14074</v>
      </c>
      <c r="D512" s="3" t="s">
        <v>14029</v>
      </c>
      <c r="E512" s="3" t="s">
        <v>1873</v>
      </c>
      <c r="F512" s="3">
        <v>23</v>
      </c>
      <c r="G512" s="3">
        <v>2</v>
      </c>
      <c r="H512" s="3">
        <v>46</v>
      </c>
      <c r="I512" s="3">
        <v>46</v>
      </c>
      <c r="J512" s="3" t="b">
        <v>0</v>
      </c>
      <c r="K512" s="4">
        <f>H512 - I512</f>
        <v>0</v>
      </c>
      <c r="L512" s="4">
        <f>IF(((H512 = 0)=TRUE),  0,  ROUND(100 * I512 / H512, 2))</f>
        <v>100</v>
      </c>
      <c r="M512" s="4" t="b">
        <f>K512 = 0</f>
        <v>1</v>
      </c>
      <c r="N512" s="4" t="str">
        <f>IF(((M512)=TRUE),  "",  D512)</f>
      </c>
      <c r="O512" s="4" t="str">
        <f>IF(((M512)=TRUE),  "",  E512)</f>
      </c>
      <c r="P512" s="4">
        <f>COUNTIFS(FieldDisagreements!E2:E50, A512)</f>
        <v>0</v>
      </c>
      <c r="Q512" s="4" t="str">
        <f>_xlfn.IFNA(IF(((INDEX(ConformanceSubstrates!C2:C9, MATCH(D512,ConformanceSubstrates!A2:A9, 0))="")=TRUE),  "",  INDEX(ConformanceSubstrates!C2:C9, MATCH(D512,ConformanceSubstrates!A2:A9, 0))), "")</f>
        <v>Python</v>
      </c>
      <c r="R512" s="4" t="str">
        <f>_xlfn.IFNA(IF(((INDEX(RulebookTables!F2:F93, MATCH(E512,RulebookTables!A2:A93, 0))="")=TRUE),  "",  INDEX(RulebookTables!F2:F93, MATCH(E512,RulebookTables!A2:A93, 0))), "")</f>
        <v>application</v>
      </c>
      <c r="S512" s="3" t="s">
        <v>1918</v>
      </c>
    </row>
    <row r="513">
      <c r="A513" s="3" t="s">
        <v>14616</v>
      </c>
      <c r="B513" s="4" t="str">
        <f>_xlfn.CONCAT(D513, " / ", E513)</f>
        <v>effortless-python / AppRoutes</v>
      </c>
      <c r="C513" s="3" t="s">
        <v>14074</v>
      </c>
      <c r="D513" s="3" t="s">
        <v>14029</v>
      </c>
      <c r="E513" s="3" t="s">
        <v>1877</v>
      </c>
      <c r="F513" s="3">
        <v>149</v>
      </c>
      <c r="G513" s="3">
        <v>7</v>
      </c>
      <c r="H513" s="3">
        <v>1043</v>
      </c>
      <c r="I513" s="3">
        <v>1043</v>
      </c>
      <c r="J513" s="3" t="b">
        <v>0</v>
      </c>
      <c r="K513" s="4">
        <f>H513 - I513</f>
        <v>0</v>
      </c>
      <c r="L513" s="4">
        <f>IF(((H513 = 0)=TRUE),  0,  ROUND(100 * I513 / H513, 2))</f>
        <v>100</v>
      </c>
      <c r="M513" s="4" t="b">
        <f>K513 = 0</f>
        <v>1</v>
      </c>
      <c r="N513" s="4" t="str">
        <f>IF(((M513)=TRUE),  "",  D513)</f>
      </c>
      <c r="O513" s="4" t="str">
        <f>IF(((M513)=TRUE),  "",  E513)</f>
      </c>
      <c r="P513" s="4">
        <f>COUNTIFS(FieldDisagreements!E2:E50, A513)</f>
        <v>0</v>
      </c>
      <c r="Q513" s="4" t="str">
        <f>_xlfn.IFNA(IF(((INDEX(ConformanceSubstrates!C2:C9, MATCH(D513,ConformanceSubstrates!A2:A9, 0))="")=TRUE),  "",  INDEX(ConformanceSubstrates!C2:C9, MATCH(D513,ConformanceSubstrates!A2:A9, 0))), "")</f>
        <v>Python</v>
      </c>
      <c r="R513" s="4" t="str">
        <f>_xlfn.IFNA(IF(((INDEX(RulebookTables!F2:F93, MATCH(E513,RulebookTables!A2:A93, 0))="")=TRUE),  "",  INDEX(RulebookTables!F2:F93, MATCH(E513,RulebookTables!A2:A93, 0))), "")</f>
        <v>application</v>
      </c>
      <c r="S513" s="3" t="s">
        <v>1918</v>
      </c>
    </row>
    <row r="514">
      <c r="A514" s="3" t="s">
        <v>14617</v>
      </c>
      <c r="B514" s="4" t="str">
        <f>_xlfn.CONCAT(D514, " / ", E514)</f>
        <v>effortless-python / AppRouteQuestions</v>
      </c>
      <c r="C514" s="3" t="s">
        <v>14074</v>
      </c>
      <c r="D514" s="3" t="s">
        <v>14029</v>
      </c>
      <c r="E514" s="3" t="s">
        <v>1881</v>
      </c>
      <c r="F514" s="3">
        <v>151</v>
      </c>
      <c r="G514" s="3">
        <v>1</v>
      </c>
      <c r="H514" s="3">
        <v>151</v>
      </c>
      <c r="I514" s="3">
        <v>151</v>
      </c>
      <c r="J514" s="3" t="b">
        <v>0</v>
      </c>
      <c r="K514" s="4">
        <f>H514 - I514</f>
        <v>0</v>
      </c>
      <c r="L514" s="4">
        <f>IF(((H514 = 0)=TRUE),  0,  ROUND(100 * I514 / H514, 2))</f>
        <v>100</v>
      </c>
      <c r="M514" s="4" t="b">
        <f>K514 = 0</f>
        <v>1</v>
      </c>
      <c r="N514" s="4" t="str">
        <f>IF(((M514)=TRUE),  "",  D514)</f>
      </c>
      <c r="O514" s="4" t="str">
        <f>IF(((M514)=TRUE),  "",  E514)</f>
      </c>
      <c r="P514" s="4">
        <f>COUNTIFS(FieldDisagreements!E2:E50, A514)</f>
        <v>0</v>
      </c>
      <c r="Q514" s="4" t="str">
        <f>_xlfn.IFNA(IF(((INDEX(ConformanceSubstrates!C2:C9, MATCH(D514,ConformanceSubstrates!A2:A9, 0))="")=TRUE),  "",  INDEX(ConformanceSubstrates!C2:C9, MATCH(D514,ConformanceSubstrates!A2:A9, 0))), "")</f>
        <v>Python</v>
      </c>
      <c r="R514" s="4" t="str">
        <f>_xlfn.IFNA(IF(((INDEX(RulebookTables!F2:F93, MATCH(E514,RulebookTables!A2:A93, 0))="")=TRUE),  "",  INDEX(RulebookTables!F2:F93, MATCH(E514,RulebookTables!A2:A93, 0))), "")</f>
        <v>application</v>
      </c>
      <c r="S514" s="3" t="s">
        <v>1918</v>
      </c>
    </row>
    <row r="515">
      <c r="A515" s="3" t="s">
        <v>14618</v>
      </c>
      <c r="B515" s="4" t="str">
        <f>_xlfn.CONCAT(D515, " / ", E515)</f>
        <v>effortless-python / AppRouteReferences</v>
      </c>
      <c r="C515" s="3" t="s">
        <v>14074</v>
      </c>
      <c r="D515" s="3" t="s">
        <v>14029</v>
      </c>
      <c r="E515" s="3" t="s">
        <v>1885</v>
      </c>
      <c r="F515" s="3">
        <v>315</v>
      </c>
      <c r="G515" s="3">
        <v>1</v>
      </c>
      <c r="H515" s="3">
        <v>315</v>
      </c>
      <c r="I515" s="3">
        <v>315</v>
      </c>
      <c r="J515" s="3" t="b">
        <v>0</v>
      </c>
      <c r="K515" s="4">
        <f>H515 - I515</f>
        <v>0</v>
      </c>
      <c r="L515" s="4">
        <f>IF(((H515 = 0)=TRUE),  0,  ROUND(100 * I515 / H515, 2))</f>
        <v>100</v>
      </c>
      <c r="M515" s="4" t="b">
        <f>K515 = 0</f>
        <v>1</v>
      </c>
      <c r="N515" s="4" t="str">
        <f>IF(((M515)=TRUE),  "",  D515)</f>
      </c>
      <c r="O515" s="4" t="str">
        <f>IF(((M515)=TRUE),  "",  E515)</f>
      </c>
      <c r="P515" s="4">
        <f>COUNTIFS(FieldDisagreements!E2:E50, A515)</f>
        <v>0</v>
      </c>
      <c r="Q515" s="4" t="str">
        <f>_xlfn.IFNA(IF(((INDEX(ConformanceSubstrates!C2:C9, MATCH(D515,ConformanceSubstrates!A2:A9, 0))="")=TRUE),  "",  INDEX(ConformanceSubstrates!C2:C9, MATCH(D515,ConformanceSubstrates!A2:A9, 0))), "")</f>
        <v>Python</v>
      </c>
      <c r="R515" s="4" t="str">
        <f>_xlfn.IFNA(IF(((INDEX(RulebookTables!F2:F93, MATCH(E515,RulebookTables!A2:A93, 0))="")=TRUE),  "",  INDEX(RulebookTables!F2:F93, MATCH(E515,RulebookTables!A2:A93, 0))), "")</f>
        <v>application</v>
      </c>
      <c r="S515" s="3" t="s">
        <v>1918</v>
      </c>
    </row>
    <row r="516">
      <c r="A516" s="3" t="s">
        <v>14619</v>
      </c>
      <c r="B516" s="4" t="str">
        <f>_xlfn.CONCAT(D516, " / ", E516)</f>
        <v>effortless-python / RulebookTables</v>
      </c>
      <c r="C516" s="3" t="s">
        <v>14074</v>
      </c>
      <c r="D516" s="3" t="s">
        <v>14029</v>
      </c>
      <c r="E516" s="3" t="s">
        <v>5352</v>
      </c>
      <c r="F516" s="3">
        <v>92</v>
      </c>
      <c r="G516" s="3">
        <v>5</v>
      </c>
      <c r="H516" s="3">
        <v>460</v>
      </c>
      <c r="I516" s="3">
        <v>460</v>
      </c>
      <c r="J516" s="3" t="b">
        <v>0</v>
      </c>
      <c r="K516" s="4">
        <f>H516 - I516</f>
        <v>0</v>
      </c>
      <c r="L516" s="4">
        <f>IF(((H516 = 0)=TRUE),  0,  ROUND(100 * I516 / H516, 2))</f>
        <v>100</v>
      </c>
      <c r="M516" s="4" t="b">
        <f>K516 = 0</f>
        <v>1</v>
      </c>
      <c r="N516" s="4" t="str">
        <f>IF(((M516)=TRUE),  "",  D516)</f>
      </c>
      <c r="O516" s="4" t="str">
        <f>IF(((M516)=TRUE),  "",  E516)</f>
      </c>
      <c r="P516" s="4">
        <f>COUNTIFS(FieldDisagreements!E2:E50, A516)</f>
        <v>0</v>
      </c>
      <c r="Q516" s="4" t="str">
        <f>_xlfn.IFNA(IF(((INDEX(ConformanceSubstrates!C2:C9, MATCH(D516,ConformanceSubstrates!A2:A9, 0))="")=TRUE),  "",  INDEX(ConformanceSubstrates!C2:C9, MATCH(D516,ConformanceSubstrates!A2:A9, 0))), "")</f>
        <v>Python</v>
      </c>
      <c r="R516" s="4" t="str">
        <f>_xlfn.IFNA(IF(((INDEX(RulebookTables!F2:F93, MATCH(E516,RulebookTables!A2:A93, 0))="")=TRUE),  "",  INDEX(RulebookTables!F2:F93, MATCH(E516,RulebookTables!A2:A93, 0))), "")</f>
        <v>meta</v>
      </c>
      <c r="S516" s="3" t="s">
        <v>1918</v>
      </c>
    </row>
    <row r="517">
      <c r="A517" s="3" t="s">
        <v>14620</v>
      </c>
      <c r="B517" s="4" t="str">
        <f>_xlfn.CONCAT(D517, " / ", E517)</f>
        <v>effortless-python / AccessPrincipals</v>
      </c>
      <c r="C517" s="3" t="s">
        <v>14074</v>
      </c>
      <c r="D517" s="3" t="s">
        <v>14029</v>
      </c>
      <c r="E517" s="3" t="s">
        <v>5379</v>
      </c>
      <c r="F517" s="3">
        <v>12</v>
      </c>
      <c r="G517" s="3">
        <v>8</v>
      </c>
      <c r="H517" s="3">
        <v>96</v>
      </c>
      <c r="I517" s="3">
        <v>96</v>
      </c>
      <c r="J517" s="3" t="b">
        <v>0</v>
      </c>
      <c r="K517" s="4">
        <f>H517 - I517</f>
        <v>0</v>
      </c>
      <c r="L517" s="4">
        <f>IF(((H517 = 0)=TRUE),  0,  ROUND(100 * I517 / H517, 2))</f>
        <v>100</v>
      </c>
      <c r="M517" s="4" t="b">
        <f>K517 = 0</f>
        <v>1</v>
      </c>
      <c r="N517" s="4" t="str">
        <f>IF(((M517)=TRUE),  "",  D517)</f>
      </c>
      <c r="O517" s="4" t="str">
        <f>IF(((M517)=TRUE),  "",  E517)</f>
      </c>
      <c r="P517" s="4">
        <f>COUNTIFS(FieldDisagreements!E2:E50, A517)</f>
        <v>0</v>
      </c>
      <c r="Q517" s="4" t="str">
        <f>_xlfn.IFNA(IF(((INDEX(ConformanceSubstrates!C2:C9, MATCH(D517,ConformanceSubstrates!A2:A9, 0))="")=TRUE),  "",  INDEX(ConformanceSubstrates!C2:C9, MATCH(D517,ConformanceSubstrates!A2:A9, 0))), "")</f>
        <v>Python</v>
      </c>
      <c r="R517" s="4" t="str">
        <f>_xlfn.IFNA(IF(((INDEX(RulebookTables!F2:F93, MATCH(E517,RulebookTables!A2:A93, 0))="")=TRUE),  "",  INDEX(RulebookTables!F2:F93, MATCH(E517,RulebookTables!A2:A93, 0))), "")</f>
        <v>access-control</v>
      </c>
      <c r="S517" s="3" t="s">
        <v>1918</v>
      </c>
    </row>
    <row r="518">
      <c r="A518" s="3" t="s">
        <v>14621</v>
      </c>
      <c r="B518" s="4" t="str">
        <f>_xlfn.CONCAT(D518, " / ", E518)</f>
        <v>effortless-python / AccessPolicies</v>
      </c>
      <c r="C518" s="3" t="s">
        <v>14074</v>
      </c>
      <c r="D518" s="3" t="s">
        <v>14029</v>
      </c>
      <c r="E518" s="3" t="s">
        <v>5412</v>
      </c>
      <c r="F518" s="3">
        <v>202</v>
      </c>
      <c r="G518" s="3">
        <v>7</v>
      </c>
      <c r="H518" s="3">
        <v>1414</v>
      </c>
      <c r="I518" s="3">
        <v>1414</v>
      </c>
      <c r="J518" s="3" t="b">
        <v>0</v>
      </c>
      <c r="K518" s="4">
        <f>H518 - I518</f>
        <v>0</v>
      </c>
      <c r="L518" s="4">
        <f>IF(((H518 = 0)=TRUE),  0,  ROUND(100 * I518 / H518, 2))</f>
        <v>100</v>
      </c>
      <c r="M518" s="4" t="b">
        <f>K518 = 0</f>
        <v>1</v>
      </c>
      <c r="N518" s="4" t="str">
        <f>IF(((M518)=TRUE),  "",  D518)</f>
      </c>
      <c r="O518" s="4" t="str">
        <f>IF(((M518)=TRUE),  "",  E518)</f>
      </c>
      <c r="P518" s="4">
        <f>COUNTIFS(FieldDisagreements!E2:E50, A518)</f>
        <v>0</v>
      </c>
      <c r="Q518" s="4" t="str">
        <f>_xlfn.IFNA(IF(((INDEX(ConformanceSubstrates!C2:C9, MATCH(D518,ConformanceSubstrates!A2:A9, 0))="")=TRUE),  "",  INDEX(ConformanceSubstrates!C2:C9, MATCH(D518,ConformanceSubstrates!A2:A9, 0))), "")</f>
        <v>Python</v>
      </c>
      <c r="R518" s="4" t="str">
        <f>_xlfn.IFNA(IF(((INDEX(RulebookTables!F2:F93, MATCH(E518,RulebookTables!A2:A93, 0))="")=TRUE),  "",  INDEX(RulebookTables!F2:F93, MATCH(E518,RulebookTables!A2:A93, 0))), "")</f>
        <v>access-control</v>
      </c>
      <c r="S518" s="3" t="s">
        <v>1918</v>
      </c>
    </row>
    <row r="519">
      <c r="A519" s="3" t="s">
        <v>14622</v>
      </c>
      <c r="B519" s="4" t="str">
        <f>_xlfn.CONCAT(D519, " / ", E519)</f>
        <v>effortless-python / FieldGrants</v>
      </c>
      <c r="C519" s="3" t="s">
        <v>14074</v>
      </c>
      <c r="D519" s="3" t="s">
        <v>14029</v>
      </c>
      <c r="E519" s="3" t="s">
        <v>5448</v>
      </c>
      <c r="F519" s="3">
        <v>3639</v>
      </c>
      <c r="G519" s="3">
        <v>7</v>
      </c>
      <c r="H519" s="3">
        <v>25473</v>
      </c>
      <c r="I519" s="3">
        <v>25473</v>
      </c>
      <c r="J519" s="3" t="b">
        <v>0</v>
      </c>
      <c r="K519" s="4">
        <f>H519 - I519</f>
        <v>0</v>
      </c>
      <c r="L519" s="4">
        <f>IF(((H519 = 0)=TRUE),  0,  ROUND(100 * I519 / H519, 2))</f>
        <v>100</v>
      </c>
      <c r="M519" s="4" t="b">
        <f>K519 = 0</f>
        <v>1</v>
      </c>
      <c r="N519" s="4" t="str">
        <f>IF(((M519)=TRUE),  "",  D519)</f>
      </c>
      <c r="O519" s="4" t="str">
        <f>IF(((M519)=TRUE),  "",  E519)</f>
      </c>
      <c r="P519" s="4">
        <f>COUNTIFS(FieldDisagreements!E2:E50, A519)</f>
        <v>0</v>
      </c>
      <c r="Q519" s="4" t="str">
        <f>_xlfn.IFNA(IF(((INDEX(ConformanceSubstrates!C2:C9, MATCH(D519,ConformanceSubstrates!A2:A9, 0))="")=TRUE),  "",  INDEX(ConformanceSubstrates!C2:C9, MATCH(D519,ConformanceSubstrates!A2:A9, 0))), "")</f>
        <v>Python</v>
      </c>
      <c r="R519" s="4" t="str">
        <f>_xlfn.IFNA(IF(((INDEX(RulebookTables!F2:F93, MATCH(E519,RulebookTables!A2:A93, 0))="")=TRUE),  "",  INDEX(RulebookTables!F2:F93, MATCH(E519,RulebookTables!A2:A93, 0))), "")</f>
        <v>access-control</v>
      </c>
      <c r="S519" s="3" t="s">
        <v>1918</v>
      </c>
    </row>
    <row r="520">
      <c r="A520" s="3" t="s">
        <v>14623</v>
      </c>
      <c r="B520" s="4" t="str">
        <f>_xlfn.CONCAT(D520, " / ", E520)</f>
        <v>effortless-python / RoleSchemas</v>
      </c>
      <c r="C520" s="3" t="s">
        <v>14074</v>
      </c>
      <c r="D520" s="3" t="s">
        <v>14029</v>
      </c>
      <c r="E520" s="3" t="s">
        <v>5479</v>
      </c>
      <c r="F520" s="3">
        <v>12</v>
      </c>
      <c r="G520" s="3">
        <v>4</v>
      </c>
      <c r="H520" s="3">
        <v>48</v>
      </c>
      <c r="I520" s="3">
        <v>48</v>
      </c>
      <c r="J520" s="3" t="b">
        <v>0</v>
      </c>
      <c r="K520" s="4">
        <f>H520 - I520</f>
        <v>0</v>
      </c>
      <c r="L520" s="4">
        <f>IF(((H520 = 0)=TRUE),  0,  ROUND(100 * I520 / H520, 2))</f>
        <v>100</v>
      </c>
      <c r="M520" s="4" t="b">
        <f>K520 = 0</f>
        <v>1</v>
      </c>
      <c r="N520" s="4" t="str">
        <f>IF(((M520)=TRUE),  "",  D520)</f>
      </c>
      <c r="O520" s="4" t="str">
        <f>IF(((M520)=TRUE),  "",  E520)</f>
      </c>
      <c r="P520" s="4">
        <f>COUNTIFS(FieldDisagreements!E2:E50, A520)</f>
        <v>0</v>
      </c>
      <c r="Q520" s="4" t="str">
        <f>_xlfn.IFNA(IF(((INDEX(ConformanceSubstrates!C2:C9, MATCH(D520,ConformanceSubstrates!A2:A9, 0))="")=TRUE),  "",  INDEX(ConformanceSubstrates!C2:C9, MATCH(D520,ConformanceSubstrates!A2:A9, 0))), "")</f>
        <v>Python</v>
      </c>
      <c r="R520" s="4" t="str">
        <f>_xlfn.IFNA(IF(((INDEX(RulebookTables!F2:F93, MATCH(E520,RulebookTables!A2:A93, 0))="")=TRUE),  "",  INDEX(RulebookTables!F2:F93, MATCH(E520,RulebookTables!A2:A93, 0))), "")</f>
        <v>org</v>
      </c>
      <c r="S520" s="3" t="s">
        <v>1918</v>
      </c>
    </row>
    <row r="521">
      <c r="A521" s="3" t="s">
        <v>14624</v>
      </c>
      <c r="B521" s="4" t="str">
        <f>_xlfn.CONCAT(D521, " / ", E521)</f>
        <v>effortless-python / RoleSchemaViews</v>
      </c>
      <c r="C521" s="3" t="s">
        <v>14074</v>
      </c>
      <c r="D521" s="3" t="s">
        <v>14029</v>
      </c>
      <c r="E521" s="3" t="s">
        <v>5497</v>
      </c>
      <c r="F521" s="3">
        <v>202</v>
      </c>
      <c r="G521" s="3">
        <v>8</v>
      </c>
      <c r="H521" s="3">
        <v>1616</v>
      </c>
      <c r="I521" s="3">
        <v>1616</v>
      </c>
      <c r="J521" s="3" t="b">
        <v>0</v>
      </c>
      <c r="K521" s="4">
        <f>H521 - I521</f>
        <v>0</v>
      </c>
      <c r="L521" s="4">
        <f>IF(((H521 = 0)=TRUE),  0,  ROUND(100 * I521 / H521, 2))</f>
        <v>100</v>
      </c>
      <c r="M521" s="4" t="b">
        <f>K521 = 0</f>
        <v>1</v>
      </c>
      <c r="N521" s="4" t="str">
        <f>IF(((M521)=TRUE),  "",  D521)</f>
      </c>
      <c r="O521" s="4" t="str">
        <f>IF(((M521)=TRUE),  "",  E521)</f>
      </c>
      <c r="P521" s="4">
        <f>COUNTIFS(FieldDisagreements!E2:E50, A521)</f>
        <v>0</v>
      </c>
      <c r="Q521" s="4" t="str">
        <f>_xlfn.IFNA(IF(((INDEX(ConformanceSubstrates!C2:C9, MATCH(D521,ConformanceSubstrates!A2:A9, 0))="")=TRUE),  "",  INDEX(ConformanceSubstrates!C2:C9, MATCH(D521,ConformanceSubstrates!A2:A9, 0))), "")</f>
        <v>Python</v>
      </c>
      <c r="R521" s="4" t="str">
        <f>_xlfn.IFNA(IF(((INDEX(RulebookTables!F2:F93, MATCH(E521,RulebookTables!A2:A93, 0))="")=TRUE),  "",  INDEX(RulebookTables!F2:F93, MATCH(E521,RulebookTables!A2:A93, 0))), "")</f>
        <v>org</v>
      </c>
      <c r="S521" s="3" t="s">
        <v>1918</v>
      </c>
    </row>
    <row r="522">
      <c r="A522" s="3" t="s">
        <v>14625</v>
      </c>
      <c r="B522" s="4" t="str">
        <f>_xlfn.CONCAT(D522, " / ", E522)</f>
        <v>effortless-python / JwtClaimMappings</v>
      </c>
      <c r="C522" s="3" t="s">
        <v>14074</v>
      </c>
      <c r="D522" s="3" t="s">
        <v>14029</v>
      </c>
      <c r="E522" s="3" t="s">
        <v>5529</v>
      </c>
      <c r="F522" s="3">
        <v>4</v>
      </c>
      <c r="G522" s="3">
        <v>2</v>
      </c>
      <c r="H522" s="3">
        <v>8</v>
      </c>
      <c r="I522" s="3">
        <v>8</v>
      </c>
      <c r="J522" s="3" t="b">
        <v>0</v>
      </c>
      <c r="K522" s="4">
        <f>H522 - I522</f>
        <v>0</v>
      </c>
      <c r="L522" s="4">
        <f>IF(((H522 = 0)=TRUE),  0,  ROUND(100 * I522 / H522, 2))</f>
        <v>100</v>
      </c>
      <c r="M522" s="4" t="b">
        <f>K522 = 0</f>
        <v>1</v>
      </c>
      <c r="N522" s="4" t="str">
        <f>IF(((M522)=TRUE),  "",  D522)</f>
      </c>
      <c r="O522" s="4" t="str">
        <f>IF(((M522)=TRUE),  "",  E522)</f>
      </c>
      <c r="P522" s="4">
        <f>COUNTIFS(FieldDisagreements!E2:E50, A522)</f>
        <v>0</v>
      </c>
      <c r="Q522" s="4" t="str">
        <f>_xlfn.IFNA(IF(((INDEX(ConformanceSubstrates!C2:C9, MATCH(D522,ConformanceSubstrates!A2:A9, 0))="")=TRUE),  "",  INDEX(ConformanceSubstrates!C2:C9, MATCH(D522,ConformanceSubstrates!A2:A9, 0))), "")</f>
        <v>Python</v>
      </c>
      <c r="R522" s="4" t="str">
        <f>_xlfn.IFNA(IF(((INDEX(RulebookTables!F2:F93, MATCH(E522,RulebookTables!A2:A93, 0))="")=TRUE),  "",  INDEX(RulebookTables!F2:F93, MATCH(E522,RulebookTables!A2:A93, 0))), "")</f>
        <v>access-control</v>
      </c>
      <c r="S522" s="3" t="s">
        <v>1918</v>
      </c>
    </row>
    <row r="523">
      <c r="A523" s="3" t="s">
        <v>14626</v>
      </c>
      <c r="B523" s="4" t="str">
        <f>_xlfn.CONCAT(D523, " / ", E523)</f>
        <v>effortless-python / AccessDenialTests</v>
      </c>
      <c r="C523" s="3" t="s">
        <v>14074</v>
      </c>
      <c r="D523" s="3" t="s">
        <v>14029</v>
      </c>
      <c r="E523" s="3" t="s">
        <v>5548</v>
      </c>
      <c r="F523" s="3">
        <v>17</v>
      </c>
      <c r="G523" s="3">
        <v>6</v>
      </c>
      <c r="H523" s="3">
        <v>102</v>
      </c>
      <c r="I523" s="3">
        <v>102</v>
      </c>
      <c r="J523" s="3" t="b">
        <v>0</v>
      </c>
      <c r="K523" s="4">
        <f>H523 - I523</f>
        <v>0</v>
      </c>
      <c r="L523" s="4">
        <f>IF(((H523 = 0)=TRUE),  0,  ROUND(100 * I523 / H523, 2))</f>
        <v>100</v>
      </c>
      <c r="M523" s="4" t="b">
        <f>K523 = 0</f>
        <v>1</v>
      </c>
      <c r="N523" s="4" t="str">
        <f>IF(((M523)=TRUE),  "",  D523)</f>
      </c>
      <c r="O523" s="4" t="str">
        <f>IF(((M523)=TRUE),  "",  E523)</f>
      </c>
      <c r="P523" s="4">
        <f>COUNTIFS(FieldDisagreements!E2:E50, A523)</f>
        <v>0</v>
      </c>
      <c r="Q523" s="4" t="str">
        <f>_xlfn.IFNA(IF(((INDEX(ConformanceSubstrates!C2:C9, MATCH(D523,ConformanceSubstrates!A2:A9, 0))="")=TRUE),  "",  INDEX(ConformanceSubstrates!C2:C9, MATCH(D523,ConformanceSubstrates!A2:A9, 0))), "")</f>
        <v>Python</v>
      </c>
      <c r="R523" s="4" t="str">
        <f>_xlfn.IFNA(IF(((INDEX(RulebookTables!F2:F93, MATCH(E523,RulebookTables!A2:A93, 0))="")=TRUE),  "",  INDEX(RulebookTables!F2:F93, MATCH(E523,RulebookTables!A2:A93, 0))), "")</f>
        <v>access-control</v>
      </c>
      <c r="S523" s="3" t="s">
        <v>1918</v>
      </c>
    </row>
    <row r="524">
      <c r="A524" s="3" t="s">
        <v>14627</v>
      </c>
      <c r="B524" s="4" t="str">
        <f>_xlfn.CONCAT(D524, " / ", E524)</f>
        <v>effortless-python / AppUsers</v>
      </c>
      <c r="C524" s="3" t="s">
        <v>14074</v>
      </c>
      <c r="D524" s="3" t="s">
        <v>14029</v>
      </c>
      <c r="E524" s="3" t="s">
        <v>5584</v>
      </c>
      <c r="F524" s="3">
        <v>10</v>
      </c>
      <c r="G524" s="3">
        <v>7</v>
      </c>
      <c r="H524" s="3">
        <v>70</v>
      </c>
      <c r="I524" s="3">
        <v>70</v>
      </c>
      <c r="J524" s="3" t="b">
        <v>0</v>
      </c>
      <c r="K524" s="4">
        <f>H524 - I524</f>
        <v>0</v>
      </c>
      <c r="L524" s="4">
        <f>IF(((H524 = 0)=TRUE),  0,  ROUND(100 * I524 / H524, 2))</f>
        <v>100</v>
      </c>
      <c r="M524" s="4" t="b">
        <f>K524 = 0</f>
        <v>1</v>
      </c>
      <c r="N524" s="4" t="str">
        <f>IF(((M524)=TRUE),  "",  D524)</f>
      </c>
      <c r="O524" s="4" t="str">
        <f>IF(((M524)=TRUE),  "",  E524)</f>
      </c>
      <c r="P524" s="4">
        <f>COUNTIFS(FieldDisagreements!E2:E50, A524)</f>
        <v>0</v>
      </c>
      <c r="Q524" s="4" t="str">
        <f>_xlfn.IFNA(IF(((INDEX(ConformanceSubstrates!C2:C9, MATCH(D524,ConformanceSubstrates!A2:A9, 0))="")=TRUE),  "",  INDEX(ConformanceSubstrates!C2:C9, MATCH(D524,ConformanceSubstrates!A2:A9, 0))), "")</f>
        <v>Python</v>
      </c>
      <c r="R524" s="4" t="str">
        <f>_xlfn.IFNA(IF(((INDEX(RulebookTables!F2:F93, MATCH(E524,RulebookTables!A2:A93, 0))="")=TRUE),  "",  INDEX(RulebookTables!F2:F93, MATCH(E524,RulebookTables!A2:A93, 0))), "")</f>
      </c>
      <c r="S524" s="3" t="s">
        <v>1918</v>
      </c>
    </row>
    <row r="525">
      <c r="A525" s="3" t="s">
        <v>14628</v>
      </c>
      <c r="B525" s="4" t="str">
        <f>_xlfn.CONCAT(D525, " / ", E525)</f>
        <v>effortless-python / PrincipalAssignments</v>
      </c>
      <c r="C525" s="3" t="s">
        <v>14074</v>
      </c>
      <c r="D525" s="3" t="s">
        <v>14029</v>
      </c>
      <c r="E525" s="3" t="s">
        <v>5611</v>
      </c>
      <c r="F525" s="3">
        <v>12</v>
      </c>
      <c r="G525" s="3">
        <v>5</v>
      </c>
      <c r="H525" s="3">
        <v>60</v>
      </c>
      <c r="I525" s="3">
        <v>60</v>
      </c>
      <c r="J525" s="3" t="b">
        <v>0</v>
      </c>
      <c r="K525" s="4">
        <f>H525 - I525</f>
        <v>0</v>
      </c>
      <c r="L525" s="4">
        <f>IF(((H525 = 0)=TRUE),  0,  ROUND(100 * I525 / H525, 2))</f>
        <v>100</v>
      </c>
      <c r="M525" s="4" t="b">
        <f>K525 = 0</f>
        <v>1</v>
      </c>
      <c r="N525" s="4" t="str">
        <f>IF(((M525)=TRUE),  "",  D525)</f>
      </c>
      <c r="O525" s="4" t="str">
        <f>IF(((M525)=TRUE),  "",  E525)</f>
      </c>
      <c r="P525" s="4">
        <f>COUNTIFS(FieldDisagreements!E2:E50, A525)</f>
        <v>0</v>
      </c>
      <c r="Q525" s="4" t="str">
        <f>_xlfn.IFNA(IF(((INDEX(ConformanceSubstrates!C2:C9, MATCH(D525,ConformanceSubstrates!A2:A9, 0))="")=TRUE),  "",  INDEX(ConformanceSubstrates!C2:C9, MATCH(D525,ConformanceSubstrates!A2:A9, 0))), "")</f>
        <v>Python</v>
      </c>
      <c r="R525" s="4" t="str">
        <f>_xlfn.IFNA(IF(((INDEX(RulebookTables!F2:F93, MATCH(E525,RulebookTables!A2:A93, 0))="")=TRUE),  "",  INDEX(RulebookTables!F2:F93, MATCH(E525,RulebookTables!A2:A93, 0))), "")</f>
      </c>
      <c r="S525" s="3" t="s">
        <v>1918</v>
      </c>
    </row>
    <row r="526">
      <c r="A526" s="3" t="s">
        <v>14629</v>
      </c>
      <c r="B526" s="4" t="str">
        <f>_xlfn.CONCAT(D526, " / ", E526)</f>
        <v>effortless-python / ProcessMiningRuns</v>
      </c>
      <c r="C526" s="3" t="s">
        <v>14074</v>
      </c>
      <c r="D526" s="3" t="s">
        <v>14029</v>
      </c>
      <c r="E526" s="3" t="s">
        <v>1889</v>
      </c>
      <c r="F526" s="3">
        <v>4</v>
      </c>
      <c r="G526" s="3">
        <v>10</v>
      </c>
      <c r="H526" s="3">
        <v>40</v>
      </c>
      <c r="I526" s="3">
        <v>40</v>
      </c>
      <c r="J526" s="3" t="b">
        <v>0</v>
      </c>
      <c r="K526" s="4">
        <f>H526 - I526</f>
        <v>0</v>
      </c>
      <c r="L526" s="4">
        <f>IF(((H526 = 0)=TRUE),  0,  ROUND(100 * I526 / H526, 2))</f>
        <v>100</v>
      </c>
      <c r="M526" s="4" t="b">
        <f>K526 = 0</f>
        <v>1</v>
      </c>
      <c r="N526" s="4" t="str">
        <f>IF(((M526)=TRUE),  "",  D526)</f>
      </c>
      <c r="O526" s="4" t="str">
        <f>IF(((M526)=TRUE),  "",  E526)</f>
      </c>
      <c r="P526" s="4">
        <f>COUNTIFS(FieldDisagreements!E2:E50, A526)</f>
        <v>0</v>
      </c>
      <c r="Q526" s="4" t="str">
        <f>_xlfn.IFNA(IF(((INDEX(ConformanceSubstrates!C2:C9, MATCH(D526,ConformanceSubstrates!A2:A9, 0))="")=TRUE),  "",  INDEX(ConformanceSubstrates!C2:C9, MATCH(D526,ConformanceSubstrates!A2:A9, 0))), "")</f>
        <v>Python</v>
      </c>
      <c r="R526" s="4" t="str">
        <f>_xlfn.IFNA(IF(((INDEX(RulebookTables!F2:F93, MATCH(E526,RulebookTables!A2:A93, 0))="")=TRUE),  "",  INDEX(RulebookTables!F2:F93, MATCH(E526,RulebookTables!A2:A93, 0))), "")</f>
        <v>knowledge</v>
      </c>
      <c r="S526" s="3" t="s">
        <v>1918</v>
      </c>
    </row>
    <row r="527">
      <c r="A527" s="3" t="s">
        <v>14630</v>
      </c>
      <c r="B527" s="4" t="str">
        <f>_xlfn.CONCAT(D527, " / ", E527)</f>
        <v>effortless-python / Vocabularies</v>
      </c>
      <c r="C527" s="3" t="s">
        <v>14074</v>
      </c>
      <c r="D527" s="3" t="s">
        <v>14029</v>
      </c>
      <c r="E527" s="3" t="s">
        <v>1893</v>
      </c>
      <c r="F527" s="3">
        <v>2</v>
      </c>
      <c r="G527" s="3">
        <v>4</v>
      </c>
      <c r="H527" s="3">
        <v>8</v>
      </c>
      <c r="I527" s="3">
        <v>8</v>
      </c>
      <c r="J527" s="3" t="b">
        <v>0</v>
      </c>
      <c r="K527" s="4">
        <f>H527 - I527</f>
        <v>0</v>
      </c>
      <c r="L527" s="4">
        <f>IF(((H527 = 0)=TRUE),  0,  ROUND(100 * I527 / H527, 2))</f>
        <v>100</v>
      </c>
      <c r="M527" s="4" t="b">
        <f>K527 = 0</f>
        <v>1</v>
      </c>
      <c r="N527" s="4" t="str">
        <f>IF(((M527)=TRUE),  "",  D527)</f>
      </c>
      <c r="O527" s="4" t="str">
        <f>IF(((M527)=TRUE),  "",  E527)</f>
      </c>
      <c r="P527" s="4">
        <f>COUNTIFS(FieldDisagreements!E2:E50, A527)</f>
        <v>0</v>
      </c>
      <c r="Q527" s="4" t="str">
        <f>_xlfn.IFNA(IF(((INDEX(ConformanceSubstrates!C2:C9, MATCH(D527,ConformanceSubstrates!A2:A9, 0))="")=TRUE),  "",  INDEX(ConformanceSubstrates!C2:C9, MATCH(D527,ConformanceSubstrates!A2:A9, 0))), "")</f>
        <v>Python</v>
      </c>
      <c r="R527" s="4" t="str">
        <f>_xlfn.IFNA(IF(((INDEX(RulebookTables!F2:F93, MATCH(E527,RulebookTables!A2:A93, 0))="")=TRUE),  "",  INDEX(RulebookTables!F2:F93, MATCH(E527,RulebookTables!A2:A93, 0))), "")</f>
        <v>knowledge</v>
      </c>
      <c r="S527" s="3" t="s">
        <v>1918</v>
      </c>
    </row>
    <row r="528">
      <c r="A528" s="3" t="s">
        <v>14631</v>
      </c>
      <c r="B528" s="4" t="str">
        <f>_xlfn.CONCAT(D528, " / ", E528)</f>
        <v>effortless-python / VocabularyTerms</v>
      </c>
      <c r="C528" s="3" t="s">
        <v>14074</v>
      </c>
      <c r="D528" s="3" t="s">
        <v>14029</v>
      </c>
      <c r="E528" s="3" t="s">
        <v>1897</v>
      </c>
      <c r="F528" s="3">
        <v>12</v>
      </c>
      <c r="G528" s="3">
        <v>5</v>
      </c>
      <c r="H528" s="3">
        <v>60</v>
      </c>
      <c r="I528" s="3">
        <v>60</v>
      </c>
      <c r="J528" s="3" t="b">
        <v>0</v>
      </c>
      <c r="K528" s="4">
        <f>H528 - I528</f>
        <v>0</v>
      </c>
      <c r="L528" s="4">
        <f>IF(((H528 = 0)=TRUE),  0,  ROUND(100 * I528 / H528, 2))</f>
        <v>100</v>
      </c>
      <c r="M528" s="4" t="b">
        <f>K528 = 0</f>
        <v>1</v>
      </c>
      <c r="N528" s="4" t="str">
        <f>IF(((M528)=TRUE),  "",  D528)</f>
      </c>
      <c r="O528" s="4" t="str">
        <f>IF(((M528)=TRUE),  "",  E528)</f>
      </c>
      <c r="P528" s="4">
        <f>COUNTIFS(FieldDisagreements!E2:E50, A528)</f>
        <v>0</v>
      </c>
      <c r="Q528" s="4" t="str">
        <f>_xlfn.IFNA(IF(((INDEX(ConformanceSubstrates!C2:C9, MATCH(D528,ConformanceSubstrates!A2:A9, 0))="")=TRUE),  "",  INDEX(ConformanceSubstrates!C2:C9, MATCH(D528,ConformanceSubstrates!A2:A9, 0))), "")</f>
        <v>Python</v>
      </c>
      <c r="R528" s="4" t="str">
        <f>_xlfn.IFNA(IF(((INDEX(RulebookTables!F2:F93, MATCH(E528,RulebookTables!A2:A93, 0))="")=TRUE),  "",  INDEX(RulebookTables!F2:F93, MATCH(E528,RulebookTables!A2:A93, 0))), "")</f>
        <v>knowledge</v>
      </c>
      <c r="S528" s="3" t="s">
        <v>1918</v>
      </c>
    </row>
    <row r="529">
      <c r="A529" s="3" t="s">
        <v>14632</v>
      </c>
      <c r="B529" s="4" t="str">
        <f>_xlfn.CONCAT(D529, " / ", E529)</f>
        <v>effortless-python / KnowledgeBrokerLinks</v>
      </c>
      <c r="C529" s="3" t="s">
        <v>14074</v>
      </c>
      <c r="D529" s="3" t="s">
        <v>14029</v>
      </c>
      <c r="E529" s="3" t="s">
        <v>1901</v>
      </c>
      <c r="F529" s="3">
        <v>5</v>
      </c>
      <c r="G529" s="3">
        <v>8</v>
      </c>
      <c r="H529" s="3">
        <v>40</v>
      </c>
      <c r="I529" s="3">
        <v>40</v>
      </c>
      <c r="J529" s="3" t="b">
        <v>0</v>
      </c>
      <c r="K529" s="4">
        <f>H529 - I529</f>
        <v>0</v>
      </c>
      <c r="L529" s="4">
        <f>IF(((H529 = 0)=TRUE),  0,  ROUND(100 * I529 / H529, 2))</f>
        <v>100</v>
      </c>
      <c r="M529" s="4" t="b">
        <f>K529 = 0</f>
        <v>1</v>
      </c>
      <c r="N529" s="4" t="str">
        <f>IF(((M529)=TRUE),  "",  D529)</f>
      </c>
      <c r="O529" s="4" t="str">
        <f>IF(((M529)=TRUE),  "",  E529)</f>
      </c>
      <c r="P529" s="4">
        <f>COUNTIFS(FieldDisagreements!E2:E50, A529)</f>
        <v>0</v>
      </c>
      <c r="Q529" s="4" t="str">
        <f>_xlfn.IFNA(IF(((INDEX(ConformanceSubstrates!C2:C9, MATCH(D529,ConformanceSubstrates!A2:A9, 0))="")=TRUE),  "",  INDEX(ConformanceSubstrates!C2:C9, MATCH(D529,ConformanceSubstrates!A2:A9, 0))), "")</f>
        <v>Python</v>
      </c>
      <c r="R529" s="4" t="str">
        <f>_xlfn.IFNA(IF(((INDEX(RulebookTables!F2:F93, MATCH(E529,RulebookTables!A2:A93, 0))="")=TRUE),  "",  INDEX(RulebookTables!F2:F93, MATCH(E529,RulebookTables!A2:A93, 0))), "")</f>
        <v>knowledge</v>
      </c>
      <c r="S529" s="3" t="s">
        <v>1918</v>
      </c>
    </row>
    <row r="530">
      <c r="A530" s="3" t="s">
        <v>14633</v>
      </c>
      <c r="B530" s="4" t="str">
        <f>_xlfn.CONCAT(D530, " / ", E530)</f>
        <v>effortless-python / ConformanceSubstrates</v>
      </c>
      <c r="C530" s="3" t="s">
        <v>14074</v>
      </c>
      <c r="D530" s="3" t="s">
        <v>14029</v>
      </c>
      <c r="E530" s="3" t="s">
        <v>1905</v>
      </c>
      <c r="F530" s="3">
        <v>8</v>
      </c>
      <c r="G530" s="3">
        <v>11</v>
      </c>
      <c r="H530" s="3">
        <v>88</v>
      </c>
      <c r="I530" s="3">
        <v>88</v>
      </c>
      <c r="J530" s="3" t="b">
        <v>0</v>
      </c>
      <c r="K530" s="4">
        <f>H530 - I530</f>
        <v>0</v>
      </c>
      <c r="L530" s="4">
        <f>IF(((H530 = 0)=TRUE),  0,  ROUND(100 * I530 / H530, 2))</f>
        <v>100</v>
      </c>
      <c r="M530" s="4" t="b">
        <f>K530 = 0</f>
        <v>1</v>
      </c>
      <c r="N530" s="4" t="str">
        <f>IF(((M530)=TRUE),  "",  D530)</f>
      </c>
      <c r="O530" s="4" t="str">
        <f>IF(((M530)=TRUE),  "",  E530)</f>
      </c>
      <c r="P530" s="4">
        <f>COUNTIFS(FieldDisagreements!E2:E50, A530)</f>
        <v>0</v>
      </c>
      <c r="Q530" s="4" t="str">
        <f>_xlfn.IFNA(IF(((INDEX(ConformanceSubstrates!C2:C9, MATCH(D530,ConformanceSubstrates!A2:A9, 0))="")=TRUE),  "",  INDEX(ConformanceSubstrates!C2:C9, MATCH(D530,ConformanceSubstrates!A2:A9, 0))), "")</f>
        <v>Python</v>
      </c>
      <c r="R530" s="4" t="str">
        <f>_xlfn.IFNA(IF(((INDEX(RulebookTables!F2:F93, MATCH(E530,RulebookTables!A2:A93, 0))="")=TRUE),  "",  INDEX(RulebookTables!F2:F93, MATCH(E530,RulebookTables!A2:A93, 0))), "")</f>
        <v>meta</v>
      </c>
      <c r="S530" s="3" t="s">
        <v>1918</v>
      </c>
    </row>
    <row r="531">
      <c r="A531" s="3" t="s">
        <v>14634</v>
      </c>
      <c r="B531" s="4" t="str">
        <f>_xlfn.CONCAT(D531, " / ", E531)</f>
        <v>effortless-python / ConformanceRuns</v>
      </c>
      <c r="C531" s="3" t="s">
        <v>14074</v>
      </c>
      <c r="D531" s="3" t="s">
        <v>14029</v>
      </c>
      <c r="E531" s="3" t="s">
        <v>1909</v>
      </c>
      <c r="F531" s="3">
        <v>3</v>
      </c>
      <c r="G531" s="3">
        <v>9</v>
      </c>
      <c r="H531" s="3">
        <v>27</v>
      </c>
      <c r="I531" s="3">
        <v>27</v>
      </c>
      <c r="J531" s="3" t="b">
        <v>0</v>
      </c>
      <c r="K531" s="4">
        <f>H531 - I531</f>
        <v>0</v>
      </c>
      <c r="L531" s="4">
        <f>IF(((H531 = 0)=TRUE),  0,  ROUND(100 * I531 / H531, 2))</f>
        <v>100</v>
      </c>
      <c r="M531" s="4" t="b">
        <f>K531 = 0</f>
        <v>1</v>
      </c>
      <c r="N531" s="4" t="str">
        <f>IF(((M531)=TRUE),  "",  D531)</f>
      </c>
      <c r="O531" s="4" t="str">
        <f>IF(((M531)=TRUE),  "",  E531)</f>
      </c>
      <c r="P531" s="4">
        <f>COUNTIFS(FieldDisagreements!E2:E50, A531)</f>
        <v>0</v>
      </c>
      <c r="Q531" s="4" t="str">
        <f>_xlfn.IFNA(IF(((INDEX(ConformanceSubstrates!C2:C9, MATCH(D531,ConformanceSubstrates!A2:A9, 0))="")=TRUE),  "",  INDEX(ConformanceSubstrates!C2:C9, MATCH(D531,ConformanceSubstrates!A2:A9, 0))), "")</f>
        <v>Python</v>
      </c>
      <c r="R531" s="4" t="str">
        <f>_xlfn.IFNA(IF(((INDEX(RulebookTables!F2:F93, MATCH(E531,RulebookTables!A2:A93, 0))="")=TRUE),  "",  INDEX(RulebookTables!F2:F93, MATCH(E531,RulebookTables!A2:A93, 0))), "")</f>
        <v>meta</v>
      </c>
      <c r="S531" s="3" t="s">
        <v>1918</v>
      </c>
    </row>
    <row r="532">
      <c r="A532" s="3" t="s">
        <v>14635</v>
      </c>
      <c r="B532" s="4" t="str">
        <f>_xlfn.CONCAT(D532, " / ", E532)</f>
        <v>effortless-python / SubstrateRunScores</v>
      </c>
      <c r="C532" s="3" t="s">
        <v>14074</v>
      </c>
      <c r="D532" s="3" t="s">
        <v>14029</v>
      </c>
      <c r="E532" s="3" t="s">
        <v>1913</v>
      </c>
      <c r="F532" s="3">
        <v>21</v>
      </c>
      <c r="G532" s="3">
        <v>13</v>
      </c>
      <c r="H532" s="3">
        <v>273</v>
      </c>
      <c r="I532" s="3">
        <v>273</v>
      </c>
      <c r="J532" s="3" t="b">
        <v>0</v>
      </c>
      <c r="K532" s="4">
        <f>H532 - I532</f>
        <v>0</v>
      </c>
      <c r="L532" s="4">
        <f>IF(((H532 = 0)=TRUE),  0,  ROUND(100 * I532 / H532, 2))</f>
        <v>100</v>
      </c>
      <c r="M532" s="4" t="b">
        <f>K532 = 0</f>
        <v>1</v>
      </c>
      <c r="N532" s="4" t="str">
        <f>IF(((M532)=TRUE),  "",  D532)</f>
      </c>
      <c r="O532" s="4" t="str">
        <f>IF(((M532)=TRUE),  "",  E532)</f>
      </c>
      <c r="P532" s="4">
        <f>COUNTIFS(FieldDisagreements!E2:E50, A532)</f>
        <v>0</v>
      </c>
      <c r="Q532" s="4" t="str">
        <f>_xlfn.IFNA(IF(((INDEX(ConformanceSubstrates!C2:C9, MATCH(D532,ConformanceSubstrates!A2:A9, 0))="")=TRUE),  "",  INDEX(ConformanceSubstrates!C2:C9, MATCH(D532,ConformanceSubstrates!A2:A9, 0))), "")</f>
        <v>Python</v>
      </c>
      <c r="R532" s="4" t="str">
        <f>_xlfn.IFNA(IF(((INDEX(RulebookTables!F2:F93, MATCH(E532,RulebookTables!A2:A93, 0))="")=TRUE),  "",  INDEX(RulebookTables!F2:F93, MATCH(E532,RulebookTables!A2:A93, 0))), "")</f>
        <v>meta</v>
      </c>
      <c r="S532" s="3" t="s">
        <v>1918</v>
      </c>
    </row>
    <row r="533">
      <c r="A533" s="3" t="s">
        <v>14636</v>
      </c>
      <c r="B533" s="4" t="str">
        <f>_xlfn.CONCAT(D533, " / ", E533)</f>
        <v>effortless-python / TableConformance</v>
      </c>
      <c r="C533" s="3" t="s">
        <v>14074</v>
      </c>
      <c r="D533" s="3" t="s">
        <v>14029</v>
      </c>
      <c r="E533" s="3" t="s">
        <v>1917</v>
      </c>
      <c r="F533" s="3">
        <v>623</v>
      </c>
      <c r="G533" s="3">
        <v>9</v>
      </c>
      <c r="H533" s="3">
        <v>5607</v>
      </c>
      <c r="I533" s="3">
        <v>5607</v>
      </c>
      <c r="J533" s="3" t="b">
        <v>0</v>
      </c>
      <c r="K533" s="4">
        <f>H533 - I533</f>
        <v>0</v>
      </c>
      <c r="L533" s="4">
        <f>IF(((H533 = 0)=TRUE),  0,  ROUND(100 * I533 / H533, 2))</f>
        <v>100</v>
      </c>
      <c r="M533" s="4" t="b">
        <f>K533 = 0</f>
        <v>1</v>
      </c>
      <c r="N533" s="4" t="str">
        <f>IF(((M533)=TRUE),  "",  D533)</f>
      </c>
      <c r="O533" s="4" t="str">
        <f>IF(((M533)=TRUE),  "",  E533)</f>
      </c>
      <c r="P533" s="4">
        <f>COUNTIFS(FieldDisagreements!E2:E50, A533)</f>
        <v>0</v>
      </c>
      <c r="Q533" s="4" t="str">
        <f>_xlfn.IFNA(IF(((INDEX(ConformanceSubstrates!C2:C9, MATCH(D533,ConformanceSubstrates!A2:A9, 0))="")=TRUE),  "",  INDEX(ConformanceSubstrates!C2:C9, MATCH(D533,ConformanceSubstrates!A2:A9, 0))), "")</f>
        <v>Python</v>
      </c>
      <c r="R533" s="4" t="str">
        <f>_xlfn.IFNA(IF(((INDEX(RulebookTables!F2:F93, MATCH(E533,RulebookTables!A2:A93, 0))="")=TRUE),  "",  INDEX(RulebookTables!F2:F93, MATCH(E533,RulebookTables!A2:A93, 0))), "")</f>
        <v>meta</v>
      </c>
      <c r="S533" s="3" t="s">
        <v>1918</v>
      </c>
    </row>
    <row r="534">
      <c r="A534" s="3" t="s">
        <v>14637</v>
      </c>
      <c r="B534" s="4" t="str">
        <f>_xlfn.CONCAT(D534, " / ", E534)</f>
        <v>effortless-python / FieldDisagreements</v>
      </c>
      <c r="C534" s="3" t="s">
        <v>14074</v>
      </c>
      <c r="D534" s="3" t="s">
        <v>14029</v>
      </c>
      <c r="E534" s="3" t="s">
        <v>1921</v>
      </c>
      <c r="F534" s="3">
        <v>49</v>
      </c>
      <c r="G534" s="3">
        <v>5</v>
      </c>
      <c r="H534" s="3">
        <v>245</v>
      </c>
      <c r="I534" s="3">
        <v>245</v>
      </c>
      <c r="J534" s="3" t="b">
        <v>0</v>
      </c>
      <c r="K534" s="4">
        <f>H534 - I534</f>
        <v>0</v>
      </c>
      <c r="L534" s="4">
        <f>IF(((H534 = 0)=TRUE),  0,  ROUND(100 * I534 / H534, 2))</f>
        <v>100</v>
      </c>
      <c r="M534" s="4" t="b">
        <f>K534 = 0</f>
        <v>1</v>
      </c>
      <c r="N534" s="4" t="str">
        <f>IF(((M534)=TRUE),  "",  D534)</f>
      </c>
      <c r="O534" s="4" t="str">
        <f>IF(((M534)=TRUE),  "",  E534)</f>
      </c>
      <c r="P534" s="4">
        <f>COUNTIFS(FieldDisagreements!E2:E50, A534)</f>
        <v>0</v>
      </c>
      <c r="Q534" s="4" t="str">
        <f>_xlfn.IFNA(IF(((INDEX(ConformanceSubstrates!C2:C9, MATCH(D534,ConformanceSubstrates!A2:A9, 0))="")=TRUE),  "",  INDEX(ConformanceSubstrates!C2:C9, MATCH(D534,ConformanceSubstrates!A2:A9, 0))), "")</f>
        <v>Python</v>
      </c>
      <c r="R534" s="4" t="str">
        <f>_xlfn.IFNA(IF(((INDEX(RulebookTables!F2:F93, MATCH(E534,RulebookTables!A2:A93, 0))="")=TRUE),  "",  INDEX(RulebookTables!F2:F93, MATCH(E534,RulebookTables!A2:A93, 0))), "")</f>
        <v>meta</v>
      </c>
      <c r="S534" s="3" t="s">
        <v>1918</v>
      </c>
    </row>
    <row r="535">
      <c r="A535" s="3" t="s">
        <v>14638</v>
      </c>
      <c r="B535" s="4" t="str">
        <f>_xlfn.CONCAT(D535, " / ", E535)</f>
        <v>effortless-python / CellDisagreements</v>
      </c>
      <c r="C535" s="3" t="s">
        <v>14074</v>
      </c>
      <c r="D535" s="3" t="s">
        <v>14029</v>
      </c>
      <c r="E535" s="3" t="s">
        <v>1925</v>
      </c>
      <c r="F535" s="3">
        <v>316</v>
      </c>
      <c r="G535" s="3">
        <v>3</v>
      </c>
      <c r="H535" s="3">
        <v>948</v>
      </c>
      <c r="I535" s="3">
        <v>948</v>
      </c>
      <c r="J535" s="3" t="b">
        <v>0</v>
      </c>
      <c r="K535" s="4">
        <f>H535 - I535</f>
        <v>0</v>
      </c>
      <c r="L535" s="4">
        <f>IF(((H535 = 0)=TRUE),  0,  ROUND(100 * I535 / H535, 2))</f>
        <v>100</v>
      </c>
      <c r="M535" s="4" t="b">
        <f>K535 = 0</f>
        <v>1</v>
      </c>
      <c r="N535" s="4" t="str">
        <f>IF(((M535)=TRUE),  "",  D535)</f>
      </c>
      <c r="O535" s="4" t="str">
        <f>IF(((M535)=TRUE),  "",  E535)</f>
      </c>
      <c r="P535" s="4">
        <f>COUNTIFS(FieldDisagreements!E2:E50, A535)</f>
        <v>0</v>
      </c>
      <c r="Q535" s="4" t="str">
        <f>_xlfn.IFNA(IF(((INDEX(ConformanceSubstrates!C2:C9, MATCH(D535,ConformanceSubstrates!A2:A9, 0))="")=TRUE),  "",  INDEX(ConformanceSubstrates!C2:C9, MATCH(D535,ConformanceSubstrates!A2:A9, 0))), "")</f>
        <v>Python</v>
      </c>
      <c r="R535" s="4" t="str">
        <f>_xlfn.IFNA(IF(((INDEX(RulebookTables!F2:F93, MATCH(E535,RulebookTables!A2:A93, 0))="")=TRUE),  "",  INDEX(RulebookTables!F2:F93, MATCH(E535,RulebookTables!A2:A93, 0))), "")</f>
        <v>meta</v>
      </c>
      <c r="S535" s="3" t="s">
        <v>1918</v>
      </c>
    </row>
    <row r="536">
      <c r="A536" s="3" t="s">
        <v>14639</v>
      </c>
      <c r="B536" s="4" t="str">
        <f>_xlfn.CONCAT(D536, " / ", E536)</f>
        <v>effortless-typescript / RulebookReleases</v>
      </c>
      <c r="C536" s="3" t="s">
        <v>14074</v>
      </c>
      <c r="D536" s="3" t="s">
        <v>14041</v>
      </c>
      <c r="E536" s="3" t="s">
        <v>2415</v>
      </c>
      <c r="F536" s="3">
        <v>1</v>
      </c>
      <c r="G536" s="3">
        <v>1</v>
      </c>
      <c r="H536" s="3">
        <v>1</v>
      </c>
      <c r="I536" s="3">
        <v>1</v>
      </c>
      <c r="J536" s="3" t="b">
        <v>0</v>
      </c>
      <c r="K536" s="4">
        <f>H536 - I536</f>
        <v>0</v>
      </c>
      <c r="L536" s="4">
        <f>IF(((H536 = 0)=TRUE),  0,  ROUND(100 * I536 / H536, 2))</f>
        <v>100</v>
      </c>
      <c r="M536" s="4" t="b">
        <f>K536 = 0</f>
        <v>1</v>
      </c>
      <c r="N536" s="4" t="str">
        <f>IF(((M536)=TRUE),  "",  D536)</f>
      </c>
      <c r="O536" s="4" t="str">
        <f>IF(((M536)=TRUE),  "",  E536)</f>
      </c>
      <c r="P536" s="4">
        <f>COUNTIFS(FieldDisagreements!E2:E50, A536)</f>
        <v>0</v>
      </c>
      <c r="Q536" s="4" t="str">
        <f>_xlfn.IFNA(IF(((INDEX(ConformanceSubstrates!C2:C9, MATCH(D536,ConformanceSubstrates!A2:A9, 0))="")=TRUE),  "",  INDEX(ConformanceSubstrates!C2:C9, MATCH(D536,ConformanceSubstrates!A2:A9, 0))), "")</f>
        <v>TypeScript</v>
      </c>
      <c r="R536" s="4" t="str">
        <f>_xlfn.IFNA(IF(((INDEX(RulebookTables!F2:F93, MATCH(E536,RulebookTables!A2:A93, 0))="")=TRUE),  "",  INDEX(RulebookTables!F2:F93, MATCH(E536,RulebookTables!A2:A93, 0))), "")</f>
        <v>meta</v>
      </c>
      <c r="S536" s="3" t="s">
        <v>1918</v>
      </c>
    </row>
    <row r="537">
      <c r="A537" s="3" t="s">
        <v>14640</v>
      </c>
      <c r="B537" s="4" t="str">
        <f>_xlfn.CONCAT(D537, " / ", E537)</f>
        <v>effortless-typescript / OntologyProfiles</v>
      </c>
      <c r="C537" s="3" t="s">
        <v>14074</v>
      </c>
      <c r="D537" s="3" t="s">
        <v>14041</v>
      </c>
      <c r="E537" s="3" t="s">
        <v>2434</v>
      </c>
      <c r="F537" s="3">
        <v>11</v>
      </c>
      <c r="G537" s="3">
        <v>1</v>
      </c>
      <c r="H537" s="3">
        <v>11</v>
      </c>
      <c r="I537" s="3">
        <v>11</v>
      </c>
      <c r="J537" s="3" t="b">
        <v>0</v>
      </c>
      <c r="K537" s="4">
        <f>H537 - I537</f>
        <v>0</v>
      </c>
      <c r="L537" s="4">
        <f>IF(((H537 = 0)=TRUE),  0,  ROUND(100 * I537 / H537, 2))</f>
        <v>100</v>
      </c>
      <c r="M537" s="4" t="b">
        <f>K537 = 0</f>
        <v>1</v>
      </c>
      <c r="N537" s="4" t="str">
        <f>IF(((M537)=TRUE),  "",  D537)</f>
      </c>
      <c r="O537" s="4" t="str">
        <f>IF(((M537)=TRUE),  "",  E537)</f>
      </c>
      <c r="P537" s="4">
        <f>COUNTIFS(FieldDisagreements!E2:E50, A537)</f>
        <v>0</v>
      </c>
      <c r="Q537" s="4" t="str">
        <f>_xlfn.IFNA(IF(((INDEX(ConformanceSubstrates!C2:C9, MATCH(D537,ConformanceSubstrates!A2:A9, 0))="")=TRUE),  "",  INDEX(ConformanceSubstrates!C2:C9, MATCH(D537,ConformanceSubstrates!A2:A9, 0))), "")</f>
        <v>TypeScript</v>
      </c>
      <c r="R537" s="4" t="str">
        <f>_xlfn.IFNA(IF(((INDEX(RulebookTables!F2:F93, MATCH(E537,RulebookTables!A2:A93, 0))="")=TRUE),  "",  INDEX(RulebookTables!F2:F93, MATCH(E537,RulebookTables!A2:A93, 0))), "")</f>
        <v>domain</v>
      </c>
      <c r="S537" s="3" t="s">
        <v>1918</v>
      </c>
    </row>
    <row r="538">
      <c r="A538" s="3" t="s">
        <v>14641</v>
      </c>
      <c r="B538" s="4" t="str">
        <f>_xlfn.CONCAT(D538, " / ", E538)</f>
        <v>effortless-typescript / EvaluationContexts</v>
      </c>
      <c r="C538" s="3" t="s">
        <v>14074</v>
      </c>
      <c r="D538" s="3" t="s">
        <v>14041</v>
      </c>
      <c r="E538" s="3" t="s">
        <v>2444</v>
      </c>
      <c r="F538" s="3">
        <v>1</v>
      </c>
      <c r="G538" s="3">
        <v>1</v>
      </c>
      <c r="H538" s="3">
        <v>1</v>
      </c>
      <c r="I538" s="3">
        <v>1</v>
      </c>
      <c r="J538" s="3" t="b">
        <v>0</v>
      </c>
      <c r="K538" s="4">
        <f>H538 - I538</f>
        <v>0</v>
      </c>
      <c r="L538" s="4">
        <f>IF(((H538 = 0)=TRUE),  0,  ROUND(100 * I538 / H538, 2))</f>
        <v>100</v>
      </c>
      <c r="M538" s="4" t="b">
        <f>K538 = 0</f>
        <v>1</v>
      </c>
      <c r="N538" s="4" t="str">
        <f>IF(((M538)=TRUE),  "",  D538)</f>
      </c>
      <c r="O538" s="4" t="str">
        <f>IF(((M538)=TRUE),  "",  E538)</f>
      </c>
      <c r="P538" s="4">
        <f>COUNTIFS(FieldDisagreements!E2:E50, A538)</f>
        <v>0</v>
      </c>
      <c r="Q538" s="4" t="str">
        <f>_xlfn.IFNA(IF(((INDEX(ConformanceSubstrates!C2:C9, MATCH(D538,ConformanceSubstrates!A2:A9, 0))="")=TRUE),  "",  INDEX(ConformanceSubstrates!C2:C9, MATCH(D538,ConformanceSubstrates!A2:A9, 0))), "")</f>
        <v>TypeScript</v>
      </c>
      <c r="R538" s="4" t="str">
        <f>_xlfn.IFNA(IF(((INDEX(RulebookTables!F2:F93, MATCH(E538,RulebookTables!A2:A93, 0))="")=TRUE),  "",  INDEX(RulebookTables!F2:F93, MATCH(E538,RulebookTables!A2:A93, 0))), "")</f>
        <v>meta</v>
      </c>
      <c r="S538" s="3" t="s">
        <v>1918</v>
      </c>
    </row>
    <row r="539">
      <c r="A539" s="3" t="s">
        <v>14642</v>
      </c>
      <c r="B539" s="4" t="str">
        <f>_xlfn.CONCAT(D539, " / ", E539)</f>
        <v>effortless-typescript / Organizations</v>
      </c>
      <c r="C539" s="3" t="s">
        <v>14074</v>
      </c>
      <c r="D539" s="3" t="s">
        <v>14041</v>
      </c>
      <c r="E539" s="3" t="s">
        <v>2453</v>
      </c>
      <c r="F539" s="3">
        <v>4</v>
      </c>
      <c r="G539" s="3">
        <v>1</v>
      </c>
      <c r="H539" s="3">
        <v>4</v>
      </c>
      <c r="I539" s="3">
        <v>4</v>
      </c>
      <c r="J539" s="3" t="b">
        <v>0</v>
      </c>
      <c r="K539" s="4">
        <f>H539 - I539</f>
        <v>0</v>
      </c>
      <c r="L539" s="4">
        <f>IF(((H539 = 0)=TRUE),  0,  ROUND(100 * I539 / H539, 2))</f>
        <v>100</v>
      </c>
      <c r="M539" s="4" t="b">
        <f>K539 = 0</f>
        <v>1</v>
      </c>
      <c r="N539" s="4" t="str">
        <f>IF(((M539)=TRUE),  "",  D539)</f>
      </c>
      <c r="O539" s="4" t="str">
        <f>IF(((M539)=TRUE),  "",  E539)</f>
      </c>
      <c r="P539" s="4">
        <f>COUNTIFS(FieldDisagreements!E2:E50, A539)</f>
        <v>0</v>
      </c>
      <c r="Q539" s="4" t="str">
        <f>_xlfn.IFNA(IF(((INDEX(ConformanceSubstrates!C2:C9, MATCH(D539,ConformanceSubstrates!A2:A9, 0))="")=TRUE),  "",  INDEX(ConformanceSubstrates!C2:C9, MATCH(D539,ConformanceSubstrates!A2:A9, 0))), "")</f>
        <v>TypeScript</v>
      </c>
      <c r="R539" s="4" t="str">
        <f>_xlfn.IFNA(IF(((INDEX(RulebookTables!F2:F93, MATCH(E539,RulebookTables!A2:A93, 0))="")=TRUE),  "",  INDEX(RulebookTables!F2:F93, MATCH(E539,RulebookTables!A2:A93, 0))), "")</f>
        <v>org</v>
      </c>
      <c r="S539" s="3" t="s">
        <v>1918</v>
      </c>
    </row>
    <row r="540">
      <c r="A540" s="3" t="s">
        <v>14643</v>
      </c>
      <c r="B540" s="4" t="str">
        <f>_xlfn.CONCAT(D540, " / ", E540)</f>
        <v>effortless-typescript / Agents</v>
      </c>
      <c r="C540" s="3" t="s">
        <v>14074</v>
      </c>
      <c r="D540" s="3" t="s">
        <v>14041</v>
      </c>
      <c r="E540" s="3" t="s">
        <v>1814</v>
      </c>
      <c r="F540" s="3">
        <v>11</v>
      </c>
      <c r="G540" s="3">
        <v>16</v>
      </c>
      <c r="H540" s="3">
        <v>176</v>
      </c>
      <c r="I540" s="3">
        <v>176</v>
      </c>
      <c r="J540" s="3" t="b">
        <v>0</v>
      </c>
      <c r="K540" s="4">
        <f>H540 - I540</f>
        <v>0</v>
      </c>
      <c r="L540" s="4">
        <f>IF(((H540 = 0)=TRUE),  0,  ROUND(100 * I540 / H540, 2))</f>
        <v>100</v>
      </c>
      <c r="M540" s="4" t="b">
        <f>K540 = 0</f>
        <v>1</v>
      </c>
      <c r="N540" s="4" t="str">
        <f>IF(((M540)=TRUE),  "",  D540)</f>
      </c>
      <c r="O540" s="4" t="str">
        <f>IF(((M540)=TRUE),  "",  E540)</f>
      </c>
      <c r="P540" s="4">
        <f>COUNTIFS(FieldDisagreements!E2:E50, A540)</f>
        <v>0</v>
      </c>
      <c r="Q540" s="4" t="str">
        <f>_xlfn.IFNA(IF(((INDEX(ConformanceSubstrates!C2:C9, MATCH(D540,ConformanceSubstrates!A2:A9, 0))="")=TRUE),  "",  INDEX(ConformanceSubstrates!C2:C9, MATCH(D540,ConformanceSubstrates!A2:A9, 0))), "")</f>
        <v>TypeScript</v>
      </c>
      <c r="R540" s="4" t="str">
        <f>_xlfn.IFNA(IF(((INDEX(RulebookTables!F2:F93, MATCH(E540,RulebookTables!A2:A93, 0))="")=TRUE),  "",  INDEX(RulebookTables!F2:F93, MATCH(E540,RulebookTables!A2:A93, 0))), "")</f>
        <v>org</v>
      </c>
      <c r="S540" s="3" t="s">
        <v>1918</v>
      </c>
    </row>
    <row r="541">
      <c r="A541" s="3" t="s">
        <v>14644</v>
      </c>
      <c r="B541" s="4" t="str">
        <f>_xlfn.CONCAT(D541, " / ", E541)</f>
        <v>effortless-typescript / Roles</v>
      </c>
      <c r="C541" s="3" t="s">
        <v>14074</v>
      </c>
      <c r="D541" s="3" t="s">
        <v>14041</v>
      </c>
      <c r="E541" s="3" t="s">
        <v>1818</v>
      </c>
      <c r="F541" s="3">
        <v>12</v>
      </c>
      <c r="G541" s="3">
        <v>17</v>
      </c>
      <c r="H541" s="3">
        <v>204</v>
      </c>
      <c r="I541" s="3">
        <v>204</v>
      </c>
      <c r="J541" s="3" t="b">
        <v>0</v>
      </c>
      <c r="K541" s="4">
        <f>H541 - I541</f>
        <v>0</v>
      </c>
      <c r="L541" s="4">
        <f>IF(((H541 = 0)=TRUE),  0,  ROUND(100 * I541 / H541, 2))</f>
        <v>100</v>
      </c>
      <c r="M541" s="4" t="b">
        <f>K541 = 0</f>
        <v>1</v>
      </c>
      <c r="N541" s="4" t="str">
        <f>IF(((M541)=TRUE),  "",  D541)</f>
      </c>
      <c r="O541" s="4" t="str">
        <f>IF(((M541)=TRUE),  "",  E541)</f>
      </c>
      <c r="P541" s="4">
        <f>COUNTIFS(FieldDisagreements!E2:E50, A541)</f>
        <v>0</v>
      </c>
      <c r="Q541" s="4" t="str">
        <f>_xlfn.IFNA(IF(((INDEX(ConformanceSubstrates!C2:C9, MATCH(D541,ConformanceSubstrates!A2:A9, 0))="")=TRUE),  "",  INDEX(ConformanceSubstrates!C2:C9, MATCH(D541,ConformanceSubstrates!A2:A9, 0))), "")</f>
        <v>TypeScript</v>
      </c>
      <c r="R541" s="4" t="str">
        <f>_xlfn.IFNA(IF(((INDEX(RulebookTables!F2:F93, MATCH(E541,RulebookTables!A2:A93, 0))="")=TRUE),  "",  INDEX(RulebookTables!F2:F93, MATCH(E541,RulebookTables!A2:A93, 0))), "")</f>
        <v>org</v>
      </c>
      <c r="S541" s="3" t="s">
        <v>1918</v>
      </c>
    </row>
    <row r="542">
      <c r="A542" s="3" t="s">
        <v>14645</v>
      </c>
      <c r="B542" s="4" t="str">
        <f>_xlfn.CONCAT(D542, " / ", E542)</f>
        <v>effortless-typescript / RoleAssignments</v>
      </c>
      <c r="C542" s="3" t="s">
        <v>14074</v>
      </c>
      <c r="D542" s="3" t="s">
        <v>14041</v>
      </c>
      <c r="E542" s="3" t="s">
        <v>1821</v>
      </c>
      <c r="F542" s="3">
        <v>13</v>
      </c>
      <c r="G542" s="3">
        <v>47</v>
      </c>
      <c r="H542" s="3">
        <v>611</v>
      </c>
      <c r="I542" s="3">
        <v>611</v>
      </c>
      <c r="J542" s="3" t="b">
        <v>0</v>
      </c>
      <c r="K542" s="4">
        <f>H542 - I542</f>
        <v>0</v>
      </c>
      <c r="L542" s="4">
        <f>IF(((H542 = 0)=TRUE),  0,  ROUND(100 * I542 / H542, 2))</f>
        <v>100</v>
      </c>
      <c r="M542" s="4" t="b">
        <f>K542 = 0</f>
        <v>1</v>
      </c>
      <c r="N542" s="4" t="str">
        <f>IF(((M542)=TRUE),  "",  D542)</f>
      </c>
      <c r="O542" s="4" t="str">
        <f>IF(((M542)=TRUE),  "",  E542)</f>
      </c>
      <c r="P542" s="4">
        <f>COUNTIFS(FieldDisagreements!E2:E50, A542)</f>
        <v>0</v>
      </c>
      <c r="Q542" s="4" t="str">
        <f>_xlfn.IFNA(IF(((INDEX(ConformanceSubstrates!C2:C9, MATCH(D542,ConformanceSubstrates!A2:A9, 0))="")=TRUE),  "",  INDEX(ConformanceSubstrates!C2:C9, MATCH(D542,ConformanceSubstrates!A2:A9, 0))), "")</f>
        <v>TypeScript</v>
      </c>
      <c r="R542" s="4" t="str">
        <f>_xlfn.IFNA(IF(((INDEX(RulebookTables!F2:F93, MATCH(E542,RulebookTables!A2:A93, 0))="")=TRUE),  "",  INDEX(RulebookTables!F2:F93, MATCH(E542,RulebookTables!A2:A93, 0))), "")</f>
        <v>org</v>
      </c>
      <c r="S542" s="3" t="s">
        <v>1918</v>
      </c>
    </row>
    <row r="543">
      <c r="A543" s="3" t="s">
        <v>14646</v>
      </c>
      <c r="B543" s="4" t="str">
        <f>_xlfn.CONCAT(D543, " / ", E543)</f>
        <v>effortless-typescript / CommunitiesOfPractice</v>
      </c>
      <c r="C543" s="3" t="s">
        <v>14074</v>
      </c>
      <c r="D543" s="3" t="s">
        <v>14041</v>
      </c>
      <c r="E543" s="3" t="s">
        <v>2655</v>
      </c>
      <c r="F543" s="3">
        <v>2</v>
      </c>
      <c r="G543" s="3">
        <v>1</v>
      </c>
      <c r="H543" s="3">
        <v>2</v>
      </c>
      <c r="I543" s="3">
        <v>2</v>
      </c>
      <c r="J543" s="3" t="b">
        <v>0</v>
      </c>
      <c r="K543" s="4">
        <f>H543 - I543</f>
        <v>0</v>
      </c>
      <c r="L543" s="4">
        <f>IF(((H543 = 0)=TRUE),  0,  ROUND(100 * I543 / H543, 2))</f>
        <v>100</v>
      </c>
      <c r="M543" s="4" t="b">
        <f>K543 = 0</f>
        <v>1</v>
      </c>
      <c r="N543" s="4" t="str">
        <f>IF(((M543)=TRUE),  "",  D543)</f>
      </c>
      <c r="O543" s="4" t="str">
        <f>IF(((M543)=TRUE),  "",  E543)</f>
      </c>
      <c r="P543" s="4">
        <f>COUNTIFS(FieldDisagreements!E2:E50, A543)</f>
        <v>0</v>
      </c>
      <c r="Q543" s="4" t="str">
        <f>_xlfn.IFNA(IF(((INDEX(ConformanceSubstrates!C2:C9, MATCH(D543,ConformanceSubstrates!A2:A9, 0))="")=TRUE),  "",  INDEX(ConformanceSubstrates!C2:C9, MATCH(D543,ConformanceSubstrates!A2:A9, 0))), "")</f>
        <v>TypeScript</v>
      </c>
      <c r="R543" s="4" t="str">
        <f>_xlfn.IFNA(IF(((INDEX(RulebookTables!F2:F93, MATCH(E543,RulebookTables!A2:A93, 0))="")=TRUE),  "",  INDEX(RulebookTables!F2:F93, MATCH(E543,RulebookTables!A2:A93, 0))), "")</f>
        <v>org</v>
      </c>
      <c r="S543" s="3" t="s">
        <v>1918</v>
      </c>
    </row>
    <row r="544">
      <c r="A544" s="3" t="s">
        <v>14647</v>
      </c>
      <c r="B544" s="4" t="str">
        <f>_xlfn.CONCAT(D544, " / ", E544)</f>
        <v>effortless-typescript / Mentorships</v>
      </c>
      <c r="C544" s="3" t="s">
        <v>14074</v>
      </c>
      <c r="D544" s="3" t="s">
        <v>14041</v>
      </c>
      <c r="E544" s="3" t="s">
        <v>2664</v>
      </c>
      <c r="F544" s="3">
        <v>1</v>
      </c>
      <c r="G544" s="3">
        <v>1</v>
      </c>
      <c r="H544" s="3">
        <v>1</v>
      </c>
      <c r="I544" s="3">
        <v>1</v>
      </c>
      <c r="J544" s="3" t="b">
        <v>0</v>
      </c>
      <c r="K544" s="4">
        <f>H544 - I544</f>
        <v>0</v>
      </c>
      <c r="L544" s="4">
        <f>IF(((H544 = 0)=TRUE),  0,  ROUND(100 * I544 / H544, 2))</f>
        <v>100</v>
      </c>
      <c r="M544" s="4" t="b">
        <f>K544 = 0</f>
        <v>1</v>
      </c>
      <c r="N544" s="4" t="str">
        <f>IF(((M544)=TRUE),  "",  D544)</f>
      </c>
      <c r="O544" s="4" t="str">
        <f>IF(((M544)=TRUE),  "",  E544)</f>
      </c>
      <c r="P544" s="4">
        <f>COUNTIFS(FieldDisagreements!E2:E50, A544)</f>
        <v>0</v>
      </c>
      <c r="Q544" s="4" t="str">
        <f>_xlfn.IFNA(IF(((INDEX(ConformanceSubstrates!C2:C9, MATCH(D544,ConformanceSubstrates!A2:A9, 0))="")=TRUE),  "",  INDEX(ConformanceSubstrates!C2:C9, MATCH(D544,ConformanceSubstrates!A2:A9, 0))), "")</f>
        <v>TypeScript</v>
      </c>
      <c r="R544" s="4" t="str">
        <f>_xlfn.IFNA(IF(((INDEX(RulebookTables!F2:F93, MATCH(E544,RulebookTables!A2:A93, 0))="")=TRUE),  "",  INDEX(RulebookTables!F2:F93, MATCH(E544,RulebookTables!A2:A93, 0))), "")</f>
        <v>org</v>
      </c>
      <c r="S544" s="3" t="s">
        <v>1918</v>
      </c>
    </row>
    <row r="545">
      <c r="A545" s="3" t="s">
        <v>14648</v>
      </c>
      <c r="B545" s="4" t="str">
        <f>_xlfn.CONCAT(D545, " / ", E545)</f>
        <v>effortless-typescript / ProcedureTypes</v>
      </c>
      <c r="C545" s="3" t="s">
        <v>14074</v>
      </c>
      <c r="D545" s="3" t="s">
        <v>14041</v>
      </c>
      <c r="E545" s="3" t="s">
        <v>2676</v>
      </c>
      <c r="F545" s="3">
        <v>2</v>
      </c>
      <c r="G545" s="3">
        <v>1</v>
      </c>
      <c r="H545" s="3">
        <v>2</v>
      </c>
      <c r="I545" s="3">
        <v>2</v>
      </c>
      <c r="J545" s="3" t="b">
        <v>0</v>
      </c>
      <c r="K545" s="4">
        <f>H545 - I545</f>
        <v>0</v>
      </c>
      <c r="L545" s="4">
        <f>IF(((H545 = 0)=TRUE),  0,  ROUND(100 * I545 / H545, 2))</f>
        <v>100</v>
      </c>
      <c r="M545" s="4" t="b">
        <f>K545 = 0</f>
        <v>1</v>
      </c>
      <c r="N545" s="4" t="str">
        <f>IF(((M545)=TRUE),  "",  D545)</f>
      </c>
      <c r="O545" s="4" t="str">
        <f>IF(((M545)=TRUE),  "",  E545)</f>
      </c>
      <c r="P545" s="4">
        <f>COUNTIFS(FieldDisagreements!E2:E50, A545)</f>
        <v>0</v>
      </c>
      <c r="Q545" s="4" t="str">
        <f>_xlfn.IFNA(IF(((INDEX(ConformanceSubstrates!C2:C9, MATCH(D545,ConformanceSubstrates!A2:A9, 0))="")=TRUE),  "",  INDEX(ConformanceSubstrates!C2:C9, MATCH(D545,ConformanceSubstrates!A2:A9, 0))), "")</f>
        <v>TypeScript</v>
      </c>
      <c r="R545" s="4" t="str">
        <f>_xlfn.IFNA(IF(((INDEX(RulebookTables!F2:F93, MATCH(E545,RulebookTables!A2:A93, 0))="")=TRUE),  "",  INDEX(RulebookTables!F2:F93, MATCH(E545,RulebookTables!A2:A93, 0))), "")</f>
        <v>specification</v>
      </c>
      <c r="S545" s="3" t="s">
        <v>1918</v>
      </c>
    </row>
    <row r="546">
      <c r="A546" s="3" t="s">
        <v>14649</v>
      </c>
      <c r="B546" s="4" t="str">
        <f>_xlfn.CONCAT(D546, " / ", E546)</f>
        <v>effortless-typescript / Procedures</v>
      </c>
      <c r="C546" s="3" t="s">
        <v>14074</v>
      </c>
      <c r="D546" s="3" t="s">
        <v>14041</v>
      </c>
      <c r="E546" s="3" t="s">
        <v>1762</v>
      </c>
      <c r="F546" s="3">
        <v>2</v>
      </c>
      <c r="G546" s="3">
        <v>1</v>
      </c>
      <c r="H546" s="3">
        <v>2</v>
      </c>
      <c r="I546" s="3">
        <v>2</v>
      </c>
      <c r="J546" s="3" t="b">
        <v>0</v>
      </c>
      <c r="K546" s="4">
        <f>H546 - I546</f>
        <v>0</v>
      </c>
      <c r="L546" s="4">
        <f>IF(((H546 = 0)=TRUE),  0,  ROUND(100 * I546 / H546, 2))</f>
        <v>100</v>
      </c>
      <c r="M546" s="4" t="b">
        <f>K546 = 0</f>
        <v>1</v>
      </c>
      <c r="N546" s="4" t="str">
        <f>IF(((M546)=TRUE),  "",  D546)</f>
      </c>
      <c r="O546" s="4" t="str">
        <f>IF(((M546)=TRUE),  "",  E546)</f>
      </c>
      <c r="P546" s="4">
        <f>COUNTIFS(FieldDisagreements!E2:E50, A546)</f>
        <v>0</v>
      </c>
      <c r="Q546" s="4" t="str">
        <f>_xlfn.IFNA(IF(((INDEX(ConformanceSubstrates!C2:C9, MATCH(D546,ConformanceSubstrates!A2:A9, 0))="")=TRUE),  "",  INDEX(ConformanceSubstrates!C2:C9, MATCH(D546,ConformanceSubstrates!A2:A9, 0))), "")</f>
        <v>TypeScript</v>
      </c>
      <c r="R546" s="4" t="str">
        <f>_xlfn.IFNA(IF(((INDEX(RulebookTables!F2:F93, MATCH(E546,RulebookTables!A2:A93, 0))="")=TRUE),  "",  INDEX(RulebookTables!F2:F93, MATCH(E546,RulebookTables!A2:A93, 0))), "")</f>
        <v>specification</v>
      </c>
      <c r="S546" s="3" t="s">
        <v>1918</v>
      </c>
    </row>
    <row r="547">
      <c r="A547" s="3" t="s">
        <v>14650</v>
      </c>
      <c r="B547" s="4" t="str">
        <f>_xlfn.CONCAT(D547, " / ", E547)</f>
        <v>effortless-typescript / ProcedureVersions</v>
      </c>
      <c r="C547" s="3" t="s">
        <v>14074</v>
      </c>
      <c r="D547" s="3" t="s">
        <v>14041</v>
      </c>
      <c r="E547" s="3" t="s">
        <v>1767</v>
      </c>
      <c r="F547" s="3">
        <v>3</v>
      </c>
      <c r="G547" s="3">
        <v>73</v>
      </c>
      <c r="H547" s="3">
        <v>219</v>
      </c>
      <c r="I547" s="3">
        <v>219</v>
      </c>
      <c r="J547" s="3" t="b">
        <v>0</v>
      </c>
      <c r="K547" s="4">
        <f>H547 - I547</f>
        <v>0</v>
      </c>
      <c r="L547" s="4">
        <f>IF(((H547 = 0)=TRUE),  0,  ROUND(100 * I547 / H547, 2))</f>
        <v>100</v>
      </c>
      <c r="M547" s="4" t="b">
        <f>K547 = 0</f>
        <v>1</v>
      </c>
      <c r="N547" s="4" t="str">
        <f>IF(((M547)=TRUE),  "",  D547)</f>
      </c>
      <c r="O547" s="4" t="str">
        <f>IF(((M547)=TRUE),  "",  E547)</f>
      </c>
      <c r="P547" s="4">
        <f>COUNTIFS(FieldDisagreements!E2:E50, A547)</f>
        <v>0</v>
      </c>
      <c r="Q547" s="4" t="str">
        <f>_xlfn.IFNA(IF(((INDEX(ConformanceSubstrates!C2:C9, MATCH(D547,ConformanceSubstrates!A2:A9, 0))="")=TRUE),  "",  INDEX(ConformanceSubstrates!C2:C9, MATCH(D547,ConformanceSubstrates!A2:A9, 0))), "")</f>
        <v>TypeScript</v>
      </c>
      <c r="R547" s="4" t="str">
        <f>_xlfn.IFNA(IF(((INDEX(RulebookTables!F2:F93, MATCH(E547,RulebookTables!A2:A93, 0))="")=TRUE),  "",  INDEX(RulebookTables!F2:F93, MATCH(E547,RulebookTables!A2:A93, 0))), "")</f>
        <v>specification</v>
      </c>
      <c r="S547" s="3" t="s">
        <v>1918</v>
      </c>
    </row>
    <row r="548">
      <c r="A548" s="3" t="s">
        <v>14651</v>
      </c>
      <c r="B548" s="4" t="str">
        <f>_xlfn.CONCAT(D548, " / ", E548)</f>
        <v>effortless-typescript / ProcedureVersionLinks</v>
      </c>
      <c r="C548" s="3" t="s">
        <v>14074</v>
      </c>
      <c r="D548" s="3" t="s">
        <v>14041</v>
      </c>
      <c r="E548" s="3" t="s">
        <v>2851</v>
      </c>
      <c r="F548" s="3">
        <v>1</v>
      </c>
      <c r="G548" s="3">
        <v>2</v>
      </c>
      <c r="H548" s="3">
        <v>2</v>
      </c>
      <c r="I548" s="3">
        <v>2</v>
      </c>
      <c r="J548" s="3" t="b">
        <v>0</v>
      </c>
      <c r="K548" s="4">
        <f>H548 - I548</f>
        <v>0</v>
      </c>
      <c r="L548" s="4">
        <f>IF(((H548 = 0)=TRUE),  0,  ROUND(100 * I548 / H548, 2))</f>
        <v>100</v>
      </c>
      <c r="M548" s="4" t="b">
        <f>K548 = 0</f>
        <v>1</v>
      </c>
      <c r="N548" s="4" t="str">
        <f>IF(((M548)=TRUE),  "",  D548)</f>
      </c>
      <c r="O548" s="4" t="str">
        <f>IF(((M548)=TRUE),  "",  E548)</f>
      </c>
      <c r="P548" s="4">
        <f>COUNTIFS(FieldDisagreements!E2:E50, A548)</f>
        <v>0</v>
      </c>
      <c r="Q548" s="4" t="str">
        <f>_xlfn.IFNA(IF(((INDEX(ConformanceSubstrates!C2:C9, MATCH(D548,ConformanceSubstrates!A2:A9, 0))="")=TRUE),  "",  INDEX(ConformanceSubstrates!C2:C9, MATCH(D548,ConformanceSubstrates!A2:A9, 0))), "")</f>
        <v>TypeScript</v>
      </c>
      <c r="R548" s="4" t="str">
        <f>_xlfn.IFNA(IF(((INDEX(RulebookTables!F2:F93, MATCH(E548,RulebookTables!A2:A93, 0))="")=TRUE),  "",  INDEX(RulebookTables!F2:F93, MATCH(E548,RulebookTables!A2:A93, 0))), "")</f>
        <v>specification</v>
      </c>
      <c r="S548" s="3" t="s">
        <v>1918</v>
      </c>
    </row>
    <row r="549">
      <c r="A549" s="3" t="s">
        <v>14652</v>
      </c>
      <c r="B549" s="4" t="str">
        <f>_xlfn.CONCAT(D549, " / ", E549)</f>
        <v>effortless-typescript / ProcedureStatusChanges</v>
      </c>
      <c r="C549" s="3" t="s">
        <v>14074</v>
      </c>
      <c r="D549" s="3" t="s">
        <v>14041</v>
      </c>
      <c r="E549" s="3" t="s">
        <v>1775</v>
      </c>
      <c r="F549" s="3">
        <v>5</v>
      </c>
      <c r="G549" s="3">
        <v>1</v>
      </c>
      <c r="H549" s="3">
        <v>5</v>
      </c>
      <c r="I549" s="3">
        <v>5</v>
      </c>
      <c r="J549" s="3" t="b">
        <v>0</v>
      </c>
      <c r="K549" s="4">
        <f>H549 - I549</f>
        <v>0</v>
      </c>
      <c r="L549" s="4">
        <f>IF(((H549 = 0)=TRUE),  0,  ROUND(100 * I549 / H549, 2))</f>
        <v>100</v>
      </c>
      <c r="M549" s="4" t="b">
        <f>K549 = 0</f>
        <v>1</v>
      </c>
      <c r="N549" s="4" t="str">
        <f>IF(((M549)=TRUE),  "",  D549)</f>
      </c>
      <c r="O549" s="4" t="str">
        <f>IF(((M549)=TRUE),  "",  E549)</f>
      </c>
      <c r="P549" s="4">
        <f>COUNTIFS(FieldDisagreements!E2:E50, A549)</f>
        <v>0</v>
      </c>
      <c r="Q549" s="4" t="str">
        <f>_xlfn.IFNA(IF(((INDEX(ConformanceSubstrates!C2:C9, MATCH(D549,ConformanceSubstrates!A2:A9, 0))="")=TRUE),  "",  INDEX(ConformanceSubstrates!C2:C9, MATCH(D549,ConformanceSubstrates!A2:A9, 0))), "")</f>
        <v>TypeScript</v>
      </c>
      <c r="R549" s="4" t="str">
        <f>_xlfn.IFNA(IF(((INDEX(RulebookTables!F2:F93, MATCH(E549,RulebookTables!A2:A93, 0))="")=TRUE),  "",  INDEX(RulebookTables!F2:F93, MATCH(E549,RulebookTables!A2:A93, 0))), "")</f>
        <v>specification</v>
      </c>
      <c r="S549" s="3" t="s">
        <v>1918</v>
      </c>
    </row>
    <row r="550">
      <c r="A550" s="3" t="s">
        <v>14653</v>
      </c>
      <c r="B550" s="4" t="str">
        <f>_xlfn.CONCAT(D550, " / ", E550)</f>
        <v>effortless-typescript / Steps</v>
      </c>
      <c r="C550" s="3" t="s">
        <v>14074</v>
      </c>
      <c r="D550" s="3" t="s">
        <v>14041</v>
      </c>
      <c r="E550" s="3" t="s">
        <v>1778</v>
      </c>
      <c r="F550" s="3">
        <v>17</v>
      </c>
      <c r="G550" s="3">
        <v>42</v>
      </c>
      <c r="H550" s="3">
        <v>714</v>
      </c>
      <c r="I550" s="3">
        <v>714</v>
      </c>
      <c r="J550" s="3" t="b">
        <v>0</v>
      </c>
      <c r="K550" s="4">
        <f>H550 - I550</f>
        <v>0</v>
      </c>
      <c r="L550" s="4">
        <f>IF(((H550 = 0)=TRUE),  0,  ROUND(100 * I550 / H550, 2))</f>
        <v>100</v>
      </c>
      <c r="M550" s="4" t="b">
        <f>K550 = 0</f>
        <v>1</v>
      </c>
      <c r="N550" s="4" t="str">
        <f>IF(((M550)=TRUE),  "",  D550)</f>
      </c>
      <c r="O550" s="4" t="str">
        <f>IF(((M550)=TRUE),  "",  E550)</f>
      </c>
      <c r="P550" s="4">
        <f>COUNTIFS(FieldDisagreements!E2:E50, A550)</f>
        <v>0</v>
      </c>
      <c r="Q550" s="4" t="str">
        <f>_xlfn.IFNA(IF(((INDEX(ConformanceSubstrates!C2:C9, MATCH(D550,ConformanceSubstrates!A2:A9, 0))="")=TRUE),  "",  INDEX(ConformanceSubstrates!C2:C9, MATCH(D550,ConformanceSubstrates!A2:A9, 0))), "")</f>
        <v>TypeScript</v>
      </c>
      <c r="R550" s="4" t="str">
        <f>_xlfn.IFNA(IF(((INDEX(RulebookTables!F2:F93, MATCH(E550,RulebookTables!A2:A93, 0))="")=TRUE),  "",  INDEX(RulebookTables!F2:F93, MATCH(E550,RulebookTables!A2:A93, 0))), "")</f>
        <v>specification</v>
      </c>
      <c r="S550" s="3" t="s">
        <v>1918</v>
      </c>
    </row>
    <row r="551">
      <c r="A551" s="3" t="s">
        <v>14654</v>
      </c>
      <c r="B551" s="4" t="str">
        <f>_xlfn.CONCAT(D551, " / ", E551)</f>
        <v>effortless-typescript / StepTransitions</v>
      </c>
      <c r="C551" s="3" t="s">
        <v>14074</v>
      </c>
      <c r="D551" s="3" t="s">
        <v>14041</v>
      </c>
      <c r="E551" s="3" t="s">
        <v>1784</v>
      </c>
      <c r="F551" s="3">
        <v>20</v>
      </c>
      <c r="G551" s="3">
        <v>18</v>
      </c>
      <c r="H551" s="3">
        <v>360</v>
      </c>
      <c r="I551" s="3">
        <v>360</v>
      </c>
      <c r="J551" s="3" t="b">
        <v>0</v>
      </c>
      <c r="K551" s="4">
        <f>H551 - I551</f>
        <v>0</v>
      </c>
      <c r="L551" s="4">
        <f>IF(((H551 = 0)=TRUE),  0,  ROUND(100 * I551 / H551, 2))</f>
        <v>100</v>
      </c>
      <c r="M551" s="4" t="b">
        <f>K551 = 0</f>
        <v>1</v>
      </c>
      <c r="N551" s="4" t="str">
        <f>IF(((M551)=TRUE),  "",  D551)</f>
      </c>
      <c r="O551" s="4" t="str">
        <f>IF(((M551)=TRUE),  "",  E551)</f>
      </c>
      <c r="P551" s="4">
        <f>COUNTIFS(FieldDisagreements!E2:E50, A551)</f>
        <v>0</v>
      </c>
      <c r="Q551" s="4" t="str">
        <f>_xlfn.IFNA(IF(((INDEX(ConformanceSubstrates!C2:C9, MATCH(D551,ConformanceSubstrates!A2:A9, 0))="")=TRUE),  "",  INDEX(ConformanceSubstrates!C2:C9, MATCH(D551,ConformanceSubstrates!A2:A9, 0))), "")</f>
        <v>TypeScript</v>
      </c>
      <c r="R551" s="4" t="str">
        <f>_xlfn.IFNA(IF(((INDEX(RulebookTables!F2:F93, MATCH(E551,RulebookTables!A2:A93, 0))="")=TRUE),  "",  INDEX(RulebookTables!F2:F93, MATCH(E551,RulebookTables!A2:A93, 0))), "")</f>
        <v>specification</v>
      </c>
      <c r="S551" s="3" t="s">
        <v>1918</v>
      </c>
    </row>
    <row r="552">
      <c r="A552" s="3" t="s">
        <v>14655</v>
      </c>
      <c r="B552" s="4" t="str">
        <f>_xlfn.CONCAT(D552, " / ", E552)</f>
        <v>effortless-typescript / Actions</v>
      </c>
      <c r="C552" s="3" t="s">
        <v>14074</v>
      </c>
      <c r="D552" s="3" t="s">
        <v>14041</v>
      </c>
      <c r="E552" s="3" t="s">
        <v>1796</v>
      </c>
      <c r="F552" s="3">
        <v>9</v>
      </c>
      <c r="G552" s="3">
        <v>1</v>
      </c>
      <c r="H552" s="3">
        <v>9</v>
      </c>
      <c r="I552" s="3">
        <v>9</v>
      </c>
      <c r="J552" s="3" t="b">
        <v>0</v>
      </c>
      <c r="K552" s="4">
        <f>H552 - I552</f>
        <v>0</v>
      </c>
      <c r="L552" s="4">
        <f>IF(((H552 = 0)=TRUE),  0,  ROUND(100 * I552 / H552, 2))</f>
        <v>100</v>
      </c>
      <c r="M552" s="4" t="b">
        <f>K552 = 0</f>
        <v>1</v>
      </c>
      <c r="N552" s="4" t="str">
        <f>IF(((M552)=TRUE),  "",  D552)</f>
      </c>
      <c r="O552" s="4" t="str">
        <f>IF(((M552)=TRUE),  "",  E552)</f>
      </c>
      <c r="P552" s="4">
        <f>COUNTIFS(FieldDisagreements!E2:E50, A552)</f>
        <v>0</v>
      </c>
      <c r="Q552" s="4" t="str">
        <f>_xlfn.IFNA(IF(((INDEX(ConformanceSubstrates!C2:C9, MATCH(D552,ConformanceSubstrates!A2:A9, 0))="")=TRUE),  "",  INDEX(ConformanceSubstrates!C2:C9, MATCH(D552,ConformanceSubstrates!A2:A9, 0))), "")</f>
        <v>TypeScript</v>
      </c>
      <c r="R552" s="4" t="str">
        <f>_xlfn.IFNA(IF(((INDEX(RulebookTables!F2:F93, MATCH(E552,RulebookTables!A2:A93, 0))="")=TRUE),  "",  INDEX(RulebookTables!F2:F93, MATCH(E552,RulebookTables!A2:A93, 0))), "")</f>
        <v>specification</v>
      </c>
      <c r="S552" s="3" t="s">
        <v>1918</v>
      </c>
    </row>
    <row r="553">
      <c r="A553" s="3" t="s">
        <v>14656</v>
      </c>
      <c r="B553" s="4" t="str">
        <f>_xlfn.CONCAT(D553, " / ", E553)</f>
        <v>effortless-typescript / Functions</v>
      </c>
      <c r="C553" s="3" t="s">
        <v>14074</v>
      </c>
      <c r="D553" s="3" t="s">
        <v>14041</v>
      </c>
      <c r="E553" s="3" t="s">
        <v>1799</v>
      </c>
      <c r="F553" s="3">
        <v>8</v>
      </c>
      <c r="G553" s="3">
        <v>1</v>
      </c>
      <c r="H553" s="3">
        <v>8</v>
      </c>
      <c r="I553" s="3">
        <v>8</v>
      </c>
      <c r="J553" s="3" t="b">
        <v>0</v>
      </c>
      <c r="K553" s="4">
        <f>H553 - I553</f>
        <v>0</v>
      </c>
      <c r="L553" s="4">
        <f>IF(((H553 = 0)=TRUE),  0,  ROUND(100 * I553 / H553, 2))</f>
        <v>100</v>
      </c>
      <c r="M553" s="4" t="b">
        <f>K553 = 0</f>
        <v>1</v>
      </c>
      <c r="N553" s="4" t="str">
        <f>IF(((M553)=TRUE),  "",  D553)</f>
      </c>
      <c r="O553" s="4" t="str">
        <f>IF(((M553)=TRUE),  "",  E553)</f>
      </c>
      <c r="P553" s="4">
        <f>COUNTIFS(FieldDisagreements!E2:E50, A553)</f>
        <v>0</v>
      </c>
      <c r="Q553" s="4" t="str">
        <f>_xlfn.IFNA(IF(((INDEX(ConformanceSubstrates!C2:C9, MATCH(D553,ConformanceSubstrates!A2:A9, 0))="")=TRUE),  "",  INDEX(ConformanceSubstrates!C2:C9, MATCH(D553,ConformanceSubstrates!A2:A9, 0))), "")</f>
        <v>TypeScript</v>
      </c>
      <c r="R553" s="4" t="str">
        <f>_xlfn.IFNA(IF(((INDEX(RulebookTables!F2:F93, MATCH(E553,RulebookTables!A2:A93, 0))="")=TRUE),  "",  INDEX(RulebookTables!F2:F93, MATCH(E553,RulebookTables!A2:A93, 0))), "")</f>
        <v>specification</v>
      </c>
      <c r="S553" s="3" t="s">
        <v>1918</v>
      </c>
    </row>
    <row r="554">
      <c r="A554" s="3" t="s">
        <v>14657</v>
      </c>
      <c r="B554" s="4" t="str">
        <f>_xlfn.CONCAT(D554, " / ", E554)</f>
        <v>effortless-typescript / Tools</v>
      </c>
      <c r="C554" s="3" t="s">
        <v>14074</v>
      </c>
      <c r="D554" s="3" t="s">
        <v>14041</v>
      </c>
      <c r="E554" s="3" t="s">
        <v>1802</v>
      </c>
      <c r="F554" s="3">
        <v>8</v>
      </c>
      <c r="G554" s="3">
        <v>1</v>
      </c>
      <c r="H554" s="3">
        <v>8</v>
      </c>
      <c r="I554" s="3">
        <v>8</v>
      </c>
      <c r="J554" s="3" t="b">
        <v>0</v>
      </c>
      <c r="K554" s="4">
        <f>H554 - I554</f>
        <v>0</v>
      </c>
      <c r="L554" s="4">
        <f>IF(((H554 = 0)=TRUE),  0,  ROUND(100 * I554 / H554, 2))</f>
        <v>100</v>
      </c>
      <c r="M554" s="4" t="b">
        <f>K554 = 0</f>
        <v>1</v>
      </c>
      <c r="N554" s="4" t="str">
        <f>IF(((M554)=TRUE),  "",  D554)</f>
      </c>
      <c r="O554" s="4" t="str">
        <f>IF(((M554)=TRUE),  "",  E554)</f>
      </c>
      <c r="P554" s="4">
        <f>COUNTIFS(FieldDisagreements!E2:E50, A554)</f>
        <v>0</v>
      </c>
      <c r="Q554" s="4" t="str">
        <f>_xlfn.IFNA(IF(((INDEX(ConformanceSubstrates!C2:C9, MATCH(D554,ConformanceSubstrates!A2:A9, 0))="")=TRUE),  "",  INDEX(ConformanceSubstrates!C2:C9, MATCH(D554,ConformanceSubstrates!A2:A9, 0))), "")</f>
        <v>TypeScript</v>
      </c>
      <c r="R554" s="4" t="str">
        <f>_xlfn.IFNA(IF(((INDEX(RulebookTables!F2:F93, MATCH(E554,RulebookTables!A2:A93, 0))="")=TRUE),  "",  INDEX(RulebookTables!F2:F93, MATCH(E554,RulebookTables!A2:A93, 0))), "")</f>
        <v>specification</v>
      </c>
      <c r="S554" s="3" t="s">
        <v>1918</v>
      </c>
    </row>
    <row r="555">
      <c r="A555" s="3" t="s">
        <v>14658</v>
      </c>
      <c r="B555" s="4" t="str">
        <f>_xlfn.CONCAT(D555, " / ", E555)</f>
        <v>effortless-typescript / StepActions</v>
      </c>
      <c r="C555" s="3" t="s">
        <v>14074</v>
      </c>
      <c r="D555" s="3" t="s">
        <v>14041</v>
      </c>
      <c r="E555" s="3" t="s">
        <v>3028</v>
      </c>
      <c r="F555" s="3">
        <v>9</v>
      </c>
      <c r="G555" s="3">
        <v>1</v>
      </c>
      <c r="H555" s="3">
        <v>9</v>
      </c>
      <c r="I555" s="3">
        <v>9</v>
      </c>
      <c r="J555" s="3" t="b">
        <v>0</v>
      </c>
      <c r="K555" s="4">
        <f>H555 - I555</f>
        <v>0</v>
      </c>
      <c r="L555" s="4">
        <f>IF(((H555 = 0)=TRUE),  0,  ROUND(100 * I555 / H555, 2))</f>
        <v>100</v>
      </c>
      <c r="M555" s="4" t="b">
        <f>K555 = 0</f>
        <v>1</v>
      </c>
      <c r="N555" s="4" t="str">
        <f>IF(((M555)=TRUE),  "",  D555)</f>
      </c>
      <c r="O555" s="4" t="str">
        <f>IF(((M555)=TRUE),  "",  E555)</f>
      </c>
      <c r="P555" s="4">
        <f>COUNTIFS(FieldDisagreements!E2:E50, A555)</f>
        <v>0</v>
      </c>
      <c r="Q555" s="4" t="str">
        <f>_xlfn.IFNA(IF(((INDEX(ConformanceSubstrates!C2:C9, MATCH(D555,ConformanceSubstrates!A2:A9, 0))="")=TRUE),  "",  INDEX(ConformanceSubstrates!C2:C9, MATCH(D555,ConformanceSubstrates!A2:A9, 0))), "")</f>
        <v>TypeScript</v>
      </c>
      <c r="R555" s="4" t="str">
        <f>_xlfn.IFNA(IF(((INDEX(RulebookTables!F2:F93, MATCH(E555,RulebookTables!A2:A93, 0))="")=TRUE),  "",  INDEX(RulebookTables!F2:F93, MATCH(E555,RulebookTables!A2:A93, 0))), "")</f>
        <v>specification</v>
      </c>
      <c r="S555" s="3" t="s">
        <v>1918</v>
      </c>
    </row>
    <row r="556">
      <c r="A556" s="3" t="s">
        <v>14659</v>
      </c>
      <c r="B556" s="4" t="str">
        <f>_xlfn.CONCAT(D556, " / ", E556)</f>
        <v>effortless-typescript / StepFunctions</v>
      </c>
      <c r="C556" s="3" t="s">
        <v>14074</v>
      </c>
      <c r="D556" s="3" t="s">
        <v>14041</v>
      </c>
      <c r="E556" s="3" t="s">
        <v>3034</v>
      </c>
      <c r="F556" s="3">
        <v>8</v>
      </c>
      <c r="G556" s="3">
        <v>1</v>
      </c>
      <c r="H556" s="3">
        <v>8</v>
      </c>
      <c r="I556" s="3">
        <v>8</v>
      </c>
      <c r="J556" s="3" t="b">
        <v>0</v>
      </c>
      <c r="K556" s="4">
        <f>H556 - I556</f>
        <v>0</v>
      </c>
      <c r="L556" s="4">
        <f>IF(((H556 = 0)=TRUE),  0,  ROUND(100 * I556 / H556, 2))</f>
        <v>100</v>
      </c>
      <c r="M556" s="4" t="b">
        <f>K556 = 0</f>
        <v>1</v>
      </c>
      <c r="N556" s="4" t="str">
        <f>IF(((M556)=TRUE),  "",  D556)</f>
      </c>
      <c r="O556" s="4" t="str">
        <f>IF(((M556)=TRUE),  "",  E556)</f>
      </c>
      <c r="P556" s="4">
        <f>COUNTIFS(FieldDisagreements!E2:E50, A556)</f>
        <v>0</v>
      </c>
      <c r="Q556" s="4" t="str">
        <f>_xlfn.IFNA(IF(((INDEX(ConformanceSubstrates!C2:C9, MATCH(D556,ConformanceSubstrates!A2:A9, 0))="")=TRUE),  "",  INDEX(ConformanceSubstrates!C2:C9, MATCH(D556,ConformanceSubstrates!A2:A9, 0))), "")</f>
        <v>TypeScript</v>
      </c>
      <c r="R556" s="4" t="str">
        <f>_xlfn.IFNA(IF(((INDEX(RulebookTables!F2:F93, MATCH(E556,RulebookTables!A2:A93, 0))="")=TRUE),  "",  INDEX(RulebookTables!F2:F93, MATCH(E556,RulebookTables!A2:A93, 0))), "")</f>
        <v>specification</v>
      </c>
      <c r="S556" s="3" t="s">
        <v>1918</v>
      </c>
    </row>
    <row r="557">
      <c r="A557" s="3" t="s">
        <v>14660</v>
      </c>
      <c r="B557" s="4" t="str">
        <f>_xlfn.CONCAT(D557, " / ", E557)</f>
        <v>effortless-typescript / StepTools</v>
      </c>
      <c r="C557" s="3" t="s">
        <v>14074</v>
      </c>
      <c r="D557" s="3" t="s">
        <v>14041</v>
      </c>
      <c r="E557" s="3" t="s">
        <v>3040</v>
      </c>
      <c r="F557" s="3">
        <v>10</v>
      </c>
      <c r="G557" s="3">
        <v>1</v>
      </c>
      <c r="H557" s="3">
        <v>10</v>
      </c>
      <c r="I557" s="3">
        <v>10</v>
      </c>
      <c r="J557" s="3" t="b">
        <v>0</v>
      </c>
      <c r="K557" s="4">
        <f>H557 - I557</f>
        <v>0</v>
      </c>
      <c r="L557" s="4">
        <f>IF(((H557 = 0)=TRUE),  0,  ROUND(100 * I557 / H557, 2))</f>
        <v>100</v>
      </c>
      <c r="M557" s="4" t="b">
        <f>K557 = 0</f>
        <v>1</v>
      </c>
      <c r="N557" s="4" t="str">
        <f>IF(((M557)=TRUE),  "",  D557)</f>
      </c>
      <c r="O557" s="4" t="str">
        <f>IF(((M557)=TRUE),  "",  E557)</f>
      </c>
      <c r="P557" s="4">
        <f>COUNTIFS(FieldDisagreements!E2:E50, A557)</f>
        <v>0</v>
      </c>
      <c r="Q557" s="4" t="str">
        <f>_xlfn.IFNA(IF(((INDEX(ConformanceSubstrates!C2:C9, MATCH(D557,ConformanceSubstrates!A2:A9, 0))="")=TRUE),  "",  INDEX(ConformanceSubstrates!C2:C9, MATCH(D557,ConformanceSubstrates!A2:A9, 0))), "")</f>
        <v>TypeScript</v>
      </c>
      <c r="R557" s="4" t="str">
        <f>_xlfn.IFNA(IF(((INDEX(RulebookTables!F2:F93, MATCH(E557,RulebookTables!A2:A93, 0))="")=TRUE),  "",  INDEX(RulebookTables!F2:F93, MATCH(E557,RulebookTables!A2:A93, 0))), "")</f>
        <v>specification</v>
      </c>
      <c r="S557" s="3" t="s">
        <v>1918</v>
      </c>
    </row>
    <row r="558">
      <c r="A558" s="3" t="s">
        <v>14661</v>
      </c>
      <c r="B558" s="4" t="str">
        <f>_xlfn.CONCAT(D558, " / ", E558)</f>
        <v>effortless-typescript / Requirements</v>
      </c>
      <c r="C558" s="3" t="s">
        <v>14074</v>
      </c>
      <c r="D558" s="3" t="s">
        <v>14041</v>
      </c>
      <c r="E558" s="3" t="s">
        <v>1805</v>
      </c>
      <c r="F558" s="3">
        <v>13</v>
      </c>
      <c r="G558" s="3">
        <v>31</v>
      </c>
      <c r="H558" s="3">
        <v>403</v>
      </c>
      <c r="I558" s="3">
        <v>403</v>
      </c>
      <c r="J558" s="3" t="b">
        <v>0</v>
      </c>
      <c r="K558" s="4">
        <f>H558 - I558</f>
        <v>0</v>
      </c>
      <c r="L558" s="4">
        <f>IF(((H558 = 0)=TRUE),  0,  ROUND(100 * I558 / H558, 2))</f>
        <v>100</v>
      </c>
      <c r="M558" s="4" t="b">
        <f>K558 = 0</f>
        <v>1</v>
      </c>
      <c r="N558" s="4" t="str">
        <f>IF(((M558)=TRUE),  "",  D558)</f>
      </c>
      <c r="O558" s="4" t="str">
        <f>IF(((M558)=TRUE),  "",  E558)</f>
      </c>
      <c r="P558" s="4">
        <f>COUNTIFS(FieldDisagreements!E2:E50, A558)</f>
        <v>0</v>
      </c>
      <c r="Q558" s="4" t="str">
        <f>_xlfn.IFNA(IF(((INDEX(ConformanceSubstrates!C2:C9, MATCH(D558,ConformanceSubstrates!A2:A9, 0))="")=TRUE),  "",  INDEX(ConformanceSubstrates!C2:C9, MATCH(D558,ConformanceSubstrates!A2:A9, 0))), "")</f>
        <v>TypeScript</v>
      </c>
      <c r="R558" s="4" t="str">
        <f>_xlfn.IFNA(IF(((INDEX(RulebookTables!F2:F93, MATCH(E558,RulebookTables!A2:A93, 0))="")=TRUE),  "",  INDEX(RulebookTables!F2:F93, MATCH(E558,RulebookTables!A2:A93, 0))), "")</f>
        <v>governance</v>
      </c>
      <c r="S558" s="3" t="s">
        <v>1918</v>
      </c>
    </row>
    <row r="559">
      <c r="A559" s="3" t="s">
        <v>14662</v>
      </c>
      <c r="B559" s="4" t="str">
        <f>_xlfn.CONCAT(D559, " / ", E559)</f>
        <v>effortless-typescript / StepRequirements</v>
      </c>
      <c r="C559" s="3" t="s">
        <v>14074</v>
      </c>
      <c r="D559" s="3" t="s">
        <v>14041</v>
      </c>
      <c r="E559" s="3" t="s">
        <v>3119</v>
      </c>
      <c r="F559" s="3">
        <v>15</v>
      </c>
      <c r="G559" s="3">
        <v>10</v>
      </c>
      <c r="H559" s="3">
        <v>150</v>
      </c>
      <c r="I559" s="3">
        <v>150</v>
      </c>
      <c r="J559" s="3" t="b">
        <v>0</v>
      </c>
      <c r="K559" s="4">
        <f>H559 - I559</f>
        <v>0</v>
      </c>
      <c r="L559" s="4">
        <f>IF(((H559 = 0)=TRUE),  0,  ROUND(100 * I559 / H559, 2))</f>
        <v>100</v>
      </c>
      <c r="M559" s="4" t="b">
        <f>K559 = 0</f>
        <v>1</v>
      </c>
      <c r="N559" s="4" t="str">
        <f>IF(((M559)=TRUE),  "",  D559)</f>
      </c>
      <c r="O559" s="4" t="str">
        <f>IF(((M559)=TRUE),  "",  E559)</f>
      </c>
      <c r="P559" s="4">
        <f>COUNTIFS(FieldDisagreements!E2:E50, A559)</f>
        <v>0</v>
      </c>
      <c r="Q559" s="4" t="str">
        <f>_xlfn.IFNA(IF(((INDEX(ConformanceSubstrates!C2:C9, MATCH(D559,ConformanceSubstrates!A2:A9, 0))="")=TRUE),  "",  INDEX(ConformanceSubstrates!C2:C9, MATCH(D559,ConformanceSubstrates!A2:A9, 0))), "")</f>
        <v>TypeScript</v>
      </c>
      <c r="R559" s="4" t="str">
        <f>_xlfn.IFNA(IF(((INDEX(RulebookTables!F2:F93, MATCH(E559,RulebookTables!A2:A93, 0))="")=TRUE),  "",  INDEX(RulebookTables!F2:F93, MATCH(E559,RulebookTables!A2:A93, 0))), "")</f>
        <v>specification</v>
      </c>
      <c r="S559" s="3" t="s">
        <v>1918</v>
      </c>
    </row>
    <row r="560">
      <c r="A560" s="3" t="s">
        <v>14663</v>
      </c>
      <c r="B560" s="4" t="str">
        <f>_xlfn.CONCAT(D560, " / ", E560)</f>
        <v>effortless-typescript / StepVerifications</v>
      </c>
      <c r="C560" s="3" t="s">
        <v>14074</v>
      </c>
      <c r="D560" s="3" t="s">
        <v>14041</v>
      </c>
      <c r="E560" s="3" t="s">
        <v>1808</v>
      </c>
      <c r="F560" s="3">
        <v>11</v>
      </c>
      <c r="G560" s="3">
        <v>1</v>
      </c>
      <c r="H560" s="3">
        <v>11</v>
      </c>
      <c r="I560" s="3">
        <v>11</v>
      </c>
      <c r="J560" s="3" t="b">
        <v>0</v>
      </c>
      <c r="K560" s="4">
        <f>H560 - I560</f>
        <v>0</v>
      </c>
      <c r="L560" s="4">
        <f>IF(((H560 = 0)=TRUE),  0,  ROUND(100 * I560 / H560, 2))</f>
        <v>100</v>
      </c>
      <c r="M560" s="4" t="b">
        <f>K560 = 0</f>
        <v>1</v>
      </c>
      <c r="N560" s="4" t="str">
        <f>IF(((M560)=TRUE),  "",  D560)</f>
      </c>
      <c r="O560" s="4" t="str">
        <f>IF(((M560)=TRUE),  "",  E560)</f>
      </c>
      <c r="P560" s="4">
        <f>COUNTIFS(FieldDisagreements!E2:E50, A560)</f>
        <v>0</v>
      </c>
      <c r="Q560" s="4" t="str">
        <f>_xlfn.IFNA(IF(((INDEX(ConformanceSubstrates!C2:C9, MATCH(D560,ConformanceSubstrates!A2:A9, 0))="")=TRUE),  "",  INDEX(ConformanceSubstrates!C2:C9, MATCH(D560,ConformanceSubstrates!A2:A9, 0))), "")</f>
        <v>TypeScript</v>
      </c>
      <c r="R560" s="4" t="str">
        <f>_xlfn.IFNA(IF(((INDEX(RulebookTables!F2:F93, MATCH(E560,RulebookTables!A2:A93, 0))="")=TRUE),  "",  INDEX(RulebookTables!F2:F93, MATCH(E560,RulebookTables!A2:A93, 0))), "")</f>
        <v>specification</v>
      </c>
      <c r="S560" s="3" t="s">
        <v>1918</v>
      </c>
    </row>
    <row r="561">
      <c r="A561" s="3" t="s">
        <v>14664</v>
      </c>
      <c r="B561" s="4" t="str">
        <f>_xlfn.CONCAT(D561, " / ", E561)</f>
        <v>effortless-typescript / Rationales</v>
      </c>
      <c r="C561" s="3" t="s">
        <v>14074</v>
      </c>
      <c r="D561" s="3" t="s">
        <v>14041</v>
      </c>
      <c r="E561" s="3" t="s">
        <v>3151</v>
      </c>
      <c r="F561" s="3">
        <v>4</v>
      </c>
      <c r="G561" s="3">
        <v>1</v>
      </c>
      <c r="H561" s="3">
        <v>4</v>
      </c>
      <c r="I561" s="3">
        <v>4</v>
      </c>
      <c r="J561" s="3" t="b">
        <v>0</v>
      </c>
      <c r="K561" s="4">
        <f>H561 - I561</f>
        <v>0</v>
      </c>
      <c r="L561" s="4">
        <f>IF(((H561 = 0)=TRUE),  0,  ROUND(100 * I561 / H561, 2))</f>
        <v>100</v>
      </c>
      <c r="M561" s="4" t="b">
        <f>K561 = 0</f>
        <v>1</v>
      </c>
      <c r="N561" s="4" t="str">
        <f>IF(((M561)=TRUE),  "",  D561)</f>
      </c>
      <c r="O561" s="4" t="str">
        <f>IF(((M561)=TRUE),  "",  E561)</f>
      </c>
      <c r="P561" s="4">
        <f>COUNTIFS(FieldDisagreements!E2:E50, A561)</f>
        <v>0</v>
      </c>
      <c r="Q561" s="4" t="str">
        <f>_xlfn.IFNA(IF(((INDEX(ConformanceSubstrates!C2:C9, MATCH(D561,ConformanceSubstrates!A2:A9, 0))="")=TRUE),  "",  INDEX(ConformanceSubstrates!C2:C9, MATCH(D561,ConformanceSubstrates!A2:A9, 0))), "")</f>
        <v>TypeScript</v>
      </c>
      <c r="R561" s="4" t="str">
        <f>_xlfn.IFNA(IF(((INDEX(RulebookTables!F2:F93, MATCH(E561,RulebookTables!A2:A93, 0))="")=TRUE),  "",  INDEX(RulebookTables!F2:F93, MATCH(E561,RulebookTables!A2:A93, 0))), "")</f>
        <v>governance</v>
      </c>
      <c r="S561" s="3" t="s">
        <v>1918</v>
      </c>
    </row>
    <row r="562">
      <c r="A562" s="3" t="s">
        <v>14665</v>
      </c>
      <c r="B562" s="4" t="str">
        <f>_xlfn.CONCAT(D562, " / ", E562)</f>
        <v>effortless-typescript / Exceptions</v>
      </c>
      <c r="C562" s="3" t="s">
        <v>14074</v>
      </c>
      <c r="D562" s="3" t="s">
        <v>14041</v>
      </c>
      <c r="E562" s="3" t="s">
        <v>3161</v>
      </c>
      <c r="F562" s="3">
        <v>4</v>
      </c>
      <c r="G562" s="3">
        <v>2</v>
      </c>
      <c r="H562" s="3">
        <v>8</v>
      </c>
      <c r="I562" s="3">
        <v>8</v>
      </c>
      <c r="J562" s="3" t="b">
        <v>0</v>
      </c>
      <c r="K562" s="4">
        <f>H562 - I562</f>
        <v>0</v>
      </c>
      <c r="L562" s="4">
        <f>IF(((H562 = 0)=TRUE),  0,  ROUND(100 * I562 / H562, 2))</f>
        <v>100</v>
      </c>
      <c r="M562" s="4" t="b">
        <f>K562 = 0</f>
        <v>1</v>
      </c>
      <c r="N562" s="4" t="str">
        <f>IF(((M562)=TRUE),  "",  D562)</f>
      </c>
      <c r="O562" s="4" t="str">
        <f>IF(((M562)=TRUE),  "",  E562)</f>
      </c>
      <c r="P562" s="4">
        <f>COUNTIFS(FieldDisagreements!E2:E50, A562)</f>
        <v>0</v>
      </c>
      <c r="Q562" s="4" t="str">
        <f>_xlfn.IFNA(IF(((INDEX(ConformanceSubstrates!C2:C9, MATCH(D562,ConformanceSubstrates!A2:A9, 0))="")=TRUE),  "",  INDEX(ConformanceSubstrates!C2:C9, MATCH(D562,ConformanceSubstrates!A2:A9, 0))), "")</f>
        <v>TypeScript</v>
      </c>
      <c r="R562" s="4" t="str">
        <f>_xlfn.IFNA(IF(((INDEX(RulebookTables!F2:F93, MATCH(E562,RulebookTables!A2:A93, 0))="")=TRUE),  "",  INDEX(RulebookTables!F2:F93, MATCH(E562,RulebookTables!A2:A93, 0))), "")</f>
        <v>governance</v>
      </c>
      <c r="S562" s="3" t="s">
        <v>1918</v>
      </c>
    </row>
    <row r="563">
      <c r="A563" s="3" t="s">
        <v>14666</v>
      </c>
      <c r="B563" s="4" t="str">
        <f>_xlfn.CONCAT(D563, " / ", E563)</f>
        <v>effortless-typescript / Resources</v>
      </c>
      <c r="C563" s="3" t="s">
        <v>14074</v>
      </c>
      <c r="D563" s="3" t="s">
        <v>14041</v>
      </c>
      <c r="E563" s="3" t="s">
        <v>1811</v>
      </c>
      <c r="F563" s="3">
        <v>8</v>
      </c>
      <c r="G563" s="3">
        <v>2</v>
      </c>
      <c r="H563" s="3">
        <v>16</v>
      </c>
      <c r="I563" s="3">
        <v>16</v>
      </c>
      <c r="J563" s="3" t="b">
        <v>0</v>
      </c>
      <c r="K563" s="4">
        <f>H563 - I563</f>
        <v>0</v>
      </c>
      <c r="L563" s="4">
        <f>IF(((H563 = 0)=TRUE),  0,  ROUND(100 * I563 / H563, 2))</f>
        <v>100</v>
      </c>
      <c r="M563" s="4" t="b">
        <f>K563 = 0</f>
        <v>1</v>
      </c>
      <c r="N563" s="4" t="str">
        <f>IF(((M563)=TRUE),  "",  D563)</f>
      </c>
      <c r="O563" s="4" t="str">
        <f>IF(((M563)=TRUE),  "",  E563)</f>
      </c>
      <c r="P563" s="4">
        <f>COUNTIFS(FieldDisagreements!E2:E50, A563)</f>
        <v>0</v>
      </c>
      <c r="Q563" s="4" t="str">
        <f>_xlfn.IFNA(IF(((INDEX(ConformanceSubstrates!C2:C9, MATCH(D563,ConformanceSubstrates!A2:A9, 0))="")=TRUE),  "",  INDEX(ConformanceSubstrates!C2:C9, MATCH(D563,ConformanceSubstrates!A2:A9, 0))), "")</f>
        <v>TypeScript</v>
      </c>
      <c r="R563" s="4" t="str">
        <f>_xlfn.IFNA(IF(((INDEX(RulebookTables!F2:F93, MATCH(E563,RulebookTables!A2:A93, 0))="")=TRUE),  "",  INDEX(RulebookTables!F2:F93, MATCH(E563,RulebookTables!A2:A93, 0))), "")</f>
        <v>domain</v>
      </c>
      <c r="S563" s="3" t="s">
        <v>1918</v>
      </c>
    </row>
    <row r="564">
      <c r="A564" s="3" t="s">
        <v>14667</v>
      </c>
      <c r="B564" s="4" t="str">
        <f>_xlfn.CONCAT(D564, " / ", E564)</f>
        <v>effortless-typescript / ProcedureResources</v>
      </c>
      <c r="C564" s="3" t="s">
        <v>14074</v>
      </c>
      <c r="D564" s="3" t="s">
        <v>14041</v>
      </c>
      <c r="E564" s="3" t="s">
        <v>3187</v>
      </c>
      <c r="F564" s="3">
        <v>8</v>
      </c>
      <c r="G564" s="3">
        <v>2</v>
      </c>
      <c r="H564" s="3">
        <v>16</v>
      </c>
      <c r="I564" s="3">
        <v>16</v>
      </c>
      <c r="J564" s="3" t="b">
        <v>0</v>
      </c>
      <c r="K564" s="4">
        <f>H564 - I564</f>
        <v>0</v>
      </c>
      <c r="L564" s="4">
        <f>IF(((H564 = 0)=TRUE),  0,  ROUND(100 * I564 / H564, 2))</f>
        <v>100</v>
      </c>
      <c r="M564" s="4" t="b">
        <f>K564 = 0</f>
        <v>1</v>
      </c>
      <c r="N564" s="4" t="str">
        <f>IF(((M564)=TRUE),  "",  D564)</f>
      </c>
      <c r="O564" s="4" t="str">
        <f>IF(((M564)=TRUE),  "",  E564)</f>
      </c>
      <c r="P564" s="4">
        <f>COUNTIFS(FieldDisagreements!E2:E50, A564)</f>
        <v>0</v>
      </c>
      <c r="Q564" s="4" t="str">
        <f>_xlfn.IFNA(IF(((INDEX(ConformanceSubstrates!C2:C9, MATCH(D564,ConformanceSubstrates!A2:A9, 0))="")=TRUE),  "",  INDEX(ConformanceSubstrates!C2:C9, MATCH(D564,ConformanceSubstrates!A2:A9, 0))), "")</f>
        <v>TypeScript</v>
      </c>
      <c r="R564" s="4" t="str">
        <f>_xlfn.IFNA(IF(((INDEX(RulebookTables!F2:F93, MATCH(E564,RulebookTables!A2:A93, 0))="")=TRUE),  "",  INDEX(RulebookTables!F2:F93, MATCH(E564,RulebookTables!A2:A93, 0))), "")</f>
        <v>specification</v>
      </c>
      <c r="S564" s="3" t="s">
        <v>1918</v>
      </c>
    </row>
    <row r="565">
      <c r="A565" s="3" t="s">
        <v>14668</v>
      </c>
      <c r="B565" s="4" t="str">
        <f>_xlfn.CONCAT(D565, " / ", E565)</f>
        <v>effortless-typescript / ElicitationSessions</v>
      </c>
      <c r="C565" s="3" t="s">
        <v>14074</v>
      </c>
      <c r="D565" s="3" t="s">
        <v>14041</v>
      </c>
      <c r="E565" s="3" t="s">
        <v>1855</v>
      </c>
      <c r="F565" s="3">
        <v>3</v>
      </c>
      <c r="G565" s="3">
        <v>10</v>
      </c>
      <c r="H565" s="3">
        <v>30</v>
      </c>
      <c r="I565" s="3">
        <v>30</v>
      </c>
      <c r="J565" s="3" t="b">
        <v>0</v>
      </c>
      <c r="K565" s="4">
        <f>H565 - I565</f>
        <v>0</v>
      </c>
      <c r="L565" s="4">
        <f>IF(((H565 = 0)=TRUE),  0,  ROUND(100 * I565 / H565, 2))</f>
        <v>100</v>
      </c>
      <c r="M565" s="4" t="b">
        <f>K565 = 0</f>
        <v>1</v>
      </c>
      <c r="N565" s="4" t="str">
        <f>IF(((M565)=TRUE),  "",  D565)</f>
      </c>
      <c r="O565" s="4" t="str">
        <f>IF(((M565)=TRUE),  "",  E565)</f>
      </c>
      <c r="P565" s="4">
        <f>COUNTIFS(FieldDisagreements!E2:E50, A565)</f>
        <v>0</v>
      </c>
      <c r="Q565" s="4" t="str">
        <f>_xlfn.IFNA(IF(((INDEX(ConformanceSubstrates!C2:C9, MATCH(D565,ConformanceSubstrates!A2:A9, 0))="")=TRUE),  "",  INDEX(ConformanceSubstrates!C2:C9, MATCH(D565,ConformanceSubstrates!A2:A9, 0))), "")</f>
        <v>TypeScript</v>
      </c>
      <c r="R565" s="4" t="str">
        <f>_xlfn.IFNA(IF(((INDEX(RulebookTables!F2:F93, MATCH(E565,RulebookTables!A2:A93, 0))="")=TRUE),  "",  INDEX(RulebookTables!F2:F93, MATCH(E565,RulebookTables!A2:A93, 0))), "")</f>
        <v>knowledge</v>
      </c>
      <c r="S565" s="3" t="s">
        <v>1918</v>
      </c>
    </row>
    <row r="566">
      <c r="A566" s="3" t="s">
        <v>14669</v>
      </c>
      <c r="B566" s="4" t="str">
        <f>_xlfn.CONCAT(D566, " / ", E566)</f>
        <v>effortless-typescript / KnowledgeFragments</v>
      </c>
      <c r="C566" s="3" t="s">
        <v>14074</v>
      </c>
      <c r="D566" s="3" t="s">
        <v>14041</v>
      </c>
      <c r="E566" s="3" t="s">
        <v>1851</v>
      </c>
      <c r="F566" s="3">
        <v>7</v>
      </c>
      <c r="G566" s="3">
        <v>65</v>
      </c>
      <c r="H566" s="3">
        <v>455</v>
      </c>
      <c r="I566" s="3">
        <v>455</v>
      </c>
      <c r="J566" s="3" t="b">
        <v>0</v>
      </c>
      <c r="K566" s="4">
        <f>H566 - I566</f>
        <v>0</v>
      </c>
      <c r="L566" s="4">
        <f>IF(((H566 = 0)=TRUE),  0,  ROUND(100 * I566 / H566, 2))</f>
        <v>100</v>
      </c>
      <c r="M566" s="4" t="b">
        <f>K566 = 0</f>
        <v>1</v>
      </c>
      <c r="N566" s="4" t="str">
        <f>IF(((M566)=TRUE),  "",  D566)</f>
      </c>
      <c r="O566" s="4" t="str">
        <f>IF(((M566)=TRUE),  "",  E566)</f>
      </c>
      <c r="P566" s="4">
        <f>COUNTIFS(FieldDisagreements!E2:E50, A566)</f>
        <v>0</v>
      </c>
      <c r="Q566" s="4" t="str">
        <f>_xlfn.IFNA(IF(((INDEX(ConformanceSubstrates!C2:C9, MATCH(D566,ConformanceSubstrates!A2:A9, 0))="")=TRUE),  "",  INDEX(ConformanceSubstrates!C2:C9, MATCH(D566,ConformanceSubstrates!A2:A9, 0))), "")</f>
        <v>TypeScript</v>
      </c>
      <c r="R566" s="4" t="str">
        <f>_xlfn.IFNA(IF(((INDEX(RulebookTables!F2:F93, MATCH(E566,RulebookTables!A2:A93, 0))="")=TRUE),  "",  INDEX(RulebookTables!F2:F93, MATCH(E566,RulebookTables!A2:A93, 0))), "")</f>
        <v>knowledge</v>
      </c>
      <c r="S566" s="3" t="s">
        <v>1918</v>
      </c>
    </row>
    <row r="567">
      <c r="A567" s="3" t="s">
        <v>14670</v>
      </c>
      <c r="B567" s="4" t="str">
        <f>_xlfn.CONCAT(D567, " / ", E567)</f>
        <v>effortless-typescript / KnowledgeGaps</v>
      </c>
      <c r="C567" s="3" t="s">
        <v>14074</v>
      </c>
      <c r="D567" s="3" t="s">
        <v>14041</v>
      </c>
      <c r="E567" s="3" t="s">
        <v>3368</v>
      </c>
      <c r="F567" s="3">
        <v>8</v>
      </c>
      <c r="G567" s="3">
        <v>16</v>
      </c>
      <c r="H567" s="3">
        <v>128</v>
      </c>
      <c r="I567" s="3">
        <v>128</v>
      </c>
      <c r="J567" s="3" t="b">
        <v>0</v>
      </c>
      <c r="K567" s="4">
        <f>H567 - I567</f>
        <v>0</v>
      </c>
      <c r="L567" s="4">
        <f>IF(((H567 = 0)=TRUE),  0,  ROUND(100 * I567 / H567, 2))</f>
        <v>100</v>
      </c>
      <c r="M567" s="4" t="b">
        <f>K567 = 0</f>
        <v>1</v>
      </c>
      <c r="N567" s="4" t="str">
        <f>IF(((M567)=TRUE),  "",  D567)</f>
      </c>
      <c r="O567" s="4" t="str">
        <f>IF(((M567)=TRUE),  "",  E567)</f>
      </c>
      <c r="P567" s="4">
        <f>COUNTIFS(FieldDisagreements!E2:E50, A567)</f>
        <v>0</v>
      </c>
      <c r="Q567" s="4" t="str">
        <f>_xlfn.IFNA(IF(((INDEX(ConformanceSubstrates!C2:C9, MATCH(D567,ConformanceSubstrates!A2:A9, 0))="")=TRUE),  "",  INDEX(ConformanceSubstrates!C2:C9, MATCH(D567,ConformanceSubstrates!A2:A9, 0))), "")</f>
        <v>TypeScript</v>
      </c>
      <c r="R567" s="4" t="str">
        <f>_xlfn.IFNA(IF(((INDEX(RulebookTables!F2:F93, MATCH(E567,RulebookTables!A2:A93, 0))="")=TRUE),  "",  INDEX(RulebookTables!F2:F93, MATCH(E567,RulebookTables!A2:A93, 0))), "")</f>
        <v>knowledge</v>
      </c>
      <c r="S567" s="3" t="s">
        <v>1918</v>
      </c>
    </row>
    <row r="568">
      <c r="A568" s="3" t="s">
        <v>14671</v>
      </c>
      <c r="B568" s="4" t="str">
        <f>_xlfn.CONCAT(D568, " / ", E568)</f>
        <v>effortless-typescript / FAQs</v>
      </c>
      <c r="C568" s="3" t="s">
        <v>14074</v>
      </c>
      <c r="D568" s="3" t="s">
        <v>14041</v>
      </c>
      <c r="E568" s="3" t="s">
        <v>1845</v>
      </c>
      <c r="F568" s="3">
        <v>3</v>
      </c>
      <c r="G568" s="3">
        <v>1</v>
      </c>
      <c r="H568" s="3">
        <v>3</v>
      </c>
      <c r="I568" s="3">
        <v>3</v>
      </c>
      <c r="J568" s="3" t="b">
        <v>0</v>
      </c>
      <c r="K568" s="4">
        <f>H568 - I568</f>
        <v>0</v>
      </c>
      <c r="L568" s="4">
        <f>IF(((H568 = 0)=TRUE),  0,  ROUND(100 * I568 / H568, 2))</f>
        <v>100</v>
      </c>
      <c r="M568" s="4" t="b">
        <f>K568 = 0</f>
        <v>1</v>
      </c>
      <c r="N568" s="4" t="str">
        <f>IF(((M568)=TRUE),  "",  D568)</f>
      </c>
      <c r="O568" s="4" t="str">
        <f>IF(((M568)=TRUE),  "",  E568)</f>
      </c>
      <c r="P568" s="4">
        <f>COUNTIFS(FieldDisagreements!E2:E50, A568)</f>
        <v>0</v>
      </c>
      <c r="Q568" s="4" t="str">
        <f>_xlfn.IFNA(IF(((INDEX(ConformanceSubstrates!C2:C9, MATCH(D568,ConformanceSubstrates!A2:A9, 0))="")=TRUE),  "",  INDEX(ConformanceSubstrates!C2:C9, MATCH(D568,ConformanceSubstrates!A2:A9, 0))), "")</f>
        <v>TypeScript</v>
      </c>
      <c r="R568" s="4" t="str">
        <f>_xlfn.IFNA(IF(((INDEX(RulebookTables!F2:F93, MATCH(E568,RulebookTables!A2:A93, 0))="")=TRUE),  "",  INDEX(RulebookTables!F2:F93, MATCH(E568,RulebookTables!A2:A93, 0))), "")</f>
        <v>knowledge</v>
      </c>
      <c r="S568" s="3" t="s">
        <v>1918</v>
      </c>
    </row>
    <row r="569">
      <c r="A569" s="3" t="s">
        <v>14672</v>
      </c>
      <c r="B569" s="4" t="str">
        <f>_xlfn.CONCAT(D569, " / ", E569)</f>
        <v>effortless-typescript / Explanations</v>
      </c>
      <c r="C569" s="3" t="s">
        <v>14074</v>
      </c>
      <c r="D569" s="3" t="s">
        <v>14041</v>
      </c>
      <c r="E569" s="3" t="s">
        <v>1848</v>
      </c>
      <c r="F569" s="3">
        <v>2</v>
      </c>
      <c r="G569" s="3">
        <v>1</v>
      </c>
      <c r="H569" s="3">
        <v>2</v>
      </c>
      <c r="I569" s="3">
        <v>2</v>
      </c>
      <c r="J569" s="3" t="b">
        <v>0</v>
      </c>
      <c r="K569" s="4">
        <f>H569 - I569</f>
        <v>0</v>
      </c>
      <c r="L569" s="4">
        <f>IF(((H569 = 0)=TRUE),  0,  ROUND(100 * I569 / H569, 2))</f>
        <v>100</v>
      </c>
      <c r="M569" s="4" t="b">
        <f>K569 = 0</f>
        <v>1</v>
      </c>
      <c r="N569" s="4" t="str">
        <f>IF(((M569)=TRUE),  "",  D569)</f>
      </c>
      <c r="O569" s="4" t="str">
        <f>IF(((M569)=TRUE),  "",  E569)</f>
      </c>
      <c r="P569" s="4">
        <f>COUNTIFS(FieldDisagreements!E2:E50, A569)</f>
        <v>0</v>
      </c>
      <c r="Q569" s="4" t="str">
        <f>_xlfn.IFNA(IF(((INDEX(ConformanceSubstrates!C2:C9, MATCH(D569,ConformanceSubstrates!A2:A9, 0))="")=TRUE),  "",  INDEX(ConformanceSubstrates!C2:C9, MATCH(D569,ConformanceSubstrates!A2:A9, 0))), "")</f>
        <v>TypeScript</v>
      </c>
      <c r="R569" s="4" t="str">
        <f>_xlfn.IFNA(IF(((INDEX(RulebookTables!F2:F93, MATCH(E569,RulebookTables!A2:A93, 0))="")=TRUE),  "",  INDEX(RulebookTables!F2:F93, MATCH(E569,RulebookTables!A2:A93, 0))), "")</f>
        <v>knowledge</v>
      </c>
      <c r="S569" s="3" t="s">
        <v>1918</v>
      </c>
    </row>
    <row r="570">
      <c r="A570" s="3" t="s">
        <v>14673</v>
      </c>
      <c r="B570" s="4" t="str">
        <f>_xlfn.CONCAT(D570, " / ", E570)</f>
        <v>effortless-typescript / ProcedureExecutions</v>
      </c>
      <c r="C570" s="3" t="s">
        <v>14074</v>
      </c>
      <c r="D570" s="3" t="s">
        <v>14041</v>
      </c>
      <c r="E570" s="3" t="s">
        <v>1824</v>
      </c>
      <c r="F570" s="3">
        <v>2</v>
      </c>
      <c r="G570" s="3">
        <v>69</v>
      </c>
      <c r="H570" s="3">
        <v>138</v>
      </c>
      <c r="I570" s="3">
        <v>138</v>
      </c>
      <c r="J570" s="3" t="b">
        <v>0</v>
      </c>
      <c r="K570" s="4">
        <f>H570 - I570</f>
        <v>0</v>
      </c>
      <c r="L570" s="4">
        <f>IF(((H570 = 0)=TRUE),  0,  ROUND(100 * I570 / H570, 2))</f>
        <v>100</v>
      </c>
      <c r="M570" s="4" t="b">
        <f>K570 = 0</f>
        <v>1</v>
      </c>
      <c r="N570" s="4" t="str">
        <f>IF(((M570)=TRUE),  "",  D570)</f>
      </c>
      <c r="O570" s="4" t="str">
        <f>IF(((M570)=TRUE),  "",  E570)</f>
      </c>
      <c r="P570" s="4">
        <f>COUNTIFS(FieldDisagreements!E2:E50, A570)</f>
        <v>0</v>
      </c>
      <c r="Q570" s="4" t="str">
        <f>_xlfn.IFNA(IF(((INDEX(ConformanceSubstrates!C2:C9, MATCH(D570,ConformanceSubstrates!A2:A9, 0))="")=TRUE),  "",  INDEX(ConformanceSubstrates!C2:C9, MATCH(D570,ConformanceSubstrates!A2:A9, 0))), "")</f>
        <v>TypeScript</v>
      </c>
      <c r="R570" s="4" t="str">
        <f>_xlfn.IFNA(IF(((INDEX(RulebookTables!F2:F93, MATCH(E570,RulebookTables!A2:A93, 0))="")=TRUE),  "",  INDEX(RulebookTables!F2:F93, MATCH(E570,RulebookTables!A2:A93, 0))), "")</f>
        <v>specification</v>
      </c>
      <c r="S570" s="3" t="s">
        <v>1918</v>
      </c>
    </row>
    <row r="571">
      <c r="A571" s="3" t="s">
        <v>14674</v>
      </c>
      <c r="B571" s="4" t="str">
        <f>_xlfn.CONCAT(D571, " / ", E571)</f>
        <v>effortless-typescript / StepExecutions</v>
      </c>
      <c r="C571" s="3" t="s">
        <v>14074</v>
      </c>
      <c r="D571" s="3" t="s">
        <v>14041</v>
      </c>
      <c r="E571" s="3" t="s">
        <v>1827</v>
      </c>
      <c r="F571" s="3">
        <v>12</v>
      </c>
      <c r="G571" s="3">
        <v>99</v>
      </c>
      <c r="H571" s="3">
        <v>1188</v>
      </c>
      <c r="I571" s="3">
        <v>1188</v>
      </c>
      <c r="J571" s="3" t="b">
        <v>0</v>
      </c>
      <c r="K571" s="4">
        <f>H571 - I571</f>
        <v>0</v>
      </c>
      <c r="L571" s="4">
        <f>IF(((H571 = 0)=TRUE),  0,  ROUND(100 * I571 / H571, 2))</f>
        <v>100</v>
      </c>
      <c r="M571" s="4" t="b">
        <f>K571 = 0</f>
        <v>1</v>
      </c>
      <c r="N571" s="4" t="str">
        <f>IF(((M571)=TRUE),  "",  D571)</f>
      </c>
      <c r="O571" s="4" t="str">
        <f>IF(((M571)=TRUE),  "",  E571)</f>
      </c>
      <c r="P571" s="4">
        <f>COUNTIFS(FieldDisagreements!E2:E50, A571)</f>
        <v>0</v>
      </c>
      <c r="Q571" s="4" t="str">
        <f>_xlfn.IFNA(IF(((INDEX(ConformanceSubstrates!C2:C9, MATCH(D571,ConformanceSubstrates!A2:A9, 0))="")=TRUE),  "",  INDEX(ConformanceSubstrates!C2:C9, MATCH(D571,ConformanceSubstrates!A2:A9, 0))), "")</f>
        <v>TypeScript</v>
      </c>
      <c r="R571" s="4" t="str">
        <f>_xlfn.IFNA(IF(((INDEX(RulebookTables!F2:F93, MATCH(E571,RulebookTables!A2:A93, 0))="")=TRUE),  "",  INDEX(RulebookTables!F2:F93, MATCH(E571,RulebookTables!A2:A93, 0))), "")</f>
        <v>specification</v>
      </c>
      <c r="S571" s="3" t="s">
        <v>1918</v>
      </c>
    </row>
    <row r="572">
      <c r="A572" s="3" t="s">
        <v>14675</v>
      </c>
      <c r="B572" s="4" t="str">
        <f>_xlfn.CONCAT(D572, " / ", E572)</f>
        <v>effortless-typescript / RequirementSatisfactions</v>
      </c>
      <c r="C572" s="3" t="s">
        <v>14074</v>
      </c>
      <c r="D572" s="3" t="s">
        <v>14041</v>
      </c>
      <c r="E572" s="3" t="s">
        <v>1830</v>
      </c>
      <c r="F572" s="3">
        <v>8</v>
      </c>
      <c r="G572" s="3">
        <v>38</v>
      </c>
      <c r="H572" s="3">
        <v>304</v>
      </c>
      <c r="I572" s="3">
        <v>304</v>
      </c>
      <c r="J572" s="3" t="b">
        <v>0</v>
      </c>
      <c r="K572" s="4">
        <f>H572 - I572</f>
        <v>0</v>
      </c>
      <c r="L572" s="4">
        <f>IF(((H572 = 0)=TRUE),  0,  ROUND(100 * I572 / H572, 2))</f>
        <v>100</v>
      </c>
      <c r="M572" s="4" t="b">
        <f>K572 = 0</f>
        <v>1</v>
      </c>
      <c r="N572" s="4" t="str">
        <f>IF(((M572)=TRUE),  "",  D572)</f>
      </c>
      <c r="O572" s="4" t="str">
        <f>IF(((M572)=TRUE),  "",  E572)</f>
      </c>
      <c r="P572" s="4">
        <f>COUNTIFS(FieldDisagreements!E2:E50, A572)</f>
        <v>0</v>
      </c>
      <c r="Q572" s="4" t="str">
        <f>_xlfn.IFNA(IF(((INDEX(ConformanceSubstrates!C2:C9, MATCH(D572,ConformanceSubstrates!A2:A9, 0))="")=TRUE),  "",  INDEX(ConformanceSubstrates!C2:C9, MATCH(D572,ConformanceSubstrates!A2:A9, 0))), "")</f>
        <v>TypeScript</v>
      </c>
      <c r="R572" s="4" t="str">
        <f>_xlfn.IFNA(IF(((INDEX(RulebookTables!F2:F93, MATCH(E572,RulebookTables!A2:A93, 0))="")=TRUE),  "",  INDEX(RulebookTables!F2:F93, MATCH(E572,RulebookTables!A2:A93, 0))), "")</f>
        <v>execution</v>
      </c>
      <c r="S572" s="3" t="s">
        <v>1918</v>
      </c>
    </row>
    <row r="573">
      <c r="A573" s="3" t="s">
        <v>14676</v>
      </c>
      <c r="B573" s="4" t="str">
        <f>_xlfn.CONCAT(D573, " / ", E573)</f>
        <v>effortless-typescript / Errors</v>
      </c>
      <c r="C573" s="3" t="s">
        <v>14074</v>
      </c>
      <c r="D573" s="3" t="s">
        <v>14041</v>
      </c>
      <c r="E573" s="3" t="s">
        <v>1833</v>
      </c>
      <c r="F573" s="3">
        <v>2</v>
      </c>
      <c r="G573" s="3">
        <v>1</v>
      </c>
      <c r="H573" s="3">
        <v>2</v>
      </c>
      <c r="I573" s="3">
        <v>2</v>
      </c>
      <c r="J573" s="3" t="b">
        <v>0</v>
      </c>
      <c r="K573" s="4">
        <f>H573 - I573</f>
        <v>0</v>
      </c>
      <c r="L573" s="4">
        <f>IF(((H573 = 0)=TRUE),  0,  ROUND(100 * I573 / H573, 2))</f>
        <v>100</v>
      </c>
      <c r="M573" s="4" t="b">
        <f>K573 = 0</f>
        <v>1</v>
      </c>
      <c r="N573" s="4" t="str">
        <f>IF(((M573)=TRUE),  "",  D573)</f>
      </c>
      <c r="O573" s="4" t="str">
        <f>IF(((M573)=TRUE),  "",  E573)</f>
      </c>
      <c r="P573" s="4">
        <f>COUNTIFS(FieldDisagreements!E2:E50, A573)</f>
        <v>0</v>
      </c>
      <c r="Q573" s="4" t="str">
        <f>_xlfn.IFNA(IF(((INDEX(ConformanceSubstrates!C2:C9, MATCH(D573,ConformanceSubstrates!A2:A9, 0))="")=TRUE),  "",  INDEX(ConformanceSubstrates!C2:C9, MATCH(D573,ConformanceSubstrates!A2:A9, 0))), "")</f>
        <v>TypeScript</v>
      </c>
      <c r="R573" s="4" t="str">
        <f>_xlfn.IFNA(IF(((INDEX(RulebookTables!F2:F93, MATCH(E573,RulebookTables!A2:A93, 0))="")=TRUE),  "",  INDEX(RulebookTables!F2:F93, MATCH(E573,RulebookTables!A2:A93, 0))), "")</f>
        <v>execution</v>
      </c>
      <c r="S573" s="3" t="s">
        <v>1918</v>
      </c>
    </row>
    <row r="574">
      <c r="A574" s="3" t="s">
        <v>14677</v>
      </c>
      <c r="B574" s="4" t="str">
        <f>_xlfn.CONCAT(D574, " / ", E574)</f>
        <v>effortless-typescript / IssueOccurrences</v>
      </c>
      <c r="C574" s="3" t="s">
        <v>14074</v>
      </c>
      <c r="D574" s="3" t="s">
        <v>14041</v>
      </c>
      <c r="E574" s="3" t="s">
        <v>1836</v>
      </c>
      <c r="F574" s="3">
        <v>2</v>
      </c>
      <c r="G574" s="3">
        <v>3</v>
      </c>
      <c r="H574" s="3">
        <v>6</v>
      </c>
      <c r="I574" s="3">
        <v>6</v>
      </c>
      <c r="J574" s="3" t="b">
        <v>0</v>
      </c>
      <c r="K574" s="4">
        <f>H574 - I574</f>
        <v>0</v>
      </c>
      <c r="L574" s="4">
        <f>IF(((H574 = 0)=TRUE),  0,  ROUND(100 * I574 / H574, 2))</f>
        <v>100</v>
      </c>
      <c r="M574" s="4" t="b">
        <f>K574 = 0</f>
        <v>1</v>
      </c>
      <c r="N574" s="4" t="str">
        <f>IF(((M574)=TRUE),  "",  D574)</f>
      </c>
      <c r="O574" s="4" t="str">
        <f>IF(((M574)=TRUE),  "",  E574)</f>
      </c>
      <c r="P574" s="4">
        <f>COUNTIFS(FieldDisagreements!E2:E50, A574)</f>
        <v>0</v>
      </c>
      <c r="Q574" s="4" t="str">
        <f>_xlfn.IFNA(IF(((INDEX(ConformanceSubstrates!C2:C9, MATCH(D574,ConformanceSubstrates!A2:A9, 0))="")=TRUE),  "",  INDEX(ConformanceSubstrates!C2:C9, MATCH(D574,ConformanceSubstrates!A2:A9, 0))), "")</f>
        <v>TypeScript</v>
      </c>
      <c r="R574" s="4" t="str">
        <f>_xlfn.IFNA(IF(((INDEX(RulebookTables!F2:F93, MATCH(E574,RulebookTables!A2:A93, 0))="")=TRUE),  "",  INDEX(RulebookTables!F2:F93, MATCH(E574,RulebookTables!A2:A93, 0))), "")</f>
        <v>execution</v>
      </c>
      <c r="S574" s="3" t="s">
        <v>1918</v>
      </c>
    </row>
    <row r="575">
      <c r="A575" s="3" t="s">
        <v>14678</v>
      </c>
      <c r="B575" s="4" t="str">
        <f>_xlfn.CONCAT(D575, " / ", E575)</f>
        <v>effortless-typescript / UserQuestions</v>
      </c>
      <c r="C575" s="3" t="s">
        <v>14074</v>
      </c>
      <c r="D575" s="3" t="s">
        <v>14041</v>
      </c>
      <c r="E575" s="3" t="s">
        <v>1839</v>
      </c>
      <c r="F575" s="3">
        <v>2</v>
      </c>
      <c r="G575" s="3">
        <v>1</v>
      </c>
      <c r="H575" s="3">
        <v>2</v>
      </c>
      <c r="I575" s="3">
        <v>2</v>
      </c>
      <c r="J575" s="3" t="b">
        <v>0</v>
      </c>
      <c r="K575" s="4">
        <f>H575 - I575</f>
        <v>0</v>
      </c>
      <c r="L575" s="4">
        <f>IF(((H575 = 0)=TRUE),  0,  ROUND(100 * I575 / H575, 2))</f>
        <v>100</v>
      </c>
      <c r="M575" s="4" t="b">
        <f>K575 = 0</f>
        <v>1</v>
      </c>
      <c r="N575" s="4" t="str">
        <f>IF(((M575)=TRUE),  "",  D575)</f>
      </c>
      <c r="O575" s="4" t="str">
        <f>IF(((M575)=TRUE),  "",  E575)</f>
      </c>
      <c r="P575" s="4">
        <f>COUNTIFS(FieldDisagreements!E2:E50, A575)</f>
        <v>0</v>
      </c>
      <c r="Q575" s="4" t="str">
        <f>_xlfn.IFNA(IF(((INDEX(ConformanceSubstrates!C2:C9, MATCH(D575,ConformanceSubstrates!A2:A9, 0))="")=TRUE),  "",  INDEX(ConformanceSubstrates!C2:C9, MATCH(D575,ConformanceSubstrates!A2:A9, 0))), "")</f>
        <v>TypeScript</v>
      </c>
      <c r="R575" s="4" t="str">
        <f>_xlfn.IFNA(IF(((INDEX(RulebookTables!F2:F93, MATCH(E575,RulebookTables!A2:A93, 0))="")=TRUE),  "",  INDEX(RulebookTables!F2:F93, MATCH(E575,RulebookTables!A2:A93, 0))), "")</f>
        <v>domain</v>
      </c>
      <c r="S575" s="3" t="s">
        <v>1918</v>
      </c>
    </row>
    <row r="576">
      <c r="A576" s="3" t="s">
        <v>14679</v>
      </c>
      <c r="B576" s="4" t="str">
        <f>_xlfn.CONCAT(D576, " / ", E576)</f>
        <v>effortless-typescript / UserFeedback</v>
      </c>
      <c r="C576" s="3" t="s">
        <v>14074</v>
      </c>
      <c r="D576" s="3" t="s">
        <v>14041</v>
      </c>
      <c r="E576" s="3" t="s">
        <v>1842</v>
      </c>
      <c r="F576" s="3">
        <v>2</v>
      </c>
      <c r="G576" s="3">
        <v>1</v>
      </c>
      <c r="H576" s="3">
        <v>2</v>
      </c>
      <c r="I576" s="3">
        <v>2</v>
      </c>
      <c r="J576" s="3" t="b">
        <v>0</v>
      </c>
      <c r="K576" s="4">
        <f>H576 - I576</f>
        <v>0</v>
      </c>
      <c r="L576" s="4">
        <f>IF(((H576 = 0)=TRUE),  0,  ROUND(100 * I576 / H576, 2))</f>
        <v>100</v>
      </c>
      <c r="M576" s="4" t="b">
        <f>K576 = 0</f>
        <v>1</v>
      </c>
      <c r="N576" s="4" t="str">
        <f>IF(((M576)=TRUE),  "",  D576)</f>
      </c>
      <c r="O576" s="4" t="str">
        <f>IF(((M576)=TRUE),  "",  E576)</f>
      </c>
      <c r="P576" s="4">
        <f>COUNTIFS(FieldDisagreements!E2:E50, A576)</f>
        <v>0</v>
      </c>
      <c r="Q576" s="4" t="str">
        <f>_xlfn.IFNA(IF(((INDEX(ConformanceSubstrates!C2:C9, MATCH(D576,ConformanceSubstrates!A2:A9, 0))="")=TRUE),  "",  INDEX(ConformanceSubstrates!C2:C9, MATCH(D576,ConformanceSubstrates!A2:A9, 0))), "")</f>
        <v>TypeScript</v>
      </c>
      <c r="R576" s="4" t="str">
        <f>_xlfn.IFNA(IF(((INDEX(RulebookTables!F2:F93, MATCH(E576,RulebookTables!A2:A93, 0))="")=TRUE),  "",  INDEX(RulebookTables!F2:F93, MATCH(E576,RulebookTables!A2:A93, 0))), "")</f>
        <v>domain</v>
      </c>
      <c r="S576" s="3" t="s">
        <v>1918</v>
      </c>
    </row>
    <row r="577">
      <c r="A577" s="3" t="s">
        <v>14680</v>
      </c>
      <c r="B577" s="4" t="str">
        <f>_xlfn.CONCAT(D577, " / ", E577)</f>
        <v>effortless-typescript / StewardshipAssignments</v>
      </c>
      <c r="C577" s="3" t="s">
        <v>14074</v>
      </c>
      <c r="D577" s="3" t="s">
        <v>14041</v>
      </c>
      <c r="E577" s="3" t="s">
        <v>1859</v>
      </c>
      <c r="F577" s="3">
        <v>2</v>
      </c>
      <c r="G577" s="3">
        <v>5</v>
      </c>
      <c r="H577" s="3">
        <v>10</v>
      </c>
      <c r="I577" s="3">
        <v>10</v>
      </c>
      <c r="J577" s="3" t="b">
        <v>0</v>
      </c>
      <c r="K577" s="4">
        <f>H577 - I577</f>
        <v>0</v>
      </c>
      <c r="L577" s="4">
        <f>IF(((H577 = 0)=TRUE),  0,  ROUND(100 * I577 / H577, 2))</f>
        <v>100</v>
      </c>
      <c r="M577" s="4" t="b">
        <f>K577 = 0</f>
        <v>1</v>
      </c>
      <c r="N577" s="4" t="str">
        <f>IF(((M577)=TRUE),  "",  D577)</f>
      </c>
      <c r="O577" s="4" t="str">
        <f>IF(((M577)=TRUE),  "",  E577)</f>
      </c>
      <c r="P577" s="4">
        <f>COUNTIFS(FieldDisagreements!E2:E50, A577)</f>
        <v>0</v>
      </c>
      <c r="Q577" s="4" t="str">
        <f>_xlfn.IFNA(IF(((INDEX(ConformanceSubstrates!C2:C9, MATCH(D577,ConformanceSubstrates!A2:A9, 0))="")=TRUE),  "",  INDEX(ConformanceSubstrates!C2:C9, MATCH(D577,ConformanceSubstrates!A2:A9, 0))), "")</f>
        <v>TypeScript</v>
      </c>
      <c r="R577" s="4" t="str">
        <f>_xlfn.IFNA(IF(((INDEX(RulebookTables!F2:F93, MATCH(E577,RulebookTables!A2:A93, 0))="")=TRUE),  "",  INDEX(RulebookTables!F2:F93, MATCH(E577,RulebookTables!A2:A93, 0))), "")</f>
        <v>org</v>
      </c>
      <c r="S577" s="3" t="s">
        <v>1918</v>
      </c>
    </row>
    <row r="578">
      <c r="A578" s="3" t="s">
        <v>14681</v>
      </c>
      <c r="B578" s="4" t="str">
        <f>_xlfn.CONCAT(D578, " / ", E578)</f>
        <v>effortless-typescript / ChangeRequests</v>
      </c>
      <c r="C578" s="3" t="s">
        <v>14074</v>
      </c>
      <c r="D578" s="3" t="s">
        <v>14041</v>
      </c>
      <c r="E578" s="3" t="s">
        <v>3914</v>
      </c>
      <c r="F578" s="3">
        <v>2</v>
      </c>
      <c r="G578" s="3">
        <v>32</v>
      </c>
      <c r="H578" s="3">
        <v>64</v>
      </c>
      <c r="I578" s="3">
        <v>64</v>
      </c>
      <c r="J578" s="3" t="b">
        <v>0</v>
      </c>
      <c r="K578" s="4">
        <f>H578 - I578</f>
        <v>0</v>
      </c>
      <c r="L578" s="4">
        <f>IF(((H578 = 0)=TRUE),  0,  ROUND(100 * I578 / H578, 2))</f>
        <v>100</v>
      </c>
      <c r="M578" s="4" t="b">
        <f>K578 = 0</f>
        <v>1</v>
      </c>
      <c r="N578" s="4" t="str">
        <f>IF(((M578)=TRUE),  "",  D578)</f>
      </c>
      <c r="O578" s="4" t="str">
        <f>IF(((M578)=TRUE),  "",  E578)</f>
      </c>
      <c r="P578" s="4">
        <f>COUNTIFS(FieldDisagreements!E2:E50, A578)</f>
        <v>0</v>
      </c>
      <c r="Q578" s="4" t="str">
        <f>_xlfn.IFNA(IF(((INDEX(ConformanceSubstrates!C2:C9, MATCH(D578,ConformanceSubstrates!A2:A9, 0))="")=TRUE),  "",  INDEX(ConformanceSubstrates!C2:C9, MATCH(D578,ConformanceSubstrates!A2:A9, 0))), "")</f>
        <v>TypeScript</v>
      </c>
      <c r="R578" s="4" t="str">
        <f>_xlfn.IFNA(IF(((INDEX(RulebookTables!F2:F93, MATCH(E578,RulebookTables!A2:A93, 0))="")=TRUE),  "",  INDEX(RulebookTables!F2:F93, MATCH(E578,RulebookTables!A2:A93, 0))), "")</f>
        <v>domain</v>
      </c>
      <c r="S578" s="3" t="s">
        <v>1918</v>
      </c>
    </row>
    <row r="579">
      <c r="A579" s="3" t="s">
        <v>14682</v>
      </c>
      <c r="B579" s="4" t="str">
        <f>_xlfn.CONCAT(D579, " / ", E579)</f>
        <v>effortless-typescript / ReviewEvents</v>
      </c>
      <c r="C579" s="3" t="s">
        <v>14074</v>
      </c>
      <c r="D579" s="3" t="s">
        <v>14041</v>
      </c>
      <c r="E579" s="3" t="s">
        <v>3988</v>
      </c>
      <c r="F579" s="3">
        <v>3</v>
      </c>
      <c r="G579" s="3">
        <v>10</v>
      </c>
      <c r="H579" s="3">
        <v>30</v>
      </c>
      <c r="I579" s="3">
        <v>30</v>
      </c>
      <c r="J579" s="3" t="b">
        <v>0</v>
      </c>
      <c r="K579" s="4">
        <f>H579 - I579</f>
        <v>0</v>
      </c>
      <c r="L579" s="4">
        <f>IF(((H579 = 0)=TRUE),  0,  ROUND(100 * I579 / H579, 2))</f>
        <v>100</v>
      </c>
      <c r="M579" s="4" t="b">
        <f>K579 = 0</f>
        <v>1</v>
      </c>
      <c r="N579" s="4" t="str">
        <f>IF(((M579)=TRUE),  "",  D579)</f>
      </c>
      <c r="O579" s="4" t="str">
        <f>IF(((M579)=TRUE),  "",  E579)</f>
      </c>
      <c r="P579" s="4">
        <f>COUNTIFS(FieldDisagreements!E2:E50, A579)</f>
        <v>0</v>
      </c>
      <c r="Q579" s="4" t="str">
        <f>_xlfn.IFNA(IF(((INDEX(ConformanceSubstrates!C2:C9, MATCH(D579,ConformanceSubstrates!A2:A9, 0))="")=TRUE),  "",  INDEX(ConformanceSubstrates!C2:C9, MATCH(D579,ConformanceSubstrates!A2:A9, 0))), "")</f>
        <v>TypeScript</v>
      </c>
      <c r="R579" s="4" t="str">
        <f>_xlfn.IFNA(IF(((INDEX(RulebookTables!F2:F93, MATCH(E579,RulebookTables!A2:A93, 0))="")=TRUE),  "",  INDEX(RulebookTables!F2:F93, MATCH(E579,RulebookTables!A2:A93, 0))), "")</f>
        <v>domain</v>
      </c>
      <c r="S579" s="3" t="s">
        <v>1918</v>
      </c>
    </row>
    <row r="580">
      <c r="A580" s="3" t="s">
        <v>14683</v>
      </c>
      <c r="B580" s="4" t="str">
        <f>_xlfn.CONCAT(D580, " / ", E580)</f>
        <v>effortless-typescript / LearningActivities</v>
      </c>
      <c r="C580" s="3" t="s">
        <v>14074</v>
      </c>
      <c r="D580" s="3" t="s">
        <v>14041</v>
      </c>
      <c r="E580" s="3" t="s">
        <v>4017</v>
      </c>
      <c r="F580" s="3">
        <v>2</v>
      </c>
      <c r="G580" s="3">
        <v>1</v>
      </c>
      <c r="H580" s="3">
        <v>2</v>
      </c>
      <c r="I580" s="3">
        <v>2</v>
      </c>
      <c r="J580" s="3" t="b">
        <v>0</v>
      </c>
      <c r="K580" s="4">
        <f>H580 - I580</f>
        <v>0</v>
      </c>
      <c r="L580" s="4">
        <f>IF(((H580 = 0)=TRUE),  0,  ROUND(100 * I580 / H580, 2))</f>
        <v>100</v>
      </c>
      <c r="M580" s="4" t="b">
        <f>K580 = 0</f>
        <v>1</v>
      </c>
      <c r="N580" s="4" t="str">
        <f>IF(((M580)=TRUE),  "",  D580)</f>
      </c>
      <c r="O580" s="4" t="str">
        <f>IF(((M580)=TRUE),  "",  E580)</f>
      </c>
      <c r="P580" s="4">
        <f>COUNTIFS(FieldDisagreements!E2:E50, A580)</f>
        <v>0</v>
      </c>
      <c r="Q580" s="4" t="str">
        <f>_xlfn.IFNA(IF(((INDEX(ConformanceSubstrates!C2:C9, MATCH(D580,ConformanceSubstrates!A2:A9, 0))="")=TRUE),  "",  INDEX(ConformanceSubstrates!C2:C9, MATCH(D580,ConformanceSubstrates!A2:A9, 0))), "")</f>
        <v>TypeScript</v>
      </c>
      <c r="R580" s="4" t="str">
        <f>_xlfn.IFNA(IF(((INDEX(RulebookTables!F2:F93, MATCH(E580,RulebookTables!A2:A93, 0))="")=TRUE),  "",  INDEX(RulebookTables!F2:F93, MATCH(E580,RulebookTables!A2:A93, 0))), "")</f>
        <v>domain</v>
      </c>
      <c r="S580" s="3" t="s">
        <v>1918</v>
      </c>
    </row>
    <row r="581">
      <c r="A581" s="3" t="s">
        <v>14684</v>
      </c>
      <c r="B581" s="4" t="str">
        <f>_xlfn.CONCAT(D581, " / ", E581)</f>
        <v>effortless-typescript / OperationalBindings</v>
      </c>
      <c r="C581" s="3" t="s">
        <v>14074</v>
      </c>
      <c r="D581" s="3" t="s">
        <v>14041</v>
      </c>
      <c r="E581" s="3" t="s">
        <v>1862</v>
      </c>
      <c r="F581" s="3">
        <v>5</v>
      </c>
      <c r="G581" s="3">
        <v>11</v>
      </c>
      <c r="H581" s="3">
        <v>55</v>
      </c>
      <c r="I581" s="3">
        <v>55</v>
      </c>
      <c r="J581" s="3" t="b">
        <v>0</v>
      </c>
      <c r="K581" s="4">
        <f>H581 - I581</f>
        <v>0</v>
      </c>
      <c r="L581" s="4">
        <f>IF(((H581 = 0)=TRUE),  0,  ROUND(100 * I581 / H581, 2))</f>
        <v>100</v>
      </c>
      <c r="M581" s="4" t="b">
        <f>K581 = 0</f>
        <v>1</v>
      </c>
      <c r="N581" s="4" t="str">
        <f>IF(((M581)=TRUE),  "",  D581)</f>
      </c>
      <c r="O581" s="4" t="str">
        <f>IF(((M581)=TRUE),  "",  E581)</f>
      </c>
      <c r="P581" s="4">
        <f>COUNTIFS(FieldDisagreements!E2:E50, A581)</f>
        <v>0</v>
      </c>
      <c r="Q581" s="4" t="str">
        <f>_xlfn.IFNA(IF(((INDEX(ConformanceSubstrates!C2:C9, MATCH(D581,ConformanceSubstrates!A2:A9, 0))="")=TRUE),  "",  INDEX(ConformanceSubstrates!C2:C9, MATCH(D581,ConformanceSubstrates!A2:A9, 0))), "")</f>
        <v>TypeScript</v>
      </c>
      <c r="R581" s="4" t="str">
        <f>_xlfn.IFNA(IF(((INDEX(RulebookTables!F2:F93, MATCH(E581,RulebookTables!A2:A93, 0))="")=TRUE),  "",  INDEX(RulebookTables!F2:F93, MATCH(E581,RulebookTables!A2:A93, 0))), "")</f>
        <v>domain</v>
      </c>
      <c r="S581" s="3" t="s">
        <v>1918</v>
      </c>
    </row>
    <row r="582">
      <c r="A582" s="3" t="s">
        <v>14685</v>
      </c>
      <c r="B582" s="4" t="str">
        <f>_xlfn.CONCAT(D582, " / ", E582)</f>
        <v>effortless-typescript / CommunicationPolicies</v>
      </c>
      <c r="C582" s="3" t="s">
        <v>14074</v>
      </c>
      <c r="D582" s="3" t="s">
        <v>14041</v>
      </c>
      <c r="E582" s="3" t="s">
        <v>1865</v>
      </c>
      <c r="F582" s="3">
        <v>2</v>
      </c>
      <c r="G582" s="3">
        <v>4</v>
      </c>
      <c r="H582" s="3">
        <v>8</v>
      </c>
      <c r="I582" s="3">
        <v>8</v>
      </c>
      <c r="J582" s="3" t="b">
        <v>0</v>
      </c>
      <c r="K582" s="4">
        <f>H582 - I582</f>
        <v>0</v>
      </c>
      <c r="L582" s="4">
        <f>IF(((H582 = 0)=TRUE),  0,  ROUND(100 * I582 / H582, 2))</f>
        <v>100</v>
      </c>
      <c r="M582" s="4" t="b">
        <f>K582 = 0</f>
        <v>1</v>
      </c>
      <c r="N582" s="4" t="str">
        <f>IF(((M582)=TRUE),  "",  D582)</f>
      </c>
      <c r="O582" s="4" t="str">
        <f>IF(((M582)=TRUE),  "",  E582)</f>
      </c>
      <c r="P582" s="4">
        <f>COUNTIFS(FieldDisagreements!E2:E50, A582)</f>
        <v>0</v>
      </c>
      <c r="Q582" s="4" t="str">
        <f>_xlfn.IFNA(IF(((INDEX(ConformanceSubstrates!C2:C9, MATCH(D582,ConformanceSubstrates!A2:A9, 0))="")=TRUE),  "",  INDEX(ConformanceSubstrates!C2:C9, MATCH(D582,ConformanceSubstrates!A2:A9, 0))), "")</f>
        <v>TypeScript</v>
      </c>
      <c r="R582" s="4" t="str">
        <f>_xlfn.IFNA(IF(((INDEX(RulebookTables!F2:F93, MATCH(E582,RulebookTables!A2:A93, 0))="")=TRUE),  "",  INDEX(RulebookTables!F2:F93, MATCH(E582,RulebookTables!A2:A93, 0))), "")</f>
        <v>communication</v>
      </c>
      <c r="S582" s="3" t="s">
        <v>1918</v>
      </c>
    </row>
    <row r="583">
      <c r="A583" s="3" t="s">
        <v>14686</v>
      </c>
      <c r="B583" s="4" t="str">
        <f>_xlfn.CONCAT(D583, " / ", E583)</f>
        <v>effortless-typescript / MessageTemplates</v>
      </c>
      <c r="C583" s="3" t="s">
        <v>14074</v>
      </c>
      <c r="D583" s="3" t="s">
        <v>14041</v>
      </c>
      <c r="E583" s="3" t="s">
        <v>4087</v>
      </c>
      <c r="F583" s="3">
        <v>2</v>
      </c>
      <c r="G583" s="3">
        <v>16</v>
      </c>
      <c r="H583" s="3">
        <v>32</v>
      </c>
      <c r="I583" s="3">
        <v>32</v>
      </c>
      <c r="J583" s="3" t="b">
        <v>0</v>
      </c>
      <c r="K583" s="4">
        <f>H583 - I583</f>
        <v>0</v>
      </c>
      <c r="L583" s="4">
        <f>IF(((H583 = 0)=TRUE),  0,  ROUND(100 * I583 / H583, 2))</f>
        <v>100</v>
      </c>
      <c r="M583" s="4" t="b">
        <f>K583 = 0</f>
        <v>1</v>
      </c>
      <c r="N583" s="4" t="str">
        <f>IF(((M583)=TRUE),  "",  D583)</f>
      </c>
      <c r="O583" s="4" t="str">
        <f>IF(((M583)=TRUE),  "",  E583)</f>
      </c>
      <c r="P583" s="4">
        <f>COUNTIFS(FieldDisagreements!E2:E50, A583)</f>
        <v>0</v>
      </c>
      <c r="Q583" s="4" t="str">
        <f>_xlfn.IFNA(IF(((INDEX(ConformanceSubstrates!C2:C9, MATCH(D583,ConformanceSubstrates!A2:A9, 0))="")=TRUE),  "",  INDEX(ConformanceSubstrates!C2:C9, MATCH(D583,ConformanceSubstrates!A2:A9, 0))), "")</f>
        <v>TypeScript</v>
      </c>
      <c r="R583" s="4" t="str">
        <f>_xlfn.IFNA(IF(((INDEX(RulebookTables!F2:F93, MATCH(E583,RulebookTables!A2:A93, 0))="")=TRUE),  "",  INDEX(RulebookTables!F2:F93, MATCH(E583,RulebookTables!A2:A93, 0))), "")</f>
        <v>communication</v>
      </c>
      <c r="S583" s="3" t="s">
        <v>1918</v>
      </c>
    </row>
    <row r="584">
      <c r="A584" s="3" t="s">
        <v>14687</v>
      </c>
      <c r="B584" s="4" t="str">
        <f>_xlfn.CONCAT(D584, " / ", E584)</f>
        <v>effortless-typescript / SemanticMappings</v>
      </c>
      <c r="C584" s="3" t="s">
        <v>14074</v>
      </c>
      <c r="D584" s="3" t="s">
        <v>14041</v>
      </c>
      <c r="E584" s="3" t="s">
        <v>4130</v>
      </c>
      <c r="F584" s="3">
        <v>47</v>
      </c>
      <c r="G584" s="3">
        <v>1</v>
      </c>
      <c r="H584" s="3">
        <v>47</v>
      </c>
      <c r="I584" s="3">
        <v>47</v>
      </c>
      <c r="J584" s="3" t="b">
        <v>0</v>
      </c>
      <c r="K584" s="4">
        <f>H584 - I584</f>
        <v>0</v>
      </c>
      <c r="L584" s="4">
        <f>IF(((H584 = 0)=TRUE),  0,  ROUND(100 * I584 / H584, 2))</f>
        <v>100</v>
      </c>
      <c r="M584" s="4" t="b">
        <f>K584 = 0</f>
        <v>1</v>
      </c>
      <c r="N584" s="4" t="str">
        <f>IF(((M584)=TRUE),  "",  D584)</f>
      </c>
      <c r="O584" s="4" t="str">
        <f>IF(((M584)=TRUE),  "",  E584)</f>
      </c>
      <c r="P584" s="4">
        <f>COUNTIFS(FieldDisagreements!E2:E50, A584)</f>
        <v>0</v>
      </c>
      <c r="Q584" s="4" t="str">
        <f>_xlfn.IFNA(IF(((INDEX(ConformanceSubstrates!C2:C9, MATCH(D584,ConformanceSubstrates!A2:A9, 0))="")=TRUE),  "",  INDEX(ConformanceSubstrates!C2:C9, MATCH(D584,ConformanceSubstrates!A2:A9, 0))), "")</f>
        <v>TypeScript</v>
      </c>
      <c r="R584" s="4" t="str">
        <f>_xlfn.IFNA(IF(((INDEX(RulebookTables!F2:F93, MATCH(E584,RulebookTables!A2:A93, 0))="")=TRUE),  "",  INDEX(RulebookTables!F2:F93, MATCH(E584,RulebookTables!A2:A93, 0))), "")</f>
        <v>meta</v>
      </c>
      <c r="S584" s="3" t="s">
        <v>1918</v>
      </c>
    </row>
    <row r="585">
      <c r="A585" s="3" t="s">
        <v>14688</v>
      </c>
      <c r="B585" s="4" t="str">
        <f>_xlfn.CONCAT(D585, " / ", E585)</f>
        <v>effortless-typescript / WitnessLoops</v>
      </c>
      <c r="C585" s="3" t="s">
        <v>14074</v>
      </c>
      <c r="D585" s="3" t="s">
        <v>14041</v>
      </c>
      <c r="E585" s="3" t="s">
        <v>4140</v>
      </c>
      <c r="F585" s="3">
        <v>4</v>
      </c>
      <c r="G585" s="3">
        <v>3</v>
      </c>
      <c r="H585" s="3">
        <v>12</v>
      </c>
      <c r="I585" s="3">
        <v>12</v>
      </c>
      <c r="J585" s="3" t="b">
        <v>0</v>
      </c>
      <c r="K585" s="4">
        <f>H585 - I585</f>
        <v>0</v>
      </c>
      <c r="L585" s="4">
        <f>IF(((H585 = 0)=TRUE),  0,  ROUND(100 * I585 / H585, 2))</f>
        <v>100</v>
      </c>
      <c r="M585" s="4" t="b">
        <f>K585 = 0</f>
        <v>1</v>
      </c>
      <c r="N585" s="4" t="str">
        <f>IF(((M585)=TRUE),  "",  D585)</f>
      </c>
      <c r="O585" s="4" t="str">
        <f>IF(((M585)=TRUE),  "",  E585)</f>
      </c>
      <c r="P585" s="4">
        <f>COUNTIFS(FieldDisagreements!E2:E50, A585)</f>
        <v>0</v>
      </c>
      <c r="Q585" s="4" t="str">
        <f>_xlfn.IFNA(IF(((INDEX(ConformanceSubstrates!C2:C9, MATCH(D585,ConformanceSubstrates!A2:A9, 0))="")=TRUE),  "",  INDEX(ConformanceSubstrates!C2:C9, MATCH(D585,ConformanceSubstrates!A2:A9, 0))), "")</f>
        <v>TypeScript</v>
      </c>
      <c r="R585" s="4" t="str">
        <f>_xlfn.IFNA(IF(((INDEX(RulebookTables!F2:F93, MATCH(E585,RulebookTables!A2:A93, 0))="")=TRUE),  "",  INDEX(RulebookTables!F2:F93, MATCH(E585,RulebookTables!A2:A93, 0))), "")</f>
        <v>meta</v>
      </c>
      <c r="S585" s="3" t="s">
        <v>1918</v>
      </c>
    </row>
    <row r="586">
      <c r="A586" s="3" t="s">
        <v>14689</v>
      </c>
      <c r="B586" s="4" t="str">
        <f>_xlfn.CONCAT(D586, " / ", E586)</f>
        <v>effortless-typescript / RoleQuestions</v>
      </c>
      <c r="C586" s="3" t="s">
        <v>14074</v>
      </c>
      <c r="D586" s="3" t="s">
        <v>14041</v>
      </c>
      <c r="E586" s="3" t="s">
        <v>4157</v>
      </c>
      <c r="F586" s="3">
        <v>111</v>
      </c>
      <c r="G586" s="3">
        <v>3</v>
      </c>
      <c r="H586" s="3">
        <v>333</v>
      </c>
      <c r="I586" s="3">
        <v>333</v>
      </c>
      <c r="J586" s="3" t="b">
        <v>0</v>
      </c>
      <c r="K586" s="4">
        <f>H586 - I586</f>
        <v>0</v>
      </c>
      <c r="L586" s="4">
        <f>IF(((H586 = 0)=TRUE),  0,  ROUND(100 * I586 / H586, 2))</f>
        <v>100</v>
      </c>
      <c r="M586" s="4" t="b">
        <f>K586 = 0</f>
        <v>1</v>
      </c>
      <c r="N586" s="4" t="str">
        <f>IF(((M586)=TRUE),  "",  D586)</f>
      </c>
      <c r="O586" s="4" t="str">
        <f>IF(((M586)=TRUE),  "",  E586)</f>
      </c>
      <c r="P586" s="4">
        <f>COUNTIFS(FieldDisagreements!E2:E50, A586)</f>
        <v>0</v>
      </c>
      <c r="Q586" s="4" t="str">
        <f>_xlfn.IFNA(IF(((INDEX(ConformanceSubstrates!C2:C9, MATCH(D586,ConformanceSubstrates!A2:A9, 0))="")=TRUE),  "",  INDEX(ConformanceSubstrates!C2:C9, MATCH(D586,ConformanceSubstrates!A2:A9, 0))), "")</f>
        <v>TypeScript</v>
      </c>
      <c r="R586" s="4" t="str">
        <f>_xlfn.IFNA(IF(((INDEX(RulebookTables!F2:F93, MATCH(E586,RulebookTables!A2:A93, 0))="")=TRUE),  "",  INDEX(RulebookTables!F2:F93, MATCH(E586,RulebookTables!A2:A93, 0))), "")</f>
        <v>org</v>
      </c>
      <c r="S586" s="3" t="s">
        <v>1918</v>
      </c>
    </row>
    <row r="587">
      <c r="A587" s="3" t="s">
        <v>14690</v>
      </c>
      <c r="B587" s="4" t="str">
        <f>_xlfn.CONCAT(D587, " / ", E587)</f>
        <v>effortless-typescript / RulebookFields</v>
      </c>
      <c r="C587" s="3" t="s">
        <v>14074</v>
      </c>
      <c r="D587" s="3" t="s">
        <v>14041</v>
      </c>
      <c r="E587" s="3" t="s">
        <v>4172</v>
      </c>
      <c r="F587" s="3">
        <v>1897</v>
      </c>
      <c r="G587" s="3">
        <v>5</v>
      </c>
      <c r="H587" s="3">
        <v>9485</v>
      </c>
      <c r="I587" s="3">
        <v>9485</v>
      </c>
      <c r="J587" s="3" t="b">
        <v>0</v>
      </c>
      <c r="K587" s="4">
        <f>H587 - I587</f>
        <v>0</v>
      </c>
      <c r="L587" s="4">
        <f>IF(((H587 = 0)=TRUE),  0,  ROUND(100 * I587 / H587, 2))</f>
        <v>100</v>
      </c>
      <c r="M587" s="4" t="b">
        <f>K587 = 0</f>
        <v>1</v>
      </c>
      <c r="N587" s="4" t="str">
        <f>IF(((M587)=TRUE),  "",  D587)</f>
      </c>
      <c r="O587" s="4" t="str">
        <f>IF(((M587)=TRUE),  "",  E587)</f>
      </c>
      <c r="P587" s="4">
        <f>COUNTIFS(FieldDisagreements!E2:E50, A587)</f>
        <v>0</v>
      </c>
      <c r="Q587" s="4" t="str">
        <f>_xlfn.IFNA(IF(((INDEX(ConformanceSubstrates!C2:C9, MATCH(D587,ConformanceSubstrates!A2:A9, 0))="")=TRUE),  "",  INDEX(ConformanceSubstrates!C2:C9, MATCH(D587,ConformanceSubstrates!A2:A9, 0))), "")</f>
        <v>TypeScript</v>
      </c>
      <c r="R587" s="4" t="str">
        <f>_xlfn.IFNA(IF(((INDEX(RulebookTables!F2:F93, MATCH(E587,RulebookTables!A2:A93, 0))="")=TRUE),  "",  INDEX(RulebookTables!F2:F93, MATCH(E587,RulebookTables!A2:A93, 0))), "")</f>
        <v>access-control</v>
      </c>
      <c r="S587" s="3" t="s">
        <v>1918</v>
      </c>
    </row>
    <row r="588">
      <c r="A588" s="3" t="s">
        <v>14691</v>
      </c>
      <c r="B588" s="4" t="str">
        <f>_xlfn.CONCAT(D588, " / ", E588)</f>
        <v>effortless-typescript / TestSuites</v>
      </c>
      <c r="C588" s="3" t="s">
        <v>14074</v>
      </c>
      <c r="D588" s="3" t="s">
        <v>14041</v>
      </c>
      <c r="E588" s="3" t="s">
        <v>4191</v>
      </c>
      <c r="F588" s="3">
        <v>6</v>
      </c>
      <c r="G588" s="3">
        <v>5</v>
      </c>
      <c r="H588" s="3">
        <v>30</v>
      </c>
      <c r="I588" s="3">
        <v>30</v>
      </c>
      <c r="J588" s="3" t="b">
        <v>0</v>
      </c>
      <c r="K588" s="4">
        <f>H588 - I588</f>
        <v>0</v>
      </c>
      <c r="L588" s="4">
        <f>IF(((H588 = 0)=TRUE),  0,  ROUND(100 * I588 / H588, 2))</f>
        <v>100</v>
      </c>
      <c r="M588" s="4" t="b">
        <f>K588 = 0</f>
        <v>1</v>
      </c>
      <c r="N588" s="4" t="str">
        <f>IF(((M588)=TRUE),  "",  D588)</f>
      </c>
      <c r="O588" s="4" t="str">
        <f>IF(((M588)=TRUE),  "",  E588)</f>
      </c>
      <c r="P588" s="4">
        <f>COUNTIFS(FieldDisagreements!E2:E50, A588)</f>
        <v>0</v>
      </c>
      <c r="Q588" s="4" t="str">
        <f>_xlfn.IFNA(IF(((INDEX(ConformanceSubstrates!C2:C9, MATCH(D588,ConformanceSubstrates!A2:A9, 0))="")=TRUE),  "",  INDEX(ConformanceSubstrates!C2:C9, MATCH(D588,ConformanceSubstrates!A2:A9, 0))), "")</f>
        <v>TypeScript</v>
      </c>
      <c r="R588" s="4" t="str">
        <f>_xlfn.IFNA(IF(((INDEX(RulebookTables!F2:F93, MATCH(E588,RulebookTables!A2:A93, 0))="")=TRUE),  "",  INDEX(RulebookTables!F2:F93, MATCH(E588,RulebookTables!A2:A93, 0))), "")</f>
        <v>meta</v>
      </c>
      <c r="S588" s="3" t="s">
        <v>1918</v>
      </c>
    </row>
    <row r="589">
      <c r="A589" s="3" t="s">
        <v>14692</v>
      </c>
      <c r="B589" s="4" t="str">
        <f>_xlfn.CONCAT(D589, " / ", E589)</f>
        <v>effortless-typescript / TestCases</v>
      </c>
      <c r="C589" s="3" t="s">
        <v>14074</v>
      </c>
      <c r="D589" s="3" t="s">
        <v>14041</v>
      </c>
      <c r="E589" s="3" t="s">
        <v>4209</v>
      </c>
      <c r="F589" s="3">
        <v>1794</v>
      </c>
      <c r="G589" s="3">
        <v>7</v>
      </c>
      <c r="H589" s="3">
        <v>12558</v>
      </c>
      <c r="I589" s="3">
        <v>12558</v>
      </c>
      <c r="J589" s="3" t="b">
        <v>0</v>
      </c>
      <c r="K589" s="4">
        <f>H589 - I589</f>
        <v>0</v>
      </c>
      <c r="L589" s="4">
        <f>IF(((H589 = 0)=TRUE),  0,  ROUND(100 * I589 / H589, 2))</f>
        <v>100</v>
      </c>
      <c r="M589" s="4" t="b">
        <f>K589 = 0</f>
        <v>1</v>
      </c>
      <c r="N589" s="4" t="str">
        <f>IF(((M589)=TRUE),  "",  D589)</f>
      </c>
      <c r="O589" s="4" t="str">
        <f>IF(((M589)=TRUE),  "",  E589)</f>
      </c>
      <c r="P589" s="4">
        <f>COUNTIFS(FieldDisagreements!E2:E50, A589)</f>
        <v>0</v>
      </c>
      <c r="Q589" s="4" t="str">
        <f>_xlfn.IFNA(IF(((INDEX(ConformanceSubstrates!C2:C9, MATCH(D589,ConformanceSubstrates!A2:A9, 0))="")=TRUE),  "",  INDEX(ConformanceSubstrates!C2:C9, MATCH(D589,ConformanceSubstrates!A2:A9, 0))), "")</f>
        <v>TypeScript</v>
      </c>
      <c r="R589" s="4" t="str">
        <f>_xlfn.IFNA(IF(((INDEX(RulebookTables!F2:F93, MATCH(E589,RulebookTables!A2:A93, 0))="")=TRUE),  "",  INDEX(RulebookTables!F2:F93, MATCH(E589,RulebookTables!A2:A93, 0))), "")</f>
        <v>meta</v>
      </c>
      <c r="S589" s="3" t="s">
        <v>1918</v>
      </c>
    </row>
    <row r="590">
      <c r="A590" s="3" t="s">
        <v>14693</v>
      </c>
      <c r="B590" s="4" t="str">
        <f>_xlfn.CONCAT(D590, " / ", E590)</f>
        <v>effortless-typescript / ExceptionInvocations</v>
      </c>
      <c r="C590" s="3" t="s">
        <v>14074</v>
      </c>
      <c r="D590" s="3" t="s">
        <v>14041</v>
      </c>
      <c r="E590" s="3" t="s">
        <v>4287</v>
      </c>
      <c r="F590" s="3">
        <v>1</v>
      </c>
      <c r="G590" s="3">
        <v>13</v>
      </c>
      <c r="H590" s="3">
        <v>13</v>
      </c>
      <c r="I590" s="3">
        <v>13</v>
      </c>
      <c r="J590" s="3" t="b">
        <v>0</v>
      </c>
      <c r="K590" s="4">
        <f>H590 - I590</f>
        <v>0</v>
      </c>
      <c r="L590" s="4">
        <f>IF(((H590 = 0)=TRUE),  0,  ROUND(100 * I590 / H590, 2))</f>
        <v>100</v>
      </c>
      <c r="M590" s="4" t="b">
        <f>K590 = 0</f>
        <v>1</v>
      </c>
      <c r="N590" s="4" t="str">
        <f>IF(((M590)=TRUE),  "",  D590)</f>
      </c>
      <c r="O590" s="4" t="str">
        <f>IF(((M590)=TRUE),  "",  E590)</f>
      </c>
      <c r="P590" s="4">
        <f>COUNTIFS(FieldDisagreements!E2:E50, A590)</f>
        <v>0</v>
      </c>
      <c r="Q590" s="4" t="str">
        <f>_xlfn.IFNA(IF(((INDEX(ConformanceSubstrates!C2:C9, MATCH(D590,ConformanceSubstrates!A2:A9, 0))="")=TRUE),  "",  INDEX(ConformanceSubstrates!C2:C9, MATCH(D590,ConformanceSubstrates!A2:A9, 0))), "")</f>
        <v>TypeScript</v>
      </c>
      <c r="R590" s="4" t="str">
        <f>_xlfn.IFNA(IF(((INDEX(RulebookTables!F2:F93, MATCH(E590,RulebookTables!A2:A93, 0))="")=TRUE),  "",  INDEX(RulebookTables!F2:F93, MATCH(E590,RulebookTables!A2:A93, 0))), "")</f>
        <v>governance</v>
      </c>
      <c r="S590" s="3" t="s">
        <v>1918</v>
      </c>
    </row>
    <row r="591">
      <c r="A591" s="3" t="s">
        <v>14694</v>
      </c>
      <c r="B591" s="4" t="str">
        <f>_xlfn.CONCAT(D591, " / ", E591)</f>
        <v>effortless-typescript / VerificationOutcomes</v>
      </c>
      <c r="C591" s="3" t="s">
        <v>14074</v>
      </c>
      <c r="D591" s="3" t="s">
        <v>14041</v>
      </c>
      <c r="E591" s="3" t="s">
        <v>4337</v>
      </c>
      <c r="F591" s="3">
        <v>4</v>
      </c>
      <c r="G591" s="3">
        <v>18</v>
      </c>
      <c r="H591" s="3">
        <v>72</v>
      </c>
      <c r="I591" s="3">
        <v>72</v>
      </c>
      <c r="J591" s="3" t="b">
        <v>0</v>
      </c>
      <c r="K591" s="4">
        <f>H591 - I591</f>
        <v>0</v>
      </c>
      <c r="L591" s="4">
        <f>IF(((H591 = 0)=TRUE),  0,  ROUND(100 * I591 / H591, 2))</f>
        <v>100</v>
      </c>
      <c r="M591" s="4" t="b">
        <f>K591 = 0</f>
        <v>1</v>
      </c>
      <c r="N591" s="4" t="str">
        <f>IF(((M591)=TRUE),  "",  D591)</f>
      </c>
      <c r="O591" s="4" t="str">
        <f>IF(((M591)=TRUE),  "",  E591)</f>
      </c>
      <c r="P591" s="4">
        <f>COUNTIFS(FieldDisagreements!E2:E50, A591)</f>
        <v>0</v>
      </c>
      <c r="Q591" s="4" t="str">
        <f>_xlfn.IFNA(IF(((INDEX(ConformanceSubstrates!C2:C9, MATCH(D591,ConformanceSubstrates!A2:A9, 0))="")=TRUE),  "",  INDEX(ConformanceSubstrates!C2:C9, MATCH(D591,ConformanceSubstrates!A2:A9, 0))), "")</f>
        <v>TypeScript</v>
      </c>
      <c r="R591" s="4" t="str">
        <f>_xlfn.IFNA(IF(((INDEX(RulebookTables!F2:F93, MATCH(E591,RulebookTables!A2:A93, 0))="")=TRUE),  "",  INDEX(RulebookTables!F2:F93, MATCH(E591,RulebookTables!A2:A93, 0))), "")</f>
        <v>execution</v>
      </c>
      <c r="S591" s="3" t="s">
        <v>1918</v>
      </c>
    </row>
    <row r="592">
      <c r="A592" s="3" t="s">
        <v>14695</v>
      </c>
      <c r="B592" s="4" t="str">
        <f>_xlfn.CONCAT(D592, " / ", E592)</f>
        <v>effortless-typescript / ObservedTransitions</v>
      </c>
      <c r="C592" s="3" t="s">
        <v>14074</v>
      </c>
      <c r="D592" s="3" t="s">
        <v>14041</v>
      </c>
      <c r="E592" s="3" t="s">
        <v>4398</v>
      </c>
      <c r="F592" s="3">
        <v>10</v>
      </c>
      <c r="G592" s="3">
        <v>1</v>
      </c>
      <c r="H592" s="3">
        <v>10</v>
      </c>
      <c r="I592" s="3">
        <v>10</v>
      </c>
      <c r="J592" s="3" t="b">
        <v>0</v>
      </c>
      <c r="K592" s="4">
        <f>H592 - I592</f>
        <v>0</v>
      </c>
      <c r="L592" s="4">
        <f>IF(((H592 = 0)=TRUE),  0,  ROUND(100 * I592 / H592, 2))</f>
        <v>100</v>
      </c>
      <c r="M592" s="4" t="b">
        <f>K592 = 0</f>
        <v>1</v>
      </c>
      <c r="N592" s="4" t="str">
        <f>IF(((M592)=TRUE),  "",  D592)</f>
      </c>
      <c r="O592" s="4" t="str">
        <f>IF(((M592)=TRUE),  "",  E592)</f>
      </c>
      <c r="P592" s="4">
        <f>COUNTIFS(FieldDisagreements!E2:E50, A592)</f>
        <v>0</v>
      </c>
      <c r="Q592" s="4" t="str">
        <f>_xlfn.IFNA(IF(((INDEX(ConformanceSubstrates!C2:C9, MATCH(D592,ConformanceSubstrates!A2:A9, 0))="")=TRUE),  "",  INDEX(ConformanceSubstrates!C2:C9, MATCH(D592,ConformanceSubstrates!A2:A9, 0))), "")</f>
        <v>TypeScript</v>
      </c>
      <c r="R592" s="4" t="str">
        <f>_xlfn.IFNA(IF(((INDEX(RulebookTables!F2:F93, MATCH(E592,RulebookTables!A2:A93, 0))="")=TRUE),  "",  INDEX(RulebookTables!F2:F93, MATCH(E592,RulebookTables!A2:A93, 0))), "")</f>
        <v>specification</v>
      </c>
      <c r="S592" s="3" t="s">
        <v>1918</v>
      </c>
    </row>
    <row r="593">
      <c r="A593" s="3" t="s">
        <v>14696</v>
      </c>
      <c r="B593" s="4" t="str">
        <f>_xlfn.CONCAT(D593, " / ", E593)</f>
        <v>effortless-typescript / Recipients</v>
      </c>
      <c r="C593" s="3" t="s">
        <v>14074</v>
      </c>
      <c r="D593" s="3" t="s">
        <v>14041</v>
      </c>
      <c r="E593" s="3" t="s">
        <v>4412</v>
      </c>
      <c r="F593" s="3">
        <v>5</v>
      </c>
      <c r="G593" s="3">
        <v>6</v>
      </c>
      <c r="H593" s="3">
        <v>30</v>
      </c>
      <c r="I593" s="3">
        <v>30</v>
      </c>
      <c r="J593" s="3" t="b">
        <v>0</v>
      </c>
      <c r="K593" s="4">
        <f>H593 - I593</f>
        <v>0</v>
      </c>
      <c r="L593" s="4">
        <f>IF(((H593 = 0)=TRUE),  0,  ROUND(100 * I593 / H593, 2))</f>
        <v>100</v>
      </c>
      <c r="M593" s="4" t="b">
        <f>K593 = 0</f>
        <v>1</v>
      </c>
      <c r="N593" s="4" t="str">
        <f>IF(((M593)=TRUE),  "",  D593)</f>
      </c>
      <c r="O593" s="4" t="str">
        <f>IF(((M593)=TRUE),  "",  E593)</f>
      </c>
      <c r="P593" s="4">
        <f>COUNTIFS(FieldDisagreements!E2:E50, A593)</f>
        <v>0</v>
      </c>
      <c r="Q593" s="4" t="str">
        <f>_xlfn.IFNA(IF(((INDEX(ConformanceSubstrates!C2:C9, MATCH(D593,ConformanceSubstrates!A2:A9, 0))="")=TRUE),  "",  INDEX(ConformanceSubstrates!C2:C9, MATCH(D593,ConformanceSubstrates!A2:A9, 0))), "")</f>
        <v>TypeScript</v>
      </c>
      <c r="R593" s="4" t="str">
        <f>_xlfn.IFNA(IF(((INDEX(RulebookTables!F2:F93, MATCH(E593,RulebookTables!A2:A93, 0))="")=TRUE),  "",  INDEX(RulebookTables!F2:F93, MATCH(E593,RulebookTables!A2:A93, 0))), "")</f>
        <v>communication</v>
      </c>
      <c r="S593" s="3" t="s">
        <v>1918</v>
      </c>
    </row>
    <row r="594">
      <c r="A594" s="3" t="s">
        <v>14697</v>
      </c>
      <c r="B594" s="4" t="str">
        <f>_xlfn.CONCAT(D594, " / ", E594)</f>
        <v>effortless-typescript / MessageDeliveries</v>
      </c>
      <c r="C594" s="3" t="s">
        <v>14074</v>
      </c>
      <c r="D594" s="3" t="s">
        <v>14041</v>
      </c>
      <c r="E594" s="3" t="s">
        <v>4444</v>
      </c>
      <c r="F594" s="3">
        <v>6</v>
      </c>
      <c r="G594" s="3">
        <v>74</v>
      </c>
      <c r="H594" s="3">
        <v>444</v>
      </c>
      <c r="I594" s="3">
        <v>444</v>
      </c>
      <c r="J594" s="3" t="b">
        <v>0</v>
      </c>
      <c r="K594" s="4">
        <f>H594 - I594</f>
        <v>0</v>
      </c>
      <c r="L594" s="4">
        <f>IF(((H594 = 0)=TRUE),  0,  ROUND(100 * I594 / H594, 2))</f>
        <v>100</v>
      </c>
      <c r="M594" s="4" t="b">
        <f>K594 = 0</f>
        <v>1</v>
      </c>
      <c r="N594" s="4" t="str">
        <f>IF(((M594)=TRUE),  "",  D594)</f>
      </c>
      <c r="O594" s="4" t="str">
        <f>IF(((M594)=TRUE),  "",  E594)</f>
      </c>
      <c r="P594" s="4">
        <f>COUNTIFS(FieldDisagreements!E2:E50, A594)</f>
        <v>0</v>
      </c>
      <c r="Q594" s="4" t="str">
        <f>_xlfn.IFNA(IF(((INDEX(ConformanceSubstrates!C2:C9, MATCH(D594,ConformanceSubstrates!A2:A9, 0))="")=TRUE),  "",  INDEX(ConformanceSubstrates!C2:C9, MATCH(D594,ConformanceSubstrates!A2:A9, 0))), "")</f>
        <v>TypeScript</v>
      </c>
      <c r="R594" s="4" t="str">
        <f>_xlfn.IFNA(IF(((INDEX(RulebookTables!F2:F93, MATCH(E594,RulebookTables!A2:A93, 0))="")=TRUE),  "",  INDEX(RulebookTables!F2:F93, MATCH(E594,RulebookTables!A2:A93, 0))), "")</f>
        <v>communication</v>
      </c>
      <c r="S594" s="3" t="s">
        <v>1918</v>
      </c>
    </row>
    <row r="595">
      <c r="A595" s="3" t="s">
        <v>14698</v>
      </c>
      <c r="B595" s="4" t="str">
        <f>_xlfn.CONCAT(D595, " / ", E595)</f>
        <v>effortless-typescript / TemplateApprovals</v>
      </c>
      <c r="C595" s="3" t="s">
        <v>14074</v>
      </c>
      <c r="D595" s="3" t="s">
        <v>14041</v>
      </c>
      <c r="E595" s="3" t="s">
        <v>4698</v>
      </c>
      <c r="F595" s="3">
        <v>2</v>
      </c>
      <c r="G595" s="3">
        <v>6</v>
      </c>
      <c r="H595" s="3">
        <v>12</v>
      </c>
      <c r="I595" s="3">
        <v>12</v>
      </c>
      <c r="J595" s="3" t="b">
        <v>0</v>
      </c>
      <c r="K595" s="4">
        <f>H595 - I595</f>
        <v>0</v>
      </c>
      <c r="L595" s="4">
        <f>IF(((H595 = 0)=TRUE),  0,  ROUND(100 * I595 / H595, 2))</f>
        <v>100</v>
      </c>
      <c r="M595" s="4" t="b">
        <f>K595 = 0</f>
        <v>1</v>
      </c>
      <c r="N595" s="4" t="str">
        <f>IF(((M595)=TRUE),  "",  D595)</f>
      </c>
      <c r="O595" s="4" t="str">
        <f>IF(((M595)=TRUE),  "",  E595)</f>
      </c>
      <c r="P595" s="4">
        <f>COUNTIFS(FieldDisagreements!E2:E50, A595)</f>
        <v>0</v>
      </c>
      <c r="Q595" s="4" t="str">
        <f>_xlfn.IFNA(IF(((INDEX(ConformanceSubstrates!C2:C9, MATCH(D595,ConformanceSubstrates!A2:A9, 0))="")=TRUE),  "",  INDEX(ConformanceSubstrates!C2:C9, MATCH(D595,ConformanceSubstrates!A2:A9, 0))), "")</f>
        <v>TypeScript</v>
      </c>
      <c r="R595" s="4" t="str">
        <f>_xlfn.IFNA(IF(((INDEX(RulebookTables!F2:F93, MATCH(E595,RulebookTables!A2:A93, 0))="")=TRUE),  "",  INDEX(RulebookTables!F2:F93, MATCH(E595,RulebookTables!A2:A93, 0))), "")</f>
        <v>communication</v>
      </c>
      <c r="S595" s="3" t="s">
        <v>1918</v>
      </c>
    </row>
    <row r="596">
      <c r="A596" s="3" t="s">
        <v>14699</v>
      </c>
      <c r="B596" s="4" t="str">
        <f>_xlfn.CONCAT(D596, " / ", E596)</f>
        <v>effortless-typescript / SendIntents</v>
      </c>
      <c r="C596" s="3" t="s">
        <v>14074</v>
      </c>
      <c r="D596" s="3" t="s">
        <v>14041</v>
      </c>
      <c r="E596" s="3" t="s">
        <v>4728</v>
      </c>
      <c r="F596" s="3">
        <v>7</v>
      </c>
      <c r="G596" s="3">
        <v>79</v>
      </c>
      <c r="H596" s="3">
        <v>553</v>
      </c>
      <c r="I596" s="3">
        <v>553</v>
      </c>
      <c r="J596" s="3" t="b">
        <v>0</v>
      </c>
      <c r="K596" s="4">
        <f>H596 - I596</f>
        <v>0</v>
      </c>
      <c r="L596" s="4">
        <f>IF(((H596 = 0)=TRUE),  0,  ROUND(100 * I596 / H596, 2))</f>
        <v>100</v>
      </c>
      <c r="M596" s="4" t="b">
        <f>K596 = 0</f>
        <v>1</v>
      </c>
      <c r="N596" s="4" t="str">
        <f>IF(((M596)=TRUE),  "",  D596)</f>
      </c>
      <c r="O596" s="4" t="str">
        <f>IF(((M596)=TRUE),  "",  E596)</f>
      </c>
      <c r="P596" s="4">
        <f>COUNTIFS(FieldDisagreements!E2:E50, A596)</f>
        <v>0</v>
      </c>
      <c r="Q596" s="4" t="str">
        <f>_xlfn.IFNA(IF(((INDEX(ConformanceSubstrates!C2:C9, MATCH(D596,ConformanceSubstrates!A2:A9, 0))="")=TRUE),  "",  INDEX(ConformanceSubstrates!C2:C9, MATCH(D596,ConformanceSubstrates!A2:A9, 0))), "")</f>
        <v>TypeScript</v>
      </c>
      <c r="R596" s="4" t="str">
        <f>_xlfn.IFNA(IF(((INDEX(RulebookTables!F2:F93, MATCH(E596,RulebookTables!A2:A93, 0))="")=TRUE),  "",  INDEX(RulebookTables!F2:F93, MATCH(E596,RulebookTables!A2:A93, 0))), "")</f>
        <v>communication</v>
      </c>
      <c r="S596" s="3" t="s">
        <v>1918</v>
      </c>
    </row>
    <row r="597">
      <c r="A597" s="3" t="s">
        <v>14700</v>
      </c>
      <c r="B597" s="4" t="str">
        <f>_xlfn.CONCAT(D597, " / ", E597)</f>
        <v>effortless-typescript / AgentDecisionRecords</v>
      </c>
      <c r="C597" s="3" t="s">
        <v>14074</v>
      </c>
      <c r="D597" s="3" t="s">
        <v>14041</v>
      </c>
      <c r="E597" s="3" t="s">
        <v>4994</v>
      </c>
      <c r="F597" s="3">
        <v>3</v>
      </c>
      <c r="G597" s="3">
        <v>27</v>
      </c>
      <c r="H597" s="3">
        <v>81</v>
      </c>
      <c r="I597" s="3">
        <v>81</v>
      </c>
      <c r="J597" s="3" t="b">
        <v>0</v>
      </c>
      <c r="K597" s="4">
        <f>H597 - I597</f>
        <v>0</v>
      </c>
      <c r="L597" s="4">
        <f>IF(((H597 = 0)=TRUE),  0,  ROUND(100 * I597 / H597, 2))</f>
        <v>100</v>
      </c>
      <c r="M597" s="4" t="b">
        <f>K597 = 0</f>
        <v>1</v>
      </c>
      <c r="N597" s="4" t="str">
        <f>IF(((M597)=TRUE),  "",  D597)</f>
      </c>
      <c r="O597" s="4" t="str">
        <f>IF(((M597)=TRUE),  "",  E597)</f>
      </c>
      <c r="P597" s="4">
        <f>COUNTIFS(FieldDisagreements!E2:E50, A597)</f>
        <v>0</v>
      </c>
      <c r="Q597" s="4" t="str">
        <f>_xlfn.IFNA(IF(((INDEX(ConformanceSubstrates!C2:C9, MATCH(D597,ConformanceSubstrates!A2:A9, 0))="")=TRUE),  "",  INDEX(ConformanceSubstrates!C2:C9, MATCH(D597,ConformanceSubstrates!A2:A9, 0))), "")</f>
        <v>TypeScript</v>
      </c>
      <c r="R597" s="4" t="str">
        <f>_xlfn.IFNA(IF(((INDEX(RulebookTables!F2:F93, MATCH(E597,RulebookTables!A2:A93, 0))="")=TRUE),  "",  INDEX(RulebookTables!F2:F93, MATCH(E597,RulebookTables!A2:A93, 0))), "")</f>
        <v>org</v>
      </c>
      <c r="S597" s="3" t="s">
        <v>1918</v>
      </c>
    </row>
    <row r="598">
      <c r="A598" s="3" t="s">
        <v>14701</v>
      </c>
      <c r="B598" s="4" t="str">
        <f>_xlfn.CONCAT(D598, " / ", E598)</f>
        <v>effortless-typescript / DeliveredCommunications</v>
      </c>
      <c r="C598" s="3" t="s">
        <v>14074</v>
      </c>
      <c r="D598" s="3" t="s">
        <v>14041</v>
      </c>
      <c r="E598" s="3" t="s">
        <v>5095</v>
      </c>
      <c r="F598" s="3">
        <v>1</v>
      </c>
      <c r="G598" s="3">
        <v>6</v>
      </c>
      <c r="H598" s="3">
        <v>6</v>
      </c>
      <c r="I598" s="3">
        <v>6</v>
      </c>
      <c r="J598" s="3" t="b">
        <v>0</v>
      </c>
      <c r="K598" s="4">
        <f>H598 - I598</f>
        <v>0</v>
      </c>
      <c r="L598" s="4">
        <f>IF(((H598 = 0)=TRUE),  0,  ROUND(100 * I598 / H598, 2))</f>
        <v>100</v>
      </c>
      <c r="M598" s="4" t="b">
        <f>K598 = 0</f>
        <v>1</v>
      </c>
      <c r="N598" s="4" t="str">
        <f>IF(((M598)=TRUE),  "",  D598)</f>
      </c>
      <c r="O598" s="4" t="str">
        <f>IF(((M598)=TRUE),  "",  E598)</f>
      </c>
      <c r="P598" s="4">
        <f>COUNTIFS(FieldDisagreements!E2:E50, A598)</f>
        <v>0</v>
      </c>
      <c r="Q598" s="4" t="str">
        <f>_xlfn.IFNA(IF(((INDEX(ConformanceSubstrates!C2:C9, MATCH(D598,ConformanceSubstrates!A2:A9, 0))="")=TRUE),  "",  INDEX(ConformanceSubstrates!C2:C9, MATCH(D598,ConformanceSubstrates!A2:A9, 0))), "")</f>
        <v>TypeScript</v>
      </c>
      <c r="R598" s="4" t="str">
        <f>_xlfn.IFNA(IF(((INDEX(RulebookTables!F2:F93, MATCH(E598,RulebookTables!A2:A93, 0))="")=TRUE),  "",  INDEX(RulebookTables!F2:F93, MATCH(E598,RulebookTables!A2:A93, 0))), "")</f>
        <v>communication</v>
      </c>
      <c r="S598" s="3" t="s">
        <v>1918</v>
      </c>
    </row>
    <row r="599">
      <c r="A599" s="3" t="s">
        <v>14702</v>
      </c>
      <c r="B599" s="4" t="str">
        <f>_xlfn.CONCAT(D599, " / ", E599)</f>
        <v>effortless-typescript / AuthorityBoundaries</v>
      </c>
      <c r="C599" s="3" t="s">
        <v>14074</v>
      </c>
      <c r="D599" s="3" t="s">
        <v>14041</v>
      </c>
      <c r="E599" s="3" t="s">
        <v>5131</v>
      </c>
      <c r="F599" s="3">
        <v>3</v>
      </c>
      <c r="G599" s="3">
        <v>21</v>
      </c>
      <c r="H599" s="3">
        <v>63</v>
      </c>
      <c r="I599" s="3">
        <v>63</v>
      </c>
      <c r="J599" s="3" t="b">
        <v>0</v>
      </c>
      <c r="K599" s="4">
        <f>H599 - I599</f>
        <v>0</v>
      </c>
      <c r="L599" s="4">
        <f>IF(((H599 = 0)=TRUE),  0,  ROUND(100 * I599 / H599, 2))</f>
        <v>100</v>
      </c>
      <c r="M599" s="4" t="b">
        <f>K599 = 0</f>
        <v>1</v>
      </c>
      <c r="N599" s="4" t="str">
        <f>IF(((M599)=TRUE),  "",  D599)</f>
      </c>
      <c r="O599" s="4" t="str">
        <f>IF(((M599)=TRUE),  "",  E599)</f>
      </c>
      <c r="P599" s="4">
        <f>COUNTIFS(FieldDisagreements!E2:E50, A599)</f>
        <v>0</v>
      </c>
      <c r="Q599" s="4" t="str">
        <f>_xlfn.IFNA(IF(((INDEX(ConformanceSubstrates!C2:C9, MATCH(D599,ConformanceSubstrates!A2:A9, 0))="")=TRUE),  "",  INDEX(ConformanceSubstrates!C2:C9, MATCH(D599,ConformanceSubstrates!A2:A9, 0))), "")</f>
        <v>TypeScript</v>
      </c>
      <c r="R599" s="4" t="str">
        <f>_xlfn.IFNA(IF(((INDEX(RulebookTables!F2:F93, MATCH(E599,RulebookTables!A2:A93, 0))="")=TRUE),  "",  INDEX(RulebookTables!F2:F93, MATCH(E599,RulebookTables!A2:A93, 0))), "")</f>
        <v>governance</v>
      </c>
      <c r="S599" s="3" t="s">
        <v>1918</v>
      </c>
    </row>
    <row r="600">
      <c r="A600" s="3" t="s">
        <v>14703</v>
      </c>
      <c r="B600" s="4" t="str">
        <f>_xlfn.CONCAT(D600, " / ", E600)</f>
        <v>effortless-typescript / AppRoleProfiles</v>
      </c>
      <c r="C600" s="3" t="s">
        <v>14074</v>
      </c>
      <c r="D600" s="3" t="s">
        <v>14041</v>
      </c>
      <c r="E600" s="3" t="s">
        <v>1869</v>
      </c>
      <c r="F600" s="3">
        <v>12</v>
      </c>
      <c r="G600" s="3">
        <v>2</v>
      </c>
      <c r="H600" s="3">
        <v>24</v>
      </c>
      <c r="I600" s="3">
        <v>24</v>
      </c>
      <c r="J600" s="3" t="b">
        <v>0</v>
      </c>
      <c r="K600" s="4">
        <f>H600 - I600</f>
        <v>0</v>
      </c>
      <c r="L600" s="4">
        <f>IF(((H600 = 0)=TRUE),  0,  ROUND(100 * I600 / H600, 2))</f>
        <v>100</v>
      </c>
      <c r="M600" s="4" t="b">
        <f>K600 = 0</f>
        <v>1</v>
      </c>
      <c r="N600" s="4" t="str">
        <f>IF(((M600)=TRUE),  "",  D600)</f>
      </c>
      <c r="O600" s="4" t="str">
        <f>IF(((M600)=TRUE),  "",  E600)</f>
      </c>
      <c r="P600" s="4">
        <f>COUNTIFS(FieldDisagreements!E2:E50, A600)</f>
        <v>0</v>
      </c>
      <c r="Q600" s="4" t="str">
        <f>_xlfn.IFNA(IF(((INDEX(ConformanceSubstrates!C2:C9, MATCH(D600,ConformanceSubstrates!A2:A9, 0))="")=TRUE),  "",  INDEX(ConformanceSubstrates!C2:C9, MATCH(D600,ConformanceSubstrates!A2:A9, 0))), "")</f>
        <v>TypeScript</v>
      </c>
      <c r="R600" s="4" t="str">
        <f>_xlfn.IFNA(IF(((INDEX(RulebookTables!F2:F93, MATCH(E600,RulebookTables!A2:A93, 0))="")=TRUE),  "",  INDEX(RulebookTables!F2:F93, MATCH(E600,RulebookTables!A2:A93, 0))), "")</f>
        <v>org</v>
      </c>
      <c r="S600" s="3" t="s">
        <v>1918</v>
      </c>
    </row>
    <row r="601">
      <c r="A601" s="3" t="s">
        <v>14704</v>
      </c>
      <c r="B601" s="4" t="str">
        <f>_xlfn.CONCAT(D601, " / ", E601)</f>
        <v>effortless-typescript / AppNavGroups</v>
      </c>
      <c r="C601" s="3" t="s">
        <v>14074</v>
      </c>
      <c r="D601" s="3" t="s">
        <v>14041</v>
      </c>
      <c r="E601" s="3" t="s">
        <v>1873</v>
      </c>
      <c r="F601" s="3">
        <v>23</v>
      </c>
      <c r="G601" s="3">
        <v>2</v>
      </c>
      <c r="H601" s="3">
        <v>46</v>
      </c>
      <c r="I601" s="3">
        <v>46</v>
      </c>
      <c r="J601" s="3" t="b">
        <v>0</v>
      </c>
      <c r="K601" s="4">
        <f>H601 - I601</f>
        <v>0</v>
      </c>
      <c r="L601" s="4">
        <f>IF(((H601 = 0)=TRUE),  0,  ROUND(100 * I601 / H601, 2))</f>
        <v>100</v>
      </c>
      <c r="M601" s="4" t="b">
        <f>K601 = 0</f>
        <v>1</v>
      </c>
      <c r="N601" s="4" t="str">
        <f>IF(((M601)=TRUE),  "",  D601)</f>
      </c>
      <c r="O601" s="4" t="str">
        <f>IF(((M601)=TRUE),  "",  E601)</f>
      </c>
      <c r="P601" s="4">
        <f>COUNTIFS(FieldDisagreements!E2:E50, A601)</f>
        <v>0</v>
      </c>
      <c r="Q601" s="4" t="str">
        <f>_xlfn.IFNA(IF(((INDEX(ConformanceSubstrates!C2:C9, MATCH(D601,ConformanceSubstrates!A2:A9, 0))="")=TRUE),  "",  INDEX(ConformanceSubstrates!C2:C9, MATCH(D601,ConformanceSubstrates!A2:A9, 0))), "")</f>
        <v>TypeScript</v>
      </c>
      <c r="R601" s="4" t="str">
        <f>_xlfn.IFNA(IF(((INDEX(RulebookTables!F2:F93, MATCH(E601,RulebookTables!A2:A93, 0))="")=TRUE),  "",  INDEX(RulebookTables!F2:F93, MATCH(E601,RulebookTables!A2:A93, 0))), "")</f>
        <v>application</v>
      </c>
      <c r="S601" s="3" t="s">
        <v>1918</v>
      </c>
    </row>
    <row r="602">
      <c r="A602" s="3" t="s">
        <v>14705</v>
      </c>
      <c r="B602" s="4" t="str">
        <f>_xlfn.CONCAT(D602, " / ", E602)</f>
        <v>effortless-typescript / AppRoutes</v>
      </c>
      <c r="C602" s="3" t="s">
        <v>14074</v>
      </c>
      <c r="D602" s="3" t="s">
        <v>14041</v>
      </c>
      <c r="E602" s="3" t="s">
        <v>1877</v>
      </c>
      <c r="F602" s="3">
        <v>149</v>
      </c>
      <c r="G602" s="3">
        <v>7</v>
      </c>
      <c r="H602" s="3">
        <v>1043</v>
      </c>
      <c r="I602" s="3">
        <v>1043</v>
      </c>
      <c r="J602" s="3" t="b">
        <v>0</v>
      </c>
      <c r="K602" s="4">
        <f>H602 - I602</f>
        <v>0</v>
      </c>
      <c r="L602" s="4">
        <f>IF(((H602 = 0)=TRUE),  0,  ROUND(100 * I602 / H602, 2))</f>
        <v>100</v>
      </c>
      <c r="M602" s="4" t="b">
        <f>K602 = 0</f>
        <v>1</v>
      </c>
      <c r="N602" s="4" t="str">
        <f>IF(((M602)=TRUE),  "",  D602)</f>
      </c>
      <c r="O602" s="4" t="str">
        <f>IF(((M602)=TRUE),  "",  E602)</f>
      </c>
      <c r="P602" s="4">
        <f>COUNTIFS(FieldDisagreements!E2:E50, A602)</f>
        <v>0</v>
      </c>
      <c r="Q602" s="4" t="str">
        <f>_xlfn.IFNA(IF(((INDEX(ConformanceSubstrates!C2:C9, MATCH(D602,ConformanceSubstrates!A2:A9, 0))="")=TRUE),  "",  INDEX(ConformanceSubstrates!C2:C9, MATCH(D602,ConformanceSubstrates!A2:A9, 0))), "")</f>
        <v>TypeScript</v>
      </c>
      <c r="R602" s="4" t="str">
        <f>_xlfn.IFNA(IF(((INDEX(RulebookTables!F2:F93, MATCH(E602,RulebookTables!A2:A93, 0))="")=TRUE),  "",  INDEX(RulebookTables!F2:F93, MATCH(E602,RulebookTables!A2:A93, 0))), "")</f>
        <v>application</v>
      </c>
      <c r="S602" s="3" t="s">
        <v>1918</v>
      </c>
    </row>
    <row r="603">
      <c r="A603" s="3" t="s">
        <v>14706</v>
      </c>
      <c r="B603" s="4" t="str">
        <f>_xlfn.CONCAT(D603, " / ", E603)</f>
        <v>effortless-typescript / AppRouteQuestions</v>
      </c>
      <c r="C603" s="3" t="s">
        <v>14074</v>
      </c>
      <c r="D603" s="3" t="s">
        <v>14041</v>
      </c>
      <c r="E603" s="3" t="s">
        <v>1881</v>
      </c>
      <c r="F603" s="3">
        <v>151</v>
      </c>
      <c r="G603" s="3">
        <v>1</v>
      </c>
      <c r="H603" s="3">
        <v>151</v>
      </c>
      <c r="I603" s="3">
        <v>151</v>
      </c>
      <c r="J603" s="3" t="b">
        <v>0</v>
      </c>
      <c r="K603" s="4">
        <f>H603 - I603</f>
        <v>0</v>
      </c>
      <c r="L603" s="4">
        <f>IF(((H603 = 0)=TRUE),  0,  ROUND(100 * I603 / H603, 2))</f>
        <v>100</v>
      </c>
      <c r="M603" s="4" t="b">
        <f>K603 = 0</f>
        <v>1</v>
      </c>
      <c r="N603" s="4" t="str">
        <f>IF(((M603)=TRUE),  "",  D603)</f>
      </c>
      <c r="O603" s="4" t="str">
        <f>IF(((M603)=TRUE),  "",  E603)</f>
      </c>
      <c r="P603" s="4">
        <f>COUNTIFS(FieldDisagreements!E2:E50, A603)</f>
        <v>0</v>
      </c>
      <c r="Q603" s="4" t="str">
        <f>_xlfn.IFNA(IF(((INDEX(ConformanceSubstrates!C2:C9, MATCH(D603,ConformanceSubstrates!A2:A9, 0))="")=TRUE),  "",  INDEX(ConformanceSubstrates!C2:C9, MATCH(D603,ConformanceSubstrates!A2:A9, 0))), "")</f>
        <v>TypeScript</v>
      </c>
      <c r="R603" s="4" t="str">
        <f>_xlfn.IFNA(IF(((INDEX(RulebookTables!F2:F93, MATCH(E603,RulebookTables!A2:A93, 0))="")=TRUE),  "",  INDEX(RulebookTables!F2:F93, MATCH(E603,RulebookTables!A2:A93, 0))), "")</f>
        <v>application</v>
      </c>
      <c r="S603" s="3" t="s">
        <v>1918</v>
      </c>
    </row>
    <row r="604">
      <c r="A604" s="3" t="s">
        <v>14707</v>
      </c>
      <c r="B604" s="4" t="str">
        <f>_xlfn.CONCAT(D604, " / ", E604)</f>
        <v>effortless-typescript / AppRouteReferences</v>
      </c>
      <c r="C604" s="3" t="s">
        <v>14074</v>
      </c>
      <c r="D604" s="3" t="s">
        <v>14041</v>
      </c>
      <c r="E604" s="3" t="s">
        <v>1885</v>
      </c>
      <c r="F604" s="3">
        <v>315</v>
      </c>
      <c r="G604" s="3">
        <v>1</v>
      </c>
      <c r="H604" s="3">
        <v>315</v>
      </c>
      <c r="I604" s="3">
        <v>315</v>
      </c>
      <c r="J604" s="3" t="b">
        <v>0</v>
      </c>
      <c r="K604" s="4">
        <f>H604 - I604</f>
        <v>0</v>
      </c>
      <c r="L604" s="4">
        <f>IF(((H604 = 0)=TRUE),  0,  ROUND(100 * I604 / H604, 2))</f>
        <v>100</v>
      </c>
      <c r="M604" s="4" t="b">
        <f>K604 = 0</f>
        <v>1</v>
      </c>
      <c r="N604" s="4" t="str">
        <f>IF(((M604)=TRUE),  "",  D604)</f>
      </c>
      <c r="O604" s="4" t="str">
        <f>IF(((M604)=TRUE),  "",  E604)</f>
      </c>
      <c r="P604" s="4">
        <f>COUNTIFS(FieldDisagreements!E2:E50, A604)</f>
        <v>0</v>
      </c>
      <c r="Q604" s="4" t="str">
        <f>_xlfn.IFNA(IF(((INDEX(ConformanceSubstrates!C2:C9, MATCH(D604,ConformanceSubstrates!A2:A9, 0))="")=TRUE),  "",  INDEX(ConformanceSubstrates!C2:C9, MATCH(D604,ConformanceSubstrates!A2:A9, 0))), "")</f>
        <v>TypeScript</v>
      </c>
      <c r="R604" s="4" t="str">
        <f>_xlfn.IFNA(IF(((INDEX(RulebookTables!F2:F93, MATCH(E604,RulebookTables!A2:A93, 0))="")=TRUE),  "",  INDEX(RulebookTables!F2:F93, MATCH(E604,RulebookTables!A2:A93, 0))), "")</f>
        <v>application</v>
      </c>
      <c r="S604" s="3" t="s">
        <v>1918</v>
      </c>
    </row>
    <row r="605">
      <c r="A605" s="3" t="s">
        <v>14708</v>
      </c>
      <c r="B605" s="4" t="str">
        <f>_xlfn.CONCAT(D605, " / ", E605)</f>
        <v>effortless-typescript / RulebookTables</v>
      </c>
      <c r="C605" s="3" t="s">
        <v>14074</v>
      </c>
      <c r="D605" s="3" t="s">
        <v>14041</v>
      </c>
      <c r="E605" s="3" t="s">
        <v>5352</v>
      </c>
      <c r="F605" s="3">
        <v>92</v>
      </c>
      <c r="G605" s="3">
        <v>5</v>
      </c>
      <c r="H605" s="3">
        <v>460</v>
      </c>
      <c r="I605" s="3">
        <v>460</v>
      </c>
      <c r="J605" s="3" t="b">
        <v>0</v>
      </c>
      <c r="K605" s="4">
        <f>H605 - I605</f>
        <v>0</v>
      </c>
      <c r="L605" s="4">
        <f>IF(((H605 = 0)=TRUE),  0,  ROUND(100 * I605 / H605, 2))</f>
        <v>100</v>
      </c>
      <c r="M605" s="4" t="b">
        <f>K605 = 0</f>
        <v>1</v>
      </c>
      <c r="N605" s="4" t="str">
        <f>IF(((M605)=TRUE),  "",  D605)</f>
      </c>
      <c r="O605" s="4" t="str">
        <f>IF(((M605)=TRUE),  "",  E605)</f>
      </c>
      <c r="P605" s="4">
        <f>COUNTIFS(FieldDisagreements!E2:E50, A605)</f>
        <v>0</v>
      </c>
      <c r="Q605" s="4" t="str">
        <f>_xlfn.IFNA(IF(((INDEX(ConformanceSubstrates!C2:C9, MATCH(D605,ConformanceSubstrates!A2:A9, 0))="")=TRUE),  "",  INDEX(ConformanceSubstrates!C2:C9, MATCH(D605,ConformanceSubstrates!A2:A9, 0))), "")</f>
        <v>TypeScript</v>
      </c>
      <c r="R605" s="4" t="str">
        <f>_xlfn.IFNA(IF(((INDEX(RulebookTables!F2:F93, MATCH(E605,RulebookTables!A2:A93, 0))="")=TRUE),  "",  INDEX(RulebookTables!F2:F93, MATCH(E605,RulebookTables!A2:A93, 0))), "")</f>
        <v>meta</v>
      </c>
      <c r="S605" s="3" t="s">
        <v>1918</v>
      </c>
    </row>
    <row r="606">
      <c r="A606" s="3" t="s">
        <v>14709</v>
      </c>
      <c r="B606" s="4" t="str">
        <f>_xlfn.CONCAT(D606, " / ", E606)</f>
        <v>effortless-typescript / AccessPrincipals</v>
      </c>
      <c r="C606" s="3" t="s">
        <v>14074</v>
      </c>
      <c r="D606" s="3" t="s">
        <v>14041</v>
      </c>
      <c r="E606" s="3" t="s">
        <v>5379</v>
      </c>
      <c r="F606" s="3">
        <v>12</v>
      </c>
      <c r="G606" s="3">
        <v>8</v>
      </c>
      <c r="H606" s="3">
        <v>96</v>
      </c>
      <c r="I606" s="3">
        <v>96</v>
      </c>
      <c r="J606" s="3" t="b">
        <v>0</v>
      </c>
      <c r="K606" s="4">
        <f>H606 - I606</f>
        <v>0</v>
      </c>
      <c r="L606" s="4">
        <f>IF(((H606 = 0)=TRUE),  0,  ROUND(100 * I606 / H606, 2))</f>
        <v>100</v>
      </c>
      <c r="M606" s="4" t="b">
        <f>K606 = 0</f>
        <v>1</v>
      </c>
      <c r="N606" s="4" t="str">
        <f>IF(((M606)=TRUE),  "",  D606)</f>
      </c>
      <c r="O606" s="4" t="str">
        <f>IF(((M606)=TRUE),  "",  E606)</f>
      </c>
      <c r="P606" s="4">
        <f>COUNTIFS(FieldDisagreements!E2:E50, A606)</f>
        <v>0</v>
      </c>
      <c r="Q606" s="4" t="str">
        <f>_xlfn.IFNA(IF(((INDEX(ConformanceSubstrates!C2:C9, MATCH(D606,ConformanceSubstrates!A2:A9, 0))="")=TRUE),  "",  INDEX(ConformanceSubstrates!C2:C9, MATCH(D606,ConformanceSubstrates!A2:A9, 0))), "")</f>
        <v>TypeScript</v>
      </c>
      <c r="R606" s="4" t="str">
        <f>_xlfn.IFNA(IF(((INDEX(RulebookTables!F2:F93, MATCH(E606,RulebookTables!A2:A93, 0))="")=TRUE),  "",  INDEX(RulebookTables!F2:F93, MATCH(E606,RulebookTables!A2:A93, 0))), "")</f>
        <v>access-control</v>
      </c>
      <c r="S606" s="3" t="s">
        <v>1918</v>
      </c>
    </row>
    <row r="607">
      <c r="A607" s="3" t="s">
        <v>14710</v>
      </c>
      <c r="B607" s="4" t="str">
        <f>_xlfn.CONCAT(D607, " / ", E607)</f>
        <v>effortless-typescript / AccessPolicies</v>
      </c>
      <c r="C607" s="3" t="s">
        <v>14074</v>
      </c>
      <c r="D607" s="3" t="s">
        <v>14041</v>
      </c>
      <c r="E607" s="3" t="s">
        <v>5412</v>
      </c>
      <c r="F607" s="3">
        <v>202</v>
      </c>
      <c r="G607" s="3">
        <v>7</v>
      </c>
      <c r="H607" s="3">
        <v>1414</v>
      </c>
      <c r="I607" s="3">
        <v>1414</v>
      </c>
      <c r="J607" s="3" t="b">
        <v>0</v>
      </c>
      <c r="K607" s="4">
        <f>H607 - I607</f>
        <v>0</v>
      </c>
      <c r="L607" s="4">
        <f>IF(((H607 = 0)=TRUE),  0,  ROUND(100 * I607 / H607, 2))</f>
        <v>100</v>
      </c>
      <c r="M607" s="4" t="b">
        <f>K607 = 0</f>
        <v>1</v>
      </c>
      <c r="N607" s="4" t="str">
        <f>IF(((M607)=TRUE),  "",  D607)</f>
      </c>
      <c r="O607" s="4" t="str">
        <f>IF(((M607)=TRUE),  "",  E607)</f>
      </c>
      <c r="P607" s="4">
        <f>COUNTIFS(FieldDisagreements!E2:E50, A607)</f>
        <v>0</v>
      </c>
      <c r="Q607" s="4" t="str">
        <f>_xlfn.IFNA(IF(((INDEX(ConformanceSubstrates!C2:C9, MATCH(D607,ConformanceSubstrates!A2:A9, 0))="")=TRUE),  "",  INDEX(ConformanceSubstrates!C2:C9, MATCH(D607,ConformanceSubstrates!A2:A9, 0))), "")</f>
        <v>TypeScript</v>
      </c>
      <c r="R607" s="4" t="str">
        <f>_xlfn.IFNA(IF(((INDEX(RulebookTables!F2:F93, MATCH(E607,RulebookTables!A2:A93, 0))="")=TRUE),  "",  INDEX(RulebookTables!F2:F93, MATCH(E607,RulebookTables!A2:A93, 0))), "")</f>
        <v>access-control</v>
      </c>
      <c r="S607" s="3" t="s">
        <v>1918</v>
      </c>
    </row>
    <row r="608">
      <c r="A608" s="3" t="s">
        <v>14711</v>
      </c>
      <c r="B608" s="4" t="str">
        <f>_xlfn.CONCAT(D608, " / ", E608)</f>
        <v>effortless-typescript / FieldGrants</v>
      </c>
      <c r="C608" s="3" t="s">
        <v>14074</v>
      </c>
      <c r="D608" s="3" t="s">
        <v>14041</v>
      </c>
      <c r="E608" s="3" t="s">
        <v>5448</v>
      </c>
      <c r="F608" s="3">
        <v>3639</v>
      </c>
      <c r="G608" s="3">
        <v>7</v>
      </c>
      <c r="H608" s="3">
        <v>25473</v>
      </c>
      <c r="I608" s="3">
        <v>25473</v>
      </c>
      <c r="J608" s="3" t="b">
        <v>0</v>
      </c>
      <c r="K608" s="4">
        <f>H608 - I608</f>
        <v>0</v>
      </c>
      <c r="L608" s="4">
        <f>IF(((H608 = 0)=TRUE),  0,  ROUND(100 * I608 / H608, 2))</f>
        <v>100</v>
      </c>
      <c r="M608" s="4" t="b">
        <f>K608 = 0</f>
        <v>1</v>
      </c>
      <c r="N608" s="4" t="str">
        <f>IF(((M608)=TRUE),  "",  D608)</f>
      </c>
      <c r="O608" s="4" t="str">
        <f>IF(((M608)=TRUE),  "",  E608)</f>
      </c>
      <c r="P608" s="4">
        <f>COUNTIFS(FieldDisagreements!E2:E50, A608)</f>
        <v>0</v>
      </c>
      <c r="Q608" s="4" t="str">
        <f>_xlfn.IFNA(IF(((INDEX(ConformanceSubstrates!C2:C9, MATCH(D608,ConformanceSubstrates!A2:A9, 0))="")=TRUE),  "",  INDEX(ConformanceSubstrates!C2:C9, MATCH(D608,ConformanceSubstrates!A2:A9, 0))), "")</f>
        <v>TypeScript</v>
      </c>
      <c r="R608" s="4" t="str">
        <f>_xlfn.IFNA(IF(((INDEX(RulebookTables!F2:F93, MATCH(E608,RulebookTables!A2:A93, 0))="")=TRUE),  "",  INDEX(RulebookTables!F2:F93, MATCH(E608,RulebookTables!A2:A93, 0))), "")</f>
        <v>access-control</v>
      </c>
      <c r="S608" s="3" t="s">
        <v>1918</v>
      </c>
    </row>
    <row r="609">
      <c r="A609" s="3" t="s">
        <v>14712</v>
      </c>
      <c r="B609" s="4" t="str">
        <f>_xlfn.CONCAT(D609, " / ", E609)</f>
        <v>effortless-typescript / RoleSchemas</v>
      </c>
      <c r="C609" s="3" t="s">
        <v>14074</v>
      </c>
      <c r="D609" s="3" t="s">
        <v>14041</v>
      </c>
      <c r="E609" s="3" t="s">
        <v>5479</v>
      </c>
      <c r="F609" s="3">
        <v>12</v>
      </c>
      <c r="G609" s="3">
        <v>4</v>
      </c>
      <c r="H609" s="3">
        <v>48</v>
      </c>
      <c r="I609" s="3">
        <v>48</v>
      </c>
      <c r="J609" s="3" t="b">
        <v>0</v>
      </c>
      <c r="K609" s="4">
        <f>H609 - I609</f>
        <v>0</v>
      </c>
      <c r="L609" s="4">
        <f>IF(((H609 = 0)=TRUE),  0,  ROUND(100 * I609 / H609, 2))</f>
        <v>100</v>
      </c>
      <c r="M609" s="4" t="b">
        <f>K609 = 0</f>
        <v>1</v>
      </c>
      <c r="N609" s="4" t="str">
        <f>IF(((M609)=TRUE),  "",  D609)</f>
      </c>
      <c r="O609" s="4" t="str">
        <f>IF(((M609)=TRUE),  "",  E609)</f>
      </c>
      <c r="P609" s="4">
        <f>COUNTIFS(FieldDisagreements!E2:E50, A609)</f>
        <v>0</v>
      </c>
      <c r="Q609" s="4" t="str">
        <f>_xlfn.IFNA(IF(((INDEX(ConformanceSubstrates!C2:C9, MATCH(D609,ConformanceSubstrates!A2:A9, 0))="")=TRUE),  "",  INDEX(ConformanceSubstrates!C2:C9, MATCH(D609,ConformanceSubstrates!A2:A9, 0))), "")</f>
        <v>TypeScript</v>
      </c>
      <c r="R609" s="4" t="str">
        <f>_xlfn.IFNA(IF(((INDEX(RulebookTables!F2:F93, MATCH(E609,RulebookTables!A2:A93, 0))="")=TRUE),  "",  INDEX(RulebookTables!F2:F93, MATCH(E609,RulebookTables!A2:A93, 0))), "")</f>
        <v>org</v>
      </c>
      <c r="S609" s="3" t="s">
        <v>1918</v>
      </c>
    </row>
    <row r="610">
      <c r="A610" s="3" t="s">
        <v>14713</v>
      </c>
      <c r="B610" s="4" t="str">
        <f>_xlfn.CONCAT(D610, " / ", E610)</f>
        <v>effortless-typescript / RoleSchemaViews</v>
      </c>
      <c r="C610" s="3" t="s">
        <v>14074</v>
      </c>
      <c r="D610" s="3" t="s">
        <v>14041</v>
      </c>
      <c r="E610" s="3" t="s">
        <v>5497</v>
      </c>
      <c r="F610" s="3">
        <v>202</v>
      </c>
      <c r="G610" s="3">
        <v>8</v>
      </c>
      <c r="H610" s="3">
        <v>1616</v>
      </c>
      <c r="I610" s="3">
        <v>1616</v>
      </c>
      <c r="J610" s="3" t="b">
        <v>0</v>
      </c>
      <c r="K610" s="4">
        <f>H610 - I610</f>
        <v>0</v>
      </c>
      <c r="L610" s="4">
        <f>IF(((H610 = 0)=TRUE),  0,  ROUND(100 * I610 / H610, 2))</f>
        <v>100</v>
      </c>
      <c r="M610" s="4" t="b">
        <f>K610 = 0</f>
        <v>1</v>
      </c>
      <c r="N610" s="4" t="str">
        <f>IF(((M610)=TRUE),  "",  D610)</f>
      </c>
      <c r="O610" s="4" t="str">
        <f>IF(((M610)=TRUE),  "",  E610)</f>
      </c>
      <c r="P610" s="4">
        <f>COUNTIFS(FieldDisagreements!E2:E50, A610)</f>
        <v>0</v>
      </c>
      <c r="Q610" s="4" t="str">
        <f>_xlfn.IFNA(IF(((INDEX(ConformanceSubstrates!C2:C9, MATCH(D610,ConformanceSubstrates!A2:A9, 0))="")=TRUE),  "",  INDEX(ConformanceSubstrates!C2:C9, MATCH(D610,ConformanceSubstrates!A2:A9, 0))), "")</f>
        <v>TypeScript</v>
      </c>
      <c r="R610" s="4" t="str">
        <f>_xlfn.IFNA(IF(((INDEX(RulebookTables!F2:F93, MATCH(E610,RulebookTables!A2:A93, 0))="")=TRUE),  "",  INDEX(RulebookTables!F2:F93, MATCH(E610,RulebookTables!A2:A93, 0))), "")</f>
        <v>org</v>
      </c>
      <c r="S610" s="3" t="s">
        <v>1918</v>
      </c>
    </row>
    <row r="611">
      <c r="A611" s="3" t="s">
        <v>14714</v>
      </c>
      <c r="B611" s="4" t="str">
        <f>_xlfn.CONCAT(D611, " / ", E611)</f>
        <v>effortless-typescript / JwtClaimMappings</v>
      </c>
      <c r="C611" s="3" t="s">
        <v>14074</v>
      </c>
      <c r="D611" s="3" t="s">
        <v>14041</v>
      </c>
      <c r="E611" s="3" t="s">
        <v>5529</v>
      </c>
      <c r="F611" s="3">
        <v>4</v>
      </c>
      <c r="G611" s="3">
        <v>2</v>
      </c>
      <c r="H611" s="3">
        <v>8</v>
      </c>
      <c r="I611" s="3">
        <v>8</v>
      </c>
      <c r="J611" s="3" t="b">
        <v>0</v>
      </c>
      <c r="K611" s="4">
        <f>H611 - I611</f>
        <v>0</v>
      </c>
      <c r="L611" s="4">
        <f>IF(((H611 = 0)=TRUE),  0,  ROUND(100 * I611 / H611, 2))</f>
        <v>100</v>
      </c>
      <c r="M611" s="4" t="b">
        <f>K611 = 0</f>
        <v>1</v>
      </c>
      <c r="N611" s="4" t="str">
        <f>IF(((M611)=TRUE),  "",  D611)</f>
      </c>
      <c r="O611" s="4" t="str">
        <f>IF(((M611)=TRUE),  "",  E611)</f>
      </c>
      <c r="P611" s="4">
        <f>COUNTIFS(FieldDisagreements!E2:E50, A611)</f>
        <v>0</v>
      </c>
      <c r="Q611" s="4" t="str">
        <f>_xlfn.IFNA(IF(((INDEX(ConformanceSubstrates!C2:C9, MATCH(D611,ConformanceSubstrates!A2:A9, 0))="")=TRUE),  "",  INDEX(ConformanceSubstrates!C2:C9, MATCH(D611,ConformanceSubstrates!A2:A9, 0))), "")</f>
        <v>TypeScript</v>
      </c>
      <c r="R611" s="4" t="str">
        <f>_xlfn.IFNA(IF(((INDEX(RulebookTables!F2:F93, MATCH(E611,RulebookTables!A2:A93, 0))="")=TRUE),  "",  INDEX(RulebookTables!F2:F93, MATCH(E611,RulebookTables!A2:A93, 0))), "")</f>
        <v>access-control</v>
      </c>
      <c r="S611" s="3" t="s">
        <v>1918</v>
      </c>
    </row>
    <row r="612">
      <c r="A612" s="3" t="s">
        <v>14715</v>
      </c>
      <c r="B612" s="4" t="str">
        <f>_xlfn.CONCAT(D612, " / ", E612)</f>
        <v>effortless-typescript / AccessDenialTests</v>
      </c>
      <c r="C612" s="3" t="s">
        <v>14074</v>
      </c>
      <c r="D612" s="3" t="s">
        <v>14041</v>
      </c>
      <c r="E612" s="3" t="s">
        <v>5548</v>
      </c>
      <c r="F612" s="3">
        <v>17</v>
      </c>
      <c r="G612" s="3">
        <v>6</v>
      </c>
      <c r="H612" s="3">
        <v>102</v>
      </c>
      <c r="I612" s="3">
        <v>102</v>
      </c>
      <c r="J612" s="3" t="b">
        <v>0</v>
      </c>
      <c r="K612" s="4">
        <f>H612 - I612</f>
        <v>0</v>
      </c>
      <c r="L612" s="4">
        <f>IF(((H612 = 0)=TRUE),  0,  ROUND(100 * I612 / H612, 2))</f>
        <v>100</v>
      </c>
      <c r="M612" s="4" t="b">
        <f>K612 = 0</f>
        <v>1</v>
      </c>
      <c r="N612" s="4" t="str">
        <f>IF(((M612)=TRUE),  "",  D612)</f>
      </c>
      <c r="O612" s="4" t="str">
        <f>IF(((M612)=TRUE),  "",  E612)</f>
      </c>
      <c r="P612" s="4">
        <f>COUNTIFS(FieldDisagreements!E2:E50, A612)</f>
        <v>0</v>
      </c>
      <c r="Q612" s="4" t="str">
        <f>_xlfn.IFNA(IF(((INDEX(ConformanceSubstrates!C2:C9, MATCH(D612,ConformanceSubstrates!A2:A9, 0))="")=TRUE),  "",  INDEX(ConformanceSubstrates!C2:C9, MATCH(D612,ConformanceSubstrates!A2:A9, 0))), "")</f>
        <v>TypeScript</v>
      </c>
      <c r="R612" s="4" t="str">
        <f>_xlfn.IFNA(IF(((INDEX(RulebookTables!F2:F93, MATCH(E612,RulebookTables!A2:A93, 0))="")=TRUE),  "",  INDEX(RulebookTables!F2:F93, MATCH(E612,RulebookTables!A2:A93, 0))), "")</f>
        <v>access-control</v>
      </c>
      <c r="S612" s="3" t="s">
        <v>1918</v>
      </c>
    </row>
    <row r="613">
      <c r="A613" s="3" t="s">
        <v>14716</v>
      </c>
      <c r="B613" s="4" t="str">
        <f>_xlfn.CONCAT(D613, " / ", E613)</f>
        <v>effortless-typescript / AppUsers</v>
      </c>
      <c r="C613" s="3" t="s">
        <v>14074</v>
      </c>
      <c r="D613" s="3" t="s">
        <v>14041</v>
      </c>
      <c r="E613" s="3" t="s">
        <v>5584</v>
      </c>
      <c r="F613" s="3">
        <v>10</v>
      </c>
      <c r="G613" s="3">
        <v>7</v>
      </c>
      <c r="H613" s="3">
        <v>70</v>
      </c>
      <c r="I613" s="3">
        <v>70</v>
      </c>
      <c r="J613" s="3" t="b">
        <v>0</v>
      </c>
      <c r="K613" s="4">
        <f>H613 - I613</f>
        <v>0</v>
      </c>
      <c r="L613" s="4">
        <f>IF(((H613 = 0)=TRUE),  0,  ROUND(100 * I613 / H613, 2))</f>
        <v>100</v>
      </c>
      <c r="M613" s="4" t="b">
        <f>K613 = 0</f>
        <v>1</v>
      </c>
      <c r="N613" s="4" t="str">
        <f>IF(((M613)=TRUE),  "",  D613)</f>
      </c>
      <c r="O613" s="4" t="str">
        <f>IF(((M613)=TRUE),  "",  E613)</f>
      </c>
      <c r="P613" s="4">
        <f>COUNTIFS(FieldDisagreements!E2:E50, A613)</f>
        <v>0</v>
      </c>
      <c r="Q613" s="4" t="str">
        <f>_xlfn.IFNA(IF(((INDEX(ConformanceSubstrates!C2:C9, MATCH(D613,ConformanceSubstrates!A2:A9, 0))="")=TRUE),  "",  INDEX(ConformanceSubstrates!C2:C9, MATCH(D613,ConformanceSubstrates!A2:A9, 0))), "")</f>
        <v>TypeScript</v>
      </c>
      <c r="R613" s="4" t="str">
        <f>_xlfn.IFNA(IF(((INDEX(RulebookTables!F2:F93, MATCH(E613,RulebookTables!A2:A93, 0))="")=TRUE),  "",  INDEX(RulebookTables!F2:F93, MATCH(E613,RulebookTables!A2:A93, 0))), "")</f>
      </c>
      <c r="S613" s="3" t="s">
        <v>1918</v>
      </c>
    </row>
    <row r="614">
      <c r="A614" s="3" t="s">
        <v>14717</v>
      </c>
      <c r="B614" s="4" t="str">
        <f>_xlfn.CONCAT(D614, " / ", E614)</f>
        <v>effortless-typescript / PrincipalAssignments</v>
      </c>
      <c r="C614" s="3" t="s">
        <v>14074</v>
      </c>
      <c r="D614" s="3" t="s">
        <v>14041</v>
      </c>
      <c r="E614" s="3" t="s">
        <v>5611</v>
      </c>
      <c r="F614" s="3">
        <v>12</v>
      </c>
      <c r="G614" s="3">
        <v>5</v>
      </c>
      <c r="H614" s="3">
        <v>60</v>
      </c>
      <c r="I614" s="3">
        <v>60</v>
      </c>
      <c r="J614" s="3" t="b">
        <v>0</v>
      </c>
      <c r="K614" s="4">
        <f>H614 - I614</f>
        <v>0</v>
      </c>
      <c r="L614" s="4">
        <f>IF(((H614 = 0)=TRUE),  0,  ROUND(100 * I614 / H614, 2))</f>
        <v>100</v>
      </c>
      <c r="M614" s="4" t="b">
        <f>K614 = 0</f>
        <v>1</v>
      </c>
      <c r="N614" s="4" t="str">
        <f>IF(((M614)=TRUE),  "",  D614)</f>
      </c>
      <c r="O614" s="4" t="str">
        <f>IF(((M614)=TRUE),  "",  E614)</f>
      </c>
      <c r="P614" s="4">
        <f>COUNTIFS(FieldDisagreements!E2:E50, A614)</f>
        <v>0</v>
      </c>
      <c r="Q614" s="4" t="str">
        <f>_xlfn.IFNA(IF(((INDEX(ConformanceSubstrates!C2:C9, MATCH(D614,ConformanceSubstrates!A2:A9, 0))="")=TRUE),  "",  INDEX(ConformanceSubstrates!C2:C9, MATCH(D614,ConformanceSubstrates!A2:A9, 0))), "")</f>
        <v>TypeScript</v>
      </c>
      <c r="R614" s="4" t="str">
        <f>_xlfn.IFNA(IF(((INDEX(RulebookTables!F2:F93, MATCH(E614,RulebookTables!A2:A93, 0))="")=TRUE),  "",  INDEX(RulebookTables!F2:F93, MATCH(E614,RulebookTables!A2:A93, 0))), "")</f>
      </c>
      <c r="S614" s="3" t="s">
        <v>1918</v>
      </c>
    </row>
    <row r="615">
      <c r="A615" s="3" t="s">
        <v>14718</v>
      </c>
      <c r="B615" s="4" t="str">
        <f>_xlfn.CONCAT(D615, " / ", E615)</f>
        <v>effortless-typescript / ProcessMiningRuns</v>
      </c>
      <c r="C615" s="3" t="s">
        <v>14074</v>
      </c>
      <c r="D615" s="3" t="s">
        <v>14041</v>
      </c>
      <c r="E615" s="3" t="s">
        <v>1889</v>
      </c>
      <c r="F615" s="3">
        <v>4</v>
      </c>
      <c r="G615" s="3">
        <v>10</v>
      </c>
      <c r="H615" s="3">
        <v>40</v>
      </c>
      <c r="I615" s="3">
        <v>40</v>
      </c>
      <c r="J615" s="3" t="b">
        <v>0</v>
      </c>
      <c r="K615" s="4">
        <f>H615 - I615</f>
        <v>0</v>
      </c>
      <c r="L615" s="4">
        <f>IF(((H615 = 0)=TRUE),  0,  ROUND(100 * I615 / H615, 2))</f>
        <v>100</v>
      </c>
      <c r="M615" s="4" t="b">
        <f>K615 = 0</f>
        <v>1</v>
      </c>
      <c r="N615" s="4" t="str">
        <f>IF(((M615)=TRUE),  "",  D615)</f>
      </c>
      <c r="O615" s="4" t="str">
        <f>IF(((M615)=TRUE),  "",  E615)</f>
      </c>
      <c r="P615" s="4">
        <f>COUNTIFS(FieldDisagreements!E2:E50, A615)</f>
        <v>0</v>
      </c>
      <c r="Q615" s="4" t="str">
        <f>_xlfn.IFNA(IF(((INDEX(ConformanceSubstrates!C2:C9, MATCH(D615,ConformanceSubstrates!A2:A9, 0))="")=TRUE),  "",  INDEX(ConformanceSubstrates!C2:C9, MATCH(D615,ConformanceSubstrates!A2:A9, 0))), "")</f>
        <v>TypeScript</v>
      </c>
      <c r="R615" s="4" t="str">
        <f>_xlfn.IFNA(IF(((INDEX(RulebookTables!F2:F93, MATCH(E615,RulebookTables!A2:A93, 0))="")=TRUE),  "",  INDEX(RulebookTables!F2:F93, MATCH(E615,RulebookTables!A2:A93, 0))), "")</f>
        <v>knowledge</v>
      </c>
      <c r="S615" s="3" t="s">
        <v>1918</v>
      </c>
    </row>
    <row r="616">
      <c r="A616" s="3" t="s">
        <v>14719</v>
      </c>
      <c r="B616" s="4" t="str">
        <f>_xlfn.CONCAT(D616, " / ", E616)</f>
        <v>effortless-typescript / Vocabularies</v>
      </c>
      <c r="C616" s="3" t="s">
        <v>14074</v>
      </c>
      <c r="D616" s="3" t="s">
        <v>14041</v>
      </c>
      <c r="E616" s="3" t="s">
        <v>1893</v>
      </c>
      <c r="F616" s="3">
        <v>2</v>
      </c>
      <c r="G616" s="3">
        <v>4</v>
      </c>
      <c r="H616" s="3">
        <v>8</v>
      </c>
      <c r="I616" s="3">
        <v>8</v>
      </c>
      <c r="J616" s="3" t="b">
        <v>0</v>
      </c>
      <c r="K616" s="4">
        <f>H616 - I616</f>
        <v>0</v>
      </c>
      <c r="L616" s="4">
        <f>IF(((H616 = 0)=TRUE),  0,  ROUND(100 * I616 / H616, 2))</f>
        <v>100</v>
      </c>
      <c r="M616" s="4" t="b">
        <f>K616 = 0</f>
        <v>1</v>
      </c>
      <c r="N616" s="4" t="str">
        <f>IF(((M616)=TRUE),  "",  D616)</f>
      </c>
      <c r="O616" s="4" t="str">
        <f>IF(((M616)=TRUE),  "",  E616)</f>
      </c>
      <c r="P616" s="4">
        <f>COUNTIFS(FieldDisagreements!E2:E50, A616)</f>
        <v>0</v>
      </c>
      <c r="Q616" s="4" t="str">
        <f>_xlfn.IFNA(IF(((INDEX(ConformanceSubstrates!C2:C9, MATCH(D616,ConformanceSubstrates!A2:A9, 0))="")=TRUE),  "",  INDEX(ConformanceSubstrates!C2:C9, MATCH(D616,ConformanceSubstrates!A2:A9, 0))), "")</f>
        <v>TypeScript</v>
      </c>
      <c r="R616" s="4" t="str">
        <f>_xlfn.IFNA(IF(((INDEX(RulebookTables!F2:F93, MATCH(E616,RulebookTables!A2:A93, 0))="")=TRUE),  "",  INDEX(RulebookTables!F2:F93, MATCH(E616,RulebookTables!A2:A93, 0))), "")</f>
        <v>knowledge</v>
      </c>
      <c r="S616" s="3" t="s">
        <v>1918</v>
      </c>
    </row>
    <row r="617">
      <c r="A617" s="3" t="s">
        <v>14720</v>
      </c>
      <c r="B617" s="4" t="str">
        <f>_xlfn.CONCAT(D617, " / ", E617)</f>
        <v>effortless-typescript / VocabularyTerms</v>
      </c>
      <c r="C617" s="3" t="s">
        <v>14074</v>
      </c>
      <c r="D617" s="3" t="s">
        <v>14041</v>
      </c>
      <c r="E617" s="3" t="s">
        <v>1897</v>
      </c>
      <c r="F617" s="3">
        <v>12</v>
      </c>
      <c r="G617" s="3">
        <v>5</v>
      </c>
      <c r="H617" s="3">
        <v>60</v>
      </c>
      <c r="I617" s="3">
        <v>60</v>
      </c>
      <c r="J617" s="3" t="b">
        <v>0</v>
      </c>
      <c r="K617" s="4">
        <f>H617 - I617</f>
        <v>0</v>
      </c>
      <c r="L617" s="4">
        <f>IF(((H617 = 0)=TRUE),  0,  ROUND(100 * I617 / H617, 2))</f>
        <v>100</v>
      </c>
      <c r="M617" s="4" t="b">
        <f>K617 = 0</f>
        <v>1</v>
      </c>
      <c r="N617" s="4" t="str">
        <f>IF(((M617)=TRUE),  "",  D617)</f>
      </c>
      <c r="O617" s="4" t="str">
        <f>IF(((M617)=TRUE),  "",  E617)</f>
      </c>
      <c r="P617" s="4">
        <f>COUNTIFS(FieldDisagreements!E2:E50, A617)</f>
        <v>0</v>
      </c>
      <c r="Q617" s="4" t="str">
        <f>_xlfn.IFNA(IF(((INDEX(ConformanceSubstrates!C2:C9, MATCH(D617,ConformanceSubstrates!A2:A9, 0))="")=TRUE),  "",  INDEX(ConformanceSubstrates!C2:C9, MATCH(D617,ConformanceSubstrates!A2:A9, 0))), "")</f>
        <v>TypeScript</v>
      </c>
      <c r="R617" s="4" t="str">
        <f>_xlfn.IFNA(IF(((INDEX(RulebookTables!F2:F93, MATCH(E617,RulebookTables!A2:A93, 0))="")=TRUE),  "",  INDEX(RulebookTables!F2:F93, MATCH(E617,RulebookTables!A2:A93, 0))), "")</f>
        <v>knowledge</v>
      </c>
      <c r="S617" s="3" t="s">
        <v>1918</v>
      </c>
    </row>
    <row r="618">
      <c r="A618" s="3" t="s">
        <v>14721</v>
      </c>
      <c r="B618" s="4" t="str">
        <f>_xlfn.CONCAT(D618, " / ", E618)</f>
        <v>effortless-typescript / KnowledgeBrokerLinks</v>
      </c>
      <c r="C618" s="3" t="s">
        <v>14074</v>
      </c>
      <c r="D618" s="3" t="s">
        <v>14041</v>
      </c>
      <c r="E618" s="3" t="s">
        <v>1901</v>
      </c>
      <c r="F618" s="3">
        <v>5</v>
      </c>
      <c r="G618" s="3">
        <v>8</v>
      </c>
      <c r="H618" s="3">
        <v>40</v>
      </c>
      <c r="I618" s="3">
        <v>40</v>
      </c>
      <c r="J618" s="3" t="b">
        <v>0</v>
      </c>
      <c r="K618" s="4">
        <f>H618 - I618</f>
        <v>0</v>
      </c>
      <c r="L618" s="4">
        <f>IF(((H618 = 0)=TRUE),  0,  ROUND(100 * I618 / H618, 2))</f>
        <v>100</v>
      </c>
      <c r="M618" s="4" t="b">
        <f>K618 = 0</f>
        <v>1</v>
      </c>
      <c r="N618" s="4" t="str">
        <f>IF(((M618)=TRUE),  "",  D618)</f>
      </c>
      <c r="O618" s="4" t="str">
        <f>IF(((M618)=TRUE),  "",  E618)</f>
      </c>
      <c r="P618" s="4">
        <f>COUNTIFS(FieldDisagreements!E2:E50, A618)</f>
        <v>0</v>
      </c>
      <c r="Q618" s="4" t="str">
        <f>_xlfn.IFNA(IF(((INDEX(ConformanceSubstrates!C2:C9, MATCH(D618,ConformanceSubstrates!A2:A9, 0))="")=TRUE),  "",  INDEX(ConformanceSubstrates!C2:C9, MATCH(D618,ConformanceSubstrates!A2:A9, 0))), "")</f>
        <v>TypeScript</v>
      </c>
      <c r="R618" s="4" t="str">
        <f>_xlfn.IFNA(IF(((INDEX(RulebookTables!F2:F93, MATCH(E618,RulebookTables!A2:A93, 0))="")=TRUE),  "",  INDEX(RulebookTables!F2:F93, MATCH(E618,RulebookTables!A2:A93, 0))), "")</f>
        <v>knowledge</v>
      </c>
      <c r="S618" s="3" t="s">
        <v>1918</v>
      </c>
    </row>
    <row r="619">
      <c r="A619" s="3" t="s">
        <v>14722</v>
      </c>
      <c r="B619" s="4" t="str">
        <f>_xlfn.CONCAT(D619, " / ", E619)</f>
        <v>effortless-typescript / ConformanceSubstrates</v>
      </c>
      <c r="C619" s="3" t="s">
        <v>14074</v>
      </c>
      <c r="D619" s="3" t="s">
        <v>14041</v>
      </c>
      <c r="E619" s="3" t="s">
        <v>1905</v>
      </c>
      <c r="F619" s="3">
        <v>8</v>
      </c>
      <c r="G619" s="3">
        <v>11</v>
      </c>
      <c r="H619" s="3">
        <v>88</v>
      </c>
      <c r="I619" s="3">
        <v>88</v>
      </c>
      <c r="J619" s="3" t="b">
        <v>0</v>
      </c>
      <c r="K619" s="4">
        <f>H619 - I619</f>
        <v>0</v>
      </c>
      <c r="L619" s="4">
        <f>IF(((H619 = 0)=TRUE),  0,  ROUND(100 * I619 / H619, 2))</f>
        <v>100</v>
      </c>
      <c r="M619" s="4" t="b">
        <f>K619 = 0</f>
        <v>1</v>
      </c>
      <c r="N619" s="4" t="str">
        <f>IF(((M619)=TRUE),  "",  D619)</f>
      </c>
      <c r="O619" s="4" t="str">
        <f>IF(((M619)=TRUE),  "",  E619)</f>
      </c>
      <c r="P619" s="4">
        <f>COUNTIFS(FieldDisagreements!E2:E50, A619)</f>
        <v>0</v>
      </c>
      <c r="Q619" s="4" t="str">
        <f>_xlfn.IFNA(IF(((INDEX(ConformanceSubstrates!C2:C9, MATCH(D619,ConformanceSubstrates!A2:A9, 0))="")=TRUE),  "",  INDEX(ConformanceSubstrates!C2:C9, MATCH(D619,ConformanceSubstrates!A2:A9, 0))), "")</f>
        <v>TypeScript</v>
      </c>
      <c r="R619" s="4" t="str">
        <f>_xlfn.IFNA(IF(((INDEX(RulebookTables!F2:F93, MATCH(E619,RulebookTables!A2:A93, 0))="")=TRUE),  "",  INDEX(RulebookTables!F2:F93, MATCH(E619,RulebookTables!A2:A93, 0))), "")</f>
        <v>meta</v>
      </c>
      <c r="S619" s="3" t="s">
        <v>1918</v>
      </c>
    </row>
    <row r="620">
      <c r="A620" s="3" t="s">
        <v>14723</v>
      </c>
      <c r="B620" s="4" t="str">
        <f>_xlfn.CONCAT(D620, " / ", E620)</f>
        <v>effortless-typescript / ConformanceRuns</v>
      </c>
      <c r="C620" s="3" t="s">
        <v>14074</v>
      </c>
      <c r="D620" s="3" t="s">
        <v>14041</v>
      </c>
      <c r="E620" s="3" t="s">
        <v>1909</v>
      </c>
      <c r="F620" s="3">
        <v>3</v>
      </c>
      <c r="G620" s="3">
        <v>9</v>
      </c>
      <c r="H620" s="3">
        <v>27</v>
      </c>
      <c r="I620" s="3">
        <v>27</v>
      </c>
      <c r="J620" s="3" t="b">
        <v>0</v>
      </c>
      <c r="K620" s="4">
        <f>H620 - I620</f>
        <v>0</v>
      </c>
      <c r="L620" s="4">
        <f>IF(((H620 = 0)=TRUE),  0,  ROUND(100 * I620 / H620, 2))</f>
        <v>100</v>
      </c>
      <c r="M620" s="4" t="b">
        <f>K620 = 0</f>
        <v>1</v>
      </c>
      <c r="N620" s="4" t="str">
        <f>IF(((M620)=TRUE),  "",  D620)</f>
      </c>
      <c r="O620" s="4" t="str">
        <f>IF(((M620)=TRUE),  "",  E620)</f>
      </c>
      <c r="P620" s="4">
        <f>COUNTIFS(FieldDisagreements!E2:E50, A620)</f>
        <v>0</v>
      </c>
      <c r="Q620" s="4" t="str">
        <f>_xlfn.IFNA(IF(((INDEX(ConformanceSubstrates!C2:C9, MATCH(D620,ConformanceSubstrates!A2:A9, 0))="")=TRUE),  "",  INDEX(ConformanceSubstrates!C2:C9, MATCH(D620,ConformanceSubstrates!A2:A9, 0))), "")</f>
        <v>TypeScript</v>
      </c>
      <c r="R620" s="4" t="str">
        <f>_xlfn.IFNA(IF(((INDEX(RulebookTables!F2:F93, MATCH(E620,RulebookTables!A2:A93, 0))="")=TRUE),  "",  INDEX(RulebookTables!F2:F93, MATCH(E620,RulebookTables!A2:A93, 0))), "")</f>
        <v>meta</v>
      </c>
      <c r="S620" s="3" t="s">
        <v>1918</v>
      </c>
    </row>
    <row r="621">
      <c r="A621" s="3" t="s">
        <v>14724</v>
      </c>
      <c r="B621" s="4" t="str">
        <f>_xlfn.CONCAT(D621, " / ", E621)</f>
        <v>effortless-typescript / SubstrateRunScores</v>
      </c>
      <c r="C621" s="3" t="s">
        <v>14074</v>
      </c>
      <c r="D621" s="3" t="s">
        <v>14041</v>
      </c>
      <c r="E621" s="3" t="s">
        <v>1913</v>
      </c>
      <c r="F621" s="3">
        <v>21</v>
      </c>
      <c r="G621" s="3">
        <v>13</v>
      </c>
      <c r="H621" s="3">
        <v>273</v>
      </c>
      <c r="I621" s="3">
        <v>273</v>
      </c>
      <c r="J621" s="3" t="b">
        <v>0</v>
      </c>
      <c r="K621" s="4">
        <f>H621 - I621</f>
        <v>0</v>
      </c>
      <c r="L621" s="4">
        <f>IF(((H621 = 0)=TRUE),  0,  ROUND(100 * I621 / H621, 2))</f>
        <v>100</v>
      </c>
      <c r="M621" s="4" t="b">
        <f>K621 = 0</f>
        <v>1</v>
      </c>
      <c r="N621" s="4" t="str">
        <f>IF(((M621)=TRUE),  "",  D621)</f>
      </c>
      <c r="O621" s="4" t="str">
        <f>IF(((M621)=TRUE),  "",  E621)</f>
      </c>
      <c r="P621" s="4">
        <f>COUNTIFS(FieldDisagreements!E2:E50, A621)</f>
        <v>0</v>
      </c>
      <c r="Q621" s="4" t="str">
        <f>_xlfn.IFNA(IF(((INDEX(ConformanceSubstrates!C2:C9, MATCH(D621,ConformanceSubstrates!A2:A9, 0))="")=TRUE),  "",  INDEX(ConformanceSubstrates!C2:C9, MATCH(D621,ConformanceSubstrates!A2:A9, 0))), "")</f>
        <v>TypeScript</v>
      </c>
      <c r="R621" s="4" t="str">
        <f>_xlfn.IFNA(IF(((INDEX(RulebookTables!F2:F93, MATCH(E621,RulebookTables!A2:A93, 0))="")=TRUE),  "",  INDEX(RulebookTables!F2:F93, MATCH(E621,RulebookTables!A2:A93, 0))), "")</f>
        <v>meta</v>
      </c>
      <c r="S621" s="3" t="s">
        <v>1918</v>
      </c>
    </row>
    <row r="622">
      <c r="A622" s="3" t="s">
        <v>14725</v>
      </c>
      <c r="B622" s="4" t="str">
        <f>_xlfn.CONCAT(D622, " / ", E622)</f>
        <v>effortless-typescript / TableConformance</v>
      </c>
      <c r="C622" s="3" t="s">
        <v>14074</v>
      </c>
      <c r="D622" s="3" t="s">
        <v>14041</v>
      </c>
      <c r="E622" s="3" t="s">
        <v>1917</v>
      </c>
      <c r="F622" s="3">
        <v>623</v>
      </c>
      <c r="G622" s="3">
        <v>9</v>
      </c>
      <c r="H622" s="3">
        <v>5607</v>
      </c>
      <c r="I622" s="3">
        <v>5607</v>
      </c>
      <c r="J622" s="3" t="b">
        <v>0</v>
      </c>
      <c r="K622" s="4">
        <f>H622 - I622</f>
        <v>0</v>
      </c>
      <c r="L622" s="4">
        <f>IF(((H622 = 0)=TRUE),  0,  ROUND(100 * I622 / H622, 2))</f>
        <v>100</v>
      </c>
      <c r="M622" s="4" t="b">
        <f>K622 = 0</f>
        <v>1</v>
      </c>
      <c r="N622" s="4" t="str">
        <f>IF(((M622)=TRUE),  "",  D622)</f>
      </c>
      <c r="O622" s="4" t="str">
        <f>IF(((M622)=TRUE),  "",  E622)</f>
      </c>
      <c r="P622" s="4">
        <f>COUNTIFS(FieldDisagreements!E2:E50, A622)</f>
        <v>0</v>
      </c>
      <c r="Q622" s="4" t="str">
        <f>_xlfn.IFNA(IF(((INDEX(ConformanceSubstrates!C2:C9, MATCH(D622,ConformanceSubstrates!A2:A9, 0))="")=TRUE),  "",  INDEX(ConformanceSubstrates!C2:C9, MATCH(D622,ConformanceSubstrates!A2:A9, 0))), "")</f>
        <v>TypeScript</v>
      </c>
      <c r="R622" s="4" t="str">
        <f>_xlfn.IFNA(IF(((INDEX(RulebookTables!F2:F93, MATCH(E622,RulebookTables!A2:A93, 0))="")=TRUE),  "",  INDEX(RulebookTables!F2:F93, MATCH(E622,RulebookTables!A2:A93, 0))), "")</f>
        <v>meta</v>
      </c>
      <c r="S622" s="3" t="s">
        <v>1918</v>
      </c>
    </row>
    <row r="623">
      <c r="A623" s="3" t="s">
        <v>14726</v>
      </c>
      <c r="B623" s="4" t="str">
        <f>_xlfn.CONCAT(D623, " / ", E623)</f>
        <v>effortless-typescript / FieldDisagreements</v>
      </c>
      <c r="C623" s="3" t="s">
        <v>14074</v>
      </c>
      <c r="D623" s="3" t="s">
        <v>14041</v>
      </c>
      <c r="E623" s="3" t="s">
        <v>1921</v>
      </c>
      <c r="F623" s="3">
        <v>49</v>
      </c>
      <c r="G623" s="3">
        <v>5</v>
      </c>
      <c r="H623" s="3">
        <v>245</v>
      </c>
      <c r="I623" s="3">
        <v>245</v>
      </c>
      <c r="J623" s="3" t="b">
        <v>0</v>
      </c>
      <c r="K623" s="4">
        <f>H623 - I623</f>
        <v>0</v>
      </c>
      <c r="L623" s="4">
        <f>IF(((H623 = 0)=TRUE),  0,  ROUND(100 * I623 / H623, 2))</f>
        <v>100</v>
      </c>
      <c r="M623" s="4" t="b">
        <f>K623 = 0</f>
        <v>1</v>
      </c>
      <c r="N623" s="4" t="str">
        <f>IF(((M623)=TRUE),  "",  D623)</f>
      </c>
      <c r="O623" s="4" t="str">
        <f>IF(((M623)=TRUE),  "",  E623)</f>
      </c>
      <c r="P623" s="4">
        <f>COUNTIFS(FieldDisagreements!E2:E50, A623)</f>
        <v>0</v>
      </c>
      <c r="Q623" s="4" t="str">
        <f>_xlfn.IFNA(IF(((INDEX(ConformanceSubstrates!C2:C9, MATCH(D623,ConformanceSubstrates!A2:A9, 0))="")=TRUE),  "",  INDEX(ConformanceSubstrates!C2:C9, MATCH(D623,ConformanceSubstrates!A2:A9, 0))), "")</f>
        <v>TypeScript</v>
      </c>
      <c r="R623" s="4" t="str">
        <f>_xlfn.IFNA(IF(((INDEX(RulebookTables!F2:F93, MATCH(E623,RulebookTables!A2:A93, 0))="")=TRUE),  "",  INDEX(RulebookTables!F2:F93, MATCH(E623,RulebookTables!A2:A93, 0))), "")</f>
        <v>meta</v>
      </c>
      <c r="S623" s="3" t="s">
        <v>1918</v>
      </c>
    </row>
    <row r="624">
      <c r="A624" s="3" t="s">
        <v>14727</v>
      </c>
      <c r="B624" s="4" t="str">
        <f>_xlfn.CONCAT(D624, " / ", E624)</f>
        <v>effortless-typescript / CellDisagreements</v>
      </c>
      <c r="C624" s="3" t="s">
        <v>14074</v>
      </c>
      <c r="D624" s="3" t="s">
        <v>14041</v>
      </c>
      <c r="E624" s="3" t="s">
        <v>1925</v>
      </c>
      <c r="F624" s="3">
        <v>316</v>
      </c>
      <c r="G624" s="3">
        <v>3</v>
      </c>
      <c r="H624" s="3">
        <v>948</v>
      </c>
      <c r="I624" s="3">
        <v>948</v>
      </c>
      <c r="J624" s="3" t="b">
        <v>0</v>
      </c>
      <c r="K624" s="4">
        <f>H624 - I624</f>
        <v>0</v>
      </c>
      <c r="L624" s="4">
        <f>IF(((H624 = 0)=TRUE),  0,  ROUND(100 * I624 / H624, 2))</f>
        <v>100</v>
      </c>
      <c r="M624" s="4" t="b">
        <f>K624 = 0</f>
        <v>1</v>
      </c>
      <c r="N624" s="4" t="str">
        <f>IF(((M624)=TRUE),  "",  D624)</f>
      </c>
      <c r="O624" s="4" t="str">
        <f>IF(((M624)=TRUE),  "",  E624)</f>
      </c>
      <c r="P624" s="4">
        <f>COUNTIFS(FieldDisagreements!E2:E50, A624)</f>
        <v>0</v>
      </c>
      <c r="Q624" s="4" t="str">
        <f>_xlfn.IFNA(IF(((INDEX(ConformanceSubstrates!C2:C9, MATCH(D624,ConformanceSubstrates!A2:A9, 0))="")=TRUE),  "",  INDEX(ConformanceSubstrates!C2:C9, MATCH(D624,ConformanceSubstrates!A2:A9, 0))), "")</f>
        <v>TypeScript</v>
      </c>
      <c r="R624" s="4" t="str">
        <f>_xlfn.IFNA(IF(((INDEX(RulebookTables!F2:F93, MATCH(E624,RulebookTables!A2:A93, 0))="")=TRUE),  "",  INDEX(RulebookTables!F2:F93, MATCH(E624,RulebookTables!A2:A93, 0))), "")</f>
        <v>meta</v>
      </c>
      <c r="S624" s="3" t="s">
        <v>1918</v>
      </c>
    </row>
  </sheetData>
  <autoFilter ref="A1:S1"/>
  <headerFooter/>
  <legacyDrawing r:id="rId1"/>
</worksheet>
</file>

<file path=xl/worksheets/sheet9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50"/>
  <sheetViews>
    <sheetView workbookViewId="0">
      <pane ySplit="1" topLeftCell="A2" state="frozen" activePane="bottomLeft"/>
      <selection pane="bottomLeft" activeCell="A1" sqref="A1"/>
    </sheetView>
  </sheetViews>
  <sheetFormatPr defaultRowHeight="15"/>
  <cols>
    <col min="1" max="1" width="71.11119079589844" customWidth="1"/>
    <col min="2" max="2" width="72.46390533447266" customWidth="1"/>
    <col min="3" max="3" width="17.443378448486328" customWidth="1"/>
    <col min="4" max="4" width="57.197689056396484" customWidth="1"/>
    <col min="5" max="5" width="38.79361343383789" customWidth="1"/>
    <col min="6" max="6" width="17.443378448486328" customWidth="1"/>
    <col min="7" max="7" width="17.443378448486328" customWidth="1"/>
    <col min="8" max="8" width="17.86225700378418" customWidth="1"/>
    <col min="9" max="9" width="18.367671966552734" customWidth="1"/>
    <col min="10" max="10" width="17.443378448486328" customWidth="1"/>
    <col min="11" max="11" width="204.4769287109375" customWidth="1"/>
    <col min="12" max="12" width="17.443378448486328" customWidth="1"/>
    <col min="13" max="13" width="46.42580032348633" customWidth="1"/>
  </cols>
  <sheetData>
    <row r="1">
      <c r="A1" s="2" t="s">
        <v>5943</v>
      </c>
      <c r="B1" s="2" t="s">
        <v>1</v>
      </c>
      <c r="C1" s="2" t="s">
        <v>5859</v>
      </c>
      <c r="D1" s="2" t="s">
        <v>5948</v>
      </c>
      <c r="E1" s="2" t="s">
        <v>1917</v>
      </c>
      <c r="F1" s="2" t="s">
        <v>5951</v>
      </c>
      <c r="G1" s="2" t="s">
        <v>5841</v>
      </c>
      <c r="H1" s="2" t="s">
        <v>5954</v>
      </c>
      <c r="I1" s="2" t="s">
        <v>5956</v>
      </c>
      <c r="J1" s="2" t="s">
        <v>5959</v>
      </c>
      <c r="K1" s="2" t="s">
        <v>2408</v>
      </c>
      <c r="L1" s="2" t="s">
        <v>5907</v>
      </c>
      <c r="M1" s="2" t="s">
        <v>94</v>
      </c>
    </row>
    <row r="2">
      <c r="A2" s="3" t="s">
        <v>14728</v>
      </c>
      <c r="B2" s="4" t="str">
        <f>_xlfn.CONCAT(C2, " / ", D2)</f>
        <v>effortless-xlsx / RoleAssignments.PredecessorAgentKind</v>
      </c>
      <c r="C2" s="3" t="s">
        <v>14053</v>
      </c>
      <c r="D2" s="3" t="s">
        <v>2574</v>
      </c>
      <c r="E2" s="3" t="s">
        <v>14200</v>
      </c>
      <c r="F2" s="3" t="s">
        <v>2509</v>
      </c>
      <c r="G2" s="3">
        <v>1</v>
      </c>
      <c r="H2" s="3" t="s">
        <v>14729</v>
      </c>
      <c r="I2" s="4">
        <f>COUNTIFS(CellDisagreements!C2:C340, A2)</f>
        <v>1</v>
      </c>
      <c r="J2" s="4" t="b">
        <f>I2 = G2</f>
        <v>1</v>
      </c>
      <c r="K2" s="4" t="str">
        <f>_xlfn.IFNA(IF(((INDEX(RulebookFields!G2:G1898, MATCH(D2,RulebookFields!A2:A1898, 0))="")=TRUE),  "",  INDEX(RulebookFields!G2:G1898, MATCH(D2,RulebookFields!A2:A1898, 0))), "")</f>
        <v>=INDEX(RoleAssignments!{{AgentKind}}, MATCH({{SupersedesAssignment}}, RoleAssignments!{{RoleAssignmentId}}, 0))</v>
      </c>
      <c r="L2" s="4" t="str">
        <f>_xlfn.IFNA(IF(((INDEX(ConformanceSubstrates!C2:C9, MATCH(C2,ConformanceSubstrates!A2:A9, 0))="")=TRUE),  "",  INDEX(ConformanceSubstrates!C2:C9, MATCH(C2,ConformanceSubstrates!A2:A9, 0))), "")</f>
        <v>Excel</v>
      </c>
      <c r="M2" s="3" t="s">
        <v>1922</v>
      </c>
    </row>
    <row r="3">
      <c r="A3" s="3" t="s">
        <v>14730</v>
      </c>
      <c r="B3" s="4" t="str">
        <f>_xlfn.CONCAT(C3, " / ", D3)</f>
        <v>effortless-xlsx / RoleAssignments.IsHumanToNonHumanHandover</v>
      </c>
      <c r="C3" s="3" t="s">
        <v>14053</v>
      </c>
      <c r="D3" s="3" t="s">
        <v>2576</v>
      </c>
      <c r="E3" s="3" t="s">
        <v>14200</v>
      </c>
      <c r="F3" s="3" t="s">
        <v>2420</v>
      </c>
      <c r="G3" s="3">
        <v>1</v>
      </c>
      <c r="H3" s="3" t="s">
        <v>14729</v>
      </c>
      <c r="I3" s="4">
        <f>COUNTIFS(CellDisagreements!C2:C340, A3)</f>
        <v>1</v>
      </c>
      <c r="J3" s="4" t="b">
        <f>I3 = G3</f>
        <v>1</v>
      </c>
      <c r="K3" s="4" t="str">
        <f>_xlfn.IFNA(IF(((INDEX(RulebookFields!G2:G1898, MATCH(D3,RulebookFields!A2:A1898, 0))="")=TRUE),  "",  INDEX(RulebookFields!G2:G1898, MATCH(D3,RulebookFields!A2:A1898, 0))), "")</f>
        <v>=AND({{PredecessorAgentKind}} = "Human", {{IsNonHumanAssignment}})</v>
      </c>
      <c r="L3" s="4" t="str">
        <f>_xlfn.IFNA(IF(((INDEX(ConformanceSubstrates!C2:C9, MATCH(C3,ConformanceSubstrates!A2:A9, 0))="")=TRUE),  "",  INDEX(ConformanceSubstrates!C2:C9, MATCH(C3,ConformanceSubstrates!A2:A9, 0))), "")</f>
        <v>Excel</v>
      </c>
      <c r="M3" s="3" t="s">
        <v>1922</v>
      </c>
    </row>
    <row r="4">
      <c r="A4" s="3" t="s">
        <v>14731</v>
      </c>
      <c r="B4" s="4" t="str">
        <f>_xlfn.CONCAT(C4, " / ", D4)</f>
        <v>effortless-xlsx / RoleAssignments.IsUnconditionedAutomationHandover</v>
      </c>
      <c r="C4" s="3" t="s">
        <v>14053</v>
      </c>
      <c r="D4" s="3" t="s">
        <v>2625</v>
      </c>
      <c r="E4" s="3" t="s">
        <v>14200</v>
      </c>
      <c r="F4" s="3" t="s">
        <v>2420</v>
      </c>
      <c r="G4" s="3">
        <v>1</v>
      </c>
      <c r="H4" s="3" t="s">
        <v>14729</v>
      </c>
      <c r="I4" s="4">
        <f>COUNTIFS(CellDisagreements!C2:C340, A4)</f>
        <v>1</v>
      </c>
      <c r="J4" s="4" t="b">
        <f>I4 = G4</f>
        <v>1</v>
      </c>
      <c r="K4" s="4" t="str">
        <f>_xlfn.IFNA(IF(((INDEX(RulebookFields!G2:G1898, MATCH(D4,RulebookFields!A2:A1898, 0))="")=TRUE),  "",  INDEX(RulebookFields!G2:G1898, MATCH(D4,RulebookFields!A2:A1898, 0))), "")</f>
        <v>=AND({{IsHumanToNonHumanHandover}}, {{AuthorizationReviewCadenceDays}} = 0)</v>
      </c>
      <c r="L4" s="4" t="str">
        <f>_xlfn.IFNA(IF(((INDEX(ConformanceSubstrates!C2:C9, MATCH(C4,ConformanceSubstrates!A2:A9, 0))="")=TRUE),  "",  INDEX(ConformanceSubstrates!C2:C9, MATCH(C4,ConformanceSubstrates!A2:A9, 0))), "")</f>
        <v>Excel</v>
      </c>
      <c r="M4" s="3" t="s">
        <v>1922</v>
      </c>
    </row>
    <row r="5">
      <c r="A5" s="3" t="s">
        <v>14732</v>
      </c>
      <c r="B5" s="4" t="str">
        <f>_xlfn.CONCAT(C5, " / ", D5)</f>
        <v>effortless-xlsx / ProcedureVersions.DaysSinceLastReview</v>
      </c>
      <c r="C5" s="3" t="s">
        <v>14053</v>
      </c>
      <c r="D5" s="3" t="s">
        <v>2757</v>
      </c>
      <c r="E5" s="3" t="s">
        <v>14205</v>
      </c>
      <c r="F5" s="3" t="s">
        <v>2469</v>
      </c>
      <c r="G5" s="3">
        <v>1</v>
      </c>
      <c r="H5" s="3" t="s">
        <v>14729</v>
      </c>
      <c r="I5" s="4">
        <f>COUNTIFS(CellDisagreements!C2:C340, A5)</f>
        <v>1</v>
      </c>
      <c r="J5" s="4" t="b">
        <f>I5 = G5</f>
        <v>1</v>
      </c>
      <c r="K5" s="4" t="str">
        <f>_xlfn.IFNA(IF(((INDEX(RulebookFields!G2:G1898, MATCH(D5,RulebookFields!A2:A1898, 0))="")=TRUE),  "",  INDEX(RulebookFields!G2:G1898, MATCH(D5,RulebookFields!A2:A1898, 0))), "")</f>
        <v>=DATETIME_DIFF({{AsOfInstant}}, MAXIFS(ReviewEvents!{{ReviewedAt}}, ReviewEvents!{{ProcedureVersion}}, ProcedureVersions!{{ProcedureVersionId}}), "days")</v>
      </c>
      <c r="L5" s="4" t="str">
        <f>_xlfn.IFNA(IF(((INDEX(ConformanceSubstrates!C2:C9, MATCH(C5,ConformanceSubstrates!A2:A9, 0))="")=TRUE),  "",  INDEX(ConformanceSubstrates!C2:C9, MATCH(C5,ConformanceSubstrates!A2:A9, 0))), "")</f>
        <v>Excel</v>
      </c>
      <c r="M5" s="3" t="s">
        <v>1922</v>
      </c>
    </row>
    <row r="6">
      <c r="A6" s="3" t="s">
        <v>14733</v>
      </c>
      <c r="B6" s="4" t="str">
        <f>_xlfn.CONCAT(C6, " / ", D6)</f>
        <v>effortless-xlsx / ProcedureVersions.WasModifiedSinceLastReview</v>
      </c>
      <c r="C6" s="3" t="s">
        <v>14053</v>
      </c>
      <c r="D6" s="3" t="s">
        <v>2759</v>
      </c>
      <c r="E6" s="3" t="s">
        <v>14205</v>
      </c>
      <c r="F6" s="3" t="s">
        <v>2420</v>
      </c>
      <c r="G6" s="3">
        <v>1</v>
      </c>
      <c r="H6" s="3" t="s">
        <v>14729</v>
      </c>
      <c r="I6" s="4">
        <f>COUNTIFS(CellDisagreements!C2:C340, A6)</f>
        <v>1</v>
      </c>
      <c r="J6" s="4" t="b">
        <f>I6 = G6</f>
        <v>1</v>
      </c>
      <c r="K6" s="4" t="str">
        <f>_xlfn.IFNA(IF(((INDEX(RulebookFields!G2:G1898, MATCH(D6,RulebookFields!A2:A1898, 0))="")=TRUE),  "",  INDEX(RulebookFields!G2:G1898, MATCH(D6,RulebookFields!A2:A1898, 0))), "")</f>
        <v>={{DaysSinceModified}} &lt; {{DaysSinceLastReview}}</v>
      </c>
      <c r="L6" s="4" t="str">
        <f>_xlfn.IFNA(IF(((INDEX(ConformanceSubstrates!C2:C9, MATCH(C6,ConformanceSubstrates!A2:A9, 0))="")=TRUE),  "",  INDEX(ConformanceSubstrates!C2:C9, MATCH(C6,ConformanceSubstrates!A2:A9, 0))), "")</f>
        <v>Excel</v>
      </c>
      <c r="M6" s="3" t="s">
        <v>1922</v>
      </c>
    </row>
    <row r="7">
      <c r="A7" s="3" t="s">
        <v>14734</v>
      </c>
      <c r="B7" s="4" t="str">
        <f>_xlfn.CONCAT(C7, " / ", D7)</f>
        <v>effortless-xlsx / ProcedureVersions.EntryStepId</v>
      </c>
      <c r="C7" s="3" t="s">
        <v>14053</v>
      </c>
      <c r="D7" s="3" t="s">
        <v>2847</v>
      </c>
      <c r="E7" s="3" t="s">
        <v>14205</v>
      </c>
      <c r="F7" s="3" t="s">
        <v>2469</v>
      </c>
      <c r="G7" s="3">
        <v>2</v>
      </c>
      <c r="H7" s="3" t="s">
        <v>14729</v>
      </c>
      <c r="I7" s="4">
        <f>COUNTIFS(CellDisagreements!C2:C340, A7)</f>
        <v>2</v>
      </c>
      <c r="J7" s="4" t="b">
        <f>I7 = G7</f>
        <v>1</v>
      </c>
      <c r="K7" s="4" t="str">
        <f>_xlfn.IFNA(IF(((INDEX(RulebookFields!G2:G1898, MATCH(D7,RulebookFields!A2:A1898, 0))="")=TRUE),  "",  INDEX(RulebookFields!G2:G1898, MATCH(D7,RulebookFields!A2:A1898, 0))), "")</f>
        <v>=MAXIFS(Steps!{{EntryStepKey}}, Steps!{{ProcedureVersion}}, ProcedureVersions!{{ProcedureVersionId}})</v>
      </c>
      <c r="L7" s="4" t="str">
        <f>_xlfn.IFNA(IF(((INDEX(ConformanceSubstrates!C2:C9, MATCH(C7,ConformanceSubstrates!A2:A9, 0))="")=TRUE),  "",  INDEX(ConformanceSubstrates!C2:C9, MATCH(C7,ConformanceSubstrates!A2:A9, 0))), "")</f>
        <v>Excel</v>
      </c>
      <c r="M7" s="3" t="s">
        <v>1922</v>
      </c>
    </row>
    <row r="8">
      <c r="A8" s="3" t="s">
        <v>14735</v>
      </c>
      <c r="B8" s="4" t="str">
        <f>_xlfn.CONCAT(C8, " / ", D8)</f>
        <v>effortless-xlsx / Steps.ReachableStepCount</v>
      </c>
      <c r="C8" s="3" t="s">
        <v>14053</v>
      </c>
      <c r="D8" s="3" t="s">
        <v>2941</v>
      </c>
      <c r="E8" s="3" t="s">
        <v>14208</v>
      </c>
      <c r="F8" s="3" t="s">
        <v>2469</v>
      </c>
      <c r="G8" s="3">
        <v>17</v>
      </c>
      <c r="H8" s="3" t="s">
        <v>14729</v>
      </c>
      <c r="I8" s="4">
        <f>COUNTIFS(CellDisagreements!C2:C340, A8)</f>
        <v>17</v>
      </c>
      <c r="J8" s="4" t="b">
        <f>I8 = G8</f>
        <v>1</v>
      </c>
      <c r="K8" s="4" t="str">
        <f>_xlfn.IFNA(IF(((INDEX(RulebookFields!G2:G1898, MATCH(D8,RulebookFields!A2:A1898, 0))="")=TRUE),  "",  INDEX(RulebookFields!G2:G1898, MATCH(D8,RulebookFields!A2:A1898, 0))), "")</f>
        <v>=COUNTIFS(vw_step_transitions_closure!{{FromId}}, Steps!{{StepId}})</v>
      </c>
      <c r="L8" s="4" t="str">
        <f>_xlfn.IFNA(IF(((INDEX(ConformanceSubstrates!C2:C9, MATCH(C8,ConformanceSubstrates!A2:A9, 0))="")=TRUE),  "",  INDEX(ConformanceSubstrates!C2:C9, MATCH(C8,ConformanceSubstrates!A2:A9, 0))), "")</f>
        <v>Excel</v>
      </c>
      <c r="M8" s="3" t="s">
        <v>1922</v>
      </c>
    </row>
    <row r="9">
      <c r="A9" s="3" t="s">
        <v>14736</v>
      </c>
      <c r="B9" s="4" t="str">
        <f>_xlfn.CONCAT(C9, " / ", D9)</f>
        <v>effortless-xlsx / Steps.ReachedFromStepCount</v>
      </c>
      <c r="C9" s="3" t="s">
        <v>14053</v>
      </c>
      <c r="D9" s="3" t="s">
        <v>2943</v>
      </c>
      <c r="E9" s="3" t="s">
        <v>14208</v>
      </c>
      <c r="F9" s="3" t="s">
        <v>2469</v>
      </c>
      <c r="G9" s="3">
        <v>17</v>
      </c>
      <c r="H9" s="3" t="s">
        <v>14729</v>
      </c>
      <c r="I9" s="4">
        <f>COUNTIFS(CellDisagreements!C2:C340, A9)</f>
        <v>17</v>
      </c>
      <c r="J9" s="4" t="b">
        <f>I9 = G9</f>
        <v>1</v>
      </c>
      <c r="K9" s="4" t="str">
        <f>_xlfn.IFNA(IF(((INDEX(RulebookFields!G2:G1898, MATCH(D9,RulebookFields!A2:A1898, 0))="")=TRUE),  "",  INDEX(RulebookFields!G2:G1898, MATCH(D9,RulebookFields!A2:A1898, 0))), "")</f>
        <v>=COUNTIFS(vw_step_transitions_closure!{{ToId}}, Steps!{{StepId}})</v>
      </c>
      <c r="L9" s="4" t="str">
        <f>_xlfn.IFNA(IF(((INDEX(ConformanceSubstrates!C2:C9, MATCH(C9,ConformanceSubstrates!A2:A9, 0))="")=TRUE),  "",  INDEX(ConformanceSubstrates!C2:C9, MATCH(C9,ConformanceSubstrates!A2:A9, 0))), "")</f>
        <v>Excel</v>
      </c>
      <c r="M9" s="3" t="s">
        <v>1922</v>
      </c>
    </row>
    <row r="10">
      <c r="A10" s="3" t="s">
        <v>14737</v>
      </c>
      <c r="B10" s="4" t="str">
        <f>_xlfn.CONCAT(C10, " / ", D10)</f>
        <v>effortless-xlsx / Steps.SelfReachCount</v>
      </c>
      <c r="C10" s="3" t="s">
        <v>14053</v>
      </c>
      <c r="D10" s="3" t="s">
        <v>2945</v>
      </c>
      <c r="E10" s="3" t="s">
        <v>14208</v>
      </c>
      <c r="F10" s="3" t="s">
        <v>2469</v>
      </c>
      <c r="G10" s="3">
        <v>17</v>
      </c>
      <c r="H10" s="3" t="s">
        <v>14729</v>
      </c>
      <c r="I10" s="4">
        <f>COUNTIFS(CellDisagreements!C2:C340, A10)</f>
        <v>17</v>
      </c>
      <c r="J10" s="4" t="b">
        <f>I10 = G10</f>
        <v>1</v>
      </c>
      <c r="K10" s="4" t="str">
        <f>_xlfn.IFNA(IF(((INDEX(RulebookFields!G2:G1898, MATCH(D10,RulebookFields!A2:A1898, 0))="")=TRUE),  "",  INDEX(RulebookFields!G2:G1898, MATCH(D10,RulebookFields!A2:A1898, 0))), "")</f>
        <v>=COUNTIFS(vw_step_transitions_closure!{{FromId}}, Steps!{{StepId}}, vw_step_transitions_closure!{{ToId}}, Steps!{{StepId}})</v>
      </c>
      <c r="L10" s="4" t="str">
        <f>_xlfn.IFNA(IF(((INDEX(ConformanceSubstrates!C2:C9, MATCH(C10,ConformanceSubstrates!A2:A9, 0))="")=TRUE),  "",  INDEX(ConformanceSubstrates!C2:C9, MATCH(C10,ConformanceSubstrates!A2:A9, 0))), "")</f>
        <v>Excel</v>
      </c>
      <c r="M10" s="3" t="s">
        <v>1922</v>
      </c>
    </row>
    <row r="11">
      <c r="A11" s="3" t="s">
        <v>14738</v>
      </c>
      <c r="B11" s="4" t="str">
        <f>_xlfn.CONCAT(C11, " / ", D11)</f>
        <v>effortless-xlsx / Steps.IsOnReworkLoop</v>
      </c>
      <c r="C11" s="3" t="s">
        <v>14053</v>
      </c>
      <c r="D11" s="3" t="s">
        <v>2947</v>
      </c>
      <c r="E11" s="3" t="s">
        <v>14208</v>
      </c>
      <c r="F11" s="3" t="s">
        <v>2420</v>
      </c>
      <c r="G11" s="3">
        <v>17</v>
      </c>
      <c r="H11" s="3" t="s">
        <v>14729</v>
      </c>
      <c r="I11" s="4">
        <f>COUNTIFS(CellDisagreements!C2:C340, A11)</f>
        <v>17</v>
      </c>
      <c r="J11" s="4" t="b">
        <f>I11 = G11</f>
        <v>1</v>
      </c>
      <c r="K11" s="4" t="str">
        <f>_xlfn.IFNA(IF(((INDEX(RulebookFields!G2:G1898, MATCH(D11,RulebookFields!A2:A1898, 0))="")=TRUE),  "",  INDEX(RulebookFields!G2:G1898, MATCH(D11,RulebookFields!A2:A1898, 0))), "")</f>
        <v>={{SelfReachCount}} &gt; 0</v>
      </c>
      <c r="L11" s="4" t="str">
        <f>_xlfn.IFNA(IF(((INDEX(ConformanceSubstrates!C2:C9, MATCH(C11,ConformanceSubstrates!A2:A9, 0))="")=TRUE),  "",  INDEX(ConformanceSubstrates!C2:C9, MATCH(C11,ConformanceSubstrates!A2:A9, 0))), "")</f>
        <v>Excel</v>
      </c>
      <c r="M11" s="3" t="s">
        <v>1922</v>
      </c>
    </row>
    <row r="12">
      <c r="A12" s="3" t="s">
        <v>14739</v>
      </c>
      <c r="B12" s="4" t="str">
        <f>_xlfn.CONCAT(C12, " / ", D12)</f>
        <v>effortless-xlsx / Steps.IsBlockingControlOnReworkLoop</v>
      </c>
      <c r="C12" s="3" t="s">
        <v>14053</v>
      </c>
      <c r="D12" s="3" t="s">
        <v>2949</v>
      </c>
      <c r="E12" s="3" t="s">
        <v>14208</v>
      </c>
      <c r="F12" s="3" t="s">
        <v>2420</v>
      </c>
      <c r="G12" s="3">
        <v>17</v>
      </c>
      <c r="H12" s="3" t="s">
        <v>14729</v>
      </c>
      <c r="I12" s="4">
        <f>COUNTIFS(CellDisagreements!C2:C340, A12)</f>
        <v>17</v>
      </c>
      <c r="J12" s="4" t="b">
        <f>I12 = G12</f>
        <v>1</v>
      </c>
      <c r="K12" s="4" t="str">
        <f>_xlfn.IFNA(IF(((INDEX(RulebookFields!G2:G1898, MATCH(D12,RulebookFields!A2:A1898, 0))="")=TRUE),  "",  INDEX(RulebookFields!G2:G1898, MATCH(D12,RulebookFields!A2:A1898, 0))), "")</f>
        <v>=AND({{IsOnReworkLoop}}, {{BlockingRequirementCount}} &gt; 0)</v>
      </c>
      <c r="L12" s="4" t="str">
        <f>_xlfn.IFNA(IF(((INDEX(ConformanceSubstrates!C2:C9, MATCH(C12,ConformanceSubstrates!A2:A9, 0))="")=TRUE),  "",  INDEX(ConformanceSubstrates!C2:C9, MATCH(C12,ConformanceSubstrates!A2:A9, 0))), "")</f>
        <v>Excel</v>
      </c>
      <c r="M12" s="3" t="s">
        <v>1922</v>
      </c>
    </row>
    <row r="13">
      <c r="A13" s="3" t="s">
        <v>14740</v>
      </c>
      <c r="B13" s="4" t="str">
        <f>_xlfn.CONCAT(C13, " / ", D13)</f>
        <v>effortless-xlsx / Steps.VersionEntryStepId</v>
      </c>
      <c r="C13" s="3" t="s">
        <v>14053</v>
      </c>
      <c r="D13" s="3" t="s">
        <v>2957</v>
      </c>
      <c r="E13" s="3" t="s">
        <v>14208</v>
      </c>
      <c r="F13" s="3" t="s">
        <v>2509</v>
      </c>
      <c r="G13" s="3">
        <v>17</v>
      </c>
      <c r="H13" s="3" t="s">
        <v>14729</v>
      </c>
      <c r="I13" s="4">
        <f>COUNTIFS(CellDisagreements!C2:C340, A13)</f>
        <v>17</v>
      </c>
      <c r="J13" s="4" t="b">
        <f>I13 = G13</f>
        <v>1</v>
      </c>
      <c r="K13" s="4" t="str">
        <f>_xlfn.IFNA(IF(((INDEX(RulebookFields!G2:G1898, MATCH(D13,RulebookFields!A2:A1898, 0))="")=TRUE),  "",  INDEX(RulebookFields!G2:G1898, MATCH(D13,RulebookFields!A2:A1898, 0))), "")</f>
        <v>=INDEX(ProcedureVersions!{{EntryStepId}}, MATCH({{ProcedureVersion}}, ProcedureVersions!{{ProcedureVersionId}}, 0))</v>
      </c>
      <c r="L13" s="4" t="str">
        <f>_xlfn.IFNA(IF(((INDEX(ConformanceSubstrates!C2:C9, MATCH(C13,ConformanceSubstrates!A2:A9, 0))="")=TRUE),  "",  INDEX(ConformanceSubstrates!C2:C9, MATCH(C13,ConformanceSubstrates!A2:A9, 0))), "")</f>
        <v>Excel</v>
      </c>
      <c r="M13" s="3" t="s">
        <v>1922</v>
      </c>
    </row>
    <row r="14">
      <c r="A14" s="3" t="s">
        <v>14741</v>
      </c>
      <c r="B14" s="4" t="str">
        <f>_xlfn.CONCAT(C14, " / ", D14)</f>
        <v>effortless-xlsx / Steps.GateFreeReachFromEntryCount</v>
      </c>
      <c r="C14" s="3" t="s">
        <v>14053</v>
      </c>
      <c r="D14" s="3" t="s">
        <v>2959</v>
      </c>
      <c r="E14" s="3" t="s">
        <v>14208</v>
      </c>
      <c r="F14" s="3" t="s">
        <v>2469</v>
      </c>
      <c r="G14" s="3">
        <v>17</v>
      </c>
      <c r="H14" s="3" t="s">
        <v>14729</v>
      </c>
      <c r="I14" s="4">
        <f>COUNTIFS(CellDisagreements!C2:C340, A14)</f>
        <v>17</v>
      </c>
      <c r="J14" s="4" t="b">
        <f>I14 = G14</f>
        <v>1</v>
      </c>
      <c r="K14" s="4" t="str">
        <f>_xlfn.IFNA(IF(((INDEX(RulebookFields!G2:G1898, MATCH(D14,RulebookFields!A2:A1898, 0))="")=TRUE),  "",  INDEX(RulebookFields!G2:G1898, MATCH(D14,RulebookFields!A2:A1898, 0))), "")</f>
        <v>=COUNTIFS(vw_step_transitions_closure_where_avoids_human_approval_gate!{{FromId}}, {{VersionEntryStepId}}, vw_step_transitions_closure_where_avoids_human_approval_gate!{{ToId}}, Steps!{{StepId}})</v>
      </c>
      <c r="L14" s="4" t="str">
        <f>_xlfn.IFNA(IF(((INDEX(ConformanceSubstrates!C2:C9, MATCH(C14,ConformanceSubstrates!A2:A9, 0))="")=TRUE),  "",  INDEX(ConformanceSubstrates!C2:C9, MATCH(C14,ConformanceSubstrates!A2:A9, 0))), "")</f>
        <v>Excel</v>
      </c>
      <c r="M14" s="3" t="s">
        <v>1922</v>
      </c>
    </row>
    <row r="15">
      <c r="A15" s="3" t="s">
        <v>14742</v>
      </c>
      <c r="B15" s="4" t="str">
        <f>_xlfn.CONCAT(C15, " / ", D15)</f>
        <v>effortless-xlsx / Steps.IsReachableFromEntryWithoutHumanGate</v>
      </c>
      <c r="C15" s="3" t="s">
        <v>14053</v>
      </c>
      <c r="D15" s="3" t="s">
        <v>2961</v>
      </c>
      <c r="E15" s="3" t="s">
        <v>14208</v>
      </c>
      <c r="F15" s="3" t="s">
        <v>2420</v>
      </c>
      <c r="G15" s="3">
        <v>17</v>
      </c>
      <c r="H15" s="3" t="s">
        <v>14729</v>
      </c>
      <c r="I15" s="4">
        <f>COUNTIFS(CellDisagreements!C2:C340, A15)</f>
        <v>17</v>
      </c>
      <c r="J15" s="4" t="b">
        <f>I15 = G15</f>
        <v>1</v>
      </c>
      <c r="K15" s="4" t="str">
        <f>_xlfn.IFNA(IF(((INDEX(RulebookFields!G2:G1898, MATCH(D15,RulebookFields!A2:A1898, 0))="")=TRUE),  "",  INDEX(RulebookFields!G2:G1898, MATCH(D15,RulebookFields!A2:A1898, 0))), "")</f>
        <v>={{GateFreeReachFromEntryCount}} &gt; 0</v>
      </c>
      <c r="L15" s="4" t="str">
        <f>_xlfn.IFNA(IF(((INDEX(ConformanceSubstrates!C2:C9, MATCH(C15,ConformanceSubstrates!A2:A9, 0))="")=TRUE),  "",  INDEX(ConformanceSubstrates!C2:C9, MATCH(C15,ConformanceSubstrates!A2:A9, 0))), "")</f>
        <v>Excel</v>
      </c>
      <c r="M15" s="3" t="s">
        <v>1922</v>
      </c>
    </row>
    <row r="16">
      <c r="A16" s="3" t="s">
        <v>14743</v>
      </c>
      <c r="B16" s="4" t="str">
        <f>_xlfn.CONCAT(C16, " / ", D16)</f>
        <v>effortless-xlsx / Steps.IsGateBypassedPublication</v>
      </c>
      <c r="C16" s="3" t="s">
        <v>14053</v>
      </c>
      <c r="D16" s="3" t="s">
        <v>2963</v>
      </c>
      <c r="E16" s="3" t="s">
        <v>14208</v>
      </c>
      <c r="F16" s="3" t="s">
        <v>2420</v>
      </c>
      <c r="G16" s="3">
        <v>17</v>
      </c>
      <c r="H16" s="3" t="s">
        <v>14729</v>
      </c>
      <c r="I16" s="4">
        <f>COUNTIFS(CellDisagreements!C2:C340, A16)</f>
        <v>17</v>
      </c>
      <c r="J16" s="4" t="b">
        <f>I16 = G16</f>
        <v>1</v>
      </c>
      <c r="K16" s="4" t="str">
        <f>_xlfn.IFNA(IF(((INDEX(RulebookFields!G2:G1898, MATCH(D16,RulebookFields!A2:A1898, 0))="")=TRUE),  "",  INDEX(RulebookFields!G2:G1898, MATCH(D16,RulebookFields!A2:A1898, 0))), "")</f>
        <v>=AND({{ControlKind}} = "Publication", {{IsReachableFromEntryWithoutHumanGate}})</v>
      </c>
      <c r="L16" s="4" t="str">
        <f>_xlfn.IFNA(IF(((INDEX(ConformanceSubstrates!C2:C9, MATCH(C16,ConformanceSubstrates!A2:A9, 0))="")=TRUE),  "",  INDEX(ConformanceSubstrates!C2:C9, MATCH(C16,ConformanceSubstrates!A2:A9, 0))), "")</f>
        <v>Excel</v>
      </c>
      <c r="M16" s="3" t="s">
        <v>1922</v>
      </c>
    </row>
    <row r="17">
      <c r="A17" s="3" t="s">
        <v>14744</v>
      </c>
      <c r="B17" s="4" t="str">
        <f>_xlfn.CONCAT(C17, " / ", D17)</f>
        <v>effortless-xlsx / FAQs.Name</v>
      </c>
      <c r="C17" s="3" t="s">
        <v>14053</v>
      </c>
      <c r="D17" s="3" t="s">
        <v>3410</v>
      </c>
      <c r="E17" s="3" t="s">
        <v>14226</v>
      </c>
      <c r="F17" s="3" t="s">
        <v>2420</v>
      </c>
      <c r="G17" s="3">
        <v>3</v>
      </c>
      <c r="H17" s="3" t="s">
        <v>14745</v>
      </c>
      <c r="I17" s="4">
        <f>COUNTIFS(CellDisagreements!C2:C340, A17)</f>
        <v>3</v>
      </c>
      <c r="J17" s="4" t="b">
        <f>I17 = G17</f>
        <v>1</v>
      </c>
      <c r="K17" s="4" t="str">
        <f>_xlfn.IFNA(IF(((INDEX(RulebookFields!G2:G1898, MATCH(D17,RulebookFields!A2:A1898, 0))="")=TRUE),  "",  INDEX(RulebookFields!G2:G1898, MATCH(D17,RulebookFields!A2:A1898, 0))), "")</f>
        <v>={{Question}}</v>
      </c>
      <c r="L17" s="4" t="str">
        <f>_xlfn.IFNA(IF(((INDEX(ConformanceSubstrates!C2:C9, MATCH(C17,ConformanceSubstrates!A2:A9, 0))="")=TRUE),  "",  INDEX(ConformanceSubstrates!C2:C9, MATCH(C17,ConformanceSubstrates!A2:A9, 0))), "")</f>
        <v>Excel</v>
      </c>
      <c r="M17" s="3" t="s">
        <v>1922</v>
      </c>
    </row>
    <row r="18">
      <c r="A18" s="3" t="s">
        <v>14746</v>
      </c>
      <c r="B18" s="4" t="str">
        <f>_xlfn.CONCAT(C18, " / ", D18)</f>
        <v>effortless-xlsx / ProcedureExecutions.LatestAttestationInstant</v>
      </c>
      <c r="C18" s="3" t="s">
        <v>14053</v>
      </c>
      <c r="D18" s="3" t="s">
        <v>3542</v>
      </c>
      <c r="E18" s="3" t="s">
        <v>14228</v>
      </c>
      <c r="F18" s="3" t="s">
        <v>2469</v>
      </c>
      <c r="G18" s="3">
        <v>2</v>
      </c>
      <c r="H18" s="3" t="s">
        <v>14729</v>
      </c>
      <c r="I18" s="4">
        <f>COUNTIFS(CellDisagreements!C2:C340, A18)</f>
        <v>2</v>
      </c>
      <c r="J18" s="4" t="b">
        <f>I18 = G18</f>
        <v>1</v>
      </c>
      <c r="K18" s="4" t="str">
        <f>_xlfn.IFNA(IF(((INDEX(RulebookFields!G2:G1898, MATCH(D18,RulebookFields!A2:A1898, 0))="")=TRUE),  "",  INDEX(RulebookFields!G2:G1898, MATCH(D18,RulebookFields!A2:A1898, 0))), "")</f>
        <v>=MAXIFS(Attestations!{{SignedAt}}, Attestations!{{ProcedureExecution}}, {{ProcedureExecutionId}})</v>
      </c>
      <c r="L18" s="4" t="str">
        <f>_xlfn.IFNA(IF(((INDEX(ConformanceSubstrates!C2:C9, MATCH(C18,ConformanceSubstrates!A2:A9, 0))="")=TRUE),  "",  INDEX(ConformanceSubstrates!C2:C9, MATCH(C18,ConformanceSubstrates!A2:A9, 0))), "")</f>
        <v>Excel</v>
      </c>
      <c r="M18" s="3" t="s">
        <v>1922</v>
      </c>
    </row>
    <row r="19">
      <c r="A19" s="3" t="s">
        <v>14747</v>
      </c>
      <c r="B19" s="4" t="str">
        <f>_xlfn.CONCAT(C19, " / ", D19)</f>
        <v>effortless-xlsx / ProcedureExecutions.PostAttestationScoreCount</v>
      </c>
      <c r="C19" s="3" t="s">
        <v>14053</v>
      </c>
      <c r="D19" s="3" t="s">
        <v>3548</v>
      </c>
      <c r="E19" s="3" t="s">
        <v>14228</v>
      </c>
      <c r="F19" s="3" t="s">
        <v>2469</v>
      </c>
      <c r="G19" s="3">
        <v>2</v>
      </c>
      <c r="H19" s="3" t="s">
        <v>14729</v>
      </c>
      <c r="I19" s="4">
        <f>COUNTIFS(CellDisagreements!C2:C340, A19)</f>
        <v>2</v>
      </c>
      <c r="J19" s="4" t="b">
        <f>I19 = G19</f>
        <v>1</v>
      </c>
      <c r="K19" s="4" t="str">
        <f>_xlfn.IFNA(IF(((INDEX(RulebookFields!G2:G1898, MATCH(D19,RulebookFields!A2:A1898, 0))="")=TRUE),  "",  INDEX(RulebookFields!G2:G1898, MATCH(D19,RulebookFields!A2:A1898, 0))), "")</f>
        <v>=COUNTIFS(RequirementSatisfactions!{{PostAttestationScoreExecutionKey}}, {{ProcedureExecutionId}})</v>
      </c>
      <c r="L19" s="4" t="str">
        <f>_xlfn.IFNA(IF(((INDEX(ConformanceSubstrates!C2:C9, MATCH(C19,ConformanceSubstrates!A2:A9, 0))="")=TRUE),  "",  INDEX(ConformanceSubstrates!C2:C9, MATCH(C19,ConformanceSubstrates!A2:A9, 0))), "")</f>
        <v>Excel</v>
      </c>
      <c r="M19" s="3" t="s">
        <v>1922</v>
      </c>
    </row>
    <row r="20">
      <c r="A20" s="3" t="s">
        <v>14748</v>
      </c>
      <c r="B20" s="4" t="str">
        <f>_xlfn.CONCAT(C20, " / ", D20)</f>
        <v>effortless-xlsx / RequirementSatisfactions.WasScoredAfterAttestation</v>
      </c>
      <c r="C20" s="3" t="s">
        <v>14053</v>
      </c>
      <c r="D20" s="3" t="s">
        <v>3846</v>
      </c>
      <c r="E20" s="3" t="s">
        <v>14230</v>
      </c>
      <c r="F20" s="3" t="s">
        <v>2420</v>
      </c>
      <c r="G20" s="3">
        <v>8</v>
      </c>
      <c r="H20" s="3" t="s">
        <v>14729</v>
      </c>
      <c r="I20" s="4">
        <f>COUNTIFS(CellDisagreements!C2:C340, A20)</f>
        <v>8</v>
      </c>
      <c r="J20" s="4" t="b">
        <f>I20 = G20</f>
        <v>1</v>
      </c>
      <c r="K20" s="4" t="str">
        <f>_xlfn.IFNA(IF(((INDEX(RulebookFields!G2:G1898, MATCH(D20,RulebookFields!A2:A1898, 0))="")=TRUE),  "",  INDEX(RulebookFields!G2:G1898, MATCH(D20,RulebookFields!A2:A1898, 0))), "")</f>
        <v>=DATETIME_DIFF({{EvaluatedAt}}, {{AttestationInstantForRun}}, "minutes") &gt; 0</v>
      </c>
      <c r="L20" s="4" t="str">
        <f>_xlfn.IFNA(IF(((INDEX(ConformanceSubstrates!C2:C9, MATCH(C20,ConformanceSubstrates!A2:A9, 0))="")=TRUE),  "",  INDEX(ConformanceSubstrates!C2:C9, MATCH(C20,ConformanceSubstrates!A2:A9, 0))), "")</f>
        <v>Excel</v>
      </c>
      <c r="M20" s="3" t="s">
        <v>1922</v>
      </c>
    </row>
    <row r="21">
      <c r="A21" s="3" t="s">
        <v>14749</v>
      </c>
      <c r="B21" s="4" t="str">
        <f>_xlfn.CONCAT(C21, " / ", D21)</f>
        <v>effortless-xlsx / RequirementSatisfactions.AttestationInstantForRun</v>
      </c>
      <c r="C21" s="3" t="s">
        <v>14053</v>
      </c>
      <c r="D21" s="3" t="s">
        <v>3848</v>
      </c>
      <c r="E21" s="3" t="s">
        <v>14230</v>
      </c>
      <c r="F21" s="3" t="s">
        <v>2509</v>
      </c>
      <c r="G21" s="3">
        <v>8</v>
      </c>
      <c r="H21" s="3" t="s">
        <v>14729</v>
      </c>
      <c r="I21" s="4">
        <f>COUNTIFS(CellDisagreements!C2:C340, A21)</f>
        <v>8</v>
      </c>
      <c r="J21" s="4" t="b">
        <f>I21 = G21</f>
        <v>1</v>
      </c>
      <c r="K21" s="4" t="str">
        <f>_xlfn.IFNA(IF(((INDEX(RulebookFields!G2:G1898, MATCH(D21,RulebookFields!A2:A1898, 0))="")=TRUE),  "",  INDEX(RulebookFields!G2:G1898, MATCH(D21,RulebookFields!A2:A1898, 0))), "")</f>
        <v>=INDEX(ProcedureExecutions!{{LatestAttestationInstant}}, MATCH({{ParentProcedureExecution}}, ProcedureExecutions!{{ProcedureExecutionId}}, 0))</v>
      </c>
      <c r="L21" s="4" t="str">
        <f>_xlfn.IFNA(IF(((INDEX(ConformanceSubstrates!C2:C9, MATCH(C21,ConformanceSubstrates!A2:A9, 0))="")=TRUE),  "",  INDEX(ConformanceSubstrates!C2:C9, MATCH(C21,ConformanceSubstrates!A2:A9, 0))), "")</f>
        <v>Excel</v>
      </c>
      <c r="M21" s="3" t="s">
        <v>1922</v>
      </c>
    </row>
    <row r="22">
      <c r="A22" s="3" t="s">
        <v>14750</v>
      </c>
      <c r="B22" s="4" t="str">
        <f>_xlfn.CONCAT(C22, " / ", D22)</f>
        <v>effortless-xlsx / RequirementSatisfactions.PostAttestationScoreExecutionKey</v>
      </c>
      <c r="C22" s="3" t="s">
        <v>14053</v>
      </c>
      <c r="D22" s="3" t="s">
        <v>3850</v>
      </c>
      <c r="E22" s="3" t="s">
        <v>14230</v>
      </c>
      <c r="F22" s="3" t="s">
        <v>2420</v>
      </c>
      <c r="G22" s="3">
        <v>8</v>
      </c>
      <c r="H22" s="3" t="s">
        <v>14729</v>
      </c>
      <c r="I22" s="4">
        <f>COUNTIFS(CellDisagreements!C2:C340, A22)</f>
        <v>8</v>
      </c>
      <c r="J22" s="4" t="b">
        <f>I22 = G22</f>
        <v>1</v>
      </c>
      <c r="K22" s="4" t="str">
        <f>_xlfn.IFNA(IF(((INDEX(RulebookFields!G2:G1898, MATCH(D22,RulebookFields!A2:A1898, 0))="")=TRUE),  "",  INDEX(RulebookFields!G2:G1898, MATCH(D22,RulebookFields!A2:A1898, 0))), "")</f>
        <v>=IF({{WasScoredAfterAttestation}}, {{ParentProcedureExecution}}, "")</v>
      </c>
      <c r="L22" s="4" t="str">
        <f>_xlfn.IFNA(IF(((INDEX(ConformanceSubstrates!C2:C9, MATCH(C22,ConformanceSubstrates!A2:A9, 0))="")=TRUE),  "",  INDEX(ConformanceSubstrates!C2:C9, MATCH(C22,ConformanceSubstrates!A2:A9, 0))), "")</f>
        <v>Excel</v>
      </c>
      <c r="M22" s="3" t="s">
        <v>1922</v>
      </c>
    </row>
    <row r="23">
      <c r="A23" s="3" t="s">
        <v>14751</v>
      </c>
      <c r="B23" s="4" t="str">
        <f>_xlfn.CONCAT(C23, " / ", D23)</f>
        <v>effortless-xlsx / MessageDeliveries.OptOutPhrasePosition</v>
      </c>
      <c r="C23" s="3" t="s">
        <v>14053</v>
      </c>
      <c r="D23" s="3" t="s">
        <v>4590</v>
      </c>
      <c r="E23" s="3" t="s">
        <v>14252</v>
      </c>
      <c r="F23" s="3" t="s">
        <v>2420</v>
      </c>
      <c r="G23" s="3">
        <v>3</v>
      </c>
      <c r="H23" s="3" t="s">
        <v>14729</v>
      </c>
      <c r="I23" s="4">
        <f>COUNTIFS(CellDisagreements!C2:C340, A23)</f>
        <v>3</v>
      </c>
      <c r="J23" s="4" t="b">
        <f>I23 = G23</f>
        <v>1</v>
      </c>
      <c r="K23" s="4" t="str">
        <f>_xlfn.IFNA(IF(((INDEX(RulebookFields!G2:G1898, MATCH(D23,RulebookFields!A2:A1898, 0))="")=TRUE),  "",  INDEX(RulebookFields!G2:G1898, MATCH(D23,RulebookFields!A2:A1898, 0))), "")</f>
        <v>=FIND({{PolicyRequiredOptOutPhrase}}, {{RenderedBody}})</v>
      </c>
      <c r="L23" s="4" t="str">
        <f>_xlfn.IFNA(IF(((INDEX(ConformanceSubstrates!C2:C9, MATCH(C23,ConformanceSubstrates!A2:A9, 0))="")=TRUE),  "",  INDEX(ConformanceSubstrates!C2:C9, MATCH(C23,ConformanceSubstrates!A2:A9, 0))), "")</f>
        <v>Excel</v>
      </c>
      <c r="M23" s="3" t="s">
        <v>1922</v>
      </c>
    </row>
    <row r="24">
      <c r="A24" s="3" t="s">
        <v>14752</v>
      </c>
      <c r="B24" s="4" t="str">
        <f>_xlfn.CONCAT(C24, " / ", D24)</f>
        <v>effortless-xlsx / MessageDeliveries.HasOptOutPhrase</v>
      </c>
      <c r="C24" s="3" t="s">
        <v>14053</v>
      </c>
      <c r="D24" s="3" t="s">
        <v>4593</v>
      </c>
      <c r="E24" s="3" t="s">
        <v>14252</v>
      </c>
      <c r="F24" s="3" t="s">
        <v>2420</v>
      </c>
      <c r="G24" s="3">
        <v>3</v>
      </c>
      <c r="H24" s="3" t="s">
        <v>14729</v>
      </c>
      <c r="I24" s="4">
        <f>COUNTIFS(CellDisagreements!C2:C340, A24)</f>
        <v>3</v>
      </c>
      <c r="J24" s="4" t="b">
        <f>I24 = G24</f>
        <v>1</v>
      </c>
      <c r="K24" s="4" t="str">
        <f>_xlfn.IFNA(IF(((INDEX(RulebookFields!G2:G1898, MATCH(D24,RulebookFields!A2:A1898, 0))="")=TRUE),  "",  INDEX(RulebookFields!G2:G1898, MATCH(D24,RulebookFields!A2:A1898, 0))), "")</f>
        <v>={{OptOutPhrasePosition}} &gt; 0</v>
      </c>
      <c r="L24" s="4" t="str">
        <f>_xlfn.IFNA(IF(((INDEX(ConformanceSubstrates!C2:C9, MATCH(C24,ConformanceSubstrates!A2:A9, 0))="")=TRUE),  "",  INDEX(ConformanceSubstrates!C2:C9, MATCH(C24,ConformanceSubstrates!A2:A9, 0))), "")</f>
        <v>Excel</v>
      </c>
      <c r="M24" s="3" t="s">
        <v>1922</v>
      </c>
    </row>
    <row r="25">
      <c r="A25" s="3" t="s">
        <v>14753</v>
      </c>
      <c r="B25" s="4" t="str">
        <f>_xlfn.CONCAT(C25, " / ", D25)</f>
        <v>effortless-xlsx / MessageDeliveries.IsOptOutInFirstSegment</v>
      </c>
      <c r="C25" s="3" t="s">
        <v>14053</v>
      </c>
      <c r="D25" s="3" t="s">
        <v>4596</v>
      </c>
      <c r="E25" s="3" t="s">
        <v>14252</v>
      </c>
      <c r="F25" s="3" t="s">
        <v>2420</v>
      </c>
      <c r="G25" s="3">
        <v>3</v>
      </c>
      <c r="H25" s="3" t="s">
        <v>14729</v>
      </c>
      <c r="I25" s="4">
        <f>COUNTIFS(CellDisagreements!C2:C340, A25)</f>
        <v>3</v>
      </c>
      <c r="J25" s="4" t="b">
        <f>I25 = G25</f>
        <v>1</v>
      </c>
      <c r="K25" s="4" t="str">
        <f>_xlfn.IFNA(IF(((INDEX(RulebookFields!G2:G1898, MATCH(D25,RulebookFields!A2:A1898, 0))="")=TRUE),  "",  INDEX(RulebookFields!G2:G1898, MATCH(D25,RulebookFields!A2:A1898, 0))), "")</f>
        <v>=AND({{HasOptOutPhrase}}, {{OptOutPhrasePosition}} &lt;= {{PolicyMaxMessageLengthAtSend}})</v>
      </c>
      <c r="L25" s="4" t="str">
        <f>_xlfn.IFNA(IF(((INDEX(ConformanceSubstrates!C2:C9, MATCH(C25,ConformanceSubstrates!A2:A9, 0))="")=TRUE),  "",  INDEX(ConformanceSubstrates!C2:C9, MATCH(C25,ConformanceSubstrates!A2:A9, 0))), "")</f>
        <v>Excel</v>
      </c>
      <c r="M25" s="3" t="s">
        <v>1922</v>
      </c>
    </row>
    <row r="26">
      <c r="A26" s="3" t="s">
        <v>14754</v>
      </c>
      <c r="B26" s="4" t="str">
        <f>_xlfn.CONCAT(C26, " / ", D26)</f>
        <v>effortless-xlsx / MessageDeliveries.IsMissingRequiredOptOut</v>
      </c>
      <c r="C26" s="3" t="s">
        <v>14053</v>
      </c>
      <c r="D26" s="3" t="s">
        <v>4599</v>
      </c>
      <c r="E26" s="3" t="s">
        <v>14252</v>
      </c>
      <c r="F26" s="3" t="s">
        <v>2420</v>
      </c>
      <c r="G26" s="3">
        <v>1</v>
      </c>
      <c r="H26" s="3" t="s">
        <v>14729</v>
      </c>
      <c r="I26" s="4">
        <f>COUNTIFS(CellDisagreements!C2:C340, A26)</f>
        <v>1</v>
      </c>
      <c r="J26" s="4" t="b">
        <f>I26 = G26</f>
        <v>1</v>
      </c>
      <c r="K26" s="4" t="str">
        <f>_xlfn.IFNA(IF(((INDEX(RulebookFields!G2:G1898, MATCH(D26,RulebookFields!A2:A1898, 0))="")=TRUE),  "",  INDEX(RulebookFields!G2:G1898, MATCH(D26,RulebookFields!A2:A1898, 0))), "")</f>
        <v>=AND({{WasActuallyTransmitted}}, AND({{PolicyRequiresOptOut}}, NOT({{HasOptOutPhrase}})))</v>
      </c>
      <c r="L26" s="4" t="str">
        <f>_xlfn.IFNA(IF(((INDEX(ConformanceSubstrates!C2:C9, MATCH(C26,ConformanceSubstrates!A2:A9, 0))="")=TRUE),  "",  INDEX(ConformanceSubstrates!C2:C9, MATCH(C26,ConformanceSubstrates!A2:A9, 0))), "")</f>
        <v>Excel</v>
      </c>
      <c r="M26" s="3" t="s">
        <v>1922</v>
      </c>
    </row>
    <row r="27">
      <c r="A27" s="3" t="s">
        <v>14755</v>
      </c>
      <c r="B27" s="4" t="str">
        <f>_xlfn.CONCAT(C27, " / ", D27)</f>
        <v>effortless-xlsx / MessageDeliveries.IsOptOutAtRiskOfTruncation</v>
      </c>
      <c r="C27" s="3" t="s">
        <v>14053</v>
      </c>
      <c r="D27" s="3" t="s">
        <v>4602</v>
      </c>
      <c r="E27" s="3" t="s">
        <v>14252</v>
      </c>
      <c r="F27" s="3" t="s">
        <v>2420</v>
      </c>
      <c r="G27" s="3">
        <v>1</v>
      </c>
      <c r="H27" s="3" t="s">
        <v>14729</v>
      </c>
      <c r="I27" s="4">
        <f>COUNTIFS(CellDisagreements!C2:C340, A27)</f>
        <v>1</v>
      </c>
      <c r="J27" s="4" t="b">
        <f>I27 = G27</f>
        <v>1</v>
      </c>
      <c r="K27" s="4" t="str">
        <f>_xlfn.IFNA(IF(((INDEX(RulebookFields!G2:G1898, MATCH(D27,RulebookFields!A2:A1898, 0))="")=TRUE),  "",  INDEX(RulebookFields!G2:G1898, MATCH(D27,RulebookFields!A2:A1898, 0))), "")</f>
        <v>=AND({{WasActuallyTransmitted}}, AND({{PolicyRequiresOptOut}}, AND({{HasOptOutPhrase}}, NOT({{IsOptOutInFirstSegment}}))))</v>
      </c>
      <c r="L27" s="4" t="str">
        <f>_xlfn.IFNA(IF(((INDEX(ConformanceSubstrates!C2:C9, MATCH(C27,ConformanceSubstrates!A2:A9, 0))="")=TRUE),  "",  INDEX(ConformanceSubstrates!C2:C9, MATCH(C27,ConformanceSubstrates!A2:A9, 0))), "")</f>
        <v>Excel</v>
      </c>
      <c r="M27" s="3" t="s">
        <v>1922</v>
      </c>
    </row>
    <row r="28">
      <c r="A28" s="3" t="s">
        <v>14756</v>
      </c>
      <c r="B28" s="4" t="str">
        <f>_xlfn.CONCAT(C28, " / ", D28)</f>
        <v>effortless-xlsx / AgentDecisionRecords.ReviewLatencyMinutes</v>
      </c>
      <c r="C28" s="3" t="s">
        <v>14053</v>
      </c>
      <c r="D28" s="3" t="s">
        <v>5061</v>
      </c>
      <c r="E28" s="3" t="s">
        <v>14255</v>
      </c>
      <c r="F28" s="3" t="s">
        <v>2420</v>
      </c>
      <c r="G28" s="3">
        <v>3</v>
      </c>
      <c r="H28" s="3" t="s">
        <v>14729</v>
      </c>
      <c r="I28" s="4">
        <f>COUNTIFS(CellDisagreements!C2:C340, A28)</f>
        <v>3</v>
      </c>
      <c r="J28" s="4" t="b">
        <f>I28 = G28</f>
        <v>1</v>
      </c>
      <c r="K28" s="4" t="str">
        <f>_xlfn.IFNA(IF(((INDEX(RulebookFields!G2:G1898, MATCH(D28,RulebookFields!A2:A1898, 0))="")=TRUE),  "",  INDEX(RulebookFields!G2:G1898, MATCH(D28,RulebookFields!A2:A1898, 0))), "")</f>
        <v>=IF({{ReviewedAt}} = "", 0, DATETIME_DIFF({{ReviewedAt}}, {{DecidedAt}}, "minutes"))</v>
      </c>
      <c r="L28" s="4" t="str">
        <f>_xlfn.IFNA(IF(((INDEX(ConformanceSubstrates!C2:C9, MATCH(C28,ConformanceSubstrates!A2:A9, 0))="")=TRUE),  "",  INDEX(ConformanceSubstrates!C2:C9, MATCH(C28,ConformanceSubstrates!A2:A9, 0))), "")</f>
        <v>Excel</v>
      </c>
      <c r="M28" s="3" t="s">
        <v>1922</v>
      </c>
    </row>
    <row r="29">
      <c r="A29" s="3" t="s">
        <v>14757</v>
      </c>
      <c r="B29" s="4" t="str">
        <f>_xlfn.CONCAT(C29, " / ", D29)</f>
        <v>effortless-owl / RulebookReleases.Name</v>
      </c>
      <c r="C29" s="3" t="s">
        <v>14059</v>
      </c>
      <c r="D29" s="3" t="s">
        <v>2419</v>
      </c>
      <c r="E29" s="3" t="s">
        <v>14461</v>
      </c>
      <c r="F29" s="3" t="s">
        <v>2420</v>
      </c>
      <c r="G29" s="3">
        <v>1</v>
      </c>
      <c r="H29" s="3" t="s">
        <v>14729</v>
      </c>
      <c r="I29" s="4">
        <f>COUNTIFS(CellDisagreements!C2:C340, A29)</f>
        <v>1</v>
      </c>
      <c r="J29" s="4" t="b">
        <f>I29 = G29</f>
        <v>1</v>
      </c>
      <c r="K29" s="4" t="str">
        <f>_xlfn.IFNA(IF(((INDEX(RulebookFields!G2:G1898, MATCH(D29,RulebookFields!A2:A1898, 0))="")=TRUE),  "",  INDEX(RulebookFields!G2:G1898, MATCH(D29,RulebookFields!A2:A1898, 0))), "")</f>
        <v>={{RulebookVersion}} &amp; " / PKO " &amp; {{PkoCoreVersionIri}}</v>
      </c>
      <c r="L29" s="4" t="str">
        <f>_xlfn.IFNA(IF(((INDEX(ConformanceSubstrates!C2:C9, MATCH(C29,ConformanceSubstrates!A2:A9, 0))="")=TRUE),  "",  INDEX(ConformanceSubstrates!C2:C9, MATCH(C29,ConformanceSubstrates!A2:A9, 0))), "")</f>
        <v>OWL / SHACL</v>
      </c>
      <c r="M29" s="3" t="s">
        <v>1922</v>
      </c>
    </row>
    <row r="30">
      <c r="A30" s="3" t="s">
        <v>14758</v>
      </c>
      <c r="B30" s="4" t="str">
        <f>_xlfn.CONCAT(C30, " / ", D30)</f>
        <v>effortless-owl / ProcedureVersions.IncomingSupersessionCount</v>
      </c>
      <c r="C30" s="3" t="s">
        <v>14059</v>
      </c>
      <c r="D30" s="3" t="s">
        <v>2819</v>
      </c>
      <c r="E30" s="3" t="s">
        <v>14472</v>
      </c>
      <c r="F30" s="3" t="s">
        <v>2469</v>
      </c>
      <c r="G30" s="3">
        <v>1</v>
      </c>
      <c r="H30" s="3" t="s">
        <v>14729</v>
      </c>
      <c r="I30" s="4">
        <f>COUNTIFS(CellDisagreements!C2:C340, A30)</f>
        <v>1</v>
      </c>
      <c r="J30" s="4" t="b">
        <f>I30 = G30</f>
        <v>1</v>
      </c>
      <c r="K30" s="4" t="str">
        <f>_xlfn.IFNA(IF(((INDEX(RulebookFields!G2:G1898, MATCH(D30,RulebookFields!A2:A1898, 0))="")=TRUE),  "",  INDEX(RulebookFields!G2:G1898, MATCH(D30,RulebookFields!A2:A1898, 0))), "")</f>
        <v>=COUNTIFS(ProcedureVersionLinks!{{SupersededVersionKey}}, {{ProcedureVersionId}})</v>
      </c>
      <c r="L30" s="4" t="str">
        <f>_xlfn.IFNA(IF(((INDEX(ConformanceSubstrates!C2:C9, MATCH(C30,ConformanceSubstrates!A2:A9, 0))="")=TRUE),  "",  INDEX(ConformanceSubstrates!C2:C9, MATCH(C30,ConformanceSubstrates!A2:A9, 0))), "")</f>
        <v>OWL / SHACL</v>
      </c>
      <c r="M30" s="3" t="s">
        <v>1922</v>
      </c>
    </row>
    <row r="31">
      <c r="A31" s="3" t="s">
        <v>14759</v>
      </c>
      <c r="B31" s="4" t="str">
        <f>_xlfn.CONCAT(C31, " / ", D31)</f>
        <v>effortless-owl / ProcedureVersions.IsStillReferenced</v>
      </c>
      <c r="C31" s="3" t="s">
        <v>14059</v>
      </c>
      <c r="D31" s="3" t="s">
        <v>2821</v>
      </c>
      <c r="E31" s="3" t="s">
        <v>14472</v>
      </c>
      <c r="F31" s="3" t="s">
        <v>2420</v>
      </c>
      <c r="G31" s="3">
        <v>1</v>
      </c>
      <c r="H31" s="3" t="s">
        <v>14729</v>
      </c>
      <c r="I31" s="4">
        <f>COUNTIFS(CellDisagreements!C2:C340, A31)</f>
        <v>1</v>
      </c>
      <c r="J31" s="4" t="b">
        <f>I31 = G31</f>
        <v>1</v>
      </c>
      <c r="K31" s="4" t="str">
        <f>_xlfn.IFNA(IF(((INDEX(RulebookFields!G2:G1898, MATCH(D31,RulebookFields!A2:A1898, 0))="")=TRUE),  "",  INDEX(RulebookFields!G2:G1898, MATCH(D31,RulebookFields!A2:A1898, 0))), "")</f>
        <v>={{IncomingSupersessionCount}} &gt; 0</v>
      </c>
      <c r="L31" s="4" t="str">
        <f>_xlfn.IFNA(IF(((INDEX(ConformanceSubstrates!C2:C9, MATCH(C31,ConformanceSubstrates!A2:A9, 0))="")=TRUE),  "",  INDEX(ConformanceSubstrates!C2:C9, MATCH(C31,ConformanceSubstrates!A2:A9, 0))), "")</f>
        <v>OWL / SHACL</v>
      </c>
      <c r="M31" s="3" t="s">
        <v>1922</v>
      </c>
    </row>
    <row r="32">
      <c r="A32" s="3" t="s">
        <v>14760</v>
      </c>
      <c r="B32" s="4" t="str">
        <f>_xlfn.CONCAT(C32, " / ", D32)</f>
        <v>effortless-owl / ProcedureVersions.IsLoadBearingOrphan</v>
      </c>
      <c r="C32" s="3" t="s">
        <v>14059</v>
      </c>
      <c r="D32" s="3" t="s">
        <v>2823</v>
      </c>
      <c r="E32" s="3" t="s">
        <v>14472</v>
      </c>
      <c r="F32" s="3" t="s">
        <v>2420</v>
      </c>
      <c r="G32" s="3">
        <v>1</v>
      </c>
      <c r="H32" s="3" t="s">
        <v>14729</v>
      </c>
      <c r="I32" s="4">
        <f>COUNTIFS(CellDisagreements!C2:C340, A32)</f>
        <v>1</v>
      </c>
      <c r="J32" s="4" t="b">
        <f>I32 = G32</f>
        <v>1</v>
      </c>
      <c r="K32" s="4" t="str">
        <f>_xlfn.IFNA(IF(((INDEX(RulebookFields!G2:G1898, MATCH(D32,RulebookFields!A2:A1898, 0))="")=TRUE),  "",  INDEX(RulebookFields!G2:G1898, MATCH(D32,RulebookFields!A2:A1898, 0))), "")</f>
        <v>=AND({{IsUnstewarded}}, OR({{StillOwnsValidKnowledge}}, {{IsStillReferenced}}))</v>
      </c>
      <c r="L32" s="4" t="str">
        <f>_xlfn.IFNA(IF(((INDEX(ConformanceSubstrates!C2:C9, MATCH(C32,ConformanceSubstrates!A2:A9, 0))="")=TRUE),  "",  INDEX(ConformanceSubstrates!C2:C9, MATCH(C32,ConformanceSubstrates!A2:A9, 0))), "")</f>
        <v>OWL / SHACL</v>
      </c>
      <c r="M32" s="3" t="s">
        <v>1922</v>
      </c>
    </row>
    <row r="33">
      <c r="A33" s="3" t="s">
        <v>14761</v>
      </c>
      <c r="B33" s="4" t="str">
        <f>_xlfn.CONCAT(C33, " / ", D33)</f>
        <v>effortless-owl / ProcedureVersions.IsCleanlyRetired</v>
      </c>
      <c r="C33" s="3" t="s">
        <v>14059</v>
      </c>
      <c r="D33" s="3" t="s">
        <v>2825</v>
      </c>
      <c r="E33" s="3" t="s">
        <v>14472</v>
      </c>
      <c r="F33" s="3" t="s">
        <v>2420</v>
      </c>
      <c r="G33" s="3">
        <v>1</v>
      </c>
      <c r="H33" s="3" t="s">
        <v>14729</v>
      </c>
      <c r="I33" s="4">
        <f>COUNTIFS(CellDisagreements!C2:C340, A33)</f>
        <v>1</v>
      </c>
      <c r="J33" s="4" t="b">
        <f>I33 = G33</f>
        <v>1</v>
      </c>
      <c r="K33" s="4" t="str">
        <f>_xlfn.IFNA(IF(((INDEX(RulebookFields!G2:G1898, MATCH(D33,RulebookFields!A2:A1898, 0))="")=TRUE),  "",  INDEX(RulebookFields!G2:G1898, MATCH(D33,RulebookFields!A2:A1898, 0))), "")</f>
        <v>=AND({{IsUnstewarded}}, NOT({{StillOwnsValidKnowledge}}), NOT({{IsStillReferenced}}))</v>
      </c>
      <c r="L33" s="4" t="str">
        <f>_xlfn.IFNA(IF(((INDEX(ConformanceSubstrates!C2:C9, MATCH(C33,ConformanceSubstrates!A2:A9, 0))="")=TRUE),  "",  INDEX(ConformanceSubstrates!C2:C9, MATCH(C33,ConformanceSubstrates!A2:A9, 0))), "")</f>
        <v>OWL / SHACL</v>
      </c>
      <c r="M33" s="3" t="s">
        <v>1922</v>
      </c>
    </row>
    <row r="34">
      <c r="A34" s="3" t="s">
        <v>14762</v>
      </c>
      <c r="B34" s="4" t="str">
        <f>_xlfn.CONCAT(C34, " / ", D34)</f>
        <v>effortless-owl / ProcedureVersions.DaysSinceLastReview</v>
      </c>
      <c r="C34" s="3" t="s">
        <v>14059</v>
      </c>
      <c r="D34" s="3" t="s">
        <v>2757</v>
      </c>
      <c r="E34" s="3" t="s">
        <v>14472</v>
      </c>
      <c r="F34" s="3" t="s">
        <v>2469</v>
      </c>
      <c r="G34" s="3">
        <v>2</v>
      </c>
      <c r="H34" s="3" t="s">
        <v>14729</v>
      </c>
      <c r="I34" s="4">
        <f>COUNTIFS(CellDisagreements!C2:C340, A34)</f>
        <v>2</v>
      </c>
      <c r="J34" s="4" t="b">
        <f>I34 = G34</f>
        <v>1</v>
      </c>
      <c r="K34" s="4" t="str">
        <f>_xlfn.IFNA(IF(((INDEX(RulebookFields!G2:G1898, MATCH(D34,RulebookFields!A2:A1898, 0))="")=TRUE),  "",  INDEX(RulebookFields!G2:G1898, MATCH(D34,RulebookFields!A2:A1898, 0))), "")</f>
        <v>=DATETIME_DIFF({{AsOfInstant}}, MAXIFS(ReviewEvents!{{ReviewedAt}}, ReviewEvents!{{ProcedureVersion}}, ProcedureVersions!{{ProcedureVersionId}}), "days")</v>
      </c>
      <c r="L34" s="4" t="str">
        <f>_xlfn.IFNA(IF(((INDEX(ConformanceSubstrates!C2:C9, MATCH(C34,ConformanceSubstrates!A2:A9, 0))="")=TRUE),  "",  INDEX(ConformanceSubstrates!C2:C9, MATCH(C34,ConformanceSubstrates!A2:A9, 0))), "")</f>
        <v>OWL / SHACL</v>
      </c>
      <c r="M34" s="3" t="s">
        <v>1922</v>
      </c>
    </row>
    <row r="35">
      <c r="A35" s="3" t="s">
        <v>14763</v>
      </c>
      <c r="B35" s="4" t="str">
        <f>_xlfn.CONCAT(C35, " / ", D35)</f>
        <v>effortless-owl / ProcedureVersionLinks.SupersededVersionKey</v>
      </c>
      <c r="C35" s="3" t="s">
        <v>14059</v>
      </c>
      <c r="D35" s="3" t="s">
        <v>2858</v>
      </c>
      <c r="E35" s="3" t="s">
        <v>14473</v>
      </c>
      <c r="F35" s="3" t="s">
        <v>2420</v>
      </c>
      <c r="G35" s="3">
        <v>1</v>
      </c>
      <c r="H35" s="3" t="s">
        <v>14729</v>
      </c>
      <c r="I35" s="4">
        <f>COUNTIFS(CellDisagreements!C2:C340, A35)</f>
        <v>1</v>
      </c>
      <c r="J35" s="4" t="b">
        <f>I35 = G35</f>
        <v>1</v>
      </c>
      <c r="K35" s="4" t="str">
        <f>_xlfn.IFNA(IF(((INDEX(RulebookFields!G2:G1898, MATCH(D35,RulebookFields!A2:A1898, 0))="")=TRUE),  "",  INDEX(RulebookFields!G2:G1898, MATCH(D35,RulebookFields!A2:A1898, 0))), "")</f>
        <v>=IF({{RelationIri}} = "https://w3id.org/pko#nextVersion", {{PreviousProcedureVersion}}, "")</v>
      </c>
      <c r="L35" s="4" t="str">
        <f>_xlfn.IFNA(IF(((INDEX(ConformanceSubstrates!C2:C9, MATCH(C35,ConformanceSubstrates!A2:A9, 0))="")=TRUE),  "",  INDEX(ConformanceSubstrates!C2:C9, MATCH(C35,ConformanceSubstrates!A2:A9, 0))), "")</f>
        <v>OWL / SHACL</v>
      </c>
      <c r="M35" s="3" t="s">
        <v>1922</v>
      </c>
    </row>
    <row r="36">
      <c r="A36" s="3" t="s">
        <v>14764</v>
      </c>
      <c r="B36" s="4" t="str">
        <f>_xlfn.CONCAT(C36, " / ", D36)</f>
        <v>effortless-owl / StepTransitions.CountOfFromStepExecutions</v>
      </c>
      <c r="C36" s="3" t="s">
        <v>14059</v>
      </c>
      <c r="D36" s="3" t="s">
        <v>2975</v>
      </c>
      <c r="E36" s="3" t="s">
        <v>14476</v>
      </c>
      <c r="F36" s="3" t="s">
        <v>2469</v>
      </c>
      <c r="G36" s="3">
        <v>15</v>
      </c>
      <c r="H36" s="3" t="s">
        <v>14729</v>
      </c>
      <c r="I36" s="4">
        <f>COUNTIFS(CellDisagreements!C2:C340, A36)</f>
        <v>15</v>
      </c>
      <c r="J36" s="4" t="b">
        <f>I36 = G36</f>
        <v>1</v>
      </c>
      <c r="K36" s="4" t="str">
        <f>_xlfn.IFNA(IF(((INDEX(RulebookFields!G2:G1898, MATCH(D36,RulebookFields!A2:A1898, 0))="")=TRUE),  "",  INDEX(RulebookFields!G2:G1898, MATCH(D36,RulebookFields!A2:A1898, 0))), "")</f>
        <v>=COUNTIFS(StepExecutions!{{Step}}, StepTransitions!{{FromStep}})</v>
      </c>
      <c r="L36" s="4" t="str">
        <f>_xlfn.IFNA(IF(((INDEX(ConformanceSubstrates!C2:C9, MATCH(C36,ConformanceSubstrates!A2:A9, 0))="")=TRUE),  "",  INDEX(ConformanceSubstrates!C2:C9, MATCH(C36,ConformanceSubstrates!A2:A9, 0))), "")</f>
        <v>OWL / SHACL</v>
      </c>
      <c r="M36" s="3" t="s">
        <v>1922</v>
      </c>
    </row>
    <row r="37">
      <c r="A37" s="3" t="s">
        <v>14765</v>
      </c>
      <c r="B37" s="4" t="str">
        <f>_xlfn.CONCAT(C37, " / ", D37)</f>
        <v>effortless-owl / StepTransitions.CountOfToStepExecutions</v>
      </c>
      <c r="C37" s="3" t="s">
        <v>14059</v>
      </c>
      <c r="D37" s="3" t="s">
        <v>2977</v>
      </c>
      <c r="E37" s="3" t="s">
        <v>14476</v>
      </c>
      <c r="F37" s="3" t="s">
        <v>2469</v>
      </c>
      <c r="G37" s="3">
        <v>14</v>
      </c>
      <c r="H37" s="3" t="s">
        <v>14729</v>
      </c>
      <c r="I37" s="4">
        <f>COUNTIFS(CellDisagreements!C2:C340, A37)</f>
        <v>14</v>
      </c>
      <c r="J37" s="4" t="b">
        <f>I37 = G37</f>
        <v>1</v>
      </c>
      <c r="K37" s="4" t="str">
        <f>_xlfn.IFNA(IF(((INDEX(RulebookFields!G2:G1898, MATCH(D37,RulebookFields!A2:A1898, 0))="")=TRUE),  "",  INDEX(RulebookFields!G2:G1898, MATCH(D37,RulebookFields!A2:A1898, 0))), "")</f>
        <v>=COUNTIFS(StepExecutions!{{Step}}, StepTransitions!{{ToStep}})</v>
      </c>
      <c r="L37" s="4" t="str">
        <f>_xlfn.IFNA(IF(((INDEX(ConformanceSubstrates!C2:C9, MATCH(C37,ConformanceSubstrates!A2:A9, 0))="")=TRUE),  "",  INDEX(ConformanceSubstrates!C2:C9, MATCH(C37,ConformanceSubstrates!A2:A9, 0))), "")</f>
        <v>OWL / SHACL</v>
      </c>
      <c r="M37" s="3" t="s">
        <v>1922</v>
      </c>
    </row>
    <row r="38">
      <c r="A38" s="3" t="s">
        <v>14766</v>
      </c>
      <c r="B38" s="4" t="str">
        <f>_xlfn.CONCAT(C38, " / ", D38)</f>
        <v>effortless-owl / StepTransitions.HasReachableOrigin</v>
      </c>
      <c r="C38" s="3" t="s">
        <v>14059</v>
      </c>
      <c r="D38" s="3" t="s">
        <v>2979</v>
      </c>
      <c r="E38" s="3" t="s">
        <v>14476</v>
      </c>
      <c r="F38" s="3" t="s">
        <v>2420</v>
      </c>
      <c r="G38" s="3">
        <v>15</v>
      </c>
      <c r="H38" s="3" t="s">
        <v>14729</v>
      </c>
      <c r="I38" s="4">
        <f>COUNTIFS(CellDisagreements!C2:C340, A38)</f>
        <v>15</v>
      </c>
      <c r="J38" s="4" t="b">
        <f>I38 = G38</f>
        <v>1</v>
      </c>
      <c r="K38" s="4" t="str">
        <f>_xlfn.IFNA(IF(((INDEX(RulebookFields!G2:G1898, MATCH(D38,RulebookFields!A2:A1898, 0))="")=TRUE),  "",  INDEX(RulebookFields!G2:G1898, MATCH(D38,RulebookFields!A2:A1898, 0))), "")</f>
        <v>={{CountOfFromStepExecutions}} &gt; 0</v>
      </c>
      <c r="L38" s="4" t="str">
        <f>_xlfn.IFNA(IF(((INDEX(ConformanceSubstrates!C2:C9, MATCH(C38,ConformanceSubstrates!A2:A9, 0))="")=TRUE),  "",  INDEX(ConformanceSubstrates!C2:C9, MATCH(C38,ConformanceSubstrates!A2:A9, 0))), "")</f>
        <v>OWL / SHACL</v>
      </c>
      <c r="M38" s="3" t="s">
        <v>1922</v>
      </c>
    </row>
    <row r="39">
      <c r="A39" s="3" t="s">
        <v>14767</v>
      </c>
      <c r="B39" s="4" t="str">
        <f>_xlfn.CONCAT(C39, " / ", D39)</f>
        <v>effortless-owl / StepTransitions.HasReachableTarget</v>
      </c>
      <c r="C39" s="3" t="s">
        <v>14059</v>
      </c>
      <c r="D39" s="3" t="s">
        <v>2981</v>
      </c>
      <c r="E39" s="3" t="s">
        <v>14476</v>
      </c>
      <c r="F39" s="3" t="s">
        <v>2420</v>
      </c>
      <c r="G39" s="3">
        <v>14</v>
      </c>
      <c r="H39" s="3" t="s">
        <v>14729</v>
      </c>
      <c r="I39" s="4">
        <f>COUNTIFS(CellDisagreements!C2:C340, A39)</f>
        <v>14</v>
      </c>
      <c r="J39" s="4" t="b">
        <f>I39 = G39</f>
        <v>1</v>
      </c>
      <c r="K39" s="4" t="str">
        <f>_xlfn.IFNA(IF(((INDEX(RulebookFields!G2:G1898, MATCH(D39,RulebookFields!A2:A1898, 0))="")=TRUE),  "",  INDEX(RulebookFields!G2:G1898, MATCH(D39,RulebookFields!A2:A1898, 0))), "")</f>
        <v>={{CountOfToStepExecutions}} &gt; 0</v>
      </c>
      <c r="L39" s="4" t="str">
        <f>_xlfn.IFNA(IF(((INDEX(ConformanceSubstrates!C2:C9, MATCH(C39,ConformanceSubstrates!A2:A9, 0))="")=TRUE),  "",  INDEX(ConformanceSubstrates!C2:C9, MATCH(C39,ConformanceSubstrates!A2:A9, 0))), "")</f>
        <v>OWL / SHACL</v>
      </c>
      <c r="M39" s="3" t="s">
        <v>1922</v>
      </c>
    </row>
    <row r="40">
      <c r="A40" s="3" t="s">
        <v>14768</v>
      </c>
      <c r="B40" s="4" t="str">
        <f>_xlfn.CONCAT(C40, " / ", D40)</f>
        <v>effortless-owl / StepTransitions.IsNeverExercised</v>
      </c>
      <c r="C40" s="3" t="s">
        <v>14059</v>
      </c>
      <c r="D40" s="3" t="s">
        <v>2983</v>
      </c>
      <c r="E40" s="3" t="s">
        <v>14476</v>
      </c>
      <c r="F40" s="3" t="s">
        <v>2420</v>
      </c>
      <c r="G40" s="3">
        <v>14</v>
      </c>
      <c r="H40" s="3" t="s">
        <v>14729</v>
      </c>
      <c r="I40" s="4">
        <f>COUNTIFS(CellDisagreements!C2:C340, A40)</f>
        <v>14</v>
      </c>
      <c r="J40" s="4" t="b">
        <f>I40 = G40</f>
        <v>1</v>
      </c>
      <c r="K40" s="4" t="str">
        <f>_xlfn.IFNA(IF(((INDEX(RulebookFields!G2:G1898, MATCH(D40,RulebookFields!A2:A1898, 0))="")=TRUE),  "",  INDEX(RulebookFields!G2:G1898, MATCH(D40,RulebookFields!A2:A1898, 0))), "")</f>
        <v>=NOT(AND({{HasReachableOrigin}}, {{HasReachableTarget}}))</v>
      </c>
      <c r="L40" s="4" t="str">
        <f>_xlfn.IFNA(IF(((INDEX(ConformanceSubstrates!C2:C9, MATCH(C40,ConformanceSubstrates!A2:A9, 0))="")=TRUE),  "",  INDEX(ConformanceSubstrates!C2:C9, MATCH(C40,ConformanceSubstrates!A2:A9, 0))), "")</f>
        <v>OWL / SHACL</v>
      </c>
      <c r="M40" s="3" t="s">
        <v>1922</v>
      </c>
    </row>
    <row r="41">
      <c r="A41" s="3" t="s">
        <v>14769</v>
      </c>
      <c r="B41" s="4" t="str">
        <f>_xlfn.CONCAT(C41, " / ", D41)</f>
        <v>effortless-owl / StepTransitions.IsUntestedRecoveryPath</v>
      </c>
      <c r="C41" s="3" t="s">
        <v>14059</v>
      </c>
      <c r="D41" s="3" t="s">
        <v>2985</v>
      </c>
      <c r="E41" s="3" t="s">
        <v>14476</v>
      </c>
      <c r="F41" s="3" t="s">
        <v>2420</v>
      </c>
      <c r="G41" s="3">
        <v>4</v>
      </c>
      <c r="H41" s="3" t="s">
        <v>14729</v>
      </c>
      <c r="I41" s="4">
        <f>COUNTIFS(CellDisagreements!C2:C340, A41)</f>
        <v>4</v>
      </c>
      <c r="J41" s="4" t="b">
        <f>I41 = G41</f>
        <v>1</v>
      </c>
      <c r="K41" s="4" t="str">
        <f>_xlfn.IFNA(IF(((INDEX(RulebookFields!G2:G1898, MATCH(D41,RulebookFields!A2:A1898, 0))="")=TRUE),  "",  INDEX(RulebookFields!G2:G1898, MATCH(D41,RulebookFields!A2:A1898, 0))), "")</f>
        <v>=AND({{IsRecoveryPath}}, {{IsNeverExercised}})</v>
      </c>
      <c r="L41" s="4" t="str">
        <f>_xlfn.IFNA(IF(((INDEX(ConformanceSubstrates!C2:C9, MATCH(C41,ConformanceSubstrates!A2:A9, 0))="")=TRUE),  "",  INDEX(ConformanceSubstrates!C2:C9, MATCH(C41,ConformanceSubstrates!A2:A9, 0))), "")</f>
        <v>OWL / SHACL</v>
      </c>
      <c r="M41" s="3" t="s">
        <v>1922</v>
      </c>
    </row>
    <row r="42">
      <c r="A42" s="3" t="s">
        <v>14770</v>
      </c>
      <c r="B42" s="4" t="str">
        <f>_xlfn.CONCAT(C42, " / ", D42)</f>
        <v>effortless-owl / KnowledgeFragments.IsInvokedByAnException</v>
      </c>
      <c r="C42" s="3" t="s">
        <v>14059</v>
      </c>
      <c r="D42" s="3" t="s">
        <v>3282</v>
      </c>
      <c r="E42" s="3" t="s">
        <v>14491</v>
      </c>
      <c r="F42" s="3" t="s">
        <v>2469</v>
      </c>
      <c r="G42" s="3">
        <v>2</v>
      </c>
      <c r="H42" s="3" t="s">
        <v>14729</v>
      </c>
      <c r="I42" s="4">
        <f>COUNTIFS(CellDisagreements!C2:C340, A42)</f>
        <v>2</v>
      </c>
      <c r="J42" s="4" t="b">
        <f>I42 = G42</f>
        <v>1</v>
      </c>
      <c r="K42" s="4" t="str">
        <f>_xlfn.IFNA(IF(((INDEX(RulebookFields!G2:G1898, MATCH(D42,RulebookFields!A2:A1898, 0))="")=TRUE),  "",  INDEX(RulebookFields!G2:G1898, MATCH(D42,RulebookFields!A2:A1898, 0))), "")</f>
        <v>=COUNTIFS(Exceptions!{{TriggerStep}}, KnowledgeFragments!{{Step}})</v>
      </c>
      <c r="L42" s="4" t="str">
        <f>_xlfn.IFNA(IF(((INDEX(ConformanceSubstrates!C2:C9, MATCH(C42,ConformanceSubstrates!A2:A9, 0))="")=TRUE),  "",  INDEX(ConformanceSubstrates!C2:C9, MATCH(C42,ConformanceSubstrates!A2:A9, 0))), "")</f>
        <v>OWL / SHACL</v>
      </c>
      <c r="M42" s="3" t="s">
        <v>1922</v>
      </c>
    </row>
    <row r="43">
      <c r="A43" s="3" t="s">
        <v>14771</v>
      </c>
      <c r="B43" s="4" t="str">
        <f>_xlfn.CONCAT(C43, " / ", D43)</f>
        <v>effortless-owl / KnowledgeFragments.HasOperationalReliance</v>
      </c>
      <c r="C43" s="3" t="s">
        <v>14059</v>
      </c>
      <c r="D43" s="3" t="s">
        <v>3284</v>
      </c>
      <c r="E43" s="3" t="s">
        <v>14491</v>
      </c>
      <c r="F43" s="3" t="s">
        <v>2420</v>
      </c>
      <c r="G43" s="3">
        <v>2</v>
      </c>
      <c r="H43" s="3" t="s">
        <v>14729</v>
      </c>
      <c r="I43" s="4">
        <f>COUNTIFS(CellDisagreements!C2:C340, A43)</f>
        <v>2</v>
      </c>
      <c r="J43" s="4" t="b">
        <f>I43 = G43</f>
        <v>1</v>
      </c>
      <c r="K43" s="4" t="str">
        <f>_xlfn.IFNA(IF(((INDEX(RulebookFields!G2:G1898, MATCH(D43,RulebookFields!A2:A1898, 0))="")=TRUE),  "",  INDEX(RulebookFields!G2:G1898, MATCH(D43,RulebookFields!A2:A1898, 0))), "")</f>
        <v>={{IsInvokedByAnException}} &gt; 0</v>
      </c>
      <c r="L43" s="4" t="str">
        <f>_xlfn.IFNA(IF(((INDEX(ConformanceSubstrates!C2:C9, MATCH(C43,ConformanceSubstrates!A2:A9, 0))="")=TRUE),  "",  INDEX(ConformanceSubstrates!C2:C9, MATCH(C43,ConformanceSubstrates!A2:A9, 0))), "")</f>
        <v>OWL / SHACL</v>
      </c>
      <c r="M43" s="3" t="s">
        <v>1922</v>
      </c>
    </row>
    <row r="44">
      <c r="A44" s="3" t="s">
        <v>14772</v>
      </c>
      <c r="B44" s="4" t="str">
        <f>_xlfn.CONCAT(C44, " / ", D44)</f>
        <v>effortless-owl / KnowledgeFragments.FragilitySignalCount</v>
      </c>
      <c r="C44" s="3" t="s">
        <v>14059</v>
      </c>
      <c r="D44" s="3" t="s">
        <v>3312</v>
      </c>
      <c r="E44" s="3" t="s">
        <v>14491</v>
      </c>
      <c r="F44" s="3" t="s">
        <v>2420</v>
      </c>
      <c r="G44" s="3">
        <v>2</v>
      </c>
      <c r="H44" s="3" t="s">
        <v>14729</v>
      </c>
      <c r="I44" s="4">
        <f>COUNTIFS(CellDisagreements!C2:C340, A44)</f>
        <v>2</v>
      </c>
      <c r="J44" s="4" t="b">
        <f>I44 = G44</f>
        <v>1</v>
      </c>
      <c r="K44" s="4" t="str">
        <f>_xlfn.IFNA(IF(((INDEX(RulebookFields!G2:G1898, MATCH(D44,RulebookFields!A2:A1898, 0))="")=TRUE),  "",  INDEX(RulebookFields!G2:G1898, MATCH(D44,RulebookFields!A2:A1898, 0))), "")</f>
        <v>=IF({{IsFromSingleWitness}}, 1, 0) + IF({{IsOverdueForReview}}, 1, 0) + IF({{IsLowConfidence}}, 1, 0) + IF({{HasOperationalReliance}}, 1, 0)</v>
      </c>
      <c r="L44" s="4" t="str">
        <f>_xlfn.IFNA(IF(((INDEX(ConformanceSubstrates!C2:C9, MATCH(C44,ConformanceSubstrates!A2:A9, 0))="")=TRUE),  "",  INDEX(ConformanceSubstrates!C2:C9, MATCH(C44,ConformanceSubstrates!A2:A9, 0))), "")</f>
        <v>OWL / SHACL</v>
      </c>
      <c r="M44" s="3" t="s">
        <v>1922</v>
      </c>
    </row>
    <row r="45">
      <c r="A45" s="3" t="s">
        <v>14773</v>
      </c>
      <c r="B45" s="4" t="str">
        <f>_xlfn.CONCAT(C45, " / ", D45)</f>
        <v>effortless-owl / KnowledgeFragments.RelianceSurfaceCount</v>
      </c>
      <c r="C45" s="3" t="s">
        <v>14059</v>
      </c>
      <c r="D45" s="3" t="s">
        <v>3350</v>
      </c>
      <c r="E45" s="3" t="s">
        <v>14491</v>
      </c>
      <c r="F45" s="3" t="s">
        <v>2420</v>
      </c>
      <c r="G45" s="3">
        <v>2</v>
      </c>
      <c r="H45" s="3" t="s">
        <v>14729</v>
      </c>
      <c r="I45" s="4">
        <f>COUNTIFS(CellDisagreements!C2:C340, A45)</f>
        <v>2</v>
      </c>
      <c r="J45" s="4" t="b">
        <f>I45 = G45</f>
        <v>1</v>
      </c>
      <c r="K45" s="4" t="str">
        <f>_xlfn.IFNA(IF(((INDEX(RulebookFields!G2:G1898, MATCH(D45,RulebookFields!A2:A1898, 0))="")=TRUE),  "",  INDEX(RulebookFields!G2:G1898, MATCH(D45,RulebookFields!A2:A1898, 0))), "")</f>
        <v>={{IsInvokedByAnException}} + {{RatifiedBoundaryCount}}</v>
      </c>
      <c r="L45" s="4" t="str">
        <f>_xlfn.IFNA(IF(((INDEX(ConformanceSubstrates!C2:C9, MATCH(C45,ConformanceSubstrates!A2:A9, 0))="")=TRUE),  "",  INDEX(ConformanceSubstrates!C2:C9, MATCH(C45,ConformanceSubstrates!A2:A9, 0))), "")</f>
        <v>OWL / SHACL</v>
      </c>
      <c r="M45" s="3" t="s">
        <v>1922</v>
      </c>
    </row>
    <row r="46">
      <c r="A46" s="3" t="s">
        <v>14774</v>
      </c>
      <c r="B46" s="4" t="str">
        <f>_xlfn.CONCAT(C46, " / ", D46)</f>
        <v>effortless-owl / KnowledgeFragments.IsUnapprovedAndOperationallyLive</v>
      </c>
      <c r="C46" s="3" t="s">
        <v>14059</v>
      </c>
      <c r="D46" s="3" t="s">
        <v>3286</v>
      </c>
      <c r="E46" s="3" t="s">
        <v>14491</v>
      </c>
      <c r="F46" s="3" t="s">
        <v>2420</v>
      </c>
      <c r="G46" s="3">
        <v>1</v>
      </c>
      <c r="H46" s="3" t="s">
        <v>14729</v>
      </c>
      <c r="I46" s="4">
        <f>COUNTIFS(CellDisagreements!C2:C340, A46)</f>
        <v>1</v>
      </c>
      <c r="J46" s="4" t="b">
        <f>I46 = G46</f>
        <v>1</v>
      </c>
      <c r="K46" s="4" t="str">
        <f>_xlfn.IFNA(IF(((INDEX(RulebookFields!G2:G1898, MATCH(D46,RulebookFields!A2:A1898, 0))="")=TRUE),  "",  INDEX(RulebookFields!G2:G1898, MATCH(D46,RulebookFields!A2:A1898, 0))), "")</f>
        <v>=AND({{IsMyUnfinishedApproval}}, {{HasOperationalReliance}})</v>
      </c>
      <c r="L46" s="4" t="str">
        <f>_xlfn.IFNA(IF(((INDEX(ConformanceSubstrates!C2:C9, MATCH(C46,ConformanceSubstrates!A2:A9, 0))="")=TRUE),  "",  INDEX(ConformanceSubstrates!C2:C9, MATCH(C46,ConformanceSubstrates!A2:A9, 0))), "")</f>
        <v>OWL / SHACL</v>
      </c>
      <c r="M46" s="3" t="s">
        <v>1922</v>
      </c>
    </row>
    <row r="47">
      <c r="A47" s="3" t="s">
        <v>14775</v>
      </c>
      <c r="B47" s="4" t="str">
        <f>_xlfn.CONCAT(C47, " / ", D47)</f>
        <v>effortless-owl / DeliveredCommunications.Name</v>
      </c>
      <c r="C47" s="3" t="s">
        <v>14059</v>
      </c>
      <c r="D47" s="3" t="s">
        <v>5097</v>
      </c>
      <c r="E47" s="3" t="s">
        <v>14523</v>
      </c>
      <c r="F47" s="3" t="s">
        <v>2420</v>
      </c>
      <c r="G47" s="3">
        <v>1</v>
      </c>
      <c r="H47" s="3" t="s">
        <v>14729</v>
      </c>
      <c r="I47" s="4">
        <f>COUNTIFS(CellDisagreements!C2:C340, A47)</f>
        <v>1</v>
      </c>
      <c r="J47" s="4" t="b">
        <f>I47 = G47</f>
        <v>1</v>
      </c>
      <c r="K47" s="4" t="str">
        <f>_xlfn.IFNA(IF(((INDEX(RulebookFields!G2:G1898, MATCH(D47,RulebookFields!A2:A1898, 0))="")=TRUE),  "",  INDEX(RulebookFields!G2:G1898, MATCH(D47,RulebookFields!A2:A1898, 0))), "")</f>
        <v>={{Channel}} &amp; " -&gt; " &amp; {{RecipientKey}} &amp; " @ " &amp; {{SentAt}}</v>
      </c>
      <c r="L47" s="4" t="str">
        <f>_xlfn.IFNA(IF(((INDEX(ConformanceSubstrates!C2:C9, MATCH(C47,ConformanceSubstrates!A2:A9, 0))="")=TRUE),  "",  INDEX(ConformanceSubstrates!C2:C9, MATCH(C47,ConformanceSubstrates!A2:A9, 0))), "")</f>
        <v>OWL / SHACL</v>
      </c>
      <c r="M47" s="3" t="s">
        <v>1922</v>
      </c>
    </row>
    <row r="48">
      <c r="A48" s="3" t="s">
        <v>14776</v>
      </c>
      <c r="B48" s="4" t="str">
        <f>_xlfn.CONCAT(C48, " / ", D48)</f>
        <v>effortless-owl / AppRoleProfiles.RouteCount</v>
      </c>
      <c r="C48" s="3" t="s">
        <v>14059</v>
      </c>
      <c r="D48" s="3" t="s">
        <v>5282</v>
      </c>
      <c r="E48" s="3" t="s">
        <v>14525</v>
      </c>
      <c r="F48" s="3" t="s">
        <v>2469</v>
      </c>
      <c r="G48" s="3">
        <v>12</v>
      </c>
      <c r="H48" s="3" t="s">
        <v>14729</v>
      </c>
      <c r="I48" s="4">
        <f>COUNTIFS(CellDisagreements!C2:C340, A48)</f>
        <v>12</v>
      </c>
      <c r="J48" s="4" t="b">
        <f>I48 = G48</f>
        <v>1</v>
      </c>
      <c r="K48" s="4" t="str">
        <f>_xlfn.IFNA(IF(((INDEX(RulebookFields!G2:G1898, MATCH(D48,RulebookFields!A2:A1898, 0))="")=TRUE),  "",  INDEX(RulebookFields!G2:G1898, MATCH(D48,RulebookFields!A2:A1898, 0))), "")</f>
        <v>=COUNTIFS(AppRoutes!{{OwningRole}}, {{Role}})</v>
      </c>
      <c r="L48" s="4" t="str">
        <f>_xlfn.IFNA(IF(((INDEX(ConformanceSubstrates!C2:C9, MATCH(C48,ConformanceSubstrates!A2:A9, 0))="")=TRUE),  "",  INDEX(ConformanceSubstrates!C2:C9, MATCH(C48,ConformanceSubstrates!A2:A9, 0))), "")</f>
        <v>OWL / SHACL</v>
      </c>
      <c r="M48" s="3" t="s">
        <v>1922</v>
      </c>
    </row>
    <row r="49">
      <c r="A49" s="3" t="s">
        <v>14777</v>
      </c>
      <c r="B49" s="4" t="str">
        <f>_xlfn.CONCAT(C49, " / ", D49)</f>
        <v>effortless-owl / AccessDenialTests.Name</v>
      </c>
      <c r="C49" s="3" t="s">
        <v>14059</v>
      </c>
      <c r="D49" s="3" t="s">
        <v>5550</v>
      </c>
      <c r="E49" s="3" t="s">
        <v>14537</v>
      </c>
      <c r="F49" s="3" t="s">
        <v>2420</v>
      </c>
      <c r="G49" s="3">
        <v>8</v>
      </c>
      <c r="H49" s="3" t="s">
        <v>14729</v>
      </c>
      <c r="I49" s="4">
        <f>COUNTIFS(CellDisagreements!C2:C340, A49)</f>
        <v>8</v>
      </c>
      <c r="J49" s="4" t="b">
        <f>I49 = G49</f>
        <v>1</v>
      </c>
      <c r="K49" s="4" t="str">
        <f>_xlfn.IFNA(IF(((INDEX(RulebookFields!G2:G1898, MATCH(D49,RulebookFields!A2:A1898, 0))="")=TRUE),  "",  INDEX(RulebookFields!G2:G1898, MATCH(D49,RulebookFields!A2:A1898, 0))), "")</f>
        <v>={{Principal}} &amp; " must not see " &amp; {{ForbiddenRowId}}</v>
      </c>
      <c r="L49" s="4" t="str">
        <f>_xlfn.IFNA(IF(((INDEX(ConformanceSubstrates!C2:C9, MATCH(C49,ConformanceSubstrates!A2:A9, 0))="")=TRUE),  "",  INDEX(ConformanceSubstrates!C2:C9, MATCH(C49,ConformanceSubstrates!A2:A9, 0))), "")</f>
        <v>OWL / SHACL</v>
      </c>
      <c r="M49" s="3" t="s">
        <v>1922</v>
      </c>
    </row>
    <row r="50">
      <c r="A50" s="3" t="s">
        <v>14778</v>
      </c>
      <c r="B50" s="4" t="str">
        <f>_xlfn.CONCAT(C50, " / ", D50)</f>
        <v>effortless-owl / CellDisagreements.Name</v>
      </c>
      <c r="C50" s="3" t="s">
        <v>14059</v>
      </c>
      <c r="D50" s="3" t="s">
        <v>5967</v>
      </c>
      <c r="E50" s="3" t="s">
        <v>14549</v>
      </c>
      <c r="F50" s="3" t="s">
        <v>2420</v>
      </c>
      <c r="G50" s="3">
        <v>316</v>
      </c>
      <c r="H50" s="3" t="s">
        <v>14729</v>
      </c>
      <c r="I50" s="4">
        <f>COUNTIFS(CellDisagreements!C2:C340, A50)</f>
        <v>20</v>
      </c>
      <c r="J50" s="4" t="b">
        <f>I50 = G50</f>
        <v>0</v>
      </c>
      <c r="K50" s="4" t="str">
        <f>_xlfn.IFNA(IF(((INDEX(RulebookFields!G2:G1898, MATCH(D50,RulebookFields!A2:A1898, 0))="")=TRUE),  "",  INDEX(RulebookFields!G2:G1898, MATCH(D50,RulebookFields!A2:A1898, 0))), "")</f>
        <v>=CONCAT({{FieldDisagreement}}, " @ ", {{RecordId}})</v>
      </c>
      <c r="L50" s="4" t="str">
        <f>_xlfn.IFNA(IF(((INDEX(ConformanceSubstrates!C2:C9, MATCH(C50,ConformanceSubstrates!A2:A9, 0))="")=TRUE),  "",  INDEX(ConformanceSubstrates!C2:C9, MATCH(C50,ConformanceSubstrates!A2:A9, 0))), "")</f>
        <v>OWL / SHACL</v>
      </c>
      <c r="M50" s="3" t="s">
        <v>1922</v>
      </c>
    </row>
  </sheetData>
  <autoFilter ref="A1:M1"/>
  <headerFooter/>
  <legacyDrawing r:id="rId1"/>
</worksheet>
</file>

<file path=xl/worksheets/sheet9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340"/>
  <sheetViews>
    <sheetView workbookViewId="0">
      <pane ySplit="1" topLeftCell="A2" state="frozen" activePane="bottomLeft"/>
      <selection pane="bottomLeft" activeCell="A1" sqref="A1"/>
    </sheetView>
  </sheetViews>
  <sheetFormatPr defaultRowHeight="15"/>
  <cols>
    <col min="1" max="1" width="112.1904296875" customWidth="1"/>
    <col min="2" max="2" width="114.77464294433594" customWidth="1"/>
    <col min="3" max="3" width="71.11119079589844" customWidth="1"/>
    <col min="4" max="4" width="73.39655303955078" customWidth="1"/>
    <col min="5" max="5" width="77.828125" customWidth="1"/>
    <col min="6" max="6" width="77.828125" customWidth="1"/>
    <col min="7" max="7" width="17.86225700378418" customWidth="1"/>
    <col min="8" max="8" width="17.443378448486328" customWidth="1"/>
    <col min="9" max="9" width="57.197689056396484" customWidth="1"/>
    <col min="10" max="10" width="45.38083267211914" customWidth="1"/>
  </cols>
  <sheetData>
    <row r="1">
      <c r="A1" s="2" t="s">
        <v>5966</v>
      </c>
      <c r="B1" s="2" t="s">
        <v>1</v>
      </c>
      <c r="C1" s="2" t="s">
        <v>5970</v>
      </c>
      <c r="D1" s="2" t="s">
        <v>5972</v>
      </c>
      <c r="E1" s="2" t="s">
        <v>5974</v>
      </c>
      <c r="F1" s="2" t="s">
        <v>5976</v>
      </c>
      <c r="G1" s="2" t="s">
        <v>257</v>
      </c>
      <c r="H1" s="2" t="s">
        <v>5859</v>
      </c>
      <c r="I1" s="2" t="s">
        <v>5948</v>
      </c>
      <c r="J1" s="2" t="s">
        <v>94</v>
      </c>
    </row>
    <row r="2">
      <c r="A2" s="3" t="s">
        <v>14779</v>
      </c>
      <c r="B2" s="4" t="str">
        <f>_xlfn.CONCAT(C2, " @ ", D2)</f>
        <v>effortless-xlsx|RoleAssignments.PredecessorAgentKind @ ra-new-variance</v>
      </c>
      <c r="C2" s="3" t="s">
        <v>14728</v>
      </c>
      <c r="D2" s="3" t="s">
        <v>235</v>
      </c>
      <c r="E2" s="3" t="s">
        <v>14780</v>
      </c>
      <c r="F2" s="3" t="s">
        <v>14781</v>
      </c>
      <c r="G2" s="3" t="s">
        <v>14729</v>
      </c>
      <c r="H2" s="4" t="str">
        <f>_xlfn.IFNA(IF(((INDEX(FieldDisagreements!C2:C50, MATCH(C2,FieldDisagreements!A2:A50, 0))="")=TRUE),  "",  INDEX(FieldDisagreements!C2:C50, MATCH(C2,FieldDisagreements!A2:A50, 0))), "")</f>
        <v>effortless-xlsx</v>
      </c>
      <c r="I2" s="4" t="str">
        <f>_xlfn.IFNA(IF(((INDEX(FieldDisagreements!D2:D50, MATCH(C2,FieldDisagreements!A2:A50, 0))="")=TRUE),  "",  INDEX(FieldDisagreements!D2:D50, MATCH(C2,FieldDisagreements!A2:A50, 0))), "")</f>
        <v>RoleAssignments.PredecessorAgentKind</v>
      </c>
      <c r="J2" s="3" t="s">
        <v>1926</v>
      </c>
    </row>
    <row r="3">
      <c r="A3" s="3" t="s">
        <v>14782</v>
      </c>
      <c r="B3" s="4" t="str">
        <f>_xlfn.CONCAT(C3, " @ ", D3)</f>
        <v>effortless-xlsx|RoleAssignments.IsHumanToNonHumanHandover @ ra-new-variance</v>
      </c>
      <c r="C3" s="3" t="s">
        <v>14730</v>
      </c>
      <c r="D3" s="3" t="s">
        <v>235</v>
      </c>
      <c r="E3" s="3" t="s">
        <v>14783</v>
      </c>
      <c r="F3" s="3" t="s">
        <v>14784</v>
      </c>
      <c r="G3" s="3" t="s">
        <v>14729</v>
      </c>
      <c r="H3" s="4" t="str">
        <f>_xlfn.IFNA(IF(((INDEX(FieldDisagreements!C2:C50, MATCH(C3,FieldDisagreements!A2:A50, 0))="")=TRUE),  "",  INDEX(FieldDisagreements!C2:C50, MATCH(C3,FieldDisagreements!A2:A50, 0))), "")</f>
        <v>effortless-xlsx</v>
      </c>
      <c r="I3" s="4" t="str">
        <f>_xlfn.IFNA(IF(((INDEX(FieldDisagreements!D2:D50, MATCH(C3,FieldDisagreements!A2:A50, 0))="")=TRUE),  "",  INDEX(FieldDisagreements!D2:D50, MATCH(C3,FieldDisagreements!A2:A50, 0))), "")</f>
        <v>RoleAssignments.IsHumanToNonHumanHandover</v>
      </c>
      <c r="J3" s="3" t="s">
        <v>1926</v>
      </c>
    </row>
    <row r="4">
      <c r="A4" s="3" t="s">
        <v>14785</v>
      </c>
      <c r="B4" s="4" t="str">
        <f>_xlfn.CONCAT(C4, " @ ", D4)</f>
        <v>effortless-xlsx|RoleAssignments.IsUnconditionedAutomationHandover @ ra-new-variance</v>
      </c>
      <c r="C4" s="3" t="s">
        <v>14731</v>
      </c>
      <c r="D4" s="3" t="s">
        <v>235</v>
      </c>
      <c r="E4" s="3" t="s">
        <v>14783</v>
      </c>
      <c r="F4" s="3" t="s">
        <v>14784</v>
      </c>
      <c r="G4" s="3" t="s">
        <v>14729</v>
      </c>
      <c r="H4" s="4" t="str">
        <f>_xlfn.IFNA(IF(((INDEX(FieldDisagreements!C2:C50, MATCH(C4,FieldDisagreements!A2:A50, 0))="")=TRUE),  "",  INDEX(FieldDisagreements!C2:C50, MATCH(C4,FieldDisagreements!A2:A50, 0))), "")</f>
        <v>effortless-xlsx</v>
      </c>
      <c r="I4" s="4" t="str">
        <f>_xlfn.IFNA(IF(((INDEX(FieldDisagreements!D2:D50, MATCH(C4,FieldDisagreements!A2:A50, 0))="")=TRUE),  "",  INDEX(FieldDisagreements!D2:D50, MATCH(C4,FieldDisagreements!A2:A50, 0))), "")</f>
        <v>RoleAssignments.IsUnconditionedAutomationHandover</v>
      </c>
      <c r="J4" s="3" t="s">
        <v>1926</v>
      </c>
    </row>
    <row r="5">
      <c r="A5" s="3" t="s">
        <v>14786</v>
      </c>
      <c r="B5" s="4" t="str">
        <f>_xlfn.CONCAT(C5, " @ ", D5)</f>
        <v>effortless-xlsx|ProcedureVersions.DaysSinceLastReview @ close-v1.0.0</v>
      </c>
      <c r="C5" s="3" t="s">
        <v>14732</v>
      </c>
      <c r="D5" s="3" t="s">
        <v>455</v>
      </c>
      <c r="E5" s="3" t="s">
        <v>14781</v>
      </c>
      <c r="F5" s="3" t="s">
        <v>14787</v>
      </c>
      <c r="G5" s="3" t="s">
        <v>14729</v>
      </c>
      <c r="H5" s="4" t="str">
        <f>_xlfn.IFNA(IF(((INDEX(FieldDisagreements!C2:C50, MATCH(C5,FieldDisagreements!A2:A50, 0))="")=TRUE),  "",  INDEX(FieldDisagreements!C2:C50, MATCH(C5,FieldDisagreements!A2:A50, 0))), "")</f>
        <v>effortless-xlsx</v>
      </c>
      <c r="I5" s="4" t="str">
        <f>_xlfn.IFNA(IF(((INDEX(FieldDisagreements!D2:D50, MATCH(C5,FieldDisagreements!A2:A50, 0))="")=TRUE),  "",  INDEX(FieldDisagreements!D2:D50, MATCH(C5,FieldDisagreements!A2:A50, 0))), "")</f>
        <v>ProcedureVersions.DaysSinceLastReview</v>
      </c>
      <c r="J5" s="3" t="s">
        <v>1926</v>
      </c>
    </row>
    <row r="6">
      <c r="A6" s="3" t="s">
        <v>14788</v>
      </c>
      <c r="B6" s="4" t="str">
        <f>_xlfn.CONCAT(C6, " @ ", D6)</f>
        <v>effortless-xlsx|ProcedureVersions.WasModifiedSinceLastReview @ close-v1.0.0</v>
      </c>
      <c r="C6" s="3" t="s">
        <v>14733</v>
      </c>
      <c r="D6" s="3" t="s">
        <v>455</v>
      </c>
      <c r="E6" s="3" t="s">
        <v>14784</v>
      </c>
      <c r="F6" s="3" t="s">
        <v>14783</v>
      </c>
      <c r="G6" s="3" t="s">
        <v>14729</v>
      </c>
      <c r="H6" s="4" t="str">
        <f>_xlfn.IFNA(IF(((INDEX(FieldDisagreements!C2:C50, MATCH(C6,FieldDisagreements!A2:A50, 0))="")=TRUE),  "",  INDEX(FieldDisagreements!C2:C50, MATCH(C6,FieldDisagreements!A2:A50, 0))), "")</f>
        <v>effortless-xlsx</v>
      </c>
      <c r="I6" s="4" t="str">
        <f>_xlfn.IFNA(IF(((INDEX(FieldDisagreements!D2:D50, MATCH(C6,FieldDisagreements!A2:A50, 0))="")=TRUE),  "",  INDEX(FieldDisagreements!D2:D50, MATCH(C6,FieldDisagreements!A2:A50, 0))), "")</f>
        <v>ProcedureVersions.WasModifiedSinceLastReview</v>
      </c>
      <c r="J6" s="3" t="s">
        <v>1926</v>
      </c>
    </row>
    <row r="7">
      <c r="A7" s="3" t="s">
        <v>14789</v>
      </c>
      <c r="B7" s="4" t="str">
        <f>_xlfn.CONCAT(C7, " @ ", D7)</f>
        <v>effortless-xlsx|ProcedureVersions.EntryStepId @ close-v1.1.0</v>
      </c>
      <c r="C7" s="3" t="s">
        <v>14734</v>
      </c>
      <c r="D7" s="3" t="s">
        <v>369</v>
      </c>
      <c r="E7" s="3" t="s">
        <v>14790</v>
      </c>
      <c r="F7" s="3" t="s">
        <v>955</v>
      </c>
      <c r="G7" s="3" t="s">
        <v>14729</v>
      </c>
      <c r="H7" s="4" t="str">
        <f>_xlfn.IFNA(IF(((INDEX(FieldDisagreements!C2:C50, MATCH(C7,FieldDisagreements!A2:A50, 0))="")=TRUE),  "",  INDEX(FieldDisagreements!C2:C50, MATCH(C7,FieldDisagreements!A2:A50, 0))), "")</f>
        <v>effortless-xlsx</v>
      </c>
      <c r="I7" s="4" t="str">
        <f>_xlfn.IFNA(IF(((INDEX(FieldDisagreements!D2:D50, MATCH(C7,FieldDisagreements!A2:A50, 0))="")=TRUE),  "",  INDEX(FieldDisagreements!D2:D50, MATCH(C7,FieldDisagreements!A2:A50, 0))), "")</f>
        <v>ProcedureVersions.EntryStepId</v>
      </c>
      <c r="J7" s="3" t="s">
        <v>1926</v>
      </c>
    </row>
    <row r="8">
      <c r="A8" s="3" t="s">
        <v>14791</v>
      </c>
      <c r="B8" s="4" t="str">
        <f>_xlfn.CONCAT(C8, " @ ", D8)</f>
        <v>effortless-xlsx|ProcedureVersions.EntryStepId @ policy-v1.0.0</v>
      </c>
      <c r="C8" s="3" t="s">
        <v>14734</v>
      </c>
      <c r="D8" s="3" t="s">
        <v>375</v>
      </c>
      <c r="E8" s="3" t="s">
        <v>14792</v>
      </c>
      <c r="F8" s="3" t="s">
        <v>955</v>
      </c>
      <c r="G8" s="3" t="s">
        <v>14729</v>
      </c>
      <c r="H8" s="4" t="str">
        <f>_xlfn.IFNA(IF(((INDEX(FieldDisagreements!C2:C50, MATCH(C8,FieldDisagreements!A2:A50, 0))="")=TRUE),  "",  INDEX(FieldDisagreements!C2:C50, MATCH(C8,FieldDisagreements!A2:A50, 0))), "")</f>
        <v>effortless-xlsx</v>
      </c>
      <c r="I8" s="4" t="str">
        <f>_xlfn.IFNA(IF(((INDEX(FieldDisagreements!D2:D50, MATCH(C8,FieldDisagreements!A2:A50, 0))="")=TRUE),  "",  INDEX(FieldDisagreements!D2:D50, MATCH(C8,FieldDisagreements!A2:A50, 0))), "")</f>
        <v>ProcedureVersions.EntryStepId</v>
      </c>
      <c r="J8" s="3" t="s">
        <v>1926</v>
      </c>
    </row>
    <row r="9">
      <c r="A9" s="3" t="s">
        <v>14793</v>
      </c>
      <c r="B9" s="4" t="str">
        <f>_xlfn.CONCAT(C9, " @ ", D9)</f>
        <v>effortless-xlsx|Steps.ReachableStepCount @ close-01</v>
      </c>
      <c r="C9" s="3" t="s">
        <v>14735</v>
      </c>
      <c r="D9" s="3" t="s">
        <v>548</v>
      </c>
      <c r="E9" s="3" t="s">
        <v>14794</v>
      </c>
      <c r="F9" s="3" t="s">
        <v>14795</v>
      </c>
      <c r="G9" s="3" t="s">
        <v>14729</v>
      </c>
      <c r="H9" s="4" t="str">
        <f>_xlfn.IFNA(IF(((INDEX(FieldDisagreements!C2:C50, MATCH(C9,FieldDisagreements!A2:A50, 0))="")=TRUE),  "",  INDEX(FieldDisagreements!C2:C50, MATCH(C9,FieldDisagreements!A2:A50, 0))), "")</f>
        <v>effortless-xlsx</v>
      </c>
      <c r="I9" s="4" t="str">
        <f>_xlfn.IFNA(IF(((INDEX(FieldDisagreements!D2:D50, MATCH(C9,FieldDisagreements!A2:A50, 0))="")=TRUE),  "",  INDEX(FieldDisagreements!D2:D50, MATCH(C9,FieldDisagreements!A2:A50, 0))), "")</f>
        <v>Steps.ReachableStepCount</v>
      </c>
      <c r="J9" s="3" t="s">
        <v>1926</v>
      </c>
    </row>
    <row r="10">
      <c r="A10" s="3" t="s">
        <v>14796</v>
      </c>
      <c r="B10" s="4" t="str">
        <f>_xlfn.CONCAT(C10, " @ ", D10)</f>
        <v>effortless-xlsx|Steps.ReachableStepCount @ close-02</v>
      </c>
      <c r="C10" s="3" t="s">
        <v>14735</v>
      </c>
      <c r="D10" s="3" t="s">
        <v>556</v>
      </c>
      <c r="E10" s="3" t="s">
        <v>14797</v>
      </c>
      <c r="F10" s="3" t="s">
        <v>14795</v>
      </c>
      <c r="G10" s="3" t="s">
        <v>14729</v>
      </c>
      <c r="H10" s="4" t="str">
        <f>_xlfn.IFNA(IF(((INDEX(FieldDisagreements!C2:C50, MATCH(C10,FieldDisagreements!A2:A50, 0))="")=TRUE),  "",  INDEX(FieldDisagreements!C2:C50, MATCH(C10,FieldDisagreements!A2:A50, 0))), "")</f>
        <v>effortless-xlsx</v>
      </c>
      <c r="I10" s="4" t="str">
        <f>_xlfn.IFNA(IF(((INDEX(FieldDisagreements!D2:D50, MATCH(C10,FieldDisagreements!A2:A50, 0))="")=TRUE),  "",  INDEX(FieldDisagreements!D2:D50, MATCH(C10,FieldDisagreements!A2:A50, 0))), "")</f>
        <v>Steps.ReachableStepCount</v>
      </c>
      <c r="J10" s="3" t="s">
        <v>1926</v>
      </c>
    </row>
    <row r="11">
      <c r="A11" s="3" t="s">
        <v>14798</v>
      </c>
      <c r="B11" s="4" t="str">
        <f>_xlfn.CONCAT(C11, " @ ", D11)</f>
        <v>effortless-xlsx|Steps.ReachableStepCount @ close-03</v>
      </c>
      <c r="C11" s="3" t="s">
        <v>14735</v>
      </c>
      <c r="D11" s="3" t="s">
        <v>560</v>
      </c>
      <c r="E11" s="3" t="s">
        <v>14797</v>
      </c>
      <c r="F11" s="3" t="s">
        <v>14795</v>
      </c>
      <c r="G11" s="3" t="s">
        <v>14729</v>
      </c>
      <c r="H11" s="4" t="str">
        <f>_xlfn.IFNA(IF(((INDEX(FieldDisagreements!C2:C50, MATCH(C11,FieldDisagreements!A2:A50, 0))="")=TRUE),  "",  INDEX(FieldDisagreements!C2:C50, MATCH(C11,FieldDisagreements!A2:A50, 0))), "")</f>
        <v>effortless-xlsx</v>
      </c>
      <c r="I11" s="4" t="str">
        <f>_xlfn.IFNA(IF(((INDEX(FieldDisagreements!D2:D50, MATCH(C11,FieldDisagreements!A2:A50, 0))="")=TRUE),  "",  INDEX(FieldDisagreements!D2:D50, MATCH(C11,FieldDisagreements!A2:A50, 0))), "")</f>
        <v>Steps.ReachableStepCount</v>
      </c>
      <c r="J11" s="3" t="s">
        <v>1926</v>
      </c>
    </row>
    <row r="12">
      <c r="A12" s="3" t="s">
        <v>14799</v>
      </c>
      <c r="B12" s="4" t="str">
        <f>_xlfn.CONCAT(C12, " @ ", D12)</f>
        <v>effortless-xlsx|Steps.ReachableStepCount @ close-04</v>
      </c>
      <c r="C12" s="3" t="s">
        <v>14735</v>
      </c>
      <c r="D12" s="3" t="s">
        <v>567</v>
      </c>
      <c r="E12" s="3" t="s">
        <v>14797</v>
      </c>
      <c r="F12" s="3" t="s">
        <v>14795</v>
      </c>
      <c r="G12" s="3" t="s">
        <v>14729</v>
      </c>
      <c r="H12" s="4" t="str">
        <f>_xlfn.IFNA(IF(((INDEX(FieldDisagreements!C2:C50, MATCH(C12,FieldDisagreements!A2:A50, 0))="")=TRUE),  "",  INDEX(FieldDisagreements!C2:C50, MATCH(C12,FieldDisagreements!A2:A50, 0))), "")</f>
        <v>effortless-xlsx</v>
      </c>
      <c r="I12" s="4" t="str">
        <f>_xlfn.IFNA(IF(((INDEX(FieldDisagreements!D2:D50, MATCH(C12,FieldDisagreements!A2:A50, 0))="")=TRUE),  "",  INDEX(FieldDisagreements!D2:D50, MATCH(C12,FieldDisagreements!A2:A50, 0))), "")</f>
        <v>Steps.ReachableStepCount</v>
      </c>
      <c r="J12" s="3" t="s">
        <v>1926</v>
      </c>
    </row>
    <row r="13">
      <c r="A13" s="3" t="s">
        <v>14800</v>
      </c>
      <c r="B13" s="4" t="str">
        <f>_xlfn.CONCAT(C13, " @ ", D13)</f>
        <v>effortless-xlsx|Steps.ReachableStepCount @ close-05</v>
      </c>
      <c r="C13" s="3" t="s">
        <v>14735</v>
      </c>
      <c r="D13" s="3" t="s">
        <v>572</v>
      </c>
      <c r="E13" s="3" t="s">
        <v>14797</v>
      </c>
      <c r="F13" s="3" t="s">
        <v>14795</v>
      </c>
      <c r="G13" s="3" t="s">
        <v>14729</v>
      </c>
      <c r="H13" s="4" t="str">
        <f>_xlfn.IFNA(IF(((INDEX(FieldDisagreements!C2:C50, MATCH(C13,FieldDisagreements!A2:A50, 0))="")=TRUE),  "",  INDEX(FieldDisagreements!C2:C50, MATCH(C13,FieldDisagreements!A2:A50, 0))), "")</f>
        <v>effortless-xlsx</v>
      </c>
      <c r="I13" s="4" t="str">
        <f>_xlfn.IFNA(IF(((INDEX(FieldDisagreements!D2:D50, MATCH(C13,FieldDisagreements!A2:A50, 0))="")=TRUE),  "",  INDEX(FieldDisagreements!D2:D50, MATCH(C13,FieldDisagreements!A2:A50, 0))), "")</f>
        <v>Steps.ReachableStepCount</v>
      </c>
      <c r="J13" s="3" t="s">
        <v>1926</v>
      </c>
    </row>
    <row r="14">
      <c r="A14" s="3" t="s">
        <v>14801</v>
      </c>
      <c r="B14" s="4" t="str">
        <f>_xlfn.CONCAT(C14, " @ ", D14)</f>
        <v>effortless-xlsx|Steps.ReachableStepCount @ close-06</v>
      </c>
      <c r="C14" s="3" t="s">
        <v>14735</v>
      </c>
      <c r="D14" s="3" t="s">
        <v>576</v>
      </c>
      <c r="E14" s="3" t="s">
        <v>14797</v>
      </c>
      <c r="F14" s="3" t="s">
        <v>14795</v>
      </c>
      <c r="G14" s="3" t="s">
        <v>14729</v>
      </c>
      <c r="H14" s="4" t="str">
        <f>_xlfn.IFNA(IF(((INDEX(FieldDisagreements!C2:C50, MATCH(C14,FieldDisagreements!A2:A50, 0))="")=TRUE),  "",  INDEX(FieldDisagreements!C2:C50, MATCH(C14,FieldDisagreements!A2:A50, 0))), "")</f>
        <v>effortless-xlsx</v>
      </c>
      <c r="I14" s="4" t="str">
        <f>_xlfn.IFNA(IF(((INDEX(FieldDisagreements!D2:D50, MATCH(C14,FieldDisagreements!A2:A50, 0))="")=TRUE),  "",  INDEX(FieldDisagreements!D2:D50, MATCH(C14,FieldDisagreements!A2:A50, 0))), "")</f>
        <v>Steps.ReachableStepCount</v>
      </c>
      <c r="J14" s="3" t="s">
        <v>1926</v>
      </c>
    </row>
    <row r="15">
      <c r="A15" s="3" t="s">
        <v>14802</v>
      </c>
      <c r="B15" s="4" t="str">
        <f>_xlfn.CONCAT(C15, " @ ", D15)</f>
        <v>effortless-xlsx|Steps.ReachableStepCount @ close-07</v>
      </c>
      <c r="C15" s="3" t="s">
        <v>14735</v>
      </c>
      <c r="D15" s="3" t="s">
        <v>581</v>
      </c>
      <c r="E15" s="3" t="s">
        <v>37</v>
      </c>
      <c r="F15" s="3" t="s">
        <v>14795</v>
      </c>
      <c r="G15" s="3" t="s">
        <v>14729</v>
      </c>
      <c r="H15" s="4" t="str">
        <f>_xlfn.IFNA(IF(((INDEX(FieldDisagreements!C2:C50, MATCH(C15,FieldDisagreements!A2:A50, 0))="")=TRUE),  "",  INDEX(FieldDisagreements!C2:C50, MATCH(C15,FieldDisagreements!A2:A50, 0))), "")</f>
        <v>effortless-xlsx</v>
      </c>
      <c r="I15" s="4" t="str">
        <f>_xlfn.IFNA(IF(((INDEX(FieldDisagreements!D2:D50, MATCH(C15,FieldDisagreements!A2:A50, 0))="")=TRUE),  "",  INDEX(FieldDisagreements!D2:D50, MATCH(C15,FieldDisagreements!A2:A50, 0))), "")</f>
        <v>Steps.ReachableStepCount</v>
      </c>
      <c r="J15" s="3" t="s">
        <v>1926</v>
      </c>
    </row>
    <row r="16">
      <c r="A16" s="3" t="s">
        <v>14803</v>
      </c>
      <c r="B16" s="4" t="str">
        <f>_xlfn.CONCAT(C16, " @ ", D16)</f>
        <v>effortless-xlsx|Steps.ReachableStepCount @ close-08</v>
      </c>
      <c r="C16" s="3" t="s">
        <v>14735</v>
      </c>
      <c r="D16" s="3" t="s">
        <v>586</v>
      </c>
      <c r="E16" s="3" t="s">
        <v>955</v>
      </c>
      <c r="F16" s="3" t="s">
        <v>14795</v>
      </c>
      <c r="G16" s="3" t="s">
        <v>14729</v>
      </c>
      <c r="H16" s="4" t="str">
        <f>_xlfn.IFNA(IF(((INDEX(FieldDisagreements!C2:C50, MATCH(C16,FieldDisagreements!A2:A50, 0))="")=TRUE),  "",  INDEX(FieldDisagreements!C2:C50, MATCH(C16,FieldDisagreements!A2:A50, 0))), "")</f>
        <v>effortless-xlsx</v>
      </c>
      <c r="I16" s="4" t="str">
        <f>_xlfn.IFNA(IF(((INDEX(FieldDisagreements!D2:D50, MATCH(C16,FieldDisagreements!A2:A50, 0))="")=TRUE),  "",  INDEX(FieldDisagreements!D2:D50, MATCH(C16,FieldDisagreements!A2:A50, 0))), "")</f>
        <v>Steps.ReachableStepCount</v>
      </c>
      <c r="J16" s="3" t="s">
        <v>1926</v>
      </c>
    </row>
    <row r="17">
      <c r="A17" s="3" t="s">
        <v>14804</v>
      </c>
      <c r="B17" s="4" t="str">
        <f>_xlfn.CONCAT(C17, " @ ", D17)</f>
        <v>effortless-xlsx|Steps.ReachableStepCount @ policy-01</v>
      </c>
      <c r="C17" s="3" t="s">
        <v>14735</v>
      </c>
      <c r="D17" s="3" t="s">
        <v>591</v>
      </c>
      <c r="E17" s="3" t="s">
        <v>14805</v>
      </c>
      <c r="F17" s="3" t="s">
        <v>14795</v>
      </c>
      <c r="G17" s="3" t="s">
        <v>14729</v>
      </c>
      <c r="H17" s="4" t="str">
        <f>_xlfn.IFNA(IF(((INDEX(FieldDisagreements!C2:C50, MATCH(C17,FieldDisagreements!A2:A50, 0))="")=TRUE),  "",  INDEX(FieldDisagreements!C2:C50, MATCH(C17,FieldDisagreements!A2:A50, 0))), "")</f>
        <v>effortless-xlsx</v>
      </c>
      <c r="I17" s="4" t="str">
        <f>_xlfn.IFNA(IF(((INDEX(FieldDisagreements!D2:D50, MATCH(C17,FieldDisagreements!A2:A50, 0))="")=TRUE),  "",  INDEX(FieldDisagreements!D2:D50, MATCH(C17,FieldDisagreements!A2:A50, 0))), "")</f>
        <v>Steps.ReachableStepCount</v>
      </c>
      <c r="J17" s="3" t="s">
        <v>1926</v>
      </c>
    </row>
    <row r="18">
      <c r="A18" s="3" t="s">
        <v>14806</v>
      </c>
      <c r="B18" s="4" t="str">
        <f>_xlfn.CONCAT(C18, " @ ", D18)</f>
        <v>effortless-xlsx|Steps.ReachableStepCount @ policy-02</v>
      </c>
      <c r="C18" s="3" t="s">
        <v>14735</v>
      </c>
      <c r="D18" s="3" t="s">
        <v>594</v>
      </c>
      <c r="E18" s="3" t="s">
        <v>14794</v>
      </c>
      <c r="F18" s="3" t="s">
        <v>14795</v>
      </c>
      <c r="G18" s="3" t="s">
        <v>14729</v>
      </c>
      <c r="H18" s="4" t="str">
        <f>_xlfn.IFNA(IF(((INDEX(FieldDisagreements!C2:C50, MATCH(C18,FieldDisagreements!A2:A50, 0))="")=TRUE),  "",  INDEX(FieldDisagreements!C2:C50, MATCH(C18,FieldDisagreements!A2:A50, 0))), "")</f>
        <v>effortless-xlsx</v>
      </c>
      <c r="I18" s="4" t="str">
        <f>_xlfn.IFNA(IF(((INDEX(FieldDisagreements!D2:D50, MATCH(C18,FieldDisagreements!A2:A50, 0))="")=TRUE),  "",  INDEX(FieldDisagreements!D2:D50, MATCH(C18,FieldDisagreements!A2:A50, 0))), "")</f>
        <v>Steps.ReachableStepCount</v>
      </c>
      <c r="J18" s="3" t="s">
        <v>1926</v>
      </c>
    </row>
    <row r="19">
      <c r="A19" s="3" t="s">
        <v>14807</v>
      </c>
      <c r="B19" s="4" t="str">
        <f>_xlfn.CONCAT(C19, " @ ", D19)</f>
        <v>effortless-xlsx|Steps.ReachableStepCount @ policy-03</v>
      </c>
      <c r="C19" s="3" t="s">
        <v>14735</v>
      </c>
      <c r="D19" s="3" t="s">
        <v>597</v>
      </c>
      <c r="E19" s="3" t="s">
        <v>14794</v>
      </c>
      <c r="F19" s="3" t="s">
        <v>14795</v>
      </c>
      <c r="G19" s="3" t="s">
        <v>14729</v>
      </c>
      <c r="H19" s="4" t="str">
        <f>_xlfn.IFNA(IF(((INDEX(FieldDisagreements!C2:C50, MATCH(C19,FieldDisagreements!A2:A50, 0))="")=TRUE),  "",  INDEX(FieldDisagreements!C2:C50, MATCH(C19,FieldDisagreements!A2:A50, 0))), "")</f>
        <v>effortless-xlsx</v>
      </c>
      <c r="I19" s="4" t="str">
        <f>_xlfn.IFNA(IF(((INDEX(FieldDisagreements!D2:D50, MATCH(C19,FieldDisagreements!A2:A50, 0))="")=TRUE),  "",  INDEX(FieldDisagreements!D2:D50, MATCH(C19,FieldDisagreements!A2:A50, 0))), "")</f>
        <v>Steps.ReachableStepCount</v>
      </c>
      <c r="J19" s="3" t="s">
        <v>1926</v>
      </c>
    </row>
    <row r="20">
      <c r="A20" s="3" t="s">
        <v>14808</v>
      </c>
      <c r="B20" s="4" t="str">
        <f>_xlfn.CONCAT(C20, " @ ", D20)</f>
        <v>effortless-xlsx|Steps.ReachableStepCount @ policy-04</v>
      </c>
      <c r="C20" s="3" t="s">
        <v>14735</v>
      </c>
      <c r="D20" s="3" t="s">
        <v>600</v>
      </c>
      <c r="E20" s="3" t="s">
        <v>14794</v>
      </c>
      <c r="F20" s="3" t="s">
        <v>14795</v>
      </c>
      <c r="G20" s="3" t="s">
        <v>14729</v>
      </c>
      <c r="H20" s="4" t="str">
        <f>_xlfn.IFNA(IF(((INDEX(FieldDisagreements!C2:C50, MATCH(C20,FieldDisagreements!A2:A50, 0))="")=TRUE),  "",  INDEX(FieldDisagreements!C2:C50, MATCH(C20,FieldDisagreements!A2:A50, 0))), "")</f>
        <v>effortless-xlsx</v>
      </c>
      <c r="I20" s="4" t="str">
        <f>_xlfn.IFNA(IF(((INDEX(FieldDisagreements!D2:D50, MATCH(C20,FieldDisagreements!A2:A50, 0))="")=TRUE),  "",  INDEX(FieldDisagreements!D2:D50, MATCH(C20,FieldDisagreements!A2:A50, 0))), "")</f>
        <v>Steps.ReachableStepCount</v>
      </c>
      <c r="J20" s="3" t="s">
        <v>1926</v>
      </c>
    </row>
    <row r="21">
      <c r="A21" s="3" t="s">
        <v>14809</v>
      </c>
      <c r="B21" s="4" t="str">
        <f>_xlfn.CONCAT(C21, " @ ", D21)</f>
        <v>effortless-xlsx|Steps.ReachableStepCount @ policy-05</v>
      </c>
      <c r="C21" s="3" t="s">
        <v>14735</v>
      </c>
      <c r="D21" s="3" t="s">
        <v>604</v>
      </c>
      <c r="E21" s="3" t="s">
        <v>14810</v>
      </c>
      <c r="F21" s="3" t="s">
        <v>14795</v>
      </c>
      <c r="G21" s="3" t="s">
        <v>14729</v>
      </c>
      <c r="H21" s="4" t="str">
        <f>_xlfn.IFNA(IF(((INDEX(FieldDisagreements!C2:C50, MATCH(C21,FieldDisagreements!A2:A50, 0))="")=TRUE),  "",  INDEX(FieldDisagreements!C2:C50, MATCH(C21,FieldDisagreements!A2:A50, 0))), "")</f>
        <v>effortless-xlsx</v>
      </c>
      <c r="I21" s="4" t="str">
        <f>_xlfn.IFNA(IF(((INDEX(FieldDisagreements!D2:D50, MATCH(C21,FieldDisagreements!A2:A50, 0))="")=TRUE),  "",  INDEX(FieldDisagreements!D2:D50, MATCH(C21,FieldDisagreements!A2:A50, 0))), "")</f>
        <v>Steps.ReachableStepCount</v>
      </c>
      <c r="J21" s="3" t="s">
        <v>1926</v>
      </c>
    </row>
    <row r="22">
      <c r="A22" s="3" t="s">
        <v>14811</v>
      </c>
      <c r="B22" s="4" t="str">
        <f>_xlfn.CONCAT(C22, " @ ", D22)</f>
        <v>effortless-xlsx|Steps.ReachableStepCount @ policy-06</v>
      </c>
      <c r="C22" s="3" t="s">
        <v>14735</v>
      </c>
      <c r="D22" s="3" t="s">
        <v>607</v>
      </c>
      <c r="E22" s="3" t="s">
        <v>14810</v>
      </c>
      <c r="F22" s="3" t="s">
        <v>14795</v>
      </c>
      <c r="G22" s="3" t="s">
        <v>14729</v>
      </c>
      <c r="H22" s="4" t="str">
        <f>_xlfn.IFNA(IF(((INDEX(FieldDisagreements!C2:C50, MATCH(C22,FieldDisagreements!A2:A50, 0))="")=TRUE),  "",  INDEX(FieldDisagreements!C2:C50, MATCH(C22,FieldDisagreements!A2:A50, 0))), "")</f>
        <v>effortless-xlsx</v>
      </c>
      <c r="I22" s="4" t="str">
        <f>_xlfn.IFNA(IF(((INDEX(FieldDisagreements!D2:D50, MATCH(C22,FieldDisagreements!A2:A50, 0))="")=TRUE),  "",  INDEX(FieldDisagreements!D2:D50, MATCH(C22,FieldDisagreements!A2:A50, 0))), "")</f>
        <v>Steps.ReachableStepCount</v>
      </c>
      <c r="J22" s="3" t="s">
        <v>1926</v>
      </c>
    </row>
    <row r="23">
      <c r="A23" s="3" t="s">
        <v>14812</v>
      </c>
      <c r="B23" s="4" t="str">
        <f>_xlfn.CONCAT(C23, " @ ", D23)</f>
        <v>effortless-xlsx|Steps.ReachableStepCount @ policy-07</v>
      </c>
      <c r="C23" s="3" t="s">
        <v>14735</v>
      </c>
      <c r="D23" s="3" t="s">
        <v>610</v>
      </c>
      <c r="E23" s="3" t="s">
        <v>14810</v>
      </c>
      <c r="F23" s="3" t="s">
        <v>14795</v>
      </c>
      <c r="G23" s="3" t="s">
        <v>14729</v>
      </c>
      <c r="H23" s="4" t="str">
        <f>_xlfn.IFNA(IF(((INDEX(FieldDisagreements!C2:C50, MATCH(C23,FieldDisagreements!A2:A50, 0))="")=TRUE),  "",  INDEX(FieldDisagreements!C2:C50, MATCH(C23,FieldDisagreements!A2:A50, 0))), "")</f>
        <v>effortless-xlsx</v>
      </c>
      <c r="I23" s="4" t="str">
        <f>_xlfn.IFNA(IF(((INDEX(FieldDisagreements!D2:D50, MATCH(C23,FieldDisagreements!A2:A50, 0))="")=TRUE),  "",  INDEX(FieldDisagreements!D2:D50, MATCH(C23,FieldDisagreements!A2:A50, 0))), "")</f>
        <v>Steps.ReachableStepCount</v>
      </c>
      <c r="J23" s="3" t="s">
        <v>1926</v>
      </c>
    </row>
    <row r="24">
      <c r="A24" s="3" t="s">
        <v>14813</v>
      </c>
      <c r="B24" s="4" t="str">
        <f>_xlfn.CONCAT(C24, " @ ", D24)</f>
        <v>effortless-xlsx|Steps.ReachableStepCount @ policy-08</v>
      </c>
      <c r="C24" s="3" t="s">
        <v>14735</v>
      </c>
      <c r="D24" s="3" t="s">
        <v>613</v>
      </c>
      <c r="E24" s="3" t="s">
        <v>37</v>
      </c>
      <c r="F24" s="3" t="s">
        <v>14795</v>
      </c>
      <c r="G24" s="3" t="s">
        <v>14729</v>
      </c>
      <c r="H24" s="4" t="str">
        <f>_xlfn.IFNA(IF(((INDEX(FieldDisagreements!C2:C50, MATCH(C24,FieldDisagreements!A2:A50, 0))="")=TRUE),  "",  INDEX(FieldDisagreements!C2:C50, MATCH(C24,FieldDisagreements!A2:A50, 0))), "")</f>
        <v>effortless-xlsx</v>
      </c>
      <c r="I24" s="4" t="str">
        <f>_xlfn.IFNA(IF(((INDEX(FieldDisagreements!D2:D50, MATCH(C24,FieldDisagreements!A2:A50, 0))="")=TRUE),  "",  INDEX(FieldDisagreements!D2:D50, MATCH(C24,FieldDisagreements!A2:A50, 0))), "")</f>
        <v>Steps.ReachableStepCount</v>
      </c>
      <c r="J24" s="3" t="s">
        <v>1926</v>
      </c>
    </row>
    <row r="25">
      <c r="A25" s="3" t="s">
        <v>14814</v>
      </c>
      <c r="B25" s="4" t="str">
        <f>_xlfn.CONCAT(C25, " @ ", D25)</f>
        <v>effortless-xlsx|Steps.ReachableStepCount @ policy-09</v>
      </c>
      <c r="C25" s="3" t="s">
        <v>14735</v>
      </c>
      <c r="D25" s="3" t="s">
        <v>617</v>
      </c>
      <c r="E25" s="3" t="s">
        <v>955</v>
      </c>
      <c r="F25" s="3" t="s">
        <v>14795</v>
      </c>
      <c r="G25" s="3" t="s">
        <v>14729</v>
      </c>
      <c r="H25" s="4" t="str">
        <f>_xlfn.IFNA(IF(((INDEX(FieldDisagreements!C2:C50, MATCH(C25,FieldDisagreements!A2:A50, 0))="")=TRUE),  "",  INDEX(FieldDisagreements!C2:C50, MATCH(C25,FieldDisagreements!A2:A50, 0))), "")</f>
        <v>effortless-xlsx</v>
      </c>
      <c r="I25" s="4" t="str">
        <f>_xlfn.IFNA(IF(((INDEX(FieldDisagreements!D2:D50, MATCH(C25,FieldDisagreements!A2:A50, 0))="")=TRUE),  "",  INDEX(FieldDisagreements!D2:D50, MATCH(C25,FieldDisagreements!A2:A50, 0))), "")</f>
        <v>Steps.ReachableStepCount</v>
      </c>
      <c r="J25" s="3" t="s">
        <v>1926</v>
      </c>
    </row>
    <row r="26">
      <c r="A26" s="3" t="s">
        <v>14815</v>
      </c>
      <c r="B26" s="4" t="str">
        <f>_xlfn.CONCAT(C26, " @ ", D26)</f>
        <v>effortless-xlsx|Steps.ReachedFromStepCount @ close-01</v>
      </c>
      <c r="C26" s="3" t="s">
        <v>14736</v>
      </c>
      <c r="D26" s="3" t="s">
        <v>548</v>
      </c>
      <c r="E26" s="3" t="s">
        <v>955</v>
      </c>
      <c r="F26" s="3" t="s">
        <v>14795</v>
      </c>
      <c r="G26" s="3" t="s">
        <v>14729</v>
      </c>
      <c r="H26" s="4" t="str">
        <f>_xlfn.IFNA(IF(((INDEX(FieldDisagreements!C2:C50, MATCH(C26,FieldDisagreements!A2:A50, 0))="")=TRUE),  "",  INDEX(FieldDisagreements!C2:C50, MATCH(C26,FieldDisagreements!A2:A50, 0))), "")</f>
        <v>effortless-xlsx</v>
      </c>
      <c r="I26" s="4" t="str">
        <f>_xlfn.IFNA(IF(((INDEX(FieldDisagreements!D2:D50, MATCH(C26,FieldDisagreements!A2:A50, 0))="")=TRUE),  "",  INDEX(FieldDisagreements!D2:D50, MATCH(C26,FieldDisagreements!A2:A50, 0))), "")</f>
        <v>Steps.ReachedFromStepCount</v>
      </c>
      <c r="J26" s="3" t="s">
        <v>1926</v>
      </c>
    </row>
    <row r="27">
      <c r="A27" s="3" t="s">
        <v>14816</v>
      </c>
      <c r="B27" s="4" t="str">
        <f>_xlfn.CONCAT(C27, " @ ", D27)</f>
        <v>effortless-xlsx|Steps.ReachedFromStepCount @ close-02</v>
      </c>
      <c r="C27" s="3" t="s">
        <v>14736</v>
      </c>
      <c r="D27" s="3" t="s">
        <v>556</v>
      </c>
      <c r="E27" s="3" t="s">
        <v>37</v>
      </c>
      <c r="F27" s="3" t="s">
        <v>14795</v>
      </c>
      <c r="G27" s="3" t="s">
        <v>14729</v>
      </c>
      <c r="H27" s="4" t="str">
        <f>_xlfn.IFNA(IF(((INDEX(FieldDisagreements!C2:C50, MATCH(C27,FieldDisagreements!A2:A50, 0))="")=TRUE),  "",  INDEX(FieldDisagreements!C2:C50, MATCH(C27,FieldDisagreements!A2:A50, 0))), "")</f>
        <v>effortless-xlsx</v>
      </c>
      <c r="I27" s="4" t="str">
        <f>_xlfn.IFNA(IF(((INDEX(FieldDisagreements!D2:D50, MATCH(C27,FieldDisagreements!A2:A50, 0))="")=TRUE),  "",  INDEX(FieldDisagreements!D2:D50, MATCH(C27,FieldDisagreements!A2:A50, 0))), "")</f>
        <v>Steps.ReachedFromStepCount</v>
      </c>
      <c r="J27" s="3" t="s">
        <v>1926</v>
      </c>
    </row>
    <row r="28">
      <c r="A28" s="3" t="s">
        <v>14817</v>
      </c>
      <c r="B28" s="4" t="str">
        <f>_xlfn.CONCAT(C28, " @ ", D28)</f>
        <v>effortless-xlsx|Steps.ReachedFromStepCount @ close-03</v>
      </c>
      <c r="C28" s="3" t="s">
        <v>14736</v>
      </c>
      <c r="D28" s="3" t="s">
        <v>560</v>
      </c>
      <c r="E28" s="3" t="s">
        <v>14797</v>
      </c>
      <c r="F28" s="3" t="s">
        <v>14795</v>
      </c>
      <c r="G28" s="3" t="s">
        <v>14729</v>
      </c>
      <c r="H28" s="4" t="str">
        <f>_xlfn.IFNA(IF(((INDEX(FieldDisagreements!C2:C50, MATCH(C28,FieldDisagreements!A2:A50, 0))="")=TRUE),  "",  INDEX(FieldDisagreements!C2:C50, MATCH(C28,FieldDisagreements!A2:A50, 0))), "")</f>
        <v>effortless-xlsx</v>
      </c>
      <c r="I28" s="4" t="str">
        <f>_xlfn.IFNA(IF(((INDEX(FieldDisagreements!D2:D50, MATCH(C28,FieldDisagreements!A2:A50, 0))="")=TRUE),  "",  INDEX(FieldDisagreements!D2:D50, MATCH(C28,FieldDisagreements!A2:A50, 0))), "")</f>
        <v>Steps.ReachedFromStepCount</v>
      </c>
      <c r="J28" s="3" t="s">
        <v>1926</v>
      </c>
    </row>
    <row r="29">
      <c r="A29" s="3" t="s">
        <v>14818</v>
      </c>
      <c r="B29" s="4" t="str">
        <f>_xlfn.CONCAT(C29, " @ ", D29)</f>
        <v>effortless-xlsx|Steps.ReachedFromStepCount @ close-04</v>
      </c>
      <c r="C29" s="3" t="s">
        <v>14736</v>
      </c>
      <c r="D29" s="3" t="s">
        <v>567</v>
      </c>
      <c r="E29" s="3" t="s">
        <v>14797</v>
      </c>
      <c r="F29" s="3" t="s">
        <v>14795</v>
      </c>
      <c r="G29" s="3" t="s">
        <v>14729</v>
      </c>
      <c r="H29" s="4" t="str">
        <f>_xlfn.IFNA(IF(((INDEX(FieldDisagreements!C2:C50, MATCH(C29,FieldDisagreements!A2:A50, 0))="")=TRUE),  "",  INDEX(FieldDisagreements!C2:C50, MATCH(C29,FieldDisagreements!A2:A50, 0))), "")</f>
        <v>effortless-xlsx</v>
      </c>
      <c r="I29" s="4" t="str">
        <f>_xlfn.IFNA(IF(((INDEX(FieldDisagreements!D2:D50, MATCH(C29,FieldDisagreements!A2:A50, 0))="")=TRUE),  "",  INDEX(FieldDisagreements!D2:D50, MATCH(C29,FieldDisagreements!A2:A50, 0))), "")</f>
        <v>Steps.ReachedFromStepCount</v>
      </c>
      <c r="J29" s="3" t="s">
        <v>1926</v>
      </c>
    </row>
    <row r="30">
      <c r="A30" s="3" t="s">
        <v>14819</v>
      </c>
      <c r="B30" s="4" t="str">
        <f>_xlfn.CONCAT(C30, " @ ", D30)</f>
        <v>effortless-xlsx|Steps.ReachedFromStepCount @ close-05</v>
      </c>
      <c r="C30" s="3" t="s">
        <v>14736</v>
      </c>
      <c r="D30" s="3" t="s">
        <v>572</v>
      </c>
      <c r="E30" s="3" t="s">
        <v>14797</v>
      </c>
      <c r="F30" s="3" t="s">
        <v>14795</v>
      </c>
      <c r="G30" s="3" t="s">
        <v>14729</v>
      </c>
      <c r="H30" s="4" t="str">
        <f>_xlfn.IFNA(IF(((INDEX(FieldDisagreements!C2:C50, MATCH(C30,FieldDisagreements!A2:A50, 0))="")=TRUE),  "",  INDEX(FieldDisagreements!C2:C50, MATCH(C30,FieldDisagreements!A2:A50, 0))), "")</f>
        <v>effortless-xlsx</v>
      </c>
      <c r="I30" s="4" t="str">
        <f>_xlfn.IFNA(IF(((INDEX(FieldDisagreements!D2:D50, MATCH(C30,FieldDisagreements!A2:A50, 0))="")=TRUE),  "",  INDEX(FieldDisagreements!D2:D50, MATCH(C30,FieldDisagreements!A2:A50, 0))), "")</f>
        <v>Steps.ReachedFromStepCount</v>
      </c>
      <c r="J30" s="3" t="s">
        <v>1926</v>
      </c>
    </row>
    <row r="31">
      <c r="A31" s="3" t="s">
        <v>14820</v>
      </c>
      <c r="B31" s="4" t="str">
        <f>_xlfn.CONCAT(C31, " @ ", D31)</f>
        <v>effortless-xlsx|Steps.ReachedFromStepCount @ close-06</v>
      </c>
      <c r="C31" s="3" t="s">
        <v>14736</v>
      </c>
      <c r="D31" s="3" t="s">
        <v>576</v>
      </c>
      <c r="E31" s="3" t="s">
        <v>14797</v>
      </c>
      <c r="F31" s="3" t="s">
        <v>14795</v>
      </c>
      <c r="G31" s="3" t="s">
        <v>14729</v>
      </c>
      <c r="H31" s="4" t="str">
        <f>_xlfn.IFNA(IF(((INDEX(FieldDisagreements!C2:C50, MATCH(C31,FieldDisagreements!A2:A50, 0))="")=TRUE),  "",  INDEX(FieldDisagreements!C2:C50, MATCH(C31,FieldDisagreements!A2:A50, 0))), "")</f>
        <v>effortless-xlsx</v>
      </c>
      <c r="I31" s="4" t="str">
        <f>_xlfn.IFNA(IF(((INDEX(FieldDisagreements!D2:D50, MATCH(C31,FieldDisagreements!A2:A50, 0))="")=TRUE),  "",  INDEX(FieldDisagreements!D2:D50, MATCH(C31,FieldDisagreements!A2:A50, 0))), "")</f>
        <v>Steps.ReachedFromStepCount</v>
      </c>
      <c r="J31" s="3" t="s">
        <v>1926</v>
      </c>
    </row>
    <row r="32">
      <c r="A32" s="3" t="s">
        <v>14821</v>
      </c>
      <c r="B32" s="4" t="str">
        <f>_xlfn.CONCAT(C32, " @ ", D32)</f>
        <v>effortless-xlsx|Steps.ReachedFromStepCount @ close-07</v>
      </c>
      <c r="C32" s="3" t="s">
        <v>14736</v>
      </c>
      <c r="D32" s="3" t="s">
        <v>581</v>
      </c>
      <c r="E32" s="3" t="s">
        <v>14797</v>
      </c>
      <c r="F32" s="3" t="s">
        <v>14795</v>
      </c>
      <c r="G32" s="3" t="s">
        <v>14729</v>
      </c>
      <c r="H32" s="4" t="str">
        <f>_xlfn.IFNA(IF(((INDEX(FieldDisagreements!C2:C50, MATCH(C32,FieldDisagreements!A2:A50, 0))="")=TRUE),  "",  INDEX(FieldDisagreements!C2:C50, MATCH(C32,FieldDisagreements!A2:A50, 0))), "")</f>
        <v>effortless-xlsx</v>
      </c>
      <c r="I32" s="4" t="str">
        <f>_xlfn.IFNA(IF(((INDEX(FieldDisagreements!D2:D50, MATCH(C32,FieldDisagreements!A2:A50, 0))="")=TRUE),  "",  INDEX(FieldDisagreements!D2:D50, MATCH(C32,FieldDisagreements!A2:A50, 0))), "")</f>
        <v>Steps.ReachedFromStepCount</v>
      </c>
      <c r="J32" s="3" t="s">
        <v>1926</v>
      </c>
    </row>
    <row r="33">
      <c r="A33" s="3" t="s">
        <v>14822</v>
      </c>
      <c r="B33" s="4" t="str">
        <f>_xlfn.CONCAT(C33, " @ ", D33)</f>
        <v>effortless-xlsx|Steps.ReachedFromStepCount @ close-08</v>
      </c>
      <c r="C33" s="3" t="s">
        <v>14736</v>
      </c>
      <c r="D33" s="3" t="s">
        <v>586</v>
      </c>
      <c r="E33" s="3" t="s">
        <v>14794</v>
      </c>
      <c r="F33" s="3" t="s">
        <v>14795</v>
      </c>
      <c r="G33" s="3" t="s">
        <v>14729</v>
      </c>
      <c r="H33" s="4" t="str">
        <f>_xlfn.IFNA(IF(((INDEX(FieldDisagreements!C2:C50, MATCH(C33,FieldDisagreements!A2:A50, 0))="")=TRUE),  "",  INDEX(FieldDisagreements!C2:C50, MATCH(C33,FieldDisagreements!A2:A50, 0))), "")</f>
        <v>effortless-xlsx</v>
      </c>
      <c r="I33" s="4" t="str">
        <f>_xlfn.IFNA(IF(((INDEX(FieldDisagreements!D2:D50, MATCH(C33,FieldDisagreements!A2:A50, 0))="")=TRUE),  "",  INDEX(FieldDisagreements!D2:D50, MATCH(C33,FieldDisagreements!A2:A50, 0))), "")</f>
        <v>Steps.ReachedFromStepCount</v>
      </c>
      <c r="J33" s="3" t="s">
        <v>1926</v>
      </c>
    </row>
    <row r="34">
      <c r="A34" s="3" t="s">
        <v>14823</v>
      </c>
      <c r="B34" s="4" t="str">
        <f>_xlfn.CONCAT(C34, " @ ", D34)</f>
        <v>effortless-xlsx|Steps.ReachedFromStepCount @ policy-01</v>
      </c>
      <c r="C34" s="3" t="s">
        <v>14736</v>
      </c>
      <c r="D34" s="3" t="s">
        <v>591</v>
      </c>
      <c r="E34" s="3" t="s">
        <v>955</v>
      </c>
      <c r="F34" s="3" t="s">
        <v>14795</v>
      </c>
      <c r="G34" s="3" t="s">
        <v>14729</v>
      </c>
      <c r="H34" s="4" t="str">
        <f>_xlfn.IFNA(IF(((INDEX(FieldDisagreements!C2:C50, MATCH(C34,FieldDisagreements!A2:A50, 0))="")=TRUE),  "",  INDEX(FieldDisagreements!C2:C50, MATCH(C34,FieldDisagreements!A2:A50, 0))), "")</f>
        <v>effortless-xlsx</v>
      </c>
      <c r="I34" s="4" t="str">
        <f>_xlfn.IFNA(IF(((INDEX(FieldDisagreements!D2:D50, MATCH(C34,FieldDisagreements!A2:A50, 0))="")=TRUE),  "",  INDEX(FieldDisagreements!D2:D50, MATCH(C34,FieldDisagreements!A2:A50, 0))), "")</f>
        <v>Steps.ReachedFromStepCount</v>
      </c>
      <c r="J34" s="3" t="s">
        <v>1926</v>
      </c>
    </row>
    <row r="35">
      <c r="A35" s="3" t="s">
        <v>14824</v>
      </c>
      <c r="B35" s="4" t="str">
        <f>_xlfn.CONCAT(C35, " @ ", D35)</f>
        <v>effortless-xlsx|Steps.ReachedFromStepCount @ policy-02</v>
      </c>
      <c r="C35" s="3" t="s">
        <v>14736</v>
      </c>
      <c r="D35" s="3" t="s">
        <v>594</v>
      </c>
      <c r="E35" s="3" t="s">
        <v>37</v>
      </c>
      <c r="F35" s="3" t="s">
        <v>14795</v>
      </c>
      <c r="G35" s="3" t="s">
        <v>14729</v>
      </c>
      <c r="H35" s="4" t="str">
        <f>_xlfn.IFNA(IF(((INDEX(FieldDisagreements!C2:C50, MATCH(C35,FieldDisagreements!A2:A50, 0))="")=TRUE),  "",  INDEX(FieldDisagreements!C2:C50, MATCH(C35,FieldDisagreements!A2:A50, 0))), "")</f>
        <v>effortless-xlsx</v>
      </c>
      <c r="I35" s="4" t="str">
        <f>_xlfn.IFNA(IF(((INDEX(FieldDisagreements!D2:D50, MATCH(C35,FieldDisagreements!A2:A50, 0))="")=TRUE),  "",  INDEX(FieldDisagreements!D2:D50, MATCH(C35,FieldDisagreements!A2:A50, 0))), "")</f>
        <v>Steps.ReachedFromStepCount</v>
      </c>
      <c r="J35" s="3" t="s">
        <v>1926</v>
      </c>
    </row>
    <row r="36">
      <c r="A36" s="3" t="s">
        <v>14825</v>
      </c>
      <c r="B36" s="4" t="str">
        <f>_xlfn.CONCAT(C36, " @ ", D36)</f>
        <v>effortless-xlsx|Steps.ReachedFromStepCount @ policy-03</v>
      </c>
      <c r="C36" s="3" t="s">
        <v>14736</v>
      </c>
      <c r="D36" s="3" t="s">
        <v>597</v>
      </c>
      <c r="E36" s="3" t="s">
        <v>14810</v>
      </c>
      <c r="F36" s="3" t="s">
        <v>14795</v>
      </c>
      <c r="G36" s="3" t="s">
        <v>14729</v>
      </c>
      <c r="H36" s="4" t="str">
        <f>_xlfn.IFNA(IF(((INDEX(FieldDisagreements!C2:C50, MATCH(C36,FieldDisagreements!A2:A50, 0))="")=TRUE),  "",  INDEX(FieldDisagreements!C2:C50, MATCH(C36,FieldDisagreements!A2:A50, 0))), "")</f>
        <v>effortless-xlsx</v>
      </c>
      <c r="I36" s="4" t="str">
        <f>_xlfn.IFNA(IF(((INDEX(FieldDisagreements!D2:D50, MATCH(C36,FieldDisagreements!A2:A50, 0))="")=TRUE),  "",  INDEX(FieldDisagreements!D2:D50, MATCH(C36,FieldDisagreements!A2:A50, 0))), "")</f>
        <v>Steps.ReachedFromStepCount</v>
      </c>
      <c r="J36" s="3" t="s">
        <v>1926</v>
      </c>
    </row>
    <row r="37">
      <c r="A37" s="3" t="s">
        <v>14826</v>
      </c>
      <c r="B37" s="4" t="str">
        <f>_xlfn.CONCAT(C37, " @ ", D37)</f>
        <v>effortless-xlsx|Steps.ReachedFromStepCount @ policy-04</v>
      </c>
      <c r="C37" s="3" t="s">
        <v>14736</v>
      </c>
      <c r="D37" s="3" t="s">
        <v>600</v>
      </c>
      <c r="E37" s="3" t="s">
        <v>14810</v>
      </c>
      <c r="F37" s="3" t="s">
        <v>14795</v>
      </c>
      <c r="G37" s="3" t="s">
        <v>14729</v>
      </c>
      <c r="H37" s="4" t="str">
        <f>_xlfn.IFNA(IF(((INDEX(FieldDisagreements!C2:C50, MATCH(C37,FieldDisagreements!A2:A50, 0))="")=TRUE),  "",  INDEX(FieldDisagreements!C2:C50, MATCH(C37,FieldDisagreements!A2:A50, 0))), "")</f>
        <v>effortless-xlsx</v>
      </c>
      <c r="I37" s="4" t="str">
        <f>_xlfn.IFNA(IF(((INDEX(FieldDisagreements!D2:D50, MATCH(C37,FieldDisagreements!A2:A50, 0))="")=TRUE),  "",  INDEX(FieldDisagreements!D2:D50, MATCH(C37,FieldDisagreements!A2:A50, 0))), "")</f>
        <v>Steps.ReachedFromStepCount</v>
      </c>
      <c r="J37" s="3" t="s">
        <v>1926</v>
      </c>
    </row>
    <row r="38">
      <c r="A38" s="3" t="s">
        <v>14827</v>
      </c>
      <c r="B38" s="4" t="str">
        <f>_xlfn.CONCAT(C38, " @ ", D38)</f>
        <v>effortless-xlsx|Steps.ReachedFromStepCount @ policy-05</v>
      </c>
      <c r="C38" s="3" t="s">
        <v>14736</v>
      </c>
      <c r="D38" s="3" t="s">
        <v>604</v>
      </c>
      <c r="E38" s="3" t="s">
        <v>14810</v>
      </c>
      <c r="F38" s="3" t="s">
        <v>14795</v>
      </c>
      <c r="G38" s="3" t="s">
        <v>14729</v>
      </c>
      <c r="H38" s="4" t="str">
        <f>_xlfn.IFNA(IF(((INDEX(FieldDisagreements!C2:C50, MATCH(C38,FieldDisagreements!A2:A50, 0))="")=TRUE),  "",  INDEX(FieldDisagreements!C2:C50, MATCH(C38,FieldDisagreements!A2:A50, 0))), "")</f>
        <v>effortless-xlsx</v>
      </c>
      <c r="I38" s="4" t="str">
        <f>_xlfn.IFNA(IF(((INDEX(FieldDisagreements!D2:D50, MATCH(C38,FieldDisagreements!A2:A50, 0))="")=TRUE),  "",  INDEX(FieldDisagreements!D2:D50, MATCH(C38,FieldDisagreements!A2:A50, 0))), "")</f>
        <v>Steps.ReachedFromStepCount</v>
      </c>
      <c r="J38" s="3" t="s">
        <v>1926</v>
      </c>
    </row>
    <row r="39">
      <c r="A39" s="3" t="s">
        <v>14828</v>
      </c>
      <c r="B39" s="4" t="str">
        <f>_xlfn.CONCAT(C39, " @ ", D39)</f>
        <v>effortless-xlsx|Steps.ReachedFromStepCount @ policy-06</v>
      </c>
      <c r="C39" s="3" t="s">
        <v>14736</v>
      </c>
      <c r="D39" s="3" t="s">
        <v>607</v>
      </c>
      <c r="E39" s="3" t="s">
        <v>14794</v>
      </c>
      <c r="F39" s="3" t="s">
        <v>14795</v>
      </c>
      <c r="G39" s="3" t="s">
        <v>14729</v>
      </c>
      <c r="H39" s="4" t="str">
        <f>_xlfn.IFNA(IF(((INDEX(FieldDisagreements!C2:C50, MATCH(C39,FieldDisagreements!A2:A50, 0))="")=TRUE),  "",  INDEX(FieldDisagreements!C2:C50, MATCH(C39,FieldDisagreements!A2:A50, 0))), "")</f>
        <v>effortless-xlsx</v>
      </c>
      <c r="I39" s="4" t="str">
        <f>_xlfn.IFNA(IF(((INDEX(FieldDisagreements!D2:D50, MATCH(C39,FieldDisagreements!A2:A50, 0))="")=TRUE),  "",  INDEX(FieldDisagreements!D2:D50, MATCH(C39,FieldDisagreements!A2:A50, 0))), "")</f>
        <v>Steps.ReachedFromStepCount</v>
      </c>
      <c r="J39" s="3" t="s">
        <v>1926</v>
      </c>
    </row>
    <row r="40">
      <c r="A40" s="3" t="s">
        <v>14829</v>
      </c>
      <c r="B40" s="4" t="str">
        <f>_xlfn.CONCAT(C40, " @ ", D40)</f>
        <v>effortless-xlsx|Steps.ReachedFromStepCount @ policy-07</v>
      </c>
      <c r="C40" s="3" t="s">
        <v>14736</v>
      </c>
      <c r="D40" s="3" t="s">
        <v>610</v>
      </c>
      <c r="E40" s="3" t="s">
        <v>14794</v>
      </c>
      <c r="F40" s="3" t="s">
        <v>14795</v>
      </c>
      <c r="G40" s="3" t="s">
        <v>14729</v>
      </c>
      <c r="H40" s="4" t="str">
        <f>_xlfn.IFNA(IF(((INDEX(FieldDisagreements!C2:C50, MATCH(C40,FieldDisagreements!A2:A50, 0))="")=TRUE),  "",  INDEX(FieldDisagreements!C2:C50, MATCH(C40,FieldDisagreements!A2:A50, 0))), "")</f>
        <v>effortless-xlsx</v>
      </c>
      <c r="I40" s="4" t="str">
        <f>_xlfn.IFNA(IF(((INDEX(FieldDisagreements!D2:D50, MATCH(C40,FieldDisagreements!A2:A50, 0))="")=TRUE),  "",  INDEX(FieldDisagreements!D2:D50, MATCH(C40,FieldDisagreements!A2:A50, 0))), "")</f>
        <v>Steps.ReachedFromStepCount</v>
      </c>
      <c r="J40" s="3" t="s">
        <v>1926</v>
      </c>
    </row>
    <row r="41">
      <c r="A41" s="3" t="s">
        <v>14830</v>
      </c>
      <c r="B41" s="4" t="str">
        <f>_xlfn.CONCAT(C41, " @ ", D41)</f>
        <v>effortless-xlsx|Steps.ReachedFromStepCount @ policy-08</v>
      </c>
      <c r="C41" s="3" t="s">
        <v>14736</v>
      </c>
      <c r="D41" s="3" t="s">
        <v>613</v>
      </c>
      <c r="E41" s="3" t="s">
        <v>14794</v>
      </c>
      <c r="F41" s="3" t="s">
        <v>14795</v>
      </c>
      <c r="G41" s="3" t="s">
        <v>14729</v>
      </c>
      <c r="H41" s="4" t="str">
        <f>_xlfn.IFNA(IF(((INDEX(FieldDisagreements!C2:C50, MATCH(C41,FieldDisagreements!A2:A50, 0))="")=TRUE),  "",  INDEX(FieldDisagreements!C2:C50, MATCH(C41,FieldDisagreements!A2:A50, 0))), "")</f>
        <v>effortless-xlsx</v>
      </c>
      <c r="I41" s="4" t="str">
        <f>_xlfn.IFNA(IF(((INDEX(FieldDisagreements!D2:D50, MATCH(C41,FieldDisagreements!A2:A50, 0))="")=TRUE),  "",  INDEX(FieldDisagreements!D2:D50, MATCH(C41,FieldDisagreements!A2:A50, 0))), "")</f>
        <v>Steps.ReachedFromStepCount</v>
      </c>
      <c r="J41" s="3" t="s">
        <v>1926</v>
      </c>
    </row>
    <row r="42">
      <c r="A42" s="3" t="s">
        <v>14831</v>
      </c>
      <c r="B42" s="4" t="str">
        <f>_xlfn.CONCAT(C42, " @ ", D42)</f>
        <v>effortless-xlsx|Steps.ReachedFromStepCount @ policy-09</v>
      </c>
      <c r="C42" s="3" t="s">
        <v>14736</v>
      </c>
      <c r="D42" s="3" t="s">
        <v>617</v>
      </c>
      <c r="E42" s="3" t="s">
        <v>14805</v>
      </c>
      <c r="F42" s="3" t="s">
        <v>14795</v>
      </c>
      <c r="G42" s="3" t="s">
        <v>14729</v>
      </c>
      <c r="H42" s="4" t="str">
        <f>_xlfn.IFNA(IF(((INDEX(FieldDisagreements!C2:C50, MATCH(C42,FieldDisagreements!A2:A50, 0))="")=TRUE),  "",  INDEX(FieldDisagreements!C2:C50, MATCH(C42,FieldDisagreements!A2:A50, 0))), "")</f>
        <v>effortless-xlsx</v>
      </c>
      <c r="I42" s="4" t="str">
        <f>_xlfn.IFNA(IF(((INDEX(FieldDisagreements!D2:D50, MATCH(C42,FieldDisagreements!A2:A50, 0))="")=TRUE),  "",  INDEX(FieldDisagreements!D2:D50, MATCH(C42,FieldDisagreements!A2:A50, 0))), "")</f>
        <v>Steps.ReachedFromStepCount</v>
      </c>
      <c r="J42" s="3" t="s">
        <v>1926</v>
      </c>
    </row>
    <row r="43">
      <c r="A43" s="3" t="s">
        <v>14832</v>
      </c>
      <c r="B43" s="4" t="str">
        <f>_xlfn.CONCAT(C43, " @ ", D43)</f>
        <v>effortless-xlsx|Steps.SelfReachCount @ close-01</v>
      </c>
      <c r="C43" s="3" t="s">
        <v>14737</v>
      </c>
      <c r="D43" s="3" t="s">
        <v>548</v>
      </c>
      <c r="E43" s="3" t="s">
        <v>955</v>
      </c>
      <c r="F43" s="3" t="s">
        <v>14795</v>
      </c>
      <c r="G43" s="3" t="s">
        <v>14729</v>
      </c>
      <c r="H43" s="4" t="str">
        <f>_xlfn.IFNA(IF(((INDEX(FieldDisagreements!C2:C50, MATCH(C43,FieldDisagreements!A2:A50, 0))="")=TRUE),  "",  INDEX(FieldDisagreements!C2:C50, MATCH(C43,FieldDisagreements!A2:A50, 0))), "")</f>
        <v>effortless-xlsx</v>
      </c>
      <c r="I43" s="4" t="str">
        <f>_xlfn.IFNA(IF(((INDEX(FieldDisagreements!D2:D50, MATCH(C43,FieldDisagreements!A2:A50, 0))="")=TRUE),  "",  INDEX(FieldDisagreements!D2:D50, MATCH(C43,FieldDisagreements!A2:A50, 0))), "")</f>
        <v>Steps.SelfReachCount</v>
      </c>
      <c r="J43" s="3" t="s">
        <v>1926</v>
      </c>
    </row>
    <row r="44">
      <c r="A44" s="3" t="s">
        <v>14833</v>
      </c>
      <c r="B44" s="4" t="str">
        <f>_xlfn.CONCAT(C44, " @ ", D44)</f>
        <v>effortless-xlsx|Steps.SelfReachCount @ close-02</v>
      </c>
      <c r="C44" s="3" t="s">
        <v>14737</v>
      </c>
      <c r="D44" s="3" t="s">
        <v>556</v>
      </c>
      <c r="E44" s="3" t="s">
        <v>955</v>
      </c>
      <c r="F44" s="3" t="s">
        <v>14795</v>
      </c>
      <c r="G44" s="3" t="s">
        <v>14729</v>
      </c>
      <c r="H44" s="4" t="str">
        <f>_xlfn.IFNA(IF(((INDEX(FieldDisagreements!C2:C50, MATCH(C44,FieldDisagreements!A2:A50, 0))="")=TRUE),  "",  INDEX(FieldDisagreements!C2:C50, MATCH(C44,FieldDisagreements!A2:A50, 0))), "")</f>
        <v>effortless-xlsx</v>
      </c>
      <c r="I44" s="4" t="str">
        <f>_xlfn.IFNA(IF(((INDEX(FieldDisagreements!D2:D50, MATCH(C44,FieldDisagreements!A2:A50, 0))="")=TRUE),  "",  INDEX(FieldDisagreements!D2:D50, MATCH(C44,FieldDisagreements!A2:A50, 0))), "")</f>
        <v>Steps.SelfReachCount</v>
      </c>
      <c r="J44" s="3" t="s">
        <v>1926</v>
      </c>
    </row>
    <row r="45">
      <c r="A45" s="3" t="s">
        <v>14834</v>
      </c>
      <c r="B45" s="4" t="str">
        <f>_xlfn.CONCAT(C45, " @ ", D45)</f>
        <v>effortless-xlsx|Steps.SelfReachCount @ close-03</v>
      </c>
      <c r="C45" s="3" t="s">
        <v>14737</v>
      </c>
      <c r="D45" s="3" t="s">
        <v>560</v>
      </c>
      <c r="E45" s="3" t="s">
        <v>37</v>
      </c>
      <c r="F45" s="3" t="s">
        <v>14795</v>
      </c>
      <c r="G45" s="3" t="s">
        <v>14729</v>
      </c>
      <c r="H45" s="4" t="str">
        <f>_xlfn.IFNA(IF(((INDEX(FieldDisagreements!C2:C50, MATCH(C45,FieldDisagreements!A2:A50, 0))="")=TRUE),  "",  INDEX(FieldDisagreements!C2:C50, MATCH(C45,FieldDisagreements!A2:A50, 0))), "")</f>
        <v>effortless-xlsx</v>
      </c>
      <c r="I45" s="4" t="str">
        <f>_xlfn.IFNA(IF(((INDEX(FieldDisagreements!D2:D50, MATCH(C45,FieldDisagreements!A2:A50, 0))="")=TRUE),  "",  INDEX(FieldDisagreements!D2:D50, MATCH(C45,FieldDisagreements!A2:A50, 0))), "")</f>
        <v>Steps.SelfReachCount</v>
      </c>
      <c r="J45" s="3" t="s">
        <v>1926</v>
      </c>
    </row>
    <row r="46">
      <c r="A46" s="3" t="s">
        <v>14835</v>
      </c>
      <c r="B46" s="4" t="str">
        <f>_xlfn.CONCAT(C46, " @ ", D46)</f>
        <v>effortless-xlsx|Steps.SelfReachCount @ close-04</v>
      </c>
      <c r="C46" s="3" t="s">
        <v>14737</v>
      </c>
      <c r="D46" s="3" t="s">
        <v>567</v>
      </c>
      <c r="E46" s="3" t="s">
        <v>37</v>
      </c>
      <c r="F46" s="3" t="s">
        <v>14795</v>
      </c>
      <c r="G46" s="3" t="s">
        <v>14729</v>
      </c>
      <c r="H46" s="4" t="str">
        <f>_xlfn.IFNA(IF(((INDEX(FieldDisagreements!C2:C50, MATCH(C46,FieldDisagreements!A2:A50, 0))="")=TRUE),  "",  INDEX(FieldDisagreements!C2:C50, MATCH(C46,FieldDisagreements!A2:A50, 0))), "")</f>
        <v>effortless-xlsx</v>
      </c>
      <c r="I46" s="4" t="str">
        <f>_xlfn.IFNA(IF(((INDEX(FieldDisagreements!D2:D50, MATCH(C46,FieldDisagreements!A2:A50, 0))="")=TRUE),  "",  INDEX(FieldDisagreements!D2:D50, MATCH(C46,FieldDisagreements!A2:A50, 0))), "")</f>
        <v>Steps.SelfReachCount</v>
      </c>
      <c r="J46" s="3" t="s">
        <v>1926</v>
      </c>
    </row>
    <row r="47">
      <c r="A47" s="3" t="s">
        <v>14836</v>
      </c>
      <c r="B47" s="4" t="str">
        <f>_xlfn.CONCAT(C47, " @ ", D47)</f>
        <v>effortless-xlsx|Steps.SelfReachCount @ close-05</v>
      </c>
      <c r="C47" s="3" t="s">
        <v>14737</v>
      </c>
      <c r="D47" s="3" t="s">
        <v>572</v>
      </c>
      <c r="E47" s="3" t="s">
        <v>37</v>
      </c>
      <c r="F47" s="3" t="s">
        <v>14795</v>
      </c>
      <c r="G47" s="3" t="s">
        <v>14729</v>
      </c>
      <c r="H47" s="4" t="str">
        <f>_xlfn.IFNA(IF(((INDEX(FieldDisagreements!C2:C50, MATCH(C47,FieldDisagreements!A2:A50, 0))="")=TRUE),  "",  INDEX(FieldDisagreements!C2:C50, MATCH(C47,FieldDisagreements!A2:A50, 0))), "")</f>
        <v>effortless-xlsx</v>
      </c>
      <c r="I47" s="4" t="str">
        <f>_xlfn.IFNA(IF(((INDEX(FieldDisagreements!D2:D50, MATCH(C47,FieldDisagreements!A2:A50, 0))="")=TRUE),  "",  INDEX(FieldDisagreements!D2:D50, MATCH(C47,FieldDisagreements!A2:A50, 0))), "")</f>
        <v>Steps.SelfReachCount</v>
      </c>
      <c r="J47" s="3" t="s">
        <v>1926</v>
      </c>
    </row>
    <row r="48">
      <c r="A48" s="3" t="s">
        <v>14837</v>
      </c>
      <c r="B48" s="4" t="str">
        <f>_xlfn.CONCAT(C48, " @ ", D48)</f>
        <v>effortless-xlsx|Steps.SelfReachCount @ close-06</v>
      </c>
      <c r="C48" s="3" t="s">
        <v>14737</v>
      </c>
      <c r="D48" s="3" t="s">
        <v>576</v>
      </c>
      <c r="E48" s="3" t="s">
        <v>37</v>
      </c>
      <c r="F48" s="3" t="s">
        <v>14795</v>
      </c>
      <c r="G48" s="3" t="s">
        <v>14729</v>
      </c>
      <c r="H48" s="4" t="str">
        <f>_xlfn.IFNA(IF(((INDEX(FieldDisagreements!C2:C50, MATCH(C48,FieldDisagreements!A2:A50, 0))="")=TRUE),  "",  INDEX(FieldDisagreements!C2:C50, MATCH(C48,FieldDisagreements!A2:A50, 0))), "")</f>
        <v>effortless-xlsx</v>
      </c>
      <c r="I48" s="4" t="str">
        <f>_xlfn.IFNA(IF(((INDEX(FieldDisagreements!D2:D50, MATCH(C48,FieldDisagreements!A2:A50, 0))="")=TRUE),  "",  INDEX(FieldDisagreements!D2:D50, MATCH(C48,FieldDisagreements!A2:A50, 0))), "")</f>
        <v>Steps.SelfReachCount</v>
      </c>
      <c r="J48" s="3" t="s">
        <v>1926</v>
      </c>
    </row>
    <row r="49">
      <c r="A49" s="3" t="s">
        <v>14838</v>
      </c>
      <c r="B49" s="4" t="str">
        <f>_xlfn.CONCAT(C49, " @ ", D49)</f>
        <v>effortless-xlsx|Steps.SelfReachCount @ close-07</v>
      </c>
      <c r="C49" s="3" t="s">
        <v>14737</v>
      </c>
      <c r="D49" s="3" t="s">
        <v>581</v>
      </c>
      <c r="E49" s="3" t="s">
        <v>955</v>
      </c>
      <c r="F49" s="3" t="s">
        <v>14795</v>
      </c>
      <c r="G49" s="3" t="s">
        <v>14729</v>
      </c>
      <c r="H49" s="4" t="str">
        <f>_xlfn.IFNA(IF(((INDEX(FieldDisagreements!C2:C50, MATCH(C49,FieldDisagreements!A2:A50, 0))="")=TRUE),  "",  INDEX(FieldDisagreements!C2:C50, MATCH(C49,FieldDisagreements!A2:A50, 0))), "")</f>
        <v>effortless-xlsx</v>
      </c>
      <c r="I49" s="4" t="str">
        <f>_xlfn.IFNA(IF(((INDEX(FieldDisagreements!D2:D50, MATCH(C49,FieldDisagreements!A2:A50, 0))="")=TRUE),  "",  INDEX(FieldDisagreements!D2:D50, MATCH(C49,FieldDisagreements!A2:A50, 0))), "")</f>
        <v>Steps.SelfReachCount</v>
      </c>
      <c r="J49" s="3" t="s">
        <v>1926</v>
      </c>
    </row>
    <row r="50">
      <c r="A50" s="3" t="s">
        <v>14839</v>
      </c>
      <c r="B50" s="4" t="str">
        <f>_xlfn.CONCAT(C50, " @ ", D50)</f>
        <v>effortless-xlsx|Steps.SelfReachCount @ close-08</v>
      </c>
      <c r="C50" s="3" t="s">
        <v>14737</v>
      </c>
      <c r="D50" s="3" t="s">
        <v>586</v>
      </c>
      <c r="E50" s="3" t="s">
        <v>955</v>
      </c>
      <c r="F50" s="3" t="s">
        <v>14795</v>
      </c>
      <c r="G50" s="3" t="s">
        <v>14729</v>
      </c>
      <c r="H50" s="4" t="str">
        <f>_xlfn.IFNA(IF(((INDEX(FieldDisagreements!C2:C50, MATCH(C50,FieldDisagreements!A2:A50, 0))="")=TRUE),  "",  INDEX(FieldDisagreements!C2:C50, MATCH(C50,FieldDisagreements!A2:A50, 0))), "")</f>
        <v>effortless-xlsx</v>
      </c>
      <c r="I50" s="4" t="str">
        <f>_xlfn.IFNA(IF(((INDEX(FieldDisagreements!D2:D50, MATCH(C50,FieldDisagreements!A2:A50, 0))="")=TRUE),  "",  INDEX(FieldDisagreements!D2:D50, MATCH(C50,FieldDisagreements!A2:A50, 0))), "")</f>
        <v>Steps.SelfReachCount</v>
      </c>
      <c r="J50" s="3" t="s">
        <v>1926</v>
      </c>
    </row>
    <row r="51">
      <c r="A51" s="3" t="s">
        <v>14840</v>
      </c>
      <c r="B51" s="4" t="str">
        <f>_xlfn.CONCAT(C51, " @ ", D51)</f>
        <v>effortless-xlsx|Steps.SelfReachCount @ policy-01</v>
      </c>
      <c r="C51" s="3" t="s">
        <v>14737</v>
      </c>
      <c r="D51" s="3" t="s">
        <v>591</v>
      </c>
      <c r="E51" s="3" t="s">
        <v>955</v>
      </c>
      <c r="F51" s="3" t="s">
        <v>14795</v>
      </c>
      <c r="G51" s="3" t="s">
        <v>14729</v>
      </c>
      <c r="H51" s="4" t="str">
        <f>_xlfn.IFNA(IF(((INDEX(FieldDisagreements!C2:C50, MATCH(C51,FieldDisagreements!A2:A50, 0))="")=TRUE),  "",  INDEX(FieldDisagreements!C2:C50, MATCH(C51,FieldDisagreements!A2:A50, 0))), "")</f>
        <v>effortless-xlsx</v>
      </c>
      <c r="I51" s="4" t="str">
        <f>_xlfn.IFNA(IF(((INDEX(FieldDisagreements!D2:D50, MATCH(C51,FieldDisagreements!A2:A50, 0))="")=TRUE),  "",  INDEX(FieldDisagreements!D2:D50, MATCH(C51,FieldDisagreements!A2:A50, 0))), "")</f>
        <v>Steps.SelfReachCount</v>
      </c>
      <c r="J51" s="3" t="s">
        <v>1926</v>
      </c>
    </row>
    <row r="52">
      <c r="A52" s="3" t="s">
        <v>14841</v>
      </c>
      <c r="B52" s="4" t="str">
        <f>_xlfn.CONCAT(C52, " @ ", D52)</f>
        <v>effortless-xlsx|Steps.SelfReachCount @ policy-02</v>
      </c>
      <c r="C52" s="3" t="s">
        <v>14737</v>
      </c>
      <c r="D52" s="3" t="s">
        <v>594</v>
      </c>
      <c r="E52" s="3" t="s">
        <v>955</v>
      </c>
      <c r="F52" s="3" t="s">
        <v>14795</v>
      </c>
      <c r="G52" s="3" t="s">
        <v>14729</v>
      </c>
      <c r="H52" s="4" t="str">
        <f>_xlfn.IFNA(IF(((INDEX(FieldDisagreements!C2:C50, MATCH(C52,FieldDisagreements!A2:A50, 0))="")=TRUE),  "",  INDEX(FieldDisagreements!C2:C50, MATCH(C52,FieldDisagreements!A2:A50, 0))), "")</f>
        <v>effortless-xlsx</v>
      </c>
      <c r="I52" s="4" t="str">
        <f>_xlfn.IFNA(IF(((INDEX(FieldDisagreements!D2:D50, MATCH(C52,FieldDisagreements!A2:A50, 0))="")=TRUE),  "",  INDEX(FieldDisagreements!D2:D50, MATCH(C52,FieldDisagreements!A2:A50, 0))), "")</f>
        <v>Steps.SelfReachCount</v>
      </c>
      <c r="J52" s="3" t="s">
        <v>1926</v>
      </c>
    </row>
    <row r="53">
      <c r="A53" s="3" t="s">
        <v>14842</v>
      </c>
      <c r="B53" s="4" t="str">
        <f>_xlfn.CONCAT(C53, " @ ", D53)</f>
        <v>effortless-xlsx|Steps.SelfReachCount @ policy-03</v>
      </c>
      <c r="C53" s="3" t="s">
        <v>14737</v>
      </c>
      <c r="D53" s="3" t="s">
        <v>597</v>
      </c>
      <c r="E53" s="3" t="s">
        <v>37</v>
      </c>
      <c r="F53" s="3" t="s">
        <v>14795</v>
      </c>
      <c r="G53" s="3" t="s">
        <v>14729</v>
      </c>
      <c r="H53" s="4" t="str">
        <f>_xlfn.IFNA(IF(((INDEX(FieldDisagreements!C2:C50, MATCH(C53,FieldDisagreements!A2:A50, 0))="")=TRUE),  "",  INDEX(FieldDisagreements!C2:C50, MATCH(C53,FieldDisagreements!A2:A50, 0))), "")</f>
        <v>effortless-xlsx</v>
      </c>
      <c r="I53" s="4" t="str">
        <f>_xlfn.IFNA(IF(((INDEX(FieldDisagreements!D2:D50, MATCH(C53,FieldDisagreements!A2:A50, 0))="")=TRUE),  "",  INDEX(FieldDisagreements!D2:D50, MATCH(C53,FieldDisagreements!A2:A50, 0))), "")</f>
        <v>Steps.SelfReachCount</v>
      </c>
      <c r="J53" s="3" t="s">
        <v>1926</v>
      </c>
    </row>
    <row r="54">
      <c r="A54" s="3" t="s">
        <v>14843</v>
      </c>
      <c r="B54" s="4" t="str">
        <f>_xlfn.CONCAT(C54, " @ ", D54)</f>
        <v>effortless-xlsx|Steps.SelfReachCount @ policy-04</v>
      </c>
      <c r="C54" s="3" t="s">
        <v>14737</v>
      </c>
      <c r="D54" s="3" t="s">
        <v>600</v>
      </c>
      <c r="E54" s="3" t="s">
        <v>37</v>
      </c>
      <c r="F54" s="3" t="s">
        <v>14795</v>
      </c>
      <c r="G54" s="3" t="s">
        <v>14729</v>
      </c>
      <c r="H54" s="4" t="str">
        <f>_xlfn.IFNA(IF(((INDEX(FieldDisagreements!C2:C50, MATCH(C54,FieldDisagreements!A2:A50, 0))="")=TRUE),  "",  INDEX(FieldDisagreements!C2:C50, MATCH(C54,FieldDisagreements!A2:A50, 0))), "")</f>
        <v>effortless-xlsx</v>
      </c>
      <c r="I54" s="4" t="str">
        <f>_xlfn.IFNA(IF(((INDEX(FieldDisagreements!D2:D50, MATCH(C54,FieldDisagreements!A2:A50, 0))="")=TRUE),  "",  INDEX(FieldDisagreements!D2:D50, MATCH(C54,FieldDisagreements!A2:A50, 0))), "")</f>
        <v>Steps.SelfReachCount</v>
      </c>
      <c r="J54" s="3" t="s">
        <v>1926</v>
      </c>
    </row>
    <row r="55">
      <c r="A55" s="3" t="s">
        <v>14844</v>
      </c>
      <c r="B55" s="4" t="str">
        <f>_xlfn.CONCAT(C55, " @ ", D55)</f>
        <v>effortless-xlsx|Steps.SelfReachCount @ policy-05</v>
      </c>
      <c r="C55" s="3" t="s">
        <v>14737</v>
      </c>
      <c r="D55" s="3" t="s">
        <v>604</v>
      </c>
      <c r="E55" s="3" t="s">
        <v>955</v>
      </c>
      <c r="F55" s="3" t="s">
        <v>14795</v>
      </c>
      <c r="G55" s="3" t="s">
        <v>14729</v>
      </c>
      <c r="H55" s="4" t="str">
        <f>_xlfn.IFNA(IF(((INDEX(FieldDisagreements!C2:C50, MATCH(C55,FieldDisagreements!A2:A50, 0))="")=TRUE),  "",  INDEX(FieldDisagreements!C2:C50, MATCH(C55,FieldDisagreements!A2:A50, 0))), "")</f>
        <v>effortless-xlsx</v>
      </c>
      <c r="I55" s="4" t="str">
        <f>_xlfn.IFNA(IF(((INDEX(FieldDisagreements!D2:D50, MATCH(C55,FieldDisagreements!A2:A50, 0))="")=TRUE),  "",  INDEX(FieldDisagreements!D2:D50, MATCH(C55,FieldDisagreements!A2:A50, 0))), "")</f>
        <v>Steps.SelfReachCount</v>
      </c>
      <c r="J55" s="3" t="s">
        <v>1926</v>
      </c>
    </row>
    <row r="56">
      <c r="A56" s="3" t="s">
        <v>14845</v>
      </c>
      <c r="B56" s="4" t="str">
        <f>_xlfn.CONCAT(C56, " @ ", D56)</f>
        <v>effortless-xlsx|Steps.SelfReachCount @ policy-06</v>
      </c>
      <c r="C56" s="3" t="s">
        <v>14737</v>
      </c>
      <c r="D56" s="3" t="s">
        <v>607</v>
      </c>
      <c r="E56" s="3" t="s">
        <v>37</v>
      </c>
      <c r="F56" s="3" t="s">
        <v>14795</v>
      </c>
      <c r="G56" s="3" t="s">
        <v>14729</v>
      </c>
      <c r="H56" s="4" t="str">
        <f>_xlfn.IFNA(IF(((INDEX(FieldDisagreements!C2:C50, MATCH(C56,FieldDisagreements!A2:A50, 0))="")=TRUE),  "",  INDEX(FieldDisagreements!C2:C50, MATCH(C56,FieldDisagreements!A2:A50, 0))), "")</f>
        <v>effortless-xlsx</v>
      </c>
      <c r="I56" s="4" t="str">
        <f>_xlfn.IFNA(IF(((INDEX(FieldDisagreements!D2:D50, MATCH(C56,FieldDisagreements!A2:A50, 0))="")=TRUE),  "",  INDEX(FieldDisagreements!D2:D50, MATCH(C56,FieldDisagreements!A2:A50, 0))), "")</f>
        <v>Steps.SelfReachCount</v>
      </c>
      <c r="J56" s="3" t="s">
        <v>1926</v>
      </c>
    </row>
    <row r="57">
      <c r="A57" s="3" t="s">
        <v>14846</v>
      </c>
      <c r="B57" s="4" t="str">
        <f>_xlfn.CONCAT(C57, " @ ", D57)</f>
        <v>effortless-xlsx|Steps.SelfReachCount @ policy-07</v>
      </c>
      <c r="C57" s="3" t="s">
        <v>14737</v>
      </c>
      <c r="D57" s="3" t="s">
        <v>610</v>
      </c>
      <c r="E57" s="3" t="s">
        <v>37</v>
      </c>
      <c r="F57" s="3" t="s">
        <v>14795</v>
      </c>
      <c r="G57" s="3" t="s">
        <v>14729</v>
      </c>
      <c r="H57" s="4" t="str">
        <f>_xlfn.IFNA(IF(((INDEX(FieldDisagreements!C2:C50, MATCH(C57,FieldDisagreements!A2:A50, 0))="")=TRUE),  "",  INDEX(FieldDisagreements!C2:C50, MATCH(C57,FieldDisagreements!A2:A50, 0))), "")</f>
        <v>effortless-xlsx</v>
      </c>
      <c r="I57" s="4" t="str">
        <f>_xlfn.IFNA(IF(((INDEX(FieldDisagreements!D2:D50, MATCH(C57,FieldDisagreements!A2:A50, 0))="")=TRUE),  "",  INDEX(FieldDisagreements!D2:D50, MATCH(C57,FieldDisagreements!A2:A50, 0))), "")</f>
        <v>Steps.SelfReachCount</v>
      </c>
      <c r="J57" s="3" t="s">
        <v>1926</v>
      </c>
    </row>
    <row r="58">
      <c r="A58" s="3" t="s">
        <v>14847</v>
      </c>
      <c r="B58" s="4" t="str">
        <f>_xlfn.CONCAT(C58, " @ ", D58)</f>
        <v>effortless-xlsx|Steps.SelfReachCount @ policy-08</v>
      </c>
      <c r="C58" s="3" t="s">
        <v>14737</v>
      </c>
      <c r="D58" s="3" t="s">
        <v>613</v>
      </c>
      <c r="E58" s="3" t="s">
        <v>955</v>
      </c>
      <c r="F58" s="3" t="s">
        <v>14795</v>
      </c>
      <c r="G58" s="3" t="s">
        <v>14729</v>
      </c>
      <c r="H58" s="4" t="str">
        <f>_xlfn.IFNA(IF(((INDEX(FieldDisagreements!C2:C50, MATCH(C58,FieldDisagreements!A2:A50, 0))="")=TRUE),  "",  INDEX(FieldDisagreements!C2:C50, MATCH(C58,FieldDisagreements!A2:A50, 0))), "")</f>
        <v>effortless-xlsx</v>
      </c>
      <c r="I58" s="4" t="str">
        <f>_xlfn.IFNA(IF(((INDEX(FieldDisagreements!D2:D50, MATCH(C58,FieldDisagreements!A2:A50, 0))="")=TRUE),  "",  INDEX(FieldDisagreements!D2:D50, MATCH(C58,FieldDisagreements!A2:A50, 0))), "")</f>
        <v>Steps.SelfReachCount</v>
      </c>
      <c r="J58" s="3" t="s">
        <v>1926</v>
      </c>
    </row>
    <row r="59">
      <c r="A59" s="3" t="s">
        <v>14848</v>
      </c>
      <c r="B59" s="4" t="str">
        <f>_xlfn.CONCAT(C59, " @ ", D59)</f>
        <v>effortless-xlsx|Steps.SelfReachCount @ policy-09</v>
      </c>
      <c r="C59" s="3" t="s">
        <v>14737</v>
      </c>
      <c r="D59" s="3" t="s">
        <v>617</v>
      </c>
      <c r="E59" s="3" t="s">
        <v>955</v>
      </c>
      <c r="F59" s="3" t="s">
        <v>14795</v>
      </c>
      <c r="G59" s="3" t="s">
        <v>14729</v>
      </c>
      <c r="H59" s="4" t="str">
        <f>_xlfn.IFNA(IF(((INDEX(FieldDisagreements!C2:C50, MATCH(C59,FieldDisagreements!A2:A50, 0))="")=TRUE),  "",  INDEX(FieldDisagreements!C2:C50, MATCH(C59,FieldDisagreements!A2:A50, 0))), "")</f>
        <v>effortless-xlsx</v>
      </c>
      <c r="I59" s="4" t="str">
        <f>_xlfn.IFNA(IF(((INDEX(FieldDisagreements!D2:D50, MATCH(C59,FieldDisagreements!A2:A50, 0))="")=TRUE),  "",  INDEX(FieldDisagreements!D2:D50, MATCH(C59,FieldDisagreements!A2:A50, 0))), "")</f>
        <v>Steps.SelfReachCount</v>
      </c>
      <c r="J59" s="3" t="s">
        <v>1926</v>
      </c>
    </row>
    <row r="60">
      <c r="A60" s="3" t="s">
        <v>14849</v>
      </c>
      <c r="B60" s="4" t="str">
        <f>_xlfn.CONCAT(C60, " @ ", D60)</f>
        <v>effortless-xlsx|Steps.IsOnReworkLoop @ close-01</v>
      </c>
      <c r="C60" s="3" t="s">
        <v>14738</v>
      </c>
      <c r="D60" s="3" t="s">
        <v>548</v>
      </c>
      <c r="E60" s="3" t="s">
        <v>14784</v>
      </c>
      <c r="F60" s="3" t="s">
        <v>14795</v>
      </c>
      <c r="G60" s="3" t="s">
        <v>14729</v>
      </c>
      <c r="H60" s="4" t="str">
        <f>_xlfn.IFNA(IF(((INDEX(FieldDisagreements!C2:C50, MATCH(C60,FieldDisagreements!A2:A50, 0))="")=TRUE),  "",  INDEX(FieldDisagreements!C2:C50, MATCH(C60,FieldDisagreements!A2:A50, 0))), "")</f>
        <v>effortless-xlsx</v>
      </c>
      <c r="I60" s="4" t="str">
        <f>_xlfn.IFNA(IF(((INDEX(FieldDisagreements!D2:D50, MATCH(C60,FieldDisagreements!A2:A50, 0))="")=TRUE),  "",  INDEX(FieldDisagreements!D2:D50, MATCH(C60,FieldDisagreements!A2:A50, 0))), "")</f>
        <v>Steps.IsOnReworkLoop</v>
      </c>
      <c r="J60" s="3" t="s">
        <v>1926</v>
      </c>
    </row>
    <row r="61">
      <c r="A61" s="3" t="s">
        <v>14850</v>
      </c>
      <c r="B61" s="4" t="str">
        <f>_xlfn.CONCAT(C61, " @ ", D61)</f>
        <v>effortless-xlsx|Steps.IsOnReworkLoop @ close-02</v>
      </c>
      <c r="C61" s="3" t="s">
        <v>14738</v>
      </c>
      <c r="D61" s="3" t="s">
        <v>556</v>
      </c>
      <c r="E61" s="3" t="s">
        <v>14784</v>
      </c>
      <c r="F61" s="3" t="s">
        <v>14795</v>
      </c>
      <c r="G61" s="3" t="s">
        <v>14729</v>
      </c>
      <c r="H61" s="4" t="str">
        <f>_xlfn.IFNA(IF(((INDEX(FieldDisagreements!C2:C50, MATCH(C61,FieldDisagreements!A2:A50, 0))="")=TRUE),  "",  INDEX(FieldDisagreements!C2:C50, MATCH(C61,FieldDisagreements!A2:A50, 0))), "")</f>
        <v>effortless-xlsx</v>
      </c>
      <c r="I61" s="4" t="str">
        <f>_xlfn.IFNA(IF(((INDEX(FieldDisagreements!D2:D50, MATCH(C61,FieldDisagreements!A2:A50, 0))="")=TRUE),  "",  INDEX(FieldDisagreements!D2:D50, MATCH(C61,FieldDisagreements!A2:A50, 0))), "")</f>
        <v>Steps.IsOnReworkLoop</v>
      </c>
      <c r="J61" s="3" t="s">
        <v>1926</v>
      </c>
    </row>
    <row r="62">
      <c r="A62" s="3" t="s">
        <v>14851</v>
      </c>
      <c r="B62" s="4" t="str">
        <f>_xlfn.CONCAT(C62, " @ ", D62)</f>
        <v>effortless-xlsx|Steps.IsOnReworkLoop @ close-03</v>
      </c>
      <c r="C62" s="3" t="s">
        <v>14738</v>
      </c>
      <c r="D62" s="3" t="s">
        <v>560</v>
      </c>
      <c r="E62" s="3" t="s">
        <v>14783</v>
      </c>
      <c r="F62" s="3" t="s">
        <v>14795</v>
      </c>
      <c r="G62" s="3" t="s">
        <v>14729</v>
      </c>
      <c r="H62" s="4" t="str">
        <f>_xlfn.IFNA(IF(((INDEX(FieldDisagreements!C2:C50, MATCH(C62,FieldDisagreements!A2:A50, 0))="")=TRUE),  "",  INDEX(FieldDisagreements!C2:C50, MATCH(C62,FieldDisagreements!A2:A50, 0))), "")</f>
        <v>effortless-xlsx</v>
      </c>
      <c r="I62" s="4" t="str">
        <f>_xlfn.IFNA(IF(((INDEX(FieldDisagreements!D2:D50, MATCH(C62,FieldDisagreements!A2:A50, 0))="")=TRUE),  "",  INDEX(FieldDisagreements!D2:D50, MATCH(C62,FieldDisagreements!A2:A50, 0))), "")</f>
        <v>Steps.IsOnReworkLoop</v>
      </c>
      <c r="J62" s="3" t="s">
        <v>1926</v>
      </c>
    </row>
    <row r="63">
      <c r="A63" s="3" t="s">
        <v>14852</v>
      </c>
      <c r="B63" s="4" t="str">
        <f>_xlfn.CONCAT(C63, " @ ", D63)</f>
        <v>effortless-xlsx|Steps.IsOnReworkLoop @ close-04</v>
      </c>
      <c r="C63" s="3" t="s">
        <v>14738</v>
      </c>
      <c r="D63" s="3" t="s">
        <v>567</v>
      </c>
      <c r="E63" s="3" t="s">
        <v>14783</v>
      </c>
      <c r="F63" s="3" t="s">
        <v>14795</v>
      </c>
      <c r="G63" s="3" t="s">
        <v>14729</v>
      </c>
      <c r="H63" s="4" t="str">
        <f>_xlfn.IFNA(IF(((INDEX(FieldDisagreements!C2:C50, MATCH(C63,FieldDisagreements!A2:A50, 0))="")=TRUE),  "",  INDEX(FieldDisagreements!C2:C50, MATCH(C63,FieldDisagreements!A2:A50, 0))), "")</f>
        <v>effortless-xlsx</v>
      </c>
      <c r="I63" s="4" t="str">
        <f>_xlfn.IFNA(IF(((INDEX(FieldDisagreements!D2:D50, MATCH(C63,FieldDisagreements!A2:A50, 0))="")=TRUE),  "",  INDEX(FieldDisagreements!D2:D50, MATCH(C63,FieldDisagreements!A2:A50, 0))), "")</f>
        <v>Steps.IsOnReworkLoop</v>
      </c>
      <c r="J63" s="3" t="s">
        <v>1926</v>
      </c>
    </row>
    <row r="64">
      <c r="A64" s="3" t="s">
        <v>14853</v>
      </c>
      <c r="B64" s="4" t="str">
        <f>_xlfn.CONCAT(C64, " @ ", D64)</f>
        <v>effortless-xlsx|Steps.IsOnReworkLoop @ close-05</v>
      </c>
      <c r="C64" s="3" t="s">
        <v>14738</v>
      </c>
      <c r="D64" s="3" t="s">
        <v>572</v>
      </c>
      <c r="E64" s="3" t="s">
        <v>14783</v>
      </c>
      <c r="F64" s="3" t="s">
        <v>14795</v>
      </c>
      <c r="G64" s="3" t="s">
        <v>14729</v>
      </c>
      <c r="H64" s="4" t="str">
        <f>_xlfn.IFNA(IF(((INDEX(FieldDisagreements!C2:C50, MATCH(C64,FieldDisagreements!A2:A50, 0))="")=TRUE),  "",  INDEX(FieldDisagreements!C2:C50, MATCH(C64,FieldDisagreements!A2:A50, 0))), "")</f>
        <v>effortless-xlsx</v>
      </c>
      <c r="I64" s="4" t="str">
        <f>_xlfn.IFNA(IF(((INDEX(FieldDisagreements!D2:D50, MATCH(C64,FieldDisagreements!A2:A50, 0))="")=TRUE),  "",  INDEX(FieldDisagreements!D2:D50, MATCH(C64,FieldDisagreements!A2:A50, 0))), "")</f>
        <v>Steps.IsOnReworkLoop</v>
      </c>
      <c r="J64" s="3" t="s">
        <v>1926</v>
      </c>
    </row>
    <row r="65">
      <c r="A65" s="3" t="s">
        <v>14854</v>
      </c>
      <c r="B65" s="4" t="str">
        <f>_xlfn.CONCAT(C65, " @ ", D65)</f>
        <v>effortless-xlsx|Steps.IsOnReworkLoop @ close-06</v>
      </c>
      <c r="C65" s="3" t="s">
        <v>14738</v>
      </c>
      <c r="D65" s="3" t="s">
        <v>576</v>
      </c>
      <c r="E65" s="3" t="s">
        <v>14783</v>
      </c>
      <c r="F65" s="3" t="s">
        <v>14795</v>
      </c>
      <c r="G65" s="3" t="s">
        <v>14729</v>
      </c>
      <c r="H65" s="4" t="str">
        <f>_xlfn.IFNA(IF(((INDEX(FieldDisagreements!C2:C50, MATCH(C65,FieldDisagreements!A2:A50, 0))="")=TRUE),  "",  INDEX(FieldDisagreements!C2:C50, MATCH(C65,FieldDisagreements!A2:A50, 0))), "")</f>
        <v>effortless-xlsx</v>
      </c>
      <c r="I65" s="4" t="str">
        <f>_xlfn.IFNA(IF(((INDEX(FieldDisagreements!D2:D50, MATCH(C65,FieldDisagreements!A2:A50, 0))="")=TRUE),  "",  INDEX(FieldDisagreements!D2:D50, MATCH(C65,FieldDisagreements!A2:A50, 0))), "")</f>
        <v>Steps.IsOnReworkLoop</v>
      </c>
      <c r="J65" s="3" t="s">
        <v>1926</v>
      </c>
    </row>
    <row r="66">
      <c r="A66" s="3" t="s">
        <v>14855</v>
      </c>
      <c r="B66" s="4" t="str">
        <f>_xlfn.CONCAT(C66, " @ ", D66)</f>
        <v>effortless-xlsx|Steps.IsOnReworkLoop @ close-07</v>
      </c>
      <c r="C66" s="3" t="s">
        <v>14738</v>
      </c>
      <c r="D66" s="3" t="s">
        <v>581</v>
      </c>
      <c r="E66" s="3" t="s">
        <v>14784</v>
      </c>
      <c r="F66" s="3" t="s">
        <v>14795</v>
      </c>
      <c r="G66" s="3" t="s">
        <v>14729</v>
      </c>
      <c r="H66" s="4" t="str">
        <f>_xlfn.IFNA(IF(((INDEX(FieldDisagreements!C2:C50, MATCH(C66,FieldDisagreements!A2:A50, 0))="")=TRUE),  "",  INDEX(FieldDisagreements!C2:C50, MATCH(C66,FieldDisagreements!A2:A50, 0))), "")</f>
        <v>effortless-xlsx</v>
      </c>
      <c r="I66" s="4" t="str">
        <f>_xlfn.IFNA(IF(((INDEX(FieldDisagreements!D2:D50, MATCH(C66,FieldDisagreements!A2:A50, 0))="")=TRUE),  "",  INDEX(FieldDisagreements!D2:D50, MATCH(C66,FieldDisagreements!A2:A50, 0))), "")</f>
        <v>Steps.IsOnReworkLoop</v>
      </c>
      <c r="J66" s="3" t="s">
        <v>1926</v>
      </c>
    </row>
    <row r="67">
      <c r="A67" s="3" t="s">
        <v>14856</v>
      </c>
      <c r="B67" s="4" t="str">
        <f>_xlfn.CONCAT(C67, " @ ", D67)</f>
        <v>effortless-xlsx|Steps.IsOnReworkLoop @ close-08</v>
      </c>
      <c r="C67" s="3" t="s">
        <v>14738</v>
      </c>
      <c r="D67" s="3" t="s">
        <v>586</v>
      </c>
      <c r="E67" s="3" t="s">
        <v>14784</v>
      </c>
      <c r="F67" s="3" t="s">
        <v>14795</v>
      </c>
      <c r="G67" s="3" t="s">
        <v>14729</v>
      </c>
      <c r="H67" s="4" t="str">
        <f>_xlfn.IFNA(IF(((INDEX(FieldDisagreements!C2:C50, MATCH(C67,FieldDisagreements!A2:A50, 0))="")=TRUE),  "",  INDEX(FieldDisagreements!C2:C50, MATCH(C67,FieldDisagreements!A2:A50, 0))), "")</f>
        <v>effortless-xlsx</v>
      </c>
      <c r="I67" s="4" t="str">
        <f>_xlfn.IFNA(IF(((INDEX(FieldDisagreements!D2:D50, MATCH(C67,FieldDisagreements!A2:A50, 0))="")=TRUE),  "",  INDEX(FieldDisagreements!D2:D50, MATCH(C67,FieldDisagreements!A2:A50, 0))), "")</f>
        <v>Steps.IsOnReworkLoop</v>
      </c>
      <c r="J67" s="3" t="s">
        <v>1926</v>
      </c>
    </row>
    <row r="68">
      <c r="A68" s="3" t="s">
        <v>14857</v>
      </c>
      <c r="B68" s="4" t="str">
        <f>_xlfn.CONCAT(C68, " @ ", D68)</f>
        <v>effortless-xlsx|Steps.IsOnReworkLoop @ policy-01</v>
      </c>
      <c r="C68" s="3" t="s">
        <v>14738</v>
      </c>
      <c r="D68" s="3" t="s">
        <v>591</v>
      </c>
      <c r="E68" s="3" t="s">
        <v>14784</v>
      </c>
      <c r="F68" s="3" t="s">
        <v>14795</v>
      </c>
      <c r="G68" s="3" t="s">
        <v>14729</v>
      </c>
      <c r="H68" s="4" t="str">
        <f>_xlfn.IFNA(IF(((INDEX(FieldDisagreements!C2:C50, MATCH(C68,FieldDisagreements!A2:A50, 0))="")=TRUE),  "",  INDEX(FieldDisagreements!C2:C50, MATCH(C68,FieldDisagreements!A2:A50, 0))), "")</f>
        <v>effortless-xlsx</v>
      </c>
      <c r="I68" s="4" t="str">
        <f>_xlfn.IFNA(IF(((INDEX(FieldDisagreements!D2:D50, MATCH(C68,FieldDisagreements!A2:A50, 0))="")=TRUE),  "",  INDEX(FieldDisagreements!D2:D50, MATCH(C68,FieldDisagreements!A2:A50, 0))), "")</f>
        <v>Steps.IsOnReworkLoop</v>
      </c>
      <c r="J68" s="3" t="s">
        <v>1926</v>
      </c>
    </row>
    <row r="69">
      <c r="A69" s="3" t="s">
        <v>14858</v>
      </c>
      <c r="B69" s="4" t="str">
        <f>_xlfn.CONCAT(C69, " @ ", D69)</f>
        <v>effortless-xlsx|Steps.IsOnReworkLoop @ policy-02</v>
      </c>
      <c r="C69" s="3" t="s">
        <v>14738</v>
      </c>
      <c r="D69" s="3" t="s">
        <v>594</v>
      </c>
      <c r="E69" s="3" t="s">
        <v>14784</v>
      </c>
      <c r="F69" s="3" t="s">
        <v>14795</v>
      </c>
      <c r="G69" s="3" t="s">
        <v>14729</v>
      </c>
      <c r="H69" s="4" t="str">
        <f>_xlfn.IFNA(IF(((INDEX(FieldDisagreements!C2:C50, MATCH(C69,FieldDisagreements!A2:A50, 0))="")=TRUE),  "",  INDEX(FieldDisagreements!C2:C50, MATCH(C69,FieldDisagreements!A2:A50, 0))), "")</f>
        <v>effortless-xlsx</v>
      </c>
      <c r="I69" s="4" t="str">
        <f>_xlfn.IFNA(IF(((INDEX(FieldDisagreements!D2:D50, MATCH(C69,FieldDisagreements!A2:A50, 0))="")=TRUE),  "",  INDEX(FieldDisagreements!D2:D50, MATCH(C69,FieldDisagreements!A2:A50, 0))), "")</f>
        <v>Steps.IsOnReworkLoop</v>
      </c>
      <c r="J69" s="3" t="s">
        <v>1926</v>
      </c>
    </row>
    <row r="70">
      <c r="A70" s="3" t="s">
        <v>14859</v>
      </c>
      <c r="B70" s="4" t="str">
        <f>_xlfn.CONCAT(C70, " @ ", D70)</f>
        <v>effortless-xlsx|Steps.IsOnReworkLoop @ policy-03</v>
      </c>
      <c r="C70" s="3" t="s">
        <v>14738</v>
      </c>
      <c r="D70" s="3" t="s">
        <v>597</v>
      </c>
      <c r="E70" s="3" t="s">
        <v>14783</v>
      </c>
      <c r="F70" s="3" t="s">
        <v>14795</v>
      </c>
      <c r="G70" s="3" t="s">
        <v>14729</v>
      </c>
      <c r="H70" s="4" t="str">
        <f>_xlfn.IFNA(IF(((INDEX(FieldDisagreements!C2:C50, MATCH(C70,FieldDisagreements!A2:A50, 0))="")=TRUE),  "",  INDEX(FieldDisagreements!C2:C50, MATCH(C70,FieldDisagreements!A2:A50, 0))), "")</f>
        <v>effortless-xlsx</v>
      </c>
      <c r="I70" s="4" t="str">
        <f>_xlfn.IFNA(IF(((INDEX(FieldDisagreements!D2:D50, MATCH(C70,FieldDisagreements!A2:A50, 0))="")=TRUE),  "",  INDEX(FieldDisagreements!D2:D50, MATCH(C70,FieldDisagreements!A2:A50, 0))), "")</f>
        <v>Steps.IsOnReworkLoop</v>
      </c>
      <c r="J70" s="3" t="s">
        <v>1926</v>
      </c>
    </row>
    <row r="71">
      <c r="A71" s="3" t="s">
        <v>14860</v>
      </c>
      <c r="B71" s="4" t="str">
        <f>_xlfn.CONCAT(C71, " @ ", D71)</f>
        <v>effortless-xlsx|Steps.IsOnReworkLoop @ policy-04</v>
      </c>
      <c r="C71" s="3" t="s">
        <v>14738</v>
      </c>
      <c r="D71" s="3" t="s">
        <v>600</v>
      </c>
      <c r="E71" s="3" t="s">
        <v>14783</v>
      </c>
      <c r="F71" s="3" t="s">
        <v>14795</v>
      </c>
      <c r="G71" s="3" t="s">
        <v>14729</v>
      </c>
      <c r="H71" s="4" t="str">
        <f>_xlfn.IFNA(IF(((INDEX(FieldDisagreements!C2:C50, MATCH(C71,FieldDisagreements!A2:A50, 0))="")=TRUE),  "",  INDEX(FieldDisagreements!C2:C50, MATCH(C71,FieldDisagreements!A2:A50, 0))), "")</f>
        <v>effortless-xlsx</v>
      </c>
      <c r="I71" s="4" t="str">
        <f>_xlfn.IFNA(IF(((INDEX(FieldDisagreements!D2:D50, MATCH(C71,FieldDisagreements!A2:A50, 0))="")=TRUE),  "",  INDEX(FieldDisagreements!D2:D50, MATCH(C71,FieldDisagreements!A2:A50, 0))), "")</f>
        <v>Steps.IsOnReworkLoop</v>
      </c>
      <c r="J71" s="3" t="s">
        <v>1926</v>
      </c>
    </row>
    <row r="72">
      <c r="A72" s="3" t="s">
        <v>14861</v>
      </c>
      <c r="B72" s="4" t="str">
        <f>_xlfn.CONCAT(C72, " @ ", D72)</f>
        <v>effortless-xlsx|Steps.IsOnReworkLoop @ policy-05</v>
      </c>
      <c r="C72" s="3" t="s">
        <v>14738</v>
      </c>
      <c r="D72" s="3" t="s">
        <v>604</v>
      </c>
      <c r="E72" s="3" t="s">
        <v>14784</v>
      </c>
      <c r="F72" s="3" t="s">
        <v>14795</v>
      </c>
      <c r="G72" s="3" t="s">
        <v>14729</v>
      </c>
      <c r="H72" s="4" t="str">
        <f>_xlfn.IFNA(IF(((INDEX(FieldDisagreements!C2:C50, MATCH(C72,FieldDisagreements!A2:A50, 0))="")=TRUE),  "",  INDEX(FieldDisagreements!C2:C50, MATCH(C72,FieldDisagreements!A2:A50, 0))), "")</f>
        <v>effortless-xlsx</v>
      </c>
      <c r="I72" s="4" t="str">
        <f>_xlfn.IFNA(IF(((INDEX(FieldDisagreements!D2:D50, MATCH(C72,FieldDisagreements!A2:A50, 0))="")=TRUE),  "",  INDEX(FieldDisagreements!D2:D50, MATCH(C72,FieldDisagreements!A2:A50, 0))), "")</f>
        <v>Steps.IsOnReworkLoop</v>
      </c>
      <c r="J72" s="3" t="s">
        <v>1926</v>
      </c>
    </row>
    <row r="73">
      <c r="A73" s="3" t="s">
        <v>14862</v>
      </c>
      <c r="B73" s="4" t="str">
        <f>_xlfn.CONCAT(C73, " @ ", D73)</f>
        <v>effortless-xlsx|Steps.IsOnReworkLoop @ policy-06</v>
      </c>
      <c r="C73" s="3" t="s">
        <v>14738</v>
      </c>
      <c r="D73" s="3" t="s">
        <v>607</v>
      </c>
      <c r="E73" s="3" t="s">
        <v>14783</v>
      </c>
      <c r="F73" s="3" t="s">
        <v>14795</v>
      </c>
      <c r="G73" s="3" t="s">
        <v>14729</v>
      </c>
      <c r="H73" s="4" t="str">
        <f>_xlfn.IFNA(IF(((INDEX(FieldDisagreements!C2:C50, MATCH(C73,FieldDisagreements!A2:A50, 0))="")=TRUE),  "",  INDEX(FieldDisagreements!C2:C50, MATCH(C73,FieldDisagreements!A2:A50, 0))), "")</f>
        <v>effortless-xlsx</v>
      </c>
      <c r="I73" s="4" t="str">
        <f>_xlfn.IFNA(IF(((INDEX(FieldDisagreements!D2:D50, MATCH(C73,FieldDisagreements!A2:A50, 0))="")=TRUE),  "",  INDEX(FieldDisagreements!D2:D50, MATCH(C73,FieldDisagreements!A2:A50, 0))), "")</f>
        <v>Steps.IsOnReworkLoop</v>
      </c>
      <c r="J73" s="3" t="s">
        <v>1926</v>
      </c>
    </row>
    <row r="74">
      <c r="A74" s="3" t="s">
        <v>14863</v>
      </c>
      <c r="B74" s="4" t="str">
        <f>_xlfn.CONCAT(C74, " @ ", D74)</f>
        <v>effortless-xlsx|Steps.IsOnReworkLoop @ policy-07</v>
      </c>
      <c r="C74" s="3" t="s">
        <v>14738</v>
      </c>
      <c r="D74" s="3" t="s">
        <v>610</v>
      </c>
      <c r="E74" s="3" t="s">
        <v>14783</v>
      </c>
      <c r="F74" s="3" t="s">
        <v>14795</v>
      </c>
      <c r="G74" s="3" t="s">
        <v>14729</v>
      </c>
      <c r="H74" s="4" t="str">
        <f>_xlfn.IFNA(IF(((INDEX(FieldDisagreements!C2:C50, MATCH(C74,FieldDisagreements!A2:A50, 0))="")=TRUE),  "",  INDEX(FieldDisagreements!C2:C50, MATCH(C74,FieldDisagreements!A2:A50, 0))), "")</f>
        <v>effortless-xlsx</v>
      </c>
      <c r="I74" s="4" t="str">
        <f>_xlfn.IFNA(IF(((INDEX(FieldDisagreements!D2:D50, MATCH(C74,FieldDisagreements!A2:A50, 0))="")=TRUE),  "",  INDEX(FieldDisagreements!D2:D50, MATCH(C74,FieldDisagreements!A2:A50, 0))), "")</f>
        <v>Steps.IsOnReworkLoop</v>
      </c>
      <c r="J74" s="3" t="s">
        <v>1926</v>
      </c>
    </row>
    <row r="75">
      <c r="A75" s="3" t="s">
        <v>14864</v>
      </c>
      <c r="B75" s="4" t="str">
        <f>_xlfn.CONCAT(C75, " @ ", D75)</f>
        <v>effortless-xlsx|Steps.IsOnReworkLoop @ policy-08</v>
      </c>
      <c r="C75" s="3" t="s">
        <v>14738</v>
      </c>
      <c r="D75" s="3" t="s">
        <v>613</v>
      </c>
      <c r="E75" s="3" t="s">
        <v>14784</v>
      </c>
      <c r="F75" s="3" t="s">
        <v>14795</v>
      </c>
      <c r="G75" s="3" t="s">
        <v>14729</v>
      </c>
      <c r="H75" s="4" t="str">
        <f>_xlfn.IFNA(IF(((INDEX(FieldDisagreements!C2:C50, MATCH(C75,FieldDisagreements!A2:A50, 0))="")=TRUE),  "",  INDEX(FieldDisagreements!C2:C50, MATCH(C75,FieldDisagreements!A2:A50, 0))), "")</f>
        <v>effortless-xlsx</v>
      </c>
      <c r="I75" s="4" t="str">
        <f>_xlfn.IFNA(IF(((INDEX(FieldDisagreements!D2:D50, MATCH(C75,FieldDisagreements!A2:A50, 0))="")=TRUE),  "",  INDEX(FieldDisagreements!D2:D50, MATCH(C75,FieldDisagreements!A2:A50, 0))), "")</f>
        <v>Steps.IsOnReworkLoop</v>
      </c>
      <c r="J75" s="3" t="s">
        <v>1926</v>
      </c>
    </row>
    <row r="76">
      <c r="A76" s="3" t="s">
        <v>14865</v>
      </c>
      <c r="B76" s="4" t="str">
        <f>_xlfn.CONCAT(C76, " @ ", D76)</f>
        <v>effortless-xlsx|Steps.IsOnReworkLoop @ policy-09</v>
      </c>
      <c r="C76" s="3" t="s">
        <v>14738</v>
      </c>
      <c r="D76" s="3" t="s">
        <v>617</v>
      </c>
      <c r="E76" s="3" t="s">
        <v>14784</v>
      </c>
      <c r="F76" s="3" t="s">
        <v>14795</v>
      </c>
      <c r="G76" s="3" t="s">
        <v>14729</v>
      </c>
      <c r="H76" s="4" t="str">
        <f>_xlfn.IFNA(IF(((INDEX(FieldDisagreements!C2:C50, MATCH(C76,FieldDisagreements!A2:A50, 0))="")=TRUE),  "",  INDEX(FieldDisagreements!C2:C50, MATCH(C76,FieldDisagreements!A2:A50, 0))), "")</f>
        <v>effortless-xlsx</v>
      </c>
      <c r="I76" s="4" t="str">
        <f>_xlfn.IFNA(IF(((INDEX(FieldDisagreements!D2:D50, MATCH(C76,FieldDisagreements!A2:A50, 0))="")=TRUE),  "",  INDEX(FieldDisagreements!D2:D50, MATCH(C76,FieldDisagreements!A2:A50, 0))), "")</f>
        <v>Steps.IsOnReworkLoop</v>
      </c>
      <c r="J76" s="3" t="s">
        <v>1926</v>
      </c>
    </row>
    <row r="77">
      <c r="A77" s="3" t="s">
        <v>14866</v>
      </c>
      <c r="B77" s="4" t="str">
        <f>_xlfn.CONCAT(C77, " @ ", D77)</f>
        <v>effortless-xlsx|Steps.IsBlockingControlOnReworkLoop @ close-01</v>
      </c>
      <c r="C77" s="3" t="s">
        <v>14739</v>
      </c>
      <c r="D77" s="3" t="s">
        <v>548</v>
      </c>
      <c r="E77" s="3" t="s">
        <v>14784</v>
      </c>
      <c r="F77" s="3" t="s">
        <v>14795</v>
      </c>
      <c r="G77" s="3" t="s">
        <v>14729</v>
      </c>
      <c r="H77" s="4" t="str">
        <f>_xlfn.IFNA(IF(((INDEX(FieldDisagreements!C2:C50, MATCH(C77,FieldDisagreements!A2:A50, 0))="")=TRUE),  "",  INDEX(FieldDisagreements!C2:C50, MATCH(C77,FieldDisagreements!A2:A50, 0))), "")</f>
        <v>effortless-xlsx</v>
      </c>
      <c r="I77" s="4" t="str">
        <f>_xlfn.IFNA(IF(((INDEX(FieldDisagreements!D2:D50, MATCH(C77,FieldDisagreements!A2:A50, 0))="")=TRUE),  "",  INDEX(FieldDisagreements!D2:D50, MATCH(C77,FieldDisagreements!A2:A50, 0))), "")</f>
        <v>Steps.IsBlockingControlOnReworkLoop</v>
      </c>
      <c r="J77" s="3" t="s">
        <v>1926</v>
      </c>
    </row>
    <row r="78">
      <c r="A78" s="3" t="s">
        <v>14867</v>
      </c>
      <c r="B78" s="4" t="str">
        <f>_xlfn.CONCAT(C78, " @ ", D78)</f>
        <v>effortless-xlsx|Steps.IsBlockingControlOnReworkLoop @ close-02</v>
      </c>
      <c r="C78" s="3" t="s">
        <v>14739</v>
      </c>
      <c r="D78" s="3" t="s">
        <v>556</v>
      </c>
      <c r="E78" s="3" t="s">
        <v>14784</v>
      </c>
      <c r="F78" s="3" t="s">
        <v>14795</v>
      </c>
      <c r="G78" s="3" t="s">
        <v>14729</v>
      </c>
      <c r="H78" s="4" t="str">
        <f>_xlfn.IFNA(IF(((INDEX(FieldDisagreements!C2:C50, MATCH(C78,FieldDisagreements!A2:A50, 0))="")=TRUE),  "",  INDEX(FieldDisagreements!C2:C50, MATCH(C78,FieldDisagreements!A2:A50, 0))), "")</f>
        <v>effortless-xlsx</v>
      </c>
      <c r="I78" s="4" t="str">
        <f>_xlfn.IFNA(IF(((INDEX(FieldDisagreements!D2:D50, MATCH(C78,FieldDisagreements!A2:A50, 0))="")=TRUE),  "",  INDEX(FieldDisagreements!D2:D50, MATCH(C78,FieldDisagreements!A2:A50, 0))), "")</f>
        <v>Steps.IsBlockingControlOnReworkLoop</v>
      </c>
      <c r="J78" s="3" t="s">
        <v>1926</v>
      </c>
    </row>
    <row r="79">
      <c r="A79" s="3" t="s">
        <v>14868</v>
      </c>
      <c r="B79" s="4" t="str">
        <f>_xlfn.CONCAT(C79, " @ ", D79)</f>
        <v>effortless-xlsx|Steps.IsBlockingControlOnReworkLoop @ close-03</v>
      </c>
      <c r="C79" s="3" t="s">
        <v>14739</v>
      </c>
      <c r="D79" s="3" t="s">
        <v>560</v>
      </c>
      <c r="E79" s="3" t="s">
        <v>14783</v>
      </c>
      <c r="F79" s="3" t="s">
        <v>14795</v>
      </c>
      <c r="G79" s="3" t="s">
        <v>14729</v>
      </c>
      <c r="H79" s="4" t="str">
        <f>_xlfn.IFNA(IF(((INDEX(FieldDisagreements!C2:C50, MATCH(C79,FieldDisagreements!A2:A50, 0))="")=TRUE),  "",  INDEX(FieldDisagreements!C2:C50, MATCH(C79,FieldDisagreements!A2:A50, 0))), "")</f>
        <v>effortless-xlsx</v>
      </c>
      <c r="I79" s="4" t="str">
        <f>_xlfn.IFNA(IF(((INDEX(FieldDisagreements!D2:D50, MATCH(C79,FieldDisagreements!A2:A50, 0))="")=TRUE),  "",  INDEX(FieldDisagreements!D2:D50, MATCH(C79,FieldDisagreements!A2:A50, 0))), "")</f>
        <v>Steps.IsBlockingControlOnReworkLoop</v>
      </c>
      <c r="J79" s="3" t="s">
        <v>1926</v>
      </c>
    </row>
    <row r="80">
      <c r="A80" s="3" t="s">
        <v>14869</v>
      </c>
      <c r="B80" s="4" t="str">
        <f>_xlfn.CONCAT(C80, " @ ", D80)</f>
        <v>effortless-xlsx|Steps.IsBlockingControlOnReworkLoop @ close-04</v>
      </c>
      <c r="C80" s="3" t="s">
        <v>14739</v>
      </c>
      <c r="D80" s="3" t="s">
        <v>567</v>
      </c>
      <c r="E80" s="3" t="s">
        <v>14784</v>
      </c>
      <c r="F80" s="3" t="s">
        <v>14795</v>
      </c>
      <c r="G80" s="3" t="s">
        <v>14729</v>
      </c>
      <c r="H80" s="4" t="str">
        <f>_xlfn.IFNA(IF(((INDEX(FieldDisagreements!C2:C50, MATCH(C80,FieldDisagreements!A2:A50, 0))="")=TRUE),  "",  INDEX(FieldDisagreements!C2:C50, MATCH(C80,FieldDisagreements!A2:A50, 0))), "")</f>
        <v>effortless-xlsx</v>
      </c>
      <c r="I80" s="4" t="str">
        <f>_xlfn.IFNA(IF(((INDEX(FieldDisagreements!D2:D50, MATCH(C80,FieldDisagreements!A2:A50, 0))="")=TRUE),  "",  INDEX(FieldDisagreements!D2:D50, MATCH(C80,FieldDisagreements!A2:A50, 0))), "")</f>
        <v>Steps.IsBlockingControlOnReworkLoop</v>
      </c>
      <c r="J80" s="3" t="s">
        <v>1926</v>
      </c>
    </row>
    <row r="81">
      <c r="A81" s="3" t="s">
        <v>14870</v>
      </c>
      <c r="B81" s="4" t="str">
        <f>_xlfn.CONCAT(C81, " @ ", D81)</f>
        <v>effortless-xlsx|Steps.IsBlockingControlOnReworkLoop @ close-05</v>
      </c>
      <c r="C81" s="3" t="s">
        <v>14739</v>
      </c>
      <c r="D81" s="3" t="s">
        <v>572</v>
      </c>
      <c r="E81" s="3" t="s">
        <v>14783</v>
      </c>
      <c r="F81" s="3" t="s">
        <v>14795</v>
      </c>
      <c r="G81" s="3" t="s">
        <v>14729</v>
      </c>
      <c r="H81" s="4" t="str">
        <f>_xlfn.IFNA(IF(((INDEX(FieldDisagreements!C2:C50, MATCH(C81,FieldDisagreements!A2:A50, 0))="")=TRUE),  "",  INDEX(FieldDisagreements!C2:C50, MATCH(C81,FieldDisagreements!A2:A50, 0))), "")</f>
        <v>effortless-xlsx</v>
      </c>
      <c r="I81" s="4" t="str">
        <f>_xlfn.IFNA(IF(((INDEX(FieldDisagreements!D2:D50, MATCH(C81,FieldDisagreements!A2:A50, 0))="")=TRUE),  "",  INDEX(FieldDisagreements!D2:D50, MATCH(C81,FieldDisagreements!A2:A50, 0))), "")</f>
        <v>Steps.IsBlockingControlOnReworkLoop</v>
      </c>
      <c r="J81" s="3" t="s">
        <v>1926</v>
      </c>
    </row>
    <row r="82">
      <c r="A82" s="3" t="s">
        <v>14871</v>
      </c>
      <c r="B82" s="4" t="str">
        <f>_xlfn.CONCAT(C82, " @ ", D82)</f>
        <v>effortless-xlsx|Steps.IsBlockingControlOnReworkLoop @ close-06</v>
      </c>
      <c r="C82" s="3" t="s">
        <v>14739</v>
      </c>
      <c r="D82" s="3" t="s">
        <v>576</v>
      </c>
      <c r="E82" s="3" t="s">
        <v>14783</v>
      </c>
      <c r="F82" s="3" t="s">
        <v>14795</v>
      </c>
      <c r="G82" s="3" t="s">
        <v>14729</v>
      </c>
      <c r="H82" s="4" t="str">
        <f>_xlfn.IFNA(IF(((INDEX(FieldDisagreements!C2:C50, MATCH(C82,FieldDisagreements!A2:A50, 0))="")=TRUE),  "",  INDEX(FieldDisagreements!C2:C50, MATCH(C82,FieldDisagreements!A2:A50, 0))), "")</f>
        <v>effortless-xlsx</v>
      </c>
      <c r="I82" s="4" t="str">
        <f>_xlfn.IFNA(IF(((INDEX(FieldDisagreements!D2:D50, MATCH(C82,FieldDisagreements!A2:A50, 0))="")=TRUE),  "",  INDEX(FieldDisagreements!D2:D50, MATCH(C82,FieldDisagreements!A2:A50, 0))), "")</f>
        <v>Steps.IsBlockingControlOnReworkLoop</v>
      </c>
      <c r="J82" s="3" t="s">
        <v>1926</v>
      </c>
    </row>
    <row r="83">
      <c r="A83" s="3" t="s">
        <v>14872</v>
      </c>
      <c r="B83" s="4" t="str">
        <f>_xlfn.CONCAT(C83, " @ ", D83)</f>
        <v>effortless-xlsx|Steps.IsBlockingControlOnReworkLoop @ close-07</v>
      </c>
      <c r="C83" s="3" t="s">
        <v>14739</v>
      </c>
      <c r="D83" s="3" t="s">
        <v>581</v>
      </c>
      <c r="E83" s="3" t="s">
        <v>14784</v>
      </c>
      <c r="F83" s="3" t="s">
        <v>14795</v>
      </c>
      <c r="G83" s="3" t="s">
        <v>14729</v>
      </c>
      <c r="H83" s="4" t="str">
        <f>_xlfn.IFNA(IF(((INDEX(FieldDisagreements!C2:C50, MATCH(C83,FieldDisagreements!A2:A50, 0))="")=TRUE),  "",  INDEX(FieldDisagreements!C2:C50, MATCH(C83,FieldDisagreements!A2:A50, 0))), "")</f>
        <v>effortless-xlsx</v>
      </c>
      <c r="I83" s="4" t="str">
        <f>_xlfn.IFNA(IF(((INDEX(FieldDisagreements!D2:D50, MATCH(C83,FieldDisagreements!A2:A50, 0))="")=TRUE),  "",  INDEX(FieldDisagreements!D2:D50, MATCH(C83,FieldDisagreements!A2:A50, 0))), "")</f>
        <v>Steps.IsBlockingControlOnReworkLoop</v>
      </c>
      <c r="J83" s="3" t="s">
        <v>1926</v>
      </c>
    </row>
    <row r="84">
      <c r="A84" s="3" t="s">
        <v>14873</v>
      </c>
      <c r="B84" s="4" t="str">
        <f>_xlfn.CONCAT(C84, " @ ", D84)</f>
        <v>effortless-xlsx|Steps.IsBlockingControlOnReworkLoop @ close-08</v>
      </c>
      <c r="C84" s="3" t="s">
        <v>14739</v>
      </c>
      <c r="D84" s="3" t="s">
        <v>586</v>
      </c>
      <c r="E84" s="3" t="s">
        <v>14784</v>
      </c>
      <c r="F84" s="3" t="s">
        <v>14795</v>
      </c>
      <c r="G84" s="3" t="s">
        <v>14729</v>
      </c>
      <c r="H84" s="4" t="str">
        <f>_xlfn.IFNA(IF(((INDEX(FieldDisagreements!C2:C50, MATCH(C84,FieldDisagreements!A2:A50, 0))="")=TRUE),  "",  INDEX(FieldDisagreements!C2:C50, MATCH(C84,FieldDisagreements!A2:A50, 0))), "")</f>
        <v>effortless-xlsx</v>
      </c>
      <c r="I84" s="4" t="str">
        <f>_xlfn.IFNA(IF(((INDEX(FieldDisagreements!D2:D50, MATCH(C84,FieldDisagreements!A2:A50, 0))="")=TRUE),  "",  INDEX(FieldDisagreements!D2:D50, MATCH(C84,FieldDisagreements!A2:A50, 0))), "")</f>
        <v>Steps.IsBlockingControlOnReworkLoop</v>
      </c>
      <c r="J84" s="3" t="s">
        <v>1926</v>
      </c>
    </row>
    <row r="85">
      <c r="A85" s="3" t="s">
        <v>14874</v>
      </c>
      <c r="B85" s="4" t="str">
        <f>_xlfn.CONCAT(C85, " @ ", D85)</f>
        <v>effortless-xlsx|Steps.IsBlockingControlOnReworkLoop @ policy-01</v>
      </c>
      <c r="C85" s="3" t="s">
        <v>14739</v>
      </c>
      <c r="D85" s="3" t="s">
        <v>591</v>
      </c>
      <c r="E85" s="3" t="s">
        <v>14784</v>
      </c>
      <c r="F85" s="3" t="s">
        <v>14795</v>
      </c>
      <c r="G85" s="3" t="s">
        <v>14729</v>
      </c>
      <c r="H85" s="4" t="str">
        <f>_xlfn.IFNA(IF(((INDEX(FieldDisagreements!C2:C50, MATCH(C85,FieldDisagreements!A2:A50, 0))="")=TRUE),  "",  INDEX(FieldDisagreements!C2:C50, MATCH(C85,FieldDisagreements!A2:A50, 0))), "")</f>
        <v>effortless-xlsx</v>
      </c>
      <c r="I85" s="4" t="str">
        <f>_xlfn.IFNA(IF(((INDEX(FieldDisagreements!D2:D50, MATCH(C85,FieldDisagreements!A2:A50, 0))="")=TRUE),  "",  INDEX(FieldDisagreements!D2:D50, MATCH(C85,FieldDisagreements!A2:A50, 0))), "")</f>
        <v>Steps.IsBlockingControlOnReworkLoop</v>
      </c>
      <c r="J85" s="3" t="s">
        <v>1926</v>
      </c>
    </row>
    <row r="86">
      <c r="A86" s="3" t="s">
        <v>14875</v>
      </c>
      <c r="B86" s="4" t="str">
        <f>_xlfn.CONCAT(C86, " @ ", D86)</f>
        <v>effortless-xlsx|Steps.IsBlockingControlOnReworkLoop @ policy-02</v>
      </c>
      <c r="C86" s="3" t="s">
        <v>14739</v>
      </c>
      <c r="D86" s="3" t="s">
        <v>594</v>
      </c>
      <c r="E86" s="3" t="s">
        <v>14784</v>
      </c>
      <c r="F86" s="3" t="s">
        <v>14795</v>
      </c>
      <c r="G86" s="3" t="s">
        <v>14729</v>
      </c>
      <c r="H86" s="4" t="str">
        <f>_xlfn.IFNA(IF(((INDEX(FieldDisagreements!C2:C50, MATCH(C86,FieldDisagreements!A2:A50, 0))="")=TRUE),  "",  INDEX(FieldDisagreements!C2:C50, MATCH(C86,FieldDisagreements!A2:A50, 0))), "")</f>
        <v>effortless-xlsx</v>
      </c>
      <c r="I86" s="4" t="str">
        <f>_xlfn.IFNA(IF(((INDEX(FieldDisagreements!D2:D50, MATCH(C86,FieldDisagreements!A2:A50, 0))="")=TRUE),  "",  INDEX(FieldDisagreements!D2:D50, MATCH(C86,FieldDisagreements!A2:A50, 0))), "")</f>
        <v>Steps.IsBlockingControlOnReworkLoop</v>
      </c>
      <c r="J86" s="3" t="s">
        <v>1926</v>
      </c>
    </row>
    <row r="87">
      <c r="A87" s="3" t="s">
        <v>14876</v>
      </c>
      <c r="B87" s="4" t="str">
        <f>_xlfn.CONCAT(C87, " @ ", D87)</f>
        <v>effortless-xlsx|Steps.IsBlockingControlOnReworkLoop @ policy-03</v>
      </c>
      <c r="C87" s="3" t="s">
        <v>14739</v>
      </c>
      <c r="D87" s="3" t="s">
        <v>597</v>
      </c>
      <c r="E87" s="3" t="s">
        <v>14783</v>
      </c>
      <c r="F87" s="3" t="s">
        <v>14795</v>
      </c>
      <c r="G87" s="3" t="s">
        <v>14729</v>
      </c>
      <c r="H87" s="4" t="str">
        <f>_xlfn.IFNA(IF(((INDEX(FieldDisagreements!C2:C50, MATCH(C87,FieldDisagreements!A2:A50, 0))="")=TRUE),  "",  INDEX(FieldDisagreements!C2:C50, MATCH(C87,FieldDisagreements!A2:A50, 0))), "")</f>
        <v>effortless-xlsx</v>
      </c>
      <c r="I87" s="4" t="str">
        <f>_xlfn.IFNA(IF(((INDEX(FieldDisagreements!D2:D50, MATCH(C87,FieldDisagreements!A2:A50, 0))="")=TRUE),  "",  INDEX(FieldDisagreements!D2:D50, MATCH(C87,FieldDisagreements!A2:A50, 0))), "")</f>
        <v>Steps.IsBlockingControlOnReworkLoop</v>
      </c>
      <c r="J87" s="3" t="s">
        <v>1926</v>
      </c>
    </row>
    <row r="88">
      <c r="A88" s="3" t="s">
        <v>14877</v>
      </c>
      <c r="B88" s="4" t="str">
        <f>_xlfn.CONCAT(C88, " @ ", D88)</f>
        <v>effortless-xlsx|Steps.IsBlockingControlOnReworkLoop @ policy-04</v>
      </c>
      <c r="C88" s="3" t="s">
        <v>14739</v>
      </c>
      <c r="D88" s="3" t="s">
        <v>600</v>
      </c>
      <c r="E88" s="3" t="s">
        <v>14783</v>
      </c>
      <c r="F88" s="3" t="s">
        <v>14795</v>
      </c>
      <c r="G88" s="3" t="s">
        <v>14729</v>
      </c>
      <c r="H88" s="4" t="str">
        <f>_xlfn.IFNA(IF(((INDEX(FieldDisagreements!C2:C50, MATCH(C88,FieldDisagreements!A2:A50, 0))="")=TRUE),  "",  INDEX(FieldDisagreements!C2:C50, MATCH(C88,FieldDisagreements!A2:A50, 0))), "")</f>
        <v>effortless-xlsx</v>
      </c>
      <c r="I88" s="4" t="str">
        <f>_xlfn.IFNA(IF(((INDEX(FieldDisagreements!D2:D50, MATCH(C88,FieldDisagreements!A2:A50, 0))="")=TRUE),  "",  INDEX(FieldDisagreements!D2:D50, MATCH(C88,FieldDisagreements!A2:A50, 0))), "")</f>
        <v>Steps.IsBlockingControlOnReworkLoop</v>
      </c>
      <c r="J88" s="3" t="s">
        <v>1926</v>
      </c>
    </row>
    <row r="89">
      <c r="A89" s="3" t="s">
        <v>14878</v>
      </c>
      <c r="B89" s="4" t="str">
        <f>_xlfn.CONCAT(C89, " @ ", D89)</f>
        <v>effortless-xlsx|Steps.IsBlockingControlOnReworkLoop @ policy-05</v>
      </c>
      <c r="C89" s="3" t="s">
        <v>14739</v>
      </c>
      <c r="D89" s="3" t="s">
        <v>604</v>
      </c>
      <c r="E89" s="3" t="s">
        <v>14784</v>
      </c>
      <c r="F89" s="3" t="s">
        <v>14795</v>
      </c>
      <c r="G89" s="3" t="s">
        <v>14729</v>
      </c>
      <c r="H89" s="4" t="str">
        <f>_xlfn.IFNA(IF(((INDEX(FieldDisagreements!C2:C50, MATCH(C89,FieldDisagreements!A2:A50, 0))="")=TRUE),  "",  INDEX(FieldDisagreements!C2:C50, MATCH(C89,FieldDisagreements!A2:A50, 0))), "")</f>
        <v>effortless-xlsx</v>
      </c>
      <c r="I89" s="4" t="str">
        <f>_xlfn.IFNA(IF(((INDEX(FieldDisagreements!D2:D50, MATCH(C89,FieldDisagreements!A2:A50, 0))="")=TRUE),  "",  INDEX(FieldDisagreements!D2:D50, MATCH(C89,FieldDisagreements!A2:A50, 0))), "")</f>
        <v>Steps.IsBlockingControlOnReworkLoop</v>
      </c>
      <c r="J89" s="3" t="s">
        <v>1926</v>
      </c>
    </row>
    <row r="90">
      <c r="A90" s="3" t="s">
        <v>14879</v>
      </c>
      <c r="B90" s="4" t="str">
        <f>_xlfn.CONCAT(C90, " @ ", D90)</f>
        <v>effortless-xlsx|Steps.IsBlockingControlOnReworkLoop @ policy-06</v>
      </c>
      <c r="C90" s="3" t="s">
        <v>14739</v>
      </c>
      <c r="D90" s="3" t="s">
        <v>607</v>
      </c>
      <c r="E90" s="3" t="s">
        <v>14783</v>
      </c>
      <c r="F90" s="3" t="s">
        <v>14795</v>
      </c>
      <c r="G90" s="3" t="s">
        <v>14729</v>
      </c>
      <c r="H90" s="4" t="str">
        <f>_xlfn.IFNA(IF(((INDEX(FieldDisagreements!C2:C50, MATCH(C90,FieldDisagreements!A2:A50, 0))="")=TRUE),  "",  INDEX(FieldDisagreements!C2:C50, MATCH(C90,FieldDisagreements!A2:A50, 0))), "")</f>
        <v>effortless-xlsx</v>
      </c>
      <c r="I90" s="4" t="str">
        <f>_xlfn.IFNA(IF(((INDEX(FieldDisagreements!D2:D50, MATCH(C90,FieldDisagreements!A2:A50, 0))="")=TRUE),  "",  INDEX(FieldDisagreements!D2:D50, MATCH(C90,FieldDisagreements!A2:A50, 0))), "")</f>
        <v>Steps.IsBlockingControlOnReworkLoop</v>
      </c>
      <c r="J90" s="3" t="s">
        <v>1926</v>
      </c>
    </row>
    <row r="91">
      <c r="A91" s="3" t="s">
        <v>14880</v>
      </c>
      <c r="B91" s="4" t="str">
        <f>_xlfn.CONCAT(C91, " @ ", D91)</f>
        <v>effortless-xlsx|Steps.IsBlockingControlOnReworkLoop @ policy-07</v>
      </c>
      <c r="C91" s="3" t="s">
        <v>14739</v>
      </c>
      <c r="D91" s="3" t="s">
        <v>610</v>
      </c>
      <c r="E91" s="3" t="s">
        <v>14783</v>
      </c>
      <c r="F91" s="3" t="s">
        <v>14795</v>
      </c>
      <c r="G91" s="3" t="s">
        <v>14729</v>
      </c>
      <c r="H91" s="4" t="str">
        <f>_xlfn.IFNA(IF(((INDEX(FieldDisagreements!C2:C50, MATCH(C91,FieldDisagreements!A2:A50, 0))="")=TRUE),  "",  INDEX(FieldDisagreements!C2:C50, MATCH(C91,FieldDisagreements!A2:A50, 0))), "")</f>
        <v>effortless-xlsx</v>
      </c>
      <c r="I91" s="4" t="str">
        <f>_xlfn.IFNA(IF(((INDEX(FieldDisagreements!D2:D50, MATCH(C91,FieldDisagreements!A2:A50, 0))="")=TRUE),  "",  INDEX(FieldDisagreements!D2:D50, MATCH(C91,FieldDisagreements!A2:A50, 0))), "")</f>
        <v>Steps.IsBlockingControlOnReworkLoop</v>
      </c>
      <c r="J91" s="3" t="s">
        <v>1926</v>
      </c>
    </row>
    <row r="92">
      <c r="A92" s="3" t="s">
        <v>14881</v>
      </c>
      <c r="B92" s="4" t="str">
        <f>_xlfn.CONCAT(C92, " @ ", D92)</f>
        <v>effortless-xlsx|Steps.IsBlockingControlOnReworkLoop @ policy-08</v>
      </c>
      <c r="C92" s="3" t="s">
        <v>14739</v>
      </c>
      <c r="D92" s="3" t="s">
        <v>613</v>
      </c>
      <c r="E92" s="3" t="s">
        <v>14784</v>
      </c>
      <c r="F92" s="3" t="s">
        <v>14795</v>
      </c>
      <c r="G92" s="3" t="s">
        <v>14729</v>
      </c>
      <c r="H92" s="4" t="str">
        <f>_xlfn.IFNA(IF(((INDEX(FieldDisagreements!C2:C50, MATCH(C92,FieldDisagreements!A2:A50, 0))="")=TRUE),  "",  INDEX(FieldDisagreements!C2:C50, MATCH(C92,FieldDisagreements!A2:A50, 0))), "")</f>
        <v>effortless-xlsx</v>
      </c>
      <c r="I92" s="4" t="str">
        <f>_xlfn.IFNA(IF(((INDEX(FieldDisagreements!D2:D50, MATCH(C92,FieldDisagreements!A2:A50, 0))="")=TRUE),  "",  INDEX(FieldDisagreements!D2:D50, MATCH(C92,FieldDisagreements!A2:A50, 0))), "")</f>
        <v>Steps.IsBlockingControlOnReworkLoop</v>
      </c>
      <c r="J92" s="3" t="s">
        <v>1926</v>
      </c>
    </row>
    <row r="93">
      <c r="A93" s="3" t="s">
        <v>14882</v>
      </c>
      <c r="B93" s="4" t="str">
        <f>_xlfn.CONCAT(C93, " @ ", D93)</f>
        <v>effortless-xlsx|Steps.IsBlockingControlOnReworkLoop @ policy-09</v>
      </c>
      <c r="C93" s="3" t="s">
        <v>14739</v>
      </c>
      <c r="D93" s="3" t="s">
        <v>617</v>
      </c>
      <c r="E93" s="3" t="s">
        <v>14784</v>
      </c>
      <c r="F93" s="3" t="s">
        <v>14795</v>
      </c>
      <c r="G93" s="3" t="s">
        <v>14729</v>
      </c>
      <c r="H93" s="4" t="str">
        <f>_xlfn.IFNA(IF(((INDEX(FieldDisagreements!C2:C50, MATCH(C93,FieldDisagreements!A2:A50, 0))="")=TRUE),  "",  INDEX(FieldDisagreements!C2:C50, MATCH(C93,FieldDisagreements!A2:A50, 0))), "")</f>
        <v>effortless-xlsx</v>
      </c>
      <c r="I93" s="4" t="str">
        <f>_xlfn.IFNA(IF(((INDEX(FieldDisagreements!D2:D50, MATCH(C93,FieldDisagreements!A2:A50, 0))="")=TRUE),  "",  INDEX(FieldDisagreements!D2:D50, MATCH(C93,FieldDisagreements!A2:A50, 0))), "")</f>
        <v>Steps.IsBlockingControlOnReworkLoop</v>
      </c>
      <c r="J93" s="3" t="s">
        <v>1926</v>
      </c>
    </row>
    <row r="94">
      <c r="A94" s="3" t="s">
        <v>14883</v>
      </c>
      <c r="B94" s="4" t="str">
        <f>_xlfn.CONCAT(C94, " @ ", D94)</f>
        <v>effortless-xlsx|Steps.VersionEntryStepId @ close-01</v>
      </c>
      <c r="C94" s="3" t="s">
        <v>14740</v>
      </c>
      <c r="D94" s="3" t="s">
        <v>548</v>
      </c>
      <c r="E94" s="3" t="s">
        <v>14790</v>
      </c>
      <c r="F94" s="3" t="s">
        <v>955</v>
      </c>
      <c r="G94" s="3" t="s">
        <v>14729</v>
      </c>
      <c r="H94" s="4" t="str">
        <f>_xlfn.IFNA(IF(((INDEX(FieldDisagreements!C2:C50, MATCH(C94,FieldDisagreements!A2:A50, 0))="")=TRUE),  "",  INDEX(FieldDisagreements!C2:C50, MATCH(C94,FieldDisagreements!A2:A50, 0))), "")</f>
        <v>effortless-xlsx</v>
      </c>
      <c r="I94" s="4" t="str">
        <f>_xlfn.IFNA(IF(((INDEX(FieldDisagreements!D2:D50, MATCH(C94,FieldDisagreements!A2:A50, 0))="")=TRUE),  "",  INDEX(FieldDisagreements!D2:D50, MATCH(C94,FieldDisagreements!A2:A50, 0))), "")</f>
        <v>Steps.VersionEntryStepId</v>
      </c>
      <c r="J94" s="3" t="s">
        <v>1926</v>
      </c>
    </row>
    <row r="95">
      <c r="A95" s="3" t="s">
        <v>14884</v>
      </c>
      <c r="B95" s="4" t="str">
        <f>_xlfn.CONCAT(C95, " @ ", D95)</f>
        <v>effortless-xlsx|Steps.VersionEntryStepId @ close-02</v>
      </c>
      <c r="C95" s="3" t="s">
        <v>14740</v>
      </c>
      <c r="D95" s="3" t="s">
        <v>556</v>
      </c>
      <c r="E95" s="3" t="s">
        <v>14790</v>
      </c>
      <c r="F95" s="3" t="s">
        <v>955</v>
      </c>
      <c r="G95" s="3" t="s">
        <v>14729</v>
      </c>
      <c r="H95" s="4" t="str">
        <f>_xlfn.IFNA(IF(((INDEX(FieldDisagreements!C2:C50, MATCH(C95,FieldDisagreements!A2:A50, 0))="")=TRUE),  "",  INDEX(FieldDisagreements!C2:C50, MATCH(C95,FieldDisagreements!A2:A50, 0))), "")</f>
        <v>effortless-xlsx</v>
      </c>
      <c r="I95" s="4" t="str">
        <f>_xlfn.IFNA(IF(((INDEX(FieldDisagreements!D2:D50, MATCH(C95,FieldDisagreements!A2:A50, 0))="")=TRUE),  "",  INDEX(FieldDisagreements!D2:D50, MATCH(C95,FieldDisagreements!A2:A50, 0))), "")</f>
        <v>Steps.VersionEntryStepId</v>
      </c>
      <c r="J95" s="3" t="s">
        <v>1926</v>
      </c>
    </row>
    <row r="96">
      <c r="A96" s="3" t="s">
        <v>14885</v>
      </c>
      <c r="B96" s="4" t="str">
        <f>_xlfn.CONCAT(C96, " @ ", D96)</f>
        <v>effortless-xlsx|Steps.VersionEntryStepId @ close-03</v>
      </c>
      <c r="C96" s="3" t="s">
        <v>14740</v>
      </c>
      <c r="D96" s="3" t="s">
        <v>560</v>
      </c>
      <c r="E96" s="3" t="s">
        <v>14790</v>
      </c>
      <c r="F96" s="3" t="s">
        <v>955</v>
      </c>
      <c r="G96" s="3" t="s">
        <v>14729</v>
      </c>
      <c r="H96" s="4" t="str">
        <f>_xlfn.IFNA(IF(((INDEX(FieldDisagreements!C2:C50, MATCH(C96,FieldDisagreements!A2:A50, 0))="")=TRUE),  "",  INDEX(FieldDisagreements!C2:C50, MATCH(C96,FieldDisagreements!A2:A50, 0))), "")</f>
        <v>effortless-xlsx</v>
      </c>
      <c r="I96" s="4" t="str">
        <f>_xlfn.IFNA(IF(((INDEX(FieldDisagreements!D2:D50, MATCH(C96,FieldDisagreements!A2:A50, 0))="")=TRUE),  "",  INDEX(FieldDisagreements!D2:D50, MATCH(C96,FieldDisagreements!A2:A50, 0))), "")</f>
        <v>Steps.VersionEntryStepId</v>
      </c>
      <c r="J96" s="3" t="s">
        <v>1926</v>
      </c>
    </row>
    <row r="97">
      <c r="A97" s="3" t="s">
        <v>14886</v>
      </c>
      <c r="B97" s="4" t="str">
        <f>_xlfn.CONCAT(C97, " @ ", D97)</f>
        <v>effortless-xlsx|Steps.VersionEntryStepId @ close-04</v>
      </c>
      <c r="C97" s="3" t="s">
        <v>14740</v>
      </c>
      <c r="D97" s="3" t="s">
        <v>567</v>
      </c>
      <c r="E97" s="3" t="s">
        <v>14790</v>
      </c>
      <c r="F97" s="3" t="s">
        <v>955</v>
      </c>
      <c r="G97" s="3" t="s">
        <v>14729</v>
      </c>
      <c r="H97" s="4" t="str">
        <f>_xlfn.IFNA(IF(((INDEX(FieldDisagreements!C2:C50, MATCH(C97,FieldDisagreements!A2:A50, 0))="")=TRUE),  "",  INDEX(FieldDisagreements!C2:C50, MATCH(C97,FieldDisagreements!A2:A50, 0))), "")</f>
        <v>effortless-xlsx</v>
      </c>
      <c r="I97" s="4" t="str">
        <f>_xlfn.IFNA(IF(((INDEX(FieldDisagreements!D2:D50, MATCH(C97,FieldDisagreements!A2:A50, 0))="")=TRUE),  "",  INDEX(FieldDisagreements!D2:D50, MATCH(C97,FieldDisagreements!A2:A50, 0))), "")</f>
        <v>Steps.VersionEntryStepId</v>
      </c>
      <c r="J97" s="3" t="s">
        <v>1926</v>
      </c>
    </row>
    <row r="98">
      <c r="A98" s="3" t="s">
        <v>14887</v>
      </c>
      <c r="B98" s="4" t="str">
        <f>_xlfn.CONCAT(C98, " @ ", D98)</f>
        <v>effortless-xlsx|Steps.VersionEntryStepId @ close-05</v>
      </c>
      <c r="C98" s="3" t="s">
        <v>14740</v>
      </c>
      <c r="D98" s="3" t="s">
        <v>572</v>
      </c>
      <c r="E98" s="3" t="s">
        <v>14790</v>
      </c>
      <c r="F98" s="3" t="s">
        <v>955</v>
      </c>
      <c r="G98" s="3" t="s">
        <v>14729</v>
      </c>
      <c r="H98" s="4" t="str">
        <f>_xlfn.IFNA(IF(((INDEX(FieldDisagreements!C2:C50, MATCH(C98,FieldDisagreements!A2:A50, 0))="")=TRUE),  "",  INDEX(FieldDisagreements!C2:C50, MATCH(C98,FieldDisagreements!A2:A50, 0))), "")</f>
        <v>effortless-xlsx</v>
      </c>
      <c r="I98" s="4" t="str">
        <f>_xlfn.IFNA(IF(((INDEX(FieldDisagreements!D2:D50, MATCH(C98,FieldDisagreements!A2:A50, 0))="")=TRUE),  "",  INDEX(FieldDisagreements!D2:D50, MATCH(C98,FieldDisagreements!A2:A50, 0))), "")</f>
        <v>Steps.VersionEntryStepId</v>
      </c>
      <c r="J98" s="3" t="s">
        <v>1926</v>
      </c>
    </row>
    <row r="99">
      <c r="A99" s="3" t="s">
        <v>14888</v>
      </c>
      <c r="B99" s="4" t="str">
        <f>_xlfn.CONCAT(C99, " @ ", D99)</f>
        <v>effortless-xlsx|Steps.VersionEntryStepId @ close-06</v>
      </c>
      <c r="C99" s="3" t="s">
        <v>14740</v>
      </c>
      <c r="D99" s="3" t="s">
        <v>576</v>
      </c>
      <c r="E99" s="3" t="s">
        <v>14790</v>
      </c>
      <c r="F99" s="3" t="s">
        <v>955</v>
      </c>
      <c r="G99" s="3" t="s">
        <v>14729</v>
      </c>
      <c r="H99" s="4" t="str">
        <f>_xlfn.IFNA(IF(((INDEX(FieldDisagreements!C2:C50, MATCH(C99,FieldDisagreements!A2:A50, 0))="")=TRUE),  "",  INDEX(FieldDisagreements!C2:C50, MATCH(C99,FieldDisagreements!A2:A50, 0))), "")</f>
        <v>effortless-xlsx</v>
      </c>
      <c r="I99" s="4" t="str">
        <f>_xlfn.IFNA(IF(((INDEX(FieldDisagreements!D2:D50, MATCH(C99,FieldDisagreements!A2:A50, 0))="")=TRUE),  "",  INDEX(FieldDisagreements!D2:D50, MATCH(C99,FieldDisagreements!A2:A50, 0))), "")</f>
        <v>Steps.VersionEntryStepId</v>
      </c>
      <c r="J99" s="3" t="s">
        <v>1926</v>
      </c>
    </row>
    <row r="100">
      <c r="A100" s="3" t="s">
        <v>14889</v>
      </c>
      <c r="B100" s="4" t="str">
        <f>_xlfn.CONCAT(C100, " @ ", D100)</f>
        <v>effortless-xlsx|Steps.VersionEntryStepId @ close-07</v>
      </c>
      <c r="C100" s="3" t="s">
        <v>14740</v>
      </c>
      <c r="D100" s="3" t="s">
        <v>581</v>
      </c>
      <c r="E100" s="3" t="s">
        <v>14790</v>
      </c>
      <c r="F100" s="3" t="s">
        <v>955</v>
      </c>
      <c r="G100" s="3" t="s">
        <v>14729</v>
      </c>
      <c r="H100" s="4" t="str">
        <f>_xlfn.IFNA(IF(((INDEX(FieldDisagreements!C2:C50, MATCH(C100,FieldDisagreements!A2:A50, 0))="")=TRUE),  "",  INDEX(FieldDisagreements!C2:C50, MATCH(C100,FieldDisagreements!A2:A50, 0))), "")</f>
        <v>effortless-xlsx</v>
      </c>
      <c r="I100" s="4" t="str">
        <f>_xlfn.IFNA(IF(((INDEX(FieldDisagreements!D2:D50, MATCH(C100,FieldDisagreements!A2:A50, 0))="")=TRUE),  "",  INDEX(FieldDisagreements!D2:D50, MATCH(C100,FieldDisagreements!A2:A50, 0))), "")</f>
        <v>Steps.VersionEntryStepId</v>
      </c>
      <c r="J100" s="3" t="s">
        <v>1926</v>
      </c>
    </row>
    <row r="101">
      <c r="A101" s="3" t="s">
        <v>14890</v>
      </c>
      <c r="B101" s="4" t="str">
        <f>_xlfn.CONCAT(C101, " @ ", D101)</f>
        <v>effortless-xlsx|Steps.VersionEntryStepId @ close-08</v>
      </c>
      <c r="C101" s="3" t="s">
        <v>14740</v>
      </c>
      <c r="D101" s="3" t="s">
        <v>586</v>
      </c>
      <c r="E101" s="3" t="s">
        <v>14790</v>
      </c>
      <c r="F101" s="3" t="s">
        <v>955</v>
      </c>
      <c r="G101" s="3" t="s">
        <v>14729</v>
      </c>
      <c r="H101" s="4" t="str">
        <f>_xlfn.IFNA(IF(((INDEX(FieldDisagreements!C2:C50, MATCH(C101,FieldDisagreements!A2:A50, 0))="")=TRUE),  "",  INDEX(FieldDisagreements!C2:C50, MATCH(C101,FieldDisagreements!A2:A50, 0))), "")</f>
        <v>effortless-xlsx</v>
      </c>
      <c r="I101" s="4" t="str">
        <f>_xlfn.IFNA(IF(((INDEX(FieldDisagreements!D2:D50, MATCH(C101,FieldDisagreements!A2:A50, 0))="")=TRUE),  "",  INDEX(FieldDisagreements!D2:D50, MATCH(C101,FieldDisagreements!A2:A50, 0))), "")</f>
        <v>Steps.VersionEntryStepId</v>
      </c>
      <c r="J101" s="3" t="s">
        <v>1926</v>
      </c>
    </row>
    <row r="102">
      <c r="A102" s="3" t="s">
        <v>14891</v>
      </c>
      <c r="B102" s="4" t="str">
        <f>_xlfn.CONCAT(C102, " @ ", D102)</f>
        <v>effortless-xlsx|Steps.VersionEntryStepId @ policy-01</v>
      </c>
      <c r="C102" s="3" t="s">
        <v>14740</v>
      </c>
      <c r="D102" s="3" t="s">
        <v>591</v>
      </c>
      <c r="E102" s="3" t="s">
        <v>14792</v>
      </c>
      <c r="F102" s="3" t="s">
        <v>955</v>
      </c>
      <c r="G102" s="3" t="s">
        <v>14729</v>
      </c>
      <c r="H102" s="4" t="str">
        <f>_xlfn.IFNA(IF(((INDEX(FieldDisagreements!C2:C50, MATCH(C102,FieldDisagreements!A2:A50, 0))="")=TRUE),  "",  INDEX(FieldDisagreements!C2:C50, MATCH(C102,FieldDisagreements!A2:A50, 0))), "")</f>
        <v>effortless-xlsx</v>
      </c>
      <c r="I102" s="4" t="str">
        <f>_xlfn.IFNA(IF(((INDEX(FieldDisagreements!D2:D50, MATCH(C102,FieldDisagreements!A2:A50, 0))="")=TRUE),  "",  INDEX(FieldDisagreements!D2:D50, MATCH(C102,FieldDisagreements!A2:A50, 0))), "")</f>
        <v>Steps.VersionEntryStepId</v>
      </c>
      <c r="J102" s="3" t="s">
        <v>1926</v>
      </c>
    </row>
    <row r="103">
      <c r="A103" s="3" t="s">
        <v>14892</v>
      </c>
      <c r="B103" s="4" t="str">
        <f>_xlfn.CONCAT(C103, " @ ", D103)</f>
        <v>effortless-xlsx|Steps.VersionEntryStepId @ policy-02</v>
      </c>
      <c r="C103" s="3" t="s">
        <v>14740</v>
      </c>
      <c r="D103" s="3" t="s">
        <v>594</v>
      </c>
      <c r="E103" s="3" t="s">
        <v>14792</v>
      </c>
      <c r="F103" s="3" t="s">
        <v>955</v>
      </c>
      <c r="G103" s="3" t="s">
        <v>14729</v>
      </c>
      <c r="H103" s="4" t="str">
        <f>_xlfn.IFNA(IF(((INDEX(FieldDisagreements!C2:C50, MATCH(C103,FieldDisagreements!A2:A50, 0))="")=TRUE),  "",  INDEX(FieldDisagreements!C2:C50, MATCH(C103,FieldDisagreements!A2:A50, 0))), "")</f>
        <v>effortless-xlsx</v>
      </c>
      <c r="I103" s="4" t="str">
        <f>_xlfn.IFNA(IF(((INDEX(FieldDisagreements!D2:D50, MATCH(C103,FieldDisagreements!A2:A50, 0))="")=TRUE),  "",  INDEX(FieldDisagreements!D2:D50, MATCH(C103,FieldDisagreements!A2:A50, 0))), "")</f>
        <v>Steps.VersionEntryStepId</v>
      </c>
      <c r="J103" s="3" t="s">
        <v>1926</v>
      </c>
    </row>
    <row r="104">
      <c r="A104" s="3" t="s">
        <v>14893</v>
      </c>
      <c r="B104" s="4" t="str">
        <f>_xlfn.CONCAT(C104, " @ ", D104)</f>
        <v>effortless-xlsx|Steps.VersionEntryStepId @ policy-03</v>
      </c>
      <c r="C104" s="3" t="s">
        <v>14740</v>
      </c>
      <c r="D104" s="3" t="s">
        <v>597</v>
      </c>
      <c r="E104" s="3" t="s">
        <v>14792</v>
      </c>
      <c r="F104" s="3" t="s">
        <v>955</v>
      </c>
      <c r="G104" s="3" t="s">
        <v>14729</v>
      </c>
      <c r="H104" s="4" t="str">
        <f>_xlfn.IFNA(IF(((INDEX(FieldDisagreements!C2:C50, MATCH(C104,FieldDisagreements!A2:A50, 0))="")=TRUE),  "",  INDEX(FieldDisagreements!C2:C50, MATCH(C104,FieldDisagreements!A2:A50, 0))), "")</f>
        <v>effortless-xlsx</v>
      </c>
      <c r="I104" s="4" t="str">
        <f>_xlfn.IFNA(IF(((INDEX(FieldDisagreements!D2:D50, MATCH(C104,FieldDisagreements!A2:A50, 0))="")=TRUE),  "",  INDEX(FieldDisagreements!D2:D50, MATCH(C104,FieldDisagreements!A2:A50, 0))), "")</f>
        <v>Steps.VersionEntryStepId</v>
      </c>
      <c r="J104" s="3" t="s">
        <v>1926</v>
      </c>
    </row>
    <row r="105">
      <c r="A105" s="3" t="s">
        <v>14894</v>
      </c>
      <c r="B105" s="4" t="str">
        <f>_xlfn.CONCAT(C105, " @ ", D105)</f>
        <v>effortless-xlsx|Steps.VersionEntryStepId @ policy-04</v>
      </c>
      <c r="C105" s="3" t="s">
        <v>14740</v>
      </c>
      <c r="D105" s="3" t="s">
        <v>600</v>
      </c>
      <c r="E105" s="3" t="s">
        <v>14792</v>
      </c>
      <c r="F105" s="3" t="s">
        <v>955</v>
      </c>
      <c r="G105" s="3" t="s">
        <v>14729</v>
      </c>
      <c r="H105" s="4" t="str">
        <f>_xlfn.IFNA(IF(((INDEX(FieldDisagreements!C2:C50, MATCH(C105,FieldDisagreements!A2:A50, 0))="")=TRUE),  "",  INDEX(FieldDisagreements!C2:C50, MATCH(C105,FieldDisagreements!A2:A50, 0))), "")</f>
        <v>effortless-xlsx</v>
      </c>
      <c r="I105" s="4" t="str">
        <f>_xlfn.IFNA(IF(((INDEX(FieldDisagreements!D2:D50, MATCH(C105,FieldDisagreements!A2:A50, 0))="")=TRUE),  "",  INDEX(FieldDisagreements!D2:D50, MATCH(C105,FieldDisagreements!A2:A50, 0))), "")</f>
        <v>Steps.VersionEntryStepId</v>
      </c>
      <c r="J105" s="3" t="s">
        <v>1926</v>
      </c>
    </row>
    <row r="106">
      <c r="A106" s="3" t="s">
        <v>14895</v>
      </c>
      <c r="B106" s="4" t="str">
        <f>_xlfn.CONCAT(C106, " @ ", D106)</f>
        <v>effortless-xlsx|Steps.VersionEntryStepId @ policy-05</v>
      </c>
      <c r="C106" s="3" t="s">
        <v>14740</v>
      </c>
      <c r="D106" s="3" t="s">
        <v>604</v>
      </c>
      <c r="E106" s="3" t="s">
        <v>14792</v>
      </c>
      <c r="F106" s="3" t="s">
        <v>955</v>
      </c>
      <c r="G106" s="3" t="s">
        <v>14729</v>
      </c>
      <c r="H106" s="4" t="str">
        <f>_xlfn.IFNA(IF(((INDEX(FieldDisagreements!C2:C50, MATCH(C106,FieldDisagreements!A2:A50, 0))="")=TRUE),  "",  INDEX(FieldDisagreements!C2:C50, MATCH(C106,FieldDisagreements!A2:A50, 0))), "")</f>
        <v>effortless-xlsx</v>
      </c>
      <c r="I106" s="4" t="str">
        <f>_xlfn.IFNA(IF(((INDEX(FieldDisagreements!D2:D50, MATCH(C106,FieldDisagreements!A2:A50, 0))="")=TRUE),  "",  INDEX(FieldDisagreements!D2:D50, MATCH(C106,FieldDisagreements!A2:A50, 0))), "")</f>
        <v>Steps.VersionEntryStepId</v>
      </c>
      <c r="J106" s="3" t="s">
        <v>1926</v>
      </c>
    </row>
    <row r="107">
      <c r="A107" s="3" t="s">
        <v>14896</v>
      </c>
      <c r="B107" s="4" t="str">
        <f>_xlfn.CONCAT(C107, " @ ", D107)</f>
        <v>effortless-xlsx|Steps.VersionEntryStepId @ policy-06</v>
      </c>
      <c r="C107" s="3" t="s">
        <v>14740</v>
      </c>
      <c r="D107" s="3" t="s">
        <v>607</v>
      </c>
      <c r="E107" s="3" t="s">
        <v>14792</v>
      </c>
      <c r="F107" s="3" t="s">
        <v>955</v>
      </c>
      <c r="G107" s="3" t="s">
        <v>14729</v>
      </c>
      <c r="H107" s="4" t="str">
        <f>_xlfn.IFNA(IF(((INDEX(FieldDisagreements!C2:C50, MATCH(C107,FieldDisagreements!A2:A50, 0))="")=TRUE),  "",  INDEX(FieldDisagreements!C2:C50, MATCH(C107,FieldDisagreements!A2:A50, 0))), "")</f>
        <v>effortless-xlsx</v>
      </c>
      <c r="I107" s="4" t="str">
        <f>_xlfn.IFNA(IF(((INDEX(FieldDisagreements!D2:D50, MATCH(C107,FieldDisagreements!A2:A50, 0))="")=TRUE),  "",  INDEX(FieldDisagreements!D2:D50, MATCH(C107,FieldDisagreements!A2:A50, 0))), "")</f>
        <v>Steps.VersionEntryStepId</v>
      </c>
      <c r="J107" s="3" t="s">
        <v>1926</v>
      </c>
    </row>
    <row r="108">
      <c r="A108" s="3" t="s">
        <v>14897</v>
      </c>
      <c r="B108" s="4" t="str">
        <f>_xlfn.CONCAT(C108, " @ ", D108)</f>
        <v>effortless-xlsx|Steps.VersionEntryStepId @ policy-07</v>
      </c>
      <c r="C108" s="3" t="s">
        <v>14740</v>
      </c>
      <c r="D108" s="3" t="s">
        <v>610</v>
      </c>
      <c r="E108" s="3" t="s">
        <v>14792</v>
      </c>
      <c r="F108" s="3" t="s">
        <v>955</v>
      </c>
      <c r="G108" s="3" t="s">
        <v>14729</v>
      </c>
      <c r="H108" s="4" t="str">
        <f>_xlfn.IFNA(IF(((INDEX(FieldDisagreements!C2:C50, MATCH(C108,FieldDisagreements!A2:A50, 0))="")=TRUE),  "",  INDEX(FieldDisagreements!C2:C50, MATCH(C108,FieldDisagreements!A2:A50, 0))), "")</f>
        <v>effortless-xlsx</v>
      </c>
      <c r="I108" s="4" t="str">
        <f>_xlfn.IFNA(IF(((INDEX(FieldDisagreements!D2:D50, MATCH(C108,FieldDisagreements!A2:A50, 0))="")=TRUE),  "",  INDEX(FieldDisagreements!D2:D50, MATCH(C108,FieldDisagreements!A2:A50, 0))), "")</f>
        <v>Steps.VersionEntryStepId</v>
      </c>
      <c r="J108" s="3" t="s">
        <v>1926</v>
      </c>
    </row>
    <row r="109">
      <c r="A109" s="3" t="s">
        <v>14898</v>
      </c>
      <c r="B109" s="4" t="str">
        <f>_xlfn.CONCAT(C109, " @ ", D109)</f>
        <v>effortless-xlsx|Steps.VersionEntryStepId @ policy-08</v>
      </c>
      <c r="C109" s="3" t="s">
        <v>14740</v>
      </c>
      <c r="D109" s="3" t="s">
        <v>613</v>
      </c>
      <c r="E109" s="3" t="s">
        <v>14792</v>
      </c>
      <c r="F109" s="3" t="s">
        <v>955</v>
      </c>
      <c r="G109" s="3" t="s">
        <v>14729</v>
      </c>
      <c r="H109" s="4" t="str">
        <f>_xlfn.IFNA(IF(((INDEX(FieldDisagreements!C2:C50, MATCH(C109,FieldDisagreements!A2:A50, 0))="")=TRUE),  "",  INDEX(FieldDisagreements!C2:C50, MATCH(C109,FieldDisagreements!A2:A50, 0))), "")</f>
        <v>effortless-xlsx</v>
      </c>
      <c r="I109" s="4" t="str">
        <f>_xlfn.IFNA(IF(((INDEX(FieldDisagreements!D2:D50, MATCH(C109,FieldDisagreements!A2:A50, 0))="")=TRUE),  "",  INDEX(FieldDisagreements!D2:D50, MATCH(C109,FieldDisagreements!A2:A50, 0))), "")</f>
        <v>Steps.VersionEntryStepId</v>
      </c>
      <c r="J109" s="3" t="s">
        <v>1926</v>
      </c>
    </row>
    <row r="110">
      <c r="A110" s="3" t="s">
        <v>14899</v>
      </c>
      <c r="B110" s="4" t="str">
        <f>_xlfn.CONCAT(C110, " @ ", D110)</f>
        <v>effortless-xlsx|Steps.VersionEntryStepId @ policy-09</v>
      </c>
      <c r="C110" s="3" t="s">
        <v>14740</v>
      </c>
      <c r="D110" s="3" t="s">
        <v>617</v>
      </c>
      <c r="E110" s="3" t="s">
        <v>14792</v>
      </c>
      <c r="F110" s="3" t="s">
        <v>955</v>
      </c>
      <c r="G110" s="3" t="s">
        <v>14729</v>
      </c>
      <c r="H110" s="4" t="str">
        <f>_xlfn.IFNA(IF(((INDEX(FieldDisagreements!C2:C50, MATCH(C110,FieldDisagreements!A2:A50, 0))="")=TRUE),  "",  INDEX(FieldDisagreements!C2:C50, MATCH(C110,FieldDisagreements!A2:A50, 0))), "")</f>
        <v>effortless-xlsx</v>
      </c>
      <c r="I110" s="4" t="str">
        <f>_xlfn.IFNA(IF(((INDEX(FieldDisagreements!D2:D50, MATCH(C110,FieldDisagreements!A2:A50, 0))="")=TRUE),  "",  INDEX(FieldDisagreements!D2:D50, MATCH(C110,FieldDisagreements!A2:A50, 0))), "")</f>
        <v>Steps.VersionEntryStepId</v>
      </c>
      <c r="J110" s="3" t="s">
        <v>1926</v>
      </c>
    </row>
    <row r="111">
      <c r="A111" s="3" t="s">
        <v>14900</v>
      </c>
      <c r="B111" s="4" t="str">
        <f>_xlfn.CONCAT(C111, " @ ", D111)</f>
        <v>effortless-xlsx|Steps.GateFreeReachFromEntryCount @ close-01</v>
      </c>
      <c r="C111" s="3" t="s">
        <v>14741</v>
      </c>
      <c r="D111" s="3" t="s">
        <v>548</v>
      </c>
      <c r="E111" s="3" t="s">
        <v>955</v>
      </c>
      <c r="F111" s="3" t="s">
        <v>14795</v>
      </c>
      <c r="G111" s="3" t="s">
        <v>14729</v>
      </c>
      <c r="H111" s="4" t="str">
        <f>_xlfn.IFNA(IF(((INDEX(FieldDisagreements!C2:C50, MATCH(C111,FieldDisagreements!A2:A50, 0))="")=TRUE),  "",  INDEX(FieldDisagreements!C2:C50, MATCH(C111,FieldDisagreements!A2:A50, 0))), "")</f>
        <v>effortless-xlsx</v>
      </c>
      <c r="I111" s="4" t="str">
        <f>_xlfn.IFNA(IF(((INDEX(FieldDisagreements!D2:D50, MATCH(C111,FieldDisagreements!A2:A50, 0))="")=TRUE),  "",  INDEX(FieldDisagreements!D2:D50, MATCH(C111,FieldDisagreements!A2:A50, 0))), "")</f>
        <v>Steps.GateFreeReachFromEntryCount</v>
      </c>
      <c r="J111" s="3" t="s">
        <v>1926</v>
      </c>
    </row>
    <row r="112">
      <c r="A112" s="3" t="s">
        <v>14901</v>
      </c>
      <c r="B112" s="4" t="str">
        <f>_xlfn.CONCAT(C112, " @ ", D112)</f>
        <v>effortless-xlsx|Steps.GateFreeReachFromEntryCount @ close-02</v>
      </c>
      <c r="C112" s="3" t="s">
        <v>14741</v>
      </c>
      <c r="D112" s="3" t="s">
        <v>556</v>
      </c>
      <c r="E112" s="3" t="s">
        <v>37</v>
      </c>
      <c r="F112" s="3" t="s">
        <v>14795</v>
      </c>
      <c r="G112" s="3" t="s">
        <v>14729</v>
      </c>
      <c r="H112" s="4" t="str">
        <f>_xlfn.IFNA(IF(((INDEX(FieldDisagreements!C2:C50, MATCH(C112,FieldDisagreements!A2:A50, 0))="")=TRUE),  "",  INDEX(FieldDisagreements!C2:C50, MATCH(C112,FieldDisagreements!A2:A50, 0))), "")</f>
        <v>effortless-xlsx</v>
      </c>
      <c r="I112" s="4" t="str">
        <f>_xlfn.IFNA(IF(((INDEX(FieldDisagreements!D2:D50, MATCH(C112,FieldDisagreements!A2:A50, 0))="")=TRUE),  "",  INDEX(FieldDisagreements!D2:D50, MATCH(C112,FieldDisagreements!A2:A50, 0))), "")</f>
        <v>Steps.GateFreeReachFromEntryCount</v>
      </c>
      <c r="J112" s="3" t="s">
        <v>1926</v>
      </c>
    </row>
    <row r="113">
      <c r="A113" s="3" t="s">
        <v>14902</v>
      </c>
      <c r="B113" s="4" t="str">
        <f>_xlfn.CONCAT(C113, " @ ", D113)</f>
        <v>effortless-xlsx|Steps.GateFreeReachFromEntryCount @ close-03</v>
      </c>
      <c r="C113" s="3" t="s">
        <v>14741</v>
      </c>
      <c r="D113" s="3" t="s">
        <v>560</v>
      </c>
      <c r="E113" s="3" t="s">
        <v>37</v>
      </c>
      <c r="F113" s="3" t="s">
        <v>14795</v>
      </c>
      <c r="G113" s="3" t="s">
        <v>14729</v>
      </c>
      <c r="H113" s="4" t="str">
        <f>_xlfn.IFNA(IF(((INDEX(FieldDisagreements!C2:C50, MATCH(C113,FieldDisagreements!A2:A50, 0))="")=TRUE),  "",  INDEX(FieldDisagreements!C2:C50, MATCH(C113,FieldDisagreements!A2:A50, 0))), "")</f>
        <v>effortless-xlsx</v>
      </c>
      <c r="I113" s="4" t="str">
        <f>_xlfn.IFNA(IF(((INDEX(FieldDisagreements!D2:D50, MATCH(C113,FieldDisagreements!A2:A50, 0))="")=TRUE),  "",  INDEX(FieldDisagreements!D2:D50, MATCH(C113,FieldDisagreements!A2:A50, 0))), "")</f>
        <v>Steps.GateFreeReachFromEntryCount</v>
      </c>
      <c r="J113" s="3" t="s">
        <v>1926</v>
      </c>
    </row>
    <row r="114">
      <c r="A114" s="3" t="s">
        <v>14903</v>
      </c>
      <c r="B114" s="4" t="str">
        <f>_xlfn.CONCAT(C114, " @ ", D114)</f>
        <v>effortless-xlsx|Steps.GateFreeReachFromEntryCount @ close-04</v>
      </c>
      <c r="C114" s="3" t="s">
        <v>14741</v>
      </c>
      <c r="D114" s="3" t="s">
        <v>567</v>
      </c>
      <c r="E114" s="3" t="s">
        <v>37</v>
      </c>
      <c r="F114" s="3" t="s">
        <v>14795</v>
      </c>
      <c r="G114" s="3" t="s">
        <v>14729</v>
      </c>
      <c r="H114" s="4" t="str">
        <f>_xlfn.IFNA(IF(((INDEX(FieldDisagreements!C2:C50, MATCH(C114,FieldDisagreements!A2:A50, 0))="")=TRUE),  "",  INDEX(FieldDisagreements!C2:C50, MATCH(C114,FieldDisagreements!A2:A50, 0))), "")</f>
        <v>effortless-xlsx</v>
      </c>
      <c r="I114" s="4" t="str">
        <f>_xlfn.IFNA(IF(((INDEX(FieldDisagreements!D2:D50, MATCH(C114,FieldDisagreements!A2:A50, 0))="")=TRUE),  "",  INDEX(FieldDisagreements!D2:D50, MATCH(C114,FieldDisagreements!A2:A50, 0))), "")</f>
        <v>Steps.GateFreeReachFromEntryCount</v>
      </c>
      <c r="J114" s="3" t="s">
        <v>1926</v>
      </c>
    </row>
    <row r="115">
      <c r="A115" s="3" t="s">
        <v>14904</v>
      </c>
      <c r="B115" s="4" t="str">
        <f>_xlfn.CONCAT(C115, " @ ", D115)</f>
        <v>effortless-xlsx|Steps.GateFreeReachFromEntryCount @ close-05</v>
      </c>
      <c r="C115" s="3" t="s">
        <v>14741</v>
      </c>
      <c r="D115" s="3" t="s">
        <v>572</v>
      </c>
      <c r="E115" s="3" t="s">
        <v>37</v>
      </c>
      <c r="F115" s="3" t="s">
        <v>14795</v>
      </c>
      <c r="G115" s="3" t="s">
        <v>14729</v>
      </c>
      <c r="H115" s="4" t="str">
        <f>_xlfn.IFNA(IF(((INDEX(FieldDisagreements!C2:C50, MATCH(C115,FieldDisagreements!A2:A50, 0))="")=TRUE),  "",  INDEX(FieldDisagreements!C2:C50, MATCH(C115,FieldDisagreements!A2:A50, 0))), "")</f>
        <v>effortless-xlsx</v>
      </c>
      <c r="I115" s="4" t="str">
        <f>_xlfn.IFNA(IF(((INDEX(FieldDisagreements!D2:D50, MATCH(C115,FieldDisagreements!A2:A50, 0))="")=TRUE),  "",  INDEX(FieldDisagreements!D2:D50, MATCH(C115,FieldDisagreements!A2:A50, 0))), "")</f>
        <v>Steps.GateFreeReachFromEntryCount</v>
      </c>
      <c r="J115" s="3" t="s">
        <v>1926</v>
      </c>
    </row>
    <row r="116">
      <c r="A116" s="3" t="s">
        <v>14905</v>
      </c>
      <c r="B116" s="4" t="str">
        <f>_xlfn.CONCAT(C116, " @ ", D116)</f>
        <v>effortless-xlsx|Steps.GateFreeReachFromEntryCount @ close-06</v>
      </c>
      <c r="C116" s="3" t="s">
        <v>14741</v>
      </c>
      <c r="D116" s="3" t="s">
        <v>576</v>
      </c>
      <c r="E116" s="3" t="s">
        <v>955</v>
      </c>
      <c r="F116" s="3" t="s">
        <v>14795</v>
      </c>
      <c r="G116" s="3" t="s">
        <v>14729</v>
      </c>
      <c r="H116" s="4" t="str">
        <f>_xlfn.IFNA(IF(((INDEX(FieldDisagreements!C2:C50, MATCH(C116,FieldDisagreements!A2:A50, 0))="")=TRUE),  "",  INDEX(FieldDisagreements!C2:C50, MATCH(C116,FieldDisagreements!A2:A50, 0))), "")</f>
        <v>effortless-xlsx</v>
      </c>
      <c r="I116" s="4" t="str">
        <f>_xlfn.IFNA(IF(((INDEX(FieldDisagreements!D2:D50, MATCH(C116,FieldDisagreements!A2:A50, 0))="")=TRUE),  "",  INDEX(FieldDisagreements!D2:D50, MATCH(C116,FieldDisagreements!A2:A50, 0))), "")</f>
        <v>Steps.GateFreeReachFromEntryCount</v>
      </c>
      <c r="J116" s="3" t="s">
        <v>1926</v>
      </c>
    </row>
    <row r="117">
      <c r="A117" s="3" t="s">
        <v>14906</v>
      </c>
      <c r="B117" s="4" t="str">
        <f>_xlfn.CONCAT(C117, " @ ", D117)</f>
        <v>effortless-xlsx|Steps.GateFreeReachFromEntryCount @ close-07</v>
      </c>
      <c r="C117" s="3" t="s">
        <v>14741</v>
      </c>
      <c r="D117" s="3" t="s">
        <v>581</v>
      </c>
      <c r="E117" s="3" t="s">
        <v>37</v>
      </c>
      <c r="F117" s="3" t="s">
        <v>14795</v>
      </c>
      <c r="G117" s="3" t="s">
        <v>14729</v>
      </c>
      <c r="H117" s="4" t="str">
        <f>_xlfn.IFNA(IF(((INDEX(FieldDisagreements!C2:C50, MATCH(C117,FieldDisagreements!A2:A50, 0))="")=TRUE),  "",  INDEX(FieldDisagreements!C2:C50, MATCH(C117,FieldDisagreements!A2:A50, 0))), "")</f>
        <v>effortless-xlsx</v>
      </c>
      <c r="I117" s="4" t="str">
        <f>_xlfn.IFNA(IF(((INDEX(FieldDisagreements!D2:D50, MATCH(C117,FieldDisagreements!A2:A50, 0))="")=TRUE),  "",  INDEX(FieldDisagreements!D2:D50, MATCH(C117,FieldDisagreements!A2:A50, 0))), "")</f>
        <v>Steps.GateFreeReachFromEntryCount</v>
      </c>
      <c r="J117" s="3" t="s">
        <v>1926</v>
      </c>
    </row>
    <row r="118">
      <c r="A118" s="3" t="s">
        <v>14907</v>
      </c>
      <c r="B118" s="4" t="str">
        <f>_xlfn.CONCAT(C118, " @ ", D118)</f>
        <v>effortless-xlsx|Steps.GateFreeReachFromEntryCount @ close-08</v>
      </c>
      <c r="C118" s="3" t="s">
        <v>14741</v>
      </c>
      <c r="D118" s="3" t="s">
        <v>586</v>
      </c>
      <c r="E118" s="3" t="s">
        <v>37</v>
      </c>
      <c r="F118" s="3" t="s">
        <v>14795</v>
      </c>
      <c r="G118" s="3" t="s">
        <v>14729</v>
      </c>
      <c r="H118" s="4" t="str">
        <f>_xlfn.IFNA(IF(((INDEX(FieldDisagreements!C2:C50, MATCH(C118,FieldDisagreements!A2:A50, 0))="")=TRUE),  "",  INDEX(FieldDisagreements!C2:C50, MATCH(C118,FieldDisagreements!A2:A50, 0))), "")</f>
        <v>effortless-xlsx</v>
      </c>
      <c r="I118" s="4" t="str">
        <f>_xlfn.IFNA(IF(((INDEX(FieldDisagreements!D2:D50, MATCH(C118,FieldDisagreements!A2:A50, 0))="")=TRUE),  "",  INDEX(FieldDisagreements!D2:D50, MATCH(C118,FieldDisagreements!A2:A50, 0))), "")</f>
        <v>Steps.GateFreeReachFromEntryCount</v>
      </c>
      <c r="J118" s="3" t="s">
        <v>1926</v>
      </c>
    </row>
    <row r="119">
      <c r="A119" s="3" t="s">
        <v>14908</v>
      </c>
      <c r="B119" s="4" t="str">
        <f>_xlfn.CONCAT(C119, " @ ", D119)</f>
        <v>effortless-xlsx|Steps.GateFreeReachFromEntryCount @ policy-01</v>
      </c>
      <c r="C119" s="3" t="s">
        <v>14741</v>
      </c>
      <c r="D119" s="3" t="s">
        <v>591</v>
      </c>
      <c r="E119" s="3" t="s">
        <v>955</v>
      </c>
      <c r="F119" s="3" t="s">
        <v>14795</v>
      </c>
      <c r="G119" s="3" t="s">
        <v>14729</v>
      </c>
      <c r="H119" s="4" t="str">
        <f>_xlfn.IFNA(IF(((INDEX(FieldDisagreements!C2:C50, MATCH(C119,FieldDisagreements!A2:A50, 0))="")=TRUE),  "",  INDEX(FieldDisagreements!C2:C50, MATCH(C119,FieldDisagreements!A2:A50, 0))), "")</f>
        <v>effortless-xlsx</v>
      </c>
      <c r="I119" s="4" t="str">
        <f>_xlfn.IFNA(IF(((INDEX(FieldDisagreements!D2:D50, MATCH(C119,FieldDisagreements!A2:A50, 0))="")=TRUE),  "",  INDEX(FieldDisagreements!D2:D50, MATCH(C119,FieldDisagreements!A2:A50, 0))), "")</f>
        <v>Steps.GateFreeReachFromEntryCount</v>
      </c>
      <c r="J119" s="3" t="s">
        <v>1926</v>
      </c>
    </row>
    <row r="120">
      <c r="A120" s="3" t="s">
        <v>14909</v>
      </c>
      <c r="B120" s="4" t="str">
        <f>_xlfn.CONCAT(C120, " @ ", D120)</f>
        <v>effortless-xlsx|Steps.GateFreeReachFromEntryCount @ policy-02</v>
      </c>
      <c r="C120" s="3" t="s">
        <v>14741</v>
      </c>
      <c r="D120" s="3" t="s">
        <v>594</v>
      </c>
      <c r="E120" s="3" t="s">
        <v>37</v>
      </c>
      <c r="F120" s="3" t="s">
        <v>14795</v>
      </c>
      <c r="G120" s="3" t="s">
        <v>14729</v>
      </c>
      <c r="H120" s="4" t="str">
        <f>_xlfn.IFNA(IF(((INDEX(FieldDisagreements!C2:C50, MATCH(C120,FieldDisagreements!A2:A50, 0))="")=TRUE),  "",  INDEX(FieldDisagreements!C2:C50, MATCH(C120,FieldDisagreements!A2:A50, 0))), "")</f>
        <v>effortless-xlsx</v>
      </c>
      <c r="I120" s="4" t="str">
        <f>_xlfn.IFNA(IF(((INDEX(FieldDisagreements!D2:D50, MATCH(C120,FieldDisagreements!A2:A50, 0))="")=TRUE),  "",  INDEX(FieldDisagreements!D2:D50, MATCH(C120,FieldDisagreements!A2:A50, 0))), "")</f>
        <v>Steps.GateFreeReachFromEntryCount</v>
      </c>
      <c r="J120" s="3" t="s">
        <v>1926</v>
      </c>
    </row>
    <row r="121">
      <c r="A121" s="3" t="s">
        <v>14910</v>
      </c>
      <c r="B121" s="4" t="str">
        <f>_xlfn.CONCAT(C121, " @ ", D121)</f>
        <v>effortless-xlsx|Steps.GateFreeReachFromEntryCount @ policy-03</v>
      </c>
      <c r="C121" s="3" t="s">
        <v>14741</v>
      </c>
      <c r="D121" s="3" t="s">
        <v>597</v>
      </c>
      <c r="E121" s="3" t="s">
        <v>37</v>
      </c>
      <c r="F121" s="3" t="s">
        <v>14795</v>
      </c>
      <c r="G121" s="3" t="s">
        <v>14729</v>
      </c>
      <c r="H121" s="4" t="str">
        <f>_xlfn.IFNA(IF(((INDEX(FieldDisagreements!C2:C50, MATCH(C121,FieldDisagreements!A2:A50, 0))="")=TRUE),  "",  INDEX(FieldDisagreements!C2:C50, MATCH(C121,FieldDisagreements!A2:A50, 0))), "")</f>
        <v>effortless-xlsx</v>
      </c>
      <c r="I121" s="4" t="str">
        <f>_xlfn.IFNA(IF(((INDEX(FieldDisagreements!D2:D50, MATCH(C121,FieldDisagreements!A2:A50, 0))="")=TRUE),  "",  INDEX(FieldDisagreements!D2:D50, MATCH(C121,FieldDisagreements!A2:A50, 0))), "")</f>
        <v>Steps.GateFreeReachFromEntryCount</v>
      </c>
      <c r="J121" s="3" t="s">
        <v>1926</v>
      </c>
    </row>
    <row r="122">
      <c r="A122" s="3" t="s">
        <v>14911</v>
      </c>
      <c r="B122" s="4" t="str">
        <f>_xlfn.CONCAT(C122, " @ ", D122)</f>
        <v>effortless-xlsx|Steps.GateFreeReachFromEntryCount @ policy-04</v>
      </c>
      <c r="C122" s="3" t="s">
        <v>14741</v>
      </c>
      <c r="D122" s="3" t="s">
        <v>600</v>
      </c>
      <c r="E122" s="3" t="s">
        <v>37</v>
      </c>
      <c r="F122" s="3" t="s">
        <v>14795</v>
      </c>
      <c r="G122" s="3" t="s">
        <v>14729</v>
      </c>
      <c r="H122" s="4" t="str">
        <f>_xlfn.IFNA(IF(((INDEX(FieldDisagreements!C2:C50, MATCH(C122,FieldDisagreements!A2:A50, 0))="")=TRUE),  "",  INDEX(FieldDisagreements!C2:C50, MATCH(C122,FieldDisagreements!A2:A50, 0))), "")</f>
        <v>effortless-xlsx</v>
      </c>
      <c r="I122" s="4" t="str">
        <f>_xlfn.IFNA(IF(((INDEX(FieldDisagreements!D2:D50, MATCH(C122,FieldDisagreements!A2:A50, 0))="")=TRUE),  "",  INDEX(FieldDisagreements!D2:D50, MATCH(C122,FieldDisagreements!A2:A50, 0))), "")</f>
        <v>Steps.GateFreeReachFromEntryCount</v>
      </c>
      <c r="J122" s="3" t="s">
        <v>1926</v>
      </c>
    </row>
    <row r="123">
      <c r="A123" s="3" t="s">
        <v>14912</v>
      </c>
      <c r="B123" s="4" t="str">
        <f>_xlfn.CONCAT(C123, " @ ", D123)</f>
        <v>effortless-xlsx|Steps.GateFreeReachFromEntryCount @ policy-05</v>
      </c>
      <c r="C123" s="3" t="s">
        <v>14741</v>
      </c>
      <c r="D123" s="3" t="s">
        <v>604</v>
      </c>
      <c r="E123" s="3" t="s">
        <v>955</v>
      </c>
      <c r="F123" s="3" t="s">
        <v>14795</v>
      </c>
      <c r="G123" s="3" t="s">
        <v>14729</v>
      </c>
      <c r="H123" s="4" t="str">
        <f>_xlfn.IFNA(IF(((INDEX(FieldDisagreements!C2:C50, MATCH(C123,FieldDisagreements!A2:A50, 0))="")=TRUE),  "",  INDEX(FieldDisagreements!C2:C50, MATCH(C123,FieldDisagreements!A2:A50, 0))), "")</f>
        <v>effortless-xlsx</v>
      </c>
      <c r="I123" s="4" t="str">
        <f>_xlfn.IFNA(IF(((INDEX(FieldDisagreements!D2:D50, MATCH(C123,FieldDisagreements!A2:A50, 0))="")=TRUE),  "",  INDEX(FieldDisagreements!D2:D50, MATCH(C123,FieldDisagreements!A2:A50, 0))), "")</f>
        <v>Steps.GateFreeReachFromEntryCount</v>
      </c>
      <c r="J123" s="3" t="s">
        <v>1926</v>
      </c>
    </row>
    <row r="124">
      <c r="A124" s="3" t="s">
        <v>14913</v>
      </c>
      <c r="B124" s="4" t="str">
        <f>_xlfn.CONCAT(C124, " @ ", D124)</f>
        <v>effortless-xlsx|Steps.GateFreeReachFromEntryCount @ policy-06</v>
      </c>
      <c r="C124" s="3" t="s">
        <v>14741</v>
      </c>
      <c r="D124" s="3" t="s">
        <v>607</v>
      </c>
      <c r="E124" s="3" t="s">
        <v>955</v>
      </c>
      <c r="F124" s="3" t="s">
        <v>14795</v>
      </c>
      <c r="G124" s="3" t="s">
        <v>14729</v>
      </c>
      <c r="H124" s="4" t="str">
        <f>_xlfn.IFNA(IF(((INDEX(FieldDisagreements!C2:C50, MATCH(C124,FieldDisagreements!A2:A50, 0))="")=TRUE),  "",  INDEX(FieldDisagreements!C2:C50, MATCH(C124,FieldDisagreements!A2:A50, 0))), "")</f>
        <v>effortless-xlsx</v>
      </c>
      <c r="I124" s="4" t="str">
        <f>_xlfn.IFNA(IF(((INDEX(FieldDisagreements!D2:D50, MATCH(C124,FieldDisagreements!A2:A50, 0))="")=TRUE),  "",  INDEX(FieldDisagreements!D2:D50, MATCH(C124,FieldDisagreements!A2:A50, 0))), "")</f>
        <v>Steps.GateFreeReachFromEntryCount</v>
      </c>
      <c r="J124" s="3" t="s">
        <v>1926</v>
      </c>
    </row>
    <row r="125">
      <c r="A125" s="3" t="s">
        <v>14914</v>
      </c>
      <c r="B125" s="4" t="str">
        <f>_xlfn.CONCAT(C125, " @ ", D125)</f>
        <v>effortless-xlsx|Steps.GateFreeReachFromEntryCount @ policy-07</v>
      </c>
      <c r="C125" s="3" t="s">
        <v>14741</v>
      </c>
      <c r="D125" s="3" t="s">
        <v>610</v>
      </c>
      <c r="E125" s="3" t="s">
        <v>955</v>
      </c>
      <c r="F125" s="3" t="s">
        <v>14795</v>
      </c>
      <c r="G125" s="3" t="s">
        <v>14729</v>
      </c>
      <c r="H125" s="4" t="str">
        <f>_xlfn.IFNA(IF(((INDEX(FieldDisagreements!C2:C50, MATCH(C125,FieldDisagreements!A2:A50, 0))="")=TRUE),  "",  INDEX(FieldDisagreements!C2:C50, MATCH(C125,FieldDisagreements!A2:A50, 0))), "")</f>
        <v>effortless-xlsx</v>
      </c>
      <c r="I125" s="4" t="str">
        <f>_xlfn.IFNA(IF(((INDEX(FieldDisagreements!D2:D50, MATCH(C125,FieldDisagreements!A2:A50, 0))="")=TRUE),  "",  INDEX(FieldDisagreements!D2:D50, MATCH(C125,FieldDisagreements!A2:A50, 0))), "")</f>
        <v>Steps.GateFreeReachFromEntryCount</v>
      </c>
      <c r="J125" s="3" t="s">
        <v>1926</v>
      </c>
    </row>
    <row r="126">
      <c r="A126" s="3" t="s">
        <v>14915</v>
      </c>
      <c r="B126" s="4" t="str">
        <f>_xlfn.CONCAT(C126, " @ ", D126)</f>
        <v>effortless-xlsx|Steps.GateFreeReachFromEntryCount @ policy-08</v>
      </c>
      <c r="C126" s="3" t="s">
        <v>14741</v>
      </c>
      <c r="D126" s="3" t="s">
        <v>613</v>
      </c>
      <c r="E126" s="3" t="s">
        <v>955</v>
      </c>
      <c r="F126" s="3" t="s">
        <v>14795</v>
      </c>
      <c r="G126" s="3" t="s">
        <v>14729</v>
      </c>
      <c r="H126" s="4" t="str">
        <f>_xlfn.IFNA(IF(((INDEX(FieldDisagreements!C2:C50, MATCH(C126,FieldDisagreements!A2:A50, 0))="")=TRUE),  "",  INDEX(FieldDisagreements!C2:C50, MATCH(C126,FieldDisagreements!A2:A50, 0))), "")</f>
        <v>effortless-xlsx</v>
      </c>
      <c r="I126" s="4" t="str">
        <f>_xlfn.IFNA(IF(((INDEX(FieldDisagreements!D2:D50, MATCH(C126,FieldDisagreements!A2:A50, 0))="")=TRUE),  "",  INDEX(FieldDisagreements!D2:D50, MATCH(C126,FieldDisagreements!A2:A50, 0))), "")</f>
        <v>Steps.GateFreeReachFromEntryCount</v>
      </c>
      <c r="J126" s="3" t="s">
        <v>1926</v>
      </c>
    </row>
    <row r="127">
      <c r="A127" s="3" t="s">
        <v>14916</v>
      </c>
      <c r="B127" s="4" t="str">
        <f>_xlfn.CONCAT(C127, " @ ", D127)</f>
        <v>effortless-xlsx|Steps.GateFreeReachFromEntryCount @ policy-09</v>
      </c>
      <c r="C127" s="3" t="s">
        <v>14741</v>
      </c>
      <c r="D127" s="3" t="s">
        <v>617</v>
      </c>
      <c r="E127" s="3" t="s">
        <v>955</v>
      </c>
      <c r="F127" s="3" t="s">
        <v>14795</v>
      </c>
      <c r="G127" s="3" t="s">
        <v>14729</v>
      </c>
      <c r="H127" s="4" t="str">
        <f>_xlfn.IFNA(IF(((INDEX(FieldDisagreements!C2:C50, MATCH(C127,FieldDisagreements!A2:A50, 0))="")=TRUE),  "",  INDEX(FieldDisagreements!C2:C50, MATCH(C127,FieldDisagreements!A2:A50, 0))), "")</f>
        <v>effortless-xlsx</v>
      </c>
      <c r="I127" s="4" t="str">
        <f>_xlfn.IFNA(IF(((INDEX(FieldDisagreements!D2:D50, MATCH(C127,FieldDisagreements!A2:A50, 0))="")=TRUE),  "",  INDEX(FieldDisagreements!D2:D50, MATCH(C127,FieldDisagreements!A2:A50, 0))), "")</f>
        <v>Steps.GateFreeReachFromEntryCount</v>
      </c>
      <c r="J127" s="3" t="s">
        <v>1926</v>
      </c>
    </row>
    <row r="128">
      <c r="A128" s="3" t="s">
        <v>14917</v>
      </c>
      <c r="B128" s="4" t="str">
        <f>_xlfn.CONCAT(C128, " @ ", D128)</f>
        <v>effortless-xlsx|Steps.IsReachableFromEntryWithoutHumanGate @ close-01</v>
      </c>
      <c r="C128" s="3" t="s">
        <v>14742</v>
      </c>
      <c r="D128" s="3" t="s">
        <v>548</v>
      </c>
      <c r="E128" s="3" t="s">
        <v>14784</v>
      </c>
      <c r="F128" s="3" t="s">
        <v>14795</v>
      </c>
      <c r="G128" s="3" t="s">
        <v>14729</v>
      </c>
      <c r="H128" s="4" t="str">
        <f>_xlfn.IFNA(IF(((INDEX(FieldDisagreements!C2:C50, MATCH(C128,FieldDisagreements!A2:A50, 0))="")=TRUE),  "",  INDEX(FieldDisagreements!C2:C50, MATCH(C128,FieldDisagreements!A2:A50, 0))), "")</f>
        <v>effortless-xlsx</v>
      </c>
      <c r="I128" s="4" t="str">
        <f>_xlfn.IFNA(IF(((INDEX(FieldDisagreements!D2:D50, MATCH(C128,FieldDisagreements!A2:A50, 0))="")=TRUE),  "",  INDEX(FieldDisagreements!D2:D50, MATCH(C128,FieldDisagreements!A2:A50, 0))), "")</f>
        <v>Steps.IsReachableFromEntryWithoutHumanGate</v>
      </c>
      <c r="J128" s="3" t="s">
        <v>1926</v>
      </c>
    </row>
    <row r="129">
      <c r="A129" s="3" t="s">
        <v>14918</v>
      </c>
      <c r="B129" s="4" t="str">
        <f>_xlfn.CONCAT(C129, " @ ", D129)</f>
        <v>effortless-xlsx|Steps.IsReachableFromEntryWithoutHumanGate @ close-02</v>
      </c>
      <c r="C129" s="3" t="s">
        <v>14742</v>
      </c>
      <c r="D129" s="3" t="s">
        <v>556</v>
      </c>
      <c r="E129" s="3" t="s">
        <v>14783</v>
      </c>
      <c r="F129" s="3" t="s">
        <v>14795</v>
      </c>
      <c r="G129" s="3" t="s">
        <v>14729</v>
      </c>
      <c r="H129" s="4" t="str">
        <f>_xlfn.IFNA(IF(((INDEX(FieldDisagreements!C2:C50, MATCH(C129,FieldDisagreements!A2:A50, 0))="")=TRUE),  "",  INDEX(FieldDisagreements!C2:C50, MATCH(C129,FieldDisagreements!A2:A50, 0))), "")</f>
        <v>effortless-xlsx</v>
      </c>
      <c r="I129" s="4" t="str">
        <f>_xlfn.IFNA(IF(((INDEX(FieldDisagreements!D2:D50, MATCH(C129,FieldDisagreements!A2:A50, 0))="")=TRUE),  "",  INDEX(FieldDisagreements!D2:D50, MATCH(C129,FieldDisagreements!A2:A50, 0))), "")</f>
        <v>Steps.IsReachableFromEntryWithoutHumanGate</v>
      </c>
      <c r="J129" s="3" t="s">
        <v>1926</v>
      </c>
    </row>
    <row r="130">
      <c r="A130" s="3" t="s">
        <v>14919</v>
      </c>
      <c r="B130" s="4" t="str">
        <f>_xlfn.CONCAT(C130, " @ ", D130)</f>
        <v>effortless-xlsx|Steps.IsReachableFromEntryWithoutHumanGate @ close-03</v>
      </c>
      <c r="C130" s="3" t="s">
        <v>14742</v>
      </c>
      <c r="D130" s="3" t="s">
        <v>560</v>
      </c>
      <c r="E130" s="3" t="s">
        <v>14783</v>
      </c>
      <c r="F130" s="3" t="s">
        <v>14795</v>
      </c>
      <c r="G130" s="3" t="s">
        <v>14729</v>
      </c>
      <c r="H130" s="4" t="str">
        <f>_xlfn.IFNA(IF(((INDEX(FieldDisagreements!C2:C50, MATCH(C130,FieldDisagreements!A2:A50, 0))="")=TRUE),  "",  INDEX(FieldDisagreements!C2:C50, MATCH(C130,FieldDisagreements!A2:A50, 0))), "")</f>
        <v>effortless-xlsx</v>
      </c>
      <c r="I130" s="4" t="str">
        <f>_xlfn.IFNA(IF(((INDEX(FieldDisagreements!D2:D50, MATCH(C130,FieldDisagreements!A2:A50, 0))="")=TRUE),  "",  INDEX(FieldDisagreements!D2:D50, MATCH(C130,FieldDisagreements!A2:A50, 0))), "")</f>
        <v>Steps.IsReachableFromEntryWithoutHumanGate</v>
      </c>
      <c r="J130" s="3" t="s">
        <v>1926</v>
      </c>
    </row>
    <row r="131">
      <c r="A131" s="3" t="s">
        <v>14920</v>
      </c>
      <c r="B131" s="4" t="str">
        <f>_xlfn.CONCAT(C131, " @ ", D131)</f>
        <v>effortless-xlsx|Steps.IsReachableFromEntryWithoutHumanGate @ close-04</v>
      </c>
      <c r="C131" s="3" t="s">
        <v>14742</v>
      </c>
      <c r="D131" s="3" t="s">
        <v>567</v>
      </c>
      <c r="E131" s="3" t="s">
        <v>14783</v>
      </c>
      <c r="F131" s="3" t="s">
        <v>14795</v>
      </c>
      <c r="G131" s="3" t="s">
        <v>14729</v>
      </c>
      <c r="H131" s="4" t="str">
        <f>_xlfn.IFNA(IF(((INDEX(FieldDisagreements!C2:C50, MATCH(C131,FieldDisagreements!A2:A50, 0))="")=TRUE),  "",  INDEX(FieldDisagreements!C2:C50, MATCH(C131,FieldDisagreements!A2:A50, 0))), "")</f>
        <v>effortless-xlsx</v>
      </c>
      <c r="I131" s="4" t="str">
        <f>_xlfn.IFNA(IF(((INDEX(FieldDisagreements!D2:D50, MATCH(C131,FieldDisagreements!A2:A50, 0))="")=TRUE),  "",  INDEX(FieldDisagreements!D2:D50, MATCH(C131,FieldDisagreements!A2:A50, 0))), "")</f>
        <v>Steps.IsReachableFromEntryWithoutHumanGate</v>
      </c>
      <c r="J131" s="3" t="s">
        <v>1926</v>
      </c>
    </row>
    <row r="132">
      <c r="A132" s="3" t="s">
        <v>14921</v>
      </c>
      <c r="B132" s="4" t="str">
        <f>_xlfn.CONCAT(C132, " @ ", D132)</f>
        <v>effortless-xlsx|Steps.IsReachableFromEntryWithoutHumanGate @ close-05</v>
      </c>
      <c r="C132" s="3" t="s">
        <v>14742</v>
      </c>
      <c r="D132" s="3" t="s">
        <v>572</v>
      </c>
      <c r="E132" s="3" t="s">
        <v>14783</v>
      </c>
      <c r="F132" s="3" t="s">
        <v>14795</v>
      </c>
      <c r="G132" s="3" t="s">
        <v>14729</v>
      </c>
      <c r="H132" s="4" t="str">
        <f>_xlfn.IFNA(IF(((INDEX(FieldDisagreements!C2:C50, MATCH(C132,FieldDisagreements!A2:A50, 0))="")=TRUE),  "",  INDEX(FieldDisagreements!C2:C50, MATCH(C132,FieldDisagreements!A2:A50, 0))), "")</f>
        <v>effortless-xlsx</v>
      </c>
      <c r="I132" s="4" t="str">
        <f>_xlfn.IFNA(IF(((INDEX(FieldDisagreements!D2:D50, MATCH(C132,FieldDisagreements!A2:A50, 0))="")=TRUE),  "",  INDEX(FieldDisagreements!D2:D50, MATCH(C132,FieldDisagreements!A2:A50, 0))), "")</f>
        <v>Steps.IsReachableFromEntryWithoutHumanGate</v>
      </c>
      <c r="J132" s="3" t="s">
        <v>1926</v>
      </c>
    </row>
    <row r="133">
      <c r="A133" s="3" t="s">
        <v>14922</v>
      </c>
      <c r="B133" s="4" t="str">
        <f>_xlfn.CONCAT(C133, " @ ", D133)</f>
        <v>effortless-xlsx|Steps.IsReachableFromEntryWithoutHumanGate @ close-06</v>
      </c>
      <c r="C133" s="3" t="s">
        <v>14742</v>
      </c>
      <c r="D133" s="3" t="s">
        <v>576</v>
      </c>
      <c r="E133" s="3" t="s">
        <v>14784</v>
      </c>
      <c r="F133" s="3" t="s">
        <v>14795</v>
      </c>
      <c r="G133" s="3" t="s">
        <v>14729</v>
      </c>
      <c r="H133" s="4" t="str">
        <f>_xlfn.IFNA(IF(((INDEX(FieldDisagreements!C2:C50, MATCH(C133,FieldDisagreements!A2:A50, 0))="")=TRUE),  "",  INDEX(FieldDisagreements!C2:C50, MATCH(C133,FieldDisagreements!A2:A50, 0))), "")</f>
        <v>effortless-xlsx</v>
      </c>
      <c r="I133" s="4" t="str">
        <f>_xlfn.IFNA(IF(((INDEX(FieldDisagreements!D2:D50, MATCH(C133,FieldDisagreements!A2:A50, 0))="")=TRUE),  "",  INDEX(FieldDisagreements!D2:D50, MATCH(C133,FieldDisagreements!A2:A50, 0))), "")</f>
        <v>Steps.IsReachableFromEntryWithoutHumanGate</v>
      </c>
      <c r="J133" s="3" t="s">
        <v>1926</v>
      </c>
    </row>
    <row r="134">
      <c r="A134" s="3" t="s">
        <v>14923</v>
      </c>
      <c r="B134" s="4" t="str">
        <f>_xlfn.CONCAT(C134, " @ ", D134)</f>
        <v>effortless-xlsx|Steps.IsReachableFromEntryWithoutHumanGate @ close-07</v>
      </c>
      <c r="C134" s="3" t="s">
        <v>14742</v>
      </c>
      <c r="D134" s="3" t="s">
        <v>581</v>
      </c>
      <c r="E134" s="3" t="s">
        <v>14783</v>
      </c>
      <c r="F134" s="3" t="s">
        <v>14795</v>
      </c>
      <c r="G134" s="3" t="s">
        <v>14729</v>
      </c>
      <c r="H134" s="4" t="str">
        <f>_xlfn.IFNA(IF(((INDEX(FieldDisagreements!C2:C50, MATCH(C134,FieldDisagreements!A2:A50, 0))="")=TRUE),  "",  INDEX(FieldDisagreements!C2:C50, MATCH(C134,FieldDisagreements!A2:A50, 0))), "")</f>
        <v>effortless-xlsx</v>
      </c>
      <c r="I134" s="4" t="str">
        <f>_xlfn.IFNA(IF(((INDEX(FieldDisagreements!D2:D50, MATCH(C134,FieldDisagreements!A2:A50, 0))="")=TRUE),  "",  INDEX(FieldDisagreements!D2:D50, MATCH(C134,FieldDisagreements!A2:A50, 0))), "")</f>
        <v>Steps.IsReachableFromEntryWithoutHumanGate</v>
      </c>
      <c r="J134" s="3" t="s">
        <v>1926</v>
      </c>
    </row>
    <row r="135">
      <c r="A135" s="3" t="s">
        <v>14924</v>
      </c>
      <c r="B135" s="4" t="str">
        <f>_xlfn.CONCAT(C135, " @ ", D135)</f>
        <v>effortless-xlsx|Steps.IsReachableFromEntryWithoutHumanGate @ close-08</v>
      </c>
      <c r="C135" s="3" t="s">
        <v>14742</v>
      </c>
      <c r="D135" s="3" t="s">
        <v>586</v>
      </c>
      <c r="E135" s="3" t="s">
        <v>14783</v>
      </c>
      <c r="F135" s="3" t="s">
        <v>14795</v>
      </c>
      <c r="G135" s="3" t="s">
        <v>14729</v>
      </c>
      <c r="H135" s="4" t="str">
        <f>_xlfn.IFNA(IF(((INDEX(FieldDisagreements!C2:C50, MATCH(C135,FieldDisagreements!A2:A50, 0))="")=TRUE),  "",  INDEX(FieldDisagreements!C2:C50, MATCH(C135,FieldDisagreements!A2:A50, 0))), "")</f>
        <v>effortless-xlsx</v>
      </c>
      <c r="I135" s="4" t="str">
        <f>_xlfn.IFNA(IF(((INDEX(FieldDisagreements!D2:D50, MATCH(C135,FieldDisagreements!A2:A50, 0))="")=TRUE),  "",  INDEX(FieldDisagreements!D2:D50, MATCH(C135,FieldDisagreements!A2:A50, 0))), "")</f>
        <v>Steps.IsReachableFromEntryWithoutHumanGate</v>
      </c>
      <c r="J135" s="3" t="s">
        <v>1926</v>
      </c>
    </row>
    <row r="136">
      <c r="A136" s="3" t="s">
        <v>14925</v>
      </c>
      <c r="B136" s="4" t="str">
        <f>_xlfn.CONCAT(C136, " @ ", D136)</f>
        <v>effortless-xlsx|Steps.IsReachableFromEntryWithoutHumanGate @ policy-01</v>
      </c>
      <c r="C136" s="3" t="s">
        <v>14742</v>
      </c>
      <c r="D136" s="3" t="s">
        <v>591</v>
      </c>
      <c r="E136" s="3" t="s">
        <v>14784</v>
      </c>
      <c r="F136" s="3" t="s">
        <v>14795</v>
      </c>
      <c r="G136" s="3" t="s">
        <v>14729</v>
      </c>
      <c r="H136" s="4" t="str">
        <f>_xlfn.IFNA(IF(((INDEX(FieldDisagreements!C2:C50, MATCH(C136,FieldDisagreements!A2:A50, 0))="")=TRUE),  "",  INDEX(FieldDisagreements!C2:C50, MATCH(C136,FieldDisagreements!A2:A50, 0))), "")</f>
        <v>effortless-xlsx</v>
      </c>
      <c r="I136" s="4" t="str">
        <f>_xlfn.IFNA(IF(((INDEX(FieldDisagreements!D2:D50, MATCH(C136,FieldDisagreements!A2:A50, 0))="")=TRUE),  "",  INDEX(FieldDisagreements!D2:D50, MATCH(C136,FieldDisagreements!A2:A50, 0))), "")</f>
        <v>Steps.IsReachableFromEntryWithoutHumanGate</v>
      </c>
      <c r="J136" s="3" t="s">
        <v>1926</v>
      </c>
    </row>
    <row r="137">
      <c r="A137" s="3" t="s">
        <v>14926</v>
      </c>
      <c r="B137" s="4" t="str">
        <f>_xlfn.CONCAT(C137, " @ ", D137)</f>
        <v>effortless-xlsx|Steps.IsReachableFromEntryWithoutHumanGate @ policy-02</v>
      </c>
      <c r="C137" s="3" t="s">
        <v>14742</v>
      </c>
      <c r="D137" s="3" t="s">
        <v>594</v>
      </c>
      <c r="E137" s="3" t="s">
        <v>14783</v>
      </c>
      <c r="F137" s="3" t="s">
        <v>14795</v>
      </c>
      <c r="G137" s="3" t="s">
        <v>14729</v>
      </c>
      <c r="H137" s="4" t="str">
        <f>_xlfn.IFNA(IF(((INDEX(FieldDisagreements!C2:C50, MATCH(C137,FieldDisagreements!A2:A50, 0))="")=TRUE),  "",  INDEX(FieldDisagreements!C2:C50, MATCH(C137,FieldDisagreements!A2:A50, 0))), "")</f>
        <v>effortless-xlsx</v>
      </c>
      <c r="I137" s="4" t="str">
        <f>_xlfn.IFNA(IF(((INDEX(FieldDisagreements!D2:D50, MATCH(C137,FieldDisagreements!A2:A50, 0))="")=TRUE),  "",  INDEX(FieldDisagreements!D2:D50, MATCH(C137,FieldDisagreements!A2:A50, 0))), "")</f>
        <v>Steps.IsReachableFromEntryWithoutHumanGate</v>
      </c>
      <c r="J137" s="3" t="s">
        <v>1926</v>
      </c>
    </row>
    <row r="138">
      <c r="A138" s="3" t="s">
        <v>14927</v>
      </c>
      <c r="B138" s="4" t="str">
        <f>_xlfn.CONCAT(C138, " @ ", D138)</f>
        <v>effortless-xlsx|Steps.IsReachableFromEntryWithoutHumanGate @ policy-03</v>
      </c>
      <c r="C138" s="3" t="s">
        <v>14742</v>
      </c>
      <c r="D138" s="3" t="s">
        <v>597</v>
      </c>
      <c r="E138" s="3" t="s">
        <v>14783</v>
      </c>
      <c r="F138" s="3" t="s">
        <v>14795</v>
      </c>
      <c r="G138" s="3" t="s">
        <v>14729</v>
      </c>
      <c r="H138" s="4" t="str">
        <f>_xlfn.IFNA(IF(((INDEX(FieldDisagreements!C2:C50, MATCH(C138,FieldDisagreements!A2:A50, 0))="")=TRUE),  "",  INDEX(FieldDisagreements!C2:C50, MATCH(C138,FieldDisagreements!A2:A50, 0))), "")</f>
        <v>effortless-xlsx</v>
      </c>
      <c r="I138" s="4" t="str">
        <f>_xlfn.IFNA(IF(((INDEX(FieldDisagreements!D2:D50, MATCH(C138,FieldDisagreements!A2:A50, 0))="")=TRUE),  "",  INDEX(FieldDisagreements!D2:D50, MATCH(C138,FieldDisagreements!A2:A50, 0))), "")</f>
        <v>Steps.IsReachableFromEntryWithoutHumanGate</v>
      </c>
      <c r="J138" s="3" t="s">
        <v>1926</v>
      </c>
    </row>
    <row r="139">
      <c r="A139" s="3" t="s">
        <v>14928</v>
      </c>
      <c r="B139" s="4" t="str">
        <f>_xlfn.CONCAT(C139, " @ ", D139)</f>
        <v>effortless-xlsx|Steps.IsReachableFromEntryWithoutHumanGate @ policy-04</v>
      </c>
      <c r="C139" s="3" t="s">
        <v>14742</v>
      </c>
      <c r="D139" s="3" t="s">
        <v>600</v>
      </c>
      <c r="E139" s="3" t="s">
        <v>14783</v>
      </c>
      <c r="F139" s="3" t="s">
        <v>14795</v>
      </c>
      <c r="G139" s="3" t="s">
        <v>14729</v>
      </c>
      <c r="H139" s="4" t="str">
        <f>_xlfn.IFNA(IF(((INDEX(FieldDisagreements!C2:C50, MATCH(C139,FieldDisagreements!A2:A50, 0))="")=TRUE),  "",  INDEX(FieldDisagreements!C2:C50, MATCH(C139,FieldDisagreements!A2:A50, 0))), "")</f>
        <v>effortless-xlsx</v>
      </c>
      <c r="I139" s="4" t="str">
        <f>_xlfn.IFNA(IF(((INDEX(FieldDisagreements!D2:D50, MATCH(C139,FieldDisagreements!A2:A50, 0))="")=TRUE),  "",  INDEX(FieldDisagreements!D2:D50, MATCH(C139,FieldDisagreements!A2:A50, 0))), "")</f>
        <v>Steps.IsReachableFromEntryWithoutHumanGate</v>
      </c>
      <c r="J139" s="3" t="s">
        <v>1926</v>
      </c>
    </row>
    <row r="140">
      <c r="A140" s="3" t="s">
        <v>14929</v>
      </c>
      <c r="B140" s="4" t="str">
        <f>_xlfn.CONCAT(C140, " @ ", D140)</f>
        <v>effortless-xlsx|Steps.IsReachableFromEntryWithoutHumanGate @ policy-05</v>
      </c>
      <c r="C140" s="3" t="s">
        <v>14742</v>
      </c>
      <c r="D140" s="3" t="s">
        <v>604</v>
      </c>
      <c r="E140" s="3" t="s">
        <v>14784</v>
      </c>
      <c r="F140" s="3" t="s">
        <v>14795</v>
      </c>
      <c r="G140" s="3" t="s">
        <v>14729</v>
      </c>
      <c r="H140" s="4" t="str">
        <f>_xlfn.IFNA(IF(((INDEX(FieldDisagreements!C2:C50, MATCH(C140,FieldDisagreements!A2:A50, 0))="")=TRUE),  "",  INDEX(FieldDisagreements!C2:C50, MATCH(C140,FieldDisagreements!A2:A50, 0))), "")</f>
        <v>effortless-xlsx</v>
      </c>
      <c r="I140" s="4" t="str">
        <f>_xlfn.IFNA(IF(((INDEX(FieldDisagreements!D2:D50, MATCH(C140,FieldDisagreements!A2:A50, 0))="")=TRUE),  "",  INDEX(FieldDisagreements!D2:D50, MATCH(C140,FieldDisagreements!A2:A50, 0))), "")</f>
        <v>Steps.IsReachableFromEntryWithoutHumanGate</v>
      </c>
      <c r="J140" s="3" t="s">
        <v>1926</v>
      </c>
    </row>
    <row r="141">
      <c r="A141" s="3" t="s">
        <v>14930</v>
      </c>
      <c r="B141" s="4" t="str">
        <f>_xlfn.CONCAT(C141, " @ ", D141)</f>
        <v>effortless-xlsx|Steps.IsReachableFromEntryWithoutHumanGate @ policy-06</v>
      </c>
      <c r="C141" s="3" t="s">
        <v>14742</v>
      </c>
      <c r="D141" s="3" t="s">
        <v>607</v>
      </c>
      <c r="E141" s="3" t="s">
        <v>14784</v>
      </c>
      <c r="F141" s="3" t="s">
        <v>14795</v>
      </c>
      <c r="G141" s="3" t="s">
        <v>14729</v>
      </c>
      <c r="H141" s="4" t="str">
        <f>_xlfn.IFNA(IF(((INDEX(FieldDisagreements!C2:C50, MATCH(C141,FieldDisagreements!A2:A50, 0))="")=TRUE),  "",  INDEX(FieldDisagreements!C2:C50, MATCH(C141,FieldDisagreements!A2:A50, 0))), "")</f>
        <v>effortless-xlsx</v>
      </c>
      <c r="I141" s="4" t="str">
        <f>_xlfn.IFNA(IF(((INDEX(FieldDisagreements!D2:D50, MATCH(C141,FieldDisagreements!A2:A50, 0))="")=TRUE),  "",  INDEX(FieldDisagreements!D2:D50, MATCH(C141,FieldDisagreements!A2:A50, 0))), "")</f>
        <v>Steps.IsReachableFromEntryWithoutHumanGate</v>
      </c>
      <c r="J141" s="3" t="s">
        <v>1926</v>
      </c>
    </row>
    <row r="142">
      <c r="A142" s="3" t="s">
        <v>14931</v>
      </c>
      <c r="B142" s="4" t="str">
        <f>_xlfn.CONCAT(C142, " @ ", D142)</f>
        <v>effortless-xlsx|Steps.IsReachableFromEntryWithoutHumanGate @ policy-07</v>
      </c>
      <c r="C142" s="3" t="s">
        <v>14742</v>
      </c>
      <c r="D142" s="3" t="s">
        <v>610</v>
      </c>
      <c r="E142" s="3" t="s">
        <v>14784</v>
      </c>
      <c r="F142" s="3" t="s">
        <v>14795</v>
      </c>
      <c r="G142" s="3" t="s">
        <v>14729</v>
      </c>
      <c r="H142" s="4" t="str">
        <f>_xlfn.IFNA(IF(((INDEX(FieldDisagreements!C2:C50, MATCH(C142,FieldDisagreements!A2:A50, 0))="")=TRUE),  "",  INDEX(FieldDisagreements!C2:C50, MATCH(C142,FieldDisagreements!A2:A50, 0))), "")</f>
        <v>effortless-xlsx</v>
      </c>
      <c r="I142" s="4" t="str">
        <f>_xlfn.IFNA(IF(((INDEX(FieldDisagreements!D2:D50, MATCH(C142,FieldDisagreements!A2:A50, 0))="")=TRUE),  "",  INDEX(FieldDisagreements!D2:D50, MATCH(C142,FieldDisagreements!A2:A50, 0))), "")</f>
        <v>Steps.IsReachableFromEntryWithoutHumanGate</v>
      </c>
      <c r="J142" s="3" t="s">
        <v>1926</v>
      </c>
    </row>
    <row r="143">
      <c r="A143" s="3" t="s">
        <v>14932</v>
      </c>
      <c r="B143" s="4" t="str">
        <f>_xlfn.CONCAT(C143, " @ ", D143)</f>
        <v>effortless-xlsx|Steps.IsReachableFromEntryWithoutHumanGate @ policy-08</v>
      </c>
      <c r="C143" s="3" t="s">
        <v>14742</v>
      </c>
      <c r="D143" s="3" t="s">
        <v>613</v>
      </c>
      <c r="E143" s="3" t="s">
        <v>14784</v>
      </c>
      <c r="F143" s="3" t="s">
        <v>14795</v>
      </c>
      <c r="G143" s="3" t="s">
        <v>14729</v>
      </c>
      <c r="H143" s="4" t="str">
        <f>_xlfn.IFNA(IF(((INDEX(FieldDisagreements!C2:C50, MATCH(C143,FieldDisagreements!A2:A50, 0))="")=TRUE),  "",  INDEX(FieldDisagreements!C2:C50, MATCH(C143,FieldDisagreements!A2:A50, 0))), "")</f>
        <v>effortless-xlsx</v>
      </c>
      <c r="I143" s="4" t="str">
        <f>_xlfn.IFNA(IF(((INDEX(FieldDisagreements!D2:D50, MATCH(C143,FieldDisagreements!A2:A50, 0))="")=TRUE),  "",  INDEX(FieldDisagreements!D2:D50, MATCH(C143,FieldDisagreements!A2:A50, 0))), "")</f>
        <v>Steps.IsReachableFromEntryWithoutHumanGate</v>
      </c>
      <c r="J143" s="3" t="s">
        <v>1926</v>
      </c>
    </row>
    <row r="144">
      <c r="A144" s="3" t="s">
        <v>14933</v>
      </c>
      <c r="B144" s="4" t="str">
        <f>_xlfn.CONCAT(C144, " @ ", D144)</f>
        <v>effortless-xlsx|Steps.IsReachableFromEntryWithoutHumanGate @ policy-09</v>
      </c>
      <c r="C144" s="3" t="s">
        <v>14742</v>
      </c>
      <c r="D144" s="3" t="s">
        <v>617</v>
      </c>
      <c r="E144" s="3" t="s">
        <v>14784</v>
      </c>
      <c r="F144" s="3" t="s">
        <v>14795</v>
      </c>
      <c r="G144" s="3" t="s">
        <v>14729</v>
      </c>
      <c r="H144" s="4" t="str">
        <f>_xlfn.IFNA(IF(((INDEX(FieldDisagreements!C2:C50, MATCH(C144,FieldDisagreements!A2:A50, 0))="")=TRUE),  "",  INDEX(FieldDisagreements!C2:C50, MATCH(C144,FieldDisagreements!A2:A50, 0))), "")</f>
        <v>effortless-xlsx</v>
      </c>
      <c r="I144" s="4" t="str">
        <f>_xlfn.IFNA(IF(((INDEX(FieldDisagreements!D2:D50, MATCH(C144,FieldDisagreements!A2:A50, 0))="")=TRUE),  "",  INDEX(FieldDisagreements!D2:D50, MATCH(C144,FieldDisagreements!A2:A50, 0))), "")</f>
        <v>Steps.IsReachableFromEntryWithoutHumanGate</v>
      </c>
      <c r="J144" s="3" t="s">
        <v>1926</v>
      </c>
    </row>
    <row r="145">
      <c r="A145" s="3" t="s">
        <v>14934</v>
      </c>
      <c r="B145" s="4" t="str">
        <f>_xlfn.CONCAT(C145, " @ ", D145)</f>
        <v>effortless-xlsx|Steps.IsGateBypassedPublication @ close-01</v>
      </c>
      <c r="C145" s="3" t="s">
        <v>14743</v>
      </c>
      <c r="D145" s="3" t="s">
        <v>548</v>
      </c>
      <c r="E145" s="3" t="s">
        <v>14784</v>
      </c>
      <c r="F145" s="3" t="s">
        <v>14795</v>
      </c>
      <c r="G145" s="3" t="s">
        <v>14729</v>
      </c>
      <c r="H145" s="4" t="str">
        <f>_xlfn.IFNA(IF(((INDEX(FieldDisagreements!C2:C50, MATCH(C145,FieldDisagreements!A2:A50, 0))="")=TRUE),  "",  INDEX(FieldDisagreements!C2:C50, MATCH(C145,FieldDisagreements!A2:A50, 0))), "")</f>
        <v>effortless-xlsx</v>
      </c>
      <c r="I145" s="4" t="str">
        <f>_xlfn.IFNA(IF(((INDEX(FieldDisagreements!D2:D50, MATCH(C145,FieldDisagreements!A2:A50, 0))="")=TRUE),  "",  INDEX(FieldDisagreements!D2:D50, MATCH(C145,FieldDisagreements!A2:A50, 0))), "")</f>
        <v>Steps.IsGateBypassedPublication</v>
      </c>
      <c r="J145" s="3" t="s">
        <v>1926</v>
      </c>
    </row>
    <row r="146">
      <c r="A146" s="3" t="s">
        <v>14935</v>
      </c>
      <c r="B146" s="4" t="str">
        <f>_xlfn.CONCAT(C146, " @ ", D146)</f>
        <v>effortless-xlsx|Steps.IsGateBypassedPublication @ close-02</v>
      </c>
      <c r="C146" s="3" t="s">
        <v>14743</v>
      </c>
      <c r="D146" s="3" t="s">
        <v>556</v>
      </c>
      <c r="E146" s="3" t="s">
        <v>14784</v>
      </c>
      <c r="F146" s="3" t="s">
        <v>14795</v>
      </c>
      <c r="G146" s="3" t="s">
        <v>14729</v>
      </c>
      <c r="H146" s="4" t="str">
        <f>_xlfn.IFNA(IF(((INDEX(FieldDisagreements!C2:C50, MATCH(C146,FieldDisagreements!A2:A50, 0))="")=TRUE),  "",  INDEX(FieldDisagreements!C2:C50, MATCH(C146,FieldDisagreements!A2:A50, 0))), "")</f>
        <v>effortless-xlsx</v>
      </c>
      <c r="I146" s="4" t="str">
        <f>_xlfn.IFNA(IF(((INDEX(FieldDisagreements!D2:D50, MATCH(C146,FieldDisagreements!A2:A50, 0))="")=TRUE),  "",  INDEX(FieldDisagreements!D2:D50, MATCH(C146,FieldDisagreements!A2:A50, 0))), "")</f>
        <v>Steps.IsGateBypassedPublication</v>
      </c>
      <c r="J146" s="3" t="s">
        <v>1926</v>
      </c>
    </row>
    <row r="147">
      <c r="A147" s="3" t="s">
        <v>14936</v>
      </c>
      <c r="B147" s="4" t="str">
        <f>_xlfn.CONCAT(C147, " @ ", D147)</f>
        <v>effortless-xlsx|Steps.IsGateBypassedPublication @ close-03</v>
      </c>
      <c r="C147" s="3" t="s">
        <v>14743</v>
      </c>
      <c r="D147" s="3" t="s">
        <v>560</v>
      </c>
      <c r="E147" s="3" t="s">
        <v>14784</v>
      </c>
      <c r="F147" s="3" t="s">
        <v>14795</v>
      </c>
      <c r="G147" s="3" t="s">
        <v>14729</v>
      </c>
      <c r="H147" s="4" t="str">
        <f>_xlfn.IFNA(IF(((INDEX(FieldDisagreements!C2:C50, MATCH(C147,FieldDisagreements!A2:A50, 0))="")=TRUE),  "",  INDEX(FieldDisagreements!C2:C50, MATCH(C147,FieldDisagreements!A2:A50, 0))), "")</f>
        <v>effortless-xlsx</v>
      </c>
      <c r="I147" s="4" t="str">
        <f>_xlfn.IFNA(IF(((INDEX(FieldDisagreements!D2:D50, MATCH(C147,FieldDisagreements!A2:A50, 0))="")=TRUE),  "",  INDEX(FieldDisagreements!D2:D50, MATCH(C147,FieldDisagreements!A2:A50, 0))), "")</f>
        <v>Steps.IsGateBypassedPublication</v>
      </c>
      <c r="J147" s="3" t="s">
        <v>1926</v>
      </c>
    </row>
    <row r="148">
      <c r="A148" s="3" t="s">
        <v>14937</v>
      </c>
      <c r="B148" s="4" t="str">
        <f>_xlfn.CONCAT(C148, " @ ", D148)</f>
        <v>effortless-xlsx|Steps.IsGateBypassedPublication @ close-04</v>
      </c>
      <c r="C148" s="3" t="s">
        <v>14743</v>
      </c>
      <c r="D148" s="3" t="s">
        <v>567</v>
      </c>
      <c r="E148" s="3" t="s">
        <v>14784</v>
      </c>
      <c r="F148" s="3" t="s">
        <v>14795</v>
      </c>
      <c r="G148" s="3" t="s">
        <v>14729</v>
      </c>
      <c r="H148" s="4" t="str">
        <f>_xlfn.IFNA(IF(((INDEX(FieldDisagreements!C2:C50, MATCH(C148,FieldDisagreements!A2:A50, 0))="")=TRUE),  "",  INDEX(FieldDisagreements!C2:C50, MATCH(C148,FieldDisagreements!A2:A50, 0))), "")</f>
        <v>effortless-xlsx</v>
      </c>
      <c r="I148" s="4" t="str">
        <f>_xlfn.IFNA(IF(((INDEX(FieldDisagreements!D2:D50, MATCH(C148,FieldDisagreements!A2:A50, 0))="")=TRUE),  "",  INDEX(FieldDisagreements!D2:D50, MATCH(C148,FieldDisagreements!A2:A50, 0))), "")</f>
        <v>Steps.IsGateBypassedPublication</v>
      </c>
      <c r="J148" s="3" t="s">
        <v>1926</v>
      </c>
    </row>
    <row r="149">
      <c r="A149" s="3" t="s">
        <v>14938</v>
      </c>
      <c r="B149" s="4" t="str">
        <f>_xlfn.CONCAT(C149, " @ ", D149)</f>
        <v>effortless-xlsx|Steps.IsGateBypassedPublication @ close-05</v>
      </c>
      <c r="C149" s="3" t="s">
        <v>14743</v>
      </c>
      <c r="D149" s="3" t="s">
        <v>572</v>
      </c>
      <c r="E149" s="3" t="s">
        <v>14784</v>
      </c>
      <c r="F149" s="3" t="s">
        <v>14795</v>
      </c>
      <c r="G149" s="3" t="s">
        <v>14729</v>
      </c>
      <c r="H149" s="4" t="str">
        <f>_xlfn.IFNA(IF(((INDEX(FieldDisagreements!C2:C50, MATCH(C149,FieldDisagreements!A2:A50, 0))="")=TRUE),  "",  INDEX(FieldDisagreements!C2:C50, MATCH(C149,FieldDisagreements!A2:A50, 0))), "")</f>
        <v>effortless-xlsx</v>
      </c>
      <c r="I149" s="4" t="str">
        <f>_xlfn.IFNA(IF(((INDEX(FieldDisagreements!D2:D50, MATCH(C149,FieldDisagreements!A2:A50, 0))="")=TRUE),  "",  INDEX(FieldDisagreements!D2:D50, MATCH(C149,FieldDisagreements!A2:A50, 0))), "")</f>
        <v>Steps.IsGateBypassedPublication</v>
      </c>
      <c r="J149" s="3" t="s">
        <v>1926</v>
      </c>
    </row>
    <row r="150">
      <c r="A150" s="3" t="s">
        <v>14939</v>
      </c>
      <c r="B150" s="4" t="str">
        <f>_xlfn.CONCAT(C150, " @ ", D150)</f>
        <v>effortless-xlsx|Steps.IsGateBypassedPublication @ close-06</v>
      </c>
      <c r="C150" s="3" t="s">
        <v>14743</v>
      </c>
      <c r="D150" s="3" t="s">
        <v>576</v>
      </c>
      <c r="E150" s="3" t="s">
        <v>14784</v>
      </c>
      <c r="F150" s="3" t="s">
        <v>14795</v>
      </c>
      <c r="G150" s="3" t="s">
        <v>14729</v>
      </c>
      <c r="H150" s="4" t="str">
        <f>_xlfn.IFNA(IF(((INDEX(FieldDisagreements!C2:C50, MATCH(C150,FieldDisagreements!A2:A50, 0))="")=TRUE),  "",  INDEX(FieldDisagreements!C2:C50, MATCH(C150,FieldDisagreements!A2:A50, 0))), "")</f>
        <v>effortless-xlsx</v>
      </c>
      <c r="I150" s="4" t="str">
        <f>_xlfn.IFNA(IF(((INDEX(FieldDisagreements!D2:D50, MATCH(C150,FieldDisagreements!A2:A50, 0))="")=TRUE),  "",  INDEX(FieldDisagreements!D2:D50, MATCH(C150,FieldDisagreements!A2:A50, 0))), "")</f>
        <v>Steps.IsGateBypassedPublication</v>
      </c>
      <c r="J150" s="3" t="s">
        <v>1926</v>
      </c>
    </row>
    <row r="151">
      <c r="A151" s="3" t="s">
        <v>14940</v>
      </c>
      <c r="B151" s="4" t="str">
        <f>_xlfn.CONCAT(C151, " @ ", D151)</f>
        <v>effortless-xlsx|Steps.IsGateBypassedPublication @ close-07</v>
      </c>
      <c r="C151" s="3" t="s">
        <v>14743</v>
      </c>
      <c r="D151" s="3" t="s">
        <v>581</v>
      </c>
      <c r="E151" s="3" t="s">
        <v>14783</v>
      </c>
      <c r="F151" s="3" t="s">
        <v>14795</v>
      </c>
      <c r="G151" s="3" t="s">
        <v>14729</v>
      </c>
      <c r="H151" s="4" t="str">
        <f>_xlfn.IFNA(IF(((INDEX(FieldDisagreements!C2:C50, MATCH(C151,FieldDisagreements!A2:A50, 0))="")=TRUE),  "",  INDEX(FieldDisagreements!C2:C50, MATCH(C151,FieldDisagreements!A2:A50, 0))), "")</f>
        <v>effortless-xlsx</v>
      </c>
      <c r="I151" s="4" t="str">
        <f>_xlfn.IFNA(IF(((INDEX(FieldDisagreements!D2:D50, MATCH(C151,FieldDisagreements!A2:A50, 0))="")=TRUE),  "",  INDEX(FieldDisagreements!D2:D50, MATCH(C151,FieldDisagreements!A2:A50, 0))), "")</f>
        <v>Steps.IsGateBypassedPublication</v>
      </c>
      <c r="J151" s="3" t="s">
        <v>1926</v>
      </c>
    </row>
    <row r="152">
      <c r="A152" s="3" t="s">
        <v>14941</v>
      </c>
      <c r="B152" s="4" t="str">
        <f>_xlfn.CONCAT(C152, " @ ", D152)</f>
        <v>effortless-xlsx|Steps.IsGateBypassedPublication @ close-08</v>
      </c>
      <c r="C152" s="3" t="s">
        <v>14743</v>
      </c>
      <c r="D152" s="3" t="s">
        <v>586</v>
      </c>
      <c r="E152" s="3" t="s">
        <v>14784</v>
      </c>
      <c r="F152" s="3" t="s">
        <v>14795</v>
      </c>
      <c r="G152" s="3" t="s">
        <v>14729</v>
      </c>
      <c r="H152" s="4" t="str">
        <f>_xlfn.IFNA(IF(((INDEX(FieldDisagreements!C2:C50, MATCH(C152,FieldDisagreements!A2:A50, 0))="")=TRUE),  "",  INDEX(FieldDisagreements!C2:C50, MATCH(C152,FieldDisagreements!A2:A50, 0))), "")</f>
        <v>effortless-xlsx</v>
      </c>
      <c r="I152" s="4" t="str">
        <f>_xlfn.IFNA(IF(((INDEX(FieldDisagreements!D2:D50, MATCH(C152,FieldDisagreements!A2:A50, 0))="")=TRUE),  "",  INDEX(FieldDisagreements!D2:D50, MATCH(C152,FieldDisagreements!A2:A50, 0))), "")</f>
        <v>Steps.IsGateBypassedPublication</v>
      </c>
      <c r="J152" s="3" t="s">
        <v>1926</v>
      </c>
    </row>
    <row r="153">
      <c r="A153" s="3" t="s">
        <v>14942</v>
      </c>
      <c r="B153" s="4" t="str">
        <f>_xlfn.CONCAT(C153, " @ ", D153)</f>
        <v>effortless-xlsx|Steps.IsGateBypassedPublication @ policy-01</v>
      </c>
      <c r="C153" s="3" t="s">
        <v>14743</v>
      </c>
      <c r="D153" s="3" t="s">
        <v>591</v>
      </c>
      <c r="E153" s="3" t="s">
        <v>14784</v>
      </c>
      <c r="F153" s="3" t="s">
        <v>14795</v>
      </c>
      <c r="G153" s="3" t="s">
        <v>14729</v>
      </c>
      <c r="H153" s="4" t="str">
        <f>_xlfn.IFNA(IF(((INDEX(FieldDisagreements!C2:C50, MATCH(C153,FieldDisagreements!A2:A50, 0))="")=TRUE),  "",  INDEX(FieldDisagreements!C2:C50, MATCH(C153,FieldDisagreements!A2:A50, 0))), "")</f>
        <v>effortless-xlsx</v>
      </c>
      <c r="I153" s="4" t="str">
        <f>_xlfn.IFNA(IF(((INDEX(FieldDisagreements!D2:D50, MATCH(C153,FieldDisagreements!A2:A50, 0))="")=TRUE),  "",  INDEX(FieldDisagreements!D2:D50, MATCH(C153,FieldDisagreements!A2:A50, 0))), "")</f>
        <v>Steps.IsGateBypassedPublication</v>
      </c>
      <c r="J153" s="3" t="s">
        <v>1926</v>
      </c>
    </row>
    <row r="154">
      <c r="A154" s="3" t="s">
        <v>14943</v>
      </c>
      <c r="B154" s="4" t="str">
        <f>_xlfn.CONCAT(C154, " @ ", D154)</f>
        <v>effortless-xlsx|Steps.IsGateBypassedPublication @ policy-02</v>
      </c>
      <c r="C154" s="3" t="s">
        <v>14743</v>
      </c>
      <c r="D154" s="3" t="s">
        <v>594</v>
      </c>
      <c r="E154" s="3" t="s">
        <v>14784</v>
      </c>
      <c r="F154" s="3" t="s">
        <v>14795</v>
      </c>
      <c r="G154" s="3" t="s">
        <v>14729</v>
      </c>
      <c r="H154" s="4" t="str">
        <f>_xlfn.IFNA(IF(((INDEX(FieldDisagreements!C2:C50, MATCH(C154,FieldDisagreements!A2:A50, 0))="")=TRUE),  "",  INDEX(FieldDisagreements!C2:C50, MATCH(C154,FieldDisagreements!A2:A50, 0))), "")</f>
        <v>effortless-xlsx</v>
      </c>
      <c r="I154" s="4" t="str">
        <f>_xlfn.IFNA(IF(((INDEX(FieldDisagreements!D2:D50, MATCH(C154,FieldDisagreements!A2:A50, 0))="")=TRUE),  "",  INDEX(FieldDisagreements!D2:D50, MATCH(C154,FieldDisagreements!A2:A50, 0))), "")</f>
        <v>Steps.IsGateBypassedPublication</v>
      </c>
      <c r="J154" s="3" t="s">
        <v>1926</v>
      </c>
    </row>
    <row r="155">
      <c r="A155" s="3" t="s">
        <v>14944</v>
      </c>
      <c r="B155" s="4" t="str">
        <f>_xlfn.CONCAT(C155, " @ ", D155)</f>
        <v>effortless-xlsx|Steps.IsGateBypassedPublication @ policy-03</v>
      </c>
      <c r="C155" s="3" t="s">
        <v>14743</v>
      </c>
      <c r="D155" s="3" t="s">
        <v>597</v>
      </c>
      <c r="E155" s="3" t="s">
        <v>14784</v>
      </c>
      <c r="F155" s="3" t="s">
        <v>14795</v>
      </c>
      <c r="G155" s="3" t="s">
        <v>14729</v>
      </c>
      <c r="H155" s="4" t="str">
        <f>_xlfn.IFNA(IF(((INDEX(FieldDisagreements!C2:C50, MATCH(C155,FieldDisagreements!A2:A50, 0))="")=TRUE),  "",  INDEX(FieldDisagreements!C2:C50, MATCH(C155,FieldDisagreements!A2:A50, 0))), "")</f>
        <v>effortless-xlsx</v>
      </c>
      <c r="I155" s="4" t="str">
        <f>_xlfn.IFNA(IF(((INDEX(FieldDisagreements!D2:D50, MATCH(C155,FieldDisagreements!A2:A50, 0))="")=TRUE),  "",  INDEX(FieldDisagreements!D2:D50, MATCH(C155,FieldDisagreements!A2:A50, 0))), "")</f>
        <v>Steps.IsGateBypassedPublication</v>
      </c>
      <c r="J155" s="3" t="s">
        <v>1926</v>
      </c>
    </row>
    <row r="156">
      <c r="A156" s="3" t="s">
        <v>14945</v>
      </c>
      <c r="B156" s="4" t="str">
        <f>_xlfn.CONCAT(C156, " @ ", D156)</f>
        <v>effortless-xlsx|Steps.IsGateBypassedPublication @ policy-04</v>
      </c>
      <c r="C156" s="3" t="s">
        <v>14743</v>
      </c>
      <c r="D156" s="3" t="s">
        <v>600</v>
      </c>
      <c r="E156" s="3" t="s">
        <v>14784</v>
      </c>
      <c r="F156" s="3" t="s">
        <v>14795</v>
      </c>
      <c r="G156" s="3" t="s">
        <v>14729</v>
      </c>
      <c r="H156" s="4" t="str">
        <f>_xlfn.IFNA(IF(((INDEX(FieldDisagreements!C2:C50, MATCH(C156,FieldDisagreements!A2:A50, 0))="")=TRUE),  "",  INDEX(FieldDisagreements!C2:C50, MATCH(C156,FieldDisagreements!A2:A50, 0))), "")</f>
        <v>effortless-xlsx</v>
      </c>
      <c r="I156" s="4" t="str">
        <f>_xlfn.IFNA(IF(((INDEX(FieldDisagreements!D2:D50, MATCH(C156,FieldDisagreements!A2:A50, 0))="")=TRUE),  "",  INDEX(FieldDisagreements!D2:D50, MATCH(C156,FieldDisagreements!A2:A50, 0))), "")</f>
        <v>Steps.IsGateBypassedPublication</v>
      </c>
      <c r="J156" s="3" t="s">
        <v>1926</v>
      </c>
    </row>
    <row r="157">
      <c r="A157" s="3" t="s">
        <v>14946</v>
      </c>
      <c r="B157" s="4" t="str">
        <f>_xlfn.CONCAT(C157, " @ ", D157)</f>
        <v>effortless-xlsx|Steps.IsGateBypassedPublication @ policy-05</v>
      </c>
      <c r="C157" s="3" t="s">
        <v>14743</v>
      </c>
      <c r="D157" s="3" t="s">
        <v>604</v>
      </c>
      <c r="E157" s="3" t="s">
        <v>14784</v>
      </c>
      <c r="F157" s="3" t="s">
        <v>14795</v>
      </c>
      <c r="G157" s="3" t="s">
        <v>14729</v>
      </c>
      <c r="H157" s="4" t="str">
        <f>_xlfn.IFNA(IF(((INDEX(FieldDisagreements!C2:C50, MATCH(C157,FieldDisagreements!A2:A50, 0))="")=TRUE),  "",  INDEX(FieldDisagreements!C2:C50, MATCH(C157,FieldDisagreements!A2:A50, 0))), "")</f>
        <v>effortless-xlsx</v>
      </c>
      <c r="I157" s="4" t="str">
        <f>_xlfn.IFNA(IF(((INDEX(FieldDisagreements!D2:D50, MATCH(C157,FieldDisagreements!A2:A50, 0))="")=TRUE),  "",  INDEX(FieldDisagreements!D2:D50, MATCH(C157,FieldDisagreements!A2:A50, 0))), "")</f>
        <v>Steps.IsGateBypassedPublication</v>
      </c>
      <c r="J157" s="3" t="s">
        <v>1926</v>
      </c>
    </row>
    <row r="158">
      <c r="A158" s="3" t="s">
        <v>14947</v>
      </c>
      <c r="B158" s="4" t="str">
        <f>_xlfn.CONCAT(C158, " @ ", D158)</f>
        <v>effortless-xlsx|Steps.IsGateBypassedPublication @ policy-06</v>
      </c>
      <c r="C158" s="3" t="s">
        <v>14743</v>
      </c>
      <c r="D158" s="3" t="s">
        <v>607</v>
      </c>
      <c r="E158" s="3" t="s">
        <v>14784</v>
      </c>
      <c r="F158" s="3" t="s">
        <v>14795</v>
      </c>
      <c r="G158" s="3" t="s">
        <v>14729</v>
      </c>
      <c r="H158" s="4" t="str">
        <f>_xlfn.IFNA(IF(((INDEX(FieldDisagreements!C2:C50, MATCH(C158,FieldDisagreements!A2:A50, 0))="")=TRUE),  "",  INDEX(FieldDisagreements!C2:C50, MATCH(C158,FieldDisagreements!A2:A50, 0))), "")</f>
        <v>effortless-xlsx</v>
      </c>
      <c r="I158" s="4" t="str">
        <f>_xlfn.IFNA(IF(((INDEX(FieldDisagreements!D2:D50, MATCH(C158,FieldDisagreements!A2:A50, 0))="")=TRUE),  "",  INDEX(FieldDisagreements!D2:D50, MATCH(C158,FieldDisagreements!A2:A50, 0))), "")</f>
        <v>Steps.IsGateBypassedPublication</v>
      </c>
      <c r="J158" s="3" t="s">
        <v>1926</v>
      </c>
    </row>
    <row r="159">
      <c r="A159" s="3" t="s">
        <v>14948</v>
      </c>
      <c r="B159" s="4" t="str">
        <f>_xlfn.CONCAT(C159, " @ ", D159)</f>
        <v>effortless-xlsx|Steps.IsGateBypassedPublication @ policy-07</v>
      </c>
      <c r="C159" s="3" t="s">
        <v>14743</v>
      </c>
      <c r="D159" s="3" t="s">
        <v>610</v>
      </c>
      <c r="E159" s="3" t="s">
        <v>14784</v>
      </c>
      <c r="F159" s="3" t="s">
        <v>14795</v>
      </c>
      <c r="G159" s="3" t="s">
        <v>14729</v>
      </c>
      <c r="H159" s="4" t="str">
        <f>_xlfn.IFNA(IF(((INDEX(FieldDisagreements!C2:C50, MATCH(C159,FieldDisagreements!A2:A50, 0))="")=TRUE),  "",  INDEX(FieldDisagreements!C2:C50, MATCH(C159,FieldDisagreements!A2:A50, 0))), "")</f>
        <v>effortless-xlsx</v>
      </c>
      <c r="I159" s="4" t="str">
        <f>_xlfn.IFNA(IF(((INDEX(FieldDisagreements!D2:D50, MATCH(C159,FieldDisagreements!A2:A50, 0))="")=TRUE),  "",  INDEX(FieldDisagreements!D2:D50, MATCH(C159,FieldDisagreements!A2:A50, 0))), "")</f>
        <v>Steps.IsGateBypassedPublication</v>
      </c>
      <c r="J159" s="3" t="s">
        <v>1926</v>
      </c>
    </row>
    <row r="160">
      <c r="A160" s="3" t="s">
        <v>14949</v>
      </c>
      <c r="B160" s="4" t="str">
        <f>_xlfn.CONCAT(C160, " @ ", D160)</f>
        <v>effortless-xlsx|Steps.IsGateBypassedPublication @ policy-08</v>
      </c>
      <c r="C160" s="3" t="s">
        <v>14743</v>
      </c>
      <c r="D160" s="3" t="s">
        <v>613</v>
      </c>
      <c r="E160" s="3" t="s">
        <v>14784</v>
      </c>
      <c r="F160" s="3" t="s">
        <v>14795</v>
      </c>
      <c r="G160" s="3" t="s">
        <v>14729</v>
      </c>
      <c r="H160" s="4" t="str">
        <f>_xlfn.IFNA(IF(((INDEX(FieldDisagreements!C2:C50, MATCH(C160,FieldDisagreements!A2:A50, 0))="")=TRUE),  "",  INDEX(FieldDisagreements!C2:C50, MATCH(C160,FieldDisagreements!A2:A50, 0))), "")</f>
        <v>effortless-xlsx</v>
      </c>
      <c r="I160" s="4" t="str">
        <f>_xlfn.IFNA(IF(((INDEX(FieldDisagreements!D2:D50, MATCH(C160,FieldDisagreements!A2:A50, 0))="")=TRUE),  "",  INDEX(FieldDisagreements!D2:D50, MATCH(C160,FieldDisagreements!A2:A50, 0))), "")</f>
        <v>Steps.IsGateBypassedPublication</v>
      </c>
      <c r="J160" s="3" t="s">
        <v>1926</v>
      </c>
    </row>
    <row r="161">
      <c r="A161" s="3" t="s">
        <v>14950</v>
      </c>
      <c r="B161" s="4" t="str">
        <f>_xlfn.CONCAT(C161, " @ ", D161)</f>
        <v>effortless-xlsx|Steps.IsGateBypassedPublication @ policy-09</v>
      </c>
      <c r="C161" s="3" t="s">
        <v>14743</v>
      </c>
      <c r="D161" s="3" t="s">
        <v>617</v>
      </c>
      <c r="E161" s="3" t="s">
        <v>14784</v>
      </c>
      <c r="F161" s="3" t="s">
        <v>14795</v>
      </c>
      <c r="G161" s="3" t="s">
        <v>14729</v>
      </c>
      <c r="H161" s="4" t="str">
        <f>_xlfn.IFNA(IF(((INDEX(FieldDisagreements!C2:C50, MATCH(C161,FieldDisagreements!A2:A50, 0))="")=TRUE),  "",  INDEX(FieldDisagreements!C2:C50, MATCH(C161,FieldDisagreements!A2:A50, 0))), "")</f>
        <v>effortless-xlsx</v>
      </c>
      <c r="I161" s="4" t="str">
        <f>_xlfn.IFNA(IF(((INDEX(FieldDisagreements!D2:D50, MATCH(C161,FieldDisagreements!A2:A50, 0))="")=TRUE),  "",  INDEX(FieldDisagreements!D2:D50, MATCH(C161,FieldDisagreements!A2:A50, 0))), "")</f>
        <v>Steps.IsGateBypassedPublication</v>
      </c>
      <c r="J161" s="3" t="s">
        <v>1926</v>
      </c>
    </row>
    <row r="162">
      <c r="A162" s="3" t="s">
        <v>14951</v>
      </c>
      <c r="B162" s="4" t="str">
        <f>_xlfn.CONCAT(C162, " @ ", D162)</f>
        <v>effortless-xlsx|FAQs.Name @ faq-close-workpapers</v>
      </c>
      <c r="C162" s="3" t="s">
        <v>14744</v>
      </c>
      <c r="D162" s="3" t="s">
        <v>1245</v>
      </c>
      <c r="E162" s="3" t="s">
        <v>14952</v>
      </c>
      <c r="F162" s="3" t="s">
        <v>14781</v>
      </c>
      <c r="G162" s="3" t="s">
        <v>14745</v>
      </c>
      <c r="H162" s="4" t="str">
        <f>_xlfn.IFNA(IF(((INDEX(FieldDisagreements!C2:C50, MATCH(C162,FieldDisagreements!A2:A50, 0))="")=TRUE),  "",  INDEX(FieldDisagreements!C2:C50, MATCH(C162,FieldDisagreements!A2:A50, 0))), "")</f>
        <v>effortless-xlsx</v>
      </c>
      <c r="I162" s="4" t="str">
        <f>_xlfn.IFNA(IF(((INDEX(FieldDisagreements!D2:D50, MATCH(C162,FieldDisagreements!A2:A50, 0))="")=TRUE),  "",  INDEX(FieldDisagreements!D2:D50, MATCH(C162,FieldDisagreements!A2:A50, 0))), "")</f>
        <v>FAQs.Name</v>
      </c>
      <c r="J162" s="3" t="s">
        <v>1926</v>
      </c>
    </row>
    <row r="163">
      <c r="A163" s="3" t="s">
        <v>14953</v>
      </c>
      <c r="B163" s="4" t="str">
        <f>_xlfn.CONCAT(C163, " @ ", D163)</f>
        <v>effortless-xlsx|FAQs.Name @ faq-policy-ai</v>
      </c>
      <c r="C163" s="3" t="s">
        <v>14744</v>
      </c>
      <c r="D163" s="3" t="s">
        <v>1250</v>
      </c>
      <c r="E163" s="3" t="s">
        <v>14954</v>
      </c>
      <c r="F163" s="3" t="s">
        <v>14781</v>
      </c>
      <c r="G163" s="3" t="s">
        <v>14745</v>
      </c>
      <c r="H163" s="4" t="str">
        <f>_xlfn.IFNA(IF(((INDEX(FieldDisagreements!C2:C50, MATCH(C163,FieldDisagreements!A2:A50, 0))="")=TRUE),  "",  INDEX(FieldDisagreements!C2:C50, MATCH(C163,FieldDisagreements!A2:A50, 0))), "")</f>
        <v>effortless-xlsx</v>
      </c>
      <c r="I163" s="4" t="str">
        <f>_xlfn.IFNA(IF(((INDEX(FieldDisagreements!D2:D50, MATCH(C163,FieldDisagreements!A2:A50, 0))="")=TRUE),  "",  INDEX(FieldDisagreements!D2:D50, MATCH(C163,FieldDisagreements!A2:A50, 0))), "")</f>
        <v>FAQs.Name</v>
      </c>
      <c r="J163" s="3" t="s">
        <v>1926</v>
      </c>
    </row>
    <row r="164">
      <c r="A164" s="3" t="s">
        <v>14955</v>
      </c>
      <c r="B164" s="4" t="str">
        <f>_xlfn.CONCAT(C164, " @ ", D164)</f>
        <v>effortless-xlsx|FAQs.Name @ faq-policy-optout</v>
      </c>
      <c r="C164" s="3" t="s">
        <v>14744</v>
      </c>
      <c r="D164" s="3" t="s">
        <v>1254</v>
      </c>
      <c r="E164" s="3" t="s">
        <v>14956</v>
      </c>
      <c r="F164" s="3" t="s">
        <v>14781</v>
      </c>
      <c r="G164" s="3" t="s">
        <v>14745</v>
      </c>
      <c r="H164" s="4" t="str">
        <f>_xlfn.IFNA(IF(((INDEX(FieldDisagreements!C2:C50, MATCH(C164,FieldDisagreements!A2:A50, 0))="")=TRUE),  "",  INDEX(FieldDisagreements!C2:C50, MATCH(C164,FieldDisagreements!A2:A50, 0))), "")</f>
        <v>effortless-xlsx</v>
      </c>
      <c r="I164" s="4" t="str">
        <f>_xlfn.IFNA(IF(((INDEX(FieldDisagreements!D2:D50, MATCH(C164,FieldDisagreements!A2:A50, 0))="")=TRUE),  "",  INDEX(FieldDisagreements!D2:D50, MATCH(C164,FieldDisagreements!A2:A50, 0))), "")</f>
        <v>FAQs.Name</v>
      </c>
      <c r="J164" s="3" t="s">
        <v>1926</v>
      </c>
    </row>
    <row r="165">
      <c r="A165" s="3" t="s">
        <v>14957</v>
      </c>
      <c r="B165" s="4" t="str">
        <f>_xlfn.CONCAT(C165, " @ ", D165)</f>
        <v>effortless-xlsx|ProcedureExecutions.LatestAttestationInstant @ exec-close-2026-q2</v>
      </c>
      <c r="C165" s="3" t="s">
        <v>14746</v>
      </c>
      <c r="D165" s="3" t="s">
        <v>1339</v>
      </c>
      <c r="E165" s="3" t="s">
        <v>14781</v>
      </c>
      <c r="F165" s="3" t="s">
        <v>14958</v>
      </c>
      <c r="G165" s="3" t="s">
        <v>14729</v>
      </c>
      <c r="H165" s="4" t="str">
        <f>_xlfn.IFNA(IF(((INDEX(FieldDisagreements!C2:C50, MATCH(C165,FieldDisagreements!A2:A50, 0))="")=TRUE),  "",  INDEX(FieldDisagreements!C2:C50, MATCH(C165,FieldDisagreements!A2:A50, 0))), "")</f>
        <v>effortless-xlsx</v>
      </c>
      <c r="I165" s="4" t="str">
        <f>_xlfn.IFNA(IF(((INDEX(FieldDisagreements!D2:D50, MATCH(C165,FieldDisagreements!A2:A50, 0))="")=TRUE),  "",  INDEX(FieldDisagreements!D2:D50, MATCH(C165,FieldDisagreements!A2:A50, 0))), "")</f>
        <v>ProcedureExecutions.LatestAttestationInstant</v>
      </c>
      <c r="J165" s="3" t="s">
        <v>1926</v>
      </c>
    </row>
    <row r="166">
      <c r="A166" s="3" t="s">
        <v>14959</v>
      </c>
      <c r="B166" s="4" t="str">
        <f>_xlfn.CONCAT(C166, " @ ", D166)</f>
        <v>effortless-xlsx|ProcedureExecutions.LatestAttestationInstant @ exec-policy-hr4821</v>
      </c>
      <c r="C166" s="3" t="s">
        <v>14746</v>
      </c>
      <c r="D166" s="3" t="s">
        <v>1344</v>
      </c>
      <c r="E166" s="3" t="s">
        <v>14781</v>
      </c>
      <c r="F166" s="3" t="s">
        <v>14958</v>
      </c>
      <c r="G166" s="3" t="s">
        <v>14729</v>
      </c>
      <c r="H166" s="4" t="str">
        <f>_xlfn.IFNA(IF(((INDEX(FieldDisagreements!C2:C50, MATCH(C166,FieldDisagreements!A2:A50, 0))="")=TRUE),  "",  INDEX(FieldDisagreements!C2:C50, MATCH(C166,FieldDisagreements!A2:A50, 0))), "")</f>
        <v>effortless-xlsx</v>
      </c>
      <c r="I166" s="4" t="str">
        <f>_xlfn.IFNA(IF(((INDEX(FieldDisagreements!D2:D50, MATCH(C166,FieldDisagreements!A2:A50, 0))="")=TRUE),  "",  INDEX(FieldDisagreements!D2:D50, MATCH(C166,FieldDisagreements!A2:A50, 0))), "")</f>
        <v>ProcedureExecutions.LatestAttestationInstant</v>
      </c>
      <c r="J166" s="3" t="s">
        <v>1926</v>
      </c>
    </row>
    <row r="167">
      <c r="A167" s="3" t="s">
        <v>14960</v>
      </c>
      <c r="B167" s="4" t="str">
        <f>_xlfn.CONCAT(C167, " @ ", D167)</f>
        <v>effortless-xlsx|ProcedureExecutions.PostAttestationScoreCount @ exec-close-2026-q2</v>
      </c>
      <c r="C167" s="3" t="s">
        <v>14747</v>
      </c>
      <c r="D167" s="3" t="s">
        <v>1339</v>
      </c>
      <c r="E167" s="3" t="s">
        <v>955</v>
      </c>
      <c r="F167" s="3" t="s">
        <v>14797</v>
      </c>
      <c r="G167" s="3" t="s">
        <v>14729</v>
      </c>
      <c r="H167" s="4" t="str">
        <f>_xlfn.IFNA(IF(((INDEX(FieldDisagreements!C2:C50, MATCH(C167,FieldDisagreements!A2:A50, 0))="")=TRUE),  "",  INDEX(FieldDisagreements!C2:C50, MATCH(C167,FieldDisagreements!A2:A50, 0))), "")</f>
        <v>effortless-xlsx</v>
      </c>
      <c r="I167" s="4" t="str">
        <f>_xlfn.IFNA(IF(((INDEX(FieldDisagreements!D2:D50, MATCH(C167,FieldDisagreements!A2:A50, 0))="")=TRUE),  "",  INDEX(FieldDisagreements!D2:D50, MATCH(C167,FieldDisagreements!A2:A50, 0))), "")</f>
        <v>ProcedureExecutions.PostAttestationScoreCount</v>
      </c>
      <c r="J167" s="3" t="s">
        <v>1926</v>
      </c>
    </row>
    <row r="168">
      <c r="A168" s="3" t="s">
        <v>14961</v>
      </c>
      <c r="B168" s="4" t="str">
        <f>_xlfn.CONCAT(C168, " @ ", D168)</f>
        <v>effortless-xlsx|ProcedureExecutions.PostAttestationScoreCount @ exec-policy-hr4821</v>
      </c>
      <c r="C168" s="3" t="s">
        <v>14747</v>
      </c>
      <c r="D168" s="3" t="s">
        <v>1344</v>
      </c>
      <c r="E168" s="3" t="s">
        <v>955</v>
      </c>
      <c r="F168" s="3" t="s">
        <v>14962</v>
      </c>
      <c r="G168" s="3" t="s">
        <v>14729</v>
      </c>
      <c r="H168" s="4" t="str">
        <f>_xlfn.IFNA(IF(((INDEX(FieldDisagreements!C2:C50, MATCH(C168,FieldDisagreements!A2:A50, 0))="")=TRUE),  "",  INDEX(FieldDisagreements!C2:C50, MATCH(C168,FieldDisagreements!A2:A50, 0))), "")</f>
        <v>effortless-xlsx</v>
      </c>
      <c r="I168" s="4" t="str">
        <f>_xlfn.IFNA(IF(((INDEX(FieldDisagreements!D2:D50, MATCH(C168,FieldDisagreements!A2:A50, 0))="")=TRUE),  "",  INDEX(FieldDisagreements!D2:D50, MATCH(C168,FieldDisagreements!A2:A50, 0))), "")</f>
        <v>ProcedureExecutions.PostAttestationScoreCount</v>
      </c>
      <c r="J168" s="3" t="s">
        <v>1926</v>
      </c>
    </row>
    <row r="169">
      <c r="A169" s="3" t="s">
        <v>14963</v>
      </c>
      <c r="B169" s="4" t="str">
        <f>_xlfn.CONCAT(C169, " @ ", D169)</f>
        <v>effortless-xlsx|RequirementSatisfactions.WasScoredAfterAttestation @ sat-close-balance</v>
      </c>
      <c r="C169" s="3" t="s">
        <v>14748</v>
      </c>
      <c r="D169" s="3" t="s">
        <v>1512</v>
      </c>
      <c r="E169" s="3" t="s">
        <v>14784</v>
      </c>
      <c r="F169" s="3" t="s">
        <v>14783</v>
      </c>
      <c r="G169" s="3" t="s">
        <v>14729</v>
      </c>
      <c r="H169" s="4" t="str">
        <f>_xlfn.IFNA(IF(((INDEX(FieldDisagreements!C2:C50, MATCH(C169,FieldDisagreements!A2:A50, 0))="")=TRUE),  "",  INDEX(FieldDisagreements!C2:C50, MATCH(C169,FieldDisagreements!A2:A50, 0))), "")</f>
        <v>effortless-xlsx</v>
      </c>
      <c r="I169" s="4" t="str">
        <f>_xlfn.IFNA(IF(((INDEX(FieldDisagreements!D2:D50, MATCH(C169,FieldDisagreements!A2:A50, 0))="")=TRUE),  "",  INDEX(FieldDisagreements!D2:D50, MATCH(C169,FieldDisagreements!A2:A50, 0))), "")</f>
        <v>RequirementSatisfactions.WasScoredAfterAttestation</v>
      </c>
      <c r="J169" s="3" t="s">
        <v>1926</v>
      </c>
    </row>
    <row r="170">
      <c r="A170" s="3" t="s">
        <v>14964</v>
      </c>
      <c r="B170" s="4" t="str">
        <f>_xlfn.CONCAT(C170, " @ ", D170)</f>
        <v>effortless-xlsx|RequirementSatisfactions.WasScoredAfterAttestation @ sat-close-cutoff</v>
      </c>
      <c r="C170" s="3" t="s">
        <v>14748</v>
      </c>
      <c r="D170" s="3" t="s">
        <v>1508</v>
      </c>
      <c r="E170" s="3" t="s">
        <v>14784</v>
      </c>
      <c r="F170" s="3" t="s">
        <v>14783</v>
      </c>
      <c r="G170" s="3" t="s">
        <v>14729</v>
      </c>
      <c r="H170" s="4" t="str">
        <f>_xlfn.IFNA(IF(((INDEX(FieldDisagreements!C2:C50, MATCH(C170,FieldDisagreements!A2:A50, 0))="")=TRUE),  "",  INDEX(FieldDisagreements!C2:C50, MATCH(C170,FieldDisagreements!A2:A50, 0))), "")</f>
        <v>effortless-xlsx</v>
      </c>
      <c r="I170" s="4" t="str">
        <f>_xlfn.IFNA(IF(((INDEX(FieldDisagreements!D2:D50, MATCH(C170,FieldDisagreements!A2:A50, 0))="")=TRUE),  "",  INDEX(FieldDisagreements!D2:D50, MATCH(C170,FieldDisagreements!A2:A50, 0))), "")</f>
        <v>RequirementSatisfactions.WasScoredAfterAttestation</v>
      </c>
      <c r="J170" s="3" t="s">
        <v>1926</v>
      </c>
    </row>
    <row r="171">
      <c r="A171" s="3" t="s">
        <v>14965</v>
      </c>
      <c r="B171" s="4" t="str">
        <f>_xlfn.CONCAT(C171, " @ ", D171)</f>
        <v>effortless-xlsx|RequirementSatisfactions.WasScoredAfterAttestation @ sat-close-evidence</v>
      </c>
      <c r="C171" s="3" t="s">
        <v>14748</v>
      </c>
      <c r="D171" s="3" t="s">
        <v>1522</v>
      </c>
      <c r="E171" s="3" t="s">
        <v>14784</v>
      </c>
      <c r="F171" s="3" t="s">
        <v>14783</v>
      </c>
      <c r="G171" s="3" t="s">
        <v>14729</v>
      </c>
      <c r="H171" s="4" t="str">
        <f>_xlfn.IFNA(IF(((INDEX(FieldDisagreements!C2:C50, MATCH(C171,FieldDisagreements!A2:A50, 0))="")=TRUE),  "",  INDEX(FieldDisagreements!C2:C50, MATCH(C171,FieldDisagreements!A2:A50, 0))), "")</f>
        <v>effortless-xlsx</v>
      </c>
      <c r="I171" s="4" t="str">
        <f>_xlfn.IFNA(IF(((INDEX(FieldDisagreements!D2:D50, MATCH(C171,FieldDisagreements!A2:A50, 0))="")=TRUE),  "",  INDEX(FieldDisagreements!D2:D50, MATCH(C171,FieldDisagreements!A2:A50, 0))), "")</f>
        <v>RequirementSatisfactions.WasScoredAfterAttestation</v>
      </c>
      <c r="J171" s="3" t="s">
        <v>1926</v>
      </c>
    </row>
    <row r="172">
      <c r="A172" s="3" t="s">
        <v>14966</v>
      </c>
      <c r="B172" s="4" t="str">
        <f>_xlfn.CONCAT(C172, " @ ", D172)</f>
        <v>effortless-xlsx|RequirementSatisfactions.WasScoredAfterAttestation @ sat-close-human</v>
      </c>
      <c r="C172" s="3" t="s">
        <v>14748</v>
      </c>
      <c r="D172" s="3" t="s">
        <v>1516</v>
      </c>
      <c r="E172" s="3" t="s">
        <v>14784</v>
      </c>
      <c r="F172" s="3" t="s">
        <v>14783</v>
      </c>
      <c r="G172" s="3" t="s">
        <v>14729</v>
      </c>
      <c r="H172" s="4" t="str">
        <f>_xlfn.IFNA(IF(((INDEX(FieldDisagreements!C2:C50, MATCH(C172,FieldDisagreements!A2:A50, 0))="")=TRUE),  "",  INDEX(FieldDisagreements!C2:C50, MATCH(C172,FieldDisagreements!A2:A50, 0))), "")</f>
        <v>effortless-xlsx</v>
      </c>
      <c r="I172" s="4" t="str">
        <f>_xlfn.IFNA(IF(((INDEX(FieldDisagreements!D2:D50, MATCH(C172,FieldDisagreements!A2:A50, 0))="")=TRUE),  "",  INDEX(FieldDisagreements!D2:D50, MATCH(C172,FieldDisagreements!A2:A50, 0))), "")</f>
        <v>RequirementSatisfactions.WasScoredAfterAttestation</v>
      </c>
      <c r="J172" s="3" t="s">
        <v>1926</v>
      </c>
    </row>
    <row r="173">
      <c r="A173" s="3" t="s">
        <v>14967</v>
      </c>
      <c r="B173" s="4" t="str">
        <f>_xlfn.CONCAT(C173, " @ ", D173)</f>
        <v>effortless-xlsx|RequirementSatisfactions.WasScoredAfterAttestation @ sat-close-separation</v>
      </c>
      <c r="C173" s="3" t="s">
        <v>14748</v>
      </c>
      <c r="D173" s="3" t="s">
        <v>1514</v>
      </c>
      <c r="E173" s="3" t="s">
        <v>14784</v>
      </c>
      <c r="F173" s="3" t="s">
        <v>14783</v>
      </c>
      <c r="G173" s="3" t="s">
        <v>14729</v>
      </c>
      <c r="H173" s="4" t="str">
        <f>_xlfn.IFNA(IF(((INDEX(FieldDisagreements!C2:C50, MATCH(C173,FieldDisagreements!A2:A50, 0))="")=TRUE),  "",  INDEX(FieldDisagreements!C2:C50, MATCH(C173,FieldDisagreements!A2:A50, 0))), "")</f>
        <v>effortless-xlsx</v>
      </c>
      <c r="I173" s="4" t="str">
        <f>_xlfn.IFNA(IF(((INDEX(FieldDisagreements!D2:D50, MATCH(C173,FieldDisagreements!A2:A50, 0))="")=TRUE),  "",  INDEX(FieldDisagreements!D2:D50, MATCH(C173,FieldDisagreements!A2:A50, 0))), "")</f>
        <v>RequirementSatisfactions.WasScoredAfterAttestation</v>
      </c>
      <c r="J173" s="3" t="s">
        <v>1926</v>
      </c>
    </row>
    <row r="174">
      <c r="A174" s="3" t="s">
        <v>14968</v>
      </c>
      <c r="B174" s="4" t="str">
        <f>_xlfn.CONCAT(C174, " @ ", D174)</f>
        <v>effortless-xlsx|RequirementSatisfactions.WasScoredAfterAttestation @ sat-close08-evidence</v>
      </c>
      <c r="C174" s="3" t="s">
        <v>14748</v>
      </c>
      <c r="D174" s="3" t="s">
        <v>1525</v>
      </c>
      <c r="E174" s="3" t="s">
        <v>14784</v>
      </c>
      <c r="F174" s="3" t="s">
        <v>14783</v>
      </c>
      <c r="G174" s="3" t="s">
        <v>14729</v>
      </c>
      <c r="H174" s="4" t="str">
        <f>_xlfn.IFNA(IF(((INDEX(FieldDisagreements!C2:C50, MATCH(C174,FieldDisagreements!A2:A50, 0))="")=TRUE),  "",  INDEX(FieldDisagreements!C2:C50, MATCH(C174,FieldDisagreements!A2:A50, 0))), "")</f>
        <v>effortless-xlsx</v>
      </c>
      <c r="I174" s="4" t="str">
        <f>_xlfn.IFNA(IF(((INDEX(FieldDisagreements!D2:D50, MATCH(C174,FieldDisagreements!A2:A50, 0))="")=TRUE),  "",  INDEX(FieldDisagreements!D2:D50, MATCH(C174,FieldDisagreements!A2:A50, 0))), "")</f>
        <v>RequirementSatisfactions.WasScoredAfterAttestation</v>
      </c>
      <c r="J174" s="3" t="s">
        <v>1926</v>
      </c>
    </row>
    <row r="175">
      <c r="A175" s="3" t="s">
        <v>14969</v>
      </c>
      <c r="B175" s="4" t="str">
        <f>_xlfn.CONCAT(C175, " @ ", D175)</f>
        <v>effortless-xlsx|RequirementSatisfactions.WasScoredAfterAttestation @ sat-policy-legal</v>
      </c>
      <c r="C175" s="3" t="s">
        <v>14748</v>
      </c>
      <c r="D175" s="3" t="s">
        <v>1520</v>
      </c>
      <c r="E175" s="3" t="s">
        <v>14784</v>
      </c>
      <c r="F175" s="3" t="s">
        <v>14783</v>
      </c>
      <c r="G175" s="3" t="s">
        <v>14729</v>
      </c>
      <c r="H175" s="4" t="str">
        <f>_xlfn.IFNA(IF(((INDEX(FieldDisagreements!C2:C50, MATCH(C175,FieldDisagreements!A2:A50, 0))="")=TRUE),  "",  INDEX(FieldDisagreements!C2:C50, MATCH(C175,FieldDisagreements!A2:A50, 0))), "")</f>
        <v>effortless-xlsx</v>
      </c>
      <c r="I175" s="4" t="str">
        <f>_xlfn.IFNA(IF(((INDEX(FieldDisagreements!D2:D50, MATCH(C175,FieldDisagreements!A2:A50, 0))="")=TRUE),  "",  INDEX(FieldDisagreements!D2:D50, MATCH(C175,FieldDisagreements!A2:A50, 0))), "")</f>
        <v>RequirementSatisfactions.WasScoredAfterAttestation</v>
      </c>
      <c r="J175" s="3" t="s">
        <v>1926</v>
      </c>
    </row>
    <row r="176">
      <c r="A176" s="3" t="s">
        <v>14970</v>
      </c>
      <c r="B176" s="4" t="str">
        <f>_xlfn.CONCAT(C176, " @ ", D176)</f>
        <v>effortless-xlsx|RequirementSatisfactions.WasScoredAfterAttestation @ sat-policy-source</v>
      </c>
      <c r="C176" s="3" t="s">
        <v>14748</v>
      </c>
      <c r="D176" s="3" t="s">
        <v>1518</v>
      </c>
      <c r="E176" s="3" t="s">
        <v>14784</v>
      </c>
      <c r="F176" s="3" t="s">
        <v>14783</v>
      </c>
      <c r="G176" s="3" t="s">
        <v>14729</v>
      </c>
      <c r="H176" s="4" t="str">
        <f>_xlfn.IFNA(IF(((INDEX(FieldDisagreements!C2:C50, MATCH(C176,FieldDisagreements!A2:A50, 0))="")=TRUE),  "",  INDEX(FieldDisagreements!C2:C50, MATCH(C176,FieldDisagreements!A2:A50, 0))), "")</f>
        <v>effortless-xlsx</v>
      </c>
      <c r="I176" s="4" t="str">
        <f>_xlfn.IFNA(IF(((INDEX(FieldDisagreements!D2:D50, MATCH(C176,FieldDisagreements!A2:A50, 0))="")=TRUE),  "",  INDEX(FieldDisagreements!D2:D50, MATCH(C176,FieldDisagreements!A2:A50, 0))), "")</f>
        <v>RequirementSatisfactions.WasScoredAfterAttestation</v>
      </c>
      <c r="J176" s="3" t="s">
        <v>1926</v>
      </c>
    </row>
    <row r="177">
      <c r="A177" s="3" t="s">
        <v>14971</v>
      </c>
      <c r="B177" s="4" t="str">
        <f>_xlfn.CONCAT(C177, " @ ", D177)</f>
        <v>effortless-xlsx|RequirementSatisfactions.AttestationInstantForRun @ sat-close-balance</v>
      </c>
      <c r="C177" s="3" t="s">
        <v>14749</v>
      </c>
      <c r="D177" s="3" t="s">
        <v>1512</v>
      </c>
      <c r="E177" s="3" t="s">
        <v>14781</v>
      </c>
      <c r="F177" s="3" t="s">
        <v>14958</v>
      </c>
      <c r="G177" s="3" t="s">
        <v>14729</v>
      </c>
      <c r="H177" s="4" t="str">
        <f>_xlfn.IFNA(IF(((INDEX(FieldDisagreements!C2:C50, MATCH(C177,FieldDisagreements!A2:A50, 0))="")=TRUE),  "",  INDEX(FieldDisagreements!C2:C50, MATCH(C177,FieldDisagreements!A2:A50, 0))), "")</f>
        <v>effortless-xlsx</v>
      </c>
      <c r="I177" s="4" t="str">
        <f>_xlfn.IFNA(IF(((INDEX(FieldDisagreements!D2:D50, MATCH(C177,FieldDisagreements!A2:A50, 0))="")=TRUE),  "",  INDEX(FieldDisagreements!D2:D50, MATCH(C177,FieldDisagreements!A2:A50, 0))), "")</f>
        <v>RequirementSatisfactions.AttestationInstantForRun</v>
      </c>
      <c r="J177" s="3" t="s">
        <v>1926</v>
      </c>
    </row>
    <row r="178">
      <c r="A178" s="3" t="s">
        <v>14972</v>
      </c>
      <c r="B178" s="4" t="str">
        <f>_xlfn.CONCAT(C178, " @ ", D178)</f>
        <v>effortless-xlsx|RequirementSatisfactions.AttestationInstantForRun @ sat-close-cutoff</v>
      </c>
      <c r="C178" s="3" t="s">
        <v>14749</v>
      </c>
      <c r="D178" s="3" t="s">
        <v>1508</v>
      </c>
      <c r="E178" s="3" t="s">
        <v>14781</v>
      </c>
      <c r="F178" s="3" t="s">
        <v>14958</v>
      </c>
      <c r="G178" s="3" t="s">
        <v>14729</v>
      </c>
      <c r="H178" s="4" t="str">
        <f>_xlfn.IFNA(IF(((INDEX(FieldDisagreements!C2:C50, MATCH(C178,FieldDisagreements!A2:A50, 0))="")=TRUE),  "",  INDEX(FieldDisagreements!C2:C50, MATCH(C178,FieldDisagreements!A2:A50, 0))), "")</f>
        <v>effortless-xlsx</v>
      </c>
      <c r="I178" s="4" t="str">
        <f>_xlfn.IFNA(IF(((INDEX(FieldDisagreements!D2:D50, MATCH(C178,FieldDisagreements!A2:A50, 0))="")=TRUE),  "",  INDEX(FieldDisagreements!D2:D50, MATCH(C178,FieldDisagreements!A2:A50, 0))), "")</f>
        <v>RequirementSatisfactions.AttestationInstantForRun</v>
      </c>
      <c r="J178" s="3" t="s">
        <v>1926</v>
      </c>
    </row>
    <row r="179">
      <c r="A179" s="3" t="s">
        <v>14973</v>
      </c>
      <c r="B179" s="4" t="str">
        <f>_xlfn.CONCAT(C179, " @ ", D179)</f>
        <v>effortless-xlsx|RequirementSatisfactions.AttestationInstantForRun @ sat-close-evidence</v>
      </c>
      <c r="C179" s="3" t="s">
        <v>14749</v>
      </c>
      <c r="D179" s="3" t="s">
        <v>1522</v>
      </c>
      <c r="E179" s="3" t="s">
        <v>14781</v>
      </c>
      <c r="F179" s="3" t="s">
        <v>14958</v>
      </c>
      <c r="G179" s="3" t="s">
        <v>14729</v>
      </c>
      <c r="H179" s="4" t="str">
        <f>_xlfn.IFNA(IF(((INDEX(FieldDisagreements!C2:C50, MATCH(C179,FieldDisagreements!A2:A50, 0))="")=TRUE),  "",  INDEX(FieldDisagreements!C2:C50, MATCH(C179,FieldDisagreements!A2:A50, 0))), "")</f>
        <v>effortless-xlsx</v>
      </c>
      <c r="I179" s="4" t="str">
        <f>_xlfn.IFNA(IF(((INDEX(FieldDisagreements!D2:D50, MATCH(C179,FieldDisagreements!A2:A50, 0))="")=TRUE),  "",  INDEX(FieldDisagreements!D2:D50, MATCH(C179,FieldDisagreements!A2:A50, 0))), "")</f>
        <v>RequirementSatisfactions.AttestationInstantForRun</v>
      </c>
      <c r="J179" s="3" t="s">
        <v>1926</v>
      </c>
    </row>
    <row r="180">
      <c r="A180" s="3" t="s">
        <v>14974</v>
      </c>
      <c r="B180" s="4" t="str">
        <f>_xlfn.CONCAT(C180, " @ ", D180)</f>
        <v>effortless-xlsx|RequirementSatisfactions.AttestationInstantForRun @ sat-close-human</v>
      </c>
      <c r="C180" s="3" t="s">
        <v>14749</v>
      </c>
      <c r="D180" s="3" t="s">
        <v>1516</v>
      </c>
      <c r="E180" s="3" t="s">
        <v>14781</v>
      </c>
      <c r="F180" s="3" t="s">
        <v>14958</v>
      </c>
      <c r="G180" s="3" t="s">
        <v>14729</v>
      </c>
      <c r="H180" s="4" t="str">
        <f>_xlfn.IFNA(IF(((INDEX(FieldDisagreements!C2:C50, MATCH(C180,FieldDisagreements!A2:A50, 0))="")=TRUE),  "",  INDEX(FieldDisagreements!C2:C50, MATCH(C180,FieldDisagreements!A2:A50, 0))), "")</f>
        <v>effortless-xlsx</v>
      </c>
      <c r="I180" s="4" t="str">
        <f>_xlfn.IFNA(IF(((INDEX(FieldDisagreements!D2:D50, MATCH(C180,FieldDisagreements!A2:A50, 0))="")=TRUE),  "",  INDEX(FieldDisagreements!D2:D50, MATCH(C180,FieldDisagreements!A2:A50, 0))), "")</f>
        <v>RequirementSatisfactions.AttestationInstantForRun</v>
      </c>
      <c r="J180" s="3" t="s">
        <v>1926</v>
      </c>
    </row>
    <row r="181">
      <c r="A181" s="3" t="s">
        <v>14975</v>
      </c>
      <c r="B181" s="4" t="str">
        <f>_xlfn.CONCAT(C181, " @ ", D181)</f>
        <v>effortless-xlsx|RequirementSatisfactions.AttestationInstantForRun @ sat-close-separation</v>
      </c>
      <c r="C181" s="3" t="s">
        <v>14749</v>
      </c>
      <c r="D181" s="3" t="s">
        <v>1514</v>
      </c>
      <c r="E181" s="3" t="s">
        <v>14781</v>
      </c>
      <c r="F181" s="3" t="s">
        <v>14958</v>
      </c>
      <c r="G181" s="3" t="s">
        <v>14729</v>
      </c>
      <c r="H181" s="4" t="str">
        <f>_xlfn.IFNA(IF(((INDEX(FieldDisagreements!C2:C50, MATCH(C181,FieldDisagreements!A2:A50, 0))="")=TRUE),  "",  INDEX(FieldDisagreements!C2:C50, MATCH(C181,FieldDisagreements!A2:A50, 0))), "")</f>
        <v>effortless-xlsx</v>
      </c>
      <c r="I181" s="4" t="str">
        <f>_xlfn.IFNA(IF(((INDEX(FieldDisagreements!D2:D50, MATCH(C181,FieldDisagreements!A2:A50, 0))="")=TRUE),  "",  INDEX(FieldDisagreements!D2:D50, MATCH(C181,FieldDisagreements!A2:A50, 0))), "")</f>
        <v>RequirementSatisfactions.AttestationInstantForRun</v>
      </c>
      <c r="J181" s="3" t="s">
        <v>1926</v>
      </c>
    </row>
    <row r="182">
      <c r="A182" s="3" t="s">
        <v>14976</v>
      </c>
      <c r="B182" s="4" t="str">
        <f>_xlfn.CONCAT(C182, " @ ", D182)</f>
        <v>effortless-xlsx|RequirementSatisfactions.AttestationInstantForRun @ sat-close08-evidence</v>
      </c>
      <c r="C182" s="3" t="s">
        <v>14749</v>
      </c>
      <c r="D182" s="3" t="s">
        <v>1525</v>
      </c>
      <c r="E182" s="3" t="s">
        <v>14781</v>
      </c>
      <c r="F182" s="3" t="s">
        <v>14958</v>
      </c>
      <c r="G182" s="3" t="s">
        <v>14729</v>
      </c>
      <c r="H182" s="4" t="str">
        <f>_xlfn.IFNA(IF(((INDEX(FieldDisagreements!C2:C50, MATCH(C182,FieldDisagreements!A2:A50, 0))="")=TRUE),  "",  INDEX(FieldDisagreements!C2:C50, MATCH(C182,FieldDisagreements!A2:A50, 0))), "")</f>
        <v>effortless-xlsx</v>
      </c>
      <c r="I182" s="4" t="str">
        <f>_xlfn.IFNA(IF(((INDEX(FieldDisagreements!D2:D50, MATCH(C182,FieldDisagreements!A2:A50, 0))="")=TRUE),  "",  INDEX(FieldDisagreements!D2:D50, MATCH(C182,FieldDisagreements!A2:A50, 0))), "")</f>
        <v>RequirementSatisfactions.AttestationInstantForRun</v>
      </c>
      <c r="J182" s="3" t="s">
        <v>1926</v>
      </c>
    </row>
    <row r="183">
      <c r="A183" s="3" t="s">
        <v>14977</v>
      </c>
      <c r="B183" s="4" t="str">
        <f>_xlfn.CONCAT(C183, " @ ", D183)</f>
        <v>effortless-xlsx|RequirementSatisfactions.AttestationInstantForRun @ sat-policy-legal</v>
      </c>
      <c r="C183" s="3" t="s">
        <v>14749</v>
      </c>
      <c r="D183" s="3" t="s">
        <v>1520</v>
      </c>
      <c r="E183" s="3" t="s">
        <v>14781</v>
      </c>
      <c r="F183" s="3" t="s">
        <v>14958</v>
      </c>
      <c r="G183" s="3" t="s">
        <v>14729</v>
      </c>
      <c r="H183" s="4" t="str">
        <f>_xlfn.IFNA(IF(((INDEX(FieldDisagreements!C2:C50, MATCH(C183,FieldDisagreements!A2:A50, 0))="")=TRUE),  "",  INDEX(FieldDisagreements!C2:C50, MATCH(C183,FieldDisagreements!A2:A50, 0))), "")</f>
        <v>effortless-xlsx</v>
      </c>
      <c r="I183" s="4" t="str">
        <f>_xlfn.IFNA(IF(((INDEX(FieldDisagreements!D2:D50, MATCH(C183,FieldDisagreements!A2:A50, 0))="")=TRUE),  "",  INDEX(FieldDisagreements!D2:D50, MATCH(C183,FieldDisagreements!A2:A50, 0))), "")</f>
        <v>RequirementSatisfactions.AttestationInstantForRun</v>
      </c>
      <c r="J183" s="3" t="s">
        <v>1926</v>
      </c>
    </row>
    <row r="184">
      <c r="A184" s="3" t="s">
        <v>14978</v>
      </c>
      <c r="B184" s="4" t="str">
        <f>_xlfn.CONCAT(C184, " @ ", D184)</f>
        <v>effortless-xlsx|RequirementSatisfactions.AttestationInstantForRun @ sat-policy-source</v>
      </c>
      <c r="C184" s="3" t="s">
        <v>14749</v>
      </c>
      <c r="D184" s="3" t="s">
        <v>1518</v>
      </c>
      <c r="E184" s="3" t="s">
        <v>14781</v>
      </c>
      <c r="F184" s="3" t="s">
        <v>14958</v>
      </c>
      <c r="G184" s="3" t="s">
        <v>14729</v>
      </c>
      <c r="H184" s="4" t="str">
        <f>_xlfn.IFNA(IF(((INDEX(FieldDisagreements!C2:C50, MATCH(C184,FieldDisagreements!A2:A50, 0))="")=TRUE),  "",  INDEX(FieldDisagreements!C2:C50, MATCH(C184,FieldDisagreements!A2:A50, 0))), "")</f>
        <v>effortless-xlsx</v>
      </c>
      <c r="I184" s="4" t="str">
        <f>_xlfn.IFNA(IF(((INDEX(FieldDisagreements!D2:D50, MATCH(C184,FieldDisagreements!A2:A50, 0))="")=TRUE),  "",  INDEX(FieldDisagreements!D2:D50, MATCH(C184,FieldDisagreements!A2:A50, 0))), "")</f>
        <v>RequirementSatisfactions.AttestationInstantForRun</v>
      </c>
      <c r="J184" s="3" t="s">
        <v>1926</v>
      </c>
    </row>
    <row r="185">
      <c r="A185" s="3" t="s">
        <v>14979</v>
      </c>
      <c r="B185" s="4" t="str">
        <f>_xlfn.CONCAT(C185, " @ ", D185)</f>
        <v>effortless-xlsx|RequirementSatisfactions.PostAttestationScoreExecutionKey @ sat-close-balance</v>
      </c>
      <c r="C185" s="3" t="s">
        <v>14750</v>
      </c>
      <c r="D185" s="3" t="s">
        <v>1512</v>
      </c>
      <c r="E185" s="3" t="s">
        <v>14781</v>
      </c>
      <c r="F185" s="3" t="s">
        <v>14980</v>
      </c>
      <c r="G185" s="3" t="s">
        <v>14729</v>
      </c>
      <c r="H185" s="4" t="str">
        <f>_xlfn.IFNA(IF(((INDEX(FieldDisagreements!C2:C50, MATCH(C185,FieldDisagreements!A2:A50, 0))="")=TRUE),  "",  INDEX(FieldDisagreements!C2:C50, MATCH(C185,FieldDisagreements!A2:A50, 0))), "")</f>
        <v>effortless-xlsx</v>
      </c>
      <c r="I185" s="4" t="str">
        <f>_xlfn.IFNA(IF(((INDEX(FieldDisagreements!D2:D50, MATCH(C185,FieldDisagreements!A2:A50, 0))="")=TRUE),  "",  INDEX(FieldDisagreements!D2:D50, MATCH(C185,FieldDisagreements!A2:A50, 0))), "")</f>
        <v>RequirementSatisfactions.PostAttestationScoreExecutionKey</v>
      </c>
      <c r="J185" s="3" t="s">
        <v>1926</v>
      </c>
    </row>
    <row r="186">
      <c r="A186" s="3" t="s">
        <v>14981</v>
      </c>
      <c r="B186" s="4" t="str">
        <f>_xlfn.CONCAT(C186, " @ ", D186)</f>
        <v>effortless-xlsx|RequirementSatisfactions.PostAttestationScoreExecutionKey @ sat-close-cutoff</v>
      </c>
      <c r="C186" s="3" t="s">
        <v>14750</v>
      </c>
      <c r="D186" s="3" t="s">
        <v>1508</v>
      </c>
      <c r="E186" s="3" t="s">
        <v>14781</v>
      </c>
      <c r="F186" s="3" t="s">
        <v>14980</v>
      </c>
      <c r="G186" s="3" t="s">
        <v>14729</v>
      </c>
      <c r="H186" s="4" t="str">
        <f>_xlfn.IFNA(IF(((INDEX(FieldDisagreements!C2:C50, MATCH(C186,FieldDisagreements!A2:A50, 0))="")=TRUE),  "",  INDEX(FieldDisagreements!C2:C50, MATCH(C186,FieldDisagreements!A2:A50, 0))), "")</f>
        <v>effortless-xlsx</v>
      </c>
      <c r="I186" s="4" t="str">
        <f>_xlfn.IFNA(IF(((INDEX(FieldDisagreements!D2:D50, MATCH(C186,FieldDisagreements!A2:A50, 0))="")=TRUE),  "",  INDEX(FieldDisagreements!D2:D50, MATCH(C186,FieldDisagreements!A2:A50, 0))), "")</f>
        <v>RequirementSatisfactions.PostAttestationScoreExecutionKey</v>
      </c>
      <c r="J186" s="3" t="s">
        <v>1926</v>
      </c>
    </row>
    <row r="187">
      <c r="A187" s="3" t="s">
        <v>14982</v>
      </c>
      <c r="B187" s="4" t="str">
        <f>_xlfn.CONCAT(C187, " @ ", D187)</f>
        <v>effortless-xlsx|RequirementSatisfactions.PostAttestationScoreExecutionKey @ sat-close-evidence</v>
      </c>
      <c r="C187" s="3" t="s">
        <v>14750</v>
      </c>
      <c r="D187" s="3" t="s">
        <v>1522</v>
      </c>
      <c r="E187" s="3" t="s">
        <v>14781</v>
      </c>
      <c r="F187" s="3" t="s">
        <v>14980</v>
      </c>
      <c r="G187" s="3" t="s">
        <v>14729</v>
      </c>
      <c r="H187" s="4" t="str">
        <f>_xlfn.IFNA(IF(((INDEX(FieldDisagreements!C2:C50, MATCH(C187,FieldDisagreements!A2:A50, 0))="")=TRUE),  "",  INDEX(FieldDisagreements!C2:C50, MATCH(C187,FieldDisagreements!A2:A50, 0))), "")</f>
        <v>effortless-xlsx</v>
      </c>
      <c r="I187" s="4" t="str">
        <f>_xlfn.IFNA(IF(((INDEX(FieldDisagreements!D2:D50, MATCH(C187,FieldDisagreements!A2:A50, 0))="")=TRUE),  "",  INDEX(FieldDisagreements!D2:D50, MATCH(C187,FieldDisagreements!A2:A50, 0))), "")</f>
        <v>RequirementSatisfactions.PostAttestationScoreExecutionKey</v>
      </c>
      <c r="J187" s="3" t="s">
        <v>1926</v>
      </c>
    </row>
    <row r="188">
      <c r="A188" s="3" t="s">
        <v>14983</v>
      </c>
      <c r="B188" s="4" t="str">
        <f>_xlfn.CONCAT(C188, " @ ", D188)</f>
        <v>effortless-xlsx|RequirementSatisfactions.PostAttestationScoreExecutionKey @ sat-close-human</v>
      </c>
      <c r="C188" s="3" t="s">
        <v>14750</v>
      </c>
      <c r="D188" s="3" t="s">
        <v>1516</v>
      </c>
      <c r="E188" s="3" t="s">
        <v>14781</v>
      </c>
      <c r="F188" s="3" t="s">
        <v>14980</v>
      </c>
      <c r="G188" s="3" t="s">
        <v>14729</v>
      </c>
      <c r="H188" s="4" t="str">
        <f>_xlfn.IFNA(IF(((INDEX(FieldDisagreements!C2:C50, MATCH(C188,FieldDisagreements!A2:A50, 0))="")=TRUE),  "",  INDEX(FieldDisagreements!C2:C50, MATCH(C188,FieldDisagreements!A2:A50, 0))), "")</f>
        <v>effortless-xlsx</v>
      </c>
      <c r="I188" s="4" t="str">
        <f>_xlfn.IFNA(IF(((INDEX(FieldDisagreements!D2:D50, MATCH(C188,FieldDisagreements!A2:A50, 0))="")=TRUE),  "",  INDEX(FieldDisagreements!D2:D50, MATCH(C188,FieldDisagreements!A2:A50, 0))), "")</f>
        <v>RequirementSatisfactions.PostAttestationScoreExecutionKey</v>
      </c>
      <c r="J188" s="3" t="s">
        <v>1926</v>
      </c>
    </row>
    <row r="189">
      <c r="A189" s="3" t="s">
        <v>14984</v>
      </c>
      <c r="B189" s="4" t="str">
        <f>_xlfn.CONCAT(C189, " @ ", D189)</f>
        <v>effortless-xlsx|RequirementSatisfactions.PostAttestationScoreExecutionKey @ sat-close-separation</v>
      </c>
      <c r="C189" s="3" t="s">
        <v>14750</v>
      </c>
      <c r="D189" s="3" t="s">
        <v>1514</v>
      </c>
      <c r="E189" s="3" t="s">
        <v>14781</v>
      </c>
      <c r="F189" s="3" t="s">
        <v>14980</v>
      </c>
      <c r="G189" s="3" t="s">
        <v>14729</v>
      </c>
      <c r="H189" s="4" t="str">
        <f>_xlfn.IFNA(IF(((INDEX(FieldDisagreements!C2:C50, MATCH(C189,FieldDisagreements!A2:A50, 0))="")=TRUE),  "",  INDEX(FieldDisagreements!C2:C50, MATCH(C189,FieldDisagreements!A2:A50, 0))), "")</f>
        <v>effortless-xlsx</v>
      </c>
      <c r="I189" s="4" t="str">
        <f>_xlfn.IFNA(IF(((INDEX(FieldDisagreements!D2:D50, MATCH(C189,FieldDisagreements!A2:A50, 0))="")=TRUE),  "",  INDEX(FieldDisagreements!D2:D50, MATCH(C189,FieldDisagreements!A2:A50, 0))), "")</f>
        <v>RequirementSatisfactions.PostAttestationScoreExecutionKey</v>
      </c>
      <c r="J189" s="3" t="s">
        <v>1926</v>
      </c>
    </row>
    <row r="190">
      <c r="A190" s="3" t="s">
        <v>14985</v>
      </c>
      <c r="B190" s="4" t="str">
        <f>_xlfn.CONCAT(C190, " @ ", D190)</f>
        <v>effortless-xlsx|RequirementSatisfactions.PostAttestationScoreExecutionKey @ sat-close08-evidence</v>
      </c>
      <c r="C190" s="3" t="s">
        <v>14750</v>
      </c>
      <c r="D190" s="3" t="s">
        <v>1525</v>
      </c>
      <c r="E190" s="3" t="s">
        <v>14781</v>
      </c>
      <c r="F190" s="3" t="s">
        <v>14980</v>
      </c>
      <c r="G190" s="3" t="s">
        <v>14729</v>
      </c>
      <c r="H190" s="4" t="str">
        <f>_xlfn.IFNA(IF(((INDEX(FieldDisagreements!C2:C50, MATCH(C190,FieldDisagreements!A2:A50, 0))="")=TRUE),  "",  INDEX(FieldDisagreements!C2:C50, MATCH(C190,FieldDisagreements!A2:A50, 0))), "")</f>
        <v>effortless-xlsx</v>
      </c>
      <c r="I190" s="4" t="str">
        <f>_xlfn.IFNA(IF(((INDEX(FieldDisagreements!D2:D50, MATCH(C190,FieldDisagreements!A2:A50, 0))="")=TRUE),  "",  INDEX(FieldDisagreements!D2:D50, MATCH(C190,FieldDisagreements!A2:A50, 0))), "")</f>
        <v>RequirementSatisfactions.PostAttestationScoreExecutionKey</v>
      </c>
      <c r="J190" s="3" t="s">
        <v>1926</v>
      </c>
    </row>
    <row r="191">
      <c r="A191" s="3" t="s">
        <v>14986</v>
      </c>
      <c r="B191" s="4" t="str">
        <f>_xlfn.CONCAT(C191, " @ ", D191)</f>
        <v>effortless-xlsx|RequirementSatisfactions.PostAttestationScoreExecutionKey @ sat-policy-legal</v>
      </c>
      <c r="C191" s="3" t="s">
        <v>14750</v>
      </c>
      <c r="D191" s="3" t="s">
        <v>1520</v>
      </c>
      <c r="E191" s="3" t="s">
        <v>14781</v>
      </c>
      <c r="F191" s="3" t="s">
        <v>14987</v>
      </c>
      <c r="G191" s="3" t="s">
        <v>14729</v>
      </c>
      <c r="H191" s="4" t="str">
        <f>_xlfn.IFNA(IF(((INDEX(FieldDisagreements!C2:C50, MATCH(C191,FieldDisagreements!A2:A50, 0))="")=TRUE),  "",  INDEX(FieldDisagreements!C2:C50, MATCH(C191,FieldDisagreements!A2:A50, 0))), "")</f>
        <v>effortless-xlsx</v>
      </c>
      <c r="I191" s="4" t="str">
        <f>_xlfn.IFNA(IF(((INDEX(FieldDisagreements!D2:D50, MATCH(C191,FieldDisagreements!A2:A50, 0))="")=TRUE),  "",  INDEX(FieldDisagreements!D2:D50, MATCH(C191,FieldDisagreements!A2:A50, 0))), "")</f>
        <v>RequirementSatisfactions.PostAttestationScoreExecutionKey</v>
      </c>
      <c r="J191" s="3" t="s">
        <v>1926</v>
      </c>
    </row>
    <row r="192">
      <c r="A192" s="3" t="s">
        <v>14988</v>
      </c>
      <c r="B192" s="4" t="str">
        <f>_xlfn.CONCAT(C192, " @ ", D192)</f>
        <v>effortless-xlsx|RequirementSatisfactions.PostAttestationScoreExecutionKey @ sat-policy-source</v>
      </c>
      <c r="C192" s="3" t="s">
        <v>14750</v>
      </c>
      <c r="D192" s="3" t="s">
        <v>1518</v>
      </c>
      <c r="E192" s="3" t="s">
        <v>14781</v>
      </c>
      <c r="F192" s="3" t="s">
        <v>14987</v>
      </c>
      <c r="G192" s="3" t="s">
        <v>14729</v>
      </c>
      <c r="H192" s="4" t="str">
        <f>_xlfn.IFNA(IF(((INDEX(FieldDisagreements!C2:C50, MATCH(C192,FieldDisagreements!A2:A50, 0))="")=TRUE),  "",  INDEX(FieldDisagreements!C2:C50, MATCH(C192,FieldDisagreements!A2:A50, 0))), "")</f>
        <v>effortless-xlsx</v>
      </c>
      <c r="I192" s="4" t="str">
        <f>_xlfn.IFNA(IF(((INDEX(FieldDisagreements!D2:D50, MATCH(C192,FieldDisagreements!A2:A50, 0))="")=TRUE),  "",  INDEX(FieldDisagreements!D2:D50, MATCH(C192,FieldDisagreements!A2:A50, 0))), "")</f>
        <v>RequirementSatisfactions.PostAttestationScoreExecutionKey</v>
      </c>
      <c r="J192" s="3" t="s">
        <v>1926</v>
      </c>
    </row>
    <row r="193">
      <c r="A193" s="3" t="s">
        <v>14989</v>
      </c>
      <c r="B193" s="4" t="str">
        <f>_xlfn.CONCAT(C193, " @ ", D193)</f>
        <v>effortless-xlsx|MessageDeliveries.OptOutPhrasePosition @ md-001</v>
      </c>
      <c r="C193" s="3" t="s">
        <v>14751</v>
      </c>
      <c r="D193" s="3" t="s">
        <v>8300</v>
      </c>
      <c r="E193" s="3" t="s">
        <v>14781</v>
      </c>
      <c r="F193" s="3" t="s">
        <v>37</v>
      </c>
      <c r="G193" s="3" t="s">
        <v>14729</v>
      </c>
      <c r="H193" s="4" t="str">
        <f>_xlfn.IFNA(IF(((INDEX(FieldDisagreements!C2:C50, MATCH(C193,FieldDisagreements!A2:A50, 0))="")=TRUE),  "",  INDEX(FieldDisagreements!C2:C50, MATCH(C193,FieldDisagreements!A2:A50, 0))), "")</f>
        <v>effortless-xlsx</v>
      </c>
      <c r="I193" s="4" t="str">
        <f>_xlfn.IFNA(IF(((INDEX(FieldDisagreements!D2:D50, MATCH(C193,FieldDisagreements!A2:A50, 0))="")=TRUE),  "",  INDEX(FieldDisagreements!D2:D50, MATCH(C193,FieldDisagreements!A2:A50, 0))), "")</f>
        <v>MessageDeliveries.OptOutPhrasePosition</v>
      </c>
      <c r="J193" s="3" t="s">
        <v>1926</v>
      </c>
    </row>
    <row r="194">
      <c r="A194" s="3" t="s">
        <v>14990</v>
      </c>
      <c r="B194" s="4" t="str">
        <f>_xlfn.CONCAT(C194, " @ ", D194)</f>
        <v>effortless-xlsx|MessageDeliveries.OptOutPhrasePosition @ md-002</v>
      </c>
      <c r="C194" s="3" t="s">
        <v>14751</v>
      </c>
      <c r="D194" s="3" t="s">
        <v>8304</v>
      </c>
      <c r="E194" s="3" t="s">
        <v>14781</v>
      </c>
      <c r="F194" s="3" t="s">
        <v>37</v>
      </c>
      <c r="G194" s="3" t="s">
        <v>14729</v>
      </c>
      <c r="H194" s="4" t="str">
        <f>_xlfn.IFNA(IF(((INDEX(FieldDisagreements!C2:C50, MATCH(C194,FieldDisagreements!A2:A50, 0))="")=TRUE),  "",  INDEX(FieldDisagreements!C2:C50, MATCH(C194,FieldDisagreements!A2:A50, 0))), "")</f>
        <v>effortless-xlsx</v>
      </c>
      <c r="I194" s="4" t="str">
        <f>_xlfn.IFNA(IF(((INDEX(FieldDisagreements!D2:D50, MATCH(C194,FieldDisagreements!A2:A50, 0))="")=TRUE),  "",  INDEX(FieldDisagreements!D2:D50, MATCH(C194,FieldDisagreements!A2:A50, 0))), "")</f>
        <v>MessageDeliveries.OptOutPhrasePosition</v>
      </c>
      <c r="J194" s="3" t="s">
        <v>1926</v>
      </c>
    </row>
    <row r="195">
      <c r="A195" s="3" t="s">
        <v>14991</v>
      </c>
      <c r="B195" s="4" t="str">
        <f>_xlfn.CONCAT(C195, " @ ", D195)</f>
        <v>effortless-xlsx|MessageDeliveries.OptOutPhrasePosition @ md-005</v>
      </c>
      <c r="C195" s="3" t="s">
        <v>14751</v>
      </c>
      <c r="D195" s="3" t="s">
        <v>8310</v>
      </c>
      <c r="E195" s="3" t="s">
        <v>955</v>
      </c>
      <c r="F195" s="3" t="s">
        <v>14795</v>
      </c>
      <c r="G195" s="3" t="s">
        <v>14729</v>
      </c>
      <c r="H195" s="4" t="str">
        <f>_xlfn.IFNA(IF(((INDEX(FieldDisagreements!C2:C50, MATCH(C195,FieldDisagreements!A2:A50, 0))="")=TRUE),  "",  INDEX(FieldDisagreements!C2:C50, MATCH(C195,FieldDisagreements!A2:A50, 0))), "")</f>
        <v>effortless-xlsx</v>
      </c>
      <c r="I195" s="4" t="str">
        <f>_xlfn.IFNA(IF(((INDEX(FieldDisagreements!D2:D50, MATCH(C195,FieldDisagreements!A2:A50, 0))="")=TRUE),  "",  INDEX(FieldDisagreements!D2:D50, MATCH(C195,FieldDisagreements!A2:A50, 0))), "")</f>
        <v>MessageDeliveries.OptOutPhrasePosition</v>
      </c>
      <c r="J195" s="3" t="s">
        <v>1926</v>
      </c>
    </row>
    <row r="196">
      <c r="A196" s="3" t="s">
        <v>14992</v>
      </c>
      <c r="B196" s="4" t="str">
        <f>_xlfn.CONCAT(C196, " @ ", D196)</f>
        <v>effortless-xlsx|MessageDeliveries.HasOptOutPhrase @ md-001</v>
      </c>
      <c r="C196" s="3" t="s">
        <v>14752</v>
      </c>
      <c r="D196" s="3" t="s">
        <v>8300</v>
      </c>
      <c r="E196" s="3" t="s">
        <v>14784</v>
      </c>
      <c r="F196" s="3" t="s">
        <v>14783</v>
      </c>
      <c r="G196" s="3" t="s">
        <v>14729</v>
      </c>
      <c r="H196" s="4" t="str">
        <f>_xlfn.IFNA(IF(((INDEX(FieldDisagreements!C2:C50, MATCH(C196,FieldDisagreements!A2:A50, 0))="")=TRUE),  "",  INDEX(FieldDisagreements!C2:C50, MATCH(C196,FieldDisagreements!A2:A50, 0))), "")</f>
        <v>effortless-xlsx</v>
      </c>
      <c r="I196" s="4" t="str">
        <f>_xlfn.IFNA(IF(((INDEX(FieldDisagreements!D2:D50, MATCH(C196,FieldDisagreements!A2:A50, 0))="")=TRUE),  "",  INDEX(FieldDisagreements!D2:D50, MATCH(C196,FieldDisagreements!A2:A50, 0))), "")</f>
        <v>MessageDeliveries.HasOptOutPhrase</v>
      </c>
      <c r="J196" s="3" t="s">
        <v>1926</v>
      </c>
    </row>
    <row r="197">
      <c r="A197" s="3" t="s">
        <v>14993</v>
      </c>
      <c r="B197" s="4" t="str">
        <f>_xlfn.CONCAT(C197, " @ ", D197)</f>
        <v>effortless-xlsx|MessageDeliveries.HasOptOutPhrase @ md-002</v>
      </c>
      <c r="C197" s="3" t="s">
        <v>14752</v>
      </c>
      <c r="D197" s="3" t="s">
        <v>8304</v>
      </c>
      <c r="E197" s="3" t="s">
        <v>14784</v>
      </c>
      <c r="F197" s="3" t="s">
        <v>14783</v>
      </c>
      <c r="G197" s="3" t="s">
        <v>14729</v>
      </c>
      <c r="H197" s="4" t="str">
        <f>_xlfn.IFNA(IF(((INDEX(FieldDisagreements!C2:C50, MATCH(C197,FieldDisagreements!A2:A50, 0))="")=TRUE),  "",  INDEX(FieldDisagreements!C2:C50, MATCH(C197,FieldDisagreements!A2:A50, 0))), "")</f>
        <v>effortless-xlsx</v>
      </c>
      <c r="I197" s="4" t="str">
        <f>_xlfn.IFNA(IF(((INDEX(FieldDisagreements!D2:D50, MATCH(C197,FieldDisagreements!A2:A50, 0))="")=TRUE),  "",  INDEX(FieldDisagreements!D2:D50, MATCH(C197,FieldDisagreements!A2:A50, 0))), "")</f>
        <v>MessageDeliveries.HasOptOutPhrase</v>
      </c>
      <c r="J197" s="3" t="s">
        <v>1926</v>
      </c>
    </row>
    <row r="198">
      <c r="A198" s="3" t="s">
        <v>14994</v>
      </c>
      <c r="B198" s="4" t="str">
        <f>_xlfn.CONCAT(C198, " @ ", D198)</f>
        <v>effortless-xlsx|MessageDeliveries.HasOptOutPhrase @ md-005</v>
      </c>
      <c r="C198" s="3" t="s">
        <v>14752</v>
      </c>
      <c r="D198" s="3" t="s">
        <v>8310</v>
      </c>
      <c r="E198" s="3" t="s">
        <v>14784</v>
      </c>
      <c r="F198" s="3" t="s">
        <v>14795</v>
      </c>
      <c r="G198" s="3" t="s">
        <v>14729</v>
      </c>
      <c r="H198" s="4" t="str">
        <f>_xlfn.IFNA(IF(((INDEX(FieldDisagreements!C2:C50, MATCH(C198,FieldDisagreements!A2:A50, 0))="")=TRUE),  "",  INDEX(FieldDisagreements!C2:C50, MATCH(C198,FieldDisagreements!A2:A50, 0))), "")</f>
        <v>effortless-xlsx</v>
      </c>
      <c r="I198" s="4" t="str">
        <f>_xlfn.IFNA(IF(((INDEX(FieldDisagreements!D2:D50, MATCH(C198,FieldDisagreements!A2:A50, 0))="")=TRUE),  "",  INDEX(FieldDisagreements!D2:D50, MATCH(C198,FieldDisagreements!A2:A50, 0))), "")</f>
        <v>MessageDeliveries.HasOptOutPhrase</v>
      </c>
      <c r="J198" s="3" t="s">
        <v>1926</v>
      </c>
    </row>
    <row r="199">
      <c r="A199" s="3" t="s">
        <v>14995</v>
      </c>
      <c r="B199" s="4" t="str">
        <f>_xlfn.CONCAT(C199, " @ ", D199)</f>
        <v>effortless-xlsx|MessageDeliveries.IsOptOutInFirstSegment @ md-001</v>
      </c>
      <c r="C199" s="3" t="s">
        <v>14753</v>
      </c>
      <c r="D199" s="3" t="s">
        <v>8300</v>
      </c>
      <c r="E199" s="3" t="s">
        <v>14784</v>
      </c>
      <c r="F199" s="3" t="s">
        <v>14783</v>
      </c>
      <c r="G199" s="3" t="s">
        <v>14729</v>
      </c>
      <c r="H199" s="4" t="str">
        <f>_xlfn.IFNA(IF(((INDEX(FieldDisagreements!C2:C50, MATCH(C199,FieldDisagreements!A2:A50, 0))="")=TRUE),  "",  INDEX(FieldDisagreements!C2:C50, MATCH(C199,FieldDisagreements!A2:A50, 0))), "")</f>
        <v>effortless-xlsx</v>
      </c>
      <c r="I199" s="4" t="str">
        <f>_xlfn.IFNA(IF(((INDEX(FieldDisagreements!D2:D50, MATCH(C199,FieldDisagreements!A2:A50, 0))="")=TRUE),  "",  INDEX(FieldDisagreements!D2:D50, MATCH(C199,FieldDisagreements!A2:A50, 0))), "")</f>
        <v>MessageDeliveries.IsOptOutInFirstSegment</v>
      </c>
      <c r="J199" s="3" t="s">
        <v>1926</v>
      </c>
    </row>
    <row r="200">
      <c r="A200" s="3" t="s">
        <v>14996</v>
      </c>
      <c r="B200" s="4" t="str">
        <f>_xlfn.CONCAT(C200, " @ ", D200)</f>
        <v>effortless-xlsx|MessageDeliveries.IsOptOutInFirstSegment @ md-002</v>
      </c>
      <c r="C200" s="3" t="s">
        <v>14753</v>
      </c>
      <c r="D200" s="3" t="s">
        <v>8304</v>
      </c>
      <c r="E200" s="3" t="s">
        <v>14784</v>
      </c>
      <c r="F200" s="3" t="s">
        <v>14783</v>
      </c>
      <c r="G200" s="3" t="s">
        <v>14729</v>
      </c>
      <c r="H200" s="4" t="str">
        <f>_xlfn.IFNA(IF(((INDEX(FieldDisagreements!C2:C50, MATCH(C200,FieldDisagreements!A2:A50, 0))="")=TRUE),  "",  INDEX(FieldDisagreements!C2:C50, MATCH(C200,FieldDisagreements!A2:A50, 0))), "")</f>
        <v>effortless-xlsx</v>
      </c>
      <c r="I200" s="4" t="str">
        <f>_xlfn.IFNA(IF(((INDEX(FieldDisagreements!D2:D50, MATCH(C200,FieldDisagreements!A2:A50, 0))="")=TRUE),  "",  INDEX(FieldDisagreements!D2:D50, MATCH(C200,FieldDisagreements!A2:A50, 0))), "")</f>
        <v>MessageDeliveries.IsOptOutInFirstSegment</v>
      </c>
      <c r="J200" s="3" t="s">
        <v>1926</v>
      </c>
    </row>
    <row r="201">
      <c r="A201" s="3" t="s">
        <v>14997</v>
      </c>
      <c r="B201" s="4" t="str">
        <f>_xlfn.CONCAT(C201, " @ ", D201)</f>
        <v>effortless-xlsx|MessageDeliveries.IsOptOutInFirstSegment @ md-005</v>
      </c>
      <c r="C201" s="3" t="s">
        <v>14753</v>
      </c>
      <c r="D201" s="3" t="s">
        <v>8310</v>
      </c>
      <c r="E201" s="3" t="s">
        <v>14784</v>
      </c>
      <c r="F201" s="3" t="s">
        <v>14795</v>
      </c>
      <c r="G201" s="3" t="s">
        <v>14729</v>
      </c>
      <c r="H201" s="4" t="str">
        <f>_xlfn.IFNA(IF(((INDEX(FieldDisagreements!C2:C50, MATCH(C201,FieldDisagreements!A2:A50, 0))="")=TRUE),  "",  INDEX(FieldDisagreements!C2:C50, MATCH(C201,FieldDisagreements!A2:A50, 0))), "")</f>
        <v>effortless-xlsx</v>
      </c>
      <c r="I201" s="4" t="str">
        <f>_xlfn.IFNA(IF(((INDEX(FieldDisagreements!D2:D50, MATCH(C201,FieldDisagreements!A2:A50, 0))="")=TRUE),  "",  INDEX(FieldDisagreements!D2:D50, MATCH(C201,FieldDisagreements!A2:A50, 0))), "")</f>
        <v>MessageDeliveries.IsOptOutInFirstSegment</v>
      </c>
      <c r="J201" s="3" t="s">
        <v>1926</v>
      </c>
    </row>
    <row r="202">
      <c r="A202" s="3" t="s">
        <v>14998</v>
      </c>
      <c r="B202" s="4" t="str">
        <f>_xlfn.CONCAT(C202, " @ ", D202)</f>
        <v>effortless-xlsx|MessageDeliveries.IsMissingRequiredOptOut @ md-005</v>
      </c>
      <c r="C202" s="3" t="s">
        <v>14754</v>
      </c>
      <c r="D202" s="3" t="s">
        <v>8310</v>
      </c>
      <c r="E202" s="3" t="s">
        <v>14783</v>
      </c>
      <c r="F202" s="3" t="s">
        <v>14795</v>
      </c>
      <c r="G202" s="3" t="s">
        <v>14729</v>
      </c>
      <c r="H202" s="4" t="str">
        <f>_xlfn.IFNA(IF(((INDEX(FieldDisagreements!C2:C50, MATCH(C202,FieldDisagreements!A2:A50, 0))="")=TRUE),  "",  INDEX(FieldDisagreements!C2:C50, MATCH(C202,FieldDisagreements!A2:A50, 0))), "")</f>
        <v>effortless-xlsx</v>
      </c>
      <c r="I202" s="4" t="str">
        <f>_xlfn.IFNA(IF(((INDEX(FieldDisagreements!D2:D50, MATCH(C202,FieldDisagreements!A2:A50, 0))="")=TRUE),  "",  INDEX(FieldDisagreements!D2:D50, MATCH(C202,FieldDisagreements!A2:A50, 0))), "")</f>
        <v>MessageDeliveries.IsMissingRequiredOptOut</v>
      </c>
      <c r="J202" s="3" t="s">
        <v>1926</v>
      </c>
    </row>
    <row r="203">
      <c r="A203" s="3" t="s">
        <v>14999</v>
      </c>
      <c r="B203" s="4" t="str">
        <f>_xlfn.CONCAT(C203, " @ ", D203)</f>
        <v>effortless-xlsx|MessageDeliveries.IsOptOutAtRiskOfTruncation @ md-005</v>
      </c>
      <c r="C203" s="3" t="s">
        <v>14755</v>
      </c>
      <c r="D203" s="3" t="s">
        <v>8310</v>
      </c>
      <c r="E203" s="3" t="s">
        <v>14784</v>
      </c>
      <c r="F203" s="3" t="s">
        <v>14795</v>
      </c>
      <c r="G203" s="3" t="s">
        <v>14729</v>
      </c>
      <c r="H203" s="4" t="str">
        <f>_xlfn.IFNA(IF(((INDEX(FieldDisagreements!C2:C50, MATCH(C203,FieldDisagreements!A2:A50, 0))="")=TRUE),  "",  INDEX(FieldDisagreements!C2:C50, MATCH(C203,FieldDisagreements!A2:A50, 0))), "")</f>
        <v>effortless-xlsx</v>
      </c>
      <c r="I203" s="4" t="str">
        <f>_xlfn.IFNA(IF(((INDEX(FieldDisagreements!D2:D50, MATCH(C203,FieldDisagreements!A2:A50, 0))="")=TRUE),  "",  INDEX(FieldDisagreements!D2:D50, MATCH(C203,FieldDisagreements!A2:A50, 0))), "")</f>
        <v>MessageDeliveries.IsOptOutAtRiskOfTruncation</v>
      </c>
      <c r="J203" s="3" t="s">
        <v>1926</v>
      </c>
    </row>
    <row r="204">
      <c r="A204" s="3" t="s">
        <v>15000</v>
      </c>
      <c r="B204" s="4" t="str">
        <f>_xlfn.CONCAT(C204, " @ ", D204)</f>
        <v>effortless-xlsx|AgentDecisionRecords.ReviewLatencyMinutes @ adr-close-extract-q2</v>
      </c>
      <c r="C204" s="3" t="s">
        <v>14756</v>
      </c>
      <c r="D204" s="3" t="s">
        <v>8335</v>
      </c>
      <c r="E204" s="3" t="s">
        <v>15001</v>
      </c>
      <c r="F204" s="3" t="s">
        <v>15002</v>
      </c>
      <c r="G204" s="3" t="s">
        <v>14729</v>
      </c>
      <c r="H204" s="4" t="str">
        <f>_xlfn.IFNA(IF(((INDEX(FieldDisagreements!C2:C50, MATCH(C204,FieldDisagreements!A2:A50, 0))="")=TRUE),  "",  INDEX(FieldDisagreements!C2:C50, MATCH(C204,FieldDisagreements!A2:A50, 0))), "")</f>
        <v>effortless-xlsx</v>
      </c>
      <c r="I204" s="4" t="str">
        <f>_xlfn.IFNA(IF(((INDEX(FieldDisagreements!D2:D50, MATCH(C204,FieldDisagreements!A2:A50, 0))="")=TRUE),  "",  INDEX(FieldDisagreements!D2:D50, MATCH(C204,FieldDisagreements!A2:A50, 0))), "")</f>
        <v>AgentDecisionRecords.ReviewLatencyMinutes</v>
      </c>
      <c r="J204" s="3" t="s">
        <v>1926</v>
      </c>
    </row>
    <row r="205">
      <c r="A205" s="3" t="s">
        <v>15003</v>
      </c>
      <c r="B205" s="4" t="str">
        <f>_xlfn.CONCAT(C205, " @ ", D205)</f>
        <v>effortless-xlsx|AgentDecisionRecords.ReviewLatencyMinutes @ adr-close-freeze-q2</v>
      </c>
      <c r="C205" s="3" t="s">
        <v>14756</v>
      </c>
      <c r="D205" s="3" t="s">
        <v>8338</v>
      </c>
      <c r="E205" s="3" t="s">
        <v>15004</v>
      </c>
      <c r="F205" s="3" t="s">
        <v>15005</v>
      </c>
      <c r="G205" s="3" t="s">
        <v>14729</v>
      </c>
      <c r="H205" s="4" t="str">
        <f>_xlfn.IFNA(IF(((INDEX(FieldDisagreements!C2:C50, MATCH(C205,FieldDisagreements!A2:A50, 0))="")=TRUE),  "",  INDEX(FieldDisagreements!C2:C50, MATCH(C205,FieldDisagreements!A2:A50, 0))), "")</f>
        <v>effortless-xlsx</v>
      </c>
      <c r="I205" s="4" t="str">
        <f>_xlfn.IFNA(IF(((INDEX(FieldDisagreements!D2:D50, MATCH(C205,FieldDisagreements!A2:A50, 0))="")=TRUE),  "",  INDEX(FieldDisagreements!D2:D50, MATCH(C205,FieldDisagreements!A2:A50, 0))), "")</f>
        <v>AgentDecisionRecords.ReviewLatencyMinutes</v>
      </c>
      <c r="J205" s="3" t="s">
        <v>1926</v>
      </c>
    </row>
    <row r="206">
      <c r="A206" s="3" t="s">
        <v>15006</v>
      </c>
      <c r="B206" s="4" t="str">
        <f>_xlfn.CONCAT(C206, " @ ", D206)</f>
        <v>effortless-xlsx|AgentDecisionRecords.ReviewLatencyMinutes @ adr-close-post-q2</v>
      </c>
      <c r="C206" s="3" t="s">
        <v>14756</v>
      </c>
      <c r="D206" s="3" t="s">
        <v>8330</v>
      </c>
      <c r="E206" s="3" t="s">
        <v>15007</v>
      </c>
      <c r="F206" s="3" t="s">
        <v>15008</v>
      </c>
      <c r="G206" s="3" t="s">
        <v>14729</v>
      </c>
      <c r="H206" s="4" t="str">
        <f>_xlfn.IFNA(IF(((INDEX(FieldDisagreements!C2:C50, MATCH(C206,FieldDisagreements!A2:A50, 0))="")=TRUE),  "",  INDEX(FieldDisagreements!C2:C50, MATCH(C206,FieldDisagreements!A2:A50, 0))), "")</f>
        <v>effortless-xlsx</v>
      </c>
      <c r="I206" s="4" t="str">
        <f>_xlfn.IFNA(IF(((INDEX(FieldDisagreements!D2:D50, MATCH(C206,FieldDisagreements!A2:A50, 0))="")=TRUE),  "",  INDEX(FieldDisagreements!D2:D50, MATCH(C206,FieldDisagreements!A2:A50, 0))), "")</f>
        <v>AgentDecisionRecords.ReviewLatencyMinutes</v>
      </c>
      <c r="J206" s="3" t="s">
        <v>1926</v>
      </c>
    </row>
    <row r="207">
      <c r="A207" s="3" t="s">
        <v>15009</v>
      </c>
      <c r="B207" s="4" t="str">
        <f>_xlfn.CONCAT(C207, " @ ", D207)</f>
        <v>effortless-owl|RulebookReleases.Name @ erb-pko-1.0.0</v>
      </c>
      <c r="C207" s="3" t="s">
        <v>14757</v>
      </c>
      <c r="D207" s="3" t="s">
        <v>11</v>
      </c>
      <c r="E207" s="3" t="s">
        <v>15010</v>
      </c>
      <c r="F207" s="3" t="s">
        <v>14781</v>
      </c>
      <c r="G207" s="3" t="s">
        <v>14729</v>
      </c>
      <c r="H207" s="4" t="str">
        <f>_xlfn.IFNA(IF(((INDEX(FieldDisagreements!C2:C50, MATCH(C207,FieldDisagreements!A2:A50, 0))="")=TRUE),  "",  INDEX(FieldDisagreements!C2:C50, MATCH(C207,FieldDisagreements!A2:A50, 0))), "")</f>
        <v>effortless-owl</v>
      </c>
      <c r="I207" s="4" t="str">
        <f>_xlfn.IFNA(IF(((INDEX(FieldDisagreements!D2:D50, MATCH(C207,FieldDisagreements!A2:A50, 0))="")=TRUE),  "",  INDEX(FieldDisagreements!D2:D50, MATCH(C207,FieldDisagreements!A2:A50, 0))), "")</f>
        <v>RulebookReleases.Name</v>
      </c>
      <c r="J207" s="3" t="s">
        <v>1926</v>
      </c>
    </row>
    <row r="208">
      <c r="A208" s="3" t="s">
        <v>15011</v>
      </c>
      <c r="B208" s="4" t="str">
        <f>_xlfn.CONCAT(C208, " @ ", D208)</f>
        <v>effortless-owl|ProcedureVersions.IncomingSupersessionCount @ close-v1.0.0</v>
      </c>
      <c r="C208" s="3" t="s">
        <v>14758</v>
      </c>
      <c r="D208" s="3" t="s">
        <v>455</v>
      </c>
      <c r="E208" s="3" t="s">
        <v>37</v>
      </c>
      <c r="F208" s="3" t="s">
        <v>955</v>
      </c>
      <c r="G208" s="3" t="s">
        <v>14729</v>
      </c>
      <c r="H208" s="4" t="str">
        <f>_xlfn.IFNA(IF(((INDEX(FieldDisagreements!C2:C50, MATCH(C208,FieldDisagreements!A2:A50, 0))="")=TRUE),  "",  INDEX(FieldDisagreements!C2:C50, MATCH(C208,FieldDisagreements!A2:A50, 0))), "")</f>
        <v>effortless-owl</v>
      </c>
      <c r="I208" s="4" t="str">
        <f>_xlfn.IFNA(IF(((INDEX(FieldDisagreements!D2:D50, MATCH(C208,FieldDisagreements!A2:A50, 0))="")=TRUE),  "",  INDEX(FieldDisagreements!D2:D50, MATCH(C208,FieldDisagreements!A2:A50, 0))), "")</f>
        <v>ProcedureVersions.IncomingSupersessionCount</v>
      </c>
      <c r="J208" s="3" t="s">
        <v>1926</v>
      </c>
    </row>
    <row r="209">
      <c r="A209" s="3" t="s">
        <v>15012</v>
      </c>
      <c r="B209" s="4" t="str">
        <f>_xlfn.CONCAT(C209, " @ ", D209)</f>
        <v>effortless-owl|ProcedureVersions.IsStillReferenced @ close-v1.0.0</v>
      </c>
      <c r="C209" s="3" t="s">
        <v>14759</v>
      </c>
      <c r="D209" s="3" t="s">
        <v>455</v>
      </c>
      <c r="E209" s="3" t="s">
        <v>14783</v>
      </c>
      <c r="F209" s="3" t="s">
        <v>14784</v>
      </c>
      <c r="G209" s="3" t="s">
        <v>14729</v>
      </c>
      <c r="H209" s="4" t="str">
        <f>_xlfn.IFNA(IF(((INDEX(FieldDisagreements!C2:C50, MATCH(C209,FieldDisagreements!A2:A50, 0))="")=TRUE),  "",  INDEX(FieldDisagreements!C2:C50, MATCH(C209,FieldDisagreements!A2:A50, 0))), "")</f>
        <v>effortless-owl</v>
      </c>
      <c r="I209" s="4" t="str">
        <f>_xlfn.IFNA(IF(((INDEX(FieldDisagreements!D2:D50, MATCH(C209,FieldDisagreements!A2:A50, 0))="")=TRUE),  "",  INDEX(FieldDisagreements!D2:D50, MATCH(C209,FieldDisagreements!A2:A50, 0))), "")</f>
        <v>ProcedureVersions.IsStillReferenced</v>
      </c>
      <c r="J209" s="3" t="s">
        <v>1926</v>
      </c>
    </row>
    <row r="210">
      <c r="A210" s="3" t="s">
        <v>15013</v>
      </c>
      <c r="B210" s="4" t="str">
        <f>_xlfn.CONCAT(C210, " @ ", D210)</f>
        <v>effortless-owl|ProcedureVersions.IsLoadBearingOrphan @ close-v1.0.0</v>
      </c>
      <c r="C210" s="3" t="s">
        <v>14760</v>
      </c>
      <c r="D210" s="3" t="s">
        <v>455</v>
      </c>
      <c r="E210" s="3" t="s">
        <v>14783</v>
      </c>
      <c r="F210" s="3" t="s">
        <v>14784</v>
      </c>
      <c r="G210" s="3" t="s">
        <v>14729</v>
      </c>
      <c r="H210" s="4" t="str">
        <f>_xlfn.IFNA(IF(((INDEX(FieldDisagreements!C2:C50, MATCH(C210,FieldDisagreements!A2:A50, 0))="")=TRUE),  "",  INDEX(FieldDisagreements!C2:C50, MATCH(C210,FieldDisagreements!A2:A50, 0))), "")</f>
        <v>effortless-owl</v>
      </c>
      <c r="I210" s="4" t="str">
        <f>_xlfn.IFNA(IF(((INDEX(FieldDisagreements!D2:D50, MATCH(C210,FieldDisagreements!A2:A50, 0))="")=TRUE),  "",  INDEX(FieldDisagreements!D2:D50, MATCH(C210,FieldDisagreements!A2:A50, 0))), "")</f>
        <v>ProcedureVersions.IsLoadBearingOrphan</v>
      </c>
      <c r="J210" s="3" t="s">
        <v>1926</v>
      </c>
    </row>
    <row r="211">
      <c r="A211" s="3" t="s">
        <v>15014</v>
      </c>
      <c r="B211" s="4" t="str">
        <f>_xlfn.CONCAT(C211, " @ ", D211)</f>
        <v>effortless-owl|ProcedureVersions.IsCleanlyRetired @ close-v1.0.0</v>
      </c>
      <c r="C211" s="3" t="s">
        <v>14761</v>
      </c>
      <c r="D211" s="3" t="s">
        <v>455</v>
      </c>
      <c r="E211" s="3" t="s">
        <v>14784</v>
      </c>
      <c r="F211" s="3" t="s">
        <v>14783</v>
      </c>
      <c r="G211" s="3" t="s">
        <v>14729</v>
      </c>
      <c r="H211" s="4" t="str">
        <f>_xlfn.IFNA(IF(((INDEX(FieldDisagreements!C2:C50, MATCH(C211,FieldDisagreements!A2:A50, 0))="")=TRUE),  "",  INDEX(FieldDisagreements!C2:C50, MATCH(C211,FieldDisagreements!A2:A50, 0))), "")</f>
        <v>effortless-owl</v>
      </c>
      <c r="I211" s="4" t="str">
        <f>_xlfn.IFNA(IF(((INDEX(FieldDisagreements!D2:D50, MATCH(C211,FieldDisagreements!A2:A50, 0))="")=TRUE),  "",  INDEX(FieldDisagreements!D2:D50, MATCH(C211,FieldDisagreements!A2:A50, 0))), "")</f>
        <v>ProcedureVersions.IsCleanlyRetired</v>
      </c>
      <c r="J211" s="3" t="s">
        <v>1926</v>
      </c>
    </row>
    <row r="212">
      <c r="A212" s="3" t="s">
        <v>15015</v>
      </c>
      <c r="B212" s="4" t="str">
        <f>_xlfn.CONCAT(C212, " @ ", D212)</f>
        <v>effortless-owl|ProcedureVersions.DaysSinceLastReview @ close-v1.1.0</v>
      </c>
      <c r="C212" s="3" t="s">
        <v>14762</v>
      </c>
      <c r="D212" s="3" t="s">
        <v>369</v>
      </c>
      <c r="E212" s="3" t="s">
        <v>8261</v>
      </c>
      <c r="F212" s="3" t="s">
        <v>14781</v>
      </c>
      <c r="G212" s="3" t="s">
        <v>14729</v>
      </c>
      <c r="H212" s="4" t="str">
        <f>_xlfn.IFNA(IF(((INDEX(FieldDisagreements!C2:C50, MATCH(C212,FieldDisagreements!A2:A50, 0))="")=TRUE),  "",  INDEX(FieldDisagreements!C2:C50, MATCH(C212,FieldDisagreements!A2:A50, 0))), "")</f>
        <v>effortless-owl</v>
      </c>
      <c r="I212" s="4" t="str">
        <f>_xlfn.IFNA(IF(((INDEX(FieldDisagreements!D2:D50, MATCH(C212,FieldDisagreements!A2:A50, 0))="")=TRUE),  "",  INDEX(FieldDisagreements!D2:D50, MATCH(C212,FieldDisagreements!A2:A50, 0))), "")</f>
        <v>ProcedureVersions.DaysSinceLastReview</v>
      </c>
      <c r="J212" s="3" t="s">
        <v>1926</v>
      </c>
    </row>
    <row r="213">
      <c r="A213" s="3" t="s">
        <v>15016</v>
      </c>
      <c r="B213" s="4" t="str">
        <f>_xlfn.CONCAT(C213, " @ ", D213)</f>
        <v>effortless-owl|ProcedureVersions.DaysSinceLastReview @ policy-v1.0.0</v>
      </c>
      <c r="C213" s="3" t="s">
        <v>14762</v>
      </c>
      <c r="D213" s="3" t="s">
        <v>375</v>
      </c>
      <c r="E213" s="3" t="s">
        <v>37</v>
      </c>
      <c r="F213" s="3" t="s">
        <v>14781</v>
      </c>
      <c r="G213" s="3" t="s">
        <v>14729</v>
      </c>
      <c r="H213" s="4" t="str">
        <f>_xlfn.IFNA(IF(((INDEX(FieldDisagreements!C2:C50, MATCH(C213,FieldDisagreements!A2:A50, 0))="")=TRUE),  "",  INDEX(FieldDisagreements!C2:C50, MATCH(C213,FieldDisagreements!A2:A50, 0))), "")</f>
        <v>effortless-owl</v>
      </c>
      <c r="I213" s="4" t="str">
        <f>_xlfn.IFNA(IF(((INDEX(FieldDisagreements!D2:D50, MATCH(C213,FieldDisagreements!A2:A50, 0))="")=TRUE),  "",  INDEX(FieldDisagreements!D2:D50, MATCH(C213,FieldDisagreements!A2:A50, 0))), "")</f>
        <v>ProcedureVersions.DaysSinceLastReview</v>
      </c>
      <c r="J213" s="3" t="s">
        <v>1926</v>
      </c>
    </row>
    <row r="214">
      <c r="A214" s="3" t="s">
        <v>15017</v>
      </c>
      <c r="B214" s="4" t="str">
        <f>_xlfn.CONCAT(C214, " @ ", D214)</f>
        <v>effortless-owl|ProcedureVersionLinks.SupersededVersionKey @ close-v1.0.0-to-v1.1.0</v>
      </c>
      <c r="C214" s="3" t="s">
        <v>14763</v>
      </c>
      <c r="D214" s="3" t="s">
        <v>474</v>
      </c>
      <c r="E214" s="3" t="s">
        <v>15018</v>
      </c>
      <c r="F214" s="3" t="s">
        <v>14781</v>
      </c>
      <c r="G214" s="3" t="s">
        <v>14729</v>
      </c>
      <c r="H214" s="4" t="str">
        <f>_xlfn.IFNA(IF(((INDEX(FieldDisagreements!C2:C50, MATCH(C214,FieldDisagreements!A2:A50, 0))="")=TRUE),  "",  INDEX(FieldDisagreements!C2:C50, MATCH(C214,FieldDisagreements!A2:A50, 0))), "")</f>
        <v>effortless-owl</v>
      </c>
      <c r="I214" s="4" t="str">
        <f>_xlfn.IFNA(IF(((INDEX(FieldDisagreements!D2:D50, MATCH(C214,FieldDisagreements!A2:A50, 0))="")=TRUE),  "",  INDEX(FieldDisagreements!D2:D50, MATCH(C214,FieldDisagreements!A2:A50, 0))), "")</f>
        <v>ProcedureVersionLinks.SupersededVersionKey</v>
      </c>
      <c r="J214" s="3" t="s">
        <v>1926</v>
      </c>
    </row>
    <row r="215">
      <c r="A215" s="3" t="s">
        <v>15019</v>
      </c>
      <c r="B215" s="4" t="str">
        <f>_xlfn.CONCAT(C215, " @ ", D215)</f>
        <v>effortless-owl|StepTransitions.CountOfFromStepExecutions @ close-01-to-close-02</v>
      </c>
      <c r="C215" s="3" t="s">
        <v>14764</v>
      </c>
      <c r="D215" s="3" t="s">
        <v>646</v>
      </c>
      <c r="E215" s="3" t="s">
        <v>37</v>
      </c>
      <c r="F215" s="3" t="s">
        <v>955</v>
      </c>
      <c r="G215" s="3" t="s">
        <v>14729</v>
      </c>
      <c r="H215" s="4" t="str">
        <f>_xlfn.IFNA(IF(((INDEX(FieldDisagreements!C2:C50, MATCH(C215,FieldDisagreements!A2:A50, 0))="")=TRUE),  "",  INDEX(FieldDisagreements!C2:C50, MATCH(C215,FieldDisagreements!A2:A50, 0))), "")</f>
        <v>effortless-owl</v>
      </c>
      <c r="I215" s="4" t="str">
        <f>_xlfn.IFNA(IF(((INDEX(FieldDisagreements!D2:D50, MATCH(C215,FieldDisagreements!A2:A50, 0))="")=TRUE),  "",  INDEX(FieldDisagreements!D2:D50, MATCH(C215,FieldDisagreements!A2:A50, 0))), "")</f>
        <v>StepTransitions.CountOfFromStepExecutions</v>
      </c>
      <c r="J215" s="3" t="s">
        <v>1926</v>
      </c>
    </row>
    <row r="216">
      <c r="A216" s="3" t="s">
        <v>15020</v>
      </c>
      <c r="B216" s="4" t="str">
        <f>_xlfn.CONCAT(C216, " @ ", D216)</f>
        <v>effortless-owl|StepTransitions.CountOfFromStepExecutions @ close-02-to-close-03</v>
      </c>
      <c r="C216" s="3" t="s">
        <v>14764</v>
      </c>
      <c r="D216" s="3" t="s">
        <v>650</v>
      </c>
      <c r="E216" s="3" t="s">
        <v>37</v>
      </c>
      <c r="F216" s="3" t="s">
        <v>955</v>
      </c>
      <c r="G216" s="3" t="s">
        <v>14729</v>
      </c>
      <c r="H216" s="4" t="str">
        <f>_xlfn.IFNA(IF(((INDEX(FieldDisagreements!C2:C50, MATCH(C216,FieldDisagreements!A2:A50, 0))="")=TRUE),  "",  INDEX(FieldDisagreements!C2:C50, MATCH(C216,FieldDisagreements!A2:A50, 0))), "")</f>
        <v>effortless-owl</v>
      </c>
      <c r="I216" s="4" t="str">
        <f>_xlfn.IFNA(IF(((INDEX(FieldDisagreements!D2:D50, MATCH(C216,FieldDisagreements!A2:A50, 0))="")=TRUE),  "",  INDEX(FieldDisagreements!D2:D50, MATCH(C216,FieldDisagreements!A2:A50, 0))), "")</f>
        <v>StepTransitions.CountOfFromStepExecutions</v>
      </c>
      <c r="J216" s="3" t="s">
        <v>1926</v>
      </c>
    </row>
    <row r="217">
      <c r="A217" s="3" t="s">
        <v>15021</v>
      </c>
      <c r="B217" s="4" t="str">
        <f>_xlfn.CONCAT(C217, " @ ", D217)</f>
        <v>effortless-owl|StepTransitions.CountOfFromStepExecutions @ close-03-to-close-04</v>
      </c>
      <c r="C217" s="3" t="s">
        <v>14764</v>
      </c>
      <c r="D217" s="3" t="s">
        <v>651</v>
      </c>
      <c r="E217" s="3" t="s">
        <v>37</v>
      </c>
      <c r="F217" s="3" t="s">
        <v>955</v>
      </c>
      <c r="G217" s="3" t="s">
        <v>14729</v>
      </c>
      <c r="H217" s="4" t="str">
        <f>_xlfn.IFNA(IF(((INDEX(FieldDisagreements!C2:C50, MATCH(C217,FieldDisagreements!A2:A50, 0))="")=TRUE),  "",  INDEX(FieldDisagreements!C2:C50, MATCH(C217,FieldDisagreements!A2:A50, 0))), "")</f>
        <v>effortless-owl</v>
      </c>
      <c r="I217" s="4" t="str">
        <f>_xlfn.IFNA(IF(((INDEX(FieldDisagreements!D2:D50, MATCH(C217,FieldDisagreements!A2:A50, 0))="")=TRUE),  "",  INDEX(FieldDisagreements!D2:D50, MATCH(C217,FieldDisagreements!A2:A50, 0))), "")</f>
        <v>StepTransitions.CountOfFromStepExecutions</v>
      </c>
      <c r="J217" s="3" t="s">
        <v>1926</v>
      </c>
    </row>
    <row r="218">
      <c r="A218" s="3" t="s">
        <v>15022</v>
      </c>
      <c r="B218" s="4" t="str">
        <f>_xlfn.CONCAT(C218, " @ ", D218)</f>
        <v>effortless-owl|StepTransitions.CountOfFromStepExecutions @ close-04-fallback-close-03</v>
      </c>
      <c r="C218" s="3" t="s">
        <v>14764</v>
      </c>
      <c r="D218" s="3" t="s">
        <v>664</v>
      </c>
      <c r="E218" s="3" t="s">
        <v>37</v>
      </c>
      <c r="F218" s="3" t="s">
        <v>955</v>
      </c>
      <c r="G218" s="3" t="s">
        <v>14729</v>
      </c>
      <c r="H218" s="4" t="str">
        <f>_xlfn.IFNA(IF(((INDEX(FieldDisagreements!C2:C50, MATCH(C218,FieldDisagreements!A2:A50, 0))="")=TRUE),  "",  INDEX(FieldDisagreements!C2:C50, MATCH(C218,FieldDisagreements!A2:A50, 0))), "")</f>
        <v>effortless-owl</v>
      </c>
      <c r="I218" s="4" t="str">
        <f>_xlfn.IFNA(IF(((INDEX(FieldDisagreements!D2:D50, MATCH(C218,FieldDisagreements!A2:A50, 0))="")=TRUE),  "",  INDEX(FieldDisagreements!D2:D50, MATCH(C218,FieldDisagreements!A2:A50, 0))), "")</f>
        <v>StepTransitions.CountOfFromStepExecutions</v>
      </c>
      <c r="J218" s="3" t="s">
        <v>1926</v>
      </c>
    </row>
    <row r="219">
      <c r="A219" s="3" t="s">
        <v>15023</v>
      </c>
      <c r="B219" s="4" t="str">
        <f>_xlfn.CONCAT(C219, " @ ", D219)</f>
        <v>effortless-owl|StepTransitions.CountOfFromStepExecutions @ close-04-to-close-05</v>
      </c>
      <c r="C219" s="3" t="s">
        <v>14764</v>
      </c>
      <c r="D219" s="3" t="s">
        <v>652</v>
      </c>
      <c r="E219" s="3" t="s">
        <v>37</v>
      </c>
      <c r="F219" s="3" t="s">
        <v>955</v>
      </c>
      <c r="G219" s="3" t="s">
        <v>14729</v>
      </c>
      <c r="H219" s="4" t="str">
        <f>_xlfn.IFNA(IF(((INDEX(FieldDisagreements!C2:C50, MATCH(C219,FieldDisagreements!A2:A50, 0))="")=TRUE),  "",  INDEX(FieldDisagreements!C2:C50, MATCH(C219,FieldDisagreements!A2:A50, 0))), "")</f>
        <v>effortless-owl</v>
      </c>
      <c r="I219" s="4" t="str">
        <f>_xlfn.IFNA(IF(((INDEX(FieldDisagreements!D2:D50, MATCH(C219,FieldDisagreements!A2:A50, 0))="")=TRUE),  "",  INDEX(FieldDisagreements!D2:D50, MATCH(C219,FieldDisagreements!A2:A50, 0))), "")</f>
        <v>StepTransitions.CountOfFromStepExecutions</v>
      </c>
      <c r="J219" s="3" t="s">
        <v>1926</v>
      </c>
    </row>
    <row r="220">
      <c r="A220" s="3" t="s">
        <v>15024</v>
      </c>
      <c r="B220" s="4" t="str">
        <f>_xlfn.CONCAT(C220, " @ ", D220)</f>
        <v>effortless-owl|StepTransitions.CountOfFromStepExecutions @ close-05-expedite-close-07</v>
      </c>
      <c r="C220" s="3" t="s">
        <v>14764</v>
      </c>
      <c r="D220" s="3" t="s">
        <v>670</v>
      </c>
      <c r="E220" s="3" t="s">
        <v>37</v>
      </c>
      <c r="F220" s="3" t="s">
        <v>955</v>
      </c>
      <c r="G220" s="3" t="s">
        <v>14729</v>
      </c>
      <c r="H220" s="4" t="str">
        <f>_xlfn.IFNA(IF(((INDEX(FieldDisagreements!C2:C50, MATCH(C220,FieldDisagreements!A2:A50, 0))="")=TRUE),  "",  INDEX(FieldDisagreements!C2:C50, MATCH(C220,FieldDisagreements!A2:A50, 0))), "")</f>
        <v>effortless-owl</v>
      </c>
      <c r="I220" s="4" t="str">
        <f>_xlfn.IFNA(IF(((INDEX(FieldDisagreements!D2:D50, MATCH(C220,FieldDisagreements!A2:A50, 0))="")=TRUE),  "",  INDEX(FieldDisagreements!D2:D50, MATCH(C220,FieldDisagreements!A2:A50, 0))), "")</f>
        <v>StepTransitions.CountOfFromStepExecutions</v>
      </c>
      <c r="J220" s="3" t="s">
        <v>1926</v>
      </c>
    </row>
    <row r="221">
      <c r="A221" s="3" t="s">
        <v>15025</v>
      </c>
      <c r="B221" s="4" t="str">
        <f>_xlfn.CONCAT(C221, " @ ", D221)</f>
        <v>effortless-owl|StepTransitions.CountOfFromStepExecutions @ close-05-to-close-06</v>
      </c>
      <c r="C221" s="3" t="s">
        <v>14764</v>
      </c>
      <c r="D221" s="3" t="s">
        <v>653</v>
      </c>
      <c r="E221" s="3" t="s">
        <v>37</v>
      </c>
      <c r="F221" s="3" t="s">
        <v>955</v>
      </c>
      <c r="G221" s="3" t="s">
        <v>14729</v>
      </c>
      <c r="H221" s="4" t="str">
        <f>_xlfn.IFNA(IF(((INDEX(FieldDisagreements!C2:C50, MATCH(C221,FieldDisagreements!A2:A50, 0))="")=TRUE),  "",  INDEX(FieldDisagreements!C2:C50, MATCH(C221,FieldDisagreements!A2:A50, 0))), "")</f>
        <v>effortless-owl</v>
      </c>
      <c r="I221" s="4" t="str">
        <f>_xlfn.IFNA(IF(((INDEX(FieldDisagreements!D2:D50, MATCH(C221,FieldDisagreements!A2:A50, 0))="")=TRUE),  "",  INDEX(FieldDisagreements!D2:D50, MATCH(C221,FieldDisagreements!A2:A50, 0))), "")</f>
        <v>StepTransitions.CountOfFromStepExecutions</v>
      </c>
      <c r="J221" s="3" t="s">
        <v>1926</v>
      </c>
    </row>
    <row r="222">
      <c r="A222" s="3" t="s">
        <v>15026</v>
      </c>
      <c r="B222" s="4" t="str">
        <f>_xlfn.CONCAT(C222, " @ ", D222)</f>
        <v>effortless-owl|StepTransitions.CountOfFromStepExecutions @ close-06-return-close-04</v>
      </c>
      <c r="C222" s="3" t="s">
        <v>14764</v>
      </c>
      <c r="D222" s="3" t="s">
        <v>667</v>
      </c>
      <c r="E222" s="3" t="s">
        <v>37</v>
      </c>
      <c r="F222" s="3" t="s">
        <v>955</v>
      </c>
      <c r="G222" s="3" t="s">
        <v>14729</v>
      </c>
      <c r="H222" s="4" t="str">
        <f>_xlfn.IFNA(IF(((INDEX(FieldDisagreements!C2:C50, MATCH(C222,FieldDisagreements!A2:A50, 0))="")=TRUE),  "",  INDEX(FieldDisagreements!C2:C50, MATCH(C222,FieldDisagreements!A2:A50, 0))), "")</f>
        <v>effortless-owl</v>
      </c>
      <c r="I222" s="4" t="str">
        <f>_xlfn.IFNA(IF(((INDEX(FieldDisagreements!D2:D50, MATCH(C222,FieldDisagreements!A2:A50, 0))="")=TRUE),  "",  INDEX(FieldDisagreements!D2:D50, MATCH(C222,FieldDisagreements!A2:A50, 0))), "")</f>
        <v>StepTransitions.CountOfFromStepExecutions</v>
      </c>
      <c r="J222" s="3" t="s">
        <v>1926</v>
      </c>
    </row>
    <row r="223">
      <c r="A223" s="3" t="s">
        <v>15027</v>
      </c>
      <c r="B223" s="4" t="str">
        <f>_xlfn.CONCAT(C223, " @ ", D223)</f>
        <v>effortless-owl|StepTransitions.CountOfFromStepExecutions @ close-06-to-close-07</v>
      </c>
      <c r="C223" s="3" t="s">
        <v>14764</v>
      </c>
      <c r="D223" s="3" t="s">
        <v>654</v>
      </c>
      <c r="E223" s="3" t="s">
        <v>37</v>
      </c>
      <c r="F223" s="3" t="s">
        <v>955</v>
      </c>
      <c r="G223" s="3" t="s">
        <v>14729</v>
      </c>
      <c r="H223" s="4" t="str">
        <f>_xlfn.IFNA(IF(((INDEX(FieldDisagreements!C2:C50, MATCH(C223,FieldDisagreements!A2:A50, 0))="")=TRUE),  "",  INDEX(FieldDisagreements!C2:C50, MATCH(C223,FieldDisagreements!A2:A50, 0))), "")</f>
        <v>effortless-owl</v>
      </c>
      <c r="I223" s="4" t="str">
        <f>_xlfn.IFNA(IF(((INDEX(FieldDisagreements!D2:D50, MATCH(C223,FieldDisagreements!A2:A50, 0))="")=TRUE),  "",  INDEX(FieldDisagreements!D2:D50, MATCH(C223,FieldDisagreements!A2:A50, 0))), "")</f>
        <v>StepTransitions.CountOfFromStepExecutions</v>
      </c>
      <c r="J223" s="3" t="s">
        <v>1926</v>
      </c>
    </row>
    <row r="224">
      <c r="A224" s="3" t="s">
        <v>15028</v>
      </c>
      <c r="B224" s="4" t="str">
        <f>_xlfn.CONCAT(C224, " @ ", D224)</f>
        <v>effortless-owl|StepTransitions.CountOfFromStepExecutions @ close-07-to-close-08</v>
      </c>
      <c r="C224" s="3" t="s">
        <v>14764</v>
      </c>
      <c r="D224" s="3" t="s">
        <v>655</v>
      </c>
      <c r="E224" s="3" t="s">
        <v>37</v>
      </c>
      <c r="F224" s="3" t="s">
        <v>955</v>
      </c>
      <c r="G224" s="3" t="s">
        <v>14729</v>
      </c>
      <c r="H224" s="4" t="str">
        <f>_xlfn.IFNA(IF(((INDEX(FieldDisagreements!C2:C50, MATCH(C224,FieldDisagreements!A2:A50, 0))="")=TRUE),  "",  INDEX(FieldDisagreements!C2:C50, MATCH(C224,FieldDisagreements!A2:A50, 0))), "")</f>
        <v>effortless-owl</v>
      </c>
      <c r="I224" s="4" t="str">
        <f>_xlfn.IFNA(IF(((INDEX(FieldDisagreements!D2:D50, MATCH(C224,FieldDisagreements!A2:A50, 0))="")=TRUE),  "",  INDEX(FieldDisagreements!D2:D50, MATCH(C224,FieldDisagreements!A2:A50, 0))), "")</f>
        <v>StepTransitions.CountOfFromStepExecutions</v>
      </c>
      <c r="J224" s="3" t="s">
        <v>1926</v>
      </c>
    </row>
    <row r="225">
      <c r="A225" s="3" t="s">
        <v>15029</v>
      </c>
      <c r="B225" s="4" t="str">
        <f>_xlfn.CONCAT(C225, " @ ", D225)</f>
        <v>effortless-owl|StepTransitions.CountOfFromStepExecutions @ policy-01-to-policy-02</v>
      </c>
      <c r="C225" s="3" t="s">
        <v>14764</v>
      </c>
      <c r="D225" s="3" t="s">
        <v>656</v>
      </c>
      <c r="E225" s="3" t="s">
        <v>37</v>
      </c>
      <c r="F225" s="3" t="s">
        <v>955</v>
      </c>
      <c r="G225" s="3" t="s">
        <v>14729</v>
      </c>
      <c r="H225" s="4" t="str">
        <f>_xlfn.IFNA(IF(((INDEX(FieldDisagreements!C2:C50, MATCH(C225,FieldDisagreements!A2:A50, 0))="")=TRUE),  "",  INDEX(FieldDisagreements!C2:C50, MATCH(C225,FieldDisagreements!A2:A50, 0))), "")</f>
        <v>effortless-owl</v>
      </c>
      <c r="I225" s="4" t="str">
        <f>_xlfn.IFNA(IF(((INDEX(FieldDisagreements!D2:D50, MATCH(C225,FieldDisagreements!A2:A50, 0))="")=TRUE),  "",  INDEX(FieldDisagreements!D2:D50, MATCH(C225,FieldDisagreements!A2:A50, 0))), "")</f>
        <v>StepTransitions.CountOfFromStepExecutions</v>
      </c>
      <c r="J225" s="3" t="s">
        <v>1926</v>
      </c>
    </row>
    <row r="226">
      <c r="A226" s="3" t="s">
        <v>15030</v>
      </c>
      <c r="B226" s="4" t="str">
        <f>_xlfn.CONCAT(C226, " @ ", D226)</f>
        <v>effortless-owl|StepTransitions.CountOfFromStepExecutions @ policy-02-to-policy-03</v>
      </c>
      <c r="C226" s="3" t="s">
        <v>14764</v>
      </c>
      <c r="D226" s="3" t="s">
        <v>657</v>
      </c>
      <c r="E226" s="3" t="s">
        <v>37</v>
      </c>
      <c r="F226" s="3" t="s">
        <v>955</v>
      </c>
      <c r="G226" s="3" t="s">
        <v>14729</v>
      </c>
      <c r="H226" s="4" t="str">
        <f>_xlfn.IFNA(IF(((INDEX(FieldDisagreements!C2:C50, MATCH(C226,FieldDisagreements!A2:A50, 0))="")=TRUE),  "",  INDEX(FieldDisagreements!C2:C50, MATCH(C226,FieldDisagreements!A2:A50, 0))), "")</f>
        <v>effortless-owl</v>
      </c>
      <c r="I226" s="4" t="str">
        <f>_xlfn.IFNA(IF(((INDEX(FieldDisagreements!D2:D50, MATCH(C226,FieldDisagreements!A2:A50, 0))="")=TRUE),  "",  INDEX(FieldDisagreements!D2:D50, MATCH(C226,FieldDisagreements!A2:A50, 0))), "")</f>
        <v>StepTransitions.CountOfFromStepExecutions</v>
      </c>
      <c r="J226" s="3" t="s">
        <v>1926</v>
      </c>
    </row>
    <row r="227">
      <c r="A227" s="3" t="s">
        <v>15031</v>
      </c>
      <c r="B227" s="4" t="str">
        <f>_xlfn.CONCAT(C227, " @ ", D227)</f>
        <v>effortless-owl|StepTransitions.CountOfFromStepExecutions @ policy-03-to-policy-04</v>
      </c>
      <c r="C227" s="3" t="s">
        <v>14764</v>
      </c>
      <c r="D227" s="3" t="s">
        <v>658</v>
      </c>
      <c r="E227" s="3" t="s">
        <v>37</v>
      </c>
      <c r="F227" s="3" t="s">
        <v>955</v>
      </c>
      <c r="G227" s="3" t="s">
        <v>14729</v>
      </c>
      <c r="H227" s="4" t="str">
        <f>_xlfn.IFNA(IF(((INDEX(FieldDisagreements!C2:C50, MATCH(C227,FieldDisagreements!A2:A50, 0))="")=TRUE),  "",  INDEX(FieldDisagreements!C2:C50, MATCH(C227,FieldDisagreements!A2:A50, 0))), "")</f>
        <v>effortless-owl</v>
      </c>
      <c r="I227" s="4" t="str">
        <f>_xlfn.IFNA(IF(((INDEX(FieldDisagreements!D2:D50, MATCH(C227,FieldDisagreements!A2:A50, 0))="")=TRUE),  "",  INDEX(FieldDisagreements!D2:D50, MATCH(C227,FieldDisagreements!A2:A50, 0))), "")</f>
        <v>StepTransitions.CountOfFromStepExecutions</v>
      </c>
      <c r="J227" s="3" t="s">
        <v>1926</v>
      </c>
    </row>
    <row r="228">
      <c r="A228" s="3" t="s">
        <v>15032</v>
      </c>
      <c r="B228" s="4" t="str">
        <f>_xlfn.CONCAT(C228, " @ ", D228)</f>
        <v>effortless-owl|StepTransitions.CountOfFromStepExecutions @ policy-04-return-policy-03</v>
      </c>
      <c r="C228" s="3" t="s">
        <v>14764</v>
      </c>
      <c r="D228" s="3" t="s">
        <v>672</v>
      </c>
      <c r="E228" s="3" t="s">
        <v>37</v>
      </c>
      <c r="F228" s="3" t="s">
        <v>955</v>
      </c>
      <c r="G228" s="3" t="s">
        <v>14729</v>
      </c>
      <c r="H228" s="4" t="str">
        <f>_xlfn.IFNA(IF(((INDEX(FieldDisagreements!C2:C50, MATCH(C228,FieldDisagreements!A2:A50, 0))="")=TRUE),  "",  INDEX(FieldDisagreements!C2:C50, MATCH(C228,FieldDisagreements!A2:A50, 0))), "")</f>
        <v>effortless-owl</v>
      </c>
      <c r="I228" s="4" t="str">
        <f>_xlfn.IFNA(IF(((INDEX(FieldDisagreements!D2:D50, MATCH(C228,FieldDisagreements!A2:A50, 0))="")=TRUE),  "",  INDEX(FieldDisagreements!D2:D50, MATCH(C228,FieldDisagreements!A2:A50, 0))), "")</f>
        <v>StepTransitions.CountOfFromStepExecutions</v>
      </c>
      <c r="J228" s="3" t="s">
        <v>1926</v>
      </c>
    </row>
    <row r="229">
      <c r="A229" s="3" t="s">
        <v>15033</v>
      </c>
      <c r="B229" s="4" t="str">
        <f>_xlfn.CONCAT(C229, " @ ", D229)</f>
        <v>effortless-owl|StepTransitions.CountOfFromStepExecutions @ policy-04-to-policy-05</v>
      </c>
      <c r="C229" s="3" t="s">
        <v>14764</v>
      </c>
      <c r="D229" s="3" t="s">
        <v>659</v>
      </c>
      <c r="E229" s="3" t="s">
        <v>37</v>
      </c>
      <c r="F229" s="3" t="s">
        <v>955</v>
      </c>
      <c r="G229" s="3" t="s">
        <v>14729</v>
      </c>
      <c r="H229" s="4" t="str">
        <f>_xlfn.IFNA(IF(((INDEX(FieldDisagreements!C2:C50, MATCH(C229,FieldDisagreements!A2:A50, 0))="")=TRUE),  "",  INDEX(FieldDisagreements!C2:C50, MATCH(C229,FieldDisagreements!A2:A50, 0))), "")</f>
        <v>effortless-owl</v>
      </c>
      <c r="I229" s="4" t="str">
        <f>_xlfn.IFNA(IF(((INDEX(FieldDisagreements!D2:D50, MATCH(C229,FieldDisagreements!A2:A50, 0))="")=TRUE),  "",  INDEX(FieldDisagreements!D2:D50, MATCH(C229,FieldDisagreements!A2:A50, 0))), "")</f>
        <v>StepTransitions.CountOfFromStepExecutions</v>
      </c>
      <c r="J229" s="3" t="s">
        <v>1926</v>
      </c>
    </row>
    <row r="230">
      <c r="A230" s="3" t="s">
        <v>15034</v>
      </c>
      <c r="B230" s="4" t="str">
        <f>_xlfn.CONCAT(C230, " @ ", D230)</f>
        <v>effortless-owl|StepTransitions.CountOfToStepExecutions @ close-01-to-close-02</v>
      </c>
      <c r="C230" s="3" t="s">
        <v>14765</v>
      </c>
      <c r="D230" s="3" t="s">
        <v>646</v>
      </c>
      <c r="E230" s="3" t="s">
        <v>37</v>
      </c>
      <c r="F230" s="3" t="s">
        <v>955</v>
      </c>
      <c r="G230" s="3" t="s">
        <v>14729</v>
      </c>
      <c r="H230" s="4" t="str">
        <f>_xlfn.IFNA(IF(((INDEX(FieldDisagreements!C2:C50, MATCH(C230,FieldDisagreements!A2:A50, 0))="")=TRUE),  "",  INDEX(FieldDisagreements!C2:C50, MATCH(C230,FieldDisagreements!A2:A50, 0))), "")</f>
        <v>effortless-owl</v>
      </c>
      <c r="I230" s="4" t="str">
        <f>_xlfn.IFNA(IF(((INDEX(FieldDisagreements!D2:D50, MATCH(C230,FieldDisagreements!A2:A50, 0))="")=TRUE),  "",  INDEX(FieldDisagreements!D2:D50, MATCH(C230,FieldDisagreements!A2:A50, 0))), "")</f>
        <v>StepTransitions.CountOfToStepExecutions</v>
      </c>
      <c r="J230" s="3" t="s">
        <v>1926</v>
      </c>
    </row>
    <row r="231">
      <c r="A231" s="3" t="s">
        <v>15035</v>
      </c>
      <c r="B231" s="4" t="str">
        <f>_xlfn.CONCAT(C231, " @ ", D231)</f>
        <v>effortless-owl|StepTransitions.CountOfToStepExecutions @ close-02-to-close-03</v>
      </c>
      <c r="C231" s="3" t="s">
        <v>14765</v>
      </c>
      <c r="D231" s="3" t="s">
        <v>650</v>
      </c>
      <c r="E231" s="3" t="s">
        <v>37</v>
      </c>
      <c r="F231" s="3" t="s">
        <v>955</v>
      </c>
      <c r="G231" s="3" t="s">
        <v>14729</v>
      </c>
      <c r="H231" s="4" t="str">
        <f>_xlfn.IFNA(IF(((INDEX(FieldDisagreements!C2:C50, MATCH(C231,FieldDisagreements!A2:A50, 0))="")=TRUE),  "",  INDEX(FieldDisagreements!C2:C50, MATCH(C231,FieldDisagreements!A2:A50, 0))), "")</f>
        <v>effortless-owl</v>
      </c>
      <c r="I231" s="4" t="str">
        <f>_xlfn.IFNA(IF(((INDEX(FieldDisagreements!D2:D50, MATCH(C231,FieldDisagreements!A2:A50, 0))="")=TRUE),  "",  INDEX(FieldDisagreements!D2:D50, MATCH(C231,FieldDisagreements!A2:A50, 0))), "")</f>
        <v>StepTransitions.CountOfToStepExecutions</v>
      </c>
      <c r="J231" s="3" t="s">
        <v>1926</v>
      </c>
    </row>
    <row r="232">
      <c r="A232" s="3" t="s">
        <v>15036</v>
      </c>
      <c r="B232" s="4" t="str">
        <f>_xlfn.CONCAT(C232, " @ ", D232)</f>
        <v>effortless-owl|StepTransitions.CountOfToStepExecutions @ close-03-to-close-04</v>
      </c>
      <c r="C232" s="3" t="s">
        <v>14765</v>
      </c>
      <c r="D232" s="3" t="s">
        <v>651</v>
      </c>
      <c r="E232" s="3" t="s">
        <v>37</v>
      </c>
      <c r="F232" s="3" t="s">
        <v>955</v>
      </c>
      <c r="G232" s="3" t="s">
        <v>14729</v>
      </c>
      <c r="H232" s="4" t="str">
        <f>_xlfn.IFNA(IF(((INDEX(FieldDisagreements!C2:C50, MATCH(C232,FieldDisagreements!A2:A50, 0))="")=TRUE),  "",  INDEX(FieldDisagreements!C2:C50, MATCH(C232,FieldDisagreements!A2:A50, 0))), "")</f>
        <v>effortless-owl</v>
      </c>
      <c r="I232" s="4" t="str">
        <f>_xlfn.IFNA(IF(((INDEX(FieldDisagreements!D2:D50, MATCH(C232,FieldDisagreements!A2:A50, 0))="")=TRUE),  "",  INDEX(FieldDisagreements!D2:D50, MATCH(C232,FieldDisagreements!A2:A50, 0))), "")</f>
        <v>StepTransitions.CountOfToStepExecutions</v>
      </c>
      <c r="J232" s="3" t="s">
        <v>1926</v>
      </c>
    </row>
    <row r="233">
      <c r="A233" s="3" t="s">
        <v>15037</v>
      </c>
      <c r="B233" s="4" t="str">
        <f>_xlfn.CONCAT(C233, " @ ", D233)</f>
        <v>effortless-owl|StepTransitions.CountOfToStepExecutions @ close-04-fallback-close-03</v>
      </c>
      <c r="C233" s="3" t="s">
        <v>14765</v>
      </c>
      <c r="D233" s="3" t="s">
        <v>664</v>
      </c>
      <c r="E233" s="3" t="s">
        <v>37</v>
      </c>
      <c r="F233" s="3" t="s">
        <v>955</v>
      </c>
      <c r="G233" s="3" t="s">
        <v>14729</v>
      </c>
      <c r="H233" s="4" t="str">
        <f>_xlfn.IFNA(IF(((INDEX(FieldDisagreements!C2:C50, MATCH(C233,FieldDisagreements!A2:A50, 0))="")=TRUE),  "",  INDEX(FieldDisagreements!C2:C50, MATCH(C233,FieldDisagreements!A2:A50, 0))), "")</f>
        <v>effortless-owl</v>
      </c>
      <c r="I233" s="4" t="str">
        <f>_xlfn.IFNA(IF(((INDEX(FieldDisagreements!D2:D50, MATCH(C233,FieldDisagreements!A2:A50, 0))="")=TRUE),  "",  INDEX(FieldDisagreements!D2:D50, MATCH(C233,FieldDisagreements!A2:A50, 0))), "")</f>
        <v>StepTransitions.CountOfToStepExecutions</v>
      </c>
      <c r="J233" s="3" t="s">
        <v>1926</v>
      </c>
    </row>
    <row r="234">
      <c r="A234" s="3" t="s">
        <v>15038</v>
      </c>
      <c r="B234" s="4" t="str">
        <f>_xlfn.CONCAT(C234, " @ ", D234)</f>
        <v>effortless-owl|StepTransitions.CountOfToStepExecutions @ close-04-to-close-05</v>
      </c>
      <c r="C234" s="3" t="s">
        <v>14765</v>
      </c>
      <c r="D234" s="3" t="s">
        <v>652</v>
      </c>
      <c r="E234" s="3" t="s">
        <v>37</v>
      </c>
      <c r="F234" s="3" t="s">
        <v>955</v>
      </c>
      <c r="G234" s="3" t="s">
        <v>14729</v>
      </c>
      <c r="H234" s="4" t="str">
        <f>_xlfn.IFNA(IF(((INDEX(FieldDisagreements!C2:C50, MATCH(C234,FieldDisagreements!A2:A50, 0))="")=TRUE),  "",  INDEX(FieldDisagreements!C2:C50, MATCH(C234,FieldDisagreements!A2:A50, 0))), "")</f>
        <v>effortless-owl</v>
      </c>
      <c r="I234" s="4" t="str">
        <f>_xlfn.IFNA(IF(((INDEX(FieldDisagreements!D2:D50, MATCH(C234,FieldDisagreements!A2:A50, 0))="")=TRUE),  "",  INDEX(FieldDisagreements!D2:D50, MATCH(C234,FieldDisagreements!A2:A50, 0))), "")</f>
        <v>StepTransitions.CountOfToStepExecutions</v>
      </c>
      <c r="J234" s="3" t="s">
        <v>1926</v>
      </c>
    </row>
    <row r="235">
      <c r="A235" s="3" t="s">
        <v>15039</v>
      </c>
      <c r="B235" s="4" t="str">
        <f>_xlfn.CONCAT(C235, " @ ", D235)</f>
        <v>effortless-owl|StepTransitions.CountOfToStepExecutions @ close-05-expedite-close-07</v>
      </c>
      <c r="C235" s="3" t="s">
        <v>14765</v>
      </c>
      <c r="D235" s="3" t="s">
        <v>670</v>
      </c>
      <c r="E235" s="3" t="s">
        <v>37</v>
      </c>
      <c r="F235" s="3" t="s">
        <v>955</v>
      </c>
      <c r="G235" s="3" t="s">
        <v>14729</v>
      </c>
      <c r="H235" s="4" t="str">
        <f>_xlfn.IFNA(IF(((INDEX(FieldDisagreements!C2:C50, MATCH(C235,FieldDisagreements!A2:A50, 0))="")=TRUE),  "",  INDEX(FieldDisagreements!C2:C50, MATCH(C235,FieldDisagreements!A2:A50, 0))), "")</f>
        <v>effortless-owl</v>
      </c>
      <c r="I235" s="4" t="str">
        <f>_xlfn.IFNA(IF(((INDEX(FieldDisagreements!D2:D50, MATCH(C235,FieldDisagreements!A2:A50, 0))="")=TRUE),  "",  INDEX(FieldDisagreements!D2:D50, MATCH(C235,FieldDisagreements!A2:A50, 0))), "")</f>
        <v>StepTransitions.CountOfToStepExecutions</v>
      </c>
      <c r="J235" s="3" t="s">
        <v>1926</v>
      </c>
    </row>
    <row r="236">
      <c r="A236" s="3" t="s">
        <v>15040</v>
      </c>
      <c r="B236" s="4" t="str">
        <f>_xlfn.CONCAT(C236, " @ ", D236)</f>
        <v>effortless-owl|StepTransitions.CountOfToStepExecutions @ close-05-to-close-06</v>
      </c>
      <c r="C236" s="3" t="s">
        <v>14765</v>
      </c>
      <c r="D236" s="3" t="s">
        <v>653</v>
      </c>
      <c r="E236" s="3" t="s">
        <v>37</v>
      </c>
      <c r="F236" s="3" t="s">
        <v>955</v>
      </c>
      <c r="G236" s="3" t="s">
        <v>14729</v>
      </c>
      <c r="H236" s="4" t="str">
        <f>_xlfn.IFNA(IF(((INDEX(FieldDisagreements!C2:C50, MATCH(C236,FieldDisagreements!A2:A50, 0))="")=TRUE),  "",  INDEX(FieldDisagreements!C2:C50, MATCH(C236,FieldDisagreements!A2:A50, 0))), "")</f>
        <v>effortless-owl</v>
      </c>
      <c r="I236" s="4" t="str">
        <f>_xlfn.IFNA(IF(((INDEX(FieldDisagreements!D2:D50, MATCH(C236,FieldDisagreements!A2:A50, 0))="")=TRUE),  "",  INDEX(FieldDisagreements!D2:D50, MATCH(C236,FieldDisagreements!A2:A50, 0))), "")</f>
        <v>StepTransitions.CountOfToStepExecutions</v>
      </c>
      <c r="J236" s="3" t="s">
        <v>1926</v>
      </c>
    </row>
    <row r="237">
      <c r="A237" s="3" t="s">
        <v>15041</v>
      </c>
      <c r="B237" s="4" t="str">
        <f>_xlfn.CONCAT(C237, " @ ", D237)</f>
        <v>effortless-owl|StepTransitions.CountOfToStepExecutions @ close-06-return-close-04</v>
      </c>
      <c r="C237" s="3" t="s">
        <v>14765</v>
      </c>
      <c r="D237" s="3" t="s">
        <v>667</v>
      </c>
      <c r="E237" s="3" t="s">
        <v>37</v>
      </c>
      <c r="F237" s="3" t="s">
        <v>955</v>
      </c>
      <c r="G237" s="3" t="s">
        <v>14729</v>
      </c>
      <c r="H237" s="4" t="str">
        <f>_xlfn.IFNA(IF(((INDEX(FieldDisagreements!C2:C50, MATCH(C237,FieldDisagreements!A2:A50, 0))="")=TRUE),  "",  INDEX(FieldDisagreements!C2:C50, MATCH(C237,FieldDisagreements!A2:A50, 0))), "")</f>
        <v>effortless-owl</v>
      </c>
      <c r="I237" s="4" t="str">
        <f>_xlfn.IFNA(IF(((INDEX(FieldDisagreements!D2:D50, MATCH(C237,FieldDisagreements!A2:A50, 0))="")=TRUE),  "",  INDEX(FieldDisagreements!D2:D50, MATCH(C237,FieldDisagreements!A2:A50, 0))), "")</f>
        <v>StepTransitions.CountOfToStepExecutions</v>
      </c>
      <c r="J237" s="3" t="s">
        <v>1926</v>
      </c>
    </row>
    <row r="238">
      <c r="A238" s="3" t="s">
        <v>15042</v>
      </c>
      <c r="B238" s="4" t="str">
        <f>_xlfn.CONCAT(C238, " @ ", D238)</f>
        <v>effortless-owl|StepTransitions.CountOfToStepExecutions @ close-06-to-close-07</v>
      </c>
      <c r="C238" s="3" t="s">
        <v>14765</v>
      </c>
      <c r="D238" s="3" t="s">
        <v>654</v>
      </c>
      <c r="E238" s="3" t="s">
        <v>37</v>
      </c>
      <c r="F238" s="3" t="s">
        <v>955</v>
      </c>
      <c r="G238" s="3" t="s">
        <v>14729</v>
      </c>
      <c r="H238" s="4" t="str">
        <f>_xlfn.IFNA(IF(((INDEX(FieldDisagreements!C2:C50, MATCH(C238,FieldDisagreements!A2:A50, 0))="")=TRUE),  "",  INDEX(FieldDisagreements!C2:C50, MATCH(C238,FieldDisagreements!A2:A50, 0))), "")</f>
        <v>effortless-owl</v>
      </c>
      <c r="I238" s="4" t="str">
        <f>_xlfn.IFNA(IF(((INDEX(FieldDisagreements!D2:D50, MATCH(C238,FieldDisagreements!A2:A50, 0))="")=TRUE),  "",  INDEX(FieldDisagreements!D2:D50, MATCH(C238,FieldDisagreements!A2:A50, 0))), "")</f>
        <v>StepTransitions.CountOfToStepExecutions</v>
      </c>
      <c r="J238" s="3" t="s">
        <v>1926</v>
      </c>
    </row>
    <row r="239">
      <c r="A239" s="3" t="s">
        <v>15043</v>
      </c>
      <c r="B239" s="4" t="str">
        <f>_xlfn.CONCAT(C239, " @ ", D239)</f>
        <v>effortless-owl|StepTransitions.CountOfToStepExecutions @ close-07-to-close-08</v>
      </c>
      <c r="C239" s="3" t="s">
        <v>14765</v>
      </c>
      <c r="D239" s="3" t="s">
        <v>655</v>
      </c>
      <c r="E239" s="3" t="s">
        <v>37</v>
      </c>
      <c r="F239" s="3" t="s">
        <v>955</v>
      </c>
      <c r="G239" s="3" t="s">
        <v>14729</v>
      </c>
      <c r="H239" s="4" t="str">
        <f>_xlfn.IFNA(IF(((INDEX(FieldDisagreements!C2:C50, MATCH(C239,FieldDisagreements!A2:A50, 0))="")=TRUE),  "",  INDEX(FieldDisagreements!C2:C50, MATCH(C239,FieldDisagreements!A2:A50, 0))), "")</f>
        <v>effortless-owl</v>
      </c>
      <c r="I239" s="4" t="str">
        <f>_xlfn.IFNA(IF(((INDEX(FieldDisagreements!D2:D50, MATCH(C239,FieldDisagreements!A2:A50, 0))="")=TRUE),  "",  INDEX(FieldDisagreements!D2:D50, MATCH(C239,FieldDisagreements!A2:A50, 0))), "")</f>
        <v>StepTransitions.CountOfToStepExecutions</v>
      </c>
      <c r="J239" s="3" t="s">
        <v>1926</v>
      </c>
    </row>
    <row r="240">
      <c r="A240" s="3" t="s">
        <v>15044</v>
      </c>
      <c r="B240" s="4" t="str">
        <f>_xlfn.CONCAT(C240, " @ ", D240)</f>
        <v>effortless-owl|StepTransitions.CountOfToStepExecutions @ policy-01-to-policy-02</v>
      </c>
      <c r="C240" s="3" t="s">
        <v>14765</v>
      </c>
      <c r="D240" s="3" t="s">
        <v>656</v>
      </c>
      <c r="E240" s="3" t="s">
        <v>37</v>
      </c>
      <c r="F240" s="3" t="s">
        <v>955</v>
      </c>
      <c r="G240" s="3" t="s">
        <v>14729</v>
      </c>
      <c r="H240" s="4" t="str">
        <f>_xlfn.IFNA(IF(((INDEX(FieldDisagreements!C2:C50, MATCH(C240,FieldDisagreements!A2:A50, 0))="")=TRUE),  "",  INDEX(FieldDisagreements!C2:C50, MATCH(C240,FieldDisagreements!A2:A50, 0))), "")</f>
        <v>effortless-owl</v>
      </c>
      <c r="I240" s="4" t="str">
        <f>_xlfn.IFNA(IF(((INDEX(FieldDisagreements!D2:D50, MATCH(C240,FieldDisagreements!A2:A50, 0))="")=TRUE),  "",  INDEX(FieldDisagreements!D2:D50, MATCH(C240,FieldDisagreements!A2:A50, 0))), "")</f>
        <v>StepTransitions.CountOfToStepExecutions</v>
      </c>
      <c r="J240" s="3" t="s">
        <v>1926</v>
      </c>
    </row>
    <row r="241">
      <c r="A241" s="3" t="s">
        <v>15045</v>
      </c>
      <c r="B241" s="4" t="str">
        <f>_xlfn.CONCAT(C241, " @ ", D241)</f>
        <v>effortless-owl|StepTransitions.CountOfToStepExecutions @ policy-02-to-policy-03</v>
      </c>
      <c r="C241" s="3" t="s">
        <v>14765</v>
      </c>
      <c r="D241" s="3" t="s">
        <v>657</v>
      </c>
      <c r="E241" s="3" t="s">
        <v>37</v>
      </c>
      <c r="F241" s="3" t="s">
        <v>955</v>
      </c>
      <c r="G241" s="3" t="s">
        <v>14729</v>
      </c>
      <c r="H241" s="4" t="str">
        <f>_xlfn.IFNA(IF(((INDEX(FieldDisagreements!C2:C50, MATCH(C241,FieldDisagreements!A2:A50, 0))="")=TRUE),  "",  INDEX(FieldDisagreements!C2:C50, MATCH(C241,FieldDisagreements!A2:A50, 0))), "")</f>
        <v>effortless-owl</v>
      </c>
      <c r="I241" s="4" t="str">
        <f>_xlfn.IFNA(IF(((INDEX(FieldDisagreements!D2:D50, MATCH(C241,FieldDisagreements!A2:A50, 0))="")=TRUE),  "",  INDEX(FieldDisagreements!D2:D50, MATCH(C241,FieldDisagreements!A2:A50, 0))), "")</f>
        <v>StepTransitions.CountOfToStepExecutions</v>
      </c>
      <c r="J241" s="3" t="s">
        <v>1926</v>
      </c>
    </row>
    <row r="242">
      <c r="A242" s="3" t="s">
        <v>15046</v>
      </c>
      <c r="B242" s="4" t="str">
        <f>_xlfn.CONCAT(C242, " @ ", D242)</f>
        <v>effortless-owl|StepTransitions.CountOfToStepExecutions @ policy-03-to-policy-04</v>
      </c>
      <c r="C242" s="3" t="s">
        <v>14765</v>
      </c>
      <c r="D242" s="3" t="s">
        <v>658</v>
      </c>
      <c r="E242" s="3" t="s">
        <v>37</v>
      </c>
      <c r="F242" s="3" t="s">
        <v>955</v>
      </c>
      <c r="G242" s="3" t="s">
        <v>14729</v>
      </c>
      <c r="H242" s="4" t="str">
        <f>_xlfn.IFNA(IF(((INDEX(FieldDisagreements!C2:C50, MATCH(C242,FieldDisagreements!A2:A50, 0))="")=TRUE),  "",  INDEX(FieldDisagreements!C2:C50, MATCH(C242,FieldDisagreements!A2:A50, 0))), "")</f>
        <v>effortless-owl</v>
      </c>
      <c r="I242" s="4" t="str">
        <f>_xlfn.IFNA(IF(((INDEX(FieldDisagreements!D2:D50, MATCH(C242,FieldDisagreements!A2:A50, 0))="")=TRUE),  "",  INDEX(FieldDisagreements!D2:D50, MATCH(C242,FieldDisagreements!A2:A50, 0))), "")</f>
        <v>StepTransitions.CountOfToStepExecutions</v>
      </c>
      <c r="J242" s="3" t="s">
        <v>1926</v>
      </c>
    </row>
    <row r="243">
      <c r="A243" s="3" t="s">
        <v>15047</v>
      </c>
      <c r="B243" s="4" t="str">
        <f>_xlfn.CONCAT(C243, " @ ", D243)</f>
        <v>effortless-owl|StepTransitions.CountOfToStepExecutions @ policy-04-return-policy-03</v>
      </c>
      <c r="C243" s="3" t="s">
        <v>14765</v>
      </c>
      <c r="D243" s="3" t="s">
        <v>672</v>
      </c>
      <c r="E243" s="3" t="s">
        <v>37</v>
      </c>
      <c r="F243" s="3" t="s">
        <v>955</v>
      </c>
      <c r="G243" s="3" t="s">
        <v>14729</v>
      </c>
      <c r="H243" s="4" t="str">
        <f>_xlfn.IFNA(IF(((INDEX(FieldDisagreements!C2:C50, MATCH(C243,FieldDisagreements!A2:A50, 0))="")=TRUE),  "",  INDEX(FieldDisagreements!C2:C50, MATCH(C243,FieldDisagreements!A2:A50, 0))), "")</f>
        <v>effortless-owl</v>
      </c>
      <c r="I243" s="4" t="str">
        <f>_xlfn.IFNA(IF(((INDEX(FieldDisagreements!D2:D50, MATCH(C243,FieldDisagreements!A2:A50, 0))="")=TRUE),  "",  INDEX(FieldDisagreements!D2:D50, MATCH(C243,FieldDisagreements!A2:A50, 0))), "")</f>
        <v>StepTransitions.CountOfToStepExecutions</v>
      </c>
      <c r="J243" s="3" t="s">
        <v>1926</v>
      </c>
    </row>
    <row r="244">
      <c r="A244" s="3" t="s">
        <v>15048</v>
      </c>
      <c r="B244" s="4" t="str">
        <f>_xlfn.CONCAT(C244, " @ ", D244)</f>
        <v>effortless-owl|StepTransitions.HasReachableOrigin @ close-01-to-close-02</v>
      </c>
      <c r="C244" s="3" t="s">
        <v>14766</v>
      </c>
      <c r="D244" s="3" t="s">
        <v>646</v>
      </c>
      <c r="E244" s="3" t="s">
        <v>14783</v>
      </c>
      <c r="F244" s="3" t="s">
        <v>14784</v>
      </c>
      <c r="G244" s="3" t="s">
        <v>14729</v>
      </c>
      <c r="H244" s="4" t="str">
        <f>_xlfn.IFNA(IF(((INDEX(FieldDisagreements!C2:C50, MATCH(C244,FieldDisagreements!A2:A50, 0))="")=TRUE),  "",  INDEX(FieldDisagreements!C2:C50, MATCH(C244,FieldDisagreements!A2:A50, 0))), "")</f>
        <v>effortless-owl</v>
      </c>
      <c r="I244" s="4" t="str">
        <f>_xlfn.IFNA(IF(((INDEX(FieldDisagreements!D2:D50, MATCH(C244,FieldDisagreements!A2:A50, 0))="")=TRUE),  "",  INDEX(FieldDisagreements!D2:D50, MATCH(C244,FieldDisagreements!A2:A50, 0))), "")</f>
        <v>StepTransitions.HasReachableOrigin</v>
      </c>
      <c r="J244" s="3" t="s">
        <v>1926</v>
      </c>
    </row>
    <row r="245">
      <c r="A245" s="3" t="s">
        <v>15049</v>
      </c>
      <c r="B245" s="4" t="str">
        <f>_xlfn.CONCAT(C245, " @ ", D245)</f>
        <v>effortless-owl|StepTransitions.HasReachableOrigin @ close-02-to-close-03</v>
      </c>
      <c r="C245" s="3" t="s">
        <v>14766</v>
      </c>
      <c r="D245" s="3" t="s">
        <v>650</v>
      </c>
      <c r="E245" s="3" t="s">
        <v>14783</v>
      </c>
      <c r="F245" s="3" t="s">
        <v>14784</v>
      </c>
      <c r="G245" s="3" t="s">
        <v>14729</v>
      </c>
      <c r="H245" s="4" t="str">
        <f>_xlfn.IFNA(IF(((INDEX(FieldDisagreements!C2:C50, MATCH(C245,FieldDisagreements!A2:A50, 0))="")=TRUE),  "",  INDEX(FieldDisagreements!C2:C50, MATCH(C245,FieldDisagreements!A2:A50, 0))), "")</f>
        <v>effortless-owl</v>
      </c>
      <c r="I245" s="4" t="str">
        <f>_xlfn.IFNA(IF(((INDEX(FieldDisagreements!D2:D50, MATCH(C245,FieldDisagreements!A2:A50, 0))="")=TRUE),  "",  INDEX(FieldDisagreements!D2:D50, MATCH(C245,FieldDisagreements!A2:A50, 0))), "")</f>
        <v>StepTransitions.HasReachableOrigin</v>
      </c>
      <c r="J245" s="3" t="s">
        <v>1926</v>
      </c>
    </row>
    <row r="246">
      <c r="A246" s="3" t="s">
        <v>15050</v>
      </c>
      <c r="B246" s="4" t="str">
        <f>_xlfn.CONCAT(C246, " @ ", D246)</f>
        <v>effortless-owl|StepTransitions.HasReachableOrigin @ close-03-to-close-04</v>
      </c>
      <c r="C246" s="3" t="s">
        <v>14766</v>
      </c>
      <c r="D246" s="3" t="s">
        <v>651</v>
      </c>
      <c r="E246" s="3" t="s">
        <v>14783</v>
      </c>
      <c r="F246" s="3" t="s">
        <v>14784</v>
      </c>
      <c r="G246" s="3" t="s">
        <v>14729</v>
      </c>
      <c r="H246" s="4" t="str">
        <f>_xlfn.IFNA(IF(((INDEX(FieldDisagreements!C2:C50, MATCH(C246,FieldDisagreements!A2:A50, 0))="")=TRUE),  "",  INDEX(FieldDisagreements!C2:C50, MATCH(C246,FieldDisagreements!A2:A50, 0))), "")</f>
        <v>effortless-owl</v>
      </c>
      <c r="I246" s="4" t="str">
        <f>_xlfn.IFNA(IF(((INDEX(FieldDisagreements!D2:D50, MATCH(C246,FieldDisagreements!A2:A50, 0))="")=TRUE),  "",  INDEX(FieldDisagreements!D2:D50, MATCH(C246,FieldDisagreements!A2:A50, 0))), "")</f>
        <v>StepTransitions.HasReachableOrigin</v>
      </c>
      <c r="J246" s="3" t="s">
        <v>1926</v>
      </c>
    </row>
    <row r="247">
      <c r="A247" s="3" t="s">
        <v>15051</v>
      </c>
      <c r="B247" s="4" t="str">
        <f>_xlfn.CONCAT(C247, " @ ", D247)</f>
        <v>effortless-owl|StepTransitions.HasReachableOrigin @ close-04-fallback-close-03</v>
      </c>
      <c r="C247" s="3" t="s">
        <v>14766</v>
      </c>
      <c r="D247" s="3" t="s">
        <v>664</v>
      </c>
      <c r="E247" s="3" t="s">
        <v>14783</v>
      </c>
      <c r="F247" s="3" t="s">
        <v>14784</v>
      </c>
      <c r="G247" s="3" t="s">
        <v>14729</v>
      </c>
      <c r="H247" s="4" t="str">
        <f>_xlfn.IFNA(IF(((INDEX(FieldDisagreements!C2:C50, MATCH(C247,FieldDisagreements!A2:A50, 0))="")=TRUE),  "",  INDEX(FieldDisagreements!C2:C50, MATCH(C247,FieldDisagreements!A2:A50, 0))), "")</f>
        <v>effortless-owl</v>
      </c>
      <c r="I247" s="4" t="str">
        <f>_xlfn.IFNA(IF(((INDEX(FieldDisagreements!D2:D50, MATCH(C247,FieldDisagreements!A2:A50, 0))="")=TRUE),  "",  INDEX(FieldDisagreements!D2:D50, MATCH(C247,FieldDisagreements!A2:A50, 0))), "")</f>
        <v>StepTransitions.HasReachableOrigin</v>
      </c>
      <c r="J247" s="3" t="s">
        <v>1926</v>
      </c>
    </row>
    <row r="248">
      <c r="A248" s="3" t="s">
        <v>15052</v>
      </c>
      <c r="B248" s="4" t="str">
        <f>_xlfn.CONCAT(C248, " @ ", D248)</f>
        <v>effortless-owl|StepTransitions.HasReachableOrigin @ close-04-to-close-05</v>
      </c>
      <c r="C248" s="3" t="s">
        <v>14766</v>
      </c>
      <c r="D248" s="3" t="s">
        <v>652</v>
      </c>
      <c r="E248" s="3" t="s">
        <v>14783</v>
      </c>
      <c r="F248" s="3" t="s">
        <v>14784</v>
      </c>
      <c r="G248" s="3" t="s">
        <v>14729</v>
      </c>
      <c r="H248" s="4" t="str">
        <f>_xlfn.IFNA(IF(((INDEX(FieldDisagreements!C2:C50, MATCH(C248,FieldDisagreements!A2:A50, 0))="")=TRUE),  "",  INDEX(FieldDisagreements!C2:C50, MATCH(C248,FieldDisagreements!A2:A50, 0))), "")</f>
        <v>effortless-owl</v>
      </c>
      <c r="I248" s="4" t="str">
        <f>_xlfn.IFNA(IF(((INDEX(FieldDisagreements!D2:D50, MATCH(C248,FieldDisagreements!A2:A50, 0))="")=TRUE),  "",  INDEX(FieldDisagreements!D2:D50, MATCH(C248,FieldDisagreements!A2:A50, 0))), "")</f>
        <v>StepTransitions.HasReachableOrigin</v>
      </c>
      <c r="J248" s="3" t="s">
        <v>1926</v>
      </c>
    </row>
    <row r="249">
      <c r="A249" s="3" t="s">
        <v>15053</v>
      </c>
      <c r="B249" s="4" t="str">
        <f>_xlfn.CONCAT(C249, " @ ", D249)</f>
        <v>effortless-owl|StepTransitions.HasReachableOrigin @ close-05-expedite-close-07</v>
      </c>
      <c r="C249" s="3" t="s">
        <v>14766</v>
      </c>
      <c r="D249" s="3" t="s">
        <v>670</v>
      </c>
      <c r="E249" s="3" t="s">
        <v>14783</v>
      </c>
      <c r="F249" s="3" t="s">
        <v>14784</v>
      </c>
      <c r="G249" s="3" t="s">
        <v>14729</v>
      </c>
      <c r="H249" s="4" t="str">
        <f>_xlfn.IFNA(IF(((INDEX(FieldDisagreements!C2:C50, MATCH(C249,FieldDisagreements!A2:A50, 0))="")=TRUE),  "",  INDEX(FieldDisagreements!C2:C50, MATCH(C249,FieldDisagreements!A2:A50, 0))), "")</f>
        <v>effortless-owl</v>
      </c>
      <c r="I249" s="4" t="str">
        <f>_xlfn.IFNA(IF(((INDEX(FieldDisagreements!D2:D50, MATCH(C249,FieldDisagreements!A2:A50, 0))="")=TRUE),  "",  INDEX(FieldDisagreements!D2:D50, MATCH(C249,FieldDisagreements!A2:A50, 0))), "")</f>
        <v>StepTransitions.HasReachableOrigin</v>
      </c>
      <c r="J249" s="3" t="s">
        <v>1926</v>
      </c>
    </row>
    <row r="250">
      <c r="A250" s="3" t="s">
        <v>15054</v>
      </c>
      <c r="B250" s="4" t="str">
        <f>_xlfn.CONCAT(C250, " @ ", D250)</f>
        <v>effortless-owl|StepTransitions.HasReachableOrigin @ close-05-to-close-06</v>
      </c>
      <c r="C250" s="3" t="s">
        <v>14766</v>
      </c>
      <c r="D250" s="3" t="s">
        <v>653</v>
      </c>
      <c r="E250" s="3" t="s">
        <v>14783</v>
      </c>
      <c r="F250" s="3" t="s">
        <v>14784</v>
      </c>
      <c r="G250" s="3" t="s">
        <v>14729</v>
      </c>
      <c r="H250" s="4" t="str">
        <f>_xlfn.IFNA(IF(((INDEX(FieldDisagreements!C2:C50, MATCH(C250,FieldDisagreements!A2:A50, 0))="")=TRUE),  "",  INDEX(FieldDisagreements!C2:C50, MATCH(C250,FieldDisagreements!A2:A50, 0))), "")</f>
        <v>effortless-owl</v>
      </c>
      <c r="I250" s="4" t="str">
        <f>_xlfn.IFNA(IF(((INDEX(FieldDisagreements!D2:D50, MATCH(C250,FieldDisagreements!A2:A50, 0))="")=TRUE),  "",  INDEX(FieldDisagreements!D2:D50, MATCH(C250,FieldDisagreements!A2:A50, 0))), "")</f>
        <v>StepTransitions.HasReachableOrigin</v>
      </c>
      <c r="J250" s="3" t="s">
        <v>1926</v>
      </c>
    </row>
    <row r="251">
      <c r="A251" s="3" t="s">
        <v>15055</v>
      </c>
      <c r="B251" s="4" t="str">
        <f>_xlfn.CONCAT(C251, " @ ", D251)</f>
        <v>effortless-owl|StepTransitions.HasReachableOrigin @ close-06-return-close-04</v>
      </c>
      <c r="C251" s="3" t="s">
        <v>14766</v>
      </c>
      <c r="D251" s="3" t="s">
        <v>667</v>
      </c>
      <c r="E251" s="3" t="s">
        <v>14783</v>
      </c>
      <c r="F251" s="3" t="s">
        <v>14784</v>
      </c>
      <c r="G251" s="3" t="s">
        <v>14729</v>
      </c>
      <c r="H251" s="4" t="str">
        <f>_xlfn.IFNA(IF(((INDEX(FieldDisagreements!C2:C50, MATCH(C251,FieldDisagreements!A2:A50, 0))="")=TRUE),  "",  INDEX(FieldDisagreements!C2:C50, MATCH(C251,FieldDisagreements!A2:A50, 0))), "")</f>
        <v>effortless-owl</v>
      </c>
      <c r="I251" s="4" t="str">
        <f>_xlfn.IFNA(IF(((INDEX(FieldDisagreements!D2:D50, MATCH(C251,FieldDisagreements!A2:A50, 0))="")=TRUE),  "",  INDEX(FieldDisagreements!D2:D50, MATCH(C251,FieldDisagreements!A2:A50, 0))), "")</f>
        <v>StepTransitions.HasReachableOrigin</v>
      </c>
      <c r="J251" s="3" t="s">
        <v>1926</v>
      </c>
    </row>
    <row r="252">
      <c r="A252" s="3" t="s">
        <v>15056</v>
      </c>
      <c r="B252" s="4" t="str">
        <f>_xlfn.CONCAT(C252, " @ ", D252)</f>
        <v>effortless-owl|StepTransitions.HasReachableOrigin @ close-06-to-close-07</v>
      </c>
      <c r="C252" s="3" t="s">
        <v>14766</v>
      </c>
      <c r="D252" s="3" t="s">
        <v>654</v>
      </c>
      <c r="E252" s="3" t="s">
        <v>14783</v>
      </c>
      <c r="F252" s="3" t="s">
        <v>14784</v>
      </c>
      <c r="G252" s="3" t="s">
        <v>14729</v>
      </c>
      <c r="H252" s="4" t="str">
        <f>_xlfn.IFNA(IF(((INDEX(FieldDisagreements!C2:C50, MATCH(C252,FieldDisagreements!A2:A50, 0))="")=TRUE),  "",  INDEX(FieldDisagreements!C2:C50, MATCH(C252,FieldDisagreements!A2:A50, 0))), "")</f>
        <v>effortless-owl</v>
      </c>
      <c r="I252" s="4" t="str">
        <f>_xlfn.IFNA(IF(((INDEX(FieldDisagreements!D2:D50, MATCH(C252,FieldDisagreements!A2:A50, 0))="")=TRUE),  "",  INDEX(FieldDisagreements!D2:D50, MATCH(C252,FieldDisagreements!A2:A50, 0))), "")</f>
        <v>StepTransitions.HasReachableOrigin</v>
      </c>
      <c r="J252" s="3" t="s">
        <v>1926</v>
      </c>
    </row>
    <row r="253">
      <c r="A253" s="3" t="s">
        <v>15057</v>
      </c>
      <c r="B253" s="4" t="str">
        <f>_xlfn.CONCAT(C253, " @ ", D253)</f>
        <v>effortless-owl|StepTransitions.HasReachableOrigin @ close-07-to-close-08</v>
      </c>
      <c r="C253" s="3" t="s">
        <v>14766</v>
      </c>
      <c r="D253" s="3" t="s">
        <v>655</v>
      </c>
      <c r="E253" s="3" t="s">
        <v>14783</v>
      </c>
      <c r="F253" s="3" t="s">
        <v>14784</v>
      </c>
      <c r="G253" s="3" t="s">
        <v>14729</v>
      </c>
      <c r="H253" s="4" t="str">
        <f>_xlfn.IFNA(IF(((INDEX(FieldDisagreements!C2:C50, MATCH(C253,FieldDisagreements!A2:A50, 0))="")=TRUE),  "",  INDEX(FieldDisagreements!C2:C50, MATCH(C253,FieldDisagreements!A2:A50, 0))), "")</f>
        <v>effortless-owl</v>
      </c>
      <c r="I253" s="4" t="str">
        <f>_xlfn.IFNA(IF(((INDEX(FieldDisagreements!D2:D50, MATCH(C253,FieldDisagreements!A2:A50, 0))="")=TRUE),  "",  INDEX(FieldDisagreements!D2:D50, MATCH(C253,FieldDisagreements!A2:A50, 0))), "")</f>
        <v>StepTransitions.HasReachableOrigin</v>
      </c>
      <c r="J253" s="3" t="s">
        <v>1926</v>
      </c>
    </row>
    <row r="254">
      <c r="A254" s="3" t="s">
        <v>15058</v>
      </c>
      <c r="B254" s="4" t="str">
        <f>_xlfn.CONCAT(C254, " @ ", D254)</f>
        <v>effortless-owl|StepTransitions.HasReachableOrigin @ policy-01-to-policy-02</v>
      </c>
      <c r="C254" s="3" t="s">
        <v>14766</v>
      </c>
      <c r="D254" s="3" t="s">
        <v>656</v>
      </c>
      <c r="E254" s="3" t="s">
        <v>14783</v>
      </c>
      <c r="F254" s="3" t="s">
        <v>14784</v>
      </c>
      <c r="G254" s="3" t="s">
        <v>14729</v>
      </c>
      <c r="H254" s="4" t="str">
        <f>_xlfn.IFNA(IF(((INDEX(FieldDisagreements!C2:C50, MATCH(C254,FieldDisagreements!A2:A50, 0))="")=TRUE),  "",  INDEX(FieldDisagreements!C2:C50, MATCH(C254,FieldDisagreements!A2:A50, 0))), "")</f>
        <v>effortless-owl</v>
      </c>
      <c r="I254" s="4" t="str">
        <f>_xlfn.IFNA(IF(((INDEX(FieldDisagreements!D2:D50, MATCH(C254,FieldDisagreements!A2:A50, 0))="")=TRUE),  "",  INDEX(FieldDisagreements!D2:D50, MATCH(C254,FieldDisagreements!A2:A50, 0))), "")</f>
        <v>StepTransitions.HasReachableOrigin</v>
      </c>
      <c r="J254" s="3" t="s">
        <v>1926</v>
      </c>
    </row>
    <row r="255">
      <c r="A255" s="3" t="s">
        <v>15059</v>
      </c>
      <c r="B255" s="4" t="str">
        <f>_xlfn.CONCAT(C255, " @ ", D255)</f>
        <v>effortless-owl|StepTransitions.HasReachableOrigin @ policy-02-to-policy-03</v>
      </c>
      <c r="C255" s="3" t="s">
        <v>14766</v>
      </c>
      <c r="D255" s="3" t="s">
        <v>657</v>
      </c>
      <c r="E255" s="3" t="s">
        <v>14783</v>
      </c>
      <c r="F255" s="3" t="s">
        <v>14784</v>
      </c>
      <c r="G255" s="3" t="s">
        <v>14729</v>
      </c>
      <c r="H255" s="4" t="str">
        <f>_xlfn.IFNA(IF(((INDEX(FieldDisagreements!C2:C50, MATCH(C255,FieldDisagreements!A2:A50, 0))="")=TRUE),  "",  INDEX(FieldDisagreements!C2:C50, MATCH(C255,FieldDisagreements!A2:A50, 0))), "")</f>
        <v>effortless-owl</v>
      </c>
      <c r="I255" s="4" t="str">
        <f>_xlfn.IFNA(IF(((INDEX(FieldDisagreements!D2:D50, MATCH(C255,FieldDisagreements!A2:A50, 0))="")=TRUE),  "",  INDEX(FieldDisagreements!D2:D50, MATCH(C255,FieldDisagreements!A2:A50, 0))), "")</f>
        <v>StepTransitions.HasReachableOrigin</v>
      </c>
      <c r="J255" s="3" t="s">
        <v>1926</v>
      </c>
    </row>
    <row r="256">
      <c r="A256" s="3" t="s">
        <v>15060</v>
      </c>
      <c r="B256" s="4" t="str">
        <f>_xlfn.CONCAT(C256, " @ ", D256)</f>
        <v>effortless-owl|StepTransitions.HasReachableOrigin @ policy-03-to-policy-04</v>
      </c>
      <c r="C256" s="3" t="s">
        <v>14766</v>
      </c>
      <c r="D256" s="3" t="s">
        <v>658</v>
      </c>
      <c r="E256" s="3" t="s">
        <v>14783</v>
      </c>
      <c r="F256" s="3" t="s">
        <v>14784</v>
      </c>
      <c r="G256" s="3" t="s">
        <v>14729</v>
      </c>
      <c r="H256" s="4" t="str">
        <f>_xlfn.IFNA(IF(((INDEX(FieldDisagreements!C2:C50, MATCH(C256,FieldDisagreements!A2:A50, 0))="")=TRUE),  "",  INDEX(FieldDisagreements!C2:C50, MATCH(C256,FieldDisagreements!A2:A50, 0))), "")</f>
        <v>effortless-owl</v>
      </c>
      <c r="I256" s="4" t="str">
        <f>_xlfn.IFNA(IF(((INDEX(FieldDisagreements!D2:D50, MATCH(C256,FieldDisagreements!A2:A50, 0))="")=TRUE),  "",  INDEX(FieldDisagreements!D2:D50, MATCH(C256,FieldDisagreements!A2:A50, 0))), "")</f>
        <v>StepTransitions.HasReachableOrigin</v>
      </c>
      <c r="J256" s="3" t="s">
        <v>1926</v>
      </c>
    </row>
    <row r="257">
      <c r="A257" s="3" t="s">
        <v>15061</v>
      </c>
      <c r="B257" s="4" t="str">
        <f>_xlfn.CONCAT(C257, " @ ", D257)</f>
        <v>effortless-owl|StepTransitions.HasReachableOrigin @ policy-04-return-policy-03</v>
      </c>
      <c r="C257" s="3" t="s">
        <v>14766</v>
      </c>
      <c r="D257" s="3" t="s">
        <v>672</v>
      </c>
      <c r="E257" s="3" t="s">
        <v>14783</v>
      </c>
      <c r="F257" s="3" t="s">
        <v>14784</v>
      </c>
      <c r="G257" s="3" t="s">
        <v>14729</v>
      </c>
      <c r="H257" s="4" t="str">
        <f>_xlfn.IFNA(IF(((INDEX(FieldDisagreements!C2:C50, MATCH(C257,FieldDisagreements!A2:A50, 0))="")=TRUE),  "",  INDEX(FieldDisagreements!C2:C50, MATCH(C257,FieldDisagreements!A2:A50, 0))), "")</f>
        <v>effortless-owl</v>
      </c>
      <c r="I257" s="4" t="str">
        <f>_xlfn.IFNA(IF(((INDEX(FieldDisagreements!D2:D50, MATCH(C257,FieldDisagreements!A2:A50, 0))="")=TRUE),  "",  INDEX(FieldDisagreements!D2:D50, MATCH(C257,FieldDisagreements!A2:A50, 0))), "")</f>
        <v>StepTransitions.HasReachableOrigin</v>
      </c>
      <c r="J257" s="3" t="s">
        <v>1926</v>
      </c>
    </row>
    <row r="258">
      <c r="A258" s="3" t="s">
        <v>15062</v>
      </c>
      <c r="B258" s="4" t="str">
        <f>_xlfn.CONCAT(C258, " @ ", D258)</f>
        <v>effortless-owl|StepTransitions.HasReachableOrigin @ policy-04-to-policy-05</v>
      </c>
      <c r="C258" s="3" t="s">
        <v>14766</v>
      </c>
      <c r="D258" s="3" t="s">
        <v>659</v>
      </c>
      <c r="E258" s="3" t="s">
        <v>14783</v>
      </c>
      <c r="F258" s="3" t="s">
        <v>14784</v>
      </c>
      <c r="G258" s="3" t="s">
        <v>14729</v>
      </c>
      <c r="H258" s="4" t="str">
        <f>_xlfn.IFNA(IF(((INDEX(FieldDisagreements!C2:C50, MATCH(C258,FieldDisagreements!A2:A50, 0))="")=TRUE),  "",  INDEX(FieldDisagreements!C2:C50, MATCH(C258,FieldDisagreements!A2:A50, 0))), "")</f>
        <v>effortless-owl</v>
      </c>
      <c r="I258" s="4" t="str">
        <f>_xlfn.IFNA(IF(((INDEX(FieldDisagreements!D2:D50, MATCH(C258,FieldDisagreements!A2:A50, 0))="")=TRUE),  "",  INDEX(FieldDisagreements!D2:D50, MATCH(C258,FieldDisagreements!A2:A50, 0))), "")</f>
        <v>StepTransitions.HasReachableOrigin</v>
      </c>
      <c r="J258" s="3" t="s">
        <v>1926</v>
      </c>
    </row>
    <row r="259">
      <c r="A259" s="3" t="s">
        <v>15063</v>
      </c>
      <c r="B259" s="4" t="str">
        <f>_xlfn.CONCAT(C259, " @ ", D259)</f>
        <v>effortless-owl|StepTransitions.HasReachableTarget @ close-01-to-close-02</v>
      </c>
      <c r="C259" s="3" t="s">
        <v>14767</v>
      </c>
      <c r="D259" s="3" t="s">
        <v>646</v>
      </c>
      <c r="E259" s="3" t="s">
        <v>14783</v>
      </c>
      <c r="F259" s="3" t="s">
        <v>14784</v>
      </c>
      <c r="G259" s="3" t="s">
        <v>14729</v>
      </c>
      <c r="H259" s="4" t="str">
        <f>_xlfn.IFNA(IF(((INDEX(FieldDisagreements!C2:C50, MATCH(C259,FieldDisagreements!A2:A50, 0))="")=TRUE),  "",  INDEX(FieldDisagreements!C2:C50, MATCH(C259,FieldDisagreements!A2:A50, 0))), "")</f>
        <v>effortless-owl</v>
      </c>
      <c r="I259" s="4" t="str">
        <f>_xlfn.IFNA(IF(((INDEX(FieldDisagreements!D2:D50, MATCH(C259,FieldDisagreements!A2:A50, 0))="")=TRUE),  "",  INDEX(FieldDisagreements!D2:D50, MATCH(C259,FieldDisagreements!A2:A50, 0))), "")</f>
        <v>StepTransitions.HasReachableTarget</v>
      </c>
      <c r="J259" s="3" t="s">
        <v>1926</v>
      </c>
    </row>
    <row r="260">
      <c r="A260" s="3" t="s">
        <v>15064</v>
      </c>
      <c r="B260" s="4" t="str">
        <f>_xlfn.CONCAT(C260, " @ ", D260)</f>
        <v>effortless-owl|StepTransitions.HasReachableTarget @ close-02-to-close-03</v>
      </c>
      <c r="C260" s="3" t="s">
        <v>14767</v>
      </c>
      <c r="D260" s="3" t="s">
        <v>650</v>
      </c>
      <c r="E260" s="3" t="s">
        <v>14783</v>
      </c>
      <c r="F260" s="3" t="s">
        <v>14784</v>
      </c>
      <c r="G260" s="3" t="s">
        <v>14729</v>
      </c>
      <c r="H260" s="4" t="str">
        <f>_xlfn.IFNA(IF(((INDEX(FieldDisagreements!C2:C50, MATCH(C260,FieldDisagreements!A2:A50, 0))="")=TRUE),  "",  INDEX(FieldDisagreements!C2:C50, MATCH(C260,FieldDisagreements!A2:A50, 0))), "")</f>
        <v>effortless-owl</v>
      </c>
      <c r="I260" s="4" t="str">
        <f>_xlfn.IFNA(IF(((INDEX(FieldDisagreements!D2:D50, MATCH(C260,FieldDisagreements!A2:A50, 0))="")=TRUE),  "",  INDEX(FieldDisagreements!D2:D50, MATCH(C260,FieldDisagreements!A2:A50, 0))), "")</f>
        <v>StepTransitions.HasReachableTarget</v>
      </c>
      <c r="J260" s="3" t="s">
        <v>1926</v>
      </c>
    </row>
    <row r="261">
      <c r="A261" s="3" t="s">
        <v>15065</v>
      </c>
      <c r="B261" s="4" t="str">
        <f>_xlfn.CONCAT(C261, " @ ", D261)</f>
        <v>effortless-owl|StepTransitions.HasReachableTarget @ close-03-to-close-04</v>
      </c>
      <c r="C261" s="3" t="s">
        <v>14767</v>
      </c>
      <c r="D261" s="3" t="s">
        <v>651</v>
      </c>
      <c r="E261" s="3" t="s">
        <v>14783</v>
      </c>
      <c r="F261" s="3" t="s">
        <v>14784</v>
      </c>
      <c r="G261" s="3" t="s">
        <v>14729</v>
      </c>
      <c r="H261" s="4" t="str">
        <f>_xlfn.IFNA(IF(((INDEX(FieldDisagreements!C2:C50, MATCH(C261,FieldDisagreements!A2:A50, 0))="")=TRUE),  "",  INDEX(FieldDisagreements!C2:C50, MATCH(C261,FieldDisagreements!A2:A50, 0))), "")</f>
        <v>effortless-owl</v>
      </c>
      <c r="I261" s="4" t="str">
        <f>_xlfn.IFNA(IF(((INDEX(FieldDisagreements!D2:D50, MATCH(C261,FieldDisagreements!A2:A50, 0))="")=TRUE),  "",  INDEX(FieldDisagreements!D2:D50, MATCH(C261,FieldDisagreements!A2:A50, 0))), "")</f>
        <v>StepTransitions.HasReachableTarget</v>
      </c>
      <c r="J261" s="3" t="s">
        <v>1926</v>
      </c>
    </row>
    <row r="262">
      <c r="A262" s="3" t="s">
        <v>15066</v>
      </c>
      <c r="B262" s="4" t="str">
        <f>_xlfn.CONCAT(C262, " @ ", D262)</f>
        <v>effortless-owl|StepTransitions.HasReachableTarget @ close-04-fallback-close-03</v>
      </c>
      <c r="C262" s="3" t="s">
        <v>14767</v>
      </c>
      <c r="D262" s="3" t="s">
        <v>664</v>
      </c>
      <c r="E262" s="3" t="s">
        <v>14783</v>
      </c>
      <c r="F262" s="3" t="s">
        <v>14784</v>
      </c>
      <c r="G262" s="3" t="s">
        <v>14729</v>
      </c>
      <c r="H262" s="4" t="str">
        <f>_xlfn.IFNA(IF(((INDEX(FieldDisagreements!C2:C50, MATCH(C262,FieldDisagreements!A2:A50, 0))="")=TRUE),  "",  INDEX(FieldDisagreements!C2:C50, MATCH(C262,FieldDisagreements!A2:A50, 0))), "")</f>
        <v>effortless-owl</v>
      </c>
      <c r="I262" s="4" t="str">
        <f>_xlfn.IFNA(IF(((INDEX(FieldDisagreements!D2:D50, MATCH(C262,FieldDisagreements!A2:A50, 0))="")=TRUE),  "",  INDEX(FieldDisagreements!D2:D50, MATCH(C262,FieldDisagreements!A2:A50, 0))), "")</f>
        <v>StepTransitions.HasReachableTarget</v>
      </c>
      <c r="J262" s="3" t="s">
        <v>1926</v>
      </c>
    </row>
    <row r="263">
      <c r="A263" s="3" t="s">
        <v>15067</v>
      </c>
      <c r="B263" s="4" t="str">
        <f>_xlfn.CONCAT(C263, " @ ", D263)</f>
        <v>effortless-owl|StepTransitions.HasReachableTarget @ close-04-to-close-05</v>
      </c>
      <c r="C263" s="3" t="s">
        <v>14767</v>
      </c>
      <c r="D263" s="3" t="s">
        <v>652</v>
      </c>
      <c r="E263" s="3" t="s">
        <v>14783</v>
      </c>
      <c r="F263" s="3" t="s">
        <v>14784</v>
      </c>
      <c r="G263" s="3" t="s">
        <v>14729</v>
      </c>
      <c r="H263" s="4" t="str">
        <f>_xlfn.IFNA(IF(((INDEX(FieldDisagreements!C2:C50, MATCH(C263,FieldDisagreements!A2:A50, 0))="")=TRUE),  "",  INDEX(FieldDisagreements!C2:C50, MATCH(C263,FieldDisagreements!A2:A50, 0))), "")</f>
        <v>effortless-owl</v>
      </c>
      <c r="I263" s="4" t="str">
        <f>_xlfn.IFNA(IF(((INDEX(FieldDisagreements!D2:D50, MATCH(C263,FieldDisagreements!A2:A50, 0))="")=TRUE),  "",  INDEX(FieldDisagreements!D2:D50, MATCH(C263,FieldDisagreements!A2:A50, 0))), "")</f>
        <v>StepTransitions.HasReachableTarget</v>
      </c>
      <c r="J263" s="3" t="s">
        <v>1926</v>
      </c>
    </row>
    <row r="264">
      <c r="A264" s="3" t="s">
        <v>15068</v>
      </c>
      <c r="B264" s="4" t="str">
        <f>_xlfn.CONCAT(C264, " @ ", D264)</f>
        <v>effortless-owl|StepTransitions.HasReachableTarget @ close-05-expedite-close-07</v>
      </c>
      <c r="C264" s="3" t="s">
        <v>14767</v>
      </c>
      <c r="D264" s="3" t="s">
        <v>670</v>
      </c>
      <c r="E264" s="3" t="s">
        <v>14783</v>
      </c>
      <c r="F264" s="3" t="s">
        <v>14784</v>
      </c>
      <c r="G264" s="3" t="s">
        <v>14729</v>
      </c>
      <c r="H264" s="4" t="str">
        <f>_xlfn.IFNA(IF(((INDEX(FieldDisagreements!C2:C50, MATCH(C264,FieldDisagreements!A2:A50, 0))="")=TRUE),  "",  INDEX(FieldDisagreements!C2:C50, MATCH(C264,FieldDisagreements!A2:A50, 0))), "")</f>
        <v>effortless-owl</v>
      </c>
      <c r="I264" s="4" t="str">
        <f>_xlfn.IFNA(IF(((INDEX(FieldDisagreements!D2:D50, MATCH(C264,FieldDisagreements!A2:A50, 0))="")=TRUE),  "",  INDEX(FieldDisagreements!D2:D50, MATCH(C264,FieldDisagreements!A2:A50, 0))), "")</f>
        <v>StepTransitions.HasReachableTarget</v>
      </c>
      <c r="J264" s="3" t="s">
        <v>1926</v>
      </c>
    </row>
    <row r="265">
      <c r="A265" s="3" t="s">
        <v>15069</v>
      </c>
      <c r="B265" s="4" t="str">
        <f>_xlfn.CONCAT(C265, " @ ", D265)</f>
        <v>effortless-owl|StepTransitions.HasReachableTarget @ close-05-to-close-06</v>
      </c>
      <c r="C265" s="3" t="s">
        <v>14767</v>
      </c>
      <c r="D265" s="3" t="s">
        <v>653</v>
      </c>
      <c r="E265" s="3" t="s">
        <v>14783</v>
      </c>
      <c r="F265" s="3" t="s">
        <v>14784</v>
      </c>
      <c r="G265" s="3" t="s">
        <v>14729</v>
      </c>
      <c r="H265" s="4" t="str">
        <f>_xlfn.IFNA(IF(((INDEX(FieldDisagreements!C2:C50, MATCH(C265,FieldDisagreements!A2:A50, 0))="")=TRUE),  "",  INDEX(FieldDisagreements!C2:C50, MATCH(C265,FieldDisagreements!A2:A50, 0))), "")</f>
        <v>effortless-owl</v>
      </c>
      <c r="I265" s="4" t="str">
        <f>_xlfn.IFNA(IF(((INDEX(FieldDisagreements!D2:D50, MATCH(C265,FieldDisagreements!A2:A50, 0))="")=TRUE),  "",  INDEX(FieldDisagreements!D2:D50, MATCH(C265,FieldDisagreements!A2:A50, 0))), "")</f>
        <v>StepTransitions.HasReachableTarget</v>
      </c>
      <c r="J265" s="3" t="s">
        <v>1926</v>
      </c>
    </row>
    <row r="266">
      <c r="A266" s="3" t="s">
        <v>15070</v>
      </c>
      <c r="B266" s="4" t="str">
        <f>_xlfn.CONCAT(C266, " @ ", D266)</f>
        <v>effortless-owl|StepTransitions.HasReachableTarget @ close-06-return-close-04</v>
      </c>
      <c r="C266" s="3" t="s">
        <v>14767</v>
      </c>
      <c r="D266" s="3" t="s">
        <v>667</v>
      </c>
      <c r="E266" s="3" t="s">
        <v>14783</v>
      </c>
      <c r="F266" s="3" t="s">
        <v>14784</v>
      </c>
      <c r="G266" s="3" t="s">
        <v>14729</v>
      </c>
      <c r="H266" s="4" t="str">
        <f>_xlfn.IFNA(IF(((INDEX(FieldDisagreements!C2:C50, MATCH(C266,FieldDisagreements!A2:A50, 0))="")=TRUE),  "",  INDEX(FieldDisagreements!C2:C50, MATCH(C266,FieldDisagreements!A2:A50, 0))), "")</f>
        <v>effortless-owl</v>
      </c>
      <c r="I266" s="4" t="str">
        <f>_xlfn.IFNA(IF(((INDEX(FieldDisagreements!D2:D50, MATCH(C266,FieldDisagreements!A2:A50, 0))="")=TRUE),  "",  INDEX(FieldDisagreements!D2:D50, MATCH(C266,FieldDisagreements!A2:A50, 0))), "")</f>
        <v>StepTransitions.HasReachableTarget</v>
      </c>
      <c r="J266" s="3" t="s">
        <v>1926</v>
      </c>
    </row>
    <row r="267">
      <c r="A267" s="3" t="s">
        <v>15071</v>
      </c>
      <c r="B267" s="4" t="str">
        <f>_xlfn.CONCAT(C267, " @ ", D267)</f>
        <v>effortless-owl|StepTransitions.HasReachableTarget @ close-06-to-close-07</v>
      </c>
      <c r="C267" s="3" t="s">
        <v>14767</v>
      </c>
      <c r="D267" s="3" t="s">
        <v>654</v>
      </c>
      <c r="E267" s="3" t="s">
        <v>14783</v>
      </c>
      <c r="F267" s="3" t="s">
        <v>14784</v>
      </c>
      <c r="G267" s="3" t="s">
        <v>14729</v>
      </c>
      <c r="H267" s="4" t="str">
        <f>_xlfn.IFNA(IF(((INDEX(FieldDisagreements!C2:C50, MATCH(C267,FieldDisagreements!A2:A50, 0))="")=TRUE),  "",  INDEX(FieldDisagreements!C2:C50, MATCH(C267,FieldDisagreements!A2:A50, 0))), "")</f>
        <v>effortless-owl</v>
      </c>
      <c r="I267" s="4" t="str">
        <f>_xlfn.IFNA(IF(((INDEX(FieldDisagreements!D2:D50, MATCH(C267,FieldDisagreements!A2:A50, 0))="")=TRUE),  "",  INDEX(FieldDisagreements!D2:D50, MATCH(C267,FieldDisagreements!A2:A50, 0))), "")</f>
        <v>StepTransitions.HasReachableTarget</v>
      </c>
      <c r="J267" s="3" t="s">
        <v>1926</v>
      </c>
    </row>
    <row r="268">
      <c r="A268" s="3" t="s">
        <v>15072</v>
      </c>
      <c r="B268" s="4" t="str">
        <f>_xlfn.CONCAT(C268, " @ ", D268)</f>
        <v>effortless-owl|StepTransitions.HasReachableTarget @ close-07-to-close-08</v>
      </c>
      <c r="C268" s="3" t="s">
        <v>14767</v>
      </c>
      <c r="D268" s="3" t="s">
        <v>655</v>
      </c>
      <c r="E268" s="3" t="s">
        <v>14783</v>
      </c>
      <c r="F268" s="3" t="s">
        <v>14784</v>
      </c>
      <c r="G268" s="3" t="s">
        <v>14729</v>
      </c>
      <c r="H268" s="4" t="str">
        <f>_xlfn.IFNA(IF(((INDEX(FieldDisagreements!C2:C50, MATCH(C268,FieldDisagreements!A2:A50, 0))="")=TRUE),  "",  INDEX(FieldDisagreements!C2:C50, MATCH(C268,FieldDisagreements!A2:A50, 0))), "")</f>
        <v>effortless-owl</v>
      </c>
      <c r="I268" s="4" t="str">
        <f>_xlfn.IFNA(IF(((INDEX(FieldDisagreements!D2:D50, MATCH(C268,FieldDisagreements!A2:A50, 0))="")=TRUE),  "",  INDEX(FieldDisagreements!D2:D50, MATCH(C268,FieldDisagreements!A2:A50, 0))), "")</f>
        <v>StepTransitions.HasReachableTarget</v>
      </c>
      <c r="J268" s="3" t="s">
        <v>1926</v>
      </c>
    </row>
    <row r="269">
      <c r="A269" s="3" t="s">
        <v>15073</v>
      </c>
      <c r="B269" s="4" t="str">
        <f>_xlfn.CONCAT(C269, " @ ", D269)</f>
        <v>effortless-owl|StepTransitions.HasReachableTarget @ policy-01-to-policy-02</v>
      </c>
      <c r="C269" s="3" t="s">
        <v>14767</v>
      </c>
      <c r="D269" s="3" t="s">
        <v>656</v>
      </c>
      <c r="E269" s="3" t="s">
        <v>14783</v>
      </c>
      <c r="F269" s="3" t="s">
        <v>14784</v>
      </c>
      <c r="G269" s="3" t="s">
        <v>14729</v>
      </c>
      <c r="H269" s="4" t="str">
        <f>_xlfn.IFNA(IF(((INDEX(FieldDisagreements!C2:C50, MATCH(C269,FieldDisagreements!A2:A50, 0))="")=TRUE),  "",  INDEX(FieldDisagreements!C2:C50, MATCH(C269,FieldDisagreements!A2:A50, 0))), "")</f>
        <v>effortless-owl</v>
      </c>
      <c r="I269" s="4" t="str">
        <f>_xlfn.IFNA(IF(((INDEX(FieldDisagreements!D2:D50, MATCH(C269,FieldDisagreements!A2:A50, 0))="")=TRUE),  "",  INDEX(FieldDisagreements!D2:D50, MATCH(C269,FieldDisagreements!A2:A50, 0))), "")</f>
        <v>StepTransitions.HasReachableTarget</v>
      </c>
      <c r="J269" s="3" t="s">
        <v>1926</v>
      </c>
    </row>
    <row r="270">
      <c r="A270" s="3" t="s">
        <v>15074</v>
      </c>
      <c r="B270" s="4" t="str">
        <f>_xlfn.CONCAT(C270, " @ ", D270)</f>
        <v>effortless-owl|StepTransitions.HasReachableTarget @ policy-02-to-policy-03</v>
      </c>
      <c r="C270" s="3" t="s">
        <v>14767</v>
      </c>
      <c r="D270" s="3" t="s">
        <v>657</v>
      </c>
      <c r="E270" s="3" t="s">
        <v>14783</v>
      </c>
      <c r="F270" s="3" t="s">
        <v>14784</v>
      </c>
      <c r="G270" s="3" t="s">
        <v>14729</v>
      </c>
      <c r="H270" s="4" t="str">
        <f>_xlfn.IFNA(IF(((INDEX(FieldDisagreements!C2:C50, MATCH(C270,FieldDisagreements!A2:A50, 0))="")=TRUE),  "",  INDEX(FieldDisagreements!C2:C50, MATCH(C270,FieldDisagreements!A2:A50, 0))), "")</f>
        <v>effortless-owl</v>
      </c>
      <c r="I270" s="4" t="str">
        <f>_xlfn.IFNA(IF(((INDEX(FieldDisagreements!D2:D50, MATCH(C270,FieldDisagreements!A2:A50, 0))="")=TRUE),  "",  INDEX(FieldDisagreements!D2:D50, MATCH(C270,FieldDisagreements!A2:A50, 0))), "")</f>
        <v>StepTransitions.HasReachableTarget</v>
      </c>
      <c r="J270" s="3" t="s">
        <v>1926</v>
      </c>
    </row>
    <row r="271">
      <c r="A271" s="3" t="s">
        <v>15075</v>
      </c>
      <c r="B271" s="4" t="str">
        <f>_xlfn.CONCAT(C271, " @ ", D271)</f>
        <v>effortless-owl|StepTransitions.HasReachableTarget @ policy-03-to-policy-04</v>
      </c>
      <c r="C271" s="3" t="s">
        <v>14767</v>
      </c>
      <c r="D271" s="3" t="s">
        <v>658</v>
      </c>
      <c r="E271" s="3" t="s">
        <v>14783</v>
      </c>
      <c r="F271" s="3" t="s">
        <v>14784</v>
      </c>
      <c r="G271" s="3" t="s">
        <v>14729</v>
      </c>
      <c r="H271" s="4" t="str">
        <f>_xlfn.IFNA(IF(((INDEX(FieldDisagreements!C2:C50, MATCH(C271,FieldDisagreements!A2:A50, 0))="")=TRUE),  "",  INDEX(FieldDisagreements!C2:C50, MATCH(C271,FieldDisagreements!A2:A50, 0))), "")</f>
        <v>effortless-owl</v>
      </c>
      <c r="I271" s="4" t="str">
        <f>_xlfn.IFNA(IF(((INDEX(FieldDisagreements!D2:D50, MATCH(C271,FieldDisagreements!A2:A50, 0))="")=TRUE),  "",  INDEX(FieldDisagreements!D2:D50, MATCH(C271,FieldDisagreements!A2:A50, 0))), "")</f>
        <v>StepTransitions.HasReachableTarget</v>
      </c>
      <c r="J271" s="3" t="s">
        <v>1926</v>
      </c>
    </row>
    <row r="272">
      <c r="A272" s="3" t="s">
        <v>15076</v>
      </c>
      <c r="B272" s="4" t="str">
        <f>_xlfn.CONCAT(C272, " @ ", D272)</f>
        <v>effortless-owl|StepTransitions.HasReachableTarget @ policy-04-return-policy-03</v>
      </c>
      <c r="C272" s="3" t="s">
        <v>14767</v>
      </c>
      <c r="D272" s="3" t="s">
        <v>672</v>
      </c>
      <c r="E272" s="3" t="s">
        <v>14783</v>
      </c>
      <c r="F272" s="3" t="s">
        <v>14784</v>
      </c>
      <c r="G272" s="3" t="s">
        <v>14729</v>
      </c>
      <c r="H272" s="4" t="str">
        <f>_xlfn.IFNA(IF(((INDEX(FieldDisagreements!C2:C50, MATCH(C272,FieldDisagreements!A2:A50, 0))="")=TRUE),  "",  INDEX(FieldDisagreements!C2:C50, MATCH(C272,FieldDisagreements!A2:A50, 0))), "")</f>
        <v>effortless-owl</v>
      </c>
      <c r="I272" s="4" t="str">
        <f>_xlfn.IFNA(IF(((INDEX(FieldDisagreements!D2:D50, MATCH(C272,FieldDisagreements!A2:A50, 0))="")=TRUE),  "",  INDEX(FieldDisagreements!D2:D50, MATCH(C272,FieldDisagreements!A2:A50, 0))), "")</f>
        <v>StepTransitions.HasReachableTarget</v>
      </c>
      <c r="J272" s="3" t="s">
        <v>1926</v>
      </c>
    </row>
    <row r="273">
      <c r="A273" s="3" t="s">
        <v>15077</v>
      </c>
      <c r="B273" s="4" t="str">
        <f>_xlfn.CONCAT(C273, " @ ", D273)</f>
        <v>effortless-owl|StepTransitions.IsNeverExercised @ close-01-to-close-02</v>
      </c>
      <c r="C273" s="3" t="s">
        <v>14768</v>
      </c>
      <c r="D273" s="3" t="s">
        <v>646</v>
      </c>
      <c r="E273" s="3" t="s">
        <v>14784</v>
      </c>
      <c r="F273" s="3" t="s">
        <v>14783</v>
      </c>
      <c r="G273" s="3" t="s">
        <v>14729</v>
      </c>
      <c r="H273" s="4" t="str">
        <f>_xlfn.IFNA(IF(((INDEX(FieldDisagreements!C2:C50, MATCH(C273,FieldDisagreements!A2:A50, 0))="")=TRUE),  "",  INDEX(FieldDisagreements!C2:C50, MATCH(C273,FieldDisagreements!A2:A50, 0))), "")</f>
        <v>effortless-owl</v>
      </c>
      <c r="I273" s="4" t="str">
        <f>_xlfn.IFNA(IF(((INDEX(FieldDisagreements!D2:D50, MATCH(C273,FieldDisagreements!A2:A50, 0))="")=TRUE),  "",  INDEX(FieldDisagreements!D2:D50, MATCH(C273,FieldDisagreements!A2:A50, 0))), "")</f>
        <v>StepTransitions.IsNeverExercised</v>
      </c>
      <c r="J273" s="3" t="s">
        <v>1926</v>
      </c>
    </row>
    <row r="274">
      <c r="A274" s="3" t="s">
        <v>15078</v>
      </c>
      <c r="B274" s="4" t="str">
        <f>_xlfn.CONCAT(C274, " @ ", D274)</f>
        <v>effortless-owl|StepTransitions.IsNeverExercised @ close-02-to-close-03</v>
      </c>
      <c r="C274" s="3" t="s">
        <v>14768</v>
      </c>
      <c r="D274" s="3" t="s">
        <v>650</v>
      </c>
      <c r="E274" s="3" t="s">
        <v>14784</v>
      </c>
      <c r="F274" s="3" t="s">
        <v>14783</v>
      </c>
      <c r="G274" s="3" t="s">
        <v>14729</v>
      </c>
      <c r="H274" s="4" t="str">
        <f>_xlfn.IFNA(IF(((INDEX(FieldDisagreements!C2:C50, MATCH(C274,FieldDisagreements!A2:A50, 0))="")=TRUE),  "",  INDEX(FieldDisagreements!C2:C50, MATCH(C274,FieldDisagreements!A2:A50, 0))), "")</f>
        <v>effortless-owl</v>
      </c>
      <c r="I274" s="4" t="str">
        <f>_xlfn.IFNA(IF(((INDEX(FieldDisagreements!D2:D50, MATCH(C274,FieldDisagreements!A2:A50, 0))="")=TRUE),  "",  INDEX(FieldDisagreements!D2:D50, MATCH(C274,FieldDisagreements!A2:A50, 0))), "")</f>
        <v>StepTransitions.IsNeverExercised</v>
      </c>
      <c r="J274" s="3" t="s">
        <v>1926</v>
      </c>
    </row>
    <row r="275">
      <c r="A275" s="3" t="s">
        <v>15079</v>
      </c>
      <c r="B275" s="4" t="str">
        <f>_xlfn.CONCAT(C275, " @ ", D275)</f>
        <v>effortless-owl|StepTransitions.IsNeverExercised @ close-03-to-close-04</v>
      </c>
      <c r="C275" s="3" t="s">
        <v>14768</v>
      </c>
      <c r="D275" s="3" t="s">
        <v>651</v>
      </c>
      <c r="E275" s="3" t="s">
        <v>14784</v>
      </c>
      <c r="F275" s="3" t="s">
        <v>14783</v>
      </c>
      <c r="G275" s="3" t="s">
        <v>14729</v>
      </c>
      <c r="H275" s="4" t="str">
        <f>_xlfn.IFNA(IF(((INDEX(FieldDisagreements!C2:C50, MATCH(C275,FieldDisagreements!A2:A50, 0))="")=TRUE),  "",  INDEX(FieldDisagreements!C2:C50, MATCH(C275,FieldDisagreements!A2:A50, 0))), "")</f>
        <v>effortless-owl</v>
      </c>
      <c r="I275" s="4" t="str">
        <f>_xlfn.IFNA(IF(((INDEX(FieldDisagreements!D2:D50, MATCH(C275,FieldDisagreements!A2:A50, 0))="")=TRUE),  "",  INDEX(FieldDisagreements!D2:D50, MATCH(C275,FieldDisagreements!A2:A50, 0))), "")</f>
        <v>StepTransitions.IsNeverExercised</v>
      </c>
      <c r="J275" s="3" t="s">
        <v>1926</v>
      </c>
    </row>
    <row r="276">
      <c r="A276" s="3" t="s">
        <v>15080</v>
      </c>
      <c r="B276" s="4" t="str">
        <f>_xlfn.CONCAT(C276, " @ ", D276)</f>
        <v>effortless-owl|StepTransitions.IsNeverExercised @ close-04-fallback-close-03</v>
      </c>
      <c r="C276" s="3" t="s">
        <v>14768</v>
      </c>
      <c r="D276" s="3" t="s">
        <v>664</v>
      </c>
      <c r="E276" s="3" t="s">
        <v>14784</v>
      </c>
      <c r="F276" s="3" t="s">
        <v>14783</v>
      </c>
      <c r="G276" s="3" t="s">
        <v>14729</v>
      </c>
      <c r="H276" s="4" t="str">
        <f>_xlfn.IFNA(IF(((INDEX(FieldDisagreements!C2:C50, MATCH(C276,FieldDisagreements!A2:A50, 0))="")=TRUE),  "",  INDEX(FieldDisagreements!C2:C50, MATCH(C276,FieldDisagreements!A2:A50, 0))), "")</f>
        <v>effortless-owl</v>
      </c>
      <c r="I276" s="4" t="str">
        <f>_xlfn.IFNA(IF(((INDEX(FieldDisagreements!D2:D50, MATCH(C276,FieldDisagreements!A2:A50, 0))="")=TRUE),  "",  INDEX(FieldDisagreements!D2:D50, MATCH(C276,FieldDisagreements!A2:A50, 0))), "")</f>
        <v>StepTransitions.IsNeverExercised</v>
      </c>
      <c r="J276" s="3" t="s">
        <v>1926</v>
      </c>
    </row>
    <row r="277">
      <c r="A277" s="3" t="s">
        <v>15081</v>
      </c>
      <c r="B277" s="4" t="str">
        <f>_xlfn.CONCAT(C277, " @ ", D277)</f>
        <v>effortless-owl|StepTransitions.IsNeverExercised @ close-04-to-close-05</v>
      </c>
      <c r="C277" s="3" t="s">
        <v>14768</v>
      </c>
      <c r="D277" s="3" t="s">
        <v>652</v>
      </c>
      <c r="E277" s="3" t="s">
        <v>14784</v>
      </c>
      <c r="F277" s="3" t="s">
        <v>14783</v>
      </c>
      <c r="G277" s="3" t="s">
        <v>14729</v>
      </c>
      <c r="H277" s="4" t="str">
        <f>_xlfn.IFNA(IF(((INDEX(FieldDisagreements!C2:C50, MATCH(C277,FieldDisagreements!A2:A50, 0))="")=TRUE),  "",  INDEX(FieldDisagreements!C2:C50, MATCH(C277,FieldDisagreements!A2:A50, 0))), "")</f>
        <v>effortless-owl</v>
      </c>
      <c r="I277" s="4" t="str">
        <f>_xlfn.IFNA(IF(((INDEX(FieldDisagreements!D2:D50, MATCH(C277,FieldDisagreements!A2:A50, 0))="")=TRUE),  "",  INDEX(FieldDisagreements!D2:D50, MATCH(C277,FieldDisagreements!A2:A50, 0))), "")</f>
        <v>StepTransitions.IsNeverExercised</v>
      </c>
      <c r="J277" s="3" t="s">
        <v>1926</v>
      </c>
    </row>
    <row r="278">
      <c r="A278" s="3" t="s">
        <v>15082</v>
      </c>
      <c r="B278" s="4" t="str">
        <f>_xlfn.CONCAT(C278, " @ ", D278)</f>
        <v>effortless-owl|StepTransitions.IsNeverExercised @ close-05-expedite-close-07</v>
      </c>
      <c r="C278" s="3" t="s">
        <v>14768</v>
      </c>
      <c r="D278" s="3" t="s">
        <v>670</v>
      </c>
      <c r="E278" s="3" t="s">
        <v>14784</v>
      </c>
      <c r="F278" s="3" t="s">
        <v>14783</v>
      </c>
      <c r="G278" s="3" t="s">
        <v>14729</v>
      </c>
      <c r="H278" s="4" t="str">
        <f>_xlfn.IFNA(IF(((INDEX(FieldDisagreements!C2:C50, MATCH(C278,FieldDisagreements!A2:A50, 0))="")=TRUE),  "",  INDEX(FieldDisagreements!C2:C50, MATCH(C278,FieldDisagreements!A2:A50, 0))), "")</f>
        <v>effortless-owl</v>
      </c>
      <c r="I278" s="4" t="str">
        <f>_xlfn.IFNA(IF(((INDEX(FieldDisagreements!D2:D50, MATCH(C278,FieldDisagreements!A2:A50, 0))="")=TRUE),  "",  INDEX(FieldDisagreements!D2:D50, MATCH(C278,FieldDisagreements!A2:A50, 0))), "")</f>
        <v>StepTransitions.IsNeverExercised</v>
      </c>
      <c r="J278" s="3" t="s">
        <v>1926</v>
      </c>
    </row>
    <row r="279">
      <c r="A279" s="3" t="s">
        <v>15083</v>
      </c>
      <c r="B279" s="4" t="str">
        <f>_xlfn.CONCAT(C279, " @ ", D279)</f>
        <v>effortless-owl|StepTransitions.IsNeverExercised @ close-05-to-close-06</v>
      </c>
      <c r="C279" s="3" t="s">
        <v>14768</v>
      </c>
      <c r="D279" s="3" t="s">
        <v>653</v>
      </c>
      <c r="E279" s="3" t="s">
        <v>14784</v>
      </c>
      <c r="F279" s="3" t="s">
        <v>14783</v>
      </c>
      <c r="G279" s="3" t="s">
        <v>14729</v>
      </c>
      <c r="H279" s="4" t="str">
        <f>_xlfn.IFNA(IF(((INDEX(FieldDisagreements!C2:C50, MATCH(C279,FieldDisagreements!A2:A50, 0))="")=TRUE),  "",  INDEX(FieldDisagreements!C2:C50, MATCH(C279,FieldDisagreements!A2:A50, 0))), "")</f>
        <v>effortless-owl</v>
      </c>
      <c r="I279" s="4" t="str">
        <f>_xlfn.IFNA(IF(((INDEX(FieldDisagreements!D2:D50, MATCH(C279,FieldDisagreements!A2:A50, 0))="")=TRUE),  "",  INDEX(FieldDisagreements!D2:D50, MATCH(C279,FieldDisagreements!A2:A50, 0))), "")</f>
        <v>StepTransitions.IsNeverExercised</v>
      </c>
      <c r="J279" s="3" t="s">
        <v>1926</v>
      </c>
    </row>
    <row r="280">
      <c r="A280" s="3" t="s">
        <v>15084</v>
      </c>
      <c r="B280" s="4" t="str">
        <f>_xlfn.CONCAT(C280, " @ ", D280)</f>
        <v>effortless-owl|StepTransitions.IsNeverExercised @ close-06-return-close-04</v>
      </c>
      <c r="C280" s="3" t="s">
        <v>14768</v>
      </c>
      <c r="D280" s="3" t="s">
        <v>667</v>
      </c>
      <c r="E280" s="3" t="s">
        <v>14784</v>
      </c>
      <c r="F280" s="3" t="s">
        <v>14783</v>
      </c>
      <c r="G280" s="3" t="s">
        <v>14729</v>
      </c>
      <c r="H280" s="4" t="str">
        <f>_xlfn.IFNA(IF(((INDEX(FieldDisagreements!C2:C50, MATCH(C280,FieldDisagreements!A2:A50, 0))="")=TRUE),  "",  INDEX(FieldDisagreements!C2:C50, MATCH(C280,FieldDisagreements!A2:A50, 0))), "")</f>
        <v>effortless-owl</v>
      </c>
      <c r="I280" s="4" t="str">
        <f>_xlfn.IFNA(IF(((INDEX(FieldDisagreements!D2:D50, MATCH(C280,FieldDisagreements!A2:A50, 0))="")=TRUE),  "",  INDEX(FieldDisagreements!D2:D50, MATCH(C280,FieldDisagreements!A2:A50, 0))), "")</f>
        <v>StepTransitions.IsNeverExercised</v>
      </c>
      <c r="J280" s="3" t="s">
        <v>1926</v>
      </c>
    </row>
    <row r="281">
      <c r="A281" s="3" t="s">
        <v>15085</v>
      </c>
      <c r="B281" s="4" t="str">
        <f>_xlfn.CONCAT(C281, " @ ", D281)</f>
        <v>effortless-owl|StepTransitions.IsNeverExercised @ close-06-to-close-07</v>
      </c>
      <c r="C281" s="3" t="s">
        <v>14768</v>
      </c>
      <c r="D281" s="3" t="s">
        <v>654</v>
      </c>
      <c r="E281" s="3" t="s">
        <v>14784</v>
      </c>
      <c r="F281" s="3" t="s">
        <v>14783</v>
      </c>
      <c r="G281" s="3" t="s">
        <v>14729</v>
      </c>
      <c r="H281" s="4" t="str">
        <f>_xlfn.IFNA(IF(((INDEX(FieldDisagreements!C2:C50, MATCH(C281,FieldDisagreements!A2:A50, 0))="")=TRUE),  "",  INDEX(FieldDisagreements!C2:C50, MATCH(C281,FieldDisagreements!A2:A50, 0))), "")</f>
        <v>effortless-owl</v>
      </c>
      <c r="I281" s="4" t="str">
        <f>_xlfn.IFNA(IF(((INDEX(FieldDisagreements!D2:D50, MATCH(C281,FieldDisagreements!A2:A50, 0))="")=TRUE),  "",  INDEX(FieldDisagreements!D2:D50, MATCH(C281,FieldDisagreements!A2:A50, 0))), "")</f>
        <v>StepTransitions.IsNeverExercised</v>
      </c>
      <c r="J281" s="3" t="s">
        <v>1926</v>
      </c>
    </row>
    <row r="282">
      <c r="A282" s="3" t="s">
        <v>15086</v>
      </c>
      <c r="B282" s="4" t="str">
        <f>_xlfn.CONCAT(C282, " @ ", D282)</f>
        <v>effortless-owl|StepTransitions.IsNeverExercised @ close-07-to-close-08</v>
      </c>
      <c r="C282" s="3" t="s">
        <v>14768</v>
      </c>
      <c r="D282" s="3" t="s">
        <v>655</v>
      </c>
      <c r="E282" s="3" t="s">
        <v>14784</v>
      </c>
      <c r="F282" s="3" t="s">
        <v>14783</v>
      </c>
      <c r="G282" s="3" t="s">
        <v>14729</v>
      </c>
      <c r="H282" s="4" t="str">
        <f>_xlfn.IFNA(IF(((INDEX(FieldDisagreements!C2:C50, MATCH(C282,FieldDisagreements!A2:A50, 0))="")=TRUE),  "",  INDEX(FieldDisagreements!C2:C50, MATCH(C282,FieldDisagreements!A2:A50, 0))), "")</f>
        <v>effortless-owl</v>
      </c>
      <c r="I282" s="4" t="str">
        <f>_xlfn.IFNA(IF(((INDEX(FieldDisagreements!D2:D50, MATCH(C282,FieldDisagreements!A2:A50, 0))="")=TRUE),  "",  INDEX(FieldDisagreements!D2:D50, MATCH(C282,FieldDisagreements!A2:A50, 0))), "")</f>
        <v>StepTransitions.IsNeverExercised</v>
      </c>
      <c r="J282" s="3" t="s">
        <v>1926</v>
      </c>
    </row>
    <row r="283">
      <c r="A283" s="3" t="s">
        <v>15087</v>
      </c>
      <c r="B283" s="4" t="str">
        <f>_xlfn.CONCAT(C283, " @ ", D283)</f>
        <v>effortless-owl|StepTransitions.IsNeverExercised @ policy-01-to-policy-02</v>
      </c>
      <c r="C283" s="3" t="s">
        <v>14768</v>
      </c>
      <c r="D283" s="3" t="s">
        <v>656</v>
      </c>
      <c r="E283" s="3" t="s">
        <v>14784</v>
      </c>
      <c r="F283" s="3" t="s">
        <v>14783</v>
      </c>
      <c r="G283" s="3" t="s">
        <v>14729</v>
      </c>
      <c r="H283" s="4" t="str">
        <f>_xlfn.IFNA(IF(((INDEX(FieldDisagreements!C2:C50, MATCH(C283,FieldDisagreements!A2:A50, 0))="")=TRUE),  "",  INDEX(FieldDisagreements!C2:C50, MATCH(C283,FieldDisagreements!A2:A50, 0))), "")</f>
        <v>effortless-owl</v>
      </c>
      <c r="I283" s="4" t="str">
        <f>_xlfn.IFNA(IF(((INDEX(FieldDisagreements!D2:D50, MATCH(C283,FieldDisagreements!A2:A50, 0))="")=TRUE),  "",  INDEX(FieldDisagreements!D2:D50, MATCH(C283,FieldDisagreements!A2:A50, 0))), "")</f>
        <v>StepTransitions.IsNeverExercised</v>
      </c>
      <c r="J283" s="3" t="s">
        <v>1926</v>
      </c>
    </row>
    <row r="284">
      <c r="A284" s="3" t="s">
        <v>15088</v>
      </c>
      <c r="B284" s="4" t="str">
        <f>_xlfn.CONCAT(C284, " @ ", D284)</f>
        <v>effortless-owl|StepTransitions.IsNeverExercised @ policy-02-to-policy-03</v>
      </c>
      <c r="C284" s="3" t="s">
        <v>14768</v>
      </c>
      <c r="D284" s="3" t="s">
        <v>657</v>
      </c>
      <c r="E284" s="3" t="s">
        <v>14784</v>
      </c>
      <c r="F284" s="3" t="s">
        <v>14783</v>
      </c>
      <c r="G284" s="3" t="s">
        <v>14729</v>
      </c>
      <c r="H284" s="4" t="str">
        <f>_xlfn.IFNA(IF(((INDEX(FieldDisagreements!C2:C50, MATCH(C284,FieldDisagreements!A2:A50, 0))="")=TRUE),  "",  INDEX(FieldDisagreements!C2:C50, MATCH(C284,FieldDisagreements!A2:A50, 0))), "")</f>
        <v>effortless-owl</v>
      </c>
      <c r="I284" s="4" t="str">
        <f>_xlfn.IFNA(IF(((INDEX(FieldDisagreements!D2:D50, MATCH(C284,FieldDisagreements!A2:A50, 0))="")=TRUE),  "",  INDEX(FieldDisagreements!D2:D50, MATCH(C284,FieldDisagreements!A2:A50, 0))), "")</f>
        <v>StepTransitions.IsNeverExercised</v>
      </c>
      <c r="J284" s="3" t="s">
        <v>1926</v>
      </c>
    </row>
    <row r="285">
      <c r="A285" s="3" t="s">
        <v>15089</v>
      </c>
      <c r="B285" s="4" t="str">
        <f>_xlfn.CONCAT(C285, " @ ", D285)</f>
        <v>effortless-owl|StepTransitions.IsNeverExercised @ policy-03-to-policy-04</v>
      </c>
      <c r="C285" s="3" t="s">
        <v>14768</v>
      </c>
      <c r="D285" s="3" t="s">
        <v>658</v>
      </c>
      <c r="E285" s="3" t="s">
        <v>14784</v>
      </c>
      <c r="F285" s="3" t="s">
        <v>14783</v>
      </c>
      <c r="G285" s="3" t="s">
        <v>14729</v>
      </c>
      <c r="H285" s="4" t="str">
        <f>_xlfn.IFNA(IF(((INDEX(FieldDisagreements!C2:C50, MATCH(C285,FieldDisagreements!A2:A50, 0))="")=TRUE),  "",  INDEX(FieldDisagreements!C2:C50, MATCH(C285,FieldDisagreements!A2:A50, 0))), "")</f>
        <v>effortless-owl</v>
      </c>
      <c r="I285" s="4" t="str">
        <f>_xlfn.IFNA(IF(((INDEX(FieldDisagreements!D2:D50, MATCH(C285,FieldDisagreements!A2:A50, 0))="")=TRUE),  "",  INDEX(FieldDisagreements!D2:D50, MATCH(C285,FieldDisagreements!A2:A50, 0))), "")</f>
        <v>StepTransitions.IsNeverExercised</v>
      </c>
      <c r="J285" s="3" t="s">
        <v>1926</v>
      </c>
    </row>
    <row r="286">
      <c r="A286" s="3" t="s">
        <v>15090</v>
      </c>
      <c r="B286" s="4" t="str">
        <f>_xlfn.CONCAT(C286, " @ ", D286)</f>
        <v>effortless-owl|StepTransitions.IsNeverExercised @ policy-04-return-policy-03</v>
      </c>
      <c r="C286" s="3" t="s">
        <v>14768</v>
      </c>
      <c r="D286" s="3" t="s">
        <v>672</v>
      </c>
      <c r="E286" s="3" t="s">
        <v>14784</v>
      </c>
      <c r="F286" s="3" t="s">
        <v>14783</v>
      </c>
      <c r="G286" s="3" t="s">
        <v>14729</v>
      </c>
      <c r="H286" s="4" t="str">
        <f>_xlfn.IFNA(IF(((INDEX(FieldDisagreements!C2:C50, MATCH(C286,FieldDisagreements!A2:A50, 0))="")=TRUE),  "",  INDEX(FieldDisagreements!C2:C50, MATCH(C286,FieldDisagreements!A2:A50, 0))), "")</f>
        <v>effortless-owl</v>
      </c>
      <c r="I286" s="4" t="str">
        <f>_xlfn.IFNA(IF(((INDEX(FieldDisagreements!D2:D50, MATCH(C286,FieldDisagreements!A2:A50, 0))="")=TRUE),  "",  INDEX(FieldDisagreements!D2:D50, MATCH(C286,FieldDisagreements!A2:A50, 0))), "")</f>
        <v>StepTransitions.IsNeverExercised</v>
      </c>
      <c r="J286" s="3" t="s">
        <v>1926</v>
      </c>
    </row>
    <row r="287">
      <c r="A287" s="3" t="s">
        <v>15091</v>
      </c>
      <c r="B287" s="4" t="str">
        <f>_xlfn.CONCAT(C287, " @ ", D287)</f>
        <v>effortless-owl|StepTransitions.IsUntestedRecoveryPath @ close-04-fallback-close-03</v>
      </c>
      <c r="C287" s="3" t="s">
        <v>14769</v>
      </c>
      <c r="D287" s="3" t="s">
        <v>664</v>
      </c>
      <c r="E287" s="3" t="s">
        <v>14784</v>
      </c>
      <c r="F287" s="3" t="s">
        <v>14783</v>
      </c>
      <c r="G287" s="3" t="s">
        <v>14729</v>
      </c>
      <c r="H287" s="4" t="str">
        <f>_xlfn.IFNA(IF(((INDEX(FieldDisagreements!C2:C50, MATCH(C287,FieldDisagreements!A2:A50, 0))="")=TRUE),  "",  INDEX(FieldDisagreements!C2:C50, MATCH(C287,FieldDisagreements!A2:A50, 0))), "")</f>
        <v>effortless-owl</v>
      </c>
      <c r="I287" s="4" t="str">
        <f>_xlfn.IFNA(IF(((INDEX(FieldDisagreements!D2:D50, MATCH(C287,FieldDisagreements!A2:A50, 0))="")=TRUE),  "",  INDEX(FieldDisagreements!D2:D50, MATCH(C287,FieldDisagreements!A2:A50, 0))), "")</f>
        <v>StepTransitions.IsUntestedRecoveryPath</v>
      </c>
      <c r="J287" s="3" t="s">
        <v>1926</v>
      </c>
    </row>
    <row r="288">
      <c r="A288" s="3" t="s">
        <v>15092</v>
      </c>
      <c r="B288" s="4" t="str">
        <f>_xlfn.CONCAT(C288, " @ ", D288)</f>
        <v>effortless-owl|StepTransitions.IsUntestedRecoveryPath @ close-05-expedite-close-07</v>
      </c>
      <c r="C288" s="3" t="s">
        <v>14769</v>
      </c>
      <c r="D288" s="3" t="s">
        <v>670</v>
      </c>
      <c r="E288" s="3" t="s">
        <v>14784</v>
      </c>
      <c r="F288" s="3" t="s">
        <v>14783</v>
      </c>
      <c r="G288" s="3" t="s">
        <v>14729</v>
      </c>
      <c r="H288" s="4" t="str">
        <f>_xlfn.IFNA(IF(((INDEX(FieldDisagreements!C2:C50, MATCH(C288,FieldDisagreements!A2:A50, 0))="")=TRUE),  "",  INDEX(FieldDisagreements!C2:C50, MATCH(C288,FieldDisagreements!A2:A50, 0))), "")</f>
        <v>effortless-owl</v>
      </c>
      <c r="I288" s="4" t="str">
        <f>_xlfn.IFNA(IF(((INDEX(FieldDisagreements!D2:D50, MATCH(C288,FieldDisagreements!A2:A50, 0))="")=TRUE),  "",  INDEX(FieldDisagreements!D2:D50, MATCH(C288,FieldDisagreements!A2:A50, 0))), "")</f>
        <v>StepTransitions.IsUntestedRecoveryPath</v>
      </c>
      <c r="J288" s="3" t="s">
        <v>1926</v>
      </c>
    </row>
    <row r="289">
      <c r="A289" s="3" t="s">
        <v>15093</v>
      </c>
      <c r="B289" s="4" t="str">
        <f>_xlfn.CONCAT(C289, " @ ", D289)</f>
        <v>effortless-owl|StepTransitions.IsUntestedRecoveryPath @ close-06-return-close-04</v>
      </c>
      <c r="C289" s="3" t="s">
        <v>14769</v>
      </c>
      <c r="D289" s="3" t="s">
        <v>667</v>
      </c>
      <c r="E289" s="3" t="s">
        <v>14784</v>
      </c>
      <c r="F289" s="3" t="s">
        <v>14783</v>
      </c>
      <c r="G289" s="3" t="s">
        <v>14729</v>
      </c>
      <c r="H289" s="4" t="str">
        <f>_xlfn.IFNA(IF(((INDEX(FieldDisagreements!C2:C50, MATCH(C289,FieldDisagreements!A2:A50, 0))="")=TRUE),  "",  INDEX(FieldDisagreements!C2:C50, MATCH(C289,FieldDisagreements!A2:A50, 0))), "")</f>
        <v>effortless-owl</v>
      </c>
      <c r="I289" s="4" t="str">
        <f>_xlfn.IFNA(IF(((INDEX(FieldDisagreements!D2:D50, MATCH(C289,FieldDisagreements!A2:A50, 0))="")=TRUE),  "",  INDEX(FieldDisagreements!D2:D50, MATCH(C289,FieldDisagreements!A2:A50, 0))), "")</f>
        <v>StepTransitions.IsUntestedRecoveryPath</v>
      </c>
      <c r="J289" s="3" t="s">
        <v>1926</v>
      </c>
    </row>
    <row r="290">
      <c r="A290" s="3" t="s">
        <v>15094</v>
      </c>
      <c r="B290" s="4" t="str">
        <f>_xlfn.CONCAT(C290, " @ ", D290)</f>
        <v>effortless-owl|StepTransitions.IsUntestedRecoveryPath @ policy-04-return-policy-03</v>
      </c>
      <c r="C290" s="3" t="s">
        <v>14769</v>
      </c>
      <c r="D290" s="3" t="s">
        <v>672</v>
      </c>
      <c r="E290" s="3" t="s">
        <v>14784</v>
      </c>
      <c r="F290" s="3" t="s">
        <v>14783</v>
      </c>
      <c r="G290" s="3" t="s">
        <v>14729</v>
      </c>
      <c r="H290" s="4" t="str">
        <f>_xlfn.IFNA(IF(((INDEX(FieldDisagreements!C2:C50, MATCH(C290,FieldDisagreements!A2:A50, 0))="")=TRUE),  "",  INDEX(FieldDisagreements!C2:C50, MATCH(C290,FieldDisagreements!A2:A50, 0))), "")</f>
        <v>effortless-owl</v>
      </c>
      <c r="I290" s="4" t="str">
        <f>_xlfn.IFNA(IF(((INDEX(FieldDisagreements!D2:D50, MATCH(C290,FieldDisagreements!A2:A50, 0))="")=TRUE),  "",  INDEX(FieldDisagreements!D2:D50, MATCH(C290,FieldDisagreements!A2:A50, 0))), "")</f>
        <v>StepTransitions.IsUntestedRecoveryPath</v>
      </c>
      <c r="J290" s="3" t="s">
        <v>1926</v>
      </c>
    </row>
    <row r="291">
      <c r="A291" s="3" t="s">
        <v>15095</v>
      </c>
      <c r="B291" s="4" t="str">
        <f>_xlfn.CONCAT(C291, " @ ", D291)</f>
        <v>effortless-owl|KnowledgeFragments.IsInvokedByAnException @ kf-policy-channel</v>
      </c>
      <c r="C291" s="3" t="s">
        <v>14770</v>
      </c>
      <c r="D291" s="3" t="s">
        <v>1189</v>
      </c>
      <c r="E291" s="3" t="s">
        <v>37</v>
      </c>
      <c r="F291" s="3" t="s">
        <v>955</v>
      </c>
      <c r="G291" s="3" t="s">
        <v>14729</v>
      </c>
      <c r="H291" s="4" t="str">
        <f>_xlfn.IFNA(IF(((INDEX(FieldDisagreements!C2:C50, MATCH(C291,FieldDisagreements!A2:A50, 0))="")=TRUE),  "",  INDEX(FieldDisagreements!C2:C50, MATCH(C291,FieldDisagreements!A2:A50, 0))), "")</f>
        <v>effortless-owl</v>
      </c>
      <c r="I291" s="4" t="str">
        <f>_xlfn.IFNA(IF(((INDEX(FieldDisagreements!D2:D50, MATCH(C291,FieldDisagreements!A2:A50, 0))="")=TRUE),  "",  INDEX(FieldDisagreements!D2:D50, MATCH(C291,FieldDisagreements!A2:A50, 0))), "")</f>
        <v>KnowledgeFragments.IsInvokedByAnException</v>
      </c>
      <c r="J291" s="3" t="s">
        <v>1926</v>
      </c>
    </row>
    <row r="292">
      <c r="A292" s="3" t="s">
        <v>15096</v>
      </c>
      <c r="B292" s="4" t="str">
        <f>_xlfn.CONCAT(C292, " @ ", D292)</f>
        <v>effortless-owl|KnowledgeFragments.IsInvokedByAnException @ kf-policy-manager-route</v>
      </c>
      <c r="C292" s="3" t="s">
        <v>14770</v>
      </c>
      <c r="D292" s="3" t="s">
        <v>1191</v>
      </c>
      <c r="E292" s="3" t="s">
        <v>37</v>
      </c>
      <c r="F292" s="3" t="s">
        <v>955</v>
      </c>
      <c r="G292" s="3" t="s">
        <v>14729</v>
      </c>
      <c r="H292" s="4" t="str">
        <f>_xlfn.IFNA(IF(((INDEX(FieldDisagreements!C2:C50, MATCH(C292,FieldDisagreements!A2:A50, 0))="")=TRUE),  "",  INDEX(FieldDisagreements!C2:C50, MATCH(C292,FieldDisagreements!A2:A50, 0))), "")</f>
        <v>effortless-owl</v>
      </c>
      <c r="I292" s="4" t="str">
        <f>_xlfn.IFNA(IF(((INDEX(FieldDisagreements!D2:D50, MATCH(C292,FieldDisagreements!A2:A50, 0))="")=TRUE),  "",  INDEX(FieldDisagreements!D2:D50, MATCH(C292,FieldDisagreements!A2:A50, 0))), "")</f>
        <v>KnowledgeFragments.IsInvokedByAnException</v>
      </c>
      <c r="J292" s="3" t="s">
        <v>1926</v>
      </c>
    </row>
    <row r="293">
      <c r="A293" s="3" t="s">
        <v>15097</v>
      </c>
      <c r="B293" s="4" t="str">
        <f>_xlfn.CONCAT(C293, " @ ", D293)</f>
        <v>effortless-owl|KnowledgeFragments.HasOperationalReliance @ kf-policy-channel</v>
      </c>
      <c r="C293" s="3" t="s">
        <v>14771</v>
      </c>
      <c r="D293" s="3" t="s">
        <v>1189</v>
      </c>
      <c r="E293" s="3" t="s">
        <v>14783</v>
      </c>
      <c r="F293" s="3" t="s">
        <v>14784</v>
      </c>
      <c r="G293" s="3" t="s">
        <v>14729</v>
      </c>
      <c r="H293" s="4" t="str">
        <f>_xlfn.IFNA(IF(((INDEX(FieldDisagreements!C2:C50, MATCH(C293,FieldDisagreements!A2:A50, 0))="")=TRUE),  "",  INDEX(FieldDisagreements!C2:C50, MATCH(C293,FieldDisagreements!A2:A50, 0))), "")</f>
        <v>effortless-owl</v>
      </c>
      <c r="I293" s="4" t="str">
        <f>_xlfn.IFNA(IF(((INDEX(FieldDisagreements!D2:D50, MATCH(C293,FieldDisagreements!A2:A50, 0))="")=TRUE),  "",  INDEX(FieldDisagreements!D2:D50, MATCH(C293,FieldDisagreements!A2:A50, 0))), "")</f>
        <v>KnowledgeFragments.HasOperationalReliance</v>
      </c>
      <c r="J293" s="3" t="s">
        <v>1926</v>
      </c>
    </row>
    <row r="294">
      <c r="A294" s="3" t="s">
        <v>15098</v>
      </c>
      <c r="B294" s="4" t="str">
        <f>_xlfn.CONCAT(C294, " @ ", D294)</f>
        <v>effortless-owl|KnowledgeFragments.HasOperationalReliance @ kf-policy-manager-route</v>
      </c>
      <c r="C294" s="3" t="s">
        <v>14771</v>
      </c>
      <c r="D294" s="3" t="s">
        <v>1191</v>
      </c>
      <c r="E294" s="3" t="s">
        <v>14783</v>
      </c>
      <c r="F294" s="3" t="s">
        <v>14784</v>
      </c>
      <c r="G294" s="3" t="s">
        <v>14729</v>
      </c>
      <c r="H294" s="4" t="str">
        <f>_xlfn.IFNA(IF(((INDEX(FieldDisagreements!C2:C50, MATCH(C294,FieldDisagreements!A2:A50, 0))="")=TRUE),  "",  INDEX(FieldDisagreements!C2:C50, MATCH(C294,FieldDisagreements!A2:A50, 0))), "")</f>
        <v>effortless-owl</v>
      </c>
      <c r="I294" s="4" t="str">
        <f>_xlfn.IFNA(IF(((INDEX(FieldDisagreements!D2:D50, MATCH(C294,FieldDisagreements!A2:A50, 0))="")=TRUE),  "",  INDEX(FieldDisagreements!D2:D50, MATCH(C294,FieldDisagreements!A2:A50, 0))), "")</f>
        <v>KnowledgeFragments.HasOperationalReliance</v>
      </c>
      <c r="J294" s="3" t="s">
        <v>1926</v>
      </c>
    </row>
    <row r="295">
      <c r="A295" s="3" t="s">
        <v>15099</v>
      </c>
      <c r="B295" s="4" t="str">
        <f>_xlfn.CONCAT(C295, " @ ", D295)</f>
        <v>effortless-owl|KnowledgeFragments.FragilitySignalCount @ kf-policy-channel</v>
      </c>
      <c r="C295" s="3" t="s">
        <v>14772</v>
      </c>
      <c r="D295" s="3" t="s">
        <v>1189</v>
      </c>
      <c r="E295" s="3" t="s">
        <v>14962</v>
      </c>
      <c r="F295" s="3" t="s">
        <v>37</v>
      </c>
      <c r="G295" s="3" t="s">
        <v>14729</v>
      </c>
      <c r="H295" s="4" t="str">
        <f>_xlfn.IFNA(IF(((INDEX(FieldDisagreements!C2:C50, MATCH(C295,FieldDisagreements!A2:A50, 0))="")=TRUE),  "",  INDEX(FieldDisagreements!C2:C50, MATCH(C295,FieldDisagreements!A2:A50, 0))), "")</f>
        <v>effortless-owl</v>
      </c>
      <c r="I295" s="4" t="str">
        <f>_xlfn.IFNA(IF(((INDEX(FieldDisagreements!D2:D50, MATCH(C295,FieldDisagreements!A2:A50, 0))="")=TRUE),  "",  INDEX(FieldDisagreements!D2:D50, MATCH(C295,FieldDisagreements!A2:A50, 0))), "")</f>
        <v>KnowledgeFragments.FragilitySignalCount</v>
      </c>
      <c r="J295" s="3" t="s">
        <v>1926</v>
      </c>
    </row>
    <row r="296">
      <c r="A296" s="3" t="s">
        <v>15100</v>
      </c>
      <c r="B296" s="4" t="str">
        <f>_xlfn.CONCAT(C296, " @ ", D296)</f>
        <v>effortless-owl|KnowledgeFragments.FragilitySignalCount @ kf-policy-manager-route</v>
      </c>
      <c r="C296" s="3" t="s">
        <v>14772</v>
      </c>
      <c r="D296" s="3" t="s">
        <v>1191</v>
      </c>
      <c r="E296" s="3" t="s">
        <v>14962</v>
      </c>
      <c r="F296" s="3" t="s">
        <v>37</v>
      </c>
      <c r="G296" s="3" t="s">
        <v>14729</v>
      </c>
      <c r="H296" s="4" t="str">
        <f>_xlfn.IFNA(IF(((INDEX(FieldDisagreements!C2:C50, MATCH(C296,FieldDisagreements!A2:A50, 0))="")=TRUE),  "",  INDEX(FieldDisagreements!C2:C50, MATCH(C296,FieldDisagreements!A2:A50, 0))), "")</f>
        <v>effortless-owl</v>
      </c>
      <c r="I296" s="4" t="str">
        <f>_xlfn.IFNA(IF(((INDEX(FieldDisagreements!D2:D50, MATCH(C296,FieldDisagreements!A2:A50, 0))="")=TRUE),  "",  INDEX(FieldDisagreements!D2:D50, MATCH(C296,FieldDisagreements!A2:A50, 0))), "")</f>
        <v>KnowledgeFragments.FragilitySignalCount</v>
      </c>
      <c r="J296" s="3" t="s">
        <v>1926</v>
      </c>
    </row>
    <row r="297">
      <c r="A297" s="3" t="s">
        <v>15101</v>
      </c>
      <c r="B297" s="4" t="str">
        <f>_xlfn.CONCAT(C297, " @ ", D297)</f>
        <v>effortless-owl|KnowledgeFragments.RelianceSurfaceCount @ kf-policy-channel</v>
      </c>
      <c r="C297" s="3" t="s">
        <v>14773</v>
      </c>
      <c r="D297" s="3" t="s">
        <v>1189</v>
      </c>
      <c r="E297" s="3" t="s">
        <v>37</v>
      </c>
      <c r="F297" s="3" t="s">
        <v>955</v>
      </c>
      <c r="G297" s="3" t="s">
        <v>14729</v>
      </c>
      <c r="H297" s="4" t="str">
        <f>_xlfn.IFNA(IF(((INDEX(FieldDisagreements!C2:C50, MATCH(C297,FieldDisagreements!A2:A50, 0))="")=TRUE),  "",  INDEX(FieldDisagreements!C2:C50, MATCH(C297,FieldDisagreements!A2:A50, 0))), "")</f>
        <v>effortless-owl</v>
      </c>
      <c r="I297" s="4" t="str">
        <f>_xlfn.IFNA(IF(((INDEX(FieldDisagreements!D2:D50, MATCH(C297,FieldDisagreements!A2:A50, 0))="")=TRUE),  "",  INDEX(FieldDisagreements!D2:D50, MATCH(C297,FieldDisagreements!A2:A50, 0))), "")</f>
        <v>KnowledgeFragments.RelianceSurfaceCount</v>
      </c>
      <c r="J297" s="3" t="s">
        <v>1926</v>
      </c>
    </row>
    <row r="298">
      <c r="A298" s="3" t="s">
        <v>15102</v>
      </c>
      <c r="B298" s="4" t="str">
        <f>_xlfn.CONCAT(C298, " @ ", D298)</f>
        <v>effortless-owl|KnowledgeFragments.RelianceSurfaceCount @ kf-policy-manager-route</v>
      </c>
      <c r="C298" s="3" t="s">
        <v>14773</v>
      </c>
      <c r="D298" s="3" t="s">
        <v>1191</v>
      </c>
      <c r="E298" s="3" t="s">
        <v>37</v>
      </c>
      <c r="F298" s="3" t="s">
        <v>955</v>
      </c>
      <c r="G298" s="3" t="s">
        <v>14729</v>
      </c>
      <c r="H298" s="4" t="str">
        <f>_xlfn.IFNA(IF(((INDEX(FieldDisagreements!C2:C50, MATCH(C298,FieldDisagreements!A2:A50, 0))="")=TRUE),  "",  INDEX(FieldDisagreements!C2:C50, MATCH(C298,FieldDisagreements!A2:A50, 0))), "")</f>
        <v>effortless-owl</v>
      </c>
      <c r="I298" s="4" t="str">
        <f>_xlfn.IFNA(IF(((INDEX(FieldDisagreements!D2:D50, MATCH(C298,FieldDisagreements!A2:A50, 0))="")=TRUE),  "",  INDEX(FieldDisagreements!D2:D50, MATCH(C298,FieldDisagreements!A2:A50, 0))), "")</f>
        <v>KnowledgeFragments.RelianceSurfaceCount</v>
      </c>
      <c r="J298" s="3" t="s">
        <v>1926</v>
      </c>
    </row>
    <row r="299">
      <c r="A299" s="3" t="s">
        <v>15103</v>
      </c>
      <c r="B299" s="4" t="str">
        <f>_xlfn.CONCAT(C299, " @ ", D299)</f>
        <v>effortless-owl|KnowledgeFragments.IsUnapprovedAndOperationallyLive @ kf-policy-manager-route</v>
      </c>
      <c r="C299" s="3" t="s">
        <v>14774</v>
      </c>
      <c r="D299" s="3" t="s">
        <v>1191</v>
      </c>
      <c r="E299" s="3" t="s">
        <v>14783</v>
      </c>
      <c r="F299" s="3" t="s">
        <v>14784</v>
      </c>
      <c r="G299" s="3" t="s">
        <v>14729</v>
      </c>
      <c r="H299" s="4" t="str">
        <f>_xlfn.IFNA(IF(((INDEX(FieldDisagreements!C2:C50, MATCH(C299,FieldDisagreements!A2:A50, 0))="")=TRUE),  "",  INDEX(FieldDisagreements!C2:C50, MATCH(C299,FieldDisagreements!A2:A50, 0))), "")</f>
        <v>effortless-owl</v>
      </c>
      <c r="I299" s="4" t="str">
        <f>_xlfn.IFNA(IF(((INDEX(FieldDisagreements!D2:D50, MATCH(C299,FieldDisagreements!A2:A50, 0))="")=TRUE),  "",  INDEX(FieldDisagreements!D2:D50, MATCH(C299,FieldDisagreements!A2:A50, 0))), "")</f>
        <v>KnowledgeFragments.IsUnapprovedAndOperationallyLive</v>
      </c>
      <c r="J299" s="3" t="s">
        <v>1926</v>
      </c>
    </row>
    <row r="300">
      <c r="A300" s="3" t="s">
        <v>15104</v>
      </c>
      <c r="B300" s="4" t="str">
        <f>_xlfn.CONCAT(C300, " @ ", D300)</f>
        <v>effortless-owl|DeliveredCommunications.Name @ dc-hr4821-email-001</v>
      </c>
      <c r="C300" s="3" t="s">
        <v>14775</v>
      </c>
      <c r="D300" s="3" t="s">
        <v>8340</v>
      </c>
      <c r="E300" s="3" t="s">
        <v>15105</v>
      </c>
      <c r="F300" s="3" t="s">
        <v>14781</v>
      </c>
      <c r="G300" s="3" t="s">
        <v>14729</v>
      </c>
      <c r="H300" s="4" t="str">
        <f>_xlfn.IFNA(IF(((INDEX(FieldDisagreements!C2:C50, MATCH(C300,FieldDisagreements!A2:A50, 0))="")=TRUE),  "",  INDEX(FieldDisagreements!C2:C50, MATCH(C300,FieldDisagreements!A2:A50, 0))), "")</f>
        <v>effortless-owl</v>
      </c>
      <c r="I300" s="4" t="str">
        <f>_xlfn.IFNA(IF(((INDEX(FieldDisagreements!D2:D50, MATCH(C300,FieldDisagreements!A2:A50, 0))="")=TRUE),  "",  INDEX(FieldDisagreements!D2:D50, MATCH(C300,FieldDisagreements!A2:A50, 0))), "")</f>
        <v>DeliveredCommunications.Name</v>
      </c>
      <c r="J300" s="3" t="s">
        <v>1926</v>
      </c>
    </row>
    <row r="301">
      <c r="A301" s="3" t="s">
        <v>15106</v>
      </c>
      <c r="B301" s="4" t="str">
        <f>_xlfn.CONCAT(C301, " @ ", D301)</f>
        <v>effortless-owl|AppRoleProfiles.RouteCount @ profile-cfo</v>
      </c>
      <c r="C301" s="3" t="s">
        <v>14776</v>
      </c>
      <c r="D301" s="3" t="s">
        <v>8350</v>
      </c>
      <c r="E301" s="3" t="s">
        <v>15107</v>
      </c>
      <c r="F301" s="3" t="s">
        <v>955</v>
      </c>
      <c r="G301" s="3" t="s">
        <v>14729</v>
      </c>
      <c r="H301" s="4" t="str">
        <f>_xlfn.IFNA(IF(((INDEX(FieldDisagreements!C2:C50, MATCH(C301,FieldDisagreements!A2:A50, 0))="")=TRUE),  "",  INDEX(FieldDisagreements!C2:C50, MATCH(C301,FieldDisagreements!A2:A50, 0))), "")</f>
        <v>effortless-owl</v>
      </c>
      <c r="I301" s="4" t="str">
        <f>_xlfn.IFNA(IF(((INDEX(FieldDisagreements!D2:D50, MATCH(C301,FieldDisagreements!A2:A50, 0))="")=TRUE),  "",  INDEX(FieldDisagreements!D2:D50, MATCH(C301,FieldDisagreements!A2:A50, 0))), "")</f>
        <v>AppRoleProfiles.RouteCount</v>
      </c>
      <c r="J301" s="3" t="s">
        <v>1926</v>
      </c>
    </row>
    <row r="302">
      <c r="A302" s="3" t="s">
        <v>15108</v>
      </c>
      <c r="B302" s="4" t="str">
        <f>_xlfn.CONCAT(C302, " @ ", D302)</f>
        <v>effortless-owl|AppRoleProfiles.RouteCount @ profile-close-automation</v>
      </c>
      <c r="C302" s="3" t="s">
        <v>14776</v>
      </c>
      <c r="D302" s="3" t="s">
        <v>8391</v>
      </c>
      <c r="E302" s="3" t="s">
        <v>14797</v>
      </c>
      <c r="F302" s="3" t="s">
        <v>955</v>
      </c>
      <c r="G302" s="3" t="s">
        <v>14729</v>
      </c>
      <c r="H302" s="4" t="str">
        <f>_xlfn.IFNA(IF(((INDEX(FieldDisagreements!C2:C50, MATCH(C302,FieldDisagreements!A2:A50, 0))="")=TRUE),  "",  INDEX(FieldDisagreements!C2:C50, MATCH(C302,FieldDisagreements!A2:A50, 0))), "")</f>
        <v>effortless-owl</v>
      </c>
      <c r="I302" s="4" t="str">
        <f>_xlfn.IFNA(IF(((INDEX(FieldDisagreements!D2:D50, MATCH(C302,FieldDisagreements!A2:A50, 0))="")=TRUE),  "",  INDEX(FieldDisagreements!D2:D50, MATCH(C302,FieldDisagreements!A2:A50, 0))), "")</f>
        <v>AppRoleProfiles.RouteCount</v>
      </c>
      <c r="J302" s="3" t="s">
        <v>1926</v>
      </c>
    </row>
    <row r="303">
      <c r="A303" s="3" t="s">
        <v>15109</v>
      </c>
      <c r="B303" s="4" t="str">
        <f>_xlfn.CONCAT(C303, " @ ", D303)</f>
        <v>effortless-owl|AppRoleProfiles.RouteCount @ profile-communications-manager</v>
      </c>
      <c r="C303" s="3" t="s">
        <v>14776</v>
      </c>
      <c r="D303" s="3" t="s">
        <v>8376</v>
      </c>
      <c r="E303" s="3" t="s">
        <v>15110</v>
      </c>
      <c r="F303" s="3" t="s">
        <v>955</v>
      </c>
      <c r="G303" s="3" t="s">
        <v>14729</v>
      </c>
      <c r="H303" s="4" t="str">
        <f>_xlfn.IFNA(IF(((INDEX(FieldDisagreements!C2:C50, MATCH(C303,FieldDisagreements!A2:A50, 0))="")=TRUE),  "",  INDEX(FieldDisagreements!C2:C50, MATCH(C303,FieldDisagreements!A2:A50, 0))), "")</f>
        <v>effortless-owl</v>
      </c>
      <c r="I303" s="4" t="str">
        <f>_xlfn.IFNA(IF(((INDEX(FieldDisagreements!D2:D50, MATCH(C303,FieldDisagreements!A2:A50, 0))="")=TRUE),  "",  INDEX(FieldDisagreements!D2:D50, MATCH(C303,FieldDisagreements!A2:A50, 0))), "")</f>
        <v>AppRoleProfiles.RouteCount</v>
      </c>
      <c r="J303" s="3" t="s">
        <v>1926</v>
      </c>
    </row>
    <row r="304">
      <c r="A304" s="3" t="s">
        <v>15111</v>
      </c>
      <c r="B304" s="4" t="str">
        <f>_xlfn.CONCAT(C304, " @ ", D304)</f>
        <v>effortless-owl|AppRoleProfiles.RouteCount @ profile-controller</v>
      </c>
      <c r="C304" s="3" t="s">
        <v>14776</v>
      </c>
      <c r="D304" s="3" t="s">
        <v>8356</v>
      </c>
      <c r="E304" s="3" t="s">
        <v>15112</v>
      </c>
      <c r="F304" s="3" t="s">
        <v>955</v>
      </c>
      <c r="G304" s="3" t="s">
        <v>14729</v>
      </c>
      <c r="H304" s="4" t="str">
        <f>_xlfn.IFNA(IF(((INDEX(FieldDisagreements!C2:C50, MATCH(C304,FieldDisagreements!A2:A50, 0))="")=TRUE),  "",  INDEX(FieldDisagreements!C2:C50, MATCH(C304,FieldDisagreements!A2:A50, 0))), "")</f>
        <v>effortless-owl</v>
      </c>
      <c r="I304" s="4" t="str">
        <f>_xlfn.IFNA(IF(((INDEX(FieldDisagreements!D2:D50, MATCH(C304,FieldDisagreements!A2:A50, 0))="")=TRUE),  "",  INDEX(FieldDisagreements!D2:D50, MATCH(C304,FieldDisagreements!A2:A50, 0))), "")</f>
        <v>AppRoleProfiles.RouteCount</v>
      </c>
      <c r="J304" s="3" t="s">
        <v>1926</v>
      </c>
    </row>
    <row r="305">
      <c r="A305" s="3" t="s">
        <v>15113</v>
      </c>
      <c r="B305" s="4" t="str">
        <f>_xlfn.CONCAT(C305, " @ ", D305)</f>
        <v>effortless-owl|AppRoleProfiles.RouteCount @ profile-employment-counsel</v>
      </c>
      <c r="C305" s="3" t="s">
        <v>14776</v>
      </c>
      <c r="D305" s="3" t="s">
        <v>8371</v>
      </c>
      <c r="E305" s="3" t="s">
        <v>14797</v>
      </c>
      <c r="F305" s="3" t="s">
        <v>955</v>
      </c>
      <c r="G305" s="3" t="s">
        <v>14729</v>
      </c>
      <c r="H305" s="4" t="str">
        <f>_xlfn.IFNA(IF(((INDEX(FieldDisagreements!C2:C50, MATCH(C305,FieldDisagreements!A2:A50, 0))="")=TRUE),  "",  INDEX(FieldDisagreements!C2:C50, MATCH(C305,FieldDisagreements!A2:A50, 0))), "")</f>
        <v>effortless-owl</v>
      </c>
      <c r="I305" s="4" t="str">
        <f>_xlfn.IFNA(IF(((INDEX(FieldDisagreements!D2:D50, MATCH(C305,FieldDisagreements!A2:A50, 0))="")=TRUE),  "",  INDEX(FieldDisagreements!D2:D50, MATCH(C305,FieldDisagreements!A2:A50, 0))), "")</f>
        <v>AppRoleProfiles.RouteCount</v>
      </c>
      <c r="J305" s="3" t="s">
        <v>1926</v>
      </c>
    </row>
    <row r="306">
      <c r="A306" s="3" t="s">
        <v>15114</v>
      </c>
      <c r="B306" s="4" t="str">
        <f>_xlfn.CONCAT(C306, " @ ", D306)</f>
        <v>effortless-owl|AppRoleProfiles.RouteCount @ profile-finance-analyst</v>
      </c>
      <c r="C306" s="3" t="s">
        <v>14776</v>
      </c>
      <c r="D306" s="3" t="s">
        <v>8361</v>
      </c>
      <c r="E306" s="3" t="s">
        <v>15110</v>
      </c>
      <c r="F306" s="3" t="s">
        <v>955</v>
      </c>
      <c r="G306" s="3" t="s">
        <v>14729</v>
      </c>
      <c r="H306" s="4" t="str">
        <f>_xlfn.IFNA(IF(((INDEX(FieldDisagreements!C2:C50, MATCH(C306,FieldDisagreements!A2:A50, 0))="")=TRUE),  "",  INDEX(FieldDisagreements!C2:C50, MATCH(C306,FieldDisagreements!A2:A50, 0))), "")</f>
        <v>effortless-owl</v>
      </c>
      <c r="I306" s="4" t="str">
        <f>_xlfn.IFNA(IF(((INDEX(FieldDisagreements!D2:D50, MATCH(C306,FieldDisagreements!A2:A50, 0))="")=TRUE),  "",  INDEX(FieldDisagreements!D2:D50, MATCH(C306,FieldDisagreements!A2:A50, 0))), "")</f>
        <v>AppRoleProfiles.RouteCount</v>
      </c>
      <c r="J306" s="3" t="s">
        <v>1926</v>
      </c>
    </row>
    <row r="307">
      <c r="A307" s="3" t="s">
        <v>15115</v>
      </c>
      <c r="B307" s="4" t="str">
        <f>_xlfn.CONCAT(C307, " @ ", D307)</f>
        <v>effortless-owl|AppRoleProfiles.RouteCount @ profile-hr-policy-owner</v>
      </c>
      <c r="C307" s="3" t="s">
        <v>14776</v>
      </c>
      <c r="D307" s="3" t="s">
        <v>8366</v>
      </c>
      <c r="E307" s="3" t="s">
        <v>15112</v>
      </c>
      <c r="F307" s="3" t="s">
        <v>955</v>
      </c>
      <c r="G307" s="3" t="s">
        <v>14729</v>
      </c>
      <c r="H307" s="4" t="str">
        <f>_xlfn.IFNA(IF(((INDEX(FieldDisagreements!C2:C50, MATCH(C307,FieldDisagreements!A2:A50, 0))="")=TRUE),  "",  INDEX(FieldDisagreements!C2:C50, MATCH(C307,FieldDisagreements!A2:A50, 0))), "")</f>
        <v>effortless-owl</v>
      </c>
      <c r="I307" s="4" t="str">
        <f>_xlfn.IFNA(IF(((INDEX(FieldDisagreements!D2:D50, MATCH(C307,FieldDisagreements!A2:A50, 0))="")=TRUE),  "",  INDEX(FieldDisagreements!D2:D50, MATCH(C307,FieldDisagreements!A2:A50, 0))), "")</f>
        <v>AppRoleProfiles.RouteCount</v>
      </c>
      <c r="J307" s="3" t="s">
        <v>1926</v>
      </c>
    </row>
    <row r="308">
      <c r="A308" s="3" t="s">
        <v>15116</v>
      </c>
      <c r="B308" s="4" t="str">
        <f>_xlfn.CONCAT(C308, " @ ", D308)</f>
        <v>effortless-owl|AppRoleProfiles.RouteCount @ profile-knowledge-authority</v>
      </c>
      <c r="C308" s="3" t="s">
        <v>14776</v>
      </c>
      <c r="D308" s="3" t="s">
        <v>8386</v>
      </c>
      <c r="E308" s="3" t="s">
        <v>15110</v>
      </c>
      <c r="F308" s="3" t="s">
        <v>955</v>
      </c>
      <c r="G308" s="3" t="s">
        <v>14729</v>
      </c>
      <c r="H308" s="4" t="str">
        <f>_xlfn.IFNA(IF(((INDEX(FieldDisagreements!C2:C50, MATCH(C308,FieldDisagreements!A2:A50, 0))="")=TRUE),  "",  INDEX(FieldDisagreements!C2:C50, MATCH(C308,FieldDisagreements!A2:A50, 0))), "")</f>
        <v>effortless-owl</v>
      </c>
      <c r="I308" s="4" t="str">
        <f>_xlfn.IFNA(IF(((INDEX(FieldDisagreements!D2:D50, MATCH(C308,FieldDisagreements!A2:A50, 0))="")=TRUE),  "",  INDEX(FieldDisagreements!D2:D50, MATCH(C308,FieldDisagreements!A2:A50, 0))), "")</f>
        <v>AppRoleProfiles.RouteCount</v>
      </c>
      <c r="J308" s="3" t="s">
        <v>1926</v>
      </c>
    </row>
    <row r="309">
      <c r="A309" s="3" t="s">
        <v>15117</v>
      </c>
      <c r="B309" s="4" t="str">
        <f>_xlfn.CONCAT(C309, " @ ", D309)</f>
        <v>effortless-owl|AppRoleProfiles.RouteCount @ profile-notification-publisher</v>
      </c>
      <c r="C309" s="3" t="s">
        <v>14776</v>
      </c>
      <c r="D309" s="3" t="s">
        <v>8407</v>
      </c>
      <c r="E309" s="3" t="s">
        <v>15110</v>
      </c>
      <c r="F309" s="3" t="s">
        <v>955</v>
      </c>
      <c r="G309" s="3" t="s">
        <v>14729</v>
      </c>
      <c r="H309" s="4" t="str">
        <f>_xlfn.IFNA(IF(((INDEX(FieldDisagreements!C2:C50, MATCH(C309,FieldDisagreements!A2:A50, 0))="")=TRUE),  "",  INDEX(FieldDisagreements!C2:C50, MATCH(C309,FieldDisagreements!A2:A50, 0))), "")</f>
        <v>effortless-owl</v>
      </c>
      <c r="I309" s="4" t="str">
        <f>_xlfn.IFNA(IF(((INDEX(FieldDisagreements!D2:D50, MATCH(C309,FieldDisagreements!A2:A50, 0))="")=TRUE),  "",  INDEX(FieldDisagreements!D2:D50, MATCH(C309,FieldDisagreements!A2:A50, 0))), "")</f>
        <v>AppRoleProfiles.RouteCount</v>
      </c>
      <c r="J309" s="3" t="s">
        <v>1926</v>
      </c>
    </row>
    <row r="310">
      <c r="A310" s="3" t="s">
        <v>15118</v>
      </c>
      <c r="B310" s="4" t="str">
        <f>_xlfn.CONCAT(C310, " @ ", D310)</f>
        <v>effortless-owl|AppRoleProfiles.RouteCount @ profile-policy-drafting-agent</v>
      </c>
      <c r="C310" s="3" t="s">
        <v>14776</v>
      </c>
      <c r="D310" s="3" t="s">
        <v>8402</v>
      </c>
      <c r="E310" s="3" t="s">
        <v>14797</v>
      </c>
      <c r="F310" s="3" t="s">
        <v>955</v>
      </c>
      <c r="G310" s="3" t="s">
        <v>14729</v>
      </c>
      <c r="H310" s="4" t="str">
        <f>_xlfn.IFNA(IF(((INDEX(FieldDisagreements!C2:C50, MATCH(C310,FieldDisagreements!A2:A50, 0))="")=TRUE),  "",  INDEX(FieldDisagreements!C2:C50, MATCH(C310,FieldDisagreements!A2:A50, 0))), "")</f>
        <v>effortless-owl</v>
      </c>
      <c r="I310" s="4" t="str">
        <f>_xlfn.IFNA(IF(((INDEX(FieldDisagreements!D2:D50, MATCH(C310,FieldDisagreements!A2:A50, 0))="")=TRUE),  "",  INDEX(FieldDisagreements!D2:D50, MATCH(C310,FieldDisagreements!A2:A50, 0))), "")</f>
        <v>AppRoleProfiles.RouteCount</v>
      </c>
      <c r="J310" s="3" t="s">
        <v>1926</v>
      </c>
    </row>
    <row r="311">
      <c r="A311" s="3" t="s">
        <v>15119</v>
      </c>
      <c r="B311" s="4" t="str">
        <f>_xlfn.CONCAT(C311, " @ ", D311)</f>
        <v>effortless-owl|AppRoleProfiles.RouteCount @ profile-process-steward</v>
      </c>
      <c r="C311" s="3" t="s">
        <v>14776</v>
      </c>
      <c r="D311" s="3" t="s">
        <v>8381</v>
      </c>
      <c r="E311" s="3" t="s">
        <v>15110</v>
      </c>
      <c r="F311" s="3" t="s">
        <v>955</v>
      </c>
      <c r="G311" s="3" t="s">
        <v>14729</v>
      </c>
      <c r="H311" s="4" t="str">
        <f>_xlfn.IFNA(IF(((INDEX(FieldDisagreements!C2:C50, MATCH(C311,FieldDisagreements!A2:A50, 0))="")=TRUE),  "",  INDEX(FieldDisagreements!C2:C50, MATCH(C311,FieldDisagreements!A2:A50, 0))), "")</f>
        <v>effortless-owl</v>
      </c>
      <c r="I311" s="4" t="str">
        <f>_xlfn.IFNA(IF(((INDEX(FieldDisagreements!D2:D50, MATCH(C311,FieldDisagreements!A2:A50, 0))="")=TRUE),  "",  INDEX(FieldDisagreements!D2:D50, MATCH(C311,FieldDisagreements!A2:A50, 0))), "")</f>
        <v>AppRoleProfiles.RouteCount</v>
      </c>
      <c r="J311" s="3" t="s">
        <v>1926</v>
      </c>
    </row>
    <row r="312">
      <c r="A312" s="3" t="s">
        <v>15120</v>
      </c>
      <c r="B312" s="4" t="str">
        <f>_xlfn.CONCAT(C312, " @ ", D312)</f>
        <v>effortless-owl|AppRoleProfiles.RouteCount @ profile-variance-review-agent</v>
      </c>
      <c r="C312" s="3" t="s">
        <v>14776</v>
      </c>
      <c r="D312" s="3" t="s">
        <v>8397</v>
      </c>
      <c r="E312" s="3" t="s">
        <v>15110</v>
      </c>
      <c r="F312" s="3" t="s">
        <v>955</v>
      </c>
      <c r="G312" s="3" t="s">
        <v>14729</v>
      </c>
      <c r="H312" s="4" t="str">
        <f>_xlfn.IFNA(IF(((INDEX(FieldDisagreements!C2:C50, MATCH(C312,FieldDisagreements!A2:A50, 0))="")=TRUE),  "",  INDEX(FieldDisagreements!C2:C50, MATCH(C312,FieldDisagreements!A2:A50, 0))), "")</f>
        <v>effortless-owl</v>
      </c>
      <c r="I312" s="4" t="str">
        <f>_xlfn.IFNA(IF(((INDEX(FieldDisagreements!D2:D50, MATCH(C312,FieldDisagreements!A2:A50, 0))="")=TRUE),  "",  INDEX(FieldDisagreements!D2:D50, MATCH(C312,FieldDisagreements!A2:A50, 0))), "")</f>
        <v>AppRoleProfiles.RouteCount</v>
      </c>
      <c r="J312" s="3" t="s">
        <v>1926</v>
      </c>
    </row>
    <row r="313">
      <c r="A313" s="3" t="s">
        <v>15121</v>
      </c>
      <c r="B313" s="4" t="str">
        <f>_xlfn.CONCAT(C313, " @ ", D313)</f>
        <v>effortless-owl|AccessDenialTests.Name @ deny-cfo-send-intents</v>
      </c>
      <c r="C313" s="3" t="s">
        <v>14777</v>
      </c>
      <c r="D313" s="3" t="s">
        <v>13896</v>
      </c>
      <c r="E313" s="3" t="s">
        <v>15122</v>
      </c>
      <c r="F313" s="3" t="s">
        <v>14781</v>
      </c>
      <c r="G313" s="3" t="s">
        <v>14729</v>
      </c>
      <c r="H313" s="4" t="str">
        <f>_xlfn.IFNA(IF(((INDEX(FieldDisagreements!C2:C50, MATCH(C313,FieldDisagreements!A2:A50, 0))="")=TRUE),  "",  INDEX(FieldDisagreements!C2:C50, MATCH(C313,FieldDisagreements!A2:A50, 0))), "")</f>
        <v>effortless-owl</v>
      </c>
      <c r="I313" s="4" t="str">
        <f>_xlfn.IFNA(IF(((INDEX(FieldDisagreements!D2:D50, MATCH(C313,FieldDisagreements!A2:A50, 0))="")=TRUE),  "",  INDEX(FieldDisagreements!D2:D50, MATCH(C313,FieldDisagreements!A2:A50, 0))), "")</f>
        <v>AccessDenialTests.Name</v>
      </c>
      <c r="J313" s="3" t="s">
        <v>1926</v>
      </c>
    </row>
    <row r="314">
      <c r="A314" s="3" t="s">
        <v>15123</v>
      </c>
      <c r="B314" s="4" t="str">
        <f>_xlfn.CONCAT(C314, " @ ", D314)</f>
        <v>effortless-owl|AccessDenialTests.Name @ deny-cfo-step-executions</v>
      </c>
      <c r="C314" s="3" t="s">
        <v>14777</v>
      </c>
      <c r="D314" s="3" t="s">
        <v>13898</v>
      </c>
      <c r="E314" s="3" t="s">
        <v>15122</v>
      </c>
      <c r="F314" s="3" t="s">
        <v>14781</v>
      </c>
      <c r="G314" s="3" t="s">
        <v>14729</v>
      </c>
      <c r="H314" s="4" t="str">
        <f>_xlfn.IFNA(IF(((INDEX(FieldDisagreements!C2:C50, MATCH(C314,FieldDisagreements!A2:A50, 0))="")=TRUE),  "",  INDEX(FieldDisagreements!C2:C50, MATCH(C314,FieldDisagreements!A2:A50, 0))), "")</f>
        <v>effortless-owl</v>
      </c>
      <c r="I314" s="4" t="str">
        <f>_xlfn.IFNA(IF(((INDEX(FieldDisagreements!D2:D50, MATCH(C314,FieldDisagreements!A2:A50, 0))="")=TRUE),  "",  INDEX(FieldDisagreements!D2:D50, MATCH(C314,FieldDisagreements!A2:A50, 0))), "")</f>
        <v>AccessDenialTests.Name</v>
      </c>
      <c r="J314" s="3" t="s">
        <v>1926</v>
      </c>
    </row>
    <row r="315">
      <c r="A315" s="3" t="s">
        <v>15124</v>
      </c>
      <c r="B315" s="4" t="str">
        <f>_xlfn.CONCAT(C315, " @ ", D315)</f>
        <v>effortless-owl|AccessDenialTests.Name @ deny-close-automation-change-requests</v>
      </c>
      <c r="C315" s="3" t="s">
        <v>14777</v>
      </c>
      <c r="D315" s="3" t="s">
        <v>13902</v>
      </c>
      <c r="E315" s="3" t="s">
        <v>15125</v>
      </c>
      <c r="F315" s="3" t="s">
        <v>14781</v>
      </c>
      <c r="G315" s="3" t="s">
        <v>14729</v>
      </c>
      <c r="H315" s="4" t="str">
        <f>_xlfn.IFNA(IF(((INDEX(FieldDisagreements!C2:C50, MATCH(C315,FieldDisagreements!A2:A50, 0))="")=TRUE),  "",  INDEX(FieldDisagreements!C2:C50, MATCH(C315,FieldDisagreements!A2:A50, 0))), "")</f>
        <v>effortless-owl</v>
      </c>
      <c r="I315" s="4" t="str">
        <f>_xlfn.IFNA(IF(((INDEX(FieldDisagreements!D2:D50, MATCH(C315,FieldDisagreements!A2:A50, 0))="")=TRUE),  "",  INDEX(FieldDisagreements!D2:D50, MATCH(C315,FieldDisagreements!A2:A50, 0))), "")</f>
        <v>AccessDenialTests.Name</v>
      </c>
      <c r="J315" s="3" t="s">
        <v>1926</v>
      </c>
    </row>
    <row r="316">
      <c r="A316" s="3" t="s">
        <v>15126</v>
      </c>
      <c r="B316" s="4" t="str">
        <f>_xlfn.CONCAT(C316, " @ ", D316)</f>
        <v>effortless-owl|AccessDenialTests.Name @ deny-close-automation-recipients</v>
      </c>
      <c r="C316" s="3" t="s">
        <v>14777</v>
      </c>
      <c r="D316" s="3" t="s">
        <v>13900</v>
      </c>
      <c r="E316" s="3" t="s">
        <v>15125</v>
      </c>
      <c r="F316" s="3" t="s">
        <v>14781</v>
      </c>
      <c r="G316" s="3" t="s">
        <v>14729</v>
      </c>
      <c r="H316" s="4" t="str">
        <f>_xlfn.IFNA(IF(((INDEX(FieldDisagreements!C2:C50, MATCH(C316,FieldDisagreements!A2:A50, 0))="")=TRUE),  "",  INDEX(FieldDisagreements!C2:C50, MATCH(C316,FieldDisagreements!A2:A50, 0))), "")</f>
        <v>effortless-owl</v>
      </c>
      <c r="I316" s="4" t="str">
        <f>_xlfn.IFNA(IF(((INDEX(FieldDisagreements!D2:D50, MATCH(C316,FieldDisagreements!A2:A50, 0))="")=TRUE),  "",  INDEX(FieldDisagreements!D2:D50, MATCH(C316,FieldDisagreements!A2:A50, 0))), "")</f>
        <v>AccessDenialTests.Name</v>
      </c>
      <c r="J316" s="3" t="s">
        <v>1926</v>
      </c>
    </row>
    <row r="317">
      <c r="A317" s="3" t="s">
        <v>15127</v>
      </c>
      <c r="B317" s="4" t="str">
        <f>_xlfn.CONCAT(C317, " @ ", D317)</f>
        <v>effortless-owl|AccessDenialTests.Name @ deny-employment-counsel-step-executions</v>
      </c>
      <c r="C317" s="3" t="s">
        <v>14777</v>
      </c>
      <c r="D317" s="3" t="s">
        <v>13908</v>
      </c>
      <c r="E317" s="3" t="s">
        <v>15128</v>
      </c>
      <c r="F317" s="3" t="s">
        <v>14781</v>
      </c>
      <c r="G317" s="3" t="s">
        <v>14729</v>
      </c>
      <c r="H317" s="4" t="str">
        <f>_xlfn.IFNA(IF(((INDEX(FieldDisagreements!C2:C50, MATCH(C317,FieldDisagreements!A2:A50, 0))="")=TRUE),  "",  INDEX(FieldDisagreements!C2:C50, MATCH(C317,FieldDisagreements!A2:A50, 0))), "")</f>
        <v>effortless-owl</v>
      </c>
      <c r="I317" s="4" t="str">
        <f>_xlfn.IFNA(IF(((INDEX(FieldDisagreements!D2:D50, MATCH(C317,FieldDisagreements!A2:A50, 0))="")=TRUE),  "",  INDEX(FieldDisagreements!D2:D50, MATCH(C317,FieldDisagreements!A2:A50, 0))), "")</f>
        <v>AccessDenialTests.Name</v>
      </c>
      <c r="J317" s="3" t="s">
        <v>1926</v>
      </c>
    </row>
    <row r="318">
      <c r="A318" s="3" t="s">
        <v>15129</v>
      </c>
      <c r="B318" s="4" t="str">
        <f>_xlfn.CONCAT(C318, " @ ", D318)</f>
        <v>effortless-owl|AccessDenialTests.Name @ deny-notification-publisher-knowledge-fragments</v>
      </c>
      <c r="C318" s="3" t="s">
        <v>14777</v>
      </c>
      <c r="D318" s="3" t="s">
        <v>13906</v>
      </c>
      <c r="E318" s="3" t="s">
        <v>15130</v>
      </c>
      <c r="F318" s="3" t="s">
        <v>14781</v>
      </c>
      <c r="G318" s="3" t="s">
        <v>14729</v>
      </c>
      <c r="H318" s="4" t="str">
        <f>_xlfn.IFNA(IF(((INDEX(FieldDisagreements!C2:C50, MATCH(C318,FieldDisagreements!A2:A50, 0))="")=TRUE),  "",  INDEX(FieldDisagreements!C2:C50, MATCH(C318,FieldDisagreements!A2:A50, 0))), "")</f>
        <v>effortless-owl</v>
      </c>
      <c r="I318" s="4" t="str">
        <f>_xlfn.IFNA(IF(((INDEX(FieldDisagreements!D2:D50, MATCH(C318,FieldDisagreements!A2:A50, 0))="")=TRUE),  "",  INDEX(FieldDisagreements!D2:D50, MATCH(C318,FieldDisagreements!A2:A50, 0))), "")</f>
        <v>AccessDenialTests.Name</v>
      </c>
      <c r="J318" s="3" t="s">
        <v>1926</v>
      </c>
    </row>
    <row r="319">
      <c r="A319" s="3" t="s">
        <v>15131</v>
      </c>
      <c r="B319" s="4" t="str">
        <f>_xlfn.CONCAT(C319, " @ ", D319)</f>
        <v>effortless-owl|AccessDenialTests.Name @ deny-policy-drafting-agent-recipients</v>
      </c>
      <c r="C319" s="3" t="s">
        <v>14777</v>
      </c>
      <c r="D319" s="3" t="s">
        <v>13904</v>
      </c>
      <c r="E319" s="3" t="s">
        <v>15132</v>
      </c>
      <c r="F319" s="3" t="s">
        <v>14781</v>
      </c>
      <c r="G319" s="3" t="s">
        <v>14729</v>
      </c>
      <c r="H319" s="4" t="str">
        <f>_xlfn.IFNA(IF(((INDEX(FieldDisagreements!C2:C50, MATCH(C319,FieldDisagreements!A2:A50, 0))="")=TRUE),  "",  INDEX(FieldDisagreements!C2:C50, MATCH(C319,FieldDisagreements!A2:A50, 0))), "")</f>
        <v>effortless-owl</v>
      </c>
      <c r="I319" s="4" t="str">
        <f>_xlfn.IFNA(IF(((INDEX(FieldDisagreements!D2:D50, MATCH(C319,FieldDisagreements!A2:A50, 0))="")=TRUE),  "",  INDEX(FieldDisagreements!D2:D50, MATCH(C319,FieldDisagreements!A2:A50, 0))), "")</f>
        <v>AccessDenialTests.Name</v>
      </c>
      <c r="J319" s="3" t="s">
        <v>1926</v>
      </c>
    </row>
    <row r="320">
      <c r="A320" s="3" t="s">
        <v>15133</v>
      </c>
      <c r="B320" s="4" t="str">
        <f>_xlfn.CONCAT(C320, " @ ", D320)</f>
        <v>effortless-owl|AccessDenialTests.Name @ deny-variance-review-agent-recipients</v>
      </c>
      <c r="C320" s="3" t="s">
        <v>14777</v>
      </c>
      <c r="D320" s="3" t="s">
        <v>13910</v>
      </c>
      <c r="E320" s="3" t="s">
        <v>15134</v>
      </c>
      <c r="F320" s="3" t="s">
        <v>14781</v>
      </c>
      <c r="G320" s="3" t="s">
        <v>14729</v>
      </c>
      <c r="H320" s="4" t="str">
        <f>_xlfn.IFNA(IF(((INDEX(FieldDisagreements!C2:C50, MATCH(C320,FieldDisagreements!A2:A50, 0))="")=TRUE),  "",  INDEX(FieldDisagreements!C2:C50, MATCH(C320,FieldDisagreements!A2:A50, 0))), "")</f>
        <v>effortless-owl</v>
      </c>
      <c r="I320" s="4" t="str">
        <f>_xlfn.IFNA(IF(((INDEX(FieldDisagreements!D2:D50, MATCH(C320,FieldDisagreements!A2:A50, 0))="")=TRUE),  "",  INDEX(FieldDisagreements!D2:D50, MATCH(C320,FieldDisagreements!A2:A50, 0))), "")</f>
        <v>AccessDenialTests.Name</v>
      </c>
      <c r="J320" s="3" t="s">
        <v>1926</v>
      </c>
    </row>
    <row r="321">
      <c r="A321" s="3" t="s">
        <v>15135</v>
      </c>
      <c r="B321" s="4" t="str">
        <f>_xlfn.CONCAT(C321, " @ ", D321)</f>
        <v>effortless-owl|CellDisagreements.Name @ effortless-entity-framework|Steps.IsBlockingControlOnReworkLoop|close-03</v>
      </c>
      <c r="C321" s="3" t="s">
        <v>14778</v>
      </c>
      <c r="D321" s="3" t="s">
        <v>15136</v>
      </c>
      <c r="E321" s="3" t="s">
        <v>15137</v>
      </c>
      <c r="F321" s="3" t="s">
        <v>15138</v>
      </c>
      <c r="G321" s="3" t="s">
        <v>14729</v>
      </c>
      <c r="H321" s="4" t="str">
        <f>_xlfn.IFNA(IF(((INDEX(FieldDisagreements!C2:C50, MATCH(C321,FieldDisagreements!A2:A50, 0))="")=TRUE),  "",  INDEX(FieldDisagreements!C2:C50, MATCH(C321,FieldDisagreements!A2:A50, 0))), "")</f>
        <v>effortless-owl</v>
      </c>
      <c r="I321" s="4" t="str">
        <f>_xlfn.IFNA(IF(((INDEX(FieldDisagreements!D2:D50, MATCH(C321,FieldDisagreements!A2:A50, 0))="")=TRUE),  "",  INDEX(FieldDisagreements!D2:D50, MATCH(C321,FieldDisagreements!A2:A50, 0))), "")</f>
        <v>CellDisagreements.Name</v>
      </c>
      <c r="J321" s="3" t="s">
        <v>1926</v>
      </c>
    </row>
    <row r="322">
      <c r="A322" s="3" t="s">
        <v>15139</v>
      </c>
      <c r="B322" s="4" t="str">
        <f>_xlfn.CONCAT(C322, " @ ", D322)</f>
        <v>effortless-owl|CellDisagreements.Name @ effortless-entity-framework|Steps.IsBlockingControlOnReworkLoop|close-05</v>
      </c>
      <c r="C322" s="3" t="s">
        <v>14778</v>
      </c>
      <c r="D322" s="3" t="s">
        <v>15140</v>
      </c>
      <c r="E322" s="3" t="s">
        <v>15141</v>
      </c>
      <c r="F322" s="3" t="s">
        <v>15142</v>
      </c>
      <c r="G322" s="3" t="s">
        <v>14729</v>
      </c>
      <c r="H322" s="4" t="str">
        <f>_xlfn.IFNA(IF(((INDEX(FieldDisagreements!C2:C50, MATCH(C322,FieldDisagreements!A2:A50, 0))="")=TRUE),  "",  INDEX(FieldDisagreements!C2:C50, MATCH(C322,FieldDisagreements!A2:A50, 0))), "")</f>
        <v>effortless-owl</v>
      </c>
      <c r="I322" s="4" t="str">
        <f>_xlfn.IFNA(IF(((INDEX(FieldDisagreements!D2:D50, MATCH(C322,FieldDisagreements!A2:A50, 0))="")=TRUE),  "",  INDEX(FieldDisagreements!D2:D50, MATCH(C322,FieldDisagreements!A2:A50, 0))), "")</f>
        <v>CellDisagreements.Name</v>
      </c>
      <c r="J322" s="3" t="s">
        <v>1926</v>
      </c>
    </row>
    <row r="323">
      <c r="A323" s="3" t="s">
        <v>15143</v>
      </c>
      <c r="B323" s="4" t="str">
        <f>_xlfn.CONCAT(C323, " @ ", D323)</f>
        <v>effortless-owl|CellDisagreements.Name @ effortless-entity-framework|Steps.IsBlockingControlOnReworkLoop|close-06</v>
      </c>
      <c r="C323" s="3" t="s">
        <v>14778</v>
      </c>
      <c r="D323" s="3" t="s">
        <v>15144</v>
      </c>
      <c r="E323" s="3" t="s">
        <v>15145</v>
      </c>
      <c r="F323" s="3" t="s">
        <v>15146</v>
      </c>
      <c r="G323" s="3" t="s">
        <v>14729</v>
      </c>
      <c r="H323" s="4" t="str">
        <f>_xlfn.IFNA(IF(((INDEX(FieldDisagreements!C2:C50, MATCH(C323,FieldDisagreements!A2:A50, 0))="")=TRUE),  "",  INDEX(FieldDisagreements!C2:C50, MATCH(C323,FieldDisagreements!A2:A50, 0))), "")</f>
        <v>effortless-owl</v>
      </c>
      <c r="I323" s="4" t="str">
        <f>_xlfn.IFNA(IF(((INDEX(FieldDisagreements!D2:D50, MATCH(C323,FieldDisagreements!A2:A50, 0))="")=TRUE),  "",  INDEX(FieldDisagreements!D2:D50, MATCH(C323,FieldDisagreements!A2:A50, 0))), "")</f>
        <v>CellDisagreements.Name</v>
      </c>
      <c r="J323" s="3" t="s">
        <v>1926</v>
      </c>
    </row>
    <row r="324">
      <c r="A324" s="3" t="s">
        <v>15147</v>
      </c>
      <c r="B324" s="4" t="str">
        <f>_xlfn.CONCAT(C324, " @ ", D324)</f>
        <v>effortless-owl|CellDisagreements.Name @ effortless-entity-framework|Steps.IsBlockingControlOnReworkLoop|policy-03</v>
      </c>
      <c r="C324" s="3" t="s">
        <v>14778</v>
      </c>
      <c r="D324" s="3" t="s">
        <v>15148</v>
      </c>
      <c r="E324" s="3" t="s">
        <v>15149</v>
      </c>
      <c r="F324" s="3" t="s">
        <v>15150</v>
      </c>
      <c r="G324" s="3" t="s">
        <v>14729</v>
      </c>
      <c r="H324" s="4" t="str">
        <f>_xlfn.IFNA(IF(((INDEX(FieldDisagreements!C2:C50, MATCH(C324,FieldDisagreements!A2:A50, 0))="")=TRUE),  "",  INDEX(FieldDisagreements!C2:C50, MATCH(C324,FieldDisagreements!A2:A50, 0))), "")</f>
        <v>effortless-owl</v>
      </c>
      <c r="I324" s="4" t="str">
        <f>_xlfn.IFNA(IF(((INDEX(FieldDisagreements!D2:D50, MATCH(C324,FieldDisagreements!A2:A50, 0))="")=TRUE),  "",  INDEX(FieldDisagreements!D2:D50, MATCH(C324,FieldDisagreements!A2:A50, 0))), "")</f>
        <v>CellDisagreements.Name</v>
      </c>
      <c r="J324" s="3" t="s">
        <v>1926</v>
      </c>
    </row>
    <row r="325">
      <c r="A325" s="3" t="s">
        <v>15151</v>
      </c>
      <c r="B325" s="4" t="str">
        <f>_xlfn.CONCAT(C325, " @ ", D325)</f>
        <v>effortless-owl|CellDisagreements.Name @ effortless-entity-framework|Steps.IsBlockingControlOnReworkLoop|policy-04</v>
      </c>
      <c r="C325" s="3" t="s">
        <v>14778</v>
      </c>
      <c r="D325" s="3" t="s">
        <v>15152</v>
      </c>
      <c r="E325" s="3" t="s">
        <v>15153</v>
      </c>
      <c r="F325" s="3" t="s">
        <v>15154</v>
      </c>
      <c r="G325" s="3" t="s">
        <v>14729</v>
      </c>
      <c r="H325" s="4" t="str">
        <f>_xlfn.IFNA(IF(((INDEX(FieldDisagreements!C2:C50, MATCH(C325,FieldDisagreements!A2:A50, 0))="")=TRUE),  "",  INDEX(FieldDisagreements!C2:C50, MATCH(C325,FieldDisagreements!A2:A50, 0))), "")</f>
        <v>effortless-owl</v>
      </c>
      <c r="I325" s="4" t="str">
        <f>_xlfn.IFNA(IF(((INDEX(FieldDisagreements!D2:D50, MATCH(C325,FieldDisagreements!A2:A50, 0))="")=TRUE),  "",  INDEX(FieldDisagreements!D2:D50, MATCH(C325,FieldDisagreements!A2:A50, 0))), "")</f>
        <v>CellDisagreements.Name</v>
      </c>
      <c r="J325" s="3" t="s">
        <v>1926</v>
      </c>
    </row>
    <row r="326">
      <c r="A326" s="3" t="s">
        <v>15155</v>
      </c>
      <c r="B326" s="4" t="str">
        <f>_xlfn.CONCAT(C326, " @ ", D326)</f>
        <v>effortless-owl|CellDisagreements.Name @ effortless-entity-framework|Steps.IsBlockingControlOnReworkLoop|policy-06</v>
      </c>
      <c r="C326" s="3" t="s">
        <v>14778</v>
      </c>
      <c r="D326" s="3" t="s">
        <v>15156</v>
      </c>
      <c r="E326" s="3" t="s">
        <v>15157</v>
      </c>
      <c r="F326" s="3" t="s">
        <v>15158</v>
      </c>
      <c r="G326" s="3" t="s">
        <v>14729</v>
      </c>
      <c r="H326" s="4" t="str">
        <f>_xlfn.IFNA(IF(((INDEX(FieldDisagreements!C2:C50, MATCH(C326,FieldDisagreements!A2:A50, 0))="")=TRUE),  "",  INDEX(FieldDisagreements!C2:C50, MATCH(C326,FieldDisagreements!A2:A50, 0))), "")</f>
        <v>effortless-owl</v>
      </c>
      <c r="I326" s="4" t="str">
        <f>_xlfn.IFNA(IF(((INDEX(FieldDisagreements!D2:D50, MATCH(C326,FieldDisagreements!A2:A50, 0))="")=TRUE),  "",  INDEX(FieldDisagreements!D2:D50, MATCH(C326,FieldDisagreements!A2:A50, 0))), "")</f>
        <v>CellDisagreements.Name</v>
      </c>
      <c r="J326" s="3" t="s">
        <v>1926</v>
      </c>
    </row>
    <row r="327">
      <c r="A327" s="3" t="s">
        <v>15159</v>
      </c>
      <c r="B327" s="4" t="str">
        <f>_xlfn.CONCAT(C327, " @ ", D327)</f>
        <v>effortless-owl|CellDisagreements.Name @ effortless-entity-framework|Steps.IsBlockingControlOnReworkLoop|policy-07</v>
      </c>
      <c r="C327" s="3" t="s">
        <v>14778</v>
      </c>
      <c r="D327" s="3" t="s">
        <v>15160</v>
      </c>
      <c r="E327" s="3" t="s">
        <v>15161</v>
      </c>
      <c r="F327" s="3" t="s">
        <v>15162</v>
      </c>
      <c r="G327" s="3" t="s">
        <v>14729</v>
      </c>
      <c r="H327" s="4" t="str">
        <f>_xlfn.IFNA(IF(((INDEX(FieldDisagreements!C2:C50, MATCH(C327,FieldDisagreements!A2:A50, 0))="")=TRUE),  "",  INDEX(FieldDisagreements!C2:C50, MATCH(C327,FieldDisagreements!A2:A50, 0))), "")</f>
        <v>effortless-owl</v>
      </c>
      <c r="I327" s="4" t="str">
        <f>_xlfn.IFNA(IF(((INDEX(FieldDisagreements!D2:D50, MATCH(C327,FieldDisagreements!A2:A50, 0))="")=TRUE),  "",  INDEX(FieldDisagreements!D2:D50, MATCH(C327,FieldDisagreements!A2:A50, 0))), "")</f>
        <v>CellDisagreements.Name</v>
      </c>
      <c r="J327" s="3" t="s">
        <v>1926</v>
      </c>
    </row>
    <row r="328">
      <c r="A328" s="3" t="s">
        <v>15163</v>
      </c>
      <c r="B328" s="4" t="str">
        <f>_xlfn.CONCAT(C328, " @ ", D328)</f>
        <v>effortless-owl|CellDisagreements.Name @ effortless-entity-framework|Steps.IsOnReworkLoop|close-03</v>
      </c>
      <c r="C328" s="3" t="s">
        <v>14778</v>
      </c>
      <c r="D328" s="3" t="s">
        <v>15164</v>
      </c>
      <c r="E328" s="3" t="s">
        <v>15165</v>
      </c>
      <c r="F328" s="3" t="s">
        <v>15166</v>
      </c>
      <c r="G328" s="3" t="s">
        <v>14729</v>
      </c>
      <c r="H328" s="4" t="str">
        <f>_xlfn.IFNA(IF(((INDEX(FieldDisagreements!C2:C50, MATCH(C328,FieldDisagreements!A2:A50, 0))="")=TRUE),  "",  INDEX(FieldDisagreements!C2:C50, MATCH(C328,FieldDisagreements!A2:A50, 0))), "")</f>
        <v>effortless-owl</v>
      </c>
      <c r="I328" s="4" t="str">
        <f>_xlfn.IFNA(IF(((INDEX(FieldDisagreements!D2:D50, MATCH(C328,FieldDisagreements!A2:A50, 0))="")=TRUE),  "",  INDEX(FieldDisagreements!D2:D50, MATCH(C328,FieldDisagreements!A2:A50, 0))), "")</f>
        <v>CellDisagreements.Name</v>
      </c>
      <c r="J328" s="3" t="s">
        <v>1926</v>
      </c>
    </row>
    <row r="329">
      <c r="A329" s="3" t="s">
        <v>15167</v>
      </c>
      <c r="B329" s="4" t="str">
        <f>_xlfn.CONCAT(C329, " @ ", D329)</f>
        <v>effortless-owl|CellDisagreements.Name @ effortless-entity-framework|Steps.IsOnReworkLoop|close-04</v>
      </c>
      <c r="C329" s="3" t="s">
        <v>14778</v>
      </c>
      <c r="D329" s="3" t="s">
        <v>15168</v>
      </c>
      <c r="E329" s="3" t="s">
        <v>15169</v>
      </c>
      <c r="F329" s="3" t="s">
        <v>15170</v>
      </c>
      <c r="G329" s="3" t="s">
        <v>14729</v>
      </c>
      <c r="H329" s="4" t="str">
        <f>_xlfn.IFNA(IF(((INDEX(FieldDisagreements!C2:C50, MATCH(C329,FieldDisagreements!A2:A50, 0))="")=TRUE),  "",  INDEX(FieldDisagreements!C2:C50, MATCH(C329,FieldDisagreements!A2:A50, 0))), "")</f>
        <v>effortless-owl</v>
      </c>
      <c r="I329" s="4" t="str">
        <f>_xlfn.IFNA(IF(((INDEX(FieldDisagreements!D2:D50, MATCH(C329,FieldDisagreements!A2:A50, 0))="")=TRUE),  "",  INDEX(FieldDisagreements!D2:D50, MATCH(C329,FieldDisagreements!A2:A50, 0))), "")</f>
        <v>CellDisagreements.Name</v>
      </c>
      <c r="J329" s="3" t="s">
        <v>1926</v>
      </c>
    </row>
    <row r="330">
      <c r="A330" s="3" t="s">
        <v>15171</v>
      </c>
      <c r="B330" s="4" t="str">
        <f>_xlfn.CONCAT(C330, " @ ", D330)</f>
        <v>effortless-owl|CellDisagreements.Name @ effortless-entity-framework|Steps.IsOnReworkLoop|close-05</v>
      </c>
      <c r="C330" s="3" t="s">
        <v>14778</v>
      </c>
      <c r="D330" s="3" t="s">
        <v>15172</v>
      </c>
      <c r="E330" s="3" t="s">
        <v>15173</v>
      </c>
      <c r="F330" s="3" t="s">
        <v>15174</v>
      </c>
      <c r="G330" s="3" t="s">
        <v>14729</v>
      </c>
      <c r="H330" s="4" t="str">
        <f>_xlfn.IFNA(IF(((INDEX(FieldDisagreements!C2:C50, MATCH(C330,FieldDisagreements!A2:A50, 0))="")=TRUE),  "",  INDEX(FieldDisagreements!C2:C50, MATCH(C330,FieldDisagreements!A2:A50, 0))), "")</f>
        <v>effortless-owl</v>
      </c>
      <c r="I330" s="4" t="str">
        <f>_xlfn.IFNA(IF(((INDEX(FieldDisagreements!D2:D50, MATCH(C330,FieldDisagreements!A2:A50, 0))="")=TRUE),  "",  INDEX(FieldDisagreements!D2:D50, MATCH(C330,FieldDisagreements!A2:A50, 0))), "")</f>
        <v>CellDisagreements.Name</v>
      </c>
      <c r="J330" s="3" t="s">
        <v>1926</v>
      </c>
    </row>
    <row r="331">
      <c r="A331" s="3" t="s">
        <v>15175</v>
      </c>
      <c r="B331" s="4" t="str">
        <f>_xlfn.CONCAT(C331, " @ ", D331)</f>
        <v>effortless-owl|CellDisagreements.Name @ effortless-entity-framework|Steps.IsOnReworkLoop|close-06</v>
      </c>
      <c r="C331" s="3" t="s">
        <v>14778</v>
      </c>
      <c r="D331" s="3" t="s">
        <v>15176</v>
      </c>
      <c r="E331" s="3" t="s">
        <v>15177</v>
      </c>
      <c r="F331" s="3" t="s">
        <v>15178</v>
      </c>
      <c r="G331" s="3" t="s">
        <v>14729</v>
      </c>
      <c r="H331" s="4" t="str">
        <f>_xlfn.IFNA(IF(((INDEX(FieldDisagreements!C2:C50, MATCH(C331,FieldDisagreements!A2:A50, 0))="")=TRUE),  "",  INDEX(FieldDisagreements!C2:C50, MATCH(C331,FieldDisagreements!A2:A50, 0))), "")</f>
        <v>effortless-owl</v>
      </c>
      <c r="I331" s="4" t="str">
        <f>_xlfn.IFNA(IF(((INDEX(FieldDisagreements!D2:D50, MATCH(C331,FieldDisagreements!A2:A50, 0))="")=TRUE),  "",  INDEX(FieldDisagreements!D2:D50, MATCH(C331,FieldDisagreements!A2:A50, 0))), "")</f>
        <v>CellDisagreements.Name</v>
      </c>
      <c r="J331" s="3" t="s">
        <v>1926</v>
      </c>
    </row>
    <row r="332">
      <c r="A332" s="3" t="s">
        <v>15179</v>
      </c>
      <c r="B332" s="4" t="str">
        <f>_xlfn.CONCAT(C332, " @ ", D332)</f>
        <v>effortless-owl|CellDisagreements.Name @ effortless-entity-framework|Steps.IsOnReworkLoop|policy-03</v>
      </c>
      <c r="C332" s="3" t="s">
        <v>14778</v>
      </c>
      <c r="D332" s="3" t="s">
        <v>15180</v>
      </c>
      <c r="E332" s="3" t="s">
        <v>15181</v>
      </c>
      <c r="F332" s="3" t="s">
        <v>15182</v>
      </c>
      <c r="G332" s="3" t="s">
        <v>14729</v>
      </c>
      <c r="H332" s="4" t="str">
        <f>_xlfn.IFNA(IF(((INDEX(FieldDisagreements!C2:C50, MATCH(C332,FieldDisagreements!A2:A50, 0))="")=TRUE),  "",  INDEX(FieldDisagreements!C2:C50, MATCH(C332,FieldDisagreements!A2:A50, 0))), "")</f>
        <v>effortless-owl</v>
      </c>
      <c r="I332" s="4" t="str">
        <f>_xlfn.IFNA(IF(((INDEX(FieldDisagreements!D2:D50, MATCH(C332,FieldDisagreements!A2:A50, 0))="")=TRUE),  "",  INDEX(FieldDisagreements!D2:D50, MATCH(C332,FieldDisagreements!A2:A50, 0))), "")</f>
        <v>CellDisagreements.Name</v>
      </c>
      <c r="J332" s="3" t="s">
        <v>1926</v>
      </c>
    </row>
    <row r="333">
      <c r="A333" s="3" t="s">
        <v>15183</v>
      </c>
      <c r="B333" s="4" t="str">
        <f>_xlfn.CONCAT(C333, " @ ", D333)</f>
        <v>effortless-owl|CellDisagreements.Name @ effortless-entity-framework|Steps.IsOnReworkLoop|policy-04</v>
      </c>
      <c r="C333" s="3" t="s">
        <v>14778</v>
      </c>
      <c r="D333" s="3" t="s">
        <v>15184</v>
      </c>
      <c r="E333" s="3" t="s">
        <v>15185</v>
      </c>
      <c r="F333" s="3" t="s">
        <v>15186</v>
      </c>
      <c r="G333" s="3" t="s">
        <v>14729</v>
      </c>
      <c r="H333" s="4" t="str">
        <f>_xlfn.IFNA(IF(((INDEX(FieldDisagreements!C2:C50, MATCH(C333,FieldDisagreements!A2:A50, 0))="")=TRUE),  "",  INDEX(FieldDisagreements!C2:C50, MATCH(C333,FieldDisagreements!A2:A50, 0))), "")</f>
        <v>effortless-owl</v>
      </c>
      <c r="I333" s="4" t="str">
        <f>_xlfn.IFNA(IF(((INDEX(FieldDisagreements!D2:D50, MATCH(C333,FieldDisagreements!A2:A50, 0))="")=TRUE),  "",  INDEX(FieldDisagreements!D2:D50, MATCH(C333,FieldDisagreements!A2:A50, 0))), "")</f>
        <v>CellDisagreements.Name</v>
      </c>
      <c r="J333" s="3" t="s">
        <v>1926</v>
      </c>
    </row>
    <row r="334">
      <c r="A334" s="3" t="s">
        <v>15187</v>
      </c>
      <c r="B334" s="4" t="str">
        <f>_xlfn.CONCAT(C334, " @ ", D334)</f>
        <v>effortless-owl|CellDisagreements.Name @ effortless-entity-framework|Steps.IsOnReworkLoop|policy-06</v>
      </c>
      <c r="C334" s="3" t="s">
        <v>14778</v>
      </c>
      <c r="D334" s="3" t="s">
        <v>15188</v>
      </c>
      <c r="E334" s="3" t="s">
        <v>15189</v>
      </c>
      <c r="F334" s="3" t="s">
        <v>15190</v>
      </c>
      <c r="G334" s="3" t="s">
        <v>14729</v>
      </c>
      <c r="H334" s="4" t="str">
        <f>_xlfn.IFNA(IF(((INDEX(FieldDisagreements!C2:C50, MATCH(C334,FieldDisagreements!A2:A50, 0))="")=TRUE),  "",  INDEX(FieldDisagreements!C2:C50, MATCH(C334,FieldDisagreements!A2:A50, 0))), "")</f>
        <v>effortless-owl</v>
      </c>
      <c r="I334" s="4" t="str">
        <f>_xlfn.IFNA(IF(((INDEX(FieldDisagreements!D2:D50, MATCH(C334,FieldDisagreements!A2:A50, 0))="")=TRUE),  "",  INDEX(FieldDisagreements!D2:D50, MATCH(C334,FieldDisagreements!A2:A50, 0))), "")</f>
        <v>CellDisagreements.Name</v>
      </c>
      <c r="J334" s="3" t="s">
        <v>1926</v>
      </c>
    </row>
    <row r="335">
      <c r="A335" s="3" t="s">
        <v>15191</v>
      </c>
      <c r="B335" s="4" t="str">
        <f>_xlfn.CONCAT(C335, " @ ", D335)</f>
        <v>effortless-owl|CellDisagreements.Name @ effortless-entity-framework|Steps.IsOnReworkLoop|policy-07</v>
      </c>
      <c r="C335" s="3" t="s">
        <v>14778</v>
      </c>
      <c r="D335" s="3" t="s">
        <v>15192</v>
      </c>
      <c r="E335" s="3" t="s">
        <v>15193</v>
      </c>
      <c r="F335" s="3" t="s">
        <v>15194</v>
      </c>
      <c r="G335" s="3" t="s">
        <v>14729</v>
      </c>
      <c r="H335" s="4" t="str">
        <f>_xlfn.IFNA(IF(((INDEX(FieldDisagreements!C2:C50, MATCH(C335,FieldDisagreements!A2:A50, 0))="")=TRUE),  "",  INDEX(FieldDisagreements!C2:C50, MATCH(C335,FieldDisagreements!A2:A50, 0))), "")</f>
        <v>effortless-owl</v>
      </c>
      <c r="I335" s="4" t="str">
        <f>_xlfn.IFNA(IF(((INDEX(FieldDisagreements!D2:D50, MATCH(C335,FieldDisagreements!A2:A50, 0))="")=TRUE),  "",  INDEX(FieldDisagreements!D2:D50, MATCH(C335,FieldDisagreements!A2:A50, 0))), "")</f>
        <v>CellDisagreements.Name</v>
      </c>
      <c r="J335" s="3" t="s">
        <v>1926</v>
      </c>
    </row>
    <row r="336">
      <c r="A336" s="3" t="s">
        <v>15195</v>
      </c>
      <c r="B336" s="4" t="str">
        <f>_xlfn.CONCAT(C336, " @ ", D336)</f>
        <v>effortless-owl|CellDisagreements.Name @ effortless-entity-framework|Steps.ReachableStepCount|close-01</v>
      </c>
      <c r="C336" s="3" t="s">
        <v>14778</v>
      </c>
      <c r="D336" s="3" t="s">
        <v>15196</v>
      </c>
      <c r="E336" s="3" t="s">
        <v>15197</v>
      </c>
      <c r="F336" s="3" t="s">
        <v>15198</v>
      </c>
      <c r="G336" s="3" t="s">
        <v>14729</v>
      </c>
      <c r="H336" s="4" t="str">
        <f>_xlfn.IFNA(IF(((INDEX(FieldDisagreements!C2:C50, MATCH(C336,FieldDisagreements!A2:A50, 0))="")=TRUE),  "",  INDEX(FieldDisagreements!C2:C50, MATCH(C336,FieldDisagreements!A2:A50, 0))), "")</f>
        <v>effortless-owl</v>
      </c>
      <c r="I336" s="4" t="str">
        <f>_xlfn.IFNA(IF(((INDEX(FieldDisagreements!D2:D50, MATCH(C336,FieldDisagreements!A2:A50, 0))="")=TRUE),  "",  INDEX(FieldDisagreements!D2:D50, MATCH(C336,FieldDisagreements!A2:A50, 0))), "")</f>
        <v>CellDisagreements.Name</v>
      </c>
      <c r="J336" s="3" t="s">
        <v>1926</v>
      </c>
    </row>
    <row r="337">
      <c r="A337" s="3" t="s">
        <v>15199</v>
      </c>
      <c r="B337" s="4" t="str">
        <f>_xlfn.CONCAT(C337, " @ ", D337)</f>
        <v>effortless-owl|CellDisagreements.Name @ effortless-entity-framework|Steps.ReachableStepCount|close-02</v>
      </c>
      <c r="C337" s="3" t="s">
        <v>14778</v>
      </c>
      <c r="D337" s="3" t="s">
        <v>15200</v>
      </c>
      <c r="E337" s="3" t="s">
        <v>15201</v>
      </c>
      <c r="F337" s="3" t="s">
        <v>15202</v>
      </c>
      <c r="G337" s="3" t="s">
        <v>14729</v>
      </c>
      <c r="H337" s="4" t="str">
        <f>_xlfn.IFNA(IF(((INDEX(FieldDisagreements!C2:C50, MATCH(C337,FieldDisagreements!A2:A50, 0))="")=TRUE),  "",  INDEX(FieldDisagreements!C2:C50, MATCH(C337,FieldDisagreements!A2:A50, 0))), "")</f>
        <v>effortless-owl</v>
      </c>
      <c r="I337" s="4" t="str">
        <f>_xlfn.IFNA(IF(((INDEX(FieldDisagreements!D2:D50, MATCH(C337,FieldDisagreements!A2:A50, 0))="")=TRUE),  "",  INDEX(FieldDisagreements!D2:D50, MATCH(C337,FieldDisagreements!A2:A50, 0))), "")</f>
        <v>CellDisagreements.Name</v>
      </c>
      <c r="J337" s="3" t="s">
        <v>1926</v>
      </c>
    </row>
    <row r="338">
      <c r="A338" s="3" t="s">
        <v>15203</v>
      </c>
      <c r="B338" s="4" t="str">
        <f>_xlfn.CONCAT(C338, " @ ", D338)</f>
        <v>effortless-owl|CellDisagreements.Name @ effortless-entity-framework|Steps.ReachableStepCount|close-03</v>
      </c>
      <c r="C338" s="3" t="s">
        <v>14778</v>
      </c>
      <c r="D338" s="3" t="s">
        <v>15204</v>
      </c>
      <c r="E338" s="3" t="s">
        <v>15205</v>
      </c>
      <c r="F338" s="3" t="s">
        <v>15206</v>
      </c>
      <c r="G338" s="3" t="s">
        <v>14729</v>
      </c>
      <c r="H338" s="4" t="str">
        <f>_xlfn.IFNA(IF(((INDEX(FieldDisagreements!C2:C50, MATCH(C338,FieldDisagreements!A2:A50, 0))="")=TRUE),  "",  INDEX(FieldDisagreements!C2:C50, MATCH(C338,FieldDisagreements!A2:A50, 0))), "")</f>
        <v>effortless-owl</v>
      </c>
      <c r="I338" s="4" t="str">
        <f>_xlfn.IFNA(IF(((INDEX(FieldDisagreements!D2:D50, MATCH(C338,FieldDisagreements!A2:A50, 0))="")=TRUE),  "",  INDEX(FieldDisagreements!D2:D50, MATCH(C338,FieldDisagreements!A2:A50, 0))), "")</f>
        <v>CellDisagreements.Name</v>
      </c>
      <c r="J338" s="3" t="s">
        <v>1926</v>
      </c>
    </row>
    <row r="339">
      <c r="A339" s="3" t="s">
        <v>15207</v>
      </c>
      <c r="B339" s="4" t="str">
        <f>_xlfn.CONCAT(C339, " @ ", D339)</f>
        <v>effortless-owl|CellDisagreements.Name @ effortless-entity-framework|Steps.ReachableStepCount|close-04</v>
      </c>
      <c r="C339" s="3" t="s">
        <v>14778</v>
      </c>
      <c r="D339" s="3" t="s">
        <v>15208</v>
      </c>
      <c r="E339" s="3" t="s">
        <v>15209</v>
      </c>
      <c r="F339" s="3" t="s">
        <v>15210</v>
      </c>
      <c r="G339" s="3" t="s">
        <v>14729</v>
      </c>
      <c r="H339" s="4" t="str">
        <f>_xlfn.IFNA(IF(((INDEX(FieldDisagreements!C2:C50, MATCH(C339,FieldDisagreements!A2:A50, 0))="")=TRUE),  "",  INDEX(FieldDisagreements!C2:C50, MATCH(C339,FieldDisagreements!A2:A50, 0))), "")</f>
        <v>effortless-owl</v>
      </c>
      <c r="I339" s="4" t="str">
        <f>_xlfn.IFNA(IF(((INDEX(FieldDisagreements!D2:D50, MATCH(C339,FieldDisagreements!A2:A50, 0))="")=TRUE),  "",  INDEX(FieldDisagreements!D2:D50, MATCH(C339,FieldDisagreements!A2:A50, 0))), "")</f>
        <v>CellDisagreements.Name</v>
      </c>
      <c r="J339" s="3" t="s">
        <v>1926</v>
      </c>
    </row>
    <row r="340">
      <c r="A340" s="3" t="s">
        <v>15211</v>
      </c>
      <c r="B340" s="4" t="str">
        <f>_xlfn.CONCAT(C340, " @ ", D340)</f>
        <v>effortless-owl|CellDisagreements.Name @ effortless-entity-framework|Steps.ReachableStepCount|close-05</v>
      </c>
      <c r="C340" s="3" t="s">
        <v>14778</v>
      </c>
      <c r="D340" s="3" t="s">
        <v>15212</v>
      </c>
      <c r="E340" s="3" t="s">
        <v>15213</v>
      </c>
      <c r="F340" s="3" t="s">
        <v>15214</v>
      </c>
      <c r="G340" s="3" t="s">
        <v>14729</v>
      </c>
      <c r="H340" s="4" t="str">
        <f>_xlfn.IFNA(IF(((INDEX(FieldDisagreements!C2:C50, MATCH(C340,FieldDisagreements!A2:A50, 0))="")=TRUE),  "",  INDEX(FieldDisagreements!C2:C50, MATCH(C340,FieldDisagreements!A2:A50, 0))), "")</f>
        <v>effortless-owl</v>
      </c>
      <c r="I340" s="4" t="str">
        <f>_xlfn.IFNA(IF(((INDEX(FieldDisagreements!D2:D50, MATCH(C340,FieldDisagreements!A2:A50, 0))="")=TRUE),  "",  INDEX(FieldDisagreements!D2:D50, MATCH(C340,FieldDisagreements!A2:A50, 0))), "")</f>
        <v>CellDisagreements.Name</v>
      </c>
      <c r="J340" s="3" t="s">
        <v>1926</v>
      </c>
    </row>
  </sheetData>
  <autoFilter ref="A1:J1"/>
  <headerFooter/>
  <legacyDrawing r:id="rId1"/>
</worksheet>
</file>

<file path=xl/worksheets/sheet9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B6"/>
  <sheetViews>
    <sheetView workbookViewId="0"/>
  </sheetViews>
  <sheetFormatPr defaultRowHeight="15"/>
  <cols>
    <col min="1" max="1" width="17.928211212158203" customWidth="1"/>
    <col min="2" max="2" width="13.72014331817627" customWidth="1"/>
  </cols>
  <sheetData>
    <row r="1">
      <c r="A1" s="1" t="s">
        <v>1</v>
      </c>
      <c r="B1" s="1" t="s">
        <v>15215</v>
      </c>
    </row>
    <row r="2">
      <c r="A2" s="0" t="s">
        <v>15216</v>
      </c>
      <c r="B2" s="0" t="s">
        <v>15217</v>
      </c>
    </row>
    <row r="3">
      <c r="A3" s="0" t="s">
        <v>15218</v>
      </c>
      <c r="B3" s="0" t="s">
        <v>15219</v>
      </c>
    </row>
    <row r="4">
      <c r="A4" s="0" t="s">
        <v>15220</v>
      </c>
      <c r="B4" s="0" t="s">
        <v>15221</v>
      </c>
    </row>
    <row r="5">
      <c r="A5" s="0" t="s">
        <v>15222</v>
      </c>
      <c r="B5" s="0" t="s">
        <v>15223</v>
      </c>
    </row>
    <row r="6">
      <c r="A6" s="0" t="s">
        <v>15224</v>
      </c>
      <c r="B6" s="0" t="s">
        <v>15225</v>
      </c>
    </row>
  </sheetData>
  <headerFooter/>
</worksheet>
</file>

<file path=xl/worksheets/sheet9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28"/>
  <sheetViews>
    <sheetView workbookViewId="0"/>
  </sheetViews>
  <sheetFormatPr defaultRowHeight="15"/>
  <sheetData>
    <row r="1">
      <c r="A1" s="0" t="s">
        <v>15226</v>
      </c>
      <c r="Z1" s="0">
        <v>228</v>
      </c>
    </row>
    <row r="2">
      <c r="A2" s="0" t="s">
        <v>15227</v>
      </c>
    </row>
    <row r="3">
      <c r="A3" s="0" t="s">
        <v>15228</v>
      </c>
    </row>
    <row r="4">
      <c r="A4" s="0" t="s">
        <v>15229</v>
      </c>
    </row>
    <row r="5">
      <c r="A5" s="0" t="s">
        <v>15230</v>
      </c>
    </row>
    <row r="6">
      <c r="A6" s="0" t="s">
        <v>15231</v>
      </c>
    </row>
    <row r="7">
      <c r="A7" s="0" t="s">
        <v>15232</v>
      </c>
    </row>
    <row r="8">
      <c r="A8" s="0" t="s">
        <v>15233</v>
      </c>
    </row>
    <row r="9">
      <c r="A9" s="0" t="s">
        <v>15234</v>
      </c>
    </row>
    <row r="10">
      <c r="A10" s="0" t="s">
        <v>15235</v>
      </c>
    </row>
    <row r="11">
      <c r="A11" s="0" t="s">
        <v>15236</v>
      </c>
    </row>
    <row r="12">
      <c r="A12" s="0" t="s">
        <v>15237</v>
      </c>
    </row>
    <row r="13">
      <c r="A13" s="0" t="s">
        <v>15238</v>
      </c>
    </row>
    <row r="14">
      <c r="A14" s="0" t="s">
        <v>15239</v>
      </c>
    </row>
    <row r="15">
      <c r="A15" s="0" t="s">
        <v>15240</v>
      </c>
    </row>
    <row r="16">
      <c r="A16" s="0" t="s">
        <v>15241</v>
      </c>
    </row>
    <row r="17">
      <c r="A17" s="0" t="s">
        <v>15242</v>
      </c>
    </row>
    <row r="18">
      <c r="A18" s="0" t="s">
        <v>15243</v>
      </c>
    </row>
    <row r="19">
      <c r="A19" s="0" t="s">
        <v>15244</v>
      </c>
    </row>
    <row r="20">
      <c r="A20" s="0" t="s">
        <v>15245</v>
      </c>
    </row>
    <row r="21">
      <c r="A21" s="0" t="s">
        <v>15246</v>
      </c>
    </row>
    <row r="22">
      <c r="A22" s="0" t="s">
        <v>15247</v>
      </c>
    </row>
    <row r="23">
      <c r="A23" s="0" t="s">
        <v>15248</v>
      </c>
    </row>
    <row r="24">
      <c r="A24" s="0" t="s">
        <v>15249</v>
      </c>
    </row>
    <row r="25">
      <c r="A25" s="0" t="s">
        <v>15250</v>
      </c>
    </row>
    <row r="26">
      <c r="A26" s="0" t="s">
        <v>15251</v>
      </c>
    </row>
    <row r="27">
      <c r="A27" s="0" t="s">
        <v>15252</v>
      </c>
    </row>
    <row r="28">
      <c r="A28" s="0" t="s">
        <v>15253</v>
      </c>
    </row>
    <row r="29">
      <c r="A29" s="0" t="s">
        <v>15254</v>
      </c>
    </row>
    <row r="30">
      <c r="A30" s="0" t="s">
        <v>15255</v>
      </c>
    </row>
    <row r="31">
      <c r="A31" s="0" t="s">
        <v>15256</v>
      </c>
    </row>
    <row r="32">
      <c r="A32" s="0" t="s">
        <v>15257</v>
      </c>
    </row>
    <row r="33">
      <c r="A33" s="0" t="s">
        <v>15258</v>
      </c>
    </row>
    <row r="34">
      <c r="A34" s="0" t="s">
        <v>15259</v>
      </c>
    </row>
    <row r="35">
      <c r="A35" s="0" t="s">
        <v>15260</v>
      </c>
    </row>
    <row r="36">
      <c r="A36" s="0" t="s">
        <v>15261</v>
      </c>
    </row>
    <row r="37">
      <c r="A37" s="0" t="s">
        <v>15262</v>
      </c>
    </row>
    <row r="38">
      <c r="A38" s="0" t="s">
        <v>15263</v>
      </c>
    </row>
    <row r="39">
      <c r="A39" s="0" t="s">
        <v>15264</v>
      </c>
    </row>
    <row r="40">
      <c r="A40" s="0" t="s">
        <v>15265</v>
      </c>
    </row>
    <row r="41">
      <c r="A41" s="0" t="s">
        <v>15266</v>
      </c>
    </row>
    <row r="42">
      <c r="A42" s="0" t="s">
        <v>15267</v>
      </c>
    </row>
    <row r="43">
      <c r="A43" s="0" t="s">
        <v>15268</v>
      </c>
    </row>
    <row r="44">
      <c r="A44" s="0" t="s">
        <v>15269</v>
      </c>
    </row>
    <row r="45">
      <c r="A45" s="0" t="s">
        <v>15270</v>
      </c>
    </row>
    <row r="46">
      <c r="A46" s="0" t="s">
        <v>15271</v>
      </c>
    </row>
    <row r="47">
      <c r="A47" s="0" t="s">
        <v>15272</v>
      </c>
    </row>
    <row r="48">
      <c r="A48" s="0" t="s">
        <v>15273</v>
      </c>
    </row>
    <row r="49">
      <c r="A49" s="0" t="s">
        <v>15274</v>
      </c>
    </row>
    <row r="50">
      <c r="A50" s="0" t="s">
        <v>15275</v>
      </c>
    </row>
    <row r="51">
      <c r="A51" s="0" t="s">
        <v>15276</v>
      </c>
    </row>
    <row r="52">
      <c r="A52" s="0" t="s">
        <v>15277</v>
      </c>
    </row>
    <row r="53">
      <c r="A53" s="0" t="s">
        <v>15278</v>
      </c>
    </row>
    <row r="54">
      <c r="A54" s="0" t="s">
        <v>15279</v>
      </c>
    </row>
    <row r="55">
      <c r="A55" s="0" t="s">
        <v>15280</v>
      </c>
    </row>
    <row r="56">
      <c r="A56" s="0" t="s">
        <v>15281</v>
      </c>
    </row>
    <row r="57">
      <c r="A57" s="0" t="s">
        <v>15282</v>
      </c>
    </row>
    <row r="58">
      <c r="A58" s="0" t="s">
        <v>15283</v>
      </c>
    </row>
    <row r="59">
      <c r="A59" s="0" t="s">
        <v>15284</v>
      </c>
    </row>
    <row r="60">
      <c r="A60" s="0" t="s">
        <v>15285</v>
      </c>
    </row>
    <row r="61">
      <c r="A61" s="0" t="s">
        <v>15286</v>
      </c>
    </row>
    <row r="62">
      <c r="A62" s="0" t="s">
        <v>15287</v>
      </c>
    </row>
    <row r="63">
      <c r="A63" s="0" t="s">
        <v>15288</v>
      </c>
    </row>
    <row r="64">
      <c r="A64" s="0" t="s">
        <v>15289</v>
      </c>
    </row>
    <row r="65">
      <c r="A65" s="0" t="s">
        <v>15290</v>
      </c>
    </row>
    <row r="66">
      <c r="A66" s="0" t="s">
        <v>15291</v>
      </c>
    </row>
    <row r="67">
      <c r="A67" s="0" t="s">
        <v>15292</v>
      </c>
    </row>
    <row r="68">
      <c r="A68" s="0" t="s">
        <v>15293</v>
      </c>
    </row>
    <row r="69">
      <c r="A69" s="0" t="s">
        <v>15294</v>
      </c>
    </row>
    <row r="70">
      <c r="A70" s="0" t="s">
        <v>15295</v>
      </c>
    </row>
    <row r="71">
      <c r="A71" s="0" t="s">
        <v>15296</v>
      </c>
    </row>
    <row r="72">
      <c r="A72" s="0" t="s">
        <v>15297</v>
      </c>
    </row>
    <row r="73">
      <c r="A73" s="0" t="s">
        <v>15298</v>
      </c>
    </row>
    <row r="74">
      <c r="A74" s="0" t="s">
        <v>15299</v>
      </c>
    </row>
    <row r="75">
      <c r="A75" s="0" t="s">
        <v>15300</v>
      </c>
    </row>
    <row r="76">
      <c r="A76" s="0" t="s">
        <v>15301</v>
      </c>
    </row>
    <row r="77">
      <c r="A77" s="0" t="s">
        <v>15302</v>
      </c>
    </row>
    <row r="78">
      <c r="A78" s="0" t="s">
        <v>15303</v>
      </c>
    </row>
    <row r="79">
      <c r="A79" s="0" t="s">
        <v>15304</v>
      </c>
    </row>
    <row r="80">
      <c r="A80" s="0" t="s">
        <v>15305</v>
      </c>
    </row>
    <row r="81">
      <c r="A81" s="0" t="s">
        <v>15306</v>
      </c>
    </row>
    <row r="82">
      <c r="A82" s="0" t="s">
        <v>15307</v>
      </c>
    </row>
    <row r="83">
      <c r="A83" s="0" t="s">
        <v>15308</v>
      </c>
    </row>
    <row r="84">
      <c r="A84" s="0" t="s">
        <v>15309</v>
      </c>
    </row>
    <row r="85">
      <c r="A85" s="0" t="s">
        <v>15310</v>
      </c>
    </row>
    <row r="86">
      <c r="A86" s="0" t="s">
        <v>15311</v>
      </c>
    </row>
    <row r="87">
      <c r="A87" s="0" t="s">
        <v>15312</v>
      </c>
    </row>
    <row r="88">
      <c r="A88" s="0" t="s">
        <v>15313</v>
      </c>
    </row>
    <row r="89">
      <c r="A89" s="0" t="s">
        <v>15314</v>
      </c>
    </row>
    <row r="90">
      <c r="A90" s="0" t="s">
        <v>15315</v>
      </c>
    </row>
    <row r="91">
      <c r="A91" s="0" t="s">
        <v>15316</v>
      </c>
    </row>
    <row r="92">
      <c r="A92" s="0" t="s">
        <v>15317</v>
      </c>
    </row>
    <row r="93">
      <c r="A93" s="0" t="s">
        <v>15318</v>
      </c>
    </row>
    <row r="94">
      <c r="A94" s="0" t="s">
        <v>15319</v>
      </c>
    </row>
    <row r="95">
      <c r="A95" s="0" t="s">
        <v>15320</v>
      </c>
    </row>
    <row r="96">
      <c r="A96" s="0" t="s">
        <v>15321</v>
      </c>
    </row>
    <row r="97">
      <c r="A97" s="0" t="s">
        <v>15322</v>
      </c>
    </row>
    <row r="98">
      <c r="A98" s="0" t="s">
        <v>15323</v>
      </c>
    </row>
    <row r="99">
      <c r="A99" s="0" t="s">
        <v>15324</v>
      </c>
    </row>
    <row r="100">
      <c r="A100" s="0" t="s">
        <v>15325</v>
      </c>
    </row>
    <row r="101">
      <c r="A101" s="0" t="s">
        <v>15326</v>
      </c>
    </row>
    <row r="102">
      <c r="A102" s="0" t="s">
        <v>15327</v>
      </c>
    </row>
    <row r="103">
      <c r="A103" s="0" t="s">
        <v>15328</v>
      </c>
    </row>
    <row r="104">
      <c r="A104" s="0" t="s">
        <v>15329</v>
      </c>
    </row>
    <row r="105">
      <c r="A105" s="0" t="s">
        <v>15330</v>
      </c>
    </row>
    <row r="106">
      <c r="A106" s="0" t="s">
        <v>15331</v>
      </c>
    </row>
    <row r="107">
      <c r="A107" s="0" t="s">
        <v>15332</v>
      </c>
    </row>
    <row r="108">
      <c r="A108" s="0" t="s">
        <v>15333</v>
      </c>
    </row>
    <row r="109">
      <c r="A109" s="0" t="s">
        <v>15334</v>
      </c>
    </row>
    <row r="110">
      <c r="A110" s="0" t="s">
        <v>15335</v>
      </c>
    </row>
    <row r="111">
      <c r="A111" s="0" t="s">
        <v>15336</v>
      </c>
    </row>
    <row r="112">
      <c r="A112" s="0" t="s">
        <v>15337</v>
      </c>
    </row>
    <row r="113">
      <c r="A113" s="0" t="s">
        <v>15338</v>
      </c>
    </row>
    <row r="114">
      <c r="A114" s="0" t="s">
        <v>15339</v>
      </c>
    </row>
    <row r="115">
      <c r="A115" s="0" t="s">
        <v>15340</v>
      </c>
    </row>
    <row r="116">
      <c r="A116" s="0" t="s">
        <v>15341</v>
      </c>
    </row>
    <row r="117">
      <c r="A117" s="0" t="s">
        <v>15342</v>
      </c>
    </row>
    <row r="118">
      <c r="A118" s="0" t="s">
        <v>15343</v>
      </c>
    </row>
    <row r="119">
      <c r="A119" s="0" t="s">
        <v>15344</v>
      </c>
    </row>
    <row r="120">
      <c r="A120" s="0" t="s">
        <v>15345</v>
      </c>
    </row>
    <row r="121">
      <c r="A121" s="0" t="s">
        <v>15346</v>
      </c>
    </row>
    <row r="122">
      <c r="A122" s="0" t="s">
        <v>15347</v>
      </c>
    </row>
    <row r="123">
      <c r="A123" s="0" t="s">
        <v>15348</v>
      </c>
    </row>
    <row r="124">
      <c r="A124" s="0" t="s">
        <v>15349</v>
      </c>
    </row>
    <row r="125">
      <c r="A125" s="0" t="s">
        <v>15350</v>
      </c>
    </row>
    <row r="126">
      <c r="A126" s="0" t="s">
        <v>15351</v>
      </c>
    </row>
    <row r="127">
      <c r="A127" s="0" t="s">
        <v>15352</v>
      </c>
    </row>
    <row r="128">
      <c r="A128" s="0" t="s">
        <v>15353</v>
      </c>
    </row>
    <row r="129">
      <c r="A129" s="0" t="s">
        <v>15354</v>
      </c>
    </row>
    <row r="130">
      <c r="A130" s="0" t="s">
        <v>15355</v>
      </c>
    </row>
    <row r="131">
      <c r="A131" s="0" t="s">
        <v>15356</v>
      </c>
    </row>
    <row r="132">
      <c r="A132" s="0" t="s">
        <v>15357</v>
      </c>
    </row>
    <row r="133">
      <c r="A133" s="0" t="s">
        <v>15358</v>
      </c>
    </row>
    <row r="134">
      <c r="A134" s="0" t="s">
        <v>15359</v>
      </c>
    </row>
    <row r="135">
      <c r="A135" s="0" t="s">
        <v>15360</v>
      </c>
    </row>
    <row r="136">
      <c r="A136" s="0" t="s">
        <v>15361</v>
      </c>
    </row>
    <row r="137">
      <c r="A137" s="0" t="s">
        <v>15362</v>
      </c>
    </row>
    <row r="138">
      <c r="A138" s="0" t="s">
        <v>15363</v>
      </c>
    </row>
    <row r="139">
      <c r="A139" s="0" t="s">
        <v>15364</v>
      </c>
    </row>
    <row r="140">
      <c r="A140" s="0" t="s">
        <v>15365</v>
      </c>
    </row>
    <row r="141">
      <c r="A141" s="0" t="s">
        <v>15366</v>
      </c>
    </row>
    <row r="142">
      <c r="A142" s="0" t="s">
        <v>15367</v>
      </c>
    </row>
    <row r="143">
      <c r="A143" s="0" t="s">
        <v>15368</v>
      </c>
    </row>
    <row r="144">
      <c r="A144" s="0" t="s">
        <v>15369</v>
      </c>
    </row>
    <row r="145">
      <c r="A145" s="0" t="s">
        <v>15370</v>
      </c>
    </row>
    <row r="146">
      <c r="A146" s="0" t="s">
        <v>15371</v>
      </c>
    </row>
    <row r="147">
      <c r="A147" s="0" t="s">
        <v>15372</v>
      </c>
    </row>
    <row r="148">
      <c r="A148" s="0" t="s">
        <v>15373</v>
      </c>
    </row>
    <row r="149">
      <c r="A149" s="0" t="s">
        <v>15374</v>
      </c>
    </row>
    <row r="150">
      <c r="A150" s="0" t="s">
        <v>15375</v>
      </c>
    </row>
    <row r="151">
      <c r="A151" s="0" t="s">
        <v>15376</v>
      </c>
    </row>
    <row r="152">
      <c r="A152" s="0" t="s">
        <v>15377</v>
      </c>
    </row>
    <row r="153">
      <c r="A153" s="0" t="s">
        <v>15378</v>
      </c>
    </row>
    <row r="154">
      <c r="A154" s="0" t="s">
        <v>15379</v>
      </c>
    </row>
    <row r="155">
      <c r="A155" s="0" t="s">
        <v>15380</v>
      </c>
    </row>
    <row r="156">
      <c r="A156" s="0" t="s">
        <v>15381</v>
      </c>
    </row>
    <row r="157">
      <c r="A157" s="0" t="s">
        <v>15382</v>
      </c>
    </row>
    <row r="158">
      <c r="A158" s="0" t="s">
        <v>15383</v>
      </c>
    </row>
    <row r="159">
      <c r="A159" s="0" t="s">
        <v>15384</v>
      </c>
    </row>
    <row r="160">
      <c r="A160" s="0" t="s">
        <v>15385</v>
      </c>
    </row>
    <row r="161">
      <c r="A161" s="0" t="s">
        <v>15386</v>
      </c>
    </row>
    <row r="162">
      <c r="A162" s="0" t="s">
        <v>15387</v>
      </c>
    </row>
    <row r="163">
      <c r="A163" s="0" t="s">
        <v>15388</v>
      </c>
    </row>
    <row r="164">
      <c r="A164" s="0" t="s">
        <v>15389</v>
      </c>
    </row>
    <row r="165">
      <c r="A165" s="0" t="s">
        <v>15390</v>
      </c>
    </row>
    <row r="166">
      <c r="A166" s="0" t="s">
        <v>15391</v>
      </c>
    </row>
    <row r="167">
      <c r="A167" s="0" t="s">
        <v>15392</v>
      </c>
    </row>
    <row r="168">
      <c r="A168" s="0" t="s">
        <v>15393</v>
      </c>
    </row>
    <row r="169">
      <c r="A169" s="0" t="s">
        <v>15394</v>
      </c>
    </row>
    <row r="170">
      <c r="A170" s="0" t="s">
        <v>15395</v>
      </c>
    </row>
    <row r="171">
      <c r="A171" s="0" t="s">
        <v>15396</v>
      </c>
    </row>
    <row r="172">
      <c r="A172" s="0" t="s">
        <v>15397</v>
      </c>
    </row>
    <row r="173">
      <c r="A173" s="0" t="s">
        <v>15398</v>
      </c>
    </row>
    <row r="174">
      <c r="A174" s="0" t="s">
        <v>15399</v>
      </c>
    </row>
    <row r="175">
      <c r="A175" s="0" t="s">
        <v>15400</v>
      </c>
    </row>
    <row r="176">
      <c r="A176" s="0" t="s">
        <v>15401</v>
      </c>
    </row>
    <row r="177">
      <c r="A177" s="0" t="s">
        <v>15402</v>
      </c>
    </row>
    <row r="178">
      <c r="A178" s="0" t="s">
        <v>15403</v>
      </c>
    </row>
    <row r="179">
      <c r="A179" s="0" t="s">
        <v>15404</v>
      </c>
    </row>
    <row r="180">
      <c r="A180" s="0" t="s">
        <v>15405</v>
      </c>
    </row>
    <row r="181">
      <c r="A181" s="0" t="s">
        <v>15406</v>
      </c>
    </row>
    <row r="182">
      <c r="A182" s="0" t="s">
        <v>15407</v>
      </c>
    </row>
    <row r="183">
      <c r="A183" s="0" t="s">
        <v>15408</v>
      </c>
    </row>
    <row r="184">
      <c r="A184" s="0" t="s">
        <v>15409</v>
      </c>
    </row>
    <row r="185">
      <c r="A185" s="0" t="s">
        <v>15410</v>
      </c>
    </row>
    <row r="186">
      <c r="A186" s="0" t="s">
        <v>15411</v>
      </c>
    </row>
    <row r="187">
      <c r="A187" s="0" t="s">
        <v>15412</v>
      </c>
    </row>
    <row r="188">
      <c r="A188" s="0" t="s">
        <v>15413</v>
      </c>
    </row>
    <row r="189">
      <c r="A189" s="0" t="s">
        <v>15414</v>
      </c>
    </row>
    <row r="190">
      <c r="A190" s="0" t="s">
        <v>15415</v>
      </c>
    </row>
    <row r="191">
      <c r="A191" s="0" t="s">
        <v>15416</v>
      </c>
    </row>
    <row r="192">
      <c r="A192" s="0" t="s">
        <v>15417</v>
      </c>
    </row>
    <row r="193">
      <c r="A193" s="0" t="s">
        <v>15418</v>
      </c>
    </row>
    <row r="194">
      <c r="A194" s="0" t="s">
        <v>15419</v>
      </c>
    </row>
    <row r="195">
      <c r="A195" s="0" t="s">
        <v>15420</v>
      </c>
    </row>
    <row r="196">
      <c r="A196" s="0" t="s">
        <v>15421</v>
      </c>
    </row>
    <row r="197">
      <c r="A197" s="0" t="s">
        <v>15422</v>
      </c>
    </row>
    <row r="198">
      <c r="A198" s="0" t="s">
        <v>15423</v>
      </c>
    </row>
    <row r="199">
      <c r="A199" s="0" t="s">
        <v>15424</v>
      </c>
    </row>
    <row r="200">
      <c r="A200" s="0" t="s">
        <v>15425</v>
      </c>
    </row>
    <row r="201">
      <c r="A201" s="0" t="s">
        <v>15426</v>
      </c>
    </row>
    <row r="202">
      <c r="A202" s="0" t="s">
        <v>15427</v>
      </c>
    </row>
    <row r="203">
      <c r="A203" s="0" t="s">
        <v>15428</v>
      </c>
    </row>
    <row r="204">
      <c r="A204" s="0" t="s">
        <v>15429</v>
      </c>
    </row>
    <row r="205">
      <c r="A205" s="0" t="s">
        <v>15430</v>
      </c>
    </row>
    <row r="206">
      <c r="A206" s="0" t="s">
        <v>15431</v>
      </c>
    </row>
    <row r="207">
      <c r="A207" s="0" t="s">
        <v>15432</v>
      </c>
    </row>
    <row r="208">
      <c r="A208" s="0" t="s">
        <v>15433</v>
      </c>
    </row>
    <row r="209">
      <c r="A209" s="0" t="s">
        <v>15434</v>
      </c>
    </row>
    <row r="210">
      <c r="A210" s="0" t="s">
        <v>15435</v>
      </c>
    </row>
    <row r="211">
      <c r="A211" s="0" t="s">
        <v>15436</v>
      </c>
    </row>
    <row r="212">
      <c r="A212" s="0" t="s">
        <v>15437</v>
      </c>
    </row>
    <row r="213">
      <c r="A213" s="0" t="s">
        <v>15438</v>
      </c>
    </row>
    <row r="214">
      <c r="A214" s="0" t="s">
        <v>15439</v>
      </c>
    </row>
    <row r="215">
      <c r="A215" s="0" t="s">
        <v>15440</v>
      </c>
    </row>
    <row r="216">
      <c r="A216" s="0" t="s">
        <v>15441</v>
      </c>
    </row>
    <row r="217">
      <c r="A217" s="0" t="s">
        <v>15442</v>
      </c>
    </row>
    <row r="218">
      <c r="A218" s="0" t="s">
        <v>15443</v>
      </c>
    </row>
    <row r="219">
      <c r="A219" s="0" t="s">
        <v>15444</v>
      </c>
    </row>
    <row r="220">
      <c r="A220" s="0" t="s">
        <v>15445</v>
      </c>
    </row>
    <row r="221">
      <c r="A221" s="0" t="s">
        <v>15446</v>
      </c>
    </row>
    <row r="222">
      <c r="A222" s="0" t="s">
        <v>15447</v>
      </c>
    </row>
    <row r="223">
      <c r="A223" s="0" t="s">
        <v>15448</v>
      </c>
    </row>
    <row r="224">
      <c r="A224" s="0" t="s">
        <v>15449</v>
      </c>
    </row>
    <row r="225">
      <c r="A225" s="0" t="s">
        <v>15450</v>
      </c>
    </row>
    <row r="226">
      <c r="A226" s="0" t="s">
        <v>15451</v>
      </c>
    </row>
    <row r="227">
      <c r="A227" s="0" t="s">
        <v>15452</v>
      </c>
    </row>
    <row r="228">
      <c r="A228" s="0" t="s">
        <v>15453</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property fmtid="{D5CDD505-2E9C-101B-9397-08002B2CF9AE}" pid="2" name="erb.formula.RulebookReleases.Name">
    <vt:lpwstr>C2 &amp; " / PKO " &amp; F2</vt:lpwstr>
  </property>
  <property fmtid="{D5CDD505-2E9C-101B-9397-08002B2CF9AE}" pid="3" name="erb.table.RulebookReleases.description">
    <vt:lpwstr>Version ledger for the canonical ERB-PKO rulebook itself. This is distinct from PKO Procedure versioning.</vt:lpwstr>
  </property>
  <property fmtid="{D5CDD505-2E9C-101B-9397-08002B2CF9AE}" pid="4" name="erb.formula.OntologyProfiles.Name">
    <vt:lpwstr>C2 &amp; " " &amp; D2</vt:lpwstr>
  </property>
  <property fmtid="{D5CDD505-2E9C-101B-9397-08002B2CF9AE}" pid="5" name="erb.table.OntologyProfiles.description">
    <vt:lpwstr>Versioned ontology and vocabulary dependencies. PKO mappings always identify the exact profile and version.</vt:lpwstr>
  </property>
  <property fmtid="{D5CDD505-2E9C-101B-9397-08002B2CF9AE}" pid="6" name="erb.formula.EvaluationContexts.Name">
    <vt:lpwstr>C2 &amp; " @ " &amp; IF(((D2="")=TRUE),  "",  TEXT(D2, "yyyy-mm-dd\Thh:mm:ss")&amp;"+00:00")</vt:lpwstr>
  </property>
  <property fmtid="{D5CDD505-2E9C-101B-9397-08002B2CF9AE}" pid="7" name="erb.table.EvaluationContexts.description#1">
    <vt:lpwstr>The instant this rulebook's time-dependent witnesses are evaluated against. Modeled as data rather than wall-clock so every freshness, overdue, and validity answer is reproducible and auditable: asking the same question tomorrow yields the same answe</vt:lpwstr>
  </property>
  <property fmtid="{D5CDD505-2E9C-101B-9397-08002B2CF9AE}" pid="8" name="erb.table.EvaluationContexts.description#2">
    <vt:lpwstr>r. Exactly one row carries IsCurrent.</vt:lpwstr>
  </property>
  <property fmtid="{D5CDD505-2E9C-101B-9397-08002B2CF9AE}" pid="9" name="erb.formula.Organizations.Name">
    <vt:lpwstr>C2</vt:lpwstr>
  </property>
  <property fmtid="{D5CDD505-2E9C-101B-9397-08002B2CF9AE}" pid="10" name="erb.table.Organizations.description">
    <vt:lpwstr>Organizations that own, adopt, govern, or execute procedures. Maps to prov:Organization.</vt:lpwstr>
  </property>
  <property fmtid="{D5CDD505-2E9C-101B-9397-08002B2CF9AE}" pid="11" name="erb.formula.Agents.Name">
    <vt:lpwstr>C2</vt:lpwstr>
  </property>
  <property fmtid="{D5CDD505-2E9C-101B-9397-08002B2CF9AE}" pid="12" name="erb.formula.Agents.CountOfCurrentRoleAssignments">
    <vt:lpwstr>IF((COUNTIFS(RoleAssignments!L2:L14, A2))="", "", ROUND((COUNTIFS(RoleAssignments!L2:L14, A2)), 0))</vt:lpwstr>
  </property>
  <property fmtid="{D5CDD505-2E9C-101B-9397-08002B2CF9AE}" pid="13" name="erb.formula.Agents.IsStillEngaged">
    <vt:lpwstr>H2 &gt; 0</vt:lpwstr>
  </property>
  <property fmtid="{D5CDD505-2E9C-101B-9397-08002B2CF9AE}" pid="14" name="erb.formula.Agents.DecisionCount">
    <vt:lpwstr>COUNTIFS(AgentDecisionRecords!D2:D4, A2)</vt:lpwstr>
  </property>
  <property fmtid="{D5CDD505-2E9C-101B-9397-08002B2CF9AE}" pid="15" name="erb.formula.Agents.OverriddenDecisionCount">
    <vt:lpwstr>COUNTIFS(AgentDecisionRecords!O2:O4, A2)</vt:lpwstr>
  </property>
  <property fmtid="{D5CDD505-2E9C-101B-9397-08002B2CF9AE}" pid="16" name="erb.formula.Agents.OverrideRatePercent">
    <vt:lpwstr>IF(((J2 = 0)=TRUE),  0,  (K2 * 100) / J2)</vt:lpwstr>
  </property>
  <property fmtid="{D5CDD505-2E9C-101B-9397-08002B2CF9AE}" pid="17" name="erb.formula.Agents.IsNonHuman">
    <vt:lpwstr>NOT(((D2 = "Human")=TRUE))</vt:lpwstr>
  </property>
  <property fmtid="{D5CDD505-2E9C-101B-9397-08002B2CF9AE}" pid="18" name="erb.formula.Agents.BoundaryViolationCount">
    <vt:lpwstr>COUNTIFS(AgentDecisionRecords!AB2:AB4, A2)</vt:lpwstr>
  </property>
  <property fmtid="{D5CDD505-2E9C-101B-9397-08002B2CF9AE}" pid="19" name="erb.formula.Agents.IsOperatingOutsideBoundary">
    <vt:lpwstr>N2 &gt; 0</vt:lpwstr>
  </property>
  <property fmtid="{D5CDD505-2E9C-101B-9397-08002B2CF9AE}" pid="20" name="erb.formula.Agents.DraftDecisionCount">
    <vt:lpwstr>COUNTIFS(AgentDecisionRecords!AF2:AF4, A2)</vt:lpwstr>
  </property>
  <property fmtid="{D5CDD505-2E9C-101B-9397-08002B2CF9AE}" pid="21" name="erb.formula.Agents.OverriddenDraftCount">
    <vt:lpwstr>COUNTIFS(AgentDecisionRecords!AE2:AE4, A2)</vt:lpwstr>
  </property>
  <property fmtid="{D5CDD505-2E9C-101B-9397-08002B2CF9AE}" pid="22" name="erb.formula.Agents.DraftRewriteRatePercent">
    <vt:lpwstr>IF(((P2 = 0)=TRUE),  0,  (Q2 * 100) / P2)</vt:lpwstr>
  </property>
  <property fmtid="{D5CDD505-2E9C-101B-9397-08002B2CF9AE}" pid="23" name="erb.formula.Agents.TimesNamedAsBroker">
    <vt:lpwstr>COUNTIFS(KnowledgeBrokerLinks!N2:N6, A2)</vt:lpwstr>
  </property>
  <property fmtid="{D5CDD505-2E9C-101B-9397-08002B2CF9AE}" pid="24" name="erb.formula.Agents.IsRecognizedBroker">
    <vt:lpwstr>S2 &gt;= 3</vt:lpwstr>
  </property>
  <property fmtid="{D5CDD505-2E9C-101B-9397-08002B2CF9AE}" pid="25" name="erb.formula.Agents.AtRiskRelianceCount">
    <vt:lpwstr>COUNTIFS(KnowledgeBrokerLinks!O2:O6, A2)</vt:lpwstr>
  </property>
  <property fmtid="{D5CDD505-2E9C-101B-9397-08002B2CF9AE}" pid="26" name="erb.formula.Agents.HasAtRiskKnowledgeReliance">
    <vt:lpwstr>U2 &gt; 0</vt:lpwstr>
  </property>
  <property fmtid="{D5CDD505-2E9C-101B-9397-08002B2CF9AE}" pid="27" name="erb.table.Agents.description">
    <vt:lpwstr>Human and software agents that create, modify, approve, or execute procedural knowledge. Maps to prov:Agent.</vt:lpwstr>
  </property>
  <property fmtid="{D5CDD505-2E9C-101B-9397-08002B2CF9AE}" pid="28" name="erb.formula.Roles.Name">
    <vt:lpwstr>C2</vt:lpwstr>
  </property>
  <property fmtid="{D5CDD505-2E9C-101B-9397-08002B2CF9AE}" pid="29" name="erb.formula.Roles.CurrentAgentKind">
    <vt:lpwstr>IFNA(IF(((INDEX(Agents!D2:D12, MATCH(E2,Agents!A2:A12, 0))="")=TRUE),  "",  INDEX(Agents!D2:D12, MATCH(E2,Agents!A2:A12, 0))), "")</vt:lpwstr>
  </property>
  <property fmtid="{D5CDD505-2E9C-101B-9397-08002B2CF9AE}" pid="30" name="erb.formula.Roles.ActiveAssignmentCount">
    <vt:lpwstr>COUNTIFS(RoleAssignments!C2:C14, A2)</vt:lpwstr>
  </property>
  <property fmtid="{D5CDD505-2E9C-101B-9397-08002B2CF9AE}" pid="31" name="erb.formula.Roles.CurrentlyCoveredAssignmentCount">
    <vt:lpwstr>COUNTIFS(RoleAssignments!Q2:Q14, A2)</vt:lpwstr>
  </property>
  <property fmtid="{D5CDD505-2E9C-101B-9397-08002B2CF9AE}" pid="32" name="erb.formula.Roles.HasNoCurrentHolder">
    <vt:lpwstr>I2 = 0</vt:lpwstr>
  </property>
  <property fmtid="{D5CDD505-2E9C-101B-9397-08002B2CF9AE}" pid="33" name="erb.formula.Roles.CountOfAwaitedDecisions">
    <vt:lpwstr>IF((COUNTIFS(ChangeRequests!H2:H3,A2))="", "", ROUND((COUNTIFS(ChangeRequests!H2:H3,A2)), 0))</vt:lpwstr>
  </property>
  <property fmtid="{D5CDD505-2E9C-101B-9397-08002B2CF9AE}" pid="34" name="erb.formula.Roles.CurrentAssignmentValidFrom">
    <vt:lpwstr>IFNA(IF(((INDEX(RoleAssignments!E2:E14, MATCH(L2,RoleAssignments!A2:A14, 0))="")=TRUE),  "",  INDEX(RoleAssignments!E2:E14, MATCH(L2,RoleAssignments!A2:A14, 0))), "")</vt:lpwstr>
  </property>
  <property fmtid="{D5CDD505-2E9C-101B-9397-08002B2CF9AE}" pid="35" name="erb.formula.Roles.IsNonHumanHeld">
    <vt:lpwstr>NOT(((F2 = "Human")=TRUE))</vt:lpwstr>
  </property>
  <property fmtid="{D5CDD505-2E9C-101B-9397-08002B2CF9AE}" pid="36" name="erb.formula.Roles.IsUngovernedNonHumanRole">
    <vt:lpwstr>AND(((N2)=TRUE), ((J2)=TRUE))</vt:lpwstr>
  </property>
  <property fmtid="{D5CDD505-2E9C-101B-9397-08002B2CF9AE}" pid="37" name="erb.formula.Roles.DepartedAssignmentCount">
    <vt:lpwstr>COUNTIFS(RoleAssignments!AF2:AF14, A2)</vt:lpwstr>
  </property>
  <property fmtid="{D5CDD505-2E9C-101B-9397-08002B2CF9AE}" pid="38" name="erb.formula.Roles.HasLostAHolder">
    <vt:lpwstr>P2 &gt; 0</vt:lpwstr>
  </property>
  <property fmtid="{D5CDD505-2E9C-101B-9397-08002B2CF9AE}" pid="39" name="erb.formula.Roles.IsVacatedRole">
    <vt:lpwstr>AND(((Q2)=TRUE), ((J2)=TRUE))</vt:lpwstr>
  </property>
  <property fmtid="{D5CDD505-2E9C-101B-9397-08002B2CF9AE}" pid="40" name="erb.formula.Roles.UngroundedBoundaryCount">
    <vt:lpwstr>COUNTIFS(AuthorityBoundaries!AF2:AF4, A2)</vt:lpwstr>
  </property>
  <property fmtid="{D5CDD505-2E9C-101B-9397-08002B2CF9AE}" pid="41" name="erb.formula.Roles.IsGovernedByLapsedAuthority">
    <vt:lpwstr>(S2 &gt; 0)</vt:lpwstr>
  </property>
  <property fmtid="{D5CDD505-2E9C-101B-9397-08002B2CF9AE}" pid="42" name="erb.formula.Roles.UnescalatedRefusalCount">
    <vt:lpwstr>COUNTIFS(SendIntents!BY2:BY8, A2)</vt:lpwstr>
  </property>
  <property fmtid="{D5CDD505-2E9C-101B-9397-08002B2CF9AE}" pid="43" name="erb.formula.Roles.UnauthorizedEnforcementAssignmentCount">
    <vt:lpwstr>COUNTIFS(RoleAssignments!BL2:BL14, A2)</vt:lpwstr>
  </property>
  <property fmtid="{D5CDD505-2E9C-101B-9397-08002B2CF9AE}" pid="44" name="erb.formula.Roles.IsUngovernedEnforcementRole">
    <vt:lpwstr>(V2 &gt; 0)</vt:lpwstr>
  </property>
  <property fmtid="{D5CDD505-2E9C-101B-9397-08002B2CF9AE}" pid="45" name="erb.table.Roles.description">
    <vt:lpwstr>Stable organizational functions separated from the agents that currently fill them. Maps to pro:Role.</vt:lpwstr>
  </property>
  <property fmtid="{D5CDD505-2E9C-101B-9397-08002B2CF9AE}" pid="46" name="erb.formula.RoleAssignments.Name">
    <vt:lpwstr>C2 &amp; " @ " &amp; IF(((E2="")=TRUE),  "",  TEXT(E2, "yyyy-mm-dd\Thh:mm:ss")&amp;"+00:00")</vt:lpwstr>
  </property>
  <property fmtid="{D5CDD505-2E9C-101B-9397-08002B2CF9AE}" pid="47" name="erb.formula.RoleAssignments.AsOfInstant">
    <vt:lpwstr>IFNA(IF(((INDEX(EvaluationContexts!D2:D2, MATCH(I2,EvaluationContexts!A2:A2, 0))="")=TRUE),  "",  INDEX(EvaluationContexts!D2:D2, MATCH(I2,EvaluationContexts!A2:A2, 0))), "")</vt:lpwstr>
  </property>
  <property fmtid="{D5CDD505-2E9C-101B-9397-08002B2CF9AE}" pid="48" name="erb.formula.RoleAssignments.IsCurrent">
    <vt:lpwstr>AND(((E2 &lt;= J2)=TRUE), ((OR(((F2 = "")=TRUE), ((F2 &gt; J2)=TRUE)))=TRUE))</vt:lpwstr>
  </property>
  <property fmtid="{D5CDD505-2E9C-101B-9397-08002B2CF9AE}" pid="49" name="erb.formula.RoleAssignments.CurrentAgentKey">
    <vt:lpwstr>IF(((K2)=TRUE),  D2,  "")</vt:lpwstr>
  </property>
  <property fmtid="{D5CDD505-2E9C-101B-9397-08002B2CF9AE}" pid="50" name="erb.formula.RoleAssignments.IsCurrentlyValid">
    <vt:lpwstr>AND(((H2 = "Active")=TRUE), ((OR(((F2 = "")=TRUE), ((F2 &gt; J2)=TRUE)))=TRUE))</vt:lpwstr>
  </property>
  <property fmtid="{D5CDD505-2E9C-101B-9397-08002B2CF9AE}" pid="51" name="erb.formula.RoleAssignments.AgentRoleKey">
    <vt:lpwstr>IF(((M2)=TRUE),  D2 &amp; "|" &amp; C2,  "")</vt:lpwstr>
  </property>
  <property fmtid="{D5CDD505-2E9C-101B-9397-08002B2CF9AE}" pid="52" name="erb.formula.RoleAssignments.HasDeparted">
    <vt:lpwstr>AND(((F2 &lt;&gt; "")=TRUE), ((F2 &lt;= J2)=TRUE))</vt:lpwstr>
  </property>
  <property fmtid="{D5CDD505-2E9C-101B-9397-08002B2CF9AE}" pid="53" name="erb.formula.RoleAssignments.CoversNow">
    <vt:lpwstr>AND(((H2 = "Active")=TRUE), ((E2 &lt;= J2)=TRUE), ((OR(((F2 = "")=TRUE), ((F2 &gt; J2)=TRUE)))=TRUE))</vt:lpwstr>
  </property>
  <property fmtid="{D5CDD505-2E9C-101B-9397-08002B2CF9AE}" pid="54" name="erb.formula.RoleAssignments.RoleWhenCovering">
    <vt:lpwstr>IF(((P2)=TRUE),  C2,  "")</vt:lpwstr>
  </property>
  <property fmtid="{D5CDD505-2E9C-101B-9397-08002B2CF9AE}" pid="55" name="erb.formula.RoleAssignments.AgentKind">
    <vt:lpwstr>IFNA(IF(((INDEX(Agents!D2:D12, MATCH(D2,Agents!A2:A12, 0))="")=TRUE),  "",  INDEX(Agents!D2:D12, MATCH(D2,Agents!A2:A12, 0))), "")</vt:lpwstr>
  </property>
  <property fmtid="{D5CDD505-2E9C-101B-9397-08002B2CF9AE}" pid="56" name="erb.formula.RoleAssignments.IsNonHumanAssignment">
    <vt:lpwstr>NOT(((R2 = "Human")=TRUE))</vt:lpwstr>
  </property>
  <property fmtid="{D5CDD505-2E9C-101B-9397-08002B2CF9AE}" pid="57" name="erb.formula.RoleAssignments.PredecessorAgentKind">
    <vt:lpwstr>IFNA(IF(((INDEX(R2, MATCH(T2,A2, 0))="")=TRUE),  "",  INDEX(R2, MATCH(T2,A2, 0))), "")</vt:lpwstr>
  </property>
  <property fmtid="{D5CDD505-2E9C-101B-9397-08002B2CF9AE}" pid="58" name="erb.formula.RoleAssignments.IsHumanToNonHumanHandover">
    <vt:lpwstr>AND(((U2 = "Human")=TRUE), ((S2)=TRUE))</vt:lpwstr>
  </property>
  <property fmtid="{D5CDD505-2E9C-101B-9397-08002B2CF9AE}" pid="59" name="erb.formula.RoleAssignments.IsUnauthorizedNonHumanAssignment">
    <vt:lpwstr>AND(((S2)=TRUE), ((NOT(((BG2)=TRUE)))=TRUE))</vt:lpwstr>
  </property>
  <property fmtid="{D5CDD505-2E9C-101B-9397-08002B2CF9AE}" pid="60" name="erb.formula.RoleAssignments.WasAuthorizedByChangeRequest">
    <vt:lpwstr>AND(((BG2)=TRUE), ((X2 &lt;&gt; "")=TRUE))</vt:lpwstr>
  </property>
  <property fmtid="{D5CDD505-2E9C-101B-9397-08002B2CF9AE}" pid="61" name="erb.formula.RoleAssignments.DecisionCount">
    <vt:lpwstr>COUNTIFS(AgentDecisionRecords!Q2:Q4, A2)</vt:lpwstr>
  </property>
  <property fmtid="{D5CDD505-2E9C-101B-9397-08002B2CF9AE}" pid="62" name="erb.formula.RoleAssignments.OverriddenDecisionCount">
    <vt:lpwstr>COUNTIFS(AgentDecisionRecords!R2:R4, A2)</vt:lpwstr>
  </property>
  <property fmtid="{D5CDD505-2E9C-101B-9397-08002B2CF9AE}" pid="63" name="erb.formula.RoleAssignments.OverrideRatePercent">
    <vt:lpwstr>IF(((AA2 = 0)=TRUE),  0,  (AB2 * 100) / AA2)</vt:lpwstr>
  </property>
  <property fmtid="{D5CDD505-2E9C-101B-9397-08002B2CF9AE}" pid="64" name="erb.formula.RoleAssignments.PredecessorOverrideRatePercent">
    <vt:lpwstr>IFNA(IF(((INDEX(AC2, MATCH(T2,A2, 0))="")=TRUE),  "",  INDEX(AC2, MATCH(T2,A2, 0))), "")</vt:lpwstr>
  </property>
  <property fmtid="{D5CDD505-2E9C-101B-9397-08002B2CF9AE}" pid="65" name="erb.formula.RoleAssignments.QualityRegressedVsPredecessor">
    <vt:lpwstr>AND(((T2 &lt;&gt; "")=TRUE), ((AC2 &gt; AD2)=TRUE))</vt:lpwstr>
  </property>
  <property fmtid="{D5CDD505-2E9C-101B-9397-08002B2CF9AE}" pid="66" name="erb.formula.RoleAssignments.DepartedRoleKey">
    <vt:lpwstr>IF(((O2)=TRUE),  C2,  "")</vt:lpwstr>
  </property>
  <property fmtid="{D5CDD505-2E9C-101B-9397-08002B2CF9AE}" pid="67" name="erb.formula.RoleAssignments.PredecessorDecisionCount">
    <vt:lpwstr>IFNA(IF(((INDEX(AA2, MATCH(T2,A2, 0))="")=TRUE),  "",  INDEX(AA2, MATCH(T2,A2, 0))), "")</vt:lpwstr>
  </property>
  <property fmtid="{D5CDD505-2E9C-101B-9397-08002B2CF9AE}" pid="68" name="erb.formula.RoleAssignments.HasSufficientSample">
    <vt:lpwstr>AA2 &gt;= AG2</vt:lpwstr>
  </property>
  <property fmtid="{D5CDD505-2E9C-101B-9397-08002B2CF9AE}" pid="69" name="erb.formula.RoleAssignments.PredecessorHasSufficientSample">
    <vt:lpwstr>AH2 &gt;= AG2</vt:lpwstr>
  </property>
  <property fmtid="{D5CDD505-2E9C-101B-9397-08002B2CF9AE}" pid="70" name="erb.formula.RoleAssignments.ComparisonIsEvidentiallySound">
    <vt:lpwstr>AND(((AI2)=TRUE), ((AJ2)=TRUE))</vt:lpwstr>
  </property>
  <property fmtid="{D5CDD505-2E9C-101B-9397-08002B2CF9AE}" pid="71" name="erb.formula.RoleAssignments.SingleOverrideSwingPercent">
    <vt:lpwstr>IF(((AA2 &gt; 0)=TRUE),  100 / AA2,  0)</vt:lpwstr>
  </property>
  <property fmtid="{D5CDD505-2E9C-101B-9397-08002B2CF9AE}" pid="72" name="erb.formula.RoleAssignments.QualityVerdictIsUnsupported">
    <vt:lpwstr>AND(((NOT(((AK2)=TRUE)))=TRUE), ((NOT(((AE2)=TRUE)))=TRUE))</vt:lpwstr>
  </property>
  <property fmtid="{D5CDD505-2E9C-101B-9397-08002B2CF9AE}" pid="73" name="erb.formula.RoleAssignments.IsUnmeasuredAutomationHandover">
    <vt:lpwstr>AND(((V2)=TRUE), ((NOT(((AK2)=TRUE)))=TRUE))</vt:lpwstr>
  </property>
  <property fmtid="{D5CDD505-2E9C-101B-9397-08002B2CF9AE}" pid="74" name="erb.formula.RoleAssignments.ErrorCorrectionCount">
    <vt:lpwstr>COUNTIFS(AgentDecisionRecords!AL2:AL4, A2)</vt:lpwstr>
  </property>
  <property fmtid="{D5CDD505-2E9C-101B-9397-08002B2CF9AE}" pid="75" name="erb.formula.RoleAssignments.ErrorRatePercent">
    <vt:lpwstr>IF(((AA2 &gt; 0)=TRUE),  AO2 * 100 / AA2,  0)</vt:lpwstr>
  </property>
  <property fmtid="{D5CDD505-2E9C-101B-9397-08002B2CF9AE}" pid="76" name="erb.formula.RoleAssignments.HasDatedAuthorization">
    <vt:lpwstr>AND(((W2 &lt;&gt; "")=TRUE), ((AQ2 &lt;&gt; "")=TRUE))</vt:lpwstr>
  </property>
  <property fmtid="{D5CDD505-2E9C-101B-9397-08002B2CF9AE}" pid="77" name="erb.formula.RoleAssignments.DaysSinceAuthorizationReview#1">
    <vt:lpwstr>IF((IF(((AR2 &lt;&gt; "")=TRUE),  IF(((OR((((J2)="")=TRUE), (((AR2)="")=TRUE)))=TRUE),  0,  (INT(J2) - INT(AR2))),  IF(((OR((((J2)="")=TRUE), (((E2)="")=TRUE)))=TRUE),  0,  (INT(J2) - INT(E2)))))="", "", ROUND((IF(((AR2 &lt;&gt; "")=TRUE),  IF(((OR((((J2)="")=TR</vt:lpwstr>
  </property>
  <property fmtid="{D5CDD505-2E9C-101B-9397-08002B2CF9AE}" pid="78" name="erb.formula.RoleAssignments.DaysSinceAuthorizationReview#2">
    <vt:lpwstr>UE), (((AR2)="")=TRUE)))=TRUE),  0,  (INT(J2) - INT(AR2))),  IF(((OR((((J2)="")=TRUE), (((E2)="")=TRUE)))=TRUE),  0,  (INT(J2) - INT(E2))))), 0))</vt:lpwstr>
  </property>
  <property fmtid="{D5CDD505-2E9C-101B-9397-08002B2CF9AE}" pid="79" name="erb.formula.RoleAssignments.AuthorizationIsOverdueForReview">
    <vt:lpwstr>AND(((AS2 &gt; 0)=TRUE), ((AU2 &gt; AS2)=TRUE))</vt:lpwstr>
  </property>
  <property fmtid="{D5CDD505-2E9C-101B-9397-08002B2CF9AE}" pid="80" name="erb.formula.RoleAssignments.IsStandingUnreviewedAutomation">
    <vt:lpwstr>AND(((P2)=TRUE), ((AND(((S2)=TRUE), ((AV2)=TRUE)))=TRUE))</vt:lpwstr>
  </property>
  <property fmtid="{D5CDD505-2E9C-101B-9397-08002B2CF9AE}" pid="81" name="erb.formula.RoleAssignments.IsUnconditionedAutomationHandover">
    <vt:lpwstr>AND(((V2)=TRUE), ((AS2 = 0)=TRUE))</vt:lpwstr>
  </property>
  <property fmtid="{D5CDD505-2E9C-101B-9397-08002B2CF9AE}" pid="82" name="erb.formula.RoleAssignments.ExceedsTolerableErrorRate">
    <vt:lpwstr>AND(((AY2 &gt; 0)=TRUE), ((AP2 &gt;= AY2)=TRUE))</vt:lpwstr>
  </property>
  <property fmtid="{D5CDD505-2E9C-101B-9397-08002B2CF9AE}" pid="83" name="erb.formula.RoleAssignments.BoundaryViolationCountForAssignment">
    <vt:lpwstr>COUNTIFS(AgentDecisionRecords!AM2:AM4, A2)</vt:lpwstr>
  </property>
  <property fmtid="{D5CDD505-2E9C-101B-9397-08002B2CF9AE}" pid="84" name="erb.formula.RoleAssignments.HasAnyBoundaryViolation">
    <vt:lpwstr>(BA2 &gt; 0)</vt:lpwstr>
  </property>
  <property fmtid="{D5CDD505-2E9C-101B-9397-08002B2CF9AE}" pid="85" name="erb.formula.RoleAssignments.HasUngroundedGoverningBoundary">
    <vt:lpwstr>IFNA(IF(((INDEX(Roles!T2:T13, MATCH(C2,Roles!A2:A13, 0))="")=TRUE),  "",  INDEX(Roles!T2:T13, MATCH(C2,Roles!A2:A13, 0))), "")</vt:lpwstr>
  </property>
  <property fmtid="{D5CDD505-2E9C-101B-9397-08002B2CF9AE}" pid="86" name="erb.formula.RoleAssignments.SuspensionConditionMet">
    <vt:lpwstr>OR(((AZ2)=TRUE), ((OR(((BB2)=TRUE), ((BC2)=TRUE)))=TRUE))</vt:lpwstr>
  </property>
  <property fmtid="{D5CDD505-2E9C-101B-9397-08002B2CF9AE}" pid="87" name="erb.formula.RoleAssignments.IsOperatingUnderMetSuspensionCondition">
    <vt:lpwstr>AND(((BD2)=TRUE), ((AND(((P2)=TRUE), ((S2)=TRUE)))=TRUE))</vt:lpwstr>
  </property>
  <property fmtid="{D5CDD505-2E9C-101B-9397-08002B2CF9AE}" pid="88" name="erb.formula.RoleAssignments.HasDeclaredSuspensionCondition">
    <vt:lpwstr>AY2 &gt; 0</vt:lpwstr>
  </property>
  <property fmtid="{D5CDD505-2E9C-101B-9397-08002B2CF9AE}" pid="89" name="erb.formula.RoleAssignments.HasApprovingAuthority">
    <vt:lpwstr>W2 &lt;&gt; ""</vt:lpwstr>
  </property>
  <property fmtid="{D5CDD505-2E9C-101B-9397-08002B2CF9AE}" pid="90" name="erb.formula.RoleAssignments.HasAuthorizingChangeRequest">
    <vt:lpwstr>X2 &lt;&gt; ""</vt:lpwstr>
  </property>
  <property fmtid="{D5CDD505-2E9C-101B-9397-08002B2CF9AE}" pid="91" name="erb.formula.RoleAssignments.IsUnauthorizedEnforcementAgent">
    <vt:lpwstr>AND(((BI2)=TRUE), ((Y2)=TRUE))</vt:lpwstr>
  </property>
  <property fmtid="{D5CDD505-2E9C-101B-9397-08002B2CF9AE}" pid="92" name="erb.formula.RoleAssignments.GovernanceEvidenceCount">
    <vt:lpwstr>IF((IF(((BG2)=TRUE),  1,  0) + IF(((BH2)=TRUE),  1,  0))="", "", ROUND((IF(((BG2)=TRUE),  1,  0) + IF(((BH2)=TRUE),  1,  0)), 0))</vt:lpwstr>
  </property>
  <property fmtid="{D5CDD505-2E9C-101B-9397-08002B2CF9AE}" pid="93" name="erb.formula.RoleAssignments.UnauthorizedEnforcementRoleKey">
    <vt:lpwstr>IF(((Y2)=TRUE),  C2,  "")</vt:lpwstr>
  </property>
  <property fmtid="{D5CDD505-2E9C-101B-9397-08002B2CF9AE}" pid="94" name="erb.table.RoleAssignments.description">
    <vt:lpwstr>Time-bounded records of agents holding roles. Maps to pro:RoleInTime and preserves assignment history instead of overwriting it.</vt:lpwstr>
  </property>
  <property fmtid="{D5CDD505-2E9C-101B-9397-08002B2CF9AE}" pid="95" name="erb.formula.CommunitiesOfPractice.Name">
    <vt:lpwstr>C2</vt:lpwstr>
  </property>
  <property fmtid="{D5CDD505-2E9C-101B-9397-08002B2CF9AE}" pid="96" name="erb.table.CommunitiesOfPractice.description">
    <vt:lpwstr>Socio-technical communities that transmit and maintain procedural knowledge. Explicit ERB-PKO extension.</vt:lpwstr>
  </property>
  <property fmtid="{D5CDD505-2E9C-101B-9397-08002B2CF9AE}" pid="97" name="erb.formula.Mentorships.Name">
    <vt:lpwstr>D2 &amp; " -&gt; " &amp; E2</vt:lpwstr>
  </property>
  <property fmtid="{D5CDD505-2E9C-101B-9397-08002B2CF9AE}" pid="98" name="erb.table.Mentorships.description">
    <vt:lpwstr>Time-bounded apprenticeship relationships that intentionally transfer situated procedural knowledge. Explicit ERB-PKO extension.</vt:lpwstr>
  </property>
  <property fmtid="{D5CDD505-2E9C-101B-9397-08002B2CF9AE}" pid="99" name="erb.formula.ProcedureTypes.Name">
    <vt:lpwstr>C2</vt:lpwstr>
  </property>
  <property fmtid="{D5CDD505-2E9C-101B-9397-08002B2CF9AE}" pid="100" name="erb.table.ProcedureTypes.description">
    <vt:lpwstr>Controlled values used by pko:hasProcedureType.</vt:lpwstr>
  </property>
  <property fmtid="{D5CDD505-2E9C-101B-9397-08002B2CF9AE}" pid="101" name="erb.formula.Procedures.Name">
    <vt:lpwstr>C2</vt:lpwstr>
  </property>
  <property fmtid="{D5CDD505-2E9C-101B-9397-08002B2CF9AE}" pid="102" name="erb.table.Procedures.description">
    <vt:lpwstr>Abstract, discoverable procedures. Each version is represented separately in ProcedureVersions. Maps to pko:Procedure and dcat:Resource.</vt:lpwstr>
  </property>
  <property fmtid="{D5CDD505-2E9C-101B-9397-08002B2CF9AE}" pid="103" name="erb.formula.ProcedureVersions.Name">
    <vt:lpwstr>E2</vt:lpwstr>
  </property>
  <property fmtid="{D5CDD505-2E9C-101B-9397-08002B2CF9AE}" pid="104" name="erb.formula.ProcedureVersions.CountOfSteps">
    <vt:lpwstr>IF((COUNTIFS(Steps!C2:C18,A2))="", "", ROUND((COUNTIFS(Steps!C2:C18,A2)), 0))</vt:lpwstr>
  </property>
  <property fmtid="{D5CDD505-2E9C-101B-9397-08002B2CF9AE}" pid="105" name="erb.formula.ProcedureVersions.CountOfOpenKnowledgeGaps">
    <vt:lpwstr>IF((COUNTIFS(KnowledgeGaps!C2:C9,A2,KnowledgeGaps!H2:H9, "Open"))="", "", ROUND((COUNTIFS(KnowledgeGaps!C2:C9,A2,KnowledgeGaps!H2:H9, "Open")), 0))</vt:lpwstr>
  </property>
  <property fmtid="{D5CDD505-2E9C-101B-9397-08002B2CF9AE}" pid="106" name="erb.formula.ProcedureVersions.IsReadyForExecution">
    <vt:lpwstr>AND(((F2 = "Approved")=TRUE), ((N2 &gt; 0)=TRUE), ((O2 = 0)=TRUE))</vt:lpwstr>
  </property>
  <property fmtid="{D5CDD505-2E9C-101B-9397-08002B2CF9AE}" pid="107" name="erb.formula.ProcedureVersions.SpecifiedStepCount">
    <vt:lpwstr>COUNTIFS(Steps!C2:C18, A2)</vt:lpwstr>
  </property>
  <property fmtid="{D5CDD505-2E9C-101B-9397-08002B2CF9AE}" pid="108" name="erb.formula.ProcedureVersions.OverdueReviewCount">
    <vt:lpwstr>COUNTIFS(ReviewEvents!M2:M4, A2)</vt:lpwstr>
  </property>
  <property fmtid="{D5CDD505-2E9C-101B-9397-08002B2CF9AE}" pid="109" name="erb.formula.ProcedureVersions.OpenChangeRequestCount">
    <vt:lpwstr>COUNTIFS(ChangeRequests!M2:M3, A2)</vt:lpwstr>
  </property>
  <property fmtid="{D5CDD505-2E9C-101B-9397-08002B2CF9AE}" pid="110" name="erb.formula.ProcedureVersions.OpenHighSeverityGapCount">
    <vt:lpwstr>COUNTIFS(KnowledgeGaps!M2:M9, A2)</vt:lpwstr>
  </property>
  <property fmtid="{D5CDD505-2E9C-101B-9397-08002B2CF9AE}" pid="111" name="erb.formula.ProcedureVersions.IsFitToExecute">
    <vt:lpwstr>AND(((F2 = "Approved")=TRUE), ((R2 = 0)=TRUE), ((S2 = 0)=TRUE), ((T2 = 0)=TRUE))</vt:lpwstr>
  </property>
  <property fmtid="{D5CDD505-2E9C-101B-9397-08002B2CF9AE}" pid="112" name="erb.formula.ProcedureVersions.StewardReviewCadenceDays">
    <vt:lpwstr>SUMIFS(StewardshipAssignments!H2:H3,StewardshipAssignments!C2:C3, A2)</vt:lpwstr>
  </property>
  <property fmtid="{D5CDD505-2E9C-101B-9397-08002B2CF9AE}" pid="113" name="erb.formula.ProcedureVersions.CountOfStewardshipAssignments">
    <vt:lpwstr>IF((COUNTIFS(StewardshipAssignments!C2:C3,A2))="", "", ROUND((COUNTIFS(StewardshipAssignments!C2:C3,A2)), 0))</vt:lpwstr>
  </property>
  <property fmtid="{D5CDD505-2E9C-101B-9397-08002B2CF9AE}" pid="114" name="erb.formula.ProcedureVersions.HasAnySteward">
    <vt:lpwstr>W2 &gt; 0</vt:lpwstr>
  </property>
  <property fmtid="{D5CDD505-2E9C-101B-9397-08002B2CF9AE}" pid="115" name="erb.formula.ProcedureVersions.IsLive">
    <vt:lpwstr>OR(((F2 = "Approved")=TRUE), ((F2 = "Published")=TRUE))</vt:lpwstr>
  </property>
  <property fmtid="{D5CDD505-2E9C-101B-9397-08002B2CF9AE}" pid="116" name="erb.formula.ProcedureVersions.IsUnstewarded">
    <vt:lpwstr>NOT(((X2)=TRUE))</vt:lpwstr>
  </property>
  <property fmtid="{D5CDD505-2E9C-101B-9397-08002B2CF9AE}" pid="117" name="erb.formula.ProcedureVersions.IsLiveAndUnstewarded">
    <vt:lpwstr>AND(((Y2)=TRUE), ((Z2)=TRUE))</vt:lpwstr>
  </property>
  <property fmtid="{D5CDD505-2E9C-101B-9397-08002B2CF9AE}" pid="118" name="erb.formula.ProcedureVersions.CountOfOpenBlockingGaps">
    <vt:lpwstr>IF((COUNTIFS(KnowledgeGaps!O2:O9, TRUE))="", "", ROUND((COUNTIFS(KnowledgeGaps!O2:O9, TRUE)), 0))</vt:lpwstr>
  </property>
  <property fmtid="{D5CDD505-2E9C-101B-9397-08002B2CF9AE}" pid="119" name="erb.formula.ProcedureVersions.HasOpenBlockingGap">
    <vt:lpwstr>AB2 &gt; 0</vt:lpwstr>
  </property>
  <property fmtid="{D5CDD505-2E9C-101B-9397-08002B2CF9AE}" pid="120" name="erb.formula.ProcedureVersions.IsLiveWithBlockingGap">
    <vt:lpwstr>AND(((Y2)=TRUE), ((AC2)=TRUE))</vt:lpwstr>
  </property>
  <property fmtid="{D5CDD505-2E9C-101B-9397-08002B2CF9AE}" pid="121" name="erb.formula.ProcedureVersions.ShouldNotBeExecutable">
    <vt:lpwstr>AND(((P2)=TRUE), ((AC2)=TRUE))</vt:lpwstr>
  </property>
  <property fmtid="{D5CDD505-2E9C-101B-9397-08002B2CF9AE}" pid="122" name="erb.formula.ProcedureVersions.CountOfUnapprovedRelianceFragments">
    <vt:lpwstr>IF((COUNTIFS(KnowledgeFragments!AA2:AA8, TRUE))="", "", ROUND((COUNTIFS(KnowledgeFragments!AA2:AA8, TRUE)), 0))</vt:lpwstr>
  </property>
  <property fmtid="{D5CDD505-2E9C-101B-9397-08002B2CF9AE}" pid="123" name="erb.formula.ProcedureVersions.RunsOnUnapprovedKnowledge">
    <vt:lpwstr>AF2 &gt; 0</vt:lpwstr>
  </property>
  <property fmtid="{D5CDD505-2E9C-101B-9397-08002B2CF9AE}" pid="124" name="erb.formula.ProcedureVersions.CountOfOverdueGaps">
    <vt:lpwstr>IF((COUNTIFS(KnowledgeGaps!T2:T9, TRUE))="", "", ROUND((COUNTIFS(KnowledgeGaps!T2:T9, TRUE)), 0))</vt:lpwstr>
  </property>
  <property fmtid="{D5CDD505-2E9C-101B-9397-08002B2CF9AE}" pid="125" name="erb.formula.ProcedureVersions.CountOfChangeRequests">
    <vt:lpwstr>IF((COUNTIFS(ChangeRequests!C2:C3,A2))="", "", ROUND((COUNTIFS(ChangeRequests!C2:C3,A2)), 0))</vt:lpwstr>
  </property>
  <property fmtid="{D5CDD505-2E9C-101B-9397-08002B2CF9AE}" pid="126" name="erb.formula.ProcedureVersions.CountOfReviewEvents">
    <vt:lpwstr>IF((COUNTIFS(ReviewEvents!C2:C4,A2))="", "", ROUND((COUNTIFS(ReviewEvents!C2:C4,A2)), 0))</vt:lpwstr>
  </property>
  <property fmtid="{D5CDD505-2E9C-101B-9397-08002B2CF9AE}" pid="127" name="erb.formula.ProcedureVersions.HasGovernanceRecord">
    <vt:lpwstr>OR(((AI2 &gt; 0)=TRUE), ((AJ2 &gt; 0)=TRUE))</vt:lpwstr>
  </property>
  <property fmtid="{D5CDD505-2E9C-101B-9397-08002B2CF9AE}" pid="128" name="erb.formula.ProcedureVersions.AsOfInstant">
    <vt:lpwstr>IFNA(IF(((INDEX(EvaluationContexts!D2:D2, MATCH(AL2,EvaluationContexts!A2:A2, 0))="")=TRUE),  "",  INDEX(EvaluationContexts!D2:D2, MATCH(AL2,EvaluationContexts!A2:A2, 0))), "")</vt:lpwstr>
  </property>
  <property fmtid="{D5CDD505-2E9C-101B-9397-08002B2CF9AE}" pid="129" name="erb.formula.ProcedureVersions.DaysSinceModified">
    <vt:lpwstr>IF((IF(((OR((((AM2)="")=TRUE), (((H2)="")=TRUE)))=TRUE),  0,  (INT(AM2) - INT(H2))))="", "", ROUND((IF(((OR((((AM2)="")=TRUE), (((H2)="")=TRUE)))=TRUE),  0,  (INT(AM2) - INT(H2)))), 0))</vt:lpwstr>
  </property>
  <property fmtid="{D5CDD505-2E9C-101B-9397-08002B2CF9AE}" pid="130" name="erb.formula.ProcedureVersions.DaysSinceLastReview#1">
    <vt:lpwstr>IF((IF(((OR((((AM2)="")=TRUE), (((MAXIFS(ReviewEvents!E2:E4,ReviewEvents!C2:C4,A2))="")=TRUE)))=TRUE),  0,  (INT(AM2) - INT(MAXIFS(ReviewEvents!E2:E4,ReviewEvents!C2:C4,A2)))))="", "", ROUND((IF(((OR((((AM2)="")=TRUE), (((MAXIFS(ReviewEvents!E2:E4,Re</vt:lpwstr>
  </property>
  <property fmtid="{D5CDD505-2E9C-101B-9397-08002B2CF9AE}" pid="131" name="erb.formula.ProcedureVersions.DaysSinceLastReview#2">
    <vt:lpwstr>viewEvents!C2:C4,A2))="")=TRUE)))=TRUE),  0,  (INT(AM2) - INT(MAXIFS(ReviewEvents!E2:E4,ReviewEvents!C2:C4,A2))))), 0))</vt:lpwstr>
  </property>
  <property fmtid="{D5CDD505-2E9C-101B-9397-08002B2CF9AE}" pid="132" name="erb.formula.ProcedureVersions.WasModifiedSinceLastReview">
    <vt:lpwstr>AN2 &lt; AO2</vt:lpwstr>
  </property>
  <property fmtid="{D5CDD505-2E9C-101B-9397-08002B2CF9AE}" pid="133" name="erb.formula.ProcedureVersions.ModifierIsAuthority">
    <vt:lpwstr>IFNA(IF(((INDEX(Agents!D2:D12, MATCH(J2,Agents!A2:A12, 0))="")=TRUE),  "",  INDEX(Agents!D2:D12, MATCH(J2,Agents!A2:A12, 0))), "")</vt:lpwstr>
  </property>
  <property fmtid="{D5CDD505-2E9C-101B-9397-08002B2CF9AE}" pid="134" name="erb.formula.ProcedureVersions.HasUnwitnessedChange">
    <vt:lpwstr>AND(((Y2)=TRUE), ((AP2)=TRUE))</vt:lpwstr>
  </property>
  <property fmtid="{D5CDD505-2E9C-101B-9397-08002B2CF9AE}" pid="135" name="erb.formula.ProcedureVersions.CountOfStaleFragments">
    <vt:lpwstr>IF((COUNTIFS(KnowledgeFragments!AQ2:AQ8, TRUE))="", "", ROUND((COUNTIFS(KnowledgeFragments!AQ2:AQ8, TRUE)), 0))</vt:lpwstr>
  </property>
  <property fmtid="{D5CDD505-2E9C-101B-9397-08002B2CF9AE}" pid="136" name="erb.formula.ProcedureVersions.KnowledgeIsStalerThanCadence">
    <vt:lpwstr>AS2 &gt; 0</vt:lpwstr>
  </property>
  <property fmtid="{D5CDD505-2E9C-101B-9397-08002B2CF9AE}" pid="137" name="erb.formula.ProcedureVersions.CompoundFragileFragmentCount">
    <vt:lpwstr>COUNTIFS(KnowledgeFragments!BE2:BE8, A2)</vt:lpwstr>
  </property>
  <property fmtid="{D5CDD505-2E9C-101B-9397-08002B2CF9AE}" pid="138" name="erb.formula.ProcedureVersions.RestsOnCompoundFragileKnowledge">
    <vt:lpwstr>AND(((Y2)=TRUE), ((AU2 &gt; 0)=TRUE))</vt:lpwstr>
  </property>
  <property fmtid="{D5CDD505-2E9C-101B-9397-08002B2CF9AE}" pid="139" name="erb.formula.ProcedureVersions.ConcentratedWitnessSessionCount">
    <vt:lpwstr>COUNTIFS(ElicitationSessions!T2:T4, A2)</vt:lpwstr>
  </property>
  <property fmtid="{D5CDD505-2E9C-101B-9397-08002B2CF9AE}" pid="140" name="erb.formula.ProcedureVersions.KnowledgeBaseIsConcentrated">
    <vt:lpwstr>AND(((Y2)=TRUE), ((AW2 &gt; 0)=TRUE))</vt:lpwstr>
  </property>
  <property fmtid="{D5CDD505-2E9C-101B-9397-08002B2CF9AE}" pid="141" name="erb.formula.ProcedureVersions.MachineConsumedUnapprovedCount">
    <vt:lpwstr>COUNTIFS(KnowledgeFragments!BK2:BK8, A2)</vt:lpwstr>
  </property>
  <property fmtid="{D5CDD505-2E9C-101B-9397-08002B2CF9AE}" pid="142" name="erb.formula.ProcedureVersions.FeedsUnapprovedKnowledgeToMachines">
    <vt:lpwstr>AND(((Y2)=TRUE), ((AY2 &gt; 0)=TRUE))</vt:lpwstr>
  </property>
  <property fmtid="{D5CDD505-2E9C-101B-9397-08002B2CF9AE}" pid="143" name="erb.formula.ProcedureVersions.GenuinelyOverdueFragmentCount">
    <vt:lpwstr>COUNTIFS(KnowledgeFragments!BR2:BR8, A2)</vt:lpwstr>
  </property>
  <property fmtid="{D5CDD505-2E9C-101B-9397-08002B2CF9AE}" pid="144" name="erb.formula.ProcedureVersions.AwaitedDecisionCount">
    <vt:lpwstr>COUNTIFS(ChangeRequests!AB2:AB3, A2)</vt:lpwstr>
  </property>
  <property fmtid="{D5CDD505-2E9C-101B-9397-08002B2CF9AE}" pid="145" name="erb.formula.ProcedureVersions.ScopedOpenBlockingGapCount">
    <vt:lpwstr>COUNTIFS(KnowledgeGaps!Y2:Y9, A2)</vt:lpwstr>
  </property>
  <property fmtid="{D5CDD505-2E9C-101B-9397-08002B2CF9AE}" pid="146" name="erb.formula.ProcedureVersions.IsBlockedOnPendingDecision">
    <vt:lpwstr>AND(((BB2 &gt; 0)=TRUE), ((BC2 &gt; 0)=TRUE))</vt:lpwstr>
  </property>
  <property fmtid="{D5CDD505-2E9C-101B-9397-08002B2CF9AE}" pid="147" name="erb.formula.ProcedureVersions.UnexercisedHumanGateCount">
    <vt:lpwstr>COUNTIFS(Steps!AK2:AK18, A2)</vt:lpwstr>
  </property>
  <property fmtid="{D5CDD505-2E9C-101B-9397-08002B2CF9AE}" pid="148" name="erb.formula.ProcedureVersions.AiBoundaryIsUnevidenced">
    <vt:lpwstr>AND(((Y2)=TRUE), ((BE2 &gt; 0)=TRUE))</vt:lpwstr>
  </property>
  <property fmtid="{D5CDD505-2E9C-101B-9397-08002B2CF9AE}" pid="149" name="erb.formula.ProcedureVersions.LoadBearingUnapprovedCount">
    <vt:lpwstr>COUNTIFS(KnowledgeFragments!BX2:BX8, A2)</vt:lpwstr>
  </property>
  <property fmtid="{D5CDD505-2E9C-101B-9397-08002B2CF9AE}" pid="150" name="erb.formula.ProcedureVersions.UnlandedDecisionCount">
    <vt:lpwstr>COUNTIFS(ChangeRequests!AL2:AL3, A2)</vt:lpwstr>
  </property>
  <property fmtid="{D5CDD505-2E9C-101B-9397-08002B2CF9AE}" pid="151" name="erb.formula.ProcedureVersions.UnrehearsedControlEntryCount">
    <vt:lpwstr>COUNTIFS(StepTransitions!V2:V21, A2)</vt:lpwstr>
  </property>
  <property fmtid="{D5CDD505-2E9C-101B-9397-08002B2CF9AE}" pid="152" name="erb.formula.ProcedureVersions.HasUnrehearsedControlEntry">
    <vt:lpwstr>BI2 &gt; 0</vt:lpwstr>
  </property>
  <property fmtid="{D5CDD505-2E9C-101B-9397-08002B2CF9AE}" pid="153" name="erb.formula.ProcedureVersions.IsLiveWithUnrehearsedControl">
    <vt:lpwstr>AND(((Y2)=TRUE), ((BJ2)=TRUE))</vt:lpwstr>
  </property>
  <property fmtid="{D5CDD505-2E9C-101B-9397-08002B2CF9AE}" pid="154" name="erb.formula.ProcedureVersions.CadenceBreachCount">
    <vt:lpwstr>COUNTIFS(ReviewEvents!S2:S4, A2)</vt:lpwstr>
  </property>
  <property fmtid="{D5CDD505-2E9C-101B-9397-08002B2CF9AE}" pid="155" name="erb.formula.ProcedureVersions.IsInCadenceBreach">
    <vt:lpwstr>BL2 &gt; 0</vt:lpwstr>
  </property>
  <property fmtid="{D5CDD505-2E9C-101B-9397-08002B2CF9AE}" pid="156" name="erb.formula.ProcedureVersions.HasDecisionInFlight">
    <vt:lpwstr>S2 &gt; 0</vt:lpwstr>
  </property>
  <property fmtid="{D5CDD505-2E9C-101B-9397-08002B2CF9AE}" pid="157" name="erb.formula.ProcedureVersions.IsUnremediatedCadenceBreach">
    <vt:lpwstr>AND(((BM2)=TRUE), ((NOT(((BN2)=TRUE)))=TRUE))</vt:lpwstr>
  </property>
  <property fmtid="{D5CDD505-2E9C-101B-9397-08002B2CF9AE}" pid="158" name="erb.formula.ProcedureVersions.IsManagedCadenceBreach">
    <vt:lpwstr>AND(((BM2)=TRUE), ((BN2)=TRUE))</vt:lpwstr>
  </property>
  <property fmtid="{D5CDD505-2E9C-101B-9397-08002B2CF9AE}" pid="159" name="erb.formula.ProcedureVersions.GovernanceIsSilent">
    <vt:lpwstr>AND(((Y2)=TRUE), ((NOT(((AK2)=TRUE)))=TRUE))</vt:lpwstr>
  </property>
  <property fmtid="{D5CDD505-2E9C-101B-9397-08002B2CF9AE}" pid="160" name="erb.formula.ProcedureVersions.ValidFragmentCount">
    <vt:lpwstr>COUNTIFS(KnowledgeFragments!CA2:CA8, A2)</vt:lpwstr>
  </property>
  <property fmtid="{D5CDD505-2E9C-101B-9397-08002B2CF9AE}" pid="161" name="erb.formula.ProcedureVersions.StillOwnsValidKnowledge">
    <vt:lpwstr>BR2 &gt; 0</vt:lpwstr>
  </property>
  <property fmtid="{D5CDD505-2E9C-101B-9397-08002B2CF9AE}" pid="162" name="erb.formula.ProcedureVersions.IncomingSupersessionCount">
    <vt:lpwstr>COUNTIFS(ProcedureVersionLinks!G2:G2, A2)</vt:lpwstr>
  </property>
  <property fmtid="{D5CDD505-2E9C-101B-9397-08002B2CF9AE}" pid="163" name="erb.formula.ProcedureVersions.IsStillReferenced">
    <vt:lpwstr>BT2 &gt; 0</vt:lpwstr>
  </property>
  <property fmtid="{D5CDD505-2E9C-101B-9397-08002B2CF9AE}" pid="164" name="erb.formula.ProcedureVersions.IsLoadBearingOrphan">
    <vt:lpwstr>AND(((Z2)=TRUE), ((OR(((BS2)=TRUE), ((BU2)=TRUE)))=TRUE))</vt:lpwstr>
  </property>
  <property fmtid="{D5CDD505-2E9C-101B-9397-08002B2CF9AE}" pid="165" name="erb.formula.ProcedureVersions.IsCleanlyRetired">
    <vt:lpwstr>AND(((Z2)=TRUE), ((NOT(((BS2)=TRUE)))=TRUE), ((NOT(((BU2)=TRUE)))=TRUE))</vt:lpwstr>
  </property>
  <property fmtid="{D5CDD505-2E9C-101B-9397-08002B2CF9AE}" pid="166" name="erb.formula.ProcedureVersions.StalledImplementationCount">
    <vt:lpwstr>COUNTIFS(ChangeRequests!AP2:AP3, A2)</vt:lpwstr>
  </property>
  <property fmtid="{D5CDD505-2E9C-101B-9397-08002B2CF9AE}" pid="167" name="erb.formula.ProcedureVersions.IsHeldUnfitByLandedDecisions">
    <vt:lpwstr>AND(((NOT(((U2)=TRUE)))=TRUE), ((BX2 &gt; 0)=TRUE))</vt:lpwstr>
  </property>
  <property fmtid="{D5CDD505-2E9C-101B-9397-08002B2CF9AE}" pid="168" name="erb.formula.ProcedureVersions.UndeclaredControlKindCount">
    <vt:lpwstr>COUNTIFS(Steps!AM2:AM18, A2)</vt:lpwstr>
  </property>
  <property fmtid="{D5CDD505-2E9C-101B-9397-08002B2CF9AE}" pid="169" name="erb.formula.ProcedureVersions.ControlTaxonomyIsIncomplete">
    <vt:lpwstr>BZ2 &gt; 0</vt:lpwstr>
  </property>
  <property fmtid="{D5CDD505-2E9C-101B-9397-08002B2CF9AE}" pid="170" name="erb.formula.ProcedureVersions.HasApprovedChangeRequest">
    <vt:lpwstr>CC2 &gt; 0</vt:lpwstr>
  </property>
  <property fmtid="{D5CDD505-2E9C-101B-9397-08002B2CF9AE}" pid="171" name="erb.formula.ProcedureVersions.ApprovedChangeRequestCount">
    <vt:lpwstr>COUNTIFS(ChangeRequests!AQ2:AQ3, A2)</vt:lpwstr>
  </property>
  <property fmtid="{D5CDD505-2E9C-101B-9397-08002B2CF9AE}" pid="172" name="erb.formula.ProcedureVersions.UnwatchedUnownedControlCount">
    <vt:lpwstr>COUNTIFS(Requirements!AN2:AN14, "unwatched-unowned")</vt:lpwstr>
  </property>
  <property fmtid="{D5CDD505-2E9C-101B-9397-08002B2CF9AE}" pid="173" name="erb.formula.ProcedureVersions.MiningRunCount">
    <vt:lpwstr>COUNTIFS(ProcessMiningRuns!C2:C5, A2)</vt:lpwstr>
  </property>
  <property fmtid="{D5CDD505-2E9C-101B-9397-08002B2CF9AE}" pid="174" name="erb.formula.ProcedureVersions.DriftedMiningRunCount">
    <vt:lpwstr>COUNTIFS(ProcessMiningRuns!R2:R5, A2)</vt:lpwstr>
  </property>
  <property fmtid="{D5CDD505-2E9C-101B-9397-08002B2CF9AE}" pid="175" name="erb.formula.ProcedureVersions.HasUnresolvedMiningDrift">
    <vt:lpwstr>CF2 &gt; 0</vt:lpwstr>
  </property>
  <property fmtid="{D5CDD505-2E9C-101B-9397-08002B2CF9AE}" pid="176" name="erb.formula.ProcedureVersions.EntryStepId">
    <vt:lpwstr>MAXIFS(Steps!AW2:AW18,Steps!C2:C18,A2)</vt:lpwstr>
  </property>
  <property fmtid="{D5CDD505-2E9C-101B-9397-08002B2CF9AE}" pid="177" name="erb.table.ProcedureVersions.description">
    <vt:lpwstr>Versioned procedure specifications. Maps to pko:Procedure plus DCAT version relations and PKO versionNumber/newVersionMotivation/changelogDescription.</vt:lpwstr>
  </property>
  <property fmtid="{D5CDD505-2E9C-101B-9397-08002B2CF9AE}" pid="178" name="erb.formula.ProcedureVersionLinks.Name">
    <vt:lpwstr>C2 &amp; " -&gt; " &amp; D2</vt:lpwstr>
  </property>
  <property fmtid="{D5CDD505-2E9C-101B-9397-08002B2CF9AE}" pid="179" name="erb.formula.ProcedureVersionLinks.SupersededVersionKey">
    <vt:lpwstr>IF(((E2 = "https://w3id.org/pko#nextVersion")=TRUE),  C2,  "")</vt:lpwstr>
  </property>
  <property fmtid="{D5CDD505-2E9C-101B-9397-08002B2CF9AE}" pid="180" name="erb.table.ProcedureVersionLinks.description">
    <vt:lpwstr>Directed links between versioned procedures. Maps to dcat:previousVersion/dcat:hasVersion and pko:nextVersion.</vt:lpwstr>
  </property>
  <property fmtid="{D5CDD505-2E9C-101B-9397-08002B2CF9AE}" pid="181" name="erb.formula.ProcedureStatusChanges.Name">
    <vt:lpwstr>C2 &amp; ": " &amp; D2 &amp; " -&gt; " &amp; E2</vt:lpwstr>
  </property>
  <property fmtid="{D5CDD505-2E9C-101B-9397-08002B2CF9AE}" pid="182" name="erb.table.ProcedureStatusChanges.description">
    <vt:lpwstr>Lifecycle events that move a procedure version between PKO statuses. Maps to pko:ChangeOfStatus, fromStatus, toStatus, and prov:atTime.</vt:lpwstr>
  </property>
  <property fmtid="{D5CDD505-2E9C-101B-9397-08002B2CF9AE}" pid="183" name="erb.formula.Steps.Name">
    <vt:lpwstr>D2 &amp; ". " &amp; E2</vt:lpwstr>
  </property>
  <property fmtid="{D5CDD505-2E9C-101B-9397-08002B2CF9AE}" pid="184" name="erb.formula.Steps.AssignedRoleLabel">
    <vt:lpwstr>IFNA(IF(((INDEX(Roles!C2:C13, MATCH(G2,Roles!A2:A13, 0))="")=TRUE),  "",  INDEX(Roles!C2:C13, MATCH(G2,Roles!A2:A13, 0))), "")</vt:lpwstr>
  </property>
  <property fmtid="{D5CDD505-2E9C-101B-9397-08002B2CF9AE}" pid="185" name="erb.formula.Steps.AssignedAgentKind">
    <vt:lpwstr>IFNA(IF(((INDEX(Roles!F2:F13, MATCH(G2,Roles!A2:A13, 0))="")=TRUE),  "",  INDEX(Roles!F2:F13, MATCH(G2,Roles!A2:A13, 0))), "")</vt:lpwstr>
  </property>
  <property fmtid="{D5CDD505-2E9C-101B-9397-08002B2CF9AE}" pid="186" name="erb.formula.Steps.BlockingRequirementCount">
    <vt:lpwstr>COUNTIFS(StepRequirements!F2:F16, A2)</vt:lpwstr>
  </property>
  <property fmtid="{D5CDD505-2E9C-101B-9397-08002B2CF9AE}" pid="187" name="erb.formula.Steps.StaleBindingCount">
    <vt:lpwstr>COUNTIFS(OperationalBindings!O2:O6, A2)</vt:lpwstr>
  </property>
  <property fmtid="{D5CDD505-2E9C-101B-9397-08002B2CF9AE}" pid="188" name="erb.formula.Steps.AuthoritativeStaleCount">
    <vt:lpwstr>COUNTIFS(OperationalBindings!P2:P6, A2)</vt:lpwstr>
  </property>
  <property fmtid="{D5CDD505-2E9C-101B-9397-08002B2CF9AE}" pid="189" name="erb.formula.Steps.AvailableExceptionCount">
    <vt:lpwstr>COUNTIFS(Exceptions!J2:J5, A2)</vt:lpwstr>
  </property>
  <property fmtid="{D5CDD505-2E9C-101B-9397-08002B2CF9AE}" pid="190" name="erb.formula.Steps.DeclaredVerificationCount">
    <vt:lpwstr>COUNTIFS(StepVerifications!C2:C12, A2)</vt:lpwstr>
  </property>
  <property fmtid="{D5CDD505-2E9C-101B-9397-08002B2CF9AE}" pid="191" name="erb.formula.Steps.IsPreparationStep">
    <vt:lpwstr>OR(((G2 = "finance-analyst")=TRUE), ((G2 = "variance-review-agent")=TRUE))</vt:lpwstr>
  </property>
  <property fmtid="{D5CDD505-2E9C-101B-9397-08002B2CF9AE}" pid="192" name="erb.formula.Steps.IsApprovalStep">
    <vt:lpwstr>OR(((G2 = "controller")=TRUE), ((G2 = "cfo")=TRUE))</vt:lpwstr>
  </property>
  <property fmtid="{D5CDD505-2E9C-101B-9397-08002B2CF9AE}" pid="193" name="erb.formula.Steps.StaleAuthoritativeBindingCount">
    <vt:lpwstr>COUNTIFS(OperationalBindings!R2:R6, A2)</vt:lpwstr>
  </property>
  <property fmtid="{D5CDD505-2E9C-101B-9397-08002B2CF9AE}" pid="194" name="erb.formula.Steps.InputsAreFresh">
    <vt:lpwstr>U2 = 0</vt:lpwstr>
  </property>
  <property fmtid="{D5CDD505-2E9C-101B-9397-08002B2CF9AE}" pid="195" name="erb.formula.Steps.IsSoftwareAssigned">
    <vt:lpwstr>OR(((I2 = "AIAgent")=TRUE), ((I2 = "AutomatedPipeline")=TRUE))</vt:lpwstr>
  </property>
  <property fmtid="{D5CDD505-2E9C-101B-9397-08002B2CF9AE}" pid="196" name="erb.formula.Steps.IsHumanApprovalGate">
    <vt:lpwstr>AND(((NOT(((W2)=TRUE)))=TRUE), ((OR(((A2 = "policy-05")=TRUE), ((A2 = "close-06")=TRUE)))=TRUE))</vt:lpwstr>
  </property>
  <property fmtid="{D5CDD505-2E9C-101B-9397-08002B2CF9AE}" pid="197" name="erb.formula.Steps.GateHeldByHuman">
    <vt:lpwstr>AND(((X2)=TRUE), ((I2 = "Human")=TRUE))</vt:lpwstr>
  </property>
  <property fmtid="{D5CDD505-2E9C-101B-9397-08002B2CF9AE}" pid="198" name="erb.formula.Steps.BindingBoundaryCount">
    <vt:lpwstr>COUNTIFS(AuthorityBoundaries!P2:P4, A2)</vt:lpwstr>
  </property>
  <property fmtid="{D5CDD505-2E9C-101B-9397-08002B2CF9AE}" pid="199" name="erb.formula.Steps.AssignedRoleIsUngoverned">
    <vt:lpwstr>IFNA(IF(((INDEX(Roles!O2:O13, MATCH(G2,Roles!A2:A13, 0))="")=TRUE),  "",  INDEX(Roles!O2:O13, MATCH(G2,Roles!A2:A13, 0))), "")</vt:lpwstr>
  </property>
  <property fmtid="{D5CDD505-2E9C-101B-9397-08002B2CF9AE}" pid="200" name="erb.formula.Steps.UnusableBindingCount">
    <vt:lpwstr>COUNTIFS(OperationalBindings!U2:U6, A2)</vt:lpwstr>
  </property>
  <property fmtid="{D5CDD505-2E9C-101B-9397-08002B2CF9AE}" pid="201" name="erb.formula.Steps.AllSourcesUsable">
    <vt:lpwstr>AB2 = 0</vt:lpwstr>
  </property>
  <property fmtid="{D5CDD505-2E9C-101B-9397-08002B2CF9AE}" pid="202" name="erb.formula.Steps.UnwarrantedBoundaryCount">
    <vt:lpwstr>COUNTIFS(AuthorityBoundaries!Z2:Z4, A2)</vt:lpwstr>
  </property>
  <property fmtid="{D5CDD505-2E9C-101B-9397-08002B2CF9AE}" pid="203" name="erb.formula.Steps.IsGovernedByUnwarrantedBoundary">
    <vt:lpwstr>AE2 &gt; 0</vt:lpwstr>
  </property>
  <property fmtid="{D5CDD505-2E9C-101B-9397-08002B2CF9AE}" pid="204" name="erb.formula.Steps.SoftwareExecutionCount">
    <vt:lpwstr>COUNTIFS(StepExecutions!CG2:CG13, A2)</vt:lpwstr>
  </property>
  <property fmtid="{D5CDD505-2E9C-101B-9397-08002B2CF9AE}" pid="205" name="erb.formula.Steps.HasBeenApproachedBySoftware">
    <vt:lpwstr>AG2 &gt; 0</vt:lpwstr>
  </property>
  <property fmtid="{D5CDD505-2E9C-101B-9397-08002B2CF9AE}" pid="206" name="erb.formula.Steps.IsUnexercisedHumanGate">
    <vt:lpwstr>AND(((X2)=TRUE), ((NOT(((AH2)=TRUE)))=TRUE))</vt:lpwstr>
  </property>
  <property fmtid="{D5CDD505-2E9C-101B-9397-08002B2CF9AE}" pid="207" name="erb.formula.Steps.IsDemonstratedHumanGate">
    <vt:lpwstr>AND(((X2)=TRUE), ((AH2)=TRUE), ((Y2)=TRUE))</vt:lpwstr>
  </property>
  <property fmtid="{D5CDD505-2E9C-101B-9397-08002B2CF9AE}" pid="208" name="erb.formula.Steps.UnexercisedGateVersionKey">
    <vt:lpwstr>IF(((AI2)=TRUE),  C2,  "")</vt:lpwstr>
  </property>
  <property fmtid="{D5CDD505-2E9C-101B-9397-08002B2CF9AE}" pid="209" name="erb.formula.Steps.HasDeclaredControlKind">
    <vt:lpwstr>AD2 &lt;&gt; ""</vt:lpwstr>
  </property>
  <property fmtid="{D5CDD505-2E9C-101B-9397-08002B2CF9AE}" pid="210" name="erb.formula.Steps.UndeclaredControlVersionKey">
    <vt:lpwstr>IF(((AL2)=TRUE),  "",  C2)</vt:lpwstr>
  </property>
  <property fmtid="{D5CDD505-2E9C-101B-9397-08002B2CF9AE}" pid="211" name="erb.formula.Steps.ApprovalStepIsSoftwareAssigned">
    <vt:lpwstr>AND(((AD2 = "Approval")=TRUE), ((W2)=TRUE))</vt:lpwstr>
  </property>
  <property fmtid="{D5CDD505-2E9C-101B-9397-08002B2CF9AE}" pid="212" name="erb.formula.Steps.UnwitnessedBlockingCount">
    <vt:lpwstr>COUNTIFS(StepRequirements!I2:I16, A2)</vt:lpwstr>
  </property>
  <property fmtid="{D5CDD505-2E9C-101B-9397-08002B2CF9AE}" pid="213" name="erb.formula.Steps.ReachableStepCount">
    <vt:lpwstr>IF((COUNTIFS(vw_step_transitions_closure!{{FromId}},A2))="", "", ROUND((COUNTIFS(vw_step_transitions_closure!{{FromId}},A2)), 0))</vt:lpwstr>
  </property>
  <property fmtid="{D5CDD505-2E9C-101B-9397-08002B2CF9AE}" pid="214" name="erb.formula.Steps.ReachedFromStepCount">
    <vt:lpwstr>IF((COUNTIFS(vw_step_transitions_closure!{{ToId}},A2))="", "", ROUND((COUNTIFS(vw_step_transitions_closure!{{ToId}},A2)), 0))</vt:lpwstr>
  </property>
  <property fmtid="{D5CDD505-2E9C-101B-9397-08002B2CF9AE}" pid="215" name="erb.formula.Steps.SelfReachCount">
    <vt:lpwstr>IF((COUNTIFS(vw_step_transitions_closure!{{FromId}},A2, vw_step_transitions_closure!{{ToId}},A2))="", "", ROUND((COUNTIFS(vw_step_transitions_closure!{{FromId}},A2, vw_step_transitions_closure!{{ToId}},A2)), 0))</vt:lpwstr>
  </property>
  <property fmtid="{D5CDD505-2E9C-101B-9397-08002B2CF9AE}" pid="216" name="erb.formula.Steps.IsOnReworkLoop">
    <vt:lpwstr>AR2 &gt; 0</vt:lpwstr>
  </property>
  <property fmtid="{D5CDD505-2E9C-101B-9397-08002B2CF9AE}" pid="217" name="erb.formula.Steps.IsBlockingControlOnReworkLoop">
    <vt:lpwstr>AND(((AS2)=TRUE), ((N2 &gt; 0)=TRUE))</vt:lpwstr>
  </property>
  <property fmtid="{D5CDD505-2E9C-101B-9397-08002B2CF9AE}" pid="218" name="erb.formula.Steps.IncomingTransitionCount">
    <vt:lpwstr>IF((COUNTIFS(StepTransitions!E2:E21,A2))="", "", ROUND((COUNTIFS(StepTransitions!E2:E21,A2)), 0))</vt:lpwstr>
  </property>
  <property fmtid="{D5CDD505-2E9C-101B-9397-08002B2CF9AE}" pid="219" name="erb.formula.Steps.IsEntryStep">
    <vt:lpwstr>AU2 = 0</vt:lpwstr>
  </property>
  <property fmtid="{D5CDD505-2E9C-101B-9397-08002B2CF9AE}" pid="220" name="erb.formula.Steps.EntryStepKey">
    <vt:lpwstr>IF(((AV2)=TRUE),  A2,  "")</vt:lpwstr>
  </property>
  <property fmtid="{D5CDD505-2E9C-101B-9397-08002B2CF9AE}" pid="221" name="erb.formula.Steps.VersionEntryStepId">
    <vt:lpwstr>IFNA(IF(((INDEX(ProcedureVersions!CH2:CH4, MATCH(C2,ProcedureVersions!A2:A4, 0))="")=TRUE),  "",  INDEX(ProcedureVersions!CH2:CH4, MATCH(C2,ProcedureVersions!A2:A4, 0))), "")</vt:lpwstr>
  </property>
  <property fmtid="{D5CDD505-2E9C-101B-9397-08002B2CF9AE}" pid="222" name="erb.formula.Steps.GateFreeReachFromEntryCount#1">
    <vt:lpwstr>IF((COUNTIFS(vw_step_transitions_closure_where_avoids_human_approval_gate!{{FromId}}, AX2, vw_step_transitions_closure_where_avoids_human_approval_gate!{{ToId}},A2))="", "", ROUND((COUNTIFS(vw_step_transitions_closure_where_avoids_human_approval_gate</vt:lpwstr>
  </property>
  <property fmtid="{D5CDD505-2E9C-101B-9397-08002B2CF9AE}" pid="223" name="erb.formula.Steps.GateFreeReachFromEntryCount#2">
    <vt:lpwstr>!{{FromId}}, AX2, vw_step_transitions_closure_where_avoids_human_approval_gate!{{ToId}},A2)), 0))</vt:lpwstr>
  </property>
  <property fmtid="{D5CDD505-2E9C-101B-9397-08002B2CF9AE}" pid="224" name="erb.formula.Steps.IsReachableFromEntryWithoutHumanGate">
    <vt:lpwstr>AY2 &gt; 0</vt:lpwstr>
  </property>
  <property fmtid="{D5CDD505-2E9C-101B-9397-08002B2CF9AE}" pid="225" name="erb.formula.Steps.IsGateBypassedPublication">
    <vt:lpwstr>AND(((AD2 = "Publication")=TRUE), ((AZ2)=TRUE))</vt:lpwstr>
  </property>
  <property fmtid="{D5CDD505-2E9C-101B-9397-08002B2CF9AE}" pid="226" name="erb.table.Steps.description">
    <vt:lpwstr>Version-scoped units of work. Atomic steps map to pplan:Step; composite steps map to pplan:MultiStep. The specification is never conflated with execution.</vt:lpwstr>
  </property>
  <property fmtid="{D5CDD505-2E9C-101B-9397-08002B2CF9AE}" pid="227" name="erb.formula.StepTransitions.Name">
    <vt:lpwstr>D2 &amp; " -&gt; " &amp; E2</vt:lpwstr>
  </property>
  <property fmtid="{D5CDD505-2E9C-101B-9397-08002B2CF9AE}" pid="228" name="erb.formula.StepTransitions.IsRecoveryPath">
    <vt:lpwstr>OR(((F2 = "Fallback")=TRUE), ((F2 = "Alternative")=TRUE))</vt:lpwstr>
  </property>
  <property fmtid="{D5CDD505-2E9C-101B-9397-08002B2CF9AE}" pid="229" name="erb.formula.StepTransitions.CountOfFromStepExecutions">
    <vt:lpwstr>IF((COUNTIFS(StepExecutions!D2:D13,D2))="", "", ROUND((COUNTIFS(StepExecutions!D2:D13,D2)), 0))</vt:lpwstr>
  </property>
  <property fmtid="{D5CDD505-2E9C-101B-9397-08002B2CF9AE}" pid="230" name="erb.formula.StepTransitions.CountOfToStepExecutions">
    <vt:lpwstr>IF((COUNTIFS(StepExecutions!D2:D13,E2))="", "", ROUND((COUNTIFS(StepExecutions!D2:D13,E2)), 0))</vt:lpwstr>
  </property>
  <property fmtid="{D5CDD505-2E9C-101B-9397-08002B2CF9AE}" pid="231" name="erb.formula.StepTransitions.HasReachableOrigin">
    <vt:lpwstr>J2 &gt; 0</vt:lpwstr>
  </property>
  <property fmtid="{D5CDD505-2E9C-101B-9397-08002B2CF9AE}" pid="232" name="erb.formula.StepTransitions.HasReachableTarget">
    <vt:lpwstr>K2 &gt; 0</vt:lpwstr>
  </property>
  <property fmtid="{D5CDD505-2E9C-101B-9397-08002B2CF9AE}" pid="233" name="erb.formula.StepTransitions.IsNeverExercised">
    <vt:lpwstr>NOT(((AND(((L2)=TRUE), ((M2)=TRUE)))=TRUE))</vt:lpwstr>
  </property>
  <property fmtid="{D5CDD505-2E9C-101B-9397-08002B2CF9AE}" pid="234" name="erb.formula.StepTransitions.IsUntestedRecoveryPath">
    <vt:lpwstr>AND(((I2)=TRUE), ((N2)=TRUE))</vt:lpwstr>
  </property>
  <property fmtid="{D5CDD505-2E9C-101B-9397-08002B2CF9AE}" pid="235" name="erb.formula.StepTransitions.CountOfObservedTraversals">
    <vt:lpwstr>IF((COUNTIFS(ObservedTransitions!D2:D11,A2))="", "", ROUND((COUNTIFS(ObservedTransitions!D2:D11,A2)), 0))</vt:lpwstr>
  </property>
  <property fmtid="{D5CDD505-2E9C-101B-9397-08002B2CF9AE}" pid="236" name="erb.formula.StepTransitions.HasBeenTraversed">
    <vt:lpwstr>P2 &gt; 0</vt:lpwstr>
  </property>
  <property fmtid="{D5CDD505-2E9C-101B-9397-08002B2CF9AE}" pid="237" name="erb.formula.StepTransitions.IsUnwalkedRecoveryPath">
    <vt:lpwstr>AND(((I2)=TRUE), ((NOT(((Q2)=TRUE)))=TRUE))</vt:lpwstr>
  </property>
  <property fmtid="{D5CDD505-2E9C-101B-9397-08002B2CF9AE}" pid="238" name="erb.formula.StepTransitions.TargetBlockingRequirementCount">
    <vt:lpwstr>IFNA(IF(((INDEX(Steps!N2:N18, MATCH(E2,Steps!A2:A18, 0))="")=TRUE),  "",  INDEX(Steps!N2:N18, MATCH(E2,Steps!A2:A18, 0))), "")</vt:lpwstr>
  </property>
  <property fmtid="{D5CDD505-2E9C-101B-9397-08002B2CF9AE}" pid="239" name="erb.formula.StepTransitions.TargetCarriesBlockingControl">
    <vt:lpwstr>S2 &gt; 0</vt:lpwstr>
  </property>
  <property fmtid="{D5CDD505-2E9C-101B-9397-08002B2CF9AE}" pid="240" name="erb.formula.StepTransitions.IsUnrehearsedControlEntry">
    <vt:lpwstr>AND(((R2)=TRUE), ((T2)=TRUE))</vt:lpwstr>
  </property>
  <property fmtid="{D5CDD505-2E9C-101B-9397-08002B2CF9AE}" pid="241" name="erb.formula.StepTransitions.UnrehearsedControlVersionKey">
    <vt:lpwstr>IF(((U2)=TRUE),  C2,  "")</vt:lpwstr>
  </property>
  <property fmtid="{D5CDD505-2E9C-101B-9397-08002B2CF9AE}" pid="242" name="erb.formula.StepTransitions.FromStepIsHumanApprovalGate">
    <vt:lpwstr>IFNA(IF(((INDEX(Steps!X2:X18, MATCH(D2,Steps!A2:A18, 0))="")=TRUE),  "",  INDEX(Steps!X2:X18, MATCH(D2,Steps!A2:A18, 0))), "")</vt:lpwstr>
  </property>
  <property fmtid="{D5CDD505-2E9C-101B-9397-08002B2CF9AE}" pid="243" name="erb.formula.StepTransitions.ToStepIsHumanApprovalGate">
    <vt:lpwstr>IFNA(IF(((INDEX(Steps!X2:X18, MATCH(E2,Steps!A2:A18, 0))="")=TRUE),  "",  INDEX(Steps!X2:X18, MATCH(E2,Steps!A2:A18, 0))), "")</vt:lpwstr>
  </property>
  <property fmtid="{D5CDD505-2E9C-101B-9397-08002B2CF9AE}" pid="244" name="erb.formula.StepTransitions.AvoidsHumanApprovalGate">
    <vt:lpwstr>AND(((NOT(((X2)=TRUE)))=TRUE), ((NOT(((Y2)=TRUE)))=TRUE))</vt:lpwstr>
  </property>
  <property fmtid="{D5CDD505-2E9C-101B-9397-08002B2CF9AE}" pid="245" name="erb.table.StepTransitions.description">
    <vt:lpwstr>Directed control-flow edges represented as first-class pko:Transition instances with fromStep/toStep and next/alternative/fallback semantics.</vt:lpwstr>
  </property>
  <property fmtid="{D5CDD505-2E9C-101B-9397-08002B2CF9AE}" pid="246" name="erb.formula.Actions.Name">
    <vt:lpwstr>C2</vt:lpwstr>
  </property>
  <property fmtid="{D5CDD505-2E9C-101B-9397-08002B2CF9AE}" pid="247" name="erb.table.Actions.description">
    <vt:lpwstr>Human actions required by steps. Maps to pko:Action and pko:requiresAction.</vt:lpwstr>
  </property>
  <property fmtid="{D5CDD505-2E9C-101B-9397-08002B2CF9AE}" pid="248" name="erb.formula.Functions.Name">
    <vt:lpwstr>C2</vt:lpwstr>
  </property>
  <property fmtid="{D5CDD505-2E9C-101B-9397-08002B2CF9AE}" pid="249" name="erb.table.Functions.description">
    <vt:lpwstr>Software or algorithmic functions required by steps. Maps to pko:Function and pko:requiresFunction.</vt:lpwstr>
  </property>
  <property fmtid="{D5CDD505-2E9C-101B-9397-08002B2CF9AE}" pid="250" name="erb.formula.Tools.Name">
    <vt:lpwstr>C2</vt:lpwstr>
  </property>
  <property fmtid="{D5CDD505-2E9C-101B-9397-08002B2CF9AE}" pid="251" name="erb.table.Tools.description">
    <vt:lpwstr>Tools required to execute steps. Maps to m4ing:Tool and pko:requiresTool.</vt:lpwstr>
  </property>
  <property fmtid="{D5CDD505-2E9C-101B-9397-08002B2CF9AE}" pid="252" name="erb.formula.StepActions.Name">
    <vt:lpwstr>C2 &amp; " / " &amp; D2</vt:lpwstr>
  </property>
  <property fmtid="{D5CDD505-2E9C-101B-9397-08002B2CF9AE}" pid="253" name="erb.table.StepActions.description">
    <vt:lpwstr>Many-to-many Step/Action semantics normalized into a first-class ERB junction table.</vt:lpwstr>
  </property>
  <property fmtid="{D5CDD505-2E9C-101B-9397-08002B2CF9AE}" pid="254" name="erb.formula.StepFunctions.Name">
    <vt:lpwstr>C2 &amp; " / " &amp; D2</vt:lpwstr>
  </property>
  <property fmtid="{D5CDD505-2E9C-101B-9397-08002B2CF9AE}" pid="255" name="erb.table.StepFunctions.description">
    <vt:lpwstr>Many-to-many Step/Function semantics normalized into an ERB junction table.</vt:lpwstr>
  </property>
  <property fmtid="{D5CDD505-2E9C-101B-9397-08002B2CF9AE}" pid="256" name="erb.formula.StepTools.Name">
    <vt:lpwstr>C2 &amp; " / " &amp; D2</vt:lpwstr>
  </property>
  <property fmtid="{D5CDD505-2E9C-101B-9397-08002B2CF9AE}" pid="257" name="erb.table.StepTools.description">
    <vt:lpwstr>Many-to-many Step/Tool semantics normalized into an ERB junction table.</vt:lpwstr>
  </property>
  <property fmtid="{D5CDD505-2E9C-101B-9397-08002B2CF9AE}" pid="258" name="erb.formula.Requirements.Name">
    <vt:lpwstr>C2</vt:lpwstr>
  </property>
  <property fmtid="{D5CDD505-2E9C-101B-9397-08002B2CF9AE}" pid="259" name="erb.formula.Requirements.SatisfactionRecordCount">
    <vt:lpwstr>COUNTIFS(RequirementSatisfactions!D2:D9, A2)</vt:lpwstr>
  </property>
  <property fmtid="{D5CDD505-2E9C-101B-9397-08002B2CF9AE}" pid="260" name="erb.formula.Requirements.StepBindingCount">
    <vt:lpwstr>COUNTIFS(StepRequirements!D2:D16, A2)</vt:lpwstr>
  </property>
  <property fmtid="{D5CDD505-2E9C-101B-9397-08002B2CF9AE}" pid="261" name="erb.formula.Requirements.IsBoundToAnyStep">
    <vt:lpwstr>I2 &gt; 0</vt:lpwstr>
  </property>
  <property fmtid="{D5CDD505-2E9C-101B-9397-08002B2CF9AE}" pid="262" name="erb.formula.Requirements.HasEverBeenEvaluated">
    <vt:lpwstr>H2 &gt; 0</vt:lpwstr>
  </property>
  <property fmtid="{D5CDD505-2E9C-101B-9397-08002B2CF9AE}" pid="263" name="erb.formula.Requirements.NegativeOutcomeCount">
    <vt:lpwstr>COUNTIFS(RequirementSatisfactions!N2:N9, A2)</vt:lpwstr>
  </property>
  <property fmtid="{D5CDD505-2E9C-101B-9397-08002B2CF9AE}" pid="264" name="erb.formula.Requirements.IsInoperativeControl">
    <vt:lpwstr>AND(((G2)=TRUE), ((J2)=TRUE), ((NOT(((K2)=TRUE)))=TRUE))</vt:lpwstr>
  </property>
  <property fmtid="{D5CDD505-2E9C-101B-9397-08002B2CF9AE}" pid="265" name="erb.formula.Requirements.IsDecorativeControl">
    <vt:lpwstr>AND(((G2)=TRUE), ((NOT(((J2)=TRUE)))=TRUE))</vt:lpwstr>
  </property>
  <property fmtid="{D5CDD505-2E9C-101B-9397-08002B2CF9AE}" pid="266" name="erb.formula.Requirements.HasEverProducedNegative">
    <vt:lpwstr>L2 &gt; 0</vt:lpwstr>
  </property>
  <property fmtid="{D5CDD505-2E9C-101B-9397-08002B2CF9AE}" pid="267" name="erb.formula.Requirements.IsUnfalsifiedControl">
    <vt:lpwstr>AND(((G2)=TRUE), ((K2)=TRUE), ((NOT(((Q2)=TRUE)))=TRUE))</vt:lpwstr>
  </property>
  <property fmtid="{D5CDD505-2E9C-101B-9397-08002B2CF9AE}" pid="268" name="erb.formula.Requirements.ClaimsAWitnessField">
    <vt:lpwstr>P2 &lt;&gt; ""</vt:lpwstr>
  </property>
  <property fmtid="{D5CDD505-2E9C-101B-9397-08002B2CF9AE}" pid="269" name="erb.formula.Requirements.NamedWitnessFieldExists">
    <vt:lpwstr>IFNA(IF(((INDEX(RulebookFields!I2:I1898, MATCH(P2,RulebookFields!A2:A1898, 0))="")=TRUE),  "",  INDEX(RulebookFields!I2:I1898, MATCH(P2,RulebookFields!A2:A1898, 0))), "")</vt:lpwstr>
  </property>
  <property fmtid="{D5CDD505-2E9C-101B-9397-08002B2CF9AE}" pid="270" name="erb.formula.Requirements.DerivedHasComputedWitness">
    <vt:lpwstr>AND(((S2)=TRUE), ((T2)=TRUE))</vt:lpwstr>
  </property>
  <property fmtid="{D5CDD505-2E9C-101B-9397-08002B2CF9AE}" pid="271" name="erb.formula.Requirements.WitnessClaimIsUnverified">
    <vt:lpwstr>NOT(((O2 = U2)=TRUE))</vt:lpwstr>
  </property>
  <property fmtid="{D5CDD505-2E9C-101B-9397-08002B2CF9AE}" pid="272" name="erb.formula.Requirements.IsUnwitnessedBlockingControl">
    <vt:lpwstr>AND(((G2)=TRUE), ((NOT(((U2)=TRUE)))=TRUE))</vt:lpwstr>
  </property>
  <property fmtid="{D5CDD505-2E9C-101B-9397-08002B2CF9AE}" pid="273" name="erb.formula.Requirements.WitnessFireCount">
    <vt:lpwstr>L2</vt:lpwstr>
  </property>
  <property fmtid="{D5CDD505-2E9C-101B-9397-08002B2CF9AE}" pid="274" name="erb.formula.Requirements.WitnessHasNeverFired">
    <vt:lpwstr>AND(((O2)=TRUE), ((X2 = 0)=TRUE))</vt:lpwstr>
  </property>
  <property fmtid="{D5CDD505-2E9C-101B-9397-08002B2CF9AE}" pid="275" name="erb.formula.Requirements.EvaluationSampleSize">
    <vt:lpwstr>H2</vt:lpwstr>
  </property>
  <property fmtid="{D5CDD505-2E9C-101B-9397-08002B2CF9AE}" pid="276" name="erb.formula.Requirements.HasMeaningfulSample">
    <vt:lpwstr>Z2 &gt;= AB2</vt:lpwstr>
  </property>
  <property fmtid="{D5CDD505-2E9C-101B-9397-08002B2CF9AE}" pid="277" name="erb.formula.Requirements.IsUntestedWitness">
    <vt:lpwstr>AND(((Y2)=TRUE), ((NOT(((AA2)=TRUE)))=TRUE))</vt:lpwstr>
  </property>
  <property fmtid="{D5CDD505-2E9C-101B-9397-08002B2CF9AE}" pid="278" name="erb.formula.Requirements.IsEvidencedHoldingControl">
    <vt:lpwstr>AND(((Y2)=TRUE), ((AA2)=TRUE))</vt:lpwstr>
  </property>
  <property fmtid="{D5CDD505-2E9C-101B-9397-08002B2CF9AE}" pid="279" name="erb.formula.Requirements.ControlAssuranceState">
    <vt:lpwstr>IF(((NOT(((J2)=TRUE)))=TRUE),  "Decorative",  IF(((NOT(((K2)=TRUE)))=TRUE),  "Inoperative",  IF(((NOT(((O2)=TRUE)))=TRUE),  "Asserted",  IF(((X2 &gt; 0)=TRUE),  "Demonstrated",  IF(((AA2)=TRUE),  "Holding",  "Untested")))))</vt:lpwstr>
  </property>
  <property fmtid="{D5CDD505-2E9C-101B-9397-08002B2CF9AE}" pid="280" name="erb.formula.Requirements.UnexercisedBindingCount">
    <vt:lpwstr>COUNTIFS(StepRequirements!M2:M16, A2)</vt:lpwstr>
  </property>
  <property fmtid="{D5CDD505-2E9C-101B-9397-08002B2CF9AE}" pid="281" name="erb.formula.Requirements.WitnessIsPartiallyScoped">
    <vt:lpwstr>AND(((O2)=TRUE), ((AF2 &gt; 0)=TRUE))</vt:lpwstr>
  </property>
  <property fmtid="{D5CDD505-2E9C-101B-9397-08002B2CF9AE}" pid="282" name="erb.formula.Requirements.AccountableAgent">
    <vt:lpwstr>IFNA(IF(((INDEX(Roles!E2:E13, MATCH(AH2,Roles!A2:A13, 0))="")=TRUE),  "",  INDEX(Roles!E2:E13, MATCH(AH2,Roles!A2:A13, 0))), "")</vt:lpwstr>
  </property>
  <property fmtid="{D5CDD505-2E9C-101B-9397-08002B2CF9AE}" pid="283" name="erb.formula.Requirements.HasNamedOwner">
    <vt:lpwstr>AH2 &lt;&gt; ""</vt:lpwstr>
  </property>
  <property fmtid="{D5CDD505-2E9C-101B-9397-08002B2CF9AE}" pid="284" name="erb.formula.Requirements.IsOrphanedBlockingControl">
    <vt:lpwstr>AND(((G2)=TRUE), ((NOT(((AJ2)=TRUE)))=TRUE))</vt:lpwstr>
  </property>
  <property fmtid="{D5CDD505-2E9C-101B-9397-08002B2CF9AE}" pid="285" name="erb.formula.Requirements.IsUnwatchedAndUnowned">
    <vt:lpwstr>AND(((G2)=TRUE), ((NOT(((O2)=TRUE)))=TRUE), ((NOT(((AJ2)=TRUE)))=TRUE))</vt:lpwstr>
  </property>
  <property fmtid="{D5CDD505-2E9C-101B-9397-08002B2CF9AE}" pid="286" name="erb.formula.Requirements.AttestationExposureNote#1">
    <vt:lpwstr>IF(((NOT(((G2)=TRUE)))=TRUE),  "",  IF(((AL2)=TRUE),  "Unwatched and unowned: exposure defaults to the signatory.",  IF(((AK2)=TRUE),  "Witnessed but unowned: no named accountability.",  IF(((NOT(((O2)=TRUE)))=TRUE),  "Owned but unwitnessed: rests on</vt:lpwstr>
  </property>
  <property fmtid="{D5CDD505-2E9C-101B-9397-08002B2CF9AE}" pid="287" name="erb.formula.Requirements.AttestationExposureNote#2">
    <vt:lpwstr> human judgement.",  ""))))</vt:lpwstr>
  </property>
  <property fmtid="{D5CDD505-2E9C-101B-9397-08002B2CF9AE}" pid="288" name="erb.formula.Requirements.UnwatchedUnownedFlag">
    <vt:lpwstr>IF(((AL2)=TRUE),  "unwatched-unowned",  "")</vt:lpwstr>
  </property>
  <property fmtid="{D5CDD505-2E9C-101B-9397-08002B2CF9AE}" pid="289" name="erb.formula.Requirements.UsesControlledVocabulary">
    <vt:lpwstr>AO2 &lt;&gt; ""</vt:lpwstr>
  </property>
  <property fmtid="{D5CDD505-2E9C-101B-9397-08002B2CF9AE}" pid="290" name="erb.table.Requirements.description">
    <vt:lpwstr>Normative requirements applied to procedures, steps, or transitions. Maps to pko:Requirement and pko:hasRequirement.</vt:lpwstr>
  </property>
  <property fmtid="{D5CDD505-2E9C-101B-9397-08002B2CF9AE}" pid="291" name="erb.formula.StepRequirements.Name">
    <vt:lpwstr>C2 &amp; " / " &amp; D2</vt:lpwstr>
  </property>
  <property fmtid="{D5CDD505-2E9C-101B-9397-08002B2CF9AE}" pid="292" name="erb.formula.StepRequirements.RequirementIsBlocking">
    <vt:lpwstr>IFNA(IF(((INDEX(Requirements!G2:G14, MATCH(D2,Requirements!A2:A14, 0))="")=TRUE),  "",  INDEX(Requirements!G2:G14, MATCH(D2,Requirements!A2:A14, 0))), "")</vt:lpwstr>
  </property>
  <property fmtid="{D5CDD505-2E9C-101B-9397-08002B2CF9AE}" pid="293" name="erb.formula.StepRequirements.BlockingStepKey">
    <vt:lpwstr>IF(((E2)=TRUE),  C2,  "")</vt:lpwstr>
  </property>
  <property fmtid="{D5CDD505-2E9C-101B-9397-08002B2CF9AE}" pid="294" name="erb.formula.StepRequirements.StepWhenBlocking">
    <vt:lpwstr>IF(((E2)=TRUE),  C2,  "")</vt:lpwstr>
  </property>
  <property fmtid="{D5CDD505-2E9C-101B-9397-08002B2CF9AE}" pid="295" name="erb.formula.StepRequirements.RequirementLacksWitness">
    <vt:lpwstr>IFNA(IF(((INDEX(Requirements!W2:W14, MATCH(D2,Requirements!A2:A14, 0))="")=TRUE),  "",  INDEX(Requirements!W2:W14, MATCH(D2,Requirements!A2:A14, 0))), "")</vt:lpwstr>
  </property>
  <property fmtid="{D5CDD505-2E9C-101B-9397-08002B2CF9AE}" pid="296" name="erb.formula.StepRequirements.UnwitnessedStepKey">
    <vt:lpwstr>IF(((H2)=TRUE),  C2,  "")</vt:lpwstr>
  </property>
  <property fmtid="{D5CDD505-2E9C-101B-9397-08002B2CF9AE}" pid="297" name="erb.formula.StepRequirements.SatisfactionCountForBinding">
    <vt:lpwstr>COUNTIFS(RequirementSatisfactions!AE2:AE9, A2)</vt:lpwstr>
  </property>
  <property fmtid="{D5CDD505-2E9C-101B-9397-08002B2CF9AE}" pid="298" name="erb.formula.StepRequirements.BindingWasEverExercised">
    <vt:lpwstr>J2 &gt; 0</vt:lpwstr>
  </property>
  <property fmtid="{D5CDD505-2E9C-101B-9397-08002B2CF9AE}" pid="299" name="erb.formula.StepRequirements.IsUnexercisedBlockingBinding">
    <vt:lpwstr>AND(((E2)=TRUE), ((NOT(((K2)=TRUE)))=TRUE))</vt:lpwstr>
  </property>
  <property fmtid="{D5CDD505-2E9C-101B-9397-08002B2CF9AE}" pid="300" name="erb.formula.StepRequirements.UnexercisedBindingRequirementKey">
    <vt:lpwstr>IF(((L2)=TRUE),  D2,  "")</vt:lpwstr>
  </property>
  <property fmtid="{D5CDD505-2E9C-101B-9397-08002B2CF9AE}" pid="301" name="erb.table.StepRequirements.description">
    <vt:lpwstr>Many-to-many Step/Requirement semantics normalized into an ERB junction table.</vt:lpwstr>
  </property>
  <property fmtid="{D5CDD505-2E9C-101B-9397-08002B2CF9AE}" pid="302" name="erb.formula.StepVerifications.Name">
    <vt:lpwstr>C2 &amp; " / " &amp; D2</vt:lpwstr>
  </property>
  <property fmtid="{D5CDD505-2E9C-101B-9397-08002B2CF9AE}" pid="303" name="erb.table.StepVerifications.description">
    <vt:lpwstr>Verification definitions attached to steps. Maps to pko:StepVerification and pko:SignalVerification.</vt:lpwstr>
  </property>
  <property fmtid="{D5CDD505-2E9C-101B-9397-08002B2CF9AE}" pid="304" name="erb.formula.Rationales.Name">
    <vt:lpwstr>E2</vt:lpwstr>
  </property>
  <property fmtid="{D5CDD505-2E9C-101B-9397-08002B2CF9AE}" pid="305" name="erb.table.Rationales.description">
    <vt:lpwstr>First-class rationale statements explaining why procedural commitments and design decisions exist. Explicit ERB-PKO extension, represented as prov:Entity/dcat:Resource in projections.</vt:lpwstr>
  </property>
  <property fmtid="{D5CDD505-2E9C-101B-9397-08002B2CF9AE}" pid="306" name="erb.formula.Exceptions.Name">
    <vt:lpwstr>E2</vt:lpwstr>
  </property>
  <property fmtid="{D5CDD505-2E9C-101B-9397-08002B2CF9AE}" pid="307" name="erb.formula.Exceptions.ActiveExceptionStepKey">
    <vt:lpwstr>IF(((I2 = "Active")=TRUE),  D2,  "")</vt:lpwstr>
  </property>
  <property fmtid="{D5CDD505-2E9C-101B-9397-08002B2CF9AE}" pid="308" name="erb.table.Exceptions.description">
    <vt:lpwstr>Documented exceptions, fallbacks, and alternative handling. Aligns structurally with PKO fallback/alternative steps and requirements; the exception record itself is an ERB-PKO extension.</vt:lpwstr>
  </property>
  <property fmtid="{D5CDD505-2E9C-101B-9397-08002B2CF9AE}" pid="309" name="erb.formula.Resources.Name">
    <vt:lpwstr>C2</vt:lpwstr>
  </property>
  <property fmtid="{D5CDD505-2E9C-101B-9397-08002B2CF9AE}" pid="310" name="erb.formula.Resources.IsApprovedSource">
    <vt:lpwstr>I2 = "Approved"</vt:lpwstr>
  </property>
  <property fmtid="{D5CDD505-2E9C-101B-9397-08002B2CF9AE}" pid="311" name="erb.table.Resources.description">
    <vt:lpwstr>Documents, datasets, APIs, templates, images, manuals, and operational records referenced by procedures. Maps to dcat:Resource.</vt:lpwstr>
  </property>
  <property fmtid="{D5CDD505-2E9C-101B-9397-08002B2CF9AE}" pid="312" name="erb.formula.ProcedureResources.Name">
    <vt:lpwstr>C2 &amp; " / " &amp; D2</vt:lpwstr>
  </property>
  <property fmtid="{D5CDD505-2E9C-101B-9397-08002B2CF9AE}" pid="313" name="erb.formula.ProcedureResources.RelationIri">
    <vt:lpwstr>IF(((E2 = "wasExtractedFrom")=TRUE),  "https://w3id.org/pko#wasExtractedFrom",  "http://purl.org/dc/terms/references")</vt:lpwstr>
  </property>
  <property fmtid="{D5CDD505-2E9C-101B-9397-08002B2CF9AE}" pid="314" name="erb.table.ProcedureResources.description">
    <vt:lpwstr>Links versioned procedures to supporting resources using PKO/dcterms provenance relations.</vt:lpwstr>
  </property>
  <property fmtid="{D5CDD505-2E9C-101B-9397-08002B2CF9AE}" pid="315" name="erb.formula.ElicitationSessions.Name">
    <vt:lpwstr>D2 &amp; " / " &amp; IF(((E2="")=TRUE),  "",  TEXT(E2, "yyyy-mm-dd\Thh:mm:ss")&amp;"+00:00")</vt:lpwstr>
  </property>
  <property fmtid="{D5CDD505-2E9C-101B-9397-08002B2CF9AE}" pid="316" name="erb.formula.ElicitationSessions.AsOfInstant">
    <vt:lpwstr>IFNA(IF(((INDEX(EvaluationContexts!D2:D2, MATCH(K2,EvaluationContexts!A2:A2, 0))="")=TRUE),  "",  INDEX(EvaluationContexts!D2:D2, MATCH(K2,EvaluationContexts!A2:A2, 0))), "")</vt:lpwstr>
  </property>
  <property fmtid="{D5CDD505-2E9C-101B-9397-08002B2CF9AE}" pid="317" name="erb.formula.ElicitationSessions.DaysSinceElicited">
    <vt:lpwstr>IF((IF(((OR((((L2)="")=TRUE), (((F2)="")=TRUE)))=TRUE),  0,  (INT(L2) - INT(F2))))="", "", ROUND((IF(((OR((((L2)="")=TRUE), (((F2)="")=TRUE)))=TRUE),  0,  (INT(L2) - INT(F2)))), 0))</vt:lpwstr>
  </property>
  <property fmtid="{D5CDD505-2E9C-101B-9397-08002B2CF9AE}" pid="318" name="erb.formula.ElicitationSessions.IsSingleWitnessMethod">
    <vt:lpwstr>OR(((D2 = "Shadowing")=TRUE), ((D2 = "PractitionerInterview")=TRUE))</vt:lpwstr>
  </property>
  <property fmtid="{D5CDD505-2E9C-101B-9397-08002B2CF9AE}" pid="319" name="erb.formula.ElicitationSessions.PractitionerIsStillEngaged">
    <vt:lpwstr>IFNA(IF(((INDEX(Agents!I2:I12, MATCH(G2,Agents!A2:A12, 0))="")=TRUE),  "",  INDEX(Agents!I2:I12, MATCH(G2,Agents!A2:A12, 0))), "")</vt:lpwstr>
  </property>
  <property fmtid="{D5CDD505-2E9C-101B-9397-08002B2CF9AE}" pid="320" name="erb.formula.ElicitationSessions.ValidFragmentsProduced">
    <vt:lpwstr>COUNTIFS(KnowledgeFragments!BF2:BF8, A2)</vt:lpwstr>
  </property>
  <property fmtid="{D5CDD505-2E9C-101B-9397-08002B2CF9AE}" pid="321" name="erb.formula.ElicitationSessions.IsHighYieldSession">
    <vt:lpwstr>P2 &gt;= 3</vt:lpwstr>
  </property>
  <property fmtid="{D5CDD505-2E9C-101B-9397-08002B2CF9AE}" pid="322" name="erb.formula.ElicitationSessions.IsConcentratedSingleWitness">
    <vt:lpwstr>AND(((N2)=TRUE), ((Q2)=TRUE))</vt:lpwstr>
  </property>
  <property fmtid="{D5CDD505-2E9C-101B-9397-08002B2CF9AE}" pid="323" name="erb.formula.ElicitationSessions.IsStaleConcentratedWitness">
    <vt:lpwstr>AND(((R2)=TRUE), ((M2 &gt; 180)=TRUE))</vt:lpwstr>
  </property>
  <property fmtid="{D5CDD505-2E9C-101B-9397-08002B2CF9AE}" pid="324" name="erb.formula.ElicitationSessions.ConcentratedSessionVersionKey">
    <vt:lpwstr>IF(((R2)=TRUE),  C2,  "")</vt:lpwstr>
  </property>
  <property fmtid="{D5CDD505-2E9C-101B-9397-08002B2CF9AE}" pid="325" name="erb.table.ElicitationSessions.description">
    <vt:lpwstr>Structured knowledge-elicitation events involving practitioners and knowledge engineers. Explicit ERB-PKO extension, modeled as prov:Activity.</vt:lpwstr>
  </property>
  <property fmtid="{D5CDD505-2E9C-101B-9397-08002B2CF9AE}" pid="326" name="erb.formula.KnowledgeFragments.Name">
    <vt:lpwstr>E2 &amp; ": " &amp; LEFT(F2, 60)</vt:lpwstr>
  </property>
  <property fmtid="{D5CDD505-2E9C-101B-9397-08002B2CF9AE}" pid="327" name="erb.formula.KnowledgeFragments.AsOfInstant">
    <vt:lpwstr>IFNA(IF(((INDEX(EvaluationContexts!D2:D2, MATCH(N2,EvaluationContexts!A2:A2, 0))="")=TRUE),  "",  INDEX(EvaluationContexts!D2:D2, MATCH(N2,EvaluationContexts!A2:A2, 0))), "")</vt:lpwstr>
  </property>
  <property fmtid="{D5CDD505-2E9C-101B-9397-08002B2CF9AE}" pid="328" name="erb.formula.KnowledgeFragments.IsCurrentlyValid">
    <vt:lpwstr>AND(((J2 &lt;= O2)=TRUE), ((OR(((K2 = "")=TRUE), ((K2 &gt; O2)=TRUE)))=TRUE), ((L2 = "Approved")=TRUE))</vt:lpwstr>
  </property>
  <property fmtid="{D5CDD505-2E9C-101B-9397-08002B2CF9AE}" pid="329" name="erb.formula.KnowledgeFragments.SourceAgentIsStillEngaged">
    <vt:lpwstr>IFNA(IF(((INDEX(Agents!I2:I12, MATCH(H2,Agents!A2:A12, 0))="")=TRUE),  "",  INDEX(Agents!I2:I12, MATCH(H2,Agents!A2:A12, 0))), "")</vt:lpwstr>
  </property>
  <property fmtid="{D5CDD505-2E9C-101B-9397-08002B2CF9AE}" pid="330" name="erb.formula.KnowledgeFragments.SourceAgentKind">
    <vt:lpwstr>IFNA(IF(((INDEX(Agents!D2:D12, MATCH(H2,Agents!A2:A12, 0))="")=TRUE),  "",  INDEX(Agents!D2:D12, MATCH(H2,Agents!A2:A12, 0))), "")</vt:lpwstr>
  </property>
  <property fmtid="{D5CDD505-2E9C-101B-9397-08002B2CF9AE}" pid="331" name="erb.formula.KnowledgeFragments.HasHumanSource">
    <vt:lpwstr>R2 = "Human"</vt:lpwstr>
  </property>
  <property fmtid="{D5CDD505-2E9C-101B-9397-08002B2CF9AE}" pid="332" name="erb.formula.KnowledgeFragments.HasOrphanedProvenance">
    <vt:lpwstr>AND(((P2)=TRUE), ((NOT(((Q2)=TRUE)))=TRUE))</vt:lpwstr>
  </property>
  <property fmtid="{D5CDD505-2E9C-101B-9397-08002B2CF9AE}" pid="333" name="erb.formula.KnowledgeFragments.IsUndefendableTacitClaim">
    <vt:lpwstr>AND(((T2)=TRUE), ((OR(((E2 = "Tacit")=TRUE), ((E2 = "SituatedJudgment")=TRUE)))=TRUE))</vt:lpwstr>
  </property>
  <property fmtid="{D5CDD505-2E9C-101B-9397-08002B2CF9AE}" pid="334" name="erb.formula.KnowledgeFragments.IsApproved">
    <vt:lpwstr>L2 = "Approved"</vt:lpwstr>
  </property>
  <property fmtid="{D5CDD505-2E9C-101B-9397-08002B2CF9AE}" pid="335" name="erb.formula.KnowledgeFragments.IsWithinValidityWindow">
    <vt:lpwstr>AND(((J2 &lt;= O2)=TRUE), ((OR(((K2 = "")=TRUE), ((K2 &gt; O2)=TRUE)))=TRUE))</vt:lpwstr>
  </property>
  <property fmtid="{D5CDD505-2E9C-101B-9397-08002B2CF9AE}" pid="336" name="erb.formula.KnowledgeFragments.IsReliedUpon">
    <vt:lpwstr>AND(((D2 &lt;&gt; "")=TRUE), ((W2)=TRUE))</vt:lpwstr>
  </property>
  <property fmtid="{D5CDD505-2E9C-101B-9397-08002B2CF9AE}" pid="337" name="erb.formula.KnowledgeFragments.StepProcedureVersionStatus">
    <vt:lpwstr>IFNA(IF(((INDEX(Steps!C2:C18, MATCH(D2,Steps!A2:A18, 0))="")=TRUE),  "",  INDEX(Steps!C2:C18, MATCH(D2,Steps!A2:A18, 0))), "")</vt:lpwstr>
  </property>
  <property fmtid="{D5CDD505-2E9C-101B-9397-08002B2CF9AE}" pid="338" name="erb.formula.KnowledgeFragments.IsAttachedToLiveVersion">
    <vt:lpwstr>IFNA(IF(((INDEX(ProcedureVersions!Y2:Y4, MATCH(C2,ProcedureVersions!A2:A4, 0))="")=TRUE),  "",  INDEX(ProcedureVersions!Y2:Y4, MATCH(C2,ProcedureVersions!A2:A4, 0))), "")</vt:lpwstr>
  </property>
  <property fmtid="{D5CDD505-2E9C-101B-9397-08002B2CF9AE}" pid="339" name="erb.formula.KnowledgeFragments.IsUnapprovedButReliedOn">
    <vt:lpwstr>AND(((X2)=TRUE), ((Z2)=TRUE), ((NOT(((V2)=TRUE)))=TRUE))</vt:lpwstr>
  </property>
  <property fmtid="{D5CDD505-2E9C-101B-9397-08002B2CF9AE}" pid="340" name="erb.formula.KnowledgeFragments.EvidenceAgeDays#1">
    <vt:lpwstr>IF((IFNA(IF(((INDEX(ElicitationSessions!M2:M4, MATCH(G2,ElicitationSessions!A2:A4, 0))="")=TRUE),  "",  INDEX(ElicitationSessions!M2:M4, MATCH(G2,ElicitationSessions!A2:A4, 0))), ""))="", "", ROUND((IFNA(IF(((INDEX(ElicitationSessions!M2:M4, MATCH(G2</vt:lpwstr>
  </property>
  <property fmtid="{D5CDD505-2E9C-101B-9397-08002B2CF9AE}" pid="341" name="erb.formula.KnowledgeFragments.EvidenceAgeDays#2">
    <vt:lpwstr>,ElicitationSessions!A2:A4, 0))="")=TRUE),  "",  INDEX(ElicitationSessions!M2:M4, MATCH(G2,ElicitationSessions!A2:A4, 0))), "")), 0))</vt:lpwstr>
  </property>
  <property fmtid="{D5CDD505-2E9C-101B-9397-08002B2CF9AE}" pid="342" name="erb.formula.KnowledgeFragments.HasRecordedElicitation">
    <vt:lpwstr>G2 &lt;&gt; ""</vt:lpwstr>
  </property>
  <property fmtid="{D5CDD505-2E9C-101B-9397-08002B2CF9AE}" pid="343" name="erb.formula.KnowledgeFragments.IsFromSingleWitness">
    <vt:lpwstr>IFNA(IF(((INDEX(ElicitationSessions!N2:N4, MATCH(G2,ElicitationSessions!A2:A4, 0))="")=TRUE),  "",  INDEX(ElicitationSessions!N2:N4, MATCH(G2,ElicitationSessions!A2:A4, 0))), "")</vt:lpwstr>
  </property>
  <property fmtid="{D5CDD505-2E9C-101B-9397-08002B2CF9AE}" pid="344" name="erb.formula.KnowledgeFragments.EvidenceExpiryDays">
    <vt:lpwstr>IF((IF(((AD2)=TRUE),  180,  365))="", "", ROUND((IF(((AD2)=TRUE),  180,  365)), 0))</vt:lpwstr>
  </property>
  <property fmtid="{D5CDD505-2E9C-101B-9397-08002B2CF9AE}" pid="345" name="erb.formula.KnowledgeFragments.EvidenceHasExpired">
    <vt:lpwstr>AND(((AC2)=TRUE), ((AB2 &gt; AE2)=TRUE))</vt:lpwstr>
  </property>
  <property fmtid="{D5CDD505-2E9C-101B-9397-08002B2CF9AE}" pid="346" name="erb.formula.KnowledgeFragments.OwnerAgent">
    <vt:lpwstr>IFNA(IF(((INDEX(Roles!E2:E13, MATCH(M2,Roles!A2:A13, 0))="")=TRUE),  "",  INDEX(Roles!E2:E13, MATCH(M2,Roles!A2:A13, 0))), "")</vt:lpwstr>
  </property>
  <property fmtid="{D5CDD505-2E9C-101B-9397-08002B2CF9AE}" pid="347" name="erb.formula.KnowledgeFragments.IsAwaitingApproval">
    <vt:lpwstr>L2 = "Reviewed"</vt:lpwstr>
  </property>
  <property fmtid="{D5CDD505-2E9C-101B-9397-08002B2CF9AE}" pid="348" name="erb.formula.KnowledgeFragments.OwnerIsMe">
    <vt:lpwstr>M2 = "hr-policy-owner"</vt:lpwstr>
  </property>
  <property fmtid="{D5CDD505-2E9C-101B-9397-08002B2CF9AE}" pid="349" name="erb.formula.KnowledgeFragments.IsMyUnfinishedApproval">
    <vt:lpwstr>AND(((AI2)=TRUE), ((AH2)=TRUE))</vt:lpwstr>
  </property>
  <property fmtid="{D5CDD505-2E9C-101B-9397-08002B2CF9AE}" pid="350" name="erb.formula.KnowledgeFragments.IsInvokedByAnException">
    <vt:lpwstr>IF((COUNTIFS(Exceptions!D2:D5,D2))="", "", ROUND((COUNTIFS(Exceptions!D2:D5,D2)), 0))</vt:lpwstr>
  </property>
  <property fmtid="{D5CDD505-2E9C-101B-9397-08002B2CF9AE}" pid="351" name="erb.formula.KnowledgeFragments.HasOperationalReliance">
    <vt:lpwstr>AK2 &gt; 0</vt:lpwstr>
  </property>
  <property fmtid="{D5CDD505-2E9C-101B-9397-08002B2CF9AE}" pid="352" name="erb.formula.KnowledgeFragments.IsUnapprovedAndOperationallyLive">
    <vt:lpwstr>AND(((AJ2)=TRUE), ((AL2)=TRUE))</vt:lpwstr>
  </property>
  <property fmtid="{D5CDD505-2E9C-101B-9397-08002B2CF9AE}" pid="353" name="erb.formula.KnowledgeFragments.AgeDays">
    <vt:lpwstr>IF((IF(((OR((((O2)="")=TRUE), (((J2)="")=TRUE)))=TRUE),  0,  (INT(O2) - INT(J2))))="", "", ROUND((IF(((OR((((O2)="")=TRUE), (((J2)="")=TRUE)))=TRUE),  0,  (INT(O2) - INT(J2)))), 0))</vt:lpwstr>
  </property>
  <property fmtid="{D5CDD505-2E9C-101B-9397-08002B2CF9AE}" pid="354" name="erb.formula.KnowledgeFragments.IsLowConfidence">
    <vt:lpwstr>OR(((I2 = "Medium")=TRUE), ((I2 = "Low")=TRUE))</vt:lpwstr>
  </property>
  <property fmtid="{D5CDD505-2E9C-101B-9397-08002B2CF9AE}" pid="355" name="erb.formula.KnowledgeFragments.OwningVersionCadenceDays#1">
    <vt:lpwstr>IF((IFNA(IF(((INDEX(ProcedureVersions!V2:V4, MATCH(C2,ProcedureVersions!A2:A4, 0))="")=TRUE),  "",  INDEX(ProcedureVersions!V2:V4, MATCH(C2,ProcedureVersions!A2:A4, 0))), ""))="", "", ROUND((IFNA(IF(((INDEX(ProcedureVersions!V2:V4, MATCH(C2,Procedure</vt:lpwstr>
  </property>
  <property fmtid="{D5CDD505-2E9C-101B-9397-08002B2CF9AE}" pid="356" name="erb.formula.KnowledgeFragments.OwningVersionCadenceDays#2">
    <vt:lpwstr>Versions!A2:A4, 0))="")=TRUE),  "",  INDEX(ProcedureVersions!V2:V4, MATCH(C2,ProcedureVersions!A2:A4, 0))), "")), 0))</vt:lpwstr>
  </property>
  <property fmtid="{D5CDD505-2E9C-101B-9397-08002B2CF9AE}" pid="357" name="erb.formula.KnowledgeFragments.ExceedsOwningCadence">
    <vt:lpwstr>AN2 &gt; AP2</vt:lpwstr>
  </property>
  <property fmtid="{D5CDD505-2E9C-101B-9397-08002B2CF9AE}" pid="358" name="erb.formula.KnowledgeFragments.IsAgingLowConfidenceClaim">
    <vt:lpwstr>AND(((AQ2)=TRUE), ((AO2)=TRUE))</vt:lpwstr>
  </property>
  <property fmtid="{D5CDD505-2E9C-101B-9397-08002B2CF9AE}" pid="359" name="erb.formula.KnowledgeFragments.OwnerRoleAgentKind">
    <vt:lpwstr>IFNA(IF(((INDEX(Roles!F2:F13, MATCH(M2,Roles!A2:A13, 0))="")=TRUE),  "",  INDEX(Roles!F2:F13, MATCH(M2,Roles!A2:A13, 0))), "")</vt:lpwstr>
  </property>
  <property fmtid="{D5CDD505-2E9C-101B-9397-08002B2CF9AE}" pid="360" name="erb.formula.KnowledgeFragments.IsHumanOwned">
    <vt:lpwstr>AS2 = "Human"</vt:lpwstr>
  </property>
  <property fmtid="{D5CDD505-2E9C-101B-9397-08002B2CF9AE}" pid="361" name="erb.formula.KnowledgeFragments.IsAiValidatedByAi">
    <vt:lpwstr>AND(((NOT(((R2 = "Human")=TRUE)))=TRUE), ((NOT(((AT2)=TRUE)))=TRUE))</vt:lpwstr>
  </property>
  <property fmtid="{D5CDD505-2E9C-101B-9397-08002B2CF9AE}" pid="362" name="erb.formula.KnowledgeFragments.ReviewCadenceDays#1">
    <vt:lpwstr>IF((IFNA(IF(((INDEX(ProcedureVersions!V2:V4, MATCH(C2,ProcedureVersions!A2:A4, 0))="")=TRUE),  "",  INDEX(ProcedureVersions!V2:V4, MATCH(C2,ProcedureVersions!A2:A4, 0))), ""))="", "", ROUND((IFNA(IF(((INDEX(ProcedureVersions!V2:V4, MATCH(C2,Procedure</vt:lpwstr>
  </property>
  <property fmtid="{D5CDD505-2E9C-101B-9397-08002B2CF9AE}" pid="363" name="erb.formula.KnowledgeFragments.ReviewCadenceDays#2">
    <vt:lpwstr>Versions!A2:A4, 0))="")=TRUE),  "",  INDEX(ProcedureVersions!V2:V4, MATCH(C2,ProcedureVersions!A2:A4, 0))), "")), 0))</vt:lpwstr>
  </property>
  <property fmtid="{D5CDD505-2E9C-101B-9397-08002B2CF9AE}" pid="364" name="erb.formula.KnowledgeFragments.IsOverdueForReview">
    <vt:lpwstr>AND(((P2)=TRUE), ((AN2 &gt; AV2)=TRUE))</vt:lpwstr>
  </property>
  <property fmtid="{D5CDD505-2E9C-101B-9397-08002B2CF9AE}" pid="365" name="erb.formula.KnowledgeFragments.PredatesCurrentRoleHolder">
    <vt:lpwstr>AND(((AS2 &lt;&gt; "")=TRUE), ((J2 &lt; AY2)=TRUE))</vt:lpwstr>
  </property>
  <property fmtid="{D5CDD505-2E9C-101B-9397-08002B2CF9AE}" pid="366" name="erb.formula.KnowledgeFragments.OwnerRoleAssignmentValidFrom">
    <vt:lpwstr>IFNA(IF(((INDEX(Roles!M2:M13, MATCH(M2,Roles!A2:A13, 0))="")=TRUE),  "",  INDEX(Roles!M2:M13, MATCH(M2,Roles!A2:A13, 0))), "")</vt:lpwstr>
  </property>
  <property fmtid="{D5CDD505-2E9C-101B-9397-08002B2CF9AE}" pid="367" name="erb.formula.KnowledgeFragments.FragilitySignalCount">
    <vt:lpwstr>IF((IF(((AD2)=TRUE),  1,  0) + IF(((AW2)=TRUE),  1,  0) + IF(((AO2)=TRUE),  1,  0) + IF(((AL2)=TRUE),  1,  0))="", "", ROUND((IF(((AD2)=TRUE),  1,  0) + IF(((AW2)=TRUE),  1,  0) + IF(((AO2)=TRUE),  1,  0) + IF(((AL2)=TRUE),  1,  0)), 0))</vt:lpwstr>
  </property>
  <property fmtid="{D5CDD505-2E9C-101B-9397-08002B2CF9AE}" pid="368" name="erb.formula.KnowledgeFragments.IsCompoundFragile">
    <vt:lpwstr>BA2 &gt;= 3</vt:lpwstr>
  </property>
  <property fmtid="{D5CDD505-2E9C-101B-9397-08002B2CF9AE}" pid="369" name="erb.formula.KnowledgeFragments.IsSinglePointOfFailure">
    <vt:lpwstr>AND(((AD2)=TRUE), ((AL2)=TRUE))</vt:lpwstr>
  </property>
  <property fmtid="{D5CDD505-2E9C-101B-9397-08002B2CF9AE}" pid="370" name="erb.formula.KnowledgeFragments.IsExpiringSinglePointOfFailure">
    <vt:lpwstr>AND(((BC2)=TRUE), ((AW2)=TRUE))</vt:lpwstr>
  </property>
  <property fmtid="{D5CDD505-2E9C-101B-9397-08002B2CF9AE}" pid="371" name="erb.formula.KnowledgeFragments.CompoundFragileVersionKey">
    <vt:lpwstr>IF(((BB2)=TRUE),  C2,  "")</vt:lpwstr>
  </property>
  <property fmtid="{D5CDD505-2E9C-101B-9397-08002B2CF9AE}" pid="372" name="erb.formula.KnowledgeFragments.ValidFragmentSessionKey">
    <vt:lpwstr>IF(((P2)=TRUE),  G2,  "")</vt:lpwstr>
  </property>
  <property fmtid="{D5CDD505-2E9C-101B-9397-08002B2CF9AE}" pid="373" name="erb.formula.KnowledgeFragments.ConsumingStepIsSoftwareAssigned">
    <vt:lpwstr>IFNA(IF(((INDEX(Steps!W2:W18, MATCH(D2,Steps!A2:A18, 0))="")=TRUE),  "",  INDEX(Steps!W2:W18, MATCH(D2,Steps!A2:A18, 0))), "")</vt:lpwstr>
  </property>
  <property fmtid="{D5CDD505-2E9C-101B-9397-08002B2CF9AE}" pid="374" name="erb.formula.KnowledgeFragments.ConsumingStepAgentKind">
    <vt:lpwstr>IFNA(IF(((INDEX(Steps!I2:I18, MATCH(D2,Steps!A2:A18, 0))="")=TRUE),  "",  INDEX(Steps!I2:I18, MATCH(D2,Steps!A2:A18, 0))), "")</vt:lpwstr>
  </property>
  <property fmtid="{D5CDD505-2E9C-101B-9397-08002B2CF9AE}" pid="375" name="erb.formula.KnowledgeFragments.IsUnapprovedAndMachineConsumed">
    <vt:lpwstr>AND(((AA2)=TRUE), ((BG2)=TRUE))</vt:lpwstr>
  </property>
  <property fmtid="{D5CDD505-2E9C-101B-9397-08002B2CF9AE}" pid="376" name="erb.formula.KnowledgeFragments.IsUnapprovedAndHumanConsumed">
    <vt:lpwstr>AND(((AA2)=TRUE), ((NOT(((BG2)=TRUE)))=TRUE))</vt:lpwstr>
  </property>
  <property fmtid="{D5CDD505-2E9C-101B-9397-08002B2CF9AE}" pid="377" name="erb.formula.KnowledgeFragments.MachineConsumedUnapprovedVersionKey">
    <vt:lpwstr>IF(((BI2)=TRUE),  C2,  "")</vt:lpwstr>
  </property>
  <property fmtid="{D5CDD505-2E9C-101B-9397-08002B2CF9AE}" pid="378" name="erb.formula.KnowledgeFragments.HasReviewRecord">
    <vt:lpwstr>AZ2 &lt;&gt; ""</vt:lpwstr>
  </property>
  <property fmtid="{D5CDD505-2E9C-101B-9397-08002B2CF9AE}" pid="379" name="erb.formula.KnowledgeFragments.DaysSinceActualReview">
    <vt:lpwstr>IF((IF(((BL2)=TRUE),  IF(((OR((((O2)="")=TRUE), (((AZ2)="")=TRUE)))=TRUE),  0,  (INT(O2) - INT(AZ2))),  0))="", "", ROUND((IF(((BL2)=TRUE),  IF(((OR((((O2)="")=TRUE), (((AZ2)="")=TRUE)))=TRUE),  0,  (INT(O2) - INT(AZ2))),  0)), 0))</vt:lpwstr>
  </property>
  <property fmtid="{D5CDD505-2E9C-101B-9397-08002B2CF9AE}" pid="380" name="erb.formula.KnowledgeFragments.IsUnreviewedSinceAuthoring">
    <vt:lpwstr>AND(((P2)=TRUE), ((NOT(((BL2)=TRUE)))=TRUE))</vt:lpwstr>
  </property>
  <property fmtid="{D5CDD505-2E9C-101B-9397-08002B2CF9AE}" pid="381" name="erb.formula.KnowledgeFragments.IsGenuinelyOverdue">
    <vt:lpwstr>AND(((P2)=TRUE), ((BL2)=TRUE), ((BM2 &gt; AV2)=TRUE))</vt:lpwstr>
  </property>
  <property fmtid="{D5CDD505-2E9C-101B-9397-08002B2CF9AE}" pid="382" name="erb.formula.KnowledgeFragments.ReviewRecencyIsInferred">
    <vt:lpwstr>AND(((AW2)=TRUE), ((NOT(((BL2)=TRUE)))=TRUE))</vt:lpwstr>
  </property>
  <property fmtid="{D5CDD505-2E9C-101B-9397-08002B2CF9AE}" pid="383" name="erb.formula.KnowledgeFragments.InferenceDisagreesWithRecord">
    <vt:lpwstr>AND(((BL2)=TRUE), ((AW2)=TRUE), ((NOT(((BO2)=TRUE)))=TRUE))</vt:lpwstr>
  </property>
  <property fmtid="{D5CDD505-2E9C-101B-9397-08002B2CF9AE}" pid="384" name="erb.formula.KnowledgeFragments.GenuinelyOverdueVersionKey">
    <vt:lpwstr>IF(((BO2)=TRUE),  C2,  "")</vt:lpwstr>
  </property>
  <property fmtid="{D5CDD505-2E9C-101B-9397-08002B2CF9AE}" pid="385" name="erb.formula.KnowledgeFragments.RatifiedBoundaryCount">
    <vt:lpwstr>COUNTIFS(AuthorityBoundaries!AA2:AA4, A2)</vt:lpwstr>
  </property>
  <property fmtid="{D5CDD505-2E9C-101B-9397-08002B2CF9AE}" pid="386" name="erb.formula.KnowledgeFragments.RelianceSurfaceCount">
    <vt:lpwstr>IF((AK2 + BS2)="", "", ROUND((AK2 + BS2), 0))</vt:lpwstr>
  </property>
  <property fmtid="{D5CDD505-2E9C-101B-9397-08002B2CF9AE}" pid="387" name="erb.formula.KnowledgeFragments.DaysAwaitingMyApproval">
    <vt:lpwstr>IF((IF(((AJ2)=TRUE),  IF(((OR((((O2)="")=TRUE), (((J2)="")=TRUE)))=TRUE),  0,  (INT(O2) - INT(J2))),  0))="", "", ROUND((IF(((AJ2)=TRUE),  IF(((OR((((O2)="")=TRUE), (((J2)="")=TRUE)))=TRUE),  0,  (INT(O2) - INT(J2))),  0)), 0))</vt:lpwstr>
  </property>
  <property fmtid="{D5CDD505-2E9C-101B-9397-08002B2CF9AE}" pid="388" name="erb.formula.KnowledgeFragments.IsHighBlastRadiusUnapproved">
    <vt:lpwstr>AND(((AM2)=TRUE), ((BT2 &gt; 1)=TRUE))</vt:lpwstr>
  </property>
  <property fmtid="{D5CDD505-2E9C-101B-9397-08002B2CF9AE}" pid="389" name="erb.formula.KnowledgeFragments.IsLongUnapproved">
    <vt:lpwstr>AND(((AJ2)=TRUE), ((BU2 &gt; 30)=TRUE))</vt:lpwstr>
  </property>
  <property fmtid="{D5CDD505-2E9C-101B-9397-08002B2CF9AE}" pid="390" name="erb.formula.KnowledgeFragments.UnapprovedLoadBearingVersionKey">
    <vt:lpwstr>IF(((BV2)=TRUE),  C2,  "")</vt:lpwstr>
  </property>
  <property fmtid="{D5CDD505-2E9C-101B-9397-08002B2CF9AE}" pid="391" name="erb.formula.KnowledgeFragments.OwnerRoleIsVacated">
    <vt:lpwstr>IFNA(IF(((INDEX(Roles!R2:R13, MATCH(M2,Roles!A2:A13, 0))="")=TRUE),  "",  INDEX(Roles!R2:R13, MATCH(M2,Roles!A2:A13, 0))), "")</vt:lpwstr>
  </property>
  <property fmtid="{D5CDD505-2E9C-101B-9397-08002B2CF9AE}" pid="392" name="erb.formula.KnowledgeFragments.IsOrphanedByRole">
    <vt:lpwstr>AND(((P2)=TRUE), ((BY2)=TRUE))</vt:lpwstr>
  </property>
  <property fmtid="{D5CDD505-2E9C-101B-9397-08002B2CF9AE}" pid="393" name="erb.formula.KnowledgeFragments.ValidFragmentVersionKey">
    <vt:lpwstr>IF(((P2)=TRUE),  C2,  "")</vt:lpwstr>
  </property>
  <property fmtid="{D5CDD505-2E9C-101B-9397-08002B2CF9AE}" pid="394" name="erb.table.KnowledgeFragments.description">
    <vt:lpwstr>Explicit records of tacit, implicit, explicit, and situated procedural knowledge. This is an ERB-PKO extension represented as provenance-bearing dcat:Resource instances.</vt:lpwstr>
  </property>
  <property fmtid="{D5CDD505-2E9C-101B-9397-08002B2CF9AE}" pid="395" name="erb.formula.KnowledgeGaps.Name">
    <vt:lpwstr>F2 &amp; ": " &amp; LEFT(E2, 60)</vt:lpwstr>
  </property>
  <property fmtid="{D5CDD505-2E9C-101B-9397-08002B2CF9AE}" pid="396" name="erb.formula.KnowledgeGaps.IsOpen">
    <vt:lpwstr>OR(((H2 = "Open")=TRUE), ((H2 = "Investigating")=TRUE))</vt:lpwstr>
  </property>
  <property fmtid="{D5CDD505-2E9C-101B-9397-08002B2CF9AE}" pid="397" name="erb.formula.KnowledgeGaps.OpenGapVersionKey">
    <vt:lpwstr>IF(((AND(((L2)=TRUE), ((F2 = "High")=TRUE)))=TRUE),  C2,  "")</vt:lpwstr>
  </property>
  <property fmtid="{D5CDD505-2E9C-101B-9397-08002B2CF9AE}" pid="398" name="erb.formula.KnowledgeGaps.IsBlocking">
    <vt:lpwstr>G2 = "Blocking"</vt:lpwstr>
  </property>
  <property fmtid="{D5CDD505-2E9C-101B-9397-08002B2CF9AE}" pid="399" name="erb.formula.KnowledgeGaps.IsOpenAndBlocking">
    <vt:lpwstr>AND(((L2)=TRUE), ((N2)=TRUE))</vt:lpwstr>
  </property>
  <property fmtid="{D5CDD505-2E9C-101B-9397-08002B2CF9AE}" pid="400" name="erb.formula.KnowledgeGaps.AsOfInstant">
    <vt:lpwstr>IFNA(IF(((INDEX(EvaluationContexts!D2:D2, MATCH(P2,EvaluationContexts!A2:A2, 0))="")=TRUE),  "",  INDEX(EvaluationContexts!D2:D2, MATCH(P2,EvaluationContexts!A2:A2, 0))), "")</vt:lpwstr>
  </property>
  <property fmtid="{D5CDD505-2E9C-101B-9397-08002B2CF9AE}" pid="401" name="erb.formula.KnowledgeGaps.DaysOpen">
    <vt:lpwstr>IF((IF(((L2)=TRUE),  IF(((OR((((Q2)="")=TRUE), (((J2)="")=TRUE)))=TRUE),  0,  (INT(Q2) - INT(J2))),  0))="", "", ROUND((IF(((L2)=TRUE),  IF(((OR((((Q2)="")=TRUE), (((J2)="")=TRUE)))=TRUE),  0,  (INT(Q2) - INT(J2))),  0)), 0))</vt:lpwstr>
  </property>
  <property fmtid="{D5CDD505-2E9C-101B-9397-08002B2CF9AE}" pid="402" name="erb.formula.KnowledgeGaps.ToleranceDays">
    <vt:lpwstr>IF((IF(((F2 = "High")=TRUE),  30,  IF(((F2 = "Medium")=TRUE),  90,  180)))="", "", ROUND((IF(((F2 = "High")=TRUE),  30,  IF(((F2 = "Medium")=TRUE),  90,  180))), 0))</vt:lpwstr>
  </property>
  <property fmtid="{D5CDD505-2E9C-101B-9397-08002B2CF9AE}" pid="403" name="erb.formula.KnowledgeGaps.IsOverdueGap">
    <vt:lpwstr>R2 &gt; S2</vt:lpwstr>
  </property>
  <property fmtid="{D5CDD505-2E9C-101B-9397-08002B2CF9AE}" pid="404" name="erb.formula.KnowledgeGaps.OwnerAgent">
    <vt:lpwstr>IFNA(IF(((INDEX(Roles!E2:E13, MATCH(I2,Roles!A2:A13, 0))="")=TRUE),  "",  INDEX(Roles!E2:E13, MATCH(I2,Roles!A2:A13, 0))), "")</vt:lpwstr>
  </property>
  <property fmtid="{D5CDD505-2E9C-101B-9397-08002B2CF9AE}" pid="405" name="erb.formula.KnowledgeGaps.OwnerIsStillEngaged">
    <vt:lpwstr>IFNA(IF(((INDEX(Agents!I2:I12, MATCH(U2,Agents!A2:A12, 0))="")=TRUE),  "",  INDEX(Agents!I2:I12, MATCH(U2,Agents!A2:A12, 0))), "")</vt:lpwstr>
  </property>
  <property fmtid="{D5CDD505-2E9C-101B-9397-08002B2CF9AE}" pid="406" name="erb.formula.KnowledgeGaps.HasResolutionPlan">
    <vt:lpwstr>K2 &lt;&gt; ""</vt:lpwstr>
  </property>
  <property fmtid="{D5CDD505-2E9C-101B-9397-08002B2CF9AE}" pid="407" name="erb.formula.KnowledgeGaps.IsAbandonedUnknown">
    <vt:lpwstr>AND(((T2)=TRUE), ((OR(((NOT(((W2)=TRUE)))=TRUE), ((NOT(((V2)=TRUE)))=TRUE)))=TRUE))</vt:lpwstr>
  </property>
  <property fmtid="{D5CDD505-2E9C-101B-9397-08002B2CF9AE}" pid="408" name="erb.formula.KnowledgeGaps.OpenBlockingGapVersionKey">
    <vt:lpwstr>IF(((O2)=TRUE),  C2,  "")</vt:lpwstr>
  </property>
  <property fmtid="{D5CDD505-2E9C-101B-9397-08002B2CF9AE}" pid="409" name="erb.formula.KnowledgeGaps.OwnerRoleIsVacated">
    <vt:lpwstr>IFNA(IF(((INDEX(Roles!R2:R13, MATCH(I2,Roles!A2:A13, 0))="")=TRUE),  "",  INDEX(Roles!R2:R13, MATCH(I2,Roles!A2:A13, 0))), "")</vt:lpwstr>
  </property>
  <property fmtid="{D5CDD505-2E9C-101B-9397-08002B2CF9AE}" pid="410" name="erb.formula.KnowledgeGaps.IsOwnerlessOpenGap">
    <vt:lpwstr>AND(((L2)=TRUE), ((Z2)=TRUE))</vt:lpwstr>
  </property>
  <property fmtid="{D5CDD505-2E9C-101B-9397-08002B2CF9AE}" pid="411" name="erb.table.KnowledgeGaps.description">
    <vt:lpwstr>Known unknowns and missing procedural coverage. Explicit ERB-PKO extension used to govern scope and prevent silent incompleteness.</vt:lpwstr>
  </property>
  <property fmtid="{D5CDD505-2E9C-101B-9397-08002B2CF9AE}" pid="412" name="erb.formula.FAQs.Name">
    <vt:lpwstr>G2</vt:lpwstr>
  </property>
  <property fmtid="{D5CDD505-2E9C-101B-9397-08002B2CF9AE}" pid="413" name="erb.table.FAQs.description">
    <vt:lpwstr>Frequently asked procedural questions. Maps to pko:FrequentlyAskedQuestion, question, answer, hasFAQCategory, and hasFAQTarget.</vt:lpwstr>
  </property>
  <property fmtid="{D5CDD505-2E9C-101B-9397-08002B2CF9AE}" pid="414" name="erb.formula.Explanations.Name">
    <vt:lpwstr>E2</vt:lpwstr>
  </property>
  <property fmtid="{D5CDD505-2E9C-101B-9397-08002B2CF9AE}" pid="415" name="erb.table.Explanations.description">
    <vt:lpwstr>Explainable derivation artifacts associated with procedural decisions. Maps to pko:Explanation and pko:hasExplanation.</vt:lpwstr>
  </property>
  <property fmtid="{D5CDD505-2E9C-101B-9397-08002B2CF9AE}" pid="416" name="erb.formula.ProcedureExecutions.Name">
    <vt:lpwstr>C2 &amp; " / " &amp; H2</vt:lpwstr>
  </property>
  <property fmtid="{D5CDD505-2E9C-101B-9397-08002B2CF9AE}" pid="417" name="erb.formula.ProcedureExecutions.ExpectedStepCount">
    <vt:lpwstr>IFNA(IF(((INDEX(ProcedureVersions!Q2:Q4, MATCH(C2,ProcedureVersions!A2:A4, 0))="")=TRUE),  "",  INDEX(ProcedureVersions!Q2:Q4, MATCH(C2,ProcedureVersions!A2:A4, 0))), "")</vt:lpwstr>
  </property>
  <property fmtid="{D5CDD505-2E9C-101B-9397-08002B2CF9AE}" pid="418" name="erb.formula.ProcedureExecutions.CompletedStepCount">
    <vt:lpwstr>COUNTIFS(StepExecutions!AQ2:AQ13, A2)</vt:lpwstr>
  </property>
  <property fmtid="{D5CDD505-2E9C-101B-9397-08002B2CF9AE}" pid="419" name="erb.formula.ProcedureExecutions.ControlBreachCount">
    <vt:lpwstr>COUNTIFS(StepExecutions!AR2:AR13, A2)</vt:lpwstr>
  </property>
  <property fmtid="{D5CDD505-2E9C-101B-9397-08002B2CF9AE}" pid="420" name="erb.formula.ProcedureExecutions.LateStepCount">
    <vt:lpwstr>COUNTIFS(StepExecutions!AS2:AS13, A2)</vt:lpwstr>
  </property>
  <property fmtid="{D5CDD505-2E9C-101B-9397-08002B2CF9AE}" pid="421" name="erb.formula.ProcedureExecutions.IsStructurallyComplete">
    <vt:lpwstr>K2 &gt;= J2</vt:lpwstr>
  </property>
  <property fmtid="{D5CDD505-2E9C-101B-9397-08002B2CF9AE}" pid="422" name="erb.formula.ProcedureExecutions.DivergedFromSpecification">
    <vt:lpwstr>OR(((NOT(((N2)=TRUE)))=TRUE), ((L2 &gt; 0)=TRUE))</vt:lpwstr>
  </property>
  <property fmtid="{D5CDD505-2E9C-101B-9397-08002B2CF9AE}" pid="423" name="erb.formula.ProcedureExecutions.AllBlockingControlsEvaluated">
    <vt:lpwstr>Q2 = 0</vt:lpwstr>
  </property>
  <property fmtid="{D5CDD505-2E9C-101B-9397-08002B2CF9AE}" pid="424" name="erb.formula.ProcedureExecutions.UnevaluatedBlockingTotal">
    <vt:lpwstr>COUNTIFS(StepExecutions!AY2:AY13, A2)</vt:lpwstr>
  </property>
  <property fmtid="{D5CDD505-2E9C-101B-9397-08002B2CF9AE}" pid="425" name="erb.formula.ProcedureExecutions.SeparationOfDutiesHeld">
    <vt:lpwstr>S2 = 0</vt:lpwstr>
  </property>
  <property fmtid="{D5CDD505-2E9C-101B-9397-08002B2CF9AE}" pid="426" name="erb.formula.ProcedureExecutions.SeparationViolationCount">
    <vt:lpwstr>COUNTIFS(StepExecutions!AZ2:AZ13, A2)</vt:lpwstr>
  </property>
  <property fmtid="{D5CDD505-2E9C-101B-9397-08002B2CF9AE}" pid="427" name="erb.formula.ProcedureExecutions.IsAttestationReady">
    <vt:lpwstr>AND(((N2)=TRUE), ((NOT(((O2)=TRUE)))=TRUE), ((P2)=TRUE), ((R2)=TRUE))</vt:lpwstr>
  </property>
  <property fmtid="{D5CDD505-2E9C-101B-9397-08002B2CF9AE}" pid="428" name="erb.formula.ProcedureExecutions.AttestationBlockerSummary#1">
    <vt:lpwstr>IF(((T2)=TRUE),  "",  IF(((NOT(((N2)=TRUE)))=TRUE),  "Incomplete: specified steps did not all complete.",  IF(((S2 &gt; 0)=TRUE),  "Segregation of duties violated.",  IF(((Q2 &gt; 0)=TRUE),  "Blocking controls were never evaluated.",  "Control breach recor</vt:lpwstr>
  </property>
  <property fmtid="{D5CDD505-2E9C-101B-9397-08002B2CF9AE}" pid="429" name="erb.formula.ProcedureExecutions.AttestationBlockerSummary#2">
    <vt:lpwstr>ded on one or more steps."))))</vt:lpwstr>
  </property>
  <property fmtid="{D5CDD505-2E9C-101B-9397-08002B2CF9AE}" pid="430" name="erb.formula.ProcedureExecutions.ExecutedVersionIsFit">
    <vt:lpwstr>IFNA(IF(((INDEX(ProcedureVersions!U2:U4, MATCH(C2,ProcedureVersions!A2:A4, 0))="")=TRUE),  "",  INDEX(ProcedureVersions!U2:U4, MATCH(C2,ProcedureVersions!A2:A4, 0))), "")</vt:lpwstr>
  </property>
  <property fmtid="{D5CDD505-2E9C-101B-9397-08002B2CF9AE}" pid="431" name="erb.formula.ProcedureExecutions.SignedAgainstUnfitVersion">
    <vt:lpwstr>AND(((D2 = "Completed")=TRUE), ((NOT(((V2)=TRUE)))=TRUE))</vt:lpwstr>
  </property>
  <property fmtid="{D5CDD505-2E9C-101B-9397-08002B2CF9AE}" pid="432" name="erb.formula.ProcedureExecutions.AssertedOnlyControlCount">
    <vt:lpwstr>COUNTIFS(RequirementSatisfactions!S2:S9, A2)</vt:lpwstr>
  </property>
  <property fmtid="{D5CDD505-2E9C-101B-9397-08002B2CF9AE}" pid="433" name="erb.formula.ProcedureExecutions.AssuranceIsMostlyAsserted">
    <vt:lpwstr>X2 &gt; 0</vt:lpwstr>
  </property>
  <property fmtid="{D5CDD505-2E9C-101B-9397-08002B2CF9AE}" pid="434" name="erb.formula.ProcedureExecutions.UnreachableHandlingFailureCount">
    <vt:lpwstr>COUNTIFS(MessageDeliveries!AI2:AI7, A2)</vt:lpwstr>
  </property>
  <property fmtid="{D5CDD505-2E9C-101B-9397-08002B2CF9AE}" pid="435" name="erb.formula.ProcedureExecutions.RetentionBreachCount">
    <vt:lpwstr>COUNTIFS(MessageDeliveries!AR2:AR7, A2)</vt:lpwstr>
  </property>
  <property fmtid="{D5CDD505-2E9C-101B-9397-08002B2CF9AE}" pid="436" name="erb.formula.ProcedureExecutions.ClearedLegalReviewCount">
    <vt:lpwstr>COUNTIFS(StepExecutions!BI2:BI13, A2)</vt:lpwstr>
  </property>
  <property fmtid="{D5CDD505-2E9C-101B-9397-08002B2CF9AE}" pid="437" name="erb.formula.ProcedureExecutions.HasClearedLegalReview">
    <vt:lpwstr>AB2 &gt; 0</vt:lpwstr>
  </property>
  <property fmtid="{D5CDD505-2E9C-101B-9397-08002B2CF9AE}" pid="438" name="erb.formula.ProcedureExecutions.AbandonedFailureCount">
    <vt:lpwstr>COUNTIFS(MessageDeliveries!BN2:BN7, A2)</vt:lpwstr>
  </property>
  <property fmtid="{D5CDD505-2E9C-101B-9397-08002B2CF9AE}" pid="439" name="erb.formula.ProcedureExecutions.DeliveredCount">
    <vt:lpwstr>COUNTIFS(MessageDeliveries!BO2:BO7, A2)</vt:lpwstr>
  </property>
  <property fmtid="{D5CDD505-2E9C-101B-9397-08002B2CF9AE}" pid="440" name="erb.formula.ProcedureExecutions.TotalDeliveryAttemptCount">
    <vt:lpwstr>COUNTIFS(MessageDeliveries!C2:C7, A2)</vt:lpwstr>
  </property>
  <property fmtid="{D5CDD505-2E9C-101B-9397-08002B2CF9AE}" pid="441" name="erb.formula.ProcedureExecutions.HasAbandonedFailures">
    <vt:lpwstr>AD2 &gt; 0</vt:lpwstr>
  </property>
  <property fmtid="{D5CDD505-2E9C-101B-9397-08002B2CF9AE}" pid="442" name="erb.formula.ProcedureExecutions.MishandledRefusalCount">
    <vt:lpwstr>COUNTIFS(SendIntents!AZ2:AZ8, A2)</vt:lpwstr>
  </property>
  <property fmtid="{D5CDD505-2E9C-101B-9397-08002B2CF9AE}" pid="443" name="erb.formula.ProcedureExecutions.UncleanStepCount">
    <vt:lpwstr>COUNTIFS(StepExecutions!BR2:BR13, A2)</vt:lpwstr>
  </property>
  <property fmtid="{D5CDD505-2E9C-101B-9397-08002B2CF9AE}" pid="444" name="erb.formula.ProcedureExecutions.RanClean">
    <vt:lpwstr>AI2 = 0</vt:lpwstr>
  </property>
  <property fmtid="{D5CDD505-2E9C-101B-9397-08002B2CF9AE}" pid="445" name="erb.formula.ProcedureExecutions.CountOfApprovalExecutions">
    <vt:lpwstr>IF((COUNTIFS(StepExecutions!BZ2:BZ13, TRUE))="", "", ROUND((COUNTIFS(StepExecutions!BZ2:BZ13, TRUE)), 0))</vt:lpwstr>
  </property>
  <property fmtid="{D5CDD505-2E9C-101B-9397-08002B2CF9AE}" pid="446" name="erb.formula.ProcedureExecutions.HasHumanApproval">
    <vt:lpwstr>AK2 &gt; 0</vt:lpwstr>
  </property>
  <property fmtid="{D5CDD505-2E9C-101B-9397-08002B2CF9AE}" pid="447" name="erb.formula.ProcedureExecutions.CountOfDeliveryExecutions">
    <vt:lpwstr>IF((COUNTIFS(StepExecutions!D2:D13, "policy-07"))="", "", ROUND((COUNTIFS(StepExecutions!D2:D13, "policy-07")), 0))</vt:lpwstr>
  </property>
  <property fmtid="{D5CDD505-2E9C-101B-9397-08002B2CF9AE}" pid="448" name="erb.formula.ProcedureExecutions.HasDelivered">
    <vt:lpwstr>AM2 &gt; 0</vt:lpwstr>
  </property>
  <property fmtid="{D5CDD505-2E9C-101B-9397-08002B2CF9AE}" pid="449" name="erb.formula.ProcedureExecutions.DeliveredWithoutApproval">
    <vt:lpwstr>AND(((AN2)=TRUE), ((NOT(((AL2)=TRUE)))=TRUE))</vt:lpwstr>
  </property>
  <property fmtid="{D5CDD505-2E9C-101B-9397-08002B2CF9AE}" pid="450" name="erb.formula.ProcedureExecutions.InvalidApprovalCount">
    <vt:lpwstr>COUNTIFS(RequirementSatisfactions!Z2:Z9, A2)</vt:lpwstr>
  </property>
  <property fmtid="{D5CDD505-2E9C-101B-9397-08002B2CF9AE}" pid="451" name="erb.formula.ProcedureExecutions.ApprovalChainIsComplete">
    <vt:lpwstr>AP2 = 0</vt:lpwstr>
  </property>
  <property fmtid="{D5CDD505-2E9C-101B-9397-08002B2CF9AE}" pid="452" name="erb.formula.ProcedureExecutions.VacuouslyCleanStepCount">
    <vt:lpwstr>COUNTIFS(StepExecutions!CT2:CT13, A2)</vt:lpwstr>
  </property>
  <property fmtid="{D5CDD505-2E9C-101B-9397-08002B2CF9AE}" pid="453" name="erb.formula.ProcedureExecutions.PreparationStepCount">
    <vt:lpwstr>COUNTIFS(StepExecutions!CW2:CW13, A2)</vt:lpwstr>
  </property>
  <property fmtid="{D5CDD505-2E9C-101B-9397-08002B2CF9AE}" pid="454" name="erb.formula.ProcedureExecutions.ApprovalStepCount">
    <vt:lpwstr>COUNTIFS(StepExecutions!CX2:CX13, A2)</vt:lpwstr>
  </property>
  <property fmtid="{D5CDD505-2E9C-101B-9397-08002B2CF9AE}" pid="455" name="erb.formula.ProcedureExecutions.SeparationWasTestable">
    <vt:lpwstr>AND(((AS2 &gt; 0)=TRUE), ((AT2 &gt; 0)=TRUE))</vt:lpwstr>
  </property>
  <property fmtid="{D5CDD505-2E9C-101B-9397-08002B2CF9AE}" pid="456" name="erb.formula.ProcedureExecutions.SeparationHeldUnderTest">
    <vt:lpwstr>AND(((AU2)=TRUE), ((R2)=TRUE))</vt:lpwstr>
  </property>
  <property fmtid="{D5CDD505-2E9C-101B-9397-08002B2CF9AE}" pid="457" name="erb.formula.ProcedureExecutions.SeparationIsVacuouslyGreen">
    <vt:lpwstr>AND(((R2)=TRUE), ((NOT(((AU2)=TRUE)))=TRUE))</vt:lpwstr>
  </property>
  <property fmtid="{D5CDD505-2E9C-101B-9397-08002B2CF9AE}" pid="458" name="erb.formula.ProcedureExecutions.SeparationAssuranceNote">
    <vt:lpwstr>IF(((S2 &gt; 0)=TRUE),  "Violated: same agent prepared and approved.",  IF(((AW2)=TRUE),  "Not tested: this run had no preparation/approval pair.",  "Held under test."))</vt:lpwstr>
  </property>
  <property fmtid="{D5CDD505-2E9C-101B-9397-08002B2CF9AE}" pid="459" name="erb.formula.ProcedureExecutions.UngovernedDivergenceCount">
    <vt:lpwstr>COUNTIFS(StepExecutions!DC2:DC13, A2)</vt:lpwstr>
  </property>
  <property fmtid="{D5CDD505-2E9C-101B-9397-08002B2CF9AE}" pid="460" name="erb.formula.ProcedureExecutions.DivergenceWasFullyGoverned">
    <vt:lpwstr>AND(((O2)=TRUE), ((AY2 = 0)=TRUE))</vt:lpwstr>
  </property>
  <property fmtid="{D5CDD505-2E9C-101B-9397-08002B2CF9AE}" pid="461" name="erb.formula.ProcedureExecutions.ComputedlyWitnessedControlCount">
    <vt:lpwstr>COUNTIFS(RequirementSatisfactions!AO2:AO9, A2)</vt:lpwstr>
  </property>
  <property fmtid="{D5CDD505-2E9C-101B-9397-08002B2CF9AE}" pid="462" name="erb.formula.ProcedureExecutions.EvaluatedControlCount">
    <vt:lpwstr>BA2 + X2</vt:lpwstr>
  </property>
  <property fmtid="{D5CDD505-2E9C-101B-9397-08002B2CF9AE}" pid="463" name="erb.formula.ProcedureExecutions.ComputedAssuranceRatio">
    <vt:lpwstr>IF(((BB2 = 0)=TRUE),  0,  BA2 / BB2)</vt:lpwstr>
  </property>
  <property fmtid="{D5CDD505-2E9C-101B-9397-08002B2CF9AE}" pid="464" name="erb.formula.ProcedureExecutions.InterestedPartyAssertionCount">
    <vt:lpwstr>COUNTIFS(RequirementSatisfactions!AM2:AM9, A2)</vt:lpwstr>
  </property>
  <property fmtid="{D5CDD505-2E9C-101B-9397-08002B2CF9AE}" pid="465" name="erb.formula.ProcedureExecutions.AssuranceGrade#1">
    <vt:lpwstr>IF(((BB2 = 0)=TRUE),  "None: no blocking control was evaluated.",  IF(((BD2 &gt; 0)=TRUE),  "Weak: at least one control rests on an interested-party assertion.",  IF(((BC2 &lt; 0.5)=TRUE),  "Thin: most controls rest on human assertion.",  IF(((BC2 &lt; 1)=TRU</vt:lpwstr>
  </property>
  <property fmtid="{D5CDD505-2E9C-101B-9397-08002B2CF9AE}" pid="466" name="erb.formula.ProcedureExecutions.AssuranceGrade#2">
    <vt:lpwstr>E),  "Mixed: computed and asserted controls.",  "Computed: every evaluated control has a witness."))))</vt:lpwstr>
  </property>
  <property fmtid="{D5CDD505-2E9C-101B-9397-08002B2CF9AE}" pid="467" name="erb.formula.ProcedureExecutions.AttestationWouldBeWeaklyBased">
    <vt:lpwstr>AND(((T2)=TRUE), ((OR(((BD2 &gt; 0)=TRUE), ((BC2 &lt; 0.5)=TRUE)))=TRUE))</vt:lpwstr>
  </property>
  <property fmtid="{D5CDD505-2E9C-101B-9397-08002B2CF9AE}" pid="468" name="erb.formula.ProcedureExecutions.IndependentHumanObservationCount">
    <vt:lpwstr>COUNTIFS(VerificationOutcomes!X2:X5, A2)</vt:lpwstr>
  </property>
  <property fmtid="{D5CDD505-2E9C-101B-9397-08002B2CF9AE}" pid="469" name="erb.formula.ProcedureExecutions.HasAnyIndependentObservation">
    <vt:lpwstr>BG2 &gt; 0</vt:lpwstr>
  </property>
  <property fmtid="{D5CDD505-2E9C-101B-9397-08002B2CF9AE}" pid="470" name="erb.formula.ProcedureExecutions.SelfAttestedApprovalCount">
    <vt:lpwstr>COUNTIFS(StepExecutions!DD2:DD13, A2)</vt:lpwstr>
  </property>
  <property fmtid="{D5CDD505-2E9C-101B-9397-08002B2CF9AE}" pid="471" name="erb.formula.ProcedureExecutions.AssuranceChainIsCircular">
    <vt:lpwstr>AND(((BI2 &gt; 0)=TRUE), ((NOT(((BH2)=TRUE)))=TRUE))</vt:lpwstr>
  </property>
  <property fmtid="{D5CDD505-2E9C-101B-9397-08002B2CF9AE}" pid="472" name="erb.formula.ProcedureExecutions.LatestAttestationInstant">
    <vt:lpwstr>MAXIFS(Attestations!E2:E2,Attestations!C2:C2, A2)</vt:lpwstr>
  </property>
  <property fmtid="{D5CDD505-2E9C-101B-9397-08002B2CF9AE}" pid="473" name="erb.formula.ProcedureExecutions.HasBeenAttested">
    <vt:lpwstr>BM2 &gt; 0</vt:lpwstr>
  </property>
  <property fmtid="{D5CDD505-2E9C-101B-9397-08002B2CF9AE}" pid="474" name="erb.formula.ProcedureExecutions.AttestationCount">
    <vt:lpwstr>COUNTIFS(Attestations!C2:C2, A2)</vt:lpwstr>
  </property>
  <property fmtid="{D5CDD505-2E9C-101B-9397-08002B2CF9AE}" pid="475" name="erb.formula.ProcedureExecutions.PostAttestationScoreCount">
    <vt:lpwstr>COUNTIFS(RequirementSatisfactions!AS2:AS9, A2)</vt:lpwstr>
  </property>
  <property fmtid="{D5CDD505-2E9C-101B-9397-08002B2CF9AE}" pid="476" name="erb.formula.ProcedureExecutions.BasisChangedAfterSignature">
    <vt:lpwstr>AND(((BL2)=TRUE), ((BN2 &gt; 0)=TRUE))</vt:lpwstr>
  </property>
  <property fmtid="{D5CDD505-2E9C-101B-9397-08002B2CF9AE}" pid="477" name="erb.formula.ProcedureExecutions.RequiresReAttestation">
    <vt:lpwstr>AND(((BO2)=TRUE), ((NOT(((T2)=TRUE)))=TRUE))</vt:lpwstr>
  </property>
  <property fmtid="{D5CDD505-2E9C-101B-9397-08002B2CF9AE}" pid="478" name="erb.formula.ProcedureExecutions.IntendedRecipientCount">
    <vt:lpwstr>COUNTIFS(SendIntents!BA2:BA8, A2)</vt:lpwstr>
  </property>
  <property fmtid="{D5CDD505-2E9C-101B-9397-08002B2CF9AE}" pid="479" name="erb.formula.ProcedureExecutions.ReachedRecipientCount">
    <vt:lpwstr>COUNTIFS(SendIntents!BB2:BB8, A2)</vt:lpwstr>
  </property>
  <property fmtid="{D5CDD505-2E9C-101B-9397-08002B2CF9AE}" pid="480" name="erb.formula.ProcedureExecutions.SilentlyDroppedCount">
    <vt:lpwstr>COUNTIFS(SendIntents!BC2:BC8, A2)</vt:lpwstr>
  </property>
  <property fmtid="{D5CDD505-2E9C-101B-9397-08002B2CF9AE}" pid="481" name="erb.formula.ProcedureExecutions.DeliveryYieldPercent">
    <vt:lpwstr>IF(((BQ2 &gt; 0)=TRUE),  BR2 * 100 / BQ2,  0)</vt:lpwstr>
  </property>
  <property fmtid="{D5CDD505-2E9C-101B-9397-08002B2CF9AE}" pid="482" name="erb.formula.ProcedureExecutions.CampaignSilentlyLostAudience">
    <vt:lpwstr>(BS2 &gt; 0)</vt:lpwstr>
  </property>
  <property fmtid="{D5CDD505-2E9C-101B-9397-08002B2CF9AE}" pid="483" name="erb.formula.ProcedureExecutions.UnrecordedRefusalCount">
    <vt:lpwstr>COUNTIFS(SendIntents!BZ2:BZ8, A2)</vt:lpwstr>
  </property>
  <property fmtid="{D5CDD505-2E9C-101B-9397-08002B2CF9AE}" pid="484" name="erb.formula.ProcedureExecutions.HasUnrecordedRefusals">
    <vt:lpwstr>(BV2 &gt; 0)</vt:lpwstr>
  </property>
  <property fmtid="{D5CDD505-2E9C-101B-9397-08002B2CF9AE}" pid="485" name="erb.formula.ProcedureExecutions.IndependentlyConfirmedIntentCount">
    <vt:lpwstr>COUNTIFS(SendIntents!CU2:CU8, A2)</vt:lpwstr>
  </property>
  <property fmtid="{D5CDD505-2E9C-101B-9397-08002B2CF9AE}" pid="486" name="erb.formula.ProcedureExecutions.SendDecisionsAreEntirelySelfWitnessed">
    <vt:lpwstr>AND(((BQ2 &gt; 0)=TRUE), ((BX2 = 0)=TRUE))</vt:lpwstr>
  </property>
  <property fmtid="{D5CDD505-2E9C-101B-9397-08002B2CF9AE}" pid="487" name="erb.table.ProcedureExecutions.description">
    <vt:lpwstr>Concrete enactments of procedure specifications. Maps to pko:ProcedureExecution and remains separate from ProcedureVersions.</vt:lpwstr>
  </property>
  <property fmtid="{D5CDD505-2E9C-101B-9397-08002B2CF9AE}" pid="488" name="erb.formula.StepExecutions.Name">
    <vt:lpwstr>C2 &amp; " / " &amp; D2</vt:lpwstr>
  </property>
  <property fmtid="{D5CDD505-2E9C-101B-9397-08002B2CF9AE}" pid="489" name="erb.formula.StepExecutions.ActualDurationMinutes">
    <vt:lpwstr>IF((IF(((H2 = "")=TRUE),  0,  IF(((OR((((H2)="")=TRUE), (((G2)="")=TRUE)))=TRUE),  0,  ((H2 - G2) * 1440))))="", "", ROUND((IF(((H2 = "")=TRUE),  0,  IF(((OR((((H2)="")=TRUE), (((G2)="")=TRUE)))=TRUE),  0,  ((H2 - G2) * 1440)))), 0))</vt:lpwstr>
  </property>
  <property fmtid="{D5CDD505-2E9C-101B-9397-08002B2CF9AE}" pid="490" name="erb.formula.StepExecutions.ExpectedDurationMinutes#1">
    <vt:lpwstr>IF((IFNA(IF(((INDEX(Steps!K2:K18, MATCH(D2,Steps!A2:A18, 0))="")=TRUE),  "",  INDEX(Steps!K2:K18, MATCH(D2,Steps!A2:A18, 0))), ""))="", "", ROUND((IFNA(IF(((INDEX(Steps!K2:K18, MATCH(D2,Steps!A2:A18, 0))="")=TRUE),  "",  INDEX(Steps!K2:K18, MATCH(D2,</vt:lpwstr>
  </property>
  <property fmtid="{D5CDD505-2E9C-101B-9397-08002B2CF9AE}" pid="491" name="erb.formula.StepExecutions.ExpectedDurationMinutes#2">
    <vt:lpwstr>Steps!A2:A18, 0))), "")), 0))</vt:lpwstr>
  </property>
  <property fmtid="{D5CDD505-2E9C-101B-9397-08002B2CF9AE}" pid="492" name="erb.formula.StepExecutions.IsLate">
    <vt:lpwstr>K2 &gt; L2</vt:lpwstr>
  </property>
  <property fmtid="{D5CDD505-2E9C-101B-9397-08002B2CF9AE}" pid="493" name="erb.formula.StepExecutions.BlockingUnmetCount">
    <vt:lpwstr>COUNTIFS(RequirementSatisfactions!C2:C9, A2,RequirementSatisfactions!K2:K9, TRUE)</vt:lpwstr>
  </property>
  <property fmtid="{D5CDD505-2E9C-101B-9397-08002B2CF9AE}" pid="494" name="erb.formula.StepExecutions.BlockingUnmetCountSafe">
    <vt:lpwstr>COUNTIFS(RequirementSatisfactions!L2:L9, A2)</vt:lpwstr>
  </property>
  <property fmtid="{D5CDD505-2E9C-101B-9397-08002B2CF9AE}" pid="495" name="erb.formula.StepExecutions.ProceededPastBlockingControl">
    <vt:lpwstr>AND(((F2 = "Completed")=TRUE), ((O2 &gt; 0)=TRUE))</vt:lpwstr>
  </property>
  <property fmtid="{D5CDD505-2E9C-101B-9397-08002B2CF9AE}" pid="496" name="erb.formula.StepExecutions.ExpectedBlockingCount">
    <vt:lpwstr>IFNA(IF(((INDEX(Steps!N2:N18, MATCH(D2,Steps!A2:A18, 0))="")=TRUE),  "",  INDEX(Steps!N2:N18, MATCH(D2,Steps!A2:A18, 0))), "")</vt:lpwstr>
  </property>
  <property fmtid="{D5CDD505-2E9C-101B-9397-08002B2CF9AE}" pid="497" name="erb.formula.StepExecutions.EvaluatedBlockingCount">
    <vt:lpwstr>COUNTIFS(RequirementSatisfactions!M2:M9, A2)</vt:lpwstr>
  </property>
  <property fmtid="{D5CDD505-2E9C-101B-9397-08002B2CF9AE}" pid="498" name="erb.formula.StepExecutions.UnevaluatedBlockingCount">
    <vt:lpwstr>Q2 - R2</vt:lpwstr>
  </property>
  <property fmtid="{D5CDD505-2E9C-101B-9397-08002B2CF9AE}" pid="499" name="erb.formula.StepExecutions.HasUnevaluatedBlockingControl">
    <vt:lpwstr>S2 &gt; 0</vt:lpwstr>
  </property>
  <property fmtid="{D5CDD505-2E9C-101B-9397-08002B2CF9AE}" pid="500" name="erb.formula.StepExecutions.StaleAuthoritativeSourceCount">
    <vt:lpwstr>IFNA(IF(((INDEX(Steps!P2:P18, MATCH(D2,Steps!A2:A18, 0))="")=TRUE),  "",  INDEX(Steps!P2:P18, MATCH(D2,Steps!A2:A18, 0))), "")</vt:lpwstr>
  </property>
  <property fmtid="{D5CDD505-2E9C-101B-9397-08002B2CF9AE}" pid="501" name="erb.formula.StepExecutions.RanOnStaleAuthoritativeSource">
    <vt:lpwstr>U2 &gt; 0</vt:lpwstr>
  </property>
  <property fmtid="{D5CDD505-2E9C-101B-9397-08002B2CF9AE}" pid="502" name="erb.formula.StepExecutions.HasDeviationNote">
    <vt:lpwstr>J2 &lt;&gt; ""</vt:lpwstr>
  </property>
  <property fmtid="{D5CDD505-2E9C-101B-9397-08002B2CF9AE}" pid="503" name="erb.formula.StepExecutions.IsLateAndUnexplained">
    <vt:lpwstr>AND(((M2)=TRUE), ((NOT(((W2)=TRUE)))=TRUE))</vt:lpwstr>
  </property>
  <property fmtid="{D5CDD505-2E9C-101B-9397-08002B2CF9AE}" pid="504" name="erb.formula.StepExecutions.AvailableExceptionCountForStep">
    <vt:lpwstr>IFNA(IF(((INDEX(Steps!Q2:Q18, MATCH(D2,Steps!A2:A18, 0))="")=TRUE),  "",  INDEX(Steps!Q2:Q18, MATCH(D2,Steps!A2:A18, 0))), "")</vt:lpwstr>
  </property>
  <property fmtid="{D5CDD505-2E9C-101B-9397-08002B2CF9AE}" pid="505" name="erb.formula.StepExecutions.HadUninvokedExceptionAvailable">
    <vt:lpwstr>AND(((X2)=TRUE), ((Y2 &gt; 0)=TRUE))</vt:lpwstr>
  </property>
  <property fmtid="{D5CDD505-2E9C-101B-9397-08002B2CF9AE}" pid="506" name="erb.formula.StepExecutions.ExpectedVerificationCount">
    <vt:lpwstr>IFNA(IF(((INDEX(Steps!R2:R18, MATCH(D2,Steps!A2:A18, 0))="")=TRUE),  "",  INDEX(Steps!R2:R18, MATCH(D2,Steps!A2:A18, 0))), "")</vt:lpwstr>
  </property>
  <property fmtid="{D5CDD505-2E9C-101B-9397-08002B2CF9AE}" pid="507" name="erb.formula.StepExecutions.PerformedVerificationCount">
    <vt:lpwstr>COUNTIFS(VerificationOutcomes!C2:C5, A2)</vt:lpwstr>
  </property>
  <property fmtid="{D5CDD505-2E9C-101B-9397-08002B2CF9AE}" pid="508" name="erb.formula.StepExecutions.SkippedVerificationCount">
    <vt:lpwstr>AA2 - AB2</vt:lpwstr>
  </property>
  <property fmtid="{D5CDD505-2E9C-101B-9397-08002B2CF9AE}" pid="509" name="erb.formula.StepExecutions.HasSkippedVerification">
    <vt:lpwstr>AC2 &gt; 0</vt:lpwstr>
  </property>
  <property fmtid="{D5CDD505-2E9C-101B-9397-08002B2CF9AE}" pid="510" name="erb.formula.StepExecutions.ClaimsPassWithoutEvidence">
    <vt:lpwstr>AND(((I2 = "PASS")=TRUE), ((AD2)=TRUE))</vt:lpwstr>
  </property>
  <property fmtid="{D5CDD505-2E9C-101B-9397-08002B2CF9AE}" pid="511" name="erb.formula.StepExecutions.StepIsPreparation">
    <vt:lpwstr>IFNA(IF(((INDEX(Steps!S2:S18, MATCH(D2,Steps!A2:A18, 0))="")=TRUE),  "",  INDEX(Steps!S2:S18, MATCH(D2,Steps!A2:A18, 0))), "")</vt:lpwstr>
  </property>
  <property fmtid="{D5CDD505-2E9C-101B-9397-08002B2CF9AE}" pid="512" name="erb.formula.StepExecutions.StepIsApproval">
    <vt:lpwstr>IFNA(IF(((INDEX(Steps!T2:T18, MATCH(D2,Steps!A2:A18, 0))="")=TRUE),  "",  INDEX(Steps!T2:T18, MATCH(D2,Steps!A2:A18, 0))), "")</vt:lpwstr>
  </property>
  <property fmtid="{D5CDD505-2E9C-101B-9397-08002B2CF9AE}" pid="513" name="erb.formula.StepExecutions.PreparerAgentKey">
    <vt:lpwstr>IF(((AF2)=TRUE),  C2 &amp; "|" &amp; E2,  "")</vt:lpwstr>
  </property>
  <property fmtid="{D5CDD505-2E9C-101B-9397-08002B2CF9AE}" pid="514" name="erb.formula.StepExecutions.ApproverAgentKey">
    <vt:lpwstr>IF(((AG2)=TRUE),  C2 &amp; "|" &amp; E2,  "")</vt:lpwstr>
  </property>
  <property fmtid="{D5CDD505-2E9C-101B-9397-08002B2CF9AE}" pid="515" name="erb.formula.StepExecutions.PreparedByThisAgentCount">
    <vt:lpwstr>COUNTIFS(AH2:AH13, AI2)</vt:lpwstr>
  </property>
  <property fmtid="{D5CDD505-2E9C-101B-9397-08002B2CF9AE}" pid="516" name="erb.formula.StepExecutions.ViolatesSeparationOfDuties">
    <vt:lpwstr>AND(((AG2)=TRUE), ((AJ2 &gt; 0)=TRUE))</vt:lpwstr>
  </property>
  <property fmtid="{D5CDD505-2E9C-101B-9397-08002B2CF9AE}" pid="517" name="erb.formula.StepExecutions.RequiredRoleForStep">
    <vt:lpwstr>IFNA(IF(((INDEX(Steps!G2:G18, MATCH(D2,Steps!A2:A18, 0))="")=TRUE),  "",  INDEX(Steps!G2:G18, MATCH(D2,Steps!A2:A18, 0))), "")</vt:lpwstr>
  </property>
  <property fmtid="{D5CDD505-2E9C-101B-9397-08002B2CF9AE}" pid="518" name="erb.formula.StepExecutions.ExecutorRoleKey">
    <vt:lpwstr>E2 &amp; "|" &amp; AL2</vt:lpwstr>
  </property>
  <property fmtid="{D5CDD505-2E9C-101B-9397-08002B2CF9AE}" pid="519" name="erb.formula.StepExecutions.ExecutorAuthorityCount">
    <vt:lpwstr>COUNTIFS(RoleAssignments!N2:N14, AM2)</vt:lpwstr>
  </property>
  <property fmtid="{D5CDD505-2E9C-101B-9397-08002B2CF9AE}" pid="520" name="erb.formula.StepExecutions.ExecutorHeldRequiredRole">
    <vt:lpwstr>AN2 &gt; 0</vt:lpwstr>
  </property>
  <property fmtid="{D5CDD505-2E9C-101B-9397-08002B2CF9AE}" pid="521" name="erb.formula.StepExecutions.IsUnauthorizedApproval">
    <vt:lpwstr>AND(((AG2)=TRUE), ((NOT(((AO2)=TRUE)))=TRUE))</vt:lpwstr>
  </property>
  <property fmtid="{D5CDD505-2E9C-101B-9397-08002B2CF9AE}" pid="522" name="erb.formula.StepExecutions.CompletedExecutionKey">
    <vt:lpwstr>IF(((F2 = "Completed")=TRUE),  C2,  "")</vt:lpwstr>
  </property>
  <property fmtid="{D5CDD505-2E9C-101B-9397-08002B2CF9AE}" pid="523" name="erb.formula.StepExecutions.ControlBreachExecutionKey">
    <vt:lpwstr>IF(((OR(((P2)=TRUE), ((AK2)=TRUE), ((AP2)=TRUE), ((AE2)=TRUE)))=TRUE),  C2,  "")</vt:lpwstr>
  </property>
  <property fmtid="{D5CDD505-2E9C-101B-9397-08002B2CF9AE}" pid="524" name="erb.formula.StepExecutions.LateExecutionKey">
    <vt:lpwstr>IF(((M2)=TRUE),  C2,  "")</vt:lpwstr>
  </property>
  <property fmtid="{D5CDD505-2E9C-101B-9397-08002B2CF9AE}" pid="525" name="erb.formula.StepExecutions.ExecutorAgentKind">
    <vt:lpwstr>IFNA(IF(((INDEX(Agents!D2:D12, MATCH(E2,Agents!A2:A12, 0))="")=TRUE),  "",  INDEX(Agents!D2:D12, MATCH(E2,Agents!A2:A12, 0))), "")</vt:lpwstr>
  </property>
  <property fmtid="{D5CDD505-2E9C-101B-9397-08002B2CF9AE}" pid="526" name="erb.formula.StepExecutions.ExecutorIsHuman">
    <vt:lpwstr>AT2 = "Human"</vt:lpwstr>
  </property>
  <property fmtid="{D5CDD505-2E9C-101B-9397-08002B2CF9AE}" pid="527" name="erb.formula.StepExecutions.StepRequiresHumanConfirmation">
    <vt:lpwstr>IFNA(IF(((INDEX(Steps!M2:M18, MATCH(D2,Steps!A2:A18, 0))="")=TRUE),  "",  INDEX(Steps!M2:M18, MATCH(D2,Steps!A2:A18, 0))), "")</vt:lpwstr>
  </property>
  <property fmtid="{D5CDD505-2E9C-101B-9397-08002B2CF9AE}" pid="528" name="erb.formula.StepExecutions.NonHumanRanHumanStep">
    <vt:lpwstr>AND(((AV2)=TRUE), ((NOT(((AU2)=TRUE)))=TRUE))</vt:lpwstr>
  </property>
  <property fmtid="{D5CDD505-2E9C-101B-9397-08002B2CF9AE}" pid="529" name="erb.formula.StepExecutions.NonHumanApproval">
    <vt:lpwstr>AND(((AG2)=TRUE), ((NOT(((AU2)=TRUE)))=TRUE))</vt:lpwstr>
  </property>
  <property fmtid="{D5CDD505-2E9C-101B-9397-08002B2CF9AE}" pid="530" name="erb.formula.StepExecutions.UnevaluatedBlockingExecutionKey">
    <vt:lpwstr>IF(((T2)=TRUE),  C2,  "")</vt:lpwstr>
  </property>
  <property fmtid="{D5CDD505-2E9C-101B-9397-08002B2CF9AE}" pid="531" name="erb.formula.StepExecutions.SeparationViolationExecutionKey">
    <vt:lpwstr>IF(((AK2)=TRUE),  C2,  "")</vt:lpwstr>
  </property>
  <property fmtid="{D5CDD505-2E9C-101B-9397-08002B2CF9AE}" pid="532" name="erb.formula.StepExecutions.SelfWitnessedVerificationCount">
    <vt:lpwstr>COUNTIFS(VerificationOutcomes!P2:P5, A2)</vt:lpwstr>
  </property>
  <property fmtid="{D5CDD505-2E9C-101B-9397-08002B2CF9AE}" pid="533" name="erb.formula.StepExecutions.UnbackedVerificationCount">
    <vt:lpwstr>COUNTIFS(VerificationOutcomes!Q2:Q5, A2)</vt:lpwstr>
  </property>
  <property fmtid="{D5CDD505-2E9C-101B-9397-08002B2CF9AE}" pid="534" name="erb.formula.StepExecutions.ApprovalRestsOnSelfAttestation">
    <vt:lpwstr>AND(((AG2)=TRUE), ((OR(((BA2 &gt; 0)=TRUE), ((AD2)=TRUE)))=TRUE))</vt:lpwstr>
  </property>
  <property fmtid="{D5CDD505-2E9C-101B-9397-08002B2CF9AE}" pid="535" name="erb.formula.StepExecutions.ExceptionInvocationCount">
    <vt:lpwstr>COUNTIFS(ExceptionInvocations!C2:C2, A2)</vt:lpwstr>
  </property>
  <property fmtid="{D5CDD505-2E9C-101B-9397-08002B2CF9AE}" pid="536" name="erb.formula.StepExecutions.RanUnderException">
    <vt:lpwstr>BD2 &gt; 0</vt:lpwstr>
  </property>
  <property fmtid="{D5CDD505-2E9C-101B-9397-08002B2CF9AE}" pid="537" name="erb.formula.StepExecutions.IsCompleted">
    <vt:lpwstr>F2 = "Completed"</vt:lpwstr>
  </property>
  <property fmtid="{D5CDD505-2E9C-101B-9397-08002B2CF9AE}" pid="538" name="erb.formula.StepExecutions.IsVerificationPassed">
    <vt:lpwstr>I2 = "PASS"</vt:lpwstr>
  </property>
  <property fmtid="{D5CDD505-2E9C-101B-9397-08002B2CF9AE}" pid="539" name="erb.formula.StepExecutions.IsLegalReviewStep">
    <vt:lpwstr>D2 = "policy-04"</vt:lpwstr>
  </property>
  <property fmtid="{D5CDD505-2E9C-101B-9397-08002B2CF9AE}" pid="540" name="erb.formula.StepExecutions.ClearedLegalReviewKey">
    <vt:lpwstr>IF(((AND(((BH2)=TRUE), ((BG2)=TRUE)))=TRUE),  C2,  "")</vt:lpwstr>
  </property>
  <property fmtid="{D5CDD505-2E9C-101B-9397-08002B2CF9AE}" pid="541" name="erb.formula.StepExecutions.AssignedRole">
    <vt:lpwstr>IFNA(IF(((INDEX(Steps!G2:G18, MATCH(D2,Steps!A2:A18, 0))="")=TRUE),  "",  INDEX(Steps!G2:G18, MATCH(D2,Steps!A2:A18, 0))), "")</vt:lpwstr>
  </property>
  <property fmtid="{D5CDD505-2E9C-101B-9397-08002B2CF9AE}" pid="542" name="erb.formula.StepExecutions.RoleCurrentAgent">
    <vt:lpwstr>IFNA(IF(((INDEX(Roles!E2:E13, MATCH(BJ2,Roles!A2:A13, 0))="")=TRUE),  "",  INDEX(Roles!E2:E13, MATCH(BJ2,Roles!A2:A13, 0))), "")</vt:lpwstr>
  </property>
  <property fmtid="{D5CDD505-2E9C-101B-9397-08002B2CF9AE}" pid="543" name="erb.formula.StepExecutions.ExecutorIsDesignatedAgent">
    <vt:lpwstr>E2 = BK2</vt:lpwstr>
  </property>
  <property fmtid="{D5CDD505-2E9C-101B-9397-08002B2CF9AE}" pid="544" name="erb.formula.StepExecutions.InputsWereFreshAtRun">
    <vt:lpwstr>IFNA(IF(((INDEX(Steps!V2:V18, MATCH(D2,Steps!A2:A18, 0))="")=TRUE),  "",  INDEX(Steps!V2:V18, MATCH(D2,Steps!A2:A18, 0))), "")</vt:lpwstr>
  </property>
  <property fmtid="{D5CDD505-2E9C-101B-9397-08002B2CF9AE}" pid="545" name="erb.formula.StepExecutions.RanOnStaleInputs">
    <vt:lpwstr>AND(((F2 = "Completed")=TRUE), ((NOT(((BM2)=TRUE)))=TRUE))</vt:lpwstr>
  </property>
  <property fmtid="{D5CDD505-2E9C-101B-9397-08002B2CF9AE}" pid="546" name="erb.formula.StepExecutions.UnresolvedIssueCount">
    <vt:lpwstr>COUNTIFS(IssueOccurrences!K2:K3, A2)</vt:lpwstr>
  </property>
  <property fmtid="{D5CDD505-2E9C-101B-9397-08002B2CF9AE}" pid="547" name="erb.formula.StepExecutions.HasDeviation">
    <vt:lpwstr>J2 &lt;&gt; ""</vt:lpwstr>
  </property>
  <property fmtid="{D5CDD505-2E9C-101B-9397-08002B2CF9AE}" pid="548" name="erb.formula.StepExecutions.IsClean">
    <vt:lpwstr>AND(((I2 = "PASS")=TRUE), ((NOT(((BP2)=TRUE)))=TRUE), ((BO2 = 0)=TRUE), ((NOT(((M2)=TRUE)))=TRUE))</vt:lpwstr>
  </property>
  <property fmtid="{D5CDD505-2E9C-101B-9397-08002B2CF9AE}" pid="549" name="erb.formula.StepExecutions.ProcedureExecutionWhenUnclean">
    <vt:lpwstr>IF(((BQ2)=TRUE),  "",  C2)</vt:lpwstr>
  </property>
  <property fmtid="{D5CDD505-2E9C-101B-9397-08002B2CF9AE}" pid="550" name="erb.formula.StepExecutions.EvaluatedRequirementCount">
    <vt:lpwstr>COUNTIFS(RequirementSatisfactions!U2:U9, A2)</vt:lpwstr>
  </property>
  <property fmtid="{D5CDD505-2E9C-101B-9397-08002B2CF9AE}" pid="551" name="erb.formula.StepExecutions.RequiredBlockingCount#1">
    <vt:lpwstr>IF((IFNA(IF(((INDEX(Steps!N2:N18, MATCH(D2,Steps!A2:A18, 0))="")=TRUE),  "",  INDEX(Steps!N2:N18, MATCH(D2,Steps!A2:A18, 0))), ""))="", "", ROUND((IFNA(IF(((INDEX(Steps!N2:N18, MATCH(D2,Steps!A2:A18, 0))="")=TRUE),  "",  INDEX(Steps!N2:N18, MATCH(D2,</vt:lpwstr>
  </property>
  <property fmtid="{D5CDD505-2E9C-101B-9397-08002B2CF9AE}" pid="552" name="erb.formula.StepExecutions.RequiredBlockingCount#2">
    <vt:lpwstr>Steps!A2:A18, 0))), "")), 0))</vt:lpwstr>
  </property>
  <property fmtid="{D5CDD505-2E9C-101B-9397-08002B2CF9AE}" pid="553" name="erb.formula.StepExecutions.HasUnevaluatedBlockingRequirement">
    <vt:lpwstr>BS2 &lt; BT2</vt:lpwstr>
  </property>
  <property fmtid="{D5CDD505-2E9C-101B-9397-08002B2CF9AE}" pid="554" name="erb.formula.StepExecutions.ExecutingAgentKind">
    <vt:lpwstr>IFNA(IF(((INDEX(Agents!D2:D12, MATCH(E2,Agents!A2:A12, 0))="")=TRUE),  "",  INDEX(Agents!D2:D12, MATCH(E2,Agents!A2:A12, 0))), "")</vt:lpwstr>
  </property>
  <property fmtid="{D5CDD505-2E9C-101B-9397-08002B2CF9AE}" pid="555" name="erb.formula.StepExecutions.WasExecutedBySoftware">
    <vt:lpwstr>OR(((BV2 = "AIAgent")=TRUE), ((BV2 = "AutomatedPipeline")=TRUE))</vt:lpwstr>
  </property>
  <property fmtid="{D5CDD505-2E9C-101B-9397-08002B2CF9AE}" pid="556" name="erb.formula.StepExecutions.StepIsSoftwareAssigned">
    <vt:lpwstr>IFNA(IF(((INDEX(Steps!W2:W18, MATCH(D2,Steps!A2:A18, 0))="")=TRUE),  "",  INDEX(Steps!W2:W18, MATCH(D2,Steps!A2:A18, 0))), "")</vt:lpwstr>
  </property>
  <property fmtid="{D5CDD505-2E9C-101B-9397-08002B2CF9AE}" pid="557" name="erb.formula.StepExecutions.SoftwareDidHumanWork">
    <vt:lpwstr>AND(((BW2)=TRUE), ((NOT(((BX2)=TRUE)))=TRUE))</vt:lpwstr>
  </property>
  <property fmtid="{D5CDD505-2E9C-101B-9397-08002B2CF9AE}" pid="558" name="erb.formula.StepExecutions.IsApprovalExecution">
    <vt:lpwstr>IFNA(IF(((INDEX(Steps!X2:X18, MATCH(D2,Steps!A2:A18, 0))="")=TRUE),  "",  INDEX(Steps!X2:X18, MATCH(D2,Steps!A2:A18, 0))), "")</vt:lpwstr>
  </property>
  <property fmtid="{D5CDD505-2E9C-101B-9397-08002B2CF9AE}" pid="559" name="erb.formula.StepExecutions.IsVerified">
    <vt:lpwstr>AND(((I2 &lt;&gt; "")=TRUE), ((I2 &lt;&gt; "PENDING")=TRUE), ((I2 &lt;&gt; "FAIL")=TRUE))</vt:lpwstr>
  </property>
  <property fmtid="{D5CDD505-2E9C-101B-9397-08002B2CF9AE}" pid="560" name="erb.formula.StepExecutions.UnconfirmedNonHumanDecisionCount">
    <vt:lpwstr>COUNTIFS(AgentDecisionRecords!AA2:AA4, A2)</vt:lpwstr>
  </property>
  <property fmtid="{D5CDD505-2E9C-101B-9397-08002B2CF9AE}" pid="561" name="erb.formula.StepExecutions.RequiresHumanConfirmation">
    <vt:lpwstr>IFNA(IF(((INDEX(Steps!M2:M18, MATCH(D2,Steps!A2:A18, 0))="")=TRUE),  "",  INDEX(Steps!M2:M18, MATCH(D2,Steps!A2:A18, 0))), "")</vt:lpwstr>
  </property>
  <property fmtid="{D5CDD505-2E9C-101B-9397-08002B2CF9AE}" pid="562" name="erb.formula.StepExecutions.HumanConfirmationMissing">
    <vt:lpwstr>AND(((CC2)=TRUE), ((CB2 &gt; 0)=TRUE))</vt:lpwstr>
  </property>
  <property fmtid="{D5CDD505-2E9C-101B-9397-08002B2CF9AE}" pid="563" name="erb.formula.StepExecutions.DraftedFromUnusableSource">
    <vt:lpwstr>AND(((F2 = "Completed")=TRUE), ((NOT(((CF2)=TRUE)))=TRUE))</vt:lpwstr>
  </property>
  <property fmtid="{D5CDD505-2E9C-101B-9397-08002B2CF9AE}" pid="564" name="erb.formula.StepExecutions.InputsWereUsable">
    <vt:lpwstr>IFNA(IF(((INDEX(Steps!AC2:AC18, MATCH(D2,Steps!A2:A18, 0))="")=TRUE),  "",  INDEX(Steps!AC2:AC18, MATCH(D2,Steps!A2:A18, 0))), "")</vt:lpwstr>
  </property>
  <property fmtid="{D5CDD505-2E9C-101B-9397-08002B2CF9AE}" pid="565" name="erb.formula.StepExecutions.SoftwareExecutionStepKey">
    <vt:lpwstr>IF(((BW2)=TRUE),  D2,  "")</vt:lpwstr>
  </property>
  <property fmtid="{D5CDD505-2E9C-101B-9397-08002B2CF9AE}" pid="566" name="erb.formula.StepExecutions.StepControlKind">
    <vt:lpwstr>IFNA(IF(((INDEX(Steps!AD2:AD18, MATCH(D2,Steps!A2:A18, 0))="")=TRUE),  "",  INDEX(Steps!AD2:AD18, MATCH(D2,Steps!A2:A18, 0))), "")</vt:lpwstr>
  </property>
  <property fmtid="{D5CDD505-2E9C-101B-9397-08002B2CF9AE}" pid="567" name="erb.formula.StepExecutions.UnfalsifiedClearanceCount">
    <vt:lpwstr>COUNTIFS(RequirementSatisfactions!AC2:AC9, A2)</vt:lpwstr>
  </property>
  <property fmtid="{D5CDD505-2E9C-101B-9397-08002B2CF9AE}" pid="568" name="erb.formula.StepExecutions.AllClearancesAreUnfalsified">
    <vt:lpwstr>AND(((R2 &gt; 0)=TRUE), ((CI2 &gt;= R2)=TRUE))</vt:lpwstr>
  </property>
  <property fmtid="{D5CDD505-2E9C-101B-9397-08002B2CF9AE}" pid="569" name="erb.formula.StepExecutions.StaleAtRunCount">
    <vt:lpwstr>COUNTIFS(BindingObservations!K2:K2, A2)</vt:lpwstr>
  </property>
  <property fmtid="{D5CDD505-2E9C-101B-9397-08002B2CF9AE}" pid="570" name="erb.formula.StepExecutions.WasStaleWhenIRanIt">
    <vt:lpwstr>CK2 &gt; 0</vt:lpwstr>
  </property>
  <property fmtid="{D5CDD505-2E9C-101B-9397-08002B2CF9AE}" pid="571" name="erb.formula.StepExecutions.StalenessAnswerIsTenseDependent">
    <vt:lpwstr>NOT(((CL2 = V2)=TRUE))</vt:lpwstr>
  </property>
  <property fmtid="{D5CDD505-2E9C-101B-9397-08002B2CF9AE}" pid="572" name="erb.formula.StepExecutions.HasAnyDeclaredCheck">
    <vt:lpwstr>OR(((AA2 &gt; 0)=TRUE), ((Q2 &gt; 0)=TRUE))</vt:lpwstr>
  </property>
  <property fmtid="{D5CDD505-2E9C-101B-9397-08002B2CF9AE}" pid="573" name="erb.formula.StepExecutions.PerformedCheckCount">
    <vt:lpwstr>AB2 + R2</vt:lpwstr>
  </property>
  <property fmtid="{D5CDD505-2E9C-101B-9397-08002B2CF9AE}" pid="574" name="erb.formula.StepExecutions.DeclaredCheckCount">
    <vt:lpwstr>AA2 + Q2</vt:lpwstr>
  </property>
  <property fmtid="{D5CDD505-2E9C-101B-9397-08002B2CF9AE}" pid="575" name="erb.formula.StepExecutions.IsUncheckedByDesign">
    <vt:lpwstr>CP2 = 0</vt:lpwstr>
  </property>
  <property fmtid="{D5CDD505-2E9C-101B-9397-08002B2CF9AE}" pid="576" name="erb.formula.StepExecutions.IsVacuouslyClean">
    <vt:lpwstr>AND(((BQ2)=TRUE), ((CQ2)=TRUE))</vt:lpwstr>
  </property>
  <property fmtid="{D5CDD505-2E9C-101B-9397-08002B2CF9AE}" pid="577" name="erb.formula.StepExecutions.IsSubstantivelyClean">
    <vt:lpwstr>AND(((BQ2)=TRUE), ((CO2 &gt;= CP2)=TRUE), ((CP2 &gt; 0)=TRUE))</vt:lpwstr>
  </property>
  <property fmtid="{D5CDD505-2E9C-101B-9397-08002B2CF9AE}" pid="578" name="erb.formula.StepExecutions.VacuouslyCleanExecutionKey">
    <vt:lpwstr>IF(((CR2)=TRUE),  C2,  "")</vt:lpwstr>
  </property>
  <property fmtid="{D5CDD505-2E9C-101B-9397-08002B2CF9AE}" pid="579" name="erb.formula.StepExecutions.UncorroboratedPassCount">
    <vt:lpwstr>COUNTIFS(VerificationOutcomes!T2:T5, A2)</vt:lpwstr>
  </property>
  <property fmtid="{D5CDD505-2E9C-101B-9397-08002B2CF9AE}" pid="580" name="erb.formula.StepExecutions.EvidencePositionIsWeak">
    <vt:lpwstr>AND(((AB2 &gt; 0)=TRUE), ((CU2 &gt;= AB2)=TRUE))</vt:lpwstr>
  </property>
  <property fmtid="{D5CDD505-2E9C-101B-9397-08002B2CF9AE}" pid="581" name="erb.formula.StepExecutions.PreparationExecutionKey">
    <vt:lpwstr>IF(((AF2)=TRUE),  C2,  "")</vt:lpwstr>
  </property>
  <property fmtid="{D5CDD505-2E9C-101B-9397-08002B2CF9AE}" pid="582" name="erb.formula.StepExecutions.ApprovalExecutionKey">
    <vt:lpwstr>IF(((AG2)=TRUE),  C2,  "")</vt:lpwstr>
  </property>
  <property fmtid="{D5CDD505-2E9C-101B-9397-08002B2CF9AE}" pid="583" name="erb.formula.StepExecutions.HasGoverningInstrument">
    <vt:lpwstr>OR(((BE2)=TRUE), ((CZ2)=TRUE))</vt:lpwstr>
  </property>
  <property fmtid="{D5CDD505-2E9C-101B-9397-08002B2CF9AE}" pid="584" name="erb.formula.StepExecutions.HasApprovedChangeCoverage">
    <vt:lpwstr>IFNA(IF(((INDEX(ProcedureVersions!CB2:CB4, MATCH(DA2,ProcedureVersions!A2:A4, 0))="")=TRUE),  "",  INDEX(ProcedureVersions!CB2:CB4, MATCH(DA2,ProcedureVersions!A2:A4, 0))), "")</vt:lpwstr>
  </property>
  <property fmtid="{D5CDD505-2E9C-101B-9397-08002B2CF9AE}" pid="585" name="erb.formula.StepExecutions.VersionOfStep">
    <vt:lpwstr>IFNA(IF(((INDEX(Steps!C2:C18, MATCH(D2,Steps!A2:A18, 0))="")=TRUE),  "",  INDEX(Steps!C2:C18, MATCH(D2,Steps!A2:A18, 0))), "")</vt:lpwstr>
  </property>
  <property fmtid="{D5CDD505-2E9C-101B-9397-08002B2CF9AE}" pid="586" name="erb.formula.StepExecutions.IsUngovernedDivergence">
    <vt:lpwstr>AND(((OR(((BP2)=TRUE), ((M2)=TRUE), ((P2)=TRUE)))=TRUE), ((NOT(((CY2)=TRUE)))=TRUE))</vt:lpwstr>
  </property>
  <property fmtid="{D5CDD505-2E9C-101B-9397-08002B2CF9AE}" pid="587" name="erb.formula.StepExecutions.UngovernedDivergenceExecutionKey">
    <vt:lpwstr>IF(((DB2)=TRUE),  C2,  "")</vt:lpwstr>
  </property>
  <property fmtid="{D5CDD505-2E9C-101B-9397-08002B2CF9AE}" pid="588" name="erb.formula.StepExecutions.SelfAttestedApprovalExecutionKey">
    <vt:lpwstr>IF(((BC2)=TRUE),  C2,  "")</vt:lpwstr>
  </property>
  <property fmtid="{D5CDD505-2E9C-101B-9397-08002B2CF9AE}" pid="589" name="erb.table.StepExecutions.description">
    <vt:lpwstr>Concrete executions of specified steps. Maps to pko:StepExecution, hasExecutedStep, includesStepExecution, and nextStepExecution.</vt:lpwstr>
  </property>
  <property fmtid="{D5CDD505-2E9C-101B-9397-08002B2CF9AE}" pid="590" name="erb.formula.RequirementSatisfactions.Name">
    <vt:lpwstr>D2 &amp; " / " &amp; E2</vt:lpwstr>
  </property>
  <property fmtid="{D5CDD505-2E9C-101B-9397-08002B2CF9AE}" pid="591" name="erb.formula.RequirementSatisfactions.RequirementIsBlocking">
    <vt:lpwstr>IFNA(IF(((INDEX(Requirements!G2:G14, MATCH(D2,Requirements!A2:A14, 0))="")=TRUE),  "",  INDEX(Requirements!G2:G14, MATCH(D2,Requirements!A2:A14, 0))), "")</vt:lpwstr>
  </property>
  <property fmtid="{D5CDD505-2E9C-101B-9397-08002B2CF9AE}" pid="592" name="erb.formula.RequirementSatisfactions.IsFullySatisfied">
    <vt:lpwstr>E2 = "Satisfied"</vt:lpwstr>
  </property>
  <property fmtid="{D5CDD505-2E9C-101B-9397-08002B2CF9AE}" pid="593" name="erb.formula.RequirementSatisfactions.IsBlockingAndUnmet">
    <vt:lpwstr>AND(((I2)=TRUE), ((NOT(((J2)=TRUE)))=TRUE))</vt:lpwstr>
  </property>
  <property fmtid="{D5CDD505-2E9C-101B-9397-08002B2CF9AE}" pid="594" name="erb.formula.RequirementSatisfactions.BlockingUnmetStepKey">
    <vt:lpwstr>IF(((K2)=TRUE),  C2,  "")</vt:lpwstr>
  </property>
  <property fmtid="{D5CDD505-2E9C-101B-9397-08002B2CF9AE}" pid="595" name="erb.formula.RequirementSatisfactions.BlockingSatisfactionStepKey">
    <vt:lpwstr>IF(((I2)=TRUE),  C2,  "")</vt:lpwstr>
  </property>
  <property fmtid="{D5CDD505-2E9C-101B-9397-08002B2CF9AE}" pid="596" name="erb.formula.RequirementSatisfactions.NegativeOutcomeRequirementKey">
    <vt:lpwstr>IF(((NOT(((J2)=TRUE)))=TRUE),  D2,  "")</vt:lpwstr>
  </property>
  <property fmtid="{D5CDD505-2E9C-101B-9397-08002B2CF9AE}" pid="597" name="erb.formula.RequirementSatisfactions.EvaluatorAgentKind">
    <vt:lpwstr>IFNA(IF(((INDEX(Agents!D2:D12, MATCH(G2,Agents!A2:A12, 0))="")=TRUE),  "",  INDEX(Agents!D2:D12, MATCH(G2,Agents!A2:A12, 0))), "")</vt:lpwstr>
  </property>
  <property fmtid="{D5CDD505-2E9C-101B-9397-08002B2CF9AE}" pid="598" name="erb.formula.RequirementSatisfactions.NonHumanEvaluatedHumanControl">
    <vt:lpwstr>AND(((I2)=TRUE), ((O2 &lt;&gt; "Human")=TRUE))</vt:lpwstr>
  </property>
  <property fmtid="{D5CDD505-2E9C-101B-9397-08002B2CF9AE}" pid="599" name="erb.formula.RequirementSatisfactions.RequirementHasComputedWitness">
    <vt:lpwstr>IFNA(IF(((INDEX(Requirements!O2:O14, MATCH(D2,Requirements!A2:A14, 0))="")=TRUE),  "",  INDEX(Requirements!O2:O14, MATCH(D2,Requirements!A2:A14, 0))), "")</vt:lpwstr>
  </property>
  <property fmtid="{D5CDD505-2E9C-101B-9397-08002B2CF9AE}" pid="600" name="erb.formula.RequirementSatisfactions.IsAssertedOnly">
    <vt:lpwstr>AND(((I2)=TRUE), ((J2)=TRUE), ((NOT(((Q2)=TRUE)))=TRUE))</vt:lpwstr>
  </property>
  <property fmtid="{D5CDD505-2E9C-101B-9397-08002B2CF9AE}" pid="601" name="erb.formula.RequirementSatisfactions.AssertedOnlyExecutionKey">
    <vt:lpwstr>IF(((R2)=TRUE),  T2,  "")</vt:lpwstr>
  </property>
  <property fmtid="{D5CDD505-2E9C-101B-9397-08002B2CF9AE}" pid="602" name="erb.formula.RequirementSatisfactions.ParentProcedureExecution">
    <vt:lpwstr>IFNA(IF(((INDEX(StepExecutions!C2:C13, MATCH(C2,StepExecutions!A2:A13, 0))="")=TRUE),  "",  INDEX(StepExecutions!C2:C13, MATCH(C2,StepExecutions!A2:A13, 0))), "")</vt:lpwstr>
  </property>
  <property fmtid="{D5CDD505-2E9C-101B-9397-08002B2CF9AE}" pid="603" name="erb.formula.RequirementSatisfactions.StepExecutionWhenScored">
    <vt:lpwstr>IF(((E2 &lt;&gt; "")=TRUE),  C2,  "")</vt:lpwstr>
  </property>
  <property fmtid="{D5CDD505-2E9C-101B-9397-08002B2CF9AE}" pid="604" name="erb.formula.RequirementSatisfactions.IsHumanEvaluated">
    <vt:lpwstr>O2 = "Human"</vt:lpwstr>
  </property>
  <property fmtid="{D5CDD505-2E9C-101B-9397-08002B2CF9AE}" pid="605" name="erb.formula.RequirementSatisfactions.RequirementIsApprovalType">
    <vt:lpwstr>IFNA(IF(((INDEX(Requirements!D2:D14, MATCH(D2,Requirements!A2:A14, 0))="")=TRUE),  "",  INDEX(Requirements!D2:D14, MATCH(D2,Requirements!A2:A14, 0))), "")</vt:lpwstr>
  </property>
  <property fmtid="{D5CDD505-2E9C-101B-9397-08002B2CF9AE}" pid="606" name="erb.formula.RequirementSatisfactions.IsInvalidApproval">
    <vt:lpwstr>AND(((W2 = "Approval")=TRUE), ((OR(((NOT(((J2)=TRUE)))=TRUE), ((NOT(((V2)=TRUE)))=TRUE)))=TRUE))</vt:lpwstr>
  </property>
  <property fmtid="{D5CDD505-2E9C-101B-9397-08002B2CF9AE}" pid="607" name="erb.formula.RequirementSatisfactions.ProcedureExecutionOfSatisfaction">
    <vt:lpwstr>IFNA(IF(((INDEX(StepExecutions!C2:C13, MATCH(C2,StepExecutions!A2:A13, 0))="")=TRUE),  "",  INDEX(StepExecutions!C2:C13, MATCH(C2,StepExecutions!A2:A13, 0))), "")</vt:lpwstr>
  </property>
  <property fmtid="{D5CDD505-2E9C-101B-9397-08002B2CF9AE}" pid="608" name="erb.formula.RequirementSatisfactions.RunWhenInvalidApproval">
    <vt:lpwstr>IF(((X2)=TRUE),  Y2,  "")</vt:lpwstr>
  </property>
  <property fmtid="{D5CDD505-2E9C-101B-9397-08002B2CF9AE}" pid="609" name="erb.formula.RequirementSatisfactions.RequirementIsUnfalsified">
    <vt:lpwstr>IFNA(IF(((INDEX(Requirements!R2:R14, MATCH(D2,Requirements!A2:A14, 0))="")=TRUE),  "",  INDEX(Requirements!R2:R14, MATCH(D2,Requirements!A2:A14, 0))), "")</vt:lpwstr>
  </property>
  <property fmtid="{D5CDD505-2E9C-101B-9397-08002B2CF9AE}" pid="610" name="erb.formula.RequirementSatisfactions.IsClearanceByUnfalsifiedControl">
    <vt:lpwstr>AND(((J2)=TRUE), ((I2)=TRUE), ((AA2)=TRUE))</vt:lpwstr>
  </property>
  <property fmtid="{D5CDD505-2E9C-101B-9397-08002B2CF9AE}" pid="611" name="erb.formula.RequirementSatisfactions.UnfalsifiedClearanceStepKey">
    <vt:lpwstr>IF(((AB2)=TRUE),  C2,  "")</vt:lpwstr>
  </property>
  <property fmtid="{D5CDD505-2E9C-101B-9397-08002B2CF9AE}" pid="612" name="erb.formula.RequirementSatisfactions.SpecStepOfExecution">
    <vt:lpwstr>IFNA(IF(((INDEX(StepExecutions!D2:D13, MATCH(C2,StepExecutions!A2:A13, 0))="")=TRUE),  "",  INDEX(StepExecutions!D2:D13, MATCH(C2,StepExecutions!A2:A13, 0))), "")</vt:lpwstr>
  </property>
  <property fmtid="{D5CDD505-2E9C-101B-9397-08002B2CF9AE}" pid="613" name="erb.formula.RequirementSatisfactions.BindingKey">
    <vt:lpwstr>IFNA(IF(((INDEX(StepRequirements!A2:A16, MATCH(A2,StepRequirements!A2:A16, 0))="")=TRUE),  "",  INDEX(StepRequirements!A2:A16, MATCH(A2,StepRequirements!A2:A16, 0))), "")</vt:lpwstr>
  </property>
  <property fmtid="{D5CDD505-2E9C-101B-9397-08002B2CF9AE}" pid="614" name="erb.formula.RequirementSatisfactions.ScoredStepExecutorAgent">
    <vt:lpwstr>IFNA(IF(((INDEX(StepExecutions!E2:E13, MATCH(C2,StepExecutions!A2:A13, 0))="")=TRUE),  "",  INDEX(StepExecutions!E2:E13, MATCH(C2,StepExecutions!A2:A13, 0))), "")</vt:lpwstr>
  </property>
  <property fmtid="{D5CDD505-2E9C-101B-9397-08002B2CF9AE}" pid="615" name="erb.formula.RequirementSatisfactions.EvaluatorIsStepExecutor">
    <vt:lpwstr>G2 = AF2</vt:lpwstr>
  </property>
  <property fmtid="{D5CDD505-2E9C-101B-9397-08002B2CF9AE}" pid="616" name="erb.formula.RequirementSatisfactions.RunOwnerAgent">
    <vt:lpwstr>IFNA(IF(((INDEX(ProcedureExecutions!G2:G3, MATCH(T2,ProcedureExecutions!A2:A3, 0))="")=TRUE),  "",  INDEX(ProcedureExecutions!G2:G3, MATCH(T2,ProcedureExecutions!A2:A3, 0))), "")</vt:lpwstr>
  </property>
  <property fmtid="{D5CDD505-2E9C-101B-9397-08002B2CF9AE}" pid="617" name="erb.formula.RequirementSatisfactions.EvaluatorOwnsTheRun">
    <vt:lpwstr>G2 = AH2</vt:lpwstr>
  </property>
  <property fmtid="{D5CDD505-2E9C-101B-9397-08002B2CF9AE}" pid="618" name="erb.formula.RequirementSatisfactions.IsInterestedPartyAssertion">
    <vt:lpwstr>AND(((R2)=TRUE), ((OR(((AG2)=TRUE), ((AI2)=TRUE)))=TRUE))</vt:lpwstr>
  </property>
  <property fmtid="{D5CDD505-2E9C-101B-9397-08002B2CF9AE}" pid="619" name="erb.formula.RequirementSatisfactions.HasWrittenEvidence">
    <vt:lpwstr>F2 &lt;&gt; ""</vt:lpwstr>
  </property>
  <property fmtid="{D5CDD505-2E9C-101B-9397-08002B2CF9AE}" pid="620" name="erb.formula.RequirementSatisfactions.IsBareAssertion">
    <vt:lpwstr>AND(((R2)=TRUE), ((NOT(((AK2)=TRUE)))=TRUE))</vt:lpwstr>
  </property>
  <property fmtid="{D5CDD505-2E9C-101B-9397-08002B2CF9AE}" pid="621" name="erb.formula.RequirementSatisfactions.InterestedAssertionExecutionKey">
    <vt:lpwstr>IF(((AJ2)=TRUE),  T2,  "")</vt:lpwstr>
  </property>
  <property fmtid="{D5CDD505-2E9C-101B-9397-08002B2CF9AE}" pid="622" name="erb.formula.RequirementSatisfactions.IsComputedlyWitnessed">
    <vt:lpwstr>AND(((I2)=TRUE), ((Q2)=TRUE))</vt:lpwstr>
  </property>
  <property fmtid="{D5CDD505-2E9C-101B-9397-08002B2CF9AE}" pid="623" name="erb.formula.RequirementSatisfactions.ComputedWitnessExecutionKey">
    <vt:lpwstr>IF(((AN2)=TRUE),  T2,  "")</vt:lpwstr>
  </property>
  <property fmtid="{D5CDD505-2E9C-101B-9397-08002B2CF9AE}" pid="624" name="erb.formula.RequirementSatisfactions.StepExecutorAgent">
    <vt:lpwstr>IFNA(IF(((INDEX(StepExecutions!E2:E13, MATCH(C2,StepExecutions!A2:A13, 0))="")=TRUE),  "",  INDEX(StepExecutions!E2:E13, MATCH(C2,StepExecutions!A2:A13, 0))), "")</vt:lpwstr>
  </property>
  <property fmtid="{D5CDD505-2E9C-101B-9397-08002B2CF9AE}" pid="625" name="erb.formula.RequirementSatisfactions.WasScoredAfterAttestation">
    <vt:lpwstr>IF(((OR((((H2)="")=TRUE), (((AR2)="")=TRUE)))=TRUE),  0,  ((H2 - AR2) * 1440)) &gt; 0</vt:lpwstr>
  </property>
  <property fmtid="{D5CDD505-2E9C-101B-9397-08002B2CF9AE}" pid="626" name="erb.formula.RequirementSatisfactions.AttestationInstantForRun">
    <vt:lpwstr>IFNA(IF(((INDEX(ProcedureExecutions!BK2:BK3, MATCH(T2,ProcedureExecutions!A2:A3, 0))="")=TRUE),  "",  INDEX(ProcedureExecutions!BK2:BK3, MATCH(T2,ProcedureExecutions!A2:A3, 0))), "")</vt:lpwstr>
  </property>
  <property fmtid="{D5CDD505-2E9C-101B-9397-08002B2CF9AE}" pid="627" name="erb.formula.RequirementSatisfactions.PostAttestationScoreExecutionKey">
    <vt:lpwstr>IF(((AQ2)=TRUE),  T2,  "")</vt:lpwstr>
  </property>
  <property fmtid="{D5CDD505-2E9C-101B-9397-08002B2CF9AE}" pid="628" name="erb.table.RequirementSatisfactions.description">
    <vt:lpwstr>Execution-time evaluations of requirements. Maps to pko:RequirementSatisfaction, refersToRequirement, and hasRequirementSatisfactionLevel.</vt:lpwstr>
  </property>
  <property fmtid="{D5CDD505-2E9C-101B-9397-08002B2CF9AE}" pid="629" name="erb.formula.Errors.Name">
    <vt:lpwstr>D2 &amp; " - " &amp; C2</vt:lpwstr>
  </property>
  <property fmtid="{D5CDD505-2E9C-101B-9397-08002B2CF9AE}" pid="630" name="erb.table.Errors.description">
    <vt:lpwstr>Reusable error definitions encountered during execution. Maps to pko:Error, errorCode, and errorCause.</vt:lpwstr>
  </property>
  <property fmtid="{D5CDD505-2E9C-101B-9397-08002B2CF9AE}" pid="631" name="erb.formula.IssueOccurrences.Name">
    <vt:lpwstr>D2 &amp; " @ " &amp; IF(((F2="")=TRUE),  "",  TEXT(F2, "yyyy-mm-dd\Thh:mm:ss")&amp;"+00:00")</vt:lpwstr>
  </property>
  <property fmtid="{D5CDD505-2E9C-101B-9397-08002B2CF9AE}" pid="632" name="erb.formula.IssueOccurrences.IsUnresolved">
    <vt:lpwstr>OR(((I2 = "Open")=TRUE), ((I2 = "Investigating")=TRUE), ((I2 = "Monitoring")=TRUE))</vt:lpwstr>
  </property>
  <property fmtid="{D5CDD505-2E9C-101B-9397-08002B2CF9AE}" pid="633" name="erb.formula.IssueOccurrences.StepExecutionWhenUnresolved">
    <vt:lpwstr>IF(((J2)=TRUE),  C2,  "")</vt:lpwstr>
  </property>
  <property fmtid="{D5CDD505-2E9C-101B-9397-08002B2CF9AE}" pid="634" name="erb.table.IssueOccurrences.description">
    <vt:lpwstr>Concrete issue events during execution. Maps to pko:IssueOccurrence, hasEncounteredError, wasEncounteredBy, issueCause, and issueSolution.</vt:lpwstr>
  </property>
  <property fmtid="{D5CDD505-2E9C-101B-9397-08002B2CF9AE}" pid="635" name="erb.formula.UserQuestions.Name">
    <vt:lpwstr>LEFT(F2, 70)</vt:lpwstr>
  </property>
  <property fmtid="{D5CDD505-2E9C-101B-9397-08002B2CF9AE}" pid="636" name="erb.table.UserQuestions.description">
    <vt:lpwstr>Questions asked by agents during execution. Maps to pko:UserQuestionOccurrence, questionByUser, wasAskedBy, and isQuestionAddressedBy.</vt:lpwstr>
  </property>
  <property fmtid="{D5CDD505-2E9C-101B-9397-08002B2CF9AE}" pid="637" name="erb.formula.UserFeedback.Name">
    <vt:lpwstr>G2 &amp; ": " &amp; LEFT(F2, 60)</vt:lpwstr>
  </property>
  <property fmtid="{D5CDD505-2E9C-101B-9397-08002B2CF9AE}" pid="638" name="erb.table.UserFeedback.description">
    <vt:lpwstr>Feedback supplied by users about a procedure or execution. Maps to pko:UserFeedbackOccurrence, feedbackOnProcedureExecution, and wasProvidedBy.</vt:lpwstr>
  </property>
  <property fmtid="{D5CDD505-2E9C-101B-9397-08002B2CF9AE}" pid="639" name="erb.formula.StewardshipAssignments.Name">
    <vt:lpwstr>C2 &amp; " / steward=" &amp; D2</vt:lpwstr>
  </property>
  <property fmtid="{D5CDD505-2E9C-101B-9397-08002B2CF9AE}" pid="640" name="erb.formula.StewardshipAssignments.CountOfReviewEvents">
    <vt:lpwstr>IF((COUNTIFS(ReviewEvents!C2:C4,C2))="", "", ROUND((COUNTIFS(ReviewEvents!C2:C4,C2)), 0))</vt:lpwstr>
  </property>
  <property fmtid="{D5CDD505-2E9C-101B-9397-08002B2CF9AE}" pid="641" name="erb.formula.StewardshipAssignments.HasEverBeenReviewed">
    <vt:lpwstr>I2 &gt; 0</vt:lpwstr>
  </property>
  <property fmtid="{D5CDD505-2E9C-101B-9397-08002B2CF9AE}" pid="642" name="erb.formula.StewardshipAssignments.AsOfInstant">
    <vt:lpwstr>IFNA(IF(((INDEX(EvaluationContexts!D2:D2, MATCH(K2,EvaluationContexts!A2:A2, 0))="")=TRUE),  "",  INDEX(EvaluationContexts!D2:D2, MATCH(K2,EvaluationContexts!A2:A2, 0))), "")</vt:lpwstr>
  </property>
  <property fmtid="{D5CDD505-2E9C-101B-9397-08002B2CF9AE}" pid="643" name="erb.formula.StewardshipAssignments.IsCurrentAssignment">
    <vt:lpwstr>AND(((F2 &lt;= L2)=TRUE), ((OR(((G2 = "")=TRUE), ((G2 &gt; L2)=TRUE)))=TRUE))</vt:lpwstr>
  </property>
  <property fmtid="{D5CDD505-2E9C-101B-9397-08002B2CF9AE}" pid="644" name="erb.table.StewardshipAssignments.description">
    <vt:lpwstr>Separates ongoing stewardship from authority to approve semantic commitments. Explicit ERB-PKO governance extension.</vt:lpwstr>
  </property>
  <property fmtid="{D5CDD505-2E9C-101B-9397-08002B2CF9AE}" pid="645" name="erb.formula.ChangeRequests.Name">
    <vt:lpwstr>D2</vt:lpwstr>
  </property>
  <property fmtid="{D5CDD505-2E9C-101B-9397-08002B2CF9AE}" pid="646" name="erb.formula.ChangeRequests.IsOpen">
    <vt:lpwstr>AND(((OR(((F2 = "Draft")=TRUE), ((F2 = "UnderReview")=TRUE), ((F2 = "Approved")=TRUE)))=TRUE), ((AA2 = "")=TRUE))</vt:lpwstr>
  </property>
  <property fmtid="{D5CDD505-2E9C-101B-9397-08002B2CF9AE}" pid="647" name="erb.formula.ChangeRequests.OpenChangeVersionKey">
    <vt:lpwstr>IF(((L2)=TRUE),  C2,  "")</vt:lpwstr>
  </property>
  <property fmtid="{D5CDD505-2E9C-101B-9397-08002B2CF9AE}" pid="648" name="erb.formula.ChangeRequests.IsDecided">
    <vt:lpwstr>J2 &lt;&gt; ""</vt:lpwstr>
  </property>
  <property fmtid="{D5CDD505-2E9C-101B-9397-08002B2CF9AE}" pid="649" name="erb.formula.ChangeRequests.AsOfInstant">
    <vt:lpwstr>IFNA(IF(((INDEX(EvaluationContexts!D2:D2, MATCH(O2,EvaluationContexts!A2:A2, 0))="")=TRUE),  "",  INDEX(EvaluationContexts!D2:D2, MATCH(O2,EvaluationContexts!A2:A2, 0))), "")</vt:lpwstr>
  </property>
  <property fmtid="{D5CDD505-2E9C-101B-9397-08002B2CF9AE}" pid="650" name="erb.formula.ChangeRequests.DaysPending#1">
    <vt:lpwstr>IF((IF(((N2)=TRUE),  IF(((OR((((J2)="")=TRUE), (((I2)="")=TRUE)))=TRUE),  0,  (INT(J2) - INT(I2))),  IF(((OR((((P2)="")=TRUE), (((I2)="")=TRUE)))=TRUE),  0,  (INT(P2) - INT(I2)))))="", "", ROUND((IF(((N2)=TRUE),  IF(((OR((((J2)="")=TRUE), (((I2)="")=</vt:lpwstr>
  </property>
  <property fmtid="{D5CDD505-2E9C-101B-9397-08002B2CF9AE}" pid="651" name="erb.formula.ChangeRequests.DaysPending#2">
    <vt:lpwstr>TRUE)))=TRUE),  0,  (INT(J2) - INT(I2))),  IF(((OR((((P2)="")=TRUE), (((I2)="")=TRUE)))=TRUE),  0,  (INT(P2) - INT(I2))))), 0))</vt:lpwstr>
  </property>
  <property fmtid="{D5CDD505-2E9C-101B-9397-08002B2CF9AE}" pid="652" name="erb.formula.ChangeRequests.IsStillPending">
    <vt:lpwstr>AND(((L2)=TRUE), ((NOT(((N2)=TRUE)))=TRUE))</vt:lpwstr>
  </property>
  <property fmtid="{D5CDD505-2E9C-101B-9397-08002B2CF9AE}" pid="653" name="erb.formula.ChangeRequests.IsStalled">
    <vt:lpwstr>AND(((R2)=TRUE), ((Q2 &gt; 14)=TRUE))</vt:lpwstr>
  </property>
  <property fmtid="{D5CDD505-2E9C-101B-9397-08002B2CF9AE}" pid="654" name="erb.formula.ChangeRequests.AuthorityAgent">
    <vt:lpwstr>IFNA(IF(((INDEX(Roles!E2:E13, MATCH(H2,Roles!A2:A13, 0))="")=TRUE),  "",  INDEX(Roles!E2:E13, MATCH(H2,Roles!A2:A13, 0))), "")</vt:lpwstr>
  </property>
  <property fmtid="{D5CDD505-2E9C-101B-9397-08002B2CF9AE}" pid="655" name="erb.formula.ChangeRequests.RequesterIsAuthority">
    <vt:lpwstr>G2 = T2</vt:lpwstr>
  </property>
  <property fmtid="{D5CDD505-2E9C-101B-9397-08002B2CF9AE}" pid="656" name="erb.formula.ChangeRequests.AwaitsAuthorityDecision">
    <vt:lpwstr>AND(((F2 = "UnderReview")=TRUE), ((NOT(((N2)=TRUE)))=TRUE))</vt:lpwstr>
  </property>
  <property fmtid="{D5CDD505-2E9C-101B-9397-08002B2CF9AE}" pid="657" name="erb.formula.ChangeRequests.AuthorityRoleLabel">
    <vt:lpwstr>IFNA(IF(((INDEX(Roles!C2:C13, MATCH(H2,Roles!A2:A13, 0))="")=TRUE),  "",  INDEX(Roles!C2:C13, MATCH(H2,Roles!A2:A13, 0))), "")</vt:lpwstr>
  </property>
  <property fmtid="{D5CDD505-2E9C-101B-9397-08002B2CF9AE}" pid="658" name="erb.formula.ChangeRequests.TouchesLiveVersion">
    <vt:lpwstr>IFNA(IF(((INDEX(ProcedureVersions!Y2:Y4, MATCH(C2,ProcedureVersions!A2:A4, 0))="")=TRUE),  "",  INDEX(ProcedureVersions!Y2:Y4, MATCH(C2,ProcedureVersions!A2:A4, 0))), "")</vt:lpwstr>
  </property>
  <property fmtid="{D5CDD505-2E9C-101B-9397-08002B2CF9AE}" pid="659" name="erb.formula.ChangeRequests.IsLiveDecisionBacklog">
    <vt:lpwstr>AND(((V2)=TRUE), ((X2)=TRUE))</vt:lpwstr>
  </property>
  <property fmtid="{D5CDD505-2E9C-101B-9397-08002B2CF9AE}" pid="660" name="erb.formula.ChangeRequests.BlocksAnOpenGap">
    <vt:lpwstr>AND(((Y2)=TRUE), ((E2 = "Enhancement")=TRUE))</vt:lpwstr>
  </property>
  <property fmtid="{D5CDD505-2E9C-101B-9397-08002B2CF9AE}" pid="661" name="erb.formula.ChangeRequests.BacklogVersionKey">
    <vt:lpwstr>IF(((Y2)=TRUE),  C2,  "")</vt:lpwstr>
  </property>
  <property fmtid="{D5CDD505-2E9C-101B-9397-08002B2CF9AE}" pid="662" name="erb.formula.ChangeRequests.IsMyPendingDecision">
    <vt:lpwstr>AND(((H2 = "hr-policy-owner")=TRUE), ((V2)=TRUE))</vt:lpwstr>
  </property>
  <property fmtid="{D5CDD505-2E9C-101B-9397-08002B2CF9AE}" pid="663" name="erb.formula.ChangeRequests.IsMyBlockingBacklog">
    <vt:lpwstr>AND(((AC2)=TRUE), ((Z2)=TRUE))</vt:lpwstr>
  </property>
  <property fmtid="{D5CDD505-2E9C-101B-9397-08002B2CF9AE}" pid="664" name="erb.formula.ChangeRequests.IsMyOverdueBacklog">
    <vt:lpwstr>AND(((AD2)=TRUE), ((Q2 &gt; 14)=TRUE))</vt:lpwstr>
  </property>
  <property fmtid="{D5CDD505-2E9C-101B-9397-08002B2CF9AE}" pid="665" name="erb.formula.ChangeRequests.IsImplemented">
    <vt:lpwstr>AA2 &lt;&gt; ""</vt:lpwstr>
  </property>
  <property fmtid="{D5CDD505-2E9C-101B-9397-08002B2CF9AE}" pid="666" name="erb.formula.ChangeRequests.IsMyDecidedRequest">
    <vt:lpwstr>AND(((H2 = "hr-policy-owner")=TRUE), ((N2)=TRUE))</vt:lpwstr>
  </property>
  <property fmtid="{D5CDD505-2E9C-101B-9397-08002B2CF9AE}" pid="667" name="erb.formula.ChangeRequests.IsMyDecidedButUnlanded">
    <vt:lpwstr>AND(((AG2)=TRUE), ((NOT(((AF2)=TRUE)))=TRUE))</vt:lpwstr>
  </property>
  <property fmtid="{D5CDD505-2E9C-101B-9397-08002B2CF9AE}" pid="668" name="erb.formula.ChangeRequests.DecisionLatencyDays">
    <vt:lpwstr>IF((IF(((N2)=TRUE),  IF(((OR((((J2)="")=TRUE), (((I2)="")=TRUE)))=TRUE),  0,  (INT(J2) - INT(I2))),  0))="", "", ROUND((IF(((N2)=TRUE),  IF(((OR((((J2)="")=TRUE), (((I2)="")=TRUE)))=TRUE),  0,  (INT(J2) - INT(I2))),  0)), 0))</vt:lpwstr>
  </property>
  <property fmtid="{D5CDD505-2E9C-101B-9397-08002B2CF9AE}" pid="669" name="erb.formula.ChangeRequests.ImplementationLatencyDays">
    <vt:lpwstr>IF((IF(((AF2)=TRUE),  IF(((OR((((AA2)="")=TRUE), (((J2)="")=TRUE)))=TRUE),  0,  (INT(AA2) - INT(J2))),  0))="", "", ROUND((IF(((AF2)=TRUE),  IF(((OR((((AA2)="")=TRUE), (((J2)="")=TRUE)))=TRUE),  0,  (INT(AA2) - INT(J2))),  0)), 0))</vt:lpwstr>
  </property>
  <property fmtid="{D5CDD505-2E9C-101B-9397-08002B2CF9AE}" pid="670" name="erb.formula.ChangeRequests.DelayIsDownstreamOfMe">
    <vt:lpwstr>AND(((AH2)=TRUE), ((AI2 &lt;= 14)=TRUE))</vt:lpwstr>
  </property>
  <property fmtid="{D5CDD505-2E9C-101B-9397-08002B2CF9AE}" pid="671" name="erb.formula.ChangeRequests.UnlandedVersionKey">
    <vt:lpwstr>IF(((AH2)=TRUE),  C2,  "")</vt:lpwstr>
  </property>
  <property fmtid="{D5CDD505-2E9C-101B-9397-08002B2CF9AE}" pid="672" name="erb.formula.ChangeRequests.IsApprovedNotImplemented">
    <vt:lpwstr>AND(((F2 = "Approved")=TRUE), ((NOT(((AF2)=TRUE)))=TRUE))</vt:lpwstr>
  </property>
  <property fmtid="{D5CDD505-2E9C-101B-9397-08002B2CF9AE}" pid="673" name="erb.formula.ChangeRequests.DaysSinceApproval">
    <vt:lpwstr>IF((IF(((N2)=TRUE),  IF(((OR((((P2)="")=TRUE), (((J2)="")=TRUE)))=TRUE),  0,  (INT(P2) - INT(J2))),  0))="", "", ROUND((IF(((N2)=TRUE),  IF(((OR((((P2)="")=TRUE), (((J2)="")=TRUE)))=TRUE),  0,  (INT(P2) - INT(J2))),  0)), 0))</vt:lpwstr>
  </property>
  <property fmtid="{D5CDD505-2E9C-101B-9397-08002B2CF9AE}" pid="674" name="erb.formula.ChangeRequests.IsStalledImplementation">
    <vt:lpwstr>AND(((AM2)=TRUE), ((AN2 &gt; 14)=TRUE))</vt:lpwstr>
  </property>
  <property fmtid="{D5CDD505-2E9C-101B-9397-08002B2CF9AE}" pid="675" name="erb.formula.ChangeRequests.StalledImplementationVersionKey">
    <vt:lpwstr>IF(((AO2)=TRUE),  C2,  "")</vt:lpwstr>
  </property>
  <property fmtid="{D5CDD505-2E9C-101B-9397-08002B2CF9AE}" pid="676" name="erb.formula.ChangeRequests.ApprovedVersionKey">
    <vt:lpwstr>IF(((AR2)=TRUE),  C2,  "")</vt:lpwstr>
  </property>
  <property fmtid="{D5CDD505-2E9C-101B-9397-08002B2CF9AE}" pid="677" name="erb.formula.ChangeRequests.IsApprovedDecision">
    <vt:lpwstr>F2 = "Approved"</vt:lpwstr>
  </property>
  <property fmtid="{D5CDD505-2E9C-101B-9397-08002B2CF9AE}" pid="678" name="erb.table.ChangeRequests.description">
    <vt:lpwstr>Governed requests for semantic or operational change, anchored to a procedure version and authority. Explicit ERB-PKO extension.</vt:lpwstr>
  </property>
  <property fmtid="{D5CDD505-2E9C-101B-9397-08002B2CF9AE}" pid="679" name="erb.formula.ReviewEvents.Name">
    <vt:lpwstr>C2 &amp; " / " &amp; D2</vt:lpwstr>
  </property>
  <property fmtid="{D5CDD505-2E9C-101B-9397-08002B2CF9AE}" pid="680" name="erb.formula.ReviewEvents.AsOfInstant">
    <vt:lpwstr>IFNA(IF(((INDEX(EvaluationContexts!D2:D2, MATCH(J2,EvaluationContexts!A2:A2, 0))="")=TRUE),  "",  INDEX(EvaluationContexts!D2:D2, MATCH(J2,EvaluationContexts!A2:A2, 0))), "")</vt:lpwstr>
  </property>
  <property fmtid="{D5CDD505-2E9C-101B-9397-08002B2CF9AE}" pid="681" name="erb.formula.ReviewEvents.IsOverdue">
    <vt:lpwstr>I2 &lt; K2</vt:lpwstr>
  </property>
  <property fmtid="{D5CDD505-2E9C-101B-9397-08002B2CF9AE}" pid="682" name="erb.formula.ReviewEvents.OverdueVersionKey">
    <vt:lpwstr>IF(((L2)=TRUE),  C2,  "")</vt:lpwstr>
  </property>
  <property fmtid="{D5CDD505-2E9C-101B-9397-08002B2CF9AE}" pid="683" name="erb.formula.ReviewEvents.PromisedCadenceDays#1">
    <vt:lpwstr>IF((IFNA(IF(((INDEX(ProcedureVersions!V2:V4, MATCH(C2,ProcedureVersions!A2:A4, 0))="")=TRUE),  "",  INDEX(ProcedureVersions!V2:V4, MATCH(C2,ProcedureVersions!A2:A4, 0))), ""))="", "", ROUND((IFNA(IF(((INDEX(ProcedureVersions!V2:V4, MATCH(C2,Procedure</vt:lpwstr>
  </property>
  <property fmtid="{D5CDD505-2E9C-101B-9397-08002B2CF9AE}" pid="684" name="erb.formula.ReviewEvents.PromisedCadenceDays#2">
    <vt:lpwstr>Versions!A2:A4, 0))="")=TRUE),  "",  INDEX(ProcedureVersions!V2:V4, MATCH(C2,ProcedureVersions!A2:A4, 0))), "")), 0))</vt:lpwstr>
  </property>
  <property fmtid="{D5CDD505-2E9C-101B-9397-08002B2CF9AE}" pid="685" name="erb.formula.ReviewEvents.DaysSinceReviewed">
    <vt:lpwstr>IF((IF(((OR((((K2)="")=TRUE), (((E2)="")=TRUE)))=TRUE),  0,  (INT(K2) - INT(E2))))="", "", ROUND((IF(((OR((((K2)="")=TRUE), (((E2)="")=TRUE)))=TRUE),  0,  (INT(K2) - INT(E2)))), 0))</vt:lpwstr>
  </property>
  <property fmtid="{D5CDD505-2E9C-101B-9397-08002B2CF9AE}" pid="686" name="erb.formula.ReviewEvents.ExceedsPromisedCadence">
    <vt:lpwstr>O2 &gt; N2</vt:lpwstr>
  </property>
  <property fmtid="{D5CDD505-2E9C-101B-9397-08002B2CF9AE}" pid="687" name="erb.formula.ReviewEvents.CadenceDriftDays">
    <vt:lpwstr>IF((O2 - N2)="", "", ROUND((O2 - N2), 0))</vt:lpwstr>
  </property>
  <property fmtid="{D5CDD505-2E9C-101B-9397-08002B2CF9AE}" pid="688" name="erb.formula.ReviewEvents.PromiseAndBehaviorDisagree">
    <vt:lpwstr>AND(((P2)=TRUE), ((NOT(((L2)=TRUE)))=TRUE))</vt:lpwstr>
  </property>
  <property fmtid="{D5CDD505-2E9C-101B-9397-08002B2CF9AE}" pid="689" name="erb.formula.ReviewEvents.CadenceBreachVersionKey">
    <vt:lpwstr>IF(((P2)=TRUE),  C2,  "")</vt:lpwstr>
  </property>
  <property fmtid="{D5CDD505-2E9C-101B-9397-08002B2CF9AE}" pid="690" name="erb.table.ReviewEvents.description">
    <vt:lpwstr>Periodic governance reviews that test competency coverage, staleness, and semantic integrity. Explicit ERB-PKO extension represented as prov:Activity.</vt:lpwstr>
  </property>
  <property fmtid="{D5CDD505-2E9C-101B-9397-08002B2CF9AE}" pid="691" name="erb.formula.LearningActivities.Name">
    <vt:lpwstr>E2 &amp; " / " &amp; IF(((F2="")=TRUE),  "",  TEXT(F2, "yyyy-mm-dd\Thh:mm:ss")&amp;"+00:00")</vt:lpwstr>
  </property>
  <property fmtid="{D5CDD505-2E9C-101B-9397-08002B2CF9AE}" pid="692" name="erb.table.LearningActivities.description">
    <vt:lpwstr>Learning, retrospective, tabletop, and onboarding activities that convert execution experience into maintained knowledge. Explicit ERB-PKO extension represented as prov:Activity.</vt:lpwstr>
  </property>
  <property fmtid="{D5CDD505-2E9C-101B-9397-08002B2CF9AE}" pid="693" name="erb.formula.OperationalBindings.Name">
    <vt:lpwstr>D2 &amp; " / " &amp; G2</vt:lpwstr>
  </property>
  <property fmtid="{D5CDD505-2E9C-101B-9397-08002B2CF9AE}" pid="694" name="erb.formula.OperationalBindings.AsOfInstant">
    <vt:lpwstr>IFNA(IF(((INDEX(EvaluationContexts!D2:D2, MATCH(K2,EvaluationContexts!A2:A2, 0))="")=TRUE),  "",  INDEX(EvaluationContexts!D2:D2, MATCH(K2,EvaluationContexts!A2:A2, 0))), "")</vt:lpwstr>
  </property>
  <property fmtid="{D5CDD505-2E9C-101B-9397-08002B2CF9AE}" pid="695" name="erb.formula.OperationalBindings.AgeMinutes">
    <vt:lpwstr>IF((IF(((OR((((L2)="")=TRUE), (((H2)="")=TRUE)))=TRUE),  0,  ((L2 - H2) * 1440)))="", "", ROUND((IF(((OR((((L2)="")=TRUE), (((H2)="")=TRUE)))=TRUE),  0,  ((L2 - H2) * 1440))), 0))</vt:lpwstr>
  </property>
  <property fmtid="{D5CDD505-2E9C-101B-9397-08002B2CF9AE}" pid="696" name="erb.formula.OperationalBindings.IsFresh">
    <vt:lpwstr>M2 &lt;= I2</vt:lpwstr>
  </property>
  <property fmtid="{D5CDD505-2E9C-101B-9397-08002B2CF9AE}" pid="697" name="erb.formula.OperationalBindings.StaleBindingStepKey">
    <vt:lpwstr>IF(((NOT(((N2)=TRUE)))=TRUE),  D2,  "")</vt:lpwstr>
  </property>
  <property fmtid="{D5CDD505-2E9C-101B-9397-08002B2CF9AE}" pid="698" name="erb.formula.OperationalBindings.AuthoritativeStaleStepKey">
    <vt:lpwstr>IF(((AND(((NOT(((N2)=TRUE)))=TRUE), ((J2)=TRUE)))=TRUE),  D2,  "")</vt:lpwstr>
  </property>
  <property fmtid="{D5CDD505-2E9C-101B-9397-08002B2CF9AE}" pid="699" name="erb.formula.OperationalBindings.IsStaleAndAuthoritative">
    <vt:lpwstr>AND(((J2)=TRUE), ((NOT(((N2)=TRUE)))=TRUE))</vt:lpwstr>
  </property>
  <property fmtid="{D5CDD505-2E9C-101B-9397-08002B2CF9AE}" pid="700" name="erb.formula.OperationalBindings.StepWhenStale">
    <vt:lpwstr>IF(((Q2)=TRUE),  D2,  "")</vt:lpwstr>
  </property>
  <property fmtid="{D5CDD505-2E9C-101B-9397-08002B2CF9AE}" pid="701" name="erb.formula.OperationalBindings.ResourceIsApproved">
    <vt:lpwstr>IFNA(IF(((INDEX(Resources!J2:J9, MATCH(E2,Resources!A2:A9, 0))="")=TRUE),  "",  INDEX(Resources!J2:J9, MATCH(E2,Resources!A2:A9, 0))), "")</vt:lpwstr>
  </property>
  <property fmtid="{D5CDD505-2E9C-101B-9397-08002B2CF9AE}" pid="702" name="erb.formula.OperationalBindings.IsUsableForDrafting">
    <vt:lpwstr>AND(((S2)=TRUE), ((N2)=TRUE))</vt:lpwstr>
  </property>
  <property fmtid="{D5CDD505-2E9C-101B-9397-08002B2CF9AE}" pid="703" name="erb.formula.OperationalBindings.StepWhenUnusable">
    <vt:lpwstr>IF(((T2)=TRUE),  "",  D2)</vt:lpwstr>
  </property>
  <property fmtid="{D5CDD505-2E9C-101B-9397-08002B2CF9AE}" pid="704" name="erb.table.OperationalBindings.description">
    <vt:lpwstr>Live bindings between procedural semantics and operational data/resources. Explicit ERB-PKO extension using DCAT/DCMI/PROV identifiers.</vt:lpwstr>
  </property>
  <property fmtid="{D5CDD505-2E9C-101B-9397-08002B2CF9AE}" pid="705" name="erb.formula.CommunicationPolicies.Name">
    <vt:lpwstr>D2 &amp; " policy / " &amp; C2</vt:lpwstr>
  </property>
  <property fmtid="{D5CDD505-2E9C-101B-9397-08002B2CF9AE}" pid="706" name="erb.formula.CommunicationPolicies.ConsentViolationCount">
    <vt:lpwstr>COUNTIFS(MessageDeliveries!O2:O7, A2,MessageDeliveries!T2:T7, TRUE)</vt:lpwstr>
  </property>
  <property fmtid="{D5CDD505-2E9C-101B-9397-08002B2CF9AE}" pid="707" name="erb.formula.CommunicationPolicies.QuietHoursViolationCount">
    <vt:lpwstr>COUNTIFS(MessageDeliveries!AB2:AB7, A2)</vt:lpwstr>
  </property>
  <property fmtid="{D5CDD505-2E9C-101B-9397-08002B2CF9AE}" pid="708" name="erb.formula.CommunicationPolicies.IsActivePolicy">
    <vt:lpwstr>O2 = "Active"</vt:lpwstr>
  </property>
  <property fmtid="{D5CDD505-2E9C-101B-9397-08002B2CF9AE}" pid="709" name="erb.table.CommunicationPolicies.description">
    <vt:lpwstr>Channel-specific communication policy projected from the same canonical procedure. Uses ODRL-style policy semantics plus ERB-PKO channel constraints.</vt:lpwstr>
  </property>
  <property fmtid="{D5CDD505-2E9C-101B-9397-08002B2CF9AE}" pid="710" name="erb.formula.MessageTemplates.Name">
    <vt:lpwstr>C2 &amp; " / " &amp; G2</vt:lpwstr>
  </property>
  <property fmtid="{D5CDD505-2E9C-101B-9397-08002B2CF9AE}" pid="711" name="erb.formula.MessageTemplates.PolicyMaxMessageLength#1">
    <vt:lpwstr>IF((IFNA(IF(((INDEX(CommunicationPolicies!I2:I3, MATCH(C2,CommunicationPolicies!A2:A3, 0))="")=TRUE),  "",  INDEX(CommunicationPolicies!I2:I3, MATCH(C2,CommunicationPolicies!A2:A3, 0))), ""))="", "", ROUND((IFNA(IF(((INDEX(CommunicationPolicies!I2:I3</vt:lpwstr>
  </property>
  <property fmtid="{D5CDD505-2E9C-101B-9397-08002B2CF9AE}" pid="712" name="erb.formula.MessageTemplates.PolicyMaxMessageLength#2">
    <vt:lpwstr>, MATCH(C2,CommunicationPolicies!A2:A3, 0))="")=TRUE),  "",  INDEX(CommunicationPolicies!I2:I3, MATCH(C2,CommunicationPolicies!A2:A3, 0))), "")), 0))</vt:lpwstr>
  </property>
  <property fmtid="{D5CDD505-2E9C-101B-9397-08002B2CF9AE}" pid="713" name="erb.formula.MessageTemplates.PolicyMaxSegments#1">
    <vt:lpwstr>IF((IFNA(IF(((INDEX(CommunicationPolicies!J2:J3, MATCH(C2,CommunicationPolicies!A2:A3, 0))="")=TRUE),  "",  INDEX(CommunicationPolicies!J2:J3, MATCH(C2,CommunicationPolicies!A2:A3, 0))), ""))="", "", ROUND((IFNA(IF(((INDEX(CommunicationPolicies!J2:J3</vt:lpwstr>
  </property>
  <property fmtid="{D5CDD505-2E9C-101B-9397-08002B2CF9AE}" pid="714" name="erb.formula.MessageTemplates.PolicyMaxSegments#2">
    <vt:lpwstr>, MATCH(C2,CommunicationPolicies!A2:A3, 0))="")=TRUE),  "",  INDEX(CommunicationPolicies!J2:J3, MATCH(C2,CommunicationPolicies!A2:A3, 0))), "")), 0))</vt:lpwstr>
  </property>
  <property fmtid="{D5CDD505-2E9C-101B-9397-08002B2CF9AE}" pid="715" name="erb.formula.MessageTemplates.BodyTemplateLength">
    <vt:lpwstr>IF((LEN(F2))="", "", ROUND((LEN(F2)), 0))</vt:lpwstr>
  </property>
  <property fmtid="{D5CDD505-2E9C-101B-9397-08002B2CF9AE}" pid="716" name="erb.formula.MessageTemplates.IsTemplateOverLength">
    <vt:lpwstr>K2 &gt; I2</vt:lpwstr>
  </property>
  <property fmtid="{D5CDD505-2E9C-101B-9397-08002B2CF9AE}" pid="717" name="erb.formula.MessageTemplates.ValidApprovalCount">
    <vt:lpwstr>COUNTIFS(TemplateApprovals!N2:N3, A2)</vt:lpwstr>
  </property>
  <property fmtid="{D5CDD505-2E9C-101B-9397-08002B2CF9AE}" pid="718" name="erb.formula.MessageTemplates.HasValidApproval">
    <vt:lpwstr>M2 &gt; 0</vt:lpwstr>
  </property>
  <property fmtid="{D5CDD505-2E9C-101B-9397-08002B2CF9AE}" pid="719" name="erb.formula.MessageTemplates.IsClaimingUnbackedApproval">
    <vt:lpwstr>AND(((H2 = "Approved")=TRUE), ((NOT(((N2)=TRUE)))=TRUE))</vt:lpwstr>
  </property>
  <property fmtid="{D5CDD505-2E9C-101B-9397-08002B2CF9AE}" pid="720" name="erb.formula.MessageTemplates.LastApprovedBodyHash">
    <vt:lpwstr>IFNA(IF(((INDEX(TemplateApprovals!H2:H3, MATCH(R2,TemplateApprovals!A2:A3, 0))="")=TRUE),  "",  INDEX(TemplateApprovals!H2:H3, MATCH(R2,TemplateApprovals!A2:A3, 0))), "")</vt:lpwstr>
  </property>
  <property fmtid="{D5CDD505-2E9C-101B-9397-08002B2CF9AE}" pid="721" name="erb.formula.MessageTemplates.HasBodyDrifted">
    <vt:lpwstr>AND(((Q2 &lt;&gt; "")=TRUE), ((P2 &lt;&gt; Q2)=TRUE))</vt:lpwstr>
  </property>
  <property fmtid="{D5CDD505-2E9C-101B-9397-08002B2CF9AE}" pid="722" name="erb.formula.MessageTemplates.IsSendableUnderApproval">
    <vt:lpwstr>AND(((H2 = "Approved")=TRUE), ((AND(((N2)=TRUE), ((NOT(((S2)=TRUE)))=TRUE)))=TRUE))</vt:lpwstr>
  </property>
  <property fmtid="{D5CDD505-2E9C-101B-9397-08002B2CF9AE}" pid="723" name="erb.formula.MessageTemplates.DriftedSendCount">
    <vt:lpwstr>COUNTIFS(MessageDeliveries!BR2:BR7, A2)</vt:lpwstr>
  </property>
  <property fmtid="{D5CDD505-2E9C-101B-9397-08002B2CF9AE}" pid="724" name="erb.formula.MessageTemplates.UnansweredDeliveryCount">
    <vt:lpwstr>COUNTIFS(MessageDeliveries!BW2:BW7, A2)</vt:lpwstr>
  </property>
  <property fmtid="{D5CDD505-2E9C-101B-9397-08002B2CF9AE}" pid="725" name="erb.formula.MessageTemplates.TransmittedDeliveryCount">
    <vt:lpwstr>COUNTIFS(MessageDeliveries!BX2:BX7, A2)</vt:lpwstr>
  </property>
  <property fmtid="{D5CDD505-2E9C-101B-9397-08002B2CF9AE}" pid="726" name="erb.formula.MessageTemplates.TemplateDrawsNoResponse">
    <vt:lpwstr>AND(((W2 &gt; 0)=TRUE), ((V2 = W2)=TRUE))</vt:lpwstr>
  </property>
  <property fmtid="{D5CDD505-2E9C-101B-9397-08002B2CF9AE}" pid="727" name="erb.formula.MessageTemplates.LastApprovalAt">
    <vt:lpwstr>IFNA(IF(((INDEX(TemplateApprovals!G2:G3, MATCH(R2,TemplateApprovals!A2:A3, 0))="")=TRUE),  "",  INDEX(TemplateApprovals!G2:G3, MATCH(R2,TemplateApprovals!A2:A3, 0))), "")</vt:lpwstr>
  </property>
  <property fmtid="{D5CDD505-2E9C-101B-9397-08002B2CF9AE}" pid="728" name="erb.table.MessageTemplates.description">
    <vt:lpwstr>Approved channel templates projected from the canonical rulebook without becoming a second source of policy meaning.</vt:lpwstr>
  </property>
  <property fmtid="{D5CDD505-2E9C-101B-9397-08002B2CF9AE}" pid="729" name="erb.formula.SemanticMappings.Name">
    <vt:lpwstr>C2 &amp; " -&gt; " &amp; E2</vt:lpwstr>
  </property>
  <property fmtid="{D5CDD505-2E9C-101B-9397-08002B2CF9AE}" pid="730" name="erb.table.SemanticMappings.description">
    <vt:lpwstr>Machine-readable alignment from ERB table/field paths to exact PKO or reused ontology terms. Extension mappings are never presented as native PKO.</vt:lpwstr>
  </property>
  <property fmtid="{D5CDD505-2E9C-101B-9397-08002B2CF9AE}" pid="731" name="erb.formula.WitnessLoops.Name">
    <vt:lpwstr>"Loop " &amp; C2 &amp; ": " &amp; D2</vt:lpwstr>
  </property>
  <property fmtid="{D5CDD505-2E9C-101B-9397-08002B2CF9AE}" pid="732" name="erb.formula.WitnessLoops.QuestionCount">
    <vt:lpwstr>COUNTIFS(RoleQuestions!D2:D112, A2)</vt:lpwstr>
  </property>
  <property fmtid="{D5CDD505-2E9C-101B-9397-08002B2CF9AE}" pid="733" name="erb.formula.WitnessLoops.IsComplete">
    <vt:lpwstr>G2 &lt;&gt; ""</vt:lpwstr>
  </property>
  <property fmtid="{D5CDD505-2E9C-101B-9397-08002B2CF9AE}" pid="734" name="erb.table.WitnessLoops.description">
    <vt:lpwstr>One row per role-question expansion loop. Each loop poses questions that only became askable because of the previous loop's predicates.</vt:lpwstr>
  </property>
  <property fmtid="{D5CDD505-2E9C-101B-9397-08002B2CF9AE}" pid="735" name="erb.formula.RoleQuestions.Name">
    <vt:lpwstr>C2 &amp; ": " &amp; LEFT(E2, 60)</vt:lpwstr>
  </property>
  <property fmtid="{D5CDD505-2E9C-101B-9397-08002B2CF9AE}" pid="736" name="erb.formula.RoleQuestions.PredicateCount">
    <vt:lpwstr>COUNTIFS(RulebookFields!H2:H1898, A2)</vt:lpwstr>
  </property>
  <property fmtid="{D5CDD505-2E9C-101B-9397-08002B2CF9AE}" pid="737" name="erb.formula.RoleQuestions.IsAnswered">
    <vt:lpwstr>H2 &gt; 0</vt:lpwstr>
  </property>
  <property fmtid="{D5CDD505-2E9C-101B-9397-08002B2CF9AE}" pid="738" name="erb.table.RoleQuestions.description">
    <vt:lpwstr>One row per question a named role wants answered. Every invented predicate in this rulebook traces back to one of these.</vt:lpwstr>
  </property>
  <property fmtid="{D5CDD505-2E9C-101B-9397-08002B2CF9AE}" pid="739" name="erb.formula.RulebookFields.Name">
    <vt:lpwstr>C2 &amp; "." &amp; D2</vt:lpwstr>
  </property>
  <property fmtid="{D5CDD505-2E9C-101B-9397-08002B2CF9AE}" pid="740" name="erb.formula.RulebookFields.IsDerived">
    <vt:lpwstr>OR(((E2 = "calculated")=TRUE), ((E2 = "lookup")=TRUE), ((E2 = "aggregation")=TRUE))</vt:lpwstr>
  </property>
  <property fmtid="{D5CDD505-2E9C-101B-9397-08002B2CF9AE}" pid="741" name="erb.formula.RulebookFields.IsWitness">
    <vt:lpwstr>H2 &lt;&gt; ""</vt:lpwstr>
  </property>
  <property fmtid="{D5CDD505-2E9C-101B-9397-08002B2CF9AE}" pid="742" name="erb.formula.RulebookFields.DisagreeingSubstrateCount">
    <vt:lpwstr>COUNTIFS(FieldDisagreements!D2:D50, A2)</vt:lpwstr>
  </property>
  <property fmtid="{D5CDD505-2E9C-101B-9397-08002B2CF9AE}" pid="743" name="erb.formula.RulebookFields.IsSubstrateContested">
    <vt:lpwstr>K2 &gt; 0</vt:lpwstr>
  </property>
  <property fmtid="{D5CDD505-2E9C-101B-9397-08002B2CF9AE}" pid="744" name="erb.table.RulebookFields.description">
    <vt:lpwstr>A complete census of every field in this rulebook. Reconciled from the real schemas by tools/reconcile_field_catalog.py — never hand-maintained. Fields invented by a witness loop carry an InventedForQuestion FK.</vt:lpwstr>
  </property>
  <property fmtid="{D5CDD505-2E9C-101B-9397-08002B2CF9AE}" pid="745" name="erb.formula.TestSuites.Name">
    <vt:lpwstr>C2</vt:lpwstr>
  </property>
  <property fmtid="{D5CDD505-2E9C-101B-9397-08002B2CF9AE}" pid="746" name="erb.formula.TestSuites.TestCount">
    <vt:lpwstr>COUNTIFS(TestCases!I2:I1795, A2)</vt:lpwstr>
  </property>
  <property fmtid="{D5CDD505-2E9C-101B-9397-08002B2CF9AE}" pid="747" name="erb.formula.TestSuites.PassCount">
    <vt:lpwstr>COUNTIFS(TestCases!R2:R1795, A2)</vt:lpwstr>
  </property>
  <property fmtid="{D5CDD505-2E9C-101B-9397-08002B2CF9AE}" pid="748" name="erb.formula.TestSuites.BlockingFailCount">
    <vt:lpwstr>COUNTIFS(TestCases!S2:S1795, A2)</vt:lpwstr>
  </property>
  <property fmtid="{D5CDD505-2E9C-101B-9397-08002B2CF9AE}" pid="749" name="erb.formula.TestSuites.IsGreen">
    <vt:lpwstr>F2 = 0</vt:lpwstr>
  </property>
  <property fmtid="{D5CDD505-2E9C-101B-9397-08002B2CF9AE}" pid="750" name="erb.table.TestSuites.description">
    <vt:lpwstr>Groups of conformance checks. Rollups here are computed from TestCases, so the board's headline is itself a derived field.</vt:lpwstr>
  </property>
  <property fmtid="{D5CDD505-2E9C-101B-9397-08002B2CF9AE}" pid="751" name="erb.formula.TestCases.Name">
    <vt:lpwstr>C2 &amp; ": " &amp; D2</vt:lpwstr>
  </property>
  <property fmtid="{D5CDD505-2E9C-101B-9397-08002B2CF9AE}" pid="752" name="erb.formula.TestCases.IsBlocking">
    <vt:lpwstr>J2 = "blocking"</vt:lpwstr>
  </property>
  <property fmtid="{D5CDD505-2E9C-101B-9397-08002B2CF9AE}" pid="753" name="erb.formula.TestCases.IsPassing">
    <vt:lpwstr>L2 = "PASS"</vt:lpwstr>
  </property>
  <property fmtid="{D5CDD505-2E9C-101B-9397-08002B2CF9AE}" pid="754" name="erb.formula.TestCases.IsFailing">
    <vt:lpwstr>L2 = "FAIL"</vt:lpwstr>
  </property>
  <property fmtid="{D5CDD505-2E9C-101B-9397-08002B2CF9AE}" pid="755" name="erb.formula.TestCases.NeedsAttention">
    <vt:lpwstr>AND(((P2)=TRUE), ((K2)=TRUE))</vt:lpwstr>
  </property>
  <property fmtid="{D5CDD505-2E9C-101B-9397-08002B2CF9AE}" pid="756" name="erb.formula.TestCases.PassingSuiteKey">
    <vt:lpwstr>IF(((O2)=TRUE),  I2,  "")</vt:lpwstr>
  </property>
  <property fmtid="{D5CDD505-2E9C-101B-9397-08002B2CF9AE}" pid="757" name="erb.formula.TestCases.NeedsAttentionSuiteKey">
    <vt:lpwstr>IF(((Q2)=TRUE),  I2,  "")</vt:lpwstr>
  </property>
  <property fmtid="{D5CDD505-2E9C-101B-9397-08002B2CF9AE}" pid="758" name="erb.table.TestCases.description">
    <vt:lpwstr>The conformance suite, as data. One row per check, naming what it checks and — where applicable — the role question whose answer it defends. tools/run_test_suite.py executes these rows and writes the outcome back; it invents no checks of its own.</vt:lpwstr>
  </property>
  <property fmtid="{D5CDD505-2E9C-101B-9397-08002B2CF9AE}" pid="759" name="erb.table.ERBVersions.description">
    <vt:lpwstr>Standard ERB semantic version history.</vt:lpwstr>
  </property>
  <property fmtid="{D5CDD505-2E9C-101B-9397-08002B2CF9AE}" pid="760" name="erb.table.ERBCustomizations.description">
    <vt:lpwstr>Explicit customization seams; empty because the canonical model is expressed in the rulebook.</vt:lpwstr>
  </property>
  <property fmtid="{D5CDD505-2E9C-101B-9397-08002B2CF9AE}" pid="761" name="erb.formula.ExceptionInvocations.Name">
    <vt:lpwstr>C2 &amp; " / " &amp; D2</vt:lpwstr>
  </property>
  <property fmtid="{D5CDD505-2E9C-101B-9397-08002B2CF9AE}" pid="762" name="erb.formula.ExceptionInvocations.ExpectedHandling">
    <vt:lpwstr>IFNA(IF(((INDEX(Exceptions!F2:F5, MATCH(D2,Exceptions!A2:A5, 0))="")=TRUE),  "",  INDEX(Exceptions!F2:F5, MATCH(D2,Exceptions!A2:A5, 0))), "")</vt:lpwstr>
  </property>
  <property fmtid="{D5CDD505-2E9C-101B-9397-08002B2CF9AE}" pid="763" name="erb.formula.ExceptionInvocations.RequiredApprovalRole">
    <vt:lpwstr>IFNA(IF(((INDEX(Exceptions!G2:G5, MATCH(D2,Exceptions!A2:A5, 0))="")=TRUE),  "",  INDEX(Exceptions!G2:G5, MATCH(D2,Exceptions!A2:A5, 0))), "")</vt:lpwstr>
  </property>
  <property fmtid="{D5CDD505-2E9C-101B-9397-08002B2CF9AE}" pid="764" name="erb.formula.ExceptionInvocations.RequiredApprovalRoleHolder">
    <vt:lpwstr>IFNA(IF(((INDEX(Roles!E2:E13, MATCH(J2,Roles!A2:A13, 0))="")=TRUE),  "",  INDEX(Roles!E2:E13, MATCH(J2,Roles!A2:A13, 0))), "")</vt:lpwstr>
  </property>
  <property fmtid="{D5CDD505-2E9C-101B-9397-08002B2CF9AE}" pid="765" name="erb.formula.ExceptionInvocations.ApprovalRoleMatches">
    <vt:lpwstr>F2 = K2</vt:lpwstr>
  </property>
  <property fmtid="{D5CDD505-2E9C-101B-9397-08002B2CF9AE}" pid="766" name="erb.formula.ExceptionInvocations.IsApproved">
    <vt:lpwstr>F2 &lt;&gt; ""</vt:lpwstr>
  </property>
  <property fmtid="{D5CDD505-2E9C-101B-9397-08002B2CF9AE}" pid="767" name="erb.formula.ExceptionInvocations.IsImproperlyApproved">
    <vt:lpwstr>OR(((NOT(((M2)=TRUE)))=TRUE), ((NOT(((L2)=TRUE)))=TRUE))</vt:lpwstr>
  </property>
  <property fmtid="{D5CDD505-2E9C-101B-9397-08002B2CF9AE}" pid="768" name="erb.formula.ExceptionInvocations.InvokerAgentKind">
    <vt:lpwstr>IFNA(IF(((INDEX(Agents!D2:D12, MATCH(E2,Agents!A2:A12, 0))="")=TRUE),  "",  INDEX(Agents!D2:D12, MATCH(E2,Agents!A2:A12, 0))), "")</vt:lpwstr>
  </property>
  <property fmtid="{D5CDD505-2E9C-101B-9397-08002B2CF9AE}" pid="769" name="erb.formula.ExceptionInvocations.InvokerAlsoPreparedKey">
    <vt:lpwstr>Q2 &amp; "|" &amp; F2</vt:lpwstr>
  </property>
  <property fmtid="{D5CDD505-2E9C-101B-9397-08002B2CF9AE}" pid="770" name="erb.formula.ExceptionInvocations.ParentProcedureExecution">
    <vt:lpwstr>IFNA(IF(((INDEX(StepExecutions!C2:C13, MATCH(C2,StepExecutions!A2:A13, 0))="")=TRUE),  "",  INDEX(StepExecutions!C2:C13, MATCH(C2,StepExecutions!A2:A13, 0))), "")</vt:lpwstr>
  </property>
  <property fmtid="{D5CDD505-2E9C-101B-9397-08002B2CF9AE}" pid="771" name="erb.formula.ExceptionInvocations.ApproverPreparedCount">
    <vt:lpwstr>COUNTIFS(StepExecutions!AH2:AH13, P2)</vt:lpwstr>
  </property>
  <property fmtid="{D5CDD505-2E9C-101B-9397-08002B2CF9AE}" pid="772" name="erb.formula.ExceptionInvocations.DelegatedToPreparer">
    <vt:lpwstr>R2 &gt; 0</vt:lpwstr>
  </property>
  <property fmtid="{D5CDD505-2E9C-101B-9397-08002B2CF9AE}" pid="773" name="erb.formula.ExceptionInvocations.IsUngovernedInvocation">
    <vt:lpwstr>OR(((N2)=TRUE), ((S2)=TRUE))</vt:lpwstr>
  </property>
  <property fmtid="{D5CDD505-2E9C-101B-9397-08002B2CF9AE}" pid="774" name="erb.table.ExceptionInvocations.description">
    <vt:lpwstr>ExceptionInvocations (added by witness loop 1).</vt:lpwstr>
  </property>
  <property fmtid="{D5CDD505-2E9C-101B-9397-08002B2CF9AE}" pid="775" name="erb.formula.VerificationOutcomes.Name">
    <vt:lpwstr>C2 &amp; " / " &amp; D2</vt:lpwstr>
  </property>
  <property fmtid="{D5CDD505-2E9C-101B-9397-08002B2CF9AE}" pid="776" name="erb.formula.VerificationOutcomes.ExpectedSignalValue">
    <vt:lpwstr>IFNA(IF(((INDEX(StepVerifications!F2:F12, MATCH(D2,StepVerifications!A2:A12, 0))="")=TRUE),  "",  INDEX(StepVerifications!F2:F12, MATCH(D2,StepVerifications!A2:A12, 0))), "")</vt:lpwstr>
  </property>
  <property fmtid="{D5CDD505-2E9C-101B-9397-08002B2CF9AE}" pid="777" name="erb.formula.VerificationOutcomes.SignalIdentifier">
    <vt:lpwstr>IFNA(IF(((INDEX(StepVerifications!E2:E12, MATCH(D2,StepVerifications!A2:A12, 0))="")=TRUE),  "",  INDEX(StepVerifications!E2:E12, MATCH(D2,StepVerifications!A2:A12, 0))), "")</vt:lpwstr>
  </property>
  <property fmtid="{D5CDD505-2E9C-101B-9397-08002B2CF9AE}" pid="778" name="erb.formula.VerificationOutcomes.SignalMatchesExpected">
    <vt:lpwstr>E2 = I2</vt:lpwstr>
  </property>
  <property fmtid="{D5CDD505-2E9C-101B-9397-08002B2CF9AE}" pid="779" name="erb.formula.VerificationOutcomes.HasEvidence">
    <vt:lpwstr>H2 &lt;&gt; ""</vt:lpwstr>
  </property>
  <property fmtid="{D5CDD505-2E9C-101B-9397-08002B2CF9AE}" pid="780" name="erb.formula.VerificationOutcomes.IsUnbackedObservation">
    <vt:lpwstr>AND(((K2)=TRUE), ((NOT(((L2)=TRUE)))=TRUE))</vt:lpwstr>
  </property>
  <property fmtid="{D5CDD505-2E9C-101B-9397-08002B2CF9AE}" pid="781" name="erb.formula.VerificationOutcomes.IsSelfWitnessed">
    <vt:lpwstr>F2 = O2</vt:lpwstr>
  </property>
  <property fmtid="{D5CDD505-2E9C-101B-9397-08002B2CF9AE}" pid="782" name="erb.formula.VerificationOutcomes.StepExecutorAgent">
    <vt:lpwstr>IFNA(IF(((INDEX(StepExecutions!E2:E13, MATCH(C2,StepExecutions!A2:A13, 0))="")=TRUE),  "",  INDEX(StepExecutions!E2:E13, MATCH(C2,StepExecutions!A2:A13, 0))), "")</vt:lpwstr>
  </property>
  <property fmtid="{D5CDD505-2E9C-101B-9397-08002B2CF9AE}" pid="783" name="erb.formula.VerificationOutcomes.SelfWitnessedStepKey">
    <vt:lpwstr>IF(((N2)=TRUE),  C2,  "")</vt:lpwstr>
  </property>
  <property fmtid="{D5CDD505-2E9C-101B-9397-08002B2CF9AE}" pid="784" name="erb.formula.VerificationOutcomes.UnbackedStepKey">
    <vt:lpwstr>IF(((M2)=TRUE),  C2,  "")</vt:lpwstr>
  </property>
  <property fmtid="{D5CDD505-2E9C-101B-9397-08002B2CF9AE}" pid="785" name="erb.formula.VerificationOutcomes.IsSelfWitnessedAndUnbacked">
    <vt:lpwstr>AND(((N2)=TRUE), ((NOT(((L2)=TRUE)))=TRUE))</vt:lpwstr>
  </property>
  <property fmtid="{D5CDD505-2E9C-101B-9397-08002B2CF9AE}" pid="786" name="erb.formula.VerificationOutcomes.IsUncorroboratedPass">
    <vt:lpwstr>AND(((K2)=TRUE), ((R2)=TRUE))</vt:lpwstr>
  </property>
  <property fmtid="{D5CDD505-2E9C-101B-9397-08002B2CF9AE}" pid="787" name="erb.formula.VerificationOutcomes.UncorroboratedPassStepKey">
    <vt:lpwstr>IF(((S2)=TRUE),  C2,  "")</vt:lpwstr>
  </property>
  <property fmtid="{D5CDD505-2E9C-101B-9397-08002B2CF9AE}" pid="788" name="erb.formula.VerificationOutcomes.ObserverIsNonHuman">
    <vt:lpwstr>IFNA(IF(((INDEX(Agents!M2:M12, MATCH(F2,Agents!A2:A12, 0))="")=TRUE),  "",  INDEX(Agents!M2:M12, MATCH(F2,Agents!A2:A12, 0))), "")</vt:lpwstr>
  </property>
  <property fmtid="{D5CDD505-2E9C-101B-9397-08002B2CF9AE}" pid="789" name="erb.formula.VerificationOutcomes.ObserverIsIndependentOfExecutor">
    <vt:lpwstr>NOT(((N2)=TRUE))</vt:lpwstr>
  </property>
  <property fmtid="{D5CDD505-2E9C-101B-9397-08002B2CF9AE}" pid="790" name="erb.formula.VerificationOutcomes.IsIndependentHumanObservation">
    <vt:lpwstr>AND(((NOT(((U2)=TRUE)))=TRUE), ((NOT(((N2)=TRUE)))=TRUE), ((L2)=TRUE))</vt:lpwstr>
  </property>
  <property fmtid="{D5CDD505-2E9C-101B-9397-08002B2CF9AE}" pid="791" name="erb.formula.VerificationOutcomes.IndependentObservationExecutionKey">
    <vt:lpwstr>IF(((W2)=TRUE),  Y2,  "")</vt:lpwstr>
  </property>
  <property fmtid="{D5CDD505-2E9C-101B-9397-08002B2CF9AE}" pid="792" name="erb.formula.VerificationOutcomes.ParentProcedureExecutionOfOutcome">
    <vt:lpwstr>IFNA(IF(((INDEX(StepExecutions!C2:C13, MATCH(C2,StepExecutions!A2:A13, 0))="")=TRUE),  "",  INDEX(StepExecutions!C2:C13, MATCH(C2,StepExecutions!A2:A13, 0))), "")</vt:lpwstr>
  </property>
  <property fmtid="{D5CDD505-2E9C-101B-9397-08002B2CF9AE}" pid="793" name="erb.table.VerificationOutcomes.description">
    <vt:lpwstr>VerificationOutcomes (added by witness loop 1).</vt:lpwstr>
  </property>
  <property fmtid="{D5CDD505-2E9C-101B-9397-08002B2CF9AE}" pid="794" name="erb.formula.ObservedTransitions.Name">
    <vt:lpwstr>D2 &amp; " @ " &amp; IF(((F2="")=TRUE),  "",  TEXT(F2, "yyyy-mm-dd\Thh:mm:ss")&amp;"+00:00")</vt:lpwstr>
  </property>
  <property fmtid="{D5CDD505-2E9C-101B-9397-08002B2CF9AE}" pid="795" name="erb.table.ObservedTransitions.description#1">
    <vt:lpwstr>The proxy above cannot tell a walked fallback from a happy-path step that happens to share an endpoint. PKO models Transition as a first-class thing; its execution counterpart is missing. Without a table that records WHICH transition a step execution</vt:lpwstr>
  </property>
  <property fmtid="{D5CDD505-2E9C-101B-9397-08002B2CF9AE}" pid="796" name="erb.table.ObservedTransitions.description#2">
    <vt:lpwstr> arrived by, 'has this fallback ever been walked' is permanently unanswerable rather than merely unanswered. This is an extension (urn:effortless:pko-extension#ObservedTransition), not a native PKO term.</vt:lpwstr>
  </property>
  <property fmtid="{D5CDD505-2E9C-101B-9397-08002B2CF9AE}" pid="797" name="erb.formula.Recipients.Name">
    <vt:lpwstr>C2</vt:lpwstr>
  </property>
  <property fmtid="{D5CDD505-2E9C-101B-9397-08002B2CF9AE}" pid="798" name="erb.formula.Recipients.HasSmsConsent">
    <vt:lpwstr>G2 = "Granted"</vt:lpwstr>
  </property>
  <property fmtid="{D5CDD505-2E9C-101B-9397-08002B2CF9AE}" pid="799" name="erb.formula.Recipients.IsEmailReachable">
    <vt:lpwstr>E2 &lt;&gt; ""</vt:lpwstr>
  </property>
  <property fmtid="{D5CDD505-2E9C-101B-9397-08002B2CF9AE}" pid="800" name="erb.formula.Recipients.IsSmsReachable">
    <vt:lpwstr>F2 &lt;&gt; ""</vt:lpwstr>
  </property>
  <property fmtid="{D5CDD505-2E9C-101B-9397-08002B2CF9AE}" pid="801" name="erb.formula.Recipients.IsUnreachable">
    <vt:lpwstr>AND(((NOT(((K2)=TRUE)))=TRUE), ((NOT(((L2)=TRUE)))=TRUE))</vt:lpwstr>
  </property>
  <property fmtid="{D5CDD505-2E9C-101B-9397-08002B2CF9AE}" pid="802" name="erb.formula.Recipients.IsCommunicationallyStranded">
    <vt:lpwstr>AND(((NOT(((L2)=TRUE)))=TRUE), ((NOT(((K2)=TRUE)))=TRUE))</vt:lpwstr>
  </property>
  <property fmtid="{D5CDD505-2E9C-101B-9397-08002B2CF9AE}" pid="803" name="erb.table.Recipients.description">
    <vt:lpwstr>Recipients (added by witness loop 1).</vt:lpwstr>
  </property>
  <property fmtid="{D5CDD505-2E9C-101B-9397-08002B2CF9AE}" pid="804" name="erb.formula.MessageDeliveries.Name">
    <vt:lpwstr>E2 &amp; " / " &amp; F2 &amp; " / " &amp; IF(((I2="")=TRUE),  "",  TEXT(I2, "yyyy-mm-dd\Thh:mm:ss")&amp;"+00:00")</vt:lpwstr>
  </property>
  <property fmtid="{D5CDD505-2E9C-101B-9397-08002B2CF9AE}" pid="805" name="erb.formula.MessageDeliveries.PolicyChannel">
    <vt:lpwstr>IFNA(IF(((INDEX(MessageTemplates!C2:C3, MATCH(F2,MessageTemplates!A2:A3, 0))="")=TRUE),  "",  INDEX(MessageTemplates!C2:C3, MATCH(F2,MessageTemplates!A2:A3, 0))), "")</vt:lpwstr>
  </property>
  <property fmtid="{D5CDD505-2E9C-101B-9397-08002B2CF9AE}" pid="806" name="erb.formula.MessageDeliveries.ChannelName">
    <vt:lpwstr>IFNA(IF(((INDEX(CommunicationPolicies!D2:D3, MATCH(O2,CommunicationPolicies!A2:A3, 0))="")=TRUE),  "",  INDEX(CommunicationPolicies!D2:D3, MATCH(O2,CommunicationPolicies!A2:A3, 0))), "")</vt:lpwstr>
  </property>
  <property fmtid="{D5CDD505-2E9C-101B-9397-08002B2CF9AE}" pid="807" name="erb.formula.MessageDeliveries.PolicyRequiresConsent">
    <vt:lpwstr>IFNA(IF(((INDEX(CommunicationPolicies!F2:F3, MATCH(O2,CommunicationPolicies!A2:A3, 0))="")=TRUE),  "",  INDEX(CommunicationPolicies!F2:F3, MATCH(O2,CommunicationPolicies!A2:A3, 0))), "")</vt:lpwstr>
  </property>
  <property fmtid="{D5CDD505-2E9C-101B-9397-08002B2CF9AE}" pid="808" name="erb.formula.MessageDeliveries.RecipientHasSmsConsent">
    <vt:lpwstr>IFNA(IF(((INDEX(Recipients!J2:J6, MATCH(E2,Recipients!A2:A6, 0))="")=TRUE),  "",  INDEX(Recipients!J2:J6, MATCH(E2,Recipients!A2:A6, 0))), "")</vt:lpwstr>
  </property>
  <property fmtid="{D5CDD505-2E9C-101B-9397-08002B2CF9AE}" pid="809" name="erb.formula.MessageDeliveries.WasActuallyTransmitted">
    <vt:lpwstr>OR(((K2 = "Sent")=TRUE), ((OR(((K2 = "Delivered")=TRUE), ((K2 = "Bounced")=TRUE)))=TRUE))</vt:lpwstr>
  </property>
  <property fmtid="{D5CDD505-2E9C-101B-9397-08002B2CF9AE}" pid="810" name="erb.formula.MessageDeliveries.IsConsentViolation">
    <vt:lpwstr>AND(((S2)=TRUE), ((AND(((Q2)=TRUE), ((NOT(((R2)=TRUE)))=TRUE)))=TRUE))</vt:lpwstr>
  </property>
  <property fmtid="{D5CDD505-2E9C-101B-9397-08002B2CF9AE}" pid="811" name="erb.formula.MessageDeliveries.ConsentViolationPolicyKey">
    <vt:lpwstr>IF(((T2)=TRUE),  O2,  "")</vt:lpwstr>
  </property>
  <property fmtid="{D5CDD505-2E9C-101B-9397-08002B2CF9AE}" pid="812" name="erb.formula.MessageDeliveries.PolicyQuietHoursStartHour#1">
    <vt:lpwstr>IF((IFNA(IF(((INDEX(CommunicationPolicies!Q2:Q3, MATCH(O2,CommunicationPolicies!A2:A3, 0))="")=TRUE),  "",  INDEX(CommunicationPolicies!Q2:Q3, MATCH(O2,CommunicationPolicies!A2:A3, 0))), ""))="", "", ROUND((IFNA(IF(((INDEX(CommunicationPolicies!Q2:Q3</vt:lpwstr>
  </property>
  <property fmtid="{D5CDD505-2E9C-101B-9397-08002B2CF9AE}" pid="813" name="erb.formula.MessageDeliveries.PolicyQuietHoursStartHour#2">
    <vt:lpwstr>, MATCH(O2,CommunicationPolicies!A2:A3, 0))="")=TRUE),  "",  INDEX(CommunicationPolicies!Q2:Q3, MATCH(O2,CommunicationPolicies!A2:A3, 0))), "")), 0))</vt:lpwstr>
  </property>
  <property fmtid="{D5CDD505-2E9C-101B-9397-08002B2CF9AE}" pid="814" name="erb.formula.MessageDeliveries.PolicyQuietHoursEndHour#1">
    <vt:lpwstr>IF((IFNA(IF(((INDEX(CommunicationPolicies!R2:R3, MATCH(O2,CommunicationPolicies!A2:A3, 0))="")=TRUE),  "",  INDEX(CommunicationPolicies!R2:R3, MATCH(O2,CommunicationPolicies!A2:A3, 0))), ""))="", "", ROUND((IFNA(IF(((INDEX(CommunicationPolicies!R2:R3</vt:lpwstr>
  </property>
  <property fmtid="{D5CDD505-2E9C-101B-9397-08002B2CF9AE}" pid="815" name="erb.formula.MessageDeliveries.PolicyQuietHoursEndHour#2">
    <vt:lpwstr>, MATCH(O2,CommunicationPolicies!A2:A3, 0))="")=TRUE),  "",  INDEX(CommunicationPolicies!R2:R3, MATCH(O2,CommunicationPolicies!A2:A3, 0))), "")), 0))</vt:lpwstr>
  </property>
  <property fmtid="{D5CDD505-2E9C-101B-9397-08002B2CF9AE}" pid="816" name="erb.formula.MessageDeliveries.PolicyHasQuietHours">
    <vt:lpwstr>V2 &lt;&gt; W2</vt:lpwstr>
  </property>
  <property fmtid="{D5CDD505-2E9C-101B-9397-08002B2CF9AE}" pid="817" name="erb.formula.MessageDeliveries.QuietWindowWrapsMidnight">
    <vt:lpwstr>V2 &gt; W2</vt:lpwstr>
  </property>
  <property fmtid="{D5CDD505-2E9C-101B-9397-08002B2CF9AE}" pid="818" name="erb.formula.MessageDeliveries.IsInsideQuietWindow">
    <vt:lpwstr>IF(((Y2)=TRUE),  OR(((J2 &gt;= V2)=TRUE), ((J2 &lt; W2)=TRUE)),  AND(((J2 &gt;= V2)=TRUE), ((J2 &lt; W2)=TRUE)))</vt:lpwstr>
  </property>
  <property fmtid="{D5CDD505-2E9C-101B-9397-08002B2CF9AE}" pid="819" name="erb.formula.MessageDeliveries.IsQuietHoursViolation">
    <vt:lpwstr>AND(((S2)=TRUE), ((AND(((X2)=TRUE), ((Z2)=TRUE)))=TRUE))</vt:lpwstr>
  </property>
  <property fmtid="{D5CDD505-2E9C-101B-9397-08002B2CF9AE}" pid="820" name="erb.formula.MessageDeliveries.QuietHoursViolationPolicyKey">
    <vt:lpwstr>IF(((AA2)=TRUE),  O2,  "")</vt:lpwstr>
  </property>
  <property fmtid="{D5CDD505-2E9C-101B-9397-08002B2CF9AE}" pid="821" name="erb.formula.MessageDeliveries.RecipientIsUnreachable">
    <vt:lpwstr>IFNA(IF(((INDEX(Recipients!M2:M6, MATCH(E2,Recipients!A2:A6, 0))="")=TRUE),  "",  INDEX(Recipients!M2:M6, MATCH(E2,Recipients!A2:A6, 0))), "")</vt:lpwstr>
  </property>
  <property fmtid="{D5CDD505-2E9C-101B-9397-08002B2CF9AE}" pid="822" name="erb.formula.MessageDeliveries.IsAcknowledged">
    <vt:lpwstr>N2 &lt;&gt; ""</vt:lpwstr>
  </property>
  <property fmtid="{D5CDD505-2E9C-101B-9397-08002B2CF9AE}" pid="823" name="erb.formula.MessageDeliveries.InvokedExceptionCondition">
    <vt:lpwstr>IFNA(IF(((INDEX(Exceptions!E2:E5, MATCH(M2,Exceptions!A2:A5, 0))="")=TRUE),  "",  INDEX(Exceptions!E2:E5, MATCH(M2,Exceptions!A2:A5, 0))), "")</vt:lpwstr>
  </property>
  <property fmtid="{D5CDD505-2E9C-101B-9397-08002B2CF9AE}" pid="824" name="erb.formula.MessageDeliveries.HasUnreachableExceptionInvoked">
    <vt:lpwstr>M2 = "exc-unreachable"</vt:lpwstr>
  </property>
  <property fmtid="{D5CDD505-2E9C-101B-9397-08002B2CF9AE}" pid="825" name="erb.formula.MessageDeliveries.IsFabricatedAcknowledgement">
    <vt:lpwstr>AND(((AC2)=TRUE), ((AD2)=TRUE))</vt:lpwstr>
  </property>
  <property fmtid="{D5CDD505-2E9C-101B-9397-08002B2CF9AE}" pid="826" name="erb.formula.MessageDeliveries.IsUnhandledUnreachable">
    <vt:lpwstr>AND(((AC2)=TRUE), ((NOT(((AF2)=TRUE)))=TRUE))</vt:lpwstr>
  </property>
  <property fmtid="{D5CDD505-2E9C-101B-9397-08002B2CF9AE}" pid="827" name="erb.formula.MessageDeliveries.UnreachableFailureKey">
    <vt:lpwstr>IF(((OR(((AG2)=TRUE), ((AH2)=TRUE)))=TRUE),  C2,  "")</vt:lpwstr>
  </property>
  <property fmtid="{D5CDD505-2E9C-101B-9397-08002B2CF9AE}" pid="828" name="erb.formula.MessageDeliveries.PolicyRetentionDays#1">
    <vt:lpwstr>IF((IFNA(IF(((INDEX(CommunicationPolicies!K2:K3, MATCH(O2,CommunicationPolicies!A2:A3, 0))="")=TRUE),  "",  INDEX(CommunicationPolicies!K2:K3, MATCH(O2,CommunicationPolicies!A2:A3, 0))), ""))="", "", ROUND((IFNA(IF(((INDEX(CommunicationPolicies!K2:K3</vt:lpwstr>
  </property>
  <property fmtid="{D5CDD505-2E9C-101B-9397-08002B2CF9AE}" pid="829" name="erb.formula.MessageDeliveries.PolicyRetentionDays#2">
    <vt:lpwstr>, MATCH(O2,CommunicationPolicies!A2:A3, 0))="")=TRUE),  "",  INDEX(CommunicationPolicies!K2:K3, MATCH(O2,CommunicationPolicies!A2:A3, 0))), "")), 0))</vt:lpwstr>
  </property>
  <property fmtid="{D5CDD505-2E9C-101B-9397-08002B2CF9AE}" pid="830" name="erb.formula.MessageDeliveries.AsOfInstant">
    <vt:lpwstr>IFNA(IF(((INDEX(EvaluationContexts!D2:D2, MATCH(AK2,EvaluationContexts!A2:A2, 0))="")=TRUE),  "",  INDEX(EvaluationContexts!D2:D2, MATCH(AK2,EvaluationContexts!A2:A2, 0))), "")</vt:lpwstr>
  </property>
  <property fmtid="{D5CDD505-2E9C-101B-9397-08002B2CF9AE}" pid="831" name="erb.formula.MessageDeliveries.AgeDays">
    <vt:lpwstr>IF((IF(((OR((((AL2)="")=TRUE), (((I2)="")=TRUE)))=TRUE),  0,  (INT(AL2) - INT(I2))))="", "", ROUND((IF(((OR((((AL2)="")=TRUE), (((I2)="")=TRUE)))=TRUE),  0,  (INT(AL2) - INT(I2)))), 0))</vt:lpwstr>
  </property>
  <property fmtid="{D5CDD505-2E9C-101B-9397-08002B2CF9AE}" pid="832" name="erb.formula.MessageDeliveries.IsWithinRetentionWindow">
    <vt:lpwstr>AM2 &lt;= AJ2</vt:lpwstr>
  </property>
  <property fmtid="{D5CDD505-2E9C-101B-9397-08002B2CF9AE}" pid="833" name="erb.formula.MessageDeliveries.HasRenderedBody">
    <vt:lpwstr>H2 &lt;&gt; ""</vt:lpwstr>
  </property>
  <property fmtid="{D5CDD505-2E9C-101B-9397-08002B2CF9AE}" pid="834" name="erb.formula.MessageDeliveries.IsEvidenceRequired">
    <vt:lpwstr>AND(((S2)=TRUE), ((AN2)=TRUE))</vt:lpwstr>
  </property>
  <property fmtid="{D5CDD505-2E9C-101B-9397-08002B2CF9AE}" pid="835" name="erb.formula.MessageDeliveries.IsRetentionBreach">
    <vt:lpwstr>AND(((AP2)=TRUE), ((NOT(((AO2)=TRUE)))=TRUE))</vt:lpwstr>
  </property>
  <property fmtid="{D5CDD505-2E9C-101B-9397-08002B2CF9AE}" pid="836" name="erb.formula.MessageDeliveries.RetentionBreachExecutionKey">
    <vt:lpwstr>IF(((AQ2)=TRUE),  C2,  "")</vt:lpwstr>
  </property>
  <property fmtid="{D5CDD505-2E9C-101B-9397-08002B2CF9AE}" pid="837" name="erb.formula.MessageDeliveries.SendingStepExecutionStep">
    <vt:lpwstr>IFNA(IF(((INDEX(StepExecutions!D2:D13, MATCH(D2,StepExecutions!A2:A13, 0))="")=TRUE),  "",  INDEX(StepExecutions!D2:D13, MATCH(D2,StepExecutions!A2:A13, 0))), "")</vt:lpwstr>
  </property>
  <property fmtid="{D5CDD505-2E9C-101B-9397-08002B2CF9AE}" pid="838" name="erb.formula.MessageDeliveries.ExecutionHasClearedLegalReview">
    <vt:lpwstr>IFNA(IF(((INDEX(ProcedureExecutions!AC2:AC3, MATCH(C2,ProcedureExecutions!A2:A3, 0))="")=TRUE),  "",  INDEX(ProcedureExecutions!AC2:AC3, MATCH(C2,ProcedureExecutions!A2:A3, 0))), "")</vt:lpwstr>
  </property>
  <property fmtid="{D5CDD505-2E9C-101B-9397-08002B2CF9AE}" pid="839" name="erb.formula.MessageDeliveries.IsUnreviewedSend">
    <vt:lpwstr>AND(((S2)=TRUE), ((NOT(((AT2)=TRUE)))=TRUE))</vt:lpwstr>
  </property>
  <property fmtid="{D5CDD505-2E9C-101B-9397-08002B2CF9AE}" pid="840" name="erb.formula.MessageDeliveries.RenderedBodyLength">
    <vt:lpwstr>IF((LEN(H2))="", "", ROUND((LEN(H2)), 0))</vt:lpwstr>
  </property>
  <property fmtid="{D5CDD505-2E9C-101B-9397-08002B2CF9AE}" pid="841" name="erb.formula.MessageDeliveries.PolicyMaxMessageLengthAtSend#1">
    <vt:lpwstr>IF((IFNA(IF(((INDEX(CommunicationPolicies!I2:I3, MATCH(O2,CommunicationPolicies!A2:A3, 0))="")=TRUE),  "",  INDEX(CommunicationPolicies!I2:I3, MATCH(O2,CommunicationPolicies!A2:A3, 0))), ""))="", "", ROUND((IFNA(IF(((INDEX(CommunicationPolicies!I2:I3</vt:lpwstr>
  </property>
  <property fmtid="{D5CDD505-2E9C-101B-9397-08002B2CF9AE}" pid="842" name="erb.formula.MessageDeliveries.PolicyMaxMessageLengthAtSend#2">
    <vt:lpwstr>, MATCH(O2,CommunicationPolicies!A2:A3, 0))="")=TRUE),  "",  INDEX(CommunicationPolicies!I2:I3, MATCH(O2,CommunicationPolicies!A2:A3, 0))), "")), 0))</vt:lpwstr>
  </property>
  <property fmtid="{D5CDD505-2E9C-101B-9397-08002B2CF9AE}" pid="843" name="erb.formula.MessageDeliveries.SegmentCount">
    <vt:lpwstr>IF((IF(((AV2 = 0)=TRUE),  0,  IF(((AV2 &lt;= AW2)=TRUE),  1,  ROUNDUP(AV2 / AW2, 0))))="", "", ROUND((IF(((AV2 = 0)=TRUE),  0,  IF(((AV2 &lt;= AW2)=TRUE),  1,  ROUNDUP(AV2 / AW2, 0)))), 0))</vt:lpwstr>
  </property>
  <property fmtid="{D5CDD505-2E9C-101B-9397-08002B2CF9AE}" pid="844" name="erb.formula.MessageDeliveries.PolicyMaxSegmentsAtSend#1">
    <vt:lpwstr>IF((IFNA(IF(((INDEX(CommunicationPolicies!J2:J3, MATCH(O2,CommunicationPolicies!A2:A3, 0))="")=TRUE),  "",  INDEX(CommunicationPolicies!J2:J3, MATCH(O2,CommunicationPolicies!A2:A3, 0))), ""))="", "", ROUND((IFNA(IF(((INDEX(CommunicationPolicies!J2:J3</vt:lpwstr>
  </property>
  <property fmtid="{D5CDD505-2E9C-101B-9397-08002B2CF9AE}" pid="845" name="erb.formula.MessageDeliveries.PolicyMaxSegmentsAtSend#2">
    <vt:lpwstr>, MATCH(O2,CommunicationPolicies!A2:A3, 0))="")=TRUE),  "",  INDEX(CommunicationPolicies!J2:J3, MATCH(O2,CommunicationPolicies!A2:A3, 0))), "")), 0))</vt:lpwstr>
  </property>
  <property fmtid="{D5CDD505-2E9C-101B-9397-08002B2CF9AE}" pid="846" name="erb.formula.MessageDeliveries.IsOverSegmentLimit">
    <vt:lpwstr>AND(((S2)=TRUE), ((AX2 &gt; AY2)=TRUE))</vt:lpwstr>
  </property>
  <property fmtid="{D5CDD505-2E9C-101B-9397-08002B2CF9AE}" pid="847" name="erb.formula.MessageDeliveries.TemplateHasValidApproval">
    <vt:lpwstr>IFNA(IF(((INDEX(MessageTemplates!N2:N3, MATCH(F2,MessageTemplates!A2:A3, 0))="")=TRUE),  "",  INDEX(MessageTemplates!N2:N3, MATCH(F2,MessageTemplates!A2:A3, 0))), "")</vt:lpwstr>
  </property>
  <property fmtid="{D5CDD505-2E9C-101B-9397-08002B2CF9AE}" pid="848" name="erb.formula.MessageDeliveries.IsUnapprovedSend">
    <vt:lpwstr>AND(((S2)=TRUE), ((NOT(((BA2)=TRUE)))=TRUE))</vt:lpwstr>
  </property>
  <property fmtid="{D5CDD505-2E9C-101B-9397-08002B2CF9AE}" pid="849" name="erb.formula.MessageDeliveries.PolicyRequiredOptOutPhrase">
    <vt:lpwstr>IFNA(IF(((INDEX(CommunicationPolicies!T2:T3, MATCH(O2,CommunicationPolicies!A2:A3, 0))="")=TRUE),  "",  INDEX(CommunicationPolicies!T2:T3, MATCH(O2,CommunicationPolicies!A2:A3, 0))), "")</vt:lpwstr>
  </property>
  <property fmtid="{D5CDD505-2E9C-101B-9397-08002B2CF9AE}" pid="850" name="erb.formula.MessageDeliveries.PolicyRequiresOptOut">
    <vt:lpwstr>BC2 &lt;&gt; ""</vt:lpwstr>
  </property>
  <property fmtid="{D5CDD505-2E9C-101B-9397-08002B2CF9AE}" pid="851" name="erb.formula.MessageDeliveries.OptOutPhrasePosition">
    <vt:lpwstr>IF((FIND(BC2, H2))="", "", ROUND((FIND(BC2, H2)), 0))</vt:lpwstr>
  </property>
  <property fmtid="{D5CDD505-2E9C-101B-9397-08002B2CF9AE}" pid="852" name="erb.formula.MessageDeliveries.HasOptOutPhrase">
    <vt:lpwstr>BE2 &gt; 0</vt:lpwstr>
  </property>
  <property fmtid="{D5CDD505-2E9C-101B-9397-08002B2CF9AE}" pid="853" name="erb.formula.MessageDeliveries.IsOptOutInFirstSegment">
    <vt:lpwstr>AND(((BF2)=TRUE), ((BE2 &lt;= AW2)=TRUE))</vt:lpwstr>
  </property>
  <property fmtid="{D5CDD505-2E9C-101B-9397-08002B2CF9AE}" pid="854" name="erb.formula.MessageDeliveries.IsMissingRequiredOptOut">
    <vt:lpwstr>AND(((S2)=TRUE), ((AND(((BD2)=TRUE), ((NOT(((BF2)=TRUE)))=TRUE)))=TRUE))</vt:lpwstr>
  </property>
  <property fmtid="{D5CDD505-2E9C-101B-9397-08002B2CF9AE}" pid="855" name="erb.formula.MessageDeliveries.IsOptOutAtRiskOfTruncation">
    <vt:lpwstr>AND(((S2)=TRUE), ((AND(((BD2)=TRUE), ((AND(((BF2)=TRUE), ((NOT(((BG2)=TRUE)))=TRUE)))=TRUE)))=TRUE))</vt:lpwstr>
  </property>
  <property fmtid="{D5CDD505-2E9C-101B-9397-08002B2CF9AE}" pid="856" name="erb.formula.MessageDeliveries.IsFailedDelivery">
    <vt:lpwstr>OR(((K2 = "Failed")=TRUE), ((K2 = "Bounced")=TRUE))</vt:lpwstr>
  </property>
  <property fmtid="{D5CDD505-2E9C-101B-9397-08002B2CF9AE}" pid="857" name="erb.formula.MessageDeliveries.IsSuppressed">
    <vt:lpwstr>K2 = "Suppressed"</vt:lpwstr>
  </property>
  <property fmtid="{D5CDD505-2E9C-101B-9397-08002B2CF9AE}" pid="858" name="erb.formula.MessageDeliveries.IsTriaged">
    <vt:lpwstr>M2 &lt;&gt; ""</vt:lpwstr>
  </property>
  <property fmtid="{D5CDD505-2E9C-101B-9397-08002B2CF9AE}" pid="859" name="erb.formula.MessageDeliveries.IsAbandonedFailure">
    <vt:lpwstr>AND(((BJ2)=TRUE), ((NOT(((BL2)=TRUE)))=TRUE))</vt:lpwstr>
  </property>
  <property fmtid="{D5CDD505-2E9C-101B-9397-08002B2CF9AE}" pid="860" name="erb.formula.MessageDeliveries.AbandonedFailureExecutionKey">
    <vt:lpwstr>IF(((BM2)=TRUE),  C2,  "")</vt:lpwstr>
  </property>
  <property fmtid="{D5CDD505-2E9C-101B-9397-08002B2CF9AE}" pid="861" name="erb.formula.MessageDeliveries.ReachedExecutionKey">
    <vt:lpwstr>IF(((K2 = "Delivered")=TRUE),  C2,  "")</vt:lpwstr>
  </property>
  <property fmtid="{D5CDD505-2E9C-101B-9397-08002B2CF9AE}" pid="862" name="erb.formula.MessageDeliveries.TemplateWasSendable">
    <vt:lpwstr>IFNA(IF(((INDEX(MessageTemplates!T2:T3, MATCH(F2,MessageTemplates!A2:A3, 0))="")=TRUE),  "",  INDEX(MessageTemplates!T2:T3, MATCH(F2,MessageTemplates!A2:A3, 0))), "")</vt:lpwstr>
  </property>
  <property fmtid="{D5CDD505-2E9C-101B-9397-08002B2CF9AE}" pid="863" name="erb.formula.MessageDeliveries.IsDriftedSend">
    <vt:lpwstr>AND(((S2)=TRUE), ((NOT(((BP2)=TRUE)))=TRUE))</vt:lpwstr>
  </property>
  <property fmtid="{D5CDD505-2E9C-101B-9397-08002B2CF9AE}" pid="864" name="erb.formula.MessageDeliveries.DriftedSendTemplateKey">
    <vt:lpwstr>IF(((BQ2)=TRUE),  F2,  "")</vt:lpwstr>
  </property>
  <property fmtid="{D5CDD505-2E9C-101B-9397-08002B2CF9AE}" pid="865" name="erb.formula.MessageDeliveries.WasSentOutsideBusinessHours">
    <vt:lpwstr>OR(((J2 &lt; 8)=TRUE), ((J2 &gt; 18)=TRUE))</vt:lpwstr>
  </property>
  <property fmtid="{D5CDD505-2E9C-101B-9397-08002B2CF9AE}" pid="866" name="erb.formula.MessageDeliveries.WasDeliveredAndUnanswered">
    <vt:lpwstr>AND(((S2)=TRUE), ((NOT(((AD2)=TRUE)))=TRUE))</vt:lpwstr>
  </property>
  <property fmtid="{D5CDD505-2E9C-101B-9397-08002B2CF9AE}" pid="867" name="erb.formula.MessageDeliveries.IsPoorlyTimedUnanswered">
    <vt:lpwstr>AND(((BT2)=TRUE), ((BS2)=TRUE))</vt:lpwstr>
  </property>
  <property fmtid="{D5CDD505-2E9C-101B-9397-08002B2CF9AE}" pid="868" name="erb.formula.MessageDeliveries.IsWellTimedUnanswered">
    <vt:lpwstr>AND(((BT2)=TRUE), ((NOT(((BS2)=TRUE)))=TRUE))</vt:lpwstr>
  </property>
  <property fmtid="{D5CDD505-2E9C-101B-9397-08002B2CF9AE}" pid="869" name="erb.formula.MessageDeliveries.UnansweredTemplateKey">
    <vt:lpwstr>IF(((BT2)=TRUE),  F2,  "")</vt:lpwstr>
  </property>
  <property fmtid="{D5CDD505-2E9C-101B-9397-08002B2CF9AE}" pid="870" name="erb.formula.MessageDeliveries.TransmittedTemplateKey">
    <vt:lpwstr>IF(((S2)=TRUE),  F2,  "")</vt:lpwstr>
  </property>
  <property fmtid="{D5CDD505-2E9C-101B-9397-08002B2CF9AE}" pid="871" name="erb.formula.MessageDeliveries.ApprovalPrecededSend">
    <vt:lpwstr>AND(((CA2 &lt;&gt; "")=TRUE), ((I2 &gt; CA2)=TRUE))</vt:lpwstr>
  </property>
  <property fmtid="{D5CDD505-2E9C-101B-9397-08002B2CF9AE}" pid="872" name="erb.formula.MessageDeliveries.HasFrozenApprovalEvidence">
    <vt:lpwstr>AND(((BY2 &lt;&gt; "")=TRUE), ((CA2 &lt;&gt; "")=TRUE))</vt:lpwstr>
  </property>
  <property fmtid="{D5CDD505-2E9C-101B-9397-08002B2CF9AE}" pid="873" name="erb.formula.MessageDeliveries.ProvenanceIsLiveDerived">
    <vt:lpwstr>NOT(((CC2)=TRUE))</vt:lpwstr>
  </property>
  <property fmtid="{D5CDD505-2E9C-101B-9397-08002B2CF9AE}" pid="874" name="erb.formula.MessageDeliveries.CurrentLastApprovalAt">
    <vt:lpwstr>IFNA(IF(((INDEX(MessageTemplates!Y2:Y3, MATCH(F2,MessageTemplates!A2:A3, 0))="")=TRUE),  "",  INDEX(MessageTemplates!Y2:Y3, MATCH(F2,MessageTemplates!A2:A3, 0))), "")</vt:lpwstr>
  </property>
  <property fmtid="{D5CDD505-2E9C-101B-9397-08002B2CF9AE}" pid="875" name="erb.formula.MessageDeliveries.TemplateReapprovedSinceSend">
    <vt:lpwstr>AND(((CE2 &lt;&gt; "")=TRUE), ((CE2 &gt; I2)=TRUE))</vt:lpwstr>
  </property>
  <property fmtid="{D5CDD505-2E9C-101B-9397-08002B2CF9AE}" pid="876" name="erb.formula.MessageDeliveries.IsUnprovableApprovalClaim">
    <vt:lpwstr>AND(((CD2)=TRUE), ((AND(((CF2)=TRUE), ((BA2)=TRUE)))=TRUE))</vt:lpwstr>
  </property>
  <property fmtid="{D5CDD505-2E9C-101B-9397-08002B2CF9AE}" pid="877" name="erb.formula.MessageDeliveries.HasSentReminder">
    <vt:lpwstr>CI2 &gt; 0</vt:lpwstr>
  </property>
  <property fmtid="{D5CDD505-2E9C-101B-9397-08002B2CF9AE}" pid="878" name="erb.formula.MessageDeliveries.AcknowledgementIsOutstanding">
    <vt:lpwstr>AND(((S2)=TRUE), ((AND(((AP2)=TRUE), ((NOT(((AD2)=TRUE)))=TRUE)))=TRUE))</vt:lpwstr>
  </property>
  <property fmtid="{D5CDD505-2E9C-101B-9397-08002B2CF9AE}" pid="879" name="erb.formula.MessageDeliveries.OutstandingAgeDays">
    <vt:lpwstr>IF((IF(((CK2)=TRUE),  IF(((OR((((AL2)="")=TRUE), (((I2)="")=TRUE)))=TRUE),  0,  (INT(AL2) - INT(I2))),  0))="", "", ROUND((IF(((CK2)=TRUE),  IF(((OR((((AL2)="")=TRUE), (((I2)="")=TRUE)))=TRUE),  0,  (INT(AL2) - INT(I2))),  0)), 0))</vt:lpwstr>
  </property>
  <property fmtid="{D5CDD505-2E9C-101B-9397-08002B2CF9AE}" pid="880" name="erb.formula.MessageDeliveries.IsUnchasedAcknowledgement">
    <vt:lpwstr>AND(((CK2)=TRUE), ((AND(((CL2 &gt; 7)=TRUE), ((NOT(((CJ2)=TRUE)))=TRUE)))=TRUE))</vt:lpwstr>
  </property>
  <property fmtid="{D5CDD505-2E9C-101B-9397-08002B2CF9AE}" pid="881" name="erb.formula.MessageDeliveries.IsExhaustedFollowUp">
    <vt:lpwstr>AND(((CK2)=TRUE), ((CI2 &gt;= 3)=TRUE))</vt:lpwstr>
  </property>
  <property fmtid="{D5CDD505-2E9C-101B-9397-08002B2CF9AE}" pid="882" name="erb.formula.MessageDeliveries.NeedsHumanEscalation">
    <vt:lpwstr>AND(((CN2)=TRUE), ((NOT(((AF2)=TRUE)))=TRUE))</vt:lpwstr>
  </property>
  <property fmtid="{D5CDD505-2E9C-101B-9397-08002B2CF9AE}" pid="883" name="erb.table.MessageDeliveries.description">
    <vt:lpwstr>MessageDeliveries (added by witness loop 1).</vt:lpwstr>
  </property>
  <property fmtid="{D5CDD505-2E9C-101B-9397-08002B2CF9AE}" pid="884" name="erb.formula.TemplateApprovals.Name">
    <vt:lpwstr>C2 &amp; " / " &amp; F2 &amp; " / " &amp; IF(((G2="")=TRUE),  "",  TEXT(G2, "yyyy-mm-dd\Thh:mm:ss")&amp;"+00:00")</vt:lpwstr>
  </property>
  <property fmtid="{D5CDD505-2E9C-101B-9397-08002B2CF9AE}" pid="885" name="erb.formula.TemplateApprovals.IsApprovalDecision">
    <vt:lpwstr>F2 = "Approved"</vt:lpwstr>
  </property>
  <property fmtid="{D5CDD505-2E9C-101B-9397-08002B2CF9AE}" pid="886" name="erb.formula.TemplateApprovals.TemplatePolicy">
    <vt:lpwstr>IFNA(IF(((INDEX(MessageTemplates!C2:C3, MATCH(C2,MessageTemplates!A2:A3, 0))="")=TRUE),  "",  INDEX(MessageTemplates!C2:C3, MATCH(C2,MessageTemplates!A2:A3, 0))), "")</vt:lpwstr>
  </property>
  <property fmtid="{D5CDD505-2E9C-101B-9397-08002B2CF9AE}" pid="887" name="erb.formula.TemplateApprovals.RequiredApprovalRole">
    <vt:lpwstr>IFNA(IF(((INDEX(CommunicationPolicies!L2:L3, MATCH(K2,CommunicationPolicies!A2:A3, 0))="")=TRUE),  "",  INDEX(CommunicationPolicies!L2:L3, MATCH(K2,CommunicationPolicies!A2:A3, 0))), "")</vt:lpwstr>
  </property>
  <property fmtid="{D5CDD505-2E9C-101B-9397-08002B2CF9AE}" pid="888" name="erb.formula.TemplateApprovals.IsDecidedByRequiredRole">
    <vt:lpwstr>E2 = L2</vt:lpwstr>
  </property>
  <property fmtid="{D5CDD505-2E9C-101B-9397-08002B2CF9AE}" pid="889" name="erb.formula.TemplateApprovals.ValidApprovalTemplateKey">
    <vt:lpwstr>IF(((AND(((J2)=TRUE), ((M2)=TRUE)))=TRUE),  C2,  "")</vt:lpwstr>
  </property>
  <property fmtid="{D5CDD505-2E9C-101B-9397-08002B2CF9AE}" pid="890" name="erb.table.TemplateApprovals.description">
    <vt:lpwstr>TemplateApprovals (added by witness loop 1).</vt:lpwstr>
  </property>
  <property fmtid="{D5CDD505-2E9C-101B-9397-08002B2CF9AE}" pid="891" name="erb.formula.SendIntents.Name">
    <vt:lpwstr>E2 &amp; " / " &amp; F2 &amp; " / intent"</vt:lpwstr>
  </property>
  <property fmtid="{D5CDD505-2E9C-101B-9397-08002B2CF9AE}" pid="892" name="erb.formula.SendIntents.IntentPolicy">
    <vt:lpwstr>IFNA(IF(((INDEX(MessageTemplates!C2:C3, MATCH(F2,MessageTemplates!A2:A3, 0))="")=TRUE),  "",  INDEX(MessageTemplates!C2:C3, MATCH(F2,MessageTemplates!A2:A3, 0))), "")</vt:lpwstr>
  </property>
  <property fmtid="{D5CDD505-2E9C-101B-9397-08002B2CF9AE}" pid="893" name="erb.formula.SendIntents.IntentChannel">
    <vt:lpwstr>IFNA(IF(((INDEX(CommunicationPolicies!D2:D3, MATCH(K2,CommunicationPolicies!A2:A3, 0))="")=TRUE),  "",  INDEX(CommunicationPolicies!D2:D3, MATCH(K2,CommunicationPolicies!A2:A3, 0))), "")</vt:lpwstr>
  </property>
  <property fmtid="{D5CDD505-2E9C-101B-9397-08002B2CF9AE}" pid="894" name="erb.formula.SendIntents.PolicyIsActive">
    <vt:lpwstr>IFNA(IF(((INDEX(CommunicationPolicies!U2:U3, MATCH(K2,CommunicationPolicies!A2:A3, 0))="")=TRUE),  "",  INDEX(CommunicationPolicies!U2:U3, MATCH(K2,CommunicationPolicies!A2:A3, 0))), "")</vt:lpwstr>
  </property>
  <property fmtid="{D5CDD505-2E9C-101B-9397-08002B2CF9AE}" pid="895" name="erb.formula.SendIntents.IntentRequiresConsent">
    <vt:lpwstr>IFNA(IF(((INDEX(CommunicationPolicies!F2:F3, MATCH(K2,CommunicationPolicies!A2:A3, 0))="")=TRUE),  "",  INDEX(CommunicationPolicies!F2:F3, MATCH(K2,CommunicationPolicies!A2:A3, 0))), "")</vt:lpwstr>
  </property>
  <property fmtid="{D5CDD505-2E9C-101B-9397-08002B2CF9AE}" pid="896" name="erb.formula.SendIntents.RecipientHasChannelConsent">
    <vt:lpwstr>IFNA(IF(((INDEX(Recipients!J2:J6, MATCH(E2,Recipients!A2:A6, 0))="")=TRUE),  "",  INDEX(Recipients!J2:J6, MATCH(E2,Recipients!A2:A6, 0))), "")</vt:lpwstr>
  </property>
  <property fmtid="{D5CDD505-2E9C-101B-9397-08002B2CF9AE}" pid="897" name="erb.formula.SendIntents.ConsentGatePassed">
    <vt:lpwstr>OR(((NOT(((N2)=TRUE)))=TRUE), ((O2)=TRUE))</vt:lpwstr>
  </property>
  <property fmtid="{D5CDD505-2E9C-101B-9397-08002B2CF9AE}" pid="898" name="erb.formula.SendIntents.RecipientIsSmsReachable">
    <vt:lpwstr>IFNA(IF(((INDEX(Recipients!L2:L6, MATCH(E2,Recipients!A2:A6, 0))="")=TRUE),  "",  INDEX(Recipients!L2:L6, MATCH(E2,Recipients!A2:A6, 0))), "")</vt:lpwstr>
  </property>
  <property fmtid="{D5CDD505-2E9C-101B-9397-08002B2CF9AE}" pid="899" name="erb.formula.SendIntents.RecipientIsEmailReachable">
    <vt:lpwstr>IFNA(IF(((INDEX(Recipients!K2:K6, MATCH(E2,Recipients!A2:A6, 0))="")=TRUE),  "",  INDEX(Recipients!K2:K6, MATCH(E2,Recipients!A2:A6, 0))), "")</vt:lpwstr>
  </property>
  <property fmtid="{D5CDD505-2E9C-101B-9397-08002B2CF9AE}" pid="900" name="erb.formula.SendIntents.ReachabilityGatePassed">
    <vt:lpwstr>IF(((L2 = "SMS")=TRUE),  Q2,  R2)</vt:lpwstr>
  </property>
  <property fmtid="{D5CDD505-2E9C-101B-9397-08002B2CF9AE}" pid="901" name="erb.formula.SendIntents.PermissionGatePassed">
    <vt:lpwstr>AND(((M2)=TRUE), ((AND(((P2)=TRUE), ((S2)=TRUE)))=TRUE))</vt:lpwstr>
  </property>
  <property fmtid="{D5CDD505-2E9C-101B-9397-08002B2CF9AE}" pid="902" name="erb.formula.SendIntents.IntentQuietStartHour#1">
    <vt:lpwstr>IF((IFNA(IF(((INDEX(CommunicationPolicies!Q2:Q3, MATCH(K2,CommunicationPolicies!A2:A3, 0))="")=TRUE),  "",  INDEX(CommunicationPolicies!Q2:Q3, MATCH(K2,CommunicationPolicies!A2:A3, 0))), ""))="", "", ROUND((IFNA(IF(((INDEX(CommunicationPolicies!Q2:Q3</vt:lpwstr>
  </property>
  <property fmtid="{D5CDD505-2E9C-101B-9397-08002B2CF9AE}" pid="903" name="erb.formula.SendIntents.IntentQuietStartHour#2">
    <vt:lpwstr>, MATCH(K2,CommunicationPolicies!A2:A3, 0))="")=TRUE),  "",  INDEX(CommunicationPolicies!Q2:Q3, MATCH(K2,CommunicationPolicies!A2:A3, 0))), "")), 0))</vt:lpwstr>
  </property>
  <property fmtid="{D5CDD505-2E9C-101B-9397-08002B2CF9AE}" pid="904" name="erb.formula.SendIntents.IntentQuietEndHour#1">
    <vt:lpwstr>IF((IFNA(IF(((INDEX(CommunicationPolicies!R2:R3, MATCH(K2,CommunicationPolicies!A2:A3, 0))="")=TRUE),  "",  INDEX(CommunicationPolicies!R2:R3, MATCH(K2,CommunicationPolicies!A2:A3, 0))), ""))="", "", ROUND((IFNA(IF(((INDEX(CommunicationPolicies!R2:R3</vt:lpwstr>
  </property>
  <property fmtid="{D5CDD505-2E9C-101B-9397-08002B2CF9AE}" pid="905" name="erb.formula.SendIntents.IntentQuietEndHour#2">
    <vt:lpwstr>, MATCH(K2,CommunicationPolicies!A2:A3, 0))="")=TRUE),  "",  INDEX(CommunicationPolicies!R2:R3, MATCH(K2,CommunicationPolicies!A2:A3, 0))), "")), 0))</vt:lpwstr>
  </property>
  <property fmtid="{D5CDD505-2E9C-101B-9397-08002B2CF9AE}" pid="906" name="erb.formula.SendIntents.IntentPolicyHasQuietHours">
    <vt:lpwstr>U2 &lt;&gt; V2</vt:lpwstr>
  </property>
  <property fmtid="{D5CDD505-2E9C-101B-9397-08002B2CF9AE}" pid="907" name="erb.formula.SendIntents.IntentQuietWindowWraps">
    <vt:lpwstr>U2 &gt; V2</vt:lpwstr>
  </property>
  <property fmtid="{D5CDD505-2E9C-101B-9397-08002B2CF9AE}" pid="908" name="erb.formula.SendIntents.IntentIsInsideQuietWindow">
    <vt:lpwstr>IF(((X2)=TRUE),  OR(((H2 &gt;= U2)=TRUE), ((H2 &lt; V2)=TRUE)),  AND(((H2 &gt;= U2)=TRUE), ((H2 &lt; V2)=TRUE)))</vt:lpwstr>
  </property>
  <property fmtid="{D5CDD505-2E9C-101B-9397-08002B2CF9AE}" pid="909" name="erb.formula.SendIntents.TimingGatePassed">
    <vt:lpwstr>OR(((NOT(((W2)=TRUE)))=TRUE), ((NOT(((Y2)=TRUE)))=TRUE))</vt:lpwstr>
  </property>
  <property fmtid="{D5CDD505-2E9C-101B-9397-08002B2CF9AE}" pid="910" name="erb.formula.SendIntents.HoursUntilWindowOpens">
    <vt:lpwstr>IF((IF(((Z2)=TRUE),  0,  IF(((H2 &lt; V2)=TRUE),  V2 - H2,  24 - H2 + V2)))="", "", ROUND((IF(((Z2)=TRUE),  0,  IF(((H2 &lt; V2)=TRUE),  V2 - H2,  24 - H2 + V2))), 0))</vt:lpwstr>
  </property>
  <property fmtid="{D5CDD505-2E9C-101B-9397-08002B2CF9AE}" pid="911" name="erb.formula.SendIntents.IntentMaxMessageLength#1">
    <vt:lpwstr>IF((IFNA(IF(((INDEX(CommunicationPolicies!I2:I3, MATCH(K2,CommunicationPolicies!A2:A3, 0))="")=TRUE),  "",  INDEX(CommunicationPolicies!I2:I3, MATCH(K2,CommunicationPolicies!A2:A3, 0))), ""))="", "", ROUND((IFNA(IF(((INDEX(CommunicationPolicies!I2:I3</vt:lpwstr>
  </property>
  <property fmtid="{D5CDD505-2E9C-101B-9397-08002B2CF9AE}" pid="912" name="erb.formula.SendIntents.IntentMaxMessageLength#2">
    <vt:lpwstr>, MATCH(K2,CommunicationPolicies!A2:A3, 0))="")=TRUE),  "",  INDEX(CommunicationPolicies!I2:I3, MATCH(K2,CommunicationPolicies!A2:A3, 0))), "")), 0))</vt:lpwstr>
  </property>
  <property fmtid="{D5CDD505-2E9C-101B-9397-08002B2CF9AE}" pid="913" name="erb.formula.SendIntents.IntentMaxSegments#1">
    <vt:lpwstr>IF((IFNA(IF(((INDEX(CommunicationPolicies!J2:J3, MATCH(K2,CommunicationPolicies!A2:A3, 0))="")=TRUE),  "",  INDEX(CommunicationPolicies!J2:J3, MATCH(K2,CommunicationPolicies!A2:A3, 0))), ""))="", "", ROUND((IFNA(IF(((INDEX(CommunicationPolicies!J2:J3</vt:lpwstr>
  </property>
  <property fmtid="{D5CDD505-2E9C-101B-9397-08002B2CF9AE}" pid="914" name="erb.formula.SendIntents.IntentMaxSegments#2">
    <vt:lpwstr>, MATCH(K2,CommunicationPolicies!A2:A3, 0))="")=TRUE),  "",  INDEX(CommunicationPolicies!J2:J3, MATCH(K2,CommunicationPolicies!A2:A3, 0))), "")), 0))</vt:lpwstr>
  </property>
  <property fmtid="{D5CDD505-2E9C-101B-9397-08002B2CF9AE}" pid="915" name="erb.formula.SendIntents.LengthGatePassed">
    <vt:lpwstr>AND(((AD2 &gt; 0)=TRUE), ((AE2 &lt;= AC2)=TRUE))</vt:lpwstr>
  </property>
  <property fmtid="{D5CDD505-2E9C-101B-9397-08002B2CF9AE}" pid="916" name="erb.formula.SendIntents.IntentRequiredOptOutPhrase">
    <vt:lpwstr>IFNA(IF(((INDEX(CommunicationPolicies!T2:T3, MATCH(K2,CommunicationPolicies!A2:A3, 0))="")=TRUE),  "",  INDEX(CommunicationPolicies!T2:T3, MATCH(K2,CommunicationPolicies!A2:A3, 0))), "")</vt:lpwstr>
  </property>
  <property fmtid="{D5CDD505-2E9C-101B-9397-08002B2CF9AE}" pid="917" name="erb.formula.SendIntents.OptOutGatePassed">
    <vt:lpwstr>OR(((AG2 = "")=TRUE), ((AND(((AH2 &gt; 0)=TRUE), ((AH2 &lt;= AB2)=TRUE)))=TRUE))</vt:lpwstr>
  </property>
  <property fmtid="{D5CDD505-2E9C-101B-9397-08002B2CF9AE}" pid="918" name="erb.formula.SendIntents.ContentGatePassed">
    <vt:lpwstr>AND(((AF2)=TRUE), ((AI2)=TRUE))</vt:lpwstr>
  </property>
  <property fmtid="{D5CDD505-2E9C-101B-9397-08002B2CF9AE}" pid="919" name="erb.formula.SendIntents.TemplateIsSendable">
    <vt:lpwstr>IFNA(IF(((INDEX(MessageTemplates!T2:T3, MATCH(F2,MessageTemplates!A2:A3, 0))="")=TRUE),  "",  INDEX(MessageTemplates!T2:T3, MATCH(F2,MessageTemplates!A2:A3, 0))), "")</vt:lpwstr>
  </property>
  <property fmtid="{D5CDD505-2E9C-101B-9397-08002B2CF9AE}" pid="920" name="erb.formula.SendIntents.ExecutionHasLegalClearance">
    <vt:lpwstr>IFNA(IF(((INDEX(ProcedureExecutions!AC2:AC3, MATCH(C2,ProcedureExecutions!A2:A3, 0))="")=TRUE),  "",  INDEX(ProcedureExecutions!AC2:AC3, MATCH(C2,ProcedureExecutions!A2:A3, 0))), "")</vt:lpwstr>
  </property>
  <property fmtid="{D5CDD505-2E9C-101B-9397-08002B2CF9AE}" pid="921" name="erb.formula.SendIntents.IntentApprovalRole">
    <vt:lpwstr>IFNA(IF(((INDEX(CommunicationPolicies!L2:L3, MATCH(K2,CommunicationPolicies!A2:A3, 0))="")=TRUE),  "",  INDEX(CommunicationPolicies!L2:L3, MATCH(K2,CommunicationPolicies!A2:A3, 0))), "")</vt:lpwstr>
  </property>
  <property fmtid="{D5CDD505-2E9C-101B-9397-08002B2CF9AE}" pid="922" name="erb.formula.SendIntents.ApprovalRoleAgentKind">
    <vt:lpwstr>IFNA(IF(((INDEX(Roles!F2:F13, MATCH(AM2,Roles!A2:A13, 0))="")=TRUE),  "",  INDEX(Roles!F2:F13, MATCH(AM2,Roles!A2:A13, 0))), "")</vt:lpwstr>
  </property>
  <property fmtid="{D5CDD505-2E9C-101B-9397-08002B2CF9AE}" pid="923" name="erb.formula.SendIntents.ApprovalIsHuman">
    <vt:lpwstr>AN2 = "Human"</vt:lpwstr>
  </property>
  <property fmtid="{D5CDD505-2E9C-101B-9397-08002B2CF9AE}" pid="924" name="erb.formula.SendIntents.AuthorizationGatePassed">
    <vt:lpwstr>AND(((AK2)=TRUE), ((AND(((AL2)=TRUE), ((AO2)=TRUE)))=TRUE))</vt:lpwstr>
  </property>
  <property fmtid="{D5CDD505-2E9C-101B-9397-08002B2CF9AE}" pid="925" name="erb.formula.SendIntents.IsClearedToSend">
    <vt:lpwstr>AND(((T2)=TRUE), ((AND(((Z2)=TRUE), ((AND(((AJ2)=TRUE), ((AP2)=TRUE)))=TRUE)))=TRUE))</vt:lpwstr>
  </property>
  <property fmtid="{D5CDD505-2E9C-101B-9397-08002B2CF9AE}" pid="926" name="erb.formula.SendIntents.BlockingGateName">
    <vt:lpwstr>IF(((AQ2)=TRUE),  "",  IF(((NOT(((T2)=TRUE)))=TRUE),  "Permission",  IF(((NOT(((Z2)=TRUE)))=TRUE),  "Timing",  IF(((NOT(((AJ2)=TRUE)))=TRUE),  "Content",  "Authorization"))))</vt:lpwstr>
  </property>
  <property fmtid="{D5CDD505-2E9C-101B-9397-08002B2CF9AE}" pid="927" name="erb.formula.SendIntents.HasResultingDelivery">
    <vt:lpwstr>J2 &lt;&gt; ""</vt:lpwstr>
  </property>
  <property fmtid="{D5CDD505-2E9C-101B-9397-08002B2CF9AE}" pid="928" name="erb.formula.SendIntents.ResultingDeliveryWasTransmitted">
    <vt:lpwstr>IFNA(IF(((INDEX(MessageDeliveries!S2:S7, MATCH(J2,MessageDeliveries!A2:A7, 0))="")=TRUE),  "",  INDEX(MessageDeliveries!S2:S7, MATCH(J2,MessageDeliveries!A2:A7, 0))), "")</vt:lpwstr>
  </property>
  <property fmtid="{D5CDD505-2E9C-101B-9397-08002B2CF9AE}" pid="929" name="erb.formula.SendIntents.IsOverriddenRefusal">
    <vt:lpwstr>AND(((NOT(((AQ2)=TRUE)))=TRUE), ((AND(((AS2)=TRUE), ((AT2)=TRUE)))=TRUE))</vt:lpwstr>
  </property>
  <property fmtid="{D5CDD505-2E9C-101B-9397-08002B2CF9AE}" pid="930" name="erb.formula.SendIntents.IsSilentlyDropped">
    <vt:lpwstr>AND(((NOT(((AQ2)=TRUE)))=TRUE), ((NOT(((AS2)=TRUE)))=TRUE))</vt:lpwstr>
  </property>
  <property fmtid="{D5CDD505-2E9C-101B-9397-08002B2CF9AE}" pid="931" name="erb.formula.SendIntents.ResultingDeliveryException">
    <vt:lpwstr>IFNA(IF(((INDEX(MessageDeliveries!M2:M7, MATCH(J2,MessageDeliveries!A2:A7, 0))="")=TRUE),  "",  INDEX(MessageDeliveries!M2:M7, MATCH(J2,MessageDeliveries!A2:A7, 0))), "")</vt:lpwstr>
  </property>
  <property fmtid="{D5CDD505-2E9C-101B-9397-08002B2CF9AE}" pid="932" name="erb.formula.SendIntents.RefusalCitedAnException">
    <vt:lpwstr>AW2 &lt;&gt; ""</vt:lpwstr>
  </property>
  <property fmtid="{D5CDD505-2E9C-101B-9397-08002B2CF9AE}" pid="933" name="erb.formula.SendIntents.IsProperlyHandledRefusal">
    <vt:lpwstr>AND(((NOT(((AQ2)=TRUE)))=TRUE), ((AND(((AS2)=TRUE), ((AND(((NOT(((AT2)=TRUE)))=TRUE), ((AX2)=TRUE)))=TRUE)))=TRUE))</vt:lpwstr>
  </property>
  <property fmtid="{D5CDD505-2E9C-101B-9397-08002B2CF9AE}" pid="934" name="erb.formula.SendIntents.RefusalFailureExecutionKey">
    <vt:lpwstr>IF(((OR(((AU2)=TRUE), ((AV2)=TRUE)))=TRUE),  C2,  "")</vt:lpwstr>
  </property>
  <property fmtid="{D5CDD505-2E9C-101B-9397-08002B2CF9AE}" pid="935" name="erb.formula.SendIntents.IntentExecutionKey">
    <vt:lpwstr>C2</vt:lpwstr>
  </property>
  <property fmtid="{D5CDD505-2E9C-101B-9397-08002B2CF9AE}" pid="936" name="erb.formula.SendIntents.DeliveredIntentExecutionKey">
    <vt:lpwstr>IF(((AND(((AS2)=TRUE), ((AT2)=TRUE)))=TRUE),  C2,  "")</vt:lpwstr>
  </property>
  <property fmtid="{D5CDD505-2E9C-101B-9397-08002B2CF9AE}" pid="937" name="erb.formula.SendIntents.DroppedIntentExecutionKey">
    <vt:lpwstr>IF(((AV2)=TRUE),  C2,  "")</vt:lpwstr>
  </property>
  <property fmtid="{D5CDD505-2E9C-101B-9397-08002B2CF9AE}" pid="938" name="erb.formula.SendIntents.MyApprovalWasInForce">
    <vt:lpwstr>AK2</vt:lpwstr>
  </property>
  <property fmtid="{D5CDD505-2E9C-101B-9397-08002B2CF9AE}" pid="939" name="erb.formula.SendIntents.RefusedOnApprovedContent">
    <vt:lpwstr>AND(((BD2)=TRUE), ((NOT(((AJ2)=TRUE)))=TRUE))</vt:lpwstr>
  </property>
  <property fmtid="{D5CDD505-2E9C-101B-9397-08002B2CF9AE}" pid="940" name="erb.formula.SendIntents.RefusedOnOptOutOnly">
    <vt:lpwstr>AND(((NOT(((AI2)=TRUE)))=TRUE), ((AF2)=TRUE))</vt:lpwstr>
  </property>
  <property fmtid="{D5CDD505-2E9C-101B-9397-08002B2CF9AE}" pid="941" name="erb.formula.SendIntents.RefusalWasOnMyRules">
    <vt:lpwstr>AND(((NOT(((AQ2)=TRUE)))=TRUE), ((OR(((NOT(((AJ2)=TRUE)))=TRUE), ((NOT(((Z2)=TRUE)))=TRUE)))=TRUE))</vt:lpwstr>
  </property>
  <property fmtid="{D5CDD505-2E9C-101B-9397-08002B2CF9AE}" pid="942" name="erb.formula.SendIntents.RefusalWasOutsideMyControl">
    <vt:lpwstr>AND(((NOT(((AQ2)=TRUE)))=TRUE), ((OR(((NOT(((T2)=TRUE)))=TRUE), ((NOT(((AP2)=TRUE)))=TRUE)))=TRUE))</vt:lpwstr>
  </property>
  <property fmtid="{D5CDD505-2E9C-101B-9397-08002B2CF9AE}" pid="943" name="erb.formula.SendIntents.IsUnreportedRefusalOnMyRules">
    <vt:lpwstr>AND(((BG2)=TRUE), ((NOT(((BI2)=TRUE)))=TRUE))</vt:lpwstr>
  </property>
  <property fmtid="{D5CDD505-2E9C-101B-9397-08002B2CF9AE}" pid="944" name="erb.formula.SendIntents.IsApprovalOverriddenSilently">
    <vt:lpwstr>AND(((BE2)=TRUE), ((NOT(((BI2)=TRUE)))=TRUE))</vt:lpwstr>
  </property>
  <property fmtid="{D5CDD505-2E9C-101B-9397-08002B2CF9AE}" pid="945" name="erb.formula.SendIntents.HasAlternateChannelAttempt">
    <vt:lpwstr>BL2 &lt;&gt; ""</vt:lpwstr>
  </property>
  <property fmtid="{D5CDD505-2E9C-101B-9397-08002B2CF9AE}" pid="946" name="erb.formula.SendIntents.AlternateAttemptWasCleared">
    <vt:lpwstr>IFNA(IF(((INDEX(AQ2, MATCH(BL2,A2, 0))="")=TRUE),  "",  INDEX(AQ2, MATCH(BL2,A2, 0))), "")</vt:lpwstr>
  </property>
  <property fmtid="{D5CDD505-2E9C-101B-9397-08002B2CF9AE}" pid="947" name="erb.formula.SendIntents.IsRefusedWithNoAlternative">
    <vt:lpwstr>AND(((NOT(((AQ2)=TRUE)))=TRUE), ((NOT(((BM2)=TRUE)))=TRUE))</vt:lpwstr>
  </property>
  <property fmtid="{D5CDD505-2E9C-101B-9397-08002B2CF9AE}" pid="948" name="erb.formula.SendIntents.ExceptionPrescribedAnAlternative">
    <vt:lpwstr>AND(((AX2)=TRUE), ((AW2 &lt;&gt; "")=TRUE))</vt:lpwstr>
  </property>
  <property fmtid="{D5CDD505-2E9C-101B-9397-08002B2CF9AE}" pid="949" name="erb.formula.SendIntents.PrescribedHandlingWasPerformed">
    <vt:lpwstr>AND(((BP2)=TRUE), ((AND(((BM2)=TRUE), ((BN2)=TRUE)))=TRUE))</vt:lpwstr>
  </property>
  <property fmtid="{D5CDD505-2E9C-101B-9397-08002B2CF9AE}" pid="950" name="erb.formula.SendIntents.IsSuppressionWithoutRemedy">
    <vt:lpwstr>AND(((BP2)=TRUE), ((NOT(((BQ2)=TRUE)))=TRUE))</vt:lpwstr>
  </property>
  <property fmtid="{D5CDD505-2E9C-101B-9397-08002B2CF9AE}" pid="951" name="erb.formula.SendIntents.HasDurableRefusalRecord">
    <vt:lpwstr>BS2 &lt;&gt; ""</vt:lpwstr>
  </property>
  <property fmtid="{D5CDD505-2E9C-101B-9397-08002B2CF9AE}" pid="952" name="erb.formula.SendIntents.RefusalWasEscalated">
    <vt:lpwstr>BT2 &lt;&gt; ""</vt:lpwstr>
  </property>
  <property fmtid="{D5CDD505-2E9C-101B-9397-08002B2CF9AE}" pid="953" name="erb.formula.SendIntents.IsUnrecordedRefusal">
    <vt:lpwstr>AND(((AV2)=TRUE), ((AND(((NOT(((BU2)=TRUE)))=TRUE), ((NOT(((AX2)=TRUE)))=TRUE)))=TRUE))</vt:lpwstr>
  </property>
  <property fmtid="{D5CDD505-2E9C-101B-9397-08002B2CF9AE}" pid="954" name="erb.formula.SendIntents.IsUnescalatedRefusal">
    <vt:lpwstr>AND(((NOT(((AQ2)=TRUE)))=TRUE), ((NOT(((BV2)=TRUE)))=TRUE))</vt:lpwstr>
  </property>
  <property fmtid="{D5CDD505-2E9C-101B-9397-08002B2CF9AE}" pid="955" name="erb.formula.SendIntents.UnescalatedRefusalRoleKey">
    <vt:lpwstr>IF(((BW2)=TRUE),  BT2,  "")</vt:lpwstr>
  </property>
  <property fmtid="{D5CDD505-2E9C-101B-9397-08002B2CF9AE}" pid="956" name="erb.formula.SendIntents.UnrecordedRefusalExecutionKey">
    <vt:lpwstr>IF(((BW2)=TRUE),  C2,  "")</vt:lpwstr>
  </property>
  <property fmtid="{D5CDD505-2E9C-101B-9397-08002B2CF9AE}" pid="957" name="erb.formula.SendIntents.WasDeferredOnTiming">
    <vt:lpwstr>AND(((NOT(((Z2)=TRUE)))=TRUE), ((AND(((T2)=TRUE), ((AJ2)=TRUE)))=TRUE))</vt:lpwstr>
  </property>
  <property fmtid="{D5CDD505-2E9C-101B-9397-08002B2CF9AE}" pid="958" name="erb.formula.SendIntents.AsOfInstant">
    <vt:lpwstr>IFNA(IF(((INDEX(EvaluationContexts!D2:D2, MATCH(CC2,EvaluationContexts!A2:A2, 0))="")=TRUE),  "",  INDEX(EvaluationContexts!D2:D2, MATCH(CC2,EvaluationContexts!A2:A2, 0))), "")</vt:lpwstr>
  </property>
  <property fmtid="{D5CDD505-2E9C-101B-9397-08002B2CF9AE}" pid="959" name="erb.formula.SendIntents.WindowHasSinceReopened">
    <vt:lpwstr>AND(((AA2 &gt; 0)=TRUE), ((IF(((OR((((CD2)="")=TRUE), (((I2)="")=TRUE)))=TRUE),  0,  ((CD2 - I2) * 24)) &gt; AA2)=TRUE))</vt:lpwstr>
  </property>
  <property fmtid="{D5CDD505-2E9C-101B-9397-08002B2CF9AE}" pid="960" name="erb.formula.SendIntents.HasRetryAttempt">
    <vt:lpwstr>CA2 &lt;&gt; ""</vt:lpwstr>
  </property>
  <property fmtid="{D5CDD505-2E9C-101B-9397-08002B2CF9AE}" pid="961" name="erb.formula.SendIntents.RetryWasCleared">
    <vt:lpwstr>IFNA(IF(((INDEX(AQ2, MATCH(CA2,A2, 0))="")=TRUE),  "",  INDEX(AQ2, MATCH(CA2,A2, 0))), "")</vt:lpwstr>
  </property>
  <property fmtid="{D5CDD505-2E9C-101B-9397-08002B2CF9AE}" pid="962" name="erb.formula.SendIntents.IsAbandonedDeferral">
    <vt:lpwstr>AND(((CB2)=TRUE), ((AND(((CE2)=TRUE), ((NOT(((CF2)=TRUE)))=TRUE)))=TRUE))</vt:lpwstr>
  </property>
  <property fmtid="{D5CDD505-2E9C-101B-9397-08002B2CF9AE}" pid="963" name="erb.formula.SendIntents.DeferralAgeHours">
    <vt:lpwstr>IF((IF(((OR((((CD2)="")=TRUE), (((I2)="")=TRUE)))=TRUE),  0,  ((CD2 - I2) * 24)))="", "", ROUND((IF(((OR((((CD2)="")=TRUE), (((I2)="")=TRUE)))=TRUE),  0,  ((CD2 - I2) * 24))), 0))</vt:lpwstr>
  </property>
  <property fmtid="{D5CDD505-2E9C-101B-9397-08002B2CF9AE}" pid="964" name="erb.formula.SendIntents.IsStaleDeferral">
    <vt:lpwstr>AND(((CB2)=TRUE), ((CI2 &gt; 24)=TRUE))</vt:lpwstr>
  </property>
  <property fmtid="{D5CDD505-2E9C-101B-9397-08002B2CF9AE}" pid="965" name="erb.formula.SendIntents.EnforcedByUnauthorizedAgent">
    <vt:lpwstr>IFNA(IF(((INDEX(RoleAssignments!BJ2:BJ14, MATCH(CK2,RoleAssignments!A2:A14, 0))="")=TRUE),  "",  INDEX(RoleAssignments!BJ2:BJ14, MATCH(CK2,RoleAssignments!A2:A14, 0))), "")</vt:lpwstr>
  </property>
  <property fmtid="{D5CDD505-2E9C-101B-9397-08002B2CF9AE}" pid="966" name="erb.formula.SendIntents.ConsentInputWasResolvable">
    <vt:lpwstr>CN2 &lt;&gt; ""</vt:lpwstr>
  </property>
  <property fmtid="{D5CDD505-2E9C-101B-9397-08002B2CF9AE}" pid="967" name="erb.formula.SendIntents.RecipientConsentStatusRaw">
    <vt:lpwstr>IFNA(IF(((INDEX(Recipients!G2:G6, MATCH(E2,Recipients!A2:A6, 0))="")=TRUE),  "",  INDEX(Recipients!G2:G6, MATCH(E2,Recipients!A2:A6, 0))), "")</vt:lpwstr>
  </property>
  <property fmtid="{D5CDD505-2E9C-101B-9397-08002B2CF9AE}" pid="968" name="erb.formula.SendIntents.PolicyInputWasResolvable">
    <vt:lpwstr>K2 &lt;&gt; ""</vt:lpwstr>
  </property>
  <property fmtid="{D5CDD505-2E9C-101B-9397-08002B2CF9AE}" pid="969" name="erb.formula.SendIntents.AllGateInputsResolved">
    <vt:lpwstr>AND(((CM2)=TRUE), ((CO2)=TRUE))</vt:lpwstr>
  </property>
  <property fmtid="{D5CDD505-2E9C-101B-9397-08002B2CF9AE}" pid="970" name="erb.formula.SendIntents.IsUnevaluableRefusal">
    <vt:lpwstr>AND(((NOT(((AQ2)=TRUE)))=TRUE), ((NOT(((CP2)=TRUE)))=TRUE))</vt:lpwstr>
  </property>
  <property fmtid="{D5CDD505-2E9C-101B-9397-08002B2CF9AE}" pid="971" name="erb.formula.SendIntents.IsSelfWitnessedDecision">
    <vt:lpwstr>NOT(((CR2)=TRUE))</vt:lpwstr>
  </property>
  <property fmtid="{D5CDD505-2E9C-101B-9397-08002B2CF9AE}" pid="972" name="erb.formula.SendIntents.IsIndependentlyConfirmed">
    <vt:lpwstr>AND(((AS2)=TRUE), ((AT2)=TRUE))</vt:lpwstr>
  </property>
  <property fmtid="{D5CDD505-2E9C-101B-9397-08002B2CF9AE}" pid="973" name="erb.formula.SendIntents.IndependentlyConfirmedExecutionKey">
    <vt:lpwstr>IF(((CT2)=TRUE),  C2,  "")</vt:lpwstr>
  </property>
  <property fmtid="{D5CDD505-2E9C-101B-9397-08002B2CF9AE}" pid="974" name="erb.table.SendIntents.description">
    <vt:lpwstr>SendIntents (added by witness loop 1).</vt:lpwstr>
  </property>
  <property fmtid="{D5CDD505-2E9C-101B-9397-08002B2CF9AE}" pid="975" name="erb.formula.AgentDecisionRecords.Name">
    <vt:lpwstr>D2 &amp; ": " &amp; LEFT(F2, 60)</vt:lpwstr>
  </property>
  <property fmtid="{D5CDD505-2E9C-101B-9397-08002B2CF9AE}" pid="976" name="erb.formula.AgentDecisionRecords.WasOverridden">
    <vt:lpwstr>OR(((I2 = "Corrected")=TRUE), ((I2 = "Reversed")=TRUE))</vt:lpwstr>
  </property>
  <property fmtid="{D5CDD505-2E9C-101B-9397-08002B2CF9AE}" pid="977" name="erb.formula.AgentDecisionRecords.WasReviewed">
    <vt:lpwstr>AND(((I2 &lt;&gt; "")=TRUE), ((I2 &lt;&gt; "NotReviewed")=TRUE))</vt:lpwstr>
  </property>
  <property fmtid="{D5CDD505-2E9C-101B-9397-08002B2CF9AE}" pid="978" name="erb.formula.AgentDecisionRecords.DecidingAgentKind">
    <vt:lpwstr>IFNA(IF(((INDEX(Agents!D2:D12, MATCH(D2,Agents!A2:A12, 0))="")=TRUE),  "",  INDEX(Agents!D2:D12, MATCH(D2,Agents!A2:A12, 0))), "")</vt:lpwstr>
  </property>
  <property fmtid="{D5CDD505-2E9C-101B-9397-08002B2CF9AE}" pid="979" name="erb.formula.AgentDecisionRecords.DecidingAgentWhenOverridden">
    <vt:lpwstr>IF(((L2)=TRUE),  D2,  "")</vt:lpwstr>
  </property>
  <property fmtid="{D5CDD505-2E9C-101B-9397-08002B2CF9AE}" pid="980" name="erb.formula.AgentDecisionRecords.RoleAssignmentWhenScored">
    <vt:lpwstr>IF(((P2 &lt;&gt; "")=TRUE),  P2,  "")</vt:lpwstr>
  </property>
  <property fmtid="{D5CDD505-2E9C-101B-9397-08002B2CF9AE}" pid="981" name="erb.formula.AgentDecisionRecords.RoleAssignmentWhenOverridden">
    <vt:lpwstr>IF(((L2)=TRUE),  P2,  "")</vt:lpwstr>
  </property>
  <property fmtid="{D5CDD505-2E9C-101B-9397-08002B2CF9AE}" pid="982" name="erb.formula.AgentDecisionRecords.StepOfDecision">
    <vt:lpwstr>IFNA(IF(((INDEX(StepExecutions!D2:D13, MATCH(C2,StepExecutions!A2:A13, 0))="")=TRUE),  "",  INDEX(StepExecutions!D2:D13, MATCH(C2,StepExecutions!A2:A13, 0))), "")</vt:lpwstr>
  </property>
  <property fmtid="{D5CDD505-2E9C-101B-9397-08002B2CF9AE}" pid="983" name="erb.formula.AgentDecisionRecords.BoundaryMatchKey">
    <vt:lpwstr>S2 &amp; "|" &amp; N2 &amp; "|" &amp; E2</vt:lpwstr>
  </property>
  <property fmtid="{D5CDD505-2E9C-101B-9397-08002B2CF9AE}" pid="984" name="erb.formula.AgentDecisionRecords.MatchingBoundaryCount">
    <vt:lpwstr>COUNTIFS(AuthorityBoundaries!Q2:Q4, T2)</vt:lpwstr>
  </property>
  <property fmtid="{D5CDD505-2E9C-101B-9397-08002B2CF9AE}" pid="985" name="erb.formula.AgentDecisionRecords.ViolatedAuthorityBoundary">
    <vt:lpwstr>U2 &gt; 0</vt:lpwstr>
  </property>
  <property fmtid="{D5CDD505-2E9C-101B-9397-08002B2CF9AE}" pid="986" name="erb.formula.AgentDecisionRecords.ReviewerAgentKind">
    <vt:lpwstr>IFNA(IF(((INDEX(Agents!D2:D12, MATCH(J2,Agents!A2:A12, 0))="")=TRUE),  "",  INDEX(Agents!D2:D12, MATCH(J2,Agents!A2:A12, 0))), "")</vt:lpwstr>
  </property>
  <property fmtid="{D5CDD505-2E9C-101B-9397-08002B2CF9AE}" pid="987" name="erb.formula.AgentDecisionRecords.HasHumanConfirmation">
    <vt:lpwstr>AND(((W2 = "Human")=TRUE), ((I2 &lt;&gt; "")=TRUE), ((I2 &lt;&gt; "NotReviewed")=TRUE))</vt:lpwstr>
  </property>
  <property fmtid="{D5CDD505-2E9C-101B-9397-08002B2CF9AE}" pid="988" name="erb.formula.AgentDecisionRecords.NeedsHumanConfirmation">
    <vt:lpwstr>AND(((NOT(((N2 = "Human")=TRUE)))=TRUE), ((OR(((H2 = "Material")=TRUE), ((H2 = "Escalated")=TRUE)))=TRUE))</vt:lpwstr>
  </property>
  <property fmtid="{D5CDD505-2E9C-101B-9397-08002B2CF9AE}" pid="989" name="erb.formula.AgentDecisionRecords.IsUnconfirmedNonHumanDecision">
    <vt:lpwstr>AND(((Y2)=TRUE), ((NOT(((X2)=TRUE)))=TRUE))</vt:lpwstr>
  </property>
  <property fmtid="{D5CDD505-2E9C-101B-9397-08002B2CF9AE}" pid="990" name="erb.formula.AgentDecisionRecords.StepExecutionWhenUnconfirmed">
    <vt:lpwstr>IF(((Z2)=TRUE),  C2,  "")</vt:lpwstr>
  </property>
  <property fmtid="{D5CDD505-2E9C-101B-9397-08002B2CF9AE}" pid="991" name="erb.formula.AgentDecisionRecords.AgentWhenBoundaryViolated">
    <vt:lpwstr>IF(((V2)=TRUE),  D2,  "")</vt:lpwstr>
  </property>
  <property fmtid="{D5CDD505-2E9C-101B-9397-08002B2CF9AE}" pid="992" name="erb.formula.AgentDecisionRecords.ReviewLatencyMinutes">
    <vt:lpwstr>IF(((K2 = "")=TRUE),  0,  IF(((OR((((K2)="")=TRUE), (((G2)="")=TRUE)))=TRUE),  0,  ((K2 - G2) * 1440)))</vt:lpwstr>
  </property>
  <property fmtid="{D5CDD505-2E9C-101B-9397-08002B2CF9AE}" pid="993" name="erb.formula.AgentDecisionRecords.IsDraftKind">
    <vt:lpwstr>OR(((E2 = "Draft")=TRUE), ((E2 = "Commitment")=TRUE))</vt:lpwstr>
  </property>
  <property fmtid="{D5CDD505-2E9C-101B-9397-08002B2CF9AE}" pid="994" name="erb.formula.AgentDecisionRecords.AgentWhenDraftOverridden">
    <vt:lpwstr>IF(((AND(((AD2)=TRUE), ((L2)=TRUE)))=TRUE),  D2,  "")</vt:lpwstr>
  </property>
  <property fmtid="{D5CDD505-2E9C-101B-9397-08002B2CF9AE}" pid="995" name="erb.formula.AgentDecisionRecords.AgentWhenDraft">
    <vt:lpwstr>IF(((AD2)=TRUE),  D2,  "")</vt:lpwstr>
  </property>
  <property fmtid="{D5CDD505-2E9C-101B-9397-08002B2CF9AE}" pid="996" name="erb.formula.AgentDecisionRecords.IsErrorCorrection">
    <vt:lpwstr>AND(((L2)=TRUE), ((AG2 = "ErrorCorrection")=TRUE))</vt:lpwstr>
  </property>
  <property fmtid="{D5CDD505-2E9C-101B-9397-08002B2CF9AE}" pid="997" name="erb.formula.AgentDecisionRecords.IsReservedJudgmentOverride">
    <vt:lpwstr>AND(((L2)=TRUE), ((AG2 = "JudgmentReserved")=TRUE))</vt:lpwstr>
  </property>
  <property fmtid="{D5CDD505-2E9C-101B-9397-08002B2CF9AE}" pid="998" name="erb.formula.AgentDecisionRecords.OverrideReasonIsRecorded">
    <vt:lpwstr>AND(((L2)=TRUE), ((AG2 &lt;&gt; "")=TRUE))</vt:lpwstr>
  </property>
  <property fmtid="{D5CDD505-2E9C-101B-9397-08002B2CF9AE}" pid="999" name="erb.formula.AgentDecisionRecords.IsUnexplainedOverride">
    <vt:lpwstr>AND(((L2)=TRUE), ((NOT(((AJ2)=TRUE)))=TRUE))</vt:lpwstr>
  </property>
  <property fmtid="{D5CDD505-2E9C-101B-9397-08002B2CF9AE}" pid="1000" name="erb.formula.AgentDecisionRecords.ErrorCorrectionRoleAssignmentKey">
    <vt:lpwstr>IF(((AH2)=TRUE),  P2,  "")</vt:lpwstr>
  </property>
  <property fmtid="{D5CDD505-2E9C-101B-9397-08002B2CF9AE}" pid="1001" name="erb.formula.AgentDecisionRecords.BoundaryViolationRoleAssignmentKey">
    <vt:lpwstr>IF(((V2)=TRUE),  P2,  "")</vt:lpwstr>
  </property>
  <property fmtid="{D5CDD505-2E9C-101B-9397-08002B2CF9AE}" pid="1002" name="erb.table.AgentDecisionRecords.description">
    <vt:lpwstr>AgentDecisionRecords (added by witness loop 1).</vt:lpwstr>
  </property>
  <property fmtid="{D5CDD505-2E9C-101B-9397-08002B2CF9AE}" pid="1003" name="erb.formula.DeliveredCommunications.Name">
    <vt:lpwstr>G2 &amp; " -&gt; " &amp; H2 &amp; " @ " &amp; IF(((I2="")=TRUE),  "",  TEXT(I2, "yyyy-mm-dd\Thh:mm:ss")&amp;"+00:00")</vt:lpwstr>
  </property>
  <property fmtid="{D5CDD505-2E9C-101B-9397-08002B2CF9AE}" pid="1004" name="erb.formula.DeliveredCommunications.HasAuthorization">
    <vt:lpwstr>E2 &lt;&gt; ""</vt:lpwstr>
  </property>
  <property fmtid="{D5CDD505-2E9C-101B-9397-08002B2CF9AE}" pid="1005" name="erb.formula.DeliveredCommunications.ContentMatchesApproval">
    <vt:lpwstr>J2 = K2</vt:lpwstr>
  </property>
  <property fmtid="{D5CDD505-2E9C-101B-9397-08002B2CF9AE}" pid="1006" name="erb.formula.DeliveredCommunications.AuthorizedAt">
    <vt:lpwstr>IFNA(IF(((INDEX(StepExecutions!H2:H13, MATCH(E2,StepExecutions!A2:A13, 0))="")=TRUE),  "",  INDEX(StepExecutions!H2:H13, MATCH(E2,StepExecutions!A2:A13, 0))), "")</vt:lpwstr>
  </property>
  <property fmtid="{D5CDD505-2E9C-101B-9397-08002B2CF9AE}" pid="1007" name="erb.formula.DeliveredCommunications.WasApprovedBeforeSending">
    <vt:lpwstr>P2 &lt;= I2</vt:lpwstr>
  </property>
  <property fmtid="{D5CDD505-2E9C-101B-9397-08002B2CF9AE}" pid="1008" name="erb.formula.DeliveredCommunications.IsDefensible">
    <vt:lpwstr>AND(((N2)=TRUE), ((O2)=TRUE), ((Q2)=TRUE))</vt:lpwstr>
  </property>
  <property fmtid="{D5CDD505-2E9C-101B-9397-08002B2CF9AE}" pid="1009" name="erb.table.DeliveredCommunications.description#1">
    <vt:lpwstr>Everything above is a proxy for the real question, which is instance-level: THIS message, to THIS recipient, rendered from THIS template, authorized by THIS approval. The model has MessageTemplates and CommunicationPolicies as specifications and no r</vt:lpwstr>
  </property>
  <property fmtid="{D5CDD505-2E9C-101B-9397-08002B2CF9AE}" pid="1010" name="erb.table.DeliveredCommunications.description#2">
    <vt:lpwstr>ecord of a single thing ever sent. Without an instance table, 'can I show that what was sent matched what I approved' is permanently unanswerable rather than merely unanswered — and it is the question a disputing employee actually asks. Extension ter</vt:lpwstr>
  </property>
  <property fmtid="{D5CDD505-2E9C-101B-9397-08002B2CF9AE}" pid="1011" name="erb.table.DeliveredCommunications.description#3">
    <vt:lpwstr>m (urn:effortless:pko-extension#DeliveredCommunication); PKO has no native class for a delivered artifact instance.</vt:lpwstr>
  </property>
  <property fmtid="{D5CDD505-2E9C-101B-9397-08002B2CF9AE}" pid="1012" name="erb.formula.AuthorityBoundaries.Name">
    <vt:lpwstr>D2 &amp; " may not " &amp; E2</vt:lpwstr>
  </property>
  <property fmtid="{D5CDD505-2E9C-101B-9397-08002B2CF9AE}" pid="1013" name="erb.formula.AuthorityBoundaries.AsOfInstant">
    <vt:lpwstr>IFNA(IF(((INDEX(EvaluationContexts!D2:D2, MATCH(L2,EvaluationContexts!A2:A2, 0))="")=TRUE),  "",  INDEX(EvaluationContexts!D2:D2, MATCH(L2,EvaluationContexts!A2:A2, 0))), "")</vt:lpwstr>
  </property>
  <property fmtid="{D5CDD505-2E9C-101B-9397-08002B2CF9AE}" pid="1014" name="erb.formula.AuthorityBoundaries.IsCurrentlyBinding">
    <vt:lpwstr>AND(((K2 = "Approved")=TRUE), ((I2 &lt;= M2)=TRUE), ((OR(((J2 = "")=TRUE), ((J2 &gt; M2)=TRUE)))=TRUE))</vt:lpwstr>
  </property>
  <property fmtid="{D5CDD505-2E9C-101B-9397-08002B2CF9AE}" pid="1015" name="erb.formula.AuthorityBoundaries.RatifyingFragmentIsValid">
    <vt:lpwstr>IFNA(IF(((INDEX(KnowledgeFragments!P2:P8, MATCH(F2,KnowledgeFragments!A2:A8, 0))="")=TRUE),  "",  INDEX(KnowledgeFragments!P2:P8, MATCH(F2,KnowledgeFragments!A2:A8, 0))), "")</vt:lpwstr>
  </property>
  <property fmtid="{D5CDD505-2E9C-101B-9397-08002B2CF9AE}" pid="1016" name="erb.formula.AuthorityBoundaries.StepWhenBinding">
    <vt:lpwstr>IF(((N2)=TRUE),  C2,  "")</vt:lpwstr>
  </property>
  <property fmtid="{D5CDD505-2E9C-101B-9397-08002B2CF9AE}" pid="1017" name="erb.formula.AuthorityBoundaries.BoundaryMatchKey">
    <vt:lpwstr>C2 &amp; "|" &amp; D2 &amp; "|" &amp; E2</vt:lpwstr>
  </property>
  <property fmtid="{D5CDD505-2E9C-101B-9397-08002B2CF9AE}" pid="1018" name="erb.formula.AuthorityBoundaries.ViolationCount">
    <vt:lpwstr>COUNTIFS(AgentDecisionRecords!T2:T4, Q2)</vt:lpwstr>
  </property>
  <property fmtid="{D5CDD505-2E9C-101B-9397-08002B2CF9AE}" pid="1019" name="erb.formula.AuthorityBoundaries.IsUntested">
    <vt:lpwstr>AND(((N2)=TRUE), ((R2 = 0)=TRUE))</vt:lpwstr>
  </property>
  <property fmtid="{D5CDD505-2E9C-101B-9397-08002B2CF9AE}" pid="1020" name="erb.formula.AuthorityBoundaries.HasRatifyingFragment">
    <vt:lpwstr>F2 &lt;&gt; ""</vt:lpwstr>
  </property>
  <property fmtid="{D5CDD505-2E9C-101B-9397-08002B2CF9AE}" pid="1021" name="erb.formula.AuthorityBoundaries.IsUnwarranted">
    <vt:lpwstr>AND(((N2)=TRUE), ((OR(((NOT(((T2)=TRUE)))=TRUE), ((NOT(((O2)=TRUE)))=TRUE)))=TRUE))</vt:lpwstr>
  </property>
  <property fmtid="{D5CDD505-2E9C-101B-9397-08002B2CF9AE}" pid="1022" name="erb.formula.AuthorityBoundaries.RatifyingFragmentIsOverdue">
    <vt:lpwstr>IFNA(IF(((INDEX(KnowledgeFragments!AW2:AW8, MATCH(F2,KnowledgeFragments!A2:A8, 0))="")=TRUE),  "",  INDEX(KnowledgeFragments!AW2:AW8, MATCH(F2,KnowledgeFragments!A2:A8, 0))), "")</vt:lpwstr>
  </property>
  <property fmtid="{D5CDD505-2E9C-101B-9397-08002B2CF9AE}" pid="1023" name="erb.formula.AuthorityBoundaries.RatifyingFragmentIsSingleWitness">
    <vt:lpwstr>IFNA(IF(((INDEX(KnowledgeFragments!AD2:AD8, MATCH(F2,KnowledgeFragments!A2:A8, 0))="")=TRUE),  "",  INDEX(KnowledgeFragments!AD2:AD8, MATCH(F2,KnowledgeFragments!A2:A8, 0))), "")</vt:lpwstr>
  </property>
  <property fmtid="{D5CDD505-2E9C-101B-9397-08002B2CF9AE}" pid="1024" name="erb.formula.AuthorityBoundaries.WarrantIsThin">
    <vt:lpwstr>AND(((N2)=TRUE), ((OR(((V2)=TRUE), ((W2)=TRUE)))=TRUE))</vt:lpwstr>
  </property>
  <property fmtid="{D5CDD505-2E9C-101B-9397-08002B2CF9AE}" pid="1025" name="erb.formula.AuthorityBoundaries.IsUnwarrantedAndUntested">
    <vt:lpwstr>AND(((U2)=TRUE), ((S2)=TRUE))</vt:lpwstr>
  </property>
  <property fmtid="{D5CDD505-2E9C-101B-9397-08002B2CF9AE}" pid="1026" name="erb.formula.AuthorityBoundaries.UnwarrantedBoundaryStepKey">
    <vt:lpwstr>IF(((U2)=TRUE),  C2,  "")</vt:lpwstr>
  </property>
  <property fmtid="{D5CDD505-2E9C-101B-9397-08002B2CF9AE}" pid="1027" name="erb.formula.AuthorityBoundaries.RatifyingFragmentKey">
    <vt:lpwstr>IF(((N2)=TRUE),  F2,  "")</vt:lpwstr>
  </property>
  <property fmtid="{D5CDD505-2E9C-101B-9397-08002B2CF9AE}" pid="1028" name="erb.formula.AuthorityBoundaries.RatifyingFragmentStatus">
    <vt:lpwstr>IFNA(IF(((INDEX(KnowledgeFragments!L2:L8, MATCH(F2,KnowledgeFragments!A2:A8, 0))="")=TRUE),  "",  INDEX(KnowledgeFragments!L2:L8, MATCH(F2,KnowledgeFragments!A2:A8, 0))), "")</vt:lpwstr>
  </property>
  <property fmtid="{D5CDD505-2E9C-101B-9397-08002B2CF9AE}" pid="1029" name="erb.formula.AuthorityBoundaries.RatificationLapsed">
    <vt:lpwstr>AND(((T2)=TRUE), ((NOT(((O2)=TRUE)))=TRUE))</vt:lpwstr>
  </property>
  <property fmtid="{D5CDD505-2E9C-101B-9397-08002B2CF9AE}" pid="1030" name="erb.formula.AuthorityBoundaries.BindsDespiteLapsedRatification">
    <vt:lpwstr>AND(((N2)=TRUE), ((AC2)=TRUE))</vt:lpwstr>
  </property>
  <property fmtid="{D5CDD505-2E9C-101B-9397-08002B2CF9AE}" pid="1031" name="erb.formula.AuthorityBoundaries.IsUngroundedAndUntested">
    <vt:lpwstr>AND(((AD2)=TRUE), ((S2)=TRUE))</vt:lpwstr>
  </property>
  <property fmtid="{D5CDD505-2E9C-101B-9397-08002B2CF9AE}" pid="1032" name="erb.formula.AuthorityBoundaries.ConstrainedRoleAssignmentKey">
    <vt:lpwstr>IF(((AD2)=TRUE),  H2,  "")</vt:lpwstr>
  </property>
  <property fmtid="{D5CDD505-2E9C-101B-9397-08002B2CF9AE}" pid="1033" name="erb.table.AuthorityBoundaries.description">
    <vt:lpwstr>AuthorityBoundaries (added by witness loop 1).</vt:lpwstr>
  </property>
  <property fmtid="{D5CDD505-2E9C-101B-9397-08002B2CF9AE}" pid="1034" name="erb.table.BindingObservations.description">
    <vt:lpwstr>BindingObservations (added by witness loop 2).</vt:lpwstr>
  </property>
  <property fmtid="{D5CDD505-2E9C-101B-9397-08002B2CF9AE}" pid="1035" name="erb.table.Attestations.description">
    <vt:lpwstr>Attestations (added by witness loop 2).</vt:lpwstr>
  </property>
  <property fmtid="{D5CDD505-2E9C-101B-9397-08002B2CF9AE}" pid="1036" name="erb.formula.AppRoleProfiles.Name">
    <vt:lpwstr>D2 &amp; " (" &amp; E2 &amp; ")"</vt:lpwstr>
  </property>
  <property fmtid="{D5CDD505-2E9C-101B-9397-08002B2CF9AE}" pid="1037" name="erb.formula.AppRoleProfiles.RouteCount">
    <vt:lpwstr>COUNTIFS(AppRoutes!F2:F150, C2)</vt:lpwstr>
  </property>
  <property fmtid="{D5CDD505-2E9C-101B-9397-08002B2CF9AE}" pid="1038" name="erb.table.AppRoleProfiles.description">
    <vt:lpwstr>One row per role, carrying how that role is presented: its accent colour, its 128x128 icon, and the login-card copy. Presentation is data, so the app never hardcodes a colour or a label per role.</vt:lpwstr>
  </property>
  <property fmtid="{D5CDD505-2E9C-101B-9397-08002B2CF9AE}" pid="1039" name="erb.formula.AppNavGroups.Name">
    <vt:lpwstr>C2</vt:lpwstr>
  </property>
  <property fmtid="{D5CDD505-2E9C-101B-9397-08002B2CF9AE}" pid="1040" name="erb.formula.AppNavGroups.RouteCount">
    <vt:lpwstr>COUNTIFS(AppRoutes!G2:G150, A2)</vt:lpwstr>
  </property>
  <property fmtid="{D5CDD505-2E9C-101B-9397-08002B2CF9AE}" pid="1041" name="erb.table.AppNavGroups.description">
    <vt:lpwstr>The left-navigation section headers. A route names the group it appears under; the nav renders the groups its active role actually uses.</vt:lpwstr>
  </property>
  <property fmtid="{D5CDD505-2E9C-101B-9397-08002B2CF9AE}" pid="1042" name="erb.formula.AppRoutes.Name">
    <vt:lpwstr>D2 &amp; " — " &amp; C2</vt:lpwstr>
  </property>
  <property fmtid="{D5CDD505-2E9C-101B-9397-08002B2CF9AE}" pid="1043" name="erb.formula.AppRoutes.IsInNav">
    <vt:lpwstr>G2 &lt;&gt; ""</vt:lpwstr>
  </property>
  <property fmtid="{D5CDD505-2E9C-101B-9397-08002B2CF9AE}" pid="1044" name="erb.formula.AppRoutes.IsShared">
    <vt:lpwstr>AND(((F2 = "")=TRUE), ((E2 = "domain")=TRUE))</vt:lpwstr>
  </property>
  <property fmtid="{D5CDD505-2E9C-101B-9397-08002B2CF9AE}" pid="1045" name="erb.formula.AppRoutes.IsMaintainer">
    <vt:lpwstr>E2 = "maintainer"</vt:lpwstr>
  </property>
  <property fmtid="{D5CDD505-2E9C-101B-9397-08002B2CF9AE}" pid="1046" name="erb.formula.AppRoutes.QuestionCount">
    <vt:lpwstr>COUNTIFS(AppRouteQuestions!C2:C152, A2)</vt:lpwstr>
  </property>
  <property fmtid="{D5CDD505-2E9C-101B-9397-08002B2CF9AE}" pid="1047" name="erb.formula.AppRoutes.ReferenceCount">
    <vt:lpwstr>COUNTIFS(AppRouteReferences!C2:C316, A2)</vt:lpwstr>
  </property>
  <property fmtid="{D5CDD505-2E9C-101B-9397-08002B2CF9AE}" pid="1048" name="erb.formula.AppRoutes.AnswersNoQuestion">
    <vt:lpwstr>AND(((O2 = 0)=TRUE), ((M2 = FALSE)=TRUE), ((N2 = FALSE)=TRUE), ((I2 &lt;&gt; "index")=TRUE))</vt:lpwstr>
  </property>
  <property fmtid="{D5CDD505-2E9C-101B-9397-08002B2CF9AE}" pid="1049" name="erb.table.AppRoutes.description#1">
    <vt:lpwstr>One row per screen in the role-navigated application, as /{role}/{dashboard}/{entity...}. Each carries its purpose in the owning role's voice and brief layout hints, so a later build session has the brief without re-deriving it. Shared detail routes </vt:lpwstr>
  </property>
  <property fmtid="{D5CDD505-2E9C-101B-9397-08002B2CF9AE}" pid="1050" name="erb.table.AppRoutes.description#2">
    <vt:lpwstr>have no owning role.</vt:lpwstr>
  </property>
  <property fmtid="{D5CDD505-2E9C-101B-9397-08002B2CF9AE}" pid="1051" name="erb.formula.AppRouteQuestions.Name">
    <vt:lpwstr>C2 &amp; " answers " &amp; D2</vt:lpwstr>
  </property>
  <property fmtid="{D5CDD505-2E9C-101B-9397-08002B2CF9AE}" pid="1052" name="erb.table.AppRouteQuestions.description">
    <vt:lpwstr>Junction: which RoleQuestions each route helps answer. Deliberately many-to-many — a question is answered across several routes and a route serves several questions. It is not, and should not become, 1:1.</vt:lpwstr>
  </property>
  <property fmtid="{D5CDD505-2E9C-101B-9397-08002B2CF9AE}" pid="1053" name="erb.formula.AppRouteReferences.Name">
    <vt:lpwstr>C2 &amp; " -&gt; " &amp; D2</vt:lpwstr>
  </property>
  <property fmtid="{D5CDD505-2E9C-101B-9397-08002B2CF9AE}" pid="1054" name="erb.table.AppRouteReferences.description">
    <vt:lpwstr>Junction: which other routes a route links to. This is the navigation graph between screens, kept as rows rather than embedded lists so the canonical model stays a DAG.</vt:lpwstr>
  </property>
  <property fmtid="{D5CDD505-2E9C-101B-9397-08002B2CF9AE}" pid="1055" name="erb.formula.RulebookTables.Name">
    <vt:lpwstr>B2</vt:lpwstr>
  </property>
  <property fmtid="{D5CDD505-2E9C-101B-9397-08002B2CF9AE}" pid="1056" name="erb.formula.RulebookTables.FieldCount">
    <vt:lpwstr>COUNTIFS(RulebookFields!C2:C1898, A2)</vt:lpwstr>
  </property>
  <property fmtid="{D5CDD505-2E9C-101B-9397-08002B2CF9AE}" pid="1057" name="erb.formula.RulebookTables.PolicyCount">
    <vt:lpwstr>COUNTIFS(AccessPolicies!D2:D203, A2)</vt:lpwstr>
  </property>
  <property fmtid="{D5CDD505-2E9C-101B-9397-08002B2CF9AE}" pid="1058" name="erb.formula.RulebookTables.IsUnsecured">
    <vt:lpwstr>I2 = 0</vt:lpwstr>
  </property>
  <property fmtid="{D5CDD505-2E9C-101B-9397-08002B2CF9AE}" pid="1059" name="erb.formula.RulebookTables.DisagreeingSubstrateCount">
    <vt:lpwstr>COUNTIFS(TableConformance!O2:O624, A2)</vt:lpwstr>
  </property>
  <property fmtid="{D5CDD505-2E9C-101B-9397-08002B2CF9AE}" pid="1060" name="erb.table.RulebookTables.description">
    <vt:lpwstr>Census of every table in this rulebook. The table-level counterpart to RulebookFields, and the anchor every access policy points at. Derived by tools/reconcile_field_catalog.py -- never hand-maintained.</vt:lpwstr>
  </property>
  <property fmtid="{D5CDD505-2E9C-101B-9397-08002B2CF9AE}" pid="1061" name="erb.formula.AccessPrincipals.Name">
    <vt:lpwstr>C2</vt:lpwstr>
  </property>
  <property fmtid="{D5CDD505-2E9C-101B-9397-08002B2CF9AE}" pid="1062" name="erb.formula.AccessPrincipals.OrganizationScope">
    <vt:lpwstr>IFNA(IF(((INDEX(Roles!D2:D13, MATCH(D2,Roles!A2:A13, 0))="")=TRUE),  "",  INDEX(Roles!D2:D13, MATCH(D2,Roles!A2:A13, 0))), "")</vt:lpwstr>
  </property>
  <property fmtid="{D5CDD505-2E9C-101B-9397-08002B2CF9AE}" pid="1063" name="erb.formula.AccessPrincipals.RoleLabel">
    <vt:lpwstr>IFNA(IF(((INDEX(Roles!C2:C13, MATCH(D2,Roles!A2:A13, 0))="")=TRUE),  "",  INDEX(Roles!C2:C13, MATCH(D2,Roles!A2:A13, 0))), "")</vt:lpwstr>
  </property>
  <property fmtid="{D5CDD505-2E9C-101B-9397-08002B2CF9AE}" pid="1064" name="erb.formula.AccessPrincipals.PolicyCount">
    <vt:lpwstr>COUNTIFS(AccessPolicies!C2:C203, A2)</vt:lpwstr>
  </property>
  <property fmtid="{D5CDD505-2E9C-101B-9397-08002B2CF9AE}" pid="1065" name="erb.formula.AccessPrincipals.GrantCount">
    <vt:lpwstr>COUNTIFS(FieldGrants!C2:C3640, A2)</vt:lpwstr>
  </property>
  <property fmtid="{D5CDD505-2E9C-101B-9397-08002B2CF9AE}" pid="1066" name="erb.formula.AccessPrincipals.VisibleTableCount">
    <vt:lpwstr>COUNTIFS(RoleSchemaViews!D2:D203, A2)</vt:lpwstr>
  </property>
  <property fmtid="{D5CDD505-2E9C-101B-9397-08002B2CF9AE}" pid="1067" name="erb.formula.AccessPrincipals.HasNoAccess">
    <vt:lpwstr>J2 = 0</vt:lpwstr>
  </property>
  <property fmtid="{D5CDD505-2E9C-101B-9397-08002B2CF9AE}" pid="1068" name="erb.formula.AccessPrincipals.IsOverPrivileged">
    <vt:lpwstr>AND(((NOT(((G2)=TRUE)))=TRUE), ((L2 &gt;= 74)=TRUE))</vt:lpwstr>
  </property>
  <property fmtid="{D5CDD505-2E9C-101B-9397-08002B2CF9AE}" pid="1069" name="erb.table.AccessPrincipals.description#1">
    <vt:lpwstr>Security principals -- the identities policies attach to. A principal is the console persona a person logs in as; it maps many-to-one onto a domain Role, so 'who may see this row' is expressed once against the domain vocabulary while the UI keeps its</vt:lpwstr>
  </property>
  <property fmtid="{D5CDD505-2E9C-101B-9397-08002B2CF9AE}" pid="1070" name="erb.table.AccessPrincipals.description#2">
    <vt:lpwstr> own persona names. Each principal owns exactly one Postgres role and one Postgres schema.</vt:lpwstr>
  </property>
  <property fmtid="{D5CDD505-2E9C-101B-9397-08002B2CF9AE}" pid="1071" name="erb.formula.AccessPolicies.Name">
    <vt:lpwstr>C2 &amp; " " &amp; E2 &amp; " " &amp; D2</vt:lpwstr>
  </property>
  <property fmtid="{D5CDD505-2E9C-101B-9397-08002B2CF9AE}" pid="1072" name="erb.formula.AccessPolicies.IsWriteCommand">
    <vt:lpwstr>OR(((E2 = "INSERT")=TRUE), ((E2 = "UPDATE")=TRUE), ((E2 = "DELETE")=TRUE), ((E2 = "ALL")=TRUE))</vt:lpwstr>
  </property>
  <property fmtid="{D5CDD505-2E9C-101B-9397-08002B2CF9AE}" pid="1073" name="erb.formula.AccessPolicies.IsUnrestricted">
    <vt:lpwstr>F2 = ""</vt:lpwstr>
  </property>
  <property fmtid="{D5CDD505-2E9C-101B-9397-08002B2CF9AE}" pid="1074" name="erb.formula.AccessPolicies.PrincipalIsAdmin">
    <vt:lpwstr>IFNA(IF(((INDEX(AccessPrincipals!G2:G13, MATCH(C2,AccessPrincipals!A2:A13, 0))="")=TRUE),  "",  INDEX(AccessPrincipals!G2:G13, MATCH(C2,AccessPrincipals!A2:A13, 0))), "")</vt:lpwstr>
  </property>
  <property fmtid="{D5CDD505-2E9C-101B-9397-08002B2CF9AE}" pid="1075" name="erb.formula.AccessPolicies.IsUnrestrictedNonAdminGrant">
    <vt:lpwstr>AND(((K2)=TRUE), ((NOT(((L2)=TRUE)))=TRUE))</vt:lpwstr>
  </property>
  <property fmtid="{D5CDD505-2E9C-101B-9397-08002B2CF9AE}" pid="1076" name="erb.formula.AccessPolicies.IsUnwitnessedWrite">
    <vt:lpwstr>AND(((J2)=TRUE), ((O2 = 0)=TRUE))</vt:lpwstr>
  </property>
  <property fmtid="{D5CDD505-2E9C-101B-9397-08002B2CF9AE}" pid="1077" name="erb.formula.AccessPolicies.DenialTestCount">
    <vt:lpwstr>COUNTIFS(AccessDenialTests!C2:C18, A2)</vt:lpwstr>
  </property>
  <property fmtid="{D5CDD505-2E9C-101B-9397-08002B2CF9AE}" pid="1078" name="erb.table.AccessPolicies.description#1">
    <vt:lpwstr>Row-level security policies: the VERTICAL cut. One row per principal x table x command, carrying the predicate that decides which rows are visible. RowPredicate is emitted verbatim into a Postgres USING clause, so it may call any SECURITY DEFINER cal</vt:lpwstr>
  </property>
  <property fmtid="{D5CDD505-2E9C-101B-9397-08002B2CF9AE}" pid="1079" name="erb.table.AccessPolicies.description#2">
    <vt:lpwstr>c_* function and therefore reference inference fields many hops down the DAG.</vt:lpwstr>
  </property>
  <property fmtid="{D5CDD505-2E9C-101B-9397-08002B2CF9AE}" pid="1080" name="erb.formula.FieldGrants.Name">
    <vt:lpwstr>C2 &amp; " -&gt; " &amp; D2</vt:lpwstr>
  </property>
  <property fmtid="{D5CDD505-2E9C-101B-9397-08002B2CF9AE}" pid="1081" name="erb.formula.FieldGrants.FieldTable">
    <vt:lpwstr>IFNA(IF(((INDEX(RulebookFields!C2:C1898, MATCH(D2,RulebookFields!A2:A1898, 0))="")=TRUE),  "",  INDEX(RulebookFields!C2:C1898, MATCH(D2,RulebookFields!A2:A1898, 0))), "")</vt:lpwstr>
  </property>
  <property fmtid="{D5CDD505-2E9C-101B-9397-08002B2CF9AE}" pid="1082" name="erb.formula.FieldGrants.FieldName">
    <vt:lpwstr>IFNA(IF(((INDEX(RulebookFields!D2:D1898, MATCH(D2,RulebookFields!A2:A1898, 0))="")=TRUE),  "",  INDEX(RulebookFields!D2:D1898, MATCH(D2,RulebookFields!A2:A1898, 0))), "")</vt:lpwstr>
  </property>
  <property fmtid="{D5CDD505-2E9C-101B-9397-08002B2CF9AE}" pid="1083" name="erb.formula.FieldGrants.FieldIsDerived">
    <vt:lpwstr>IFNA(IF(((INDEX(RulebookFields!I2:I1898, MATCH(D2,RulebookFields!A2:A1898, 0))="")=TRUE),  "",  INDEX(RulebookFields!I2:I1898, MATCH(D2,RulebookFields!A2:A1898, 0))), "")</vt:lpwstr>
  </property>
  <property fmtid="{D5CDD505-2E9C-101B-9397-08002B2CF9AE}" pid="1084" name="erb.formula.FieldGrants.IsWritableDerivedField">
    <vt:lpwstr>AND(((F2)=TRUE), ((J2)=TRUE))</vt:lpwstr>
  </property>
  <property fmtid="{D5CDD505-2E9C-101B-9397-08002B2CF9AE}" pid="1085" name="erb.formula.FieldGrants.IsMasked">
    <vt:lpwstr>AND(((G2 &lt;&gt; "plain")=TRUE), ((G2 &lt;&gt; "")=TRUE))</vt:lpwstr>
  </property>
  <property fmtid="{D5CDD505-2E9C-101B-9397-08002B2CF9AE}" pid="1086" name="erb.formula.FieldGrants.GrantKeyWhenReadable">
    <vt:lpwstr>IF(((E2)=TRUE),  C2 &amp; "|" &amp; H2,  "")</vt:lpwstr>
  </property>
  <property fmtid="{D5CDD505-2E9C-101B-9397-08002B2CF9AE}" pid="1087" name="erb.table.FieldGrants.description">
    <vt:lpwstr>Field-level grants: the HORIZONTAL cut. One row per principal x field. A field with no grant row is not filtered from the principal's view -- it is absent from it, so the column does not exist as far as that principal's SQL is concerned.</vt:lpwstr>
  </property>
  <property fmtid="{D5CDD505-2E9C-101B-9397-08002B2CF9AE}" pid="1088" name="erb.formula.RoleSchemas.Name">
    <vt:lpwstr>D2</vt:lpwstr>
  </property>
  <property fmtid="{D5CDD505-2E9C-101B-9397-08002B2CF9AE}" pid="1089" name="erb.formula.RoleSchemas.SearchPath">
    <vt:lpwstr>D2</vt:lpwstr>
  </property>
  <property fmtid="{D5CDD505-2E9C-101B-9397-08002B2CF9AE}" pid="1090" name="erb.formula.RoleSchemas.ViewCount">
    <vt:lpwstr>COUNTIFS(RoleSchemaViews!C2:C203, A2)</vt:lpwstr>
  </property>
  <property fmtid="{D5CDD505-2E9C-101B-9397-08002B2CF9AE}" pid="1091" name="erb.formula.RoleSchemas.IsEmptySchema">
    <vt:lpwstr>G2 = 0</vt:lpwstr>
  </property>
  <property fmtid="{D5CDD505-2E9C-101B-9397-08002B2CF9AE}" pid="1092" name="erb.table.RoleSchemas.description">
    <vt:lpwstr>One Postgres schema per principal -- the principal's entire visible world. The schema is the only entry on that principal's search_path, so a table absent from it cannot be named at all.</vt:lpwstr>
  </property>
  <property fmtid="{D5CDD505-2E9C-101B-9397-08002B2CF9AE}" pid="1093" name="erb.formula.RoleSchemaViews.Name">
    <vt:lpwstr>G2 &amp; "." &amp; F2</vt:lpwstr>
  </property>
  <property fmtid="{D5CDD505-2E9C-101B-9397-08002B2CF9AE}" pid="1094" name="erb.formula.RoleSchemaViews.SchemaName">
    <vt:lpwstr>IFNA(IF(((INDEX(RoleSchemas!D2:D13, MATCH(C2,RoleSchemas!A2:A13, 0))="")=TRUE),  "",  INDEX(RoleSchemas!D2:D13, MATCH(C2,RoleSchemas!A2:A13, 0))), "")</vt:lpwstr>
  </property>
  <property fmtid="{D5CDD505-2E9C-101B-9397-08002B2CF9AE}" pid="1095" name="erb.formula.RoleSchemaViews.SourceView">
    <vt:lpwstr>IFNA(IF(((INDEX(RulebookTables!E2:E93, MATCH(E2,RulebookTables!A2:A93, 0))="")=TRUE),  "",  INDEX(RulebookTables!E2:E93, MATCH(E2,RulebookTables!A2:A93, 0))), "")</vt:lpwstr>
  </property>
  <property fmtid="{D5CDD505-2E9C-101B-9397-08002B2CF9AE}" pid="1096" name="erb.formula.RoleSchemaViews.GrantKey">
    <vt:lpwstr>D2 &amp; "|" &amp; E2</vt:lpwstr>
  </property>
  <property fmtid="{D5CDD505-2E9C-101B-9397-08002B2CF9AE}" pid="1097" name="erb.formula.RoleSchemaViews.ColumnCount">
    <vt:lpwstr>COUNTIFS(FieldGrants!M2:M3640, I2)</vt:lpwstr>
  </property>
  <property fmtid="{D5CDD505-2E9C-101B-9397-08002B2CF9AE}" pid="1098" name="erb.formula.RoleSchemaViews.TableFieldCount">
    <vt:lpwstr>IFNA(IF(((INDEX(RulebookTables!H2:H93, MATCH(E2,RulebookTables!A2:A93, 0))="")=TRUE),  "",  INDEX(RulebookTables!H2:H93, MATCH(E2,RulebookTables!A2:A93, 0))), "")</vt:lpwstr>
  </property>
  <property fmtid="{D5CDD505-2E9C-101B-9397-08002B2CF9AE}" pid="1099" name="erb.formula.RoleSchemaViews.IsFullWidth">
    <vt:lpwstr>AND(((J2 &gt; 0)=TRUE), ((J2 &gt;= K2)=TRUE))</vt:lpwstr>
  </property>
  <property fmtid="{D5CDD505-2E9C-101B-9397-08002B2CF9AE}" pid="1100" name="erb.formula.RoleSchemaViews.IsDegenerateView">
    <vt:lpwstr>J2 = 0</vt:lpwstr>
  </property>
  <property fmtid="{D5CDD505-2E9C-101B-9397-08002B2CF9AE}" pid="1101" name="erb.table.RoleSchemaViews.description">
    <vt:lpwstr>The emitted views: one per principal x table. ColumnList is DERIVED from FieldGrants, so toggling a single grant changes the emitted DDL with no second edit anywhere. This is what makes an admin's save reshape the database without touching UI code.</vt:lpwstr>
  </property>
  <property fmtid="{D5CDD505-2E9C-101B-9397-08002B2CF9AE}" pid="1102" name="erb.formula.JwtClaimMappings.Name">
    <vt:lpwstr>C2 &amp; " -&gt; " &amp; D2</vt:lpwstr>
  </property>
  <property fmtid="{D5CDD505-2E9C-101B-9397-08002B2CF9AE}" pid="1103" name="erb.formula.JwtClaimMappings.UsageCount">
    <vt:lpwstr>COUNTIFS(AccessPolicies!F2:F203, D2)</vt:lpwstr>
  </property>
  <property fmtid="{D5CDD505-2E9C-101B-9397-08002B2CF9AE}" pid="1104" name="erb.table.JwtClaimMappings.description#1">
    <vt:lpwstr>Maps verified JWT claims onto the SQL accessors row predicates call. Magic-links is the notary: it asserts only that the bearer controls an email address. This table records how that verified email, and any additional claims, become values a policy c</vt:lpwstr>
  </property>
  <property fmtid="{D5CDD505-2E9C-101B-9397-08002B2CF9AE}" pid="1105" name="erb.table.JwtClaimMappings.description#2">
    <vt:lpwstr>an test.</vt:lpwstr>
  </property>
  <property fmtid="{D5CDD505-2E9C-101B-9397-08002B2CF9AE}" pid="1106" name="erb.formula.AccessDenialTests.Name">
    <vt:lpwstr>D2 &amp; " must not see " &amp; F2</vt:lpwstr>
  </property>
  <property fmtid="{D5CDD505-2E9C-101B-9397-08002B2CF9AE}" pid="1107" name="erb.formula.AccessDenialTests.HasRun">
    <vt:lpwstr>I2 &lt;&gt; ""</vt:lpwstr>
  </property>
  <property fmtid="{D5CDD505-2E9C-101B-9397-08002B2CF9AE}" pid="1108" name="erb.formula.AccessDenialTests.IsPassing">
    <vt:lpwstr>H2 = G2</vt:lpwstr>
  </property>
  <property fmtid="{D5CDD505-2E9C-101B-9397-08002B2CF9AE}" pid="1109" name="erb.formula.AccessDenialTests.IsLeak">
    <vt:lpwstr>AND(((NOT(((G2)=TRUE)))=TRUE), ((H2)=TRUE))</vt:lpwstr>
  </property>
  <property fmtid="{D5CDD505-2E9C-101B-9397-08002B2CF9AE}" pid="1110" name="erb.formula.AccessDenialTests.IsUnproven">
    <vt:lpwstr>NOT(((J2)=TRUE))</vt:lpwstr>
  </property>
  <property fmtid="{D5CDD505-2E9C-101B-9397-08002B2CF9AE}" pid="1111" name="erb.formula.AccessDenialTests.IsPositiveControl">
    <vt:lpwstr>G2</vt:lpwstr>
  </property>
  <property fmtid="{D5CDD505-2E9C-101B-9397-08002B2CF9AE}" pid="1112" name="erb.table.AccessDenialTests.description#1">
    <vt:lpwstr>Denial witnesses. A policy with no failing case seeded against it is an assertion, not evidence -- the same acceptance bar the rest of this rulebook holds. Each row names a principal, a query, and the row that MUST NOT come back, so a policy that sil</vt:lpwstr>
  </property>
  <property fmtid="{D5CDD505-2E9C-101B-9397-08002B2CF9AE}" pid="1113" name="erb.table.AccessDenialTests.description#2">
    <vt:lpwstr>ently stops enforcing is caught by a red test rather than by an incident.</vt:lpwstr>
  </property>
  <property fmtid="{D5CDD505-2E9C-101B-9397-08002B2CF9AE}" pid="1114" name="erb.formula.AppUsers.Name">
    <vt:lpwstr>D2</vt:lpwstr>
  </property>
  <property fmtid="{D5CDD505-2E9C-101B-9397-08002B2CF9AE}" pid="1115" name="erb.formula.AppUsers.AgentKind">
    <vt:lpwstr>IFNA(IF(((INDEX(Agents!D2:D12, MATCH(E2,Agents!A2:A12, 0))="")=TRUE),  "",  INDEX(Agents!D2:D12, MATCH(E2,Agents!A2:A12, 0))), "")</vt:lpwstr>
  </property>
  <property fmtid="{D5CDD505-2E9C-101B-9397-08002B2CF9AE}" pid="1116" name="erb.formula.AppUsers.Organization">
    <vt:lpwstr>IFNA(IF(((INDEX(Agents!E2:E12, MATCH(E2,Agents!A2:A12, 0))="")=TRUE),  "",  INDEX(Agents!E2:E12, MATCH(E2,Agents!A2:A12, 0))), "")</vt:lpwstr>
  </property>
  <property fmtid="{D5CDD505-2E9C-101B-9397-08002B2CF9AE}" pid="1117" name="erb.formula.AppUsers.AssignmentCount">
    <vt:lpwstr>COUNTIFS(PrincipalAssignments!C2:C13, A2)</vt:lpwstr>
  </property>
  <property fmtid="{D5CDD505-2E9C-101B-9397-08002B2CF9AE}" pid="1118" name="erb.formula.AppUsers.HasNoPrincipal">
    <vt:lpwstr>I2 = 0</vt:lpwstr>
  </property>
  <property fmtid="{D5CDD505-2E9C-101B-9397-08002B2CF9AE}" pid="1119" name="erb.formula.AppUsers.HoldsMultiplePrincipals">
    <vt:lpwstr>I2 &gt; 1</vt:lpwstr>
  </property>
  <property fmtid="{D5CDD505-2E9C-101B-9397-08002B2CF9AE}" pid="1120" name="erb.formula.AppUsers.IsNonHumanSignIn">
    <vt:lpwstr>OR(((G2 = "AIAgent")=TRUE), ((G2 = "AutomatedPipeline")=TRUE))</vt:lpwstr>
  </property>
  <property fmtid="{D5CDD505-2E9C-101B-9397-08002B2CF9AE}" pid="1121" name="erb.table.AppUsers.description">
    <vt:lpwstr>Sign-in identities. One row per person or automation that can authenticate. EmailAddress is what a verified token asserts; everything else about the caller is resolved from here inside the database, never trusted from the token.</vt:lpwstr>
  </property>
  <property fmtid="{D5CDD505-2E9C-101B-9397-08002B2CF9AE}" pid="1122" name="erb.formula.PrincipalAssignments.Name">
    <vt:lpwstr>C2 &amp; " as " &amp; D2</vt:lpwstr>
  </property>
  <property fmtid="{D5CDD505-2E9C-101B-9397-08002B2CF9AE}" pid="1123" name="erb.formula.PrincipalAssignments.PrincipalIsAdmin">
    <vt:lpwstr>IFNA(IF(((INDEX(AccessPrincipals!G2:G13, MATCH(D2,AccessPrincipals!A2:A13, 0))="")=TRUE),  "",  INDEX(AccessPrincipals!G2:G13, MATCH(D2,AccessPrincipals!A2:A13, 0))), "")</vt:lpwstr>
  </property>
  <property fmtid="{D5CDD505-2E9C-101B-9397-08002B2CF9AE}" pid="1124" name="erb.formula.PrincipalAssignments.UserOrganization">
    <vt:lpwstr>IFNA(IF(((INDEX(AppUsers!H2:H11, MATCH(C2,AppUsers!A2:A11, 0))="")=TRUE),  "",  INDEX(AppUsers!H2:H11, MATCH(C2,AppUsers!A2:A11, 0))), "")</vt:lpwstr>
  </property>
  <property fmtid="{D5CDD505-2E9C-101B-9397-08002B2CF9AE}" pid="1125" name="erb.formula.PrincipalAssignments.PrincipalOrganization">
    <vt:lpwstr>IFNA(IF(((INDEX(AccessPrincipals!H2:H13, MATCH(D2,AccessPrincipals!A2:A13, 0))="")=TRUE),  "",  INDEX(AccessPrincipals!H2:H13, MATCH(D2,AccessPrincipals!A2:A13, 0))), "")</vt:lpwstr>
  </property>
  <property fmtid="{D5CDD505-2E9C-101B-9397-08002B2CF9AE}" pid="1126" name="erb.formula.PrincipalAssignments.IsCrossOrganizationGrant">
    <vt:lpwstr>AND(((H2 &lt;&gt; "")=TRUE), ((I2 &lt;&gt; "")=TRUE), ((H2 &lt;&gt; I2)=TRUE))</vt:lpwstr>
  </property>
  <property fmtid="{D5CDD505-2E9C-101B-9397-08002B2CF9AE}" pid="1127" name="erb.table.PrincipalAssignments.description#1">
    <vt:lpwstr>Which principals a user may act as. The authorization half of sign-in: a verified email proves who you are, this table decides what you may become. A user with two assignments picks one at sign-in, and the choice is verified here rather than accepted</vt:lpwstr>
  </property>
  <property fmtid="{D5CDD505-2E9C-101B-9397-08002B2CF9AE}" pid="1128" name="erb.table.PrincipalAssignments.description#2">
    <vt:lpwstr> from the client.</vt:lpwstr>
  </property>
  <property fmtid="{D5CDD505-2E9C-101B-9397-08002B2CF9AE}" pid="1129" name="erb.table.IssuedTokens.description#1">
    <vt:lpwstr>Audit trail of every token minted. A token records which user signed in, which principal they chose, and the claims that were joined from the database at mint time -- so a later question of 'what could this session see' is answerable from data rather</vt:lpwstr>
  </property>
  <property fmtid="{D5CDD505-2E9C-101B-9397-08002B2CF9AE}" pid="1130" name="erb.table.IssuedTokens.description#2">
    <vt:lpwstr> than reconstruction.</vt:lpwstr>
  </property>
  <property fmtid="{D5CDD505-2E9C-101B-9397-08002B2CF9AE}" pid="1131" name="erb.formula.ProcessMiningRuns.Name">
    <vt:lpwstr>D2 &amp; " / " &amp; IF(((E2="")=TRUE),  "",  TEXT(E2, "yyyy-mm-dd\Thh:mm:ss")&amp;"+00:00")</vt:lpwstr>
  </property>
  <property fmtid="{D5CDD505-2E9C-101B-9397-08002B2CF9AE}" pid="1132" name="erb.formula.ProcessMiningRuns.AsOfInstant">
    <vt:lpwstr>IFNA(IF(((INDEX(EvaluationContexts!D2:D2, MATCH(I2,EvaluationContexts!A2:A2, 0))="")=TRUE),  "",  INDEX(EvaluationContexts!D2:D2, MATCH(I2,EvaluationContexts!A2:A2, 0))), "")</vt:lpwstr>
  </property>
  <property fmtid="{D5CDD505-2E9C-101B-9397-08002B2CF9AE}" pid="1133" name="erb.formula.ProcessMiningRuns.ConformanceRate">
    <vt:lpwstr>IF(((F2 = 0)=TRUE),  0,  G2 / F2)</vt:lpwstr>
  </property>
  <property fmtid="{D5CDD505-2E9C-101B-9397-08002B2CF9AE}" pid="1134" name="erb.formula.ProcessMiningRuns.IsConformant">
    <vt:lpwstr>K2 &gt;= 0.8</vt:lpwstr>
  </property>
  <property fmtid="{D5CDD505-2E9C-101B-9397-08002B2CF9AE}" pid="1135" name="erb.formula.ProcessMiningRuns.HasMajorDriftFromDocumentation">
    <vt:lpwstr>K2 &lt; 0.5</vt:lpwstr>
  </property>
  <property fmtid="{D5CDD505-2E9C-101B-9397-08002B2CF9AE}" pid="1136" name="erb.formula.ProcessMiningRuns.DaysSinceMined">
    <vt:lpwstr>IF((IF(((OR((((J2)="")=TRUE), (((E2)="")=TRUE)))=TRUE),  0,  (INT(J2) - INT(E2))))="", "", ROUND((IF(((OR((((J2)="")=TRUE), (((E2)="")=TRUE)))=TRUE),  0,  (INT(J2) - INT(E2)))), 0))</vt:lpwstr>
  </property>
  <property fmtid="{D5CDD505-2E9C-101B-9397-08002B2CF9AE}" pid="1137" name="erb.formula.ProcessMiningRuns.IsStaleMiningEvidence">
    <vt:lpwstr>N2 &gt; 180</vt:lpwstr>
  </property>
  <property fmtid="{D5CDD505-2E9C-101B-9397-08002B2CF9AE}" pid="1138" name="erb.formula.ProcessMiningRuns.ProcedureVersionIsLive">
    <vt:lpwstr>IFNA(IF(((INDEX(ProcedureVersions!Y2:Y4, MATCH(C2,ProcedureVersions!A2:A4, 0))="")=TRUE),  "",  INDEX(ProcedureVersions!Y2:Y4, MATCH(C2,ProcedureVersions!A2:A4, 0))), "")</vt:lpwstr>
  </property>
  <property fmtid="{D5CDD505-2E9C-101B-9397-08002B2CF9AE}" pid="1139" name="erb.formula.ProcessMiningRuns.IsDriftOnLiveVersion">
    <vt:lpwstr>AND(((M2)=TRUE), ((P2)=TRUE))</vt:lpwstr>
  </property>
  <property fmtid="{D5CDD505-2E9C-101B-9397-08002B2CF9AE}" pid="1140" name="erb.formula.ProcessMiningRuns.DriftedMiningRunKey">
    <vt:lpwstr>IF(((Q2)=TRUE),  C2,  "")</vt:lpwstr>
  </property>
  <property fmtid="{D5CDD505-2E9C-101B-9397-08002B2CF9AE}" pid="1141" name="erb.table.ProcessMiningRuns.description#1">
    <vt:lpwstr>One conformance-checking run of a mined event log against a documented procedure version — a third kind of evidence, distinct from an elicitation session (someone's account) or a knowledge fragment (a claim): what the system of record actually did, d</vt:lpwstr>
  </property>
  <property fmtid="{D5CDD505-2E9C-101B-9397-08002B2CF9AE}" pid="1142" name="erb.table.ProcessMiningRuns.description#2">
    <vt:lpwstr>iscovered by process mining rather than told to us.</vt:lpwstr>
  </property>
  <property fmtid="{D5CDD505-2E9C-101B-9397-08002B2CF9AE}" pid="1143" name="erb.formula.Vocabularies.Name">
    <vt:lpwstr>C2</vt:lpwstr>
  </property>
  <property fmtid="{D5CDD505-2E9C-101B-9397-08002B2CF9AE}" pid="1144" name="erb.formula.Vocabularies.TermCount">
    <vt:lpwstr>COUNTIFS(VocabularyTerms!C2:C13, A2)</vt:lpwstr>
  </property>
  <property fmtid="{D5CDD505-2E9C-101B-9397-08002B2CF9AE}" pid="1145" name="erb.formula.Vocabularies.OrphanTermCount">
    <vt:lpwstr>COUNTIFS(VocabularyTerms!J2:J13, A2)</vt:lpwstr>
  </property>
  <property fmtid="{D5CDD505-2E9C-101B-9397-08002B2CF9AE}" pid="1146" name="erb.formula.Vocabularies.HasOrphanTerms">
    <vt:lpwstr>G2 &gt; 0</vt:lpwstr>
  </property>
  <property fmtid="{D5CDD505-2E9C-101B-9397-08002B2CF9AE}" pid="1147" name="erb.table.Vocabularies.description">
    <vt:lpwstr>A controlled vocabulary / SKOS-style concept scheme — one facet of standardized terminology (e.g. a family of control categories) that Requirements and other rows can point at instead of restating the concept in free text each time.</vt:lpwstr>
  </property>
  <property fmtid="{D5CDD505-2E9C-101B-9397-08002B2CF9AE}" pid="1148" name="erb.formula.VocabularyTerms.Name">
    <vt:lpwstr>D2</vt:lpwstr>
  </property>
  <property fmtid="{D5CDD505-2E9C-101B-9397-08002B2CF9AE}" pid="1149" name="erb.formula.VocabularyTerms.UsageCount">
    <vt:lpwstr>COUNTIFS(Requirements!AO2:AO14, A2)</vt:lpwstr>
  </property>
  <property fmtid="{D5CDD505-2E9C-101B-9397-08002B2CF9AE}" pid="1150" name="erb.formula.VocabularyTerms.IsOrphanTerm">
    <vt:lpwstr>G2 = 0</vt:lpwstr>
  </property>
  <property fmtid="{D5CDD505-2E9C-101B-9397-08002B2CF9AE}" pid="1151" name="erb.formula.VocabularyTerms.IsWidelyAdoptedTerm">
    <vt:lpwstr>G2 &gt;= 2</vt:lpwstr>
  </property>
  <property fmtid="{D5CDD505-2E9C-101B-9397-08002B2CF9AE}" pid="1152" name="erb.formula.VocabularyTerms.OrphanTermVocabularyKey">
    <vt:lpwstr>IF(((H2)=TRUE),  C2,  "")</vt:lpwstr>
  </property>
  <property fmtid="{D5CDD505-2E9C-101B-9397-08002B2CF9AE}" pid="1153" name="erb.table.VocabularyTerms.description">
    <vt:lpwstr>One controlled, defined term (a SKOS Concept) within a Vocabulary. Requirements point at a VocabularyTerm instead of free-texting the same concept in a new Statement every time.</vt:lpwstr>
  </property>
  <property fmtid="{D5CDD505-2E9C-101B-9397-08002B2CF9AE}" pid="1154" name="erb.formula.KnowledgeBrokerLinks.Name">
    <vt:lpwstr>C2 &amp; " -&gt; " &amp; D2</vt:lpwstr>
  </property>
  <property fmtid="{D5CDD505-2E9C-101B-9397-08002B2CF9AE}" pid="1155" name="erb.formula.KnowledgeBrokerLinks.AsOfInstant">
    <vt:lpwstr>IFNA(IF(((INDEX(EvaluationContexts!D2:D2, MATCH(H2,EvaluationContexts!A2:A2, 0))="")=TRUE),  "",  INDEX(EvaluationContexts!D2:D2, MATCH(H2,EvaluationContexts!A2:A2, 0))), "")</vt:lpwstr>
  </property>
  <property fmtid="{D5CDD505-2E9C-101B-9397-08002B2CF9AE}" pid="1156" name="erb.formula.KnowledgeBrokerLinks.DaysSinceConsulted">
    <vt:lpwstr>IF((IF(((OR((((I2)="")=TRUE), (((G2)="")=TRUE)))=TRUE),  0,  (INT(I2) - INT(G2))))="", "", ROUND((IF(((OR((((I2)="")=TRUE), (((G2)="")=TRUE)))=TRUE),  0,  (INT(I2) - INT(G2)))), 0))</vt:lpwstr>
  </property>
  <property fmtid="{D5CDD505-2E9C-101B-9397-08002B2CF9AE}" pid="1157" name="erb.formula.KnowledgeBrokerLinks.IsActiveReliance">
    <vt:lpwstr>AND(((NOT(((F2 = "Rarely")=TRUE)))=TRUE), ((J2 &lt;= 180)=TRUE))</vt:lpwstr>
  </property>
  <property fmtid="{D5CDD505-2E9C-101B-9397-08002B2CF9AE}" pid="1158" name="erb.formula.KnowledgeBrokerLinks.BrokerIsStillEngaged">
    <vt:lpwstr>IFNA(IF(((INDEX(Agents!I2:I12, MATCH(D2,Agents!A2:A12, 0))="")=TRUE),  "",  INDEX(Agents!I2:I12, MATCH(D2,Agents!A2:A12, 0))), "")</vt:lpwstr>
  </property>
  <property fmtid="{D5CDD505-2E9C-101B-9397-08002B2CF9AE}" pid="1159" name="erb.formula.KnowledgeBrokerLinks.IsAtRiskReliance">
    <vt:lpwstr>AND(((K2)=TRUE), ((NOT(((L2)=TRUE)))=TRUE))</vt:lpwstr>
  </property>
  <property fmtid="{D5CDD505-2E9C-101B-9397-08002B2CF9AE}" pid="1160" name="erb.formula.KnowledgeBrokerLinks.ActiveRelianceBrokerKey">
    <vt:lpwstr>IF(((K2)=TRUE),  D2,  "")</vt:lpwstr>
  </property>
  <property fmtid="{D5CDD505-2E9C-101B-9397-08002B2CF9AE}" pid="1161" name="erb.formula.KnowledgeBrokerLinks.AtRiskBrokerKey">
    <vt:lpwstr>IF(((M2)=TRUE),  D2,  "")</vt:lpwstr>
  </property>
  <property fmtid="{D5CDD505-2E9C-101B-9397-08002B2CF9AE}" pid="1162" name="erb.table.KnowledgeBrokerLinks.description#1">
    <vt:lpwstr>An informal expertise-network edge: one agent naming another as who they actually go to for a topic, independent of any formal Role or RoleAssignment. RoleAssignments and CommunitiesOfPractice record who is SUPPOSED to know something; this records wh</vt:lpwstr>
  </property>
  <property fmtid="{D5CDD505-2E9C-101B-9397-08002B2CF9AE}" pid="1163" name="erb.table.KnowledgeBrokerLinks.description#2">
    <vt:lpwstr>o people ACTUALLY rely on.</vt:lpwstr>
  </property>
  <property fmtid="{D5CDD505-2E9C-101B-9397-08002B2CF9AE}" pid="1164" name="erb.formula.ConformanceSubstrates.Name">
    <vt:lpwstr>C2</vt:lpwstr>
  </property>
  <property fmtid="{D5CDD505-2E9C-101B-9397-08002B2CF9AE}" pid="1165" name="erb.formula.ConformanceSubstrates.IsGraded">
    <vt:lpwstr>H2 = "graded"</vt:lpwstr>
  </property>
  <property fmtid="{D5CDD505-2E9C-101B-9397-08002B2CF9AE}" pid="1166" name="erb.formula.ConformanceSubstrates.RunCount">
    <vt:lpwstr>COUNTIFS(SubstrateRunScores!D2:D29, A2)</vt:lpwstr>
  </property>
  <property fmtid="{D5CDD505-2E9C-101B-9397-08002B2CF9AE}" pid="1167" name="erb.formula.ConformanceSubstrates.LatestCellsTested">
    <vt:lpwstr>SUMIFS(SubstrateRunScores!W2:W29,SubstrateRunScores!D2:D29, A2)</vt:lpwstr>
  </property>
  <property fmtid="{D5CDD505-2E9C-101B-9397-08002B2CF9AE}" pid="1168" name="erb.formula.ConformanceSubstrates.LatestCellsPassed">
    <vt:lpwstr>SUMIFS(SubstrateRunScores!X2:X29,SubstrateRunScores!D2:D29, A2)</vt:lpwstr>
  </property>
  <property fmtid="{D5CDD505-2E9C-101B-9397-08002B2CF9AE}" pid="1169" name="erb.formula.ConformanceSubstrates.LatestHarnessErrors">
    <vt:lpwstr>SUMIFS(SubstrateRunScores!Y2:Y29,SubstrateRunScores!D2:D29, A2)</vt:lpwstr>
  </property>
  <property fmtid="{D5CDD505-2E9C-101B-9397-08002B2CF9AE}" pid="1170" name="erb.formula.ConformanceSubstrates.LatestCellsFailed">
    <vt:lpwstr>L2 - M2</vt:lpwstr>
  </property>
  <property fmtid="{D5CDD505-2E9C-101B-9397-08002B2CF9AE}" pid="1171" name="erb.formula.ConformanceSubstrates.LatestScore">
    <vt:lpwstr>IF(((L2 = 0)=TRUE),  0,  ROUND(100 * M2 / L2, 2))</vt:lpwstr>
  </property>
  <property fmtid="{D5CDD505-2E9C-101B-9397-08002B2CF9AE}" pid="1172" name="erb.formula.ConformanceSubstrates.DisagreeingFieldCount">
    <vt:lpwstr>COUNTIFS(FieldDisagreements!C2:C50, A2)</vt:lpwstr>
  </property>
  <property fmtid="{D5CDD505-2E9C-101B-9397-08002B2CF9AE}" pid="1173" name="erb.formula.ConformanceSubstrates.DisagreeingTableCount">
    <vt:lpwstr>COUNTIFS(TableConformance!N2:N624, A2)</vt:lpwstr>
  </property>
  <property fmtid="{D5CDD505-2E9C-101B-9397-08002B2CF9AE}" pid="1174" name="erb.formula.ConformanceSubstrates.IsFullyConformant">
    <vt:lpwstr>AND(((L2 &gt; 0)=TRUE), ((O2 = 0)=TRUE), ((N2 = 0)=TRUE))</vt:lpwstr>
  </property>
  <property fmtid="{D5CDD505-2E9C-101B-9397-08002B2CF9AE}" pid="1175" name="erb.table.ConformanceSubstrates.description#1">
    <vt:lpwstr>Every tool that compiles this rulebook into something that computes. One is the answer-key author (compile-rulebook bakes derived values into the rulebook's own rows); the rest are graded substrates that re-derive those values natively and are scored</vt:lpwstr>
  </property>
  <property fmtid="{D5CDD505-2E9C-101B-9397-08002B2CF9AE}" pid="1176" name="erb.table.ConformanceSubstrates.description#2">
    <vt:lpwstr> cell by cell against them.</vt:lpwstr>
  </property>
  <property fmtid="{D5CDD505-2E9C-101B-9397-08002B2CF9AE}" pid="1177" name="erb.formula.ConformanceRuns.Name">
    <vt:lpwstr>A2</vt:lpwstr>
  </property>
  <property fmtid="{D5CDD505-2E9C-101B-9397-08002B2CF9AE}" pid="1178" name="erb.formula.ConformanceRuns.SubstrateCount">
    <vt:lpwstr>COUNTIFS(SubstrateRunScores!C2:C29, A2)</vt:lpwstr>
  </property>
  <property fmtid="{D5CDD505-2E9C-101B-9397-08002B2CF9AE}" pid="1179" name="erb.formula.ConformanceRuns.PerfectSubstrateCount">
    <vt:lpwstr>COUNTIFS(SubstrateRunScores!U2:U29, A2)</vt:lpwstr>
  </property>
  <property fmtid="{D5CDD505-2E9C-101B-9397-08002B2CF9AE}" pid="1180" name="erb.formula.ConformanceRuns.CellsTested">
    <vt:lpwstr>SUMIFS(SubstrateRunScores!G2:G29,SubstrateRunScores!C2:C29, A2)</vt:lpwstr>
  </property>
  <property fmtid="{D5CDD505-2E9C-101B-9397-08002B2CF9AE}" pid="1181" name="erb.formula.ConformanceRuns.CellsPassed">
    <vt:lpwstr>SUMIFS(SubstrateRunScores!H2:H29,SubstrateRunScores!C2:C29, A2)</vt:lpwstr>
  </property>
  <property fmtid="{D5CDD505-2E9C-101B-9397-08002B2CF9AE}" pid="1182" name="erb.formula.ConformanceRuns.CellsFailed">
    <vt:lpwstr>J2 - K2</vt:lpwstr>
  </property>
  <property fmtid="{D5CDD505-2E9C-101B-9397-08002B2CF9AE}" pid="1183" name="erb.formula.ConformanceRuns.OverallScore">
    <vt:lpwstr>IF(((J2 = 0)=TRUE),  0,  ROUND(100 * K2 / J2, 2))</vt:lpwstr>
  </property>
  <property fmtid="{D5CDD505-2E9C-101B-9397-08002B2CF9AE}" pid="1184" name="erb.formula.ConformanceRuns.ImperfectSubstrateCount">
    <vt:lpwstr>H2 - I2</vt:lpwstr>
  </property>
  <property fmtid="{D5CDD505-2E9C-101B-9397-08002B2CF9AE}" pid="1185" name="erb.formula.ConformanceRuns.IsFullyConformant">
    <vt:lpwstr>AND(((H2 &gt; 0)=TRUE), ((N2 = 0)=TRUE))</vt:lpwstr>
  </property>
  <property fmtid="{D5CDD505-2E9C-101B-9397-08002B2CF9AE}" pid="1186" name="erb.table.ConformanceRuns.description">
    <vt:lpwstr>One execution of the conformance harness over every graded substrate. Kept as history; exactly one run is marked IsLatest, and the per-table, per-field and per-cell detail tables describe that run.</vt:lpwstr>
  </property>
  <property fmtid="{D5CDD505-2E9C-101B-9397-08002B2CF9AE}" pid="1187" name="erb.formula.SubstrateRunScores.Name">
    <vt:lpwstr>CONCAT(C2, " / ", D2)</vt:lpwstr>
  </property>
  <property fmtid="{D5CDD505-2E9C-101B-9397-08002B2CF9AE}" pid="1188" name="erb.formula.SubstrateRunScores.CellsFailed">
    <vt:lpwstr>G2 - H2</vt:lpwstr>
  </property>
  <property fmtid="{D5CDD505-2E9C-101B-9397-08002B2CF9AE}" pid="1189" name="erb.formula.SubstrateRunScores.Score">
    <vt:lpwstr>IF(((G2 = 0)=TRUE),  0,  ROUND(100 * H2 / G2, 2))</vt:lpwstr>
  </property>
  <property fmtid="{D5CDD505-2E9C-101B-9397-08002B2CF9AE}" pid="1190" name="erb.formula.SubstrateRunScores.CalculatedScore">
    <vt:lpwstr>IF(((I2 = 0)=TRUE),  0,  ROUND(100 * J2 / I2, 2))</vt:lpwstr>
  </property>
  <property fmtid="{D5CDD505-2E9C-101B-9397-08002B2CF9AE}" pid="1191" name="erb.formula.SubstrateRunScores.LookupScore">
    <vt:lpwstr>IF(((K2 = 0)=TRUE),  0,  ROUND(100 * L2 / K2, 2))</vt:lpwstr>
  </property>
  <property fmtid="{D5CDD505-2E9C-101B-9397-08002B2CF9AE}" pid="1192" name="erb.formula.SubstrateRunScores.AggregationScore">
    <vt:lpwstr>IF(((M2 = 0)=TRUE),  0,  ROUND(100 * N2 / M2, 2))</vt:lpwstr>
  </property>
  <property fmtid="{D5CDD505-2E9C-101B-9397-08002B2CF9AE}" pid="1193" name="erb.formula.SubstrateRunScores.IsPerfect">
    <vt:lpwstr>AND(((E2 = "")=TRUE), ((G2 &gt; 0)=TRUE), ((O2 = 0)=TRUE))</vt:lpwstr>
  </property>
  <property fmtid="{D5CDD505-2E9C-101B-9397-08002B2CF9AE}" pid="1194" name="erb.formula.SubstrateRunScores.PerfectRunKey">
    <vt:lpwstr>IF(((T2)=TRUE),  C2,  "")</vt:lpwstr>
  </property>
  <property fmtid="{D5CDD505-2E9C-101B-9397-08002B2CF9AE}" pid="1195" name="erb.formula.SubstrateRunScores.IsInLatestRun">
    <vt:lpwstr>IFNA(IF(((INDEX(ConformanceRuns!F2:F5, MATCH(C2,ConformanceRuns!A2:A5, 0))="")=TRUE),  "",  INDEX(ConformanceRuns!F2:F5, MATCH(C2,ConformanceRuns!A2:A5, 0))), "")</vt:lpwstr>
  </property>
  <property fmtid="{D5CDD505-2E9C-101B-9397-08002B2CF9AE}" pid="1196" name="erb.formula.SubstrateRunScores.LatestCellsTested">
    <vt:lpwstr>IF(((V2)=TRUE),  G2,  0)</vt:lpwstr>
  </property>
  <property fmtid="{D5CDD505-2E9C-101B-9397-08002B2CF9AE}" pid="1197" name="erb.formula.SubstrateRunScores.LatestCellsPassed">
    <vt:lpwstr>IF(((V2)=TRUE),  H2,  0)</vt:lpwstr>
  </property>
  <property fmtid="{D5CDD505-2E9C-101B-9397-08002B2CF9AE}" pid="1198" name="erb.formula.SubstrateRunScores.LatestErrorFlag">
    <vt:lpwstr>IF(((AND(((V2)=TRUE), ((E2 &lt;&gt; "")=TRUE)))=TRUE),  1,  0)</vt:lpwstr>
  </property>
  <property fmtid="{D5CDD505-2E9C-101B-9397-08002B2CF9AE}" pid="1199" name="erb.formula.SubstrateRunScores.SubstrateLabel">
    <vt:lpwstr>IFNA(IF(((INDEX(ConformanceSubstrates!C2:C9, MATCH(D2,ConformanceSubstrates!A2:A9, 0))="")=TRUE),  "",  INDEX(ConformanceSubstrates!C2:C9, MATCH(D2,ConformanceSubstrates!A2:A9, 0))), "")</vt:lpwstr>
  </property>
  <property fmtid="{D5CDD505-2E9C-101B-9397-08002B2CF9AE}" pid="1200" name="erb.table.SubstrateRunScores.description">
    <vt:lpwstr>One substrate's grade in one conformance run, split by field class so a substrate that does scalar math natively but not cross-table joins reads as exactly that.</vt:lpwstr>
  </property>
  <property fmtid="{D5CDD505-2E9C-101B-9397-08002B2CF9AE}" pid="1201" name="erb.formula.TableConformance.Name">
    <vt:lpwstr>CONCAT(D2, " / ", E2)</vt:lpwstr>
  </property>
  <property fmtid="{D5CDD505-2E9C-101B-9397-08002B2CF9AE}" pid="1202" name="erb.formula.TableConformance.CellsFailed">
    <vt:lpwstr>H2 - I2</vt:lpwstr>
  </property>
  <property fmtid="{D5CDD505-2E9C-101B-9397-08002B2CF9AE}" pid="1203" name="erb.formula.TableConformance.Score">
    <vt:lpwstr>IF(((H2 = 0)=TRUE),  0,  ROUND(100 * I2 / H2, 2))</vt:lpwstr>
  </property>
  <property fmtid="{D5CDD505-2E9C-101B-9397-08002B2CF9AE}" pid="1204" name="erb.formula.TableConformance.IsPerfect">
    <vt:lpwstr>K2 = 0</vt:lpwstr>
  </property>
  <property fmtid="{D5CDD505-2E9C-101B-9397-08002B2CF9AE}" pid="1205" name="erb.formula.TableConformance.ImperfectSubstrateKey">
    <vt:lpwstr>IF(((M2)=TRUE),  "",  D2)</vt:lpwstr>
  </property>
  <property fmtid="{D5CDD505-2E9C-101B-9397-08002B2CF9AE}" pid="1206" name="erb.formula.TableConformance.ImperfectTableKey">
    <vt:lpwstr>IF(((M2)=TRUE),  "",  E2)</vt:lpwstr>
  </property>
  <property fmtid="{D5CDD505-2E9C-101B-9397-08002B2CF9AE}" pid="1207" name="erb.formula.TableConformance.DisagreeingFieldCount">
    <vt:lpwstr>COUNTIFS(FieldDisagreements!E2:E50, A2)</vt:lpwstr>
  </property>
  <property fmtid="{D5CDD505-2E9C-101B-9397-08002B2CF9AE}" pid="1208" name="erb.formula.TableConformance.SubstrateLabel">
    <vt:lpwstr>IFNA(IF(((INDEX(ConformanceSubstrates!C2:C9, MATCH(D2,ConformanceSubstrates!A2:A9, 0))="")=TRUE),  "",  INDEX(ConformanceSubstrates!C2:C9, MATCH(D2,ConformanceSubstrates!A2:A9, 0))), "")</vt:lpwstr>
  </property>
  <property fmtid="{D5CDD505-2E9C-101B-9397-08002B2CF9AE}" pid="1209" name="erb.formula.TableConformance.SubjectArea">
    <vt:lpwstr>IFNA(IF(((INDEX(RulebookTables!F2:F93, MATCH(E2,RulebookTables!A2:A93, 0))="")=TRUE),  "",  INDEX(RulebookTables!F2:F93, MATCH(E2,RulebookTables!A2:A93, 0))), "")</vt:lpwstr>
  </property>
  <property fmtid="{D5CDD505-2E9C-101B-9397-08002B2CF9AE}" pid="1210" name="erb.table.TableConformance.description">
    <vt:lpwstr>Latest run only: how one substrate did on one table. The grid of these rows is the substrate-by-table heatmap.</vt:lpwstr>
  </property>
  <property fmtid="{D5CDD505-2E9C-101B-9397-08002B2CF9AE}" pid="1211" name="erb.formula.FieldDisagreements.Name">
    <vt:lpwstr>CONCAT(C2, " / ", D2)</vt:lpwstr>
  </property>
  <property fmtid="{D5CDD505-2E9C-101B-9397-08002B2CF9AE}" pid="1212" name="erb.formula.FieldDisagreements.SampledCellCount">
    <vt:lpwstr>COUNTIFS(CellDisagreements!C2:C340, A2)</vt:lpwstr>
  </property>
  <property fmtid="{D5CDD505-2E9C-101B-9397-08002B2CF9AE}" pid="1213" name="erb.formula.FieldDisagreements.IsFullySampled">
    <vt:lpwstr>I2 = G2</vt:lpwstr>
  </property>
  <property fmtid="{D5CDD505-2E9C-101B-9397-08002B2CF9AE}" pid="1214" name="erb.formula.FieldDisagreements.Formula">
    <vt:lpwstr>IFNA(IF(((INDEX(RulebookFields!G2:G1898, MATCH(D2,RulebookFields!A2:A1898, 0))="")=TRUE),  "",  INDEX(RulebookFields!G2:G1898, MATCH(D2,RulebookFields!A2:A1898, 0))), "")</vt:lpwstr>
  </property>
  <property fmtid="{D5CDD505-2E9C-101B-9397-08002B2CF9AE}" pid="1215" name="erb.formula.FieldDisagreements.SubstrateLabel">
    <vt:lpwstr>IFNA(IF(((INDEX(ConformanceSubstrates!C2:C9, MATCH(C2,ConformanceSubstrates!A2:A9, 0))="")=TRUE),  "",  INDEX(ConformanceSubstrates!C2:C9, MATCH(C2,ConformanceSubstrates!A2:A9, 0))), "")</vt:lpwstr>
  </property>
  <property fmtid="{D5CDD505-2E9C-101B-9397-08002B2CF9AE}" pid="1216" name="erb.table.FieldDisagreements.description">
    <vt:lpwstr>Latest run only: a derived field on which one substrate got at least one cell wrong. A field with no row here agreed everywhere. CellsFailed is the true count; CellDisagreements holds a sample of the cells.</vt:lpwstr>
  </property>
  <property fmtid="{D5CDD505-2E9C-101B-9397-08002B2CF9AE}" pid="1217" name="erb.formula.CellDisagreements.Name">
    <vt:lpwstr>CONCAT(C2, " @ ", D2)</vt:lpwstr>
  </property>
  <property fmtid="{D5CDD505-2E9C-101B-9397-08002B2CF9AE}" pid="1218" name="erb.formula.CellDisagreements.Substrate">
    <vt:lpwstr>IFNA(IF(((INDEX(FieldDisagreements!C2:C50, MATCH(C2,FieldDisagreements!A2:A50, 0))="")=TRUE),  "",  INDEX(FieldDisagreements!C2:C50, MATCH(C2,FieldDisagreements!A2:A50, 0))), "")</vt:lpwstr>
  </property>
  <property fmtid="{D5CDD505-2E9C-101B-9397-08002B2CF9AE}" pid="1219" name="erb.formula.CellDisagreements.RulebookField">
    <vt:lpwstr>IFNA(IF(((INDEX(FieldDisagreements!D2:D50, MATCH(C2,FieldDisagreements!A2:A50, 0))="")=TRUE),  "",  INDEX(FieldDisagreements!D2:D50, MATCH(C2,FieldDisagreements!A2:A50, 0))), "")</vt:lpwstr>
  </property>
  <property fmtid="{D5CDD505-2E9C-101B-9397-08002B2CF9AE}" pid="1220" name="erb.table.CellDisagreements.description">
    <vt:lpwstr>Latest run only: one cell a substrate computed differently from the answer key, with both values verbatim. Sampled per field; see FieldDisagreements.IsFullySampled.</vt:lpwstr>
  </property>
</Properties>
</file>